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https://ornl-my.sharepoint.com/personal/k21_ornl_gov/Documents/EPA Tools/DCC/QA Sheets/2022_QA_Sheets/"/>
    </mc:Choice>
  </mc:AlternateContent>
  <xr:revisionPtr revIDLastSave="2299" documentId="8_{3EA41589-2AB1-4703-AF16-B18E046E5233}" xr6:coauthVersionLast="47" xr6:coauthVersionMax="47" xr10:uidLastSave="{9FE1D33E-36A8-496A-8E0E-C04E575897E6}"/>
  <bookViews>
    <workbookView xWindow="-120" yWindow="-120" windowWidth="29040" windowHeight="15840" tabRatio="906" xr2:uid="{00000000-000D-0000-FFFF-FFFF00000000}"/>
  </bookViews>
  <sheets>
    <sheet name="Instructions" sheetId="49" r:id="rId1"/>
    <sheet name="RadSpec" sheetId="1" r:id="rId2"/>
    <sheet name="d" sheetId="2" r:id="rId3"/>
    <sheet name="d_Bv" sheetId="25" r:id="rId4"/>
    <sheet name="d_Irr" sheetId="36" r:id="rId5"/>
    <sheet name="d_dir" sheetId="26" r:id="rId6"/>
    <sheet name="d_b2s" sheetId="27" r:id="rId7"/>
    <sheet name="d_b2w" sheetId="28" r:id="rId8"/>
    <sheet name="d_res" sheetId="4" r:id="rId9"/>
    <sheet name="d_far" sheetId="17" r:id="rId10"/>
    <sheet name="d_rec" sheetId="15" r:id="rId11"/>
    <sheet name="d_sgw" sheetId="19" r:id="rId12"/>
    <sheet name="d_acf" sheetId="21" r:id="rId13"/>
    <sheet name="s_RadSpec" sheetId="46" r:id="rId14"/>
    <sheet name="ss" sheetId="3" r:id="rId15"/>
    <sheet name="s_Irr" sheetId="35" r:id="rId16"/>
    <sheet name="s_dir" sheetId="29" r:id="rId17"/>
    <sheet name="s_b2s" sheetId="30" r:id="rId18"/>
    <sheet name="s_b2w" sheetId="31" r:id="rId19"/>
    <sheet name="s_res" sheetId="5" r:id="rId20"/>
    <sheet name="s_far" sheetId="18" r:id="rId21"/>
    <sheet name="s_rec" sheetId="37" r:id="rId22"/>
    <sheet name="s_sgw" sheetId="20" r:id="rId23"/>
    <sheet name="up_RadSpec" sheetId="33" r:id="rId24"/>
    <sheet name="up_Bv" sheetId="40" r:id="rId25"/>
    <sheet name="up_Irr" sheetId="44" r:id="rId26"/>
    <sheet name="up_dir" sheetId="41" r:id="rId27"/>
    <sheet name="up_b2s" sheetId="42" r:id="rId28"/>
    <sheet name="up_b2w" sheetId="43" r:id="rId29"/>
    <sheet name="up_res" sheetId="32" r:id="rId30"/>
    <sheet name="up_far" sheetId="38" r:id="rId31"/>
    <sheet name="up_rec" sheetId="16" r:id="rId32"/>
    <sheet name="up_sgw" sheetId="45" r:id="rId33"/>
  </sheets>
  <externalReferences>
    <externalReference r:id="rId34"/>
  </externalReferences>
  <definedNames>
    <definedName name="_xlnm._FilterDatabase" localSheetId="12" hidden="1">d_acf!$A$1:$G$30</definedName>
    <definedName name="_xlnm._FilterDatabase" localSheetId="6" hidden="1">d_b2s!$A$1:$BB$76</definedName>
    <definedName name="_xlnm._FilterDatabase" localSheetId="7" hidden="1">d_b2w!$A$1:$BB$76</definedName>
    <definedName name="_xlnm._FilterDatabase" localSheetId="3" hidden="1">d_Bv!$A$1:$AA$30</definedName>
    <definedName name="_xlnm._FilterDatabase" localSheetId="5" hidden="1">d_dir!$A$1:$BB$76</definedName>
    <definedName name="_xlnm._FilterDatabase" localSheetId="9" hidden="1">d_far!$A$1:$BT$76</definedName>
    <definedName name="_xlnm._FilterDatabase" localSheetId="4" hidden="1">d_Irr!$A$1:$BY$30</definedName>
    <definedName name="_xlnm._FilterDatabase" localSheetId="10" hidden="1">d_rec!$D$1:$AQ$76</definedName>
    <definedName name="_xlnm._FilterDatabase" localSheetId="8" hidden="1">d_res!$A$1:$AF$76</definedName>
    <definedName name="_xlnm._FilterDatabase" localSheetId="11" hidden="1">d_sgw!$D$1:$I$76</definedName>
    <definedName name="_xlnm._FilterDatabase" localSheetId="1" hidden="1">RadSpec!$A$1:$BE$30</definedName>
    <definedName name="_xlnm._FilterDatabase" localSheetId="17" hidden="1">s_b2s!$A$1:$DB$76</definedName>
    <definedName name="_xlnm._FilterDatabase" localSheetId="18" hidden="1">s_b2w!$A$1:$DB$76</definedName>
    <definedName name="_xlnm._FilterDatabase" localSheetId="16" hidden="1">s_dir!$A$1:$CB$76</definedName>
    <definedName name="_xlnm._FilterDatabase" localSheetId="20" hidden="1">s_far!$A$1:$EN$76</definedName>
    <definedName name="_xlnm._FilterDatabase" localSheetId="15" hidden="1">s_Irr!$A$1:$BY$30</definedName>
    <definedName name="_xlnm._FilterDatabase" localSheetId="13" hidden="1">s_RadSpec!$A$1:$BE$30</definedName>
    <definedName name="_xlnm._FilterDatabase" localSheetId="21" hidden="1">s_rec!$D$1:$BL$76</definedName>
    <definedName name="_xlnm._FilterDatabase" localSheetId="19" hidden="1">s_res!$A$1:$AY$76</definedName>
    <definedName name="_xlnm._FilterDatabase" localSheetId="22" hidden="1">s_sgw!$D$1:$M$76</definedName>
    <definedName name="_xlnm._FilterDatabase" localSheetId="27" hidden="1">up_b2s!$A$1:$CX$76</definedName>
    <definedName name="_xlnm._FilterDatabase" localSheetId="28" hidden="1">up_b2w!$A$1:$CX$76</definedName>
    <definedName name="_xlnm._FilterDatabase" localSheetId="24" hidden="1">up_Bv!$A$1:$AA$30</definedName>
    <definedName name="_xlnm._FilterDatabase" localSheetId="26" hidden="1">up_dir!$A$1:$BY$76</definedName>
    <definedName name="_xlnm._FilterDatabase" localSheetId="30" hidden="1">up_far!$A$1:$DP$76</definedName>
    <definedName name="_xlnm._FilterDatabase" localSheetId="25" hidden="1">up_Irr!$A$1:$BV$1299</definedName>
    <definedName name="_xlnm._FilterDatabase" localSheetId="23" hidden="1">up_RadSpec!$A$1:$BF$1299</definedName>
    <definedName name="_xlnm._FilterDatabase" localSheetId="31" hidden="1">up_rec!$A$1:$AI$1299</definedName>
    <definedName name="_xlnm._FilterDatabase" localSheetId="29" hidden="1">up_res!$A$1:$AP$1299</definedName>
    <definedName name="_xlnm._FilterDatabase" localSheetId="32" hidden="1">up_sgw!$A$1:$I$1299</definedName>
    <definedName name="A_wind" localSheetId="0">[1]d!$B$34</definedName>
    <definedName name="A_wind">d!$B$33</definedName>
    <definedName name="AAF_far_a" localSheetId="14">ss!$K$17</definedName>
    <definedName name="AAF_far_a">d!$K$17</definedName>
    <definedName name="AAF_far_c" localSheetId="14">ss!$K$16</definedName>
    <definedName name="AAF_far_c">d!$K$16</definedName>
    <definedName name="AAF_rec_a" localSheetId="14">ss!$H$17</definedName>
    <definedName name="AAF_rec_a">d!$H$17</definedName>
    <definedName name="AAF_rec_c" localSheetId="14">ss!$H$16</definedName>
    <definedName name="AAF_rec_c">d!$H$16</definedName>
    <definedName name="AAF_res_a">d!$E$17</definedName>
    <definedName name="AAF_res_c">d!$E$16</definedName>
    <definedName name="As" localSheetId="0">[1]d!$B$33</definedName>
    <definedName name="As">d!$B$32</definedName>
    <definedName name="B_wind" localSheetId="0">[1]d!$B$35</definedName>
    <definedName name="B_wind">d!$B$34</definedName>
    <definedName name="C_wind" localSheetId="0">[1]d!$B$36</definedName>
    <definedName name="C_wind">d!$B$35</definedName>
    <definedName name="CF_apple" localSheetId="0">[1]d!$N$2</definedName>
    <definedName name="CF_apple">d!$N$2</definedName>
    <definedName name="CF_asparagus" localSheetId="0">[1]d!$N$3</definedName>
    <definedName name="CF_asparagus">d!$N$3</definedName>
    <definedName name="CF_beet" localSheetId="0">[1]d!$N$4</definedName>
    <definedName name="CF_beet">d!$N$4</definedName>
    <definedName name="CF_berries" localSheetId="0">[1]d!$N$5</definedName>
    <definedName name="CF_berries">d!$N$5</definedName>
    <definedName name="CF_broccoli" localSheetId="0">[1]d!$N$6</definedName>
    <definedName name="CF_broccoli">d!$N$6</definedName>
    <definedName name="CF_cabbage" localSheetId="0">[1]d!$N$7</definedName>
    <definedName name="CF_cabbage">d!$N$7</definedName>
    <definedName name="CF_carrot" localSheetId="0">[1]d!$N$8</definedName>
    <definedName name="CF_carrot">d!$N$8</definedName>
    <definedName name="CF_cereal" localSheetId="0">[1]d!$N$24</definedName>
    <definedName name="CF_cereal">d!$N$25</definedName>
    <definedName name="CF_citrus" localSheetId="0">[1]d!$N$9</definedName>
    <definedName name="CF_citrus">d!$N$9</definedName>
    <definedName name="CF_corn" localSheetId="0">[1]d!$N$10</definedName>
    <definedName name="CF_corn">d!$N$10</definedName>
    <definedName name="CF_cucumber" localSheetId="0">[1]d!$N$11</definedName>
    <definedName name="CF_cucumber">d!$N$11</definedName>
    <definedName name="CF_far_beef" localSheetId="0">[1]d!$Q$2</definedName>
    <definedName name="CF_far_beef">d!$Q$2</definedName>
    <definedName name="CF_far_dairy" localSheetId="0">[1]d!$Q$3</definedName>
    <definedName name="CF_far_dairy">d!$Q$3</definedName>
    <definedName name="CF_far_egg" localSheetId="0">[1]d!$Q$5</definedName>
    <definedName name="CF_far_egg">d!$Q$5</definedName>
    <definedName name="CF_far_fish" localSheetId="0">[1]d!$Q$6</definedName>
    <definedName name="CF_far_fish">d!$Q$6</definedName>
    <definedName name="CF_far_poultry" localSheetId="0">[1]d!$Q$4</definedName>
    <definedName name="CF_far_poultry">d!$Q$4</definedName>
    <definedName name="CF_far_produce">d!$N$2</definedName>
    <definedName name="CF_far_sheep">d!$Q$9</definedName>
    <definedName name="CF_far_shellfish">d!$Q$7</definedName>
    <definedName name="CF_far_swine" localSheetId="0">[1]d!$Q$7</definedName>
    <definedName name="CF_far_swine">d!$Q$8</definedName>
    <definedName name="CF_fowl" localSheetId="0">[1]d!$H$38</definedName>
    <definedName name="CF_fowl">d!$H$40</definedName>
    <definedName name="CF_game" localSheetId="0">[1]d!$H$39</definedName>
    <definedName name="CF_game">d!$H$41</definedName>
    <definedName name="CF_lettuce" localSheetId="0">[1]d!$N$12</definedName>
    <definedName name="CF_lettuce">d!$N$12</definedName>
    <definedName name="CF_lima_bean" localSheetId="0">[1]d!$N$13</definedName>
    <definedName name="CF_lima_bean">d!$N$13</definedName>
    <definedName name="CF_okra" localSheetId="0">[1]d!$N$14</definedName>
    <definedName name="CF_okra">d!$N$14</definedName>
    <definedName name="CF_onion" localSheetId="0">[1]d!$N$15</definedName>
    <definedName name="CF_onion">d!$N$15</definedName>
    <definedName name="CF_peach" localSheetId="0">[1]d!$N$16</definedName>
    <definedName name="CF_peach">d!$N$16</definedName>
    <definedName name="CF_pear" localSheetId="0">[1]d!$N$17</definedName>
    <definedName name="CF_pear">d!$N$17</definedName>
    <definedName name="CF_peas" localSheetId="0">[1]d!$N$18</definedName>
    <definedName name="CF_peas">d!$N$18</definedName>
    <definedName name="CF_peppers" localSheetId="14">ss!$N$19</definedName>
    <definedName name="CF_peppers">d!$N$19</definedName>
    <definedName name="CF_potato" localSheetId="0">[1]d!$N$19</definedName>
    <definedName name="CF_potato">d!$N$20</definedName>
    <definedName name="CF_pumpkin" localSheetId="0">[1]d!$N$20</definedName>
    <definedName name="CF_pumpkin">d!$N$21</definedName>
    <definedName name="CF_res_fish" localSheetId="0">[1]d!$E$29</definedName>
    <definedName name="CF_res_fish">d!$E$31</definedName>
    <definedName name="CF_rice" localSheetId="0">[1]d!$N$25</definedName>
    <definedName name="CF_rice">d!$N$26</definedName>
    <definedName name="CF_snap_bean" localSheetId="0">[1]d!$N$21</definedName>
    <definedName name="CF_snap_bean">d!$N$22</definedName>
    <definedName name="CF_strawberry" localSheetId="0">[1]d!$N$22</definedName>
    <definedName name="CF_strawberry">d!$N$23</definedName>
    <definedName name="CF_tomato" localSheetId="0">[1]d!$N$23</definedName>
    <definedName name="CF_tomato">d!$N$24</definedName>
    <definedName name="d_a">d!$B$23</definedName>
    <definedName name="D_milk" localSheetId="0">[1]d!$Q$43</definedName>
    <definedName name="D_milk">d!$Q$47</definedName>
    <definedName name="d_s">d!$B$24</definedName>
    <definedName name="DAF">d!$B$37</definedName>
    <definedName name="DF_i">d!$K$30</definedName>
    <definedName name="DFA_far_adj" localSheetId="0">[1]d!$K$9</definedName>
    <definedName name="DFA_far_adj">d!$K$9</definedName>
    <definedName name="DFA_rec_adj" localSheetId="0">[1]d!$H$9</definedName>
    <definedName name="DFA_rec_adj">d!$H$9</definedName>
    <definedName name="DFA_res_adj" localSheetId="0">[1]d!$E$9</definedName>
    <definedName name="DFA_res_adj">d!$E$9</definedName>
    <definedName name="DL">d!$B$2</definedName>
    <definedName name="dm">d!$B$25</definedName>
    <definedName name="ED_far" localSheetId="0">[1]d!$K$4</definedName>
    <definedName name="ED_far">d!$K$4</definedName>
    <definedName name="ED_far_a" localSheetId="0">[1]d!$K$3</definedName>
    <definedName name="ED_far_a">d!$K$3</definedName>
    <definedName name="ED_far_c" localSheetId="0">[1]d!$K$2</definedName>
    <definedName name="ED_far_c">d!$K$2</definedName>
    <definedName name="ED_rec" localSheetId="0">[1]d!$H$4</definedName>
    <definedName name="ED_rec">d!$H$4</definedName>
    <definedName name="ED_rec_a" localSheetId="0">[1]d!$H$3</definedName>
    <definedName name="ED_rec_a">d!$H$3</definedName>
    <definedName name="ED_rec_c" localSheetId="0">[1]d!$H$2</definedName>
    <definedName name="ED_rec_c">d!$H$2</definedName>
    <definedName name="ED_res" localSheetId="0">[1]d!$E$4</definedName>
    <definedName name="ED_res">d!$E$4</definedName>
    <definedName name="ED_res_a" localSheetId="0">[1]d!$E$3</definedName>
    <definedName name="ED_res_a">d!$E$3</definedName>
    <definedName name="ED_res_c" localSheetId="0">[1]d!$E$2</definedName>
    <definedName name="ED_res_c">d!$E$2</definedName>
    <definedName name="ED_s2gw">d!$B$18</definedName>
    <definedName name="EF_far" localSheetId="0">[1]d!$K$18</definedName>
    <definedName name="EF_far">d!$K$20</definedName>
    <definedName name="EF_far_a" localSheetId="0">[1]d!$K$17</definedName>
    <definedName name="EF_far_a">d!$K$19</definedName>
    <definedName name="EF_far_c" localSheetId="0">[1]d!$K$16</definedName>
    <definedName name="EF_far_c">d!$K$18</definedName>
    <definedName name="EF_rec" localSheetId="0">[1]d!$H$20</definedName>
    <definedName name="EF_rec">d!$H$22</definedName>
    <definedName name="EF_rec_a" localSheetId="0">[1]d!$H$19</definedName>
    <definedName name="EF_rec_a">d!$H$21</definedName>
    <definedName name="EF_rec_c" localSheetId="0">[1]d!$H$18</definedName>
    <definedName name="EF_rec_c">d!$H$20</definedName>
    <definedName name="EF_res" localSheetId="0">[1]d!$E$19</definedName>
    <definedName name="EF_res">d!$E$21</definedName>
    <definedName name="EF_res_a" localSheetId="0">[1]d!$E$18</definedName>
    <definedName name="EF_res_a">d!$E$20</definedName>
    <definedName name="EF_res_c" localSheetId="0">[1]d!$E$17</definedName>
    <definedName name="EF_res_c">d!$E$19</definedName>
    <definedName name="ET_event_far_a" localSheetId="0">[1]d!$K$23</definedName>
    <definedName name="ET_event_far_a">d!$K$25</definedName>
    <definedName name="ET_event_far_c" localSheetId="0">[1]d!$K$22</definedName>
    <definedName name="ET_event_far_c">d!$K$24</definedName>
    <definedName name="ET_event_rec_a" localSheetId="0">[1]d!$H$25</definedName>
    <definedName name="ET_event_rec_a">d!$H$27</definedName>
    <definedName name="ET_event_rec_c" localSheetId="0">[1]d!$H$24</definedName>
    <definedName name="ET_event_rec_c">d!$H$26</definedName>
    <definedName name="ET_event_res_a" localSheetId="0">[1]d!$E$21</definedName>
    <definedName name="ET_event_res_a">d!$E$23</definedName>
    <definedName name="ET_event_res_c" localSheetId="0">[1]d!$E$20</definedName>
    <definedName name="ET_event_res_c">d!$E$22</definedName>
    <definedName name="ET_far" localSheetId="0">[1]d!$K$21</definedName>
    <definedName name="ET_far">d!$K$23</definedName>
    <definedName name="ET_far_a" localSheetId="0">[1]d!$K$20</definedName>
    <definedName name="ET_far_a">d!$K$22</definedName>
    <definedName name="ET_far_c" localSheetId="0">[1]d!$K$19</definedName>
    <definedName name="ET_far_c">d!$K$21</definedName>
    <definedName name="ET_far_i" localSheetId="0">[1]d!$K$25</definedName>
    <definedName name="ET_far_i">d!$K$27</definedName>
    <definedName name="ET_far_o" localSheetId="0">[1]d!$K$24</definedName>
    <definedName name="ET_far_o">d!$K$26</definedName>
    <definedName name="ET_rec" localSheetId="0">[1]d!$H$21</definedName>
    <definedName name="ET_rec">d!$H$23</definedName>
    <definedName name="ET_rec_a" localSheetId="0">[1]d!$H$23</definedName>
    <definedName name="ET_rec_a">d!$H$25</definedName>
    <definedName name="ET_rec_c" localSheetId="0">[1]d!$H$22</definedName>
    <definedName name="ET_rec_c">d!$H$24</definedName>
    <definedName name="ET_res" localSheetId="0">[1]d!$E$24</definedName>
    <definedName name="ET_res">d!$E$26</definedName>
    <definedName name="ET_res_a" localSheetId="0">[1]d!$E$23</definedName>
    <definedName name="ET_res_a">d!$E$25</definedName>
    <definedName name="ET_res_c" localSheetId="0">[1]d!$E$22</definedName>
    <definedName name="ET_res_c">d!$E$24</definedName>
    <definedName name="ET_res_i" localSheetId="0">[1]d!$E$28</definedName>
    <definedName name="ET_res_i">d!$E$30</definedName>
    <definedName name="ET_res_o" localSheetId="0">[1]d!$E$27</definedName>
    <definedName name="ET_res_o">d!$E$29</definedName>
    <definedName name="EV_far_a" localSheetId="0">[1]d!$K$27</definedName>
    <definedName name="EV_far_a">d!$K$29</definedName>
    <definedName name="EV_far_c" localSheetId="0">[1]d!$K$26</definedName>
    <definedName name="EV_far_c">d!$K$28</definedName>
    <definedName name="EV_rec_a" localSheetId="0">[1]d!$H$27</definedName>
    <definedName name="EV_rec_a">d!$H$29</definedName>
    <definedName name="EV_rec_c" localSheetId="0">[1]d!$H$26</definedName>
    <definedName name="EV_rec_c">d!$H$28</definedName>
    <definedName name="EV_res_a" localSheetId="0">[1]d!$E$26</definedName>
    <definedName name="EV_res_a">d!$E$28</definedName>
    <definedName name="EV_res_c" localSheetId="0">[1]d!$E$25</definedName>
    <definedName name="EV_res_c">d!$E$27</definedName>
    <definedName name="F" localSheetId="0">[1]d!$B$9</definedName>
    <definedName name="F">d!$B$8</definedName>
    <definedName name="f_p_beef" localSheetId="0">[1]d!$Q$51</definedName>
    <definedName name="f_p_beef">d!$Q$55</definedName>
    <definedName name="f_p_dairy" localSheetId="0">[1]d!$Q$46</definedName>
    <definedName name="f_p_dairy">d!$Q$50</definedName>
    <definedName name="f_p_egg">d!$Q$60</definedName>
    <definedName name="f_p_fowl" localSheetId="0">[1]d!$H$30</definedName>
    <definedName name="f_p_fowl">d!$H$32</definedName>
    <definedName name="f_p_game" localSheetId="0">[1]d!$H$35</definedName>
    <definedName name="f_p_game">d!$H$37</definedName>
    <definedName name="f_p_goat">d!$Q$82</definedName>
    <definedName name="f_p_goat_milk">d!$Q$87</definedName>
    <definedName name="f_p_poultry" localSheetId="0">[1]d!$Q$61</definedName>
    <definedName name="f_p_poultry">d!$Q$65</definedName>
    <definedName name="f_p_sheep">d!$Q$77</definedName>
    <definedName name="f_p_sheep_milk">d!$Q$92</definedName>
    <definedName name="f_p_swine" localSheetId="0">[1]d!$Q$66</definedName>
    <definedName name="f_p_swine">d!$Q$70</definedName>
    <definedName name="f_s_beef" localSheetId="0">[1]d!$Q$52</definedName>
    <definedName name="f_s_beef">d!$Q$56</definedName>
    <definedName name="f_s_dairy" localSheetId="0">[1]d!$Q$47</definedName>
    <definedName name="f_s_dairy">d!$Q$51</definedName>
    <definedName name="f_s_egg">d!$Q$61</definedName>
    <definedName name="f_s_fowl" localSheetId="0">[1]d!$H$31</definedName>
    <definedName name="f_s_fowl">d!$H$33</definedName>
    <definedName name="f_s_game" localSheetId="0">[1]d!$H$36</definedName>
    <definedName name="f_s_game">d!$H$38</definedName>
    <definedName name="f_s_goat">d!$Q$83</definedName>
    <definedName name="f_s_goat_milk">d!$Q$88</definedName>
    <definedName name="f_s_poultry" localSheetId="0">[1]d!$Q$62</definedName>
    <definedName name="f_s_poultry">d!$Q$66</definedName>
    <definedName name="f_s_sheep">d!$Q$78</definedName>
    <definedName name="f_s_sheep_milk">d!$Q$93</definedName>
    <definedName name="f_s_swine" localSheetId="0">[1]d!$Q$67</definedName>
    <definedName name="f_s_swine">d!$Q$71</definedName>
    <definedName name="F_x" localSheetId="0">[1]d!$B$30</definedName>
    <definedName name="F_x">d!$B$29</definedName>
    <definedName name="GSF_a" localSheetId="0">[1]d!$B$4</definedName>
    <definedName name="GSF_a">d!$B$4</definedName>
    <definedName name="GSF_i">d!$B$5</definedName>
    <definedName name="GSF_o" localSheetId="0">[1]d!$B$6</definedName>
    <definedName name="i">d!$B$20</definedName>
    <definedName name="I_f" localSheetId="0">[1]d!$B$12</definedName>
    <definedName name="I_f">d!$B$11</definedName>
    <definedName name="i_s2gw">d!$B$20</definedName>
    <definedName name="IFA_far_adj" localSheetId="0">[1]d!$K$8</definedName>
    <definedName name="IFA_far_adj">d!$K$8</definedName>
    <definedName name="IFA_rec_adj" localSheetId="0">[1]d!$H$8</definedName>
    <definedName name="IFA_rec_adj">d!$H$8</definedName>
    <definedName name="IFA_res_adj" localSheetId="0">[1]d!$E$8</definedName>
    <definedName name="IFA_res_adj">d!$E$8</definedName>
    <definedName name="IFAP_far_adj" localSheetId="0">[1]d!$N$28</definedName>
    <definedName name="IFAP_far_adj">d!$N$29</definedName>
    <definedName name="IFAP_res_adj" localSheetId="0">[1]d!$E$32</definedName>
    <definedName name="IFAP_res_adj">d!$E$34</definedName>
    <definedName name="IFAS_far_adj" localSheetId="0">[1]d!$N$31</definedName>
    <definedName name="IFAS_far_adj">d!$N$32</definedName>
    <definedName name="IFAS_res_adj" localSheetId="0">[1]d!$E$35</definedName>
    <definedName name="IFAS_res_adj">d!$E$37</definedName>
    <definedName name="IFB_far_adj" localSheetId="0">[1]d!$Q$14</definedName>
    <definedName name="IFB_far_adj">d!$Q$15</definedName>
    <definedName name="IFBE_far_adj" localSheetId="0">[1]d!$N$37</definedName>
    <definedName name="IFBE_far_adj">d!$N$38</definedName>
    <definedName name="IFBE_res_adj" localSheetId="0">[1]d!$E$41</definedName>
    <definedName name="IFBE_res_adj">d!$E$43</definedName>
    <definedName name="IFBR_far_adj" localSheetId="0">[1]d!$N$40</definedName>
    <definedName name="IFBR_far_adj">d!$N$41</definedName>
    <definedName name="IFBR_res_adj" localSheetId="0">[1]d!$E$44</definedName>
    <definedName name="IFBR_res_adj">d!$E$46</definedName>
    <definedName name="IFBT_far_adj" localSheetId="0">[1]d!$N$34</definedName>
    <definedName name="IFBT_far_adj">d!$N$35</definedName>
    <definedName name="IFBT_res_adj" localSheetId="0">[1]d!$E$38</definedName>
    <definedName name="IFBT_res_adj">d!$E$40</definedName>
    <definedName name="IFCB_far_adj" localSheetId="0">[1]d!$N$43</definedName>
    <definedName name="IFCB_far_adj">d!$N$44</definedName>
    <definedName name="IFCB_res_adj" localSheetId="0">[1]d!$E$47</definedName>
    <definedName name="IFCB_res_adj">d!$E$49</definedName>
    <definedName name="IFCG_far_adj" localSheetId="0">[1]d!$N$49</definedName>
    <definedName name="IFCG_far_adj">d!$N$50</definedName>
    <definedName name="IFCG_res_adj" localSheetId="0">[1]d!$E$53</definedName>
    <definedName name="IFCG_res_adj">d!$E$55</definedName>
    <definedName name="IFCI_far_adj" localSheetId="0">[1]d!$N$52</definedName>
    <definedName name="IFCI_far_adj">d!$N$53</definedName>
    <definedName name="IFCI_res_adj" localSheetId="0">[1]d!$E$56</definedName>
    <definedName name="IFCI_res_adj">d!$E$58</definedName>
    <definedName name="IFCO_far_adj" localSheetId="0">[1]d!$N$55</definedName>
    <definedName name="IFCO_far_adj">d!$N$56</definedName>
    <definedName name="IFCO_res_adj" localSheetId="0">[1]d!$E$59</definedName>
    <definedName name="IFCO_res_adj">d!$E$61</definedName>
    <definedName name="IFCR_far_adj" localSheetId="0">[1]d!$N$46</definedName>
    <definedName name="IFCR_far_adj">d!$N$47</definedName>
    <definedName name="IFCR_res_adj" localSheetId="0">[1]d!$E$50</definedName>
    <definedName name="IFCR_res_adj">d!$E$52</definedName>
    <definedName name="IFCU_far_adj" localSheetId="0">[1]d!$N$58</definedName>
    <definedName name="IFCU_far_adj">d!$N$59</definedName>
    <definedName name="IFCU_res_adj" localSheetId="0">[1]d!$E$62</definedName>
    <definedName name="IFCU_res_adj">d!$E$64</definedName>
    <definedName name="IFD_far_adj" localSheetId="0">[1]d!$Q$17</definedName>
    <definedName name="IFD_far_adj">d!$Q$18</definedName>
    <definedName name="IFE_far_adj" localSheetId="0">[1]d!$Q$20</definedName>
    <definedName name="IFE_far_adj">d!$Q$21</definedName>
    <definedName name="IFFI_far_adj" localSheetId="0">[1]d!$Q$26</definedName>
    <definedName name="IFFI_far_adj">d!$Q$27</definedName>
    <definedName name="IFGM_far_adj">d!$Q$45</definedName>
    <definedName name="IFGO_far_adj">d!$Q$39</definedName>
    <definedName name="IFLE_far_adj" localSheetId="0">[1]d!$N$61</definedName>
    <definedName name="IFLE_far_adj">d!$N$62</definedName>
    <definedName name="IFLE_res_adj" localSheetId="0">[1]d!$E$65</definedName>
    <definedName name="IFLE_res_adj">d!$E$67</definedName>
    <definedName name="IFLI_far_adj" localSheetId="0">[1]d!$N$64</definedName>
    <definedName name="IFLI_far_adj">d!$N$65</definedName>
    <definedName name="IFLI_res_adj" localSheetId="0">[1]d!$E$68</definedName>
    <definedName name="IFLI_res_adj">d!$E$70</definedName>
    <definedName name="IFOK_far_adj" localSheetId="0">[1]d!$N$67</definedName>
    <definedName name="IFOK_far_adj">d!$N$68</definedName>
    <definedName name="IFOK_res_adj" localSheetId="0">[1]d!$E$71</definedName>
    <definedName name="IFOK_res_adj">d!$E$73</definedName>
    <definedName name="IFON_far_adj" localSheetId="0">[1]d!$N$70</definedName>
    <definedName name="IFON_far_adj">d!$N$71</definedName>
    <definedName name="IFON_res_adj" localSheetId="0">[1]d!$E$74</definedName>
    <definedName name="IFON_res_adj">d!$E$76</definedName>
    <definedName name="IFP_far_adj" localSheetId="0">[1]d!$Q$23</definedName>
    <definedName name="IFP_far_adj">d!$Q$24</definedName>
    <definedName name="IFPC_far_adj" localSheetId="0">[1]d!$N$73</definedName>
    <definedName name="IFPC_far_adj">d!$N$74</definedName>
    <definedName name="IFPC_res_adj" localSheetId="0">[1]d!$E$77</definedName>
    <definedName name="IFPC_res_adj">d!$E$79</definedName>
    <definedName name="IFPE_far_adj" localSheetId="0">[1]d!$N$79</definedName>
    <definedName name="IFPE_far_adj">d!$N$80</definedName>
    <definedName name="IFPE_res_adj" localSheetId="0">[1]d!$E$83</definedName>
    <definedName name="IFPE_res_adj">d!$E$88</definedName>
    <definedName name="IFPP_far_adj">d!$N$83</definedName>
    <definedName name="IFPP_res_adj">d!$E$82</definedName>
    <definedName name="IFPR_far_adj" localSheetId="0">[1]d!$N$76</definedName>
    <definedName name="IFPR_far_adj">d!$N$77</definedName>
    <definedName name="IFPR_res_adj" localSheetId="0">[1]d!$E$80</definedName>
    <definedName name="IFPR_res_adj">d!$E$85</definedName>
    <definedName name="IFPT_far_adj" localSheetId="0">[1]d!$N$82</definedName>
    <definedName name="IFPT_far_adj">d!$N$86</definedName>
    <definedName name="IFPT_res_adj" localSheetId="0">[1]d!$E$86</definedName>
    <definedName name="IFPT_res_adj">d!$E$91</definedName>
    <definedName name="IFPU_far_adj" localSheetId="0">[1]d!$N$85</definedName>
    <definedName name="IFPU_far_adj">d!$N$89</definedName>
    <definedName name="IFPU_res_adj" localSheetId="0">[1]d!$E$89</definedName>
    <definedName name="IFPU_res_adj">d!$E$94</definedName>
    <definedName name="IFRI_far_adj" localSheetId="0">[1]d!$N$88</definedName>
    <definedName name="IFRI_far_adj">d!$N$92</definedName>
    <definedName name="IFRI_res_adj" localSheetId="0">[1]d!$E$92</definedName>
    <definedName name="IFRI_res_adj">d!$E$97</definedName>
    <definedName name="IFS_far_adj" localSheetId="0">[1]d!$K$12</definedName>
    <definedName name="IFS_far_adj">d!$K$12</definedName>
    <definedName name="IFS_rec_adj" localSheetId="0">[1]d!$H$12</definedName>
    <definedName name="IFS_rec_adj">d!$H$12</definedName>
    <definedName name="IFS_res_adj" localSheetId="0">[1]d!$E$12</definedName>
    <definedName name="IFS_res_adj">d!$E$12</definedName>
    <definedName name="IFSF_far_adj">d!$Q$30</definedName>
    <definedName name="IFSH_far_adj">d!$Q$36</definedName>
    <definedName name="IFSM_far_adj">d!$Q$42</definedName>
    <definedName name="IFSN_far_adj" localSheetId="0">[1]d!$N$91</definedName>
    <definedName name="IFSN_far_adj">d!$N$95</definedName>
    <definedName name="IFSN_res_adj" localSheetId="0">[1]d!$E$95</definedName>
    <definedName name="IFSN_res_adj">d!$E$100</definedName>
    <definedName name="IFST_far_adj" localSheetId="0">[1]d!$N$94</definedName>
    <definedName name="IFST_far_adj">d!$N$98</definedName>
    <definedName name="IFST_res_adj" localSheetId="0">[1]d!$E$98</definedName>
    <definedName name="IFST_res_adj">d!$E$103</definedName>
    <definedName name="IFSW_far_adj" localSheetId="0">[1]d!$Q$29</definedName>
    <definedName name="IFSW_far_adj">d!$Q$33</definedName>
    <definedName name="IFTO_far_adj" localSheetId="0">[1]d!$N$97</definedName>
    <definedName name="IFTO_far_adj">d!$N$101</definedName>
    <definedName name="IFTO_res_adj" localSheetId="0">[1]d!$E$101</definedName>
    <definedName name="IFTO_res_adj">d!$E$106</definedName>
    <definedName name="IFW_far_adj" localSheetId="0">[1]d!$K$15</definedName>
    <definedName name="IFW_far_adj">d!$K$15</definedName>
    <definedName name="IFW_rec_adj" localSheetId="0">[1]d!$H$15</definedName>
    <definedName name="IFW_rec_adj">d!$H$15</definedName>
    <definedName name="IFW_res_adj" localSheetId="0">[1]d!$E$15</definedName>
    <definedName name="IFW_res_adj">d!$E$15</definedName>
    <definedName name="Ir" localSheetId="0">[1]d!$B$8</definedName>
    <definedName name="Ir">d!$B$7</definedName>
    <definedName name="IRA_far_a" localSheetId="0">[1]d!$K$7</definedName>
    <definedName name="IRA_far_a">d!$K$7</definedName>
    <definedName name="IRA_far_c" localSheetId="0">[1]d!$K$6</definedName>
    <definedName name="IRA_far_c">d!$K$6</definedName>
    <definedName name="IRA_rec_a" localSheetId="0">[1]d!$H$7</definedName>
    <definedName name="IRA_rec_a">d!$H$7</definedName>
    <definedName name="IRA_rec_c" localSheetId="0">[1]d!$H$6</definedName>
    <definedName name="IRA_rec_c">d!$H$6</definedName>
    <definedName name="IRA_res_a" localSheetId="0">[1]d!$E$7</definedName>
    <definedName name="IRA_res_a">d!$E$7</definedName>
    <definedName name="IRA_res_c" localSheetId="0">[1]d!$E$6</definedName>
    <definedName name="IRA_res_c">d!$E$6</definedName>
    <definedName name="IRAP_far_a" localSheetId="0">[1]d!$N$27</definedName>
    <definedName name="IRAP_far_a">d!$N$28</definedName>
    <definedName name="IRAP_far_c" localSheetId="0">[1]d!$N$26</definedName>
    <definedName name="IRAP_far_c">d!$N$27</definedName>
    <definedName name="IRAP_res_a" localSheetId="0">[1]d!$E$31</definedName>
    <definedName name="IRAP_res_a">d!$E$33</definedName>
    <definedName name="IRAP_res_c" localSheetId="0">[1]d!$E$30</definedName>
    <definedName name="IRAP_res_c">d!$E$32</definedName>
    <definedName name="IRAS_far_a" localSheetId="0">[1]d!$N$30</definedName>
    <definedName name="IRAS_far_a">d!$N$31</definedName>
    <definedName name="IRAS_far_c" localSheetId="0">[1]d!$N$29</definedName>
    <definedName name="IRAS_far_c">d!$N$30</definedName>
    <definedName name="IRAS_res_a" localSheetId="0">[1]d!$E$34</definedName>
    <definedName name="IRAS_res_a">d!$E$36</definedName>
    <definedName name="IRAS_res_c" localSheetId="0">[1]d!$E$33</definedName>
    <definedName name="IRAS_res_c">d!$E$35</definedName>
    <definedName name="IRB_far_a" localSheetId="0">[1]d!$Q$13</definedName>
    <definedName name="IRB_far_a">d!$Q$14</definedName>
    <definedName name="IRB_far_c" localSheetId="0">[1]d!$Q$12</definedName>
    <definedName name="IRB_far_c">d!$Q$13</definedName>
    <definedName name="IRBE_far_a" localSheetId="0">[1]d!$N$36</definedName>
    <definedName name="IRBE_far_a">d!$N$37</definedName>
    <definedName name="IRBE_far_c" localSheetId="0">[1]d!$N$35</definedName>
    <definedName name="IRBE_far_c">d!$N$36</definedName>
    <definedName name="IRBE_res_a" localSheetId="0">[1]d!$E$40</definedName>
    <definedName name="IRBE_res_a">d!$E$42</definedName>
    <definedName name="IRBE_res_c" localSheetId="0">[1]d!$E$39</definedName>
    <definedName name="IRBE_res_c">d!$E$41</definedName>
    <definedName name="IRBR_far_a" localSheetId="0">[1]d!$N$39</definedName>
    <definedName name="IRBR_far_a">d!$N$40</definedName>
    <definedName name="IRBR_far_c" localSheetId="0">[1]d!$N$38</definedName>
    <definedName name="IRBR_far_c">d!$N$39</definedName>
    <definedName name="IRBR_res_a" localSheetId="0">[1]d!$E$43</definedName>
    <definedName name="IRBR_res_a">d!$E$45</definedName>
    <definedName name="IRBR_res_c" localSheetId="0">[1]d!$E$42</definedName>
    <definedName name="IRBR_res_c">d!$E$44</definedName>
    <definedName name="IRBT_far_a" localSheetId="0">[1]d!$N$33</definedName>
    <definedName name="IRBT_far_a">d!$N$34</definedName>
    <definedName name="IRBT_far_c" localSheetId="0">[1]d!$N$32</definedName>
    <definedName name="IRBT_far_c">d!$N$33</definedName>
    <definedName name="IRBT_res_a" localSheetId="0">[1]d!$E$37</definedName>
    <definedName name="IRBT_res_a">d!$E$39</definedName>
    <definedName name="IRBT_res_c" localSheetId="0">[1]d!$E$36</definedName>
    <definedName name="IRBT_res_c">d!$E$38</definedName>
    <definedName name="IRCB_far_a" localSheetId="0">[1]d!$N$42</definedName>
    <definedName name="IRCB_far_a">d!$N$43</definedName>
    <definedName name="IRCB_far_c" localSheetId="0">[1]d!$N$41</definedName>
    <definedName name="IRCB_far_c">d!$N$42</definedName>
    <definedName name="IRCB_res_a" localSheetId="0">[1]d!$E$46</definedName>
    <definedName name="IRCB_res_a">d!$E$48</definedName>
    <definedName name="IRCB_res_c" localSheetId="0">[1]d!$E$45</definedName>
    <definedName name="IRCB_res_c">d!$E$47</definedName>
    <definedName name="IRCG_far_a" localSheetId="0">[1]d!$N$48</definedName>
    <definedName name="IRCG_far_a">d!$N$49</definedName>
    <definedName name="IRCG_far_c" localSheetId="0">[1]d!$N$47</definedName>
    <definedName name="IRCG_far_c">d!$N$48</definedName>
    <definedName name="IRCG_res_a" localSheetId="0">[1]d!$E$52</definedName>
    <definedName name="IRCG_res_a">d!$E$54</definedName>
    <definedName name="IRCG_res_c" localSheetId="0">[1]d!$E$51</definedName>
    <definedName name="IRCG_res_c">d!$E$53</definedName>
    <definedName name="IRCI_far_a" localSheetId="0">[1]d!$N$51</definedName>
    <definedName name="IRCI_far_a">d!$N$52</definedName>
    <definedName name="IRCI_far_c" localSheetId="0">[1]d!$N$50</definedName>
    <definedName name="IRCI_far_c">d!$N$51</definedName>
    <definedName name="IRCI_res_a" localSheetId="0">[1]d!$E$55</definedName>
    <definedName name="IRCI_res_a">d!$E$57</definedName>
    <definedName name="IRCI_res_c" localSheetId="0">[1]d!$E$54</definedName>
    <definedName name="IRCI_res_c">d!$E$56</definedName>
    <definedName name="IRCO_far_a" localSheetId="0">[1]d!$N$54</definedName>
    <definedName name="IRCO_far_a">d!$N$55</definedName>
    <definedName name="IRCO_far_c" localSheetId="0">[1]d!$N$53</definedName>
    <definedName name="IRCO_far_c">d!$N$54</definedName>
    <definedName name="IRCO_res_a" localSheetId="0">[1]d!$E$58</definedName>
    <definedName name="IRCO_res_a">d!$E$60</definedName>
    <definedName name="IRCO_res_c" localSheetId="0">[1]d!$E$57</definedName>
    <definedName name="IRCO_res_c">d!$E$59</definedName>
    <definedName name="IRCR_far_a" localSheetId="0">[1]d!$N$45</definedName>
    <definedName name="IRCR_far_a">d!$N$46</definedName>
    <definedName name="IRCR_far_c" localSheetId="0">[1]d!$N$44</definedName>
    <definedName name="IRCR_far_c">d!$N$45</definedName>
    <definedName name="IRCR_res_a" localSheetId="0">[1]d!$E$49</definedName>
    <definedName name="IRCR_res_a">d!$E$51</definedName>
    <definedName name="IRCR_res_c" localSheetId="0">[1]d!$E$48</definedName>
    <definedName name="IRCR_res_c">d!$E$50</definedName>
    <definedName name="IRCU_far_a" localSheetId="0">[1]d!$N$57</definedName>
    <definedName name="IRCU_far_a">d!$N$58</definedName>
    <definedName name="IRCU_far_c" localSheetId="0">[1]d!$N$56</definedName>
    <definedName name="IRCU_far_c">d!$N$57</definedName>
    <definedName name="IRCU_res_a" localSheetId="0">[1]d!$E$61</definedName>
    <definedName name="IRCU_res_a">d!$E$63</definedName>
    <definedName name="IRCU_res_c" localSheetId="0">[1]d!$E$60</definedName>
    <definedName name="IRCU_res_c">d!$E$62</definedName>
    <definedName name="IRD_far_a" localSheetId="0">[1]d!$Q$16</definedName>
    <definedName name="IRD_far_a">d!$Q$17</definedName>
    <definedName name="IRD_far_c" localSheetId="0">[1]d!$Q$15</definedName>
    <definedName name="IRD_far_c">d!$Q$16</definedName>
    <definedName name="IRE_far_a" localSheetId="0">[1]d!$Q$19</definedName>
    <definedName name="IRE_far_a">d!$Q$20</definedName>
    <definedName name="IRE_far_c" localSheetId="0">[1]d!$Q$18</definedName>
    <definedName name="IRE_far_c">d!$Q$19</definedName>
    <definedName name="IRF_res" localSheetId="0">[1]d!$E$16</definedName>
    <definedName name="IRF_res">d!$E$18</definedName>
    <definedName name="IRFI_far_a" localSheetId="0">[1]d!$Q$25</definedName>
    <definedName name="IRFI_far_a">d!$Q$26</definedName>
    <definedName name="IRFI_far_c" localSheetId="0">[1]d!$Q$24</definedName>
    <definedName name="IRFI_far_c">d!$Q$25</definedName>
    <definedName name="IRGF_rec" localSheetId="0">[1]d!$H$17</definedName>
    <definedName name="IRGF_rec">d!$H$19</definedName>
    <definedName name="IRGL_rec" localSheetId="0">[1]d!$H$16</definedName>
    <definedName name="IRGL_rec">d!$H$18</definedName>
    <definedName name="IRGM_far_a" localSheetId="0">[1]d!$Q$40</definedName>
    <definedName name="IRGM_far_a">d!$Q$44</definedName>
    <definedName name="IRGM_far_c" localSheetId="0">[1]d!$Q$39</definedName>
    <definedName name="IRGM_far_c">d!$Q$43</definedName>
    <definedName name="IRGO_far_a" localSheetId="0">[1]d!$Q$34</definedName>
    <definedName name="IRGO_far_a">d!$Q$38</definedName>
    <definedName name="IRGO_far_c" localSheetId="0">[1]d!$Q$33</definedName>
    <definedName name="IRGO_far_c">d!$Q$37</definedName>
    <definedName name="IRLE_far_a" localSheetId="0">[1]d!$N$60</definedName>
    <definedName name="IRLE_far_a">d!$N$61</definedName>
    <definedName name="IRLE_far_c" localSheetId="0">[1]d!$N$59</definedName>
    <definedName name="IRLE_far_c">d!$N$60</definedName>
    <definedName name="IRLE_res_a" localSheetId="0">[1]d!$E$64</definedName>
    <definedName name="IRLE_res_a">d!$E$66</definedName>
    <definedName name="IRLE_res_c" localSheetId="0">[1]d!$E$63</definedName>
    <definedName name="IRLE_res_c">d!$E$65</definedName>
    <definedName name="IRLI_far_a" localSheetId="0">[1]d!$N$63</definedName>
    <definedName name="IRLI_far_a">d!$N$64</definedName>
    <definedName name="IRLI_far_c" localSheetId="0">[1]d!$N$62</definedName>
    <definedName name="IRLI_far_c">d!$N$63</definedName>
    <definedName name="IRLI_res_a" localSheetId="0">[1]d!$E$67</definedName>
    <definedName name="IRLI_res_a">d!$E$69</definedName>
    <definedName name="IRLI_res_c" localSheetId="0">[1]d!$E$66</definedName>
    <definedName name="IRLI_res_c">d!$E$68</definedName>
    <definedName name="IROK_far_a" localSheetId="0">[1]d!$N$66</definedName>
    <definedName name="IROK_far_a">d!$N$67</definedName>
    <definedName name="IROK_far_c" localSheetId="0">[1]d!$N$65</definedName>
    <definedName name="IROK_far_c">d!$N$66</definedName>
    <definedName name="IROK_res_a" localSheetId="0">[1]d!$E$70</definedName>
    <definedName name="IROK_res_a">d!$E$72</definedName>
    <definedName name="IROK_res_c" localSheetId="0">[1]d!$E$69</definedName>
    <definedName name="IROK_res_c">d!$E$71</definedName>
    <definedName name="IRON_far_a" localSheetId="0">[1]d!$N$69</definedName>
    <definedName name="IRON_far_a">d!$N$70</definedName>
    <definedName name="IRON_far_c" localSheetId="0">[1]d!$N$68</definedName>
    <definedName name="IRON_far_c">d!$N$69</definedName>
    <definedName name="IRON_res_a" localSheetId="0">[1]d!$E$73</definedName>
    <definedName name="IRON_res_a">d!$E$75</definedName>
    <definedName name="IRON_res_c" localSheetId="0">[1]d!$E$72</definedName>
    <definedName name="IRON_res_c">d!$E$74</definedName>
    <definedName name="IRP_far_a" localSheetId="0">[1]d!$Q$22</definedName>
    <definedName name="IRP_far_a">d!$Q$23</definedName>
    <definedName name="IRP_far_c" localSheetId="0">[1]d!$Q$21</definedName>
    <definedName name="IRP_far_c">d!$Q$22</definedName>
    <definedName name="IRPC_far_a" localSheetId="0">[1]d!$N$72</definedName>
    <definedName name="IRPC_far_a">d!$N$73</definedName>
    <definedName name="IRPC_far_c" localSheetId="0">[1]d!$N$71</definedName>
    <definedName name="IRPC_far_c">d!$N$72</definedName>
    <definedName name="IRPC_res_a" localSheetId="0">[1]d!$E$76</definedName>
    <definedName name="IRPC_res_a">d!$E$78</definedName>
    <definedName name="IRPC_res_c" localSheetId="0">[1]d!$E$75</definedName>
    <definedName name="IRPC_res_c">d!$E$77</definedName>
    <definedName name="IRPE_far_a" localSheetId="0">[1]d!$N$78</definedName>
    <definedName name="IRPE_far_a">d!$N$79</definedName>
    <definedName name="IRPE_far_c" localSheetId="0">[1]d!$N$77</definedName>
    <definedName name="IRPE_far_c">d!$N$78</definedName>
    <definedName name="IRPE_res_a" localSheetId="0">[1]d!$E$82</definedName>
    <definedName name="IRPE_res_a">d!$E$87</definedName>
    <definedName name="IRPE_res_c" localSheetId="0">[1]d!$E$81</definedName>
    <definedName name="IRPE_res_c">d!$E$86</definedName>
    <definedName name="IRPP_far_a">d!$N$82</definedName>
    <definedName name="IRPP_far_c">d!$N$81</definedName>
    <definedName name="IRPP_res_a">d!$E$81</definedName>
    <definedName name="IRPP_res_c">d!$E$80</definedName>
    <definedName name="IRPR_far_a" localSheetId="0">[1]d!$N$75</definedName>
    <definedName name="IRPR_far_a">d!$N$76</definedName>
    <definedName name="IRPR_far_c" localSheetId="0">[1]d!$N$74</definedName>
    <definedName name="IRPR_far_c">d!$N$75</definedName>
    <definedName name="IRPR_res_a" localSheetId="0">[1]d!$E$79</definedName>
    <definedName name="IRPR_res_a">d!$E$84</definedName>
    <definedName name="IRPR_res_c" localSheetId="0">[1]d!$E$78</definedName>
    <definedName name="IRPR_res_c">d!$E$83</definedName>
    <definedName name="IRPT_far_a" localSheetId="0">[1]d!$N$81</definedName>
    <definedName name="IRPT_far_a">d!$N$85</definedName>
    <definedName name="IRPT_far_c" localSheetId="0">[1]d!$N$80</definedName>
    <definedName name="IRPT_far_c">d!$N$84</definedName>
    <definedName name="IRPT_res_a" localSheetId="0">[1]d!$E$85</definedName>
    <definedName name="IRPT_res_a">d!$E$90</definedName>
    <definedName name="IRPT_res_c" localSheetId="0">[1]d!$E$84</definedName>
    <definedName name="IRPT_res_c">d!$E$89</definedName>
    <definedName name="IRPU_far_a" localSheetId="0">[1]d!$N$84</definedName>
    <definedName name="IRPU_far_a">d!$N$88</definedName>
    <definedName name="IRPU_far_c" localSheetId="0">[1]d!$N$83</definedName>
    <definedName name="IRPU_far_c">d!$N$87</definedName>
    <definedName name="IRPU_res_a" localSheetId="0">[1]d!$E$88</definedName>
    <definedName name="IRPU_res_a">d!$E$93</definedName>
    <definedName name="IRPU_res_c" localSheetId="0">[1]d!$E$87</definedName>
    <definedName name="IRPU_res_c">d!$E$92</definedName>
    <definedName name="IRRI_far_a" localSheetId="0">[1]d!$N$87</definedName>
    <definedName name="IRRI_far_a">d!$N$91</definedName>
    <definedName name="IRRI_far_c" localSheetId="0">[1]d!$N$86</definedName>
    <definedName name="IRRI_far_c">d!$N$90</definedName>
    <definedName name="IRRI_res_a" localSheetId="0">[1]d!$E$91</definedName>
    <definedName name="IRRI_res_a">d!$E$96</definedName>
    <definedName name="IRRI_res_c" localSheetId="0">[1]d!$E$90</definedName>
    <definedName name="IRRI_res_c">d!$E$95</definedName>
    <definedName name="IRS_far_a" localSheetId="0">[1]d!$K$11</definedName>
    <definedName name="IRS_far_a">d!$K$11</definedName>
    <definedName name="IRS_far_c" localSheetId="0">[1]d!$K$10</definedName>
    <definedName name="IRS_far_c">d!$K$10</definedName>
    <definedName name="IRS_rec_a" localSheetId="0">[1]d!$H$11</definedName>
    <definedName name="IRS_rec_a">d!$H$11</definedName>
    <definedName name="IRS_rec_c" localSheetId="0">[1]d!$H$10</definedName>
    <definedName name="IRS_rec_c">d!$H$10</definedName>
    <definedName name="IRS_res_a" localSheetId="0">[1]d!$E$11</definedName>
    <definedName name="IRS_res_a">d!$E$11</definedName>
    <definedName name="IRS_res_c" localSheetId="0">[1]d!$E$10</definedName>
    <definedName name="IRS_res_c">d!$E$10</definedName>
    <definedName name="IRSF_far_a">d!$Q$29</definedName>
    <definedName name="IRSF_far_c">d!$Q$28</definedName>
    <definedName name="IRSH_far_a" localSheetId="0">[1]d!$Q$31</definedName>
    <definedName name="IRSH_far_a">d!$Q$35</definedName>
    <definedName name="IRSH_far_c" localSheetId="0">[1]d!$Q$30</definedName>
    <definedName name="IRSH_far_c">d!$Q$34</definedName>
    <definedName name="IRSM_far_a" localSheetId="0">[1]d!$Q$37</definedName>
    <definedName name="IRSM_far_a">d!$Q$41</definedName>
    <definedName name="IRSM_far_c" localSheetId="0">[1]d!$Q$36</definedName>
    <definedName name="IRSM_far_c">d!$Q$40</definedName>
    <definedName name="IRSN_far_a" localSheetId="0">[1]d!$N$90</definedName>
    <definedName name="IRSN_far_a">d!$N$94</definedName>
    <definedName name="IRSN_far_c" localSheetId="0">[1]d!$N$89</definedName>
    <definedName name="IRSN_far_c">d!$N$93</definedName>
    <definedName name="IRSN_res_a" localSheetId="0">[1]d!$E$94</definedName>
    <definedName name="IRSN_res_a">d!$E$99</definedName>
    <definedName name="IRSN_res_c" localSheetId="0">[1]d!$E$93</definedName>
    <definedName name="IRSN_res_c">d!$E$98</definedName>
    <definedName name="IRST_far_a" localSheetId="0">[1]d!$N$93</definedName>
    <definedName name="IRST_far_a">d!$N$97</definedName>
    <definedName name="IRST_far_c" localSheetId="0">[1]d!$N$92</definedName>
    <definedName name="IRST_far_c">d!$N$96</definedName>
    <definedName name="IRST_res_a" localSheetId="0">[1]d!$E$97</definedName>
    <definedName name="IRST_res_a">d!$E$102</definedName>
    <definedName name="IRST_res_c" localSheetId="0">[1]d!$E$96</definedName>
    <definedName name="IRST_res_c">d!$E$101</definedName>
    <definedName name="IRSW_far_a" localSheetId="0">[1]d!$Q$28</definedName>
    <definedName name="IRSW_far_a">d!$Q$32</definedName>
    <definedName name="IRSW_far_c" localSheetId="0">[1]d!$Q$27</definedName>
    <definedName name="IRSW_far_c">d!$Q$31</definedName>
    <definedName name="IRTO_far_a" localSheetId="0">[1]d!$N$96</definedName>
    <definedName name="IRTO_far_a">d!$N$100</definedName>
    <definedName name="IRTO_far_c" localSheetId="0">[1]d!$N$95</definedName>
    <definedName name="IRTO_far_c">d!$N$99</definedName>
    <definedName name="IRTO_res_a" localSheetId="0">[1]d!$E$100</definedName>
    <definedName name="IRTO_res_a">d!$E$105</definedName>
    <definedName name="IRTO_res_c" localSheetId="0">[1]d!$E$99</definedName>
    <definedName name="IRTO_res_c">d!$E$104</definedName>
    <definedName name="IRW_far_a" localSheetId="0">[1]d!$K$14</definedName>
    <definedName name="IRW_far_a">d!$K$14</definedName>
    <definedName name="IRW_far_c" localSheetId="0">[1]d!$K$13</definedName>
    <definedName name="IRW_far_c">d!$K$13</definedName>
    <definedName name="IRW_rec_a" localSheetId="0">[1]d!$H$14</definedName>
    <definedName name="IRW_rec_a">d!$H$14</definedName>
    <definedName name="IRW_rec_c" localSheetId="0">[1]d!$H$13</definedName>
    <definedName name="IRW_rec_c">d!$H$13</definedName>
    <definedName name="IRW_res_a" localSheetId="0">[1]d!$E$14</definedName>
    <definedName name="IRW_res_a">d!$E$14</definedName>
    <definedName name="IRW_res_c" localSheetId="0">[1]d!$E$13</definedName>
    <definedName name="IRW_res_c">d!$E$13</definedName>
    <definedName name="K" localSheetId="0">[1]d!$B$3</definedName>
    <definedName name="K">d!$B$3</definedName>
    <definedName name="K_s2gw">d!$B$19</definedName>
    <definedName name="L_s2gw">d!$B$22</definedName>
    <definedName name="lambda_HL" localSheetId="0">[1]d!$B$7</definedName>
    <definedName name="lambda_HL">d!$B$6</definedName>
    <definedName name="MLF_apple" localSheetId="0">[1]d!$K$30</definedName>
    <definedName name="MLF_apple">d!$N$102</definedName>
    <definedName name="MLF_asparagus" localSheetId="0">[1]d!$K$31</definedName>
    <definedName name="MLF_asparagus">d!$N$103</definedName>
    <definedName name="MLF_beet" localSheetId="0">[1]d!$K$32</definedName>
    <definedName name="MLF_beet">d!$N$104</definedName>
    <definedName name="MLF_berries" localSheetId="0">[1]d!$K$33</definedName>
    <definedName name="MLF_berries">d!$N$105</definedName>
    <definedName name="MLF_broccoli" localSheetId="0">[1]d!$K$34</definedName>
    <definedName name="MLF_broccoli">d!$N$106</definedName>
    <definedName name="MLF_cabbage" localSheetId="0">[1]d!$K$35</definedName>
    <definedName name="MLF_cabbage">d!$N$107</definedName>
    <definedName name="MLF_carrot" localSheetId="0">[1]d!$K$36</definedName>
    <definedName name="MLF_carrot">d!$N$108</definedName>
    <definedName name="MLF_cereal" localSheetId="0">[1]d!$K$52</definedName>
    <definedName name="MLF_cereal">d!$N$125</definedName>
    <definedName name="MLF_citrus" localSheetId="0">[1]d!$K$37</definedName>
    <definedName name="MLF_citrus">d!$N$109</definedName>
    <definedName name="MLF_corn" localSheetId="0">[1]d!$K$38</definedName>
    <definedName name="MLF_corn">d!$N$110</definedName>
    <definedName name="MLF_cucumber" localSheetId="0">[1]d!$K$39</definedName>
    <definedName name="MLF_cucumber">d!$N$111</definedName>
    <definedName name="MLF_lettuce" localSheetId="0">[1]d!$K$40</definedName>
    <definedName name="MLF_lettuce">d!$N$112</definedName>
    <definedName name="MLF_lima_bean" localSheetId="0">[1]d!$K$41</definedName>
    <definedName name="MLF_lima_bean">d!$N$113</definedName>
    <definedName name="MLF_okra" localSheetId="0">[1]d!$K$42</definedName>
    <definedName name="MLF_okra">d!$N$114</definedName>
    <definedName name="MLF_onion" localSheetId="0">[1]d!$K$43</definedName>
    <definedName name="MLF_onion">d!$N$115</definedName>
    <definedName name="MLF_pasture" localSheetId="0">[1]d!$Q$68</definedName>
    <definedName name="MLF_pasture">d!$Q$72</definedName>
    <definedName name="MLF_peach" localSheetId="0">[1]d!$K$44</definedName>
    <definedName name="MLF_peach">d!$N$116</definedName>
    <definedName name="MLF_pear" localSheetId="0">[1]d!$K$45</definedName>
    <definedName name="MLF_pear">d!$N$117</definedName>
    <definedName name="MLF_peas" localSheetId="0">[1]d!$K$46</definedName>
    <definedName name="MLF_peas">d!$N$118</definedName>
    <definedName name="MLF_peppers">d!$N$119</definedName>
    <definedName name="MLF_potato" localSheetId="0">[1]d!$K$47</definedName>
    <definedName name="MLF_potato">d!$N$120</definedName>
    <definedName name="MLF_pumpkin" localSheetId="0">[1]d!$K$48</definedName>
    <definedName name="MLF_pumpkin">d!$N$121</definedName>
    <definedName name="MLF_rice" localSheetId="0">[1]d!$K$53</definedName>
    <definedName name="MLF_rice">d!$N$126</definedName>
    <definedName name="MLF_snap_bean" localSheetId="0">[1]d!$K$49</definedName>
    <definedName name="MLF_snap_bean">d!$N$122</definedName>
    <definedName name="MLF_strawberry" localSheetId="0">[1]d!$K$50</definedName>
    <definedName name="MLF_strawberry">d!$N$123</definedName>
    <definedName name="MLF_tomato" localSheetId="0">[1]d!$K$51</definedName>
    <definedName name="MLF_tomato">d!$N$124</definedName>
    <definedName name="P" localSheetId="0">[1]d!$B$11</definedName>
    <definedName name="P">d!$B$10</definedName>
    <definedName name="PEF_wind" localSheetId="0">[1]d!$B$27</definedName>
    <definedName name="PEF_wind">d!$B$26</definedName>
    <definedName name="Q_C_wind" localSheetId="0">[1]d!$B$32</definedName>
    <definedName name="Q_C_wind">d!$B$31</definedName>
    <definedName name="Q_p_beef" localSheetId="0">[1]d!$Q$49</definedName>
    <definedName name="Q_p_beef">d!$Q$53</definedName>
    <definedName name="Q_p_dairy" localSheetId="0">[1]d!$Q$44</definedName>
    <definedName name="Q_p_dairy">d!$Q$48</definedName>
    <definedName name="Q_p_egg">d!$Q$58</definedName>
    <definedName name="Q_p_fowl" localSheetId="0">[1]d!$H$28</definedName>
    <definedName name="Q_p_fowl">d!$H$30</definedName>
    <definedName name="Q_p_game" localSheetId="0">[1]d!$H$33</definedName>
    <definedName name="Q_p_game">d!$H$35</definedName>
    <definedName name="Q_p_goat">d!$Q$80</definedName>
    <definedName name="Q_p_goat_milk">d!$Q$85</definedName>
    <definedName name="Q_p_poultry" localSheetId="0">[1]d!$Q$59</definedName>
    <definedName name="Q_p_poultry">d!$Q$63</definedName>
    <definedName name="Q_p_sheep">d!$Q$75</definedName>
    <definedName name="Q_p_sheep_milk">d!$Q$90</definedName>
    <definedName name="Q_p_swine" localSheetId="0">[1]d!$Q$64</definedName>
    <definedName name="Q_p_swine">d!$Q$68</definedName>
    <definedName name="Q_s_beef" localSheetId="0">[1]d!$Q$50</definedName>
    <definedName name="Q_s_beef">d!$Q$54</definedName>
    <definedName name="Q_s_dairy" localSheetId="0">[1]d!$Q$45</definedName>
    <definedName name="Q_s_dairy">d!$Q$49</definedName>
    <definedName name="Q_s_egg">d!$Q$59</definedName>
    <definedName name="Q_s_fowl" localSheetId="0">[1]d!$H$29</definedName>
    <definedName name="Q_s_fowl">d!$H$31</definedName>
    <definedName name="Q_s_game" localSheetId="0">[1]d!$H$34</definedName>
    <definedName name="Q_s_game">d!$H$36</definedName>
    <definedName name="Q_s_poultry" localSheetId="0">[1]d!$Q$60</definedName>
    <definedName name="Q_s_poultry">d!$Q$64</definedName>
    <definedName name="Q_s_sheep">d!$Q$76</definedName>
    <definedName name="Q_s_sheep_milk">d!$Q$91</definedName>
    <definedName name="Q_s_swine" localSheetId="0">[1]d!$Q$65</definedName>
    <definedName name="Q_s_swine">d!$Q$69</definedName>
    <definedName name="Q_w_beef" localSheetId="0">[1]d!$Q$48</definedName>
    <definedName name="Q_w_beef">d!$Q$52</definedName>
    <definedName name="Q_w_dairy" localSheetId="0">[1]d!$Q$42</definedName>
    <definedName name="Q_w_dairy">d!$Q$46</definedName>
    <definedName name="Q_w_egg">d!$Q$57</definedName>
    <definedName name="Q_w_fowl" localSheetId="0">[1]d!$H$32</definedName>
    <definedName name="Q_w_fowl">d!$H$34</definedName>
    <definedName name="Q_w_game" localSheetId="0">[1]d!$H$37</definedName>
    <definedName name="Q_w_game">d!$H$39</definedName>
    <definedName name="Q_w_goat">d!$Q$79</definedName>
    <definedName name="Q_w_goat_milk">d!$Q$84</definedName>
    <definedName name="Q_w_poultry" localSheetId="0">[1]d!$Q$58</definedName>
    <definedName name="Q_w_poultry">d!$Q$62</definedName>
    <definedName name="Q_w_sheep">d!$Q$74</definedName>
    <definedName name="Q_w_sheep_milk">d!$Q$89</definedName>
    <definedName name="Q_w_swine" localSheetId="0">[1]d!$Q$63</definedName>
    <definedName name="Q_w_swine">d!$Q$67</definedName>
    <definedName name="R_es_past" localSheetId="0">[1]d!$Q$69</definedName>
    <definedName name="R_es_past">d!$Q$73</definedName>
    <definedName name="s_A_wind" localSheetId="0">[1]ss!$B$34</definedName>
    <definedName name="s_A_wind">ss!$B$33</definedName>
    <definedName name="s_AAF_far_a">ss!$K$17</definedName>
    <definedName name="s_AAF_far_c">ss!$K$16</definedName>
    <definedName name="s_AAF_rec_a">ss!$H$17</definedName>
    <definedName name="s_AAF_rec_c">ss!$H$16</definedName>
    <definedName name="s_AAF_res_a">ss!$E$17</definedName>
    <definedName name="s_AAF_res_c">ss!$E$16</definedName>
    <definedName name="s_As" localSheetId="0">[1]ss!$B$33</definedName>
    <definedName name="s_As">ss!$B$32</definedName>
    <definedName name="s_B_wind" localSheetId="0">[1]ss!$B$35</definedName>
    <definedName name="s_B_wind">ss!$B$34</definedName>
    <definedName name="s_BW_a">ss!#REF!</definedName>
    <definedName name="s_BW_c">ss!#REF!</definedName>
    <definedName name="s_C" localSheetId="0">[1]ss!$B$38</definedName>
    <definedName name="s_C">ss!$B$37</definedName>
    <definedName name="s_C_wind" localSheetId="0">[1]ss!$B$36</definedName>
    <definedName name="s_C_wind">ss!$B$35</definedName>
    <definedName name="s_CF_apple" localSheetId="0">[1]ss!$N$2</definedName>
    <definedName name="s_CF_apple">ss!$N$2</definedName>
    <definedName name="s_CF_asparagus" localSheetId="0">[1]ss!$N$3</definedName>
    <definedName name="s_CF_asparagus">ss!$N$3</definedName>
    <definedName name="s_CF_beet" localSheetId="0">[1]ss!$N$4</definedName>
    <definedName name="s_CF_beet">ss!$N$4</definedName>
    <definedName name="s_CF_berries" localSheetId="0">[1]ss!$N$5</definedName>
    <definedName name="s_CF_berries">ss!$N$5</definedName>
    <definedName name="s_CF_broccoli" localSheetId="0">[1]ss!$N$6</definedName>
    <definedName name="s_CF_broccoli">ss!$N$6</definedName>
    <definedName name="s_CF_cabbage" localSheetId="0">[1]ss!$N$7</definedName>
    <definedName name="s_CF_cabbage">ss!$N$7</definedName>
    <definedName name="s_CF_carrot" localSheetId="0">[1]ss!$N$8</definedName>
    <definedName name="s_CF_carrot">ss!$N$8</definedName>
    <definedName name="s_CF_cereal" localSheetId="0">[1]ss!$N$24</definedName>
    <definedName name="s_CF_cereal">ss!$N$25</definedName>
    <definedName name="s_CF_citrus" localSheetId="0">[1]ss!$N$9</definedName>
    <definedName name="s_CF_citrus">ss!$N$9</definedName>
    <definedName name="s_CF_corn" localSheetId="0">[1]ss!$N$10</definedName>
    <definedName name="s_CF_corn">ss!$N$10</definedName>
    <definedName name="s_CF_cucumber" localSheetId="0">[1]ss!$N$11</definedName>
    <definedName name="s_CF_cucumber">ss!$N$11</definedName>
    <definedName name="s_CF_far_beef" localSheetId="0">[1]ss!$Q$2</definedName>
    <definedName name="s_CF_far_beef">ss!$Q$2</definedName>
    <definedName name="s_CF_far_dairy" localSheetId="0">[1]ss!$Q$3</definedName>
    <definedName name="s_CF_far_dairy">ss!$Q$3</definedName>
    <definedName name="s_CF_far_egg" localSheetId="0">[1]ss!$Q$5</definedName>
    <definedName name="s_CF_far_egg">ss!$Q$5</definedName>
    <definedName name="s_CF_far_fish" localSheetId="0">[1]ss!$Q$6</definedName>
    <definedName name="s_CF_far_fish">ss!$Q$6</definedName>
    <definedName name="s_CF_far_goat" localSheetId="0">[1]ss!$Q$9</definedName>
    <definedName name="s_CF_far_goat">ss!$Q$10</definedName>
    <definedName name="s_CF_far_goat_milk" localSheetId="0">[1]ss!$Q$11</definedName>
    <definedName name="s_CF_far_goat_milk">ss!$Q$12</definedName>
    <definedName name="s_CF_far_poultry" localSheetId="0">[1]ss!$Q$4</definedName>
    <definedName name="s_CF_far_poultry">ss!$Q$4</definedName>
    <definedName name="s_CF_far_sheep" localSheetId="0">[1]ss!$Q$8</definedName>
    <definedName name="s_CF_far_sheep">ss!$Q$9</definedName>
    <definedName name="s_CF_far_sheep_milk" localSheetId="0">[1]ss!$Q$10</definedName>
    <definedName name="s_CF_far_sheep_milk">ss!$Q$11</definedName>
    <definedName name="s_CF_far_shellfish">ss!$Q$7</definedName>
    <definedName name="s_CF_far_swine" localSheetId="0">[1]ss!$Q$7</definedName>
    <definedName name="s_CF_far_swine">ss!$Q$8</definedName>
    <definedName name="s_CF_fowl" localSheetId="0">[1]ss!$H$38</definedName>
    <definedName name="s_CF_fowl">ss!$H$40</definedName>
    <definedName name="s_CF_game" localSheetId="0">[1]ss!$H$39</definedName>
    <definedName name="s_CF_game">ss!$H$41</definedName>
    <definedName name="s_CF_lettuce" localSheetId="0">[1]ss!$N$12</definedName>
    <definedName name="s_CF_lettuce">ss!$N$12</definedName>
    <definedName name="s_CF_lima_bean" localSheetId="0">[1]ss!$N$13</definedName>
    <definedName name="s_CF_lima_bean">ss!$N$13</definedName>
    <definedName name="s_CF_okra" localSheetId="0">[1]ss!$N$14</definedName>
    <definedName name="s_CF_okra">ss!$N$14</definedName>
    <definedName name="s_CF_onion" localSheetId="0">[1]ss!$N$15</definedName>
    <definedName name="s_CF_onion">ss!$N$15</definedName>
    <definedName name="s_CF_peach" localSheetId="0">[1]ss!$N$16</definedName>
    <definedName name="s_CF_peach">ss!$N$16</definedName>
    <definedName name="s_CF_pear" localSheetId="0">[1]ss!$N$17</definedName>
    <definedName name="s_CF_pear">ss!$N$17</definedName>
    <definedName name="s_CF_peas" localSheetId="0">[1]ss!$N$18</definedName>
    <definedName name="s_CF_peas">ss!$N$18</definedName>
    <definedName name="s_CF_peppers">ss!$N$19</definedName>
    <definedName name="s_CF_potato" localSheetId="0">[1]ss!$N$19</definedName>
    <definedName name="s_CF_potato">ss!$N$20</definedName>
    <definedName name="s_CF_pumpkin" localSheetId="0">[1]ss!$N$20</definedName>
    <definedName name="s_CF_pumpkin">ss!$N$21</definedName>
    <definedName name="s_CF_res_fish" localSheetId="0">[1]ss!$E$29</definedName>
    <definedName name="s_CF_res_fish">ss!$E$31</definedName>
    <definedName name="s_CF_rice" localSheetId="0">[1]ss!$N$25</definedName>
    <definedName name="s_CF_rice">ss!$N$26</definedName>
    <definedName name="s_CF_snap_bean" localSheetId="0">[1]ss!$N$21</definedName>
    <definedName name="s_CF_snap_bean">ss!$N$22</definedName>
    <definedName name="s_CF_strawberry" localSheetId="0">[1]ss!$N$22</definedName>
    <definedName name="s_CF_strawberry">ss!$N$23</definedName>
    <definedName name="s_CF_tomato" localSheetId="0">[1]ss!$N$23</definedName>
    <definedName name="s_CF_tomato">ss!$N$24</definedName>
    <definedName name="s_d_a" localSheetId="0">[1]ss!$B$24</definedName>
    <definedName name="s_d_a">ss!$B$23</definedName>
    <definedName name="s_D_milk" localSheetId="0">[1]ss!$Q$43</definedName>
    <definedName name="s_D_milk">ss!$Q$47</definedName>
    <definedName name="s_d_s" localSheetId="0">[1]ss!$B$25</definedName>
    <definedName name="s_d_s">ss!$B$24</definedName>
    <definedName name="s_DAF">ss!$B$38</definedName>
    <definedName name="s_DF_i">ss!$K$30</definedName>
    <definedName name="s_DFA_far_adj" localSheetId="0">[1]ss!$K$9</definedName>
    <definedName name="s_DFA_far_adj">ss!$K$9</definedName>
    <definedName name="s_DFA_rec_adj" localSheetId="0">[1]ss!$H$9</definedName>
    <definedName name="s_DFA_rec_adj">ss!$H$9</definedName>
    <definedName name="s_DFA_res_adj" localSheetId="0">[1]ss!$E$9</definedName>
    <definedName name="s_DFA_res_adj">ss!$E$9</definedName>
    <definedName name="s_DL">ss!$B$2</definedName>
    <definedName name="s_dm" localSheetId="0">[1]ss!$B$26</definedName>
    <definedName name="s_dm">ss!$B$25</definedName>
    <definedName name="s_ED_far" localSheetId="0">[1]ss!$K$4</definedName>
    <definedName name="s_ED_far">ss!$K$4</definedName>
    <definedName name="s_ED_far_a" localSheetId="0">[1]ss!$K$3</definedName>
    <definedName name="s_ED_far_a">ss!$K$3</definedName>
    <definedName name="s_ED_far_c" localSheetId="0">[1]ss!$K$2</definedName>
    <definedName name="s_ED_far_c">ss!$K$2</definedName>
    <definedName name="s_ED_rec" localSheetId="0">[1]ss!$H$4</definedName>
    <definedName name="s_ED_rec">ss!$H$4</definedName>
    <definedName name="s_ED_rec_a" localSheetId="0">[1]ss!$H$3</definedName>
    <definedName name="s_ED_rec_a">ss!$H$3</definedName>
    <definedName name="s_ED_rec_c" localSheetId="0">[1]ss!$H$2</definedName>
    <definedName name="s_ED_rec_c">ss!$H$2</definedName>
    <definedName name="s_ED_res" localSheetId="0">[1]ss!$E$4</definedName>
    <definedName name="s_ED_res">ss!$E$4</definedName>
    <definedName name="s_ED_res_a" localSheetId="0">[1]ss!$E$3</definedName>
    <definedName name="s_ED_res_a">ss!$E$3</definedName>
    <definedName name="s_ED_res_c" localSheetId="0">[1]ss!$E$2</definedName>
    <definedName name="s_ED_res_c">ss!$E$2</definedName>
    <definedName name="s_ED_s2gw" localSheetId="0">[1]ss!$B$19</definedName>
    <definedName name="s_ED_s2gw">ss!$B$18</definedName>
    <definedName name="s_EF_far" localSheetId="0">[1]ss!$K$18</definedName>
    <definedName name="s_EF_far">ss!$K$20</definedName>
    <definedName name="s_EF_far_a" localSheetId="0">[1]ss!$K$17</definedName>
    <definedName name="s_EF_far_a">ss!$K$19</definedName>
    <definedName name="s_EF_far_c" localSheetId="0">[1]ss!$K$16</definedName>
    <definedName name="s_EF_far_c">ss!$K$18</definedName>
    <definedName name="s_EF_rec" localSheetId="0">[1]ss!$H$20</definedName>
    <definedName name="s_EF_rec">ss!$H$22</definedName>
    <definedName name="s_EF_rec_a" localSheetId="0">[1]ss!$H$19</definedName>
    <definedName name="s_EF_rec_a">ss!$H$21</definedName>
    <definedName name="s_EF_rec_c" localSheetId="0">[1]ss!$H$18</definedName>
    <definedName name="s_EF_rec_c">ss!$H$20</definedName>
    <definedName name="s_EF_res" localSheetId="0">[1]ss!$E$19</definedName>
    <definedName name="s_EF_res">ss!$E$21</definedName>
    <definedName name="s_EF_res_a" localSheetId="0">[1]ss!$E$18</definedName>
    <definedName name="s_EF_res_a">ss!$E$20</definedName>
    <definedName name="s_EF_res_c" localSheetId="0">[1]ss!$E$17</definedName>
    <definedName name="s_EF_res_c">ss!$E$19</definedName>
    <definedName name="s_ET_event_far_a" localSheetId="0">[1]ss!$K$23</definedName>
    <definedName name="s_ET_event_far_a">ss!$K$25</definedName>
    <definedName name="s_ET_event_far_c" localSheetId="0">[1]ss!$K$22</definedName>
    <definedName name="s_ET_event_far_c">ss!$K$24</definedName>
    <definedName name="s_ET_event_rec_a" localSheetId="0">[1]ss!$H$25</definedName>
    <definedName name="s_ET_event_rec_a">ss!$H$27</definedName>
    <definedName name="s_ET_event_rec_c" localSheetId="0">[1]ss!$H$24</definedName>
    <definedName name="s_ET_event_rec_c">ss!$H$26</definedName>
    <definedName name="s_ET_event_res_a" localSheetId="0">[1]ss!$E$21</definedName>
    <definedName name="s_ET_event_res_a">ss!$E$23</definedName>
    <definedName name="s_ET_event_res_c" localSheetId="0">[1]ss!$E$20</definedName>
    <definedName name="s_ET_event_res_c">ss!$E$22</definedName>
    <definedName name="s_ET_far" localSheetId="0">[1]ss!$K$21</definedName>
    <definedName name="s_ET_far">ss!$K$23</definedName>
    <definedName name="s_ET_far_a" localSheetId="0">[1]ss!$K$20</definedName>
    <definedName name="s_ET_far_a">ss!$K$22</definedName>
    <definedName name="s_ET_far_c" localSheetId="0">[1]ss!$K$19</definedName>
    <definedName name="s_ET_far_c">ss!$K$21</definedName>
    <definedName name="s_ET_far_i" localSheetId="0">[1]ss!$K$25</definedName>
    <definedName name="s_ET_far_i">ss!$K$27</definedName>
    <definedName name="s_ET_far_o" localSheetId="0">[1]ss!$K$24</definedName>
    <definedName name="s_ET_far_o">ss!$K$26</definedName>
    <definedName name="s_ET_rec" localSheetId="0">[1]ss!$H$21</definedName>
    <definedName name="s_ET_rec">ss!$H$23</definedName>
    <definedName name="s_ET_rec_a" localSheetId="0">[1]ss!$H$23</definedName>
    <definedName name="s_ET_rec_a">ss!$H$25</definedName>
    <definedName name="s_ET_rec_c" localSheetId="0">[1]ss!$H$22</definedName>
    <definedName name="s_ET_rec_c">ss!$H$24</definedName>
    <definedName name="s_ET_res" localSheetId="0">[1]ss!$E$24</definedName>
    <definedName name="s_ET_res">ss!$E$26</definedName>
    <definedName name="s_ET_res_a" localSheetId="0">[1]ss!$E$23</definedName>
    <definedName name="s_ET_res_a">ss!$E$25</definedName>
    <definedName name="s_ET_res_c" localSheetId="0">[1]ss!$E$22</definedName>
    <definedName name="s_ET_res_c">ss!$E$24</definedName>
    <definedName name="s_ET_res_i" localSheetId="0">[1]ss!$E$28</definedName>
    <definedName name="s_ET_res_i">ss!$E$30</definedName>
    <definedName name="s_ET_res_o" localSheetId="0">[1]ss!$E$27</definedName>
    <definedName name="s_ET_res_o">ss!$E$29</definedName>
    <definedName name="s_EV_far_a" localSheetId="0">[1]ss!$K$27</definedName>
    <definedName name="s_EV_far_a">ss!$K$29</definedName>
    <definedName name="s_EV_far_c" localSheetId="0">[1]ss!$K$26</definedName>
    <definedName name="s_EV_far_c">ss!$K$28</definedName>
    <definedName name="s_EV_rec_a" localSheetId="0">[1]ss!$H$27</definedName>
    <definedName name="s_EV_rec_a">ss!$H$29</definedName>
    <definedName name="s_EV_rec_c" localSheetId="0">[1]ss!$H$26</definedName>
    <definedName name="s_EV_rec_c">ss!$H$28</definedName>
    <definedName name="s_EV_res_a" localSheetId="0">[1]ss!$E$26</definedName>
    <definedName name="s_EV_res_a">ss!$E$28</definedName>
    <definedName name="s_EV_res_c" localSheetId="0">[1]ss!$E$25</definedName>
    <definedName name="s_EV_res_c">ss!$E$27</definedName>
    <definedName name="s_F" localSheetId="0">[1]ss!$B$9</definedName>
    <definedName name="s_F">ss!$B$8</definedName>
    <definedName name="s_f_p_beef" localSheetId="0">[1]ss!$Q$51</definedName>
    <definedName name="s_f_p_beef">ss!$Q$55</definedName>
    <definedName name="s_f_p_dairy" localSheetId="0">[1]ss!$Q$46</definedName>
    <definedName name="s_f_p_dairy">ss!$Q$50</definedName>
    <definedName name="s_f_p_egg" localSheetId="0">[1]ss!$Q$56</definedName>
    <definedName name="s_f_p_egg">ss!$Q$60</definedName>
    <definedName name="s_f_p_fowl" localSheetId="0">[1]ss!$H$30</definedName>
    <definedName name="s_f_p_fowl">ss!$H$32</definedName>
    <definedName name="s_f_p_game" localSheetId="0">[1]ss!$H$35</definedName>
    <definedName name="s_f_p_game">ss!$H$37</definedName>
    <definedName name="s_f_p_goat" localSheetId="0">[1]ss!$Q$78</definedName>
    <definedName name="s_f_p_goat">ss!$Q$82</definedName>
    <definedName name="s_f_p_goat_milk" localSheetId="0">[1]ss!$Q$83</definedName>
    <definedName name="s_f_p_goat_milk">ss!$Q$87</definedName>
    <definedName name="s_f_p_poultry" localSheetId="0">[1]ss!$Q$61</definedName>
    <definedName name="s_f_p_poultry">ss!$Q$65</definedName>
    <definedName name="s_f_p_sheep" localSheetId="0">[1]ss!$Q$73</definedName>
    <definedName name="s_f_p_sheep">ss!$Q$77</definedName>
    <definedName name="s_f_p_sheep_milk" localSheetId="0">[1]ss!$Q$88</definedName>
    <definedName name="s_f_p_sheep_milk">ss!$Q$92</definedName>
    <definedName name="s_f_p_swine" localSheetId="0">[1]ss!$Q$66</definedName>
    <definedName name="s_f_p_swine">ss!$Q$70</definedName>
    <definedName name="s_f_s_beef" localSheetId="0">[1]ss!$Q$52</definedName>
    <definedName name="s_f_s_beef">ss!$Q$56</definedName>
    <definedName name="s_f_s_dairy" localSheetId="0">[1]ss!$Q$47</definedName>
    <definedName name="s_f_s_dairy">ss!$Q$51</definedName>
    <definedName name="s_f_s_egg" localSheetId="0">[1]ss!$Q$57</definedName>
    <definedName name="s_f_s_egg">ss!$Q$61</definedName>
    <definedName name="s_f_s_fowl" localSheetId="0">[1]ss!$H$31</definedName>
    <definedName name="s_f_s_fowl">ss!$H$33</definedName>
    <definedName name="s_f_s_game" localSheetId="0">[1]ss!$H$36</definedName>
    <definedName name="s_f_s_game">ss!$H$38</definedName>
    <definedName name="s_f_s_goat" localSheetId="0">[1]ss!$Q$79</definedName>
    <definedName name="s_f_s_goat">ss!$Q$83</definedName>
    <definedName name="s_f_s_goat_milk" localSheetId="0">[1]ss!$Q$84</definedName>
    <definedName name="s_f_s_goat_milk">ss!$Q$88</definedName>
    <definedName name="s_f_s_poultry" localSheetId="0">[1]ss!$Q$62</definedName>
    <definedName name="s_f_s_poultry">ss!$Q$66</definedName>
    <definedName name="s_f_s_sheep" localSheetId="0">[1]ss!$Q$74</definedName>
    <definedName name="s_f_s_sheep">ss!$Q$78</definedName>
    <definedName name="s_f_s_sheep_milk" localSheetId="0">[1]ss!$Q$89</definedName>
    <definedName name="s_f_s_sheep_milk">ss!$Q$93</definedName>
    <definedName name="s_f_s_swine" localSheetId="0">[1]ss!$Q$67</definedName>
    <definedName name="s_f_s_swine">ss!$Q$71</definedName>
    <definedName name="s_F_x" localSheetId="0">[1]ss!$B$30</definedName>
    <definedName name="s_F_x">ss!$B$29</definedName>
    <definedName name="s_GSF_a" localSheetId="0">[1]ss!$B$4</definedName>
    <definedName name="s_GSF_a">ss!$B$4</definedName>
    <definedName name="s_GSF_i">ss!$B$5</definedName>
    <definedName name="s_GSF_o" localSheetId="0">[1]ss!$B$6</definedName>
    <definedName name="s_GSF_o">ss!#REF!</definedName>
    <definedName name="s_I_f" localSheetId="0">[1]ss!$B$12</definedName>
    <definedName name="s_I_f">ss!$B$11</definedName>
    <definedName name="s_i_s2gw" localSheetId="0">[1]ss!$B$21</definedName>
    <definedName name="s_i_s2gw">ss!$B$20</definedName>
    <definedName name="s_IFA_far_adj" localSheetId="0">[1]ss!$K$8</definedName>
    <definedName name="s_IFA_far_adj">ss!$K$8</definedName>
    <definedName name="s_IFA_rec_adj" localSheetId="0">[1]ss!$H$8</definedName>
    <definedName name="s_IFA_rec_adj">ss!$H$8</definedName>
    <definedName name="s_IFA_res_adj" localSheetId="0">[1]ss!$E$8</definedName>
    <definedName name="s_IFA_res_adj">ss!$E$8</definedName>
    <definedName name="s_IFAP_far_adj" localSheetId="0">[1]ss!$N$28</definedName>
    <definedName name="s_IFAP_far_adj">ss!$N$29</definedName>
    <definedName name="s_IFAP_res_adj" localSheetId="0">[1]ss!$E$32</definedName>
    <definedName name="s_IFAP_res_adj">ss!$E$34</definedName>
    <definedName name="s_IFAS_far_adj" localSheetId="0">[1]ss!$N$31</definedName>
    <definedName name="s_IFAS_far_adj">ss!$N$32</definedName>
    <definedName name="s_IFAS_res_adj" localSheetId="0">[1]ss!$E$35</definedName>
    <definedName name="s_IFAS_res_adj">ss!$E$37</definedName>
    <definedName name="s_IFB_far_adj" localSheetId="0">[1]ss!$Q$14</definedName>
    <definedName name="s_IFB_far_adj">ss!$Q$15</definedName>
    <definedName name="s_IFBE_far_adj" localSheetId="0">[1]ss!$N$37</definedName>
    <definedName name="s_IFBE_far_adj">ss!$N$38</definedName>
    <definedName name="s_IFBE_res_adj" localSheetId="0">[1]ss!$E$41</definedName>
    <definedName name="s_IFBE_res_adj">ss!$E$43</definedName>
    <definedName name="s_IFBR_far_adj" localSheetId="0">[1]ss!$N$40</definedName>
    <definedName name="s_IFBR_far_adj">ss!$N$41</definedName>
    <definedName name="s_IFBR_res_adj" localSheetId="0">[1]ss!$E$44</definedName>
    <definedName name="s_IFBR_res_adj">ss!$E$46</definedName>
    <definedName name="s_IFBT_far_adj" localSheetId="0">[1]ss!$N$34</definedName>
    <definedName name="s_IFBT_far_adj">ss!$N$35</definedName>
    <definedName name="s_IFBT_res_adj" localSheetId="0">[1]ss!$E$38</definedName>
    <definedName name="s_IFBT_res_adj">ss!$E$40</definedName>
    <definedName name="s_IFCB_far_adj" localSheetId="0">[1]ss!$N$43</definedName>
    <definedName name="s_IFCB_far_adj">ss!$N$44</definedName>
    <definedName name="s_IFCB_res_adj" localSheetId="0">[1]ss!$E$47</definedName>
    <definedName name="s_IFCB_res_adj">ss!$E$49</definedName>
    <definedName name="s_IFCG_far_adj" localSheetId="0">[1]ss!$N$49</definedName>
    <definedName name="s_IFCG_far_adj">ss!$N$50</definedName>
    <definedName name="s_IFCG_res_adj" localSheetId="0">[1]ss!$E$53</definedName>
    <definedName name="s_IFCG_res_adj">ss!$E$55</definedName>
    <definedName name="s_IFCI_far_adj" localSheetId="0">[1]ss!$N$52</definedName>
    <definedName name="s_IFCI_far_adj">ss!$N$53</definedName>
    <definedName name="s_IFCI_res_adj" localSheetId="0">[1]ss!$E$56</definedName>
    <definedName name="s_IFCI_res_adj">ss!$E$58</definedName>
    <definedName name="s_IFCO_far_adj" localSheetId="0">[1]ss!$N$55</definedName>
    <definedName name="s_IFCO_far_adj">ss!$N$56</definedName>
    <definedName name="s_IFCO_res_adj" localSheetId="0">[1]ss!$E$59</definedName>
    <definedName name="s_IFCO_res_adj">ss!$E$61</definedName>
    <definedName name="s_IFCR_far_adj" localSheetId="0">[1]ss!$N$46</definedName>
    <definedName name="s_IFCR_far_adj">ss!$N$47</definedName>
    <definedName name="s_IFCR_res_adj" localSheetId="0">[1]ss!$E$50</definedName>
    <definedName name="s_IFCR_res_adj">ss!$E$52</definedName>
    <definedName name="s_IFCU_far_adj" localSheetId="0">[1]ss!$N$58</definedName>
    <definedName name="s_IFCU_far_adj">ss!$N$59</definedName>
    <definedName name="s_IFCU_res_adj" localSheetId="0">[1]ss!$E$62</definedName>
    <definedName name="s_IFCU_res_adj">ss!$E$64</definedName>
    <definedName name="s_IFD_far_adj" localSheetId="0">[1]ss!$Q$17</definedName>
    <definedName name="s_IFD_far_adj">ss!$Q$18</definedName>
    <definedName name="s_IFE_far_adj" localSheetId="0">[1]ss!$Q$20</definedName>
    <definedName name="s_IFE_far_adj">ss!$Q$21</definedName>
    <definedName name="s_IFFI_far_adj" localSheetId="0">[1]ss!$Q$26</definedName>
    <definedName name="s_IFFI_far_adj">ss!$Q$27</definedName>
    <definedName name="s_IFGM_far_adj" localSheetId="0">[1]ss!$Q$41</definedName>
    <definedName name="s_IFGM_far_adj">ss!$Q$45</definedName>
    <definedName name="s_IFGO_far_adj" localSheetId="0">[1]ss!$Q$35</definedName>
    <definedName name="s_IFGO_far_adj">ss!$Q$39</definedName>
    <definedName name="s_IFLE_far_adj" localSheetId="0">[1]ss!$N$61</definedName>
    <definedName name="s_IFLE_far_adj">ss!$N$62</definedName>
    <definedName name="s_IFLE_res_adj" localSheetId="0">[1]ss!$E$65</definedName>
    <definedName name="s_IFLE_res_adj">ss!$E$67</definedName>
    <definedName name="s_IFLI_far_adj" localSheetId="0">[1]ss!$N$64</definedName>
    <definedName name="s_IFLI_far_adj">ss!$N$65</definedName>
    <definedName name="s_IFLI_res_adj" localSheetId="0">[1]ss!$E$68</definedName>
    <definedName name="s_IFLI_res_adj">ss!$E$70</definedName>
    <definedName name="s_IFOK_far_adj" localSheetId="0">[1]ss!$N$67</definedName>
    <definedName name="s_IFOK_far_adj">ss!$N$68</definedName>
    <definedName name="s_IFOK_res_adj" localSheetId="0">[1]ss!$E$71</definedName>
    <definedName name="s_IFOK_res_adj">ss!$E$73</definedName>
    <definedName name="s_IFON_far_adj" localSheetId="0">[1]ss!$N$70</definedName>
    <definedName name="s_IFON_far_adj">ss!$N$71</definedName>
    <definedName name="s_IFON_res_adj" localSheetId="0">[1]ss!$E$74</definedName>
    <definedName name="s_IFON_res_adj">ss!$E$76</definedName>
    <definedName name="s_IFP_far_adj" localSheetId="0">[1]ss!$Q$23</definedName>
    <definedName name="s_IFP_far_adj">ss!$Q$24</definedName>
    <definedName name="s_IFPC_far_adj" localSheetId="0">[1]ss!$N$73</definedName>
    <definedName name="s_IFPC_far_adj">ss!$N$74</definedName>
    <definedName name="s_IFPC_res_adj" localSheetId="0">[1]ss!$E$77</definedName>
    <definedName name="s_IFPC_res_adj">ss!$E$79</definedName>
    <definedName name="s_IFPE_far_adj" localSheetId="0">[1]ss!$N$79</definedName>
    <definedName name="s_IFPE_far_adj">ss!$N$83</definedName>
    <definedName name="s_IFPE_res_adj" localSheetId="0">[1]ss!$E$83</definedName>
    <definedName name="s_IFPE_res_adj">ss!$E$88</definedName>
    <definedName name="s_IFPP_far_adj">ss!$N$77</definedName>
    <definedName name="s_IFPP_res_adj">ss!$E$82</definedName>
    <definedName name="s_IFPR_far_adj" localSheetId="0">[1]ss!$N$76</definedName>
    <definedName name="s_IFPR_far_adj">ss!$N$80</definedName>
    <definedName name="s_IFPR_res_adj" localSheetId="0">[1]ss!$E$80</definedName>
    <definedName name="s_IFPR_res_adj">ss!$E$85</definedName>
    <definedName name="s_IFPT_far_adj" localSheetId="0">[1]ss!$N$82</definedName>
    <definedName name="s_IFPT_far_adj">ss!$N$86</definedName>
    <definedName name="s_IFPT_res_adj" localSheetId="0">[1]ss!$E$86</definedName>
    <definedName name="s_IFPT_res_adj">ss!$E$91</definedName>
    <definedName name="s_IFPU_far_adj" localSheetId="0">[1]ss!$N$85</definedName>
    <definedName name="s_IFPU_far_adj">ss!$N$89</definedName>
    <definedName name="s_IFPU_res_adj" localSheetId="0">[1]ss!$E$89</definedName>
    <definedName name="s_IFPU_res_adj">ss!$E$94</definedName>
    <definedName name="s_IFRI_far_adj" localSheetId="0">[1]ss!$N$88</definedName>
    <definedName name="s_IFRI_far_adj">ss!$N$92</definedName>
    <definedName name="s_IFRI_res_adj" localSheetId="0">[1]ss!$E$92</definedName>
    <definedName name="s_IFRI_res_adj">ss!$E$97</definedName>
    <definedName name="s_IFS_far_adj" localSheetId="0">[1]ss!$K$12</definedName>
    <definedName name="s_IFS_far_adj">ss!$K$12</definedName>
    <definedName name="s_IFS_rec_adj" localSheetId="0">[1]ss!$H$12</definedName>
    <definedName name="s_IFS_rec_adj">ss!$H$12</definedName>
    <definedName name="s_IFS_res_adj" localSheetId="0">[1]ss!$E$12</definedName>
    <definedName name="s_IFS_res_adj">ss!$E$12</definedName>
    <definedName name="s_IFSF_far_adj">ss!$Q$30</definedName>
    <definedName name="s_IFSH_far_adj" localSheetId="0">[1]ss!$Q$32</definedName>
    <definedName name="s_IFSH_far_adj">ss!$Q$36</definedName>
    <definedName name="s_IFSM_far_adj" localSheetId="0">[1]ss!$Q$38</definedName>
    <definedName name="s_IFSM_far_adj">ss!$Q$42</definedName>
    <definedName name="s_IFSN_far_adj" localSheetId="0">[1]ss!$N$91</definedName>
    <definedName name="s_IFSN_far_adj">ss!$N$95</definedName>
    <definedName name="s_IFSN_res_adj" localSheetId="0">[1]ss!$E$95</definedName>
    <definedName name="s_IFSN_res_adj">ss!$E$100</definedName>
    <definedName name="s_IFST_far_adj" localSheetId="0">[1]ss!$N$94</definedName>
    <definedName name="s_IFST_far_adj">ss!$N$98</definedName>
    <definedName name="s_IFST_res_adj" localSheetId="0">[1]ss!$E$98</definedName>
    <definedName name="s_IFST_res_adj">ss!$E$103</definedName>
    <definedName name="s_IFSW_far_adj" localSheetId="0">[1]ss!$Q$29</definedName>
    <definedName name="s_IFSW_far_adj">ss!$Q$33</definedName>
    <definedName name="s_IFTO_far_adj" localSheetId="0">[1]ss!$N$97</definedName>
    <definedName name="s_IFTO_far_adj">ss!$N$101</definedName>
    <definedName name="s_IFTO_res_adj" localSheetId="0">[1]ss!$E$101</definedName>
    <definedName name="s_IFTO_res_adj">ss!$E$106</definedName>
    <definedName name="s_IFW_far_adj" localSheetId="0">[1]ss!$K$15</definedName>
    <definedName name="s_IFW_far_adj">ss!$K$15</definedName>
    <definedName name="s_IFW_rec_adj" localSheetId="0">[1]ss!$H$15</definedName>
    <definedName name="s_IFW_rec_adj">ss!$H$15</definedName>
    <definedName name="s_IFW_res_adj" localSheetId="0">[1]ss!$E$15</definedName>
    <definedName name="s_IFW_res_adj">ss!$E$15</definedName>
    <definedName name="s_Ir" localSheetId="0">[1]ss!$B$8</definedName>
    <definedName name="s_Ir">ss!$B$7</definedName>
    <definedName name="s_IRA_far_a" localSheetId="0">[1]ss!$K$7</definedName>
    <definedName name="s_IRA_far_a">ss!$K$7</definedName>
    <definedName name="s_IRA_far_c" localSheetId="0">[1]ss!$K$6</definedName>
    <definedName name="s_IRA_far_c">ss!$K$6</definedName>
    <definedName name="s_IRA_rec_a" localSheetId="0">[1]ss!$H$7</definedName>
    <definedName name="s_IRA_rec_a">ss!$H$7</definedName>
    <definedName name="s_IRA_rec_c" localSheetId="0">[1]ss!$H$6</definedName>
    <definedName name="s_IRA_rec_c">ss!$H$6</definedName>
    <definedName name="s_IRA_res_a" localSheetId="0">[1]ss!$E$7</definedName>
    <definedName name="s_IRA_res_a">ss!$E$7</definedName>
    <definedName name="s_IRA_res_c" localSheetId="0">[1]ss!$E$6</definedName>
    <definedName name="s_IRA_res_c">ss!$E$6</definedName>
    <definedName name="s_IRAP_far_a" localSheetId="0">[1]ss!$N$27</definedName>
    <definedName name="s_IRAP_far_a">ss!$N$28</definedName>
    <definedName name="s_IRAP_far_c" localSheetId="0">[1]ss!$N$26</definedName>
    <definedName name="s_IRAP_far_c">ss!$N$27</definedName>
    <definedName name="s_IRAP_res_a" localSheetId="0">[1]ss!$E$31</definedName>
    <definedName name="s_IRAP_res_a">ss!$E$33</definedName>
    <definedName name="s_IRAP_res_c" localSheetId="0">[1]ss!$E$30</definedName>
    <definedName name="s_IRAP_res_c">ss!$E$32</definedName>
    <definedName name="s_IRAS_far_a" localSheetId="0">[1]ss!$N$30</definedName>
    <definedName name="s_IRAS_far_a">ss!$N$31</definedName>
    <definedName name="s_IRAS_far_c" localSheetId="0">[1]ss!$N$29</definedName>
    <definedName name="s_IRAS_far_c">ss!$N$30</definedName>
    <definedName name="s_IRAS_res_a" localSheetId="0">[1]ss!$E$34</definedName>
    <definedName name="s_IRAS_res_a">ss!$E$36</definedName>
    <definedName name="s_IRAS_res_c" localSheetId="0">[1]ss!$E$33</definedName>
    <definedName name="s_IRAS_res_c">ss!$E$35</definedName>
    <definedName name="s_IRB_far_a" localSheetId="0">[1]ss!$Q$13</definedName>
    <definedName name="s_IRB_far_a">ss!$Q$14</definedName>
    <definedName name="s_IRB_far_c" localSheetId="0">[1]ss!$Q$12</definedName>
    <definedName name="s_IRB_far_c">ss!$Q$13</definedName>
    <definedName name="s_IRBE_far_a" localSheetId="0">[1]ss!$N$36</definedName>
    <definedName name="s_IRBE_far_a">ss!$N$37</definedName>
    <definedName name="s_IRBE_far_c" localSheetId="0">[1]ss!$N$35</definedName>
    <definedName name="s_IRBE_far_c">ss!$N$36</definedName>
    <definedName name="s_IRBE_res_a" localSheetId="0">[1]ss!$E$40</definedName>
    <definedName name="s_IRBE_res_a">ss!$E$42</definedName>
    <definedName name="s_IRBE_res_c" localSheetId="0">[1]ss!$E$39</definedName>
    <definedName name="s_IRBE_res_c">ss!$E$41</definedName>
    <definedName name="s_IRBR_far_a" localSheetId="0">[1]ss!$N$39</definedName>
    <definedName name="s_IRBR_far_a">ss!$N$40</definedName>
    <definedName name="s_IRBR_far_c" localSheetId="0">[1]ss!$N$38</definedName>
    <definedName name="s_IRBR_far_c">ss!$N$39</definedName>
    <definedName name="s_IRBR_res_a" localSheetId="0">[1]ss!$E$43</definedName>
    <definedName name="s_IRBR_res_a">ss!$E$45</definedName>
    <definedName name="s_IRBR_res_c" localSheetId="0">[1]ss!$E$42</definedName>
    <definedName name="s_IRBR_res_c">ss!$E$44</definedName>
    <definedName name="s_IRBT_far_a" localSheetId="0">[1]ss!$N$33</definedName>
    <definedName name="s_IRBT_far_a">ss!$N$34</definedName>
    <definedName name="s_IRBT_far_c" localSheetId="0">[1]ss!$N$32</definedName>
    <definedName name="s_IRBT_far_c">ss!$N$33</definedName>
    <definedName name="s_IRBT_res_a" localSheetId="0">[1]ss!$E$37</definedName>
    <definedName name="s_IRBT_res_a">ss!$E$39</definedName>
    <definedName name="s_IRBT_res_c" localSheetId="0">[1]ss!$E$36</definedName>
    <definedName name="s_IRBT_res_c">ss!$E$38</definedName>
    <definedName name="s_IRCB_far_a" localSheetId="0">[1]ss!$N$42</definedName>
    <definedName name="s_IRCB_far_a">ss!$N$43</definedName>
    <definedName name="s_IRCB_far_c" localSheetId="0">[1]ss!$N$41</definedName>
    <definedName name="s_IRCB_far_c">ss!$N$42</definedName>
    <definedName name="s_IRCB_res_a" localSheetId="0">[1]ss!$E$46</definedName>
    <definedName name="s_IRCB_res_a">ss!$E$48</definedName>
    <definedName name="s_IRCB_res_c" localSheetId="0">[1]ss!$E$45</definedName>
    <definedName name="s_IRCB_res_c">ss!$E$47</definedName>
    <definedName name="s_IRCG_far_a" localSheetId="0">[1]ss!$N$48</definedName>
    <definedName name="s_IRCG_far_a">ss!$N$49</definedName>
    <definedName name="s_IRCG_far_c" localSheetId="0">[1]ss!$N$47</definedName>
    <definedName name="s_IRCG_far_c">ss!$N$48</definedName>
    <definedName name="s_IRCG_res_a" localSheetId="0">[1]ss!$E$52</definedName>
    <definedName name="s_IRCG_res_a">ss!$E$54</definedName>
    <definedName name="s_IRCG_res_c" localSheetId="0">[1]ss!$E$51</definedName>
    <definedName name="s_IRCG_res_c">ss!$E$53</definedName>
    <definedName name="s_IRCI_far_a" localSheetId="0">[1]ss!$N$51</definedName>
    <definedName name="s_IRCI_far_a">ss!$N$52</definedName>
    <definedName name="s_IRCI_far_c" localSheetId="0">[1]ss!$N$50</definedName>
    <definedName name="s_IRCI_far_c">ss!$N$51</definedName>
    <definedName name="s_IRCI_res_a" localSheetId="0">[1]ss!$E$55</definedName>
    <definedName name="s_IRCI_res_a">ss!$E$57</definedName>
    <definedName name="s_IRCI_res_c" localSheetId="0">[1]ss!$E$54</definedName>
    <definedName name="s_IRCI_res_c">ss!$E$56</definedName>
    <definedName name="s_IRCO_far_a" localSheetId="0">[1]ss!$N$54</definedName>
    <definedName name="s_IRCO_far_a">ss!$N$55</definedName>
    <definedName name="s_IRCO_far_c" localSheetId="0">[1]ss!$N$53</definedName>
    <definedName name="s_IRCO_far_c">ss!$N$54</definedName>
    <definedName name="s_IRCO_res_a" localSheetId="0">[1]ss!$E$58</definedName>
    <definedName name="s_IRCO_res_a">ss!$E$60</definedName>
    <definedName name="s_IRCO_res_c" localSheetId="0">[1]ss!$E$57</definedName>
    <definedName name="s_IRCO_res_c">ss!$E$59</definedName>
    <definedName name="s_IRCR_far_a" localSheetId="0">[1]ss!$N$45</definedName>
    <definedName name="s_IRCR_far_a">ss!$N$46</definedName>
    <definedName name="s_IRCR_far_c" localSheetId="0">[1]ss!$N$44</definedName>
    <definedName name="s_IRCR_far_c">ss!$N$45</definedName>
    <definedName name="s_IRCR_res_a" localSheetId="0">[1]ss!$E$49</definedName>
    <definedName name="s_IRCR_res_a">ss!$E$51</definedName>
    <definedName name="s_IRCR_res_c" localSheetId="0">[1]ss!$E$48</definedName>
    <definedName name="s_IRCR_res_c">ss!$E$50</definedName>
    <definedName name="s_IRCU_far_a" localSheetId="0">[1]ss!$N$57</definedName>
    <definedName name="s_IRCU_far_a">ss!$N$58</definedName>
    <definedName name="s_IRCU_far_c" localSheetId="0">[1]ss!$N$56</definedName>
    <definedName name="s_IRCU_far_c">ss!$N$57</definedName>
    <definedName name="s_IRCU_res_a" localSheetId="0">[1]ss!$E$61</definedName>
    <definedName name="s_IRCU_res_a">ss!$E$63</definedName>
    <definedName name="s_IRCU_res_c" localSheetId="0">[1]ss!$E$60</definedName>
    <definedName name="s_IRCU_res_c">ss!$E$62</definedName>
    <definedName name="s_IRD_far_a" localSheetId="0">[1]ss!$Q$16</definedName>
    <definedName name="s_IRD_far_a">ss!$Q$17</definedName>
    <definedName name="s_IRD_far_c" localSheetId="0">[1]ss!$Q$15</definedName>
    <definedName name="s_IRD_far_c">ss!$Q$16</definedName>
    <definedName name="s_IRE_far_a" localSheetId="0">[1]ss!$Q$19</definedName>
    <definedName name="s_IRE_far_a">ss!$Q$20</definedName>
    <definedName name="s_IRE_far_c" localSheetId="0">[1]ss!$Q$18</definedName>
    <definedName name="s_IRE_far_c">ss!$Q$19</definedName>
    <definedName name="s_IRF_res" localSheetId="0">[1]ss!$E$16</definedName>
    <definedName name="s_IRF_res">ss!$E$18</definedName>
    <definedName name="s_IRFI_far_a" localSheetId="0">[1]ss!$Q$25</definedName>
    <definedName name="s_IRFI_far_a">ss!$Q$26</definedName>
    <definedName name="s_IRFI_far_c" localSheetId="0">[1]ss!$Q$24</definedName>
    <definedName name="s_IRFI_far_c">ss!$Q$25</definedName>
    <definedName name="s_IRGF_rec" localSheetId="0">[1]ss!$H$17</definedName>
    <definedName name="s_IRGF_rec">ss!$H$19</definedName>
    <definedName name="s_IRGL_rec" localSheetId="0">[1]ss!$H$16</definedName>
    <definedName name="s_IRGL_rec">ss!$H$18</definedName>
    <definedName name="s_IRGM_far_a" localSheetId="0">[1]ss!$Q$40</definedName>
    <definedName name="s_IRGM_far_a">ss!$Q$44</definedName>
    <definedName name="s_IRGM_far_c" localSheetId="0">[1]ss!$Q$39</definedName>
    <definedName name="s_IRGM_far_c">ss!$Q$43</definedName>
    <definedName name="s_IRGO_far_a" localSheetId="0">[1]ss!$Q$34</definedName>
    <definedName name="s_IRGO_far_a">ss!$Q$38</definedName>
    <definedName name="s_IRGO_far_c" localSheetId="0">[1]ss!$Q$33</definedName>
    <definedName name="s_IRGO_far_c">ss!$Q$37</definedName>
    <definedName name="s_IRLE_far_a" localSheetId="0">[1]ss!$N$60</definedName>
    <definedName name="s_IRLE_far_a">ss!$N$61</definedName>
    <definedName name="s_IRLE_far_c" localSheetId="0">[1]ss!$N$59</definedName>
    <definedName name="s_IRLE_far_c">ss!$N$60</definedName>
    <definedName name="s_IRLE_res_a" localSheetId="0">[1]ss!$E$64</definedName>
    <definedName name="s_IRLE_res_a">ss!$E$66</definedName>
    <definedName name="s_IRLE_res_c" localSheetId="0">[1]ss!$E$63</definedName>
    <definedName name="s_IRLE_res_c">ss!$E$65</definedName>
    <definedName name="s_IRLI_far_a" localSheetId="0">[1]ss!$N$63</definedName>
    <definedName name="s_IRLI_far_a">ss!$N$64</definedName>
    <definedName name="s_IRLI_far_c" localSheetId="0">[1]ss!$N$62</definedName>
    <definedName name="s_IRLI_far_c">ss!$N$63</definedName>
    <definedName name="s_IRLI_res_a" localSheetId="0">[1]ss!$E$67</definedName>
    <definedName name="s_IRLI_res_a">ss!$E$69</definedName>
    <definedName name="s_IRLI_res_c" localSheetId="0">[1]ss!$E$66</definedName>
    <definedName name="s_IRLI_res_c">ss!$E$68</definedName>
    <definedName name="s_IROK_far_a" localSheetId="0">[1]ss!$N$66</definedName>
    <definedName name="s_IROK_far_a">ss!$N$67</definedName>
    <definedName name="s_IROK_far_c" localSheetId="0">[1]ss!$N$65</definedName>
    <definedName name="s_IROK_far_c">ss!$N$66</definedName>
    <definedName name="s_IROK_res_a" localSheetId="0">[1]ss!$E$70</definedName>
    <definedName name="s_IROK_res_a">ss!$E$72</definedName>
    <definedName name="s_IROK_res_c" localSheetId="0">[1]ss!$E$69</definedName>
    <definedName name="s_IROK_res_c">ss!$E$71</definedName>
    <definedName name="s_IRON_far_a" localSheetId="0">[1]ss!$N$69</definedName>
    <definedName name="s_IRON_far_a">ss!$N$70</definedName>
    <definedName name="s_IRON_far_c" localSheetId="0">[1]ss!$N$68</definedName>
    <definedName name="s_IRON_far_c">ss!$N$69</definedName>
    <definedName name="s_IRON_res_a" localSheetId="0">[1]ss!$E$73</definedName>
    <definedName name="s_IRON_res_a">ss!$E$75</definedName>
    <definedName name="s_IRON_res_c" localSheetId="0">[1]ss!$E$72</definedName>
    <definedName name="s_IRON_res_c">ss!$E$74</definedName>
    <definedName name="s_IRP_far_a" localSheetId="0">[1]ss!$Q$22</definedName>
    <definedName name="s_IRP_far_a">ss!$Q$23</definedName>
    <definedName name="s_IRP_far_c" localSheetId="0">[1]ss!$Q$21</definedName>
    <definedName name="s_IRP_far_c">ss!$Q$22</definedName>
    <definedName name="s_IRPC_far_a" localSheetId="0">[1]ss!$N$72</definedName>
    <definedName name="s_IRPC_far_a">ss!$N$73</definedName>
    <definedName name="s_IRPC_far_c" localSheetId="0">[1]ss!$N$71</definedName>
    <definedName name="s_IRPC_far_c">ss!$N$72</definedName>
    <definedName name="s_IRPC_res_a" localSheetId="0">[1]ss!$E$76</definedName>
    <definedName name="s_IRPC_res_a">ss!$E$78</definedName>
    <definedName name="s_IRPC_res_c" localSheetId="0">[1]ss!$E$75</definedName>
    <definedName name="s_IRPC_res_c">ss!$E$77</definedName>
    <definedName name="s_IRPE_far_a" localSheetId="0">[1]ss!$N$78</definedName>
    <definedName name="s_IRPE_far_a">ss!$N$82</definedName>
    <definedName name="s_IRPE_far_c" localSheetId="0">[1]ss!$N$77</definedName>
    <definedName name="s_IRPE_far_c">ss!$N$81</definedName>
    <definedName name="s_IRPE_res_a" localSheetId="0">[1]ss!$E$82</definedName>
    <definedName name="s_IRPE_res_a">ss!$E$87</definedName>
    <definedName name="s_IRPE_res_c" localSheetId="0">[1]ss!$E$81</definedName>
    <definedName name="s_IRPE_res_c">ss!$E$86</definedName>
    <definedName name="s_IRPP_far_a">ss!$N$76</definedName>
    <definedName name="s_IRPP_far_c">ss!$N$75</definedName>
    <definedName name="s_IRPP_res_a">ss!$E$81</definedName>
    <definedName name="s_IRPP_res_c">ss!$E$80</definedName>
    <definedName name="s_IRPR_far_a" localSheetId="0">[1]ss!$N$75</definedName>
    <definedName name="s_IRPR_far_a">ss!$N$79</definedName>
    <definedName name="s_IRPR_far_c" localSheetId="0">[1]ss!$N$74</definedName>
    <definedName name="s_IRPR_far_c">ss!$N$78</definedName>
    <definedName name="s_IRPR_res_a" localSheetId="0">[1]ss!$E$79</definedName>
    <definedName name="s_IRPR_res_a">ss!$E$84</definedName>
    <definedName name="s_IRPR_res_c" localSheetId="0">[1]ss!$E$78</definedName>
    <definedName name="s_IRPR_res_c">ss!$E$83</definedName>
    <definedName name="s_IRPT_far_a" localSheetId="0">[1]ss!$N$81</definedName>
    <definedName name="s_IRPT_far_a">ss!$N$85</definedName>
    <definedName name="s_IRPT_far_c" localSheetId="0">[1]ss!$N$80</definedName>
    <definedName name="s_IRPT_far_c">ss!$N$84</definedName>
    <definedName name="s_IRPT_res_a" localSheetId="0">[1]ss!$E$85</definedName>
    <definedName name="s_IRPT_res_a">ss!$E$90</definedName>
    <definedName name="s_IRPT_res_c" localSheetId="0">[1]ss!$E$84</definedName>
    <definedName name="s_IRPT_res_c">ss!$E$89</definedName>
    <definedName name="s_IRPU_far_a" localSheetId="0">[1]ss!$N$84</definedName>
    <definedName name="s_IRPU_far_a">ss!$N$88</definedName>
    <definedName name="s_IRPU_far_c" localSheetId="0">[1]ss!$N$83</definedName>
    <definedName name="s_IRPU_far_c">ss!$N$87</definedName>
    <definedName name="s_IRPU_res_a" localSheetId="0">[1]ss!$E$88</definedName>
    <definedName name="s_IRPU_res_a">ss!$E$93</definedName>
    <definedName name="s_IRPU_res_c" localSheetId="0">[1]ss!$E$87</definedName>
    <definedName name="s_IRPU_res_c">ss!$E$92</definedName>
    <definedName name="s_IRRI_far_a" localSheetId="0">[1]ss!$N$87</definedName>
    <definedName name="s_IRRI_far_a">ss!$N$91</definedName>
    <definedName name="s_IRRI_far_c" localSheetId="0">[1]ss!$N$86</definedName>
    <definedName name="s_IRRI_far_c">ss!$N$90</definedName>
    <definedName name="s_IRRI_res_a" localSheetId="0">[1]ss!$E$91</definedName>
    <definedName name="s_IRRI_res_a">ss!$E$96</definedName>
    <definedName name="s_IRRI_res_c" localSheetId="0">[1]ss!$E$90</definedName>
    <definedName name="s_IRRI_res_c">ss!$E$95</definedName>
    <definedName name="s_IRS_far_a" localSheetId="0">[1]ss!$K$11</definedName>
    <definedName name="s_IRS_far_a">ss!$K$11</definedName>
    <definedName name="s_IRS_far_c" localSheetId="0">[1]ss!$K$10</definedName>
    <definedName name="s_IRS_far_c">ss!$K$10</definedName>
    <definedName name="s_IRS_rec_a" localSheetId="0">[1]ss!$H$11</definedName>
    <definedName name="s_IRS_rec_a">ss!$H$11</definedName>
    <definedName name="s_IRS_rec_c" localSheetId="0">[1]ss!$H$10</definedName>
    <definedName name="s_IRS_rec_c">ss!$H$10</definedName>
    <definedName name="s_IRS_res_a" localSheetId="0">[1]ss!$E$11</definedName>
    <definedName name="s_IRS_res_a">ss!$E$11</definedName>
    <definedName name="s_IRS_res_c" localSheetId="0">[1]ss!$E$10</definedName>
    <definedName name="s_IRS_res_c">ss!$E$10</definedName>
    <definedName name="s_IRSF_far_a">ss!$Q$29</definedName>
    <definedName name="s_IRSF_far_c">ss!$Q$28</definedName>
    <definedName name="s_IRSH_far_a" localSheetId="0">[1]ss!$Q$31</definedName>
    <definedName name="s_IRSH_far_a">ss!$Q$35</definedName>
    <definedName name="s_IRSH_far_c" localSheetId="0">[1]ss!$Q$30</definedName>
    <definedName name="s_IRSH_far_c">ss!$Q$34</definedName>
    <definedName name="s_IRSM_far_a" localSheetId="0">[1]ss!$Q$37</definedName>
    <definedName name="s_IRSM_far_a">ss!$Q$41</definedName>
    <definedName name="s_IRSM_far_c" localSheetId="0">[1]ss!$Q$36</definedName>
    <definedName name="s_IRSM_far_c">ss!$Q$40</definedName>
    <definedName name="s_IRSN_far_a" localSheetId="0">[1]ss!$N$90</definedName>
    <definedName name="s_IRSN_far_a">ss!$N$94</definedName>
    <definedName name="s_IRSN_far_c" localSheetId="0">[1]ss!$N$89</definedName>
    <definedName name="s_IRSN_far_c">ss!$N$93</definedName>
    <definedName name="s_IRSN_res_a" localSheetId="0">[1]ss!$E$94</definedName>
    <definedName name="s_IRSN_res_a">ss!$E$99</definedName>
    <definedName name="s_IRSN_res_c" localSheetId="0">[1]ss!$E$93</definedName>
    <definedName name="s_IRSN_res_c">ss!$E$98</definedName>
    <definedName name="s_IRST_far_a" localSheetId="0">[1]ss!$N$93</definedName>
    <definedName name="s_IRST_far_a">ss!$N$97</definedName>
    <definedName name="s_IRST_far_c" localSheetId="0">[1]ss!$N$92</definedName>
    <definedName name="s_IRST_far_c">ss!$N$96</definedName>
    <definedName name="s_IRST_res_a" localSheetId="0">[1]ss!$E$97</definedName>
    <definedName name="s_IRST_res_a">ss!$E$102</definedName>
    <definedName name="s_IRST_res_c" localSheetId="0">[1]ss!$E$96</definedName>
    <definedName name="s_IRST_res_c">ss!$E$101</definedName>
    <definedName name="s_IRSW_far_a" localSheetId="0">[1]ss!$Q$28</definedName>
    <definedName name="s_IRSW_far_a">ss!$Q$32</definedName>
    <definedName name="s_IRSW_far_c" localSheetId="0">[1]ss!$Q$27</definedName>
    <definedName name="s_IRSW_far_c">ss!$Q$31</definedName>
    <definedName name="s_IRTO_far_a" localSheetId="0">[1]ss!$N$96</definedName>
    <definedName name="s_IRTO_far_a">ss!$N$100</definedName>
    <definedName name="s_IRTO_far_c" localSheetId="0">[1]ss!$N$95</definedName>
    <definedName name="s_IRTO_far_c">ss!$N$99</definedName>
    <definedName name="s_IRTO_res_a" localSheetId="0">[1]ss!$E$100</definedName>
    <definedName name="s_IRTO_res_a">ss!$E$105</definedName>
    <definedName name="s_IRTO_res_c" localSheetId="0">[1]ss!$E$99</definedName>
    <definedName name="s_IRTO_res_c">ss!$E$104</definedName>
    <definedName name="s_IRW_far_a" localSheetId="0">[1]ss!$K$14</definedName>
    <definedName name="s_IRW_far_a">ss!$K$14</definedName>
    <definedName name="s_IRW_far_c" localSheetId="0">[1]ss!$K$13</definedName>
    <definedName name="s_IRW_far_c">ss!$K$13</definedName>
    <definedName name="s_IRW_rec_a" localSheetId="0">[1]ss!$H$14</definedName>
    <definedName name="s_IRW_rec_a">ss!$H$14</definedName>
    <definedName name="s_IRW_rec_c" localSheetId="0">[1]ss!$H$13</definedName>
    <definedName name="s_IRW_rec_c">ss!$H$13</definedName>
    <definedName name="s_IRW_res_a" localSheetId="0">[1]ss!$E$14</definedName>
    <definedName name="s_IRW_res_a">ss!$E$14</definedName>
    <definedName name="s_IRW_res_c" localSheetId="0">[1]ss!$E$13</definedName>
    <definedName name="s_IRW_res_c">ss!$E$13</definedName>
    <definedName name="s_K" localSheetId="0">[1]ss!$B$3</definedName>
    <definedName name="s_K">ss!$B$3</definedName>
    <definedName name="s_K_s2gw" localSheetId="0">[1]ss!$B$20</definedName>
    <definedName name="s_K_s2gw">ss!$B$19</definedName>
    <definedName name="s_L_s2gw" localSheetId="0">[1]ss!$B$23</definedName>
    <definedName name="s_L_s2gw">ss!$B$22</definedName>
    <definedName name="s_lambda_HL" localSheetId="0">[1]ss!$B$7</definedName>
    <definedName name="s_lambda_HL">ss!$B$6</definedName>
    <definedName name="s_ls2gw" localSheetId="0">[1]ss!$B$22</definedName>
    <definedName name="s_ls2gw">ss!$B$21</definedName>
    <definedName name="s_MLF_apple" localSheetId="0">[1]ss!$K$30</definedName>
    <definedName name="s_MLF_apple">ss!$N$102</definedName>
    <definedName name="s_MLF_asparagus" localSheetId="0">[1]ss!$K$31</definedName>
    <definedName name="s_MLF_asparagus">ss!$N$103</definedName>
    <definedName name="s_MLF_beet" localSheetId="0">[1]ss!$K$32</definedName>
    <definedName name="s_MLF_beet">ss!$N$104</definedName>
    <definedName name="s_MLF_berries" localSheetId="0">[1]ss!$K$33</definedName>
    <definedName name="s_MLF_berries">ss!$N$105</definedName>
    <definedName name="s_MLF_broccoli" localSheetId="0">[1]ss!$K$34</definedName>
    <definedName name="s_MLF_broccoli">ss!$N$106</definedName>
    <definedName name="s_MLF_cabbage" localSheetId="0">[1]ss!$K$35</definedName>
    <definedName name="s_MLF_cabbage">ss!$N$107</definedName>
    <definedName name="s_MLF_carrot" localSheetId="0">[1]ss!$K$36</definedName>
    <definedName name="s_MLF_carrot">ss!$N$108</definedName>
    <definedName name="s_MLF_cereal" localSheetId="0">[1]ss!$K$52</definedName>
    <definedName name="s_MLF_cereal">ss!$N$125</definedName>
    <definedName name="s_MLF_citrus" localSheetId="0">[1]ss!$K$37</definedName>
    <definedName name="s_MLF_citrus">ss!$N$109</definedName>
    <definedName name="s_MLF_corn" localSheetId="0">[1]ss!$K$38</definedName>
    <definedName name="s_MLF_corn">ss!$N$110</definedName>
    <definedName name="s_MLF_cucumber" localSheetId="0">[1]ss!$K$39</definedName>
    <definedName name="s_MLF_cucumber">ss!$N$111</definedName>
    <definedName name="s_MLF_lettuce" localSheetId="0">[1]ss!$K$40</definedName>
    <definedName name="s_MLF_lettuce">ss!$N$112</definedName>
    <definedName name="s_MLF_lima_bean" localSheetId="0">[1]ss!$K$41</definedName>
    <definedName name="s_MLF_lima_bean">ss!$N$113</definedName>
    <definedName name="s_MLF_okra" localSheetId="0">[1]ss!$K$42</definedName>
    <definedName name="s_MLF_okra">ss!$N$114</definedName>
    <definedName name="s_MLF_onion" localSheetId="0">[1]ss!$K$43</definedName>
    <definedName name="s_MLF_onion">ss!$N$115</definedName>
    <definedName name="s_MLF_pasture" localSheetId="0">[1]ss!$Q$68</definedName>
    <definedName name="s_MLF_pasture">ss!$Q$72</definedName>
    <definedName name="s_MLF_peach" localSheetId="0">[1]ss!$K$44</definedName>
    <definedName name="s_MLF_peach">ss!$N$116</definedName>
    <definedName name="s_MLF_pear" localSheetId="0">[1]ss!$K$45</definedName>
    <definedName name="s_MLF_pear">ss!$N$117</definedName>
    <definedName name="s_MLF_peas" localSheetId="0">[1]ss!$K$46</definedName>
    <definedName name="s_MLF_peas">ss!$N$118</definedName>
    <definedName name="s_MLF_peppers">ss!$N$119</definedName>
    <definedName name="s_MLF_potato" localSheetId="0">[1]ss!$K$47</definedName>
    <definedName name="s_MLF_potato">ss!$N$120</definedName>
    <definedName name="s_MLF_pumpkin" localSheetId="0">[1]ss!$K$48</definedName>
    <definedName name="s_MLF_pumpkin">ss!$N$121</definedName>
    <definedName name="s_MLF_rice" localSheetId="0">[1]ss!$K$53</definedName>
    <definedName name="s_MLF_rice">ss!$N$126</definedName>
    <definedName name="s_MLF_snap_bean" localSheetId="0">[1]ss!$K$49</definedName>
    <definedName name="s_MLF_snap_bean">ss!$N$122</definedName>
    <definedName name="s_MLF_strawberry" localSheetId="0">[1]ss!$K$50</definedName>
    <definedName name="s_MLF_strawberry">ss!$N$123</definedName>
    <definedName name="s_MLF_tomato" localSheetId="0">[1]ss!$K$51</definedName>
    <definedName name="s_MLF_tomato">ss!$N$124</definedName>
    <definedName name="s_P" localSheetId="0">[1]ss!$B$11</definedName>
    <definedName name="s_P">ss!$B$10</definedName>
    <definedName name="s_PEF_wind" localSheetId="0">[1]ss!$B$27</definedName>
    <definedName name="s_PEF_wind">ss!$B$26</definedName>
    <definedName name="s_Q_C_wind" localSheetId="0">[1]ss!$B$32</definedName>
    <definedName name="s_Q_C_wind">ss!$B$31</definedName>
    <definedName name="s_Q_p_beef" localSheetId="0">[1]ss!$Q$49</definedName>
    <definedName name="s_Q_p_beef">ss!$Q$53</definedName>
    <definedName name="s_Q_p_dairy" localSheetId="0">[1]ss!$Q$44</definedName>
    <definedName name="s_Q_p_dairy">ss!$Q$48</definedName>
    <definedName name="s_Q_p_egg" localSheetId="0">[1]ss!$Q$54</definedName>
    <definedName name="s_Q_p_egg">ss!$Q$58</definedName>
    <definedName name="s_Q_p_fowl" localSheetId="0">[1]ss!$H$28</definedName>
    <definedName name="s_Q_p_fowl">ss!$H$30</definedName>
    <definedName name="s_Q_p_game" localSheetId="0">[1]ss!$H$33</definedName>
    <definedName name="s_Q_p_game">ss!$H$35</definedName>
    <definedName name="s_Q_p_goat" localSheetId="0">[1]ss!$Q$76</definedName>
    <definedName name="s_Q_p_goat">ss!$Q$80</definedName>
    <definedName name="s_Q_p_goat_milk" localSheetId="0">[1]ss!$Q$81</definedName>
    <definedName name="s_Q_p_goat_milk">ss!$Q$85</definedName>
    <definedName name="s_Q_p_poultry" localSheetId="0">[1]ss!$Q$59</definedName>
    <definedName name="s_Q_p_poultry">ss!$Q$63</definedName>
    <definedName name="s_Q_p_sheep" localSheetId="0">[1]ss!$Q$71</definedName>
    <definedName name="s_Q_p_sheep">ss!$Q$75</definedName>
    <definedName name="s_Q_p_sheep_milk" localSheetId="0">[1]ss!$Q$86</definedName>
    <definedName name="s_Q_p_sheep_milk">ss!$Q$90</definedName>
    <definedName name="s_Q_p_swine" localSheetId="0">[1]ss!$Q$64</definedName>
    <definedName name="s_Q_p_swine">ss!$Q$68</definedName>
    <definedName name="s_Q_s_beef" localSheetId="0">[1]ss!$Q$50</definedName>
    <definedName name="s_Q_s_beef">ss!$Q$54</definedName>
    <definedName name="s_Q_s_dairy" localSheetId="0">[1]ss!$Q$45</definedName>
    <definedName name="s_Q_s_dairy">ss!$Q$49</definedName>
    <definedName name="s_Q_s_egg">ss!$Q$59</definedName>
    <definedName name="s_Q_s_fowl" localSheetId="0">[1]ss!$H$29</definedName>
    <definedName name="s_Q_s_fowl">ss!$H$31</definedName>
    <definedName name="s_Q_s_game" localSheetId="0">[1]ss!$H$34</definedName>
    <definedName name="s_Q_s_game">ss!$H$36</definedName>
    <definedName name="s_Q_s_goat" localSheetId="0">[1]ss!$Q$77</definedName>
    <definedName name="s_Q_s_goat">ss!$Q$81</definedName>
    <definedName name="s_Q_s_goat_milk" localSheetId="0">[1]ss!$Q$82</definedName>
    <definedName name="s_Q_s_goat_milk">ss!$Q$86</definedName>
    <definedName name="s_Q_s_poultry" localSheetId="0">[1]ss!$Q$60</definedName>
    <definedName name="s_Q_s_poultry">ss!$Q$64</definedName>
    <definedName name="s_Q_s_sheep" localSheetId="0">[1]ss!$Q$72</definedName>
    <definedName name="s_Q_s_sheep">ss!$Q$76</definedName>
    <definedName name="s_Q_s_sheep_milk" localSheetId="0">[1]ss!$Q$87</definedName>
    <definedName name="s_Q_s_sheep_milk">ss!$Q$91</definedName>
    <definedName name="s_Q_s_swine" localSheetId="0">[1]ss!$Q$65</definedName>
    <definedName name="s_Q_s_swine">ss!$Q$69</definedName>
    <definedName name="s_Q_w_beef" localSheetId="0">[1]ss!$Q$48</definedName>
    <definedName name="s_Q_w_beef">ss!$Q$52</definedName>
    <definedName name="s_Q_w_dairy" localSheetId="0">[1]ss!$Q$42</definedName>
    <definedName name="s_Q_w_dairy">ss!$Q$46</definedName>
    <definedName name="s_Q_w_egg" localSheetId="0">[1]ss!$Q$53</definedName>
    <definedName name="s_Q_w_egg">ss!$Q$57</definedName>
    <definedName name="s_Q_w_fowl" localSheetId="0">[1]ss!$H$32</definedName>
    <definedName name="s_Q_w_fowl">ss!$H$34</definedName>
    <definedName name="s_Q_w_game" localSheetId="0">[1]ss!$H$37</definedName>
    <definedName name="s_Q_w_game">ss!$H$39</definedName>
    <definedName name="s_Q_w_goat" localSheetId="0">[1]ss!$Q$75</definedName>
    <definedName name="s_Q_w_goat">ss!$Q$79</definedName>
    <definedName name="s_Q_w_goat_milk" localSheetId="0">[1]ss!$Q$80</definedName>
    <definedName name="s_Q_w_goat_milk">ss!$Q$84</definedName>
    <definedName name="s_Q_w_poultry" localSheetId="0">[1]ss!$Q$58</definedName>
    <definedName name="s_Q_w_poultry">ss!$Q$62</definedName>
    <definedName name="s_Q_w_sheep" localSheetId="0">[1]ss!$Q$70</definedName>
    <definedName name="s_Q_w_sheep">ss!$Q$74</definedName>
    <definedName name="s_Q_w_sheep_milk" localSheetId="0">[1]ss!$Q$85</definedName>
    <definedName name="s_Q_w_sheep_milk">ss!$Q$89</definedName>
    <definedName name="s_Q_w_swine" localSheetId="0">[1]ss!$Q$63</definedName>
    <definedName name="s_Q_w_swine">ss!$Q$67</definedName>
    <definedName name="s_R_es_past" localSheetId="0">[1]ss!$Q$69</definedName>
    <definedName name="s_R_es_past">ss!$Q$73</definedName>
    <definedName name="s_T" localSheetId="0">[1]ss!$B$15</definedName>
    <definedName name="s_T">ss!$B$14</definedName>
    <definedName name="s_t_b" localSheetId="0">[1]ss!$B$10</definedName>
    <definedName name="s_t_b">ss!$B$9</definedName>
    <definedName name="s_t_far" localSheetId="0">[1]ss!$K$5</definedName>
    <definedName name="s_t_far">ss!$K$5</definedName>
    <definedName name="s_t_rec" localSheetId="0">[1]ss!$H$5</definedName>
    <definedName name="s_t_rec">ss!$H$5</definedName>
    <definedName name="s_t_res" localSheetId="0">[1]ss!$E$5</definedName>
    <definedName name="s_t_res">ss!$E$5</definedName>
    <definedName name="s_t_v" localSheetId="0">[1]ss!$B$13</definedName>
    <definedName name="s_t_v">ss!$B$12</definedName>
    <definedName name="s_t_w" localSheetId="0">[1]ss!$B$16</definedName>
    <definedName name="s_t_w">ss!$B$15</definedName>
    <definedName name="s_TR" localSheetId="0">[1]ss!$B$2</definedName>
    <definedName name="s_TR">ss!$B$2</definedName>
    <definedName name="s_Um" localSheetId="0">[1]ss!$B$28</definedName>
    <definedName name="s_Um">ss!$B$27</definedName>
    <definedName name="s_Ut" localSheetId="0">[1]ss!$B$29</definedName>
    <definedName name="s_Ut">ss!$B$28</definedName>
    <definedName name="s_V" localSheetId="0">[1]ss!$B$31</definedName>
    <definedName name="s_V">ss!$B$30</definedName>
    <definedName name="s_x">ss!$B$38</definedName>
    <definedName name="s_Y_v" localSheetId="0">[1]ss!$B$14</definedName>
    <definedName name="s_Y_v">ss!$B$13</definedName>
    <definedName name="s_θw" localSheetId="0">[1]ss!$B$18</definedName>
    <definedName name="s_θw">ss!$B$17</definedName>
    <definedName name="s_ρb" localSheetId="0">[1]ss!$B$17</definedName>
    <definedName name="s_ρb">ss!$B$16</definedName>
    <definedName name="T" localSheetId="0">[1]d!$B$15</definedName>
    <definedName name="T">d!$B$14</definedName>
    <definedName name="t_b" localSheetId="0">[1]d!$B$10</definedName>
    <definedName name="t_b">d!$B$9</definedName>
    <definedName name="t_far" localSheetId="0">[1]d!$K$5</definedName>
    <definedName name="t_far">d!$K$5</definedName>
    <definedName name="t_rec" localSheetId="0">[1]d!$H$5</definedName>
    <definedName name="t_rec">d!$H$5</definedName>
    <definedName name="t_res" localSheetId="0">[1]d!$E$5</definedName>
    <definedName name="t_res">d!$E$5</definedName>
    <definedName name="t_v" localSheetId="0">[1]d!$B$13</definedName>
    <definedName name="t_v">d!$B$12</definedName>
    <definedName name="t_w" localSheetId="0">[1]d!$B$16</definedName>
    <definedName name="t_w">d!$B$15</definedName>
    <definedName name="TR" localSheetId="0">[1]d!$B$2</definedName>
    <definedName name="TR">d!$B$2</definedName>
    <definedName name="Um" localSheetId="0">[1]d!$B$28</definedName>
    <definedName name="Um">d!$B$27</definedName>
    <definedName name="Ut" localSheetId="0">[1]d!$B$29</definedName>
    <definedName name="Ut">d!$B$28</definedName>
    <definedName name="V" localSheetId="0">[1]d!$B$31</definedName>
    <definedName name="V">d!$B$30</definedName>
    <definedName name="Y_v" localSheetId="0">[1]d!$B$14</definedName>
    <definedName name="Y_v">d!$B$13</definedName>
    <definedName name="θw" localSheetId="0">[1]d!$B$18</definedName>
    <definedName name="θw">d!$B$17</definedName>
    <definedName name="ρb" localSheetId="0">[1]d!$B$17</definedName>
    <definedName name="ρb">d!$B$16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45" l="1"/>
  <c r="E29" i="45"/>
  <c r="E28" i="45"/>
  <c r="E27" i="45"/>
  <c r="E26" i="45"/>
  <c r="E25" i="45"/>
  <c r="E24" i="45"/>
  <c r="E23" i="45"/>
  <c r="E22" i="45"/>
  <c r="E21" i="45"/>
  <c r="E20" i="45"/>
  <c r="E19" i="45"/>
  <c r="E18" i="45"/>
  <c r="E17" i="45"/>
  <c r="E16" i="45"/>
  <c r="E15" i="45"/>
  <c r="E14" i="45"/>
  <c r="E13" i="45"/>
  <c r="E12" i="45"/>
  <c r="E11" i="45"/>
  <c r="E10" i="45"/>
  <c r="E9" i="45"/>
  <c r="E8" i="45"/>
  <c r="E7" i="45"/>
  <c r="E6" i="45"/>
  <c r="E5" i="45"/>
  <c r="E4" i="45"/>
  <c r="E3" i="45"/>
  <c r="E2" i="45"/>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H4" i="32"/>
  <c r="H3" i="32"/>
  <c r="H2" i="32"/>
  <c r="AD76" i="38"/>
  <c r="AD75" i="38"/>
  <c r="AD74" i="38"/>
  <c r="AD73" i="38"/>
  <c r="AD72" i="38"/>
  <c r="AD71" i="38"/>
  <c r="AD70" i="38"/>
  <c r="AD69" i="38"/>
  <c r="AD68" i="38"/>
  <c r="AD67" i="38"/>
  <c r="AD66" i="38"/>
  <c r="AD65" i="38"/>
  <c r="AD64" i="38"/>
  <c r="AD62" i="38"/>
  <c r="AD61" i="38"/>
  <c r="AD60" i="38"/>
  <c r="AD59" i="38"/>
  <c r="AD58" i="38"/>
  <c r="AD57" i="38"/>
  <c r="AD56" i="38"/>
  <c r="AD55" i="38"/>
  <c r="AD54" i="38"/>
  <c r="AD53" i="38"/>
  <c r="AD52" i="38"/>
  <c r="AD51" i="38"/>
  <c r="AD50" i="38"/>
  <c r="AD49" i="38"/>
  <c r="AD47" i="38"/>
  <c r="AD46" i="38"/>
  <c r="AD44" i="38"/>
  <c r="AD43" i="38"/>
  <c r="AD42" i="38"/>
  <c r="AD41" i="38"/>
  <c r="AD40" i="38"/>
  <c r="AD39" i="38"/>
  <c r="AD38" i="38"/>
  <c r="AD37" i="38"/>
  <c r="AD36" i="38"/>
  <c r="AD35" i="38"/>
  <c r="AD34" i="38"/>
  <c r="AD33" i="38"/>
  <c r="AD32" i="38"/>
  <c r="AD30" i="38"/>
  <c r="D30" i="38"/>
  <c r="AD29" i="38"/>
  <c r="D29" i="38"/>
  <c r="AD28" i="38"/>
  <c r="D28" i="38"/>
  <c r="AD27" i="38"/>
  <c r="D27" i="38"/>
  <c r="AD26" i="38"/>
  <c r="D26" i="38"/>
  <c r="AD25" i="38"/>
  <c r="D25" i="38"/>
  <c r="AD24" i="38"/>
  <c r="D24" i="38"/>
  <c r="AD23" i="38"/>
  <c r="D23" i="38"/>
  <c r="AD22" i="38"/>
  <c r="D22" i="38"/>
  <c r="AD21" i="38"/>
  <c r="D21" i="38"/>
  <c r="AD20" i="38"/>
  <c r="D20" i="38"/>
  <c r="AD19" i="38"/>
  <c r="D19" i="38"/>
  <c r="AD18" i="38"/>
  <c r="D18" i="38"/>
  <c r="AD17" i="38"/>
  <c r="D17" i="38"/>
  <c r="AD16" i="38"/>
  <c r="D16" i="38"/>
  <c r="AD15" i="38"/>
  <c r="D15" i="38"/>
  <c r="AD14" i="38"/>
  <c r="D14" i="38"/>
  <c r="AD13" i="38"/>
  <c r="D13" i="38"/>
  <c r="AD12" i="38"/>
  <c r="D12" i="38"/>
  <c r="AD11" i="38"/>
  <c r="D11" i="38"/>
  <c r="AD10" i="38"/>
  <c r="D10" i="38"/>
  <c r="AD9" i="38"/>
  <c r="D9" i="38"/>
  <c r="AD8" i="38"/>
  <c r="D8" i="38"/>
  <c r="AD7" i="38"/>
  <c r="D7" i="38"/>
  <c r="AD6" i="38"/>
  <c r="D6" i="38"/>
  <c r="AD5" i="38"/>
  <c r="D5" i="38"/>
  <c r="AD4" i="38"/>
  <c r="D4" i="38"/>
  <c r="AD3" i="38"/>
  <c r="D3" i="38"/>
  <c r="AD2" i="38"/>
  <c r="D2" i="38"/>
  <c r="DU76" i="38"/>
  <c r="BY76" i="38"/>
  <c r="DU75" i="38"/>
  <c r="BY75" i="38"/>
  <c r="DU74" i="38"/>
  <c r="BY74" i="38"/>
  <c r="DU73" i="38"/>
  <c r="BY73" i="38"/>
  <c r="DU72" i="38"/>
  <c r="BY72" i="38"/>
  <c r="DU71" i="38"/>
  <c r="BY71" i="38"/>
  <c r="DU70" i="38"/>
  <c r="BY70" i="38"/>
  <c r="DU69" i="38"/>
  <c r="BY69" i="38"/>
  <c r="DU68" i="38"/>
  <c r="BY68" i="38"/>
  <c r="DU67" i="38"/>
  <c r="BY67" i="38"/>
  <c r="DU66" i="38"/>
  <c r="BY66" i="38"/>
  <c r="DU65" i="38"/>
  <c r="BY65" i="38"/>
  <c r="DU64" i="38"/>
  <c r="BY64" i="38"/>
  <c r="DU62" i="38"/>
  <c r="BY62" i="38"/>
  <c r="DU61" i="38"/>
  <c r="BY61" i="38"/>
  <c r="DU60" i="38"/>
  <c r="BY60" i="38"/>
  <c r="DU59" i="38"/>
  <c r="BY59" i="38"/>
  <c r="DU58" i="38"/>
  <c r="BY58" i="38"/>
  <c r="DU57" i="38"/>
  <c r="BY57" i="38"/>
  <c r="DU56" i="38"/>
  <c r="BY56" i="38"/>
  <c r="DU55" i="38"/>
  <c r="BY55" i="38"/>
  <c r="DU54" i="38"/>
  <c r="BY54" i="38"/>
  <c r="DU53" i="38"/>
  <c r="BY53" i="38"/>
  <c r="DU52" i="38"/>
  <c r="BY52" i="38"/>
  <c r="DU51" i="38"/>
  <c r="BY51" i="38"/>
  <c r="DU50" i="38"/>
  <c r="BY50" i="38"/>
  <c r="DU49" i="38"/>
  <c r="BY49" i="38"/>
  <c r="DU47" i="38"/>
  <c r="BY47" i="38"/>
  <c r="DU46" i="38"/>
  <c r="BY46" i="38"/>
  <c r="DU44" i="38"/>
  <c r="BY44" i="38"/>
  <c r="DU43" i="38"/>
  <c r="BY43" i="38"/>
  <c r="DU42" i="38"/>
  <c r="BY42" i="38"/>
  <c r="DU41" i="38"/>
  <c r="BY41" i="38"/>
  <c r="DU40" i="38"/>
  <c r="BY40" i="38"/>
  <c r="DU39" i="38"/>
  <c r="BY39" i="38"/>
  <c r="DU38" i="38"/>
  <c r="BY38" i="38"/>
  <c r="DU37" i="38"/>
  <c r="BY37" i="38"/>
  <c r="DU36" i="38"/>
  <c r="BY36" i="38"/>
  <c r="DU35" i="38"/>
  <c r="BY35" i="38"/>
  <c r="DU34" i="38"/>
  <c r="BY34" i="38"/>
  <c r="DU33" i="38"/>
  <c r="BY33" i="38"/>
  <c r="DU32" i="38"/>
  <c r="BY32" i="38"/>
  <c r="DU30" i="38"/>
  <c r="CO30" i="38"/>
  <c r="BY30" i="38"/>
  <c r="AS30" i="38"/>
  <c r="DU29" i="38"/>
  <c r="CO29" i="38"/>
  <c r="BY29" i="38"/>
  <c r="AS29" i="38"/>
  <c r="DU28" i="38"/>
  <c r="CO28" i="38"/>
  <c r="BY28" i="38"/>
  <c r="AS28" i="38"/>
  <c r="DU27" i="38"/>
  <c r="CO27" i="38"/>
  <c r="BY27" i="38"/>
  <c r="AS27" i="38"/>
  <c r="DU26" i="38"/>
  <c r="CO26" i="38"/>
  <c r="BY26" i="38"/>
  <c r="AS26" i="38"/>
  <c r="DU25" i="38"/>
  <c r="CO25" i="38"/>
  <c r="BY25" i="38"/>
  <c r="AS25" i="38"/>
  <c r="DU24" i="38"/>
  <c r="CO24" i="38"/>
  <c r="BY24" i="38"/>
  <c r="AS24" i="38"/>
  <c r="DU23" i="38"/>
  <c r="CO23" i="38"/>
  <c r="BY23" i="38"/>
  <c r="AS23" i="38"/>
  <c r="DU22" i="38"/>
  <c r="CO22" i="38"/>
  <c r="BY22" i="38"/>
  <c r="AS22" i="38"/>
  <c r="DU21" i="38"/>
  <c r="CO21" i="38"/>
  <c r="BY21" i="38"/>
  <c r="AS21" i="38"/>
  <c r="DU20" i="38"/>
  <c r="CO20" i="38"/>
  <c r="BY20" i="38"/>
  <c r="AS20" i="38"/>
  <c r="DU19" i="38"/>
  <c r="CO19" i="38"/>
  <c r="BY19" i="38"/>
  <c r="AS19" i="38"/>
  <c r="DU18" i="38"/>
  <c r="CO18" i="38"/>
  <c r="BY18" i="38"/>
  <c r="AS18" i="38"/>
  <c r="DU17" i="38"/>
  <c r="CO17" i="38"/>
  <c r="BY17" i="38"/>
  <c r="AS17" i="38"/>
  <c r="DU16" i="38"/>
  <c r="CO16" i="38"/>
  <c r="BY16" i="38"/>
  <c r="AS16" i="38"/>
  <c r="DU15" i="38"/>
  <c r="CO15" i="38"/>
  <c r="BY15" i="38"/>
  <c r="AS15" i="38"/>
  <c r="DU14" i="38"/>
  <c r="CO14" i="38"/>
  <c r="BY14" i="38"/>
  <c r="AS14" i="38"/>
  <c r="DU13" i="38"/>
  <c r="CO13" i="38"/>
  <c r="BY13" i="38"/>
  <c r="AS13" i="38"/>
  <c r="DU12" i="38"/>
  <c r="CO12" i="38"/>
  <c r="BY12" i="38"/>
  <c r="AS12" i="38"/>
  <c r="DU11" i="38"/>
  <c r="CO11" i="38"/>
  <c r="BY11" i="38"/>
  <c r="AS11" i="38"/>
  <c r="DU10" i="38"/>
  <c r="CO10" i="38"/>
  <c r="BY10" i="38"/>
  <c r="AS10" i="38"/>
  <c r="DU9" i="38"/>
  <c r="CO9" i="38"/>
  <c r="BY9" i="38"/>
  <c r="AS9" i="38"/>
  <c r="DU8" i="38"/>
  <c r="CO8" i="38"/>
  <c r="BY8" i="38"/>
  <c r="AS8" i="38"/>
  <c r="DU7" i="38"/>
  <c r="CO7" i="38"/>
  <c r="BY7" i="38"/>
  <c r="AS7" i="38"/>
  <c r="DU6" i="38"/>
  <c r="CO6" i="38"/>
  <c r="BY6" i="38"/>
  <c r="AS6" i="38"/>
  <c r="DU5" i="38"/>
  <c r="CO5" i="38"/>
  <c r="BY5" i="38"/>
  <c r="AS5" i="38"/>
  <c r="DU4" i="38"/>
  <c r="CO4" i="38"/>
  <c r="BY4" i="38"/>
  <c r="AS4" i="38"/>
  <c r="DU3" i="38"/>
  <c r="CO3" i="38"/>
  <c r="BY3" i="38"/>
  <c r="AS3" i="38"/>
  <c r="DU2" i="38"/>
  <c r="CO2" i="38"/>
  <c r="BY2" i="38"/>
  <c r="AS2" i="38"/>
  <c r="AU76" i="32"/>
  <c r="N76" i="32"/>
  <c r="AU75" i="32"/>
  <c r="N75" i="32"/>
  <c r="AU74" i="32"/>
  <c r="N74" i="32"/>
  <c r="AU73" i="32"/>
  <c r="N73" i="32"/>
  <c r="AU72" i="32"/>
  <c r="N72" i="32"/>
  <c r="AU71" i="32"/>
  <c r="N71" i="32"/>
  <c r="AU70" i="32"/>
  <c r="N70" i="32"/>
  <c r="AU69" i="32"/>
  <c r="N69" i="32"/>
  <c r="AU68" i="32"/>
  <c r="N68" i="32"/>
  <c r="AU67" i="32"/>
  <c r="N67" i="32"/>
  <c r="AU66" i="32"/>
  <c r="N66" i="32"/>
  <c r="AU65" i="32"/>
  <c r="N65" i="32"/>
  <c r="AU64" i="32"/>
  <c r="N64" i="32"/>
  <c r="AU62" i="32"/>
  <c r="N62" i="32"/>
  <c r="AU61" i="32"/>
  <c r="N61" i="32"/>
  <c r="AU60" i="32"/>
  <c r="N60" i="32"/>
  <c r="AU59" i="32"/>
  <c r="N59" i="32"/>
  <c r="AU58" i="32"/>
  <c r="N58" i="32"/>
  <c r="AU57" i="32"/>
  <c r="N57" i="32"/>
  <c r="AU56" i="32"/>
  <c r="N56" i="32"/>
  <c r="AU55" i="32"/>
  <c r="N55" i="32"/>
  <c r="AU54" i="32"/>
  <c r="N54" i="32"/>
  <c r="AU53" i="32"/>
  <c r="N53" i="32"/>
  <c r="AU52" i="32"/>
  <c r="N52" i="32"/>
  <c r="AU51" i="32"/>
  <c r="N51" i="32"/>
  <c r="AU50" i="32"/>
  <c r="N50" i="32"/>
  <c r="AU49" i="32"/>
  <c r="N49" i="32"/>
  <c r="AU47" i="32"/>
  <c r="N47" i="32"/>
  <c r="AU46" i="32"/>
  <c r="N46" i="32"/>
  <c r="AU44" i="32"/>
  <c r="N44" i="32"/>
  <c r="AU43" i="32"/>
  <c r="N43" i="32"/>
  <c r="AU42" i="32"/>
  <c r="N42" i="32"/>
  <c r="AU41" i="32"/>
  <c r="N41" i="32"/>
  <c r="AU40" i="32"/>
  <c r="N40" i="32"/>
  <c r="AU39" i="32"/>
  <c r="N39" i="32"/>
  <c r="AU38" i="32"/>
  <c r="N38" i="32"/>
  <c r="AU37" i="32"/>
  <c r="N37" i="32"/>
  <c r="AU36" i="32"/>
  <c r="N36" i="32"/>
  <c r="AU35" i="32"/>
  <c r="N35" i="32"/>
  <c r="AU34" i="32"/>
  <c r="N34" i="32"/>
  <c r="AU33" i="32"/>
  <c r="N33" i="32"/>
  <c r="AU32" i="32"/>
  <c r="N32" i="32"/>
  <c r="AU30" i="32"/>
  <c r="AO30" i="32"/>
  <c r="N30" i="32"/>
  <c r="G30" i="32"/>
  <c r="AU29" i="32"/>
  <c r="AO29" i="32"/>
  <c r="N29" i="32"/>
  <c r="G29" i="32"/>
  <c r="AU28" i="32"/>
  <c r="AO28" i="32"/>
  <c r="N28" i="32"/>
  <c r="G28" i="32"/>
  <c r="AU27" i="32"/>
  <c r="AO27" i="32"/>
  <c r="N27" i="32"/>
  <c r="G27" i="32"/>
  <c r="AU26" i="32"/>
  <c r="AO26" i="32"/>
  <c r="N26" i="32"/>
  <c r="G26" i="32"/>
  <c r="AU25" i="32"/>
  <c r="AO25" i="32"/>
  <c r="N25" i="32"/>
  <c r="G25" i="32"/>
  <c r="AU24" i="32"/>
  <c r="AO24" i="32"/>
  <c r="N24" i="32"/>
  <c r="G24" i="32"/>
  <c r="AU23" i="32"/>
  <c r="AO23" i="32"/>
  <c r="N23" i="32"/>
  <c r="G23" i="32"/>
  <c r="AU22" i="32"/>
  <c r="AO22" i="32"/>
  <c r="N22" i="32"/>
  <c r="G22" i="32"/>
  <c r="AU21" i="32"/>
  <c r="AO21" i="32"/>
  <c r="N21" i="32"/>
  <c r="G21" i="32"/>
  <c r="AU20" i="32"/>
  <c r="AO20" i="32"/>
  <c r="N20" i="32"/>
  <c r="G20" i="32"/>
  <c r="AU19" i="32"/>
  <c r="AO19" i="32"/>
  <c r="N19" i="32"/>
  <c r="G19" i="32"/>
  <c r="AU18" i="32"/>
  <c r="AO18" i="32"/>
  <c r="N18" i="32"/>
  <c r="G18" i="32"/>
  <c r="AU17" i="32"/>
  <c r="AO17" i="32"/>
  <c r="N17" i="32"/>
  <c r="G17" i="32"/>
  <c r="AU16" i="32"/>
  <c r="AO16" i="32"/>
  <c r="N16" i="32"/>
  <c r="G16" i="32"/>
  <c r="AU15" i="32"/>
  <c r="AO15" i="32"/>
  <c r="N15" i="32"/>
  <c r="G15" i="32"/>
  <c r="AU14" i="32"/>
  <c r="AO14" i="32"/>
  <c r="N14" i="32"/>
  <c r="G14" i="32"/>
  <c r="AU13" i="32"/>
  <c r="AO13" i="32"/>
  <c r="N13" i="32"/>
  <c r="G13" i="32"/>
  <c r="AU12" i="32"/>
  <c r="AO12" i="32"/>
  <c r="N12" i="32"/>
  <c r="G12" i="32"/>
  <c r="AU11" i="32"/>
  <c r="AO11" i="32"/>
  <c r="N11" i="32"/>
  <c r="G11" i="32"/>
  <c r="AU10" i="32"/>
  <c r="AO10" i="32"/>
  <c r="N10" i="32"/>
  <c r="G10" i="32"/>
  <c r="AU9" i="32"/>
  <c r="AO9" i="32"/>
  <c r="N9" i="32"/>
  <c r="G9" i="32"/>
  <c r="AU8" i="32"/>
  <c r="AO8" i="32"/>
  <c r="N8" i="32"/>
  <c r="G8" i="32"/>
  <c r="AU7" i="32"/>
  <c r="AO7" i="32"/>
  <c r="N7" i="32"/>
  <c r="G7" i="32"/>
  <c r="AU6" i="32"/>
  <c r="AO6" i="32"/>
  <c r="N6" i="32"/>
  <c r="G6" i="32"/>
  <c r="AU5" i="32"/>
  <c r="AO5" i="32"/>
  <c r="N5" i="32"/>
  <c r="G5" i="32"/>
  <c r="AU4" i="32"/>
  <c r="AO4" i="32"/>
  <c r="N4" i="32"/>
  <c r="G4" i="32"/>
  <c r="AU3" i="32"/>
  <c r="AO3" i="32"/>
  <c r="N3" i="32"/>
  <c r="G3" i="32"/>
  <c r="AU2" i="32"/>
  <c r="AO2" i="32"/>
  <c r="N2" i="32"/>
  <c r="G2" i="32"/>
  <c r="AW27" i="32"/>
  <c r="AW76" i="32"/>
  <c r="AY76" i="32"/>
  <c r="AN27" i="32"/>
  <c r="AN76" i="32"/>
  <c r="AT76" i="32"/>
  <c r="AM27" i="32"/>
  <c r="AM76" i="32"/>
  <c r="AS76" i="32"/>
  <c r="AL27" i="32"/>
  <c r="AL76" i="32"/>
  <c r="AR76" i="32"/>
  <c r="AF27" i="32"/>
  <c r="AF76" i="32"/>
  <c r="AJ76" i="32"/>
  <c r="AE27" i="32"/>
  <c r="AE76" i="32"/>
  <c r="AI76" i="32"/>
  <c r="T27" i="32"/>
  <c r="T76" i="32"/>
  <c r="AD27" i="32"/>
  <c r="AD76" i="32"/>
  <c r="S27" i="32"/>
  <c r="S76" i="32"/>
  <c r="AC27" i="32"/>
  <c r="AC76" i="32"/>
  <c r="R27" i="32"/>
  <c r="R76" i="32"/>
  <c r="AB27" i="32"/>
  <c r="AB76" i="32"/>
  <c r="Q27" i="32"/>
  <c r="Q76" i="32"/>
  <c r="AA27" i="32"/>
  <c r="AA76" i="32"/>
  <c r="P27" i="32"/>
  <c r="P76" i="32"/>
  <c r="Z27" i="32"/>
  <c r="Z76" i="32"/>
  <c r="F27" i="32"/>
  <c r="F76" i="32"/>
  <c r="M27" i="32"/>
  <c r="M76" i="32"/>
  <c r="E27" i="32"/>
  <c r="E76" i="32"/>
  <c r="L76" i="32"/>
  <c r="D27" i="32"/>
  <c r="D76" i="32"/>
  <c r="K76" i="32"/>
  <c r="AW18" i="32"/>
  <c r="AW75" i="32"/>
  <c r="AY75" i="32"/>
  <c r="AN18" i="32"/>
  <c r="AN75" i="32"/>
  <c r="AT75" i="32"/>
  <c r="AM18" i="32"/>
  <c r="AM75" i="32"/>
  <c r="AS75" i="32"/>
  <c r="AL18" i="32"/>
  <c r="AL75" i="32"/>
  <c r="AR75" i="32"/>
  <c r="AF18" i="32"/>
  <c r="AF75" i="32"/>
  <c r="AJ75" i="32"/>
  <c r="AE18" i="32"/>
  <c r="AE75" i="32"/>
  <c r="AI75" i="32"/>
  <c r="T18" i="32"/>
  <c r="T75" i="32"/>
  <c r="AD18" i="32"/>
  <c r="AD75" i="32"/>
  <c r="S18" i="32"/>
  <c r="S75" i="32"/>
  <c r="AC18" i="32"/>
  <c r="AC75" i="32"/>
  <c r="R18" i="32"/>
  <c r="R75" i="32"/>
  <c r="AB18" i="32"/>
  <c r="AB75" i="32"/>
  <c r="Q18" i="32"/>
  <c r="Q75" i="32"/>
  <c r="AA18" i="32"/>
  <c r="AA75" i="32"/>
  <c r="P18" i="32"/>
  <c r="P75" i="32"/>
  <c r="Z18" i="32"/>
  <c r="Z75" i="32"/>
  <c r="F18" i="32"/>
  <c r="F75" i="32"/>
  <c r="M18" i="32"/>
  <c r="M75" i="32"/>
  <c r="E18" i="32"/>
  <c r="E75" i="32"/>
  <c r="L75" i="32"/>
  <c r="D18" i="32"/>
  <c r="D75" i="32"/>
  <c r="K75" i="32"/>
  <c r="AW12" i="32"/>
  <c r="AW74" i="32"/>
  <c r="AY74" i="32"/>
  <c r="AN12" i="32"/>
  <c r="AN74" i="32"/>
  <c r="AT74" i="32"/>
  <c r="AM12" i="32"/>
  <c r="AM74" i="32"/>
  <c r="AS74" i="32"/>
  <c r="AL12" i="32"/>
  <c r="AL74" i="32"/>
  <c r="AR74" i="32"/>
  <c r="AF12" i="32"/>
  <c r="AF74" i="32"/>
  <c r="AJ74" i="32"/>
  <c r="AE12" i="32"/>
  <c r="AE74" i="32"/>
  <c r="AI74" i="32"/>
  <c r="T12" i="32"/>
  <c r="T74" i="32"/>
  <c r="AD12" i="32"/>
  <c r="AD74" i="32"/>
  <c r="S12" i="32"/>
  <c r="S74" i="32"/>
  <c r="AC12" i="32"/>
  <c r="AC74" i="32"/>
  <c r="R12" i="32"/>
  <c r="R74" i="32"/>
  <c r="AB12" i="32"/>
  <c r="AB74" i="32"/>
  <c r="Q12" i="32"/>
  <c r="Q74" i="32"/>
  <c r="AA12" i="32"/>
  <c r="AA74" i="32"/>
  <c r="P12" i="32"/>
  <c r="P74" i="32"/>
  <c r="Z12" i="32"/>
  <c r="Z74" i="32"/>
  <c r="F12" i="32"/>
  <c r="F74" i="32"/>
  <c r="M12" i="32"/>
  <c r="M74" i="32"/>
  <c r="E12" i="32"/>
  <c r="E74" i="32"/>
  <c r="L74" i="32"/>
  <c r="D12" i="32"/>
  <c r="D74" i="32"/>
  <c r="K74" i="32"/>
  <c r="AW7" i="32"/>
  <c r="AW73" i="32"/>
  <c r="AY73" i="32"/>
  <c r="AN7" i="32"/>
  <c r="AN73" i="32"/>
  <c r="AT73" i="32"/>
  <c r="AM7" i="32"/>
  <c r="AM73" i="32"/>
  <c r="AS73" i="32"/>
  <c r="AL7" i="32"/>
  <c r="AL73" i="32"/>
  <c r="AR73" i="32"/>
  <c r="AF7" i="32"/>
  <c r="AF73" i="32"/>
  <c r="AJ73" i="32"/>
  <c r="AE7" i="32"/>
  <c r="AE73" i="32"/>
  <c r="AI73" i="32"/>
  <c r="T7" i="32"/>
  <c r="T73" i="32"/>
  <c r="AD7" i="32"/>
  <c r="AD73" i="32"/>
  <c r="S7" i="32"/>
  <c r="S73" i="32"/>
  <c r="AC7" i="32"/>
  <c r="AC73" i="32"/>
  <c r="R7" i="32"/>
  <c r="R73" i="32"/>
  <c r="AB7" i="32"/>
  <c r="AB73" i="32"/>
  <c r="Q7" i="32"/>
  <c r="Q73" i="32"/>
  <c r="AA7" i="32"/>
  <c r="AA73" i="32"/>
  <c r="P7" i="32"/>
  <c r="P73" i="32"/>
  <c r="Z7" i="32"/>
  <c r="Z73" i="32"/>
  <c r="F7" i="32"/>
  <c r="F73" i="32"/>
  <c r="M7" i="32"/>
  <c r="M73" i="32"/>
  <c r="E7" i="32"/>
  <c r="E73" i="32"/>
  <c r="L73" i="32"/>
  <c r="D7" i="32"/>
  <c r="D73" i="32"/>
  <c r="K73" i="32"/>
  <c r="AW16" i="32"/>
  <c r="AW72" i="32"/>
  <c r="AY72" i="32"/>
  <c r="AN16" i="32"/>
  <c r="AN72" i="32"/>
  <c r="AT72" i="32"/>
  <c r="AM16" i="32"/>
  <c r="AM72" i="32"/>
  <c r="AS72" i="32"/>
  <c r="AL16" i="32"/>
  <c r="AL72" i="32"/>
  <c r="AR72" i="32"/>
  <c r="AF16" i="32"/>
  <c r="AF72" i="32"/>
  <c r="AJ72" i="32"/>
  <c r="AE16" i="32"/>
  <c r="AE72" i="32"/>
  <c r="AI72" i="32"/>
  <c r="T16" i="32"/>
  <c r="T72" i="32"/>
  <c r="AD16" i="32"/>
  <c r="AD72" i="32"/>
  <c r="S16" i="32"/>
  <c r="S72" i="32"/>
  <c r="AC16" i="32"/>
  <c r="AC72" i="32"/>
  <c r="R16" i="32"/>
  <c r="R72" i="32"/>
  <c r="AB16" i="32"/>
  <c r="AB72" i="32"/>
  <c r="Q16" i="32"/>
  <c r="Q72" i="32"/>
  <c r="AA16" i="32"/>
  <c r="AA72" i="32"/>
  <c r="P16" i="32"/>
  <c r="P72" i="32"/>
  <c r="Z16" i="32"/>
  <c r="Z72" i="32"/>
  <c r="F16" i="32"/>
  <c r="F72" i="32"/>
  <c r="M16" i="32"/>
  <c r="M72" i="32"/>
  <c r="E16" i="32"/>
  <c r="E72" i="32"/>
  <c r="L72" i="32"/>
  <c r="D16" i="32"/>
  <c r="D72" i="32"/>
  <c r="K72" i="32"/>
  <c r="AW29" i="32"/>
  <c r="AW71" i="32"/>
  <c r="AY71" i="32"/>
  <c r="AN29" i="32"/>
  <c r="AN71" i="32"/>
  <c r="AT71" i="32"/>
  <c r="AM29" i="32"/>
  <c r="AM71" i="32"/>
  <c r="AS29" i="32"/>
  <c r="AS71" i="32"/>
  <c r="AL29" i="32"/>
  <c r="AL71" i="32"/>
  <c r="AR71" i="32"/>
  <c r="AF29" i="32"/>
  <c r="AF71" i="32"/>
  <c r="AJ71" i="32"/>
  <c r="AE29" i="32"/>
  <c r="AE71" i="32"/>
  <c r="AI71" i="32"/>
  <c r="T29" i="32"/>
  <c r="T71" i="32"/>
  <c r="AD29" i="32"/>
  <c r="AD71" i="32"/>
  <c r="S29" i="32"/>
  <c r="S71" i="32"/>
  <c r="AC29" i="32"/>
  <c r="AC71" i="32"/>
  <c r="R29" i="32"/>
  <c r="R71" i="32"/>
  <c r="AB29" i="32"/>
  <c r="AB71" i="32"/>
  <c r="Q29" i="32"/>
  <c r="Q71" i="32"/>
  <c r="AA29" i="32"/>
  <c r="AA71" i="32"/>
  <c r="P29" i="32"/>
  <c r="P71" i="32"/>
  <c r="Z29" i="32"/>
  <c r="Z71" i="32"/>
  <c r="F29" i="32"/>
  <c r="F71" i="32"/>
  <c r="M29" i="32"/>
  <c r="M71" i="32"/>
  <c r="E29" i="32"/>
  <c r="E71" i="32"/>
  <c r="L71" i="32"/>
  <c r="D29" i="32"/>
  <c r="D71" i="32"/>
  <c r="K71" i="32"/>
  <c r="AW20" i="32"/>
  <c r="AW70" i="32"/>
  <c r="AY70" i="32"/>
  <c r="AN20" i="32"/>
  <c r="AN70" i="32"/>
  <c r="AT70" i="32"/>
  <c r="AM20" i="32"/>
  <c r="AM70" i="32"/>
  <c r="AS20" i="32"/>
  <c r="AS70" i="32"/>
  <c r="AL20" i="32"/>
  <c r="AL70" i="32"/>
  <c r="AR70" i="32"/>
  <c r="AF20" i="32"/>
  <c r="AF70" i="32"/>
  <c r="AJ70" i="32"/>
  <c r="AE20" i="32"/>
  <c r="AE70" i="32"/>
  <c r="AI70" i="32"/>
  <c r="T20" i="32"/>
  <c r="T70" i="32"/>
  <c r="AD20" i="32"/>
  <c r="AD70" i="32"/>
  <c r="S20" i="32"/>
  <c r="S70" i="32"/>
  <c r="AC20" i="32"/>
  <c r="AC70" i="32"/>
  <c r="R20" i="32"/>
  <c r="R70" i="32"/>
  <c r="AB20" i="32"/>
  <c r="AB70" i="32"/>
  <c r="Q20" i="32"/>
  <c r="Q70" i="32"/>
  <c r="AA20" i="32"/>
  <c r="AA70" i="32"/>
  <c r="P20" i="32"/>
  <c r="P70" i="32"/>
  <c r="Z20" i="32"/>
  <c r="Z70" i="32"/>
  <c r="F20" i="32"/>
  <c r="F70" i="32"/>
  <c r="M20" i="32"/>
  <c r="M70" i="32"/>
  <c r="E20" i="32"/>
  <c r="E70" i="32"/>
  <c r="L70" i="32"/>
  <c r="D20" i="32"/>
  <c r="D70" i="32"/>
  <c r="K70" i="32"/>
  <c r="AW24" i="32"/>
  <c r="AW69" i="32"/>
  <c r="AY69" i="32"/>
  <c r="AN24" i="32"/>
  <c r="AN69" i="32"/>
  <c r="AT69" i="32"/>
  <c r="AM24" i="32"/>
  <c r="AM69" i="32"/>
  <c r="AS24" i="32"/>
  <c r="AS69" i="32"/>
  <c r="AL24" i="32"/>
  <c r="AL69" i="32"/>
  <c r="AR69" i="32"/>
  <c r="AF24" i="32"/>
  <c r="AF69" i="32"/>
  <c r="AJ69" i="32"/>
  <c r="AE24" i="32"/>
  <c r="AE69" i="32"/>
  <c r="AI69" i="32"/>
  <c r="T24" i="32"/>
  <c r="T69" i="32"/>
  <c r="AD24" i="32"/>
  <c r="AD69" i="32"/>
  <c r="S24" i="32"/>
  <c r="S69" i="32"/>
  <c r="AC24" i="32"/>
  <c r="AC69" i="32"/>
  <c r="R24" i="32"/>
  <c r="R69" i="32"/>
  <c r="AB24" i="32"/>
  <c r="AB69" i="32"/>
  <c r="Q24" i="32"/>
  <c r="Q69" i="32"/>
  <c r="AA24" i="32"/>
  <c r="AA69" i="32"/>
  <c r="P24" i="32"/>
  <c r="P69" i="32"/>
  <c r="Z24" i="32"/>
  <c r="Z69" i="32"/>
  <c r="F24" i="32"/>
  <c r="F69" i="32"/>
  <c r="M24" i="32"/>
  <c r="M69" i="32"/>
  <c r="E24" i="32"/>
  <c r="E69" i="32"/>
  <c r="L69" i="32"/>
  <c r="D24" i="32"/>
  <c r="D69" i="32"/>
  <c r="K69" i="32"/>
  <c r="AW9" i="32"/>
  <c r="AW68" i="32"/>
  <c r="AY68" i="32"/>
  <c r="AN9" i="32"/>
  <c r="AN68" i="32"/>
  <c r="AT68" i="32"/>
  <c r="AM9" i="32"/>
  <c r="AM68" i="32"/>
  <c r="AS9" i="32"/>
  <c r="AS68" i="32"/>
  <c r="AL9" i="32"/>
  <c r="AL68" i="32"/>
  <c r="AR68" i="32"/>
  <c r="AF9" i="32"/>
  <c r="AF68" i="32"/>
  <c r="AJ68" i="32"/>
  <c r="AE9" i="32"/>
  <c r="AE68" i="32"/>
  <c r="AI68" i="32"/>
  <c r="T9" i="32"/>
  <c r="T68" i="32"/>
  <c r="AD9" i="32"/>
  <c r="AD68" i="32"/>
  <c r="S9" i="32"/>
  <c r="S68" i="32"/>
  <c r="AC9" i="32"/>
  <c r="AC68" i="32"/>
  <c r="R9" i="32"/>
  <c r="R68" i="32"/>
  <c r="AB9" i="32"/>
  <c r="AB68" i="32"/>
  <c r="Q9" i="32"/>
  <c r="Q68" i="32"/>
  <c r="AA9" i="32"/>
  <c r="AA68" i="32"/>
  <c r="P9" i="32"/>
  <c r="P68" i="32"/>
  <c r="Z9" i="32"/>
  <c r="Z68" i="32"/>
  <c r="F9" i="32"/>
  <c r="F68" i="32"/>
  <c r="M9" i="32"/>
  <c r="M68" i="32"/>
  <c r="E9" i="32"/>
  <c r="E68" i="32"/>
  <c r="L68" i="32"/>
  <c r="D9" i="32"/>
  <c r="D68" i="32"/>
  <c r="K68" i="32"/>
  <c r="AW5" i="32"/>
  <c r="AW67" i="32"/>
  <c r="AY67" i="32"/>
  <c r="AN5" i="32"/>
  <c r="AN67" i="32"/>
  <c r="AT67" i="32"/>
  <c r="AM5" i="32"/>
  <c r="AM67" i="32"/>
  <c r="AS5" i="32"/>
  <c r="AS67" i="32"/>
  <c r="AL5" i="32"/>
  <c r="AL67" i="32"/>
  <c r="AR67" i="32"/>
  <c r="AF5" i="32"/>
  <c r="AF67" i="32"/>
  <c r="AJ67" i="32"/>
  <c r="AE5" i="32"/>
  <c r="AE67" i="32"/>
  <c r="AI67" i="32"/>
  <c r="T5" i="32"/>
  <c r="T67" i="32"/>
  <c r="AD67" i="32"/>
  <c r="S5" i="32"/>
  <c r="S67" i="32"/>
  <c r="AC67" i="32"/>
  <c r="R5" i="32"/>
  <c r="R67" i="32"/>
  <c r="AB67" i="32"/>
  <c r="Q5" i="32"/>
  <c r="Q67" i="32"/>
  <c r="AA67" i="32"/>
  <c r="P5" i="32"/>
  <c r="P67" i="32"/>
  <c r="Z67" i="32"/>
  <c r="F5" i="32"/>
  <c r="F67" i="32"/>
  <c r="M67" i="32"/>
  <c r="E5" i="32"/>
  <c r="E67" i="32"/>
  <c r="L67" i="32"/>
  <c r="D5" i="32"/>
  <c r="D67" i="32"/>
  <c r="K67" i="32"/>
  <c r="AW17" i="32"/>
  <c r="AW66" i="32"/>
  <c r="AY66" i="32"/>
  <c r="AN17" i="32"/>
  <c r="AN66" i="32"/>
  <c r="AT66" i="32"/>
  <c r="AM17" i="32"/>
  <c r="AM66" i="32"/>
  <c r="AS17" i="32"/>
  <c r="AS66" i="32"/>
  <c r="AL17" i="32"/>
  <c r="AL66" i="32"/>
  <c r="AR66" i="32"/>
  <c r="AF17" i="32"/>
  <c r="AF66" i="32"/>
  <c r="AJ66" i="32"/>
  <c r="AE17" i="32"/>
  <c r="AE66" i="32"/>
  <c r="AI66" i="32"/>
  <c r="T17" i="32"/>
  <c r="T66" i="32"/>
  <c r="AD17" i="32"/>
  <c r="AD66" i="32"/>
  <c r="S17" i="32"/>
  <c r="S66" i="32"/>
  <c r="AC17" i="32"/>
  <c r="AC66" i="32"/>
  <c r="R17" i="32"/>
  <c r="R66" i="32"/>
  <c r="AB17" i="32"/>
  <c r="AB66" i="32"/>
  <c r="Q17" i="32"/>
  <c r="Q66" i="32"/>
  <c r="AA17" i="32"/>
  <c r="AA66" i="32"/>
  <c r="P17" i="32"/>
  <c r="P66" i="32"/>
  <c r="Z17" i="32"/>
  <c r="Z66" i="32"/>
  <c r="F17" i="32"/>
  <c r="F66" i="32"/>
  <c r="M17" i="32"/>
  <c r="M66" i="32"/>
  <c r="E17" i="32"/>
  <c r="E66" i="32"/>
  <c r="L66" i="32"/>
  <c r="D17" i="32"/>
  <c r="D66" i="32"/>
  <c r="K66" i="32"/>
  <c r="AW21" i="32"/>
  <c r="AW65" i="32"/>
  <c r="AY65" i="32"/>
  <c r="AN21" i="32"/>
  <c r="AN65" i="32"/>
  <c r="AT65" i="32"/>
  <c r="AM21" i="32"/>
  <c r="AM65" i="32"/>
  <c r="AS21" i="32"/>
  <c r="AS65" i="32"/>
  <c r="AL21" i="32"/>
  <c r="AL65" i="32"/>
  <c r="AR65" i="32"/>
  <c r="AF21" i="32"/>
  <c r="AF65" i="32"/>
  <c r="AJ65" i="32"/>
  <c r="AE21" i="32"/>
  <c r="AE65" i="32"/>
  <c r="AI65" i="32"/>
  <c r="T21" i="32"/>
  <c r="T65" i="32"/>
  <c r="AD65" i="32"/>
  <c r="S21" i="32"/>
  <c r="S65" i="32"/>
  <c r="AC65" i="32"/>
  <c r="R21" i="32"/>
  <c r="R65" i="32"/>
  <c r="AB65" i="32"/>
  <c r="Q21" i="32"/>
  <c r="Q65" i="32"/>
  <c r="AA65" i="32"/>
  <c r="P21" i="32"/>
  <c r="P65" i="32"/>
  <c r="Z65" i="32"/>
  <c r="F21" i="32"/>
  <c r="F65" i="32"/>
  <c r="M65" i="32"/>
  <c r="E21" i="32"/>
  <c r="E65" i="32"/>
  <c r="L65" i="32"/>
  <c r="D21" i="32"/>
  <c r="D65" i="32"/>
  <c r="K65" i="32"/>
  <c r="AW25" i="32"/>
  <c r="AW64" i="32"/>
  <c r="AY64" i="32"/>
  <c r="AN25" i="32"/>
  <c r="AN64" i="32"/>
  <c r="AT64" i="32"/>
  <c r="AM25" i="32"/>
  <c r="AM64" i="32"/>
  <c r="AS25" i="32"/>
  <c r="AS64" i="32"/>
  <c r="AL25" i="32"/>
  <c r="AL64" i="32"/>
  <c r="AR64" i="32"/>
  <c r="AF25" i="32"/>
  <c r="AF64" i="32"/>
  <c r="AJ64" i="32"/>
  <c r="AE25" i="32"/>
  <c r="AE64" i="32"/>
  <c r="AI64" i="32"/>
  <c r="T25" i="32"/>
  <c r="T64" i="32"/>
  <c r="AD25" i="32"/>
  <c r="AD64" i="32"/>
  <c r="S25" i="32"/>
  <c r="S64" i="32"/>
  <c r="AC25" i="32"/>
  <c r="AC64" i="32"/>
  <c r="R25" i="32"/>
  <c r="R64" i="32"/>
  <c r="AB25" i="32"/>
  <c r="AB64" i="32"/>
  <c r="Q25" i="32"/>
  <c r="Q64" i="32"/>
  <c r="AA25" i="32"/>
  <c r="AA64" i="32"/>
  <c r="P25" i="32"/>
  <c r="P64" i="32"/>
  <c r="Z25" i="32"/>
  <c r="Z64" i="32"/>
  <c r="F25" i="32"/>
  <c r="F64" i="32"/>
  <c r="M25" i="32"/>
  <c r="M64" i="32"/>
  <c r="E25" i="32"/>
  <c r="E64" i="32"/>
  <c r="L64" i="32"/>
  <c r="D25" i="32"/>
  <c r="D64" i="32"/>
  <c r="K64" i="32"/>
  <c r="AW63" i="32"/>
  <c r="AX63" i="32"/>
  <c r="AP25" i="32"/>
  <c r="AP64" i="32"/>
  <c r="AP21" i="32"/>
  <c r="AP65" i="32"/>
  <c r="AP17" i="32"/>
  <c r="AP66" i="32"/>
  <c r="AP5" i="32"/>
  <c r="AP67" i="32"/>
  <c r="AP9" i="32"/>
  <c r="AP68" i="32"/>
  <c r="AP24" i="32"/>
  <c r="AP69" i="32"/>
  <c r="AP20" i="32"/>
  <c r="AP70" i="32"/>
  <c r="AP29" i="32"/>
  <c r="AP71" i="32"/>
  <c r="AP16" i="32"/>
  <c r="AP72" i="32"/>
  <c r="AP7" i="32"/>
  <c r="AP73" i="32"/>
  <c r="AP12" i="32"/>
  <c r="AP74" i="32"/>
  <c r="AP18" i="32"/>
  <c r="AP75" i="32"/>
  <c r="AP27" i="32"/>
  <c r="AP76" i="32"/>
  <c r="AP63" i="32"/>
  <c r="AQ63" i="32"/>
  <c r="AG25" i="32"/>
  <c r="AG64" i="32"/>
  <c r="AG21" i="32"/>
  <c r="AG65" i="32"/>
  <c r="AG17" i="32"/>
  <c r="AG66" i="32"/>
  <c r="AG5" i="32"/>
  <c r="AG67" i="32"/>
  <c r="AG9" i="32"/>
  <c r="AG68" i="32"/>
  <c r="AG24" i="32"/>
  <c r="AG69" i="32"/>
  <c r="AG20" i="32"/>
  <c r="AG70" i="32"/>
  <c r="AG29" i="32"/>
  <c r="AG71" i="32"/>
  <c r="AG16" i="32"/>
  <c r="AG72" i="32"/>
  <c r="AG7" i="32"/>
  <c r="AG73" i="32"/>
  <c r="AG12" i="32"/>
  <c r="AG74" i="32"/>
  <c r="AG18" i="32"/>
  <c r="AG75" i="32"/>
  <c r="AG27" i="32"/>
  <c r="AG76" i="32"/>
  <c r="AG63" i="32"/>
  <c r="AH63" i="32"/>
  <c r="T63" i="32"/>
  <c r="Y63" i="32"/>
  <c r="S63" i="32"/>
  <c r="X63" i="32"/>
  <c r="R63" i="32"/>
  <c r="W63" i="32"/>
  <c r="Q63" i="32"/>
  <c r="V63" i="32"/>
  <c r="P63" i="32"/>
  <c r="U63" i="32"/>
  <c r="I25" i="32"/>
  <c r="I64" i="32"/>
  <c r="I21" i="32"/>
  <c r="I65" i="32"/>
  <c r="I17" i="32"/>
  <c r="I66" i="32"/>
  <c r="I5" i="32"/>
  <c r="I67" i="32"/>
  <c r="I9" i="32"/>
  <c r="I68" i="32"/>
  <c r="I24" i="32"/>
  <c r="I69" i="32"/>
  <c r="I20" i="32"/>
  <c r="I70" i="32"/>
  <c r="I29" i="32"/>
  <c r="I71" i="32"/>
  <c r="I16" i="32"/>
  <c r="I72" i="32"/>
  <c r="I7" i="32"/>
  <c r="I73" i="32"/>
  <c r="I12" i="32"/>
  <c r="I74" i="32"/>
  <c r="I18" i="32"/>
  <c r="I75" i="32"/>
  <c r="I27" i="32"/>
  <c r="I76" i="32"/>
  <c r="I63" i="32"/>
  <c r="J63" i="32"/>
  <c r="AW62" i="32"/>
  <c r="AY62" i="32"/>
  <c r="AN62" i="32"/>
  <c r="AT62" i="32"/>
  <c r="AM62" i="32"/>
  <c r="AS62" i="32"/>
  <c r="AL62" i="32"/>
  <c r="AR62" i="32"/>
  <c r="AF62" i="32"/>
  <c r="AJ62" i="32"/>
  <c r="AE62" i="32"/>
  <c r="AI62" i="32"/>
  <c r="T62" i="32"/>
  <c r="AD62" i="32"/>
  <c r="S62" i="32"/>
  <c r="AC62" i="32"/>
  <c r="R62" i="32"/>
  <c r="AB62" i="32"/>
  <c r="Q62" i="32"/>
  <c r="AA62" i="32"/>
  <c r="P62" i="32"/>
  <c r="Z62" i="32"/>
  <c r="F62" i="32"/>
  <c r="M62" i="32"/>
  <c r="E62" i="32"/>
  <c r="L62" i="32"/>
  <c r="D62" i="32"/>
  <c r="K62" i="32"/>
  <c r="AW61" i="32"/>
  <c r="AY61" i="32"/>
  <c r="AN61" i="32"/>
  <c r="AT61" i="32"/>
  <c r="AM61" i="32"/>
  <c r="AS61" i="32"/>
  <c r="AL61" i="32"/>
  <c r="AR61" i="32"/>
  <c r="AF61" i="32"/>
  <c r="AJ61" i="32"/>
  <c r="AE61" i="32"/>
  <c r="AI61" i="32"/>
  <c r="T61" i="32"/>
  <c r="AD61" i="32"/>
  <c r="S61" i="32"/>
  <c r="AC61" i="32"/>
  <c r="R61" i="32"/>
  <c r="AB61" i="32"/>
  <c r="Q61" i="32"/>
  <c r="AA61" i="32"/>
  <c r="P61" i="32"/>
  <c r="Z61" i="32"/>
  <c r="F61" i="32"/>
  <c r="M61" i="32"/>
  <c r="E61" i="32"/>
  <c r="L61" i="32"/>
  <c r="D61" i="32"/>
  <c r="K61" i="32"/>
  <c r="AW60" i="32"/>
  <c r="AY60" i="32"/>
  <c r="AN60" i="32"/>
  <c r="AT60" i="32"/>
  <c r="AM60" i="32"/>
  <c r="AS60" i="32"/>
  <c r="AL60" i="32"/>
  <c r="AR60" i="32"/>
  <c r="AF60" i="32"/>
  <c r="AJ60" i="32"/>
  <c r="AE60" i="32"/>
  <c r="AI60" i="32"/>
  <c r="T60" i="32"/>
  <c r="AD60" i="32"/>
  <c r="S60" i="32"/>
  <c r="AC60" i="32"/>
  <c r="R60" i="32"/>
  <c r="AB60" i="32"/>
  <c r="Q60" i="32"/>
  <c r="AA60" i="32"/>
  <c r="P60" i="32"/>
  <c r="Z60" i="32"/>
  <c r="F60" i="32"/>
  <c r="M60" i="32"/>
  <c r="E60" i="32"/>
  <c r="L60" i="32"/>
  <c r="D60" i="32"/>
  <c r="K60" i="32"/>
  <c r="AW59" i="32"/>
  <c r="AY59" i="32"/>
  <c r="AN59" i="32"/>
  <c r="AT59" i="32"/>
  <c r="AM59" i="32"/>
  <c r="AS59" i="32"/>
  <c r="AL59" i="32"/>
  <c r="AR59" i="32"/>
  <c r="AF59" i="32"/>
  <c r="AJ59" i="32"/>
  <c r="AE59" i="32"/>
  <c r="AI59" i="32"/>
  <c r="T59" i="32"/>
  <c r="AD59" i="32"/>
  <c r="S59" i="32"/>
  <c r="AC59" i="32"/>
  <c r="R59" i="32"/>
  <c r="AB59" i="32"/>
  <c r="Q59" i="32"/>
  <c r="AA59" i="32"/>
  <c r="P59" i="32"/>
  <c r="Z59" i="32"/>
  <c r="F59" i="32"/>
  <c r="M59" i="32"/>
  <c r="E59" i="32"/>
  <c r="L59" i="32"/>
  <c r="D59" i="32"/>
  <c r="K59" i="32"/>
  <c r="AW58" i="32"/>
  <c r="AY58" i="32"/>
  <c r="AN58" i="32"/>
  <c r="AT58" i="32"/>
  <c r="AM58" i="32"/>
  <c r="AS58" i="32"/>
  <c r="AL58" i="32"/>
  <c r="AR58" i="32"/>
  <c r="AF58" i="32"/>
  <c r="AJ58" i="32"/>
  <c r="AE58" i="32"/>
  <c r="AI58" i="32"/>
  <c r="T58" i="32"/>
  <c r="AD58" i="32"/>
  <c r="S58" i="32"/>
  <c r="AC58" i="32"/>
  <c r="R58" i="32"/>
  <c r="AB58" i="32"/>
  <c r="Q58" i="32"/>
  <c r="AA58" i="32"/>
  <c r="P58" i="32"/>
  <c r="Z58" i="32"/>
  <c r="F58" i="32"/>
  <c r="M58" i="32"/>
  <c r="E58" i="32"/>
  <c r="L58" i="32"/>
  <c r="D58" i="32"/>
  <c r="K58" i="32"/>
  <c r="AW57" i="32"/>
  <c r="AY57" i="32"/>
  <c r="AN57" i="32"/>
  <c r="AT57" i="32"/>
  <c r="AM57" i="32"/>
  <c r="AS57" i="32"/>
  <c r="AL57" i="32"/>
  <c r="AR57" i="32"/>
  <c r="AF57" i="32"/>
  <c r="AJ57" i="32"/>
  <c r="AE57" i="32"/>
  <c r="AI57" i="32"/>
  <c r="T57" i="32"/>
  <c r="AD57" i="32"/>
  <c r="S57" i="32"/>
  <c r="AC57" i="32"/>
  <c r="R57" i="32"/>
  <c r="AB57" i="32"/>
  <c r="Q57" i="32"/>
  <c r="AA57" i="32"/>
  <c r="P57" i="32"/>
  <c r="Z57" i="32"/>
  <c r="F57" i="32"/>
  <c r="M57" i="32"/>
  <c r="E57" i="32"/>
  <c r="L57" i="32"/>
  <c r="D57" i="32"/>
  <c r="K57" i="32"/>
  <c r="AW56" i="32"/>
  <c r="AY56" i="32"/>
  <c r="AN56" i="32"/>
  <c r="AT56" i="32"/>
  <c r="AM56" i="32"/>
  <c r="AS56" i="32"/>
  <c r="AL56" i="32"/>
  <c r="AR56" i="32"/>
  <c r="AF56" i="32"/>
  <c r="AJ56" i="32"/>
  <c r="AE56" i="32"/>
  <c r="AI56" i="32"/>
  <c r="T56" i="32"/>
  <c r="AD56" i="32"/>
  <c r="S56" i="32"/>
  <c r="AC56" i="32"/>
  <c r="R56" i="32"/>
  <c r="AB56" i="32"/>
  <c r="Q56" i="32"/>
  <c r="AA56" i="32"/>
  <c r="P56" i="32"/>
  <c r="Z56" i="32"/>
  <c r="F56" i="32"/>
  <c r="M56" i="32"/>
  <c r="E56" i="32"/>
  <c r="L56" i="32"/>
  <c r="D56" i="32"/>
  <c r="K56" i="32"/>
  <c r="AW55" i="32"/>
  <c r="AY55" i="32"/>
  <c r="AN55" i="32"/>
  <c r="AT55" i="32"/>
  <c r="AM55" i="32"/>
  <c r="AS55" i="32"/>
  <c r="AL55" i="32"/>
  <c r="AR55" i="32"/>
  <c r="AF55" i="32"/>
  <c r="AJ55" i="32"/>
  <c r="AE55" i="32"/>
  <c r="AI55" i="32"/>
  <c r="T55" i="32"/>
  <c r="AD55" i="32"/>
  <c r="S55" i="32"/>
  <c r="AC55" i="32"/>
  <c r="R55" i="32"/>
  <c r="AB55" i="32"/>
  <c r="Q55" i="32"/>
  <c r="AA55" i="32"/>
  <c r="P55" i="32"/>
  <c r="Z55" i="32"/>
  <c r="F55" i="32"/>
  <c r="M55" i="32"/>
  <c r="E55" i="32"/>
  <c r="L55" i="32"/>
  <c r="D55" i="32"/>
  <c r="K55" i="32"/>
  <c r="AW54" i="32"/>
  <c r="AY54" i="32"/>
  <c r="AN54" i="32"/>
  <c r="AT54" i="32"/>
  <c r="AM54" i="32"/>
  <c r="AS54" i="32"/>
  <c r="AL54" i="32"/>
  <c r="AR54" i="32"/>
  <c r="AF54" i="32"/>
  <c r="AJ54" i="32"/>
  <c r="AE54" i="32"/>
  <c r="AI54" i="32"/>
  <c r="T54" i="32"/>
  <c r="AD54" i="32"/>
  <c r="S54" i="32"/>
  <c r="AC54" i="32"/>
  <c r="R54" i="32"/>
  <c r="AB54" i="32"/>
  <c r="Q54" i="32"/>
  <c r="AA54" i="32"/>
  <c r="P54" i="32"/>
  <c r="Z54" i="32"/>
  <c r="F54" i="32"/>
  <c r="M54" i="32"/>
  <c r="E54" i="32"/>
  <c r="L54" i="32"/>
  <c r="D54" i="32"/>
  <c r="K54" i="32"/>
  <c r="AW53" i="32"/>
  <c r="AY53" i="32"/>
  <c r="AN53" i="32"/>
  <c r="AT53" i="32"/>
  <c r="AM53" i="32"/>
  <c r="AS53" i="32"/>
  <c r="AL53" i="32"/>
  <c r="AR53" i="32"/>
  <c r="AF53" i="32"/>
  <c r="AJ53" i="32"/>
  <c r="AE53" i="32"/>
  <c r="AI53" i="32"/>
  <c r="T53" i="32"/>
  <c r="AD53" i="32"/>
  <c r="S53" i="32"/>
  <c r="AC53" i="32"/>
  <c r="R53" i="32"/>
  <c r="AB53" i="32"/>
  <c r="Q53" i="32"/>
  <c r="AA53" i="32"/>
  <c r="P53" i="32"/>
  <c r="Z53" i="32"/>
  <c r="F53" i="32"/>
  <c r="M53" i="32"/>
  <c r="E53" i="32"/>
  <c r="L53" i="32"/>
  <c r="D53" i="32"/>
  <c r="K53" i="32"/>
  <c r="AW52" i="32"/>
  <c r="AY52" i="32"/>
  <c r="AN52" i="32"/>
  <c r="AT52" i="32"/>
  <c r="AM52" i="32"/>
  <c r="AS52" i="32"/>
  <c r="AL52" i="32"/>
  <c r="AR52" i="32"/>
  <c r="AF52" i="32"/>
  <c r="AJ52" i="32"/>
  <c r="AE52" i="32"/>
  <c r="AI52" i="32"/>
  <c r="T52" i="32"/>
  <c r="AD52" i="32"/>
  <c r="S52" i="32"/>
  <c r="AC52" i="32"/>
  <c r="R52" i="32"/>
  <c r="AB52" i="32"/>
  <c r="Q52" i="32"/>
  <c r="AA52" i="32"/>
  <c r="P52" i="32"/>
  <c r="Z52" i="32"/>
  <c r="F52" i="32"/>
  <c r="M52" i="32"/>
  <c r="E52" i="32"/>
  <c r="L52" i="32"/>
  <c r="D52" i="32"/>
  <c r="K52" i="32"/>
  <c r="AW51" i="32"/>
  <c r="AY51" i="32"/>
  <c r="AN51" i="32"/>
  <c r="AT51" i="32"/>
  <c r="AM51" i="32"/>
  <c r="AS51" i="32"/>
  <c r="AL51" i="32"/>
  <c r="AR51" i="32"/>
  <c r="AF51" i="32"/>
  <c r="AJ51" i="32"/>
  <c r="AE51" i="32"/>
  <c r="AI51" i="32"/>
  <c r="T51" i="32"/>
  <c r="AD51" i="32"/>
  <c r="S51" i="32"/>
  <c r="AC51" i="32"/>
  <c r="R51" i="32"/>
  <c r="AB51" i="32"/>
  <c r="Q51" i="32"/>
  <c r="AA51" i="32"/>
  <c r="P51" i="32"/>
  <c r="Z51" i="32"/>
  <c r="F51" i="32"/>
  <c r="M51" i="32"/>
  <c r="E51" i="32"/>
  <c r="L51" i="32"/>
  <c r="D51" i="32"/>
  <c r="K51" i="32"/>
  <c r="AW50" i="32"/>
  <c r="AY50" i="32"/>
  <c r="AN50" i="32"/>
  <c r="AT50" i="32"/>
  <c r="AM50" i="32"/>
  <c r="AS50" i="32"/>
  <c r="AL50" i="32"/>
  <c r="AR50" i="32"/>
  <c r="AF50" i="32"/>
  <c r="AJ50" i="32"/>
  <c r="AE50" i="32"/>
  <c r="AI50" i="32"/>
  <c r="T50" i="32"/>
  <c r="AD50" i="32"/>
  <c r="S50" i="32"/>
  <c r="AC50" i="32"/>
  <c r="R50" i="32"/>
  <c r="AB50" i="32"/>
  <c r="Q50" i="32"/>
  <c r="AA50" i="32"/>
  <c r="P50" i="32"/>
  <c r="Z50" i="32"/>
  <c r="F50" i="32"/>
  <c r="M50" i="32"/>
  <c r="E50" i="32"/>
  <c r="L50" i="32"/>
  <c r="D50" i="32"/>
  <c r="K50" i="32"/>
  <c r="AW23" i="32"/>
  <c r="AW49" i="32"/>
  <c r="AY49" i="32"/>
  <c r="AN23" i="32"/>
  <c r="AN49" i="32"/>
  <c r="AT49" i="32"/>
  <c r="AM23" i="32"/>
  <c r="AM49" i="32"/>
  <c r="AS49" i="32"/>
  <c r="AL23" i="32"/>
  <c r="AL49" i="32"/>
  <c r="AR49" i="32"/>
  <c r="AF23" i="32"/>
  <c r="AF49" i="32"/>
  <c r="AJ49" i="32"/>
  <c r="AE23" i="32"/>
  <c r="AE49" i="32"/>
  <c r="AI49" i="32"/>
  <c r="T23" i="32"/>
  <c r="T49" i="32"/>
  <c r="AD23" i="32"/>
  <c r="AD49" i="32"/>
  <c r="S23" i="32"/>
  <c r="S49" i="32"/>
  <c r="AC23" i="32"/>
  <c r="AC49" i="32"/>
  <c r="R23" i="32"/>
  <c r="R49" i="32"/>
  <c r="AB23" i="32"/>
  <c r="AB49" i="32"/>
  <c r="Q23" i="32"/>
  <c r="Q49" i="32"/>
  <c r="AA23" i="32"/>
  <c r="AA49" i="32"/>
  <c r="P23" i="32"/>
  <c r="P49" i="32"/>
  <c r="Z23" i="32"/>
  <c r="Z49" i="32"/>
  <c r="F23" i="32"/>
  <c r="F49" i="32"/>
  <c r="M23" i="32"/>
  <c r="M49" i="32"/>
  <c r="E23" i="32"/>
  <c r="E49" i="32"/>
  <c r="L49" i="32"/>
  <c r="D23" i="32"/>
  <c r="D49" i="32"/>
  <c r="K49" i="32"/>
  <c r="AW48" i="32"/>
  <c r="AX48" i="32"/>
  <c r="AP23" i="32"/>
  <c r="AP49" i="32"/>
  <c r="AP50" i="32"/>
  <c r="AP51" i="32"/>
  <c r="AP52" i="32"/>
  <c r="AP53" i="32"/>
  <c r="AP54" i="32"/>
  <c r="AP55" i="32"/>
  <c r="AP56" i="32"/>
  <c r="AP57" i="32"/>
  <c r="AP58" i="32"/>
  <c r="AP59" i="32"/>
  <c r="AP60" i="32"/>
  <c r="AP61" i="32"/>
  <c r="AP62" i="32"/>
  <c r="AP48" i="32"/>
  <c r="AQ48" i="32"/>
  <c r="AG23" i="32"/>
  <c r="AG49" i="32"/>
  <c r="AG50" i="32"/>
  <c r="AG51" i="32"/>
  <c r="AG52" i="32"/>
  <c r="AG53" i="32"/>
  <c r="AG54" i="32"/>
  <c r="AG55" i="32"/>
  <c r="AG56" i="32"/>
  <c r="AG57" i="32"/>
  <c r="AG58" i="32"/>
  <c r="AG59" i="32"/>
  <c r="AG60" i="32"/>
  <c r="AG61" i="32"/>
  <c r="AG62" i="32"/>
  <c r="AG48" i="32"/>
  <c r="AH48" i="32"/>
  <c r="T48" i="32"/>
  <c r="Y48" i="32"/>
  <c r="S48" i="32"/>
  <c r="X48" i="32"/>
  <c r="R48" i="32"/>
  <c r="W48" i="32"/>
  <c r="Q48" i="32"/>
  <c r="V48" i="32"/>
  <c r="P48" i="32"/>
  <c r="U48" i="32"/>
  <c r="I23" i="32"/>
  <c r="I49" i="32"/>
  <c r="I50" i="32"/>
  <c r="I51" i="32"/>
  <c r="I52" i="32"/>
  <c r="I53" i="32"/>
  <c r="I54" i="32"/>
  <c r="I55" i="32"/>
  <c r="I56" i="32"/>
  <c r="I57" i="32"/>
  <c r="I58" i="32"/>
  <c r="I59" i="32"/>
  <c r="I60" i="32"/>
  <c r="I61" i="32"/>
  <c r="I62" i="32"/>
  <c r="I48" i="32"/>
  <c r="J48" i="32"/>
  <c r="AW6" i="32"/>
  <c r="AW47" i="32"/>
  <c r="AY47" i="32"/>
  <c r="AN6" i="32"/>
  <c r="AN47" i="32"/>
  <c r="AT47" i="32"/>
  <c r="AM6" i="32"/>
  <c r="AM47" i="32"/>
  <c r="AS47" i="32"/>
  <c r="AL6" i="32"/>
  <c r="AL47" i="32"/>
  <c r="AR47" i="32"/>
  <c r="AF6" i="32"/>
  <c r="AF47" i="32"/>
  <c r="AJ47" i="32"/>
  <c r="AE6" i="32"/>
  <c r="AE47" i="32"/>
  <c r="AI47" i="32"/>
  <c r="T6" i="32"/>
  <c r="T47" i="32"/>
  <c r="AD6" i="32"/>
  <c r="AD47" i="32"/>
  <c r="S6" i="32"/>
  <c r="S47" i="32"/>
  <c r="AC6" i="32"/>
  <c r="AC47" i="32"/>
  <c r="R6" i="32"/>
  <c r="R47" i="32"/>
  <c r="AB6" i="32"/>
  <c r="AB47" i="32"/>
  <c r="Q6" i="32"/>
  <c r="Q47" i="32"/>
  <c r="AA6" i="32"/>
  <c r="AA47" i="32"/>
  <c r="P6" i="32"/>
  <c r="P47" i="32"/>
  <c r="Z6" i="32"/>
  <c r="Z47" i="32"/>
  <c r="F6" i="32"/>
  <c r="F47" i="32"/>
  <c r="M6" i="32"/>
  <c r="M47" i="32"/>
  <c r="E6" i="32"/>
  <c r="E47" i="32"/>
  <c r="L47" i="32"/>
  <c r="D6" i="32"/>
  <c r="D47" i="32"/>
  <c r="K47" i="32"/>
  <c r="AW10" i="32"/>
  <c r="AW46" i="32"/>
  <c r="AY46" i="32"/>
  <c r="AN10" i="32"/>
  <c r="AN46" i="32"/>
  <c r="AT46" i="32"/>
  <c r="AM10" i="32"/>
  <c r="AM46" i="32"/>
  <c r="AS46" i="32"/>
  <c r="AL10" i="32"/>
  <c r="AL46" i="32"/>
  <c r="AR46" i="32"/>
  <c r="AF10" i="32"/>
  <c r="AF46" i="32"/>
  <c r="AJ46" i="32"/>
  <c r="AE10" i="32"/>
  <c r="AE46" i="32"/>
  <c r="AI46" i="32"/>
  <c r="T10" i="32"/>
  <c r="T46" i="32"/>
  <c r="AD10" i="32"/>
  <c r="AD46" i="32"/>
  <c r="S10" i="32"/>
  <c r="S46" i="32"/>
  <c r="AC10" i="32"/>
  <c r="AC46" i="32"/>
  <c r="R10" i="32"/>
  <c r="R46" i="32"/>
  <c r="AB10" i="32"/>
  <c r="AB46" i="32"/>
  <c r="Q10" i="32"/>
  <c r="Q46" i="32"/>
  <c r="AA10" i="32"/>
  <c r="AA46" i="32"/>
  <c r="P10" i="32"/>
  <c r="P46" i="32"/>
  <c r="Z10" i="32"/>
  <c r="Z46" i="32"/>
  <c r="F10" i="32"/>
  <c r="F46" i="32"/>
  <c r="M10" i="32"/>
  <c r="M46" i="32"/>
  <c r="E10" i="32"/>
  <c r="E46" i="32"/>
  <c r="L46" i="32"/>
  <c r="D10" i="32"/>
  <c r="D46" i="32"/>
  <c r="K46" i="32"/>
  <c r="AW45" i="32"/>
  <c r="AX45" i="32"/>
  <c r="AP10" i="32"/>
  <c r="AP46" i="32"/>
  <c r="AP6" i="32"/>
  <c r="AP47" i="32"/>
  <c r="AP45" i="32"/>
  <c r="AQ45" i="32"/>
  <c r="AG10" i="32"/>
  <c r="AG46" i="32"/>
  <c r="AG6" i="32"/>
  <c r="AG47" i="32"/>
  <c r="AG45" i="32"/>
  <c r="AH45" i="32"/>
  <c r="T45" i="32"/>
  <c r="Y45" i="32"/>
  <c r="S45" i="32"/>
  <c r="X45" i="32"/>
  <c r="R45" i="32"/>
  <c r="W45" i="32"/>
  <c r="Q45" i="32"/>
  <c r="V45" i="32"/>
  <c r="P45" i="32"/>
  <c r="U45" i="32"/>
  <c r="I10" i="32"/>
  <c r="I46" i="32"/>
  <c r="I6" i="32"/>
  <c r="I47" i="32"/>
  <c r="I45" i="32"/>
  <c r="J45" i="32"/>
  <c r="AW15" i="32"/>
  <c r="AW44" i="32"/>
  <c r="AY44" i="32"/>
  <c r="AN15" i="32"/>
  <c r="AN44" i="32"/>
  <c r="AT44" i="32"/>
  <c r="AM15" i="32"/>
  <c r="AM44" i="32"/>
  <c r="AS44" i="32"/>
  <c r="AL15" i="32"/>
  <c r="AL44" i="32"/>
  <c r="AR44" i="32"/>
  <c r="AF15" i="32"/>
  <c r="AF44" i="32"/>
  <c r="AJ44" i="32"/>
  <c r="AE15" i="32"/>
  <c r="AE44" i="32"/>
  <c r="AI44" i="32"/>
  <c r="T15" i="32"/>
  <c r="T44" i="32"/>
  <c r="AD44" i="32"/>
  <c r="S15" i="32"/>
  <c r="S44" i="32"/>
  <c r="AC44" i="32"/>
  <c r="R15" i="32"/>
  <c r="R44" i="32"/>
  <c r="AB44" i="32"/>
  <c r="Q15" i="32"/>
  <c r="Q44" i="32"/>
  <c r="AA44" i="32"/>
  <c r="P15" i="32"/>
  <c r="P44" i="32"/>
  <c r="Z44" i="32"/>
  <c r="F15" i="32"/>
  <c r="F44" i="32"/>
  <c r="M44" i="32"/>
  <c r="E15" i="32"/>
  <c r="E44" i="32"/>
  <c r="L44" i="32"/>
  <c r="D15" i="32"/>
  <c r="D44" i="32"/>
  <c r="K44" i="32"/>
  <c r="AW28" i="32"/>
  <c r="AW43" i="32"/>
  <c r="AY43" i="32"/>
  <c r="AN28" i="32"/>
  <c r="AN43" i="32"/>
  <c r="AT43" i="32"/>
  <c r="AM28" i="32"/>
  <c r="AM43" i="32"/>
  <c r="AS43" i="32"/>
  <c r="AL28" i="32"/>
  <c r="AL43" i="32"/>
  <c r="AR43" i="32"/>
  <c r="AF28" i="32"/>
  <c r="AF43" i="32"/>
  <c r="AJ43" i="32"/>
  <c r="AE28" i="32"/>
  <c r="AE43" i="32"/>
  <c r="AI43" i="32"/>
  <c r="T28" i="32"/>
  <c r="T43" i="32"/>
  <c r="AD28" i="32"/>
  <c r="AD43" i="32"/>
  <c r="S28" i="32"/>
  <c r="S43" i="32"/>
  <c r="AC28" i="32"/>
  <c r="AC43" i="32"/>
  <c r="R28" i="32"/>
  <c r="R43" i="32"/>
  <c r="AB28" i="32"/>
  <c r="AB43" i="32"/>
  <c r="Q28" i="32"/>
  <c r="Q43" i="32"/>
  <c r="AA28" i="32"/>
  <c r="AA43" i="32"/>
  <c r="P28" i="32"/>
  <c r="P43" i="32"/>
  <c r="Z28" i="32"/>
  <c r="Z43" i="32"/>
  <c r="F28" i="32"/>
  <c r="F43" i="32"/>
  <c r="M28" i="32"/>
  <c r="M43" i="32"/>
  <c r="E28" i="32"/>
  <c r="E43" i="32"/>
  <c r="L43" i="32"/>
  <c r="D28" i="32"/>
  <c r="D43" i="32"/>
  <c r="K43" i="32"/>
  <c r="AW19" i="32"/>
  <c r="AW42" i="32"/>
  <c r="AY42" i="32"/>
  <c r="AN19" i="32"/>
  <c r="AN42" i="32"/>
  <c r="AT42" i="32"/>
  <c r="AM19" i="32"/>
  <c r="AM42" i="32"/>
  <c r="AS42" i="32"/>
  <c r="AL19" i="32"/>
  <c r="AL42" i="32"/>
  <c r="AR42" i="32"/>
  <c r="AF19" i="32"/>
  <c r="AF42" i="32"/>
  <c r="AJ42" i="32"/>
  <c r="AE19" i="32"/>
  <c r="AE42" i="32"/>
  <c r="AI42" i="32"/>
  <c r="T19" i="32"/>
  <c r="T42" i="32"/>
  <c r="AD19" i="32"/>
  <c r="AD42" i="32"/>
  <c r="S19" i="32"/>
  <c r="S42" i="32"/>
  <c r="AC19" i="32"/>
  <c r="AC42" i="32"/>
  <c r="R19" i="32"/>
  <c r="R42" i="32"/>
  <c r="AB19" i="32"/>
  <c r="AB42" i="32"/>
  <c r="Q19" i="32"/>
  <c r="Q42" i="32"/>
  <c r="AA19" i="32"/>
  <c r="AA42" i="32"/>
  <c r="P19" i="32"/>
  <c r="P42" i="32"/>
  <c r="Z19" i="32"/>
  <c r="Z42" i="32"/>
  <c r="F19" i="32"/>
  <c r="F42" i="32"/>
  <c r="M19" i="32"/>
  <c r="M42" i="32"/>
  <c r="E19" i="32"/>
  <c r="E42" i="32"/>
  <c r="L42" i="32"/>
  <c r="D19" i="32"/>
  <c r="D42" i="32"/>
  <c r="K42" i="32"/>
  <c r="AW8" i="32"/>
  <c r="AW41" i="32"/>
  <c r="AY41" i="32"/>
  <c r="AN8" i="32"/>
  <c r="AN41" i="32"/>
  <c r="AT41" i="32"/>
  <c r="AM8" i="32"/>
  <c r="AM41" i="32"/>
  <c r="AS41" i="32"/>
  <c r="AL8" i="32"/>
  <c r="AL41" i="32"/>
  <c r="AR41" i="32"/>
  <c r="AF8" i="32"/>
  <c r="AF41" i="32"/>
  <c r="AJ41" i="32"/>
  <c r="AE8" i="32"/>
  <c r="AE41" i="32"/>
  <c r="AI41" i="32"/>
  <c r="T8" i="32"/>
  <c r="T41" i="32"/>
  <c r="AD8" i="32"/>
  <c r="AD41" i="32"/>
  <c r="S8" i="32"/>
  <c r="S41" i="32"/>
  <c r="AC8" i="32"/>
  <c r="AC41" i="32"/>
  <c r="R8" i="32"/>
  <c r="R41" i="32"/>
  <c r="AB8" i="32"/>
  <c r="AB41" i="32"/>
  <c r="Q8" i="32"/>
  <c r="Q41" i="32"/>
  <c r="AA8" i="32"/>
  <c r="AA41" i="32"/>
  <c r="P8" i="32"/>
  <c r="P41" i="32"/>
  <c r="Z8" i="32"/>
  <c r="Z41" i="32"/>
  <c r="F8" i="32"/>
  <c r="F41" i="32"/>
  <c r="M8" i="32"/>
  <c r="M41" i="32"/>
  <c r="E8" i="32"/>
  <c r="E41" i="32"/>
  <c r="L41" i="32"/>
  <c r="D8" i="32"/>
  <c r="D41" i="32"/>
  <c r="K41" i="32"/>
  <c r="AW4" i="32"/>
  <c r="AW40" i="32"/>
  <c r="AY40" i="32"/>
  <c r="AN4" i="32"/>
  <c r="AN40" i="32"/>
  <c r="AT40" i="32"/>
  <c r="AM4" i="32"/>
  <c r="AM40" i="32"/>
  <c r="AS40" i="32"/>
  <c r="AL4" i="32"/>
  <c r="AL40" i="32"/>
  <c r="AR40" i="32"/>
  <c r="AF4" i="32"/>
  <c r="AF40" i="32"/>
  <c r="AJ40" i="32"/>
  <c r="AE4" i="32"/>
  <c r="AE40" i="32"/>
  <c r="AI40" i="32"/>
  <c r="T4" i="32"/>
  <c r="T40" i="32"/>
  <c r="AD4" i="32"/>
  <c r="AD40" i="32"/>
  <c r="S4" i="32"/>
  <c r="S40" i="32"/>
  <c r="AC4" i="32"/>
  <c r="AC40" i="32"/>
  <c r="R4" i="32"/>
  <c r="R40" i="32"/>
  <c r="AB4" i="32"/>
  <c r="AB40" i="32"/>
  <c r="Q4" i="32"/>
  <c r="Q40" i="32"/>
  <c r="AA4" i="32"/>
  <c r="AA40" i="32"/>
  <c r="P4" i="32"/>
  <c r="P40" i="32"/>
  <c r="Z4" i="32"/>
  <c r="Z40" i="32"/>
  <c r="F4" i="32"/>
  <c r="F40" i="32"/>
  <c r="M4" i="32"/>
  <c r="M40" i="32"/>
  <c r="E4" i="32"/>
  <c r="E40" i="32"/>
  <c r="L40" i="32"/>
  <c r="D4" i="32"/>
  <c r="D40" i="32"/>
  <c r="K40" i="32"/>
  <c r="AW11" i="32"/>
  <c r="AW39" i="32"/>
  <c r="AY39" i="32"/>
  <c r="AN11" i="32"/>
  <c r="AN39" i="32"/>
  <c r="AT39" i="32"/>
  <c r="AM11" i="32"/>
  <c r="AM39" i="32"/>
  <c r="AS39" i="32"/>
  <c r="AL11" i="32"/>
  <c r="AL39" i="32"/>
  <c r="AR39" i="32"/>
  <c r="AF11" i="32"/>
  <c r="AF39" i="32"/>
  <c r="AJ39" i="32"/>
  <c r="AE11" i="32"/>
  <c r="AE39" i="32"/>
  <c r="AI39" i="32"/>
  <c r="T11" i="32"/>
  <c r="T39" i="32"/>
  <c r="AD11" i="32"/>
  <c r="AD39" i="32"/>
  <c r="S11" i="32"/>
  <c r="S39" i="32"/>
  <c r="AC11" i="32"/>
  <c r="AC39" i="32"/>
  <c r="R11" i="32"/>
  <c r="R39" i="32"/>
  <c r="AB11" i="32"/>
  <c r="AB39" i="32"/>
  <c r="Q11" i="32"/>
  <c r="Q39" i="32"/>
  <c r="AA11" i="32"/>
  <c r="AA39" i="32"/>
  <c r="P11" i="32"/>
  <c r="P39" i="32"/>
  <c r="Z11" i="32"/>
  <c r="Z39" i="32"/>
  <c r="F11" i="32"/>
  <c r="F39" i="32"/>
  <c r="M11" i="32"/>
  <c r="M39" i="32"/>
  <c r="E11" i="32"/>
  <c r="E39" i="32"/>
  <c r="L39" i="32"/>
  <c r="D11" i="32"/>
  <c r="D39" i="32"/>
  <c r="K39" i="32"/>
  <c r="AW2" i="32"/>
  <c r="AW38" i="32"/>
  <c r="AY38" i="32"/>
  <c r="AN2" i="32"/>
  <c r="AN38" i="32"/>
  <c r="AT38" i="32"/>
  <c r="AM2" i="32"/>
  <c r="AM38" i="32"/>
  <c r="AS38" i="32"/>
  <c r="AL2" i="32"/>
  <c r="AL38" i="32"/>
  <c r="AR38" i="32"/>
  <c r="AF2" i="32"/>
  <c r="AF38" i="32"/>
  <c r="AJ38" i="32"/>
  <c r="AE2" i="32"/>
  <c r="AE38" i="32"/>
  <c r="AI38" i="32"/>
  <c r="T2" i="32"/>
  <c r="T38" i="32"/>
  <c r="AD2" i="32"/>
  <c r="AD38" i="32"/>
  <c r="S2" i="32"/>
  <c r="S38" i="32"/>
  <c r="AC2" i="32"/>
  <c r="AC38" i="32"/>
  <c r="R2" i="32"/>
  <c r="R38" i="32"/>
  <c r="AB2" i="32"/>
  <c r="AB38" i="32"/>
  <c r="Q2" i="32"/>
  <c r="Q38" i="32"/>
  <c r="AA2" i="32"/>
  <c r="AA38" i="32"/>
  <c r="P2" i="32"/>
  <c r="P38" i="32"/>
  <c r="Z2" i="32"/>
  <c r="Z38" i="32"/>
  <c r="F2" i="32"/>
  <c r="F38" i="32"/>
  <c r="M2" i="32"/>
  <c r="M38" i="32"/>
  <c r="E2" i="32"/>
  <c r="E38" i="32"/>
  <c r="L38" i="32"/>
  <c r="D2" i="32"/>
  <c r="D38" i="32"/>
  <c r="K38" i="32"/>
  <c r="AW22" i="32"/>
  <c r="AW37" i="32"/>
  <c r="AY37" i="32"/>
  <c r="AN22" i="32"/>
  <c r="AN37" i="32"/>
  <c r="AT37" i="32"/>
  <c r="AM22" i="32"/>
  <c r="AM37" i="32"/>
  <c r="AS37" i="32"/>
  <c r="AL22" i="32"/>
  <c r="AL37" i="32"/>
  <c r="AR37" i="32"/>
  <c r="AF22" i="32"/>
  <c r="AF37" i="32"/>
  <c r="AJ37" i="32"/>
  <c r="AE22" i="32"/>
  <c r="AE37" i="32"/>
  <c r="AI37" i="32"/>
  <c r="T22" i="32"/>
  <c r="T37" i="32"/>
  <c r="AD22" i="32"/>
  <c r="AD37" i="32"/>
  <c r="S22" i="32"/>
  <c r="S37" i="32"/>
  <c r="AC22" i="32"/>
  <c r="AC37" i="32"/>
  <c r="R22" i="32"/>
  <c r="R37" i="32"/>
  <c r="AB22" i="32"/>
  <c r="AB37" i="32"/>
  <c r="Q22" i="32"/>
  <c r="Q37" i="32"/>
  <c r="AA22" i="32"/>
  <c r="AA37" i="32"/>
  <c r="P22" i="32"/>
  <c r="P37" i="32"/>
  <c r="Z22" i="32"/>
  <c r="Z37" i="32"/>
  <c r="F22" i="32"/>
  <c r="F37" i="32"/>
  <c r="M22" i="32"/>
  <c r="M37" i="32"/>
  <c r="E22" i="32"/>
  <c r="E37" i="32"/>
  <c r="L37" i="32"/>
  <c r="D22" i="32"/>
  <c r="D37" i="32"/>
  <c r="K37" i="32"/>
  <c r="AW26" i="32"/>
  <c r="AW36" i="32"/>
  <c r="AY36" i="32"/>
  <c r="AN26" i="32"/>
  <c r="AN36" i="32"/>
  <c r="AT36" i="32"/>
  <c r="AM26" i="32"/>
  <c r="AM36" i="32"/>
  <c r="AS36" i="32"/>
  <c r="AL26" i="32"/>
  <c r="AL36" i="32"/>
  <c r="AR36" i="32"/>
  <c r="AF26" i="32"/>
  <c r="AF36" i="32"/>
  <c r="AJ36" i="32"/>
  <c r="AE26" i="32"/>
  <c r="AE36" i="32"/>
  <c r="AI36" i="32"/>
  <c r="T26" i="32"/>
  <c r="T36" i="32"/>
  <c r="AD26" i="32"/>
  <c r="AD36" i="32"/>
  <c r="S26" i="32"/>
  <c r="S36" i="32"/>
  <c r="AC26" i="32"/>
  <c r="AC36" i="32"/>
  <c r="R26" i="32"/>
  <c r="R36" i="32"/>
  <c r="AB26" i="32"/>
  <c r="AB36" i="32"/>
  <c r="Q26" i="32"/>
  <c r="Q36" i="32"/>
  <c r="AA26" i="32"/>
  <c r="AA36" i="32"/>
  <c r="P26" i="32"/>
  <c r="P36" i="32"/>
  <c r="Z26" i="32"/>
  <c r="Z36" i="32"/>
  <c r="F26" i="32"/>
  <c r="F36" i="32"/>
  <c r="M26" i="32"/>
  <c r="M36" i="32"/>
  <c r="E26" i="32"/>
  <c r="E36" i="32"/>
  <c r="L36" i="32"/>
  <c r="D26" i="32"/>
  <c r="D36" i="32"/>
  <c r="K36" i="32"/>
  <c r="AW30" i="32"/>
  <c r="AW35" i="32"/>
  <c r="AY35" i="32"/>
  <c r="AN30" i="32"/>
  <c r="AN35" i="32"/>
  <c r="AT35" i="32"/>
  <c r="AM30" i="32"/>
  <c r="AM35" i="32"/>
  <c r="AS35" i="32"/>
  <c r="AL30" i="32"/>
  <c r="AL35" i="32"/>
  <c r="AR35" i="32"/>
  <c r="AF30" i="32"/>
  <c r="AF35" i="32"/>
  <c r="AJ35" i="32"/>
  <c r="AE30" i="32"/>
  <c r="AE35" i="32"/>
  <c r="AI35" i="32"/>
  <c r="T30" i="32"/>
  <c r="T35" i="32"/>
  <c r="AD30" i="32"/>
  <c r="AD35" i="32"/>
  <c r="S30" i="32"/>
  <c r="S35" i="32"/>
  <c r="AC30" i="32"/>
  <c r="AC35" i="32"/>
  <c r="R30" i="32"/>
  <c r="R35" i="32"/>
  <c r="AB30" i="32"/>
  <c r="AB35" i="32"/>
  <c r="Q30" i="32"/>
  <c r="Q35" i="32"/>
  <c r="AA30" i="32"/>
  <c r="AA35" i="32"/>
  <c r="P30" i="32"/>
  <c r="P35" i="32"/>
  <c r="Z30" i="32"/>
  <c r="Z35" i="32"/>
  <c r="F30" i="32"/>
  <c r="F35" i="32"/>
  <c r="M30" i="32"/>
  <c r="M35" i="32"/>
  <c r="E30" i="32"/>
  <c r="E35" i="32"/>
  <c r="L35" i="32"/>
  <c r="D30" i="32"/>
  <c r="D35" i="32"/>
  <c r="K35" i="32"/>
  <c r="AW14" i="32"/>
  <c r="AW34" i="32"/>
  <c r="AY34" i="32"/>
  <c r="AN14" i="32"/>
  <c r="AN34" i="32"/>
  <c r="AT34" i="32"/>
  <c r="AM14" i="32"/>
  <c r="AM34" i="32"/>
  <c r="AS34" i="32"/>
  <c r="AL14" i="32"/>
  <c r="AL34" i="32"/>
  <c r="AR34" i="32"/>
  <c r="AF14" i="32"/>
  <c r="AF34" i="32"/>
  <c r="AJ34" i="32"/>
  <c r="AE14" i="32"/>
  <c r="AE34" i="32"/>
  <c r="AI34" i="32"/>
  <c r="T14" i="32"/>
  <c r="T34" i="32"/>
  <c r="AD14" i="32"/>
  <c r="AD34" i="32"/>
  <c r="S14" i="32"/>
  <c r="S34" i="32"/>
  <c r="AC14" i="32"/>
  <c r="AC34" i="32"/>
  <c r="R14" i="32"/>
  <c r="R34" i="32"/>
  <c r="AB14" i="32"/>
  <c r="AB34" i="32"/>
  <c r="Q14" i="32"/>
  <c r="Q34" i="32"/>
  <c r="AA14" i="32"/>
  <c r="AA34" i="32"/>
  <c r="P14" i="32"/>
  <c r="P34" i="32"/>
  <c r="Z14" i="32"/>
  <c r="Z34" i="32"/>
  <c r="F14" i="32"/>
  <c r="F34" i="32"/>
  <c r="M14" i="32"/>
  <c r="M34" i="32"/>
  <c r="E14" i="32"/>
  <c r="E34" i="32"/>
  <c r="L34" i="32"/>
  <c r="D14" i="32"/>
  <c r="D34" i="32"/>
  <c r="K34" i="32"/>
  <c r="AW13" i="32"/>
  <c r="AW33" i="32"/>
  <c r="AY33" i="32"/>
  <c r="AN13" i="32"/>
  <c r="AN33" i="32"/>
  <c r="AT33" i="32"/>
  <c r="AM13" i="32"/>
  <c r="AM33" i="32"/>
  <c r="AS33" i="32"/>
  <c r="AL13" i="32"/>
  <c r="AL33" i="32"/>
  <c r="AR33" i="32"/>
  <c r="AF13" i="32"/>
  <c r="AF33" i="32"/>
  <c r="AJ33" i="32"/>
  <c r="AE13" i="32"/>
  <c r="AE33" i="32"/>
  <c r="AI33" i="32"/>
  <c r="T13" i="32"/>
  <c r="T33" i="32"/>
  <c r="AD13" i="32"/>
  <c r="AD33" i="32"/>
  <c r="S13" i="32"/>
  <c r="S33" i="32"/>
  <c r="AC13" i="32"/>
  <c r="AC33" i="32"/>
  <c r="R13" i="32"/>
  <c r="R33" i="32"/>
  <c r="AB13" i="32"/>
  <c r="AB33" i="32"/>
  <c r="Q13" i="32"/>
  <c r="Q33" i="32"/>
  <c r="AA13" i="32"/>
  <c r="AA33" i="32"/>
  <c r="P13" i="32"/>
  <c r="P33" i="32"/>
  <c r="Z13" i="32"/>
  <c r="Z33" i="32"/>
  <c r="F13" i="32"/>
  <c r="F33" i="32"/>
  <c r="M13" i="32"/>
  <c r="M33" i="32"/>
  <c r="E13" i="32"/>
  <c r="E33" i="32"/>
  <c r="L33" i="32"/>
  <c r="D13" i="32"/>
  <c r="D33" i="32"/>
  <c r="K33" i="32"/>
  <c r="AW3" i="32"/>
  <c r="AW32" i="32"/>
  <c r="AY32" i="32"/>
  <c r="AN3" i="32"/>
  <c r="AN32" i="32"/>
  <c r="AT32" i="32"/>
  <c r="AM3" i="32"/>
  <c r="AM32" i="32"/>
  <c r="AS32" i="32"/>
  <c r="AL3" i="32"/>
  <c r="AL32" i="32"/>
  <c r="AR32" i="32"/>
  <c r="AF3" i="32"/>
  <c r="AF32" i="32"/>
  <c r="AJ32" i="32"/>
  <c r="AE3" i="32"/>
  <c r="AE32" i="32"/>
  <c r="AI32" i="32"/>
  <c r="T3" i="32"/>
  <c r="T32" i="32"/>
  <c r="AD3" i="32"/>
  <c r="AD32" i="32"/>
  <c r="S3" i="32"/>
  <c r="S32" i="32"/>
  <c r="AC3" i="32"/>
  <c r="AC32" i="32"/>
  <c r="R3" i="32"/>
  <c r="R32" i="32"/>
  <c r="AB3" i="32"/>
  <c r="AB32" i="32"/>
  <c r="Q3" i="32"/>
  <c r="Q32" i="32"/>
  <c r="AA3" i="32"/>
  <c r="AA32" i="32"/>
  <c r="P3" i="32"/>
  <c r="P32" i="32"/>
  <c r="Z3" i="32"/>
  <c r="Z32" i="32"/>
  <c r="F3" i="32"/>
  <c r="F32" i="32"/>
  <c r="M3" i="32"/>
  <c r="M32" i="32"/>
  <c r="E3" i="32"/>
  <c r="E32" i="32"/>
  <c r="L32" i="32"/>
  <c r="D3" i="32"/>
  <c r="D32" i="32"/>
  <c r="K32" i="32"/>
  <c r="AW31" i="32"/>
  <c r="AX31" i="32"/>
  <c r="AP3" i="32"/>
  <c r="AP32" i="32"/>
  <c r="AP13" i="32"/>
  <c r="AP33" i="32"/>
  <c r="AP14" i="32"/>
  <c r="AP34" i="32"/>
  <c r="AP30" i="32"/>
  <c r="AP35" i="32"/>
  <c r="AP26" i="32"/>
  <c r="AP36" i="32"/>
  <c r="AP22" i="32"/>
  <c r="AP37" i="32"/>
  <c r="AP2" i="32"/>
  <c r="AP38" i="32"/>
  <c r="AP11" i="32"/>
  <c r="AP39" i="32"/>
  <c r="AP4" i="32"/>
  <c r="AP40" i="32"/>
  <c r="AP8" i="32"/>
  <c r="AP41" i="32"/>
  <c r="AP19" i="32"/>
  <c r="AP42" i="32"/>
  <c r="AP28" i="32"/>
  <c r="AP43" i="32"/>
  <c r="AP15" i="32"/>
  <c r="AP44" i="32"/>
  <c r="AP31" i="32"/>
  <c r="AQ31" i="32"/>
  <c r="AG3" i="32"/>
  <c r="AG32" i="32"/>
  <c r="AG13" i="32"/>
  <c r="AG33" i="32"/>
  <c r="AG14" i="32"/>
  <c r="AG34" i="32"/>
  <c r="AG30" i="32"/>
  <c r="AG35" i="32"/>
  <c r="AG26" i="32"/>
  <c r="AG36" i="32"/>
  <c r="AG22" i="32"/>
  <c r="AG37" i="32"/>
  <c r="AG2" i="32"/>
  <c r="AG38" i="32"/>
  <c r="AG11" i="32"/>
  <c r="AG39" i="32"/>
  <c r="AG4" i="32"/>
  <c r="AG40" i="32"/>
  <c r="AG8" i="32"/>
  <c r="AG41" i="32"/>
  <c r="AG19" i="32"/>
  <c r="AG42" i="32"/>
  <c r="AG28" i="32"/>
  <c r="AG43" i="32"/>
  <c r="AG15" i="32"/>
  <c r="AG44" i="32"/>
  <c r="AG31" i="32"/>
  <c r="AH31" i="32"/>
  <c r="T31" i="32"/>
  <c r="Y31" i="32"/>
  <c r="S31" i="32"/>
  <c r="X31" i="32"/>
  <c r="R31" i="32"/>
  <c r="W31" i="32"/>
  <c r="Q31" i="32"/>
  <c r="V31" i="32"/>
  <c r="P31" i="32"/>
  <c r="U31" i="32"/>
  <c r="I3" i="32"/>
  <c r="I32" i="32"/>
  <c r="I13" i="32"/>
  <c r="I33" i="32"/>
  <c r="I14" i="32"/>
  <c r="I34" i="32"/>
  <c r="I30" i="32"/>
  <c r="I35" i="32"/>
  <c r="I26" i="32"/>
  <c r="I36" i="32"/>
  <c r="I22" i="32"/>
  <c r="I37" i="32"/>
  <c r="I2" i="32"/>
  <c r="I38" i="32"/>
  <c r="I11" i="32"/>
  <c r="I39" i="32"/>
  <c r="I4" i="32"/>
  <c r="I40" i="32"/>
  <c r="I8" i="32"/>
  <c r="I41" i="32"/>
  <c r="I19" i="32"/>
  <c r="I42" i="32"/>
  <c r="I28" i="32"/>
  <c r="I43" i="32"/>
  <c r="I15" i="32"/>
  <c r="I44" i="32"/>
  <c r="I31" i="32"/>
  <c r="J31" i="32"/>
  <c r="AX30" i="32"/>
  <c r="AS30" i="32"/>
  <c r="AQ30" i="32"/>
  <c r="AH30" i="32"/>
  <c r="Y30" i="32"/>
  <c r="X30" i="32"/>
  <c r="W30" i="32"/>
  <c r="V30" i="32"/>
  <c r="U30" i="32"/>
  <c r="J30" i="32"/>
  <c r="AX29" i="32"/>
  <c r="AQ29" i="32"/>
  <c r="AH29" i="32"/>
  <c r="Y29" i="32"/>
  <c r="X29" i="32"/>
  <c r="W29" i="32"/>
  <c r="V29" i="32"/>
  <c r="U29" i="32"/>
  <c r="J29" i="32"/>
  <c r="AX28" i="32"/>
  <c r="AS28" i="32"/>
  <c r="AQ28" i="32"/>
  <c r="AH28" i="32"/>
  <c r="Y28" i="32"/>
  <c r="X28" i="32"/>
  <c r="W28" i="32"/>
  <c r="V28" i="32"/>
  <c r="U28" i="32"/>
  <c r="J28" i="32"/>
  <c r="AX27" i="32"/>
  <c r="AS27" i="32"/>
  <c r="AQ27" i="32"/>
  <c r="AH27" i="32"/>
  <c r="Y27" i="32"/>
  <c r="X27" i="32"/>
  <c r="W27" i="32"/>
  <c r="V27" i="32"/>
  <c r="U27" i="32"/>
  <c r="J27" i="32"/>
  <c r="AX26" i="32"/>
  <c r="AS26" i="32"/>
  <c r="AQ26" i="32"/>
  <c r="AH26" i="32"/>
  <c r="Y26" i="32"/>
  <c r="X26" i="32"/>
  <c r="W26" i="32"/>
  <c r="V26" i="32"/>
  <c r="U26" i="32"/>
  <c r="J26" i="32"/>
  <c r="AX25" i="32"/>
  <c r="AQ25" i="32"/>
  <c r="AH25" i="32"/>
  <c r="Y25" i="32"/>
  <c r="X25" i="32"/>
  <c r="W25" i="32"/>
  <c r="V25" i="32"/>
  <c r="U25" i="32"/>
  <c r="J25" i="32"/>
  <c r="AX24" i="32"/>
  <c r="AQ24" i="32"/>
  <c r="AH24" i="32"/>
  <c r="Y24" i="32"/>
  <c r="X24" i="32"/>
  <c r="W24" i="32"/>
  <c r="V24" i="32"/>
  <c r="U24" i="32"/>
  <c r="J24" i="32"/>
  <c r="AX23" i="32"/>
  <c r="AS23" i="32"/>
  <c r="AQ23" i="32"/>
  <c r="AH23" i="32"/>
  <c r="Y23" i="32"/>
  <c r="X23" i="32"/>
  <c r="W23" i="32"/>
  <c r="V23" i="32"/>
  <c r="U23" i="32"/>
  <c r="J23" i="32"/>
  <c r="AX22" i="32"/>
  <c r="AS22" i="32"/>
  <c r="AQ22" i="32"/>
  <c r="AH22" i="32"/>
  <c r="Y22" i="32"/>
  <c r="X22" i="32"/>
  <c r="W22" i="32"/>
  <c r="V22" i="32"/>
  <c r="U22" i="32"/>
  <c r="J22" i="32"/>
  <c r="AX21" i="32"/>
  <c r="AQ21" i="32"/>
  <c r="AH21" i="32"/>
  <c r="AD21" i="32"/>
  <c r="AC21" i="32"/>
  <c r="AB21" i="32"/>
  <c r="AA21" i="32"/>
  <c r="Z21" i="32"/>
  <c r="Y21" i="32"/>
  <c r="X21" i="32"/>
  <c r="W21" i="32"/>
  <c r="V21" i="32"/>
  <c r="U21" i="32"/>
  <c r="M21" i="32"/>
  <c r="J21" i="32"/>
  <c r="AX20" i="32"/>
  <c r="AQ20" i="32"/>
  <c r="AH20" i="32"/>
  <c r="Y20" i="32"/>
  <c r="X20" i="32"/>
  <c r="W20" i="32"/>
  <c r="V20" i="32"/>
  <c r="U20" i="32"/>
  <c r="J20" i="32"/>
  <c r="AX19" i="32"/>
  <c r="AS19" i="32"/>
  <c r="AQ19" i="32"/>
  <c r="AH19" i="32"/>
  <c r="Y19" i="32"/>
  <c r="X19" i="32"/>
  <c r="W19" i="32"/>
  <c r="V19" i="32"/>
  <c r="U19" i="32"/>
  <c r="J19" i="32"/>
  <c r="AX18" i="32"/>
  <c r="AS18" i="32"/>
  <c r="AQ18" i="32"/>
  <c r="AH18" i="32"/>
  <c r="Y18" i="32"/>
  <c r="X18" i="32"/>
  <c r="W18" i="32"/>
  <c r="V18" i="32"/>
  <c r="U18" i="32"/>
  <c r="J18" i="32"/>
  <c r="AX17" i="32"/>
  <c r="AQ17" i="32"/>
  <c r="AH17" i="32"/>
  <c r="Y17" i="32"/>
  <c r="X17" i="32"/>
  <c r="W17" i="32"/>
  <c r="V17" i="32"/>
  <c r="U17" i="32"/>
  <c r="J17" i="32"/>
  <c r="AX16" i="32"/>
  <c r="AS16" i="32"/>
  <c r="AQ16" i="32"/>
  <c r="AH16" i="32"/>
  <c r="Y16" i="32"/>
  <c r="X16" i="32"/>
  <c r="W16" i="32"/>
  <c r="V16" i="32"/>
  <c r="U16" i="32"/>
  <c r="J16" i="32"/>
  <c r="AX15" i="32"/>
  <c r="AS15" i="32"/>
  <c r="AQ15" i="32"/>
  <c r="AH15" i="32"/>
  <c r="AD15" i="32"/>
  <c r="AC15" i="32"/>
  <c r="AB15" i="32"/>
  <c r="AA15" i="32"/>
  <c r="Z15" i="32"/>
  <c r="Y15" i="32"/>
  <c r="X15" i="32"/>
  <c r="W15" i="32"/>
  <c r="V15" i="32"/>
  <c r="U15" i="32"/>
  <c r="M15" i="32"/>
  <c r="J15" i="32"/>
  <c r="AX14" i="32"/>
  <c r="AS14" i="32"/>
  <c r="AQ14" i="32"/>
  <c r="AH14" i="32"/>
  <c r="Y14" i="32"/>
  <c r="X14" i="32"/>
  <c r="W14" i="32"/>
  <c r="V14" i="32"/>
  <c r="U14" i="32"/>
  <c r="J14" i="32"/>
  <c r="AX13" i="32"/>
  <c r="AS13" i="32"/>
  <c r="AQ13" i="32"/>
  <c r="AH13" i="32"/>
  <c r="Y13" i="32"/>
  <c r="X13" i="32"/>
  <c r="W13" i="32"/>
  <c r="V13" i="32"/>
  <c r="U13" i="32"/>
  <c r="J13" i="32"/>
  <c r="AX12" i="32"/>
  <c r="AS12" i="32"/>
  <c r="AQ12" i="32"/>
  <c r="AH12" i="32"/>
  <c r="Y12" i="32"/>
  <c r="X12" i="32"/>
  <c r="W12" i="32"/>
  <c r="V12" i="32"/>
  <c r="U12" i="32"/>
  <c r="J12" i="32"/>
  <c r="AX11" i="32"/>
  <c r="AS11" i="32"/>
  <c r="AQ11" i="32"/>
  <c r="AH11" i="32"/>
  <c r="Y11" i="32"/>
  <c r="X11" i="32"/>
  <c r="W11" i="32"/>
  <c r="V11" i="32"/>
  <c r="U11" i="32"/>
  <c r="J11" i="32"/>
  <c r="AX10" i="32"/>
  <c r="AS10" i="32"/>
  <c r="AQ10" i="32"/>
  <c r="AH10" i="32"/>
  <c r="Y10" i="32"/>
  <c r="X10" i="32"/>
  <c r="W10" i="32"/>
  <c r="V10" i="32"/>
  <c r="U10" i="32"/>
  <c r="J10" i="32"/>
  <c r="AX9" i="32"/>
  <c r="AQ9" i="32"/>
  <c r="AH9" i="32"/>
  <c r="Y9" i="32"/>
  <c r="X9" i="32"/>
  <c r="W9" i="32"/>
  <c r="V9" i="32"/>
  <c r="U9" i="32"/>
  <c r="J9" i="32"/>
  <c r="AX8" i="32"/>
  <c r="AS8" i="32"/>
  <c r="AQ8" i="32"/>
  <c r="AH8" i="32"/>
  <c r="Y8" i="32"/>
  <c r="X8" i="32"/>
  <c r="W8" i="32"/>
  <c r="V8" i="32"/>
  <c r="U8" i="32"/>
  <c r="J8" i="32"/>
  <c r="AX7" i="32"/>
  <c r="AS7" i="32"/>
  <c r="AQ7" i="32"/>
  <c r="AH7" i="32"/>
  <c r="Y7" i="32"/>
  <c r="X7" i="32"/>
  <c r="W7" i="32"/>
  <c r="V7" i="32"/>
  <c r="U7" i="32"/>
  <c r="J7" i="32"/>
  <c r="AX6" i="32"/>
  <c r="AS6" i="32"/>
  <c r="AQ6" i="32"/>
  <c r="AH6" i="32"/>
  <c r="Y6" i="32"/>
  <c r="X6" i="32"/>
  <c r="W6" i="32"/>
  <c r="V6" i="32"/>
  <c r="U6" i="32"/>
  <c r="J6" i="32"/>
  <c r="AX5" i="32"/>
  <c r="AQ5" i="32"/>
  <c r="AH5" i="32"/>
  <c r="AD5" i="32"/>
  <c r="AC5" i="32"/>
  <c r="AB5" i="32"/>
  <c r="AA5" i="32"/>
  <c r="Z5" i="32"/>
  <c r="Y5" i="32"/>
  <c r="X5" i="32"/>
  <c r="W5" i="32"/>
  <c r="V5" i="32"/>
  <c r="U5" i="32"/>
  <c r="M5" i="32"/>
  <c r="J5" i="32"/>
  <c r="AX4" i="32"/>
  <c r="AS4" i="32"/>
  <c r="AQ4" i="32"/>
  <c r="AH4" i="32"/>
  <c r="Y4" i="32"/>
  <c r="X4" i="32"/>
  <c r="W4" i="32"/>
  <c r="V4" i="32"/>
  <c r="U4" i="32"/>
  <c r="J4" i="32"/>
  <c r="AX3" i="32"/>
  <c r="AS3" i="32"/>
  <c r="AQ3" i="32"/>
  <c r="AH3" i="32"/>
  <c r="Y3" i="32"/>
  <c r="X3" i="32"/>
  <c r="W3" i="32"/>
  <c r="V3" i="32"/>
  <c r="U3" i="32"/>
  <c r="J3" i="32"/>
  <c r="AX2" i="32"/>
  <c r="AS2" i="32"/>
  <c r="AQ2" i="32"/>
  <c r="AH2" i="32"/>
  <c r="Y2" i="32"/>
  <c r="X2" i="32"/>
  <c r="W2" i="32"/>
  <c r="V2" i="32"/>
  <c r="U2" i="32"/>
  <c r="J2" i="32"/>
  <c r="EI27" i="38"/>
  <c r="EI76" i="38"/>
  <c r="EM76" i="38"/>
  <c r="EH27" i="38"/>
  <c r="EH76" i="38"/>
  <c r="EL76" i="38"/>
  <c r="O27" i="38"/>
  <c r="CZ27" i="38"/>
  <c r="CZ76" i="38"/>
  <c r="EF27" i="38"/>
  <c r="EF76" i="38"/>
  <c r="M27" i="38"/>
  <c r="CY27" i="38"/>
  <c r="CY76" i="38"/>
  <c r="EE27" i="38"/>
  <c r="EE76" i="38"/>
  <c r="N27" i="38"/>
  <c r="CX27" i="38"/>
  <c r="CX76" i="38"/>
  <c r="ED27" i="38"/>
  <c r="ED76" i="38"/>
  <c r="L27" i="38"/>
  <c r="CW27" i="38"/>
  <c r="CW76" i="38"/>
  <c r="EC27" i="38"/>
  <c r="EC76" i="38"/>
  <c r="F27" i="38"/>
  <c r="CV27" i="38"/>
  <c r="CV76" i="38"/>
  <c r="EB27" i="38"/>
  <c r="EB76" i="38"/>
  <c r="E27" i="38"/>
  <c r="CU27" i="38"/>
  <c r="CU76" i="38"/>
  <c r="EA27" i="38"/>
  <c r="EA76" i="38"/>
  <c r="I27" i="38"/>
  <c r="CT27" i="38"/>
  <c r="CT76" i="38"/>
  <c r="DZ27" i="38"/>
  <c r="DZ76" i="38"/>
  <c r="H27" i="38"/>
  <c r="CS27" i="38"/>
  <c r="CS76" i="38"/>
  <c r="DY27" i="38"/>
  <c r="DY76" i="38"/>
  <c r="G27" i="38"/>
  <c r="CR27" i="38"/>
  <c r="CR76" i="38"/>
  <c r="DX27" i="38"/>
  <c r="DX76" i="38"/>
  <c r="K27" i="38"/>
  <c r="CQ27" i="38"/>
  <c r="CQ76" i="38"/>
  <c r="DW27" i="38"/>
  <c r="DW76" i="38"/>
  <c r="J27" i="38"/>
  <c r="CP27" i="38"/>
  <c r="CP76" i="38"/>
  <c r="DV27" i="38"/>
  <c r="DV76" i="38"/>
  <c r="CN27" i="38"/>
  <c r="CN76" i="38"/>
  <c r="DT76" i="38"/>
  <c r="CM27" i="38"/>
  <c r="CM76" i="38"/>
  <c r="DS76" i="38"/>
  <c r="CL27" i="38"/>
  <c r="CL76" i="38"/>
  <c r="DR76" i="38"/>
  <c r="BD27" i="38"/>
  <c r="BD76" i="38"/>
  <c r="CJ27" i="38"/>
  <c r="CJ76" i="38"/>
  <c r="BC27" i="38"/>
  <c r="BC76" i="38"/>
  <c r="CI27" i="38"/>
  <c r="CI76" i="38"/>
  <c r="BB27" i="38"/>
  <c r="BB76" i="38"/>
  <c r="CH27" i="38"/>
  <c r="CH76" i="38"/>
  <c r="BA27" i="38"/>
  <c r="BA76" i="38"/>
  <c r="CG27" i="38"/>
  <c r="CG76" i="38"/>
  <c r="AZ27" i="38"/>
  <c r="AZ76" i="38"/>
  <c r="CF27" i="38"/>
  <c r="CF76" i="38"/>
  <c r="AY27" i="38"/>
  <c r="AY76" i="38"/>
  <c r="CE27" i="38"/>
  <c r="CE76" i="38"/>
  <c r="AX27" i="38"/>
  <c r="AX76" i="38"/>
  <c r="CD27" i="38"/>
  <c r="CD76" i="38"/>
  <c r="AW27" i="38"/>
  <c r="AW76" i="38"/>
  <c r="CC27" i="38"/>
  <c r="CC76" i="38"/>
  <c r="AV27" i="38"/>
  <c r="AV76" i="38"/>
  <c r="CB27" i="38"/>
  <c r="CB76" i="38"/>
  <c r="AU27" i="38"/>
  <c r="AU76" i="38"/>
  <c r="CA27" i="38"/>
  <c r="CA76" i="38"/>
  <c r="AT27" i="38"/>
  <c r="AT76" i="38"/>
  <c r="BZ27" i="38"/>
  <c r="BZ76" i="38"/>
  <c r="AR27" i="38"/>
  <c r="AR76" i="38"/>
  <c r="BX27" i="38"/>
  <c r="BX76" i="38"/>
  <c r="AQ27" i="38"/>
  <c r="AQ76" i="38"/>
  <c r="BW76" i="38"/>
  <c r="AP27" i="38"/>
  <c r="AP76" i="38"/>
  <c r="BV76" i="38"/>
  <c r="O76" i="38"/>
  <c r="AO76" i="38"/>
  <c r="N76" i="38"/>
  <c r="AN76" i="38"/>
  <c r="M76" i="38"/>
  <c r="AM76" i="38"/>
  <c r="L76" i="38"/>
  <c r="AL76" i="38"/>
  <c r="K76" i="38"/>
  <c r="AK76" i="38"/>
  <c r="J76" i="38"/>
  <c r="AJ76" i="38"/>
  <c r="I76" i="38"/>
  <c r="AI76" i="38"/>
  <c r="H76" i="38"/>
  <c r="AH76" i="38"/>
  <c r="G76" i="38"/>
  <c r="AG76" i="38"/>
  <c r="F76" i="38"/>
  <c r="AF76" i="38"/>
  <c r="E76" i="38"/>
  <c r="AE76" i="38"/>
  <c r="EI18" i="38"/>
  <c r="EI75" i="38"/>
  <c r="EM75" i="38"/>
  <c r="EH18" i="38"/>
  <c r="EH75" i="38"/>
  <c r="EL75" i="38"/>
  <c r="O18" i="38"/>
  <c r="CZ18" i="38"/>
  <c r="CZ75" i="38"/>
  <c r="EF18" i="38"/>
  <c r="EF75" i="38"/>
  <c r="M18" i="38"/>
  <c r="CY18" i="38"/>
  <c r="CY75" i="38"/>
  <c r="EE18" i="38"/>
  <c r="EE75" i="38"/>
  <c r="N18" i="38"/>
  <c r="CX18" i="38"/>
  <c r="CX75" i="38"/>
  <c r="ED18" i="38"/>
  <c r="ED75" i="38"/>
  <c r="L18" i="38"/>
  <c r="CW18" i="38"/>
  <c r="CW75" i="38"/>
  <c r="EC18" i="38"/>
  <c r="EC75" i="38"/>
  <c r="F18" i="38"/>
  <c r="CV18" i="38"/>
  <c r="CV75" i="38"/>
  <c r="EB18" i="38"/>
  <c r="EB75" i="38"/>
  <c r="E18" i="38"/>
  <c r="CU18" i="38"/>
  <c r="CU75" i="38"/>
  <c r="EA18" i="38"/>
  <c r="EA75" i="38"/>
  <c r="I18" i="38"/>
  <c r="CT18" i="38"/>
  <c r="CT75" i="38"/>
  <c r="DZ18" i="38"/>
  <c r="DZ75" i="38"/>
  <c r="H18" i="38"/>
  <c r="CS18" i="38"/>
  <c r="CS75" i="38"/>
  <c r="DY18" i="38"/>
  <c r="DY75" i="38"/>
  <c r="G18" i="38"/>
  <c r="CR18" i="38"/>
  <c r="CR75" i="38"/>
  <c r="DX18" i="38"/>
  <c r="DX75" i="38"/>
  <c r="K18" i="38"/>
  <c r="CQ18" i="38"/>
  <c r="CQ75" i="38"/>
  <c r="DW18" i="38"/>
  <c r="DW75" i="38"/>
  <c r="J18" i="38"/>
  <c r="CP18" i="38"/>
  <c r="CP75" i="38"/>
  <c r="DV18" i="38"/>
  <c r="DV75" i="38"/>
  <c r="CN18" i="38"/>
  <c r="CN75" i="38"/>
  <c r="DT75" i="38"/>
  <c r="CM18" i="38"/>
  <c r="CM75" i="38"/>
  <c r="DS75" i="38"/>
  <c r="CL18" i="38"/>
  <c r="CL75" i="38"/>
  <c r="DR75" i="38"/>
  <c r="BD18" i="38"/>
  <c r="BD75" i="38"/>
  <c r="CJ18" i="38"/>
  <c r="CJ75" i="38"/>
  <c r="BC18" i="38"/>
  <c r="BC75" i="38"/>
  <c r="CI18" i="38"/>
  <c r="CI75" i="38"/>
  <c r="BB18" i="38"/>
  <c r="BB75" i="38"/>
  <c r="CH18" i="38"/>
  <c r="CH75" i="38"/>
  <c r="BA18" i="38"/>
  <c r="BA75" i="38"/>
  <c r="CG18" i="38"/>
  <c r="CG75" i="38"/>
  <c r="AZ18" i="38"/>
  <c r="AZ75" i="38"/>
  <c r="CF18" i="38"/>
  <c r="CF75" i="38"/>
  <c r="AY18" i="38"/>
  <c r="AY75" i="38"/>
  <c r="CE18" i="38"/>
  <c r="CE75" i="38"/>
  <c r="AX18" i="38"/>
  <c r="AX75" i="38"/>
  <c r="CD18" i="38"/>
  <c r="CD75" i="38"/>
  <c r="AW18" i="38"/>
  <c r="AW75" i="38"/>
  <c r="CC18" i="38"/>
  <c r="CC75" i="38"/>
  <c r="AV18" i="38"/>
  <c r="AV75" i="38"/>
  <c r="CB18" i="38"/>
  <c r="CB75" i="38"/>
  <c r="AU18" i="38"/>
  <c r="AU75" i="38"/>
  <c r="CA18" i="38"/>
  <c r="CA75" i="38"/>
  <c r="AT18" i="38"/>
  <c r="AT75" i="38"/>
  <c r="BZ18" i="38"/>
  <c r="BZ75" i="38"/>
  <c r="AR18" i="38"/>
  <c r="AR75" i="38"/>
  <c r="BX18" i="38"/>
  <c r="BX75" i="38"/>
  <c r="AQ18" i="38"/>
  <c r="AQ75" i="38"/>
  <c r="BW75" i="38"/>
  <c r="AP18" i="38"/>
  <c r="AP75" i="38"/>
  <c r="BV75" i="38"/>
  <c r="O75" i="38"/>
  <c r="AO75" i="38"/>
  <c r="N75" i="38"/>
  <c r="AN75" i="38"/>
  <c r="M75" i="38"/>
  <c r="AM75" i="38"/>
  <c r="L75" i="38"/>
  <c r="AL75" i="38"/>
  <c r="K75" i="38"/>
  <c r="AK75" i="38"/>
  <c r="J75" i="38"/>
  <c r="AJ75" i="38"/>
  <c r="I75" i="38"/>
  <c r="AI75" i="38"/>
  <c r="H75" i="38"/>
  <c r="AH75" i="38"/>
  <c r="G75" i="38"/>
  <c r="AG75" i="38"/>
  <c r="F75" i="38"/>
  <c r="AF75" i="38"/>
  <c r="E75" i="38"/>
  <c r="AE75" i="38"/>
  <c r="EI12" i="38"/>
  <c r="EI74" i="38"/>
  <c r="EM74" i="38"/>
  <c r="EH12" i="38"/>
  <c r="EH74" i="38"/>
  <c r="EL74" i="38"/>
  <c r="O12" i="38"/>
  <c r="CZ12" i="38"/>
  <c r="CZ74" i="38"/>
  <c r="EF12" i="38"/>
  <c r="EF74" i="38"/>
  <c r="M12" i="38"/>
  <c r="CY12" i="38"/>
  <c r="CY74" i="38"/>
  <c r="EE12" i="38"/>
  <c r="EE74" i="38"/>
  <c r="N12" i="38"/>
  <c r="CX12" i="38"/>
  <c r="CX74" i="38"/>
  <c r="ED12" i="38"/>
  <c r="ED74" i="38"/>
  <c r="L12" i="38"/>
  <c r="CW12" i="38"/>
  <c r="CW74" i="38"/>
  <c r="EC12" i="38"/>
  <c r="EC74" i="38"/>
  <c r="F12" i="38"/>
  <c r="CV12" i="38"/>
  <c r="CV74" i="38"/>
  <c r="EB12" i="38"/>
  <c r="EB74" i="38"/>
  <c r="E12" i="38"/>
  <c r="CU12" i="38"/>
  <c r="CU74" i="38"/>
  <c r="EA12" i="38"/>
  <c r="EA74" i="38"/>
  <c r="I12" i="38"/>
  <c r="CT12" i="38"/>
  <c r="CT74" i="38"/>
  <c r="DZ12" i="38"/>
  <c r="DZ74" i="38"/>
  <c r="H12" i="38"/>
  <c r="CS12" i="38"/>
  <c r="CS74" i="38"/>
  <c r="DY12" i="38"/>
  <c r="DY74" i="38"/>
  <c r="G12" i="38"/>
  <c r="CR12" i="38"/>
  <c r="CR74" i="38"/>
  <c r="DX12" i="38"/>
  <c r="DX74" i="38"/>
  <c r="K12" i="38"/>
  <c r="CQ12" i="38"/>
  <c r="CQ74" i="38"/>
  <c r="DW12" i="38"/>
  <c r="DW74" i="38"/>
  <c r="J12" i="38"/>
  <c r="CP12" i="38"/>
  <c r="CP74" i="38"/>
  <c r="DV12" i="38"/>
  <c r="DV74" i="38"/>
  <c r="CN12" i="38"/>
  <c r="CN74" i="38"/>
  <c r="DT74" i="38"/>
  <c r="CM12" i="38"/>
  <c r="CM74" i="38"/>
  <c r="DS74" i="38"/>
  <c r="CL12" i="38"/>
  <c r="CL74" i="38"/>
  <c r="DR74" i="38"/>
  <c r="BD12" i="38"/>
  <c r="BD74" i="38"/>
  <c r="CJ12" i="38"/>
  <c r="CJ74" i="38"/>
  <c r="BC12" i="38"/>
  <c r="BC74" i="38"/>
  <c r="CI12" i="38"/>
  <c r="CI74" i="38"/>
  <c r="BB12" i="38"/>
  <c r="BB74" i="38"/>
  <c r="CH12" i="38"/>
  <c r="CH74" i="38"/>
  <c r="BA12" i="38"/>
  <c r="BA74" i="38"/>
  <c r="CG12" i="38"/>
  <c r="CG74" i="38"/>
  <c r="AZ12" i="38"/>
  <c r="AZ74" i="38"/>
  <c r="CF12" i="38"/>
  <c r="CF74" i="38"/>
  <c r="AY12" i="38"/>
  <c r="AY74" i="38"/>
  <c r="CE12" i="38"/>
  <c r="CE74" i="38"/>
  <c r="AX12" i="38"/>
  <c r="AX74" i="38"/>
  <c r="CD12" i="38"/>
  <c r="CD74" i="38"/>
  <c r="AW12" i="38"/>
  <c r="AW74" i="38"/>
  <c r="CC12" i="38"/>
  <c r="CC74" i="38"/>
  <c r="AV12" i="38"/>
  <c r="AV74" i="38"/>
  <c r="CB12" i="38"/>
  <c r="CB74" i="38"/>
  <c r="AU12" i="38"/>
  <c r="AU74" i="38"/>
  <c r="CA12" i="38"/>
  <c r="CA74" i="38"/>
  <c r="AT12" i="38"/>
  <c r="AT74" i="38"/>
  <c r="BZ12" i="38"/>
  <c r="BZ74" i="38"/>
  <c r="AR12" i="38"/>
  <c r="AR74" i="38"/>
  <c r="BX12" i="38"/>
  <c r="BX74" i="38"/>
  <c r="AQ12" i="38"/>
  <c r="AQ74" i="38"/>
  <c r="BW74" i="38"/>
  <c r="AP12" i="38"/>
  <c r="AP74" i="38"/>
  <c r="BV74" i="38"/>
  <c r="O74" i="38"/>
  <c r="AO74" i="38"/>
  <c r="N74" i="38"/>
  <c r="AN74" i="38"/>
  <c r="M74" i="38"/>
  <c r="AM74" i="38"/>
  <c r="L74" i="38"/>
  <c r="AL74" i="38"/>
  <c r="K74" i="38"/>
  <c r="AK74" i="38"/>
  <c r="J74" i="38"/>
  <c r="AJ74" i="38"/>
  <c r="I74" i="38"/>
  <c r="AI74" i="38"/>
  <c r="H74" i="38"/>
  <c r="AH74" i="38"/>
  <c r="G74" i="38"/>
  <c r="AG74" i="38"/>
  <c r="F74" i="38"/>
  <c r="AF74" i="38"/>
  <c r="E74" i="38"/>
  <c r="AE74" i="38"/>
  <c r="EI7" i="38"/>
  <c r="EI73" i="38"/>
  <c r="EM73" i="38"/>
  <c r="EH7" i="38"/>
  <c r="EH73" i="38"/>
  <c r="EL73" i="38"/>
  <c r="O7" i="38"/>
  <c r="CZ7" i="38"/>
  <c r="CZ73" i="38"/>
  <c r="EF7" i="38"/>
  <c r="EF73" i="38"/>
  <c r="M7" i="38"/>
  <c r="CY7" i="38"/>
  <c r="CY73" i="38"/>
  <c r="EE7" i="38"/>
  <c r="EE73" i="38"/>
  <c r="N7" i="38"/>
  <c r="CX7" i="38"/>
  <c r="CX73" i="38"/>
  <c r="ED7" i="38"/>
  <c r="ED73" i="38"/>
  <c r="L7" i="38"/>
  <c r="CW7" i="38"/>
  <c r="CW73" i="38"/>
  <c r="EC7" i="38"/>
  <c r="EC73" i="38"/>
  <c r="F7" i="38"/>
  <c r="CV7" i="38"/>
  <c r="CV73" i="38"/>
  <c r="EB7" i="38"/>
  <c r="EB73" i="38"/>
  <c r="E7" i="38"/>
  <c r="CU7" i="38"/>
  <c r="CU73" i="38"/>
  <c r="EA7" i="38"/>
  <c r="EA73" i="38"/>
  <c r="I7" i="38"/>
  <c r="CT7" i="38"/>
  <c r="CT73" i="38"/>
  <c r="DZ7" i="38"/>
  <c r="DZ73" i="38"/>
  <c r="H7" i="38"/>
  <c r="CS7" i="38"/>
  <c r="CS73" i="38"/>
  <c r="DY7" i="38"/>
  <c r="DY73" i="38"/>
  <c r="G7" i="38"/>
  <c r="CR7" i="38"/>
  <c r="CR73" i="38"/>
  <c r="DX7" i="38"/>
  <c r="DX73" i="38"/>
  <c r="K7" i="38"/>
  <c r="CQ7" i="38"/>
  <c r="CQ73" i="38"/>
  <c r="DW7" i="38"/>
  <c r="DW73" i="38"/>
  <c r="J7" i="38"/>
  <c r="CP7" i="38"/>
  <c r="CP73" i="38"/>
  <c r="DV7" i="38"/>
  <c r="DV73" i="38"/>
  <c r="CN7" i="38"/>
  <c r="CN73" i="38"/>
  <c r="DT73" i="38"/>
  <c r="CM7" i="38"/>
  <c r="CM73" i="38"/>
  <c r="DS73" i="38"/>
  <c r="CL7" i="38"/>
  <c r="CL73" i="38"/>
  <c r="DR73" i="38"/>
  <c r="BD7" i="38"/>
  <c r="BD73" i="38"/>
  <c r="CJ7" i="38"/>
  <c r="CJ73" i="38"/>
  <c r="BC7" i="38"/>
  <c r="BC73" i="38"/>
  <c r="CI7" i="38"/>
  <c r="CI73" i="38"/>
  <c r="BB7" i="38"/>
  <c r="BB73" i="38"/>
  <c r="CH7" i="38"/>
  <c r="CH73" i="38"/>
  <c r="BA7" i="38"/>
  <c r="BA73" i="38"/>
  <c r="CG7" i="38"/>
  <c r="CG73" i="38"/>
  <c r="AZ7" i="38"/>
  <c r="AZ73" i="38"/>
  <c r="CF7" i="38"/>
  <c r="CF73" i="38"/>
  <c r="AY7" i="38"/>
  <c r="AY73" i="38"/>
  <c r="CE7" i="38"/>
  <c r="CE73" i="38"/>
  <c r="AX7" i="38"/>
  <c r="AX73" i="38"/>
  <c r="CD7" i="38"/>
  <c r="CD73" i="38"/>
  <c r="AW7" i="38"/>
  <c r="AW73" i="38"/>
  <c r="CC7" i="38"/>
  <c r="CC73" i="38"/>
  <c r="AV7" i="38"/>
  <c r="AV73" i="38"/>
  <c r="CB7" i="38"/>
  <c r="CB73" i="38"/>
  <c r="AU7" i="38"/>
  <c r="AU73" i="38"/>
  <c r="CA7" i="38"/>
  <c r="CA73" i="38"/>
  <c r="AT7" i="38"/>
  <c r="AT73" i="38"/>
  <c r="BZ7" i="38"/>
  <c r="BZ73" i="38"/>
  <c r="AR7" i="38"/>
  <c r="AR73" i="38"/>
  <c r="BX7" i="38"/>
  <c r="BX73" i="38"/>
  <c r="AQ7" i="38"/>
  <c r="AQ73" i="38"/>
  <c r="BW73" i="38"/>
  <c r="AP7" i="38"/>
  <c r="AP73" i="38"/>
  <c r="BV73" i="38"/>
  <c r="O73" i="38"/>
  <c r="AO73" i="38"/>
  <c r="N73" i="38"/>
  <c r="AN73" i="38"/>
  <c r="M73" i="38"/>
  <c r="AM73" i="38"/>
  <c r="L73" i="38"/>
  <c r="AL73" i="38"/>
  <c r="K73" i="38"/>
  <c r="AK73" i="38"/>
  <c r="J73" i="38"/>
  <c r="AJ73" i="38"/>
  <c r="I73" i="38"/>
  <c r="AI73" i="38"/>
  <c r="H73" i="38"/>
  <c r="AH73" i="38"/>
  <c r="G73" i="38"/>
  <c r="AG73" i="38"/>
  <c r="F73" i="38"/>
  <c r="AF73" i="38"/>
  <c r="E73" i="38"/>
  <c r="AE73" i="38"/>
  <c r="EI16" i="38"/>
  <c r="EI72" i="38"/>
  <c r="EM72" i="38"/>
  <c r="EH16" i="38"/>
  <c r="EH72" i="38"/>
  <c r="EL72" i="38"/>
  <c r="O16" i="38"/>
  <c r="CZ16" i="38"/>
  <c r="CZ72" i="38"/>
  <c r="EF16" i="38"/>
  <c r="EF72" i="38"/>
  <c r="M16" i="38"/>
  <c r="CY16" i="38"/>
  <c r="CY72" i="38"/>
  <c r="EE16" i="38"/>
  <c r="EE72" i="38"/>
  <c r="N16" i="38"/>
  <c r="CX16" i="38"/>
  <c r="CX72" i="38"/>
  <c r="ED16" i="38"/>
  <c r="ED72" i="38"/>
  <c r="L16" i="38"/>
  <c r="CW16" i="38"/>
  <c r="CW72" i="38"/>
  <c r="EC16" i="38"/>
  <c r="EC72" i="38"/>
  <c r="F16" i="38"/>
  <c r="CV16" i="38"/>
  <c r="CV72" i="38"/>
  <c r="EB16" i="38"/>
  <c r="EB72" i="38"/>
  <c r="E16" i="38"/>
  <c r="CU16" i="38"/>
  <c r="CU72" i="38"/>
  <c r="EA16" i="38"/>
  <c r="EA72" i="38"/>
  <c r="I16" i="38"/>
  <c r="CT16" i="38"/>
  <c r="CT72" i="38"/>
  <c r="DZ16" i="38"/>
  <c r="DZ72" i="38"/>
  <c r="H16" i="38"/>
  <c r="CS16" i="38"/>
  <c r="CS72" i="38"/>
  <c r="DY16" i="38"/>
  <c r="DY72" i="38"/>
  <c r="G16" i="38"/>
  <c r="CR16" i="38"/>
  <c r="CR72" i="38"/>
  <c r="DX16" i="38"/>
  <c r="DX72" i="38"/>
  <c r="K16" i="38"/>
  <c r="CQ16" i="38"/>
  <c r="CQ72" i="38"/>
  <c r="DW16" i="38"/>
  <c r="DW72" i="38"/>
  <c r="J16" i="38"/>
  <c r="CP16" i="38"/>
  <c r="CP72" i="38"/>
  <c r="DV16" i="38"/>
  <c r="DV72" i="38"/>
  <c r="CN16" i="38"/>
  <c r="CN72" i="38"/>
  <c r="DT72" i="38"/>
  <c r="CM16" i="38"/>
  <c r="CM72" i="38"/>
  <c r="DS72" i="38"/>
  <c r="CL16" i="38"/>
  <c r="CL72" i="38"/>
  <c r="DR72" i="38"/>
  <c r="BD16" i="38"/>
  <c r="BD72" i="38"/>
  <c r="CJ16" i="38"/>
  <c r="CJ72" i="38"/>
  <c r="BC16" i="38"/>
  <c r="BC72" i="38"/>
  <c r="CI16" i="38"/>
  <c r="CI72" i="38"/>
  <c r="BB16" i="38"/>
  <c r="BB72" i="38"/>
  <c r="CH16" i="38"/>
  <c r="CH72" i="38"/>
  <c r="BA16" i="38"/>
  <c r="BA72" i="38"/>
  <c r="CG16" i="38"/>
  <c r="CG72" i="38"/>
  <c r="AZ16" i="38"/>
  <c r="AZ72" i="38"/>
  <c r="CF16" i="38"/>
  <c r="CF72" i="38"/>
  <c r="AY16" i="38"/>
  <c r="AY72" i="38"/>
  <c r="CE16" i="38"/>
  <c r="CE72" i="38"/>
  <c r="AX16" i="38"/>
  <c r="AX72" i="38"/>
  <c r="CD16" i="38"/>
  <c r="CD72" i="38"/>
  <c r="AW16" i="38"/>
  <c r="AW72" i="38"/>
  <c r="CC16" i="38"/>
  <c r="CC72" i="38"/>
  <c r="AV16" i="38"/>
  <c r="AV72" i="38"/>
  <c r="CB16" i="38"/>
  <c r="CB72" i="38"/>
  <c r="AU16" i="38"/>
  <c r="AU72" i="38"/>
  <c r="CA16" i="38"/>
  <c r="CA72" i="38"/>
  <c r="AT16" i="38"/>
  <c r="AT72" i="38"/>
  <c r="BZ16" i="38"/>
  <c r="BZ72" i="38"/>
  <c r="AR16" i="38"/>
  <c r="AR72" i="38"/>
  <c r="BX16" i="38"/>
  <c r="BX72" i="38"/>
  <c r="AQ16" i="38"/>
  <c r="AQ72" i="38"/>
  <c r="BW72" i="38"/>
  <c r="AP16" i="38"/>
  <c r="AP72" i="38"/>
  <c r="BV72" i="38"/>
  <c r="O72" i="38"/>
  <c r="AO72" i="38"/>
  <c r="N72" i="38"/>
  <c r="AN72" i="38"/>
  <c r="M72" i="38"/>
  <c r="AM72" i="38"/>
  <c r="L72" i="38"/>
  <c r="AL72" i="38"/>
  <c r="K72" i="38"/>
  <c r="AK72" i="38"/>
  <c r="J72" i="38"/>
  <c r="AJ72" i="38"/>
  <c r="I72" i="38"/>
  <c r="AI72" i="38"/>
  <c r="H72" i="38"/>
  <c r="AH72" i="38"/>
  <c r="G72" i="38"/>
  <c r="AG72" i="38"/>
  <c r="F72" i="38"/>
  <c r="AF72" i="38"/>
  <c r="E72" i="38"/>
  <c r="AE72" i="38"/>
  <c r="EI29" i="38"/>
  <c r="EI71" i="38"/>
  <c r="EM71" i="38"/>
  <c r="EH29" i="38"/>
  <c r="EH71" i="38"/>
  <c r="EL71" i="38"/>
  <c r="O29" i="38"/>
  <c r="CZ29" i="38"/>
  <c r="CZ71" i="38"/>
  <c r="EF29" i="38"/>
  <c r="EF71" i="38"/>
  <c r="M29" i="38"/>
  <c r="CY29" i="38"/>
  <c r="CY71" i="38"/>
  <c r="EE29" i="38"/>
  <c r="EE71" i="38"/>
  <c r="N29" i="38"/>
  <c r="CX29" i="38"/>
  <c r="CX71" i="38"/>
  <c r="ED29" i="38"/>
  <c r="ED71" i="38"/>
  <c r="L29" i="38"/>
  <c r="CW29" i="38"/>
  <c r="CW71" i="38"/>
  <c r="EC29" i="38"/>
  <c r="EC71" i="38"/>
  <c r="F29" i="38"/>
  <c r="CV29" i="38"/>
  <c r="CV71" i="38"/>
  <c r="EB29" i="38"/>
  <c r="EB71" i="38"/>
  <c r="E29" i="38"/>
  <c r="CU29" i="38"/>
  <c r="CU71" i="38"/>
  <c r="EA29" i="38"/>
  <c r="EA71" i="38"/>
  <c r="I29" i="38"/>
  <c r="CT29" i="38"/>
  <c r="CT71" i="38"/>
  <c r="DZ29" i="38"/>
  <c r="DZ71" i="38"/>
  <c r="H29" i="38"/>
  <c r="CS29" i="38"/>
  <c r="CS71" i="38"/>
  <c r="DY29" i="38"/>
  <c r="DY71" i="38"/>
  <c r="G29" i="38"/>
  <c r="CR29" i="38"/>
  <c r="CR71" i="38"/>
  <c r="DX29" i="38"/>
  <c r="DX71" i="38"/>
  <c r="K29" i="38"/>
  <c r="CQ29" i="38"/>
  <c r="CQ71" i="38"/>
  <c r="DW29" i="38"/>
  <c r="DW71" i="38"/>
  <c r="J29" i="38"/>
  <c r="CP29" i="38"/>
  <c r="CP71" i="38"/>
  <c r="DV29" i="38"/>
  <c r="DV71" i="38"/>
  <c r="CN29" i="38"/>
  <c r="CN71" i="38"/>
  <c r="DT71" i="38"/>
  <c r="CM29" i="38"/>
  <c r="CM71" i="38"/>
  <c r="DS29" i="38"/>
  <c r="DS71" i="38"/>
  <c r="CL29" i="38"/>
  <c r="CL71" i="38"/>
  <c r="DR71" i="38"/>
  <c r="BD29" i="38"/>
  <c r="BD71" i="38"/>
  <c r="CJ29" i="38"/>
  <c r="CJ71" i="38"/>
  <c r="BC29" i="38"/>
  <c r="BC71" i="38"/>
  <c r="CI29" i="38"/>
  <c r="CI71" i="38"/>
  <c r="BB29" i="38"/>
  <c r="BB71" i="38"/>
  <c r="CH29" i="38"/>
  <c r="CH71" i="38"/>
  <c r="BA29" i="38"/>
  <c r="BA71" i="38"/>
  <c r="CG29" i="38"/>
  <c r="CG71" i="38"/>
  <c r="AZ29" i="38"/>
  <c r="AZ71" i="38"/>
  <c r="CF29" i="38"/>
  <c r="CF71" i="38"/>
  <c r="AY29" i="38"/>
  <c r="AY71" i="38"/>
  <c r="CE29" i="38"/>
  <c r="CE71" i="38"/>
  <c r="AX29" i="38"/>
  <c r="AX71" i="38"/>
  <c r="CD29" i="38"/>
  <c r="CD71" i="38"/>
  <c r="AW29" i="38"/>
  <c r="AW71" i="38"/>
  <c r="CC29" i="38"/>
  <c r="CC71" i="38"/>
  <c r="AV29" i="38"/>
  <c r="AV71" i="38"/>
  <c r="CB29" i="38"/>
  <c r="CB71" i="38"/>
  <c r="AU29" i="38"/>
  <c r="AU71" i="38"/>
  <c r="CA29" i="38"/>
  <c r="CA71" i="38"/>
  <c r="AT29" i="38"/>
  <c r="AT71" i="38"/>
  <c r="BZ29" i="38"/>
  <c r="BZ71" i="38"/>
  <c r="AR29" i="38"/>
  <c r="AR71" i="38"/>
  <c r="BX29" i="38"/>
  <c r="BX71" i="38"/>
  <c r="AQ29" i="38"/>
  <c r="AQ71" i="38"/>
  <c r="BW71" i="38"/>
  <c r="AP29" i="38"/>
  <c r="AP71" i="38"/>
  <c r="BV71" i="38"/>
  <c r="O71" i="38"/>
  <c r="AO71" i="38"/>
  <c r="N71" i="38"/>
  <c r="AN71" i="38"/>
  <c r="M71" i="38"/>
  <c r="AM71" i="38"/>
  <c r="L71" i="38"/>
  <c r="AL71" i="38"/>
  <c r="K71" i="38"/>
  <c r="AK71" i="38"/>
  <c r="J71" i="38"/>
  <c r="AJ71" i="38"/>
  <c r="I71" i="38"/>
  <c r="AI71" i="38"/>
  <c r="H71" i="38"/>
  <c r="AH71" i="38"/>
  <c r="G71" i="38"/>
  <c r="AG71" i="38"/>
  <c r="F71" i="38"/>
  <c r="AF71" i="38"/>
  <c r="E71" i="38"/>
  <c r="AE71" i="38"/>
  <c r="EI20" i="38"/>
  <c r="EI70" i="38"/>
  <c r="EM70" i="38"/>
  <c r="EH20" i="38"/>
  <c r="EH70" i="38"/>
  <c r="EL70" i="38"/>
  <c r="O20" i="38"/>
  <c r="CZ20" i="38"/>
  <c r="CZ70" i="38"/>
  <c r="EF20" i="38"/>
  <c r="EF70" i="38"/>
  <c r="M20" i="38"/>
  <c r="CY20" i="38"/>
  <c r="CY70" i="38"/>
  <c r="EE20" i="38"/>
  <c r="EE70" i="38"/>
  <c r="N20" i="38"/>
  <c r="CX20" i="38"/>
  <c r="CX70" i="38"/>
  <c r="ED20" i="38"/>
  <c r="ED70" i="38"/>
  <c r="L20" i="38"/>
  <c r="CW20" i="38"/>
  <c r="CW70" i="38"/>
  <c r="EC20" i="38"/>
  <c r="EC70" i="38"/>
  <c r="F20" i="38"/>
  <c r="CV20" i="38"/>
  <c r="CV70" i="38"/>
  <c r="EB20" i="38"/>
  <c r="EB70" i="38"/>
  <c r="E20" i="38"/>
  <c r="CU20" i="38"/>
  <c r="CU70" i="38"/>
  <c r="EA20" i="38"/>
  <c r="EA70" i="38"/>
  <c r="I20" i="38"/>
  <c r="CT20" i="38"/>
  <c r="CT70" i="38"/>
  <c r="DZ20" i="38"/>
  <c r="DZ70" i="38"/>
  <c r="H20" i="38"/>
  <c r="CS20" i="38"/>
  <c r="CS70" i="38"/>
  <c r="DY20" i="38"/>
  <c r="DY70" i="38"/>
  <c r="G20" i="38"/>
  <c r="CR20" i="38"/>
  <c r="CR70" i="38"/>
  <c r="DX20" i="38"/>
  <c r="DX70" i="38"/>
  <c r="K20" i="38"/>
  <c r="CQ20" i="38"/>
  <c r="CQ70" i="38"/>
  <c r="DW20" i="38"/>
  <c r="DW70" i="38"/>
  <c r="J20" i="38"/>
  <c r="CP20" i="38"/>
  <c r="CP70" i="38"/>
  <c r="DV20" i="38"/>
  <c r="DV70" i="38"/>
  <c r="CN20" i="38"/>
  <c r="CN70" i="38"/>
  <c r="DT70" i="38"/>
  <c r="CM20" i="38"/>
  <c r="CM70" i="38"/>
  <c r="DS20" i="38"/>
  <c r="DS70" i="38"/>
  <c r="CL20" i="38"/>
  <c r="CL70" i="38"/>
  <c r="DR70" i="38"/>
  <c r="BD20" i="38"/>
  <c r="BD70" i="38"/>
  <c r="CJ20" i="38"/>
  <c r="CJ70" i="38"/>
  <c r="BC20" i="38"/>
  <c r="BC70" i="38"/>
  <c r="CI20" i="38"/>
  <c r="CI70" i="38"/>
  <c r="BB20" i="38"/>
  <c r="BB70" i="38"/>
  <c r="CH20" i="38"/>
  <c r="CH70" i="38"/>
  <c r="BA20" i="38"/>
  <c r="BA70" i="38"/>
  <c r="CG20" i="38"/>
  <c r="CG70" i="38"/>
  <c r="AZ20" i="38"/>
  <c r="AZ70" i="38"/>
  <c r="CF20" i="38"/>
  <c r="CF70" i="38"/>
  <c r="AY20" i="38"/>
  <c r="AY70" i="38"/>
  <c r="CE20" i="38"/>
  <c r="CE70" i="38"/>
  <c r="AX20" i="38"/>
  <c r="AX70" i="38"/>
  <c r="CD20" i="38"/>
  <c r="CD70" i="38"/>
  <c r="AW20" i="38"/>
  <c r="AW70" i="38"/>
  <c r="CC20" i="38"/>
  <c r="CC70" i="38"/>
  <c r="AV20" i="38"/>
  <c r="AV70" i="38"/>
  <c r="CB20" i="38"/>
  <c r="CB70" i="38"/>
  <c r="AU20" i="38"/>
  <c r="AU70" i="38"/>
  <c r="CA20" i="38"/>
  <c r="CA70" i="38"/>
  <c r="AT20" i="38"/>
  <c r="AT70" i="38"/>
  <c r="BZ20" i="38"/>
  <c r="BZ70" i="38"/>
  <c r="AR20" i="38"/>
  <c r="AR70" i="38"/>
  <c r="BX20" i="38"/>
  <c r="BX70" i="38"/>
  <c r="AQ20" i="38"/>
  <c r="AQ70" i="38"/>
  <c r="BW70" i="38"/>
  <c r="AP20" i="38"/>
  <c r="AP70" i="38"/>
  <c r="BV70" i="38"/>
  <c r="O70" i="38"/>
  <c r="AO70" i="38"/>
  <c r="N70" i="38"/>
  <c r="AN70" i="38"/>
  <c r="M70" i="38"/>
  <c r="AM70" i="38"/>
  <c r="L70" i="38"/>
  <c r="AL70" i="38"/>
  <c r="K70" i="38"/>
  <c r="AK70" i="38"/>
  <c r="J70" i="38"/>
  <c r="AJ70" i="38"/>
  <c r="I70" i="38"/>
  <c r="AI70" i="38"/>
  <c r="H70" i="38"/>
  <c r="AH70" i="38"/>
  <c r="G70" i="38"/>
  <c r="AG70" i="38"/>
  <c r="F70" i="38"/>
  <c r="AF70" i="38"/>
  <c r="E70" i="38"/>
  <c r="AE70" i="38"/>
  <c r="EI24" i="38"/>
  <c r="EI69" i="38"/>
  <c r="EM69" i="38"/>
  <c r="EH24" i="38"/>
  <c r="EH69" i="38"/>
  <c r="EL69" i="38"/>
  <c r="O24" i="38"/>
  <c r="CZ24" i="38"/>
  <c r="CZ69" i="38"/>
  <c r="EF24" i="38"/>
  <c r="EF69" i="38"/>
  <c r="M24" i="38"/>
  <c r="CY24" i="38"/>
  <c r="CY69" i="38"/>
  <c r="EE24" i="38"/>
  <c r="EE69" i="38"/>
  <c r="N24" i="38"/>
  <c r="CX24" i="38"/>
  <c r="CX69" i="38"/>
  <c r="ED24" i="38"/>
  <c r="ED69" i="38"/>
  <c r="L24" i="38"/>
  <c r="CW24" i="38"/>
  <c r="CW69" i="38"/>
  <c r="EC24" i="38"/>
  <c r="EC69" i="38"/>
  <c r="F24" i="38"/>
  <c r="CV24" i="38"/>
  <c r="CV69" i="38"/>
  <c r="EB24" i="38"/>
  <c r="EB69" i="38"/>
  <c r="E24" i="38"/>
  <c r="CU24" i="38"/>
  <c r="CU69" i="38"/>
  <c r="EA24" i="38"/>
  <c r="EA69" i="38"/>
  <c r="I24" i="38"/>
  <c r="CT24" i="38"/>
  <c r="CT69" i="38"/>
  <c r="DZ24" i="38"/>
  <c r="DZ69" i="38"/>
  <c r="H24" i="38"/>
  <c r="CS24" i="38"/>
  <c r="CS69" i="38"/>
  <c r="DY24" i="38"/>
  <c r="DY69" i="38"/>
  <c r="G24" i="38"/>
  <c r="CR24" i="38"/>
  <c r="CR69" i="38"/>
  <c r="DX24" i="38"/>
  <c r="DX69" i="38"/>
  <c r="K24" i="38"/>
  <c r="CQ24" i="38"/>
  <c r="CQ69" i="38"/>
  <c r="DW24" i="38"/>
  <c r="DW69" i="38"/>
  <c r="J24" i="38"/>
  <c r="CP24" i="38"/>
  <c r="CP69" i="38"/>
  <c r="DV24" i="38"/>
  <c r="DV69" i="38"/>
  <c r="CN24" i="38"/>
  <c r="CN69" i="38"/>
  <c r="DT69" i="38"/>
  <c r="CM24" i="38"/>
  <c r="CM69" i="38"/>
  <c r="DS24" i="38"/>
  <c r="DS69" i="38"/>
  <c r="CL24" i="38"/>
  <c r="CL69" i="38"/>
  <c r="DR69" i="38"/>
  <c r="BD24" i="38"/>
  <c r="BD69" i="38"/>
  <c r="CJ24" i="38"/>
  <c r="CJ69" i="38"/>
  <c r="BC24" i="38"/>
  <c r="BC69" i="38"/>
  <c r="CI24" i="38"/>
  <c r="CI69" i="38"/>
  <c r="BB24" i="38"/>
  <c r="BB69" i="38"/>
  <c r="CH24" i="38"/>
  <c r="CH69" i="38"/>
  <c r="BA24" i="38"/>
  <c r="BA69" i="38"/>
  <c r="CG24" i="38"/>
  <c r="CG69" i="38"/>
  <c r="AZ24" i="38"/>
  <c r="AZ69" i="38"/>
  <c r="CF24" i="38"/>
  <c r="CF69" i="38"/>
  <c r="AY24" i="38"/>
  <c r="AY69" i="38"/>
  <c r="CE24" i="38"/>
  <c r="CE69" i="38"/>
  <c r="AX24" i="38"/>
  <c r="AX69" i="38"/>
  <c r="CD24" i="38"/>
  <c r="CD69" i="38"/>
  <c r="AW24" i="38"/>
  <c r="AW69" i="38"/>
  <c r="CC24" i="38"/>
  <c r="CC69" i="38"/>
  <c r="AV24" i="38"/>
  <c r="AV69" i="38"/>
  <c r="CB24" i="38"/>
  <c r="CB69" i="38"/>
  <c r="AU24" i="38"/>
  <c r="AU69" i="38"/>
  <c r="CA24" i="38"/>
  <c r="CA69" i="38"/>
  <c r="AT24" i="38"/>
  <c r="AT69" i="38"/>
  <c r="BZ24" i="38"/>
  <c r="BZ69" i="38"/>
  <c r="AR24" i="38"/>
  <c r="AR69" i="38"/>
  <c r="BX24" i="38"/>
  <c r="BX69" i="38"/>
  <c r="AQ24" i="38"/>
  <c r="AQ69" i="38"/>
  <c r="BW69" i="38"/>
  <c r="AP24" i="38"/>
  <c r="AP69" i="38"/>
  <c r="BV69" i="38"/>
  <c r="O69" i="38"/>
  <c r="AO69" i="38"/>
  <c r="N69" i="38"/>
  <c r="AN69" i="38"/>
  <c r="M69" i="38"/>
  <c r="AM69" i="38"/>
  <c r="L69" i="38"/>
  <c r="AL69" i="38"/>
  <c r="K69" i="38"/>
  <c r="AK69" i="38"/>
  <c r="J69" i="38"/>
  <c r="AJ69" i="38"/>
  <c r="I69" i="38"/>
  <c r="AI69" i="38"/>
  <c r="H69" i="38"/>
  <c r="AH69" i="38"/>
  <c r="G69" i="38"/>
  <c r="AG69" i="38"/>
  <c r="F69" i="38"/>
  <c r="AF69" i="38"/>
  <c r="E69" i="38"/>
  <c r="AE69" i="38"/>
  <c r="EI9" i="38"/>
  <c r="EI68" i="38"/>
  <c r="EM68" i="38"/>
  <c r="EH9" i="38"/>
  <c r="EH68" i="38"/>
  <c r="EL68" i="38"/>
  <c r="O9" i="38"/>
  <c r="CZ9" i="38"/>
  <c r="CZ68" i="38"/>
  <c r="EF9" i="38"/>
  <c r="EF68" i="38"/>
  <c r="M9" i="38"/>
  <c r="CY9" i="38"/>
  <c r="CY68" i="38"/>
  <c r="EE9" i="38"/>
  <c r="EE68" i="38"/>
  <c r="N9" i="38"/>
  <c r="CX9" i="38"/>
  <c r="CX68" i="38"/>
  <c r="ED9" i="38"/>
  <c r="ED68" i="38"/>
  <c r="L9" i="38"/>
  <c r="CW9" i="38"/>
  <c r="CW68" i="38"/>
  <c r="EC9" i="38"/>
  <c r="EC68" i="38"/>
  <c r="F9" i="38"/>
  <c r="CV9" i="38"/>
  <c r="CV68" i="38"/>
  <c r="EB9" i="38"/>
  <c r="EB68" i="38"/>
  <c r="E9" i="38"/>
  <c r="CU9" i="38"/>
  <c r="CU68" i="38"/>
  <c r="EA9" i="38"/>
  <c r="EA68" i="38"/>
  <c r="I9" i="38"/>
  <c r="CT9" i="38"/>
  <c r="CT68" i="38"/>
  <c r="DZ9" i="38"/>
  <c r="DZ68" i="38"/>
  <c r="H9" i="38"/>
  <c r="CS9" i="38"/>
  <c r="CS68" i="38"/>
  <c r="DY9" i="38"/>
  <c r="DY68" i="38"/>
  <c r="G9" i="38"/>
  <c r="CR9" i="38"/>
  <c r="CR68" i="38"/>
  <c r="DX9" i="38"/>
  <c r="DX68" i="38"/>
  <c r="K9" i="38"/>
  <c r="CQ9" i="38"/>
  <c r="CQ68" i="38"/>
  <c r="DW9" i="38"/>
  <c r="DW68" i="38"/>
  <c r="J9" i="38"/>
  <c r="CP9" i="38"/>
  <c r="CP68" i="38"/>
  <c r="DV9" i="38"/>
  <c r="DV68" i="38"/>
  <c r="CN9" i="38"/>
  <c r="CN68" i="38"/>
  <c r="DT68" i="38"/>
  <c r="CM9" i="38"/>
  <c r="CM68" i="38"/>
  <c r="DS9" i="38"/>
  <c r="DS68" i="38"/>
  <c r="CL9" i="38"/>
  <c r="CL68" i="38"/>
  <c r="DR68" i="38"/>
  <c r="BD9" i="38"/>
  <c r="BD68" i="38"/>
  <c r="CJ9" i="38"/>
  <c r="CJ68" i="38"/>
  <c r="BC9" i="38"/>
  <c r="BC68" i="38"/>
  <c r="CI9" i="38"/>
  <c r="CI68" i="38"/>
  <c r="BB9" i="38"/>
  <c r="BB68" i="38"/>
  <c r="CH9" i="38"/>
  <c r="CH68" i="38"/>
  <c r="BA9" i="38"/>
  <c r="BA68" i="38"/>
  <c r="CG9" i="38"/>
  <c r="CG68" i="38"/>
  <c r="AZ9" i="38"/>
  <c r="AZ68" i="38"/>
  <c r="CF9" i="38"/>
  <c r="CF68" i="38"/>
  <c r="AY9" i="38"/>
  <c r="AY68" i="38"/>
  <c r="CE9" i="38"/>
  <c r="CE68" i="38"/>
  <c r="AX9" i="38"/>
  <c r="AX68" i="38"/>
  <c r="CD9" i="38"/>
  <c r="CD68" i="38"/>
  <c r="AW9" i="38"/>
  <c r="AW68" i="38"/>
  <c r="CC9" i="38"/>
  <c r="CC68" i="38"/>
  <c r="AV9" i="38"/>
  <c r="AV68" i="38"/>
  <c r="CB9" i="38"/>
  <c r="CB68" i="38"/>
  <c r="AU9" i="38"/>
  <c r="AU68" i="38"/>
  <c r="CA9" i="38"/>
  <c r="CA68" i="38"/>
  <c r="AT9" i="38"/>
  <c r="AT68" i="38"/>
  <c r="BZ9" i="38"/>
  <c r="BZ68" i="38"/>
  <c r="AR9" i="38"/>
  <c r="AR68" i="38"/>
  <c r="BX9" i="38"/>
  <c r="BX68" i="38"/>
  <c r="AQ9" i="38"/>
  <c r="AQ68" i="38"/>
  <c r="BW68" i="38"/>
  <c r="AP9" i="38"/>
  <c r="AP68" i="38"/>
  <c r="BV68" i="38"/>
  <c r="O68" i="38"/>
  <c r="AO68" i="38"/>
  <c r="N68" i="38"/>
  <c r="AN68" i="38"/>
  <c r="M68" i="38"/>
  <c r="AM68" i="38"/>
  <c r="L68" i="38"/>
  <c r="AL68" i="38"/>
  <c r="K68" i="38"/>
  <c r="AK68" i="38"/>
  <c r="J68" i="38"/>
  <c r="AJ68" i="38"/>
  <c r="I68" i="38"/>
  <c r="AI68" i="38"/>
  <c r="H68" i="38"/>
  <c r="AH68" i="38"/>
  <c r="G68" i="38"/>
  <c r="AG68" i="38"/>
  <c r="F68" i="38"/>
  <c r="AF68" i="38"/>
  <c r="E68" i="38"/>
  <c r="AE68" i="38"/>
  <c r="EI5" i="38"/>
  <c r="EI67" i="38"/>
  <c r="EM67" i="38"/>
  <c r="EH5" i="38"/>
  <c r="EH67" i="38"/>
  <c r="EL67" i="38"/>
  <c r="O5" i="38"/>
  <c r="CZ5" i="38"/>
  <c r="CZ67" i="38"/>
  <c r="EF5" i="38"/>
  <c r="EF67" i="38"/>
  <c r="M5" i="38"/>
  <c r="CY5" i="38"/>
  <c r="CY67" i="38"/>
  <c r="EE5" i="38"/>
  <c r="EE67" i="38"/>
  <c r="N5" i="38"/>
  <c r="CX5" i="38"/>
  <c r="CX67" i="38"/>
  <c r="ED5" i="38"/>
  <c r="ED67" i="38"/>
  <c r="L5" i="38"/>
  <c r="CW5" i="38"/>
  <c r="CW67" i="38"/>
  <c r="EC5" i="38"/>
  <c r="EC67" i="38"/>
  <c r="F5" i="38"/>
  <c r="CV5" i="38"/>
  <c r="CV67" i="38"/>
  <c r="EB5" i="38"/>
  <c r="EB67" i="38"/>
  <c r="E5" i="38"/>
  <c r="CU5" i="38"/>
  <c r="CU67" i="38"/>
  <c r="EA5" i="38"/>
  <c r="EA67" i="38"/>
  <c r="I5" i="38"/>
  <c r="CT5" i="38"/>
  <c r="CT67" i="38"/>
  <c r="DZ5" i="38"/>
  <c r="DZ67" i="38"/>
  <c r="H5" i="38"/>
  <c r="CS5" i="38"/>
  <c r="CS67" i="38"/>
  <c r="DY5" i="38"/>
  <c r="DY67" i="38"/>
  <c r="G5" i="38"/>
  <c r="CR5" i="38"/>
  <c r="CR67" i="38"/>
  <c r="DX5" i="38"/>
  <c r="DX67" i="38"/>
  <c r="K5" i="38"/>
  <c r="CQ5" i="38"/>
  <c r="CQ67" i="38"/>
  <c r="DW5" i="38"/>
  <c r="DW67" i="38"/>
  <c r="J5" i="38"/>
  <c r="CP5" i="38"/>
  <c r="CP67" i="38"/>
  <c r="DV5" i="38"/>
  <c r="DV67" i="38"/>
  <c r="CN5" i="38"/>
  <c r="CN67" i="38"/>
  <c r="DT67" i="38"/>
  <c r="CM5" i="38"/>
  <c r="CM67" i="38"/>
  <c r="DS5" i="38"/>
  <c r="DS67" i="38"/>
  <c r="CL5" i="38"/>
  <c r="CL67" i="38"/>
  <c r="DR67" i="38"/>
  <c r="BD5" i="38"/>
  <c r="BD67" i="38"/>
  <c r="CJ5" i="38"/>
  <c r="CJ67" i="38"/>
  <c r="BC5" i="38"/>
  <c r="BC67" i="38"/>
  <c r="CI5" i="38"/>
  <c r="CI67" i="38"/>
  <c r="BB5" i="38"/>
  <c r="BB67" i="38"/>
  <c r="CH5" i="38"/>
  <c r="CH67" i="38"/>
  <c r="BA5" i="38"/>
  <c r="BA67" i="38"/>
  <c r="CG5" i="38"/>
  <c r="CG67" i="38"/>
  <c r="AZ5" i="38"/>
  <c r="AZ67" i="38"/>
  <c r="CF5" i="38"/>
  <c r="CF67" i="38"/>
  <c r="AY5" i="38"/>
  <c r="AY67" i="38"/>
  <c r="CE5" i="38"/>
  <c r="CE67" i="38"/>
  <c r="AX5" i="38"/>
  <c r="AX67" i="38"/>
  <c r="CD5" i="38"/>
  <c r="CD67" i="38"/>
  <c r="AW5" i="38"/>
  <c r="AW67" i="38"/>
  <c r="CC5" i="38"/>
  <c r="CC67" i="38"/>
  <c r="AV5" i="38"/>
  <c r="AV67" i="38"/>
  <c r="CB5" i="38"/>
  <c r="CB67" i="38"/>
  <c r="AU5" i="38"/>
  <c r="AU67" i="38"/>
  <c r="CA5" i="38"/>
  <c r="CA67" i="38"/>
  <c r="AT5" i="38"/>
  <c r="AT67" i="38"/>
  <c r="BZ5" i="38"/>
  <c r="BZ67" i="38"/>
  <c r="AR5" i="38"/>
  <c r="AR67" i="38"/>
  <c r="BX67" i="38"/>
  <c r="AQ5" i="38"/>
  <c r="AQ67" i="38"/>
  <c r="BW67" i="38"/>
  <c r="AP5" i="38"/>
  <c r="AP67" i="38"/>
  <c r="BV67" i="38"/>
  <c r="O67" i="38"/>
  <c r="AO67" i="38"/>
  <c r="N67" i="38"/>
  <c r="AN67" i="38"/>
  <c r="M67" i="38"/>
  <c r="AM67" i="38"/>
  <c r="L67" i="38"/>
  <c r="AL67" i="38"/>
  <c r="K67" i="38"/>
  <c r="AK67" i="38"/>
  <c r="J67" i="38"/>
  <c r="AJ67" i="38"/>
  <c r="I67" i="38"/>
  <c r="AI67" i="38"/>
  <c r="H67" i="38"/>
  <c r="AH67" i="38"/>
  <c r="G67" i="38"/>
  <c r="AG67" i="38"/>
  <c r="F67" i="38"/>
  <c r="AF67" i="38"/>
  <c r="E67" i="38"/>
  <c r="AE67" i="38"/>
  <c r="EI17" i="38"/>
  <c r="EI66" i="38"/>
  <c r="EM66" i="38"/>
  <c r="EH17" i="38"/>
  <c r="EH66" i="38"/>
  <c r="EL66" i="38"/>
  <c r="O17" i="38"/>
  <c r="CZ17" i="38"/>
  <c r="CZ66" i="38"/>
  <c r="EF17" i="38"/>
  <c r="EF66" i="38"/>
  <c r="M17" i="38"/>
  <c r="CY17" i="38"/>
  <c r="CY66" i="38"/>
  <c r="EE17" i="38"/>
  <c r="EE66" i="38"/>
  <c r="N17" i="38"/>
  <c r="CX17" i="38"/>
  <c r="CX66" i="38"/>
  <c r="ED17" i="38"/>
  <c r="ED66" i="38"/>
  <c r="L17" i="38"/>
  <c r="CW17" i="38"/>
  <c r="CW66" i="38"/>
  <c r="EC17" i="38"/>
  <c r="EC66" i="38"/>
  <c r="F17" i="38"/>
  <c r="CV17" i="38"/>
  <c r="CV66" i="38"/>
  <c r="EB17" i="38"/>
  <c r="EB66" i="38"/>
  <c r="E17" i="38"/>
  <c r="CU17" i="38"/>
  <c r="CU66" i="38"/>
  <c r="EA17" i="38"/>
  <c r="EA66" i="38"/>
  <c r="I17" i="38"/>
  <c r="CT17" i="38"/>
  <c r="CT66" i="38"/>
  <c r="DZ17" i="38"/>
  <c r="DZ66" i="38"/>
  <c r="H17" i="38"/>
  <c r="CS17" i="38"/>
  <c r="CS66" i="38"/>
  <c r="DY17" i="38"/>
  <c r="DY66" i="38"/>
  <c r="G17" i="38"/>
  <c r="CR17" i="38"/>
  <c r="CR66" i="38"/>
  <c r="DX17" i="38"/>
  <c r="DX66" i="38"/>
  <c r="K17" i="38"/>
  <c r="CQ17" i="38"/>
  <c r="CQ66" i="38"/>
  <c r="DW17" i="38"/>
  <c r="DW66" i="38"/>
  <c r="J17" i="38"/>
  <c r="CP17" i="38"/>
  <c r="CP66" i="38"/>
  <c r="DV17" i="38"/>
  <c r="DV66" i="38"/>
  <c r="CN17" i="38"/>
  <c r="CN66" i="38"/>
  <c r="DT66" i="38"/>
  <c r="CM17" i="38"/>
  <c r="CM66" i="38"/>
  <c r="DS17" i="38"/>
  <c r="DS66" i="38"/>
  <c r="CL17" i="38"/>
  <c r="CL66" i="38"/>
  <c r="DR66" i="38"/>
  <c r="BD17" i="38"/>
  <c r="BD66" i="38"/>
  <c r="CJ17" i="38"/>
  <c r="CJ66" i="38"/>
  <c r="BC17" i="38"/>
  <c r="BC66" i="38"/>
  <c r="CI17" i="38"/>
  <c r="CI66" i="38"/>
  <c r="BB17" i="38"/>
  <c r="BB66" i="38"/>
  <c r="CH17" i="38"/>
  <c r="CH66" i="38"/>
  <c r="BA17" i="38"/>
  <c r="BA66" i="38"/>
  <c r="CG17" i="38"/>
  <c r="CG66" i="38"/>
  <c r="AZ17" i="38"/>
  <c r="AZ66" i="38"/>
  <c r="CF17" i="38"/>
  <c r="CF66" i="38"/>
  <c r="AY17" i="38"/>
  <c r="AY66" i="38"/>
  <c r="CE17" i="38"/>
  <c r="CE66" i="38"/>
  <c r="AX17" i="38"/>
  <c r="AX66" i="38"/>
  <c r="CD17" i="38"/>
  <c r="CD66" i="38"/>
  <c r="AW17" i="38"/>
  <c r="AW66" i="38"/>
  <c r="CC17" i="38"/>
  <c r="CC66" i="38"/>
  <c r="AV17" i="38"/>
  <c r="AV66" i="38"/>
  <c r="CB17" i="38"/>
  <c r="CB66" i="38"/>
  <c r="AU17" i="38"/>
  <c r="AU66" i="38"/>
  <c r="CA17" i="38"/>
  <c r="CA66" i="38"/>
  <c r="AT17" i="38"/>
  <c r="AT66" i="38"/>
  <c r="BZ17" i="38"/>
  <c r="BZ66" i="38"/>
  <c r="AR17" i="38"/>
  <c r="AR66" i="38"/>
  <c r="BX17" i="38"/>
  <c r="BX66" i="38"/>
  <c r="AQ17" i="38"/>
  <c r="AQ66" i="38"/>
  <c r="BW66" i="38"/>
  <c r="AP17" i="38"/>
  <c r="AP66" i="38"/>
  <c r="BV66" i="38"/>
  <c r="O66" i="38"/>
  <c r="AO66" i="38"/>
  <c r="N66" i="38"/>
  <c r="AN66" i="38"/>
  <c r="M66" i="38"/>
  <c r="AM66" i="38"/>
  <c r="L66" i="38"/>
  <c r="AL66" i="38"/>
  <c r="K66" i="38"/>
  <c r="AK66" i="38"/>
  <c r="J66" i="38"/>
  <c r="AJ66" i="38"/>
  <c r="I66" i="38"/>
  <c r="AI66" i="38"/>
  <c r="H66" i="38"/>
  <c r="AH66" i="38"/>
  <c r="G66" i="38"/>
  <c r="AG66" i="38"/>
  <c r="F66" i="38"/>
  <c r="AF66" i="38"/>
  <c r="E66" i="38"/>
  <c r="AE66" i="38"/>
  <c r="EI21" i="38"/>
  <c r="EI65" i="38"/>
  <c r="EM65" i="38"/>
  <c r="EH21" i="38"/>
  <c r="EH65" i="38"/>
  <c r="EL65" i="38"/>
  <c r="O21" i="38"/>
  <c r="CZ21" i="38"/>
  <c r="CZ65" i="38"/>
  <c r="EF21" i="38"/>
  <c r="EF65" i="38"/>
  <c r="M21" i="38"/>
  <c r="CY21" i="38"/>
  <c r="CY65" i="38"/>
  <c r="EE21" i="38"/>
  <c r="EE65" i="38"/>
  <c r="N21" i="38"/>
  <c r="CX21" i="38"/>
  <c r="CX65" i="38"/>
  <c r="ED21" i="38"/>
  <c r="ED65" i="38"/>
  <c r="L21" i="38"/>
  <c r="CW21" i="38"/>
  <c r="CW65" i="38"/>
  <c r="EC21" i="38"/>
  <c r="EC65" i="38"/>
  <c r="F21" i="38"/>
  <c r="CV21" i="38"/>
  <c r="CV65" i="38"/>
  <c r="EB21" i="38"/>
  <c r="EB65" i="38"/>
  <c r="E21" i="38"/>
  <c r="CU21" i="38"/>
  <c r="CU65" i="38"/>
  <c r="EA21" i="38"/>
  <c r="EA65" i="38"/>
  <c r="I21" i="38"/>
  <c r="CT21" i="38"/>
  <c r="CT65" i="38"/>
  <c r="DZ21" i="38"/>
  <c r="DZ65" i="38"/>
  <c r="H21" i="38"/>
  <c r="CS21" i="38"/>
  <c r="CS65" i="38"/>
  <c r="DY21" i="38"/>
  <c r="DY65" i="38"/>
  <c r="G21" i="38"/>
  <c r="CR21" i="38"/>
  <c r="CR65" i="38"/>
  <c r="DX21" i="38"/>
  <c r="DX65" i="38"/>
  <c r="K21" i="38"/>
  <c r="CQ21" i="38"/>
  <c r="CQ65" i="38"/>
  <c r="DW21" i="38"/>
  <c r="DW65" i="38"/>
  <c r="J21" i="38"/>
  <c r="CP21" i="38"/>
  <c r="CP65" i="38"/>
  <c r="DV21" i="38"/>
  <c r="DV65" i="38"/>
  <c r="CN21" i="38"/>
  <c r="CN65" i="38"/>
  <c r="DT65" i="38"/>
  <c r="CM21" i="38"/>
  <c r="CM65" i="38"/>
  <c r="DS21" i="38"/>
  <c r="DS65" i="38"/>
  <c r="CL21" i="38"/>
  <c r="CL65" i="38"/>
  <c r="DR65" i="38"/>
  <c r="BD21" i="38"/>
  <c r="BD65" i="38"/>
  <c r="CJ21" i="38"/>
  <c r="CJ65" i="38"/>
  <c r="BC21" i="38"/>
  <c r="BC65" i="38"/>
  <c r="CI21" i="38"/>
  <c r="CI65" i="38"/>
  <c r="BB21" i="38"/>
  <c r="BB65" i="38"/>
  <c r="CH21" i="38"/>
  <c r="CH65" i="38"/>
  <c r="BA21" i="38"/>
  <c r="BA65" i="38"/>
  <c r="CG21" i="38"/>
  <c r="CG65" i="38"/>
  <c r="AZ21" i="38"/>
  <c r="AZ65" i="38"/>
  <c r="CF21" i="38"/>
  <c r="CF65" i="38"/>
  <c r="AY21" i="38"/>
  <c r="AY65" i="38"/>
  <c r="CE21" i="38"/>
  <c r="CE65" i="38"/>
  <c r="AX21" i="38"/>
  <c r="AX65" i="38"/>
  <c r="CD21" i="38"/>
  <c r="CD65" i="38"/>
  <c r="AW21" i="38"/>
  <c r="AW65" i="38"/>
  <c r="CC21" i="38"/>
  <c r="CC65" i="38"/>
  <c r="AV21" i="38"/>
  <c r="AV65" i="38"/>
  <c r="CB21" i="38"/>
  <c r="CB65" i="38"/>
  <c r="AU21" i="38"/>
  <c r="AU65" i="38"/>
  <c r="CA21" i="38"/>
  <c r="CA65" i="38"/>
  <c r="AT21" i="38"/>
  <c r="AT65" i="38"/>
  <c r="BZ21" i="38"/>
  <c r="BZ65" i="38"/>
  <c r="AR21" i="38"/>
  <c r="AR65" i="38"/>
  <c r="BX65" i="38"/>
  <c r="AQ21" i="38"/>
  <c r="AQ65" i="38"/>
  <c r="BW65" i="38"/>
  <c r="AP21" i="38"/>
  <c r="AP65" i="38"/>
  <c r="BV65" i="38"/>
  <c r="O65" i="38"/>
  <c r="AO65" i="38"/>
  <c r="N65" i="38"/>
  <c r="AN65" i="38"/>
  <c r="M65" i="38"/>
  <c r="AM65" i="38"/>
  <c r="L65" i="38"/>
  <c r="AL65" i="38"/>
  <c r="K65" i="38"/>
  <c r="AK65" i="38"/>
  <c r="J65" i="38"/>
  <c r="AJ65" i="38"/>
  <c r="I65" i="38"/>
  <c r="AI65" i="38"/>
  <c r="H65" i="38"/>
  <c r="AH65" i="38"/>
  <c r="G65" i="38"/>
  <c r="AG65" i="38"/>
  <c r="F65" i="38"/>
  <c r="AF65" i="38"/>
  <c r="E65" i="38"/>
  <c r="AE65" i="38"/>
  <c r="EI25" i="38"/>
  <c r="EI64" i="38"/>
  <c r="EM64" i="38"/>
  <c r="EH25" i="38"/>
  <c r="EH64" i="38"/>
  <c r="EL64" i="38"/>
  <c r="O25" i="38"/>
  <c r="CZ25" i="38"/>
  <c r="CZ64" i="38"/>
  <c r="EF25" i="38"/>
  <c r="EF64" i="38"/>
  <c r="M25" i="38"/>
  <c r="CY25" i="38"/>
  <c r="CY64" i="38"/>
  <c r="EE25" i="38"/>
  <c r="EE64" i="38"/>
  <c r="N25" i="38"/>
  <c r="CX25" i="38"/>
  <c r="CX64" i="38"/>
  <c r="ED25" i="38"/>
  <c r="ED64" i="38"/>
  <c r="L25" i="38"/>
  <c r="CW25" i="38"/>
  <c r="CW64" i="38"/>
  <c r="EC25" i="38"/>
  <c r="EC64" i="38"/>
  <c r="F25" i="38"/>
  <c r="CV25" i="38"/>
  <c r="CV64" i="38"/>
  <c r="EB25" i="38"/>
  <c r="EB64" i="38"/>
  <c r="E25" i="38"/>
  <c r="CU25" i="38"/>
  <c r="CU64" i="38"/>
  <c r="EA25" i="38"/>
  <c r="EA64" i="38"/>
  <c r="I25" i="38"/>
  <c r="CT25" i="38"/>
  <c r="CT64" i="38"/>
  <c r="DZ25" i="38"/>
  <c r="DZ64" i="38"/>
  <c r="H25" i="38"/>
  <c r="CS25" i="38"/>
  <c r="CS64" i="38"/>
  <c r="DY25" i="38"/>
  <c r="DY64" i="38"/>
  <c r="G25" i="38"/>
  <c r="CR25" i="38"/>
  <c r="CR64" i="38"/>
  <c r="DX25" i="38"/>
  <c r="DX64" i="38"/>
  <c r="K25" i="38"/>
  <c r="CQ25" i="38"/>
  <c r="CQ64" i="38"/>
  <c r="DW25" i="38"/>
  <c r="DW64" i="38"/>
  <c r="J25" i="38"/>
  <c r="CP25" i="38"/>
  <c r="CP64" i="38"/>
  <c r="DV25" i="38"/>
  <c r="DV64" i="38"/>
  <c r="CN25" i="38"/>
  <c r="CN64" i="38"/>
  <c r="DT64" i="38"/>
  <c r="CM25" i="38"/>
  <c r="CM64" i="38"/>
  <c r="DS25" i="38"/>
  <c r="DS64" i="38"/>
  <c r="CL25" i="38"/>
  <c r="CL64" i="38"/>
  <c r="DR64" i="38"/>
  <c r="BD25" i="38"/>
  <c r="BD64" i="38"/>
  <c r="CJ25" i="38"/>
  <c r="CJ64" i="38"/>
  <c r="BC25" i="38"/>
  <c r="BC64" i="38"/>
  <c r="CI25" i="38"/>
  <c r="CI64" i="38"/>
  <c r="BB25" i="38"/>
  <c r="BB64" i="38"/>
  <c r="CH25" i="38"/>
  <c r="CH64" i="38"/>
  <c r="BA25" i="38"/>
  <c r="BA64" i="38"/>
  <c r="CG25" i="38"/>
  <c r="CG64" i="38"/>
  <c r="AZ25" i="38"/>
  <c r="AZ64" i="38"/>
  <c r="CF25" i="38"/>
  <c r="CF64" i="38"/>
  <c r="AY25" i="38"/>
  <c r="AY64" i="38"/>
  <c r="CE25" i="38"/>
  <c r="CE64" i="38"/>
  <c r="AX25" i="38"/>
  <c r="AX64" i="38"/>
  <c r="CD25" i="38"/>
  <c r="CD64" i="38"/>
  <c r="AW25" i="38"/>
  <c r="AW64" i="38"/>
  <c r="CC25" i="38"/>
  <c r="CC64" i="38"/>
  <c r="AV25" i="38"/>
  <c r="AV64" i="38"/>
  <c r="CB25" i="38"/>
  <c r="CB64" i="38"/>
  <c r="AU25" i="38"/>
  <c r="AU64" i="38"/>
  <c r="CA25" i="38"/>
  <c r="CA64" i="38"/>
  <c r="AT25" i="38"/>
  <c r="AT64" i="38"/>
  <c r="BZ25" i="38"/>
  <c r="BZ64" i="38"/>
  <c r="AR25" i="38"/>
  <c r="AR64" i="38"/>
  <c r="BX25" i="38"/>
  <c r="BX64" i="38"/>
  <c r="AQ25" i="38"/>
  <c r="AQ64" i="38"/>
  <c r="BW64" i="38"/>
  <c r="AP25" i="38"/>
  <c r="AP64" i="38"/>
  <c r="BV64" i="38"/>
  <c r="O64" i="38"/>
  <c r="AO64" i="38"/>
  <c r="N64" i="38"/>
  <c r="AN64" i="38"/>
  <c r="M64" i="38"/>
  <c r="AM64" i="38"/>
  <c r="L64" i="38"/>
  <c r="AL64" i="38"/>
  <c r="K64" i="38"/>
  <c r="AK64" i="38"/>
  <c r="J64" i="38"/>
  <c r="AJ64" i="38"/>
  <c r="I64" i="38"/>
  <c r="AI64" i="38"/>
  <c r="H64" i="38"/>
  <c r="AH64" i="38"/>
  <c r="G64" i="38"/>
  <c r="AG64" i="38"/>
  <c r="F64" i="38"/>
  <c r="AF64" i="38"/>
  <c r="E64" i="38"/>
  <c r="AE64" i="38"/>
  <c r="EJ25" i="38"/>
  <c r="EJ64" i="38"/>
  <c r="EJ21" i="38"/>
  <c r="EJ65" i="38"/>
  <c r="EJ17" i="38"/>
  <c r="EJ66" i="38"/>
  <c r="EJ5" i="38"/>
  <c r="EJ67" i="38"/>
  <c r="EJ9" i="38"/>
  <c r="EJ68" i="38"/>
  <c r="EJ24" i="38"/>
  <c r="EJ69" i="38"/>
  <c r="EJ20" i="38"/>
  <c r="EJ70" i="38"/>
  <c r="EJ29" i="38"/>
  <c r="EJ71" i="38"/>
  <c r="EJ16" i="38"/>
  <c r="EJ72" i="38"/>
  <c r="EJ7" i="38"/>
  <c r="EJ73" i="38"/>
  <c r="EJ12" i="38"/>
  <c r="EJ74" i="38"/>
  <c r="EJ18" i="38"/>
  <c r="EJ75" i="38"/>
  <c r="EJ27" i="38"/>
  <c r="EJ76" i="38"/>
  <c r="EJ63" i="38"/>
  <c r="EK63" i="38"/>
  <c r="DA25" i="38"/>
  <c r="DB25" i="38"/>
  <c r="DC25" i="38"/>
  <c r="DD25" i="38"/>
  <c r="DE25" i="38"/>
  <c r="DF25" i="38"/>
  <c r="DG25" i="38"/>
  <c r="DH25" i="38"/>
  <c r="DI25" i="38"/>
  <c r="DJ25" i="38"/>
  <c r="DK25" i="38"/>
  <c r="DL25" i="38"/>
  <c r="DM25" i="38"/>
  <c r="DN25" i="38"/>
  <c r="DO25" i="38"/>
  <c r="DP25" i="38"/>
  <c r="DP64" i="38"/>
  <c r="DA21" i="38"/>
  <c r="DB21" i="38"/>
  <c r="DC21" i="38"/>
  <c r="DD21" i="38"/>
  <c r="DE21" i="38"/>
  <c r="DF21" i="38"/>
  <c r="DG21" i="38"/>
  <c r="DH21" i="38"/>
  <c r="DI21" i="38"/>
  <c r="DJ21" i="38"/>
  <c r="DK21" i="38"/>
  <c r="DL21" i="38"/>
  <c r="DM21" i="38"/>
  <c r="DN21" i="38"/>
  <c r="DO21" i="38"/>
  <c r="DP21" i="38"/>
  <c r="DP65" i="38"/>
  <c r="DA17" i="38"/>
  <c r="DB17" i="38"/>
  <c r="DC17" i="38"/>
  <c r="DD17" i="38"/>
  <c r="DE17" i="38"/>
  <c r="DF17" i="38"/>
  <c r="DG17" i="38"/>
  <c r="DH17" i="38"/>
  <c r="DI17" i="38"/>
  <c r="DJ17" i="38"/>
  <c r="DK17" i="38"/>
  <c r="DL17" i="38"/>
  <c r="DM17" i="38"/>
  <c r="DN17" i="38"/>
  <c r="DO17" i="38"/>
  <c r="DP17" i="38"/>
  <c r="DP66" i="38"/>
  <c r="DA5" i="38"/>
  <c r="DB5" i="38"/>
  <c r="DC5" i="38"/>
  <c r="DD5" i="38"/>
  <c r="DE5" i="38"/>
  <c r="DF5" i="38"/>
  <c r="DG5" i="38"/>
  <c r="DH5" i="38"/>
  <c r="DI5" i="38"/>
  <c r="DJ5" i="38"/>
  <c r="DK5" i="38"/>
  <c r="DL5" i="38"/>
  <c r="DM5" i="38"/>
  <c r="DN5" i="38"/>
  <c r="DO5" i="38"/>
  <c r="DP5" i="38"/>
  <c r="DP67" i="38"/>
  <c r="DA9" i="38"/>
  <c r="DB9" i="38"/>
  <c r="DC9" i="38"/>
  <c r="DD9" i="38"/>
  <c r="DE9" i="38"/>
  <c r="DF9" i="38"/>
  <c r="DG9" i="38"/>
  <c r="DH9" i="38"/>
  <c r="DI9" i="38"/>
  <c r="DJ9" i="38"/>
  <c r="DK9" i="38"/>
  <c r="DL9" i="38"/>
  <c r="DM9" i="38"/>
  <c r="DN9" i="38"/>
  <c r="DO9" i="38"/>
  <c r="DP9" i="38"/>
  <c r="DP68" i="38"/>
  <c r="DA24" i="38"/>
  <c r="DB24" i="38"/>
  <c r="DC24" i="38"/>
  <c r="DD24" i="38"/>
  <c r="DE24" i="38"/>
  <c r="DF24" i="38"/>
  <c r="DG24" i="38"/>
  <c r="DH24" i="38"/>
  <c r="DI24" i="38"/>
  <c r="DJ24" i="38"/>
  <c r="DK24" i="38"/>
  <c r="DL24" i="38"/>
  <c r="DM24" i="38"/>
  <c r="DN24" i="38"/>
  <c r="DO24" i="38"/>
  <c r="DP24" i="38"/>
  <c r="DP69" i="38"/>
  <c r="DA20" i="38"/>
  <c r="DB20" i="38"/>
  <c r="DC20" i="38"/>
  <c r="DD20" i="38"/>
  <c r="DE20" i="38"/>
  <c r="DF20" i="38"/>
  <c r="DG20" i="38"/>
  <c r="DH20" i="38"/>
  <c r="DI20" i="38"/>
  <c r="DJ20" i="38"/>
  <c r="DK20" i="38"/>
  <c r="DL20" i="38"/>
  <c r="DM20" i="38"/>
  <c r="DN20" i="38"/>
  <c r="DO20" i="38"/>
  <c r="DP20" i="38"/>
  <c r="DP70" i="38"/>
  <c r="DA29" i="38"/>
  <c r="DB29" i="38"/>
  <c r="DC29" i="38"/>
  <c r="DD29" i="38"/>
  <c r="DE29" i="38"/>
  <c r="DF29" i="38"/>
  <c r="DG29" i="38"/>
  <c r="DH29" i="38"/>
  <c r="DI29" i="38"/>
  <c r="DJ29" i="38"/>
  <c r="DK29" i="38"/>
  <c r="DL29" i="38"/>
  <c r="DM29" i="38"/>
  <c r="DN29" i="38"/>
  <c r="DO29" i="38"/>
  <c r="DP29" i="38"/>
  <c r="DP71" i="38"/>
  <c r="DA16" i="38"/>
  <c r="DB16" i="38"/>
  <c r="DC16" i="38"/>
  <c r="DD16" i="38"/>
  <c r="DE16" i="38"/>
  <c r="DF16" i="38"/>
  <c r="DG16" i="38"/>
  <c r="DH16" i="38"/>
  <c r="DI16" i="38"/>
  <c r="DJ16" i="38"/>
  <c r="DK16" i="38"/>
  <c r="DL16" i="38"/>
  <c r="DM16" i="38"/>
  <c r="DN16" i="38"/>
  <c r="DO16" i="38"/>
  <c r="DP16" i="38"/>
  <c r="DP72" i="38"/>
  <c r="DA7" i="38"/>
  <c r="DB7" i="38"/>
  <c r="DC7" i="38"/>
  <c r="DD7" i="38"/>
  <c r="DE7" i="38"/>
  <c r="DF7" i="38"/>
  <c r="DG7" i="38"/>
  <c r="DH7" i="38"/>
  <c r="DI7" i="38"/>
  <c r="DJ7" i="38"/>
  <c r="DK7" i="38"/>
  <c r="DL7" i="38"/>
  <c r="DM7" i="38"/>
  <c r="DN7" i="38"/>
  <c r="DO7" i="38"/>
  <c r="DP7" i="38"/>
  <c r="DP73" i="38"/>
  <c r="DA12" i="38"/>
  <c r="DB12" i="38"/>
  <c r="DC12" i="38"/>
  <c r="DD12" i="38"/>
  <c r="DE12" i="38"/>
  <c r="DF12" i="38"/>
  <c r="DG12" i="38"/>
  <c r="DH12" i="38"/>
  <c r="DI12" i="38"/>
  <c r="DJ12" i="38"/>
  <c r="DK12" i="38"/>
  <c r="DL12" i="38"/>
  <c r="DM12" i="38"/>
  <c r="DN12" i="38"/>
  <c r="DO12" i="38"/>
  <c r="DP12" i="38"/>
  <c r="DP74" i="38"/>
  <c r="DA18" i="38"/>
  <c r="DB18" i="38"/>
  <c r="DC18" i="38"/>
  <c r="DD18" i="38"/>
  <c r="DE18" i="38"/>
  <c r="DF18" i="38"/>
  <c r="DG18" i="38"/>
  <c r="DH18" i="38"/>
  <c r="DI18" i="38"/>
  <c r="DJ18" i="38"/>
  <c r="DK18" i="38"/>
  <c r="DL18" i="38"/>
  <c r="DM18" i="38"/>
  <c r="DN18" i="38"/>
  <c r="DO18" i="38"/>
  <c r="DP18" i="38"/>
  <c r="DP75" i="38"/>
  <c r="DA27" i="38"/>
  <c r="DB27" i="38"/>
  <c r="DC27" i="38"/>
  <c r="DD27" i="38"/>
  <c r="DE27" i="38"/>
  <c r="DF27" i="38"/>
  <c r="DG27" i="38"/>
  <c r="DH27" i="38"/>
  <c r="DI27" i="38"/>
  <c r="DJ27" i="38"/>
  <c r="DK27" i="38"/>
  <c r="DL27" i="38"/>
  <c r="DM27" i="38"/>
  <c r="DN27" i="38"/>
  <c r="DO27" i="38"/>
  <c r="DP27" i="38"/>
  <c r="DP76" i="38"/>
  <c r="DP63" i="38"/>
  <c r="DQ63" i="38"/>
  <c r="BE25" i="38"/>
  <c r="BF25" i="38"/>
  <c r="BG25" i="38"/>
  <c r="BH25" i="38"/>
  <c r="BI25" i="38"/>
  <c r="BJ25" i="38"/>
  <c r="BK25" i="38"/>
  <c r="BL25" i="38"/>
  <c r="BM25" i="38"/>
  <c r="BN25" i="38"/>
  <c r="BO25" i="38"/>
  <c r="BP25" i="38"/>
  <c r="BQ25" i="38"/>
  <c r="BR25" i="38"/>
  <c r="BS25" i="38"/>
  <c r="BT25" i="38"/>
  <c r="BT64" i="38"/>
  <c r="BE21" i="38"/>
  <c r="BF21" i="38"/>
  <c r="BG21" i="38"/>
  <c r="BH21" i="38"/>
  <c r="BI21" i="38"/>
  <c r="BJ21" i="38"/>
  <c r="BK21" i="38"/>
  <c r="BL21" i="38"/>
  <c r="BM21" i="38"/>
  <c r="BN21" i="38"/>
  <c r="BO21" i="38"/>
  <c r="BP21" i="38"/>
  <c r="BQ21" i="38"/>
  <c r="BR21" i="38"/>
  <c r="BS21" i="38"/>
  <c r="BT21" i="38"/>
  <c r="BT65" i="38"/>
  <c r="BE17" i="38"/>
  <c r="BF17" i="38"/>
  <c r="BG17" i="38"/>
  <c r="BH17" i="38"/>
  <c r="BI17" i="38"/>
  <c r="BJ17" i="38"/>
  <c r="BK17" i="38"/>
  <c r="BL17" i="38"/>
  <c r="BM17" i="38"/>
  <c r="BN17" i="38"/>
  <c r="BO17" i="38"/>
  <c r="BP17" i="38"/>
  <c r="BQ17" i="38"/>
  <c r="BR17" i="38"/>
  <c r="BS17" i="38"/>
  <c r="BT17" i="38"/>
  <c r="BT66" i="38"/>
  <c r="BE5" i="38"/>
  <c r="BF5" i="38"/>
  <c r="BG5" i="38"/>
  <c r="BH5" i="38"/>
  <c r="BI5" i="38"/>
  <c r="BJ5" i="38"/>
  <c r="BK5" i="38"/>
  <c r="BL5" i="38"/>
  <c r="BM5" i="38"/>
  <c r="BN5" i="38"/>
  <c r="BO5" i="38"/>
  <c r="BP5" i="38"/>
  <c r="BQ5" i="38"/>
  <c r="BR5" i="38"/>
  <c r="BS5" i="38"/>
  <c r="BT5" i="38"/>
  <c r="BT67" i="38"/>
  <c r="BE9" i="38"/>
  <c r="BF9" i="38"/>
  <c r="BG9" i="38"/>
  <c r="BH9" i="38"/>
  <c r="BI9" i="38"/>
  <c r="BJ9" i="38"/>
  <c r="BK9" i="38"/>
  <c r="BL9" i="38"/>
  <c r="BM9" i="38"/>
  <c r="BN9" i="38"/>
  <c r="BO9" i="38"/>
  <c r="BP9" i="38"/>
  <c r="BQ9" i="38"/>
  <c r="BR9" i="38"/>
  <c r="BS9" i="38"/>
  <c r="BT9" i="38"/>
  <c r="BT68" i="38"/>
  <c r="BE24" i="38"/>
  <c r="BF24" i="38"/>
  <c r="BG24" i="38"/>
  <c r="BH24" i="38"/>
  <c r="BI24" i="38"/>
  <c r="BJ24" i="38"/>
  <c r="BK24" i="38"/>
  <c r="BL24" i="38"/>
  <c r="BM24" i="38"/>
  <c r="BN24" i="38"/>
  <c r="BO24" i="38"/>
  <c r="BP24" i="38"/>
  <c r="BQ24" i="38"/>
  <c r="BR24" i="38"/>
  <c r="BS24" i="38"/>
  <c r="BT24" i="38"/>
  <c r="BT69" i="38"/>
  <c r="BE20" i="38"/>
  <c r="BF20" i="38"/>
  <c r="BG20" i="38"/>
  <c r="BH20" i="38"/>
  <c r="BI20" i="38"/>
  <c r="BJ20" i="38"/>
  <c r="BK20" i="38"/>
  <c r="BL20" i="38"/>
  <c r="BM20" i="38"/>
  <c r="BN20" i="38"/>
  <c r="BO20" i="38"/>
  <c r="BP20" i="38"/>
  <c r="BQ20" i="38"/>
  <c r="BR20" i="38"/>
  <c r="BS20" i="38"/>
  <c r="BT20" i="38"/>
  <c r="BT70" i="38"/>
  <c r="BE29" i="38"/>
  <c r="BF29" i="38"/>
  <c r="BG29" i="38"/>
  <c r="BH29" i="38"/>
  <c r="BI29" i="38"/>
  <c r="BJ29" i="38"/>
  <c r="BK29" i="38"/>
  <c r="BL29" i="38"/>
  <c r="BM29" i="38"/>
  <c r="BN29" i="38"/>
  <c r="BO29" i="38"/>
  <c r="BP29" i="38"/>
  <c r="BQ29" i="38"/>
  <c r="BR29" i="38"/>
  <c r="BS29" i="38"/>
  <c r="BT29" i="38"/>
  <c r="BT71" i="38"/>
  <c r="BE16" i="38"/>
  <c r="BF16" i="38"/>
  <c r="BG16" i="38"/>
  <c r="BH16" i="38"/>
  <c r="BI16" i="38"/>
  <c r="BJ16" i="38"/>
  <c r="BK16" i="38"/>
  <c r="BL16" i="38"/>
  <c r="BM16" i="38"/>
  <c r="BN16" i="38"/>
  <c r="BO16" i="38"/>
  <c r="BP16" i="38"/>
  <c r="BQ16" i="38"/>
  <c r="BR16" i="38"/>
  <c r="BS16" i="38"/>
  <c r="BT16" i="38"/>
  <c r="BT72" i="38"/>
  <c r="BE7" i="38"/>
  <c r="BF7" i="38"/>
  <c r="BG7" i="38"/>
  <c r="BH7" i="38"/>
  <c r="BI7" i="38"/>
  <c r="BJ7" i="38"/>
  <c r="BK7" i="38"/>
  <c r="BL7" i="38"/>
  <c r="BM7" i="38"/>
  <c r="BN7" i="38"/>
  <c r="BO7" i="38"/>
  <c r="BP7" i="38"/>
  <c r="BQ7" i="38"/>
  <c r="BR7" i="38"/>
  <c r="BS7" i="38"/>
  <c r="BT7" i="38"/>
  <c r="BT73" i="38"/>
  <c r="BE12" i="38"/>
  <c r="BF12" i="38"/>
  <c r="BG12" i="38"/>
  <c r="BH12" i="38"/>
  <c r="BI12" i="38"/>
  <c r="BJ12" i="38"/>
  <c r="BK12" i="38"/>
  <c r="BL12" i="38"/>
  <c r="BM12" i="38"/>
  <c r="BN12" i="38"/>
  <c r="BO12" i="38"/>
  <c r="BP12" i="38"/>
  <c r="BQ12" i="38"/>
  <c r="BR12" i="38"/>
  <c r="BS12" i="38"/>
  <c r="BT12" i="38"/>
  <c r="BT74" i="38"/>
  <c r="BE18" i="38"/>
  <c r="BF18" i="38"/>
  <c r="BG18" i="38"/>
  <c r="BH18" i="38"/>
  <c r="BI18" i="38"/>
  <c r="BJ18" i="38"/>
  <c r="BK18" i="38"/>
  <c r="BL18" i="38"/>
  <c r="BM18" i="38"/>
  <c r="BN18" i="38"/>
  <c r="BO18" i="38"/>
  <c r="BP18" i="38"/>
  <c r="BQ18" i="38"/>
  <c r="BR18" i="38"/>
  <c r="BS18" i="38"/>
  <c r="BT18" i="38"/>
  <c r="BT75" i="38"/>
  <c r="BE27" i="38"/>
  <c r="BF27" i="38"/>
  <c r="BG27" i="38"/>
  <c r="BH27" i="38"/>
  <c r="BI27" i="38"/>
  <c r="BJ27" i="38"/>
  <c r="BK27" i="38"/>
  <c r="BL27" i="38"/>
  <c r="BM27" i="38"/>
  <c r="BN27" i="38"/>
  <c r="BO27" i="38"/>
  <c r="BP27" i="38"/>
  <c r="BQ27" i="38"/>
  <c r="BR27" i="38"/>
  <c r="BS27" i="38"/>
  <c r="BT27" i="38"/>
  <c r="BT76" i="38"/>
  <c r="BT63" i="38"/>
  <c r="BU63" i="38"/>
  <c r="P25" i="38"/>
  <c r="Q25" i="38"/>
  <c r="R25" i="38"/>
  <c r="S25" i="38"/>
  <c r="T25" i="38"/>
  <c r="U25" i="38"/>
  <c r="V25" i="38"/>
  <c r="W25" i="38"/>
  <c r="X25" i="38"/>
  <c r="Y25" i="38"/>
  <c r="Z25" i="38"/>
  <c r="AA25" i="38"/>
  <c r="AB25" i="38"/>
  <c r="AB64" i="38"/>
  <c r="P21" i="38"/>
  <c r="Q21" i="38"/>
  <c r="R21" i="38"/>
  <c r="S21" i="38"/>
  <c r="T21" i="38"/>
  <c r="U21" i="38"/>
  <c r="V21" i="38"/>
  <c r="W21" i="38"/>
  <c r="X21" i="38"/>
  <c r="Y21" i="38"/>
  <c r="Z21" i="38"/>
  <c r="AA21" i="38"/>
  <c r="AB21" i="38"/>
  <c r="AB65" i="38"/>
  <c r="P17" i="38"/>
  <c r="Q17" i="38"/>
  <c r="R17" i="38"/>
  <c r="S17" i="38"/>
  <c r="T17" i="38"/>
  <c r="U17" i="38"/>
  <c r="V17" i="38"/>
  <c r="W17" i="38"/>
  <c r="X17" i="38"/>
  <c r="Y17" i="38"/>
  <c r="Z17" i="38"/>
  <c r="AA17" i="38"/>
  <c r="AB17" i="38"/>
  <c r="AB66" i="38"/>
  <c r="P5" i="38"/>
  <c r="Q5" i="38"/>
  <c r="R5" i="38"/>
  <c r="S5" i="38"/>
  <c r="T5" i="38"/>
  <c r="U5" i="38"/>
  <c r="V5" i="38"/>
  <c r="W5" i="38"/>
  <c r="X5" i="38"/>
  <c r="Y5" i="38"/>
  <c r="Z5" i="38"/>
  <c r="AA5" i="38"/>
  <c r="AB5" i="38"/>
  <c r="AB67" i="38"/>
  <c r="P9" i="38"/>
  <c r="Q9" i="38"/>
  <c r="R9" i="38"/>
  <c r="S9" i="38"/>
  <c r="T9" i="38"/>
  <c r="U9" i="38"/>
  <c r="V9" i="38"/>
  <c r="W9" i="38"/>
  <c r="X9" i="38"/>
  <c r="Y9" i="38"/>
  <c r="Z9" i="38"/>
  <c r="AA9" i="38"/>
  <c r="AB9" i="38"/>
  <c r="AB68" i="38"/>
  <c r="P24" i="38"/>
  <c r="Q24" i="38"/>
  <c r="R24" i="38"/>
  <c r="S24" i="38"/>
  <c r="T24" i="38"/>
  <c r="U24" i="38"/>
  <c r="V24" i="38"/>
  <c r="W24" i="38"/>
  <c r="X24" i="38"/>
  <c r="Y24" i="38"/>
  <c r="Z24" i="38"/>
  <c r="AA24" i="38"/>
  <c r="AB24" i="38"/>
  <c r="AB69" i="38"/>
  <c r="P20" i="38"/>
  <c r="Q20" i="38"/>
  <c r="R20" i="38"/>
  <c r="S20" i="38"/>
  <c r="T20" i="38"/>
  <c r="U20" i="38"/>
  <c r="V20" i="38"/>
  <c r="W20" i="38"/>
  <c r="X20" i="38"/>
  <c r="Y20" i="38"/>
  <c r="Z20" i="38"/>
  <c r="AA20" i="38"/>
  <c r="AB20" i="38"/>
  <c r="AB70" i="38"/>
  <c r="P29" i="38"/>
  <c r="Q29" i="38"/>
  <c r="R29" i="38"/>
  <c r="S29" i="38"/>
  <c r="T29" i="38"/>
  <c r="U29" i="38"/>
  <c r="V29" i="38"/>
  <c r="W29" i="38"/>
  <c r="X29" i="38"/>
  <c r="Y29" i="38"/>
  <c r="Z29" i="38"/>
  <c r="AA29" i="38"/>
  <c r="AB29" i="38"/>
  <c r="AB71" i="38"/>
  <c r="P16" i="38"/>
  <c r="Q16" i="38"/>
  <c r="R16" i="38"/>
  <c r="S16" i="38"/>
  <c r="T16" i="38"/>
  <c r="U16" i="38"/>
  <c r="V16" i="38"/>
  <c r="W16" i="38"/>
  <c r="X16" i="38"/>
  <c r="Y16" i="38"/>
  <c r="Z16" i="38"/>
  <c r="AA16" i="38"/>
  <c r="AB16" i="38"/>
  <c r="AB72" i="38"/>
  <c r="P7" i="38"/>
  <c r="Q7" i="38"/>
  <c r="R7" i="38"/>
  <c r="S7" i="38"/>
  <c r="T7" i="38"/>
  <c r="U7" i="38"/>
  <c r="V7" i="38"/>
  <c r="W7" i="38"/>
  <c r="X7" i="38"/>
  <c r="Y7" i="38"/>
  <c r="Z7" i="38"/>
  <c r="AA7" i="38"/>
  <c r="AB7" i="38"/>
  <c r="AB73" i="38"/>
  <c r="P12" i="38"/>
  <c r="Q12" i="38"/>
  <c r="R12" i="38"/>
  <c r="S12" i="38"/>
  <c r="T12" i="38"/>
  <c r="U12" i="38"/>
  <c r="V12" i="38"/>
  <c r="W12" i="38"/>
  <c r="X12" i="38"/>
  <c r="Y12" i="38"/>
  <c r="Z12" i="38"/>
  <c r="AA12" i="38"/>
  <c r="AB12" i="38"/>
  <c r="AB74" i="38"/>
  <c r="P18" i="38"/>
  <c r="Q18" i="38"/>
  <c r="R18" i="38"/>
  <c r="S18" i="38"/>
  <c r="T18" i="38"/>
  <c r="U18" i="38"/>
  <c r="V18" i="38"/>
  <c r="W18" i="38"/>
  <c r="X18" i="38"/>
  <c r="Y18" i="38"/>
  <c r="Z18" i="38"/>
  <c r="AA18" i="38"/>
  <c r="AB18" i="38"/>
  <c r="AB75" i="38"/>
  <c r="P27" i="38"/>
  <c r="Q27" i="38"/>
  <c r="R27" i="38"/>
  <c r="S27" i="38"/>
  <c r="T27" i="38"/>
  <c r="U27" i="38"/>
  <c r="V27" i="38"/>
  <c r="W27" i="38"/>
  <c r="X27" i="38"/>
  <c r="Y27" i="38"/>
  <c r="Z27" i="38"/>
  <c r="AA27" i="38"/>
  <c r="AB27" i="38"/>
  <c r="AB76" i="38"/>
  <c r="AB63" i="38"/>
  <c r="AC63" i="38"/>
  <c r="EI62" i="38"/>
  <c r="EM62" i="38"/>
  <c r="EH62" i="38"/>
  <c r="EL62" i="38"/>
  <c r="CZ62" i="38"/>
  <c r="EF62" i="38"/>
  <c r="CY62" i="38"/>
  <c r="EE62" i="38"/>
  <c r="CX62" i="38"/>
  <c r="ED62" i="38"/>
  <c r="CW62" i="38"/>
  <c r="EC62" i="38"/>
  <c r="CV62" i="38"/>
  <c r="EB62" i="38"/>
  <c r="CU62" i="38"/>
  <c r="EA62" i="38"/>
  <c r="CT62" i="38"/>
  <c r="DZ62" i="38"/>
  <c r="CS62" i="38"/>
  <c r="DY62" i="38"/>
  <c r="CR62" i="38"/>
  <c r="DX62" i="38"/>
  <c r="CQ62" i="38"/>
  <c r="DW62" i="38"/>
  <c r="CP62" i="38"/>
  <c r="DV62" i="38"/>
  <c r="CN62" i="38"/>
  <c r="DT62" i="38"/>
  <c r="CM62" i="38"/>
  <c r="DS62" i="38"/>
  <c r="CL62" i="38"/>
  <c r="DR62" i="38"/>
  <c r="BD62" i="38"/>
  <c r="CJ62" i="38"/>
  <c r="BC62" i="38"/>
  <c r="CI62" i="38"/>
  <c r="BB62" i="38"/>
  <c r="CH62" i="38"/>
  <c r="BA62" i="38"/>
  <c r="CG62" i="38"/>
  <c r="AZ62" i="38"/>
  <c r="CF62" i="38"/>
  <c r="AY62" i="38"/>
  <c r="CE62" i="38"/>
  <c r="AX62" i="38"/>
  <c r="CD62" i="38"/>
  <c r="AW62" i="38"/>
  <c r="CC62" i="38"/>
  <c r="AV62" i="38"/>
  <c r="CB62" i="38"/>
  <c r="AU62" i="38"/>
  <c r="CA62" i="38"/>
  <c r="AT62" i="38"/>
  <c r="BZ62" i="38"/>
  <c r="AR62" i="38"/>
  <c r="BX62" i="38"/>
  <c r="AQ62" i="38"/>
  <c r="BW62" i="38"/>
  <c r="AP62" i="38"/>
  <c r="BV62" i="38"/>
  <c r="O62" i="38"/>
  <c r="AO62" i="38"/>
  <c r="N62" i="38"/>
  <c r="AN62" i="38"/>
  <c r="M62" i="38"/>
  <c r="AM62" i="38"/>
  <c r="L62" i="38"/>
  <c r="AL62" i="38"/>
  <c r="K62" i="38"/>
  <c r="AK62" i="38"/>
  <c r="J62" i="38"/>
  <c r="AJ62" i="38"/>
  <c r="I62" i="38"/>
  <c r="AI62" i="38"/>
  <c r="H62" i="38"/>
  <c r="AH62" i="38"/>
  <c r="G62" i="38"/>
  <c r="AG62" i="38"/>
  <c r="F62" i="38"/>
  <c r="AF62" i="38"/>
  <c r="E62" i="38"/>
  <c r="AE62" i="38"/>
  <c r="EI61" i="38"/>
  <c r="EM61" i="38"/>
  <c r="EH61" i="38"/>
  <c r="EL61" i="38"/>
  <c r="CZ61" i="38"/>
  <c r="EF61" i="38"/>
  <c r="CY61" i="38"/>
  <c r="EE61" i="38"/>
  <c r="CX61" i="38"/>
  <c r="ED61" i="38"/>
  <c r="CW61" i="38"/>
  <c r="EC61" i="38"/>
  <c r="CV61" i="38"/>
  <c r="EB61" i="38"/>
  <c r="CU61" i="38"/>
  <c r="EA61" i="38"/>
  <c r="CT61" i="38"/>
  <c r="DZ61" i="38"/>
  <c r="CS61" i="38"/>
  <c r="DY61" i="38"/>
  <c r="CR61" i="38"/>
  <c r="DX61" i="38"/>
  <c r="CQ61" i="38"/>
  <c r="DW61" i="38"/>
  <c r="CP61" i="38"/>
  <c r="DV61" i="38"/>
  <c r="CN61" i="38"/>
  <c r="DT61" i="38"/>
  <c r="CM61" i="38"/>
  <c r="DS61" i="38"/>
  <c r="CL61" i="38"/>
  <c r="DR61" i="38"/>
  <c r="BD61" i="38"/>
  <c r="CJ61" i="38"/>
  <c r="BC61" i="38"/>
  <c r="CI61" i="38"/>
  <c r="BB61" i="38"/>
  <c r="CH61" i="38"/>
  <c r="BA61" i="38"/>
  <c r="CG61" i="38"/>
  <c r="AZ61" i="38"/>
  <c r="CF61" i="38"/>
  <c r="AY61" i="38"/>
  <c r="CE61" i="38"/>
  <c r="AX61" i="38"/>
  <c r="CD61" i="38"/>
  <c r="AW61" i="38"/>
  <c r="CC61" i="38"/>
  <c r="AV61" i="38"/>
  <c r="CB61" i="38"/>
  <c r="AU61" i="38"/>
  <c r="CA61" i="38"/>
  <c r="AT61" i="38"/>
  <c r="BZ61" i="38"/>
  <c r="AR61" i="38"/>
  <c r="BX61" i="38"/>
  <c r="AQ61" i="38"/>
  <c r="BW61" i="38"/>
  <c r="AP61" i="38"/>
  <c r="BV61" i="38"/>
  <c r="O61" i="38"/>
  <c r="AO61" i="38"/>
  <c r="N61" i="38"/>
  <c r="AN61" i="38"/>
  <c r="M61" i="38"/>
  <c r="AM61" i="38"/>
  <c r="L61" i="38"/>
  <c r="AL61" i="38"/>
  <c r="K61" i="38"/>
  <c r="AK61" i="38"/>
  <c r="J61" i="38"/>
  <c r="AJ61" i="38"/>
  <c r="I61" i="38"/>
  <c r="AI61" i="38"/>
  <c r="H61" i="38"/>
  <c r="AH61" i="38"/>
  <c r="G61" i="38"/>
  <c r="AG61" i="38"/>
  <c r="F61" i="38"/>
  <c r="AF61" i="38"/>
  <c r="E61" i="38"/>
  <c r="AE61" i="38"/>
  <c r="EI60" i="38"/>
  <c r="EM60" i="38"/>
  <c r="EH60" i="38"/>
  <c r="EL60" i="38"/>
  <c r="CZ60" i="38"/>
  <c r="EF60" i="38"/>
  <c r="CY60" i="38"/>
  <c r="EE60" i="38"/>
  <c r="CX60" i="38"/>
  <c r="ED60" i="38"/>
  <c r="CW60" i="38"/>
  <c r="EC60" i="38"/>
  <c r="CV60" i="38"/>
  <c r="EB60" i="38"/>
  <c r="CU60" i="38"/>
  <c r="EA60" i="38"/>
  <c r="CT60" i="38"/>
  <c r="DZ60" i="38"/>
  <c r="CS60" i="38"/>
  <c r="DY60" i="38"/>
  <c r="CR60" i="38"/>
  <c r="DX60" i="38"/>
  <c r="CQ60" i="38"/>
  <c r="DW60" i="38"/>
  <c r="CP60" i="38"/>
  <c r="DV60" i="38"/>
  <c r="CN60" i="38"/>
  <c r="DT60" i="38"/>
  <c r="CM60" i="38"/>
  <c r="DS60" i="38"/>
  <c r="CL60" i="38"/>
  <c r="DR60" i="38"/>
  <c r="BD60" i="38"/>
  <c r="CJ60" i="38"/>
  <c r="BC60" i="38"/>
  <c r="CI60" i="38"/>
  <c r="BB60" i="38"/>
  <c r="CH60" i="38"/>
  <c r="BA60" i="38"/>
  <c r="CG60" i="38"/>
  <c r="AZ60" i="38"/>
  <c r="CF60" i="38"/>
  <c r="AY60" i="38"/>
  <c r="CE60" i="38"/>
  <c r="AX60" i="38"/>
  <c r="CD60" i="38"/>
  <c r="AW60" i="38"/>
  <c r="CC60" i="38"/>
  <c r="AV60" i="38"/>
  <c r="CB60" i="38"/>
  <c r="AU60" i="38"/>
  <c r="CA60" i="38"/>
  <c r="AT60" i="38"/>
  <c r="BZ60" i="38"/>
  <c r="AR60" i="38"/>
  <c r="BX60" i="38"/>
  <c r="AQ60" i="38"/>
  <c r="BW60" i="38"/>
  <c r="AP60" i="38"/>
  <c r="BV60" i="38"/>
  <c r="O60" i="38"/>
  <c r="AO60" i="38"/>
  <c r="N60" i="38"/>
  <c r="AN60" i="38"/>
  <c r="M60" i="38"/>
  <c r="AM60" i="38"/>
  <c r="L60" i="38"/>
  <c r="AL60" i="38"/>
  <c r="K60" i="38"/>
  <c r="AK60" i="38"/>
  <c r="J60" i="38"/>
  <c r="AJ60" i="38"/>
  <c r="I60" i="38"/>
  <c r="AI60" i="38"/>
  <c r="H60" i="38"/>
  <c r="AH60" i="38"/>
  <c r="G60" i="38"/>
  <c r="AG60" i="38"/>
  <c r="F60" i="38"/>
  <c r="AF60" i="38"/>
  <c r="E60" i="38"/>
  <c r="AE60" i="38"/>
  <c r="EI59" i="38"/>
  <c r="EM59" i="38"/>
  <c r="EH59" i="38"/>
  <c r="EL59" i="38"/>
  <c r="CZ59" i="38"/>
  <c r="EF59" i="38"/>
  <c r="CY59" i="38"/>
  <c r="EE59" i="38"/>
  <c r="CX59" i="38"/>
  <c r="ED59" i="38"/>
  <c r="CW59" i="38"/>
  <c r="EC59" i="38"/>
  <c r="CV59" i="38"/>
  <c r="EB59" i="38"/>
  <c r="CU59" i="38"/>
  <c r="EA59" i="38"/>
  <c r="CT59" i="38"/>
  <c r="DZ59" i="38"/>
  <c r="CS59" i="38"/>
  <c r="DY59" i="38"/>
  <c r="CR59" i="38"/>
  <c r="DX59" i="38"/>
  <c r="CQ59" i="38"/>
  <c r="DW59" i="38"/>
  <c r="CP59" i="38"/>
  <c r="DV59" i="38"/>
  <c r="CN59" i="38"/>
  <c r="DT59" i="38"/>
  <c r="CM59" i="38"/>
  <c r="DS59" i="38"/>
  <c r="CL59" i="38"/>
  <c r="DR59" i="38"/>
  <c r="BD59" i="38"/>
  <c r="CJ59" i="38"/>
  <c r="BC59" i="38"/>
  <c r="CI59" i="38"/>
  <c r="BB59" i="38"/>
  <c r="CH59" i="38"/>
  <c r="BA59" i="38"/>
  <c r="CG59" i="38"/>
  <c r="AZ59" i="38"/>
  <c r="CF59" i="38"/>
  <c r="AY59" i="38"/>
  <c r="CE59" i="38"/>
  <c r="AX59" i="38"/>
  <c r="CD59" i="38"/>
  <c r="AW59" i="38"/>
  <c r="CC59" i="38"/>
  <c r="AV59" i="38"/>
  <c r="CB59" i="38"/>
  <c r="AU59" i="38"/>
  <c r="CA59" i="38"/>
  <c r="AT59" i="38"/>
  <c r="BZ59" i="38"/>
  <c r="AR59" i="38"/>
  <c r="BX59" i="38"/>
  <c r="AQ59" i="38"/>
  <c r="BW59" i="38"/>
  <c r="AP59" i="38"/>
  <c r="BV59" i="38"/>
  <c r="O59" i="38"/>
  <c r="AO59" i="38"/>
  <c r="N59" i="38"/>
  <c r="AN59" i="38"/>
  <c r="M59" i="38"/>
  <c r="AM59" i="38"/>
  <c r="L59" i="38"/>
  <c r="AL59" i="38"/>
  <c r="K59" i="38"/>
  <c r="AK59" i="38"/>
  <c r="J59" i="38"/>
  <c r="AJ59" i="38"/>
  <c r="I59" i="38"/>
  <c r="AI59" i="38"/>
  <c r="H59" i="38"/>
  <c r="AH59" i="38"/>
  <c r="G59" i="38"/>
  <c r="AG59" i="38"/>
  <c r="F59" i="38"/>
  <c r="AF59" i="38"/>
  <c r="E59" i="38"/>
  <c r="AE59" i="38"/>
  <c r="EI58" i="38"/>
  <c r="EM58" i="38"/>
  <c r="EH58" i="38"/>
  <c r="EL58" i="38"/>
  <c r="CZ58" i="38"/>
  <c r="EF58" i="38"/>
  <c r="CY58" i="38"/>
  <c r="EE58" i="38"/>
  <c r="CX58" i="38"/>
  <c r="ED58" i="38"/>
  <c r="CW58" i="38"/>
  <c r="EC58" i="38"/>
  <c r="CV58" i="38"/>
  <c r="EB58" i="38"/>
  <c r="CU58" i="38"/>
  <c r="EA58" i="38"/>
  <c r="CT58" i="38"/>
  <c r="DZ58" i="38"/>
  <c r="CS58" i="38"/>
  <c r="DY58" i="38"/>
  <c r="CR58" i="38"/>
  <c r="DX58" i="38"/>
  <c r="CQ58" i="38"/>
  <c r="DW58" i="38"/>
  <c r="CP58" i="38"/>
  <c r="DV58" i="38"/>
  <c r="CN58" i="38"/>
  <c r="DT58" i="38"/>
  <c r="CM58" i="38"/>
  <c r="DS58" i="38"/>
  <c r="CL58" i="38"/>
  <c r="DR58" i="38"/>
  <c r="BD58" i="38"/>
  <c r="CJ58" i="38"/>
  <c r="BC58" i="38"/>
  <c r="CI58" i="38"/>
  <c r="BB58" i="38"/>
  <c r="CH58" i="38"/>
  <c r="BA58" i="38"/>
  <c r="CG58" i="38"/>
  <c r="AZ58" i="38"/>
  <c r="CF58" i="38"/>
  <c r="AY58" i="38"/>
  <c r="CE58" i="38"/>
  <c r="AX58" i="38"/>
  <c r="CD58" i="38"/>
  <c r="AW58" i="38"/>
  <c r="CC58" i="38"/>
  <c r="AV58" i="38"/>
  <c r="CB58" i="38"/>
  <c r="AU58" i="38"/>
  <c r="CA58" i="38"/>
  <c r="AT58" i="38"/>
  <c r="BZ58" i="38"/>
  <c r="AR58" i="38"/>
  <c r="BX58" i="38"/>
  <c r="AQ58" i="38"/>
  <c r="BW58" i="38"/>
  <c r="AP58" i="38"/>
  <c r="BV58" i="38"/>
  <c r="O58" i="38"/>
  <c r="AO58" i="38"/>
  <c r="N58" i="38"/>
  <c r="AN58" i="38"/>
  <c r="M58" i="38"/>
  <c r="AM58" i="38"/>
  <c r="L58" i="38"/>
  <c r="AL58" i="38"/>
  <c r="K58" i="38"/>
  <c r="AK58" i="38"/>
  <c r="J58" i="38"/>
  <c r="AJ58" i="38"/>
  <c r="I58" i="38"/>
  <c r="AI58" i="38"/>
  <c r="H58" i="38"/>
  <c r="AH58" i="38"/>
  <c r="G58" i="38"/>
  <c r="AG58" i="38"/>
  <c r="F58" i="38"/>
  <c r="AF58" i="38"/>
  <c r="E58" i="38"/>
  <c r="AE58" i="38"/>
  <c r="EI57" i="38"/>
  <c r="EM57" i="38"/>
  <c r="EH57" i="38"/>
  <c r="EL57" i="38"/>
  <c r="CZ57" i="38"/>
  <c r="EF57" i="38"/>
  <c r="CY57" i="38"/>
  <c r="EE57" i="38"/>
  <c r="CX57" i="38"/>
  <c r="ED57" i="38"/>
  <c r="CW57" i="38"/>
  <c r="EC57" i="38"/>
  <c r="CV57" i="38"/>
  <c r="EB57" i="38"/>
  <c r="CU57" i="38"/>
  <c r="EA57" i="38"/>
  <c r="CT57" i="38"/>
  <c r="DZ57" i="38"/>
  <c r="CS57" i="38"/>
  <c r="DY57" i="38"/>
  <c r="CR57" i="38"/>
  <c r="DX57" i="38"/>
  <c r="CQ57" i="38"/>
  <c r="DW57" i="38"/>
  <c r="CP57" i="38"/>
  <c r="DV57" i="38"/>
  <c r="CN57" i="38"/>
  <c r="DT57" i="38"/>
  <c r="CM57" i="38"/>
  <c r="DS57" i="38"/>
  <c r="CL57" i="38"/>
  <c r="DR57" i="38"/>
  <c r="BD57" i="38"/>
  <c r="CJ57" i="38"/>
  <c r="BC57" i="38"/>
  <c r="CI57" i="38"/>
  <c r="BB57" i="38"/>
  <c r="CH57" i="38"/>
  <c r="BA57" i="38"/>
  <c r="CG57" i="38"/>
  <c r="AZ57" i="38"/>
  <c r="CF57" i="38"/>
  <c r="AY57" i="38"/>
  <c r="CE57" i="38"/>
  <c r="AX57" i="38"/>
  <c r="CD57" i="38"/>
  <c r="AW57" i="38"/>
  <c r="CC57" i="38"/>
  <c r="AV57" i="38"/>
  <c r="CB57" i="38"/>
  <c r="AU57" i="38"/>
  <c r="CA57" i="38"/>
  <c r="AT57" i="38"/>
  <c r="BZ57" i="38"/>
  <c r="AR57" i="38"/>
  <c r="BX57" i="38"/>
  <c r="AQ57" i="38"/>
  <c r="BW57" i="38"/>
  <c r="AP57" i="38"/>
  <c r="BV57" i="38"/>
  <c r="O57" i="38"/>
  <c r="AO57" i="38"/>
  <c r="N57" i="38"/>
  <c r="AN57" i="38"/>
  <c r="M57" i="38"/>
  <c r="AM57" i="38"/>
  <c r="L57" i="38"/>
  <c r="AL57" i="38"/>
  <c r="K57" i="38"/>
  <c r="AK57" i="38"/>
  <c r="J57" i="38"/>
  <c r="AJ57" i="38"/>
  <c r="I57" i="38"/>
  <c r="AI57" i="38"/>
  <c r="H57" i="38"/>
  <c r="AH57" i="38"/>
  <c r="G57" i="38"/>
  <c r="AG57" i="38"/>
  <c r="F57" i="38"/>
  <c r="AF57" i="38"/>
  <c r="E57" i="38"/>
  <c r="AE57" i="38"/>
  <c r="EI56" i="38"/>
  <c r="EM56" i="38"/>
  <c r="EH56" i="38"/>
  <c r="EL56" i="38"/>
  <c r="CZ56" i="38"/>
  <c r="EF56" i="38"/>
  <c r="CY56" i="38"/>
  <c r="EE56" i="38"/>
  <c r="CX56" i="38"/>
  <c r="ED56" i="38"/>
  <c r="CW56" i="38"/>
  <c r="EC56" i="38"/>
  <c r="CV56" i="38"/>
  <c r="EB56" i="38"/>
  <c r="CU56" i="38"/>
  <c r="EA56" i="38"/>
  <c r="CT56" i="38"/>
  <c r="DZ56" i="38"/>
  <c r="CS56" i="38"/>
  <c r="DY56" i="38"/>
  <c r="CR56" i="38"/>
  <c r="DX56" i="38"/>
  <c r="CQ56" i="38"/>
  <c r="DW56" i="38"/>
  <c r="CP56" i="38"/>
  <c r="DV56" i="38"/>
  <c r="CN56" i="38"/>
  <c r="DT56" i="38"/>
  <c r="CM56" i="38"/>
  <c r="DS56" i="38"/>
  <c r="CL56" i="38"/>
  <c r="DR56" i="38"/>
  <c r="BD56" i="38"/>
  <c r="CJ56" i="38"/>
  <c r="BC56" i="38"/>
  <c r="CI56" i="38"/>
  <c r="BB56" i="38"/>
  <c r="CH56" i="38"/>
  <c r="BA56" i="38"/>
  <c r="CG56" i="38"/>
  <c r="AZ56" i="38"/>
  <c r="CF56" i="38"/>
  <c r="AY56" i="38"/>
  <c r="CE56" i="38"/>
  <c r="AX56" i="38"/>
  <c r="CD56" i="38"/>
  <c r="AW56" i="38"/>
  <c r="CC56" i="38"/>
  <c r="AV56" i="38"/>
  <c r="CB56" i="38"/>
  <c r="AU56" i="38"/>
  <c r="CA56" i="38"/>
  <c r="AT56" i="38"/>
  <c r="BZ56" i="38"/>
  <c r="AR56" i="38"/>
  <c r="BX56" i="38"/>
  <c r="AQ56" i="38"/>
  <c r="BW56" i="38"/>
  <c r="AP56" i="38"/>
  <c r="BV56" i="38"/>
  <c r="O56" i="38"/>
  <c r="AO56" i="38"/>
  <c r="N56" i="38"/>
  <c r="AN56" i="38"/>
  <c r="M56" i="38"/>
  <c r="AM56" i="38"/>
  <c r="L56" i="38"/>
  <c r="AL56" i="38"/>
  <c r="K56" i="38"/>
  <c r="AK56" i="38"/>
  <c r="J56" i="38"/>
  <c r="AJ56" i="38"/>
  <c r="I56" i="38"/>
  <c r="AI56" i="38"/>
  <c r="H56" i="38"/>
  <c r="AH56" i="38"/>
  <c r="G56" i="38"/>
  <c r="AG56" i="38"/>
  <c r="F56" i="38"/>
  <c r="AF56" i="38"/>
  <c r="E56" i="38"/>
  <c r="AE56" i="38"/>
  <c r="EI55" i="38"/>
  <c r="EM55" i="38"/>
  <c r="EH55" i="38"/>
  <c r="EL55" i="38"/>
  <c r="CZ55" i="38"/>
  <c r="EF55" i="38"/>
  <c r="CY55" i="38"/>
  <c r="EE55" i="38"/>
  <c r="CX55" i="38"/>
  <c r="ED55" i="38"/>
  <c r="CW55" i="38"/>
  <c r="EC55" i="38"/>
  <c r="CV55" i="38"/>
  <c r="EB55" i="38"/>
  <c r="CU55" i="38"/>
  <c r="EA55" i="38"/>
  <c r="CT55" i="38"/>
  <c r="DZ55" i="38"/>
  <c r="CS55" i="38"/>
  <c r="DY55" i="38"/>
  <c r="CR55" i="38"/>
  <c r="DX55" i="38"/>
  <c r="CQ55" i="38"/>
  <c r="DW55" i="38"/>
  <c r="CP55" i="38"/>
  <c r="DV55" i="38"/>
  <c r="CN55" i="38"/>
  <c r="DT55" i="38"/>
  <c r="CM55" i="38"/>
  <c r="DS55" i="38"/>
  <c r="CL55" i="38"/>
  <c r="DR55" i="38"/>
  <c r="BD55" i="38"/>
  <c r="CJ55" i="38"/>
  <c r="BC55" i="38"/>
  <c r="CI55" i="38"/>
  <c r="BB55" i="38"/>
  <c r="CH55" i="38"/>
  <c r="BA55" i="38"/>
  <c r="CG55" i="38"/>
  <c r="AZ55" i="38"/>
  <c r="CF55" i="38"/>
  <c r="AY55" i="38"/>
  <c r="CE55" i="38"/>
  <c r="AX55" i="38"/>
  <c r="CD55" i="38"/>
  <c r="AW55" i="38"/>
  <c r="CC55" i="38"/>
  <c r="AV55" i="38"/>
  <c r="CB55" i="38"/>
  <c r="AU55" i="38"/>
  <c r="CA55" i="38"/>
  <c r="AT55" i="38"/>
  <c r="BZ55" i="38"/>
  <c r="AR55" i="38"/>
  <c r="BX55" i="38"/>
  <c r="AQ55" i="38"/>
  <c r="BW55" i="38"/>
  <c r="AP55" i="38"/>
  <c r="BV55" i="38"/>
  <c r="O55" i="38"/>
  <c r="AO55" i="38"/>
  <c r="N55" i="38"/>
  <c r="AN55" i="38"/>
  <c r="M55" i="38"/>
  <c r="AM55" i="38"/>
  <c r="L55" i="38"/>
  <c r="AL55" i="38"/>
  <c r="K55" i="38"/>
  <c r="AK55" i="38"/>
  <c r="J55" i="38"/>
  <c r="AJ55" i="38"/>
  <c r="I55" i="38"/>
  <c r="AI55" i="38"/>
  <c r="H55" i="38"/>
  <c r="AH55" i="38"/>
  <c r="G55" i="38"/>
  <c r="AG55" i="38"/>
  <c r="F55" i="38"/>
  <c r="AF55" i="38"/>
  <c r="E55" i="38"/>
  <c r="AE55" i="38"/>
  <c r="EI54" i="38"/>
  <c r="EM54" i="38"/>
  <c r="EH54" i="38"/>
  <c r="EL54" i="38"/>
  <c r="CZ54" i="38"/>
  <c r="EF54" i="38"/>
  <c r="CY54" i="38"/>
  <c r="EE54" i="38"/>
  <c r="CX54" i="38"/>
  <c r="ED54" i="38"/>
  <c r="CW54" i="38"/>
  <c r="EC54" i="38"/>
  <c r="CV54" i="38"/>
  <c r="EB54" i="38"/>
  <c r="CU54" i="38"/>
  <c r="EA54" i="38"/>
  <c r="CT54" i="38"/>
  <c r="DZ54" i="38"/>
  <c r="CS54" i="38"/>
  <c r="DY54" i="38"/>
  <c r="CR54" i="38"/>
  <c r="DX54" i="38"/>
  <c r="CQ54" i="38"/>
  <c r="DW54" i="38"/>
  <c r="CP54" i="38"/>
  <c r="DV54" i="38"/>
  <c r="CN54" i="38"/>
  <c r="DT54" i="38"/>
  <c r="CM54" i="38"/>
  <c r="DS54" i="38"/>
  <c r="CL54" i="38"/>
  <c r="DR54" i="38"/>
  <c r="BD54" i="38"/>
  <c r="CJ54" i="38"/>
  <c r="BC54" i="38"/>
  <c r="CI54" i="38"/>
  <c r="BB54" i="38"/>
  <c r="CH54" i="38"/>
  <c r="BA54" i="38"/>
  <c r="CG54" i="38"/>
  <c r="AZ54" i="38"/>
  <c r="CF54" i="38"/>
  <c r="AY54" i="38"/>
  <c r="CE54" i="38"/>
  <c r="AX54" i="38"/>
  <c r="CD54" i="38"/>
  <c r="AW54" i="38"/>
  <c r="CC54" i="38"/>
  <c r="AV54" i="38"/>
  <c r="CB54" i="38"/>
  <c r="AU54" i="38"/>
  <c r="CA54" i="38"/>
  <c r="AT54" i="38"/>
  <c r="BZ54" i="38"/>
  <c r="AR54" i="38"/>
  <c r="BX54" i="38"/>
  <c r="AQ54" i="38"/>
  <c r="BW54" i="38"/>
  <c r="AP54" i="38"/>
  <c r="BV54" i="38"/>
  <c r="O54" i="38"/>
  <c r="AO54" i="38"/>
  <c r="N54" i="38"/>
  <c r="AN54" i="38"/>
  <c r="M54" i="38"/>
  <c r="AM54" i="38"/>
  <c r="L54" i="38"/>
  <c r="AL54" i="38"/>
  <c r="K54" i="38"/>
  <c r="AK54" i="38"/>
  <c r="J54" i="38"/>
  <c r="AJ54" i="38"/>
  <c r="I54" i="38"/>
  <c r="AI54" i="38"/>
  <c r="H54" i="38"/>
  <c r="AH54" i="38"/>
  <c r="G54" i="38"/>
  <c r="AG54" i="38"/>
  <c r="F54" i="38"/>
  <c r="AF54" i="38"/>
  <c r="E54" i="38"/>
  <c r="AE54" i="38"/>
  <c r="EI53" i="38"/>
  <c r="EM53" i="38"/>
  <c r="EH53" i="38"/>
  <c r="EL53" i="38"/>
  <c r="CZ53" i="38"/>
  <c r="EF53" i="38"/>
  <c r="CY53" i="38"/>
  <c r="EE53" i="38"/>
  <c r="CX53" i="38"/>
  <c r="ED53" i="38"/>
  <c r="CW53" i="38"/>
  <c r="EC53" i="38"/>
  <c r="CV53" i="38"/>
  <c r="EB53" i="38"/>
  <c r="CU53" i="38"/>
  <c r="EA53" i="38"/>
  <c r="CT53" i="38"/>
  <c r="DZ53" i="38"/>
  <c r="CS53" i="38"/>
  <c r="DY53" i="38"/>
  <c r="CR53" i="38"/>
  <c r="DX53" i="38"/>
  <c r="CQ53" i="38"/>
  <c r="DW53" i="38"/>
  <c r="CP53" i="38"/>
  <c r="DV53" i="38"/>
  <c r="CN53" i="38"/>
  <c r="DT53" i="38"/>
  <c r="CM53" i="38"/>
  <c r="DS53" i="38"/>
  <c r="CL53" i="38"/>
  <c r="DR53" i="38"/>
  <c r="BD53" i="38"/>
  <c r="CJ53" i="38"/>
  <c r="BC53" i="38"/>
  <c r="CI53" i="38"/>
  <c r="BB53" i="38"/>
  <c r="CH53" i="38"/>
  <c r="BA53" i="38"/>
  <c r="CG53" i="38"/>
  <c r="AZ53" i="38"/>
  <c r="CF53" i="38"/>
  <c r="AY53" i="38"/>
  <c r="CE53" i="38"/>
  <c r="AX53" i="38"/>
  <c r="CD53" i="38"/>
  <c r="AW53" i="38"/>
  <c r="CC53" i="38"/>
  <c r="AV53" i="38"/>
  <c r="CB53" i="38"/>
  <c r="AU53" i="38"/>
  <c r="CA53" i="38"/>
  <c r="AT53" i="38"/>
  <c r="BZ53" i="38"/>
  <c r="AR53" i="38"/>
  <c r="BX53" i="38"/>
  <c r="AQ53" i="38"/>
  <c r="BW53" i="38"/>
  <c r="AP53" i="38"/>
  <c r="BV53" i="38"/>
  <c r="O53" i="38"/>
  <c r="AO53" i="38"/>
  <c r="N53" i="38"/>
  <c r="AN53" i="38"/>
  <c r="M53" i="38"/>
  <c r="AM53" i="38"/>
  <c r="L53" i="38"/>
  <c r="AL53" i="38"/>
  <c r="K53" i="38"/>
  <c r="AK53" i="38"/>
  <c r="J53" i="38"/>
  <c r="AJ53" i="38"/>
  <c r="I53" i="38"/>
  <c r="AI53" i="38"/>
  <c r="H53" i="38"/>
  <c r="AH53" i="38"/>
  <c r="G53" i="38"/>
  <c r="AG53" i="38"/>
  <c r="F53" i="38"/>
  <c r="AF53" i="38"/>
  <c r="E53" i="38"/>
  <c r="AE53" i="38"/>
  <c r="EI52" i="38"/>
  <c r="EM52" i="38"/>
  <c r="EH52" i="38"/>
  <c r="EL52" i="38"/>
  <c r="CZ52" i="38"/>
  <c r="EF52" i="38"/>
  <c r="CY52" i="38"/>
  <c r="EE52" i="38"/>
  <c r="CX52" i="38"/>
  <c r="ED52" i="38"/>
  <c r="CW52" i="38"/>
  <c r="EC52" i="38"/>
  <c r="CV52" i="38"/>
  <c r="EB52" i="38"/>
  <c r="CU52" i="38"/>
  <c r="EA52" i="38"/>
  <c r="CT52" i="38"/>
  <c r="DZ52" i="38"/>
  <c r="CS52" i="38"/>
  <c r="DY52" i="38"/>
  <c r="CR52" i="38"/>
  <c r="DX52" i="38"/>
  <c r="CQ52" i="38"/>
  <c r="DW52" i="38"/>
  <c r="CP52" i="38"/>
  <c r="DV52" i="38"/>
  <c r="CN52" i="38"/>
  <c r="DT52" i="38"/>
  <c r="CM52" i="38"/>
  <c r="DS52" i="38"/>
  <c r="CL52" i="38"/>
  <c r="DR52" i="38"/>
  <c r="BD52" i="38"/>
  <c r="CJ52" i="38"/>
  <c r="BC52" i="38"/>
  <c r="CI52" i="38"/>
  <c r="BB52" i="38"/>
  <c r="CH52" i="38"/>
  <c r="BA52" i="38"/>
  <c r="CG52" i="38"/>
  <c r="AZ52" i="38"/>
  <c r="CF52" i="38"/>
  <c r="AY52" i="38"/>
  <c r="CE52" i="38"/>
  <c r="AX52" i="38"/>
  <c r="CD52" i="38"/>
  <c r="AW52" i="38"/>
  <c r="CC52" i="38"/>
  <c r="AV52" i="38"/>
  <c r="CB52" i="38"/>
  <c r="AU52" i="38"/>
  <c r="CA52" i="38"/>
  <c r="AT52" i="38"/>
  <c r="BZ52" i="38"/>
  <c r="AR52" i="38"/>
  <c r="BX52" i="38"/>
  <c r="AQ52" i="38"/>
  <c r="BW52" i="38"/>
  <c r="AP52" i="38"/>
  <c r="BV52" i="38"/>
  <c r="O52" i="38"/>
  <c r="AO52" i="38"/>
  <c r="N52" i="38"/>
  <c r="AN52" i="38"/>
  <c r="M52" i="38"/>
  <c r="AM52" i="38"/>
  <c r="L52" i="38"/>
  <c r="AL52" i="38"/>
  <c r="K52" i="38"/>
  <c r="AK52" i="38"/>
  <c r="J52" i="38"/>
  <c r="AJ52" i="38"/>
  <c r="I52" i="38"/>
  <c r="AI52" i="38"/>
  <c r="H52" i="38"/>
  <c r="AH52" i="38"/>
  <c r="G52" i="38"/>
  <c r="AG52" i="38"/>
  <c r="F52" i="38"/>
  <c r="AF52" i="38"/>
  <c r="E52" i="38"/>
  <c r="AE52" i="38"/>
  <c r="EI51" i="38"/>
  <c r="EM51" i="38"/>
  <c r="EH51" i="38"/>
  <c r="EL51" i="38"/>
  <c r="CZ51" i="38"/>
  <c r="EF51" i="38"/>
  <c r="CY51" i="38"/>
  <c r="EE51" i="38"/>
  <c r="CX51" i="38"/>
  <c r="ED51" i="38"/>
  <c r="CW51" i="38"/>
  <c r="EC51" i="38"/>
  <c r="CV51" i="38"/>
  <c r="EB51" i="38"/>
  <c r="CU51" i="38"/>
  <c r="EA51" i="38"/>
  <c r="CT51" i="38"/>
  <c r="DZ51" i="38"/>
  <c r="CS51" i="38"/>
  <c r="DY51" i="38"/>
  <c r="CR51" i="38"/>
  <c r="DX51" i="38"/>
  <c r="CQ51" i="38"/>
  <c r="DW51" i="38"/>
  <c r="CP51" i="38"/>
  <c r="DV51" i="38"/>
  <c r="CN51" i="38"/>
  <c r="DT51" i="38"/>
  <c r="CM51" i="38"/>
  <c r="DS51" i="38"/>
  <c r="CL51" i="38"/>
  <c r="DR51" i="38"/>
  <c r="BD51" i="38"/>
  <c r="CJ51" i="38"/>
  <c r="BC51" i="38"/>
  <c r="CI51" i="38"/>
  <c r="BB51" i="38"/>
  <c r="CH51" i="38"/>
  <c r="BA51" i="38"/>
  <c r="CG51" i="38"/>
  <c r="AZ51" i="38"/>
  <c r="CF51" i="38"/>
  <c r="AY51" i="38"/>
  <c r="CE51" i="38"/>
  <c r="AX51" i="38"/>
  <c r="CD51" i="38"/>
  <c r="AW51" i="38"/>
  <c r="CC51" i="38"/>
  <c r="AV51" i="38"/>
  <c r="CB51" i="38"/>
  <c r="AU51" i="38"/>
  <c r="CA51" i="38"/>
  <c r="AT51" i="38"/>
  <c r="BZ51" i="38"/>
  <c r="AR51" i="38"/>
  <c r="BX51" i="38"/>
  <c r="AQ51" i="38"/>
  <c r="BW51" i="38"/>
  <c r="AP51" i="38"/>
  <c r="BV51" i="38"/>
  <c r="O51" i="38"/>
  <c r="AO51" i="38"/>
  <c r="N51" i="38"/>
  <c r="AN51" i="38"/>
  <c r="M51" i="38"/>
  <c r="AM51" i="38"/>
  <c r="L51" i="38"/>
  <c r="AL51" i="38"/>
  <c r="K51" i="38"/>
  <c r="AK51" i="38"/>
  <c r="J51" i="38"/>
  <c r="AJ51" i="38"/>
  <c r="I51" i="38"/>
  <c r="AI51" i="38"/>
  <c r="H51" i="38"/>
  <c r="AH51" i="38"/>
  <c r="G51" i="38"/>
  <c r="AG51" i="38"/>
  <c r="F51" i="38"/>
  <c r="AF51" i="38"/>
  <c r="E51" i="38"/>
  <c r="AE51" i="38"/>
  <c r="EI50" i="38"/>
  <c r="EM50" i="38"/>
  <c r="EH50" i="38"/>
  <c r="EL50" i="38"/>
  <c r="CZ50" i="38"/>
  <c r="EF50" i="38"/>
  <c r="CY50" i="38"/>
  <c r="EE50" i="38"/>
  <c r="CX50" i="38"/>
  <c r="ED50" i="38"/>
  <c r="CW50" i="38"/>
  <c r="EC50" i="38"/>
  <c r="CV50" i="38"/>
  <c r="EB50" i="38"/>
  <c r="CU50" i="38"/>
  <c r="EA50" i="38"/>
  <c r="CT50" i="38"/>
  <c r="DZ50" i="38"/>
  <c r="CS50" i="38"/>
  <c r="DY50" i="38"/>
  <c r="CR50" i="38"/>
  <c r="DX50" i="38"/>
  <c r="CQ50" i="38"/>
  <c r="DW50" i="38"/>
  <c r="CP50" i="38"/>
  <c r="DV50" i="38"/>
  <c r="CN50" i="38"/>
  <c r="DT50" i="38"/>
  <c r="CM50" i="38"/>
  <c r="DS50" i="38"/>
  <c r="CL50" i="38"/>
  <c r="DR50" i="38"/>
  <c r="BD50" i="38"/>
  <c r="CJ50" i="38"/>
  <c r="BC50" i="38"/>
  <c r="CI50" i="38"/>
  <c r="BB50" i="38"/>
  <c r="CH50" i="38"/>
  <c r="BA50" i="38"/>
  <c r="CG50" i="38"/>
  <c r="AZ50" i="38"/>
  <c r="CF50" i="38"/>
  <c r="AY50" i="38"/>
  <c r="CE50" i="38"/>
  <c r="AX50" i="38"/>
  <c r="CD50" i="38"/>
  <c r="AW50" i="38"/>
  <c r="CC50" i="38"/>
  <c r="AV50" i="38"/>
  <c r="CB50" i="38"/>
  <c r="AU50" i="38"/>
  <c r="CA50" i="38"/>
  <c r="AT50" i="38"/>
  <c r="BZ50" i="38"/>
  <c r="AR50" i="38"/>
  <c r="BX50" i="38"/>
  <c r="AQ50" i="38"/>
  <c r="BW50" i="38"/>
  <c r="AP50" i="38"/>
  <c r="BV50" i="38"/>
  <c r="O50" i="38"/>
  <c r="AO50" i="38"/>
  <c r="N50" i="38"/>
  <c r="AN50" i="38"/>
  <c r="M50" i="38"/>
  <c r="AM50" i="38"/>
  <c r="L50" i="38"/>
  <c r="AL50" i="38"/>
  <c r="K50" i="38"/>
  <c r="AK50" i="38"/>
  <c r="J50" i="38"/>
  <c r="AJ50" i="38"/>
  <c r="I50" i="38"/>
  <c r="AI50" i="38"/>
  <c r="H50" i="38"/>
  <c r="AH50" i="38"/>
  <c r="G50" i="38"/>
  <c r="AG50" i="38"/>
  <c r="F50" i="38"/>
  <c r="AF50" i="38"/>
  <c r="E50" i="38"/>
  <c r="AE50" i="38"/>
  <c r="EI23" i="38"/>
  <c r="EI49" i="38"/>
  <c r="EM49" i="38"/>
  <c r="EH23" i="38"/>
  <c r="EH49" i="38"/>
  <c r="EL49" i="38"/>
  <c r="O23" i="38"/>
  <c r="CZ23" i="38"/>
  <c r="CZ49" i="38"/>
  <c r="EF23" i="38"/>
  <c r="EF49" i="38"/>
  <c r="M23" i="38"/>
  <c r="CY23" i="38"/>
  <c r="CY49" i="38"/>
  <c r="EE23" i="38"/>
  <c r="EE49" i="38"/>
  <c r="N23" i="38"/>
  <c r="CX23" i="38"/>
  <c r="CX49" i="38"/>
  <c r="ED23" i="38"/>
  <c r="ED49" i="38"/>
  <c r="L23" i="38"/>
  <c r="CW23" i="38"/>
  <c r="CW49" i="38"/>
  <c r="EC23" i="38"/>
  <c r="EC49" i="38"/>
  <c r="F23" i="38"/>
  <c r="CV23" i="38"/>
  <c r="CV49" i="38"/>
  <c r="EB23" i="38"/>
  <c r="EB49" i="38"/>
  <c r="E23" i="38"/>
  <c r="CU23" i="38"/>
  <c r="CU49" i="38"/>
  <c r="EA23" i="38"/>
  <c r="EA49" i="38"/>
  <c r="I23" i="38"/>
  <c r="CT23" i="38"/>
  <c r="CT49" i="38"/>
  <c r="DZ23" i="38"/>
  <c r="DZ49" i="38"/>
  <c r="H23" i="38"/>
  <c r="CS23" i="38"/>
  <c r="CS49" i="38"/>
  <c r="DY23" i="38"/>
  <c r="DY49" i="38"/>
  <c r="G23" i="38"/>
  <c r="CR23" i="38"/>
  <c r="CR49" i="38"/>
  <c r="DX23" i="38"/>
  <c r="DX49" i="38"/>
  <c r="K23" i="38"/>
  <c r="CQ23" i="38"/>
  <c r="CQ49" i="38"/>
  <c r="DW23" i="38"/>
  <c r="DW49" i="38"/>
  <c r="J23" i="38"/>
  <c r="CP23" i="38"/>
  <c r="CP49" i="38"/>
  <c r="DV23" i="38"/>
  <c r="DV49" i="38"/>
  <c r="CN23" i="38"/>
  <c r="CN49" i="38"/>
  <c r="DT49" i="38"/>
  <c r="CM23" i="38"/>
  <c r="CM49" i="38"/>
  <c r="DS49" i="38"/>
  <c r="CL23" i="38"/>
  <c r="CL49" i="38"/>
  <c r="DR49" i="38"/>
  <c r="BD23" i="38"/>
  <c r="BD49" i="38"/>
  <c r="CJ23" i="38"/>
  <c r="CJ49" i="38"/>
  <c r="BC23" i="38"/>
  <c r="BC49" i="38"/>
  <c r="CI23" i="38"/>
  <c r="CI49" i="38"/>
  <c r="BB23" i="38"/>
  <c r="BB49" i="38"/>
  <c r="CH23" i="38"/>
  <c r="CH49" i="38"/>
  <c r="BA23" i="38"/>
  <c r="BA49" i="38"/>
  <c r="CG23" i="38"/>
  <c r="CG49" i="38"/>
  <c r="AZ23" i="38"/>
  <c r="AZ49" i="38"/>
  <c r="CF23" i="38"/>
  <c r="CF49" i="38"/>
  <c r="AY23" i="38"/>
  <c r="AY49" i="38"/>
  <c r="CE23" i="38"/>
  <c r="CE49" i="38"/>
  <c r="AX23" i="38"/>
  <c r="AX49" i="38"/>
  <c r="CD23" i="38"/>
  <c r="CD49" i="38"/>
  <c r="AW23" i="38"/>
  <c r="AW49" i="38"/>
  <c r="CC23" i="38"/>
  <c r="CC49" i="38"/>
  <c r="AV23" i="38"/>
  <c r="AV49" i="38"/>
  <c r="CB23" i="38"/>
  <c r="CB49" i="38"/>
  <c r="AU23" i="38"/>
  <c r="AU49" i="38"/>
  <c r="CA23" i="38"/>
  <c r="CA49" i="38"/>
  <c r="AT23" i="38"/>
  <c r="AT49" i="38"/>
  <c r="BZ23" i="38"/>
  <c r="BZ49" i="38"/>
  <c r="AR23" i="38"/>
  <c r="AR49" i="38"/>
  <c r="BX23" i="38"/>
  <c r="BX49" i="38"/>
  <c r="AQ23" i="38"/>
  <c r="AQ49" i="38"/>
  <c r="BW49" i="38"/>
  <c r="AP23" i="38"/>
  <c r="AP49" i="38"/>
  <c r="BV49" i="38"/>
  <c r="O49" i="38"/>
  <c r="AO49" i="38"/>
  <c r="N49" i="38"/>
  <c r="AN49" i="38"/>
  <c r="M49" i="38"/>
  <c r="AM49" i="38"/>
  <c r="L49" i="38"/>
  <c r="AL49" i="38"/>
  <c r="K49" i="38"/>
  <c r="AK49" i="38"/>
  <c r="J49" i="38"/>
  <c r="AJ49" i="38"/>
  <c r="I49" i="38"/>
  <c r="AI49" i="38"/>
  <c r="H49" i="38"/>
  <c r="AH49" i="38"/>
  <c r="G49" i="38"/>
  <c r="AG49" i="38"/>
  <c r="F49" i="38"/>
  <c r="AF49" i="38"/>
  <c r="E49" i="38"/>
  <c r="AE49" i="38"/>
  <c r="EJ23" i="38"/>
  <c r="EJ49" i="38"/>
  <c r="EJ50" i="38"/>
  <c r="EJ51" i="38"/>
  <c r="EJ52" i="38"/>
  <c r="EJ53" i="38"/>
  <c r="EJ54" i="38"/>
  <c r="EJ55" i="38"/>
  <c r="EJ56" i="38"/>
  <c r="EJ57" i="38"/>
  <c r="EJ58" i="38"/>
  <c r="EJ59" i="38"/>
  <c r="EJ60" i="38"/>
  <c r="EJ61" i="38"/>
  <c r="EJ62" i="38"/>
  <c r="EJ48" i="38"/>
  <c r="EK48" i="38"/>
  <c r="DA23" i="38"/>
  <c r="DB23" i="38"/>
  <c r="DC23" i="38"/>
  <c r="DD23" i="38"/>
  <c r="DE23" i="38"/>
  <c r="DF23" i="38"/>
  <c r="DG23" i="38"/>
  <c r="DH23" i="38"/>
  <c r="DI23" i="38"/>
  <c r="DJ23" i="38"/>
  <c r="DK23" i="38"/>
  <c r="DL23" i="38"/>
  <c r="DM23" i="38"/>
  <c r="DN23" i="38"/>
  <c r="DO23" i="38"/>
  <c r="DP23" i="38"/>
  <c r="DP49" i="38"/>
  <c r="DP50" i="38"/>
  <c r="DP51" i="38"/>
  <c r="DP52" i="38"/>
  <c r="DP53" i="38"/>
  <c r="DP54" i="38"/>
  <c r="DP55" i="38"/>
  <c r="DP56" i="38"/>
  <c r="DP57" i="38"/>
  <c r="DP58" i="38"/>
  <c r="DP59" i="38"/>
  <c r="DP60" i="38"/>
  <c r="DP61" i="38"/>
  <c r="DP62" i="38"/>
  <c r="DP48" i="38"/>
  <c r="DQ48" i="38"/>
  <c r="BE23" i="38"/>
  <c r="BF23" i="38"/>
  <c r="BG23" i="38"/>
  <c r="BH23" i="38"/>
  <c r="BI23" i="38"/>
  <c r="BJ23" i="38"/>
  <c r="BK23" i="38"/>
  <c r="BL23" i="38"/>
  <c r="BM23" i="38"/>
  <c r="BN23" i="38"/>
  <c r="BO23" i="38"/>
  <c r="BP23" i="38"/>
  <c r="BQ23" i="38"/>
  <c r="BR23" i="38"/>
  <c r="BS23" i="38"/>
  <c r="BT23" i="38"/>
  <c r="BT49" i="38"/>
  <c r="BT50" i="38"/>
  <c r="BT51" i="38"/>
  <c r="BT52" i="38"/>
  <c r="BT53" i="38"/>
  <c r="BT54" i="38"/>
  <c r="BT55" i="38"/>
  <c r="BT56" i="38"/>
  <c r="BT57" i="38"/>
  <c r="BT58" i="38"/>
  <c r="BT59" i="38"/>
  <c r="BT60" i="38"/>
  <c r="BT61" i="38"/>
  <c r="BT62" i="38"/>
  <c r="BT48" i="38"/>
  <c r="BU48" i="38"/>
  <c r="P23" i="38"/>
  <c r="Q23" i="38"/>
  <c r="R23" i="38"/>
  <c r="S23" i="38"/>
  <c r="T23" i="38"/>
  <c r="U23" i="38"/>
  <c r="V23" i="38"/>
  <c r="W23" i="38"/>
  <c r="X23" i="38"/>
  <c r="Y23" i="38"/>
  <c r="Z23" i="38"/>
  <c r="AA23" i="38"/>
  <c r="AB23" i="38"/>
  <c r="AB49" i="38"/>
  <c r="AB50" i="38"/>
  <c r="AB51" i="38"/>
  <c r="AB52" i="38"/>
  <c r="AB53" i="38"/>
  <c r="AB54" i="38"/>
  <c r="AB55" i="38"/>
  <c r="AB56" i="38"/>
  <c r="AB57" i="38"/>
  <c r="AB58" i="38"/>
  <c r="AB59" i="38"/>
  <c r="AB60" i="38"/>
  <c r="AB61" i="38"/>
  <c r="AB62" i="38"/>
  <c r="AB48" i="38"/>
  <c r="AC48" i="38"/>
  <c r="EI6" i="38"/>
  <c r="EI47" i="38"/>
  <c r="EM47" i="38"/>
  <c r="EH6" i="38"/>
  <c r="EH47" i="38"/>
  <c r="EL47" i="38"/>
  <c r="O6" i="38"/>
  <c r="CZ6" i="38"/>
  <c r="CZ47" i="38"/>
  <c r="EF6" i="38"/>
  <c r="EF47" i="38"/>
  <c r="M6" i="38"/>
  <c r="CY6" i="38"/>
  <c r="CY47" i="38"/>
  <c r="EE6" i="38"/>
  <c r="EE47" i="38"/>
  <c r="N6" i="38"/>
  <c r="CX6" i="38"/>
  <c r="CX47" i="38"/>
  <c r="ED6" i="38"/>
  <c r="ED47" i="38"/>
  <c r="L6" i="38"/>
  <c r="CW6" i="38"/>
  <c r="CW47" i="38"/>
  <c r="EC6" i="38"/>
  <c r="EC47" i="38"/>
  <c r="F6" i="38"/>
  <c r="CV6" i="38"/>
  <c r="CV47" i="38"/>
  <c r="EB6" i="38"/>
  <c r="EB47" i="38"/>
  <c r="E6" i="38"/>
  <c r="CU6" i="38"/>
  <c r="CU47" i="38"/>
  <c r="EA6" i="38"/>
  <c r="EA47" i="38"/>
  <c r="I6" i="38"/>
  <c r="CT6" i="38"/>
  <c r="CT47" i="38"/>
  <c r="DZ6" i="38"/>
  <c r="DZ47" i="38"/>
  <c r="H6" i="38"/>
  <c r="CS6" i="38"/>
  <c r="CS47" i="38"/>
  <c r="DY6" i="38"/>
  <c r="DY47" i="38"/>
  <c r="G6" i="38"/>
  <c r="CR6" i="38"/>
  <c r="CR47" i="38"/>
  <c r="DX6" i="38"/>
  <c r="DX47" i="38"/>
  <c r="K6" i="38"/>
  <c r="CQ6" i="38"/>
  <c r="CQ47" i="38"/>
  <c r="DW6" i="38"/>
  <c r="DW47" i="38"/>
  <c r="J6" i="38"/>
  <c r="CP6" i="38"/>
  <c r="CP47" i="38"/>
  <c r="DV6" i="38"/>
  <c r="DV47" i="38"/>
  <c r="CN6" i="38"/>
  <c r="CN47" i="38"/>
  <c r="DT47" i="38"/>
  <c r="CM6" i="38"/>
  <c r="CM47" i="38"/>
  <c r="DS47" i="38"/>
  <c r="CL6" i="38"/>
  <c r="CL47" i="38"/>
  <c r="DR47" i="38"/>
  <c r="BD6" i="38"/>
  <c r="BD47" i="38"/>
  <c r="CJ6" i="38"/>
  <c r="CJ47" i="38"/>
  <c r="BC6" i="38"/>
  <c r="BC47" i="38"/>
  <c r="CI6" i="38"/>
  <c r="CI47" i="38"/>
  <c r="BB6" i="38"/>
  <c r="BB47" i="38"/>
  <c r="CH6" i="38"/>
  <c r="CH47" i="38"/>
  <c r="BA6" i="38"/>
  <c r="BA47" i="38"/>
  <c r="CG6" i="38"/>
  <c r="CG47" i="38"/>
  <c r="AZ6" i="38"/>
  <c r="AZ47" i="38"/>
  <c r="CF6" i="38"/>
  <c r="CF47" i="38"/>
  <c r="AY6" i="38"/>
  <c r="AY47" i="38"/>
  <c r="CE6" i="38"/>
  <c r="CE47" i="38"/>
  <c r="AX6" i="38"/>
  <c r="AX47" i="38"/>
  <c r="CD6" i="38"/>
  <c r="CD47" i="38"/>
  <c r="AW6" i="38"/>
  <c r="AW47" i="38"/>
  <c r="CC6" i="38"/>
  <c r="CC47" i="38"/>
  <c r="AV6" i="38"/>
  <c r="AV47" i="38"/>
  <c r="CB6" i="38"/>
  <c r="CB47" i="38"/>
  <c r="AU6" i="38"/>
  <c r="AU47" i="38"/>
  <c r="CA6" i="38"/>
  <c r="CA47" i="38"/>
  <c r="AT6" i="38"/>
  <c r="AT47" i="38"/>
  <c r="BZ6" i="38"/>
  <c r="BZ47" i="38"/>
  <c r="AR6" i="38"/>
  <c r="AR47" i="38"/>
  <c r="BX6" i="38"/>
  <c r="BX47" i="38"/>
  <c r="AQ6" i="38"/>
  <c r="AQ47" i="38"/>
  <c r="BW47" i="38"/>
  <c r="AP6" i="38"/>
  <c r="AP47" i="38"/>
  <c r="BV47" i="38"/>
  <c r="O47" i="38"/>
  <c r="AO47" i="38"/>
  <c r="N47" i="38"/>
  <c r="AN47" i="38"/>
  <c r="M47" i="38"/>
  <c r="AM47" i="38"/>
  <c r="L47" i="38"/>
  <c r="AL47" i="38"/>
  <c r="K47" i="38"/>
  <c r="AK47" i="38"/>
  <c r="J47" i="38"/>
  <c r="AJ47" i="38"/>
  <c r="I47" i="38"/>
  <c r="AI47" i="38"/>
  <c r="H47" i="38"/>
  <c r="AH47" i="38"/>
  <c r="G47" i="38"/>
  <c r="AG47" i="38"/>
  <c r="F47" i="38"/>
  <c r="AF47" i="38"/>
  <c r="E47" i="38"/>
  <c r="AE47" i="38"/>
  <c r="EI10" i="38"/>
  <c r="EI46" i="38"/>
  <c r="EM46" i="38"/>
  <c r="EH10" i="38"/>
  <c r="EH46" i="38"/>
  <c r="EL46" i="38"/>
  <c r="O10" i="38"/>
  <c r="CZ10" i="38"/>
  <c r="CZ46" i="38"/>
  <c r="EF10" i="38"/>
  <c r="EF46" i="38"/>
  <c r="M10" i="38"/>
  <c r="CY10" i="38"/>
  <c r="CY46" i="38"/>
  <c r="EE10" i="38"/>
  <c r="EE46" i="38"/>
  <c r="N10" i="38"/>
  <c r="CX10" i="38"/>
  <c r="CX46" i="38"/>
  <c r="ED10" i="38"/>
  <c r="ED46" i="38"/>
  <c r="L10" i="38"/>
  <c r="CW10" i="38"/>
  <c r="CW46" i="38"/>
  <c r="EC10" i="38"/>
  <c r="EC46" i="38"/>
  <c r="F10" i="38"/>
  <c r="CV10" i="38"/>
  <c r="CV46" i="38"/>
  <c r="EB10" i="38"/>
  <c r="EB46" i="38"/>
  <c r="E10" i="38"/>
  <c r="CU10" i="38"/>
  <c r="CU46" i="38"/>
  <c r="EA10" i="38"/>
  <c r="EA46" i="38"/>
  <c r="I10" i="38"/>
  <c r="CT10" i="38"/>
  <c r="CT46" i="38"/>
  <c r="DZ10" i="38"/>
  <c r="DZ46" i="38"/>
  <c r="H10" i="38"/>
  <c r="CS10" i="38"/>
  <c r="CS46" i="38"/>
  <c r="DY10" i="38"/>
  <c r="DY46" i="38"/>
  <c r="G10" i="38"/>
  <c r="CR10" i="38"/>
  <c r="CR46" i="38"/>
  <c r="DX10" i="38"/>
  <c r="DX46" i="38"/>
  <c r="K10" i="38"/>
  <c r="CQ10" i="38"/>
  <c r="CQ46" i="38"/>
  <c r="DW10" i="38"/>
  <c r="DW46" i="38"/>
  <c r="J10" i="38"/>
  <c r="CP10" i="38"/>
  <c r="CP46" i="38"/>
  <c r="DV10" i="38"/>
  <c r="DV46" i="38"/>
  <c r="CN10" i="38"/>
  <c r="CN46" i="38"/>
  <c r="DT46" i="38"/>
  <c r="CM10" i="38"/>
  <c r="CM46" i="38"/>
  <c r="DS46" i="38"/>
  <c r="CL10" i="38"/>
  <c r="CL46" i="38"/>
  <c r="DR46" i="38"/>
  <c r="BD10" i="38"/>
  <c r="BD46" i="38"/>
  <c r="CJ10" i="38"/>
  <c r="CJ46" i="38"/>
  <c r="BC10" i="38"/>
  <c r="BC46" i="38"/>
  <c r="CI10" i="38"/>
  <c r="CI46" i="38"/>
  <c r="BB10" i="38"/>
  <c r="BB46" i="38"/>
  <c r="CH10" i="38"/>
  <c r="CH46" i="38"/>
  <c r="BA10" i="38"/>
  <c r="BA46" i="38"/>
  <c r="CG10" i="38"/>
  <c r="CG46" i="38"/>
  <c r="AZ10" i="38"/>
  <c r="AZ46" i="38"/>
  <c r="CF10" i="38"/>
  <c r="CF46" i="38"/>
  <c r="AY10" i="38"/>
  <c r="AY46" i="38"/>
  <c r="CE10" i="38"/>
  <c r="CE46" i="38"/>
  <c r="AX10" i="38"/>
  <c r="AX46" i="38"/>
  <c r="CD10" i="38"/>
  <c r="CD46" i="38"/>
  <c r="AW10" i="38"/>
  <c r="AW46" i="38"/>
  <c r="CC10" i="38"/>
  <c r="CC46" i="38"/>
  <c r="AV10" i="38"/>
  <c r="AV46" i="38"/>
  <c r="CB10" i="38"/>
  <c r="CB46" i="38"/>
  <c r="AU10" i="38"/>
  <c r="AU46" i="38"/>
  <c r="CA10" i="38"/>
  <c r="CA46" i="38"/>
  <c r="AT10" i="38"/>
  <c r="AT46" i="38"/>
  <c r="BZ10" i="38"/>
  <c r="BZ46" i="38"/>
  <c r="AR10" i="38"/>
  <c r="AR46" i="38"/>
  <c r="BX10" i="38"/>
  <c r="BX46" i="38"/>
  <c r="AQ10" i="38"/>
  <c r="AQ46" i="38"/>
  <c r="BW46" i="38"/>
  <c r="AP10" i="38"/>
  <c r="AP46" i="38"/>
  <c r="BV46" i="38"/>
  <c r="O46" i="38"/>
  <c r="AO46" i="38"/>
  <c r="N46" i="38"/>
  <c r="AN46" i="38"/>
  <c r="M46" i="38"/>
  <c r="AM46" i="38"/>
  <c r="L46" i="38"/>
  <c r="AL46" i="38"/>
  <c r="K46" i="38"/>
  <c r="AK46" i="38"/>
  <c r="J46" i="38"/>
  <c r="AJ46" i="38"/>
  <c r="I46" i="38"/>
  <c r="AI46" i="38"/>
  <c r="H46" i="38"/>
  <c r="AH46" i="38"/>
  <c r="G46" i="38"/>
  <c r="AG46" i="38"/>
  <c r="F46" i="38"/>
  <c r="AF46" i="38"/>
  <c r="E46" i="38"/>
  <c r="AE46" i="38"/>
  <c r="EJ10" i="38"/>
  <c r="EJ46" i="38"/>
  <c r="EJ6" i="38"/>
  <c r="EJ47" i="38"/>
  <c r="EJ45" i="38"/>
  <c r="EK45" i="38"/>
  <c r="DA10" i="38"/>
  <c r="DB10" i="38"/>
  <c r="DC10" i="38"/>
  <c r="DD10" i="38"/>
  <c r="DE10" i="38"/>
  <c r="DF10" i="38"/>
  <c r="DG10" i="38"/>
  <c r="DH10" i="38"/>
  <c r="DI10" i="38"/>
  <c r="DJ10" i="38"/>
  <c r="DK10" i="38"/>
  <c r="DL10" i="38"/>
  <c r="DM10" i="38"/>
  <c r="DN10" i="38"/>
  <c r="DO10" i="38"/>
  <c r="DP10" i="38"/>
  <c r="DP46" i="38"/>
  <c r="DA6" i="38"/>
  <c r="DB6" i="38"/>
  <c r="DC6" i="38"/>
  <c r="DD6" i="38"/>
  <c r="DE6" i="38"/>
  <c r="DF6" i="38"/>
  <c r="DG6" i="38"/>
  <c r="DH6" i="38"/>
  <c r="DI6" i="38"/>
  <c r="DJ6" i="38"/>
  <c r="DK6" i="38"/>
  <c r="DL6" i="38"/>
  <c r="DM6" i="38"/>
  <c r="DN6" i="38"/>
  <c r="DO6" i="38"/>
  <c r="DP6" i="38"/>
  <c r="DP47" i="38"/>
  <c r="DP45" i="38"/>
  <c r="DQ45" i="38"/>
  <c r="BE10" i="38"/>
  <c r="BF10" i="38"/>
  <c r="BG10" i="38"/>
  <c r="BH10" i="38"/>
  <c r="BI10" i="38"/>
  <c r="BJ10" i="38"/>
  <c r="BK10" i="38"/>
  <c r="BL10" i="38"/>
  <c r="BM10" i="38"/>
  <c r="BN10" i="38"/>
  <c r="BO10" i="38"/>
  <c r="BP10" i="38"/>
  <c r="BQ10" i="38"/>
  <c r="BR10" i="38"/>
  <c r="BS10" i="38"/>
  <c r="BT10" i="38"/>
  <c r="BT46" i="38"/>
  <c r="BE6" i="38"/>
  <c r="BF6" i="38"/>
  <c r="BG6" i="38"/>
  <c r="BH6" i="38"/>
  <c r="BI6" i="38"/>
  <c r="BJ6" i="38"/>
  <c r="BK6" i="38"/>
  <c r="BL6" i="38"/>
  <c r="BM6" i="38"/>
  <c r="BN6" i="38"/>
  <c r="BO6" i="38"/>
  <c r="BP6" i="38"/>
  <c r="BQ6" i="38"/>
  <c r="BR6" i="38"/>
  <c r="BS6" i="38"/>
  <c r="BT6" i="38"/>
  <c r="BT47" i="38"/>
  <c r="BT45" i="38"/>
  <c r="BU45" i="38"/>
  <c r="P10" i="38"/>
  <c r="Q10" i="38"/>
  <c r="R10" i="38"/>
  <c r="S10" i="38"/>
  <c r="T10" i="38"/>
  <c r="U10" i="38"/>
  <c r="V10" i="38"/>
  <c r="W10" i="38"/>
  <c r="X10" i="38"/>
  <c r="Y10" i="38"/>
  <c r="Z10" i="38"/>
  <c r="AA10" i="38"/>
  <c r="AB10" i="38"/>
  <c r="AB46" i="38"/>
  <c r="P6" i="38"/>
  <c r="Q6" i="38"/>
  <c r="R6" i="38"/>
  <c r="S6" i="38"/>
  <c r="T6" i="38"/>
  <c r="U6" i="38"/>
  <c r="V6" i="38"/>
  <c r="W6" i="38"/>
  <c r="X6" i="38"/>
  <c r="Y6" i="38"/>
  <c r="Z6" i="38"/>
  <c r="AA6" i="38"/>
  <c r="AB6" i="38"/>
  <c r="AB47" i="38"/>
  <c r="AB45" i="38"/>
  <c r="AC45" i="38"/>
  <c r="EI15" i="38"/>
  <c r="EI44" i="38"/>
  <c r="EM44" i="38"/>
  <c r="EH15" i="38"/>
  <c r="EH44" i="38"/>
  <c r="EL44" i="38"/>
  <c r="O15" i="38"/>
  <c r="CZ15" i="38"/>
  <c r="CZ44" i="38"/>
  <c r="EF15" i="38"/>
  <c r="EF44" i="38"/>
  <c r="M15" i="38"/>
  <c r="CY15" i="38"/>
  <c r="CY44" i="38"/>
  <c r="EE15" i="38"/>
  <c r="EE44" i="38"/>
  <c r="N15" i="38"/>
  <c r="CX15" i="38"/>
  <c r="CX44" i="38"/>
  <c r="ED15" i="38"/>
  <c r="ED44" i="38"/>
  <c r="L15" i="38"/>
  <c r="CW15" i="38"/>
  <c r="CW44" i="38"/>
  <c r="EC15" i="38"/>
  <c r="EC44" i="38"/>
  <c r="F15" i="38"/>
  <c r="CV15" i="38"/>
  <c r="CV44" i="38"/>
  <c r="EB15" i="38"/>
  <c r="EB44" i="38"/>
  <c r="E15" i="38"/>
  <c r="CU15" i="38"/>
  <c r="CU44" i="38"/>
  <c r="EA15" i="38"/>
  <c r="EA44" i="38"/>
  <c r="I15" i="38"/>
  <c r="CT15" i="38"/>
  <c r="CT44" i="38"/>
  <c r="DZ15" i="38"/>
  <c r="DZ44" i="38"/>
  <c r="H15" i="38"/>
  <c r="CS15" i="38"/>
  <c r="CS44" i="38"/>
  <c r="DY15" i="38"/>
  <c r="DY44" i="38"/>
  <c r="G15" i="38"/>
  <c r="CR15" i="38"/>
  <c r="CR44" i="38"/>
  <c r="DX15" i="38"/>
  <c r="DX44" i="38"/>
  <c r="K15" i="38"/>
  <c r="CQ15" i="38"/>
  <c r="CQ44" i="38"/>
  <c r="DW15" i="38"/>
  <c r="DW44" i="38"/>
  <c r="J15" i="38"/>
  <c r="CP15" i="38"/>
  <c r="CP44" i="38"/>
  <c r="DV15" i="38"/>
  <c r="DV44" i="38"/>
  <c r="CN15" i="38"/>
  <c r="CN44" i="38"/>
  <c r="DT44" i="38"/>
  <c r="CM15" i="38"/>
  <c r="CM44" i="38"/>
  <c r="DS44" i="38"/>
  <c r="CL15" i="38"/>
  <c r="CL44" i="38"/>
  <c r="DR44" i="38"/>
  <c r="BD15" i="38"/>
  <c r="BD44" i="38"/>
  <c r="CJ15" i="38"/>
  <c r="CJ44" i="38"/>
  <c r="BC15" i="38"/>
  <c r="BC44" i="38"/>
  <c r="CI15" i="38"/>
  <c r="CI44" i="38"/>
  <c r="BB15" i="38"/>
  <c r="BB44" i="38"/>
  <c r="CH15" i="38"/>
  <c r="CH44" i="38"/>
  <c r="BA15" i="38"/>
  <c r="BA44" i="38"/>
  <c r="CG15" i="38"/>
  <c r="CG44" i="38"/>
  <c r="AZ15" i="38"/>
  <c r="AZ44" i="38"/>
  <c r="CF15" i="38"/>
  <c r="CF44" i="38"/>
  <c r="AY15" i="38"/>
  <c r="AY44" i="38"/>
  <c r="CE15" i="38"/>
  <c r="CE44" i="38"/>
  <c r="AX15" i="38"/>
  <c r="AX44" i="38"/>
  <c r="CD15" i="38"/>
  <c r="CD44" i="38"/>
  <c r="AW15" i="38"/>
  <c r="AW44" i="38"/>
  <c r="CC15" i="38"/>
  <c r="CC44" i="38"/>
  <c r="AV15" i="38"/>
  <c r="AV44" i="38"/>
  <c r="CB15" i="38"/>
  <c r="CB44" i="38"/>
  <c r="AU15" i="38"/>
  <c r="AU44" i="38"/>
  <c r="CA15" i="38"/>
  <c r="CA44" i="38"/>
  <c r="AT15" i="38"/>
  <c r="AT44" i="38"/>
  <c r="BZ15" i="38"/>
  <c r="BZ44" i="38"/>
  <c r="AR15" i="38"/>
  <c r="AR44" i="38"/>
  <c r="BX44" i="38"/>
  <c r="AQ15" i="38"/>
  <c r="AQ44" i="38"/>
  <c r="BW44" i="38"/>
  <c r="AP15" i="38"/>
  <c r="AP44" i="38"/>
  <c r="BV44" i="38"/>
  <c r="O44" i="38"/>
  <c r="AO44" i="38"/>
  <c r="N44" i="38"/>
  <c r="AN44" i="38"/>
  <c r="M44" i="38"/>
  <c r="AM44" i="38"/>
  <c r="L44" i="38"/>
  <c r="AL44" i="38"/>
  <c r="K44" i="38"/>
  <c r="AK44" i="38"/>
  <c r="J44" i="38"/>
  <c r="AJ44" i="38"/>
  <c r="I44" i="38"/>
  <c r="AI44" i="38"/>
  <c r="H44" i="38"/>
  <c r="AH44" i="38"/>
  <c r="G44" i="38"/>
  <c r="AG44" i="38"/>
  <c r="F44" i="38"/>
  <c r="AF44" i="38"/>
  <c r="E44" i="38"/>
  <c r="AE44" i="38"/>
  <c r="EI28" i="38"/>
  <c r="EI43" i="38"/>
  <c r="EM43" i="38"/>
  <c r="EH28" i="38"/>
  <c r="EH43" i="38"/>
  <c r="EL43" i="38"/>
  <c r="O28" i="38"/>
  <c r="CZ28" i="38"/>
  <c r="CZ43" i="38"/>
  <c r="EF28" i="38"/>
  <c r="EF43" i="38"/>
  <c r="M28" i="38"/>
  <c r="CY28" i="38"/>
  <c r="CY43" i="38"/>
  <c r="EE28" i="38"/>
  <c r="EE43" i="38"/>
  <c r="N28" i="38"/>
  <c r="CX28" i="38"/>
  <c r="CX43" i="38"/>
  <c r="ED28" i="38"/>
  <c r="ED43" i="38"/>
  <c r="L28" i="38"/>
  <c r="CW28" i="38"/>
  <c r="CW43" i="38"/>
  <c r="EC28" i="38"/>
  <c r="EC43" i="38"/>
  <c r="F28" i="38"/>
  <c r="CV28" i="38"/>
  <c r="CV43" i="38"/>
  <c r="EB28" i="38"/>
  <c r="EB43" i="38"/>
  <c r="E28" i="38"/>
  <c r="CU28" i="38"/>
  <c r="CU43" i="38"/>
  <c r="EA28" i="38"/>
  <c r="EA43" i="38"/>
  <c r="I28" i="38"/>
  <c r="CT28" i="38"/>
  <c r="CT43" i="38"/>
  <c r="DZ28" i="38"/>
  <c r="DZ43" i="38"/>
  <c r="H28" i="38"/>
  <c r="CS28" i="38"/>
  <c r="CS43" i="38"/>
  <c r="DY28" i="38"/>
  <c r="DY43" i="38"/>
  <c r="G28" i="38"/>
  <c r="CR28" i="38"/>
  <c r="CR43" i="38"/>
  <c r="DX28" i="38"/>
  <c r="DX43" i="38"/>
  <c r="K28" i="38"/>
  <c r="CQ28" i="38"/>
  <c r="CQ43" i="38"/>
  <c r="DW28" i="38"/>
  <c r="DW43" i="38"/>
  <c r="J28" i="38"/>
  <c r="CP28" i="38"/>
  <c r="CP43" i="38"/>
  <c r="DV28" i="38"/>
  <c r="DV43" i="38"/>
  <c r="CN28" i="38"/>
  <c r="CN43" i="38"/>
  <c r="DT43" i="38"/>
  <c r="CM28" i="38"/>
  <c r="CM43" i="38"/>
  <c r="DS43" i="38"/>
  <c r="CL28" i="38"/>
  <c r="CL43" i="38"/>
  <c r="DR43" i="38"/>
  <c r="BD28" i="38"/>
  <c r="BD43" i="38"/>
  <c r="CJ28" i="38"/>
  <c r="CJ43" i="38"/>
  <c r="BC28" i="38"/>
  <c r="BC43" i="38"/>
  <c r="CI28" i="38"/>
  <c r="CI43" i="38"/>
  <c r="BB28" i="38"/>
  <c r="BB43" i="38"/>
  <c r="CH28" i="38"/>
  <c r="CH43" i="38"/>
  <c r="BA28" i="38"/>
  <c r="BA43" i="38"/>
  <c r="CG28" i="38"/>
  <c r="CG43" i="38"/>
  <c r="AZ28" i="38"/>
  <c r="AZ43" i="38"/>
  <c r="CF28" i="38"/>
  <c r="CF43" i="38"/>
  <c r="AY28" i="38"/>
  <c r="AY43" i="38"/>
  <c r="CE28" i="38"/>
  <c r="CE43" i="38"/>
  <c r="AX28" i="38"/>
  <c r="AX43" i="38"/>
  <c r="CD28" i="38"/>
  <c r="CD43" i="38"/>
  <c r="AW28" i="38"/>
  <c r="AW43" i="38"/>
  <c r="CC28" i="38"/>
  <c r="CC43" i="38"/>
  <c r="AV28" i="38"/>
  <c r="AV43" i="38"/>
  <c r="CB28" i="38"/>
  <c r="CB43" i="38"/>
  <c r="AU28" i="38"/>
  <c r="AU43" i="38"/>
  <c r="CA28" i="38"/>
  <c r="CA43" i="38"/>
  <c r="AT28" i="38"/>
  <c r="AT43" i="38"/>
  <c r="BZ28" i="38"/>
  <c r="BZ43" i="38"/>
  <c r="AR28" i="38"/>
  <c r="AR43" i="38"/>
  <c r="BX28" i="38"/>
  <c r="BX43" i="38"/>
  <c r="AQ28" i="38"/>
  <c r="AQ43" i="38"/>
  <c r="BW43" i="38"/>
  <c r="AP28" i="38"/>
  <c r="AP43" i="38"/>
  <c r="BV43" i="38"/>
  <c r="O43" i="38"/>
  <c r="AO43" i="38"/>
  <c r="N43" i="38"/>
  <c r="AN43" i="38"/>
  <c r="M43" i="38"/>
  <c r="AM43" i="38"/>
  <c r="L43" i="38"/>
  <c r="AL43" i="38"/>
  <c r="K43" i="38"/>
  <c r="AK43" i="38"/>
  <c r="J43" i="38"/>
  <c r="AJ43" i="38"/>
  <c r="I43" i="38"/>
  <c r="AI43" i="38"/>
  <c r="H43" i="38"/>
  <c r="AH43" i="38"/>
  <c r="G43" i="38"/>
  <c r="AG43" i="38"/>
  <c r="F43" i="38"/>
  <c r="AF43" i="38"/>
  <c r="E43" i="38"/>
  <c r="AE43" i="38"/>
  <c r="EI19" i="38"/>
  <c r="EI42" i="38"/>
  <c r="EM42" i="38"/>
  <c r="EH19" i="38"/>
  <c r="EH42" i="38"/>
  <c r="EL42" i="38"/>
  <c r="O19" i="38"/>
  <c r="CZ19" i="38"/>
  <c r="CZ42" i="38"/>
  <c r="EF19" i="38"/>
  <c r="EF42" i="38"/>
  <c r="M19" i="38"/>
  <c r="CY19" i="38"/>
  <c r="CY42" i="38"/>
  <c r="EE19" i="38"/>
  <c r="EE42" i="38"/>
  <c r="N19" i="38"/>
  <c r="CX19" i="38"/>
  <c r="CX42" i="38"/>
  <c r="ED19" i="38"/>
  <c r="ED42" i="38"/>
  <c r="L19" i="38"/>
  <c r="CW19" i="38"/>
  <c r="CW42" i="38"/>
  <c r="EC19" i="38"/>
  <c r="EC42" i="38"/>
  <c r="F19" i="38"/>
  <c r="CV19" i="38"/>
  <c r="CV42" i="38"/>
  <c r="EB19" i="38"/>
  <c r="EB42" i="38"/>
  <c r="E19" i="38"/>
  <c r="CU19" i="38"/>
  <c r="CU42" i="38"/>
  <c r="EA19" i="38"/>
  <c r="EA42" i="38"/>
  <c r="I19" i="38"/>
  <c r="CT19" i="38"/>
  <c r="CT42" i="38"/>
  <c r="DZ19" i="38"/>
  <c r="DZ42" i="38"/>
  <c r="H19" i="38"/>
  <c r="CS19" i="38"/>
  <c r="CS42" i="38"/>
  <c r="DY19" i="38"/>
  <c r="DY42" i="38"/>
  <c r="G19" i="38"/>
  <c r="CR19" i="38"/>
  <c r="CR42" i="38"/>
  <c r="DX19" i="38"/>
  <c r="DX42" i="38"/>
  <c r="K19" i="38"/>
  <c r="CQ19" i="38"/>
  <c r="CQ42" i="38"/>
  <c r="DW19" i="38"/>
  <c r="DW42" i="38"/>
  <c r="J19" i="38"/>
  <c r="CP19" i="38"/>
  <c r="CP42" i="38"/>
  <c r="DV19" i="38"/>
  <c r="DV42" i="38"/>
  <c r="CN19" i="38"/>
  <c r="CN42" i="38"/>
  <c r="DT42" i="38"/>
  <c r="CM19" i="38"/>
  <c r="CM42" i="38"/>
  <c r="DS42" i="38"/>
  <c r="CL19" i="38"/>
  <c r="CL42" i="38"/>
  <c r="DR42" i="38"/>
  <c r="BD19" i="38"/>
  <c r="BD42" i="38"/>
  <c r="CJ19" i="38"/>
  <c r="CJ42" i="38"/>
  <c r="BC19" i="38"/>
  <c r="BC42" i="38"/>
  <c r="CI19" i="38"/>
  <c r="CI42" i="38"/>
  <c r="BB19" i="38"/>
  <c r="BB42" i="38"/>
  <c r="CH19" i="38"/>
  <c r="CH42" i="38"/>
  <c r="BA19" i="38"/>
  <c r="BA42" i="38"/>
  <c r="CG19" i="38"/>
  <c r="CG42" i="38"/>
  <c r="AZ19" i="38"/>
  <c r="AZ42" i="38"/>
  <c r="CF19" i="38"/>
  <c r="CF42" i="38"/>
  <c r="AY19" i="38"/>
  <c r="AY42" i="38"/>
  <c r="CE19" i="38"/>
  <c r="CE42" i="38"/>
  <c r="AX19" i="38"/>
  <c r="AX42" i="38"/>
  <c r="CD19" i="38"/>
  <c r="CD42" i="38"/>
  <c r="AW19" i="38"/>
  <c r="AW42" i="38"/>
  <c r="CC19" i="38"/>
  <c r="CC42" i="38"/>
  <c r="AV19" i="38"/>
  <c r="AV42" i="38"/>
  <c r="CB19" i="38"/>
  <c r="CB42" i="38"/>
  <c r="AU19" i="38"/>
  <c r="AU42" i="38"/>
  <c r="CA19" i="38"/>
  <c r="CA42" i="38"/>
  <c r="AT19" i="38"/>
  <c r="AT42" i="38"/>
  <c r="BZ19" i="38"/>
  <c r="BZ42" i="38"/>
  <c r="AR19" i="38"/>
  <c r="AR42" i="38"/>
  <c r="BX19" i="38"/>
  <c r="BX42" i="38"/>
  <c r="AQ19" i="38"/>
  <c r="AQ42" i="38"/>
  <c r="BW42" i="38"/>
  <c r="AP19" i="38"/>
  <c r="AP42" i="38"/>
  <c r="BV42" i="38"/>
  <c r="O42" i="38"/>
  <c r="AO42" i="38"/>
  <c r="N42" i="38"/>
  <c r="AN42" i="38"/>
  <c r="M42" i="38"/>
  <c r="AM42" i="38"/>
  <c r="L42" i="38"/>
  <c r="AL42" i="38"/>
  <c r="K42" i="38"/>
  <c r="AK42" i="38"/>
  <c r="J42" i="38"/>
  <c r="AJ42" i="38"/>
  <c r="I42" i="38"/>
  <c r="AI42" i="38"/>
  <c r="H42" i="38"/>
  <c r="AH42" i="38"/>
  <c r="G42" i="38"/>
  <c r="AG42" i="38"/>
  <c r="F42" i="38"/>
  <c r="AF42" i="38"/>
  <c r="E42" i="38"/>
  <c r="AE42" i="38"/>
  <c r="EI8" i="38"/>
  <c r="EI41" i="38"/>
  <c r="EM41" i="38"/>
  <c r="EH8" i="38"/>
  <c r="EH41" i="38"/>
  <c r="EL41" i="38"/>
  <c r="O8" i="38"/>
  <c r="CZ8" i="38"/>
  <c r="CZ41" i="38"/>
  <c r="EF8" i="38"/>
  <c r="EF41" i="38"/>
  <c r="M8" i="38"/>
  <c r="CY8" i="38"/>
  <c r="CY41" i="38"/>
  <c r="EE8" i="38"/>
  <c r="EE41" i="38"/>
  <c r="N8" i="38"/>
  <c r="CX8" i="38"/>
  <c r="CX41" i="38"/>
  <c r="ED8" i="38"/>
  <c r="ED41" i="38"/>
  <c r="L8" i="38"/>
  <c r="CW8" i="38"/>
  <c r="CW41" i="38"/>
  <c r="EC8" i="38"/>
  <c r="EC41" i="38"/>
  <c r="F8" i="38"/>
  <c r="CV8" i="38"/>
  <c r="CV41" i="38"/>
  <c r="EB8" i="38"/>
  <c r="EB41" i="38"/>
  <c r="E8" i="38"/>
  <c r="CU8" i="38"/>
  <c r="CU41" i="38"/>
  <c r="EA8" i="38"/>
  <c r="EA41" i="38"/>
  <c r="I8" i="38"/>
  <c r="CT8" i="38"/>
  <c r="CT41" i="38"/>
  <c r="DZ8" i="38"/>
  <c r="DZ41" i="38"/>
  <c r="H8" i="38"/>
  <c r="CS8" i="38"/>
  <c r="CS41" i="38"/>
  <c r="DY8" i="38"/>
  <c r="DY41" i="38"/>
  <c r="G8" i="38"/>
  <c r="CR8" i="38"/>
  <c r="CR41" i="38"/>
  <c r="DX8" i="38"/>
  <c r="DX41" i="38"/>
  <c r="K8" i="38"/>
  <c r="CQ8" i="38"/>
  <c r="CQ41" i="38"/>
  <c r="DW8" i="38"/>
  <c r="DW41" i="38"/>
  <c r="J8" i="38"/>
  <c r="CP8" i="38"/>
  <c r="CP41" i="38"/>
  <c r="DV8" i="38"/>
  <c r="DV41" i="38"/>
  <c r="CN8" i="38"/>
  <c r="CN41" i="38"/>
  <c r="DT41" i="38"/>
  <c r="CM8" i="38"/>
  <c r="CM41" i="38"/>
  <c r="DS41" i="38"/>
  <c r="CL8" i="38"/>
  <c r="CL41" i="38"/>
  <c r="DR41" i="38"/>
  <c r="BD8" i="38"/>
  <c r="BD41" i="38"/>
  <c r="CJ8" i="38"/>
  <c r="CJ41" i="38"/>
  <c r="BC8" i="38"/>
  <c r="BC41" i="38"/>
  <c r="CI8" i="38"/>
  <c r="CI41" i="38"/>
  <c r="BB8" i="38"/>
  <c r="BB41" i="38"/>
  <c r="CH8" i="38"/>
  <c r="CH41" i="38"/>
  <c r="BA8" i="38"/>
  <c r="BA41" i="38"/>
  <c r="CG8" i="38"/>
  <c r="CG41" i="38"/>
  <c r="AZ8" i="38"/>
  <c r="AZ41" i="38"/>
  <c r="CF8" i="38"/>
  <c r="CF41" i="38"/>
  <c r="AY8" i="38"/>
  <c r="AY41" i="38"/>
  <c r="CE8" i="38"/>
  <c r="CE41" i="38"/>
  <c r="AX8" i="38"/>
  <c r="AX41" i="38"/>
  <c r="CD8" i="38"/>
  <c r="CD41" i="38"/>
  <c r="AW8" i="38"/>
  <c r="AW41" i="38"/>
  <c r="CC8" i="38"/>
  <c r="CC41" i="38"/>
  <c r="AV8" i="38"/>
  <c r="AV41" i="38"/>
  <c r="CB8" i="38"/>
  <c r="CB41" i="38"/>
  <c r="AU8" i="38"/>
  <c r="AU41" i="38"/>
  <c r="CA8" i="38"/>
  <c r="CA41" i="38"/>
  <c r="AT8" i="38"/>
  <c r="AT41" i="38"/>
  <c r="BZ8" i="38"/>
  <c r="BZ41" i="38"/>
  <c r="AR8" i="38"/>
  <c r="AR41" i="38"/>
  <c r="BX8" i="38"/>
  <c r="BX41" i="38"/>
  <c r="AQ8" i="38"/>
  <c r="AQ41" i="38"/>
  <c r="BW41" i="38"/>
  <c r="AP8" i="38"/>
  <c r="AP41" i="38"/>
  <c r="BV41" i="38"/>
  <c r="O41" i="38"/>
  <c r="AO41" i="38"/>
  <c r="N41" i="38"/>
  <c r="AN41" i="38"/>
  <c r="M41" i="38"/>
  <c r="AM41" i="38"/>
  <c r="L41" i="38"/>
  <c r="AL41" i="38"/>
  <c r="K41" i="38"/>
  <c r="AK41" i="38"/>
  <c r="J41" i="38"/>
  <c r="AJ41" i="38"/>
  <c r="I41" i="38"/>
  <c r="AI41" i="38"/>
  <c r="H41" i="38"/>
  <c r="AH41" i="38"/>
  <c r="G41" i="38"/>
  <c r="AG41" i="38"/>
  <c r="F41" i="38"/>
  <c r="AF41" i="38"/>
  <c r="E41" i="38"/>
  <c r="AE41" i="38"/>
  <c r="EI4" i="38"/>
  <c r="EI40" i="38"/>
  <c r="EM40" i="38"/>
  <c r="EH4" i="38"/>
  <c r="EH40" i="38"/>
  <c r="EL40" i="38"/>
  <c r="O4" i="38"/>
  <c r="CZ4" i="38"/>
  <c r="CZ40" i="38"/>
  <c r="EF4" i="38"/>
  <c r="EF40" i="38"/>
  <c r="M4" i="38"/>
  <c r="CY4" i="38"/>
  <c r="CY40" i="38"/>
  <c r="EE4" i="38"/>
  <c r="EE40" i="38"/>
  <c r="N4" i="38"/>
  <c r="CX4" i="38"/>
  <c r="CX40" i="38"/>
  <c r="ED4" i="38"/>
  <c r="ED40" i="38"/>
  <c r="L4" i="38"/>
  <c r="CW4" i="38"/>
  <c r="CW40" i="38"/>
  <c r="EC4" i="38"/>
  <c r="EC40" i="38"/>
  <c r="F4" i="38"/>
  <c r="CV4" i="38"/>
  <c r="CV40" i="38"/>
  <c r="EB4" i="38"/>
  <c r="EB40" i="38"/>
  <c r="E4" i="38"/>
  <c r="CU4" i="38"/>
  <c r="CU40" i="38"/>
  <c r="EA4" i="38"/>
  <c r="EA40" i="38"/>
  <c r="I4" i="38"/>
  <c r="CT4" i="38"/>
  <c r="CT40" i="38"/>
  <c r="DZ4" i="38"/>
  <c r="DZ40" i="38"/>
  <c r="H4" i="38"/>
  <c r="CS4" i="38"/>
  <c r="CS40" i="38"/>
  <c r="DY4" i="38"/>
  <c r="DY40" i="38"/>
  <c r="G4" i="38"/>
  <c r="CR4" i="38"/>
  <c r="CR40" i="38"/>
  <c r="DX4" i="38"/>
  <c r="DX40" i="38"/>
  <c r="K4" i="38"/>
  <c r="CQ4" i="38"/>
  <c r="CQ40" i="38"/>
  <c r="DW4" i="38"/>
  <c r="DW40" i="38"/>
  <c r="J4" i="38"/>
  <c r="CP4" i="38"/>
  <c r="CP40" i="38"/>
  <c r="DV4" i="38"/>
  <c r="DV40" i="38"/>
  <c r="CN4" i="38"/>
  <c r="CN40" i="38"/>
  <c r="DT40" i="38"/>
  <c r="CM4" i="38"/>
  <c r="CM40" i="38"/>
  <c r="DS40" i="38"/>
  <c r="CL4" i="38"/>
  <c r="CL40" i="38"/>
  <c r="DR40" i="38"/>
  <c r="BD4" i="38"/>
  <c r="BD40" i="38"/>
  <c r="CJ4" i="38"/>
  <c r="CJ40" i="38"/>
  <c r="BC4" i="38"/>
  <c r="BC40" i="38"/>
  <c r="CI4" i="38"/>
  <c r="CI40" i="38"/>
  <c r="BB4" i="38"/>
  <c r="BB40" i="38"/>
  <c r="CH4" i="38"/>
  <c r="CH40" i="38"/>
  <c r="BA4" i="38"/>
  <c r="BA40" i="38"/>
  <c r="CG4" i="38"/>
  <c r="CG40" i="38"/>
  <c r="AZ4" i="38"/>
  <c r="AZ40" i="38"/>
  <c r="CF4" i="38"/>
  <c r="CF40" i="38"/>
  <c r="AY4" i="38"/>
  <c r="AY40" i="38"/>
  <c r="CE4" i="38"/>
  <c r="CE40" i="38"/>
  <c r="AX4" i="38"/>
  <c r="AX40" i="38"/>
  <c r="CD4" i="38"/>
  <c r="CD40" i="38"/>
  <c r="AW4" i="38"/>
  <c r="AW40" i="38"/>
  <c r="CC4" i="38"/>
  <c r="CC40" i="38"/>
  <c r="AV4" i="38"/>
  <c r="AV40" i="38"/>
  <c r="CB4" i="38"/>
  <c r="CB40" i="38"/>
  <c r="AU4" i="38"/>
  <c r="AU40" i="38"/>
  <c r="CA4" i="38"/>
  <c r="CA40" i="38"/>
  <c r="AT4" i="38"/>
  <c r="AT40" i="38"/>
  <c r="BZ4" i="38"/>
  <c r="BZ40" i="38"/>
  <c r="AR4" i="38"/>
  <c r="AR40" i="38"/>
  <c r="BX4" i="38"/>
  <c r="BX40" i="38"/>
  <c r="AQ4" i="38"/>
  <c r="AQ40" i="38"/>
  <c r="BW40" i="38"/>
  <c r="AP4" i="38"/>
  <c r="AP40" i="38"/>
  <c r="BV40" i="38"/>
  <c r="O40" i="38"/>
  <c r="AO40" i="38"/>
  <c r="N40" i="38"/>
  <c r="AN40" i="38"/>
  <c r="M40" i="38"/>
  <c r="AM40" i="38"/>
  <c r="L40" i="38"/>
  <c r="AL40" i="38"/>
  <c r="K40" i="38"/>
  <c r="AK40" i="38"/>
  <c r="J40" i="38"/>
  <c r="AJ40" i="38"/>
  <c r="I40" i="38"/>
  <c r="AI40" i="38"/>
  <c r="H40" i="38"/>
  <c r="AH40" i="38"/>
  <c r="G40" i="38"/>
  <c r="AG40" i="38"/>
  <c r="F40" i="38"/>
  <c r="AF40" i="38"/>
  <c r="E40" i="38"/>
  <c r="AE40" i="38"/>
  <c r="EI11" i="38"/>
  <c r="EI39" i="38"/>
  <c r="EM39" i="38"/>
  <c r="EH11" i="38"/>
  <c r="EH39" i="38"/>
  <c r="EL39" i="38"/>
  <c r="O11" i="38"/>
  <c r="CZ11" i="38"/>
  <c r="CZ39" i="38"/>
  <c r="EF11" i="38"/>
  <c r="EF39" i="38"/>
  <c r="M11" i="38"/>
  <c r="CY11" i="38"/>
  <c r="CY39" i="38"/>
  <c r="EE11" i="38"/>
  <c r="EE39" i="38"/>
  <c r="N11" i="38"/>
  <c r="CX11" i="38"/>
  <c r="CX39" i="38"/>
  <c r="ED11" i="38"/>
  <c r="ED39" i="38"/>
  <c r="L11" i="38"/>
  <c r="CW11" i="38"/>
  <c r="CW39" i="38"/>
  <c r="EC11" i="38"/>
  <c r="EC39" i="38"/>
  <c r="F11" i="38"/>
  <c r="CV11" i="38"/>
  <c r="CV39" i="38"/>
  <c r="EB11" i="38"/>
  <c r="EB39" i="38"/>
  <c r="E11" i="38"/>
  <c r="CU11" i="38"/>
  <c r="CU39" i="38"/>
  <c r="EA11" i="38"/>
  <c r="EA39" i="38"/>
  <c r="I11" i="38"/>
  <c r="CT11" i="38"/>
  <c r="CT39" i="38"/>
  <c r="DZ11" i="38"/>
  <c r="DZ39" i="38"/>
  <c r="H11" i="38"/>
  <c r="CS11" i="38"/>
  <c r="CS39" i="38"/>
  <c r="DY11" i="38"/>
  <c r="DY39" i="38"/>
  <c r="G11" i="38"/>
  <c r="CR11" i="38"/>
  <c r="CR39" i="38"/>
  <c r="DX11" i="38"/>
  <c r="DX39" i="38"/>
  <c r="K11" i="38"/>
  <c r="CQ11" i="38"/>
  <c r="CQ39" i="38"/>
  <c r="DW11" i="38"/>
  <c r="DW39" i="38"/>
  <c r="J11" i="38"/>
  <c r="CP11" i="38"/>
  <c r="CP39" i="38"/>
  <c r="DV11" i="38"/>
  <c r="DV39" i="38"/>
  <c r="CN11" i="38"/>
  <c r="CN39" i="38"/>
  <c r="DT39" i="38"/>
  <c r="CM11" i="38"/>
  <c r="CM39" i="38"/>
  <c r="DS39" i="38"/>
  <c r="CL11" i="38"/>
  <c r="CL39" i="38"/>
  <c r="DR39" i="38"/>
  <c r="BD11" i="38"/>
  <c r="BD39" i="38"/>
  <c r="CJ11" i="38"/>
  <c r="CJ39" i="38"/>
  <c r="BC11" i="38"/>
  <c r="BC39" i="38"/>
  <c r="CI11" i="38"/>
  <c r="CI39" i="38"/>
  <c r="BB11" i="38"/>
  <c r="BB39" i="38"/>
  <c r="CH11" i="38"/>
  <c r="CH39" i="38"/>
  <c r="BA11" i="38"/>
  <c r="BA39" i="38"/>
  <c r="CG11" i="38"/>
  <c r="CG39" i="38"/>
  <c r="AZ11" i="38"/>
  <c r="AZ39" i="38"/>
  <c r="CF11" i="38"/>
  <c r="CF39" i="38"/>
  <c r="AY11" i="38"/>
  <c r="AY39" i="38"/>
  <c r="CE11" i="38"/>
  <c r="CE39" i="38"/>
  <c r="AX11" i="38"/>
  <c r="AX39" i="38"/>
  <c r="CD11" i="38"/>
  <c r="CD39" i="38"/>
  <c r="AW11" i="38"/>
  <c r="AW39" i="38"/>
  <c r="CC11" i="38"/>
  <c r="CC39" i="38"/>
  <c r="AV11" i="38"/>
  <c r="AV39" i="38"/>
  <c r="CB11" i="38"/>
  <c r="CB39" i="38"/>
  <c r="AU11" i="38"/>
  <c r="AU39" i="38"/>
  <c r="CA11" i="38"/>
  <c r="CA39" i="38"/>
  <c r="AT11" i="38"/>
  <c r="AT39" i="38"/>
  <c r="BZ11" i="38"/>
  <c r="BZ39" i="38"/>
  <c r="AR11" i="38"/>
  <c r="AR39" i="38"/>
  <c r="BX11" i="38"/>
  <c r="BX39" i="38"/>
  <c r="AQ11" i="38"/>
  <c r="AQ39" i="38"/>
  <c r="BW39" i="38"/>
  <c r="AP11" i="38"/>
  <c r="AP39" i="38"/>
  <c r="BV39" i="38"/>
  <c r="O39" i="38"/>
  <c r="AO39" i="38"/>
  <c r="N39" i="38"/>
  <c r="AN39" i="38"/>
  <c r="M39" i="38"/>
  <c r="AM39" i="38"/>
  <c r="L39" i="38"/>
  <c r="AL39" i="38"/>
  <c r="K39" i="38"/>
  <c r="AK39" i="38"/>
  <c r="J39" i="38"/>
  <c r="AJ39" i="38"/>
  <c r="I39" i="38"/>
  <c r="AI39" i="38"/>
  <c r="H39" i="38"/>
  <c r="AH39" i="38"/>
  <c r="G39" i="38"/>
  <c r="AG39" i="38"/>
  <c r="F39" i="38"/>
  <c r="AF39" i="38"/>
  <c r="E39" i="38"/>
  <c r="AE39" i="38"/>
  <c r="EI2" i="38"/>
  <c r="EI38" i="38"/>
  <c r="EM38" i="38"/>
  <c r="EH2" i="38"/>
  <c r="EH38" i="38"/>
  <c r="EL38" i="38"/>
  <c r="O2" i="38"/>
  <c r="CZ2" i="38"/>
  <c r="CZ38" i="38"/>
  <c r="EF2" i="38"/>
  <c r="EF38" i="38"/>
  <c r="M2" i="38"/>
  <c r="CY2" i="38"/>
  <c r="CY38" i="38"/>
  <c r="EE2" i="38"/>
  <c r="EE38" i="38"/>
  <c r="N2" i="38"/>
  <c r="CX2" i="38"/>
  <c r="CX38" i="38"/>
  <c r="ED2" i="38"/>
  <c r="ED38" i="38"/>
  <c r="L2" i="38"/>
  <c r="CW2" i="38"/>
  <c r="CW38" i="38"/>
  <c r="EC2" i="38"/>
  <c r="EC38" i="38"/>
  <c r="F2" i="38"/>
  <c r="CV2" i="38"/>
  <c r="CV38" i="38"/>
  <c r="EB2" i="38"/>
  <c r="EB38" i="38"/>
  <c r="E2" i="38"/>
  <c r="CU2" i="38"/>
  <c r="CU38" i="38"/>
  <c r="EA2" i="38"/>
  <c r="EA38" i="38"/>
  <c r="I2" i="38"/>
  <c r="CT2" i="38"/>
  <c r="CT38" i="38"/>
  <c r="DZ2" i="38"/>
  <c r="DZ38" i="38"/>
  <c r="H2" i="38"/>
  <c r="CS2" i="38"/>
  <c r="CS38" i="38"/>
  <c r="DY2" i="38"/>
  <c r="DY38" i="38"/>
  <c r="G2" i="38"/>
  <c r="CR2" i="38"/>
  <c r="CR38" i="38"/>
  <c r="DX2" i="38"/>
  <c r="DX38" i="38"/>
  <c r="K2" i="38"/>
  <c r="CQ2" i="38"/>
  <c r="CQ38" i="38"/>
  <c r="DW2" i="38"/>
  <c r="DW38" i="38"/>
  <c r="J2" i="38"/>
  <c r="CP2" i="38"/>
  <c r="CP38" i="38"/>
  <c r="DV2" i="38"/>
  <c r="DV38" i="38"/>
  <c r="CN2" i="38"/>
  <c r="CN38" i="38"/>
  <c r="DT38" i="38"/>
  <c r="CM2" i="38"/>
  <c r="CM38" i="38"/>
  <c r="DS38" i="38"/>
  <c r="CL2" i="38"/>
  <c r="CL38" i="38"/>
  <c r="DR38" i="38"/>
  <c r="BD2" i="38"/>
  <c r="BD38" i="38"/>
  <c r="CJ2" i="38"/>
  <c r="CJ38" i="38"/>
  <c r="BC2" i="38"/>
  <c r="BC38" i="38"/>
  <c r="CI2" i="38"/>
  <c r="CI38" i="38"/>
  <c r="BB2" i="38"/>
  <c r="BB38" i="38"/>
  <c r="CH2" i="38"/>
  <c r="CH38" i="38"/>
  <c r="BA2" i="38"/>
  <c r="BA38" i="38"/>
  <c r="CG2" i="38"/>
  <c r="CG38" i="38"/>
  <c r="AZ2" i="38"/>
  <c r="AZ38" i="38"/>
  <c r="CF2" i="38"/>
  <c r="CF38" i="38"/>
  <c r="AY2" i="38"/>
  <c r="AY38" i="38"/>
  <c r="CE2" i="38"/>
  <c r="CE38" i="38"/>
  <c r="AX2" i="38"/>
  <c r="AX38" i="38"/>
  <c r="CD2" i="38"/>
  <c r="CD38" i="38"/>
  <c r="AW2" i="38"/>
  <c r="AW38" i="38"/>
  <c r="CC2" i="38"/>
  <c r="CC38" i="38"/>
  <c r="AV2" i="38"/>
  <c r="AV38" i="38"/>
  <c r="CB2" i="38"/>
  <c r="CB38" i="38"/>
  <c r="AU2" i="38"/>
  <c r="AU38" i="38"/>
  <c r="CA2" i="38"/>
  <c r="CA38" i="38"/>
  <c r="AT2" i="38"/>
  <c r="AT38" i="38"/>
  <c r="BZ2" i="38"/>
  <c r="BZ38" i="38"/>
  <c r="AR2" i="38"/>
  <c r="AR38" i="38"/>
  <c r="BX2" i="38"/>
  <c r="BX38" i="38"/>
  <c r="AQ2" i="38"/>
  <c r="AQ38" i="38"/>
  <c r="BW38" i="38"/>
  <c r="AP2" i="38"/>
  <c r="AP38" i="38"/>
  <c r="BV38" i="38"/>
  <c r="O38" i="38"/>
  <c r="AO38" i="38"/>
  <c r="N38" i="38"/>
  <c r="AN38" i="38"/>
  <c r="M38" i="38"/>
  <c r="AM38" i="38"/>
  <c r="L38" i="38"/>
  <c r="AL38" i="38"/>
  <c r="K38" i="38"/>
  <c r="AK38" i="38"/>
  <c r="J38" i="38"/>
  <c r="AJ38" i="38"/>
  <c r="I38" i="38"/>
  <c r="AI38" i="38"/>
  <c r="H38" i="38"/>
  <c r="AH38" i="38"/>
  <c r="G38" i="38"/>
  <c r="AG38" i="38"/>
  <c r="F38" i="38"/>
  <c r="AF38" i="38"/>
  <c r="E38" i="38"/>
  <c r="AE38" i="38"/>
  <c r="EI22" i="38"/>
  <c r="EI37" i="38"/>
  <c r="EM37" i="38"/>
  <c r="EH22" i="38"/>
  <c r="EH37" i="38"/>
  <c r="EL37" i="38"/>
  <c r="O22" i="38"/>
  <c r="CZ22" i="38"/>
  <c r="CZ37" i="38"/>
  <c r="EF22" i="38"/>
  <c r="EF37" i="38"/>
  <c r="M22" i="38"/>
  <c r="CY22" i="38"/>
  <c r="CY37" i="38"/>
  <c r="EE22" i="38"/>
  <c r="EE37" i="38"/>
  <c r="N22" i="38"/>
  <c r="CX22" i="38"/>
  <c r="CX37" i="38"/>
  <c r="ED22" i="38"/>
  <c r="ED37" i="38"/>
  <c r="L22" i="38"/>
  <c r="CW22" i="38"/>
  <c r="CW37" i="38"/>
  <c r="EC22" i="38"/>
  <c r="EC37" i="38"/>
  <c r="F22" i="38"/>
  <c r="CV22" i="38"/>
  <c r="CV37" i="38"/>
  <c r="EB22" i="38"/>
  <c r="EB37" i="38"/>
  <c r="E22" i="38"/>
  <c r="CU22" i="38"/>
  <c r="CU37" i="38"/>
  <c r="EA22" i="38"/>
  <c r="EA37" i="38"/>
  <c r="I22" i="38"/>
  <c r="CT22" i="38"/>
  <c r="CT37" i="38"/>
  <c r="DZ22" i="38"/>
  <c r="DZ37" i="38"/>
  <c r="H22" i="38"/>
  <c r="CS22" i="38"/>
  <c r="CS37" i="38"/>
  <c r="DY22" i="38"/>
  <c r="DY37" i="38"/>
  <c r="G22" i="38"/>
  <c r="CR22" i="38"/>
  <c r="CR37" i="38"/>
  <c r="DX22" i="38"/>
  <c r="DX37" i="38"/>
  <c r="K22" i="38"/>
  <c r="CQ22" i="38"/>
  <c r="CQ37" i="38"/>
  <c r="DW22" i="38"/>
  <c r="DW37" i="38"/>
  <c r="J22" i="38"/>
  <c r="CP22" i="38"/>
  <c r="CP37" i="38"/>
  <c r="DV22" i="38"/>
  <c r="DV37" i="38"/>
  <c r="CN22" i="38"/>
  <c r="CN37" i="38"/>
  <c r="DT37" i="38"/>
  <c r="CM22" i="38"/>
  <c r="CM37" i="38"/>
  <c r="DS37" i="38"/>
  <c r="CL22" i="38"/>
  <c r="CL37" i="38"/>
  <c r="DR37" i="38"/>
  <c r="BD22" i="38"/>
  <c r="BD37" i="38"/>
  <c r="CJ22" i="38"/>
  <c r="CJ37" i="38"/>
  <c r="BC22" i="38"/>
  <c r="BC37" i="38"/>
  <c r="CI22" i="38"/>
  <c r="CI37" i="38"/>
  <c r="BB22" i="38"/>
  <c r="BB37" i="38"/>
  <c r="CH22" i="38"/>
  <c r="CH37" i="38"/>
  <c r="BA22" i="38"/>
  <c r="BA37" i="38"/>
  <c r="CG22" i="38"/>
  <c r="CG37" i="38"/>
  <c r="AZ22" i="38"/>
  <c r="AZ37" i="38"/>
  <c r="CF22" i="38"/>
  <c r="CF37" i="38"/>
  <c r="AY22" i="38"/>
  <c r="AY37" i="38"/>
  <c r="CE22" i="38"/>
  <c r="CE37" i="38"/>
  <c r="AX22" i="38"/>
  <c r="AX37" i="38"/>
  <c r="CD22" i="38"/>
  <c r="CD37" i="38"/>
  <c r="AW22" i="38"/>
  <c r="AW37" i="38"/>
  <c r="CC22" i="38"/>
  <c r="CC37" i="38"/>
  <c r="AV22" i="38"/>
  <c r="AV37" i="38"/>
  <c r="CB22" i="38"/>
  <c r="CB37" i="38"/>
  <c r="AU22" i="38"/>
  <c r="AU37" i="38"/>
  <c r="CA22" i="38"/>
  <c r="CA37" i="38"/>
  <c r="AT22" i="38"/>
  <c r="AT37" i="38"/>
  <c r="BZ22" i="38"/>
  <c r="BZ37" i="38"/>
  <c r="AR22" i="38"/>
  <c r="AR37" i="38"/>
  <c r="BX22" i="38"/>
  <c r="BX37" i="38"/>
  <c r="AQ22" i="38"/>
  <c r="AQ37" i="38"/>
  <c r="BW37" i="38"/>
  <c r="AP22" i="38"/>
  <c r="AP37" i="38"/>
  <c r="BV37" i="38"/>
  <c r="O37" i="38"/>
  <c r="AO37" i="38"/>
  <c r="N37" i="38"/>
  <c r="AN37" i="38"/>
  <c r="M37" i="38"/>
  <c r="AM37" i="38"/>
  <c r="L37" i="38"/>
  <c r="AL37" i="38"/>
  <c r="K37" i="38"/>
  <c r="AK37" i="38"/>
  <c r="J37" i="38"/>
  <c r="AJ37" i="38"/>
  <c r="I37" i="38"/>
  <c r="AI37" i="38"/>
  <c r="H37" i="38"/>
  <c r="AH37" i="38"/>
  <c r="G37" i="38"/>
  <c r="AG37" i="38"/>
  <c r="F37" i="38"/>
  <c r="AF37" i="38"/>
  <c r="E37" i="38"/>
  <c r="AE37" i="38"/>
  <c r="EI26" i="38"/>
  <c r="EI36" i="38"/>
  <c r="EM36" i="38"/>
  <c r="EH26" i="38"/>
  <c r="EH36" i="38"/>
  <c r="EL36" i="38"/>
  <c r="O26" i="38"/>
  <c r="CZ26" i="38"/>
  <c r="CZ36" i="38"/>
  <c r="EF26" i="38"/>
  <c r="EF36" i="38"/>
  <c r="M26" i="38"/>
  <c r="CY26" i="38"/>
  <c r="CY36" i="38"/>
  <c r="EE26" i="38"/>
  <c r="EE36" i="38"/>
  <c r="N26" i="38"/>
  <c r="CX26" i="38"/>
  <c r="CX36" i="38"/>
  <c r="ED26" i="38"/>
  <c r="ED36" i="38"/>
  <c r="L26" i="38"/>
  <c r="CW26" i="38"/>
  <c r="CW36" i="38"/>
  <c r="EC26" i="38"/>
  <c r="EC36" i="38"/>
  <c r="F26" i="38"/>
  <c r="CV26" i="38"/>
  <c r="CV36" i="38"/>
  <c r="EB26" i="38"/>
  <c r="EB36" i="38"/>
  <c r="E26" i="38"/>
  <c r="CU26" i="38"/>
  <c r="CU36" i="38"/>
  <c r="EA26" i="38"/>
  <c r="EA36" i="38"/>
  <c r="I26" i="38"/>
  <c r="CT26" i="38"/>
  <c r="CT36" i="38"/>
  <c r="DZ26" i="38"/>
  <c r="DZ36" i="38"/>
  <c r="H26" i="38"/>
  <c r="CS26" i="38"/>
  <c r="CS36" i="38"/>
  <c r="DY26" i="38"/>
  <c r="DY36" i="38"/>
  <c r="G26" i="38"/>
  <c r="CR26" i="38"/>
  <c r="CR36" i="38"/>
  <c r="DX26" i="38"/>
  <c r="DX36" i="38"/>
  <c r="K26" i="38"/>
  <c r="CQ26" i="38"/>
  <c r="CQ36" i="38"/>
  <c r="DW26" i="38"/>
  <c r="DW36" i="38"/>
  <c r="J26" i="38"/>
  <c r="CP26" i="38"/>
  <c r="CP36" i="38"/>
  <c r="DV26" i="38"/>
  <c r="DV36" i="38"/>
  <c r="CN26" i="38"/>
  <c r="CN36" i="38"/>
  <c r="DT36" i="38"/>
  <c r="CM26" i="38"/>
  <c r="CM36" i="38"/>
  <c r="DS36" i="38"/>
  <c r="CL26" i="38"/>
  <c r="CL36" i="38"/>
  <c r="DR36" i="38"/>
  <c r="BD26" i="38"/>
  <c r="BD36" i="38"/>
  <c r="CJ26" i="38"/>
  <c r="CJ36" i="38"/>
  <c r="BC26" i="38"/>
  <c r="BC36" i="38"/>
  <c r="CI26" i="38"/>
  <c r="CI36" i="38"/>
  <c r="BB26" i="38"/>
  <c r="BB36" i="38"/>
  <c r="CH26" i="38"/>
  <c r="CH36" i="38"/>
  <c r="BA26" i="38"/>
  <c r="BA36" i="38"/>
  <c r="CG26" i="38"/>
  <c r="CG36" i="38"/>
  <c r="AZ26" i="38"/>
  <c r="AZ36" i="38"/>
  <c r="CF26" i="38"/>
  <c r="CF36" i="38"/>
  <c r="AY26" i="38"/>
  <c r="AY36" i="38"/>
  <c r="CE26" i="38"/>
  <c r="CE36" i="38"/>
  <c r="AX26" i="38"/>
  <c r="AX36" i="38"/>
  <c r="CD26" i="38"/>
  <c r="CD36" i="38"/>
  <c r="AW26" i="38"/>
  <c r="AW36" i="38"/>
  <c r="CC26" i="38"/>
  <c r="CC36" i="38"/>
  <c r="AV26" i="38"/>
  <c r="AV36" i="38"/>
  <c r="CB26" i="38"/>
  <c r="CB36" i="38"/>
  <c r="AU26" i="38"/>
  <c r="AU36" i="38"/>
  <c r="CA26" i="38"/>
  <c r="CA36" i="38"/>
  <c r="AT26" i="38"/>
  <c r="AT36" i="38"/>
  <c r="BZ26" i="38"/>
  <c r="BZ36" i="38"/>
  <c r="AR26" i="38"/>
  <c r="AR36" i="38"/>
  <c r="BX26" i="38"/>
  <c r="BX36" i="38"/>
  <c r="AQ26" i="38"/>
  <c r="AQ36" i="38"/>
  <c r="BW36" i="38"/>
  <c r="AP26" i="38"/>
  <c r="AP36" i="38"/>
  <c r="BV36" i="38"/>
  <c r="O36" i="38"/>
  <c r="AO36" i="38"/>
  <c r="N36" i="38"/>
  <c r="AN36" i="38"/>
  <c r="M36" i="38"/>
  <c r="AM36" i="38"/>
  <c r="L36" i="38"/>
  <c r="AL36" i="38"/>
  <c r="K36" i="38"/>
  <c r="AK36" i="38"/>
  <c r="J36" i="38"/>
  <c r="AJ36" i="38"/>
  <c r="I36" i="38"/>
  <c r="AI36" i="38"/>
  <c r="H36" i="38"/>
  <c r="AH36" i="38"/>
  <c r="G36" i="38"/>
  <c r="AG36" i="38"/>
  <c r="F36" i="38"/>
  <c r="AF36" i="38"/>
  <c r="E36" i="38"/>
  <c r="AE36" i="38"/>
  <c r="EI30" i="38"/>
  <c r="EI35" i="38"/>
  <c r="EM35" i="38"/>
  <c r="EH30" i="38"/>
  <c r="EH35" i="38"/>
  <c r="EL35" i="38"/>
  <c r="O30" i="38"/>
  <c r="CZ30" i="38"/>
  <c r="CZ35" i="38"/>
  <c r="EF30" i="38"/>
  <c r="EF35" i="38"/>
  <c r="M30" i="38"/>
  <c r="CY30" i="38"/>
  <c r="CY35" i="38"/>
  <c r="EE30" i="38"/>
  <c r="EE35" i="38"/>
  <c r="N30" i="38"/>
  <c r="CX30" i="38"/>
  <c r="CX35" i="38"/>
  <c r="ED30" i="38"/>
  <c r="ED35" i="38"/>
  <c r="L30" i="38"/>
  <c r="CW30" i="38"/>
  <c r="CW35" i="38"/>
  <c r="EC30" i="38"/>
  <c r="EC35" i="38"/>
  <c r="F30" i="38"/>
  <c r="CV30" i="38"/>
  <c r="CV35" i="38"/>
  <c r="EB30" i="38"/>
  <c r="EB35" i="38"/>
  <c r="E30" i="38"/>
  <c r="CU30" i="38"/>
  <c r="CU35" i="38"/>
  <c r="EA30" i="38"/>
  <c r="EA35" i="38"/>
  <c r="I30" i="38"/>
  <c r="CT30" i="38"/>
  <c r="CT35" i="38"/>
  <c r="DZ30" i="38"/>
  <c r="DZ35" i="38"/>
  <c r="H30" i="38"/>
  <c r="CS30" i="38"/>
  <c r="CS35" i="38"/>
  <c r="DY30" i="38"/>
  <c r="DY35" i="38"/>
  <c r="G30" i="38"/>
  <c r="CR30" i="38"/>
  <c r="CR35" i="38"/>
  <c r="DX30" i="38"/>
  <c r="DX35" i="38"/>
  <c r="K30" i="38"/>
  <c r="CQ30" i="38"/>
  <c r="CQ35" i="38"/>
  <c r="DW30" i="38"/>
  <c r="DW35" i="38"/>
  <c r="J30" i="38"/>
  <c r="CP30" i="38"/>
  <c r="CP35" i="38"/>
  <c r="DV30" i="38"/>
  <c r="DV35" i="38"/>
  <c r="CN30" i="38"/>
  <c r="CN35" i="38"/>
  <c r="DT35" i="38"/>
  <c r="CM30" i="38"/>
  <c r="CM35" i="38"/>
  <c r="DS35" i="38"/>
  <c r="CL30" i="38"/>
  <c r="CL35" i="38"/>
  <c r="DR35" i="38"/>
  <c r="BD30" i="38"/>
  <c r="BD35" i="38"/>
  <c r="CJ30" i="38"/>
  <c r="CJ35" i="38"/>
  <c r="BC30" i="38"/>
  <c r="BC35" i="38"/>
  <c r="CI30" i="38"/>
  <c r="CI35" i="38"/>
  <c r="BB30" i="38"/>
  <c r="BB35" i="38"/>
  <c r="CH30" i="38"/>
  <c r="CH35" i="38"/>
  <c r="BA30" i="38"/>
  <c r="BA35" i="38"/>
  <c r="CG30" i="38"/>
  <c r="CG35" i="38"/>
  <c r="AZ30" i="38"/>
  <c r="AZ35" i="38"/>
  <c r="CF30" i="38"/>
  <c r="CF35" i="38"/>
  <c r="AY30" i="38"/>
  <c r="AY35" i="38"/>
  <c r="CE30" i="38"/>
  <c r="CE35" i="38"/>
  <c r="AX30" i="38"/>
  <c r="AX35" i="38"/>
  <c r="CD30" i="38"/>
  <c r="CD35" i="38"/>
  <c r="AW30" i="38"/>
  <c r="AW35" i="38"/>
  <c r="CC30" i="38"/>
  <c r="CC35" i="38"/>
  <c r="AV30" i="38"/>
  <c r="AV35" i="38"/>
  <c r="CB30" i="38"/>
  <c r="CB35" i="38"/>
  <c r="AU30" i="38"/>
  <c r="AU35" i="38"/>
  <c r="CA30" i="38"/>
  <c r="CA35" i="38"/>
  <c r="AT30" i="38"/>
  <c r="AT35" i="38"/>
  <c r="BZ30" i="38"/>
  <c r="BZ35" i="38"/>
  <c r="AR30" i="38"/>
  <c r="AR35" i="38"/>
  <c r="BX30" i="38"/>
  <c r="BX35" i="38"/>
  <c r="AQ30" i="38"/>
  <c r="AQ35" i="38"/>
  <c r="BW35" i="38"/>
  <c r="AP30" i="38"/>
  <c r="AP35" i="38"/>
  <c r="BV35" i="38"/>
  <c r="O35" i="38"/>
  <c r="AO35" i="38"/>
  <c r="N35" i="38"/>
  <c r="AN35" i="38"/>
  <c r="M35" i="38"/>
  <c r="AM35" i="38"/>
  <c r="L35" i="38"/>
  <c r="AL35" i="38"/>
  <c r="K35" i="38"/>
  <c r="AK35" i="38"/>
  <c r="J35" i="38"/>
  <c r="AJ35" i="38"/>
  <c r="I35" i="38"/>
  <c r="AI35" i="38"/>
  <c r="H35" i="38"/>
  <c r="AH35" i="38"/>
  <c r="G35" i="38"/>
  <c r="AG35" i="38"/>
  <c r="F35" i="38"/>
  <c r="AF35" i="38"/>
  <c r="E35" i="38"/>
  <c r="AE35" i="38"/>
  <c r="EI14" i="38"/>
  <c r="EI34" i="38"/>
  <c r="EM34" i="38"/>
  <c r="EH14" i="38"/>
  <c r="EH34" i="38"/>
  <c r="EL34" i="38"/>
  <c r="O14" i="38"/>
  <c r="CZ14" i="38"/>
  <c r="CZ34" i="38"/>
  <c r="EF14" i="38"/>
  <c r="EF34" i="38"/>
  <c r="M14" i="38"/>
  <c r="CY14" i="38"/>
  <c r="CY34" i="38"/>
  <c r="EE14" i="38"/>
  <c r="EE34" i="38"/>
  <c r="N14" i="38"/>
  <c r="CX14" i="38"/>
  <c r="CX34" i="38"/>
  <c r="ED14" i="38"/>
  <c r="ED34" i="38"/>
  <c r="L14" i="38"/>
  <c r="CW14" i="38"/>
  <c r="CW34" i="38"/>
  <c r="EC14" i="38"/>
  <c r="EC34" i="38"/>
  <c r="F14" i="38"/>
  <c r="CV14" i="38"/>
  <c r="CV34" i="38"/>
  <c r="EB14" i="38"/>
  <c r="EB34" i="38"/>
  <c r="E14" i="38"/>
  <c r="CU14" i="38"/>
  <c r="CU34" i="38"/>
  <c r="EA14" i="38"/>
  <c r="EA34" i="38"/>
  <c r="I14" i="38"/>
  <c r="CT14" i="38"/>
  <c r="CT34" i="38"/>
  <c r="DZ14" i="38"/>
  <c r="DZ34" i="38"/>
  <c r="H14" i="38"/>
  <c r="CS14" i="38"/>
  <c r="CS34" i="38"/>
  <c r="DY14" i="38"/>
  <c r="DY34" i="38"/>
  <c r="G14" i="38"/>
  <c r="CR14" i="38"/>
  <c r="CR34" i="38"/>
  <c r="DX14" i="38"/>
  <c r="DX34" i="38"/>
  <c r="K14" i="38"/>
  <c r="CQ14" i="38"/>
  <c r="CQ34" i="38"/>
  <c r="DW14" i="38"/>
  <c r="DW34" i="38"/>
  <c r="J14" i="38"/>
  <c r="CP14" i="38"/>
  <c r="CP34" i="38"/>
  <c r="DV14" i="38"/>
  <c r="DV34" i="38"/>
  <c r="CN14" i="38"/>
  <c r="CN34" i="38"/>
  <c r="DT34" i="38"/>
  <c r="CM14" i="38"/>
  <c r="CM34" i="38"/>
  <c r="DS34" i="38"/>
  <c r="CL14" i="38"/>
  <c r="CL34" i="38"/>
  <c r="DR34" i="38"/>
  <c r="BD14" i="38"/>
  <c r="BD34" i="38"/>
  <c r="CJ14" i="38"/>
  <c r="CJ34" i="38"/>
  <c r="BC14" i="38"/>
  <c r="BC34" i="38"/>
  <c r="CI14" i="38"/>
  <c r="CI34" i="38"/>
  <c r="BB14" i="38"/>
  <c r="BB34" i="38"/>
  <c r="CH14" i="38"/>
  <c r="CH34" i="38"/>
  <c r="BA14" i="38"/>
  <c r="BA34" i="38"/>
  <c r="CG14" i="38"/>
  <c r="CG34" i="38"/>
  <c r="AZ14" i="38"/>
  <c r="AZ34" i="38"/>
  <c r="CF14" i="38"/>
  <c r="CF34" i="38"/>
  <c r="AY14" i="38"/>
  <c r="AY34" i="38"/>
  <c r="CE14" i="38"/>
  <c r="CE34" i="38"/>
  <c r="AX14" i="38"/>
  <c r="AX34" i="38"/>
  <c r="CD14" i="38"/>
  <c r="CD34" i="38"/>
  <c r="AW14" i="38"/>
  <c r="AW34" i="38"/>
  <c r="CC14" i="38"/>
  <c r="CC34" i="38"/>
  <c r="AV14" i="38"/>
  <c r="AV34" i="38"/>
  <c r="CB14" i="38"/>
  <c r="CB34" i="38"/>
  <c r="AU14" i="38"/>
  <c r="AU34" i="38"/>
  <c r="CA14" i="38"/>
  <c r="CA34" i="38"/>
  <c r="AT14" i="38"/>
  <c r="AT34" i="38"/>
  <c r="BZ14" i="38"/>
  <c r="BZ34" i="38"/>
  <c r="AR14" i="38"/>
  <c r="AR34" i="38"/>
  <c r="BX14" i="38"/>
  <c r="BX34" i="38"/>
  <c r="AQ14" i="38"/>
  <c r="AQ34" i="38"/>
  <c r="BW34" i="38"/>
  <c r="AP14" i="38"/>
  <c r="AP34" i="38"/>
  <c r="BV34" i="38"/>
  <c r="O34" i="38"/>
  <c r="AO34" i="38"/>
  <c r="N34" i="38"/>
  <c r="AN34" i="38"/>
  <c r="M34" i="38"/>
  <c r="AM34" i="38"/>
  <c r="L34" i="38"/>
  <c r="AL34" i="38"/>
  <c r="K34" i="38"/>
  <c r="AK34" i="38"/>
  <c r="J34" i="38"/>
  <c r="AJ34" i="38"/>
  <c r="I34" i="38"/>
  <c r="AI34" i="38"/>
  <c r="H34" i="38"/>
  <c r="AH34" i="38"/>
  <c r="G34" i="38"/>
  <c r="AG34" i="38"/>
  <c r="F34" i="38"/>
  <c r="AF34" i="38"/>
  <c r="E34" i="38"/>
  <c r="AE34" i="38"/>
  <c r="EI13" i="38"/>
  <c r="EI33" i="38"/>
  <c r="EM33" i="38"/>
  <c r="EH13" i="38"/>
  <c r="EH33" i="38"/>
  <c r="EL33" i="38"/>
  <c r="O13" i="38"/>
  <c r="CZ13" i="38"/>
  <c r="CZ33" i="38"/>
  <c r="EF13" i="38"/>
  <c r="EF33" i="38"/>
  <c r="M13" i="38"/>
  <c r="CY13" i="38"/>
  <c r="CY33" i="38"/>
  <c r="EE13" i="38"/>
  <c r="EE33" i="38"/>
  <c r="N13" i="38"/>
  <c r="CX13" i="38"/>
  <c r="CX33" i="38"/>
  <c r="ED13" i="38"/>
  <c r="ED33" i="38"/>
  <c r="L13" i="38"/>
  <c r="CW13" i="38"/>
  <c r="CW33" i="38"/>
  <c r="EC13" i="38"/>
  <c r="EC33" i="38"/>
  <c r="F13" i="38"/>
  <c r="CV13" i="38"/>
  <c r="CV33" i="38"/>
  <c r="EB13" i="38"/>
  <c r="EB33" i="38"/>
  <c r="E13" i="38"/>
  <c r="CU13" i="38"/>
  <c r="CU33" i="38"/>
  <c r="EA13" i="38"/>
  <c r="EA33" i="38"/>
  <c r="I13" i="38"/>
  <c r="CT13" i="38"/>
  <c r="CT33" i="38"/>
  <c r="DZ13" i="38"/>
  <c r="DZ33" i="38"/>
  <c r="H13" i="38"/>
  <c r="CS13" i="38"/>
  <c r="CS33" i="38"/>
  <c r="DY13" i="38"/>
  <c r="DY33" i="38"/>
  <c r="G13" i="38"/>
  <c r="CR13" i="38"/>
  <c r="CR33" i="38"/>
  <c r="DX13" i="38"/>
  <c r="DX33" i="38"/>
  <c r="K13" i="38"/>
  <c r="CQ13" i="38"/>
  <c r="CQ33" i="38"/>
  <c r="DW13" i="38"/>
  <c r="DW33" i="38"/>
  <c r="J13" i="38"/>
  <c r="CP13" i="38"/>
  <c r="CP33" i="38"/>
  <c r="DV13" i="38"/>
  <c r="DV33" i="38"/>
  <c r="CN13" i="38"/>
  <c r="CN33" i="38"/>
  <c r="DT33" i="38"/>
  <c r="CM13" i="38"/>
  <c r="CM33" i="38"/>
  <c r="DS33" i="38"/>
  <c r="CL13" i="38"/>
  <c r="CL33" i="38"/>
  <c r="DR33" i="38"/>
  <c r="BD13" i="38"/>
  <c r="BD33" i="38"/>
  <c r="CJ13" i="38"/>
  <c r="CJ33" i="38"/>
  <c r="BC13" i="38"/>
  <c r="BC33" i="38"/>
  <c r="CI13" i="38"/>
  <c r="CI33" i="38"/>
  <c r="BB13" i="38"/>
  <c r="BB33" i="38"/>
  <c r="CH13" i="38"/>
  <c r="CH33" i="38"/>
  <c r="BA13" i="38"/>
  <c r="BA33" i="38"/>
  <c r="CG13" i="38"/>
  <c r="CG33" i="38"/>
  <c r="AZ13" i="38"/>
  <c r="AZ33" i="38"/>
  <c r="CF13" i="38"/>
  <c r="CF33" i="38"/>
  <c r="AY13" i="38"/>
  <c r="AY33" i="38"/>
  <c r="CE13" i="38"/>
  <c r="CE33" i="38"/>
  <c r="AX13" i="38"/>
  <c r="AX33" i="38"/>
  <c r="CD13" i="38"/>
  <c r="CD33" i="38"/>
  <c r="AW13" i="38"/>
  <c r="AW33" i="38"/>
  <c r="CC13" i="38"/>
  <c r="CC33" i="38"/>
  <c r="AV13" i="38"/>
  <c r="AV33" i="38"/>
  <c r="CB13" i="38"/>
  <c r="CB33" i="38"/>
  <c r="AU13" i="38"/>
  <c r="AU33" i="38"/>
  <c r="CA13" i="38"/>
  <c r="CA33" i="38"/>
  <c r="AT13" i="38"/>
  <c r="AT33" i="38"/>
  <c r="BZ13" i="38"/>
  <c r="BZ33" i="38"/>
  <c r="AR13" i="38"/>
  <c r="AR33" i="38"/>
  <c r="BX13" i="38"/>
  <c r="BX33" i="38"/>
  <c r="AQ13" i="38"/>
  <c r="AQ33" i="38"/>
  <c r="BW33" i="38"/>
  <c r="AP13" i="38"/>
  <c r="AP33" i="38"/>
  <c r="BV33" i="38"/>
  <c r="O33" i="38"/>
  <c r="AO33" i="38"/>
  <c r="N33" i="38"/>
  <c r="AN33" i="38"/>
  <c r="M33" i="38"/>
  <c r="AM33" i="38"/>
  <c r="L33" i="38"/>
  <c r="AL33" i="38"/>
  <c r="K33" i="38"/>
  <c r="AK33" i="38"/>
  <c r="J33" i="38"/>
  <c r="AJ33" i="38"/>
  <c r="I33" i="38"/>
  <c r="AI33" i="38"/>
  <c r="H33" i="38"/>
  <c r="AH33" i="38"/>
  <c r="G33" i="38"/>
  <c r="AG33" i="38"/>
  <c r="F33" i="38"/>
  <c r="AF33" i="38"/>
  <c r="E33" i="38"/>
  <c r="AE33" i="38"/>
  <c r="EI3" i="38"/>
  <c r="EI32" i="38"/>
  <c r="EM32" i="38"/>
  <c r="EH3" i="38"/>
  <c r="EH32" i="38"/>
  <c r="EL32" i="38"/>
  <c r="O3" i="38"/>
  <c r="CZ3" i="38"/>
  <c r="CZ32" i="38"/>
  <c r="EF3" i="38"/>
  <c r="EF32" i="38"/>
  <c r="M3" i="38"/>
  <c r="CY3" i="38"/>
  <c r="CY32" i="38"/>
  <c r="EE3" i="38"/>
  <c r="EE32" i="38"/>
  <c r="N3" i="38"/>
  <c r="CX3" i="38"/>
  <c r="CX32" i="38"/>
  <c r="ED3" i="38"/>
  <c r="ED32" i="38"/>
  <c r="L3" i="38"/>
  <c r="CW3" i="38"/>
  <c r="CW32" i="38"/>
  <c r="EC3" i="38"/>
  <c r="EC32" i="38"/>
  <c r="F3" i="38"/>
  <c r="CV3" i="38"/>
  <c r="CV32" i="38"/>
  <c r="EB3" i="38"/>
  <c r="EB32" i="38"/>
  <c r="E3" i="38"/>
  <c r="CU3" i="38"/>
  <c r="CU32" i="38"/>
  <c r="EA3" i="38"/>
  <c r="EA32" i="38"/>
  <c r="I3" i="38"/>
  <c r="CT3" i="38"/>
  <c r="CT32" i="38"/>
  <c r="DZ3" i="38"/>
  <c r="DZ32" i="38"/>
  <c r="H3" i="38"/>
  <c r="CS3" i="38"/>
  <c r="CS32" i="38"/>
  <c r="DY3" i="38"/>
  <c r="DY32" i="38"/>
  <c r="G3" i="38"/>
  <c r="CR3" i="38"/>
  <c r="CR32" i="38"/>
  <c r="DX3" i="38"/>
  <c r="DX32" i="38"/>
  <c r="K3" i="38"/>
  <c r="CQ3" i="38"/>
  <c r="CQ32" i="38"/>
  <c r="DW3" i="38"/>
  <c r="DW32" i="38"/>
  <c r="J3" i="38"/>
  <c r="CP3" i="38"/>
  <c r="CP32" i="38"/>
  <c r="DV3" i="38"/>
  <c r="DV32" i="38"/>
  <c r="CN3" i="38"/>
  <c r="CN32" i="38"/>
  <c r="DT32" i="38"/>
  <c r="CM3" i="38"/>
  <c r="CM32" i="38"/>
  <c r="DS32" i="38"/>
  <c r="CL3" i="38"/>
  <c r="CL32" i="38"/>
  <c r="DR32" i="38"/>
  <c r="BD3" i="38"/>
  <c r="BD32" i="38"/>
  <c r="CJ3" i="38"/>
  <c r="CJ32" i="38"/>
  <c r="BC3" i="38"/>
  <c r="BC32" i="38"/>
  <c r="CI3" i="38"/>
  <c r="CI32" i="38"/>
  <c r="BB3" i="38"/>
  <c r="BB32" i="38"/>
  <c r="CH3" i="38"/>
  <c r="CH32" i="38"/>
  <c r="BA3" i="38"/>
  <c r="BA32" i="38"/>
  <c r="CG3" i="38"/>
  <c r="CG32" i="38"/>
  <c r="AZ3" i="38"/>
  <c r="AZ32" i="38"/>
  <c r="CF3" i="38"/>
  <c r="CF32" i="38"/>
  <c r="AY3" i="38"/>
  <c r="AY32" i="38"/>
  <c r="CE3" i="38"/>
  <c r="CE32" i="38"/>
  <c r="AX3" i="38"/>
  <c r="AX32" i="38"/>
  <c r="CD3" i="38"/>
  <c r="CD32" i="38"/>
  <c r="AW3" i="38"/>
  <c r="AW32" i="38"/>
  <c r="CC3" i="38"/>
  <c r="CC32" i="38"/>
  <c r="AV3" i="38"/>
  <c r="AV32" i="38"/>
  <c r="CB3" i="38"/>
  <c r="CB32" i="38"/>
  <c r="AU3" i="38"/>
  <c r="AU32" i="38"/>
  <c r="CA3" i="38"/>
  <c r="CA32" i="38"/>
  <c r="AT3" i="38"/>
  <c r="AT32" i="38"/>
  <c r="BZ3" i="38"/>
  <c r="BZ32" i="38"/>
  <c r="AR3" i="38"/>
  <c r="AR32" i="38"/>
  <c r="BX3" i="38"/>
  <c r="BX32" i="38"/>
  <c r="AQ3" i="38"/>
  <c r="AQ32" i="38"/>
  <c r="BW32" i="38"/>
  <c r="AP3" i="38"/>
  <c r="AP32" i="38"/>
  <c r="BV32" i="38"/>
  <c r="O32" i="38"/>
  <c r="AO32" i="38"/>
  <c r="N32" i="38"/>
  <c r="AN32" i="38"/>
  <c r="M32" i="38"/>
  <c r="AM32" i="38"/>
  <c r="L32" i="38"/>
  <c r="AL32" i="38"/>
  <c r="K32" i="38"/>
  <c r="AK32" i="38"/>
  <c r="J32" i="38"/>
  <c r="AJ32" i="38"/>
  <c r="I32" i="38"/>
  <c r="AI32" i="38"/>
  <c r="H32" i="38"/>
  <c r="AH32" i="38"/>
  <c r="G32" i="38"/>
  <c r="AG32" i="38"/>
  <c r="F32" i="38"/>
  <c r="AF32" i="38"/>
  <c r="E32" i="38"/>
  <c r="AE32" i="38"/>
  <c r="EJ3" i="38"/>
  <c r="EJ32" i="38"/>
  <c r="EJ13" i="38"/>
  <c r="EJ33" i="38"/>
  <c r="EJ14" i="38"/>
  <c r="EJ34" i="38"/>
  <c r="EJ30" i="38"/>
  <c r="EJ35" i="38"/>
  <c r="EJ26" i="38"/>
  <c r="EJ36" i="38"/>
  <c r="EJ22" i="38"/>
  <c r="EJ37" i="38"/>
  <c r="EJ2" i="38"/>
  <c r="EJ38" i="38"/>
  <c r="EJ11" i="38"/>
  <c r="EJ39" i="38"/>
  <c r="EJ4" i="38"/>
  <c r="EJ40" i="38"/>
  <c r="EJ8" i="38"/>
  <c r="EJ41" i="38"/>
  <c r="EJ19" i="38"/>
  <c r="EJ42" i="38"/>
  <c r="EJ28" i="38"/>
  <c r="EJ43" i="38"/>
  <c r="EJ15" i="38"/>
  <c r="EJ44" i="38"/>
  <c r="EJ31" i="38"/>
  <c r="EK31" i="38"/>
  <c r="DA3" i="38"/>
  <c r="DB3" i="38"/>
  <c r="DC3" i="38"/>
  <c r="DD3" i="38"/>
  <c r="DE3" i="38"/>
  <c r="DF3" i="38"/>
  <c r="DG3" i="38"/>
  <c r="DH3" i="38"/>
  <c r="DI3" i="38"/>
  <c r="DJ3" i="38"/>
  <c r="DK3" i="38"/>
  <c r="DL3" i="38"/>
  <c r="DM3" i="38"/>
  <c r="DN3" i="38"/>
  <c r="DO3" i="38"/>
  <c r="DP3" i="38"/>
  <c r="DP32" i="38"/>
  <c r="DA13" i="38"/>
  <c r="DB13" i="38"/>
  <c r="DC13" i="38"/>
  <c r="DD13" i="38"/>
  <c r="DE13" i="38"/>
  <c r="DF13" i="38"/>
  <c r="DG13" i="38"/>
  <c r="DH13" i="38"/>
  <c r="DI13" i="38"/>
  <c r="DJ13" i="38"/>
  <c r="DK13" i="38"/>
  <c r="DL13" i="38"/>
  <c r="DM13" i="38"/>
  <c r="DN13" i="38"/>
  <c r="DO13" i="38"/>
  <c r="DP13" i="38"/>
  <c r="DP33" i="38"/>
  <c r="DA14" i="38"/>
  <c r="DB14" i="38"/>
  <c r="DC14" i="38"/>
  <c r="DD14" i="38"/>
  <c r="DE14" i="38"/>
  <c r="DF14" i="38"/>
  <c r="DG14" i="38"/>
  <c r="DH14" i="38"/>
  <c r="DI14" i="38"/>
  <c r="DJ14" i="38"/>
  <c r="DK14" i="38"/>
  <c r="DL14" i="38"/>
  <c r="DM14" i="38"/>
  <c r="DN14" i="38"/>
  <c r="DO14" i="38"/>
  <c r="DP14" i="38"/>
  <c r="DP34" i="38"/>
  <c r="DA30" i="38"/>
  <c r="DB30" i="38"/>
  <c r="DC30" i="38"/>
  <c r="DD30" i="38"/>
  <c r="DE30" i="38"/>
  <c r="DF30" i="38"/>
  <c r="DG30" i="38"/>
  <c r="DH30" i="38"/>
  <c r="DI30" i="38"/>
  <c r="DJ30" i="38"/>
  <c r="DK30" i="38"/>
  <c r="DL30" i="38"/>
  <c r="DM30" i="38"/>
  <c r="DN30" i="38"/>
  <c r="DO30" i="38"/>
  <c r="DP30" i="38"/>
  <c r="DP35" i="38"/>
  <c r="DA26" i="38"/>
  <c r="DB26" i="38"/>
  <c r="DC26" i="38"/>
  <c r="DD26" i="38"/>
  <c r="DE26" i="38"/>
  <c r="DF26" i="38"/>
  <c r="DG26" i="38"/>
  <c r="DH26" i="38"/>
  <c r="DI26" i="38"/>
  <c r="DJ26" i="38"/>
  <c r="DK26" i="38"/>
  <c r="DL26" i="38"/>
  <c r="DM26" i="38"/>
  <c r="DN26" i="38"/>
  <c r="DO26" i="38"/>
  <c r="DP26" i="38"/>
  <c r="DP36" i="38"/>
  <c r="DA22" i="38"/>
  <c r="DB22" i="38"/>
  <c r="DC22" i="38"/>
  <c r="DD22" i="38"/>
  <c r="DE22" i="38"/>
  <c r="DF22" i="38"/>
  <c r="DG22" i="38"/>
  <c r="DH22" i="38"/>
  <c r="DI22" i="38"/>
  <c r="DJ22" i="38"/>
  <c r="DK22" i="38"/>
  <c r="DL22" i="38"/>
  <c r="DM22" i="38"/>
  <c r="DN22" i="38"/>
  <c r="DO22" i="38"/>
  <c r="DP22" i="38"/>
  <c r="DP37" i="38"/>
  <c r="DA2" i="38"/>
  <c r="DB2" i="38"/>
  <c r="DC2" i="38"/>
  <c r="DD2" i="38"/>
  <c r="DE2" i="38"/>
  <c r="DF2" i="38"/>
  <c r="DG2" i="38"/>
  <c r="DH2" i="38"/>
  <c r="DI2" i="38"/>
  <c r="DJ2" i="38"/>
  <c r="DK2" i="38"/>
  <c r="DL2" i="38"/>
  <c r="DM2" i="38"/>
  <c r="DN2" i="38"/>
  <c r="DO2" i="38"/>
  <c r="DP2" i="38"/>
  <c r="DP38" i="38"/>
  <c r="DA11" i="38"/>
  <c r="DB11" i="38"/>
  <c r="DC11" i="38"/>
  <c r="DD11" i="38"/>
  <c r="DE11" i="38"/>
  <c r="DF11" i="38"/>
  <c r="DG11" i="38"/>
  <c r="DH11" i="38"/>
  <c r="DI11" i="38"/>
  <c r="DJ11" i="38"/>
  <c r="DK11" i="38"/>
  <c r="DL11" i="38"/>
  <c r="DM11" i="38"/>
  <c r="DN11" i="38"/>
  <c r="DO11" i="38"/>
  <c r="DP11" i="38"/>
  <c r="DP39" i="38"/>
  <c r="DA4" i="38"/>
  <c r="DB4" i="38"/>
  <c r="DC4" i="38"/>
  <c r="DD4" i="38"/>
  <c r="DE4" i="38"/>
  <c r="DF4" i="38"/>
  <c r="DG4" i="38"/>
  <c r="DH4" i="38"/>
  <c r="DI4" i="38"/>
  <c r="DJ4" i="38"/>
  <c r="DK4" i="38"/>
  <c r="DL4" i="38"/>
  <c r="DM4" i="38"/>
  <c r="DN4" i="38"/>
  <c r="DO4" i="38"/>
  <c r="DP4" i="38"/>
  <c r="DP40" i="38"/>
  <c r="DA8" i="38"/>
  <c r="DB8" i="38"/>
  <c r="DC8" i="38"/>
  <c r="DD8" i="38"/>
  <c r="DE8" i="38"/>
  <c r="DF8" i="38"/>
  <c r="DG8" i="38"/>
  <c r="DH8" i="38"/>
  <c r="DI8" i="38"/>
  <c r="DJ8" i="38"/>
  <c r="DK8" i="38"/>
  <c r="DL8" i="38"/>
  <c r="DM8" i="38"/>
  <c r="DN8" i="38"/>
  <c r="DO8" i="38"/>
  <c r="DP8" i="38"/>
  <c r="DP41" i="38"/>
  <c r="DA19" i="38"/>
  <c r="DB19" i="38"/>
  <c r="DC19" i="38"/>
  <c r="DD19" i="38"/>
  <c r="DE19" i="38"/>
  <c r="DF19" i="38"/>
  <c r="DG19" i="38"/>
  <c r="DH19" i="38"/>
  <c r="DI19" i="38"/>
  <c r="DJ19" i="38"/>
  <c r="DK19" i="38"/>
  <c r="DL19" i="38"/>
  <c r="DM19" i="38"/>
  <c r="DN19" i="38"/>
  <c r="DO19" i="38"/>
  <c r="DP19" i="38"/>
  <c r="DP42" i="38"/>
  <c r="DA28" i="38"/>
  <c r="DB28" i="38"/>
  <c r="DC28" i="38"/>
  <c r="DD28" i="38"/>
  <c r="DE28" i="38"/>
  <c r="DF28" i="38"/>
  <c r="DG28" i="38"/>
  <c r="DH28" i="38"/>
  <c r="DI28" i="38"/>
  <c r="DJ28" i="38"/>
  <c r="DK28" i="38"/>
  <c r="DL28" i="38"/>
  <c r="DM28" i="38"/>
  <c r="DN28" i="38"/>
  <c r="DO28" i="38"/>
  <c r="DP28" i="38"/>
  <c r="DP43" i="38"/>
  <c r="DA15" i="38"/>
  <c r="DB15" i="38"/>
  <c r="DC15" i="38"/>
  <c r="DD15" i="38"/>
  <c r="DE15" i="38"/>
  <c r="DF15" i="38"/>
  <c r="DG15" i="38"/>
  <c r="DH15" i="38"/>
  <c r="DI15" i="38"/>
  <c r="DJ15" i="38"/>
  <c r="DK15" i="38"/>
  <c r="DL15" i="38"/>
  <c r="DM15" i="38"/>
  <c r="DN15" i="38"/>
  <c r="DO15" i="38"/>
  <c r="DP15" i="38"/>
  <c r="DP44" i="38"/>
  <c r="DP31" i="38"/>
  <c r="DQ31" i="38"/>
  <c r="BE3" i="38"/>
  <c r="BF3" i="38"/>
  <c r="BG3" i="38"/>
  <c r="BH3" i="38"/>
  <c r="BI3" i="38"/>
  <c r="BJ3" i="38"/>
  <c r="BK3" i="38"/>
  <c r="BL3" i="38"/>
  <c r="BM3" i="38"/>
  <c r="BN3" i="38"/>
  <c r="BO3" i="38"/>
  <c r="BP3" i="38"/>
  <c r="BQ3" i="38"/>
  <c r="BR3" i="38"/>
  <c r="BS3" i="38"/>
  <c r="BT3" i="38"/>
  <c r="BT32" i="38"/>
  <c r="BE13" i="38"/>
  <c r="BF13" i="38"/>
  <c r="BG13" i="38"/>
  <c r="BH13" i="38"/>
  <c r="BI13" i="38"/>
  <c r="BJ13" i="38"/>
  <c r="BK13" i="38"/>
  <c r="BL13" i="38"/>
  <c r="BM13" i="38"/>
  <c r="BN13" i="38"/>
  <c r="BO13" i="38"/>
  <c r="BP13" i="38"/>
  <c r="BQ13" i="38"/>
  <c r="BR13" i="38"/>
  <c r="BS13" i="38"/>
  <c r="BT13" i="38"/>
  <c r="BT33" i="38"/>
  <c r="BE14" i="38"/>
  <c r="BF14" i="38"/>
  <c r="BG14" i="38"/>
  <c r="BH14" i="38"/>
  <c r="BI14" i="38"/>
  <c r="BJ14" i="38"/>
  <c r="BK14" i="38"/>
  <c r="BL14" i="38"/>
  <c r="BM14" i="38"/>
  <c r="BN14" i="38"/>
  <c r="BO14" i="38"/>
  <c r="BP14" i="38"/>
  <c r="BQ14" i="38"/>
  <c r="BR14" i="38"/>
  <c r="BS14" i="38"/>
  <c r="BT14" i="38"/>
  <c r="BT34" i="38"/>
  <c r="BE30" i="38"/>
  <c r="BF30" i="38"/>
  <c r="BG30" i="38"/>
  <c r="BH30" i="38"/>
  <c r="BI30" i="38"/>
  <c r="BJ30" i="38"/>
  <c r="BK30" i="38"/>
  <c r="BL30" i="38"/>
  <c r="BM30" i="38"/>
  <c r="BN30" i="38"/>
  <c r="BO30" i="38"/>
  <c r="BP30" i="38"/>
  <c r="BQ30" i="38"/>
  <c r="BR30" i="38"/>
  <c r="BS30" i="38"/>
  <c r="BT30" i="38"/>
  <c r="BT35" i="38"/>
  <c r="BE26" i="38"/>
  <c r="BF26" i="38"/>
  <c r="BG26" i="38"/>
  <c r="BH26" i="38"/>
  <c r="BI26" i="38"/>
  <c r="BJ26" i="38"/>
  <c r="BK26" i="38"/>
  <c r="BL26" i="38"/>
  <c r="BM26" i="38"/>
  <c r="BN26" i="38"/>
  <c r="BO26" i="38"/>
  <c r="BP26" i="38"/>
  <c r="BQ26" i="38"/>
  <c r="BR26" i="38"/>
  <c r="BS26" i="38"/>
  <c r="BT26" i="38"/>
  <c r="BT36" i="38"/>
  <c r="BE22" i="38"/>
  <c r="BF22" i="38"/>
  <c r="BG22" i="38"/>
  <c r="BH22" i="38"/>
  <c r="BI22" i="38"/>
  <c r="BJ22" i="38"/>
  <c r="BK22" i="38"/>
  <c r="BL22" i="38"/>
  <c r="BM22" i="38"/>
  <c r="BN22" i="38"/>
  <c r="BO22" i="38"/>
  <c r="BP22" i="38"/>
  <c r="BQ22" i="38"/>
  <c r="BR22" i="38"/>
  <c r="BS22" i="38"/>
  <c r="BT22" i="38"/>
  <c r="BT37" i="38"/>
  <c r="BE2" i="38"/>
  <c r="BF2" i="38"/>
  <c r="BG2" i="38"/>
  <c r="BH2" i="38"/>
  <c r="BI2" i="38"/>
  <c r="BJ2" i="38"/>
  <c r="BK2" i="38"/>
  <c r="BL2" i="38"/>
  <c r="BM2" i="38"/>
  <c r="BN2" i="38"/>
  <c r="BO2" i="38"/>
  <c r="BP2" i="38"/>
  <c r="BQ2" i="38"/>
  <c r="BR2" i="38"/>
  <c r="BS2" i="38"/>
  <c r="BT2" i="38"/>
  <c r="BT38" i="38"/>
  <c r="BE11" i="38"/>
  <c r="BF11" i="38"/>
  <c r="BG11" i="38"/>
  <c r="BH11" i="38"/>
  <c r="BI11" i="38"/>
  <c r="BJ11" i="38"/>
  <c r="BK11" i="38"/>
  <c r="BL11" i="38"/>
  <c r="BM11" i="38"/>
  <c r="BN11" i="38"/>
  <c r="BO11" i="38"/>
  <c r="BP11" i="38"/>
  <c r="BQ11" i="38"/>
  <c r="BR11" i="38"/>
  <c r="BS11" i="38"/>
  <c r="BT11" i="38"/>
  <c r="BT39" i="38"/>
  <c r="BE4" i="38"/>
  <c r="BF4" i="38"/>
  <c r="BG4" i="38"/>
  <c r="BH4" i="38"/>
  <c r="BI4" i="38"/>
  <c r="BJ4" i="38"/>
  <c r="BK4" i="38"/>
  <c r="BL4" i="38"/>
  <c r="BM4" i="38"/>
  <c r="BN4" i="38"/>
  <c r="BO4" i="38"/>
  <c r="BP4" i="38"/>
  <c r="BQ4" i="38"/>
  <c r="BR4" i="38"/>
  <c r="BS4" i="38"/>
  <c r="BT4" i="38"/>
  <c r="BT40" i="38"/>
  <c r="BE8" i="38"/>
  <c r="BF8" i="38"/>
  <c r="BG8" i="38"/>
  <c r="BH8" i="38"/>
  <c r="BI8" i="38"/>
  <c r="BJ8" i="38"/>
  <c r="BK8" i="38"/>
  <c r="BL8" i="38"/>
  <c r="BM8" i="38"/>
  <c r="BN8" i="38"/>
  <c r="BO8" i="38"/>
  <c r="BP8" i="38"/>
  <c r="BQ8" i="38"/>
  <c r="BR8" i="38"/>
  <c r="BS8" i="38"/>
  <c r="BT8" i="38"/>
  <c r="BT41" i="38"/>
  <c r="BE19" i="38"/>
  <c r="BF19" i="38"/>
  <c r="BG19" i="38"/>
  <c r="BH19" i="38"/>
  <c r="BI19" i="38"/>
  <c r="BJ19" i="38"/>
  <c r="BK19" i="38"/>
  <c r="BL19" i="38"/>
  <c r="BM19" i="38"/>
  <c r="BN19" i="38"/>
  <c r="BO19" i="38"/>
  <c r="BP19" i="38"/>
  <c r="BQ19" i="38"/>
  <c r="BR19" i="38"/>
  <c r="BS19" i="38"/>
  <c r="BT19" i="38"/>
  <c r="BT42" i="38"/>
  <c r="BE28" i="38"/>
  <c r="BF28" i="38"/>
  <c r="BG28" i="38"/>
  <c r="BH28" i="38"/>
  <c r="BI28" i="38"/>
  <c r="BJ28" i="38"/>
  <c r="BK28" i="38"/>
  <c r="BL28" i="38"/>
  <c r="BM28" i="38"/>
  <c r="BN28" i="38"/>
  <c r="BO28" i="38"/>
  <c r="BP28" i="38"/>
  <c r="BQ28" i="38"/>
  <c r="BR28" i="38"/>
  <c r="BS28" i="38"/>
  <c r="BT28" i="38"/>
  <c r="BT43" i="38"/>
  <c r="BE15" i="38"/>
  <c r="BF15" i="38"/>
  <c r="BG15" i="38"/>
  <c r="BH15" i="38"/>
  <c r="BI15" i="38"/>
  <c r="BJ15" i="38"/>
  <c r="BK15" i="38"/>
  <c r="BL15" i="38"/>
  <c r="BM15" i="38"/>
  <c r="BN15" i="38"/>
  <c r="BO15" i="38"/>
  <c r="BP15" i="38"/>
  <c r="BQ15" i="38"/>
  <c r="BR15" i="38"/>
  <c r="BS15" i="38"/>
  <c r="BT15" i="38"/>
  <c r="BT44" i="38"/>
  <c r="BT31" i="38"/>
  <c r="BU31" i="38"/>
  <c r="P3" i="38"/>
  <c r="Q3" i="38"/>
  <c r="R3" i="38"/>
  <c r="S3" i="38"/>
  <c r="T3" i="38"/>
  <c r="U3" i="38"/>
  <c r="V3" i="38"/>
  <c r="W3" i="38"/>
  <c r="X3" i="38"/>
  <c r="Y3" i="38"/>
  <c r="Z3" i="38"/>
  <c r="AA3" i="38"/>
  <c r="AB3" i="38"/>
  <c r="AB32" i="38"/>
  <c r="P13" i="38"/>
  <c r="Q13" i="38"/>
  <c r="R13" i="38"/>
  <c r="S13" i="38"/>
  <c r="T13" i="38"/>
  <c r="U13" i="38"/>
  <c r="V13" i="38"/>
  <c r="W13" i="38"/>
  <c r="X13" i="38"/>
  <c r="Y13" i="38"/>
  <c r="Z13" i="38"/>
  <c r="AA13" i="38"/>
  <c r="AB13" i="38"/>
  <c r="AB33" i="38"/>
  <c r="P14" i="38"/>
  <c r="Q14" i="38"/>
  <c r="R14" i="38"/>
  <c r="S14" i="38"/>
  <c r="T14" i="38"/>
  <c r="U14" i="38"/>
  <c r="V14" i="38"/>
  <c r="W14" i="38"/>
  <c r="X14" i="38"/>
  <c r="Y14" i="38"/>
  <c r="Z14" i="38"/>
  <c r="AA14" i="38"/>
  <c r="AB14" i="38"/>
  <c r="AB34" i="38"/>
  <c r="P30" i="38"/>
  <c r="Q30" i="38"/>
  <c r="R30" i="38"/>
  <c r="S30" i="38"/>
  <c r="T30" i="38"/>
  <c r="U30" i="38"/>
  <c r="V30" i="38"/>
  <c r="W30" i="38"/>
  <c r="X30" i="38"/>
  <c r="Y30" i="38"/>
  <c r="Z30" i="38"/>
  <c r="AA30" i="38"/>
  <c r="AB30" i="38"/>
  <c r="AB35" i="38"/>
  <c r="P26" i="38"/>
  <c r="Q26" i="38"/>
  <c r="R26" i="38"/>
  <c r="S26" i="38"/>
  <c r="T26" i="38"/>
  <c r="U26" i="38"/>
  <c r="V26" i="38"/>
  <c r="W26" i="38"/>
  <c r="X26" i="38"/>
  <c r="Y26" i="38"/>
  <c r="Z26" i="38"/>
  <c r="AA26" i="38"/>
  <c r="AB26" i="38"/>
  <c r="AB36" i="38"/>
  <c r="P22" i="38"/>
  <c r="Q22" i="38"/>
  <c r="R22" i="38"/>
  <c r="S22" i="38"/>
  <c r="T22" i="38"/>
  <c r="U22" i="38"/>
  <c r="V22" i="38"/>
  <c r="W22" i="38"/>
  <c r="X22" i="38"/>
  <c r="Y22" i="38"/>
  <c r="Z22" i="38"/>
  <c r="AA22" i="38"/>
  <c r="AB22" i="38"/>
  <c r="AB37" i="38"/>
  <c r="Q2" i="38"/>
  <c r="R2" i="38"/>
  <c r="S2" i="38"/>
  <c r="T2" i="38"/>
  <c r="U2" i="38"/>
  <c r="V2" i="38"/>
  <c r="W2" i="38"/>
  <c r="X2" i="38"/>
  <c r="Y2" i="38"/>
  <c r="Z2" i="38"/>
  <c r="AA2" i="38"/>
  <c r="P2" i="38"/>
  <c r="AB2" i="38"/>
  <c r="AB38" i="38"/>
  <c r="P11" i="38"/>
  <c r="Q11" i="38"/>
  <c r="R11" i="38"/>
  <c r="S11" i="38"/>
  <c r="T11" i="38"/>
  <c r="U11" i="38"/>
  <c r="V11" i="38"/>
  <c r="W11" i="38"/>
  <c r="X11" i="38"/>
  <c r="Y11" i="38"/>
  <c r="Z11" i="38"/>
  <c r="AA11" i="38"/>
  <c r="AB11" i="38"/>
  <c r="AB39" i="38"/>
  <c r="P4" i="38"/>
  <c r="Q4" i="38"/>
  <c r="R4" i="38"/>
  <c r="S4" i="38"/>
  <c r="T4" i="38"/>
  <c r="U4" i="38"/>
  <c r="V4" i="38"/>
  <c r="W4" i="38"/>
  <c r="X4" i="38"/>
  <c r="Y4" i="38"/>
  <c r="Z4" i="38"/>
  <c r="AA4" i="38"/>
  <c r="AB4" i="38"/>
  <c r="AB40" i="38"/>
  <c r="P8" i="38"/>
  <c r="Q8" i="38"/>
  <c r="R8" i="38"/>
  <c r="S8" i="38"/>
  <c r="T8" i="38"/>
  <c r="U8" i="38"/>
  <c r="V8" i="38"/>
  <c r="W8" i="38"/>
  <c r="X8" i="38"/>
  <c r="Y8" i="38"/>
  <c r="Z8" i="38"/>
  <c r="AA8" i="38"/>
  <c r="AB8" i="38"/>
  <c r="AB41" i="38"/>
  <c r="P19" i="38"/>
  <c r="Q19" i="38"/>
  <c r="R19" i="38"/>
  <c r="S19" i="38"/>
  <c r="T19" i="38"/>
  <c r="U19" i="38"/>
  <c r="V19" i="38"/>
  <c r="W19" i="38"/>
  <c r="X19" i="38"/>
  <c r="Y19" i="38"/>
  <c r="Z19" i="38"/>
  <c r="AA19" i="38"/>
  <c r="AB19" i="38"/>
  <c r="AB42" i="38"/>
  <c r="P28" i="38"/>
  <c r="Q28" i="38"/>
  <c r="R28" i="38"/>
  <c r="S28" i="38"/>
  <c r="T28" i="38"/>
  <c r="U28" i="38"/>
  <c r="V28" i="38"/>
  <c r="W28" i="38"/>
  <c r="X28" i="38"/>
  <c r="Y28" i="38"/>
  <c r="Z28" i="38"/>
  <c r="AA28" i="38"/>
  <c r="AB28" i="38"/>
  <c r="AB43" i="38"/>
  <c r="P15" i="38"/>
  <c r="Q15" i="38"/>
  <c r="R15" i="38"/>
  <c r="S15" i="38"/>
  <c r="T15" i="38"/>
  <c r="U15" i="38"/>
  <c r="V15" i="38"/>
  <c r="W15" i="38"/>
  <c r="X15" i="38"/>
  <c r="Y15" i="38"/>
  <c r="Z15" i="38"/>
  <c r="AA15" i="38"/>
  <c r="AB15" i="38"/>
  <c r="AB44" i="38"/>
  <c r="AB31" i="38"/>
  <c r="AC31" i="38"/>
  <c r="EK30" i="38"/>
  <c r="DS30" i="38"/>
  <c r="DQ30" i="38"/>
  <c r="BU30" i="38"/>
  <c r="AC30" i="38"/>
  <c r="EK29" i="38"/>
  <c r="DQ29" i="38"/>
  <c r="BU29" i="38"/>
  <c r="AC29" i="38"/>
  <c r="EK28" i="38"/>
  <c r="DS28" i="38"/>
  <c r="DQ28" i="38"/>
  <c r="BU28" i="38"/>
  <c r="AC28" i="38"/>
  <c r="EK27" i="38"/>
  <c r="DS27" i="38"/>
  <c r="DQ27" i="38"/>
  <c r="BU27" i="38"/>
  <c r="AC27" i="38"/>
  <c r="EK26" i="38"/>
  <c r="DS26" i="38"/>
  <c r="DQ26" i="38"/>
  <c r="BU26" i="38"/>
  <c r="AC26" i="38"/>
  <c r="EK25" i="38"/>
  <c r="DQ25" i="38"/>
  <c r="BU25" i="38"/>
  <c r="AC25" i="38"/>
  <c r="EK24" i="38"/>
  <c r="DQ24" i="38"/>
  <c r="BU24" i="38"/>
  <c r="AC24" i="38"/>
  <c r="EK23" i="38"/>
  <c r="DS23" i="38"/>
  <c r="DQ23" i="38"/>
  <c r="BU23" i="38"/>
  <c r="AC23" i="38"/>
  <c r="EK22" i="38"/>
  <c r="DS22" i="38"/>
  <c r="DQ22" i="38"/>
  <c r="BU22" i="38"/>
  <c r="AC22" i="38"/>
  <c r="EK21" i="38"/>
  <c r="DQ21" i="38"/>
  <c r="BX21" i="38"/>
  <c r="BU21" i="38"/>
  <c r="AC21" i="38"/>
  <c r="EK20" i="38"/>
  <c r="DQ20" i="38"/>
  <c r="BU20" i="38"/>
  <c r="AC20" i="38"/>
  <c r="EK19" i="38"/>
  <c r="DS19" i="38"/>
  <c r="DQ19" i="38"/>
  <c r="BU19" i="38"/>
  <c r="AC19" i="38"/>
  <c r="EK18" i="38"/>
  <c r="DS18" i="38"/>
  <c r="DQ18" i="38"/>
  <c r="BU18" i="38"/>
  <c r="AC18" i="38"/>
  <c r="EK17" i="38"/>
  <c r="DQ17" i="38"/>
  <c r="BU17" i="38"/>
  <c r="AC17" i="38"/>
  <c r="EK16" i="38"/>
  <c r="DS16" i="38"/>
  <c r="DQ16" i="38"/>
  <c r="BU16" i="38"/>
  <c r="AC16" i="38"/>
  <c r="EK15" i="38"/>
  <c r="DS15" i="38"/>
  <c r="DQ15" i="38"/>
  <c r="BX15" i="38"/>
  <c r="BU15" i="38"/>
  <c r="AC15" i="38"/>
  <c r="EK14" i="38"/>
  <c r="DS14" i="38"/>
  <c r="DQ14" i="38"/>
  <c r="BU14" i="38"/>
  <c r="AC14" i="38"/>
  <c r="EK13" i="38"/>
  <c r="DS13" i="38"/>
  <c r="DQ13" i="38"/>
  <c r="BU13" i="38"/>
  <c r="AC13" i="38"/>
  <c r="EK12" i="38"/>
  <c r="DS12" i="38"/>
  <c r="DQ12" i="38"/>
  <c r="BU12" i="38"/>
  <c r="AC12" i="38"/>
  <c r="EK11" i="38"/>
  <c r="DS11" i="38"/>
  <c r="DQ11" i="38"/>
  <c r="BU11" i="38"/>
  <c r="AC11" i="38"/>
  <c r="EK10" i="38"/>
  <c r="DS10" i="38"/>
  <c r="DQ10" i="38"/>
  <c r="BU10" i="38"/>
  <c r="AC10" i="38"/>
  <c r="EK9" i="38"/>
  <c r="DQ9" i="38"/>
  <c r="BU9" i="38"/>
  <c r="AC9" i="38"/>
  <c r="EK8" i="38"/>
  <c r="DS8" i="38"/>
  <c r="DQ8" i="38"/>
  <c r="BU8" i="38"/>
  <c r="AC8" i="38"/>
  <c r="EK7" i="38"/>
  <c r="DS7" i="38"/>
  <c r="DQ7" i="38"/>
  <c r="BU7" i="38"/>
  <c r="AC7" i="38"/>
  <c r="EK6" i="38"/>
  <c r="DS6" i="38"/>
  <c r="DQ6" i="38"/>
  <c r="BU6" i="38"/>
  <c r="AC6" i="38"/>
  <c r="EK5" i="38"/>
  <c r="DQ5" i="38"/>
  <c r="BX5" i="38"/>
  <c r="BU5" i="38"/>
  <c r="AC5" i="38"/>
  <c r="EK4" i="38"/>
  <c r="DS4" i="38"/>
  <c r="DQ4" i="38"/>
  <c r="BU4" i="38"/>
  <c r="AC4" i="38"/>
  <c r="EK3" i="38"/>
  <c r="DS3" i="38"/>
  <c r="DQ3" i="38"/>
  <c r="BU3" i="38"/>
  <c r="AC3" i="38"/>
  <c r="EK2" i="38"/>
  <c r="DS2" i="38"/>
  <c r="DQ2" i="38"/>
  <c r="BU2" i="38"/>
  <c r="AC2" i="38"/>
  <c r="BH27" i="16"/>
  <c r="BH76" i="16"/>
  <c r="BL76" i="16"/>
  <c r="BG27" i="16"/>
  <c r="BG76" i="16"/>
  <c r="BK76" i="16"/>
  <c r="AU27" i="16"/>
  <c r="AU76" i="16"/>
  <c r="BE27" i="16"/>
  <c r="BE76" i="16"/>
  <c r="AT27" i="16"/>
  <c r="AT76" i="16"/>
  <c r="BD27" i="16"/>
  <c r="BD76" i="16"/>
  <c r="AS27" i="16"/>
  <c r="AS76" i="16"/>
  <c r="BC76" i="16"/>
  <c r="AR27" i="16"/>
  <c r="AR76" i="16"/>
  <c r="BB76" i="16"/>
  <c r="AL27" i="16"/>
  <c r="AL76" i="16"/>
  <c r="AP76" i="16"/>
  <c r="AK27" i="16"/>
  <c r="AK76" i="16"/>
  <c r="AO76" i="16"/>
  <c r="Z27" i="16"/>
  <c r="Z76" i="16"/>
  <c r="AJ27" i="16"/>
  <c r="AJ76" i="16"/>
  <c r="Y27" i="16"/>
  <c r="Y76" i="16"/>
  <c r="AI27" i="16"/>
  <c r="AI76" i="16"/>
  <c r="X27" i="16"/>
  <c r="X76" i="16"/>
  <c r="AH27" i="16"/>
  <c r="AH76" i="16"/>
  <c r="W27" i="16"/>
  <c r="W76" i="16"/>
  <c r="AG27" i="16"/>
  <c r="AG76" i="16"/>
  <c r="V27" i="16"/>
  <c r="V76" i="16"/>
  <c r="AF27" i="16"/>
  <c r="AF76" i="16"/>
  <c r="H27" i="16"/>
  <c r="H76" i="16"/>
  <c r="T27" i="16"/>
  <c r="T76" i="16"/>
  <c r="G27" i="16"/>
  <c r="G76" i="16"/>
  <c r="S27" i="16"/>
  <c r="S76" i="16"/>
  <c r="F27" i="16"/>
  <c r="F76" i="16"/>
  <c r="R27" i="16"/>
  <c r="R76" i="16"/>
  <c r="E27" i="16"/>
  <c r="E76" i="16"/>
  <c r="Q76" i="16"/>
  <c r="D27" i="16"/>
  <c r="D76" i="16"/>
  <c r="P76" i="16"/>
  <c r="BH18" i="16"/>
  <c r="BH75" i="16"/>
  <c r="BL75" i="16"/>
  <c r="BG18" i="16"/>
  <c r="BG75" i="16"/>
  <c r="BK75" i="16"/>
  <c r="AU18" i="16"/>
  <c r="AU75" i="16"/>
  <c r="BE18" i="16"/>
  <c r="BE75" i="16"/>
  <c r="AT18" i="16"/>
  <c r="AT75" i="16"/>
  <c r="BD18" i="16"/>
  <c r="BD75" i="16"/>
  <c r="AS18" i="16"/>
  <c r="AS75" i="16"/>
  <c r="BC75" i="16"/>
  <c r="AR18" i="16"/>
  <c r="AR75" i="16"/>
  <c r="BB75" i="16"/>
  <c r="AL18" i="16"/>
  <c r="AL75" i="16"/>
  <c r="AP75" i="16"/>
  <c r="AK18" i="16"/>
  <c r="AK75" i="16"/>
  <c r="AO75" i="16"/>
  <c r="Z18" i="16"/>
  <c r="Z75" i="16"/>
  <c r="AJ18" i="16"/>
  <c r="AJ75" i="16"/>
  <c r="Y18" i="16"/>
  <c r="Y75" i="16"/>
  <c r="AI18" i="16"/>
  <c r="AI75" i="16"/>
  <c r="X18" i="16"/>
  <c r="X75" i="16"/>
  <c r="AH18" i="16"/>
  <c r="AH75" i="16"/>
  <c r="W18" i="16"/>
  <c r="W75" i="16"/>
  <c r="AG18" i="16"/>
  <c r="AG75" i="16"/>
  <c r="V18" i="16"/>
  <c r="V75" i="16"/>
  <c r="AF18" i="16"/>
  <c r="AF75" i="16"/>
  <c r="H18" i="16"/>
  <c r="H75" i="16"/>
  <c r="T18" i="16"/>
  <c r="T75" i="16"/>
  <c r="G18" i="16"/>
  <c r="G75" i="16"/>
  <c r="S18" i="16"/>
  <c r="S75" i="16"/>
  <c r="F18" i="16"/>
  <c r="F75" i="16"/>
  <c r="R18" i="16"/>
  <c r="R75" i="16"/>
  <c r="E18" i="16"/>
  <c r="E75" i="16"/>
  <c r="Q75" i="16"/>
  <c r="D18" i="16"/>
  <c r="D75" i="16"/>
  <c r="P75" i="16"/>
  <c r="BH12" i="16"/>
  <c r="BH74" i="16"/>
  <c r="BL74" i="16"/>
  <c r="BG12" i="16"/>
  <c r="BG74" i="16"/>
  <c r="BK74" i="16"/>
  <c r="AU12" i="16"/>
  <c r="AU74" i="16"/>
  <c r="BE12" i="16"/>
  <c r="BE74" i="16"/>
  <c r="AT12" i="16"/>
  <c r="AT74" i="16"/>
  <c r="BD12" i="16"/>
  <c r="BD74" i="16"/>
  <c r="AS12" i="16"/>
  <c r="AS74" i="16"/>
  <c r="BC74" i="16"/>
  <c r="AR12" i="16"/>
  <c r="AR74" i="16"/>
  <c r="BB74" i="16"/>
  <c r="AL12" i="16"/>
  <c r="AL74" i="16"/>
  <c r="AP74" i="16"/>
  <c r="AK12" i="16"/>
  <c r="AK74" i="16"/>
  <c r="AO74" i="16"/>
  <c r="Z12" i="16"/>
  <c r="Z74" i="16"/>
  <c r="AJ12" i="16"/>
  <c r="AJ74" i="16"/>
  <c r="Y12" i="16"/>
  <c r="Y74" i="16"/>
  <c r="AI12" i="16"/>
  <c r="AI74" i="16"/>
  <c r="X12" i="16"/>
  <c r="X74" i="16"/>
  <c r="AH12" i="16"/>
  <c r="AH74" i="16"/>
  <c r="W12" i="16"/>
  <c r="W74" i="16"/>
  <c r="AG12" i="16"/>
  <c r="AG74" i="16"/>
  <c r="V12" i="16"/>
  <c r="V74" i="16"/>
  <c r="AF12" i="16"/>
  <c r="AF74" i="16"/>
  <c r="H12" i="16"/>
  <c r="H74" i="16"/>
  <c r="T12" i="16"/>
  <c r="T74" i="16"/>
  <c r="G12" i="16"/>
  <c r="G74" i="16"/>
  <c r="S12" i="16"/>
  <c r="S74" i="16"/>
  <c r="F12" i="16"/>
  <c r="F74" i="16"/>
  <c r="R12" i="16"/>
  <c r="R74" i="16"/>
  <c r="E12" i="16"/>
  <c r="E74" i="16"/>
  <c r="Q74" i="16"/>
  <c r="D12" i="16"/>
  <c r="D74" i="16"/>
  <c r="P74" i="16"/>
  <c r="BH7" i="16"/>
  <c r="BH73" i="16"/>
  <c r="BL73" i="16"/>
  <c r="BG7" i="16"/>
  <c r="BG73" i="16"/>
  <c r="BK73" i="16"/>
  <c r="AU7" i="16"/>
  <c r="AU73" i="16"/>
  <c r="BE7" i="16"/>
  <c r="BE73" i="16"/>
  <c r="AT7" i="16"/>
  <c r="AT73" i="16"/>
  <c r="BD7" i="16"/>
  <c r="BD73" i="16"/>
  <c r="AS7" i="16"/>
  <c r="AS73" i="16"/>
  <c r="BC73" i="16"/>
  <c r="AR7" i="16"/>
  <c r="AR73" i="16"/>
  <c r="BB73" i="16"/>
  <c r="AL7" i="16"/>
  <c r="AL73" i="16"/>
  <c r="AP73" i="16"/>
  <c r="AK7" i="16"/>
  <c r="AK73" i="16"/>
  <c r="AO73" i="16"/>
  <c r="Z7" i="16"/>
  <c r="Z73" i="16"/>
  <c r="AJ7" i="16"/>
  <c r="AJ73" i="16"/>
  <c r="Y7" i="16"/>
  <c r="Y73" i="16"/>
  <c r="AI7" i="16"/>
  <c r="AI73" i="16"/>
  <c r="X7" i="16"/>
  <c r="X73" i="16"/>
  <c r="AH7" i="16"/>
  <c r="AH73" i="16"/>
  <c r="W7" i="16"/>
  <c r="W73" i="16"/>
  <c r="AG7" i="16"/>
  <c r="AG73" i="16"/>
  <c r="V7" i="16"/>
  <c r="V73" i="16"/>
  <c r="AF7" i="16"/>
  <c r="AF73" i="16"/>
  <c r="H7" i="16"/>
  <c r="H73" i="16"/>
  <c r="T7" i="16"/>
  <c r="T73" i="16"/>
  <c r="G7" i="16"/>
  <c r="G73" i="16"/>
  <c r="S7" i="16"/>
  <c r="S73" i="16"/>
  <c r="F7" i="16"/>
  <c r="F73" i="16"/>
  <c r="R7" i="16"/>
  <c r="R73" i="16"/>
  <c r="E7" i="16"/>
  <c r="E73" i="16"/>
  <c r="Q73" i="16"/>
  <c r="D7" i="16"/>
  <c r="D73" i="16"/>
  <c r="P73" i="16"/>
  <c r="BH16" i="16"/>
  <c r="BH72" i="16"/>
  <c r="BL72" i="16"/>
  <c r="BG16" i="16"/>
  <c r="BG72" i="16"/>
  <c r="BK72" i="16"/>
  <c r="AU16" i="16"/>
  <c r="AU72" i="16"/>
  <c r="BE16" i="16"/>
  <c r="BE72" i="16"/>
  <c r="AT16" i="16"/>
  <c r="AT72" i="16"/>
  <c r="BD16" i="16"/>
  <c r="BD72" i="16"/>
  <c r="AS16" i="16"/>
  <c r="AS72" i="16"/>
  <c r="BC72" i="16"/>
  <c r="AR16" i="16"/>
  <c r="AR72" i="16"/>
  <c r="BB72" i="16"/>
  <c r="AL16" i="16"/>
  <c r="AL72" i="16"/>
  <c r="AP72" i="16"/>
  <c r="AK16" i="16"/>
  <c r="AK72" i="16"/>
  <c r="AO72" i="16"/>
  <c r="Z16" i="16"/>
  <c r="Z72" i="16"/>
  <c r="AJ16" i="16"/>
  <c r="AJ72" i="16"/>
  <c r="Y16" i="16"/>
  <c r="Y72" i="16"/>
  <c r="AI16" i="16"/>
  <c r="AI72" i="16"/>
  <c r="X16" i="16"/>
  <c r="X72" i="16"/>
  <c r="AH16" i="16"/>
  <c r="AH72" i="16"/>
  <c r="W16" i="16"/>
  <c r="W72" i="16"/>
  <c r="AG16" i="16"/>
  <c r="AG72" i="16"/>
  <c r="V16" i="16"/>
  <c r="V72" i="16"/>
  <c r="AF16" i="16"/>
  <c r="AF72" i="16"/>
  <c r="H16" i="16"/>
  <c r="H72" i="16"/>
  <c r="T16" i="16"/>
  <c r="T72" i="16"/>
  <c r="G16" i="16"/>
  <c r="G72" i="16"/>
  <c r="S16" i="16"/>
  <c r="S72" i="16"/>
  <c r="F16" i="16"/>
  <c r="F72" i="16"/>
  <c r="R16" i="16"/>
  <c r="R72" i="16"/>
  <c r="E16" i="16"/>
  <c r="E72" i="16"/>
  <c r="Q72" i="16"/>
  <c r="D16" i="16"/>
  <c r="D72" i="16"/>
  <c r="P72" i="16"/>
  <c r="BH29" i="16"/>
  <c r="BH71" i="16"/>
  <c r="BL71" i="16"/>
  <c r="BG29" i="16"/>
  <c r="BG71" i="16"/>
  <c r="BK71" i="16"/>
  <c r="AU29" i="16"/>
  <c r="AU71" i="16"/>
  <c r="BE29" i="16"/>
  <c r="BE71" i="16"/>
  <c r="AT29" i="16"/>
  <c r="AT71" i="16"/>
  <c r="BD29" i="16"/>
  <c r="BD71" i="16"/>
  <c r="AS29" i="16"/>
  <c r="AS71" i="16"/>
  <c r="BC71" i="16"/>
  <c r="AR29" i="16"/>
  <c r="AR71" i="16"/>
  <c r="BB71" i="16"/>
  <c r="AL29" i="16"/>
  <c r="AL71" i="16"/>
  <c r="AP71" i="16"/>
  <c r="AK29" i="16"/>
  <c r="AK71" i="16"/>
  <c r="AO71" i="16"/>
  <c r="Z29" i="16"/>
  <c r="Z71" i="16"/>
  <c r="AJ29" i="16"/>
  <c r="AJ71" i="16"/>
  <c r="Y29" i="16"/>
  <c r="Y71" i="16"/>
  <c r="AI29" i="16"/>
  <c r="AI71" i="16"/>
  <c r="X29" i="16"/>
  <c r="X71" i="16"/>
  <c r="AH29" i="16"/>
  <c r="AH71" i="16"/>
  <c r="W29" i="16"/>
  <c r="W71" i="16"/>
  <c r="AG29" i="16"/>
  <c r="AG71" i="16"/>
  <c r="V29" i="16"/>
  <c r="V71" i="16"/>
  <c r="AF29" i="16"/>
  <c r="AF71" i="16"/>
  <c r="H29" i="16"/>
  <c r="H71" i="16"/>
  <c r="T29" i="16"/>
  <c r="T71" i="16"/>
  <c r="G29" i="16"/>
  <c r="G71" i="16"/>
  <c r="S29" i="16"/>
  <c r="S71" i="16"/>
  <c r="F29" i="16"/>
  <c r="F71" i="16"/>
  <c r="R29" i="16"/>
  <c r="R71" i="16"/>
  <c r="E29" i="16"/>
  <c r="E71" i="16"/>
  <c r="Q71" i="16"/>
  <c r="D29" i="16"/>
  <c r="D71" i="16"/>
  <c r="P71" i="16"/>
  <c r="BH20" i="16"/>
  <c r="BH70" i="16"/>
  <c r="BL70" i="16"/>
  <c r="BG20" i="16"/>
  <c r="BG70" i="16"/>
  <c r="BK70" i="16"/>
  <c r="AU20" i="16"/>
  <c r="AU70" i="16"/>
  <c r="BE20" i="16"/>
  <c r="BE70" i="16"/>
  <c r="AT20" i="16"/>
  <c r="AT70" i="16"/>
  <c r="BD20" i="16"/>
  <c r="BD70" i="16"/>
  <c r="AS20" i="16"/>
  <c r="AS70" i="16"/>
  <c r="BC70" i="16"/>
  <c r="AR20" i="16"/>
  <c r="AR70" i="16"/>
  <c r="BB70" i="16"/>
  <c r="AL20" i="16"/>
  <c r="AL70" i="16"/>
  <c r="AP70" i="16"/>
  <c r="AK20" i="16"/>
  <c r="AK70" i="16"/>
  <c r="AO70" i="16"/>
  <c r="Z20" i="16"/>
  <c r="Z70" i="16"/>
  <c r="AJ20" i="16"/>
  <c r="AJ70" i="16"/>
  <c r="Y20" i="16"/>
  <c r="Y70" i="16"/>
  <c r="AI20" i="16"/>
  <c r="AI70" i="16"/>
  <c r="X20" i="16"/>
  <c r="X70" i="16"/>
  <c r="AH20" i="16"/>
  <c r="AH70" i="16"/>
  <c r="W20" i="16"/>
  <c r="W70" i="16"/>
  <c r="AG20" i="16"/>
  <c r="AG70" i="16"/>
  <c r="V20" i="16"/>
  <c r="V70" i="16"/>
  <c r="AF20" i="16"/>
  <c r="AF70" i="16"/>
  <c r="H20" i="16"/>
  <c r="H70" i="16"/>
  <c r="T20" i="16"/>
  <c r="T70" i="16"/>
  <c r="G20" i="16"/>
  <c r="G70" i="16"/>
  <c r="S20" i="16"/>
  <c r="S70" i="16"/>
  <c r="F20" i="16"/>
  <c r="F70" i="16"/>
  <c r="R20" i="16"/>
  <c r="R70" i="16"/>
  <c r="E20" i="16"/>
  <c r="E70" i="16"/>
  <c r="Q70" i="16"/>
  <c r="D20" i="16"/>
  <c r="D70" i="16"/>
  <c r="P70" i="16"/>
  <c r="BH24" i="16"/>
  <c r="BH69" i="16"/>
  <c r="BL69" i="16"/>
  <c r="BG24" i="16"/>
  <c r="BG69" i="16"/>
  <c r="BK69" i="16"/>
  <c r="AU24" i="16"/>
  <c r="AU69" i="16"/>
  <c r="BE24" i="16"/>
  <c r="BE69" i="16"/>
  <c r="AT24" i="16"/>
  <c r="AT69" i="16"/>
  <c r="BD24" i="16"/>
  <c r="BD69" i="16"/>
  <c r="AS24" i="16"/>
  <c r="AS69" i="16"/>
  <c r="BC69" i="16"/>
  <c r="AR24" i="16"/>
  <c r="AR69" i="16"/>
  <c r="BB69" i="16"/>
  <c r="AL24" i="16"/>
  <c r="AL69" i="16"/>
  <c r="AP69" i="16"/>
  <c r="AK24" i="16"/>
  <c r="AK69" i="16"/>
  <c r="AO69" i="16"/>
  <c r="Z24" i="16"/>
  <c r="Z69" i="16"/>
  <c r="AJ24" i="16"/>
  <c r="AJ69" i="16"/>
  <c r="Y24" i="16"/>
  <c r="Y69" i="16"/>
  <c r="AI24" i="16"/>
  <c r="AI69" i="16"/>
  <c r="X24" i="16"/>
  <c r="X69" i="16"/>
  <c r="AH24" i="16"/>
  <c r="AH69" i="16"/>
  <c r="W24" i="16"/>
  <c r="W69" i="16"/>
  <c r="AG24" i="16"/>
  <c r="AG69" i="16"/>
  <c r="V24" i="16"/>
  <c r="V69" i="16"/>
  <c r="AF24" i="16"/>
  <c r="AF69" i="16"/>
  <c r="H24" i="16"/>
  <c r="H69" i="16"/>
  <c r="T24" i="16"/>
  <c r="T69" i="16"/>
  <c r="G24" i="16"/>
  <c r="G69" i="16"/>
  <c r="S24" i="16"/>
  <c r="S69" i="16"/>
  <c r="F24" i="16"/>
  <c r="F69" i="16"/>
  <c r="R24" i="16"/>
  <c r="R69" i="16"/>
  <c r="E24" i="16"/>
  <c r="E69" i="16"/>
  <c r="Q69" i="16"/>
  <c r="D24" i="16"/>
  <c r="D69" i="16"/>
  <c r="P69" i="16"/>
  <c r="BH9" i="16"/>
  <c r="BH68" i="16"/>
  <c r="BL68" i="16"/>
  <c r="BG9" i="16"/>
  <c r="BG68" i="16"/>
  <c r="BK68" i="16"/>
  <c r="AU9" i="16"/>
  <c r="AU68" i="16"/>
  <c r="BE9" i="16"/>
  <c r="BE68" i="16"/>
  <c r="AT9" i="16"/>
  <c r="AT68" i="16"/>
  <c r="BD9" i="16"/>
  <c r="BD68" i="16"/>
  <c r="AS9" i="16"/>
  <c r="AS68" i="16"/>
  <c r="BC68" i="16"/>
  <c r="AR9" i="16"/>
  <c r="AR68" i="16"/>
  <c r="BB68" i="16"/>
  <c r="AL9" i="16"/>
  <c r="AL68" i="16"/>
  <c r="AP68" i="16"/>
  <c r="AK9" i="16"/>
  <c r="AK68" i="16"/>
  <c r="AO68" i="16"/>
  <c r="Z9" i="16"/>
  <c r="Z68" i="16"/>
  <c r="AJ9" i="16"/>
  <c r="AJ68" i="16"/>
  <c r="Y9" i="16"/>
  <c r="Y68" i="16"/>
  <c r="AI9" i="16"/>
  <c r="AI68" i="16"/>
  <c r="X9" i="16"/>
  <c r="X68" i="16"/>
  <c r="AH9" i="16"/>
  <c r="AH68" i="16"/>
  <c r="W9" i="16"/>
  <c r="W68" i="16"/>
  <c r="AG9" i="16"/>
  <c r="AG68" i="16"/>
  <c r="V9" i="16"/>
  <c r="V68" i="16"/>
  <c r="AF9" i="16"/>
  <c r="AF68" i="16"/>
  <c r="H9" i="16"/>
  <c r="H68" i="16"/>
  <c r="T9" i="16"/>
  <c r="T68" i="16"/>
  <c r="G9" i="16"/>
  <c r="G68" i="16"/>
  <c r="S9" i="16"/>
  <c r="S68" i="16"/>
  <c r="F9" i="16"/>
  <c r="F68" i="16"/>
  <c r="R9" i="16"/>
  <c r="R68" i="16"/>
  <c r="E9" i="16"/>
  <c r="E68" i="16"/>
  <c r="Q68" i="16"/>
  <c r="D9" i="16"/>
  <c r="D68" i="16"/>
  <c r="P68" i="16"/>
  <c r="BH5" i="16"/>
  <c r="BH67" i="16"/>
  <c r="BL67" i="16"/>
  <c r="BG5" i="16"/>
  <c r="BG67" i="16"/>
  <c r="BK67" i="16"/>
  <c r="AU5" i="16"/>
  <c r="AU67" i="16"/>
  <c r="BE5" i="16"/>
  <c r="BE67" i="16"/>
  <c r="AT5" i="16"/>
  <c r="AT67" i="16"/>
  <c r="BD5" i="16"/>
  <c r="BD67" i="16"/>
  <c r="AS5" i="16"/>
  <c r="AS67" i="16"/>
  <c r="BC67" i="16"/>
  <c r="AR5" i="16"/>
  <c r="AR67" i="16"/>
  <c r="BB67" i="16"/>
  <c r="AL5" i="16"/>
  <c r="AL67" i="16"/>
  <c r="AP67" i="16"/>
  <c r="AK5" i="16"/>
  <c r="AK67" i="16"/>
  <c r="AO67" i="16"/>
  <c r="Z5" i="16"/>
  <c r="Z67" i="16"/>
  <c r="AJ67" i="16"/>
  <c r="Y5" i="16"/>
  <c r="Y67" i="16"/>
  <c r="AI67" i="16"/>
  <c r="X5" i="16"/>
  <c r="X67" i="16"/>
  <c r="AH67" i="16"/>
  <c r="W5" i="16"/>
  <c r="W67" i="16"/>
  <c r="AG67" i="16"/>
  <c r="V5" i="16"/>
  <c r="V67" i="16"/>
  <c r="AF67" i="16"/>
  <c r="H5" i="16"/>
  <c r="H67" i="16"/>
  <c r="T5" i="16"/>
  <c r="T67" i="16"/>
  <c r="G5" i="16"/>
  <c r="G67" i="16"/>
  <c r="S5" i="16"/>
  <c r="S67" i="16"/>
  <c r="F5" i="16"/>
  <c r="F67" i="16"/>
  <c r="R67" i="16"/>
  <c r="E5" i="16"/>
  <c r="E67" i="16"/>
  <c r="Q67" i="16"/>
  <c r="D5" i="16"/>
  <c r="D67" i="16"/>
  <c r="P67" i="16"/>
  <c r="BH17" i="16"/>
  <c r="BH66" i="16"/>
  <c r="BL66" i="16"/>
  <c r="BG17" i="16"/>
  <c r="BG66" i="16"/>
  <c r="BK66" i="16"/>
  <c r="AU17" i="16"/>
  <c r="AU66" i="16"/>
  <c r="BE17" i="16"/>
  <c r="BE66" i="16"/>
  <c r="AT17" i="16"/>
  <c r="AT66" i="16"/>
  <c r="BD17" i="16"/>
  <c r="BD66" i="16"/>
  <c r="AS17" i="16"/>
  <c r="AS66" i="16"/>
  <c r="BC66" i="16"/>
  <c r="AR17" i="16"/>
  <c r="AR66" i="16"/>
  <c r="BB66" i="16"/>
  <c r="AL17" i="16"/>
  <c r="AL66" i="16"/>
  <c r="AP66" i="16"/>
  <c r="AK17" i="16"/>
  <c r="AK66" i="16"/>
  <c r="AO66" i="16"/>
  <c r="Z17" i="16"/>
  <c r="Z66" i="16"/>
  <c r="AJ17" i="16"/>
  <c r="AJ66" i="16"/>
  <c r="Y17" i="16"/>
  <c r="Y66" i="16"/>
  <c r="AI17" i="16"/>
  <c r="AI66" i="16"/>
  <c r="X17" i="16"/>
  <c r="X66" i="16"/>
  <c r="AH17" i="16"/>
  <c r="AH66" i="16"/>
  <c r="W17" i="16"/>
  <c r="W66" i="16"/>
  <c r="AG17" i="16"/>
  <c r="AG66" i="16"/>
  <c r="V17" i="16"/>
  <c r="V66" i="16"/>
  <c r="AF17" i="16"/>
  <c r="AF66" i="16"/>
  <c r="H17" i="16"/>
  <c r="H66" i="16"/>
  <c r="T17" i="16"/>
  <c r="T66" i="16"/>
  <c r="G17" i="16"/>
  <c r="G66" i="16"/>
  <c r="S17" i="16"/>
  <c r="S66" i="16"/>
  <c r="F17" i="16"/>
  <c r="F66" i="16"/>
  <c r="R17" i="16"/>
  <c r="R66" i="16"/>
  <c r="E17" i="16"/>
  <c r="E66" i="16"/>
  <c r="Q66" i="16"/>
  <c r="D17" i="16"/>
  <c r="D66" i="16"/>
  <c r="P66" i="16"/>
  <c r="BH21" i="16"/>
  <c r="BH65" i="16"/>
  <c r="BL65" i="16"/>
  <c r="BG21" i="16"/>
  <c r="BG65" i="16"/>
  <c r="BK65" i="16"/>
  <c r="AU21" i="16"/>
  <c r="AU65" i="16"/>
  <c r="BE21" i="16"/>
  <c r="BE65" i="16"/>
  <c r="AT21" i="16"/>
  <c r="AT65" i="16"/>
  <c r="BD21" i="16"/>
  <c r="BD65" i="16"/>
  <c r="AS21" i="16"/>
  <c r="AS65" i="16"/>
  <c r="BC65" i="16"/>
  <c r="AR21" i="16"/>
  <c r="AR65" i="16"/>
  <c r="BB65" i="16"/>
  <c r="AL21" i="16"/>
  <c r="AL65" i="16"/>
  <c r="AP65" i="16"/>
  <c r="AK21" i="16"/>
  <c r="AK65" i="16"/>
  <c r="AO65" i="16"/>
  <c r="Z21" i="16"/>
  <c r="Z65" i="16"/>
  <c r="AJ65" i="16"/>
  <c r="Y21" i="16"/>
  <c r="Y65" i="16"/>
  <c r="AI65" i="16"/>
  <c r="X21" i="16"/>
  <c r="X65" i="16"/>
  <c r="AH65" i="16"/>
  <c r="W21" i="16"/>
  <c r="W65" i="16"/>
  <c r="AG65" i="16"/>
  <c r="V21" i="16"/>
  <c r="V65" i="16"/>
  <c r="AF65" i="16"/>
  <c r="H21" i="16"/>
  <c r="H65" i="16"/>
  <c r="T21" i="16"/>
  <c r="T65" i="16"/>
  <c r="G21" i="16"/>
  <c r="G65" i="16"/>
  <c r="S21" i="16"/>
  <c r="S65" i="16"/>
  <c r="F21" i="16"/>
  <c r="F65" i="16"/>
  <c r="R65" i="16"/>
  <c r="E21" i="16"/>
  <c r="E65" i="16"/>
  <c r="Q65" i="16"/>
  <c r="D21" i="16"/>
  <c r="D65" i="16"/>
  <c r="P65" i="16"/>
  <c r="BH25" i="16"/>
  <c r="BH64" i="16"/>
  <c r="BL64" i="16"/>
  <c r="BG25" i="16"/>
  <c r="BG64" i="16"/>
  <c r="BK64" i="16"/>
  <c r="AU25" i="16"/>
  <c r="AU64" i="16"/>
  <c r="BE25" i="16"/>
  <c r="BE64" i="16"/>
  <c r="AT25" i="16"/>
  <c r="AT64" i="16"/>
  <c r="BD25" i="16"/>
  <c r="BD64" i="16"/>
  <c r="AS25" i="16"/>
  <c r="AS64" i="16"/>
  <c r="BC64" i="16"/>
  <c r="AR25" i="16"/>
  <c r="AR64" i="16"/>
  <c r="BB64" i="16"/>
  <c r="AL25" i="16"/>
  <c r="AL64" i="16"/>
  <c r="AP64" i="16"/>
  <c r="AK25" i="16"/>
  <c r="AK64" i="16"/>
  <c r="AO64" i="16"/>
  <c r="Z25" i="16"/>
  <c r="Z64" i="16"/>
  <c r="AJ25" i="16"/>
  <c r="AJ64" i="16"/>
  <c r="Y25" i="16"/>
  <c r="Y64" i="16"/>
  <c r="AI25" i="16"/>
  <c r="AI64" i="16"/>
  <c r="X25" i="16"/>
  <c r="X64" i="16"/>
  <c r="AH25" i="16"/>
  <c r="AH64" i="16"/>
  <c r="W25" i="16"/>
  <c r="W64" i="16"/>
  <c r="AG25" i="16"/>
  <c r="AG64" i="16"/>
  <c r="V25" i="16"/>
  <c r="V64" i="16"/>
  <c r="AF25" i="16"/>
  <c r="AF64" i="16"/>
  <c r="H25" i="16"/>
  <c r="H64" i="16"/>
  <c r="T25" i="16"/>
  <c r="T64" i="16"/>
  <c r="G25" i="16"/>
  <c r="G64" i="16"/>
  <c r="S25" i="16"/>
  <c r="S64" i="16"/>
  <c r="F25" i="16"/>
  <c r="F64" i="16"/>
  <c r="R25" i="16"/>
  <c r="R64" i="16"/>
  <c r="E25" i="16"/>
  <c r="E64" i="16"/>
  <c r="Q64" i="16"/>
  <c r="D25" i="16"/>
  <c r="D64" i="16"/>
  <c r="P64" i="16"/>
  <c r="BH63" i="16"/>
  <c r="BJ63" i="16"/>
  <c r="BG63" i="16"/>
  <c r="BI63" i="16"/>
  <c r="AV25" i="16"/>
  <c r="AW25" i="16"/>
  <c r="AX25" i="16"/>
  <c r="AY25" i="16"/>
  <c r="AZ25" i="16"/>
  <c r="AZ64" i="16"/>
  <c r="AV21" i="16"/>
  <c r="AW21" i="16"/>
  <c r="AX21" i="16"/>
  <c r="AY21" i="16"/>
  <c r="AZ21" i="16"/>
  <c r="AZ65" i="16"/>
  <c r="AV17" i="16"/>
  <c r="AW17" i="16"/>
  <c r="AX17" i="16"/>
  <c r="AY17" i="16"/>
  <c r="AZ17" i="16"/>
  <c r="AZ66" i="16"/>
  <c r="AV5" i="16"/>
  <c r="AW5" i="16"/>
  <c r="AX5" i="16"/>
  <c r="AY5" i="16"/>
  <c r="AZ5" i="16"/>
  <c r="AZ67" i="16"/>
  <c r="AV9" i="16"/>
  <c r="AW9" i="16"/>
  <c r="AX9" i="16"/>
  <c r="AY9" i="16"/>
  <c r="AZ9" i="16"/>
  <c r="AZ68" i="16"/>
  <c r="AV24" i="16"/>
  <c r="AW24" i="16"/>
  <c r="AX24" i="16"/>
  <c r="AY24" i="16"/>
  <c r="AZ24" i="16"/>
  <c r="AZ69" i="16"/>
  <c r="AV20" i="16"/>
  <c r="AW20" i="16"/>
  <c r="AX20" i="16"/>
  <c r="AY20" i="16"/>
  <c r="AZ20" i="16"/>
  <c r="AZ70" i="16"/>
  <c r="AV29" i="16"/>
  <c r="AW29" i="16"/>
  <c r="AX29" i="16"/>
  <c r="AY29" i="16"/>
  <c r="AZ29" i="16"/>
  <c r="AZ71" i="16"/>
  <c r="AV16" i="16"/>
  <c r="AW16" i="16"/>
  <c r="AX16" i="16"/>
  <c r="AY16" i="16"/>
  <c r="AZ16" i="16"/>
  <c r="AZ72" i="16"/>
  <c r="AV7" i="16"/>
  <c r="AW7" i="16"/>
  <c r="AX7" i="16"/>
  <c r="AY7" i="16"/>
  <c r="AZ7" i="16"/>
  <c r="AZ73" i="16"/>
  <c r="AV12" i="16"/>
  <c r="AW12" i="16"/>
  <c r="AX12" i="16"/>
  <c r="AY12" i="16"/>
  <c r="AZ12" i="16"/>
  <c r="AZ74" i="16"/>
  <c r="AV18" i="16"/>
  <c r="AW18" i="16"/>
  <c r="AX18" i="16"/>
  <c r="AY18" i="16"/>
  <c r="AZ18" i="16"/>
  <c r="AZ75" i="16"/>
  <c r="AV27" i="16"/>
  <c r="AW27" i="16"/>
  <c r="AX27" i="16"/>
  <c r="AY27" i="16"/>
  <c r="AZ27" i="16"/>
  <c r="AZ76" i="16"/>
  <c r="AZ63" i="16"/>
  <c r="BA63" i="16"/>
  <c r="AM25" i="16"/>
  <c r="AM64" i="16"/>
  <c r="AM21" i="16"/>
  <c r="AM65" i="16"/>
  <c r="AM17" i="16"/>
  <c r="AM66" i="16"/>
  <c r="AM5" i="16"/>
  <c r="AM67" i="16"/>
  <c r="AM9" i="16"/>
  <c r="AM68" i="16"/>
  <c r="AM24" i="16"/>
  <c r="AM69" i="16"/>
  <c r="AM20" i="16"/>
  <c r="AM70" i="16"/>
  <c r="AM29" i="16"/>
  <c r="AM71" i="16"/>
  <c r="AM16" i="16"/>
  <c r="AM72" i="16"/>
  <c r="AM7" i="16"/>
  <c r="AM73" i="16"/>
  <c r="AM12" i="16"/>
  <c r="AM74" i="16"/>
  <c r="AM18" i="16"/>
  <c r="AM75" i="16"/>
  <c r="AM27" i="16"/>
  <c r="AM76" i="16"/>
  <c r="AM63" i="16"/>
  <c r="AN63" i="16"/>
  <c r="Z63" i="16"/>
  <c r="AE63" i="16"/>
  <c r="Y63" i="16"/>
  <c r="AD63" i="16"/>
  <c r="X63" i="16"/>
  <c r="AC63" i="16"/>
  <c r="W63" i="16"/>
  <c r="AB63" i="16"/>
  <c r="V63" i="16"/>
  <c r="AA63" i="16"/>
  <c r="I25" i="16"/>
  <c r="J25" i="16"/>
  <c r="K25" i="16"/>
  <c r="L25" i="16"/>
  <c r="M25" i="16"/>
  <c r="N25" i="16"/>
  <c r="N64" i="16"/>
  <c r="I21" i="16"/>
  <c r="J21" i="16"/>
  <c r="K21" i="16"/>
  <c r="L21" i="16"/>
  <c r="M21" i="16"/>
  <c r="N21" i="16"/>
  <c r="N65" i="16"/>
  <c r="I17" i="16"/>
  <c r="J17" i="16"/>
  <c r="K17" i="16"/>
  <c r="L17" i="16"/>
  <c r="M17" i="16"/>
  <c r="N17" i="16"/>
  <c r="N66" i="16"/>
  <c r="I5" i="16"/>
  <c r="J5" i="16"/>
  <c r="K5" i="16"/>
  <c r="L5" i="16"/>
  <c r="M5" i="16"/>
  <c r="N5" i="16"/>
  <c r="N67" i="16"/>
  <c r="I9" i="16"/>
  <c r="J9" i="16"/>
  <c r="K9" i="16"/>
  <c r="L9" i="16"/>
  <c r="M9" i="16"/>
  <c r="N9" i="16"/>
  <c r="N68" i="16"/>
  <c r="I24" i="16"/>
  <c r="J24" i="16"/>
  <c r="K24" i="16"/>
  <c r="L24" i="16"/>
  <c r="M24" i="16"/>
  <c r="N24" i="16"/>
  <c r="N69" i="16"/>
  <c r="I20" i="16"/>
  <c r="J20" i="16"/>
  <c r="K20" i="16"/>
  <c r="L20" i="16"/>
  <c r="M20" i="16"/>
  <c r="N20" i="16"/>
  <c r="N70" i="16"/>
  <c r="I29" i="16"/>
  <c r="J29" i="16"/>
  <c r="K29" i="16"/>
  <c r="L29" i="16"/>
  <c r="M29" i="16"/>
  <c r="N29" i="16"/>
  <c r="N71" i="16"/>
  <c r="I16" i="16"/>
  <c r="J16" i="16"/>
  <c r="K16" i="16"/>
  <c r="L16" i="16"/>
  <c r="M16" i="16"/>
  <c r="N16" i="16"/>
  <c r="N72" i="16"/>
  <c r="I7" i="16"/>
  <c r="J7" i="16"/>
  <c r="K7" i="16"/>
  <c r="L7" i="16"/>
  <c r="M7" i="16"/>
  <c r="N7" i="16"/>
  <c r="N73" i="16"/>
  <c r="I12" i="16"/>
  <c r="J12" i="16"/>
  <c r="K12" i="16"/>
  <c r="L12" i="16"/>
  <c r="M12" i="16"/>
  <c r="N12" i="16"/>
  <c r="N74" i="16"/>
  <c r="I18" i="16"/>
  <c r="J18" i="16"/>
  <c r="K18" i="16"/>
  <c r="L18" i="16"/>
  <c r="M18" i="16"/>
  <c r="N18" i="16"/>
  <c r="N75" i="16"/>
  <c r="I27" i="16"/>
  <c r="J27" i="16"/>
  <c r="K27" i="16"/>
  <c r="L27" i="16"/>
  <c r="M27" i="16"/>
  <c r="N27" i="16"/>
  <c r="N76" i="16"/>
  <c r="N63" i="16"/>
  <c r="O63" i="16"/>
  <c r="BH62" i="16"/>
  <c r="BL62" i="16"/>
  <c r="BG62" i="16"/>
  <c r="BK62" i="16"/>
  <c r="AU62" i="16"/>
  <c r="BE62" i="16"/>
  <c r="AT62" i="16"/>
  <c r="BD62" i="16"/>
  <c r="AS62" i="16"/>
  <c r="BC62" i="16"/>
  <c r="AR62" i="16"/>
  <c r="BB62" i="16"/>
  <c r="AL62" i="16"/>
  <c r="AP62" i="16"/>
  <c r="AK62" i="16"/>
  <c r="AO62" i="16"/>
  <c r="Z62" i="16"/>
  <c r="AJ62" i="16"/>
  <c r="Y62" i="16"/>
  <c r="AI62" i="16"/>
  <c r="X62" i="16"/>
  <c r="AH62" i="16"/>
  <c r="W62" i="16"/>
  <c r="AG62" i="16"/>
  <c r="V62" i="16"/>
  <c r="AF62" i="16"/>
  <c r="H62" i="16"/>
  <c r="T62" i="16"/>
  <c r="G62" i="16"/>
  <c r="S62" i="16"/>
  <c r="F62" i="16"/>
  <c r="R62" i="16"/>
  <c r="E62" i="16"/>
  <c r="Q62" i="16"/>
  <c r="D62" i="16"/>
  <c r="P62" i="16"/>
  <c r="BH61" i="16"/>
  <c r="BL61" i="16"/>
  <c r="BG61" i="16"/>
  <c r="BK61" i="16"/>
  <c r="AU61" i="16"/>
  <c r="BE61" i="16"/>
  <c r="AT61" i="16"/>
  <c r="BD61" i="16"/>
  <c r="AS61" i="16"/>
  <c r="BC61" i="16"/>
  <c r="AR61" i="16"/>
  <c r="BB61" i="16"/>
  <c r="AL61" i="16"/>
  <c r="AP61" i="16"/>
  <c r="AK61" i="16"/>
  <c r="AO61" i="16"/>
  <c r="Z61" i="16"/>
  <c r="AJ61" i="16"/>
  <c r="Y61" i="16"/>
  <c r="AI61" i="16"/>
  <c r="X61" i="16"/>
  <c r="AH61" i="16"/>
  <c r="W61" i="16"/>
  <c r="AG61" i="16"/>
  <c r="V61" i="16"/>
  <c r="AF61" i="16"/>
  <c r="H61" i="16"/>
  <c r="T61" i="16"/>
  <c r="G61" i="16"/>
  <c r="S61" i="16"/>
  <c r="F61" i="16"/>
  <c r="R61" i="16"/>
  <c r="E61" i="16"/>
  <c r="Q61" i="16"/>
  <c r="D61" i="16"/>
  <c r="P61" i="16"/>
  <c r="BH60" i="16"/>
  <c r="BL60" i="16"/>
  <c r="BG60" i="16"/>
  <c r="BK60" i="16"/>
  <c r="AU60" i="16"/>
  <c r="BE60" i="16"/>
  <c r="AT60" i="16"/>
  <c r="BD60" i="16"/>
  <c r="AS60" i="16"/>
  <c r="BC60" i="16"/>
  <c r="AR60" i="16"/>
  <c r="BB60" i="16"/>
  <c r="AL60" i="16"/>
  <c r="AP60" i="16"/>
  <c r="AK60" i="16"/>
  <c r="AO60" i="16"/>
  <c r="Z60" i="16"/>
  <c r="AJ60" i="16"/>
  <c r="Y60" i="16"/>
  <c r="AI60" i="16"/>
  <c r="X60" i="16"/>
  <c r="AH60" i="16"/>
  <c r="W60" i="16"/>
  <c r="AG60" i="16"/>
  <c r="V60" i="16"/>
  <c r="AF60" i="16"/>
  <c r="H60" i="16"/>
  <c r="T60" i="16"/>
  <c r="G60" i="16"/>
  <c r="S60" i="16"/>
  <c r="F60" i="16"/>
  <c r="R60" i="16"/>
  <c r="E60" i="16"/>
  <c r="Q60" i="16"/>
  <c r="D60" i="16"/>
  <c r="P60" i="16"/>
  <c r="BH59" i="16"/>
  <c r="BL59" i="16"/>
  <c r="BG59" i="16"/>
  <c r="BK59" i="16"/>
  <c r="AU59" i="16"/>
  <c r="BE59" i="16"/>
  <c r="AT59" i="16"/>
  <c r="BD59" i="16"/>
  <c r="AS59" i="16"/>
  <c r="BC59" i="16"/>
  <c r="AR59" i="16"/>
  <c r="BB59" i="16"/>
  <c r="AL59" i="16"/>
  <c r="AP59" i="16"/>
  <c r="AK59" i="16"/>
  <c r="AO59" i="16"/>
  <c r="Z59" i="16"/>
  <c r="AJ59" i="16"/>
  <c r="Y59" i="16"/>
  <c r="AI59" i="16"/>
  <c r="X59" i="16"/>
  <c r="AH59" i="16"/>
  <c r="W59" i="16"/>
  <c r="AG59" i="16"/>
  <c r="V59" i="16"/>
  <c r="AF59" i="16"/>
  <c r="H59" i="16"/>
  <c r="T59" i="16"/>
  <c r="G59" i="16"/>
  <c r="S59" i="16"/>
  <c r="F59" i="16"/>
  <c r="R59" i="16"/>
  <c r="E59" i="16"/>
  <c r="Q59" i="16"/>
  <c r="D59" i="16"/>
  <c r="P59" i="16"/>
  <c r="BH58" i="16"/>
  <c r="BL58" i="16"/>
  <c r="BG58" i="16"/>
  <c r="BK58" i="16"/>
  <c r="AU58" i="16"/>
  <c r="BE58" i="16"/>
  <c r="AT58" i="16"/>
  <c r="BD58" i="16"/>
  <c r="AS58" i="16"/>
  <c r="BC58" i="16"/>
  <c r="AR58" i="16"/>
  <c r="BB58" i="16"/>
  <c r="AL58" i="16"/>
  <c r="AP58" i="16"/>
  <c r="AK58" i="16"/>
  <c r="AO58" i="16"/>
  <c r="Z58" i="16"/>
  <c r="AJ58" i="16"/>
  <c r="Y58" i="16"/>
  <c r="AI58" i="16"/>
  <c r="X58" i="16"/>
  <c r="AH58" i="16"/>
  <c r="W58" i="16"/>
  <c r="AG58" i="16"/>
  <c r="V58" i="16"/>
  <c r="AF58" i="16"/>
  <c r="H58" i="16"/>
  <c r="T58" i="16"/>
  <c r="G58" i="16"/>
  <c r="S58" i="16"/>
  <c r="F58" i="16"/>
  <c r="R58" i="16"/>
  <c r="E58" i="16"/>
  <c r="Q58" i="16"/>
  <c r="D58" i="16"/>
  <c r="P58" i="16"/>
  <c r="BH57" i="16"/>
  <c r="BL57" i="16"/>
  <c r="BG57" i="16"/>
  <c r="BK57" i="16"/>
  <c r="AU57" i="16"/>
  <c r="BE57" i="16"/>
  <c r="AT57" i="16"/>
  <c r="BD57" i="16"/>
  <c r="AS57" i="16"/>
  <c r="BC57" i="16"/>
  <c r="AR57" i="16"/>
  <c r="BB57" i="16"/>
  <c r="AL57" i="16"/>
  <c r="AP57" i="16"/>
  <c r="AK57" i="16"/>
  <c r="AO57" i="16"/>
  <c r="Z57" i="16"/>
  <c r="AJ57" i="16"/>
  <c r="Y57" i="16"/>
  <c r="AI57" i="16"/>
  <c r="X57" i="16"/>
  <c r="AH57" i="16"/>
  <c r="W57" i="16"/>
  <c r="AG57" i="16"/>
  <c r="V57" i="16"/>
  <c r="AF57" i="16"/>
  <c r="H57" i="16"/>
  <c r="T57" i="16"/>
  <c r="G57" i="16"/>
  <c r="S57" i="16"/>
  <c r="F57" i="16"/>
  <c r="R57" i="16"/>
  <c r="E57" i="16"/>
  <c r="Q57" i="16"/>
  <c r="D57" i="16"/>
  <c r="P57" i="16"/>
  <c r="BH56" i="16"/>
  <c r="BL56" i="16"/>
  <c r="BG56" i="16"/>
  <c r="BK56" i="16"/>
  <c r="AU56" i="16"/>
  <c r="BE56" i="16"/>
  <c r="AT56" i="16"/>
  <c r="BD56" i="16"/>
  <c r="AS56" i="16"/>
  <c r="BC56" i="16"/>
  <c r="AR56" i="16"/>
  <c r="BB56" i="16"/>
  <c r="AL56" i="16"/>
  <c r="AP56" i="16"/>
  <c r="AK56" i="16"/>
  <c r="AO56" i="16"/>
  <c r="Z56" i="16"/>
  <c r="AJ56" i="16"/>
  <c r="Y56" i="16"/>
  <c r="AI56" i="16"/>
  <c r="X56" i="16"/>
  <c r="AH56" i="16"/>
  <c r="W56" i="16"/>
  <c r="AG56" i="16"/>
  <c r="V56" i="16"/>
  <c r="AF56" i="16"/>
  <c r="H56" i="16"/>
  <c r="T56" i="16"/>
  <c r="G56" i="16"/>
  <c r="S56" i="16"/>
  <c r="F56" i="16"/>
  <c r="R56" i="16"/>
  <c r="E56" i="16"/>
  <c r="Q56" i="16"/>
  <c r="D56" i="16"/>
  <c r="P56" i="16"/>
  <c r="BH55" i="16"/>
  <c r="BL55" i="16"/>
  <c r="BG55" i="16"/>
  <c r="BK55" i="16"/>
  <c r="AU55" i="16"/>
  <c r="BE55" i="16"/>
  <c r="AT55" i="16"/>
  <c r="BD55" i="16"/>
  <c r="AS55" i="16"/>
  <c r="BC55" i="16"/>
  <c r="AR55" i="16"/>
  <c r="BB55" i="16"/>
  <c r="AL55" i="16"/>
  <c r="AP55" i="16"/>
  <c r="AK55" i="16"/>
  <c r="AO55" i="16"/>
  <c r="Z55" i="16"/>
  <c r="AJ55" i="16"/>
  <c r="Y55" i="16"/>
  <c r="AI55" i="16"/>
  <c r="X55" i="16"/>
  <c r="AH55" i="16"/>
  <c r="W55" i="16"/>
  <c r="AG55" i="16"/>
  <c r="V55" i="16"/>
  <c r="AF55" i="16"/>
  <c r="H55" i="16"/>
  <c r="T55" i="16"/>
  <c r="G55" i="16"/>
  <c r="S55" i="16"/>
  <c r="F55" i="16"/>
  <c r="R55" i="16"/>
  <c r="E55" i="16"/>
  <c r="Q55" i="16"/>
  <c r="D55" i="16"/>
  <c r="P55" i="16"/>
  <c r="BH54" i="16"/>
  <c r="BL54" i="16"/>
  <c r="BG54" i="16"/>
  <c r="BK54" i="16"/>
  <c r="AU54" i="16"/>
  <c r="BE54" i="16"/>
  <c r="AT54" i="16"/>
  <c r="BD54" i="16"/>
  <c r="AS54" i="16"/>
  <c r="BC54" i="16"/>
  <c r="AR54" i="16"/>
  <c r="BB54" i="16"/>
  <c r="AL54" i="16"/>
  <c r="AP54" i="16"/>
  <c r="AK54" i="16"/>
  <c r="AO54" i="16"/>
  <c r="Z54" i="16"/>
  <c r="AJ54" i="16"/>
  <c r="Y54" i="16"/>
  <c r="AI54" i="16"/>
  <c r="X54" i="16"/>
  <c r="AH54" i="16"/>
  <c r="W54" i="16"/>
  <c r="AG54" i="16"/>
  <c r="V54" i="16"/>
  <c r="AF54" i="16"/>
  <c r="H54" i="16"/>
  <c r="T54" i="16"/>
  <c r="G54" i="16"/>
  <c r="S54" i="16"/>
  <c r="F54" i="16"/>
  <c r="R54" i="16"/>
  <c r="E54" i="16"/>
  <c r="Q54" i="16"/>
  <c r="D54" i="16"/>
  <c r="P54" i="16"/>
  <c r="BH53" i="16"/>
  <c r="BL53" i="16"/>
  <c r="BG53" i="16"/>
  <c r="BK53" i="16"/>
  <c r="AU53" i="16"/>
  <c r="BE53" i="16"/>
  <c r="AT53" i="16"/>
  <c r="BD53" i="16"/>
  <c r="AS53" i="16"/>
  <c r="BC53" i="16"/>
  <c r="AR53" i="16"/>
  <c r="BB53" i="16"/>
  <c r="AL53" i="16"/>
  <c r="AP53" i="16"/>
  <c r="AK53" i="16"/>
  <c r="AO53" i="16"/>
  <c r="Z53" i="16"/>
  <c r="AJ53" i="16"/>
  <c r="Y53" i="16"/>
  <c r="AI53" i="16"/>
  <c r="X53" i="16"/>
  <c r="AH53" i="16"/>
  <c r="W53" i="16"/>
  <c r="AG53" i="16"/>
  <c r="V53" i="16"/>
  <c r="AF53" i="16"/>
  <c r="H53" i="16"/>
  <c r="T53" i="16"/>
  <c r="G53" i="16"/>
  <c r="S53" i="16"/>
  <c r="F53" i="16"/>
  <c r="R53" i="16"/>
  <c r="E53" i="16"/>
  <c r="Q53" i="16"/>
  <c r="D53" i="16"/>
  <c r="P53" i="16"/>
  <c r="BH52" i="16"/>
  <c r="BL52" i="16"/>
  <c r="BG52" i="16"/>
  <c r="BK52" i="16"/>
  <c r="AU52" i="16"/>
  <c r="BE52" i="16"/>
  <c r="AT52" i="16"/>
  <c r="BD52" i="16"/>
  <c r="AS52" i="16"/>
  <c r="BC52" i="16"/>
  <c r="AR52" i="16"/>
  <c r="BB52" i="16"/>
  <c r="AL52" i="16"/>
  <c r="AP52" i="16"/>
  <c r="AK52" i="16"/>
  <c r="AO52" i="16"/>
  <c r="Z52" i="16"/>
  <c r="AJ52" i="16"/>
  <c r="Y52" i="16"/>
  <c r="AI52" i="16"/>
  <c r="X52" i="16"/>
  <c r="AH52" i="16"/>
  <c r="W52" i="16"/>
  <c r="AG52" i="16"/>
  <c r="V52" i="16"/>
  <c r="AF52" i="16"/>
  <c r="H52" i="16"/>
  <c r="T52" i="16"/>
  <c r="G52" i="16"/>
  <c r="S52" i="16"/>
  <c r="F52" i="16"/>
  <c r="R52" i="16"/>
  <c r="E52" i="16"/>
  <c r="Q52" i="16"/>
  <c r="D52" i="16"/>
  <c r="P52" i="16"/>
  <c r="BH51" i="16"/>
  <c r="BL51" i="16"/>
  <c r="BG51" i="16"/>
  <c r="BK51" i="16"/>
  <c r="AU51" i="16"/>
  <c r="BE51" i="16"/>
  <c r="AT51" i="16"/>
  <c r="BD51" i="16"/>
  <c r="AS51" i="16"/>
  <c r="BC51" i="16"/>
  <c r="AR51" i="16"/>
  <c r="BB51" i="16"/>
  <c r="AL51" i="16"/>
  <c r="AP51" i="16"/>
  <c r="AK51" i="16"/>
  <c r="AO51" i="16"/>
  <c r="Z51" i="16"/>
  <c r="AJ51" i="16"/>
  <c r="Y51" i="16"/>
  <c r="AI51" i="16"/>
  <c r="X51" i="16"/>
  <c r="AH51" i="16"/>
  <c r="W51" i="16"/>
  <c r="AG51" i="16"/>
  <c r="V51" i="16"/>
  <c r="AF51" i="16"/>
  <c r="H51" i="16"/>
  <c r="T51" i="16"/>
  <c r="G51" i="16"/>
  <c r="S51" i="16"/>
  <c r="F51" i="16"/>
  <c r="R51" i="16"/>
  <c r="E51" i="16"/>
  <c r="Q51" i="16"/>
  <c r="D51" i="16"/>
  <c r="P51" i="16"/>
  <c r="BH50" i="16"/>
  <c r="BL50" i="16"/>
  <c r="BG50" i="16"/>
  <c r="BK50" i="16"/>
  <c r="AU50" i="16"/>
  <c r="BE50" i="16"/>
  <c r="AT50" i="16"/>
  <c r="BD50" i="16"/>
  <c r="AS50" i="16"/>
  <c r="BC50" i="16"/>
  <c r="AR50" i="16"/>
  <c r="BB50" i="16"/>
  <c r="AL50" i="16"/>
  <c r="AP50" i="16"/>
  <c r="AK50" i="16"/>
  <c r="AO50" i="16"/>
  <c r="Z50" i="16"/>
  <c r="AJ50" i="16"/>
  <c r="Y50" i="16"/>
  <c r="AI50" i="16"/>
  <c r="X50" i="16"/>
  <c r="AH50" i="16"/>
  <c r="W50" i="16"/>
  <c r="AG50" i="16"/>
  <c r="V50" i="16"/>
  <c r="AF50" i="16"/>
  <c r="H50" i="16"/>
  <c r="T50" i="16"/>
  <c r="G50" i="16"/>
  <c r="S50" i="16"/>
  <c r="F50" i="16"/>
  <c r="R50" i="16"/>
  <c r="E50" i="16"/>
  <c r="Q50" i="16"/>
  <c r="D50" i="16"/>
  <c r="P50" i="16"/>
  <c r="BH23" i="16"/>
  <c r="BH49" i="16"/>
  <c r="BL49" i="16"/>
  <c r="BG23" i="16"/>
  <c r="BG49" i="16"/>
  <c r="BK49" i="16"/>
  <c r="AU23" i="16"/>
  <c r="AU49" i="16"/>
  <c r="BE23" i="16"/>
  <c r="BE49" i="16"/>
  <c r="AT23" i="16"/>
  <c r="AT49" i="16"/>
  <c r="BD23" i="16"/>
  <c r="BD49" i="16"/>
  <c r="AS23" i="16"/>
  <c r="AS49" i="16"/>
  <c r="BC49" i="16"/>
  <c r="AR23" i="16"/>
  <c r="AR49" i="16"/>
  <c r="BB49" i="16"/>
  <c r="AL23" i="16"/>
  <c r="AL49" i="16"/>
  <c r="AP49" i="16"/>
  <c r="AK23" i="16"/>
  <c r="AK49" i="16"/>
  <c r="AO49" i="16"/>
  <c r="Z23" i="16"/>
  <c r="Z49" i="16"/>
  <c r="AJ23" i="16"/>
  <c r="AJ49" i="16"/>
  <c r="Y23" i="16"/>
  <c r="Y49" i="16"/>
  <c r="AI23" i="16"/>
  <c r="AI49" i="16"/>
  <c r="X23" i="16"/>
  <c r="X49" i="16"/>
  <c r="AH23" i="16"/>
  <c r="AH49" i="16"/>
  <c r="W23" i="16"/>
  <c r="W49" i="16"/>
  <c r="AG23" i="16"/>
  <c r="AG49" i="16"/>
  <c r="V23" i="16"/>
  <c r="V49" i="16"/>
  <c r="AF23" i="16"/>
  <c r="AF49" i="16"/>
  <c r="H23" i="16"/>
  <c r="H49" i="16"/>
  <c r="T23" i="16"/>
  <c r="T49" i="16"/>
  <c r="G23" i="16"/>
  <c r="G49" i="16"/>
  <c r="S23" i="16"/>
  <c r="S49" i="16"/>
  <c r="F23" i="16"/>
  <c r="F49" i="16"/>
  <c r="R23" i="16"/>
  <c r="R49" i="16"/>
  <c r="E23" i="16"/>
  <c r="E49" i="16"/>
  <c r="Q49" i="16"/>
  <c r="D23" i="16"/>
  <c r="D49" i="16"/>
  <c r="P49" i="16"/>
  <c r="BH48" i="16"/>
  <c r="BJ48" i="16"/>
  <c r="BG48" i="16"/>
  <c r="BI48" i="16"/>
  <c r="AV23" i="16"/>
  <c r="AW23" i="16"/>
  <c r="AX23" i="16"/>
  <c r="AY23" i="16"/>
  <c r="AZ23" i="16"/>
  <c r="AZ49" i="16"/>
  <c r="AZ50" i="16"/>
  <c r="AZ51" i="16"/>
  <c r="AZ52" i="16"/>
  <c r="AZ53" i="16"/>
  <c r="AZ54" i="16"/>
  <c r="AZ55" i="16"/>
  <c r="AZ56" i="16"/>
  <c r="AZ57" i="16"/>
  <c r="AZ58" i="16"/>
  <c r="AZ59" i="16"/>
  <c r="AZ60" i="16"/>
  <c r="AZ61" i="16"/>
  <c r="AZ62" i="16"/>
  <c r="AZ48" i="16"/>
  <c r="BA48" i="16"/>
  <c r="AM23" i="16"/>
  <c r="AM49" i="16"/>
  <c r="AM50" i="16"/>
  <c r="AM51" i="16"/>
  <c r="AM52" i="16"/>
  <c r="AM53" i="16"/>
  <c r="AM54" i="16"/>
  <c r="AM55" i="16"/>
  <c r="AM56" i="16"/>
  <c r="AM57" i="16"/>
  <c r="AM58" i="16"/>
  <c r="AM59" i="16"/>
  <c r="AM60" i="16"/>
  <c r="AM61" i="16"/>
  <c r="AM62" i="16"/>
  <c r="AM48" i="16"/>
  <c r="AN48" i="16"/>
  <c r="Z48" i="16"/>
  <c r="AE48" i="16"/>
  <c r="Y48" i="16"/>
  <c r="AD48" i="16"/>
  <c r="X48" i="16"/>
  <c r="AC48" i="16"/>
  <c r="W48" i="16"/>
  <c r="AB48" i="16"/>
  <c r="V48" i="16"/>
  <c r="AA48" i="16"/>
  <c r="I23" i="16"/>
  <c r="J23" i="16"/>
  <c r="K23" i="16"/>
  <c r="L23" i="16"/>
  <c r="M23" i="16"/>
  <c r="N23" i="16"/>
  <c r="N49" i="16"/>
  <c r="N50" i="16"/>
  <c r="N51" i="16"/>
  <c r="N52" i="16"/>
  <c r="N53" i="16"/>
  <c r="N54" i="16"/>
  <c r="N55" i="16"/>
  <c r="N56" i="16"/>
  <c r="N57" i="16"/>
  <c r="N58" i="16"/>
  <c r="N59" i="16"/>
  <c r="N60" i="16"/>
  <c r="N61" i="16"/>
  <c r="N62" i="16"/>
  <c r="N48" i="16"/>
  <c r="O48" i="16"/>
  <c r="BH6" i="16"/>
  <c r="BH47" i="16"/>
  <c r="BL47" i="16"/>
  <c r="BG6" i="16"/>
  <c r="BG47" i="16"/>
  <c r="BK47" i="16"/>
  <c r="AU6" i="16"/>
  <c r="AU47" i="16"/>
  <c r="BE6" i="16"/>
  <c r="BE47" i="16"/>
  <c r="AT6" i="16"/>
  <c r="AT47" i="16"/>
  <c r="BD6" i="16"/>
  <c r="BD47" i="16"/>
  <c r="AS6" i="16"/>
  <c r="AS47" i="16"/>
  <c r="BC47" i="16"/>
  <c r="AR6" i="16"/>
  <c r="AR47" i="16"/>
  <c r="BB47" i="16"/>
  <c r="AL6" i="16"/>
  <c r="AL47" i="16"/>
  <c r="AP47" i="16"/>
  <c r="AK6" i="16"/>
  <c r="AK47" i="16"/>
  <c r="AO47" i="16"/>
  <c r="Z6" i="16"/>
  <c r="Z47" i="16"/>
  <c r="AJ6" i="16"/>
  <c r="AJ47" i="16"/>
  <c r="Y6" i="16"/>
  <c r="Y47" i="16"/>
  <c r="AI6" i="16"/>
  <c r="AI47" i="16"/>
  <c r="X6" i="16"/>
  <c r="X47" i="16"/>
  <c r="AH6" i="16"/>
  <c r="AH47" i="16"/>
  <c r="W6" i="16"/>
  <c r="W47" i="16"/>
  <c r="AG6" i="16"/>
  <c r="AG47" i="16"/>
  <c r="V6" i="16"/>
  <c r="V47" i="16"/>
  <c r="AF6" i="16"/>
  <c r="AF47" i="16"/>
  <c r="H6" i="16"/>
  <c r="H47" i="16"/>
  <c r="T6" i="16"/>
  <c r="T47" i="16"/>
  <c r="G6" i="16"/>
  <c r="G47" i="16"/>
  <c r="S6" i="16"/>
  <c r="S47" i="16"/>
  <c r="F6" i="16"/>
  <c r="F47" i="16"/>
  <c r="R6" i="16"/>
  <c r="R47" i="16"/>
  <c r="E6" i="16"/>
  <c r="E47" i="16"/>
  <c r="Q47" i="16"/>
  <c r="D6" i="16"/>
  <c r="D47" i="16"/>
  <c r="P47" i="16"/>
  <c r="BH10" i="16"/>
  <c r="BH46" i="16"/>
  <c r="BL46" i="16"/>
  <c r="BG10" i="16"/>
  <c r="BG46" i="16"/>
  <c r="BK46" i="16"/>
  <c r="AU10" i="16"/>
  <c r="AU46" i="16"/>
  <c r="BE10" i="16"/>
  <c r="BE46" i="16"/>
  <c r="AT10" i="16"/>
  <c r="AT46" i="16"/>
  <c r="BD10" i="16"/>
  <c r="BD46" i="16"/>
  <c r="AS10" i="16"/>
  <c r="AS46" i="16"/>
  <c r="BC46" i="16"/>
  <c r="AR10" i="16"/>
  <c r="AR46" i="16"/>
  <c r="BB46" i="16"/>
  <c r="AL10" i="16"/>
  <c r="AL46" i="16"/>
  <c r="AP46" i="16"/>
  <c r="AK10" i="16"/>
  <c r="AK46" i="16"/>
  <c r="AO46" i="16"/>
  <c r="Z10" i="16"/>
  <c r="Z46" i="16"/>
  <c r="AJ10" i="16"/>
  <c r="AJ46" i="16"/>
  <c r="Y10" i="16"/>
  <c r="Y46" i="16"/>
  <c r="AI10" i="16"/>
  <c r="AI46" i="16"/>
  <c r="X10" i="16"/>
  <c r="X46" i="16"/>
  <c r="AH10" i="16"/>
  <c r="AH46" i="16"/>
  <c r="W10" i="16"/>
  <c r="W46" i="16"/>
  <c r="AG10" i="16"/>
  <c r="AG46" i="16"/>
  <c r="V10" i="16"/>
  <c r="V46" i="16"/>
  <c r="AF10" i="16"/>
  <c r="AF46" i="16"/>
  <c r="H10" i="16"/>
  <c r="H46" i="16"/>
  <c r="T10" i="16"/>
  <c r="T46" i="16"/>
  <c r="G10" i="16"/>
  <c r="G46" i="16"/>
  <c r="S10" i="16"/>
  <c r="S46" i="16"/>
  <c r="F10" i="16"/>
  <c r="F46" i="16"/>
  <c r="R10" i="16"/>
  <c r="R46" i="16"/>
  <c r="E10" i="16"/>
  <c r="E46" i="16"/>
  <c r="Q46" i="16"/>
  <c r="D10" i="16"/>
  <c r="D46" i="16"/>
  <c r="P46" i="16"/>
  <c r="BH45" i="16"/>
  <c r="BJ45" i="16"/>
  <c r="BG45" i="16"/>
  <c r="BI45" i="16"/>
  <c r="AV10" i="16"/>
  <c r="AW10" i="16"/>
  <c r="AX10" i="16"/>
  <c r="AY10" i="16"/>
  <c r="AZ10" i="16"/>
  <c r="AZ46" i="16"/>
  <c r="AV6" i="16"/>
  <c r="AW6" i="16"/>
  <c r="AX6" i="16"/>
  <c r="AY6" i="16"/>
  <c r="AZ6" i="16"/>
  <c r="AZ47" i="16"/>
  <c r="AZ45" i="16"/>
  <c r="BA45" i="16"/>
  <c r="AM10" i="16"/>
  <c r="AM46" i="16"/>
  <c r="AM6" i="16"/>
  <c r="AM47" i="16"/>
  <c r="AM45" i="16"/>
  <c r="AN45" i="16"/>
  <c r="Z45" i="16"/>
  <c r="AE45" i="16"/>
  <c r="Y45" i="16"/>
  <c r="AD45" i="16"/>
  <c r="X45" i="16"/>
  <c r="AC45" i="16"/>
  <c r="W45" i="16"/>
  <c r="AB45" i="16"/>
  <c r="V45" i="16"/>
  <c r="AA45" i="16"/>
  <c r="I10" i="16"/>
  <c r="J10" i="16"/>
  <c r="K10" i="16"/>
  <c r="L10" i="16"/>
  <c r="M10" i="16"/>
  <c r="N10" i="16"/>
  <c r="N46" i="16"/>
  <c r="I6" i="16"/>
  <c r="J6" i="16"/>
  <c r="K6" i="16"/>
  <c r="L6" i="16"/>
  <c r="M6" i="16"/>
  <c r="N6" i="16"/>
  <c r="N47" i="16"/>
  <c r="N45" i="16"/>
  <c r="O45" i="16"/>
  <c r="BH15" i="16"/>
  <c r="BH44" i="16"/>
  <c r="BL44" i="16"/>
  <c r="BG15" i="16"/>
  <c r="BG44" i="16"/>
  <c r="BK44" i="16"/>
  <c r="AU15" i="16"/>
  <c r="AU44" i="16"/>
  <c r="BE15" i="16"/>
  <c r="BE44" i="16"/>
  <c r="AT15" i="16"/>
  <c r="AT44" i="16"/>
  <c r="BD15" i="16"/>
  <c r="BD44" i="16"/>
  <c r="AS15" i="16"/>
  <c r="AS44" i="16"/>
  <c r="BC44" i="16"/>
  <c r="AR15" i="16"/>
  <c r="AR44" i="16"/>
  <c r="BB44" i="16"/>
  <c r="AL15" i="16"/>
  <c r="AL44" i="16"/>
  <c r="AP44" i="16"/>
  <c r="AK15" i="16"/>
  <c r="AK44" i="16"/>
  <c r="AO44" i="16"/>
  <c r="Z15" i="16"/>
  <c r="Z44" i="16"/>
  <c r="AJ44" i="16"/>
  <c r="Y15" i="16"/>
  <c r="Y44" i="16"/>
  <c r="AI44" i="16"/>
  <c r="X15" i="16"/>
  <c r="X44" i="16"/>
  <c r="AH44" i="16"/>
  <c r="W15" i="16"/>
  <c r="W44" i="16"/>
  <c r="AG44" i="16"/>
  <c r="V15" i="16"/>
  <c r="V44" i="16"/>
  <c r="AF44" i="16"/>
  <c r="H15" i="16"/>
  <c r="H44" i="16"/>
  <c r="T15" i="16"/>
  <c r="T44" i="16"/>
  <c r="G15" i="16"/>
  <c r="G44" i="16"/>
  <c r="S15" i="16"/>
  <c r="S44" i="16"/>
  <c r="F15" i="16"/>
  <c r="F44" i="16"/>
  <c r="R44" i="16"/>
  <c r="E15" i="16"/>
  <c r="E44" i="16"/>
  <c r="Q44" i="16"/>
  <c r="D15" i="16"/>
  <c r="D44" i="16"/>
  <c r="P44" i="16"/>
  <c r="BH28" i="16"/>
  <c r="BH43" i="16"/>
  <c r="BL43" i="16"/>
  <c r="BG28" i="16"/>
  <c r="BG43" i="16"/>
  <c r="BK43" i="16"/>
  <c r="AU28" i="16"/>
  <c r="AU43" i="16"/>
  <c r="BE28" i="16"/>
  <c r="BE43" i="16"/>
  <c r="AT28" i="16"/>
  <c r="AT43" i="16"/>
  <c r="BD28" i="16"/>
  <c r="BD43" i="16"/>
  <c r="AS28" i="16"/>
  <c r="AS43" i="16"/>
  <c r="BC43" i="16"/>
  <c r="AR28" i="16"/>
  <c r="AR43" i="16"/>
  <c r="BB43" i="16"/>
  <c r="AL28" i="16"/>
  <c r="AL43" i="16"/>
  <c r="AP43" i="16"/>
  <c r="AK28" i="16"/>
  <c r="AK43" i="16"/>
  <c r="AO43" i="16"/>
  <c r="Z28" i="16"/>
  <c r="Z43" i="16"/>
  <c r="AJ28" i="16"/>
  <c r="AJ43" i="16"/>
  <c r="Y28" i="16"/>
  <c r="Y43" i="16"/>
  <c r="AI28" i="16"/>
  <c r="AI43" i="16"/>
  <c r="X28" i="16"/>
  <c r="X43" i="16"/>
  <c r="AH28" i="16"/>
  <c r="AH43" i="16"/>
  <c r="W28" i="16"/>
  <c r="W43" i="16"/>
  <c r="AG28" i="16"/>
  <c r="AG43" i="16"/>
  <c r="V28" i="16"/>
  <c r="V43" i="16"/>
  <c r="AF28" i="16"/>
  <c r="AF43" i="16"/>
  <c r="H28" i="16"/>
  <c r="H43" i="16"/>
  <c r="T28" i="16"/>
  <c r="T43" i="16"/>
  <c r="G28" i="16"/>
  <c r="G43" i="16"/>
  <c r="S28" i="16"/>
  <c r="S43" i="16"/>
  <c r="F28" i="16"/>
  <c r="F43" i="16"/>
  <c r="R28" i="16"/>
  <c r="R43" i="16"/>
  <c r="E28" i="16"/>
  <c r="E43" i="16"/>
  <c r="Q43" i="16"/>
  <c r="D28" i="16"/>
  <c r="D43" i="16"/>
  <c r="P43" i="16"/>
  <c r="BH19" i="16"/>
  <c r="BH42" i="16"/>
  <c r="BL42" i="16"/>
  <c r="BG19" i="16"/>
  <c r="BG42" i="16"/>
  <c r="BK42" i="16"/>
  <c r="AU19" i="16"/>
  <c r="AU42" i="16"/>
  <c r="BE19" i="16"/>
  <c r="BE42" i="16"/>
  <c r="AT19" i="16"/>
  <c r="AT42" i="16"/>
  <c r="BD19" i="16"/>
  <c r="BD42" i="16"/>
  <c r="AS19" i="16"/>
  <c r="AS42" i="16"/>
  <c r="BC42" i="16"/>
  <c r="AR19" i="16"/>
  <c r="AR42" i="16"/>
  <c r="BB42" i="16"/>
  <c r="AL19" i="16"/>
  <c r="AL42" i="16"/>
  <c r="AP42" i="16"/>
  <c r="AK19" i="16"/>
  <c r="AK42" i="16"/>
  <c r="AO42" i="16"/>
  <c r="Z19" i="16"/>
  <c r="Z42" i="16"/>
  <c r="AJ19" i="16"/>
  <c r="AJ42" i="16"/>
  <c r="Y19" i="16"/>
  <c r="Y42" i="16"/>
  <c r="AI19" i="16"/>
  <c r="AI42" i="16"/>
  <c r="X19" i="16"/>
  <c r="X42" i="16"/>
  <c r="AH19" i="16"/>
  <c r="AH42" i="16"/>
  <c r="W19" i="16"/>
  <c r="W42" i="16"/>
  <c r="AG19" i="16"/>
  <c r="AG42" i="16"/>
  <c r="V19" i="16"/>
  <c r="V42" i="16"/>
  <c r="AF19" i="16"/>
  <c r="AF42" i="16"/>
  <c r="H19" i="16"/>
  <c r="H42" i="16"/>
  <c r="T19" i="16"/>
  <c r="T42" i="16"/>
  <c r="G19" i="16"/>
  <c r="G42" i="16"/>
  <c r="S19" i="16"/>
  <c r="S42" i="16"/>
  <c r="F19" i="16"/>
  <c r="F42" i="16"/>
  <c r="R19" i="16"/>
  <c r="R42" i="16"/>
  <c r="E19" i="16"/>
  <c r="E42" i="16"/>
  <c r="Q42" i="16"/>
  <c r="D19" i="16"/>
  <c r="D42" i="16"/>
  <c r="P42" i="16"/>
  <c r="BH8" i="16"/>
  <c r="BH41" i="16"/>
  <c r="BL41" i="16"/>
  <c r="BG8" i="16"/>
  <c r="BG41" i="16"/>
  <c r="BK41" i="16"/>
  <c r="AU8" i="16"/>
  <c r="AU41" i="16"/>
  <c r="BE8" i="16"/>
  <c r="BE41" i="16"/>
  <c r="AT8" i="16"/>
  <c r="AT41" i="16"/>
  <c r="BD8" i="16"/>
  <c r="BD41" i="16"/>
  <c r="AS8" i="16"/>
  <c r="AS41" i="16"/>
  <c r="BC41" i="16"/>
  <c r="AR8" i="16"/>
  <c r="AR41" i="16"/>
  <c r="BB41" i="16"/>
  <c r="AL8" i="16"/>
  <c r="AL41" i="16"/>
  <c r="AP41" i="16"/>
  <c r="AK8" i="16"/>
  <c r="AK41" i="16"/>
  <c r="AO41" i="16"/>
  <c r="Z8" i="16"/>
  <c r="Z41" i="16"/>
  <c r="AJ8" i="16"/>
  <c r="AJ41" i="16"/>
  <c r="Y8" i="16"/>
  <c r="Y41" i="16"/>
  <c r="AI8" i="16"/>
  <c r="AI41" i="16"/>
  <c r="X8" i="16"/>
  <c r="X41" i="16"/>
  <c r="AH8" i="16"/>
  <c r="AH41" i="16"/>
  <c r="W8" i="16"/>
  <c r="W41" i="16"/>
  <c r="AG8" i="16"/>
  <c r="AG41" i="16"/>
  <c r="V8" i="16"/>
  <c r="V41" i="16"/>
  <c r="AF8" i="16"/>
  <c r="AF41" i="16"/>
  <c r="H8" i="16"/>
  <c r="H41" i="16"/>
  <c r="T8" i="16"/>
  <c r="T41" i="16"/>
  <c r="G8" i="16"/>
  <c r="G41" i="16"/>
  <c r="S8" i="16"/>
  <c r="S41" i="16"/>
  <c r="F8" i="16"/>
  <c r="F41" i="16"/>
  <c r="R8" i="16"/>
  <c r="R41" i="16"/>
  <c r="E8" i="16"/>
  <c r="E41" i="16"/>
  <c r="Q41" i="16"/>
  <c r="D8" i="16"/>
  <c r="D41" i="16"/>
  <c r="P41" i="16"/>
  <c r="BH4" i="16"/>
  <c r="BH40" i="16"/>
  <c r="BL40" i="16"/>
  <c r="BG4" i="16"/>
  <c r="BG40" i="16"/>
  <c r="BK40" i="16"/>
  <c r="AU4" i="16"/>
  <c r="AU40" i="16"/>
  <c r="BE4" i="16"/>
  <c r="BE40" i="16"/>
  <c r="AT4" i="16"/>
  <c r="AT40" i="16"/>
  <c r="BD4" i="16"/>
  <c r="BD40" i="16"/>
  <c r="AS4" i="16"/>
  <c r="AS40" i="16"/>
  <c r="BC40" i="16"/>
  <c r="AR4" i="16"/>
  <c r="AR40" i="16"/>
  <c r="BB40" i="16"/>
  <c r="AL4" i="16"/>
  <c r="AL40" i="16"/>
  <c r="AP40" i="16"/>
  <c r="AK4" i="16"/>
  <c r="AK40" i="16"/>
  <c r="AO40" i="16"/>
  <c r="Z4" i="16"/>
  <c r="Z40" i="16"/>
  <c r="AJ4" i="16"/>
  <c r="AJ40" i="16"/>
  <c r="Y4" i="16"/>
  <c r="Y40" i="16"/>
  <c r="AI4" i="16"/>
  <c r="AI40" i="16"/>
  <c r="X4" i="16"/>
  <c r="X40" i="16"/>
  <c r="AH4" i="16"/>
  <c r="AH40" i="16"/>
  <c r="W4" i="16"/>
  <c r="W40" i="16"/>
  <c r="AG4" i="16"/>
  <c r="AG40" i="16"/>
  <c r="V4" i="16"/>
  <c r="V40" i="16"/>
  <c r="AF4" i="16"/>
  <c r="AF40" i="16"/>
  <c r="H4" i="16"/>
  <c r="H40" i="16"/>
  <c r="T4" i="16"/>
  <c r="T40" i="16"/>
  <c r="G4" i="16"/>
  <c r="G40" i="16"/>
  <c r="S4" i="16"/>
  <c r="S40" i="16"/>
  <c r="F4" i="16"/>
  <c r="F40" i="16"/>
  <c r="R4" i="16"/>
  <c r="R40" i="16"/>
  <c r="E4" i="16"/>
  <c r="E40" i="16"/>
  <c r="Q40" i="16"/>
  <c r="D4" i="16"/>
  <c r="D40" i="16"/>
  <c r="P40" i="16"/>
  <c r="BH11" i="16"/>
  <c r="BH39" i="16"/>
  <c r="BL39" i="16"/>
  <c r="BG11" i="16"/>
  <c r="BG39" i="16"/>
  <c r="BK39" i="16"/>
  <c r="AU11" i="16"/>
  <c r="AU39" i="16"/>
  <c r="BE11" i="16"/>
  <c r="BE39" i="16"/>
  <c r="AT11" i="16"/>
  <c r="AT39" i="16"/>
  <c r="BD11" i="16"/>
  <c r="BD39" i="16"/>
  <c r="AS11" i="16"/>
  <c r="AS39" i="16"/>
  <c r="BC39" i="16"/>
  <c r="AR11" i="16"/>
  <c r="AR39" i="16"/>
  <c r="BB39" i="16"/>
  <c r="AL11" i="16"/>
  <c r="AL39" i="16"/>
  <c r="AP39" i="16"/>
  <c r="AK11" i="16"/>
  <c r="AK39" i="16"/>
  <c r="AO39" i="16"/>
  <c r="Z11" i="16"/>
  <c r="Z39" i="16"/>
  <c r="AJ11" i="16"/>
  <c r="AJ39" i="16"/>
  <c r="Y11" i="16"/>
  <c r="Y39" i="16"/>
  <c r="AI11" i="16"/>
  <c r="AI39" i="16"/>
  <c r="X11" i="16"/>
  <c r="X39" i="16"/>
  <c r="AH11" i="16"/>
  <c r="AH39" i="16"/>
  <c r="W11" i="16"/>
  <c r="W39" i="16"/>
  <c r="AG11" i="16"/>
  <c r="AG39" i="16"/>
  <c r="V11" i="16"/>
  <c r="V39" i="16"/>
  <c r="AF11" i="16"/>
  <c r="AF39" i="16"/>
  <c r="H11" i="16"/>
  <c r="H39" i="16"/>
  <c r="T11" i="16"/>
  <c r="T39" i="16"/>
  <c r="G11" i="16"/>
  <c r="G39" i="16"/>
  <c r="S11" i="16"/>
  <c r="S39" i="16"/>
  <c r="F11" i="16"/>
  <c r="F39" i="16"/>
  <c r="R11" i="16"/>
  <c r="R39" i="16"/>
  <c r="E11" i="16"/>
  <c r="E39" i="16"/>
  <c r="Q39" i="16"/>
  <c r="D11" i="16"/>
  <c r="D39" i="16"/>
  <c r="P39" i="16"/>
  <c r="BH2" i="16"/>
  <c r="BH38" i="16"/>
  <c r="BL38" i="16"/>
  <c r="BG2" i="16"/>
  <c r="BG38" i="16"/>
  <c r="BK38" i="16"/>
  <c r="AU2" i="16"/>
  <c r="AU38" i="16"/>
  <c r="BE2" i="16"/>
  <c r="BE38" i="16"/>
  <c r="AT2" i="16"/>
  <c r="AT38" i="16"/>
  <c r="BD2" i="16"/>
  <c r="BD38" i="16"/>
  <c r="AS2" i="16"/>
  <c r="AS38" i="16"/>
  <c r="BC38" i="16"/>
  <c r="AR2" i="16"/>
  <c r="AR38" i="16"/>
  <c r="BB38" i="16"/>
  <c r="AL2" i="16"/>
  <c r="AL38" i="16"/>
  <c r="AP38" i="16"/>
  <c r="AK2" i="16"/>
  <c r="AK38" i="16"/>
  <c r="AO38" i="16"/>
  <c r="Z2" i="16"/>
  <c r="Z38" i="16"/>
  <c r="AJ2" i="16"/>
  <c r="AJ38" i="16"/>
  <c r="Y2" i="16"/>
  <c r="Y38" i="16"/>
  <c r="AI2" i="16"/>
  <c r="AI38" i="16"/>
  <c r="X2" i="16"/>
  <c r="X38" i="16"/>
  <c r="AH2" i="16"/>
  <c r="AH38" i="16"/>
  <c r="W2" i="16"/>
  <c r="W38" i="16"/>
  <c r="AG2" i="16"/>
  <c r="AG38" i="16"/>
  <c r="V2" i="16"/>
  <c r="V38" i="16"/>
  <c r="AF2" i="16"/>
  <c r="AF38" i="16"/>
  <c r="H2" i="16"/>
  <c r="H38" i="16"/>
  <c r="T2" i="16"/>
  <c r="T38" i="16"/>
  <c r="G2" i="16"/>
  <c r="G38" i="16"/>
  <c r="S2" i="16"/>
  <c r="S38" i="16"/>
  <c r="F2" i="16"/>
  <c r="F38" i="16"/>
  <c r="R2" i="16"/>
  <c r="R38" i="16"/>
  <c r="E2" i="16"/>
  <c r="E38" i="16"/>
  <c r="Q38" i="16"/>
  <c r="D2" i="16"/>
  <c r="D38" i="16"/>
  <c r="P38" i="16"/>
  <c r="BH22" i="16"/>
  <c r="BH37" i="16"/>
  <c r="BL37" i="16"/>
  <c r="BG22" i="16"/>
  <c r="BG37" i="16"/>
  <c r="BK37" i="16"/>
  <c r="AU22" i="16"/>
  <c r="AU37" i="16"/>
  <c r="BE22" i="16"/>
  <c r="BE37" i="16"/>
  <c r="AT22" i="16"/>
  <c r="AT37" i="16"/>
  <c r="BD22" i="16"/>
  <c r="BD37" i="16"/>
  <c r="AS22" i="16"/>
  <c r="AS37" i="16"/>
  <c r="BC37" i="16"/>
  <c r="AR22" i="16"/>
  <c r="AR37" i="16"/>
  <c r="BB37" i="16"/>
  <c r="AL22" i="16"/>
  <c r="AL37" i="16"/>
  <c r="AP37" i="16"/>
  <c r="AK22" i="16"/>
  <c r="AK37" i="16"/>
  <c r="AO37" i="16"/>
  <c r="Z22" i="16"/>
  <c r="Z37" i="16"/>
  <c r="AJ22" i="16"/>
  <c r="AJ37" i="16"/>
  <c r="Y22" i="16"/>
  <c r="Y37" i="16"/>
  <c r="AI22" i="16"/>
  <c r="AI37" i="16"/>
  <c r="X22" i="16"/>
  <c r="X37" i="16"/>
  <c r="AH22" i="16"/>
  <c r="AH37" i="16"/>
  <c r="W22" i="16"/>
  <c r="W37" i="16"/>
  <c r="AG22" i="16"/>
  <c r="AG37" i="16"/>
  <c r="V22" i="16"/>
  <c r="V37" i="16"/>
  <c r="AF22" i="16"/>
  <c r="AF37" i="16"/>
  <c r="H22" i="16"/>
  <c r="H37" i="16"/>
  <c r="T22" i="16"/>
  <c r="T37" i="16"/>
  <c r="G22" i="16"/>
  <c r="G37" i="16"/>
  <c r="S22" i="16"/>
  <c r="S37" i="16"/>
  <c r="F22" i="16"/>
  <c r="F37" i="16"/>
  <c r="R22" i="16"/>
  <c r="R37" i="16"/>
  <c r="E22" i="16"/>
  <c r="E37" i="16"/>
  <c r="Q37" i="16"/>
  <c r="D22" i="16"/>
  <c r="D37" i="16"/>
  <c r="P37" i="16"/>
  <c r="BH26" i="16"/>
  <c r="BH36" i="16"/>
  <c r="BL36" i="16"/>
  <c r="BG26" i="16"/>
  <c r="BG36" i="16"/>
  <c r="BK36" i="16"/>
  <c r="AU26" i="16"/>
  <c r="AU36" i="16"/>
  <c r="BE26" i="16"/>
  <c r="BE36" i="16"/>
  <c r="AT26" i="16"/>
  <c r="AT36" i="16"/>
  <c r="BD26" i="16"/>
  <c r="BD36" i="16"/>
  <c r="AS26" i="16"/>
  <c r="AS36" i="16"/>
  <c r="BC36" i="16"/>
  <c r="AR26" i="16"/>
  <c r="AR36" i="16"/>
  <c r="BB36" i="16"/>
  <c r="AL26" i="16"/>
  <c r="AL36" i="16"/>
  <c r="AP36" i="16"/>
  <c r="AK26" i="16"/>
  <c r="AK36" i="16"/>
  <c r="AO36" i="16"/>
  <c r="Z26" i="16"/>
  <c r="Z36" i="16"/>
  <c r="AJ26" i="16"/>
  <c r="AJ36" i="16"/>
  <c r="Y26" i="16"/>
  <c r="Y36" i="16"/>
  <c r="AI26" i="16"/>
  <c r="AI36" i="16"/>
  <c r="X26" i="16"/>
  <c r="X36" i="16"/>
  <c r="AH26" i="16"/>
  <c r="AH36" i="16"/>
  <c r="W26" i="16"/>
  <c r="W36" i="16"/>
  <c r="AG26" i="16"/>
  <c r="AG36" i="16"/>
  <c r="V26" i="16"/>
  <c r="V36" i="16"/>
  <c r="AF26" i="16"/>
  <c r="AF36" i="16"/>
  <c r="H26" i="16"/>
  <c r="H36" i="16"/>
  <c r="T26" i="16"/>
  <c r="T36" i="16"/>
  <c r="G26" i="16"/>
  <c r="G36" i="16"/>
  <c r="S26" i="16"/>
  <c r="S36" i="16"/>
  <c r="F26" i="16"/>
  <c r="F36" i="16"/>
  <c r="R26" i="16"/>
  <c r="R36" i="16"/>
  <c r="E26" i="16"/>
  <c r="E36" i="16"/>
  <c r="Q36" i="16"/>
  <c r="D26" i="16"/>
  <c r="D36" i="16"/>
  <c r="P36" i="16"/>
  <c r="BH30" i="16"/>
  <c r="BH35" i="16"/>
  <c r="BL35" i="16"/>
  <c r="BG30" i="16"/>
  <c r="BG35" i="16"/>
  <c r="BK35" i="16"/>
  <c r="AU30" i="16"/>
  <c r="AU35" i="16"/>
  <c r="BE30" i="16"/>
  <c r="BE35" i="16"/>
  <c r="AT30" i="16"/>
  <c r="AT35" i="16"/>
  <c r="BD30" i="16"/>
  <c r="BD35" i="16"/>
  <c r="AS30" i="16"/>
  <c r="AS35" i="16"/>
  <c r="BC35" i="16"/>
  <c r="AR30" i="16"/>
  <c r="AR35" i="16"/>
  <c r="BB35" i="16"/>
  <c r="AL30" i="16"/>
  <c r="AL35" i="16"/>
  <c r="AP35" i="16"/>
  <c r="AK30" i="16"/>
  <c r="AK35" i="16"/>
  <c r="AO35" i="16"/>
  <c r="Z30" i="16"/>
  <c r="Z35" i="16"/>
  <c r="AJ30" i="16"/>
  <c r="AJ35" i="16"/>
  <c r="Y30" i="16"/>
  <c r="Y35" i="16"/>
  <c r="AI30" i="16"/>
  <c r="AI35" i="16"/>
  <c r="X30" i="16"/>
  <c r="X35" i="16"/>
  <c r="AH30" i="16"/>
  <c r="AH35" i="16"/>
  <c r="W30" i="16"/>
  <c r="W35" i="16"/>
  <c r="AG30" i="16"/>
  <c r="AG35" i="16"/>
  <c r="V30" i="16"/>
  <c r="V35" i="16"/>
  <c r="AF30" i="16"/>
  <c r="AF35" i="16"/>
  <c r="H30" i="16"/>
  <c r="H35" i="16"/>
  <c r="T30" i="16"/>
  <c r="T35" i="16"/>
  <c r="G30" i="16"/>
  <c r="G35" i="16"/>
  <c r="S30" i="16"/>
  <c r="S35" i="16"/>
  <c r="F30" i="16"/>
  <c r="F35" i="16"/>
  <c r="R30" i="16"/>
  <c r="R35" i="16"/>
  <c r="E30" i="16"/>
  <c r="E35" i="16"/>
  <c r="Q35" i="16"/>
  <c r="D30" i="16"/>
  <c r="D35" i="16"/>
  <c r="P35" i="16"/>
  <c r="BH14" i="16"/>
  <c r="BH34" i="16"/>
  <c r="BL34" i="16"/>
  <c r="BG14" i="16"/>
  <c r="BG34" i="16"/>
  <c r="BK34" i="16"/>
  <c r="AU14" i="16"/>
  <c r="AU34" i="16"/>
  <c r="BE14" i="16"/>
  <c r="BE34" i="16"/>
  <c r="AT14" i="16"/>
  <c r="AT34" i="16"/>
  <c r="BD14" i="16"/>
  <c r="BD34" i="16"/>
  <c r="AS14" i="16"/>
  <c r="AS34" i="16"/>
  <c r="BC34" i="16"/>
  <c r="AR14" i="16"/>
  <c r="AR34" i="16"/>
  <c r="BB34" i="16"/>
  <c r="AL14" i="16"/>
  <c r="AL34" i="16"/>
  <c r="AP34" i="16"/>
  <c r="AK14" i="16"/>
  <c r="AK34" i="16"/>
  <c r="AO34" i="16"/>
  <c r="Z14" i="16"/>
  <c r="Z34" i="16"/>
  <c r="AJ14" i="16"/>
  <c r="AJ34" i="16"/>
  <c r="Y14" i="16"/>
  <c r="Y34" i="16"/>
  <c r="AI14" i="16"/>
  <c r="AI34" i="16"/>
  <c r="X14" i="16"/>
  <c r="X34" i="16"/>
  <c r="AH14" i="16"/>
  <c r="AH34" i="16"/>
  <c r="W14" i="16"/>
  <c r="W34" i="16"/>
  <c r="AG14" i="16"/>
  <c r="AG34" i="16"/>
  <c r="V14" i="16"/>
  <c r="V34" i="16"/>
  <c r="AF14" i="16"/>
  <c r="AF34" i="16"/>
  <c r="H14" i="16"/>
  <c r="H34" i="16"/>
  <c r="T14" i="16"/>
  <c r="T34" i="16"/>
  <c r="G14" i="16"/>
  <c r="G34" i="16"/>
  <c r="S14" i="16"/>
  <c r="S34" i="16"/>
  <c r="F14" i="16"/>
  <c r="F34" i="16"/>
  <c r="R14" i="16"/>
  <c r="R34" i="16"/>
  <c r="E14" i="16"/>
  <c r="E34" i="16"/>
  <c r="Q34" i="16"/>
  <c r="D14" i="16"/>
  <c r="D34" i="16"/>
  <c r="P34" i="16"/>
  <c r="BH13" i="16"/>
  <c r="BH33" i="16"/>
  <c r="BL33" i="16"/>
  <c r="BG13" i="16"/>
  <c r="BG33" i="16"/>
  <c r="BK33" i="16"/>
  <c r="AU13" i="16"/>
  <c r="AU33" i="16"/>
  <c r="BE13" i="16"/>
  <c r="BE33" i="16"/>
  <c r="AT13" i="16"/>
  <c r="AT33" i="16"/>
  <c r="BD13" i="16"/>
  <c r="BD33" i="16"/>
  <c r="AS13" i="16"/>
  <c r="AS33" i="16"/>
  <c r="BC33" i="16"/>
  <c r="AR13" i="16"/>
  <c r="AR33" i="16"/>
  <c r="BB33" i="16"/>
  <c r="AL13" i="16"/>
  <c r="AL33" i="16"/>
  <c r="AP33" i="16"/>
  <c r="AK13" i="16"/>
  <c r="AK33" i="16"/>
  <c r="AO33" i="16"/>
  <c r="Z13" i="16"/>
  <c r="Z33" i="16"/>
  <c r="AJ13" i="16"/>
  <c r="AJ33" i="16"/>
  <c r="Y13" i="16"/>
  <c r="Y33" i="16"/>
  <c r="AI13" i="16"/>
  <c r="AI33" i="16"/>
  <c r="X13" i="16"/>
  <c r="X33" i="16"/>
  <c r="AH13" i="16"/>
  <c r="AH33" i="16"/>
  <c r="W13" i="16"/>
  <c r="W33" i="16"/>
  <c r="AG13" i="16"/>
  <c r="AG33" i="16"/>
  <c r="V13" i="16"/>
  <c r="V33" i="16"/>
  <c r="AF13" i="16"/>
  <c r="AF33" i="16"/>
  <c r="H13" i="16"/>
  <c r="H33" i="16"/>
  <c r="T13" i="16"/>
  <c r="T33" i="16"/>
  <c r="G13" i="16"/>
  <c r="G33" i="16"/>
  <c r="S13" i="16"/>
  <c r="S33" i="16"/>
  <c r="F13" i="16"/>
  <c r="F33" i="16"/>
  <c r="R13" i="16"/>
  <c r="R33" i="16"/>
  <c r="E13" i="16"/>
  <c r="E33" i="16"/>
  <c r="Q33" i="16"/>
  <c r="D13" i="16"/>
  <c r="D33" i="16"/>
  <c r="P33" i="16"/>
  <c r="BH3" i="16"/>
  <c r="BH32" i="16"/>
  <c r="BL32" i="16"/>
  <c r="BG3" i="16"/>
  <c r="BG32" i="16"/>
  <c r="BK32" i="16"/>
  <c r="AU3" i="16"/>
  <c r="AU32" i="16"/>
  <c r="BE3" i="16"/>
  <c r="BE32" i="16"/>
  <c r="AT3" i="16"/>
  <c r="AT32" i="16"/>
  <c r="BD3" i="16"/>
  <c r="BD32" i="16"/>
  <c r="AS3" i="16"/>
  <c r="AS32" i="16"/>
  <c r="BC32" i="16"/>
  <c r="AR3" i="16"/>
  <c r="AR32" i="16"/>
  <c r="BB32" i="16"/>
  <c r="AL3" i="16"/>
  <c r="AL32" i="16"/>
  <c r="AP32" i="16"/>
  <c r="AK3" i="16"/>
  <c r="AK32" i="16"/>
  <c r="AO32" i="16"/>
  <c r="Z3" i="16"/>
  <c r="Z32" i="16"/>
  <c r="AJ3" i="16"/>
  <c r="AJ32" i="16"/>
  <c r="Y3" i="16"/>
  <c r="Y32" i="16"/>
  <c r="AI3" i="16"/>
  <c r="AI32" i="16"/>
  <c r="X3" i="16"/>
  <c r="X32" i="16"/>
  <c r="AH3" i="16"/>
  <c r="AH32" i="16"/>
  <c r="W3" i="16"/>
  <c r="W32" i="16"/>
  <c r="AG3" i="16"/>
  <c r="AG32" i="16"/>
  <c r="V3" i="16"/>
  <c r="V32" i="16"/>
  <c r="AF3" i="16"/>
  <c r="AF32" i="16"/>
  <c r="H3" i="16"/>
  <c r="H32" i="16"/>
  <c r="T3" i="16"/>
  <c r="T32" i="16"/>
  <c r="G3" i="16"/>
  <c r="G32" i="16"/>
  <c r="S3" i="16"/>
  <c r="S32" i="16"/>
  <c r="F3" i="16"/>
  <c r="F32" i="16"/>
  <c r="R3" i="16"/>
  <c r="R32" i="16"/>
  <c r="E3" i="16"/>
  <c r="E32" i="16"/>
  <c r="Q32" i="16"/>
  <c r="D3" i="16"/>
  <c r="D32" i="16"/>
  <c r="P32" i="16"/>
  <c r="BH31" i="16"/>
  <c r="BJ31" i="16"/>
  <c r="BG31" i="16"/>
  <c r="BI31" i="16"/>
  <c r="AV3" i="16"/>
  <c r="AW3" i="16"/>
  <c r="AX3" i="16"/>
  <c r="AY3" i="16"/>
  <c r="AZ3" i="16"/>
  <c r="AZ32" i="16"/>
  <c r="AV13" i="16"/>
  <c r="AW13" i="16"/>
  <c r="AX13" i="16"/>
  <c r="AY13" i="16"/>
  <c r="AZ13" i="16"/>
  <c r="AZ33" i="16"/>
  <c r="AV14" i="16"/>
  <c r="AW14" i="16"/>
  <c r="AX14" i="16"/>
  <c r="AY14" i="16"/>
  <c r="AZ14" i="16"/>
  <c r="AZ34" i="16"/>
  <c r="AV30" i="16"/>
  <c r="AW30" i="16"/>
  <c r="AX30" i="16"/>
  <c r="AY30" i="16"/>
  <c r="AZ30" i="16"/>
  <c r="AZ35" i="16"/>
  <c r="AV26" i="16"/>
  <c r="AW26" i="16"/>
  <c r="AX26" i="16"/>
  <c r="AY26" i="16"/>
  <c r="AZ26" i="16"/>
  <c r="AZ36" i="16"/>
  <c r="AV22" i="16"/>
  <c r="AW22" i="16"/>
  <c r="AX22" i="16"/>
  <c r="AY22" i="16"/>
  <c r="AZ22" i="16"/>
  <c r="AZ37" i="16"/>
  <c r="AV2" i="16"/>
  <c r="AW2" i="16"/>
  <c r="AX2" i="16"/>
  <c r="AY2" i="16"/>
  <c r="AZ2" i="16"/>
  <c r="AZ38" i="16"/>
  <c r="AV11" i="16"/>
  <c r="AW11" i="16"/>
  <c r="AX11" i="16"/>
  <c r="AY11" i="16"/>
  <c r="AZ11" i="16"/>
  <c r="AZ39" i="16"/>
  <c r="AV4" i="16"/>
  <c r="AW4" i="16"/>
  <c r="AX4" i="16"/>
  <c r="AY4" i="16"/>
  <c r="AZ4" i="16"/>
  <c r="AZ40" i="16"/>
  <c r="AV8" i="16"/>
  <c r="AW8" i="16"/>
  <c r="AX8" i="16"/>
  <c r="AY8" i="16"/>
  <c r="AZ8" i="16"/>
  <c r="AZ41" i="16"/>
  <c r="AV19" i="16"/>
  <c r="AW19" i="16"/>
  <c r="AX19" i="16"/>
  <c r="AY19" i="16"/>
  <c r="AZ19" i="16"/>
  <c r="AZ42" i="16"/>
  <c r="AV28" i="16"/>
  <c r="AW28" i="16"/>
  <c r="AX28" i="16"/>
  <c r="AY28" i="16"/>
  <c r="AZ28" i="16"/>
  <c r="AZ43" i="16"/>
  <c r="AV15" i="16"/>
  <c r="AW15" i="16"/>
  <c r="AX15" i="16"/>
  <c r="AY15" i="16"/>
  <c r="AZ15" i="16"/>
  <c r="AZ44" i="16"/>
  <c r="AZ31" i="16"/>
  <c r="BA31" i="16"/>
  <c r="AM3" i="16"/>
  <c r="AM32" i="16"/>
  <c r="AM13" i="16"/>
  <c r="AM33" i="16"/>
  <c r="AM14" i="16"/>
  <c r="AM34" i="16"/>
  <c r="AM30" i="16"/>
  <c r="AM35" i="16"/>
  <c r="AM26" i="16"/>
  <c r="AM36" i="16"/>
  <c r="AM22" i="16"/>
  <c r="AM37" i="16"/>
  <c r="AM2" i="16"/>
  <c r="AM38" i="16"/>
  <c r="AM11" i="16"/>
  <c r="AM39" i="16"/>
  <c r="AM4" i="16"/>
  <c r="AM40" i="16"/>
  <c r="AM8" i="16"/>
  <c r="AM41" i="16"/>
  <c r="AM19" i="16"/>
  <c r="AM42" i="16"/>
  <c r="AM28" i="16"/>
  <c r="AM43" i="16"/>
  <c r="AM15" i="16"/>
  <c r="AM44" i="16"/>
  <c r="AM31" i="16"/>
  <c r="AN31" i="16"/>
  <c r="Z31" i="16"/>
  <c r="AE31" i="16"/>
  <c r="Y31" i="16"/>
  <c r="AD31" i="16"/>
  <c r="X31" i="16"/>
  <c r="AC31" i="16"/>
  <c r="W31" i="16"/>
  <c r="AB31" i="16"/>
  <c r="V31" i="16"/>
  <c r="AA31" i="16"/>
  <c r="I3" i="16"/>
  <c r="J3" i="16"/>
  <c r="K3" i="16"/>
  <c r="L3" i="16"/>
  <c r="M3" i="16"/>
  <c r="N3" i="16"/>
  <c r="N32" i="16"/>
  <c r="I13" i="16"/>
  <c r="J13" i="16"/>
  <c r="K13" i="16"/>
  <c r="L13" i="16"/>
  <c r="M13" i="16"/>
  <c r="N13" i="16"/>
  <c r="N33" i="16"/>
  <c r="I14" i="16"/>
  <c r="J14" i="16"/>
  <c r="K14" i="16"/>
  <c r="L14" i="16"/>
  <c r="M14" i="16"/>
  <c r="N14" i="16"/>
  <c r="N34" i="16"/>
  <c r="I30" i="16"/>
  <c r="J30" i="16"/>
  <c r="K30" i="16"/>
  <c r="L30" i="16"/>
  <c r="M30" i="16"/>
  <c r="N30" i="16"/>
  <c r="N35" i="16"/>
  <c r="I26" i="16"/>
  <c r="J26" i="16"/>
  <c r="K26" i="16"/>
  <c r="L26" i="16"/>
  <c r="M26" i="16"/>
  <c r="N26" i="16"/>
  <c r="N36" i="16"/>
  <c r="I22" i="16"/>
  <c r="J22" i="16"/>
  <c r="K22" i="16"/>
  <c r="L22" i="16"/>
  <c r="M22" i="16"/>
  <c r="N22" i="16"/>
  <c r="N37" i="16"/>
  <c r="I2" i="16"/>
  <c r="J2" i="16"/>
  <c r="K2" i="16"/>
  <c r="L2" i="16"/>
  <c r="M2" i="16"/>
  <c r="N2" i="16"/>
  <c r="N38" i="16"/>
  <c r="I11" i="16"/>
  <c r="J11" i="16"/>
  <c r="K11" i="16"/>
  <c r="L11" i="16"/>
  <c r="M11" i="16"/>
  <c r="N11" i="16"/>
  <c r="N39" i="16"/>
  <c r="I4" i="16"/>
  <c r="J4" i="16"/>
  <c r="K4" i="16"/>
  <c r="L4" i="16"/>
  <c r="M4" i="16"/>
  <c r="N4" i="16"/>
  <c r="N40" i="16"/>
  <c r="I8" i="16"/>
  <c r="J8" i="16"/>
  <c r="K8" i="16"/>
  <c r="L8" i="16"/>
  <c r="M8" i="16"/>
  <c r="N8" i="16"/>
  <c r="N41" i="16"/>
  <c r="I19" i="16"/>
  <c r="J19" i="16"/>
  <c r="K19" i="16"/>
  <c r="L19" i="16"/>
  <c r="M19" i="16"/>
  <c r="N19" i="16"/>
  <c r="N42" i="16"/>
  <c r="I28" i="16"/>
  <c r="J28" i="16"/>
  <c r="K28" i="16"/>
  <c r="L28" i="16"/>
  <c r="M28" i="16"/>
  <c r="N28" i="16"/>
  <c r="N43" i="16"/>
  <c r="I15" i="16"/>
  <c r="J15" i="16"/>
  <c r="K15" i="16"/>
  <c r="L15" i="16"/>
  <c r="M15" i="16"/>
  <c r="N15" i="16"/>
  <c r="N44" i="16"/>
  <c r="N31" i="16"/>
  <c r="O31" i="16"/>
  <c r="BJ30" i="16"/>
  <c r="BI30" i="16"/>
  <c r="BA30" i="16"/>
  <c r="AN30" i="16"/>
  <c r="AE30" i="16"/>
  <c r="AD30" i="16"/>
  <c r="AC30" i="16"/>
  <c r="AB30" i="16"/>
  <c r="AA30" i="16"/>
  <c r="O30" i="16"/>
  <c r="BJ29" i="16"/>
  <c r="BI29" i="16"/>
  <c r="BA29" i="16"/>
  <c r="AN29" i="16"/>
  <c r="AE29" i="16"/>
  <c r="AD29" i="16"/>
  <c r="AC29" i="16"/>
  <c r="AB29" i="16"/>
  <c r="AA29" i="16"/>
  <c r="O29" i="16"/>
  <c r="BJ28" i="16"/>
  <c r="BI28" i="16"/>
  <c r="BA28" i="16"/>
  <c r="AN28" i="16"/>
  <c r="AE28" i="16"/>
  <c r="AD28" i="16"/>
  <c r="AC28" i="16"/>
  <c r="AB28" i="16"/>
  <c r="AA28" i="16"/>
  <c r="O28" i="16"/>
  <c r="BJ27" i="16"/>
  <c r="BI27" i="16"/>
  <c r="BA27" i="16"/>
  <c r="AN27" i="16"/>
  <c r="AE27" i="16"/>
  <c r="AD27" i="16"/>
  <c r="AC27" i="16"/>
  <c r="AB27" i="16"/>
  <c r="AA27" i="16"/>
  <c r="O27" i="16"/>
  <c r="BJ26" i="16"/>
  <c r="BI26" i="16"/>
  <c r="BA26" i="16"/>
  <c r="AN26" i="16"/>
  <c r="AE26" i="16"/>
  <c r="AD26" i="16"/>
  <c r="AC26" i="16"/>
  <c r="AB26" i="16"/>
  <c r="AA26" i="16"/>
  <c r="O26" i="16"/>
  <c r="BJ25" i="16"/>
  <c r="BI25" i="16"/>
  <c r="BA25" i="16"/>
  <c r="AN25" i="16"/>
  <c r="AE25" i="16"/>
  <c r="AD25" i="16"/>
  <c r="AC25" i="16"/>
  <c r="AB25" i="16"/>
  <c r="AA25" i="16"/>
  <c r="O25" i="16"/>
  <c r="BJ24" i="16"/>
  <c r="BI24" i="16"/>
  <c r="BA24" i="16"/>
  <c r="AN24" i="16"/>
  <c r="AE24" i="16"/>
  <c r="AD24" i="16"/>
  <c r="AC24" i="16"/>
  <c r="AB24" i="16"/>
  <c r="AA24" i="16"/>
  <c r="O24" i="16"/>
  <c r="BJ23" i="16"/>
  <c r="BI23" i="16"/>
  <c r="BA23" i="16"/>
  <c r="AN23" i="16"/>
  <c r="AE23" i="16"/>
  <c r="AD23" i="16"/>
  <c r="AC23" i="16"/>
  <c r="AB23" i="16"/>
  <c r="AA23" i="16"/>
  <c r="O23" i="16"/>
  <c r="BJ22" i="16"/>
  <c r="BI22" i="16"/>
  <c r="BA22" i="16"/>
  <c r="AN22" i="16"/>
  <c r="AE22" i="16"/>
  <c r="AD22" i="16"/>
  <c r="AC22" i="16"/>
  <c r="AB22" i="16"/>
  <c r="AA22" i="16"/>
  <c r="O22" i="16"/>
  <c r="BJ21" i="16"/>
  <c r="BI21" i="16"/>
  <c r="BA21" i="16"/>
  <c r="AN21" i="16"/>
  <c r="AJ21" i="16"/>
  <c r="AI21" i="16"/>
  <c r="AH21" i="16"/>
  <c r="AG21" i="16"/>
  <c r="AF21" i="16"/>
  <c r="AE21" i="16"/>
  <c r="AD21" i="16"/>
  <c r="AC21" i="16"/>
  <c r="AB21" i="16"/>
  <c r="AA21" i="16"/>
  <c r="R21" i="16"/>
  <c r="O21" i="16"/>
  <c r="BJ20" i="16"/>
  <c r="BI20" i="16"/>
  <c r="BA20" i="16"/>
  <c r="AN20" i="16"/>
  <c r="AE20" i="16"/>
  <c r="AD20" i="16"/>
  <c r="AC20" i="16"/>
  <c r="AB20" i="16"/>
  <c r="AA20" i="16"/>
  <c r="O20" i="16"/>
  <c r="BJ19" i="16"/>
  <c r="BI19" i="16"/>
  <c r="BA19" i="16"/>
  <c r="AN19" i="16"/>
  <c r="AE19" i="16"/>
  <c r="AD19" i="16"/>
  <c r="AC19" i="16"/>
  <c r="AB19" i="16"/>
  <c r="AA19" i="16"/>
  <c r="O19" i="16"/>
  <c r="BJ18" i="16"/>
  <c r="BI18" i="16"/>
  <c r="BA18" i="16"/>
  <c r="AN18" i="16"/>
  <c r="AE18" i="16"/>
  <c r="AD18" i="16"/>
  <c r="AC18" i="16"/>
  <c r="AB18" i="16"/>
  <c r="AA18" i="16"/>
  <c r="O18" i="16"/>
  <c r="BJ17" i="16"/>
  <c r="BI17" i="16"/>
  <c r="BA17" i="16"/>
  <c r="AN17" i="16"/>
  <c r="AE17" i="16"/>
  <c r="AD17" i="16"/>
  <c r="AC17" i="16"/>
  <c r="AB17" i="16"/>
  <c r="AA17" i="16"/>
  <c r="O17" i="16"/>
  <c r="BJ16" i="16"/>
  <c r="BI16" i="16"/>
  <c r="BA16" i="16"/>
  <c r="AN16" i="16"/>
  <c r="AE16" i="16"/>
  <c r="AD16" i="16"/>
  <c r="AC16" i="16"/>
  <c r="AB16" i="16"/>
  <c r="AA16" i="16"/>
  <c r="O16" i="16"/>
  <c r="BJ15" i="16"/>
  <c r="BI15" i="16"/>
  <c r="BA15" i="16"/>
  <c r="AN15" i="16"/>
  <c r="AJ15" i="16"/>
  <c r="AI15" i="16"/>
  <c r="AH15" i="16"/>
  <c r="AG15" i="16"/>
  <c r="AF15" i="16"/>
  <c r="AE15" i="16"/>
  <c r="AD15" i="16"/>
  <c r="AC15" i="16"/>
  <c r="AB15" i="16"/>
  <c r="AA15" i="16"/>
  <c r="R15" i="16"/>
  <c r="O15" i="16"/>
  <c r="BJ14" i="16"/>
  <c r="BI14" i="16"/>
  <c r="BA14" i="16"/>
  <c r="AN14" i="16"/>
  <c r="AE14" i="16"/>
  <c r="AD14" i="16"/>
  <c r="AC14" i="16"/>
  <c r="AB14" i="16"/>
  <c r="AA14" i="16"/>
  <c r="O14" i="16"/>
  <c r="BJ13" i="16"/>
  <c r="BI13" i="16"/>
  <c r="BA13" i="16"/>
  <c r="AN13" i="16"/>
  <c r="AE13" i="16"/>
  <c r="AD13" i="16"/>
  <c r="AC13" i="16"/>
  <c r="AB13" i="16"/>
  <c r="AA13" i="16"/>
  <c r="O13" i="16"/>
  <c r="BJ12" i="16"/>
  <c r="BI12" i="16"/>
  <c r="BA12" i="16"/>
  <c r="AN12" i="16"/>
  <c r="AE12" i="16"/>
  <c r="AD12" i="16"/>
  <c r="AC12" i="16"/>
  <c r="AB12" i="16"/>
  <c r="AA12" i="16"/>
  <c r="O12" i="16"/>
  <c r="BJ11" i="16"/>
  <c r="BI11" i="16"/>
  <c r="BA11" i="16"/>
  <c r="AN11" i="16"/>
  <c r="AE11" i="16"/>
  <c r="AD11" i="16"/>
  <c r="AC11" i="16"/>
  <c r="AB11" i="16"/>
  <c r="AA11" i="16"/>
  <c r="O11" i="16"/>
  <c r="BJ10" i="16"/>
  <c r="BI10" i="16"/>
  <c r="BA10" i="16"/>
  <c r="AN10" i="16"/>
  <c r="AE10" i="16"/>
  <c r="AD10" i="16"/>
  <c r="AC10" i="16"/>
  <c r="AB10" i="16"/>
  <c r="AA10" i="16"/>
  <c r="O10" i="16"/>
  <c r="BJ9" i="16"/>
  <c r="BI9" i="16"/>
  <c r="BA9" i="16"/>
  <c r="AN9" i="16"/>
  <c r="AE9" i="16"/>
  <c r="AD9" i="16"/>
  <c r="AC9" i="16"/>
  <c r="AB9" i="16"/>
  <c r="AA9" i="16"/>
  <c r="O9" i="16"/>
  <c r="BJ8" i="16"/>
  <c r="BI8" i="16"/>
  <c r="BA8" i="16"/>
  <c r="AN8" i="16"/>
  <c r="AE8" i="16"/>
  <c r="AD8" i="16"/>
  <c r="AC8" i="16"/>
  <c r="AB8" i="16"/>
  <c r="AA8" i="16"/>
  <c r="O8" i="16"/>
  <c r="BJ7" i="16"/>
  <c r="BI7" i="16"/>
  <c r="BA7" i="16"/>
  <c r="AN7" i="16"/>
  <c r="AE7" i="16"/>
  <c r="AD7" i="16"/>
  <c r="AC7" i="16"/>
  <c r="AB7" i="16"/>
  <c r="AA7" i="16"/>
  <c r="O7" i="16"/>
  <c r="BJ6" i="16"/>
  <c r="BI6" i="16"/>
  <c r="BA6" i="16"/>
  <c r="AN6" i="16"/>
  <c r="AE6" i="16"/>
  <c r="AD6" i="16"/>
  <c r="AC6" i="16"/>
  <c r="AB6" i="16"/>
  <c r="AA6" i="16"/>
  <c r="O6" i="16"/>
  <c r="BJ5" i="16"/>
  <c r="BI5" i="16"/>
  <c r="BA5" i="16"/>
  <c r="AN5" i="16"/>
  <c r="AJ5" i="16"/>
  <c r="AI5" i="16"/>
  <c r="AH5" i="16"/>
  <c r="AG5" i="16"/>
  <c r="AF5" i="16"/>
  <c r="AE5" i="16"/>
  <c r="AD5" i="16"/>
  <c r="AC5" i="16"/>
  <c r="AB5" i="16"/>
  <c r="AA5" i="16"/>
  <c r="R5" i="16"/>
  <c r="O5" i="16"/>
  <c r="BJ4" i="16"/>
  <c r="BI4" i="16"/>
  <c r="BA4" i="16"/>
  <c r="AN4" i="16"/>
  <c r="AE4" i="16"/>
  <c r="AD4" i="16"/>
  <c r="AC4" i="16"/>
  <c r="AB4" i="16"/>
  <c r="AA4" i="16"/>
  <c r="O4" i="16"/>
  <c r="BJ3" i="16"/>
  <c r="BI3" i="16"/>
  <c r="BA3" i="16"/>
  <c r="AN3" i="16"/>
  <c r="AE3" i="16"/>
  <c r="AD3" i="16"/>
  <c r="AC3" i="16"/>
  <c r="AB3" i="16"/>
  <c r="AA3" i="16"/>
  <c r="O3" i="16"/>
  <c r="BJ2" i="16"/>
  <c r="BI2" i="16"/>
  <c r="BA2" i="16"/>
  <c r="AN2" i="16"/>
  <c r="AE2" i="16"/>
  <c r="AD2" i="16"/>
  <c r="AC2" i="16"/>
  <c r="AB2" i="16"/>
  <c r="AA2" i="16"/>
  <c r="O2" i="16"/>
  <c r="L25" i="45"/>
  <c r="L64" i="45"/>
  <c r="L21" i="45"/>
  <c r="L65" i="45"/>
  <c r="L17" i="45"/>
  <c r="L66" i="45"/>
  <c r="L5" i="45"/>
  <c r="L67" i="45"/>
  <c r="L9" i="45"/>
  <c r="L68" i="45"/>
  <c r="L24" i="45"/>
  <c r="L69" i="45"/>
  <c r="L20" i="45"/>
  <c r="L70" i="45"/>
  <c r="L29" i="45"/>
  <c r="L71" i="45"/>
  <c r="L16" i="45"/>
  <c r="L72" i="45"/>
  <c r="L7" i="45"/>
  <c r="L73" i="45"/>
  <c r="L12" i="45"/>
  <c r="L74" i="45"/>
  <c r="L18" i="45"/>
  <c r="L75" i="45"/>
  <c r="L27" i="45"/>
  <c r="L76" i="45"/>
  <c r="L63" i="45"/>
  <c r="M63" i="45"/>
  <c r="D25" i="45"/>
  <c r="J25" i="45"/>
  <c r="J64" i="45"/>
  <c r="D21" i="45"/>
  <c r="J21" i="45"/>
  <c r="J65" i="45"/>
  <c r="D17" i="45"/>
  <c r="J17" i="45"/>
  <c r="J66" i="45"/>
  <c r="D5" i="45"/>
  <c r="J5" i="45"/>
  <c r="J67" i="45"/>
  <c r="D9" i="45"/>
  <c r="J9" i="45"/>
  <c r="J68" i="45"/>
  <c r="D24" i="45"/>
  <c r="J24" i="45"/>
  <c r="J69" i="45"/>
  <c r="D20" i="45"/>
  <c r="J20" i="45"/>
  <c r="J70" i="45"/>
  <c r="D29" i="45"/>
  <c r="J29" i="45"/>
  <c r="J71" i="45"/>
  <c r="D16" i="45"/>
  <c r="J16" i="45"/>
  <c r="J72" i="45"/>
  <c r="D7" i="45"/>
  <c r="J7" i="45"/>
  <c r="J73" i="45"/>
  <c r="D12" i="45"/>
  <c r="J12" i="45"/>
  <c r="J74" i="45"/>
  <c r="D18" i="45"/>
  <c r="J18" i="45"/>
  <c r="J75" i="45"/>
  <c r="D27" i="45"/>
  <c r="J27" i="45"/>
  <c r="J76" i="45"/>
  <c r="J63" i="45"/>
  <c r="K63" i="45"/>
  <c r="H25" i="45"/>
  <c r="H64" i="45"/>
  <c r="H21" i="45"/>
  <c r="H65" i="45"/>
  <c r="H17" i="45"/>
  <c r="H66" i="45"/>
  <c r="H5" i="45"/>
  <c r="H67" i="45"/>
  <c r="H9" i="45"/>
  <c r="H68" i="45"/>
  <c r="H24" i="45"/>
  <c r="H69" i="45"/>
  <c r="H20" i="45"/>
  <c r="H70" i="45"/>
  <c r="H29" i="45"/>
  <c r="H71" i="45"/>
  <c r="H16" i="45"/>
  <c r="H72" i="45"/>
  <c r="H7" i="45"/>
  <c r="H73" i="45"/>
  <c r="H12" i="45"/>
  <c r="H74" i="45"/>
  <c r="H18" i="45"/>
  <c r="H75" i="45"/>
  <c r="H27" i="45"/>
  <c r="H76" i="45"/>
  <c r="H63" i="45"/>
  <c r="I63" i="45"/>
  <c r="F25" i="45"/>
  <c r="F64" i="45"/>
  <c r="F21" i="45"/>
  <c r="F65" i="45"/>
  <c r="F17" i="45"/>
  <c r="F66" i="45"/>
  <c r="F5" i="45"/>
  <c r="F67" i="45"/>
  <c r="F9" i="45"/>
  <c r="F68" i="45"/>
  <c r="F24" i="45"/>
  <c r="F69" i="45"/>
  <c r="F20" i="45"/>
  <c r="F70" i="45"/>
  <c r="F29" i="45"/>
  <c r="F71" i="45"/>
  <c r="F16" i="45"/>
  <c r="F72" i="45"/>
  <c r="F7" i="45"/>
  <c r="F73" i="45"/>
  <c r="F12" i="45"/>
  <c r="F74" i="45"/>
  <c r="F18" i="45"/>
  <c r="F75" i="45"/>
  <c r="F27" i="45"/>
  <c r="F76" i="45"/>
  <c r="F63" i="45"/>
  <c r="G63" i="45"/>
  <c r="L23" i="45"/>
  <c r="L49" i="45"/>
  <c r="L50" i="45"/>
  <c r="L51" i="45"/>
  <c r="L52" i="45"/>
  <c r="L53" i="45"/>
  <c r="L54" i="45"/>
  <c r="L55" i="45"/>
  <c r="L56" i="45"/>
  <c r="L57" i="45"/>
  <c r="L58" i="45"/>
  <c r="L59" i="45"/>
  <c r="L60" i="45"/>
  <c r="L61" i="45"/>
  <c r="L62" i="45"/>
  <c r="L48" i="45"/>
  <c r="M48" i="45"/>
  <c r="D23" i="45"/>
  <c r="J23" i="45"/>
  <c r="J49" i="45"/>
  <c r="J50" i="45"/>
  <c r="J51" i="45"/>
  <c r="J52" i="45"/>
  <c r="J53" i="45"/>
  <c r="J54" i="45"/>
  <c r="J55" i="45"/>
  <c r="J56" i="45"/>
  <c r="J57" i="45"/>
  <c r="J58" i="45"/>
  <c r="J59" i="45"/>
  <c r="J60" i="45"/>
  <c r="J61" i="45"/>
  <c r="J62" i="45"/>
  <c r="J48" i="45"/>
  <c r="K48" i="45"/>
  <c r="H23" i="45"/>
  <c r="H49" i="45"/>
  <c r="H50" i="45"/>
  <c r="H51" i="45"/>
  <c r="H52" i="45"/>
  <c r="H53" i="45"/>
  <c r="H54" i="45"/>
  <c r="H55" i="45"/>
  <c r="H56" i="45"/>
  <c r="H57" i="45"/>
  <c r="H58" i="45"/>
  <c r="H59" i="45"/>
  <c r="H60" i="45"/>
  <c r="H61" i="45"/>
  <c r="H62" i="45"/>
  <c r="H48" i="45"/>
  <c r="I48" i="45"/>
  <c r="F23" i="45"/>
  <c r="F49" i="45"/>
  <c r="F50" i="45"/>
  <c r="F51" i="45"/>
  <c r="F52" i="45"/>
  <c r="F53" i="45"/>
  <c r="F54" i="45"/>
  <c r="F55" i="45"/>
  <c r="F56" i="45"/>
  <c r="F57" i="45"/>
  <c r="F58" i="45"/>
  <c r="F59" i="45"/>
  <c r="F60" i="45"/>
  <c r="F61" i="45"/>
  <c r="F62" i="45"/>
  <c r="F48" i="45"/>
  <c r="G48" i="45"/>
  <c r="L10" i="45"/>
  <c r="L46" i="45"/>
  <c r="L6" i="45"/>
  <c r="L47" i="45"/>
  <c r="L45" i="45"/>
  <c r="M45" i="45"/>
  <c r="D10" i="45"/>
  <c r="J10" i="45"/>
  <c r="J46" i="45"/>
  <c r="D6" i="45"/>
  <c r="J6" i="45"/>
  <c r="J47" i="45"/>
  <c r="J45" i="45"/>
  <c r="K45" i="45"/>
  <c r="H10" i="45"/>
  <c r="H46" i="45"/>
  <c r="H6" i="45"/>
  <c r="H47" i="45"/>
  <c r="H45" i="45"/>
  <c r="I45" i="45"/>
  <c r="F10" i="45"/>
  <c r="F46" i="45"/>
  <c r="F6" i="45"/>
  <c r="F47" i="45"/>
  <c r="F45" i="45"/>
  <c r="G45" i="45"/>
  <c r="L3" i="45"/>
  <c r="L32" i="45"/>
  <c r="L13" i="45"/>
  <c r="L33" i="45"/>
  <c r="L14" i="45"/>
  <c r="L34" i="45"/>
  <c r="L30" i="45"/>
  <c r="L35" i="45"/>
  <c r="L26" i="45"/>
  <c r="L36" i="45"/>
  <c r="L22" i="45"/>
  <c r="L37" i="45"/>
  <c r="L2" i="45"/>
  <c r="L38" i="45"/>
  <c r="L11" i="45"/>
  <c r="L39" i="45"/>
  <c r="L4" i="45"/>
  <c r="L40" i="45"/>
  <c r="L8" i="45"/>
  <c r="L41" i="45"/>
  <c r="L19" i="45"/>
  <c r="L42" i="45"/>
  <c r="L28" i="45"/>
  <c r="L43" i="45"/>
  <c r="L15" i="45"/>
  <c r="L44" i="45"/>
  <c r="L31" i="45"/>
  <c r="M31" i="45"/>
  <c r="D3" i="45"/>
  <c r="J3" i="45"/>
  <c r="J32" i="45"/>
  <c r="D13" i="45"/>
  <c r="J13" i="45"/>
  <c r="J33" i="45"/>
  <c r="D14" i="45"/>
  <c r="J14" i="45"/>
  <c r="J34" i="45"/>
  <c r="D30" i="45"/>
  <c r="J30" i="45"/>
  <c r="J35" i="45"/>
  <c r="D26" i="45"/>
  <c r="J26" i="45"/>
  <c r="J36" i="45"/>
  <c r="D22" i="45"/>
  <c r="J22" i="45"/>
  <c r="J37" i="45"/>
  <c r="D2" i="45"/>
  <c r="J2" i="45"/>
  <c r="J38" i="45"/>
  <c r="D11" i="45"/>
  <c r="J11" i="45"/>
  <c r="J39" i="45"/>
  <c r="D4" i="45"/>
  <c r="J4" i="45"/>
  <c r="J40" i="45"/>
  <c r="D8" i="45"/>
  <c r="J8" i="45"/>
  <c r="J41" i="45"/>
  <c r="D19" i="45"/>
  <c r="J19" i="45"/>
  <c r="J42" i="45"/>
  <c r="D28" i="45"/>
  <c r="J28" i="45"/>
  <c r="J43" i="45"/>
  <c r="D15" i="45"/>
  <c r="J15" i="45"/>
  <c r="J44" i="45"/>
  <c r="J31" i="45"/>
  <c r="K31" i="45"/>
  <c r="H3" i="45"/>
  <c r="H32" i="45"/>
  <c r="H13" i="45"/>
  <c r="H33" i="45"/>
  <c r="H14" i="45"/>
  <c r="H34" i="45"/>
  <c r="H30" i="45"/>
  <c r="H35" i="45"/>
  <c r="H26" i="45"/>
  <c r="H36" i="45"/>
  <c r="H22" i="45"/>
  <c r="H37" i="45"/>
  <c r="H2" i="45"/>
  <c r="H38" i="45"/>
  <c r="H11" i="45"/>
  <c r="H39" i="45"/>
  <c r="H4" i="45"/>
  <c r="H40" i="45"/>
  <c r="H8" i="45"/>
  <c r="H41" i="45"/>
  <c r="H19" i="45"/>
  <c r="H42" i="45"/>
  <c r="H28" i="45"/>
  <c r="H43" i="45"/>
  <c r="H15" i="45"/>
  <c r="H44" i="45"/>
  <c r="H31" i="45"/>
  <c r="I31" i="45"/>
  <c r="F3" i="45"/>
  <c r="F32" i="45"/>
  <c r="F13" i="45"/>
  <c r="F33" i="45"/>
  <c r="F14" i="45"/>
  <c r="F34" i="45"/>
  <c r="F30" i="45"/>
  <c r="F35" i="45"/>
  <c r="F26" i="45"/>
  <c r="F36" i="45"/>
  <c r="F22" i="45"/>
  <c r="F37" i="45"/>
  <c r="F2" i="45"/>
  <c r="F38" i="45"/>
  <c r="F11" i="45"/>
  <c r="F39" i="45"/>
  <c r="F4" i="45"/>
  <c r="F40" i="45"/>
  <c r="F8" i="45"/>
  <c r="F41" i="45"/>
  <c r="F19" i="45"/>
  <c r="F42" i="45"/>
  <c r="F28" i="45"/>
  <c r="F43" i="45"/>
  <c r="F15" i="45"/>
  <c r="F44" i="45"/>
  <c r="F31" i="45"/>
  <c r="G31" i="45"/>
  <c r="M30" i="45"/>
  <c r="K30" i="45"/>
  <c r="I30" i="45"/>
  <c r="G30" i="45"/>
  <c r="M29" i="45"/>
  <c r="K29" i="45"/>
  <c r="I29" i="45"/>
  <c r="G29" i="45"/>
  <c r="M28" i="45"/>
  <c r="K28" i="45"/>
  <c r="I28" i="45"/>
  <c r="G28" i="45"/>
  <c r="M27" i="45"/>
  <c r="K27" i="45"/>
  <c r="I27" i="45"/>
  <c r="G27" i="45"/>
  <c r="M26" i="45"/>
  <c r="K26" i="45"/>
  <c r="I26" i="45"/>
  <c r="G26" i="45"/>
  <c r="M25" i="45"/>
  <c r="K25" i="45"/>
  <c r="I25" i="45"/>
  <c r="G25" i="45"/>
  <c r="M24" i="45"/>
  <c r="K24" i="45"/>
  <c r="I24" i="45"/>
  <c r="G24" i="45"/>
  <c r="M23" i="45"/>
  <c r="K23" i="45"/>
  <c r="I23" i="45"/>
  <c r="G23" i="45"/>
  <c r="M22" i="45"/>
  <c r="K22" i="45"/>
  <c r="I22" i="45"/>
  <c r="G22" i="45"/>
  <c r="M21" i="45"/>
  <c r="K21" i="45"/>
  <c r="I21" i="45"/>
  <c r="G21" i="45"/>
  <c r="M20" i="45"/>
  <c r="K20" i="45"/>
  <c r="I20" i="45"/>
  <c r="G20" i="45"/>
  <c r="M19" i="45"/>
  <c r="K19" i="45"/>
  <c r="I19" i="45"/>
  <c r="G19" i="45"/>
  <c r="M18" i="45"/>
  <c r="K18" i="45"/>
  <c r="I18" i="45"/>
  <c r="G18" i="45"/>
  <c r="M17" i="45"/>
  <c r="K17" i="45"/>
  <c r="I17" i="45"/>
  <c r="G17" i="45"/>
  <c r="M16" i="45"/>
  <c r="K16" i="45"/>
  <c r="I16" i="45"/>
  <c r="G16" i="45"/>
  <c r="M15" i="45"/>
  <c r="K15" i="45"/>
  <c r="I15" i="45"/>
  <c r="G15" i="45"/>
  <c r="M14" i="45"/>
  <c r="K14" i="45"/>
  <c r="I14" i="45"/>
  <c r="G14" i="45"/>
  <c r="M13" i="45"/>
  <c r="K13" i="45"/>
  <c r="I13" i="45"/>
  <c r="G13" i="45"/>
  <c r="M12" i="45"/>
  <c r="K12" i="45"/>
  <c r="I12" i="45"/>
  <c r="G12" i="45"/>
  <c r="M11" i="45"/>
  <c r="K11" i="45"/>
  <c r="I11" i="45"/>
  <c r="G11" i="45"/>
  <c r="M10" i="45"/>
  <c r="K10" i="45"/>
  <c r="I10" i="45"/>
  <c r="G10" i="45"/>
  <c r="M9" i="45"/>
  <c r="K9" i="45"/>
  <c r="I9" i="45"/>
  <c r="G9" i="45"/>
  <c r="M8" i="45"/>
  <c r="K8" i="45"/>
  <c r="I8" i="45"/>
  <c r="G8" i="45"/>
  <c r="M7" i="45"/>
  <c r="K7" i="45"/>
  <c r="I7" i="45"/>
  <c r="G7" i="45"/>
  <c r="M6" i="45"/>
  <c r="K6" i="45"/>
  <c r="I6" i="45"/>
  <c r="G6" i="45"/>
  <c r="M5" i="45"/>
  <c r="K5" i="45"/>
  <c r="I5" i="45"/>
  <c r="G5" i="45"/>
  <c r="M4" i="45"/>
  <c r="K4" i="45"/>
  <c r="I4" i="45"/>
  <c r="G4" i="45"/>
  <c r="M3" i="45"/>
  <c r="K3" i="45"/>
  <c r="I3" i="45"/>
  <c r="G3" i="45"/>
  <c r="M2" i="45"/>
  <c r="K2" i="45"/>
  <c r="I2" i="45"/>
  <c r="G2" i="45"/>
  <c r="M76" i="45"/>
  <c r="K76" i="45"/>
  <c r="I76" i="45"/>
  <c r="G76" i="45"/>
  <c r="E76" i="45"/>
  <c r="D76" i="45"/>
  <c r="M75" i="45"/>
  <c r="K75" i="45"/>
  <c r="I75" i="45"/>
  <c r="G75" i="45"/>
  <c r="E75" i="45"/>
  <c r="D75" i="45"/>
  <c r="M74" i="45"/>
  <c r="K74" i="45"/>
  <c r="I74" i="45"/>
  <c r="G74" i="45"/>
  <c r="E74" i="45"/>
  <c r="D74" i="45"/>
  <c r="M73" i="45"/>
  <c r="K73" i="45"/>
  <c r="I73" i="45"/>
  <c r="G73" i="45"/>
  <c r="E73" i="45"/>
  <c r="D73" i="45"/>
  <c r="M72" i="45"/>
  <c r="K72" i="45"/>
  <c r="I72" i="45"/>
  <c r="G72" i="45"/>
  <c r="E72" i="45"/>
  <c r="D72" i="45"/>
  <c r="M71" i="45"/>
  <c r="K71" i="45"/>
  <c r="I71" i="45"/>
  <c r="G71" i="45"/>
  <c r="E71" i="45"/>
  <c r="D71" i="45"/>
  <c r="M70" i="45"/>
  <c r="K70" i="45"/>
  <c r="I70" i="45"/>
  <c r="G70" i="45"/>
  <c r="E70" i="45"/>
  <c r="D70" i="45"/>
  <c r="M69" i="45"/>
  <c r="K69" i="45"/>
  <c r="I69" i="45"/>
  <c r="G69" i="45"/>
  <c r="E69" i="45"/>
  <c r="D69" i="45"/>
  <c r="M68" i="45"/>
  <c r="K68" i="45"/>
  <c r="I68" i="45"/>
  <c r="G68" i="45"/>
  <c r="E68" i="45"/>
  <c r="D68" i="45"/>
  <c r="M67" i="45"/>
  <c r="K67" i="45"/>
  <c r="I67" i="45"/>
  <c r="G67" i="45"/>
  <c r="E67" i="45"/>
  <c r="D67" i="45"/>
  <c r="M66" i="45"/>
  <c r="K66" i="45"/>
  <c r="I66" i="45"/>
  <c r="G66" i="45"/>
  <c r="E66" i="45"/>
  <c r="D66" i="45"/>
  <c r="M65" i="45"/>
  <c r="K65" i="45"/>
  <c r="I65" i="45"/>
  <c r="G65" i="45"/>
  <c r="E65" i="45"/>
  <c r="D65" i="45"/>
  <c r="M64" i="45"/>
  <c r="K64" i="45"/>
  <c r="I64" i="45"/>
  <c r="G64" i="45"/>
  <c r="E64" i="45"/>
  <c r="D64" i="45"/>
  <c r="E63" i="45"/>
  <c r="D63" i="45"/>
  <c r="M62" i="45"/>
  <c r="K62" i="45"/>
  <c r="I62" i="45"/>
  <c r="G62" i="45"/>
  <c r="E62" i="45"/>
  <c r="D62" i="45"/>
  <c r="M61" i="45"/>
  <c r="K61" i="45"/>
  <c r="I61" i="45"/>
  <c r="G61" i="45"/>
  <c r="E61" i="45"/>
  <c r="D61" i="45"/>
  <c r="M60" i="45"/>
  <c r="K60" i="45"/>
  <c r="I60" i="45"/>
  <c r="G60" i="45"/>
  <c r="E60" i="45"/>
  <c r="D60" i="45"/>
  <c r="M59" i="45"/>
  <c r="K59" i="45"/>
  <c r="I59" i="45"/>
  <c r="G59" i="45"/>
  <c r="E59" i="45"/>
  <c r="D59" i="45"/>
  <c r="M58" i="45"/>
  <c r="K58" i="45"/>
  <c r="I58" i="45"/>
  <c r="G58" i="45"/>
  <c r="E58" i="45"/>
  <c r="D58" i="45"/>
  <c r="M57" i="45"/>
  <c r="K57" i="45"/>
  <c r="I57" i="45"/>
  <c r="G57" i="45"/>
  <c r="E57" i="45"/>
  <c r="D57" i="45"/>
  <c r="M56" i="45"/>
  <c r="K56" i="45"/>
  <c r="I56" i="45"/>
  <c r="G56" i="45"/>
  <c r="E56" i="45"/>
  <c r="D56" i="45"/>
  <c r="M55" i="45"/>
  <c r="K55" i="45"/>
  <c r="I55" i="45"/>
  <c r="G55" i="45"/>
  <c r="E55" i="45"/>
  <c r="D55" i="45"/>
  <c r="M54" i="45"/>
  <c r="K54" i="45"/>
  <c r="I54" i="45"/>
  <c r="G54" i="45"/>
  <c r="E54" i="45"/>
  <c r="D54" i="45"/>
  <c r="M53" i="45"/>
  <c r="K53" i="45"/>
  <c r="I53" i="45"/>
  <c r="G53" i="45"/>
  <c r="E53" i="45"/>
  <c r="D53" i="45"/>
  <c r="M52" i="45"/>
  <c r="K52" i="45"/>
  <c r="I52" i="45"/>
  <c r="G52" i="45"/>
  <c r="E52" i="45"/>
  <c r="D52" i="45"/>
  <c r="M51" i="45"/>
  <c r="K51" i="45"/>
  <c r="I51" i="45"/>
  <c r="G51" i="45"/>
  <c r="E51" i="45"/>
  <c r="D51" i="45"/>
  <c r="M50" i="45"/>
  <c r="K50" i="45"/>
  <c r="I50" i="45"/>
  <c r="G50" i="45"/>
  <c r="E50" i="45"/>
  <c r="D50" i="45"/>
  <c r="M49" i="45"/>
  <c r="K49" i="45"/>
  <c r="I49" i="45"/>
  <c r="G49" i="45"/>
  <c r="E49" i="45"/>
  <c r="D49" i="45"/>
  <c r="E48" i="45"/>
  <c r="D48" i="45"/>
  <c r="M47" i="45"/>
  <c r="K47" i="45"/>
  <c r="I47" i="45"/>
  <c r="G47" i="45"/>
  <c r="E47" i="45"/>
  <c r="D47" i="45"/>
  <c r="M46" i="45"/>
  <c r="K46" i="45"/>
  <c r="I46" i="45"/>
  <c r="G46" i="45"/>
  <c r="E46" i="45"/>
  <c r="D46" i="45"/>
  <c r="E45" i="45"/>
  <c r="D45" i="45"/>
  <c r="M44" i="45"/>
  <c r="K44" i="45"/>
  <c r="I44" i="45"/>
  <c r="G44" i="45"/>
  <c r="E44" i="45"/>
  <c r="D44" i="45"/>
  <c r="M43" i="45"/>
  <c r="K43" i="45"/>
  <c r="I43" i="45"/>
  <c r="G43" i="45"/>
  <c r="E43" i="45"/>
  <c r="D43" i="45"/>
  <c r="M42" i="45"/>
  <c r="K42" i="45"/>
  <c r="I42" i="45"/>
  <c r="G42" i="45"/>
  <c r="E42" i="45"/>
  <c r="D42" i="45"/>
  <c r="M41" i="45"/>
  <c r="K41" i="45"/>
  <c r="I41" i="45"/>
  <c r="G41" i="45"/>
  <c r="E41" i="45"/>
  <c r="D41" i="45"/>
  <c r="M40" i="45"/>
  <c r="K40" i="45"/>
  <c r="I40" i="45"/>
  <c r="G40" i="45"/>
  <c r="E40" i="45"/>
  <c r="D40" i="45"/>
  <c r="M39" i="45"/>
  <c r="K39" i="45"/>
  <c r="I39" i="45"/>
  <c r="G39" i="45"/>
  <c r="E39" i="45"/>
  <c r="D39" i="45"/>
  <c r="M38" i="45"/>
  <c r="K38" i="45"/>
  <c r="I38" i="45"/>
  <c r="G38" i="45"/>
  <c r="E38" i="45"/>
  <c r="D38" i="45"/>
  <c r="M37" i="45"/>
  <c r="K37" i="45"/>
  <c r="I37" i="45"/>
  <c r="G37" i="45"/>
  <c r="E37" i="45"/>
  <c r="D37" i="45"/>
  <c r="M36" i="45"/>
  <c r="K36" i="45"/>
  <c r="I36" i="45"/>
  <c r="G36" i="45"/>
  <c r="E36" i="45"/>
  <c r="D36" i="45"/>
  <c r="M35" i="45"/>
  <c r="K35" i="45"/>
  <c r="I35" i="45"/>
  <c r="G35" i="45"/>
  <c r="E35" i="45"/>
  <c r="D35" i="45"/>
  <c r="M34" i="45"/>
  <c r="K34" i="45"/>
  <c r="I34" i="45"/>
  <c r="G34" i="45"/>
  <c r="E34" i="45"/>
  <c r="D34" i="45"/>
  <c r="M33" i="45"/>
  <c r="K33" i="45"/>
  <c r="I33" i="45"/>
  <c r="G33" i="45"/>
  <c r="E33" i="45"/>
  <c r="D33" i="45"/>
  <c r="M32" i="45"/>
  <c r="K32" i="45"/>
  <c r="I32" i="45"/>
  <c r="G32" i="45"/>
  <c r="E32" i="45"/>
  <c r="D32" i="45"/>
  <c r="E31" i="45"/>
  <c r="D31" i="45"/>
  <c r="BJ76" i="16"/>
  <c r="BI76" i="16"/>
  <c r="BC27" i="16"/>
  <c r="BF76" i="16"/>
  <c r="BA76" i="16"/>
  <c r="AY76" i="16"/>
  <c r="AX76" i="16"/>
  <c r="AW76" i="16"/>
  <c r="AV76" i="16"/>
  <c r="AP27" i="16"/>
  <c r="AQ76" i="16"/>
  <c r="AN76" i="16"/>
  <c r="AE76" i="16"/>
  <c r="AD76" i="16"/>
  <c r="AC76" i="16"/>
  <c r="AB76" i="16"/>
  <c r="AA76" i="16"/>
  <c r="U76" i="16"/>
  <c r="O76" i="16"/>
  <c r="M76" i="16"/>
  <c r="L76" i="16"/>
  <c r="K76" i="16"/>
  <c r="J76" i="16"/>
  <c r="I76" i="16"/>
  <c r="BL18" i="16"/>
  <c r="BK18" i="16"/>
  <c r="BJ75" i="16"/>
  <c r="BI75" i="16"/>
  <c r="BB18" i="16"/>
  <c r="BC18" i="16"/>
  <c r="BF75" i="16"/>
  <c r="BA75" i="16"/>
  <c r="AY75" i="16"/>
  <c r="AX75" i="16"/>
  <c r="AW75" i="16"/>
  <c r="AV75" i="16"/>
  <c r="AO18" i="16"/>
  <c r="AP18" i="16"/>
  <c r="AQ75" i="16"/>
  <c r="AN75" i="16"/>
  <c r="AE75" i="16"/>
  <c r="AD75" i="16"/>
  <c r="AC75" i="16"/>
  <c r="AB75" i="16"/>
  <c r="AA75" i="16"/>
  <c r="P18" i="16"/>
  <c r="Q18" i="16"/>
  <c r="U75" i="16"/>
  <c r="O75" i="16"/>
  <c r="M75" i="16"/>
  <c r="L75" i="16"/>
  <c r="K75" i="16"/>
  <c r="J75" i="16"/>
  <c r="I75" i="16"/>
  <c r="BJ74" i="16"/>
  <c r="BI74" i="16"/>
  <c r="BC12" i="16"/>
  <c r="BF74" i="16"/>
  <c r="BA74" i="16"/>
  <c r="AY74" i="16"/>
  <c r="AX74" i="16"/>
  <c r="AW74" i="16"/>
  <c r="AV74" i="16"/>
  <c r="AP12" i="16"/>
  <c r="AQ74" i="16"/>
  <c r="AN74" i="16"/>
  <c r="AE74" i="16"/>
  <c r="AD74" i="16"/>
  <c r="AC74" i="16"/>
  <c r="AB74" i="16"/>
  <c r="AA74" i="16"/>
  <c r="U74" i="16"/>
  <c r="O74" i="16"/>
  <c r="M74" i="16"/>
  <c r="L74" i="16"/>
  <c r="K74" i="16"/>
  <c r="J74" i="16"/>
  <c r="I74" i="16"/>
  <c r="BL7" i="16"/>
  <c r="BK7" i="16"/>
  <c r="BJ73" i="16"/>
  <c r="BI73" i="16"/>
  <c r="BB7" i="16"/>
  <c r="BC7" i="16"/>
  <c r="BF73" i="16"/>
  <c r="BA73" i="16"/>
  <c r="AY73" i="16"/>
  <c r="AX73" i="16"/>
  <c r="AW73" i="16"/>
  <c r="AV73" i="16"/>
  <c r="AO7" i="16"/>
  <c r="AP7" i="16"/>
  <c r="AQ73" i="16"/>
  <c r="AN73" i="16"/>
  <c r="AE73" i="16"/>
  <c r="AD73" i="16"/>
  <c r="AC73" i="16"/>
  <c r="AB73" i="16"/>
  <c r="AA73" i="16"/>
  <c r="P7" i="16"/>
  <c r="Q7" i="16"/>
  <c r="U73" i="16"/>
  <c r="O73" i="16"/>
  <c r="M73" i="16"/>
  <c r="L73" i="16"/>
  <c r="K73" i="16"/>
  <c r="J73" i="16"/>
  <c r="I73" i="16"/>
  <c r="BL16" i="16"/>
  <c r="BK16" i="16"/>
  <c r="BJ72" i="16"/>
  <c r="BI72" i="16"/>
  <c r="BB16" i="16"/>
  <c r="BC16" i="16"/>
  <c r="BF72" i="16"/>
  <c r="BA72" i="16"/>
  <c r="AY72" i="16"/>
  <c r="AX72" i="16"/>
  <c r="AW72" i="16"/>
  <c r="AV72" i="16"/>
  <c r="AO16" i="16"/>
  <c r="AP16" i="16"/>
  <c r="AQ72" i="16"/>
  <c r="AN72" i="16"/>
  <c r="AE72" i="16"/>
  <c r="AD72" i="16"/>
  <c r="AC72" i="16"/>
  <c r="AB72" i="16"/>
  <c r="AA72" i="16"/>
  <c r="P16" i="16"/>
  <c r="Q16" i="16"/>
  <c r="U72" i="16"/>
  <c r="O72" i="16"/>
  <c r="M72" i="16"/>
  <c r="L72" i="16"/>
  <c r="K72" i="16"/>
  <c r="J72" i="16"/>
  <c r="I72" i="16"/>
  <c r="BJ71" i="16"/>
  <c r="BI71" i="16"/>
  <c r="BC29" i="16"/>
  <c r="BF71" i="16"/>
  <c r="BA71" i="16"/>
  <c r="AY71" i="16"/>
  <c r="AX71" i="16"/>
  <c r="AW71" i="16"/>
  <c r="AV71" i="16"/>
  <c r="AP29" i="16"/>
  <c r="AQ71" i="16"/>
  <c r="AN71" i="16"/>
  <c r="AE71" i="16"/>
  <c r="AD71" i="16"/>
  <c r="AC71" i="16"/>
  <c r="AB71" i="16"/>
  <c r="AA71" i="16"/>
  <c r="U71" i="16"/>
  <c r="O71" i="16"/>
  <c r="M71" i="16"/>
  <c r="L71" i="16"/>
  <c r="K71" i="16"/>
  <c r="J71" i="16"/>
  <c r="I71" i="16"/>
  <c r="BJ70" i="16"/>
  <c r="BI70" i="16"/>
  <c r="BC20" i="16"/>
  <c r="BF70" i="16"/>
  <c r="BA70" i="16"/>
  <c r="AY70" i="16"/>
  <c r="AX70" i="16"/>
  <c r="AW70" i="16"/>
  <c r="AV70" i="16"/>
  <c r="AP20" i="16"/>
  <c r="AQ70" i="16"/>
  <c r="AN70" i="16"/>
  <c r="AE70" i="16"/>
  <c r="AD70" i="16"/>
  <c r="AC70" i="16"/>
  <c r="AB70" i="16"/>
  <c r="AA70" i="16"/>
  <c r="U70" i="16"/>
  <c r="O70" i="16"/>
  <c r="M70" i="16"/>
  <c r="L70" i="16"/>
  <c r="K70" i="16"/>
  <c r="J70" i="16"/>
  <c r="I70" i="16"/>
  <c r="BJ69" i="16"/>
  <c r="BI69" i="16"/>
  <c r="BC24" i="16"/>
  <c r="BF69" i="16"/>
  <c r="BA69" i="16"/>
  <c r="AY69" i="16"/>
  <c r="AX69" i="16"/>
  <c r="AW69" i="16"/>
  <c r="AV69" i="16"/>
  <c r="AP24" i="16"/>
  <c r="AQ69" i="16"/>
  <c r="AN69" i="16"/>
  <c r="AE69" i="16"/>
  <c r="AD69" i="16"/>
  <c r="AC69" i="16"/>
  <c r="AB69" i="16"/>
  <c r="AA69" i="16"/>
  <c r="U69" i="16"/>
  <c r="O69" i="16"/>
  <c r="M69" i="16"/>
  <c r="L69" i="16"/>
  <c r="K69" i="16"/>
  <c r="J69" i="16"/>
  <c r="I69" i="16"/>
  <c r="BL9" i="16"/>
  <c r="BK9" i="16"/>
  <c r="BJ68" i="16"/>
  <c r="BI68" i="16"/>
  <c r="BB9" i="16"/>
  <c r="BC9" i="16"/>
  <c r="BF68" i="16"/>
  <c r="BA68" i="16"/>
  <c r="AY68" i="16"/>
  <c r="AX68" i="16"/>
  <c r="AW68" i="16"/>
  <c r="AV68" i="16"/>
  <c r="AO9" i="16"/>
  <c r="AP9" i="16"/>
  <c r="AQ68" i="16"/>
  <c r="AN68" i="16"/>
  <c r="AE68" i="16"/>
  <c r="AD68" i="16"/>
  <c r="AC68" i="16"/>
  <c r="AB68" i="16"/>
  <c r="AA68" i="16"/>
  <c r="P9" i="16"/>
  <c r="Q9" i="16"/>
  <c r="U68" i="16"/>
  <c r="O68" i="16"/>
  <c r="M68" i="16"/>
  <c r="L68" i="16"/>
  <c r="K68" i="16"/>
  <c r="J68" i="16"/>
  <c r="I68" i="16"/>
  <c r="BJ67" i="16"/>
  <c r="BI67" i="16"/>
  <c r="BC5" i="16"/>
  <c r="BF67" i="16"/>
  <c r="BA67" i="16"/>
  <c r="AY67" i="16"/>
  <c r="AX67" i="16"/>
  <c r="AW67" i="16"/>
  <c r="AV67" i="16"/>
  <c r="AP5" i="16"/>
  <c r="AQ67" i="16"/>
  <c r="AN67" i="16"/>
  <c r="AE67" i="16"/>
  <c r="AD67" i="16"/>
  <c r="AC67" i="16"/>
  <c r="AB67" i="16"/>
  <c r="AA67" i="16"/>
  <c r="U67" i="16"/>
  <c r="O67" i="16"/>
  <c r="M67" i="16"/>
  <c r="L67" i="16"/>
  <c r="K67" i="16"/>
  <c r="J67" i="16"/>
  <c r="I67" i="16"/>
  <c r="BL17" i="16"/>
  <c r="BK17" i="16"/>
  <c r="BJ66" i="16"/>
  <c r="BI66" i="16"/>
  <c r="BB17" i="16"/>
  <c r="BC17" i="16"/>
  <c r="BF66" i="16"/>
  <c r="BA66" i="16"/>
  <c r="AY66" i="16"/>
  <c r="AX66" i="16"/>
  <c r="AW66" i="16"/>
  <c r="AV66" i="16"/>
  <c r="AO17" i="16"/>
  <c r="AP17" i="16"/>
  <c r="AQ66" i="16"/>
  <c r="AN66" i="16"/>
  <c r="AE66" i="16"/>
  <c r="AD66" i="16"/>
  <c r="AC66" i="16"/>
  <c r="AB66" i="16"/>
  <c r="AA66" i="16"/>
  <c r="P17" i="16"/>
  <c r="Q17" i="16"/>
  <c r="U66" i="16"/>
  <c r="O66" i="16"/>
  <c r="M66" i="16"/>
  <c r="L66" i="16"/>
  <c r="K66" i="16"/>
  <c r="J66" i="16"/>
  <c r="I66" i="16"/>
  <c r="BJ65" i="16"/>
  <c r="BI65" i="16"/>
  <c r="BC21" i="16"/>
  <c r="BF65" i="16"/>
  <c r="BA65" i="16"/>
  <c r="AY65" i="16"/>
  <c r="AX65" i="16"/>
  <c r="AW65" i="16"/>
  <c r="AV65" i="16"/>
  <c r="AO21" i="16"/>
  <c r="AP21" i="16"/>
  <c r="AQ65" i="16"/>
  <c r="AN65" i="16"/>
  <c r="AE65" i="16"/>
  <c r="AD65" i="16"/>
  <c r="AC65" i="16"/>
  <c r="AB65" i="16"/>
  <c r="AA65" i="16"/>
  <c r="Q21" i="16"/>
  <c r="U65" i="16"/>
  <c r="O65" i="16"/>
  <c r="M65" i="16"/>
  <c r="L65" i="16"/>
  <c r="K65" i="16"/>
  <c r="J65" i="16"/>
  <c r="I65" i="16"/>
  <c r="BJ64" i="16"/>
  <c r="BI64" i="16"/>
  <c r="BC25" i="16"/>
  <c r="BF64" i="16"/>
  <c r="BA64" i="16"/>
  <c r="AY64" i="16"/>
  <c r="AX64" i="16"/>
  <c r="AW64" i="16"/>
  <c r="AV64" i="16"/>
  <c r="AO25" i="16"/>
  <c r="AP25" i="16"/>
  <c r="AQ64" i="16"/>
  <c r="AN64" i="16"/>
  <c r="AE64" i="16"/>
  <c r="AD64" i="16"/>
  <c r="AC64" i="16"/>
  <c r="AB64" i="16"/>
  <c r="AA64" i="16"/>
  <c r="Q25" i="16"/>
  <c r="U64" i="16"/>
  <c r="O64" i="16"/>
  <c r="M64" i="16"/>
  <c r="L64" i="16"/>
  <c r="K64" i="16"/>
  <c r="J64" i="16"/>
  <c r="I64" i="16"/>
  <c r="BL63" i="16"/>
  <c r="BK63" i="16"/>
  <c r="BF63" i="16"/>
  <c r="BE63" i="16"/>
  <c r="BD63" i="16"/>
  <c r="BC63" i="16"/>
  <c r="BB63" i="16"/>
  <c r="AU63" i="16"/>
  <c r="AY63" i="16"/>
  <c r="AT63" i="16"/>
  <c r="AX63" i="16"/>
  <c r="AS63" i="16"/>
  <c r="AW63" i="16"/>
  <c r="AR63" i="16"/>
  <c r="AV63" i="16"/>
  <c r="AQ63" i="16"/>
  <c r="AP63" i="16"/>
  <c r="AO63" i="16"/>
  <c r="AL63" i="16"/>
  <c r="AK63" i="16"/>
  <c r="AJ63" i="16"/>
  <c r="AI63" i="16"/>
  <c r="AH63" i="16"/>
  <c r="AG63" i="16"/>
  <c r="AF63" i="16"/>
  <c r="U63" i="16"/>
  <c r="T63" i="16"/>
  <c r="S63" i="16"/>
  <c r="R63" i="16"/>
  <c r="Q63" i="16"/>
  <c r="P63" i="16"/>
  <c r="H63" i="16"/>
  <c r="M63" i="16"/>
  <c r="G63" i="16"/>
  <c r="L63" i="16"/>
  <c r="F63" i="16"/>
  <c r="K63" i="16"/>
  <c r="E63" i="16"/>
  <c r="J63" i="16"/>
  <c r="D63" i="16"/>
  <c r="I63" i="16"/>
  <c r="BJ62" i="16"/>
  <c r="BI62" i="16"/>
  <c r="BF62" i="16"/>
  <c r="BA62" i="16"/>
  <c r="AY62" i="16"/>
  <c r="AX62" i="16"/>
  <c r="AW62" i="16"/>
  <c r="AV62" i="16"/>
  <c r="AQ62" i="16"/>
  <c r="AN62" i="16"/>
  <c r="AE62" i="16"/>
  <c r="AD62" i="16"/>
  <c r="AC62" i="16"/>
  <c r="AB62" i="16"/>
  <c r="AA62" i="16"/>
  <c r="U62" i="16"/>
  <c r="O62" i="16"/>
  <c r="M62" i="16"/>
  <c r="L62" i="16"/>
  <c r="K62" i="16"/>
  <c r="J62" i="16"/>
  <c r="I62" i="16"/>
  <c r="BJ61" i="16"/>
  <c r="BI61" i="16"/>
  <c r="BF61" i="16"/>
  <c r="BA61" i="16"/>
  <c r="AY61" i="16"/>
  <c r="AX61" i="16"/>
  <c r="AW61" i="16"/>
  <c r="AV61" i="16"/>
  <c r="AQ61" i="16"/>
  <c r="AN61" i="16"/>
  <c r="AE61" i="16"/>
  <c r="AD61" i="16"/>
  <c r="AC61" i="16"/>
  <c r="AB61" i="16"/>
  <c r="AA61" i="16"/>
  <c r="U61" i="16"/>
  <c r="O61" i="16"/>
  <c r="M61" i="16"/>
  <c r="L61" i="16"/>
  <c r="K61" i="16"/>
  <c r="J61" i="16"/>
  <c r="I61" i="16"/>
  <c r="BJ60" i="16"/>
  <c r="BI60" i="16"/>
  <c r="BF60" i="16"/>
  <c r="BA60" i="16"/>
  <c r="AY60" i="16"/>
  <c r="AX60" i="16"/>
  <c r="AW60" i="16"/>
  <c r="AV60" i="16"/>
  <c r="AQ60" i="16"/>
  <c r="AN60" i="16"/>
  <c r="AE60" i="16"/>
  <c r="AD60" i="16"/>
  <c r="AC60" i="16"/>
  <c r="AB60" i="16"/>
  <c r="AA60" i="16"/>
  <c r="U60" i="16"/>
  <c r="O60" i="16"/>
  <c r="M60" i="16"/>
  <c r="L60" i="16"/>
  <c r="K60" i="16"/>
  <c r="J60" i="16"/>
  <c r="I60" i="16"/>
  <c r="BJ59" i="16"/>
  <c r="BI59" i="16"/>
  <c r="BF59" i="16"/>
  <c r="BA59" i="16"/>
  <c r="AY59" i="16"/>
  <c r="AX59" i="16"/>
  <c r="AW59" i="16"/>
  <c r="AV59" i="16"/>
  <c r="AQ59" i="16"/>
  <c r="AN59" i="16"/>
  <c r="AE59" i="16"/>
  <c r="AD59" i="16"/>
  <c r="AC59" i="16"/>
  <c r="AB59" i="16"/>
  <c r="AA59" i="16"/>
  <c r="U59" i="16"/>
  <c r="O59" i="16"/>
  <c r="M59" i="16"/>
  <c r="L59" i="16"/>
  <c r="K59" i="16"/>
  <c r="J59" i="16"/>
  <c r="I59" i="16"/>
  <c r="BJ58" i="16"/>
  <c r="BI58" i="16"/>
  <c r="BF58" i="16"/>
  <c r="BA58" i="16"/>
  <c r="AY58" i="16"/>
  <c r="AX58" i="16"/>
  <c r="AW58" i="16"/>
  <c r="AV58" i="16"/>
  <c r="AQ58" i="16"/>
  <c r="AN58" i="16"/>
  <c r="AE58" i="16"/>
  <c r="AD58" i="16"/>
  <c r="AC58" i="16"/>
  <c r="AB58" i="16"/>
  <c r="AA58" i="16"/>
  <c r="U58" i="16"/>
  <c r="O58" i="16"/>
  <c r="M58" i="16"/>
  <c r="L58" i="16"/>
  <c r="K58" i="16"/>
  <c r="J58" i="16"/>
  <c r="I58" i="16"/>
  <c r="BJ57" i="16"/>
  <c r="BI57" i="16"/>
  <c r="BF57" i="16"/>
  <c r="BA57" i="16"/>
  <c r="AY57" i="16"/>
  <c r="AX57" i="16"/>
  <c r="AW57" i="16"/>
  <c r="AV57" i="16"/>
  <c r="AQ57" i="16"/>
  <c r="AN57" i="16"/>
  <c r="AE57" i="16"/>
  <c r="AD57" i="16"/>
  <c r="AC57" i="16"/>
  <c r="AB57" i="16"/>
  <c r="AA57" i="16"/>
  <c r="U57" i="16"/>
  <c r="O57" i="16"/>
  <c r="M57" i="16"/>
  <c r="L57" i="16"/>
  <c r="K57" i="16"/>
  <c r="J57" i="16"/>
  <c r="I57" i="16"/>
  <c r="BJ56" i="16"/>
  <c r="BI56" i="16"/>
  <c r="BF56" i="16"/>
  <c r="BA56" i="16"/>
  <c r="AY56" i="16"/>
  <c r="AX56" i="16"/>
  <c r="AW56" i="16"/>
  <c r="AV56" i="16"/>
  <c r="AQ56" i="16"/>
  <c r="AN56" i="16"/>
  <c r="AE56" i="16"/>
  <c r="AD56" i="16"/>
  <c r="AC56" i="16"/>
  <c r="AB56" i="16"/>
  <c r="AA56" i="16"/>
  <c r="U56" i="16"/>
  <c r="O56" i="16"/>
  <c r="M56" i="16"/>
  <c r="L56" i="16"/>
  <c r="K56" i="16"/>
  <c r="J56" i="16"/>
  <c r="I56" i="16"/>
  <c r="BJ55" i="16"/>
  <c r="BI55" i="16"/>
  <c r="BF55" i="16"/>
  <c r="BA55" i="16"/>
  <c r="AY55" i="16"/>
  <c r="AX55" i="16"/>
  <c r="AW55" i="16"/>
  <c r="AV55" i="16"/>
  <c r="AQ55" i="16"/>
  <c r="AN55" i="16"/>
  <c r="AE55" i="16"/>
  <c r="AD55" i="16"/>
  <c r="AC55" i="16"/>
  <c r="AB55" i="16"/>
  <c r="AA55" i="16"/>
  <c r="U55" i="16"/>
  <c r="O55" i="16"/>
  <c r="M55" i="16"/>
  <c r="L55" i="16"/>
  <c r="K55" i="16"/>
  <c r="J55" i="16"/>
  <c r="I55" i="16"/>
  <c r="BJ54" i="16"/>
  <c r="BI54" i="16"/>
  <c r="BF54" i="16"/>
  <c r="BA54" i="16"/>
  <c r="AY54" i="16"/>
  <c r="AX54" i="16"/>
  <c r="AW54" i="16"/>
  <c r="AV54" i="16"/>
  <c r="AQ54" i="16"/>
  <c r="AN54" i="16"/>
  <c r="AE54" i="16"/>
  <c r="AD54" i="16"/>
  <c r="AC54" i="16"/>
  <c r="AB54" i="16"/>
  <c r="AA54" i="16"/>
  <c r="U54" i="16"/>
  <c r="O54" i="16"/>
  <c r="M54" i="16"/>
  <c r="L54" i="16"/>
  <c r="K54" i="16"/>
  <c r="J54" i="16"/>
  <c r="I54" i="16"/>
  <c r="BJ53" i="16"/>
  <c r="BI53" i="16"/>
  <c r="BF53" i="16"/>
  <c r="BA53" i="16"/>
  <c r="AY53" i="16"/>
  <c r="AX53" i="16"/>
  <c r="AW53" i="16"/>
  <c r="AV53" i="16"/>
  <c r="AQ53" i="16"/>
  <c r="AN53" i="16"/>
  <c r="AE53" i="16"/>
  <c r="AD53" i="16"/>
  <c r="AC53" i="16"/>
  <c r="AB53" i="16"/>
  <c r="AA53" i="16"/>
  <c r="U53" i="16"/>
  <c r="O53" i="16"/>
  <c r="M53" i="16"/>
  <c r="L53" i="16"/>
  <c r="K53" i="16"/>
  <c r="J53" i="16"/>
  <c r="I53" i="16"/>
  <c r="BJ52" i="16"/>
  <c r="BI52" i="16"/>
  <c r="BF52" i="16"/>
  <c r="BA52" i="16"/>
  <c r="AY52" i="16"/>
  <c r="AX52" i="16"/>
  <c r="AW52" i="16"/>
  <c r="AV52" i="16"/>
  <c r="AQ52" i="16"/>
  <c r="AN52" i="16"/>
  <c r="AE52" i="16"/>
  <c r="AD52" i="16"/>
  <c r="AC52" i="16"/>
  <c r="AB52" i="16"/>
  <c r="AA52" i="16"/>
  <c r="U52" i="16"/>
  <c r="O52" i="16"/>
  <c r="M52" i="16"/>
  <c r="L52" i="16"/>
  <c r="K52" i="16"/>
  <c r="J52" i="16"/>
  <c r="I52" i="16"/>
  <c r="BJ51" i="16"/>
  <c r="BI51" i="16"/>
  <c r="BF51" i="16"/>
  <c r="BA51" i="16"/>
  <c r="AY51" i="16"/>
  <c r="AX51" i="16"/>
  <c r="AW51" i="16"/>
  <c r="AV51" i="16"/>
  <c r="AQ51" i="16"/>
  <c r="AN51" i="16"/>
  <c r="AE51" i="16"/>
  <c r="AD51" i="16"/>
  <c r="AC51" i="16"/>
  <c r="AB51" i="16"/>
  <c r="AA51" i="16"/>
  <c r="U51" i="16"/>
  <c r="O51" i="16"/>
  <c r="M51" i="16"/>
  <c r="L51" i="16"/>
  <c r="K51" i="16"/>
  <c r="J51" i="16"/>
  <c r="I51" i="16"/>
  <c r="BJ50" i="16"/>
  <c r="BI50" i="16"/>
  <c r="BF50" i="16"/>
  <c r="BA50" i="16"/>
  <c r="AY50" i="16"/>
  <c r="AX50" i="16"/>
  <c r="AW50" i="16"/>
  <c r="AV50" i="16"/>
  <c r="AQ50" i="16"/>
  <c r="AN50" i="16"/>
  <c r="AE50" i="16"/>
  <c r="AD50" i="16"/>
  <c r="AC50" i="16"/>
  <c r="AB50" i="16"/>
  <c r="AA50" i="16"/>
  <c r="U50" i="16"/>
  <c r="O50" i="16"/>
  <c r="M50" i="16"/>
  <c r="L50" i="16"/>
  <c r="K50" i="16"/>
  <c r="J50" i="16"/>
  <c r="I50" i="16"/>
  <c r="BL23" i="16"/>
  <c r="BK23" i="16"/>
  <c r="BJ49" i="16"/>
  <c r="BI49" i="16"/>
  <c r="BB23" i="16"/>
  <c r="BC23" i="16"/>
  <c r="BF49" i="16"/>
  <c r="BA49" i="16"/>
  <c r="AY49" i="16"/>
  <c r="AX49" i="16"/>
  <c r="AW49" i="16"/>
  <c r="AV49" i="16"/>
  <c r="AO23" i="16"/>
  <c r="AP23" i="16"/>
  <c r="AQ49" i="16"/>
  <c r="AN49" i="16"/>
  <c r="AE49" i="16"/>
  <c r="AD49" i="16"/>
  <c r="AC49" i="16"/>
  <c r="AB49" i="16"/>
  <c r="AA49" i="16"/>
  <c r="P23" i="16"/>
  <c r="Q23" i="16"/>
  <c r="U49" i="16"/>
  <c r="O49" i="16"/>
  <c r="M49" i="16"/>
  <c r="L49" i="16"/>
  <c r="K49" i="16"/>
  <c r="J49" i="16"/>
  <c r="I49" i="16"/>
  <c r="BL48" i="16"/>
  <c r="BK48" i="16"/>
  <c r="BF48" i="16"/>
  <c r="BE48" i="16"/>
  <c r="BD48" i="16"/>
  <c r="BC48" i="16"/>
  <c r="BB48" i="16"/>
  <c r="AU48" i="16"/>
  <c r="AY48" i="16"/>
  <c r="AT48" i="16"/>
  <c r="AX48" i="16"/>
  <c r="AS48" i="16"/>
  <c r="AW48" i="16"/>
  <c r="AR48" i="16"/>
  <c r="AV48" i="16"/>
  <c r="AQ48" i="16"/>
  <c r="AP48" i="16"/>
  <c r="AO48" i="16"/>
  <c r="AL48" i="16"/>
  <c r="AK48" i="16"/>
  <c r="AJ48" i="16"/>
  <c r="AI48" i="16"/>
  <c r="AH48" i="16"/>
  <c r="AG48" i="16"/>
  <c r="AF48" i="16"/>
  <c r="U48" i="16"/>
  <c r="T48" i="16"/>
  <c r="S48" i="16"/>
  <c r="R48" i="16"/>
  <c r="Q48" i="16"/>
  <c r="P48" i="16"/>
  <c r="H48" i="16"/>
  <c r="M48" i="16"/>
  <c r="G48" i="16"/>
  <c r="L48" i="16"/>
  <c r="F48" i="16"/>
  <c r="K48" i="16"/>
  <c r="E48" i="16"/>
  <c r="J48" i="16"/>
  <c r="D48" i="16"/>
  <c r="I48" i="16"/>
  <c r="BJ47" i="16"/>
  <c r="BI47" i="16"/>
  <c r="BC6" i="16"/>
  <c r="BF47" i="16"/>
  <c r="BA47" i="16"/>
  <c r="AY47" i="16"/>
  <c r="AX47" i="16"/>
  <c r="AW47" i="16"/>
  <c r="AV47" i="16"/>
  <c r="AP6" i="16"/>
  <c r="AQ47" i="16"/>
  <c r="AN47" i="16"/>
  <c r="AE47" i="16"/>
  <c r="AD47" i="16"/>
  <c r="AC47" i="16"/>
  <c r="AB47" i="16"/>
  <c r="AA47" i="16"/>
  <c r="U47" i="16"/>
  <c r="O47" i="16"/>
  <c r="M47" i="16"/>
  <c r="L47" i="16"/>
  <c r="K47" i="16"/>
  <c r="J47" i="16"/>
  <c r="I47" i="16"/>
  <c r="BL10" i="16"/>
  <c r="BK10" i="16"/>
  <c r="BJ46" i="16"/>
  <c r="BI46" i="16"/>
  <c r="BB10" i="16"/>
  <c r="BC10" i="16"/>
  <c r="BF46" i="16"/>
  <c r="BA46" i="16"/>
  <c r="AY46" i="16"/>
  <c r="AX46" i="16"/>
  <c r="AW46" i="16"/>
  <c r="AV46" i="16"/>
  <c r="AO10" i="16"/>
  <c r="AP10" i="16"/>
  <c r="AQ46" i="16"/>
  <c r="AN46" i="16"/>
  <c r="AE46" i="16"/>
  <c r="AD46" i="16"/>
  <c r="AC46" i="16"/>
  <c r="AB46" i="16"/>
  <c r="AA46" i="16"/>
  <c r="P10" i="16"/>
  <c r="Q10" i="16"/>
  <c r="U46" i="16"/>
  <c r="O46" i="16"/>
  <c r="M46" i="16"/>
  <c r="L46" i="16"/>
  <c r="K46" i="16"/>
  <c r="J46" i="16"/>
  <c r="I46" i="16"/>
  <c r="BL45" i="16"/>
  <c r="BK45" i="16"/>
  <c r="BF45" i="16"/>
  <c r="BE45" i="16"/>
  <c r="BD45" i="16"/>
  <c r="BC45" i="16"/>
  <c r="BB45" i="16"/>
  <c r="AU45" i="16"/>
  <c r="AY45" i="16"/>
  <c r="AT45" i="16"/>
  <c r="AX45" i="16"/>
  <c r="AS45" i="16"/>
  <c r="AW45" i="16"/>
  <c r="AR45" i="16"/>
  <c r="AV45" i="16"/>
  <c r="AQ45" i="16"/>
  <c r="AP45" i="16"/>
  <c r="AO45" i="16"/>
  <c r="AL45" i="16"/>
  <c r="AK45" i="16"/>
  <c r="AJ45" i="16"/>
  <c r="AI45" i="16"/>
  <c r="AH45" i="16"/>
  <c r="AG45" i="16"/>
  <c r="AF45" i="16"/>
  <c r="U45" i="16"/>
  <c r="T45" i="16"/>
  <c r="S45" i="16"/>
  <c r="R45" i="16"/>
  <c r="Q45" i="16"/>
  <c r="P45" i="16"/>
  <c r="H45" i="16"/>
  <c r="M45" i="16"/>
  <c r="G45" i="16"/>
  <c r="L45" i="16"/>
  <c r="F45" i="16"/>
  <c r="K45" i="16"/>
  <c r="E45" i="16"/>
  <c r="J45" i="16"/>
  <c r="D45" i="16"/>
  <c r="I45" i="16"/>
  <c r="BL15" i="16"/>
  <c r="BK15" i="16"/>
  <c r="BJ44" i="16"/>
  <c r="BI44" i="16"/>
  <c r="BB15" i="16"/>
  <c r="BC15" i="16"/>
  <c r="BF44" i="16"/>
  <c r="BA44" i="16"/>
  <c r="AY44" i="16"/>
  <c r="AX44" i="16"/>
  <c r="AW44" i="16"/>
  <c r="AV44" i="16"/>
  <c r="AO15" i="16"/>
  <c r="AP15" i="16"/>
  <c r="AQ44" i="16"/>
  <c r="AN44" i="16"/>
  <c r="AE44" i="16"/>
  <c r="AD44" i="16"/>
  <c r="AC44" i="16"/>
  <c r="AB44" i="16"/>
  <c r="AA44" i="16"/>
  <c r="P15" i="16"/>
  <c r="Q15" i="16"/>
  <c r="U44" i="16"/>
  <c r="O44" i="16"/>
  <c r="M44" i="16"/>
  <c r="L44" i="16"/>
  <c r="K44" i="16"/>
  <c r="J44" i="16"/>
  <c r="I44" i="16"/>
  <c r="BJ43" i="16"/>
  <c r="BI43" i="16"/>
  <c r="BC28" i="16"/>
  <c r="BF43" i="16"/>
  <c r="BA43" i="16"/>
  <c r="AY43" i="16"/>
  <c r="AX43" i="16"/>
  <c r="AW43" i="16"/>
  <c r="AV43" i="16"/>
  <c r="AP28" i="16"/>
  <c r="AQ43" i="16"/>
  <c r="AN43" i="16"/>
  <c r="AE43" i="16"/>
  <c r="AD43" i="16"/>
  <c r="AC43" i="16"/>
  <c r="AB43" i="16"/>
  <c r="AA43" i="16"/>
  <c r="U43" i="16"/>
  <c r="O43" i="16"/>
  <c r="M43" i="16"/>
  <c r="L43" i="16"/>
  <c r="K43" i="16"/>
  <c r="J43" i="16"/>
  <c r="I43" i="16"/>
  <c r="BJ42" i="16"/>
  <c r="BI42" i="16"/>
  <c r="BC19" i="16"/>
  <c r="BF42" i="16"/>
  <c r="BA42" i="16"/>
  <c r="AY42" i="16"/>
  <c r="AX42" i="16"/>
  <c r="AW42" i="16"/>
  <c r="AV42" i="16"/>
  <c r="AP19" i="16"/>
  <c r="AQ42" i="16"/>
  <c r="AN42" i="16"/>
  <c r="AE42" i="16"/>
  <c r="AD42" i="16"/>
  <c r="AC42" i="16"/>
  <c r="AB42" i="16"/>
  <c r="AA42" i="16"/>
  <c r="U42" i="16"/>
  <c r="O42" i="16"/>
  <c r="M42" i="16"/>
  <c r="L42" i="16"/>
  <c r="K42" i="16"/>
  <c r="J42" i="16"/>
  <c r="I42" i="16"/>
  <c r="BL8" i="16"/>
  <c r="BK8" i="16"/>
  <c r="BJ41" i="16"/>
  <c r="BI41" i="16"/>
  <c r="BB8" i="16"/>
  <c r="BC8" i="16"/>
  <c r="BF41" i="16"/>
  <c r="BA41" i="16"/>
  <c r="AY41" i="16"/>
  <c r="AX41" i="16"/>
  <c r="AW41" i="16"/>
  <c r="AV41" i="16"/>
  <c r="AO8" i="16"/>
  <c r="AP8" i="16"/>
  <c r="AQ41" i="16"/>
  <c r="AN41" i="16"/>
  <c r="AE41" i="16"/>
  <c r="AD41" i="16"/>
  <c r="AC41" i="16"/>
  <c r="AB41" i="16"/>
  <c r="AA41" i="16"/>
  <c r="P8" i="16"/>
  <c r="Q8" i="16"/>
  <c r="U41" i="16"/>
  <c r="O41" i="16"/>
  <c r="M41" i="16"/>
  <c r="L41" i="16"/>
  <c r="K41" i="16"/>
  <c r="J41" i="16"/>
  <c r="I41" i="16"/>
  <c r="BJ40" i="16"/>
  <c r="BI40" i="16"/>
  <c r="BC4" i="16"/>
  <c r="BF40" i="16"/>
  <c r="BA40" i="16"/>
  <c r="AY40" i="16"/>
  <c r="AX40" i="16"/>
  <c r="AW40" i="16"/>
  <c r="AV40" i="16"/>
  <c r="AP4" i="16"/>
  <c r="AQ40" i="16"/>
  <c r="AN40" i="16"/>
  <c r="AE40" i="16"/>
  <c r="AD40" i="16"/>
  <c r="AC40" i="16"/>
  <c r="AB40" i="16"/>
  <c r="AA40" i="16"/>
  <c r="U40" i="16"/>
  <c r="O40" i="16"/>
  <c r="M40" i="16"/>
  <c r="L40" i="16"/>
  <c r="K40" i="16"/>
  <c r="J40" i="16"/>
  <c r="I40" i="16"/>
  <c r="BJ39" i="16"/>
  <c r="BI39" i="16"/>
  <c r="BC11" i="16"/>
  <c r="BF39" i="16"/>
  <c r="BA39" i="16"/>
  <c r="AY39" i="16"/>
  <c r="AX39" i="16"/>
  <c r="AW39" i="16"/>
  <c r="AV39" i="16"/>
  <c r="AP11" i="16"/>
  <c r="AQ39" i="16"/>
  <c r="AN39" i="16"/>
  <c r="AE39" i="16"/>
  <c r="AD39" i="16"/>
  <c r="AC39" i="16"/>
  <c r="AB39" i="16"/>
  <c r="AA39" i="16"/>
  <c r="U39" i="16"/>
  <c r="O39" i="16"/>
  <c r="M39" i="16"/>
  <c r="L39" i="16"/>
  <c r="K39" i="16"/>
  <c r="J39" i="16"/>
  <c r="I39" i="16"/>
  <c r="BL2" i="16"/>
  <c r="BK2" i="16"/>
  <c r="BJ38" i="16"/>
  <c r="BI38" i="16"/>
  <c r="BB2" i="16"/>
  <c r="BC2" i="16"/>
  <c r="BF38" i="16"/>
  <c r="BA38" i="16"/>
  <c r="AY38" i="16"/>
  <c r="AX38" i="16"/>
  <c r="AW38" i="16"/>
  <c r="AV38" i="16"/>
  <c r="AO2" i="16"/>
  <c r="AP2" i="16"/>
  <c r="AQ38" i="16"/>
  <c r="AN38" i="16"/>
  <c r="AE38" i="16"/>
  <c r="AD38" i="16"/>
  <c r="AC38" i="16"/>
  <c r="AB38" i="16"/>
  <c r="AA38" i="16"/>
  <c r="P2" i="16"/>
  <c r="Q2" i="16"/>
  <c r="U38" i="16"/>
  <c r="O38" i="16"/>
  <c r="M38" i="16"/>
  <c r="L38" i="16"/>
  <c r="K38" i="16"/>
  <c r="J38" i="16"/>
  <c r="I38" i="16"/>
  <c r="BL22" i="16"/>
  <c r="BK22" i="16"/>
  <c r="BJ37" i="16"/>
  <c r="BI37" i="16"/>
  <c r="BB22" i="16"/>
  <c r="BC22" i="16"/>
  <c r="BF37" i="16"/>
  <c r="BA37" i="16"/>
  <c r="AY37" i="16"/>
  <c r="AX37" i="16"/>
  <c r="AW37" i="16"/>
  <c r="AV37" i="16"/>
  <c r="AO22" i="16"/>
  <c r="AP22" i="16"/>
  <c r="AQ37" i="16"/>
  <c r="AN37" i="16"/>
  <c r="AE37" i="16"/>
  <c r="AD37" i="16"/>
  <c r="AC37" i="16"/>
  <c r="AB37" i="16"/>
  <c r="AA37" i="16"/>
  <c r="P22" i="16"/>
  <c r="Q22" i="16"/>
  <c r="U37" i="16"/>
  <c r="O37" i="16"/>
  <c r="M37" i="16"/>
  <c r="L37" i="16"/>
  <c r="K37" i="16"/>
  <c r="J37" i="16"/>
  <c r="I37" i="16"/>
  <c r="BL26" i="16"/>
  <c r="BK26" i="16"/>
  <c r="BJ36" i="16"/>
  <c r="BI36" i="16"/>
  <c r="BB26" i="16"/>
  <c r="BC26" i="16"/>
  <c r="BF36" i="16"/>
  <c r="BA36" i="16"/>
  <c r="AY36" i="16"/>
  <c r="AX36" i="16"/>
  <c r="AW36" i="16"/>
  <c r="AV36" i="16"/>
  <c r="AO26" i="16"/>
  <c r="AP26" i="16"/>
  <c r="AQ36" i="16"/>
  <c r="AN36" i="16"/>
  <c r="AE36" i="16"/>
  <c r="AD36" i="16"/>
  <c r="AC36" i="16"/>
  <c r="AB36" i="16"/>
  <c r="AA36" i="16"/>
  <c r="P26" i="16"/>
  <c r="Q26" i="16"/>
  <c r="U36" i="16"/>
  <c r="O36" i="16"/>
  <c r="M36" i="16"/>
  <c r="L36" i="16"/>
  <c r="K36" i="16"/>
  <c r="J36" i="16"/>
  <c r="I36" i="16"/>
  <c r="BL30" i="16"/>
  <c r="BK30" i="16"/>
  <c r="BJ35" i="16"/>
  <c r="BI35" i="16"/>
  <c r="BB30" i="16"/>
  <c r="BC30" i="16"/>
  <c r="BF35" i="16"/>
  <c r="BA35" i="16"/>
  <c r="AY35" i="16"/>
  <c r="AX35" i="16"/>
  <c r="AW35" i="16"/>
  <c r="AV35" i="16"/>
  <c r="AO30" i="16"/>
  <c r="AP30" i="16"/>
  <c r="AQ35" i="16"/>
  <c r="AN35" i="16"/>
  <c r="AE35" i="16"/>
  <c r="AD35" i="16"/>
  <c r="AC35" i="16"/>
  <c r="AB35" i="16"/>
  <c r="AA35" i="16"/>
  <c r="P30" i="16"/>
  <c r="Q30" i="16"/>
  <c r="U35" i="16"/>
  <c r="O35" i="16"/>
  <c r="M35" i="16"/>
  <c r="L35" i="16"/>
  <c r="K35" i="16"/>
  <c r="J35" i="16"/>
  <c r="I35" i="16"/>
  <c r="BL14" i="16"/>
  <c r="BK14" i="16"/>
  <c r="BJ34" i="16"/>
  <c r="BI34" i="16"/>
  <c r="BB14" i="16"/>
  <c r="BC14" i="16"/>
  <c r="BF34" i="16"/>
  <c r="BA34" i="16"/>
  <c r="AY34" i="16"/>
  <c r="AX34" i="16"/>
  <c r="AW34" i="16"/>
  <c r="AV34" i="16"/>
  <c r="AO14" i="16"/>
  <c r="AP14" i="16"/>
  <c r="AQ34" i="16"/>
  <c r="AN34" i="16"/>
  <c r="AE34" i="16"/>
  <c r="AD34" i="16"/>
  <c r="AC34" i="16"/>
  <c r="AB34" i="16"/>
  <c r="AA34" i="16"/>
  <c r="P14" i="16"/>
  <c r="Q14" i="16"/>
  <c r="U34" i="16"/>
  <c r="O34" i="16"/>
  <c r="M34" i="16"/>
  <c r="L34" i="16"/>
  <c r="K34" i="16"/>
  <c r="J34" i="16"/>
  <c r="I34" i="16"/>
  <c r="BL13" i="16"/>
  <c r="BK13" i="16"/>
  <c r="BJ33" i="16"/>
  <c r="BI33" i="16"/>
  <c r="BB13" i="16"/>
  <c r="BC13" i="16"/>
  <c r="BF33" i="16"/>
  <c r="BA33" i="16"/>
  <c r="AY33" i="16"/>
  <c r="AX33" i="16"/>
  <c r="AW33" i="16"/>
  <c r="AV33" i="16"/>
  <c r="AO13" i="16"/>
  <c r="AP13" i="16"/>
  <c r="AQ33" i="16"/>
  <c r="AN33" i="16"/>
  <c r="AE33" i="16"/>
  <c r="AD33" i="16"/>
  <c r="AC33" i="16"/>
  <c r="AB33" i="16"/>
  <c r="AA33" i="16"/>
  <c r="P13" i="16"/>
  <c r="Q13" i="16"/>
  <c r="U33" i="16"/>
  <c r="O33" i="16"/>
  <c r="M33" i="16"/>
  <c r="L33" i="16"/>
  <c r="K33" i="16"/>
  <c r="J33" i="16"/>
  <c r="I33" i="16"/>
  <c r="BL3" i="16"/>
  <c r="BK3" i="16"/>
  <c r="BJ32" i="16"/>
  <c r="BI32" i="16"/>
  <c r="BB3" i="16"/>
  <c r="BC3" i="16"/>
  <c r="BF32" i="16"/>
  <c r="BA32" i="16"/>
  <c r="AY32" i="16"/>
  <c r="AX32" i="16"/>
  <c r="AW32" i="16"/>
  <c r="AV32" i="16"/>
  <c r="AO3" i="16"/>
  <c r="AP3" i="16"/>
  <c r="AQ32" i="16"/>
  <c r="AN32" i="16"/>
  <c r="AE32" i="16"/>
  <c r="AD32" i="16"/>
  <c r="AC32" i="16"/>
  <c r="AB32" i="16"/>
  <c r="AA32" i="16"/>
  <c r="P3" i="16"/>
  <c r="Q3" i="16"/>
  <c r="U32" i="16"/>
  <c r="O32" i="16"/>
  <c r="M32" i="16"/>
  <c r="L32" i="16"/>
  <c r="K32" i="16"/>
  <c r="J32" i="16"/>
  <c r="I32" i="16"/>
  <c r="BL31" i="16"/>
  <c r="BK31" i="16"/>
  <c r="BF31" i="16"/>
  <c r="BE31" i="16"/>
  <c r="BD31" i="16"/>
  <c r="BC31" i="16"/>
  <c r="BB31" i="16"/>
  <c r="AU31" i="16"/>
  <c r="AY31" i="16"/>
  <c r="AT31" i="16"/>
  <c r="AX31" i="16"/>
  <c r="AS31" i="16"/>
  <c r="AW31" i="16"/>
  <c r="AR31" i="16"/>
  <c r="AV31" i="16"/>
  <c r="AQ31" i="16"/>
  <c r="AP31" i="16"/>
  <c r="AO31" i="16"/>
  <c r="AL31" i="16"/>
  <c r="AK31" i="16"/>
  <c r="AJ31" i="16"/>
  <c r="AI31" i="16"/>
  <c r="AH31" i="16"/>
  <c r="AG31" i="16"/>
  <c r="AF31" i="16"/>
  <c r="U31" i="16"/>
  <c r="T31" i="16"/>
  <c r="S31" i="16"/>
  <c r="R31" i="16"/>
  <c r="Q31" i="16"/>
  <c r="P31" i="16"/>
  <c r="H31" i="16"/>
  <c r="M31" i="16"/>
  <c r="G31" i="16"/>
  <c r="L31" i="16"/>
  <c r="F31" i="16"/>
  <c r="K31" i="16"/>
  <c r="E31" i="16"/>
  <c r="J31" i="16"/>
  <c r="D31" i="16"/>
  <c r="I31" i="16"/>
  <c r="BL29" i="16"/>
  <c r="BK29" i="16"/>
  <c r="BB29" i="16"/>
  <c r="AO29" i="16"/>
  <c r="Q29" i="16"/>
  <c r="P29" i="16"/>
  <c r="BL28" i="16"/>
  <c r="BK28" i="16"/>
  <c r="BB28" i="16"/>
  <c r="AO28" i="16"/>
  <c r="Q28" i="16"/>
  <c r="P28" i="16"/>
  <c r="BL27" i="16"/>
  <c r="BK27" i="16"/>
  <c r="BB27" i="16"/>
  <c r="AO27" i="16"/>
  <c r="Q27" i="16"/>
  <c r="P27" i="16"/>
  <c r="BL25" i="16"/>
  <c r="BK25" i="16"/>
  <c r="BB25" i="16"/>
  <c r="P25" i="16"/>
  <c r="BL24" i="16"/>
  <c r="BK24" i="16"/>
  <c r="BB24" i="16"/>
  <c r="AO24" i="16"/>
  <c r="Q24" i="16"/>
  <c r="P24" i="16"/>
  <c r="BL21" i="16"/>
  <c r="BK21" i="16"/>
  <c r="BB21" i="16"/>
  <c r="P21" i="16"/>
  <c r="BL20" i="16"/>
  <c r="BK20" i="16"/>
  <c r="BB20" i="16"/>
  <c r="AO20" i="16"/>
  <c r="Q20" i="16"/>
  <c r="P20" i="16"/>
  <c r="BL19" i="16"/>
  <c r="BK19" i="16"/>
  <c r="BB19" i="16"/>
  <c r="AO19" i="16"/>
  <c r="Q19" i="16"/>
  <c r="P19" i="16"/>
  <c r="BL12" i="16"/>
  <c r="BK12" i="16"/>
  <c r="BB12" i="16"/>
  <c r="AO12" i="16"/>
  <c r="Q12" i="16"/>
  <c r="P12" i="16"/>
  <c r="BL11" i="16"/>
  <c r="BK11" i="16"/>
  <c r="BB11" i="16"/>
  <c r="AO11" i="16"/>
  <c r="Q11" i="16"/>
  <c r="P11" i="16"/>
  <c r="BL6" i="16"/>
  <c r="BK6" i="16"/>
  <c r="BB6" i="16"/>
  <c r="AO6" i="16"/>
  <c r="Q6" i="16"/>
  <c r="P6" i="16"/>
  <c r="BL5" i="16"/>
  <c r="BK5" i="16"/>
  <c r="BB5" i="16"/>
  <c r="AO5" i="16"/>
  <c r="Q5" i="16"/>
  <c r="P5" i="16"/>
  <c r="BL4" i="16"/>
  <c r="BK4" i="16"/>
  <c r="BB4" i="16"/>
  <c r="AO4" i="16"/>
  <c r="Q4" i="16"/>
  <c r="P4" i="16"/>
  <c r="EM27" i="38"/>
  <c r="EN76" i="38"/>
  <c r="EK76" i="38"/>
  <c r="DT27" i="38"/>
  <c r="EG76" i="38"/>
  <c r="DQ76" i="38"/>
  <c r="DO76" i="38"/>
  <c r="DN76" i="38"/>
  <c r="DM76" i="38"/>
  <c r="DL76" i="38"/>
  <c r="DK76" i="38"/>
  <c r="DJ76" i="38"/>
  <c r="DI76" i="38"/>
  <c r="DH76" i="38"/>
  <c r="DG76" i="38"/>
  <c r="DF76" i="38"/>
  <c r="DE76" i="38"/>
  <c r="CO76" i="38"/>
  <c r="DD76" i="38"/>
  <c r="DC76" i="38"/>
  <c r="DB76" i="38"/>
  <c r="DA76" i="38"/>
  <c r="CK76" i="38"/>
  <c r="BU76" i="38"/>
  <c r="BS76" i="38"/>
  <c r="BR76" i="38"/>
  <c r="BQ76" i="38"/>
  <c r="BP76" i="38"/>
  <c r="BO76" i="38"/>
  <c r="BN76" i="38"/>
  <c r="BM76" i="38"/>
  <c r="BL76" i="38"/>
  <c r="BK76" i="38"/>
  <c r="BJ76" i="38"/>
  <c r="BI76" i="38"/>
  <c r="AS76" i="38"/>
  <c r="BH76" i="38"/>
  <c r="BG76" i="38"/>
  <c r="BF76" i="38"/>
  <c r="BE76" i="38"/>
  <c r="AC76" i="38"/>
  <c r="AA76" i="38"/>
  <c r="Z76" i="38"/>
  <c r="Y76" i="38"/>
  <c r="X76" i="38"/>
  <c r="W76" i="38"/>
  <c r="V76" i="38"/>
  <c r="U76" i="38"/>
  <c r="T76" i="38"/>
  <c r="S76" i="38"/>
  <c r="R76" i="38"/>
  <c r="Q76" i="38"/>
  <c r="P76" i="38"/>
  <c r="D76" i="38"/>
  <c r="EL18" i="38"/>
  <c r="EM18" i="38"/>
  <c r="EN75" i="38"/>
  <c r="EK75" i="38"/>
  <c r="DR18" i="38"/>
  <c r="DT18" i="38"/>
  <c r="EG75" i="38"/>
  <c r="DQ75" i="38"/>
  <c r="DO75" i="38"/>
  <c r="DN75" i="38"/>
  <c r="DM75" i="38"/>
  <c r="DL75" i="38"/>
  <c r="DK75" i="38"/>
  <c r="DJ75" i="38"/>
  <c r="DI75" i="38"/>
  <c r="DH75" i="38"/>
  <c r="DG75" i="38"/>
  <c r="DF75" i="38"/>
  <c r="DE75" i="38"/>
  <c r="CO75" i="38"/>
  <c r="DD75" i="38"/>
  <c r="DC75" i="38"/>
  <c r="DB75" i="38"/>
  <c r="DA75" i="38"/>
  <c r="BV18" i="38"/>
  <c r="BW18" i="38"/>
  <c r="CK75" i="38"/>
  <c r="BU75" i="38"/>
  <c r="BS75" i="38"/>
  <c r="BR75" i="38"/>
  <c r="BQ75" i="38"/>
  <c r="BP75" i="38"/>
  <c r="BO75" i="38"/>
  <c r="BN75" i="38"/>
  <c r="BM75" i="38"/>
  <c r="BL75" i="38"/>
  <c r="BK75" i="38"/>
  <c r="BJ75" i="38"/>
  <c r="BI75" i="38"/>
  <c r="AS75" i="38"/>
  <c r="BH75" i="38"/>
  <c r="BG75" i="38"/>
  <c r="BF75" i="38"/>
  <c r="BE75" i="38"/>
  <c r="AO18" i="38"/>
  <c r="AN18" i="38"/>
  <c r="AM18" i="38"/>
  <c r="AL18" i="38"/>
  <c r="AK18" i="38"/>
  <c r="AJ18" i="38"/>
  <c r="AI18" i="38"/>
  <c r="AH18" i="38"/>
  <c r="AG18" i="38"/>
  <c r="AF18" i="38"/>
  <c r="AE18" i="38"/>
  <c r="AC75" i="38"/>
  <c r="AA75" i="38"/>
  <c r="Z75" i="38"/>
  <c r="Y75" i="38"/>
  <c r="X75" i="38"/>
  <c r="W75" i="38"/>
  <c r="V75" i="38"/>
  <c r="U75" i="38"/>
  <c r="T75" i="38"/>
  <c r="S75" i="38"/>
  <c r="R75" i="38"/>
  <c r="Q75" i="38"/>
  <c r="P75" i="38"/>
  <c r="D75" i="38"/>
  <c r="EM12" i="38"/>
  <c r="EN74" i="38"/>
  <c r="EK74" i="38"/>
  <c r="DT12" i="38"/>
  <c r="EG74" i="38"/>
  <c r="DQ74" i="38"/>
  <c r="DO74" i="38"/>
  <c r="DN74" i="38"/>
  <c r="DM74" i="38"/>
  <c r="DL74" i="38"/>
  <c r="DK74" i="38"/>
  <c r="DJ74" i="38"/>
  <c r="DI74" i="38"/>
  <c r="DH74" i="38"/>
  <c r="DG74" i="38"/>
  <c r="DF74" i="38"/>
  <c r="DE74" i="38"/>
  <c r="CO74" i="38"/>
  <c r="DD74" i="38"/>
  <c r="DC74" i="38"/>
  <c r="DB74" i="38"/>
  <c r="DA74" i="38"/>
  <c r="CK74" i="38"/>
  <c r="BU74" i="38"/>
  <c r="BS74" i="38"/>
  <c r="BR74" i="38"/>
  <c r="BQ74" i="38"/>
  <c r="BP74" i="38"/>
  <c r="BO74" i="38"/>
  <c r="BN74" i="38"/>
  <c r="BM74" i="38"/>
  <c r="BL74" i="38"/>
  <c r="BK74" i="38"/>
  <c r="BJ74" i="38"/>
  <c r="BI74" i="38"/>
  <c r="AS74" i="38"/>
  <c r="BH74" i="38"/>
  <c r="BG74" i="38"/>
  <c r="BF74" i="38"/>
  <c r="BE74" i="38"/>
  <c r="AC74" i="38"/>
  <c r="AA74" i="38"/>
  <c r="Z74" i="38"/>
  <c r="Y74" i="38"/>
  <c r="X74" i="38"/>
  <c r="W74" i="38"/>
  <c r="V74" i="38"/>
  <c r="U74" i="38"/>
  <c r="T74" i="38"/>
  <c r="S74" i="38"/>
  <c r="R74" i="38"/>
  <c r="Q74" i="38"/>
  <c r="P74" i="38"/>
  <c r="D74" i="38"/>
  <c r="EL7" i="38"/>
  <c r="EM7" i="38"/>
  <c r="EN73" i="38"/>
  <c r="EK73" i="38"/>
  <c r="DR7" i="38"/>
  <c r="DT7" i="38"/>
  <c r="EG73" i="38"/>
  <c r="DQ73" i="38"/>
  <c r="DO73" i="38"/>
  <c r="DN73" i="38"/>
  <c r="DM73" i="38"/>
  <c r="DL73" i="38"/>
  <c r="DK73" i="38"/>
  <c r="DJ73" i="38"/>
  <c r="DI73" i="38"/>
  <c r="DH73" i="38"/>
  <c r="DG73" i="38"/>
  <c r="DF73" i="38"/>
  <c r="DE73" i="38"/>
  <c r="CO73" i="38"/>
  <c r="DD73" i="38"/>
  <c r="DC73" i="38"/>
  <c r="DB73" i="38"/>
  <c r="DA73" i="38"/>
  <c r="BV7" i="38"/>
  <c r="BW7" i="38"/>
  <c r="CK73" i="38"/>
  <c r="BU73" i="38"/>
  <c r="BS73" i="38"/>
  <c r="BR73" i="38"/>
  <c r="BQ73" i="38"/>
  <c r="BP73" i="38"/>
  <c r="BO73" i="38"/>
  <c r="BN73" i="38"/>
  <c r="BM73" i="38"/>
  <c r="BL73" i="38"/>
  <c r="BK73" i="38"/>
  <c r="BJ73" i="38"/>
  <c r="BI73" i="38"/>
  <c r="AS73" i="38"/>
  <c r="BH73" i="38"/>
  <c r="BG73" i="38"/>
  <c r="BF73" i="38"/>
  <c r="BE73" i="38"/>
  <c r="AO7" i="38"/>
  <c r="AN7" i="38"/>
  <c r="AM7" i="38"/>
  <c r="AL7" i="38"/>
  <c r="AK7" i="38"/>
  <c r="AJ7" i="38"/>
  <c r="AI7" i="38"/>
  <c r="AH7" i="38"/>
  <c r="AG7" i="38"/>
  <c r="AF7" i="38"/>
  <c r="AE7" i="38"/>
  <c r="AC73" i="38"/>
  <c r="AA73" i="38"/>
  <c r="Z73" i="38"/>
  <c r="Y73" i="38"/>
  <c r="X73" i="38"/>
  <c r="W73" i="38"/>
  <c r="V73" i="38"/>
  <c r="U73" i="38"/>
  <c r="T73" i="38"/>
  <c r="S73" i="38"/>
  <c r="R73" i="38"/>
  <c r="Q73" i="38"/>
  <c r="P73" i="38"/>
  <c r="D73" i="38"/>
  <c r="EL16" i="38"/>
  <c r="EM16" i="38"/>
  <c r="EN72" i="38"/>
  <c r="EK72" i="38"/>
  <c r="DR16" i="38"/>
  <c r="DT16" i="38"/>
  <c r="EG72" i="38"/>
  <c r="DQ72" i="38"/>
  <c r="DO72" i="38"/>
  <c r="DN72" i="38"/>
  <c r="DM72" i="38"/>
  <c r="DL72" i="38"/>
  <c r="DK72" i="38"/>
  <c r="DJ72" i="38"/>
  <c r="DI72" i="38"/>
  <c r="DH72" i="38"/>
  <c r="DG72" i="38"/>
  <c r="DF72" i="38"/>
  <c r="DE72" i="38"/>
  <c r="CO72" i="38"/>
  <c r="DD72" i="38"/>
  <c r="DC72" i="38"/>
  <c r="DB72" i="38"/>
  <c r="DA72" i="38"/>
  <c r="BV16" i="38"/>
  <c r="BW16" i="38"/>
  <c r="CK72" i="38"/>
  <c r="BU72" i="38"/>
  <c r="BS72" i="38"/>
  <c r="BR72" i="38"/>
  <c r="BQ72" i="38"/>
  <c r="BP72" i="38"/>
  <c r="BO72" i="38"/>
  <c r="BN72" i="38"/>
  <c r="BM72" i="38"/>
  <c r="BL72" i="38"/>
  <c r="BK72" i="38"/>
  <c r="BJ72" i="38"/>
  <c r="BI72" i="38"/>
  <c r="AS72" i="38"/>
  <c r="BH72" i="38"/>
  <c r="BG72" i="38"/>
  <c r="BF72" i="38"/>
  <c r="BE72" i="38"/>
  <c r="AO16" i="38"/>
  <c r="AN16" i="38"/>
  <c r="AM16" i="38"/>
  <c r="AL16" i="38"/>
  <c r="AK16" i="38"/>
  <c r="AJ16" i="38"/>
  <c r="AI16" i="38"/>
  <c r="AH16" i="38"/>
  <c r="AG16" i="38"/>
  <c r="AF16" i="38"/>
  <c r="AE16" i="38"/>
  <c r="AC72" i="38"/>
  <c r="AA72" i="38"/>
  <c r="Z72" i="38"/>
  <c r="Y72" i="38"/>
  <c r="X72" i="38"/>
  <c r="W72" i="38"/>
  <c r="V72" i="38"/>
  <c r="U72" i="38"/>
  <c r="T72" i="38"/>
  <c r="S72" i="38"/>
  <c r="R72" i="38"/>
  <c r="Q72" i="38"/>
  <c r="P72" i="38"/>
  <c r="D72" i="38"/>
  <c r="EM29" i="38"/>
  <c r="EN71" i="38"/>
  <c r="EK71" i="38"/>
  <c r="DT29" i="38"/>
  <c r="EG71" i="38"/>
  <c r="DQ71" i="38"/>
  <c r="DO71" i="38"/>
  <c r="DN71" i="38"/>
  <c r="DM71" i="38"/>
  <c r="DL71" i="38"/>
  <c r="DK71" i="38"/>
  <c r="DJ71" i="38"/>
  <c r="DI71" i="38"/>
  <c r="DH71" i="38"/>
  <c r="DG71" i="38"/>
  <c r="DF71" i="38"/>
  <c r="DE71" i="38"/>
  <c r="CO71" i="38"/>
  <c r="DD71" i="38"/>
  <c r="DC71" i="38"/>
  <c r="DB71" i="38"/>
  <c r="DA71" i="38"/>
  <c r="CK71" i="38"/>
  <c r="BU71" i="38"/>
  <c r="BS71" i="38"/>
  <c r="BR71" i="38"/>
  <c r="BQ71" i="38"/>
  <c r="BP71" i="38"/>
  <c r="BO71" i="38"/>
  <c r="BN71" i="38"/>
  <c r="BM71" i="38"/>
  <c r="BL71" i="38"/>
  <c r="BK71" i="38"/>
  <c r="BJ71" i="38"/>
  <c r="BI71" i="38"/>
  <c r="AS71" i="38"/>
  <c r="BH71" i="38"/>
  <c r="BG71" i="38"/>
  <c r="BF71" i="38"/>
  <c r="BE71" i="38"/>
  <c r="AC71" i="38"/>
  <c r="AA71" i="38"/>
  <c r="Z71" i="38"/>
  <c r="Y71" i="38"/>
  <c r="X71" i="38"/>
  <c r="W71" i="38"/>
  <c r="V71" i="38"/>
  <c r="U71" i="38"/>
  <c r="T71" i="38"/>
  <c r="S71" i="38"/>
  <c r="R71" i="38"/>
  <c r="Q71" i="38"/>
  <c r="P71" i="38"/>
  <c r="D71" i="38"/>
  <c r="EM20" i="38"/>
  <c r="EN70" i="38"/>
  <c r="EK70" i="38"/>
  <c r="DT20" i="38"/>
  <c r="EG70" i="38"/>
  <c r="DQ70" i="38"/>
  <c r="DO70" i="38"/>
  <c r="DN70" i="38"/>
  <c r="DM70" i="38"/>
  <c r="DL70" i="38"/>
  <c r="DK70" i="38"/>
  <c r="DJ70" i="38"/>
  <c r="DI70" i="38"/>
  <c r="DH70" i="38"/>
  <c r="DG70" i="38"/>
  <c r="DF70" i="38"/>
  <c r="DE70" i="38"/>
  <c r="CO70" i="38"/>
  <c r="DD70" i="38"/>
  <c r="DC70" i="38"/>
  <c r="DB70" i="38"/>
  <c r="DA70" i="38"/>
  <c r="CK70" i="38"/>
  <c r="BU70" i="38"/>
  <c r="BS70" i="38"/>
  <c r="BR70" i="38"/>
  <c r="BQ70" i="38"/>
  <c r="BP70" i="38"/>
  <c r="BO70" i="38"/>
  <c r="BN70" i="38"/>
  <c r="BM70" i="38"/>
  <c r="BL70" i="38"/>
  <c r="BK70" i="38"/>
  <c r="BJ70" i="38"/>
  <c r="BI70" i="38"/>
  <c r="AS70" i="38"/>
  <c r="BH70" i="38"/>
  <c r="BG70" i="38"/>
  <c r="BF70" i="38"/>
  <c r="BE70" i="38"/>
  <c r="AC70" i="38"/>
  <c r="AA70" i="38"/>
  <c r="Z70" i="38"/>
  <c r="Y70" i="38"/>
  <c r="X70" i="38"/>
  <c r="W70" i="38"/>
  <c r="V70" i="38"/>
  <c r="U70" i="38"/>
  <c r="T70" i="38"/>
  <c r="S70" i="38"/>
  <c r="R70" i="38"/>
  <c r="Q70" i="38"/>
  <c r="P70" i="38"/>
  <c r="D70" i="38"/>
  <c r="EM24" i="38"/>
  <c r="EN69" i="38"/>
  <c r="EK69" i="38"/>
  <c r="DT24" i="38"/>
  <c r="EG69" i="38"/>
  <c r="DQ69" i="38"/>
  <c r="DO69" i="38"/>
  <c r="DN69" i="38"/>
  <c r="DM69" i="38"/>
  <c r="DL69" i="38"/>
  <c r="DK69" i="38"/>
  <c r="DJ69" i="38"/>
  <c r="DI69" i="38"/>
  <c r="DH69" i="38"/>
  <c r="DG69" i="38"/>
  <c r="DF69" i="38"/>
  <c r="DE69" i="38"/>
  <c r="CO69" i="38"/>
  <c r="DD69" i="38"/>
  <c r="DC69" i="38"/>
  <c r="DB69" i="38"/>
  <c r="DA69" i="38"/>
  <c r="CK69" i="38"/>
  <c r="BU69" i="38"/>
  <c r="BS69" i="38"/>
  <c r="BR69" i="38"/>
  <c r="BQ69" i="38"/>
  <c r="BP69" i="38"/>
  <c r="BO69" i="38"/>
  <c r="BN69" i="38"/>
  <c r="BM69" i="38"/>
  <c r="BL69" i="38"/>
  <c r="BK69" i="38"/>
  <c r="BJ69" i="38"/>
  <c r="BI69" i="38"/>
  <c r="AS69" i="38"/>
  <c r="BH69" i="38"/>
  <c r="BG69" i="38"/>
  <c r="BF69" i="38"/>
  <c r="BE69" i="38"/>
  <c r="AC69" i="38"/>
  <c r="AA69" i="38"/>
  <c r="Z69" i="38"/>
  <c r="Y69" i="38"/>
  <c r="X69" i="38"/>
  <c r="W69" i="38"/>
  <c r="V69" i="38"/>
  <c r="U69" i="38"/>
  <c r="T69" i="38"/>
  <c r="S69" i="38"/>
  <c r="R69" i="38"/>
  <c r="Q69" i="38"/>
  <c r="P69" i="38"/>
  <c r="D69" i="38"/>
  <c r="EL9" i="38"/>
  <c r="EM9" i="38"/>
  <c r="EN68" i="38"/>
  <c r="EK68" i="38"/>
  <c r="DR9" i="38"/>
  <c r="DT9" i="38"/>
  <c r="EG68" i="38"/>
  <c r="DQ68" i="38"/>
  <c r="DO68" i="38"/>
  <c r="DN68" i="38"/>
  <c r="DM68" i="38"/>
  <c r="DL68" i="38"/>
  <c r="DK68" i="38"/>
  <c r="DJ68" i="38"/>
  <c r="DI68" i="38"/>
  <c r="DH68" i="38"/>
  <c r="DG68" i="38"/>
  <c r="DF68" i="38"/>
  <c r="DE68" i="38"/>
  <c r="CO68" i="38"/>
  <c r="DD68" i="38"/>
  <c r="DC68" i="38"/>
  <c r="DB68" i="38"/>
  <c r="DA68" i="38"/>
  <c r="BV9" i="38"/>
  <c r="BW9" i="38"/>
  <c r="CK68" i="38"/>
  <c r="BU68" i="38"/>
  <c r="BS68" i="38"/>
  <c r="BR68" i="38"/>
  <c r="BQ68" i="38"/>
  <c r="BP68" i="38"/>
  <c r="BO68" i="38"/>
  <c r="BN68" i="38"/>
  <c r="BM68" i="38"/>
  <c r="BL68" i="38"/>
  <c r="BK68" i="38"/>
  <c r="BJ68" i="38"/>
  <c r="BI68" i="38"/>
  <c r="AS68" i="38"/>
  <c r="BH68" i="38"/>
  <c r="BG68" i="38"/>
  <c r="BF68" i="38"/>
  <c r="BE68" i="38"/>
  <c r="AO9" i="38"/>
  <c r="AN9" i="38"/>
  <c r="AM9" i="38"/>
  <c r="AL9" i="38"/>
  <c r="AK9" i="38"/>
  <c r="AJ9" i="38"/>
  <c r="AI9" i="38"/>
  <c r="AH9" i="38"/>
  <c r="AG9" i="38"/>
  <c r="AF9" i="38"/>
  <c r="AE9" i="38"/>
  <c r="AC68" i="38"/>
  <c r="AA68" i="38"/>
  <c r="Z68" i="38"/>
  <c r="Y68" i="38"/>
  <c r="X68" i="38"/>
  <c r="W68" i="38"/>
  <c r="V68" i="38"/>
  <c r="U68" i="38"/>
  <c r="T68" i="38"/>
  <c r="S68" i="38"/>
  <c r="R68" i="38"/>
  <c r="Q68" i="38"/>
  <c r="P68" i="38"/>
  <c r="D68" i="38"/>
  <c r="EM5" i="38"/>
  <c r="EN67" i="38"/>
  <c r="EK67" i="38"/>
  <c r="DT5" i="38"/>
  <c r="EG67" i="38"/>
  <c r="DQ67" i="38"/>
  <c r="DO67" i="38"/>
  <c r="DN67" i="38"/>
  <c r="DM67" i="38"/>
  <c r="DL67" i="38"/>
  <c r="DK67" i="38"/>
  <c r="DJ67" i="38"/>
  <c r="DI67" i="38"/>
  <c r="DH67" i="38"/>
  <c r="DG67" i="38"/>
  <c r="DF67" i="38"/>
  <c r="DE67" i="38"/>
  <c r="CO67" i="38"/>
  <c r="DD67" i="38"/>
  <c r="DC67" i="38"/>
  <c r="DB67" i="38"/>
  <c r="DA67" i="38"/>
  <c r="CK67" i="38"/>
  <c r="BU67" i="38"/>
  <c r="BS67" i="38"/>
  <c r="BR67" i="38"/>
  <c r="BQ67" i="38"/>
  <c r="BP67" i="38"/>
  <c r="BO67" i="38"/>
  <c r="BN67" i="38"/>
  <c r="BM67" i="38"/>
  <c r="BL67" i="38"/>
  <c r="BK67" i="38"/>
  <c r="BJ67" i="38"/>
  <c r="BI67" i="38"/>
  <c r="AS67" i="38"/>
  <c r="BH67" i="38"/>
  <c r="BG67" i="38"/>
  <c r="BF67" i="38"/>
  <c r="BE67" i="38"/>
  <c r="AC67" i="38"/>
  <c r="AA67" i="38"/>
  <c r="Z67" i="38"/>
  <c r="Y67" i="38"/>
  <c r="X67" i="38"/>
  <c r="W67" i="38"/>
  <c r="V67" i="38"/>
  <c r="U67" i="38"/>
  <c r="T67" i="38"/>
  <c r="S67" i="38"/>
  <c r="R67" i="38"/>
  <c r="Q67" i="38"/>
  <c r="P67" i="38"/>
  <c r="D67" i="38"/>
  <c r="EL17" i="38"/>
  <c r="EM17" i="38"/>
  <c r="EN66" i="38"/>
  <c r="EK66" i="38"/>
  <c r="DR17" i="38"/>
  <c r="DT17" i="38"/>
  <c r="EG66" i="38"/>
  <c r="DQ66" i="38"/>
  <c r="DO66" i="38"/>
  <c r="DN66" i="38"/>
  <c r="DM66" i="38"/>
  <c r="DL66" i="38"/>
  <c r="DK66" i="38"/>
  <c r="DJ66" i="38"/>
  <c r="DI66" i="38"/>
  <c r="DH66" i="38"/>
  <c r="DG66" i="38"/>
  <c r="DF66" i="38"/>
  <c r="DE66" i="38"/>
  <c r="CO66" i="38"/>
  <c r="DD66" i="38"/>
  <c r="DC66" i="38"/>
  <c r="DB66" i="38"/>
  <c r="DA66" i="38"/>
  <c r="BV17" i="38"/>
  <c r="BW17" i="38"/>
  <c r="CK66" i="38"/>
  <c r="BU66" i="38"/>
  <c r="BS66" i="38"/>
  <c r="BR66" i="38"/>
  <c r="BQ66" i="38"/>
  <c r="BP66" i="38"/>
  <c r="BO66" i="38"/>
  <c r="BN66" i="38"/>
  <c r="BM66" i="38"/>
  <c r="BL66" i="38"/>
  <c r="BK66" i="38"/>
  <c r="BJ66" i="38"/>
  <c r="BI66" i="38"/>
  <c r="AS66" i="38"/>
  <c r="BH66" i="38"/>
  <c r="BG66" i="38"/>
  <c r="BF66" i="38"/>
  <c r="BE66" i="38"/>
  <c r="AO17" i="38"/>
  <c r="AN17" i="38"/>
  <c r="AM17" i="38"/>
  <c r="AL17" i="38"/>
  <c r="AK17" i="38"/>
  <c r="AJ17" i="38"/>
  <c r="AI17" i="38"/>
  <c r="AH17" i="38"/>
  <c r="AG17" i="38"/>
  <c r="AF17" i="38"/>
  <c r="AE17" i="38"/>
  <c r="AC66" i="38"/>
  <c r="AA66" i="38"/>
  <c r="Z66" i="38"/>
  <c r="Y66" i="38"/>
  <c r="X66" i="38"/>
  <c r="W66" i="38"/>
  <c r="V66" i="38"/>
  <c r="U66" i="38"/>
  <c r="T66" i="38"/>
  <c r="S66" i="38"/>
  <c r="R66" i="38"/>
  <c r="Q66" i="38"/>
  <c r="P66" i="38"/>
  <c r="D66" i="38"/>
  <c r="EL21" i="38"/>
  <c r="EM21" i="38"/>
  <c r="EN65" i="38"/>
  <c r="EK65" i="38"/>
  <c r="DT21" i="38"/>
  <c r="EG65" i="38"/>
  <c r="DQ65" i="38"/>
  <c r="DO65" i="38"/>
  <c r="DN65" i="38"/>
  <c r="DM65" i="38"/>
  <c r="DL65" i="38"/>
  <c r="DK65" i="38"/>
  <c r="DJ65" i="38"/>
  <c r="DI65" i="38"/>
  <c r="DH65" i="38"/>
  <c r="DG65" i="38"/>
  <c r="DF65" i="38"/>
  <c r="DE65" i="38"/>
  <c r="CO65" i="38"/>
  <c r="DD65" i="38"/>
  <c r="DC65" i="38"/>
  <c r="DB65" i="38"/>
  <c r="DA65" i="38"/>
  <c r="BW21" i="38"/>
  <c r="CK65" i="38"/>
  <c r="BU65" i="38"/>
  <c r="BS65" i="38"/>
  <c r="BR65" i="38"/>
  <c r="BQ65" i="38"/>
  <c r="BP65" i="38"/>
  <c r="BO65" i="38"/>
  <c r="BN65" i="38"/>
  <c r="BM65" i="38"/>
  <c r="BL65" i="38"/>
  <c r="BK65" i="38"/>
  <c r="BJ65" i="38"/>
  <c r="BI65" i="38"/>
  <c r="AS65" i="38"/>
  <c r="BH65" i="38"/>
  <c r="BG65" i="38"/>
  <c r="BF65" i="38"/>
  <c r="BE65" i="38"/>
  <c r="AC65" i="38"/>
  <c r="AA65" i="38"/>
  <c r="Z65" i="38"/>
  <c r="Y65" i="38"/>
  <c r="X65" i="38"/>
  <c r="W65" i="38"/>
  <c r="V65" i="38"/>
  <c r="U65" i="38"/>
  <c r="T65" i="38"/>
  <c r="S65" i="38"/>
  <c r="R65" i="38"/>
  <c r="Q65" i="38"/>
  <c r="P65" i="38"/>
  <c r="D65" i="38"/>
  <c r="EL25" i="38"/>
  <c r="EM25" i="38"/>
  <c r="EN64" i="38"/>
  <c r="EK64" i="38"/>
  <c r="DT25" i="38"/>
  <c r="EG64" i="38"/>
  <c r="DQ64" i="38"/>
  <c r="DO64" i="38"/>
  <c r="DN64" i="38"/>
  <c r="DM64" i="38"/>
  <c r="DL64" i="38"/>
  <c r="DK64" i="38"/>
  <c r="DJ64" i="38"/>
  <c r="DI64" i="38"/>
  <c r="DH64" i="38"/>
  <c r="DG64" i="38"/>
  <c r="DF64" i="38"/>
  <c r="DE64" i="38"/>
  <c r="CO64" i="38"/>
  <c r="DD64" i="38"/>
  <c r="DC64" i="38"/>
  <c r="DB64" i="38"/>
  <c r="DA64" i="38"/>
  <c r="BW25" i="38"/>
  <c r="CK64" i="38"/>
  <c r="BU64" i="38"/>
  <c r="BS64" i="38"/>
  <c r="BR64" i="38"/>
  <c r="BQ64" i="38"/>
  <c r="BP64" i="38"/>
  <c r="BO64" i="38"/>
  <c r="BN64" i="38"/>
  <c r="BM64" i="38"/>
  <c r="BL64" i="38"/>
  <c r="BK64" i="38"/>
  <c r="BJ64" i="38"/>
  <c r="BI64" i="38"/>
  <c r="AS64" i="38"/>
  <c r="BH64" i="38"/>
  <c r="BG64" i="38"/>
  <c r="BF64" i="38"/>
  <c r="BE64" i="38"/>
  <c r="AC64" i="38"/>
  <c r="AA64" i="38"/>
  <c r="Z64" i="38"/>
  <c r="Y64" i="38"/>
  <c r="X64" i="38"/>
  <c r="W64" i="38"/>
  <c r="V64" i="38"/>
  <c r="U64" i="38"/>
  <c r="T64" i="38"/>
  <c r="S64" i="38"/>
  <c r="R64" i="38"/>
  <c r="Q64" i="38"/>
  <c r="P64" i="38"/>
  <c r="D64" i="38"/>
  <c r="EN63" i="38"/>
  <c r="EM63" i="38"/>
  <c r="EL63" i="38"/>
  <c r="EI63" i="38"/>
  <c r="EH63" i="38"/>
  <c r="EG63" i="38"/>
  <c r="EF63" i="38"/>
  <c r="EE63" i="38"/>
  <c r="ED63" i="38"/>
  <c r="EC63" i="38"/>
  <c r="EB63" i="38"/>
  <c r="EA63" i="38"/>
  <c r="DZ63" i="38"/>
  <c r="DY63" i="38"/>
  <c r="DX63" i="38"/>
  <c r="DW63" i="38"/>
  <c r="DV63" i="38"/>
  <c r="DU63" i="38"/>
  <c r="DT63" i="38"/>
  <c r="DS63" i="38"/>
  <c r="DR63" i="38"/>
  <c r="CZ63" i="38"/>
  <c r="DO63" i="38"/>
  <c r="CY63" i="38"/>
  <c r="DN63" i="38"/>
  <c r="CX63" i="38"/>
  <c r="DM63" i="38"/>
  <c r="CW63" i="38"/>
  <c r="DL63" i="38"/>
  <c r="CV63" i="38"/>
  <c r="DK63" i="38"/>
  <c r="CU63" i="38"/>
  <c r="DJ63" i="38"/>
  <c r="CT63" i="38"/>
  <c r="DI63" i="38"/>
  <c r="CS63" i="38"/>
  <c r="DH63" i="38"/>
  <c r="CR63" i="38"/>
  <c r="DG63" i="38"/>
  <c r="CQ63" i="38"/>
  <c r="DF63" i="38"/>
  <c r="CP63" i="38"/>
  <c r="DE63" i="38"/>
  <c r="CO63" i="38"/>
  <c r="DD63" i="38"/>
  <c r="CN63" i="38"/>
  <c r="DC63" i="38"/>
  <c r="CM63" i="38"/>
  <c r="DB63" i="38"/>
  <c r="CL63" i="38"/>
  <c r="DA63" i="38"/>
  <c r="CK63" i="38"/>
  <c r="CJ63" i="38"/>
  <c r="CI63" i="38"/>
  <c r="CH63" i="38"/>
  <c r="CG63" i="38"/>
  <c r="CF63" i="38"/>
  <c r="CE63" i="38"/>
  <c r="CD63" i="38"/>
  <c r="CC63" i="38"/>
  <c r="CB63" i="38"/>
  <c r="CA63" i="38"/>
  <c r="BZ63" i="38"/>
  <c r="BY63" i="38"/>
  <c r="BX63" i="38"/>
  <c r="BW63" i="38"/>
  <c r="BV63" i="38"/>
  <c r="BD63" i="38"/>
  <c r="BS63" i="38"/>
  <c r="BC63" i="38"/>
  <c r="BR63" i="38"/>
  <c r="BB63" i="38"/>
  <c r="BQ63" i="38"/>
  <c r="BA63" i="38"/>
  <c r="BP63" i="38"/>
  <c r="AZ63" i="38"/>
  <c r="BO63" i="38"/>
  <c r="AY63" i="38"/>
  <c r="BN63" i="38"/>
  <c r="AX63" i="38"/>
  <c r="BM63" i="38"/>
  <c r="AW63" i="38"/>
  <c r="BL63" i="38"/>
  <c r="AV63" i="38"/>
  <c r="BK63" i="38"/>
  <c r="AU63" i="38"/>
  <c r="BJ63" i="38"/>
  <c r="AT63" i="38"/>
  <c r="BI63" i="38"/>
  <c r="AS63" i="38"/>
  <c r="BH63" i="38"/>
  <c r="AR63" i="38"/>
  <c r="BG63" i="38"/>
  <c r="AQ63" i="38"/>
  <c r="BF63" i="38"/>
  <c r="AP63" i="38"/>
  <c r="BE63" i="38"/>
  <c r="AO63" i="38"/>
  <c r="AN63" i="38"/>
  <c r="AM63" i="38"/>
  <c r="AL63" i="38"/>
  <c r="AK63" i="38"/>
  <c r="AJ63" i="38"/>
  <c r="AI63" i="38"/>
  <c r="AH63" i="38"/>
  <c r="AG63" i="38"/>
  <c r="AF63" i="38"/>
  <c r="AE63" i="38"/>
  <c r="AD63" i="38"/>
  <c r="O63" i="38"/>
  <c r="AA63" i="38"/>
  <c r="N63" i="38"/>
  <c r="Z63" i="38"/>
  <c r="M63" i="38"/>
  <c r="Y63" i="38"/>
  <c r="L63" i="38"/>
  <c r="X63" i="38"/>
  <c r="K63" i="38"/>
  <c r="J63" i="38"/>
  <c r="I63" i="38"/>
  <c r="H63" i="38"/>
  <c r="G63" i="38"/>
  <c r="F63" i="38"/>
  <c r="E63" i="38"/>
  <c r="D63" i="38"/>
  <c r="EN62" i="38"/>
  <c r="EK62" i="38"/>
  <c r="EG62" i="38"/>
  <c r="DQ62" i="38"/>
  <c r="DO62" i="38"/>
  <c r="DN62" i="38"/>
  <c r="DM62" i="38"/>
  <c r="DL62" i="38"/>
  <c r="DK62" i="38"/>
  <c r="DJ62" i="38"/>
  <c r="DI62" i="38"/>
  <c r="DH62" i="38"/>
  <c r="DG62" i="38"/>
  <c r="DF62" i="38"/>
  <c r="DE62" i="38"/>
  <c r="CO62" i="38"/>
  <c r="DD62" i="38"/>
  <c r="DC62" i="38"/>
  <c r="DB62" i="38"/>
  <c r="DA62" i="38"/>
  <c r="CK62" i="38"/>
  <c r="BU62" i="38"/>
  <c r="BS62" i="38"/>
  <c r="BR62" i="38"/>
  <c r="BQ62" i="38"/>
  <c r="BP62" i="38"/>
  <c r="BO62" i="38"/>
  <c r="BN62" i="38"/>
  <c r="BM62" i="38"/>
  <c r="BL62" i="38"/>
  <c r="BK62" i="38"/>
  <c r="BJ62" i="38"/>
  <c r="BI62" i="38"/>
  <c r="AS62" i="38"/>
  <c r="BH62" i="38"/>
  <c r="BG62" i="38"/>
  <c r="BF62" i="38"/>
  <c r="BE62" i="38"/>
  <c r="AC62" i="38"/>
  <c r="AA62" i="38"/>
  <c r="Z62" i="38"/>
  <c r="Y62" i="38"/>
  <c r="X62" i="38"/>
  <c r="W62" i="38"/>
  <c r="V62" i="38"/>
  <c r="U62" i="38"/>
  <c r="T62" i="38"/>
  <c r="S62" i="38"/>
  <c r="R62" i="38"/>
  <c r="Q62" i="38"/>
  <c r="P62" i="38"/>
  <c r="D62" i="38"/>
  <c r="EN61" i="38"/>
  <c r="EK61" i="38"/>
  <c r="EG61" i="38"/>
  <c r="DQ61" i="38"/>
  <c r="DO61" i="38"/>
  <c r="DN61" i="38"/>
  <c r="DM61" i="38"/>
  <c r="DL61" i="38"/>
  <c r="DK61" i="38"/>
  <c r="DJ61" i="38"/>
  <c r="DI61" i="38"/>
  <c r="DH61" i="38"/>
  <c r="DG61" i="38"/>
  <c r="DF61" i="38"/>
  <c r="DE61" i="38"/>
  <c r="CO61" i="38"/>
  <c r="DD61" i="38"/>
  <c r="DC61" i="38"/>
  <c r="DB61" i="38"/>
  <c r="DA61" i="38"/>
  <c r="CK61" i="38"/>
  <c r="BU61" i="38"/>
  <c r="BS61" i="38"/>
  <c r="BR61" i="38"/>
  <c r="BQ61" i="38"/>
  <c r="BP61" i="38"/>
  <c r="BO61" i="38"/>
  <c r="BN61" i="38"/>
  <c r="BM61" i="38"/>
  <c r="BL61" i="38"/>
  <c r="BK61" i="38"/>
  <c r="BJ61" i="38"/>
  <c r="BI61" i="38"/>
  <c r="AS61" i="38"/>
  <c r="BH61" i="38"/>
  <c r="BG61" i="38"/>
  <c r="BF61" i="38"/>
  <c r="BE61" i="38"/>
  <c r="AC61" i="38"/>
  <c r="AA61" i="38"/>
  <c r="Z61" i="38"/>
  <c r="Y61" i="38"/>
  <c r="X61" i="38"/>
  <c r="W61" i="38"/>
  <c r="V61" i="38"/>
  <c r="U61" i="38"/>
  <c r="T61" i="38"/>
  <c r="S61" i="38"/>
  <c r="R61" i="38"/>
  <c r="Q61" i="38"/>
  <c r="P61" i="38"/>
  <c r="D61" i="38"/>
  <c r="EN60" i="38"/>
  <c r="EK60" i="38"/>
  <c r="EG60" i="38"/>
  <c r="DQ60" i="38"/>
  <c r="DO60" i="38"/>
  <c r="DN60" i="38"/>
  <c r="DM60" i="38"/>
  <c r="DL60" i="38"/>
  <c r="DK60" i="38"/>
  <c r="DJ60" i="38"/>
  <c r="DI60" i="38"/>
  <c r="DH60" i="38"/>
  <c r="DG60" i="38"/>
  <c r="DF60" i="38"/>
  <c r="DE60" i="38"/>
  <c r="CO60" i="38"/>
  <c r="DD60" i="38"/>
  <c r="DC60" i="38"/>
  <c r="DB60" i="38"/>
  <c r="DA60" i="38"/>
  <c r="CK60" i="38"/>
  <c r="BU60" i="38"/>
  <c r="BS60" i="38"/>
  <c r="BR60" i="38"/>
  <c r="BQ60" i="38"/>
  <c r="BP60" i="38"/>
  <c r="BO60" i="38"/>
  <c r="BN60" i="38"/>
  <c r="BM60" i="38"/>
  <c r="BL60" i="38"/>
  <c r="BK60" i="38"/>
  <c r="BJ60" i="38"/>
  <c r="BI60" i="38"/>
  <c r="AS60" i="38"/>
  <c r="BH60" i="38"/>
  <c r="BG60" i="38"/>
  <c r="BF60" i="38"/>
  <c r="BE60" i="38"/>
  <c r="AC60" i="38"/>
  <c r="AA60" i="38"/>
  <c r="Z60" i="38"/>
  <c r="Y60" i="38"/>
  <c r="X60" i="38"/>
  <c r="W60" i="38"/>
  <c r="V60" i="38"/>
  <c r="U60" i="38"/>
  <c r="T60" i="38"/>
  <c r="S60" i="38"/>
  <c r="R60" i="38"/>
  <c r="Q60" i="38"/>
  <c r="P60" i="38"/>
  <c r="D60" i="38"/>
  <c r="EN59" i="38"/>
  <c r="EK59" i="38"/>
  <c r="EG59" i="38"/>
  <c r="DQ59" i="38"/>
  <c r="DO59" i="38"/>
  <c r="DN59" i="38"/>
  <c r="DM59" i="38"/>
  <c r="DL59" i="38"/>
  <c r="DK59" i="38"/>
  <c r="DJ59" i="38"/>
  <c r="DI59" i="38"/>
  <c r="DH59" i="38"/>
  <c r="DG59" i="38"/>
  <c r="DF59" i="38"/>
  <c r="DE59" i="38"/>
  <c r="CO59" i="38"/>
  <c r="DD59" i="38"/>
  <c r="DC59" i="38"/>
  <c r="DB59" i="38"/>
  <c r="DA59" i="38"/>
  <c r="CK59" i="38"/>
  <c r="BU59" i="38"/>
  <c r="BS59" i="38"/>
  <c r="BR59" i="38"/>
  <c r="BQ59" i="38"/>
  <c r="BP59" i="38"/>
  <c r="BO59" i="38"/>
  <c r="BN59" i="38"/>
  <c r="BM59" i="38"/>
  <c r="BL59" i="38"/>
  <c r="BK59" i="38"/>
  <c r="BJ59" i="38"/>
  <c r="BI59" i="38"/>
  <c r="AS59" i="38"/>
  <c r="BH59" i="38"/>
  <c r="BG59" i="38"/>
  <c r="BF59" i="38"/>
  <c r="BE59" i="38"/>
  <c r="AC59" i="38"/>
  <c r="AA59" i="38"/>
  <c r="Z59" i="38"/>
  <c r="Y59" i="38"/>
  <c r="X59" i="38"/>
  <c r="W59" i="38"/>
  <c r="V59" i="38"/>
  <c r="U59" i="38"/>
  <c r="T59" i="38"/>
  <c r="S59" i="38"/>
  <c r="R59" i="38"/>
  <c r="Q59" i="38"/>
  <c r="P59" i="38"/>
  <c r="D59" i="38"/>
  <c r="EN58" i="38"/>
  <c r="EK58" i="38"/>
  <c r="EG58" i="38"/>
  <c r="DQ58" i="38"/>
  <c r="DO58" i="38"/>
  <c r="DN58" i="38"/>
  <c r="DM58" i="38"/>
  <c r="DL58" i="38"/>
  <c r="DK58" i="38"/>
  <c r="DJ58" i="38"/>
  <c r="DI58" i="38"/>
  <c r="DH58" i="38"/>
  <c r="DG58" i="38"/>
  <c r="DF58" i="38"/>
  <c r="DE58" i="38"/>
  <c r="CO58" i="38"/>
  <c r="DD58" i="38"/>
  <c r="DC58" i="38"/>
  <c r="DB58" i="38"/>
  <c r="DA58" i="38"/>
  <c r="CK58" i="38"/>
  <c r="BU58" i="38"/>
  <c r="BS58" i="38"/>
  <c r="BR58" i="38"/>
  <c r="BQ58" i="38"/>
  <c r="BP58" i="38"/>
  <c r="BO58" i="38"/>
  <c r="BN58" i="38"/>
  <c r="BM58" i="38"/>
  <c r="BL58" i="38"/>
  <c r="BK58" i="38"/>
  <c r="BJ58" i="38"/>
  <c r="BI58" i="38"/>
  <c r="AS58" i="38"/>
  <c r="BH58" i="38"/>
  <c r="BG58" i="38"/>
  <c r="BF58" i="38"/>
  <c r="BE58" i="38"/>
  <c r="AC58" i="38"/>
  <c r="AA58" i="38"/>
  <c r="Z58" i="38"/>
  <c r="Y58" i="38"/>
  <c r="X58" i="38"/>
  <c r="W58" i="38"/>
  <c r="V58" i="38"/>
  <c r="U58" i="38"/>
  <c r="T58" i="38"/>
  <c r="S58" i="38"/>
  <c r="R58" i="38"/>
  <c r="Q58" i="38"/>
  <c r="P58" i="38"/>
  <c r="D58" i="38"/>
  <c r="EN57" i="38"/>
  <c r="EK57" i="38"/>
  <c r="EG57" i="38"/>
  <c r="DQ57" i="38"/>
  <c r="DO57" i="38"/>
  <c r="DN57" i="38"/>
  <c r="DM57" i="38"/>
  <c r="DL57" i="38"/>
  <c r="DK57" i="38"/>
  <c r="DJ57" i="38"/>
  <c r="DI57" i="38"/>
  <c r="DH57" i="38"/>
  <c r="DG57" i="38"/>
  <c r="DF57" i="38"/>
  <c r="DE57" i="38"/>
  <c r="CO57" i="38"/>
  <c r="DD57" i="38"/>
  <c r="DC57" i="38"/>
  <c r="DB57" i="38"/>
  <c r="DA57" i="38"/>
  <c r="CK57" i="38"/>
  <c r="BU57" i="38"/>
  <c r="BS57" i="38"/>
  <c r="BR57" i="38"/>
  <c r="BQ57" i="38"/>
  <c r="BP57" i="38"/>
  <c r="BO57" i="38"/>
  <c r="BN57" i="38"/>
  <c r="BM57" i="38"/>
  <c r="BL57" i="38"/>
  <c r="BK57" i="38"/>
  <c r="BJ57" i="38"/>
  <c r="BI57" i="38"/>
  <c r="AS57" i="38"/>
  <c r="BH57" i="38"/>
  <c r="BG57" i="38"/>
  <c r="BF57" i="38"/>
  <c r="BE57" i="38"/>
  <c r="AC57" i="38"/>
  <c r="AA57" i="38"/>
  <c r="Z57" i="38"/>
  <c r="Y57" i="38"/>
  <c r="X57" i="38"/>
  <c r="W57" i="38"/>
  <c r="V57" i="38"/>
  <c r="U57" i="38"/>
  <c r="T57" i="38"/>
  <c r="S57" i="38"/>
  <c r="R57" i="38"/>
  <c r="Q57" i="38"/>
  <c r="P57" i="38"/>
  <c r="D57" i="38"/>
  <c r="EN56" i="38"/>
  <c r="EK56" i="38"/>
  <c r="EG56" i="38"/>
  <c r="DQ56" i="38"/>
  <c r="DO56" i="38"/>
  <c r="DN56" i="38"/>
  <c r="DM56" i="38"/>
  <c r="DL56" i="38"/>
  <c r="DK56" i="38"/>
  <c r="DJ56" i="38"/>
  <c r="DI56" i="38"/>
  <c r="DH56" i="38"/>
  <c r="DG56" i="38"/>
  <c r="DF56" i="38"/>
  <c r="DE56" i="38"/>
  <c r="CO56" i="38"/>
  <c r="DD56" i="38"/>
  <c r="DC56" i="38"/>
  <c r="DB56" i="38"/>
  <c r="DA56" i="38"/>
  <c r="CK56" i="38"/>
  <c r="BU56" i="38"/>
  <c r="BS56" i="38"/>
  <c r="BR56" i="38"/>
  <c r="BQ56" i="38"/>
  <c r="BP56" i="38"/>
  <c r="BO56" i="38"/>
  <c r="BN56" i="38"/>
  <c r="BM56" i="38"/>
  <c r="BL56" i="38"/>
  <c r="BK56" i="38"/>
  <c r="BJ56" i="38"/>
  <c r="BI56" i="38"/>
  <c r="AS56" i="38"/>
  <c r="BH56" i="38"/>
  <c r="BG56" i="38"/>
  <c r="BF56" i="38"/>
  <c r="BE56" i="38"/>
  <c r="AC56" i="38"/>
  <c r="AA56" i="38"/>
  <c r="Z56" i="38"/>
  <c r="Y56" i="38"/>
  <c r="X56" i="38"/>
  <c r="W56" i="38"/>
  <c r="V56" i="38"/>
  <c r="U56" i="38"/>
  <c r="T56" i="38"/>
  <c r="S56" i="38"/>
  <c r="R56" i="38"/>
  <c r="Q56" i="38"/>
  <c r="P56" i="38"/>
  <c r="D56" i="38"/>
  <c r="EN55" i="38"/>
  <c r="EK55" i="38"/>
  <c r="EG55" i="38"/>
  <c r="DQ55" i="38"/>
  <c r="DO55" i="38"/>
  <c r="DN55" i="38"/>
  <c r="DM55" i="38"/>
  <c r="DL55" i="38"/>
  <c r="DK55" i="38"/>
  <c r="DJ55" i="38"/>
  <c r="DI55" i="38"/>
  <c r="DH55" i="38"/>
  <c r="DG55" i="38"/>
  <c r="DF55" i="38"/>
  <c r="DE55" i="38"/>
  <c r="CO55" i="38"/>
  <c r="DD55" i="38"/>
  <c r="DC55" i="38"/>
  <c r="DB55" i="38"/>
  <c r="DA55" i="38"/>
  <c r="CK55" i="38"/>
  <c r="BU55" i="38"/>
  <c r="BS55" i="38"/>
  <c r="BR55" i="38"/>
  <c r="BQ55" i="38"/>
  <c r="BP55" i="38"/>
  <c r="BO55" i="38"/>
  <c r="BN55" i="38"/>
  <c r="BM55" i="38"/>
  <c r="BL55" i="38"/>
  <c r="BK55" i="38"/>
  <c r="BJ55" i="38"/>
  <c r="BI55" i="38"/>
  <c r="AS55" i="38"/>
  <c r="BH55" i="38"/>
  <c r="BG55" i="38"/>
  <c r="BF55" i="38"/>
  <c r="BE55" i="38"/>
  <c r="AC55" i="38"/>
  <c r="AA55" i="38"/>
  <c r="Z55" i="38"/>
  <c r="Y55" i="38"/>
  <c r="X55" i="38"/>
  <c r="W55" i="38"/>
  <c r="V55" i="38"/>
  <c r="U55" i="38"/>
  <c r="T55" i="38"/>
  <c r="S55" i="38"/>
  <c r="R55" i="38"/>
  <c r="Q55" i="38"/>
  <c r="P55" i="38"/>
  <c r="D55" i="38"/>
  <c r="EN54" i="38"/>
  <c r="EK54" i="38"/>
  <c r="EG54" i="38"/>
  <c r="DQ54" i="38"/>
  <c r="DO54" i="38"/>
  <c r="DN54" i="38"/>
  <c r="DM54" i="38"/>
  <c r="DL54" i="38"/>
  <c r="DK54" i="38"/>
  <c r="DJ54" i="38"/>
  <c r="DI54" i="38"/>
  <c r="DH54" i="38"/>
  <c r="DG54" i="38"/>
  <c r="DF54" i="38"/>
  <c r="DE54" i="38"/>
  <c r="CO54" i="38"/>
  <c r="DD54" i="38"/>
  <c r="DC54" i="38"/>
  <c r="DB54" i="38"/>
  <c r="DA54" i="38"/>
  <c r="CK54" i="38"/>
  <c r="BU54" i="38"/>
  <c r="BS54" i="38"/>
  <c r="BR54" i="38"/>
  <c r="BQ54" i="38"/>
  <c r="BP54" i="38"/>
  <c r="BO54" i="38"/>
  <c r="BN54" i="38"/>
  <c r="BM54" i="38"/>
  <c r="BL54" i="38"/>
  <c r="BK54" i="38"/>
  <c r="BJ54" i="38"/>
  <c r="BI54" i="38"/>
  <c r="AS54" i="38"/>
  <c r="BH54" i="38"/>
  <c r="BG54" i="38"/>
  <c r="BF54" i="38"/>
  <c r="BE54" i="38"/>
  <c r="AC54" i="38"/>
  <c r="AA54" i="38"/>
  <c r="Z54" i="38"/>
  <c r="Y54" i="38"/>
  <c r="X54" i="38"/>
  <c r="W54" i="38"/>
  <c r="V54" i="38"/>
  <c r="U54" i="38"/>
  <c r="T54" i="38"/>
  <c r="S54" i="38"/>
  <c r="R54" i="38"/>
  <c r="Q54" i="38"/>
  <c r="P54" i="38"/>
  <c r="D54" i="38"/>
  <c r="EN53" i="38"/>
  <c r="EK53" i="38"/>
  <c r="EG53" i="38"/>
  <c r="DQ53" i="38"/>
  <c r="DO53" i="38"/>
  <c r="DN53" i="38"/>
  <c r="DM53" i="38"/>
  <c r="DL53" i="38"/>
  <c r="DK53" i="38"/>
  <c r="DJ53" i="38"/>
  <c r="DI53" i="38"/>
  <c r="DH53" i="38"/>
  <c r="DG53" i="38"/>
  <c r="DF53" i="38"/>
  <c r="DE53" i="38"/>
  <c r="CO53" i="38"/>
  <c r="DD53" i="38"/>
  <c r="DC53" i="38"/>
  <c r="DB53" i="38"/>
  <c r="DA53" i="38"/>
  <c r="CK53" i="38"/>
  <c r="BU53" i="38"/>
  <c r="BS53" i="38"/>
  <c r="BR53" i="38"/>
  <c r="BQ53" i="38"/>
  <c r="BP53" i="38"/>
  <c r="BO53" i="38"/>
  <c r="BN53" i="38"/>
  <c r="BM53" i="38"/>
  <c r="BL53" i="38"/>
  <c r="BK53" i="38"/>
  <c r="BJ53" i="38"/>
  <c r="BI53" i="38"/>
  <c r="AS53" i="38"/>
  <c r="BH53" i="38"/>
  <c r="BG53" i="38"/>
  <c r="BF53" i="38"/>
  <c r="BE53" i="38"/>
  <c r="AC53" i="38"/>
  <c r="AA53" i="38"/>
  <c r="Z53" i="38"/>
  <c r="Y53" i="38"/>
  <c r="X53" i="38"/>
  <c r="W53" i="38"/>
  <c r="V53" i="38"/>
  <c r="U53" i="38"/>
  <c r="T53" i="38"/>
  <c r="S53" i="38"/>
  <c r="R53" i="38"/>
  <c r="Q53" i="38"/>
  <c r="P53" i="38"/>
  <c r="D53" i="38"/>
  <c r="EN52" i="38"/>
  <c r="EK52" i="38"/>
  <c r="EG52" i="38"/>
  <c r="DQ52" i="38"/>
  <c r="DO52" i="38"/>
  <c r="DN52" i="38"/>
  <c r="DM52" i="38"/>
  <c r="DL52" i="38"/>
  <c r="DK52" i="38"/>
  <c r="DJ52" i="38"/>
  <c r="DI52" i="38"/>
  <c r="DH52" i="38"/>
  <c r="DG52" i="38"/>
  <c r="DF52" i="38"/>
  <c r="DE52" i="38"/>
  <c r="CO52" i="38"/>
  <c r="DD52" i="38"/>
  <c r="DC52" i="38"/>
  <c r="DB52" i="38"/>
  <c r="DA52" i="38"/>
  <c r="CK52" i="38"/>
  <c r="BU52" i="38"/>
  <c r="BS52" i="38"/>
  <c r="BR52" i="38"/>
  <c r="BQ52" i="38"/>
  <c r="BP52" i="38"/>
  <c r="BO52" i="38"/>
  <c r="BN52" i="38"/>
  <c r="BM52" i="38"/>
  <c r="BL52" i="38"/>
  <c r="BK52" i="38"/>
  <c r="BJ52" i="38"/>
  <c r="BI52" i="38"/>
  <c r="AS52" i="38"/>
  <c r="BH52" i="38"/>
  <c r="BG52" i="38"/>
  <c r="BF52" i="38"/>
  <c r="BE52" i="38"/>
  <c r="AC52" i="38"/>
  <c r="AA52" i="38"/>
  <c r="Z52" i="38"/>
  <c r="Y52" i="38"/>
  <c r="X52" i="38"/>
  <c r="W52" i="38"/>
  <c r="V52" i="38"/>
  <c r="U52" i="38"/>
  <c r="T52" i="38"/>
  <c r="S52" i="38"/>
  <c r="R52" i="38"/>
  <c r="Q52" i="38"/>
  <c r="P52" i="38"/>
  <c r="D52" i="38"/>
  <c r="EN51" i="38"/>
  <c r="EK51" i="38"/>
  <c r="EG51" i="38"/>
  <c r="DQ51" i="38"/>
  <c r="DO51" i="38"/>
  <c r="DN51" i="38"/>
  <c r="DM51" i="38"/>
  <c r="DL51" i="38"/>
  <c r="DK51" i="38"/>
  <c r="DJ51" i="38"/>
  <c r="DI51" i="38"/>
  <c r="DH51" i="38"/>
  <c r="DG51" i="38"/>
  <c r="DF51" i="38"/>
  <c r="DE51" i="38"/>
  <c r="CO51" i="38"/>
  <c r="DD51" i="38"/>
  <c r="DC51" i="38"/>
  <c r="DB51" i="38"/>
  <c r="DA51" i="38"/>
  <c r="CK51" i="38"/>
  <c r="BU51" i="38"/>
  <c r="BS51" i="38"/>
  <c r="BR51" i="38"/>
  <c r="BQ51" i="38"/>
  <c r="BP51" i="38"/>
  <c r="BO51" i="38"/>
  <c r="BN51" i="38"/>
  <c r="BM51" i="38"/>
  <c r="BL51" i="38"/>
  <c r="BK51" i="38"/>
  <c r="BJ51" i="38"/>
  <c r="BI51" i="38"/>
  <c r="AS51" i="38"/>
  <c r="BH51" i="38"/>
  <c r="BG51" i="38"/>
  <c r="BF51" i="38"/>
  <c r="BE51" i="38"/>
  <c r="AC51" i="38"/>
  <c r="AA51" i="38"/>
  <c r="Z51" i="38"/>
  <c r="Y51" i="38"/>
  <c r="X51" i="38"/>
  <c r="W51" i="38"/>
  <c r="V51" i="38"/>
  <c r="U51" i="38"/>
  <c r="T51" i="38"/>
  <c r="S51" i="38"/>
  <c r="R51" i="38"/>
  <c r="Q51" i="38"/>
  <c r="P51" i="38"/>
  <c r="D51" i="38"/>
  <c r="EN50" i="38"/>
  <c r="EK50" i="38"/>
  <c r="EG50" i="38"/>
  <c r="DQ50" i="38"/>
  <c r="DO50" i="38"/>
  <c r="DN50" i="38"/>
  <c r="DM50" i="38"/>
  <c r="DL50" i="38"/>
  <c r="DK50" i="38"/>
  <c r="DJ50" i="38"/>
  <c r="DI50" i="38"/>
  <c r="DH50" i="38"/>
  <c r="DG50" i="38"/>
  <c r="DF50" i="38"/>
  <c r="DE50" i="38"/>
  <c r="CO50" i="38"/>
  <c r="DD50" i="38"/>
  <c r="DC50" i="38"/>
  <c r="DB50" i="38"/>
  <c r="DA50" i="38"/>
  <c r="CK50" i="38"/>
  <c r="BU50" i="38"/>
  <c r="BS50" i="38"/>
  <c r="BR50" i="38"/>
  <c r="BQ50" i="38"/>
  <c r="BP50" i="38"/>
  <c r="BO50" i="38"/>
  <c r="BN50" i="38"/>
  <c r="BM50" i="38"/>
  <c r="BL50" i="38"/>
  <c r="BK50" i="38"/>
  <c r="BJ50" i="38"/>
  <c r="BI50" i="38"/>
  <c r="AS50" i="38"/>
  <c r="BH50" i="38"/>
  <c r="BG50" i="38"/>
  <c r="BF50" i="38"/>
  <c r="BE50" i="38"/>
  <c r="AC50" i="38"/>
  <c r="AA50" i="38"/>
  <c r="Z50" i="38"/>
  <c r="Y50" i="38"/>
  <c r="X50" i="38"/>
  <c r="W50" i="38"/>
  <c r="V50" i="38"/>
  <c r="U50" i="38"/>
  <c r="T50" i="38"/>
  <c r="S50" i="38"/>
  <c r="R50" i="38"/>
  <c r="Q50" i="38"/>
  <c r="P50" i="38"/>
  <c r="D50" i="38"/>
  <c r="EL23" i="38"/>
  <c r="EM23" i="38"/>
  <c r="EN49" i="38"/>
  <c r="EK49" i="38"/>
  <c r="DR23" i="38"/>
  <c r="DT23" i="38"/>
  <c r="EG49" i="38"/>
  <c r="DQ49" i="38"/>
  <c r="DO49" i="38"/>
  <c r="DN49" i="38"/>
  <c r="DM49" i="38"/>
  <c r="DL49" i="38"/>
  <c r="DK49" i="38"/>
  <c r="DJ49" i="38"/>
  <c r="DI49" i="38"/>
  <c r="DH49" i="38"/>
  <c r="DG49" i="38"/>
  <c r="DF49" i="38"/>
  <c r="DE49" i="38"/>
  <c r="CO49" i="38"/>
  <c r="DD49" i="38"/>
  <c r="DC49" i="38"/>
  <c r="DB49" i="38"/>
  <c r="DA49" i="38"/>
  <c r="BV23" i="38"/>
  <c r="BW23" i="38"/>
  <c r="CK49" i="38"/>
  <c r="BU49" i="38"/>
  <c r="BS49" i="38"/>
  <c r="BR49" i="38"/>
  <c r="BQ49" i="38"/>
  <c r="BP49" i="38"/>
  <c r="BO49" i="38"/>
  <c r="BN49" i="38"/>
  <c r="BM49" i="38"/>
  <c r="BL49" i="38"/>
  <c r="BK49" i="38"/>
  <c r="BJ49" i="38"/>
  <c r="BI49" i="38"/>
  <c r="AS49" i="38"/>
  <c r="BH49" i="38"/>
  <c r="BG49" i="38"/>
  <c r="BF49" i="38"/>
  <c r="BE49" i="38"/>
  <c r="AO23" i="38"/>
  <c r="AN23" i="38"/>
  <c r="AM23" i="38"/>
  <c r="AL23" i="38"/>
  <c r="AK23" i="38"/>
  <c r="AJ23" i="38"/>
  <c r="AI23" i="38"/>
  <c r="AH23" i="38"/>
  <c r="AG23" i="38"/>
  <c r="AF23" i="38"/>
  <c r="AE23" i="38"/>
  <c r="AC49" i="38"/>
  <c r="AA49" i="38"/>
  <c r="Z49" i="38"/>
  <c r="Y49" i="38"/>
  <c r="X49" i="38"/>
  <c r="W49" i="38"/>
  <c r="V49" i="38"/>
  <c r="U49" i="38"/>
  <c r="T49" i="38"/>
  <c r="S49" i="38"/>
  <c r="R49" i="38"/>
  <c r="Q49" i="38"/>
  <c r="P49" i="38"/>
  <c r="D49" i="38"/>
  <c r="EN48" i="38"/>
  <c r="EM48" i="38"/>
  <c r="EL48" i="38"/>
  <c r="EI48" i="38"/>
  <c r="EH48" i="38"/>
  <c r="EG48" i="38"/>
  <c r="EF48" i="38"/>
  <c r="EE48" i="38"/>
  <c r="ED48" i="38"/>
  <c r="EC48" i="38"/>
  <c r="EB48" i="38"/>
  <c r="EA48" i="38"/>
  <c r="DZ48" i="38"/>
  <c r="DY48" i="38"/>
  <c r="DX48" i="38"/>
  <c r="DW48" i="38"/>
  <c r="DV48" i="38"/>
  <c r="DU48" i="38"/>
  <c r="DT48" i="38"/>
  <c r="DS48" i="38"/>
  <c r="DR48" i="38"/>
  <c r="CZ48" i="38"/>
  <c r="DO48" i="38"/>
  <c r="CY48" i="38"/>
  <c r="DN48" i="38"/>
  <c r="CX48" i="38"/>
  <c r="DM48" i="38"/>
  <c r="CW48" i="38"/>
  <c r="DL48" i="38"/>
  <c r="CV48" i="38"/>
  <c r="DK48" i="38"/>
  <c r="CU48" i="38"/>
  <c r="DJ48" i="38"/>
  <c r="CT48" i="38"/>
  <c r="DI48" i="38"/>
  <c r="CS48" i="38"/>
  <c r="DH48" i="38"/>
  <c r="CR48" i="38"/>
  <c r="DG48" i="38"/>
  <c r="CQ48" i="38"/>
  <c r="DF48" i="38"/>
  <c r="CP48" i="38"/>
  <c r="DE48" i="38"/>
  <c r="CO48" i="38"/>
  <c r="DD48" i="38"/>
  <c r="CN48" i="38"/>
  <c r="DC48" i="38"/>
  <c r="CM48" i="38"/>
  <c r="DB48" i="38"/>
  <c r="CL48" i="38"/>
  <c r="DA48" i="38"/>
  <c r="CK48" i="38"/>
  <c r="CJ48" i="38"/>
  <c r="CI48" i="38"/>
  <c r="CH48" i="38"/>
  <c r="CG48" i="38"/>
  <c r="CF48" i="38"/>
  <c r="CE48" i="38"/>
  <c r="CD48" i="38"/>
  <c r="CC48" i="38"/>
  <c r="CB48" i="38"/>
  <c r="CA48" i="38"/>
  <c r="BZ48" i="38"/>
  <c r="BY48" i="38"/>
  <c r="BX48" i="38"/>
  <c r="BW48" i="38"/>
  <c r="BV48" i="38"/>
  <c r="BD48" i="38"/>
  <c r="BS48" i="38"/>
  <c r="BC48" i="38"/>
  <c r="BR48" i="38"/>
  <c r="BB48" i="38"/>
  <c r="BQ48" i="38"/>
  <c r="BA48" i="38"/>
  <c r="BP48" i="38"/>
  <c r="AZ48" i="38"/>
  <c r="BO48" i="38"/>
  <c r="AY48" i="38"/>
  <c r="BN48" i="38"/>
  <c r="AX48" i="38"/>
  <c r="BM48" i="38"/>
  <c r="AW48" i="38"/>
  <c r="BL48" i="38"/>
  <c r="AV48" i="38"/>
  <c r="BK48" i="38"/>
  <c r="AU48" i="38"/>
  <c r="BJ48" i="38"/>
  <c r="AT48" i="38"/>
  <c r="BI48" i="38"/>
  <c r="AS48" i="38"/>
  <c r="BH48" i="38"/>
  <c r="AR48" i="38"/>
  <c r="BG48" i="38"/>
  <c r="AQ48" i="38"/>
  <c r="BF48" i="38"/>
  <c r="AP48" i="38"/>
  <c r="BE48" i="38"/>
  <c r="AO48" i="38"/>
  <c r="AN48" i="38"/>
  <c r="AM48" i="38"/>
  <c r="AL48" i="38"/>
  <c r="AK48" i="38"/>
  <c r="AJ48" i="38"/>
  <c r="AI48" i="38"/>
  <c r="AH48" i="38"/>
  <c r="AG48" i="38"/>
  <c r="AF48" i="38"/>
  <c r="AE48" i="38"/>
  <c r="AD48" i="38"/>
  <c r="O48" i="38"/>
  <c r="AA48" i="38"/>
  <c r="N48" i="38"/>
  <c r="Z48" i="38"/>
  <c r="M48" i="38"/>
  <c r="Y48" i="38"/>
  <c r="L48" i="38"/>
  <c r="X48" i="38"/>
  <c r="K48" i="38"/>
  <c r="J48" i="38"/>
  <c r="I48" i="38"/>
  <c r="H48" i="38"/>
  <c r="G48" i="38"/>
  <c r="F48" i="38"/>
  <c r="E48" i="38"/>
  <c r="D48" i="38"/>
  <c r="EM6" i="38"/>
  <c r="EN47" i="38"/>
  <c r="EK47" i="38"/>
  <c r="DT6" i="38"/>
  <c r="EG47" i="38"/>
  <c r="DQ47" i="38"/>
  <c r="DO47" i="38"/>
  <c r="DN47" i="38"/>
  <c r="DM47" i="38"/>
  <c r="DL47" i="38"/>
  <c r="DK47" i="38"/>
  <c r="DJ47" i="38"/>
  <c r="DI47" i="38"/>
  <c r="DH47" i="38"/>
  <c r="DG47" i="38"/>
  <c r="DF47" i="38"/>
  <c r="DE47" i="38"/>
  <c r="CO47" i="38"/>
  <c r="DD47" i="38"/>
  <c r="DC47" i="38"/>
  <c r="DB47" i="38"/>
  <c r="DA47" i="38"/>
  <c r="CK47" i="38"/>
  <c r="BU47" i="38"/>
  <c r="BS47" i="38"/>
  <c r="BR47" i="38"/>
  <c r="BQ47" i="38"/>
  <c r="BP47" i="38"/>
  <c r="BO47" i="38"/>
  <c r="BN47" i="38"/>
  <c r="BM47" i="38"/>
  <c r="BL47" i="38"/>
  <c r="BK47" i="38"/>
  <c r="BJ47" i="38"/>
  <c r="BI47" i="38"/>
  <c r="AS47" i="38"/>
  <c r="BH47" i="38"/>
  <c r="BG47" i="38"/>
  <c r="BF47" i="38"/>
  <c r="BE47" i="38"/>
  <c r="AC47" i="38"/>
  <c r="AA47" i="38"/>
  <c r="Z47" i="38"/>
  <c r="Y47" i="38"/>
  <c r="X47" i="38"/>
  <c r="W47" i="38"/>
  <c r="V47" i="38"/>
  <c r="U47" i="38"/>
  <c r="T47" i="38"/>
  <c r="S47" i="38"/>
  <c r="R47" i="38"/>
  <c r="Q47" i="38"/>
  <c r="P47" i="38"/>
  <c r="D47" i="38"/>
  <c r="EL10" i="38"/>
  <c r="EM10" i="38"/>
  <c r="EN46" i="38"/>
  <c r="EK46" i="38"/>
  <c r="DR10" i="38"/>
  <c r="DT10" i="38"/>
  <c r="EG46" i="38"/>
  <c r="DQ46" i="38"/>
  <c r="DO46" i="38"/>
  <c r="DN46" i="38"/>
  <c r="DM46" i="38"/>
  <c r="DL46" i="38"/>
  <c r="DK46" i="38"/>
  <c r="DJ46" i="38"/>
  <c r="DI46" i="38"/>
  <c r="DH46" i="38"/>
  <c r="DG46" i="38"/>
  <c r="DF46" i="38"/>
  <c r="DE46" i="38"/>
  <c r="CO46" i="38"/>
  <c r="DD46" i="38"/>
  <c r="DC46" i="38"/>
  <c r="DB46" i="38"/>
  <c r="DA46" i="38"/>
  <c r="BV10" i="38"/>
  <c r="BW10" i="38"/>
  <c r="CK46" i="38"/>
  <c r="BU46" i="38"/>
  <c r="BS46" i="38"/>
  <c r="BR46" i="38"/>
  <c r="BQ46" i="38"/>
  <c r="BP46" i="38"/>
  <c r="BO46" i="38"/>
  <c r="BN46" i="38"/>
  <c r="BM46" i="38"/>
  <c r="BL46" i="38"/>
  <c r="BK46" i="38"/>
  <c r="BJ46" i="38"/>
  <c r="BI46" i="38"/>
  <c r="AS46" i="38"/>
  <c r="BH46" i="38"/>
  <c r="BG46" i="38"/>
  <c r="BF46" i="38"/>
  <c r="BE46" i="38"/>
  <c r="AO10" i="38"/>
  <c r="AN10" i="38"/>
  <c r="AM10" i="38"/>
  <c r="AL10" i="38"/>
  <c r="AK10" i="38"/>
  <c r="AJ10" i="38"/>
  <c r="AI10" i="38"/>
  <c r="AH10" i="38"/>
  <c r="AG10" i="38"/>
  <c r="AF10" i="38"/>
  <c r="AE10" i="38"/>
  <c r="AC46" i="38"/>
  <c r="AA46" i="38"/>
  <c r="Z46" i="38"/>
  <c r="Y46" i="38"/>
  <c r="X46" i="38"/>
  <c r="W46" i="38"/>
  <c r="V46" i="38"/>
  <c r="U46" i="38"/>
  <c r="T46" i="38"/>
  <c r="S46" i="38"/>
  <c r="R46" i="38"/>
  <c r="Q46" i="38"/>
  <c r="P46" i="38"/>
  <c r="D46" i="38"/>
  <c r="EN45" i="38"/>
  <c r="EM45" i="38"/>
  <c r="EL45" i="38"/>
  <c r="EI45" i="38"/>
  <c r="EH45" i="38"/>
  <c r="EG45" i="38"/>
  <c r="EF45" i="38"/>
  <c r="EE45" i="38"/>
  <c r="ED45" i="38"/>
  <c r="EC45" i="38"/>
  <c r="EB45" i="38"/>
  <c r="EA45" i="38"/>
  <c r="DZ45" i="38"/>
  <c r="DY45" i="38"/>
  <c r="DX45" i="38"/>
  <c r="DW45" i="38"/>
  <c r="DV45" i="38"/>
  <c r="DU45" i="38"/>
  <c r="DT45" i="38"/>
  <c r="DS45" i="38"/>
  <c r="DR45" i="38"/>
  <c r="CZ45" i="38"/>
  <c r="DO45" i="38"/>
  <c r="CY45" i="38"/>
  <c r="DN45" i="38"/>
  <c r="CX45" i="38"/>
  <c r="DM45" i="38"/>
  <c r="CW45" i="38"/>
  <c r="DL45" i="38"/>
  <c r="CV45" i="38"/>
  <c r="DK45" i="38"/>
  <c r="CU45" i="38"/>
  <c r="DJ45" i="38"/>
  <c r="CT45" i="38"/>
  <c r="DI45" i="38"/>
  <c r="CS45" i="38"/>
  <c r="DH45" i="38"/>
  <c r="CR45" i="38"/>
  <c r="DG45" i="38"/>
  <c r="CQ45" i="38"/>
  <c r="DF45" i="38"/>
  <c r="CP45" i="38"/>
  <c r="DE45" i="38"/>
  <c r="CO45" i="38"/>
  <c r="DD45" i="38"/>
  <c r="CN45" i="38"/>
  <c r="DC45" i="38"/>
  <c r="CM45" i="38"/>
  <c r="DB45" i="38"/>
  <c r="CL45" i="38"/>
  <c r="DA45" i="38"/>
  <c r="CK45" i="38"/>
  <c r="CJ45" i="38"/>
  <c r="CI45" i="38"/>
  <c r="CH45" i="38"/>
  <c r="CG45" i="38"/>
  <c r="CF45" i="38"/>
  <c r="CE45" i="38"/>
  <c r="CD45" i="38"/>
  <c r="CC45" i="38"/>
  <c r="CB45" i="38"/>
  <c r="CA45" i="38"/>
  <c r="BZ45" i="38"/>
  <c r="BY45" i="38"/>
  <c r="BX45" i="38"/>
  <c r="BW45" i="38"/>
  <c r="BV45" i="38"/>
  <c r="BD45" i="38"/>
  <c r="BS45" i="38"/>
  <c r="BC45" i="38"/>
  <c r="BR45" i="38"/>
  <c r="BB45" i="38"/>
  <c r="BQ45" i="38"/>
  <c r="BA45" i="38"/>
  <c r="BP45" i="38"/>
  <c r="AZ45" i="38"/>
  <c r="BO45" i="38"/>
  <c r="AY45" i="38"/>
  <c r="BN45" i="38"/>
  <c r="AX45" i="38"/>
  <c r="BM45" i="38"/>
  <c r="AW45" i="38"/>
  <c r="BL45" i="38"/>
  <c r="AV45" i="38"/>
  <c r="BK45" i="38"/>
  <c r="AU45" i="38"/>
  <c r="BJ45" i="38"/>
  <c r="AT45" i="38"/>
  <c r="BI45" i="38"/>
  <c r="AS45" i="38"/>
  <c r="BH45" i="38"/>
  <c r="AR45" i="38"/>
  <c r="BG45" i="38"/>
  <c r="AQ45" i="38"/>
  <c r="BF45" i="38"/>
  <c r="AP45" i="38"/>
  <c r="BE45" i="38"/>
  <c r="AO45" i="38"/>
  <c r="AN45" i="38"/>
  <c r="AM45" i="38"/>
  <c r="AL45" i="38"/>
  <c r="AK45" i="38"/>
  <c r="AJ45" i="38"/>
  <c r="AI45" i="38"/>
  <c r="AH45" i="38"/>
  <c r="AG45" i="38"/>
  <c r="AF45" i="38"/>
  <c r="AE45" i="38"/>
  <c r="AD45" i="38"/>
  <c r="O45" i="38"/>
  <c r="AA45" i="38"/>
  <c r="N45" i="38"/>
  <c r="Z45" i="38"/>
  <c r="M45" i="38"/>
  <c r="Y45" i="38"/>
  <c r="L45" i="38"/>
  <c r="X45" i="38"/>
  <c r="K45" i="38"/>
  <c r="J45" i="38"/>
  <c r="I45" i="38"/>
  <c r="H45" i="38"/>
  <c r="G45" i="38"/>
  <c r="F45" i="38"/>
  <c r="E45" i="38"/>
  <c r="D45" i="38"/>
  <c r="EL15" i="38"/>
  <c r="EM15" i="38"/>
  <c r="EN44" i="38"/>
  <c r="EK44" i="38"/>
  <c r="DR15" i="38"/>
  <c r="DT15" i="38"/>
  <c r="EG44" i="38"/>
  <c r="DQ44" i="38"/>
  <c r="DO44" i="38"/>
  <c r="DN44" i="38"/>
  <c r="DM44" i="38"/>
  <c r="DL44" i="38"/>
  <c r="DK44" i="38"/>
  <c r="DJ44" i="38"/>
  <c r="DI44" i="38"/>
  <c r="DH44" i="38"/>
  <c r="DG44" i="38"/>
  <c r="DF44" i="38"/>
  <c r="DE44" i="38"/>
  <c r="CO44" i="38"/>
  <c r="DD44" i="38"/>
  <c r="DC44" i="38"/>
  <c r="DB44" i="38"/>
  <c r="DA44" i="38"/>
  <c r="BV15" i="38"/>
  <c r="BW15" i="38"/>
  <c r="CK44" i="38"/>
  <c r="BU44" i="38"/>
  <c r="BS44" i="38"/>
  <c r="BR44" i="38"/>
  <c r="BQ44" i="38"/>
  <c r="BP44" i="38"/>
  <c r="BO44" i="38"/>
  <c r="BN44" i="38"/>
  <c r="BM44" i="38"/>
  <c r="BL44" i="38"/>
  <c r="BK44" i="38"/>
  <c r="BJ44" i="38"/>
  <c r="BI44" i="38"/>
  <c r="AS44" i="38"/>
  <c r="BH44" i="38"/>
  <c r="BG44" i="38"/>
  <c r="BF44" i="38"/>
  <c r="BE44" i="38"/>
  <c r="AO15" i="38"/>
  <c r="AN15" i="38"/>
  <c r="AM15" i="38"/>
  <c r="AL15" i="38"/>
  <c r="AK15" i="38"/>
  <c r="AJ15" i="38"/>
  <c r="AI15" i="38"/>
  <c r="AH15" i="38"/>
  <c r="AG15" i="38"/>
  <c r="AF15" i="38"/>
  <c r="AE15" i="38"/>
  <c r="AC44" i="38"/>
  <c r="AA44" i="38"/>
  <c r="Z44" i="38"/>
  <c r="Y44" i="38"/>
  <c r="X44" i="38"/>
  <c r="W44" i="38"/>
  <c r="V44" i="38"/>
  <c r="U44" i="38"/>
  <c r="T44" i="38"/>
  <c r="S44" i="38"/>
  <c r="R44" i="38"/>
  <c r="Q44" i="38"/>
  <c r="P44" i="38"/>
  <c r="D44" i="38"/>
  <c r="EM28" i="38"/>
  <c r="EN43" i="38"/>
  <c r="EK43" i="38"/>
  <c r="DT28" i="38"/>
  <c r="EG43" i="38"/>
  <c r="DQ43" i="38"/>
  <c r="DO43" i="38"/>
  <c r="DN43" i="38"/>
  <c r="DM43" i="38"/>
  <c r="DL43" i="38"/>
  <c r="DK43" i="38"/>
  <c r="DJ43" i="38"/>
  <c r="DI43" i="38"/>
  <c r="DH43" i="38"/>
  <c r="DG43" i="38"/>
  <c r="DF43" i="38"/>
  <c r="DE43" i="38"/>
  <c r="CO43" i="38"/>
  <c r="DD43" i="38"/>
  <c r="DC43" i="38"/>
  <c r="DB43" i="38"/>
  <c r="DA43" i="38"/>
  <c r="CK43" i="38"/>
  <c r="BU43" i="38"/>
  <c r="BS43" i="38"/>
  <c r="BR43" i="38"/>
  <c r="BQ43" i="38"/>
  <c r="BP43" i="38"/>
  <c r="BO43" i="38"/>
  <c r="BN43" i="38"/>
  <c r="BM43" i="38"/>
  <c r="BL43" i="38"/>
  <c r="BK43" i="38"/>
  <c r="BJ43" i="38"/>
  <c r="BI43" i="38"/>
  <c r="AS43" i="38"/>
  <c r="BH43" i="38"/>
  <c r="BG43" i="38"/>
  <c r="BF43" i="38"/>
  <c r="BE43" i="38"/>
  <c r="AC43" i="38"/>
  <c r="AA43" i="38"/>
  <c r="Z43" i="38"/>
  <c r="Y43" i="38"/>
  <c r="X43" i="38"/>
  <c r="W43" i="38"/>
  <c r="V43" i="38"/>
  <c r="U43" i="38"/>
  <c r="T43" i="38"/>
  <c r="S43" i="38"/>
  <c r="R43" i="38"/>
  <c r="Q43" i="38"/>
  <c r="P43" i="38"/>
  <c r="D43" i="38"/>
  <c r="EM19" i="38"/>
  <c r="EN42" i="38"/>
  <c r="EK42" i="38"/>
  <c r="DT19" i="38"/>
  <c r="EG42" i="38"/>
  <c r="DQ42" i="38"/>
  <c r="DO42" i="38"/>
  <c r="DN42" i="38"/>
  <c r="DM42" i="38"/>
  <c r="DL42" i="38"/>
  <c r="DK42" i="38"/>
  <c r="DJ42" i="38"/>
  <c r="DI42" i="38"/>
  <c r="DH42" i="38"/>
  <c r="DG42" i="38"/>
  <c r="DF42" i="38"/>
  <c r="DE42" i="38"/>
  <c r="CO42" i="38"/>
  <c r="DD42" i="38"/>
  <c r="DC42" i="38"/>
  <c r="DB42" i="38"/>
  <c r="DA42" i="38"/>
  <c r="CK42" i="38"/>
  <c r="BU42" i="38"/>
  <c r="BS42" i="38"/>
  <c r="BR42" i="38"/>
  <c r="BQ42" i="38"/>
  <c r="BP42" i="38"/>
  <c r="BO42" i="38"/>
  <c r="BN42" i="38"/>
  <c r="BM42" i="38"/>
  <c r="BL42" i="38"/>
  <c r="BK42" i="38"/>
  <c r="BJ42" i="38"/>
  <c r="BI42" i="38"/>
  <c r="AS42" i="38"/>
  <c r="BH42" i="38"/>
  <c r="BG42" i="38"/>
  <c r="BF42" i="38"/>
  <c r="BE42" i="38"/>
  <c r="AC42" i="38"/>
  <c r="AA42" i="38"/>
  <c r="Z42" i="38"/>
  <c r="Y42" i="38"/>
  <c r="X42" i="38"/>
  <c r="W42" i="38"/>
  <c r="V42" i="38"/>
  <c r="U42" i="38"/>
  <c r="T42" i="38"/>
  <c r="S42" i="38"/>
  <c r="R42" i="38"/>
  <c r="Q42" i="38"/>
  <c r="P42" i="38"/>
  <c r="D42" i="38"/>
  <c r="EL8" i="38"/>
  <c r="EM8" i="38"/>
  <c r="EN41" i="38"/>
  <c r="EK41" i="38"/>
  <c r="DR8" i="38"/>
  <c r="DT8" i="38"/>
  <c r="EG41" i="38"/>
  <c r="DQ41" i="38"/>
  <c r="DO41" i="38"/>
  <c r="DN41" i="38"/>
  <c r="DM41" i="38"/>
  <c r="DL41" i="38"/>
  <c r="DK41" i="38"/>
  <c r="DJ41" i="38"/>
  <c r="DI41" i="38"/>
  <c r="DH41" i="38"/>
  <c r="DG41" i="38"/>
  <c r="DF41" i="38"/>
  <c r="DE41" i="38"/>
  <c r="CO41" i="38"/>
  <c r="DD41" i="38"/>
  <c r="DC41" i="38"/>
  <c r="DB41" i="38"/>
  <c r="DA41" i="38"/>
  <c r="BV8" i="38"/>
  <c r="BW8" i="38"/>
  <c r="CK41" i="38"/>
  <c r="BU41" i="38"/>
  <c r="BS41" i="38"/>
  <c r="BR41" i="38"/>
  <c r="BQ41" i="38"/>
  <c r="BP41" i="38"/>
  <c r="BO41" i="38"/>
  <c r="BN41" i="38"/>
  <c r="BM41" i="38"/>
  <c r="BL41" i="38"/>
  <c r="BK41" i="38"/>
  <c r="BJ41" i="38"/>
  <c r="BI41" i="38"/>
  <c r="AS41" i="38"/>
  <c r="BH41" i="38"/>
  <c r="BG41" i="38"/>
  <c r="BF41" i="38"/>
  <c r="BE41" i="38"/>
  <c r="AO8" i="38"/>
  <c r="AN8" i="38"/>
  <c r="AM8" i="38"/>
  <c r="AL8" i="38"/>
  <c r="AK8" i="38"/>
  <c r="AJ8" i="38"/>
  <c r="AI8" i="38"/>
  <c r="AH8" i="38"/>
  <c r="AG8" i="38"/>
  <c r="AF8" i="38"/>
  <c r="AE8" i="38"/>
  <c r="AC41" i="38"/>
  <c r="AA41" i="38"/>
  <c r="Z41" i="38"/>
  <c r="Y41" i="38"/>
  <c r="X41" i="38"/>
  <c r="W41" i="38"/>
  <c r="V41" i="38"/>
  <c r="U41" i="38"/>
  <c r="T41" i="38"/>
  <c r="S41" i="38"/>
  <c r="R41" i="38"/>
  <c r="Q41" i="38"/>
  <c r="P41" i="38"/>
  <c r="D41" i="38"/>
  <c r="EM4" i="38"/>
  <c r="EN40" i="38"/>
  <c r="EK40" i="38"/>
  <c r="DT4" i="38"/>
  <c r="EG40" i="38"/>
  <c r="DQ40" i="38"/>
  <c r="DO40" i="38"/>
  <c r="DN40" i="38"/>
  <c r="DM40" i="38"/>
  <c r="DL40" i="38"/>
  <c r="DK40" i="38"/>
  <c r="DJ40" i="38"/>
  <c r="DI40" i="38"/>
  <c r="DH40" i="38"/>
  <c r="DG40" i="38"/>
  <c r="DF40" i="38"/>
  <c r="DE40" i="38"/>
  <c r="CO40" i="38"/>
  <c r="DD40" i="38"/>
  <c r="DC40" i="38"/>
  <c r="DB40" i="38"/>
  <c r="DA40" i="38"/>
  <c r="CK40" i="38"/>
  <c r="BU40" i="38"/>
  <c r="BS40" i="38"/>
  <c r="BR40" i="38"/>
  <c r="BQ40" i="38"/>
  <c r="BP40" i="38"/>
  <c r="BO40" i="38"/>
  <c r="BN40" i="38"/>
  <c r="BM40" i="38"/>
  <c r="BL40" i="38"/>
  <c r="BK40" i="38"/>
  <c r="BJ40" i="38"/>
  <c r="BI40" i="38"/>
  <c r="AS40" i="38"/>
  <c r="BH40" i="38"/>
  <c r="BG40" i="38"/>
  <c r="BF40" i="38"/>
  <c r="BE40" i="38"/>
  <c r="AC40" i="38"/>
  <c r="AA40" i="38"/>
  <c r="Z40" i="38"/>
  <c r="Y40" i="38"/>
  <c r="X40" i="38"/>
  <c r="W40" i="38"/>
  <c r="V40" i="38"/>
  <c r="U40" i="38"/>
  <c r="T40" i="38"/>
  <c r="S40" i="38"/>
  <c r="R40" i="38"/>
  <c r="Q40" i="38"/>
  <c r="P40" i="38"/>
  <c r="D40" i="38"/>
  <c r="EM11" i="38"/>
  <c r="EN39" i="38"/>
  <c r="EK39" i="38"/>
  <c r="DT11" i="38"/>
  <c r="EG39" i="38"/>
  <c r="DQ39" i="38"/>
  <c r="DO39" i="38"/>
  <c r="DN39" i="38"/>
  <c r="DM39" i="38"/>
  <c r="DL39" i="38"/>
  <c r="DK39" i="38"/>
  <c r="DJ39" i="38"/>
  <c r="DI39" i="38"/>
  <c r="DH39" i="38"/>
  <c r="DG39" i="38"/>
  <c r="DF39" i="38"/>
  <c r="DE39" i="38"/>
  <c r="CO39" i="38"/>
  <c r="DD39" i="38"/>
  <c r="DC39" i="38"/>
  <c r="DB39" i="38"/>
  <c r="DA39" i="38"/>
  <c r="CK39" i="38"/>
  <c r="BU39" i="38"/>
  <c r="BS39" i="38"/>
  <c r="BR39" i="38"/>
  <c r="BQ39" i="38"/>
  <c r="BP39" i="38"/>
  <c r="BO39" i="38"/>
  <c r="BN39" i="38"/>
  <c r="BM39" i="38"/>
  <c r="BL39" i="38"/>
  <c r="BK39" i="38"/>
  <c r="BJ39" i="38"/>
  <c r="BI39" i="38"/>
  <c r="AS39" i="38"/>
  <c r="BH39" i="38"/>
  <c r="BG39" i="38"/>
  <c r="BF39" i="38"/>
  <c r="BE39" i="38"/>
  <c r="AC39" i="38"/>
  <c r="AA39" i="38"/>
  <c r="Z39" i="38"/>
  <c r="Y39" i="38"/>
  <c r="X39" i="38"/>
  <c r="W39" i="38"/>
  <c r="V39" i="38"/>
  <c r="U39" i="38"/>
  <c r="T39" i="38"/>
  <c r="S39" i="38"/>
  <c r="R39" i="38"/>
  <c r="Q39" i="38"/>
  <c r="P39" i="38"/>
  <c r="D39" i="38"/>
  <c r="EL2" i="38"/>
  <c r="EM2" i="38"/>
  <c r="EN38" i="38"/>
  <c r="EK38" i="38"/>
  <c r="DR2" i="38"/>
  <c r="DT2" i="38"/>
  <c r="EG38" i="38"/>
  <c r="DQ38" i="38"/>
  <c r="DO38" i="38"/>
  <c r="DN38" i="38"/>
  <c r="DM38" i="38"/>
  <c r="DL38" i="38"/>
  <c r="DK38" i="38"/>
  <c r="DJ38" i="38"/>
  <c r="DI38" i="38"/>
  <c r="DH38" i="38"/>
  <c r="DG38" i="38"/>
  <c r="DF38" i="38"/>
  <c r="DE38" i="38"/>
  <c r="CO38" i="38"/>
  <c r="DD38" i="38"/>
  <c r="DC38" i="38"/>
  <c r="DB38" i="38"/>
  <c r="DA38" i="38"/>
  <c r="BV2" i="38"/>
  <c r="BW2" i="38"/>
  <c r="CK38" i="38"/>
  <c r="BU38" i="38"/>
  <c r="BS38" i="38"/>
  <c r="BR38" i="38"/>
  <c r="BQ38" i="38"/>
  <c r="BP38" i="38"/>
  <c r="BO38" i="38"/>
  <c r="BN38" i="38"/>
  <c r="BM38" i="38"/>
  <c r="BL38" i="38"/>
  <c r="BK38" i="38"/>
  <c r="BJ38" i="38"/>
  <c r="BI38" i="38"/>
  <c r="AS38" i="38"/>
  <c r="BH38" i="38"/>
  <c r="BG38" i="38"/>
  <c r="BF38" i="38"/>
  <c r="BE38" i="38"/>
  <c r="AO2" i="38"/>
  <c r="AN2" i="38"/>
  <c r="AM2" i="38"/>
  <c r="AL2" i="38"/>
  <c r="AK2" i="38"/>
  <c r="AJ2" i="38"/>
  <c r="AI2" i="38"/>
  <c r="AH2" i="38"/>
  <c r="AG2" i="38"/>
  <c r="AF2" i="38"/>
  <c r="AE2" i="38"/>
  <c r="AC38" i="38"/>
  <c r="AA38" i="38"/>
  <c r="Z38" i="38"/>
  <c r="Y38" i="38"/>
  <c r="X38" i="38"/>
  <c r="W38" i="38"/>
  <c r="V38" i="38"/>
  <c r="U38" i="38"/>
  <c r="T38" i="38"/>
  <c r="S38" i="38"/>
  <c r="R38" i="38"/>
  <c r="Q38" i="38"/>
  <c r="P38" i="38"/>
  <c r="D38" i="38"/>
  <c r="EL22" i="38"/>
  <c r="EM22" i="38"/>
  <c r="EN37" i="38"/>
  <c r="EK37" i="38"/>
  <c r="DR22" i="38"/>
  <c r="DT22" i="38"/>
  <c r="EG37" i="38"/>
  <c r="DQ37" i="38"/>
  <c r="DO37" i="38"/>
  <c r="DN37" i="38"/>
  <c r="DM37" i="38"/>
  <c r="DL37" i="38"/>
  <c r="DK37" i="38"/>
  <c r="DJ37" i="38"/>
  <c r="DI37" i="38"/>
  <c r="DH37" i="38"/>
  <c r="DG37" i="38"/>
  <c r="DF37" i="38"/>
  <c r="DE37" i="38"/>
  <c r="CO37" i="38"/>
  <c r="DD37" i="38"/>
  <c r="DC37" i="38"/>
  <c r="DB37" i="38"/>
  <c r="DA37" i="38"/>
  <c r="BV22" i="38"/>
  <c r="BW22" i="38"/>
  <c r="CK37" i="38"/>
  <c r="BU37" i="38"/>
  <c r="BS37" i="38"/>
  <c r="BR37" i="38"/>
  <c r="BQ37" i="38"/>
  <c r="BP37" i="38"/>
  <c r="BO37" i="38"/>
  <c r="BN37" i="38"/>
  <c r="BM37" i="38"/>
  <c r="BL37" i="38"/>
  <c r="BK37" i="38"/>
  <c r="BJ37" i="38"/>
  <c r="BI37" i="38"/>
  <c r="AS37" i="38"/>
  <c r="BH37" i="38"/>
  <c r="BG37" i="38"/>
  <c r="BF37" i="38"/>
  <c r="BE37" i="38"/>
  <c r="AO22" i="38"/>
  <c r="AN22" i="38"/>
  <c r="AM22" i="38"/>
  <c r="AL22" i="38"/>
  <c r="AK22" i="38"/>
  <c r="AJ22" i="38"/>
  <c r="AI22" i="38"/>
  <c r="AH22" i="38"/>
  <c r="AG22" i="38"/>
  <c r="AF22" i="38"/>
  <c r="AE22" i="38"/>
  <c r="AC37" i="38"/>
  <c r="AA37" i="38"/>
  <c r="Z37" i="38"/>
  <c r="Y37" i="38"/>
  <c r="X37" i="38"/>
  <c r="W37" i="38"/>
  <c r="V37" i="38"/>
  <c r="U37" i="38"/>
  <c r="T37" i="38"/>
  <c r="S37" i="38"/>
  <c r="R37" i="38"/>
  <c r="Q37" i="38"/>
  <c r="P37" i="38"/>
  <c r="D37" i="38"/>
  <c r="EL26" i="38"/>
  <c r="EM26" i="38"/>
  <c r="EN36" i="38"/>
  <c r="EK36" i="38"/>
  <c r="DR26" i="38"/>
  <c r="DT26" i="38"/>
  <c r="EG36" i="38"/>
  <c r="DQ36" i="38"/>
  <c r="DO36" i="38"/>
  <c r="DN36" i="38"/>
  <c r="DM36" i="38"/>
  <c r="DL36" i="38"/>
  <c r="DK36" i="38"/>
  <c r="DJ36" i="38"/>
  <c r="DI36" i="38"/>
  <c r="DH36" i="38"/>
  <c r="DG36" i="38"/>
  <c r="DF36" i="38"/>
  <c r="DE36" i="38"/>
  <c r="CO36" i="38"/>
  <c r="DD36" i="38"/>
  <c r="DC36" i="38"/>
  <c r="DB36" i="38"/>
  <c r="DA36" i="38"/>
  <c r="BV26" i="38"/>
  <c r="BW26" i="38"/>
  <c r="CK36" i="38"/>
  <c r="BU36" i="38"/>
  <c r="BS36" i="38"/>
  <c r="BR36" i="38"/>
  <c r="BQ36" i="38"/>
  <c r="BP36" i="38"/>
  <c r="BO36" i="38"/>
  <c r="BN36" i="38"/>
  <c r="BM36" i="38"/>
  <c r="BL36" i="38"/>
  <c r="BK36" i="38"/>
  <c r="BJ36" i="38"/>
  <c r="BI36" i="38"/>
  <c r="AS36" i="38"/>
  <c r="BH36" i="38"/>
  <c r="BG36" i="38"/>
  <c r="BF36" i="38"/>
  <c r="BE36" i="38"/>
  <c r="AO26" i="38"/>
  <c r="AN26" i="38"/>
  <c r="AM26" i="38"/>
  <c r="AL26" i="38"/>
  <c r="AK26" i="38"/>
  <c r="AJ26" i="38"/>
  <c r="AI26" i="38"/>
  <c r="AH26" i="38"/>
  <c r="AG26" i="38"/>
  <c r="AF26" i="38"/>
  <c r="AE26" i="38"/>
  <c r="AC36" i="38"/>
  <c r="AA36" i="38"/>
  <c r="Z36" i="38"/>
  <c r="Y36" i="38"/>
  <c r="X36" i="38"/>
  <c r="W36" i="38"/>
  <c r="V36" i="38"/>
  <c r="U36" i="38"/>
  <c r="T36" i="38"/>
  <c r="S36" i="38"/>
  <c r="R36" i="38"/>
  <c r="Q36" i="38"/>
  <c r="P36" i="38"/>
  <c r="D36" i="38"/>
  <c r="EL30" i="38"/>
  <c r="EM30" i="38"/>
  <c r="EN35" i="38"/>
  <c r="EK35" i="38"/>
  <c r="DR30" i="38"/>
  <c r="DT30" i="38"/>
  <c r="EG35" i="38"/>
  <c r="DQ35" i="38"/>
  <c r="DO35" i="38"/>
  <c r="DN35" i="38"/>
  <c r="DM35" i="38"/>
  <c r="DL35" i="38"/>
  <c r="DK35" i="38"/>
  <c r="DJ35" i="38"/>
  <c r="DI35" i="38"/>
  <c r="DH35" i="38"/>
  <c r="DG35" i="38"/>
  <c r="DF35" i="38"/>
  <c r="DE35" i="38"/>
  <c r="CO35" i="38"/>
  <c r="DD35" i="38"/>
  <c r="DC35" i="38"/>
  <c r="DB35" i="38"/>
  <c r="DA35" i="38"/>
  <c r="BV30" i="38"/>
  <c r="BW30" i="38"/>
  <c r="CK35" i="38"/>
  <c r="BU35" i="38"/>
  <c r="BS35" i="38"/>
  <c r="BR35" i="38"/>
  <c r="BQ35" i="38"/>
  <c r="BP35" i="38"/>
  <c r="BO35" i="38"/>
  <c r="BN35" i="38"/>
  <c r="BM35" i="38"/>
  <c r="BL35" i="38"/>
  <c r="BK35" i="38"/>
  <c r="BJ35" i="38"/>
  <c r="BI35" i="38"/>
  <c r="AS35" i="38"/>
  <c r="BH35" i="38"/>
  <c r="BG35" i="38"/>
  <c r="BF35" i="38"/>
  <c r="BE35" i="38"/>
  <c r="AO30" i="38"/>
  <c r="AN30" i="38"/>
  <c r="AM30" i="38"/>
  <c r="AL30" i="38"/>
  <c r="AK30" i="38"/>
  <c r="AJ30" i="38"/>
  <c r="AI30" i="38"/>
  <c r="AH30" i="38"/>
  <c r="AG30" i="38"/>
  <c r="AF30" i="38"/>
  <c r="AE30" i="38"/>
  <c r="AC35" i="38"/>
  <c r="AA35" i="38"/>
  <c r="Z35" i="38"/>
  <c r="Y35" i="38"/>
  <c r="X35" i="38"/>
  <c r="W35" i="38"/>
  <c r="V35" i="38"/>
  <c r="U35" i="38"/>
  <c r="T35" i="38"/>
  <c r="S35" i="38"/>
  <c r="R35" i="38"/>
  <c r="Q35" i="38"/>
  <c r="P35" i="38"/>
  <c r="D35" i="38"/>
  <c r="EL14" i="38"/>
  <c r="EM14" i="38"/>
  <c r="EN34" i="38"/>
  <c r="EK34" i="38"/>
  <c r="DR14" i="38"/>
  <c r="DT14" i="38"/>
  <c r="EG34" i="38"/>
  <c r="DQ34" i="38"/>
  <c r="DO34" i="38"/>
  <c r="DN34" i="38"/>
  <c r="DM34" i="38"/>
  <c r="DL34" i="38"/>
  <c r="DK34" i="38"/>
  <c r="DJ34" i="38"/>
  <c r="DI34" i="38"/>
  <c r="DH34" i="38"/>
  <c r="DG34" i="38"/>
  <c r="DF34" i="38"/>
  <c r="DE34" i="38"/>
  <c r="CO34" i="38"/>
  <c r="DD34" i="38"/>
  <c r="DC34" i="38"/>
  <c r="DB34" i="38"/>
  <c r="DA34" i="38"/>
  <c r="BV14" i="38"/>
  <c r="BW14" i="38"/>
  <c r="CK34" i="38"/>
  <c r="BU34" i="38"/>
  <c r="BS34" i="38"/>
  <c r="BR34" i="38"/>
  <c r="BQ34" i="38"/>
  <c r="BP34" i="38"/>
  <c r="BO34" i="38"/>
  <c r="BN34" i="38"/>
  <c r="BM34" i="38"/>
  <c r="BL34" i="38"/>
  <c r="BK34" i="38"/>
  <c r="BJ34" i="38"/>
  <c r="BI34" i="38"/>
  <c r="AS34" i="38"/>
  <c r="BH34" i="38"/>
  <c r="BG34" i="38"/>
  <c r="BF34" i="38"/>
  <c r="BE34" i="38"/>
  <c r="AO14" i="38"/>
  <c r="AN14" i="38"/>
  <c r="AM14" i="38"/>
  <c r="AL14" i="38"/>
  <c r="AK14" i="38"/>
  <c r="AJ14" i="38"/>
  <c r="AI14" i="38"/>
  <c r="AH14" i="38"/>
  <c r="AG14" i="38"/>
  <c r="AF14" i="38"/>
  <c r="AE14" i="38"/>
  <c r="AC34" i="38"/>
  <c r="AA34" i="38"/>
  <c r="Z34" i="38"/>
  <c r="Y34" i="38"/>
  <c r="X34" i="38"/>
  <c r="W34" i="38"/>
  <c r="V34" i="38"/>
  <c r="U34" i="38"/>
  <c r="T34" i="38"/>
  <c r="S34" i="38"/>
  <c r="R34" i="38"/>
  <c r="Q34" i="38"/>
  <c r="P34" i="38"/>
  <c r="D34" i="38"/>
  <c r="EL13" i="38"/>
  <c r="EM13" i="38"/>
  <c r="EN33" i="38"/>
  <c r="EK33" i="38"/>
  <c r="DR13" i="38"/>
  <c r="DT13" i="38"/>
  <c r="EG33" i="38"/>
  <c r="DQ33" i="38"/>
  <c r="DO33" i="38"/>
  <c r="DN33" i="38"/>
  <c r="DM33" i="38"/>
  <c r="DL33" i="38"/>
  <c r="DK33" i="38"/>
  <c r="DJ33" i="38"/>
  <c r="DI33" i="38"/>
  <c r="DH33" i="38"/>
  <c r="DG33" i="38"/>
  <c r="DF33" i="38"/>
  <c r="DE33" i="38"/>
  <c r="CO33" i="38"/>
  <c r="DD33" i="38"/>
  <c r="DC33" i="38"/>
  <c r="DB33" i="38"/>
  <c r="DA33" i="38"/>
  <c r="BV13" i="38"/>
  <c r="BW13" i="38"/>
  <c r="CK33" i="38"/>
  <c r="BU33" i="38"/>
  <c r="BS33" i="38"/>
  <c r="BR33" i="38"/>
  <c r="BQ33" i="38"/>
  <c r="BP33" i="38"/>
  <c r="BO33" i="38"/>
  <c r="BN33" i="38"/>
  <c r="BM33" i="38"/>
  <c r="BL33" i="38"/>
  <c r="BK33" i="38"/>
  <c r="BJ33" i="38"/>
  <c r="BI33" i="38"/>
  <c r="AS33" i="38"/>
  <c r="BH33" i="38"/>
  <c r="BG33" i="38"/>
  <c r="BF33" i="38"/>
  <c r="BE33" i="38"/>
  <c r="AO13" i="38"/>
  <c r="AN13" i="38"/>
  <c r="AM13" i="38"/>
  <c r="AL13" i="38"/>
  <c r="AK13" i="38"/>
  <c r="AJ13" i="38"/>
  <c r="AI13" i="38"/>
  <c r="AH13" i="38"/>
  <c r="AG13" i="38"/>
  <c r="AF13" i="38"/>
  <c r="AE13" i="38"/>
  <c r="AC33" i="38"/>
  <c r="AA33" i="38"/>
  <c r="Z33" i="38"/>
  <c r="Y33" i="38"/>
  <c r="X33" i="38"/>
  <c r="W33" i="38"/>
  <c r="V33" i="38"/>
  <c r="U33" i="38"/>
  <c r="T33" i="38"/>
  <c r="S33" i="38"/>
  <c r="R33" i="38"/>
  <c r="Q33" i="38"/>
  <c r="P33" i="38"/>
  <c r="D33" i="38"/>
  <c r="EL3" i="38"/>
  <c r="EM3" i="38"/>
  <c r="EN32" i="38"/>
  <c r="EK32" i="38"/>
  <c r="DR3" i="38"/>
  <c r="DT3" i="38"/>
  <c r="EG32" i="38"/>
  <c r="DQ32" i="38"/>
  <c r="DO32" i="38"/>
  <c r="DN32" i="38"/>
  <c r="DM32" i="38"/>
  <c r="DL32" i="38"/>
  <c r="DK32" i="38"/>
  <c r="DJ32" i="38"/>
  <c r="DI32" i="38"/>
  <c r="DH32" i="38"/>
  <c r="DG32" i="38"/>
  <c r="DF32" i="38"/>
  <c r="DE32" i="38"/>
  <c r="CO32" i="38"/>
  <c r="DD32" i="38"/>
  <c r="DC32" i="38"/>
  <c r="DB32" i="38"/>
  <c r="DA32" i="38"/>
  <c r="BV3" i="38"/>
  <c r="BW3" i="38"/>
  <c r="CK32" i="38"/>
  <c r="BU32" i="38"/>
  <c r="BS32" i="38"/>
  <c r="BR32" i="38"/>
  <c r="BQ32" i="38"/>
  <c r="BP32" i="38"/>
  <c r="BO32" i="38"/>
  <c r="BN32" i="38"/>
  <c r="BM32" i="38"/>
  <c r="BL32" i="38"/>
  <c r="BK32" i="38"/>
  <c r="BJ32" i="38"/>
  <c r="BI32" i="38"/>
  <c r="AS32" i="38"/>
  <c r="BH32" i="38"/>
  <c r="BG32" i="38"/>
  <c r="BF32" i="38"/>
  <c r="BE32" i="38"/>
  <c r="AO3" i="38"/>
  <c r="AN3" i="38"/>
  <c r="AM3" i="38"/>
  <c r="AL3" i="38"/>
  <c r="AK3" i="38"/>
  <c r="AJ3" i="38"/>
  <c r="AI3" i="38"/>
  <c r="AH3" i="38"/>
  <c r="AG3" i="38"/>
  <c r="AF3" i="38"/>
  <c r="AE3" i="38"/>
  <c r="AC32" i="38"/>
  <c r="AA32" i="38"/>
  <c r="Z32" i="38"/>
  <c r="Y32" i="38"/>
  <c r="X32" i="38"/>
  <c r="W32" i="38"/>
  <c r="V32" i="38"/>
  <c r="U32" i="38"/>
  <c r="T32" i="38"/>
  <c r="S32" i="38"/>
  <c r="R32" i="38"/>
  <c r="Q32" i="38"/>
  <c r="P32" i="38"/>
  <c r="D32" i="38"/>
  <c r="EN31" i="38"/>
  <c r="EM31" i="38"/>
  <c r="EL31" i="38"/>
  <c r="EI31" i="38"/>
  <c r="EH31" i="38"/>
  <c r="EG31" i="38"/>
  <c r="EF31" i="38"/>
  <c r="EE31" i="38"/>
  <c r="ED31" i="38"/>
  <c r="EC31" i="38"/>
  <c r="EB31" i="38"/>
  <c r="EA31" i="38"/>
  <c r="DZ31" i="38"/>
  <c r="DY31" i="38"/>
  <c r="DX31" i="38"/>
  <c r="DW31" i="38"/>
  <c r="DV31" i="38"/>
  <c r="DU31" i="38"/>
  <c r="DT31" i="38"/>
  <c r="DS31" i="38"/>
  <c r="DR31" i="38"/>
  <c r="CZ31" i="38"/>
  <c r="DO31" i="38"/>
  <c r="CY31" i="38"/>
  <c r="DN31" i="38"/>
  <c r="CX31" i="38"/>
  <c r="DM31" i="38"/>
  <c r="CW31" i="38"/>
  <c r="DL31" i="38"/>
  <c r="CV31" i="38"/>
  <c r="DK31" i="38"/>
  <c r="CU31" i="38"/>
  <c r="DJ31" i="38"/>
  <c r="CT31" i="38"/>
  <c r="DI31" i="38"/>
  <c r="CS31" i="38"/>
  <c r="DH31" i="38"/>
  <c r="CR31" i="38"/>
  <c r="DG31" i="38"/>
  <c r="CQ31" i="38"/>
  <c r="DF31" i="38"/>
  <c r="CP31" i="38"/>
  <c r="DE31" i="38"/>
  <c r="CO31" i="38"/>
  <c r="DD31" i="38"/>
  <c r="CN31" i="38"/>
  <c r="DC31" i="38"/>
  <c r="CM31" i="38"/>
  <c r="DB31" i="38"/>
  <c r="CL31" i="38"/>
  <c r="DA31" i="38"/>
  <c r="CK31" i="38"/>
  <c r="CJ31" i="38"/>
  <c r="CI31" i="38"/>
  <c r="CH31" i="38"/>
  <c r="CG31" i="38"/>
  <c r="CF31" i="38"/>
  <c r="CE31" i="38"/>
  <c r="CD31" i="38"/>
  <c r="CC31" i="38"/>
  <c r="CB31" i="38"/>
  <c r="CA31" i="38"/>
  <c r="BZ31" i="38"/>
  <c r="BY31" i="38"/>
  <c r="BX31" i="38"/>
  <c r="BW31" i="38"/>
  <c r="BV31" i="38"/>
  <c r="BD31" i="38"/>
  <c r="BS31" i="38"/>
  <c r="BC31" i="38"/>
  <c r="BR31" i="38"/>
  <c r="BB31" i="38"/>
  <c r="BQ31" i="38"/>
  <c r="BA31" i="38"/>
  <c r="BP31" i="38"/>
  <c r="AZ31" i="38"/>
  <c r="BO31" i="38"/>
  <c r="AY31" i="38"/>
  <c r="BN31" i="38"/>
  <c r="AX31" i="38"/>
  <c r="BM31" i="38"/>
  <c r="AW31" i="38"/>
  <c r="BL31" i="38"/>
  <c r="AV31" i="38"/>
  <c r="BK31" i="38"/>
  <c r="AU31" i="38"/>
  <c r="BJ31" i="38"/>
  <c r="AT31" i="38"/>
  <c r="BI31" i="38"/>
  <c r="AS31" i="38"/>
  <c r="BH31" i="38"/>
  <c r="AR31" i="38"/>
  <c r="BG31" i="38"/>
  <c r="AQ31" i="38"/>
  <c r="BF31" i="38"/>
  <c r="AP31" i="38"/>
  <c r="BE31" i="38"/>
  <c r="AO31" i="38"/>
  <c r="AN31" i="38"/>
  <c r="AM31" i="38"/>
  <c r="AL31" i="38"/>
  <c r="AK31" i="38"/>
  <c r="AJ31" i="38"/>
  <c r="AI31" i="38"/>
  <c r="AH31" i="38"/>
  <c r="AG31" i="38"/>
  <c r="AF31" i="38"/>
  <c r="AE31" i="38"/>
  <c r="AD31" i="38"/>
  <c r="O31" i="38"/>
  <c r="AA31" i="38"/>
  <c r="N31" i="38"/>
  <c r="Z31" i="38"/>
  <c r="M31" i="38"/>
  <c r="Y31" i="38"/>
  <c r="L31" i="38"/>
  <c r="X31" i="38"/>
  <c r="K31" i="38"/>
  <c r="J31" i="38"/>
  <c r="I31" i="38"/>
  <c r="H31" i="38"/>
  <c r="G31" i="38"/>
  <c r="F31" i="38"/>
  <c r="E31" i="38"/>
  <c r="D31" i="38"/>
  <c r="EL29" i="38"/>
  <c r="DR29" i="38"/>
  <c r="BW29" i="38"/>
  <c r="BV29" i="38"/>
  <c r="AO29" i="38"/>
  <c r="AN29" i="38"/>
  <c r="AM29" i="38"/>
  <c r="AL29" i="38"/>
  <c r="AK29" i="38"/>
  <c r="AJ29" i="38"/>
  <c r="AI29" i="38"/>
  <c r="AH29" i="38"/>
  <c r="AG29" i="38"/>
  <c r="AF29" i="38"/>
  <c r="AE29" i="38"/>
  <c r="EL28" i="38"/>
  <c r="DR28" i="38"/>
  <c r="BW28" i="38"/>
  <c r="BV28" i="38"/>
  <c r="AO28" i="38"/>
  <c r="AN28" i="38"/>
  <c r="AM28" i="38"/>
  <c r="AL28" i="38"/>
  <c r="AK28" i="38"/>
  <c r="AJ28" i="38"/>
  <c r="AI28" i="38"/>
  <c r="AH28" i="38"/>
  <c r="AG28" i="38"/>
  <c r="AF28" i="38"/>
  <c r="AE28" i="38"/>
  <c r="EL27" i="38"/>
  <c r="DR27" i="38"/>
  <c r="BW27" i="38"/>
  <c r="BV27" i="38"/>
  <c r="AO27" i="38"/>
  <c r="AN27" i="38"/>
  <c r="AM27" i="38"/>
  <c r="AL27" i="38"/>
  <c r="AK27" i="38"/>
  <c r="AJ27" i="38"/>
  <c r="AI27" i="38"/>
  <c r="AH27" i="38"/>
  <c r="AG27" i="38"/>
  <c r="AF27" i="38"/>
  <c r="AE27" i="38"/>
  <c r="DR25" i="38"/>
  <c r="BV25" i="38"/>
  <c r="AO25" i="38"/>
  <c r="AN25" i="38"/>
  <c r="AM25" i="38"/>
  <c r="AL25" i="38"/>
  <c r="AK25" i="38"/>
  <c r="AJ25" i="38"/>
  <c r="AI25" i="38"/>
  <c r="AH25" i="38"/>
  <c r="AG25" i="38"/>
  <c r="AF25" i="38"/>
  <c r="AE25" i="38"/>
  <c r="EL24" i="38"/>
  <c r="DR24" i="38"/>
  <c r="BW24" i="38"/>
  <c r="BV24" i="38"/>
  <c r="AO24" i="38"/>
  <c r="AN24" i="38"/>
  <c r="AM24" i="38"/>
  <c r="AL24" i="38"/>
  <c r="AK24" i="38"/>
  <c r="AJ24" i="38"/>
  <c r="AI24" i="38"/>
  <c r="AH24" i="38"/>
  <c r="AG24" i="38"/>
  <c r="AF24" i="38"/>
  <c r="AE24" i="38"/>
  <c r="DR21" i="38"/>
  <c r="BV21" i="38"/>
  <c r="AO21" i="38"/>
  <c r="AN21" i="38"/>
  <c r="AM21" i="38"/>
  <c r="AL21" i="38"/>
  <c r="AK21" i="38"/>
  <c r="AJ21" i="38"/>
  <c r="AI21" i="38"/>
  <c r="AH21" i="38"/>
  <c r="AG21" i="38"/>
  <c r="AF21" i="38"/>
  <c r="AE21" i="38"/>
  <c r="EL20" i="38"/>
  <c r="DR20" i="38"/>
  <c r="BW20" i="38"/>
  <c r="BV20" i="38"/>
  <c r="AO20" i="38"/>
  <c r="AN20" i="38"/>
  <c r="AM20" i="38"/>
  <c r="AL20" i="38"/>
  <c r="AK20" i="38"/>
  <c r="AJ20" i="38"/>
  <c r="AI20" i="38"/>
  <c r="AH20" i="38"/>
  <c r="AG20" i="38"/>
  <c r="AF20" i="38"/>
  <c r="AE20" i="38"/>
  <c r="EL19" i="38"/>
  <c r="DR19" i="38"/>
  <c r="BW19" i="38"/>
  <c r="BV19" i="38"/>
  <c r="AO19" i="38"/>
  <c r="AN19" i="38"/>
  <c r="AM19" i="38"/>
  <c r="AL19" i="38"/>
  <c r="AK19" i="38"/>
  <c r="AJ19" i="38"/>
  <c r="AI19" i="38"/>
  <c r="AH19" i="38"/>
  <c r="AG19" i="38"/>
  <c r="AF19" i="38"/>
  <c r="AE19" i="38"/>
  <c r="EL12" i="38"/>
  <c r="DR12" i="38"/>
  <c r="BW12" i="38"/>
  <c r="BV12" i="38"/>
  <c r="AO12" i="38"/>
  <c r="AN12" i="38"/>
  <c r="AM12" i="38"/>
  <c r="AL12" i="38"/>
  <c r="AK12" i="38"/>
  <c r="AJ12" i="38"/>
  <c r="AI12" i="38"/>
  <c r="AH12" i="38"/>
  <c r="AG12" i="38"/>
  <c r="AF12" i="38"/>
  <c r="AE12" i="38"/>
  <c r="EL11" i="38"/>
  <c r="DR11" i="38"/>
  <c r="BW11" i="38"/>
  <c r="BV11" i="38"/>
  <c r="AO11" i="38"/>
  <c r="AN11" i="38"/>
  <c r="AM11" i="38"/>
  <c r="AL11" i="38"/>
  <c r="AK11" i="38"/>
  <c r="AJ11" i="38"/>
  <c r="AI11" i="38"/>
  <c r="AH11" i="38"/>
  <c r="AG11" i="38"/>
  <c r="AF11" i="38"/>
  <c r="AE11" i="38"/>
  <c r="EL6" i="38"/>
  <c r="DR6" i="38"/>
  <c r="BW6" i="38"/>
  <c r="BV6" i="38"/>
  <c r="AO6" i="38"/>
  <c r="AN6" i="38"/>
  <c r="AM6" i="38"/>
  <c r="AL6" i="38"/>
  <c r="AK6" i="38"/>
  <c r="AJ6" i="38"/>
  <c r="AI6" i="38"/>
  <c r="AH6" i="38"/>
  <c r="AG6" i="38"/>
  <c r="AF6" i="38"/>
  <c r="AE6" i="38"/>
  <c r="EL5" i="38"/>
  <c r="DR5" i="38"/>
  <c r="BW5" i="38"/>
  <c r="BV5" i="38"/>
  <c r="AO5" i="38"/>
  <c r="AN5" i="38"/>
  <c r="AM5" i="38"/>
  <c r="AL5" i="38"/>
  <c r="AK5" i="38"/>
  <c r="AJ5" i="38"/>
  <c r="AI5" i="38"/>
  <c r="AH5" i="38"/>
  <c r="AG5" i="38"/>
  <c r="AF5" i="38"/>
  <c r="AE5" i="38"/>
  <c r="EL4" i="38"/>
  <c r="DR4" i="38"/>
  <c r="BW4" i="38"/>
  <c r="BV4" i="38"/>
  <c r="AO4" i="38"/>
  <c r="AN4" i="38"/>
  <c r="AM4" i="38"/>
  <c r="AL4" i="38"/>
  <c r="AK4" i="38"/>
  <c r="AJ4" i="38"/>
  <c r="AI4" i="38"/>
  <c r="AH4" i="38"/>
  <c r="AG4" i="38"/>
  <c r="AF4" i="38"/>
  <c r="AE4" i="38"/>
  <c r="AX76" i="32"/>
  <c r="AT27" i="32"/>
  <c r="AV76" i="32"/>
  <c r="AQ76" i="32"/>
  <c r="AO76" i="32"/>
  <c r="AJ27" i="32"/>
  <c r="AK76" i="32"/>
  <c r="AH76" i="32"/>
  <c r="Y76" i="32"/>
  <c r="X76" i="32"/>
  <c r="W76" i="32"/>
  <c r="V76" i="32"/>
  <c r="U76" i="32"/>
  <c r="O76" i="32"/>
  <c r="J76" i="32"/>
  <c r="H76" i="32"/>
  <c r="G76" i="32"/>
  <c r="AY18" i="32"/>
  <c r="AX75" i="32"/>
  <c r="AR18" i="32"/>
  <c r="AT18" i="32"/>
  <c r="AV75" i="32"/>
  <c r="AQ75" i="32"/>
  <c r="AO75" i="32"/>
  <c r="AI18" i="32"/>
  <c r="AJ18" i="32"/>
  <c r="AK75" i="32"/>
  <c r="AH75" i="32"/>
  <c r="Y75" i="32"/>
  <c r="X75" i="32"/>
  <c r="W75" i="32"/>
  <c r="V75" i="32"/>
  <c r="U75" i="32"/>
  <c r="K18" i="32"/>
  <c r="L18" i="32"/>
  <c r="O75" i="32"/>
  <c r="J75" i="32"/>
  <c r="H75" i="32"/>
  <c r="G75" i="32"/>
  <c r="AX74" i="32"/>
  <c r="AT12" i="32"/>
  <c r="AV74" i="32"/>
  <c r="AQ74" i="32"/>
  <c r="AO74" i="32"/>
  <c r="AJ12" i="32"/>
  <c r="AK74" i="32"/>
  <c r="AH74" i="32"/>
  <c r="Y74" i="32"/>
  <c r="X74" i="32"/>
  <c r="W74" i="32"/>
  <c r="V74" i="32"/>
  <c r="U74" i="32"/>
  <c r="O74" i="32"/>
  <c r="J74" i="32"/>
  <c r="H74" i="32"/>
  <c r="G74" i="32"/>
  <c r="AY7" i="32"/>
  <c r="AX73" i="32"/>
  <c r="AR7" i="32"/>
  <c r="AT7" i="32"/>
  <c r="AV73" i="32"/>
  <c r="AQ73" i="32"/>
  <c r="AO73" i="32"/>
  <c r="AI7" i="32"/>
  <c r="AJ7" i="32"/>
  <c r="AK73" i="32"/>
  <c r="AH73" i="32"/>
  <c r="Y73" i="32"/>
  <c r="X73" i="32"/>
  <c r="W73" i="32"/>
  <c r="V73" i="32"/>
  <c r="U73" i="32"/>
  <c r="K7" i="32"/>
  <c r="L7" i="32"/>
  <c r="O73" i="32"/>
  <c r="J73" i="32"/>
  <c r="H73" i="32"/>
  <c r="G73" i="32"/>
  <c r="AY16" i="32"/>
  <c r="AX72" i="32"/>
  <c r="AR16" i="32"/>
  <c r="AT16" i="32"/>
  <c r="AV72" i="32"/>
  <c r="AQ72" i="32"/>
  <c r="AO72" i="32"/>
  <c r="AI16" i="32"/>
  <c r="AJ16" i="32"/>
  <c r="AK72" i="32"/>
  <c r="AH72" i="32"/>
  <c r="Y72" i="32"/>
  <c r="X72" i="32"/>
  <c r="W72" i="32"/>
  <c r="V72" i="32"/>
  <c r="U72" i="32"/>
  <c r="K16" i="32"/>
  <c r="L16" i="32"/>
  <c r="O72" i="32"/>
  <c r="J72" i="32"/>
  <c r="H72" i="32"/>
  <c r="G72" i="32"/>
  <c r="AX71" i="32"/>
  <c r="AT29" i="32"/>
  <c r="AV71" i="32"/>
  <c r="AQ71" i="32"/>
  <c r="AO71" i="32"/>
  <c r="AJ29" i="32"/>
  <c r="AK71" i="32"/>
  <c r="AH71" i="32"/>
  <c r="Y71" i="32"/>
  <c r="X71" i="32"/>
  <c r="W71" i="32"/>
  <c r="V71" i="32"/>
  <c r="U71" i="32"/>
  <c r="O71" i="32"/>
  <c r="J71" i="32"/>
  <c r="H71" i="32"/>
  <c r="G71" i="32"/>
  <c r="AX70" i="32"/>
  <c r="AT20" i="32"/>
  <c r="AV70" i="32"/>
  <c r="AQ70" i="32"/>
  <c r="AO70" i="32"/>
  <c r="AJ20" i="32"/>
  <c r="AK70" i="32"/>
  <c r="AH70" i="32"/>
  <c r="Y70" i="32"/>
  <c r="X70" i="32"/>
  <c r="W70" i="32"/>
  <c r="V70" i="32"/>
  <c r="U70" i="32"/>
  <c r="O70" i="32"/>
  <c r="J70" i="32"/>
  <c r="H70" i="32"/>
  <c r="G70" i="32"/>
  <c r="AX69" i="32"/>
  <c r="AT24" i="32"/>
  <c r="AV69" i="32"/>
  <c r="AQ69" i="32"/>
  <c r="AO69" i="32"/>
  <c r="AJ24" i="32"/>
  <c r="AK69" i="32"/>
  <c r="AH69" i="32"/>
  <c r="Y69" i="32"/>
  <c r="X69" i="32"/>
  <c r="W69" i="32"/>
  <c r="V69" i="32"/>
  <c r="U69" i="32"/>
  <c r="O69" i="32"/>
  <c r="J69" i="32"/>
  <c r="H69" i="32"/>
  <c r="G69" i="32"/>
  <c r="AY9" i="32"/>
  <c r="AX68" i="32"/>
  <c r="AR9" i="32"/>
  <c r="AT9" i="32"/>
  <c r="AV68" i="32"/>
  <c r="AQ68" i="32"/>
  <c r="AO68" i="32"/>
  <c r="AI9" i="32"/>
  <c r="AJ9" i="32"/>
  <c r="AK68" i="32"/>
  <c r="AH68" i="32"/>
  <c r="Y68" i="32"/>
  <c r="X68" i="32"/>
  <c r="W68" i="32"/>
  <c r="V68" i="32"/>
  <c r="U68" i="32"/>
  <c r="K9" i="32"/>
  <c r="L9" i="32"/>
  <c r="O68" i="32"/>
  <c r="J68" i="32"/>
  <c r="H68" i="32"/>
  <c r="G68" i="32"/>
  <c r="AX67" i="32"/>
  <c r="AT5" i="32"/>
  <c r="AV67" i="32"/>
  <c r="AQ67" i="32"/>
  <c r="AO67" i="32"/>
  <c r="AJ5" i="32"/>
  <c r="AK67" i="32"/>
  <c r="AH67" i="32"/>
  <c r="Y67" i="32"/>
  <c r="X67" i="32"/>
  <c r="W67" i="32"/>
  <c r="V67" i="32"/>
  <c r="U67" i="32"/>
  <c r="O67" i="32"/>
  <c r="J67" i="32"/>
  <c r="H67" i="32"/>
  <c r="G67" i="32"/>
  <c r="AY17" i="32"/>
  <c r="AX66" i="32"/>
  <c r="AR17" i="32"/>
  <c r="AT17" i="32"/>
  <c r="AV66" i="32"/>
  <c r="AQ66" i="32"/>
  <c r="AO66" i="32"/>
  <c r="AI17" i="32"/>
  <c r="AJ17" i="32"/>
  <c r="AK66" i="32"/>
  <c r="AH66" i="32"/>
  <c r="Y66" i="32"/>
  <c r="X66" i="32"/>
  <c r="W66" i="32"/>
  <c r="V66" i="32"/>
  <c r="U66" i="32"/>
  <c r="K17" i="32"/>
  <c r="L17" i="32"/>
  <c r="O66" i="32"/>
  <c r="J66" i="32"/>
  <c r="H66" i="32"/>
  <c r="G66" i="32"/>
  <c r="AX65" i="32"/>
  <c r="AT21" i="32"/>
  <c r="AV65" i="32"/>
  <c r="AQ65" i="32"/>
  <c r="AO65" i="32"/>
  <c r="AI21" i="32"/>
  <c r="AJ21" i="32"/>
  <c r="AK65" i="32"/>
  <c r="AH65" i="32"/>
  <c r="Y65" i="32"/>
  <c r="X65" i="32"/>
  <c r="W65" i="32"/>
  <c r="V65" i="32"/>
  <c r="U65" i="32"/>
  <c r="L21" i="32"/>
  <c r="O65" i="32"/>
  <c r="J65" i="32"/>
  <c r="H65" i="32"/>
  <c r="G65" i="32"/>
  <c r="AX64" i="32"/>
  <c r="AT25" i="32"/>
  <c r="AV64" i="32"/>
  <c r="AQ64" i="32"/>
  <c r="AO64" i="32"/>
  <c r="AI25" i="32"/>
  <c r="AJ25" i="32"/>
  <c r="AK64" i="32"/>
  <c r="AH64" i="32"/>
  <c r="Y64" i="32"/>
  <c r="X64" i="32"/>
  <c r="W64" i="32"/>
  <c r="V64" i="32"/>
  <c r="U64" i="32"/>
  <c r="L25" i="32"/>
  <c r="O64" i="32"/>
  <c r="J64" i="32"/>
  <c r="H64" i="32"/>
  <c r="G64" i="32"/>
  <c r="AY63" i="32"/>
  <c r="AV63" i="32"/>
  <c r="AU63" i="32"/>
  <c r="AT63" i="32"/>
  <c r="AS63" i="32"/>
  <c r="AR63" i="32"/>
  <c r="AO63" i="32"/>
  <c r="AN63" i="32"/>
  <c r="AM63" i="32"/>
  <c r="AL63" i="32"/>
  <c r="AK63" i="32"/>
  <c r="AJ63" i="32"/>
  <c r="AI63" i="32"/>
  <c r="AF63" i="32"/>
  <c r="AE63" i="32"/>
  <c r="AD63" i="32"/>
  <c r="AC63" i="32"/>
  <c r="AB63" i="32"/>
  <c r="AA63" i="32"/>
  <c r="Z63" i="32"/>
  <c r="O63" i="32"/>
  <c r="N63" i="32"/>
  <c r="M63" i="32"/>
  <c r="L63" i="32"/>
  <c r="K63" i="32"/>
  <c r="H63" i="32"/>
  <c r="G63" i="32"/>
  <c r="F63" i="32"/>
  <c r="E63" i="32"/>
  <c r="D63" i="32"/>
  <c r="AX62" i="32"/>
  <c r="AV62" i="32"/>
  <c r="AQ62" i="32"/>
  <c r="AO62" i="32"/>
  <c r="AK62" i="32"/>
  <c r="AH62" i="32"/>
  <c r="Y62" i="32"/>
  <c r="X62" i="32"/>
  <c r="W62" i="32"/>
  <c r="V62" i="32"/>
  <c r="U62" i="32"/>
  <c r="O62" i="32"/>
  <c r="J62" i="32"/>
  <c r="H62" i="32"/>
  <c r="G62" i="32"/>
  <c r="AX61" i="32"/>
  <c r="AV61" i="32"/>
  <c r="AQ61" i="32"/>
  <c r="AO61" i="32"/>
  <c r="AK61" i="32"/>
  <c r="AH61" i="32"/>
  <c r="Y61" i="32"/>
  <c r="X61" i="32"/>
  <c r="W61" i="32"/>
  <c r="V61" i="32"/>
  <c r="U61" i="32"/>
  <c r="O61" i="32"/>
  <c r="J61" i="32"/>
  <c r="H61" i="32"/>
  <c r="G61" i="32"/>
  <c r="AX60" i="32"/>
  <c r="AV60" i="32"/>
  <c r="AQ60" i="32"/>
  <c r="AO60" i="32"/>
  <c r="AK60" i="32"/>
  <c r="AH60" i="32"/>
  <c r="Y60" i="32"/>
  <c r="X60" i="32"/>
  <c r="W60" i="32"/>
  <c r="V60" i="32"/>
  <c r="U60" i="32"/>
  <c r="O60" i="32"/>
  <c r="J60" i="32"/>
  <c r="H60" i="32"/>
  <c r="G60" i="32"/>
  <c r="AX59" i="32"/>
  <c r="AV59" i="32"/>
  <c r="AQ59" i="32"/>
  <c r="AO59" i="32"/>
  <c r="AK59" i="32"/>
  <c r="AH59" i="32"/>
  <c r="Y59" i="32"/>
  <c r="X59" i="32"/>
  <c r="W59" i="32"/>
  <c r="V59" i="32"/>
  <c r="U59" i="32"/>
  <c r="O59" i="32"/>
  <c r="J59" i="32"/>
  <c r="H59" i="32"/>
  <c r="G59" i="32"/>
  <c r="AX58" i="32"/>
  <c r="AV58" i="32"/>
  <c r="AQ58" i="32"/>
  <c r="AO58" i="32"/>
  <c r="AK58" i="32"/>
  <c r="AH58" i="32"/>
  <c r="Y58" i="32"/>
  <c r="X58" i="32"/>
  <c r="W58" i="32"/>
  <c r="V58" i="32"/>
  <c r="U58" i="32"/>
  <c r="O58" i="32"/>
  <c r="J58" i="32"/>
  <c r="H58" i="32"/>
  <c r="G58" i="32"/>
  <c r="AX57" i="32"/>
  <c r="AV57" i="32"/>
  <c r="AQ57" i="32"/>
  <c r="AO57" i="32"/>
  <c r="AK57" i="32"/>
  <c r="AH57" i="32"/>
  <c r="Y57" i="32"/>
  <c r="X57" i="32"/>
  <c r="W57" i="32"/>
  <c r="V57" i="32"/>
  <c r="U57" i="32"/>
  <c r="O57" i="32"/>
  <c r="J57" i="32"/>
  <c r="H57" i="32"/>
  <c r="G57" i="32"/>
  <c r="AX56" i="32"/>
  <c r="AV56" i="32"/>
  <c r="AQ56" i="32"/>
  <c r="AO56" i="32"/>
  <c r="AK56" i="32"/>
  <c r="AH56" i="32"/>
  <c r="Y56" i="32"/>
  <c r="X56" i="32"/>
  <c r="W56" i="32"/>
  <c r="V56" i="32"/>
  <c r="U56" i="32"/>
  <c r="O56" i="32"/>
  <c r="J56" i="32"/>
  <c r="H56" i="32"/>
  <c r="G56" i="32"/>
  <c r="AX55" i="32"/>
  <c r="AV55" i="32"/>
  <c r="AQ55" i="32"/>
  <c r="AO55" i="32"/>
  <c r="AK55" i="32"/>
  <c r="AH55" i="32"/>
  <c r="Y55" i="32"/>
  <c r="X55" i="32"/>
  <c r="W55" i="32"/>
  <c r="V55" i="32"/>
  <c r="U55" i="32"/>
  <c r="O55" i="32"/>
  <c r="J55" i="32"/>
  <c r="H55" i="32"/>
  <c r="G55" i="32"/>
  <c r="AX54" i="32"/>
  <c r="AV54" i="32"/>
  <c r="AQ54" i="32"/>
  <c r="AO54" i="32"/>
  <c r="AK54" i="32"/>
  <c r="AH54" i="32"/>
  <c r="Y54" i="32"/>
  <c r="X54" i="32"/>
  <c r="W54" i="32"/>
  <c r="V54" i="32"/>
  <c r="U54" i="32"/>
  <c r="O54" i="32"/>
  <c r="J54" i="32"/>
  <c r="H54" i="32"/>
  <c r="G54" i="32"/>
  <c r="AX53" i="32"/>
  <c r="AV53" i="32"/>
  <c r="AQ53" i="32"/>
  <c r="AO53" i="32"/>
  <c r="AK53" i="32"/>
  <c r="AH53" i="32"/>
  <c r="Y53" i="32"/>
  <c r="X53" i="32"/>
  <c r="W53" i="32"/>
  <c r="V53" i="32"/>
  <c r="U53" i="32"/>
  <c r="O53" i="32"/>
  <c r="J53" i="32"/>
  <c r="H53" i="32"/>
  <c r="G53" i="32"/>
  <c r="AX52" i="32"/>
  <c r="AV52" i="32"/>
  <c r="AQ52" i="32"/>
  <c r="AO52" i="32"/>
  <c r="AK52" i="32"/>
  <c r="AH52" i="32"/>
  <c r="Y52" i="32"/>
  <c r="X52" i="32"/>
  <c r="W52" i="32"/>
  <c r="V52" i="32"/>
  <c r="U52" i="32"/>
  <c r="O52" i="32"/>
  <c r="J52" i="32"/>
  <c r="H52" i="32"/>
  <c r="G52" i="32"/>
  <c r="AX51" i="32"/>
  <c r="AV51" i="32"/>
  <c r="AQ51" i="32"/>
  <c r="AO51" i="32"/>
  <c r="AK51" i="32"/>
  <c r="AH51" i="32"/>
  <c r="Y51" i="32"/>
  <c r="X51" i="32"/>
  <c r="W51" i="32"/>
  <c r="V51" i="32"/>
  <c r="U51" i="32"/>
  <c r="O51" i="32"/>
  <c r="J51" i="32"/>
  <c r="H51" i="32"/>
  <c r="G51" i="32"/>
  <c r="AX50" i="32"/>
  <c r="AV50" i="32"/>
  <c r="AQ50" i="32"/>
  <c r="AO50" i="32"/>
  <c r="AK50" i="32"/>
  <c r="AH50" i="32"/>
  <c r="Y50" i="32"/>
  <c r="X50" i="32"/>
  <c r="W50" i="32"/>
  <c r="V50" i="32"/>
  <c r="U50" i="32"/>
  <c r="O50" i="32"/>
  <c r="J50" i="32"/>
  <c r="H50" i="32"/>
  <c r="G50" i="32"/>
  <c r="AY23" i="32"/>
  <c r="AX49" i="32"/>
  <c r="AR23" i="32"/>
  <c r="AT23" i="32"/>
  <c r="AV49" i="32"/>
  <c r="AQ49" i="32"/>
  <c r="AO49" i="32"/>
  <c r="AI23" i="32"/>
  <c r="AJ23" i="32"/>
  <c r="AK49" i="32"/>
  <c r="AH49" i="32"/>
  <c r="Y49" i="32"/>
  <c r="X49" i="32"/>
  <c r="W49" i="32"/>
  <c r="V49" i="32"/>
  <c r="U49" i="32"/>
  <c r="K23" i="32"/>
  <c r="L23" i="32"/>
  <c r="O49" i="32"/>
  <c r="J49" i="32"/>
  <c r="H49" i="32"/>
  <c r="G49" i="32"/>
  <c r="AY48" i="32"/>
  <c r="AV48" i="32"/>
  <c r="AU48" i="32"/>
  <c r="AT48" i="32"/>
  <c r="AS48" i="32"/>
  <c r="AR48" i="32"/>
  <c r="AO48" i="32"/>
  <c r="AN48" i="32"/>
  <c r="AM48" i="32"/>
  <c r="AL48" i="32"/>
  <c r="AK48" i="32"/>
  <c r="AJ48" i="32"/>
  <c r="AI48" i="32"/>
  <c r="AF48" i="32"/>
  <c r="AE48" i="32"/>
  <c r="AD48" i="32"/>
  <c r="AC48" i="32"/>
  <c r="AB48" i="32"/>
  <c r="AA48" i="32"/>
  <c r="Z48" i="32"/>
  <c r="O48" i="32"/>
  <c r="N48" i="32"/>
  <c r="M48" i="32"/>
  <c r="L48" i="32"/>
  <c r="K48" i="32"/>
  <c r="H48" i="32"/>
  <c r="G48" i="32"/>
  <c r="F48" i="32"/>
  <c r="E48" i="32"/>
  <c r="D48" i="32"/>
  <c r="AX47" i="32"/>
  <c r="AT6" i="32"/>
  <c r="AV47" i="32"/>
  <c r="AQ47" i="32"/>
  <c r="AO47" i="32"/>
  <c r="AJ6" i="32"/>
  <c r="AK47" i="32"/>
  <c r="AH47" i="32"/>
  <c r="Y47" i="32"/>
  <c r="X47" i="32"/>
  <c r="W47" i="32"/>
  <c r="V47" i="32"/>
  <c r="U47" i="32"/>
  <c r="O47" i="32"/>
  <c r="J47" i="32"/>
  <c r="H47" i="32"/>
  <c r="G47" i="32"/>
  <c r="AY10" i="32"/>
  <c r="AX46" i="32"/>
  <c r="AR10" i="32"/>
  <c r="AT10" i="32"/>
  <c r="AV46" i="32"/>
  <c r="AQ46" i="32"/>
  <c r="AO46" i="32"/>
  <c r="AI10" i="32"/>
  <c r="AJ10" i="32"/>
  <c r="AK46" i="32"/>
  <c r="AH46" i="32"/>
  <c r="Y46" i="32"/>
  <c r="X46" i="32"/>
  <c r="W46" i="32"/>
  <c r="V46" i="32"/>
  <c r="U46" i="32"/>
  <c r="K10" i="32"/>
  <c r="L10" i="32"/>
  <c r="O46" i="32"/>
  <c r="J46" i="32"/>
  <c r="H46" i="32"/>
  <c r="G46" i="32"/>
  <c r="AY45" i="32"/>
  <c r="AV45" i="32"/>
  <c r="AU45" i="32"/>
  <c r="AT45" i="32"/>
  <c r="AS45" i="32"/>
  <c r="AR45" i="32"/>
  <c r="AO45" i="32"/>
  <c r="AN45" i="32"/>
  <c r="AM45" i="32"/>
  <c r="AL45" i="32"/>
  <c r="AK45" i="32"/>
  <c r="AJ45" i="32"/>
  <c r="AI45" i="32"/>
  <c r="AF45" i="32"/>
  <c r="AE45" i="32"/>
  <c r="AD45" i="32"/>
  <c r="AC45" i="32"/>
  <c r="AB45" i="32"/>
  <c r="AA45" i="32"/>
  <c r="Z45" i="32"/>
  <c r="O45" i="32"/>
  <c r="N45" i="32"/>
  <c r="M45" i="32"/>
  <c r="L45" i="32"/>
  <c r="K45" i="32"/>
  <c r="H45" i="32"/>
  <c r="G45" i="32"/>
  <c r="F45" i="32"/>
  <c r="E45" i="32"/>
  <c r="D45" i="32"/>
  <c r="AY15" i="32"/>
  <c r="AX44" i="32"/>
  <c r="AR15" i="32"/>
  <c r="AT15" i="32"/>
  <c r="AV44" i="32"/>
  <c r="AQ44" i="32"/>
  <c r="AO44" i="32"/>
  <c r="AI15" i="32"/>
  <c r="AJ15" i="32"/>
  <c r="AK44" i="32"/>
  <c r="AH44" i="32"/>
  <c r="Y44" i="32"/>
  <c r="X44" i="32"/>
  <c r="W44" i="32"/>
  <c r="V44" i="32"/>
  <c r="U44" i="32"/>
  <c r="K15" i="32"/>
  <c r="L15" i="32"/>
  <c r="O44" i="32"/>
  <c r="J44" i="32"/>
  <c r="H44" i="32"/>
  <c r="G44" i="32"/>
  <c r="AX43" i="32"/>
  <c r="AT28" i="32"/>
  <c r="AV43" i="32"/>
  <c r="AQ43" i="32"/>
  <c r="AO43" i="32"/>
  <c r="AJ28" i="32"/>
  <c r="AK43" i="32"/>
  <c r="AH43" i="32"/>
  <c r="Y43" i="32"/>
  <c r="X43" i="32"/>
  <c r="W43" i="32"/>
  <c r="V43" i="32"/>
  <c r="U43" i="32"/>
  <c r="O43" i="32"/>
  <c r="J43" i="32"/>
  <c r="H43" i="32"/>
  <c r="G43" i="32"/>
  <c r="AX42" i="32"/>
  <c r="AT19" i="32"/>
  <c r="AV42" i="32"/>
  <c r="AQ42" i="32"/>
  <c r="AO42" i="32"/>
  <c r="AJ19" i="32"/>
  <c r="AK42" i="32"/>
  <c r="AH42" i="32"/>
  <c r="Y42" i="32"/>
  <c r="X42" i="32"/>
  <c r="W42" i="32"/>
  <c r="V42" i="32"/>
  <c r="U42" i="32"/>
  <c r="O42" i="32"/>
  <c r="J42" i="32"/>
  <c r="H42" i="32"/>
  <c r="G42" i="32"/>
  <c r="AY8" i="32"/>
  <c r="AX41" i="32"/>
  <c r="AR8" i="32"/>
  <c r="AT8" i="32"/>
  <c r="AV41" i="32"/>
  <c r="AQ41" i="32"/>
  <c r="AO41" i="32"/>
  <c r="AI8" i="32"/>
  <c r="AJ8" i="32"/>
  <c r="AK41" i="32"/>
  <c r="AH41" i="32"/>
  <c r="Y41" i="32"/>
  <c r="X41" i="32"/>
  <c r="W41" i="32"/>
  <c r="V41" i="32"/>
  <c r="U41" i="32"/>
  <c r="K8" i="32"/>
  <c r="L8" i="32"/>
  <c r="O41" i="32"/>
  <c r="J41" i="32"/>
  <c r="H41" i="32"/>
  <c r="G41" i="32"/>
  <c r="AX40" i="32"/>
  <c r="AT4" i="32"/>
  <c r="AV40" i="32"/>
  <c r="AQ40" i="32"/>
  <c r="AO40" i="32"/>
  <c r="AJ4" i="32"/>
  <c r="AK40" i="32"/>
  <c r="AH40" i="32"/>
  <c r="Y40" i="32"/>
  <c r="X40" i="32"/>
  <c r="W40" i="32"/>
  <c r="V40" i="32"/>
  <c r="U40" i="32"/>
  <c r="O40" i="32"/>
  <c r="J40" i="32"/>
  <c r="H40" i="32"/>
  <c r="G40" i="32"/>
  <c r="AX39" i="32"/>
  <c r="AT11" i="32"/>
  <c r="AV39" i="32"/>
  <c r="AQ39" i="32"/>
  <c r="AO39" i="32"/>
  <c r="AJ11" i="32"/>
  <c r="AK39" i="32"/>
  <c r="AH39" i="32"/>
  <c r="Y39" i="32"/>
  <c r="X39" i="32"/>
  <c r="W39" i="32"/>
  <c r="V39" i="32"/>
  <c r="U39" i="32"/>
  <c r="O39" i="32"/>
  <c r="J39" i="32"/>
  <c r="H39" i="32"/>
  <c r="G39" i="32"/>
  <c r="AY2" i="32"/>
  <c r="AX38" i="32"/>
  <c r="AR2" i="32"/>
  <c r="AT2" i="32"/>
  <c r="AV38" i="32"/>
  <c r="AQ38" i="32"/>
  <c r="AO38" i="32"/>
  <c r="AI2" i="32"/>
  <c r="AJ2" i="32"/>
  <c r="AK38" i="32"/>
  <c r="AH38" i="32"/>
  <c r="Y38" i="32"/>
  <c r="X38" i="32"/>
  <c r="W38" i="32"/>
  <c r="V38" i="32"/>
  <c r="U38" i="32"/>
  <c r="K2" i="32"/>
  <c r="L2" i="32"/>
  <c r="O38" i="32"/>
  <c r="J38" i="32"/>
  <c r="H38" i="32"/>
  <c r="G38" i="32"/>
  <c r="AY22" i="32"/>
  <c r="AX37" i="32"/>
  <c r="AR22" i="32"/>
  <c r="AT22" i="32"/>
  <c r="AV37" i="32"/>
  <c r="AQ37" i="32"/>
  <c r="AO37" i="32"/>
  <c r="AI22" i="32"/>
  <c r="AJ22" i="32"/>
  <c r="AK37" i="32"/>
  <c r="AH37" i="32"/>
  <c r="Y37" i="32"/>
  <c r="X37" i="32"/>
  <c r="W37" i="32"/>
  <c r="V37" i="32"/>
  <c r="U37" i="32"/>
  <c r="K22" i="32"/>
  <c r="L22" i="32"/>
  <c r="O37" i="32"/>
  <c r="J37" i="32"/>
  <c r="H37" i="32"/>
  <c r="G37" i="32"/>
  <c r="AY26" i="32"/>
  <c r="AX36" i="32"/>
  <c r="AR26" i="32"/>
  <c r="AT26" i="32"/>
  <c r="AV36" i="32"/>
  <c r="AQ36" i="32"/>
  <c r="AO36" i="32"/>
  <c r="AI26" i="32"/>
  <c r="AJ26" i="32"/>
  <c r="AK36" i="32"/>
  <c r="AH36" i="32"/>
  <c r="Y36" i="32"/>
  <c r="X36" i="32"/>
  <c r="W36" i="32"/>
  <c r="V36" i="32"/>
  <c r="U36" i="32"/>
  <c r="K26" i="32"/>
  <c r="L26" i="32"/>
  <c r="O36" i="32"/>
  <c r="J36" i="32"/>
  <c r="H36" i="32"/>
  <c r="G36" i="32"/>
  <c r="AY30" i="32"/>
  <c r="AX35" i="32"/>
  <c r="AR30" i="32"/>
  <c r="AT30" i="32"/>
  <c r="AV35" i="32"/>
  <c r="AQ35" i="32"/>
  <c r="AO35" i="32"/>
  <c r="AI30" i="32"/>
  <c r="AJ30" i="32"/>
  <c r="AK35" i="32"/>
  <c r="AH35" i="32"/>
  <c r="Y35" i="32"/>
  <c r="X35" i="32"/>
  <c r="W35" i="32"/>
  <c r="V35" i="32"/>
  <c r="U35" i="32"/>
  <c r="K30" i="32"/>
  <c r="L30" i="32"/>
  <c r="O35" i="32"/>
  <c r="J35" i="32"/>
  <c r="H35" i="32"/>
  <c r="G35" i="32"/>
  <c r="AY14" i="32"/>
  <c r="AX34" i="32"/>
  <c r="AR14" i="32"/>
  <c r="AT14" i="32"/>
  <c r="AV34" i="32"/>
  <c r="AQ34" i="32"/>
  <c r="AO34" i="32"/>
  <c r="AI14" i="32"/>
  <c r="AJ14" i="32"/>
  <c r="AK34" i="32"/>
  <c r="AH34" i="32"/>
  <c r="Y34" i="32"/>
  <c r="X34" i="32"/>
  <c r="W34" i="32"/>
  <c r="V34" i="32"/>
  <c r="U34" i="32"/>
  <c r="K14" i="32"/>
  <c r="L14" i="32"/>
  <c r="O34" i="32"/>
  <c r="J34" i="32"/>
  <c r="H34" i="32"/>
  <c r="G34" i="32"/>
  <c r="AY13" i="32"/>
  <c r="AX33" i="32"/>
  <c r="AR13" i="32"/>
  <c r="AT13" i="32"/>
  <c r="AV33" i="32"/>
  <c r="AQ33" i="32"/>
  <c r="AO33" i="32"/>
  <c r="AI13" i="32"/>
  <c r="AJ13" i="32"/>
  <c r="AK33" i="32"/>
  <c r="AH33" i="32"/>
  <c r="Y33" i="32"/>
  <c r="X33" i="32"/>
  <c r="W33" i="32"/>
  <c r="V33" i="32"/>
  <c r="U33" i="32"/>
  <c r="K13" i="32"/>
  <c r="L13" i="32"/>
  <c r="O33" i="32"/>
  <c r="J33" i="32"/>
  <c r="H33" i="32"/>
  <c r="G33" i="32"/>
  <c r="AY3" i="32"/>
  <c r="AX32" i="32"/>
  <c r="AR3" i="32"/>
  <c r="AT3" i="32"/>
  <c r="AV32" i="32"/>
  <c r="AQ32" i="32"/>
  <c r="AO32" i="32"/>
  <c r="AI3" i="32"/>
  <c r="AJ3" i="32"/>
  <c r="AK32" i="32"/>
  <c r="AH32" i="32"/>
  <c r="Y32" i="32"/>
  <c r="X32" i="32"/>
  <c r="W32" i="32"/>
  <c r="V32" i="32"/>
  <c r="U32" i="32"/>
  <c r="K3" i="32"/>
  <c r="L3" i="32"/>
  <c r="O32" i="32"/>
  <c r="J32" i="32"/>
  <c r="H32" i="32"/>
  <c r="G32" i="32"/>
  <c r="AY31" i="32"/>
  <c r="AV31" i="32"/>
  <c r="AU31" i="32"/>
  <c r="AT31" i="32"/>
  <c r="AS31" i="32"/>
  <c r="AR31" i="32"/>
  <c r="AO31" i="32"/>
  <c r="AN31" i="32"/>
  <c r="AM31" i="32"/>
  <c r="AL31" i="32"/>
  <c r="AK31" i="32"/>
  <c r="AJ31" i="32"/>
  <c r="AI31" i="32"/>
  <c r="AF31" i="32"/>
  <c r="AE31" i="32"/>
  <c r="AD31" i="32"/>
  <c r="AC31" i="32"/>
  <c r="AB31" i="32"/>
  <c r="AA31" i="32"/>
  <c r="Z31" i="32"/>
  <c r="O31" i="32"/>
  <c r="N31" i="32"/>
  <c r="M31" i="32"/>
  <c r="L31" i="32"/>
  <c r="K31" i="32"/>
  <c r="H31" i="32"/>
  <c r="G31" i="32"/>
  <c r="F31" i="32"/>
  <c r="E31" i="32"/>
  <c r="D31" i="32"/>
  <c r="AY29" i="32"/>
  <c r="AR29" i="32"/>
  <c r="AI29" i="32"/>
  <c r="L29" i="32"/>
  <c r="K29" i="32"/>
  <c r="AY28" i="32"/>
  <c r="AR28" i="32"/>
  <c r="AI28" i="32"/>
  <c r="L28" i="32"/>
  <c r="K28" i="32"/>
  <c r="AY27" i="32"/>
  <c r="AR27" i="32"/>
  <c r="AI27" i="32"/>
  <c r="L27" i="32"/>
  <c r="K27" i="32"/>
  <c r="AY25" i="32"/>
  <c r="AR25" i="32"/>
  <c r="K25" i="32"/>
  <c r="AY24" i="32"/>
  <c r="AR24" i="32"/>
  <c r="AI24" i="32"/>
  <c r="L24" i="32"/>
  <c r="K24" i="32"/>
  <c r="AY21" i="32"/>
  <c r="AR21" i="32"/>
  <c r="K21" i="32"/>
  <c r="AY20" i="32"/>
  <c r="AR20" i="32"/>
  <c r="AI20" i="32"/>
  <c r="L20" i="32"/>
  <c r="K20" i="32"/>
  <c r="AY19" i="32"/>
  <c r="AR19" i="32"/>
  <c r="AI19" i="32"/>
  <c r="L19" i="32"/>
  <c r="K19" i="32"/>
  <c r="AY12" i="32"/>
  <c r="AR12" i="32"/>
  <c r="AI12" i="32"/>
  <c r="L12" i="32"/>
  <c r="K12" i="32"/>
  <c r="AY11" i="32"/>
  <c r="AR11" i="32"/>
  <c r="AI11" i="32"/>
  <c r="L11" i="32"/>
  <c r="K11" i="32"/>
  <c r="AY6" i="32"/>
  <c r="AR6" i="32"/>
  <c r="AI6" i="32"/>
  <c r="L6" i="32"/>
  <c r="K6" i="32"/>
  <c r="AY5" i="32"/>
  <c r="AR5" i="32"/>
  <c r="AI5" i="32"/>
  <c r="L5" i="32"/>
  <c r="K5" i="32"/>
  <c r="AY4" i="32"/>
  <c r="AR4" i="32"/>
  <c r="AI4" i="32"/>
  <c r="L4" i="32"/>
  <c r="K4" i="32"/>
  <c r="G63" i="20"/>
  <c r="G48" i="20"/>
  <c r="G45"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3" i="20"/>
  <c r="G2" i="20"/>
  <c r="I63" i="20"/>
  <c r="I48" i="20"/>
  <c r="I45" i="20"/>
  <c r="I31" i="20"/>
  <c r="I30" i="20"/>
  <c r="I29" i="20"/>
  <c r="I28" i="20"/>
  <c r="I27" i="20"/>
  <c r="I26" i="20"/>
  <c r="I25" i="20"/>
  <c r="I24" i="20"/>
  <c r="I23" i="20"/>
  <c r="I22" i="20"/>
  <c r="I21" i="20"/>
  <c r="I20" i="20"/>
  <c r="I19" i="20"/>
  <c r="I18" i="20"/>
  <c r="I17" i="20"/>
  <c r="I16" i="20"/>
  <c r="I15" i="20"/>
  <c r="I14" i="20"/>
  <c r="I13" i="20"/>
  <c r="I12" i="20"/>
  <c r="I11" i="20"/>
  <c r="I10" i="20"/>
  <c r="I9" i="20"/>
  <c r="I8" i="20"/>
  <c r="I7" i="20"/>
  <c r="I6" i="20"/>
  <c r="I5" i="20"/>
  <c r="I4" i="20"/>
  <c r="I3" i="20"/>
  <c r="I2" i="20"/>
  <c r="M63" i="20"/>
  <c r="M48" i="20"/>
  <c r="M45"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M4" i="20"/>
  <c r="M3" i="20"/>
  <c r="M2" i="20"/>
  <c r="K63" i="20"/>
  <c r="K48" i="20"/>
  <c r="K45"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K4" i="20"/>
  <c r="K3" i="20"/>
  <c r="K2" i="20"/>
  <c r="I2" i="19"/>
  <c r="I3" i="19"/>
  <c r="I4" i="19"/>
  <c r="I5" i="19"/>
  <c r="I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M76" i="20"/>
  <c r="M75" i="20"/>
  <c r="M74" i="20"/>
  <c r="M73" i="20"/>
  <c r="M72" i="20"/>
  <c r="M71" i="20"/>
  <c r="M70" i="20"/>
  <c r="M69" i="20"/>
  <c r="M68" i="20"/>
  <c r="M67" i="20"/>
  <c r="M66" i="20"/>
  <c r="M65" i="20"/>
  <c r="M64" i="20"/>
  <c r="M62" i="20"/>
  <c r="M61" i="20"/>
  <c r="M60" i="20"/>
  <c r="M59" i="20"/>
  <c r="M58" i="20"/>
  <c r="M57" i="20"/>
  <c r="M56" i="20"/>
  <c r="M55" i="20"/>
  <c r="M54" i="20"/>
  <c r="M53" i="20"/>
  <c r="M52" i="20"/>
  <c r="M51" i="20"/>
  <c r="M50" i="20"/>
  <c r="M49" i="20"/>
  <c r="M47" i="20"/>
  <c r="M46" i="20"/>
  <c r="M44" i="20"/>
  <c r="M43" i="20"/>
  <c r="M42" i="20"/>
  <c r="M41" i="20"/>
  <c r="M40" i="20"/>
  <c r="M39" i="20"/>
  <c r="M38" i="20"/>
  <c r="M37" i="20"/>
  <c r="M36" i="20"/>
  <c r="M35" i="20"/>
  <c r="M34" i="20"/>
  <c r="M33" i="20"/>
  <c r="M32" i="20"/>
  <c r="I76" i="20"/>
  <c r="I75" i="20"/>
  <c r="I74" i="20"/>
  <c r="I73" i="20"/>
  <c r="I72" i="20"/>
  <c r="I71" i="20"/>
  <c r="I70" i="20"/>
  <c r="I69" i="20"/>
  <c r="I68" i="20"/>
  <c r="I67" i="20"/>
  <c r="I66" i="20"/>
  <c r="I65" i="20"/>
  <c r="I64" i="20"/>
  <c r="I62" i="20"/>
  <c r="I61" i="20"/>
  <c r="I60" i="20"/>
  <c r="I59" i="20"/>
  <c r="I58" i="20"/>
  <c r="I57" i="20"/>
  <c r="I56" i="20"/>
  <c r="I55" i="20"/>
  <c r="I54" i="20"/>
  <c r="I53" i="20"/>
  <c r="I52" i="20"/>
  <c r="I51" i="20"/>
  <c r="I50" i="20"/>
  <c r="I49" i="20"/>
  <c r="I47" i="20"/>
  <c r="I46" i="20"/>
  <c r="I44" i="20"/>
  <c r="I43" i="20"/>
  <c r="I42" i="20"/>
  <c r="I41" i="20"/>
  <c r="I40" i="20"/>
  <c r="I39" i="20"/>
  <c r="I38" i="20"/>
  <c r="I37" i="20"/>
  <c r="I36" i="20"/>
  <c r="I35" i="20"/>
  <c r="I34" i="20"/>
  <c r="I33" i="20"/>
  <c r="I32" i="20"/>
  <c r="E27" i="20"/>
  <c r="H27" i="20"/>
  <c r="E18" i="20"/>
  <c r="H18" i="20"/>
  <c r="E12" i="20"/>
  <c r="H12" i="20"/>
  <c r="E7" i="20"/>
  <c r="H7" i="20"/>
  <c r="E16" i="20"/>
  <c r="H16" i="20"/>
  <c r="E29" i="20"/>
  <c r="H29" i="20"/>
  <c r="E20" i="20"/>
  <c r="H20" i="20"/>
  <c r="E24" i="20"/>
  <c r="H24" i="20"/>
  <c r="E9" i="20"/>
  <c r="H9" i="20"/>
  <c r="E5" i="20"/>
  <c r="H5" i="20"/>
  <c r="E17" i="20"/>
  <c r="H17" i="20"/>
  <c r="E21" i="20"/>
  <c r="H21" i="20"/>
  <c r="E25" i="20"/>
  <c r="H25" i="20"/>
  <c r="H64" i="20"/>
  <c r="H65" i="20"/>
  <c r="H66" i="20"/>
  <c r="H67" i="20"/>
  <c r="H68" i="20"/>
  <c r="H69" i="20"/>
  <c r="H70" i="20"/>
  <c r="H71" i="20"/>
  <c r="H72" i="20"/>
  <c r="H73" i="20"/>
  <c r="H74" i="20"/>
  <c r="H75" i="20"/>
  <c r="H76" i="20"/>
  <c r="H63" i="20"/>
  <c r="E23" i="20"/>
  <c r="H23" i="20"/>
  <c r="H49" i="20"/>
  <c r="H50" i="20"/>
  <c r="H51" i="20"/>
  <c r="H52" i="20"/>
  <c r="H53" i="20"/>
  <c r="H54" i="20"/>
  <c r="H55" i="20"/>
  <c r="H56" i="20"/>
  <c r="H57" i="20"/>
  <c r="H58" i="20"/>
  <c r="H59" i="20"/>
  <c r="H60" i="20"/>
  <c r="H61" i="20"/>
  <c r="H62" i="20"/>
  <c r="H48" i="20"/>
  <c r="E6" i="20"/>
  <c r="H6" i="20"/>
  <c r="E10" i="20"/>
  <c r="H10" i="20"/>
  <c r="H46" i="20"/>
  <c r="H47" i="20"/>
  <c r="H45" i="20"/>
  <c r="E15" i="20"/>
  <c r="H15" i="20"/>
  <c r="E28" i="20"/>
  <c r="H28" i="20"/>
  <c r="E19" i="20"/>
  <c r="H19" i="20"/>
  <c r="E8" i="20"/>
  <c r="H8" i="20"/>
  <c r="E4" i="20"/>
  <c r="H4" i="20"/>
  <c r="E11" i="20"/>
  <c r="H11" i="20"/>
  <c r="E2" i="20"/>
  <c r="H2" i="20"/>
  <c r="E22" i="20"/>
  <c r="H22" i="20"/>
  <c r="E26" i="20"/>
  <c r="H26" i="20"/>
  <c r="E30" i="20"/>
  <c r="H30" i="20"/>
  <c r="E14" i="20"/>
  <c r="H14" i="20"/>
  <c r="E13" i="20"/>
  <c r="H13" i="20"/>
  <c r="E3" i="20"/>
  <c r="H3" i="20"/>
  <c r="H32" i="20"/>
  <c r="H33" i="20"/>
  <c r="H34" i="20"/>
  <c r="H35" i="20"/>
  <c r="H36" i="20"/>
  <c r="H37" i="20"/>
  <c r="H38" i="20"/>
  <c r="H39" i="20"/>
  <c r="H40" i="20"/>
  <c r="H41" i="20"/>
  <c r="H42" i="20"/>
  <c r="H43" i="20"/>
  <c r="H44" i="20"/>
  <c r="H31" i="20"/>
  <c r="D27" i="20"/>
  <c r="J27" i="20"/>
  <c r="K76" i="20"/>
  <c r="D18" i="20"/>
  <c r="J18" i="20"/>
  <c r="K75" i="20"/>
  <c r="D12" i="20"/>
  <c r="J12" i="20"/>
  <c r="K74" i="20"/>
  <c r="D7" i="20"/>
  <c r="J7" i="20"/>
  <c r="K73" i="20"/>
  <c r="D16" i="20"/>
  <c r="J16" i="20"/>
  <c r="K72" i="20"/>
  <c r="D29" i="20"/>
  <c r="J29" i="20"/>
  <c r="K71" i="20"/>
  <c r="D20" i="20"/>
  <c r="J20" i="20"/>
  <c r="K70" i="20"/>
  <c r="D24" i="20"/>
  <c r="J24" i="20"/>
  <c r="K69" i="20"/>
  <c r="D9" i="20"/>
  <c r="J9" i="20"/>
  <c r="K68" i="20"/>
  <c r="D5" i="20"/>
  <c r="J5" i="20"/>
  <c r="K67" i="20"/>
  <c r="D17" i="20"/>
  <c r="J17" i="20"/>
  <c r="K66" i="20"/>
  <c r="D21" i="20"/>
  <c r="J21" i="20"/>
  <c r="K65" i="20"/>
  <c r="D25" i="20"/>
  <c r="J25" i="20"/>
  <c r="K64" i="20"/>
  <c r="J64" i="20"/>
  <c r="J65" i="20"/>
  <c r="J66" i="20"/>
  <c r="J67" i="20"/>
  <c r="J68" i="20"/>
  <c r="J69" i="20"/>
  <c r="J70" i="20"/>
  <c r="J71" i="20"/>
  <c r="J72" i="20"/>
  <c r="J73" i="20"/>
  <c r="J74" i="20"/>
  <c r="J75" i="20"/>
  <c r="J76" i="20"/>
  <c r="J63" i="20"/>
  <c r="K62" i="20"/>
  <c r="K61" i="20"/>
  <c r="K60" i="20"/>
  <c r="K59" i="20"/>
  <c r="K58" i="20"/>
  <c r="K57" i="20"/>
  <c r="K56" i="20"/>
  <c r="K55" i="20"/>
  <c r="K54" i="20"/>
  <c r="K53" i="20"/>
  <c r="K52" i="20"/>
  <c r="K51" i="20"/>
  <c r="K50" i="20"/>
  <c r="D23" i="20"/>
  <c r="J23" i="20"/>
  <c r="K49" i="20"/>
  <c r="J49" i="20"/>
  <c r="J50" i="20"/>
  <c r="J51" i="20"/>
  <c r="J52" i="20"/>
  <c r="J53" i="20"/>
  <c r="J54" i="20"/>
  <c r="J55" i="20"/>
  <c r="J56" i="20"/>
  <c r="J57" i="20"/>
  <c r="J58" i="20"/>
  <c r="J59" i="20"/>
  <c r="J60" i="20"/>
  <c r="J61" i="20"/>
  <c r="J62" i="20"/>
  <c r="J48" i="20"/>
  <c r="D6" i="20"/>
  <c r="J6" i="20"/>
  <c r="K47" i="20"/>
  <c r="D10" i="20"/>
  <c r="J10" i="20"/>
  <c r="K46" i="20"/>
  <c r="J46" i="20"/>
  <c r="J47" i="20"/>
  <c r="J45" i="20"/>
  <c r="D15" i="20"/>
  <c r="J15" i="20"/>
  <c r="K44" i="20"/>
  <c r="D28" i="20"/>
  <c r="J28" i="20"/>
  <c r="K43" i="20"/>
  <c r="D19" i="20"/>
  <c r="J19" i="20"/>
  <c r="K42" i="20"/>
  <c r="D8" i="20"/>
  <c r="J8" i="20"/>
  <c r="K41" i="20"/>
  <c r="D4" i="20"/>
  <c r="J4" i="20"/>
  <c r="K40" i="20"/>
  <c r="D11" i="20"/>
  <c r="J11" i="20"/>
  <c r="K39" i="20"/>
  <c r="D2" i="20"/>
  <c r="J2" i="20"/>
  <c r="K38" i="20"/>
  <c r="D22" i="20"/>
  <c r="J22" i="20"/>
  <c r="K37" i="20"/>
  <c r="D26" i="20"/>
  <c r="J26" i="20"/>
  <c r="K36" i="20"/>
  <c r="D30" i="20"/>
  <c r="J30" i="20"/>
  <c r="K35" i="20"/>
  <c r="D14" i="20"/>
  <c r="J14" i="20"/>
  <c r="K34" i="20"/>
  <c r="D13" i="20"/>
  <c r="J13" i="20"/>
  <c r="K33" i="20"/>
  <c r="D3" i="20"/>
  <c r="J3" i="20"/>
  <c r="K32" i="20"/>
  <c r="J32" i="20"/>
  <c r="J33" i="20"/>
  <c r="J34" i="20"/>
  <c r="J35" i="20"/>
  <c r="J36" i="20"/>
  <c r="J37" i="20"/>
  <c r="J38" i="20"/>
  <c r="J39" i="20"/>
  <c r="J40" i="20"/>
  <c r="J41" i="20"/>
  <c r="J42" i="20"/>
  <c r="J43" i="20"/>
  <c r="J44" i="20"/>
  <c r="J31" i="20"/>
  <c r="F27" i="20"/>
  <c r="G76" i="20"/>
  <c r="F18" i="20"/>
  <c r="G75" i="20"/>
  <c r="F12" i="20"/>
  <c r="G74" i="20"/>
  <c r="F7" i="20"/>
  <c r="G73" i="20"/>
  <c r="F16" i="20"/>
  <c r="G72" i="20"/>
  <c r="F29" i="20"/>
  <c r="G71" i="20"/>
  <c r="F20" i="20"/>
  <c r="G70" i="20"/>
  <c r="F24" i="20"/>
  <c r="G69" i="20"/>
  <c r="F9" i="20"/>
  <c r="G68" i="20"/>
  <c r="F5" i="20"/>
  <c r="G67" i="20"/>
  <c r="F17" i="20"/>
  <c r="G66" i="20"/>
  <c r="F21" i="20"/>
  <c r="G65" i="20"/>
  <c r="F25" i="20"/>
  <c r="G64" i="20"/>
  <c r="F64" i="20"/>
  <c r="F65" i="20"/>
  <c r="F66" i="20"/>
  <c r="F67" i="20"/>
  <c r="F68" i="20"/>
  <c r="F69" i="20"/>
  <c r="F70" i="20"/>
  <c r="F71" i="20"/>
  <c r="F72" i="20"/>
  <c r="F73" i="20"/>
  <c r="F74" i="20"/>
  <c r="F75" i="20"/>
  <c r="F76" i="20"/>
  <c r="F63" i="20"/>
  <c r="G62" i="20"/>
  <c r="G61" i="20"/>
  <c r="G60" i="20"/>
  <c r="G59" i="20"/>
  <c r="G58" i="20"/>
  <c r="G57" i="20"/>
  <c r="G56" i="20"/>
  <c r="G55" i="20"/>
  <c r="G54" i="20"/>
  <c r="G53" i="20"/>
  <c r="G52" i="20"/>
  <c r="G51" i="20"/>
  <c r="G50" i="20"/>
  <c r="F23" i="20"/>
  <c r="G49" i="20"/>
  <c r="F49" i="20"/>
  <c r="F50" i="20"/>
  <c r="F51" i="20"/>
  <c r="F52" i="20"/>
  <c r="F53" i="20"/>
  <c r="F54" i="20"/>
  <c r="F55" i="20"/>
  <c r="F56" i="20"/>
  <c r="F57" i="20"/>
  <c r="F58" i="20"/>
  <c r="F59" i="20"/>
  <c r="F60" i="20"/>
  <c r="F61" i="20"/>
  <c r="F62" i="20"/>
  <c r="F48" i="20"/>
  <c r="F6" i="20"/>
  <c r="G47" i="20"/>
  <c r="F10" i="20"/>
  <c r="G46" i="20"/>
  <c r="F46" i="20"/>
  <c r="F47" i="20"/>
  <c r="F45" i="20"/>
  <c r="F15" i="20"/>
  <c r="G44" i="20"/>
  <c r="F28" i="20"/>
  <c r="G43" i="20"/>
  <c r="F19" i="20"/>
  <c r="G42" i="20"/>
  <c r="F8" i="20"/>
  <c r="G41" i="20"/>
  <c r="F4" i="20"/>
  <c r="G40" i="20"/>
  <c r="F11" i="20"/>
  <c r="G39" i="20"/>
  <c r="F2" i="20"/>
  <c r="G38" i="20"/>
  <c r="F22" i="20"/>
  <c r="G37" i="20"/>
  <c r="F26" i="20"/>
  <c r="G36" i="20"/>
  <c r="F30" i="20"/>
  <c r="G35" i="20"/>
  <c r="F14" i="20"/>
  <c r="G34" i="20"/>
  <c r="F13" i="20"/>
  <c r="G33" i="20"/>
  <c r="F3" i="20"/>
  <c r="G32" i="20"/>
  <c r="F32" i="20"/>
  <c r="F33" i="20"/>
  <c r="F34" i="20"/>
  <c r="F35" i="20"/>
  <c r="F36" i="20"/>
  <c r="F37" i="20"/>
  <c r="F38" i="20"/>
  <c r="F39" i="20"/>
  <c r="F40" i="20"/>
  <c r="F41" i="20"/>
  <c r="F42" i="20"/>
  <c r="F43" i="20"/>
  <c r="F44" i="20"/>
  <c r="F31" i="20"/>
  <c r="BI3" i="37"/>
  <c r="BH27" i="37"/>
  <c r="BJ27" i="37"/>
  <c r="BJ76" i="37"/>
  <c r="BG27" i="37"/>
  <c r="BI27" i="37"/>
  <c r="BI76" i="37"/>
  <c r="BH18" i="37"/>
  <c r="BJ18" i="37"/>
  <c r="BJ75" i="37"/>
  <c r="BG18" i="37"/>
  <c r="BI18" i="37"/>
  <c r="BI75" i="37"/>
  <c r="BH12" i="37"/>
  <c r="BJ12" i="37"/>
  <c r="BJ74" i="37"/>
  <c r="BG12" i="37"/>
  <c r="BI12" i="37"/>
  <c r="BI74" i="37"/>
  <c r="BH7" i="37"/>
  <c r="BJ7" i="37"/>
  <c r="BJ73" i="37"/>
  <c r="BG7" i="37"/>
  <c r="BI7" i="37"/>
  <c r="BI73" i="37"/>
  <c r="BH16" i="37"/>
  <c r="BJ16" i="37"/>
  <c r="BJ72" i="37"/>
  <c r="BG16" i="37"/>
  <c r="BI16" i="37"/>
  <c r="BI72" i="37"/>
  <c r="BH29" i="37"/>
  <c r="BJ29" i="37"/>
  <c r="BJ71" i="37"/>
  <c r="BG29" i="37"/>
  <c r="BI29" i="37"/>
  <c r="BI71" i="37"/>
  <c r="BH20" i="37"/>
  <c r="BJ20" i="37"/>
  <c r="BJ70" i="37"/>
  <c r="BG20" i="37"/>
  <c r="BI20" i="37"/>
  <c r="BI70" i="37"/>
  <c r="BH24" i="37"/>
  <c r="BJ24" i="37"/>
  <c r="BJ69" i="37"/>
  <c r="BG24" i="37"/>
  <c r="BI24" i="37"/>
  <c r="BI69" i="37"/>
  <c r="BH9" i="37"/>
  <c r="BJ9" i="37"/>
  <c r="BJ68" i="37"/>
  <c r="BG9" i="37"/>
  <c r="BI9" i="37"/>
  <c r="BI68" i="37"/>
  <c r="BH5" i="37"/>
  <c r="BJ5" i="37"/>
  <c r="BJ67" i="37"/>
  <c r="BG5" i="37"/>
  <c r="BI5" i="37"/>
  <c r="BI67" i="37"/>
  <c r="BH17" i="37"/>
  <c r="BJ17" i="37"/>
  <c r="BJ66" i="37"/>
  <c r="BG17" i="37"/>
  <c r="BI17" i="37"/>
  <c r="BI66" i="37"/>
  <c r="BH21" i="37"/>
  <c r="BJ21" i="37"/>
  <c r="BJ65" i="37"/>
  <c r="BG21" i="37"/>
  <c r="BI21" i="37"/>
  <c r="BI65" i="37"/>
  <c r="BH25" i="37"/>
  <c r="BJ25" i="37"/>
  <c r="BJ64" i="37"/>
  <c r="BG25" i="37"/>
  <c r="BI25" i="37"/>
  <c r="BI64" i="37"/>
  <c r="BH64" i="37"/>
  <c r="BH65" i="37"/>
  <c r="BH66" i="37"/>
  <c r="BH67" i="37"/>
  <c r="BH68" i="37"/>
  <c r="BH69" i="37"/>
  <c r="BH70" i="37"/>
  <c r="BH71" i="37"/>
  <c r="BH72" i="37"/>
  <c r="BH73" i="37"/>
  <c r="BH74" i="37"/>
  <c r="BH75" i="37"/>
  <c r="BH76" i="37"/>
  <c r="BH63" i="37"/>
  <c r="BJ63" i="37"/>
  <c r="BG64" i="37"/>
  <c r="BG65" i="37"/>
  <c r="BG66" i="37"/>
  <c r="BG67" i="37"/>
  <c r="BG68" i="37"/>
  <c r="BG69" i="37"/>
  <c r="BG70" i="37"/>
  <c r="BG71" i="37"/>
  <c r="BG72" i="37"/>
  <c r="BG73" i="37"/>
  <c r="BG74" i="37"/>
  <c r="BG75" i="37"/>
  <c r="BG76" i="37"/>
  <c r="BG63" i="37"/>
  <c r="BI63" i="37"/>
  <c r="BJ62" i="37"/>
  <c r="BI62" i="37"/>
  <c r="BJ61" i="37"/>
  <c r="BI61" i="37"/>
  <c r="BJ60" i="37"/>
  <c r="BI60" i="37"/>
  <c r="BJ59" i="37"/>
  <c r="BI59" i="37"/>
  <c r="BJ58" i="37"/>
  <c r="BI58" i="37"/>
  <c r="BJ57" i="37"/>
  <c r="BI57" i="37"/>
  <c r="BJ56" i="37"/>
  <c r="BI56" i="37"/>
  <c r="BJ55" i="37"/>
  <c r="BI55" i="37"/>
  <c r="BJ54" i="37"/>
  <c r="BI54" i="37"/>
  <c r="BJ53" i="37"/>
  <c r="BI53" i="37"/>
  <c r="BJ52" i="37"/>
  <c r="BI52" i="37"/>
  <c r="BJ51" i="37"/>
  <c r="BI51" i="37"/>
  <c r="BJ50" i="37"/>
  <c r="BI50" i="37"/>
  <c r="BH23" i="37"/>
  <c r="BJ23" i="37"/>
  <c r="BJ49" i="37"/>
  <c r="BG23" i="37"/>
  <c r="BI23" i="37"/>
  <c r="BI49" i="37"/>
  <c r="BH49" i="37"/>
  <c r="BH50" i="37"/>
  <c r="BH51" i="37"/>
  <c r="BH52" i="37"/>
  <c r="BH53" i="37"/>
  <c r="BH54" i="37"/>
  <c r="BH55" i="37"/>
  <c r="BH56" i="37"/>
  <c r="BH57" i="37"/>
  <c r="BH58" i="37"/>
  <c r="BH59" i="37"/>
  <c r="BH60" i="37"/>
  <c r="BH61" i="37"/>
  <c r="BH62" i="37"/>
  <c r="BH48" i="37"/>
  <c r="BJ48" i="37"/>
  <c r="BG49" i="37"/>
  <c r="BG50" i="37"/>
  <c r="BG51" i="37"/>
  <c r="BG52" i="37"/>
  <c r="BG53" i="37"/>
  <c r="BG54" i="37"/>
  <c r="BG55" i="37"/>
  <c r="BG56" i="37"/>
  <c r="BG57" i="37"/>
  <c r="BG58" i="37"/>
  <c r="BG59" i="37"/>
  <c r="BG60" i="37"/>
  <c r="BG61" i="37"/>
  <c r="BG62" i="37"/>
  <c r="BG48" i="37"/>
  <c r="BI48" i="37"/>
  <c r="BH6" i="37"/>
  <c r="BJ6" i="37"/>
  <c r="BJ47" i="37"/>
  <c r="BG6" i="37"/>
  <c r="BI6" i="37"/>
  <c r="BI47" i="37"/>
  <c r="BH10" i="37"/>
  <c r="BJ10" i="37"/>
  <c r="BJ46" i="37"/>
  <c r="BG10" i="37"/>
  <c r="BI10" i="37"/>
  <c r="BI46" i="37"/>
  <c r="BH46" i="37"/>
  <c r="BH47" i="37"/>
  <c r="BH45" i="37"/>
  <c r="BJ45" i="37"/>
  <c r="BG46" i="37"/>
  <c r="BG47" i="37"/>
  <c r="BG45" i="37"/>
  <c r="BI45" i="37"/>
  <c r="BH15" i="37"/>
  <c r="BJ15" i="37"/>
  <c r="BJ44" i="37"/>
  <c r="BG15" i="37"/>
  <c r="BI15" i="37"/>
  <c r="BI44" i="37"/>
  <c r="BH28" i="37"/>
  <c r="BJ28" i="37"/>
  <c r="BJ43" i="37"/>
  <c r="BG28" i="37"/>
  <c r="BI28" i="37"/>
  <c r="BI43" i="37"/>
  <c r="BH19" i="37"/>
  <c r="BJ19" i="37"/>
  <c r="BJ42" i="37"/>
  <c r="BG19" i="37"/>
  <c r="BI19" i="37"/>
  <c r="BI42" i="37"/>
  <c r="BH8" i="37"/>
  <c r="BJ8" i="37"/>
  <c r="BJ41" i="37"/>
  <c r="BG8" i="37"/>
  <c r="BI8" i="37"/>
  <c r="BI41" i="37"/>
  <c r="BH4" i="37"/>
  <c r="BJ4" i="37"/>
  <c r="BJ40" i="37"/>
  <c r="BG4" i="37"/>
  <c r="BI4" i="37"/>
  <c r="BI40" i="37"/>
  <c r="BH11" i="37"/>
  <c r="BJ11" i="37"/>
  <c r="BJ39" i="37"/>
  <c r="BG11" i="37"/>
  <c r="BI11" i="37"/>
  <c r="BI39" i="37"/>
  <c r="BH2" i="37"/>
  <c r="BJ2" i="37"/>
  <c r="BJ38" i="37"/>
  <c r="BG2" i="37"/>
  <c r="BI2" i="37"/>
  <c r="BI38" i="37"/>
  <c r="BH22" i="37"/>
  <c r="BJ22" i="37"/>
  <c r="BJ37" i="37"/>
  <c r="BG22" i="37"/>
  <c r="BI22" i="37"/>
  <c r="BI37" i="37"/>
  <c r="BH26" i="37"/>
  <c r="BJ26" i="37"/>
  <c r="BJ36" i="37"/>
  <c r="BG26" i="37"/>
  <c r="BI26" i="37"/>
  <c r="BI36" i="37"/>
  <c r="BH30" i="37"/>
  <c r="BJ30" i="37"/>
  <c r="BJ35" i="37"/>
  <c r="BG30" i="37"/>
  <c r="BI30" i="37"/>
  <c r="BI35" i="37"/>
  <c r="BH14" i="37"/>
  <c r="BJ14" i="37"/>
  <c r="BJ34" i="37"/>
  <c r="BG14" i="37"/>
  <c r="BI14" i="37"/>
  <c r="BI34" i="37"/>
  <c r="BH13" i="37"/>
  <c r="BJ13" i="37"/>
  <c r="BJ33" i="37"/>
  <c r="BG13" i="37"/>
  <c r="BI13" i="37"/>
  <c r="BI33" i="37"/>
  <c r="BH3" i="37"/>
  <c r="BJ3" i="37"/>
  <c r="BJ32" i="37"/>
  <c r="BG3" i="37"/>
  <c r="BI32" i="37"/>
  <c r="BH32" i="37"/>
  <c r="BH33" i="37"/>
  <c r="BH34" i="37"/>
  <c r="BH35" i="37"/>
  <c r="BH36" i="37"/>
  <c r="BH37" i="37"/>
  <c r="BH38" i="37"/>
  <c r="BH39" i="37"/>
  <c r="BH40" i="37"/>
  <c r="BH41" i="37"/>
  <c r="BH42" i="37"/>
  <c r="BH43" i="37"/>
  <c r="BH44" i="37"/>
  <c r="BH31" i="37"/>
  <c r="BJ31" i="37"/>
  <c r="BG32" i="37"/>
  <c r="BG33" i="37"/>
  <c r="BG34" i="37"/>
  <c r="BG35" i="37"/>
  <c r="BG36" i="37"/>
  <c r="BG37" i="37"/>
  <c r="BG38" i="37"/>
  <c r="BG39" i="37"/>
  <c r="BG40" i="37"/>
  <c r="BG41" i="37"/>
  <c r="BG42" i="37"/>
  <c r="BG43" i="37"/>
  <c r="BG44" i="37"/>
  <c r="BG31" i="37"/>
  <c r="BI31" i="37"/>
  <c r="BL64" i="37"/>
  <c r="BL65" i="37"/>
  <c r="BL17" i="37"/>
  <c r="BL66" i="37"/>
  <c r="BL67" i="37"/>
  <c r="BL9" i="37"/>
  <c r="BL68" i="37"/>
  <c r="BL69" i="37"/>
  <c r="BL70" i="37"/>
  <c r="BL71" i="37"/>
  <c r="BL16" i="37"/>
  <c r="BL72" i="37"/>
  <c r="BL7" i="37"/>
  <c r="BL73" i="37"/>
  <c r="BL74" i="37"/>
  <c r="BL18" i="37"/>
  <c r="BL75" i="37"/>
  <c r="BL76" i="37"/>
  <c r="BL63" i="37"/>
  <c r="BK64" i="37"/>
  <c r="BK65" i="37"/>
  <c r="BK17" i="37"/>
  <c r="BK66" i="37"/>
  <c r="BK67" i="37"/>
  <c r="BK9" i="37"/>
  <c r="BK68" i="37"/>
  <c r="BK69" i="37"/>
  <c r="BK70" i="37"/>
  <c r="BK71" i="37"/>
  <c r="BK16" i="37"/>
  <c r="BK72" i="37"/>
  <c r="BK7" i="37"/>
  <c r="BK73" i="37"/>
  <c r="BK74" i="37"/>
  <c r="BK18" i="37"/>
  <c r="BK75" i="37"/>
  <c r="BK76" i="37"/>
  <c r="BK63" i="37"/>
  <c r="BL23" i="37"/>
  <c r="BL49" i="37"/>
  <c r="BL50" i="37"/>
  <c r="BL51" i="37"/>
  <c r="BL52" i="37"/>
  <c r="BL53" i="37"/>
  <c r="BL54" i="37"/>
  <c r="BL55" i="37"/>
  <c r="BL56" i="37"/>
  <c r="BL57" i="37"/>
  <c r="BL58" i="37"/>
  <c r="BL59" i="37"/>
  <c r="BL60" i="37"/>
  <c r="BL61" i="37"/>
  <c r="BL62" i="37"/>
  <c r="BL48" i="37"/>
  <c r="BK23" i="37"/>
  <c r="BK49" i="37"/>
  <c r="BK50" i="37"/>
  <c r="BK51" i="37"/>
  <c r="BK52" i="37"/>
  <c r="BK53" i="37"/>
  <c r="BK54" i="37"/>
  <c r="BK55" i="37"/>
  <c r="BK56" i="37"/>
  <c r="BK57" i="37"/>
  <c r="BK58" i="37"/>
  <c r="BK59" i="37"/>
  <c r="BK60" i="37"/>
  <c r="BK61" i="37"/>
  <c r="BK62" i="37"/>
  <c r="BK48" i="37"/>
  <c r="BL10" i="37"/>
  <c r="BL46" i="37"/>
  <c r="BL47" i="37"/>
  <c r="BL45" i="37"/>
  <c r="BK10" i="37"/>
  <c r="BK46" i="37"/>
  <c r="BK47" i="37"/>
  <c r="BK45" i="37"/>
  <c r="BL3" i="37"/>
  <c r="BL32" i="37"/>
  <c r="BL13" i="37"/>
  <c r="BL33" i="37"/>
  <c r="BL14" i="37"/>
  <c r="BL34" i="37"/>
  <c r="BL30" i="37"/>
  <c r="BL35" i="37"/>
  <c r="BL26" i="37"/>
  <c r="BL36" i="37"/>
  <c r="BL22" i="37"/>
  <c r="BL37" i="37"/>
  <c r="BL2" i="37"/>
  <c r="BL38" i="37"/>
  <c r="BL39" i="37"/>
  <c r="BL40" i="37"/>
  <c r="BL8" i="37"/>
  <c r="BL41" i="37"/>
  <c r="BL42" i="37"/>
  <c r="BL43" i="37"/>
  <c r="BL15" i="37"/>
  <c r="BL44" i="37"/>
  <c r="BL31" i="37"/>
  <c r="BK3" i="37"/>
  <c r="BK32" i="37"/>
  <c r="BK13" i="37"/>
  <c r="BK33" i="37"/>
  <c r="BK14" i="37"/>
  <c r="BK34" i="37"/>
  <c r="BK30" i="37"/>
  <c r="BK35" i="37"/>
  <c r="BK26" i="37"/>
  <c r="BK36" i="37"/>
  <c r="BK22" i="37"/>
  <c r="BK37" i="37"/>
  <c r="BK2" i="37"/>
  <c r="BK38" i="37"/>
  <c r="BK39" i="37"/>
  <c r="BK40" i="37"/>
  <c r="BK8" i="37"/>
  <c r="BK41" i="37"/>
  <c r="BK42" i="37"/>
  <c r="BK43" i="37"/>
  <c r="BK15" i="37"/>
  <c r="BK44" i="37"/>
  <c r="BK31" i="37"/>
  <c r="BL29" i="37"/>
  <c r="BK29" i="37"/>
  <c r="BL28" i="37"/>
  <c r="BK28" i="37"/>
  <c r="BL27" i="37"/>
  <c r="BK27" i="37"/>
  <c r="BL25" i="37"/>
  <c r="BK25" i="37"/>
  <c r="BL24" i="37"/>
  <c r="BK24" i="37"/>
  <c r="BL21" i="37"/>
  <c r="BK21" i="37"/>
  <c r="BL20" i="37"/>
  <c r="BK20" i="37"/>
  <c r="BL19" i="37"/>
  <c r="BK19" i="37"/>
  <c r="BL12" i="37"/>
  <c r="BK12" i="37"/>
  <c r="BL11" i="37"/>
  <c r="BK11" i="37"/>
  <c r="BL6" i="37"/>
  <c r="BK6" i="37"/>
  <c r="BL5" i="37"/>
  <c r="BK5" i="37"/>
  <c r="BL4" i="37"/>
  <c r="BK4" i="37"/>
  <c r="AR27" i="37"/>
  <c r="AV27" i="37"/>
  <c r="AS27" i="37"/>
  <c r="AW27" i="37"/>
  <c r="AT27" i="37"/>
  <c r="AX27" i="37"/>
  <c r="AU27" i="37"/>
  <c r="AY27" i="37"/>
  <c r="AZ27" i="37"/>
  <c r="BA27" i="37"/>
  <c r="BA76" i="37"/>
  <c r="AR18" i="37"/>
  <c r="AV18" i="37"/>
  <c r="AS18" i="37"/>
  <c r="AW18" i="37"/>
  <c r="AT18" i="37"/>
  <c r="AX18" i="37"/>
  <c r="AU18" i="37"/>
  <c r="AY18" i="37"/>
  <c r="AZ18" i="37"/>
  <c r="BA18" i="37"/>
  <c r="BA75" i="37"/>
  <c r="AR12" i="37"/>
  <c r="AV12" i="37"/>
  <c r="AS12" i="37"/>
  <c r="AW12" i="37"/>
  <c r="AT12" i="37"/>
  <c r="AX12" i="37"/>
  <c r="AU12" i="37"/>
  <c r="AY12" i="37"/>
  <c r="AZ12" i="37"/>
  <c r="BA12" i="37"/>
  <c r="BA74" i="37"/>
  <c r="AR7" i="37"/>
  <c r="AV7" i="37"/>
  <c r="AS7" i="37"/>
  <c r="AW7" i="37"/>
  <c r="AT7" i="37"/>
  <c r="AX7" i="37"/>
  <c r="AU7" i="37"/>
  <c r="AY7" i="37"/>
  <c r="AZ7" i="37"/>
  <c r="BA7" i="37"/>
  <c r="BA73" i="37"/>
  <c r="AR16" i="37"/>
  <c r="AV16" i="37"/>
  <c r="AS16" i="37"/>
  <c r="AW16" i="37"/>
  <c r="AT16" i="37"/>
  <c r="AX16" i="37"/>
  <c r="AU16" i="37"/>
  <c r="AY16" i="37"/>
  <c r="AZ16" i="37"/>
  <c r="BA16" i="37"/>
  <c r="BA72" i="37"/>
  <c r="AR29" i="37"/>
  <c r="AV29" i="37"/>
  <c r="AS29" i="37"/>
  <c r="AW29" i="37"/>
  <c r="AT29" i="37"/>
  <c r="AX29" i="37"/>
  <c r="AU29" i="37"/>
  <c r="AY29" i="37"/>
  <c r="AZ29" i="37"/>
  <c r="BA29" i="37"/>
  <c r="BA71" i="37"/>
  <c r="AR20" i="37"/>
  <c r="AV20" i="37"/>
  <c r="AS20" i="37"/>
  <c r="AW20" i="37"/>
  <c r="AT20" i="37"/>
  <c r="AX20" i="37"/>
  <c r="AU20" i="37"/>
  <c r="AY20" i="37"/>
  <c r="AZ20" i="37"/>
  <c r="BA20" i="37"/>
  <c r="BA70" i="37"/>
  <c r="AR24" i="37"/>
  <c r="AV24" i="37"/>
  <c r="AS24" i="37"/>
  <c r="AW24" i="37"/>
  <c r="AT24" i="37"/>
  <c r="AX24" i="37"/>
  <c r="AU24" i="37"/>
  <c r="AY24" i="37"/>
  <c r="AZ24" i="37"/>
  <c r="BA24" i="37"/>
  <c r="BA69" i="37"/>
  <c r="AR9" i="37"/>
  <c r="AV9" i="37"/>
  <c r="AS9" i="37"/>
  <c r="AW9" i="37"/>
  <c r="AT9" i="37"/>
  <c r="AX9" i="37"/>
  <c r="AU9" i="37"/>
  <c r="AY9" i="37"/>
  <c r="AZ9" i="37"/>
  <c r="BA9" i="37"/>
  <c r="BA68" i="37"/>
  <c r="AR5" i="37"/>
  <c r="AV5" i="37"/>
  <c r="AS5" i="37"/>
  <c r="AW5" i="37"/>
  <c r="AT5" i="37"/>
  <c r="AX5" i="37"/>
  <c r="AU5" i="37"/>
  <c r="AY5" i="37"/>
  <c r="AZ5" i="37"/>
  <c r="BA5" i="37"/>
  <c r="BA67" i="37"/>
  <c r="AR17" i="37"/>
  <c r="AV17" i="37"/>
  <c r="AS17" i="37"/>
  <c r="AW17" i="37"/>
  <c r="AT17" i="37"/>
  <c r="AX17" i="37"/>
  <c r="AU17" i="37"/>
  <c r="AY17" i="37"/>
  <c r="AZ17" i="37"/>
  <c r="BA17" i="37"/>
  <c r="BA66" i="37"/>
  <c r="AR21" i="37"/>
  <c r="AV21" i="37"/>
  <c r="AS21" i="37"/>
  <c r="AW21" i="37"/>
  <c r="AT21" i="37"/>
  <c r="AX21" i="37"/>
  <c r="AU21" i="37"/>
  <c r="AY21" i="37"/>
  <c r="AZ21" i="37"/>
  <c r="BA21" i="37"/>
  <c r="BA65" i="37"/>
  <c r="AR25" i="37"/>
  <c r="AV25" i="37"/>
  <c r="AS25" i="37"/>
  <c r="AW25" i="37"/>
  <c r="AT25" i="37"/>
  <c r="AX25" i="37"/>
  <c r="AU25" i="37"/>
  <c r="AY25" i="37"/>
  <c r="AZ25" i="37"/>
  <c r="BA25" i="37"/>
  <c r="BA64" i="37"/>
  <c r="AZ64" i="37"/>
  <c r="AZ65" i="37"/>
  <c r="AZ66" i="37"/>
  <c r="AZ67" i="37"/>
  <c r="AZ68" i="37"/>
  <c r="AZ69" i="37"/>
  <c r="AZ70" i="37"/>
  <c r="AZ71" i="37"/>
  <c r="AZ72" i="37"/>
  <c r="AZ73" i="37"/>
  <c r="AZ74" i="37"/>
  <c r="AZ75" i="37"/>
  <c r="AZ76" i="37"/>
  <c r="AZ63" i="37"/>
  <c r="BA63" i="37"/>
  <c r="BA62" i="37"/>
  <c r="BA61" i="37"/>
  <c r="BA60" i="37"/>
  <c r="BA59" i="37"/>
  <c r="BA58" i="37"/>
  <c r="BA57" i="37"/>
  <c r="BA56" i="37"/>
  <c r="BA55" i="37"/>
  <c r="BA54" i="37"/>
  <c r="BA53" i="37"/>
  <c r="BA52" i="37"/>
  <c r="BA51" i="37"/>
  <c r="BA50" i="37"/>
  <c r="AR23" i="37"/>
  <c r="AV23" i="37"/>
  <c r="AS23" i="37"/>
  <c r="AW23" i="37"/>
  <c r="AT23" i="37"/>
  <c r="AX23" i="37"/>
  <c r="AU23" i="37"/>
  <c r="AY23" i="37"/>
  <c r="AZ23" i="37"/>
  <c r="BA23" i="37"/>
  <c r="BA49" i="37"/>
  <c r="AZ49" i="37"/>
  <c r="AZ50" i="37"/>
  <c r="AZ51" i="37"/>
  <c r="AZ52" i="37"/>
  <c r="AZ53" i="37"/>
  <c r="AZ54" i="37"/>
  <c r="AZ55" i="37"/>
  <c r="AZ56" i="37"/>
  <c r="AZ57" i="37"/>
  <c r="AZ58" i="37"/>
  <c r="AZ59" i="37"/>
  <c r="AZ60" i="37"/>
  <c r="AZ61" i="37"/>
  <c r="AZ62" i="37"/>
  <c r="AZ48" i="37"/>
  <c r="BA48" i="37"/>
  <c r="AR6" i="37"/>
  <c r="AV6" i="37"/>
  <c r="AS6" i="37"/>
  <c r="AW6" i="37"/>
  <c r="AT6" i="37"/>
  <c r="AX6" i="37"/>
  <c r="AU6" i="37"/>
  <c r="AY6" i="37"/>
  <c r="AZ6" i="37"/>
  <c r="BA6" i="37"/>
  <c r="BA47" i="37"/>
  <c r="AR10" i="37"/>
  <c r="AV10" i="37"/>
  <c r="AS10" i="37"/>
  <c r="AW10" i="37"/>
  <c r="AT10" i="37"/>
  <c r="AX10" i="37"/>
  <c r="AU10" i="37"/>
  <c r="AY10" i="37"/>
  <c r="AZ10" i="37"/>
  <c r="BA10" i="37"/>
  <c r="BA46" i="37"/>
  <c r="AZ46" i="37"/>
  <c r="AZ47" i="37"/>
  <c r="AZ45" i="37"/>
  <c r="BA45" i="37"/>
  <c r="AR15" i="37"/>
  <c r="AV15" i="37"/>
  <c r="AS15" i="37"/>
  <c r="AW15" i="37"/>
  <c r="AT15" i="37"/>
  <c r="AX15" i="37"/>
  <c r="AU15" i="37"/>
  <c r="AY15" i="37"/>
  <c r="AZ15" i="37"/>
  <c r="BA15" i="37"/>
  <c r="BA44" i="37"/>
  <c r="AR28" i="37"/>
  <c r="AV28" i="37"/>
  <c r="AS28" i="37"/>
  <c r="AW28" i="37"/>
  <c r="AT28" i="37"/>
  <c r="AX28" i="37"/>
  <c r="AU28" i="37"/>
  <c r="AY28" i="37"/>
  <c r="AZ28" i="37"/>
  <c r="BA28" i="37"/>
  <c r="BA43" i="37"/>
  <c r="AR19" i="37"/>
  <c r="AV19" i="37"/>
  <c r="AS19" i="37"/>
  <c r="AW19" i="37"/>
  <c r="AT19" i="37"/>
  <c r="AX19" i="37"/>
  <c r="AU19" i="37"/>
  <c r="AY19" i="37"/>
  <c r="AZ19" i="37"/>
  <c r="BA19" i="37"/>
  <c r="BA42" i="37"/>
  <c r="AR8" i="37"/>
  <c r="AV8" i="37"/>
  <c r="AS8" i="37"/>
  <c r="AW8" i="37"/>
  <c r="AT8" i="37"/>
  <c r="AX8" i="37"/>
  <c r="AU8" i="37"/>
  <c r="AY8" i="37"/>
  <c r="AZ8" i="37"/>
  <c r="BA8" i="37"/>
  <c r="BA41" i="37"/>
  <c r="AR4" i="37"/>
  <c r="AV4" i="37"/>
  <c r="AS4" i="37"/>
  <c r="AW4" i="37"/>
  <c r="AT4" i="37"/>
  <c r="AX4" i="37"/>
  <c r="AU4" i="37"/>
  <c r="AY4" i="37"/>
  <c r="AZ4" i="37"/>
  <c r="BA4" i="37"/>
  <c r="BA40" i="37"/>
  <c r="AR11" i="37"/>
  <c r="AV11" i="37"/>
  <c r="AS11" i="37"/>
  <c r="AW11" i="37"/>
  <c r="AT11" i="37"/>
  <c r="AX11" i="37"/>
  <c r="AU11" i="37"/>
  <c r="AY11" i="37"/>
  <c r="AZ11" i="37"/>
  <c r="BA11" i="37"/>
  <c r="BA39" i="37"/>
  <c r="AR2" i="37"/>
  <c r="AV2" i="37"/>
  <c r="AS2" i="37"/>
  <c r="AW2" i="37"/>
  <c r="AT2" i="37"/>
  <c r="AX2" i="37"/>
  <c r="AU2" i="37"/>
  <c r="AY2" i="37"/>
  <c r="AZ2" i="37"/>
  <c r="BA2" i="37"/>
  <c r="BA38" i="37"/>
  <c r="AR22" i="37"/>
  <c r="AV22" i="37"/>
  <c r="AS22" i="37"/>
  <c r="AW22" i="37"/>
  <c r="AT22" i="37"/>
  <c r="AX22" i="37"/>
  <c r="AU22" i="37"/>
  <c r="AY22" i="37"/>
  <c r="AZ22" i="37"/>
  <c r="BA22" i="37"/>
  <c r="BA37" i="37"/>
  <c r="AR26" i="37"/>
  <c r="AV26" i="37"/>
  <c r="AS26" i="37"/>
  <c r="AW26" i="37"/>
  <c r="AT26" i="37"/>
  <c r="AX26" i="37"/>
  <c r="AU26" i="37"/>
  <c r="AY26" i="37"/>
  <c r="AZ26" i="37"/>
  <c r="BA26" i="37"/>
  <c r="BA36" i="37"/>
  <c r="AR30" i="37"/>
  <c r="AV30" i="37"/>
  <c r="AS30" i="37"/>
  <c r="AW30" i="37"/>
  <c r="AT30" i="37"/>
  <c r="AX30" i="37"/>
  <c r="AU30" i="37"/>
  <c r="AY30" i="37"/>
  <c r="AZ30" i="37"/>
  <c r="BA30" i="37"/>
  <c r="BA35" i="37"/>
  <c r="AR14" i="37"/>
  <c r="AV14" i="37"/>
  <c r="AS14" i="37"/>
  <c r="AW14" i="37"/>
  <c r="AT14" i="37"/>
  <c r="AX14" i="37"/>
  <c r="AU14" i="37"/>
  <c r="AY14" i="37"/>
  <c r="AZ14" i="37"/>
  <c r="BA14" i="37"/>
  <c r="BA34" i="37"/>
  <c r="AR13" i="37"/>
  <c r="AV13" i="37"/>
  <c r="AS13" i="37"/>
  <c r="AW13" i="37"/>
  <c r="AT13" i="37"/>
  <c r="AX13" i="37"/>
  <c r="AU13" i="37"/>
  <c r="AY13" i="37"/>
  <c r="AZ13" i="37"/>
  <c r="BA13" i="37"/>
  <c r="BA33" i="37"/>
  <c r="AR3" i="37"/>
  <c r="AV3" i="37"/>
  <c r="AS3" i="37"/>
  <c r="AW3" i="37"/>
  <c r="AT3" i="37"/>
  <c r="AX3" i="37"/>
  <c r="AU3" i="37"/>
  <c r="AY3" i="37"/>
  <c r="AZ3" i="37"/>
  <c r="BA3" i="37"/>
  <c r="BA32" i="37"/>
  <c r="AZ32" i="37"/>
  <c r="AZ33" i="37"/>
  <c r="AZ34" i="37"/>
  <c r="AZ35" i="37"/>
  <c r="AZ36" i="37"/>
  <c r="AZ37" i="37"/>
  <c r="AZ38" i="37"/>
  <c r="AZ39" i="37"/>
  <c r="AZ40" i="37"/>
  <c r="AZ41" i="37"/>
  <c r="AZ42" i="37"/>
  <c r="AZ43" i="37"/>
  <c r="AZ44" i="37"/>
  <c r="AZ31" i="37"/>
  <c r="BA31" i="37"/>
  <c r="AK27" i="37"/>
  <c r="AL27" i="37"/>
  <c r="AM27" i="37"/>
  <c r="AN27" i="37"/>
  <c r="AN76" i="37"/>
  <c r="AK18" i="37"/>
  <c r="AL18" i="37"/>
  <c r="AM18" i="37"/>
  <c r="AN18" i="37"/>
  <c r="AN75" i="37"/>
  <c r="AK12" i="37"/>
  <c r="AL12" i="37"/>
  <c r="AM12" i="37"/>
  <c r="AN12" i="37"/>
  <c r="AN74" i="37"/>
  <c r="AK7" i="37"/>
  <c r="AL7" i="37"/>
  <c r="AM7" i="37"/>
  <c r="AN7" i="37"/>
  <c r="AN73" i="37"/>
  <c r="AK16" i="37"/>
  <c r="AL16" i="37"/>
  <c r="AM16" i="37"/>
  <c r="AN16" i="37"/>
  <c r="AN72" i="37"/>
  <c r="AK29" i="37"/>
  <c r="AL29" i="37"/>
  <c r="AM29" i="37"/>
  <c r="AN29" i="37"/>
  <c r="AN71" i="37"/>
  <c r="AK20" i="37"/>
  <c r="AL20" i="37"/>
  <c r="AM20" i="37"/>
  <c r="AN20" i="37"/>
  <c r="AN70" i="37"/>
  <c r="AK24" i="37"/>
  <c r="AL24" i="37"/>
  <c r="AM24" i="37"/>
  <c r="AN24" i="37"/>
  <c r="AN69" i="37"/>
  <c r="AK9" i="37"/>
  <c r="AL9" i="37"/>
  <c r="AM9" i="37"/>
  <c r="AN9" i="37"/>
  <c r="AN68" i="37"/>
  <c r="AK5" i="37"/>
  <c r="AL5" i="37"/>
  <c r="AM5" i="37"/>
  <c r="AN5" i="37"/>
  <c r="AN67" i="37"/>
  <c r="AK17" i="37"/>
  <c r="AL17" i="37"/>
  <c r="AM17" i="37"/>
  <c r="AN17" i="37"/>
  <c r="AN66" i="37"/>
  <c r="AK21" i="37"/>
  <c r="AL21" i="37"/>
  <c r="AM21" i="37"/>
  <c r="AN21" i="37"/>
  <c r="AN65" i="37"/>
  <c r="AK25" i="37"/>
  <c r="AL25" i="37"/>
  <c r="AM25" i="37"/>
  <c r="AN25" i="37"/>
  <c r="AN64" i="37"/>
  <c r="AM64" i="37"/>
  <c r="AM65" i="37"/>
  <c r="AM66" i="37"/>
  <c r="AM67" i="37"/>
  <c r="AM68" i="37"/>
  <c r="AM69" i="37"/>
  <c r="AM70" i="37"/>
  <c r="AM71" i="37"/>
  <c r="AM72" i="37"/>
  <c r="AM73" i="37"/>
  <c r="AM74" i="37"/>
  <c r="AM75" i="37"/>
  <c r="AM76" i="37"/>
  <c r="AM63" i="37"/>
  <c r="AN63" i="37"/>
  <c r="AN62" i="37"/>
  <c r="AN61" i="37"/>
  <c r="AN60" i="37"/>
  <c r="AN59" i="37"/>
  <c r="AN58" i="37"/>
  <c r="AN57" i="37"/>
  <c r="AN56" i="37"/>
  <c r="AN55" i="37"/>
  <c r="AN54" i="37"/>
  <c r="AN53" i="37"/>
  <c r="AN52" i="37"/>
  <c r="AN51" i="37"/>
  <c r="AN50" i="37"/>
  <c r="AK23" i="37"/>
  <c r="AL23" i="37"/>
  <c r="AM23" i="37"/>
  <c r="AN23" i="37"/>
  <c r="AN49" i="37"/>
  <c r="AM49" i="37"/>
  <c r="AM50" i="37"/>
  <c r="AM51" i="37"/>
  <c r="AM52" i="37"/>
  <c r="AM53" i="37"/>
  <c r="AM54" i="37"/>
  <c r="AM55" i="37"/>
  <c r="AM56" i="37"/>
  <c r="AM57" i="37"/>
  <c r="AM58" i="37"/>
  <c r="AM59" i="37"/>
  <c r="AM60" i="37"/>
  <c r="AM61" i="37"/>
  <c r="AM62" i="37"/>
  <c r="AM48" i="37"/>
  <c r="AN48" i="37"/>
  <c r="AK6" i="37"/>
  <c r="AL6" i="37"/>
  <c r="AM6" i="37"/>
  <c r="AN6" i="37"/>
  <c r="AN47" i="37"/>
  <c r="AK10" i="37"/>
  <c r="AL10" i="37"/>
  <c r="AM10" i="37"/>
  <c r="AN10" i="37"/>
  <c r="AN46" i="37"/>
  <c r="AM46" i="37"/>
  <c r="AM47" i="37"/>
  <c r="AM45" i="37"/>
  <c r="AN45" i="37"/>
  <c r="AK15" i="37"/>
  <c r="AL15" i="37"/>
  <c r="AM15" i="37"/>
  <c r="AN15" i="37"/>
  <c r="AN44" i="37"/>
  <c r="AK28" i="37"/>
  <c r="AL28" i="37"/>
  <c r="AM28" i="37"/>
  <c r="AN28" i="37"/>
  <c r="AN43" i="37"/>
  <c r="AK19" i="37"/>
  <c r="AL19" i="37"/>
  <c r="AM19" i="37"/>
  <c r="AN19" i="37"/>
  <c r="AN42" i="37"/>
  <c r="AK8" i="37"/>
  <c r="AL8" i="37"/>
  <c r="AM8" i="37"/>
  <c r="AN8" i="37"/>
  <c r="AN41" i="37"/>
  <c r="AK4" i="37"/>
  <c r="AL4" i="37"/>
  <c r="AM4" i="37"/>
  <c r="AN4" i="37"/>
  <c r="AN40" i="37"/>
  <c r="AK11" i="37"/>
  <c r="AL11" i="37"/>
  <c r="AM11" i="37"/>
  <c r="AN11" i="37"/>
  <c r="AN39" i="37"/>
  <c r="AK2" i="37"/>
  <c r="AL2" i="37"/>
  <c r="AM2" i="37"/>
  <c r="AN2" i="37"/>
  <c r="AN38" i="37"/>
  <c r="AK22" i="37"/>
  <c r="AL22" i="37"/>
  <c r="AM22" i="37"/>
  <c r="AN22" i="37"/>
  <c r="AN37" i="37"/>
  <c r="AK26" i="37"/>
  <c r="AL26" i="37"/>
  <c r="AM26" i="37"/>
  <c r="AN26" i="37"/>
  <c r="AN36" i="37"/>
  <c r="AK30" i="37"/>
  <c r="AL30" i="37"/>
  <c r="AM30" i="37"/>
  <c r="AN30" i="37"/>
  <c r="AN35" i="37"/>
  <c r="AK14" i="37"/>
  <c r="AL14" i="37"/>
  <c r="AM14" i="37"/>
  <c r="AN14" i="37"/>
  <c r="AN34" i="37"/>
  <c r="AK13" i="37"/>
  <c r="AL13" i="37"/>
  <c r="AM13" i="37"/>
  <c r="AN13" i="37"/>
  <c r="AN33" i="37"/>
  <c r="AK3" i="37"/>
  <c r="AL3" i="37"/>
  <c r="AM3" i="37"/>
  <c r="AN3" i="37"/>
  <c r="AN32" i="37"/>
  <c r="AM32" i="37"/>
  <c r="AM33" i="37"/>
  <c r="AM34" i="37"/>
  <c r="AM35" i="37"/>
  <c r="AM36" i="37"/>
  <c r="AM37" i="37"/>
  <c r="AM38" i="37"/>
  <c r="AM39" i="37"/>
  <c r="AM40" i="37"/>
  <c r="AM41" i="37"/>
  <c r="AM42" i="37"/>
  <c r="AM43" i="37"/>
  <c r="AM44" i="37"/>
  <c r="AM31" i="37"/>
  <c r="AN31" i="37"/>
  <c r="Z27" i="37"/>
  <c r="AE27" i="37"/>
  <c r="AE76" i="37"/>
  <c r="Y27" i="37"/>
  <c r="AD27" i="37"/>
  <c r="AD76" i="37"/>
  <c r="X27" i="37"/>
  <c r="AC27" i="37"/>
  <c r="AC76" i="37"/>
  <c r="W27" i="37"/>
  <c r="AB27" i="37"/>
  <c r="AB76" i="37"/>
  <c r="V27" i="37"/>
  <c r="AA27" i="37"/>
  <c r="AA76" i="37"/>
  <c r="Z18" i="37"/>
  <c r="AE18" i="37"/>
  <c r="AE75" i="37"/>
  <c r="Y18" i="37"/>
  <c r="AD18" i="37"/>
  <c r="AD75" i="37"/>
  <c r="X18" i="37"/>
  <c r="AC18" i="37"/>
  <c r="AC75" i="37"/>
  <c r="W18" i="37"/>
  <c r="AB18" i="37"/>
  <c r="AB75" i="37"/>
  <c r="V18" i="37"/>
  <c r="AA18" i="37"/>
  <c r="AA75" i="37"/>
  <c r="Z12" i="37"/>
  <c r="AE12" i="37"/>
  <c r="AE74" i="37"/>
  <c r="Y12" i="37"/>
  <c r="AD12" i="37"/>
  <c r="AD74" i="37"/>
  <c r="X12" i="37"/>
  <c r="AC12" i="37"/>
  <c r="AC74" i="37"/>
  <c r="W12" i="37"/>
  <c r="AB12" i="37"/>
  <c r="AB74" i="37"/>
  <c r="V12" i="37"/>
  <c r="AA12" i="37"/>
  <c r="AA74" i="37"/>
  <c r="Z7" i="37"/>
  <c r="AE7" i="37"/>
  <c r="AE73" i="37"/>
  <c r="Y7" i="37"/>
  <c r="AD7" i="37"/>
  <c r="AD73" i="37"/>
  <c r="X7" i="37"/>
  <c r="AC7" i="37"/>
  <c r="AC73" i="37"/>
  <c r="W7" i="37"/>
  <c r="AB7" i="37"/>
  <c r="AB73" i="37"/>
  <c r="V7" i="37"/>
  <c r="AA7" i="37"/>
  <c r="AA73" i="37"/>
  <c r="Z16" i="37"/>
  <c r="AE16" i="37"/>
  <c r="AE72" i="37"/>
  <c r="Y16" i="37"/>
  <c r="AD16" i="37"/>
  <c r="AD72" i="37"/>
  <c r="X16" i="37"/>
  <c r="AC16" i="37"/>
  <c r="AC72" i="37"/>
  <c r="W16" i="37"/>
  <c r="AB16" i="37"/>
  <c r="AB72" i="37"/>
  <c r="V16" i="37"/>
  <c r="AA16" i="37"/>
  <c r="AA72" i="37"/>
  <c r="Z29" i="37"/>
  <c r="AE29" i="37"/>
  <c r="AE71" i="37"/>
  <c r="Y29" i="37"/>
  <c r="AD29" i="37"/>
  <c r="AD71" i="37"/>
  <c r="X29" i="37"/>
  <c r="AC29" i="37"/>
  <c r="AC71" i="37"/>
  <c r="W29" i="37"/>
  <c r="AB29" i="37"/>
  <c r="AB71" i="37"/>
  <c r="V29" i="37"/>
  <c r="AA29" i="37"/>
  <c r="AA71" i="37"/>
  <c r="Z20" i="37"/>
  <c r="AE20" i="37"/>
  <c r="AE70" i="37"/>
  <c r="Y20" i="37"/>
  <c r="AD20" i="37"/>
  <c r="AD70" i="37"/>
  <c r="X20" i="37"/>
  <c r="AC20" i="37"/>
  <c r="AC70" i="37"/>
  <c r="W20" i="37"/>
  <c r="AB20" i="37"/>
  <c r="AB70" i="37"/>
  <c r="V20" i="37"/>
  <c r="AA20" i="37"/>
  <c r="AA70" i="37"/>
  <c r="Z24" i="37"/>
  <c r="AE24" i="37"/>
  <c r="AE69" i="37"/>
  <c r="Y24" i="37"/>
  <c r="AD24" i="37"/>
  <c r="AD69" i="37"/>
  <c r="X24" i="37"/>
  <c r="AC24" i="37"/>
  <c r="AC69" i="37"/>
  <c r="W24" i="37"/>
  <c r="AB24" i="37"/>
  <c r="AB69" i="37"/>
  <c r="V24" i="37"/>
  <c r="AA24" i="37"/>
  <c r="AA69" i="37"/>
  <c r="Z9" i="37"/>
  <c r="AE9" i="37"/>
  <c r="AE68" i="37"/>
  <c r="Y9" i="37"/>
  <c r="AD9" i="37"/>
  <c r="AD68" i="37"/>
  <c r="X9" i="37"/>
  <c r="AC9" i="37"/>
  <c r="AC68" i="37"/>
  <c r="W9" i="37"/>
  <c r="AB9" i="37"/>
  <c r="AB68" i="37"/>
  <c r="V9" i="37"/>
  <c r="AA9" i="37"/>
  <c r="AA68" i="37"/>
  <c r="Z5" i="37"/>
  <c r="AE5" i="37"/>
  <c r="AE67" i="37"/>
  <c r="Y5" i="37"/>
  <c r="AD5" i="37"/>
  <c r="AD67" i="37"/>
  <c r="X5" i="37"/>
  <c r="AC5" i="37"/>
  <c r="AC67" i="37"/>
  <c r="W5" i="37"/>
  <c r="AB5" i="37"/>
  <c r="AB67" i="37"/>
  <c r="V5" i="37"/>
  <c r="AA5" i="37"/>
  <c r="AA67" i="37"/>
  <c r="Z17" i="37"/>
  <c r="AE17" i="37"/>
  <c r="AE66" i="37"/>
  <c r="Y17" i="37"/>
  <c r="AD17" i="37"/>
  <c r="AD66" i="37"/>
  <c r="X17" i="37"/>
  <c r="AC17" i="37"/>
  <c r="AC66" i="37"/>
  <c r="W17" i="37"/>
  <c r="AB17" i="37"/>
  <c r="AB66" i="37"/>
  <c r="V17" i="37"/>
  <c r="AA17" i="37"/>
  <c r="AA66" i="37"/>
  <c r="Z21" i="37"/>
  <c r="AE21" i="37"/>
  <c r="AE65" i="37"/>
  <c r="Y21" i="37"/>
  <c r="AD21" i="37"/>
  <c r="AD65" i="37"/>
  <c r="X21" i="37"/>
  <c r="AC21" i="37"/>
  <c r="AC65" i="37"/>
  <c r="W21" i="37"/>
  <c r="AB21" i="37"/>
  <c r="AB65" i="37"/>
  <c r="V21" i="37"/>
  <c r="AA21" i="37"/>
  <c r="AA65" i="37"/>
  <c r="Z25" i="37"/>
  <c r="AE25" i="37"/>
  <c r="AE64" i="37"/>
  <c r="Y25" i="37"/>
  <c r="AD25" i="37"/>
  <c r="AD64" i="37"/>
  <c r="X25" i="37"/>
  <c r="AC25" i="37"/>
  <c r="AC64" i="37"/>
  <c r="W25" i="37"/>
  <c r="AB25" i="37"/>
  <c r="AB64" i="37"/>
  <c r="V25" i="37"/>
  <c r="AA25" i="37"/>
  <c r="AA64" i="37"/>
  <c r="Z64" i="37"/>
  <c r="Z65" i="37"/>
  <c r="Z66" i="37"/>
  <c r="Z67" i="37"/>
  <c r="Z68" i="37"/>
  <c r="Z69" i="37"/>
  <c r="Z70" i="37"/>
  <c r="Z71" i="37"/>
  <c r="Z72" i="37"/>
  <c r="Z73" i="37"/>
  <c r="Z74" i="37"/>
  <c r="Z75" i="37"/>
  <c r="Z76" i="37"/>
  <c r="Z63" i="37"/>
  <c r="AE63" i="37"/>
  <c r="Y64" i="37"/>
  <c r="Y65" i="37"/>
  <c r="Y66" i="37"/>
  <c r="Y67" i="37"/>
  <c r="Y68" i="37"/>
  <c r="Y69" i="37"/>
  <c r="Y70" i="37"/>
  <c r="Y71" i="37"/>
  <c r="Y72" i="37"/>
  <c r="Y73" i="37"/>
  <c r="Y74" i="37"/>
  <c r="Y75" i="37"/>
  <c r="Y76" i="37"/>
  <c r="Y63" i="37"/>
  <c r="AD63" i="37"/>
  <c r="X64" i="37"/>
  <c r="X65" i="37"/>
  <c r="X66" i="37"/>
  <c r="X67" i="37"/>
  <c r="X68" i="37"/>
  <c r="X69" i="37"/>
  <c r="X70" i="37"/>
  <c r="X71" i="37"/>
  <c r="X72" i="37"/>
  <c r="X73" i="37"/>
  <c r="X74" i="37"/>
  <c r="X75" i="37"/>
  <c r="X76" i="37"/>
  <c r="X63" i="37"/>
  <c r="AC63" i="37"/>
  <c r="W64" i="37"/>
  <c r="W65" i="37"/>
  <c r="W66" i="37"/>
  <c r="W67" i="37"/>
  <c r="W68" i="37"/>
  <c r="W69" i="37"/>
  <c r="W70" i="37"/>
  <c r="W71" i="37"/>
  <c r="W72" i="37"/>
  <c r="W73" i="37"/>
  <c r="W74" i="37"/>
  <c r="W75" i="37"/>
  <c r="W76" i="37"/>
  <c r="W63" i="37"/>
  <c r="AB63" i="37"/>
  <c r="V64" i="37"/>
  <c r="V65" i="37"/>
  <c r="V66" i="37"/>
  <c r="V67" i="37"/>
  <c r="V68" i="37"/>
  <c r="V69" i="37"/>
  <c r="V70" i="37"/>
  <c r="V71" i="37"/>
  <c r="V72" i="37"/>
  <c r="V73" i="37"/>
  <c r="V74" i="37"/>
  <c r="V75" i="37"/>
  <c r="V76" i="37"/>
  <c r="V63" i="37"/>
  <c r="AA63" i="37"/>
  <c r="AE62" i="37"/>
  <c r="AD62" i="37"/>
  <c r="AC62" i="37"/>
  <c r="AB62" i="37"/>
  <c r="AA62" i="37"/>
  <c r="AE61" i="37"/>
  <c r="AD61" i="37"/>
  <c r="AC61" i="37"/>
  <c r="AB61" i="37"/>
  <c r="AA61" i="37"/>
  <c r="AE60" i="37"/>
  <c r="AD60" i="37"/>
  <c r="AC60" i="37"/>
  <c r="AB60" i="37"/>
  <c r="AA60" i="37"/>
  <c r="AE59" i="37"/>
  <c r="AD59" i="37"/>
  <c r="AC59" i="37"/>
  <c r="AB59" i="37"/>
  <c r="AA59" i="37"/>
  <c r="AE58" i="37"/>
  <c r="AD58" i="37"/>
  <c r="AC58" i="37"/>
  <c r="AB58" i="37"/>
  <c r="AA58" i="37"/>
  <c r="AE57" i="37"/>
  <c r="AD57" i="37"/>
  <c r="AC57" i="37"/>
  <c r="AB57" i="37"/>
  <c r="AA57" i="37"/>
  <c r="AE56" i="37"/>
  <c r="AD56" i="37"/>
  <c r="AC56" i="37"/>
  <c r="AB56" i="37"/>
  <c r="AA56" i="37"/>
  <c r="AE55" i="37"/>
  <c r="AD55" i="37"/>
  <c r="AC55" i="37"/>
  <c r="AB55" i="37"/>
  <c r="AA55" i="37"/>
  <c r="AE54" i="37"/>
  <c r="AD54" i="37"/>
  <c r="AC54" i="37"/>
  <c r="AB54" i="37"/>
  <c r="AA54" i="37"/>
  <c r="AE53" i="37"/>
  <c r="AD53" i="37"/>
  <c r="AC53" i="37"/>
  <c r="AB53" i="37"/>
  <c r="AA53" i="37"/>
  <c r="AE52" i="37"/>
  <c r="AD52" i="37"/>
  <c r="AC52" i="37"/>
  <c r="AB52" i="37"/>
  <c r="AA52" i="37"/>
  <c r="AE51" i="37"/>
  <c r="AD51" i="37"/>
  <c r="AC51" i="37"/>
  <c r="AB51" i="37"/>
  <c r="AA51" i="37"/>
  <c r="AE50" i="37"/>
  <c r="AD50" i="37"/>
  <c r="AC50" i="37"/>
  <c r="AB50" i="37"/>
  <c r="AA50" i="37"/>
  <c r="Z23" i="37"/>
  <c r="AE23" i="37"/>
  <c r="AE49" i="37"/>
  <c r="Y23" i="37"/>
  <c r="AD23" i="37"/>
  <c r="AD49" i="37"/>
  <c r="X23" i="37"/>
  <c r="AC23" i="37"/>
  <c r="AC49" i="37"/>
  <c r="W23" i="37"/>
  <c r="AB23" i="37"/>
  <c r="AB49" i="37"/>
  <c r="V23" i="37"/>
  <c r="AA23" i="37"/>
  <c r="AA49" i="37"/>
  <c r="Z49" i="37"/>
  <c r="Z50" i="37"/>
  <c r="Z51" i="37"/>
  <c r="Z52" i="37"/>
  <c r="Z53" i="37"/>
  <c r="Z54" i="37"/>
  <c r="Z55" i="37"/>
  <c r="Z56" i="37"/>
  <c r="Z57" i="37"/>
  <c r="Z58" i="37"/>
  <c r="Z59" i="37"/>
  <c r="Z60" i="37"/>
  <c r="Z61" i="37"/>
  <c r="Z62" i="37"/>
  <c r="Z48" i="37"/>
  <c r="AE48" i="37"/>
  <c r="Y49" i="37"/>
  <c r="Y50" i="37"/>
  <c r="Y51" i="37"/>
  <c r="Y52" i="37"/>
  <c r="Y53" i="37"/>
  <c r="Y54" i="37"/>
  <c r="Y55" i="37"/>
  <c r="Y56" i="37"/>
  <c r="Y57" i="37"/>
  <c r="Y58" i="37"/>
  <c r="Y59" i="37"/>
  <c r="Y60" i="37"/>
  <c r="Y61" i="37"/>
  <c r="Y62" i="37"/>
  <c r="Y48" i="37"/>
  <c r="AD48" i="37"/>
  <c r="X49" i="37"/>
  <c r="X50" i="37"/>
  <c r="X51" i="37"/>
  <c r="X52" i="37"/>
  <c r="X53" i="37"/>
  <c r="X54" i="37"/>
  <c r="X55" i="37"/>
  <c r="X56" i="37"/>
  <c r="X57" i="37"/>
  <c r="X58" i="37"/>
  <c r="X59" i="37"/>
  <c r="X60" i="37"/>
  <c r="X61" i="37"/>
  <c r="X62" i="37"/>
  <c r="X48" i="37"/>
  <c r="AC48" i="37"/>
  <c r="W49" i="37"/>
  <c r="W50" i="37"/>
  <c r="W51" i="37"/>
  <c r="W52" i="37"/>
  <c r="W53" i="37"/>
  <c r="W54" i="37"/>
  <c r="W55" i="37"/>
  <c r="W56" i="37"/>
  <c r="W57" i="37"/>
  <c r="W58" i="37"/>
  <c r="W59" i="37"/>
  <c r="W60" i="37"/>
  <c r="W61" i="37"/>
  <c r="W62" i="37"/>
  <c r="W48" i="37"/>
  <c r="AB48" i="37"/>
  <c r="V49" i="37"/>
  <c r="V50" i="37"/>
  <c r="V51" i="37"/>
  <c r="V52" i="37"/>
  <c r="V53" i="37"/>
  <c r="V54" i="37"/>
  <c r="V55" i="37"/>
  <c r="V56" i="37"/>
  <c r="V57" i="37"/>
  <c r="V58" i="37"/>
  <c r="V59" i="37"/>
  <c r="V60" i="37"/>
  <c r="V61" i="37"/>
  <c r="V62" i="37"/>
  <c r="V48" i="37"/>
  <c r="AA48" i="37"/>
  <c r="Z6" i="37"/>
  <c r="AE6" i="37"/>
  <c r="AE47" i="37"/>
  <c r="Y6" i="37"/>
  <c r="AD6" i="37"/>
  <c r="AD47" i="37"/>
  <c r="X6" i="37"/>
  <c r="AC6" i="37"/>
  <c r="AC47" i="37"/>
  <c r="W6" i="37"/>
  <c r="AB6" i="37"/>
  <c r="AB47" i="37"/>
  <c r="V6" i="37"/>
  <c r="AA6" i="37"/>
  <c r="AA47" i="37"/>
  <c r="Z10" i="37"/>
  <c r="AE10" i="37"/>
  <c r="AE46" i="37"/>
  <c r="Y10" i="37"/>
  <c r="AD10" i="37"/>
  <c r="AD46" i="37"/>
  <c r="X10" i="37"/>
  <c r="AC10" i="37"/>
  <c r="AC46" i="37"/>
  <c r="W10" i="37"/>
  <c r="AB10" i="37"/>
  <c r="AB46" i="37"/>
  <c r="V10" i="37"/>
  <c r="AA10" i="37"/>
  <c r="AA46" i="37"/>
  <c r="Z46" i="37"/>
  <c r="Z47" i="37"/>
  <c r="Z45" i="37"/>
  <c r="AE45" i="37"/>
  <c r="Y46" i="37"/>
  <c r="Y47" i="37"/>
  <c r="Y45" i="37"/>
  <c r="AD45" i="37"/>
  <c r="X46" i="37"/>
  <c r="X47" i="37"/>
  <c r="X45" i="37"/>
  <c r="AC45" i="37"/>
  <c r="W46" i="37"/>
  <c r="W47" i="37"/>
  <c r="W45" i="37"/>
  <c r="AB45" i="37"/>
  <c r="V46" i="37"/>
  <c r="V47" i="37"/>
  <c r="V45" i="37"/>
  <c r="AA45" i="37"/>
  <c r="Z15" i="37"/>
  <c r="AE15" i="37"/>
  <c r="AE44" i="37"/>
  <c r="Y15" i="37"/>
  <c r="AD15" i="37"/>
  <c r="AD44" i="37"/>
  <c r="X15" i="37"/>
  <c r="AC15" i="37"/>
  <c r="AC44" i="37"/>
  <c r="W15" i="37"/>
  <c r="AB15" i="37"/>
  <c r="AB44" i="37"/>
  <c r="V15" i="37"/>
  <c r="AA15" i="37"/>
  <c r="AA44" i="37"/>
  <c r="Z28" i="37"/>
  <c r="AE28" i="37"/>
  <c r="AE43" i="37"/>
  <c r="Y28" i="37"/>
  <c r="AD28" i="37"/>
  <c r="AD43" i="37"/>
  <c r="X28" i="37"/>
  <c r="AC28" i="37"/>
  <c r="AC43" i="37"/>
  <c r="W28" i="37"/>
  <c r="AB28" i="37"/>
  <c r="AB43" i="37"/>
  <c r="V28" i="37"/>
  <c r="AA28" i="37"/>
  <c r="AA43" i="37"/>
  <c r="Z19" i="37"/>
  <c r="AE19" i="37"/>
  <c r="AE42" i="37"/>
  <c r="Y19" i="37"/>
  <c r="AD19" i="37"/>
  <c r="AD42" i="37"/>
  <c r="X19" i="37"/>
  <c r="AC19" i="37"/>
  <c r="AC42" i="37"/>
  <c r="W19" i="37"/>
  <c r="AB19" i="37"/>
  <c r="AB42" i="37"/>
  <c r="V19" i="37"/>
  <c r="AA19" i="37"/>
  <c r="AA42" i="37"/>
  <c r="Z8" i="37"/>
  <c r="AE8" i="37"/>
  <c r="AE41" i="37"/>
  <c r="Y8" i="37"/>
  <c r="AD8" i="37"/>
  <c r="AD41" i="37"/>
  <c r="X8" i="37"/>
  <c r="AC8" i="37"/>
  <c r="AC41" i="37"/>
  <c r="W8" i="37"/>
  <c r="AB8" i="37"/>
  <c r="AB41" i="37"/>
  <c r="V8" i="37"/>
  <c r="AA8" i="37"/>
  <c r="AA41" i="37"/>
  <c r="Z4" i="37"/>
  <c r="AE4" i="37"/>
  <c r="AE40" i="37"/>
  <c r="Y4" i="37"/>
  <c r="AD4" i="37"/>
  <c r="AD40" i="37"/>
  <c r="X4" i="37"/>
  <c r="AC4" i="37"/>
  <c r="AC40" i="37"/>
  <c r="W4" i="37"/>
  <c r="AB4" i="37"/>
  <c r="AB40" i="37"/>
  <c r="V4" i="37"/>
  <c r="AA4" i="37"/>
  <c r="AA40" i="37"/>
  <c r="Z11" i="37"/>
  <c r="AE11" i="37"/>
  <c r="AE39" i="37"/>
  <c r="Y11" i="37"/>
  <c r="AD11" i="37"/>
  <c r="AD39" i="37"/>
  <c r="X11" i="37"/>
  <c r="AC11" i="37"/>
  <c r="AC39" i="37"/>
  <c r="W11" i="37"/>
  <c r="AB11" i="37"/>
  <c r="AB39" i="37"/>
  <c r="V11" i="37"/>
  <c r="AA11" i="37"/>
  <c r="AA39" i="37"/>
  <c r="Z2" i="37"/>
  <c r="AE2" i="37"/>
  <c r="AE38" i="37"/>
  <c r="Y2" i="37"/>
  <c r="AD2" i="37"/>
  <c r="AD38" i="37"/>
  <c r="X2" i="37"/>
  <c r="AC2" i="37"/>
  <c r="AC38" i="37"/>
  <c r="W2" i="37"/>
  <c r="AB2" i="37"/>
  <c r="AB38" i="37"/>
  <c r="V2" i="37"/>
  <c r="AA2" i="37"/>
  <c r="AA38" i="37"/>
  <c r="Z22" i="37"/>
  <c r="AE22" i="37"/>
  <c r="AE37" i="37"/>
  <c r="Y22" i="37"/>
  <c r="AD22" i="37"/>
  <c r="AD37" i="37"/>
  <c r="X22" i="37"/>
  <c r="AC22" i="37"/>
  <c r="AC37" i="37"/>
  <c r="W22" i="37"/>
  <c r="AB22" i="37"/>
  <c r="AB37" i="37"/>
  <c r="V22" i="37"/>
  <c r="AA22" i="37"/>
  <c r="AA37" i="37"/>
  <c r="Z26" i="37"/>
  <c r="AE26" i="37"/>
  <c r="AE36" i="37"/>
  <c r="Y26" i="37"/>
  <c r="AD26" i="37"/>
  <c r="AD36" i="37"/>
  <c r="X26" i="37"/>
  <c r="AC26" i="37"/>
  <c r="AC36" i="37"/>
  <c r="W26" i="37"/>
  <c r="AB26" i="37"/>
  <c r="AB36" i="37"/>
  <c r="V26" i="37"/>
  <c r="AA26" i="37"/>
  <c r="AA36" i="37"/>
  <c r="Z30" i="37"/>
  <c r="AE30" i="37"/>
  <c r="AE35" i="37"/>
  <c r="Y30" i="37"/>
  <c r="AD30" i="37"/>
  <c r="AD35" i="37"/>
  <c r="X30" i="37"/>
  <c r="AC30" i="37"/>
  <c r="AC35" i="37"/>
  <c r="W30" i="37"/>
  <c r="AB30" i="37"/>
  <c r="AB35" i="37"/>
  <c r="V30" i="37"/>
  <c r="AA30" i="37"/>
  <c r="AA35" i="37"/>
  <c r="Z14" i="37"/>
  <c r="AE14" i="37"/>
  <c r="AE34" i="37"/>
  <c r="Y14" i="37"/>
  <c r="AD14" i="37"/>
  <c r="AD34" i="37"/>
  <c r="X14" i="37"/>
  <c r="AC14" i="37"/>
  <c r="AC34" i="37"/>
  <c r="W14" i="37"/>
  <c r="AB14" i="37"/>
  <c r="AB34" i="37"/>
  <c r="V14" i="37"/>
  <c r="AA14" i="37"/>
  <c r="AA34" i="37"/>
  <c r="Z13" i="37"/>
  <c r="AE13" i="37"/>
  <c r="AE33" i="37"/>
  <c r="Y13" i="37"/>
  <c r="AD13" i="37"/>
  <c r="AD33" i="37"/>
  <c r="X13" i="37"/>
  <c r="AC13" i="37"/>
  <c r="AC33" i="37"/>
  <c r="W13" i="37"/>
  <c r="AB13" i="37"/>
  <c r="AB33" i="37"/>
  <c r="V13" i="37"/>
  <c r="AA13" i="37"/>
  <c r="AA33" i="37"/>
  <c r="Z3" i="37"/>
  <c r="AE3" i="37"/>
  <c r="AE32" i="37"/>
  <c r="Y3" i="37"/>
  <c r="AD3" i="37"/>
  <c r="AD32" i="37"/>
  <c r="X3" i="37"/>
  <c r="AC3" i="37"/>
  <c r="AC32" i="37"/>
  <c r="W3" i="37"/>
  <c r="AB3" i="37"/>
  <c r="AB32" i="37"/>
  <c r="V3" i="37"/>
  <c r="AA3" i="37"/>
  <c r="AA32" i="37"/>
  <c r="Z32" i="37"/>
  <c r="Z33" i="37"/>
  <c r="Z34" i="37"/>
  <c r="Z35" i="37"/>
  <c r="Z36" i="37"/>
  <c r="Z37" i="37"/>
  <c r="Z38" i="37"/>
  <c r="Z39" i="37"/>
  <c r="Z40" i="37"/>
  <c r="Z41" i="37"/>
  <c r="Z42" i="37"/>
  <c r="Z43" i="37"/>
  <c r="Z44" i="37"/>
  <c r="Z31" i="37"/>
  <c r="AE31" i="37"/>
  <c r="Y32" i="37"/>
  <c r="Y33" i="37"/>
  <c r="Y34" i="37"/>
  <c r="Y35" i="37"/>
  <c r="Y36" i="37"/>
  <c r="Y37" i="37"/>
  <c r="Y38" i="37"/>
  <c r="Y39" i="37"/>
  <c r="Y40" i="37"/>
  <c r="Y41" i="37"/>
  <c r="Y42" i="37"/>
  <c r="Y43" i="37"/>
  <c r="Y44" i="37"/>
  <c r="Y31" i="37"/>
  <c r="AD31" i="37"/>
  <c r="X32" i="37"/>
  <c r="X33" i="37"/>
  <c r="X34" i="37"/>
  <c r="X35" i="37"/>
  <c r="X36" i="37"/>
  <c r="X37" i="37"/>
  <c r="X38" i="37"/>
  <c r="X39" i="37"/>
  <c r="X40" i="37"/>
  <c r="X41" i="37"/>
  <c r="X42" i="37"/>
  <c r="X43" i="37"/>
  <c r="X44" i="37"/>
  <c r="X31" i="37"/>
  <c r="AC31" i="37"/>
  <c r="W32" i="37"/>
  <c r="W33" i="37"/>
  <c r="W34" i="37"/>
  <c r="W35" i="37"/>
  <c r="W36" i="37"/>
  <c r="W37" i="37"/>
  <c r="W38" i="37"/>
  <c r="W39" i="37"/>
  <c r="W40" i="37"/>
  <c r="W41" i="37"/>
  <c r="W42" i="37"/>
  <c r="W43" i="37"/>
  <c r="W44" i="37"/>
  <c r="W31" i="37"/>
  <c r="AB31" i="37"/>
  <c r="V32" i="37"/>
  <c r="V33" i="37"/>
  <c r="V34" i="37"/>
  <c r="V35" i="37"/>
  <c r="V36" i="37"/>
  <c r="V37" i="37"/>
  <c r="V38" i="37"/>
  <c r="V39" i="37"/>
  <c r="V40" i="37"/>
  <c r="V41" i="37"/>
  <c r="V42" i="37"/>
  <c r="V43" i="37"/>
  <c r="V44" i="37"/>
  <c r="V31" i="37"/>
  <c r="AA31" i="37"/>
  <c r="D27" i="37"/>
  <c r="I27" i="37"/>
  <c r="E27" i="37"/>
  <c r="J27" i="37"/>
  <c r="F27" i="37"/>
  <c r="K27" i="37"/>
  <c r="G27" i="37"/>
  <c r="L27" i="37"/>
  <c r="H27" i="37"/>
  <c r="M27" i="37"/>
  <c r="N27" i="37"/>
  <c r="O27" i="37"/>
  <c r="O76" i="37"/>
  <c r="D18" i="37"/>
  <c r="I18" i="37"/>
  <c r="E18" i="37"/>
  <c r="J18" i="37"/>
  <c r="F18" i="37"/>
  <c r="K18" i="37"/>
  <c r="G18" i="37"/>
  <c r="L18" i="37"/>
  <c r="H18" i="37"/>
  <c r="M18" i="37"/>
  <c r="N18" i="37"/>
  <c r="O18" i="37"/>
  <c r="O75" i="37"/>
  <c r="D12" i="37"/>
  <c r="I12" i="37"/>
  <c r="E12" i="37"/>
  <c r="J12" i="37"/>
  <c r="F12" i="37"/>
  <c r="K12" i="37"/>
  <c r="G12" i="37"/>
  <c r="L12" i="37"/>
  <c r="H12" i="37"/>
  <c r="M12" i="37"/>
  <c r="N12" i="37"/>
  <c r="O12" i="37"/>
  <c r="O74" i="37"/>
  <c r="D7" i="37"/>
  <c r="I7" i="37"/>
  <c r="E7" i="37"/>
  <c r="J7" i="37"/>
  <c r="F7" i="37"/>
  <c r="K7" i="37"/>
  <c r="G7" i="37"/>
  <c r="L7" i="37"/>
  <c r="H7" i="37"/>
  <c r="M7" i="37"/>
  <c r="N7" i="37"/>
  <c r="O7" i="37"/>
  <c r="O73" i="37"/>
  <c r="D16" i="37"/>
  <c r="I16" i="37"/>
  <c r="E16" i="37"/>
  <c r="J16" i="37"/>
  <c r="F16" i="37"/>
  <c r="K16" i="37"/>
  <c r="G16" i="37"/>
  <c r="L16" i="37"/>
  <c r="H16" i="37"/>
  <c r="M16" i="37"/>
  <c r="N16" i="37"/>
  <c r="O16" i="37"/>
  <c r="O72" i="37"/>
  <c r="D29" i="37"/>
  <c r="I29" i="37"/>
  <c r="E29" i="37"/>
  <c r="J29" i="37"/>
  <c r="F29" i="37"/>
  <c r="K29" i="37"/>
  <c r="G29" i="37"/>
  <c r="L29" i="37"/>
  <c r="H29" i="37"/>
  <c r="M29" i="37"/>
  <c r="N29" i="37"/>
  <c r="O29" i="37"/>
  <c r="O71" i="37"/>
  <c r="D20" i="37"/>
  <c r="I20" i="37"/>
  <c r="E20" i="37"/>
  <c r="J20" i="37"/>
  <c r="F20" i="37"/>
  <c r="K20" i="37"/>
  <c r="G20" i="37"/>
  <c r="L20" i="37"/>
  <c r="H20" i="37"/>
  <c r="M20" i="37"/>
  <c r="N20" i="37"/>
  <c r="O20" i="37"/>
  <c r="O70" i="37"/>
  <c r="D24" i="37"/>
  <c r="I24" i="37"/>
  <c r="E24" i="37"/>
  <c r="J24" i="37"/>
  <c r="F24" i="37"/>
  <c r="K24" i="37"/>
  <c r="G24" i="37"/>
  <c r="L24" i="37"/>
  <c r="H24" i="37"/>
  <c r="M24" i="37"/>
  <c r="N24" i="37"/>
  <c r="O24" i="37"/>
  <c r="O69" i="37"/>
  <c r="D9" i="37"/>
  <c r="I9" i="37"/>
  <c r="E9" i="37"/>
  <c r="J9" i="37"/>
  <c r="F9" i="37"/>
  <c r="K9" i="37"/>
  <c r="G9" i="37"/>
  <c r="L9" i="37"/>
  <c r="H9" i="37"/>
  <c r="M9" i="37"/>
  <c r="N9" i="37"/>
  <c r="O9" i="37"/>
  <c r="O68" i="37"/>
  <c r="D5" i="37"/>
  <c r="I5" i="37"/>
  <c r="E5" i="37"/>
  <c r="J5" i="37"/>
  <c r="F5" i="37"/>
  <c r="K5" i="37"/>
  <c r="G5" i="37"/>
  <c r="L5" i="37"/>
  <c r="H5" i="37"/>
  <c r="M5" i="37"/>
  <c r="N5" i="37"/>
  <c r="O5" i="37"/>
  <c r="O67" i="37"/>
  <c r="D17" i="37"/>
  <c r="I17" i="37"/>
  <c r="E17" i="37"/>
  <c r="J17" i="37"/>
  <c r="F17" i="37"/>
  <c r="K17" i="37"/>
  <c r="G17" i="37"/>
  <c r="L17" i="37"/>
  <c r="H17" i="37"/>
  <c r="M17" i="37"/>
  <c r="N17" i="37"/>
  <c r="O17" i="37"/>
  <c r="O66" i="37"/>
  <c r="D21" i="37"/>
  <c r="I21" i="37"/>
  <c r="E21" i="37"/>
  <c r="J21" i="37"/>
  <c r="F21" i="37"/>
  <c r="K21" i="37"/>
  <c r="G21" i="37"/>
  <c r="L21" i="37"/>
  <c r="H21" i="37"/>
  <c r="M21" i="37"/>
  <c r="N21" i="37"/>
  <c r="O21" i="37"/>
  <c r="O65" i="37"/>
  <c r="D25" i="37"/>
  <c r="I25" i="37"/>
  <c r="E25" i="37"/>
  <c r="J25" i="37"/>
  <c r="F25" i="37"/>
  <c r="K25" i="37"/>
  <c r="G25" i="37"/>
  <c r="L25" i="37"/>
  <c r="H25" i="37"/>
  <c r="M25" i="37"/>
  <c r="N25" i="37"/>
  <c r="O25" i="37"/>
  <c r="O64" i="37"/>
  <c r="N64" i="37"/>
  <c r="N65" i="37"/>
  <c r="N66" i="37"/>
  <c r="N67" i="37"/>
  <c r="N68" i="37"/>
  <c r="N69" i="37"/>
  <c r="N70" i="37"/>
  <c r="N71" i="37"/>
  <c r="N72" i="37"/>
  <c r="N73" i="37"/>
  <c r="N74" i="37"/>
  <c r="N75" i="37"/>
  <c r="N76" i="37"/>
  <c r="N63" i="37"/>
  <c r="O63" i="37"/>
  <c r="O62" i="37"/>
  <c r="O61" i="37"/>
  <c r="O60" i="37"/>
  <c r="O59" i="37"/>
  <c r="O58" i="37"/>
  <c r="O57" i="37"/>
  <c r="O56" i="37"/>
  <c r="O55" i="37"/>
  <c r="O54" i="37"/>
  <c r="O53" i="37"/>
  <c r="O52" i="37"/>
  <c r="O51" i="37"/>
  <c r="O50" i="37"/>
  <c r="D23" i="37"/>
  <c r="I23" i="37"/>
  <c r="E23" i="37"/>
  <c r="J23" i="37"/>
  <c r="F23" i="37"/>
  <c r="K23" i="37"/>
  <c r="G23" i="37"/>
  <c r="L23" i="37"/>
  <c r="H23" i="37"/>
  <c r="M23" i="37"/>
  <c r="N23" i="37"/>
  <c r="O23" i="37"/>
  <c r="O49" i="37"/>
  <c r="N49" i="37"/>
  <c r="N50" i="37"/>
  <c r="N51" i="37"/>
  <c r="N52" i="37"/>
  <c r="N53" i="37"/>
  <c r="N54" i="37"/>
  <c r="N55" i="37"/>
  <c r="N56" i="37"/>
  <c r="N57" i="37"/>
  <c r="N58" i="37"/>
  <c r="N59" i="37"/>
  <c r="N60" i="37"/>
  <c r="N61" i="37"/>
  <c r="N62" i="37"/>
  <c r="N48" i="37"/>
  <c r="O48" i="37"/>
  <c r="D6" i="37"/>
  <c r="I6" i="37"/>
  <c r="E6" i="37"/>
  <c r="J6" i="37"/>
  <c r="F6" i="37"/>
  <c r="K6" i="37"/>
  <c r="G6" i="37"/>
  <c r="L6" i="37"/>
  <c r="H6" i="37"/>
  <c r="M6" i="37"/>
  <c r="N6" i="37"/>
  <c r="O6" i="37"/>
  <c r="O47" i="37"/>
  <c r="D10" i="37"/>
  <c r="I10" i="37"/>
  <c r="E10" i="37"/>
  <c r="J10" i="37"/>
  <c r="F10" i="37"/>
  <c r="K10" i="37"/>
  <c r="G10" i="37"/>
  <c r="L10" i="37"/>
  <c r="H10" i="37"/>
  <c r="M10" i="37"/>
  <c r="N10" i="37"/>
  <c r="O10" i="37"/>
  <c r="O46" i="37"/>
  <c r="N46" i="37"/>
  <c r="N47" i="37"/>
  <c r="N45" i="37"/>
  <c r="O45" i="37"/>
  <c r="D15" i="37"/>
  <c r="I15" i="37"/>
  <c r="E15" i="37"/>
  <c r="J15" i="37"/>
  <c r="F15" i="37"/>
  <c r="K15" i="37"/>
  <c r="G15" i="37"/>
  <c r="L15" i="37"/>
  <c r="H15" i="37"/>
  <c r="M15" i="37"/>
  <c r="N15" i="37"/>
  <c r="O15" i="37"/>
  <c r="O44" i="37"/>
  <c r="D28" i="37"/>
  <c r="I28" i="37"/>
  <c r="E28" i="37"/>
  <c r="J28" i="37"/>
  <c r="F28" i="37"/>
  <c r="K28" i="37"/>
  <c r="G28" i="37"/>
  <c r="L28" i="37"/>
  <c r="H28" i="37"/>
  <c r="M28" i="37"/>
  <c r="N28" i="37"/>
  <c r="O28" i="37"/>
  <c r="O43" i="37"/>
  <c r="D19" i="37"/>
  <c r="I19" i="37"/>
  <c r="E19" i="37"/>
  <c r="J19" i="37"/>
  <c r="F19" i="37"/>
  <c r="K19" i="37"/>
  <c r="G19" i="37"/>
  <c r="L19" i="37"/>
  <c r="H19" i="37"/>
  <c r="M19" i="37"/>
  <c r="N19" i="37"/>
  <c r="O19" i="37"/>
  <c r="O42" i="37"/>
  <c r="D8" i="37"/>
  <c r="I8" i="37"/>
  <c r="E8" i="37"/>
  <c r="J8" i="37"/>
  <c r="F8" i="37"/>
  <c r="K8" i="37"/>
  <c r="G8" i="37"/>
  <c r="L8" i="37"/>
  <c r="H8" i="37"/>
  <c r="M8" i="37"/>
  <c r="N8" i="37"/>
  <c r="O8" i="37"/>
  <c r="O41" i="37"/>
  <c r="D4" i="37"/>
  <c r="I4" i="37"/>
  <c r="E4" i="37"/>
  <c r="J4" i="37"/>
  <c r="F4" i="37"/>
  <c r="K4" i="37"/>
  <c r="G4" i="37"/>
  <c r="L4" i="37"/>
  <c r="H4" i="37"/>
  <c r="M4" i="37"/>
  <c r="N4" i="37"/>
  <c r="O4" i="37"/>
  <c r="O40" i="37"/>
  <c r="D11" i="37"/>
  <c r="I11" i="37"/>
  <c r="E11" i="37"/>
  <c r="J11" i="37"/>
  <c r="F11" i="37"/>
  <c r="K11" i="37"/>
  <c r="G11" i="37"/>
  <c r="L11" i="37"/>
  <c r="H11" i="37"/>
  <c r="M11" i="37"/>
  <c r="N11" i="37"/>
  <c r="O11" i="37"/>
  <c r="O39" i="37"/>
  <c r="D2" i="37"/>
  <c r="I2" i="37"/>
  <c r="E2" i="37"/>
  <c r="J2" i="37"/>
  <c r="F2" i="37"/>
  <c r="K2" i="37"/>
  <c r="G2" i="37"/>
  <c r="L2" i="37"/>
  <c r="H2" i="37"/>
  <c r="M2" i="37"/>
  <c r="N2" i="37"/>
  <c r="O2" i="37"/>
  <c r="O38" i="37"/>
  <c r="D22" i="37"/>
  <c r="I22" i="37"/>
  <c r="E22" i="37"/>
  <c r="J22" i="37"/>
  <c r="F22" i="37"/>
  <c r="K22" i="37"/>
  <c r="G22" i="37"/>
  <c r="L22" i="37"/>
  <c r="H22" i="37"/>
  <c r="M22" i="37"/>
  <c r="N22" i="37"/>
  <c r="O22" i="37"/>
  <c r="O37" i="37"/>
  <c r="D26" i="37"/>
  <c r="I26" i="37"/>
  <c r="E26" i="37"/>
  <c r="J26" i="37"/>
  <c r="F26" i="37"/>
  <c r="K26" i="37"/>
  <c r="G26" i="37"/>
  <c r="L26" i="37"/>
  <c r="H26" i="37"/>
  <c r="M26" i="37"/>
  <c r="N26" i="37"/>
  <c r="O26" i="37"/>
  <c r="O36" i="37"/>
  <c r="D30" i="37"/>
  <c r="I30" i="37"/>
  <c r="E30" i="37"/>
  <c r="J30" i="37"/>
  <c r="F30" i="37"/>
  <c r="K30" i="37"/>
  <c r="G30" i="37"/>
  <c r="L30" i="37"/>
  <c r="H30" i="37"/>
  <c r="M30" i="37"/>
  <c r="N30" i="37"/>
  <c r="O30" i="37"/>
  <c r="O35" i="37"/>
  <c r="D14" i="37"/>
  <c r="I14" i="37"/>
  <c r="E14" i="37"/>
  <c r="J14" i="37"/>
  <c r="F14" i="37"/>
  <c r="K14" i="37"/>
  <c r="G14" i="37"/>
  <c r="L14" i="37"/>
  <c r="H14" i="37"/>
  <c r="M14" i="37"/>
  <c r="N14" i="37"/>
  <c r="O14" i="37"/>
  <c r="O34" i="37"/>
  <c r="D13" i="37"/>
  <c r="I13" i="37"/>
  <c r="E13" i="37"/>
  <c r="J13" i="37"/>
  <c r="F13" i="37"/>
  <c r="K13" i="37"/>
  <c r="G13" i="37"/>
  <c r="L13" i="37"/>
  <c r="H13" i="37"/>
  <c r="M13" i="37"/>
  <c r="N13" i="37"/>
  <c r="O13" i="37"/>
  <c r="O33" i="37"/>
  <c r="D3" i="37"/>
  <c r="I3" i="37"/>
  <c r="E3" i="37"/>
  <c r="J3" i="37"/>
  <c r="F3" i="37"/>
  <c r="K3" i="37"/>
  <c r="G3" i="37"/>
  <c r="L3" i="37"/>
  <c r="H3" i="37"/>
  <c r="M3" i="37"/>
  <c r="N3" i="37"/>
  <c r="O3" i="37"/>
  <c r="O32" i="37"/>
  <c r="N32" i="37"/>
  <c r="N33" i="37"/>
  <c r="N34" i="37"/>
  <c r="N35" i="37"/>
  <c r="N36" i="37"/>
  <c r="N37" i="37"/>
  <c r="N38" i="37"/>
  <c r="N39" i="37"/>
  <c r="N40" i="37"/>
  <c r="N41" i="37"/>
  <c r="N42" i="37"/>
  <c r="N43" i="37"/>
  <c r="N44" i="37"/>
  <c r="N31" i="37"/>
  <c r="O31" i="37"/>
  <c r="AC63" i="18"/>
  <c r="AC48" i="18"/>
  <c r="AC45" i="18"/>
  <c r="AC31" i="18"/>
  <c r="AC30" i="18"/>
  <c r="AC29" i="18"/>
  <c r="AC28" i="18"/>
  <c r="AC27" i="18"/>
  <c r="AC26" i="18"/>
  <c r="AC25" i="18"/>
  <c r="AC24" i="18"/>
  <c r="AC23" i="18"/>
  <c r="AC22" i="18"/>
  <c r="AC21" i="18"/>
  <c r="AC20" i="18"/>
  <c r="AC19" i="18"/>
  <c r="AC18" i="18"/>
  <c r="AC17" i="18"/>
  <c r="AC16" i="18"/>
  <c r="AC15" i="18"/>
  <c r="AC14" i="18"/>
  <c r="AC13" i="18"/>
  <c r="AC12" i="18"/>
  <c r="AC11" i="18"/>
  <c r="AC10" i="18"/>
  <c r="AC9" i="18"/>
  <c r="AC8" i="18"/>
  <c r="AC7" i="18"/>
  <c r="AC6" i="18"/>
  <c r="AC5" i="18"/>
  <c r="AC4" i="18"/>
  <c r="AC3" i="18"/>
  <c r="AC2" i="18"/>
  <c r="EH27" i="18"/>
  <c r="EI27" i="18"/>
  <c r="EJ27" i="18"/>
  <c r="EK27" i="18"/>
  <c r="EK76" i="18"/>
  <c r="EH18" i="18"/>
  <c r="EI18" i="18"/>
  <c r="EJ18" i="18"/>
  <c r="EK18" i="18"/>
  <c r="EK75" i="18"/>
  <c r="EH12" i="18"/>
  <c r="EI12" i="18"/>
  <c r="EJ12" i="18"/>
  <c r="EK12" i="18"/>
  <c r="EK74" i="18"/>
  <c r="EH7" i="18"/>
  <c r="EI7" i="18"/>
  <c r="EJ7" i="18"/>
  <c r="EK7" i="18"/>
  <c r="EK73" i="18"/>
  <c r="EH16" i="18"/>
  <c r="EI16" i="18"/>
  <c r="EJ16" i="18"/>
  <c r="EK16" i="18"/>
  <c r="EK72" i="18"/>
  <c r="EH29" i="18"/>
  <c r="EI29" i="18"/>
  <c r="EJ29" i="18"/>
  <c r="EK29" i="18"/>
  <c r="EK71" i="18"/>
  <c r="EH20" i="18"/>
  <c r="EI20" i="18"/>
  <c r="EJ20" i="18"/>
  <c r="EK20" i="18"/>
  <c r="EK70" i="18"/>
  <c r="EH24" i="18"/>
  <c r="EI24" i="18"/>
  <c r="EJ24" i="18"/>
  <c r="EK24" i="18"/>
  <c r="EK69" i="18"/>
  <c r="EH9" i="18"/>
  <c r="EI9" i="18"/>
  <c r="EJ9" i="18"/>
  <c r="EK9" i="18"/>
  <c r="EK68" i="18"/>
  <c r="EH5" i="18"/>
  <c r="EI5" i="18"/>
  <c r="EJ5" i="18"/>
  <c r="EK5" i="18"/>
  <c r="EK67" i="18"/>
  <c r="EH17" i="18"/>
  <c r="EI17" i="18"/>
  <c r="EJ17" i="18"/>
  <c r="EK17" i="18"/>
  <c r="EK66" i="18"/>
  <c r="EH21" i="18"/>
  <c r="EI21" i="18"/>
  <c r="EJ21" i="18"/>
  <c r="EK21" i="18"/>
  <c r="EK65" i="18"/>
  <c r="EH25" i="18"/>
  <c r="EI25" i="18"/>
  <c r="EJ25" i="18"/>
  <c r="EK25" i="18"/>
  <c r="EK64" i="18"/>
  <c r="EJ64" i="18"/>
  <c r="EJ65" i="18"/>
  <c r="EJ66" i="18"/>
  <c r="EJ67" i="18"/>
  <c r="EJ68" i="18"/>
  <c r="EJ69" i="18"/>
  <c r="EJ70" i="18"/>
  <c r="EJ71" i="18"/>
  <c r="EJ72" i="18"/>
  <c r="EJ73" i="18"/>
  <c r="EJ74" i="18"/>
  <c r="EJ75" i="18"/>
  <c r="EJ76" i="18"/>
  <c r="EJ63" i="18"/>
  <c r="EK63" i="18"/>
  <c r="EK62" i="18"/>
  <c r="EK61" i="18"/>
  <c r="EK60" i="18"/>
  <c r="EK59" i="18"/>
  <c r="EK58" i="18"/>
  <c r="EK57" i="18"/>
  <c r="EK56" i="18"/>
  <c r="EK55" i="18"/>
  <c r="EK54" i="18"/>
  <c r="EK53" i="18"/>
  <c r="EK52" i="18"/>
  <c r="EK51" i="18"/>
  <c r="EK50" i="18"/>
  <c r="EH23" i="18"/>
  <c r="EI23" i="18"/>
  <c r="EJ23" i="18"/>
  <c r="EK23" i="18"/>
  <c r="EK49" i="18"/>
  <c r="EJ49" i="18"/>
  <c r="EJ50" i="18"/>
  <c r="EJ51" i="18"/>
  <c r="EJ52" i="18"/>
  <c r="EJ53" i="18"/>
  <c r="EJ54" i="18"/>
  <c r="EJ55" i="18"/>
  <c r="EJ56" i="18"/>
  <c r="EJ57" i="18"/>
  <c r="EJ58" i="18"/>
  <c r="EJ59" i="18"/>
  <c r="EJ60" i="18"/>
  <c r="EJ61" i="18"/>
  <c r="EJ62" i="18"/>
  <c r="EJ48" i="18"/>
  <c r="EK48" i="18"/>
  <c r="EH6" i="18"/>
  <c r="EI6" i="18"/>
  <c r="EJ6" i="18"/>
  <c r="EK6" i="18"/>
  <c r="EK47" i="18"/>
  <c r="EH10" i="18"/>
  <c r="EI10" i="18"/>
  <c r="EJ10" i="18"/>
  <c r="EK10" i="18"/>
  <c r="EK46" i="18"/>
  <c r="EJ46" i="18"/>
  <c r="EJ47" i="18"/>
  <c r="EJ45" i="18"/>
  <c r="EK45" i="18"/>
  <c r="EH15" i="18"/>
  <c r="EI15" i="18"/>
  <c r="EJ15" i="18"/>
  <c r="EK15" i="18"/>
  <c r="EK44" i="18"/>
  <c r="EH28" i="18"/>
  <c r="EI28" i="18"/>
  <c r="EJ28" i="18"/>
  <c r="EK28" i="18"/>
  <c r="EK43" i="18"/>
  <c r="EH19" i="18"/>
  <c r="EI19" i="18"/>
  <c r="EJ19" i="18"/>
  <c r="EK19" i="18"/>
  <c r="EK42" i="18"/>
  <c r="EH8" i="18"/>
  <c r="EI8" i="18"/>
  <c r="EJ8" i="18"/>
  <c r="EK8" i="18"/>
  <c r="EK41" i="18"/>
  <c r="EH4" i="18"/>
  <c r="EI4" i="18"/>
  <c r="EJ4" i="18"/>
  <c r="EK4" i="18"/>
  <c r="EK40" i="18"/>
  <c r="EH11" i="18"/>
  <c r="EI11" i="18"/>
  <c r="EJ11" i="18"/>
  <c r="EK11" i="18"/>
  <c r="EK39" i="18"/>
  <c r="EH2" i="18"/>
  <c r="EI2" i="18"/>
  <c r="EJ2" i="18"/>
  <c r="EK2" i="18"/>
  <c r="EK38" i="18"/>
  <c r="EH22" i="18"/>
  <c r="EI22" i="18"/>
  <c r="EJ22" i="18"/>
  <c r="EK22" i="18"/>
  <c r="EK37" i="18"/>
  <c r="EH26" i="18"/>
  <c r="EI26" i="18"/>
  <c r="EJ26" i="18"/>
  <c r="EK26" i="18"/>
  <c r="EK36" i="18"/>
  <c r="EH30" i="18"/>
  <c r="EI30" i="18"/>
  <c r="EJ30" i="18"/>
  <c r="EK30" i="18"/>
  <c r="EK35" i="18"/>
  <c r="EH14" i="18"/>
  <c r="EI14" i="18"/>
  <c r="EJ14" i="18"/>
  <c r="EK14" i="18"/>
  <c r="EK34" i="18"/>
  <c r="EH13" i="18"/>
  <c r="EI13" i="18"/>
  <c r="EJ13" i="18"/>
  <c r="EK13" i="18"/>
  <c r="EK33" i="18"/>
  <c r="EH3" i="18"/>
  <c r="EI3" i="18"/>
  <c r="EJ3" i="18"/>
  <c r="EK3" i="18"/>
  <c r="EK32" i="18"/>
  <c r="EJ32" i="18"/>
  <c r="EJ33" i="18"/>
  <c r="EJ34" i="18"/>
  <c r="EJ35" i="18"/>
  <c r="EJ36" i="18"/>
  <c r="EJ37" i="18"/>
  <c r="EJ38" i="18"/>
  <c r="EJ39" i="18"/>
  <c r="EJ40" i="18"/>
  <c r="EJ41" i="18"/>
  <c r="EJ42" i="18"/>
  <c r="EJ43" i="18"/>
  <c r="EJ44" i="18"/>
  <c r="EJ31" i="18"/>
  <c r="EK31" i="18"/>
  <c r="CL27" i="18"/>
  <c r="DA27" i="18"/>
  <c r="CM27" i="18"/>
  <c r="DB27" i="18"/>
  <c r="CN27" i="18"/>
  <c r="DC27" i="18"/>
  <c r="CO27" i="18"/>
  <c r="DD27" i="18"/>
  <c r="J27" i="18"/>
  <c r="CP27" i="18"/>
  <c r="DE27" i="18"/>
  <c r="K27" i="18"/>
  <c r="CQ27" i="18"/>
  <c r="DF27" i="18"/>
  <c r="G27" i="18"/>
  <c r="CR27" i="18"/>
  <c r="DG27" i="18"/>
  <c r="H27" i="18"/>
  <c r="CS27" i="18"/>
  <c r="DH27" i="18"/>
  <c r="I27" i="18"/>
  <c r="CT27" i="18"/>
  <c r="DI27" i="18"/>
  <c r="E27" i="18"/>
  <c r="CU27" i="18"/>
  <c r="DJ27" i="18"/>
  <c r="F27" i="18"/>
  <c r="CV27" i="18"/>
  <c r="DK27" i="18"/>
  <c r="L27" i="18"/>
  <c r="CW27" i="18"/>
  <c r="DL27" i="18"/>
  <c r="N27" i="18"/>
  <c r="CX27" i="18"/>
  <c r="DM27" i="18"/>
  <c r="M27" i="18"/>
  <c r="CY27" i="18"/>
  <c r="DN27" i="18"/>
  <c r="O27" i="18"/>
  <c r="CZ27" i="18"/>
  <c r="DO27" i="18"/>
  <c r="DP27" i="18"/>
  <c r="DQ27" i="18"/>
  <c r="DQ76" i="18"/>
  <c r="CL18" i="18"/>
  <c r="DA18" i="18"/>
  <c r="CM18" i="18"/>
  <c r="DB18" i="18"/>
  <c r="CN18" i="18"/>
  <c r="DC18" i="18"/>
  <c r="CO18" i="18"/>
  <c r="DD18" i="18"/>
  <c r="J18" i="18"/>
  <c r="CP18" i="18"/>
  <c r="DE18" i="18"/>
  <c r="K18" i="18"/>
  <c r="CQ18" i="18"/>
  <c r="DF18" i="18"/>
  <c r="G18" i="18"/>
  <c r="CR18" i="18"/>
  <c r="DG18" i="18"/>
  <c r="H18" i="18"/>
  <c r="CS18" i="18"/>
  <c r="DH18" i="18"/>
  <c r="I18" i="18"/>
  <c r="CT18" i="18"/>
  <c r="DI18" i="18"/>
  <c r="E18" i="18"/>
  <c r="CU18" i="18"/>
  <c r="DJ18" i="18"/>
  <c r="F18" i="18"/>
  <c r="CV18" i="18"/>
  <c r="DK18" i="18"/>
  <c r="L18" i="18"/>
  <c r="CW18" i="18"/>
  <c r="DL18" i="18"/>
  <c r="N18" i="18"/>
  <c r="CX18" i="18"/>
  <c r="DM18" i="18"/>
  <c r="M18" i="18"/>
  <c r="CY18" i="18"/>
  <c r="DN18" i="18"/>
  <c r="O18" i="18"/>
  <c r="CZ18" i="18"/>
  <c r="DO18" i="18"/>
  <c r="DP18" i="18"/>
  <c r="DQ18" i="18"/>
  <c r="DQ75" i="18"/>
  <c r="CL12" i="18"/>
  <c r="DA12" i="18"/>
  <c r="CM12" i="18"/>
  <c r="DB12" i="18"/>
  <c r="CN12" i="18"/>
  <c r="DC12" i="18"/>
  <c r="CO12" i="18"/>
  <c r="DD12" i="18"/>
  <c r="J12" i="18"/>
  <c r="CP12" i="18"/>
  <c r="DE12" i="18"/>
  <c r="K12" i="18"/>
  <c r="CQ12" i="18"/>
  <c r="DF12" i="18"/>
  <c r="G12" i="18"/>
  <c r="CR12" i="18"/>
  <c r="DG12" i="18"/>
  <c r="H12" i="18"/>
  <c r="CS12" i="18"/>
  <c r="DH12" i="18"/>
  <c r="I12" i="18"/>
  <c r="CT12" i="18"/>
  <c r="DI12" i="18"/>
  <c r="E12" i="18"/>
  <c r="CU12" i="18"/>
  <c r="DJ12" i="18"/>
  <c r="F12" i="18"/>
  <c r="CV12" i="18"/>
  <c r="DK12" i="18"/>
  <c r="L12" i="18"/>
  <c r="CW12" i="18"/>
  <c r="DL12" i="18"/>
  <c r="N12" i="18"/>
  <c r="CX12" i="18"/>
  <c r="DM12" i="18"/>
  <c r="M12" i="18"/>
  <c r="CY12" i="18"/>
  <c r="DN12" i="18"/>
  <c r="O12" i="18"/>
  <c r="CZ12" i="18"/>
  <c r="DO12" i="18"/>
  <c r="DP12" i="18"/>
  <c r="DQ12" i="18"/>
  <c r="DQ74" i="18"/>
  <c r="CL7" i="18"/>
  <c r="DA7" i="18"/>
  <c r="CM7" i="18"/>
  <c r="DB7" i="18"/>
  <c r="CN7" i="18"/>
  <c r="DC7" i="18"/>
  <c r="CO7" i="18"/>
  <c r="DD7" i="18"/>
  <c r="J7" i="18"/>
  <c r="CP7" i="18"/>
  <c r="DE7" i="18"/>
  <c r="K7" i="18"/>
  <c r="CQ7" i="18"/>
  <c r="DF7" i="18"/>
  <c r="G7" i="18"/>
  <c r="CR7" i="18"/>
  <c r="DG7" i="18"/>
  <c r="H7" i="18"/>
  <c r="CS7" i="18"/>
  <c r="DH7" i="18"/>
  <c r="I7" i="18"/>
  <c r="CT7" i="18"/>
  <c r="DI7" i="18"/>
  <c r="E7" i="18"/>
  <c r="CU7" i="18"/>
  <c r="DJ7" i="18"/>
  <c r="F7" i="18"/>
  <c r="CV7" i="18"/>
  <c r="DK7" i="18"/>
  <c r="L7" i="18"/>
  <c r="CW7" i="18"/>
  <c r="DL7" i="18"/>
  <c r="N7" i="18"/>
  <c r="CX7" i="18"/>
  <c r="DM7" i="18"/>
  <c r="M7" i="18"/>
  <c r="CY7" i="18"/>
  <c r="DN7" i="18"/>
  <c r="O7" i="18"/>
  <c r="CZ7" i="18"/>
  <c r="DO7" i="18"/>
  <c r="DP7" i="18"/>
  <c r="DQ7" i="18"/>
  <c r="DQ73" i="18"/>
  <c r="CL16" i="18"/>
  <c r="DA16" i="18"/>
  <c r="CM16" i="18"/>
  <c r="DB16" i="18"/>
  <c r="CN16" i="18"/>
  <c r="DC16" i="18"/>
  <c r="CO16" i="18"/>
  <c r="DD16" i="18"/>
  <c r="J16" i="18"/>
  <c r="CP16" i="18"/>
  <c r="DE16" i="18"/>
  <c r="K16" i="18"/>
  <c r="CQ16" i="18"/>
  <c r="DF16" i="18"/>
  <c r="G16" i="18"/>
  <c r="CR16" i="18"/>
  <c r="DG16" i="18"/>
  <c r="H16" i="18"/>
  <c r="CS16" i="18"/>
  <c r="DH16" i="18"/>
  <c r="I16" i="18"/>
  <c r="CT16" i="18"/>
  <c r="DI16" i="18"/>
  <c r="E16" i="18"/>
  <c r="CU16" i="18"/>
  <c r="DJ16" i="18"/>
  <c r="F16" i="18"/>
  <c r="CV16" i="18"/>
  <c r="DK16" i="18"/>
  <c r="L16" i="18"/>
  <c r="CW16" i="18"/>
  <c r="DL16" i="18"/>
  <c r="N16" i="18"/>
  <c r="CX16" i="18"/>
  <c r="DM16" i="18"/>
  <c r="M16" i="18"/>
  <c r="CY16" i="18"/>
  <c r="DN16" i="18"/>
  <c r="O16" i="18"/>
  <c r="CZ16" i="18"/>
  <c r="DO16" i="18"/>
  <c r="DP16" i="18"/>
  <c r="DQ16" i="18"/>
  <c r="DQ72" i="18"/>
  <c r="CL29" i="18"/>
  <c r="DA29" i="18"/>
  <c r="CM29" i="18"/>
  <c r="DB29" i="18"/>
  <c r="CN29" i="18"/>
  <c r="DC29" i="18"/>
  <c r="CO29" i="18"/>
  <c r="DD29" i="18"/>
  <c r="J29" i="18"/>
  <c r="CP29" i="18"/>
  <c r="DE29" i="18"/>
  <c r="K29" i="18"/>
  <c r="CQ29" i="18"/>
  <c r="DF29" i="18"/>
  <c r="G29" i="18"/>
  <c r="CR29" i="18"/>
  <c r="DG29" i="18"/>
  <c r="H29" i="18"/>
  <c r="CS29" i="18"/>
  <c r="DH29" i="18"/>
  <c r="I29" i="18"/>
  <c r="CT29" i="18"/>
  <c r="DI29" i="18"/>
  <c r="E29" i="18"/>
  <c r="CU29" i="18"/>
  <c r="DJ29" i="18"/>
  <c r="F29" i="18"/>
  <c r="CV29" i="18"/>
  <c r="DK29" i="18"/>
  <c r="L29" i="18"/>
  <c r="CW29" i="18"/>
  <c r="DL29" i="18"/>
  <c r="N29" i="18"/>
  <c r="CX29" i="18"/>
  <c r="DM29" i="18"/>
  <c r="M29" i="18"/>
  <c r="CY29" i="18"/>
  <c r="DN29" i="18"/>
  <c r="O29" i="18"/>
  <c r="CZ29" i="18"/>
  <c r="DO29" i="18"/>
  <c r="DP29" i="18"/>
  <c r="DQ29" i="18"/>
  <c r="DQ71" i="18"/>
  <c r="CL20" i="18"/>
  <c r="DA20" i="18"/>
  <c r="CM20" i="18"/>
  <c r="DB20" i="18"/>
  <c r="CN20" i="18"/>
  <c r="DC20" i="18"/>
  <c r="CO20" i="18"/>
  <c r="DD20" i="18"/>
  <c r="J20" i="18"/>
  <c r="CP20" i="18"/>
  <c r="DE20" i="18"/>
  <c r="K20" i="18"/>
  <c r="CQ20" i="18"/>
  <c r="DF20" i="18"/>
  <c r="G20" i="18"/>
  <c r="CR20" i="18"/>
  <c r="DG20" i="18"/>
  <c r="H20" i="18"/>
  <c r="CS20" i="18"/>
  <c r="DH20" i="18"/>
  <c r="I20" i="18"/>
  <c r="CT20" i="18"/>
  <c r="DI20" i="18"/>
  <c r="E20" i="18"/>
  <c r="CU20" i="18"/>
  <c r="DJ20" i="18"/>
  <c r="F20" i="18"/>
  <c r="CV20" i="18"/>
  <c r="DK20" i="18"/>
  <c r="L20" i="18"/>
  <c r="CW20" i="18"/>
  <c r="DL20" i="18"/>
  <c r="N20" i="18"/>
  <c r="CX20" i="18"/>
  <c r="DM20" i="18"/>
  <c r="M20" i="18"/>
  <c r="CY20" i="18"/>
  <c r="DN20" i="18"/>
  <c r="O20" i="18"/>
  <c r="CZ20" i="18"/>
  <c r="DO20" i="18"/>
  <c r="DP20" i="18"/>
  <c r="DQ20" i="18"/>
  <c r="DQ70" i="18"/>
  <c r="CL24" i="18"/>
  <c r="DA24" i="18"/>
  <c r="CM24" i="18"/>
  <c r="DB24" i="18"/>
  <c r="CN24" i="18"/>
  <c r="DC24" i="18"/>
  <c r="CO24" i="18"/>
  <c r="DD24" i="18"/>
  <c r="J24" i="18"/>
  <c r="CP24" i="18"/>
  <c r="DE24" i="18"/>
  <c r="K24" i="18"/>
  <c r="CQ24" i="18"/>
  <c r="DF24" i="18"/>
  <c r="G24" i="18"/>
  <c r="CR24" i="18"/>
  <c r="DG24" i="18"/>
  <c r="H24" i="18"/>
  <c r="CS24" i="18"/>
  <c r="DH24" i="18"/>
  <c r="I24" i="18"/>
  <c r="CT24" i="18"/>
  <c r="DI24" i="18"/>
  <c r="E24" i="18"/>
  <c r="CU24" i="18"/>
  <c r="DJ24" i="18"/>
  <c r="F24" i="18"/>
  <c r="CV24" i="18"/>
  <c r="DK24" i="18"/>
  <c r="L24" i="18"/>
  <c r="CW24" i="18"/>
  <c r="DL24" i="18"/>
  <c r="N24" i="18"/>
  <c r="CX24" i="18"/>
  <c r="DM24" i="18"/>
  <c r="M24" i="18"/>
  <c r="CY24" i="18"/>
  <c r="DN24" i="18"/>
  <c r="O24" i="18"/>
  <c r="CZ24" i="18"/>
  <c r="DO24" i="18"/>
  <c r="DP24" i="18"/>
  <c r="DQ24" i="18"/>
  <c r="DQ69" i="18"/>
  <c r="CL9" i="18"/>
  <c r="DA9" i="18"/>
  <c r="CM9" i="18"/>
  <c r="DB9" i="18"/>
  <c r="CN9" i="18"/>
  <c r="DC9" i="18"/>
  <c r="CO9" i="18"/>
  <c r="DD9" i="18"/>
  <c r="J9" i="18"/>
  <c r="CP9" i="18"/>
  <c r="DE9" i="18"/>
  <c r="K9" i="18"/>
  <c r="CQ9" i="18"/>
  <c r="DF9" i="18"/>
  <c r="G9" i="18"/>
  <c r="CR9" i="18"/>
  <c r="DG9" i="18"/>
  <c r="H9" i="18"/>
  <c r="CS9" i="18"/>
  <c r="DH9" i="18"/>
  <c r="I9" i="18"/>
  <c r="CT9" i="18"/>
  <c r="DI9" i="18"/>
  <c r="E9" i="18"/>
  <c r="CU9" i="18"/>
  <c r="DJ9" i="18"/>
  <c r="F9" i="18"/>
  <c r="CV9" i="18"/>
  <c r="DK9" i="18"/>
  <c r="L9" i="18"/>
  <c r="CW9" i="18"/>
  <c r="DL9" i="18"/>
  <c r="N9" i="18"/>
  <c r="CX9" i="18"/>
  <c r="DM9" i="18"/>
  <c r="M9" i="18"/>
  <c r="CY9" i="18"/>
  <c r="DN9" i="18"/>
  <c r="O9" i="18"/>
  <c r="CZ9" i="18"/>
  <c r="DO9" i="18"/>
  <c r="DP9" i="18"/>
  <c r="DQ9" i="18"/>
  <c r="DQ68" i="18"/>
  <c r="CL5" i="18"/>
  <c r="DA5" i="18"/>
  <c r="CM5" i="18"/>
  <c r="DB5" i="18"/>
  <c r="CN5" i="18"/>
  <c r="DC5" i="18"/>
  <c r="CO5" i="18"/>
  <c r="DD5" i="18"/>
  <c r="J5" i="18"/>
  <c r="CP5" i="18"/>
  <c r="DE5" i="18"/>
  <c r="K5" i="18"/>
  <c r="CQ5" i="18"/>
  <c r="DF5" i="18"/>
  <c r="G5" i="18"/>
  <c r="CR5" i="18"/>
  <c r="DG5" i="18"/>
  <c r="H5" i="18"/>
  <c r="CS5" i="18"/>
  <c r="DH5" i="18"/>
  <c r="I5" i="18"/>
  <c r="CT5" i="18"/>
  <c r="DI5" i="18"/>
  <c r="E5" i="18"/>
  <c r="CU5" i="18"/>
  <c r="DJ5" i="18"/>
  <c r="F5" i="18"/>
  <c r="CV5" i="18"/>
  <c r="DK5" i="18"/>
  <c r="L5" i="18"/>
  <c r="CW5" i="18"/>
  <c r="DL5" i="18"/>
  <c r="N5" i="18"/>
  <c r="CX5" i="18"/>
  <c r="DM5" i="18"/>
  <c r="M5" i="18"/>
  <c r="CY5" i="18"/>
  <c r="DN5" i="18"/>
  <c r="O5" i="18"/>
  <c r="CZ5" i="18"/>
  <c r="DO5" i="18"/>
  <c r="DP5" i="18"/>
  <c r="DQ5" i="18"/>
  <c r="DQ67" i="18"/>
  <c r="CL17" i="18"/>
  <c r="DA17" i="18"/>
  <c r="CM17" i="18"/>
  <c r="DB17" i="18"/>
  <c r="CN17" i="18"/>
  <c r="DC17" i="18"/>
  <c r="CO17" i="18"/>
  <c r="DD17" i="18"/>
  <c r="J17" i="18"/>
  <c r="CP17" i="18"/>
  <c r="DE17" i="18"/>
  <c r="K17" i="18"/>
  <c r="CQ17" i="18"/>
  <c r="DF17" i="18"/>
  <c r="G17" i="18"/>
  <c r="CR17" i="18"/>
  <c r="DG17" i="18"/>
  <c r="H17" i="18"/>
  <c r="CS17" i="18"/>
  <c r="DH17" i="18"/>
  <c r="I17" i="18"/>
  <c r="CT17" i="18"/>
  <c r="DI17" i="18"/>
  <c r="E17" i="18"/>
  <c r="CU17" i="18"/>
  <c r="DJ17" i="18"/>
  <c r="F17" i="18"/>
  <c r="CV17" i="18"/>
  <c r="DK17" i="18"/>
  <c r="L17" i="18"/>
  <c r="CW17" i="18"/>
  <c r="DL17" i="18"/>
  <c r="N17" i="18"/>
  <c r="CX17" i="18"/>
  <c r="DM17" i="18"/>
  <c r="M17" i="18"/>
  <c r="CY17" i="18"/>
  <c r="DN17" i="18"/>
  <c r="O17" i="18"/>
  <c r="CZ17" i="18"/>
  <c r="DO17" i="18"/>
  <c r="DP17" i="18"/>
  <c r="DQ17" i="18"/>
  <c r="DQ66" i="18"/>
  <c r="CL21" i="18"/>
  <c r="DA21" i="18"/>
  <c r="CM21" i="18"/>
  <c r="DB21" i="18"/>
  <c r="CN21" i="18"/>
  <c r="DC21" i="18"/>
  <c r="CO21" i="18"/>
  <c r="DD21" i="18"/>
  <c r="J21" i="18"/>
  <c r="CP21" i="18"/>
  <c r="DE21" i="18"/>
  <c r="K21" i="18"/>
  <c r="CQ21" i="18"/>
  <c r="DF21" i="18"/>
  <c r="G21" i="18"/>
  <c r="CR21" i="18"/>
  <c r="DG21" i="18"/>
  <c r="H21" i="18"/>
  <c r="CS21" i="18"/>
  <c r="DH21" i="18"/>
  <c r="I21" i="18"/>
  <c r="CT21" i="18"/>
  <c r="DI21" i="18"/>
  <c r="E21" i="18"/>
  <c r="CU21" i="18"/>
  <c r="DJ21" i="18"/>
  <c r="F21" i="18"/>
  <c r="CV21" i="18"/>
  <c r="DK21" i="18"/>
  <c r="L21" i="18"/>
  <c r="CW21" i="18"/>
  <c r="DL21" i="18"/>
  <c r="N21" i="18"/>
  <c r="CX21" i="18"/>
  <c r="DM21" i="18"/>
  <c r="M21" i="18"/>
  <c r="CY21" i="18"/>
  <c r="DN21" i="18"/>
  <c r="O21" i="18"/>
  <c r="CZ21" i="18"/>
  <c r="DO21" i="18"/>
  <c r="DP21" i="18"/>
  <c r="DQ21" i="18"/>
  <c r="DQ65" i="18"/>
  <c r="CL25" i="18"/>
  <c r="DA25" i="18"/>
  <c r="CM25" i="18"/>
  <c r="DB25" i="18"/>
  <c r="CN25" i="18"/>
  <c r="DC25" i="18"/>
  <c r="CO25" i="18"/>
  <c r="DD25" i="18"/>
  <c r="J25" i="18"/>
  <c r="CP25" i="18"/>
  <c r="DE25" i="18"/>
  <c r="K25" i="18"/>
  <c r="CQ25" i="18"/>
  <c r="DF25" i="18"/>
  <c r="G25" i="18"/>
  <c r="CR25" i="18"/>
  <c r="DG25" i="18"/>
  <c r="H25" i="18"/>
  <c r="CS25" i="18"/>
  <c r="DH25" i="18"/>
  <c r="I25" i="18"/>
  <c r="CT25" i="18"/>
  <c r="DI25" i="18"/>
  <c r="E25" i="18"/>
  <c r="CU25" i="18"/>
  <c r="DJ25" i="18"/>
  <c r="F25" i="18"/>
  <c r="CV25" i="18"/>
  <c r="DK25" i="18"/>
  <c r="L25" i="18"/>
  <c r="CW25" i="18"/>
  <c r="DL25" i="18"/>
  <c r="N25" i="18"/>
  <c r="CX25" i="18"/>
  <c r="DM25" i="18"/>
  <c r="M25" i="18"/>
  <c r="CY25" i="18"/>
  <c r="DN25" i="18"/>
  <c r="O25" i="18"/>
  <c r="CZ25" i="18"/>
  <c r="DO25" i="18"/>
  <c r="DP25" i="18"/>
  <c r="DQ25" i="18"/>
  <c r="DQ64" i="18"/>
  <c r="DP64" i="18"/>
  <c r="DP65" i="18"/>
  <c r="DP66" i="18"/>
  <c r="DP67" i="18"/>
  <c r="DP68" i="18"/>
  <c r="DP69" i="18"/>
  <c r="DP70" i="18"/>
  <c r="DP71" i="18"/>
  <c r="DP72" i="18"/>
  <c r="DP73" i="18"/>
  <c r="DP74" i="18"/>
  <c r="DP75" i="18"/>
  <c r="DP76" i="18"/>
  <c r="DP63" i="18"/>
  <c r="DQ63" i="18"/>
  <c r="DQ62" i="18"/>
  <c r="DQ61" i="18"/>
  <c r="DQ60" i="18"/>
  <c r="DQ59" i="18"/>
  <c r="DQ58" i="18"/>
  <c r="DQ57" i="18"/>
  <c r="DQ56" i="18"/>
  <c r="DQ55" i="18"/>
  <c r="DQ54" i="18"/>
  <c r="DQ53" i="18"/>
  <c r="DQ52" i="18"/>
  <c r="DQ51" i="18"/>
  <c r="DQ50" i="18"/>
  <c r="CL23" i="18"/>
  <c r="DA23" i="18"/>
  <c r="CM23" i="18"/>
  <c r="DB23" i="18"/>
  <c r="CN23" i="18"/>
  <c r="DC23" i="18"/>
  <c r="CO23" i="18"/>
  <c r="DD23" i="18"/>
  <c r="J23" i="18"/>
  <c r="CP23" i="18"/>
  <c r="DE23" i="18"/>
  <c r="K23" i="18"/>
  <c r="CQ23" i="18"/>
  <c r="DF23" i="18"/>
  <c r="G23" i="18"/>
  <c r="CR23" i="18"/>
  <c r="DG23" i="18"/>
  <c r="H23" i="18"/>
  <c r="CS23" i="18"/>
  <c r="DH23" i="18"/>
  <c r="I23" i="18"/>
  <c r="CT23" i="18"/>
  <c r="DI23" i="18"/>
  <c r="E23" i="18"/>
  <c r="CU23" i="18"/>
  <c r="DJ23" i="18"/>
  <c r="F23" i="18"/>
  <c r="CV23" i="18"/>
  <c r="DK23" i="18"/>
  <c r="L23" i="18"/>
  <c r="CW23" i="18"/>
  <c r="DL23" i="18"/>
  <c r="N23" i="18"/>
  <c r="CX23" i="18"/>
  <c r="DM23" i="18"/>
  <c r="M23" i="18"/>
  <c r="CY23" i="18"/>
  <c r="DN23" i="18"/>
  <c r="O23" i="18"/>
  <c r="CZ23" i="18"/>
  <c r="DO23" i="18"/>
  <c r="DP23" i="18"/>
  <c r="DQ23" i="18"/>
  <c r="DQ49" i="18"/>
  <c r="DP49" i="18"/>
  <c r="DP50" i="18"/>
  <c r="DP51" i="18"/>
  <c r="DP52" i="18"/>
  <c r="DP53" i="18"/>
  <c r="DP54" i="18"/>
  <c r="DP55" i="18"/>
  <c r="DP56" i="18"/>
  <c r="DP57" i="18"/>
  <c r="DP58" i="18"/>
  <c r="DP59" i="18"/>
  <c r="DP60" i="18"/>
  <c r="DP61" i="18"/>
  <c r="DP62" i="18"/>
  <c r="DP48" i="18"/>
  <c r="DQ48" i="18"/>
  <c r="CL6" i="18"/>
  <c r="DA6" i="18"/>
  <c r="CM6" i="18"/>
  <c r="DB6" i="18"/>
  <c r="CN6" i="18"/>
  <c r="DC6" i="18"/>
  <c r="CO6" i="18"/>
  <c r="DD6" i="18"/>
  <c r="J6" i="18"/>
  <c r="CP6" i="18"/>
  <c r="DE6" i="18"/>
  <c r="K6" i="18"/>
  <c r="CQ6" i="18"/>
  <c r="DF6" i="18"/>
  <c r="G6" i="18"/>
  <c r="CR6" i="18"/>
  <c r="DG6" i="18"/>
  <c r="H6" i="18"/>
  <c r="CS6" i="18"/>
  <c r="DH6" i="18"/>
  <c r="I6" i="18"/>
  <c r="CT6" i="18"/>
  <c r="DI6" i="18"/>
  <c r="E6" i="18"/>
  <c r="CU6" i="18"/>
  <c r="DJ6" i="18"/>
  <c r="F6" i="18"/>
  <c r="CV6" i="18"/>
  <c r="DK6" i="18"/>
  <c r="L6" i="18"/>
  <c r="CW6" i="18"/>
  <c r="DL6" i="18"/>
  <c r="N6" i="18"/>
  <c r="CX6" i="18"/>
  <c r="DM6" i="18"/>
  <c r="M6" i="18"/>
  <c r="CY6" i="18"/>
  <c r="DN6" i="18"/>
  <c r="O6" i="18"/>
  <c r="CZ6" i="18"/>
  <c r="DO6" i="18"/>
  <c r="DP6" i="18"/>
  <c r="DQ6" i="18"/>
  <c r="DQ47" i="18"/>
  <c r="CL10" i="18"/>
  <c r="DA10" i="18"/>
  <c r="CM10" i="18"/>
  <c r="DB10" i="18"/>
  <c r="CN10" i="18"/>
  <c r="DC10" i="18"/>
  <c r="CO10" i="18"/>
  <c r="DD10" i="18"/>
  <c r="J10" i="18"/>
  <c r="CP10" i="18"/>
  <c r="DE10" i="18"/>
  <c r="K10" i="18"/>
  <c r="CQ10" i="18"/>
  <c r="DF10" i="18"/>
  <c r="G10" i="18"/>
  <c r="CR10" i="18"/>
  <c r="DG10" i="18"/>
  <c r="H10" i="18"/>
  <c r="CS10" i="18"/>
  <c r="DH10" i="18"/>
  <c r="I10" i="18"/>
  <c r="CT10" i="18"/>
  <c r="DI10" i="18"/>
  <c r="E10" i="18"/>
  <c r="CU10" i="18"/>
  <c r="DJ10" i="18"/>
  <c r="F10" i="18"/>
  <c r="CV10" i="18"/>
  <c r="DK10" i="18"/>
  <c r="L10" i="18"/>
  <c r="CW10" i="18"/>
  <c r="DL10" i="18"/>
  <c r="N10" i="18"/>
  <c r="CX10" i="18"/>
  <c r="DM10" i="18"/>
  <c r="M10" i="18"/>
  <c r="CY10" i="18"/>
  <c r="DN10" i="18"/>
  <c r="O10" i="18"/>
  <c r="CZ10" i="18"/>
  <c r="DO10" i="18"/>
  <c r="DP10" i="18"/>
  <c r="DQ10" i="18"/>
  <c r="DQ46" i="18"/>
  <c r="DP46" i="18"/>
  <c r="DP47" i="18"/>
  <c r="DP45" i="18"/>
  <c r="DQ45" i="18"/>
  <c r="CL15" i="18"/>
  <c r="DA15" i="18"/>
  <c r="CM15" i="18"/>
  <c r="DB15" i="18"/>
  <c r="CN15" i="18"/>
  <c r="DC15" i="18"/>
  <c r="CO15" i="18"/>
  <c r="DD15" i="18"/>
  <c r="J15" i="18"/>
  <c r="CP15" i="18"/>
  <c r="DE15" i="18"/>
  <c r="K15" i="18"/>
  <c r="CQ15" i="18"/>
  <c r="DF15" i="18"/>
  <c r="G15" i="18"/>
  <c r="CR15" i="18"/>
  <c r="DG15" i="18"/>
  <c r="H15" i="18"/>
  <c r="CS15" i="18"/>
  <c r="DH15" i="18"/>
  <c r="I15" i="18"/>
  <c r="CT15" i="18"/>
  <c r="DI15" i="18"/>
  <c r="E15" i="18"/>
  <c r="CU15" i="18"/>
  <c r="DJ15" i="18"/>
  <c r="F15" i="18"/>
  <c r="CV15" i="18"/>
  <c r="DK15" i="18"/>
  <c r="L15" i="18"/>
  <c r="CW15" i="18"/>
  <c r="DL15" i="18"/>
  <c r="N15" i="18"/>
  <c r="CX15" i="18"/>
  <c r="DM15" i="18"/>
  <c r="M15" i="18"/>
  <c r="CY15" i="18"/>
  <c r="DN15" i="18"/>
  <c r="O15" i="18"/>
  <c r="CZ15" i="18"/>
  <c r="DO15" i="18"/>
  <c r="DP15" i="18"/>
  <c r="DQ15" i="18"/>
  <c r="DQ44" i="18"/>
  <c r="CL28" i="18"/>
  <c r="DA28" i="18"/>
  <c r="CM28" i="18"/>
  <c r="DB28" i="18"/>
  <c r="CN28" i="18"/>
  <c r="DC28" i="18"/>
  <c r="CO28" i="18"/>
  <c r="DD28" i="18"/>
  <c r="J28" i="18"/>
  <c r="CP28" i="18"/>
  <c r="DE28" i="18"/>
  <c r="K28" i="18"/>
  <c r="CQ28" i="18"/>
  <c r="DF28" i="18"/>
  <c r="G28" i="18"/>
  <c r="CR28" i="18"/>
  <c r="DG28" i="18"/>
  <c r="H28" i="18"/>
  <c r="CS28" i="18"/>
  <c r="DH28" i="18"/>
  <c r="I28" i="18"/>
  <c r="CT28" i="18"/>
  <c r="DI28" i="18"/>
  <c r="E28" i="18"/>
  <c r="CU28" i="18"/>
  <c r="DJ28" i="18"/>
  <c r="F28" i="18"/>
  <c r="CV28" i="18"/>
  <c r="DK28" i="18"/>
  <c r="L28" i="18"/>
  <c r="CW28" i="18"/>
  <c r="DL28" i="18"/>
  <c r="N28" i="18"/>
  <c r="CX28" i="18"/>
  <c r="DM28" i="18"/>
  <c r="M28" i="18"/>
  <c r="CY28" i="18"/>
  <c r="DN28" i="18"/>
  <c r="O28" i="18"/>
  <c r="CZ28" i="18"/>
  <c r="DO28" i="18"/>
  <c r="DP28" i="18"/>
  <c r="DQ28" i="18"/>
  <c r="DQ43" i="18"/>
  <c r="CL19" i="18"/>
  <c r="DA19" i="18"/>
  <c r="CM19" i="18"/>
  <c r="DB19" i="18"/>
  <c r="CN19" i="18"/>
  <c r="DC19" i="18"/>
  <c r="CO19" i="18"/>
  <c r="DD19" i="18"/>
  <c r="J19" i="18"/>
  <c r="CP19" i="18"/>
  <c r="DE19" i="18"/>
  <c r="K19" i="18"/>
  <c r="CQ19" i="18"/>
  <c r="DF19" i="18"/>
  <c r="G19" i="18"/>
  <c r="CR19" i="18"/>
  <c r="DG19" i="18"/>
  <c r="H19" i="18"/>
  <c r="CS19" i="18"/>
  <c r="DH19" i="18"/>
  <c r="I19" i="18"/>
  <c r="CT19" i="18"/>
  <c r="DI19" i="18"/>
  <c r="E19" i="18"/>
  <c r="CU19" i="18"/>
  <c r="DJ19" i="18"/>
  <c r="F19" i="18"/>
  <c r="CV19" i="18"/>
  <c r="DK19" i="18"/>
  <c r="L19" i="18"/>
  <c r="CW19" i="18"/>
  <c r="DL19" i="18"/>
  <c r="N19" i="18"/>
  <c r="CX19" i="18"/>
  <c r="DM19" i="18"/>
  <c r="M19" i="18"/>
  <c r="CY19" i="18"/>
  <c r="DN19" i="18"/>
  <c r="O19" i="18"/>
  <c r="CZ19" i="18"/>
  <c r="DO19" i="18"/>
  <c r="DP19" i="18"/>
  <c r="DQ19" i="18"/>
  <c r="DQ42" i="18"/>
  <c r="CL8" i="18"/>
  <c r="DA8" i="18"/>
  <c r="CM8" i="18"/>
  <c r="DB8" i="18"/>
  <c r="CN8" i="18"/>
  <c r="DC8" i="18"/>
  <c r="CO8" i="18"/>
  <c r="DD8" i="18"/>
  <c r="J8" i="18"/>
  <c r="CP8" i="18"/>
  <c r="DE8" i="18"/>
  <c r="K8" i="18"/>
  <c r="CQ8" i="18"/>
  <c r="DF8" i="18"/>
  <c r="G8" i="18"/>
  <c r="CR8" i="18"/>
  <c r="DG8" i="18"/>
  <c r="H8" i="18"/>
  <c r="CS8" i="18"/>
  <c r="DH8" i="18"/>
  <c r="I8" i="18"/>
  <c r="CT8" i="18"/>
  <c r="DI8" i="18"/>
  <c r="E8" i="18"/>
  <c r="CU8" i="18"/>
  <c r="DJ8" i="18"/>
  <c r="F8" i="18"/>
  <c r="CV8" i="18"/>
  <c r="DK8" i="18"/>
  <c r="L8" i="18"/>
  <c r="CW8" i="18"/>
  <c r="DL8" i="18"/>
  <c r="N8" i="18"/>
  <c r="CX8" i="18"/>
  <c r="DM8" i="18"/>
  <c r="M8" i="18"/>
  <c r="CY8" i="18"/>
  <c r="DN8" i="18"/>
  <c r="O8" i="18"/>
  <c r="CZ8" i="18"/>
  <c r="DO8" i="18"/>
  <c r="DP8" i="18"/>
  <c r="DQ8" i="18"/>
  <c r="DQ41" i="18"/>
  <c r="CL4" i="18"/>
  <c r="DA4" i="18"/>
  <c r="CM4" i="18"/>
  <c r="DB4" i="18"/>
  <c r="CN4" i="18"/>
  <c r="DC4" i="18"/>
  <c r="CO4" i="18"/>
  <c r="DD4" i="18"/>
  <c r="J4" i="18"/>
  <c r="CP4" i="18"/>
  <c r="DE4" i="18"/>
  <c r="K4" i="18"/>
  <c r="CQ4" i="18"/>
  <c r="DF4" i="18"/>
  <c r="G4" i="18"/>
  <c r="CR4" i="18"/>
  <c r="DG4" i="18"/>
  <c r="H4" i="18"/>
  <c r="CS4" i="18"/>
  <c r="DH4" i="18"/>
  <c r="I4" i="18"/>
  <c r="CT4" i="18"/>
  <c r="DI4" i="18"/>
  <c r="E4" i="18"/>
  <c r="CU4" i="18"/>
  <c r="DJ4" i="18"/>
  <c r="F4" i="18"/>
  <c r="CV4" i="18"/>
  <c r="DK4" i="18"/>
  <c r="L4" i="18"/>
  <c r="CW4" i="18"/>
  <c r="DL4" i="18"/>
  <c r="N4" i="18"/>
  <c r="CX4" i="18"/>
  <c r="DM4" i="18"/>
  <c r="M4" i="18"/>
  <c r="CY4" i="18"/>
  <c r="DN4" i="18"/>
  <c r="O4" i="18"/>
  <c r="CZ4" i="18"/>
  <c r="DO4" i="18"/>
  <c r="DP4" i="18"/>
  <c r="DQ4" i="18"/>
  <c r="DQ40" i="18"/>
  <c r="CL11" i="18"/>
  <c r="DA11" i="18"/>
  <c r="CM11" i="18"/>
  <c r="DB11" i="18"/>
  <c r="CN11" i="18"/>
  <c r="DC11" i="18"/>
  <c r="CO11" i="18"/>
  <c r="DD11" i="18"/>
  <c r="J11" i="18"/>
  <c r="CP11" i="18"/>
  <c r="DE11" i="18"/>
  <c r="K11" i="18"/>
  <c r="CQ11" i="18"/>
  <c r="DF11" i="18"/>
  <c r="G11" i="18"/>
  <c r="CR11" i="18"/>
  <c r="DG11" i="18"/>
  <c r="H11" i="18"/>
  <c r="CS11" i="18"/>
  <c r="DH11" i="18"/>
  <c r="I11" i="18"/>
  <c r="CT11" i="18"/>
  <c r="DI11" i="18"/>
  <c r="E11" i="18"/>
  <c r="CU11" i="18"/>
  <c r="DJ11" i="18"/>
  <c r="F11" i="18"/>
  <c r="CV11" i="18"/>
  <c r="DK11" i="18"/>
  <c r="L11" i="18"/>
  <c r="CW11" i="18"/>
  <c r="DL11" i="18"/>
  <c r="N11" i="18"/>
  <c r="CX11" i="18"/>
  <c r="DM11" i="18"/>
  <c r="M11" i="18"/>
  <c r="CY11" i="18"/>
  <c r="DN11" i="18"/>
  <c r="O11" i="18"/>
  <c r="CZ11" i="18"/>
  <c r="DO11" i="18"/>
  <c r="DP11" i="18"/>
  <c r="DQ11" i="18"/>
  <c r="DQ39" i="18"/>
  <c r="CL2" i="18"/>
  <c r="DA2" i="18"/>
  <c r="CM2" i="18"/>
  <c r="DB2" i="18"/>
  <c r="CN2" i="18"/>
  <c r="DC2" i="18"/>
  <c r="CO2" i="18"/>
  <c r="DD2" i="18"/>
  <c r="J2" i="18"/>
  <c r="CP2" i="18"/>
  <c r="DE2" i="18"/>
  <c r="K2" i="18"/>
  <c r="CQ2" i="18"/>
  <c r="DF2" i="18"/>
  <c r="G2" i="18"/>
  <c r="CR2" i="18"/>
  <c r="DG2" i="18"/>
  <c r="H2" i="18"/>
  <c r="CS2" i="18"/>
  <c r="DH2" i="18"/>
  <c r="I2" i="18"/>
  <c r="CT2" i="18"/>
  <c r="DI2" i="18"/>
  <c r="E2" i="18"/>
  <c r="CU2" i="18"/>
  <c r="DJ2" i="18"/>
  <c r="F2" i="18"/>
  <c r="CV2" i="18"/>
  <c r="DK2" i="18"/>
  <c r="L2" i="18"/>
  <c r="CW2" i="18"/>
  <c r="DL2" i="18"/>
  <c r="N2" i="18"/>
  <c r="CX2" i="18"/>
  <c r="DM2" i="18"/>
  <c r="M2" i="18"/>
  <c r="CY2" i="18"/>
  <c r="DN2" i="18"/>
  <c r="O2" i="18"/>
  <c r="CZ2" i="18"/>
  <c r="DO2" i="18"/>
  <c r="DP2" i="18"/>
  <c r="DQ2" i="18"/>
  <c r="DQ38" i="18"/>
  <c r="CL22" i="18"/>
  <c r="DA22" i="18"/>
  <c r="CM22" i="18"/>
  <c r="DB22" i="18"/>
  <c r="CN22" i="18"/>
  <c r="DC22" i="18"/>
  <c r="CO22" i="18"/>
  <c r="DD22" i="18"/>
  <c r="J22" i="18"/>
  <c r="CP22" i="18"/>
  <c r="DE22" i="18"/>
  <c r="K22" i="18"/>
  <c r="CQ22" i="18"/>
  <c r="DF22" i="18"/>
  <c r="G22" i="18"/>
  <c r="CR22" i="18"/>
  <c r="DG22" i="18"/>
  <c r="H22" i="18"/>
  <c r="CS22" i="18"/>
  <c r="DH22" i="18"/>
  <c r="I22" i="18"/>
  <c r="CT22" i="18"/>
  <c r="DI22" i="18"/>
  <c r="E22" i="18"/>
  <c r="CU22" i="18"/>
  <c r="DJ22" i="18"/>
  <c r="F22" i="18"/>
  <c r="CV22" i="18"/>
  <c r="DK22" i="18"/>
  <c r="L22" i="18"/>
  <c r="CW22" i="18"/>
  <c r="DL22" i="18"/>
  <c r="N22" i="18"/>
  <c r="CX22" i="18"/>
  <c r="DM22" i="18"/>
  <c r="M22" i="18"/>
  <c r="CY22" i="18"/>
  <c r="DN22" i="18"/>
  <c r="O22" i="18"/>
  <c r="CZ22" i="18"/>
  <c r="DO22" i="18"/>
  <c r="DP22" i="18"/>
  <c r="DQ22" i="18"/>
  <c r="DQ37" i="18"/>
  <c r="CL26" i="18"/>
  <c r="DA26" i="18"/>
  <c r="CM26" i="18"/>
  <c r="DB26" i="18"/>
  <c r="CN26" i="18"/>
  <c r="DC26" i="18"/>
  <c r="CO26" i="18"/>
  <c r="DD26" i="18"/>
  <c r="J26" i="18"/>
  <c r="CP26" i="18"/>
  <c r="DE26" i="18"/>
  <c r="K26" i="18"/>
  <c r="CQ26" i="18"/>
  <c r="DF26" i="18"/>
  <c r="G26" i="18"/>
  <c r="CR26" i="18"/>
  <c r="DG26" i="18"/>
  <c r="H26" i="18"/>
  <c r="CS26" i="18"/>
  <c r="DH26" i="18"/>
  <c r="I26" i="18"/>
  <c r="CT26" i="18"/>
  <c r="DI26" i="18"/>
  <c r="E26" i="18"/>
  <c r="CU26" i="18"/>
  <c r="DJ26" i="18"/>
  <c r="F26" i="18"/>
  <c r="CV26" i="18"/>
  <c r="DK26" i="18"/>
  <c r="L26" i="18"/>
  <c r="CW26" i="18"/>
  <c r="DL26" i="18"/>
  <c r="N26" i="18"/>
  <c r="CX26" i="18"/>
  <c r="DM26" i="18"/>
  <c r="M26" i="18"/>
  <c r="CY26" i="18"/>
  <c r="DN26" i="18"/>
  <c r="O26" i="18"/>
  <c r="CZ26" i="18"/>
  <c r="DO26" i="18"/>
  <c r="DP26" i="18"/>
  <c r="DQ26" i="18"/>
  <c r="DQ36" i="18"/>
  <c r="CL30" i="18"/>
  <c r="DA30" i="18"/>
  <c r="CM30" i="18"/>
  <c r="DB30" i="18"/>
  <c r="CN30" i="18"/>
  <c r="DC30" i="18"/>
  <c r="CO30" i="18"/>
  <c r="DD30" i="18"/>
  <c r="J30" i="18"/>
  <c r="CP30" i="18"/>
  <c r="DE30" i="18"/>
  <c r="K30" i="18"/>
  <c r="CQ30" i="18"/>
  <c r="DF30" i="18"/>
  <c r="G30" i="18"/>
  <c r="CR30" i="18"/>
  <c r="DG30" i="18"/>
  <c r="H30" i="18"/>
  <c r="CS30" i="18"/>
  <c r="DH30" i="18"/>
  <c r="I30" i="18"/>
  <c r="CT30" i="18"/>
  <c r="DI30" i="18"/>
  <c r="E30" i="18"/>
  <c r="CU30" i="18"/>
  <c r="DJ30" i="18"/>
  <c r="F30" i="18"/>
  <c r="CV30" i="18"/>
  <c r="DK30" i="18"/>
  <c r="L30" i="18"/>
  <c r="CW30" i="18"/>
  <c r="DL30" i="18"/>
  <c r="N30" i="18"/>
  <c r="CX30" i="18"/>
  <c r="DM30" i="18"/>
  <c r="M30" i="18"/>
  <c r="CY30" i="18"/>
  <c r="DN30" i="18"/>
  <c r="O30" i="18"/>
  <c r="CZ30" i="18"/>
  <c r="DO30" i="18"/>
  <c r="DP30" i="18"/>
  <c r="DQ30" i="18"/>
  <c r="DQ35" i="18"/>
  <c r="CL14" i="18"/>
  <c r="DA14" i="18"/>
  <c r="CM14" i="18"/>
  <c r="DB14" i="18"/>
  <c r="CN14" i="18"/>
  <c r="DC14" i="18"/>
  <c r="CO14" i="18"/>
  <c r="DD14" i="18"/>
  <c r="J14" i="18"/>
  <c r="CP14" i="18"/>
  <c r="DE14" i="18"/>
  <c r="K14" i="18"/>
  <c r="CQ14" i="18"/>
  <c r="DF14" i="18"/>
  <c r="G14" i="18"/>
  <c r="CR14" i="18"/>
  <c r="DG14" i="18"/>
  <c r="H14" i="18"/>
  <c r="CS14" i="18"/>
  <c r="DH14" i="18"/>
  <c r="I14" i="18"/>
  <c r="CT14" i="18"/>
  <c r="DI14" i="18"/>
  <c r="E14" i="18"/>
  <c r="CU14" i="18"/>
  <c r="DJ14" i="18"/>
  <c r="F14" i="18"/>
  <c r="CV14" i="18"/>
  <c r="DK14" i="18"/>
  <c r="L14" i="18"/>
  <c r="CW14" i="18"/>
  <c r="DL14" i="18"/>
  <c r="N14" i="18"/>
  <c r="CX14" i="18"/>
  <c r="DM14" i="18"/>
  <c r="M14" i="18"/>
  <c r="CY14" i="18"/>
  <c r="DN14" i="18"/>
  <c r="O14" i="18"/>
  <c r="CZ14" i="18"/>
  <c r="DO14" i="18"/>
  <c r="DP14" i="18"/>
  <c r="DQ14" i="18"/>
  <c r="DQ34" i="18"/>
  <c r="CL13" i="18"/>
  <c r="DA13" i="18"/>
  <c r="CM13" i="18"/>
  <c r="DB13" i="18"/>
  <c r="CN13" i="18"/>
  <c r="DC13" i="18"/>
  <c r="CO13" i="18"/>
  <c r="DD13" i="18"/>
  <c r="J13" i="18"/>
  <c r="CP13" i="18"/>
  <c r="DE13" i="18"/>
  <c r="K13" i="18"/>
  <c r="CQ13" i="18"/>
  <c r="DF13" i="18"/>
  <c r="G13" i="18"/>
  <c r="CR13" i="18"/>
  <c r="DG13" i="18"/>
  <c r="H13" i="18"/>
  <c r="CS13" i="18"/>
  <c r="DH13" i="18"/>
  <c r="I13" i="18"/>
  <c r="CT13" i="18"/>
  <c r="DI13" i="18"/>
  <c r="E13" i="18"/>
  <c r="CU13" i="18"/>
  <c r="DJ13" i="18"/>
  <c r="F13" i="18"/>
  <c r="CV13" i="18"/>
  <c r="DK13" i="18"/>
  <c r="L13" i="18"/>
  <c r="CW13" i="18"/>
  <c r="DL13" i="18"/>
  <c r="N13" i="18"/>
  <c r="CX13" i="18"/>
  <c r="DM13" i="18"/>
  <c r="M13" i="18"/>
  <c r="CY13" i="18"/>
  <c r="DN13" i="18"/>
  <c r="O13" i="18"/>
  <c r="CZ13" i="18"/>
  <c r="DO13" i="18"/>
  <c r="DP13" i="18"/>
  <c r="DQ13" i="18"/>
  <c r="DQ33" i="18"/>
  <c r="CL3" i="18"/>
  <c r="DA3" i="18"/>
  <c r="CM3" i="18"/>
  <c r="DB3" i="18"/>
  <c r="CN3" i="18"/>
  <c r="DC3" i="18"/>
  <c r="CO3" i="18"/>
  <c r="DD3" i="18"/>
  <c r="J3" i="18"/>
  <c r="CP3" i="18"/>
  <c r="DE3" i="18"/>
  <c r="K3" i="18"/>
  <c r="CQ3" i="18"/>
  <c r="DF3" i="18"/>
  <c r="G3" i="18"/>
  <c r="CR3" i="18"/>
  <c r="DG3" i="18"/>
  <c r="H3" i="18"/>
  <c r="CS3" i="18"/>
  <c r="DH3" i="18"/>
  <c r="I3" i="18"/>
  <c r="CT3" i="18"/>
  <c r="DI3" i="18"/>
  <c r="E3" i="18"/>
  <c r="CU3" i="18"/>
  <c r="DJ3" i="18"/>
  <c r="F3" i="18"/>
  <c r="CV3" i="18"/>
  <c r="DK3" i="18"/>
  <c r="L3" i="18"/>
  <c r="CW3" i="18"/>
  <c r="DL3" i="18"/>
  <c r="N3" i="18"/>
  <c r="CX3" i="18"/>
  <c r="DM3" i="18"/>
  <c r="M3" i="18"/>
  <c r="CY3" i="18"/>
  <c r="DN3" i="18"/>
  <c r="O3" i="18"/>
  <c r="CZ3" i="18"/>
  <c r="DO3" i="18"/>
  <c r="DP3" i="18"/>
  <c r="DQ3" i="18"/>
  <c r="DQ32" i="18"/>
  <c r="DP32" i="18"/>
  <c r="DP33" i="18"/>
  <c r="DP34" i="18"/>
  <c r="DP35" i="18"/>
  <c r="DP36" i="18"/>
  <c r="DP37" i="18"/>
  <c r="DP38" i="18"/>
  <c r="DP39" i="18"/>
  <c r="DP40" i="18"/>
  <c r="DP41" i="18"/>
  <c r="DP42" i="18"/>
  <c r="DP43" i="18"/>
  <c r="DP44" i="18"/>
  <c r="DP31" i="18"/>
  <c r="DQ31" i="18"/>
  <c r="AP27" i="18"/>
  <c r="BE27" i="18"/>
  <c r="AQ27" i="18"/>
  <c r="BF27" i="18"/>
  <c r="AR27" i="18"/>
  <c r="BG27" i="18"/>
  <c r="AS27" i="18"/>
  <c r="BH27" i="18"/>
  <c r="AT27" i="18"/>
  <c r="BI27" i="18"/>
  <c r="AU27" i="18"/>
  <c r="BJ27" i="18"/>
  <c r="AV27" i="18"/>
  <c r="BK27" i="18"/>
  <c r="AW27" i="18"/>
  <c r="BL27" i="18"/>
  <c r="AX27" i="18"/>
  <c r="BM27" i="18"/>
  <c r="AY27" i="18"/>
  <c r="BN27" i="18"/>
  <c r="AZ27" i="18"/>
  <c r="BO27" i="18"/>
  <c r="BA27" i="18"/>
  <c r="BP27" i="18"/>
  <c r="BB27" i="18"/>
  <c r="BQ27" i="18"/>
  <c r="BC27" i="18"/>
  <c r="BR27" i="18"/>
  <c r="BD27" i="18"/>
  <c r="BS27" i="18"/>
  <c r="BT27" i="18"/>
  <c r="BU27" i="18"/>
  <c r="BU76" i="18"/>
  <c r="AP18" i="18"/>
  <c r="BE18" i="18"/>
  <c r="AQ18" i="18"/>
  <c r="BF18" i="18"/>
  <c r="AR18" i="18"/>
  <c r="BG18" i="18"/>
  <c r="AS18" i="18"/>
  <c r="BH18" i="18"/>
  <c r="AT18" i="18"/>
  <c r="BI18" i="18"/>
  <c r="AU18" i="18"/>
  <c r="BJ18" i="18"/>
  <c r="AV18" i="18"/>
  <c r="BK18" i="18"/>
  <c r="AW18" i="18"/>
  <c r="BL18" i="18"/>
  <c r="AX18" i="18"/>
  <c r="BM18" i="18"/>
  <c r="AY18" i="18"/>
  <c r="BN18" i="18"/>
  <c r="AZ18" i="18"/>
  <c r="BO18" i="18"/>
  <c r="BA18" i="18"/>
  <c r="BP18" i="18"/>
  <c r="BB18" i="18"/>
  <c r="BQ18" i="18"/>
  <c r="BC18" i="18"/>
  <c r="BR18" i="18"/>
  <c r="BD18" i="18"/>
  <c r="BS18" i="18"/>
  <c r="BT18" i="18"/>
  <c r="BU18" i="18"/>
  <c r="BU75" i="18"/>
  <c r="AP12" i="18"/>
  <c r="BE12" i="18"/>
  <c r="AQ12" i="18"/>
  <c r="BF12" i="18"/>
  <c r="AR12" i="18"/>
  <c r="BG12" i="18"/>
  <c r="AS12" i="18"/>
  <c r="BH12" i="18"/>
  <c r="AT12" i="18"/>
  <c r="BI12" i="18"/>
  <c r="AU12" i="18"/>
  <c r="BJ12" i="18"/>
  <c r="AV12" i="18"/>
  <c r="BK12" i="18"/>
  <c r="AW12" i="18"/>
  <c r="BL12" i="18"/>
  <c r="AX12" i="18"/>
  <c r="BM12" i="18"/>
  <c r="AY12" i="18"/>
  <c r="BN12" i="18"/>
  <c r="AZ12" i="18"/>
  <c r="BO12" i="18"/>
  <c r="BA12" i="18"/>
  <c r="BP12" i="18"/>
  <c r="BB12" i="18"/>
  <c r="BQ12" i="18"/>
  <c r="BC12" i="18"/>
  <c r="BR12" i="18"/>
  <c r="BD12" i="18"/>
  <c r="BS12" i="18"/>
  <c r="BT12" i="18"/>
  <c r="BU12" i="18"/>
  <c r="BU74" i="18"/>
  <c r="AP7" i="18"/>
  <c r="BE7" i="18"/>
  <c r="AQ7" i="18"/>
  <c r="BF7" i="18"/>
  <c r="AR7" i="18"/>
  <c r="BG7" i="18"/>
  <c r="AS7" i="18"/>
  <c r="BH7" i="18"/>
  <c r="AT7" i="18"/>
  <c r="BI7" i="18"/>
  <c r="AU7" i="18"/>
  <c r="BJ7" i="18"/>
  <c r="AV7" i="18"/>
  <c r="BK7" i="18"/>
  <c r="AW7" i="18"/>
  <c r="BL7" i="18"/>
  <c r="AX7" i="18"/>
  <c r="BM7" i="18"/>
  <c r="AY7" i="18"/>
  <c r="BN7" i="18"/>
  <c r="AZ7" i="18"/>
  <c r="BO7" i="18"/>
  <c r="BA7" i="18"/>
  <c r="BP7" i="18"/>
  <c r="BB7" i="18"/>
  <c r="BQ7" i="18"/>
  <c r="BC7" i="18"/>
  <c r="BR7" i="18"/>
  <c r="BD7" i="18"/>
  <c r="BS7" i="18"/>
  <c r="BT7" i="18"/>
  <c r="BU7" i="18"/>
  <c r="BU73" i="18"/>
  <c r="AP16" i="18"/>
  <c r="BE16" i="18"/>
  <c r="AQ16" i="18"/>
  <c r="BF16" i="18"/>
  <c r="AR16" i="18"/>
  <c r="BG16" i="18"/>
  <c r="AS16" i="18"/>
  <c r="BH16" i="18"/>
  <c r="AT16" i="18"/>
  <c r="BI16" i="18"/>
  <c r="AU16" i="18"/>
  <c r="BJ16" i="18"/>
  <c r="AV16" i="18"/>
  <c r="BK16" i="18"/>
  <c r="AW16" i="18"/>
  <c r="BL16" i="18"/>
  <c r="AX16" i="18"/>
  <c r="BM16" i="18"/>
  <c r="AY16" i="18"/>
  <c r="BN16" i="18"/>
  <c r="AZ16" i="18"/>
  <c r="BO16" i="18"/>
  <c r="BA16" i="18"/>
  <c r="BP16" i="18"/>
  <c r="BB16" i="18"/>
  <c r="BQ16" i="18"/>
  <c r="BC16" i="18"/>
  <c r="BR16" i="18"/>
  <c r="BD16" i="18"/>
  <c r="BS16" i="18"/>
  <c r="BT16" i="18"/>
  <c r="BU16" i="18"/>
  <c r="BU72" i="18"/>
  <c r="AP29" i="18"/>
  <c r="BE29" i="18"/>
  <c r="AQ29" i="18"/>
  <c r="BF29" i="18"/>
  <c r="AR29" i="18"/>
  <c r="BG29" i="18"/>
  <c r="AS29" i="18"/>
  <c r="BH29" i="18"/>
  <c r="AT29" i="18"/>
  <c r="BI29" i="18"/>
  <c r="AU29" i="18"/>
  <c r="BJ29" i="18"/>
  <c r="AV29" i="18"/>
  <c r="BK29" i="18"/>
  <c r="AW29" i="18"/>
  <c r="BL29" i="18"/>
  <c r="AX29" i="18"/>
  <c r="BM29" i="18"/>
  <c r="AY29" i="18"/>
  <c r="BN29" i="18"/>
  <c r="AZ29" i="18"/>
  <c r="BO29" i="18"/>
  <c r="BA29" i="18"/>
  <c r="BP29" i="18"/>
  <c r="BB29" i="18"/>
  <c r="BQ29" i="18"/>
  <c r="BC29" i="18"/>
  <c r="BR29" i="18"/>
  <c r="BD29" i="18"/>
  <c r="BS29" i="18"/>
  <c r="BT29" i="18"/>
  <c r="BU29" i="18"/>
  <c r="BU71" i="18"/>
  <c r="AP20" i="18"/>
  <c r="BE20" i="18"/>
  <c r="AQ20" i="18"/>
  <c r="BF20" i="18"/>
  <c r="AR20" i="18"/>
  <c r="BG20" i="18"/>
  <c r="AS20" i="18"/>
  <c r="BH20" i="18"/>
  <c r="AT20" i="18"/>
  <c r="BI20" i="18"/>
  <c r="AU20" i="18"/>
  <c r="BJ20" i="18"/>
  <c r="AV20" i="18"/>
  <c r="BK20" i="18"/>
  <c r="AW20" i="18"/>
  <c r="BL20" i="18"/>
  <c r="AX20" i="18"/>
  <c r="BM20" i="18"/>
  <c r="AY20" i="18"/>
  <c r="BN20" i="18"/>
  <c r="AZ20" i="18"/>
  <c r="BO20" i="18"/>
  <c r="BA20" i="18"/>
  <c r="BP20" i="18"/>
  <c r="BB20" i="18"/>
  <c r="BQ20" i="18"/>
  <c r="BC20" i="18"/>
  <c r="BR20" i="18"/>
  <c r="BD20" i="18"/>
  <c r="BS20" i="18"/>
  <c r="BT20" i="18"/>
  <c r="BU20" i="18"/>
  <c r="BU70" i="18"/>
  <c r="AP24" i="18"/>
  <c r="BE24" i="18"/>
  <c r="AQ24" i="18"/>
  <c r="BF24" i="18"/>
  <c r="AR24" i="18"/>
  <c r="BG24" i="18"/>
  <c r="AS24" i="18"/>
  <c r="BH24" i="18"/>
  <c r="AT24" i="18"/>
  <c r="BI24" i="18"/>
  <c r="AU24" i="18"/>
  <c r="BJ24" i="18"/>
  <c r="AV24" i="18"/>
  <c r="BK24" i="18"/>
  <c r="AW24" i="18"/>
  <c r="BL24" i="18"/>
  <c r="AX24" i="18"/>
  <c r="BM24" i="18"/>
  <c r="AY24" i="18"/>
  <c r="BN24" i="18"/>
  <c r="AZ24" i="18"/>
  <c r="BO24" i="18"/>
  <c r="BA24" i="18"/>
  <c r="BP24" i="18"/>
  <c r="BB24" i="18"/>
  <c r="BQ24" i="18"/>
  <c r="BC24" i="18"/>
  <c r="BR24" i="18"/>
  <c r="BD24" i="18"/>
  <c r="BS24" i="18"/>
  <c r="BT24" i="18"/>
  <c r="BU24" i="18"/>
  <c r="BU69" i="18"/>
  <c r="AP9" i="18"/>
  <c r="BE9" i="18"/>
  <c r="AQ9" i="18"/>
  <c r="BF9" i="18"/>
  <c r="AR9" i="18"/>
  <c r="BG9" i="18"/>
  <c r="AS9" i="18"/>
  <c r="BH9" i="18"/>
  <c r="AT9" i="18"/>
  <c r="BI9" i="18"/>
  <c r="AU9" i="18"/>
  <c r="BJ9" i="18"/>
  <c r="AV9" i="18"/>
  <c r="BK9" i="18"/>
  <c r="AW9" i="18"/>
  <c r="BL9" i="18"/>
  <c r="AX9" i="18"/>
  <c r="BM9" i="18"/>
  <c r="AY9" i="18"/>
  <c r="BN9" i="18"/>
  <c r="AZ9" i="18"/>
  <c r="BO9" i="18"/>
  <c r="BA9" i="18"/>
  <c r="BP9" i="18"/>
  <c r="BB9" i="18"/>
  <c r="BQ9" i="18"/>
  <c r="BC9" i="18"/>
  <c r="BR9" i="18"/>
  <c r="BD9" i="18"/>
  <c r="BS9" i="18"/>
  <c r="BT9" i="18"/>
  <c r="BU9" i="18"/>
  <c r="BU68" i="18"/>
  <c r="AP5" i="18"/>
  <c r="BE5" i="18"/>
  <c r="AQ5" i="18"/>
  <c r="BF5" i="18"/>
  <c r="AR5" i="18"/>
  <c r="BG5" i="18"/>
  <c r="AS5" i="18"/>
  <c r="BH5" i="18"/>
  <c r="AT5" i="18"/>
  <c r="BI5" i="18"/>
  <c r="AU5" i="18"/>
  <c r="BJ5" i="18"/>
  <c r="AV5" i="18"/>
  <c r="BK5" i="18"/>
  <c r="AW5" i="18"/>
  <c r="BL5" i="18"/>
  <c r="AX5" i="18"/>
  <c r="BM5" i="18"/>
  <c r="AY5" i="18"/>
  <c r="BN5" i="18"/>
  <c r="AZ5" i="18"/>
  <c r="BO5" i="18"/>
  <c r="BA5" i="18"/>
  <c r="BP5" i="18"/>
  <c r="BB5" i="18"/>
  <c r="BQ5" i="18"/>
  <c r="BC5" i="18"/>
  <c r="BR5" i="18"/>
  <c r="BD5" i="18"/>
  <c r="BS5" i="18"/>
  <c r="BT5" i="18"/>
  <c r="BU5" i="18"/>
  <c r="BU67" i="18"/>
  <c r="AP17" i="18"/>
  <c r="BE17" i="18"/>
  <c r="AQ17" i="18"/>
  <c r="BF17" i="18"/>
  <c r="AR17" i="18"/>
  <c r="BG17" i="18"/>
  <c r="AS17" i="18"/>
  <c r="BH17" i="18"/>
  <c r="AT17" i="18"/>
  <c r="BI17" i="18"/>
  <c r="AU17" i="18"/>
  <c r="BJ17" i="18"/>
  <c r="AV17" i="18"/>
  <c r="BK17" i="18"/>
  <c r="AW17" i="18"/>
  <c r="BL17" i="18"/>
  <c r="AX17" i="18"/>
  <c r="BM17" i="18"/>
  <c r="AY17" i="18"/>
  <c r="BN17" i="18"/>
  <c r="AZ17" i="18"/>
  <c r="BO17" i="18"/>
  <c r="BA17" i="18"/>
  <c r="BP17" i="18"/>
  <c r="BB17" i="18"/>
  <c r="BQ17" i="18"/>
  <c r="BC17" i="18"/>
  <c r="BR17" i="18"/>
  <c r="BD17" i="18"/>
  <c r="BS17" i="18"/>
  <c r="BT17" i="18"/>
  <c r="BU17" i="18"/>
  <c r="BU66" i="18"/>
  <c r="AP21" i="18"/>
  <c r="BE21" i="18"/>
  <c r="AQ21" i="18"/>
  <c r="BF21" i="18"/>
  <c r="AR21" i="18"/>
  <c r="BG21" i="18"/>
  <c r="AS21" i="18"/>
  <c r="BH21" i="18"/>
  <c r="AT21" i="18"/>
  <c r="BI21" i="18"/>
  <c r="AU21" i="18"/>
  <c r="BJ21" i="18"/>
  <c r="AV21" i="18"/>
  <c r="BK21" i="18"/>
  <c r="AW21" i="18"/>
  <c r="BL21" i="18"/>
  <c r="AX21" i="18"/>
  <c r="BM21" i="18"/>
  <c r="AY21" i="18"/>
  <c r="BN21" i="18"/>
  <c r="AZ21" i="18"/>
  <c r="BO21" i="18"/>
  <c r="BA21" i="18"/>
  <c r="BP21" i="18"/>
  <c r="BB21" i="18"/>
  <c r="BQ21" i="18"/>
  <c r="BC21" i="18"/>
  <c r="BR21" i="18"/>
  <c r="BD21" i="18"/>
  <c r="BS21" i="18"/>
  <c r="BT21" i="18"/>
  <c r="BU21" i="18"/>
  <c r="BU65" i="18"/>
  <c r="AP25" i="18"/>
  <c r="BE25" i="18"/>
  <c r="AQ25" i="18"/>
  <c r="BF25" i="18"/>
  <c r="AR25" i="18"/>
  <c r="BG25" i="18"/>
  <c r="AS25" i="18"/>
  <c r="BH25" i="18"/>
  <c r="AT25" i="18"/>
  <c r="BI25" i="18"/>
  <c r="AU25" i="18"/>
  <c r="BJ25" i="18"/>
  <c r="AV25" i="18"/>
  <c r="BK25" i="18"/>
  <c r="AW25" i="18"/>
  <c r="BL25" i="18"/>
  <c r="AX25" i="18"/>
  <c r="BM25" i="18"/>
  <c r="AY25" i="18"/>
  <c r="BN25" i="18"/>
  <c r="AZ25" i="18"/>
  <c r="BO25" i="18"/>
  <c r="BA25" i="18"/>
  <c r="BP25" i="18"/>
  <c r="BB25" i="18"/>
  <c r="BQ25" i="18"/>
  <c r="BC25" i="18"/>
  <c r="BR25" i="18"/>
  <c r="BD25" i="18"/>
  <c r="BS25" i="18"/>
  <c r="BT25" i="18"/>
  <c r="BU25" i="18"/>
  <c r="BU64" i="18"/>
  <c r="BT64" i="18"/>
  <c r="BT65" i="18"/>
  <c r="BT66" i="18"/>
  <c r="BT67" i="18"/>
  <c r="BT68" i="18"/>
  <c r="BT69" i="18"/>
  <c r="BT70" i="18"/>
  <c r="BT71" i="18"/>
  <c r="BT72" i="18"/>
  <c r="BT73" i="18"/>
  <c r="BT74" i="18"/>
  <c r="BT75" i="18"/>
  <c r="BT76" i="18"/>
  <c r="BT63" i="18"/>
  <c r="BU63" i="18"/>
  <c r="BU62" i="18"/>
  <c r="BU61" i="18"/>
  <c r="BU60" i="18"/>
  <c r="BU59" i="18"/>
  <c r="BU58" i="18"/>
  <c r="BU57" i="18"/>
  <c r="BU56" i="18"/>
  <c r="BU55" i="18"/>
  <c r="BU54" i="18"/>
  <c r="BU53" i="18"/>
  <c r="BU52" i="18"/>
  <c r="BU51" i="18"/>
  <c r="BU50" i="18"/>
  <c r="AP23" i="18"/>
  <c r="BE23" i="18"/>
  <c r="AQ23" i="18"/>
  <c r="BF23" i="18"/>
  <c r="AR23" i="18"/>
  <c r="BG23" i="18"/>
  <c r="AS23" i="18"/>
  <c r="BH23" i="18"/>
  <c r="AT23" i="18"/>
  <c r="BI23" i="18"/>
  <c r="AU23" i="18"/>
  <c r="BJ23" i="18"/>
  <c r="AV23" i="18"/>
  <c r="BK23" i="18"/>
  <c r="AW23" i="18"/>
  <c r="BL23" i="18"/>
  <c r="AX23" i="18"/>
  <c r="BM23" i="18"/>
  <c r="AY23" i="18"/>
  <c r="BN23" i="18"/>
  <c r="AZ23" i="18"/>
  <c r="BO23" i="18"/>
  <c r="BA23" i="18"/>
  <c r="BP23" i="18"/>
  <c r="BB23" i="18"/>
  <c r="BQ23" i="18"/>
  <c r="BC23" i="18"/>
  <c r="BR23" i="18"/>
  <c r="BD23" i="18"/>
  <c r="BS23" i="18"/>
  <c r="BT23" i="18"/>
  <c r="BU23" i="18"/>
  <c r="BU49" i="18"/>
  <c r="BT49" i="18"/>
  <c r="BT50" i="18"/>
  <c r="BT51" i="18"/>
  <c r="BT52" i="18"/>
  <c r="BT53" i="18"/>
  <c r="BT54" i="18"/>
  <c r="BT55" i="18"/>
  <c r="BT56" i="18"/>
  <c r="BT57" i="18"/>
  <c r="BT58" i="18"/>
  <c r="BT59" i="18"/>
  <c r="BT60" i="18"/>
  <c r="BT61" i="18"/>
  <c r="BT62" i="18"/>
  <c r="BT48" i="18"/>
  <c r="BU48" i="18"/>
  <c r="AP6" i="18"/>
  <c r="BE6" i="18"/>
  <c r="AQ6" i="18"/>
  <c r="BF6" i="18"/>
  <c r="AR6" i="18"/>
  <c r="BG6" i="18"/>
  <c r="AS6" i="18"/>
  <c r="BH6" i="18"/>
  <c r="AT6" i="18"/>
  <c r="BI6" i="18"/>
  <c r="AU6" i="18"/>
  <c r="BJ6" i="18"/>
  <c r="AV6" i="18"/>
  <c r="BK6" i="18"/>
  <c r="AW6" i="18"/>
  <c r="BL6" i="18"/>
  <c r="AX6" i="18"/>
  <c r="BM6" i="18"/>
  <c r="AY6" i="18"/>
  <c r="BN6" i="18"/>
  <c r="AZ6" i="18"/>
  <c r="BO6" i="18"/>
  <c r="BA6" i="18"/>
  <c r="BP6" i="18"/>
  <c r="BB6" i="18"/>
  <c r="BQ6" i="18"/>
  <c r="BC6" i="18"/>
  <c r="BR6" i="18"/>
  <c r="BD6" i="18"/>
  <c r="BS6" i="18"/>
  <c r="BT6" i="18"/>
  <c r="BU6" i="18"/>
  <c r="BU47" i="18"/>
  <c r="AP10" i="18"/>
  <c r="BE10" i="18"/>
  <c r="AQ10" i="18"/>
  <c r="BF10" i="18"/>
  <c r="AR10" i="18"/>
  <c r="BG10" i="18"/>
  <c r="AS10" i="18"/>
  <c r="BH10" i="18"/>
  <c r="AT10" i="18"/>
  <c r="BI10" i="18"/>
  <c r="AU10" i="18"/>
  <c r="BJ10" i="18"/>
  <c r="AV10" i="18"/>
  <c r="BK10" i="18"/>
  <c r="AW10" i="18"/>
  <c r="BL10" i="18"/>
  <c r="AX10" i="18"/>
  <c r="BM10" i="18"/>
  <c r="AY10" i="18"/>
  <c r="BN10" i="18"/>
  <c r="AZ10" i="18"/>
  <c r="BO10" i="18"/>
  <c r="BA10" i="18"/>
  <c r="BP10" i="18"/>
  <c r="BB10" i="18"/>
  <c r="BQ10" i="18"/>
  <c r="BC10" i="18"/>
  <c r="BR10" i="18"/>
  <c r="BD10" i="18"/>
  <c r="BS10" i="18"/>
  <c r="BT10" i="18"/>
  <c r="BU10" i="18"/>
  <c r="BU46" i="18"/>
  <c r="BT46" i="18"/>
  <c r="BT47" i="18"/>
  <c r="BT45" i="18"/>
  <c r="BU45" i="18"/>
  <c r="AP15" i="18"/>
  <c r="BE15" i="18"/>
  <c r="AQ15" i="18"/>
  <c r="BF15" i="18"/>
  <c r="AR15" i="18"/>
  <c r="BG15" i="18"/>
  <c r="AS15" i="18"/>
  <c r="BH15" i="18"/>
  <c r="AT15" i="18"/>
  <c r="BI15" i="18"/>
  <c r="AU15" i="18"/>
  <c r="BJ15" i="18"/>
  <c r="AV15" i="18"/>
  <c r="BK15" i="18"/>
  <c r="AW15" i="18"/>
  <c r="BL15" i="18"/>
  <c r="AX15" i="18"/>
  <c r="BM15" i="18"/>
  <c r="AY15" i="18"/>
  <c r="BN15" i="18"/>
  <c r="AZ15" i="18"/>
  <c r="BO15" i="18"/>
  <c r="BA15" i="18"/>
  <c r="BP15" i="18"/>
  <c r="BB15" i="18"/>
  <c r="BQ15" i="18"/>
  <c r="BC15" i="18"/>
  <c r="BR15" i="18"/>
  <c r="BD15" i="18"/>
  <c r="BS15" i="18"/>
  <c r="BT15" i="18"/>
  <c r="BU15" i="18"/>
  <c r="BU44" i="18"/>
  <c r="AP28" i="18"/>
  <c r="BE28" i="18"/>
  <c r="AQ28" i="18"/>
  <c r="BF28" i="18"/>
  <c r="AR28" i="18"/>
  <c r="BG28" i="18"/>
  <c r="AS28" i="18"/>
  <c r="BH28" i="18"/>
  <c r="AT28" i="18"/>
  <c r="BI28" i="18"/>
  <c r="AU28" i="18"/>
  <c r="BJ28" i="18"/>
  <c r="AV28" i="18"/>
  <c r="BK28" i="18"/>
  <c r="AW28" i="18"/>
  <c r="BL28" i="18"/>
  <c r="AX28" i="18"/>
  <c r="BM28" i="18"/>
  <c r="AY28" i="18"/>
  <c r="BN28" i="18"/>
  <c r="AZ28" i="18"/>
  <c r="BO28" i="18"/>
  <c r="BA28" i="18"/>
  <c r="BP28" i="18"/>
  <c r="BB28" i="18"/>
  <c r="BQ28" i="18"/>
  <c r="BC28" i="18"/>
  <c r="BR28" i="18"/>
  <c r="BD28" i="18"/>
  <c r="BS28" i="18"/>
  <c r="BT28" i="18"/>
  <c r="BU28" i="18"/>
  <c r="BU43" i="18"/>
  <c r="AP19" i="18"/>
  <c r="BE19" i="18"/>
  <c r="AQ19" i="18"/>
  <c r="BF19" i="18"/>
  <c r="AR19" i="18"/>
  <c r="BG19" i="18"/>
  <c r="AS19" i="18"/>
  <c r="BH19" i="18"/>
  <c r="AT19" i="18"/>
  <c r="BI19" i="18"/>
  <c r="AU19" i="18"/>
  <c r="BJ19" i="18"/>
  <c r="AV19" i="18"/>
  <c r="BK19" i="18"/>
  <c r="AW19" i="18"/>
  <c r="BL19" i="18"/>
  <c r="AX19" i="18"/>
  <c r="BM19" i="18"/>
  <c r="AY19" i="18"/>
  <c r="BN19" i="18"/>
  <c r="AZ19" i="18"/>
  <c r="BO19" i="18"/>
  <c r="BA19" i="18"/>
  <c r="BP19" i="18"/>
  <c r="BB19" i="18"/>
  <c r="BQ19" i="18"/>
  <c r="BC19" i="18"/>
  <c r="BR19" i="18"/>
  <c r="BD19" i="18"/>
  <c r="BS19" i="18"/>
  <c r="BT19" i="18"/>
  <c r="BU19" i="18"/>
  <c r="BU42" i="18"/>
  <c r="AP8" i="18"/>
  <c r="BE8" i="18"/>
  <c r="AQ8" i="18"/>
  <c r="BF8" i="18"/>
  <c r="AR8" i="18"/>
  <c r="BG8" i="18"/>
  <c r="AS8" i="18"/>
  <c r="BH8" i="18"/>
  <c r="AT8" i="18"/>
  <c r="BI8" i="18"/>
  <c r="AU8" i="18"/>
  <c r="BJ8" i="18"/>
  <c r="AV8" i="18"/>
  <c r="BK8" i="18"/>
  <c r="AW8" i="18"/>
  <c r="BL8" i="18"/>
  <c r="AX8" i="18"/>
  <c r="BM8" i="18"/>
  <c r="AY8" i="18"/>
  <c r="BN8" i="18"/>
  <c r="AZ8" i="18"/>
  <c r="BO8" i="18"/>
  <c r="BA8" i="18"/>
  <c r="BP8" i="18"/>
  <c r="BB8" i="18"/>
  <c r="BQ8" i="18"/>
  <c r="BC8" i="18"/>
  <c r="BR8" i="18"/>
  <c r="BD8" i="18"/>
  <c r="BS8" i="18"/>
  <c r="BT8" i="18"/>
  <c r="BU8" i="18"/>
  <c r="BU41" i="18"/>
  <c r="AP4" i="18"/>
  <c r="BE4" i="18"/>
  <c r="AQ4" i="18"/>
  <c r="BF4" i="18"/>
  <c r="AR4" i="18"/>
  <c r="BG4" i="18"/>
  <c r="AS4" i="18"/>
  <c r="BH4" i="18"/>
  <c r="AT4" i="18"/>
  <c r="BI4" i="18"/>
  <c r="AU4" i="18"/>
  <c r="BJ4" i="18"/>
  <c r="AV4" i="18"/>
  <c r="BK4" i="18"/>
  <c r="AW4" i="18"/>
  <c r="BL4" i="18"/>
  <c r="AX4" i="18"/>
  <c r="BM4" i="18"/>
  <c r="AY4" i="18"/>
  <c r="BN4" i="18"/>
  <c r="AZ4" i="18"/>
  <c r="BO4" i="18"/>
  <c r="BA4" i="18"/>
  <c r="BP4" i="18"/>
  <c r="BB4" i="18"/>
  <c r="BQ4" i="18"/>
  <c r="BC4" i="18"/>
  <c r="BR4" i="18"/>
  <c r="BD4" i="18"/>
  <c r="BS4" i="18"/>
  <c r="BT4" i="18"/>
  <c r="BU4" i="18"/>
  <c r="BU40" i="18"/>
  <c r="AP11" i="18"/>
  <c r="BE11" i="18"/>
  <c r="AQ11" i="18"/>
  <c r="BF11" i="18"/>
  <c r="AR11" i="18"/>
  <c r="BG11" i="18"/>
  <c r="AS11" i="18"/>
  <c r="BH11" i="18"/>
  <c r="AT11" i="18"/>
  <c r="BI11" i="18"/>
  <c r="AU11" i="18"/>
  <c r="BJ11" i="18"/>
  <c r="AV11" i="18"/>
  <c r="BK11" i="18"/>
  <c r="AW11" i="18"/>
  <c r="BL11" i="18"/>
  <c r="AX11" i="18"/>
  <c r="BM11" i="18"/>
  <c r="AY11" i="18"/>
  <c r="BN11" i="18"/>
  <c r="AZ11" i="18"/>
  <c r="BO11" i="18"/>
  <c r="BA11" i="18"/>
  <c r="BP11" i="18"/>
  <c r="BB11" i="18"/>
  <c r="BQ11" i="18"/>
  <c r="BC11" i="18"/>
  <c r="BR11" i="18"/>
  <c r="BD11" i="18"/>
  <c r="BS11" i="18"/>
  <c r="BT11" i="18"/>
  <c r="BU11" i="18"/>
  <c r="BU39" i="18"/>
  <c r="AP2" i="18"/>
  <c r="BE2" i="18"/>
  <c r="AQ2" i="18"/>
  <c r="BF2" i="18"/>
  <c r="AR2" i="18"/>
  <c r="BG2" i="18"/>
  <c r="AS2" i="18"/>
  <c r="BH2" i="18"/>
  <c r="AT2" i="18"/>
  <c r="BI2" i="18"/>
  <c r="AU2" i="18"/>
  <c r="BJ2" i="18"/>
  <c r="AV2" i="18"/>
  <c r="BK2" i="18"/>
  <c r="AW2" i="18"/>
  <c r="BL2" i="18"/>
  <c r="AX2" i="18"/>
  <c r="BM2" i="18"/>
  <c r="AY2" i="18"/>
  <c r="BN2" i="18"/>
  <c r="AZ2" i="18"/>
  <c r="BO2" i="18"/>
  <c r="BA2" i="18"/>
  <c r="BP2" i="18"/>
  <c r="BB2" i="18"/>
  <c r="BQ2" i="18"/>
  <c r="BC2" i="18"/>
  <c r="BR2" i="18"/>
  <c r="BD2" i="18"/>
  <c r="BS2" i="18"/>
  <c r="BT2" i="18"/>
  <c r="BU2" i="18"/>
  <c r="BU38" i="18"/>
  <c r="AP22" i="18"/>
  <c r="BE22" i="18"/>
  <c r="AQ22" i="18"/>
  <c r="BF22" i="18"/>
  <c r="AR22" i="18"/>
  <c r="BG22" i="18"/>
  <c r="AS22" i="18"/>
  <c r="BH22" i="18"/>
  <c r="AT22" i="18"/>
  <c r="BI22" i="18"/>
  <c r="AU22" i="18"/>
  <c r="BJ22" i="18"/>
  <c r="AV22" i="18"/>
  <c r="BK22" i="18"/>
  <c r="AW22" i="18"/>
  <c r="BL22" i="18"/>
  <c r="AX22" i="18"/>
  <c r="BM22" i="18"/>
  <c r="AY22" i="18"/>
  <c r="BN22" i="18"/>
  <c r="AZ22" i="18"/>
  <c r="BO22" i="18"/>
  <c r="BA22" i="18"/>
  <c r="BP22" i="18"/>
  <c r="BB22" i="18"/>
  <c r="BQ22" i="18"/>
  <c r="BC22" i="18"/>
  <c r="BR22" i="18"/>
  <c r="BD22" i="18"/>
  <c r="BS22" i="18"/>
  <c r="BT22" i="18"/>
  <c r="BU22" i="18"/>
  <c r="BU37" i="18"/>
  <c r="AP26" i="18"/>
  <c r="BE26" i="18"/>
  <c r="AQ26" i="18"/>
  <c r="BF26" i="18"/>
  <c r="AR26" i="18"/>
  <c r="BG26" i="18"/>
  <c r="AS26" i="18"/>
  <c r="BH26" i="18"/>
  <c r="AT26" i="18"/>
  <c r="BI26" i="18"/>
  <c r="AU26" i="18"/>
  <c r="BJ26" i="18"/>
  <c r="AV26" i="18"/>
  <c r="BK26" i="18"/>
  <c r="AW26" i="18"/>
  <c r="BL26" i="18"/>
  <c r="AX26" i="18"/>
  <c r="BM26" i="18"/>
  <c r="AY26" i="18"/>
  <c r="BN26" i="18"/>
  <c r="AZ26" i="18"/>
  <c r="BO26" i="18"/>
  <c r="BA26" i="18"/>
  <c r="BP26" i="18"/>
  <c r="BB26" i="18"/>
  <c r="BQ26" i="18"/>
  <c r="BC26" i="18"/>
  <c r="BR26" i="18"/>
  <c r="BD26" i="18"/>
  <c r="BS26" i="18"/>
  <c r="BT26" i="18"/>
  <c r="BU26" i="18"/>
  <c r="BU36" i="18"/>
  <c r="AP30" i="18"/>
  <c r="BE30" i="18"/>
  <c r="AQ30" i="18"/>
  <c r="BF30" i="18"/>
  <c r="AR30" i="18"/>
  <c r="BG30" i="18"/>
  <c r="AS30" i="18"/>
  <c r="BH30" i="18"/>
  <c r="AT30" i="18"/>
  <c r="BI30" i="18"/>
  <c r="AU30" i="18"/>
  <c r="BJ30" i="18"/>
  <c r="AV30" i="18"/>
  <c r="BK30" i="18"/>
  <c r="AW30" i="18"/>
  <c r="BL30" i="18"/>
  <c r="AX30" i="18"/>
  <c r="BM30" i="18"/>
  <c r="AY30" i="18"/>
  <c r="BN30" i="18"/>
  <c r="AZ30" i="18"/>
  <c r="BO30" i="18"/>
  <c r="BA30" i="18"/>
  <c r="BP30" i="18"/>
  <c r="BB30" i="18"/>
  <c r="BQ30" i="18"/>
  <c r="BC30" i="18"/>
  <c r="BR30" i="18"/>
  <c r="BD30" i="18"/>
  <c r="BS30" i="18"/>
  <c r="BT30" i="18"/>
  <c r="BU30" i="18"/>
  <c r="BU35" i="18"/>
  <c r="AP14" i="18"/>
  <c r="BE14" i="18"/>
  <c r="AQ14" i="18"/>
  <c r="BF14" i="18"/>
  <c r="AR14" i="18"/>
  <c r="BG14" i="18"/>
  <c r="AS14" i="18"/>
  <c r="BH14" i="18"/>
  <c r="AT14" i="18"/>
  <c r="BI14" i="18"/>
  <c r="AU14" i="18"/>
  <c r="BJ14" i="18"/>
  <c r="AV14" i="18"/>
  <c r="BK14" i="18"/>
  <c r="AW14" i="18"/>
  <c r="BL14" i="18"/>
  <c r="AX14" i="18"/>
  <c r="BM14" i="18"/>
  <c r="AY14" i="18"/>
  <c r="BN14" i="18"/>
  <c r="AZ14" i="18"/>
  <c r="BO14" i="18"/>
  <c r="BA14" i="18"/>
  <c r="BP14" i="18"/>
  <c r="BB14" i="18"/>
  <c r="BQ14" i="18"/>
  <c r="BC14" i="18"/>
  <c r="BR14" i="18"/>
  <c r="BD14" i="18"/>
  <c r="BS14" i="18"/>
  <c r="BT14" i="18"/>
  <c r="BU14" i="18"/>
  <c r="BU34" i="18"/>
  <c r="AP13" i="18"/>
  <c r="BE13" i="18"/>
  <c r="AQ13" i="18"/>
  <c r="BF13" i="18"/>
  <c r="AR13" i="18"/>
  <c r="BG13" i="18"/>
  <c r="AS13" i="18"/>
  <c r="BH13" i="18"/>
  <c r="AT13" i="18"/>
  <c r="BI13" i="18"/>
  <c r="AU13" i="18"/>
  <c r="BJ13" i="18"/>
  <c r="AV13" i="18"/>
  <c r="BK13" i="18"/>
  <c r="AW13" i="18"/>
  <c r="BL13" i="18"/>
  <c r="AX13" i="18"/>
  <c r="BM13" i="18"/>
  <c r="AY13" i="18"/>
  <c r="BN13" i="18"/>
  <c r="AZ13" i="18"/>
  <c r="BO13" i="18"/>
  <c r="BA13" i="18"/>
  <c r="BP13" i="18"/>
  <c r="BB13" i="18"/>
  <c r="BQ13" i="18"/>
  <c r="BC13" i="18"/>
  <c r="BR13" i="18"/>
  <c r="BD13" i="18"/>
  <c r="BS13" i="18"/>
  <c r="BT13" i="18"/>
  <c r="BU13" i="18"/>
  <c r="BU33" i="18"/>
  <c r="AP3" i="18"/>
  <c r="BE3" i="18"/>
  <c r="AQ3" i="18"/>
  <c r="BF3" i="18"/>
  <c r="AR3" i="18"/>
  <c r="BG3" i="18"/>
  <c r="AS3" i="18"/>
  <c r="BH3" i="18"/>
  <c r="AT3" i="18"/>
  <c r="BI3" i="18"/>
  <c r="AU3" i="18"/>
  <c r="BJ3" i="18"/>
  <c r="AV3" i="18"/>
  <c r="BK3" i="18"/>
  <c r="AW3" i="18"/>
  <c r="BL3" i="18"/>
  <c r="AX3" i="18"/>
  <c r="BM3" i="18"/>
  <c r="AY3" i="18"/>
  <c r="BN3" i="18"/>
  <c r="AZ3" i="18"/>
  <c r="BO3" i="18"/>
  <c r="BA3" i="18"/>
  <c r="BP3" i="18"/>
  <c r="BB3" i="18"/>
  <c r="BQ3" i="18"/>
  <c r="BC3" i="18"/>
  <c r="BR3" i="18"/>
  <c r="BD3" i="18"/>
  <c r="BS3" i="18"/>
  <c r="BT3" i="18"/>
  <c r="BU3" i="18"/>
  <c r="BU32" i="18"/>
  <c r="BT32" i="18"/>
  <c r="BT33" i="18"/>
  <c r="BT34" i="18"/>
  <c r="BT35" i="18"/>
  <c r="BT36" i="18"/>
  <c r="BT37" i="18"/>
  <c r="BT38" i="18"/>
  <c r="BT39" i="18"/>
  <c r="BT40" i="18"/>
  <c r="BT41" i="18"/>
  <c r="BT42" i="18"/>
  <c r="BT43" i="18"/>
  <c r="BT44" i="18"/>
  <c r="BT31" i="18"/>
  <c r="BU31" i="18"/>
  <c r="P3" i="18"/>
  <c r="Q3" i="18"/>
  <c r="R3" i="18"/>
  <c r="S3" i="18"/>
  <c r="T3" i="18"/>
  <c r="U3" i="18"/>
  <c r="V3" i="18"/>
  <c r="W3" i="18"/>
  <c r="X3" i="18"/>
  <c r="Y3" i="18"/>
  <c r="Z3" i="18"/>
  <c r="AA3" i="18"/>
  <c r="AB3" i="18"/>
  <c r="P4" i="18"/>
  <c r="Q4" i="18"/>
  <c r="R4" i="18"/>
  <c r="S4" i="18"/>
  <c r="T4" i="18"/>
  <c r="U4" i="18"/>
  <c r="V4" i="18"/>
  <c r="W4" i="18"/>
  <c r="X4" i="18"/>
  <c r="Y4" i="18"/>
  <c r="Z4" i="18"/>
  <c r="AA4" i="18"/>
  <c r="AB4" i="18"/>
  <c r="P5" i="18"/>
  <c r="Q5" i="18"/>
  <c r="R5" i="18"/>
  <c r="S5" i="18"/>
  <c r="T5" i="18"/>
  <c r="U5" i="18"/>
  <c r="V5" i="18"/>
  <c r="W5" i="18"/>
  <c r="X5" i="18"/>
  <c r="Y5" i="18"/>
  <c r="Z5" i="18"/>
  <c r="AA5" i="18"/>
  <c r="AB5" i="18"/>
  <c r="P6" i="18"/>
  <c r="Q6" i="18"/>
  <c r="R6" i="18"/>
  <c r="S6" i="18"/>
  <c r="T6" i="18"/>
  <c r="U6" i="18"/>
  <c r="V6" i="18"/>
  <c r="W6" i="18"/>
  <c r="X6" i="18"/>
  <c r="Y6" i="18"/>
  <c r="Z6" i="18"/>
  <c r="AA6" i="18"/>
  <c r="AB6" i="18"/>
  <c r="P7" i="18"/>
  <c r="Q7" i="18"/>
  <c r="R7" i="18"/>
  <c r="S7" i="18"/>
  <c r="T7" i="18"/>
  <c r="U7" i="18"/>
  <c r="V7" i="18"/>
  <c r="W7" i="18"/>
  <c r="X7" i="18"/>
  <c r="Y7" i="18"/>
  <c r="Z7" i="18"/>
  <c r="AA7" i="18"/>
  <c r="AB7" i="18"/>
  <c r="P8" i="18"/>
  <c r="Q8" i="18"/>
  <c r="R8" i="18"/>
  <c r="S8" i="18"/>
  <c r="T8" i="18"/>
  <c r="U8" i="18"/>
  <c r="V8" i="18"/>
  <c r="W8" i="18"/>
  <c r="X8" i="18"/>
  <c r="Y8" i="18"/>
  <c r="Z8" i="18"/>
  <c r="AA8" i="18"/>
  <c r="AB8" i="18"/>
  <c r="P9" i="18"/>
  <c r="Q9" i="18"/>
  <c r="R9" i="18"/>
  <c r="S9" i="18"/>
  <c r="T9" i="18"/>
  <c r="U9" i="18"/>
  <c r="V9" i="18"/>
  <c r="W9" i="18"/>
  <c r="X9" i="18"/>
  <c r="Y9" i="18"/>
  <c r="Z9" i="18"/>
  <c r="AA9" i="18"/>
  <c r="AB9" i="18"/>
  <c r="P10" i="18"/>
  <c r="Q10" i="18"/>
  <c r="R10" i="18"/>
  <c r="S10" i="18"/>
  <c r="T10" i="18"/>
  <c r="U10" i="18"/>
  <c r="V10" i="18"/>
  <c r="W10" i="18"/>
  <c r="X10" i="18"/>
  <c r="Y10" i="18"/>
  <c r="Z10" i="18"/>
  <c r="AA10" i="18"/>
  <c r="AB10" i="18"/>
  <c r="P11" i="18"/>
  <c r="Q11" i="18"/>
  <c r="R11" i="18"/>
  <c r="S11" i="18"/>
  <c r="T11" i="18"/>
  <c r="U11" i="18"/>
  <c r="V11" i="18"/>
  <c r="W11" i="18"/>
  <c r="X11" i="18"/>
  <c r="Y11" i="18"/>
  <c r="Z11" i="18"/>
  <c r="AA11" i="18"/>
  <c r="AB11" i="18"/>
  <c r="P12" i="18"/>
  <c r="Q12" i="18"/>
  <c r="R12" i="18"/>
  <c r="S12" i="18"/>
  <c r="T12" i="18"/>
  <c r="U12" i="18"/>
  <c r="V12" i="18"/>
  <c r="W12" i="18"/>
  <c r="X12" i="18"/>
  <c r="Y12" i="18"/>
  <c r="Z12" i="18"/>
  <c r="AA12" i="18"/>
  <c r="AB12" i="18"/>
  <c r="P13" i="18"/>
  <c r="Q13" i="18"/>
  <c r="R13" i="18"/>
  <c r="S13" i="18"/>
  <c r="T13" i="18"/>
  <c r="U13" i="18"/>
  <c r="V13" i="18"/>
  <c r="W13" i="18"/>
  <c r="X13" i="18"/>
  <c r="Y13" i="18"/>
  <c r="Z13" i="18"/>
  <c r="AA13" i="18"/>
  <c r="AB13" i="18"/>
  <c r="P14" i="18"/>
  <c r="Q14" i="18"/>
  <c r="R14" i="18"/>
  <c r="S14" i="18"/>
  <c r="T14" i="18"/>
  <c r="U14" i="18"/>
  <c r="V14" i="18"/>
  <c r="W14" i="18"/>
  <c r="X14" i="18"/>
  <c r="Y14" i="18"/>
  <c r="Z14" i="18"/>
  <c r="AA14" i="18"/>
  <c r="AB14" i="18"/>
  <c r="P15" i="18"/>
  <c r="Q15" i="18"/>
  <c r="R15" i="18"/>
  <c r="S15" i="18"/>
  <c r="T15" i="18"/>
  <c r="U15" i="18"/>
  <c r="V15" i="18"/>
  <c r="W15" i="18"/>
  <c r="X15" i="18"/>
  <c r="Y15" i="18"/>
  <c r="Z15" i="18"/>
  <c r="AA15" i="18"/>
  <c r="AB15" i="18"/>
  <c r="P16" i="18"/>
  <c r="Q16" i="18"/>
  <c r="R16" i="18"/>
  <c r="S16" i="18"/>
  <c r="T16" i="18"/>
  <c r="U16" i="18"/>
  <c r="V16" i="18"/>
  <c r="W16" i="18"/>
  <c r="X16" i="18"/>
  <c r="Y16" i="18"/>
  <c r="Z16" i="18"/>
  <c r="AA16" i="18"/>
  <c r="AB16" i="18"/>
  <c r="P17" i="18"/>
  <c r="Q17" i="18"/>
  <c r="R17" i="18"/>
  <c r="S17" i="18"/>
  <c r="T17" i="18"/>
  <c r="U17" i="18"/>
  <c r="V17" i="18"/>
  <c r="W17" i="18"/>
  <c r="X17" i="18"/>
  <c r="Y17" i="18"/>
  <c r="Z17" i="18"/>
  <c r="AA17" i="18"/>
  <c r="AB17" i="18"/>
  <c r="P18" i="18"/>
  <c r="Q18" i="18"/>
  <c r="R18" i="18"/>
  <c r="S18" i="18"/>
  <c r="T18" i="18"/>
  <c r="U18" i="18"/>
  <c r="V18" i="18"/>
  <c r="W18" i="18"/>
  <c r="X18" i="18"/>
  <c r="Y18" i="18"/>
  <c r="Z18" i="18"/>
  <c r="AA18" i="18"/>
  <c r="AB18" i="18"/>
  <c r="P19" i="18"/>
  <c r="Q19" i="18"/>
  <c r="R19" i="18"/>
  <c r="S19" i="18"/>
  <c r="T19" i="18"/>
  <c r="U19" i="18"/>
  <c r="V19" i="18"/>
  <c r="W19" i="18"/>
  <c r="X19" i="18"/>
  <c r="Y19" i="18"/>
  <c r="Z19" i="18"/>
  <c r="AA19" i="18"/>
  <c r="AB19" i="18"/>
  <c r="P20" i="18"/>
  <c r="Q20" i="18"/>
  <c r="R20" i="18"/>
  <c r="S20" i="18"/>
  <c r="T20" i="18"/>
  <c r="U20" i="18"/>
  <c r="V20" i="18"/>
  <c r="W20" i="18"/>
  <c r="X20" i="18"/>
  <c r="Y20" i="18"/>
  <c r="Z20" i="18"/>
  <c r="AA20" i="18"/>
  <c r="AB20" i="18"/>
  <c r="P21" i="18"/>
  <c r="Q21" i="18"/>
  <c r="R21" i="18"/>
  <c r="S21" i="18"/>
  <c r="T21" i="18"/>
  <c r="U21" i="18"/>
  <c r="V21" i="18"/>
  <c r="W21" i="18"/>
  <c r="X21" i="18"/>
  <c r="Y21" i="18"/>
  <c r="Z21" i="18"/>
  <c r="AA21" i="18"/>
  <c r="AB21" i="18"/>
  <c r="P22" i="18"/>
  <c r="Q22" i="18"/>
  <c r="R22" i="18"/>
  <c r="S22" i="18"/>
  <c r="T22" i="18"/>
  <c r="U22" i="18"/>
  <c r="V22" i="18"/>
  <c r="W22" i="18"/>
  <c r="X22" i="18"/>
  <c r="Y22" i="18"/>
  <c r="Z22" i="18"/>
  <c r="AA22" i="18"/>
  <c r="AB22" i="18"/>
  <c r="P23" i="18"/>
  <c r="Q23" i="18"/>
  <c r="R23" i="18"/>
  <c r="S23" i="18"/>
  <c r="T23" i="18"/>
  <c r="U23" i="18"/>
  <c r="V23" i="18"/>
  <c r="W23" i="18"/>
  <c r="X23" i="18"/>
  <c r="Y23" i="18"/>
  <c r="Z23" i="18"/>
  <c r="AA23" i="18"/>
  <c r="AB23" i="18"/>
  <c r="P24" i="18"/>
  <c r="Q24" i="18"/>
  <c r="R24" i="18"/>
  <c r="S24" i="18"/>
  <c r="T24" i="18"/>
  <c r="U24" i="18"/>
  <c r="V24" i="18"/>
  <c r="W24" i="18"/>
  <c r="X24" i="18"/>
  <c r="Y24" i="18"/>
  <c r="Z24" i="18"/>
  <c r="AA24" i="18"/>
  <c r="AB24" i="18"/>
  <c r="P25" i="18"/>
  <c r="Q25" i="18"/>
  <c r="R25" i="18"/>
  <c r="S25" i="18"/>
  <c r="T25" i="18"/>
  <c r="U25" i="18"/>
  <c r="V25" i="18"/>
  <c r="W25" i="18"/>
  <c r="X25" i="18"/>
  <c r="Y25" i="18"/>
  <c r="Z25" i="18"/>
  <c r="AA25" i="18"/>
  <c r="AB25" i="18"/>
  <c r="P26" i="18"/>
  <c r="Q26" i="18"/>
  <c r="R26" i="18"/>
  <c r="S26" i="18"/>
  <c r="T26" i="18"/>
  <c r="U26" i="18"/>
  <c r="V26" i="18"/>
  <c r="W26" i="18"/>
  <c r="X26" i="18"/>
  <c r="Y26" i="18"/>
  <c r="Z26" i="18"/>
  <c r="AA26" i="18"/>
  <c r="AB26" i="18"/>
  <c r="P27" i="18"/>
  <c r="Q27" i="18"/>
  <c r="R27" i="18"/>
  <c r="S27" i="18"/>
  <c r="T27" i="18"/>
  <c r="U27" i="18"/>
  <c r="V27" i="18"/>
  <c r="W27" i="18"/>
  <c r="X27" i="18"/>
  <c r="Y27" i="18"/>
  <c r="Z27" i="18"/>
  <c r="AA27" i="18"/>
  <c r="AB27" i="18"/>
  <c r="P28" i="18"/>
  <c r="Q28" i="18"/>
  <c r="R28" i="18"/>
  <c r="S28" i="18"/>
  <c r="T28" i="18"/>
  <c r="U28" i="18"/>
  <c r="V28" i="18"/>
  <c r="W28" i="18"/>
  <c r="X28" i="18"/>
  <c r="Y28" i="18"/>
  <c r="Z28" i="18"/>
  <c r="AA28" i="18"/>
  <c r="AB28" i="18"/>
  <c r="P29" i="18"/>
  <c r="Q29" i="18"/>
  <c r="R29" i="18"/>
  <c r="S29" i="18"/>
  <c r="T29" i="18"/>
  <c r="U29" i="18"/>
  <c r="V29" i="18"/>
  <c r="W29" i="18"/>
  <c r="X29" i="18"/>
  <c r="Y29" i="18"/>
  <c r="Z29" i="18"/>
  <c r="AA29" i="18"/>
  <c r="AB29" i="18"/>
  <c r="P30" i="18"/>
  <c r="Q30" i="18"/>
  <c r="R30" i="18"/>
  <c r="S30" i="18"/>
  <c r="T30" i="18"/>
  <c r="U30" i="18"/>
  <c r="V30" i="18"/>
  <c r="W30" i="18"/>
  <c r="X30" i="18"/>
  <c r="Y30" i="18"/>
  <c r="Z30" i="18"/>
  <c r="AA30" i="18"/>
  <c r="AB30" i="18"/>
  <c r="AB32" i="18"/>
  <c r="AB33" i="18"/>
  <c r="AB34" i="18"/>
  <c r="AB35" i="18"/>
  <c r="AB36" i="18"/>
  <c r="AB37" i="18"/>
  <c r="D2" i="18"/>
  <c r="P2" i="18"/>
  <c r="Q2" i="18"/>
  <c r="R2" i="18"/>
  <c r="S2" i="18"/>
  <c r="T2" i="18"/>
  <c r="U2" i="18"/>
  <c r="V2" i="18"/>
  <c r="W2" i="18"/>
  <c r="X2" i="18"/>
  <c r="Y2" i="18"/>
  <c r="Z2" i="18"/>
  <c r="AA2" i="18"/>
  <c r="AB2" i="18"/>
  <c r="AB38" i="18"/>
  <c r="AB39" i="18"/>
  <c r="AB40" i="18"/>
  <c r="AB41" i="18"/>
  <c r="AB42" i="18"/>
  <c r="AB43" i="18"/>
  <c r="AB44" i="18"/>
  <c r="AB46" i="18"/>
  <c r="AB47" i="18"/>
  <c r="AB49" i="18"/>
  <c r="AB50" i="18"/>
  <c r="AB51" i="18"/>
  <c r="AB52" i="18"/>
  <c r="AB53" i="18"/>
  <c r="AB54" i="18"/>
  <c r="AB55" i="18"/>
  <c r="AB56" i="18"/>
  <c r="AB57" i="18"/>
  <c r="AB58" i="18"/>
  <c r="AB59" i="18"/>
  <c r="AB60" i="18"/>
  <c r="AB61" i="18"/>
  <c r="AB62" i="18"/>
  <c r="AB64" i="18"/>
  <c r="AB65" i="18"/>
  <c r="AB66" i="18"/>
  <c r="AB67" i="18"/>
  <c r="AB68" i="18"/>
  <c r="AB69" i="18"/>
  <c r="AB70" i="18"/>
  <c r="AB71" i="18"/>
  <c r="AB72" i="18"/>
  <c r="AB73" i="18"/>
  <c r="AB74" i="18"/>
  <c r="AB75" i="18"/>
  <c r="AB76" i="18"/>
  <c r="O32" i="18"/>
  <c r="O33" i="18"/>
  <c r="O34" i="18"/>
  <c r="O35" i="18"/>
  <c r="O36" i="18"/>
  <c r="O37" i="18"/>
  <c r="O38" i="18"/>
  <c r="O39" i="18"/>
  <c r="O40" i="18"/>
  <c r="O41" i="18"/>
  <c r="O42" i="18"/>
  <c r="O43" i="18"/>
  <c r="O44" i="18"/>
  <c r="O31" i="18"/>
  <c r="AA31" i="18"/>
  <c r="AA32" i="18"/>
  <c r="AA33" i="18"/>
  <c r="AA34" i="18"/>
  <c r="AA35" i="18"/>
  <c r="AA36" i="18"/>
  <c r="AA37" i="18"/>
  <c r="AA38" i="18"/>
  <c r="AA39" i="18"/>
  <c r="AA40" i="18"/>
  <c r="AA41" i="18"/>
  <c r="AA42" i="18"/>
  <c r="AA43" i="18"/>
  <c r="AA44" i="18"/>
  <c r="O46" i="18"/>
  <c r="O47" i="18"/>
  <c r="O45" i="18"/>
  <c r="AA45" i="18"/>
  <c r="AA46" i="18"/>
  <c r="AA47" i="18"/>
  <c r="O49" i="18"/>
  <c r="O50" i="18"/>
  <c r="O51" i="18"/>
  <c r="O52" i="18"/>
  <c r="O53" i="18"/>
  <c r="O54" i="18"/>
  <c r="O55" i="18"/>
  <c r="O56" i="18"/>
  <c r="O57" i="18"/>
  <c r="O58" i="18"/>
  <c r="O59" i="18"/>
  <c r="O60" i="18"/>
  <c r="O61" i="18"/>
  <c r="O62" i="18"/>
  <c r="O48" i="18"/>
  <c r="AA48" i="18"/>
  <c r="AA49" i="18"/>
  <c r="AA50" i="18"/>
  <c r="AA51" i="18"/>
  <c r="AA52" i="18"/>
  <c r="AA53" i="18"/>
  <c r="AA54" i="18"/>
  <c r="AA55" i="18"/>
  <c r="AA56" i="18"/>
  <c r="AA57" i="18"/>
  <c r="AA58" i="18"/>
  <c r="AA59" i="18"/>
  <c r="AA60" i="18"/>
  <c r="AA61" i="18"/>
  <c r="AA62" i="18"/>
  <c r="O64" i="18"/>
  <c r="O65" i="18"/>
  <c r="O66" i="18"/>
  <c r="O67" i="18"/>
  <c r="O68" i="18"/>
  <c r="O69" i="18"/>
  <c r="O70" i="18"/>
  <c r="O71" i="18"/>
  <c r="O72" i="18"/>
  <c r="O73" i="18"/>
  <c r="O74" i="18"/>
  <c r="O75" i="18"/>
  <c r="O76" i="18"/>
  <c r="O63" i="18"/>
  <c r="AA63" i="18"/>
  <c r="AA64" i="18"/>
  <c r="AA65" i="18"/>
  <c r="AA66" i="18"/>
  <c r="AA67" i="18"/>
  <c r="AA68" i="18"/>
  <c r="AA69" i="18"/>
  <c r="AA70" i="18"/>
  <c r="AA71" i="18"/>
  <c r="AA72" i="18"/>
  <c r="AA73" i="18"/>
  <c r="AA74" i="18"/>
  <c r="AA75" i="18"/>
  <c r="AA76" i="18"/>
  <c r="N32" i="18"/>
  <c r="N33" i="18"/>
  <c r="N34" i="18"/>
  <c r="N35" i="18"/>
  <c r="N36" i="18"/>
  <c r="N37" i="18"/>
  <c r="N38" i="18"/>
  <c r="N39" i="18"/>
  <c r="N40" i="18"/>
  <c r="N41" i="18"/>
  <c r="N42" i="18"/>
  <c r="N43" i="18"/>
  <c r="N44" i="18"/>
  <c r="N31" i="18"/>
  <c r="Z31" i="18"/>
  <c r="Z32" i="18"/>
  <c r="Z33" i="18"/>
  <c r="Z34" i="18"/>
  <c r="Z35" i="18"/>
  <c r="Z36" i="18"/>
  <c r="Z37" i="18"/>
  <c r="Z38" i="18"/>
  <c r="Z39" i="18"/>
  <c r="Z40" i="18"/>
  <c r="Z41" i="18"/>
  <c r="Z42" i="18"/>
  <c r="Z43" i="18"/>
  <c r="Z44" i="18"/>
  <c r="N46" i="18"/>
  <c r="N47" i="18"/>
  <c r="N45" i="18"/>
  <c r="Z45" i="18"/>
  <c r="Z46" i="18"/>
  <c r="Z47" i="18"/>
  <c r="N49" i="18"/>
  <c r="N50" i="18"/>
  <c r="N51" i="18"/>
  <c r="N52" i="18"/>
  <c r="N53" i="18"/>
  <c r="N54" i="18"/>
  <c r="N55" i="18"/>
  <c r="N56" i="18"/>
  <c r="N57" i="18"/>
  <c r="N58" i="18"/>
  <c r="N59" i="18"/>
  <c r="N60" i="18"/>
  <c r="N61" i="18"/>
  <c r="N62" i="18"/>
  <c r="N48" i="18"/>
  <c r="Z48" i="18"/>
  <c r="Z49" i="18"/>
  <c r="Z50" i="18"/>
  <c r="Z51" i="18"/>
  <c r="Z52" i="18"/>
  <c r="Z53" i="18"/>
  <c r="Z54" i="18"/>
  <c r="Z55" i="18"/>
  <c r="Z56" i="18"/>
  <c r="Z57" i="18"/>
  <c r="Z58" i="18"/>
  <c r="Z59" i="18"/>
  <c r="Z60" i="18"/>
  <c r="Z61" i="18"/>
  <c r="Z62" i="18"/>
  <c r="N64" i="18"/>
  <c r="N65" i="18"/>
  <c r="N66" i="18"/>
  <c r="N67" i="18"/>
  <c r="N68" i="18"/>
  <c r="N69" i="18"/>
  <c r="N70" i="18"/>
  <c r="N71" i="18"/>
  <c r="N72" i="18"/>
  <c r="N73" i="18"/>
  <c r="N74" i="18"/>
  <c r="N75" i="18"/>
  <c r="N76" i="18"/>
  <c r="N63" i="18"/>
  <c r="Z63" i="18"/>
  <c r="Z64" i="18"/>
  <c r="Z65" i="18"/>
  <c r="Z66" i="18"/>
  <c r="Z67" i="18"/>
  <c r="Z68" i="18"/>
  <c r="Z69" i="18"/>
  <c r="Z70" i="18"/>
  <c r="Z71" i="18"/>
  <c r="Z72" i="18"/>
  <c r="Z73" i="18"/>
  <c r="Z74" i="18"/>
  <c r="Z75" i="18"/>
  <c r="Z76" i="18"/>
  <c r="M32" i="18"/>
  <c r="M33" i="18"/>
  <c r="M34" i="18"/>
  <c r="M35" i="18"/>
  <c r="M36" i="18"/>
  <c r="M37" i="18"/>
  <c r="M38" i="18"/>
  <c r="M39" i="18"/>
  <c r="M40" i="18"/>
  <c r="M41" i="18"/>
  <c r="M42" i="18"/>
  <c r="M43" i="18"/>
  <c r="M44" i="18"/>
  <c r="M31" i="18"/>
  <c r="Y31" i="18"/>
  <c r="Y32" i="18"/>
  <c r="Y33" i="18"/>
  <c r="Y34" i="18"/>
  <c r="Y35" i="18"/>
  <c r="Y36" i="18"/>
  <c r="Y37" i="18"/>
  <c r="Y38" i="18"/>
  <c r="Y39" i="18"/>
  <c r="Y40" i="18"/>
  <c r="Y41" i="18"/>
  <c r="Y42" i="18"/>
  <c r="Y43" i="18"/>
  <c r="Y44" i="18"/>
  <c r="M46" i="18"/>
  <c r="M47" i="18"/>
  <c r="M45" i="18"/>
  <c r="Y45" i="18"/>
  <c r="Y46" i="18"/>
  <c r="Y47" i="18"/>
  <c r="M49" i="18"/>
  <c r="M50" i="18"/>
  <c r="M51" i="18"/>
  <c r="M52" i="18"/>
  <c r="M53" i="18"/>
  <c r="M54" i="18"/>
  <c r="M55" i="18"/>
  <c r="M56" i="18"/>
  <c r="M57" i="18"/>
  <c r="M58" i="18"/>
  <c r="M59" i="18"/>
  <c r="M60" i="18"/>
  <c r="M61" i="18"/>
  <c r="M62" i="18"/>
  <c r="M48" i="18"/>
  <c r="Y48" i="18"/>
  <c r="Y49" i="18"/>
  <c r="Y50" i="18"/>
  <c r="Y51" i="18"/>
  <c r="Y52" i="18"/>
  <c r="Y53" i="18"/>
  <c r="Y54" i="18"/>
  <c r="Y55" i="18"/>
  <c r="Y56" i="18"/>
  <c r="Y57" i="18"/>
  <c r="Y58" i="18"/>
  <c r="Y59" i="18"/>
  <c r="Y60" i="18"/>
  <c r="Y61" i="18"/>
  <c r="Y62" i="18"/>
  <c r="M64" i="18"/>
  <c r="M65" i="18"/>
  <c r="M66" i="18"/>
  <c r="M67" i="18"/>
  <c r="M68" i="18"/>
  <c r="M69" i="18"/>
  <c r="M70" i="18"/>
  <c r="M71" i="18"/>
  <c r="M72" i="18"/>
  <c r="M73" i="18"/>
  <c r="M74" i="18"/>
  <c r="M75" i="18"/>
  <c r="M76" i="18"/>
  <c r="M63" i="18"/>
  <c r="Y63" i="18"/>
  <c r="Y64" i="18"/>
  <c r="Y65" i="18"/>
  <c r="Y66" i="18"/>
  <c r="Y67" i="18"/>
  <c r="Y68" i="18"/>
  <c r="Y69" i="18"/>
  <c r="Y70" i="18"/>
  <c r="Y71" i="18"/>
  <c r="Y72" i="18"/>
  <c r="Y73" i="18"/>
  <c r="Y74" i="18"/>
  <c r="Y75" i="18"/>
  <c r="Y76" i="18"/>
  <c r="L32" i="18"/>
  <c r="L33" i="18"/>
  <c r="L34" i="18"/>
  <c r="L35" i="18"/>
  <c r="L36" i="18"/>
  <c r="L37" i="18"/>
  <c r="L38" i="18"/>
  <c r="L39" i="18"/>
  <c r="L40" i="18"/>
  <c r="L41" i="18"/>
  <c r="L42" i="18"/>
  <c r="L43" i="18"/>
  <c r="L44" i="18"/>
  <c r="L31" i="18"/>
  <c r="X31" i="18"/>
  <c r="X32" i="18"/>
  <c r="X33" i="18"/>
  <c r="X34" i="18"/>
  <c r="X35" i="18"/>
  <c r="X36" i="18"/>
  <c r="X37" i="18"/>
  <c r="X38" i="18"/>
  <c r="X39" i="18"/>
  <c r="X40" i="18"/>
  <c r="X41" i="18"/>
  <c r="X42" i="18"/>
  <c r="X43" i="18"/>
  <c r="X44" i="18"/>
  <c r="L46" i="18"/>
  <c r="L47" i="18"/>
  <c r="L45" i="18"/>
  <c r="X45" i="18"/>
  <c r="X46" i="18"/>
  <c r="X47" i="18"/>
  <c r="L49" i="18"/>
  <c r="L50" i="18"/>
  <c r="L51" i="18"/>
  <c r="L52" i="18"/>
  <c r="L53" i="18"/>
  <c r="L54" i="18"/>
  <c r="L55" i="18"/>
  <c r="L56" i="18"/>
  <c r="L57" i="18"/>
  <c r="L58" i="18"/>
  <c r="L59" i="18"/>
  <c r="L60" i="18"/>
  <c r="L61" i="18"/>
  <c r="L62" i="18"/>
  <c r="L48" i="18"/>
  <c r="X48" i="18"/>
  <c r="X49" i="18"/>
  <c r="X50" i="18"/>
  <c r="X51" i="18"/>
  <c r="X52" i="18"/>
  <c r="X53" i="18"/>
  <c r="X54" i="18"/>
  <c r="X55" i="18"/>
  <c r="X56" i="18"/>
  <c r="X57" i="18"/>
  <c r="X58" i="18"/>
  <c r="X59" i="18"/>
  <c r="X60" i="18"/>
  <c r="X61" i="18"/>
  <c r="X62" i="18"/>
  <c r="L64" i="18"/>
  <c r="L65" i="18"/>
  <c r="L66" i="18"/>
  <c r="L67" i="18"/>
  <c r="L68" i="18"/>
  <c r="L69" i="18"/>
  <c r="L70" i="18"/>
  <c r="L71" i="18"/>
  <c r="L72" i="18"/>
  <c r="L73" i="18"/>
  <c r="L74" i="18"/>
  <c r="L75" i="18"/>
  <c r="L76" i="18"/>
  <c r="L63" i="18"/>
  <c r="X63" i="18"/>
  <c r="X64" i="18"/>
  <c r="X65" i="18"/>
  <c r="X66" i="18"/>
  <c r="X67" i="18"/>
  <c r="X68" i="18"/>
  <c r="X69" i="18"/>
  <c r="X70" i="18"/>
  <c r="X71" i="18"/>
  <c r="X72" i="18"/>
  <c r="X73" i="18"/>
  <c r="X74" i="18"/>
  <c r="X75" i="18"/>
  <c r="X76" i="18"/>
  <c r="AC76" i="18"/>
  <c r="W76" i="18"/>
  <c r="V76" i="18"/>
  <c r="U76" i="18"/>
  <c r="T76" i="18"/>
  <c r="K76" i="18"/>
  <c r="S76" i="18"/>
  <c r="J76" i="18"/>
  <c r="R76" i="18"/>
  <c r="I76" i="18"/>
  <c r="Q76" i="18"/>
  <c r="H76" i="18"/>
  <c r="P76" i="18"/>
  <c r="AC75" i="18"/>
  <c r="W75" i="18"/>
  <c r="V75" i="18"/>
  <c r="U75" i="18"/>
  <c r="T75" i="18"/>
  <c r="K75" i="18"/>
  <c r="S75" i="18"/>
  <c r="J75" i="18"/>
  <c r="R75" i="18"/>
  <c r="I75" i="18"/>
  <c r="Q75" i="18"/>
  <c r="H75" i="18"/>
  <c r="P75" i="18"/>
  <c r="AC74" i="18"/>
  <c r="W74" i="18"/>
  <c r="V74" i="18"/>
  <c r="U74" i="18"/>
  <c r="T74" i="18"/>
  <c r="K74" i="18"/>
  <c r="S74" i="18"/>
  <c r="J74" i="18"/>
  <c r="R74" i="18"/>
  <c r="I74" i="18"/>
  <c r="Q74" i="18"/>
  <c r="H74" i="18"/>
  <c r="P74" i="18"/>
  <c r="AC73" i="18"/>
  <c r="W73" i="18"/>
  <c r="V73" i="18"/>
  <c r="U73" i="18"/>
  <c r="T73" i="18"/>
  <c r="K73" i="18"/>
  <c r="S73" i="18"/>
  <c r="J73" i="18"/>
  <c r="R73" i="18"/>
  <c r="I73" i="18"/>
  <c r="Q73" i="18"/>
  <c r="H73" i="18"/>
  <c r="P73" i="18"/>
  <c r="AC72" i="18"/>
  <c r="W72" i="18"/>
  <c r="V72" i="18"/>
  <c r="U72" i="18"/>
  <c r="T72" i="18"/>
  <c r="K72" i="18"/>
  <c r="S72" i="18"/>
  <c r="J72" i="18"/>
  <c r="R72" i="18"/>
  <c r="I72" i="18"/>
  <c r="Q72" i="18"/>
  <c r="H72" i="18"/>
  <c r="P72" i="18"/>
  <c r="AC71" i="18"/>
  <c r="W71" i="18"/>
  <c r="V71" i="18"/>
  <c r="U71" i="18"/>
  <c r="T71" i="18"/>
  <c r="K71" i="18"/>
  <c r="S71" i="18"/>
  <c r="J71" i="18"/>
  <c r="R71" i="18"/>
  <c r="I71" i="18"/>
  <c r="Q71" i="18"/>
  <c r="H71" i="18"/>
  <c r="P71" i="18"/>
  <c r="AC70" i="18"/>
  <c r="W70" i="18"/>
  <c r="V70" i="18"/>
  <c r="U70" i="18"/>
  <c r="T70" i="18"/>
  <c r="K70" i="18"/>
  <c r="S70" i="18"/>
  <c r="J70" i="18"/>
  <c r="R70" i="18"/>
  <c r="I70" i="18"/>
  <c r="Q70" i="18"/>
  <c r="H70" i="18"/>
  <c r="P70" i="18"/>
  <c r="AC69" i="18"/>
  <c r="W69" i="18"/>
  <c r="V69" i="18"/>
  <c r="U69" i="18"/>
  <c r="T69" i="18"/>
  <c r="K69" i="18"/>
  <c r="S69" i="18"/>
  <c r="J69" i="18"/>
  <c r="R69" i="18"/>
  <c r="I69" i="18"/>
  <c r="Q69" i="18"/>
  <c r="H69" i="18"/>
  <c r="P69" i="18"/>
  <c r="AC68" i="18"/>
  <c r="W68" i="18"/>
  <c r="V68" i="18"/>
  <c r="U68" i="18"/>
  <c r="T68" i="18"/>
  <c r="K68" i="18"/>
  <c r="S68" i="18"/>
  <c r="J68" i="18"/>
  <c r="R68" i="18"/>
  <c r="I68" i="18"/>
  <c r="Q68" i="18"/>
  <c r="H68" i="18"/>
  <c r="P68" i="18"/>
  <c r="AC67" i="18"/>
  <c r="W67" i="18"/>
  <c r="V67" i="18"/>
  <c r="U67" i="18"/>
  <c r="T67" i="18"/>
  <c r="K67" i="18"/>
  <c r="S67" i="18"/>
  <c r="J67" i="18"/>
  <c r="R67" i="18"/>
  <c r="I67" i="18"/>
  <c r="Q67" i="18"/>
  <c r="H67" i="18"/>
  <c r="P67" i="18"/>
  <c r="AC66" i="18"/>
  <c r="W66" i="18"/>
  <c r="V66" i="18"/>
  <c r="U66" i="18"/>
  <c r="T66" i="18"/>
  <c r="K66" i="18"/>
  <c r="S66" i="18"/>
  <c r="J66" i="18"/>
  <c r="R66" i="18"/>
  <c r="I66" i="18"/>
  <c r="Q66" i="18"/>
  <c r="H66" i="18"/>
  <c r="P66" i="18"/>
  <c r="AC65" i="18"/>
  <c r="W65" i="18"/>
  <c r="V65" i="18"/>
  <c r="U65" i="18"/>
  <c r="T65" i="18"/>
  <c r="K65" i="18"/>
  <c r="S65" i="18"/>
  <c r="J65" i="18"/>
  <c r="R65" i="18"/>
  <c r="I65" i="18"/>
  <c r="Q65" i="18"/>
  <c r="H65" i="18"/>
  <c r="P65" i="18"/>
  <c r="AC64" i="18"/>
  <c r="W64" i="18"/>
  <c r="V64" i="18"/>
  <c r="U64" i="18"/>
  <c r="T64" i="18"/>
  <c r="K64" i="18"/>
  <c r="S64" i="18"/>
  <c r="J64" i="18"/>
  <c r="R64" i="18"/>
  <c r="I64" i="18"/>
  <c r="Q64" i="18"/>
  <c r="H64" i="18"/>
  <c r="P64" i="18"/>
  <c r="AB63" i="18"/>
  <c r="AC62" i="18"/>
  <c r="W62" i="18"/>
  <c r="V62" i="18"/>
  <c r="U62" i="18"/>
  <c r="T62" i="18"/>
  <c r="K62" i="18"/>
  <c r="S62" i="18"/>
  <c r="J62" i="18"/>
  <c r="R62" i="18"/>
  <c r="I62" i="18"/>
  <c r="Q62" i="18"/>
  <c r="H62" i="18"/>
  <c r="P62" i="18"/>
  <c r="AC61" i="18"/>
  <c r="W61" i="18"/>
  <c r="V61" i="18"/>
  <c r="U61" i="18"/>
  <c r="T61" i="18"/>
  <c r="K61" i="18"/>
  <c r="S61" i="18"/>
  <c r="J61" i="18"/>
  <c r="R61" i="18"/>
  <c r="I61" i="18"/>
  <c r="Q61" i="18"/>
  <c r="H61" i="18"/>
  <c r="P61" i="18"/>
  <c r="AC60" i="18"/>
  <c r="W60" i="18"/>
  <c r="V60" i="18"/>
  <c r="U60" i="18"/>
  <c r="T60" i="18"/>
  <c r="K60" i="18"/>
  <c r="S60" i="18"/>
  <c r="J60" i="18"/>
  <c r="R60" i="18"/>
  <c r="I60" i="18"/>
  <c r="Q60" i="18"/>
  <c r="H60" i="18"/>
  <c r="P60" i="18"/>
  <c r="AC59" i="18"/>
  <c r="W59" i="18"/>
  <c r="V59" i="18"/>
  <c r="U59" i="18"/>
  <c r="T59" i="18"/>
  <c r="K59" i="18"/>
  <c r="S59" i="18"/>
  <c r="J59" i="18"/>
  <c r="R59" i="18"/>
  <c r="I59" i="18"/>
  <c r="Q59" i="18"/>
  <c r="H59" i="18"/>
  <c r="P59" i="18"/>
  <c r="AC58" i="18"/>
  <c r="W58" i="18"/>
  <c r="V58" i="18"/>
  <c r="U58" i="18"/>
  <c r="T58" i="18"/>
  <c r="K58" i="18"/>
  <c r="S58" i="18"/>
  <c r="J58" i="18"/>
  <c r="R58" i="18"/>
  <c r="I58" i="18"/>
  <c r="Q58" i="18"/>
  <c r="H58" i="18"/>
  <c r="P58" i="18"/>
  <c r="AC57" i="18"/>
  <c r="W57" i="18"/>
  <c r="V57" i="18"/>
  <c r="U57" i="18"/>
  <c r="T57" i="18"/>
  <c r="K57" i="18"/>
  <c r="S57" i="18"/>
  <c r="J57" i="18"/>
  <c r="R57" i="18"/>
  <c r="I57" i="18"/>
  <c r="Q57" i="18"/>
  <c r="H57" i="18"/>
  <c r="P57" i="18"/>
  <c r="AC56" i="18"/>
  <c r="W56" i="18"/>
  <c r="V56" i="18"/>
  <c r="U56" i="18"/>
  <c r="T56" i="18"/>
  <c r="K56" i="18"/>
  <c r="S56" i="18"/>
  <c r="J56" i="18"/>
  <c r="R56" i="18"/>
  <c r="I56" i="18"/>
  <c r="Q56" i="18"/>
  <c r="H56" i="18"/>
  <c r="P56" i="18"/>
  <c r="AC55" i="18"/>
  <c r="W55" i="18"/>
  <c r="V55" i="18"/>
  <c r="U55" i="18"/>
  <c r="T55" i="18"/>
  <c r="K55" i="18"/>
  <c r="S55" i="18"/>
  <c r="J55" i="18"/>
  <c r="R55" i="18"/>
  <c r="I55" i="18"/>
  <c r="Q55" i="18"/>
  <c r="H55" i="18"/>
  <c r="P55" i="18"/>
  <c r="AC54" i="18"/>
  <c r="W54" i="18"/>
  <c r="V54" i="18"/>
  <c r="U54" i="18"/>
  <c r="T54" i="18"/>
  <c r="K54" i="18"/>
  <c r="S54" i="18"/>
  <c r="J54" i="18"/>
  <c r="R54" i="18"/>
  <c r="I54" i="18"/>
  <c r="Q54" i="18"/>
  <c r="H54" i="18"/>
  <c r="P54" i="18"/>
  <c r="AC53" i="18"/>
  <c r="W53" i="18"/>
  <c r="V53" i="18"/>
  <c r="U53" i="18"/>
  <c r="T53" i="18"/>
  <c r="K53" i="18"/>
  <c r="S53" i="18"/>
  <c r="J53" i="18"/>
  <c r="R53" i="18"/>
  <c r="I53" i="18"/>
  <c r="Q53" i="18"/>
  <c r="H53" i="18"/>
  <c r="P53" i="18"/>
  <c r="AC52" i="18"/>
  <c r="W52" i="18"/>
  <c r="V52" i="18"/>
  <c r="U52" i="18"/>
  <c r="T52" i="18"/>
  <c r="K52" i="18"/>
  <c r="S52" i="18"/>
  <c r="J52" i="18"/>
  <c r="R52" i="18"/>
  <c r="I52" i="18"/>
  <c r="Q52" i="18"/>
  <c r="H52" i="18"/>
  <c r="P52" i="18"/>
  <c r="AC51" i="18"/>
  <c r="W51" i="18"/>
  <c r="V51" i="18"/>
  <c r="U51" i="18"/>
  <c r="T51" i="18"/>
  <c r="K51" i="18"/>
  <c r="S51" i="18"/>
  <c r="J51" i="18"/>
  <c r="R51" i="18"/>
  <c r="I51" i="18"/>
  <c r="Q51" i="18"/>
  <c r="H51" i="18"/>
  <c r="P51" i="18"/>
  <c r="AC50" i="18"/>
  <c r="W50" i="18"/>
  <c r="V50" i="18"/>
  <c r="U50" i="18"/>
  <c r="T50" i="18"/>
  <c r="K50" i="18"/>
  <c r="S50" i="18"/>
  <c r="J50" i="18"/>
  <c r="R50" i="18"/>
  <c r="I50" i="18"/>
  <c r="Q50" i="18"/>
  <c r="H50" i="18"/>
  <c r="P50" i="18"/>
  <c r="AC49" i="18"/>
  <c r="W49" i="18"/>
  <c r="V49" i="18"/>
  <c r="U49" i="18"/>
  <c r="T49" i="18"/>
  <c r="K49" i="18"/>
  <c r="S49" i="18"/>
  <c r="J49" i="18"/>
  <c r="R49" i="18"/>
  <c r="I49" i="18"/>
  <c r="Q49" i="18"/>
  <c r="H49" i="18"/>
  <c r="P49" i="18"/>
  <c r="AB48" i="18"/>
  <c r="AC47" i="18"/>
  <c r="W47" i="18"/>
  <c r="V47" i="18"/>
  <c r="U47" i="18"/>
  <c r="T47" i="18"/>
  <c r="K47" i="18"/>
  <c r="S47" i="18"/>
  <c r="J47" i="18"/>
  <c r="R47" i="18"/>
  <c r="I47" i="18"/>
  <c r="Q47" i="18"/>
  <c r="H47" i="18"/>
  <c r="P47" i="18"/>
  <c r="AC46" i="18"/>
  <c r="W46" i="18"/>
  <c r="V46" i="18"/>
  <c r="U46" i="18"/>
  <c r="T46" i="18"/>
  <c r="K46" i="18"/>
  <c r="S46" i="18"/>
  <c r="J46" i="18"/>
  <c r="R46" i="18"/>
  <c r="I46" i="18"/>
  <c r="Q46" i="18"/>
  <c r="H46" i="18"/>
  <c r="P46" i="18"/>
  <c r="AB45" i="18"/>
  <c r="AC44" i="18"/>
  <c r="W44" i="18"/>
  <c r="V44" i="18"/>
  <c r="U44" i="18"/>
  <c r="T44" i="18"/>
  <c r="K44" i="18"/>
  <c r="S44" i="18"/>
  <c r="J44" i="18"/>
  <c r="R44" i="18"/>
  <c r="I44" i="18"/>
  <c r="Q44" i="18"/>
  <c r="H44" i="18"/>
  <c r="P44" i="18"/>
  <c r="AC43" i="18"/>
  <c r="W43" i="18"/>
  <c r="V43" i="18"/>
  <c r="U43" i="18"/>
  <c r="T43" i="18"/>
  <c r="K43" i="18"/>
  <c r="S43" i="18"/>
  <c r="J43" i="18"/>
  <c r="R43" i="18"/>
  <c r="I43" i="18"/>
  <c r="Q43" i="18"/>
  <c r="H43" i="18"/>
  <c r="P43" i="18"/>
  <c r="AC42" i="18"/>
  <c r="W42" i="18"/>
  <c r="V42" i="18"/>
  <c r="U42" i="18"/>
  <c r="T42" i="18"/>
  <c r="K42" i="18"/>
  <c r="S42" i="18"/>
  <c r="J42" i="18"/>
  <c r="R42" i="18"/>
  <c r="I42" i="18"/>
  <c r="Q42" i="18"/>
  <c r="H42" i="18"/>
  <c r="P42" i="18"/>
  <c r="AC41" i="18"/>
  <c r="W41" i="18"/>
  <c r="V41" i="18"/>
  <c r="U41" i="18"/>
  <c r="T41" i="18"/>
  <c r="K41" i="18"/>
  <c r="S41" i="18"/>
  <c r="J41" i="18"/>
  <c r="R41" i="18"/>
  <c r="I41" i="18"/>
  <c r="Q41" i="18"/>
  <c r="H41" i="18"/>
  <c r="P41" i="18"/>
  <c r="AC40" i="18"/>
  <c r="W40" i="18"/>
  <c r="V40" i="18"/>
  <c r="U40" i="18"/>
  <c r="T40" i="18"/>
  <c r="K40" i="18"/>
  <c r="S40" i="18"/>
  <c r="J40" i="18"/>
  <c r="R40" i="18"/>
  <c r="I40" i="18"/>
  <c r="Q40" i="18"/>
  <c r="H40" i="18"/>
  <c r="P40" i="18"/>
  <c r="AC39" i="18"/>
  <c r="W39" i="18"/>
  <c r="V39" i="18"/>
  <c r="U39" i="18"/>
  <c r="T39" i="18"/>
  <c r="K39" i="18"/>
  <c r="S39" i="18"/>
  <c r="J39" i="18"/>
  <c r="R39" i="18"/>
  <c r="I39" i="18"/>
  <c r="Q39" i="18"/>
  <c r="H39" i="18"/>
  <c r="P39" i="18"/>
  <c r="AC38" i="18"/>
  <c r="W38" i="18"/>
  <c r="V38" i="18"/>
  <c r="U38" i="18"/>
  <c r="T38" i="18"/>
  <c r="K38" i="18"/>
  <c r="S38" i="18"/>
  <c r="J38" i="18"/>
  <c r="R38" i="18"/>
  <c r="I38" i="18"/>
  <c r="Q38" i="18"/>
  <c r="H38" i="18"/>
  <c r="P38" i="18"/>
  <c r="AC37" i="18"/>
  <c r="W37" i="18"/>
  <c r="V37" i="18"/>
  <c r="U37" i="18"/>
  <c r="T37" i="18"/>
  <c r="K37" i="18"/>
  <c r="S37" i="18"/>
  <c r="J37" i="18"/>
  <c r="R37" i="18"/>
  <c r="I37" i="18"/>
  <c r="Q37" i="18"/>
  <c r="H37" i="18"/>
  <c r="P37" i="18"/>
  <c r="AC36" i="18"/>
  <c r="W36" i="18"/>
  <c r="V36" i="18"/>
  <c r="U36" i="18"/>
  <c r="T36" i="18"/>
  <c r="K36" i="18"/>
  <c r="S36" i="18"/>
  <c r="J36" i="18"/>
  <c r="R36" i="18"/>
  <c r="I36" i="18"/>
  <c r="Q36" i="18"/>
  <c r="H36" i="18"/>
  <c r="P36" i="18"/>
  <c r="AC35" i="18"/>
  <c r="W35" i="18"/>
  <c r="V35" i="18"/>
  <c r="U35" i="18"/>
  <c r="T35" i="18"/>
  <c r="K35" i="18"/>
  <c r="S35" i="18"/>
  <c r="J35" i="18"/>
  <c r="R35" i="18"/>
  <c r="I35" i="18"/>
  <c r="Q35" i="18"/>
  <c r="H35" i="18"/>
  <c r="P35" i="18"/>
  <c r="AC34" i="18"/>
  <c r="W34" i="18"/>
  <c r="V34" i="18"/>
  <c r="U34" i="18"/>
  <c r="T34" i="18"/>
  <c r="K34" i="18"/>
  <c r="S34" i="18"/>
  <c r="J34" i="18"/>
  <c r="R34" i="18"/>
  <c r="I34" i="18"/>
  <c r="Q34" i="18"/>
  <c r="H34" i="18"/>
  <c r="P34" i="18"/>
  <c r="AC33" i="18"/>
  <c r="W33" i="18"/>
  <c r="V33" i="18"/>
  <c r="U33" i="18"/>
  <c r="T33" i="18"/>
  <c r="K33" i="18"/>
  <c r="S33" i="18"/>
  <c r="J33" i="18"/>
  <c r="R33" i="18"/>
  <c r="I33" i="18"/>
  <c r="Q33" i="18"/>
  <c r="H33" i="18"/>
  <c r="P33" i="18"/>
  <c r="AC32" i="18"/>
  <c r="W32" i="18"/>
  <c r="V32" i="18"/>
  <c r="U32" i="18"/>
  <c r="T32" i="18"/>
  <c r="K32" i="18"/>
  <c r="S32" i="18"/>
  <c r="J32" i="18"/>
  <c r="R32" i="18"/>
  <c r="I32" i="18"/>
  <c r="Q32" i="18"/>
  <c r="H32" i="18"/>
  <c r="P32" i="18"/>
  <c r="AB31" i="18"/>
  <c r="AX63" i="5"/>
  <c r="AX48" i="5"/>
  <c r="AX45" i="5"/>
  <c r="AX31" i="5"/>
  <c r="AX30" i="5"/>
  <c r="AX29" i="5"/>
  <c r="AX28" i="5"/>
  <c r="AX27" i="5"/>
  <c r="AX26" i="5"/>
  <c r="AX25" i="5"/>
  <c r="AX24" i="5"/>
  <c r="AX23" i="5"/>
  <c r="AX22" i="5"/>
  <c r="AX21" i="5"/>
  <c r="AX20" i="5"/>
  <c r="AX19" i="5"/>
  <c r="AX18" i="5"/>
  <c r="AX17" i="5"/>
  <c r="AX16" i="5"/>
  <c r="AX15" i="5"/>
  <c r="AX14" i="5"/>
  <c r="AX13" i="5"/>
  <c r="AX12" i="5"/>
  <c r="AX11" i="5"/>
  <c r="AX10" i="5"/>
  <c r="AX9" i="5"/>
  <c r="AX8" i="5"/>
  <c r="AX7" i="5"/>
  <c r="AX6" i="5"/>
  <c r="AX5" i="5"/>
  <c r="AX4" i="5"/>
  <c r="AX3" i="5"/>
  <c r="AX2" i="5"/>
  <c r="AW27" i="5"/>
  <c r="AX76" i="5"/>
  <c r="AW18" i="5"/>
  <c r="AX75" i="5"/>
  <c r="AW12" i="5"/>
  <c r="AX74" i="5"/>
  <c r="AW7" i="5"/>
  <c r="AX73" i="5"/>
  <c r="AW16" i="5"/>
  <c r="AX72" i="5"/>
  <c r="AW29" i="5"/>
  <c r="AX71" i="5"/>
  <c r="AW20" i="5"/>
  <c r="AX70" i="5"/>
  <c r="AW24" i="5"/>
  <c r="AX69" i="5"/>
  <c r="AW9" i="5"/>
  <c r="AX68" i="5"/>
  <c r="AW5" i="5"/>
  <c r="AX67" i="5"/>
  <c r="AW17" i="5"/>
  <c r="AX66" i="5"/>
  <c r="AW21" i="5"/>
  <c r="AX65" i="5"/>
  <c r="AW25" i="5"/>
  <c r="AX64" i="5"/>
  <c r="AW64" i="5"/>
  <c r="AW65" i="5"/>
  <c r="AW66" i="5"/>
  <c r="AW67" i="5"/>
  <c r="AW68" i="5"/>
  <c r="AW69" i="5"/>
  <c r="AW70" i="5"/>
  <c r="AW71" i="5"/>
  <c r="AW72" i="5"/>
  <c r="AW73" i="5"/>
  <c r="AW74" i="5"/>
  <c r="AW75" i="5"/>
  <c r="AW76" i="5"/>
  <c r="AW63" i="5"/>
  <c r="AX62" i="5"/>
  <c r="AX61" i="5"/>
  <c r="AX60" i="5"/>
  <c r="AX59" i="5"/>
  <c r="AX58" i="5"/>
  <c r="AX57" i="5"/>
  <c r="AX56" i="5"/>
  <c r="AX55" i="5"/>
  <c r="AX54" i="5"/>
  <c r="AX53" i="5"/>
  <c r="AX52" i="5"/>
  <c r="AX51" i="5"/>
  <c r="AX50" i="5"/>
  <c r="AW23" i="5"/>
  <c r="AX49" i="5"/>
  <c r="AW49" i="5"/>
  <c r="AW50" i="5"/>
  <c r="AW51" i="5"/>
  <c r="AW52" i="5"/>
  <c r="AW53" i="5"/>
  <c r="AW54" i="5"/>
  <c r="AW55" i="5"/>
  <c r="AW56" i="5"/>
  <c r="AW57" i="5"/>
  <c r="AW58" i="5"/>
  <c r="AW59" i="5"/>
  <c r="AW60" i="5"/>
  <c r="AW61" i="5"/>
  <c r="AW62" i="5"/>
  <c r="AW48" i="5"/>
  <c r="AW6" i="5"/>
  <c r="AX47" i="5"/>
  <c r="AW10" i="5"/>
  <c r="AX46" i="5"/>
  <c r="AW46" i="5"/>
  <c r="AW47" i="5"/>
  <c r="AW45" i="5"/>
  <c r="AW15" i="5"/>
  <c r="AX44" i="5"/>
  <c r="AW28" i="5"/>
  <c r="AX43" i="5"/>
  <c r="AW19" i="5"/>
  <c r="AX42" i="5"/>
  <c r="AW8" i="5"/>
  <c r="AX41" i="5"/>
  <c r="AW4" i="5"/>
  <c r="AX40" i="5"/>
  <c r="AW11" i="5"/>
  <c r="AX39" i="5"/>
  <c r="AW2" i="5"/>
  <c r="AX38" i="5"/>
  <c r="AW22" i="5"/>
  <c r="AX37" i="5"/>
  <c r="AW26" i="5"/>
  <c r="AX36" i="5"/>
  <c r="AW30" i="5"/>
  <c r="AX35" i="5"/>
  <c r="AW14" i="5"/>
  <c r="AX34" i="5"/>
  <c r="AW13" i="5"/>
  <c r="AX33" i="5"/>
  <c r="AW3" i="5"/>
  <c r="AX32" i="5"/>
  <c r="AW32" i="5"/>
  <c r="AW33" i="5"/>
  <c r="AW34" i="5"/>
  <c r="AW35" i="5"/>
  <c r="AW36" i="5"/>
  <c r="AW37" i="5"/>
  <c r="AW38" i="5"/>
  <c r="AW39" i="5"/>
  <c r="AW40" i="5"/>
  <c r="AW41" i="5"/>
  <c r="AW42" i="5"/>
  <c r="AW43" i="5"/>
  <c r="AW44" i="5"/>
  <c r="AW31" i="5"/>
  <c r="AL25" i="5"/>
  <c r="AM25" i="5"/>
  <c r="AN25" i="5"/>
  <c r="AO25" i="5"/>
  <c r="AP25" i="5"/>
  <c r="AP64" i="5"/>
  <c r="AL21" i="5"/>
  <c r="AM21" i="5"/>
  <c r="AN21" i="5"/>
  <c r="AO21" i="5"/>
  <c r="AP21" i="5"/>
  <c r="AP65" i="5"/>
  <c r="AL17" i="5"/>
  <c r="AM17" i="5"/>
  <c r="AN17" i="5"/>
  <c r="AO17" i="5"/>
  <c r="AP17" i="5"/>
  <c r="AP66" i="5"/>
  <c r="AL5" i="5"/>
  <c r="AM5" i="5"/>
  <c r="AN5" i="5"/>
  <c r="AO5" i="5"/>
  <c r="AP5" i="5"/>
  <c r="AP67" i="5"/>
  <c r="AL9" i="5"/>
  <c r="AM9" i="5"/>
  <c r="AN9" i="5"/>
  <c r="AO9" i="5"/>
  <c r="AP9" i="5"/>
  <c r="AP68" i="5"/>
  <c r="AL24" i="5"/>
  <c r="AM24" i="5"/>
  <c r="AN24" i="5"/>
  <c r="AO24" i="5"/>
  <c r="AP24" i="5"/>
  <c r="AP69" i="5"/>
  <c r="AL20" i="5"/>
  <c r="AM20" i="5"/>
  <c r="AN20" i="5"/>
  <c r="AO20" i="5"/>
  <c r="AP20" i="5"/>
  <c r="AP70" i="5"/>
  <c r="AL29" i="5"/>
  <c r="AM29" i="5"/>
  <c r="AN29" i="5"/>
  <c r="AO29" i="5"/>
  <c r="AP29" i="5"/>
  <c r="AP71" i="5"/>
  <c r="AL16" i="5"/>
  <c r="AM16" i="5"/>
  <c r="AN16" i="5"/>
  <c r="AO16" i="5"/>
  <c r="AP16" i="5"/>
  <c r="AP72" i="5"/>
  <c r="AL7" i="5"/>
  <c r="AM7" i="5"/>
  <c r="AN7" i="5"/>
  <c r="AO7" i="5"/>
  <c r="AP7" i="5"/>
  <c r="AP73" i="5"/>
  <c r="AL12" i="5"/>
  <c r="AM12" i="5"/>
  <c r="AN12" i="5"/>
  <c r="AO12" i="5"/>
  <c r="AP12" i="5"/>
  <c r="AP74" i="5"/>
  <c r="AL18" i="5"/>
  <c r="AM18" i="5"/>
  <c r="AN18" i="5"/>
  <c r="AO18" i="5"/>
  <c r="AP18" i="5"/>
  <c r="AP75" i="5"/>
  <c r="AL27" i="5"/>
  <c r="AM27" i="5"/>
  <c r="AN27" i="5"/>
  <c r="AO27" i="5"/>
  <c r="AP27" i="5"/>
  <c r="AP76" i="5"/>
  <c r="AP63" i="5"/>
  <c r="AQ63" i="5"/>
  <c r="AL23" i="5"/>
  <c r="AM23" i="5"/>
  <c r="AN23" i="5"/>
  <c r="AO23" i="5"/>
  <c r="AP23" i="5"/>
  <c r="AP49" i="5"/>
  <c r="AP50" i="5"/>
  <c r="AP51" i="5"/>
  <c r="AP52" i="5"/>
  <c r="AP53" i="5"/>
  <c r="AP54" i="5"/>
  <c r="AP55" i="5"/>
  <c r="AP56" i="5"/>
  <c r="AP57" i="5"/>
  <c r="AP58" i="5"/>
  <c r="AP59" i="5"/>
  <c r="AP60" i="5"/>
  <c r="AP61" i="5"/>
  <c r="AP62" i="5"/>
  <c r="AP48" i="5"/>
  <c r="AQ48" i="5"/>
  <c r="AL10" i="5"/>
  <c r="AM10" i="5"/>
  <c r="AN10" i="5"/>
  <c r="AO10" i="5"/>
  <c r="AP10" i="5"/>
  <c r="AP46" i="5"/>
  <c r="AL6" i="5"/>
  <c r="AM6" i="5"/>
  <c r="AN6" i="5"/>
  <c r="AO6" i="5"/>
  <c r="AP6" i="5"/>
  <c r="AP47" i="5"/>
  <c r="AP45" i="5"/>
  <c r="AQ45" i="5"/>
  <c r="AL3" i="5"/>
  <c r="AM3" i="5"/>
  <c r="AN3" i="5"/>
  <c r="AO3" i="5"/>
  <c r="AP3" i="5"/>
  <c r="AP32" i="5"/>
  <c r="AL13" i="5"/>
  <c r="AM13" i="5"/>
  <c r="AN13" i="5"/>
  <c r="AO13" i="5"/>
  <c r="AP13" i="5"/>
  <c r="AP33" i="5"/>
  <c r="AL14" i="5"/>
  <c r="AM14" i="5"/>
  <c r="AN14" i="5"/>
  <c r="AO14" i="5"/>
  <c r="AP14" i="5"/>
  <c r="AP34" i="5"/>
  <c r="AL30" i="5"/>
  <c r="AM30" i="5"/>
  <c r="AN30" i="5"/>
  <c r="AO30" i="5"/>
  <c r="AP30" i="5"/>
  <c r="AP35" i="5"/>
  <c r="AL26" i="5"/>
  <c r="AM26" i="5"/>
  <c r="AN26" i="5"/>
  <c r="AO26" i="5"/>
  <c r="AP26" i="5"/>
  <c r="AP36" i="5"/>
  <c r="AL22" i="5"/>
  <c r="AM22" i="5"/>
  <c r="AN22" i="5"/>
  <c r="AO22" i="5"/>
  <c r="AP22" i="5"/>
  <c r="AP37" i="5"/>
  <c r="AL2" i="5"/>
  <c r="AM2" i="5"/>
  <c r="AN2" i="5"/>
  <c r="AO2" i="5"/>
  <c r="AP2" i="5"/>
  <c r="AP38" i="5"/>
  <c r="AL11" i="5"/>
  <c r="AM11" i="5"/>
  <c r="AN11" i="5"/>
  <c r="AO11" i="5"/>
  <c r="AP11" i="5"/>
  <c r="AP39" i="5"/>
  <c r="AL4" i="5"/>
  <c r="AM4" i="5"/>
  <c r="AN4" i="5"/>
  <c r="AO4" i="5"/>
  <c r="AP4" i="5"/>
  <c r="AP40" i="5"/>
  <c r="AL8" i="5"/>
  <c r="AM8" i="5"/>
  <c r="AN8" i="5"/>
  <c r="AO8" i="5"/>
  <c r="AP8" i="5"/>
  <c r="AP41" i="5"/>
  <c r="AL19" i="5"/>
  <c r="AM19" i="5"/>
  <c r="AN19" i="5"/>
  <c r="AO19" i="5"/>
  <c r="AP19" i="5"/>
  <c r="AP42" i="5"/>
  <c r="AL28" i="5"/>
  <c r="AM28" i="5"/>
  <c r="AN28" i="5"/>
  <c r="AO28" i="5"/>
  <c r="AP28" i="5"/>
  <c r="AP43" i="5"/>
  <c r="AL15" i="5"/>
  <c r="AM15" i="5"/>
  <c r="AN15" i="5"/>
  <c r="AO15" i="5"/>
  <c r="AP15" i="5"/>
  <c r="AP44" i="5"/>
  <c r="AP31" i="5"/>
  <c r="AQ31" i="5"/>
  <c r="AQ30" i="5"/>
  <c r="AQ29" i="5"/>
  <c r="AQ28" i="5"/>
  <c r="AQ27" i="5"/>
  <c r="AQ26" i="5"/>
  <c r="AQ25" i="5"/>
  <c r="AQ24" i="5"/>
  <c r="AQ23" i="5"/>
  <c r="AQ22" i="5"/>
  <c r="AQ21" i="5"/>
  <c r="AQ20" i="5"/>
  <c r="AQ19" i="5"/>
  <c r="AQ18" i="5"/>
  <c r="AQ17" i="5"/>
  <c r="AQ16" i="5"/>
  <c r="AQ15" i="5"/>
  <c r="AQ14" i="5"/>
  <c r="AQ13" i="5"/>
  <c r="AQ12" i="5"/>
  <c r="AQ11" i="5"/>
  <c r="AQ10" i="5"/>
  <c r="AQ9" i="5"/>
  <c r="AQ8" i="5"/>
  <c r="AQ7" i="5"/>
  <c r="AQ6" i="5"/>
  <c r="AQ5" i="5"/>
  <c r="AQ4" i="5"/>
  <c r="AQ3" i="5"/>
  <c r="AQ2" i="5"/>
  <c r="AQ76" i="5"/>
  <c r="AQ75" i="5"/>
  <c r="AQ74" i="5"/>
  <c r="AQ73" i="5"/>
  <c r="AQ72" i="5"/>
  <c r="AQ71" i="5"/>
  <c r="AQ70" i="5"/>
  <c r="AQ69" i="5"/>
  <c r="AQ68" i="5"/>
  <c r="AQ67" i="5"/>
  <c r="AQ66" i="5"/>
  <c r="AQ65" i="5"/>
  <c r="AQ64" i="5"/>
  <c r="AQ62" i="5"/>
  <c r="AQ61" i="5"/>
  <c r="AQ60" i="5"/>
  <c r="AQ59" i="5"/>
  <c r="AQ58" i="5"/>
  <c r="AQ57" i="5"/>
  <c r="AQ56" i="5"/>
  <c r="AQ55" i="5"/>
  <c r="AQ54" i="5"/>
  <c r="AQ53" i="5"/>
  <c r="AQ52" i="5"/>
  <c r="AQ51" i="5"/>
  <c r="AQ50" i="5"/>
  <c r="AQ49" i="5"/>
  <c r="AQ47" i="5"/>
  <c r="AQ46" i="5"/>
  <c r="AQ44" i="5"/>
  <c r="AQ43" i="5"/>
  <c r="AQ42" i="5"/>
  <c r="AQ41" i="5"/>
  <c r="AQ40" i="5"/>
  <c r="AQ39" i="5"/>
  <c r="AQ38" i="5"/>
  <c r="AQ37" i="5"/>
  <c r="AQ36" i="5"/>
  <c r="AQ35" i="5"/>
  <c r="AQ34" i="5"/>
  <c r="AQ33" i="5"/>
  <c r="AQ32" i="5"/>
  <c r="AE25" i="5"/>
  <c r="AF25" i="5"/>
  <c r="AG25" i="5"/>
  <c r="AG64" i="5"/>
  <c r="AE21" i="5"/>
  <c r="AF21" i="5"/>
  <c r="AG21" i="5"/>
  <c r="AG65" i="5"/>
  <c r="AE17" i="5"/>
  <c r="AF17" i="5"/>
  <c r="AG17" i="5"/>
  <c r="AG66" i="5"/>
  <c r="AE5" i="5"/>
  <c r="AF5" i="5"/>
  <c r="AG5" i="5"/>
  <c r="AG67" i="5"/>
  <c r="AE9" i="5"/>
  <c r="AF9" i="5"/>
  <c r="AG9" i="5"/>
  <c r="AG68" i="5"/>
  <c r="AE24" i="5"/>
  <c r="AF24" i="5"/>
  <c r="AG24" i="5"/>
  <c r="AG69" i="5"/>
  <c r="AE20" i="5"/>
  <c r="AF20" i="5"/>
  <c r="AG20" i="5"/>
  <c r="AG70" i="5"/>
  <c r="AE29" i="5"/>
  <c r="AF29" i="5"/>
  <c r="AG29" i="5"/>
  <c r="AG71" i="5"/>
  <c r="AE16" i="5"/>
  <c r="AF16" i="5"/>
  <c r="AG16" i="5"/>
  <c r="AG72" i="5"/>
  <c r="AE7" i="5"/>
  <c r="AF7" i="5"/>
  <c r="AG7" i="5"/>
  <c r="AG73" i="5"/>
  <c r="AE12" i="5"/>
  <c r="AF12" i="5"/>
  <c r="AG12" i="5"/>
  <c r="AG74" i="5"/>
  <c r="AE18" i="5"/>
  <c r="AF18" i="5"/>
  <c r="AG18" i="5"/>
  <c r="AG75" i="5"/>
  <c r="AE27" i="5"/>
  <c r="AF27" i="5"/>
  <c r="AG27" i="5"/>
  <c r="AG76" i="5"/>
  <c r="AG63" i="5"/>
  <c r="AH63" i="5"/>
  <c r="AE23" i="5"/>
  <c r="AF23" i="5"/>
  <c r="AG23" i="5"/>
  <c r="AG49" i="5"/>
  <c r="AG50" i="5"/>
  <c r="AG51" i="5"/>
  <c r="AG52" i="5"/>
  <c r="AG53" i="5"/>
  <c r="AG54" i="5"/>
  <c r="AG55" i="5"/>
  <c r="AG56" i="5"/>
  <c r="AG57" i="5"/>
  <c r="AG58" i="5"/>
  <c r="AG59" i="5"/>
  <c r="AG60" i="5"/>
  <c r="AG61" i="5"/>
  <c r="AG62" i="5"/>
  <c r="AG48" i="5"/>
  <c r="AH48" i="5"/>
  <c r="AE10" i="5"/>
  <c r="AF10" i="5"/>
  <c r="AG10" i="5"/>
  <c r="AG46" i="5"/>
  <c r="AE6" i="5"/>
  <c r="AF6" i="5"/>
  <c r="AG6" i="5"/>
  <c r="AG47" i="5"/>
  <c r="AG45" i="5"/>
  <c r="AH45" i="5"/>
  <c r="AE3" i="5"/>
  <c r="AF3" i="5"/>
  <c r="AG3" i="5"/>
  <c r="AG32" i="5"/>
  <c r="AE13" i="5"/>
  <c r="AF13" i="5"/>
  <c r="AG13" i="5"/>
  <c r="AG33" i="5"/>
  <c r="AE14" i="5"/>
  <c r="AF14" i="5"/>
  <c r="AG14" i="5"/>
  <c r="AG34" i="5"/>
  <c r="AE30" i="5"/>
  <c r="AF30" i="5"/>
  <c r="AG30" i="5"/>
  <c r="AG35" i="5"/>
  <c r="AE26" i="5"/>
  <c r="AF26" i="5"/>
  <c r="AG26" i="5"/>
  <c r="AG36" i="5"/>
  <c r="AE22" i="5"/>
  <c r="AF22" i="5"/>
  <c r="AG22" i="5"/>
  <c r="AG37" i="5"/>
  <c r="AE2" i="5"/>
  <c r="AF2" i="5"/>
  <c r="AG2" i="5"/>
  <c r="AG38" i="5"/>
  <c r="AE11" i="5"/>
  <c r="AF11" i="5"/>
  <c r="AG11" i="5"/>
  <c r="AG39" i="5"/>
  <c r="AE4" i="5"/>
  <c r="AF4" i="5"/>
  <c r="AG4" i="5"/>
  <c r="AG40" i="5"/>
  <c r="AE8" i="5"/>
  <c r="AF8" i="5"/>
  <c r="AG8" i="5"/>
  <c r="AG41" i="5"/>
  <c r="AE19" i="5"/>
  <c r="AF19" i="5"/>
  <c r="AG19" i="5"/>
  <c r="AG42" i="5"/>
  <c r="AE28" i="5"/>
  <c r="AF28" i="5"/>
  <c r="AG28" i="5"/>
  <c r="AG43" i="5"/>
  <c r="AE15" i="5"/>
  <c r="AF15" i="5"/>
  <c r="AG15" i="5"/>
  <c r="AG44" i="5"/>
  <c r="AG31" i="5"/>
  <c r="AH31" i="5"/>
  <c r="AH30" i="5"/>
  <c r="AH29" i="5"/>
  <c r="AH28" i="5"/>
  <c r="AH27" i="5"/>
  <c r="AH26" i="5"/>
  <c r="AH25" i="5"/>
  <c r="AH24" i="5"/>
  <c r="AH23" i="5"/>
  <c r="AH22" i="5"/>
  <c r="AH21" i="5"/>
  <c r="AH20" i="5"/>
  <c r="AH19" i="5"/>
  <c r="AH18" i="5"/>
  <c r="AH17" i="5"/>
  <c r="AH16" i="5"/>
  <c r="AH15" i="5"/>
  <c r="AH14" i="5"/>
  <c r="AH13" i="5"/>
  <c r="AH12" i="5"/>
  <c r="AH11" i="5"/>
  <c r="AH10" i="5"/>
  <c r="AH9" i="5"/>
  <c r="AH8" i="5"/>
  <c r="AH7" i="5"/>
  <c r="AH6" i="5"/>
  <c r="AH5" i="5"/>
  <c r="AH4" i="5"/>
  <c r="AH3" i="5"/>
  <c r="AH2" i="5"/>
  <c r="AH76" i="5"/>
  <c r="AH75" i="5"/>
  <c r="AH74" i="5"/>
  <c r="AH73" i="5"/>
  <c r="AH72" i="5"/>
  <c r="AH71" i="5"/>
  <c r="AH70" i="5"/>
  <c r="AH69" i="5"/>
  <c r="AH68" i="5"/>
  <c r="AH67" i="5"/>
  <c r="AH66" i="5"/>
  <c r="AH65" i="5"/>
  <c r="AH64" i="5"/>
  <c r="AH62" i="5"/>
  <c r="AH61" i="5"/>
  <c r="AH60" i="5"/>
  <c r="AH59" i="5"/>
  <c r="AH58" i="5"/>
  <c r="AH57" i="5"/>
  <c r="AH56" i="5"/>
  <c r="AH55" i="5"/>
  <c r="AH54" i="5"/>
  <c r="AH53" i="5"/>
  <c r="AH52" i="5"/>
  <c r="AH51" i="5"/>
  <c r="AH50" i="5"/>
  <c r="AH49" i="5"/>
  <c r="AH47" i="5"/>
  <c r="AH46" i="5"/>
  <c r="AH44" i="5"/>
  <c r="AH43" i="5"/>
  <c r="AH42" i="5"/>
  <c r="AH41" i="5"/>
  <c r="AH40" i="5"/>
  <c r="AH39" i="5"/>
  <c r="AH38" i="5"/>
  <c r="AH37" i="5"/>
  <c r="AH36" i="5"/>
  <c r="AH35" i="5"/>
  <c r="AH34" i="5"/>
  <c r="AH33" i="5"/>
  <c r="AH32" i="5"/>
  <c r="T25" i="5"/>
  <c r="T64" i="5"/>
  <c r="T21" i="5"/>
  <c r="T65" i="5"/>
  <c r="T17" i="5"/>
  <c r="T66" i="5"/>
  <c r="T5" i="5"/>
  <c r="T67" i="5"/>
  <c r="T9" i="5"/>
  <c r="T68" i="5"/>
  <c r="T24" i="5"/>
  <c r="T69" i="5"/>
  <c r="T20" i="5"/>
  <c r="T70" i="5"/>
  <c r="T29" i="5"/>
  <c r="T71" i="5"/>
  <c r="T16" i="5"/>
  <c r="T72" i="5"/>
  <c r="T7" i="5"/>
  <c r="T73" i="5"/>
  <c r="T12" i="5"/>
  <c r="T74" i="5"/>
  <c r="T18" i="5"/>
  <c r="T75" i="5"/>
  <c r="T27" i="5"/>
  <c r="T76" i="5"/>
  <c r="T63" i="5"/>
  <c r="Y63" i="5"/>
  <c r="S25" i="5"/>
  <c r="S64" i="5"/>
  <c r="S21" i="5"/>
  <c r="S65" i="5"/>
  <c r="S17" i="5"/>
  <c r="S66" i="5"/>
  <c r="S5" i="5"/>
  <c r="S67" i="5"/>
  <c r="S9" i="5"/>
  <c r="S68" i="5"/>
  <c r="S24" i="5"/>
  <c r="S69" i="5"/>
  <c r="S20" i="5"/>
  <c r="S70" i="5"/>
  <c r="S29" i="5"/>
  <c r="S71" i="5"/>
  <c r="S16" i="5"/>
  <c r="S72" i="5"/>
  <c r="S7" i="5"/>
  <c r="S73" i="5"/>
  <c r="S12" i="5"/>
  <c r="S74" i="5"/>
  <c r="S18" i="5"/>
  <c r="S75" i="5"/>
  <c r="S27" i="5"/>
  <c r="S76" i="5"/>
  <c r="S63" i="5"/>
  <c r="X63" i="5"/>
  <c r="R25" i="5"/>
  <c r="R64" i="5"/>
  <c r="R21" i="5"/>
  <c r="R65" i="5"/>
  <c r="R17" i="5"/>
  <c r="R66" i="5"/>
  <c r="R5" i="5"/>
  <c r="R67" i="5"/>
  <c r="R9" i="5"/>
  <c r="R68" i="5"/>
  <c r="R24" i="5"/>
  <c r="R69" i="5"/>
  <c r="R20" i="5"/>
  <c r="R70" i="5"/>
  <c r="R29" i="5"/>
  <c r="R71" i="5"/>
  <c r="R16" i="5"/>
  <c r="R72" i="5"/>
  <c r="R7" i="5"/>
  <c r="R73" i="5"/>
  <c r="R12" i="5"/>
  <c r="R74" i="5"/>
  <c r="R18" i="5"/>
  <c r="R75" i="5"/>
  <c r="R27" i="5"/>
  <c r="R76" i="5"/>
  <c r="R63" i="5"/>
  <c r="W63" i="5"/>
  <c r="Q25" i="5"/>
  <c r="Q64" i="5"/>
  <c r="Q21" i="5"/>
  <c r="Q65" i="5"/>
  <c r="Q17" i="5"/>
  <c r="Q66" i="5"/>
  <c r="Q5" i="5"/>
  <c r="Q67" i="5"/>
  <c r="Q9" i="5"/>
  <c r="Q68" i="5"/>
  <c r="Q24" i="5"/>
  <c r="Q69" i="5"/>
  <c r="Q20" i="5"/>
  <c r="Q70" i="5"/>
  <c r="Q29" i="5"/>
  <c r="Q71" i="5"/>
  <c r="Q16" i="5"/>
  <c r="Q72" i="5"/>
  <c r="Q7" i="5"/>
  <c r="Q73" i="5"/>
  <c r="Q12" i="5"/>
  <c r="Q74" i="5"/>
  <c r="Q18" i="5"/>
  <c r="Q75" i="5"/>
  <c r="Q27" i="5"/>
  <c r="Q76" i="5"/>
  <c r="Q63" i="5"/>
  <c r="V63" i="5"/>
  <c r="P25" i="5"/>
  <c r="P64" i="5"/>
  <c r="P21" i="5"/>
  <c r="P65" i="5"/>
  <c r="P17" i="5"/>
  <c r="P66" i="5"/>
  <c r="P5" i="5"/>
  <c r="P67" i="5"/>
  <c r="P9" i="5"/>
  <c r="P68" i="5"/>
  <c r="P24" i="5"/>
  <c r="P69" i="5"/>
  <c r="P20" i="5"/>
  <c r="P70" i="5"/>
  <c r="P29" i="5"/>
  <c r="P71" i="5"/>
  <c r="P16" i="5"/>
  <c r="P72" i="5"/>
  <c r="P7" i="5"/>
  <c r="P73" i="5"/>
  <c r="P12" i="5"/>
  <c r="P74" i="5"/>
  <c r="P18" i="5"/>
  <c r="P75" i="5"/>
  <c r="P27" i="5"/>
  <c r="P76" i="5"/>
  <c r="P63" i="5"/>
  <c r="U63" i="5"/>
  <c r="T23" i="5"/>
  <c r="T49" i="5"/>
  <c r="T50" i="5"/>
  <c r="T51" i="5"/>
  <c r="T52" i="5"/>
  <c r="T53" i="5"/>
  <c r="T54" i="5"/>
  <c r="T55" i="5"/>
  <c r="T56" i="5"/>
  <c r="T57" i="5"/>
  <c r="T58" i="5"/>
  <c r="T59" i="5"/>
  <c r="T60" i="5"/>
  <c r="T61" i="5"/>
  <c r="T62" i="5"/>
  <c r="T48" i="5"/>
  <c r="Y48" i="5"/>
  <c r="S23" i="5"/>
  <c r="S49" i="5"/>
  <c r="S50" i="5"/>
  <c r="S51" i="5"/>
  <c r="S52" i="5"/>
  <c r="S53" i="5"/>
  <c r="S54" i="5"/>
  <c r="S55" i="5"/>
  <c r="S56" i="5"/>
  <c r="S57" i="5"/>
  <c r="S58" i="5"/>
  <c r="S59" i="5"/>
  <c r="S60" i="5"/>
  <c r="S61" i="5"/>
  <c r="S62" i="5"/>
  <c r="S48" i="5"/>
  <c r="X48" i="5"/>
  <c r="R23" i="5"/>
  <c r="R49" i="5"/>
  <c r="R50" i="5"/>
  <c r="R51" i="5"/>
  <c r="R52" i="5"/>
  <c r="R53" i="5"/>
  <c r="R54" i="5"/>
  <c r="R55" i="5"/>
  <c r="R56" i="5"/>
  <c r="R57" i="5"/>
  <c r="R58" i="5"/>
  <c r="R59" i="5"/>
  <c r="R60" i="5"/>
  <c r="R61" i="5"/>
  <c r="R62" i="5"/>
  <c r="R48" i="5"/>
  <c r="W48" i="5"/>
  <c r="Q23" i="5"/>
  <c r="Q49" i="5"/>
  <c r="Q50" i="5"/>
  <c r="Q51" i="5"/>
  <c r="Q52" i="5"/>
  <c r="Q53" i="5"/>
  <c r="Q54" i="5"/>
  <c r="Q55" i="5"/>
  <c r="Q56" i="5"/>
  <c r="Q57" i="5"/>
  <c r="Q58" i="5"/>
  <c r="Q59" i="5"/>
  <c r="Q60" i="5"/>
  <c r="Q61" i="5"/>
  <c r="Q62" i="5"/>
  <c r="Q48" i="5"/>
  <c r="V48" i="5"/>
  <c r="P23" i="5"/>
  <c r="P49" i="5"/>
  <c r="P50" i="5"/>
  <c r="P51" i="5"/>
  <c r="P52" i="5"/>
  <c r="P53" i="5"/>
  <c r="P54" i="5"/>
  <c r="P55" i="5"/>
  <c r="P56" i="5"/>
  <c r="P57" i="5"/>
  <c r="P58" i="5"/>
  <c r="P59" i="5"/>
  <c r="P60" i="5"/>
  <c r="P61" i="5"/>
  <c r="P62" i="5"/>
  <c r="P48" i="5"/>
  <c r="U48" i="5"/>
  <c r="T10" i="5"/>
  <c r="T46" i="5"/>
  <c r="T6" i="5"/>
  <c r="T47" i="5"/>
  <c r="T45" i="5"/>
  <c r="Y45" i="5"/>
  <c r="S10" i="5"/>
  <c r="S46" i="5"/>
  <c r="S6" i="5"/>
  <c r="S47" i="5"/>
  <c r="S45" i="5"/>
  <c r="X45" i="5"/>
  <c r="R10" i="5"/>
  <c r="R46" i="5"/>
  <c r="R6" i="5"/>
  <c r="R47" i="5"/>
  <c r="R45" i="5"/>
  <c r="W45" i="5"/>
  <c r="Q10" i="5"/>
  <c r="Q46" i="5"/>
  <c r="Q6" i="5"/>
  <c r="Q47" i="5"/>
  <c r="Q45" i="5"/>
  <c r="V45" i="5"/>
  <c r="P10" i="5"/>
  <c r="P46" i="5"/>
  <c r="P6" i="5"/>
  <c r="P47" i="5"/>
  <c r="P45" i="5"/>
  <c r="U45" i="5"/>
  <c r="T3" i="5"/>
  <c r="T32" i="5"/>
  <c r="T13" i="5"/>
  <c r="T33" i="5"/>
  <c r="T14" i="5"/>
  <c r="T34" i="5"/>
  <c r="T30" i="5"/>
  <c r="T35" i="5"/>
  <c r="T26" i="5"/>
  <c r="T36" i="5"/>
  <c r="T22" i="5"/>
  <c r="T37" i="5"/>
  <c r="T2" i="5"/>
  <c r="T38" i="5"/>
  <c r="T11" i="5"/>
  <c r="T39" i="5"/>
  <c r="T4" i="5"/>
  <c r="T40" i="5"/>
  <c r="T8" i="5"/>
  <c r="T41" i="5"/>
  <c r="T19" i="5"/>
  <c r="T42" i="5"/>
  <c r="T28" i="5"/>
  <c r="T43" i="5"/>
  <c r="T15" i="5"/>
  <c r="T44" i="5"/>
  <c r="T31" i="5"/>
  <c r="Y31" i="5"/>
  <c r="S3" i="5"/>
  <c r="S32" i="5"/>
  <c r="S13" i="5"/>
  <c r="S33" i="5"/>
  <c r="S14" i="5"/>
  <c r="S34" i="5"/>
  <c r="S30" i="5"/>
  <c r="S35" i="5"/>
  <c r="S26" i="5"/>
  <c r="S36" i="5"/>
  <c r="S22" i="5"/>
  <c r="S37" i="5"/>
  <c r="S2" i="5"/>
  <c r="S38" i="5"/>
  <c r="S11" i="5"/>
  <c r="S39" i="5"/>
  <c r="S4" i="5"/>
  <c r="S40" i="5"/>
  <c r="S8" i="5"/>
  <c r="S41" i="5"/>
  <c r="S19" i="5"/>
  <c r="S42" i="5"/>
  <c r="S28" i="5"/>
  <c r="S43" i="5"/>
  <c r="S15" i="5"/>
  <c r="S44" i="5"/>
  <c r="S31" i="5"/>
  <c r="X31" i="5"/>
  <c r="R3" i="5"/>
  <c r="R32" i="5"/>
  <c r="R13" i="5"/>
  <c r="R33" i="5"/>
  <c r="R14" i="5"/>
  <c r="R34" i="5"/>
  <c r="R30" i="5"/>
  <c r="R35" i="5"/>
  <c r="R26" i="5"/>
  <c r="R36" i="5"/>
  <c r="R22" i="5"/>
  <c r="R37" i="5"/>
  <c r="R2" i="5"/>
  <c r="R38" i="5"/>
  <c r="R11" i="5"/>
  <c r="R39" i="5"/>
  <c r="R4" i="5"/>
  <c r="R40" i="5"/>
  <c r="R8" i="5"/>
  <c r="R41" i="5"/>
  <c r="R19" i="5"/>
  <c r="R42" i="5"/>
  <c r="R28" i="5"/>
  <c r="R43" i="5"/>
  <c r="R15" i="5"/>
  <c r="R44" i="5"/>
  <c r="R31" i="5"/>
  <c r="W31" i="5"/>
  <c r="Q3" i="5"/>
  <c r="Q32" i="5"/>
  <c r="Q13" i="5"/>
  <c r="Q33" i="5"/>
  <c r="Q14" i="5"/>
  <c r="Q34" i="5"/>
  <c r="Q30" i="5"/>
  <c r="Q35" i="5"/>
  <c r="Q26" i="5"/>
  <c r="Q36" i="5"/>
  <c r="Q22" i="5"/>
  <c r="Q37" i="5"/>
  <c r="Q2" i="5"/>
  <c r="Q38" i="5"/>
  <c r="Q11" i="5"/>
  <c r="Q39" i="5"/>
  <c r="Q4" i="5"/>
  <c r="Q40" i="5"/>
  <c r="Q8" i="5"/>
  <c r="Q41" i="5"/>
  <c r="Q19" i="5"/>
  <c r="Q42" i="5"/>
  <c r="Q28" i="5"/>
  <c r="Q43" i="5"/>
  <c r="Q15" i="5"/>
  <c r="Q44" i="5"/>
  <c r="Q31" i="5"/>
  <c r="V31" i="5"/>
  <c r="P3" i="5"/>
  <c r="P32" i="5"/>
  <c r="P13" i="5"/>
  <c r="P33" i="5"/>
  <c r="P14" i="5"/>
  <c r="P34" i="5"/>
  <c r="P30" i="5"/>
  <c r="P35" i="5"/>
  <c r="P26" i="5"/>
  <c r="P36" i="5"/>
  <c r="P22" i="5"/>
  <c r="P37" i="5"/>
  <c r="P2" i="5"/>
  <c r="P38" i="5"/>
  <c r="P11" i="5"/>
  <c r="P39" i="5"/>
  <c r="P4" i="5"/>
  <c r="P40" i="5"/>
  <c r="P8" i="5"/>
  <c r="P41" i="5"/>
  <c r="P19" i="5"/>
  <c r="P42" i="5"/>
  <c r="P28" i="5"/>
  <c r="P43" i="5"/>
  <c r="P15" i="5"/>
  <c r="P44" i="5"/>
  <c r="P31" i="5"/>
  <c r="U31" i="5"/>
  <c r="Y30" i="5"/>
  <c r="X30" i="5"/>
  <c r="W30" i="5"/>
  <c r="V30" i="5"/>
  <c r="U30" i="5"/>
  <c r="Y29" i="5"/>
  <c r="X29" i="5"/>
  <c r="W29" i="5"/>
  <c r="V29" i="5"/>
  <c r="U29" i="5"/>
  <c r="Y28" i="5"/>
  <c r="X28" i="5"/>
  <c r="W28" i="5"/>
  <c r="V28" i="5"/>
  <c r="U28" i="5"/>
  <c r="Y27" i="5"/>
  <c r="X27" i="5"/>
  <c r="W27" i="5"/>
  <c r="V27" i="5"/>
  <c r="U27" i="5"/>
  <c r="Y26" i="5"/>
  <c r="X26" i="5"/>
  <c r="W26" i="5"/>
  <c r="V26" i="5"/>
  <c r="U26" i="5"/>
  <c r="Y25" i="5"/>
  <c r="X25" i="5"/>
  <c r="W25" i="5"/>
  <c r="V25" i="5"/>
  <c r="U25" i="5"/>
  <c r="Y24" i="5"/>
  <c r="X24" i="5"/>
  <c r="W24" i="5"/>
  <c r="V24" i="5"/>
  <c r="U24" i="5"/>
  <c r="Y23" i="5"/>
  <c r="X23" i="5"/>
  <c r="W23" i="5"/>
  <c r="V23" i="5"/>
  <c r="U23" i="5"/>
  <c r="Y22" i="5"/>
  <c r="X22" i="5"/>
  <c r="W22" i="5"/>
  <c r="V22" i="5"/>
  <c r="U22" i="5"/>
  <c r="Y21" i="5"/>
  <c r="X21" i="5"/>
  <c r="W21" i="5"/>
  <c r="V21" i="5"/>
  <c r="U21" i="5"/>
  <c r="Y20" i="5"/>
  <c r="X20" i="5"/>
  <c r="W20" i="5"/>
  <c r="V20" i="5"/>
  <c r="U20" i="5"/>
  <c r="Y19" i="5"/>
  <c r="X19" i="5"/>
  <c r="W19" i="5"/>
  <c r="V19" i="5"/>
  <c r="U19" i="5"/>
  <c r="Y18" i="5"/>
  <c r="X18" i="5"/>
  <c r="W18" i="5"/>
  <c r="V18" i="5"/>
  <c r="U18" i="5"/>
  <c r="Y17" i="5"/>
  <c r="X17" i="5"/>
  <c r="W17" i="5"/>
  <c r="V17" i="5"/>
  <c r="U17" i="5"/>
  <c r="Y16" i="5"/>
  <c r="X16" i="5"/>
  <c r="W16" i="5"/>
  <c r="V16" i="5"/>
  <c r="U16" i="5"/>
  <c r="Y15" i="5"/>
  <c r="X15" i="5"/>
  <c r="W15" i="5"/>
  <c r="V15" i="5"/>
  <c r="U15" i="5"/>
  <c r="Y14" i="5"/>
  <c r="X14" i="5"/>
  <c r="W14" i="5"/>
  <c r="V14" i="5"/>
  <c r="U14" i="5"/>
  <c r="Y13" i="5"/>
  <c r="X13" i="5"/>
  <c r="W13" i="5"/>
  <c r="V13" i="5"/>
  <c r="U13" i="5"/>
  <c r="Y12" i="5"/>
  <c r="X12" i="5"/>
  <c r="W12" i="5"/>
  <c r="V12" i="5"/>
  <c r="U12" i="5"/>
  <c r="Y11" i="5"/>
  <c r="X11" i="5"/>
  <c r="W11" i="5"/>
  <c r="V11" i="5"/>
  <c r="U11" i="5"/>
  <c r="Y10" i="5"/>
  <c r="X10" i="5"/>
  <c r="W10" i="5"/>
  <c r="V10" i="5"/>
  <c r="U10" i="5"/>
  <c r="Y9" i="5"/>
  <c r="X9" i="5"/>
  <c r="W9" i="5"/>
  <c r="V9" i="5"/>
  <c r="U9" i="5"/>
  <c r="Y8" i="5"/>
  <c r="X8" i="5"/>
  <c r="W8" i="5"/>
  <c r="V8" i="5"/>
  <c r="U8" i="5"/>
  <c r="Y7" i="5"/>
  <c r="X7" i="5"/>
  <c r="W7" i="5"/>
  <c r="V7" i="5"/>
  <c r="U7" i="5"/>
  <c r="Y6" i="5"/>
  <c r="X6" i="5"/>
  <c r="W6" i="5"/>
  <c r="V6" i="5"/>
  <c r="U6" i="5"/>
  <c r="Y5" i="5"/>
  <c r="X5" i="5"/>
  <c r="W5" i="5"/>
  <c r="V5" i="5"/>
  <c r="U5" i="5"/>
  <c r="Y4" i="5"/>
  <c r="X4" i="5"/>
  <c r="W4" i="5"/>
  <c r="V4" i="5"/>
  <c r="U4" i="5"/>
  <c r="Y3" i="5"/>
  <c r="X3" i="5"/>
  <c r="W3" i="5"/>
  <c r="V3" i="5"/>
  <c r="U3" i="5"/>
  <c r="Y2" i="5"/>
  <c r="X2" i="5"/>
  <c r="W2" i="5"/>
  <c r="V2" i="5"/>
  <c r="U2" i="5"/>
  <c r="Y76" i="5"/>
  <c r="X76" i="5"/>
  <c r="W76" i="5"/>
  <c r="V76" i="5"/>
  <c r="U76" i="5"/>
  <c r="Y75" i="5"/>
  <c r="X75" i="5"/>
  <c r="W75" i="5"/>
  <c r="V75" i="5"/>
  <c r="U75" i="5"/>
  <c r="Y74" i="5"/>
  <c r="X74" i="5"/>
  <c r="W74" i="5"/>
  <c r="V74" i="5"/>
  <c r="U74" i="5"/>
  <c r="Y73" i="5"/>
  <c r="X73" i="5"/>
  <c r="W73" i="5"/>
  <c r="V73" i="5"/>
  <c r="U73" i="5"/>
  <c r="Y72" i="5"/>
  <c r="X72" i="5"/>
  <c r="W72" i="5"/>
  <c r="V72" i="5"/>
  <c r="U72" i="5"/>
  <c r="Y71" i="5"/>
  <c r="X71" i="5"/>
  <c r="W71" i="5"/>
  <c r="V71" i="5"/>
  <c r="U71" i="5"/>
  <c r="Y70" i="5"/>
  <c r="X70" i="5"/>
  <c r="W70" i="5"/>
  <c r="V70" i="5"/>
  <c r="U70" i="5"/>
  <c r="Y69" i="5"/>
  <c r="X69" i="5"/>
  <c r="W69" i="5"/>
  <c r="V69" i="5"/>
  <c r="U69" i="5"/>
  <c r="Y68" i="5"/>
  <c r="X68" i="5"/>
  <c r="W68" i="5"/>
  <c r="V68" i="5"/>
  <c r="U68" i="5"/>
  <c r="Y67" i="5"/>
  <c r="X67" i="5"/>
  <c r="W67" i="5"/>
  <c r="V67" i="5"/>
  <c r="U67" i="5"/>
  <c r="Y66" i="5"/>
  <c r="X66" i="5"/>
  <c r="W66" i="5"/>
  <c r="V66" i="5"/>
  <c r="U66" i="5"/>
  <c r="Y65" i="5"/>
  <c r="X65" i="5"/>
  <c r="W65" i="5"/>
  <c r="V65" i="5"/>
  <c r="U65" i="5"/>
  <c r="Y64" i="5"/>
  <c r="X64" i="5"/>
  <c r="W64" i="5"/>
  <c r="V64" i="5"/>
  <c r="U64" i="5"/>
  <c r="Y62" i="5"/>
  <c r="X62" i="5"/>
  <c r="W62" i="5"/>
  <c r="V62" i="5"/>
  <c r="U62" i="5"/>
  <c r="Y61" i="5"/>
  <c r="X61" i="5"/>
  <c r="W61" i="5"/>
  <c r="V61" i="5"/>
  <c r="U61" i="5"/>
  <c r="Y60" i="5"/>
  <c r="X60" i="5"/>
  <c r="W60" i="5"/>
  <c r="V60" i="5"/>
  <c r="U60" i="5"/>
  <c r="Y59" i="5"/>
  <c r="X59" i="5"/>
  <c r="W59" i="5"/>
  <c r="V59" i="5"/>
  <c r="U59" i="5"/>
  <c r="Y58" i="5"/>
  <c r="X58" i="5"/>
  <c r="W58" i="5"/>
  <c r="V58" i="5"/>
  <c r="U58" i="5"/>
  <c r="Y57" i="5"/>
  <c r="X57" i="5"/>
  <c r="W57" i="5"/>
  <c r="V57" i="5"/>
  <c r="U57" i="5"/>
  <c r="Y56" i="5"/>
  <c r="X56" i="5"/>
  <c r="W56" i="5"/>
  <c r="V56" i="5"/>
  <c r="U56" i="5"/>
  <c r="Y55" i="5"/>
  <c r="X55" i="5"/>
  <c r="W55" i="5"/>
  <c r="V55" i="5"/>
  <c r="U55" i="5"/>
  <c r="Y54" i="5"/>
  <c r="X54" i="5"/>
  <c r="W54" i="5"/>
  <c r="V54" i="5"/>
  <c r="U54" i="5"/>
  <c r="Y53" i="5"/>
  <c r="X53" i="5"/>
  <c r="W53" i="5"/>
  <c r="V53" i="5"/>
  <c r="U53" i="5"/>
  <c r="Y52" i="5"/>
  <c r="X52" i="5"/>
  <c r="W52" i="5"/>
  <c r="V52" i="5"/>
  <c r="U52" i="5"/>
  <c r="Y51" i="5"/>
  <c r="X51" i="5"/>
  <c r="W51" i="5"/>
  <c r="V51" i="5"/>
  <c r="U51" i="5"/>
  <c r="Y50" i="5"/>
  <c r="X50" i="5"/>
  <c r="W50" i="5"/>
  <c r="V50" i="5"/>
  <c r="U50" i="5"/>
  <c r="Y49" i="5"/>
  <c r="X49" i="5"/>
  <c r="W49" i="5"/>
  <c r="V49" i="5"/>
  <c r="U49" i="5"/>
  <c r="Y47" i="5"/>
  <c r="X47" i="5"/>
  <c r="W47" i="5"/>
  <c r="V47" i="5"/>
  <c r="U47" i="5"/>
  <c r="Y46" i="5"/>
  <c r="X46" i="5"/>
  <c r="W46" i="5"/>
  <c r="V46" i="5"/>
  <c r="U46" i="5"/>
  <c r="Y44" i="5"/>
  <c r="X44" i="5"/>
  <c r="W44" i="5"/>
  <c r="V44" i="5"/>
  <c r="U44" i="5"/>
  <c r="Y43" i="5"/>
  <c r="X43" i="5"/>
  <c r="W43" i="5"/>
  <c r="V43" i="5"/>
  <c r="U43" i="5"/>
  <c r="Y42" i="5"/>
  <c r="X42" i="5"/>
  <c r="W42" i="5"/>
  <c r="V42" i="5"/>
  <c r="U42" i="5"/>
  <c r="Y41" i="5"/>
  <c r="X41" i="5"/>
  <c r="W41" i="5"/>
  <c r="V41" i="5"/>
  <c r="U41" i="5"/>
  <c r="Y40" i="5"/>
  <c r="X40" i="5"/>
  <c r="W40" i="5"/>
  <c r="V40" i="5"/>
  <c r="U40" i="5"/>
  <c r="Y39" i="5"/>
  <c r="X39" i="5"/>
  <c r="W39" i="5"/>
  <c r="V39" i="5"/>
  <c r="U39" i="5"/>
  <c r="Y38" i="5"/>
  <c r="X38" i="5"/>
  <c r="W38" i="5"/>
  <c r="V38" i="5"/>
  <c r="U38" i="5"/>
  <c r="Y37" i="5"/>
  <c r="X37" i="5"/>
  <c r="W37" i="5"/>
  <c r="V37" i="5"/>
  <c r="U37" i="5"/>
  <c r="Y36" i="5"/>
  <c r="X36" i="5"/>
  <c r="W36" i="5"/>
  <c r="V36" i="5"/>
  <c r="U36" i="5"/>
  <c r="Y35" i="5"/>
  <c r="X35" i="5"/>
  <c r="W35" i="5"/>
  <c r="V35" i="5"/>
  <c r="U35" i="5"/>
  <c r="Y34" i="5"/>
  <c r="X34" i="5"/>
  <c r="W34" i="5"/>
  <c r="V34" i="5"/>
  <c r="U34" i="5"/>
  <c r="Y33" i="5"/>
  <c r="X33" i="5"/>
  <c r="W33" i="5"/>
  <c r="V33" i="5"/>
  <c r="U33" i="5"/>
  <c r="Y32" i="5"/>
  <c r="X32" i="5"/>
  <c r="W32" i="5"/>
  <c r="V32" i="5"/>
  <c r="U32" i="5"/>
  <c r="D25" i="5"/>
  <c r="E25" i="5"/>
  <c r="F25" i="5"/>
  <c r="G25" i="5"/>
  <c r="I25" i="5"/>
  <c r="I64" i="5"/>
  <c r="D21" i="5"/>
  <c r="E21" i="5"/>
  <c r="F21" i="5"/>
  <c r="G21" i="5"/>
  <c r="I21" i="5"/>
  <c r="I65" i="5"/>
  <c r="D17" i="5"/>
  <c r="E17" i="5"/>
  <c r="F17" i="5"/>
  <c r="G17" i="5"/>
  <c r="I17" i="5"/>
  <c r="I66" i="5"/>
  <c r="D5" i="5"/>
  <c r="E5" i="5"/>
  <c r="F5" i="5"/>
  <c r="G5" i="5"/>
  <c r="I5" i="5"/>
  <c r="I67" i="5"/>
  <c r="D9" i="5"/>
  <c r="E9" i="5"/>
  <c r="F9" i="5"/>
  <c r="G9" i="5"/>
  <c r="I9" i="5"/>
  <c r="I68" i="5"/>
  <c r="D24" i="5"/>
  <c r="E24" i="5"/>
  <c r="F24" i="5"/>
  <c r="G24" i="5"/>
  <c r="I24" i="5"/>
  <c r="I69" i="5"/>
  <c r="D20" i="5"/>
  <c r="E20" i="5"/>
  <c r="F20" i="5"/>
  <c r="G20" i="5"/>
  <c r="I20" i="5"/>
  <c r="I70" i="5"/>
  <c r="D29" i="5"/>
  <c r="E29" i="5"/>
  <c r="F29" i="5"/>
  <c r="G29" i="5"/>
  <c r="I29" i="5"/>
  <c r="I71" i="5"/>
  <c r="D16" i="5"/>
  <c r="E16" i="5"/>
  <c r="F16" i="5"/>
  <c r="G16" i="5"/>
  <c r="I16" i="5"/>
  <c r="I72" i="5"/>
  <c r="D7" i="5"/>
  <c r="E7" i="5"/>
  <c r="F7" i="5"/>
  <c r="G7" i="5"/>
  <c r="I7" i="5"/>
  <c r="I73" i="5"/>
  <c r="D12" i="5"/>
  <c r="E12" i="5"/>
  <c r="F12" i="5"/>
  <c r="G12" i="5"/>
  <c r="I12" i="5"/>
  <c r="I74" i="5"/>
  <c r="D18" i="5"/>
  <c r="E18" i="5"/>
  <c r="F18" i="5"/>
  <c r="G18" i="5"/>
  <c r="I18" i="5"/>
  <c r="I75" i="5"/>
  <c r="D27" i="5"/>
  <c r="E27" i="5"/>
  <c r="F27" i="5"/>
  <c r="G27" i="5"/>
  <c r="I27" i="5"/>
  <c r="I76" i="5"/>
  <c r="I63" i="5"/>
  <c r="J63" i="5"/>
  <c r="D23" i="5"/>
  <c r="E23" i="5"/>
  <c r="F23" i="5"/>
  <c r="G23" i="5"/>
  <c r="I23" i="5"/>
  <c r="I49" i="5"/>
  <c r="I50" i="5"/>
  <c r="I51" i="5"/>
  <c r="I52" i="5"/>
  <c r="I53" i="5"/>
  <c r="I54" i="5"/>
  <c r="I55" i="5"/>
  <c r="I56" i="5"/>
  <c r="I57" i="5"/>
  <c r="I58" i="5"/>
  <c r="I59" i="5"/>
  <c r="I60" i="5"/>
  <c r="I61" i="5"/>
  <c r="I62" i="5"/>
  <c r="I48" i="5"/>
  <c r="J48" i="5"/>
  <c r="D10" i="5"/>
  <c r="E10" i="5"/>
  <c r="F10" i="5"/>
  <c r="G10" i="5"/>
  <c r="I10" i="5"/>
  <c r="I46" i="5"/>
  <c r="D6" i="5"/>
  <c r="E6" i="5"/>
  <c r="F6" i="5"/>
  <c r="G6" i="5"/>
  <c r="I6" i="5"/>
  <c r="I47" i="5"/>
  <c r="I45" i="5"/>
  <c r="J45" i="5"/>
  <c r="D3" i="5"/>
  <c r="E3" i="5"/>
  <c r="F3" i="5"/>
  <c r="G3" i="5"/>
  <c r="I3" i="5"/>
  <c r="I32" i="5"/>
  <c r="D13" i="5"/>
  <c r="E13" i="5"/>
  <c r="F13" i="5"/>
  <c r="G13" i="5"/>
  <c r="I13" i="5"/>
  <c r="I33" i="5"/>
  <c r="D14" i="5"/>
  <c r="E14" i="5"/>
  <c r="F14" i="5"/>
  <c r="G14" i="5"/>
  <c r="I14" i="5"/>
  <c r="I34" i="5"/>
  <c r="D30" i="5"/>
  <c r="E30" i="5"/>
  <c r="F30" i="5"/>
  <c r="G30" i="5"/>
  <c r="I30" i="5"/>
  <c r="I35" i="5"/>
  <c r="D26" i="5"/>
  <c r="E26" i="5"/>
  <c r="F26" i="5"/>
  <c r="G26" i="5"/>
  <c r="I26" i="5"/>
  <c r="I36" i="5"/>
  <c r="D22" i="5"/>
  <c r="E22" i="5"/>
  <c r="F22" i="5"/>
  <c r="G22" i="5"/>
  <c r="I22" i="5"/>
  <c r="I37" i="5"/>
  <c r="D2" i="5"/>
  <c r="E2" i="5"/>
  <c r="F2" i="5"/>
  <c r="G2" i="5"/>
  <c r="I2" i="5"/>
  <c r="I38" i="5"/>
  <c r="D11" i="5"/>
  <c r="E11" i="5"/>
  <c r="F11" i="5"/>
  <c r="G11" i="5"/>
  <c r="I11" i="5"/>
  <c r="I39" i="5"/>
  <c r="D4" i="5"/>
  <c r="E4" i="5"/>
  <c r="F4" i="5"/>
  <c r="G4" i="5"/>
  <c r="I4" i="5"/>
  <c r="I40" i="5"/>
  <c r="D8" i="5"/>
  <c r="E8" i="5"/>
  <c r="F8" i="5"/>
  <c r="G8" i="5"/>
  <c r="I8" i="5"/>
  <c r="I41" i="5"/>
  <c r="D19" i="5"/>
  <c r="E19" i="5"/>
  <c r="F19" i="5"/>
  <c r="G19" i="5"/>
  <c r="I19" i="5"/>
  <c r="I42" i="5"/>
  <c r="D28" i="5"/>
  <c r="E28" i="5"/>
  <c r="F28" i="5"/>
  <c r="G28" i="5"/>
  <c r="I28" i="5"/>
  <c r="I43" i="5"/>
  <c r="D15" i="5"/>
  <c r="E15" i="5"/>
  <c r="F15" i="5"/>
  <c r="G15" i="5"/>
  <c r="I15" i="5"/>
  <c r="I44" i="5"/>
  <c r="I31" i="5"/>
  <c r="J31" i="5"/>
  <c r="J30" i="5"/>
  <c r="J29" i="5"/>
  <c r="J28" i="5"/>
  <c r="J27" i="5"/>
  <c r="J26" i="5"/>
  <c r="J25" i="5"/>
  <c r="J24" i="5"/>
  <c r="J23" i="5"/>
  <c r="J22" i="5"/>
  <c r="J21" i="5"/>
  <c r="J20" i="5"/>
  <c r="J19" i="5"/>
  <c r="J18" i="5"/>
  <c r="J17" i="5"/>
  <c r="J16" i="5"/>
  <c r="J15" i="5"/>
  <c r="J14" i="5"/>
  <c r="J13" i="5"/>
  <c r="J12" i="5"/>
  <c r="J11" i="5"/>
  <c r="J10" i="5"/>
  <c r="J9" i="5"/>
  <c r="J8" i="5"/>
  <c r="J7" i="5"/>
  <c r="J6" i="5"/>
  <c r="J5" i="5"/>
  <c r="J4" i="5"/>
  <c r="J3" i="5"/>
  <c r="J2" i="5"/>
  <c r="J76" i="5"/>
  <c r="J75" i="5"/>
  <c r="J74" i="5"/>
  <c r="J73" i="5"/>
  <c r="J72" i="5"/>
  <c r="J71" i="5"/>
  <c r="J70" i="5"/>
  <c r="J69" i="5"/>
  <c r="J68" i="5"/>
  <c r="J67" i="5"/>
  <c r="J66" i="5"/>
  <c r="J65" i="5"/>
  <c r="J64" i="5"/>
  <c r="J62" i="5"/>
  <c r="J61" i="5"/>
  <c r="J60" i="5"/>
  <c r="J59" i="5"/>
  <c r="J58" i="5"/>
  <c r="J57" i="5"/>
  <c r="J56" i="5"/>
  <c r="J55" i="5"/>
  <c r="J54" i="5"/>
  <c r="J53" i="5"/>
  <c r="J52" i="5"/>
  <c r="J51" i="5"/>
  <c r="J50" i="5"/>
  <c r="J49" i="5"/>
  <c r="J47" i="5"/>
  <c r="J46" i="5"/>
  <c r="J44" i="5"/>
  <c r="J43" i="5"/>
  <c r="J42" i="5"/>
  <c r="J41" i="5"/>
  <c r="J40" i="5"/>
  <c r="J39" i="5"/>
  <c r="J38" i="5"/>
  <c r="J37" i="5"/>
  <c r="J36" i="5"/>
  <c r="J35" i="5"/>
  <c r="J34" i="5"/>
  <c r="J33" i="5"/>
  <c r="J32" i="5"/>
  <c r="G63" i="19"/>
  <c r="G48" i="19"/>
  <c r="G45" i="19"/>
  <c r="G31" i="19"/>
  <c r="AC27" i="15"/>
  <c r="AC76" i="15"/>
  <c r="AC18" i="15"/>
  <c r="AC75" i="15"/>
  <c r="AC12" i="15"/>
  <c r="AC74" i="15"/>
  <c r="AC7" i="15"/>
  <c r="AC73" i="15"/>
  <c r="AC16" i="15"/>
  <c r="AC72" i="15"/>
  <c r="AC29" i="15"/>
  <c r="AC71" i="15"/>
  <c r="AC20" i="15"/>
  <c r="AC70" i="15"/>
  <c r="AC24" i="15"/>
  <c r="AC69" i="15"/>
  <c r="AC9" i="15"/>
  <c r="AC68" i="15"/>
  <c r="AC5" i="15"/>
  <c r="AC67" i="15"/>
  <c r="AC17" i="15"/>
  <c r="AC66" i="15"/>
  <c r="AC21" i="15"/>
  <c r="AC65" i="15"/>
  <c r="AC25" i="15"/>
  <c r="AC64" i="15"/>
  <c r="AC63" i="15"/>
  <c r="AC62" i="15"/>
  <c r="AC61" i="15"/>
  <c r="AC60" i="15"/>
  <c r="AC59" i="15"/>
  <c r="AC58" i="15"/>
  <c r="AC57" i="15"/>
  <c r="AC56" i="15"/>
  <c r="AC55" i="15"/>
  <c r="AC54" i="15"/>
  <c r="AC53" i="15"/>
  <c r="AC52" i="15"/>
  <c r="AC51" i="15"/>
  <c r="AC50" i="15"/>
  <c r="AC23" i="15"/>
  <c r="AC49" i="15"/>
  <c r="AC48" i="15"/>
  <c r="AC6" i="15"/>
  <c r="AC47" i="15"/>
  <c r="AC10" i="15"/>
  <c r="AC46" i="15"/>
  <c r="AC45" i="15"/>
  <c r="AC15" i="15"/>
  <c r="AC44" i="15"/>
  <c r="AC28" i="15"/>
  <c r="AC43" i="15"/>
  <c r="AC19" i="15"/>
  <c r="AC42" i="15"/>
  <c r="AC8" i="15"/>
  <c r="AC41" i="15"/>
  <c r="AC4" i="15"/>
  <c r="AC40" i="15"/>
  <c r="AC11" i="15"/>
  <c r="AC39" i="15"/>
  <c r="AC2" i="15"/>
  <c r="AC38" i="15"/>
  <c r="AC22" i="15"/>
  <c r="AC37" i="15"/>
  <c r="AC26" i="15"/>
  <c r="AC36" i="15"/>
  <c r="AC30" i="15"/>
  <c r="AC35" i="15"/>
  <c r="AC14" i="15"/>
  <c r="AC34" i="15"/>
  <c r="AC13" i="15"/>
  <c r="AC33" i="15"/>
  <c r="AC3" i="15"/>
  <c r="AC32" i="15"/>
  <c r="AC31" i="15"/>
  <c r="AM27" i="15"/>
  <c r="AM76" i="15"/>
  <c r="AM18" i="15"/>
  <c r="AM75" i="15"/>
  <c r="AM12" i="15"/>
  <c r="AM74" i="15"/>
  <c r="AM7" i="15"/>
  <c r="AM73" i="15"/>
  <c r="AM16" i="15"/>
  <c r="AM72" i="15"/>
  <c r="AM29" i="15"/>
  <c r="AM71" i="15"/>
  <c r="AM20" i="15"/>
  <c r="AM70" i="15"/>
  <c r="AM24" i="15"/>
  <c r="AM69" i="15"/>
  <c r="AM9" i="15"/>
  <c r="AM68" i="15"/>
  <c r="AM5" i="15"/>
  <c r="AM67" i="15"/>
  <c r="AM17" i="15"/>
  <c r="AM66" i="15"/>
  <c r="AM21" i="15"/>
  <c r="AM65" i="15"/>
  <c r="AM25" i="15"/>
  <c r="AM64" i="15"/>
  <c r="AM63" i="15"/>
  <c r="AM62" i="15"/>
  <c r="AM61" i="15"/>
  <c r="AM60" i="15"/>
  <c r="AM59" i="15"/>
  <c r="AM58" i="15"/>
  <c r="AM57" i="15"/>
  <c r="AM56" i="15"/>
  <c r="AM55" i="15"/>
  <c r="AM54" i="15"/>
  <c r="AM53" i="15"/>
  <c r="AM52" i="15"/>
  <c r="AM51" i="15"/>
  <c r="AM50" i="15"/>
  <c r="AM23" i="15"/>
  <c r="AM49" i="15"/>
  <c r="AM48" i="15"/>
  <c r="AM6" i="15"/>
  <c r="AM47" i="15"/>
  <c r="AM10" i="15"/>
  <c r="AM46" i="15"/>
  <c r="AM45" i="15"/>
  <c r="AM15" i="15"/>
  <c r="AM44" i="15"/>
  <c r="AM28" i="15"/>
  <c r="AM43" i="15"/>
  <c r="AM19" i="15"/>
  <c r="AM42" i="15"/>
  <c r="AM8" i="15"/>
  <c r="AM41" i="15"/>
  <c r="AM4" i="15"/>
  <c r="AM40" i="15"/>
  <c r="AM11" i="15"/>
  <c r="AM39" i="15"/>
  <c r="AM2" i="15"/>
  <c r="AM38" i="15"/>
  <c r="AM22" i="15"/>
  <c r="AM37" i="15"/>
  <c r="AM26" i="15"/>
  <c r="AM36" i="15"/>
  <c r="AM30" i="15"/>
  <c r="AM35" i="15"/>
  <c r="AM14" i="15"/>
  <c r="AM34" i="15"/>
  <c r="AM13" i="15"/>
  <c r="AM33" i="15"/>
  <c r="AM3" i="15"/>
  <c r="AM32" i="15"/>
  <c r="AM31" i="15"/>
  <c r="Y27" i="15"/>
  <c r="Y76" i="15"/>
  <c r="X27" i="15"/>
  <c r="X76" i="15"/>
  <c r="W27" i="15"/>
  <c r="W76" i="15"/>
  <c r="V27" i="15"/>
  <c r="V76" i="15"/>
  <c r="U27" i="15"/>
  <c r="U76" i="15"/>
  <c r="Y18" i="15"/>
  <c r="Y75" i="15"/>
  <c r="X18" i="15"/>
  <c r="X75" i="15"/>
  <c r="W18" i="15"/>
  <c r="W75" i="15"/>
  <c r="V18" i="15"/>
  <c r="V75" i="15"/>
  <c r="U18" i="15"/>
  <c r="U75" i="15"/>
  <c r="Y12" i="15"/>
  <c r="Y74" i="15"/>
  <c r="X12" i="15"/>
  <c r="X74" i="15"/>
  <c r="W12" i="15"/>
  <c r="W74" i="15"/>
  <c r="V12" i="15"/>
  <c r="V74" i="15"/>
  <c r="U12" i="15"/>
  <c r="U74" i="15"/>
  <c r="Y7" i="15"/>
  <c r="Y73" i="15"/>
  <c r="X7" i="15"/>
  <c r="X73" i="15"/>
  <c r="W7" i="15"/>
  <c r="W73" i="15"/>
  <c r="V7" i="15"/>
  <c r="V73" i="15"/>
  <c r="U7" i="15"/>
  <c r="U73" i="15"/>
  <c r="Y16" i="15"/>
  <c r="Y72" i="15"/>
  <c r="X16" i="15"/>
  <c r="X72" i="15"/>
  <c r="W16" i="15"/>
  <c r="W72" i="15"/>
  <c r="V16" i="15"/>
  <c r="V72" i="15"/>
  <c r="U16" i="15"/>
  <c r="U72" i="15"/>
  <c r="Y29" i="15"/>
  <c r="Y71" i="15"/>
  <c r="X29" i="15"/>
  <c r="X71" i="15"/>
  <c r="W29" i="15"/>
  <c r="W71" i="15"/>
  <c r="V29" i="15"/>
  <c r="V71" i="15"/>
  <c r="U29" i="15"/>
  <c r="U71" i="15"/>
  <c r="Y20" i="15"/>
  <c r="Y70" i="15"/>
  <c r="X20" i="15"/>
  <c r="X70" i="15"/>
  <c r="W20" i="15"/>
  <c r="W70" i="15"/>
  <c r="V20" i="15"/>
  <c r="V70" i="15"/>
  <c r="U20" i="15"/>
  <c r="U70" i="15"/>
  <c r="Y24" i="15"/>
  <c r="Y69" i="15"/>
  <c r="X24" i="15"/>
  <c r="X69" i="15"/>
  <c r="W24" i="15"/>
  <c r="W69" i="15"/>
  <c r="V24" i="15"/>
  <c r="V69" i="15"/>
  <c r="U24" i="15"/>
  <c r="U69" i="15"/>
  <c r="Y9" i="15"/>
  <c r="Y68" i="15"/>
  <c r="X9" i="15"/>
  <c r="X68" i="15"/>
  <c r="W9" i="15"/>
  <c r="W68" i="15"/>
  <c r="V9" i="15"/>
  <c r="V68" i="15"/>
  <c r="U9" i="15"/>
  <c r="U68" i="15"/>
  <c r="Y5" i="15"/>
  <c r="Y67" i="15"/>
  <c r="X5" i="15"/>
  <c r="X67" i="15"/>
  <c r="W5" i="15"/>
  <c r="W67" i="15"/>
  <c r="V5" i="15"/>
  <c r="V67" i="15"/>
  <c r="U5" i="15"/>
  <c r="U67" i="15"/>
  <c r="Y17" i="15"/>
  <c r="Y66" i="15"/>
  <c r="X17" i="15"/>
  <c r="X66" i="15"/>
  <c r="W17" i="15"/>
  <c r="W66" i="15"/>
  <c r="V17" i="15"/>
  <c r="V66" i="15"/>
  <c r="U17" i="15"/>
  <c r="U66" i="15"/>
  <c r="Y21" i="15"/>
  <c r="Y65" i="15"/>
  <c r="X21" i="15"/>
  <c r="X65" i="15"/>
  <c r="W21" i="15"/>
  <c r="W65" i="15"/>
  <c r="V21" i="15"/>
  <c r="V65" i="15"/>
  <c r="U21" i="15"/>
  <c r="U65" i="15"/>
  <c r="Y25" i="15"/>
  <c r="Y64" i="15"/>
  <c r="X25" i="15"/>
  <c r="X64" i="15"/>
  <c r="W25" i="15"/>
  <c r="W64" i="15"/>
  <c r="V25" i="15"/>
  <c r="V64" i="15"/>
  <c r="U25" i="15"/>
  <c r="U64" i="15"/>
  <c r="Y63" i="15"/>
  <c r="X63" i="15"/>
  <c r="W63" i="15"/>
  <c r="V63" i="15"/>
  <c r="U63" i="15"/>
  <c r="Y62" i="15"/>
  <c r="X62" i="15"/>
  <c r="W62" i="15"/>
  <c r="V62" i="15"/>
  <c r="U62" i="15"/>
  <c r="Y61" i="15"/>
  <c r="X61" i="15"/>
  <c r="W61" i="15"/>
  <c r="V61" i="15"/>
  <c r="U61" i="15"/>
  <c r="Y60" i="15"/>
  <c r="X60" i="15"/>
  <c r="W60" i="15"/>
  <c r="V60" i="15"/>
  <c r="U60" i="15"/>
  <c r="Y59" i="15"/>
  <c r="X59" i="15"/>
  <c r="W59" i="15"/>
  <c r="V59" i="15"/>
  <c r="U59" i="15"/>
  <c r="Y58" i="15"/>
  <c r="X58" i="15"/>
  <c r="W58" i="15"/>
  <c r="V58" i="15"/>
  <c r="U58" i="15"/>
  <c r="Y57" i="15"/>
  <c r="X57" i="15"/>
  <c r="W57" i="15"/>
  <c r="V57" i="15"/>
  <c r="U57" i="15"/>
  <c r="Y56" i="15"/>
  <c r="X56" i="15"/>
  <c r="W56" i="15"/>
  <c r="V56" i="15"/>
  <c r="U56" i="15"/>
  <c r="Y55" i="15"/>
  <c r="X55" i="15"/>
  <c r="W55" i="15"/>
  <c r="V55" i="15"/>
  <c r="U55" i="15"/>
  <c r="Y54" i="15"/>
  <c r="X54" i="15"/>
  <c r="W54" i="15"/>
  <c r="V54" i="15"/>
  <c r="U54" i="15"/>
  <c r="Y53" i="15"/>
  <c r="X53" i="15"/>
  <c r="W53" i="15"/>
  <c r="V53" i="15"/>
  <c r="U53" i="15"/>
  <c r="Y52" i="15"/>
  <c r="X52" i="15"/>
  <c r="W52" i="15"/>
  <c r="V52" i="15"/>
  <c r="U52" i="15"/>
  <c r="Y51" i="15"/>
  <c r="X51" i="15"/>
  <c r="W51" i="15"/>
  <c r="V51" i="15"/>
  <c r="U51" i="15"/>
  <c r="Y50" i="15"/>
  <c r="X50" i="15"/>
  <c r="W50" i="15"/>
  <c r="V50" i="15"/>
  <c r="U50" i="15"/>
  <c r="Y23" i="15"/>
  <c r="Y49" i="15"/>
  <c r="X23" i="15"/>
  <c r="X49" i="15"/>
  <c r="W23" i="15"/>
  <c r="W49" i="15"/>
  <c r="V23" i="15"/>
  <c r="V49" i="15"/>
  <c r="U23" i="15"/>
  <c r="U49" i="15"/>
  <c r="Y48" i="15"/>
  <c r="X48" i="15"/>
  <c r="W48" i="15"/>
  <c r="V48" i="15"/>
  <c r="U48" i="15"/>
  <c r="Y6" i="15"/>
  <c r="Y47" i="15"/>
  <c r="X6" i="15"/>
  <c r="X47" i="15"/>
  <c r="W6" i="15"/>
  <c r="W47" i="15"/>
  <c r="V6" i="15"/>
  <c r="V47" i="15"/>
  <c r="U6" i="15"/>
  <c r="U47" i="15"/>
  <c r="Y10" i="15"/>
  <c r="Y46" i="15"/>
  <c r="X10" i="15"/>
  <c r="X46" i="15"/>
  <c r="W10" i="15"/>
  <c r="W46" i="15"/>
  <c r="V10" i="15"/>
  <c r="V46" i="15"/>
  <c r="U10" i="15"/>
  <c r="U46" i="15"/>
  <c r="Y45" i="15"/>
  <c r="X45" i="15"/>
  <c r="W45" i="15"/>
  <c r="V45" i="15"/>
  <c r="U45" i="15"/>
  <c r="Y15" i="15"/>
  <c r="Y44" i="15"/>
  <c r="X15" i="15"/>
  <c r="X44" i="15"/>
  <c r="W15" i="15"/>
  <c r="W44" i="15"/>
  <c r="V15" i="15"/>
  <c r="V44" i="15"/>
  <c r="U15" i="15"/>
  <c r="U44" i="15"/>
  <c r="Y28" i="15"/>
  <c r="Y43" i="15"/>
  <c r="X28" i="15"/>
  <c r="X43" i="15"/>
  <c r="W28" i="15"/>
  <c r="W43" i="15"/>
  <c r="V28" i="15"/>
  <c r="V43" i="15"/>
  <c r="U28" i="15"/>
  <c r="U43" i="15"/>
  <c r="Y19" i="15"/>
  <c r="Y42" i="15"/>
  <c r="X19" i="15"/>
  <c r="X42" i="15"/>
  <c r="W19" i="15"/>
  <c r="W42" i="15"/>
  <c r="V19" i="15"/>
  <c r="V42" i="15"/>
  <c r="U19" i="15"/>
  <c r="U42" i="15"/>
  <c r="Y8" i="15"/>
  <c r="Y41" i="15"/>
  <c r="X8" i="15"/>
  <c r="X41" i="15"/>
  <c r="W8" i="15"/>
  <c r="W41" i="15"/>
  <c r="V8" i="15"/>
  <c r="V41" i="15"/>
  <c r="U8" i="15"/>
  <c r="U41" i="15"/>
  <c r="Y4" i="15"/>
  <c r="Y40" i="15"/>
  <c r="X4" i="15"/>
  <c r="X40" i="15"/>
  <c r="W4" i="15"/>
  <c r="W40" i="15"/>
  <c r="V4" i="15"/>
  <c r="V40" i="15"/>
  <c r="U4" i="15"/>
  <c r="U40" i="15"/>
  <c r="Y11" i="15"/>
  <c r="Y39" i="15"/>
  <c r="X11" i="15"/>
  <c r="X39" i="15"/>
  <c r="W11" i="15"/>
  <c r="W39" i="15"/>
  <c r="V11" i="15"/>
  <c r="V39" i="15"/>
  <c r="U11" i="15"/>
  <c r="U39" i="15"/>
  <c r="Y2" i="15"/>
  <c r="Y38" i="15"/>
  <c r="X2" i="15"/>
  <c r="X38" i="15"/>
  <c r="W2" i="15"/>
  <c r="W38" i="15"/>
  <c r="V2" i="15"/>
  <c r="V38" i="15"/>
  <c r="U2" i="15"/>
  <c r="U38" i="15"/>
  <c r="Y22" i="15"/>
  <c r="Y37" i="15"/>
  <c r="X22" i="15"/>
  <c r="X37" i="15"/>
  <c r="W22" i="15"/>
  <c r="W37" i="15"/>
  <c r="V22" i="15"/>
  <c r="V37" i="15"/>
  <c r="U22" i="15"/>
  <c r="U37" i="15"/>
  <c r="Y26" i="15"/>
  <c r="Y36" i="15"/>
  <c r="X26" i="15"/>
  <c r="X36" i="15"/>
  <c r="W26" i="15"/>
  <c r="W36" i="15"/>
  <c r="V26" i="15"/>
  <c r="V36" i="15"/>
  <c r="U26" i="15"/>
  <c r="U36" i="15"/>
  <c r="Y30" i="15"/>
  <c r="Y35" i="15"/>
  <c r="X30" i="15"/>
  <c r="X35" i="15"/>
  <c r="W30" i="15"/>
  <c r="W35" i="15"/>
  <c r="V30" i="15"/>
  <c r="V35" i="15"/>
  <c r="U30" i="15"/>
  <c r="U35" i="15"/>
  <c r="Y14" i="15"/>
  <c r="Y34" i="15"/>
  <c r="X14" i="15"/>
  <c r="X34" i="15"/>
  <c r="W14" i="15"/>
  <c r="W34" i="15"/>
  <c r="V14" i="15"/>
  <c r="V34" i="15"/>
  <c r="U14" i="15"/>
  <c r="U34" i="15"/>
  <c r="Y13" i="15"/>
  <c r="Y33" i="15"/>
  <c r="X13" i="15"/>
  <c r="X33" i="15"/>
  <c r="W13" i="15"/>
  <c r="W33" i="15"/>
  <c r="V13" i="15"/>
  <c r="V33" i="15"/>
  <c r="U13" i="15"/>
  <c r="U33" i="15"/>
  <c r="Y3" i="15"/>
  <c r="Y32" i="15"/>
  <c r="X3" i="15"/>
  <c r="X32" i="15"/>
  <c r="W3" i="15"/>
  <c r="W32" i="15"/>
  <c r="V3" i="15"/>
  <c r="V32" i="15"/>
  <c r="U3" i="15"/>
  <c r="U32" i="15"/>
  <c r="Y31" i="15"/>
  <c r="X31" i="15"/>
  <c r="W31" i="15"/>
  <c r="V31" i="15"/>
  <c r="U31" i="15"/>
  <c r="O63" i="15"/>
  <c r="O48" i="15"/>
  <c r="O45" i="15"/>
  <c r="BU30" i="17"/>
  <c r="BU29" i="17"/>
  <c r="BU28" i="17"/>
  <c r="BU27" i="17"/>
  <c r="BU26" i="17"/>
  <c r="BU25" i="17"/>
  <c r="BU24" i="17"/>
  <c r="BU23" i="17"/>
  <c r="BU22" i="17"/>
  <c r="BU21" i="17"/>
  <c r="BU20" i="17"/>
  <c r="BU19" i="17"/>
  <c r="BU18" i="17"/>
  <c r="BU17" i="17"/>
  <c r="BU16" i="17"/>
  <c r="BU15" i="17"/>
  <c r="BU14" i="17"/>
  <c r="BU13" i="17"/>
  <c r="BU12" i="17"/>
  <c r="BU11" i="17"/>
  <c r="BU10" i="17"/>
  <c r="BU9" i="17"/>
  <c r="BU8" i="17"/>
  <c r="BU7" i="17"/>
  <c r="BU6" i="17"/>
  <c r="BU5" i="17"/>
  <c r="BU4" i="17"/>
  <c r="BU3" i="17"/>
  <c r="BU2" i="17"/>
  <c r="BU45" i="17"/>
  <c r="BU31" i="17"/>
  <c r="BQ63" i="17"/>
  <c r="BQ48" i="17"/>
  <c r="BQ45" i="17"/>
  <c r="AS27" i="17"/>
  <c r="AS76" i="17"/>
  <c r="AS18" i="17"/>
  <c r="AS75" i="17"/>
  <c r="AS12" i="17"/>
  <c r="AS74" i="17"/>
  <c r="AS7" i="17"/>
  <c r="AS73" i="17"/>
  <c r="AS16" i="17"/>
  <c r="AS72" i="17"/>
  <c r="AS29" i="17"/>
  <c r="AS71" i="17"/>
  <c r="AS20" i="17"/>
  <c r="AS70" i="17"/>
  <c r="AS24" i="17"/>
  <c r="AS69" i="17"/>
  <c r="AS9" i="17"/>
  <c r="AS68" i="17"/>
  <c r="AS5" i="17"/>
  <c r="AS67" i="17"/>
  <c r="AS17" i="17"/>
  <c r="AS66" i="17"/>
  <c r="AS21" i="17"/>
  <c r="AS65" i="17"/>
  <c r="AS25" i="17"/>
  <c r="AS64" i="17"/>
  <c r="AS63" i="17"/>
  <c r="AS62" i="17"/>
  <c r="AS61" i="17"/>
  <c r="AS60" i="17"/>
  <c r="AS59" i="17"/>
  <c r="AS58" i="17"/>
  <c r="AS57" i="17"/>
  <c r="AS56" i="17"/>
  <c r="AS55" i="17"/>
  <c r="AS54" i="17"/>
  <c r="AS53" i="17"/>
  <c r="AS52" i="17"/>
  <c r="AS51" i="17"/>
  <c r="AS50" i="17"/>
  <c r="AS23" i="17"/>
  <c r="AS49" i="17"/>
  <c r="AS48" i="17"/>
  <c r="AS6" i="17"/>
  <c r="AS47" i="17"/>
  <c r="AS10" i="17"/>
  <c r="AS46" i="17"/>
  <c r="AS45" i="17"/>
  <c r="AS15" i="17"/>
  <c r="AS44" i="17"/>
  <c r="AS28" i="17"/>
  <c r="AS43" i="17"/>
  <c r="AS19" i="17"/>
  <c r="AS42" i="17"/>
  <c r="AS8" i="17"/>
  <c r="AS41" i="17"/>
  <c r="AS4" i="17"/>
  <c r="AS40" i="17"/>
  <c r="AS11" i="17"/>
  <c r="AS39" i="17"/>
  <c r="AS2" i="17"/>
  <c r="AS38" i="17"/>
  <c r="AS22" i="17"/>
  <c r="AS37" i="17"/>
  <c r="AS26" i="17"/>
  <c r="AS36" i="17"/>
  <c r="AS30" i="17"/>
  <c r="AS35" i="17"/>
  <c r="AS14" i="17"/>
  <c r="AS34" i="17"/>
  <c r="AS13" i="17"/>
  <c r="AS33" i="17"/>
  <c r="AS3" i="17"/>
  <c r="AS32" i="17"/>
  <c r="AS31" i="17"/>
  <c r="U63" i="17"/>
  <c r="U48" i="17"/>
  <c r="U45" i="17"/>
  <c r="U31" i="17"/>
  <c r="U30" i="17"/>
  <c r="U29" i="17"/>
  <c r="U28" i="17"/>
  <c r="U27" i="17"/>
  <c r="U26" i="17"/>
  <c r="U25" i="17"/>
  <c r="U24" i="17"/>
  <c r="U23" i="17"/>
  <c r="U22" i="17"/>
  <c r="U21" i="17"/>
  <c r="U20" i="17"/>
  <c r="U19" i="17"/>
  <c r="U18" i="17"/>
  <c r="U17" i="17"/>
  <c r="U16" i="17"/>
  <c r="U15" i="17"/>
  <c r="U14" i="17"/>
  <c r="U13" i="17"/>
  <c r="U12" i="17"/>
  <c r="U11" i="17"/>
  <c r="U10" i="17"/>
  <c r="U9" i="17"/>
  <c r="U8" i="17"/>
  <c r="U7" i="17"/>
  <c r="U6" i="17"/>
  <c r="U5" i="17"/>
  <c r="U4" i="17"/>
  <c r="U3" i="17"/>
  <c r="U2" i="17"/>
  <c r="AD63" i="4"/>
  <c r="AD48" i="4"/>
  <c r="AD45" i="4"/>
  <c r="AD31" i="4"/>
  <c r="T63" i="4"/>
  <c r="T48" i="4"/>
  <c r="T45" i="4"/>
  <c r="T31" i="4"/>
  <c r="Q63" i="4"/>
  <c r="R63" i="4"/>
  <c r="S63" i="4"/>
  <c r="P63" i="4"/>
  <c r="Q48" i="4"/>
  <c r="R48" i="4"/>
  <c r="S48" i="4"/>
  <c r="P48" i="4"/>
  <c r="Q45" i="4"/>
  <c r="R45" i="4"/>
  <c r="S45" i="4"/>
  <c r="P45" i="4"/>
  <c r="Q31" i="4"/>
  <c r="R31" i="4"/>
  <c r="S31" i="4"/>
  <c r="P31" i="4"/>
  <c r="Y27" i="4"/>
  <c r="Z27" i="4"/>
  <c r="AA27" i="4"/>
  <c r="AB27" i="4"/>
  <c r="AC27" i="4"/>
  <c r="E27" i="19"/>
  <c r="H27" i="19"/>
  <c r="Y18" i="4"/>
  <c r="Z18" i="4"/>
  <c r="AA18" i="4"/>
  <c r="AB18" i="4"/>
  <c r="AC18" i="4"/>
  <c r="E18" i="19"/>
  <c r="H18" i="19"/>
  <c r="Y12" i="4"/>
  <c r="Z12" i="4"/>
  <c r="AA12" i="4"/>
  <c r="AB12" i="4"/>
  <c r="AC12" i="4"/>
  <c r="E12" i="19"/>
  <c r="H12" i="19"/>
  <c r="Y7" i="4"/>
  <c r="Z7" i="4"/>
  <c r="AA7" i="4"/>
  <c r="AB7" i="4"/>
  <c r="AC7" i="4"/>
  <c r="E7" i="19"/>
  <c r="H7" i="19"/>
  <c r="Y16" i="4"/>
  <c r="Z16" i="4"/>
  <c r="AA16" i="4"/>
  <c r="AB16" i="4"/>
  <c r="AC16" i="4"/>
  <c r="E16" i="19"/>
  <c r="H16" i="19"/>
  <c r="Y29" i="4"/>
  <c r="Z29" i="4"/>
  <c r="AA29" i="4"/>
  <c r="AB29" i="4"/>
  <c r="AC29" i="4"/>
  <c r="E29" i="19"/>
  <c r="H29" i="19"/>
  <c r="Y20" i="4"/>
  <c r="Z20" i="4"/>
  <c r="AA20" i="4"/>
  <c r="AB20" i="4"/>
  <c r="AC20" i="4"/>
  <c r="E20" i="19"/>
  <c r="H20" i="19"/>
  <c r="Y24" i="4"/>
  <c r="Z24" i="4"/>
  <c r="AA24" i="4"/>
  <c r="AB24" i="4"/>
  <c r="AC24" i="4"/>
  <c r="E24" i="19"/>
  <c r="H24" i="19"/>
  <c r="Y9" i="4"/>
  <c r="Z9" i="4"/>
  <c r="AA9" i="4"/>
  <c r="AB9" i="4"/>
  <c r="AC9" i="4"/>
  <c r="E9" i="19"/>
  <c r="H9" i="19"/>
  <c r="Y5" i="4"/>
  <c r="Z5" i="4"/>
  <c r="AA5" i="4"/>
  <c r="AB5" i="4"/>
  <c r="AC5" i="4"/>
  <c r="E5" i="19"/>
  <c r="H5" i="19"/>
  <c r="Y17" i="4"/>
  <c r="Z17" i="4"/>
  <c r="AA17" i="4"/>
  <c r="AB17" i="4"/>
  <c r="AC17" i="4"/>
  <c r="E17" i="19"/>
  <c r="H17" i="19"/>
  <c r="Y21" i="4"/>
  <c r="Z21" i="4"/>
  <c r="AA21" i="4"/>
  <c r="AB21" i="4"/>
  <c r="AC21" i="4"/>
  <c r="E21" i="19"/>
  <c r="H21" i="19"/>
  <c r="Y25" i="4"/>
  <c r="Z25" i="4"/>
  <c r="AA25" i="4"/>
  <c r="AB25" i="4"/>
  <c r="AC25" i="4"/>
  <c r="E25" i="19"/>
  <c r="H25" i="19"/>
  <c r="E64" i="19"/>
  <c r="H64" i="19"/>
  <c r="E65" i="19"/>
  <c r="H65" i="19"/>
  <c r="E66" i="19"/>
  <c r="H66" i="19"/>
  <c r="E67" i="19"/>
  <c r="H67" i="19"/>
  <c r="E68" i="19"/>
  <c r="H68" i="19"/>
  <c r="E69" i="19"/>
  <c r="H69" i="19"/>
  <c r="E70" i="19"/>
  <c r="H70" i="19"/>
  <c r="E71" i="19"/>
  <c r="H71" i="19"/>
  <c r="E72" i="19"/>
  <c r="H72" i="19"/>
  <c r="E73" i="19"/>
  <c r="H73" i="19"/>
  <c r="E74" i="19"/>
  <c r="H74" i="19"/>
  <c r="E75" i="19"/>
  <c r="H75" i="19"/>
  <c r="E76" i="19"/>
  <c r="H76" i="19"/>
  <c r="H63" i="19"/>
  <c r="Y23" i="4"/>
  <c r="Z23" i="4"/>
  <c r="AA23" i="4"/>
  <c r="AB23" i="4"/>
  <c r="AC23" i="4"/>
  <c r="E23" i="19"/>
  <c r="H23" i="19"/>
  <c r="E49" i="19"/>
  <c r="H49" i="19"/>
  <c r="E50" i="19"/>
  <c r="H50" i="19"/>
  <c r="E51" i="19"/>
  <c r="H51" i="19"/>
  <c r="E52" i="19"/>
  <c r="H52" i="19"/>
  <c r="E53" i="19"/>
  <c r="H53" i="19"/>
  <c r="E54" i="19"/>
  <c r="H54" i="19"/>
  <c r="E55" i="19"/>
  <c r="H55" i="19"/>
  <c r="E56" i="19"/>
  <c r="H56" i="19"/>
  <c r="E57" i="19"/>
  <c r="H57" i="19"/>
  <c r="E58" i="19"/>
  <c r="H58" i="19"/>
  <c r="E59" i="19"/>
  <c r="H59" i="19"/>
  <c r="E60" i="19"/>
  <c r="H60" i="19"/>
  <c r="E61" i="19"/>
  <c r="H61" i="19"/>
  <c r="E62" i="19"/>
  <c r="H62" i="19"/>
  <c r="H48" i="19"/>
  <c r="Y6" i="4"/>
  <c r="Z6" i="4"/>
  <c r="AA6" i="4"/>
  <c r="AB6" i="4"/>
  <c r="AC6" i="4"/>
  <c r="E6" i="19"/>
  <c r="H6" i="19"/>
  <c r="Y10" i="4"/>
  <c r="Z10" i="4"/>
  <c r="AA10" i="4"/>
  <c r="AB10" i="4"/>
  <c r="AC10" i="4"/>
  <c r="E10" i="19"/>
  <c r="H10" i="19"/>
  <c r="E46" i="19"/>
  <c r="H46" i="19"/>
  <c r="E47" i="19"/>
  <c r="H47" i="19"/>
  <c r="H45" i="19"/>
  <c r="Y15" i="4"/>
  <c r="Z15" i="4"/>
  <c r="AA15" i="4"/>
  <c r="AB15" i="4"/>
  <c r="AC15" i="4"/>
  <c r="E15" i="19"/>
  <c r="H15" i="19"/>
  <c r="Y28" i="4"/>
  <c r="Z28" i="4"/>
  <c r="AA28" i="4"/>
  <c r="AB28" i="4"/>
  <c r="AC28" i="4"/>
  <c r="E28" i="19"/>
  <c r="H28" i="19"/>
  <c r="Y19" i="4"/>
  <c r="Z19" i="4"/>
  <c r="AA19" i="4"/>
  <c r="AB19" i="4"/>
  <c r="AC19" i="4"/>
  <c r="E19" i="19"/>
  <c r="H19" i="19"/>
  <c r="Y8" i="4"/>
  <c r="Z8" i="4"/>
  <c r="AA8" i="4"/>
  <c r="AB8" i="4"/>
  <c r="AC8" i="4"/>
  <c r="E8" i="19"/>
  <c r="H8" i="19"/>
  <c r="Y4" i="4"/>
  <c r="Z4" i="4"/>
  <c r="AA4" i="4"/>
  <c r="AB4" i="4"/>
  <c r="AC4" i="4"/>
  <c r="E4" i="19"/>
  <c r="H4" i="19"/>
  <c r="Y11" i="4"/>
  <c r="Z11" i="4"/>
  <c r="AA11" i="4"/>
  <c r="AB11" i="4"/>
  <c r="AC11" i="4"/>
  <c r="E11" i="19"/>
  <c r="H11" i="19"/>
  <c r="Y2" i="4"/>
  <c r="Z2" i="4"/>
  <c r="AA2" i="4"/>
  <c r="AB2" i="4"/>
  <c r="AC2" i="4"/>
  <c r="E2" i="19"/>
  <c r="H2" i="19"/>
  <c r="Y22" i="4"/>
  <c r="Z22" i="4"/>
  <c r="AA22" i="4"/>
  <c r="AB22" i="4"/>
  <c r="AC22" i="4"/>
  <c r="E22" i="19"/>
  <c r="H22" i="19"/>
  <c r="Y26" i="4"/>
  <c r="Z26" i="4"/>
  <c r="AA26" i="4"/>
  <c r="AB26" i="4"/>
  <c r="AC26" i="4"/>
  <c r="E26" i="19"/>
  <c r="H26" i="19"/>
  <c r="Y30" i="4"/>
  <c r="Z30" i="4"/>
  <c r="AA30" i="4"/>
  <c r="AB30" i="4"/>
  <c r="AC30" i="4"/>
  <c r="E30" i="19"/>
  <c r="H30" i="19"/>
  <c r="Y14" i="4"/>
  <c r="Z14" i="4"/>
  <c r="AA14" i="4"/>
  <c r="AB14" i="4"/>
  <c r="AC14" i="4"/>
  <c r="E14" i="19"/>
  <c r="H14" i="19"/>
  <c r="Y13" i="4"/>
  <c r="Z13" i="4"/>
  <c r="AA13" i="4"/>
  <c r="AB13" i="4"/>
  <c r="AC13" i="4"/>
  <c r="E13" i="19"/>
  <c r="H13" i="19"/>
  <c r="Y3" i="4"/>
  <c r="Z3" i="4"/>
  <c r="AA3" i="4"/>
  <c r="AB3" i="4"/>
  <c r="AC3" i="4"/>
  <c r="E3" i="19"/>
  <c r="H3" i="19"/>
  <c r="E32" i="19"/>
  <c r="H32" i="19"/>
  <c r="E33" i="19"/>
  <c r="H33" i="19"/>
  <c r="E34" i="19"/>
  <c r="H34" i="19"/>
  <c r="E35" i="19"/>
  <c r="H35" i="19"/>
  <c r="E36" i="19"/>
  <c r="H36" i="19"/>
  <c r="E37" i="19"/>
  <c r="H37" i="19"/>
  <c r="E38" i="19"/>
  <c r="H38" i="19"/>
  <c r="E39" i="19"/>
  <c r="H39" i="19"/>
  <c r="E40" i="19"/>
  <c r="H40" i="19"/>
  <c r="E41" i="19"/>
  <c r="H41" i="19"/>
  <c r="E42" i="19"/>
  <c r="H42" i="19"/>
  <c r="E43" i="19"/>
  <c r="H43" i="19"/>
  <c r="E44" i="19"/>
  <c r="H44" i="19"/>
  <c r="H31" i="19"/>
  <c r="G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2" i="19"/>
  <c r="D27" i="19"/>
  <c r="F27" i="19"/>
  <c r="G76" i="19"/>
  <c r="D18" i="19"/>
  <c r="F18" i="19"/>
  <c r="G75" i="19"/>
  <c r="D12" i="19"/>
  <c r="F12" i="19"/>
  <c r="G74" i="19"/>
  <c r="D7" i="19"/>
  <c r="F7" i="19"/>
  <c r="G73" i="19"/>
  <c r="D16" i="19"/>
  <c r="F16" i="19"/>
  <c r="G72" i="19"/>
  <c r="D29" i="19"/>
  <c r="F29" i="19"/>
  <c r="G71" i="19"/>
  <c r="D20" i="19"/>
  <c r="F20" i="19"/>
  <c r="G70" i="19"/>
  <c r="D24" i="19"/>
  <c r="F24" i="19"/>
  <c r="G69" i="19"/>
  <c r="D9" i="19"/>
  <c r="F9" i="19"/>
  <c r="G68" i="19"/>
  <c r="D5" i="19"/>
  <c r="F5" i="19"/>
  <c r="G67" i="19"/>
  <c r="D17" i="19"/>
  <c r="F17" i="19"/>
  <c r="G66" i="19"/>
  <c r="D21" i="19"/>
  <c r="F21" i="19"/>
  <c r="G65" i="19"/>
  <c r="D25" i="19"/>
  <c r="F25" i="19"/>
  <c r="G64" i="19"/>
  <c r="D64" i="19"/>
  <c r="F64" i="19"/>
  <c r="D65" i="19"/>
  <c r="F65" i="19"/>
  <c r="D66" i="19"/>
  <c r="F66" i="19"/>
  <c r="D67" i="19"/>
  <c r="F67" i="19"/>
  <c r="D68" i="19"/>
  <c r="F68" i="19"/>
  <c r="D69" i="19"/>
  <c r="F69" i="19"/>
  <c r="D70" i="19"/>
  <c r="F70" i="19"/>
  <c r="D71" i="19"/>
  <c r="F71" i="19"/>
  <c r="D72" i="19"/>
  <c r="F72" i="19"/>
  <c r="D73" i="19"/>
  <c r="F73" i="19"/>
  <c r="D74" i="19"/>
  <c r="F74" i="19"/>
  <c r="D75" i="19"/>
  <c r="F75" i="19"/>
  <c r="D76" i="19"/>
  <c r="F76" i="19"/>
  <c r="F63" i="19"/>
  <c r="G62" i="19"/>
  <c r="G61" i="19"/>
  <c r="G60" i="19"/>
  <c r="G59" i="19"/>
  <c r="G58" i="19"/>
  <c r="G57" i="19"/>
  <c r="G56" i="19"/>
  <c r="G55" i="19"/>
  <c r="G54" i="19"/>
  <c r="G53" i="19"/>
  <c r="G52" i="19"/>
  <c r="G51" i="19"/>
  <c r="G50" i="19"/>
  <c r="D23" i="19"/>
  <c r="F23" i="19"/>
  <c r="G49" i="19"/>
  <c r="D49" i="19"/>
  <c r="F49" i="19"/>
  <c r="D50" i="19"/>
  <c r="F50" i="19"/>
  <c r="D51" i="19"/>
  <c r="F51" i="19"/>
  <c r="D52" i="19"/>
  <c r="F52" i="19"/>
  <c r="D53" i="19"/>
  <c r="F53" i="19"/>
  <c r="D54" i="19"/>
  <c r="F54" i="19"/>
  <c r="D55" i="19"/>
  <c r="F55" i="19"/>
  <c r="D56" i="19"/>
  <c r="F56" i="19"/>
  <c r="D57" i="19"/>
  <c r="F57" i="19"/>
  <c r="D58" i="19"/>
  <c r="F58" i="19"/>
  <c r="D59" i="19"/>
  <c r="F59" i="19"/>
  <c r="D60" i="19"/>
  <c r="F60" i="19"/>
  <c r="D61" i="19"/>
  <c r="F61" i="19"/>
  <c r="D62" i="19"/>
  <c r="F62" i="19"/>
  <c r="F48" i="19"/>
  <c r="D6" i="19"/>
  <c r="F6" i="19"/>
  <c r="G47" i="19"/>
  <c r="D10" i="19"/>
  <c r="F10" i="19"/>
  <c r="G46" i="19"/>
  <c r="D46" i="19"/>
  <c r="F46" i="19"/>
  <c r="D47" i="19"/>
  <c r="F47" i="19"/>
  <c r="F45" i="19"/>
  <c r="D15" i="19"/>
  <c r="F15" i="19"/>
  <c r="G44" i="19"/>
  <c r="D28" i="19"/>
  <c r="F28" i="19"/>
  <c r="G43" i="19"/>
  <c r="D19" i="19"/>
  <c r="F19" i="19"/>
  <c r="G42" i="19"/>
  <c r="D8" i="19"/>
  <c r="F8" i="19"/>
  <c r="G41" i="19"/>
  <c r="D4" i="19"/>
  <c r="F4" i="19"/>
  <c r="G40" i="19"/>
  <c r="D11" i="19"/>
  <c r="F11" i="19"/>
  <c r="G39" i="19"/>
  <c r="D2" i="19"/>
  <c r="F2" i="19"/>
  <c r="G38" i="19"/>
  <c r="D22" i="19"/>
  <c r="F22" i="19"/>
  <c r="G37" i="19"/>
  <c r="D26" i="19"/>
  <c r="F26" i="19"/>
  <c r="G36" i="19"/>
  <c r="D30" i="19"/>
  <c r="F30" i="19"/>
  <c r="G35" i="19"/>
  <c r="D14" i="19"/>
  <c r="F14" i="19"/>
  <c r="G34" i="19"/>
  <c r="D13" i="19"/>
  <c r="F13" i="19"/>
  <c r="G33" i="19"/>
  <c r="D3" i="19"/>
  <c r="F3" i="19"/>
  <c r="G32" i="19"/>
  <c r="D32" i="19"/>
  <c r="F32" i="19"/>
  <c r="D33" i="19"/>
  <c r="F33" i="19"/>
  <c r="D34" i="19"/>
  <c r="F34" i="19"/>
  <c r="D35" i="19"/>
  <c r="F35" i="19"/>
  <c r="D36" i="19"/>
  <c r="F36" i="19"/>
  <c r="D37" i="19"/>
  <c r="F37" i="19"/>
  <c r="D38" i="19"/>
  <c r="F38" i="19"/>
  <c r="D39" i="19"/>
  <c r="F39" i="19"/>
  <c r="D40" i="19"/>
  <c r="F40" i="19"/>
  <c r="D41" i="19"/>
  <c r="F41" i="19"/>
  <c r="D42" i="19"/>
  <c r="F42" i="19"/>
  <c r="D43" i="19"/>
  <c r="F43" i="19"/>
  <c r="D44" i="19"/>
  <c r="F44" i="19"/>
  <c r="F31" i="19"/>
  <c r="AD27" i="15"/>
  <c r="AH27" i="15"/>
  <c r="AE27" i="15"/>
  <c r="AI27" i="15"/>
  <c r="AN27" i="15"/>
  <c r="AF27" i="15"/>
  <c r="AJ27" i="15"/>
  <c r="AG27" i="15"/>
  <c r="AK27" i="15"/>
  <c r="AL27" i="15"/>
  <c r="AD18" i="15"/>
  <c r="AH18" i="15"/>
  <c r="AE18" i="15"/>
  <c r="AI18" i="15"/>
  <c r="AN18" i="15"/>
  <c r="AF18" i="15"/>
  <c r="AJ18" i="15"/>
  <c r="AG18" i="15"/>
  <c r="AK18" i="15"/>
  <c r="AL18" i="15"/>
  <c r="AD12" i="15"/>
  <c r="AH12" i="15"/>
  <c r="AE12" i="15"/>
  <c r="AI12" i="15"/>
  <c r="AN12" i="15"/>
  <c r="AF12" i="15"/>
  <c r="AJ12" i="15"/>
  <c r="AG12" i="15"/>
  <c r="AK12" i="15"/>
  <c r="AL12" i="15"/>
  <c r="AD7" i="15"/>
  <c r="AH7" i="15"/>
  <c r="AE7" i="15"/>
  <c r="AI7" i="15"/>
  <c r="AN7" i="15"/>
  <c r="AF7" i="15"/>
  <c r="AJ7" i="15"/>
  <c r="AG7" i="15"/>
  <c r="AK7" i="15"/>
  <c r="AL7" i="15"/>
  <c r="AD16" i="15"/>
  <c r="AH16" i="15"/>
  <c r="AE16" i="15"/>
  <c r="AI16" i="15"/>
  <c r="AN16" i="15"/>
  <c r="AF16" i="15"/>
  <c r="AJ16" i="15"/>
  <c r="AG16" i="15"/>
  <c r="AK16" i="15"/>
  <c r="AL16" i="15"/>
  <c r="AD29" i="15"/>
  <c r="AH29" i="15"/>
  <c r="AE29" i="15"/>
  <c r="AI29" i="15"/>
  <c r="AN29" i="15"/>
  <c r="AF29" i="15"/>
  <c r="AJ29" i="15"/>
  <c r="AG29" i="15"/>
  <c r="AK29" i="15"/>
  <c r="AL29" i="15"/>
  <c r="AD20" i="15"/>
  <c r="AH20" i="15"/>
  <c r="AE20" i="15"/>
  <c r="AI20" i="15"/>
  <c r="AN20" i="15"/>
  <c r="AF20" i="15"/>
  <c r="AJ20" i="15"/>
  <c r="AG20" i="15"/>
  <c r="AK20" i="15"/>
  <c r="AL20" i="15"/>
  <c r="AD24" i="15"/>
  <c r="AH24" i="15"/>
  <c r="AE24" i="15"/>
  <c r="AI24" i="15"/>
  <c r="AN24" i="15"/>
  <c r="AF24" i="15"/>
  <c r="AJ24" i="15"/>
  <c r="AG24" i="15"/>
  <c r="AK24" i="15"/>
  <c r="AL24" i="15"/>
  <c r="AD9" i="15"/>
  <c r="AH9" i="15"/>
  <c r="AE9" i="15"/>
  <c r="AI9" i="15"/>
  <c r="AN9" i="15"/>
  <c r="AF9" i="15"/>
  <c r="AJ9" i="15"/>
  <c r="AG9" i="15"/>
  <c r="AK9" i="15"/>
  <c r="AL9" i="15"/>
  <c r="AD5" i="15"/>
  <c r="AH5" i="15"/>
  <c r="AE5" i="15"/>
  <c r="AI5" i="15"/>
  <c r="AN5" i="15"/>
  <c r="AF5" i="15"/>
  <c r="AJ5" i="15"/>
  <c r="AG5" i="15"/>
  <c r="AK5" i="15"/>
  <c r="AL5" i="15"/>
  <c r="AD17" i="15"/>
  <c r="AH17" i="15"/>
  <c r="AE17" i="15"/>
  <c r="AI17" i="15"/>
  <c r="AN17" i="15"/>
  <c r="AF17" i="15"/>
  <c r="AJ17" i="15"/>
  <c r="AG17" i="15"/>
  <c r="AK17" i="15"/>
  <c r="AL17" i="15"/>
  <c r="AD21" i="15"/>
  <c r="AH21" i="15"/>
  <c r="AE21" i="15"/>
  <c r="AI21" i="15"/>
  <c r="AN21" i="15"/>
  <c r="AF21" i="15"/>
  <c r="AJ21" i="15"/>
  <c r="AG21" i="15"/>
  <c r="AK21" i="15"/>
  <c r="AL21" i="15"/>
  <c r="AD25" i="15"/>
  <c r="AH25" i="15"/>
  <c r="AE25" i="15"/>
  <c r="AI25" i="15"/>
  <c r="AN25" i="15"/>
  <c r="AF25" i="15"/>
  <c r="AJ25" i="15"/>
  <c r="AG25" i="15"/>
  <c r="AK25" i="15"/>
  <c r="AL25" i="15"/>
  <c r="AL64" i="15"/>
  <c r="AL65" i="15"/>
  <c r="AL66" i="15"/>
  <c r="AL67" i="15"/>
  <c r="AL68" i="15"/>
  <c r="AL69" i="15"/>
  <c r="AL70" i="15"/>
  <c r="AL71" i="15"/>
  <c r="AL72" i="15"/>
  <c r="AL73" i="15"/>
  <c r="AL74" i="15"/>
  <c r="AL75" i="15"/>
  <c r="AL76" i="15"/>
  <c r="AL63" i="15"/>
  <c r="AD23" i="15"/>
  <c r="AH23" i="15"/>
  <c r="AE23" i="15"/>
  <c r="AI23" i="15"/>
  <c r="AN23" i="15"/>
  <c r="AF23" i="15"/>
  <c r="AJ23" i="15"/>
  <c r="AG23" i="15"/>
  <c r="AK23" i="15"/>
  <c r="AL23" i="15"/>
  <c r="AL49" i="15"/>
  <c r="AL50" i="15"/>
  <c r="AL51" i="15"/>
  <c r="AL52" i="15"/>
  <c r="AL53" i="15"/>
  <c r="AL54" i="15"/>
  <c r="AL55" i="15"/>
  <c r="AL56" i="15"/>
  <c r="AL57" i="15"/>
  <c r="AL58" i="15"/>
  <c r="AL59" i="15"/>
  <c r="AL60" i="15"/>
  <c r="AL61" i="15"/>
  <c r="AL62" i="15"/>
  <c r="AL48" i="15"/>
  <c r="AD6" i="15"/>
  <c r="AH6" i="15"/>
  <c r="AE6" i="15"/>
  <c r="AI6" i="15"/>
  <c r="AN6" i="15"/>
  <c r="AF6" i="15"/>
  <c r="AJ6" i="15"/>
  <c r="AG6" i="15"/>
  <c r="AK6" i="15"/>
  <c r="AL6" i="15"/>
  <c r="AD10" i="15"/>
  <c r="AH10" i="15"/>
  <c r="AE10" i="15"/>
  <c r="AI10" i="15"/>
  <c r="AN10" i="15"/>
  <c r="AF10" i="15"/>
  <c r="AJ10" i="15"/>
  <c r="AG10" i="15"/>
  <c r="AK10" i="15"/>
  <c r="AL10" i="15"/>
  <c r="AL46" i="15"/>
  <c r="AL47" i="15"/>
  <c r="AL45" i="15"/>
  <c r="AD15" i="15"/>
  <c r="AH15" i="15"/>
  <c r="AE15" i="15"/>
  <c r="AI15" i="15"/>
  <c r="AN15" i="15"/>
  <c r="AF15" i="15"/>
  <c r="AJ15" i="15"/>
  <c r="AG15" i="15"/>
  <c r="AK15" i="15"/>
  <c r="AL15" i="15"/>
  <c r="AD28" i="15"/>
  <c r="AH28" i="15"/>
  <c r="AE28" i="15"/>
  <c r="AI28" i="15"/>
  <c r="AN28" i="15"/>
  <c r="AF28" i="15"/>
  <c r="AJ28" i="15"/>
  <c r="AG28" i="15"/>
  <c r="AK28" i="15"/>
  <c r="AL28" i="15"/>
  <c r="AD19" i="15"/>
  <c r="AH19" i="15"/>
  <c r="AE19" i="15"/>
  <c r="AI19" i="15"/>
  <c r="AN19" i="15"/>
  <c r="AF19" i="15"/>
  <c r="AJ19" i="15"/>
  <c r="AG19" i="15"/>
  <c r="AK19" i="15"/>
  <c r="AL19" i="15"/>
  <c r="AD8" i="15"/>
  <c r="AH8" i="15"/>
  <c r="AE8" i="15"/>
  <c r="AI8" i="15"/>
  <c r="AN8" i="15"/>
  <c r="AF8" i="15"/>
  <c r="AJ8" i="15"/>
  <c r="AG8" i="15"/>
  <c r="AK8" i="15"/>
  <c r="AL8" i="15"/>
  <c r="AD4" i="15"/>
  <c r="AH4" i="15"/>
  <c r="AE4" i="15"/>
  <c r="AI4" i="15"/>
  <c r="AN4" i="15"/>
  <c r="AF4" i="15"/>
  <c r="AJ4" i="15"/>
  <c r="AG4" i="15"/>
  <c r="AK4" i="15"/>
  <c r="AL4" i="15"/>
  <c r="AD11" i="15"/>
  <c r="AH11" i="15"/>
  <c r="AE11" i="15"/>
  <c r="AI11" i="15"/>
  <c r="AN11" i="15"/>
  <c r="AF11" i="15"/>
  <c r="AJ11" i="15"/>
  <c r="AG11" i="15"/>
  <c r="AK11" i="15"/>
  <c r="AL11" i="15"/>
  <c r="AD2" i="15"/>
  <c r="AH2" i="15"/>
  <c r="AE2" i="15"/>
  <c r="AI2" i="15"/>
  <c r="AN2" i="15"/>
  <c r="AF2" i="15"/>
  <c r="AJ2" i="15"/>
  <c r="AG2" i="15"/>
  <c r="AK2" i="15"/>
  <c r="AL2" i="15"/>
  <c r="AD22" i="15"/>
  <c r="AH22" i="15"/>
  <c r="AE22" i="15"/>
  <c r="AI22" i="15"/>
  <c r="AN22" i="15"/>
  <c r="AF22" i="15"/>
  <c r="AJ22" i="15"/>
  <c r="AG22" i="15"/>
  <c r="AK22" i="15"/>
  <c r="AL22" i="15"/>
  <c r="AD26" i="15"/>
  <c r="AH26" i="15"/>
  <c r="AE26" i="15"/>
  <c r="AI26" i="15"/>
  <c r="AN26" i="15"/>
  <c r="AF26" i="15"/>
  <c r="AJ26" i="15"/>
  <c r="AG26" i="15"/>
  <c r="AK26" i="15"/>
  <c r="AL26" i="15"/>
  <c r="AD30" i="15"/>
  <c r="AH30" i="15"/>
  <c r="AE30" i="15"/>
  <c r="AI30" i="15"/>
  <c r="AN30" i="15"/>
  <c r="AF30" i="15"/>
  <c r="AJ30" i="15"/>
  <c r="AG30" i="15"/>
  <c r="AK30" i="15"/>
  <c r="AL30" i="15"/>
  <c r="AD14" i="15"/>
  <c r="AH14" i="15"/>
  <c r="AE14" i="15"/>
  <c r="AI14" i="15"/>
  <c r="AN14" i="15"/>
  <c r="AF14" i="15"/>
  <c r="AJ14" i="15"/>
  <c r="AG14" i="15"/>
  <c r="AK14" i="15"/>
  <c r="AL14" i="15"/>
  <c r="AD13" i="15"/>
  <c r="AH13" i="15"/>
  <c r="AE13" i="15"/>
  <c r="AI13" i="15"/>
  <c r="AN13" i="15"/>
  <c r="AF13" i="15"/>
  <c r="AJ13" i="15"/>
  <c r="AG13" i="15"/>
  <c r="AK13" i="15"/>
  <c r="AL13" i="15"/>
  <c r="AD3" i="15"/>
  <c r="AH3" i="15"/>
  <c r="AE3" i="15"/>
  <c r="AI3" i="15"/>
  <c r="AN3" i="15"/>
  <c r="AF3" i="15"/>
  <c r="AJ3" i="15"/>
  <c r="AG3" i="15"/>
  <c r="AK3" i="15"/>
  <c r="AL3" i="15"/>
  <c r="AL32" i="15"/>
  <c r="AL33" i="15"/>
  <c r="AL34" i="15"/>
  <c r="AL35" i="15"/>
  <c r="AL36" i="15"/>
  <c r="AL37" i="15"/>
  <c r="AL38" i="15"/>
  <c r="AL39" i="15"/>
  <c r="AL40" i="15"/>
  <c r="AL41" i="15"/>
  <c r="AL42" i="15"/>
  <c r="AL43" i="15"/>
  <c r="AL44" i="15"/>
  <c r="AL31" i="15"/>
  <c r="Z27" i="15"/>
  <c r="AA27" i="15"/>
  <c r="AB27" i="15"/>
  <c r="Z18" i="15"/>
  <c r="AA18" i="15"/>
  <c r="AB18" i="15"/>
  <c r="Z12" i="15"/>
  <c r="AA12" i="15"/>
  <c r="AB12" i="15"/>
  <c r="Z7" i="15"/>
  <c r="AA7" i="15"/>
  <c r="AB7" i="15"/>
  <c r="Z16" i="15"/>
  <c r="AA16" i="15"/>
  <c r="AB16" i="15"/>
  <c r="Z29" i="15"/>
  <c r="AA29" i="15"/>
  <c r="AB29" i="15"/>
  <c r="Z20" i="15"/>
  <c r="AA20" i="15"/>
  <c r="AB20" i="15"/>
  <c r="Z24" i="15"/>
  <c r="AA24" i="15"/>
  <c r="AB24" i="15"/>
  <c r="Z9" i="15"/>
  <c r="AA9" i="15"/>
  <c r="AB9" i="15"/>
  <c r="Z5" i="15"/>
  <c r="AA5" i="15"/>
  <c r="AB5" i="15"/>
  <c r="Z17" i="15"/>
  <c r="AA17" i="15"/>
  <c r="AB17" i="15"/>
  <c r="Z21" i="15"/>
  <c r="AA21" i="15"/>
  <c r="AB21" i="15"/>
  <c r="Z25" i="15"/>
  <c r="AA25" i="15"/>
  <c r="AB25" i="15"/>
  <c r="AB64" i="15"/>
  <c r="AB65" i="15"/>
  <c r="AB66" i="15"/>
  <c r="AB67" i="15"/>
  <c r="AB68" i="15"/>
  <c r="AB69" i="15"/>
  <c r="AB70" i="15"/>
  <c r="AB71" i="15"/>
  <c r="AB72" i="15"/>
  <c r="AB73" i="15"/>
  <c r="AB74" i="15"/>
  <c r="AB75" i="15"/>
  <c r="AB76" i="15"/>
  <c r="AB63" i="15"/>
  <c r="Z23" i="15"/>
  <c r="AA23" i="15"/>
  <c r="AB23" i="15"/>
  <c r="AB49" i="15"/>
  <c r="AB50" i="15"/>
  <c r="AB51" i="15"/>
  <c r="AB52" i="15"/>
  <c r="AB53" i="15"/>
  <c r="AB54" i="15"/>
  <c r="AB55" i="15"/>
  <c r="AB56" i="15"/>
  <c r="AB57" i="15"/>
  <c r="AB58" i="15"/>
  <c r="AB59" i="15"/>
  <c r="AB60" i="15"/>
  <c r="AB61" i="15"/>
  <c r="AB62" i="15"/>
  <c r="AB48" i="15"/>
  <c r="Z6" i="15"/>
  <c r="AA6" i="15"/>
  <c r="AB6" i="15"/>
  <c r="Z10" i="15"/>
  <c r="AA10" i="15"/>
  <c r="AB10" i="15"/>
  <c r="AB46" i="15"/>
  <c r="AB47" i="15"/>
  <c r="AB45" i="15"/>
  <c r="Z15" i="15"/>
  <c r="AA15" i="15"/>
  <c r="AB15" i="15"/>
  <c r="Z28" i="15"/>
  <c r="AA28" i="15"/>
  <c r="AB28" i="15"/>
  <c r="Z19" i="15"/>
  <c r="AA19" i="15"/>
  <c r="AB19" i="15"/>
  <c r="Z8" i="15"/>
  <c r="AA8" i="15"/>
  <c r="AB8" i="15"/>
  <c r="Z4" i="15"/>
  <c r="AA4" i="15"/>
  <c r="AB4" i="15"/>
  <c r="Z11" i="15"/>
  <c r="AA11" i="15"/>
  <c r="AB11" i="15"/>
  <c r="Z2" i="15"/>
  <c r="AA2" i="15"/>
  <c r="AB2" i="15"/>
  <c r="Z22" i="15"/>
  <c r="AA22" i="15"/>
  <c r="AB22" i="15"/>
  <c r="Z26" i="15"/>
  <c r="AA26" i="15"/>
  <c r="AB26" i="15"/>
  <c r="Z30" i="15"/>
  <c r="AA30" i="15"/>
  <c r="AB30" i="15"/>
  <c r="Z14" i="15"/>
  <c r="AA14" i="15"/>
  <c r="AB14" i="15"/>
  <c r="Z13" i="15"/>
  <c r="AA13" i="15"/>
  <c r="AB13" i="15"/>
  <c r="Z3" i="15"/>
  <c r="AA3" i="15"/>
  <c r="AB3" i="15"/>
  <c r="AB32" i="15"/>
  <c r="AB33" i="15"/>
  <c r="AB34" i="15"/>
  <c r="AB35" i="15"/>
  <c r="AB36" i="15"/>
  <c r="AB37" i="15"/>
  <c r="AB38" i="15"/>
  <c r="AB39" i="15"/>
  <c r="AB40" i="15"/>
  <c r="AB41" i="15"/>
  <c r="AB42" i="15"/>
  <c r="AB43" i="15"/>
  <c r="AB44" i="15"/>
  <c r="AB31" i="15"/>
  <c r="AO2" i="15"/>
  <c r="AQ2" i="15"/>
  <c r="AO3" i="15"/>
  <c r="AQ3" i="15"/>
  <c r="AO4" i="15"/>
  <c r="AQ4" i="15"/>
  <c r="AO5" i="15"/>
  <c r="AQ5" i="15"/>
  <c r="AO6" i="15"/>
  <c r="AQ6" i="15"/>
  <c r="AO7" i="15"/>
  <c r="AQ7" i="15"/>
  <c r="AO8" i="15"/>
  <c r="AQ8" i="15"/>
  <c r="AO9" i="15"/>
  <c r="AQ9" i="15"/>
  <c r="AO10" i="15"/>
  <c r="AQ10" i="15"/>
  <c r="AO11" i="15"/>
  <c r="AQ11" i="15"/>
  <c r="AO12" i="15"/>
  <c r="AQ12" i="15"/>
  <c r="AO13" i="15"/>
  <c r="AQ13" i="15"/>
  <c r="AO14" i="15"/>
  <c r="AQ14" i="15"/>
  <c r="AO15" i="15"/>
  <c r="AQ15" i="15"/>
  <c r="AO16" i="15"/>
  <c r="AQ16" i="15"/>
  <c r="AO17" i="15"/>
  <c r="AQ17" i="15"/>
  <c r="AO18" i="15"/>
  <c r="AQ18" i="15"/>
  <c r="AO19" i="15"/>
  <c r="AQ19" i="15"/>
  <c r="AO20" i="15"/>
  <c r="AQ20" i="15"/>
  <c r="AO21" i="15"/>
  <c r="AQ21" i="15"/>
  <c r="AO22" i="15"/>
  <c r="AQ22" i="15"/>
  <c r="AO23" i="15"/>
  <c r="AQ23" i="15"/>
  <c r="AO24" i="15"/>
  <c r="AQ24" i="15"/>
  <c r="AO25" i="15"/>
  <c r="AQ25" i="15"/>
  <c r="AO26" i="15"/>
  <c r="AQ26" i="15"/>
  <c r="AO27" i="15"/>
  <c r="AQ27" i="15"/>
  <c r="AO28" i="15"/>
  <c r="AQ28" i="15"/>
  <c r="AO29" i="15"/>
  <c r="AQ29" i="15"/>
  <c r="AO30" i="15"/>
  <c r="AQ30" i="15"/>
  <c r="AO32" i="15"/>
  <c r="AO33" i="15"/>
  <c r="AO34" i="15"/>
  <c r="AO35" i="15"/>
  <c r="AO36" i="15"/>
  <c r="AO37" i="15"/>
  <c r="AO38" i="15"/>
  <c r="AO39" i="15"/>
  <c r="AO40" i="15"/>
  <c r="AO41" i="15"/>
  <c r="AO42" i="15"/>
  <c r="AO43" i="15"/>
  <c r="AO44" i="15"/>
  <c r="AO31" i="15"/>
  <c r="AQ31" i="15"/>
  <c r="AQ32" i="15"/>
  <c r="AQ33" i="15"/>
  <c r="AQ34" i="15"/>
  <c r="AQ35" i="15"/>
  <c r="AQ36" i="15"/>
  <c r="AQ37" i="15"/>
  <c r="AQ38" i="15"/>
  <c r="AQ39" i="15"/>
  <c r="AQ40" i="15"/>
  <c r="AQ41" i="15"/>
  <c r="AQ42" i="15"/>
  <c r="AQ43" i="15"/>
  <c r="AQ44" i="15"/>
  <c r="AO46" i="15"/>
  <c r="AO47" i="15"/>
  <c r="AO45" i="15"/>
  <c r="AQ45" i="15"/>
  <c r="AQ46" i="15"/>
  <c r="AQ47" i="15"/>
  <c r="AO49" i="15"/>
  <c r="AO50" i="15"/>
  <c r="AO51" i="15"/>
  <c r="AO52" i="15"/>
  <c r="AO53" i="15"/>
  <c r="AO54" i="15"/>
  <c r="AO55" i="15"/>
  <c r="AO56" i="15"/>
  <c r="AO57" i="15"/>
  <c r="AO58" i="15"/>
  <c r="AO59" i="15"/>
  <c r="AO60" i="15"/>
  <c r="AO61" i="15"/>
  <c r="AO62" i="15"/>
  <c r="AO48" i="15"/>
  <c r="AQ48" i="15"/>
  <c r="AQ49" i="15"/>
  <c r="AQ50" i="15"/>
  <c r="AQ51" i="15"/>
  <c r="AQ52" i="15"/>
  <c r="AQ53" i="15"/>
  <c r="AQ54" i="15"/>
  <c r="AQ55" i="15"/>
  <c r="AQ56" i="15"/>
  <c r="AQ57" i="15"/>
  <c r="AQ58" i="15"/>
  <c r="AQ59" i="15"/>
  <c r="AQ60" i="15"/>
  <c r="AQ61" i="15"/>
  <c r="AQ62" i="15"/>
  <c r="AO64" i="15"/>
  <c r="AO65" i="15"/>
  <c r="AO66" i="15"/>
  <c r="AO67" i="15"/>
  <c r="AO68" i="15"/>
  <c r="AO69" i="15"/>
  <c r="AO70" i="15"/>
  <c r="AO71" i="15"/>
  <c r="AO72" i="15"/>
  <c r="AO73" i="15"/>
  <c r="AO74" i="15"/>
  <c r="AO75" i="15"/>
  <c r="AO76" i="15"/>
  <c r="AO63" i="15"/>
  <c r="AQ63" i="15"/>
  <c r="AQ64" i="15"/>
  <c r="AQ65" i="15"/>
  <c r="AQ66" i="15"/>
  <c r="AQ67" i="15"/>
  <c r="AQ68" i="15"/>
  <c r="AQ69" i="15"/>
  <c r="AQ70" i="15"/>
  <c r="AQ71" i="15"/>
  <c r="AQ72" i="15"/>
  <c r="AQ73" i="15"/>
  <c r="AQ74" i="15"/>
  <c r="AQ75" i="15"/>
  <c r="AQ76" i="15"/>
  <c r="AN64" i="15"/>
  <c r="AN65" i="15"/>
  <c r="AN66" i="15"/>
  <c r="AN67" i="15"/>
  <c r="AN68" i="15"/>
  <c r="AN69" i="15"/>
  <c r="AN70" i="15"/>
  <c r="AN71" i="15"/>
  <c r="AN72" i="15"/>
  <c r="AN73" i="15"/>
  <c r="AN74" i="15"/>
  <c r="AN75" i="15"/>
  <c r="AN76" i="15"/>
  <c r="AN63" i="15"/>
  <c r="AP63" i="15"/>
  <c r="AN49" i="15"/>
  <c r="AN50" i="15"/>
  <c r="AN51" i="15"/>
  <c r="AN52" i="15"/>
  <c r="AN53" i="15"/>
  <c r="AN54" i="15"/>
  <c r="AN55" i="15"/>
  <c r="AN56" i="15"/>
  <c r="AN57" i="15"/>
  <c r="AN58" i="15"/>
  <c r="AN59" i="15"/>
  <c r="AN60" i="15"/>
  <c r="AN61" i="15"/>
  <c r="AN62" i="15"/>
  <c r="AN48" i="15"/>
  <c r="AP48" i="15"/>
  <c r="AN46" i="15"/>
  <c r="AN47" i="15"/>
  <c r="AN45" i="15"/>
  <c r="AP45" i="15"/>
  <c r="AN32" i="15"/>
  <c r="AN33" i="15"/>
  <c r="AN34" i="15"/>
  <c r="AN35" i="15"/>
  <c r="AN36" i="15"/>
  <c r="AN37" i="15"/>
  <c r="AN38" i="15"/>
  <c r="AN39" i="15"/>
  <c r="AN40" i="15"/>
  <c r="AN41" i="15"/>
  <c r="AN42" i="15"/>
  <c r="AN43" i="15"/>
  <c r="AN44" i="15"/>
  <c r="AN31" i="15"/>
  <c r="AP31" i="15"/>
  <c r="AP3" i="15"/>
  <c r="AP4" i="15"/>
  <c r="AP5" i="15"/>
  <c r="AP6" i="15"/>
  <c r="AP7" i="15"/>
  <c r="AP8" i="15"/>
  <c r="AP9" i="15"/>
  <c r="AP10" i="15"/>
  <c r="AP11" i="15"/>
  <c r="AP12" i="15"/>
  <c r="AP13" i="15"/>
  <c r="AP14" i="15"/>
  <c r="AP15" i="15"/>
  <c r="AP16" i="15"/>
  <c r="AP17" i="15"/>
  <c r="AP18" i="15"/>
  <c r="AP19" i="15"/>
  <c r="AP20" i="15"/>
  <c r="AP21" i="15"/>
  <c r="AP22" i="15"/>
  <c r="AP23" i="15"/>
  <c r="AP24" i="15"/>
  <c r="AP25" i="15"/>
  <c r="AP26" i="15"/>
  <c r="AP27" i="15"/>
  <c r="AP28" i="15"/>
  <c r="AP29" i="15"/>
  <c r="AP30" i="15"/>
  <c r="AP2" i="15"/>
  <c r="AP76" i="15"/>
  <c r="AP75" i="15"/>
  <c r="AP74" i="15"/>
  <c r="AP73" i="15"/>
  <c r="AP72" i="15"/>
  <c r="AP71" i="15"/>
  <c r="AP70" i="15"/>
  <c r="AP69" i="15"/>
  <c r="AP68" i="15"/>
  <c r="AP67" i="15"/>
  <c r="AP66" i="15"/>
  <c r="AP65" i="15"/>
  <c r="AP64" i="15"/>
  <c r="AP62" i="15"/>
  <c r="AP61" i="15"/>
  <c r="AP60" i="15"/>
  <c r="AP59" i="15"/>
  <c r="AP58" i="15"/>
  <c r="AP57" i="15"/>
  <c r="AP56" i="15"/>
  <c r="AP55" i="15"/>
  <c r="AP54" i="15"/>
  <c r="AP53" i="15"/>
  <c r="AP52" i="15"/>
  <c r="AP51" i="15"/>
  <c r="AP50" i="15"/>
  <c r="AP49" i="15"/>
  <c r="AP47" i="15"/>
  <c r="AP46" i="15"/>
  <c r="AP44" i="15"/>
  <c r="AP43" i="15"/>
  <c r="AP42" i="15"/>
  <c r="AP41" i="15"/>
  <c r="AP40" i="15"/>
  <c r="AP39" i="15"/>
  <c r="AP38" i="15"/>
  <c r="AP37" i="15"/>
  <c r="AP36" i="15"/>
  <c r="AP35" i="15"/>
  <c r="AP34" i="15"/>
  <c r="AP33" i="15"/>
  <c r="AP32" i="15"/>
  <c r="T27" i="15"/>
  <c r="S27" i="15"/>
  <c r="R27" i="15"/>
  <c r="Q27" i="15"/>
  <c r="P27" i="15"/>
  <c r="T18" i="15"/>
  <c r="S18" i="15"/>
  <c r="R18" i="15"/>
  <c r="Q18" i="15"/>
  <c r="P18" i="15"/>
  <c r="T12" i="15"/>
  <c r="S12" i="15"/>
  <c r="R12" i="15"/>
  <c r="Q12" i="15"/>
  <c r="P12" i="15"/>
  <c r="T7" i="15"/>
  <c r="S7" i="15"/>
  <c r="R7" i="15"/>
  <c r="Q7" i="15"/>
  <c r="P7" i="15"/>
  <c r="T16" i="15"/>
  <c r="S16" i="15"/>
  <c r="R16" i="15"/>
  <c r="Q16" i="15"/>
  <c r="P16" i="15"/>
  <c r="T29" i="15"/>
  <c r="S29" i="15"/>
  <c r="R29" i="15"/>
  <c r="Q29" i="15"/>
  <c r="P29" i="15"/>
  <c r="T20" i="15"/>
  <c r="S20" i="15"/>
  <c r="R20" i="15"/>
  <c r="Q20" i="15"/>
  <c r="P20" i="15"/>
  <c r="T24" i="15"/>
  <c r="S24" i="15"/>
  <c r="R24" i="15"/>
  <c r="Q24" i="15"/>
  <c r="P24" i="15"/>
  <c r="T9" i="15"/>
  <c r="S9" i="15"/>
  <c r="R9" i="15"/>
  <c r="Q9" i="15"/>
  <c r="P9" i="15"/>
  <c r="T5" i="15"/>
  <c r="S5" i="15"/>
  <c r="R5" i="15"/>
  <c r="Q5" i="15"/>
  <c r="P5" i="15"/>
  <c r="T17" i="15"/>
  <c r="S17" i="15"/>
  <c r="R17" i="15"/>
  <c r="Q17" i="15"/>
  <c r="P17" i="15"/>
  <c r="T21" i="15"/>
  <c r="S21" i="15"/>
  <c r="R21" i="15"/>
  <c r="Q21" i="15"/>
  <c r="P21" i="15"/>
  <c r="T25" i="15"/>
  <c r="S25" i="15"/>
  <c r="R25" i="15"/>
  <c r="Q25" i="15"/>
  <c r="P25" i="15"/>
  <c r="T64" i="15"/>
  <c r="T65" i="15"/>
  <c r="T66" i="15"/>
  <c r="T67" i="15"/>
  <c r="T68" i="15"/>
  <c r="T69" i="15"/>
  <c r="T70" i="15"/>
  <c r="T71" i="15"/>
  <c r="T72" i="15"/>
  <c r="T73" i="15"/>
  <c r="T74" i="15"/>
  <c r="T75" i="15"/>
  <c r="T76" i="15"/>
  <c r="T63" i="15"/>
  <c r="T23" i="15"/>
  <c r="S23" i="15"/>
  <c r="R23" i="15"/>
  <c r="Q23" i="15"/>
  <c r="P23" i="15"/>
  <c r="T49" i="15"/>
  <c r="T50" i="15"/>
  <c r="T51" i="15"/>
  <c r="T52" i="15"/>
  <c r="T53" i="15"/>
  <c r="T54" i="15"/>
  <c r="T55" i="15"/>
  <c r="T56" i="15"/>
  <c r="T57" i="15"/>
  <c r="T58" i="15"/>
  <c r="T59" i="15"/>
  <c r="T60" i="15"/>
  <c r="T61" i="15"/>
  <c r="T62" i="15"/>
  <c r="T48" i="15"/>
  <c r="T6" i="15"/>
  <c r="S6" i="15"/>
  <c r="R6" i="15"/>
  <c r="Q6" i="15"/>
  <c r="P6" i="15"/>
  <c r="T10" i="15"/>
  <c r="S10" i="15"/>
  <c r="R10" i="15"/>
  <c r="Q10" i="15"/>
  <c r="P10" i="15"/>
  <c r="T46" i="15"/>
  <c r="T47" i="15"/>
  <c r="T45" i="15"/>
  <c r="T15" i="15"/>
  <c r="S15" i="15"/>
  <c r="R15" i="15"/>
  <c r="Q15" i="15"/>
  <c r="P15" i="15"/>
  <c r="T28" i="15"/>
  <c r="S28" i="15"/>
  <c r="R28" i="15"/>
  <c r="Q28" i="15"/>
  <c r="P28" i="15"/>
  <c r="T19" i="15"/>
  <c r="S19" i="15"/>
  <c r="R19" i="15"/>
  <c r="Q19" i="15"/>
  <c r="P19" i="15"/>
  <c r="T8" i="15"/>
  <c r="S8" i="15"/>
  <c r="R8" i="15"/>
  <c r="Q8" i="15"/>
  <c r="P8" i="15"/>
  <c r="T4" i="15"/>
  <c r="S4" i="15"/>
  <c r="R4" i="15"/>
  <c r="Q4" i="15"/>
  <c r="P4" i="15"/>
  <c r="T11" i="15"/>
  <c r="S11" i="15"/>
  <c r="R11" i="15"/>
  <c r="Q11" i="15"/>
  <c r="P11" i="15"/>
  <c r="T2" i="15"/>
  <c r="S2" i="15"/>
  <c r="R2" i="15"/>
  <c r="Q2" i="15"/>
  <c r="P2" i="15"/>
  <c r="T22" i="15"/>
  <c r="S22" i="15"/>
  <c r="R22" i="15"/>
  <c r="Q22" i="15"/>
  <c r="P22" i="15"/>
  <c r="T26" i="15"/>
  <c r="S26" i="15"/>
  <c r="R26" i="15"/>
  <c r="Q26" i="15"/>
  <c r="P26" i="15"/>
  <c r="T30" i="15"/>
  <c r="S30" i="15"/>
  <c r="R30" i="15"/>
  <c r="Q30" i="15"/>
  <c r="P30" i="15"/>
  <c r="T14" i="15"/>
  <c r="S14" i="15"/>
  <c r="R14" i="15"/>
  <c r="Q14" i="15"/>
  <c r="P14" i="15"/>
  <c r="T13" i="15"/>
  <c r="S13" i="15"/>
  <c r="R13" i="15"/>
  <c r="Q13" i="15"/>
  <c r="P13" i="15"/>
  <c r="T3" i="15"/>
  <c r="S3" i="15"/>
  <c r="R3" i="15"/>
  <c r="Q3" i="15"/>
  <c r="P3" i="15"/>
  <c r="T32" i="15"/>
  <c r="T33" i="15"/>
  <c r="T34" i="15"/>
  <c r="T35" i="15"/>
  <c r="T36" i="15"/>
  <c r="T37" i="15"/>
  <c r="T38" i="15"/>
  <c r="T39" i="15"/>
  <c r="T40" i="15"/>
  <c r="T41" i="15"/>
  <c r="T42" i="15"/>
  <c r="T43" i="15"/>
  <c r="T44" i="15"/>
  <c r="T31" i="15"/>
  <c r="AE3" i="4"/>
  <c r="AF3" i="4"/>
  <c r="AE4" i="4"/>
  <c r="AF4" i="4"/>
  <c r="AF40" i="4"/>
  <c r="AE5" i="4"/>
  <c r="AF5" i="4"/>
  <c r="AE6" i="4"/>
  <c r="AF6" i="4"/>
  <c r="AE7" i="4"/>
  <c r="AF7" i="4"/>
  <c r="AE8" i="4"/>
  <c r="AF8" i="4"/>
  <c r="AE9" i="4"/>
  <c r="AF9" i="4"/>
  <c r="AE10" i="4"/>
  <c r="AF10" i="4"/>
  <c r="AF46" i="4"/>
  <c r="AE11" i="4"/>
  <c r="AF11" i="4"/>
  <c r="AE12" i="4"/>
  <c r="AF12" i="4"/>
  <c r="AF74" i="4"/>
  <c r="AE13" i="4"/>
  <c r="AF13" i="4"/>
  <c r="AE14" i="4"/>
  <c r="AF14" i="4"/>
  <c r="AE15" i="4"/>
  <c r="AF15" i="4"/>
  <c r="AE16" i="4"/>
  <c r="AF16" i="4"/>
  <c r="AE17" i="4"/>
  <c r="AF17" i="4"/>
  <c r="AE18" i="4"/>
  <c r="AF18" i="4"/>
  <c r="AF61" i="4"/>
  <c r="AE19" i="4"/>
  <c r="AF19" i="4"/>
  <c r="AE20" i="4"/>
  <c r="AF20" i="4"/>
  <c r="AF56" i="4"/>
  <c r="AE21" i="4"/>
  <c r="AF21" i="4"/>
  <c r="AE22" i="4"/>
  <c r="AF22" i="4"/>
  <c r="AF37" i="4"/>
  <c r="AE23" i="4"/>
  <c r="AF23" i="4"/>
  <c r="AE24" i="4"/>
  <c r="AF24" i="4"/>
  <c r="AE25" i="4"/>
  <c r="AF25" i="4"/>
  <c r="AE26" i="4"/>
  <c r="AF26" i="4"/>
  <c r="AF36" i="4"/>
  <c r="AE27" i="4"/>
  <c r="AF27" i="4"/>
  <c r="AF62" i="4"/>
  <c r="AE28" i="4"/>
  <c r="AF28" i="4"/>
  <c r="AF43" i="4"/>
  <c r="AE29" i="4"/>
  <c r="AF29" i="4"/>
  <c r="AE30" i="4"/>
  <c r="AF30" i="4"/>
  <c r="AE2" i="4"/>
  <c r="AF2" i="4"/>
  <c r="D25" i="15"/>
  <c r="I25" i="15"/>
  <c r="E25" i="15"/>
  <c r="J25" i="15"/>
  <c r="F25" i="15"/>
  <c r="K25" i="15"/>
  <c r="G25" i="15"/>
  <c r="L25" i="15"/>
  <c r="H25" i="15"/>
  <c r="M25" i="15"/>
  <c r="N25" i="15"/>
  <c r="N64" i="15"/>
  <c r="D21" i="15"/>
  <c r="I21" i="15"/>
  <c r="E21" i="15"/>
  <c r="J21" i="15"/>
  <c r="F21" i="15"/>
  <c r="K21" i="15"/>
  <c r="G21" i="15"/>
  <c r="L21" i="15"/>
  <c r="H21" i="15"/>
  <c r="M21" i="15"/>
  <c r="N21" i="15"/>
  <c r="N65" i="15"/>
  <c r="D17" i="15"/>
  <c r="I17" i="15"/>
  <c r="E17" i="15"/>
  <c r="J17" i="15"/>
  <c r="F17" i="15"/>
  <c r="K17" i="15"/>
  <c r="G17" i="15"/>
  <c r="L17" i="15"/>
  <c r="H17" i="15"/>
  <c r="M17" i="15"/>
  <c r="N17" i="15"/>
  <c r="N66" i="15"/>
  <c r="D5" i="15"/>
  <c r="I5" i="15"/>
  <c r="E5" i="15"/>
  <c r="J5" i="15"/>
  <c r="F5" i="15"/>
  <c r="K5" i="15"/>
  <c r="G5" i="15"/>
  <c r="L5" i="15"/>
  <c r="H5" i="15"/>
  <c r="M5" i="15"/>
  <c r="N5" i="15"/>
  <c r="N67" i="15"/>
  <c r="D9" i="15"/>
  <c r="I9" i="15"/>
  <c r="E9" i="15"/>
  <c r="J9" i="15"/>
  <c r="F9" i="15"/>
  <c r="K9" i="15"/>
  <c r="G9" i="15"/>
  <c r="L9" i="15"/>
  <c r="H9" i="15"/>
  <c r="M9" i="15"/>
  <c r="N9" i="15"/>
  <c r="N68" i="15"/>
  <c r="D24" i="15"/>
  <c r="I24" i="15"/>
  <c r="E24" i="15"/>
  <c r="J24" i="15"/>
  <c r="F24" i="15"/>
  <c r="K24" i="15"/>
  <c r="G24" i="15"/>
  <c r="L24" i="15"/>
  <c r="H24" i="15"/>
  <c r="M24" i="15"/>
  <c r="N24" i="15"/>
  <c r="N69" i="15"/>
  <c r="D20" i="15"/>
  <c r="I20" i="15"/>
  <c r="E20" i="15"/>
  <c r="J20" i="15"/>
  <c r="F20" i="15"/>
  <c r="K20" i="15"/>
  <c r="G20" i="15"/>
  <c r="L20" i="15"/>
  <c r="H20" i="15"/>
  <c r="M20" i="15"/>
  <c r="N20" i="15"/>
  <c r="N70" i="15"/>
  <c r="D29" i="15"/>
  <c r="I29" i="15"/>
  <c r="E29" i="15"/>
  <c r="J29" i="15"/>
  <c r="F29" i="15"/>
  <c r="K29" i="15"/>
  <c r="G29" i="15"/>
  <c r="L29" i="15"/>
  <c r="H29" i="15"/>
  <c r="M29" i="15"/>
  <c r="N29" i="15"/>
  <c r="N71" i="15"/>
  <c r="D16" i="15"/>
  <c r="I16" i="15"/>
  <c r="E16" i="15"/>
  <c r="J16" i="15"/>
  <c r="F16" i="15"/>
  <c r="K16" i="15"/>
  <c r="G16" i="15"/>
  <c r="L16" i="15"/>
  <c r="H16" i="15"/>
  <c r="M16" i="15"/>
  <c r="N16" i="15"/>
  <c r="N72" i="15"/>
  <c r="D7" i="15"/>
  <c r="I7" i="15"/>
  <c r="E7" i="15"/>
  <c r="J7" i="15"/>
  <c r="F7" i="15"/>
  <c r="K7" i="15"/>
  <c r="G7" i="15"/>
  <c r="L7" i="15"/>
  <c r="H7" i="15"/>
  <c r="M7" i="15"/>
  <c r="N7" i="15"/>
  <c r="N73" i="15"/>
  <c r="D12" i="15"/>
  <c r="I12" i="15"/>
  <c r="E12" i="15"/>
  <c r="J12" i="15"/>
  <c r="F12" i="15"/>
  <c r="K12" i="15"/>
  <c r="G12" i="15"/>
  <c r="L12" i="15"/>
  <c r="H12" i="15"/>
  <c r="M12" i="15"/>
  <c r="N12" i="15"/>
  <c r="N74" i="15"/>
  <c r="D18" i="15"/>
  <c r="I18" i="15"/>
  <c r="E18" i="15"/>
  <c r="J18" i="15"/>
  <c r="F18" i="15"/>
  <c r="K18" i="15"/>
  <c r="G18" i="15"/>
  <c r="L18" i="15"/>
  <c r="H18" i="15"/>
  <c r="M18" i="15"/>
  <c r="N18" i="15"/>
  <c r="N75" i="15"/>
  <c r="D27" i="15"/>
  <c r="I27" i="15"/>
  <c r="E27" i="15"/>
  <c r="J27" i="15"/>
  <c r="F27" i="15"/>
  <c r="K27" i="15"/>
  <c r="G27" i="15"/>
  <c r="L27" i="15"/>
  <c r="H27" i="15"/>
  <c r="M27" i="15"/>
  <c r="N27" i="15"/>
  <c r="N76" i="15"/>
  <c r="N63" i="15"/>
  <c r="D23" i="15"/>
  <c r="I23" i="15"/>
  <c r="E23" i="15"/>
  <c r="J23" i="15"/>
  <c r="F23" i="15"/>
  <c r="K23" i="15"/>
  <c r="G23" i="15"/>
  <c r="L23" i="15"/>
  <c r="H23" i="15"/>
  <c r="M23" i="15"/>
  <c r="N23" i="15"/>
  <c r="N49" i="15"/>
  <c r="N50" i="15"/>
  <c r="N51" i="15"/>
  <c r="N52" i="15"/>
  <c r="N53" i="15"/>
  <c r="N54" i="15"/>
  <c r="N55" i="15"/>
  <c r="N56" i="15"/>
  <c r="N57" i="15"/>
  <c r="N58" i="15"/>
  <c r="N59" i="15"/>
  <c r="N60" i="15"/>
  <c r="N61" i="15"/>
  <c r="N62" i="15"/>
  <c r="N48" i="15"/>
  <c r="D10" i="15"/>
  <c r="I10" i="15"/>
  <c r="E10" i="15"/>
  <c r="J10" i="15"/>
  <c r="F10" i="15"/>
  <c r="K10" i="15"/>
  <c r="G10" i="15"/>
  <c r="L10" i="15"/>
  <c r="H10" i="15"/>
  <c r="M10" i="15"/>
  <c r="N10" i="15"/>
  <c r="N46" i="15"/>
  <c r="D6" i="15"/>
  <c r="I6" i="15"/>
  <c r="E6" i="15"/>
  <c r="J6" i="15"/>
  <c r="F6" i="15"/>
  <c r="K6" i="15"/>
  <c r="G6" i="15"/>
  <c r="L6" i="15"/>
  <c r="H6" i="15"/>
  <c r="M6" i="15"/>
  <c r="N6" i="15"/>
  <c r="N47" i="15"/>
  <c r="N45" i="15"/>
  <c r="D3" i="15"/>
  <c r="I3" i="15"/>
  <c r="E3" i="15"/>
  <c r="J3" i="15"/>
  <c r="F3" i="15"/>
  <c r="K3" i="15"/>
  <c r="G3" i="15"/>
  <c r="L3" i="15"/>
  <c r="H3" i="15"/>
  <c r="M3" i="15"/>
  <c r="N3" i="15"/>
  <c r="N32" i="15"/>
  <c r="D13" i="15"/>
  <c r="I13" i="15"/>
  <c r="E13" i="15"/>
  <c r="J13" i="15"/>
  <c r="F13" i="15"/>
  <c r="K13" i="15"/>
  <c r="G13" i="15"/>
  <c r="L13" i="15"/>
  <c r="H13" i="15"/>
  <c r="M13" i="15"/>
  <c r="N13" i="15"/>
  <c r="N33" i="15"/>
  <c r="D14" i="15"/>
  <c r="I14" i="15"/>
  <c r="E14" i="15"/>
  <c r="J14" i="15"/>
  <c r="F14" i="15"/>
  <c r="K14" i="15"/>
  <c r="G14" i="15"/>
  <c r="L14" i="15"/>
  <c r="H14" i="15"/>
  <c r="M14" i="15"/>
  <c r="N14" i="15"/>
  <c r="N34" i="15"/>
  <c r="D30" i="15"/>
  <c r="I30" i="15"/>
  <c r="E30" i="15"/>
  <c r="J30" i="15"/>
  <c r="F30" i="15"/>
  <c r="K30" i="15"/>
  <c r="G30" i="15"/>
  <c r="L30" i="15"/>
  <c r="H30" i="15"/>
  <c r="M30" i="15"/>
  <c r="N30" i="15"/>
  <c r="N35" i="15"/>
  <c r="D26" i="15"/>
  <c r="I26" i="15"/>
  <c r="E26" i="15"/>
  <c r="J26" i="15"/>
  <c r="F26" i="15"/>
  <c r="K26" i="15"/>
  <c r="G26" i="15"/>
  <c r="L26" i="15"/>
  <c r="H26" i="15"/>
  <c r="M26" i="15"/>
  <c r="N26" i="15"/>
  <c r="N36" i="15"/>
  <c r="D22" i="15"/>
  <c r="I22" i="15"/>
  <c r="E22" i="15"/>
  <c r="J22" i="15"/>
  <c r="F22" i="15"/>
  <c r="K22" i="15"/>
  <c r="G22" i="15"/>
  <c r="L22" i="15"/>
  <c r="H22" i="15"/>
  <c r="M22" i="15"/>
  <c r="N22" i="15"/>
  <c r="N37" i="15"/>
  <c r="D2" i="15"/>
  <c r="I2" i="15"/>
  <c r="E2" i="15"/>
  <c r="J2" i="15"/>
  <c r="F2" i="15"/>
  <c r="K2" i="15"/>
  <c r="G2" i="15"/>
  <c r="L2" i="15"/>
  <c r="H2" i="15"/>
  <c r="M2" i="15"/>
  <c r="N2" i="15"/>
  <c r="N38" i="15"/>
  <c r="D11" i="15"/>
  <c r="I11" i="15"/>
  <c r="E11" i="15"/>
  <c r="J11" i="15"/>
  <c r="F11" i="15"/>
  <c r="K11" i="15"/>
  <c r="G11" i="15"/>
  <c r="L11" i="15"/>
  <c r="H11" i="15"/>
  <c r="M11" i="15"/>
  <c r="N11" i="15"/>
  <c r="N39" i="15"/>
  <c r="D4" i="15"/>
  <c r="I4" i="15"/>
  <c r="E4" i="15"/>
  <c r="J4" i="15"/>
  <c r="F4" i="15"/>
  <c r="K4" i="15"/>
  <c r="G4" i="15"/>
  <c r="L4" i="15"/>
  <c r="H4" i="15"/>
  <c r="M4" i="15"/>
  <c r="N4" i="15"/>
  <c r="N40" i="15"/>
  <c r="D8" i="15"/>
  <c r="I8" i="15"/>
  <c r="E8" i="15"/>
  <c r="J8" i="15"/>
  <c r="F8" i="15"/>
  <c r="K8" i="15"/>
  <c r="G8" i="15"/>
  <c r="L8" i="15"/>
  <c r="H8" i="15"/>
  <c r="M8" i="15"/>
  <c r="N8" i="15"/>
  <c r="N41" i="15"/>
  <c r="D19" i="15"/>
  <c r="I19" i="15"/>
  <c r="E19" i="15"/>
  <c r="J19" i="15"/>
  <c r="F19" i="15"/>
  <c r="K19" i="15"/>
  <c r="G19" i="15"/>
  <c r="L19" i="15"/>
  <c r="H19" i="15"/>
  <c r="M19" i="15"/>
  <c r="N19" i="15"/>
  <c r="N42" i="15"/>
  <c r="D28" i="15"/>
  <c r="I28" i="15"/>
  <c r="E28" i="15"/>
  <c r="J28" i="15"/>
  <c r="F28" i="15"/>
  <c r="K28" i="15"/>
  <c r="G28" i="15"/>
  <c r="L28" i="15"/>
  <c r="H28" i="15"/>
  <c r="M28" i="15"/>
  <c r="N28" i="15"/>
  <c r="N43" i="15"/>
  <c r="D15" i="15"/>
  <c r="I15" i="15"/>
  <c r="E15" i="15"/>
  <c r="J15" i="15"/>
  <c r="F15" i="15"/>
  <c r="K15" i="15"/>
  <c r="G15" i="15"/>
  <c r="L15" i="15"/>
  <c r="H15" i="15"/>
  <c r="M15" i="15"/>
  <c r="N15" i="15"/>
  <c r="N44" i="15"/>
  <c r="N31" i="15"/>
  <c r="O31" i="15"/>
  <c r="O30" i="15"/>
  <c r="O29" i="15"/>
  <c r="O28" i="15"/>
  <c r="O27" i="15"/>
  <c r="O76" i="15"/>
  <c r="O26" i="15"/>
  <c r="O25" i="15"/>
  <c r="O24" i="15"/>
  <c r="O23" i="15"/>
  <c r="O22" i="15"/>
  <c r="O21" i="15"/>
  <c r="O20" i="15"/>
  <c r="O19" i="15"/>
  <c r="O42" i="15"/>
  <c r="O18" i="15"/>
  <c r="O17" i="15"/>
  <c r="O16" i="15"/>
  <c r="O15" i="15"/>
  <c r="O14" i="15"/>
  <c r="O34" i="15"/>
  <c r="O13" i="15"/>
  <c r="O33" i="15"/>
  <c r="O12" i="15"/>
  <c r="O11" i="15"/>
  <c r="O39" i="15"/>
  <c r="O10" i="15"/>
  <c r="O9" i="15"/>
  <c r="O8" i="15"/>
  <c r="O7" i="15"/>
  <c r="O6" i="15"/>
  <c r="O5" i="15"/>
  <c r="O4" i="15"/>
  <c r="O3" i="15"/>
  <c r="O32" i="15"/>
  <c r="O2" i="15"/>
  <c r="O59" i="15"/>
  <c r="O68" i="15"/>
  <c r="O44" i="15"/>
  <c r="O66" i="15"/>
  <c r="O61" i="15"/>
  <c r="O50" i="15"/>
  <c r="O36" i="15"/>
  <c r="O35" i="15"/>
  <c r="O37" i="15"/>
  <c r="O38" i="15"/>
  <c r="O40" i="15"/>
  <c r="O41" i="15"/>
  <c r="O43" i="15"/>
  <c r="O46" i="15"/>
  <c r="O47" i="15"/>
  <c r="O49" i="15"/>
  <c r="O51" i="15"/>
  <c r="O53" i="15"/>
  <c r="O55" i="15"/>
  <c r="O56" i="15"/>
  <c r="O57" i="15"/>
  <c r="O58" i="15"/>
  <c r="O60" i="15"/>
  <c r="O65" i="15"/>
  <c r="O67" i="15"/>
  <c r="O69" i="15"/>
  <c r="O70" i="15"/>
  <c r="O71" i="15"/>
  <c r="O72" i="15"/>
  <c r="O73" i="15"/>
  <c r="O74" i="15"/>
  <c r="O75" i="15"/>
  <c r="BU63" i="17"/>
  <c r="BU48" i="17"/>
  <c r="BU57" i="17"/>
  <c r="BU76" i="17"/>
  <c r="BU55" i="17"/>
  <c r="BU49" i="17"/>
  <c r="BU51" i="17"/>
  <c r="BU42" i="17"/>
  <c r="BU58" i="17"/>
  <c r="BU44" i="17"/>
  <c r="BU33" i="17"/>
  <c r="BU39" i="17"/>
  <c r="BU41" i="17"/>
  <c r="BU73" i="17"/>
  <c r="BU32" i="17"/>
  <c r="BU69" i="17"/>
  <c r="BU61" i="17"/>
  <c r="BU37" i="17"/>
  <c r="BU35" i="17"/>
  <c r="BU43" i="17"/>
  <c r="BU36" i="17"/>
  <c r="BU50" i="17"/>
  <c r="BU56" i="17"/>
  <c r="BU75" i="17"/>
  <c r="BU52" i="17"/>
  <c r="BU34" i="17"/>
  <c r="BU60" i="17"/>
  <c r="BU46" i="17"/>
  <c r="BU68" i="17"/>
  <c r="BU59" i="17"/>
  <c r="BU47" i="17"/>
  <c r="BU67" i="17"/>
  <c r="BU40" i="17"/>
  <c r="BU38" i="17"/>
  <c r="BQ76" i="17"/>
  <c r="BQ71" i="17"/>
  <c r="BQ65" i="17"/>
  <c r="BQ64" i="17"/>
  <c r="BQ57" i="17"/>
  <c r="BQ56" i="17"/>
  <c r="BQ55" i="17"/>
  <c r="BQ47" i="17"/>
  <c r="BQ42" i="17"/>
  <c r="BQ40" i="17"/>
  <c r="BQ39" i="17"/>
  <c r="BQ36" i="17"/>
  <c r="BQ34" i="17"/>
  <c r="BQ33" i="17"/>
  <c r="BQ32" i="17"/>
  <c r="BQ31" i="17"/>
  <c r="BQ30" i="17"/>
  <c r="BQ35" i="17"/>
  <c r="BQ29" i="17"/>
  <c r="BQ28" i="17"/>
  <c r="BQ43" i="17"/>
  <c r="BQ27" i="17"/>
  <c r="BQ62" i="17"/>
  <c r="BQ26" i="17"/>
  <c r="BQ25" i="17"/>
  <c r="BQ50" i="17"/>
  <c r="BQ24" i="17"/>
  <c r="BQ69" i="17"/>
  <c r="BQ23" i="17"/>
  <c r="BQ49" i="17"/>
  <c r="BQ22" i="17"/>
  <c r="BQ37" i="17"/>
  <c r="BQ21" i="17"/>
  <c r="BQ51" i="17"/>
  <c r="BQ20" i="17"/>
  <c r="BQ70" i="17"/>
  <c r="BQ19" i="17"/>
  <c r="BQ18" i="17"/>
  <c r="BQ75" i="17"/>
  <c r="BQ17" i="17"/>
  <c r="BQ52" i="17"/>
  <c r="BQ16" i="17"/>
  <c r="BQ58" i="17"/>
  <c r="BQ15" i="17"/>
  <c r="BQ44" i="17"/>
  <c r="BQ14" i="17"/>
  <c r="BQ13" i="17"/>
  <c r="BQ12" i="17"/>
  <c r="BQ60" i="17"/>
  <c r="BQ11" i="17"/>
  <c r="BQ10" i="17"/>
  <c r="BQ46" i="17"/>
  <c r="BQ9" i="17"/>
  <c r="BQ68" i="17"/>
  <c r="BQ8" i="17"/>
  <c r="BQ41" i="17"/>
  <c r="BQ7" i="17"/>
  <c r="BQ59" i="17"/>
  <c r="BQ6" i="17"/>
  <c r="BQ5" i="17"/>
  <c r="BQ67" i="17"/>
  <c r="BQ4" i="17"/>
  <c r="BQ3" i="17"/>
  <c r="BQ2" i="17"/>
  <c r="BQ38" i="17"/>
  <c r="AT2" i="17"/>
  <c r="AT38" i="17"/>
  <c r="AT3" i="17"/>
  <c r="AT32" i="17"/>
  <c r="AT4" i="17"/>
  <c r="AT5" i="17"/>
  <c r="AT6" i="17"/>
  <c r="AT7" i="17"/>
  <c r="AT8" i="17"/>
  <c r="BE8" i="17"/>
  <c r="AT9" i="17"/>
  <c r="AT10" i="17"/>
  <c r="AT46" i="17"/>
  <c r="AT11" i="17"/>
  <c r="AT39" i="17"/>
  <c r="AT12" i="17"/>
  <c r="AT13" i="17"/>
  <c r="AT14" i="17"/>
  <c r="AT15" i="17"/>
  <c r="AT16" i="17"/>
  <c r="AT17" i="17"/>
  <c r="AT52" i="17"/>
  <c r="AT18" i="17"/>
  <c r="AT19" i="17"/>
  <c r="AT42" i="17"/>
  <c r="BE42" i="17"/>
  <c r="AT20" i="17"/>
  <c r="AT21" i="17"/>
  <c r="AT22" i="17"/>
  <c r="AT37" i="17"/>
  <c r="BE37" i="17"/>
  <c r="AT23" i="17"/>
  <c r="AT24" i="17"/>
  <c r="BE24" i="17"/>
  <c r="AT25" i="17"/>
  <c r="AT26" i="17"/>
  <c r="AT27" i="17"/>
  <c r="AT28" i="17"/>
  <c r="AT29" i="17"/>
  <c r="AT30" i="17"/>
  <c r="AT33" i="17"/>
  <c r="AT34" i="17"/>
  <c r="AT35" i="17"/>
  <c r="AT36" i="17"/>
  <c r="AT40" i="17"/>
  <c r="AT43" i="17"/>
  <c r="AT44" i="17"/>
  <c r="AE32" i="4"/>
  <c r="AE33" i="4"/>
  <c r="AE34" i="4"/>
  <c r="AE35" i="4"/>
  <c r="AE36" i="4"/>
  <c r="AE37" i="4"/>
  <c r="AE38" i="4"/>
  <c r="AE39" i="4"/>
  <c r="AE40" i="4"/>
  <c r="AE41" i="4"/>
  <c r="AE42" i="4"/>
  <c r="AE43" i="4"/>
  <c r="AE44" i="4"/>
  <c r="AE31" i="4"/>
  <c r="AF31" i="4"/>
  <c r="AC32" i="4"/>
  <c r="AC33" i="4"/>
  <c r="AC34" i="4"/>
  <c r="AC35" i="4"/>
  <c r="AC36" i="4"/>
  <c r="AC37" i="4"/>
  <c r="AC38" i="4"/>
  <c r="AC39" i="4"/>
  <c r="AC40" i="4"/>
  <c r="AC41" i="4"/>
  <c r="AC42" i="4"/>
  <c r="AC43" i="4"/>
  <c r="AC44" i="4"/>
  <c r="AC31" i="4"/>
  <c r="U3" i="4"/>
  <c r="V3" i="4"/>
  <c r="W3" i="4"/>
  <c r="W32" i="4"/>
  <c r="U13" i="4"/>
  <c r="V13" i="4"/>
  <c r="W13" i="4"/>
  <c r="W33" i="4"/>
  <c r="U14" i="4"/>
  <c r="V14" i="4"/>
  <c r="W14" i="4"/>
  <c r="W34" i="4"/>
  <c r="U30" i="4"/>
  <c r="V30" i="4"/>
  <c r="W30" i="4"/>
  <c r="W35" i="4"/>
  <c r="U26" i="4"/>
  <c r="V26" i="4"/>
  <c r="W26" i="4"/>
  <c r="W36" i="4"/>
  <c r="U22" i="4"/>
  <c r="V22" i="4"/>
  <c r="W22" i="4"/>
  <c r="W37" i="4"/>
  <c r="U2" i="4"/>
  <c r="V2" i="4"/>
  <c r="W2" i="4"/>
  <c r="W38" i="4"/>
  <c r="U11" i="4"/>
  <c r="V11" i="4"/>
  <c r="W11" i="4"/>
  <c r="W39" i="4"/>
  <c r="U4" i="4"/>
  <c r="V4" i="4"/>
  <c r="W4" i="4"/>
  <c r="W40" i="4"/>
  <c r="U8" i="4"/>
  <c r="V8" i="4"/>
  <c r="W8" i="4"/>
  <c r="W41" i="4"/>
  <c r="U19" i="4"/>
  <c r="V19" i="4"/>
  <c r="W19" i="4"/>
  <c r="W42" i="4"/>
  <c r="U28" i="4"/>
  <c r="V28" i="4"/>
  <c r="W28" i="4"/>
  <c r="W43" i="4"/>
  <c r="U15" i="4"/>
  <c r="V15" i="4"/>
  <c r="W15" i="4"/>
  <c r="W44" i="4"/>
  <c r="W31" i="4"/>
  <c r="X31" i="4"/>
  <c r="O3" i="4"/>
  <c r="O32" i="4"/>
  <c r="O13" i="4"/>
  <c r="O33" i="4"/>
  <c r="O14" i="4"/>
  <c r="O34" i="4"/>
  <c r="O30" i="4"/>
  <c r="O35" i="4"/>
  <c r="O26" i="4"/>
  <c r="O36" i="4"/>
  <c r="O22" i="4"/>
  <c r="O37" i="4"/>
  <c r="O2" i="4"/>
  <c r="O38" i="4"/>
  <c r="O11" i="4"/>
  <c r="O39" i="4"/>
  <c r="O4" i="4"/>
  <c r="O40" i="4"/>
  <c r="O8" i="4"/>
  <c r="O41" i="4"/>
  <c r="O19" i="4"/>
  <c r="O42" i="4"/>
  <c r="O28" i="4"/>
  <c r="O43" i="4"/>
  <c r="O15" i="4"/>
  <c r="O44" i="4"/>
  <c r="O31" i="4"/>
  <c r="D3" i="4"/>
  <c r="E3" i="4"/>
  <c r="F3" i="4"/>
  <c r="G3" i="4"/>
  <c r="I3" i="4"/>
  <c r="I32" i="4"/>
  <c r="D13" i="4"/>
  <c r="E13" i="4"/>
  <c r="F13" i="4"/>
  <c r="G13" i="4"/>
  <c r="I13" i="4"/>
  <c r="I33" i="4"/>
  <c r="D14" i="4"/>
  <c r="E14" i="4"/>
  <c r="F14" i="4"/>
  <c r="G14" i="4"/>
  <c r="I14" i="4"/>
  <c r="I34" i="4"/>
  <c r="D30" i="4"/>
  <c r="E30" i="4"/>
  <c r="F30" i="4"/>
  <c r="G30" i="4"/>
  <c r="I30" i="4"/>
  <c r="I35" i="4"/>
  <c r="D26" i="4"/>
  <c r="E26" i="4"/>
  <c r="F26" i="4"/>
  <c r="G26" i="4"/>
  <c r="I26" i="4"/>
  <c r="I36" i="4"/>
  <c r="D22" i="4"/>
  <c r="E22" i="4"/>
  <c r="F22" i="4"/>
  <c r="G22" i="4"/>
  <c r="I22" i="4"/>
  <c r="I37" i="4"/>
  <c r="D2" i="4"/>
  <c r="E2" i="4"/>
  <c r="F2" i="4"/>
  <c r="G2" i="4"/>
  <c r="I2" i="4"/>
  <c r="I38" i="4"/>
  <c r="D11" i="4"/>
  <c r="E11" i="4"/>
  <c r="F11" i="4"/>
  <c r="G11" i="4"/>
  <c r="I11" i="4"/>
  <c r="I39" i="4"/>
  <c r="D4" i="4"/>
  <c r="E4" i="4"/>
  <c r="F4" i="4"/>
  <c r="G4" i="4"/>
  <c r="I4" i="4"/>
  <c r="I40" i="4"/>
  <c r="D8" i="4"/>
  <c r="E8" i="4"/>
  <c r="F8" i="4"/>
  <c r="G8" i="4"/>
  <c r="I8" i="4"/>
  <c r="I41" i="4"/>
  <c r="D19" i="4"/>
  <c r="E19" i="4"/>
  <c r="F19" i="4"/>
  <c r="G19" i="4"/>
  <c r="I19" i="4"/>
  <c r="I42" i="4"/>
  <c r="D28" i="4"/>
  <c r="E28" i="4"/>
  <c r="F28" i="4"/>
  <c r="G28" i="4"/>
  <c r="I28" i="4"/>
  <c r="I43" i="4"/>
  <c r="D15" i="4"/>
  <c r="E15" i="4"/>
  <c r="F15" i="4"/>
  <c r="G15" i="4"/>
  <c r="I15" i="4"/>
  <c r="I44" i="4"/>
  <c r="I31" i="4"/>
  <c r="J31" i="4"/>
  <c r="AF76" i="4"/>
  <c r="AF75" i="4"/>
  <c r="AF73" i="4"/>
  <c r="AF72" i="4"/>
  <c r="AF71" i="4"/>
  <c r="AF69" i="4"/>
  <c r="AF68" i="4"/>
  <c r="AF67" i="4"/>
  <c r="AF66" i="4"/>
  <c r="AF65" i="4"/>
  <c r="AF64" i="4"/>
  <c r="AE64" i="4"/>
  <c r="AE65" i="4"/>
  <c r="AE66" i="4"/>
  <c r="AE67" i="4"/>
  <c r="AE68" i="4"/>
  <c r="AE69" i="4"/>
  <c r="AE70" i="4"/>
  <c r="AE71" i="4"/>
  <c r="AE72" i="4"/>
  <c r="AE73" i="4"/>
  <c r="AE74" i="4"/>
  <c r="AE75" i="4"/>
  <c r="AE76" i="4"/>
  <c r="AE63" i="4"/>
  <c r="AF63" i="4"/>
  <c r="AF59" i="4"/>
  <c r="AF58" i="4"/>
  <c r="AF57" i="4"/>
  <c r="AF55" i="4"/>
  <c r="AF54" i="4"/>
  <c r="AF53" i="4"/>
  <c r="AF52" i="4"/>
  <c r="AF51" i="4"/>
  <c r="AF50" i="4"/>
  <c r="AF49" i="4"/>
  <c r="AE49" i="4"/>
  <c r="AE50" i="4"/>
  <c r="AE51" i="4"/>
  <c r="AE52" i="4"/>
  <c r="AE53" i="4"/>
  <c r="AE54" i="4"/>
  <c r="AE55" i="4"/>
  <c r="AE56" i="4"/>
  <c r="AE57" i="4"/>
  <c r="AE58" i="4"/>
  <c r="AE59" i="4"/>
  <c r="AE60" i="4"/>
  <c r="AE61" i="4"/>
  <c r="AE62" i="4"/>
  <c r="AE48" i="4"/>
  <c r="AF48" i="4"/>
  <c r="AF47" i="4"/>
  <c r="AE46" i="4"/>
  <c r="AE47" i="4"/>
  <c r="AE45" i="4"/>
  <c r="AF45" i="4"/>
  <c r="AF44" i="4"/>
  <c r="AF42" i="4"/>
  <c r="AF41" i="4"/>
  <c r="AF39" i="4"/>
  <c r="AF38" i="4"/>
  <c r="AF35" i="4"/>
  <c r="AF34" i="4"/>
  <c r="AF33" i="4"/>
  <c r="AF32" i="4"/>
  <c r="AD27" i="4"/>
  <c r="AD76" i="4"/>
  <c r="AD18" i="4"/>
  <c r="AD75" i="4"/>
  <c r="AD12" i="4"/>
  <c r="AD74" i="4"/>
  <c r="AD7" i="4"/>
  <c r="AD73" i="4"/>
  <c r="AD16" i="4"/>
  <c r="AD72" i="4"/>
  <c r="AD29" i="4"/>
  <c r="AD71" i="4"/>
  <c r="AD20" i="4"/>
  <c r="AD70" i="4"/>
  <c r="AD24" i="4"/>
  <c r="AD69" i="4"/>
  <c r="AD9" i="4"/>
  <c r="AD68" i="4"/>
  <c r="AD5" i="4"/>
  <c r="AD67" i="4"/>
  <c r="AD17" i="4"/>
  <c r="AD66" i="4"/>
  <c r="AD21" i="4"/>
  <c r="AD65" i="4"/>
  <c r="AD25" i="4"/>
  <c r="AD64" i="4"/>
  <c r="AC64" i="4"/>
  <c r="AC65" i="4"/>
  <c r="AC66" i="4"/>
  <c r="AC67" i="4"/>
  <c r="AC68" i="4"/>
  <c r="AC69" i="4"/>
  <c r="AC70" i="4"/>
  <c r="AC71" i="4"/>
  <c r="AC72" i="4"/>
  <c r="AC73" i="4"/>
  <c r="AC74" i="4"/>
  <c r="AC75" i="4"/>
  <c r="AC76" i="4"/>
  <c r="AC63" i="4"/>
  <c r="AD62" i="4"/>
  <c r="AD61" i="4"/>
  <c r="AD60" i="4"/>
  <c r="AD59" i="4"/>
  <c r="AD58" i="4"/>
  <c r="AD57" i="4"/>
  <c r="AD56" i="4"/>
  <c r="AD55" i="4"/>
  <c r="AD54" i="4"/>
  <c r="AD53" i="4"/>
  <c r="AD52" i="4"/>
  <c r="AD51" i="4"/>
  <c r="AD50" i="4"/>
  <c r="AD23" i="4"/>
  <c r="AD49" i="4"/>
  <c r="AC49" i="4"/>
  <c r="AC50" i="4"/>
  <c r="AC51" i="4"/>
  <c r="AC52" i="4"/>
  <c r="AC53" i="4"/>
  <c r="AC54" i="4"/>
  <c r="AC55" i="4"/>
  <c r="AC56" i="4"/>
  <c r="AC57" i="4"/>
  <c r="AC58" i="4"/>
  <c r="AC59" i="4"/>
  <c r="AC60" i="4"/>
  <c r="AC61" i="4"/>
  <c r="AC62" i="4"/>
  <c r="AC48" i="4"/>
  <c r="AD6" i="4"/>
  <c r="AD47" i="4"/>
  <c r="AD10" i="4"/>
  <c r="AD46" i="4"/>
  <c r="AC46" i="4"/>
  <c r="AC47" i="4"/>
  <c r="AC45" i="4"/>
  <c r="AD15" i="4"/>
  <c r="AD44" i="4"/>
  <c r="AD28" i="4"/>
  <c r="AD43" i="4"/>
  <c r="AD19" i="4"/>
  <c r="AD42" i="4"/>
  <c r="AD8" i="4"/>
  <c r="AD41" i="4"/>
  <c r="AD4" i="4"/>
  <c r="AD40" i="4"/>
  <c r="AD11" i="4"/>
  <c r="AD39" i="4"/>
  <c r="AD2" i="4"/>
  <c r="AD38" i="4"/>
  <c r="AD22" i="4"/>
  <c r="AD37" i="4"/>
  <c r="AD26" i="4"/>
  <c r="AD36" i="4"/>
  <c r="AD30" i="4"/>
  <c r="AD35" i="4"/>
  <c r="AD14" i="4"/>
  <c r="AD34" i="4"/>
  <c r="AD13" i="4"/>
  <c r="AD33" i="4"/>
  <c r="AD3" i="4"/>
  <c r="AD32" i="4"/>
  <c r="U27" i="4"/>
  <c r="V27" i="4"/>
  <c r="W27" i="4"/>
  <c r="X27" i="4"/>
  <c r="X76" i="4"/>
  <c r="U18" i="4"/>
  <c r="V18" i="4"/>
  <c r="W18" i="4"/>
  <c r="X18" i="4"/>
  <c r="X75" i="4"/>
  <c r="U12" i="4"/>
  <c r="V12" i="4"/>
  <c r="W12" i="4"/>
  <c r="X12" i="4"/>
  <c r="X74" i="4"/>
  <c r="U7" i="4"/>
  <c r="V7" i="4"/>
  <c r="W7" i="4"/>
  <c r="X7" i="4"/>
  <c r="X73" i="4"/>
  <c r="U16" i="4"/>
  <c r="V16" i="4"/>
  <c r="W16" i="4"/>
  <c r="X16" i="4"/>
  <c r="X72" i="4"/>
  <c r="U29" i="4"/>
  <c r="V29" i="4"/>
  <c r="W29" i="4"/>
  <c r="X29" i="4"/>
  <c r="X71" i="4"/>
  <c r="U20" i="4"/>
  <c r="V20" i="4"/>
  <c r="W20" i="4"/>
  <c r="X20" i="4"/>
  <c r="X70" i="4"/>
  <c r="U24" i="4"/>
  <c r="V24" i="4"/>
  <c r="W24" i="4"/>
  <c r="X24" i="4"/>
  <c r="X69" i="4"/>
  <c r="U9" i="4"/>
  <c r="V9" i="4"/>
  <c r="W9" i="4"/>
  <c r="X9" i="4"/>
  <c r="X68" i="4"/>
  <c r="U5" i="4"/>
  <c r="V5" i="4"/>
  <c r="W5" i="4"/>
  <c r="X5" i="4"/>
  <c r="X67" i="4"/>
  <c r="U17" i="4"/>
  <c r="V17" i="4"/>
  <c r="W17" i="4"/>
  <c r="X17" i="4"/>
  <c r="X66" i="4"/>
  <c r="U21" i="4"/>
  <c r="V21" i="4"/>
  <c r="W21" i="4"/>
  <c r="X21" i="4"/>
  <c r="X65" i="4"/>
  <c r="U25" i="4"/>
  <c r="V25" i="4"/>
  <c r="W25" i="4"/>
  <c r="X25" i="4"/>
  <c r="X64" i="4"/>
  <c r="W64" i="4"/>
  <c r="W65" i="4"/>
  <c r="W66" i="4"/>
  <c r="W67" i="4"/>
  <c r="W68" i="4"/>
  <c r="W69" i="4"/>
  <c r="W70" i="4"/>
  <c r="W71" i="4"/>
  <c r="W72" i="4"/>
  <c r="W73" i="4"/>
  <c r="W74" i="4"/>
  <c r="W75" i="4"/>
  <c r="W76" i="4"/>
  <c r="W63" i="4"/>
  <c r="X63" i="4"/>
  <c r="X62" i="4"/>
  <c r="X61" i="4"/>
  <c r="X60" i="4"/>
  <c r="X59" i="4"/>
  <c r="X58" i="4"/>
  <c r="X57" i="4"/>
  <c r="X56" i="4"/>
  <c r="X55" i="4"/>
  <c r="X54" i="4"/>
  <c r="X53" i="4"/>
  <c r="X52" i="4"/>
  <c r="X51" i="4"/>
  <c r="X50" i="4"/>
  <c r="U23" i="4"/>
  <c r="V23" i="4"/>
  <c r="W23" i="4"/>
  <c r="X23" i="4"/>
  <c r="X49" i="4"/>
  <c r="W49" i="4"/>
  <c r="W50" i="4"/>
  <c r="W51" i="4"/>
  <c r="W52" i="4"/>
  <c r="W53" i="4"/>
  <c r="W54" i="4"/>
  <c r="W55" i="4"/>
  <c r="W56" i="4"/>
  <c r="W57" i="4"/>
  <c r="W58" i="4"/>
  <c r="W59" i="4"/>
  <c r="W60" i="4"/>
  <c r="W61" i="4"/>
  <c r="W62" i="4"/>
  <c r="W48" i="4"/>
  <c r="X48" i="4"/>
  <c r="U6" i="4"/>
  <c r="V6" i="4"/>
  <c r="W6" i="4"/>
  <c r="X6" i="4"/>
  <c r="X47" i="4"/>
  <c r="U10" i="4"/>
  <c r="V10" i="4"/>
  <c r="W10" i="4"/>
  <c r="X10" i="4"/>
  <c r="X46" i="4"/>
  <c r="W46" i="4"/>
  <c r="W47" i="4"/>
  <c r="W45" i="4"/>
  <c r="X45" i="4"/>
  <c r="X15" i="4"/>
  <c r="X44" i="4"/>
  <c r="X28" i="4"/>
  <c r="X43" i="4"/>
  <c r="X19" i="4"/>
  <c r="X42" i="4"/>
  <c r="X8" i="4"/>
  <c r="X41" i="4"/>
  <c r="X4" i="4"/>
  <c r="X40" i="4"/>
  <c r="X11" i="4"/>
  <c r="X39" i="4"/>
  <c r="X2" i="4"/>
  <c r="X38" i="4"/>
  <c r="X22" i="4"/>
  <c r="X37" i="4"/>
  <c r="X26" i="4"/>
  <c r="X36" i="4"/>
  <c r="X30" i="4"/>
  <c r="X35" i="4"/>
  <c r="X14" i="4"/>
  <c r="X34" i="4"/>
  <c r="X13" i="4"/>
  <c r="X33" i="4"/>
  <c r="X3" i="4"/>
  <c r="X32" i="4"/>
  <c r="O25" i="4"/>
  <c r="O64" i="4"/>
  <c r="O21" i="4"/>
  <c r="O65" i="4"/>
  <c r="O17" i="4"/>
  <c r="O66" i="4"/>
  <c r="O5" i="4"/>
  <c r="O67" i="4"/>
  <c r="O9" i="4"/>
  <c r="O68" i="4"/>
  <c r="O24" i="4"/>
  <c r="O69" i="4"/>
  <c r="O20" i="4"/>
  <c r="O70" i="4"/>
  <c r="O29" i="4"/>
  <c r="O71" i="4"/>
  <c r="O16" i="4"/>
  <c r="O72" i="4"/>
  <c r="O7" i="4"/>
  <c r="O73" i="4"/>
  <c r="O12" i="4"/>
  <c r="O74" i="4"/>
  <c r="O18" i="4"/>
  <c r="O75" i="4"/>
  <c r="O27" i="4"/>
  <c r="O76" i="4"/>
  <c r="O63" i="4"/>
  <c r="O23" i="4"/>
  <c r="O49" i="4"/>
  <c r="O50" i="4"/>
  <c r="O51" i="4"/>
  <c r="O52" i="4"/>
  <c r="O53" i="4"/>
  <c r="O54" i="4"/>
  <c r="O55" i="4"/>
  <c r="O56" i="4"/>
  <c r="O57" i="4"/>
  <c r="O58" i="4"/>
  <c r="O59" i="4"/>
  <c r="O60" i="4"/>
  <c r="O61" i="4"/>
  <c r="O62" i="4"/>
  <c r="O48" i="4"/>
  <c r="O10" i="4"/>
  <c r="O46" i="4"/>
  <c r="O6" i="4"/>
  <c r="O47" i="4"/>
  <c r="O45" i="4"/>
  <c r="T27" i="4"/>
  <c r="T76" i="4"/>
  <c r="N27" i="4"/>
  <c r="S27" i="4"/>
  <c r="S76" i="4"/>
  <c r="M27" i="4"/>
  <c r="R27" i="4"/>
  <c r="R76" i="4"/>
  <c r="L27" i="4"/>
  <c r="Q27" i="4"/>
  <c r="Q76" i="4"/>
  <c r="K27" i="4"/>
  <c r="P27" i="4"/>
  <c r="P76" i="4"/>
  <c r="T18" i="4"/>
  <c r="T75" i="4"/>
  <c r="N18" i="4"/>
  <c r="S18" i="4"/>
  <c r="S75" i="4"/>
  <c r="M18" i="4"/>
  <c r="R18" i="4"/>
  <c r="R75" i="4"/>
  <c r="L18" i="4"/>
  <c r="Q18" i="4"/>
  <c r="Q75" i="4"/>
  <c r="K18" i="4"/>
  <c r="P18" i="4"/>
  <c r="P75" i="4"/>
  <c r="T12" i="4"/>
  <c r="T74" i="4"/>
  <c r="N12" i="4"/>
  <c r="S12" i="4"/>
  <c r="S74" i="4"/>
  <c r="M12" i="4"/>
  <c r="R12" i="4"/>
  <c r="R74" i="4"/>
  <c r="L12" i="4"/>
  <c r="Q12" i="4"/>
  <c r="Q74" i="4"/>
  <c r="K12" i="4"/>
  <c r="P12" i="4"/>
  <c r="P74" i="4"/>
  <c r="T7" i="4"/>
  <c r="T73" i="4"/>
  <c r="N7" i="4"/>
  <c r="S7" i="4"/>
  <c r="S73" i="4"/>
  <c r="M7" i="4"/>
  <c r="R7" i="4"/>
  <c r="R73" i="4"/>
  <c r="L7" i="4"/>
  <c r="Q7" i="4"/>
  <c r="Q73" i="4"/>
  <c r="K7" i="4"/>
  <c r="P7" i="4"/>
  <c r="P73" i="4"/>
  <c r="T16" i="4"/>
  <c r="T72" i="4"/>
  <c r="N16" i="4"/>
  <c r="S16" i="4"/>
  <c r="S72" i="4"/>
  <c r="M16" i="4"/>
  <c r="R16" i="4"/>
  <c r="R72" i="4"/>
  <c r="L16" i="4"/>
  <c r="Q16" i="4"/>
  <c r="Q72" i="4"/>
  <c r="K16" i="4"/>
  <c r="P16" i="4"/>
  <c r="P72" i="4"/>
  <c r="T29" i="4"/>
  <c r="T71" i="4"/>
  <c r="N29" i="4"/>
  <c r="S29" i="4"/>
  <c r="S71" i="4"/>
  <c r="M29" i="4"/>
  <c r="R29" i="4"/>
  <c r="R71" i="4"/>
  <c r="L29" i="4"/>
  <c r="Q29" i="4"/>
  <c r="Q71" i="4"/>
  <c r="K29" i="4"/>
  <c r="P29" i="4"/>
  <c r="P71" i="4"/>
  <c r="T20" i="4"/>
  <c r="T70" i="4"/>
  <c r="N20" i="4"/>
  <c r="S20" i="4"/>
  <c r="S70" i="4"/>
  <c r="M20" i="4"/>
  <c r="R20" i="4"/>
  <c r="R70" i="4"/>
  <c r="L20" i="4"/>
  <c r="Q20" i="4"/>
  <c r="Q70" i="4"/>
  <c r="K20" i="4"/>
  <c r="P20" i="4"/>
  <c r="P70" i="4"/>
  <c r="T24" i="4"/>
  <c r="T69" i="4"/>
  <c r="N24" i="4"/>
  <c r="S24" i="4"/>
  <c r="S69" i="4"/>
  <c r="M24" i="4"/>
  <c r="R24" i="4"/>
  <c r="R69" i="4"/>
  <c r="L24" i="4"/>
  <c r="Q24" i="4"/>
  <c r="Q69" i="4"/>
  <c r="K24" i="4"/>
  <c r="P24" i="4"/>
  <c r="P69" i="4"/>
  <c r="T9" i="4"/>
  <c r="T68" i="4"/>
  <c r="N9" i="4"/>
  <c r="S9" i="4"/>
  <c r="S68" i="4"/>
  <c r="M9" i="4"/>
  <c r="R9" i="4"/>
  <c r="R68" i="4"/>
  <c r="L9" i="4"/>
  <c r="Q9" i="4"/>
  <c r="Q68" i="4"/>
  <c r="K9" i="4"/>
  <c r="P9" i="4"/>
  <c r="P68" i="4"/>
  <c r="T5" i="4"/>
  <c r="T67" i="4"/>
  <c r="N5" i="4"/>
  <c r="S5" i="4"/>
  <c r="S67" i="4"/>
  <c r="M5" i="4"/>
  <c r="R5" i="4"/>
  <c r="R67" i="4"/>
  <c r="L5" i="4"/>
  <c r="Q5" i="4"/>
  <c r="Q67" i="4"/>
  <c r="K5" i="4"/>
  <c r="P5" i="4"/>
  <c r="P67" i="4"/>
  <c r="T17" i="4"/>
  <c r="T66" i="4"/>
  <c r="N17" i="4"/>
  <c r="S17" i="4"/>
  <c r="S66" i="4"/>
  <c r="M17" i="4"/>
  <c r="R17" i="4"/>
  <c r="R66" i="4"/>
  <c r="L17" i="4"/>
  <c r="Q17" i="4"/>
  <c r="Q66" i="4"/>
  <c r="K17" i="4"/>
  <c r="P17" i="4"/>
  <c r="P66" i="4"/>
  <c r="T21" i="4"/>
  <c r="T65" i="4"/>
  <c r="N21" i="4"/>
  <c r="S21" i="4"/>
  <c r="S65" i="4"/>
  <c r="M21" i="4"/>
  <c r="R21" i="4"/>
  <c r="R65" i="4"/>
  <c r="L21" i="4"/>
  <c r="Q21" i="4"/>
  <c r="Q65" i="4"/>
  <c r="K21" i="4"/>
  <c r="P21" i="4"/>
  <c r="P65" i="4"/>
  <c r="T25" i="4"/>
  <c r="T64" i="4"/>
  <c r="N25" i="4"/>
  <c r="S25" i="4"/>
  <c r="S64" i="4"/>
  <c r="M25" i="4"/>
  <c r="R25" i="4"/>
  <c r="R64" i="4"/>
  <c r="L25" i="4"/>
  <c r="Q25" i="4"/>
  <c r="Q64" i="4"/>
  <c r="K25" i="4"/>
  <c r="P25" i="4"/>
  <c r="P64" i="4"/>
  <c r="T62" i="4"/>
  <c r="S62" i="4"/>
  <c r="R62" i="4"/>
  <c r="Q62" i="4"/>
  <c r="P62" i="4"/>
  <c r="T61" i="4"/>
  <c r="S61" i="4"/>
  <c r="R61" i="4"/>
  <c r="Q61" i="4"/>
  <c r="P61" i="4"/>
  <c r="T60" i="4"/>
  <c r="S60" i="4"/>
  <c r="R60" i="4"/>
  <c r="Q60" i="4"/>
  <c r="P60" i="4"/>
  <c r="T59" i="4"/>
  <c r="S59" i="4"/>
  <c r="R59" i="4"/>
  <c r="Q59" i="4"/>
  <c r="P59" i="4"/>
  <c r="T58" i="4"/>
  <c r="S58" i="4"/>
  <c r="R58" i="4"/>
  <c r="Q58" i="4"/>
  <c r="P58" i="4"/>
  <c r="T57" i="4"/>
  <c r="S57" i="4"/>
  <c r="R57" i="4"/>
  <c r="Q57" i="4"/>
  <c r="P57" i="4"/>
  <c r="T56" i="4"/>
  <c r="S56" i="4"/>
  <c r="R56" i="4"/>
  <c r="Q56" i="4"/>
  <c r="P56" i="4"/>
  <c r="T55" i="4"/>
  <c r="S55" i="4"/>
  <c r="R55" i="4"/>
  <c r="Q55" i="4"/>
  <c r="P55" i="4"/>
  <c r="T54" i="4"/>
  <c r="S54" i="4"/>
  <c r="R54" i="4"/>
  <c r="Q54" i="4"/>
  <c r="P54" i="4"/>
  <c r="T53" i="4"/>
  <c r="S53" i="4"/>
  <c r="R53" i="4"/>
  <c r="Q53" i="4"/>
  <c r="P53" i="4"/>
  <c r="T52" i="4"/>
  <c r="S52" i="4"/>
  <c r="R52" i="4"/>
  <c r="Q52" i="4"/>
  <c r="P52" i="4"/>
  <c r="T51" i="4"/>
  <c r="S51" i="4"/>
  <c r="R51" i="4"/>
  <c r="Q51" i="4"/>
  <c r="P51" i="4"/>
  <c r="T50" i="4"/>
  <c r="S50" i="4"/>
  <c r="R50" i="4"/>
  <c r="Q50" i="4"/>
  <c r="P50" i="4"/>
  <c r="T23" i="4"/>
  <c r="T49" i="4"/>
  <c r="N23" i="4"/>
  <c r="S23" i="4"/>
  <c r="S49" i="4"/>
  <c r="M23" i="4"/>
  <c r="R23" i="4"/>
  <c r="R49" i="4"/>
  <c r="L23" i="4"/>
  <c r="Q23" i="4"/>
  <c r="Q49" i="4"/>
  <c r="K23" i="4"/>
  <c r="P23" i="4"/>
  <c r="P49" i="4"/>
  <c r="T6" i="4"/>
  <c r="T47" i="4"/>
  <c r="N6" i="4"/>
  <c r="S6" i="4"/>
  <c r="S47" i="4"/>
  <c r="M6" i="4"/>
  <c r="R6" i="4"/>
  <c r="R47" i="4"/>
  <c r="L6" i="4"/>
  <c r="Q6" i="4"/>
  <c r="Q47" i="4"/>
  <c r="K6" i="4"/>
  <c r="P6" i="4"/>
  <c r="P47" i="4"/>
  <c r="T10" i="4"/>
  <c r="T46" i="4"/>
  <c r="N10" i="4"/>
  <c r="S10" i="4"/>
  <c r="S46" i="4"/>
  <c r="M10" i="4"/>
  <c r="R10" i="4"/>
  <c r="R46" i="4"/>
  <c r="L10" i="4"/>
  <c r="Q10" i="4"/>
  <c r="Q46" i="4"/>
  <c r="K10" i="4"/>
  <c r="P10" i="4"/>
  <c r="P46" i="4"/>
  <c r="T15" i="4"/>
  <c r="T44" i="4"/>
  <c r="N15" i="4"/>
  <c r="S15" i="4"/>
  <c r="S44" i="4"/>
  <c r="M15" i="4"/>
  <c r="R15" i="4"/>
  <c r="R44" i="4"/>
  <c r="L15" i="4"/>
  <c r="Q15" i="4"/>
  <c r="Q44" i="4"/>
  <c r="K15" i="4"/>
  <c r="P15" i="4"/>
  <c r="P44" i="4"/>
  <c r="T28" i="4"/>
  <c r="T43" i="4"/>
  <c r="N28" i="4"/>
  <c r="S28" i="4"/>
  <c r="S43" i="4"/>
  <c r="M28" i="4"/>
  <c r="R28" i="4"/>
  <c r="R43" i="4"/>
  <c r="L28" i="4"/>
  <c r="Q28" i="4"/>
  <c r="Q43" i="4"/>
  <c r="K28" i="4"/>
  <c r="P28" i="4"/>
  <c r="P43" i="4"/>
  <c r="T19" i="4"/>
  <c r="T42" i="4"/>
  <c r="N19" i="4"/>
  <c r="S19" i="4"/>
  <c r="S42" i="4"/>
  <c r="M19" i="4"/>
  <c r="R19" i="4"/>
  <c r="R42" i="4"/>
  <c r="L19" i="4"/>
  <c r="Q19" i="4"/>
  <c r="Q42" i="4"/>
  <c r="K19" i="4"/>
  <c r="P19" i="4"/>
  <c r="P42" i="4"/>
  <c r="T8" i="4"/>
  <c r="T41" i="4"/>
  <c r="N8" i="4"/>
  <c r="S8" i="4"/>
  <c r="S41" i="4"/>
  <c r="M8" i="4"/>
  <c r="R8" i="4"/>
  <c r="R41" i="4"/>
  <c r="L8" i="4"/>
  <c r="Q8" i="4"/>
  <c r="Q41" i="4"/>
  <c r="K8" i="4"/>
  <c r="P8" i="4"/>
  <c r="P41" i="4"/>
  <c r="T4" i="4"/>
  <c r="T40" i="4"/>
  <c r="N4" i="4"/>
  <c r="S4" i="4"/>
  <c r="S40" i="4"/>
  <c r="M4" i="4"/>
  <c r="R4" i="4"/>
  <c r="R40" i="4"/>
  <c r="L4" i="4"/>
  <c r="Q4" i="4"/>
  <c r="Q40" i="4"/>
  <c r="K4" i="4"/>
  <c r="P4" i="4"/>
  <c r="P40" i="4"/>
  <c r="T11" i="4"/>
  <c r="T39" i="4"/>
  <c r="N11" i="4"/>
  <c r="S11" i="4"/>
  <c r="S39" i="4"/>
  <c r="M11" i="4"/>
  <c r="R11" i="4"/>
  <c r="R39" i="4"/>
  <c r="L11" i="4"/>
  <c r="Q11" i="4"/>
  <c r="Q39" i="4"/>
  <c r="K11" i="4"/>
  <c r="P11" i="4"/>
  <c r="P39" i="4"/>
  <c r="T2" i="4"/>
  <c r="T38" i="4"/>
  <c r="N2" i="4"/>
  <c r="S2" i="4"/>
  <c r="S38" i="4"/>
  <c r="M2" i="4"/>
  <c r="R2" i="4"/>
  <c r="R38" i="4"/>
  <c r="L2" i="4"/>
  <c r="Q2" i="4"/>
  <c r="Q38" i="4"/>
  <c r="K2" i="4"/>
  <c r="P2" i="4"/>
  <c r="P38" i="4"/>
  <c r="T22" i="4"/>
  <c r="T37" i="4"/>
  <c r="N22" i="4"/>
  <c r="S22" i="4"/>
  <c r="S37" i="4"/>
  <c r="M22" i="4"/>
  <c r="R22" i="4"/>
  <c r="R37" i="4"/>
  <c r="L22" i="4"/>
  <c r="Q22" i="4"/>
  <c r="Q37" i="4"/>
  <c r="K22" i="4"/>
  <c r="P22" i="4"/>
  <c r="P37" i="4"/>
  <c r="T26" i="4"/>
  <c r="T36" i="4"/>
  <c r="N26" i="4"/>
  <c r="S26" i="4"/>
  <c r="S36" i="4"/>
  <c r="M26" i="4"/>
  <c r="R26" i="4"/>
  <c r="R36" i="4"/>
  <c r="L26" i="4"/>
  <c r="Q26" i="4"/>
  <c r="Q36" i="4"/>
  <c r="K26" i="4"/>
  <c r="P26" i="4"/>
  <c r="P36" i="4"/>
  <c r="T30" i="4"/>
  <c r="T35" i="4"/>
  <c r="N30" i="4"/>
  <c r="S30" i="4"/>
  <c r="S35" i="4"/>
  <c r="M30" i="4"/>
  <c r="R30" i="4"/>
  <c r="R35" i="4"/>
  <c r="L30" i="4"/>
  <c r="Q30" i="4"/>
  <c r="Q35" i="4"/>
  <c r="K30" i="4"/>
  <c r="P30" i="4"/>
  <c r="P35" i="4"/>
  <c r="T14" i="4"/>
  <c r="T34" i="4"/>
  <c r="N14" i="4"/>
  <c r="S14" i="4"/>
  <c r="S34" i="4"/>
  <c r="M14" i="4"/>
  <c r="R14" i="4"/>
  <c r="R34" i="4"/>
  <c r="L14" i="4"/>
  <c r="Q14" i="4"/>
  <c r="Q34" i="4"/>
  <c r="K14" i="4"/>
  <c r="P14" i="4"/>
  <c r="P34" i="4"/>
  <c r="T13" i="4"/>
  <c r="T33" i="4"/>
  <c r="N13" i="4"/>
  <c r="S13" i="4"/>
  <c r="S33" i="4"/>
  <c r="M13" i="4"/>
  <c r="R13" i="4"/>
  <c r="R33" i="4"/>
  <c r="L13" i="4"/>
  <c r="Q13" i="4"/>
  <c r="Q33" i="4"/>
  <c r="K13" i="4"/>
  <c r="P13" i="4"/>
  <c r="P33" i="4"/>
  <c r="T3" i="4"/>
  <c r="T32" i="4"/>
  <c r="N3" i="4"/>
  <c r="S3" i="4"/>
  <c r="S32" i="4"/>
  <c r="M3" i="4"/>
  <c r="R3" i="4"/>
  <c r="R32" i="4"/>
  <c r="L3" i="4"/>
  <c r="Q3" i="4"/>
  <c r="Q32" i="4"/>
  <c r="K3" i="4"/>
  <c r="P3" i="4"/>
  <c r="P32" i="4"/>
  <c r="D25" i="4"/>
  <c r="E25" i="4"/>
  <c r="F25" i="4"/>
  <c r="G25" i="4"/>
  <c r="I25" i="4"/>
  <c r="I64" i="4"/>
  <c r="D21" i="4"/>
  <c r="E21" i="4"/>
  <c r="F21" i="4"/>
  <c r="G21" i="4"/>
  <c r="I21" i="4"/>
  <c r="I65" i="4"/>
  <c r="D17" i="4"/>
  <c r="E17" i="4"/>
  <c r="F17" i="4"/>
  <c r="G17" i="4"/>
  <c r="I17" i="4"/>
  <c r="I66" i="4"/>
  <c r="D5" i="4"/>
  <c r="E5" i="4"/>
  <c r="F5" i="4"/>
  <c r="G5" i="4"/>
  <c r="I5" i="4"/>
  <c r="I67" i="4"/>
  <c r="D9" i="4"/>
  <c r="E9" i="4"/>
  <c r="F9" i="4"/>
  <c r="G9" i="4"/>
  <c r="I9" i="4"/>
  <c r="I68" i="4"/>
  <c r="D24" i="4"/>
  <c r="E24" i="4"/>
  <c r="F24" i="4"/>
  <c r="G24" i="4"/>
  <c r="I24" i="4"/>
  <c r="I69" i="4"/>
  <c r="D20" i="4"/>
  <c r="E20" i="4"/>
  <c r="F20" i="4"/>
  <c r="G20" i="4"/>
  <c r="I20" i="4"/>
  <c r="I70" i="4"/>
  <c r="D29" i="4"/>
  <c r="E29" i="4"/>
  <c r="F29" i="4"/>
  <c r="G29" i="4"/>
  <c r="I29" i="4"/>
  <c r="I71" i="4"/>
  <c r="D16" i="4"/>
  <c r="E16" i="4"/>
  <c r="F16" i="4"/>
  <c r="G16" i="4"/>
  <c r="I16" i="4"/>
  <c r="I72" i="4"/>
  <c r="D7" i="4"/>
  <c r="E7" i="4"/>
  <c r="F7" i="4"/>
  <c r="G7" i="4"/>
  <c r="I7" i="4"/>
  <c r="I73" i="4"/>
  <c r="D12" i="4"/>
  <c r="E12" i="4"/>
  <c r="F12" i="4"/>
  <c r="G12" i="4"/>
  <c r="I12" i="4"/>
  <c r="I74" i="4"/>
  <c r="D18" i="4"/>
  <c r="E18" i="4"/>
  <c r="F18" i="4"/>
  <c r="G18" i="4"/>
  <c r="I18" i="4"/>
  <c r="I75" i="4"/>
  <c r="D27" i="4"/>
  <c r="E27" i="4"/>
  <c r="F27" i="4"/>
  <c r="G27" i="4"/>
  <c r="I27" i="4"/>
  <c r="I76" i="4"/>
  <c r="I63" i="4"/>
  <c r="J63" i="4"/>
  <c r="J25" i="4"/>
  <c r="J64" i="4"/>
  <c r="D23" i="4"/>
  <c r="E23" i="4"/>
  <c r="F23" i="4"/>
  <c r="G23" i="4"/>
  <c r="I23" i="4"/>
  <c r="I49" i="4"/>
  <c r="I50" i="4"/>
  <c r="I51" i="4"/>
  <c r="I52" i="4"/>
  <c r="I53" i="4"/>
  <c r="I54" i="4"/>
  <c r="I55" i="4"/>
  <c r="I56" i="4"/>
  <c r="I57" i="4"/>
  <c r="I58" i="4"/>
  <c r="I59" i="4"/>
  <c r="I60" i="4"/>
  <c r="I61" i="4"/>
  <c r="I62" i="4"/>
  <c r="I48" i="4"/>
  <c r="J48" i="4"/>
  <c r="J23" i="4"/>
  <c r="D10" i="4"/>
  <c r="E10" i="4"/>
  <c r="F10" i="4"/>
  <c r="G10" i="4"/>
  <c r="I10" i="4"/>
  <c r="I46" i="4"/>
  <c r="D6" i="4"/>
  <c r="E6" i="4"/>
  <c r="F6" i="4"/>
  <c r="G6" i="4"/>
  <c r="I6" i="4"/>
  <c r="I47" i="4"/>
  <c r="I45" i="4"/>
  <c r="J45" i="4"/>
  <c r="J10" i="4"/>
  <c r="J3" i="4"/>
  <c r="J32" i="4"/>
  <c r="J13" i="4"/>
  <c r="J33" i="4"/>
  <c r="J14" i="4"/>
  <c r="J34" i="4"/>
  <c r="J30" i="4"/>
  <c r="J35" i="4"/>
  <c r="J26" i="4"/>
  <c r="J36" i="4"/>
  <c r="J22" i="4"/>
  <c r="J37" i="4"/>
  <c r="J2" i="4"/>
  <c r="J38" i="4"/>
  <c r="J11" i="4"/>
  <c r="J39" i="4"/>
  <c r="J4" i="4"/>
  <c r="J40" i="4"/>
  <c r="J8" i="4"/>
  <c r="J41" i="4"/>
  <c r="J19" i="4"/>
  <c r="J42" i="4"/>
  <c r="J28" i="4"/>
  <c r="J43" i="4"/>
  <c r="J15" i="4"/>
  <c r="J44" i="4"/>
  <c r="J46" i="4"/>
  <c r="J6" i="4"/>
  <c r="J47" i="4"/>
  <c r="J49" i="4"/>
  <c r="J21" i="4"/>
  <c r="J51" i="4"/>
  <c r="J17" i="4"/>
  <c r="J52" i="4"/>
  <c r="J5" i="4"/>
  <c r="J53" i="4"/>
  <c r="J9" i="4"/>
  <c r="J54" i="4"/>
  <c r="J24" i="4"/>
  <c r="J55" i="4"/>
  <c r="J20" i="4"/>
  <c r="J56" i="4"/>
  <c r="J29" i="4"/>
  <c r="J57" i="4"/>
  <c r="J16" i="4"/>
  <c r="J58" i="4"/>
  <c r="J7" i="4"/>
  <c r="J59" i="4"/>
  <c r="J12" i="4"/>
  <c r="J60" i="4"/>
  <c r="J18" i="4"/>
  <c r="J61" i="4"/>
  <c r="J27" i="4"/>
  <c r="J62" i="4"/>
  <c r="J65" i="4"/>
  <c r="J66" i="4"/>
  <c r="J67" i="4"/>
  <c r="J68" i="4"/>
  <c r="J69" i="4"/>
  <c r="J70" i="4"/>
  <c r="J71" i="4"/>
  <c r="J72" i="4"/>
  <c r="J73" i="4"/>
  <c r="J74" i="4"/>
  <c r="J75" i="4"/>
  <c r="J76" i="4"/>
  <c r="CB76" i="29"/>
  <c r="CA76" i="29"/>
  <c r="BZ76" i="29"/>
  <c r="BY76" i="29"/>
  <c r="BX76" i="29"/>
  <c r="BW76" i="29"/>
  <c r="BV76" i="29"/>
  <c r="BU76" i="29"/>
  <c r="BC76" i="29"/>
  <c r="BT76" i="29"/>
  <c r="BS76" i="29"/>
  <c r="BR76" i="29"/>
  <c r="BQ76" i="29"/>
  <c r="BP76" i="29"/>
  <c r="BO76" i="29"/>
  <c r="BN76" i="29"/>
  <c r="BM76" i="29"/>
  <c r="BL76" i="29"/>
  <c r="BK76" i="29"/>
  <c r="BJ76" i="29"/>
  <c r="BI76" i="29"/>
  <c r="BH76" i="29"/>
  <c r="BG76" i="29"/>
  <c r="BF76" i="29"/>
  <c r="BE76" i="29"/>
  <c r="BD76"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CB71" i="29"/>
  <c r="CA71" i="29"/>
  <c r="BZ71" i="29"/>
  <c r="BZ63" i="29"/>
  <c r="BY71" i="29"/>
  <c r="BX71" i="29"/>
  <c r="BW71" i="29"/>
  <c r="BV71" i="29"/>
  <c r="BU71" i="29"/>
  <c r="BT71" i="29"/>
  <c r="BS71" i="29"/>
  <c r="BR71" i="29"/>
  <c r="BR63" i="29"/>
  <c r="BQ71" i="29"/>
  <c r="BP71" i="29"/>
  <c r="BO71" i="29"/>
  <c r="BN71" i="29"/>
  <c r="BM71" i="29"/>
  <c r="BL71" i="29"/>
  <c r="BK71" i="29"/>
  <c r="BJ71" i="29"/>
  <c r="BJ63" i="29"/>
  <c r="BI71" i="29"/>
  <c r="BH71" i="29"/>
  <c r="BG71" i="29"/>
  <c r="BF71" i="29"/>
  <c r="BE71" i="29"/>
  <c r="BD71" i="29"/>
  <c r="CB70" i="29"/>
  <c r="CA70" i="29"/>
  <c r="BC70" i="29"/>
  <c r="BZ70" i="29"/>
  <c r="BY70" i="29"/>
  <c r="BX70" i="29"/>
  <c r="BW70" i="29"/>
  <c r="BV70" i="29"/>
  <c r="BU70" i="29"/>
  <c r="BT70" i="29"/>
  <c r="BS70" i="29"/>
  <c r="BS63" i="29"/>
  <c r="BR70" i="29"/>
  <c r="BQ70" i="29"/>
  <c r="BP70" i="29"/>
  <c r="BO70" i="29"/>
  <c r="BN70" i="29"/>
  <c r="BM70" i="29"/>
  <c r="BL70" i="29"/>
  <c r="BK70" i="29"/>
  <c r="BK63" i="29"/>
  <c r="BJ70" i="29"/>
  <c r="BI70" i="29"/>
  <c r="BH70" i="29"/>
  <c r="BG70" i="29"/>
  <c r="BF70" i="29"/>
  <c r="BE70" i="29"/>
  <c r="BD70" i="29"/>
  <c r="CB69" i="29"/>
  <c r="CB63" i="29"/>
  <c r="CA69" i="29"/>
  <c r="BZ69" i="29"/>
  <c r="BY69" i="29"/>
  <c r="BX69" i="29"/>
  <c r="BW69" i="29"/>
  <c r="BV69" i="29"/>
  <c r="BU69" i="29"/>
  <c r="BT69" i="29"/>
  <c r="BT63" i="29"/>
  <c r="BS69" i="29"/>
  <c r="BR69" i="29"/>
  <c r="BQ69" i="29"/>
  <c r="BP69" i="29"/>
  <c r="BO69" i="29"/>
  <c r="BN69" i="29"/>
  <c r="BM69" i="29"/>
  <c r="BL69" i="29"/>
  <c r="BL63" i="29"/>
  <c r="BK69" i="29"/>
  <c r="BJ69" i="29"/>
  <c r="BI69" i="29"/>
  <c r="BH69" i="29"/>
  <c r="BG69" i="29"/>
  <c r="BF69" i="29"/>
  <c r="BE69" i="29"/>
  <c r="BD69" i="29"/>
  <c r="BD63" i="29"/>
  <c r="CB68" i="29"/>
  <c r="CA68" i="29"/>
  <c r="BZ68" i="29"/>
  <c r="BY68" i="29"/>
  <c r="BX68" i="29"/>
  <c r="BW68" i="29"/>
  <c r="BV68" i="29"/>
  <c r="BU68" i="29"/>
  <c r="BU63" i="29"/>
  <c r="BT68" i="29"/>
  <c r="BS68" i="29"/>
  <c r="BR68" i="29"/>
  <c r="BQ68" i="29"/>
  <c r="BP68" i="29"/>
  <c r="BO68" i="29"/>
  <c r="BN68" i="29"/>
  <c r="BM68" i="29"/>
  <c r="BM63" i="29"/>
  <c r="BL68" i="29"/>
  <c r="BK68" i="29"/>
  <c r="BJ68" i="29"/>
  <c r="BI68" i="29"/>
  <c r="BH68" i="29"/>
  <c r="BG68" i="29"/>
  <c r="BF68" i="29"/>
  <c r="BE68" i="29"/>
  <c r="BE63" i="29"/>
  <c r="BD68" i="29"/>
  <c r="CB67" i="29"/>
  <c r="CA67" i="29"/>
  <c r="BZ67" i="29"/>
  <c r="BY67" i="29"/>
  <c r="BX67" i="29"/>
  <c r="BW67" i="29"/>
  <c r="BV67" i="29"/>
  <c r="BV63" i="29"/>
  <c r="BU67" i="29"/>
  <c r="BT67" i="29"/>
  <c r="BS67" i="29"/>
  <c r="BR67" i="29"/>
  <c r="BQ67" i="29"/>
  <c r="BP67" i="29"/>
  <c r="BO67" i="29"/>
  <c r="BN67" i="29"/>
  <c r="BN63" i="29"/>
  <c r="BM67" i="29"/>
  <c r="BL67" i="29"/>
  <c r="BK67" i="29"/>
  <c r="BJ67" i="29"/>
  <c r="BI67" i="29"/>
  <c r="BH67" i="29"/>
  <c r="BG67" i="29"/>
  <c r="BF67" i="29"/>
  <c r="BF63" i="29"/>
  <c r="BE67" i="29"/>
  <c r="BD67" i="29"/>
  <c r="CB66" i="29"/>
  <c r="CA66" i="29"/>
  <c r="BZ66" i="29"/>
  <c r="BY66" i="29"/>
  <c r="BX66" i="29"/>
  <c r="BW66" i="29"/>
  <c r="BW63" i="29"/>
  <c r="BV66" i="29"/>
  <c r="BU66" i="29"/>
  <c r="BT66" i="29"/>
  <c r="BS66" i="29"/>
  <c r="BR66" i="29"/>
  <c r="BQ66" i="29"/>
  <c r="BP66" i="29"/>
  <c r="BO66" i="29"/>
  <c r="BO63" i="29"/>
  <c r="BN66" i="29"/>
  <c r="BM66" i="29"/>
  <c r="BL66" i="29"/>
  <c r="BK66" i="29"/>
  <c r="BJ66" i="29"/>
  <c r="BI66" i="29"/>
  <c r="BH66" i="29"/>
  <c r="BG66" i="29"/>
  <c r="BF66" i="29"/>
  <c r="BE66" i="29"/>
  <c r="BD66" i="29"/>
  <c r="CB65" i="29"/>
  <c r="CA65" i="29"/>
  <c r="BZ65" i="29"/>
  <c r="BY65" i="29"/>
  <c r="BX65" i="29"/>
  <c r="BX63" i="29"/>
  <c r="BW65" i="29"/>
  <c r="BV65" i="29"/>
  <c r="BU65" i="29"/>
  <c r="BT65" i="29"/>
  <c r="BS65" i="29"/>
  <c r="BR65" i="29"/>
  <c r="BQ65" i="29"/>
  <c r="BP65" i="29"/>
  <c r="BO65" i="29"/>
  <c r="BN65" i="29"/>
  <c r="BM65" i="29"/>
  <c r="BL65" i="29"/>
  <c r="BK65" i="29"/>
  <c r="BJ65" i="29"/>
  <c r="BI65" i="29"/>
  <c r="BH65" i="29"/>
  <c r="BH63" i="29"/>
  <c r="BG65" i="29"/>
  <c r="BF65" i="29"/>
  <c r="BE65" i="29"/>
  <c r="BD65" i="29"/>
  <c r="CB64" i="29"/>
  <c r="CA64" i="29"/>
  <c r="BZ64" i="29"/>
  <c r="BY64" i="29"/>
  <c r="BX64" i="29"/>
  <c r="BW64" i="29"/>
  <c r="BV64" i="29"/>
  <c r="BU64" i="29"/>
  <c r="BT64" i="29"/>
  <c r="BS64" i="29"/>
  <c r="BR64" i="29"/>
  <c r="BQ64" i="29"/>
  <c r="BQ63" i="29"/>
  <c r="BP64" i="29"/>
  <c r="BO64" i="29"/>
  <c r="BN64" i="29"/>
  <c r="BM64" i="29"/>
  <c r="BL64" i="29"/>
  <c r="BK64" i="29"/>
  <c r="BJ64" i="29"/>
  <c r="BI64" i="29"/>
  <c r="BI63" i="29"/>
  <c r="BH64" i="29"/>
  <c r="BG64" i="29"/>
  <c r="BF64" i="29"/>
  <c r="BE64" i="29"/>
  <c r="BD64"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CB61" i="29"/>
  <c r="CA61" i="29"/>
  <c r="BC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CB59" i="29"/>
  <c r="CA59" i="29"/>
  <c r="BZ59" i="29"/>
  <c r="BY59" i="29"/>
  <c r="BX59" i="29"/>
  <c r="BW59" i="29"/>
  <c r="BV59" i="29"/>
  <c r="BU59" i="29"/>
  <c r="BC59" i="29"/>
  <c r="BT59" i="29"/>
  <c r="BS59" i="29"/>
  <c r="BR59" i="29"/>
  <c r="BQ59" i="29"/>
  <c r="BP59" i="29"/>
  <c r="BO59" i="29"/>
  <c r="BN59" i="29"/>
  <c r="BM59" i="29"/>
  <c r="BL59" i="29"/>
  <c r="BK59" i="29"/>
  <c r="BJ59" i="29"/>
  <c r="BI59" i="29"/>
  <c r="BH59" i="29"/>
  <c r="BG59" i="29"/>
  <c r="BF59" i="29"/>
  <c r="BE59" i="29"/>
  <c r="BD59"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CB56" i="29"/>
  <c r="CA56" i="29"/>
  <c r="BZ56" i="29"/>
  <c r="BY56" i="29"/>
  <c r="BX56" i="29"/>
  <c r="BX48" i="29"/>
  <c r="BW56" i="29"/>
  <c r="BV56" i="29"/>
  <c r="BU56" i="29"/>
  <c r="BT56" i="29"/>
  <c r="BS56" i="29"/>
  <c r="BR56" i="29"/>
  <c r="BQ56" i="29"/>
  <c r="BP56" i="29"/>
  <c r="BP48" i="29"/>
  <c r="BO56" i="29"/>
  <c r="BN56" i="29"/>
  <c r="BM56" i="29"/>
  <c r="BL56" i="29"/>
  <c r="BK56" i="29"/>
  <c r="BJ56" i="29"/>
  <c r="BI56" i="29"/>
  <c r="BH56" i="29"/>
  <c r="BH48" i="29"/>
  <c r="BG56" i="29"/>
  <c r="BF56" i="29"/>
  <c r="BE56" i="29"/>
  <c r="BD56" i="29"/>
  <c r="CB55" i="29"/>
  <c r="CA55" i="29"/>
  <c r="BZ55" i="29"/>
  <c r="BY55" i="29"/>
  <c r="BY48" i="29"/>
  <c r="BX55" i="29"/>
  <c r="BW55" i="29"/>
  <c r="BV55" i="29"/>
  <c r="BU55" i="29"/>
  <c r="BT55" i="29"/>
  <c r="BS55" i="29"/>
  <c r="BR55" i="29"/>
  <c r="BQ55" i="29"/>
  <c r="BQ48" i="29"/>
  <c r="BP55" i="29"/>
  <c r="BO55" i="29"/>
  <c r="BN55" i="29"/>
  <c r="BM55" i="29"/>
  <c r="BL55" i="29"/>
  <c r="BK55" i="29"/>
  <c r="BJ55" i="29"/>
  <c r="BI55" i="29"/>
  <c r="BI48" i="29"/>
  <c r="BH55" i="29"/>
  <c r="BG55" i="29"/>
  <c r="BF55" i="29"/>
  <c r="BE55" i="29"/>
  <c r="BD55" i="29"/>
  <c r="CB54" i="29"/>
  <c r="CA54" i="29"/>
  <c r="BZ54" i="29"/>
  <c r="BZ48" i="29"/>
  <c r="BY54" i="29"/>
  <c r="BX54" i="29"/>
  <c r="BW54" i="29"/>
  <c r="BV54" i="29"/>
  <c r="BU54" i="29"/>
  <c r="BT54" i="29"/>
  <c r="BS54" i="29"/>
  <c r="BR54" i="29"/>
  <c r="BR48" i="29"/>
  <c r="BQ54" i="29"/>
  <c r="BP54" i="29"/>
  <c r="BO54" i="29"/>
  <c r="BN54" i="29"/>
  <c r="BM54" i="29"/>
  <c r="BL54" i="29"/>
  <c r="BK54" i="29"/>
  <c r="BJ54" i="29"/>
  <c r="BJ48" i="29"/>
  <c r="BI54" i="29"/>
  <c r="BH54" i="29"/>
  <c r="BG54" i="29"/>
  <c r="BF54" i="29"/>
  <c r="BE54" i="29"/>
  <c r="BD54" i="29"/>
  <c r="CB53" i="29"/>
  <c r="CA53" i="29"/>
  <c r="CA48" i="29"/>
  <c r="BZ53" i="29"/>
  <c r="BY53" i="29"/>
  <c r="BX53" i="29"/>
  <c r="BW53" i="29"/>
  <c r="BV53" i="29"/>
  <c r="BU53" i="29"/>
  <c r="BT53" i="29"/>
  <c r="BS53" i="29"/>
  <c r="BS48" i="29"/>
  <c r="BR53" i="29"/>
  <c r="BQ53" i="29"/>
  <c r="BP53" i="29"/>
  <c r="BO53" i="29"/>
  <c r="BN53" i="29"/>
  <c r="BM53" i="29"/>
  <c r="BL53" i="29"/>
  <c r="BK53" i="29"/>
  <c r="BK48" i="29"/>
  <c r="BJ53" i="29"/>
  <c r="BI53" i="29"/>
  <c r="BH53" i="29"/>
  <c r="BG53" i="29"/>
  <c r="BF53" i="29"/>
  <c r="BE53" i="29"/>
  <c r="BD53" i="29"/>
  <c r="CB52" i="29"/>
  <c r="CB48" i="29"/>
  <c r="CA52" i="29"/>
  <c r="BZ52" i="29"/>
  <c r="BY52" i="29"/>
  <c r="BX52" i="29"/>
  <c r="BW52" i="29"/>
  <c r="BV52" i="29"/>
  <c r="BU52" i="29"/>
  <c r="BT52" i="29"/>
  <c r="BT48" i="29"/>
  <c r="BS52" i="29"/>
  <c r="BR52" i="29"/>
  <c r="BQ52" i="29"/>
  <c r="BP52" i="29"/>
  <c r="BO52" i="29"/>
  <c r="BN52" i="29"/>
  <c r="BM52" i="29"/>
  <c r="BL52" i="29"/>
  <c r="BL48" i="29"/>
  <c r="BK52" i="29"/>
  <c r="BJ52" i="29"/>
  <c r="BI52" i="29"/>
  <c r="BH52" i="29"/>
  <c r="BG52" i="29"/>
  <c r="BF52" i="29"/>
  <c r="BE52" i="29"/>
  <c r="BD52" i="29"/>
  <c r="BD48" i="29"/>
  <c r="CB51" i="29"/>
  <c r="CA51" i="29"/>
  <c r="BZ51" i="29"/>
  <c r="BY51" i="29"/>
  <c r="BX51" i="29"/>
  <c r="BW51" i="29"/>
  <c r="BV51" i="29"/>
  <c r="BU51" i="29"/>
  <c r="BU48" i="29"/>
  <c r="BT51" i="29"/>
  <c r="BS51" i="29"/>
  <c r="BR51" i="29"/>
  <c r="BQ51" i="29"/>
  <c r="BP51" i="29"/>
  <c r="BO51" i="29"/>
  <c r="BN51" i="29"/>
  <c r="BM51" i="29"/>
  <c r="BM48" i="29"/>
  <c r="BL51" i="29"/>
  <c r="BK51" i="29"/>
  <c r="BJ51" i="29"/>
  <c r="BI51" i="29"/>
  <c r="BH51" i="29"/>
  <c r="BG51" i="29"/>
  <c r="BF51" i="29"/>
  <c r="BE51" i="29"/>
  <c r="BE48" i="29"/>
  <c r="BD51"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CB49" i="29"/>
  <c r="CA49" i="29"/>
  <c r="BZ49" i="29"/>
  <c r="BY49" i="29"/>
  <c r="BX49" i="29"/>
  <c r="BW49" i="29"/>
  <c r="BW48" i="29"/>
  <c r="BV49" i="29"/>
  <c r="BU49" i="29"/>
  <c r="BT49" i="29"/>
  <c r="BS49" i="29"/>
  <c r="BR49" i="29"/>
  <c r="BQ49" i="29"/>
  <c r="BP49" i="29"/>
  <c r="BO49" i="29"/>
  <c r="BO48" i="29"/>
  <c r="BN49" i="29"/>
  <c r="BM49" i="29"/>
  <c r="BL49" i="29"/>
  <c r="BK49" i="29"/>
  <c r="BJ49" i="29"/>
  <c r="BI49" i="29"/>
  <c r="BH49" i="29"/>
  <c r="BG49" i="29"/>
  <c r="BG48" i="29"/>
  <c r="BF49" i="29"/>
  <c r="BE49" i="29"/>
  <c r="BD49" i="29"/>
  <c r="CB47" i="29"/>
  <c r="CA47" i="29"/>
  <c r="BZ47" i="29"/>
  <c r="BY47" i="29"/>
  <c r="BX47" i="29"/>
  <c r="BX45" i="29"/>
  <c r="BW47" i="29"/>
  <c r="BV47" i="29"/>
  <c r="BU47" i="29"/>
  <c r="BT47" i="29"/>
  <c r="BS47" i="29"/>
  <c r="BR47" i="29"/>
  <c r="BQ47" i="29"/>
  <c r="BP47" i="29"/>
  <c r="BP45" i="29"/>
  <c r="BO47" i="29"/>
  <c r="BN47" i="29"/>
  <c r="BM47" i="29"/>
  <c r="BL47" i="29"/>
  <c r="BK47" i="29"/>
  <c r="BJ47" i="29"/>
  <c r="BI47" i="29"/>
  <c r="BH47" i="29"/>
  <c r="BH45" i="29"/>
  <c r="BG47" i="29"/>
  <c r="BF47" i="29"/>
  <c r="BE47" i="29"/>
  <c r="BD47" i="29"/>
  <c r="CB46" i="29"/>
  <c r="CA46" i="29"/>
  <c r="BZ46" i="29"/>
  <c r="BY46" i="29"/>
  <c r="BY45" i="29"/>
  <c r="BX46" i="29"/>
  <c r="BW46" i="29"/>
  <c r="BV46" i="29"/>
  <c r="BU46" i="29"/>
  <c r="BT46" i="29"/>
  <c r="BS46" i="29"/>
  <c r="BR46" i="29"/>
  <c r="BQ46" i="29"/>
  <c r="BQ45" i="29"/>
  <c r="BP46" i="29"/>
  <c r="BO46" i="29"/>
  <c r="BN46" i="29"/>
  <c r="BM46" i="29"/>
  <c r="BL46" i="29"/>
  <c r="BK46" i="29"/>
  <c r="BJ46" i="29"/>
  <c r="BI46" i="29"/>
  <c r="BI45" i="29"/>
  <c r="BH46" i="29"/>
  <c r="BG46" i="29"/>
  <c r="BF46" i="29"/>
  <c r="BE46" i="29"/>
  <c r="BD46"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CB43" i="29"/>
  <c r="CA43" i="29"/>
  <c r="BC43" i="29"/>
  <c r="BZ43" i="29"/>
  <c r="BY43" i="29"/>
  <c r="BX43" i="29"/>
  <c r="BW43" i="29"/>
  <c r="BV43" i="29"/>
  <c r="BU43" i="29"/>
  <c r="BT43" i="29"/>
  <c r="BS43" i="29"/>
  <c r="BR43" i="29"/>
  <c r="BQ43" i="29"/>
  <c r="BP43" i="29"/>
  <c r="BO43" i="29"/>
  <c r="BN43" i="29"/>
  <c r="BM43" i="29"/>
  <c r="BL43" i="29"/>
  <c r="BK43" i="29"/>
  <c r="BJ43" i="29"/>
  <c r="BI43" i="29"/>
  <c r="BH43" i="29"/>
  <c r="BG43" i="29"/>
  <c r="BF43" i="29"/>
  <c r="BE43" i="29"/>
  <c r="BD43"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CB41" i="29"/>
  <c r="CA41" i="29"/>
  <c r="BZ41" i="29"/>
  <c r="BY41" i="29"/>
  <c r="BX41" i="29"/>
  <c r="BW41" i="29"/>
  <c r="BV41" i="29"/>
  <c r="BU41" i="29"/>
  <c r="BC41" i="29"/>
  <c r="BT41" i="29"/>
  <c r="BS41" i="29"/>
  <c r="BR41" i="29"/>
  <c r="BQ41" i="29"/>
  <c r="BP41" i="29"/>
  <c r="BO41" i="29"/>
  <c r="BN41" i="29"/>
  <c r="BM41" i="29"/>
  <c r="BL41" i="29"/>
  <c r="BK41" i="29"/>
  <c r="BJ41" i="29"/>
  <c r="BI41" i="29"/>
  <c r="BH41" i="29"/>
  <c r="BG41" i="29"/>
  <c r="BF41" i="29"/>
  <c r="BE41" i="29"/>
  <c r="BD41"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CB39" i="29"/>
  <c r="CA39" i="29"/>
  <c r="BZ39" i="29"/>
  <c r="BY39" i="29"/>
  <c r="BX39" i="29"/>
  <c r="BW39" i="29"/>
  <c r="BW31" i="29"/>
  <c r="BV39" i="29"/>
  <c r="BU39" i="29"/>
  <c r="BT39" i="29"/>
  <c r="BS39" i="29"/>
  <c r="BR39" i="29"/>
  <c r="BQ39" i="29"/>
  <c r="BP39" i="29"/>
  <c r="BO39" i="29"/>
  <c r="BO31" i="29"/>
  <c r="BN39" i="29"/>
  <c r="BM39" i="29"/>
  <c r="BL39" i="29"/>
  <c r="BK39" i="29"/>
  <c r="BJ39" i="29"/>
  <c r="BI39" i="29"/>
  <c r="BH39" i="29"/>
  <c r="BG39" i="29"/>
  <c r="BG31" i="29"/>
  <c r="BF39" i="29"/>
  <c r="BE39" i="29"/>
  <c r="BD39" i="29"/>
  <c r="CB38" i="29"/>
  <c r="CA38" i="29"/>
  <c r="BZ38" i="29"/>
  <c r="BY38" i="29"/>
  <c r="BX38" i="29"/>
  <c r="BX31" i="29"/>
  <c r="BW38" i="29"/>
  <c r="BV38" i="29"/>
  <c r="BU38" i="29"/>
  <c r="BT38" i="29"/>
  <c r="BS38" i="29"/>
  <c r="BR38" i="29"/>
  <c r="BQ38" i="29"/>
  <c r="BP38" i="29"/>
  <c r="BP31" i="29"/>
  <c r="BO38" i="29"/>
  <c r="BN38" i="29"/>
  <c r="BM38" i="29"/>
  <c r="BL38" i="29"/>
  <c r="BK38" i="29"/>
  <c r="BJ38" i="29"/>
  <c r="BI38" i="29"/>
  <c r="BH38" i="29"/>
  <c r="BH31" i="29"/>
  <c r="BG38" i="29"/>
  <c r="BF38" i="29"/>
  <c r="BE38" i="29"/>
  <c r="BD38" i="29"/>
  <c r="CB37" i="29"/>
  <c r="CA37" i="29"/>
  <c r="BZ37" i="29"/>
  <c r="BY37" i="29"/>
  <c r="BX37" i="29"/>
  <c r="BW37" i="29"/>
  <c r="BV37" i="29"/>
  <c r="BU37" i="29"/>
  <c r="BT37" i="29"/>
  <c r="BS37" i="29"/>
  <c r="BR37" i="29"/>
  <c r="BQ37" i="29"/>
  <c r="BP37" i="29"/>
  <c r="BO37" i="29"/>
  <c r="BN37" i="29"/>
  <c r="BM37" i="29"/>
  <c r="BL37" i="29"/>
  <c r="BK37" i="29"/>
  <c r="BJ37" i="29"/>
  <c r="BI37" i="29"/>
  <c r="BH37" i="29"/>
  <c r="BG37" i="29"/>
  <c r="BF37" i="29"/>
  <c r="BE37" i="29"/>
  <c r="BD37" i="29"/>
  <c r="CB36" i="29"/>
  <c r="CA36" i="29"/>
  <c r="BZ36" i="29"/>
  <c r="BZ31" i="29"/>
  <c r="BY36" i="29"/>
  <c r="BX36" i="29"/>
  <c r="BW36" i="29"/>
  <c r="BV36" i="29"/>
  <c r="BU36" i="29"/>
  <c r="BT36" i="29"/>
  <c r="BS36" i="29"/>
  <c r="BR36" i="29"/>
  <c r="BR31" i="29"/>
  <c r="BQ36" i="29"/>
  <c r="BP36" i="29"/>
  <c r="BO36" i="29"/>
  <c r="BN36" i="29"/>
  <c r="BM36" i="29"/>
  <c r="BL36" i="29"/>
  <c r="BK36" i="29"/>
  <c r="BJ36" i="29"/>
  <c r="BJ31" i="29"/>
  <c r="BI36" i="29"/>
  <c r="BH36" i="29"/>
  <c r="BG36" i="29"/>
  <c r="BF36" i="29"/>
  <c r="BE36" i="29"/>
  <c r="BD36" i="29"/>
  <c r="CB35" i="29"/>
  <c r="CA35" i="29"/>
  <c r="BC35" i="29"/>
  <c r="BZ35" i="29"/>
  <c r="BY35" i="29"/>
  <c r="BX35" i="29"/>
  <c r="BW35" i="29"/>
  <c r="BV35" i="29"/>
  <c r="BU35" i="29"/>
  <c r="BT35" i="29"/>
  <c r="BS35" i="29"/>
  <c r="BS31" i="29"/>
  <c r="BR35" i="29"/>
  <c r="BQ35" i="29"/>
  <c r="BP35" i="29"/>
  <c r="BO35" i="29"/>
  <c r="BN35" i="29"/>
  <c r="BM35" i="29"/>
  <c r="BL35" i="29"/>
  <c r="BK35" i="29"/>
  <c r="BK31" i="29"/>
  <c r="BJ35" i="29"/>
  <c r="BI35" i="29"/>
  <c r="BH35" i="29"/>
  <c r="BG35" i="29"/>
  <c r="BF35" i="29"/>
  <c r="BE35" i="29"/>
  <c r="BD35" i="29"/>
  <c r="CB34" i="29"/>
  <c r="CB31" i="29"/>
  <c r="CA34" i="29"/>
  <c r="BZ34" i="29"/>
  <c r="BY34" i="29"/>
  <c r="BX34" i="29"/>
  <c r="BW34" i="29"/>
  <c r="BV34" i="29"/>
  <c r="BU34" i="29"/>
  <c r="BT34" i="29"/>
  <c r="BT31" i="29"/>
  <c r="BS34" i="29"/>
  <c r="BR34" i="29"/>
  <c r="BQ34" i="29"/>
  <c r="BP34" i="29"/>
  <c r="BO34" i="29"/>
  <c r="BN34" i="29"/>
  <c r="BM34" i="29"/>
  <c r="BL34" i="29"/>
  <c r="BL31" i="29"/>
  <c r="BK34" i="29"/>
  <c r="BJ34" i="29"/>
  <c r="BI34" i="29"/>
  <c r="BH34" i="29"/>
  <c r="BG34" i="29"/>
  <c r="BF34" i="29"/>
  <c r="BE34" i="29"/>
  <c r="BD34" i="29"/>
  <c r="BC34" i="29"/>
  <c r="CB33" i="29"/>
  <c r="CA33" i="29"/>
  <c r="BZ33" i="29"/>
  <c r="BY33" i="29"/>
  <c r="BX33" i="29"/>
  <c r="BW33" i="29"/>
  <c r="BV33" i="29"/>
  <c r="BU33" i="29"/>
  <c r="BC33" i="29"/>
  <c r="BT33" i="29"/>
  <c r="BS33" i="29"/>
  <c r="BR33" i="29"/>
  <c r="BQ33" i="29"/>
  <c r="BP33" i="29"/>
  <c r="BO33" i="29"/>
  <c r="BN33" i="29"/>
  <c r="BM33" i="29"/>
  <c r="BM31" i="29"/>
  <c r="BL33" i="29"/>
  <c r="BK33" i="29"/>
  <c r="BJ33" i="29"/>
  <c r="BI33" i="29"/>
  <c r="BH33" i="29"/>
  <c r="BG33" i="29"/>
  <c r="BF33" i="29"/>
  <c r="BE33" i="29"/>
  <c r="BE31" i="29"/>
  <c r="BD33" i="29"/>
  <c r="CB32" i="29"/>
  <c r="CA32" i="29"/>
  <c r="BZ32" i="29"/>
  <c r="BY32" i="29"/>
  <c r="BX32" i="29"/>
  <c r="BW32" i="29"/>
  <c r="BV32" i="29"/>
  <c r="BV31" i="29"/>
  <c r="BU32" i="29"/>
  <c r="BT32" i="29"/>
  <c r="BS32" i="29"/>
  <c r="BR32" i="29"/>
  <c r="BQ32" i="29"/>
  <c r="BP32" i="29"/>
  <c r="BO32" i="29"/>
  <c r="BN32" i="29"/>
  <c r="BN31" i="29"/>
  <c r="BM32" i="29"/>
  <c r="BL32" i="29"/>
  <c r="BK32" i="29"/>
  <c r="BJ32" i="29"/>
  <c r="BI32" i="29"/>
  <c r="BH32" i="29"/>
  <c r="BG32" i="29"/>
  <c r="BF32" i="29"/>
  <c r="BF31" i="29"/>
  <c r="BE32" i="29"/>
  <c r="BD32" i="29"/>
  <c r="DB76" i="30"/>
  <c r="DA76" i="30"/>
  <c r="CZ76" i="30"/>
  <c r="CY76" i="30"/>
  <c r="CX76" i="30"/>
  <c r="CW76" i="30"/>
  <c r="CV76" i="30"/>
  <c r="CU76" i="30"/>
  <c r="CC76" i="30"/>
  <c r="CT76" i="30"/>
  <c r="CS76" i="30"/>
  <c r="CR76" i="30"/>
  <c r="CQ76" i="30"/>
  <c r="CP76" i="30"/>
  <c r="CO76" i="30"/>
  <c r="CN76" i="30"/>
  <c r="CM76" i="30"/>
  <c r="CL76" i="30"/>
  <c r="CK76" i="30"/>
  <c r="CJ76" i="30"/>
  <c r="CI76" i="30"/>
  <c r="CH76" i="30"/>
  <c r="CG76" i="30"/>
  <c r="CF76" i="30"/>
  <c r="CE76" i="30"/>
  <c r="CD76" i="30"/>
  <c r="BB76" i="30"/>
  <c r="BA76" i="30"/>
  <c r="AZ76" i="30"/>
  <c r="AY76" i="30"/>
  <c r="AX76" i="30"/>
  <c r="AW76" i="30"/>
  <c r="AV76" i="30"/>
  <c r="AU76" i="30"/>
  <c r="AT76" i="30"/>
  <c r="AS76" i="30"/>
  <c r="AR76" i="30"/>
  <c r="AQ76" i="30"/>
  <c r="AP76" i="30"/>
  <c r="AO76" i="30"/>
  <c r="AN76" i="30"/>
  <c r="AN63" i="30"/>
  <c r="AM76" i="30"/>
  <c r="AL76" i="30"/>
  <c r="AK76" i="30"/>
  <c r="AJ76" i="30"/>
  <c r="AI76" i="30"/>
  <c r="AH76" i="30"/>
  <c r="AG76" i="30"/>
  <c r="AF76" i="30"/>
  <c r="AE76" i="30"/>
  <c r="AD76" i="30"/>
  <c r="DB75" i="30"/>
  <c r="DA75" i="30"/>
  <c r="CZ75" i="30"/>
  <c r="CY75" i="30"/>
  <c r="CX75" i="30"/>
  <c r="CW75" i="30"/>
  <c r="CV75" i="30"/>
  <c r="CU75" i="30"/>
  <c r="CT75" i="30"/>
  <c r="CS75" i="30"/>
  <c r="CR75" i="30"/>
  <c r="CQ75" i="30"/>
  <c r="CP75" i="30"/>
  <c r="CO75" i="30"/>
  <c r="CN75" i="30"/>
  <c r="CM75" i="30"/>
  <c r="CL75" i="30"/>
  <c r="CK75" i="30"/>
  <c r="CJ75" i="30"/>
  <c r="CI75" i="30"/>
  <c r="CH75" i="30"/>
  <c r="CG75" i="30"/>
  <c r="CF75" i="30"/>
  <c r="CE75" i="30"/>
  <c r="CD75" i="30"/>
  <c r="BB75" i="30"/>
  <c r="BA75" i="30"/>
  <c r="AZ75" i="30"/>
  <c r="AY75" i="30"/>
  <c r="AX75" i="30"/>
  <c r="AW75" i="30"/>
  <c r="AV75" i="30"/>
  <c r="AU75" i="30"/>
  <c r="AT75" i="30"/>
  <c r="AS75" i="30"/>
  <c r="AR75" i="30"/>
  <c r="AQ75" i="30"/>
  <c r="AP75" i="30"/>
  <c r="AO75" i="30"/>
  <c r="AN75" i="30"/>
  <c r="AM75" i="30"/>
  <c r="AL75" i="30"/>
  <c r="AK75" i="30"/>
  <c r="AJ75" i="30"/>
  <c r="AI75" i="30"/>
  <c r="AH75" i="30"/>
  <c r="AG75" i="30"/>
  <c r="AF75" i="30"/>
  <c r="AE75" i="30"/>
  <c r="AD75" i="30"/>
  <c r="DB74" i="30"/>
  <c r="DA74" i="30"/>
  <c r="CZ74" i="30"/>
  <c r="CY74" i="30"/>
  <c r="CX74" i="30"/>
  <c r="CW74" i="30"/>
  <c r="CV74" i="30"/>
  <c r="CU74" i="30"/>
  <c r="CT74" i="30"/>
  <c r="CS74" i="30"/>
  <c r="CR74" i="30"/>
  <c r="CQ74" i="30"/>
  <c r="CP74" i="30"/>
  <c r="CO74" i="30"/>
  <c r="CN74" i="30"/>
  <c r="CM74" i="30"/>
  <c r="CL74" i="30"/>
  <c r="CK74" i="30"/>
  <c r="CJ74" i="30"/>
  <c r="CI74" i="30"/>
  <c r="CH74" i="30"/>
  <c r="CG74" i="30"/>
  <c r="CF74" i="30"/>
  <c r="CE74" i="30"/>
  <c r="CD74" i="30"/>
  <c r="BB74" i="30"/>
  <c r="BA74" i="30"/>
  <c r="AC74" i="30"/>
  <c r="AZ74" i="30"/>
  <c r="AY74" i="30"/>
  <c r="AX74" i="30"/>
  <c r="AW74" i="30"/>
  <c r="AV74" i="30"/>
  <c r="AU74" i="30"/>
  <c r="AT74" i="30"/>
  <c r="AS74" i="30"/>
  <c r="AR74" i="30"/>
  <c r="AQ74" i="30"/>
  <c r="AP74" i="30"/>
  <c r="AO74" i="30"/>
  <c r="AN74" i="30"/>
  <c r="AM74" i="30"/>
  <c r="AL74" i="30"/>
  <c r="AK74" i="30"/>
  <c r="AJ74" i="30"/>
  <c r="AI74" i="30"/>
  <c r="AH74" i="30"/>
  <c r="AG74" i="30"/>
  <c r="AF74" i="30"/>
  <c r="AE74" i="30"/>
  <c r="AD74" i="30"/>
  <c r="DB73" i="30"/>
  <c r="DA73" i="30"/>
  <c r="CC73" i="30"/>
  <c r="CZ73" i="30"/>
  <c r="CY73" i="30"/>
  <c r="CX73" i="30"/>
  <c r="CW73" i="30"/>
  <c r="CV73" i="30"/>
  <c r="CU73" i="30"/>
  <c r="CT73" i="30"/>
  <c r="CS73" i="30"/>
  <c r="CR73" i="30"/>
  <c r="CQ73" i="30"/>
  <c r="CP73" i="30"/>
  <c r="CO73" i="30"/>
  <c r="CN73" i="30"/>
  <c r="CM73" i="30"/>
  <c r="CL73" i="30"/>
  <c r="CK73" i="30"/>
  <c r="CJ73" i="30"/>
  <c r="CI73" i="30"/>
  <c r="CH73" i="30"/>
  <c r="CG73" i="30"/>
  <c r="CF73" i="30"/>
  <c r="CE73" i="30"/>
  <c r="CD73" i="30"/>
  <c r="BB73" i="30"/>
  <c r="BA73" i="30"/>
  <c r="AZ73" i="30"/>
  <c r="AY73" i="30"/>
  <c r="AX73" i="30"/>
  <c r="AW73" i="30"/>
  <c r="AV73" i="30"/>
  <c r="AU73" i="30"/>
  <c r="AT73" i="30"/>
  <c r="AS73" i="30"/>
  <c r="AR73" i="30"/>
  <c r="AQ73" i="30"/>
  <c r="AP73" i="30"/>
  <c r="AO73" i="30"/>
  <c r="AN73" i="30"/>
  <c r="AM73" i="30"/>
  <c r="AL73" i="30"/>
  <c r="AK73" i="30"/>
  <c r="AJ73" i="30"/>
  <c r="AI73" i="30"/>
  <c r="AH73" i="30"/>
  <c r="AG73" i="30"/>
  <c r="AF73" i="30"/>
  <c r="AE73" i="30"/>
  <c r="AD73" i="30"/>
  <c r="AC73" i="30"/>
  <c r="DB72" i="30"/>
  <c r="DA72" i="30"/>
  <c r="CZ72" i="30"/>
  <c r="CY72" i="30"/>
  <c r="CX72" i="30"/>
  <c r="CW72" i="30"/>
  <c r="CV72" i="30"/>
  <c r="CU72" i="30"/>
  <c r="CT72" i="30"/>
  <c r="CS72" i="30"/>
  <c r="CR72" i="30"/>
  <c r="CQ72" i="30"/>
  <c r="CP72" i="30"/>
  <c r="CO72" i="30"/>
  <c r="CN72" i="30"/>
  <c r="CM72" i="30"/>
  <c r="CL72" i="30"/>
  <c r="CK72" i="30"/>
  <c r="CJ72" i="30"/>
  <c r="CI72" i="30"/>
  <c r="CH72" i="30"/>
  <c r="CG72" i="30"/>
  <c r="CF72" i="30"/>
  <c r="CE72" i="30"/>
  <c r="CD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DB71" i="30"/>
  <c r="DA71" i="30"/>
  <c r="CZ71" i="30"/>
  <c r="CY71" i="30"/>
  <c r="CX71" i="30"/>
  <c r="CW71" i="30"/>
  <c r="CV71" i="30"/>
  <c r="CU71" i="30"/>
  <c r="CT71" i="30"/>
  <c r="CS71" i="30"/>
  <c r="CR71" i="30"/>
  <c r="CQ71" i="30"/>
  <c r="CP71" i="30"/>
  <c r="CO71" i="30"/>
  <c r="CN71" i="30"/>
  <c r="CM71" i="30"/>
  <c r="CL71" i="30"/>
  <c r="CK71" i="30"/>
  <c r="CJ71" i="30"/>
  <c r="CI71" i="30"/>
  <c r="CH71" i="30"/>
  <c r="CG71" i="30"/>
  <c r="CF71" i="30"/>
  <c r="CE71" i="30"/>
  <c r="CD71" i="30"/>
  <c r="BB71" i="30"/>
  <c r="BA71" i="30"/>
  <c r="AZ71" i="30"/>
  <c r="AY71" i="30"/>
  <c r="AX71" i="30"/>
  <c r="AW71" i="30"/>
  <c r="AV71" i="30"/>
  <c r="AU71" i="30"/>
  <c r="AT71" i="30"/>
  <c r="AS71" i="30"/>
  <c r="AR71" i="30"/>
  <c r="AQ71" i="30"/>
  <c r="AP71" i="30"/>
  <c r="AO71" i="30"/>
  <c r="AN71" i="30"/>
  <c r="AM71" i="30"/>
  <c r="AL71" i="30"/>
  <c r="AK71" i="30"/>
  <c r="AJ71" i="30"/>
  <c r="AI71" i="30"/>
  <c r="AH71" i="30"/>
  <c r="AG71" i="30"/>
  <c r="AF71" i="30"/>
  <c r="AE71" i="30"/>
  <c r="AD71" i="30"/>
  <c r="DB70" i="30"/>
  <c r="DA70" i="30"/>
  <c r="CZ70" i="30"/>
  <c r="CY70" i="30"/>
  <c r="CX70" i="30"/>
  <c r="CW70" i="30"/>
  <c r="CV70" i="30"/>
  <c r="CU70" i="30"/>
  <c r="CT70" i="30"/>
  <c r="CS70" i="30"/>
  <c r="CR70" i="30"/>
  <c r="CQ70" i="30"/>
  <c r="CP70" i="30"/>
  <c r="CO70" i="30"/>
  <c r="CN70" i="30"/>
  <c r="CM70" i="30"/>
  <c r="CL70" i="30"/>
  <c r="CK70" i="30"/>
  <c r="CJ70" i="30"/>
  <c r="CI70" i="30"/>
  <c r="CH70" i="30"/>
  <c r="CG70" i="30"/>
  <c r="CF70" i="30"/>
  <c r="CE70" i="30"/>
  <c r="CD70" i="30"/>
  <c r="BB70" i="30"/>
  <c r="BA70" i="30"/>
  <c r="AZ70" i="30"/>
  <c r="AY70" i="30"/>
  <c r="AX70" i="30"/>
  <c r="AW70" i="30"/>
  <c r="AV70" i="30"/>
  <c r="AU70" i="30"/>
  <c r="AT70" i="30"/>
  <c r="AS70" i="30"/>
  <c r="AR70" i="30"/>
  <c r="AQ70" i="30"/>
  <c r="AP70" i="30"/>
  <c r="AO70" i="30"/>
  <c r="AN70" i="30"/>
  <c r="AM70" i="30"/>
  <c r="AL70" i="30"/>
  <c r="AK70" i="30"/>
  <c r="AJ70" i="30"/>
  <c r="AI70" i="30"/>
  <c r="AH70" i="30"/>
  <c r="AG70" i="30"/>
  <c r="AF70" i="30"/>
  <c r="AE70" i="30"/>
  <c r="AD70" i="30"/>
  <c r="DB69" i="30"/>
  <c r="DA69" i="30"/>
  <c r="CZ69" i="30"/>
  <c r="CY69" i="30"/>
  <c r="CX69" i="30"/>
  <c r="CW69" i="30"/>
  <c r="CV69" i="30"/>
  <c r="CU69" i="30"/>
  <c r="CT69" i="30"/>
  <c r="CS69" i="30"/>
  <c r="CR69" i="30"/>
  <c r="CQ69" i="30"/>
  <c r="CP69" i="30"/>
  <c r="CO69" i="30"/>
  <c r="CN69" i="30"/>
  <c r="CM69" i="30"/>
  <c r="CL69" i="30"/>
  <c r="CK69" i="30"/>
  <c r="CJ69" i="30"/>
  <c r="CI69" i="30"/>
  <c r="CH69" i="30"/>
  <c r="CG69" i="30"/>
  <c r="CF69" i="30"/>
  <c r="CE69" i="30"/>
  <c r="CD69" i="30"/>
  <c r="CC69" i="30"/>
  <c r="BB69" i="30"/>
  <c r="BA69" i="30"/>
  <c r="AZ69" i="30"/>
  <c r="AY69" i="30"/>
  <c r="AX69" i="30"/>
  <c r="AW69" i="30"/>
  <c r="AV69" i="30"/>
  <c r="AU69" i="30"/>
  <c r="AT69" i="30"/>
  <c r="AS69" i="30"/>
  <c r="AR69" i="30"/>
  <c r="AQ69" i="30"/>
  <c r="AP69" i="30"/>
  <c r="AO69" i="30"/>
  <c r="AN69" i="30"/>
  <c r="AM69" i="30"/>
  <c r="AL69" i="30"/>
  <c r="AK69" i="30"/>
  <c r="AJ69" i="30"/>
  <c r="AI69" i="30"/>
  <c r="AH69" i="30"/>
  <c r="AG69" i="30"/>
  <c r="AF69" i="30"/>
  <c r="AE69" i="30"/>
  <c r="AD69" i="30"/>
  <c r="DB68" i="30"/>
  <c r="DA68" i="30"/>
  <c r="CZ68" i="30"/>
  <c r="CY68" i="30"/>
  <c r="CX68" i="30"/>
  <c r="CW68" i="30"/>
  <c r="CV68" i="30"/>
  <c r="CU68" i="30"/>
  <c r="CC68" i="30"/>
  <c r="CT68" i="30"/>
  <c r="CS68" i="30"/>
  <c r="CR68" i="30"/>
  <c r="CQ68" i="30"/>
  <c r="CP68" i="30"/>
  <c r="CO68" i="30"/>
  <c r="CN68" i="30"/>
  <c r="CM68" i="30"/>
  <c r="CL68" i="30"/>
  <c r="CK68" i="30"/>
  <c r="CJ68" i="30"/>
  <c r="CI68" i="30"/>
  <c r="CH68" i="30"/>
  <c r="CG68" i="30"/>
  <c r="CF68" i="30"/>
  <c r="CE68" i="30"/>
  <c r="CD68" i="30"/>
  <c r="BB68" i="30"/>
  <c r="BA68" i="30"/>
  <c r="AZ68" i="30"/>
  <c r="AY68" i="30"/>
  <c r="AX68" i="30"/>
  <c r="AW68" i="30"/>
  <c r="AV68" i="30"/>
  <c r="AU68" i="30"/>
  <c r="AT68" i="30"/>
  <c r="AS68" i="30"/>
  <c r="AR68" i="30"/>
  <c r="AQ68" i="30"/>
  <c r="AP68" i="30"/>
  <c r="AO68" i="30"/>
  <c r="AN68" i="30"/>
  <c r="AM68" i="30"/>
  <c r="AL68" i="30"/>
  <c r="AK68" i="30"/>
  <c r="AJ68" i="30"/>
  <c r="AI68" i="30"/>
  <c r="AH68" i="30"/>
  <c r="AG68" i="30"/>
  <c r="AF68" i="30"/>
  <c r="AE68" i="30"/>
  <c r="AD68" i="30"/>
  <c r="DB67" i="30"/>
  <c r="DA67" i="30"/>
  <c r="CZ67" i="30"/>
  <c r="CY67" i="30"/>
  <c r="CX67" i="30"/>
  <c r="CX63" i="30"/>
  <c r="CW67" i="30"/>
  <c r="CW63" i="30"/>
  <c r="CV67" i="30"/>
  <c r="CU67" i="30"/>
  <c r="CT67" i="30"/>
  <c r="CS67" i="30"/>
  <c r="CR67" i="30"/>
  <c r="CQ67" i="30"/>
  <c r="CP67" i="30"/>
  <c r="CO67" i="30"/>
  <c r="CO63" i="30"/>
  <c r="CN67" i="30"/>
  <c r="CM67" i="30"/>
  <c r="CL67" i="30"/>
  <c r="CK67" i="30"/>
  <c r="CJ67" i="30"/>
  <c r="CI67" i="30"/>
  <c r="CH67" i="30"/>
  <c r="CH63" i="30"/>
  <c r="CG67" i="30"/>
  <c r="CG63" i="30"/>
  <c r="CF67" i="30"/>
  <c r="CE67" i="30"/>
  <c r="CD67" i="30"/>
  <c r="BB67" i="30"/>
  <c r="BA67" i="30"/>
  <c r="AZ67" i="30"/>
  <c r="AY67" i="30"/>
  <c r="AY63" i="30"/>
  <c r="AX67" i="30"/>
  <c r="AX63" i="30"/>
  <c r="AW67" i="30"/>
  <c r="AV67" i="30"/>
  <c r="AU67" i="30"/>
  <c r="AT67" i="30"/>
  <c r="AS67" i="30"/>
  <c r="AR67" i="30"/>
  <c r="AQ67" i="30"/>
  <c r="AQ63" i="30"/>
  <c r="AP67" i="30"/>
  <c r="AP63" i="30"/>
  <c r="AO67" i="30"/>
  <c r="AN67" i="30"/>
  <c r="AM67" i="30"/>
  <c r="AL67" i="30"/>
  <c r="AK67" i="30"/>
  <c r="AJ67" i="30"/>
  <c r="AI67" i="30"/>
  <c r="AI63" i="30"/>
  <c r="AH67" i="30"/>
  <c r="AH63" i="30"/>
  <c r="AG67" i="30"/>
  <c r="AF67" i="30"/>
  <c r="AE67" i="30"/>
  <c r="AD67" i="30"/>
  <c r="DB66" i="30"/>
  <c r="DA66" i="30"/>
  <c r="CZ66" i="30"/>
  <c r="CZ63" i="30"/>
  <c r="CY66" i="30"/>
  <c r="CY63" i="30"/>
  <c r="CX66" i="30"/>
  <c r="CW66" i="30"/>
  <c r="CV66" i="30"/>
  <c r="CU66" i="30"/>
  <c r="CT66" i="30"/>
  <c r="CS66" i="30"/>
  <c r="CR66" i="30"/>
  <c r="CQ66" i="30"/>
  <c r="CQ63" i="30"/>
  <c r="CP66" i="30"/>
  <c r="CO66" i="30"/>
  <c r="CN66" i="30"/>
  <c r="CM66" i="30"/>
  <c r="CL66" i="30"/>
  <c r="CK66" i="30"/>
  <c r="CJ66" i="30"/>
  <c r="CJ63" i="30"/>
  <c r="CI66" i="30"/>
  <c r="CH66" i="30"/>
  <c r="CG66" i="30"/>
  <c r="CF66" i="30"/>
  <c r="CE66" i="30"/>
  <c r="CD66" i="30"/>
  <c r="BB66" i="30"/>
  <c r="BA66" i="30"/>
  <c r="AC66" i="30"/>
  <c r="AZ66" i="30"/>
  <c r="AY66" i="30"/>
  <c r="AX66" i="30"/>
  <c r="AW66" i="30"/>
  <c r="AV66" i="30"/>
  <c r="AU66" i="30"/>
  <c r="AT66" i="30"/>
  <c r="AS66" i="30"/>
  <c r="AR66" i="30"/>
  <c r="AR63" i="30"/>
  <c r="AQ66" i="30"/>
  <c r="AP66" i="30"/>
  <c r="AO66" i="30"/>
  <c r="AN66" i="30"/>
  <c r="AM66" i="30"/>
  <c r="AL66" i="30"/>
  <c r="AK66" i="30"/>
  <c r="AK63" i="30"/>
  <c r="AJ66" i="30"/>
  <c r="AJ63" i="30"/>
  <c r="AI66" i="30"/>
  <c r="AH66" i="30"/>
  <c r="AG66" i="30"/>
  <c r="AF66" i="30"/>
  <c r="AE66" i="30"/>
  <c r="AD66" i="30"/>
  <c r="DB65" i="30"/>
  <c r="DB63" i="30"/>
  <c r="DA65" i="30"/>
  <c r="DA63" i="30"/>
  <c r="CZ65" i="30"/>
  <c r="CY65" i="30"/>
  <c r="CX65" i="30"/>
  <c r="CW65" i="30"/>
  <c r="CV65" i="30"/>
  <c r="CU65" i="30"/>
  <c r="CT65" i="30"/>
  <c r="CT63" i="30"/>
  <c r="CS65" i="30"/>
  <c r="CS63" i="30"/>
  <c r="CR65" i="30"/>
  <c r="CQ65" i="30"/>
  <c r="CP65" i="30"/>
  <c r="CO65" i="30"/>
  <c r="CN65" i="30"/>
  <c r="CM65" i="30"/>
  <c r="CL65" i="30"/>
  <c r="CL63" i="30"/>
  <c r="CK65" i="30"/>
  <c r="CK63" i="30"/>
  <c r="CJ65" i="30"/>
  <c r="CI65" i="30"/>
  <c r="CH65" i="30"/>
  <c r="CG65" i="30"/>
  <c r="CF65" i="30"/>
  <c r="CE65" i="30"/>
  <c r="CD65" i="30"/>
  <c r="BB65" i="30"/>
  <c r="BB63" i="30"/>
  <c r="BA65" i="30"/>
  <c r="AZ65" i="30"/>
  <c r="AY65" i="30"/>
  <c r="AX65" i="30"/>
  <c r="AW65" i="30"/>
  <c r="AV65" i="30"/>
  <c r="AU65" i="30"/>
  <c r="AU63" i="30"/>
  <c r="AT65" i="30"/>
  <c r="AT63" i="30"/>
  <c r="AS65" i="30"/>
  <c r="AR65" i="30"/>
  <c r="AQ65" i="30"/>
  <c r="AP65" i="30"/>
  <c r="AO65" i="30"/>
  <c r="AN65" i="30"/>
  <c r="AM65" i="30"/>
  <c r="AM63" i="30"/>
  <c r="AL65" i="30"/>
  <c r="AL63" i="30"/>
  <c r="AK65" i="30"/>
  <c r="AJ65" i="30"/>
  <c r="AI65" i="30"/>
  <c r="AH65" i="30"/>
  <c r="AG65" i="30"/>
  <c r="AF65" i="30"/>
  <c r="AE65" i="30"/>
  <c r="AE63" i="30"/>
  <c r="AD65" i="30"/>
  <c r="AC65" i="30"/>
  <c r="DB64" i="30"/>
  <c r="DA64" i="30"/>
  <c r="CZ64" i="30"/>
  <c r="CY64" i="30"/>
  <c r="CX64" i="30"/>
  <c r="CW64" i="30"/>
  <c r="CV64" i="30"/>
  <c r="CV63" i="30"/>
  <c r="CU64" i="30"/>
  <c r="CU63" i="30"/>
  <c r="CT64" i="30"/>
  <c r="CS64" i="30"/>
  <c r="CR64" i="30"/>
  <c r="CQ64" i="30"/>
  <c r="CP64" i="30"/>
  <c r="CO64" i="30"/>
  <c r="CN64" i="30"/>
  <c r="CN63" i="30"/>
  <c r="CM64" i="30"/>
  <c r="CM63" i="30"/>
  <c r="CL64" i="30"/>
  <c r="CK64" i="30"/>
  <c r="CJ64" i="30"/>
  <c r="CI64" i="30"/>
  <c r="CH64" i="30"/>
  <c r="CG64" i="30"/>
  <c r="CF64" i="30"/>
  <c r="CE64" i="30"/>
  <c r="CE63" i="30"/>
  <c r="CD64" i="30"/>
  <c r="BB64" i="30"/>
  <c r="BA64" i="30"/>
  <c r="AZ64" i="30"/>
  <c r="AY64" i="30"/>
  <c r="AX64" i="30"/>
  <c r="AW64" i="30"/>
  <c r="AW63" i="30"/>
  <c r="AV64" i="30"/>
  <c r="AV63" i="30"/>
  <c r="AU64" i="30"/>
  <c r="AT64" i="30"/>
  <c r="AS64" i="30"/>
  <c r="AR64" i="30"/>
  <c r="AQ64" i="30"/>
  <c r="AP64" i="30"/>
  <c r="AO64" i="30"/>
  <c r="AN64" i="30"/>
  <c r="AM64" i="30"/>
  <c r="AL64" i="30"/>
  <c r="AK64" i="30"/>
  <c r="AJ64" i="30"/>
  <c r="AI64" i="30"/>
  <c r="AH64" i="30"/>
  <c r="AG64" i="30"/>
  <c r="AG63" i="30"/>
  <c r="AF64" i="30"/>
  <c r="AF63" i="30"/>
  <c r="AE64" i="30"/>
  <c r="AD64" i="30"/>
  <c r="DB62" i="30"/>
  <c r="DA62" i="30"/>
  <c r="CZ62" i="30"/>
  <c r="CY62" i="30"/>
  <c r="CX62" i="30"/>
  <c r="CW62" i="30"/>
  <c r="CV62" i="30"/>
  <c r="CU62" i="30"/>
  <c r="CT62" i="30"/>
  <c r="CS62" i="30"/>
  <c r="CR62" i="30"/>
  <c r="CQ62" i="30"/>
  <c r="CP62" i="30"/>
  <c r="CO62" i="30"/>
  <c r="CN62" i="30"/>
  <c r="CM62" i="30"/>
  <c r="CL62" i="30"/>
  <c r="CK62" i="30"/>
  <c r="CJ62" i="30"/>
  <c r="CI62" i="30"/>
  <c r="CH62" i="30"/>
  <c r="CG62" i="30"/>
  <c r="CF62" i="30"/>
  <c r="CE62" i="30"/>
  <c r="CD62" i="30"/>
  <c r="BB62" i="30"/>
  <c r="BA62" i="30"/>
  <c r="AZ62" i="30"/>
  <c r="AY62" i="30"/>
  <c r="AX62" i="30"/>
  <c r="AW62" i="30"/>
  <c r="AV62" i="30"/>
  <c r="AU62" i="30"/>
  <c r="AT62" i="30"/>
  <c r="AS62" i="30"/>
  <c r="AR62" i="30"/>
  <c r="AQ62" i="30"/>
  <c r="AP62" i="30"/>
  <c r="AO62" i="30"/>
  <c r="AN62" i="30"/>
  <c r="AM62" i="30"/>
  <c r="AL62" i="30"/>
  <c r="AK62" i="30"/>
  <c r="AJ62" i="30"/>
  <c r="AI62" i="30"/>
  <c r="AH62" i="30"/>
  <c r="AG62" i="30"/>
  <c r="AF62" i="30"/>
  <c r="AE62" i="30"/>
  <c r="AD62" i="30"/>
  <c r="DB61" i="30"/>
  <c r="DA61" i="30"/>
  <c r="CZ61" i="30"/>
  <c r="CY61" i="30"/>
  <c r="CX61" i="30"/>
  <c r="CW61" i="30"/>
  <c r="CV61" i="30"/>
  <c r="CU61" i="30"/>
  <c r="CT61" i="30"/>
  <c r="CS61" i="30"/>
  <c r="CR61" i="30"/>
  <c r="CQ61" i="30"/>
  <c r="CP61" i="30"/>
  <c r="CO61" i="30"/>
  <c r="CN61" i="30"/>
  <c r="CM61" i="30"/>
  <c r="CL61" i="30"/>
  <c r="CK61" i="30"/>
  <c r="CJ61" i="30"/>
  <c r="CI61" i="30"/>
  <c r="CH61" i="30"/>
  <c r="CG61" i="30"/>
  <c r="CF61" i="30"/>
  <c r="CE61" i="30"/>
  <c r="CD61" i="30"/>
  <c r="BB61" i="30"/>
  <c r="BA61" i="30"/>
  <c r="AZ61" i="30"/>
  <c r="AY61" i="30"/>
  <c r="AX61" i="30"/>
  <c r="AW61" i="30"/>
  <c r="AV61" i="30"/>
  <c r="AU61" i="30"/>
  <c r="AT61" i="30"/>
  <c r="AS61" i="30"/>
  <c r="AR61" i="30"/>
  <c r="AQ61" i="30"/>
  <c r="AP61" i="30"/>
  <c r="AO61" i="30"/>
  <c r="AN61" i="30"/>
  <c r="AM61" i="30"/>
  <c r="AL61" i="30"/>
  <c r="AK61" i="30"/>
  <c r="AJ61" i="30"/>
  <c r="AI61" i="30"/>
  <c r="AH61" i="30"/>
  <c r="AG61" i="30"/>
  <c r="AF61" i="30"/>
  <c r="AE61" i="30"/>
  <c r="AD61" i="30"/>
  <c r="DB60" i="30"/>
  <c r="DA60" i="30"/>
  <c r="CZ60" i="30"/>
  <c r="CY60" i="30"/>
  <c r="CX60" i="30"/>
  <c r="CW60" i="30"/>
  <c r="CV60" i="30"/>
  <c r="CU60" i="30"/>
  <c r="CT60" i="30"/>
  <c r="CS60" i="30"/>
  <c r="CR60" i="30"/>
  <c r="CQ60" i="30"/>
  <c r="CP60" i="30"/>
  <c r="CO60" i="30"/>
  <c r="CN60" i="30"/>
  <c r="CM60" i="30"/>
  <c r="CL60" i="30"/>
  <c r="CK60" i="30"/>
  <c r="CJ60" i="30"/>
  <c r="CI60" i="30"/>
  <c r="CH60" i="30"/>
  <c r="CG60" i="30"/>
  <c r="CF60" i="30"/>
  <c r="CE60" i="30"/>
  <c r="CD60" i="30"/>
  <c r="CC60" i="30"/>
  <c r="BB60" i="30"/>
  <c r="BA60" i="30"/>
  <c r="AZ60" i="30"/>
  <c r="AY60" i="30"/>
  <c r="AX60" i="30"/>
  <c r="AW60" i="30"/>
  <c r="AV60" i="30"/>
  <c r="AU60" i="30"/>
  <c r="AT60" i="30"/>
  <c r="AS60" i="30"/>
  <c r="AR60" i="30"/>
  <c r="AQ60" i="30"/>
  <c r="AP60" i="30"/>
  <c r="AO60" i="30"/>
  <c r="AN60" i="30"/>
  <c r="AM60" i="30"/>
  <c r="AL60" i="30"/>
  <c r="AK60" i="30"/>
  <c r="AJ60" i="30"/>
  <c r="AI60" i="30"/>
  <c r="AH60" i="30"/>
  <c r="AG60" i="30"/>
  <c r="AF60" i="30"/>
  <c r="AE60" i="30"/>
  <c r="AD60" i="30"/>
  <c r="AC60" i="30"/>
  <c r="DB59" i="30"/>
  <c r="DA59" i="30"/>
  <c r="CZ59" i="30"/>
  <c r="CY59" i="30"/>
  <c r="CX59" i="30"/>
  <c r="CW59" i="30"/>
  <c r="CV59" i="30"/>
  <c r="CU59" i="30"/>
  <c r="CC59" i="30"/>
  <c r="CT59" i="30"/>
  <c r="CS59" i="30"/>
  <c r="CR59" i="30"/>
  <c r="CQ59" i="30"/>
  <c r="CP59" i="30"/>
  <c r="CO59" i="30"/>
  <c r="CN59" i="30"/>
  <c r="CM59" i="30"/>
  <c r="CL59" i="30"/>
  <c r="CK59" i="30"/>
  <c r="CJ59" i="30"/>
  <c r="CI59" i="30"/>
  <c r="CH59" i="30"/>
  <c r="CG59" i="30"/>
  <c r="CF59" i="30"/>
  <c r="CE59" i="30"/>
  <c r="CD59" i="30"/>
  <c r="BB59" i="30"/>
  <c r="BA59" i="30"/>
  <c r="AZ59" i="30"/>
  <c r="AY59" i="30"/>
  <c r="AX59" i="30"/>
  <c r="AW59" i="30"/>
  <c r="AV59" i="30"/>
  <c r="AU59" i="30"/>
  <c r="AT59" i="30"/>
  <c r="AS59" i="30"/>
  <c r="AR59" i="30"/>
  <c r="AQ59" i="30"/>
  <c r="AP59" i="30"/>
  <c r="AO59" i="30"/>
  <c r="AN59" i="30"/>
  <c r="AM59" i="30"/>
  <c r="AL59" i="30"/>
  <c r="AK59" i="30"/>
  <c r="AJ59" i="30"/>
  <c r="AI59" i="30"/>
  <c r="AH59" i="30"/>
  <c r="AG59" i="30"/>
  <c r="AF59" i="30"/>
  <c r="AE59" i="30"/>
  <c r="AD59" i="30"/>
  <c r="DB58" i="30"/>
  <c r="DA58" i="30"/>
  <c r="CZ58" i="30"/>
  <c r="CY58" i="30"/>
  <c r="CX58" i="30"/>
  <c r="CW58" i="30"/>
  <c r="CV58" i="30"/>
  <c r="CU58" i="30"/>
  <c r="CT58" i="30"/>
  <c r="CS58" i="30"/>
  <c r="CR58" i="30"/>
  <c r="CQ58" i="30"/>
  <c r="CP58" i="30"/>
  <c r="CO58" i="30"/>
  <c r="CN58" i="30"/>
  <c r="CM58" i="30"/>
  <c r="CL58" i="30"/>
  <c r="CK58" i="30"/>
  <c r="CJ58" i="30"/>
  <c r="CI58" i="30"/>
  <c r="CH58" i="30"/>
  <c r="CG58" i="30"/>
  <c r="CF58" i="30"/>
  <c r="CE58" i="30"/>
  <c r="CD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DB57" i="30"/>
  <c r="DA57" i="30"/>
  <c r="CZ57" i="30"/>
  <c r="CY57" i="30"/>
  <c r="CX57" i="30"/>
  <c r="CW57" i="30"/>
  <c r="CV57" i="30"/>
  <c r="CU57" i="30"/>
  <c r="CT57" i="30"/>
  <c r="CS57" i="30"/>
  <c r="CR57" i="30"/>
  <c r="CQ57" i="30"/>
  <c r="CP57" i="30"/>
  <c r="CO57" i="30"/>
  <c r="CN57" i="30"/>
  <c r="CM57" i="30"/>
  <c r="CL57" i="30"/>
  <c r="CK57" i="30"/>
  <c r="CJ57" i="30"/>
  <c r="CI57" i="30"/>
  <c r="CH57" i="30"/>
  <c r="CG57" i="30"/>
  <c r="CF57" i="30"/>
  <c r="CE57" i="30"/>
  <c r="CD57" i="30"/>
  <c r="BB57" i="30"/>
  <c r="BA57" i="30"/>
  <c r="AC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DB56" i="30"/>
  <c r="DA56" i="30"/>
  <c r="CC56" i="30"/>
  <c r="CZ56" i="30"/>
  <c r="CY56" i="30"/>
  <c r="CX56" i="30"/>
  <c r="CW56" i="30"/>
  <c r="CV56" i="30"/>
  <c r="CU56" i="30"/>
  <c r="CT56" i="30"/>
  <c r="CS56" i="30"/>
  <c r="CR56" i="30"/>
  <c r="CQ56" i="30"/>
  <c r="CP56" i="30"/>
  <c r="CO56" i="30"/>
  <c r="CN56" i="30"/>
  <c r="CM56" i="30"/>
  <c r="CL56" i="30"/>
  <c r="CK56" i="30"/>
  <c r="CJ56" i="30"/>
  <c r="CI56" i="30"/>
  <c r="CH56" i="30"/>
  <c r="CG56" i="30"/>
  <c r="CF56" i="30"/>
  <c r="CE56" i="30"/>
  <c r="CD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DB55" i="30"/>
  <c r="DA55" i="30"/>
  <c r="CZ55" i="30"/>
  <c r="CY55" i="30"/>
  <c r="CX55" i="30"/>
  <c r="CW55" i="30"/>
  <c r="CV55" i="30"/>
  <c r="CU55" i="30"/>
  <c r="CT55" i="30"/>
  <c r="CS55" i="30"/>
  <c r="CR55" i="30"/>
  <c r="CQ55" i="30"/>
  <c r="CP55" i="30"/>
  <c r="CO55" i="30"/>
  <c r="CN55" i="30"/>
  <c r="CM55" i="30"/>
  <c r="CL55" i="30"/>
  <c r="CK55" i="30"/>
  <c r="CJ55" i="30"/>
  <c r="CI55" i="30"/>
  <c r="CH55" i="30"/>
  <c r="CG55" i="30"/>
  <c r="CF55" i="30"/>
  <c r="CE55" i="30"/>
  <c r="CD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DB54" i="30"/>
  <c r="DA54" i="30"/>
  <c r="CZ54" i="30"/>
  <c r="CY54" i="30"/>
  <c r="CX54" i="30"/>
  <c r="CW54" i="30"/>
  <c r="CV54" i="30"/>
  <c r="CU54" i="30"/>
  <c r="CT54" i="30"/>
  <c r="CS54" i="30"/>
  <c r="CR54" i="30"/>
  <c r="CQ54" i="30"/>
  <c r="CP54" i="30"/>
  <c r="CO54" i="30"/>
  <c r="CN54" i="30"/>
  <c r="CM54" i="30"/>
  <c r="CL54" i="30"/>
  <c r="CK54" i="30"/>
  <c r="CJ54" i="30"/>
  <c r="CI54" i="30"/>
  <c r="CH54" i="30"/>
  <c r="CG54" i="30"/>
  <c r="CF54" i="30"/>
  <c r="CE54" i="30"/>
  <c r="CD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DB53" i="30"/>
  <c r="DA53" i="30"/>
  <c r="CZ53" i="30"/>
  <c r="CY53" i="30"/>
  <c r="CX53" i="30"/>
  <c r="CW53" i="30"/>
  <c r="CV53" i="30"/>
  <c r="CU53" i="30"/>
  <c r="CT53" i="30"/>
  <c r="CS53" i="30"/>
  <c r="CR53" i="30"/>
  <c r="CQ53" i="30"/>
  <c r="CP53" i="30"/>
  <c r="CO53" i="30"/>
  <c r="CN53" i="30"/>
  <c r="CM53" i="30"/>
  <c r="CL53" i="30"/>
  <c r="CK53" i="30"/>
  <c r="CJ53" i="30"/>
  <c r="CI53" i="30"/>
  <c r="CH53" i="30"/>
  <c r="CG53" i="30"/>
  <c r="CF53" i="30"/>
  <c r="CE53" i="30"/>
  <c r="CD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DB52" i="30"/>
  <c r="DB48" i="30"/>
  <c r="DA52" i="30"/>
  <c r="DA48" i="30"/>
  <c r="CZ52" i="30"/>
  <c r="CY52" i="30"/>
  <c r="CX52" i="30"/>
  <c r="CW52" i="30"/>
  <c r="CV52" i="30"/>
  <c r="CU52" i="30"/>
  <c r="CT52" i="30"/>
  <c r="CT48" i="30"/>
  <c r="CS52" i="30"/>
  <c r="CS48" i="30"/>
  <c r="CR52" i="30"/>
  <c r="CQ52" i="30"/>
  <c r="CP52" i="30"/>
  <c r="CO52" i="30"/>
  <c r="CN52" i="30"/>
  <c r="CM52" i="30"/>
  <c r="CL52" i="30"/>
  <c r="CL48" i="30"/>
  <c r="CK52" i="30"/>
  <c r="CK48" i="30"/>
  <c r="CJ52" i="30"/>
  <c r="CI52" i="30"/>
  <c r="CH52" i="30"/>
  <c r="CG52" i="30"/>
  <c r="CF52" i="30"/>
  <c r="CE52" i="30"/>
  <c r="CD52" i="30"/>
  <c r="CC48" i="30"/>
  <c r="BB52" i="30"/>
  <c r="BB48" i="30"/>
  <c r="BA52" i="30"/>
  <c r="AZ52" i="30"/>
  <c r="AY52" i="30"/>
  <c r="AX52" i="30"/>
  <c r="AW52" i="30"/>
  <c r="AV52" i="30"/>
  <c r="AU52" i="30"/>
  <c r="AU48" i="30"/>
  <c r="AT52" i="30"/>
  <c r="AT48" i="30"/>
  <c r="AS52" i="30"/>
  <c r="AR52" i="30"/>
  <c r="AQ52" i="30"/>
  <c r="AP52" i="30"/>
  <c r="AO52" i="30"/>
  <c r="AN52" i="30"/>
  <c r="AM52" i="30"/>
  <c r="AL52" i="30"/>
  <c r="AL48" i="30"/>
  <c r="AK52" i="30"/>
  <c r="AJ52" i="30"/>
  <c r="AI52" i="30"/>
  <c r="AH52" i="30"/>
  <c r="AG52" i="30"/>
  <c r="AF52" i="30"/>
  <c r="AE52" i="30"/>
  <c r="AE48" i="30"/>
  <c r="AD52" i="30"/>
  <c r="AC48" i="30"/>
  <c r="DB51" i="30"/>
  <c r="DA51" i="30"/>
  <c r="CZ51" i="30"/>
  <c r="CY51" i="30"/>
  <c r="CX51" i="30"/>
  <c r="CW51" i="30"/>
  <c r="CV51" i="30"/>
  <c r="CV48" i="30"/>
  <c r="CU51" i="30"/>
  <c r="CU48" i="30"/>
  <c r="CT51" i="30"/>
  <c r="CS51" i="30"/>
  <c r="CR51" i="30"/>
  <c r="CQ51" i="30"/>
  <c r="CP51" i="30"/>
  <c r="CO51" i="30"/>
  <c r="CN51" i="30"/>
  <c r="CN48" i="30"/>
  <c r="CM51" i="30"/>
  <c r="CM48" i="30"/>
  <c r="CL51" i="30"/>
  <c r="CK51" i="30"/>
  <c r="CJ51" i="30"/>
  <c r="CI51" i="30"/>
  <c r="CH51" i="30"/>
  <c r="CG51" i="30"/>
  <c r="CF51" i="30"/>
  <c r="CF48" i="30"/>
  <c r="CE51" i="30"/>
  <c r="CE48" i="30"/>
  <c r="CD51" i="30"/>
  <c r="BB51" i="30"/>
  <c r="BA51" i="30"/>
  <c r="AZ51" i="30"/>
  <c r="AY51" i="30"/>
  <c r="AX51" i="30"/>
  <c r="AW51" i="30"/>
  <c r="AW48" i="30"/>
  <c r="AV51" i="30"/>
  <c r="AV48" i="30"/>
  <c r="AU51" i="30"/>
  <c r="AT51" i="30"/>
  <c r="AS51" i="30"/>
  <c r="AR51" i="30"/>
  <c r="AQ51" i="30"/>
  <c r="AP51" i="30"/>
  <c r="AO51" i="30"/>
  <c r="AO48" i="30"/>
  <c r="AN51" i="30"/>
  <c r="AN48" i="30"/>
  <c r="AM51" i="30"/>
  <c r="AL51" i="30"/>
  <c r="AK51" i="30"/>
  <c r="AJ51" i="30"/>
  <c r="AI51" i="30"/>
  <c r="AH51" i="30"/>
  <c r="AG51" i="30"/>
  <c r="AG48" i="30"/>
  <c r="AF51" i="30"/>
  <c r="AF48" i="30"/>
  <c r="AE51" i="30"/>
  <c r="AD51" i="30"/>
  <c r="DB50" i="30"/>
  <c r="DA50" i="30"/>
  <c r="CZ50" i="30"/>
  <c r="CY50" i="30"/>
  <c r="CX50" i="30"/>
  <c r="CX48" i="30"/>
  <c r="CW50" i="30"/>
  <c r="CW48" i="30"/>
  <c r="CV50" i="30"/>
  <c r="CU50" i="30"/>
  <c r="CT50" i="30"/>
  <c r="CS50" i="30"/>
  <c r="CR50" i="30"/>
  <c r="CQ50" i="30"/>
  <c r="CP50" i="30"/>
  <c r="CO50" i="30"/>
  <c r="CO48" i="30"/>
  <c r="CN50" i="30"/>
  <c r="CM50" i="30"/>
  <c r="CL50" i="30"/>
  <c r="CK50" i="30"/>
  <c r="CJ50" i="30"/>
  <c r="CI50" i="30"/>
  <c r="CH50" i="30"/>
  <c r="CH48" i="30"/>
  <c r="CG50" i="30"/>
  <c r="CG48" i="30"/>
  <c r="CF50" i="30"/>
  <c r="CE50" i="30"/>
  <c r="CD50" i="30"/>
  <c r="BB50" i="30"/>
  <c r="BA50" i="30"/>
  <c r="AZ50" i="30"/>
  <c r="AY50" i="30"/>
  <c r="AX50" i="30"/>
  <c r="AX48" i="30"/>
  <c r="AW50" i="30"/>
  <c r="AV50" i="30"/>
  <c r="AU50" i="30"/>
  <c r="AT50" i="30"/>
  <c r="AS50" i="30"/>
  <c r="AR50" i="30"/>
  <c r="AQ50" i="30"/>
  <c r="AP50" i="30"/>
  <c r="AP48" i="30"/>
  <c r="AO50" i="30"/>
  <c r="AN50" i="30"/>
  <c r="AM50" i="30"/>
  <c r="AL50" i="30"/>
  <c r="AK50" i="30"/>
  <c r="AJ50" i="30"/>
  <c r="AI50" i="30"/>
  <c r="AI48" i="30"/>
  <c r="AH50" i="30"/>
  <c r="AH48" i="30"/>
  <c r="AG50" i="30"/>
  <c r="AF50" i="30"/>
  <c r="AE50" i="30"/>
  <c r="AD50" i="30"/>
  <c r="DB49" i="30"/>
  <c r="DA49" i="30"/>
  <c r="CZ49" i="30"/>
  <c r="CZ48" i="30"/>
  <c r="CY49" i="30"/>
  <c r="CY48" i="30"/>
  <c r="CX49" i="30"/>
  <c r="CW49" i="30"/>
  <c r="CV49" i="30"/>
  <c r="CU49" i="30"/>
  <c r="CT49" i="30"/>
  <c r="CS49" i="30"/>
  <c r="CR49" i="30"/>
  <c r="CQ49" i="30"/>
  <c r="CQ48" i="30"/>
  <c r="CP49" i="30"/>
  <c r="CO49" i="30"/>
  <c r="CN49" i="30"/>
  <c r="CM49" i="30"/>
  <c r="CL49" i="30"/>
  <c r="CK49" i="30"/>
  <c r="CJ49" i="30"/>
  <c r="CJ48" i="30"/>
  <c r="CI49" i="30"/>
  <c r="CI48" i="30"/>
  <c r="CH49" i="30"/>
  <c r="CG49" i="30"/>
  <c r="CF49" i="30"/>
  <c r="CE49" i="30"/>
  <c r="CD49" i="30"/>
  <c r="BB49" i="30"/>
  <c r="BA49" i="30"/>
  <c r="BA48" i="30"/>
  <c r="AZ49" i="30"/>
  <c r="AY49" i="30"/>
  <c r="AX49" i="30"/>
  <c r="AW49" i="30"/>
  <c r="AV49" i="30"/>
  <c r="AU49" i="30"/>
  <c r="AT49" i="30"/>
  <c r="AS49" i="30"/>
  <c r="AS48" i="30"/>
  <c r="AR49" i="30"/>
  <c r="AR48" i="30"/>
  <c r="AQ49" i="30"/>
  <c r="AP49" i="30"/>
  <c r="AO49" i="30"/>
  <c r="AN49" i="30"/>
  <c r="AM49" i="30"/>
  <c r="AL49" i="30"/>
  <c r="AK49" i="30"/>
  <c r="AK48" i="30"/>
  <c r="AJ49" i="30"/>
  <c r="AJ48" i="30"/>
  <c r="AI49" i="30"/>
  <c r="AH49" i="30"/>
  <c r="AG49" i="30"/>
  <c r="AF49" i="30"/>
  <c r="AE49" i="30"/>
  <c r="AD49" i="30"/>
  <c r="DB47" i="30"/>
  <c r="DB45" i="30"/>
  <c r="DA47" i="30"/>
  <c r="DA45" i="30"/>
  <c r="CZ47" i="30"/>
  <c r="CY47" i="30"/>
  <c r="CX47" i="30"/>
  <c r="CW47" i="30"/>
  <c r="CV47" i="30"/>
  <c r="CU47" i="30"/>
  <c r="CT47" i="30"/>
  <c r="CS47" i="30"/>
  <c r="CR47" i="30"/>
  <c r="CQ47" i="30"/>
  <c r="CP47" i="30"/>
  <c r="CO47" i="30"/>
  <c r="CN47" i="30"/>
  <c r="CM47" i="30"/>
  <c r="CL47" i="30"/>
  <c r="CL45" i="30"/>
  <c r="CK47" i="30"/>
  <c r="CK45" i="30"/>
  <c r="CJ47" i="30"/>
  <c r="CI47" i="30"/>
  <c r="CH47" i="30"/>
  <c r="CG47" i="30"/>
  <c r="CF47" i="30"/>
  <c r="CE47" i="30"/>
  <c r="CD47" i="30"/>
  <c r="CD45" i="30"/>
  <c r="BB47" i="30"/>
  <c r="BB45" i="30"/>
  <c r="BA47" i="30"/>
  <c r="AZ47" i="30"/>
  <c r="AY47" i="30"/>
  <c r="AX47" i="30"/>
  <c r="AW47" i="30"/>
  <c r="AV47" i="30"/>
  <c r="AU47" i="30"/>
  <c r="AU45" i="30"/>
  <c r="AT47" i="30"/>
  <c r="AT45" i="30"/>
  <c r="AS47" i="30"/>
  <c r="AR47" i="30"/>
  <c r="AQ47" i="30"/>
  <c r="AP47" i="30"/>
  <c r="AO47" i="30"/>
  <c r="AN47" i="30"/>
  <c r="AM47" i="30"/>
  <c r="AM45" i="30"/>
  <c r="AL47" i="30"/>
  <c r="AL45" i="30"/>
  <c r="AK47" i="30"/>
  <c r="AJ47" i="30"/>
  <c r="AI47" i="30"/>
  <c r="AH47" i="30"/>
  <c r="AG47" i="30"/>
  <c r="AF47" i="30"/>
  <c r="AE47" i="30"/>
  <c r="AD47" i="30"/>
  <c r="AD45" i="30"/>
  <c r="DB46" i="30"/>
  <c r="DA46" i="30"/>
  <c r="CZ46" i="30"/>
  <c r="CY46" i="30"/>
  <c r="CX46" i="30"/>
  <c r="CW46" i="30"/>
  <c r="CV46" i="30"/>
  <c r="CV45" i="30"/>
  <c r="CU46" i="30"/>
  <c r="CU45" i="30"/>
  <c r="CT46" i="30"/>
  <c r="CS46" i="30"/>
  <c r="CR46" i="30"/>
  <c r="CQ46" i="30"/>
  <c r="CP46" i="30"/>
  <c r="CO46" i="30"/>
  <c r="CN46" i="30"/>
  <c r="CN45" i="30"/>
  <c r="CM46" i="30"/>
  <c r="CM45" i="30"/>
  <c r="CL46" i="30"/>
  <c r="CK46" i="30"/>
  <c r="CJ46" i="30"/>
  <c r="CI46" i="30"/>
  <c r="CH46" i="30"/>
  <c r="CG46" i="30"/>
  <c r="CF46" i="30"/>
  <c r="CF45" i="30"/>
  <c r="CE46" i="30"/>
  <c r="CE45" i="30"/>
  <c r="CD46" i="30"/>
  <c r="BB46" i="30"/>
  <c r="BA46" i="30"/>
  <c r="AZ46" i="30"/>
  <c r="AY46" i="30"/>
  <c r="AX46" i="30"/>
  <c r="AW46" i="30"/>
  <c r="AV46" i="30"/>
  <c r="AV45" i="30"/>
  <c r="AU46" i="30"/>
  <c r="AT46" i="30"/>
  <c r="AS46" i="30"/>
  <c r="AR46" i="30"/>
  <c r="AQ46" i="30"/>
  <c r="AP46" i="30"/>
  <c r="AO46" i="30"/>
  <c r="AN46" i="30"/>
  <c r="AN45" i="30"/>
  <c r="AM46" i="30"/>
  <c r="AL46" i="30"/>
  <c r="AK46" i="30"/>
  <c r="AJ46" i="30"/>
  <c r="AI46" i="30"/>
  <c r="AH46" i="30"/>
  <c r="AG46" i="30"/>
  <c r="AG45" i="30"/>
  <c r="AF46" i="30"/>
  <c r="AF45" i="30"/>
  <c r="AE46" i="30"/>
  <c r="AD46" i="30"/>
  <c r="DB44" i="30"/>
  <c r="DA44" i="30"/>
  <c r="CZ44" i="30"/>
  <c r="CY44" i="30"/>
  <c r="CX44" i="30"/>
  <c r="CW44" i="30"/>
  <c r="CV44" i="30"/>
  <c r="CU44" i="30"/>
  <c r="CT44" i="30"/>
  <c r="CS44" i="30"/>
  <c r="CR44" i="30"/>
  <c r="CQ44" i="30"/>
  <c r="CP44" i="30"/>
  <c r="CO44" i="30"/>
  <c r="CN44" i="30"/>
  <c r="CM44" i="30"/>
  <c r="CL44" i="30"/>
  <c r="CK44" i="30"/>
  <c r="CJ44" i="30"/>
  <c r="CI44" i="30"/>
  <c r="CH44" i="30"/>
  <c r="CG44" i="30"/>
  <c r="CF44" i="30"/>
  <c r="CE44" i="30"/>
  <c r="CD44" i="30"/>
  <c r="BB44" i="30"/>
  <c r="BA44" i="30"/>
  <c r="AZ44" i="30"/>
  <c r="AY44" i="30"/>
  <c r="AX44" i="30"/>
  <c r="AW44" i="30"/>
  <c r="AV44" i="30"/>
  <c r="AU44" i="30"/>
  <c r="AT44" i="30"/>
  <c r="AS44" i="30"/>
  <c r="AR44" i="30"/>
  <c r="AQ44" i="30"/>
  <c r="AP44" i="30"/>
  <c r="AO44" i="30"/>
  <c r="AN44" i="30"/>
  <c r="AM44" i="30"/>
  <c r="AL44" i="30"/>
  <c r="AK44" i="30"/>
  <c r="AJ44" i="30"/>
  <c r="AI44" i="30"/>
  <c r="AH44" i="30"/>
  <c r="AG44" i="30"/>
  <c r="AF44" i="30"/>
  <c r="AE44" i="30"/>
  <c r="AD44" i="30"/>
  <c r="DB43" i="30"/>
  <c r="DA43" i="30"/>
  <c r="CZ43" i="30"/>
  <c r="CY43" i="30"/>
  <c r="CX43" i="30"/>
  <c r="CW43" i="30"/>
  <c r="CV43" i="30"/>
  <c r="CU43" i="30"/>
  <c r="CT43" i="30"/>
  <c r="CS43" i="30"/>
  <c r="CR43" i="30"/>
  <c r="CQ43" i="30"/>
  <c r="CP43" i="30"/>
  <c r="CO43" i="30"/>
  <c r="CN43" i="30"/>
  <c r="CM43" i="30"/>
  <c r="CL43" i="30"/>
  <c r="CK43" i="30"/>
  <c r="CJ43" i="30"/>
  <c r="CI43" i="30"/>
  <c r="CH43" i="30"/>
  <c r="CG43" i="30"/>
  <c r="CF43" i="30"/>
  <c r="CE43" i="30"/>
  <c r="CD43" i="30"/>
  <c r="BB43" i="30"/>
  <c r="BA43" i="30"/>
  <c r="AC43" i="30"/>
  <c r="AZ43" i="30"/>
  <c r="AY43" i="30"/>
  <c r="AX43" i="30"/>
  <c r="AW43" i="30"/>
  <c r="AV43" i="30"/>
  <c r="AU43" i="30"/>
  <c r="AT43" i="30"/>
  <c r="AS43" i="30"/>
  <c r="AR43" i="30"/>
  <c r="AQ43" i="30"/>
  <c r="AP43" i="30"/>
  <c r="AO43" i="30"/>
  <c r="AN43" i="30"/>
  <c r="AM43" i="30"/>
  <c r="AL43" i="30"/>
  <c r="AK43" i="30"/>
  <c r="AJ43" i="30"/>
  <c r="AI43" i="30"/>
  <c r="AH43" i="30"/>
  <c r="AG43" i="30"/>
  <c r="AF43" i="30"/>
  <c r="AE43" i="30"/>
  <c r="AD43" i="30"/>
  <c r="DB42" i="30"/>
  <c r="DA42" i="30"/>
  <c r="CC42" i="30"/>
  <c r="CZ42" i="30"/>
  <c r="CY42" i="30"/>
  <c r="CX42" i="30"/>
  <c r="CW42" i="30"/>
  <c r="CV42" i="30"/>
  <c r="CU42" i="30"/>
  <c r="CT42" i="30"/>
  <c r="CS42" i="30"/>
  <c r="CR42" i="30"/>
  <c r="CQ42" i="30"/>
  <c r="CP42" i="30"/>
  <c r="CO42" i="30"/>
  <c r="CN42" i="30"/>
  <c r="CM42" i="30"/>
  <c r="CL42" i="30"/>
  <c r="CK42" i="30"/>
  <c r="CJ42" i="30"/>
  <c r="CI42" i="30"/>
  <c r="CH42" i="30"/>
  <c r="CG42" i="30"/>
  <c r="CF42" i="30"/>
  <c r="CE42" i="30"/>
  <c r="CD42" i="30"/>
  <c r="BB42" i="30"/>
  <c r="BA42" i="30"/>
  <c r="AZ42" i="30"/>
  <c r="AY42" i="30"/>
  <c r="AX42" i="30"/>
  <c r="AW42" i="30"/>
  <c r="AV42" i="30"/>
  <c r="AU42" i="30"/>
  <c r="AT42" i="30"/>
  <c r="AS42" i="30"/>
  <c r="AR42" i="30"/>
  <c r="AQ42" i="30"/>
  <c r="AP42" i="30"/>
  <c r="AO42" i="30"/>
  <c r="AN42" i="30"/>
  <c r="AM42" i="30"/>
  <c r="AL42" i="30"/>
  <c r="AK42" i="30"/>
  <c r="AJ42" i="30"/>
  <c r="AI42" i="30"/>
  <c r="AH42" i="30"/>
  <c r="AG42" i="30"/>
  <c r="AF42" i="30"/>
  <c r="AE42" i="30"/>
  <c r="AD42" i="30"/>
  <c r="AC42" i="30"/>
  <c r="DB41" i="30"/>
  <c r="DA41" i="30"/>
  <c r="CZ41" i="30"/>
  <c r="CY41" i="30"/>
  <c r="CX41" i="30"/>
  <c r="CW41" i="30"/>
  <c r="CV41" i="30"/>
  <c r="CU41" i="30"/>
  <c r="CT41" i="30"/>
  <c r="CS41" i="30"/>
  <c r="CR41" i="30"/>
  <c r="CQ41" i="30"/>
  <c r="CP41" i="30"/>
  <c r="CO41" i="30"/>
  <c r="CN41" i="30"/>
  <c r="CM41" i="30"/>
  <c r="CL41" i="30"/>
  <c r="CK41" i="30"/>
  <c r="CJ41" i="30"/>
  <c r="CI41" i="30"/>
  <c r="CH41" i="30"/>
  <c r="CG41" i="30"/>
  <c r="CF41" i="30"/>
  <c r="CE41" i="30"/>
  <c r="CD41" i="30"/>
  <c r="BB41" i="30"/>
  <c r="BA41" i="30"/>
  <c r="AZ41" i="30"/>
  <c r="AY41" i="30"/>
  <c r="AX41" i="30"/>
  <c r="AW41" i="30"/>
  <c r="AV41" i="30"/>
  <c r="AU41" i="30"/>
  <c r="AT41" i="30"/>
  <c r="AS41" i="30"/>
  <c r="AR41" i="30"/>
  <c r="AQ41" i="30"/>
  <c r="AP41" i="30"/>
  <c r="AO41" i="30"/>
  <c r="AN41" i="30"/>
  <c r="AM41" i="30"/>
  <c r="AL41" i="30"/>
  <c r="AK41" i="30"/>
  <c r="AJ41" i="30"/>
  <c r="AI41" i="30"/>
  <c r="AH41" i="30"/>
  <c r="AG41" i="30"/>
  <c r="AF41" i="30"/>
  <c r="AE41" i="30"/>
  <c r="AD41" i="30"/>
  <c r="DB40" i="30"/>
  <c r="DA40" i="30"/>
  <c r="CZ40" i="30"/>
  <c r="CY40" i="30"/>
  <c r="CX40" i="30"/>
  <c r="CW40" i="30"/>
  <c r="CV40" i="30"/>
  <c r="CU40" i="30"/>
  <c r="CT40" i="30"/>
  <c r="CS40" i="30"/>
  <c r="CR40" i="30"/>
  <c r="CQ40" i="30"/>
  <c r="CP40" i="30"/>
  <c r="CO40" i="30"/>
  <c r="CN40" i="30"/>
  <c r="CM40" i="30"/>
  <c r="CL40" i="30"/>
  <c r="CK40" i="30"/>
  <c r="CJ40" i="30"/>
  <c r="CI40" i="30"/>
  <c r="CH40" i="30"/>
  <c r="CG40" i="30"/>
  <c r="CF40" i="30"/>
  <c r="CE40" i="30"/>
  <c r="CD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DB39" i="30"/>
  <c r="DA39" i="30"/>
  <c r="CZ39" i="30"/>
  <c r="CY39" i="30"/>
  <c r="CX39" i="30"/>
  <c r="CW39" i="30"/>
  <c r="CV39" i="30"/>
  <c r="CU39" i="30"/>
  <c r="CT39" i="30"/>
  <c r="CS39" i="30"/>
  <c r="CR39" i="30"/>
  <c r="CQ39" i="30"/>
  <c r="CP39" i="30"/>
  <c r="CO39" i="30"/>
  <c r="CN39" i="30"/>
  <c r="CM39" i="30"/>
  <c r="CL39" i="30"/>
  <c r="CK39" i="30"/>
  <c r="CJ39" i="30"/>
  <c r="CI39" i="30"/>
  <c r="CH39" i="30"/>
  <c r="CG39" i="30"/>
  <c r="CF39" i="30"/>
  <c r="CE39" i="30"/>
  <c r="CD39" i="30"/>
  <c r="BB39" i="30"/>
  <c r="BA39" i="30"/>
  <c r="AZ39" i="30"/>
  <c r="AY39" i="30"/>
  <c r="AX39" i="30"/>
  <c r="AW39" i="30"/>
  <c r="AV39" i="30"/>
  <c r="AU39" i="30"/>
  <c r="AT39" i="30"/>
  <c r="AS39" i="30"/>
  <c r="AR39" i="30"/>
  <c r="AQ39" i="30"/>
  <c r="AP39" i="30"/>
  <c r="AO39" i="30"/>
  <c r="AN39" i="30"/>
  <c r="AM39" i="30"/>
  <c r="AL39" i="30"/>
  <c r="AK39" i="30"/>
  <c r="AJ39" i="30"/>
  <c r="AI39" i="30"/>
  <c r="AH39" i="30"/>
  <c r="AG39" i="30"/>
  <c r="AF39" i="30"/>
  <c r="AE39" i="30"/>
  <c r="AD39" i="30"/>
  <c r="DB38" i="30"/>
  <c r="DA38" i="30"/>
  <c r="CZ38" i="30"/>
  <c r="CY38" i="30"/>
  <c r="CX38" i="30"/>
  <c r="CW38" i="30"/>
  <c r="CV38" i="30"/>
  <c r="CU38" i="30"/>
  <c r="CT38" i="30"/>
  <c r="CS38" i="30"/>
  <c r="CR38" i="30"/>
  <c r="CQ38" i="30"/>
  <c r="CP38" i="30"/>
  <c r="CO38" i="30"/>
  <c r="CN38" i="30"/>
  <c r="CM38" i="30"/>
  <c r="CL38" i="30"/>
  <c r="CK38" i="30"/>
  <c r="CJ38" i="30"/>
  <c r="CI38" i="30"/>
  <c r="CH38" i="30"/>
  <c r="CG38" i="30"/>
  <c r="CF38" i="30"/>
  <c r="CE38" i="30"/>
  <c r="CD38" i="30"/>
  <c r="CC38" i="30"/>
  <c r="BB38" i="30"/>
  <c r="BA38" i="30"/>
  <c r="AZ38" i="30"/>
  <c r="AY38" i="30"/>
  <c r="AX38" i="30"/>
  <c r="AW38" i="30"/>
  <c r="AV38" i="30"/>
  <c r="AU38" i="30"/>
  <c r="AT38" i="30"/>
  <c r="AS38" i="30"/>
  <c r="AR38" i="30"/>
  <c r="AQ38" i="30"/>
  <c r="AP38" i="30"/>
  <c r="AO38" i="30"/>
  <c r="AN38" i="30"/>
  <c r="AM38" i="30"/>
  <c r="AL38" i="30"/>
  <c r="AK38" i="30"/>
  <c r="AJ38" i="30"/>
  <c r="AI38" i="30"/>
  <c r="AH38" i="30"/>
  <c r="AG38" i="30"/>
  <c r="AF38" i="30"/>
  <c r="AE38" i="30"/>
  <c r="AD38" i="30"/>
  <c r="AC38" i="30"/>
  <c r="DB37" i="30"/>
  <c r="DA37" i="30"/>
  <c r="CZ37" i="30"/>
  <c r="CY37" i="30"/>
  <c r="CX37" i="30"/>
  <c r="CW37" i="30"/>
  <c r="CV37" i="30"/>
  <c r="CU37" i="30"/>
  <c r="CC37" i="30"/>
  <c r="BY37" i="18"/>
  <c r="CT37" i="30"/>
  <c r="CS37" i="30"/>
  <c r="CR37" i="30"/>
  <c r="CQ37" i="30"/>
  <c r="CP37" i="30"/>
  <c r="CO37" i="30"/>
  <c r="CN37" i="30"/>
  <c r="CM37" i="30"/>
  <c r="CL37" i="30"/>
  <c r="CK37" i="30"/>
  <c r="CJ37" i="30"/>
  <c r="CI37" i="30"/>
  <c r="CH37" i="30"/>
  <c r="CG37" i="30"/>
  <c r="CF37" i="30"/>
  <c r="CE37" i="30"/>
  <c r="CD37" i="30"/>
  <c r="BB37" i="30"/>
  <c r="BA37" i="30"/>
  <c r="AZ37" i="30"/>
  <c r="AY37" i="30"/>
  <c r="AX37" i="30"/>
  <c r="AW37" i="30"/>
  <c r="AV37" i="30"/>
  <c r="AU37" i="30"/>
  <c r="AT37" i="30"/>
  <c r="AS37" i="30"/>
  <c r="AR37" i="30"/>
  <c r="AQ37" i="30"/>
  <c r="AP37" i="30"/>
  <c r="AO37" i="30"/>
  <c r="AN37" i="30"/>
  <c r="AM37" i="30"/>
  <c r="AL37" i="30"/>
  <c r="AK37" i="30"/>
  <c r="AJ37" i="30"/>
  <c r="AI37" i="30"/>
  <c r="AH37" i="30"/>
  <c r="AG37" i="30"/>
  <c r="AF37" i="30"/>
  <c r="AE37" i="30"/>
  <c r="AD37" i="30"/>
  <c r="DB36" i="30"/>
  <c r="DA36" i="30"/>
  <c r="CZ36" i="30"/>
  <c r="CY36" i="30"/>
  <c r="CX36" i="30"/>
  <c r="CW36" i="30"/>
  <c r="CV36" i="30"/>
  <c r="CU36" i="30"/>
  <c r="CT36" i="30"/>
  <c r="CS36" i="30"/>
  <c r="CR36" i="30"/>
  <c r="CQ36" i="30"/>
  <c r="CP36" i="30"/>
  <c r="CO36" i="30"/>
  <c r="CN36" i="30"/>
  <c r="CM36" i="30"/>
  <c r="CL36" i="30"/>
  <c r="CK36" i="30"/>
  <c r="CJ36" i="30"/>
  <c r="CI36" i="30"/>
  <c r="CH36" i="30"/>
  <c r="CG36" i="30"/>
  <c r="CF36" i="30"/>
  <c r="CE36" i="30"/>
  <c r="CD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DB35" i="30"/>
  <c r="DA35" i="30"/>
  <c r="CZ35" i="30"/>
  <c r="CZ31" i="30"/>
  <c r="CY35" i="30"/>
  <c r="CY31" i="30"/>
  <c r="CX35" i="30"/>
  <c r="CW35" i="30"/>
  <c r="CV35" i="30"/>
  <c r="CU35" i="30"/>
  <c r="CT35" i="30"/>
  <c r="CS35" i="30"/>
  <c r="CR35" i="30"/>
  <c r="CR31" i="30"/>
  <c r="CQ35" i="30"/>
  <c r="CP35" i="30"/>
  <c r="CO35" i="30"/>
  <c r="CN35" i="30"/>
  <c r="CM35" i="30"/>
  <c r="CL35" i="30"/>
  <c r="CK35" i="30"/>
  <c r="CJ35" i="30"/>
  <c r="CJ31" i="30"/>
  <c r="CI35" i="30"/>
  <c r="CI31" i="30"/>
  <c r="CH35" i="30"/>
  <c r="CG35" i="30"/>
  <c r="CF35" i="30"/>
  <c r="CE35" i="30"/>
  <c r="CD35" i="30"/>
  <c r="BB35" i="30"/>
  <c r="BA35" i="30"/>
  <c r="BA31" i="30"/>
  <c r="AZ35" i="30"/>
  <c r="AZ31" i="30"/>
  <c r="AY35" i="30"/>
  <c r="AX35" i="30"/>
  <c r="AW35" i="30"/>
  <c r="AV35" i="30"/>
  <c r="AU35" i="30"/>
  <c r="AT35" i="30"/>
  <c r="AS35" i="30"/>
  <c r="AS31" i="30"/>
  <c r="AR35" i="30"/>
  <c r="AR31" i="30"/>
  <c r="AQ35" i="30"/>
  <c r="AP35" i="30"/>
  <c r="AO35" i="30"/>
  <c r="AN35" i="30"/>
  <c r="AM35" i="30"/>
  <c r="AL35" i="30"/>
  <c r="AK35" i="30"/>
  <c r="AK31" i="30"/>
  <c r="AJ35" i="30"/>
  <c r="AJ31" i="30"/>
  <c r="AI35" i="30"/>
  <c r="AH35" i="30"/>
  <c r="AG35" i="30"/>
  <c r="AF35" i="30"/>
  <c r="AE35" i="30"/>
  <c r="AD35" i="30"/>
  <c r="DB34" i="30"/>
  <c r="DB31" i="30"/>
  <c r="DA34" i="30"/>
  <c r="DA31" i="30"/>
  <c r="CZ34" i="30"/>
  <c r="CY34" i="30"/>
  <c r="CX34" i="30"/>
  <c r="CW34" i="30"/>
  <c r="CV34" i="30"/>
  <c r="CU34" i="30"/>
  <c r="CT34" i="30"/>
  <c r="CS34" i="30"/>
  <c r="CS31" i="30"/>
  <c r="CR34" i="30"/>
  <c r="CQ34" i="30"/>
  <c r="CP34" i="30"/>
  <c r="CO34" i="30"/>
  <c r="CN34" i="30"/>
  <c r="CM34" i="30"/>
  <c r="CL34" i="30"/>
  <c r="CL31" i="30"/>
  <c r="CK34" i="30"/>
  <c r="CK31" i="30"/>
  <c r="CJ34" i="30"/>
  <c r="CI34" i="30"/>
  <c r="CH34" i="30"/>
  <c r="CG34" i="30"/>
  <c r="CF34" i="30"/>
  <c r="CE34" i="30"/>
  <c r="CD34" i="30"/>
  <c r="CC34" i="30"/>
  <c r="BB34" i="30"/>
  <c r="BB31" i="30"/>
  <c r="BA34" i="30"/>
  <c r="AZ34" i="30"/>
  <c r="AY34" i="30"/>
  <c r="AX34" i="30"/>
  <c r="AW34" i="30"/>
  <c r="AV34" i="30"/>
  <c r="AU34" i="30"/>
  <c r="AU31" i="30"/>
  <c r="AT34" i="30"/>
  <c r="AT31" i="30"/>
  <c r="AS34" i="30"/>
  <c r="AR34" i="30"/>
  <c r="AQ34" i="30"/>
  <c r="AP34" i="30"/>
  <c r="AO34" i="30"/>
  <c r="AN34" i="30"/>
  <c r="AM34" i="30"/>
  <c r="AM31" i="30"/>
  <c r="AL34" i="30"/>
  <c r="AL31" i="30"/>
  <c r="AK34" i="30"/>
  <c r="AJ34" i="30"/>
  <c r="AI34" i="30"/>
  <c r="AH34" i="30"/>
  <c r="AG34" i="30"/>
  <c r="AF34" i="30"/>
  <c r="AE34" i="30"/>
  <c r="AD34" i="30"/>
  <c r="DB33" i="30"/>
  <c r="DA33" i="30"/>
  <c r="CZ33" i="30"/>
  <c r="CY33" i="30"/>
  <c r="CX33" i="30"/>
  <c r="CW33" i="30"/>
  <c r="CV33" i="30"/>
  <c r="CU33" i="30"/>
  <c r="CC33" i="30"/>
  <c r="CT33" i="30"/>
  <c r="CS33" i="30"/>
  <c r="CR33" i="30"/>
  <c r="CQ33" i="30"/>
  <c r="CP33" i="30"/>
  <c r="CO33" i="30"/>
  <c r="CN33" i="30"/>
  <c r="CN31" i="30"/>
  <c r="CM33" i="30"/>
  <c r="CL33" i="30"/>
  <c r="CK33" i="30"/>
  <c r="CJ33" i="30"/>
  <c r="CI33" i="30"/>
  <c r="CH33" i="30"/>
  <c r="CG33" i="30"/>
  <c r="CF33" i="30"/>
  <c r="CF31" i="30"/>
  <c r="CE33" i="30"/>
  <c r="CE31" i="30"/>
  <c r="CD33" i="30"/>
  <c r="BB33" i="30"/>
  <c r="BA33" i="30"/>
  <c r="AZ33" i="30"/>
  <c r="AY33" i="30"/>
  <c r="AX33" i="30"/>
  <c r="AW33" i="30"/>
  <c r="AW31" i="30"/>
  <c r="AV33" i="30"/>
  <c r="AV31" i="30"/>
  <c r="AU33" i="30"/>
  <c r="AT33" i="30"/>
  <c r="AS33" i="30"/>
  <c r="AR33" i="30"/>
  <c r="AQ33" i="30"/>
  <c r="AP33" i="30"/>
  <c r="AO33" i="30"/>
  <c r="AO31" i="30"/>
  <c r="AN33" i="30"/>
  <c r="AN31" i="30"/>
  <c r="AM33" i="30"/>
  <c r="AL33" i="30"/>
  <c r="AK33" i="30"/>
  <c r="AJ33" i="30"/>
  <c r="AI33" i="30"/>
  <c r="AH33" i="30"/>
  <c r="AG33" i="30"/>
  <c r="AG31" i="30"/>
  <c r="AF33" i="30"/>
  <c r="AF31" i="30"/>
  <c r="AE33" i="30"/>
  <c r="AD33" i="30"/>
  <c r="DB32" i="30"/>
  <c r="DA32" i="30"/>
  <c r="CZ32" i="30"/>
  <c r="CY32" i="30"/>
  <c r="CX32" i="30"/>
  <c r="CX31" i="30"/>
  <c r="CW32" i="30"/>
  <c r="CW31" i="30"/>
  <c r="CV32" i="30"/>
  <c r="CU32" i="30"/>
  <c r="CT32" i="30"/>
  <c r="CS32" i="30"/>
  <c r="CR32" i="30"/>
  <c r="CQ32" i="30"/>
  <c r="CP32" i="30"/>
  <c r="CP31" i="30"/>
  <c r="CO32" i="30"/>
  <c r="CO31" i="30"/>
  <c r="CN32" i="30"/>
  <c r="CM32" i="30"/>
  <c r="CL32" i="30"/>
  <c r="CK32" i="30"/>
  <c r="CJ32" i="30"/>
  <c r="CI32" i="30"/>
  <c r="CH32" i="30"/>
  <c r="CG32" i="30"/>
  <c r="CF32" i="30"/>
  <c r="CE32" i="30"/>
  <c r="CD32" i="30"/>
  <c r="BB32" i="30"/>
  <c r="BA32" i="30"/>
  <c r="AZ32" i="30"/>
  <c r="AY32" i="30"/>
  <c r="AY31" i="30"/>
  <c r="AX32" i="30"/>
  <c r="AX31" i="30"/>
  <c r="AW32" i="30"/>
  <c r="AV32" i="30"/>
  <c r="AU32" i="30"/>
  <c r="AT32" i="30"/>
  <c r="AS32" i="30"/>
  <c r="AR32" i="30"/>
  <c r="AQ32" i="30"/>
  <c r="AQ31" i="30"/>
  <c r="AP32" i="30"/>
  <c r="AO32" i="30"/>
  <c r="AN32" i="30"/>
  <c r="AM32" i="30"/>
  <c r="AL32" i="30"/>
  <c r="AK32" i="30"/>
  <c r="AJ32" i="30"/>
  <c r="AI32" i="30"/>
  <c r="AH32" i="30"/>
  <c r="AH31" i="30"/>
  <c r="AG32" i="30"/>
  <c r="AF32" i="30"/>
  <c r="AE32" i="30"/>
  <c r="AD32" i="30"/>
  <c r="DB76" i="31"/>
  <c r="DA76" i="31"/>
  <c r="CZ76" i="31"/>
  <c r="CY76" i="31"/>
  <c r="CX76" i="31"/>
  <c r="CW76" i="31"/>
  <c r="CV76" i="31"/>
  <c r="CU76" i="31"/>
  <c r="CT76" i="31"/>
  <c r="CS76" i="31"/>
  <c r="CR76" i="31"/>
  <c r="CQ76" i="31"/>
  <c r="CP76" i="31"/>
  <c r="CO76" i="31"/>
  <c r="CN76" i="31"/>
  <c r="CM76" i="31"/>
  <c r="CL76" i="31"/>
  <c r="CK76" i="31"/>
  <c r="CJ76" i="31"/>
  <c r="CI76" i="31"/>
  <c r="CH76" i="31"/>
  <c r="CG76" i="31"/>
  <c r="CF76" i="31"/>
  <c r="CE76" i="31"/>
  <c r="CD76" i="31"/>
  <c r="BB76" i="31"/>
  <c r="BA76" i="31"/>
  <c r="AZ76" i="31"/>
  <c r="AY76" i="31"/>
  <c r="AX76" i="31"/>
  <c r="AW76" i="31"/>
  <c r="AV76" i="31"/>
  <c r="AU76" i="31"/>
  <c r="AT76" i="31"/>
  <c r="AS76" i="31"/>
  <c r="AR76" i="31"/>
  <c r="AQ76" i="31"/>
  <c r="AP76" i="31"/>
  <c r="AO76" i="31"/>
  <c r="AN76" i="31"/>
  <c r="AM76" i="31"/>
  <c r="AL76" i="31"/>
  <c r="AK76" i="31"/>
  <c r="AJ76" i="31"/>
  <c r="AI76" i="31"/>
  <c r="AH76" i="31"/>
  <c r="AG76" i="31"/>
  <c r="AF76" i="31"/>
  <c r="AE76" i="31"/>
  <c r="AD76" i="31"/>
  <c r="DB75" i="31"/>
  <c r="DA75" i="31"/>
  <c r="CZ75" i="31"/>
  <c r="CY75" i="31"/>
  <c r="CX75" i="31"/>
  <c r="CW75" i="31"/>
  <c r="CV75" i="31"/>
  <c r="CU75" i="31"/>
  <c r="CT75" i="31"/>
  <c r="CS75" i="31"/>
  <c r="CR75" i="31"/>
  <c r="CQ75" i="31"/>
  <c r="CP75" i="31"/>
  <c r="CO75" i="31"/>
  <c r="CN75" i="31"/>
  <c r="CM75" i="31"/>
  <c r="CL75" i="31"/>
  <c r="CK75" i="31"/>
  <c r="CJ75" i="31"/>
  <c r="CI75" i="31"/>
  <c r="CH75" i="31"/>
  <c r="CG75" i="31"/>
  <c r="CF75" i="31"/>
  <c r="CE75" i="31"/>
  <c r="CD75" i="31"/>
  <c r="BB75" i="31"/>
  <c r="BA75" i="31"/>
  <c r="AZ75" i="31"/>
  <c r="AY75" i="31"/>
  <c r="AX75" i="31"/>
  <c r="AW75" i="31"/>
  <c r="AV75" i="31"/>
  <c r="AU75" i="31"/>
  <c r="AT75" i="31"/>
  <c r="AS75" i="31"/>
  <c r="AR75" i="31"/>
  <c r="AQ75" i="31"/>
  <c r="AP75" i="31"/>
  <c r="AO75" i="31"/>
  <c r="AN75" i="31"/>
  <c r="AM75" i="31"/>
  <c r="AL75" i="31"/>
  <c r="AK75" i="31"/>
  <c r="AJ75" i="31"/>
  <c r="AI75" i="31"/>
  <c r="AH75" i="31"/>
  <c r="AG75" i="31"/>
  <c r="AF75" i="31"/>
  <c r="AE75" i="31"/>
  <c r="AD75" i="31"/>
  <c r="DB74" i="31"/>
  <c r="DA74" i="31"/>
  <c r="CZ74" i="31"/>
  <c r="CY74" i="31"/>
  <c r="CX74" i="31"/>
  <c r="CW74" i="31"/>
  <c r="CV74" i="31"/>
  <c r="CU74" i="31"/>
  <c r="CT74" i="31"/>
  <c r="CS74" i="31"/>
  <c r="CR74" i="31"/>
  <c r="CQ74" i="31"/>
  <c r="CP74" i="31"/>
  <c r="CO74" i="31"/>
  <c r="CN74" i="31"/>
  <c r="CM74" i="31"/>
  <c r="CL74" i="31"/>
  <c r="CK74" i="31"/>
  <c r="CJ74" i="31"/>
  <c r="CI74" i="31"/>
  <c r="CH74" i="31"/>
  <c r="CG74" i="31"/>
  <c r="CF74" i="31"/>
  <c r="CE74" i="31"/>
  <c r="CD74" i="31"/>
  <c r="BB74" i="31"/>
  <c r="BA74" i="31"/>
  <c r="AZ74" i="31"/>
  <c r="AY74" i="31"/>
  <c r="AX74" i="31"/>
  <c r="AW74" i="31"/>
  <c r="AV74" i="31"/>
  <c r="AU74" i="31"/>
  <c r="AT74" i="31"/>
  <c r="AS74" i="31"/>
  <c r="AR74" i="31"/>
  <c r="AQ74" i="31"/>
  <c r="AP74" i="31"/>
  <c r="AO74" i="31"/>
  <c r="AN74" i="31"/>
  <c r="AM74" i="31"/>
  <c r="AL74" i="31"/>
  <c r="AK74" i="31"/>
  <c r="AJ74" i="31"/>
  <c r="AI74" i="31"/>
  <c r="AH74" i="31"/>
  <c r="AG74" i="31"/>
  <c r="AF74" i="31"/>
  <c r="AE74" i="31"/>
  <c r="AD74" i="31"/>
  <c r="DB73" i="31"/>
  <c r="DA73" i="31"/>
  <c r="CZ73" i="31"/>
  <c r="CY73" i="31"/>
  <c r="CX73" i="31"/>
  <c r="CW73" i="31"/>
  <c r="CV73" i="31"/>
  <c r="CU73" i="31"/>
  <c r="CT73" i="31"/>
  <c r="CS73" i="31"/>
  <c r="CR73" i="31"/>
  <c r="CQ73" i="31"/>
  <c r="CP73" i="31"/>
  <c r="CO73" i="31"/>
  <c r="CN73" i="31"/>
  <c r="CM73" i="31"/>
  <c r="CL73" i="31"/>
  <c r="CK73" i="31"/>
  <c r="CJ73" i="31"/>
  <c r="CI73" i="31"/>
  <c r="CH73" i="31"/>
  <c r="CG73" i="31"/>
  <c r="CF73" i="31"/>
  <c r="CE73" i="31"/>
  <c r="CD73" i="31"/>
  <c r="CC73" i="31"/>
  <c r="BB73" i="31"/>
  <c r="BA73" i="31"/>
  <c r="AZ73" i="31"/>
  <c r="AY73" i="31"/>
  <c r="AX73" i="31"/>
  <c r="AW73" i="31"/>
  <c r="AV73" i="31"/>
  <c r="AU73" i="31"/>
  <c r="AC73" i="31"/>
  <c r="AT73" i="31"/>
  <c r="AS73" i="31"/>
  <c r="AR73" i="31"/>
  <c r="AQ73" i="31"/>
  <c r="AP73" i="31"/>
  <c r="AO73" i="31"/>
  <c r="AN73" i="31"/>
  <c r="AM73" i="31"/>
  <c r="AL73" i="31"/>
  <c r="AK73" i="31"/>
  <c r="AJ73" i="31"/>
  <c r="AI73" i="31"/>
  <c r="AH73" i="31"/>
  <c r="AG73" i="31"/>
  <c r="AF73" i="31"/>
  <c r="AE73" i="31"/>
  <c r="AD73" i="31"/>
  <c r="DB72" i="31"/>
  <c r="DA72" i="31"/>
  <c r="CZ72" i="31"/>
  <c r="CY72" i="31"/>
  <c r="CX72" i="31"/>
  <c r="CW72" i="31"/>
  <c r="CV72" i="31"/>
  <c r="CU72" i="31"/>
  <c r="CT72" i="31"/>
  <c r="CS72" i="31"/>
  <c r="CR72" i="31"/>
  <c r="CQ72" i="31"/>
  <c r="CP72" i="31"/>
  <c r="CO72" i="31"/>
  <c r="CN72" i="31"/>
  <c r="CM72" i="31"/>
  <c r="CL72" i="31"/>
  <c r="CK72" i="31"/>
  <c r="CJ72" i="31"/>
  <c r="CI72" i="31"/>
  <c r="CH72" i="31"/>
  <c r="CG72" i="31"/>
  <c r="CF72" i="31"/>
  <c r="CE72" i="31"/>
  <c r="CD72" i="31"/>
  <c r="BB72" i="31"/>
  <c r="BA72" i="31"/>
  <c r="AZ72" i="31"/>
  <c r="AY72" i="31"/>
  <c r="AX72" i="31"/>
  <c r="AW72" i="31"/>
  <c r="AV72" i="31"/>
  <c r="AU72" i="31"/>
  <c r="AT72" i="31"/>
  <c r="AS72" i="31"/>
  <c r="AR72" i="31"/>
  <c r="AQ72" i="31"/>
  <c r="AP72" i="31"/>
  <c r="AO72" i="31"/>
  <c r="AN72" i="31"/>
  <c r="AM72" i="31"/>
  <c r="AL72" i="31"/>
  <c r="AK72" i="31"/>
  <c r="AJ72" i="31"/>
  <c r="AI72" i="31"/>
  <c r="AH72" i="31"/>
  <c r="AG72" i="31"/>
  <c r="AF72" i="31"/>
  <c r="AE72" i="31"/>
  <c r="AD72" i="31"/>
  <c r="DB71" i="31"/>
  <c r="DA71" i="31"/>
  <c r="CZ71" i="31"/>
  <c r="CY71" i="31"/>
  <c r="CX71" i="31"/>
  <c r="CW71" i="31"/>
  <c r="CV71" i="31"/>
  <c r="CU71" i="31"/>
  <c r="CT71" i="31"/>
  <c r="CS71" i="31"/>
  <c r="CR71" i="31"/>
  <c r="CQ71" i="31"/>
  <c r="CP71" i="31"/>
  <c r="CO71" i="31"/>
  <c r="CN71" i="31"/>
  <c r="CM71" i="31"/>
  <c r="CL71" i="31"/>
  <c r="CK71" i="31"/>
  <c r="CJ71" i="31"/>
  <c r="CI71" i="31"/>
  <c r="CH71" i="31"/>
  <c r="CG71" i="31"/>
  <c r="CF71" i="31"/>
  <c r="CE71" i="31"/>
  <c r="CD71" i="31"/>
  <c r="BB71" i="31"/>
  <c r="BA71" i="31"/>
  <c r="AZ71" i="31"/>
  <c r="AY71" i="31"/>
  <c r="AX71" i="31"/>
  <c r="AW71" i="31"/>
  <c r="AV71" i="31"/>
  <c r="AU71" i="31"/>
  <c r="AT71" i="31"/>
  <c r="AS71" i="31"/>
  <c r="AR71" i="31"/>
  <c r="AQ71" i="31"/>
  <c r="AP71" i="31"/>
  <c r="AO71" i="31"/>
  <c r="AN71" i="31"/>
  <c r="AM71" i="31"/>
  <c r="AL71" i="31"/>
  <c r="AK71" i="31"/>
  <c r="AJ71" i="31"/>
  <c r="AI71" i="31"/>
  <c r="AH71" i="31"/>
  <c r="AG71" i="31"/>
  <c r="AF71" i="31"/>
  <c r="AE71" i="31"/>
  <c r="AD71" i="31"/>
  <c r="DB70" i="31"/>
  <c r="DA70" i="31"/>
  <c r="CZ70" i="31"/>
  <c r="CY70" i="31"/>
  <c r="CX70" i="31"/>
  <c r="CW70" i="31"/>
  <c r="CV70" i="31"/>
  <c r="CU70" i="31"/>
  <c r="CT70" i="31"/>
  <c r="CS70" i="31"/>
  <c r="CR70" i="31"/>
  <c r="CQ70" i="31"/>
  <c r="CP70" i="31"/>
  <c r="CO70" i="31"/>
  <c r="CN70" i="31"/>
  <c r="CM70" i="31"/>
  <c r="CL70" i="31"/>
  <c r="CK70" i="31"/>
  <c r="CJ70" i="31"/>
  <c r="CI70" i="31"/>
  <c r="CH70" i="31"/>
  <c r="CG70" i="31"/>
  <c r="CF70" i="31"/>
  <c r="CE70" i="31"/>
  <c r="CD70" i="31"/>
  <c r="BB70" i="31"/>
  <c r="BA70" i="31"/>
  <c r="AC70" i="31"/>
  <c r="AZ70" i="31"/>
  <c r="AY70" i="31"/>
  <c r="AX70" i="31"/>
  <c r="AW70" i="31"/>
  <c r="AV70" i="31"/>
  <c r="AU70" i="31"/>
  <c r="AT70" i="31"/>
  <c r="AS70" i="31"/>
  <c r="AR70" i="31"/>
  <c r="AQ70" i="31"/>
  <c r="AP70" i="31"/>
  <c r="AO70" i="31"/>
  <c r="AN70" i="31"/>
  <c r="AM70" i="31"/>
  <c r="AL70" i="31"/>
  <c r="AK70" i="31"/>
  <c r="AJ70" i="31"/>
  <c r="AI70" i="31"/>
  <c r="AH70" i="31"/>
  <c r="AG70" i="31"/>
  <c r="AF70" i="31"/>
  <c r="AE70" i="31"/>
  <c r="AD70" i="31"/>
  <c r="DB69" i="31"/>
  <c r="DA69" i="31"/>
  <c r="CZ69" i="31"/>
  <c r="CY69" i="31"/>
  <c r="CX69" i="31"/>
  <c r="CW69" i="31"/>
  <c r="CV69" i="31"/>
  <c r="CU69" i="31"/>
  <c r="CT69" i="31"/>
  <c r="CS69" i="31"/>
  <c r="CR69" i="31"/>
  <c r="CQ69" i="31"/>
  <c r="CP69" i="31"/>
  <c r="CO69" i="31"/>
  <c r="CN69" i="31"/>
  <c r="CM69" i="31"/>
  <c r="CL69" i="31"/>
  <c r="CK69" i="31"/>
  <c r="CJ69" i="31"/>
  <c r="CI69" i="31"/>
  <c r="CH69" i="31"/>
  <c r="CG69" i="31"/>
  <c r="CF69" i="31"/>
  <c r="CE69" i="31"/>
  <c r="CD69" i="31"/>
  <c r="CC69" i="31"/>
  <c r="BB69" i="31"/>
  <c r="BA69" i="31"/>
  <c r="AZ69" i="31"/>
  <c r="AY69" i="31"/>
  <c r="AX69" i="31"/>
  <c r="AW69" i="31"/>
  <c r="AV69" i="31"/>
  <c r="AU69" i="31"/>
  <c r="AC69" i="31"/>
  <c r="AT69" i="31"/>
  <c r="AS69" i="31"/>
  <c r="AR69" i="31"/>
  <c r="AQ69" i="31"/>
  <c r="AP69" i="31"/>
  <c r="AO69" i="31"/>
  <c r="AN69" i="31"/>
  <c r="AM69" i="31"/>
  <c r="AL69" i="31"/>
  <c r="AK69" i="31"/>
  <c r="AJ69" i="31"/>
  <c r="AI69" i="31"/>
  <c r="AH69" i="31"/>
  <c r="AG69" i="31"/>
  <c r="AF69" i="31"/>
  <c r="AE69" i="31"/>
  <c r="AD69" i="31"/>
  <c r="DB68" i="31"/>
  <c r="DA68" i="31"/>
  <c r="CZ68" i="31"/>
  <c r="CY68" i="31"/>
  <c r="CX68" i="31"/>
  <c r="CW68" i="31"/>
  <c r="CV68" i="31"/>
  <c r="CU68" i="31"/>
  <c r="CT68" i="31"/>
  <c r="CS68" i="31"/>
  <c r="CR68" i="31"/>
  <c r="CQ68" i="31"/>
  <c r="CP68" i="31"/>
  <c r="CO68" i="31"/>
  <c r="CN68" i="31"/>
  <c r="CM68" i="31"/>
  <c r="CL68" i="31"/>
  <c r="CK68" i="31"/>
  <c r="CJ68" i="31"/>
  <c r="CI68" i="31"/>
  <c r="CH68" i="31"/>
  <c r="CG68" i="31"/>
  <c r="CF68" i="31"/>
  <c r="CE68" i="31"/>
  <c r="CD68" i="31"/>
  <c r="BB68" i="31"/>
  <c r="BA68" i="31"/>
  <c r="AZ68" i="31"/>
  <c r="AY68" i="31"/>
  <c r="AX68" i="31"/>
  <c r="AW68" i="31"/>
  <c r="AV68" i="31"/>
  <c r="AU68" i="31"/>
  <c r="AT68" i="31"/>
  <c r="AS68" i="31"/>
  <c r="AR68" i="31"/>
  <c r="AQ68" i="31"/>
  <c r="AP68" i="31"/>
  <c r="AO68" i="31"/>
  <c r="AN68" i="31"/>
  <c r="AM68" i="31"/>
  <c r="AL68" i="31"/>
  <c r="AK68" i="31"/>
  <c r="AJ68" i="31"/>
  <c r="AI68" i="31"/>
  <c r="AH68" i="31"/>
  <c r="AG68" i="31"/>
  <c r="AF68" i="31"/>
  <c r="AE68" i="31"/>
  <c r="AD68" i="31"/>
  <c r="DB67" i="31"/>
  <c r="DA67" i="31"/>
  <c r="CZ67" i="31"/>
  <c r="CY67" i="31"/>
  <c r="CX67" i="31"/>
  <c r="CX63" i="31"/>
  <c r="CW67" i="31"/>
  <c r="CV67" i="31"/>
  <c r="CU67" i="31"/>
  <c r="CT67" i="31"/>
  <c r="CS67" i="31"/>
  <c r="CR67" i="31"/>
  <c r="CQ67" i="31"/>
  <c r="CP67" i="31"/>
  <c r="CP63" i="31"/>
  <c r="CO67" i="31"/>
  <c r="CN67" i="31"/>
  <c r="CM67" i="31"/>
  <c r="CL67" i="31"/>
  <c r="CK67" i="31"/>
  <c r="CJ67" i="31"/>
  <c r="CI67" i="31"/>
  <c r="CH67" i="31"/>
  <c r="CH63" i="31"/>
  <c r="CG67" i="31"/>
  <c r="CF67" i="31"/>
  <c r="CE67" i="31"/>
  <c r="CD67" i="31"/>
  <c r="BB67" i="31"/>
  <c r="BA67" i="31"/>
  <c r="AZ67" i="31"/>
  <c r="AY67" i="31"/>
  <c r="AY63" i="31"/>
  <c r="AX67" i="31"/>
  <c r="AW67" i="31"/>
  <c r="AV67" i="31"/>
  <c r="AU67" i="31"/>
  <c r="AT67" i="31"/>
  <c r="AS67" i="31"/>
  <c r="AR67" i="31"/>
  <c r="AQ67" i="31"/>
  <c r="AQ63" i="31"/>
  <c r="AP67" i="31"/>
  <c r="AO67" i="31"/>
  <c r="AN67" i="31"/>
  <c r="AM67" i="31"/>
  <c r="AL67" i="31"/>
  <c r="AK67" i="31"/>
  <c r="AJ67" i="31"/>
  <c r="AI67" i="31"/>
  <c r="AI63" i="31"/>
  <c r="AH67" i="31"/>
  <c r="AG67" i="31"/>
  <c r="AF67" i="31"/>
  <c r="AE67" i="31"/>
  <c r="AD67" i="31"/>
  <c r="DB66" i="31"/>
  <c r="DA66" i="31"/>
  <c r="CZ66" i="31"/>
  <c r="CZ63" i="31"/>
  <c r="CY66" i="31"/>
  <c r="CX66" i="31"/>
  <c r="CW66" i="31"/>
  <c r="CV66" i="31"/>
  <c r="CU66" i="31"/>
  <c r="CT66" i="31"/>
  <c r="CS66" i="31"/>
  <c r="CR66" i="31"/>
  <c r="CR63" i="31"/>
  <c r="CQ66" i="31"/>
  <c r="CP66" i="31"/>
  <c r="CO66" i="31"/>
  <c r="CN66" i="31"/>
  <c r="CM66" i="31"/>
  <c r="CL66" i="31"/>
  <c r="CK66" i="31"/>
  <c r="CJ66" i="31"/>
  <c r="CJ63" i="31"/>
  <c r="CI66" i="31"/>
  <c r="CH66" i="31"/>
  <c r="CG66" i="31"/>
  <c r="CF66" i="31"/>
  <c r="CE66" i="31"/>
  <c r="CD66" i="31"/>
  <c r="BB66" i="31"/>
  <c r="BA66" i="31"/>
  <c r="AC66" i="31"/>
  <c r="AZ66" i="31"/>
  <c r="AY66" i="31"/>
  <c r="AX66" i="31"/>
  <c r="AW66" i="31"/>
  <c r="AV66" i="31"/>
  <c r="AU66" i="31"/>
  <c r="AT66" i="31"/>
  <c r="AS66" i="31"/>
  <c r="AS63" i="31"/>
  <c r="AR66" i="31"/>
  <c r="AQ66" i="31"/>
  <c r="AP66" i="31"/>
  <c r="AO66" i="31"/>
  <c r="AN66" i="31"/>
  <c r="AM66" i="31"/>
  <c r="AL66" i="31"/>
  <c r="AK66" i="31"/>
  <c r="AK63" i="31"/>
  <c r="AJ66" i="31"/>
  <c r="AI66" i="31"/>
  <c r="AH66" i="31"/>
  <c r="AG66" i="31"/>
  <c r="AF66" i="31"/>
  <c r="AE66" i="31"/>
  <c r="AD66" i="31"/>
  <c r="DB65" i="31"/>
  <c r="DB63" i="31"/>
  <c r="DA65" i="31"/>
  <c r="CZ65" i="31"/>
  <c r="CY65" i="31"/>
  <c r="CX65" i="31"/>
  <c r="CW65" i="31"/>
  <c r="CV65" i="31"/>
  <c r="CU65" i="31"/>
  <c r="CT65" i="31"/>
  <c r="CT63" i="31"/>
  <c r="CS65" i="31"/>
  <c r="CR65" i="31"/>
  <c r="CQ65" i="31"/>
  <c r="CP65" i="31"/>
  <c r="CO65" i="31"/>
  <c r="CN65" i="31"/>
  <c r="CM65" i="31"/>
  <c r="CL65" i="31"/>
  <c r="CL63" i="31"/>
  <c r="CK65" i="31"/>
  <c r="CJ65" i="31"/>
  <c r="CI65" i="31"/>
  <c r="CH65" i="31"/>
  <c r="CG65" i="31"/>
  <c r="CF65" i="31"/>
  <c r="CE65" i="31"/>
  <c r="CD65" i="31"/>
  <c r="BB65" i="31"/>
  <c r="BA65" i="31"/>
  <c r="AZ65" i="31"/>
  <c r="AY65" i="31"/>
  <c r="AX65" i="31"/>
  <c r="AW65" i="31"/>
  <c r="AV65" i="31"/>
  <c r="AU65" i="31"/>
  <c r="AT65" i="31"/>
  <c r="AS65" i="31"/>
  <c r="AR65" i="31"/>
  <c r="AQ65" i="31"/>
  <c r="AP65" i="31"/>
  <c r="AO65" i="31"/>
  <c r="AN65" i="31"/>
  <c r="AM65" i="31"/>
  <c r="AM63" i="31"/>
  <c r="AL65" i="31"/>
  <c r="AK65" i="31"/>
  <c r="AJ65" i="31"/>
  <c r="AI65" i="31"/>
  <c r="AH65" i="31"/>
  <c r="AG65" i="31"/>
  <c r="AF65" i="31"/>
  <c r="AE65" i="31"/>
  <c r="AE63" i="31"/>
  <c r="AD65" i="31"/>
  <c r="DB64" i="31"/>
  <c r="DA64" i="31"/>
  <c r="CZ64" i="31"/>
  <c r="CY64" i="31"/>
  <c r="CX64" i="31"/>
  <c r="CW64" i="31"/>
  <c r="CV64" i="31"/>
  <c r="CV63" i="31"/>
  <c r="CU64" i="31"/>
  <c r="CT64" i="31"/>
  <c r="CS64" i="31"/>
  <c r="CR64" i="31"/>
  <c r="CQ64" i="31"/>
  <c r="CP64" i="31"/>
  <c r="CO64" i="31"/>
  <c r="CN64" i="31"/>
  <c r="CN63" i="31"/>
  <c r="CM64" i="31"/>
  <c r="CL64" i="31"/>
  <c r="CK64" i="31"/>
  <c r="CJ64" i="31"/>
  <c r="CI64" i="31"/>
  <c r="CH64" i="31"/>
  <c r="CG64" i="31"/>
  <c r="CF64" i="31"/>
  <c r="CF63" i="31"/>
  <c r="CE64" i="31"/>
  <c r="CD64" i="31"/>
  <c r="BB64" i="31"/>
  <c r="BA64" i="31"/>
  <c r="AZ64" i="31"/>
  <c r="AY64" i="31"/>
  <c r="AX64" i="31"/>
  <c r="AW64" i="31"/>
  <c r="AW63" i="31"/>
  <c r="AV64" i="31"/>
  <c r="AU64" i="31"/>
  <c r="AT64" i="31"/>
  <c r="AS64" i="31"/>
  <c r="AR64" i="31"/>
  <c r="AQ64" i="31"/>
  <c r="AP64" i="31"/>
  <c r="AO64" i="31"/>
  <c r="AO63" i="31"/>
  <c r="AN64" i="31"/>
  <c r="AM64" i="31"/>
  <c r="AL64" i="31"/>
  <c r="AK64" i="31"/>
  <c r="AJ64" i="31"/>
  <c r="AI64" i="31"/>
  <c r="AH64" i="31"/>
  <c r="AG64" i="31"/>
  <c r="AG63" i="31"/>
  <c r="AF64" i="31"/>
  <c r="AE64" i="31"/>
  <c r="AD64" i="31"/>
  <c r="DB62" i="31"/>
  <c r="DA62" i="31"/>
  <c r="CZ62" i="31"/>
  <c r="CY62" i="31"/>
  <c r="CX62" i="31"/>
  <c r="CW62" i="31"/>
  <c r="CV62" i="31"/>
  <c r="CU62" i="31"/>
  <c r="CT62" i="31"/>
  <c r="CS62" i="31"/>
  <c r="CR62" i="31"/>
  <c r="CQ62" i="31"/>
  <c r="CP62" i="31"/>
  <c r="CO62" i="31"/>
  <c r="CN62" i="31"/>
  <c r="CM62" i="31"/>
  <c r="CL62" i="31"/>
  <c r="CK62" i="31"/>
  <c r="CJ62" i="31"/>
  <c r="CI62" i="31"/>
  <c r="CH62" i="31"/>
  <c r="CG62" i="31"/>
  <c r="CF62" i="31"/>
  <c r="CE62" i="31"/>
  <c r="CD62" i="31"/>
  <c r="BB62" i="31"/>
  <c r="BA62" i="31"/>
  <c r="AZ62" i="31"/>
  <c r="AY62" i="31"/>
  <c r="AX62" i="31"/>
  <c r="AW62" i="31"/>
  <c r="AV62" i="31"/>
  <c r="AU62" i="31"/>
  <c r="AT62" i="31"/>
  <c r="AS62" i="31"/>
  <c r="AR62" i="31"/>
  <c r="AQ62" i="31"/>
  <c r="AP62" i="31"/>
  <c r="AO62" i="31"/>
  <c r="AN62" i="31"/>
  <c r="AM62" i="31"/>
  <c r="AL62" i="31"/>
  <c r="AK62" i="31"/>
  <c r="AJ62" i="31"/>
  <c r="AI62" i="31"/>
  <c r="AH62" i="31"/>
  <c r="AG62" i="31"/>
  <c r="AF62" i="31"/>
  <c r="AE62" i="31"/>
  <c r="AD62" i="31"/>
  <c r="DB61" i="31"/>
  <c r="DA61" i="31"/>
  <c r="CZ61" i="31"/>
  <c r="CY61" i="31"/>
  <c r="CX61" i="31"/>
  <c r="CW61" i="31"/>
  <c r="CV61" i="31"/>
  <c r="CU61" i="31"/>
  <c r="CT61" i="31"/>
  <c r="CS61" i="31"/>
  <c r="CR61" i="31"/>
  <c r="CQ61" i="31"/>
  <c r="CP61" i="31"/>
  <c r="CO61" i="31"/>
  <c r="CN61" i="31"/>
  <c r="CM61" i="31"/>
  <c r="CL61" i="31"/>
  <c r="CK61" i="31"/>
  <c r="CJ61" i="31"/>
  <c r="CI61" i="31"/>
  <c r="CH61" i="31"/>
  <c r="CG61" i="31"/>
  <c r="CF61" i="31"/>
  <c r="CE61" i="31"/>
  <c r="CD61" i="31"/>
  <c r="BB61" i="31"/>
  <c r="BA61" i="31"/>
  <c r="AC61" i="31"/>
  <c r="AZ61" i="31"/>
  <c r="AY61" i="31"/>
  <c r="AX61" i="31"/>
  <c r="AW61" i="31"/>
  <c r="AV61" i="31"/>
  <c r="AU61" i="31"/>
  <c r="AT61" i="31"/>
  <c r="AS61" i="31"/>
  <c r="AR61" i="31"/>
  <c r="AQ61" i="31"/>
  <c r="AP61" i="31"/>
  <c r="AO61" i="31"/>
  <c r="AN61" i="31"/>
  <c r="AM61" i="31"/>
  <c r="AL61" i="31"/>
  <c r="AK61" i="31"/>
  <c r="AJ61" i="31"/>
  <c r="AI61" i="31"/>
  <c r="AH61" i="31"/>
  <c r="AG61" i="31"/>
  <c r="AF61" i="31"/>
  <c r="AE61" i="31"/>
  <c r="AD61" i="31"/>
  <c r="DB60" i="31"/>
  <c r="DA60" i="31"/>
  <c r="CZ60" i="31"/>
  <c r="CY60" i="31"/>
  <c r="CX60" i="31"/>
  <c r="CW60" i="31"/>
  <c r="CV60" i="31"/>
  <c r="CU60" i="31"/>
  <c r="CT60" i="31"/>
  <c r="CS60" i="31"/>
  <c r="CR60" i="31"/>
  <c r="CQ60" i="31"/>
  <c r="CP60" i="31"/>
  <c r="CO60" i="31"/>
  <c r="CN60" i="31"/>
  <c r="CM60" i="31"/>
  <c r="CL60" i="31"/>
  <c r="CK60" i="31"/>
  <c r="CJ60" i="31"/>
  <c r="CI60" i="31"/>
  <c r="CH60" i="31"/>
  <c r="CG60" i="31"/>
  <c r="CF60" i="31"/>
  <c r="CE60" i="31"/>
  <c r="CD60" i="31"/>
  <c r="CC60" i="31"/>
  <c r="BB60" i="31"/>
  <c r="BA60" i="31"/>
  <c r="AZ60" i="31"/>
  <c r="AY60" i="31"/>
  <c r="AX60" i="31"/>
  <c r="AW60" i="31"/>
  <c r="AV60" i="31"/>
  <c r="AU60" i="31"/>
  <c r="AC60" i="31"/>
  <c r="AT60" i="31"/>
  <c r="AS60" i="31"/>
  <c r="AR60" i="31"/>
  <c r="AQ60" i="31"/>
  <c r="AP60" i="31"/>
  <c r="AO60" i="31"/>
  <c r="AN60" i="31"/>
  <c r="AM60" i="31"/>
  <c r="AL60" i="31"/>
  <c r="AK60" i="31"/>
  <c r="AJ60" i="31"/>
  <c r="AI60" i="31"/>
  <c r="AH60" i="31"/>
  <c r="AG60" i="31"/>
  <c r="AF60" i="31"/>
  <c r="AE60" i="31"/>
  <c r="AD60" i="31"/>
  <c r="DB59" i="31"/>
  <c r="DA59" i="31"/>
  <c r="CZ59" i="31"/>
  <c r="CY59" i="31"/>
  <c r="CX59" i="31"/>
  <c r="CW59" i="31"/>
  <c r="CV59" i="31"/>
  <c r="CU59" i="31"/>
  <c r="CT59" i="31"/>
  <c r="CS59" i="31"/>
  <c r="CR59" i="31"/>
  <c r="CQ59" i="31"/>
  <c r="CP59" i="31"/>
  <c r="CO59" i="31"/>
  <c r="CN59" i="31"/>
  <c r="CM59" i="31"/>
  <c r="CL59" i="31"/>
  <c r="CK59" i="31"/>
  <c r="CJ59" i="31"/>
  <c r="CI59" i="31"/>
  <c r="CH59" i="31"/>
  <c r="CG59" i="31"/>
  <c r="CF59" i="31"/>
  <c r="CE59" i="31"/>
  <c r="CD59" i="31"/>
  <c r="BB59" i="31"/>
  <c r="BA59" i="31"/>
  <c r="AZ59" i="31"/>
  <c r="AY59" i="31"/>
  <c r="AX59" i="31"/>
  <c r="AW59" i="31"/>
  <c r="AV59" i="31"/>
  <c r="AU59" i="31"/>
  <c r="AT59" i="31"/>
  <c r="AS59" i="31"/>
  <c r="AR59" i="31"/>
  <c r="AQ59" i="31"/>
  <c r="AP59" i="31"/>
  <c r="AO59" i="31"/>
  <c r="AN59" i="31"/>
  <c r="AM59" i="31"/>
  <c r="AL59" i="31"/>
  <c r="AK59" i="31"/>
  <c r="AJ59" i="31"/>
  <c r="AI59" i="31"/>
  <c r="AH59" i="31"/>
  <c r="AG59" i="31"/>
  <c r="AF59" i="31"/>
  <c r="AE59" i="31"/>
  <c r="AD59" i="31"/>
  <c r="DB58" i="31"/>
  <c r="DA58" i="31"/>
  <c r="CZ58" i="31"/>
  <c r="CY58" i="31"/>
  <c r="CX58" i="31"/>
  <c r="CW58" i="31"/>
  <c r="CV58" i="31"/>
  <c r="CU58" i="31"/>
  <c r="CT58" i="31"/>
  <c r="CS58" i="31"/>
  <c r="CR58" i="31"/>
  <c r="CQ58" i="31"/>
  <c r="CP58" i="31"/>
  <c r="CO58" i="31"/>
  <c r="CN58" i="31"/>
  <c r="CM58" i="31"/>
  <c r="CL58" i="31"/>
  <c r="CK58" i="31"/>
  <c r="CJ58" i="31"/>
  <c r="CI58" i="31"/>
  <c r="CH58" i="31"/>
  <c r="CG58" i="31"/>
  <c r="CF58" i="31"/>
  <c r="CE58" i="31"/>
  <c r="CD58" i="31"/>
  <c r="BB58" i="31"/>
  <c r="BA58" i="31"/>
  <c r="AZ58" i="31"/>
  <c r="AY58" i="31"/>
  <c r="AX58" i="31"/>
  <c r="AW58" i="31"/>
  <c r="AV58" i="31"/>
  <c r="AU58" i="31"/>
  <c r="AT58" i="31"/>
  <c r="AS58" i="31"/>
  <c r="AR58" i="31"/>
  <c r="AQ58" i="31"/>
  <c r="AP58" i="31"/>
  <c r="AO58" i="31"/>
  <c r="AN58" i="31"/>
  <c r="AM58" i="31"/>
  <c r="AL58" i="31"/>
  <c r="AK58" i="31"/>
  <c r="AJ58" i="31"/>
  <c r="AI58" i="31"/>
  <c r="AH58" i="31"/>
  <c r="AG58" i="31"/>
  <c r="AF58" i="31"/>
  <c r="AE58" i="31"/>
  <c r="AD58" i="31"/>
  <c r="DB57" i="31"/>
  <c r="DA57" i="31"/>
  <c r="CZ57" i="31"/>
  <c r="CY57" i="31"/>
  <c r="CX57" i="31"/>
  <c r="CW57" i="31"/>
  <c r="CV57" i="31"/>
  <c r="CU57" i="31"/>
  <c r="CT57" i="31"/>
  <c r="CS57" i="31"/>
  <c r="CR57" i="31"/>
  <c r="CQ57" i="31"/>
  <c r="CP57" i="31"/>
  <c r="CO57" i="31"/>
  <c r="CN57" i="31"/>
  <c r="CM57" i="31"/>
  <c r="CL57" i="31"/>
  <c r="CK57" i="31"/>
  <c r="CJ57" i="31"/>
  <c r="CI57" i="31"/>
  <c r="CH57" i="31"/>
  <c r="CG57" i="31"/>
  <c r="CF57" i="31"/>
  <c r="CE57" i="31"/>
  <c r="CD57" i="31"/>
  <c r="BB57" i="31"/>
  <c r="BA57" i="31"/>
  <c r="AZ57" i="31"/>
  <c r="AY57" i="31"/>
  <c r="AX57" i="31"/>
  <c r="AW57" i="31"/>
  <c r="AV57" i="31"/>
  <c r="AU57" i="31"/>
  <c r="AT57" i="31"/>
  <c r="AS57" i="31"/>
  <c r="AR57" i="31"/>
  <c r="AQ57" i="31"/>
  <c r="AP57" i="31"/>
  <c r="AO57" i="31"/>
  <c r="AN57" i="31"/>
  <c r="AM57" i="31"/>
  <c r="AL57" i="31"/>
  <c r="AK57" i="31"/>
  <c r="AJ57" i="31"/>
  <c r="AI57" i="31"/>
  <c r="AH57" i="31"/>
  <c r="AG57" i="31"/>
  <c r="AF57" i="31"/>
  <c r="AE57" i="31"/>
  <c r="AD57" i="31"/>
  <c r="DB56" i="31"/>
  <c r="DA56" i="31"/>
  <c r="CZ56" i="31"/>
  <c r="CY56" i="31"/>
  <c r="CX56" i="31"/>
  <c r="CW56" i="31"/>
  <c r="CV56" i="31"/>
  <c r="CU56" i="31"/>
  <c r="CT56" i="31"/>
  <c r="CS56" i="31"/>
  <c r="CR56" i="31"/>
  <c r="CQ56" i="31"/>
  <c r="CP56" i="31"/>
  <c r="CO56" i="31"/>
  <c r="CN56" i="31"/>
  <c r="CM56" i="31"/>
  <c r="CL56" i="31"/>
  <c r="CK56" i="31"/>
  <c r="CJ56" i="31"/>
  <c r="CI56" i="31"/>
  <c r="CH56" i="31"/>
  <c r="CG56" i="31"/>
  <c r="CF56" i="31"/>
  <c r="CE56" i="31"/>
  <c r="CD56" i="31"/>
  <c r="CC56" i="31"/>
  <c r="BB56" i="31"/>
  <c r="BA56" i="31"/>
  <c r="AZ56" i="31"/>
  <c r="AY56" i="31"/>
  <c r="AX56" i="31"/>
  <c r="AW56" i="31"/>
  <c r="AV56" i="31"/>
  <c r="AU56" i="31"/>
  <c r="AC56" i="31"/>
  <c r="AT56" i="31"/>
  <c r="AS56" i="31"/>
  <c r="AR56" i="31"/>
  <c r="AQ56" i="31"/>
  <c r="AP56" i="31"/>
  <c r="AO56" i="31"/>
  <c r="AN56" i="31"/>
  <c r="AM56" i="31"/>
  <c r="AL56" i="31"/>
  <c r="AK56" i="31"/>
  <c r="AJ56" i="31"/>
  <c r="AI56" i="31"/>
  <c r="AH56" i="31"/>
  <c r="AG56" i="31"/>
  <c r="AF56" i="31"/>
  <c r="AE56" i="31"/>
  <c r="AD56" i="31"/>
  <c r="DB55" i="31"/>
  <c r="DA55" i="31"/>
  <c r="CZ55" i="31"/>
  <c r="CY55" i="31"/>
  <c r="CX55" i="31"/>
  <c r="CW55" i="31"/>
  <c r="CV55" i="31"/>
  <c r="CU55" i="31"/>
  <c r="CT55" i="31"/>
  <c r="CS55" i="31"/>
  <c r="CR55" i="31"/>
  <c r="CQ55" i="31"/>
  <c r="CP55" i="31"/>
  <c r="CO55" i="31"/>
  <c r="CN55" i="31"/>
  <c r="CM55" i="31"/>
  <c r="CL55" i="31"/>
  <c r="CK55" i="31"/>
  <c r="CJ55" i="31"/>
  <c r="CI55" i="31"/>
  <c r="CH55" i="31"/>
  <c r="CG55" i="31"/>
  <c r="CF55" i="31"/>
  <c r="CE55" i="31"/>
  <c r="CD55" i="31"/>
  <c r="BB55" i="31"/>
  <c r="BA55" i="31"/>
  <c r="AZ55" i="31"/>
  <c r="AY55" i="31"/>
  <c r="AX55" i="31"/>
  <c r="AW55" i="31"/>
  <c r="AV55" i="31"/>
  <c r="AU55" i="31"/>
  <c r="AT55" i="31"/>
  <c r="AS55" i="31"/>
  <c r="AR55" i="31"/>
  <c r="AQ55" i="31"/>
  <c r="AP55" i="31"/>
  <c r="AO55" i="31"/>
  <c r="AN55" i="31"/>
  <c r="AM55" i="31"/>
  <c r="AL55" i="31"/>
  <c r="AK55" i="31"/>
  <c r="AJ55" i="31"/>
  <c r="AI55" i="31"/>
  <c r="AH55" i="31"/>
  <c r="AG55" i="31"/>
  <c r="AF55" i="31"/>
  <c r="AE55" i="31"/>
  <c r="AD55" i="31"/>
  <c r="DB54" i="31"/>
  <c r="DA54" i="31"/>
  <c r="CZ54" i="31"/>
  <c r="CY54" i="31"/>
  <c r="CX54" i="31"/>
  <c r="CW54" i="31"/>
  <c r="CV54" i="31"/>
  <c r="CU54" i="31"/>
  <c r="CT54" i="31"/>
  <c r="CS54" i="31"/>
  <c r="CR54" i="31"/>
  <c r="CQ54" i="31"/>
  <c r="CP54" i="31"/>
  <c r="CO54" i="31"/>
  <c r="CN54" i="31"/>
  <c r="CM54" i="31"/>
  <c r="CL54" i="31"/>
  <c r="CK54" i="31"/>
  <c r="CJ54" i="31"/>
  <c r="CI54" i="31"/>
  <c r="CH54" i="31"/>
  <c r="CG54" i="31"/>
  <c r="CF54" i="31"/>
  <c r="CE54" i="31"/>
  <c r="CD54" i="31"/>
  <c r="BB54" i="31"/>
  <c r="BA54" i="31"/>
  <c r="AZ54" i="31"/>
  <c r="AY54" i="31"/>
  <c r="AX54" i="31"/>
  <c r="AW54" i="31"/>
  <c r="AV54" i="31"/>
  <c r="AU54" i="31"/>
  <c r="AT54" i="31"/>
  <c r="AS54" i="31"/>
  <c r="AR54" i="31"/>
  <c r="AQ54" i="31"/>
  <c r="AP54" i="31"/>
  <c r="AO54" i="31"/>
  <c r="AN54" i="31"/>
  <c r="AM54" i="31"/>
  <c r="AL54" i="31"/>
  <c r="AK54" i="31"/>
  <c r="AJ54" i="31"/>
  <c r="AI54" i="31"/>
  <c r="AH54" i="31"/>
  <c r="AG54" i="31"/>
  <c r="AF54" i="31"/>
  <c r="AE54" i="31"/>
  <c r="AD54" i="31"/>
  <c r="DB53" i="31"/>
  <c r="DA53" i="31"/>
  <c r="CZ53" i="31"/>
  <c r="CY53" i="31"/>
  <c r="CX53" i="31"/>
  <c r="CW53" i="31"/>
  <c r="CV53" i="31"/>
  <c r="CU53" i="31"/>
  <c r="CT53" i="31"/>
  <c r="CS53" i="31"/>
  <c r="CR53" i="31"/>
  <c r="CQ53" i="31"/>
  <c r="CP53" i="31"/>
  <c r="CO53" i="31"/>
  <c r="CN53" i="31"/>
  <c r="CM53" i="31"/>
  <c r="CL53" i="31"/>
  <c r="CK53" i="31"/>
  <c r="CJ53" i="31"/>
  <c r="CI53" i="31"/>
  <c r="CH53" i="31"/>
  <c r="CG53" i="31"/>
  <c r="CF53" i="31"/>
  <c r="CE53" i="31"/>
  <c r="CD53" i="31"/>
  <c r="BB53" i="31"/>
  <c r="BA53" i="31"/>
  <c r="AC53" i="31"/>
  <c r="AZ53" i="31"/>
  <c r="AY53" i="31"/>
  <c r="AX53" i="31"/>
  <c r="AW53" i="31"/>
  <c r="AV53" i="31"/>
  <c r="AU53" i="31"/>
  <c r="AT53" i="31"/>
  <c r="AS53" i="31"/>
  <c r="AR53" i="31"/>
  <c r="AQ53" i="31"/>
  <c r="AP53" i="31"/>
  <c r="AO53" i="31"/>
  <c r="AN53" i="31"/>
  <c r="AM53" i="31"/>
  <c r="AL53" i="31"/>
  <c r="AK53" i="31"/>
  <c r="AJ53" i="31"/>
  <c r="AI53" i="31"/>
  <c r="AH53" i="31"/>
  <c r="AG53" i="31"/>
  <c r="AF53" i="31"/>
  <c r="AE53" i="31"/>
  <c r="AD53" i="31"/>
  <c r="DB52" i="31"/>
  <c r="DA52" i="31"/>
  <c r="CZ52" i="31"/>
  <c r="CY52" i="31"/>
  <c r="CX52" i="31"/>
  <c r="CW52" i="31"/>
  <c r="CV52" i="31"/>
  <c r="CU52" i="31"/>
  <c r="CT52" i="31"/>
  <c r="CS52" i="31"/>
  <c r="CR52" i="31"/>
  <c r="CQ52" i="31"/>
  <c r="CP52" i="31"/>
  <c r="CO52" i="31"/>
  <c r="CN52" i="31"/>
  <c r="CM52" i="31"/>
  <c r="CL52" i="31"/>
  <c r="CL48" i="31"/>
  <c r="CK52" i="31"/>
  <c r="CJ52" i="31"/>
  <c r="CI52" i="31"/>
  <c r="CH52" i="31"/>
  <c r="CG52" i="31"/>
  <c r="CF52" i="31"/>
  <c r="CE52" i="31"/>
  <c r="CD52" i="31"/>
  <c r="CD48" i="31"/>
  <c r="BB52" i="31"/>
  <c r="BA52" i="31"/>
  <c r="AZ52" i="31"/>
  <c r="AY52" i="31"/>
  <c r="AX52" i="31"/>
  <c r="AW52" i="31"/>
  <c r="AV52" i="31"/>
  <c r="AU52" i="31"/>
  <c r="AC52" i="31"/>
  <c r="AT52" i="31"/>
  <c r="AS52" i="31"/>
  <c r="AR52" i="31"/>
  <c r="AQ52" i="31"/>
  <c r="AP52" i="31"/>
  <c r="AO52" i="31"/>
  <c r="AN52" i="31"/>
  <c r="AM52" i="31"/>
  <c r="AM48" i="31"/>
  <c r="AL52" i="31"/>
  <c r="AK52" i="31"/>
  <c r="AJ52" i="31"/>
  <c r="AI52" i="31"/>
  <c r="AH52" i="31"/>
  <c r="AG52" i="31"/>
  <c r="AF52" i="31"/>
  <c r="AE52" i="31"/>
  <c r="AD52" i="31"/>
  <c r="DB51" i="31"/>
  <c r="DA51" i="31"/>
  <c r="CZ51" i="31"/>
  <c r="CY51" i="31"/>
  <c r="CX51" i="31"/>
  <c r="CW51" i="31"/>
  <c r="CV51" i="31"/>
  <c r="CV48" i="31"/>
  <c r="CU51" i="31"/>
  <c r="CU48" i="31"/>
  <c r="CT51" i="31"/>
  <c r="CS51" i="31"/>
  <c r="CR51" i="31"/>
  <c r="CQ51" i="31"/>
  <c r="CP51" i="31"/>
  <c r="CO51" i="31"/>
  <c r="CN51" i="31"/>
  <c r="CN48" i="31"/>
  <c r="CM51" i="31"/>
  <c r="CM48" i="31"/>
  <c r="CL51" i="31"/>
  <c r="CK51" i="31"/>
  <c r="CJ51" i="31"/>
  <c r="CI51" i="31"/>
  <c r="CH51" i="31"/>
  <c r="CG51" i="31"/>
  <c r="CF51" i="31"/>
  <c r="CE51" i="31"/>
  <c r="CD51" i="31"/>
  <c r="BB51" i="31"/>
  <c r="BA51" i="31"/>
  <c r="AZ51" i="31"/>
  <c r="AY51" i="31"/>
  <c r="AX51" i="31"/>
  <c r="AW51" i="31"/>
  <c r="AW48" i="31"/>
  <c r="AV51" i="31"/>
  <c r="AU51" i="31"/>
  <c r="AT51" i="31"/>
  <c r="AS51" i="31"/>
  <c r="AR51" i="31"/>
  <c r="AQ51" i="31"/>
  <c r="AP51" i="31"/>
  <c r="AO51" i="31"/>
  <c r="AO48" i="31"/>
  <c r="AN51" i="31"/>
  <c r="AM51" i="31"/>
  <c r="AL51" i="31"/>
  <c r="AK51" i="31"/>
  <c r="AJ51" i="31"/>
  <c r="AI51" i="31"/>
  <c r="AH51" i="31"/>
  <c r="AG51" i="31"/>
  <c r="AG48" i="31"/>
  <c r="AF51" i="31"/>
  <c r="AE51" i="31"/>
  <c r="AD51" i="31"/>
  <c r="DB50" i="31"/>
  <c r="DA50" i="31"/>
  <c r="CZ50" i="31"/>
  <c r="CY50" i="31"/>
  <c r="CX50" i="31"/>
  <c r="CX48" i="31"/>
  <c r="CW50" i="31"/>
  <c r="CW48" i="31"/>
  <c r="CV50" i="31"/>
  <c r="CU50" i="31"/>
  <c r="CT50" i="31"/>
  <c r="CS50" i="31"/>
  <c r="CR50" i="31"/>
  <c r="CQ50" i="31"/>
  <c r="CP50" i="31"/>
  <c r="CO50" i="31"/>
  <c r="CN50" i="31"/>
  <c r="CM50" i="31"/>
  <c r="CL50" i="31"/>
  <c r="CK50" i="31"/>
  <c r="CJ50" i="31"/>
  <c r="CI50" i="31"/>
  <c r="CH50" i="31"/>
  <c r="CH48" i="31"/>
  <c r="CG50" i="31"/>
  <c r="CG48" i="31"/>
  <c r="CF50" i="31"/>
  <c r="CE50" i="31"/>
  <c r="CD50" i="31"/>
  <c r="BB50" i="31"/>
  <c r="BA50" i="31"/>
  <c r="AZ50" i="31"/>
  <c r="AY50" i="31"/>
  <c r="AY48" i="31"/>
  <c r="AX50" i="31"/>
  <c r="AW50" i="31"/>
  <c r="AV50" i="31"/>
  <c r="AU50" i="31"/>
  <c r="AT50" i="31"/>
  <c r="AS50" i="31"/>
  <c r="AR50" i="31"/>
  <c r="AQ50" i="31"/>
  <c r="AQ48" i="31"/>
  <c r="AP50" i="31"/>
  <c r="AO50" i="31"/>
  <c r="AN50" i="31"/>
  <c r="AM50" i="31"/>
  <c r="AL50" i="31"/>
  <c r="AK50" i="31"/>
  <c r="AJ50" i="31"/>
  <c r="AI50" i="31"/>
  <c r="AI48" i="31"/>
  <c r="AH50" i="31"/>
  <c r="AG50" i="31"/>
  <c r="AF50" i="31"/>
  <c r="AE50" i="31"/>
  <c r="AD50" i="31"/>
  <c r="DB49" i="31"/>
  <c r="DB48" i="31"/>
  <c r="DA49" i="31"/>
  <c r="CZ49" i="31"/>
  <c r="CZ48" i="31"/>
  <c r="CY49" i="31"/>
  <c r="CY48" i="31"/>
  <c r="CX49" i="31"/>
  <c r="CW49" i="31"/>
  <c r="CV49" i="31"/>
  <c r="CU49" i="31"/>
  <c r="CT49" i="31"/>
  <c r="CS49" i="31"/>
  <c r="CR49" i="31"/>
  <c r="CR48" i="31"/>
  <c r="CQ49" i="31"/>
  <c r="CP49" i="31"/>
  <c r="CO49" i="31"/>
  <c r="CN49" i="31"/>
  <c r="CM49" i="31"/>
  <c r="CL49" i="31"/>
  <c r="CK49" i="31"/>
  <c r="CJ49" i="31"/>
  <c r="CJ48" i="31"/>
  <c r="CI49" i="31"/>
  <c r="CH49" i="31"/>
  <c r="CG49" i="31"/>
  <c r="CF49" i="31"/>
  <c r="CE49" i="31"/>
  <c r="CD49" i="31"/>
  <c r="BB49" i="31"/>
  <c r="BA49" i="31"/>
  <c r="BA48" i="31"/>
  <c r="AZ49" i="31"/>
  <c r="AY49" i="31"/>
  <c r="AX49" i="31"/>
  <c r="AW49" i="31"/>
  <c r="AV49" i="31"/>
  <c r="AU49" i="31"/>
  <c r="AT49" i="31"/>
  <c r="AS49" i="31"/>
  <c r="AS48" i="31"/>
  <c r="AR49" i="31"/>
  <c r="AQ49" i="31"/>
  <c r="AP49" i="31"/>
  <c r="AO49" i="31"/>
  <c r="AN49" i="31"/>
  <c r="AM49" i="31"/>
  <c r="AL49" i="31"/>
  <c r="AK49" i="31"/>
  <c r="AK48" i="31"/>
  <c r="AJ49" i="31"/>
  <c r="AI49" i="31"/>
  <c r="AH49" i="31"/>
  <c r="AG49" i="31"/>
  <c r="AF49" i="31"/>
  <c r="AE49" i="31"/>
  <c r="AD49" i="31"/>
  <c r="DB47" i="31"/>
  <c r="DB45" i="31"/>
  <c r="DA47" i="31"/>
  <c r="DA45" i="31"/>
  <c r="CZ47" i="31"/>
  <c r="CY47" i="31"/>
  <c r="CX47" i="31"/>
  <c r="CW47" i="31"/>
  <c r="CV47" i="31"/>
  <c r="CU47" i="31"/>
  <c r="CT47" i="31"/>
  <c r="CS47" i="31"/>
  <c r="CR47" i="31"/>
  <c r="CQ47" i="31"/>
  <c r="CP47" i="31"/>
  <c r="CO47" i="31"/>
  <c r="CN47" i="31"/>
  <c r="CM47" i="31"/>
  <c r="CL47" i="31"/>
  <c r="CL45" i="31"/>
  <c r="CK47" i="31"/>
  <c r="CK45" i="31"/>
  <c r="CJ47" i="31"/>
  <c r="CI47" i="31"/>
  <c r="CH47" i="31"/>
  <c r="CG47" i="31"/>
  <c r="CF47" i="31"/>
  <c r="CE47" i="31"/>
  <c r="CD47" i="31"/>
  <c r="CD45" i="31"/>
  <c r="BB47" i="31"/>
  <c r="BA47" i="31"/>
  <c r="AZ47" i="31"/>
  <c r="AY47" i="31"/>
  <c r="AX47" i="31"/>
  <c r="AW47" i="31"/>
  <c r="AV47" i="31"/>
  <c r="AU47" i="31"/>
  <c r="AC47" i="31"/>
  <c r="AT47" i="31"/>
  <c r="AS47" i="31"/>
  <c r="AR47" i="31"/>
  <c r="AQ47" i="31"/>
  <c r="AP47" i="31"/>
  <c r="AO47" i="31"/>
  <c r="AN47" i="31"/>
  <c r="AM47" i="31"/>
  <c r="AM45" i="31"/>
  <c r="AL47" i="31"/>
  <c r="AK47" i="31"/>
  <c r="AJ47" i="31"/>
  <c r="AI47" i="31"/>
  <c r="AH47" i="31"/>
  <c r="AG47" i="31"/>
  <c r="AF47" i="31"/>
  <c r="AE47" i="31"/>
  <c r="AE45" i="31"/>
  <c r="AD47" i="31"/>
  <c r="DB46" i="31"/>
  <c r="DA46" i="31"/>
  <c r="CZ46" i="31"/>
  <c r="CY46" i="31"/>
  <c r="CX46" i="31"/>
  <c r="CX45" i="31"/>
  <c r="CW46" i="31"/>
  <c r="CV46" i="31"/>
  <c r="CV45" i="31"/>
  <c r="CU46" i="31"/>
  <c r="CU45" i="31"/>
  <c r="CT46" i="31"/>
  <c r="CS46" i="31"/>
  <c r="CR46" i="31"/>
  <c r="CQ46" i="31"/>
  <c r="CP46" i="31"/>
  <c r="CP45" i="31"/>
  <c r="CO46" i="31"/>
  <c r="CN46" i="31"/>
  <c r="CN45" i="31"/>
  <c r="CM46" i="31"/>
  <c r="CM45" i="31"/>
  <c r="CL46" i="31"/>
  <c r="CK46" i="31"/>
  <c r="CJ46" i="31"/>
  <c r="CI46" i="31"/>
  <c r="CH46" i="31"/>
  <c r="CH45" i="31"/>
  <c r="CG46" i="31"/>
  <c r="CF46" i="31"/>
  <c r="CF45" i="31"/>
  <c r="CE46" i="31"/>
  <c r="CE45" i="31"/>
  <c r="CD46" i="31"/>
  <c r="BB46" i="31"/>
  <c r="BA46" i="31"/>
  <c r="AZ46" i="31"/>
  <c r="AY46" i="31"/>
  <c r="AX46" i="31"/>
  <c r="AW46" i="31"/>
  <c r="AV46" i="31"/>
  <c r="AU46" i="31"/>
  <c r="AT46" i="31"/>
  <c r="AS46" i="31"/>
  <c r="AR46" i="31"/>
  <c r="AQ46" i="31"/>
  <c r="AP46" i="31"/>
  <c r="AO46" i="31"/>
  <c r="AO45" i="31"/>
  <c r="AN46" i="31"/>
  <c r="AM46" i="31"/>
  <c r="AL46" i="31"/>
  <c r="AK46" i="31"/>
  <c r="AJ46" i="31"/>
  <c r="AI46" i="31"/>
  <c r="AH46" i="31"/>
  <c r="AG46" i="31"/>
  <c r="AF46" i="31"/>
  <c r="AE46" i="31"/>
  <c r="AD46" i="31"/>
  <c r="DB44" i="31"/>
  <c r="DA44" i="31"/>
  <c r="CZ44" i="31"/>
  <c r="CY44" i="31"/>
  <c r="CX44" i="31"/>
  <c r="CW44" i="31"/>
  <c r="CV44" i="31"/>
  <c r="CU44" i="31"/>
  <c r="CT44" i="31"/>
  <c r="CS44" i="31"/>
  <c r="CR44" i="31"/>
  <c r="CQ44" i="31"/>
  <c r="CP44" i="31"/>
  <c r="CO44" i="31"/>
  <c r="CN44" i="31"/>
  <c r="CM44" i="31"/>
  <c r="CL44" i="31"/>
  <c r="CK44" i="31"/>
  <c r="CJ44" i="31"/>
  <c r="CI44" i="31"/>
  <c r="CH44" i="31"/>
  <c r="CG44" i="31"/>
  <c r="CF44" i="31"/>
  <c r="CE44" i="31"/>
  <c r="CD44" i="31"/>
  <c r="BB44" i="31"/>
  <c r="BA44" i="31"/>
  <c r="AZ44" i="31"/>
  <c r="AY44" i="31"/>
  <c r="AX44" i="31"/>
  <c r="AW44" i="31"/>
  <c r="AV44" i="31"/>
  <c r="AU44" i="31"/>
  <c r="AT44" i="31"/>
  <c r="AS44" i="31"/>
  <c r="AR44" i="31"/>
  <c r="AQ44" i="31"/>
  <c r="AP44" i="31"/>
  <c r="AO44" i="31"/>
  <c r="AN44" i="31"/>
  <c r="AM44" i="31"/>
  <c r="AL44" i="31"/>
  <c r="AK44" i="31"/>
  <c r="AJ44" i="31"/>
  <c r="AI44" i="31"/>
  <c r="AH44" i="31"/>
  <c r="AG44" i="31"/>
  <c r="AF44" i="31"/>
  <c r="AE44" i="31"/>
  <c r="AD44" i="31"/>
  <c r="DB43" i="31"/>
  <c r="DA43" i="31"/>
  <c r="CZ43" i="31"/>
  <c r="CY43" i="31"/>
  <c r="CX43" i="31"/>
  <c r="CW43" i="31"/>
  <c r="CV43" i="31"/>
  <c r="CU43" i="31"/>
  <c r="CT43" i="31"/>
  <c r="CS43" i="31"/>
  <c r="CR43" i="31"/>
  <c r="CQ43" i="31"/>
  <c r="CP43" i="31"/>
  <c r="CO43" i="31"/>
  <c r="CN43" i="31"/>
  <c r="CM43" i="31"/>
  <c r="CL43" i="31"/>
  <c r="CK43" i="31"/>
  <c r="CJ43" i="31"/>
  <c r="CI43" i="31"/>
  <c r="CH43" i="31"/>
  <c r="CG43" i="31"/>
  <c r="CF43" i="31"/>
  <c r="CE43" i="31"/>
  <c r="CD43" i="31"/>
  <c r="CC43" i="31"/>
  <c r="BB43" i="31"/>
  <c r="BA43" i="31"/>
  <c r="AC43" i="31"/>
  <c r="AZ43" i="31"/>
  <c r="AY43" i="31"/>
  <c r="AX43" i="31"/>
  <c r="AW43" i="31"/>
  <c r="AV43" i="31"/>
  <c r="AU43" i="31"/>
  <c r="AT43" i="31"/>
  <c r="AS43" i="31"/>
  <c r="AR43" i="31"/>
  <c r="AQ43" i="31"/>
  <c r="AP43" i="31"/>
  <c r="AO43" i="31"/>
  <c r="AN43" i="31"/>
  <c r="AM43" i="31"/>
  <c r="AL43" i="31"/>
  <c r="AK43" i="31"/>
  <c r="AJ43" i="31"/>
  <c r="AI43" i="31"/>
  <c r="AH43" i="31"/>
  <c r="AG43" i="31"/>
  <c r="AF43" i="31"/>
  <c r="AE43" i="31"/>
  <c r="AD43" i="31"/>
  <c r="DB42" i="31"/>
  <c r="DA42" i="31"/>
  <c r="CZ42" i="31"/>
  <c r="CY42" i="31"/>
  <c r="CX42" i="31"/>
  <c r="CW42" i="31"/>
  <c r="CV42" i="31"/>
  <c r="CU42" i="31"/>
  <c r="CT42" i="31"/>
  <c r="CS42" i="31"/>
  <c r="CR42" i="31"/>
  <c r="CQ42" i="31"/>
  <c r="CP42" i="31"/>
  <c r="CO42" i="31"/>
  <c r="CN42" i="31"/>
  <c r="CM42" i="31"/>
  <c r="CL42" i="31"/>
  <c r="CK42" i="31"/>
  <c r="CJ42" i="31"/>
  <c r="CI42" i="31"/>
  <c r="CH42" i="31"/>
  <c r="CG42" i="31"/>
  <c r="CF42" i="31"/>
  <c r="CE42" i="31"/>
  <c r="CD42" i="31"/>
  <c r="BB42" i="31"/>
  <c r="BA42" i="31"/>
  <c r="AZ42" i="31"/>
  <c r="AY42" i="31"/>
  <c r="AX42" i="31"/>
  <c r="AW42" i="31"/>
  <c r="AV42" i="31"/>
  <c r="AU42" i="31"/>
  <c r="AT42" i="31"/>
  <c r="AS42" i="31"/>
  <c r="AR42" i="31"/>
  <c r="AQ42" i="31"/>
  <c r="AP42" i="31"/>
  <c r="AO42" i="31"/>
  <c r="AN42" i="31"/>
  <c r="AM42" i="31"/>
  <c r="AL42" i="31"/>
  <c r="AK42" i="31"/>
  <c r="AJ42" i="31"/>
  <c r="AI42" i="31"/>
  <c r="AH42" i="31"/>
  <c r="AG42" i="31"/>
  <c r="AF42" i="31"/>
  <c r="AE42" i="31"/>
  <c r="AD42" i="31"/>
  <c r="AC42" i="31"/>
  <c r="DB41" i="31"/>
  <c r="DA41" i="31"/>
  <c r="CZ41" i="31"/>
  <c r="CY41" i="31"/>
  <c r="CX41" i="31"/>
  <c r="CW41" i="31"/>
  <c r="CV41" i="31"/>
  <c r="CU41" i="31"/>
  <c r="CT41" i="31"/>
  <c r="CS41" i="31"/>
  <c r="CR41" i="31"/>
  <c r="CQ41" i="31"/>
  <c r="CP41" i="31"/>
  <c r="CO41" i="31"/>
  <c r="CN41" i="31"/>
  <c r="CM41" i="31"/>
  <c r="CL41" i="31"/>
  <c r="CK41" i="31"/>
  <c r="CJ41" i="31"/>
  <c r="CI41" i="31"/>
  <c r="CH41" i="31"/>
  <c r="CG41" i="31"/>
  <c r="CF41" i="31"/>
  <c r="CE41" i="31"/>
  <c r="CD41" i="31"/>
  <c r="BB41" i="31"/>
  <c r="BA41" i="31"/>
  <c r="AZ41" i="31"/>
  <c r="AY41" i="31"/>
  <c r="AX41" i="31"/>
  <c r="AW41" i="31"/>
  <c r="AV41" i="31"/>
  <c r="AU41" i="31"/>
  <c r="AT41" i="31"/>
  <c r="AS41" i="31"/>
  <c r="AR41" i="31"/>
  <c r="AQ41" i="31"/>
  <c r="AP41" i="31"/>
  <c r="AO41" i="31"/>
  <c r="AN41" i="31"/>
  <c r="AM41" i="31"/>
  <c r="AL41" i="31"/>
  <c r="AK41" i="31"/>
  <c r="AJ41" i="31"/>
  <c r="AI41" i="31"/>
  <c r="AH41" i="31"/>
  <c r="AG41" i="31"/>
  <c r="AF41" i="31"/>
  <c r="AE41" i="31"/>
  <c r="AD41" i="31"/>
  <c r="DB40" i="31"/>
  <c r="DA40" i="31"/>
  <c r="CZ40" i="31"/>
  <c r="CY40" i="31"/>
  <c r="CX40" i="31"/>
  <c r="CW40" i="31"/>
  <c r="CV40" i="31"/>
  <c r="CU40" i="31"/>
  <c r="CT40" i="31"/>
  <c r="CS40" i="31"/>
  <c r="CR40" i="31"/>
  <c r="CQ40" i="31"/>
  <c r="CP40" i="31"/>
  <c r="CO40" i="31"/>
  <c r="CN40" i="31"/>
  <c r="CM40" i="31"/>
  <c r="CL40" i="31"/>
  <c r="CK40" i="31"/>
  <c r="CJ40" i="31"/>
  <c r="CI40" i="31"/>
  <c r="CH40" i="31"/>
  <c r="CG40" i="31"/>
  <c r="CF40" i="31"/>
  <c r="CE40" i="31"/>
  <c r="CD40" i="31"/>
  <c r="BB40" i="31"/>
  <c r="BA40" i="31"/>
  <c r="AC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DB39" i="31"/>
  <c r="DA39" i="31"/>
  <c r="CZ39" i="31"/>
  <c r="CY39" i="31"/>
  <c r="CX39" i="31"/>
  <c r="CW39" i="31"/>
  <c r="CV39" i="31"/>
  <c r="CU39" i="31"/>
  <c r="CT39" i="31"/>
  <c r="CS39" i="31"/>
  <c r="CR39" i="31"/>
  <c r="CQ39" i="31"/>
  <c r="CP39" i="31"/>
  <c r="CO39" i="31"/>
  <c r="CN39" i="31"/>
  <c r="CM39" i="31"/>
  <c r="CL39" i="31"/>
  <c r="CK39" i="31"/>
  <c r="CJ39" i="31"/>
  <c r="CI39" i="31"/>
  <c r="CH39" i="31"/>
  <c r="CG39" i="31"/>
  <c r="CF39" i="31"/>
  <c r="CE39" i="31"/>
  <c r="CD39" i="31"/>
  <c r="CC39" i="31"/>
  <c r="BB39" i="31"/>
  <c r="BA39" i="31"/>
  <c r="AZ39" i="31"/>
  <c r="AY39" i="31"/>
  <c r="AX39" i="31"/>
  <c r="AW39" i="31"/>
  <c r="AV39" i="31"/>
  <c r="AU39" i="31"/>
  <c r="AT39" i="31"/>
  <c r="AS39" i="31"/>
  <c r="AR39" i="31"/>
  <c r="AQ39" i="31"/>
  <c r="AP39" i="31"/>
  <c r="AO39" i="31"/>
  <c r="AN39" i="31"/>
  <c r="AM39" i="31"/>
  <c r="AL39" i="31"/>
  <c r="AK39" i="31"/>
  <c r="AJ39" i="31"/>
  <c r="AI39" i="31"/>
  <c r="AH39" i="31"/>
  <c r="AG39" i="31"/>
  <c r="AF39" i="31"/>
  <c r="AE39" i="31"/>
  <c r="AD39" i="31"/>
  <c r="DB38" i="31"/>
  <c r="DA38" i="31"/>
  <c r="CZ38" i="31"/>
  <c r="CY38" i="31"/>
  <c r="CX38" i="31"/>
  <c r="CW38" i="31"/>
  <c r="CV38" i="31"/>
  <c r="CU38" i="31"/>
  <c r="CT38" i="31"/>
  <c r="CS38" i="31"/>
  <c r="CR38" i="31"/>
  <c r="CQ38" i="31"/>
  <c r="CP38" i="31"/>
  <c r="CO38" i="31"/>
  <c r="CN38" i="31"/>
  <c r="CM38" i="31"/>
  <c r="CL38" i="31"/>
  <c r="CK38" i="31"/>
  <c r="CJ38" i="31"/>
  <c r="CI38" i="31"/>
  <c r="CH38" i="31"/>
  <c r="CG38" i="31"/>
  <c r="CF38" i="31"/>
  <c r="CE38" i="31"/>
  <c r="CD38" i="31"/>
  <c r="CC38" i="31"/>
  <c r="BB38" i="31"/>
  <c r="BA38" i="31"/>
  <c r="AZ38" i="31"/>
  <c r="AY38" i="31"/>
  <c r="AX38" i="31"/>
  <c r="AW38" i="31"/>
  <c r="AV38" i="31"/>
  <c r="AU38" i="31"/>
  <c r="AC38" i="31"/>
  <c r="AT38" i="31"/>
  <c r="AS38" i="31"/>
  <c r="AR38" i="31"/>
  <c r="AQ38" i="31"/>
  <c r="AP38" i="31"/>
  <c r="AO38" i="31"/>
  <c r="AN38" i="31"/>
  <c r="AM38" i="31"/>
  <c r="AL38" i="31"/>
  <c r="AK38" i="31"/>
  <c r="AJ38" i="31"/>
  <c r="AI38" i="31"/>
  <c r="AH38" i="31"/>
  <c r="AG38" i="31"/>
  <c r="AF38" i="31"/>
  <c r="AE38" i="31"/>
  <c r="AD38" i="31"/>
  <c r="DB37" i="31"/>
  <c r="DA37" i="31"/>
  <c r="CZ37" i="31"/>
  <c r="CY37" i="31"/>
  <c r="CX37" i="31"/>
  <c r="CW37" i="31"/>
  <c r="CV37" i="31"/>
  <c r="CU37" i="31"/>
  <c r="CT37" i="31"/>
  <c r="CS37" i="31"/>
  <c r="CR37" i="31"/>
  <c r="CQ37" i="31"/>
  <c r="CP37" i="31"/>
  <c r="CO37" i="31"/>
  <c r="CN37" i="31"/>
  <c r="CM37" i="31"/>
  <c r="CL37" i="31"/>
  <c r="CK37" i="31"/>
  <c r="CJ37" i="31"/>
  <c r="CI37" i="31"/>
  <c r="CH37" i="31"/>
  <c r="CG37" i="31"/>
  <c r="CF37" i="31"/>
  <c r="CE37" i="31"/>
  <c r="CD37" i="31"/>
  <c r="CC37" i="31"/>
  <c r="BB37" i="31"/>
  <c r="BA37" i="31"/>
  <c r="AZ37" i="31"/>
  <c r="AY37" i="31"/>
  <c r="AX37" i="31"/>
  <c r="AW37" i="31"/>
  <c r="AV37" i="31"/>
  <c r="AU37" i="31"/>
  <c r="AT37" i="31"/>
  <c r="AS37" i="31"/>
  <c r="AR37" i="31"/>
  <c r="AQ37" i="31"/>
  <c r="AP37" i="31"/>
  <c r="AO37" i="31"/>
  <c r="AN37" i="31"/>
  <c r="AM37" i="31"/>
  <c r="AL37" i="31"/>
  <c r="AK37" i="31"/>
  <c r="AJ37" i="31"/>
  <c r="AI37" i="31"/>
  <c r="AH37" i="31"/>
  <c r="AG37" i="31"/>
  <c r="AF37" i="31"/>
  <c r="AE37" i="31"/>
  <c r="AD37" i="31"/>
  <c r="DB36" i="31"/>
  <c r="DA36" i="31"/>
  <c r="CZ36" i="31"/>
  <c r="CY36" i="31"/>
  <c r="CX36" i="31"/>
  <c r="CW36" i="31"/>
  <c r="CV36" i="31"/>
  <c r="CU36" i="31"/>
  <c r="CT36" i="31"/>
  <c r="CS36" i="31"/>
  <c r="CR36" i="31"/>
  <c r="CQ36" i="31"/>
  <c r="CP36" i="31"/>
  <c r="CO36" i="31"/>
  <c r="CN36" i="31"/>
  <c r="CM36" i="31"/>
  <c r="CL36" i="31"/>
  <c r="CK36" i="31"/>
  <c r="CJ36" i="31"/>
  <c r="CI36" i="31"/>
  <c r="CH36" i="31"/>
  <c r="CG36" i="31"/>
  <c r="CF36" i="31"/>
  <c r="CE36" i="31"/>
  <c r="CD36" i="31"/>
  <c r="BB36" i="31"/>
  <c r="BA36" i="31"/>
  <c r="AC36" i="31"/>
  <c r="AZ36" i="31"/>
  <c r="AY36" i="31"/>
  <c r="AX36" i="31"/>
  <c r="AW36" i="31"/>
  <c r="AV36" i="31"/>
  <c r="AU36" i="31"/>
  <c r="AT36" i="31"/>
  <c r="AS36" i="31"/>
  <c r="AR36" i="31"/>
  <c r="AQ36" i="31"/>
  <c r="AP36" i="31"/>
  <c r="AO36" i="31"/>
  <c r="AN36" i="31"/>
  <c r="AM36" i="31"/>
  <c r="AL36" i="31"/>
  <c r="AK36" i="31"/>
  <c r="AJ36" i="31"/>
  <c r="AI36" i="31"/>
  <c r="AH36" i="31"/>
  <c r="AG36" i="31"/>
  <c r="AF36" i="31"/>
  <c r="AE36" i="31"/>
  <c r="AD36" i="31"/>
  <c r="DB35" i="31"/>
  <c r="DA35" i="31"/>
  <c r="CZ35" i="31"/>
  <c r="CY35" i="31"/>
  <c r="CY31" i="31"/>
  <c r="CX35" i="31"/>
  <c r="CW35" i="31"/>
  <c r="CV35" i="31"/>
  <c r="CU35" i="31"/>
  <c r="CT35" i="31"/>
  <c r="CS35" i="31"/>
  <c r="CR35" i="31"/>
  <c r="CQ35" i="31"/>
  <c r="CP35" i="31"/>
  <c r="CO35" i="31"/>
  <c r="CN35" i="31"/>
  <c r="CM35" i="31"/>
  <c r="CL35" i="31"/>
  <c r="CK35" i="31"/>
  <c r="CJ35" i="31"/>
  <c r="CJ31" i="31"/>
  <c r="CI35" i="31"/>
  <c r="CI31" i="31"/>
  <c r="CH35" i="31"/>
  <c r="CG35" i="31"/>
  <c r="CF35" i="31"/>
  <c r="CE35" i="31"/>
  <c r="CD35" i="31"/>
  <c r="BB35" i="31"/>
  <c r="BA35" i="31"/>
  <c r="BA31" i="31"/>
  <c r="AZ35" i="31"/>
  <c r="AZ31" i="31"/>
  <c r="AY35" i="31"/>
  <c r="AX35" i="31"/>
  <c r="AW35" i="31"/>
  <c r="AV35" i="31"/>
  <c r="AU35" i="31"/>
  <c r="AC35" i="31"/>
  <c r="AT35" i="31"/>
  <c r="AS35" i="31"/>
  <c r="AS31" i="31"/>
  <c r="AR35" i="31"/>
  <c r="AQ35" i="31"/>
  <c r="AP35" i="31"/>
  <c r="AO35" i="31"/>
  <c r="AN35" i="31"/>
  <c r="AM35" i="31"/>
  <c r="AL35" i="31"/>
  <c r="AK35" i="31"/>
  <c r="AJ35" i="31"/>
  <c r="AJ31" i="31"/>
  <c r="AI35" i="31"/>
  <c r="AH35" i="31"/>
  <c r="AG35" i="31"/>
  <c r="AF35" i="31"/>
  <c r="AE35" i="31"/>
  <c r="AD35" i="31"/>
  <c r="DB34" i="31"/>
  <c r="DA34" i="31"/>
  <c r="DA31" i="31"/>
  <c r="CZ34" i="31"/>
  <c r="CY34" i="31"/>
  <c r="CX34" i="31"/>
  <c r="CW34" i="31"/>
  <c r="CV34" i="31"/>
  <c r="CU34" i="31"/>
  <c r="CT34" i="31"/>
  <c r="CS34" i="31"/>
  <c r="CS31" i="31"/>
  <c r="CR34" i="31"/>
  <c r="CQ34" i="31"/>
  <c r="CP34" i="31"/>
  <c r="CO34" i="31"/>
  <c r="CN34" i="31"/>
  <c r="CM34" i="31"/>
  <c r="CL34" i="31"/>
  <c r="CK34" i="31"/>
  <c r="CK31" i="31"/>
  <c r="CJ34" i="31"/>
  <c r="CI34" i="31"/>
  <c r="CH34" i="31"/>
  <c r="CG34" i="31"/>
  <c r="CF34" i="31"/>
  <c r="CE34" i="31"/>
  <c r="CD34" i="31"/>
  <c r="CC34" i="31"/>
  <c r="BB34" i="31"/>
  <c r="BA34" i="31"/>
  <c r="AZ34" i="31"/>
  <c r="AY34" i="31"/>
  <c r="AX34" i="31"/>
  <c r="AW34" i="31"/>
  <c r="AV34" i="31"/>
  <c r="AU34" i="31"/>
  <c r="AU31" i="31"/>
  <c r="AT34" i="31"/>
  <c r="AT31" i="31"/>
  <c r="AS34" i="31"/>
  <c r="AR34" i="31"/>
  <c r="AQ34" i="31"/>
  <c r="AP34" i="31"/>
  <c r="AO34" i="31"/>
  <c r="AN34" i="31"/>
  <c r="AM34" i="31"/>
  <c r="AM31" i="31"/>
  <c r="AL34" i="31"/>
  <c r="AL31" i="31"/>
  <c r="AK34" i="31"/>
  <c r="AJ34" i="31"/>
  <c r="AI34" i="31"/>
  <c r="AH34" i="31"/>
  <c r="AG34" i="31"/>
  <c r="AF34" i="31"/>
  <c r="AE34" i="31"/>
  <c r="AE31" i="31"/>
  <c r="AD34" i="31"/>
  <c r="AD31" i="31"/>
  <c r="DB33" i="31"/>
  <c r="DB31" i="31"/>
  <c r="DA33" i="31"/>
  <c r="CZ33" i="31"/>
  <c r="CY33" i="31"/>
  <c r="CX33" i="31"/>
  <c r="CW33" i="31"/>
  <c r="CV33" i="31"/>
  <c r="CV31" i="31"/>
  <c r="CU33" i="31"/>
  <c r="CT33" i="31"/>
  <c r="CT31" i="31"/>
  <c r="CS33" i="31"/>
  <c r="CR33" i="31"/>
  <c r="CQ33" i="31"/>
  <c r="CP33" i="31"/>
  <c r="CO33" i="31"/>
  <c r="CN33" i="31"/>
  <c r="CM33" i="31"/>
  <c r="CM31" i="31"/>
  <c r="CL33" i="31"/>
  <c r="CL31" i="31"/>
  <c r="CK33" i="31"/>
  <c r="CJ33" i="31"/>
  <c r="CI33" i="31"/>
  <c r="CH33" i="31"/>
  <c r="CG33" i="31"/>
  <c r="CF33" i="31"/>
  <c r="CE33" i="31"/>
  <c r="CD33" i="31"/>
  <c r="BB33" i="31"/>
  <c r="BA33" i="31"/>
  <c r="AZ33" i="31"/>
  <c r="AY33" i="31"/>
  <c r="AX33" i="31"/>
  <c r="AW33" i="31"/>
  <c r="AW31" i="31"/>
  <c r="AV33" i="31"/>
  <c r="AV31" i="31"/>
  <c r="AU33" i="31"/>
  <c r="AT33" i="31"/>
  <c r="AS33" i="31"/>
  <c r="AR33" i="31"/>
  <c r="AQ33" i="31"/>
  <c r="AP33" i="31"/>
  <c r="AO33" i="31"/>
  <c r="AO31" i="31"/>
  <c r="AN33" i="31"/>
  <c r="AM33" i="31"/>
  <c r="AL33" i="31"/>
  <c r="AK33" i="31"/>
  <c r="AJ33" i="31"/>
  <c r="AI33" i="31"/>
  <c r="AH33" i="31"/>
  <c r="AG33" i="31"/>
  <c r="AG31" i="31"/>
  <c r="AF33" i="31"/>
  <c r="AF31" i="31"/>
  <c r="AE33" i="31"/>
  <c r="AD33" i="31"/>
  <c r="DB32" i="31"/>
  <c r="DA32" i="31"/>
  <c r="CZ32" i="31"/>
  <c r="CZ31" i="31"/>
  <c r="CY32" i="31"/>
  <c r="CX32" i="31"/>
  <c r="CX31" i="31"/>
  <c r="CW32" i="31"/>
  <c r="CW31" i="31"/>
  <c r="CV32" i="31"/>
  <c r="CU32" i="31"/>
  <c r="CT32" i="31"/>
  <c r="CS32" i="31"/>
  <c r="CR32" i="31"/>
  <c r="CQ32" i="31"/>
  <c r="CP32" i="31"/>
  <c r="CP31" i="31"/>
  <c r="CO32" i="31"/>
  <c r="CO31" i="31"/>
  <c r="CN32" i="31"/>
  <c r="CN31" i="31"/>
  <c r="CM32" i="31"/>
  <c r="CL32" i="31"/>
  <c r="CK32" i="31"/>
  <c r="CJ32" i="31"/>
  <c r="CI32" i="31"/>
  <c r="CH32" i="31"/>
  <c r="CH31" i="31"/>
  <c r="CG32" i="31"/>
  <c r="CG31" i="31"/>
  <c r="CF32" i="31"/>
  <c r="CE32" i="31"/>
  <c r="CD32" i="31"/>
  <c r="BB32" i="31"/>
  <c r="BA32" i="31"/>
  <c r="AZ32" i="31"/>
  <c r="AY32" i="31"/>
  <c r="AY31" i="31"/>
  <c r="AX32" i="31"/>
  <c r="AX31" i="31"/>
  <c r="AW32" i="31"/>
  <c r="AV32" i="31"/>
  <c r="AU32" i="31"/>
  <c r="AT32" i="31"/>
  <c r="AS32" i="31"/>
  <c r="AR32" i="31"/>
  <c r="AQ32" i="31"/>
  <c r="AQ31" i="31"/>
  <c r="AP32" i="31"/>
  <c r="AO32" i="31"/>
  <c r="AN32" i="31"/>
  <c r="AM32" i="31"/>
  <c r="AL32" i="31"/>
  <c r="AK32" i="31"/>
  <c r="AK31" i="31"/>
  <c r="AJ32" i="31"/>
  <c r="AI32" i="31"/>
  <c r="AI31" i="31"/>
  <c r="AH32" i="31"/>
  <c r="AH31" i="31"/>
  <c r="AG32" i="31"/>
  <c r="AF32" i="31"/>
  <c r="AE32" i="31"/>
  <c r="AD32" i="31"/>
  <c r="CC35" i="31"/>
  <c r="CC76" i="31"/>
  <c r="CC75" i="31"/>
  <c r="CC74" i="31"/>
  <c r="CC72" i="31"/>
  <c r="CC71" i="31"/>
  <c r="CC70" i="31"/>
  <c r="CC68" i="31"/>
  <c r="CC67" i="31"/>
  <c r="CC66" i="31"/>
  <c r="CD63" i="31"/>
  <c r="CC64" i="31"/>
  <c r="DA63" i="31"/>
  <c r="CY63" i="31"/>
  <c r="CW63" i="31"/>
  <c r="CU63" i="31"/>
  <c r="CS63" i="31"/>
  <c r="CQ63" i="31"/>
  <c r="CO63" i="31"/>
  <c r="CM63" i="31"/>
  <c r="CK63" i="31"/>
  <c r="CI63" i="31"/>
  <c r="CG63" i="31"/>
  <c r="CE63" i="31"/>
  <c r="CC62" i="31"/>
  <c r="CC61" i="31"/>
  <c r="CC59" i="31"/>
  <c r="CC58" i="31"/>
  <c r="CC57" i="31"/>
  <c r="CC55" i="31"/>
  <c r="CC54" i="31"/>
  <c r="CC53" i="31"/>
  <c r="CP48" i="31"/>
  <c r="CC51" i="31"/>
  <c r="CC50" i="31"/>
  <c r="CT48" i="31"/>
  <c r="DA48" i="31"/>
  <c r="CS48" i="31"/>
  <c r="CQ48" i="31"/>
  <c r="CO48" i="31"/>
  <c r="CK48" i="31"/>
  <c r="CI48" i="31"/>
  <c r="CF48" i="31"/>
  <c r="CE48" i="31"/>
  <c r="CZ45" i="31"/>
  <c r="CR45" i="31"/>
  <c r="CJ45" i="31"/>
  <c r="CC46" i="31"/>
  <c r="CY45" i="31"/>
  <c r="CW45" i="31"/>
  <c r="CT45" i="31"/>
  <c r="CS45" i="31"/>
  <c r="CQ45" i="31"/>
  <c r="CO45" i="31"/>
  <c r="CI45" i="31"/>
  <c r="CG45" i="31"/>
  <c r="CC44" i="31"/>
  <c r="CC42" i="31"/>
  <c r="CC41" i="31"/>
  <c r="CC40" i="31"/>
  <c r="CC36" i="31"/>
  <c r="CR31" i="31"/>
  <c r="CF31" i="31"/>
  <c r="CC32" i="31"/>
  <c r="CU31" i="31"/>
  <c r="CQ31" i="31"/>
  <c r="CE31" i="31"/>
  <c r="CC75" i="30"/>
  <c r="CC74" i="30"/>
  <c r="CC72" i="30"/>
  <c r="CC71" i="30"/>
  <c r="CC70" i="30"/>
  <c r="CC67" i="30"/>
  <c r="CI63" i="30"/>
  <c r="CC66" i="30"/>
  <c r="CC64" i="30"/>
  <c r="CR63" i="30"/>
  <c r="CP63" i="30"/>
  <c r="CF63" i="30"/>
  <c r="CD63" i="30"/>
  <c r="CC62" i="30"/>
  <c r="CC61" i="30"/>
  <c r="CC58" i="30"/>
  <c r="CC57" i="30"/>
  <c r="CC55" i="30"/>
  <c r="CC54" i="30"/>
  <c r="CC53" i="30"/>
  <c r="CC51" i="30"/>
  <c r="CC50" i="30"/>
  <c r="CC49" i="30"/>
  <c r="CR48" i="30"/>
  <c r="CP48" i="30"/>
  <c r="CD48" i="30"/>
  <c r="CW45" i="30"/>
  <c r="CO45" i="30"/>
  <c r="CG45" i="30"/>
  <c r="CY45" i="30"/>
  <c r="CQ45" i="30"/>
  <c r="CI45" i="30"/>
  <c r="CC46" i="30"/>
  <c r="CZ45" i="30"/>
  <c r="CX45" i="30"/>
  <c r="CT45" i="30"/>
  <c r="CS45" i="30"/>
  <c r="CR45" i="30"/>
  <c r="CP45" i="30"/>
  <c r="CJ45" i="30"/>
  <c r="CH45" i="30"/>
  <c r="CC44" i="30"/>
  <c r="CC43" i="30"/>
  <c r="BY43" i="18"/>
  <c r="CC41" i="30"/>
  <c r="CC40" i="30"/>
  <c r="CC39" i="30"/>
  <c r="CC36" i="30"/>
  <c r="CC35" i="30"/>
  <c r="CQ31" i="30"/>
  <c r="CM31" i="30"/>
  <c r="CC32" i="30"/>
  <c r="CV31" i="30"/>
  <c r="CT31" i="30"/>
  <c r="CH31" i="30"/>
  <c r="CG31" i="30"/>
  <c r="BC75" i="29"/>
  <c r="BC74" i="29"/>
  <c r="BC73" i="29"/>
  <c r="BC72" i="29"/>
  <c r="BC71" i="29"/>
  <c r="BC67" i="29"/>
  <c r="BC66" i="29"/>
  <c r="BC65" i="29"/>
  <c r="BC64" i="29"/>
  <c r="BY63" i="29"/>
  <c r="BP63" i="29"/>
  <c r="BG63" i="29"/>
  <c r="BC62" i="29"/>
  <c r="BC58" i="29"/>
  <c r="BC57" i="29"/>
  <c r="BC56" i="29"/>
  <c r="BC55" i="29"/>
  <c r="BC54" i="29"/>
  <c r="BC50" i="29"/>
  <c r="BC49" i="29"/>
  <c r="BV48" i="29"/>
  <c r="BN48" i="29"/>
  <c r="BF48" i="29"/>
  <c r="BC47" i="29"/>
  <c r="BC46" i="29"/>
  <c r="CB45" i="29"/>
  <c r="CA45" i="29"/>
  <c r="BZ45" i="29"/>
  <c r="BW45" i="29"/>
  <c r="BV45" i="29"/>
  <c r="BU45" i="29"/>
  <c r="BT45" i="29"/>
  <c r="BS45" i="29"/>
  <c r="BR45" i="29"/>
  <c r="BO45" i="29"/>
  <c r="BN45" i="29"/>
  <c r="BM45" i="29"/>
  <c r="BL45" i="29"/>
  <c r="BK45" i="29"/>
  <c r="BJ45" i="29"/>
  <c r="BG45" i="29"/>
  <c r="BF45" i="29"/>
  <c r="BE45" i="29"/>
  <c r="BD45" i="29"/>
  <c r="BC45" i="29"/>
  <c r="BC44" i="29"/>
  <c r="BC40" i="29"/>
  <c r="BC39" i="29"/>
  <c r="BC38" i="29"/>
  <c r="BC37" i="29"/>
  <c r="BC36" i="29"/>
  <c r="BC32" i="29"/>
  <c r="BY31" i="29"/>
  <c r="BQ31" i="29"/>
  <c r="BI31" i="29"/>
  <c r="AC76" i="30"/>
  <c r="AC75" i="30"/>
  <c r="AC72" i="30"/>
  <c r="AC71" i="30"/>
  <c r="AC70" i="30"/>
  <c r="AC69" i="30"/>
  <c r="AC68" i="30"/>
  <c r="AC67" i="30"/>
  <c r="BA63" i="30"/>
  <c r="AS63" i="30"/>
  <c r="AC64" i="30"/>
  <c r="AZ63" i="30"/>
  <c r="AO63" i="30"/>
  <c r="AC62" i="30"/>
  <c r="AC61" i="30"/>
  <c r="AC59" i="30"/>
  <c r="AC58" i="30"/>
  <c r="AC55" i="30"/>
  <c r="AC54" i="30"/>
  <c r="AC53" i="30"/>
  <c r="AC51" i="30"/>
  <c r="AY48" i="30"/>
  <c r="AQ48" i="30"/>
  <c r="AC50" i="30"/>
  <c r="AZ48" i="30"/>
  <c r="AM48" i="30"/>
  <c r="AW45" i="30"/>
  <c r="AO45" i="30"/>
  <c r="AY45" i="30"/>
  <c r="AQ45" i="30"/>
  <c r="AI45" i="30"/>
  <c r="AC46" i="30"/>
  <c r="BA45" i="30"/>
  <c r="AZ45" i="30"/>
  <c r="AX45" i="30"/>
  <c r="AS45" i="30"/>
  <c r="AR45" i="30"/>
  <c r="AP45" i="30"/>
  <c r="AK45" i="30"/>
  <c r="AJ45" i="30"/>
  <c r="AH45" i="30"/>
  <c r="AE45" i="30"/>
  <c r="AC44" i="30"/>
  <c r="AC41" i="30"/>
  <c r="AC40" i="30"/>
  <c r="AC39" i="30"/>
  <c r="AC37" i="30"/>
  <c r="AC36" i="30"/>
  <c r="AI31" i="30"/>
  <c r="AC34" i="30"/>
  <c r="AC33" i="30"/>
  <c r="AE31" i="30"/>
  <c r="AC32" i="30"/>
  <c r="AP31" i="30"/>
  <c r="AD31" i="30"/>
  <c r="AC76" i="31"/>
  <c r="AC75" i="31"/>
  <c r="AC74" i="31"/>
  <c r="AC72" i="31"/>
  <c r="AC71" i="31"/>
  <c r="AC68" i="31"/>
  <c r="AC67" i="31"/>
  <c r="AZ63" i="31"/>
  <c r="AR63" i="31"/>
  <c r="AJ63" i="31"/>
  <c r="BB63" i="31"/>
  <c r="AT63" i="31"/>
  <c r="AL63" i="31"/>
  <c r="AD63" i="31"/>
  <c r="AV63" i="31"/>
  <c r="AN63" i="31"/>
  <c r="AF63" i="31"/>
  <c r="AC64" i="31"/>
  <c r="AX63" i="31"/>
  <c r="AU63" i="31"/>
  <c r="AP63" i="31"/>
  <c r="AH63" i="31"/>
  <c r="AC62" i="31"/>
  <c r="AC59" i="31"/>
  <c r="AC58" i="31"/>
  <c r="AC57" i="31"/>
  <c r="AC55" i="31"/>
  <c r="AC54" i="31"/>
  <c r="AX48" i="31"/>
  <c r="AP48" i="31"/>
  <c r="AH48" i="31"/>
  <c r="AC51" i="31"/>
  <c r="AZ48" i="31"/>
  <c r="AC50" i="31"/>
  <c r="AR48" i="31"/>
  <c r="AJ48" i="31"/>
  <c r="BB48" i="31"/>
  <c r="AT48" i="31"/>
  <c r="AL48" i="31"/>
  <c r="AD48" i="31"/>
  <c r="AV48" i="31"/>
  <c r="AU48" i="31"/>
  <c r="AN48" i="31"/>
  <c r="AF48" i="31"/>
  <c r="AE48" i="31"/>
  <c r="AX45" i="31"/>
  <c r="AS45" i="31"/>
  <c r="AP45" i="31"/>
  <c r="AK45" i="31"/>
  <c r="AH45" i="31"/>
  <c r="AZ45" i="31"/>
  <c r="AC46" i="31"/>
  <c r="AR45" i="31"/>
  <c r="AJ45" i="31"/>
  <c r="BB45" i="31"/>
  <c r="BA45" i="31"/>
  <c r="AY45" i="31"/>
  <c r="AW45" i="31"/>
  <c r="AV45" i="31"/>
  <c r="AT45" i="31"/>
  <c r="AQ45" i="31"/>
  <c r="AN45" i="31"/>
  <c r="AL45" i="31"/>
  <c r="AI45" i="31"/>
  <c r="AG45" i="31"/>
  <c r="AF45" i="31"/>
  <c r="AD45" i="31"/>
  <c r="AC44" i="31"/>
  <c r="AC41" i="31"/>
  <c r="AC39" i="31"/>
  <c r="AC37" i="31"/>
  <c r="AR31" i="31"/>
  <c r="AC34" i="31"/>
  <c r="BB31" i="31"/>
  <c r="AN31" i="31"/>
  <c r="AC32" i="31"/>
  <c r="AP31" i="31"/>
  <c r="DB76" i="43"/>
  <c r="DA76" i="43"/>
  <c r="CZ76" i="43"/>
  <c r="CY76" i="43"/>
  <c r="CX76" i="43"/>
  <c r="CW76" i="43"/>
  <c r="CV76" i="43"/>
  <c r="CU76" i="43"/>
  <c r="CT76" i="43"/>
  <c r="CS76" i="43"/>
  <c r="CR76" i="43"/>
  <c r="CQ76" i="43"/>
  <c r="CP76" i="43"/>
  <c r="CO76" i="43"/>
  <c r="CN76" i="43"/>
  <c r="CM76" i="43"/>
  <c r="CL76" i="43"/>
  <c r="CK76" i="43"/>
  <c r="CJ76" i="43"/>
  <c r="CI76" i="43"/>
  <c r="CH76" i="43"/>
  <c r="CG76" i="43"/>
  <c r="CF76" i="43"/>
  <c r="CE76" i="43"/>
  <c r="CD76" i="43"/>
  <c r="CC76" i="43"/>
  <c r="DB75" i="43"/>
  <c r="DA75" i="43"/>
  <c r="CZ75" i="43"/>
  <c r="CY75" i="43"/>
  <c r="CX75" i="43"/>
  <c r="CW75" i="43"/>
  <c r="CV75" i="43"/>
  <c r="CU75" i="43"/>
  <c r="CT75" i="43"/>
  <c r="CS75" i="43"/>
  <c r="CR75" i="43"/>
  <c r="CQ75" i="43"/>
  <c r="CP75" i="43"/>
  <c r="CO75" i="43"/>
  <c r="CN75" i="43"/>
  <c r="CM75" i="43"/>
  <c r="CL75" i="43"/>
  <c r="CK75" i="43"/>
  <c r="CJ75" i="43"/>
  <c r="CI75" i="43"/>
  <c r="CH75" i="43"/>
  <c r="CG75" i="43"/>
  <c r="CF75" i="43"/>
  <c r="CE75" i="43"/>
  <c r="CD75" i="43"/>
  <c r="CC75" i="43"/>
  <c r="DB74" i="43"/>
  <c r="DA74" i="43"/>
  <c r="CZ74" i="43"/>
  <c r="CY74" i="43"/>
  <c r="CX74" i="43"/>
  <c r="CW74" i="43"/>
  <c r="CV74" i="43"/>
  <c r="CU74" i="43"/>
  <c r="CT74" i="43"/>
  <c r="CS74" i="43"/>
  <c r="CR74" i="43"/>
  <c r="CQ74" i="43"/>
  <c r="CP74" i="43"/>
  <c r="CO74" i="43"/>
  <c r="CN74" i="43"/>
  <c r="CM74" i="43"/>
  <c r="CL74" i="43"/>
  <c r="CK74" i="43"/>
  <c r="CJ74" i="43"/>
  <c r="CI74" i="43"/>
  <c r="CH74" i="43"/>
  <c r="CG74" i="43"/>
  <c r="CF74" i="43"/>
  <c r="CE74" i="43"/>
  <c r="CD74" i="43"/>
  <c r="CC74" i="43"/>
  <c r="DB73" i="43"/>
  <c r="DA73" i="43"/>
  <c r="CZ73" i="43"/>
  <c r="CY73" i="43"/>
  <c r="CX73" i="43"/>
  <c r="CW73" i="43"/>
  <c r="CV73" i="43"/>
  <c r="CU73" i="43"/>
  <c r="CT73" i="43"/>
  <c r="CS73" i="43"/>
  <c r="CR73" i="43"/>
  <c r="CQ73" i="43"/>
  <c r="CP73" i="43"/>
  <c r="CO73" i="43"/>
  <c r="CN73" i="43"/>
  <c r="CM73" i="43"/>
  <c r="CL73" i="43"/>
  <c r="CK73" i="43"/>
  <c r="CJ73" i="43"/>
  <c r="CI73" i="43"/>
  <c r="CH73" i="43"/>
  <c r="CG73" i="43"/>
  <c r="CF73" i="43"/>
  <c r="CE73" i="43"/>
  <c r="CD73" i="43"/>
  <c r="CC73" i="43"/>
  <c r="DB72" i="43"/>
  <c r="DA72" i="43"/>
  <c r="CZ72" i="43"/>
  <c r="CY72" i="43"/>
  <c r="CX72" i="43"/>
  <c r="CW72" i="43"/>
  <c r="CV72" i="43"/>
  <c r="CU72" i="43"/>
  <c r="CT72" i="43"/>
  <c r="CS72" i="43"/>
  <c r="CR72" i="43"/>
  <c r="CQ72" i="43"/>
  <c r="CP72" i="43"/>
  <c r="CO72" i="43"/>
  <c r="CN72" i="43"/>
  <c r="CM72" i="43"/>
  <c r="CL72" i="43"/>
  <c r="CK72" i="43"/>
  <c r="CJ72" i="43"/>
  <c r="CI72" i="43"/>
  <c r="CH72" i="43"/>
  <c r="CG72" i="43"/>
  <c r="CF72" i="43"/>
  <c r="CE72" i="43"/>
  <c r="CD72" i="43"/>
  <c r="CC72" i="43"/>
  <c r="DB71" i="43"/>
  <c r="DA71" i="43"/>
  <c r="CZ71" i="43"/>
  <c r="CY71" i="43"/>
  <c r="CX71" i="43"/>
  <c r="CW71" i="43"/>
  <c r="CV71" i="43"/>
  <c r="CU71" i="43"/>
  <c r="CT71" i="43"/>
  <c r="CS71" i="43"/>
  <c r="CR71" i="43"/>
  <c r="CQ71" i="43"/>
  <c r="CP71" i="43"/>
  <c r="CO71" i="43"/>
  <c r="CN71" i="43"/>
  <c r="CM71" i="43"/>
  <c r="CL71" i="43"/>
  <c r="CK71" i="43"/>
  <c r="CJ71" i="43"/>
  <c r="CI71" i="43"/>
  <c r="CH71" i="43"/>
  <c r="CG71" i="43"/>
  <c r="CF71" i="43"/>
  <c r="CE71" i="43"/>
  <c r="CD71" i="43"/>
  <c r="CC71" i="43"/>
  <c r="DB70" i="43"/>
  <c r="DA70" i="43"/>
  <c r="CZ70" i="43"/>
  <c r="CY70" i="43"/>
  <c r="CX70" i="43"/>
  <c r="CW70" i="43"/>
  <c r="CV70" i="43"/>
  <c r="CU70" i="43"/>
  <c r="CC70" i="43"/>
  <c r="CT70" i="43"/>
  <c r="CS70" i="43"/>
  <c r="CR70" i="43"/>
  <c r="CQ70" i="43"/>
  <c r="CP70" i="43"/>
  <c r="CO70" i="43"/>
  <c r="CN70" i="43"/>
  <c r="CM70" i="43"/>
  <c r="CL70" i="43"/>
  <c r="CK70" i="43"/>
  <c r="CJ70" i="43"/>
  <c r="CI70" i="43"/>
  <c r="CH70" i="43"/>
  <c r="CG70" i="43"/>
  <c r="CF70" i="43"/>
  <c r="CE70" i="43"/>
  <c r="CD70" i="43"/>
  <c r="DB69" i="43"/>
  <c r="DA69" i="43"/>
  <c r="CZ69" i="43"/>
  <c r="CY69" i="43"/>
  <c r="CX69" i="43"/>
  <c r="CW69" i="43"/>
  <c r="CV69" i="43"/>
  <c r="CU69" i="43"/>
  <c r="CT69" i="43"/>
  <c r="CS69" i="43"/>
  <c r="CR69" i="43"/>
  <c r="CQ69" i="43"/>
  <c r="CP69" i="43"/>
  <c r="CO69" i="43"/>
  <c r="CN69" i="43"/>
  <c r="CM69" i="43"/>
  <c r="CL69" i="43"/>
  <c r="CK69" i="43"/>
  <c r="CJ69" i="43"/>
  <c r="CI69" i="43"/>
  <c r="CH69" i="43"/>
  <c r="CG69" i="43"/>
  <c r="CF69" i="43"/>
  <c r="CE69" i="43"/>
  <c r="CD69" i="43"/>
  <c r="CC69" i="43"/>
  <c r="DB68" i="43"/>
  <c r="DA68" i="43"/>
  <c r="CZ68" i="43"/>
  <c r="CY68" i="43"/>
  <c r="CX68" i="43"/>
  <c r="CW68" i="43"/>
  <c r="CV68" i="43"/>
  <c r="CU68" i="43"/>
  <c r="CT68" i="43"/>
  <c r="CS68" i="43"/>
  <c r="CR68" i="43"/>
  <c r="CQ68" i="43"/>
  <c r="CP68" i="43"/>
  <c r="CO68" i="43"/>
  <c r="CN68" i="43"/>
  <c r="CM68" i="43"/>
  <c r="CL68" i="43"/>
  <c r="CK68" i="43"/>
  <c r="CJ68" i="43"/>
  <c r="CI68" i="43"/>
  <c r="CH68" i="43"/>
  <c r="CG68" i="43"/>
  <c r="CF68" i="43"/>
  <c r="CE68" i="43"/>
  <c r="CD68" i="43"/>
  <c r="CC68" i="43"/>
  <c r="DB67" i="43"/>
  <c r="DA67" i="43"/>
  <c r="CZ67" i="43"/>
  <c r="CY67" i="43"/>
  <c r="CX67" i="43"/>
  <c r="CW67" i="43"/>
  <c r="CV67" i="43"/>
  <c r="CU67" i="43"/>
  <c r="CT67" i="43"/>
  <c r="CS67" i="43"/>
  <c r="CR67" i="43"/>
  <c r="CQ67" i="43"/>
  <c r="CP67" i="43"/>
  <c r="CO67" i="43"/>
  <c r="CN67" i="43"/>
  <c r="CM67" i="43"/>
  <c r="CL67" i="43"/>
  <c r="CK67" i="43"/>
  <c r="CJ67" i="43"/>
  <c r="CI67" i="43"/>
  <c r="CH67" i="43"/>
  <c r="CG67" i="43"/>
  <c r="CF67" i="43"/>
  <c r="CE67" i="43"/>
  <c r="CD67" i="43"/>
  <c r="CC67" i="43"/>
  <c r="DB66" i="43"/>
  <c r="DA66" i="43"/>
  <c r="CZ66" i="43"/>
  <c r="CZ63" i="43"/>
  <c r="CY66" i="43"/>
  <c r="CX66" i="43"/>
  <c r="CW66" i="43"/>
  <c r="CV66" i="43"/>
  <c r="CU66" i="43"/>
  <c r="CU63" i="43"/>
  <c r="CT66" i="43"/>
  <c r="CS66" i="43"/>
  <c r="CR66" i="43"/>
  <c r="CR63" i="43"/>
  <c r="CQ66" i="43"/>
  <c r="CP66" i="43"/>
  <c r="CO66" i="43"/>
  <c r="CN66" i="43"/>
  <c r="CM66" i="43"/>
  <c r="CM63" i="43"/>
  <c r="CL66" i="43"/>
  <c r="CK66" i="43"/>
  <c r="CJ66" i="43"/>
  <c r="CJ63" i="43"/>
  <c r="CI66" i="43"/>
  <c r="CH66" i="43"/>
  <c r="CG66" i="43"/>
  <c r="CF66" i="43"/>
  <c r="CE66" i="43"/>
  <c r="CE63" i="43"/>
  <c r="CD66" i="43"/>
  <c r="CC66" i="43"/>
  <c r="DB65" i="43"/>
  <c r="DB63" i="43"/>
  <c r="DA65" i="43"/>
  <c r="CZ65" i="43"/>
  <c r="CY65" i="43"/>
  <c r="CX65" i="43"/>
  <c r="CW65" i="43"/>
  <c r="CW63" i="43"/>
  <c r="CV65" i="43"/>
  <c r="CU65" i="43"/>
  <c r="CT65" i="43"/>
  <c r="CT63" i="43"/>
  <c r="CS65" i="43"/>
  <c r="CR65" i="43"/>
  <c r="CQ65" i="43"/>
  <c r="CP65" i="43"/>
  <c r="CO65" i="43"/>
  <c r="CO63" i="43"/>
  <c r="CN65" i="43"/>
  <c r="CM65" i="43"/>
  <c r="CL65" i="43"/>
  <c r="CL63" i="43"/>
  <c r="CK65" i="43"/>
  <c r="CJ65" i="43"/>
  <c r="CI65" i="43"/>
  <c r="CH65" i="43"/>
  <c r="CG65" i="43"/>
  <c r="CG63" i="43"/>
  <c r="CF65" i="43"/>
  <c r="CE65" i="43"/>
  <c r="CD65" i="43"/>
  <c r="CD63" i="43"/>
  <c r="DB64" i="43"/>
  <c r="DA64" i="43"/>
  <c r="CZ64" i="43"/>
  <c r="CY64" i="43"/>
  <c r="CY63" i="43"/>
  <c r="CX64" i="43"/>
  <c r="CW64" i="43"/>
  <c r="CV64" i="43"/>
  <c r="CV63" i="43"/>
  <c r="CU64" i="43"/>
  <c r="CT64" i="43"/>
  <c r="CS64" i="43"/>
  <c r="CR64" i="43"/>
  <c r="CQ64" i="43"/>
  <c r="CQ63" i="43"/>
  <c r="CP64" i="43"/>
  <c r="CO64" i="43"/>
  <c r="CN64" i="43"/>
  <c r="CN63" i="43"/>
  <c r="CM64" i="43"/>
  <c r="CL64" i="43"/>
  <c r="CK64" i="43"/>
  <c r="CJ64" i="43"/>
  <c r="CI64" i="43"/>
  <c r="CI63" i="43"/>
  <c r="CH64" i="43"/>
  <c r="CG64" i="43"/>
  <c r="CF64" i="43"/>
  <c r="CF63" i="43"/>
  <c r="CE64" i="43"/>
  <c r="CD64" i="43"/>
  <c r="CC64" i="43"/>
  <c r="DA63" i="43"/>
  <c r="CX63" i="43"/>
  <c r="CS63" i="43"/>
  <c r="CP63" i="43"/>
  <c r="CK63" i="43"/>
  <c r="CH63"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CC62"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CC61"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CC60"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CC59"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CC58"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CC57"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CC56"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CC55"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CC54"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CC53"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CC52" i="43"/>
  <c r="DB51" i="43"/>
  <c r="DA51" i="43"/>
  <c r="CZ51" i="43"/>
  <c r="CY51" i="43"/>
  <c r="CY48" i="43"/>
  <c r="CX51" i="43"/>
  <c r="CX48" i="43"/>
  <c r="CW51" i="43"/>
  <c r="CV51" i="43"/>
  <c r="CU51" i="43"/>
  <c r="CT51" i="43"/>
  <c r="CS51" i="43"/>
  <c r="CR51" i="43"/>
  <c r="CQ51" i="43"/>
  <c r="CQ48" i="43"/>
  <c r="CP51" i="43"/>
  <c r="CP48" i="43"/>
  <c r="CO51" i="43"/>
  <c r="CN51" i="43"/>
  <c r="CM51" i="43"/>
  <c r="CL51" i="43"/>
  <c r="CK51" i="43"/>
  <c r="CJ51" i="43"/>
  <c r="CI51" i="43"/>
  <c r="CI48" i="43"/>
  <c r="CH51" i="43"/>
  <c r="CH48" i="43"/>
  <c r="CG51" i="43"/>
  <c r="CF51" i="43"/>
  <c r="CE51" i="43"/>
  <c r="CD51" i="43"/>
  <c r="CC51" i="43"/>
  <c r="DB50" i="43"/>
  <c r="DA50" i="43"/>
  <c r="DA48" i="43"/>
  <c r="CZ50" i="43"/>
  <c r="CZ48" i="43"/>
  <c r="CY50" i="43"/>
  <c r="CX50" i="43"/>
  <c r="CW50" i="43"/>
  <c r="CV50" i="43"/>
  <c r="CU50" i="43"/>
  <c r="CT50" i="43"/>
  <c r="CS50" i="43"/>
  <c r="CS48" i="43"/>
  <c r="CR50" i="43"/>
  <c r="CR48" i="43"/>
  <c r="CQ50" i="43"/>
  <c r="CP50" i="43"/>
  <c r="CO50" i="43"/>
  <c r="CN50" i="43"/>
  <c r="CM50" i="43"/>
  <c r="CL50" i="43"/>
  <c r="CK50" i="43"/>
  <c r="CK48" i="43"/>
  <c r="CJ50" i="43"/>
  <c r="CJ48" i="43"/>
  <c r="CI50" i="43"/>
  <c r="CH50" i="43"/>
  <c r="CG50" i="43"/>
  <c r="CF50" i="43"/>
  <c r="CE50" i="43"/>
  <c r="CD50" i="43"/>
  <c r="CC50" i="43"/>
  <c r="DB49" i="43"/>
  <c r="DB48" i="43"/>
  <c r="DA49" i="43"/>
  <c r="CZ49" i="43"/>
  <c r="CY49" i="43"/>
  <c r="CX49" i="43"/>
  <c r="CW49" i="43"/>
  <c r="CV49" i="43"/>
  <c r="CU49" i="43"/>
  <c r="CU48" i="43"/>
  <c r="CT49" i="43"/>
  <c r="CT48" i="43"/>
  <c r="CS49" i="43"/>
  <c r="CR49" i="43"/>
  <c r="CQ49" i="43"/>
  <c r="CP49" i="43"/>
  <c r="CO49" i="43"/>
  <c r="CN49" i="43"/>
  <c r="CM49" i="43"/>
  <c r="CM48" i="43"/>
  <c r="CL49" i="43"/>
  <c r="CL48" i="43"/>
  <c r="CK49" i="43"/>
  <c r="CJ49" i="43"/>
  <c r="CI49" i="43"/>
  <c r="CH49" i="43"/>
  <c r="CG49" i="43"/>
  <c r="CF49" i="43"/>
  <c r="CE49" i="43"/>
  <c r="CE48" i="43"/>
  <c r="CD49" i="43"/>
  <c r="CD48" i="43"/>
  <c r="CW48" i="43"/>
  <c r="CV48" i="43"/>
  <c r="CO48" i="43"/>
  <c r="CN48" i="43"/>
  <c r="CG48" i="43"/>
  <c r="CF48" i="43"/>
  <c r="DB47" i="43"/>
  <c r="DA47" i="43"/>
  <c r="CZ47" i="43"/>
  <c r="CY47" i="43"/>
  <c r="CY45" i="43"/>
  <c r="CX47" i="43"/>
  <c r="CX45" i="43"/>
  <c r="CW47" i="43"/>
  <c r="CV47" i="43"/>
  <c r="CU47" i="43"/>
  <c r="CT47" i="43"/>
  <c r="CS47" i="43"/>
  <c r="CR47" i="43"/>
  <c r="CQ47" i="43"/>
  <c r="CQ45" i="43"/>
  <c r="CP47" i="43"/>
  <c r="CP45" i="43"/>
  <c r="CO47" i="43"/>
  <c r="CN47" i="43"/>
  <c r="CM47" i="43"/>
  <c r="CL47" i="43"/>
  <c r="CK47" i="43"/>
  <c r="CJ47" i="43"/>
  <c r="CI47" i="43"/>
  <c r="CI45" i="43"/>
  <c r="CH47" i="43"/>
  <c r="CH45" i="43"/>
  <c r="CG47" i="43"/>
  <c r="CF47" i="43"/>
  <c r="CE47" i="43"/>
  <c r="CD47" i="43"/>
  <c r="CC47" i="43"/>
  <c r="DB46" i="43"/>
  <c r="DA46" i="43"/>
  <c r="DA45" i="43"/>
  <c r="CZ46" i="43"/>
  <c r="CZ45" i="43"/>
  <c r="CY46" i="43"/>
  <c r="CX46" i="43"/>
  <c r="CW46" i="43"/>
  <c r="CV46" i="43"/>
  <c r="CU46" i="43"/>
  <c r="CC45" i="43"/>
  <c r="CT46" i="43"/>
  <c r="CS46" i="43"/>
  <c r="CS45" i="43"/>
  <c r="CR46" i="43"/>
  <c r="CR45" i="43"/>
  <c r="CQ46" i="43"/>
  <c r="CP46" i="43"/>
  <c r="CO46" i="43"/>
  <c r="CN46" i="43"/>
  <c r="CM46" i="43"/>
  <c r="CL46" i="43"/>
  <c r="CK46" i="43"/>
  <c r="CK45" i="43"/>
  <c r="CJ46" i="43"/>
  <c r="CJ45" i="43"/>
  <c r="CI46" i="43"/>
  <c r="CH46" i="43"/>
  <c r="CG46" i="43"/>
  <c r="CF46" i="43"/>
  <c r="CE46" i="43"/>
  <c r="CD46" i="43"/>
  <c r="CC46" i="43"/>
  <c r="DB45" i="43"/>
  <c r="CW45" i="43"/>
  <c r="CV45" i="43"/>
  <c r="CU45" i="43"/>
  <c r="CT45" i="43"/>
  <c r="CO45" i="43"/>
  <c r="CN45" i="43"/>
  <c r="CM45" i="43"/>
  <c r="CL45" i="43"/>
  <c r="CG45" i="43"/>
  <c r="CF45" i="43"/>
  <c r="CE45" i="43"/>
  <c r="CD45" i="43"/>
  <c r="DB44" i="43"/>
  <c r="DA44" i="43"/>
  <c r="CZ44" i="43"/>
  <c r="CY44" i="43"/>
  <c r="CX44" i="43"/>
  <c r="CW44" i="43"/>
  <c r="CV44" i="43"/>
  <c r="CU44" i="43"/>
  <c r="CT44" i="43"/>
  <c r="CS44" i="43"/>
  <c r="CR44" i="43"/>
  <c r="CQ44" i="43"/>
  <c r="CP44" i="43"/>
  <c r="CO44" i="43"/>
  <c r="CN44" i="43"/>
  <c r="CM44" i="43"/>
  <c r="CL44" i="43"/>
  <c r="CK44" i="43"/>
  <c r="CJ44" i="43"/>
  <c r="CI44" i="43"/>
  <c r="CH44" i="43"/>
  <c r="CG44" i="43"/>
  <c r="CF44" i="43"/>
  <c r="CE44" i="43"/>
  <c r="CD44" i="43"/>
  <c r="CC44" i="43"/>
  <c r="DB43" i="43"/>
  <c r="DA43" i="43"/>
  <c r="CZ43" i="43"/>
  <c r="CY43" i="43"/>
  <c r="CX43" i="43"/>
  <c r="CW43" i="43"/>
  <c r="CV43" i="43"/>
  <c r="CU43" i="43"/>
  <c r="CT43" i="43"/>
  <c r="CS43" i="43"/>
  <c r="CR43" i="43"/>
  <c r="CQ43" i="43"/>
  <c r="CP43" i="43"/>
  <c r="CO43" i="43"/>
  <c r="CN43" i="43"/>
  <c r="CM43" i="43"/>
  <c r="CL43" i="43"/>
  <c r="CK43" i="43"/>
  <c r="CJ43" i="43"/>
  <c r="CI43" i="43"/>
  <c r="CH43" i="43"/>
  <c r="CG43" i="43"/>
  <c r="CF43" i="43"/>
  <c r="CE43" i="43"/>
  <c r="CD43" i="43"/>
  <c r="CC43"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DB41" i="43"/>
  <c r="DA41" i="43"/>
  <c r="CZ41" i="43"/>
  <c r="CY41" i="43"/>
  <c r="CX41" i="43"/>
  <c r="CW41" i="43"/>
  <c r="CV41" i="43"/>
  <c r="CU41" i="43"/>
  <c r="CT41" i="43"/>
  <c r="CS41" i="43"/>
  <c r="CR41" i="43"/>
  <c r="CQ41" i="43"/>
  <c r="CP41" i="43"/>
  <c r="CO41" i="43"/>
  <c r="CN41" i="43"/>
  <c r="CM41" i="43"/>
  <c r="CL41" i="43"/>
  <c r="CK41" i="43"/>
  <c r="CJ41" i="43"/>
  <c r="CI41" i="43"/>
  <c r="CH41" i="43"/>
  <c r="CG41" i="43"/>
  <c r="CF41" i="43"/>
  <c r="CE41" i="43"/>
  <c r="CD41" i="43"/>
  <c r="CC41" i="43"/>
  <c r="DB40" i="43"/>
  <c r="DA40" i="43"/>
  <c r="CZ40" i="43"/>
  <c r="CY40" i="43"/>
  <c r="CX40" i="43"/>
  <c r="CW40" i="43"/>
  <c r="CV40" i="43"/>
  <c r="CU40" i="43"/>
  <c r="CT40" i="43"/>
  <c r="CS40" i="43"/>
  <c r="CR40" i="43"/>
  <c r="CQ40" i="43"/>
  <c r="CP40" i="43"/>
  <c r="CO40" i="43"/>
  <c r="CN40" i="43"/>
  <c r="CM40" i="43"/>
  <c r="CL40" i="43"/>
  <c r="CK40" i="43"/>
  <c r="CJ40" i="43"/>
  <c r="CI40" i="43"/>
  <c r="CH40" i="43"/>
  <c r="CG40" i="43"/>
  <c r="CF40" i="43"/>
  <c r="CE40" i="43"/>
  <c r="CD40" i="43"/>
  <c r="CC40" i="43"/>
  <c r="DB39" i="43"/>
  <c r="DA39" i="43"/>
  <c r="CZ39" i="43"/>
  <c r="CY39" i="43"/>
  <c r="CX39" i="43"/>
  <c r="CW39" i="43"/>
  <c r="CV39" i="43"/>
  <c r="CU39" i="43"/>
  <c r="CT39" i="43"/>
  <c r="CS39" i="43"/>
  <c r="CR39" i="43"/>
  <c r="CQ39" i="43"/>
  <c r="CP39" i="43"/>
  <c r="CO39" i="43"/>
  <c r="CN39" i="43"/>
  <c r="CM39" i="43"/>
  <c r="CL39" i="43"/>
  <c r="CK39" i="43"/>
  <c r="CJ39" i="43"/>
  <c r="CI39" i="43"/>
  <c r="CH39" i="43"/>
  <c r="CG39" i="43"/>
  <c r="CF39" i="43"/>
  <c r="CE39" i="43"/>
  <c r="CD39" i="43"/>
  <c r="CC39" i="43"/>
  <c r="DB38" i="43"/>
  <c r="DA38" i="43"/>
  <c r="CZ38" i="43"/>
  <c r="CY38" i="43"/>
  <c r="CX38" i="43"/>
  <c r="CW38" i="43"/>
  <c r="CV38" i="43"/>
  <c r="CU38" i="43"/>
  <c r="CT38" i="43"/>
  <c r="CS38" i="43"/>
  <c r="CR38" i="43"/>
  <c r="CQ38" i="43"/>
  <c r="CP38" i="43"/>
  <c r="CO38" i="43"/>
  <c r="CN38" i="43"/>
  <c r="CM38" i="43"/>
  <c r="CL38" i="43"/>
  <c r="CK38" i="43"/>
  <c r="CJ38" i="43"/>
  <c r="CI38" i="43"/>
  <c r="CH38" i="43"/>
  <c r="CG38" i="43"/>
  <c r="CF38" i="43"/>
  <c r="CE38" i="43"/>
  <c r="CD38" i="43"/>
  <c r="CC38" i="43"/>
  <c r="DB37" i="43"/>
  <c r="DA37" i="43"/>
  <c r="CZ37" i="43"/>
  <c r="CY37" i="43"/>
  <c r="CX37" i="43"/>
  <c r="CW37" i="43"/>
  <c r="CV37" i="43"/>
  <c r="CU37" i="43"/>
  <c r="CT37" i="43"/>
  <c r="CS37" i="43"/>
  <c r="CR37" i="43"/>
  <c r="CQ37" i="43"/>
  <c r="CP37" i="43"/>
  <c r="CO37" i="43"/>
  <c r="CN37" i="43"/>
  <c r="CM37" i="43"/>
  <c r="CL37" i="43"/>
  <c r="CK37" i="43"/>
  <c r="CJ37" i="43"/>
  <c r="CI37" i="43"/>
  <c r="CH37" i="43"/>
  <c r="CG37" i="43"/>
  <c r="CF37" i="43"/>
  <c r="CE37" i="43"/>
  <c r="CD37" i="43"/>
  <c r="CC37" i="43"/>
  <c r="DB36" i="43"/>
  <c r="DA36" i="43"/>
  <c r="CZ36" i="43"/>
  <c r="CY36" i="43"/>
  <c r="CX36" i="43"/>
  <c r="CW36" i="43"/>
  <c r="CV36" i="43"/>
  <c r="CU36" i="43"/>
  <c r="CT36" i="43"/>
  <c r="CS36" i="43"/>
  <c r="CR36" i="43"/>
  <c r="CQ36" i="43"/>
  <c r="CP36" i="43"/>
  <c r="CO36" i="43"/>
  <c r="CN36" i="43"/>
  <c r="CM36" i="43"/>
  <c r="CL36" i="43"/>
  <c r="CK36" i="43"/>
  <c r="CJ36" i="43"/>
  <c r="CI36" i="43"/>
  <c r="CH36" i="43"/>
  <c r="CG36" i="43"/>
  <c r="CF36" i="43"/>
  <c r="CE36" i="43"/>
  <c r="CD36" i="43"/>
  <c r="CC36" i="43"/>
  <c r="DB35" i="43"/>
  <c r="DA35" i="43"/>
  <c r="CZ35" i="43"/>
  <c r="CY35" i="43"/>
  <c r="CX35" i="43"/>
  <c r="CW35" i="43"/>
  <c r="CV35" i="43"/>
  <c r="CU35" i="43"/>
  <c r="CT35" i="43"/>
  <c r="CS35" i="43"/>
  <c r="CR35" i="43"/>
  <c r="CQ35" i="43"/>
  <c r="CP35" i="43"/>
  <c r="CO35" i="43"/>
  <c r="CN35" i="43"/>
  <c r="CM35" i="43"/>
  <c r="CL35" i="43"/>
  <c r="CK35" i="43"/>
  <c r="CJ35" i="43"/>
  <c r="CI35" i="43"/>
  <c r="CH35" i="43"/>
  <c r="CG35" i="43"/>
  <c r="CF35" i="43"/>
  <c r="CE35" i="43"/>
  <c r="CD35" i="43"/>
  <c r="CC35" i="43"/>
  <c r="DB34" i="43"/>
  <c r="DA34" i="43"/>
  <c r="DA31" i="43"/>
  <c r="CZ34" i="43"/>
  <c r="CZ31" i="43"/>
  <c r="CY34" i="43"/>
  <c r="CX34" i="43"/>
  <c r="CW34" i="43"/>
  <c r="CV34" i="43"/>
  <c r="CU34" i="43"/>
  <c r="CT34" i="43"/>
  <c r="CS34" i="43"/>
  <c r="CS31" i="43"/>
  <c r="CR34" i="43"/>
  <c r="CR31" i="43"/>
  <c r="CQ34" i="43"/>
  <c r="CP34" i="43"/>
  <c r="CO34" i="43"/>
  <c r="CN34" i="43"/>
  <c r="CM34" i="43"/>
  <c r="CL34" i="43"/>
  <c r="CK34" i="43"/>
  <c r="CK31" i="43"/>
  <c r="CJ34" i="43"/>
  <c r="CJ31" i="43"/>
  <c r="CI34" i="43"/>
  <c r="CH34" i="43"/>
  <c r="CG34" i="43"/>
  <c r="CF34" i="43"/>
  <c r="CE34" i="43"/>
  <c r="CD34" i="43"/>
  <c r="CC34" i="43"/>
  <c r="DB33" i="43"/>
  <c r="DB31" i="43"/>
  <c r="DA33" i="43"/>
  <c r="CZ33" i="43"/>
  <c r="CY33" i="43"/>
  <c r="CX33" i="43"/>
  <c r="CW33" i="43"/>
  <c r="CV33" i="43"/>
  <c r="CU33" i="43"/>
  <c r="CU31" i="43"/>
  <c r="CT33" i="43"/>
  <c r="CT31" i="43"/>
  <c r="CS33" i="43"/>
  <c r="CR33" i="43"/>
  <c r="CQ33" i="43"/>
  <c r="CP33" i="43"/>
  <c r="CO33" i="43"/>
  <c r="CN33" i="43"/>
  <c r="CM33" i="43"/>
  <c r="CM31" i="43"/>
  <c r="CL33" i="43"/>
  <c r="CL31" i="43"/>
  <c r="CK33" i="43"/>
  <c r="CJ33" i="43"/>
  <c r="CI33" i="43"/>
  <c r="CH33" i="43"/>
  <c r="CG33" i="43"/>
  <c r="CF33" i="43"/>
  <c r="CE33" i="43"/>
  <c r="CE31" i="43"/>
  <c r="CD33" i="43"/>
  <c r="CD31" i="43"/>
  <c r="DB32" i="43"/>
  <c r="DA32" i="43"/>
  <c r="CZ32" i="43"/>
  <c r="CY32" i="43"/>
  <c r="CX32" i="43"/>
  <c r="CW32" i="43"/>
  <c r="CW31" i="43"/>
  <c r="CV32" i="43"/>
  <c r="CV31" i="43"/>
  <c r="CU32" i="43"/>
  <c r="CT32" i="43"/>
  <c r="CS32" i="43"/>
  <c r="CR32" i="43"/>
  <c r="CQ32" i="43"/>
  <c r="CP32" i="43"/>
  <c r="CO32" i="43"/>
  <c r="CO31" i="43"/>
  <c r="CN32" i="43"/>
  <c r="CN31" i="43"/>
  <c r="CM32" i="43"/>
  <c r="CL32" i="43"/>
  <c r="CK32" i="43"/>
  <c r="CJ32" i="43"/>
  <c r="CI32" i="43"/>
  <c r="CH32" i="43"/>
  <c r="CG32" i="43"/>
  <c r="CG31" i="43"/>
  <c r="CF32" i="43"/>
  <c r="CF31" i="43"/>
  <c r="CE32" i="43"/>
  <c r="CD32" i="43"/>
  <c r="CC32" i="43"/>
  <c r="CY31" i="43"/>
  <c r="CX31" i="43"/>
  <c r="CQ31" i="43"/>
  <c r="CP31" i="43"/>
  <c r="CI31" i="43"/>
  <c r="CH31"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BB65" i="43"/>
  <c r="BA65" i="43"/>
  <c r="AZ65" i="43"/>
  <c r="AY65" i="43"/>
  <c r="AX65" i="43"/>
  <c r="AX63" i="43"/>
  <c r="AW65" i="43"/>
  <c r="AV65" i="43"/>
  <c r="AU65" i="43"/>
  <c r="AT65" i="43"/>
  <c r="AS65" i="43"/>
  <c r="AR65" i="43"/>
  <c r="AQ65" i="43"/>
  <c r="AP65" i="43"/>
  <c r="AP63" i="43"/>
  <c r="AO65" i="43"/>
  <c r="AN65" i="43"/>
  <c r="AM65" i="43"/>
  <c r="AL65" i="43"/>
  <c r="AK65" i="43"/>
  <c r="AJ65" i="43"/>
  <c r="AI65" i="43"/>
  <c r="AH65" i="43"/>
  <c r="AH63" i="43"/>
  <c r="AG65" i="43"/>
  <c r="AF65" i="43"/>
  <c r="AE65" i="43"/>
  <c r="AD65" i="43"/>
  <c r="AC65" i="43"/>
  <c r="BB64" i="43"/>
  <c r="BA64" i="43"/>
  <c r="AZ64" i="43"/>
  <c r="AZ63" i="43"/>
  <c r="AY64" i="43"/>
  <c r="AX64" i="43"/>
  <c r="AW64" i="43"/>
  <c r="AV64" i="43"/>
  <c r="AU64" i="43"/>
  <c r="AT64" i="43"/>
  <c r="AS64" i="43"/>
  <c r="AR64" i="43"/>
  <c r="AR63" i="43"/>
  <c r="AQ64" i="43"/>
  <c r="AP64" i="43"/>
  <c r="AO64" i="43"/>
  <c r="AN64" i="43"/>
  <c r="AM64" i="43"/>
  <c r="AL64" i="43"/>
  <c r="AK64" i="43"/>
  <c r="AJ64" i="43"/>
  <c r="AJ63" i="43"/>
  <c r="AI64" i="43"/>
  <c r="AH64" i="43"/>
  <c r="AG64" i="43"/>
  <c r="AF64" i="43"/>
  <c r="AE64" i="43"/>
  <c r="AD64" i="43"/>
  <c r="AC64" i="43"/>
  <c r="BB63" i="43"/>
  <c r="BA63" i="43"/>
  <c r="AY63" i="43"/>
  <c r="AW63" i="43"/>
  <c r="AV63" i="43"/>
  <c r="AU63" i="43"/>
  <c r="AT63" i="43"/>
  <c r="AS63" i="43"/>
  <c r="AQ63" i="43"/>
  <c r="AO63" i="43"/>
  <c r="AN63" i="43"/>
  <c r="AM63" i="43"/>
  <c r="AL63" i="43"/>
  <c r="AK63" i="43"/>
  <c r="AI63" i="43"/>
  <c r="AG63" i="43"/>
  <c r="AF63" i="43"/>
  <c r="AE63" i="43"/>
  <c r="AD63"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48" i="43"/>
  <c r="BB50" i="43"/>
  <c r="BA50" i="43"/>
  <c r="AZ50" i="43"/>
  <c r="AY50" i="43"/>
  <c r="AX50" i="43"/>
  <c r="AW50" i="43"/>
  <c r="AV50" i="43"/>
  <c r="AV48" i="43"/>
  <c r="AU50" i="43"/>
  <c r="AT50" i="43"/>
  <c r="AS50" i="43"/>
  <c r="AR50" i="43"/>
  <c r="AQ50" i="43"/>
  <c r="AP50" i="43"/>
  <c r="AO50" i="43"/>
  <c r="AN50" i="43"/>
  <c r="AN48" i="43"/>
  <c r="AM50" i="43"/>
  <c r="AL50" i="43"/>
  <c r="AK50" i="43"/>
  <c r="AJ50" i="43"/>
  <c r="AI50" i="43"/>
  <c r="AH50" i="43"/>
  <c r="AG50" i="43"/>
  <c r="AF50" i="43"/>
  <c r="AF48" i="43"/>
  <c r="AE50" i="43"/>
  <c r="AD50" i="43"/>
  <c r="AC50" i="43"/>
  <c r="BB49" i="43"/>
  <c r="BA49" i="43"/>
  <c r="BA48" i="43"/>
  <c r="AZ49" i="43"/>
  <c r="AY49" i="43"/>
  <c r="AX49" i="43"/>
  <c r="AX48" i="43"/>
  <c r="AW49" i="43"/>
  <c r="AV49" i="43"/>
  <c r="AU49" i="43"/>
  <c r="AT49" i="43"/>
  <c r="AS49" i="43"/>
  <c r="AS48" i="43"/>
  <c r="AR49" i="43"/>
  <c r="AQ49" i="43"/>
  <c r="AP49" i="43"/>
  <c r="AP48" i="43"/>
  <c r="AO49" i="43"/>
  <c r="AN49" i="43"/>
  <c r="AM49" i="43"/>
  <c r="AL49" i="43"/>
  <c r="AK49" i="43"/>
  <c r="AK48" i="43"/>
  <c r="AJ49" i="43"/>
  <c r="AI49" i="43"/>
  <c r="AH49" i="43"/>
  <c r="AH48" i="43"/>
  <c r="AG49" i="43"/>
  <c r="AF49" i="43"/>
  <c r="AE49" i="43"/>
  <c r="AD49" i="43"/>
  <c r="AC49" i="43"/>
  <c r="BB48" i="43"/>
  <c r="AZ48" i="43"/>
  <c r="AY48" i="43"/>
  <c r="AW48" i="43"/>
  <c r="AU48" i="43"/>
  <c r="AT48" i="43"/>
  <c r="AR48" i="43"/>
  <c r="AQ48" i="43"/>
  <c r="AO48" i="43"/>
  <c r="AM48" i="43"/>
  <c r="AL48" i="43"/>
  <c r="AJ48" i="43"/>
  <c r="AI48" i="43"/>
  <c r="AG48" i="43"/>
  <c r="AE48" i="43"/>
  <c r="AD48" i="43"/>
  <c r="BB47" i="43"/>
  <c r="BB45" i="43"/>
  <c r="BA47" i="43"/>
  <c r="AZ47" i="43"/>
  <c r="AY47" i="43"/>
  <c r="AX47" i="43"/>
  <c r="AW47" i="43"/>
  <c r="AV47" i="43"/>
  <c r="AU47" i="43"/>
  <c r="AT47" i="43"/>
  <c r="AT45" i="43"/>
  <c r="AS47" i="43"/>
  <c r="AR47" i="43"/>
  <c r="AQ47" i="43"/>
  <c r="AP47" i="43"/>
  <c r="AO47" i="43"/>
  <c r="AN47" i="43"/>
  <c r="AM47" i="43"/>
  <c r="AL47" i="43"/>
  <c r="AL45" i="43"/>
  <c r="AK47" i="43"/>
  <c r="AJ47" i="43"/>
  <c r="AI47" i="43"/>
  <c r="AH47" i="43"/>
  <c r="AG47" i="43"/>
  <c r="AF47" i="43"/>
  <c r="AE47" i="43"/>
  <c r="AD47" i="43"/>
  <c r="AC47" i="43"/>
  <c r="BB46" i="43"/>
  <c r="BA46" i="43"/>
  <c r="BA45" i="43"/>
  <c r="AZ46" i="43"/>
  <c r="AY46" i="43"/>
  <c r="AY45" i="43"/>
  <c r="AX46" i="43"/>
  <c r="AW46" i="43"/>
  <c r="AV46" i="43"/>
  <c r="AV45" i="43"/>
  <c r="AU46" i="43"/>
  <c r="AT46" i="43"/>
  <c r="AS46" i="43"/>
  <c r="AS45" i="43"/>
  <c r="AR46" i="43"/>
  <c r="AQ46" i="43"/>
  <c r="AQ45" i="43"/>
  <c r="AP46" i="43"/>
  <c r="AO46" i="43"/>
  <c r="AN46" i="43"/>
  <c r="AN45" i="43"/>
  <c r="AM46" i="43"/>
  <c r="AL46" i="43"/>
  <c r="AK46" i="43"/>
  <c r="AK45" i="43"/>
  <c r="AJ46" i="43"/>
  <c r="AI46" i="43"/>
  <c r="AI45" i="43"/>
  <c r="AH46" i="43"/>
  <c r="AG46" i="43"/>
  <c r="AF46" i="43"/>
  <c r="AF45" i="43"/>
  <c r="AE46" i="43"/>
  <c r="AD46" i="43"/>
  <c r="AC46" i="43"/>
  <c r="AZ45" i="43"/>
  <c r="AX45" i="43"/>
  <c r="AW45" i="43"/>
  <c r="AU45" i="43"/>
  <c r="AR45" i="43"/>
  <c r="AP45" i="43"/>
  <c r="AO45" i="43"/>
  <c r="AM45" i="43"/>
  <c r="AJ45" i="43"/>
  <c r="AH45" i="43"/>
  <c r="AG45" i="43"/>
  <c r="AE45"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BB41" i="43"/>
  <c r="BA41" i="43"/>
  <c r="AZ41" i="43"/>
  <c r="AY41" i="43"/>
  <c r="AX41" i="43"/>
  <c r="AW41" i="43"/>
  <c r="AV41" i="43"/>
  <c r="AU41" i="43"/>
  <c r="AC41" i="43"/>
  <c r="AT41" i="43"/>
  <c r="AS41" i="43"/>
  <c r="AR41" i="43"/>
  <c r="AQ41" i="43"/>
  <c r="AP41" i="43"/>
  <c r="AO41" i="43"/>
  <c r="AN41" i="43"/>
  <c r="AM41" i="43"/>
  <c r="AL41" i="43"/>
  <c r="AK41" i="43"/>
  <c r="AJ41" i="43"/>
  <c r="AI41" i="43"/>
  <c r="AH41" i="43"/>
  <c r="AG41" i="43"/>
  <c r="AF41" i="43"/>
  <c r="AE41" i="43"/>
  <c r="AD41"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BB34" i="43"/>
  <c r="BA34" i="43"/>
  <c r="BA31" i="43"/>
  <c r="AZ34" i="43"/>
  <c r="AY34" i="43"/>
  <c r="AX34" i="43"/>
  <c r="AW34" i="43"/>
  <c r="AV34" i="43"/>
  <c r="AU34" i="43"/>
  <c r="AT34" i="43"/>
  <c r="AS34" i="43"/>
  <c r="AS31" i="43"/>
  <c r="AR34" i="43"/>
  <c r="AQ34" i="43"/>
  <c r="AP34" i="43"/>
  <c r="AO34" i="43"/>
  <c r="AN34" i="43"/>
  <c r="AM34" i="43"/>
  <c r="AL34" i="43"/>
  <c r="AK34" i="43"/>
  <c r="AK31" i="43"/>
  <c r="AJ34" i="43"/>
  <c r="AI34" i="43"/>
  <c r="AH34" i="43"/>
  <c r="AG34" i="43"/>
  <c r="AF34" i="43"/>
  <c r="AE34" i="43"/>
  <c r="AD34" i="43"/>
  <c r="AC34" i="43"/>
  <c r="BB33" i="43"/>
  <c r="BA33" i="43"/>
  <c r="AZ33" i="43"/>
  <c r="AY33" i="43"/>
  <c r="AX33" i="43"/>
  <c r="AX31" i="43"/>
  <c r="AW33" i="43"/>
  <c r="AV33" i="43"/>
  <c r="AU33" i="43"/>
  <c r="AU31" i="43"/>
  <c r="AT33" i="43"/>
  <c r="AS33" i="43"/>
  <c r="AR33" i="43"/>
  <c r="AQ33" i="43"/>
  <c r="AP33" i="43"/>
  <c r="AP31" i="43"/>
  <c r="AO33" i="43"/>
  <c r="AN33" i="43"/>
  <c r="AM33" i="43"/>
  <c r="AM31" i="43"/>
  <c r="AL33" i="43"/>
  <c r="AK33" i="43"/>
  <c r="AJ33" i="43"/>
  <c r="AI33" i="43"/>
  <c r="AH33" i="43"/>
  <c r="AH31" i="43"/>
  <c r="AG33" i="43"/>
  <c r="AF33" i="43"/>
  <c r="AE33" i="43"/>
  <c r="AE31" i="43"/>
  <c r="AD33" i="43"/>
  <c r="AC33" i="43"/>
  <c r="BB32" i="43"/>
  <c r="BA32" i="43"/>
  <c r="AZ32" i="43"/>
  <c r="AZ31" i="43"/>
  <c r="AY32" i="43"/>
  <c r="AX32" i="43"/>
  <c r="AW32" i="43"/>
  <c r="AW31" i="43"/>
  <c r="AV32" i="43"/>
  <c r="AU32" i="43"/>
  <c r="AT32" i="43"/>
  <c r="AS32" i="43"/>
  <c r="AR32" i="43"/>
  <c r="AR31" i="43"/>
  <c r="AQ32" i="43"/>
  <c r="AP32" i="43"/>
  <c r="AO32" i="43"/>
  <c r="AO31" i="43"/>
  <c r="AN32" i="43"/>
  <c r="AM32" i="43"/>
  <c r="AL32" i="43"/>
  <c r="AK32" i="43"/>
  <c r="AJ32" i="43"/>
  <c r="AJ31" i="43"/>
  <c r="AI32" i="43"/>
  <c r="AH32" i="43"/>
  <c r="AG32" i="43"/>
  <c r="AG31" i="43"/>
  <c r="AF32" i="43"/>
  <c r="AE32" i="43"/>
  <c r="AD32" i="43"/>
  <c r="AC32" i="43"/>
  <c r="BB31" i="43"/>
  <c r="AY31" i="43"/>
  <c r="AV31" i="43"/>
  <c r="AT31" i="43"/>
  <c r="AQ31" i="43"/>
  <c r="AN31" i="43"/>
  <c r="AL31" i="43"/>
  <c r="AI31" i="43"/>
  <c r="AF31" i="43"/>
  <c r="AD31" i="43"/>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CB75" i="41"/>
  <c r="CA75" i="41"/>
  <c r="BZ75" i="41"/>
  <c r="BY75" i="41"/>
  <c r="BX75" i="41"/>
  <c r="BW75" i="41"/>
  <c r="BW63" i="41"/>
  <c r="BV75" i="41"/>
  <c r="BU75" i="41"/>
  <c r="BT75" i="41"/>
  <c r="BS75" i="41"/>
  <c r="BR75" i="41"/>
  <c r="BQ75" i="41"/>
  <c r="BP75" i="41"/>
  <c r="BO75" i="41"/>
  <c r="BO63" i="41"/>
  <c r="BN75" i="41"/>
  <c r="BM75" i="41"/>
  <c r="BL75" i="41"/>
  <c r="BK75" i="41"/>
  <c r="BJ75" i="41"/>
  <c r="BI75" i="41"/>
  <c r="BH75" i="41"/>
  <c r="BG75" i="41"/>
  <c r="BF75" i="41"/>
  <c r="BE75" i="41"/>
  <c r="BD75" i="41"/>
  <c r="BC75"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CB66" i="41"/>
  <c r="CA66" i="41"/>
  <c r="BZ66" i="41"/>
  <c r="BY66" i="41"/>
  <c r="BY63" i="41"/>
  <c r="BX66" i="41"/>
  <c r="BW66" i="41"/>
  <c r="BV66" i="41"/>
  <c r="BU66" i="41"/>
  <c r="BT66" i="41"/>
  <c r="BS66" i="41"/>
  <c r="BR66" i="41"/>
  <c r="BQ66" i="41"/>
  <c r="BQ63" i="41"/>
  <c r="BP66" i="41"/>
  <c r="BO66" i="41"/>
  <c r="BN66" i="41"/>
  <c r="BM66" i="41"/>
  <c r="BL66" i="41"/>
  <c r="BK66" i="41"/>
  <c r="BJ66" i="41"/>
  <c r="BI66" i="41"/>
  <c r="BI63" i="41"/>
  <c r="BH66" i="41"/>
  <c r="BG66" i="41"/>
  <c r="BF66" i="41"/>
  <c r="BE66" i="41"/>
  <c r="BD66" i="41"/>
  <c r="BC66" i="41"/>
  <c r="CB65" i="41"/>
  <c r="CA65" i="41"/>
  <c r="CA63" i="41"/>
  <c r="BZ65" i="41"/>
  <c r="BY65" i="41"/>
  <c r="BX65" i="41"/>
  <c r="BW65" i="41"/>
  <c r="BV65" i="41"/>
  <c r="BU65" i="41"/>
  <c r="BT65" i="41"/>
  <c r="BS65" i="41"/>
  <c r="BS63" i="41"/>
  <c r="BR65" i="41"/>
  <c r="BQ65" i="41"/>
  <c r="BP65" i="41"/>
  <c r="BO65" i="41"/>
  <c r="BN65" i="41"/>
  <c r="BM65" i="41"/>
  <c r="BL65" i="41"/>
  <c r="BK65" i="41"/>
  <c r="BK63" i="41"/>
  <c r="BJ65" i="41"/>
  <c r="BI65" i="41"/>
  <c r="BH65" i="41"/>
  <c r="BG65" i="41"/>
  <c r="BF65" i="41"/>
  <c r="BE65" i="41"/>
  <c r="BD65" i="41"/>
  <c r="BC65" i="41"/>
  <c r="CB64" i="41"/>
  <c r="CB63" i="41"/>
  <c r="CA64" i="41"/>
  <c r="BZ64" i="41"/>
  <c r="BY64" i="41"/>
  <c r="BX64" i="41"/>
  <c r="BX63" i="41"/>
  <c r="BW64" i="41"/>
  <c r="BV64" i="41"/>
  <c r="BV63" i="41"/>
  <c r="BU64" i="41"/>
  <c r="BU63" i="41"/>
  <c r="BT64" i="41"/>
  <c r="BT63" i="41"/>
  <c r="BS64" i="41"/>
  <c r="BR64" i="41"/>
  <c r="BQ64" i="41"/>
  <c r="BP64" i="41"/>
  <c r="BP63" i="41"/>
  <c r="BO64" i="41"/>
  <c r="BN64" i="41"/>
  <c r="BN63" i="41"/>
  <c r="BM64" i="41"/>
  <c r="BM63" i="41"/>
  <c r="BL64" i="41"/>
  <c r="BL63" i="41"/>
  <c r="BK64" i="41"/>
  <c r="BJ64" i="41"/>
  <c r="BI64" i="41"/>
  <c r="BH64" i="41"/>
  <c r="BH63" i="41"/>
  <c r="BG64" i="41"/>
  <c r="BF64" i="41"/>
  <c r="BF63" i="41"/>
  <c r="BE64" i="41"/>
  <c r="BE63" i="41"/>
  <c r="BD64" i="41"/>
  <c r="BC64" i="41"/>
  <c r="BZ63" i="41"/>
  <c r="BR63" i="41"/>
  <c r="BJ63" i="41"/>
  <c r="BG63"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CB51" i="41"/>
  <c r="CA51" i="41"/>
  <c r="BZ51" i="41"/>
  <c r="BZ48" i="41"/>
  <c r="BY51" i="41"/>
  <c r="BX51" i="41"/>
  <c r="BW51" i="41"/>
  <c r="BV51" i="41"/>
  <c r="BU51" i="41"/>
  <c r="BT51" i="41"/>
  <c r="BS51" i="41"/>
  <c r="BR51" i="41"/>
  <c r="BR48" i="41"/>
  <c r="BQ51" i="41"/>
  <c r="BP51" i="41"/>
  <c r="BO51" i="41"/>
  <c r="BN51" i="41"/>
  <c r="BM51" i="41"/>
  <c r="BL51" i="41"/>
  <c r="BK51" i="41"/>
  <c r="BJ51" i="41"/>
  <c r="BJ48" i="41"/>
  <c r="BI51" i="41"/>
  <c r="BH51" i="41"/>
  <c r="BG51" i="41"/>
  <c r="BF51" i="41"/>
  <c r="BE51" i="41"/>
  <c r="BD51" i="41"/>
  <c r="BC51" i="41"/>
  <c r="CB50" i="41"/>
  <c r="CA50" i="41"/>
  <c r="BZ50" i="41"/>
  <c r="BY50" i="41"/>
  <c r="BY48" i="41"/>
  <c r="BX50" i="41"/>
  <c r="BW50" i="41"/>
  <c r="BV50" i="41"/>
  <c r="BU50" i="41"/>
  <c r="BT50" i="41"/>
  <c r="BS50" i="41"/>
  <c r="BR50" i="41"/>
  <c r="BQ50" i="41"/>
  <c r="BQ48" i="41"/>
  <c r="BP50" i="41"/>
  <c r="BO50" i="41"/>
  <c r="BN50" i="41"/>
  <c r="BM50" i="41"/>
  <c r="BL50" i="41"/>
  <c r="BK50" i="41"/>
  <c r="BJ50" i="41"/>
  <c r="BI50" i="41"/>
  <c r="BI48" i="41"/>
  <c r="BH50" i="41"/>
  <c r="BG50" i="41"/>
  <c r="BF50" i="41"/>
  <c r="BE50" i="41"/>
  <c r="BD50" i="41"/>
  <c r="BC50" i="41"/>
  <c r="CB49" i="41"/>
  <c r="CB48" i="41"/>
  <c r="CA49" i="41"/>
  <c r="CA48" i="41"/>
  <c r="BZ49" i="41"/>
  <c r="BY49" i="41"/>
  <c r="BX49" i="41"/>
  <c r="BW49" i="41"/>
  <c r="BW48" i="41"/>
  <c r="BV49" i="41"/>
  <c r="BV48" i="41"/>
  <c r="BU49" i="41"/>
  <c r="BT49" i="41"/>
  <c r="BT48" i="41"/>
  <c r="BS49" i="41"/>
  <c r="BS48" i="41"/>
  <c r="BR49" i="41"/>
  <c r="BQ49" i="41"/>
  <c r="BP49" i="41"/>
  <c r="BO49" i="41"/>
  <c r="BO48" i="41"/>
  <c r="BN49" i="41"/>
  <c r="BN48" i="41"/>
  <c r="BM49" i="41"/>
  <c r="BL49" i="41"/>
  <c r="BL48" i="41"/>
  <c r="BK49" i="41"/>
  <c r="BK48" i="41"/>
  <c r="BJ49" i="41"/>
  <c r="BI49" i="41"/>
  <c r="BH49" i="41"/>
  <c r="BG49" i="41"/>
  <c r="BG48" i="41"/>
  <c r="BF49" i="41"/>
  <c r="BF48" i="41"/>
  <c r="BE49" i="41"/>
  <c r="BD49" i="41"/>
  <c r="BD48" i="41"/>
  <c r="BC49" i="41"/>
  <c r="BX48" i="41"/>
  <c r="BU48" i="41"/>
  <c r="BP48" i="41"/>
  <c r="BM48" i="41"/>
  <c r="BH48" i="41"/>
  <c r="BE48" i="41"/>
  <c r="CB47" i="41"/>
  <c r="CA47" i="41"/>
  <c r="BZ47" i="41"/>
  <c r="BY47" i="41"/>
  <c r="BX47" i="41"/>
  <c r="BW47" i="41"/>
  <c r="BW45" i="41"/>
  <c r="BV47" i="41"/>
  <c r="BU47" i="41"/>
  <c r="BT47" i="41"/>
  <c r="BS47" i="41"/>
  <c r="BR47" i="41"/>
  <c r="BQ47" i="41"/>
  <c r="BP47" i="41"/>
  <c r="BO47" i="41"/>
  <c r="BO45" i="41"/>
  <c r="BN47" i="41"/>
  <c r="BM47" i="41"/>
  <c r="BL47" i="41"/>
  <c r="BK47" i="41"/>
  <c r="BJ47" i="41"/>
  <c r="BI47" i="41"/>
  <c r="BH47" i="41"/>
  <c r="BG47" i="41"/>
  <c r="BG45" i="41"/>
  <c r="BF47" i="41"/>
  <c r="BE47" i="41"/>
  <c r="BD47" i="41"/>
  <c r="BC47" i="41"/>
  <c r="CB46" i="41"/>
  <c r="CB45" i="41"/>
  <c r="CA46" i="41"/>
  <c r="BZ46" i="41"/>
  <c r="BZ45" i="41"/>
  <c r="BY46" i="41"/>
  <c r="BY45" i="41"/>
  <c r="BX46" i="41"/>
  <c r="BW46" i="41"/>
  <c r="BV46" i="41"/>
  <c r="BU46" i="41"/>
  <c r="BU45" i="41"/>
  <c r="BT46" i="41"/>
  <c r="BT45" i="41"/>
  <c r="BS46" i="41"/>
  <c r="BR46" i="41"/>
  <c r="BR45" i="41"/>
  <c r="BQ46" i="41"/>
  <c r="BQ45" i="41"/>
  <c r="BP46" i="41"/>
  <c r="BO46" i="41"/>
  <c r="BN46" i="41"/>
  <c r="BM46" i="41"/>
  <c r="BM45" i="41"/>
  <c r="BL46" i="41"/>
  <c r="BL45" i="41"/>
  <c r="BK46" i="41"/>
  <c r="BJ46" i="41"/>
  <c r="BJ45" i="41"/>
  <c r="BI46" i="41"/>
  <c r="BI45" i="41"/>
  <c r="BH46" i="41"/>
  <c r="BG46" i="41"/>
  <c r="BF46" i="41"/>
  <c r="BE46" i="41"/>
  <c r="BE45" i="41"/>
  <c r="BD46" i="41"/>
  <c r="BC46" i="41"/>
  <c r="CA45" i="41"/>
  <c r="BX45" i="41"/>
  <c r="BV45" i="41"/>
  <c r="BS45" i="41"/>
  <c r="BP45" i="41"/>
  <c r="BN45" i="41"/>
  <c r="BK45" i="41"/>
  <c r="BH45" i="41"/>
  <c r="BF45" i="41"/>
  <c r="BC45"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CB34" i="41"/>
  <c r="CB31" i="41"/>
  <c r="CA34" i="41"/>
  <c r="BZ34" i="41"/>
  <c r="BY34" i="41"/>
  <c r="BX34" i="41"/>
  <c r="BW34" i="41"/>
  <c r="BV34" i="41"/>
  <c r="BU34" i="41"/>
  <c r="BT34" i="41"/>
  <c r="BT31" i="41"/>
  <c r="BS34" i="41"/>
  <c r="BR34" i="41"/>
  <c r="BQ34" i="41"/>
  <c r="BP34" i="41"/>
  <c r="BO34" i="41"/>
  <c r="BN34" i="41"/>
  <c r="BM34" i="41"/>
  <c r="BL34" i="41"/>
  <c r="BL31" i="41"/>
  <c r="BK34" i="41"/>
  <c r="BJ34" i="41"/>
  <c r="BI34" i="41"/>
  <c r="BH34" i="41"/>
  <c r="BG34" i="41"/>
  <c r="BF34" i="41"/>
  <c r="BE34" i="41"/>
  <c r="BD34" i="41"/>
  <c r="BD31" i="41"/>
  <c r="CB33" i="41"/>
  <c r="CA33" i="41"/>
  <c r="CA31" i="41"/>
  <c r="BZ33" i="41"/>
  <c r="BY33" i="41"/>
  <c r="BX33" i="41"/>
  <c r="BW33" i="41"/>
  <c r="BV33" i="41"/>
  <c r="BU33" i="41"/>
  <c r="BT33" i="41"/>
  <c r="BS33" i="41"/>
  <c r="BS31" i="41"/>
  <c r="BR33" i="41"/>
  <c r="BQ33" i="41"/>
  <c r="BP33" i="41"/>
  <c r="BO33" i="41"/>
  <c r="BN33" i="41"/>
  <c r="BM33" i="41"/>
  <c r="BL33" i="41"/>
  <c r="BK33" i="41"/>
  <c r="BK31" i="41"/>
  <c r="BJ33" i="41"/>
  <c r="BI33" i="41"/>
  <c r="BH33" i="41"/>
  <c r="BG33" i="41"/>
  <c r="BF33" i="41"/>
  <c r="BE33" i="41"/>
  <c r="BD33" i="41"/>
  <c r="BC31" i="41"/>
  <c r="BC33" i="41"/>
  <c r="CB32" i="41"/>
  <c r="CA32" i="41"/>
  <c r="BZ32" i="41"/>
  <c r="BY32" i="41"/>
  <c r="BY31" i="41"/>
  <c r="BX32" i="41"/>
  <c r="BX31" i="41"/>
  <c r="BW32" i="41"/>
  <c r="BV32" i="41"/>
  <c r="BV31" i="41"/>
  <c r="BU32" i="41"/>
  <c r="BU31" i="41"/>
  <c r="BT32" i="41"/>
  <c r="BS32" i="41"/>
  <c r="BR32" i="41"/>
  <c r="BQ32" i="41"/>
  <c r="BQ31" i="41"/>
  <c r="BP32" i="41"/>
  <c r="BP31" i="41"/>
  <c r="BO32" i="41"/>
  <c r="BN32" i="41"/>
  <c r="BN31" i="41"/>
  <c r="BM32" i="41"/>
  <c r="BM31" i="41"/>
  <c r="BL32" i="41"/>
  <c r="BK32" i="41"/>
  <c r="BJ32" i="41"/>
  <c r="BI32" i="41"/>
  <c r="BI31" i="41"/>
  <c r="BH32" i="41"/>
  <c r="BH31" i="41"/>
  <c r="BG32" i="41"/>
  <c r="BF32" i="41"/>
  <c r="BF31" i="41"/>
  <c r="BE32" i="41"/>
  <c r="BE31" i="41"/>
  <c r="BD32" i="41"/>
  <c r="BC32" i="41"/>
  <c r="BZ31" i="41"/>
  <c r="BW31" i="41"/>
  <c r="BR31" i="41"/>
  <c r="BO31" i="41"/>
  <c r="BJ31" i="41"/>
  <c r="BG31" i="41"/>
  <c r="DB76" i="42"/>
  <c r="DA76" i="42"/>
  <c r="CZ76" i="42"/>
  <c r="CY76" i="42"/>
  <c r="CX76" i="42"/>
  <c r="CW76" i="42"/>
  <c r="CV76" i="42"/>
  <c r="CU76" i="42"/>
  <c r="CT76" i="42"/>
  <c r="CS76" i="42"/>
  <c r="CR76" i="42"/>
  <c r="CQ76" i="42"/>
  <c r="CP76" i="42"/>
  <c r="CO76" i="42"/>
  <c r="CN76" i="42"/>
  <c r="CM76" i="42"/>
  <c r="CL76" i="42"/>
  <c r="CK76" i="42"/>
  <c r="CJ76" i="42"/>
  <c r="CI76" i="42"/>
  <c r="CH76" i="42"/>
  <c r="CG76" i="42"/>
  <c r="CF76" i="42"/>
  <c r="CE76" i="42"/>
  <c r="CD76" i="42"/>
  <c r="CC76" i="42"/>
  <c r="DB75" i="42"/>
  <c r="DA75" i="42"/>
  <c r="CZ75" i="42"/>
  <c r="CY75" i="42"/>
  <c r="CX75" i="42"/>
  <c r="CW75" i="42"/>
  <c r="CV75" i="42"/>
  <c r="CU75" i="42"/>
  <c r="CT75" i="42"/>
  <c r="CS75" i="42"/>
  <c r="CR75" i="42"/>
  <c r="CQ75" i="42"/>
  <c r="CP75" i="42"/>
  <c r="CO75" i="42"/>
  <c r="CN75" i="42"/>
  <c r="CM75" i="42"/>
  <c r="CL75" i="42"/>
  <c r="CK75" i="42"/>
  <c r="CJ75" i="42"/>
  <c r="CI75" i="42"/>
  <c r="CH75" i="42"/>
  <c r="CG75" i="42"/>
  <c r="CF75" i="42"/>
  <c r="CE75" i="42"/>
  <c r="CD75" i="42"/>
  <c r="CC75" i="42"/>
  <c r="DB74" i="42"/>
  <c r="DA74" i="42"/>
  <c r="CZ74" i="42"/>
  <c r="CY74" i="42"/>
  <c r="CX74" i="42"/>
  <c r="CW74" i="42"/>
  <c r="CV74" i="42"/>
  <c r="CU74" i="42"/>
  <c r="CT74" i="42"/>
  <c r="CS74" i="42"/>
  <c r="CR74" i="42"/>
  <c r="CQ74" i="42"/>
  <c r="CP74" i="42"/>
  <c r="CO74" i="42"/>
  <c r="CN74" i="42"/>
  <c r="CM74" i="42"/>
  <c r="CL74" i="42"/>
  <c r="CK74" i="42"/>
  <c r="CJ74" i="42"/>
  <c r="CI74" i="42"/>
  <c r="CH74" i="42"/>
  <c r="CG74" i="42"/>
  <c r="CF74" i="42"/>
  <c r="CE74" i="42"/>
  <c r="CD74" i="42"/>
  <c r="CC74" i="42"/>
  <c r="DB73" i="42"/>
  <c r="DA73" i="42"/>
  <c r="CZ73" i="42"/>
  <c r="CY73" i="42"/>
  <c r="CX73" i="42"/>
  <c r="CW73" i="42"/>
  <c r="CV73" i="42"/>
  <c r="CU73" i="42"/>
  <c r="CT73" i="42"/>
  <c r="CS73" i="42"/>
  <c r="CR73" i="42"/>
  <c r="CQ73" i="42"/>
  <c r="CP73" i="42"/>
  <c r="CO73" i="42"/>
  <c r="CN73" i="42"/>
  <c r="CM73" i="42"/>
  <c r="CL73" i="42"/>
  <c r="CK73" i="42"/>
  <c r="CJ73" i="42"/>
  <c r="CI73" i="42"/>
  <c r="CH73" i="42"/>
  <c r="CG73" i="42"/>
  <c r="CF73" i="42"/>
  <c r="CE73" i="42"/>
  <c r="CD73" i="42"/>
  <c r="CC73" i="42"/>
  <c r="DB72" i="42"/>
  <c r="DA72" i="42"/>
  <c r="CZ72" i="42"/>
  <c r="CY72" i="42"/>
  <c r="CX72" i="42"/>
  <c r="CW72" i="42"/>
  <c r="CV72" i="42"/>
  <c r="CU72" i="42"/>
  <c r="CT72" i="42"/>
  <c r="CS72" i="42"/>
  <c r="CR72" i="42"/>
  <c r="CQ72" i="42"/>
  <c r="CP72" i="42"/>
  <c r="CO72" i="42"/>
  <c r="CN72" i="42"/>
  <c r="CM72" i="42"/>
  <c r="CL72" i="42"/>
  <c r="CK72" i="42"/>
  <c r="CJ72" i="42"/>
  <c r="CI72" i="42"/>
  <c r="CH72" i="42"/>
  <c r="CG72" i="42"/>
  <c r="CF72" i="42"/>
  <c r="CE72" i="42"/>
  <c r="CD72" i="42"/>
  <c r="CC72" i="42"/>
  <c r="DB71" i="42"/>
  <c r="DA71" i="42"/>
  <c r="CZ71" i="42"/>
  <c r="CY71" i="42"/>
  <c r="CX71" i="42"/>
  <c r="CW71" i="42"/>
  <c r="CV71" i="42"/>
  <c r="CU71" i="42"/>
  <c r="CT71" i="42"/>
  <c r="CS71" i="42"/>
  <c r="CR71" i="42"/>
  <c r="CQ71" i="42"/>
  <c r="CP71" i="42"/>
  <c r="CO71" i="42"/>
  <c r="CN71" i="42"/>
  <c r="CM71" i="42"/>
  <c r="CL71" i="42"/>
  <c r="CK71" i="42"/>
  <c r="CJ71" i="42"/>
  <c r="CI71" i="42"/>
  <c r="CH71" i="42"/>
  <c r="CG71" i="42"/>
  <c r="CF71" i="42"/>
  <c r="CE71" i="42"/>
  <c r="CD71" i="42"/>
  <c r="CC71" i="42"/>
  <c r="DB70" i="42"/>
  <c r="DA70" i="42"/>
  <c r="CZ70" i="42"/>
  <c r="CY70" i="42"/>
  <c r="CX70" i="42"/>
  <c r="CW70" i="42"/>
  <c r="CV70" i="42"/>
  <c r="CU70" i="42"/>
  <c r="CT70" i="42"/>
  <c r="CS70" i="42"/>
  <c r="CR70" i="42"/>
  <c r="CQ70" i="42"/>
  <c r="CP70" i="42"/>
  <c r="CO70" i="42"/>
  <c r="CN70" i="42"/>
  <c r="CM70" i="42"/>
  <c r="CL70" i="42"/>
  <c r="CK70" i="42"/>
  <c r="CJ70" i="42"/>
  <c r="CI70" i="42"/>
  <c r="CH70" i="42"/>
  <c r="CG70" i="42"/>
  <c r="CF70" i="42"/>
  <c r="CE70" i="42"/>
  <c r="CD70" i="42"/>
  <c r="CC70" i="42"/>
  <c r="DB69" i="42"/>
  <c r="DA69" i="42"/>
  <c r="CZ69" i="42"/>
  <c r="CY69" i="42"/>
  <c r="CX69" i="42"/>
  <c r="CW69" i="42"/>
  <c r="CV69" i="42"/>
  <c r="CU69" i="42"/>
  <c r="CT69" i="42"/>
  <c r="CS69" i="42"/>
  <c r="CR69" i="42"/>
  <c r="CQ69" i="42"/>
  <c r="CP69" i="42"/>
  <c r="CO69" i="42"/>
  <c r="CN69" i="42"/>
  <c r="CM69" i="42"/>
  <c r="CL69" i="42"/>
  <c r="CK69" i="42"/>
  <c r="CJ69" i="42"/>
  <c r="CI69" i="42"/>
  <c r="CH69" i="42"/>
  <c r="CG69" i="42"/>
  <c r="CF69" i="42"/>
  <c r="CE69" i="42"/>
  <c r="CD69" i="42"/>
  <c r="CC69" i="42"/>
  <c r="DB68" i="42"/>
  <c r="DA68" i="42"/>
  <c r="CZ68" i="42"/>
  <c r="CY68" i="42"/>
  <c r="CX68" i="42"/>
  <c r="CW68" i="42"/>
  <c r="CV68" i="42"/>
  <c r="CU68" i="42"/>
  <c r="CT68" i="42"/>
  <c r="CS68" i="42"/>
  <c r="CR68" i="42"/>
  <c r="CQ68" i="42"/>
  <c r="CP68" i="42"/>
  <c r="CO68" i="42"/>
  <c r="CN68" i="42"/>
  <c r="CM68" i="42"/>
  <c r="CL68" i="42"/>
  <c r="CK68" i="42"/>
  <c r="CJ68" i="42"/>
  <c r="CI68" i="42"/>
  <c r="CH68" i="42"/>
  <c r="CG68" i="42"/>
  <c r="CF68" i="42"/>
  <c r="CE68" i="42"/>
  <c r="CD68" i="42"/>
  <c r="CC68" i="42"/>
  <c r="DB67" i="42"/>
  <c r="DA67" i="42"/>
  <c r="CZ67" i="42"/>
  <c r="CY67" i="42"/>
  <c r="CX67" i="42"/>
  <c r="CW67" i="42"/>
  <c r="CV67" i="42"/>
  <c r="CU67" i="42"/>
  <c r="CT67" i="42"/>
  <c r="CS67" i="42"/>
  <c r="CR67" i="42"/>
  <c r="CQ67" i="42"/>
  <c r="CP67" i="42"/>
  <c r="CO67" i="42"/>
  <c r="CN67" i="42"/>
  <c r="CM67" i="42"/>
  <c r="CL67" i="42"/>
  <c r="CK67" i="42"/>
  <c r="CJ67" i="42"/>
  <c r="CI67" i="42"/>
  <c r="CH67" i="42"/>
  <c r="CG67" i="42"/>
  <c r="CF67" i="42"/>
  <c r="CE67" i="42"/>
  <c r="CD67" i="42"/>
  <c r="CC67" i="42"/>
  <c r="DB66" i="42"/>
  <c r="DA66" i="42"/>
  <c r="CZ66" i="42"/>
  <c r="CY66" i="42"/>
  <c r="CY63" i="42"/>
  <c r="CX66" i="42"/>
  <c r="CW66" i="42"/>
  <c r="CV66" i="42"/>
  <c r="CU66" i="42"/>
  <c r="CT66" i="42"/>
  <c r="CS66" i="42"/>
  <c r="CR66" i="42"/>
  <c r="CQ66" i="42"/>
  <c r="CQ63" i="42"/>
  <c r="CP66" i="42"/>
  <c r="CO66" i="42"/>
  <c r="CN66" i="42"/>
  <c r="CM66" i="42"/>
  <c r="CL66" i="42"/>
  <c r="CK66" i="42"/>
  <c r="CJ66" i="42"/>
  <c r="CI66" i="42"/>
  <c r="CI63" i="42"/>
  <c r="CH66" i="42"/>
  <c r="CG66" i="42"/>
  <c r="CF66" i="42"/>
  <c r="CE66" i="42"/>
  <c r="CD66" i="42"/>
  <c r="CC66" i="42"/>
  <c r="DB65" i="42"/>
  <c r="DA65" i="42"/>
  <c r="DA63" i="42"/>
  <c r="CZ65" i="42"/>
  <c r="CY65" i="42"/>
  <c r="CX65" i="42"/>
  <c r="CW65" i="42"/>
  <c r="CV65" i="42"/>
  <c r="CU65" i="42"/>
  <c r="CT65" i="42"/>
  <c r="CS65" i="42"/>
  <c r="CS63" i="42"/>
  <c r="CR65" i="42"/>
  <c r="CQ65" i="42"/>
  <c r="CP65" i="42"/>
  <c r="CO65" i="42"/>
  <c r="CN65" i="42"/>
  <c r="CM65" i="42"/>
  <c r="CL65" i="42"/>
  <c r="CK65" i="42"/>
  <c r="CK63" i="42"/>
  <c r="CJ65" i="42"/>
  <c r="CI65" i="42"/>
  <c r="CH65" i="42"/>
  <c r="CG65" i="42"/>
  <c r="CF65" i="42"/>
  <c r="CE65" i="42"/>
  <c r="CD65" i="42"/>
  <c r="CC65" i="42"/>
  <c r="DB64" i="42"/>
  <c r="DA64" i="42"/>
  <c r="CZ64" i="42"/>
  <c r="CY64" i="42"/>
  <c r="CX64" i="42"/>
  <c r="CW64" i="42"/>
  <c r="CV64" i="42"/>
  <c r="CU64" i="42"/>
  <c r="CC64" i="42"/>
  <c r="CT64" i="42"/>
  <c r="CS64" i="42"/>
  <c r="CR64" i="42"/>
  <c r="CQ64" i="42"/>
  <c r="CP64" i="42"/>
  <c r="CO64" i="42"/>
  <c r="CN64" i="42"/>
  <c r="CM64" i="42"/>
  <c r="CM63" i="42"/>
  <c r="CL64" i="42"/>
  <c r="CK64" i="42"/>
  <c r="CJ64" i="42"/>
  <c r="CI64" i="42"/>
  <c r="CH64" i="42"/>
  <c r="CG64" i="42"/>
  <c r="CF64" i="42"/>
  <c r="CE64" i="42"/>
  <c r="CE63" i="42"/>
  <c r="CD64" i="42"/>
  <c r="DB63" i="42"/>
  <c r="CZ63" i="42"/>
  <c r="CX63" i="42"/>
  <c r="CW63" i="42"/>
  <c r="CV63" i="42"/>
  <c r="CT63" i="42"/>
  <c r="CR63" i="42"/>
  <c r="CP63" i="42"/>
  <c r="CO63" i="42"/>
  <c r="CN63" i="42"/>
  <c r="CL63" i="42"/>
  <c r="CJ63" i="42"/>
  <c r="CH63" i="42"/>
  <c r="CG63" i="42"/>
  <c r="CF63" i="42"/>
  <c r="CD63" i="42"/>
  <c r="DB62" i="42"/>
  <c r="DA62" i="42"/>
  <c r="CZ62" i="42"/>
  <c r="CY62" i="42"/>
  <c r="CX62" i="42"/>
  <c r="CW62" i="42"/>
  <c r="CV62" i="42"/>
  <c r="CU62" i="42"/>
  <c r="CC62" i="42"/>
  <c r="CT62" i="42"/>
  <c r="CS62" i="42"/>
  <c r="CR62" i="42"/>
  <c r="CQ62" i="42"/>
  <c r="CP62" i="42"/>
  <c r="CO62" i="42"/>
  <c r="CN62" i="42"/>
  <c r="CM62" i="42"/>
  <c r="CL62" i="42"/>
  <c r="CK62" i="42"/>
  <c r="CJ62" i="42"/>
  <c r="CI62" i="42"/>
  <c r="CH62" i="42"/>
  <c r="CG62" i="42"/>
  <c r="CF62" i="42"/>
  <c r="CE62" i="42"/>
  <c r="CD62" i="42"/>
  <c r="DB61" i="42"/>
  <c r="DA61" i="42"/>
  <c r="CZ61" i="42"/>
  <c r="CY61" i="42"/>
  <c r="CX61" i="42"/>
  <c r="CW61" i="42"/>
  <c r="CV61" i="42"/>
  <c r="CU61" i="42"/>
  <c r="CT61" i="42"/>
  <c r="CS61" i="42"/>
  <c r="CR61" i="42"/>
  <c r="CQ61" i="42"/>
  <c r="CP61" i="42"/>
  <c r="CO61" i="42"/>
  <c r="CN61" i="42"/>
  <c r="CM61" i="42"/>
  <c r="CL61" i="42"/>
  <c r="CK61" i="42"/>
  <c r="CJ61" i="42"/>
  <c r="CI61" i="42"/>
  <c r="CH61" i="42"/>
  <c r="CG61" i="42"/>
  <c r="CF61" i="42"/>
  <c r="CE61" i="42"/>
  <c r="CD61" i="42"/>
  <c r="CC61" i="42"/>
  <c r="DB60" i="42"/>
  <c r="DA60" i="42"/>
  <c r="CZ60" i="42"/>
  <c r="CY60" i="42"/>
  <c r="CX60" i="42"/>
  <c r="CW60" i="42"/>
  <c r="CV60" i="42"/>
  <c r="CU60" i="42"/>
  <c r="CT60" i="42"/>
  <c r="CS60" i="42"/>
  <c r="CR60" i="42"/>
  <c r="CQ60" i="42"/>
  <c r="CP60" i="42"/>
  <c r="CO60" i="42"/>
  <c r="CN60" i="42"/>
  <c r="CM60" i="42"/>
  <c r="CL60" i="42"/>
  <c r="CK60" i="42"/>
  <c r="CJ60" i="42"/>
  <c r="CI60" i="42"/>
  <c r="CH60" i="42"/>
  <c r="CG60" i="42"/>
  <c r="CF60" i="42"/>
  <c r="CE60" i="42"/>
  <c r="CD60" i="42"/>
  <c r="CC60" i="42"/>
  <c r="DB59" i="42"/>
  <c r="DA59" i="42"/>
  <c r="CZ59" i="42"/>
  <c r="CY59" i="42"/>
  <c r="CX59" i="42"/>
  <c r="CW59" i="42"/>
  <c r="CV59" i="42"/>
  <c r="CU59" i="42"/>
  <c r="CT59" i="42"/>
  <c r="CS59" i="42"/>
  <c r="CR59" i="42"/>
  <c r="CQ59" i="42"/>
  <c r="CP59" i="42"/>
  <c r="CO59" i="42"/>
  <c r="CN59" i="42"/>
  <c r="CM59" i="42"/>
  <c r="CL59" i="42"/>
  <c r="CK59" i="42"/>
  <c r="CJ59" i="42"/>
  <c r="CI59" i="42"/>
  <c r="CH59" i="42"/>
  <c r="CG59" i="42"/>
  <c r="CF59" i="42"/>
  <c r="CE59" i="42"/>
  <c r="CD59" i="42"/>
  <c r="CC59" i="42"/>
  <c r="DB58" i="42"/>
  <c r="DA58" i="42"/>
  <c r="CZ58" i="42"/>
  <c r="CY58" i="42"/>
  <c r="CX58" i="42"/>
  <c r="CW58" i="42"/>
  <c r="CV58" i="42"/>
  <c r="CU58" i="42"/>
  <c r="CT58" i="42"/>
  <c r="CS58" i="42"/>
  <c r="CR58" i="42"/>
  <c r="CQ58" i="42"/>
  <c r="CP58" i="42"/>
  <c r="CO58" i="42"/>
  <c r="CN58" i="42"/>
  <c r="CM58" i="42"/>
  <c r="CL58" i="42"/>
  <c r="CK58" i="42"/>
  <c r="CJ58" i="42"/>
  <c r="CI58" i="42"/>
  <c r="CH58" i="42"/>
  <c r="CG58" i="42"/>
  <c r="CF58" i="42"/>
  <c r="CE58" i="42"/>
  <c r="CD58" i="42"/>
  <c r="CC58" i="42"/>
  <c r="DB57" i="42"/>
  <c r="DA57" i="42"/>
  <c r="CZ57" i="42"/>
  <c r="CY57" i="42"/>
  <c r="CX57" i="42"/>
  <c r="CW57" i="42"/>
  <c r="CV57" i="42"/>
  <c r="CU57" i="42"/>
  <c r="CT57" i="42"/>
  <c r="CS57" i="42"/>
  <c r="CR57" i="42"/>
  <c r="CQ57" i="42"/>
  <c r="CP57" i="42"/>
  <c r="CO57" i="42"/>
  <c r="CN57" i="42"/>
  <c r="CM57" i="42"/>
  <c r="CL57" i="42"/>
  <c r="CK57" i="42"/>
  <c r="CJ57" i="42"/>
  <c r="CI57" i="42"/>
  <c r="CH57" i="42"/>
  <c r="CG57" i="42"/>
  <c r="CF57" i="42"/>
  <c r="CE57" i="42"/>
  <c r="CD57" i="42"/>
  <c r="CC57" i="42"/>
  <c r="DB56" i="42"/>
  <c r="DA56" i="42"/>
  <c r="CZ56" i="42"/>
  <c r="CY56" i="42"/>
  <c r="CX56" i="42"/>
  <c r="CW56" i="42"/>
  <c r="CV56" i="42"/>
  <c r="CU56" i="42"/>
  <c r="CT56" i="42"/>
  <c r="CS56" i="42"/>
  <c r="CR56" i="42"/>
  <c r="CQ56" i="42"/>
  <c r="CP56" i="42"/>
  <c r="CO56" i="42"/>
  <c r="CN56" i="42"/>
  <c r="CM56" i="42"/>
  <c r="CL56" i="42"/>
  <c r="CK56" i="42"/>
  <c r="CJ56" i="42"/>
  <c r="CI56" i="42"/>
  <c r="CH56" i="42"/>
  <c r="CG56" i="42"/>
  <c r="CF56" i="42"/>
  <c r="CE56" i="42"/>
  <c r="CD56" i="42"/>
  <c r="CC56" i="42"/>
  <c r="DB55" i="42"/>
  <c r="DA55" i="42"/>
  <c r="CZ55" i="42"/>
  <c r="CY55" i="42"/>
  <c r="CX55" i="42"/>
  <c r="CW55" i="42"/>
  <c r="CV55" i="42"/>
  <c r="CU55" i="42"/>
  <c r="CT55" i="42"/>
  <c r="CS55" i="42"/>
  <c r="CR55" i="42"/>
  <c r="CQ55" i="42"/>
  <c r="CP55" i="42"/>
  <c r="CO55" i="42"/>
  <c r="CN55" i="42"/>
  <c r="CM55" i="42"/>
  <c r="CL55" i="42"/>
  <c r="CK55" i="42"/>
  <c r="CJ55" i="42"/>
  <c r="CI55" i="42"/>
  <c r="CH55" i="42"/>
  <c r="CG55" i="42"/>
  <c r="CF55" i="42"/>
  <c r="CE55" i="42"/>
  <c r="CD55" i="42"/>
  <c r="CC55" i="42"/>
  <c r="DB54" i="42"/>
  <c r="DA54" i="42"/>
  <c r="CZ54" i="42"/>
  <c r="CY54" i="42"/>
  <c r="CX54" i="42"/>
  <c r="CW54" i="42"/>
  <c r="CV54" i="42"/>
  <c r="CU54" i="42"/>
  <c r="CT54" i="42"/>
  <c r="CS54" i="42"/>
  <c r="CR54" i="42"/>
  <c r="CQ54" i="42"/>
  <c r="CP54" i="42"/>
  <c r="CO54" i="42"/>
  <c r="CN54" i="42"/>
  <c r="CM54" i="42"/>
  <c r="CL54" i="42"/>
  <c r="CK54" i="42"/>
  <c r="CJ54" i="42"/>
  <c r="CI54" i="42"/>
  <c r="CH54" i="42"/>
  <c r="CG54" i="42"/>
  <c r="CF54" i="42"/>
  <c r="CE54" i="42"/>
  <c r="CD54" i="42"/>
  <c r="CC54" i="42"/>
  <c r="DB53" i="42"/>
  <c r="DA53" i="42"/>
  <c r="CZ53" i="42"/>
  <c r="CY53" i="42"/>
  <c r="CX53" i="42"/>
  <c r="CW53" i="42"/>
  <c r="CV53" i="42"/>
  <c r="CU53" i="42"/>
  <c r="CT53" i="42"/>
  <c r="CS53" i="42"/>
  <c r="CR53" i="42"/>
  <c r="CQ53" i="42"/>
  <c r="CP53" i="42"/>
  <c r="CO53" i="42"/>
  <c r="CN53" i="42"/>
  <c r="CM53" i="42"/>
  <c r="CL53" i="42"/>
  <c r="CK53" i="42"/>
  <c r="CJ53" i="42"/>
  <c r="CI53" i="42"/>
  <c r="CH53" i="42"/>
  <c r="CG53" i="42"/>
  <c r="CF53" i="42"/>
  <c r="CE53" i="42"/>
  <c r="CD53" i="42"/>
  <c r="CC53" i="42"/>
  <c r="DB52" i="42"/>
  <c r="DA52" i="42"/>
  <c r="CZ52" i="42"/>
  <c r="CY52" i="42"/>
  <c r="CX52" i="42"/>
  <c r="CW52" i="42"/>
  <c r="CV52" i="42"/>
  <c r="CU52" i="42"/>
  <c r="CC48" i="42"/>
  <c r="CT52" i="42"/>
  <c r="CS52" i="42"/>
  <c r="CR52" i="42"/>
  <c r="CQ52" i="42"/>
  <c r="CP52" i="42"/>
  <c r="CO52" i="42"/>
  <c r="CN52" i="42"/>
  <c r="CM52" i="42"/>
  <c r="CL52" i="42"/>
  <c r="CK52" i="42"/>
  <c r="CJ52" i="42"/>
  <c r="CI52" i="42"/>
  <c r="CH52" i="42"/>
  <c r="CG52" i="42"/>
  <c r="CF52" i="42"/>
  <c r="CE52" i="42"/>
  <c r="CD52" i="42"/>
  <c r="CC52" i="42"/>
  <c r="DB51" i="42"/>
  <c r="DA51" i="42"/>
  <c r="CZ51" i="42"/>
  <c r="CY51" i="42"/>
  <c r="CX51" i="42"/>
  <c r="CW51" i="42"/>
  <c r="CW48" i="42"/>
  <c r="CV51" i="42"/>
  <c r="CU51" i="42"/>
  <c r="CT51" i="42"/>
  <c r="CS51" i="42"/>
  <c r="CR51" i="42"/>
  <c r="CQ51" i="42"/>
  <c r="CP51" i="42"/>
  <c r="CO51" i="42"/>
  <c r="CO48" i="42"/>
  <c r="CN51" i="42"/>
  <c r="CM51" i="42"/>
  <c r="CL51" i="42"/>
  <c r="CK51" i="42"/>
  <c r="CJ51" i="42"/>
  <c r="CI51" i="42"/>
  <c r="CH51" i="42"/>
  <c r="CG51" i="42"/>
  <c r="CG48" i="42"/>
  <c r="CF51" i="42"/>
  <c r="CE51" i="42"/>
  <c r="CD51" i="42"/>
  <c r="CC51" i="42"/>
  <c r="DB50" i="42"/>
  <c r="DA50" i="42"/>
  <c r="CZ50" i="42"/>
  <c r="CY50" i="42"/>
  <c r="CY48" i="42"/>
  <c r="CX50" i="42"/>
  <c r="CW50" i="42"/>
  <c r="CV50" i="42"/>
  <c r="CU50" i="42"/>
  <c r="CT50" i="42"/>
  <c r="CS50" i="42"/>
  <c r="CR50" i="42"/>
  <c r="CQ50" i="42"/>
  <c r="CQ48" i="42"/>
  <c r="CP50" i="42"/>
  <c r="CO50" i="42"/>
  <c r="CN50" i="42"/>
  <c r="CM50" i="42"/>
  <c r="CL50" i="42"/>
  <c r="CK50" i="42"/>
  <c r="CJ50" i="42"/>
  <c r="CI50" i="42"/>
  <c r="CI48" i="42"/>
  <c r="CH50" i="42"/>
  <c r="CG50" i="42"/>
  <c r="CF50" i="42"/>
  <c r="CE50" i="42"/>
  <c r="CD50" i="42"/>
  <c r="CC50" i="42"/>
  <c r="DB49" i="42"/>
  <c r="DA49" i="42"/>
  <c r="DA48" i="42"/>
  <c r="CZ49" i="42"/>
  <c r="CY49" i="42"/>
  <c r="CX49" i="42"/>
  <c r="CW49" i="42"/>
  <c r="CV49" i="42"/>
  <c r="CU49" i="42"/>
  <c r="CT49" i="42"/>
  <c r="CS49" i="42"/>
  <c r="CS48" i="42"/>
  <c r="CR49" i="42"/>
  <c r="CQ49" i="42"/>
  <c r="CP49" i="42"/>
  <c r="CO49" i="42"/>
  <c r="CN49" i="42"/>
  <c r="CM49" i="42"/>
  <c r="CL49" i="42"/>
  <c r="CK49" i="42"/>
  <c r="CK48" i="42"/>
  <c r="CJ49" i="42"/>
  <c r="CI49" i="42"/>
  <c r="CH49" i="42"/>
  <c r="CG49" i="42"/>
  <c r="CF49" i="42"/>
  <c r="CE49" i="42"/>
  <c r="CD49" i="42"/>
  <c r="CC49" i="42"/>
  <c r="DB48" i="42"/>
  <c r="CZ48" i="42"/>
  <c r="CX48" i="42"/>
  <c r="CV48" i="42"/>
  <c r="CU48" i="42"/>
  <c r="CT48" i="42"/>
  <c r="CR48" i="42"/>
  <c r="CP48" i="42"/>
  <c r="CN48" i="42"/>
  <c r="CM48" i="42"/>
  <c r="CL48" i="42"/>
  <c r="CJ48" i="42"/>
  <c r="CH48" i="42"/>
  <c r="CF48" i="42"/>
  <c r="CE48" i="42"/>
  <c r="CD48" i="42"/>
  <c r="DB47" i="42"/>
  <c r="DA47" i="42"/>
  <c r="CZ47" i="42"/>
  <c r="CY47" i="42"/>
  <c r="CX47" i="42"/>
  <c r="CW47" i="42"/>
  <c r="CW45" i="42"/>
  <c r="CV47" i="42"/>
  <c r="CU47" i="42"/>
  <c r="CT47" i="42"/>
  <c r="CS47" i="42"/>
  <c r="CR47" i="42"/>
  <c r="CQ47" i="42"/>
  <c r="CP47" i="42"/>
  <c r="CO47" i="42"/>
  <c r="CO45" i="42"/>
  <c r="CN47" i="42"/>
  <c r="CM47" i="42"/>
  <c r="CL47" i="42"/>
  <c r="CK47" i="42"/>
  <c r="CJ47" i="42"/>
  <c r="CI47" i="42"/>
  <c r="CH47" i="42"/>
  <c r="CG47" i="42"/>
  <c r="CG45" i="42"/>
  <c r="CF47" i="42"/>
  <c r="CE47" i="42"/>
  <c r="CD47" i="42"/>
  <c r="CC47" i="42"/>
  <c r="DB46" i="42"/>
  <c r="DA46" i="42"/>
  <c r="CZ46" i="42"/>
  <c r="CY46" i="42"/>
  <c r="CY45" i="42"/>
  <c r="CX46" i="42"/>
  <c r="CW46" i="42"/>
  <c r="CV46" i="42"/>
  <c r="CU46" i="42"/>
  <c r="CT46" i="42"/>
  <c r="CS46" i="42"/>
  <c r="CR46" i="42"/>
  <c r="CQ46" i="42"/>
  <c r="CQ45" i="42"/>
  <c r="CP46" i="42"/>
  <c r="CO46" i="42"/>
  <c r="CN46" i="42"/>
  <c r="CM46" i="42"/>
  <c r="CL46" i="42"/>
  <c r="CK46" i="42"/>
  <c r="CJ46" i="42"/>
  <c r="CI46" i="42"/>
  <c r="CI45" i="42"/>
  <c r="CH46" i="42"/>
  <c r="CG46" i="42"/>
  <c r="CF46" i="42"/>
  <c r="CE46" i="42"/>
  <c r="CD46" i="42"/>
  <c r="CC46" i="42"/>
  <c r="DB45" i="42"/>
  <c r="DA45" i="42"/>
  <c r="CZ45" i="42"/>
  <c r="CX45" i="42"/>
  <c r="CV45" i="42"/>
  <c r="CU45" i="42"/>
  <c r="CT45" i="42"/>
  <c r="CS45" i="42"/>
  <c r="CR45" i="42"/>
  <c r="CP45" i="42"/>
  <c r="CN45" i="42"/>
  <c r="CM45" i="42"/>
  <c r="CL45" i="42"/>
  <c r="CK45" i="42"/>
  <c r="CJ45" i="42"/>
  <c r="CH45" i="42"/>
  <c r="CF45" i="42"/>
  <c r="CE45" i="42"/>
  <c r="CD45" i="42"/>
  <c r="CC45" i="42"/>
  <c r="DB44" i="42"/>
  <c r="DA44" i="42"/>
  <c r="CZ44" i="42"/>
  <c r="CY44" i="42"/>
  <c r="CX44" i="42"/>
  <c r="CW44" i="42"/>
  <c r="CV44" i="42"/>
  <c r="CU44" i="42"/>
  <c r="CT44" i="42"/>
  <c r="CS44" i="42"/>
  <c r="CR44" i="42"/>
  <c r="CQ44" i="42"/>
  <c r="CP44" i="42"/>
  <c r="CO44" i="42"/>
  <c r="CN44" i="42"/>
  <c r="CM44" i="42"/>
  <c r="CL44" i="42"/>
  <c r="CK44" i="42"/>
  <c r="CJ44" i="42"/>
  <c r="CI44" i="42"/>
  <c r="CH44" i="42"/>
  <c r="CG44" i="42"/>
  <c r="CF44" i="42"/>
  <c r="CE44" i="42"/>
  <c r="CD44" i="42"/>
  <c r="CC44" i="42"/>
  <c r="DB43" i="42"/>
  <c r="DA43" i="42"/>
  <c r="CZ43" i="42"/>
  <c r="CY43" i="42"/>
  <c r="CX43" i="42"/>
  <c r="CW43" i="42"/>
  <c r="CV43" i="42"/>
  <c r="CU43" i="42"/>
  <c r="CT43" i="42"/>
  <c r="CS43" i="42"/>
  <c r="CR43" i="42"/>
  <c r="CQ43" i="42"/>
  <c r="CP43" i="42"/>
  <c r="CO43" i="42"/>
  <c r="CN43" i="42"/>
  <c r="CM43" i="42"/>
  <c r="CL43" i="42"/>
  <c r="CK43" i="42"/>
  <c r="CJ43" i="42"/>
  <c r="CI43" i="42"/>
  <c r="CH43" i="42"/>
  <c r="CG43" i="42"/>
  <c r="CF43" i="42"/>
  <c r="CE43" i="42"/>
  <c r="CD43" i="42"/>
  <c r="CC43" i="42"/>
  <c r="DB42" i="42"/>
  <c r="DA42" i="42"/>
  <c r="CZ42" i="42"/>
  <c r="CY42" i="42"/>
  <c r="CX42" i="42"/>
  <c r="CW42" i="42"/>
  <c r="CV42" i="42"/>
  <c r="CU42" i="42"/>
  <c r="CT42" i="42"/>
  <c r="CS42" i="42"/>
  <c r="CR42" i="42"/>
  <c r="CQ42" i="42"/>
  <c r="CP42" i="42"/>
  <c r="CO42" i="42"/>
  <c r="CN42" i="42"/>
  <c r="CM42" i="42"/>
  <c r="CL42" i="42"/>
  <c r="CK42" i="42"/>
  <c r="CJ42" i="42"/>
  <c r="CI42" i="42"/>
  <c r="CH42" i="42"/>
  <c r="CG42" i="42"/>
  <c r="CF42" i="42"/>
  <c r="CE42" i="42"/>
  <c r="CD42" i="42"/>
  <c r="CC42" i="42"/>
  <c r="DB41" i="42"/>
  <c r="DA41" i="42"/>
  <c r="CZ41" i="42"/>
  <c r="CY41" i="42"/>
  <c r="CX41" i="42"/>
  <c r="CW41" i="42"/>
  <c r="CV41" i="42"/>
  <c r="CU41" i="42"/>
  <c r="CT41" i="42"/>
  <c r="CS41" i="42"/>
  <c r="CR41" i="42"/>
  <c r="CQ41" i="42"/>
  <c r="CP41" i="42"/>
  <c r="CO41" i="42"/>
  <c r="CN41" i="42"/>
  <c r="CM41" i="42"/>
  <c r="CL41" i="42"/>
  <c r="CK41" i="42"/>
  <c r="CJ41" i="42"/>
  <c r="CI41" i="42"/>
  <c r="CH41" i="42"/>
  <c r="CG41" i="42"/>
  <c r="CF41" i="42"/>
  <c r="CE41" i="42"/>
  <c r="CD41" i="42"/>
  <c r="CC41" i="42"/>
  <c r="DB40" i="42"/>
  <c r="DA40" i="42"/>
  <c r="CZ40" i="42"/>
  <c r="CY40" i="42"/>
  <c r="CX40" i="42"/>
  <c r="CW40" i="42"/>
  <c r="CV40" i="42"/>
  <c r="CU40" i="42"/>
  <c r="CT40" i="42"/>
  <c r="CS40" i="42"/>
  <c r="CR40" i="42"/>
  <c r="CQ40" i="42"/>
  <c r="CP40" i="42"/>
  <c r="CO40" i="42"/>
  <c r="CN40" i="42"/>
  <c r="CM40" i="42"/>
  <c r="CL40" i="42"/>
  <c r="CK40" i="42"/>
  <c r="CJ40" i="42"/>
  <c r="CI40" i="42"/>
  <c r="CH40" i="42"/>
  <c r="CG40" i="42"/>
  <c r="CF40" i="42"/>
  <c r="CE40" i="42"/>
  <c r="CD40" i="42"/>
  <c r="CC40" i="42"/>
  <c r="DB39" i="42"/>
  <c r="DA39" i="42"/>
  <c r="CZ39" i="42"/>
  <c r="CY39" i="42"/>
  <c r="CX39" i="42"/>
  <c r="CW39" i="42"/>
  <c r="CV39" i="42"/>
  <c r="CU39" i="42"/>
  <c r="CT39" i="42"/>
  <c r="CS39" i="42"/>
  <c r="CR39" i="42"/>
  <c r="CQ39" i="42"/>
  <c r="CP39" i="42"/>
  <c r="CO39" i="42"/>
  <c r="CN39" i="42"/>
  <c r="CM39" i="42"/>
  <c r="CL39" i="42"/>
  <c r="CK39" i="42"/>
  <c r="CJ39" i="42"/>
  <c r="CI39" i="42"/>
  <c r="CH39" i="42"/>
  <c r="CG39" i="42"/>
  <c r="CF39" i="42"/>
  <c r="CE39" i="42"/>
  <c r="CD39" i="42"/>
  <c r="CC39" i="42"/>
  <c r="DB38" i="42"/>
  <c r="DA38" i="42"/>
  <c r="CZ38" i="42"/>
  <c r="CY38" i="42"/>
  <c r="CX38" i="42"/>
  <c r="CW38" i="42"/>
  <c r="CV38" i="42"/>
  <c r="CU38" i="42"/>
  <c r="CT38" i="42"/>
  <c r="CS38" i="42"/>
  <c r="CR38" i="42"/>
  <c r="CQ38" i="42"/>
  <c r="CP38" i="42"/>
  <c r="CO38" i="42"/>
  <c r="CN38" i="42"/>
  <c r="CM38" i="42"/>
  <c r="CL38" i="42"/>
  <c r="CK38" i="42"/>
  <c r="CJ38" i="42"/>
  <c r="CI38" i="42"/>
  <c r="CH38" i="42"/>
  <c r="CG38" i="42"/>
  <c r="CF38" i="42"/>
  <c r="CE38" i="42"/>
  <c r="CD38" i="42"/>
  <c r="CC38" i="42"/>
  <c r="DB37" i="42"/>
  <c r="DA37" i="42"/>
  <c r="CZ37" i="42"/>
  <c r="CY37" i="42"/>
  <c r="CX37" i="42"/>
  <c r="CW37" i="42"/>
  <c r="CV37" i="42"/>
  <c r="CU37" i="42"/>
  <c r="CT37" i="42"/>
  <c r="CS37" i="42"/>
  <c r="CR37" i="42"/>
  <c r="CQ37" i="42"/>
  <c r="CP37" i="42"/>
  <c r="CO37" i="42"/>
  <c r="CN37" i="42"/>
  <c r="CM37" i="42"/>
  <c r="CL37" i="42"/>
  <c r="CK37" i="42"/>
  <c r="CJ37" i="42"/>
  <c r="CI37" i="42"/>
  <c r="CH37" i="42"/>
  <c r="CG37" i="42"/>
  <c r="CF37" i="42"/>
  <c r="CE37" i="42"/>
  <c r="CD37" i="42"/>
  <c r="CC37" i="42"/>
  <c r="DB36" i="42"/>
  <c r="DA36" i="42"/>
  <c r="CZ36" i="42"/>
  <c r="CY36" i="42"/>
  <c r="CX36" i="42"/>
  <c r="CW36" i="42"/>
  <c r="CV36" i="42"/>
  <c r="CU36" i="42"/>
  <c r="CT36" i="42"/>
  <c r="CS36" i="42"/>
  <c r="CR36" i="42"/>
  <c r="CQ36" i="42"/>
  <c r="CP36" i="42"/>
  <c r="CO36" i="42"/>
  <c r="CN36" i="42"/>
  <c r="CM36" i="42"/>
  <c r="CL36" i="42"/>
  <c r="CK36" i="42"/>
  <c r="CJ36" i="42"/>
  <c r="CI36" i="42"/>
  <c r="CH36" i="42"/>
  <c r="CG36" i="42"/>
  <c r="CF36" i="42"/>
  <c r="CE36" i="42"/>
  <c r="CD36" i="42"/>
  <c r="CC36" i="42"/>
  <c r="DB35" i="42"/>
  <c r="DA35" i="42"/>
  <c r="CZ35" i="42"/>
  <c r="CY35" i="42"/>
  <c r="CX35" i="42"/>
  <c r="CW35" i="42"/>
  <c r="CV35" i="42"/>
  <c r="CU35" i="42"/>
  <c r="CT35" i="42"/>
  <c r="CS35" i="42"/>
  <c r="CR35" i="42"/>
  <c r="CQ35" i="42"/>
  <c r="CP35" i="42"/>
  <c r="CO35" i="42"/>
  <c r="CN35" i="42"/>
  <c r="CM35" i="42"/>
  <c r="CL35" i="42"/>
  <c r="CK35" i="42"/>
  <c r="CJ35" i="42"/>
  <c r="CI35" i="42"/>
  <c r="CH35" i="42"/>
  <c r="CG35" i="42"/>
  <c r="CF35" i="42"/>
  <c r="CE35" i="42"/>
  <c r="CD35" i="42"/>
  <c r="CC35" i="42"/>
  <c r="DB34" i="42"/>
  <c r="DA34" i="42"/>
  <c r="CZ34" i="42"/>
  <c r="CY34" i="42"/>
  <c r="CY31" i="42"/>
  <c r="CX34" i="42"/>
  <c r="CW34" i="42"/>
  <c r="CV34" i="42"/>
  <c r="CU34" i="42"/>
  <c r="CT34" i="42"/>
  <c r="CS34" i="42"/>
  <c r="CR34" i="42"/>
  <c r="CR31" i="42"/>
  <c r="CQ34" i="42"/>
  <c r="CP34" i="42"/>
  <c r="CO34" i="42"/>
  <c r="CN34" i="42"/>
  <c r="CM34" i="42"/>
  <c r="CL34" i="42"/>
  <c r="CK34" i="42"/>
  <c r="CJ34" i="42"/>
  <c r="CJ31" i="42"/>
  <c r="CI34" i="42"/>
  <c r="CH34" i="42"/>
  <c r="CG34" i="42"/>
  <c r="CF34" i="42"/>
  <c r="CE34" i="42"/>
  <c r="CD34" i="42"/>
  <c r="CC34" i="42"/>
  <c r="DB33" i="42"/>
  <c r="DB31" i="42"/>
  <c r="DA33" i="42"/>
  <c r="DA31" i="42"/>
  <c r="CZ33" i="42"/>
  <c r="CY33" i="42"/>
  <c r="CX33" i="42"/>
  <c r="CW33" i="42"/>
  <c r="CV33" i="42"/>
  <c r="CU33" i="42"/>
  <c r="CT33" i="42"/>
  <c r="CT31" i="42"/>
  <c r="CS33" i="42"/>
  <c r="CS31" i="42"/>
  <c r="CR33" i="42"/>
  <c r="CQ33" i="42"/>
  <c r="CP33" i="42"/>
  <c r="CO33" i="42"/>
  <c r="CN33" i="42"/>
  <c r="CM33" i="42"/>
  <c r="CL33" i="42"/>
  <c r="CL31" i="42"/>
  <c r="CK33" i="42"/>
  <c r="CK31" i="42"/>
  <c r="CJ33" i="42"/>
  <c r="CI33" i="42"/>
  <c r="CH33" i="42"/>
  <c r="CG33" i="42"/>
  <c r="CF33" i="42"/>
  <c r="CE33" i="42"/>
  <c r="CD33" i="42"/>
  <c r="CD31" i="42"/>
  <c r="CC33" i="42"/>
  <c r="DB32" i="42"/>
  <c r="DA32" i="42"/>
  <c r="CZ32" i="42"/>
  <c r="CY32" i="42"/>
  <c r="CX32" i="42"/>
  <c r="CW32" i="42"/>
  <c r="CV32" i="42"/>
  <c r="CV31" i="42"/>
  <c r="CU32" i="42"/>
  <c r="CU31" i="42"/>
  <c r="CT32" i="42"/>
  <c r="CS32" i="42"/>
  <c r="CR32" i="42"/>
  <c r="CQ32" i="42"/>
  <c r="CQ31" i="42"/>
  <c r="CP32" i="42"/>
  <c r="CO32" i="42"/>
  <c r="CN32" i="42"/>
  <c r="CN31" i="42"/>
  <c r="CM32" i="42"/>
  <c r="CM31" i="42"/>
  <c r="CL32" i="42"/>
  <c r="CK32" i="42"/>
  <c r="CJ32" i="42"/>
  <c r="CI32" i="42"/>
  <c r="CI31" i="42"/>
  <c r="CH32" i="42"/>
  <c r="CG32" i="42"/>
  <c r="CF32" i="42"/>
  <c r="CF31" i="42"/>
  <c r="CE32" i="42"/>
  <c r="CE31" i="42"/>
  <c r="CD32" i="42"/>
  <c r="CC32" i="42"/>
  <c r="CZ31" i="42"/>
  <c r="CX31" i="42"/>
  <c r="CW31" i="42"/>
  <c r="CP31" i="42"/>
  <c r="CO31" i="42"/>
  <c r="CH31" i="42"/>
  <c r="CG31" i="42"/>
  <c r="AE63" i="42"/>
  <c r="AF63" i="42"/>
  <c r="AG63" i="42"/>
  <c r="AH63" i="42"/>
  <c r="AI63" i="42"/>
  <c r="AJ63" i="42"/>
  <c r="AK63" i="42"/>
  <c r="AL63" i="42"/>
  <c r="AM63" i="42"/>
  <c r="AN63" i="42"/>
  <c r="AO63" i="42"/>
  <c r="AP63" i="42"/>
  <c r="AQ63" i="42"/>
  <c r="AR63" i="42"/>
  <c r="AS63" i="42"/>
  <c r="AT63" i="42"/>
  <c r="AU63" i="42"/>
  <c r="AV63" i="42"/>
  <c r="AW63" i="42"/>
  <c r="AX63" i="42"/>
  <c r="AY63" i="42"/>
  <c r="AZ63" i="42"/>
  <c r="BA63" i="42"/>
  <c r="BB63"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AD45" i="42"/>
  <c r="AC45" i="42"/>
  <c r="AD48" i="42"/>
  <c r="AC48" i="42"/>
  <c r="AD63" i="42"/>
  <c r="AC63" i="42"/>
  <c r="AD31" i="42"/>
  <c r="AD43" i="42"/>
  <c r="AD44"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C63" i="42"/>
  <c r="CB64" i="42"/>
  <c r="CA64" i="42"/>
  <c r="BZ64" i="42"/>
  <c r="BY64" i="42"/>
  <c r="BX64" i="42"/>
  <c r="BW64" i="42"/>
  <c r="BV64" i="42"/>
  <c r="BV63" i="42"/>
  <c r="BU64" i="42"/>
  <c r="BU63" i="42"/>
  <c r="BT64" i="42"/>
  <c r="BS64" i="42"/>
  <c r="BR64" i="42"/>
  <c r="BQ64" i="42"/>
  <c r="BP64" i="42"/>
  <c r="BO64" i="42"/>
  <c r="BN64" i="42"/>
  <c r="BN63" i="42"/>
  <c r="BM64" i="42"/>
  <c r="BM63" i="42"/>
  <c r="BL64" i="42"/>
  <c r="BK64" i="42"/>
  <c r="BJ64" i="42"/>
  <c r="BI64" i="42"/>
  <c r="BH64" i="42"/>
  <c r="BG64" i="42"/>
  <c r="BF64" i="42"/>
  <c r="BF63" i="42"/>
  <c r="BE64" i="42"/>
  <c r="BE63" i="42"/>
  <c r="BD64" i="42"/>
  <c r="BC64" i="42"/>
  <c r="BY63" i="42"/>
  <c r="BX63" i="42"/>
  <c r="BR63" i="42"/>
  <c r="BQ63" i="42"/>
  <c r="BP63" i="42"/>
  <c r="BI63" i="42"/>
  <c r="BH63"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C48"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CB49" i="42"/>
  <c r="CA49" i="42"/>
  <c r="BZ49" i="42"/>
  <c r="BY49" i="42"/>
  <c r="BY48" i="42"/>
  <c r="BX49" i="42"/>
  <c r="BX48" i="42"/>
  <c r="BW49" i="42"/>
  <c r="BW48" i="42"/>
  <c r="BV49" i="42"/>
  <c r="BU49" i="42"/>
  <c r="BT49" i="42"/>
  <c r="BS49" i="42"/>
  <c r="BR49" i="42"/>
  <c r="BQ49" i="42"/>
  <c r="BQ48" i="42"/>
  <c r="BP49" i="42"/>
  <c r="BP48" i="42"/>
  <c r="BO49" i="42"/>
  <c r="BO48" i="42"/>
  <c r="BN49" i="42"/>
  <c r="BM49" i="42"/>
  <c r="BL49" i="42"/>
  <c r="BK49" i="42"/>
  <c r="BJ49" i="42"/>
  <c r="BI49" i="42"/>
  <c r="BI48" i="42"/>
  <c r="BH49" i="42"/>
  <c r="BH48" i="42"/>
  <c r="BG49" i="42"/>
  <c r="BG48" i="42"/>
  <c r="BF49" i="42"/>
  <c r="BE49" i="42"/>
  <c r="BD49" i="42"/>
  <c r="BC49" i="42"/>
  <c r="CB48" i="42"/>
  <c r="CA48" i="42"/>
  <c r="BZ48" i="42"/>
  <c r="BV48" i="42"/>
  <c r="BT48" i="42"/>
  <c r="BS48" i="42"/>
  <c r="BR48" i="42"/>
  <c r="BN48" i="42"/>
  <c r="BL48" i="42"/>
  <c r="BJ48" i="42"/>
  <c r="BF48" i="42"/>
  <c r="BD48"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CB46" i="42"/>
  <c r="CA46" i="42"/>
  <c r="CA45" i="42"/>
  <c r="BZ46" i="42"/>
  <c r="BZ45" i="42"/>
  <c r="BY46" i="42"/>
  <c r="BY45" i="42"/>
  <c r="BX46" i="42"/>
  <c r="BW46" i="42"/>
  <c r="BV46" i="42"/>
  <c r="BU46" i="42"/>
  <c r="BT46" i="42"/>
  <c r="BS46" i="42"/>
  <c r="BS45" i="42"/>
  <c r="BR46" i="42"/>
  <c r="BR45" i="42"/>
  <c r="BQ46" i="42"/>
  <c r="BQ45" i="42"/>
  <c r="BP46" i="42"/>
  <c r="BO46" i="42"/>
  <c r="BN46" i="42"/>
  <c r="BM46" i="42"/>
  <c r="BL46" i="42"/>
  <c r="BK46" i="42"/>
  <c r="BK45" i="42"/>
  <c r="BJ46" i="42"/>
  <c r="BJ45" i="42"/>
  <c r="BI46" i="42"/>
  <c r="BI45" i="42"/>
  <c r="BH46" i="42"/>
  <c r="BG46" i="42"/>
  <c r="BF46" i="42"/>
  <c r="BE46" i="42"/>
  <c r="BD46" i="42"/>
  <c r="BC46" i="42"/>
  <c r="BC45" i="42"/>
  <c r="CB45" i="42"/>
  <c r="BX45" i="42"/>
  <c r="BV45" i="42"/>
  <c r="BU45" i="42"/>
  <c r="BT45" i="42"/>
  <c r="BP45" i="42"/>
  <c r="BN45" i="42"/>
  <c r="BM45" i="42"/>
  <c r="BL45" i="42"/>
  <c r="BH45" i="42"/>
  <c r="BF45" i="42"/>
  <c r="BE45" i="42"/>
  <c r="BD45"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AC44"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CB32" i="42"/>
  <c r="CA32" i="42"/>
  <c r="BZ32" i="42"/>
  <c r="BY32" i="42"/>
  <c r="BY31" i="42"/>
  <c r="BX32" i="42"/>
  <c r="BX31" i="42"/>
  <c r="BW32" i="42"/>
  <c r="BW31" i="42"/>
  <c r="BV32" i="42"/>
  <c r="BU32" i="42"/>
  <c r="BT32" i="42"/>
  <c r="BS32" i="42"/>
  <c r="BR32" i="42"/>
  <c r="BQ32" i="42"/>
  <c r="BQ31" i="42"/>
  <c r="BP32" i="42"/>
  <c r="BP31" i="42"/>
  <c r="BO32" i="42"/>
  <c r="BO31" i="42"/>
  <c r="BN32" i="42"/>
  <c r="BM32" i="42"/>
  <c r="BL32" i="42"/>
  <c r="BK32" i="42"/>
  <c r="BJ32" i="42"/>
  <c r="BI32" i="42"/>
  <c r="BI31" i="42"/>
  <c r="BH32" i="42"/>
  <c r="BH31" i="42"/>
  <c r="BG32" i="42"/>
  <c r="BG31" i="42"/>
  <c r="BF32" i="42"/>
  <c r="BE32" i="42"/>
  <c r="BD32" i="42"/>
  <c r="BC32" i="42"/>
  <c r="CB31" i="42"/>
  <c r="CA31" i="42"/>
  <c r="BZ31" i="42"/>
  <c r="BV31" i="42"/>
  <c r="BT31" i="42"/>
  <c r="BS31" i="42"/>
  <c r="BR31" i="42"/>
  <c r="BN31" i="42"/>
  <c r="BL31" i="42"/>
  <c r="BK31" i="42"/>
  <c r="BJ31" i="42"/>
  <c r="BF31" i="42"/>
  <c r="BD31" i="42"/>
  <c r="BC31" i="42"/>
  <c r="AR76" i="37"/>
  <c r="BB76" i="37"/>
  <c r="AS76" i="37"/>
  <c r="BC27" i="37"/>
  <c r="BC76" i="37"/>
  <c r="AT76" i="37"/>
  <c r="BD76" i="37"/>
  <c r="AU76" i="37"/>
  <c r="BE76" i="37"/>
  <c r="BF76" i="37"/>
  <c r="AR75" i="37"/>
  <c r="BB18" i="37"/>
  <c r="BB75" i="37"/>
  <c r="AS75" i="37"/>
  <c r="BC18" i="37"/>
  <c r="BC75" i="37"/>
  <c r="AT75" i="37"/>
  <c r="BD18" i="37"/>
  <c r="BD75" i="37"/>
  <c r="AU75" i="37"/>
  <c r="BE18" i="37"/>
  <c r="BE75" i="37"/>
  <c r="BF75" i="37"/>
  <c r="AR74" i="37"/>
  <c r="BB74" i="37"/>
  <c r="AS74" i="37"/>
  <c r="BC12" i="37"/>
  <c r="BC74" i="37"/>
  <c r="AT74" i="37"/>
  <c r="BD74" i="37"/>
  <c r="AU74" i="37"/>
  <c r="BE74" i="37"/>
  <c r="BF74" i="37"/>
  <c r="AR73" i="37"/>
  <c r="BB7" i="37"/>
  <c r="BB73" i="37"/>
  <c r="AS73" i="37"/>
  <c r="BC7" i="37"/>
  <c r="BC73" i="37"/>
  <c r="AT73" i="37"/>
  <c r="BD7" i="37"/>
  <c r="BD73" i="37"/>
  <c r="AU73" i="37"/>
  <c r="BE73" i="37"/>
  <c r="BF73" i="37"/>
  <c r="AR72" i="37"/>
  <c r="BB16" i="37"/>
  <c r="BB72" i="37"/>
  <c r="AS72" i="37"/>
  <c r="BC16" i="37"/>
  <c r="BC72" i="37"/>
  <c r="AT72" i="37"/>
  <c r="BD16" i="37"/>
  <c r="BD72" i="37"/>
  <c r="AU72" i="37"/>
  <c r="BE72" i="37"/>
  <c r="BF72" i="37"/>
  <c r="AR71" i="37"/>
  <c r="BB71" i="37"/>
  <c r="AS71" i="37"/>
  <c r="BC29" i="37"/>
  <c r="BC71" i="37"/>
  <c r="AT71" i="37"/>
  <c r="BD71" i="37"/>
  <c r="AU71" i="37"/>
  <c r="BE71" i="37"/>
  <c r="BF71" i="37"/>
  <c r="AR70" i="37"/>
  <c r="BB70" i="37"/>
  <c r="AS70" i="37"/>
  <c r="BC20" i="37"/>
  <c r="BC70" i="37"/>
  <c r="AT70" i="37"/>
  <c r="BD70" i="37"/>
  <c r="AU70" i="37"/>
  <c r="BE70" i="37"/>
  <c r="BF70" i="37"/>
  <c r="AR69" i="37"/>
  <c r="BB69" i="37"/>
  <c r="AS69" i="37"/>
  <c r="BC24" i="37"/>
  <c r="BC69" i="37"/>
  <c r="AT69" i="37"/>
  <c r="BD69" i="37"/>
  <c r="AU69" i="37"/>
  <c r="BE69" i="37"/>
  <c r="BF69" i="37"/>
  <c r="AR68" i="37"/>
  <c r="BB9" i="37"/>
  <c r="BB68" i="37"/>
  <c r="AS68" i="37"/>
  <c r="BC9" i="37"/>
  <c r="BC68" i="37"/>
  <c r="AT68" i="37"/>
  <c r="BD9" i="37"/>
  <c r="BD68" i="37"/>
  <c r="AU68" i="37"/>
  <c r="BE68" i="37"/>
  <c r="BF68" i="37"/>
  <c r="AR67" i="37"/>
  <c r="BB67" i="37"/>
  <c r="AS67" i="37"/>
  <c r="BC5" i="37"/>
  <c r="BC67" i="37"/>
  <c r="AT67" i="37"/>
  <c r="BD67" i="37"/>
  <c r="AU67" i="37"/>
  <c r="BE67" i="37"/>
  <c r="BF67" i="37"/>
  <c r="AR66" i="37"/>
  <c r="BB17" i="37"/>
  <c r="BB66" i="37"/>
  <c r="AS66" i="37"/>
  <c r="BC17" i="37"/>
  <c r="BC66" i="37"/>
  <c r="AT66" i="37"/>
  <c r="BD17" i="37"/>
  <c r="BD66" i="37"/>
  <c r="AU66" i="37"/>
  <c r="BE66" i="37"/>
  <c r="BF66" i="37"/>
  <c r="AR65" i="37"/>
  <c r="BB65" i="37"/>
  <c r="AS65" i="37"/>
  <c r="BC21" i="37"/>
  <c r="BC65" i="37"/>
  <c r="AT65" i="37"/>
  <c r="BD65" i="37"/>
  <c r="AU65" i="37"/>
  <c r="BE65" i="37"/>
  <c r="BF65" i="37"/>
  <c r="AR64" i="37"/>
  <c r="BB64" i="37"/>
  <c r="AS64" i="37"/>
  <c r="BC25" i="37"/>
  <c r="BC64" i="37"/>
  <c r="AT64" i="37"/>
  <c r="BD64" i="37"/>
  <c r="AU64" i="37"/>
  <c r="BE64" i="37"/>
  <c r="BF64" i="37"/>
  <c r="AR62" i="37"/>
  <c r="BB62" i="37"/>
  <c r="AS62" i="37"/>
  <c r="BC62" i="37"/>
  <c r="AT62" i="37"/>
  <c r="BD62" i="37"/>
  <c r="AU62" i="37"/>
  <c r="BE62" i="37"/>
  <c r="BF62" i="37"/>
  <c r="AR61" i="37"/>
  <c r="BB61" i="37"/>
  <c r="AS61" i="37"/>
  <c r="BC61" i="37"/>
  <c r="AT61" i="37"/>
  <c r="BD61" i="37"/>
  <c r="AU61" i="37"/>
  <c r="BE61" i="37"/>
  <c r="BF61" i="37"/>
  <c r="AR60" i="37"/>
  <c r="BB60" i="37"/>
  <c r="AS60" i="37"/>
  <c r="BC60" i="37"/>
  <c r="AT60" i="37"/>
  <c r="BD60" i="37"/>
  <c r="AU60" i="37"/>
  <c r="BE60" i="37"/>
  <c r="BF60" i="37"/>
  <c r="AR59" i="37"/>
  <c r="BB59" i="37"/>
  <c r="AS59" i="37"/>
  <c r="BC59" i="37"/>
  <c r="AT59" i="37"/>
  <c r="BD59" i="37"/>
  <c r="AU59" i="37"/>
  <c r="BE59" i="37"/>
  <c r="BF59" i="37"/>
  <c r="AR58" i="37"/>
  <c r="BB58" i="37"/>
  <c r="AS58" i="37"/>
  <c r="BC58" i="37"/>
  <c r="AT58" i="37"/>
  <c r="BD58" i="37"/>
  <c r="AU58" i="37"/>
  <c r="BE58" i="37"/>
  <c r="BF58" i="37"/>
  <c r="AR57" i="37"/>
  <c r="BB57" i="37"/>
  <c r="AS57" i="37"/>
  <c r="BC57" i="37"/>
  <c r="AT57" i="37"/>
  <c r="BD57" i="37"/>
  <c r="AU57" i="37"/>
  <c r="BE57" i="37"/>
  <c r="BF57" i="37"/>
  <c r="AR56" i="37"/>
  <c r="BB56" i="37"/>
  <c r="AS56" i="37"/>
  <c r="BC56" i="37"/>
  <c r="AT56" i="37"/>
  <c r="BD56" i="37"/>
  <c r="AU56" i="37"/>
  <c r="BE56" i="37"/>
  <c r="BF56" i="37"/>
  <c r="AR55" i="37"/>
  <c r="BB55" i="37"/>
  <c r="AS55" i="37"/>
  <c r="BC55" i="37"/>
  <c r="AT55" i="37"/>
  <c r="BD55" i="37"/>
  <c r="AU55" i="37"/>
  <c r="BE55" i="37"/>
  <c r="BF55" i="37"/>
  <c r="AR54" i="37"/>
  <c r="BB54" i="37"/>
  <c r="AS54" i="37"/>
  <c r="BC54" i="37"/>
  <c r="AT54" i="37"/>
  <c r="BD54" i="37"/>
  <c r="AU54" i="37"/>
  <c r="BE54" i="37"/>
  <c r="BF54" i="37"/>
  <c r="AR53" i="37"/>
  <c r="BB53" i="37"/>
  <c r="AS53" i="37"/>
  <c r="BC53" i="37"/>
  <c r="AT53" i="37"/>
  <c r="BD53" i="37"/>
  <c r="AU53" i="37"/>
  <c r="BE53" i="37"/>
  <c r="BF53" i="37"/>
  <c r="AR52" i="37"/>
  <c r="BB52" i="37"/>
  <c r="AS52" i="37"/>
  <c r="BC52" i="37"/>
  <c r="AT52" i="37"/>
  <c r="BD52" i="37"/>
  <c r="AU52" i="37"/>
  <c r="BE52" i="37"/>
  <c r="BF52" i="37"/>
  <c r="AR51" i="37"/>
  <c r="BB51" i="37"/>
  <c r="AS51" i="37"/>
  <c r="BC51" i="37"/>
  <c r="AT51" i="37"/>
  <c r="BD51" i="37"/>
  <c r="AU51" i="37"/>
  <c r="BE51" i="37"/>
  <c r="BF51" i="37"/>
  <c r="AR50" i="37"/>
  <c r="BB50" i="37"/>
  <c r="AS50" i="37"/>
  <c r="BC50" i="37"/>
  <c r="AT50" i="37"/>
  <c r="BD50" i="37"/>
  <c r="AU50" i="37"/>
  <c r="BE50" i="37"/>
  <c r="BF50" i="37"/>
  <c r="AR49" i="37"/>
  <c r="BB23" i="37"/>
  <c r="BB49" i="37"/>
  <c r="AS49" i="37"/>
  <c r="BC23" i="37"/>
  <c r="BC49" i="37"/>
  <c r="AT49" i="37"/>
  <c r="BD23" i="37"/>
  <c r="BD49" i="37"/>
  <c r="AU49" i="37"/>
  <c r="BE49" i="37"/>
  <c r="BF49" i="37"/>
  <c r="AR47" i="37"/>
  <c r="BB47" i="37"/>
  <c r="AS47" i="37"/>
  <c r="BC6" i="37"/>
  <c r="BC47" i="37"/>
  <c r="AT47" i="37"/>
  <c r="BD47" i="37"/>
  <c r="AU47" i="37"/>
  <c r="BE47" i="37"/>
  <c r="BF47" i="37"/>
  <c r="AR46" i="37"/>
  <c r="BB10" i="37"/>
  <c r="BB46" i="37"/>
  <c r="AS46" i="37"/>
  <c r="BC10" i="37"/>
  <c r="BC46" i="37"/>
  <c r="AT46" i="37"/>
  <c r="BD10" i="37"/>
  <c r="BD46" i="37"/>
  <c r="AU46" i="37"/>
  <c r="BE10" i="37"/>
  <c r="BE46" i="37"/>
  <c r="BF46" i="37"/>
  <c r="AR33" i="37"/>
  <c r="BB13" i="37"/>
  <c r="BB33" i="37"/>
  <c r="AS33" i="37"/>
  <c r="BC13" i="37"/>
  <c r="BC33" i="37"/>
  <c r="AT33" i="37"/>
  <c r="BD13" i="37"/>
  <c r="BD33" i="37"/>
  <c r="AU33" i="37"/>
  <c r="BE33" i="37"/>
  <c r="BF33" i="37"/>
  <c r="AR34" i="37"/>
  <c r="BB14" i="37"/>
  <c r="BB34" i="37"/>
  <c r="AS34" i="37"/>
  <c r="BC14" i="37"/>
  <c r="BC34" i="37"/>
  <c r="AT34" i="37"/>
  <c r="BD14" i="37"/>
  <c r="BD34" i="37"/>
  <c r="AU34" i="37"/>
  <c r="BE34" i="37"/>
  <c r="BF34" i="37"/>
  <c r="AR35" i="37"/>
  <c r="BB30" i="37"/>
  <c r="BB35" i="37"/>
  <c r="AS35" i="37"/>
  <c r="BC30" i="37"/>
  <c r="BC35" i="37"/>
  <c r="AT35" i="37"/>
  <c r="BD30" i="37"/>
  <c r="BD35" i="37"/>
  <c r="AU35" i="37"/>
  <c r="BE30" i="37"/>
  <c r="BE35" i="37"/>
  <c r="BF35" i="37"/>
  <c r="AR36" i="37"/>
  <c r="BB26" i="37"/>
  <c r="BB36" i="37"/>
  <c r="AS36" i="37"/>
  <c r="BC26" i="37"/>
  <c r="BC36" i="37"/>
  <c r="AT36" i="37"/>
  <c r="BD26" i="37"/>
  <c r="BD36" i="37"/>
  <c r="AU36" i="37"/>
  <c r="BE36" i="37"/>
  <c r="BF36" i="37"/>
  <c r="AR37" i="37"/>
  <c r="BB22" i="37"/>
  <c r="BB37" i="37"/>
  <c r="AS37" i="37"/>
  <c r="BC22" i="37"/>
  <c r="BC37" i="37"/>
  <c r="AT37" i="37"/>
  <c r="BD22" i="37"/>
  <c r="BD37" i="37"/>
  <c r="AU37" i="37"/>
  <c r="BE37" i="37"/>
  <c r="BF37" i="37"/>
  <c r="AR38" i="37"/>
  <c r="BB2" i="37"/>
  <c r="BB38" i="37"/>
  <c r="AS38" i="37"/>
  <c r="BC2" i="37"/>
  <c r="BC38" i="37"/>
  <c r="AT38" i="37"/>
  <c r="BD2" i="37"/>
  <c r="BD38" i="37"/>
  <c r="AU38" i="37"/>
  <c r="BE38" i="37"/>
  <c r="BF38" i="37"/>
  <c r="AR39" i="37"/>
  <c r="BB39" i="37"/>
  <c r="AS39" i="37"/>
  <c r="BC11" i="37"/>
  <c r="BC39" i="37"/>
  <c r="AT39" i="37"/>
  <c r="BD39" i="37"/>
  <c r="AU39" i="37"/>
  <c r="BE39" i="37"/>
  <c r="BF39" i="37"/>
  <c r="AR40" i="37"/>
  <c r="BB40" i="37"/>
  <c r="AS40" i="37"/>
  <c r="BC4" i="37"/>
  <c r="BC40" i="37"/>
  <c r="AT40" i="37"/>
  <c r="BD40" i="37"/>
  <c r="AU40" i="37"/>
  <c r="BE40" i="37"/>
  <c r="BF40" i="37"/>
  <c r="AR41" i="37"/>
  <c r="BB8" i="37"/>
  <c r="BB41" i="37"/>
  <c r="AS41" i="37"/>
  <c r="BC8" i="37"/>
  <c r="BC41" i="37"/>
  <c r="AT41" i="37"/>
  <c r="BD8" i="37"/>
  <c r="BD41" i="37"/>
  <c r="AU41" i="37"/>
  <c r="BE41" i="37"/>
  <c r="BF41" i="37"/>
  <c r="AR42" i="37"/>
  <c r="BB42" i="37"/>
  <c r="AS42" i="37"/>
  <c r="BC19" i="37"/>
  <c r="BC42" i="37"/>
  <c r="AT42" i="37"/>
  <c r="BD42" i="37"/>
  <c r="AU42" i="37"/>
  <c r="BE42" i="37"/>
  <c r="BF42" i="37"/>
  <c r="AR43" i="37"/>
  <c r="BB43" i="37"/>
  <c r="AS43" i="37"/>
  <c r="BC28" i="37"/>
  <c r="BC43" i="37"/>
  <c r="AT43" i="37"/>
  <c r="BD43" i="37"/>
  <c r="AU43" i="37"/>
  <c r="BE43" i="37"/>
  <c r="BF43" i="37"/>
  <c r="AR44" i="37"/>
  <c r="BB15" i="37"/>
  <c r="BB44" i="37"/>
  <c r="AS44" i="37"/>
  <c r="BC15" i="37"/>
  <c r="BC44" i="37"/>
  <c r="AT44" i="37"/>
  <c r="BD15" i="37"/>
  <c r="BD44" i="37"/>
  <c r="AU44" i="37"/>
  <c r="BE44" i="37"/>
  <c r="BF44" i="37"/>
  <c r="AR32" i="37"/>
  <c r="BB3" i="37"/>
  <c r="BB32" i="37"/>
  <c r="AS32" i="37"/>
  <c r="BC3" i="37"/>
  <c r="BC32" i="37"/>
  <c r="AT32" i="37"/>
  <c r="BD3" i="37"/>
  <c r="BD32" i="37"/>
  <c r="AU32" i="37"/>
  <c r="BE3" i="37"/>
  <c r="BE32" i="37"/>
  <c r="BF32" i="37"/>
  <c r="AJ30" i="37"/>
  <c r="AI30" i="37"/>
  <c r="AH30" i="37"/>
  <c r="AG30" i="37"/>
  <c r="AF30" i="37"/>
  <c r="T30" i="37"/>
  <c r="S30" i="37"/>
  <c r="R30" i="37"/>
  <c r="BE29" i="37"/>
  <c r="BD29" i="37"/>
  <c r="AJ29" i="37"/>
  <c r="AI29" i="37"/>
  <c r="AH29" i="37"/>
  <c r="AG29" i="37"/>
  <c r="AF29" i="37"/>
  <c r="T29" i="37"/>
  <c r="S29" i="37"/>
  <c r="R29" i="37"/>
  <c r="BE28" i="37"/>
  <c r="BD28" i="37"/>
  <c r="AJ28" i="37"/>
  <c r="AI28" i="37"/>
  <c r="AH28" i="37"/>
  <c r="AG28" i="37"/>
  <c r="AF28" i="37"/>
  <c r="T28" i="37"/>
  <c r="S28" i="37"/>
  <c r="R28" i="37"/>
  <c r="BE27" i="37"/>
  <c r="BD27" i="37"/>
  <c r="AJ27" i="37"/>
  <c r="AI27" i="37"/>
  <c r="AH27" i="37"/>
  <c r="AG27" i="37"/>
  <c r="AF27" i="37"/>
  <c r="T27" i="37"/>
  <c r="S27" i="37"/>
  <c r="R27" i="37"/>
  <c r="BE26" i="37"/>
  <c r="AJ26" i="37"/>
  <c r="AI26" i="37"/>
  <c r="AH26" i="37"/>
  <c r="AG26" i="37"/>
  <c r="AF26" i="37"/>
  <c r="T26" i="37"/>
  <c r="S26" i="37"/>
  <c r="R26" i="37"/>
  <c r="BE25" i="37"/>
  <c r="BD25" i="37"/>
  <c r="AJ25" i="37"/>
  <c r="AI25" i="37"/>
  <c r="AH25" i="37"/>
  <c r="AG25" i="37"/>
  <c r="AF25" i="37"/>
  <c r="T25" i="37"/>
  <c r="S25" i="37"/>
  <c r="R25" i="37"/>
  <c r="BE24" i="37"/>
  <c r="BD24" i="37"/>
  <c r="AJ24" i="37"/>
  <c r="AI24" i="37"/>
  <c r="AH24" i="37"/>
  <c r="AG24" i="37"/>
  <c r="AF24" i="37"/>
  <c r="T24" i="37"/>
  <c r="S24" i="37"/>
  <c r="R24" i="37"/>
  <c r="BE23" i="37"/>
  <c r="AJ23" i="37"/>
  <c r="AI23" i="37"/>
  <c r="AH23" i="37"/>
  <c r="AG23" i="37"/>
  <c r="AF23" i="37"/>
  <c r="T23" i="37"/>
  <c r="S23" i="37"/>
  <c r="R23" i="37"/>
  <c r="BE22" i="37"/>
  <c r="AJ22" i="37"/>
  <c r="AI22" i="37"/>
  <c r="AH22" i="37"/>
  <c r="AG22" i="37"/>
  <c r="AF22" i="37"/>
  <c r="T22" i="37"/>
  <c r="S22" i="37"/>
  <c r="R22" i="37"/>
  <c r="BE21" i="37"/>
  <c r="BD21" i="37"/>
  <c r="AJ21" i="37"/>
  <c r="AI21" i="37"/>
  <c r="AH21" i="37"/>
  <c r="AG21" i="37"/>
  <c r="AF21" i="37"/>
  <c r="T21" i="37"/>
  <c r="S21" i="37"/>
  <c r="R21" i="37"/>
  <c r="BE20" i="37"/>
  <c r="BD20" i="37"/>
  <c r="AJ20" i="37"/>
  <c r="AI20" i="37"/>
  <c r="AH20" i="37"/>
  <c r="AG20" i="37"/>
  <c r="AF20" i="37"/>
  <c r="T20" i="37"/>
  <c r="S20" i="37"/>
  <c r="R20" i="37"/>
  <c r="BE19" i="37"/>
  <c r="BD19" i="37"/>
  <c r="AJ19" i="37"/>
  <c r="AI19" i="37"/>
  <c r="AH19" i="37"/>
  <c r="AG19" i="37"/>
  <c r="AF19" i="37"/>
  <c r="T19" i="37"/>
  <c r="S19" i="37"/>
  <c r="R19" i="37"/>
  <c r="AJ18" i="37"/>
  <c r="AI18" i="37"/>
  <c r="AH18" i="37"/>
  <c r="AG18" i="37"/>
  <c r="AF18" i="37"/>
  <c r="T18" i="37"/>
  <c r="S18" i="37"/>
  <c r="R18" i="37"/>
  <c r="BE17" i="37"/>
  <c r="AJ17" i="37"/>
  <c r="AI17" i="37"/>
  <c r="AH17" i="37"/>
  <c r="AG17" i="37"/>
  <c r="AF17" i="37"/>
  <c r="T17" i="37"/>
  <c r="S17" i="37"/>
  <c r="R17" i="37"/>
  <c r="BE16" i="37"/>
  <c r="AJ16" i="37"/>
  <c r="AI16" i="37"/>
  <c r="AH16" i="37"/>
  <c r="AG16" i="37"/>
  <c r="AF16" i="37"/>
  <c r="T16" i="37"/>
  <c r="S16" i="37"/>
  <c r="R16" i="37"/>
  <c r="BE15" i="37"/>
  <c r="AJ15" i="37"/>
  <c r="AI15" i="37"/>
  <c r="AH15" i="37"/>
  <c r="AG15" i="37"/>
  <c r="AF15" i="37"/>
  <c r="T15" i="37"/>
  <c r="S15" i="37"/>
  <c r="R15" i="37"/>
  <c r="BE14" i="37"/>
  <c r="AJ14" i="37"/>
  <c r="AI14" i="37"/>
  <c r="AH14" i="37"/>
  <c r="AG14" i="37"/>
  <c r="AF14" i="37"/>
  <c r="T14" i="37"/>
  <c r="S14" i="37"/>
  <c r="R14" i="37"/>
  <c r="BE13" i="37"/>
  <c r="AJ13" i="37"/>
  <c r="AI13" i="37"/>
  <c r="AH13" i="37"/>
  <c r="AG13" i="37"/>
  <c r="AF13" i="37"/>
  <c r="T13" i="37"/>
  <c r="S13" i="37"/>
  <c r="R13" i="37"/>
  <c r="BE12" i="37"/>
  <c r="BD12" i="37"/>
  <c r="AJ12" i="37"/>
  <c r="AI12" i="37"/>
  <c r="AH12" i="37"/>
  <c r="AG12" i="37"/>
  <c r="AF12" i="37"/>
  <c r="T12" i="37"/>
  <c r="S12" i="37"/>
  <c r="R12" i="37"/>
  <c r="BE11" i="37"/>
  <c r="BD11" i="37"/>
  <c r="AJ11" i="37"/>
  <c r="AI11" i="37"/>
  <c r="AH11" i="37"/>
  <c r="AG11" i="37"/>
  <c r="AF11" i="37"/>
  <c r="T11" i="37"/>
  <c r="S11" i="37"/>
  <c r="R11" i="37"/>
  <c r="AJ10" i="37"/>
  <c r="AI10" i="37"/>
  <c r="AH10" i="37"/>
  <c r="AG10" i="37"/>
  <c r="AF10" i="37"/>
  <c r="T10" i="37"/>
  <c r="S10" i="37"/>
  <c r="R10" i="37"/>
  <c r="BE9" i="37"/>
  <c r="AJ9" i="37"/>
  <c r="AI9" i="37"/>
  <c r="AH9" i="37"/>
  <c r="AG9" i="37"/>
  <c r="AF9" i="37"/>
  <c r="T9" i="37"/>
  <c r="S9" i="37"/>
  <c r="R9" i="37"/>
  <c r="BE8" i="37"/>
  <c r="AJ8" i="37"/>
  <c r="AI8" i="37"/>
  <c r="AH8" i="37"/>
  <c r="AG8" i="37"/>
  <c r="AF8" i="37"/>
  <c r="T8" i="37"/>
  <c r="S8" i="37"/>
  <c r="R8" i="37"/>
  <c r="BE7" i="37"/>
  <c r="AJ7" i="37"/>
  <c r="AI7" i="37"/>
  <c r="AH7" i="37"/>
  <c r="AG7" i="37"/>
  <c r="AF7" i="37"/>
  <c r="T7" i="37"/>
  <c r="S7" i="37"/>
  <c r="R7" i="37"/>
  <c r="BE6" i="37"/>
  <c r="BD6" i="37"/>
  <c r="AJ6" i="37"/>
  <c r="AI6" i="37"/>
  <c r="AH6" i="37"/>
  <c r="AG6" i="37"/>
  <c r="AF6" i="37"/>
  <c r="T6" i="37"/>
  <c r="S6" i="37"/>
  <c r="R6" i="37"/>
  <c r="BE5" i="37"/>
  <c r="BD5" i="37"/>
  <c r="AJ5" i="37"/>
  <c r="AI5" i="37"/>
  <c r="AH5" i="37"/>
  <c r="AG5" i="37"/>
  <c r="AF5" i="37"/>
  <c r="T5" i="37"/>
  <c r="S5" i="37"/>
  <c r="R5" i="37"/>
  <c r="BE4" i="37"/>
  <c r="BD4" i="37"/>
  <c r="AJ4" i="37"/>
  <c r="AI4" i="37"/>
  <c r="AH4" i="37"/>
  <c r="AG4" i="37"/>
  <c r="AF4" i="37"/>
  <c r="T4" i="37"/>
  <c r="S4" i="37"/>
  <c r="R4" i="37"/>
  <c r="AJ3" i="37"/>
  <c r="AI3" i="37"/>
  <c r="AH3" i="37"/>
  <c r="AG3" i="37"/>
  <c r="AF3" i="37"/>
  <c r="T3" i="37"/>
  <c r="S3" i="37"/>
  <c r="R3" i="37"/>
  <c r="BE2" i="37"/>
  <c r="AJ2" i="37"/>
  <c r="AI2" i="37"/>
  <c r="AH2" i="37"/>
  <c r="AG2" i="37"/>
  <c r="AF2" i="37"/>
  <c r="T2" i="37"/>
  <c r="S2" i="37"/>
  <c r="R2" i="37"/>
  <c r="EF30" i="18"/>
  <c r="EE30" i="18"/>
  <c r="ED30" i="18"/>
  <c r="EC30" i="18"/>
  <c r="EB30" i="18"/>
  <c r="EA30" i="18"/>
  <c r="DZ30" i="18"/>
  <c r="DY30" i="18"/>
  <c r="DX30" i="18"/>
  <c r="DW30" i="18"/>
  <c r="DV30" i="18"/>
  <c r="DS30" i="18"/>
  <c r="CJ30" i="18"/>
  <c r="CI30" i="18"/>
  <c r="CH30" i="18"/>
  <c r="CG30" i="18"/>
  <c r="CF30" i="18"/>
  <c r="CE30" i="18"/>
  <c r="CD30" i="18"/>
  <c r="CC30" i="18"/>
  <c r="CB30" i="18"/>
  <c r="CA30" i="18"/>
  <c r="BZ30" i="18"/>
  <c r="BX30" i="18"/>
  <c r="EF29" i="18"/>
  <c r="EE29" i="18"/>
  <c r="ED29" i="18"/>
  <c r="EC29" i="18"/>
  <c r="EB29" i="18"/>
  <c r="EA29" i="18"/>
  <c r="DZ29" i="18"/>
  <c r="DY29" i="18"/>
  <c r="DX29" i="18"/>
  <c r="DW29" i="18"/>
  <c r="DV29" i="18"/>
  <c r="DS29" i="18"/>
  <c r="CJ29" i="18"/>
  <c r="CI29" i="18"/>
  <c r="CH29" i="18"/>
  <c r="CG29" i="18"/>
  <c r="CF29" i="18"/>
  <c r="CE29" i="18"/>
  <c r="CD29" i="18"/>
  <c r="CC29" i="18"/>
  <c r="CB29" i="18"/>
  <c r="CA29" i="18"/>
  <c r="BZ29" i="18"/>
  <c r="BX29" i="18"/>
  <c r="EF28" i="18"/>
  <c r="EE28" i="18"/>
  <c r="ED28" i="18"/>
  <c r="EC28" i="18"/>
  <c r="EB28" i="18"/>
  <c r="EA28" i="18"/>
  <c r="DZ28" i="18"/>
  <c r="DY28" i="18"/>
  <c r="DX28" i="18"/>
  <c r="DW28" i="18"/>
  <c r="DV28" i="18"/>
  <c r="DS28" i="18"/>
  <c r="CJ28" i="18"/>
  <c r="CI28" i="18"/>
  <c r="CH28" i="18"/>
  <c r="CG28" i="18"/>
  <c r="CF28" i="18"/>
  <c r="CE28" i="18"/>
  <c r="CD28" i="18"/>
  <c r="CC28" i="18"/>
  <c r="CB28" i="18"/>
  <c r="CA28" i="18"/>
  <c r="BZ28" i="18"/>
  <c r="BX28" i="18"/>
  <c r="EF27" i="18"/>
  <c r="EE27" i="18"/>
  <c r="ED27" i="18"/>
  <c r="EC27" i="18"/>
  <c r="EB27" i="18"/>
  <c r="EA27" i="18"/>
  <c r="DZ27" i="18"/>
  <c r="DY27" i="18"/>
  <c r="DX27" i="18"/>
  <c r="DW27" i="18"/>
  <c r="DV27" i="18"/>
  <c r="DS27" i="18"/>
  <c r="CJ27" i="18"/>
  <c r="CI27" i="18"/>
  <c r="CH27" i="18"/>
  <c r="CG27" i="18"/>
  <c r="CF27" i="18"/>
  <c r="CE27" i="18"/>
  <c r="CD27" i="18"/>
  <c r="CC27" i="18"/>
  <c r="CB27" i="18"/>
  <c r="CA27" i="18"/>
  <c r="BZ27" i="18"/>
  <c r="BX27" i="18"/>
  <c r="EF26" i="18"/>
  <c r="EE26" i="18"/>
  <c r="ED26" i="18"/>
  <c r="EC26" i="18"/>
  <c r="EB26" i="18"/>
  <c r="EA26" i="18"/>
  <c r="DZ26" i="18"/>
  <c r="DY26" i="18"/>
  <c r="DX26" i="18"/>
  <c r="DW26" i="18"/>
  <c r="DV26" i="18"/>
  <c r="DS26" i="18"/>
  <c r="CJ26" i="18"/>
  <c r="CI26" i="18"/>
  <c r="CH26" i="18"/>
  <c r="CG26" i="18"/>
  <c r="CF26" i="18"/>
  <c r="CE26" i="18"/>
  <c r="CD26" i="18"/>
  <c r="CC26" i="18"/>
  <c r="CB26" i="18"/>
  <c r="CA26" i="18"/>
  <c r="BZ26" i="18"/>
  <c r="BX26" i="18"/>
  <c r="EF25" i="18"/>
  <c r="EE25" i="18"/>
  <c r="ED25" i="18"/>
  <c r="EC25" i="18"/>
  <c r="EB25" i="18"/>
  <c r="EA25" i="18"/>
  <c r="DZ25" i="18"/>
  <c r="DY25" i="18"/>
  <c r="DX25" i="18"/>
  <c r="DW25" i="18"/>
  <c r="DV25" i="18"/>
  <c r="DS25" i="18"/>
  <c r="CJ25" i="18"/>
  <c r="CI25" i="18"/>
  <c r="CH25" i="18"/>
  <c r="CG25" i="18"/>
  <c r="CF25" i="18"/>
  <c r="CE25" i="18"/>
  <c r="CD25" i="18"/>
  <c r="CC25" i="18"/>
  <c r="CB25" i="18"/>
  <c r="CA25" i="18"/>
  <c r="BZ25" i="18"/>
  <c r="BX25" i="18"/>
  <c r="EF24" i="18"/>
  <c r="EE24" i="18"/>
  <c r="ED24" i="18"/>
  <c r="EC24" i="18"/>
  <c r="EB24" i="18"/>
  <c r="EA24" i="18"/>
  <c r="DZ24" i="18"/>
  <c r="DY24" i="18"/>
  <c r="DX24" i="18"/>
  <c r="DW24" i="18"/>
  <c r="DV24" i="18"/>
  <c r="DS24" i="18"/>
  <c r="CJ24" i="18"/>
  <c r="CI24" i="18"/>
  <c r="CH24" i="18"/>
  <c r="CG24" i="18"/>
  <c r="CF24" i="18"/>
  <c r="CE24" i="18"/>
  <c r="CD24" i="18"/>
  <c r="CC24" i="18"/>
  <c r="CB24" i="18"/>
  <c r="CA24" i="18"/>
  <c r="BZ24" i="18"/>
  <c r="BX24" i="18"/>
  <c r="EF23" i="18"/>
  <c r="EE23" i="18"/>
  <c r="ED23" i="18"/>
  <c r="EC23" i="18"/>
  <c r="EB23" i="18"/>
  <c r="EA23" i="18"/>
  <c r="DZ23" i="18"/>
  <c r="DY23" i="18"/>
  <c r="DX23" i="18"/>
  <c r="DW23" i="18"/>
  <c r="DV23" i="18"/>
  <c r="DS23" i="18"/>
  <c r="CJ23" i="18"/>
  <c r="CI23" i="18"/>
  <c r="CH23" i="18"/>
  <c r="CG23" i="18"/>
  <c r="CF23" i="18"/>
  <c r="CE23" i="18"/>
  <c r="CD23" i="18"/>
  <c r="CC23" i="18"/>
  <c r="CB23" i="18"/>
  <c r="CA23" i="18"/>
  <c r="BZ23" i="18"/>
  <c r="BX23" i="18"/>
  <c r="EF22" i="18"/>
  <c r="EE22" i="18"/>
  <c r="ED22" i="18"/>
  <c r="EC22" i="18"/>
  <c r="EB22" i="18"/>
  <c r="EA22" i="18"/>
  <c r="DZ22" i="18"/>
  <c r="DY22" i="18"/>
  <c r="DX22" i="18"/>
  <c r="DW22" i="18"/>
  <c r="DV22" i="18"/>
  <c r="DS22" i="18"/>
  <c r="CJ22" i="18"/>
  <c r="CI22" i="18"/>
  <c r="CH22" i="18"/>
  <c r="CG22" i="18"/>
  <c r="CF22" i="18"/>
  <c r="CE22" i="18"/>
  <c r="CD22" i="18"/>
  <c r="CC22" i="18"/>
  <c r="CB22" i="18"/>
  <c r="CA22" i="18"/>
  <c r="BZ22" i="18"/>
  <c r="BX22" i="18"/>
  <c r="EF21" i="18"/>
  <c r="EE21" i="18"/>
  <c r="ED21" i="18"/>
  <c r="EC21" i="18"/>
  <c r="EB21" i="18"/>
  <c r="EA21" i="18"/>
  <c r="DZ21" i="18"/>
  <c r="DY21" i="18"/>
  <c r="DX21" i="18"/>
  <c r="DW21" i="18"/>
  <c r="DV21" i="18"/>
  <c r="DS21" i="18"/>
  <c r="CJ21" i="18"/>
  <c r="CI21" i="18"/>
  <c r="CH21" i="18"/>
  <c r="CG21" i="18"/>
  <c r="CF21" i="18"/>
  <c r="CE21" i="18"/>
  <c r="CD21" i="18"/>
  <c r="CC21" i="18"/>
  <c r="CB21" i="18"/>
  <c r="CA21" i="18"/>
  <c r="BZ21" i="18"/>
  <c r="BX21" i="18"/>
  <c r="EF20" i="18"/>
  <c r="EE20" i="18"/>
  <c r="ED20" i="18"/>
  <c r="EC20" i="18"/>
  <c r="EB20" i="18"/>
  <c r="EA20" i="18"/>
  <c r="DZ20" i="18"/>
  <c r="DY20" i="18"/>
  <c r="DX20" i="18"/>
  <c r="DW20" i="18"/>
  <c r="DV20" i="18"/>
  <c r="DS20" i="18"/>
  <c r="CJ20" i="18"/>
  <c r="CI20" i="18"/>
  <c r="CH20" i="18"/>
  <c r="CG20" i="18"/>
  <c r="CF20" i="18"/>
  <c r="CE20" i="18"/>
  <c r="CD20" i="18"/>
  <c r="CC20" i="18"/>
  <c r="CB20" i="18"/>
  <c r="CA20" i="18"/>
  <c r="BZ20" i="18"/>
  <c r="BX20" i="18"/>
  <c r="EF19" i="18"/>
  <c r="EE19" i="18"/>
  <c r="ED19" i="18"/>
  <c r="EC19" i="18"/>
  <c r="EB19" i="18"/>
  <c r="EA19" i="18"/>
  <c r="DZ19" i="18"/>
  <c r="DY19" i="18"/>
  <c r="DX19" i="18"/>
  <c r="DW19" i="18"/>
  <c r="DV19" i="18"/>
  <c r="DS19" i="18"/>
  <c r="CJ19" i="18"/>
  <c r="CI19" i="18"/>
  <c r="CH19" i="18"/>
  <c r="CG19" i="18"/>
  <c r="CF19" i="18"/>
  <c r="CE19" i="18"/>
  <c r="CD19" i="18"/>
  <c r="CC19" i="18"/>
  <c r="CB19" i="18"/>
  <c r="CA19" i="18"/>
  <c r="BZ19" i="18"/>
  <c r="BX19" i="18"/>
  <c r="EF18" i="18"/>
  <c r="EE18" i="18"/>
  <c r="ED18" i="18"/>
  <c r="EC18" i="18"/>
  <c r="EB18" i="18"/>
  <c r="EA18" i="18"/>
  <c r="DZ18" i="18"/>
  <c r="DY18" i="18"/>
  <c r="DX18" i="18"/>
  <c r="DW18" i="18"/>
  <c r="DV18" i="18"/>
  <c r="DS18" i="18"/>
  <c r="CJ18" i="18"/>
  <c r="CI18" i="18"/>
  <c r="CH18" i="18"/>
  <c r="CG18" i="18"/>
  <c r="CF18" i="18"/>
  <c r="CE18" i="18"/>
  <c r="CD18" i="18"/>
  <c r="CC18" i="18"/>
  <c r="CB18" i="18"/>
  <c r="CA18" i="18"/>
  <c r="BZ18" i="18"/>
  <c r="BX18" i="18"/>
  <c r="EF17" i="18"/>
  <c r="EE17" i="18"/>
  <c r="ED17" i="18"/>
  <c r="EC17" i="18"/>
  <c r="EB17" i="18"/>
  <c r="EA17" i="18"/>
  <c r="DZ17" i="18"/>
  <c r="DY17" i="18"/>
  <c r="DX17" i="18"/>
  <c r="DW17" i="18"/>
  <c r="DV17" i="18"/>
  <c r="DS17" i="18"/>
  <c r="CJ17" i="18"/>
  <c r="CI17" i="18"/>
  <c r="CH17" i="18"/>
  <c r="CG17" i="18"/>
  <c r="CF17" i="18"/>
  <c r="CE17" i="18"/>
  <c r="CD17" i="18"/>
  <c r="CC17" i="18"/>
  <c r="CB17" i="18"/>
  <c r="CA17" i="18"/>
  <c r="BZ17" i="18"/>
  <c r="BX17" i="18"/>
  <c r="EF16" i="18"/>
  <c r="EE16" i="18"/>
  <c r="ED16" i="18"/>
  <c r="EC16" i="18"/>
  <c r="EB16" i="18"/>
  <c r="EA16" i="18"/>
  <c r="DZ16" i="18"/>
  <c r="DY16" i="18"/>
  <c r="DX16" i="18"/>
  <c r="DW16" i="18"/>
  <c r="DV16" i="18"/>
  <c r="DS16" i="18"/>
  <c r="CJ16" i="18"/>
  <c r="CI16" i="18"/>
  <c r="CH16" i="18"/>
  <c r="CG16" i="18"/>
  <c r="CF16" i="18"/>
  <c r="CE16" i="18"/>
  <c r="CD16" i="18"/>
  <c r="CC16" i="18"/>
  <c r="CB16" i="18"/>
  <c r="CA16" i="18"/>
  <c r="BZ16" i="18"/>
  <c r="BX16" i="18"/>
  <c r="EF15" i="18"/>
  <c r="EE15" i="18"/>
  <c r="ED15" i="18"/>
  <c r="EC15" i="18"/>
  <c r="EB15" i="18"/>
  <c r="EA15" i="18"/>
  <c r="DZ15" i="18"/>
  <c r="DY15" i="18"/>
  <c r="DX15" i="18"/>
  <c r="DW15" i="18"/>
  <c r="DV15" i="18"/>
  <c r="DS15" i="18"/>
  <c r="CJ15" i="18"/>
  <c r="CI15" i="18"/>
  <c r="CH15" i="18"/>
  <c r="CG15" i="18"/>
  <c r="CF15" i="18"/>
  <c r="CE15" i="18"/>
  <c r="CD15" i="18"/>
  <c r="CC15" i="18"/>
  <c r="CB15" i="18"/>
  <c r="CA15" i="18"/>
  <c r="BZ15" i="18"/>
  <c r="BX15" i="18"/>
  <c r="EF14" i="18"/>
  <c r="EE14" i="18"/>
  <c r="ED14" i="18"/>
  <c r="EC14" i="18"/>
  <c r="EB14" i="18"/>
  <c r="EA14" i="18"/>
  <c r="DZ14" i="18"/>
  <c r="DY14" i="18"/>
  <c r="DX14" i="18"/>
  <c r="DW14" i="18"/>
  <c r="DV14" i="18"/>
  <c r="DS14" i="18"/>
  <c r="CJ14" i="18"/>
  <c r="CI14" i="18"/>
  <c r="CH14" i="18"/>
  <c r="CG14" i="18"/>
  <c r="CF14" i="18"/>
  <c r="CE14" i="18"/>
  <c r="CD14" i="18"/>
  <c r="CC14" i="18"/>
  <c r="CB14" i="18"/>
  <c r="CA14" i="18"/>
  <c r="BZ14" i="18"/>
  <c r="BX14" i="18"/>
  <c r="EF13" i="18"/>
  <c r="EE13" i="18"/>
  <c r="ED13" i="18"/>
  <c r="EC13" i="18"/>
  <c r="EB13" i="18"/>
  <c r="EA13" i="18"/>
  <c r="DZ13" i="18"/>
  <c r="DY13" i="18"/>
  <c r="DX13" i="18"/>
  <c r="DW13" i="18"/>
  <c r="DV13" i="18"/>
  <c r="DS13" i="18"/>
  <c r="CJ13" i="18"/>
  <c r="CI13" i="18"/>
  <c r="CH13" i="18"/>
  <c r="CG13" i="18"/>
  <c r="CF13" i="18"/>
  <c r="CE13" i="18"/>
  <c r="CD13" i="18"/>
  <c r="CC13" i="18"/>
  <c r="CB13" i="18"/>
  <c r="CA13" i="18"/>
  <c r="BZ13" i="18"/>
  <c r="BX13" i="18"/>
  <c r="EF12" i="18"/>
  <c r="EE12" i="18"/>
  <c r="ED12" i="18"/>
  <c r="EC12" i="18"/>
  <c r="EB12" i="18"/>
  <c r="EA12" i="18"/>
  <c r="DZ12" i="18"/>
  <c r="DY12" i="18"/>
  <c r="DX12" i="18"/>
  <c r="DW12" i="18"/>
  <c r="DV12" i="18"/>
  <c r="DS12" i="18"/>
  <c r="CJ12" i="18"/>
  <c r="CI12" i="18"/>
  <c r="CH12" i="18"/>
  <c r="CG12" i="18"/>
  <c r="CF12" i="18"/>
  <c r="CE12" i="18"/>
  <c r="CD12" i="18"/>
  <c r="CC12" i="18"/>
  <c r="CB12" i="18"/>
  <c r="CA12" i="18"/>
  <c r="BZ12" i="18"/>
  <c r="BX12" i="18"/>
  <c r="EF11" i="18"/>
  <c r="EE11" i="18"/>
  <c r="ED11" i="18"/>
  <c r="EC11" i="18"/>
  <c r="EB11" i="18"/>
  <c r="EA11" i="18"/>
  <c r="DZ11" i="18"/>
  <c r="DY11" i="18"/>
  <c r="DX11" i="18"/>
  <c r="DW11" i="18"/>
  <c r="DV11" i="18"/>
  <c r="DS11" i="18"/>
  <c r="CJ11" i="18"/>
  <c r="CI11" i="18"/>
  <c r="CH11" i="18"/>
  <c r="CG11" i="18"/>
  <c r="CF11" i="18"/>
  <c r="CE11" i="18"/>
  <c r="CD11" i="18"/>
  <c r="CC11" i="18"/>
  <c r="CB11" i="18"/>
  <c r="CA11" i="18"/>
  <c r="BZ11" i="18"/>
  <c r="BX11" i="18"/>
  <c r="EF10" i="18"/>
  <c r="EE10" i="18"/>
  <c r="ED10" i="18"/>
  <c r="EC10" i="18"/>
  <c r="EB10" i="18"/>
  <c r="EA10" i="18"/>
  <c r="DZ10" i="18"/>
  <c r="DY10" i="18"/>
  <c r="DX10" i="18"/>
  <c r="DW10" i="18"/>
  <c r="DV10" i="18"/>
  <c r="DS10" i="18"/>
  <c r="CJ10" i="18"/>
  <c r="CI10" i="18"/>
  <c r="CH10" i="18"/>
  <c r="CG10" i="18"/>
  <c r="CF10" i="18"/>
  <c r="CE10" i="18"/>
  <c r="CD10" i="18"/>
  <c r="CC10" i="18"/>
  <c r="CB10" i="18"/>
  <c r="CA10" i="18"/>
  <c r="BZ10" i="18"/>
  <c r="BX10" i="18"/>
  <c r="EF9" i="18"/>
  <c r="EE9" i="18"/>
  <c r="ED9" i="18"/>
  <c r="EC9" i="18"/>
  <c r="EB9" i="18"/>
  <c r="EA9" i="18"/>
  <c r="DZ9" i="18"/>
  <c r="DY9" i="18"/>
  <c r="DX9" i="18"/>
  <c r="DW9" i="18"/>
  <c r="DV9" i="18"/>
  <c r="DS9" i="18"/>
  <c r="CJ9" i="18"/>
  <c r="CI9" i="18"/>
  <c r="CH9" i="18"/>
  <c r="CG9" i="18"/>
  <c r="CF9" i="18"/>
  <c r="CE9" i="18"/>
  <c r="CD9" i="18"/>
  <c r="CC9" i="18"/>
  <c r="CB9" i="18"/>
  <c r="CA9" i="18"/>
  <c r="BZ9" i="18"/>
  <c r="BX9" i="18"/>
  <c r="EF8" i="18"/>
  <c r="EE8" i="18"/>
  <c r="ED8" i="18"/>
  <c r="EC8" i="18"/>
  <c r="EB8" i="18"/>
  <c r="EA8" i="18"/>
  <c r="DZ8" i="18"/>
  <c r="DY8" i="18"/>
  <c r="DX8" i="18"/>
  <c r="DW8" i="18"/>
  <c r="DV8" i="18"/>
  <c r="DS8" i="18"/>
  <c r="CJ8" i="18"/>
  <c r="CI8" i="18"/>
  <c r="CH8" i="18"/>
  <c r="CG8" i="18"/>
  <c r="CF8" i="18"/>
  <c r="CE8" i="18"/>
  <c r="CD8" i="18"/>
  <c r="CC8" i="18"/>
  <c r="CB8" i="18"/>
  <c r="CA8" i="18"/>
  <c r="BZ8" i="18"/>
  <c r="BX8" i="18"/>
  <c r="EF7" i="18"/>
  <c r="EE7" i="18"/>
  <c r="ED7" i="18"/>
  <c r="EC7" i="18"/>
  <c r="EB7" i="18"/>
  <c r="EA7" i="18"/>
  <c r="DZ7" i="18"/>
  <c r="DY7" i="18"/>
  <c r="DX7" i="18"/>
  <c r="DW7" i="18"/>
  <c r="DV7" i="18"/>
  <c r="DS7" i="18"/>
  <c r="CJ7" i="18"/>
  <c r="CI7" i="18"/>
  <c r="CH7" i="18"/>
  <c r="CG7" i="18"/>
  <c r="CF7" i="18"/>
  <c r="CE7" i="18"/>
  <c r="CD7" i="18"/>
  <c r="CC7" i="18"/>
  <c r="CB7" i="18"/>
  <c r="CA7" i="18"/>
  <c r="BZ7" i="18"/>
  <c r="BX7" i="18"/>
  <c r="EF6" i="18"/>
  <c r="EE6" i="18"/>
  <c r="ED6" i="18"/>
  <c r="EC6" i="18"/>
  <c r="EB6" i="18"/>
  <c r="EA6" i="18"/>
  <c r="DZ6" i="18"/>
  <c r="DY6" i="18"/>
  <c r="DX6" i="18"/>
  <c r="DW6" i="18"/>
  <c r="DV6" i="18"/>
  <c r="DS6" i="18"/>
  <c r="CJ6" i="18"/>
  <c r="CI6" i="18"/>
  <c r="CH6" i="18"/>
  <c r="CG6" i="18"/>
  <c r="CF6" i="18"/>
  <c r="CE6" i="18"/>
  <c r="CD6" i="18"/>
  <c r="CC6" i="18"/>
  <c r="CB6" i="18"/>
  <c r="CA6" i="18"/>
  <c r="BZ6" i="18"/>
  <c r="BX6" i="18"/>
  <c r="EF5" i="18"/>
  <c r="EE5" i="18"/>
  <c r="ED5" i="18"/>
  <c r="EC5" i="18"/>
  <c r="EB5" i="18"/>
  <c r="EA5" i="18"/>
  <c r="DZ5" i="18"/>
  <c r="DY5" i="18"/>
  <c r="DX5" i="18"/>
  <c r="DW5" i="18"/>
  <c r="DV5" i="18"/>
  <c r="DS5" i="18"/>
  <c r="CJ5" i="18"/>
  <c r="CI5" i="18"/>
  <c r="CH5" i="18"/>
  <c r="CG5" i="18"/>
  <c r="CF5" i="18"/>
  <c r="CE5" i="18"/>
  <c r="CD5" i="18"/>
  <c r="CC5" i="18"/>
  <c r="CB5" i="18"/>
  <c r="CA5" i="18"/>
  <c r="BZ5" i="18"/>
  <c r="BX5" i="18"/>
  <c r="EF4" i="18"/>
  <c r="EE4" i="18"/>
  <c r="ED4" i="18"/>
  <c r="EC4" i="18"/>
  <c r="EB4" i="18"/>
  <c r="EA4" i="18"/>
  <c r="DZ4" i="18"/>
  <c r="DY4" i="18"/>
  <c r="DX4" i="18"/>
  <c r="DW4" i="18"/>
  <c r="DV4" i="18"/>
  <c r="DS4" i="18"/>
  <c r="CJ4" i="18"/>
  <c r="CI4" i="18"/>
  <c r="CH4" i="18"/>
  <c r="CG4" i="18"/>
  <c r="CF4" i="18"/>
  <c r="CE4" i="18"/>
  <c r="CD4" i="18"/>
  <c r="CC4" i="18"/>
  <c r="CB4" i="18"/>
  <c r="CA4" i="18"/>
  <c r="BZ4" i="18"/>
  <c r="BX4" i="18"/>
  <c r="EF3" i="18"/>
  <c r="EE3" i="18"/>
  <c r="ED3" i="18"/>
  <c r="EC3" i="18"/>
  <c r="EB3" i="18"/>
  <c r="EA3" i="18"/>
  <c r="DZ3" i="18"/>
  <c r="DY3" i="18"/>
  <c r="DX3" i="18"/>
  <c r="DW3" i="18"/>
  <c r="DV3" i="18"/>
  <c r="DS3" i="18"/>
  <c r="CJ3" i="18"/>
  <c r="CI3" i="18"/>
  <c r="CH3" i="18"/>
  <c r="CG3" i="18"/>
  <c r="CF3" i="18"/>
  <c r="CE3" i="18"/>
  <c r="CD3" i="18"/>
  <c r="CC3" i="18"/>
  <c r="CB3" i="18"/>
  <c r="CA3" i="18"/>
  <c r="BZ3" i="18"/>
  <c r="BX3" i="18"/>
  <c r="EF2" i="18"/>
  <c r="EE2" i="18"/>
  <c r="ED2" i="18"/>
  <c r="EC2" i="18"/>
  <c r="EB2" i="18"/>
  <c r="EA2" i="18"/>
  <c r="DZ2" i="18"/>
  <c r="DY2" i="18"/>
  <c r="DX2" i="18"/>
  <c r="DW2" i="18"/>
  <c r="DV2" i="18"/>
  <c r="DS2" i="18"/>
  <c r="CJ2" i="18"/>
  <c r="CI2" i="18"/>
  <c r="CH2" i="18"/>
  <c r="CG2" i="18"/>
  <c r="CF2" i="18"/>
  <c r="CE2" i="18"/>
  <c r="CD2" i="18"/>
  <c r="CC2" i="18"/>
  <c r="CB2" i="18"/>
  <c r="CA2" i="18"/>
  <c r="BZ2" i="18"/>
  <c r="BX2" i="18"/>
  <c r="AS30" i="5"/>
  <c r="AD30" i="5"/>
  <c r="AC30" i="5"/>
  <c r="AB30" i="5"/>
  <c r="AA30" i="5"/>
  <c r="Z30" i="5"/>
  <c r="M30" i="5"/>
  <c r="AS29" i="5"/>
  <c r="AD29" i="5"/>
  <c r="AC29" i="5"/>
  <c r="AB29" i="5"/>
  <c r="AA29" i="5"/>
  <c r="Z29" i="5"/>
  <c r="M29" i="5"/>
  <c r="AS28" i="5"/>
  <c r="AD28" i="5"/>
  <c r="AC28" i="5"/>
  <c r="AB28" i="5"/>
  <c r="AA28" i="5"/>
  <c r="Z28" i="5"/>
  <c r="M28" i="5"/>
  <c r="AS27" i="5"/>
  <c r="AD27" i="5"/>
  <c r="AC27" i="5"/>
  <c r="AB27" i="5"/>
  <c r="AA27" i="5"/>
  <c r="Z27" i="5"/>
  <c r="M27" i="5"/>
  <c r="AS26" i="5"/>
  <c r="AD26" i="5"/>
  <c r="AC26" i="5"/>
  <c r="AB26" i="5"/>
  <c r="AA26" i="5"/>
  <c r="Z26" i="5"/>
  <c r="M26" i="5"/>
  <c r="AS25" i="5"/>
  <c r="AD25" i="5"/>
  <c r="AC25" i="5"/>
  <c r="AB25" i="5"/>
  <c r="AA25" i="5"/>
  <c r="Z25" i="5"/>
  <c r="M25" i="5"/>
  <c r="AS24" i="5"/>
  <c r="AD24" i="5"/>
  <c r="AC24" i="5"/>
  <c r="AB24" i="5"/>
  <c r="AA24" i="5"/>
  <c r="Z24" i="5"/>
  <c r="M24" i="5"/>
  <c r="AS23" i="5"/>
  <c r="AD23" i="5"/>
  <c r="AC23" i="5"/>
  <c r="AB23" i="5"/>
  <c r="AA23" i="5"/>
  <c r="Z23" i="5"/>
  <c r="M23" i="5"/>
  <c r="AS22" i="5"/>
  <c r="AD22" i="5"/>
  <c r="AC22" i="5"/>
  <c r="AB22" i="5"/>
  <c r="AA22" i="5"/>
  <c r="Z22" i="5"/>
  <c r="M22" i="5"/>
  <c r="AS21" i="5"/>
  <c r="AD21" i="5"/>
  <c r="AC21" i="5"/>
  <c r="AB21" i="5"/>
  <c r="AA21" i="5"/>
  <c r="Z21" i="5"/>
  <c r="M21" i="5"/>
  <c r="AS20" i="5"/>
  <c r="AD20" i="5"/>
  <c r="AC20" i="5"/>
  <c r="AB20" i="5"/>
  <c r="AA20" i="5"/>
  <c r="Z20" i="5"/>
  <c r="M20" i="5"/>
  <c r="AS19" i="5"/>
  <c r="AD19" i="5"/>
  <c r="AC19" i="5"/>
  <c r="AB19" i="5"/>
  <c r="AA19" i="5"/>
  <c r="Z19" i="5"/>
  <c r="M19" i="5"/>
  <c r="AS18" i="5"/>
  <c r="AD18" i="5"/>
  <c r="AC18" i="5"/>
  <c r="AB18" i="5"/>
  <c r="AA18" i="5"/>
  <c r="Z18" i="5"/>
  <c r="M18" i="5"/>
  <c r="AS17" i="5"/>
  <c r="AD17" i="5"/>
  <c r="AC17" i="5"/>
  <c r="AB17" i="5"/>
  <c r="AA17" i="5"/>
  <c r="Z17" i="5"/>
  <c r="M17" i="5"/>
  <c r="AS16" i="5"/>
  <c r="AD16" i="5"/>
  <c r="AC16" i="5"/>
  <c r="AB16" i="5"/>
  <c r="AA16" i="5"/>
  <c r="Z16" i="5"/>
  <c r="M16" i="5"/>
  <c r="AS15" i="5"/>
  <c r="AD15" i="5"/>
  <c r="AC15" i="5"/>
  <c r="AB15" i="5"/>
  <c r="AA15" i="5"/>
  <c r="Z15" i="5"/>
  <c r="M15" i="5"/>
  <c r="AS14" i="5"/>
  <c r="AD14" i="5"/>
  <c r="AC14" i="5"/>
  <c r="AB14" i="5"/>
  <c r="AA14" i="5"/>
  <c r="Z14" i="5"/>
  <c r="M14" i="5"/>
  <c r="AS13" i="5"/>
  <c r="AD13" i="5"/>
  <c r="AC13" i="5"/>
  <c r="AB13" i="5"/>
  <c r="AA13" i="5"/>
  <c r="Z13" i="5"/>
  <c r="M13" i="5"/>
  <c r="AS12" i="5"/>
  <c r="AD12" i="5"/>
  <c r="AC12" i="5"/>
  <c r="AB12" i="5"/>
  <c r="AA12" i="5"/>
  <c r="Z12" i="5"/>
  <c r="M12" i="5"/>
  <c r="AS11" i="5"/>
  <c r="AD11" i="5"/>
  <c r="AC11" i="5"/>
  <c r="AB11" i="5"/>
  <c r="AA11" i="5"/>
  <c r="Z11" i="5"/>
  <c r="M11" i="5"/>
  <c r="AS10" i="5"/>
  <c r="AD10" i="5"/>
  <c r="AC10" i="5"/>
  <c r="AB10" i="5"/>
  <c r="AA10" i="5"/>
  <c r="Z10" i="5"/>
  <c r="M10" i="5"/>
  <c r="AS9" i="5"/>
  <c r="AD9" i="5"/>
  <c r="AC9" i="5"/>
  <c r="AB9" i="5"/>
  <c r="AA9" i="5"/>
  <c r="Z9" i="5"/>
  <c r="M9" i="5"/>
  <c r="AS8" i="5"/>
  <c r="AD8" i="5"/>
  <c r="AC8" i="5"/>
  <c r="AB8" i="5"/>
  <c r="AA8" i="5"/>
  <c r="Z8" i="5"/>
  <c r="M8" i="5"/>
  <c r="AS7" i="5"/>
  <c r="AD7" i="5"/>
  <c r="AC7" i="5"/>
  <c r="AB7" i="5"/>
  <c r="AA7" i="5"/>
  <c r="Z7" i="5"/>
  <c r="M7" i="5"/>
  <c r="AS6" i="5"/>
  <c r="AD6" i="5"/>
  <c r="AC6" i="5"/>
  <c r="AB6" i="5"/>
  <c r="AA6" i="5"/>
  <c r="Z6" i="5"/>
  <c r="M6" i="5"/>
  <c r="AS5" i="5"/>
  <c r="AD5" i="5"/>
  <c r="AC5" i="5"/>
  <c r="AB5" i="5"/>
  <c r="AA5" i="5"/>
  <c r="Z5" i="5"/>
  <c r="M5" i="5"/>
  <c r="AS4" i="5"/>
  <c r="AD4" i="5"/>
  <c r="AC4" i="5"/>
  <c r="AB4" i="5"/>
  <c r="AA4" i="5"/>
  <c r="Z4" i="5"/>
  <c r="M4" i="5"/>
  <c r="AS3" i="5"/>
  <c r="AD3" i="5"/>
  <c r="AC3" i="5"/>
  <c r="AB3" i="5"/>
  <c r="AA3" i="5"/>
  <c r="Z3" i="5"/>
  <c r="M3" i="5"/>
  <c r="AS2" i="5"/>
  <c r="AD2" i="5"/>
  <c r="AC2" i="5"/>
  <c r="AB2" i="5"/>
  <c r="AA2" i="5"/>
  <c r="Z2" i="5"/>
  <c r="M2" i="5"/>
  <c r="BB30" i="29"/>
  <c r="BA30" i="29"/>
  <c r="AZ30" i="29"/>
  <c r="AY30" i="29"/>
  <c r="AX30" i="29"/>
  <c r="AW30" i="29"/>
  <c r="AV30" i="29"/>
  <c r="AU30" i="29"/>
  <c r="AT30" i="29"/>
  <c r="AS30" i="29"/>
  <c r="AR30" i="29"/>
  <c r="AQ30" i="29"/>
  <c r="AP30" i="29"/>
  <c r="AO30" i="29"/>
  <c r="AN30" i="29"/>
  <c r="AM30" i="29"/>
  <c r="AL30" i="29"/>
  <c r="AK30" i="29"/>
  <c r="AJ30" i="29"/>
  <c r="AI30" i="29"/>
  <c r="AH30" i="29"/>
  <c r="AG30" i="29"/>
  <c r="AF30" i="29"/>
  <c r="AE30" i="29"/>
  <c r="AD30" i="29"/>
  <c r="AB30" i="29"/>
  <c r="AA30" i="29"/>
  <c r="Z30" i="29"/>
  <c r="Y30" i="29"/>
  <c r="X30" i="29"/>
  <c r="W30" i="29"/>
  <c r="V30" i="29"/>
  <c r="U30" i="29"/>
  <c r="T30" i="29"/>
  <c r="S30" i="29"/>
  <c r="R30" i="29"/>
  <c r="Q30" i="29"/>
  <c r="P30" i="29"/>
  <c r="O30" i="29"/>
  <c r="N30" i="29"/>
  <c r="M30" i="29"/>
  <c r="L30" i="29"/>
  <c r="K30" i="29"/>
  <c r="J30" i="29"/>
  <c r="I30" i="29"/>
  <c r="H30" i="29"/>
  <c r="G30" i="29"/>
  <c r="F30" i="29"/>
  <c r="E30" i="29"/>
  <c r="D30" i="29"/>
  <c r="BB29" i="29"/>
  <c r="BA29" i="29"/>
  <c r="AZ29" i="29"/>
  <c r="AY29" i="29"/>
  <c r="AX29" i="29"/>
  <c r="AW29" i="29"/>
  <c r="AV29" i="29"/>
  <c r="AU29" i="29"/>
  <c r="AT29" i="29"/>
  <c r="AS29" i="29"/>
  <c r="AR29" i="29"/>
  <c r="AQ29" i="29"/>
  <c r="AP29" i="29"/>
  <c r="AO29" i="29"/>
  <c r="AN29" i="29"/>
  <c r="AM29" i="29"/>
  <c r="AL29" i="29"/>
  <c r="AK29" i="29"/>
  <c r="AJ29" i="29"/>
  <c r="AI29" i="29"/>
  <c r="AH29" i="29"/>
  <c r="AG29" i="29"/>
  <c r="AF29" i="29"/>
  <c r="AE29" i="29"/>
  <c r="AD29" i="29"/>
  <c r="AB29" i="29"/>
  <c r="AA29" i="29"/>
  <c r="Z29" i="29"/>
  <c r="Y29" i="29"/>
  <c r="X29" i="29"/>
  <c r="W29" i="29"/>
  <c r="V29" i="29"/>
  <c r="U29" i="29"/>
  <c r="T29" i="29"/>
  <c r="S29" i="29"/>
  <c r="R29" i="29"/>
  <c r="Q29" i="29"/>
  <c r="P29" i="29"/>
  <c r="O29" i="29"/>
  <c r="N29" i="29"/>
  <c r="M29" i="29"/>
  <c r="L29" i="29"/>
  <c r="K29" i="29"/>
  <c r="J29" i="29"/>
  <c r="I29" i="29"/>
  <c r="H29" i="29"/>
  <c r="G29" i="29"/>
  <c r="F29" i="29"/>
  <c r="E29" i="29"/>
  <c r="D29" i="29"/>
  <c r="BB28" i="29"/>
  <c r="BA28" i="29"/>
  <c r="AZ28" i="29"/>
  <c r="AY28" i="29"/>
  <c r="AX28" i="29"/>
  <c r="AW28" i="29"/>
  <c r="AV28" i="29"/>
  <c r="AU28" i="29"/>
  <c r="AT28" i="29"/>
  <c r="AS28" i="29"/>
  <c r="AR28" i="29"/>
  <c r="AQ28" i="29"/>
  <c r="AP28" i="29"/>
  <c r="AO28" i="29"/>
  <c r="AN28" i="29"/>
  <c r="AM28" i="29"/>
  <c r="AL28" i="29"/>
  <c r="AK28" i="29"/>
  <c r="AJ28" i="29"/>
  <c r="AI28" i="29"/>
  <c r="AH28" i="29"/>
  <c r="AG28" i="29"/>
  <c r="AF28" i="29"/>
  <c r="AE28" i="29"/>
  <c r="AD28" i="29"/>
  <c r="AB28" i="29"/>
  <c r="AA28" i="29"/>
  <c r="Z28" i="29"/>
  <c r="Y28" i="29"/>
  <c r="X28" i="29"/>
  <c r="W28" i="29"/>
  <c r="V28" i="29"/>
  <c r="U28" i="29"/>
  <c r="T28" i="29"/>
  <c r="S28" i="29"/>
  <c r="R28" i="29"/>
  <c r="Q28" i="29"/>
  <c r="P28" i="29"/>
  <c r="O28" i="29"/>
  <c r="N28" i="29"/>
  <c r="M28" i="29"/>
  <c r="L28" i="29"/>
  <c r="K28" i="29"/>
  <c r="J28" i="29"/>
  <c r="I28" i="29"/>
  <c r="H28" i="29"/>
  <c r="G28" i="29"/>
  <c r="F28" i="29"/>
  <c r="E28" i="29"/>
  <c r="D28" i="29"/>
  <c r="BB27" i="29"/>
  <c r="BA27" i="29"/>
  <c r="AZ27" i="29"/>
  <c r="AY27" i="29"/>
  <c r="AX27" i="29"/>
  <c r="AW27" i="29"/>
  <c r="AV27" i="29"/>
  <c r="AU27" i="29"/>
  <c r="AT27" i="29"/>
  <c r="AS27" i="29"/>
  <c r="AR27" i="29"/>
  <c r="AQ27" i="29"/>
  <c r="AP27" i="29"/>
  <c r="AO27" i="29"/>
  <c r="AN27" i="29"/>
  <c r="AM27" i="29"/>
  <c r="AL27" i="29"/>
  <c r="AK27" i="29"/>
  <c r="AJ27" i="29"/>
  <c r="AI27" i="29"/>
  <c r="AH27" i="29"/>
  <c r="AG27" i="29"/>
  <c r="AF27" i="29"/>
  <c r="AE27" i="29"/>
  <c r="AD27" i="29"/>
  <c r="AB27" i="29"/>
  <c r="AA27" i="29"/>
  <c r="Z27" i="29"/>
  <c r="Y27" i="29"/>
  <c r="X27" i="29"/>
  <c r="W27" i="29"/>
  <c r="V27" i="29"/>
  <c r="U27" i="29"/>
  <c r="T27" i="29"/>
  <c r="S27" i="29"/>
  <c r="R27" i="29"/>
  <c r="Q27" i="29"/>
  <c r="P27" i="29"/>
  <c r="O27" i="29"/>
  <c r="N27" i="29"/>
  <c r="M27" i="29"/>
  <c r="L27" i="29"/>
  <c r="K27" i="29"/>
  <c r="J27" i="29"/>
  <c r="I27" i="29"/>
  <c r="H27" i="29"/>
  <c r="G27" i="29"/>
  <c r="F27" i="29"/>
  <c r="E27" i="29"/>
  <c r="D27" i="29"/>
  <c r="BB26" i="29"/>
  <c r="BA26" i="29"/>
  <c r="AZ26" i="29"/>
  <c r="AY26" i="29"/>
  <c r="AX26" i="29"/>
  <c r="AW26" i="29"/>
  <c r="AV26" i="29"/>
  <c r="AU26" i="29"/>
  <c r="AT26" i="29"/>
  <c r="AS26" i="29"/>
  <c r="AR26" i="29"/>
  <c r="AQ26" i="29"/>
  <c r="AP26" i="29"/>
  <c r="AO26" i="29"/>
  <c r="AN26" i="29"/>
  <c r="AM26" i="29"/>
  <c r="AL26" i="29"/>
  <c r="AK26" i="29"/>
  <c r="AJ26" i="29"/>
  <c r="AI26" i="29"/>
  <c r="AH26" i="29"/>
  <c r="AG26" i="29"/>
  <c r="AF26" i="29"/>
  <c r="AE26" i="29"/>
  <c r="AD26" i="29"/>
  <c r="AB26" i="29"/>
  <c r="AA26" i="29"/>
  <c r="Z26" i="29"/>
  <c r="Y26" i="29"/>
  <c r="X26" i="29"/>
  <c r="W26" i="29"/>
  <c r="V26" i="29"/>
  <c r="U26" i="29"/>
  <c r="T26" i="29"/>
  <c r="S26" i="29"/>
  <c r="R26" i="29"/>
  <c r="Q26" i="29"/>
  <c r="P26" i="29"/>
  <c r="O26" i="29"/>
  <c r="N26" i="29"/>
  <c r="M26" i="29"/>
  <c r="L26" i="29"/>
  <c r="K26" i="29"/>
  <c r="J26" i="29"/>
  <c r="I26" i="29"/>
  <c r="H26" i="29"/>
  <c r="G26" i="29"/>
  <c r="F26" i="29"/>
  <c r="E26" i="29"/>
  <c r="D26" i="29"/>
  <c r="BB25" i="29"/>
  <c r="BA25" i="29"/>
  <c r="AZ25" i="29"/>
  <c r="AY25" i="29"/>
  <c r="AX25" i="29"/>
  <c r="AW25" i="29"/>
  <c r="AV25" i="29"/>
  <c r="AU25" i="29"/>
  <c r="AT25" i="29"/>
  <c r="AS25" i="29"/>
  <c r="AR25" i="29"/>
  <c r="AQ25" i="29"/>
  <c r="AP25" i="29"/>
  <c r="AO25" i="29"/>
  <c r="AN25" i="29"/>
  <c r="AM25" i="29"/>
  <c r="AL25" i="29"/>
  <c r="AK25" i="29"/>
  <c r="AJ25" i="29"/>
  <c r="AI25" i="29"/>
  <c r="AH25" i="29"/>
  <c r="AG25" i="29"/>
  <c r="AF25" i="29"/>
  <c r="AE25" i="29"/>
  <c r="AD25" i="29"/>
  <c r="AB25" i="29"/>
  <c r="AA25" i="29"/>
  <c r="Z25" i="29"/>
  <c r="Y25" i="29"/>
  <c r="X25" i="29"/>
  <c r="W25" i="29"/>
  <c r="V25" i="29"/>
  <c r="U25" i="29"/>
  <c r="T25" i="29"/>
  <c r="S25" i="29"/>
  <c r="R25" i="29"/>
  <c r="Q25" i="29"/>
  <c r="P25" i="29"/>
  <c r="O25" i="29"/>
  <c r="N25" i="29"/>
  <c r="M25" i="29"/>
  <c r="L25" i="29"/>
  <c r="K25" i="29"/>
  <c r="J25" i="29"/>
  <c r="I25" i="29"/>
  <c r="H25" i="29"/>
  <c r="G25" i="29"/>
  <c r="F25" i="29"/>
  <c r="E25" i="29"/>
  <c r="D25"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AD24" i="29"/>
  <c r="AB24" i="29"/>
  <c r="AA24" i="29"/>
  <c r="Z24" i="29"/>
  <c r="Y24" i="29"/>
  <c r="X24" i="29"/>
  <c r="W24" i="29"/>
  <c r="V24" i="29"/>
  <c r="U24" i="29"/>
  <c r="T24" i="29"/>
  <c r="S24" i="29"/>
  <c r="R24" i="29"/>
  <c r="Q24" i="29"/>
  <c r="P24" i="29"/>
  <c r="O24" i="29"/>
  <c r="N24" i="29"/>
  <c r="M24" i="29"/>
  <c r="L24" i="29"/>
  <c r="K24" i="29"/>
  <c r="J24" i="29"/>
  <c r="I24" i="29"/>
  <c r="H24" i="29"/>
  <c r="G24" i="29"/>
  <c r="F24" i="29"/>
  <c r="E24" i="29"/>
  <c r="D24" i="29"/>
  <c r="BB23" i="29"/>
  <c r="BA23" i="29"/>
  <c r="AZ23" i="29"/>
  <c r="AY23" i="29"/>
  <c r="AX23" i="29"/>
  <c r="AW23" i="29"/>
  <c r="AV23" i="29"/>
  <c r="AU23" i="29"/>
  <c r="AT23" i="29"/>
  <c r="AS23" i="29"/>
  <c r="AR23" i="29"/>
  <c r="AQ23" i="29"/>
  <c r="AP23" i="29"/>
  <c r="AO23" i="29"/>
  <c r="AN23" i="29"/>
  <c r="AM23" i="29"/>
  <c r="AL23" i="29"/>
  <c r="AK23" i="29"/>
  <c r="AJ23" i="29"/>
  <c r="AI23" i="29"/>
  <c r="AH23" i="29"/>
  <c r="AG23" i="29"/>
  <c r="AF23" i="29"/>
  <c r="AE23" i="29"/>
  <c r="AD23" i="29"/>
  <c r="AB23" i="29"/>
  <c r="AA23" i="29"/>
  <c r="Z23" i="29"/>
  <c r="Y23" i="29"/>
  <c r="X23" i="29"/>
  <c r="W23" i="29"/>
  <c r="V23" i="29"/>
  <c r="U23" i="29"/>
  <c r="T23" i="29"/>
  <c r="S23" i="29"/>
  <c r="R23" i="29"/>
  <c r="Q23" i="29"/>
  <c r="P23" i="29"/>
  <c r="O23" i="29"/>
  <c r="N23" i="29"/>
  <c r="M23" i="29"/>
  <c r="L23" i="29"/>
  <c r="K23" i="29"/>
  <c r="J23" i="29"/>
  <c r="I23" i="29"/>
  <c r="H23" i="29"/>
  <c r="G23" i="29"/>
  <c r="F23" i="29"/>
  <c r="E23" i="29"/>
  <c r="D23" i="29"/>
  <c r="BB22"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BB21" i="29"/>
  <c r="BA21" i="29"/>
  <c r="AZ21" i="29"/>
  <c r="AY21" i="29"/>
  <c r="AX21" i="29"/>
  <c r="AW21" i="29"/>
  <c r="AV21" i="29"/>
  <c r="AU21" i="29"/>
  <c r="AT21" i="29"/>
  <c r="AS21" i="29"/>
  <c r="AR21" i="29"/>
  <c r="AQ21" i="29"/>
  <c r="AP21" i="29"/>
  <c r="AO21" i="29"/>
  <c r="AN21" i="29"/>
  <c r="AM21" i="29"/>
  <c r="AL21" i="29"/>
  <c r="AK21" i="29"/>
  <c r="AJ21" i="29"/>
  <c r="AI21" i="29"/>
  <c r="AH21" i="29"/>
  <c r="AG21" i="29"/>
  <c r="AF21" i="29"/>
  <c r="AE21" i="29"/>
  <c r="AD21" i="29"/>
  <c r="AB21" i="29"/>
  <c r="AA21" i="29"/>
  <c r="Z21" i="29"/>
  <c r="Y21" i="29"/>
  <c r="X21" i="29"/>
  <c r="W21" i="29"/>
  <c r="V21" i="29"/>
  <c r="U21" i="29"/>
  <c r="T21" i="29"/>
  <c r="S21" i="29"/>
  <c r="R21" i="29"/>
  <c r="Q21" i="29"/>
  <c r="P21" i="29"/>
  <c r="O21" i="29"/>
  <c r="N21" i="29"/>
  <c r="M21" i="29"/>
  <c r="L21" i="29"/>
  <c r="K21" i="29"/>
  <c r="J21" i="29"/>
  <c r="I21" i="29"/>
  <c r="H21" i="29"/>
  <c r="G21" i="29"/>
  <c r="F21" i="29"/>
  <c r="E21" i="29"/>
  <c r="D21" i="29"/>
  <c r="BB20" i="29"/>
  <c r="BA20" i="29"/>
  <c r="AZ20" i="29"/>
  <c r="AY20" i="29"/>
  <c r="AX20" i="29"/>
  <c r="AW20" i="29"/>
  <c r="AV20" i="29"/>
  <c r="AU20" i="29"/>
  <c r="AT20" i="29"/>
  <c r="AS20" i="29"/>
  <c r="AR20" i="29"/>
  <c r="AQ20" i="29"/>
  <c r="AP20" i="29"/>
  <c r="AO20" i="29"/>
  <c r="AN20" i="29"/>
  <c r="AM20" i="29"/>
  <c r="AL20" i="29"/>
  <c r="AK20" i="29"/>
  <c r="AJ20" i="29"/>
  <c r="AI20" i="29"/>
  <c r="AH20" i="29"/>
  <c r="AG20" i="29"/>
  <c r="AF20" i="29"/>
  <c r="AE20" i="29"/>
  <c r="AD20" i="29"/>
  <c r="AB20" i="29"/>
  <c r="AA20" i="29"/>
  <c r="Z20" i="29"/>
  <c r="Y20" i="29"/>
  <c r="X20" i="29"/>
  <c r="W20" i="29"/>
  <c r="V20" i="29"/>
  <c r="U20" i="29"/>
  <c r="T20" i="29"/>
  <c r="S20" i="29"/>
  <c r="R20" i="29"/>
  <c r="Q20" i="29"/>
  <c r="P20" i="29"/>
  <c r="O20" i="29"/>
  <c r="N20" i="29"/>
  <c r="M20" i="29"/>
  <c r="L20" i="29"/>
  <c r="K20" i="29"/>
  <c r="J20" i="29"/>
  <c r="I20" i="29"/>
  <c r="H20" i="29"/>
  <c r="G20" i="29"/>
  <c r="F20" i="29"/>
  <c r="E20" i="29"/>
  <c r="D20" i="29"/>
  <c r="BB19" i="29"/>
  <c r="BA19" i="29"/>
  <c r="AZ19" i="29"/>
  <c r="AY19" i="29"/>
  <c r="AX19" i="29"/>
  <c r="AW19" i="29"/>
  <c r="AV19" i="29"/>
  <c r="AU19" i="29"/>
  <c r="AT19" i="29"/>
  <c r="AS19" i="29"/>
  <c r="AR19" i="29"/>
  <c r="AQ19" i="29"/>
  <c r="AP19" i="29"/>
  <c r="AO19" i="29"/>
  <c r="AN19" i="29"/>
  <c r="AM19" i="29"/>
  <c r="AL19" i="29"/>
  <c r="AK19" i="29"/>
  <c r="AJ19" i="29"/>
  <c r="AI19" i="29"/>
  <c r="AH19" i="29"/>
  <c r="AG19" i="29"/>
  <c r="AF19" i="29"/>
  <c r="AE19" i="29"/>
  <c r="AD19" i="29"/>
  <c r="AB19" i="29"/>
  <c r="AA19" i="29"/>
  <c r="Z19" i="29"/>
  <c r="Y19" i="29"/>
  <c r="X19" i="29"/>
  <c r="W19" i="29"/>
  <c r="V19" i="29"/>
  <c r="U19" i="29"/>
  <c r="T19" i="29"/>
  <c r="S19" i="29"/>
  <c r="R19" i="29"/>
  <c r="Q19" i="29"/>
  <c r="P19" i="29"/>
  <c r="O19" i="29"/>
  <c r="N19" i="29"/>
  <c r="M19" i="29"/>
  <c r="L19" i="29"/>
  <c r="K19" i="29"/>
  <c r="J19" i="29"/>
  <c r="I19" i="29"/>
  <c r="H19" i="29"/>
  <c r="G19" i="29"/>
  <c r="F19" i="29"/>
  <c r="E19" i="29"/>
  <c r="D19" i="29"/>
  <c r="BB18" i="29"/>
  <c r="BA18" i="29"/>
  <c r="AZ18" i="29"/>
  <c r="AY18" i="29"/>
  <c r="AX18" i="29"/>
  <c r="AW18" i="29"/>
  <c r="AV18" i="29"/>
  <c r="AU18" i="29"/>
  <c r="AT18" i="29"/>
  <c r="AS18" i="29"/>
  <c r="AR18" i="29"/>
  <c r="AQ18" i="29"/>
  <c r="AP18" i="29"/>
  <c r="AO18" i="29"/>
  <c r="AN18" i="29"/>
  <c r="AM18" i="29"/>
  <c r="AL18" i="29"/>
  <c r="AK18" i="29"/>
  <c r="AJ18" i="29"/>
  <c r="AI18" i="29"/>
  <c r="AH18" i="29"/>
  <c r="AG18" i="29"/>
  <c r="AF18" i="29"/>
  <c r="AE18" i="29"/>
  <c r="AD18" i="29"/>
  <c r="AB18" i="29"/>
  <c r="AA18" i="29"/>
  <c r="Z18" i="29"/>
  <c r="Y18" i="29"/>
  <c r="X18" i="29"/>
  <c r="W18" i="29"/>
  <c r="V18" i="29"/>
  <c r="U18" i="29"/>
  <c r="T18" i="29"/>
  <c r="S18" i="29"/>
  <c r="R18" i="29"/>
  <c r="Q18" i="29"/>
  <c r="P18" i="29"/>
  <c r="O18" i="29"/>
  <c r="N18" i="29"/>
  <c r="M18" i="29"/>
  <c r="L18" i="29"/>
  <c r="K18" i="29"/>
  <c r="J18" i="29"/>
  <c r="I18" i="29"/>
  <c r="H18" i="29"/>
  <c r="G18" i="29"/>
  <c r="F18" i="29"/>
  <c r="E18" i="29"/>
  <c r="D18" i="29"/>
  <c r="BB17"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BB16" i="29"/>
  <c r="BA16" i="29"/>
  <c r="AZ16" i="29"/>
  <c r="AY16" i="29"/>
  <c r="AX16" i="29"/>
  <c r="AW16" i="29"/>
  <c r="AV16" i="29"/>
  <c r="AU16" i="29"/>
  <c r="AT16" i="29"/>
  <c r="AS16" i="29"/>
  <c r="AR16" i="29"/>
  <c r="AQ16" i="29"/>
  <c r="AP16" i="29"/>
  <c r="AO16" i="29"/>
  <c r="AN16" i="29"/>
  <c r="AM16" i="29"/>
  <c r="AL16" i="29"/>
  <c r="AK16" i="29"/>
  <c r="AJ16" i="29"/>
  <c r="AI16" i="29"/>
  <c r="AH16" i="29"/>
  <c r="AG16" i="29"/>
  <c r="AF16" i="29"/>
  <c r="AE16" i="29"/>
  <c r="AD16" i="29"/>
  <c r="AB16" i="29"/>
  <c r="AA16" i="29"/>
  <c r="Z16" i="29"/>
  <c r="Y16" i="29"/>
  <c r="X16" i="29"/>
  <c r="W16" i="29"/>
  <c r="V16" i="29"/>
  <c r="U16" i="29"/>
  <c r="T16" i="29"/>
  <c r="S16" i="29"/>
  <c r="R16" i="29"/>
  <c r="Q16" i="29"/>
  <c r="P16" i="29"/>
  <c r="O16" i="29"/>
  <c r="N16" i="29"/>
  <c r="M16" i="29"/>
  <c r="L16" i="29"/>
  <c r="K16" i="29"/>
  <c r="J16" i="29"/>
  <c r="I16" i="29"/>
  <c r="H16" i="29"/>
  <c r="G16" i="29"/>
  <c r="F16" i="29"/>
  <c r="E16" i="29"/>
  <c r="D16" i="29"/>
  <c r="BB15" i="29"/>
  <c r="BA15" i="29"/>
  <c r="AZ15" i="29"/>
  <c r="AY15" i="29"/>
  <c r="AX15" i="29"/>
  <c r="AW15" i="29"/>
  <c r="AV15" i="29"/>
  <c r="AU15" i="29"/>
  <c r="AT15" i="29"/>
  <c r="AS15" i="29"/>
  <c r="AR15" i="29"/>
  <c r="AQ15" i="29"/>
  <c r="AP15" i="29"/>
  <c r="AO15" i="29"/>
  <c r="AN15" i="29"/>
  <c r="AM15" i="29"/>
  <c r="AL15" i="29"/>
  <c r="AK15" i="29"/>
  <c r="AJ15" i="29"/>
  <c r="AI15" i="29"/>
  <c r="AH15" i="29"/>
  <c r="AG15" i="29"/>
  <c r="AF15" i="29"/>
  <c r="AE15" i="29"/>
  <c r="AD15" i="29"/>
  <c r="AB15" i="29"/>
  <c r="AA15" i="29"/>
  <c r="Z15" i="29"/>
  <c r="Y15" i="29"/>
  <c r="X15" i="29"/>
  <c r="W15" i="29"/>
  <c r="V15" i="29"/>
  <c r="U15" i="29"/>
  <c r="T15" i="29"/>
  <c r="S15" i="29"/>
  <c r="R15" i="29"/>
  <c r="Q15" i="29"/>
  <c r="P15" i="29"/>
  <c r="O15" i="29"/>
  <c r="N15" i="29"/>
  <c r="M15" i="29"/>
  <c r="L15" i="29"/>
  <c r="K15" i="29"/>
  <c r="J15" i="29"/>
  <c r="I15" i="29"/>
  <c r="H15" i="29"/>
  <c r="G15" i="29"/>
  <c r="F15" i="29"/>
  <c r="E15" i="29"/>
  <c r="D15" i="29"/>
  <c r="BB14" i="29"/>
  <c r="BA14" i="29"/>
  <c r="AZ14" i="29"/>
  <c r="AY14" i="29"/>
  <c r="AX14" i="29"/>
  <c r="AW14" i="29"/>
  <c r="AV14" i="29"/>
  <c r="AU14" i="29"/>
  <c r="AT14" i="29"/>
  <c r="AS14" i="29"/>
  <c r="AR14" i="29"/>
  <c r="AQ14" i="29"/>
  <c r="AP14" i="29"/>
  <c r="AO14" i="29"/>
  <c r="AN14" i="29"/>
  <c r="AM14" i="29"/>
  <c r="AL14" i="29"/>
  <c r="AK14" i="29"/>
  <c r="AJ14" i="29"/>
  <c r="AI14" i="29"/>
  <c r="AH14" i="29"/>
  <c r="AG14" i="29"/>
  <c r="AF14" i="29"/>
  <c r="AE14" i="29"/>
  <c r="AD14" i="29"/>
  <c r="AB14" i="29"/>
  <c r="AA14" i="29"/>
  <c r="Z14" i="29"/>
  <c r="Y14" i="29"/>
  <c r="X14" i="29"/>
  <c r="W14" i="29"/>
  <c r="V14" i="29"/>
  <c r="U14" i="29"/>
  <c r="T14" i="29"/>
  <c r="S14" i="29"/>
  <c r="R14" i="29"/>
  <c r="Q14" i="29"/>
  <c r="P14" i="29"/>
  <c r="O14" i="29"/>
  <c r="N14" i="29"/>
  <c r="M14" i="29"/>
  <c r="L14" i="29"/>
  <c r="K14" i="29"/>
  <c r="J14" i="29"/>
  <c r="I14" i="29"/>
  <c r="H14" i="29"/>
  <c r="G14" i="29"/>
  <c r="F14" i="29"/>
  <c r="E14" i="29"/>
  <c r="D14" i="29"/>
  <c r="BB13" i="29"/>
  <c r="BA13" i="29"/>
  <c r="AZ13" i="29"/>
  <c r="AY13" i="29"/>
  <c r="AX13" i="29"/>
  <c r="AW13" i="29"/>
  <c r="AV13" i="29"/>
  <c r="AU13" i="29"/>
  <c r="AT13" i="29"/>
  <c r="AS13" i="29"/>
  <c r="AR13" i="29"/>
  <c r="AQ13" i="29"/>
  <c r="AP13" i="29"/>
  <c r="AO13" i="29"/>
  <c r="AN13" i="29"/>
  <c r="AM13" i="29"/>
  <c r="AL13" i="29"/>
  <c r="AK13" i="29"/>
  <c r="AJ13" i="29"/>
  <c r="AI13" i="29"/>
  <c r="AH13" i="29"/>
  <c r="AG13" i="29"/>
  <c r="AF13" i="29"/>
  <c r="AE13" i="29"/>
  <c r="AD13" i="29"/>
  <c r="AB13" i="29"/>
  <c r="AA13" i="29"/>
  <c r="Z13" i="29"/>
  <c r="Y13" i="29"/>
  <c r="X13" i="29"/>
  <c r="W13" i="29"/>
  <c r="V13" i="29"/>
  <c r="U13" i="29"/>
  <c r="T13" i="29"/>
  <c r="S13" i="29"/>
  <c r="R13" i="29"/>
  <c r="Q13" i="29"/>
  <c r="P13" i="29"/>
  <c r="O13" i="29"/>
  <c r="N13" i="29"/>
  <c r="M13" i="29"/>
  <c r="L13" i="29"/>
  <c r="K13" i="29"/>
  <c r="J13" i="29"/>
  <c r="I13" i="29"/>
  <c r="H13" i="29"/>
  <c r="G13" i="29"/>
  <c r="F13" i="29"/>
  <c r="E13" i="29"/>
  <c r="D13" i="29"/>
  <c r="BB12" i="29"/>
  <c r="BA12" i="29"/>
  <c r="AZ12" i="29"/>
  <c r="AY12" i="29"/>
  <c r="AX12" i="29"/>
  <c r="AW12" i="29"/>
  <c r="AV12" i="29"/>
  <c r="AU12" i="29"/>
  <c r="AT12" i="29"/>
  <c r="AS12" i="29"/>
  <c r="AR12" i="29"/>
  <c r="AQ12" i="29"/>
  <c r="AP12" i="29"/>
  <c r="AO12" i="29"/>
  <c r="AN12" i="29"/>
  <c r="AM12" i="29"/>
  <c r="AL12" i="29"/>
  <c r="AK12" i="29"/>
  <c r="AJ12" i="29"/>
  <c r="AI12" i="29"/>
  <c r="AH12" i="29"/>
  <c r="AG12" i="29"/>
  <c r="AF12" i="29"/>
  <c r="AE12" i="29"/>
  <c r="AD12" i="29"/>
  <c r="AB12" i="29"/>
  <c r="AA12" i="29"/>
  <c r="Z12" i="29"/>
  <c r="Y12" i="29"/>
  <c r="X12" i="29"/>
  <c r="W12" i="29"/>
  <c r="V12" i="29"/>
  <c r="U12" i="29"/>
  <c r="T12" i="29"/>
  <c r="S12" i="29"/>
  <c r="R12" i="29"/>
  <c r="Q12" i="29"/>
  <c r="P12" i="29"/>
  <c r="O12" i="29"/>
  <c r="N12" i="29"/>
  <c r="M12" i="29"/>
  <c r="L12" i="29"/>
  <c r="K12" i="29"/>
  <c r="J12" i="29"/>
  <c r="I12" i="29"/>
  <c r="H12" i="29"/>
  <c r="G12" i="29"/>
  <c r="F12" i="29"/>
  <c r="E12" i="29"/>
  <c r="D12" i="29"/>
  <c r="BB11" i="29"/>
  <c r="BA11" i="29"/>
  <c r="AZ11" i="29"/>
  <c r="AY11" i="29"/>
  <c r="AX11" i="29"/>
  <c r="AW11" i="29"/>
  <c r="AV11" i="29"/>
  <c r="AU11" i="29"/>
  <c r="AT11" i="29"/>
  <c r="AS11" i="29"/>
  <c r="AR11" i="29"/>
  <c r="AQ11" i="29"/>
  <c r="AP11" i="29"/>
  <c r="AO11" i="29"/>
  <c r="AN11" i="29"/>
  <c r="AM11" i="29"/>
  <c r="AL11" i="29"/>
  <c r="AK11" i="29"/>
  <c r="AJ11" i="29"/>
  <c r="AI11" i="29"/>
  <c r="AH11" i="29"/>
  <c r="AG11" i="29"/>
  <c r="AF11" i="29"/>
  <c r="AE11" i="29"/>
  <c r="AD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BB10" i="29"/>
  <c r="BA10" i="29"/>
  <c r="AZ10" i="29"/>
  <c r="AY10" i="29"/>
  <c r="AX10" i="29"/>
  <c r="AW10" i="29"/>
  <c r="AV10" i="29"/>
  <c r="AU10" i="29"/>
  <c r="AT10" i="29"/>
  <c r="AS10" i="29"/>
  <c r="AR10" i="29"/>
  <c r="AQ10" i="29"/>
  <c r="AP10" i="29"/>
  <c r="AO10" i="29"/>
  <c r="AN10" i="29"/>
  <c r="AM10" i="29"/>
  <c r="AL10" i="29"/>
  <c r="AK10" i="29"/>
  <c r="AJ10" i="29"/>
  <c r="AI10" i="29"/>
  <c r="AH10" i="29"/>
  <c r="AG10" i="29"/>
  <c r="AF10" i="29"/>
  <c r="AE10" i="29"/>
  <c r="AD10" i="29"/>
  <c r="AB10" i="29"/>
  <c r="AA10" i="29"/>
  <c r="Z10" i="29"/>
  <c r="Y10" i="29"/>
  <c r="X10" i="29"/>
  <c r="W10" i="29"/>
  <c r="V10" i="29"/>
  <c r="U10" i="29"/>
  <c r="T10" i="29"/>
  <c r="S10" i="29"/>
  <c r="R10" i="29"/>
  <c r="Q10" i="29"/>
  <c r="P10" i="29"/>
  <c r="O10" i="29"/>
  <c r="N10" i="29"/>
  <c r="M10" i="29"/>
  <c r="L10" i="29"/>
  <c r="K10" i="29"/>
  <c r="J10" i="29"/>
  <c r="I10" i="29"/>
  <c r="H10" i="29"/>
  <c r="G10" i="29"/>
  <c r="F10" i="29"/>
  <c r="E10" i="29"/>
  <c r="D10" i="29"/>
  <c r="BB9" i="29"/>
  <c r="BA9" i="29"/>
  <c r="AZ9" i="29"/>
  <c r="AY9" i="29"/>
  <c r="AX9" i="29"/>
  <c r="AW9" i="29"/>
  <c r="AV9" i="29"/>
  <c r="AU9" i="29"/>
  <c r="AT9" i="29"/>
  <c r="AS9" i="29"/>
  <c r="AR9" i="29"/>
  <c r="AQ9" i="29"/>
  <c r="AP9" i="29"/>
  <c r="AO9" i="29"/>
  <c r="AN9" i="29"/>
  <c r="AM9" i="29"/>
  <c r="AL9" i="29"/>
  <c r="AK9" i="29"/>
  <c r="AJ9" i="29"/>
  <c r="AI9" i="29"/>
  <c r="AH9" i="29"/>
  <c r="AG9" i="29"/>
  <c r="AF9" i="29"/>
  <c r="AE9" i="29"/>
  <c r="AD9" i="29"/>
  <c r="AB9" i="29"/>
  <c r="AA9" i="29"/>
  <c r="Z9" i="29"/>
  <c r="Y9" i="29"/>
  <c r="X9" i="29"/>
  <c r="W9" i="29"/>
  <c r="V9" i="29"/>
  <c r="U9" i="29"/>
  <c r="T9" i="29"/>
  <c r="S9" i="29"/>
  <c r="R9" i="29"/>
  <c r="Q9" i="29"/>
  <c r="P9" i="29"/>
  <c r="O9" i="29"/>
  <c r="N9" i="29"/>
  <c r="M9" i="29"/>
  <c r="L9" i="29"/>
  <c r="K9" i="29"/>
  <c r="J9" i="29"/>
  <c r="I9" i="29"/>
  <c r="H9" i="29"/>
  <c r="G9" i="29"/>
  <c r="F9" i="29"/>
  <c r="E9" i="29"/>
  <c r="D9" i="29"/>
  <c r="BB8" i="29"/>
  <c r="BA8" i="29"/>
  <c r="AZ8" i="29"/>
  <c r="AY8" i="29"/>
  <c r="AX8" i="29"/>
  <c r="AW8" i="29"/>
  <c r="AV8" i="29"/>
  <c r="AU8" i="29"/>
  <c r="AT8" i="29"/>
  <c r="AS8" i="29"/>
  <c r="AR8" i="29"/>
  <c r="AQ8" i="29"/>
  <c r="AP8" i="29"/>
  <c r="AO8" i="29"/>
  <c r="AN8" i="29"/>
  <c r="AM8" i="29"/>
  <c r="AL8" i="29"/>
  <c r="AK8" i="29"/>
  <c r="AJ8" i="29"/>
  <c r="AI8" i="29"/>
  <c r="AH8" i="29"/>
  <c r="AG8" i="29"/>
  <c r="AF8" i="29"/>
  <c r="AE8" i="29"/>
  <c r="AD8" i="29"/>
  <c r="AB8" i="29"/>
  <c r="AA8" i="29"/>
  <c r="Z8" i="29"/>
  <c r="Y8" i="29"/>
  <c r="X8" i="29"/>
  <c r="W8" i="29"/>
  <c r="V8" i="29"/>
  <c r="U8" i="29"/>
  <c r="T8" i="29"/>
  <c r="S8" i="29"/>
  <c r="R8" i="29"/>
  <c r="Q8" i="29"/>
  <c r="P8" i="29"/>
  <c r="O8" i="29"/>
  <c r="N8" i="29"/>
  <c r="M8" i="29"/>
  <c r="L8" i="29"/>
  <c r="K8" i="29"/>
  <c r="J8" i="29"/>
  <c r="I8" i="29"/>
  <c r="H8" i="29"/>
  <c r="G8" i="29"/>
  <c r="F8" i="29"/>
  <c r="E8" i="29"/>
  <c r="D8" i="29"/>
  <c r="BB7" i="29"/>
  <c r="BA7" i="29"/>
  <c r="AZ7" i="29"/>
  <c r="AY7" i="29"/>
  <c r="AX7" i="29"/>
  <c r="AW7" i="29"/>
  <c r="AV7" i="29"/>
  <c r="AU7" i="29"/>
  <c r="AT7" i="29"/>
  <c r="AS7" i="29"/>
  <c r="AR7" i="29"/>
  <c r="AQ7" i="29"/>
  <c r="AP7" i="29"/>
  <c r="AO7" i="29"/>
  <c r="AN7" i="29"/>
  <c r="AM7" i="29"/>
  <c r="AL7" i="29"/>
  <c r="AK7" i="29"/>
  <c r="AJ7" i="29"/>
  <c r="AI7" i="29"/>
  <c r="AH7" i="29"/>
  <c r="AG7" i="29"/>
  <c r="AF7" i="29"/>
  <c r="AE7" i="29"/>
  <c r="AD7" i="29"/>
  <c r="AB7" i="29"/>
  <c r="AA7" i="29"/>
  <c r="Z7" i="29"/>
  <c r="Y7" i="29"/>
  <c r="X7" i="29"/>
  <c r="W7" i="29"/>
  <c r="V7" i="29"/>
  <c r="U7" i="29"/>
  <c r="T7" i="29"/>
  <c r="S7" i="29"/>
  <c r="R7" i="29"/>
  <c r="Q7" i="29"/>
  <c r="P7" i="29"/>
  <c r="O7" i="29"/>
  <c r="N7" i="29"/>
  <c r="M7" i="29"/>
  <c r="L7" i="29"/>
  <c r="K7" i="29"/>
  <c r="J7" i="29"/>
  <c r="I7" i="29"/>
  <c r="H7" i="29"/>
  <c r="G7" i="29"/>
  <c r="F7" i="29"/>
  <c r="E7" i="29"/>
  <c r="D7" i="29"/>
  <c r="BB6" i="29"/>
  <c r="BA6" i="29"/>
  <c r="AZ6" i="29"/>
  <c r="AY6" i="29"/>
  <c r="AX6" i="29"/>
  <c r="AW6" i="29"/>
  <c r="AV6" i="29"/>
  <c r="AU6" i="29"/>
  <c r="AT6" i="29"/>
  <c r="AS6" i="29"/>
  <c r="AR6" i="29"/>
  <c r="AQ6" i="29"/>
  <c r="AP6" i="29"/>
  <c r="AO6" i="29"/>
  <c r="AN6" i="29"/>
  <c r="AM6" i="29"/>
  <c r="AL6" i="29"/>
  <c r="AK6" i="29"/>
  <c r="AJ6" i="29"/>
  <c r="AI6" i="29"/>
  <c r="AH6" i="29"/>
  <c r="AG6" i="29"/>
  <c r="AF6" i="29"/>
  <c r="AE6" i="29"/>
  <c r="AD6" i="29"/>
  <c r="AB6" i="29"/>
  <c r="AA6" i="29"/>
  <c r="Z6" i="29"/>
  <c r="Y6" i="29"/>
  <c r="X6" i="29"/>
  <c r="W6" i="29"/>
  <c r="V6" i="29"/>
  <c r="U6" i="29"/>
  <c r="T6" i="29"/>
  <c r="S6" i="29"/>
  <c r="R6" i="29"/>
  <c r="Q6" i="29"/>
  <c r="P6" i="29"/>
  <c r="O6" i="29"/>
  <c r="N6" i="29"/>
  <c r="M6" i="29"/>
  <c r="L6" i="29"/>
  <c r="K6" i="29"/>
  <c r="J6" i="29"/>
  <c r="I6" i="29"/>
  <c r="H6" i="29"/>
  <c r="G6" i="29"/>
  <c r="F6" i="29"/>
  <c r="E6" i="29"/>
  <c r="D6" i="29"/>
  <c r="BB5" i="29"/>
  <c r="BA5" i="29"/>
  <c r="AZ5" i="29"/>
  <c r="AY5" i="29"/>
  <c r="AX5" i="29"/>
  <c r="AW5" i="29"/>
  <c r="AV5" i="29"/>
  <c r="AU5" i="29"/>
  <c r="AT5" i="29"/>
  <c r="AS5" i="29"/>
  <c r="AR5" i="29"/>
  <c r="AQ5" i="29"/>
  <c r="AP5" i="29"/>
  <c r="AO5" i="29"/>
  <c r="AN5" i="29"/>
  <c r="AM5" i="29"/>
  <c r="AL5" i="29"/>
  <c r="AK5" i="29"/>
  <c r="AJ5" i="29"/>
  <c r="AI5" i="29"/>
  <c r="AH5" i="29"/>
  <c r="AG5" i="29"/>
  <c r="AF5" i="29"/>
  <c r="AE5" i="29"/>
  <c r="AD5" i="29"/>
  <c r="AB5" i="29"/>
  <c r="AA5" i="29"/>
  <c r="Z5" i="29"/>
  <c r="Y5" i="29"/>
  <c r="X5" i="29"/>
  <c r="W5" i="29"/>
  <c r="V5" i="29"/>
  <c r="U5" i="29"/>
  <c r="T5" i="29"/>
  <c r="S5" i="29"/>
  <c r="R5" i="29"/>
  <c r="Q5" i="29"/>
  <c r="P5" i="29"/>
  <c r="O5" i="29"/>
  <c r="N5" i="29"/>
  <c r="M5" i="29"/>
  <c r="L5" i="29"/>
  <c r="K5" i="29"/>
  <c r="J5" i="29"/>
  <c r="I5" i="29"/>
  <c r="H5" i="29"/>
  <c r="G5" i="29"/>
  <c r="F5" i="29"/>
  <c r="E5" i="29"/>
  <c r="D5" i="29"/>
  <c r="BB4" i="29"/>
  <c r="BA4" i="29"/>
  <c r="AZ4" i="29"/>
  <c r="AY4" i="29"/>
  <c r="AX4" i="29"/>
  <c r="AW4" i="29"/>
  <c r="AV4" i="29"/>
  <c r="AU4" i="29"/>
  <c r="AT4" i="29"/>
  <c r="AS4" i="29"/>
  <c r="AR4" i="29"/>
  <c r="AQ4" i="29"/>
  <c r="AP4" i="29"/>
  <c r="AO4" i="29"/>
  <c r="AN4" i="29"/>
  <c r="AM4" i="29"/>
  <c r="AL4" i="29"/>
  <c r="AK4" i="29"/>
  <c r="AJ4" i="29"/>
  <c r="AI4" i="29"/>
  <c r="AH4" i="29"/>
  <c r="AG4" i="29"/>
  <c r="AF4" i="29"/>
  <c r="AE4" i="29"/>
  <c r="AD4" i="29"/>
  <c r="AB4" i="29"/>
  <c r="AA4" i="29"/>
  <c r="Z4" i="29"/>
  <c r="Y4" i="29"/>
  <c r="X4" i="29"/>
  <c r="W4" i="29"/>
  <c r="V4" i="29"/>
  <c r="U4" i="29"/>
  <c r="T4" i="29"/>
  <c r="S4" i="29"/>
  <c r="R4" i="29"/>
  <c r="Q4" i="29"/>
  <c r="P4" i="29"/>
  <c r="O4" i="29"/>
  <c r="N4" i="29"/>
  <c r="M4" i="29"/>
  <c r="L4" i="29"/>
  <c r="K4" i="29"/>
  <c r="J4" i="29"/>
  <c r="I4" i="29"/>
  <c r="H4" i="29"/>
  <c r="G4" i="29"/>
  <c r="F4" i="29"/>
  <c r="E4" i="29"/>
  <c r="D4" i="29"/>
  <c r="BB3" i="29"/>
  <c r="BA3" i="29"/>
  <c r="AZ3" i="29"/>
  <c r="AY3" i="29"/>
  <c r="AX3" i="29"/>
  <c r="AW3" i="29"/>
  <c r="AV3" i="29"/>
  <c r="AU3" i="29"/>
  <c r="AT3" i="29"/>
  <c r="AS3" i="29"/>
  <c r="AR3" i="29"/>
  <c r="AQ3" i="29"/>
  <c r="AP3" i="29"/>
  <c r="AO3" i="29"/>
  <c r="AN3" i="29"/>
  <c r="AM3" i="29"/>
  <c r="AL3" i="29"/>
  <c r="AK3" i="29"/>
  <c r="AJ3" i="29"/>
  <c r="AI3" i="29"/>
  <c r="AH3" i="29"/>
  <c r="AG3" i="29"/>
  <c r="AF3" i="29"/>
  <c r="AE3" i="29"/>
  <c r="AD3" i="29"/>
  <c r="AB3" i="29"/>
  <c r="AA3" i="29"/>
  <c r="Z3" i="29"/>
  <c r="Y3" i="29"/>
  <c r="X3" i="29"/>
  <c r="W3" i="29"/>
  <c r="V3" i="29"/>
  <c r="U3" i="29"/>
  <c r="T3" i="29"/>
  <c r="S3" i="29"/>
  <c r="R3" i="29"/>
  <c r="Q3" i="29"/>
  <c r="P3" i="29"/>
  <c r="O3" i="29"/>
  <c r="N3" i="29"/>
  <c r="M3" i="29"/>
  <c r="L3" i="29"/>
  <c r="K3" i="29"/>
  <c r="J3" i="29"/>
  <c r="I3" i="29"/>
  <c r="H3" i="29"/>
  <c r="G3" i="29"/>
  <c r="F3" i="29"/>
  <c r="E3" i="29"/>
  <c r="D3"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B2" i="29"/>
  <c r="AA2" i="29"/>
  <c r="Z2" i="29"/>
  <c r="Y2" i="29"/>
  <c r="X2" i="29"/>
  <c r="W2" i="29"/>
  <c r="V2" i="29"/>
  <c r="U2" i="29"/>
  <c r="T2" i="29"/>
  <c r="S2" i="29"/>
  <c r="R2" i="29"/>
  <c r="Q2" i="29"/>
  <c r="P2" i="29"/>
  <c r="O2" i="29"/>
  <c r="N2" i="29"/>
  <c r="M2" i="29"/>
  <c r="L2" i="29"/>
  <c r="K2" i="29"/>
  <c r="J2" i="29"/>
  <c r="I2" i="29"/>
  <c r="H2" i="29"/>
  <c r="G2" i="29"/>
  <c r="F2" i="29"/>
  <c r="E2" i="29"/>
  <c r="D2" i="29"/>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P25" i="35"/>
  <c r="O25" i="35"/>
  <c r="N25" i="35"/>
  <c r="M25" i="35"/>
  <c r="L25" i="35"/>
  <c r="K25" i="35"/>
  <c r="J25" i="35"/>
  <c r="I25" i="35"/>
  <c r="H25" i="35"/>
  <c r="G25" i="35"/>
  <c r="F25" i="35"/>
  <c r="E25" i="35"/>
  <c r="D25" i="35"/>
  <c r="C25"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M19" i="35"/>
  <c r="L19" i="35"/>
  <c r="K19" i="35"/>
  <c r="J19" i="35"/>
  <c r="I19" i="35"/>
  <c r="H19" i="35"/>
  <c r="G19" i="35"/>
  <c r="F19" i="35"/>
  <c r="E19" i="35"/>
  <c r="D19" i="35"/>
  <c r="C19"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M18" i="35"/>
  <c r="L18" i="35"/>
  <c r="K18" i="35"/>
  <c r="J18" i="35"/>
  <c r="I18" i="35"/>
  <c r="H18" i="35"/>
  <c r="G18" i="35"/>
  <c r="F18" i="35"/>
  <c r="E18" i="35"/>
  <c r="D18" i="35"/>
  <c r="C18"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C17"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M16" i="35"/>
  <c r="L16" i="35"/>
  <c r="K16" i="35"/>
  <c r="J16" i="35"/>
  <c r="I16" i="35"/>
  <c r="H16" i="35"/>
  <c r="G16" i="35"/>
  <c r="F16" i="35"/>
  <c r="E16" i="35"/>
  <c r="D16" i="35"/>
  <c r="C16"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P15" i="35"/>
  <c r="O15" i="35"/>
  <c r="N15" i="35"/>
  <c r="M15" i="35"/>
  <c r="L15" i="35"/>
  <c r="K15" i="35"/>
  <c r="J15" i="35"/>
  <c r="I15" i="35"/>
  <c r="H15" i="35"/>
  <c r="G15" i="35"/>
  <c r="F15" i="35"/>
  <c r="E15" i="35"/>
  <c r="D15" i="35"/>
  <c r="C15"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BY13" i="35"/>
  <c r="BX13" i="35"/>
  <c r="BW13" i="35"/>
  <c r="BV13" i="35"/>
  <c r="BU13" i="35"/>
  <c r="BT13" i="35"/>
  <c r="BS13" i="35"/>
  <c r="BR13" i="35"/>
  <c r="BQ13" i="35"/>
  <c r="BP13" i="35"/>
  <c r="BO13" i="35"/>
  <c r="BN13" i="35"/>
  <c r="BM13" i="35"/>
  <c r="BL13" i="35"/>
  <c r="BK13" i="35"/>
  <c r="BJ13" i="35"/>
  <c r="BI13" i="35"/>
  <c r="BH13" i="35"/>
  <c r="BG13" i="35"/>
  <c r="BF13" i="35"/>
  <c r="BE13" i="35"/>
  <c r="BD13" i="35"/>
  <c r="BC13" i="35"/>
  <c r="BB13" i="35"/>
  <c r="BA13"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M13" i="35"/>
  <c r="L13" i="35"/>
  <c r="K13" i="35"/>
  <c r="J13" i="35"/>
  <c r="I13" i="35"/>
  <c r="H13" i="35"/>
  <c r="G13" i="35"/>
  <c r="F13" i="35"/>
  <c r="E13" i="35"/>
  <c r="D13" i="35"/>
  <c r="C13" i="35"/>
  <c r="BY12" i="35"/>
  <c r="BX12" i="35"/>
  <c r="BW12" i="35"/>
  <c r="BV12" i="35"/>
  <c r="BU12" i="35"/>
  <c r="BT12" i="35"/>
  <c r="BS12" i="35"/>
  <c r="BR12" i="35"/>
  <c r="BQ12" i="35"/>
  <c r="BP12" i="35"/>
  <c r="BO12" i="35"/>
  <c r="BN12" i="35"/>
  <c r="BM12" i="35"/>
  <c r="BL12" i="35"/>
  <c r="BK12" i="35"/>
  <c r="BJ12" i="35"/>
  <c r="BI12" i="35"/>
  <c r="BH12" i="35"/>
  <c r="BG12" i="35"/>
  <c r="BF12" i="35"/>
  <c r="BE12" i="35"/>
  <c r="BD12" i="35"/>
  <c r="BC12" i="35"/>
  <c r="BB12" i="35"/>
  <c r="BA12" i="35"/>
  <c r="AZ12" i="35"/>
  <c r="AY12" i="35"/>
  <c r="AX12" i="35"/>
  <c r="AW12" i="35"/>
  <c r="AV12" i="35"/>
  <c r="AU12" i="35"/>
  <c r="AT12" i="35"/>
  <c r="AS12" i="35"/>
  <c r="AR12" i="35"/>
  <c r="AQ12" i="35"/>
  <c r="AP12" i="35"/>
  <c r="AO12" i="35"/>
  <c r="AN12" i="35"/>
  <c r="AM12" i="35"/>
  <c r="AL12" i="35"/>
  <c r="AK12" i="35"/>
  <c r="AJ12" i="35"/>
  <c r="AI12" i="35"/>
  <c r="AH12" i="35"/>
  <c r="AG12" i="35"/>
  <c r="AF12" i="35"/>
  <c r="AE12" i="35"/>
  <c r="AD12" i="35"/>
  <c r="AC12" i="35"/>
  <c r="AB12" i="35"/>
  <c r="AA12" i="35"/>
  <c r="Z12" i="35"/>
  <c r="Y12" i="35"/>
  <c r="X12" i="35"/>
  <c r="W12" i="35"/>
  <c r="V12" i="35"/>
  <c r="U12" i="35"/>
  <c r="T12" i="35"/>
  <c r="S12" i="35"/>
  <c r="R12" i="35"/>
  <c r="Q12" i="35"/>
  <c r="P12" i="35"/>
  <c r="O12" i="35"/>
  <c r="N12" i="35"/>
  <c r="M12" i="35"/>
  <c r="L12" i="35"/>
  <c r="K12" i="35"/>
  <c r="J12" i="35"/>
  <c r="I12" i="35"/>
  <c r="H12" i="35"/>
  <c r="G12" i="35"/>
  <c r="F12" i="35"/>
  <c r="E12" i="35"/>
  <c r="D12" i="35"/>
  <c r="C12" i="35"/>
  <c r="BY11" i="35"/>
  <c r="BX11" i="35"/>
  <c r="BW11" i="35"/>
  <c r="BV11" i="35"/>
  <c r="BU11" i="35"/>
  <c r="BT11" i="35"/>
  <c r="BS11" i="35"/>
  <c r="BR11" i="35"/>
  <c r="BQ11" i="35"/>
  <c r="BP11" i="35"/>
  <c r="BO11" i="35"/>
  <c r="BN11" i="35"/>
  <c r="BM11" i="35"/>
  <c r="BL11" i="35"/>
  <c r="BK11" i="35"/>
  <c r="BJ11" i="35"/>
  <c r="BI11" i="35"/>
  <c r="BH11" i="35"/>
  <c r="BG11" i="35"/>
  <c r="BF11" i="35"/>
  <c r="BE11" i="35"/>
  <c r="BD11" i="35"/>
  <c r="BC11" i="35"/>
  <c r="BB11" i="35"/>
  <c r="BA11"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C11" i="35"/>
  <c r="BY10" i="35"/>
  <c r="BX10" i="35"/>
  <c r="BW10" i="35"/>
  <c r="BV10" i="35"/>
  <c r="BU10" i="35"/>
  <c r="BT10" i="35"/>
  <c r="BS10" i="35"/>
  <c r="BR10" i="35"/>
  <c r="BQ10" i="35"/>
  <c r="BP10" i="35"/>
  <c r="BO10" i="35"/>
  <c r="BN10" i="35"/>
  <c r="BM10" i="35"/>
  <c r="BL10" i="35"/>
  <c r="BK10" i="35"/>
  <c r="BJ10" i="35"/>
  <c r="BI10" i="35"/>
  <c r="BH10" i="35"/>
  <c r="BG10" i="35"/>
  <c r="BF10" i="35"/>
  <c r="BE10" i="35"/>
  <c r="BD10" i="35"/>
  <c r="BC10" i="35"/>
  <c r="BB10" i="35"/>
  <c r="BA10" i="35"/>
  <c r="AZ10" i="35"/>
  <c r="AY10" i="35"/>
  <c r="AX10" i="35"/>
  <c r="AW10" i="35"/>
  <c r="AV10" i="35"/>
  <c r="AU10" i="35"/>
  <c r="AT10" i="35"/>
  <c r="AS10" i="35"/>
  <c r="AR10" i="35"/>
  <c r="AQ10"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M10" i="35"/>
  <c r="L10" i="35"/>
  <c r="K10" i="35"/>
  <c r="J10" i="35"/>
  <c r="I10" i="35"/>
  <c r="H10" i="35"/>
  <c r="G10" i="35"/>
  <c r="F10" i="35"/>
  <c r="E10" i="35"/>
  <c r="D10" i="35"/>
  <c r="C10" i="35"/>
  <c r="BY9" i="35"/>
  <c r="BX9" i="35"/>
  <c r="BW9" i="35"/>
  <c r="BV9" i="35"/>
  <c r="BU9" i="35"/>
  <c r="BT9" i="35"/>
  <c r="BS9" i="35"/>
  <c r="BR9" i="35"/>
  <c r="BQ9" i="35"/>
  <c r="BP9" i="35"/>
  <c r="BO9" i="35"/>
  <c r="BN9" i="35"/>
  <c r="BM9" i="35"/>
  <c r="BL9" i="35"/>
  <c r="BK9" i="35"/>
  <c r="BJ9" i="35"/>
  <c r="BI9" i="35"/>
  <c r="BH9" i="35"/>
  <c r="BG9" i="35"/>
  <c r="BF9" i="35"/>
  <c r="BE9" i="35"/>
  <c r="BD9" i="35"/>
  <c r="BC9" i="35"/>
  <c r="BB9" i="35"/>
  <c r="BA9" i="35"/>
  <c r="AZ9" i="35"/>
  <c r="AY9" i="35"/>
  <c r="AX9" i="35"/>
  <c r="AW9" i="35"/>
  <c r="AV9" i="35"/>
  <c r="AU9" i="35"/>
  <c r="AT9" i="35"/>
  <c r="AS9" i="35"/>
  <c r="AR9" i="35"/>
  <c r="AQ9" i="35"/>
  <c r="AP9" i="35"/>
  <c r="AO9" i="35"/>
  <c r="AN9" i="35"/>
  <c r="AM9" i="35"/>
  <c r="AL9" i="35"/>
  <c r="AK9" i="35"/>
  <c r="AJ9" i="35"/>
  <c r="AI9" i="35"/>
  <c r="AH9" i="35"/>
  <c r="AG9" i="35"/>
  <c r="AF9" i="35"/>
  <c r="AE9" i="35"/>
  <c r="AD9" i="35"/>
  <c r="AC9" i="35"/>
  <c r="AB9" i="35"/>
  <c r="AA9" i="35"/>
  <c r="Z9" i="35"/>
  <c r="Y9" i="35"/>
  <c r="X9" i="35"/>
  <c r="W9" i="35"/>
  <c r="V9" i="35"/>
  <c r="U9" i="35"/>
  <c r="T9" i="35"/>
  <c r="S9" i="35"/>
  <c r="R9" i="35"/>
  <c r="Q9" i="35"/>
  <c r="P9" i="35"/>
  <c r="O9" i="35"/>
  <c r="N9" i="35"/>
  <c r="M9" i="35"/>
  <c r="L9" i="35"/>
  <c r="K9" i="35"/>
  <c r="J9" i="35"/>
  <c r="I9" i="35"/>
  <c r="H9" i="35"/>
  <c r="G9" i="35"/>
  <c r="F9" i="35"/>
  <c r="E9" i="35"/>
  <c r="D9" i="35"/>
  <c r="C9"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BY7" i="35"/>
  <c r="BX7" i="35"/>
  <c r="BW7" i="35"/>
  <c r="BV7" i="35"/>
  <c r="BU7" i="35"/>
  <c r="BT7" i="35"/>
  <c r="BS7" i="35"/>
  <c r="BR7" i="35"/>
  <c r="BQ7" i="35"/>
  <c r="BP7" i="35"/>
  <c r="BO7" i="35"/>
  <c r="BN7" i="35"/>
  <c r="BM7" i="35"/>
  <c r="BL7" i="35"/>
  <c r="BK7" i="35"/>
  <c r="BJ7" i="35"/>
  <c r="BI7" i="35"/>
  <c r="BH7" i="35"/>
  <c r="BG7" i="35"/>
  <c r="BF7" i="35"/>
  <c r="BE7" i="35"/>
  <c r="BD7" i="35"/>
  <c r="BC7" i="35"/>
  <c r="BB7" i="35"/>
  <c r="BA7" i="35"/>
  <c r="AZ7" i="35"/>
  <c r="AY7" i="35"/>
  <c r="AX7" i="35"/>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Y6" i="35"/>
  <c r="BX6" i="35"/>
  <c r="BW6" i="35"/>
  <c r="BV6" i="35"/>
  <c r="BU6" i="35"/>
  <c r="BT6" i="35"/>
  <c r="BS6" i="35"/>
  <c r="BR6" i="35"/>
  <c r="BQ6" i="35"/>
  <c r="BP6" i="35"/>
  <c r="BO6" i="35"/>
  <c r="BN6" i="35"/>
  <c r="BM6" i="35"/>
  <c r="BL6" i="35"/>
  <c r="BK6" i="35"/>
  <c r="BJ6" i="35"/>
  <c r="BI6" i="35"/>
  <c r="BH6" i="35"/>
  <c r="BG6" i="35"/>
  <c r="BF6" i="35"/>
  <c r="BE6" i="35"/>
  <c r="BD6" i="35"/>
  <c r="BC6" i="35"/>
  <c r="BB6" i="35"/>
  <c r="BA6" i="35"/>
  <c r="AZ6" i="35"/>
  <c r="AY6" i="35"/>
  <c r="AX6" i="35"/>
  <c r="AW6" i="35"/>
  <c r="AV6" i="35"/>
  <c r="AU6" i="35"/>
  <c r="AT6" i="35"/>
  <c r="AS6" i="35"/>
  <c r="AR6" i="35"/>
  <c r="AQ6" i="35"/>
  <c r="AP6" i="35"/>
  <c r="AO6" i="35"/>
  <c r="AN6" i="35"/>
  <c r="AM6" i="35"/>
  <c r="AL6" i="35"/>
  <c r="AK6" i="35"/>
  <c r="AJ6" i="35"/>
  <c r="AI6" i="35"/>
  <c r="AH6" i="35"/>
  <c r="AG6" i="35"/>
  <c r="AF6" i="35"/>
  <c r="AE6" i="35"/>
  <c r="AD6" i="35"/>
  <c r="AC6" i="35"/>
  <c r="AB6" i="35"/>
  <c r="AA6" i="35"/>
  <c r="Z6" i="35"/>
  <c r="Y6" i="35"/>
  <c r="X6" i="35"/>
  <c r="W6" i="35"/>
  <c r="V6" i="35"/>
  <c r="U6" i="35"/>
  <c r="T6" i="35"/>
  <c r="S6" i="35"/>
  <c r="R6" i="35"/>
  <c r="Q6" i="35"/>
  <c r="P6" i="35"/>
  <c r="O6" i="35"/>
  <c r="N6" i="35"/>
  <c r="M6" i="35"/>
  <c r="L6" i="35"/>
  <c r="K6" i="35"/>
  <c r="J6" i="35"/>
  <c r="I6" i="35"/>
  <c r="H6" i="35"/>
  <c r="G6" i="35"/>
  <c r="F6" i="35"/>
  <c r="E6" i="35"/>
  <c r="D6" i="35"/>
  <c r="C6" i="35"/>
  <c r="BY5" i="35"/>
  <c r="BX5" i="35"/>
  <c r="BW5" i="35"/>
  <c r="BV5" i="35"/>
  <c r="BU5" i="35"/>
  <c r="BT5" i="35"/>
  <c r="BS5" i="35"/>
  <c r="BR5" i="35"/>
  <c r="BQ5" i="35"/>
  <c r="BP5" i="35"/>
  <c r="BO5" i="35"/>
  <c r="BN5" i="35"/>
  <c r="BM5" i="35"/>
  <c r="BL5" i="35"/>
  <c r="BK5" i="35"/>
  <c r="BJ5" i="35"/>
  <c r="BI5" i="35"/>
  <c r="BH5" i="35"/>
  <c r="BG5" i="35"/>
  <c r="BF5" i="35"/>
  <c r="BE5"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E5" i="35"/>
  <c r="AD5" i="35"/>
  <c r="AC5" i="35"/>
  <c r="AB5" i="35"/>
  <c r="AA5" i="35"/>
  <c r="Z5" i="35"/>
  <c r="Y5" i="35"/>
  <c r="X5" i="35"/>
  <c r="W5" i="35"/>
  <c r="V5" i="35"/>
  <c r="U5" i="35"/>
  <c r="T5" i="35"/>
  <c r="S5" i="35"/>
  <c r="R5" i="35"/>
  <c r="Q5" i="35"/>
  <c r="P5" i="35"/>
  <c r="O5" i="35"/>
  <c r="N5" i="35"/>
  <c r="M5" i="35"/>
  <c r="L5" i="35"/>
  <c r="K5" i="35"/>
  <c r="J5" i="35"/>
  <c r="I5" i="35"/>
  <c r="H5" i="35"/>
  <c r="G5" i="35"/>
  <c r="F5" i="35"/>
  <c r="E5" i="35"/>
  <c r="D5" i="35"/>
  <c r="C5" i="35"/>
  <c r="BY4" i="35"/>
  <c r="BX4" i="35"/>
  <c r="BW4" i="35"/>
  <c r="BV4" i="35"/>
  <c r="BU4" i="35"/>
  <c r="BT4" i="35"/>
  <c r="BS4" i="35"/>
  <c r="BR4" i="35"/>
  <c r="BQ4" i="35"/>
  <c r="BP4" i="35"/>
  <c r="BO4" i="35"/>
  <c r="BN4" i="35"/>
  <c r="BM4" i="35"/>
  <c r="BL4" i="35"/>
  <c r="BK4" i="35"/>
  <c r="BJ4" i="35"/>
  <c r="BI4" i="35"/>
  <c r="BH4" i="35"/>
  <c r="BG4" i="35"/>
  <c r="BF4" i="35"/>
  <c r="BE4" i="35"/>
  <c r="BD4" i="35"/>
  <c r="BC4" i="35"/>
  <c r="BB4" i="35"/>
  <c r="BA4" i="35"/>
  <c r="AZ4" i="35"/>
  <c r="AY4" i="35"/>
  <c r="AX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Y3" i="35"/>
  <c r="BX3" i="35"/>
  <c r="BW3" i="35"/>
  <c r="BV3" i="35"/>
  <c r="BU3" i="35"/>
  <c r="BT3" i="35"/>
  <c r="BS3" i="35"/>
  <c r="BR3" i="35"/>
  <c r="BQ3" i="35"/>
  <c r="BP3" i="35"/>
  <c r="BO3" i="35"/>
  <c r="BN3" i="35"/>
  <c r="BM3" i="35"/>
  <c r="BL3" i="35"/>
  <c r="BK3" i="35"/>
  <c r="BJ3" i="35"/>
  <c r="BI3" i="35"/>
  <c r="BH3" i="35"/>
  <c r="BG3" i="35"/>
  <c r="BF3" i="35"/>
  <c r="BE3" i="35"/>
  <c r="BD3" i="35"/>
  <c r="BC3" i="35"/>
  <c r="BB3" i="35"/>
  <c r="BA3" i="35"/>
  <c r="AZ3" i="35"/>
  <c r="AY3" i="35"/>
  <c r="AX3" i="35"/>
  <c r="AW3" i="35"/>
  <c r="AV3" i="35"/>
  <c r="AU3" i="35"/>
  <c r="AT3" i="35"/>
  <c r="AS3" i="35"/>
  <c r="AR3" i="35"/>
  <c r="AQ3" i="35"/>
  <c r="AP3" i="35"/>
  <c r="AO3" i="35"/>
  <c r="AN3" i="35"/>
  <c r="AM3" i="35"/>
  <c r="AL3" i="35"/>
  <c r="AK3" i="35"/>
  <c r="AJ3" i="35"/>
  <c r="AI3" i="35"/>
  <c r="AH3" i="35"/>
  <c r="AG3" i="35"/>
  <c r="AF3" i="35"/>
  <c r="AE3" i="35"/>
  <c r="AD3" i="35"/>
  <c r="AC3" i="35"/>
  <c r="AB3" i="35"/>
  <c r="AA3" i="35"/>
  <c r="Z3" i="35"/>
  <c r="Y3" i="35"/>
  <c r="X3" i="35"/>
  <c r="W3" i="35"/>
  <c r="V3" i="35"/>
  <c r="U3" i="35"/>
  <c r="T3" i="35"/>
  <c r="S3" i="35"/>
  <c r="R3" i="35"/>
  <c r="Q3" i="35"/>
  <c r="P3" i="35"/>
  <c r="O3" i="35"/>
  <c r="N3" i="35"/>
  <c r="M3" i="35"/>
  <c r="L3" i="35"/>
  <c r="K3" i="35"/>
  <c r="J3" i="35"/>
  <c r="I3" i="35"/>
  <c r="H3" i="35"/>
  <c r="G3" i="35"/>
  <c r="F3" i="35"/>
  <c r="E3" i="35"/>
  <c r="D3" i="35"/>
  <c r="C3" i="35"/>
  <c r="BY2" i="35"/>
  <c r="BX2" i="35"/>
  <c r="BW2" i="35"/>
  <c r="BV2" i="35"/>
  <c r="BU2" i="35"/>
  <c r="BT2" i="35"/>
  <c r="BS2" i="35"/>
  <c r="BR2" i="35"/>
  <c r="BQ2" i="35"/>
  <c r="BP2" i="35"/>
  <c r="BO2" i="35"/>
  <c r="BN2" i="35"/>
  <c r="BM2" i="35"/>
  <c r="BL2" i="35"/>
  <c r="BK2" i="35"/>
  <c r="BJ2" i="35"/>
  <c r="BI2" i="35"/>
  <c r="BH2" i="35"/>
  <c r="BG2" i="35"/>
  <c r="BF2" i="35"/>
  <c r="BE2" i="35"/>
  <c r="BD2" i="35"/>
  <c r="BC2" i="35"/>
  <c r="BB2" i="35"/>
  <c r="BA2" i="35"/>
  <c r="AZ2" i="35"/>
  <c r="AY2" i="35"/>
  <c r="AX2" i="35"/>
  <c r="AW2" i="35"/>
  <c r="AV2" i="35"/>
  <c r="AU2" i="35"/>
  <c r="AT2" i="35"/>
  <c r="AS2" i="35"/>
  <c r="AR2" i="35"/>
  <c r="AQ2" i="35"/>
  <c r="AP2" i="35"/>
  <c r="AO2" i="35"/>
  <c r="AN2" i="35"/>
  <c r="AM2" i="35"/>
  <c r="AL2" i="35"/>
  <c r="AK2" i="35"/>
  <c r="AJ2" i="35"/>
  <c r="AI2" i="35"/>
  <c r="AH2" i="35"/>
  <c r="AG2" i="35"/>
  <c r="AF2" i="35"/>
  <c r="AE2" i="35"/>
  <c r="AD2" i="35"/>
  <c r="AC2" i="35"/>
  <c r="AB2" i="35"/>
  <c r="AA2" i="35"/>
  <c r="Z2" i="35"/>
  <c r="Y2" i="35"/>
  <c r="X2" i="35"/>
  <c r="W2" i="35"/>
  <c r="V2" i="35"/>
  <c r="U2" i="35"/>
  <c r="T2" i="35"/>
  <c r="S2" i="35"/>
  <c r="R2" i="35"/>
  <c r="Q2" i="35"/>
  <c r="P2" i="35"/>
  <c r="O2" i="35"/>
  <c r="N2" i="35"/>
  <c r="M2" i="35"/>
  <c r="L2" i="35"/>
  <c r="K2" i="35"/>
  <c r="J2" i="35"/>
  <c r="I2" i="35"/>
  <c r="H2" i="35"/>
  <c r="G2" i="35"/>
  <c r="F2" i="35"/>
  <c r="E2" i="35"/>
  <c r="D2" i="35"/>
  <c r="C2" i="35"/>
  <c r="BY30" i="35"/>
  <c r="BX30" i="35"/>
  <c r="BW30" i="35"/>
  <c r="BV30" i="35"/>
  <c r="BU30" i="35"/>
  <c r="AD32" i="41"/>
  <c r="AC31" i="41"/>
  <c r="AC13" i="41"/>
  <c r="C12" i="41"/>
  <c r="N101" i="3"/>
  <c r="N98" i="3"/>
  <c r="N95" i="3"/>
  <c r="N92" i="3"/>
  <c r="N89" i="3"/>
  <c r="N86" i="3"/>
  <c r="N83" i="3"/>
  <c r="N80" i="3"/>
  <c r="N77" i="3"/>
  <c r="N74" i="3"/>
  <c r="N71" i="3"/>
  <c r="N68" i="3"/>
  <c r="N65" i="3"/>
  <c r="N62" i="3"/>
  <c r="N59" i="3"/>
  <c r="N56" i="3"/>
  <c r="N53" i="3"/>
  <c r="N50" i="3"/>
  <c r="N47" i="3"/>
  <c r="N44" i="3"/>
  <c r="N41" i="3"/>
  <c r="N38" i="3"/>
  <c r="N35" i="3"/>
  <c r="N32" i="3"/>
  <c r="N29" i="3"/>
  <c r="Q45" i="3"/>
  <c r="Q42" i="3"/>
  <c r="Q39" i="3"/>
  <c r="Q36" i="3"/>
  <c r="Q33" i="3"/>
  <c r="Q30" i="3"/>
  <c r="Q27" i="3"/>
  <c r="Q24" i="3"/>
  <c r="Q21" i="3"/>
  <c r="Q18" i="3"/>
  <c r="Q15" i="3"/>
  <c r="K8" i="3"/>
  <c r="K9" i="3"/>
  <c r="K12" i="3"/>
  <c r="K15" i="3"/>
  <c r="H8" i="3" a="1"/>
  <c r="H8" i="3"/>
  <c r="H9" i="3" a="1"/>
  <c r="H9" i="3"/>
  <c r="H15" i="3" a="1"/>
  <c r="H15" i="3"/>
  <c r="H12" i="3" a="1"/>
  <c r="H12" i="3"/>
  <c r="E15" i="3"/>
  <c r="E8" i="3"/>
  <c r="E9" i="3"/>
  <c r="E12" i="3"/>
  <c r="E106" i="3"/>
  <c r="E103" i="3"/>
  <c r="E100" i="3"/>
  <c r="E97" i="3"/>
  <c r="E94" i="3"/>
  <c r="E91" i="3"/>
  <c r="E88" i="3"/>
  <c r="E85" i="3"/>
  <c r="E82" i="3"/>
  <c r="E79" i="3"/>
  <c r="E76" i="3"/>
  <c r="E73" i="3"/>
  <c r="E70" i="3"/>
  <c r="E67" i="3"/>
  <c r="E64" i="3"/>
  <c r="E58" i="3"/>
  <c r="E61" i="3"/>
  <c r="E55" i="3"/>
  <c r="E52" i="3"/>
  <c r="E49" i="3"/>
  <c r="E46" i="3"/>
  <c r="E43" i="3"/>
  <c r="E40" i="3"/>
  <c r="E37" i="3"/>
  <c r="E34" i="3"/>
  <c r="K17" i="3"/>
  <c r="K16" i="3"/>
  <c r="H17" i="3"/>
  <c r="H16" i="3"/>
  <c r="E4" i="3"/>
  <c r="E17" i="3"/>
  <c r="E16" i="3"/>
  <c r="Q24" i="2"/>
  <c r="E3" i="17"/>
  <c r="E13" i="17"/>
  <c r="M13" i="17"/>
  <c r="E14" i="17"/>
  <c r="E30" i="17"/>
  <c r="E35" i="17"/>
  <c r="M35" i="17"/>
  <c r="E26" i="17"/>
  <c r="E36" i="17"/>
  <c r="M36" i="17"/>
  <c r="E22" i="17"/>
  <c r="M22" i="17"/>
  <c r="E2" i="17"/>
  <c r="E11" i="17"/>
  <c r="E39" i="17"/>
  <c r="M39" i="17"/>
  <c r="E4" i="17"/>
  <c r="E8" i="17"/>
  <c r="E19" i="17"/>
  <c r="E28" i="17"/>
  <c r="E43" i="17"/>
  <c r="M43" i="17"/>
  <c r="E15" i="17"/>
  <c r="M15" i="17"/>
  <c r="C32" i="26"/>
  <c r="C3" i="26"/>
  <c r="AF41" i="15"/>
  <c r="AJ41" i="15"/>
  <c r="AF49" i="15"/>
  <c r="AJ49" i="15"/>
  <c r="AG52" i="15"/>
  <c r="AK52" i="15"/>
  <c r="AG60" i="15"/>
  <c r="AK60" i="15"/>
  <c r="AF71" i="15"/>
  <c r="AJ71" i="15"/>
  <c r="AF73" i="15"/>
  <c r="AJ73" i="15"/>
  <c r="G40" i="15"/>
  <c r="G41" i="15"/>
  <c r="L41" i="15"/>
  <c r="G72" i="15"/>
  <c r="G42" i="15"/>
  <c r="H64" i="15"/>
  <c r="G43" i="15"/>
  <c r="L43" i="15"/>
  <c r="H71" i="15"/>
  <c r="M71" i="15"/>
  <c r="G38" i="15"/>
  <c r="G39" i="15"/>
  <c r="L39" i="15"/>
  <c r="H38" i="15"/>
  <c r="M38" i="15"/>
  <c r="H39" i="15"/>
  <c r="H41" i="15"/>
  <c r="M41" i="15"/>
  <c r="H43" i="15"/>
  <c r="L38" i="15"/>
  <c r="M39" i="15"/>
  <c r="L40" i="15"/>
  <c r="L42" i="15"/>
  <c r="M43" i="15"/>
  <c r="G50" i="15"/>
  <c r="G55" i="15"/>
  <c r="L55" i="15"/>
  <c r="G59" i="15"/>
  <c r="L59" i="15"/>
  <c r="H50" i="15"/>
  <c r="M50" i="15"/>
  <c r="H51" i="15"/>
  <c r="M51" i="15"/>
  <c r="H55" i="15"/>
  <c r="M55" i="15"/>
  <c r="H56" i="15"/>
  <c r="H58" i="15"/>
  <c r="M58" i="15"/>
  <c r="L50" i="15"/>
  <c r="M56" i="15"/>
  <c r="G66" i="15"/>
  <c r="L66" i="15"/>
  <c r="G69" i="15"/>
  <c r="L69" i="15"/>
  <c r="G73" i="15"/>
  <c r="H67" i="15"/>
  <c r="H69" i="15"/>
  <c r="M69" i="15"/>
  <c r="H70" i="15"/>
  <c r="M70" i="15"/>
  <c r="H72" i="15"/>
  <c r="M67" i="15"/>
  <c r="L72" i="15"/>
  <c r="M72" i="15"/>
  <c r="L73" i="15"/>
  <c r="AY30" i="5"/>
  <c r="AY35" i="5"/>
  <c r="AJ30" i="5"/>
  <c r="AD35" i="5"/>
  <c r="AC35" i="5"/>
  <c r="AB35" i="5"/>
  <c r="AA35" i="5"/>
  <c r="Z35" i="5"/>
  <c r="F35" i="5"/>
  <c r="M35" i="5"/>
  <c r="AY29" i="5"/>
  <c r="AY71" i="5"/>
  <c r="AJ29" i="5"/>
  <c r="AF57" i="5"/>
  <c r="AJ57" i="5"/>
  <c r="AD71" i="5"/>
  <c r="AC57" i="5"/>
  <c r="AA57" i="5"/>
  <c r="F71" i="5"/>
  <c r="M71" i="5"/>
  <c r="AY28" i="5"/>
  <c r="AY43" i="5"/>
  <c r="AJ28" i="5"/>
  <c r="AD43" i="5"/>
  <c r="AC43" i="5"/>
  <c r="AB43" i="5"/>
  <c r="AA43" i="5"/>
  <c r="Z43" i="5"/>
  <c r="AY27" i="5"/>
  <c r="AY62" i="5"/>
  <c r="AJ27" i="5"/>
  <c r="AD76" i="5"/>
  <c r="AC62" i="5"/>
  <c r="AB76" i="5"/>
  <c r="AA62" i="5"/>
  <c r="AY26" i="5"/>
  <c r="AY36" i="5"/>
  <c r="AJ26" i="5"/>
  <c r="AD36" i="5"/>
  <c r="AC36" i="5"/>
  <c r="AB36" i="5"/>
  <c r="Z36" i="5"/>
  <c r="F36" i="5"/>
  <c r="M36" i="5"/>
  <c r="AY25" i="5"/>
  <c r="AY64" i="5"/>
  <c r="AJ25" i="5"/>
  <c r="AC64" i="5"/>
  <c r="AB50" i="5"/>
  <c r="AA50" i="5"/>
  <c r="F64" i="5"/>
  <c r="M64" i="5"/>
  <c r="AY24" i="5"/>
  <c r="AY69" i="5"/>
  <c r="AJ24" i="5"/>
  <c r="AF55" i="5"/>
  <c r="AJ55" i="5"/>
  <c r="AD69" i="5"/>
  <c r="AA69" i="5"/>
  <c r="F69" i="5"/>
  <c r="M69" i="5"/>
  <c r="AY23" i="5"/>
  <c r="AY49" i="5"/>
  <c r="AJ23" i="5"/>
  <c r="AD49" i="5"/>
  <c r="AC49" i="5"/>
  <c r="AB49" i="5"/>
  <c r="AA49" i="5"/>
  <c r="Z49" i="5"/>
  <c r="F49" i="5"/>
  <c r="M49" i="5"/>
  <c r="AY22" i="5"/>
  <c r="AY37" i="5"/>
  <c r="AJ22" i="5"/>
  <c r="AD37" i="5"/>
  <c r="AC37" i="5"/>
  <c r="AB37" i="5"/>
  <c r="AA37" i="5"/>
  <c r="Z37" i="5"/>
  <c r="F37" i="5"/>
  <c r="M37" i="5"/>
  <c r="AY21" i="5"/>
  <c r="AY51" i="5"/>
  <c r="AJ21" i="5"/>
  <c r="AF51" i="5"/>
  <c r="AJ51" i="5"/>
  <c r="AD51" i="5"/>
  <c r="AC65" i="5"/>
  <c r="AY20" i="5"/>
  <c r="AY70" i="5"/>
  <c r="AJ20" i="5"/>
  <c r="AD70" i="5"/>
  <c r="AC70" i="5"/>
  <c r="AA70" i="5"/>
  <c r="F56" i="5"/>
  <c r="M56" i="5"/>
  <c r="AY19" i="5"/>
  <c r="AY42" i="5"/>
  <c r="AJ19" i="5"/>
  <c r="AD42" i="5"/>
  <c r="AC42" i="5"/>
  <c r="AB42" i="5"/>
  <c r="Z42" i="5"/>
  <c r="F42" i="5"/>
  <c r="M42" i="5"/>
  <c r="AY18" i="5"/>
  <c r="AY61" i="5"/>
  <c r="AJ18" i="5"/>
  <c r="AC61" i="5"/>
  <c r="AY17" i="5"/>
  <c r="AY52" i="5"/>
  <c r="AJ17" i="5"/>
  <c r="AC52" i="5"/>
  <c r="AB66" i="5"/>
  <c r="AA66" i="5"/>
  <c r="F66" i="5"/>
  <c r="M66" i="5"/>
  <c r="AY16" i="5"/>
  <c r="AJ16" i="5"/>
  <c r="AC72" i="5"/>
  <c r="AA72" i="5"/>
  <c r="AY15" i="5"/>
  <c r="AY44" i="5"/>
  <c r="AJ15" i="5"/>
  <c r="AD44" i="5"/>
  <c r="AC44" i="5"/>
  <c r="AB44" i="5"/>
  <c r="AA44" i="5"/>
  <c r="Z44" i="5"/>
  <c r="F44" i="5"/>
  <c r="M44" i="5"/>
  <c r="AY14" i="5"/>
  <c r="AY34" i="5"/>
  <c r="AJ14" i="5"/>
  <c r="AD34" i="5"/>
  <c r="AC34" i="5"/>
  <c r="AB34" i="5"/>
  <c r="Z34" i="5"/>
  <c r="F34" i="5"/>
  <c r="M34" i="5"/>
  <c r="AY13" i="5"/>
  <c r="AY33" i="5"/>
  <c r="AJ13" i="5"/>
  <c r="AD33" i="5"/>
  <c r="AC33" i="5"/>
  <c r="AB33" i="5"/>
  <c r="AA33" i="5"/>
  <c r="Z33" i="5"/>
  <c r="AY12" i="5"/>
  <c r="AY60" i="5"/>
  <c r="AJ12" i="5"/>
  <c r="AD60" i="5"/>
  <c r="AC74" i="5"/>
  <c r="AB74" i="5"/>
  <c r="AA74" i="5"/>
  <c r="AY11" i="5"/>
  <c r="AY39" i="5"/>
  <c r="AJ11" i="5"/>
  <c r="AD39" i="5"/>
  <c r="AC39" i="5"/>
  <c r="AB39" i="5"/>
  <c r="AA39" i="5"/>
  <c r="Z39" i="5"/>
  <c r="F39" i="5"/>
  <c r="M39" i="5"/>
  <c r="AY10" i="5"/>
  <c r="AY46" i="5"/>
  <c r="AJ10" i="5"/>
  <c r="AF46" i="5"/>
  <c r="AJ46" i="5"/>
  <c r="F46" i="5"/>
  <c r="M46" i="5"/>
  <c r="AY9" i="5"/>
  <c r="AY68" i="5"/>
  <c r="AJ9" i="5"/>
  <c r="AD54" i="5"/>
  <c r="AC54" i="5"/>
  <c r="AB68" i="5"/>
  <c r="AA68" i="5"/>
  <c r="AY8" i="5"/>
  <c r="AY41" i="5"/>
  <c r="AJ8" i="5"/>
  <c r="AD41" i="5"/>
  <c r="AC41" i="5"/>
  <c r="AB41" i="5"/>
  <c r="AA41" i="5"/>
  <c r="Z41" i="5"/>
  <c r="F41" i="5"/>
  <c r="M41" i="5"/>
  <c r="AY7" i="5"/>
  <c r="AY59" i="5"/>
  <c r="AJ7" i="5"/>
  <c r="AF59" i="5"/>
  <c r="AJ59" i="5"/>
  <c r="AD59" i="5"/>
  <c r="AC59" i="5"/>
  <c r="AY6" i="5"/>
  <c r="AY47" i="5"/>
  <c r="AJ6" i="5"/>
  <c r="AD47" i="5"/>
  <c r="AC47" i="5"/>
  <c r="AB47" i="5"/>
  <c r="AA47" i="5"/>
  <c r="Z47" i="5"/>
  <c r="F47" i="5"/>
  <c r="M47" i="5"/>
  <c r="AY5" i="5"/>
  <c r="AY53" i="5"/>
  <c r="AJ5" i="5"/>
  <c r="AA53" i="5"/>
  <c r="AY4" i="5"/>
  <c r="AY40" i="5"/>
  <c r="AJ4" i="5"/>
  <c r="AD40" i="5"/>
  <c r="AB40" i="5"/>
  <c r="Z40" i="5"/>
  <c r="F40" i="5"/>
  <c r="M40" i="5"/>
  <c r="AY3" i="5"/>
  <c r="AY32" i="5"/>
  <c r="AJ3" i="5"/>
  <c r="AD32" i="5"/>
  <c r="AB32" i="5"/>
  <c r="AA32" i="5"/>
  <c r="Z32" i="5"/>
  <c r="F32" i="5"/>
  <c r="M32" i="5"/>
  <c r="AY2" i="5"/>
  <c r="AJ2" i="5"/>
  <c r="AD38" i="5"/>
  <c r="AC38" i="5"/>
  <c r="AB38" i="5"/>
  <c r="AA38" i="5"/>
  <c r="Z38" i="5"/>
  <c r="F38" i="5"/>
  <c r="M38" i="5"/>
  <c r="BS30" i="17"/>
  <c r="X30" i="17"/>
  <c r="BS29" i="17"/>
  <c r="X29" i="17"/>
  <c r="AI29" i="17"/>
  <c r="BS28" i="17"/>
  <c r="X28" i="17"/>
  <c r="BS27" i="17"/>
  <c r="X27" i="17"/>
  <c r="X76" i="17"/>
  <c r="AI76" i="17"/>
  <c r="BS26" i="17"/>
  <c r="X26" i="17"/>
  <c r="BS25" i="17"/>
  <c r="X25" i="17"/>
  <c r="BS24" i="17"/>
  <c r="X24" i="17"/>
  <c r="BS23" i="17"/>
  <c r="X23" i="17"/>
  <c r="X49" i="17"/>
  <c r="BS22" i="17"/>
  <c r="X22" i="17"/>
  <c r="BS21" i="17"/>
  <c r="X21" i="17"/>
  <c r="BS20" i="17"/>
  <c r="X20" i="17"/>
  <c r="BS19" i="17"/>
  <c r="X19" i="17"/>
  <c r="AI19" i="17"/>
  <c r="BS18" i="17"/>
  <c r="X18" i="17"/>
  <c r="BS17" i="17"/>
  <c r="X17" i="17"/>
  <c r="AI17" i="17"/>
  <c r="BS16" i="17"/>
  <c r="BS58" i="17"/>
  <c r="X16" i="17"/>
  <c r="BS15" i="17"/>
  <c r="X15" i="17"/>
  <c r="X44" i="17"/>
  <c r="AI44" i="17"/>
  <c r="BS14" i="17"/>
  <c r="X14" i="17"/>
  <c r="BS13" i="17"/>
  <c r="X13" i="17"/>
  <c r="AI13" i="17"/>
  <c r="BS12" i="17"/>
  <c r="X12" i="17"/>
  <c r="BS11" i="17"/>
  <c r="X11" i="17"/>
  <c r="AI11" i="17"/>
  <c r="BS10" i="17"/>
  <c r="X10" i="17"/>
  <c r="BS9" i="17"/>
  <c r="X9" i="17"/>
  <c r="BS8" i="17"/>
  <c r="X8" i="17"/>
  <c r="BS7" i="17"/>
  <c r="X7" i="17"/>
  <c r="AI7" i="17"/>
  <c r="BS6" i="17"/>
  <c r="X6" i="17"/>
  <c r="BS5" i="17"/>
  <c r="X5" i="17"/>
  <c r="AI5" i="17"/>
  <c r="BS4" i="17"/>
  <c r="BS40" i="17"/>
  <c r="X4" i="17"/>
  <c r="BS3" i="17"/>
  <c r="X3" i="17"/>
  <c r="AI3" i="17"/>
  <c r="BS2" i="17"/>
  <c r="X2" i="17"/>
  <c r="EM30" i="18"/>
  <c r="EI35" i="18"/>
  <c r="EM35" i="18"/>
  <c r="EM29" i="18"/>
  <c r="EI57" i="18"/>
  <c r="EM57" i="18"/>
  <c r="AR71" i="18"/>
  <c r="BX71" i="18"/>
  <c r="EM28" i="18"/>
  <c r="AR43" i="18"/>
  <c r="BX43" i="18"/>
  <c r="EM27" i="18"/>
  <c r="EI76" i="18"/>
  <c r="EM76" i="18"/>
  <c r="EM26" i="18"/>
  <c r="EM25" i="18"/>
  <c r="EI50" i="18"/>
  <c r="EM50" i="18"/>
  <c r="EM24" i="18"/>
  <c r="EM23" i="18"/>
  <c r="EI49" i="18"/>
  <c r="EM49" i="18"/>
  <c r="EM22" i="18"/>
  <c r="EI37" i="18"/>
  <c r="EM37" i="18"/>
  <c r="EM21" i="18"/>
  <c r="EI65" i="18"/>
  <c r="EM65" i="18"/>
  <c r="AR65" i="18"/>
  <c r="BX65" i="18"/>
  <c r="EM20" i="18"/>
  <c r="AR70" i="18"/>
  <c r="BX70" i="18"/>
  <c r="EM19" i="18"/>
  <c r="EI42" i="18"/>
  <c r="EM42" i="18"/>
  <c r="EM18" i="18"/>
  <c r="EM17" i="18"/>
  <c r="EI52" i="18"/>
  <c r="EM52" i="18"/>
  <c r="AR66" i="18"/>
  <c r="BX66" i="18"/>
  <c r="EM16" i="18"/>
  <c r="EM15" i="18"/>
  <c r="EI44" i="18"/>
  <c r="EM44" i="18"/>
  <c r="AR44" i="18"/>
  <c r="BX44" i="18"/>
  <c r="EM14" i="18"/>
  <c r="EI34" i="18"/>
  <c r="EM34" i="18"/>
  <c r="EM13" i="18"/>
  <c r="EI33" i="18"/>
  <c r="EM33" i="18"/>
  <c r="AR33" i="18"/>
  <c r="BX33" i="18"/>
  <c r="EM12" i="18"/>
  <c r="AR74" i="18"/>
  <c r="BX74" i="18"/>
  <c r="EM11" i="18"/>
  <c r="EI39" i="18"/>
  <c r="EM39" i="18"/>
  <c r="AR39" i="18"/>
  <c r="BX39" i="18"/>
  <c r="EM10" i="18"/>
  <c r="EM9" i="18"/>
  <c r="EI68" i="18"/>
  <c r="EM68" i="18"/>
  <c r="AR68" i="18"/>
  <c r="BX68" i="18"/>
  <c r="EM8" i="18"/>
  <c r="EI41" i="18"/>
  <c r="EM41" i="18"/>
  <c r="EM7" i="18"/>
  <c r="EI73" i="18"/>
  <c r="EM73" i="18"/>
  <c r="AR59" i="18"/>
  <c r="BX59" i="18"/>
  <c r="EM6" i="18"/>
  <c r="EI47" i="18"/>
  <c r="EM47" i="18"/>
  <c r="AR47" i="18"/>
  <c r="BX47" i="18"/>
  <c r="EM5" i="18"/>
  <c r="EI53" i="18"/>
  <c r="EM53" i="18"/>
  <c r="AR67" i="18"/>
  <c r="BX67" i="18"/>
  <c r="EM4" i="18"/>
  <c r="AR40" i="18"/>
  <c r="BX40" i="18"/>
  <c r="EM3" i="18"/>
  <c r="EI32" i="18"/>
  <c r="EM32" i="18"/>
  <c r="AR32" i="18"/>
  <c r="BX32" i="18"/>
  <c r="EM2" i="18"/>
  <c r="Q73" i="3"/>
  <c r="AP30" i="37"/>
  <c r="AJ35" i="37"/>
  <c r="AI35" i="37"/>
  <c r="AH35" i="37"/>
  <c r="AG35" i="37"/>
  <c r="AF35" i="37"/>
  <c r="AP29" i="37"/>
  <c r="AL71" i="37"/>
  <c r="AP71" i="37"/>
  <c r="AI71" i="37"/>
  <c r="F71" i="37"/>
  <c r="R71" i="37"/>
  <c r="AP28" i="37"/>
  <c r="AL43" i="37"/>
  <c r="AP43" i="37"/>
  <c r="AJ43" i="37"/>
  <c r="AI43" i="37"/>
  <c r="AH43" i="37"/>
  <c r="AP27" i="37"/>
  <c r="AJ62" i="37"/>
  <c r="AI76" i="37"/>
  <c r="AG62" i="37"/>
  <c r="AF76" i="37"/>
  <c r="AP26" i="37"/>
  <c r="AL36" i="37"/>
  <c r="AP36" i="37"/>
  <c r="AJ36" i="37"/>
  <c r="AI36" i="37"/>
  <c r="AG36" i="37"/>
  <c r="AF36" i="37"/>
  <c r="AP25" i="37"/>
  <c r="AJ64" i="37"/>
  <c r="AG64" i="37"/>
  <c r="AF64" i="37"/>
  <c r="AP24" i="37"/>
  <c r="AL69" i="37"/>
  <c r="AP69" i="37"/>
  <c r="AI55" i="37"/>
  <c r="AH55" i="37"/>
  <c r="AG69" i="37"/>
  <c r="F55" i="37"/>
  <c r="R55" i="37"/>
  <c r="AP23" i="37"/>
  <c r="AJ49" i="37"/>
  <c r="AI49" i="37"/>
  <c r="AH49" i="37"/>
  <c r="AG49" i="37"/>
  <c r="AF49" i="37"/>
  <c r="AP22" i="37"/>
  <c r="AL37" i="37"/>
  <c r="AP37" i="37"/>
  <c r="AJ37" i="37"/>
  <c r="AI37" i="37"/>
  <c r="AF37" i="37"/>
  <c r="AP21" i="37"/>
  <c r="AJ65" i="37"/>
  <c r="AI51" i="37"/>
  <c r="AP20" i="37"/>
  <c r="AJ56" i="37"/>
  <c r="AI70" i="37"/>
  <c r="AH56" i="37"/>
  <c r="AG70" i="37"/>
  <c r="AP19" i="37"/>
  <c r="AI42" i="37"/>
  <c r="AH42" i="37"/>
  <c r="AG42" i="37"/>
  <c r="AP18" i="37"/>
  <c r="AI61" i="37"/>
  <c r="AH75" i="37"/>
  <c r="H66" i="37"/>
  <c r="T66" i="37"/>
  <c r="AP17" i="37"/>
  <c r="AJ66" i="37"/>
  <c r="AI66" i="37"/>
  <c r="AG52" i="37"/>
  <c r="AF52" i="37"/>
  <c r="F52" i="37"/>
  <c r="R52" i="37"/>
  <c r="AP16" i="37"/>
  <c r="AL72" i="37"/>
  <c r="AP72" i="37"/>
  <c r="AI72" i="37"/>
  <c r="AH58" i="37"/>
  <c r="AG72" i="37"/>
  <c r="F58" i="37"/>
  <c r="R58" i="37"/>
  <c r="AP15" i="37"/>
  <c r="AI44" i="37"/>
  <c r="AF44" i="37"/>
  <c r="AP14" i="37"/>
  <c r="AJ34" i="37"/>
  <c r="AI34" i="37"/>
  <c r="AH34" i="37"/>
  <c r="AG34" i="37"/>
  <c r="AF34" i="37"/>
  <c r="AP13" i="37"/>
  <c r="AL33" i="37"/>
  <c r="AP33" i="37"/>
  <c r="AI33" i="37"/>
  <c r="AH33" i="37"/>
  <c r="AG33" i="37"/>
  <c r="F33" i="37"/>
  <c r="R33" i="37"/>
  <c r="AP12" i="37"/>
  <c r="AJ60" i="37"/>
  <c r="AI74" i="37"/>
  <c r="AH74" i="37"/>
  <c r="AG74" i="37"/>
  <c r="AP11" i="37"/>
  <c r="AJ39" i="37"/>
  <c r="AI39" i="37"/>
  <c r="AH39" i="37"/>
  <c r="AG39" i="37"/>
  <c r="AF39" i="37"/>
  <c r="F39" i="37"/>
  <c r="AP10" i="37"/>
  <c r="AG46" i="37"/>
  <c r="AP9" i="37"/>
  <c r="AI54" i="37"/>
  <c r="AP8" i="37"/>
  <c r="AL41" i="37"/>
  <c r="AP41" i="37"/>
  <c r="AJ41" i="37"/>
  <c r="AI41" i="37"/>
  <c r="AH41" i="37"/>
  <c r="AF41" i="37"/>
  <c r="F41" i="37"/>
  <c r="R41" i="37"/>
  <c r="AP7" i="37"/>
  <c r="AJ73" i="37"/>
  <c r="AG73" i="37"/>
  <c r="AP6" i="37"/>
  <c r="AL47" i="37"/>
  <c r="AP47" i="37"/>
  <c r="AJ47" i="37"/>
  <c r="AI47" i="37"/>
  <c r="AH47" i="37"/>
  <c r="AG47" i="37"/>
  <c r="AF47" i="37"/>
  <c r="AP5" i="37"/>
  <c r="AL53" i="37"/>
  <c r="AP53" i="37"/>
  <c r="AI53" i="37"/>
  <c r="AH67" i="37"/>
  <c r="F67" i="37"/>
  <c r="R67" i="37"/>
  <c r="AP4" i="37"/>
  <c r="AL40" i="37"/>
  <c r="AP40" i="37"/>
  <c r="AJ40" i="37"/>
  <c r="AP3" i="37"/>
  <c r="AJ32" i="37"/>
  <c r="AI32" i="37"/>
  <c r="AH32" i="37"/>
  <c r="AG32" i="37"/>
  <c r="AP2" i="37"/>
  <c r="AL38" i="37"/>
  <c r="AP38" i="37"/>
  <c r="AJ38" i="37"/>
  <c r="AI38" i="37"/>
  <c r="AG38" i="37"/>
  <c r="AF38" i="37"/>
  <c r="F32" i="15"/>
  <c r="F33" i="15"/>
  <c r="F34" i="15"/>
  <c r="F35" i="15"/>
  <c r="F36" i="15"/>
  <c r="F37" i="15"/>
  <c r="F38" i="15"/>
  <c r="F39" i="15"/>
  <c r="F40" i="15"/>
  <c r="K40" i="15"/>
  <c r="F41" i="15"/>
  <c r="F42" i="15"/>
  <c r="F43" i="15"/>
  <c r="F44" i="15"/>
  <c r="C3" i="29"/>
  <c r="C32" i="29"/>
  <c r="C13" i="29"/>
  <c r="C33" i="29"/>
  <c r="C14" i="29"/>
  <c r="C34" i="29"/>
  <c r="C30" i="29"/>
  <c r="C35" i="29"/>
  <c r="C26" i="29"/>
  <c r="C36" i="29"/>
  <c r="C22" i="29"/>
  <c r="C37" i="29"/>
  <c r="C2" i="29"/>
  <c r="C38" i="29"/>
  <c r="C11" i="29"/>
  <c r="C39" i="29"/>
  <c r="C4" i="29"/>
  <c r="C40" i="29"/>
  <c r="C8" i="29"/>
  <c r="C41" i="29"/>
  <c r="C19" i="29"/>
  <c r="C42" i="29"/>
  <c r="C28" i="29"/>
  <c r="C43" i="29"/>
  <c r="C15" i="29"/>
  <c r="C44" i="29"/>
  <c r="AC16" i="29"/>
  <c r="D16" i="18"/>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B30" i="41"/>
  <c r="AA30" i="41"/>
  <c r="Z30" i="41"/>
  <c r="Y30" i="41"/>
  <c r="X30" i="41"/>
  <c r="W30" i="41"/>
  <c r="V30" i="41"/>
  <c r="U30" i="41"/>
  <c r="T30" i="41"/>
  <c r="S30" i="41"/>
  <c r="R30" i="41"/>
  <c r="Q30" i="41"/>
  <c r="P30" i="41"/>
  <c r="O30" i="41"/>
  <c r="N30" i="41"/>
  <c r="M30" i="41"/>
  <c r="L30" i="41"/>
  <c r="K30" i="41"/>
  <c r="J30" i="41"/>
  <c r="I30" i="41"/>
  <c r="H30" i="41"/>
  <c r="G30" i="41"/>
  <c r="F30" i="41"/>
  <c r="E30" i="41"/>
  <c r="D30"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B29" i="41"/>
  <c r="AA29" i="41"/>
  <c r="Z29" i="41"/>
  <c r="Y29" i="41"/>
  <c r="X29" i="41"/>
  <c r="W29" i="41"/>
  <c r="V29" i="41"/>
  <c r="U29" i="41"/>
  <c r="T29" i="41"/>
  <c r="S29" i="41"/>
  <c r="R29" i="41"/>
  <c r="Q29" i="41"/>
  <c r="P29" i="41"/>
  <c r="O29" i="41"/>
  <c r="N29" i="41"/>
  <c r="M29" i="41"/>
  <c r="L29" i="41"/>
  <c r="K29" i="41"/>
  <c r="J29" i="41"/>
  <c r="I29" i="41"/>
  <c r="H29" i="41"/>
  <c r="G29" i="41"/>
  <c r="F29" i="41"/>
  <c r="E29" i="41"/>
  <c r="D29"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B28" i="41"/>
  <c r="AA28" i="41"/>
  <c r="Z28" i="41"/>
  <c r="Y28" i="41"/>
  <c r="X28" i="41"/>
  <c r="W28" i="41"/>
  <c r="V28" i="41"/>
  <c r="U28" i="41"/>
  <c r="T28" i="41"/>
  <c r="S28" i="41"/>
  <c r="R28" i="41"/>
  <c r="Q28" i="41"/>
  <c r="P28" i="41"/>
  <c r="O28" i="41"/>
  <c r="N28" i="41"/>
  <c r="M28" i="41"/>
  <c r="L28" i="41"/>
  <c r="K28" i="41"/>
  <c r="J28" i="41"/>
  <c r="I28" i="41"/>
  <c r="H28" i="41"/>
  <c r="G28" i="41"/>
  <c r="F28" i="41"/>
  <c r="E28" i="41"/>
  <c r="D28"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B27" i="41"/>
  <c r="AA27" i="41"/>
  <c r="Z27" i="41"/>
  <c r="Y27" i="41"/>
  <c r="X27" i="41"/>
  <c r="W27" i="41"/>
  <c r="V27" i="41"/>
  <c r="U27" i="41"/>
  <c r="T27" i="41"/>
  <c r="S27" i="41"/>
  <c r="R27" i="41"/>
  <c r="Q27" i="41"/>
  <c r="P27" i="41"/>
  <c r="O27" i="41"/>
  <c r="N27" i="41"/>
  <c r="M27" i="41"/>
  <c r="L27" i="41"/>
  <c r="K27" i="41"/>
  <c r="J27" i="41"/>
  <c r="I27" i="41"/>
  <c r="H27" i="41"/>
  <c r="G27" i="41"/>
  <c r="F27" i="41"/>
  <c r="E27" i="41"/>
  <c r="D27"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B26" i="41"/>
  <c r="AA26" i="41"/>
  <c r="Z26" i="41"/>
  <c r="Y26" i="41"/>
  <c r="X26" i="41"/>
  <c r="W26" i="41"/>
  <c r="V26" i="41"/>
  <c r="U26" i="41"/>
  <c r="T26" i="41"/>
  <c r="S26" i="41"/>
  <c r="R26" i="41"/>
  <c r="Q26" i="41"/>
  <c r="P26" i="41"/>
  <c r="O26" i="41"/>
  <c r="N26" i="41"/>
  <c r="M26" i="41"/>
  <c r="L26" i="41"/>
  <c r="K26" i="41"/>
  <c r="J26" i="41"/>
  <c r="I26" i="41"/>
  <c r="H26" i="41"/>
  <c r="G26" i="41"/>
  <c r="F26" i="41"/>
  <c r="E26" i="41"/>
  <c r="D26"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B25" i="41"/>
  <c r="AA25" i="41"/>
  <c r="Z25" i="41"/>
  <c r="Y25" i="41"/>
  <c r="X25" i="41"/>
  <c r="W25" i="41"/>
  <c r="V25" i="41"/>
  <c r="U25" i="41"/>
  <c r="T25" i="41"/>
  <c r="S25" i="41"/>
  <c r="R25" i="41"/>
  <c r="Q25" i="41"/>
  <c r="P25" i="41"/>
  <c r="O25" i="41"/>
  <c r="N25" i="41"/>
  <c r="M25" i="41"/>
  <c r="L25" i="41"/>
  <c r="K25" i="41"/>
  <c r="J25" i="41"/>
  <c r="I25" i="41"/>
  <c r="H25" i="41"/>
  <c r="G25" i="41"/>
  <c r="F25" i="41"/>
  <c r="E25" i="41"/>
  <c r="D25"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B24" i="41"/>
  <c r="AA24" i="41"/>
  <c r="Z24" i="41"/>
  <c r="Y24" i="41"/>
  <c r="X24" i="41"/>
  <c r="W24" i="41"/>
  <c r="V24" i="41"/>
  <c r="U24" i="41"/>
  <c r="T24" i="41"/>
  <c r="S24" i="41"/>
  <c r="R24" i="41"/>
  <c r="Q24" i="41"/>
  <c r="P24" i="41"/>
  <c r="O24" i="41"/>
  <c r="N24" i="41"/>
  <c r="M24" i="41"/>
  <c r="L24" i="41"/>
  <c r="K24" i="41"/>
  <c r="J24" i="41"/>
  <c r="I24" i="41"/>
  <c r="H24" i="41"/>
  <c r="G24" i="41"/>
  <c r="F24" i="41"/>
  <c r="E24" i="41"/>
  <c r="D24"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B23" i="41"/>
  <c r="AA23" i="41"/>
  <c r="Z23" i="41"/>
  <c r="Y23" i="41"/>
  <c r="X23" i="41"/>
  <c r="W23" i="41"/>
  <c r="V23" i="41"/>
  <c r="U23" i="41"/>
  <c r="T23" i="41"/>
  <c r="S23" i="41"/>
  <c r="R23" i="41"/>
  <c r="Q23" i="41"/>
  <c r="P23" i="41"/>
  <c r="O23" i="41"/>
  <c r="N23" i="41"/>
  <c r="M23" i="41"/>
  <c r="L23" i="41"/>
  <c r="K23" i="41"/>
  <c r="J23" i="41"/>
  <c r="I23" i="41"/>
  <c r="H23" i="41"/>
  <c r="G23" i="41"/>
  <c r="F23" i="41"/>
  <c r="E23" i="41"/>
  <c r="D23"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B21" i="41"/>
  <c r="AA21" i="41"/>
  <c r="Z21" i="41"/>
  <c r="Y21" i="41"/>
  <c r="X21" i="41"/>
  <c r="W21" i="41"/>
  <c r="V21" i="41"/>
  <c r="U21" i="41"/>
  <c r="T21" i="41"/>
  <c r="S21" i="41"/>
  <c r="R21" i="41"/>
  <c r="Q21" i="41"/>
  <c r="P21" i="41"/>
  <c r="O21" i="41"/>
  <c r="N21" i="41"/>
  <c r="M21" i="41"/>
  <c r="L21" i="41"/>
  <c r="K21" i="41"/>
  <c r="J21" i="41"/>
  <c r="I21" i="41"/>
  <c r="H21" i="41"/>
  <c r="G21" i="41"/>
  <c r="F21" i="41"/>
  <c r="E21" i="41"/>
  <c r="D21"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B20" i="41"/>
  <c r="AA20" i="41"/>
  <c r="Z20" i="41"/>
  <c r="Y20" i="41"/>
  <c r="X20" i="41"/>
  <c r="W20" i="41"/>
  <c r="V20" i="41"/>
  <c r="U20" i="41"/>
  <c r="T20" i="41"/>
  <c r="S20" i="41"/>
  <c r="R20" i="41"/>
  <c r="Q20" i="41"/>
  <c r="P20" i="41"/>
  <c r="O20" i="41"/>
  <c r="N20" i="41"/>
  <c r="M20" i="41"/>
  <c r="L20" i="41"/>
  <c r="K20" i="41"/>
  <c r="J20" i="41"/>
  <c r="I20" i="41"/>
  <c r="H20" i="41"/>
  <c r="G20" i="41"/>
  <c r="F20" i="41"/>
  <c r="E20" i="41"/>
  <c r="D20"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B19" i="41"/>
  <c r="AA19" i="41"/>
  <c r="Z19" i="41"/>
  <c r="Y19" i="41"/>
  <c r="X19" i="41"/>
  <c r="W19" i="41"/>
  <c r="V19" i="41"/>
  <c r="U19" i="41"/>
  <c r="T19" i="41"/>
  <c r="S19" i="41"/>
  <c r="R19" i="41"/>
  <c r="Q19" i="41"/>
  <c r="P19" i="41"/>
  <c r="O19" i="41"/>
  <c r="N19" i="41"/>
  <c r="M19" i="41"/>
  <c r="L19" i="41"/>
  <c r="K19" i="41"/>
  <c r="J19" i="41"/>
  <c r="I19" i="41"/>
  <c r="H19" i="41"/>
  <c r="G19" i="41"/>
  <c r="F19" i="41"/>
  <c r="E19" i="41"/>
  <c r="D19"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B18" i="41"/>
  <c r="AA18" i="41"/>
  <c r="Z18" i="41"/>
  <c r="Y18" i="41"/>
  <c r="X18" i="41"/>
  <c r="W18" i="41"/>
  <c r="V18" i="41"/>
  <c r="U18" i="41"/>
  <c r="T18" i="41"/>
  <c r="S18" i="41"/>
  <c r="R18" i="41"/>
  <c r="Q18" i="41"/>
  <c r="P18" i="41"/>
  <c r="O18" i="41"/>
  <c r="N18" i="41"/>
  <c r="M18" i="41"/>
  <c r="L18" i="41"/>
  <c r="K18" i="41"/>
  <c r="J18" i="41"/>
  <c r="I18" i="41"/>
  <c r="H18" i="41"/>
  <c r="G18" i="41"/>
  <c r="F18" i="41"/>
  <c r="E18" i="41"/>
  <c r="D18"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B17" i="41"/>
  <c r="AA17" i="41"/>
  <c r="Z17" i="41"/>
  <c r="Y17" i="41"/>
  <c r="X17" i="41"/>
  <c r="W17" i="41"/>
  <c r="V17" i="41"/>
  <c r="U17" i="41"/>
  <c r="T17" i="41"/>
  <c r="S17" i="41"/>
  <c r="R17" i="41"/>
  <c r="Q17" i="41"/>
  <c r="P17" i="41"/>
  <c r="O17" i="41"/>
  <c r="N17" i="41"/>
  <c r="M17" i="41"/>
  <c r="L17" i="41"/>
  <c r="K17" i="41"/>
  <c r="J17" i="41"/>
  <c r="I17" i="41"/>
  <c r="H17" i="41"/>
  <c r="G17" i="41"/>
  <c r="F17" i="41"/>
  <c r="E17" i="41"/>
  <c r="D17"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B16" i="41"/>
  <c r="AA16" i="41"/>
  <c r="Z16" i="41"/>
  <c r="Y16" i="41"/>
  <c r="X16" i="41"/>
  <c r="W16" i="41"/>
  <c r="V16" i="41"/>
  <c r="U16" i="41"/>
  <c r="T16" i="41"/>
  <c r="S16" i="41"/>
  <c r="R16" i="41"/>
  <c r="Q16" i="41"/>
  <c r="P16" i="41"/>
  <c r="O16" i="41"/>
  <c r="N16" i="41"/>
  <c r="M16" i="41"/>
  <c r="L16" i="41"/>
  <c r="K16" i="41"/>
  <c r="J16" i="41"/>
  <c r="I16" i="41"/>
  <c r="H16" i="41"/>
  <c r="G16" i="41"/>
  <c r="F16" i="41"/>
  <c r="E16" i="41"/>
  <c r="D16"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B15" i="41"/>
  <c r="AA15" i="41"/>
  <c r="Z15" i="41"/>
  <c r="Y15" i="41"/>
  <c r="X15" i="41"/>
  <c r="W15" i="41"/>
  <c r="V15" i="41"/>
  <c r="U15" i="41"/>
  <c r="T15" i="41"/>
  <c r="S15" i="41"/>
  <c r="R15" i="41"/>
  <c r="Q15" i="41"/>
  <c r="P15" i="41"/>
  <c r="O15" i="41"/>
  <c r="N15" i="41"/>
  <c r="M15" i="41"/>
  <c r="L15" i="41"/>
  <c r="K15" i="41"/>
  <c r="J15" i="41"/>
  <c r="I15" i="41"/>
  <c r="H15" i="41"/>
  <c r="G15" i="41"/>
  <c r="F15" i="41"/>
  <c r="E15" i="41"/>
  <c r="D15"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B14" i="41"/>
  <c r="AA14" i="41"/>
  <c r="Z14" i="41"/>
  <c r="Y14" i="41"/>
  <c r="X14" i="41"/>
  <c r="W14" i="41"/>
  <c r="V14" i="41"/>
  <c r="U14" i="41"/>
  <c r="T14" i="41"/>
  <c r="S14" i="41"/>
  <c r="R14" i="41"/>
  <c r="Q14" i="41"/>
  <c r="P14" i="41"/>
  <c r="O14" i="41"/>
  <c r="N14" i="41"/>
  <c r="M14" i="41"/>
  <c r="L14" i="41"/>
  <c r="K14" i="41"/>
  <c r="J14" i="41"/>
  <c r="I14" i="41"/>
  <c r="H14" i="41"/>
  <c r="G14" i="41"/>
  <c r="F14" i="41"/>
  <c r="E14" i="41"/>
  <c r="D14"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B13" i="41"/>
  <c r="AA13" i="41"/>
  <c r="Z13" i="41"/>
  <c r="Y13" i="41"/>
  <c r="X13" i="41"/>
  <c r="W13" i="41"/>
  <c r="V13" i="41"/>
  <c r="U13" i="41"/>
  <c r="T13" i="41"/>
  <c r="S13" i="41"/>
  <c r="R13" i="41"/>
  <c r="Q13" i="41"/>
  <c r="P13" i="41"/>
  <c r="O13" i="41"/>
  <c r="N13" i="41"/>
  <c r="M13" i="41"/>
  <c r="L13" i="41"/>
  <c r="K13" i="41"/>
  <c r="J13" i="41"/>
  <c r="I13" i="41"/>
  <c r="H13" i="41"/>
  <c r="G13" i="41"/>
  <c r="F13" i="41"/>
  <c r="E13" i="41"/>
  <c r="D13" i="41"/>
  <c r="BB12" i="41"/>
  <c r="BA12" i="41"/>
  <c r="AZ12" i="41"/>
  <c r="AY12" i="41"/>
  <c r="AX12" i="41"/>
  <c r="AW12" i="41"/>
  <c r="AV12" i="41"/>
  <c r="AU12" i="41"/>
  <c r="AT12" i="41"/>
  <c r="AS12" i="41"/>
  <c r="AR12" i="41"/>
  <c r="AQ12" i="41"/>
  <c r="AP12" i="41"/>
  <c r="AO12" i="41"/>
  <c r="AN12" i="41"/>
  <c r="AM12" i="41"/>
  <c r="AL12" i="41"/>
  <c r="AK12" i="41"/>
  <c r="AJ12" i="41"/>
  <c r="AI12" i="41"/>
  <c r="AH12" i="41"/>
  <c r="AG12" i="41"/>
  <c r="AF12" i="41"/>
  <c r="AE12" i="41"/>
  <c r="AD12" i="41"/>
  <c r="AB12" i="41"/>
  <c r="AA12" i="41"/>
  <c r="Z12" i="41"/>
  <c r="Y12" i="41"/>
  <c r="X12" i="41"/>
  <c r="W12" i="41"/>
  <c r="V12" i="41"/>
  <c r="U12" i="41"/>
  <c r="T12" i="41"/>
  <c r="S12" i="41"/>
  <c r="R12" i="41"/>
  <c r="Q12" i="41"/>
  <c r="P12" i="41"/>
  <c r="O12" i="41"/>
  <c r="N12" i="41"/>
  <c r="M12" i="41"/>
  <c r="L12" i="41"/>
  <c r="K12" i="41"/>
  <c r="J12" i="41"/>
  <c r="I12" i="41"/>
  <c r="H12" i="41"/>
  <c r="G12" i="41"/>
  <c r="F12" i="41"/>
  <c r="E12" i="41"/>
  <c r="D12" i="41"/>
  <c r="BB11" i="41"/>
  <c r="BA11" i="41"/>
  <c r="AZ11" i="41"/>
  <c r="AY11" i="41"/>
  <c r="AX11" i="41"/>
  <c r="AW11" i="41"/>
  <c r="AV11" i="41"/>
  <c r="AU11" i="41"/>
  <c r="AT11" i="41"/>
  <c r="AS11" i="41"/>
  <c r="AR11" i="41"/>
  <c r="AQ11" i="41"/>
  <c r="AP11" i="41"/>
  <c r="AO11" i="41"/>
  <c r="AN11" i="41"/>
  <c r="AM11" i="41"/>
  <c r="AL11" i="41"/>
  <c r="AK11" i="41"/>
  <c r="AJ11" i="41"/>
  <c r="AI11" i="41"/>
  <c r="AH11" i="41"/>
  <c r="AG11" i="41"/>
  <c r="AF11" i="41"/>
  <c r="AE11" i="41"/>
  <c r="AD11" i="41"/>
  <c r="AB11" i="41"/>
  <c r="AA11" i="41"/>
  <c r="Z11" i="41"/>
  <c r="Y11" i="41"/>
  <c r="X11" i="41"/>
  <c r="W11" i="41"/>
  <c r="V11" i="41"/>
  <c r="U11" i="41"/>
  <c r="T11" i="41"/>
  <c r="S11" i="41"/>
  <c r="R11" i="41"/>
  <c r="Q11" i="41"/>
  <c r="P11" i="41"/>
  <c r="O11" i="41"/>
  <c r="N11" i="41"/>
  <c r="M11" i="41"/>
  <c r="L11" i="41"/>
  <c r="K11" i="41"/>
  <c r="J11" i="41"/>
  <c r="I11" i="41"/>
  <c r="H11" i="41"/>
  <c r="G11" i="41"/>
  <c r="F11" i="41"/>
  <c r="E11" i="41"/>
  <c r="D11" i="41"/>
  <c r="BB10" i="41"/>
  <c r="BA10" i="41"/>
  <c r="AZ10" i="41"/>
  <c r="AY10" i="41"/>
  <c r="AX10" i="41"/>
  <c r="AW10" i="41"/>
  <c r="AV10" i="41"/>
  <c r="AU10" i="41"/>
  <c r="AT10" i="41"/>
  <c r="AS10" i="41"/>
  <c r="AR10" i="41"/>
  <c r="AQ10" i="41"/>
  <c r="AP10" i="41"/>
  <c r="AO10" i="41"/>
  <c r="AN10" i="41"/>
  <c r="AM10" i="41"/>
  <c r="AL10" i="41"/>
  <c r="AK10" i="41"/>
  <c r="AJ10" i="41"/>
  <c r="AI10" i="41"/>
  <c r="AH10" i="41"/>
  <c r="AG10" i="41"/>
  <c r="AF10" i="41"/>
  <c r="AE10" i="41"/>
  <c r="AD10" i="41"/>
  <c r="AB10" i="41"/>
  <c r="AA10" i="41"/>
  <c r="Z10" i="41"/>
  <c r="Y10" i="41"/>
  <c r="X10" i="41"/>
  <c r="W10" i="41"/>
  <c r="V10" i="41"/>
  <c r="U10" i="41"/>
  <c r="T10" i="41"/>
  <c r="S10" i="41"/>
  <c r="R10" i="41"/>
  <c r="Q10" i="41"/>
  <c r="P10" i="41"/>
  <c r="O10" i="41"/>
  <c r="N10" i="41"/>
  <c r="M10" i="41"/>
  <c r="L10" i="41"/>
  <c r="K10" i="41"/>
  <c r="J10" i="41"/>
  <c r="I10" i="41"/>
  <c r="H10" i="41"/>
  <c r="G10" i="41"/>
  <c r="F10" i="41"/>
  <c r="E10" i="41"/>
  <c r="D10" i="41"/>
  <c r="BB9" i="41"/>
  <c r="BA9" i="41"/>
  <c r="AZ9" i="41"/>
  <c r="AY9" i="41"/>
  <c r="AX9" i="41"/>
  <c r="AW9" i="41"/>
  <c r="AV9" i="41"/>
  <c r="AU9" i="41"/>
  <c r="AT9" i="41"/>
  <c r="AS9" i="41"/>
  <c r="AR9" i="41"/>
  <c r="AQ9" i="41"/>
  <c r="AP9" i="41"/>
  <c r="AO9" i="41"/>
  <c r="AN9" i="41"/>
  <c r="AM9" i="41"/>
  <c r="AL9" i="41"/>
  <c r="AK9" i="41"/>
  <c r="AJ9" i="41"/>
  <c r="AI9" i="41"/>
  <c r="AH9" i="41"/>
  <c r="AG9" i="41"/>
  <c r="AF9" i="41"/>
  <c r="AE9" i="41"/>
  <c r="AD9" i="41"/>
  <c r="AB9" i="41"/>
  <c r="AA9" i="41"/>
  <c r="Z9" i="41"/>
  <c r="Y9" i="41"/>
  <c r="X9" i="41"/>
  <c r="W9" i="41"/>
  <c r="V9" i="41"/>
  <c r="U9" i="41"/>
  <c r="T9" i="41"/>
  <c r="S9" i="41"/>
  <c r="R9" i="41"/>
  <c r="Q9" i="41"/>
  <c r="P9" i="41"/>
  <c r="O9" i="41"/>
  <c r="N9" i="41"/>
  <c r="M9" i="41"/>
  <c r="L9" i="41"/>
  <c r="K9" i="41"/>
  <c r="J9" i="41"/>
  <c r="I9" i="41"/>
  <c r="H9" i="41"/>
  <c r="G9" i="41"/>
  <c r="F9" i="41"/>
  <c r="E9" i="41"/>
  <c r="D9" i="41"/>
  <c r="BB8" i="41"/>
  <c r="BA8" i="41"/>
  <c r="AZ8" i="41"/>
  <c r="AY8" i="41"/>
  <c r="AX8" i="41"/>
  <c r="AW8" i="41"/>
  <c r="AV8" i="41"/>
  <c r="AU8" i="41"/>
  <c r="AT8" i="41"/>
  <c r="AS8" i="41"/>
  <c r="AR8" i="41"/>
  <c r="AQ8" i="41"/>
  <c r="AP8" i="41"/>
  <c r="AO8" i="41"/>
  <c r="AN8" i="41"/>
  <c r="AM8" i="41"/>
  <c r="AL8" i="41"/>
  <c r="AK8" i="41"/>
  <c r="AJ8" i="41"/>
  <c r="AI8" i="41"/>
  <c r="AH8" i="41"/>
  <c r="AG8" i="41"/>
  <c r="AF8" i="41"/>
  <c r="AE8" i="41"/>
  <c r="AD8" i="41"/>
  <c r="AB8" i="41"/>
  <c r="AA8" i="41"/>
  <c r="Z8" i="41"/>
  <c r="Y8" i="41"/>
  <c r="X8" i="41"/>
  <c r="W8" i="41"/>
  <c r="V8" i="41"/>
  <c r="U8" i="41"/>
  <c r="T8" i="41"/>
  <c r="S8" i="41"/>
  <c r="R8" i="41"/>
  <c r="Q8" i="41"/>
  <c r="P8" i="41"/>
  <c r="O8" i="41"/>
  <c r="N8" i="41"/>
  <c r="M8" i="41"/>
  <c r="L8" i="41"/>
  <c r="K8" i="41"/>
  <c r="J8" i="41"/>
  <c r="I8" i="41"/>
  <c r="H8" i="41"/>
  <c r="G8" i="41"/>
  <c r="F8" i="41"/>
  <c r="E8" i="41"/>
  <c r="D8" i="41"/>
  <c r="BB7" i="41"/>
  <c r="BA7" i="41"/>
  <c r="AZ7" i="41"/>
  <c r="AY7" i="41"/>
  <c r="AX7" i="41"/>
  <c r="AW7" i="41"/>
  <c r="AV7" i="41"/>
  <c r="AU7" i="41"/>
  <c r="AT7" i="41"/>
  <c r="AS7" i="41"/>
  <c r="AR7" i="41"/>
  <c r="AQ7" i="41"/>
  <c r="AP7" i="41"/>
  <c r="AO7" i="41"/>
  <c r="AN7" i="41"/>
  <c r="AM7" i="41"/>
  <c r="AL7" i="41"/>
  <c r="AK7" i="41"/>
  <c r="AJ7" i="41"/>
  <c r="AI7" i="41"/>
  <c r="AH7" i="41"/>
  <c r="AG7" i="41"/>
  <c r="AF7" i="41"/>
  <c r="AE7" i="41"/>
  <c r="AD7" i="41"/>
  <c r="AB7" i="41"/>
  <c r="AA7" i="41"/>
  <c r="Z7" i="41"/>
  <c r="Y7" i="41"/>
  <c r="X7" i="41"/>
  <c r="W7" i="41"/>
  <c r="V7" i="41"/>
  <c r="U7" i="41"/>
  <c r="T7" i="41"/>
  <c r="S7" i="41"/>
  <c r="R7" i="41"/>
  <c r="Q7" i="41"/>
  <c r="P7" i="41"/>
  <c r="O7" i="41"/>
  <c r="N7" i="41"/>
  <c r="M7" i="41"/>
  <c r="L7" i="41"/>
  <c r="K7" i="41"/>
  <c r="J7" i="41"/>
  <c r="I7" i="41"/>
  <c r="H7" i="41"/>
  <c r="G7" i="41"/>
  <c r="F7" i="41"/>
  <c r="E7" i="41"/>
  <c r="D7" i="41"/>
  <c r="BB6" i="41"/>
  <c r="BA6" i="41"/>
  <c r="AZ6" i="41"/>
  <c r="AY6" i="41"/>
  <c r="AX6" i="41"/>
  <c r="AW6" i="41"/>
  <c r="AV6" i="41"/>
  <c r="AU6" i="41"/>
  <c r="AT6" i="41"/>
  <c r="AS6" i="41"/>
  <c r="AR6" i="41"/>
  <c r="AQ6" i="41"/>
  <c r="AP6" i="41"/>
  <c r="AO6" i="41"/>
  <c r="AN6" i="41"/>
  <c r="AM6" i="41"/>
  <c r="AL6" i="41"/>
  <c r="AK6" i="41"/>
  <c r="AJ6" i="41"/>
  <c r="AI6" i="41"/>
  <c r="AH6" i="41"/>
  <c r="AG6" i="41"/>
  <c r="AF6" i="41"/>
  <c r="AE6" i="41"/>
  <c r="AD6" i="41"/>
  <c r="AB6" i="41"/>
  <c r="AA6" i="41"/>
  <c r="Z6" i="41"/>
  <c r="Y6" i="41"/>
  <c r="X6" i="41"/>
  <c r="W6" i="41"/>
  <c r="V6" i="41"/>
  <c r="U6" i="41"/>
  <c r="T6" i="41"/>
  <c r="S6" i="41"/>
  <c r="R6" i="41"/>
  <c r="Q6" i="41"/>
  <c r="P6" i="41"/>
  <c r="O6" i="41"/>
  <c r="N6" i="41"/>
  <c r="M6" i="41"/>
  <c r="L6" i="41"/>
  <c r="K6" i="41"/>
  <c r="J6" i="41"/>
  <c r="I6" i="41"/>
  <c r="H6" i="41"/>
  <c r="G6" i="41"/>
  <c r="F6" i="41"/>
  <c r="E6" i="41"/>
  <c r="D6" i="41"/>
  <c r="BB5" i="41"/>
  <c r="BA5" i="41"/>
  <c r="AZ5" i="41"/>
  <c r="AY5" i="41"/>
  <c r="AX5" i="41"/>
  <c r="AW5" i="41"/>
  <c r="AV5" i="41"/>
  <c r="AU5" i="41"/>
  <c r="AT5" i="41"/>
  <c r="AS5" i="41"/>
  <c r="AR5" i="41"/>
  <c r="AQ5" i="41"/>
  <c r="AP5" i="41"/>
  <c r="AO5" i="41"/>
  <c r="AN5" i="41"/>
  <c r="AM5" i="41"/>
  <c r="AL5" i="41"/>
  <c r="AK5" i="41"/>
  <c r="AJ5" i="41"/>
  <c r="AI5" i="41"/>
  <c r="AH5" i="41"/>
  <c r="AG5" i="41"/>
  <c r="AF5" i="41"/>
  <c r="AE5" i="41"/>
  <c r="AD5" i="41"/>
  <c r="AB5" i="41"/>
  <c r="AA5" i="41"/>
  <c r="Z5" i="41"/>
  <c r="Y5" i="41"/>
  <c r="X5" i="41"/>
  <c r="W5" i="41"/>
  <c r="V5" i="41"/>
  <c r="U5" i="41"/>
  <c r="T5" i="41"/>
  <c r="S5" i="41"/>
  <c r="R5" i="41"/>
  <c r="Q5" i="41"/>
  <c r="P5" i="41"/>
  <c r="O5" i="41"/>
  <c r="N5" i="41"/>
  <c r="M5" i="41"/>
  <c r="L5" i="41"/>
  <c r="K5" i="41"/>
  <c r="J5" i="41"/>
  <c r="I5" i="41"/>
  <c r="H5" i="41"/>
  <c r="G5" i="41"/>
  <c r="F5" i="41"/>
  <c r="E5" i="41"/>
  <c r="D5" i="41"/>
  <c r="BB4" i="41"/>
  <c r="BA4" i="41"/>
  <c r="AZ4" i="41"/>
  <c r="AY4" i="41"/>
  <c r="AX4" i="41"/>
  <c r="AW4" i="41"/>
  <c r="AV4" i="41"/>
  <c r="AU4" i="41"/>
  <c r="AT4" i="41"/>
  <c r="AS4" i="41"/>
  <c r="AR4" i="41"/>
  <c r="AQ4" i="41"/>
  <c r="AP4" i="41"/>
  <c r="AO4" i="41"/>
  <c r="AN4" i="41"/>
  <c r="AM4" i="41"/>
  <c r="AL4" i="41"/>
  <c r="AK4" i="41"/>
  <c r="AJ4" i="41"/>
  <c r="AI4" i="41"/>
  <c r="AH4" i="41"/>
  <c r="AG4" i="41"/>
  <c r="AF4" i="41"/>
  <c r="AE4" i="41"/>
  <c r="AD4" i="41"/>
  <c r="AB4" i="41"/>
  <c r="AA4" i="41"/>
  <c r="Z4" i="41"/>
  <c r="Y4" i="41"/>
  <c r="X4" i="41"/>
  <c r="W4" i="41"/>
  <c r="V4" i="41"/>
  <c r="U4" i="41"/>
  <c r="T4" i="41"/>
  <c r="S4" i="41"/>
  <c r="R4" i="41"/>
  <c r="Q4" i="41"/>
  <c r="P4" i="41"/>
  <c r="O4" i="41"/>
  <c r="N4" i="41"/>
  <c r="M4" i="41"/>
  <c r="L4" i="41"/>
  <c r="K4" i="41"/>
  <c r="J4" i="41"/>
  <c r="I4" i="41"/>
  <c r="H4" i="41"/>
  <c r="G4" i="41"/>
  <c r="F4" i="41"/>
  <c r="E4" i="41"/>
  <c r="D4" i="41"/>
  <c r="BB3" i="41"/>
  <c r="BA3" i="41"/>
  <c r="AZ3" i="41"/>
  <c r="AY3" i="41"/>
  <c r="AX3" i="41"/>
  <c r="AW3" i="41"/>
  <c r="AV3" i="41"/>
  <c r="AU3" i="41"/>
  <c r="AT3" i="41"/>
  <c r="AS3" i="41"/>
  <c r="AR3" i="41"/>
  <c r="AQ3" i="41"/>
  <c r="AP3" i="41"/>
  <c r="AO3" i="41"/>
  <c r="AN3" i="41"/>
  <c r="AM3" i="41"/>
  <c r="AL3" i="41"/>
  <c r="AK3" i="41"/>
  <c r="AJ3" i="41"/>
  <c r="AI3" i="41"/>
  <c r="AH3" i="41"/>
  <c r="AG3" i="41"/>
  <c r="AF3" i="41"/>
  <c r="AE3" i="41"/>
  <c r="AD3" i="41"/>
  <c r="AB3" i="41"/>
  <c r="AA3" i="41"/>
  <c r="Z3" i="41"/>
  <c r="Y3" i="41"/>
  <c r="X3" i="41"/>
  <c r="W3" i="41"/>
  <c r="V3" i="41"/>
  <c r="U3" i="41"/>
  <c r="T3" i="41"/>
  <c r="S3" i="41"/>
  <c r="R3" i="41"/>
  <c r="Q3" i="41"/>
  <c r="P3" i="41"/>
  <c r="O3" i="41"/>
  <c r="N3" i="41"/>
  <c r="M3" i="41"/>
  <c r="L3" i="41"/>
  <c r="K3" i="41"/>
  <c r="J3" i="41"/>
  <c r="I3" i="41"/>
  <c r="H3" i="41"/>
  <c r="G3" i="41"/>
  <c r="F3" i="41"/>
  <c r="E3" i="41"/>
  <c r="D3" i="41"/>
  <c r="BB2" i="41"/>
  <c r="BA2" i="41"/>
  <c r="AZ2" i="41"/>
  <c r="AY2" i="41"/>
  <c r="AX2" i="41"/>
  <c r="AW2" i="41"/>
  <c r="AV2" i="41"/>
  <c r="AU2" i="41"/>
  <c r="AT2" i="41"/>
  <c r="AS2" i="41"/>
  <c r="AR2" i="41"/>
  <c r="AQ2" i="41"/>
  <c r="AP2" i="41"/>
  <c r="AO2" i="41"/>
  <c r="AN2" i="41"/>
  <c r="AM2" i="41"/>
  <c r="AL2" i="41"/>
  <c r="AK2" i="41"/>
  <c r="AJ2" i="41"/>
  <c r="AI2" i="41"/>
  <c r="AH2" i="41"/>
  <c r="AG2" i="41"/>
  <c r="AF2" i="41"/>
  <c r="AE2" i="41"/>
  <c r="AD2" i="41"/>
  <c r="AB2" i="41"/>
  <c r="AA2" i="41"/>
  <c r="Z2" i="41"/>
  <c r="Y2" i="41"/>
  <c r="X2" i="41"/>
  <c r="W2" i="41"/>
  <c r="V2" i="41"/>
  <c r="U2" i="41"/>
  <c r="T2" i="41"/>
  <c r="S2" i="41"/>
  <c r="R2" i="41"/>
  <c r="Q2" i="41"/>
  <c r="P2" i="41"/>
  <c r="O2" i="41"/>
  <c r="N2" i="41"/>
  <c r="M2" i="41"/>
  <c r="L2" i="41"/>
  <c r="K2" i="41"/>
  <c r="J2" i="41"/>
  <c r="I2" i="41"/>
  <c r="H2" i="41"/>
  <c r="G2" i="41"/>
  <c r="F2" i="41"/>
  <c r="E2" i="41"/>
  <c r="D2" i="41"/>
  <c r="B31" i="3"/>
  <c r="B26" i="3"/>
  <c r="AK35" i="37"/>
  <c r="AO30" i="37"/>
  <c r="AO35" i="37"/>
  <c r="AK71" i="37"/>
  <c r="AO71" i="37"/>
  <c r="D71" i="37"/>
  <c r="P71" i="37"/>
  <c r="AK62" i="37"/>
  <c r="AO62" i="37"/>
  <c r="D62" i="37"/>
  <c r="P62" i="37"/>
  <c r="E36" i="37"/>
  <c r="Q26" i="37"/>
  <c r="Q36" i="37"/>
  <c r="AK50" i="37"/>
  <c r="AO25" i="37"/>
  <c r="AO50" i="37"/>
  <c r="E50" i="37"/>
  <c r="Q25" i="37"/>
  <c r="Q50" i="37"/>
  <c r="D64" i="37"/>
  <c r="P64" i="37"/>
  <c r="AK55" i="37"/>
  <c r="AO55" i="37"/>
  <c r="E69" i="37"/>
  <c r="Q69" i="37"/>
  <c r="D69" i="37"/>
  <c r="P69" i="37"/>
  <c r="AK49" i="37"/>
  <c r="AO23" i="37"/>
  <c r="AO49" i="37"/>
  <c r="D37" i="37"/>
  <c r="P22" i="37"/>
  <c r="P37" i="37"/>
  <c r="D65" i="37"/>
  <c r="P65" i="37"/>
  <c r="AK61" i="37"/>
  <c r="AO18" i="37"/>
  <c r="AO61" i="37"/>
  <c r="E61" i="37"/>
  <c r="Q18" i="37"/>
  <c r="Q61" i="37"/>
  <c r="AK52" i="37"/>
  <c r="AO17" i="37"/>
  <c r="AO52" i="37"/>
  <c r="D66" i="37"/>
  <c r="P17" i="37"/>
  <c r="P66" i="37"/>
  <c r="AK58" i="37"/>
  <c r="AO16" i="37"/>
  <c r="AO58" i="37"/>
  <c r="AK44" i="37"/>
  <c r="AO15" i="37"/>
  <c r="AO44" i="37"/>
  <c r="E44" i="37"/>
  <c r="Q15" i="37"/>
  <c r="Q44" i="37"/>
  <c r="AK34" i="37"/>
  <c r="AO14" i="37"/>
  <c r="AO34" i="37"/>
  <c r="AK33" i="37"/>
  <c r="AO13" i="37"/>
  <c r="AO33" i="37"/>
  <c r="AK39" i="37"/>
  <c r="AO39" i="37"/>
  <c r="D39" i="37"/>
  <c r="P39" i="37"/>
  <c r="AK46" i="37"/>
  <c r="AO10" i="37"/>
  <c r="AO46" i="37"/>
  <c r="E46" i="37"/>
  <c r="Q10" i="37"/>
  <c r="Q46" i="37"/>
  <c r="AK67" i="37"/>
  <c r="AO67" i="37"/>
  <c r="AK32" i="37"/>
  <c r="AO3" i="37"/>
  <c r="AO32" i="37"/>
  <c r="E38" i="37"/>
  <c r="Q2" i="37"/>
  <c r="Q38" i="37"/>
  <c r="CM35" i="18"/>
  <c r="DS35" i="18"/>
  <c r="CL35" i="18"/>
  <c r="DR30" i="18"/>
  <c r="DR35" i="18"/>
  <c r="AO30" i="18"/>
  <c r="AO35" i="18"/>
  <c r="AJ30" i="18"/>
  <c r="AJ35" i="18"/>
  <c r="AI30" i="18"/>
  <c r="AI35" i="18"/>
  <c r="G35" i="18"/>
  <c r="AG30" i="18"/>
  <c r="AG35" i="18"/>
  <c r="CN57" i="18"/>
  <c r="DT29" i="18"/>
  <c r="DT57" i="18"/>
  <c r="AP57" i="18"/>
  <c r="BV57" i="18"/>
  <c r="AN57" i="18"/>
  <c r="F71" i="18"/>
  <c r="AF71" i="18"/>
  <c r="EH43" i="18"/>
  <c r="EL43" i="18"/>
  <c r="CN43" i="18"/>
  <c r="DT28" i="18"/>
  <c r="DT43" i="18"/>
  <c r="CM43" i="18"/>
  <c r="DS43" i="18"/>
  <c r="AL43" i="18"/>
  <c r="AI43" i="18"/>
  <c r="E43" i="18"/>
  <c r="AE43" i="18"/>
  <c r="EH62" i="18"/>
  <c r="EL62" i="18"/>
  <c r="CL62" i="18"/>
  <c r="DR62" i="18"/>
  <c r="AQ76" i="18"/>
  <c r="BW76" i="18"/>
  <c r="AJ76" i="18"/>
  <c r="AH76" i="18"/>
  <c r="CU62" i="18"/>
  <c r="EA62" i="18"/>
  <c r="EH36" i="18"/>
  <c r="EL26" i="18"/>
  <c r="EL36" i="18"/>
  <c r="CL36" i="18"/>
  <c r="DR26" i="18"/>
  <c r="DR36" i="18"/>
  <c r="AK26" i="18"/>
  <c r="AK36" i="18"/>
  <c r="G36" i="18"/>
  <c r="AG26" i="18"/>
  <c r="AG36" i="18"/>
  <c r="CU36" i="18"/>
  <c r="EA36" i="18"/>
  <c r="CN64" i="18"/>
  <c r="DT25" i="18"/>
  <c r="DT64" i="18"/>
  <c r="AP50" i="18"/>
  <c r="AJ50" i="18"/>
  <c r="EH69" i="18"/>
  <c r="EL69" i="18"/>
  <c r="CN69" i="18"/>
  <c r="DT24" i="18"/>
  <c r="DT69" i="18"/>
  <c r="CM55" i="18"/>
  <c r="DS55" i="18"/>
  <c r="CZ69" i="18"/>
  <c r="EF69" i="18"/>
  <c r="AM69" i="18"/>
  <c r="AL69" i="18"/>
  <c r="G69" i="18"/>
  <c r="AG69" i="18"/>
  <c r="E69" i="18"/>
  <c r="AE69" i="18"/>
  <c r="CN49" i="18"/>
  <c r="DT23" i="18"/>
  <c r="DT49" i="18"/>
  <c r="AQ49" i="18"/>
  <c r="BW23" i="18"/>
  <c r="BW49" i="18"/>
  <c r="AI23" i="18"/>
  <c r="AI49" i="18"/>
  <c r="F49" i="18"/>
  <c r="AF23" i="18"/>
  <c r="AF49" i="18"/>
  <c r="AO22" i="18"/>
  <c r="AO37" i="18"/>
  <c r="AJ22" i="18"/>
  <c r="AJ37" i="18"/>
  <c r="E37" i="18"/>
  <c r="AE22" i="18"/>
  <c r="AE37" i="18"/>
  <c r="CN65" i="18"/>
  <c r="DT21" i="18"/>
  <c r="DT65" i="18"/>
  <c r="AH51" i="18"/>
  <c r="CR51" i="18"/>
  <c r="DX51" i="18"/>
  <c r="EH70" i="18"/>
  <c r="EL70" i="18"/>
  <c r="AQ70" i="18"/>
  <c r="BW70" i="18"/>
  <c r="AP56" i="18"/>
  <c r="BV56" i="18"/>
  <c r="BD56" i="18"/>
  <c r="CJ56" i="18"/>
  <c r="AI56" i="18"/>
  <c r="AH70" i="18"/>
  <c r="G56" i="18"/>
  <c r="AG56" i="18"/>
  <c r="AQ42" i="18"/>
  <c r="BW42" i="18"/>
  <c r="AY42" i="18"/>
  <c r="CE42" i="18"/>
  <c r="EH75" i="18"/>
  <c r="EL18" i="18"/>
  <c r="EL75" i="18"/>
  <c r="CM75" i="18"/>
  <c r="DS75" i="18"/>
  <c r="AQ75" i="18"/>
  <c r="BW18" i="18"/>
  <c r="BW75" i="18"/>
  <c r="AO18" i="18"/>
  <c r="AO75" i="18"/>
  <c r="AL18" i="18"/>
  <c r="AL61" i="18"/>
  <c r="AK18" i="18"/>
  <c r="AK75" i="18"/>
  <c r="F75" i="18"/>
  <c r="AF18" i="18"/>
  <c r="AF75" i="18"/>
  <c r="CL52" i="18"/>
  <c r="DR17" i="18"/>
  <c r="DR52" i="18"/>
  <c r="AQ66" i="18"/>
  <c r="BW17" i="18"/>
  <c r="BW66" i="18"/>
  <c r="AO17" i="18"/>
  <c r="AO66" i="18"/>
  <c r="AL17" i="18"/>
  <c r="AL52" i="18"/>
  <c r="G66" i="18"/>
  <c r="AG17" i="18"/>
  <c r="AG66" i="18"/>
  <c r="EH58" i="18"/>
  <c r="EL16" i="18"/>
  <c r="EL58" i="18"/>
  <c r="AP58" i="18"/>
  <c r="BV16" i="18"/>
  <c r="BV58" i="18"/>
  <c r="AL16" i="18"/>
  <c r="AL58" i="18"/>
  <c r="AH16" i="18"/>
  <c r="AH72" i="18"/>
  <c r="EH44" i="18"/>
  <c r="CN44" i="18"/>
  <c r="DT15" i="18"/>
  <c r="DT44" i="18"/>
  <c r="CL44" i="18"/>
  <c r="DR15" i="18"/>
  <c r="DR44" i="18"/>
  <c r="CT44" i="18"/>
  <c r="DZ44" i="18"/>
  <c r="AH15" i="18"/>
  <c r="AH44" i="18"/>
  <c r="F44" i="18"/>
  <c r="AF15" i="18"/>
  <c r="AF44" i="18"/>
  <c r="E44" i="18"/>
  <c r="AE15" i="18"/>
  <c r="AE44" i="18"/>
  <c r="AO14" i="18"/>
  <c r="AO34" i="18"/>
  <c r="AN14" i="18"/>
  <c r="AN34" i="18"/>
  <c r="CR34" i="18"/>
  <c r="DX34" i="18"/>
  <c r="F34" i="18"/>
  <c r="AF14" i="18"/>
  <c r="AF34" i="18"/>
  <c r="CN33" i="18"/>
  <c r="DT13" i="18"/>
  <c r="DT33" i="18"/>
  <c r="CL33" i="18"/>
  <c r="DR13" i="18"/>
  <c r="DR33" i="18"/>
  <c r="AH13" i="18"/>
  <c r="AH33" i="18"/>
  <c r="EH60" i="18"/>
  <c r="EL60" i="18"/>
  <c r="CN60" i="18"/>
  <c r="DT12" i="18"/>
  <c r="DT60" i="18"/>
  <c r="AQ74" i="18"/>
  <c r="BW74" i="18"/>
  <c r="CW60" i="18"/>
  <c r="EC60" i="18"/>
  <c r="AI74" i="18"/>
  <c r="G60" i="18"/>
  <c r="AG60" i="18"/>
  <c r="F74" i="18"/>
  <c r="AF74" i="18"/>
  <c r="CN39" i="18"/>
  <c r="DT11" i="18"/>
  <c r="DT39" i="18"/>
  <c r="CL39" i="18"/>
  <c r="DR39" i="18"/>
  <c r="AP39" i="18"/>
  <c r="BV39" i="18"/>
  <c r="AJ39" i="18"/>
  <c r="EH46" i="18"/>
  <c r="EL10" i="18"/>
  <c r="EL46" i="18"/>
  <c r="CM46" i="18"/>
  <c r="CY46" i="18"/>
  <c r="EE46" i="18"/>
  <c r="G46" i="18"/>
  <c r="AG10" i="18"/>
  <c r="AG46" i="18"/>
  <c r="F46" i="18"/>
  <c r="AF10" i="18"/>
  <c r="AF46" i="18"/>
  <c r="EH68" i="18"/>
  <c r="EL9" i="18"/>
  <c r="EL68" i="18"/>
  <c r="CN68" i="18"/>
  <c r="DT9" i="18"/>
  <c r="DT68" i="18"/>
  <c r="CL68" i="18"/>
  <c r="DR9" i="18"/>
  <c r="DR68" i="18"/>
  <c r="AP68" i="18"/>
  <c r="BV9" i="18"/>
  <c r="BV68" i="18"/>
  <c r="AU54" i="18"/>
  <c r="CA54" i="18"/>
  <c r="AJ9" i="18"/>
  <c r="AJ54" i="18"/>
  <c r="G68" i="18"/>
  <c r="AG9" i="18"/>
  <c r="AG68" i="18"/>
  <c r="EH41" i="18"/>
  <c r="CM41" i="18"/>
  <c r="DS41" i="18"/>
  <c r="AM8" i="18"/>
  <c r="AM41" i="18"/>
  <c r="AK8" i="18"/>
  <c r="AK41" i="18"/>
  <c r="E41" i="18"/>
  <c r="AE8" i="18"/>
  <c r="AE41" i="18"/>
  <c r="EH73" i="18"/>
  <c r="CN59" i="18"/>
  <c r="DT7" i="18"/>
  <c r="DT59" i="18"/>
  <c r="AN7" i="18"/>
  <c r="AN73" i="18"/>
  <c r="AT59" i="18"/>
  <c r="BZ59" i="18"/>
  <c r="CT59" i="18"/>
  <c r="DZ59" i="18"/>
  <c r="F73" i="18"/>
  <c r="AF7" i="18"/>
  <c r="AF73" i="18"/>
  <c r="CM47" i="18"/>
  <c r="DS47" i="18"/>
  <c r="CL47" i="18"/>
  <c r="DR47" i="18"/>
  <c r="CT47" i="18"/>
  <c r="DZ47" i="18"/>
  <c r="EH67" i="18"/>
  <c r="EL67" i="18"/>
  <c r="CN53" i="18"/>
  <c r="DT5" i="18"/>
  <c r="DT53" i="18"/>
  <c r="CL53" i="18"/>
  <c r="DR53" i="18"/>
  <c r="AP53" i="18"/>
  <c r="BV53" i="18"/>
  <c r="BA53" i="18"/>
  <c r="CG53" i="18"/>
  <c r="CP53" i="18"/>
  <c r="DV53" i="18"/>
  <c r="CU67" i="18"/>
  <c r="EA67" i="18"/>
  <c r="EH40" i="18"/>
  <c r="EL40" i="18"/>
  <c r="CM40" i="18"/>
  <c r="DS40" i="18"/>
  <c r="AQ40" i="18"/>
  <c r="BW40" i="18"/>
  <c r="AO40" i="18"/>
  <c r="G40" i="18"/>
  <c r="AG40" i="18"/>
  <c r="EH32" i="18"/>
  <c r="EL3" i="18"/>
  <c r="EL32" i="18"/>
  <c r="AJ3" i="18"/>
  <c r="AJ32" i="18"/>
  <c r="CM38" i="18"/>
  <c r="DS38" i="18"/>
  <c r="CZ38" i="18"/>
  <c r="EF38" i="18"/>
  <c r="AT38" i="18"/>
  <c r="BZ38" i="18"/>
  <c r="AI2" i="18"/>
  <c r="AI38" i="18"/>
  <c r="F38" i="18"/>
  <c r="AF2" i="18"/>
  <c r="AF38" i="18"/>
  <c r="AN35" i="5"/>
  <c r="AT30" i="5"/>
  <c r="AT35" i="5"/>
  <c r="AM35" i="5"/>
  <c r="AS35" i="5"/>
  <c r="AE35" i="5"/>
  <c r="AI30" i="5"/>
  <c r="AI35" i="5"/>
  <c r="E35" i="5"/>
  <c r="L30" i="5"/>
  <c r="L35" i="5"/>
  <c r="D35" i="5"/>
  <c r="K30" i="5"/>
  <c r="K35" i="5"/>
  <c r="AE57" i="5"/>
  <c r="AI57" i="5"/>
  <c r="E57" i="5"/>
  <c r="L57" i="5"/>
  <c r="D71" i="5"/>
  <c r="K71" i="5"/>
  <c r="AN43" i="5"/>
  <c r="AT28" i="5"/>
  <c r="AT43" i="5"/>
  <c r="AM43" i="5"/>
  <c r="AS43" i="5"/>
  <c r="AE43" i="5"/>
  <c r="AI43" i="5"/>
  <c r="E43" i="5"/>
  <c r="L43" i="5"/>
  <c r="D43" i="5"/>
  <c r="K43" i="5"/>
  <c r="AE76" i="5"/>
  <c r="AI76" i="5"/>
  <c r="D62" i="5"/>
  <c r="K62" i="5"/>
  <c r="AN36" i="5"/>
  <c r="AT26" i="5"/>
  <c r="AT36" i="5"/>
  <c r="AM36" i="5"/>
  <c r="AS36" i="5"/>
  <c r="AE36" i="5"/>
  <c r="AI26" i="5"/>
  <c r="AI36" i="5"/>
  <c r="D36" i="5"/>
  <c r="K26" i="5"/>
  <c r="K36" i="5"/>
  <c r="AM64" i="5"/>
  <c r="AS64" i="5"/>
  <c r="AL50" i="5"/>
  <c r="AR50" i="5"/>
  <c r="AE64" i="5"/>
  <c r="AI25" i="5"/>
  <c r="AI64" i="5"/>
  <c r="D50" i="5"/>
  <c r="K50" i="5"/>
  <c r="AM69" i="5"/>
  <c r="AS69" i="5"/>
  <c r="AE69" i="5"/>
  <c r="AI69" i="5"/>
  <c r="AN49" i="5"/>
  <c r="AT23" i="5"/>
  <c r="AT49" i="5"/>
  <c r="AM49" i="5"/>
  <c r="AS49" i="5"/>
  <c r="AE49" i="5"/>
  <c r="AI23" i="5"/>
  <c r="AI49" i="5"/>
  <c r="E49" i="5"/>
  <c r="L23" i="5"/>
  <c r="L49" i="5"/>
  <c r="D49" i="5"/>
  <c r="K23" i="5"/>
  <c r="K49" i="5"/>
  <c r="AN37" i="5"/>
  <c r="AT22" i="5"/>
  <c r="AT37" i="5"/>
  <c r="AM37" i="5"/>
  <c r="AS37" i="5"/>
  <c r="AL37" i="5"/>
  <c r="AR22" i="5"/>
  <c r="AR37" i="5"/>
  <c r="AE37" i="5"/>
  <c r="AI22" i="5"/>
  <c r="AI37" i="5"/>
  <c r="D37" i="5"/>
  <c r="K22" i="5"/>
  <c r="K37" i="5"/>
  <c r="AN51" i="5"/>
  <c r="AT21" i="5"/>
  <c r="AT51" i="5"/>
  <c r="AM65" i="5"/>
  <c r="AS65" i="5"/>
  <c r="AL51" i="5"/>
  <c r="AR51" i="5"/>
  <c r="E51" i="5"/>
  <c r="L21" i="5"/>
  <c r="L51" i="5"/>
  <c r="D65" i="5"/>
  <c r="K65" i="5"/>
  <c r="AM56" i="5"/>
  <c r="AS56" i="5"/>
  <c r="AE56" i="5"/>
  <c r="AI56" i="5"/>
  <c r="E56" i="5"/>
  <c r="L56" i="5"/>
  <c r="D70" i="5"/>
  <c r="K70" i="5"/>
  <c r="AN42" i="5"/>
  <c r="AT19" i="5"/>
  <c r="AT42" i="5"/>
  <c r="AE42" i="5"/>
  <c r="AI42" i="5"/>
  <c r="D42" i="5"/>
  <c r="K42" i="5"/>
  <c r="AN75" i="5"/>
  <c r="AT18" i="5"/>
  <c r="AT75" i="5"/>
  <c r="AE75" i="5"/>
  <c r="AI18" i="5"/>
  <c r="AI75" i="5"/>
  <c r="AL66" i="5"/>
  <c r="AR17" i="5"/>
  <c r="AR66" i="5"/>
  <c r="AE52" i="5"/>
  <c r="AI17" i="5"/>
  <c r="AI52" i="5"/>
  <c r="AM58" i="5"/>
  <c r="AS58" i="5"/>
  <c r="AE58" i="5"/>
  <c r="AI16" i="5"/>
  <c r="AI58" i="5"/>
  <c r="E72" i="5"/>
  <c r="L16" i="5"/>
  <c r="L72" i="5"/>
  <c r="D72" i="5"/>
  <c r="K16" i="5"/>
  <c r="K72" i="5"/>
  <c r="AN44" i="5"/>
  <c r="AT15" i="5"/>
  <c r="AT44" i="5"/>
  <c r="AM44" i="5"/>
  <c r="AS44" i="5"/>
  <c r="AE44" i="5"/>
  <c r="AI15" i="5"/>
  <c r="AI44" i="5"/>
  <c r="D44" i="5"/>
  <c r="K15" i="5"/>
  <c r="K44" i="5"/>
  <c r="AN34" i="5"/>
  <c r="AT14" i="5"/>
  <c r="AT34" i="5"/>
  <c r="AM34" i="5"/>
  <c r="AS34" i="5"/>
  <c r="AE34" i="5"/>
  <c r="AI14" i="5"/>
  <c r="AI34" i="5"/>
  <c r="AM33" i="5"/>
  <c r="AS33" i="5"/>
  <c r="AL33" i="5"/>
  <c r="AR13" i="5"/>
  <c r="AR33" i="5"/>
  <c r="AE33" i="5"/>
  <c r="AI13" i="5"/>
  <c r="AI33" i="5"/>
  <c r="E33" i="5"/>
  <c r="L13" i="5"/>
  <c r="L33" i="5"/>
  <c r="D33" i="5"/>
  <c r="K13" i="5"/>
  <c r="K33" i="5"/>
  <c r="AM74" i="5"/>
  <c r="AS74" i="5"/>
  <c r="AE74" i="5"/>
  <c r="AI74" i="5"/>
  <c r="E74" i="5"/>
  <c r="L74" i="5"/>
  <c r="D74" i="5"/>
  <c r="K74" i="5"/>
  <c r="AN39" i="5"/>
  <c r="AT11" i="5"/>
  <c r="AT39" i="5"/>
  <c r="AE39" i="5"/>
  <c r="AI39" i="5"/>
  <c r="E39" i="5"/>
  <c r="L39" i="5"/>
  <c r="D39" i="5"/>
  <c r="K39" i="5"/>
  <c r="AN46" i="5"/>
  <c r="AM46" i="5"/>
  <c r="AL46" i="5"/>
  <c r="AR10" i="5"/>
  <c r="AR46" i="5"/>
  <c r="AE46" i="5"/>
  <c r="AI10" i="5"/>
  <c r="AI46" i="5"/>
  <c r="D46" i="5"/>
  <c r="K10" i="5"/>
  <c r="K46" i="5"/>
  <c r="AM54" i="5"/>
  <c r="AS54" i="5"/>
  <c r="AL68" i="5"/>
  <c r="AR9" i="5"/>
  <c r="AR68" i="5"/>
  <c r="AE68" i="5"/>
  <c r="AI9" i="5"/>
  <c r="AI68" i="5"/>
  <c r="AN41" i="5"/>
  <c r="AT8" i="5"/>
  <c r="AT41" i="5"/>
  <c r="AM41" i="5"/>
  <c r="AS41" i="5"/>
  <c r="AE41" i="5"/>
  <c r="AI8" i="5"/>
  <c r="AI41" i="5"/>
  <c r="E41" i="5"/>
  <c r="L8" i="5"/>
  <c r="L41" i="5"/>
  <c r="AN73" i="5"/>
  <c r="AT7" i="5"/>
  <c r="AT73" i="5"/>
  <c r="D73" i="5"/>
  <c r="K7" i="5"/>
  <c r="K73" i="5"/>
  <c r="AN47" i="5"/>
  <c r="AT6" i="5"/>
  <c r="AT47" i="5"/>
  <c r="AM47" i="5"/>
  <c r="AS47" i="5"/>
  <c r="AL47" i="5"/>
  <c r="AR47" i="5"/>
  <c r="AE47" i="5"/>
  <c r="AI47" i="5"/>
  <c r="D47" i="5"/>
  <c r="K47" i="5"/>
  <c r="AM53" i="5"/>
  <c r="AS53" i="5"/>
  <c r="AL53" i="5"/>
  <c r="AR53" i="5"/>
  <c r="AE67" i="5"/>
  <c r="AI67" i="5"/>
  <c r="E67" i="5"/>
  <c r="L67" i="5"/>
  <c r="D67" i="5"/>
  <c r="K67" i="5"/>
  <c r="AN40" i="5"/>
  <c r="AT4" i="5"/>
  <c r="AT40" i="5"/>
  <c r="AM40" i="5"/>
  <c r="AS40" i="5"/>
  <c r="AE40" i="5"/>
  <c r="AI40" i="5"/>
  <c r="E40" i="5"/>
  <c r="L40" i="5"/>
  <c r="D40" i="5"/>
  <c r="K40" i="5"/>
  <c r="AN32" i="5"/>
  <c r="AT3" i="5"/>
  <c r="AT32" i="5"/>
  <c r="AM32" i="5"/>
  <c r="AS32" i="5"/>
  <c r="E32" i="5"/>
  <c r="L3" i="5"/>
  <c r="L32" i="5"/>
  <c r="D32" i="5"/>
  <c r="K3" i="5"/>
  <c r="K32" i="5"/>
  <c r="AN38" i="5"/>
  <c r="AT2" i="5"/>
  <c r="AT38" i="5"/>
  <c r="AM38" i="5"/>
  <c r="AS38" i="5"/>
  <c r="D38" i="5"/>
  <c r="K2" i="5"/>
  <c r="K38" i="5"/>
  <c r="H9" i="2"/>
  <c r="H15" i="2"/>
  <c r="H8" i="2"/>
  <c r="H12" i="2"/>
  <c r="AE43" i="15"/>
  <c r="AD64" i="15"/>
  <c r="Z37" i="15"/>
  <c r="AE70" i="15"/>
  <c r="AI70" i="15"/>
  <c r="AD66" i="15"/>
  <c r="D58" i="15"/>
  <c r="I58" i="15"/>
  <c r="AE74" i="15"/>
  <c r="AI74" i="15"/>
  <c r="E39" i="15"/>
  <c r="J39" i="15"/>
  <c r="D41" i="15"/>
  <c r="I41" i="15"/>
  <c r="Z47" i="15"/>
  <c r="K8" i="2"/>
  <c r="BR30" i="17"/>
  <c r="K9" i="2"/>
  <c r="AV30" i="17"/>
  <c r="AV35" i="17"/>
  <c r="BG35" i="17"/>
  <c r="AU30" i="17"/>
  <c r="K15" i="2"/>
  <c r="W30" i="17"/>
  <c r="K12" i="2"/>
  <c r="V30" i="17"/>
  <c r="AG30" i="17"/>
  <c r="Q30" i="2"/>
  <c r="K30" i="17"/>
  <c r="S30" i="17"/>
  <c r="Q27" i="2"/>
  <c r="J30" i="17"/>
  <c r="R30" i="17"/>
  <c r="Q33" i="2"/>
  <c r="I30" i="17"/>
  <c r="Q30" i="17"/>
  <c r="Q18" i="2"/>
  <c r="H30" i="17"/>
  <c r="Q15" i="2"/>
  <c r="G30" i="17"/>
  <c r="O30" i="17"/>
  <c r="Q21" i="2"/>
  <c r="F30" i="17"/>
  <c r="N30" i="17"/>
  <c r="BR29" i="17"/>
  <c r="AV29" i="17"/>
  <c r="AU29" i="17"/>
  <c r="W29" i="17"/>
  <c r="AH29" i="17"/>
  <c r="V29" i="17"/>
  <c r="K29" i="17"/>
  <c r="S29" i="17"/>
  <c r="J29" i="17"/>
  <c r="R29" i="17"/>
  <c r="I29" i="17"/>
  <c r="H29" i="17"/>
  <c r="P29" i="17"/>
  <c r="G29" i="17"/>
  <c r="O29" i="17"/>
  <c r="F29" i="17"/>
  <c r="E29" i="17"/>
  <c r="BR28" i="17"/>
  <c r="AV28" i="17"/>
  <c r="AU28" i="17"/>
  <c r="AU43" i="17"/>
  <c r="BF43" i="17"/>
  <c r="W28" i="17"/>
  <c r="V28" i="17"/>
  <c r="K28" i="17"/>
  <c r="S28" i="17"/>
  <c r="J28" i="17"/>
  <c r="I28" i="17"/>
  <c r="H28" i="17"/>
  <c r="P28" i="17"/>
  <c r="G28" i="17"/>
  <c r="O28" i="17"/>
  <c r="F28" i="17"/>
  <c r="F43" i="17"/>
  <c r="N43" i="17"/>
  <c r="BR27" i="17"/>
  <c r="AV27" i="17"/>
  <c r="AU27" i="17"/>
  <c r="W27" i="17"/>
  <c r="AH27" i="17"/>
  <c r="V27" i="17"/>
  <c r="AG27" i="17"/>
  <c r="K27" i="17"/>
  <c r="S27" i="17"/>
  <c r="J27" i="17"/>
  <c r="I27" i="17"/>
  <c r="Q27" i="17"/>
  <c r="H27" i="17"/>
  <c r="P27" i="17"/>
  <c r="G27" i="17"/>
  <c r="O27" i="17"/>
  <c r="F27" i="17"/>
  <c r="N27" i="17"/>
  <c r="E27" i="17"/>
  <c r="BR26" i="17"/>
  <c r="AV26" i="17"/>
  <c r="AU26" i="17"/>
  <c r="W26" i="17"/>
  <c r="W36" i="17"/>
  <c r="AH36" i="17"/>
  <c r="V26" i="17"/>
  <c r="K26" i="17"/>
  <c r="S26" i="17"/>
  <c r="J26" i="17"/>
  <c r="R26" i="17"/>
  <c r="I26" i="17"/>
  <c r="H26" i="17"/>
  <c r="G26" i="17"/>
  <c r="F26" i="17"/>
  <c r="N26" i="17"/>
  <c r="BR25" i="17"/>
  <c r="BR64" i="17"/>
  <c r="AV25" i="17"/>
  <c r="AU25" i="17"/>
  <c r="W25" i="17"/>
  <c r="V25" i="17"/>
  <c r="AG25" i="17"/>
  <c r="K25" i="17"/>
  <c r="J25" i="17"/>
  <c r="R25" i="17"/>
  <c r="I25" i="17"/>
  <c r="Q25" i="17"/>
  <c r="H25" i="17"/>
  <c r="P25" i="17"/>
  <c r="G25" i="17"/>
  <c r="O25" i="17"/>
  <c r="F25" i="17"/>
  <c r="N25" i="17"/>
  <c r="E25" i="17"/>
  <c r="M25" i="17"/>
  <c r="BR24" i="17"/>
  <c r="AV24" i="17"/>
  <c r="AV55" i="17"/>
  <c r="AU24" i="17"/>
  <c r="W24" i="17"/>
  <c r="V24" i="17"/>
  <c r="V55" i="17"/>
  <c r="AG55" i="17"/>
  <c r="K24" i="17"/>
  <c r="S24" i="17"/>
  <c r="J24" i="17"/>
  <c r="R24" i="17"/>
  <c r="I24" i="17"/>
  <c r="Q24" i="17"/>
  <c r="H24" i="17"/>
  <c r="G24" i="17"/>
  <c r="F24" i="17"/>
  <c r="N24" i="17"/>
  <c r="E24" i="17"/>
  <c r="M24" i="17"/>
  <c r="BR23" i="17"/>
  <c r="BT23" i="17"/>
  <c r="BT49" i="17"/>
  <c r="AV23" i="17"/>
  <c r="AU23" i="17"/>
  <c r="W23" i="17"/>
  <c r="AH23" i="17"/>
  <c r="V23" i="17"/>
  <c r="AG23" i="17"/>
  <c r="K23" i="17"/>
  <c r="S23" i="17"/>
  <c r="J23" i="17"/>
  <c r="R23" i="17"/>
  <c r="I23" i="17"/>
  <c r="Q23" i="17"/>
  <c r="H23" i="17"/>
  <c r="P23" i="17"/>
  <c r="G23" i="17"/>
  <c r="O23" i="17"/>
  <c r="F23" i="17"/>
  <c r="N23" i="17"/>
  <c r="E23" i="17"/>
  <c r="BR22" i="17"/>
  <c r="BR37" i="17"/>
  <c r="AV22" i="17"/>
  <c r="AU22" i="17"/>
  <c r="W22" i="17"/>
  <c r="V22" i="17"/>
  <c r="V37" i="17"/>
  <c r="AG37" i="17"/>
  <c r="K22" i="17"/>
  <c r="S22" i="17"/>
  <c r="J22" i="17"/>
  <c r="I22" i="17"/>
  <c r="Q22" i="17"/>
  <c r="H22" i="17"/>
  <c r="G22" i="17"/>
  <c r="F22" i="17"/>
  <c r="N22" i="17"/>
  <c r="BR21" i="17"/>
  <c r="AV21" i="17"/>
  <c r="AV65" i="17"/>
  <c r="BG65" i="17"/>
  <c r="AU21" i="17"/>
  <c r="W21" i="17"/>
  <c r="V21" i="17"/>
  <c r="K21" i="17"/>
  <c r="J21" i="17"/>
  <c r="I21" i="17"/>
  <c r="Q21" i="17"/>
  <c r="H21" i="17"/>
  <c r="P21" i="17"/>
  <c r="G21" i="17"/>
  <c r="O21" i="17"/>
  <c r="F21" i="17"/>
  <c r="E21" i="17"/>
  <c r="M21" i="17"/>
  <c r="BR20" i="17"/>
  <c r="AV20" i="17"/>
  <c r="AU20" i="17"/>
  <c r="BE20" i="17"/>
  <c r="W20" i="17"/>
  <c r="V20" i="17"/>
  <c r="V56" i="17"/>
  <c r="AG56" i="17"/>
  <c r="K20" i="17"/>
  <c r="J20" i="17"/>
  <c r="R20" i="17"/>
  <c r="I20" i="17"/>
  <c r="Q20" i="17"/>
  <c r="H20" i="17"/>
  <c r="G20" i="17"/>
  <c r="F20" i="17"/>
  <c r="N20" i="17"/>
  <c r="E20" i="17"/>
  <c r="M20" i="17"/>
  <c r="BR19" i="17"/>
  <c r="BT19" i="17"/>
  <c r="BT42" i="17"/>
  <c r="AV19" i="17"/>
  <c r="AU19" i="17"/>
  <c r="W19" i="17"/>
  <c r="V19" i="17"/>
  <c r="K19" i="17"/>
  <c r="J19" i="17"/>
  <c r="R19" i="17"/>
  <c r="I19" i="17"/>
  <c r="Q19" i="17"/>
  <c r="H19" i="17"/>
  <c r="H42" i="17"/>
  <c r="P42" i="17"/>
  <c r="G19" i="17"/>
  <c r="O19" i="17"/>
  <c r="F19" i="17"/>
  <c r="N19" i="17"/>
  <c r="BR18" i="17"/>
  <c r="AV18" i="17"/>
  <c r="AU18" i="17"/>
  <c r="AU61" i="17"/>
  <c r="W18" i="17"/>
  <c r="V18" i="17"/>
  <c r="K18" i="17"/>
  <c r="K75" i="17"/>
  <c r="S75" i="17"/>
  <c r="J18" i="17"/>
  <c r="R18" i="17"/>
  <c r="I18" i="17"/>
  <c r="Q18" i="17"/>
  <c r="H18" i="17"/>
  <c r="P18" i="17"/>
  <c r="G18" i="17"/>
  <c r="F18" i="17"/>
  <c r="E18" i="17"/>
  <c r="M18" i="17"/>
  <c r="BR17" i="17"/>
  <c r="AV17" i="17"/>
  <c r="AV52" i="17"/>
  <c r="BG52" i="17"/>
  <c r="AU17" i="17"/>
  <c r="W17" i="17"/>
  <c r="V17" i="17"/>
  <c r="K17" i="17"/>
  <c r="J17" i="17"/>
  <c r="I17" i="17"/>
  <c r="H17" i="17"/>
  <c r="P17" i="17"/>
  <c r="G17" i="17"/>
  <c r="O17" i="17"/>
  <c r="F17" i="17"/>
  <c r="N17" i="17"/>
  <c r="E17" i="17"/>
  <c r="M17" i="17"/>
  <c r="BR16" i="17"/>
  <c r="BR58" i="17"/>
  <c r="AV16" i="17"/>
  <c r="AU16" i="17"/>
  <c r="AU58" i="17"/>
  <c r="W16" i="17"/>
  <c r="V16" i="17"/>
  <c r="K16" i="17"/>
  <c r="AF16" i="17"/>
  <c r="AF72" i="17"/>
  <c r="AQ72" i="17"/>
  <c r="J16" i="17"/>
  <c r="R16" i="17"/>
  <c r="I16" i="17"/>
  <c r="Q16" i="17"/>
  <c r="H16" i="17"/>
  <c r="P16" i="17"/>
  <c r="G16" i="17"/>
  <c r="F16" i="17"/>
  <c r="E16" i="17"/>
  <c r="M16" i="17"/>
  <c r="BR15" i="17"/>
  <c r="AV15" i="17"/>
  <c r="AV44" i="17"/>
  <c r="BG44" i="17"/>
  <c r="AU15" i="17"/>
  <c r="W15" i="17"/>
  <c r="V15" i="17"/>
  <c r="K15" i="17"/>
  <c r="BD15" i="17"/>
  <c r="J15" i="17"/>
  <c r="I15" i="17"/>
  <c r="Q15" i="17"/>
  <c r="H15" i="17"/>
  <c r="P15" i="17"/>
  <c r="G15" i="17"/>
  <c r="O15" i="17"/>
  <c r="F15" i="17"/>
  <c r="N15" i="17"/>
  <c r="BR14" i="17"/>
  <c r="AV14" i="17"/>
  <c r="AU14" i="17"/>
  <c r="W14" i="17"/>
  <c r="V14" i="17"/>
  <c r="K14" i="17"/>
  <c r="S14" i="17"/>
  <c r="J14" i="17"/>
  <c r="R14" i="17"/>
  <c r="I14" i="17"/>
  <c r="Q14" i="17"/>
  <c r="H14" i="17"/>
  <c r="P14" i="17"/>
  <c r="G14" i="17"/>
  <c r="F14" i="17"/>
  <c r="BR13" i="17"/>
  <c r="BR33" i="17"/>
  <c r="AV13" i="17"/>
  <c r="AU13" i="17"/>
  <c r="W13" i="17"/>
  <c r="AH13" i="17"/>
  <c r="V13" i="17"/>
  <c r="K13" i="17"/>
  <c r="J13" i="17"/>
  <c r="R13" i="17"/>
  <c r="I13" i="17"/>
  <c r="H13" i="17"/>
  <c r="G13" i="17"/>
  <c r="O13" i="17"/>
  <c r="F13" i="17"/>
  <c r="N13" i="17"/>
  <c r="BR12" i="17"/>
  <c r="BR74" i="17"/>
  <c r="AV12" i="17"/>
  <c r="AU12" i="17"/>
  <c r="W12" i="17"/>
  <c r="V12" i="17"/>
  <c r="K12" i="17"/>
  <c r="J12" i="17"/>
  <c r="R12" i="17"/>
  <c r="I12" i="17"/>
  <c r="Q12" i="17"/>
  <c r="H12" i="17"/>
  <c r="P12" i="17"/>
  <c r="G12" i="17"/>
  <c r="F12" i="17"/>
  <c r="N12" i="17"/>
  <c r="E12" i="17"/>
  <c r="M12" i="17"/>
  <c r="BR11" i="17"/>
  <c r="BR39" i="17"/>
  <c r="AV11" i="17"/>
  <c r="AU11" i="17"/>
  <c r="W11" i="17"/>
  <c r="V11" i="17"/>
  <c r="AG11" i="17"/>
  <c r="K11" i="17"/>
  <c r="S11" i="17"/>
  <c r="J11" i="17"/>
  <c r="R11" i="17"/>
  <c r="I11" i="17"/>
  <c r="Q11" i="17"/>
  <c r="H11" i="17"/>
  <c r="G11" i="17"/>
  <c r="F11" i="17"/>
  <c r="N11" i="17"/>
  <c r="BR10" i="17"/>
  <c r="AV10" i="17"/>
  <c r="AU10" i="17"/>
  <c r="W10" i="17"/>
  <c r="V10" i="17"/>
  <c r="K10" i="17"/>
  <c r="J10" i="17"/>
  <c r="I10" i="17"/>
  <c r="Q10" i="17"/>
  <c r="H10" i="17"/>
  <c r="G10" i="17"/>
  <c r="O10" i="17"/>
  <c r="F10" i="17"/>
  <c r="N10" i="17"/>
  <c r="E10" i="17"/>
  <c r="M10" i="17"/>
  <c r="BR9" i="17"/>
  <c r="AV9" i="17"/>
  <c r="AU9" i="17"/>
  <c r="AU68" i="17"/>
  <c r="W9" i="17"/>
  <c r="V9" i="17"/>
  <c r="K9" i="17"/>
  <c r="S9" i="17"/>
  <c r="J9" i="17"/>
  <c r="R9" i="17"/>
  <c r="I9" i="17"/>
  <c r="Q9" i="17"/>
  <c r="H9" i="17"/>
  <c r="P9" i="17"/>
  <c r="G9" i="17"/>
  <c r="F9" i="17"/>
  <c r="E9" i="17"/>
  <c r="BR8" i="17"/>
  <c r="AV8" i="17"/>
  <c r="AV41" i="17"/>
  <c r="BG41" i="17"/>
  <c r="AU8" i="17"/>
  <c r="W8" i="17"/>
  <c r="V8" i="17"/>
  <c r="K8" i="17"/>
  <c r="J8" i="17"/>
  <c r="I8" i="17"/>
  <c r="Q8" i="17"/>
  <c r="H8" i="17"/>
  <c r="P8" i="17"/>
  <c r="G8" i="17"/>
  <c r="O8" i="17"/>
  <c r="F8" i="17"/>
  <c r="N8" i="17"/>
  <c r="BR7" i="17"/>
  <c r="BT7" i="17"/>
  <c r="BT73" i="17"/>
  <c r="AV7" i="17"/>
  <c r="AU7" i="17"/>
  <c r="W7" i="17"/>
  <c r="W73" i="17"/>
  <c r="AH73" i="17"/>
  <c r="V7" i="17"/>
  <c r="K7" i="17"/>
  <c r="S7" i="17"/>
  <c r="J7" i="17"/>
  <c r="R7" i="17"/>
  <c r="I7" i="17"/>
  <c r="BB7" i="17"/>
  <c r="H7" i="17"/>
  <c r="P7" i="17"/>
  <c r="G7" i="17"/>
  <c r="O7" i="17"/>
  <c r="F7" i="17"/>
  <c r="AA7" i="17"/>
  <c r="E7" i="17"/>
  <c r="BR6" i="17"/>
  <c r="AV6" i="17"/>
  <c r="AU6" i="17"/>
  <c r="AU47" i="17"/>
  <c r="BE6" i="17"/>
  <c r="W6" i="17"/>
  <c r="V6" i="17"/>
  <c r="K6" i="17"/>
  <c r="J6" i="17"/>
  <c r="I6" i="17"/>
  <c r="Q6" i="17"/>
  <c r="H6" i="17"/>
  <c r="P6" i="17"/>
  <c r="G6" i="17"/>
  <c r="O6" i="17"/>
  <c r="F6" i="17"/>
  <c r="N6" i="17"/>
  <c r="E6" i="17"/>
  <c r="M6" i="17"/>
  <c r="BR5" i="17"/>
  <c r="AV5" i="17"/>
  <c r="AU5" i="17"/>
  <c r="W5" i="17"/>
  <c r="V5" i="17"/>
  <c r="K5" i="17"/>
  <c r="BD5" i="17"/>
  <c r="BO5" i="17"/>
  <c r="J5" i="17"/>
  <c r="R5" i="17"/>
  <c r="I5" i="17"/>
  <c r="Q5" i="17"/>
  <c r="H5" i="17"/>
  <c r="G5" i="17"/>
  <c r="F5" i="17"/>
  <c r="E5" i="17"/>
  <c r="M5" i="17"/>
  <c r="BR4" i="17"/>
  <c r="AV4" i="17"/>
  <c r="BG4" i="17"/>
  <c r="AU4" i="17"/>
  <c r="W4" i="17"/>
  <c r="AH4" i="17"/>
  <c r="V4" i="17"/>
  <c r="K4" i="17"/>
  <c r="J4" i="17"/>
  <c r="I4" i="17"/>
  <c r="Q4" i="17"/>
  <c r="H4" i="17"/>
  <c r="P4" i="17"/>
  <c r="G4" i="17"/>
  <c r="O4" i="17"/>
  <c r="F4" i="17"/>
  <c r="N4" i="17"/>
  <c r="BR3" i="17"/>
  <c r="AV3" i="17"/>
  <c r="AU3" i="17"/>
  <c r="W3" i="17"/>
  <c r="AH3" i="17"/>
  <c r="V3" i="17"/>
  <c r="K3" i="17"/>
  <c r="S3" i="17"/>
  <c r="J3" i="17"/>
  <c r="R3" i="17"/>
  <c r="I3" i="17"/>
  <c r="H3" i="17"/>
  <c r="P3" i="17"/>
  <c r="G3" i="17"/>
  <c r="O3" i="17"/>
  <c r="F3" i="17"/>
  <c r="BR2" i="17"/>
  <c r="BR38" i="17"/>
  <c r="AV2" i="17"/>
  <c r="AU2" i="17"/>
  <c r="W2" i="17"/>
  <c r="AH2" i="17"/>
  <c r="V2" i="17"/>
  <c r="K2" i="17"/>
  <c r="S2" i="17"/>
  <c r="J2" i="17"/>
  <c r="R2" i="17"/>
  <c r="I2" i="17"/>
  <c r="H2" i="17"/>
  <c r="G2" i="17"/>
  <c r="O2" i="17"/>
  <c r="F2" i="17"/>
  <c r="N2" i="17"/>
  <c r="T30" i="36"/>
  <c r="T29" i="36"/>
  <c r="T28" i="36"/>
  <c r="T27" i="36"/>
  <c r="T26" i="36"/>
  <c r="T25" i="36"/>
  <c r="T24" i="36"/>
  <c r="T23" i="36"/>
  <c r="T22" i="36"/>
  <c r="T21" i="36"/>
  <c r="T20" i="36"/>
  <c r="T19" i="36"/>
  <c r="T18" i="36"/>
  <c r="T17" i="36"/>
  <c r="T16" i="36"/>
  <c r="T15" i="36"/>
  <c r="T14" i="36"/>
  <c r="T13" i="36"/>
  <c r="T12" i="36"/>
  <c r="T11" i="36"/>
  <c r="T10" i="36"/>
  <c r="T9" i="36"/>
  <c r="T8" i="36"/>
  <c r="T7" i="36"/>
  <c r="T6" i="36"/>
  <c r="T5" i="36"/>
  <c r="T4" i="36"/>
  <c r="T3" i="36"/>
  <c r="T2" i="36"/>
  <c r="U10" i="28"/>
  <c r="C10" i="28"/>
  <c r="C46" i="28"/>
  <c r="U6" i="28"/>
  <c r="C6" i="28"/>
  <c r="C47" i="28"/>
  <c r="C45" i="28"/>
  <c r="V32" i="4"/>
  <c r="E49" i="2"/>
  <c r="N50" i="2"/>
  <c r="BB30" i="26"/>
  <c r="N92" i="2"/>
  <c r="BA30" i="26"/>
  <c r="N101" i="2"/>
  <c r="AZ30" i="26"/>
  <c r="N98" i="2"/>
  <c r="AY30" i="26"/>
  <c r="N95" i="2"/>
  <c r="AX30" i="26"/>
  <c r="N89" i="2"/>
  <c r="AW30" i="26"/>
  <c r="N86" i="2"/>
  <c r="AV30" i="26"/>
  <c r="N83" i="2"/>
  <c r="AU30" i="26"/>
  <c r="N80" i="2"/>
  <c r="AT30" i="26"/>
  <c r="N77" i="2"/>
  <c r="AS30" i="26"/>
  <c r="N74" i="2"/>
  <c r="AR30" i="26"/>
  <c r="N71" i="2"/>
  <c r="AQ30" i="26"/>
  <c r="N68" i="2"/>
  <c r="AP30" i="26"/>
  <c r="N65" i="2"/>
  <c r="AO30" i="26"/>
  <c r="N62" i="2"/>
  <c r="AN30" i="26"/>
  <c r="N59" i="2"/>
  <c r="AM30" i="26"/>
  <c r="N56" i="2"/>
  <c r="AL30" i="26"/>
  <c r="N53" i="2"/>
  <c r="AK30" i="26"/>
  <c r="N47" i="2"/>
  <c r="AJ30" i="26"/>
  <c r="N44" i="2"/>
  <c r="AI30" i="26"/>
  <c r="N41" i="2"/>
  <c r="AH30" i="26"/>
  <c r="N38" i="2"/>
  <c r="AG30" i="26"/>
  <c r="N35" i="2"/>
  <c r="AF30" i="26"/>
  <c r="N32" i="2"/>
  <c r="AE30" i="26"/>
  <c r="N29" i="2"/>
  <c r="AD30" i="26"/>
  <c r="AB30" i="26"/>
  <c r="AA30" i="26"/>
  <c r="Z30" i="26"/>
  <c r="Y30" i="26"/>
  <c r="X30" i="26"/>
  <c r="W30" i="26"/>
  <c r="V30" i="26"/>
  <c r="U30" i="26"/>
  <c r="T30" i="26"/>
  <c r="S30" i="26"/>
  <c r="R30" i="26"/>
  <c r="Q30" i="26"/>
  <c r="P30" i="26"/>
  <c r="O30" i="26"/>
  <c r="N30" i="26"/>
  <c r="M30" i="26"/>
  <c r="L30" i="26"/>
  <c r="K30" i="26"/>
  <c r="J30" i="26"/>
  <c r="I30" i="26"/>
  <c r="H30" i="26"/>
  <c r="G30" i="26"/>
  <c r="F30" i="26"/>
  <c r="E30" i="26"/>
  <c r="D30" i="26"/>
  <c r="BB29" i="26"/>
  <c r="AZ29" i="26"/>
  <c r="AY29" i="26"/>
  <c r="AX29" i="26"/>
  <c r="AW29" i="26"/>
  <c r="AV29" i="26"/>
  <c r="AU29" i="26"/>
  <c r="AT29" i="26"/>
  <c r="AS29" i="26"/>
  <c r="AR29" i="26"/>
  <c r="AQ29" i="26"/>
  <c r="AP29" i="26"/>
  <c r="AO29" i="26"/>
  <c r="AN29" i="26"/>
  <c r="AM29" i="26"/>
  <c r="AL29" i="26"/>
  <c r="AK29" i="26"/>
  <c r="AJ29" i="26"/>
  <c r="AI29" i="26"/>
  <c r="AH29" i="26"/>
  <c r="AG29" i="26"/>
  <c r="AF29" i="26"/>
  <c r="AE29" i="26"/>
  <c r="AD29" i="26"/>
  <c r="AB29" i="26"/>
  <c r="AA29" i="26"/>
  <c r="Z29" i="26"/>
  <c r="Y29" i="26"/>
  <c r="X29" i="26"/>
  <c r="W29" i="26"/>
  <c r="V29" i="26"/>
  <c r="U29" i="26"/>
  <c r="T29" i="26"/>
  <c r="S29" i="26"/>
  <c r="R29" i="26"/>
  <c r="Q29" i="26"/>
  <c r="P29" i="26"/>
  <c r="O29" i="26"/>
  <c r="N29" i="26"/>
  <c r="M29" i="26"/>
  <c r="L29" i="26"/>
  <c r="K29" i="26"/>
  <c r="J29" i="26"/>
  <c r="I29" i="26"/>
  <c r="H29" i="26"/>
  <c r="G29" i="26"/>
  <c r="F29" i="26"/>
  <c r="E29" i="26"/>
  <c r="D29" i="26"/>
  <c r="BB28" i="26"/>
  <c r="BA28" i="26"/>
  <c r="AZ28" i="26"/>
  <c r="AY28" i="26"/>
  <c r="AX28" i="26"/>
  <c r="AW28" i="26"/>
  <c r="AV28" i="26"/>
  <c r="AU28" i="26"/>
  <c r="AT28" i="26"/>
  <c r="AS28" i="26"/>
  <c r="AR28" i="26"/>
  <c r="AQ28" i="26"/>
  <c r="AP28" i="26"/>
  <c r="AO28" i="26"/>
  <c r="AN28" i="26"/>
  <c r="AM28" i="26"/>
  <c r="AL28" i="26"/>
  <c r="AK28" i="26"/>
  <c r="AJ28" i="26"/>
  <c r="AI28" i="26"/>
  <c r="AH28" i="26"/>
  <c r="AG28" i="26"/>
  <c r="AF28" i="26"/>
  <c r="AE28" i="26"/>
  <c r="AD28" i="26"/>
  <c r="AB28" i="26"/>
  <c r="AA28" i="26"/>
  <c r="Z28" i="26"/>
  <c r="Y28" i="26"/>
  <c r="X28" i="26"/>
  <c r="W28" i="26"/>
  <c r="V28" i="26"/>
  <c r="U28" i="26"/>
  <c r="T28" i="26"/>
  <c r="S28" i="26"/>
  <c r="R28" i="26"/>
  <c r="Q28" i="26"/>
  <c r="P28" i="26"/>
  <c r="O28" i="26"/>
  <c r="N28" i="26"/>
  <c r="M28" i="26"/>
  <c r="L28" i="26"/>
  <c r="K28" i="26"/>
  <c r="J28" i="26"/>
  <c r="I28" i="26"/>
  <c r="H28" i="26"/>
  <c r="G28" i="26"/>
  <c r="F28" i="26"/>
  <c r="E28" i="26"/>
  <c r="D28" i="26"/>
  <c r="BB27" i="26"/>
  <c r="AZ27" i="26"/>
  <c r="AY27" i="26"/>
  <c r="AX27" i="26"/>
  <c r="AW27" i="26"/>
  <c r="AV27" i="26"/>
  <c r="AU27" i="26"/>
  <c r="AT27" i="26"/>
  <c r="AS27" i="26"/>
  <c r="AR27" i="26"/>
  <c r="AQ27" i="26"/>
  <c r="AP27" i="26"/>
  <c r="AO27" i="26"/>
  <c r="AN27" i="26"/>
  <c r="AM27" i="26"/>
  <c r="AL27" i="26"/>
  <c r="AK27" i="26"/>
  <c r="AJ27" i="26"/>
  <c r="AI27" i="26"/>
  <c r="AH27" i="26"/>
  <c r="AG27" i="26"/>
  <c r="AF27" i="26"/>
  <c r="AE27" i="26"/>
  <c r="AD27" i="26"/>
  <c r="AB27" i="26"/>
  <c r="AA27" i="26"/>
  <c r="Z27" i="26"/>
  <c r="Y27" i="26"/>
  <c r="X27" i="26"/>
  <c r="W27" i="26"/>
  <c r="V27" i="26"/>
  <c r="U27" i="26"/>
  <c r="T27" i="26"/>
  <c r="S27" i="26"/>
  <c r="R27" i="26"/>
  <c r="Q27" i="26"/>
  <c r="P27" i="26"/>
  <c r="O27" i="26"/>
  <c r="N27" i="26"/>
  <c r="M27" i="26"/>
  <c r="L27" i="26"/>
  <c r="K27" i="26"/>
  <c r="J27" i="26"/>
  <c r="I27" i="26"/>
  <c r="H27" i="26"/>
  <c r="G27" i="26"/>
  <c r="F27" i="26"/>
  <c r="E27" i="26"/>
  <c r="D27" i="26"/>
  <c r="BB26" i="26"/>
  <c r="BA26" i="26"/>
  <c r="AZ26" i="26"/>
  <c r="AY26" i="26"/>
  <c r="AX26" i="26"/>
  <c r="AW26" i="26"/>
  <c r="AV26" i="26"/>
  <c r="AU26" i="26"/>
  <c r="AT26" i="26"/>
  <c r="AS26" i="26"/>
  <c r="AR26" i="26"/>
  <c r="AQ26" i="26"/>
  <c r="AP26" i="26"/>
  <c r="AO26" i="26"/>
  <c r="AN26" i="26"/>
  <c r="AM26" i="26"/>
  <c r="AL26" i="26"/>
  <c r="AK26" i="26"/>
  <c r="AJ26" i="26"/>
  <c r="AI26" i="26"/>
  <c r="AH26" i="26"/>
  <c r="AG26" i="26"/>
  <c r="AF26" i="26"/>
  <c r="AE26" i="26"/>
  <c r="AD26" i="26"/>
  <c r="AB26" i="26"/>
  <c r="AA26" i="26"/>
  <c r="Z26" i="26"/>
  <c r="Y26" i="26"/>
  <c r="X26" i="26"/>
  <c r="W26" i="26"/>
  <c r="V26" i="26"/>
  <c r="U26" i="26"/>
  <c r="T26" i="26"/>
  <c r="S26" i="26"/>
  <c r="R26" i="26"/>
  <c r="Q26" i="26"/>
  <c r="P26" i="26"/>
  <c r="O26" i="26"/>
  <c r="N26" i="26"/>
  <c r="M26" i="26"/>
  <c r="L26" i="26"/>
  <c r="K26" i="26"/>
  <c r="J26" i="26"/>
  <c r="I26" i="26"/>
  <c r="H26" i="26"/>
  <c r="G26" i="26"/>
  <c r="F26" i="26"/>
  <c r="E26" i="26"/>
  <c r="D26" i="26"/>
  <c r="BB25" i="26"/>
  <c r="AZ25" i="26"/>
  <c r="AY25" i="26"/>
  <c r="AX25" i="26"/>
  <c r="AW25" i="26"/>
  <c r="AV25" i="26"/>
  <c r="AU25" i="26"/>
  <c r="AT25" i="26"/>
  <c r="AS25" i="26"/>
  <c r="AR25" i="26"/>
  <c r="AQ25" i="26"/>
  <c r="AP25" i="26"/>
  <c r="AO25" i="26"/>
  <c r="AN25" i="26"/>
  <c r="AM25" i="26"/>
  <c r="AL25" i="26"/>
  <c r="AK25" i="26"/>
  <c r="AJ25" i="26"/>
  <c r="AI25" i="26"/>
  <c r="AH25" i="26"/>
  <c r="AG25" i="26"/>
  <c r="AF25" i="26"/>
  <c r="AE25" i="26"/>
  <c r="AD25" i="26"/>
  <c r="AB25" i="26"/>
  <c r="AA25" i="26"/>
  <c r="Z25" i="26"/>
  <c r="Y25" i="26"/>
  <c r="X25" i="26"/>
  <c r="W25" i="26"/>
  <c r="V25" i="26"/>
  <c r="U25" i="26"/>
  <c r="T25" i="26"/>
  <c r="S25" i="26"/>
  <c r="R25" i="26"/>
  <c r="Q25" i="26"/>
  <c r="P25" i="26"/>
  <c r="O25" i="26"/>
  <c r="N25" i="26"/>
  <c r="M25" i="26"/>
  <c r="L25" i="26"/>
  <c r="K25" i="26"/>
  <c r="J25" i="26"/>
  <c r="I25" i="26"/>
  <c r="H25" i="26"/>
  <c r="G25" i="26"/>
  <c r="F25" i="26"/>
  <c r="E25" i="26"/>
  <c r="D25" i="26"/>
  <c r="BB24" i="26"/>
  <c r="BA24" i="26"/>
  <c r="AZ24" i="26"/>
  <c r="AY24" i="26"/>
  <c r="AX24" i="26"/>
  <c r="AW24" i="26"/>
  <c r="AV24" i="26"/>
  <c r="AU24" i="26"/>
  <c r="AT24" i="26"/>
  <c r="AS24" i="26"/>
  <c r="AR24" i="26"/>
  <c r="AQ24" i="26"/>
  <c r="AP24" i="26"/>
  <c r="AO24" i="26"/>
  <c r="AN24" i="26"/>
  <c r="AM24" i="26"/>
  <c r="AL24" i="26"/>
  <c r="AK24" i="26"/>
  <c r="AJ24" i="26"/>
  <c r="AI24" i="26"/>
  <c r="AH24" i="26"/>
  <c r="AG24" i="26"/>
  <c r="AF24" i="26"/>
  <c r="AE24" i="26"/>
  <c r="AD24" i="26"/>
  <c r="AB24" i="26"/>
  <c r="AA24" i="26"/>
  <c r="Z24" i="26"/>
  <c r="Y24" i="26"/>
  <c r="X24" i="26"/>
  <c r="W24" i="26"/>
  <c r="V24" i="26"/>
  <c r="U24" i="26"/>
  <c r="T24" i="26"/>
  <c r="S24" i="26"/>
  <c r="R24" i="26"/>
  <c r="Q24" i="26"/>
  <c r="P24" i="26"/>
  <c r="O24" i="26"/>
  <c r="N24" i="26"/>
  <c r="M24" i="26"/>
  <c r="L24" i="26"/>
  <c r="K24" i="26"/>
  <c r="J24" i="26"/>
  <c r="I24" i="26"/>
  <c r="H24" i="26"/>
  <c r="G24" i="26"/>
  <c r="F24" i="26"/>
  <c r="E24" i="26"/>
  <c r="D24" i="26"/>
  <c r="BB23" i="26"/>
  <c r="AZ23" i="26"/>
  <c r="AY23" i="26"/>
  <c r="AX23" i="26"/>
  <c r="AW23" i="26"/>
  <c r="AV23" i="26"/>
  <c r="AU23" i="26"/>
  <c r="AT23" i="26"/>
  <c r="AS23" i="26"/>
  <c r="AR23" i="26"/>
  <c r="AQ23" i="26"/>
  <c r="AP23" i="26"/>
  <c r="AO23" i="26"/>
  <c r="AN23" i="26"/>
  <c r="AM23" i="26"/>
  <c r="AL23" i="26"/>
  <c r="AK23" i="26"/>
  <c r="AJ23" i="26"/>
  <c r="AI23" i="26"/>
  <c r="AH23" i="26"/>
  <c r="AG23" i="26"/>
  <c r="AF23" i="26"/>
  <c r="AE23" i="26"/>
  <c r="AD23" i="26"/>
  <c r="AB23" i="26"/>
  <c r="AA23" i="26"/>
  <c r="Z23" i="26"/>
  <c r="Y23" i="26"/>
  <c r="X23" i="26"/>
  <c r="W23" i="26"/>
  <c r="V23" i="26"/>
  <c r="U23" i="26"/>
  <c r="T23" i="26"/>
  <c r="S23" i="26"/>
  <c r="R23" i="26"/>
  <c r="Q23" i="26"/>
  <c r="P23" i="26"/>
  <c r="O23" i="26"/>
  <c r="N23" i="26"/>
  <c r="M23" i="26"/>
  <c r="L23" i="26"/>
  <c r="K23" i="26"/>
  <c r="J23" i="26"/>
  <c r="I23" i="26"/>
  <c r="H23" i="26"/>
  <c r="G23" i="26"/>
  <c r="F23" i="26"/>
  <c r="E23" i="26"/>
  <c r="D23" i="26"/>
  <c r="BB22" i="26"/>
  <c r="BA22" i="26"/>
  <c r="AZ22" i="26"/>
  <c r="AY22" i="26"/>
  <c r="AX22" i="26"/>
  <c r="AW22" i="26"/>
  <c r="AV22" i="26"/>
  <c r="AU22" i="26"/>
  <c r="AT22" i="26"/>
  <c r="AS22" i="26"/>
  <c r="AR22" i="26"/>
  <c r="AQ22" i="26"/>
  <c r="AP22" i="26"/>
  <c r="AO22" i="26"/>
  <c r="AN22" i="26"/>
  <c r="AM22" i="26"/>
  <c r="AL22" i="26"/>
  <c r="AK22" i="26"/>
  <c r="AJ22" i="26"/>
  <c r="AI22" i="26"/>
  <c r="AH22" i="26"/>
  <c r="AG22" i="26"/>
  <c r="AF22" i="26"/>
  <c r="AE22" i="26"/>
  <c r="AD22" i="26"/>
  <c r="AB22" i="26"/>
  <c r="AA22" i="26"/>
  <c r="Z22" i="26"/>
  <c r="Y22" i="26"/>
  <c r="X22" i="26"/>
  <c r="W22" i="26"/>
  <c r="V22" i="26"/>
  <c r="U22" i="26"/>
  <c r="T22" i="26"/>
  <c r="S22" i="26"/>
  <c r="R22" i="26"/>
  <c r="Q22" i="26"/>
  <c r="P22" i="26"/>
  <c r="O22" i="26"/>
  <c r="N22" i="26"/>
  <c r="M22" i="26"/>
  <c r="L22" i="26"/>
  <c r="K22" i="26"/>
  <c r="J22" i="26"/>
  <c r="I22" i="26"/>
  <c r="H22" i="26"/>
  <c r="G22" i="26"/>
  <c r="F22" i="26"/>
  <c r="E22" i="26"/>
  <c r="D22" i="26"/>
  <c r="BB21" i="26"/>
  <c r="AZ21" i="26"/>
  <c r="AY21" i="26"/>
  <c r="AX21" i="26"/>
  <c r="AW21" i="26"/>
  <c r="AV21" i="26"/>
  <c r="AU21" i="26"/>
  <c r="AT21" i="26"/>
  <c r="AS21" i="26"/>
  <c r="AR21" i="26"/>
  <c r="AQ21" i="26"/>
  <c r="AP21" i="26"/>
  <c r="AO21" i="26"/>
  <c r="AN21" i="26"/>
  <c r="AM21" i="26"/>
  <c r="AL21" i="26"/>
  <c r="AK21" i="26"/>
  <c r="AJ21" i="26"/>
  <c r="AI21" i="26"/>
  <c r="AH21" i="26"/>
  <c r="AG21" i="26"/>
  <c r="AF21" i="26"/>
  <c r="AE21" i="26"/>
  <c r="AD21" i="26"/>
  <c r="AB21" i="26"/>
  <c r="AA21" i="26"/>
  <c r="Z21" i="26"/>
  <c r="Y21" i="26"/>
  <c r="X21" i="26"/>
  <c r="W21" i="26"/>
  <c r="V21" i="26"/>
  <c r="U21" i="26"/>
  <c r="T21" i="26"/>
  <c r="S21" i="26"/>
  <c r="R21" i="26"/>
  <c r="Q21" i="26"/>
  <c r="P21" i="26"/>
  <c r="O21" i="26"/>
  <c r="N21" i="26"/>
  <c r="M21" i="26"/>
  <c r="L21" i="26"/>
  <c r="K21" i="26"/>
  <c r="J21" i="26"/>
  <c r="I21" i="26"/>
  <c r="H21" i="26"/>
  <c r="G21" i="26"/>
  <c r="F21" i="26"/>
  <c r="E21" i="26"/>
  <c r="D21" i="26"/>
  <c r="BB20" i="26"/>
  <c r="BA20" i="26"/>
  <c r="AZ20" i="26"/>
  <c r="AY20" i="26"/>
  <c r="AX20" i="26"/>
  <c r="AW20" i="26"/>
  <c r="AV20" i="26"/>
  <c r="AU20" i="26"/>
  <c r="AT20" i="26"/>
  <c r="AS20" i="26"/>
  <c r="AR20" i="26"/>
  <c r="AQ20" i="26"/>
  <c r="AP20" i="26"/>
  <c r="AO20" i="26"/>
  <c r="AN20" i="26"/>
  <c r="AM20" i="26"/>
  <c r="AL20" i="26"/>
  <c r="AK20" i="26"/>
  <c r="AJ20" i="26"/>
  <c r="AI20" i="26"/>
  <c r="AH20" i="26"/>
  <c r="AG20" i="26"/>
  <c r="AF20" i="26"/>
  <c r="AE20" i="26"/>
  <c r="AD20" i="26"/>
  <c r="AB20" i="26"/>
  <c r="AA20" i="26"/>
  <c r="Z20" i="26"/>
  <c r="Y20" i="26"/>
  <c r="X20" i="26"/>
  <c r="W20" i="26"/>
  <c r="V20" i="26"/>
  <c r="U20" i="26"/>
  <c r="T20" i="26"/>
  <c r="S20" i="26"/>
  <c r="R20" i="26"/>
  <c r="Q20" i="26"/>
  <c r="P20" i="26"/>
  <c r="O20" i="26"/>
  <c r="N20" i="26"/>
  <c r="M20" i="26"/>
  <c r="L20" i="26"/>
  <c r="K20" i="26"/>
  <c r="J20" i="26"/>
  <c r="I20" i="26"/>
  <c r="H20" i="26"/>
  <c r="G20" i="26"/>
  <c r="F20" i="26"/>
  <c r="E20" i="26"/>
  <c r="D20" i="26"/>
  <c r="BB19" i="26"/>
  <c r="AZ19" i="26"/>
  <c r="AY19" i="26"/>
  <c r="AX19" i="26"/>
  <c r="AW19" i="26"/>
  <c r="AV19" i="26"/>
  <c r="AU19" i="26"/>
  <c r="AT19" i="26"/>
  <c r="AS19" i="26"/>
  <c r="AR19" i="26"/>
  <c r="AQ19" i="26"/>
  <c r="AP19" i="26"/>
  <c r="AO19" i="26"/>
  <c r="AN19" i="26"/>
  <c r="AM19" i="26"/>
  <c r="AL19" i="26"/>
  <c r="AK19" i="26"/>
  <c r="AJ19" i="26"/>
  <c r="AI19" i="26"/>
  <c r="AH19" i="26"/>
  <c r="AG19" i="26"/>
  <c r="AF19" i="26"/>
  <c r="AE19" i="26"/>
  <c r="AD19" i="26"/>
  <c r="AB19" i="26"/>
  <c r="AA19" i="26"/>
  <c r="Z19" i="26"/>
  <c r="Y19" i="26"/>
  <c r="X19" i="26"/>
  <c r="W19" i="26"/>
  <c r="V19" i="26"/>
  <c r="U19" i="26"/>
  <c r="T19" i="26"/>
  <c r="S19" i="26"/>
  <c r="R19" i="26"/>
  <c r="Q19" i="26"/>
  <c r="P19" i="26"/>
  <c r="O19" i="26"/>
  <c r="N19" i="26"/>
  <c r="M19" i="26"/>
  <c r="L19" i="26"/>
  <c r="K19" i="26"/>
  <c r="J19" i="26"/>
  <c r="I19" i="26"/>
  <c r="H19" i="26"/>
  <c r="G19" i="26"/>
  <c r="F19" i="26"/>
  <c r="E19" i="26"/>
  <c r="D19" i="26"/>
  <c r="BB18" i="26"/>
  <c r="BA18" i="26"/>
  <c r="AZ18" i="26"/>
  <c r="AY18" i="26"/>
  <c r="AX18" i="26"/>
  <c r="AW18" i="26"/>
  <c r="AV18" i="26"/>
  <c r="AU18" i="26"/>
  <c r="AT18" i="26"/>
  <c r="AS18" i="26"/>
  <c r="AR18" i="26"/>
  <c r="AQ18" i="26"/>
  <c r="AP18" i="26"/>
  <c r="AO18" i="26"/>
  <c r="AN18" i="26"/>
  <c r="AM18" i="26"/>
  <c r="AL18" i="26"/>
  <c r="AK18" i="26"/>
  <c r="AJ18" i="26"/>
  <c r="AI18" i="26"/>
  <c r="AH18" i="26"/>
  <c r="AG18" i="26"/>
  <c r="AF18" i="26"/>
  <c r="AE18" i="26"/>
  <c r="AD18" i="26"/>
  <c r="AB18" i="26"/>
  <c r="AA18" i="26"/>
  <c r="Z18" i="26"/>
  <c r="Y18" i="26"/>
  <c r="X18" i="26"/>
  <c r="W18" i="26"/>
  <c r="V18" i="26"/>
  <c r="U18" i="26"/>
  <c r="T18" i="26"/>
  <c r="S18" i="26"/>
  <c r="R18" i="26"/>
  <c r="Q18" i="26"/>
  <c r="P18" i="26"/>
  <c r="O18" i="26"/>
  <c r="N18" i="26"/>
  <c r="M18" i="26"/>
  <c r="L18" i="26"/>
  <c r="K18" i="26"/>
  <c r="J18" i="26"/>
  <c r="I18" i="26"/>
  <c r="H18" i="26"/>
  <c r="G18" i="26"/>
  <c r="F18" i="26"/>
  <c r="E18" i="26"/>
  <c r="D18" i="26"/>
  <c r="BB17" i="26"/>
  <c r="AZ17" i="26"/>
  <c r="AY17" i="26"/>
  <c r="AX17" i="26"/>
  <c r="AW17" i="26"/>
  <c r="AV17" i="26"/>
  <c r="AU17" i="26"/>
  <c r="AT17" i="26"/>
  <c r="AS17" i="26"/>
  <c r="AR17" i="26"/>
  <c r="AQ17" i="26"/>
  <c r="AP17" i="26"/>
  <c r="AO17" i="26"/>
  <c r="AN17" i="26"/>
  <c r="AM17" i="26"/>
  <c r="AL17" i="26"/>
  <c r="AK17" i="26"/>
  <c r="AJ17" i="26"/>
  <c r="AI17" i="26"/>
  <c r="AH17" i="26"/>
  <c r="AG17" i="26"/>
  <c r="AF17" i="26"/>
  <c r="AE17" i="26"/>
  <c r="AD17" i="26"/>
  <c r="AB17" i="26"/>
  <c r="AA17" i="26"/>
  <c r="Z17" i="26"/>
  <c r="Y17" i="26"/>
  <c r="X17" i="26"/>
  <c r="W17" i="26"/>
  <c r="V17" i="26"/>
  <c r="U17" i="26"/>
  <c r="T17" i="26"/>
  <c r="S17" i="26"/>
  <c r="R17" i="26"/>
  <c r="Q17" i="26"/>
  <c r="P17" i="26"/>
  <c r="O17" i="26"/>
  <c r="N17" i="26"/>
  <c r="M17" i="26"/>
  <c r="L17" i="26"/>
  <c r="K17" i="26"/>
  <c r="J17" i="26"/>
  <c r="I17" i="26"/>
  <c r="H17" i="26"/>
  <c r="G17" i="26"/>
  <c r="F17" i="26"/>
  <c r="E17" i="26"/>
  <c r="D17" i="26"/>
  <c r="BB16" i="26"/>
  <c r="BA16" i="26"/>
  <c r="AZ16" i="26"/>
  <c r="AY16" i="26"/>
  <c r="AX16" i="26"/>
  <c r="AW16" i="26"/>
  <c r="AV16" i="26"/>
  <c r="AU16" i="26"/>
  <c r="AT16" i="26"/>
  <c r="AS16" i="26"/>
  <c r="AR16" i="26"/>
  <c r="AQ16" i="26"/>
  <c r="AP16" i="26"/>
  <c r="AO16" i="26"/>
  <c r="AN16" i="26"/>
  <c r="AM16" i="26"/>
  <c r="AL16" i="26"/>
  <c r="AK16" i="26"/>
  <c r="AJ16" i="26"/>
  <c r="AI16" i="26"/>
  <c r="AH16" i="26"/>
  <c r="AG16" i="26"/>
  <c r="AF16" i="26"/>
  <c r="AE16" i="26"/>
  <c r="AD16" i="26"/>
  <c r="AB16" i="26"/>
  <c r="AA16" i="26"/>
  <c r="Z16" i="26"/>
  <c r="Y16" i="26"/>
  <c r="X16" i="26"/>
  <c r="W16" i="26"/>
  <c r="V16" i="26"/>
  <c r="U16" i="26"/>
  <c r="T16" i="26"/>
  <c r="S16" i="26"/>
  <c r="R16" i="26"/>
  <c r="Q16" i="26"/>
  <c r="P16" i="26"/>
  <c r="O16" i="26"/>
  <c r="N16" i="26"/>
  <c r="M16" i="26"/>
  <c r="L16" i="26"/>
  <c r="K16" i="26"/>
  <c r="J16" i="26"/>
  <c r="I16" i="26"/>
  <c r="H16" i="26"/>
  <c r="G16" i="26"/>
  <c r="F16" i="26"/>
  <c r="E16" i="26"/>
  <c r="D16" i="26"/>
  <c r="BB15" i="26"/>
  <c r="AZ15" i="26"/>
  <c r="AY15" i="26"/>
  <c r="AX15" i="26"/>
  <c r="AW15" i="26"/>
  <c r="AV15" i="26"/>
  <c r="AU15" i="26"/>
  <c r="AT15" i="26"/>
  <c r="AS15" i="26"/>
  <c r="AR15" i="26"/>
  <c r="AQ15" i="26"/>
  <c r="AP15" i="26"/>
  <c r="AO15" i="26"/>
  <c r="AN15" i="26"/>
  <c r="AM15" i="26"/>
  <c r="AL15" i="26"/>
  <c r="AK15" i="26"/>
  <c r="AJ15" i="26"/>
  <c r="AI15" i="26"/>
  <c r="AH15" i="26"/>
  <c r="AG15" i="26"/>
  <c r="AF15" i="26"/>
  <c r="AE15" i="26"/>
  <c r="AD15" i="26"/>
  <c r="AB15" i="26"/>
  <c r="AA15" i="26"/>
  <c r="Z15" i="26"/>
  <c r="Y15" i="26"/>
  <c r="X15" i="26"/>
  <c r="W15" i="26"/>
  <c r="V15" i="26"/>
  <c r="U15" i="26"/>
  <c r="T15" i="26"/>
  <c r="S15" i="26"/>
  <c r="R15" i="26"/>
  <c r="Q15" i="26"/>
  <c r="P15" i="26"/>
  <c r="O15" i="26"/>
  <c r="N15" i="26"/>
  <c r="M15" i="26"/>
  <c r="L15" i="26"/>
  <c r="K15" i="26"/>
  <c r="J15" i="26"/>
  <c r="I15" i="26"/>
  <c r="H15" i="26"/>
  <c r="G15" i="26"/>
  <c r="F15" i="26"/>
  <c r="E15" i="26"/>
  <c r="D15" i="26"/>
  <c r="BB14" i="26"/>
  <c r="BA14" i="26"/>
  <c r="AZ14" i="26"/>
  <c r="AY14" i="26"/>
  <c r="AX14" i="26"/>
  <c r="AW14" i="26"/>
  <c r="AV14" i="26"/>
  <c r="AU14" i="26"/>
  <c r="AT14" i="26"/>
  <c r="AS14" i="26"/>
  <c r="AR14" i="26"/>
  <c r="AQ14" i="26"/>
  <c r="AP14" i="26"/>
  <c r="AO14" i="26"/>
  <c r="AN14" i="26"/>
  <c r="AM14" i="26"/>
  <c r="AL14" i="26"/>
  <c r="AK14" i="26"/>
  <c r="AJ14" i="26"/>
  <c r="AI14" i="26"/>
  <c r="AH14" i="26"/>
  <c r="AG14" i="26"/>
  <c r="AF14" i="26"/>
  <c r="AE14" i="26"/>
  <c r="AD14" i="26"/>
  <c r="AB14" i="26"/>
  <c r="AA14" i="26"/>
  <c r="Z14" i="26"/>
  <c r="Y14" i="26"/>
  <c r="X14" i="26"/>
  <c r="W14" i="26"/>
  <c r="V14" i="26"/>
  <c r="U14" i="26"/>
  <c r="T14" i="26"/>
  <c r="S14" i="26"/>
  <c r="R14" i="26"/>
  <c r="Q14" i="26"/>
  <c r="P14" i="26"/>
  <c r="O14" i="26"/>
  <c r="N14" i="26"/>
  <c r="M14" i="26"/>
  <c r="L14" i="26"/>
  <c r="K14" i="26"/>
  <c r="J14" i="26"/>
  <c r="I14" i="26"/>
  <c r="H14" i="26"/>
  <c r="G14" i="26"/>
  <c r="F14" i="26"/>
  <c r="E14" i="26"/>
  <c r="D14" i="26"/>
  <c r="BB13" i="26"/>
  <c r="AZ13" i="26"/>
  <c r="AY13" i="26"/>
  <c r="AX13" i="26"/>
  <c r="AW13" i="26"/>
  <c r="AV13" i="26"/>
  <c r="AU13" i="26"/>
  <c r="AT13" i="26"/>
  <c r="AS13" i="26"/>
  <c r="AR13" i="26"/>
  <c r="AQ13" i="26"/>
  <c r="AP13" i="26"/>
  <c r="AO13" i="26"/>
  <c r="AN13" i="26"/>
  <c r="AM13" i="26"/>
  <c r="AL13" i="26"/>
  <c r="AK13" i="26"/>
  <c r="AJ13" i="26"/>
  <c r="AI13" i="26"/>
  <c r="AH13" i="26"/>
  <c r="AG13" i="26"/>
  <c r="AF13" i="26"/>
  <c r="AE13" i="26"/>
  <c r="AD13" i="26"/>
  <c r="AB13" i="26"/>
  <c r="AA13" i="26"/>
  <c r="Z13" i="26"/>
  <c r="Y13" i="26"/>
  <c r="X13" i="26"/>
  <c r="W13" i="26"/>
  <c r="V13" i="26"/>
  <c r="U13" i="26"/>
  <c r="T13" i="26"/>
  <c r="S13" i="26"/>
  <c r="R13" i="26"/>
  <c r="Q13" i="26"/>
  <c r="P13" i="26"/>
  <c r="O13" i="26"/>
  <c r="N13" i="26"/>
  <c r="M13" i="26"/>
  <c r="L13" i="26"/>
  <c r="K13" i="26"/>
  <c r="J13" i="26"/>
  <c r="I13" i="26"/>
  <c r="H13" i="26"/>
  <c r="G13" i="26"/>
  <c r="F13" i="26"/>
  <c r="E13" i="26"/>
  <c r="D13" i="26"/>
  <c r="BB12" i="26"/>
  <c r="BA12" i="26"/>
  <c r="AZ12" i="26"/>
  <c r="AY12" i="26"/>
  <c r="AX12" i="26"/>
  <c r="AW12" i="26"/>
  <c r="AV12" i="26"/>
  <c r="AU12" i="26"/>
  <c r="AT12" i="26"/>
  <c r="AS12" i="26"/>
  <c r="AR12" i="26"/>
  <c r="AQ12" i="26"/>
  <c r="AP12" i="26"/>
  <c r="AO12" i="26"/>
  <c r="AN12" i="26"/>
  <c r="AM12" i="26"/>
  <c r="AL12" i="26"/>
  <c r="AK12" i="26"/>
  <c r="AJ12" i="26"/>
  <c r="AI12" i="26"/>
  <c r="AH12" i="26"/>
  <c r="AG12" i="26"/>
  <c r="AF12" i="26"/>
  <c r="AE12" i="26"/>
  <c r="AD12" i="26"/>
  <c r="AB12" i="26"/>
  <c r="AA12" i="26"/>
  <c r="Z12" i="26"/>
  <c r="Y12" i="26"/>
  <c r="X12" i="26"/>
  <c r="W12" i="26"/>
  <c r="V12" i="26"/>
  <c r="U12" i="26"/>
  <c r="T12" i="26"/>
  <c r="S12" i="26"/>
  <c r="R12" i="26"/>
  <c r="Q12" i="26"/>
  <c r="P12" i="26"/>
  <c r="O12" i="26"/>
  <c r="N12" i="26"/>
  <c r="M12" i="26"/>
  <c r="L12" i="26"/>
  <c r="K12" i="26"/>
  <c r="J12" i="26"/>
  <c r="I12" i="26"/>
  <c r="H12" i="26"/>
  <c r="G12" i="26"/>
  <c r="F12" i="26"/>
  <c r="E12" i="26"/>
  <c r="D12" i="26"/>
  <c r="BB11" i="26"/>
  <c r="AZ11" i="26"/>
  <c r="AY11" i="26"/>
  <c r="AX11" i="26"/>
  <c r="AW11" i="26"/>
  <c r="AV11" i="26"/>
  <c r="AU11" i="26"/>
  <c r="AT11" i="26"/>
  <c r="AS11" i="26"/>
  <c r="AR11" i="26"/>
  <c r="AQ11" i="26"/>
  <c r="AP11" i="26"/>
  <c r="AO11" i="26"/>
  <c r="AN11" i="26"/>
  <c r="AM11" i="26"/>
  <c r="AL11" i="26"/>
  <c r="AK11" i="26"/>
  <c r="AJ11" i="26"/>
  <c r="AI11" i="26"/>
  <c r="AH11" i="26"/>
  <c r="AG11" i="26"/>
  <c r="AF11" i="26"/>
  <c r="AE11" i="26"/>
  <c r="AD11" i="26"/>
  <c r="AB11" i="26"/>
  <c r="AA11" i="26"/>
  <c r="Z11" i="26"/>
  <c r="Y11" i="26"/>
  <c r="X11" i="26"/>
  <c r="W11" i="26"/>
  <c r="V11" i="26"/>
  <c r="U11" i="26"/>
  <c r="T11" i="26"/>
  <c r="S11" i="26"/>
  <c r="R11" i="26"/>
  <c r="Q11" i="26"/>
  <c r="P11" i="26"/>
  <c r="O11" i="26"/>
  <c r="N11" i="26"/>
  <c r="M11" i="26"/>
  <c r="L11" i="26"/>
  <c r="K11" i="26"/>
  <c r="J11" i="26"/>
  <c r="I11" i="26"/>
  <c r="H11" i="26"/>
  <c r="G11" i="26"/>
  <c r="F11" i="26"/>
  <c r="E11" i="26"/>
  <c r="D11" i="26"/>
  <c r="BB10" i="26"/>
  <c r="BA10" i="26"/>
  <c r="AZ10" i="26"/>
  <c r="AY10" i="26"/>
  <c r="AX10" i="26"/>
  <c r="AW10" i="26"/>
  <c r="AV10" i="26"/>
  <c r="AU10" i="26"/>
  <c r="AT10" i="26"/>
  <c r="AS10" i="26"/>
  <c r="AR10" i="26"/>
  <c r="AQ10" i="26"/>
  <c r="AP10" i="26"/>
  <c r="AO10" i="26"/>
  <c r="AN10" i="26"/>
  <c r="AM10" i="26"/>
  <c r="AL10" i="26"/>
  <c r="AK10" i="26"/>
  <c r="AJ10" i="26"/>
  <c r="AI10" i="26"/>
  <c r="AH10" i="26"/>
  <c r="AG10" i="26"/>
  <c r="AF10" i="26"/>
  <c r="AE10" i="26"/>
  <c r="AD10" i="26"/>
  <c r="AB10" i="26"/>
  <c r="AA10" i="26"/>
  <c r="Z10" i="26"/>
  <c r="Y10" i="26"/>
  <c r="X10" i="26"/>
  <c r="W10" i="26"/>
  <c r="V10" i="26"/>
  <c r="U10" i="26"/>
  <c r="T10" i="26"/>
  <c r="S10" i="26"/>
  <c r="R10" i="26"/>
  <c r="Q10" i="26"/>
  <c r="P10" i="26"/>
  <c r="O10" i="26"/>
  <c r="N10" i="26"/>
  <c r="M10" i="26"/>
  <c r="L10" i="26"/>
  <c r="K10" i="26"/>
  <c r="J10" i="26"/>
  <c r="I10" i="26"/>
  <c r="H10" i="26"/>
  <c r="G10" i="26"/>
  <c r="F10" i="26"/>
  <c r="E10" i="26"/>
  <c r="D10" i="26"/>
  <c r="BB9" i="26"/>
  <c r="AZ9" i="26"/>
  <c r="AY9" i="26"/>
  <c r="AX9" i="26"/>
  <c r="AW9" i="26"/>
  <c r="AV9" i="26"/>
  <c r="AU9" i="26"/>
  <c r="AT9" i="26"/>
  <c r="AS9" i="26"/>
  <c r="AR9" i="26"/>
  <c r="AQ9" i="26"/>
  <c r="AP9" i="26"/>
  <c r="AO9" i="26"/>
  <c r="AN9" i="26"/>
  <c r="AM9" i="26"/>
  <c r="AL9" i="26"/>
  <c r="AK9" i="26"/>
  <c r="AJ9" i="26"/>
  <c r="AI9" i="26"/>
  <c r="AH9" i="26"/>
  <c r="AG9" i="26"/>
  <c r="AF9" i="26"/>
  <c r="AE9" i="26"/>
  <c r="AD9" i="26"/>
  <c r="AB9" i="26"/>
  <c r="AA9" i="26"/>
  <c r="Z9" i="26"/>
  <c r="Y9" i="26"/>
  <c r="X9" i="26"/>
  <c r="W9" i="26"/>
  <c r="V9" i="26"/>
  <c r="U9" i="26"/>
  <c r="T9" i="26"/>
  <c r="S9" i="26"/>
  <c r="R9" i="26"/>
  <c r="Q9" i="26"/>
  <c r="P9" i="26"/>
  <c r="O9" i="26"/>
  <c r="N9" i="26"/>
  <c r="M9" i="26"/>
  <c r="L9" i="26"/>
  <c r="K9" i="26"/>
  <c r="J9" i="26"/>
  <c r="I9" i="26"/>
  <c r="H9" i="26"/>
  <c r="G9" i="26"/>
  <c r="F9" i="26"/>
  <c r="E9" i="26"/>
  <c r="D9" i="26"/>
  <c r="BB8" i="26"/>
  <c r="BA8" i="26"/>
  <c r="AZ8" i="26"/>
  <c r="AY8" i="26"/>
  <c r="AX8" i="26"/>
  <c r="AW8" i="26"/>
  <c r="AV8" i="26"/>
  <c r="AU8" i="26"/>
  <c r="AT8" i="26"/>
  <c r="AS8" i="26"/>
  <c r="AR8" i="26"/>
  <c r="AQ8" i="26"/>
  <c r="AP8" i="26"/>
  <c r="AO8" i="26"/>
  <c r="AN8" i="26"/>
  <c r="AM8" i="26"/>
  <c r="AL8" i="26"/>
  <c r="AK8" i="26"/>
  <c r="AJ8" i="26"/>
  <c r="AI8" i="26"/>
  <c r="AH8" i="26"/>
  <c r="AG8" i="26"/>
  <c r="AF8" i="26"/>
  <c r="AE8" i="26"/>
  <c r="AD8" i="26"/>
  <c r="AB8" i="26"/>
  <c r="AA8" i="26"/>
  <c r="Z8" i="26"/>
  <c r="Y8" i="26"/>
  <c r="X8" i="26"/>
  <c r="W8" i="26"/>
  <c r="V8" i="26"/>
  <c r="U8" i="26"/>
  <c r="T8" i="26"/>
  <c r="S8" i="26"/>
  <c r="R8" i="26"/>
  <c r="Q8" i="26"/>
  <c r="P8" i="26"/>
  <c r="O8" i="26"/>
  <c r="N8" i="26"/>
  <c r="M8" i="26"/>
  <c r="L8" i="26"/>
  <c r="K8" i="26"/>
  <c r="J8" i="26"/>
  <c r="I8" i="26"/>
  <c r="H8" i="26"/>
  <c r="G8" i="26"/>
  <c r="F8" i="26"/>
  <c r="E8" i="26"/>
  <c r="D8" i="26"/>
  <c r="BB7" i="26"/>
  <c r="AZ7" i="26"/>
  <c r="AY7" i="26"/>
  <c r="AX7" i="26"/>
  <c r="AW7" i="26"/>
  <c r="AV7" i="26"/>
  <c r="AU7" i="26"/>
  <c r="AT7" i="26"/>
  <c r="AS7" i="26"/>
  <c r="AR7" i="26"/>
  <c r="AQ7" i="26"/>
  <c r="AP7" i="26"/>
  <c r="AO7" i="26"/>
  <c r="AN7" i="26"/>
  <c r="AM7" i="26"/>
  <c r="AL7" i="26"/>
  <c r="AK7" i="26"/>
  <c r="AJ7" i="26"/>
  <c r="AI7" i="26"/>
  <c r="AH7" i="26"/>
  <c r="AG7" i="26"/>
  <c r="AF7" i="26"/>
  <c r="AE7" i="26"/>
  <c r="AD7" i="26"/>
  <c r="AB7" i="26"/>
  <c r="AA7" i="26"/>
  <c r="Z7" i="26"/>
  <c r="Y7" i="26"/>
  <c r="X7" i="26"/>
  <c r="W7" i="26"/>
  <c r="V7" i="26"/>
  <c r="U7" i="26"/>
  <c r="T7" i="26"/>
  <c r="S7" i="26"/>
  <c r="R7" i="26"/>
  <c r="Q7" i="26"/>
  <c r="P7" i="26"/>
  <c r="O7" i="26"/>
  <c r="N7" i="26"/>
  <c r="M7" i="26"/>
  <c r="L7" i="26"/>
  <c r="K7" i="26"/>
  <c r="J7" i="26"/>
  <c r="I7" i="26"/>
  <c r="H7" i="26"/>
  <c r="G7" i="26"/>
  <c r="F7" i="26"/>
  <c r="E7" i="26"/>
  <c r="D7"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B6" i="26"/>
  <c r="AA6" i="26"/>
  <c r="Z6" i="26"/>
  <c r="Y6" i="26"/>
  <c r="X6" i="26"/>
  <c r="W6" i="26"/>
  <c r="V6" i="26"/>
  <c r="U6" i="26"/>
  <c r="T6" i="26"/>
  <c r="S6" i="26"/>
  <c r="R6" i="26"/>
  <c r="Q6" i="26"/>
  <c r="P6" i="26"/>
  <c r="O6" i="26"/>
  <c r="N6" i="26"/>
  <c r="M6" i="26"/>
  <c r="L6" i="26"/>
  <c r="K6" i="26"/>
  <c r="J6" i="26"/>
  <c r="I6" i="26"/>
  <c r="H6" i="26"/>
  <c r="G6" i="26"/>
  <c r="F6" i="26"/>
  <c r="E6" i="26"/>
  <c r="D6" i="26"/>
  <c r="BB5" i="26"/>
  <c r="AZ5" i="26"/>
  <c r="AY5" i="26"/>
  <c r="AX5" i="26"/>
  <c r="AW5" i="26"/>
  <c r="AV5" i="26"/>
  <c r="AU5" i="26"/>
  <c r="AT5" i="26"/>
  <c r="AS5" i="26"/>
  <c r="AR5" i="26"/>
  <c r="AQ5" i="26"/>
  <c r="AP5" i="26"/>
  <c r="AO5" i="26"/>
  <c r="AN5" i="26"/>
  <c r="AM5" i="26"/>
  <c r="AL5" i="26"/>
  <c r="AK5" i="26"/>
  <c r="AJ5" i="26"/>
  <c r="AI5" i="26"/>
  <c r="AH5" i="26"/>
  <c r="AG5" i="26"/>
  <c r="AF5" i="26"/>
  <c r="AE5" i="26"/>
  <c r="AD5" i="26"/>
  <c r="AB5" i="26"/>
  <c r="AA5" i="26"/>
  <c r="Z5" i="26"/>
  <c r="Y5" i="26"/>
  <c r="X5" i="26"/>
  <c r="W5" i="26"/>
  <c r="V5" i="26"/>
  <c r="U5" i="26"/>
  <c r="T5" i="26"/>
  <c r="S5" i="26"/>
  <c r="R5" i="26"/>
  <c r="Q5" i="26"/>
  <c r="P5" i="26"/>
  <c r="O5" i="26"/>
  <c r="N5" i="26"/>
  <c r="M5" i="26"/>
  <c r="L5" i="26"/>
  <c r="K5" i="26"/>
  <c r="J5" i="26"/>
  <c r="I5" i="26"/>
  <c r="H5" i="26"/>
  <c r="G5" i="26"/>
  <c r="F5" i="26"/>
  <c r="E5" i="26"/>
  <c r="D5" i="26"/>
  <c r="BB4" i="26"/>
  <c r="BA4" i="26"/>
  <c r="AZ4" i="26"/>
  <c r="AY4" i="26"/>
  <c r="AX4" i="26"/>
  <c r="AW4" i="26"/>
  <c r="AV4" i="26"/>
  <c r="AU4" i="26"/>
  <c r="AT4" i="26"/>
  <c r="AS4" i="26"/>
  <c r="AR4" i="26"/>
  <c r="AQ4" i="26"/>
  <c r="AP4" i="26"/>
  <c r="AO4" i="26"/>
  <c r="AN4" i="26"/>
  <c r="AM4" i="26"/>
  <c r="AL4" i="26"/>
  <c r="AK4" i="26"/>
  <c r="AJ4" i="26"/>
  <c r="AI4" i="26"/>
  <c r="AH4" i="26"/>
  <c r="AG4" i="26"/>
  <c r="AF4" i="26"/>
  <c r="AE4" i="26"/>
  <c r="AD4" i="26"/>
  <c r="AB4" i="26"/>
  <c r="AA4" i="26"/>
  <c r="Z4" i="26"/>
  <c r="Y4" i="26"/>
  <c r="X4" i="26"/>
  <c r="W4" i="26"/>
  <c r="V4" i="26"/>
  <c r="U4" i="26"/>
  <c r="T4" i="26"/>
  <c r="S4" i="26"/>
  <c r="R4" i="26"/>
  <c r="Q4" i="26"/>
  <c r="P4" i="26"/>
  <c r="O4" i="26"/>
  <c r="N4" i="26"/>
  <c r="M4" i="26"/>
  <c r="L4" i="26"/>
  <c r="K4" i="26"/>
  <c r="J4" i="26"/>
  <c r="I4" i="26"/>
  <c r="H4" i="26"/>
  <c r="G4" i="26"/>
  <c r="F4" i="26"/>
  <c r="E4" i="26"/>
  <c r="D4" i="26"/>
  <c r="BB3" i="26"/>
  <c r="AZ3" i="26"/>
  <c r="AY3" i="26"/>
  <c r="AX3" i="26"/>
  <c r="AW3" i="26"/>
  <c r="AV3" i="26"/>
  <c r="AU3" i="26"/>
  <c r="AT3" i="26"/>
  <c r="AS3" i="26"/>
  <c r="AR3" i="26"/>
  <c r="AQ3" i="26"/>
  <c r="AP3" i="26"/>
  <c r="AO3" i="26"/>
  <c r="AN3" i="26"/>
  <c r="AM3" i="26"/>
  <c r="AL3" i="26"/>
  <c r="AK3" i="26"/>
  <c r="AJ3" i="26"/>
  <c r="AI3" i="26"/>
  <c r="AH3" i="26"/>
  <c r="AG3" i="26"/>
  <c r="AF3" i="26"/>
  <c r="AE3" i="26"/>
  <c r="AD3" i="26"/>
  <c r="AB3" i="26"/>
  <c r="AA3" i="26"/>
  <c r="Z3" i="26"/>
  <c r="Y3" i="26"/>
  <c r="X3" i="26"/>
  <c r="W3" i="26"/>
  <c r="V3" i="26"/>
  <c r="U3" i="26"/>
  <c r="T3" i="26"/>
  <c r="S3" i="26"/>
  <c r="R3" i="26"/>
  <c r="Q3" i="26"/>
  <c r="P3" i="26"/>
  <c r="O3" i="26"/>
  <c r="N3" i="26"/>
  <c r="M3" i="26"/>
  <c r="L3" i="26"/>
  <c r="K3" i="26"/>
  <c r="J3" i="26"/>
  <c r="I3" i="26"/>
  <c r="H3" i="26"/>
  <c r="G3" i="26"/>
  <c r="F3" i="26"/>
  <c r="E3" i="26"/>
  <c r="D3" i="26"/>
  <c r="BB2" i="26"/>
  <c r="BA2" i="26"/>
  <c r="AZ2" i="26"/>
  <c r="AY2" i="26"/>
  <c r="AX2" i="26"/>
  <c r="AW2" i="26"/>
  <c r="AV2" i="26"/>
  <c r="AU2" i="26"/>
  <c r="AT2" i="26"/>
  <c r="AS2" i="26"/>
  <c r="AR2" i="26"/>
  <c r="AQ2" i="26"/>
  <c r="AP2" i="26"/>
  <c r="AO2" i="26"/>
  <c r="AN2" i="26"/>
  <c r="AM2" i="26"/>
  <c r="AL2" i="26"/>
  <c r="AK2" i="26"/>
  <c r="AJ2" i="26"/>
  <c r="AI2" i="26"/>
  <c r="AH2" i="26"/>
  <c r="AG2" i="26"/>
  <c r="AF2" i="26"/>
  <c r="AE2" i="26"/>
  <c r="AD2" i="26"/>
  <c r="AB2" i="26"/>
  <c r="AA2" i="26"/>
  <c r="Z2" i="26"/>
  <c r="Y2" i="26"/>
  <c r="X2" i="26"/>
  <c r="W2" i="26"/>
  <c r="V2" i="26"/>
  <c r="U2" i="26"/>
  <c r="T2" i="26"/>
  <c r="S2" i="26"/>
  <c r="R2" i="26"/>
  <c r="Q2" i="26"/>
  <c r="P2" i="26"/>
  <c r="O2" i="26"/>
  <c r="N2" i="26"/>
  <c r="M2" i="26"/>
  <c r="L2" i="26"/>
  <c r="K2" i="26"/>
  <c r="J2" i="26"/>
  <c r="I2" i="26"/>
  <c r="H2" i="26"/>
  <c r="G2" i="26"/>
  <c r="F2" i="26"/>
  <c r="E2" i="26"/>
  <c r="D2" i="26"/>
  <c r="I3" i="27"/>
  <c r="I32" i="27"/>
  <c r="I13" i="27"/>
  <c r="I33" i="27"/>
  <c r="I14" i="27"/>
  <c r="I34" i="27"/>
  <c r="I30" i="27"/>
  <c r="I35" i="27"/>
  <c r="I26" i="27"/>
  <c r="I36" i="27"/>
  <c r="I22" i="27"/>
  <c r="I37" i="27"/>
  <c r="I2" i="27"/>
  <c r="I38" i="27"/>
  <c r="I11" i="27"/>
  <c r="I39" i="27"/>
  <c r="I4" i="27"/>
  <c r="I40" i="27"/>
  <c r="I8" i="27"/>
  <c r="I41" i="27"/>
  <c r="I19" i="27"/>
  <c r="I42" i="27"/>
  <c r="I28" i="27"/>
  <c r="I43" i="27"/>
  <c r="I15" i="27"/>
  <c r="I44" i="27"/>
  <c r="I31" i="27"/>
  <c r="C2" i="26"/>
  <c r="D3" i="27"/>
  <c r="E3" i="27"/>
  <c r="F3" i="27"/>
  <c r="G3" i="27"/>
  <c r="H3" i="27"/>
  <c r="J3" i="27"/>
  <c r="K3" i="27"/>
  <c r="L3" i="27"/>
  <c r="M3" i="27"/>
  <c r="N3" i="27"/>
  <c r="O3" i="27"/>
  <c r="P3" i="27"/>
  <c r="Q3" i="27"/>
  <c r="R3" i="27"/>
  <c r="S3" i="27"/>
  <c r="T3" i="27"/>
  <c r="U3" i="27"/>
  <c r="V3" i="27"/>
  <c r="W3" i="27"/>
  <c r="X3" i="27"/>
  <c r="Y3" i="27"/>
  <c r="Z3" i="27"/>
  <c r="C3" i="27"/>
  <c r="G32" i="4"/>
  <c r="D13" i="27"/>
  <c r="E13" i="27"/>
  <c r="F13" i="27"/>
  <c r="G13" i="27"/>
  <c r="H13" i="27"/>
  <c r="J13" i="27"/>
  <c r="K13" i="27"/>
  <c r="L13" i="27"/>
  <c r="M13" i="27"/>
  <c r="N13" i="27"/>
  <c r="O13" i="27"/>
  <c r="P13" i="27"/>
  <c r="Q13" i="27"/>
  <c r="R13" i="27"/>
  <c r="S13" i="27"/>
  <c r="T13" i="27"/>
  <c r="U13" i="27"/>
  <c r="V13" i="27"/>
  <c r="W13" i="27"/>
  <c r="X13" i="27"/>
  <c r="Y13" i="27"/>
  <c r="Z13" i="27"/>
  <c r="C13" i="27"/>
  <c r="G33" i="4"/>
  <c r="D14" i="27"/>
  <c r="E14" i="27"/>
  <c r="F14" i="27"/>
  <c r="G14" i="27"/>
  <c r="H14" i="27"/>
  <c r="J14" i="27"/>
  <c r="K14" i="27"/>
  <c r="L14" i="27"/>
  <c r="M14" i="27"/>
  <c r="N14" i="27"/>
  <c r="O14" i="27"/>
  <c r="P14" i="27"/>
  <c r="Q14" i="27"/>
  <c r="R14" i="27"/>
  <c r="S14" i="27"/>
  <c r="T14" i="27"/>
  <c r="U14" i="27"/>
  <c r="V14" i="27"/>
  <c r="W14" i="27"/>
  <c r="X14" i="27"/>
  <c r="Y14" i="27"/>
  <c r="Z14" i="27"/>
  <c r="C14" i="27"/>
  <c r="G34" i="4"/>
  <c r="D30" i="27"/>
  <c r="E30" i="27"/>
  <c r="F30" i="27"/>
  <c r="G30" i="27"/>
  <c r="H30" i="27"/>
  <c r="J30" i="27"/>
  <c r="K30" i="27"/>
  <c r="L30" i="27"/>
  <c r="M30" i="27"/>
  <c r="N30" i="27"/>
  <c r="O30" i="27"/>
  <c r="P30" i="27"/>
  <c r="Q30" i="27"/>
  <c r="R30" i="27"/>
  <c r="S30" i="27"/>
  <c r="T30" i="27"/>
  <c r="U30" i="27"/>
  <c r="V30" i="27"/>
  <c r="W30" i="27"/>
  <c r="X30" i="27"/>
  <c r="Y30" i="27"/>
  <c r="Z30" i="27"/>
  <c r="C30" i="27"/>
  <c r="G35" i="4"/>
  <c r="D26" i="27"/>
  <c r="E26" i="27"/>
  <c r="F26" i="27"/>
  <c r="G26" i="27"/>
  <c r="H26" i="27"/>
  <c r="J26" i="27"/>
  <c r="K26" i="27"/>
  <c r="L26" i="27"/>
  <c r="M26" i="27"/>
  <c r="N26" i="27"/>
  <c r="O26" i="27"/>
  <c r="P26" i="27"/>
  <c r="Q26" i="27"/>
  <c r="R26" i="27"/>
  <c r="S26" i="27"/>
  <c r="T26" i="27"/>
  <c r="U26" i="27"/>
  <c r="V26" i="27"/>
  <c r="W26" i="27"/>
  <c r="X26" i="27"/>
  <c r="Y26" i="27"/>
  <c r="Z26" i="27"/>
  <c r="C26" i="27"/>
  <c r="G36" i="4"/>
  <c r="D22" i="27"/>
  <c r="E22" i="27"/>
  <c r="F22" i="27"/>
  <c r="G22" i="27"/>
  <c r="H22" i="27"/>
  <c r="J22" i="27"/>
  <c r="K22" i="27"/>
  <c r="L22" i="27"/>
  <c r="M22" i="27"/>
  <c r="N22" i="27"/>
  <c r="O22" i="27"/>
  <c r="P22" i="27"/>
  <c r="Q22" i="27"/>
  <c r="R22" i="27"/>
  <c r="S22" i="27"/>
  <c r="T22" i="27"/>
  <c r="U22" i="27"/>
  <c r="V22" i="27"/>
  <c r="W22" i="27"/>
  <c r="X22" i="27"/>
  <c r="Y22" i="27"/>
  <c r="Z22" i="27"/>
  <c r="C22" i="27"/>
  <c r="G37" i="4"/>
  <c r="D2" i="27"/>
  <c r="E2" i="27"/>
  <c r="F2" i="27"/>
  <c r="G2" i="27"/>
  <c r="H2" i="27"/>
  <c r="J2" i="27"/>
  <c r="K2" i="27"/>
  <c r="L2" i="27"/>
  <c r="M2" i="27"/>
  <c r="N2" i="27"/>
  <c r="O2" i="27"/>
  <c r="P2" i="27"/>
  <c r="Q2" i="27"/>
  <c r="R2" i="27"/>
  <c r="S2" i="27"/>
  <c r="T2" i="27"/>
  <c r="U2" i="27"/>
  <c r="V2" i="27"/>
  <c r="W2" i="27"/>
  <c r="X2" i="27"/>
  <c r="Y2" i="27"/>
  <c r="Z2" i="27"/>
  <c r="C2" i="27"/>
  <c r="G38" i="4"/>
  <c r="D11" i="27"/>
  <c r="E11" i="27"/>
  <c r="F11" i="27"/>
  <c r="G11" i="27"/>
  <c r="H11" i="27"/>
  <c r="J11" i="27"/>
  <c r="K11" i="27"/>
  <c r="L11" i="27"/>
  <c r="M11" i="27"/>
  <c r="N11" i="27"/>
  <c r="O11" i="27"/>
  <c r="P11" i="27"/>
  <c r="Q11" i="27"/>
  <c r="R11" i="27"/>
  <c r="S11" i="27"/>
  <c r="T11" i="27"/>
  <c r="U11" i="27"/>
  <c r="V11" i="27"/>
  <c r="W11" i="27"/>
  <c r="X11" i="27"/>
  <c r="Y11" i="27"/>
  <c r="Z11" i="27"/>
  <c r="C11" i="27"/>
  <c r="G39" i="4"/>
  <c r="D4" i="27"/>
  <c r="E4" i="27"/>
  <c r="F4" i="27"/>
  <c r="G4" i="27"/>
  <c r="H4" i="27"/>
  <c r="J4" i="27"/>
  <c r="K4" i="27"/>
  <c r="L4" i="27"/>
  <c r="M4" i="27"/>
  <c r="N4" i="27"/>
  <c r="O4" i="27"/>
  <c r="P4" i="27"/>
  <c r="Q4" i="27"/>
  <c r="R4" i="27"/>
  <c r="S4" i="27"/>
  <c r="T4" i="27"/>
  <c r="U4" i="27"/>
  <c r="V4" i="27"/>
  <c r="W4" i="27"/>
  <c r="X4" i="27"/>
  <c r="Y4" i="27"/>
  <c r="Z4" i="27"/>
  <c r="C4" i="27"/>
  <c r="G40" i="4"/>
  <c r="D8" i="27"/>
  <c r="E8" i="27"/>
  <c r="F8" i="27"/>
  <c r="G8" i="27"/>
  <c r="H8" i="27"/>
  <c r="J8" i="27"/>
  <c r="K8" i="27"/>
  <c r="L8" i="27"/>
  <c r="M8" i="27"/>
  <c r="N8" i="27"/>
  <c r="O8" i="27"/>
  <c r="P8" i="27"/>
  <c r="Q8" i="27"/>
  <c r="R8" i="27"/>
  <c r="S8" i="27"/>
  <c r="T8" i="27"/>
  <c r="U8" i="27"/>
  <c r="V8" i="27"/>
  <c r="W8" i="27"/>
  <c r="X8" i="27"/>
  <c r="Y8" i="27"/>
  <c r="Z8" i="27"/>
  <c r="C8" i="27"/>
  <c r="G41" i="4"/>
  <c r="D19" i="27"/>
  <c r="E19" i="27"/>
  <c r="F19" i="27"/>
  <c r="G19" i="27"/>
  <c r="H19" i="27"/>
  <c r="J19" i="27"/>
  <c r="K19" i="27"/>
  <c r="L19" i="27"/>
  <c r="M19" i="27"/>
  <c r="N19" i="27"/>
  <c r="O19" i="27"/>
  <c r="P19" i="27"/>
  <c r="Q19" i="27"/>
  <c r="R19" i="27"/>
  <c r="S19" i="27"/>
  <c r="T19" i="27"/>
  <c r="U19" i="27"/>
  <c r="V19" i="27"/>
  <c r="W19" i="27"/>
  <c r="X19" i="27"/>
  <c r="Y19" i="27"/>
  <c r="Z19" i="27"/>
  <c r="C19" i="27"/>
  <c r="G42" i="4"/>
  <c r="D28" i="27"/>
  <c r="E28" i="27"/>
  <c r="F28" i="27"/>
  <c r="G28" i="27"/>
  <c r="H28" i="27"/>
  <c r="J28" i="27"/>
  <c r="K28" i="27"/>
  <c r="L28" i="27"/>
  <c r="M28" i="27"/>
  <c r="N28" i="27"/>
  <c r="O28" i="27"/>
  <c r="P28" i="27"/>
  <c r="Q28" i="27"/>
  <c r="R28" i="27"/>
  <c r="S28" i="27"/>
  <c r="T28" i="27"/>
  <c r="U28" i="27"/>
  <c r="V28" i="27"/>
  <c r="W28" i="27"/>
  <c r="X28" i="27"/>
  <c r="Y28" i="27"/>
  <c r="Z28" i="27"/>
  <c r="C28" i="27"/>
  <c r="G43" i="4"/>
  <c r="D15" i="27"/>
  <c r="E15" i="27"/>
  <c r="F15" i="27"/>
  <c r="G15" i="27"/>
  <c r="H15" i="27"/>
  <c r="J15" i="27"/>
  <c r="K15" i="27"/>
  <c r="L15" i="27"/>
  <c r="M15" i="27"/>
  <c r="N15" i="27"/>
  <c r="O15" i="27"/>
  <c r="P15" i="27"/>
  <c r="Q15" i="27"/>
  <c r="R15" i="27"/>
  <c r="S15" i="27"/>
  <c r="T15" i="27"/>
  <c r="U15" i="27"/>
  <c r="V15" i="27"/>
  <c r="W15" i="27"/>
  <c r="X15" i="27"/>
  <c r="Y15" i="27"/>
  <c r="Z15" i="27"/>
  <c r="C15" i="27"/>
  <c r="G44" i="4"/>
  <c r="G31" i="4"/>
  <c r="C13" i="26"/>
  <c r="Q45" i="2"/>
  <c r="Q42" i="2"/>
  <c r="Q39" i="2"/>
  <c r="Q36" i="2"/>
  <c r="E106" i="2"/>
  <c r="E103" i="2"/>
  <c r="E100" i="2"/>
  <c r="E97" i="2"/>
  <c r="E94" i="2"/>
  <c r="E91" i="2"/>
  <c r="E88" i="2"/>
  <c r="E85" i="2"/>
  <c r="E82" i="2"/>
  <c r="E79" i="2"/>
  <c r="E76" i="2"/>
  <c r="E73" i="2"/>
  <c r="E70" i="2"/>
  <c r="E67" i="2"/>
  <c r="E64" i="2"/>
  <c r="E61" i="2"/>
  <c r="E58" i="2"/>
  <c r="E55" i="2"/>
  <c r="E52" i="2"/>
  <c r="E46" i="2"/>
  <c r="E43" i="2"/>
  <c r="E40" i="2"/>
  <c r="E37" i="2"/>
  <c r="E34" i="2"/>
  <c r="E15" i="2"/>
  <c r="E12" i="2"/>
  <c r="E9" i="2"/>
  <c r="E8" i="2"/>
  <c r="D32" i="4"/>
  <c r="B31" i="2"/>
  <c r="B26" i="2"/>
  <c r="AF76" i="15"/>
  <c r="AJ76" i="15"/>
  <c r="AE76" i="15"/>
  <c r="AI76" i="15"/>
  <c r="AD76" i="15"/>
  <c r="AH76" i="15"/>
  <c r="AE75" i="15"/>
  <c r="AI75" i="15"/>
  <c r="AD75" i="15"/>
  <c r="AH75" i="15"/>
  <c r="AF74" i="15"/>
  <c r="AJ74" i="15"/>
  <c r="AD74" i="15"/>
  <c r="AH74" i="15"/>
  <c r="AE73" i="15"/>
  <c r="AI73" i="15"/>
  <c r="AD73" i="15"/>
  <c r="AH73" i="15"/>
  <c r="AF72" i="15"/>
  <c r="AJ72" i="15"/>
  <c r="AE72" i="15"/>
  <c r="AI72" i="15"/>
  <c r="AD72" i="15"/>
  <c r="AH72" i="15"/>
  <c r="AE71" i="15"/>
  <c r="AI71" i="15"/>
  <c r="AD71" i="15"/>
  <c r="AH71" i="15"/>
  <c r="AF70" i="15"/>
  <c r="AJ70" i="15"/>
  <c r="AD70" i="15"/>
  <c r="AH70" i="15"/>
  <c r="AE69" i="15"/>
  <c r="AI69" i="15"/>
  <c r="AD69" i="15"/>
  <c r="AH69" i="15"/>
  <c r="AF68" i="15"/>
  <c r="AJ68" i="15"/>
  <c r="AE68" i="15"/>
  <c r="AI68" i="15"/>
  <c r="AD68" i="15"/>
  <c r="AH68" i="15"/>
  <c r="AE67" i="15"/>
  <c r="AI67" i="15"/>
  <c r="AD67" i="15"/>
  <c r="AH67" i="15"/>
  <c r="AF66" i="15"/>
  <c r="AJ66" i="15"/>
  <c r="AE66" i="15"/>
  <c r="AI66" i="15"/>
  <c r="AH66" i="15"/>
  <c r="AF65" i="15"/>
  <c r="AJ65" i="15"/>
  <c r="AE65" i="15"/>
  <c r="AI65" i="15"/>
  <c r="AD65" i="15"/>
  <c r="AH65" i="15"/>
  <c r="AE64" i="15"/>
  <c r="AF62" i="15"/>
  <c r="AJ62" i="15"/>
  <c r="AE62" i="15"/>
  <c r="AI62" i="15"/>
  <c r="AD62" i="15"/>
  <c r="AH62" i="15"/>
  <c r="AE61" i="15"/>
  <c r="AI61" i="15"/>
  <c r="AD61" i="15"/>
  <c r="AH61" i="15"/>
  <c r="AF60" i="15"/>
  <c r="AJ60" i="15"/>
  <c r="AD60" i="15"/>
  <c r="AH60" i="15"/>
  <c r="AF59" i="15"/>
  <c r="AJ59" i="15"/>
  <c r="AE59" i="15"/>
  <c r="AI59" i="15"/>
  <c r="AD59" i="15"/>
  <c r="AH59" i="15"/>
  <c r="AF58" i="15"/>
  <c r="AJ58" i="15"/>
  <c r="AE58" i="15"/>
  <c r="AI58" i="15"/>
  <c r="AD58" i="15"/>
  <c r="AH58" i="15"/>
  <c r="AF57" i="15"/>
  <c r="AJ57" i="15"/>
  <c r="AE57" i="15"/>
  <c r="AI57" i="15"/>
  <c r="AD57" i="15"/>
  <c r="AH57" i="15"/>
  <c r="AF56" i="15"/>
  <c r="AJ56" i="15"/>
  <c r="AD56" i="15"/>
  <c r="AH56" i="15"/>
  <c r="AF55" i="15"/>
  <c r="AJ55" i="15"/>
  <c r="AE55" i="15"/>
  <c r="AI55" i="15"/>
  <c r="AD55" i="15"/>
  <c r="AH55" i="15"/>
  <c r="AF54" i="15"/>
  <c r="AJ54" i="15"/>
  <c r="AE54" i="15"/>
  <c r="AI54" i="15"/>
  <c r="AE53" i="15"/>
  <c r="AI53" i="15"/>
  <c r="AD53" i="15"/>
  <c r="AH53" i="15"/>
  <c r="AF52" i="15"/>
  <c r="AJ52" i="15"/>
  <c r="AE52" i="15"/>
  <c r="AI52" i="15"/>
  <c r="AF51" i="15"/>
  <c r="AJ51" i="15"/>
  <c r="AE51" i="15"/>
  <c r="AI51" i="15"/>
  <c r="AD51" i="15"/>
  <c r="AH51" i="15"/>
  <c r="AE50" i="15"/>
  <c r="AI50" i="15"/>
  <c r="AE49" i="15"/>
  <c r="AI49" i="15"/>
  <c r="AD49" i="15"/>
  <c r="AH49" i="15"/>
  <c r="AE47" i="15"/>
  <c r="AI47" i="15"/>
  <c r="AD47" i="15"/>
  <c r="AH47" i="15"/>
  <c r="AE46" i="15"/>
  <c r="AI46" i="15"/>
  <c r="AD46" i="15"/>
  <c r="AD45" i="15"/>
  <c r="AH45" i="15"/>
  <c r="AH46" i="15"/>
  <c r="AE45" i="15"/>
  <c r="AI45" i="15"/>
  <c r="AF44" i="15"/>
  <c r="AJ44" i="15"/>
  <c r="AE44" i="15"/>
  <c r="AI44" i="15"/>
  <c r="AD44" i="15"/>
  <c r="AH44" i="15"/>
  <c r="AI43" i="15"/>
  <c r="AD43" i="15"/>
  <c r="AH43" i="15"/>
  <c r="AF42" i="15"/>
  <c r="AJ42" i="15"/>
  <c r="AE42" i="15"/>
  <c r="AI42" i="15"/>
  <c r="AD42" i="15"/>
  <c r="AH42" i="15"/>
  <c r="AE41" i="15"/>
  <c r="AI41" i="15"/>
  <c r="AD41" i="15"/>
  <c r="AH41" i="15"/>
  <c r="AF40" i="15"/>
  <c r="AJ40" i="15"/>
  <c r="AE40" i="15"/>
  <c r="AI40" i="15"/>
  <c r="AD40" i="15"/>
  <c r="AH40" i="15"/>
  <c r="AE39" i="15"/>
  <c r="AI39" i="15"/>
  <c r="AD39" i="15"/>
  <c r="AH39" i="15"/>
  <c r="AF38" i="15"/>
  <c r="AJ38" i="15"/>
  <c r="AE38" i="15"/>
  <c r="AI38" i="15"/>
  <c r="AD38" i="15"/>
  <c r="AH38" i="15"/>
  <c r="AE37" i="15"/>
  <c r="AI37" i="15"/>
  <c r="AD37" i="15"/>
  <c r="AH37" i="15"/>
  <c r="AF36" i="15"/>
  <c r="AJ36" i="15"/>
  <c r="AE36" i="15"/>
  <c r="AI36" i="15"/>
  <c r="AD36" i="15"/>
  <c r="AH36" i="15"/>
  <c r="AF35" i="15"/>
  <c r="AJ35" i="15"/>
  <c r="AE35" i="15"/>
  <c r="AI35" i="15"/>
  <c r="AD35" i="15"/>
  <c r="AH35" i="15"/>
  <c r="AE34" i="15"/>
  <c r="AI34" i="15"/>
  <c r="AD34" i="15"/>
  <c r="AH34" i="15"/>
  <c r="AF33" i="15"/>
  <c r="AJ33" i="15"/>
  <c r="AE33" i="15"/>
  <c r="AI33" i="15"/>
  <c r="AD33" i="15"/>
  <c r="AH33" i="15"/>
  <c r="AF32" i="15"/>
  <c r="AE32" i="15"/>
  <c r="AD32" i="15"/>
  <c r="AH32" i="15"/>
  <c r="AD31" i="15"/>
  <c r="AH31" i="15"/>
  <c r="Q73" i="2"/>
  <c r="AG54" i="15"/>
  <c r="AK54" i="15"/>
  <c r="F76" i="15"/>
  <c r="K76" i="15"/>
  <c r="E76" i="15"/>
  <c r="J76" i="15"/>
  <c r="D76" i="15"/>
  <c r="I76" i="15"/>
  <c r="F75" i="15"/>
  <c r="K75" i="15"/>
  <c r="E75" i="15"/>
  <c r="J75" i="15"/>
  <c r="D75" i="15"/>
  <c r="I75" i="15"/>
  <c r="AG74" i="15"/>
  <c r="AK74" i="15"/>
  <c r="F74" i="15"/>
  <c r="K74" i="15"/>
  <c r="E74" i="15"/>
  <c r="J74" i="15"/>
  <c r="D74" i="15"/>
  <c r="I74" i="15"/>
  <c r="AG73" i="15"/>
  <c r="AK73" i="15"/>
  <c r="F73" i="15"/>
  <c r="K73" i="15"/>
  <c r="E73" i="15"/>
  <c r="J73" i="15"/>
  <c r="D73" i="15"/>
  <c r="I73" i="15"/>
  <c r="F72" i="15"/>
  <c r="K72" i="15"/>
  <c r="E72" i="15"/>
  <c r="J72" i="15"/>
  <c r="AG71" i="15"/>
  <c r="AK71" i="15"/>
  <c r="F71" i="15"/>
  <c r="K71" i="15"/>
  <c r="E71" i="15"/>
  <c r="J71" i="15"/>
  <c r="D71" i="15"/>
  <c r="I71" i="15"/>
  <c r="AG70" i="15"/>
  <c r="AK70" i="15"/>
  <c r="F70" i="15"/>
  <c r="K70" i="15"/>
  <c r="E70" i="15"/>
  <c r="J70" i="15"/>
  <c r="D70" i="15"/>
  <c r="I70" i="15"/>
  <c r="F69" i="15"/>
  <c r="K69" i="15"/>
  <c r="E69" i="15"/>
  <c r="J69" i="15"/>
  <c r="F68" i="15"/>
  <c r="K68" i="15"/>
  <c r="E68" i="15"/>
  <c r="J68" i="15"/>
  <c r="D68" i="15"/>
  <c r="I68" i="15"/>
  <c r="AG67" i="15"/>
  <c r="AK67" i="15"/>
  <c r="F67" i="15"/>
  <c r="K67" i="15"/>
  <c r="E67" i="15"/>
  <c r="J67" i="15"/>
  <c r="D67" i="15"/>
  <c r="I67" i="15"/>
  <c r="AG66" i="15"/>
  <c r="AK66" i="15"/>
  <c r="F66" i="15"/>
  <c r="K66" i="15"/>
  <c r="E66" i="15"/>
  <c r="J66" i="15"/>
  <c r="D66" i="15"/>
  <c r="I66" i="15"/>
  <c r="AG65" i="15"/>
  <c r="AK65" i="15"/>
  <c r="F65" i="15"/>
  <c r="K65" i="15"/>
  <c r="E65" i="15"/>
  <c r="J65" i="15"/>
  <c r="D65" i="15"/>
  <c r="I65" i="15"/>
  <c r="AG64" i="15"/>
  <c r="AK64" i="15"/>
  <c r="F64" i="15"/>
  <c r="E64" i="15"/>
  <c r="J64" i="15"/>
  <c r="D64" i="15"/>
  <c r="I64" i="15"/>
  <c r="AG62" i="15"/>
  <c r="AK62" i="15"/>
  <c r="F62" i="15"/>
  <c r="K62" i="15"/>
  <c r="D62" i="15"/>
  <c r="I62" i="15"/>
  <c r="F61" i="15"/>
  <c r="K61" i="15"/>
  <c r="E61" i="15"/>
  <c r="J61" i="15"/>
  <c r="D61" i="15"/>
  <c r="I61" i="15"/>
  <c r="F60" i="15"/>
  <c r="K60" i="15"/>
  <c r="E60" i="15"/>
  <c r="J60" i="15"/>
  <c r="D60" i="15"/>
  <c r="I60" i="15"/>
  <c r="F59" i="15"/>
  <c r="K59" i="15"/>
  <c r="E59" i="15"/>
  <c r="J59" i="15"/>
  <c r="D59" i="15"/>
  <c r="I59" i="15"/>
  <c r="F58" i="15"/>
  <c r="K58" i="15"/>
  <c r="E58" i="15"/>
  <c r="J58" i="15"/>
  <c r="AG57" i="15"/>
  <c r="AK57" i="15"/>
  <c r="F57" i="15"/>
  <c r="K57" i="15"/>
  <c r="E57" i="15"/>
  <c r="J57" i="15"/>
  <c r="D57" i="15"/>
  <c r="I57" i="15"/>
  <c r="AG56" i="15"/>
  <c r="AK56" i="15"/>
  <c r="F56" i="15"/>
  <c r="K56" i="15"/>
  <c r="E56" i="15"/>
  <c r="J56" i="15"/>
  <c r="D56" i="15"/>
  <c r="I56" i="15"/>
  <c r="AG55" i="15"/>
  <c r="AK55" i="15"/>
  <c r="F55" i="15"/>
  <c r="K55" i="15"/>
  <c r="E55" i="15"/>
  <c r="J55" i="15"/>
  <c r="F54" i="15"/>
  <c r="K54" i="15"/>
  <c r="E54" i="15"/>
  <c r="J54" i="15"/>
  <c r="D54" i="15"/>
  <c r="I54" i="15"/>
  <c r="AG53" i="15"/>
  <c r="AK53" i="15"/>
  <c r="F53" i="15"/>
  <c r="K53" i="15"/>
  <c r="E53" i="15"/>
  <c r="J53" i="15"/>
  <c r="D53" i="15"/>
  <c r="I53" i="15"/>
  <c r="F52" i="15"/>
  <c r="K52" i="15"/>
  <c r="E52" i="15"/>
  <c r="J52" i="15"/>
  <c r="D52" i="15"/>
  <c r="I52" i="15"/>
  <c r="AG51" i="15"/>
  <c r="AK51" i="15"/>
  <c r="F51" i="15"/>
  <c r="K51" i="15"/>
  <c r="E51" i="15"/>
  <c r="J51" i="15"/>
  <c r="D51" i="15"/>
  <c r="I51" i="15"/>
  <c r="AG50" i="15"/>
  <c r="AK50" i="15"/>
  <c r="F50" i="15"/>
  <c r="K50" i="15"/>
  <c r="E50" i="15"/>
  <c r="J50" i="15"/>
  <c r="D50" i="15"/>
  <c r="I50" i="15"/>
  <c r="AG49" i="15"/>
  <c r="F49" i="15"/>
  <c r="K49" i="15"/>
  <c r="E49" i="15"/>
  <c r="J49" i="15"/>
  <c r="D49" i="15"/>
  <c r="I49" i="15"/>
  <c r="F47" i="15"/>
  <c r="K47" i="15"/>
  <c r="E47" i="15"/>
  <c r="J47" i="15"/>
  <c r="D47" i="15"/>
  <c r="I47" i="15"/>
  <c r="F46" i="15"/>
  <c r="K46" i="15"/>
  <c r="E46" i="15"/>
  <c r="D46" i="15"/>
  <c r="I46" i="15"/>
  <c r="D45" i="15"/>
  <c r="I45" i="15"/>
  <c r="AG44" i="15"/>
  <c r="AK44" i="15"/>
  <c r="K44" i="15"/>
  <c r="E44" i="15"/>
  <c r="J44" i="15"/>
  <c r="D44" i="15"/>
  <c r="I44" i="15"/>
  <c r="AG43" i="15"/>
  <c r="AK43" i="15"/>
  <c r="K43" i="15"/>
  <c r="E43" i="15"/>
  <c r="J43" i="15"/>
  <c r="D43" i="15"/>
  <c r="I43" i="15"/>
  <c r="K42" i="15"/>
  <c r="D42" i="15"/>
  <c r="I42" i="15"/>
  <c r="AG41" i="15"/>
  <c r="AK41" i="15"/>
  <c r="K41" i="15"/>
  <c r="E41" i="15"/>
  <c r="J41" i="15"/>
  <c r="AG40" i="15"/>
  <c r="AK40" i="15"/>
  <c r="E40" i="15"/>
  <c r="J40" i="15"/>
  <c r="D40" i="15"/>
  <c r="I40" i="15"/>
  <c r="AG39" i="15"/>
  <c r="AK39" i="15"/>
  <c r="K39" i="15"/>
  <c r="D39" i="15"/>
  <c r="D32" i="15"/>
  <c r="D33" i="15"/>
  <c r="D34" i="15"/>
  <c r="D35" i="15"/>
  <c r="D36" i="15"/>
  <c r="D37" i="15"/>
  <c r="D38" i="15"/>
  <c r="D31" i="15"/>
  <c r="I31" i="15"/>
  <c r="I39" i="15"/>
  <c r="AG38" i="15"/>
  <c r="AK38" i="15"/>
  <c r="K38" i="15"/>
  <c r="E38" i="15"/>
  <c r="J38" i="15"/>
  <c r="I38" i="15"/>
  <c r="AG37" i="15"/>
  <c r="AK37" i="15"/>
  <c r="K37" i="15"/>
  <c r="E37" i="15"/>
  <c r="J37" i="15"/>
  <c r="I37" i="15"/>
  <c r="K36" i="15"/>
  <c r="E36" i="15"/>
  <c r="J36" i="15"/>
  <c r="I36" i="15"/>
  <c r="AG35" i="15"/>
  <c r="AK35" i="15"/>
  <c r="K35" i="15"/>
  <c r="I35" i="15"/>
  <c r="AG34" i="15"/>
  <c r="AK34" i="15"/>
  <c r="K34" i="15"/>
  <c r="E34" i="15"/>
  <c r="J34" i="15"/>
  <c r="I34" i="15"/>
  <c r="AG33" i="15"/>
  <c r="K33" i="15"/>
  <c r="E33" i="15"/>
  <c r="J33" i="15"/>
  <c r="I33" i="15"/>
  <c r="AG32" i="15"/>
  <c r="AK32" i="15"/>
  <c r="E32" i="15"/>
  <c r="J32" i="15"/>
  <c r="I32" i="15"/>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AU76" i="17"/>
  <c r="AU73" i="17"/>
  <c r="AU72" i="17"/>
  <c r="AU69" i="17"/>
  <c r="AU66" i="17"/>
  <c r="AU65" i="17"/>
  <c r="BF65" i="17"/>
  <c r="AU64" i="17"/>
  <c r="AU62" i="17"/>
  <c r="AU55" i="17"/>
  <c r="AU54" i="17"/>
  <c r="AU53" i="17"/>
  <c r="AU52" i="17"/>
  <c r="AU51" i="17"/>
  <c r="AU50" i="17"/>
  <c r="BF50" i="17"/>
  <c r="AU49" i="17"/>
  <c r="AU46" i="17"/>
  <c r="AU44" i="17"/>
  <c r="AU42" i="17"/>
  <c r="AU41" i="17"/>
  <c r="AU40" i="17"/>
  <c r="BF40" i="17"/>
  <c r="AU39" i="17"/>
  <c r="AU38" i="17"/>
  <c r="AU37" i="17"/>
  <c r="AU35" i="17"/>
  <c r="AU33" i="17"/>
  <c r="AM76" i="5"/>
  <c r="AS76" i="5"/>
  <c r="AM73" i="5"/>
  <c r="AS73" i="5"/>
  <c r="AM62" i="5"/>
  <c r="AS62" i="5"/>
  <c r="AM59" i="5"/>
  <c r="AS59" i="5"/>
  <c r="AM51" i="5"/>
  <c r="AS51" i="5"/>
  <c r="AM42" i="5"/>
  <c r="AS42" i="5"/>
  <c r="AM39" i="5"/>
  <c r="AS39" i="5"/>
  <c r="D25" i="31"/>
  <c r="D50" i="31"/>
  <c r="U25" i="31"/>
  <c r="AA25" i="31"/>
  <c r="AB25" i="31"/>
  <c r="B25" i="3"/>
  <c r="B38" i="3"/>
  <c r="AZ21" i="46"/>
  <c r="BA21" i="46"/>
  <c r="D21" i="31"/>
  <c r="D65" i="31"/>
  <c r="U21" i="31"/>
  <c r="U65" i="31"/>
  <c r="AA21" i="31"/>
  <c r="AB21" i="31"/>
  <c r="AB65" i="31"/>
  <c r="AZ17" i="46"/>
  <c r="BA17" i="46"/>
  <c r="D17" i="31"/>
  <c r="U17" i="31"/>
  <c r="U52" i="31"/>
  <c r="AA17" i="31"/>
  <c r="AA66" i="31"/>
  <c r="AB17" i="31"/>
  <c r="AZ5" i="46"/>
  <c r="BA5" i="46"/>
  <c r="D5" i="31"/>
  <c r="D53" i="31"/>
  <c r="U5" i="31"/>
  <c r="AA5" i="31"/>
  <c r="AB5" i="31"/>
  <c r="C5" i="31"/>
  <c r="AZ9" i="46"/>
  <c r="BA9" i="46"/>
  <c r="D9" i="31"/>
  <c r="U9" i="31"/>
  <c r="U68" i="31"/>
  <c r="AA9" i="31"/>
  <c r="AB9" i="31"/>
  <c r="C9" i="31"/>
  <c r="D24" i="31"/>
  <c r="D69" i="31"/>
  <c r="U24" i="31"/>
  <c r="AA24" i="31"/>
  <c r="AB24" i="31"/>
  <c r="AZ20" i="46"/>
  <c r="BA20" i="46"/>
  <c r="D20" i="31"/>
  <c r="U20" i="31"/>
  <c r="U70" i="31"/>
  <c r="AA20" i="31"/>
  <c r="AB20" i="31"/>
  <c r="AZ29" i="46"/>
  <c r="BA29" i="46"/>
  <c r="D29" i="31"/>
  <c r="U29" i="31"/>
  <c r="AA29" i="31"/>
  <c r="AB29" i="31"/>
  <c r="AZ16" i="46"/>
  <c r="BA16" i="46"/>
  <c r="D16" i="31"/>
  <c r="U16" i="31"/>
  <c r="U58" i="31"/>
  <c r="AA16" i="31"/>
  <c r="AA58" i="31"/>
  <c r="AB16" i="31"/>
  <c r="AZ7" i="46"/>
  <c r="BA7" i="46"/>
  <c r="D7" i="31"/>
  <c r="U7" i="31"/>
  <c r="AA7" i="31"/>
  <c r="AB7" i="31"/>
  <c r="AZ12" i="46"/>
  <c r="BA12" i="46"/>
  <c r="D12" i="31"/>
  <c r="D60" i="31"/>
  <c r="U12" i="31"/>
  <c r="U60" i="31"/>
  <c r="AA12" i="31"/>
  <c r="AA74" i="31"/>
  <c r="AB12" i="31"/>
  <c r="AZ18" i="46"/>
  <c r="BA18" i="46"/>
  <c r="D18" i="31"/>
  <c r="U18" i="31"/>
  <c r="AA18" i="31"/>
  <c r="AA75" i="31"/>
  <c r="AB18" i="31"/>
  <c r="C18" i="31"/>
  <c r="AO61" i="5"/>
  <c r="AZ27" i="46"/>
  <c r="BA27" i="46"/>
  <c r="D27" i="31"/>
  <c r="D76" i="31"/>
  <c r="U27" i="31"/>
  <c r="AA27" i="31"/>
  <c r="AB27" i="31"/>
  <c r="D64" i="20"/>
  <c r="D65" i="20"/>
  <c r="D66" i="20"/>
  <c r="D67" i="20"/>
  <c r="D68" i="20"/>
  <c r="D69" i="20"/>
  <c r="D70" i="20"/>
  <c r="D71" i="20"/>
  <c r="D72" i="20"/>
  <c r="D73" i="20"/>
  <c r="D74" i="20"/>
  <c r="D75" i="20"/>
  <c r="D76" i="20"/>
  <c r="C25" i="36"/>
  <c r="AB25" i="36"/>
  <c r="BA25" i="36"/>
  <c r="D25" i="28"/>
  <c r="D25" i="36"/>
  <c r="AC25" i="36"/>
  <c r="BB25" i="36"/>
  <c r="E25" i="28"/>
  <c r="E25" i="36"/>
  <c r="AD25" i="36"/>
  <c r="BC25" i="36"/>
  <c r="F25" i="28"/>
  <c r="F25" i="36"/>
  <c r="AE25" i="36"/>
  <c r="BD25" i="36"/>
  <c r="G25" i="28"/>
  <c r="G25" i="36"/>
  <c r="AF25" i="36"/>
  <c r="BE25" i="36"/>
  <c r="H25" i="28"/>
  <c r="H25" i="36"/>
  <c r="AG25" i="36"/>
  <c r="BF25" i="36"/>
  <c r="I25" i="28"/>
  <c r="I25" i="36"/>
  <c r="AH25" i="36"/>
  <c r="BG25" i="36"/>
  <c r="J25" i="28"/>
  <c r="J25" i="36"/>
  <c r="AI25" i="36"/>
  <c r="BH25" i="36"/>
  <c r="K25" i="28"/>
  <c r="K25" i="36"/>
  <c r="AJ25" i="36"/>
  <c r="BI25" i="36"/>
  <c r="L25" i="28"/>
  <c r="L25" i="36"/>
  <c r="AK25" i="36"/>
  <c r="BJ25" i="36"/>
  <c r="M25" i="28"/>
  <c r="M25" i="36"/>
  <c r="AL25" i="36"/>
  <c r="BK25" i="36"/>
  <c r="N25" i="28"/>
  <c r="N25" i="36"/>
  <c r="AM25" i="36"/>
  <c r="BL25" i="36"/>
  <c r="O25" i="28"/>
  <c r="O25" i="36"/>
  <c r="AN25" i="36"/>
  <c r="BM25" i="36"/>
  <c r="P25" i="28"/>
  <c r="P25" i="36"/>
  <c r="AO25" i="36"/>
  <c r="BN25" i="36"/>
  <c r="Q25" i="28"/>
  <c r="Q25" i="36"/>
  <c r="AP25" i="36"/>
  <c r="BO25" i="36"/>
  <c r="R25" i="28"/>
  <c r="R25" i="36"/>
  <c r="AQ25" i="36"/>
  <c r="BP25" i="36"/>
  <c r="S25" i="28"/>
  <c r="S25" i="36"/>
  <c r="AR25" i="36"/>
  <c r="BQ25" i="36"/>
  <c r="T25" i="28"/>
  <c r="AS25" i="36"/>
  <c r="BR25" i="36"/>
  <c r="U25" i="28"/>
  <c r="U25" i="36"/>
  <c r="AT25" i="36"/>
  <c r="BS25" i="36"/>
  <c r="V25" i="28"/>
  <c r="V25" i="36"/>
  <c r="AU25" i="36"/>
  <c r="BT25" i="36"/>
  <c r="W25" i="28"/>
  <c r="W25" i="36"/>
  <c r="AV25" i="36"/>
  <c r="BU25" i="36"/>
  <c r="X25" i="28"/>
  <c r="X25" i="36"/>
  <c r="AW25" i="36"/>
  <c r="BV25" i="36"/>
  <c r="Y25" i="28"/>
  <c r="Y25" i="36"/>
  <c r="AX25" i="36"/>
  <c r="BW25" i="36"/>
  <c r="Z25" i="28"/>
  <c r="C25" i="28"/>
  <c r="AZ21" i="1"/>
  <c r="C21" i="36"/>
  <c r="AB21" i="36"/>
  <c r="BA21" i="1"/>
  <c r="BA21" i="36"/>
  <c r="D21" i="28"/>
  <c r="D21" i="36"/>
  <c r="AC21" i="36"/>
  <c r="BB21" i="36"/>
  <c r="E21" i="28"/>
  <c r="E21" i="36"/>
  <c r="AD21" i="36"/>
  <c r="BC21" i="36"/>
  <c r="F21" i="28"/>
  <c r="F21" i="36"/>
  <c r="AE21" i="36"/>
  <c r="BD21" i="36"/>
  <c r="G21" i="28"/>
  <c r="G21" i="36"/>
  <c r="AF21" i="36"/>
  <c r="BE21" i="36"/>
  <c r="H21" i="28"/>
  <c r="H21" i="36"/>
  <c r="AG21" i="36"/>
  <c r="BF21" i="36"/>
  <c r="I21" i="28"/>
  <c r="I21" i="36"/>
  <c r="AH21" i="36"/>
  <c r="BG21" i="36"/>
  <c r="J21" i="28"/>
  <c r="J21" i="36"/>
  <c r="AI21" i="36"/>
  <c r="BH21" i="36"/>
  <c r="K21" i="28"/>
  <c r="K21" i="36"/>
  <c r="AJ21" i="36"/>
  <c r="BI21" i="36"/>
  <c r="L21" i="28"/>
  <c r="L21" i="36"/>
  <c r="AK21" i="36"/>
  <c r="BJ21" i="36"/>
  <c r="M21" i="28"/>
  <c r="M21" i="36"/>
  <c r="AL21" i="36"/>
  <c r="BK21" i="36"/>
  <c r="N21" i="28"/>
  <c r="N21" i="36"/>
  <c r="AM21" i="36"/>
  <c r="BL21" i="36"/>
  <c r="O21" i="28"/>
  <c r="O21" i="36"/>
  <c r="AN21" i="36"/>
  <c r="BM21" i="36"/>
  <c r="P21" i="28"/>
  <c r="P21" i="36"/>
  <c r="AO21" i="36"/>
  <c r="BN21" i="36"/>
  <c r="Q21" i="28"/>
  <c r="Q21" i="36"/>
  <c r="AP21" i="36"/>
  <c r="BO21" i="36"/>
  <c r="R21" i="28"/>
  <c r="R21" i="36"/>
  <c r="AQ21" i="36"/>
  <c r="BP21" i="36"/>
  <c r="S21" i="28"/>
  <c r="S21" i="36"/>
  <c r="AR21" i="36"/>
  <c r="BQ21" i="36"/>
  <c r="T21" i="28"/>
  <c r="AS21" i="36"/>
  <c r="BR21" i="36"/>
  <c r="U21" i="28"/>
  <c r="U21" i="36"/>
  <c r="AT21" i="36"/>
  <c r="BS21" i="36"/>
  <c r="V21" i="28"/>
  <c r="V21" i="36"/>
  <c r="AU21" i="36"/>
  <c r="BT21" i="36"/>
  <c r="W21" i="28"/>
  <c r="W21" i="36"/>
  <c r="AV21" i="36"/>
  <c r="BU21" i="36"/>
  <c r="X21" i="28"/>
  <c r="X21" i="36"/>
  <c r="AW21" i="36"/>
  <c r="BV21" i="36"/>
  <c r="Y21" i="28"/>
  <c r="Y21" i="36"/>
  <c r="AX21" i="36"/>
  <c r="BW21" i="36"/>
  <c r="Z21" i="28"/>
  <c r="C21" i="28"/>
  <c r="AZ17" i="1"/>
  <c r="C17" i="36"/>
  <c r="AB17" i="36"/>
  <c r="BA17" i="1"/>
  <c r="BA17" i="36"/>
  <c r="D17" i="28"/>
  <c r="D17" i="36"/>
  <c r="AC17" i="36"/>
  <c r="BB17" i="36"/>
  <c r="E17" i="28"/>
  <c r="E17" i="36"/>
  <c r="AD17" i="36"/>
  <c r="BC17" i="36"/>
  <c r="F17" i="28"/>
  <c r="F17" i="36"/>
  <c r="AE17" i="36"/>
  <c r="BD17" i="36"/>
  <c r="G17" i="28"/>
  <c r="G17" i="36"/>
  <c r="AF17" i="36"/>
  <c r="BE17" i="36"/>
  <c r="H17" i="28"/>
  <c r="H17" i="36"/>
  <c r="AG17" i="36"/>
  <c r="BF17" i="36"/>
  <c r="I17" i="28"/>
  <c r="I17" i="36"/>
  <c r="AH17" i="36"/>
  <c r="BG17" i="36"/>
  <c r="J17" i="28"/>
  <c r="J17" i="36"/>
  <c r="AI17" i="36"/>
  <c r="BH17" i="36"/>
  <c r="K17" i="28"/>
  <c r="K17" i="36"/>
  <c r="AJ17" i="36"/>
  <c r="BI17" i="36"/>
  <c r="L17" i="28"/>
  <c r="L17" i="36"/>
  <c r="AK17" i="36"/>
  <c r="BJ17" i="36"/>
  <c r="M17" i="28"/>
  <c r="M17" i="36"/>
  <c r="AL17" i="36"/>
  <c r="BK17" i="36"/>
  <c r="N17" i="28"/>
  <c r="N17" i="36"/>
  <c r="AM17" i="36"/>
  <c r="BL17" i="36"/>
  <c r="O17" i="28"/>
  <c r="O17" i="36"/>
  <c r="AN17" i="36"/>
  <c r="BM17" i="36"/>
  <c r="P17" i="28"/>
  <c r="P17" i="36"/>
  <c r="AO17" i="36"/>
  <c r="BN17" i="36"/>
  <c r="Q17" i="28"/>
  <c r="Q17" i="36"/>
  <c r="AP17" i="36"/>
  <c r="BO17" i="36"/>
  <c r="R17" i="28"/>
  <c r="R17" i="36"/>
  <c r="AQ17" i="36"/>
  <c r="BP17" i="36"/>
  <c r="S17" i="28"/>
  <c r="S17" i="36"/>
  <c r="AR17" i="36"/>
  <c r="BQ17" i="36"/>
  <c r="T17" i="28"/>
  <c r="AS17" i="36"/>
  <c r="BR17" i="36"/>
  <c r="U17" i="28"/>
  <c r="U17" i="36"/>
  <c r="AT17" i="36"/>
  <c r="BS17" i="36"/>
  <c r="V17" i="28"/>
  <c r="V17" i="36"/>
  <c r="AU17" i="36"/>
  <c r="BT17" i="36"/>
  <c r="W17" i="28"/>
  <c r="W17" i="36"/>
  <c r="AV17" i="36"/>
  <c r="BU17" i="36"/>
  <c r="X17" i="28"/>
  <c r="X17" i="36"/>
  <c r="AW17" i="36"/>
  <c r="BV17" i="36"/>
  <c r="Y17" i="28"/>
  <c r="Y17" i="36"/>
  <c r="AX17" i="36"/>
  <c r="BW17" i="36"/>
  <c r="Z17" i="28"/>
  <c r="C17" i="28"/>
  <c r="AZ5" i="1"/>
  <c r="C5" i="36"/>
  <c r="AB5" i="36"/>
  <c r="BA5" i="1"/>
  <c r="BA5" i="36"/>
  <c r="D5" i="28"/>
  <c r="D5" i="36"/>
  <c r="AC5" i="36"/>
  <c r="BB5" i="36"/>
  <c r="E5" i="28"/>
  <c r="E5" i="36"/>
  <c r="AD5" i="36"/>
  <c r="BC5" i="36"/>
  <c r="F5" i="28"/>
  <c r="F5" i="36"/>
  <c r="AE5" i="36"/>
  <c r="BD5" i="36"/>
  <c r="G5" i="28"/>
  <c r="G5" i="36"/>
  <c r="AF5" i="36"/>
  <c r="BE5" i="36"/>
  <c r="H5" i="28"/>
  <c r="H5" i="36"/>
  <c r="AG5" i="36"/>
  <c r="BF5" i="36"/>
  <c r="I5" i="28"/>
  <c r="I5" i="36"/>
  <c r="AH5" i="36"/>
  <c r="BG5" i="36"/>
  <c r="J5" i="28"/>
  <c r="J5" i="36"/>
  <c r="AI5" i="36"/>
  <c r="BH5" i="36"/>
  <c r="K5" i="28"/>
  <c r="K5" i="36"/>
  <c r="AJ5" i="36"/>
  <c r="BI5" i="36"/>
  <c r="L5" i="28"/>
  <c r="L5" i="36"/>
  <c r="AK5" i="36"/>
  <c r="BJ5" i="36"/>
  <c r="M5" i="28"/>
  <c r="M5" i="36"/>
  <c r="AL5" i="36"/>
  <c r="BK5" i="36"/>
  <c r="N5" i="28"/>
  <c r="N5" i="36"/>
  <c r="AM5" i="36"/>
  <c r="BL5" i="36"/>
  <c r="O5" i="28"/>
  <c r="O5" i="36"/>
  <c r="AN5" i="36"/>
  <c r="BM5" i="36"/>
  <c r="P5" i="28"/>
  <c r="P5" i="36"/>
  <c r="AO5" i="36"/>
  <c r="BN5" i="36"/>
  <c r="Q5" i="28"/>
  <c r="Q5" i="36"/>
  <c r="AP5" i="36"/>
  <c r="BO5" i="36"/>
  <c r="R5" i="28"/>
  <c r="R5" i="36"/>
  <c r="AQ5" i="36"/>
  <c r="BP5" i="36"/>
  <c r="S5" i="28"/>
  <c r="S5" i="36"/>
  <c r="AR5" i="36"/>
  <c r="BQ5" i="36"/>
  <c r="T5" i="28"/>
  <c r="AS5" i="36"/>
  <c r="BR5" i="36"/>
  <c r="U5" i="28"/>
  <c r="U5" i="36"/>
  <c r="AT5" i="36"/>
  <c r="BS5" i="36"/>
  <c r="V5" i="28"/>
  <c r="V5" i="36"/>
  <c r="AU5" i="36"/>
  <c r="BT5" i="36"/>
  <c r="W5" i="28"/>
  <c r="W5" i="36"/>
  <c r="AV5" i="36"/>
  <c r="BU5" i="36"/>
  <c r="X5" i="28"/>
  <c r="X5" i="36"/>
  <c r="AW5" i="36"/>
  <c r="BV5" i="36"/>
  <c r="Y5" i="28"/>
  <c r="Y5" i="36"/>
  <c r="AX5" i="36"/>
  <c r="BW5" i="36"/>
  <c r="Z5" i="28"/>
  <c r="C5" i="28"/>
  <c r="AZ9" i="1"/>
  <c r="C9" i="36"/>
  <c r="AB9" i="36"/>
  <c r="BA9" i="1"/>
  <c r="BA9" i="36"/>
  <c r="D9" i="28"/>
  <c r="D9" i="36"/>
  <c r="AC9" i="36"/>
  <c r="BB9" i="36"/>
  <c r="E9" i="28"/>
  <c r="E9" i="36"/>
  <c r="AD9" i="36"/>
  <c r="BC9" i="36"/>
  <c r="F9" i="28"/>
  <c r="F9" i="36"/>
  <c r="AE9" i="36"/>
  <c r="BD9" i="36"/>
  <c r="G9" i="28"/>
  <c r="G9" i="36"/>
  <c r="AF9" i="36"/>
  <c r="BE9" i="36"/>
  <c r="H9" i="28"/>
  <c r="H9" i="36"/>
  <c r="AG9" i="36"/>
  <c r="BF9" i="36"/>
  <c r="I9" i="28"/>
  <c r="I9" i="36"/>
  <c r="AH9" i="36"/>
  <c r="BG9" i="36"/>
  <c r="J9" i="28"/>
  <c r="J9" i="36"/>
  <c r="AI9" i="36"/>
  <c r="BH9" i="36"/>
  <c r="K9" i="28"/>
  <c r="K9" i="36"/>
  <c r="AJ9" i="36"/>
  <c r="BI9" i="36"/>
  <c r="L9" i="28"/>
  <c r="L9" i="36"/>
  <c r="AK9" i="36"/>
  <c r="BJ9" i="36"/>
  <c r="M9" i="28"/>
  <c r="M9" i="36"/>
  <c r="AL9" i="36"/>
  <c r="BK9" i="36"/>
  <c r="N9" i="28"/>
  <c r="N9" i="36"/>
  <c r="AM9" i="36"/>
  <c r="BL9" i="36"/>
  <c r="O9" i="28"/>
  <c r="O9" i="36"/>
  <c r="AN9" i="36"/>
  <c r="BM9" i="36"/>
  <c r="P9" i="28"/>
  <c r="P9" i="36"/>
  <c r="AO9" i="36"/>
  <c r="BN9" i="36"/>
  <c r="Q9" i="28"/>
  <c r="Q9" i="36"/>
  <c r="AP9" i="36"/>
  <c r="BO9" i="36"/>
  <c r="R9" i="28"/>
  <c r="R9" i="36"/>
  <c r="AQ9" i="36"/>
  <c r="BP9" i="36"/>
  <c r="S9" i="28"/>
  <c r="S9" i="36"/>
  <c r="AR9" i="36"/>
  <c r="BQ9" i="36"/>
  <c r="T9" i="28"/>
  <c r="AS9" i="36"/>
  <c r="BR9" i="36"/>
  <c r="U9" i="28"/>
  <c r="U9" i="36"/>
  <c r="AT9" i="36"/>
  <c r="BS9" i="36"/>
  <c r="V9" i="28"/>
  <c r="V9" i="36"/>
  <c r="AU9" i="36"/>
  <c r="BT9" i="36"/>
  <c r="W9" i="28"/>
  <c r="W9" i="36"/>
  <c r="AV9" i="36"/>
  <c r="BU9" i="36"/>
  <c r="X9" i="28"/>
  <c r="X9" i="36"/>
  <c r="AW9" i="36"/>
  <c r="BV9" i="36"/>
  <c r="Y9" i="28"/>
  <c r="Y9" i="36"/>
  <c r="AX9" i="36"/>
  <c r="BW9" i="36"/>
  <c r="Z9" i="28"/>
  <c r="C9" i="28"/>
  <c r="C24" i="36"/>
  <c r="AB24" i="36"/>
  <c r="BA24" i="36"/>
  <c r="D24" i="28"/>
  <c r="D24" i="36"/>
  <c r="AC24" i="36"/>
  <c r="BB24" i="36"/>
  <c r="E24" i="28"/>
  <c r="E24" i="36"/>
  <c r="AD24" i="36"/>
  <c r="BC24" i="36"/>
  <c r="F24" i="28"/>
  <c r="F24" i="36"/>
  <c r="AE24" i="36"/>
  <c r="BD24" i="36"/>
  <c r="G24" i="28"/>
  <c r="G24" i="36"/>
  <c r="AF24" i="36"/>
  <c r="BE24" i="36"/>
  <c r="H24" i="28"/>
  <c r="H24" i="36"/>
  <c r="AG24" i="36"/>
  <c r="BF24" i="36"/>
  <c r="I24" i="28"/>
  <c r="I24" i="36"/>
  <c r="AH24" i="36"/>
  <c r="BG24" i="36"/>
  <c r="J24" i="28"/>
  <c r="J24" i="36"/>
  <c r="AI24" i="36"/>
  <c r="BH24" i="36"/>
  <c r="K24" i="28"/>
  <c r="K24" i="36"/>
  <c r="AJ24" i="36"/>
  <c r="BI24" i="36"/>
  <c r="L24" i="28"/>
  <c r="L24" i="36"/>
  <c r="AK24" i="36"/>
  <c r="BJ24" i="36"/>
  <c r="M24" i="28"/>
  <c r="M24" i="36"/>
  <c r="AL24" i="36"/>
  <c r="BK24" i="36"/>
  <c r="N24" i="28"/>
  <c r="N24" i="36"/>
  <c r="AM24" i="36"/>
  <c r="BL24" i="36"/>
  <c r="O24" i="28"/>
  <c r="O24" i="36"/>
  <c r="AN24" i="36"/>
  <c r="BM24" i="36"/>
  <c r="P24" i="28"/>
  <c r="P24" i="36"/>
  <c r="AO24" i="36"/>
  <c r="BN24" i="36"/>
  <c r="Q24" i="28"/>
  <c r="Q24" i="36"/>
  <c r="AP24" i="36"/>
  <c r="BO24" i="36"/>
  <c r="R24" i="28"/>
  <c r="R24" i="36"/>
  <c r="AQ24" i="36"/>
  <c r="BP24" i="36"/>
  <c r="S24" i="28"/>
  <c r="S24" i="36"/>
  <c r="AR24" i="36"/>
  <c r="BQ24" i="36"/>
  <c r="T24" i="28"/>
  <c r="AS24" i="36"/>
  <c r="BR24" i="36"/>
  <c r="U24" i="28"/>
  <c r="U24" i="36"/>
  <c r="AT24" i="36"/>
  <c r="BS24" i="36"/>
  <c r="V24" i="28"/>
  <c r="V24" i="36"/>
  <c r="AU24" i="36"/>
  <c r="BT24" i="36"/>
  <c r="W24" i="28"/>
  <c r="W24" i="36"/>
  <c r="AV24" i="36"/>
  <c r="BU24" i="36"/>
  <c r="X24" i="28"/>
  <c r="X24" i="36"/>
  <c r="AW24" i="36"/>
  <c r="BV24" i="36"/>
  <c r="Y24" i="28"/>
  <c r="Y24" i="36"/>
  <c r="AX24" i="36"/>
  <c r="BW24" i="36"/>
  <c r="Z24" i="28"/>
  <c r="C24" i="28"/>
  <c r="AZ20" i="1"/>
  <c r="C20" i="36"/>
  <c r="AB20" i="36"/>
  <c r="BA20" i="1"/>
  <c r="BA20" i="36"/>
  <c r="D20" i="28"/>
  <c r="D20" i="36"/>
  <c r="AC20" i="36"/>
  <c r="BB20" i="36"/>
  <c r="E20" i="28"/>
  <c r="E20" i="36"/>
  <c r="AD20" i="36"/>
  <c r="BC20" i="36"/>
  <c r="F20" i="28"/>
  <c r="F20" i="36"/>
  <c r="AE20" i="36"/>
  <c r="BD20" i="36"/>
  <c r="G20" i="28"/>
  <c r="G20" i="36"/>
  <c r="AF20" i="36"/>
  <c r="BE20" i="36"/>
  <c r="H20" i="28"/>
  <c r="H20" i="36"/>
  <c r="AG20" i="36"/>
  <c r="BF20" i="36"/>
  <c r="I20" i="28"/>
  <c r="I20" i="36"/>
  <c r="AH20" i="36"/>
  <c r="BG20" i="36"/>
  <c r="J20" i="28"/>
  <c r="J20" i="36"/>
  <c r="AI20" i="36"/>
  <c r="BH20" i="36"/>
  <c r="K20" i="28"/>
  <c r="K20" i="36"/>
  <c r="AJ20" i="36"/>
  <c r="BI20" i="36"/>
  <c r="L20" i="28"/>
  <c r="L20" i="36"/>
  <c r="AK20" i="36"/>
  <c r="BJ20" i="36"/>
  <c r="M20" i="28"/>
  <c r="M20" i="36"/>
  <c r="AL20" i="36"/>
  <c r="BK20" i="36"/>
  <c r="N20" i="28"/>
  <c r="N20" i="36"/>
  <c r="AM20" i="36"/>
  <c r="BL20" i="36"/>
  <c r="O20" i="28"/>
  <c r="O20" i="36"/>
  <c r="AN20" i="36"/>
  <c r="BM20" i="36"/>
  <c r="P20" i="28"/>
  <c r="P20" i="36"/>
  <c r="AO20" i="36"/>
  <c r="BN20" i="36"/>
  <c r="Q20" i="28"/>
  <c r="Q20" i="36"/>
  <c r="AP20" i="36"/>
  <c r="BO20" i="36"/>
  <c r="R20" i="28"/>
  <c r="R20" i="36"/>
  <c r="AQ20" i="36"/>
  <c r="BP20" i="36"/>
  <c r="S20" i="28"/>
  <c r="S20" i="36"/>
  <c r="AR20" i="36"/>
  <c r="BQ20" i="36"/>
  <c r="T20" i="28"/>
  <c r="AS20" i="36"/>
  <c r="BR20" i="36"/>
  <c r="U20" i="28"/>
  <c r="U20" i="36"/>
  <c r="AT20" i="36"/>
  <c r="BS20" i="36"/>
  <c r="V20" i="28"/>
  <c r="V20" i="36"/>
  <c r="AU20" i="36"/>
  <c r="BT20" i="36"/>
  <c r="W20" i="28"/>
  <c r="W20" i="36"/>
  <c r="AV20" i="36"/>
  <c r="BU20" i="36"/>
  <c r="X20" i="28"/>
  <c r="X20" i="36"/>
  <c r="AW20" i="36"/>
  <c r="BV20" i="36"/>
  <c r="Y20" i="28"/>
  <c r="Y20" i="36"/>
  <c r="AX20" i="36"/>
  <c r="BW20" i="36"/>
  <c r="Z20" i="28"/>
  <c r="C20" i="28"/>
  <c r="AZ29" i="1"/>
  <c r="C29" i="36"/>
  <c r="AB29" i="36"/>
  <c r="BA29" i="1"/>
  <c r="BA29" i="36"/>
  <c r="D29" i="28"/>
  <c r="D29" i="36"/>
  <c r="AC29" i="36"/>
  <c r="BB29" i="36"/>
  <c r="E29" i="28"/>
  <c r="E29" i="36"/>
  <c r="AD29" i="36"/>
  <c r="BC29" i="36"/>
  <c r="F29" i="28"/>
  <c r="F29" i="36"/>
  <c r="AE29" i="36"/>
  <c r="BD29" i="36"/>
  <c r="G29" i="28"/>
  <c r="G29" i="36"/>
  <c r="AF29" i="36"/>
  <c r="BE29" i="36"/>
  <c r="H29" i="28"/>
  <c r="H29" i="36"/>
  <c r="AG29" i="36"/>
  <c r="BF29" i="36"/>
  <c r="I29" i="28"/>
  <c r="I29" i="36"/>
  <c r="AH29" i="36"/>
  <c r="BG29" i="36"/>
  <c r="J29" i="28"/>
  <c r="J29" i="36"/>
  <c r="AI29" i="36"/>
  <c r="BH29" i="36"/>
  <c r="K29" i="28"/>
  <c r="K29" i="36"/>
  <c r="AJ29" i="36"/>
  <c r="BI29" i="36"/>
  <c r="L29" i="28"/>
  <c r="L29" i="36"/>
  <c r="AK29" i="36"/>
  <c r="BJ29" i="36"/>
  <c r="M29" i="28"/>
  <c r="M29" i="36"/>
  <c r="AL29" i="36"/>
  <c r="BK29" i="36"/>
  <c r="N29" i="28"/>
  <c r="N29" i="36"/>
  <c r="AM29" i="36"/>
  <c r="BL29" i="36"/>
  <c r="O29" i="28"/>
  <c r="O29" i="36"/>
  <c r="AN29" i="36"/>
  <c r="BM29" i="36"/>
  <c r="P29" i="28"/>
  <c r="P29" i="36"/>
  <c r="AO29" i="36"/>
  <c r="BN29" i="36"/>
  <c r="Q29" i="28"/>
  <c r="Q29" i="36"/>
  <c r="AP29" i="36"/>
  <c r="BO29" i="36"/>
  <c r="R29" i="28"/>
  <c r="R29" i="36"/>
  <c r="AQ29" i="36"/>
  <c r="BP29" i="36"/>
  <c r="S29" i="28"/>
  <c r="S29" i="36"/>
  <c r="AR29" i="36"/>
  <c r="BQ29" i="36"/>
  <c r="T29" i="28"/>
  <c r="AS29" i="36"/>
  <c r="BR29" i="36"/>
  <c r="U29" i="28"/>
  <c r="U29" i="36"/>
  <c r="AT29" i="36"/>
  <c r="BS29" i="36"/>
  <c r="V29" i="28"/>
  <c r="V29" i="36"/>
  <c r="AU29" i="36"/>
  <c r="BT29" i="36"/>
  <c r="W29" i="28"/>
  <c r="W29" i="36"/>
  <c r="AV29" i="36"/>
  <c r="BU29" i="36"/>
  <c r="X29" i="28"/>
  <c r="X29" i="36"/>
  <c r="AW29" i="36"/>
  <c r="BV29" i="36"/>
  <c r="Y29" i="28"/>
  <c r="Y29" i="36"/>
  <c r="AX29" i="36"/>
  <c r="BW29" i="36"/>
  <c r="Z29" i="28"/>
  <c r="C29" i="28"/>
  <c r="AZ16" i="1"/>
  <c r="C16" i="36"/>
  <c r="AB16" i="36"/>
  <c r="BA16" i="1"/>
  <c r="BA16" i="36"/>
  <c r="D16" i="28"/>
  <c r="D16" i="36"/>
  <c r="AC16" i="36"/>
  <c r="BB16" i="36"/>
  <c r="E16" i="28"/>
  <c r="E16" i="36"/>
  <c r="AD16" i="36"/>
  <c r="BC16" i="36"/>
  <c r="F16" i="28"/>
  <c r="F16" i="36"/>
  <c r="AE16" i="36"/>
  <c r="BD16" i="36"/>
  <c r="G16" i="28"/>
  <c r="G16" i="36"/>
  <c r="AF16" i="36"/>
  <c r="BE16" i="36"/>
  <c r="H16" i="28"/>
  <c r="H16" i="36"/>
  <c r="AG16" i="36"/>
  <c r="BF16" i="36"/>
  <c r="I16" i="28"/>
  <c r="I16" i="36"/>
  <c r="AH16" i="36"/>
  <c r="BG16" i="36"/>
  <c r="J16" i="28"/>
  <c r="J16" i="36"/>
  <c r="AI16" i="36"/>
  <c r="BH16" i="36"/>
  <c r="K16" i="28"/>
  <c r="K16" i="36"/>
  <c r="AJ16" i="36"/>
  <c r="BI16" i="36"/>
  <c r="L16" i="28"/>
  <c r="L16" i="36"/>
  <c r="AK16" i="36"/>
  <c r="BJ16" i="36"/>
  <c r="M16" i="28"/>
  <c r="M16" i="36"/>
  <c r="AL16" i="36"/>
  <c r="BK16" i="36"/>
  <c r="N16" i="28"/>
  <c r="N16" i="36"/>
  <c r="AM16" i="36"/>
  <c r="BL16" i="36"/>
  <c r="O16" i="28"/>
  <c r="O16" i="36"/>
  <c r="AN16" i="36"/>
  <c r="BM16" i="36"/>
  <c r="P16" i="28"/>
  <c r="P16" i="36"/>
  <c r="AO16" i="36"/>
  <c r="BN16" i="36"/>
  <c r="Q16" i="28"/>
  <c r="Q16" i="36"/>
  <c r="AP16" i="36"/>
  <c r="BO16" i="36"/>
  <c r="R16" i="28"/>
  <c r="R16" i="36"/>
  <c r="AQ16" i="36"/>
  <c r="BP16" i="36"/>
  <c r="S16" i="28"/>
  <c r="S16" i="36"/>
  <c r="AR16" i="36"/>
  <c r="BQ16" i="36"/>
  <c r="T16" i="28"/>
  <c r="AS16" i="36"/>
  <c r="BR16" i="36"/>
  <c r="U16" i="28"/>
  <c r="U16" i="36"/>
  <c r="AT16" i="36"/>
  <c r="BS16" i="36"/>
  <c r="V16" i="28"/>
  <c r="V16" i="36"/>
  <c r="AU16" i="36"/>
  <c r="BT16" i="36"/>
  <c r="W16" i="28"/>
  <c r="W16" i="36"/>
  <c r="AV16" i="36"/>
  <c r="BU16" i="36"/>
  <c r="X16" i="28"/>
  <c r="X16" i="36"/>
  <c r="AW16" i="36"/>
  <c r="BV16" i="36"/>
  <c r="Y16" i="28"/>
  <c r="Y16" i="36"/>
  <c r="AX16" i="36"/>
  <c r="BW16" i="36"/>
  <c r="Z16" i="28"/>
  <c r="C16" i="28"/>
  <c r="AZ7" i="1"/>
  <c r="C7" i="36"/>
  <c r="AB7" i="36"/>
  <c r="BA7" i="1"/>
  <c r="BA7" i="36"/>
  <c r="D7" i="28"/>
  <c r="D7" i="36"/>
  <c r="AC7" i="36"/>
  <c r="BB7" i="36"/>
  <c r="E7" i="28"/>
  <c r="E7" i="36"/>
  <c r="AD7" i="36"/>
  <c r="BC7" i="36"/>
  <c r="F7" i="28"/>
  <c r="F7" i="36"/>
  <c r="AE7" i="36"/>
  <c r="BD7" i="36"/>
  <c r="G7" i="28"/>
  <c r="G7" i="36"/>
  <c r="AF7" i="36"/>
  <c r="BE7" i="36"/>
  <c r="H7" i="28"/>
  <c r="H7" i="36"/>
  <c r="AG7" i="36"/>
  <c r="BF7" i="36"/>
  <c r="I7" i="28"/>
  <c r="I7" i="36"/>
  <c r="AH7" i="36"/>
  <c r="BG7" i="36"/>
  <c r="J7" i="28"/>
  <c r="J7" i="36"/>
  <c r="AI7" i="36"/>
  <c r="BH7" i="36"/>
  <c r="K7" i="28"/>
  <c r="K7" i="36"/>
  <c r="AJ7" i="36"/>
  <c r="BI7" i="36"/>
  <c r="L7" i="28"/>
  <c r="L7" i="36"/>
  <c r="AK7" i="36"/>
  <c r="BJ7" i="36"/>
  <c r="M7" i="28"/>
  <c r="M7" i="36"/>
  <c r="AL7" i="36"/>
  <c r="BK7" i="36"/>
  <c r="N7" i="28"/>
  <c r="N7" i="36"/>
  <c r="AM7" i="36"/>
  <c r="BL7" i="36"/>
  <c r="O7" i="28"/>
  <c r="O7" i="36"/>
  <c r="AN7" i="36"/>
  <c r="BM7" i="36"/>
  <c r="P7" i="28"/>
  <c r="P7" i="36"/>
  <c r="AO7" i="36"/>
  <c r="BN7" i="36"/>
  <c r="Q7" i="28"/>
  <c r="Q7" i="36"/>
  <c r="AP7" i="36"/>
  <c r="BO7" i="36"/>
  <c r="R7" i="28"/>
  <c r="R7" i="36"/>
  <c r="AQ7" i="36"/>
  <c r="BP7" i="36"/>
  <c r="S7" i="28"/>
  <c r="S7" i="36"/>
  <c r="AR7" i="36"/>
  <c r="BQ7" i="36"/>
  <c r="T7" i="28"/>
  <c r="AS7" i="36"/>
  <c r="BR7" i="36"/>
  <c r="U7" i="28"/>
  <c r="U7" i="36"/>
  <c r="AT7" i="36"/>
  <c r="BS7" i="36"/>
  <c r="V7" i="28"/>
  <c r="V7" i="36"/>
  <c r="AU7" i="36"/>
  <c r="BT7" i="36"/>
  <c r="W7" i="28"/>
  <c r="W7" i="36"/>
  <c r="AV7" i="36"/>
  <c r="BU7" i="36"/>
  <c r="X7" i="28"/>
  <c r="X7" i="36"/>
  <c r="AW7" i="36"/>
  <c r="BV7" i="36"/>
  <c r="Y7" i="28"/>
  <c r="Y7" i="36"/>
  <c r="AX7" i="36"/>
  <c r="BW7" i="36"/>
  <c r="Z7" i="28"/>
  <c r="C7" i="28"/>
  <c r="AZ12" i="1"/>
  <c r="C12" i="36"/>
  <c r="AB12" i="36"/>
  <c r="BA12" i="1"/>
  <c r="BA12" i="36"/>
  <c r="D12" i="28"/>
  <c r="D12" i="36"/>
  <c r="AC12" i="36"/>
  <c r="BB12" i="36"/>
  <c r="E12" i="28"/>
  <c r="E12" i="36"/>
  <c r="AD12" i="36"/>
  <c r="BC12" i="36"/>
  <c r="F12" i="28"/>
  <c r="F12" i="36"/>
  <c r="AE12" i="36"/>
  <c r="BD12" i="36"/>
  <c r="G12" i="28"/>
  <c r="G12" i="36"/>
  <c r="AF12" i="36"/>
  <c r="BE12" i="36"/>
  <c r="H12" i="28"/>
  <c r="H12" i="36"/>
  <c r="AG12" i="36"/>
  <c r="BF12" i="36"/>
  <c r="I12" i="28"/>
  <c r="I12" i="36"/>
  <c r="AH12" i="36"/>
  <c r="BG12" i="36"/>
  <c r="J12" i="28"/>
  <c r="J12" i="36"/>
  <c r="AI12" i="36"/>
  <c r="BH12" i="36"/>
  <c r="K12" i="28"/>
  <c r="K12" i="36"/>
  <c r="AJ12" i="36"/>
  <c r="BI12" i="36"/>
  <c r="L12" i="28"/>
  <c r="L12" i="36"/>
  <c r="AK12" i="36"/>
  <c r="BJ12" i="36"/>
  <c r="M12" i="28"/>
  <c r="M12" i="36"/>
  <c r="AL12" i="36"/>
  <c r="BK12" i="36"/>
  <c r="N12" i="28"/>
  <c r="N12" i="36"/>
  <c r="AM12" i="36"/>
  <c r="BL12" i="36"/>
  <c r="O12" i="28"/>
  <c r="O12" i="36"/>
  <c r="AN12" i="36"/>
  <c r="BM12" i="36"/>
  <c r="P12" i="28"/>
  <c r="P12" i="36"/>
  <c r="AO12" i="36"/>
  <c r="BN12" i="36"/>
  <c r="Q12" i="28"/>
  <c r="Q12" i="36"/>
  <c r="AP12" i="36"/>
  <c r="BO12" i="36"/>
  <c r="R12" i="28"/>
  <c r="R12" i="36"/>
  <c r="AQ12" i="36"/>
  <c r="BP12" i="36"/>
  <c r="S12" i="28"/>
  <c r="S12" i="36"/>
  <c r="AR12" i="36"/>
  <c r="BQ12" i="36"/>
  <c r="T12" i="28"/>
  <c r="AS12" i="36"/>
  <c r="BR12" i="36"/>
  <c r="U12" i="28"/>
  <c r="U12" i="36"/>
  <c r="AT12" i="36"/>
  <c r="BS12" i="36"/>
  <c r="V12" i="28"/>
  <c r="V12" i="36"/>
  <c r="AU12" i="36"/>
  <c r="BT12" i="36"/>
  <c r="W12" i="28"/>
  <c r="W12" i="36"/>
  <c r="AV12" i="36"/>
  <c r="BU12" i="36"/>
  <c r="X12" i="28"/>
  <c r="X12" i="36"/>
  <c r="AW12" i="36"/>
  <c r="BV12" i="36"/>
  <c r="Y12" i="28"/>
  <c r="Y12" i="36"/>
  <c r="AX12" i="36"/>
  <c r="BW12" i="36"/>
  <c r="Z12" i="28"/>
  <c r="C12" i="28"/>
  <c r="AZ18" i="1"/>
  <c r="C18" i="36"/>
  <c r="AB18" i="36"/>
  <c r="BA18" i="1"/>
  <c r="BA18" i="36"/>
  <c r="D18" i="28"/>
  <c r="D18" i="36"/>
  <c r="AC18" i="36"/>
  <c r="BB18" i="36"/>
  <c r="E18" i="28"/>
  <c r="E18" i="36"/>
  <c r="AD18" i="36"/>
  <c r="BC18" i="36"/>
  <c r="F18" i="28"/>
  <c r="F18" i="36"/>
  <c r="AE18" i="36"/>
  <c r="BD18" i="36"/>
  <c r="G18" i="28"/>
  <c r="G18" i="36"/>
  <c r="AF18" i="36"/>
  <c r="BE18" i="36"/>
  <c r="H18" i="28"/>
  <c r="H18" i="36"/>
  <c r="AG18" i="36"/>
  <c r="BF18" i="36"/>
  <c r="I18" i="28"/>
  <c r="I18" i="36"/>
  <c r="AH18" i="36"/>
  <c r="BG18" i="36"/>
  <c r="J18" i="28"/>
  <c r="J18" i="36"/>
  <c r="AI18" i="36"/>
  <c r="BH18" i="36"/>
  <c r="K18" i="28"/>
  <c r="K18" i="36"/>
  <c r="AJ18" i="36"/>
  <c r="BI18" i="36"/>
  <c r="L18" i="28"/>
  <c r="L18" i="36"/>
  <c r="AK18" i="36"/>
  <c r="BJ18" i="36"/>
  <c r="M18" i="28"/>
  <c r="M18" i="36"/>
  <c r="AL18" i="36"/>
  <c r="BK18" i="36"/>
  <c r="N18" i="28"/>
  <c r="N18" i="36"/>
  <c r="AM18" i="36"/>
  <c r="BL18" i="36"/>
  <c r="O18" i="28"/>
  <c r="O18" i="36"/>
  <c r="AN18" i="36"/>
  <c r="BM18" i="36"/>
  <c r="P18" i="28"/>
  <c r="P18" i="36"/>
  <c r="AO18" i="36"/>
  <c r="BN18" i="36"/>
  <c r="Q18" i="28"/>
  <c r="Q18" i="36"/>
  <c r="AP18" i="36"/>
  <c r="BO18" i="36"/>
  <c r="R18" i="28"/>
  <c r="R18" i="36"/>
  <c r="AQ18" i="36"/>
  <c r="BP18" i="36"/>
  <c r="S18" i="28"/>
  <c r="S18" i="36"/>
  <c r="AR18" i="36"/>
  <c r="BQ18" i="36"/>
  <c r="T18" i="28"/>
  <c r="AS18" i="36"/>
  <c r="BR18" i="36"/>
  <c r="U18" i="28"/>
  <c r="U18" i="36"/>
  <c r="AT18" i="36"/>
  <c r="BS18" i="36"/>
  <c r="V18" i="28"/>
  <c r="V18" i="36"/>
  <c r="AU18" i="36"/>
  <c r="BT18" i="36"/>
  <c r="W18" i="28"/>
  <c r="W18" i="36"/>
  <c r="AV18" i="36"/>
  <c r="BU18" i="36"/>
  <c r="X18" i="28"/>
  <c r="X18" i="36"/>
  <c r="AW18" i="36"/>
  <c r="BV18" i="36"/>
  <c r="Y18" i="28"/>
  <c r="Y18" i="36"/>
  <c r="AX18" i="36"/>
  <c r="BW18" i="36"/>
  <c r="Z18" i="28"/>
  <c r="C18" i="28"/>
  <c r="AZ27" i="1"/>
  <c r="C27" i="36"/>
  <c r="AB27" i="36"/>
  <c r="BA27" i="1"/>
  <c r="BA27" i="36"/>
  <c r="D27" i="28"/>
  <c r="D27" i="36"/>
  <c r="AC27" i="36"/>
  <c r="BB27" i="36"/>
  <c r="E27" i="28"/>
  <c r="E27" i="36"/>
  <c r="AD27" i="36"/>
  <c r="BC27" i="36"/>
  <c r="F27" i="28"/>
  <c r="F27" i="36"/>
  <c r="AE27" i="36"/>
  <c r="BD27" i="36"/>
  <c r="G27" i="28"/>
  <c r="G27" i="36"/>
  <c r="AF27" i="36"/>
  <c r="BE27" i="36"/>
  <c r="H27" i="28"/>
  <c r="H27" i="36"/>
  <c r="AG27" i="36"/>
  <c r="BF27" i="36"/>
  <c r="I27" i="28"/>
  <c r="I27" i="36"/>
  <c r="AH27" i="36"/>
  <c r="BG27" i="36"/>
  <c r="J27" i="28"/>
  <c r="J27" i="36"/>
  <c r="AI27" i="36"/>
  <c r="BH27" i="36"/>
  <c r="K27" i="28"/>
  <c r="K27" i="36"/>
  <c r="AJ27" i="36"/>
  <c r="BI27" i="36"/>
  <c r="L27" i="28"/>
  <c r="L27" i="36"/>
  <c r="AK27" i="36"/>
  <c r="BJ27" i="36"/>
  <c r="M27" i="28"/>
  <c r="M27" i="36"/>
  <c r="AL27" i="36"/>
  <c r="BK27" i="36"/>
  <c r="N27" i="28"/>
  <c r="N27" i="36"/>
  <c r="AM27" i="36"/>
  <c r="BL27" i="36"/>
  <c r="O27" i="28"/>
  <c r="O27" i="36"/>
  <c r="AN27" i="36"/>
  <c r="BM27" i="36"/>
  <c r="P27" i="28"/>
  <c r="P27" i="36"/>
  <c r="AO27" i="36"/>
  <c r="BN27" i="36"/>
  <c r="Q27" i="28"/>
  <c r="Q27" i="36"/>
  <c r="AP27" i="36"/>
  <c r="BO27" i="36"/>
  <c r="R27" i="28"/>
  <c r="R27" i="36"/>
  <c r="AQ27" i="36"/>
  <c r="BP27" i="36"/>
  <c r="S27" i="28"/>
  <c r="S27" i="36"/>
  <c r="AR27" i="36"/>
  <c r="BQ27" i="36"/>
  <c r="T27" i="28"/>
  <c r="AS27" i="36"/>
  <c r="BR27" i="36"/>
  <c r="U27" i="28"/>
  <c r="U27" i="36"/>
  <c r="AT27" i="36"/>
  <c r="BS27" i="36"/>
  <c r="V27" i="28"/>
  <c r="V27" i="36"/>
  <c r="AU27" i="36"/>
  <c r="BT27" i="36"/>
  <c r="W27" i="28"/>
  <c r="W27" i="36"/>
  <c r="AV27" i="36"/>
  <c r="BU27" i="36"/>
  <c r="X27" i="28"/>
  <c r="X27" i="36"/>
  <c r="AW27" i="36"/>
  <c r="BV27" i="36"/>
  <c r="Y27" i="28"/>
  <c r="Y27" i="36"/>
  <c r="AX27" i="36"/>
  <c r="BW27" i="36"/>
  <c r="Z27" i="28"/>
  <c r="C27" i="28"/>
  <c r="E63" i="19"/>
  <c r="D63" i="19"/>
  <c r="AZ23" i="46"/>
  <c r="BA23" i="46"/>
  <c r="D23" i="31"/>
  <c r="C23" i="31"/>
  <c r="U23" i="31"/>
  <c r="AA23" i="31"/>
  <c r="AB23" i="31"/>
  <c r="D49" i="20"/>
  <c r="D50" i="20"/>
  <c r="D51" i="20"/>
  <c r="D52" i="20"/>
  <c r="D53" i="20"/>
  <c r="D54" i="20"/>
  <c r="D55" i="20"/>
  <c r="D56" i="20"/>
  <c r="D57" i="20"/>
  <c r="D58" i="20"/>
  <c r="D59" i="20"/>
  <c r="D60" i="20"/>
  <c r="D61" i="20"/>
  <c r="D62" i="20"/>
  <c r="AZ23" i="1"/>
  <c r="C23" i="36"/>
  <c r="AB23" i="36"/>
  <c r="BA23" i="1"/>
  <c r="BA23" i="36"/>
  <c r="D23" i="28"/>
  <c r="D23" i="36"/>
  <c r="AC23" i="36"/>
  <c r="BB23" i="36"/>
  <c r="E23" i="28"/>
  <c r="E23" i="36"/>
  <c r="AD23" i="36"/>
  <c r="BC23" i="36"/>
  <c r="F23" i="28"/>
  <c r="F23" i="36"/>
  <c r="AE23" i="36"/>
  <c r="BD23" i="36"/>
  <c r="G23" i="28"/>
  <c r="G23" i="36"/>
  <c r="AF23" i="36"/>
  <c r="BE23" i="36"/>
  <c r="H23" i="28"/>
  <c r="H23" i="36"/>
  <c r="AG23" i="36"/>
  <c r="BF23" i="36"/>
  <c r="I23" i="28"/>
  <c r="I23" i="36"/>
  <c r="AH23" i="36"/>
  <c r="BG23" i="36"/>
  <c r="J23" i="28"/>
  <c r="J23" i="36"/>
  <c r="AI23" i="36"/>
  <c r="BH23" i="36"/>
  <c r="K23" i="28"/>
  <c r="K23" i="36"/>
  <c r="AJ23" i="36"/>
  <c r="BI23" i="36"/>
  <c r="L23" i="28"/>
  <c r="L23" i="36"/>
  <c r="AK23" i="36"/>
  <c r="BJ23" i="36"/>
  <c r="M23" i="28"/>
  <c r="M23" i="36"/>
  <c r="AL23" i="36"/>
  <c r="BK23" i="36"/>
  <c r="N23" i="28"/>
  <c r="N23" i="36"/>
  <c r="AM23" i="36"/>
  <c r="BL23" i="36"/>
  <c r="O23" i="28"/>
  <c r="O23" i="36"/>
  <c r="AN23" i="36"/>
  <c r="BM23" i="36"/>
  <c r="P23" i="28"/>
  <c r="P23" i="36"/>
  <c r="AO23" i="36"/>
  <c r="BN23" i="36"/>
  <c r="Q23" i="28"/>
  <c r="Q23" i="36"/>
  <c r="AP23" i="36"/>
  <c r="BO23" i="36"/>
  <c r="R23" i="28"/>
  <c r="R23" i="36"/>
  <c r="AQ23" i="36"/>
  <c r="BP23" i="36"/>
  <c r="S23" i="28"/>
  <c r="S23" i="36"/>
  <c r="AR23" i="36"/>
  <c r="BQ23" i="36"/>
  <c r="T23" i="28"/>
  <c r="AS23" i="36"/>
  <c r="BR23" i="36"/>
  <c r="U23" i="28"/>
  <c r="U23" i="36"/>
  <c r="AT23" i="36"/>
  <c r="BS23" i="36"/>
  <c r="V23" i="28"/>
  <c r="V23" i="36"/>
  <c r="AU23" i="36"/>
  <c r="BT23" i="36"/>
  <c r="W23" i="28"/>
  <c r="W23" i="36"/>
  <c r="AV23" i="36"/>
  <c r="BU23" i="36"/>
  <c r="X23" i="28"/>
  <c r="X23" i="36"/>
  <c r="AW23" i="36"/>
  <c r="BV23" i="36"/>
  <c r="Y23" i="28"/>
  <c r="Y23" i="36"/>
  <c r="AX23" i="36"/>
  <c r="BW23" i="36"/>
  <c r="Z23" i="28"/>
  <c r="C23" i="28"/>
  <c r="E48" i="19"/>
  <c r="D48" i="19"/>
  <c r="AZ10" i="46"/>
  <c r="BA10" i="46"/>
  <c r="D10" i="31"/>
  <c r="U10" i="31"/>
  <c r="AA10" i="31"/>
  <c r="AB10" i="31"/>
  <c r="AZ6" i="46"/>
  <c r="BA6" i="46"/>
  <c r="D6" i="31"/>
  <c r="D47" i="31"/>
  <c r="U6" i="31"/>
  <c r="U47" i="31"/>
  <c r="AA6" i="31"/>
  <c r="AB6" i="31"/>
  <c r="D46" i="20"/>
  <c r="D47" i="20"/>
  <c r="D45" i="20"/>
  <c r="AZ10" i="1"/>
  <c r="C10" i="36"/>
  <c r="AB10" i="36"/>
  <c r="BA10" i="1"/>
  <c r="BA10" i="36"/>
  <c r="D10" i="28"/>
  <c r="D10" i="36"/>
  <c r="AC10" i="36"/>
  <c r="BB10" i="36"/>
  <c r="E10" i="28"/>
  <c r="E10" i="36"/>
  <c r="AD10" i="36"/>
  <c r="BC10" i="36"/>
  <c r="F10" i="28"/>
  <c r="F10" i="36"/>
  <c r="AE10" i="36"/>
  <c r="BD10" i="36"/>
  <c r="G10" i="28"/>
  <c r="G10" i="36"/>
  <c r="AF10" i="36"/>
  <c r="BE10" i="36"/>
  <c r="H10" i="28"/>
  <c r="H10" i="36"/>
  <c r="AG10" i="36"/>
  <c r="BF10" i="36"/>
  <c r="I10" i="28"/>
  <c r="I10" i="36"/>
  <c r="AH10" i="36"/>
  <c r="BG10" i="36"/>
  <c r="J10" i="28"/>
  <c r="J10" i="36"/>
  <c r="AI10" i="36"/>
  <c r="BH10" i="36"/>
  <c r="K10" i="28"/>
  <c r="K10" i="36"/>
  <c r="AJ10" i="36"/>
  <c r="BI10" i="36"/>
  <c r="L10" i="28"/>
  <c r="L10" i="36"/>
  <c r="AK10" i="36"/>
  <c r="BJ10" i="36"/>
  <c r="M10" i="28"/>
  <c r="M10" i="36"/>
  <c r="AL10" i="36"/>
  <c r="BK10" i="36"/>
  <c r="N10" i="28"/>
  <c r="N10" i="36"/>
  <c r="AM10" i="36"/>
  <c r="BL10" i="36"/>
  <c r="O10" i="28"/>
  <c r="O10" i="36"/>
  <c r="AN10" i="36"/>
  <c r="BM10" i="36"/>
  <c r="P10" i="28"/>
  <c r="P10" i="36"/>
  <c r="AO10" i="36"/>
  <c r="BN10" i="36"/>
  <c r="Q10" i="28"/>
  <c r="Q10" i="36"/>
  <c r="AP10" i="36"/>
  <c r="BO10" i="36"/>
  <c r="R10" i="28"/>
  <c r="R10" i="36"/>
  <c r="AQ10" i="36"/>
  <c r="BP10" i="36"/>
  <c r="S10" i="28"/>
  <c r="S10" i="36"/>
  <c r="AR10" i="36"/>
  <c r="BQ10" i="36"/>
  <c r="T10" i="28"/>
  <c r="AS10" i="36"/>
  <c r="BR10" i="36"/>
  <c r="U10" i="36"/>
  <c r="AT10" i="36"/>
  <c r="BS10" i="36"/>
  <c r="V10" i="28"/>
  <c r="V10" i="36"/>
  <c r="AU10" i="36"/>
  <c r="BT10" i="36"/>
  <c r="W10" i="28"/>
  <c r="W10" i="36"/>
  <c r="AV10" i="36"/>
  <c r="BU10" i="36"/>
  <c r="X10" i="28"/>
  <c r="X10" i="36"/>
  <c r="AW10" i="36"/>
  <c r="BV10" i="36"/>
  <c r="Y10" i="28"/>
  <c r="Y10" i="36"/>
  <c r="AX10" i="36"/>
  <c r="BW10" i="36"/>
  <c r="Z10" i="28"/>
  <c r="AZ6" i="1"/>
  <c r="C6" i="36"/>
  <c r="AB6" i="36"/>
  <c r="BA6" i="1"/>
  <c r="BA6" i="36"/>
  <c r="D6" i="28"/>
  <c r="D6" i="36"/>
  <c r="AC6" i="36"/>
  <c r="BB6" i="36"/>
  <c r="E6" i="28"/>
  <c r="E6" i="36"/>
  <c r="AD6" i="36"/>
  <c r="BC6" i="36"/>
  <c r="F6" i="28"/>
  <c r="F6" i="36"/>
  <c r="AE6" i="36"/>
  <c r="BD6" i="36"/>
  <c r="G6" i="28"/>
  <c r="G6" i="36"/>
  <c r="AF6" i="36"/>
  <c r="BE6" i="36"/>
  <c r="H6" i="28"/>
  <c r="H6" i="36"/>
  <c r="AG6" i="36"/>
  <c r="BF6" i="36"/>
  <c r="I6" i="28"/>
  <c r="I6" i="36"/>
  <c r="AH6" i="36"/>
  <c r="BG6" i="36"/>
  <c r="J6" i="28"/>
  <c r="J6" i="36"/>
  <c r="AI6" i="36"/>
  <c r="BH6" i="36"/>
  <c r="K6" i="28"/>
  <c r="K6" i="36"/>
  <c r="AJ6" i="36"/>
  <c r="BI6" i="36"/>
  <c r="L6" i="28"/>
  <c r="L6" i="36"/>
  <c r="AK6" i="36"/>
  <c r="BJ6" i="36"/>
  <c r="M6" i="28"/>
  <c r="M6" i="36"/>
  <c r="AL6" i="36"/>
  <c r="BK6" i="36"/>
  <c r="N6" i="28"/>
  <c r="N6" i="36"/>
  <c r="AM6" i="36"/>
  <c r="BL6" i="36"/>
  <c r="O6" i="28"/>
  <c r="O6" i="36"/>
  <c r="AN6" i="36"/>
  <c r="BM6" i="36"/>
  <c r="P6" i="28"/>
  <c r="P6" i="36"/>
  <c r="AO6" i="36"/>
  <c r="BN6" i="36"/>
  <c r="Q6" i="28"/>
  <c r="Q6" i="36"/>
  <c r="AP6" i="36"/>
  <c r="BO6" i="36"/>
  <c r="R6" i="28"/>
  <c r="R6" i="36"/>
  <c r="AQ6" i="36"/>
  <c r="BP6" i="36"/>
  <c r="S6" i="28"/>
  <c r="S6" i="36"/>
  <c r="AR6" i="36"/>
  <c r="BQ6" i="36"/>
  <c r="T6" i="28"/>
  <c r="AS6" i="36"/>
  <c r="BR6" i="36"/>
  <c r="U6" i="36"/>
  <c r="AT6" i="36"/>
  <c r="BS6" i="36"/>
  <c r="V6" i="28"/>
  <c r="V6" i="36"/>
  <c r="AU6" i="36"/>
  <c r="BT6" i="36"/>
  <c r="W6" i="28"/>
  <c r="W6" i="36"/>
  <c r="AV6" i="36"/>
  <c r="BU6" i="36"/>
  <c r="X6" i="28"/>
  <c r="X6" i="36"/>
  <c r="AW6" i="36"/>
  <c r="BV6" i="36"/>
  <c r="Y6" i="28"/>
  <c r="Y6" i="36"/>
  <c r="AX6" i="36"/>
  <c r="BW6" i="36"/>
  <c r="Z6" i="28"/>
  <c r="E45" i="19"/>
  <c r="D45" i="19"/>
  <c r="AZ3" i="1"/>
  <c r="C3" i="36"/>
  <c r="AB3" i="36"/>
  <c r="BA3" i="1"/>
  <c r="BA3" i="36"/>
  <c r="D3" i="28"/>
  <c r="D3" i="36"/>
  <c r="AC3" i="36"/>
  <c r="BB3" i="36"/>
  <c r="E3" i="28"/>
  <c r="E3" i="36"/>
  <c r="AD3" i="36"/>
  <c r="BC3" i="36"/>
  <c r="F3" i="28"/>
  <c r="F3" i="36"/>
  <c r="AE3" i="36"/>
  <c r="BD3" i="36"/>
  <c r="G3" i="28"/>
  <c r="G3" i="36"/>
  <c r="AF3" i="36"/>
  <c r="BE3" i="36"/>
  <c r="H3" i="28"/>
  <c r="H3" i="36"/>
  <c r="AG3" i="36"/>
  <c r="BF3" i="36"/>
  <c r="I3" i="28"/>
  <c r="I3" i="36"/>
  <c r="AH3" i="36"/>
  <c r="BG3" i="36"/>
  <c r="J3" i="28"/>
  <c r="J3" i="36"/>
  <c r="AI3" i="36"/>
  <c r="BH3" i="36"/>
  <c r="K3" i="28"/>
  <c r="K3" i="36"/>
  <c r="AJ3" i="36"/>
  <c r="BI3" i="36"/>
  <c r="L3" i="28"/>
  <c r="L3" i="36"/>
  <c r="AK3" i="36"/>
  <c r="BJ3" i="36"/>
  <c r="M3" i="28"/>
  <c r="M3" i="36"/>
  <c r="AL3" i="36"/>
  <c r="BK3" i="36"/>
  <c r="N3" i="28"/>
  <c r="N3" i="36"/>
  <c r="AM3" i="36"/>
  <c r="BL3" i="36"/>
  <c r="O3" i="28"/>
  <c r="O3" i="36"/>
  <c r="AN3" i="36"/>
  <c r="BM3" i="36"/>
  <c r="P3" i="28"/>
  <c r="P3" i="36"/>
  <c r="AO3" i="36"/>
  <c r="BN3" i="36"/>
  <c r="Q3" i="28"/>
  <c r="Q3" i="36"/>
  <c r="AP3" i="36"/>
  <c r="BO3" i="36"/>
  <c r="R3" i="28"/>
  <c r="R3" i="36"/>
  <c r="AQ3" i="36"/>
  <c r="BP3" i="36"/>
  <c r="S3" i="28"/>
  <c r="S3" i="36"/>
  <c r="AR3" i="36"/>
  <c r="BQ3" i="36"/>
  <c r="T3" i="28"/>
  <c r="AS3" i="36"/>
  <c r="BR3" i="36"/>
  <c r="U3" i="28"/>
  <c r="U3" i="36"/>
  <c r="AT3" i="36"/>
  <c r="BS3" i="36"/>
  <c r="V3" i="28"/>
  <c r="V3" i="36"/>
  <c r="AU3" i="36"/>
  <c r="BT3" i="36"/>
  <c r="W3" i="28"/>
  <c r="W3" i="36"/>
  <c r="AV3" i="36"/>
  <c r="BU3" i="36"/>
  <c r="X3" i="28"/>
  <c r="X3" i="36"/>
  <c r="AW3" i="36"/>
  <c r="BV3" i="36"/>
  <c r="Y3" i="28"/>
  <c r="Y3" i="36"/>
  <c r="AX3" i="36"/>
  <c r="BW3" i="36"/>
  <c r="Z3" i="28"/>
  <c r="C3" i="28"/>
  <c r="AZ13" i="1"/>
  <c r="C13" i="36"/>
  <c r="AB13" i="36"/>
  <c r="BA13" i="1"/>
  <c r="BA13" i="36"/>
  <c r="D13" i="28"/>
  <c r="D13" i="36"/>
  <c r="AC13" i="36"/>
  <c r="BB13" i="36"/>
  <c r="E13" i="28"/>
  <c r="E13" i="36"/>
  <c r="AD13" i="36"/>
  <c r="BC13" i="36"/>
  <c r="F13" i="28"/>
  <c r="F13" i="36"/>
  <c r="AE13" i="36"/>
  <c r="BD13" i="36"/>
  <c r="G13" i="28"/>
  <c r="G13" i="36"/>
  <c r="AF13" i="36"/>
  <c r="BE13" i="36"/>
  <c r="H13" i="28"/>
  <c r="H13" i="36"/>
  <c r="AG13" i="36"/>
  <c r="BF13" i="36"/>
  <c r="I13" i="28"/>
  <c r="I13" i="36"/>
  <c r="AH13" i="36"/>
  <c r="BG13" i="36"/>
  <c r="J13" i="28"/>
  <c r="J13" i="36"/>
  <c r="AI13" i="36"/>
  <c r="BH13" i="36"/>
  <c r="K13" i="28"/>
  <c r="K13" i="36"/>
  <c r="AJ13" i="36"/>
  <c r="BI13" i="36"/>
  <c r="L13" i="28"/>
  <c r="L13" i="36"/>
  <c r="AK13" i="36"/>
  <c r="BJ13" i="36"/>
  <c r="M13" i="28"/>
  <c r="M13" i="36"/>
  <c r="AL13" i="36"/>
  <c r="BK13" i="36"/>
  <c r="N13" i="28"/>
  <c r="N13" i="36"/>
  <c r="AM13" i="36"/>
  <c r="BL13" i="36"/>
  <c r="O13" i="28"/>
  <c r="O13" i="36"/>
  <c r="AN13" i="36"/>
  <c r="BM13" i="36"/>
  <c r="P13" i="28"/>
  <c r="P13" i="36"/>
  <c r="AO13" i="36"/>
  <c r="BN13" i="36"/>
  <c r="Q13" i="28"/>
  <c r="Q13" i="36"/>
  <c r="AP13" i="36"/>
  <c r="BO13" i="36"/>
  <c r="R13" i="28"/>
  <c r="R13" i="36"/>
  <c r="AQ13" i="36"/>
  <c r="BP13" i="36"/>
  <c r="S13" i="28"/>
  <c r="S13" i="36"/>
  <c r="AR13" i="36"/>
  <c r="BQ13" i="36"/>
  <c r="T13" i="28"/>
  <c r="AS13" i="36"/>
  <c r="BR13" i="36"/>
  <c r="U13" i="28"/>
  <c r="U13" i="36"/>
  <c r="AT13" i="36"/>
  <c r="BS13" i="36"/>
  <c r="V13" i="28"/>
  <c r="V13" i="36"/>
  <c r="AU13" i="36"/>
  <c r="BT13" i="36"/>
  <c r="W13" i="28"/>
  <c r="W13" i="36"/>
  <c r="AV13" i="36"/>
  <c r="BU13" i="36"/>
  <c r="X13" i="28"/>
  <c r="X13" i="36"/>
  <c r="AW13" i="36"/>
  <c r="BV13" i="36"/>
  <c r="Y13" i="28"/>
  <c r="Y13" i="36"/>
  <c r="AX13" i="36"/>
  <c r="BW13" i="36"/>
  <c r="Z13" i="28"/>
  <c r="C13" i="28"/>
  <c r="AZ14" i="1"/>
  <c r="C14" i="36"/>
  <c r="AB14" i="36"/>
  <c r="BA14" i="1"/>
  <c r="BA14" i="36"/>
  <c r="D14" i="28"/>
  <c r="D14" i="36"/>
  <c r="AC14" i="36"/>
  <c r="BB14" i="36"/>
  <c r="E14" i="28"/>
  <c r="E14" i="36"/>
  <c r="AD14" i="36"/>
  <c r="BC14" i="36"/>
  <c r="F14" i="28"/>
  <c r="F14" i="36"/>
  <c r="AE14" i="36"/>
  <c r="BD14" i="36"/>
  <c r="G14" i="28"/>
  <c r="G14" i="36"/>
  <c r="AF14" i="36"/>
  <c r="BE14" i="36"/>
  <c r="H14" i="28"/>
  <c r="H14" i="36"/>
  <c r="AG14" i="36"/>
  <c r="BF14" i="36"/>
  <c r="I14" i="28"/>
  <c r="I14" i="36"/>
  <c r="AH14" i="36"/>
  <c r="BG14" i="36"/>
  <c r="J14" i="28"/>
  <c r="J14" i="36"/>
  <c r="AI14" i="36"/>
  <c r="BH14" i="36"/>
  <c r="K14" i="28"/>
  <c r="K14" i="36"/>
  <c r="AJ14" i="36"/>
  <c r="BI14" i="36"/>
  <c r="L14" i="28"/>
  <c r="L14" i="36"/>
  <c r="AK14" i="36"/>
  <c r="BJ14" i="36"/>
  <c r="M14" i="28"/>
  <c r="M14" i="36"/>
  <c r="AL14" i="36"/>
  <c r="BK14" i="36"/>
  <c r="N14" i="28"/>
  <c r="N14" i="36"/>
  <c r="AM14" i="36"/>
  <c r="BL14" i="36"/>
  <c r="O14" i="28"/>
  <c r="O14" i="36"/>
  <c r="AN14" i="36"/>
  <c r="BM14" i="36"/>
  <c r="P14" i="28"/>
  <c r="P14" i="36"/>
  <c r="AO14" i="36"/>
  <c r="BN14" i="36"/>
  <c r="Q14" i="28"/>
  <c r="Q14" i="36"/>
  <c r="AP14" i="36"/>
  <c r="BO14" i="36"/>
  <c r="R14" i="28"/>
  <c r="R14" i="36"/>
  <c r="AQ14" i="36"/>
  <c r="BP14" i="36"/>
  <c r="S14" i="28"/>
  <c r="S14" i="36"/>
  <c r="AR14" i="36"/>
  <c r="BQ14" i="36"/>
  <c r="T14" i="28"/>
  <c r="AS14" i="36"/>
  <c r="BR14" i="36"/>
  <c r="U14" i="28"/>
  <c r="U14" i="36"/>
  <c r="AT14" i="36"/>
  <c r="BS14" i="36"/>
  <c r="V14" i="28"/>
  <c r="V14" i="36"/>
  <c r="AU14" i="36"/>
  <c r="BT14" i="36"/>
  <c r="W14" i="28"/>
  <c r="W14" i="36"/>
  <c r="AV14" i="36"/>
  <c r="BU14" i="36"/>
  <c r="X14" i="28"/>
  <c r="X14" i="36"/>
  <c r="AW14" i="36"/>
  <c r="BV14" i="36"/>
  <c r="Y14" i="28"/>
  <c r="Y14" i="36"/>
  <c r="AX14" i="36"/>
  <c r="BW14" i="36"/>
  <c r="Z14" i="28"/>
  <c r="C14" i="28"/>
  <c r="AZ30" i="1"/>
  <c r="C30" i="36"/>
  <c r="AB30" i="36"/>
  <c r="BA30" i="1"/>
  <c r="BA30" i="36"/>
  <c r="D30" i="28"/>
  <c r="D30" i="36"/>
  <c r="AC30" i="36"/>
  <c r="BB30" i="36"/>
  <c r="E30" i="28"/>
  <c r="E30" i="36"/>
  <c r="AD30" i="36"/>
  <c r="BC30" i="36"/>
  <c r="F30" i="28"/>
  <c r="F30" i="36"/>
  <c r="AE30" i="36"/>
  <c r="BD30" i="36"/>
  <c r="G30" i="28"/>
  <c r="G30" i="36"/>
  <c r="AF30" i="36"/>
  <c r="BE30" i="36"/>
  <c r="H30" i="28"/>
  <c r="H30" i="36"/>
  <c r="AG30" i="36"/>
  <c r="BF30" i="36"/>
  <c r="I30" i="28"/>
  <c r="I30" i="36"/>
  <c r="AH30" i="36"/>
  <c r="BG30" i="36"/>
  <c r="J30" i="28"/>
  <c r="J30" i="36"/>
  <c r="AI30" i="36"/>
  <c r="BH30" i="36"/>
  <c r="K30" i="28"/>
  <c r="K30" i="36"/>
  <c r="AJ30" i="36"/>
  <c r="BI30" i="36"/>
  <c r="L30" i="28"/>
  <c r="L30" i="36"/>
  <c r="AK30" i="36"/>
  <c r="BJ30" i="36"/>
  <c r="M30" i="28"/>
  <c r="M30" i="36"/>
  <c r="AL30" i="36"/>
  <c r="BK30" i="36"/>
  <c r="N30" i="28"/>
  <c r="N30" i="36"/>
  <c r="AM30" i="36"/>
  <c r="BL30" i="36"/>
  <c r="O30" i="28"/>
  <c r="O30" i="36"/>
  <c r="AN30" i="36"/>
  <c r="BM30" i="36"/>
  <c r="P30" i="28"/>
  <c r="P30" i="36"/>
  <c r="AO30" i="36"/>
  <c r="BN30" i="36"/>
  <c r="Q30" i="28"/>
  <c r="Q30" i="36"/>
  <c r="AP30" i="36"/>
  <c r="BO30" i="36"/>
  <c r="R30" i="28"/>
  <c r="R30" i="36"/>
  <c r="AQ30" i="36"/>
  <c r="BP30" i="36"/>
  <c r="S30" i="28"/>
  <c r="S30" i="36"/>
  <c r="AR30" i="36"/>
  <c r="BQ30" i="36"/>
  <c r="T30" i="28"/>
  <c r="AS30" i="36"/>
  <c r="BR30" i="36"/>
  <c r="U30" i="28"/>
  <c r="U30" i="36"/>
  <c r="AT30" i="36"/>
  <c r="BS30" i="36"/>
  <c r="V30" i="28"/>
  <c r="V30" i="36"/>
  <c r="AU30" i="36"/>
  <c r="BT30" i="36"/>
  <c r="W30" i="28"/>
  <c r="W30" i="36"/>
  <c r="AV30" i="36"/>
  <c r="BU30" i="36"/>
  <c r="X30" i="28"/>
  <c r="X30" i="36"/>
  <c r="AW30" i="36"/>
  <c r="BV30" i="36"/>
  <c r="Y30" i="28"/>
  <c r="Y30" i="36"/>
  <c r="AX30" i="36"/>
  <c r="BW30" i="36"/>
  <c r="Z30" i="28"/>
  <c r="C30" i="28"/>
  <c r="AZ26" i="1"/>
  <c r="C26" i="36"/>
  <c r="AB26" i="36"/>
  <c r="BA26" i="1"/>
  <c r="BA26" i="36"/>
  <c r="D26" i="28"/>
  <c r="D26" i="36"/>
  <c r="AC26" i="36"/>
  <c r="BB26" i="36"/>
  <c r="E26" i="28"/>
  <c r="E26" i="36"/>
  <c r="AD26" i="36"/>
  <c r="BC26" i="36"/>
  <c r="F26" i="28"/>
  <c r="F26" i="36"/>
  <c r="AE26" i="36"/>
  <c r="BD26" i="36"/>
  <c r="G26" i="28"/>
  <c r="G26" i="36"/>
  <c r="AF26" i="36"/>
  <c r="BE26" i="36"/>
  <c r="H26" i="28"/>
  <c r="H26" i="36"/>
  <c r="AG26" i="36"/>
  <c r="BF26" i="36"/>
  <c r="I26" i="28"/>
  <c r="I26" i="36"/>
  <c r="AH26" i="36"/>
  <c r="BG26" i="36"/>
  <c r="J26" i="28"/>
  <c r="J26" i="36"/>
  <c r="AI26" i="36"/>
  <c r="BH26" i="36"/>
  <c r="K26" i="28"/>
  <c r="K26" i="36"/>
  <c r="AJ26" i="36"/>
  <c r="BI26" i="36"/>
  <c r="L26" i="28"/>
  <c r="L26" i="36"/>
  <c r="AK26" i="36"/>
  <c r="BJ26" i="36"/>
  <c r="M26" i="28"/>
  <c r="M26" i="36"/>
  <c r="AL26" i="36"/>
  <c r="BK26" i="36"/>
  <c r="N26" i="28"/>
  <c r="N26" i="36"/>
  <c r="AM26" i="36"/>
  <c r="BL26" i="36"/>
  <c r="O26" i="28"/>
  <c r="O26" i="36"/>
  <c r="AN26" i="36"/>
  <c r="BM26" i="36"/>
  <c r="P26" i="28"/>
  <c r="P26" i="36"/>
  <c r="AO26" i="36"/>
  <c r="BN26" i="36"/>
  <c r="Q26" i="28"/>
  <c r="Q26" i="36"/>
  <c r="AP26" i="36"/>
  <c r="BO26" i="36"/>
  <c r="R26" i="28"/>
  <c r="R26" i="36"/>
  <c r="AQ26" i="36"/>
  <c r="BP26" i="36"/>
  <c r="S26" i="28"/>
  <c r="S26" i="36"/>
  <c r="AR26" i="36"/>
  <c r="BQ26" i="36"/>
  <c r="T26" i="28"/>
  <c r="AS26" i="36"/>
  <c r="BR26" i="36"/>
  <c r="U26" i="28"/>
  <c r="U26" i="36"/>
  <c r="AT26" i="36"/>
  <c r="BS26" i="36"/>
  <c r="V26" i="28"/>
  <c r="V26" i="36"/>
  <c r="AU26" i="36"/>
  <c r="BT26" i="36"/>
  <c r="W26" i="28"/>
  <c r="W26" i="36"/>
  <c r="AV26" i="36"/>
  <c r="BU26" i="36"/>
  <c r="X26" i="28"/>
  <c r="X26" i="36"/>
  <c r="AW26" i="36"/>
  <c r="BV26" i="36"/>
  <c r="Y26" i="28"/>
  <c r="Y26" i="36"/>
  <c r="AX26" i="36"/>
  <c r="BW26" i="36"/>
  <c r="Z26" i="28"/>
  <c r="C26" i="28"/>
  <c r="AZ22" i="1"/>
  <c r="C22" i="36"/>
  <c r="AB22" i="36"/>
  <c r="BA22" i="1"/>
  <c r="BA22" i="36"/>
  <c r="D22" i="28"/>
  <c r="D22" i="36"/>
  <c r="AC22" i="36"/>
  <c r="BB22" i="36"/>
  <c r="E22" i="28"/>
  <c r="E22" i="36"/>
  <c r="AD22" i="36"/>
  <c r="BC22" i="36"/>
  <c r="F22" i="28"/>
  <c r="F22" i="36"/>
  <c r="AE22" i="36"/>
  <c r="BD22" i="36"/>
  <c r="G22" i="28"/>
  <c r="G22" i="36"/>
  <c r="AF22" i="36"/>
  <c r="BE22" i="36"/>
  <c r="H22" i="28"/>
  <c r="H22" i="36"/>
  <c r="AG22" i="36"/>
  <c r="BF22" i="36"/>
  <c r="I22" i="28"/>
  <c r="I22" i="36"/>
  <c r="AH22" i="36"/>
  <c r="BG22" i="36"/>
  <c r="J22" i="28"/>
  <c r="J22" i="36"/>
  <c r="AI22" i="36"/>
  <c r="BH22" i="36"/>
  <c r="K22" i="28"/>
  <c r="K22" i="36"/>
  <c r="AJ22" i="36"/>
  <c r="BI22" i="36"/>
  <c r="L22" i="28"/>
  <c r="L22" i="36"/>
  <c r="AK22" i="36"/>
  <c r="BJ22" i="36"/>
  <c r="M22" i="28"/>
  <c r="M22" i="36"/>
  <c r="AL22" i="36"/>
  <c r="BK22" i="36"/>
  <c r="N22" i="28"/>
  <c r="N22" i="36"/>
  <c r="AM22" i="36"/>
  <c r="BL22" i="36"/>
  <c r="O22" i="28"/>
  <c r="O22" i="36"/>
  <c r="AN22" i="36"/>
  <c r="BM22" i="36"/>
  <c r="P22" i="28"/>
  <c r="P22" i="36"/>
  <c r="AO22" i="36"/>
  <c r="BN22" i="36"/>
  <c r="Q22" i="28"/>
  <c r="Q22" i="36"/>
  <c r="AP22" i="36"/>
  <c r="BO22" i="36"/>
  <c r="R22" i="28"/>
  <c r="R22" i="36"/>
  <c r="AQ22" i="36"/>
  <c r="BP22" i="36"/>
  <c r="S22" i="28"/>
  <c r="S22" i="36"/>
  <c r="AR22" i="36"/>
  <c r="BQ22" i="36"/>
  <c r="T22" i="28"/>
  <c r="AS22" i="36"/>
  <c r="BR22" i="36"/>
  <c r="U22" i="28"/>
  <c r="U22" i="36"/>
  <c r="AT22" i="36"/>
  <c r="BS22" i="36"/>
  <c r="V22" i="28"/>
  <c r="V22" i="36"/>
  <c r="AU22" i="36"/>
  <c r="BT22" i="36"/>
  <c r="W22" i="28"/>
  <c r="W22" i="36"/>
  <c r="AV22" i="36"/>
  <c r="BU22" i="36"/>
  <c r="X22" i="28"/>
  <c r="X22" i="36"/>
  <c r="AW22" i="36"/>
  <c r="BV22" i="36"/>
  <c r="Y22" i="28"/>
  <c r="Y22" i="36"/>
  <c r="AX22" i="36"/>
  <c r="BW22" i="36"/>
  <c r="Z22" i="28"/>
  <c r="C22" i="28"/>
  <c r="AZ2" i="1"/>
  <c r="C2" i="36"/>
  <c r="AB2" i="36"/>
  <c r="BA2" i="1"/>
  <c r="BA2" i="36"/>
  <c r="D2" i="28"/>
  <c r="D2" i="36"/>
  <c r="AC2" i="36"/>
  <c r="BB2" i="36"/>
  <c r="E2" i="28"/>
  <c r="E2" i="36"/>
  <c r="AD2" i="36"/>
  <c r="BC2" i="36"/>
  <c r="F2" i="28"/>
  <c r="F2" i="36"/>
  <c r="AE2" i="36"/>
  <c r="BD2" i="36"/>
  <c r="G2" i="28"/>
  <c r="G2" i="36"/>
  <c r="AF2" i="36"/>
  <c r="BE2" i="36"/>
  <c r="H2" i="28"/>
  <c r="H2" i="36"/>
  <c r="AG2" i="36"/>
  <c r="BF2" i="36"/>
  <c r="I2" i="28"/>
  <c r="I2" i="36"/>
  <c r="AH2" i="36"/>
  <c r="BG2" i="36"/>
  <c r="J2" i="28"/>
  <c r="J2" i="36"/>
  <c r="AI2" i="36"/>
  <c r="BH2" i="36"/>
  <c r="K2" i="28"/>
  <c r="K2" i="36"/>
  <c r="AJ2" i="36"/>
  <c r="BI2" i="36"/>
  <c r="L2" i="28"/>
  <c r="L2" i="36"/>
  <c r="AK2" i="36"/>
  <c r="BJ2" i="36"/>
  <c r="M2" i="28"/>
  <c r="M2" i="36"/>
  <c r="AL2" i="36"/>
  <c r="BK2" i="36"/>
  <c r="N2" i="28"/>
  <c r="N2" i="36"/>
  <c r="AM2" i="36"/>
  <c r="BL2" i="36"/>
  <c r="O2" i="28"/>
  <c r="O2" i="36"/>
  <c r="AN2" i="36"/>
  <c r="BM2" i="36"/>
  <c r="P2" i="28"/>
  <c r="P2" i="36"/>
  <c r="AO2" i="36"/>
  <c r="BN2" i="36"/>
  <c r="Q2" i="28"/>
  <c r="Q2" i="36"/>
  <c r="AP2" i="36"/>
  <c r="BO2" i="36"/>
  <c r="R2" i="28"/>
  <c r="R2" i="36"/>
  <c r="AQ2" i="36"/>
  <c r="BP2" i="36"/>
  <c r="S2" i="28"/>
  <c r="S2" i="36"/>
  <c r="AR2" i="36"/>
  <c r="BQ2" i="36"/>
  <c r="T2" i="28"/>
  <c r="AS2" i="36"/>
  <c r="BR2" i="36"/>
  <c r="U2" i="28"/>
  <c r="U2" i="36"/>
  <c r="AT2" i="36"/>
  <c r="BS2" i="36"/>
  <c r="V2" i="28"/>
  <c r="V2" i="36"/>
  <c r="AU2" i="36"/>
  <c r="BT2" i="36"/>
  <c r="W2" i="28"/>
  <c r="W2" i="36"/>
  <c r="AV2" i="36"/>
  <c r="BU2" i="36"/>
  <c r="X2" i="28"/>
  <c r="X2" i="36"/>
  <c r="AW2" i="36"/>
  <c r="BV2" i="36"/>
  <c r="Y2" i="28"/>
  <c r="Y2" i="36"/>
  <c r="AX2" i="36"/>
  <c r="BW2" i="36"/>
  <c r="Z2" i="28"/>
  <c r="C2" i="28"/>
  <c r="AZ11" i="1"/>
  <c r="C11" i="36"/>
  <c r="AB11" i="36"/>
  <c r="BA11" i="1"/>
  <c r="BA11" i="36"/>
  <c r="D11" i="28"/>
  <c r="D11" i="36"/>
  <c r="AC11" i="36"/>
  <c r="BB11" i="36"/>
  <c r="E11" i="28"/>
  <c r="E11" i="36"/>
  <c r="AD11" i="36"/>
  <c r="BC11" i="36"/>
  <c r="F11" i="28"/>
  <c r="F11" i="36"/>
  <c r="AE11" i="36"/>
  <c r="BD11" i="36"/>
  <c r="G11" i="28"/>
  <c r="G11" i="36"/>
  <c r="AF11" i="36"/>
  <c r="BE11" i="36"/>
  <c r="H11" i="28"/>
  <c r="H11" i="36"/>
  <c r="AG11" i="36"/>
  <c r="BF11" i="36"/>
  <c r="I11" i="28"/>
  <c r="I11" i="36"/>
  <c r="AH11" i="36"/>
  <c r="BG11" i="36"/>
  <c r="J11" i="28"/>
  <c r="J11" i="36"/>
  <c r="AI11" i="36"/>
  <c r="BH11" i="36"/>
  <c r="K11" i="28"/>
  <c r="K11" i="36"/>
  <c r="AJ11" i="36"/>
  <c r="BI11" i="36"/>
  <c r="L11" i="28"/>
  <c r="L11" i="36"/>
  <c r="AK11" i="36"/>
  <c r="BJ11" i="36"/>
  <c r="M11" i="28"/>
  <c r="M11" i="36"/>
  <c r="AL11" i="36"/>
  <c r="BK11" i="36"/>
  <c r="N11" i="28"/>
  <c r="N11" i="36"/>
  <c r="AM11" i="36"/>
  <c r="BL11" i="36"/>
  <c r="O11" i="28"/>
  <c r="O11" i="36"/>
  <c r="AN11" i="36"/>
  <c r="BM11" i="36"/>
  <c r="P11" i="28"/>
  <c r="P11" i="36"/>
  <c r="AO11" i="36"/>
  <c r="BN11" i="36"/>
  <c r="Q11" i="28"/>
  <c r="Q11" i="36"/>
  <c r="AP11" i="36"/>
  <c r="BO11" i="36"/>
  <c r="R11" i="28"/>
  <c r="R11" i="36"/>
  <c r="AQ11" i="36"/>
  <c r="BP11" i="36"/>
  <c r="S11" i="28"/>
  <c r="S11" i="36"/>
  <c r="AR11" i="36"/>
  <c r="BQ11" i="36"/>
  <c r="T11" i="28"/>
  <c r="AS11" i="36"/>
  <c r="BR11" i="36"/>
  <c r="U11" i="28"/>
  <c r="U11" i="36"/>
  <c r="AT11" i="36"/>
  <c r="BS11" i="36"/>
  <c r="V11" i="28"/>
  <c r="V11" i="36"/>
  <c r="AU11" i="36"/>
  <c r="BT11" i="36"/>
  <c r="W11" i="28"/>
  <c r="W11" i="36"/>
  <c r="AV11" i="36"/>
  <c r="BU11" i="36"/>
  <c r="X11" i="28"/>
  <c r="X11" i="36"/>
  <c r="AW11" i="36"/>
  <c r="BV11" i="36"/>
  <c r="Y11" i="28"/>
  <c r="Y11" i="36"/>
  <c r="AX11" i="36"/>
  <c r="BW11" i="36"/>
  <c r="Z11" i="28"/>
  <c r="C11" i="28"/>
  <c r="AZ4" i="1"/>
  <c r="C4" i="36"/>
  <c r="AB4" i="36"/>
  <c r="BA4" i="1"/>
  <c r="BA4" i="36"/>
  <c r="D4" i="28"/>
  <c r="D4" i="36"/>
  <c r="AC4" i="36"/>
  <c r="BB4" i="36"/>
  <c r="E4" i="28"/>
  <c r="E4" i="36"/>
  <c r="AD4" i="36"/>
  <c r="BC4" i="36"/>
  <c r="F4" i="28"/>
  <c r="F4" i="36"/>
  <c r="AE4" i="36"/>
  <c r="BD4" i="36"/>
  <c r="G4" i="28"/>
  <c r="G4" i="36"/>
  <c r="AF4" i="36"/>
  <c r="BE4" i="36"/>
  <c r="H4" i="28"/>
  <c r="H4" i="36"/>
  <c r="AG4" i="36"/>
  <c r="BF4" i="36"/>
  <c r="I4" i="28"/>
  <c r="I4" i="36"/>
  <c r="AH4" i="36"/>
  <c r="BG4" i="36"/>
  <c r="J4" i="28"/>
  <c r="J4" i="36"/>
  <c r="AI4" i="36"/>
  <c r="BH4" i="36"/>
  <c r="K4" i="28"/>
  <c r="K4" i="36"/>
  <c r="AJ4" i="36"/>
  <c r="BI4" i="36"/>
  <c r="L4" i="28"/>
  <c r="L4" i="36"/>
  <c r="AK4" i="36"/>
  <c r="BJ4" i="36"/>
  <c r="M4" i="28"/>
  <c r="M4" i="36"/>
  <c r="AL4" i="36"/>
  <c r="BK4" i="36"/>
  <c r="N4" i="28"/>
  <c r="N4" i="36"/>
  <c r="AM4" i="36"/>
  <c r="BL4" i="36"/>
  <c r="O4" i="28"/>
  <c r="O4" i="36"/>
  <c r="AN4" i="36"/>
  <c r="BM4" i="36"/>
  <c r="P4" i="28"/>
  <c r="P4" i="36"/>
  <c r="AO4" i="36"/>
  <c r="BN4" i="36"/>
  <c r="Q4" i="28"/>
  <c r="Q4" i="36"/>
  <c r="AP4" i="36"/>
  <c r="BO4" i="36"/>
  <c r="R4" i="28"/>
  <c r="R4" i="36"/>
  <c r="AQ4" i="36"/>
  <c r="BP4" i="36"/>
  <c r="S4" i="28"/>
  <c r="S4" i="36"/>
  <c r="AR4" i="36"/>
  <c r="BQ4" i="36"/>
  <c r="T4" i="28"/>
  <c r="AS4" i="36"/>
  <c r="BR4" i="36"/>
  <c r="U4" i="28"/>
  <c r="U4" i="36"/>
  <c r="AT4" i="36"/>
  <c r="BS4" i="36"/>
  <c r="V4" i="28"/>
  <c r="V4" i="36"/>
  <c r="AU4" i="36"/>
  <c r="BT4" i="36"/>
  <c r="W4" i="28"/>
  <c r="W4" i="36"/>
  <c r="AV4" i="36"/>
  <c r="BU4" i="36"/>
  <c r="X4" i="28"/>
  <c r="X4" i="36"/>
  <c r="AW4" i="36"/>
  <c r="BV4" i="36"/>
  <c r="Y4" i="28"/>
  <c r="Y4" i="36"/>
  <c r="AX4" i="36"/>
  <c r="BW4" i="36"/>
  <c r="Z4" i="28"/>
  <c r="C4" i="28"/>
  <c r="AZ8" i="1"/>
  <c r="C8" i="36"/>
  <c r="AB8" i="36"/>
  <c r="BA8" i="1"/>
  <c r="BA8" i="36"/>
  <c r="D8" i="28"/>
  <c r="D8" i="36"/>
  <c r="AC8" i="36"/>
  <c r="BB8" i="36"/>
  <c r="E8" i="28"/>
  <c r="E8" i="36"/>
  <c r="AD8" i="36"/>
  <c r="BC8" i="36"/>
  <c r="F8" i="28"/>
  <c r="F8" i="36"/>
  <c r="AE8" i="36"/>
  <c r="BD8" i="36"/>
  <c r="G8" i="28"/>
  <c r="G8" i="36"/>
  <c r="AF8" i="36"/>
  <c r="BE8" i="36"/>
  <c r="H8" i="28"/>
  <c r="H8" i="36"/>
  <c r="AG8" i="36"/>
  <c r="BF8" i="36"/>
  <c r="I8" i="28"/>
  <c r="I8" i="36"/>
  <c r="AH8" i="36"/>
  <c r="BG8" i="36"/>
  <c r="J8" i="28"/>
  <c r="J8" i="36"/>
  <c r="AI8" i="36"/>
  <c r="BH8" i="36"/>
  <c r="K8" i="28"/>
  <c r="K8" i="36"/>
  <c r="AJ8" i="36"/>
  <c r="BI8" i="36"/>
  <c r="L8" i="28"/>
  <c r="L8" i="36"/>
  <c r="AK8" i="36"/>
  <c r="BJ8" i="36"/>
  <c r="M8" i="28"/>
  <c r="M8" i="36"/>
  <c r="AL8" i="36"/>
  <c r="BK8" i="36"/>
  <c r="N8" i="28"/>
  <c r="N8" i="36"/>
  <c r="AM8" i="36"/>
  <c r="BL8" i="36"/>
  <c r="O8" i="28"/>
  <c r="O8" i="36"/>
  <c r="AN8" i="36"/>
  <c r="BM8" i="36"/>
  <c r="P8" i="28"/>
  <c r="P8" i="36"/>
  <c r="AO8" i="36"/>
  <c r="BN8" i="36"/>
  <c r="Q8" i="28"/>
  <c r="Q8" i="36"/>
  <c r="AP8" i="36"/>
  <c r="BO8" i="36"/>
  <c r="R8" i="28"/>
  <c r="R8" i="36"/>
  <c r="AQ8" i="36"/>
  <c r="BP8" i="36"/>
  <c r="S8" i="28"/>
  <c r="S8" i="36"/>
  <c r="AR8" i="36"/>
  <c r="BQ8" i="36"/>
  <c r="T8" i="28"/>
  <c r="AS8" i="36"/>
  <c r="BR8" i="36"/>
  <c r="U8" i="28"/>
  <c r="U8" i="36"/>
  <c r="AT8" i="36"/>
  <c r="BS8" i="36"/>
  <c r="V8" i="28"/>
  <c r="V8" i="36"/>
  <c r="AU8" i="36"/>
  <c r="BT8" i="36"/>
  <c r="W8" i="28"/>
  <c r="W8" i="36"/>
  <c r="AV8" i="36"/>
  <c r="BU8" i="36"/>
  <c r="X8" i="28"/>
  <c r="X8" i="36"/>
  <c r="AW8" i="36"/>
  <c r="BV8" i="36"/>
  <c r="Y8" i="28"/>
  <c r="Y8" i="36"/>
  <c r="AX8" i="36"/>
  <c r="BW8" i="36"/>
  <c r="Z8" i="28"/>
  <c r="C8" i="28"/>
  <c r="AZ19" i="1"/>
  <c r="C19" i="36"/>
  <c r="AB19" i="36"/>
  <c r="BA19" i="1"/>
  <c r="BA19" i="36"/>
  <c r="D19" i="28"/>
  <c r="D19" i="36"/>
  <c r="AC19" i="36"/>
  <c r="BB19" i="36"/>
  <c r="E19" i="28"/>
  <c r="E19" i="36"/>
  <c r="AD19" i="36"/>
  <c r="BC19" i="36"/>
  <c r="F19" i="28"/>
  <c r="F19" i="36"/>
  <c r="AE19" i="36"/>
  <c r="BD19" i="36"/>
  <c r="G19" i="28"/>
  <c r="G19" i="36"/>
  <c r="AF19" i="36"/>
  <c r="BE19" i="36"/>
  <c r="H19" i="28"/>
  <c r="H19" i="36"/>
  <c r="AG19" i="36"/>
  <c r="BF19" i="36"/>
  <c r="I19" i="28"/>
  <c r="I19" i="36"/>
  <c r="AH19" i="36"/>
  <c r="BG19" i="36"/>
  <c r="J19" i="28"/>
  <c r="J19" i="36"/>
  <c r="AI19" i="36"/>
  <c r="BH19" i="36"/>
  <c r="K19" i="28"/>
  <c r="K19" i="36"/>
  <c r="AJ19" i="36"/>
  <c r="BI19" i="36"/>
  <c r="L19" i="28"/>
  <c r="L19" i="36"/>
  <c r="AK19" i="36"/>
  <c r="BJ19" i="36"/>
  <c r="M19" i="28"/>
  <c r="M19" i="36"/>
  <c r="AL19" i="36"/>
  <c r="BK19" i="36"/>
  <c r="N19" i="28"/>
  <c r="N19" i="36"/>
  <c r="AM19" i="36"/>
  <c r="BL19" i="36"/>
  <c r="O19" i="28"/>
  <c r="O19" i="36"/>
  <c r="AN19" i="36"/>
  <c r="BM19" i="36"/>
  <c r="P19" i="28"/>
  <c r="P19" i="36"/>
  <c r="AO19" i="36"/>
  <c r="BN19" i="36"/>
  <c r="Q19" i="28"/>
  <c r="Q19" i="36"/>
  <c r="AP19" i="36"/>
  <c r="BO19" i="36"/>
  <c r="R19" i="28"/>
  <c r="R19" i="36"/>
  <c r="AQ19" i="36"/>
  <c r="BP19" i="36"/>
  <c r="S19" i="28"/>
  <c r="S19" i="36"/>
  <c r="AR19" i="36"/>
  <c r="BQ19" i="36"/>
  <c r="T19" i="28"/>
  <c r="AS19" i="36"/>
  <c r="BR19" i="36"/>
  <c r="U19" i="28"/>
  <c r="U19" i="36"/>
  <c r="AT19" i="36"/>
  <c r="BS19" i="36"/>
  <c r="V19" i="28"/>
  <c r="V19" i="36"/>
  <c r="AU19" i="36"/>
  <c r="BT19" i="36"/>
  <c r="W19" i="28"/>
  <c r="W19" i="36"/>
  <c r="AV19" i="36"/>
  <c r="BU19" i="36"/>
  <c r="X19" i="28"/>
  <c r="X19" i="36"/>
  <c r="AW19" i="36"/>
  <c r="BV19" i="36"/>
  <c r="Y19" i="28"/>
  <c r="Y19" i="36"/>
  <c r="AX19" i="36"/>
  <c r="BW19" i="36"/>
  <c r="Z19" i="28"/>
  <c r="C19" i="28"/>
  <c r="AZ28" i="1"/>
  <c r="C28" i="36"/>
  <c r="AB28" i="36"/>
  <c r="BA28" i="1"/>
  <c r="BA28" i="36"/>
  <c r="D28" i="28"/>
  <c r="D28" i="36"/>
  <c r="AC28" i="36"/>
  <c r="BB28" i="36"/>
  <c r="E28" i="28"/>
  <c r="E28" i="36"/>
  <c r="AD28" i="36"/>
  <c r="BC28" i="36"/>
  <c r="F28" i="28"/>
  <c r="F28" i="36"/>
  <c r="AE28" i="36"/>
  <c r="BD28" i="36"/>
  <c r="G28" i="28"/>
  <c r="G28" i="36"/>
  <c r="AF28" i="36"/>
  <c r="BE28" i="36"/>
  <c r="H28" i="28"/>
  <c r="H28" i="36"/>
  <c r="AG28" i="36"/>
  <c r="BF28" i="36"/>
  <c r="I28" i="28"/>
  <c r="I28" i="36"/>
  <c r="AH28" i="36"/>
  <c r="BG28" i="36"/>
  <c r="J28" i="28"/>
  <c r="J28" i="36"/>
  <c r="AI28" i="36"/>
  <c r="BH28" i="36"/>
  <c r="K28" i="28"/>
  <c r="K28" i="36"/>
  <c r="AJ28" i="36"/>
  <c r="BI28" i="36"/>
  <c r="L28" i="28"/>
  <c r="L28" i="36"/>
  <c r="AK28" i="36"/>
  <c r="BJ28" i="36"/>
  <c r="M28" i="28"/>
  <c r="M28" i="36"/>
  <c r="AL28" i="36"/>
  <c r="BK28" i="36"/>
  <c r="N28" i="28"/>
  <c r="N28" i="36"/>
  <c r="AM28" i="36"/>
  <c r="BL28" i="36"/>
  <c r="O28" i="28"/>
  <c r="O28" i="36"/>
  <c r="AN28" i="36"/>
  <c r="BM28" i="36"/>
  <c r="P28" i="28"/>
  <c r="P28" i="36"/>
  <c r="AO28" i="36"/>
  <c r="BN28" i="36"/>
  <c r="Q28" i="28"/>
  <c r="Q28" i="36"/>
  <c r="AP28" i="36"/>
  <c r="BO28" i="36"/>
  <c r="R28" i="28"/>
  <c r="R28" i="36"/>
  <c r="AQ28" i="36"/>
  <c r="BP28" i="36"/>
  <c r="S28" i="28"/>
  <c r="S28" i="36"/>
  <c r="AR28" i="36"/>
  <c r="BQ28" i="36"/>
  <c r="T28" i="28"/>
  <c r="AS28" i="36"/>
  <c r="BR28" i="36"/>
  <c r="U28" i="28"/>
  <c r="U28" i="36"/>
  <c r="AT28" i="36"/>
  <c r="BS28" i="36"/>
  <c r="V28" i="28"/>
  <c r="V28" i="36"/>
  <c r="AU28" i="36"/>
  <c r="BT28" i="36"/>
  <c r="W28" i="28"/>
  <c r="W28" i="36"/>
  <c r="AV28" i="36"/>
  <c r="BU28" i="36"/>
  <c r="X28" i="28"/>
  <c r="X28" i="36"/>
  <c r="AW28" i="36"/>
  <c r="BV28" i="36"/>
  <c r="Y28" i="28"/>
  <c r="Y28" i="36"/>
  <c r="AX28" i="36"/>
  <c r="BW28" i="36"/>
  <c r="Z28" i="28"/>
  <c r="C28" i="28"/>
  <c r="AZ15" i="1"/>
  <c r="C15" i="36"/>
  <c r="AB15" i="36"/>
  <c r="BA15" i="1"/>
  <c r="BA15" i="36"/>
  <c r="D15" i="28"/>
  <c r="D15" i="36"/>
  <c r="AC15" i="36"/>
  <c r="BB15" i="36"/>
  <c r="E15" i="28"/>
  <c r="E15" i="36"/>
  <c r="AD15" i="36"/>
  <c r="BC15" i="36"/>
  <c r="F15" i="28"/>
  <c r="F15" i="36"/>
  <c r="AE15" i="36"/>
  <c r="BD15" i="36"/>
  <c r="G15" i="28"/>
  <c r="G15" i="36"/>
  <c r="AF15" i="36"/>
  <c r="BE15" i="36"/>
  <c r="H15" i="28"/>
  <c r="H15" i="36"/>
  <c r="AG15" i="36"/>
  <c r="BF15" i="36"/>
  <c r="I15" i="28"/>
  <c r="I15" i="36"/>
  <c r="AH15" i="36"/>
  <c r="BG15" i="36"/>
  <c r="J15" i="28"/>
  <c r="J15" i="36"/>
  <c r="AI15" i="36"/>
  <c r="BH15" i="36"/>
  <c r="K15" i="28"/>
  <c r="K15" i="36"/>
  <c r="AJ15" i="36"/>
  <c r="BI15" i="36"/>
  <c r="L15" i="28"/>
  <c r="L15" i="36"/>
  <c r="AK15" i="36"/>
  <c r="BJ15" i="36"/>
  <c r="M15" i="28"/>
  <c r="M15" i="36"/>
  <c r="AL15" i="36"/>
  <c r="BK15" i="36"/>
  <c r="N15" i="28"/>
  <c r="N15" i="36"/>
  <c r="AM15" i="36"/>
  <c r="BL15" i="36"/>
  <c r="O15" i="28"/>
  <c r="O15" i="36"/>
  <c r="AN15" i="36"/>
  <c r="BM15" i="36"/>
  <c r="P15" i="28"/>
  <c r="P15" i="36"/>
  <c r="AO15" i="36"/>
  <c r="BN15" i="36"/>
  <c r="Q15" i="28"/>
  <c r="Q15" i="36"/>
  <c r="AP15" i="36"/>
  <c r="BO15" i="36"/>
  <c r="R15" i="28"/>
  <c r="R15" i="36"/>
  <c r="AQ15" i="36"/>
  <c r="BP15" i="36"/>
  <c r="S15" i="28"/>
  <c r="S15" i="36"/>
  <c r="AR15" i="36"/>
  <c r="BQ15" i="36"/>
  <c r="T15" i="28"/>
  <c r="AS15" i="36"/>
  <c r="BR15" i="36"/>
  <c r="U15" i="28"/>
  <c r="U15" i="36"/>
  <c r="AT15" i="36"/>
  <c r="BS15" i="36"/>
  <c r="V15" i="28"/>
  <c r="V15" i="36"/>
  <c r="AU15" i="36"/>
  <c r="BT15" i="36"/>
  <c r="W15" i="28"/>
  <c r="W15" i="36"/>
  <c r="AV15" i="36"/>
  <c r="BU15" i="36"/>
  <c r="X15" i="28"/>
  <c r="X15" i="36"/>
  <c r="AW15" i="36"/>
  <c r="BV15" i="36"/>
  <c r="Y15" i="28"/>
  <c r="Y15" i="36"/>
  <c r="AX15" i="36"/>
  <c r="BW15" i="36"/>
  <c r="Z15" i="28"/>
  <c r="C15" i="28"/>
  <c r="E31" i="19"/>
  <c r="D31" i="19"/>
  <c r="AZ3" i="46"/>
  <c r="BA3" i="46"/>
  <c r="D3" i="31"/>
  <c r="U3" i="31"/>
  <c r="U32" i="31"/>
  <c r="AA3" i="31"/>
  <c r="AB3" i="31"/>
  <c r="AB32" i="31"/>
  <c r="AZ13" i="46"/>
  <c r="BA13" i="46"/>
  <c r="D13" i="31"/>
  <c r="U13" i="31"/>
  <c r="AA13" i="31"/>
  <c r="AB13" i="31"/>
  <c r="AB33" i="31"/>
  <c r="AZ14" i="46"/>
  <c r="BA14" i="46"/>
  <c r="D14" i="31"/>
  <c r="U14" i="31"/>
  <c r="AA14" i="31"/>
  <c r="AB14" i="31"/>
  <c r="AZ30" i="46"/>
  <c r="BA30" i="46"/>
  <c r="D30" i="31"/>
  <c r="U30" i="31"/>
  <c r="U35" i="31"/>
  <c r="AA30" i="31"/>
  <c r="AB30" i="31"/>
  <c r="AZ26" i="46"/>
  <c r="BA26" i="46"/>
  <c r="D26" i="31"/>
  <c r="U26" i="31"/>
  <c r="AA26" i="31"/>
  <c r="AB26" i="31"/>
  <c r="AB36" i="31"/>
  <c r="C26" i="31"/>
  <c r="AO36" i="5"/>
  <c r="AZ22" i="46"/>
  <c r="BA22" i="46"/>
  <c r="D22" i="31"/>
  <c r="D37" i="31"/>
  <c r="U22" i="31"/>
  <c r="AA22" i="31"/>
  <c r="AB22" i="31"/>
  <c r="C22" i="31"/>
  <c r="AZ2" i="46"/>
  <c r="BA2" i="46"/>
  <c r="D2" i="31"/>
  <c r="D38" i="31"/>
  <c r="U2" i="31"/>
  <c r="AA2" i="31"/>
  <c r="AB2" i="31"/>
  <c r="AZ11" i="46"/>
  <c r="BA11" i="46"/>
  <c r="D11" i="31"/>
  <c r="D39" i="31"/>
  <c r="U11" i="31"/>
  <c r="AA11" i="31"/>
  <c r="AB11" i="31"/>
  <c r="AZ4" i="46"/>
  <c r="BA4" i="46"/>
  <c r="D4" i="31"/>
  <c r="U4" i="31"/>
  <c r="AA4" i="31"/>
  <c r="AA40" i="31"/>
  <c r="AB4" i="31"/>
  <c r="AZ8" i="46"/>
  <c r="BA8" i="46"/>
  <c r="D8" i="31"/>
  <c r="U8" i="31"/>
  <c r="AA8" i="31"/>
  <c r="AA41" i="31"/>
  <c r="AB8" i="31"/>
  <c r="AB41" i="31"/>
  <c r="AZ19" i="46"/>
  <c r="BA19" i="46"/>
  <c r="D19" i="31"/>
  <c r="U19" i="31"/>
  <c r="AA19" i="31"/>
  <c r="AB19" i="31"/>
  <c r="C19" i="31"/>
  <c r="AZ28" i="46"/>
  <c r="BA28" i="46"/>
  <c r="D28" i="31"/>
  <c r="U28" i="31"/>
  <c r="AA28" i="31"/>
  <c r="AA43" i="31"/>
  <c r="AB28" i="31"/>
  <c r="AZ15" i="46"/>
  <c r="BA15" i="46"/>
  <c r="D15" i="31"/>
  <c r="U15" i="31"/>
  <c r="U44" i="31"/>
  <c r="AA15" i="31"/>
  <c r="AB15" i="31"/>
  <c r="AB44" i="31"/>
  <c r="D32" i="20"/>
  <c r="D33" i="20"/>
  <c r="D34" i="20"/>
  <c r="D35" i="20"/>
  <c r="D36" i="20"/>
  <c r="D37" i="20"/>
  <c r="D38" i="20"/>
  <c r="D39" i="20"/>
  <c r="D40" i="20"/>
  <c r="D41" i="20"/>
  <c r="D42" i="20"/>
  <c r="D43" i="20"/>
  <c r="D44" i="20"/>
  <c r="AK69" i="37"/>
  <c r="AO69" i="37"/>
  <c r="AK60" i="37"/>
  <c r="AO60" i="37"/>
  <c r="AL58" i="37"/>
  <c r="AP58" i="37"/>
  <c r="AK57" i="37"/>
  <c r="AO57" i="37"/>
  <c r="AL55" i="37"/>
  <c r="AP55" i="37"/>
  <c r="AK53" i="37"/>
  <c r="AO53" i="37"/>
  <c r="AK42" i="37"/>
  <c r="AO42" i="37"/>
  <c r="AK41" i="37"/>
  <c r="AO8" i="37"/>
  <c r="AO41" i="37"/>
  <c r="AJ76" i="37"/>
  <c r="AG76" i="37"/>
  <c r="AI75" i="37"/>
  <c r="AH72" i="37"/>
  <c r="AH70" i="37"/>
  <c r="AH69" i="37"/>
  <c r="AG66" i="37"/>
  <c r="AF66" i="37"/>
  <c r="AI64" i="37"/>
  <c r="AF62" i="37"/>
  <c r="AH61" i="37"/>
  <c r="AI60" i="37"/>
  <c r="AH60" i="37"/>
  <c r="AG60" i="37"/>
  <c r="AI57" i="37"/>
  <c r="AG55" i="37"/>
  <c r="AJ52" i="37"/>
  <c r="AJ51" i="37"/>
  <c r="AJ50" i="37"/>
  <c r="AI50" i="37"/>
  <c r="AF50" i="37"/>
  <c r="AJ44" i="37"/>
  <c r="AH44" i="37"/>
  <c r="AG44" i="37"/>
  <c r="AG43" i="37"/>
  <c r="AF43" i="37"/>
  <c r="AJ42" i="37"/>
  <c r="AF42" i="37"/>
  <c r="AG41" i="37"/>
  <c r="AI40" i="37"/>
  <c r="AH40" i="37"/>
  <c r="AG40" i="37"/>
  <c r="AF40" i="37"/>
  <c r="AH38" i="37"/>
  <c r="AH37" i="37"/>
  <c r="AG37" i="37"/>
  <c r="AH36" i="37"/>
  <c r="AJ33" i="37"/>
  <c r="AF33" i="37"/>
  <c r="F76" i="37"/>
  <c r="R76" i="37"/>
  <c r="E72" i="37"/>
  <c r="E71" i="37"/>
  <c r="Q71" i="37"/>
  <c r="F68" i="37"/>
  <c r="R68" i="37"/>
  <c r="E68" i="37"/>
  <c r="Q9" i="37"/>
  <c r="Q68" i="37"/>
  <c r="E67" i="37"/>
  <c r="Q67" i="37"/>
  <c r="F66" i="37"/>
  <c r="R66" i="37"/>
  <c r="E66" i="37"/>
  <c r="Q17" i="37"/>
  <c r="Q66" i="37"/>
  <c r="F65" i="37"/>
  <c r="R65" i="37"/>
  <c r="E65" i="37"/>
  <c r="Q21" i="37"/>
  <c r="Q65" i="37"/>
  <c r="F64" i="37"/>
  <c r="R64" i="37"/>
  <c r="E64" i="37"/>
  <c r="Q64" i="37"/>
  <c r="F62" i="37"/>
  <c r="R62" i="37"/>
  <c r="D61" i="37"/>
  <c r="P18" i="37"/>
  <c r="P61" i="37"/>
  <c r="F59" i="37"/>
  <c r="R59" i="37"/>
  <c r="F57" i="37"/>
  <c r="R57" i="37"/>
  <c r="D57" i="37"/>
  <c r="P57" i="37"/>
  <c r="E55" i="37"/>
  <c r="Q55" i="37"/>
  <c r="F54" i="37"/>
  <c r="R54" i="37"/>
  <c r="E54" i="37"/>
  <c r="Q54" i="37"/>
  <c r="F53" i="37"/>
  <c r="R53" i="37"/>
  <c r="E53" i="37"/>
  <c r="Q53" i="37"/>
  <c r="D53" i="37"/>
  <c r="P53" i="37"/>
  <c r="F51" i="37"/>
  <c r="R51" i="37"/>
  <c r="D51" i="37"/>
  <c r="P51" i="37"/>
  <c r="F49" i="37"/>
  <c r="R49" i="37"/>
  <c r="D47" i="37"/>
  <c r="P47" i="37"/>
  <c r="D46" i="37"/>
  <c r="P10" i="37"/>
  <c r="P46" i="37"/>
  <c r="F44" i="37"/>
  <c r="R44" i="37"/>
  <c r="F43" i="37"/>
  <c r="R43" i="37"/>
  <c r="F42" i="37"/>
  <c r="R42" i="37"/>
  <c r="D38" i="37"/>
  <c r="P2" i="37"/>
  <c r="P38" i="37"/>
  <c r="D36" i="37"/>
  <c r="P26" i="37"/>
  <c r="P36" i="37"/>
  <c r="H35" i="37"/>
  <c r="D35" i="37"/>
  <c r="P30" i="37"/>
  <c r="P35" i="37"/>
  <c r="D34" i="37"/>
  <c r="P14" i="37"/>
  <c r="P34" i="37"/>
  <c r="E33" i="37"/>
  <c r="Q13" i="37"/>
  <c r="Q33" i="37"/>
  <c r="I37" i="37"/>
  <c r="AV32" i="37"/>
  <c r="AV39" i="37"/>
  <c r="AV42" i="37"/>
  <c r="AC27" i="29"/>
  <c r="D27" i="18"/>
  <c r="AC18" i="29"/>
  <c r="D18" i="18"/>
  <c r="AC12" i="29"/>
  <c r="D12" i="18"/>
  <c r="AC7" i="29"/>
  <c r="D7" i="18"/>
  <c r="AC29" i="29"/>
  <c r="AC57" i="29"/>
  <c r="D29" i="18"/>
  <c r="D71" i="18"/>
  <c r="AC20" i="29"/>
  <c r="D20" i="18"/>
  <c r="D56" i="18"/>
  <c r="AC24" i="29"/>
  <c r="D24" i="18"/>
  <c r="AC9" i="29"/>
  <c r="D9" i="18"/>
  <c r="AC5" i="29"/>
  <c r="D5" i="18"/>
  <c r="AC17" i="29"/>
  <c r="D17" i="18"/>
  <c r="AC21" i="29"/>
  <c r="D21" i="18"/>
  <c r="D65" i="18"/>
  <c r="G64" i="18"/>
  <c r="AG64" i="18"/>
  <c r="AC25" i="29"/>
  <c r="D25" i="18"/>
  <c r="AC23" i="29"/>
  <c r="D23" i="18"/>
  <c r="D49" i="18"/>
  <c r="AC6" i="29"/>
  <c r="D6" i="18"/>
  <c r="D47" i="18"/>
  <c r="AC10" i="29"/>
  <c r="D10" i="18"/>
  <c r="D46" i="18"/>
  <c r="AC15" i="29"/>
  <c r="D15" i="18"/>
  <c r="D44" i="18"/>
  <c r="AC28" i="29"/>
  <c r="D28" i="18"/>
  <c r="D43" i="18"/>
  <c r="AC19" i="29"/>
  <c r="D19" i="18"/>
  <c r="D42" i="18"/>
  <c r="AC8" i="29"/>
  <c r="D8" i="18"/>
  <c r="D41" i="18"/>
  <c r="AC4" i="29"/>
  <c r="D4" i="18"/>
  <c r="D40" i="18"/>
  <c r="AC11" i="29"/>
  <c r="D11" i="18"/>
  <c r="D39" i="18"/>
  <c r="AC2" i="29"/>
  <c r="D38" i="18"/>
  <c r="AC22" i="29"/>
  <c r="D22" i="18"/>
  <c r="D37" i="18"/>
  <c r="AC26" i="29"/>
  <c r="AC36" i="29"/>
  <c r="AC30" i="29"/>
  <c r="D30" i="18"/>
  <c r="D35" i="18"/>
  <c r="AC14" i="29"/>
  <c r="D14" i="18"/>
  <c r="D34" i="18"/>
  <c r="AC13" i="29"/>
  <c r="D13" i="18"/>
  <c r="D33" i="18"/>
  <c r="AC3" i="29"/>
  <c r="D3" i="18"/>
  <c r="D32" i="18"/>
  <c r="BC62" i="18"/>
  <c r="CI62" i="18"/>
  <c r="BD27" i="30"/>
  <c r="BD76" i="30"/>
  <c r="BU27" i="30"/>
  <c r="CA27" i="30"/>
  <c r="CA76" i="30"/>
  <c r="CB27" i="30"/>
  <c r="CB62" i="30"/>
  <c r="BD18" i="30"/>
  <c r="BU18" i="30"/>
  <c r="CA18" i="30"/>
  <c r="CB18" i="30"/>
  <c r="BD12" i="30"/>
  <c r="BU12" i="30"/>
  <c r="CA12" i="30"/>
  <c r="CA74" i="30"/>
  <c r="CB12" i="30"/>
  <c r="BD7" i="30"/>
  <c r="BU7" i="30"/>
  <c r="CA7" i="30"/>
  <c r="CB7" i="30"/>
  <c r="BD16" i="30"/>
  <c r="BU16" i="30"/>
  <c r="BU58" i="30"/>
  <c r="CA16" i="30"/>
  <c r="CB16" i="30"/>
  <c r="CB58" i="30"/>
  <c r="BD29" i="30"/>
  <c r="BU29" i="30"/>
  <c r="CA29" i="30"/>
  <c r="CA57" i="30"/>
  <c r="CB29" i="30"/>
  <c r="BD20" i="30"/>
  <c r="BU20" i="30"/>
  <c r="BU70" i="30"/>
  <c r="CA20" i="30"/>
  <c r="CB20" i="30"/>
  <c r="BD24" i="30"/>
  <c r="BU24" i="30"/>
  <c r="CA24" i="30"/>
  <c r="CB24" i="30"/>
  <c r="BD9" i="30"/>
  <c r="BU9" i="30"/>
  <c r="BU68" i="30"/>
  <c r="CA9" i="30"/>
  <c r="CA54" i="30"/>
  <c r="CB9" i="30"/>
  <c r="CB68" i="30"/>
  <c r="BD5" i="30"/>
  <c r="BU5" i="30"/>
  <c r="CA5" i="30"/>
  <c r="CB5" i="30"/>
  <c r="BD17" i="30"/>
  <c r="BU17" i="30"/>
  <c r="CA17" i="30"/>
  <c r="CA52" i="30"/>
  <c r="CB17" i="30"/>
  <c r="BD21" i="30"/>
  <c r="BU21" i="30"/>
  <c r="CA21" i="30"/>
  <c r="CB21" i="30"/>
  <c r="BD25" i="30"/>
  <c r="BU25" i="30"/>
  <c r="CA25" i="30"/>
  <c r="CB25" i="30"/>
  <c r="BD23" i="30"/>
  <c r="BU23" i="30"/>
  <c r="CA23" i="30"/>
  <c r="CB23" i="30"/>
  <c r="BD6" i="30"/>
  <c r="BU6" i="30"/>
  <c r="BU47" i="30"/>
  <c r="CA6" i="30"/>
  <c r="CA47" i="30"/>
  <c r="CB6" i="30"/>
  <c r="BD10" i="30"/>
  <c r="BU10" i="30"/>
  <c r="CA10" i="30"/>
  <c r="CB10" i="30"/>
  <c r="BD15" i="30"/>
  <c r="BU15" i="30"/>
  <c r="CA15" i="30"/>
  <c r="CB15" i="30"/>
  <c r="CB44" i="30"/>
  <c r="BD28" i="30"/>
  <c r="BU28" i="30"/>
  <c r="CA28" i="30"/>
  <c r="CB28" i="30"/>
  <c r="BC28" i="30"/>
  <c r="BD19" i="30"/>
  <c r="BD42" i="30"/>
  <c r="BU19" i="30"/>
  <c r="CA19" i="30"/>
  <c r="CB19" i="30"/>
  <c r="BD8" i="30"/>
  <c r="BU8" i="30"/>
  <c r="CA8" i="30"/>
  <c r="CB8" i="30"/>
  <c r="BD4" i="30"/>
  <c r="BU4" i="30"/>
  <c r="BU40" i="30"/>
  <c r="CA4" i="30"/>
  <c r="CB4" i="30"/>
  <c r="BD11" i="30"/>
  <c r="BU11" i="30"/>
  <c r="CA11" i="30"/>
  <c r="CA39" i="30"/>
  <c r="CB11" i="30"/>
  <c r="BC11" i="30"/>
  <c r="BD2" i="30"/>
  <c r="BU2" i="30"/>
  <c r="CA2" i="30"/>
  <c r="CB2" i="30"/>
  <c r="CB38" i="30"/>
  <c r="BD22" i="30"/>
  <c r="BU22" i="30"/>
  <c r="BU37" i="30"/>
  <c r="CA22" i="30"/>
  <c r="CB22" i="30"/>
  <c r="BD26" i="30"/>
  <c r="BU26" i="30"/>
  <c r="CA26" i="30"/>
  <c r="CB26" i="30"/>
  <c r="BD30" i="30"/>
  <c r="BU30" i="30"/>
  <c r="CA30" i="30"/>
  <c r="CA35" i="30"/>
  <c r="CB30" i="30"/>
  <c r="BD14" i="30"/>
  <c r="BU14" i="30"/>
  <c r="CA14" i="30"/>
  <c r="CB14" i="30"/>
  <c r="BD13" i="30"/>
  <c r="BU13" i="30"/>
  <c r="CA13" i="30"/>
  <c r="CA33" i="30"/>
  <c r="CB13" i="30"/>
  <c r="BD3" i="30"/>
  <c r="BU3" i="30"/>
  <c r="CA3" i="30"/>
  <c r="CA32" i="30"/>
  <c r="CB3" i="30"/>
  <c r="CL34" i="18"/>
  <c r="DR14" i="18"/>
  <c r="DR34" i="18"/>
  <c r="CY62" i="18"/>
  <c r="EE62" i="18"/>
  <c r="BD27" i="31"/>
  <c r="BU27" i="31"/>
  <c r="CA27" i="31"/>
  <c r="CA62" i="31"/>
  <c r="CB27" i="31"/>
  <c r="CB62" i="31"/>
  <c r="BD18" i="31"/>
  <c r="BU18" i="31"/>
  <c r="CA18" i="31"/>
  <c r="CB18" i="31"/>
  <c r="CB75" i="31"/>
  <c r="BD12" i="31"/>
  <c r="BU12" i="31"/>
  <c r="CA12" i="31"/>
  <c r="CB12" i="31"/>
  <c r="BD7" i="31"/>
  <c r="BU7" i="31"/>
  <c r="CA7" i="31"/>
  <c r="CA59" i="31"/>
  <c r="CB7" i="31"/>
  <c r="CB73" i="31"/>
  <c r="BD16" i="31"/>
  <c r="BU16" i="31"/>
  <c r="CA16" i="31"/>
  <c r="CB16" i="31"/>
  <c r="BD29" i="31"/>
  <c r="BU29" i="31"/>
  <c r="CA29" i="31"/>
  <c r="CA71" i="31"/>
  <c r="CB29" i="31"/>
  <c r="CB71" i="31"/>
  <c r="BD20" i="31"/>
  <c r="BU20" i="31"/>
  <c r="CA20" i="31"/>
  <c r="CA56" i="31"/>
  <c r="CB20" i="31"/>
  <c r="CB56" i="31"/>
  <c r="BD24" i="31"/>
  <c r="BU24" i="31"/>
  <c r="CA24" i="31"/>
  <c r="CA55" i="31"/>
  <c r="CB24" i="31"/>
  <c r="BD9" i="31"/>
  <c r="BD54" i="31"/>
  <c r="BU9" i="31"/>
  <c r="CA9" i="31"/>
  <c r="CB9" i="31"/>
  <c r="BD5" i="31"/>
  <c r="BD67" i="31"/>
  <c r="BU5" i="31"/>
  <c r="CA5" i="31"/>
  <c r="CB5" i="31"/>
  <c r="BD17" i="31"/>
  <c r="BU17" i="31"/>
  <c r="CA17" i="31"/>
  <c r="CA52" i="31"/>
  <c r="CB17" i="31"/>
  <c r="CB66" i="31"/>
  <c r="BD21" i="31"/>
  <c r="BU21" i="31"/>
  <c r="CA21" i="31"/>
  <c r="CB21" i="31"/>
  <c r="CB65" i="31"/>
  <c r="BD25" i="31"/>
  <c r="BU25" i="31"/>
  <c r="CA25" i="31"/>
  <c r="BC25" i="31"/>
  <c r="CB25" i="31"/>
  <c r="CB50" i="31"/>
  <c r="BD23" i="31"/>
  <c r="BU23" i="31"/>
  <c r="CA23" i="31"/>
  <c r="CB23" i="31"/>
  <c r="CB49" i="31"/>
  <c r="BD6" i="31"/>
  <c r="BU6" i="31"/>
  <c r="BU47" i="31"/>
  <c r="CA6" i="31"/>
  <c r="CA47" i="31"/>
  <c r="CB6" i="31"/>
  <c r="CB47" i="31"/>
  <c r="BD10" i="31"/>
  <c r="BU10" i="31"/>
  <c r="CA10" i="31"/>
  <c r="CB10" i="31"/>
  <c r="CB46" i="31"/>
  <c r="CS44" i="18"/>
  <c r="DY44" i="18"/>
  <c r="BD15" i="31"/>
  <c r="BD44" i="31"/>
  <c r="BU15" i="31"/>
  <c r="BU44" i="31"/>
  <c r="CA15" i="31"/>
  <c r="CA44" i="31"/>
  <c r="CB15" i="31"/>
  <c r="BD28" i="31"/>
  <c r="BU28" i="31"/>
  <c r="CA28" i="31"/>
  <c r="CA43" i="31"/>
  <c r="CB28" i="31"/>
  <c r="CB43" i="31"/>
  <c r="BD19" i="31"/>
  <c r="BU19" i="31"/>
  <c r="BU42" i="31"/>
  <c r="CA19" i="31"/>
  <c r="CA42" i="31"/>
  <c r="CB19" i="31"/>
  <c r="BD8" i="31"/>
  <c r="BU8" i="31"/>
  <c r="CA8" i="31"/>
  <c r="CA41" i="31"/>
  <c r="CB8" i="31"/>
  <c r="BD4" i="31"/>
  <c r="BU4" i="31"/>
  <c r="BU40" i="31"/>
  <c r="CA4" i="31"/>
  <c r="CB4" i="31"/>
  <c r="CN40" i="18"/>
  <c r="DT4" i="18"/>
  <c r="DT40" i="18"/>
  <c r="BD11" i="31"/>
  <c r="BU11" i="31"/>
  <c r="BU39" i="31"/>
  <c r="CA11" i="31"/>
  <c r="CB11" i="31"/>
  <c r="CB39" i="31"/>
  <c r="BC11" i="31"/>
  <c r="BD2" i="31"/>
  <c r="BU2" i="31"/>
  <c r="CA2" i="31"/>
  <c r="CB2" i="31"/>
  <c r="CB38" i="31"/>
  <c r="BD22" i="31"/>
  <c r="BU22" i="31"/>
  <c r="BU37" i="31"/>
  <c r="CA22" i="31"/>
  <c r="CB22" i="31"/>
  <c r="CB37" i="31"/>
  <c r="BD26" i="31"/>
  <c r="BU26" i="31"/>
  <c r="CA26" i="31"/>
  <c r="CB26" i="31"/>
  <c r="BD30" i="31"/>
  <c r="BU30" i="31"/>
  <c r="CA30" i="31"/>
  <c r="CA35" i="31"/>
  <c r="CB30" i="31"/>
  <c r="CB35" i="31"/>
  <c r="BD14" i="31"/>
  <c r="BU14" i="31"/>
  <c r="CA14" i="31"/>
  <c r="CB14" i="31"/>
  <c r="BD13" i="31"/>
  <c r="BU13" i="31"/>
  <c r="CA13" i="31"/>
  <c r="CB13" i="31"/>
  <c r="CB33" i="31"/>
  <c r="BD3" i="31"/>
  <c r="BU3" i="31"/>
  <c r="CA3" i="31"/>
  <c r="CA32" i="31"/>
  <c r="CB3" i="31"/>
  <c r="EH39" i="18"/>
  <c r="EH38" i="18"/>
  <c r="EL2" i="18"/>
  <c r="EL38" i="18"/>
  <c r="AA76" i="15"/>
  <c r="Z76" i="15"/>
  <c r="S76" i="15"/>
  <c r="R76" i="15"/>
  <c r="Q76" i="15"/>
  <c r="P76" i="15"/>
  <c r="AA75" i="15"/>
  <c r="Z75" i="15"/>
  <c r="S75" i="15"/>
  <c r="R75" i="15"/>
  <c r="Q75" i="15"/>
  <c r="P75" i="15"/>
  <c r="AA74" i="15"/>
  <c r="Z74" i="15"/>
  <c r="S74" i="15"/>
  <c r="R74" i="15"/>
  <c r="Q74" i="15"/>
  <c r="P74" i="15"/>
  <c r="AA73" i="15"/>
  <c r="Z73" i="15"/>
  <c r="S73" i="15"/>
  <c r="R73" i="15"/>
  <c r="Q73" i="15"/>
  <c r="P73" i="15"/>
  <c r="AA72" i="15"/>
  <c r="Z72" i="15"/>
  <c r="S72" i="15"/>
  <c r="R72" i="15"/>
  <c r="Q72" i="15"/>
  <c r="P72" i="15"/>
  <c r="AA71" i="15"/>
  <c r="Z71" i="15"/>
  <c r="S71" i="15"/>
  <c r="R71" i="15"/>
  <c r="Q71" i="15"/>
  <c r="P71" i="15"/>
  <c r="AA70" i="15"/>
  <c r="Z70" i="15"/>
  <c r="S70" i="15"/>
  <c r="R70" i="15"/>
  <c r="Q70" i="15"/>
  <c r="Q64" i="15"/>
  <c r="Q65" i="15"/>
  <c r="Q66" i="15"/>
  <c r="Q67" i="15"/>
  <c r="Q68" i="15"/>
  <c r="Q69" i="15"/>
  <c r="Q63" i="15"/>
  <c r="P70" i="15"/>
  <c r="AA69" i="15"/>
  <c r="Z69" i="15"/>
  <c r="S69" i="15"/>
  <c r="R69" i="15"/>
  <c r="P69" i="15"/>
  <c r="AA68" i="15"/>
  <c r="Z68" i="15"/>
  <c r="S68" i="15"/>
  <c r="R68" i="15"/>
  <c r="P68" i="15"/>
  <c r="AA67" i="15"/>
  <c r="Z67" i="15"/>
  <c r="S67" i="15"/>
  <c r="R67" i="15"/>
  <c r="P67" i="15"/>
  <c r="AA66" i="15"/>
  <c r="Z66" i="15"/>
  <c r="S66" i="15"/>
  <c r="S64" i="15"/>
  <c r="S65" i="15"/>
  <c r="S63" i="15"/>
  <c r="R66" i="15"/>
  <c r="P66" i="15"/>
  <c r="AA65" i="15"/>
  <c r="Z65" i="15"/>
  <c r="R65" i="15"/>
  <c r="P65" i="15"/>
  <c r="AA64" i="15"/>
  <c r="Z64" i="15"/>
  <c r="R64" i="15"/>
  <c r="R63" i="15"/>
  <c r="P64" i="15"/>
  <c r="AA63" i="15"/>
  <c r="AA62" i="15"/>
  <c r="Z62" i="15"/>
  <c r="S62" i="15"/>
  <c r="R62" i="15"/>
  <c r="Q62" i="15"/>
  <c r="P62" i="15"/>
  <c r="AA61" i="15"/>
  <c r="Z61" i="15"/>
  <c r="S61" i="15"/>
  <c r="R61" i="15"/>
  <c r="Q61" i="15"/>
  <c r="P61" i="15"/>
  <c r="AA60" i="15"/>
  <c r="Z60" i="15"/>
  <c r="S60" i="15"/>
  <c r="R60" i="15"/>
  <c r="Q60" i="15"/>
  <c r="P60" i="15"/>
  <c r="AA59" i="15"/>
  <c r="Z59" i="15"/>
  <c r="S59" i="15"/>
  <c r="R59" i="15"/>
  <c r="Q59" i="15"/>
  <c r="P59" i="15"/>
  <c r="AA58" i="15"/>
  <c r="Z58" i="15"/>
  <c r="S58" i="15"/>
  <c r="R58" i="15"/>
  <c r="Q58" i="15"/>
  <c r="P58" i="15"/>
  <c r="AA57" i="15"/>
  <c r="Z57" i="15"/>
  <c r="S57" i="15"/>
  <c r="R57" i="15"/>
  <c r="Q57" i="15"/>
  <c r="P57" i="15"/>
  <c r="AA56" i="15"/>
  <c r="Z56" i="15"/>
  <c r="S56" i="15"/>
  <c r="R56" i="15"/>
  <c r="Q56" i="15"/>
  <c r="P56" i="15"/>
  <c r="AA55" i="15"/>
  <c r="Z55" i="15"/>
  <c r="S55" i="15"/>
  <c r="R55" i="15"/>
  <c r="Q55" i="15"/>
  <c r="P55" i="15"/>
  <c r="AA54" i="15"/>
  <c r="Z54" i="15"/>
  <c r="S54" i="15"/>
  <c r="R54" i="15"/>
  <c r="Q54" i="15"/>
  <c r="P54" i="15"/>
  <c r="AA53" i="15"/>
  <c r="Z53" i="15"/>
  <c r="S53" i="15"/>
  <c r="R53" i="15"/>
  <c r="Q53" i="15"/>
  <c r="P53" i="15"/>
  <c r="AA52" i="15"/>
  <c r="Z52" i="15"/>
  <c r="S52" i="15"/>
  <c r="R52" i="15"/>
  <c r="Q52" i="15"/>
  <c r="P52" i="15"/>
  <c r="P49" i="15"/>
  <c r="P50" i="15"/>
  <c r="P51" i="15"/>
  <c r="P48" i="15"/>
  <c r="AA51" i="15"/>
  <c r="Z51" i="15"/>
  <c r="S51" i="15"/>
  <c r="R51" i="15"/>
  <c r="Q51" i="15"/>
  <c r="AA50" i="15"/>
  <c r="AA49" i="15"/>
  <c r="AA48" i="15"/>
  <c r="Z50" i="15"/>
  <c r="Z49" i="15"/>
  <c r="Z48" i="15"/>
  <c r="S50" i="15"/>
  <c r="S49" i="15"/>
  <c r="S48" i="15"/>
  <c r="R50" i="15"/>
  <c r="Q50" i="15"/>
  <c r="R49" i="15"/>
  <c r="R48" i="15"/>
  <c r="Q49" i="15"/>
  <c r="Q48" i="15"/>
  <c r="AA47" i="15"/>
  <c r="AA46" i="15"/>
  <c r="AA45" i="15"/>
  <c r="S47" i="15"/>
  <c r="R47" i="15"/>
  <c r="Q47" i="15"/>
  <c r="Q46" i="15"/>
  <c r="Q45" i="15"/>
  <c r="P47" i="15"/>
  <c r="P46" i="15"/>
  <c r="P45" i="15"/>
  <c r="Z46" i="15"/>
  <c r="Z45" i="15"/>
  <c r="S46" i="15"/>
  <c r="R46" i="15"/>
  <c r="R45" i="15"/>
  <c r="S45" i="15"/>
  <c r="AA44" i="15"/>
  <c r="Z44" i="15"/>
  <c r="S44" i="15"/>
  <c r="R44" i="15"/>
  <c r="Q44" i="15"/>
  <c r="P44" i="15"/>
  <c r="AA43" i="15"/>
  <c r="Z43" i="15"/>
  <c r="S43" i="15"/>
  <c r="R43" i="15"/>
  <c r="Q43" i="15"/>
  <c r="P43" i="15"/>
  <c r="AA42" i="15"/>
  <c r="Z42" i="15"/>
  <c r="S42" i="15"/>
  <c r="R42" i="15"/>
  <c r="Q42" i="15"/>
  <c r="P42" i="15"/>
  <c r="AA41" i="15"/>
  <c r="Z41" i="15"/>
  <c r="S41" i="15"/>
  <c r="R41" i="15"/>
  <c r="Q41" i="15"/>
  <c r="P41" i="15"/>
  <c r="AA40" i="15"/>
  <c r="Z40" i="15"/>
  <c r="S40" i="15"/>
  <c r="R40" i="15"/>
  <c r="Q40" i="15"/>
  <c r="P40" i="15"/>
  <c r="AA39" i="15"/>
  <c r="Z39" i="15"/>
  <c r="S39" i="15"/>
  <c r="R39" i="15"/>
  <c r="Q39" i="15"/>
  <c r="P39" i="15"/>
  <c r="AA38" i="15"/>
  <c r="Z38" i="15"/>
  <c r="S38" i="15"/>
  <c r="R38" i="15"/>
  <c r="Q38" i="15"/>
  <c r="P38" i="15"/>
  <c r="AA37" i="15"/>
  <c r="S37" i="15"/>
  <c r="R37" i="15"/>
  <c r="Q37" i="15"/>
  <c r="P37" i="15"/>
  <c r="AA36" i="15"/>
  <c r="Z36" i="15"/>
  <c r="S36" i="15"/>
  <c r="R36" i="15"/>
  <c r="Q36" i="15"/>
  <c r="P36" i="15"/>
  <c r="AA35" i="15"/>
  <c r="Z35" i="15"/>
  <c r="S35" i="15"/>
  <c r="R35" i="15"/>
  <c r="Q35" i="15"/>
  <c r="P35" i="15"/>
  <c r="AA34" i="15"/>
  <c r="S34" i="15"/>
  <c r="R34" i="15"/>
  <c r="Q34" i="15"/>
  <c r="P34" i="15"/>
  <c r="AA33" i="15"/>
  <c r="Z33" i="15"/>
  <c r="S33" i="15"/>
  <c r="R33" i="15"/>
  <c r="Q33" i="15"/>
  <c r="P33" i="15"/>
  <c r="AA32" i="15"/>
  <c r="Z32" i="15"/>
  <c r="S32" i="15"/>
  <c r="S31" i="15"/>
  <c r="R32" i="15"/>
  <c r="R31" i="15"/>
  <c r="Q32" i="15"/>
  <c r="P32" i="15"/>
  <c r="P31" i="15"/>
  <c r="AA31" i="15"/>
  <c r="Q31" i="15"/>
  <c r="BT27" i="17"/>
  <c r="BT76" i="17"/>
  <c r="BS76" i="17"/>
  <c r="BR76" i="17"/>
  <c r="BE27" i="17"/>
  <c r="BF27" i="17"/>
  <c r="BG27" i="17"/>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AC27" i="28"/>
  <c r="AW27" i="17"/>
  <c r="BH27" i="17"/>
  <c r="AY27" i="17"/>
  <c r="BJ27" i="17"/>
  <c r="AZ27" i="17"/>
  <c r="BK27" i="17"/>
  <c r="BA27" i="17"/>
  <c r="BL27" i="17"/>
  <c r="BD27" i="17"/>
  <c r="BO27" i="17"/>
  <c r="BT18" i="17"/>
  <c r="BT75" i="17"/>
  <c r="BS75" i="17"/>
  <c r="BR75" i="17"/>
  <c r="BE18" i="17"/>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AC18" i="28"/>
  <c r="AW18" i="17"/>
  <c r="AX18" i="17"/>
  <c r="BI18" i="17"/>
  <c r="BA18" i="17"/>
  <c r="BL18" i="17"/>
  <c r="BB18" i="17"/>
  <c r="BM18" i="17"/>
  <c r="BC18" i="17"/>
  <c r="BN18" i="17"/>
  <c r="BE12" i="17"/>
  <c r="BG12" i="17"/>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AC12" i="28"/>
  <c r="AW12" i="17"/>
  <c r="AX12" i="17"/>
  <c r="AY12" i="17"/>
  <c r="BJ12" i="17"/>
  <c r="BB12" i="17"/>
  <c r="BM12" i="17"/>
  <c r="BC12" i="17"/>
  <c r="BN12" i="17"/>
  <c r="BD12" i="17"/>
  <c r="BO12" i="17"/>
  <c r="BS73" i="17"/>
  <c r="BG7" i="17"/>
  <c r="AD7" i="28"/>
  <c r="AE7" i="28"/>
  <c r="AF7" i="28"/>
  <c r="AG7" i="28"/>
  <c r="AH7" i="28"/>
  <c r="AI7" i="28"/>
  <c r="AJ7" i="28"/>
  <c r="AK7" i="28"/>
  <c r="AL7" i="28"/>
  <c r="AM7" i="28"/>
  <c r="AN7" i="28"/>
  <c r="AO7" i="28"/>
  <c r="AP7" i="28"/>
  <c r="AQ7" i="28"/>
  <c r="AR7" i="28"/>
  <c r="AS7" i="28"/>
  <c r="AT7" i="28"/>
  <c r="AU7" i="28"/>
  <c r="AV7" i="28"/>
  <c r="AW7" i="28"/>
  <c r="AX7" i="28"/>
  <c r="AY7" i="28"/>
  <c r="AZ7" i="28"/>
  <c r="AC7" i="28"/>
  <c r="AW7" i="17"/>
  <c r="BH7" i="17"/>
  <c r="AZ7" i="17"/>
  <c r="BA7" i="17"/>
  <c r="BL7" i="17"/>
  <c r="BM7" i="17"/>
  <c r="BD7" i="17"/>
  <c r="BO7" i="17"/>
  <c r="BS72" i="17"/>
  <c r="BF16" i="17"/>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AC16" i="28"/>
  <c r="AW16" i="17"/>
  <c r="BH16" i="17"/>
  <c r="AX16" i="17"/>
  <c r="BI16" i="17"/>
  <c r="BA16" i="17"/>
  <c r="BL16" i="17"/>
  <c r="BB16" i="17"/>
  <c r="BM16" i="17"/>
  <c r="BC16" i="17"/>
  <c r="BN16" i="17"/>
  <c r="BE29" i="17"/>
  <c r="BG29" i="17"/>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AC29" i="28"/>
  <c r="AW29" i="17"/>
  <c r="AZ29" i="17"/>
  <c r="BK29" i="17"/>
  <c r="BA29" i="17"/>
  <c r="BA71" i="17"/>
  <c r="BL71" i="17"/>
  <c r="BD29" i="17"/>
  <c r="BO29" i="17"/>
  <c r="BR70" i="17"/>
  <c r="BF20" i="17"/>
  <c r="BG20" i="17"/>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AC20" i="28"/>
  <c r="AW20" i="17"/>
  <c r="BH20" i="17"/>
  <c r="AX20" i="17"/>
  <c r="AX70" i="17"/>
  <c r="BI70" i="17"/>
  <c r="BB20" i="17"/>
  <c r="BM20" i="17"/>
  <c r="BC20" i="17"/>
  <c r="BN20" i="17"/>
  <c r="BF24" i="17"/>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AC24" i="28"/>
  <c r="AW24" i="17"/>
  <c r="AX24" i="17"/>
  <c r="BI24" i="17"/>
  <c r="AY24" i="17"/>
  <c r="BJ24" i="17"/>
  <c r="BB24" i="17"/>
  <c r="BC24" i="17"/>
  <c r="BD24" i="17"/>
  <c r="BO24" i="17"/>
  <c r="BT9" i="17"/>
  <c r="BR68" i="17"/>
  <c r="BF9" i="17"/>
  <c r="AD9" i="28"/>
  <c r="AE9" i="28"/>
  <c r="AF9" i="28"/>
  <c r="AG9" i="28"/>
  <c r="AH9" i="28"/>
  <c r="AI9" i="28"/>
  <c r="AJ9" i="28"/>
  <c r="AK9" i="28"/>
  <c r="AL9" i="28"/>
  <c r="AM9" i="28"/>
  <c r="AN9" i="28"/>
  <c r="AO9" i="28"/>
  <c r="AP9" i="28"/>
  <c r="AQ9" i="28"/>
  <c r="AR9" i="28"/>
  <c r="AS9" i="28"/>
  <c r="AT9" i="28"/>
  <c r="AU9" i="28"/>
  <c r="AV9" i="28"/>
  <c r="AW9" i="28"/>
  <c r="AX9" i="28"/>
  <c r="AY9" i="28"/>
  <c r="AZ9" i="28"/>
  <c r="AC9" i="28"/>
  <c r="AW9" i="17"/>
  <c r="BH9" i="17"/>
  <c r="BB9" i="17"/>
  <c r="BM9" i="17"/>
  <c r="BC9" i="17"/>
  <c r="BN9" i="17"/>
  <c r="BR67" i="17"/>
  <c r="BE5" i="17"/>
  <c r="AD5" i="28"/>
  <c r="AE5" i="28"/>
  <c r="AF5" i="28"/>
  <c r="AG5" i="28"/>
  <c r="AH5" i="28"/>
  <c r="AI5" i="28"/>
  <c r="AJ5" i="28"/>
  <c r="AK5" i="28"/>
  <c r="AL5" i="28"/>
  <c r="AM5" i="28"/>
  <c r="AN5" i="28"/>
  <c r="AO5" i="28"/>
  <c r="AP5" i="28"/>
  <c r="AQ5" i="28"/>
  <c r="AR5" i="28"/>
  <c r="AS5" i="28"/>
  <c r="AT5" i="28"/>
  <c r="AU5" i="28"/>
  <c r="AV5" i="28"/>
  <c r="AW5" i="28"/>
  <c r="AX5" i="28"/>
  <c r="AY5" i="28"/>
  <c r="AZ5" i="28"/>
  <c r="AC5" i="28"/>
  <c r="AW5" i="17"/>
  <c r="BH5" i="17"/>
  <c r="AX5" i="17"/>
  <c r="BI5" i="17"/>
  <c r="AY5" i="17"/>
  <c r="BJ5" i="17"/>
  <c r="BB5" i="17"/>
  <c r="BM5" i="17"/>
  <c r="BC5" i="17"/>
  <c r="BN5" i="17"/>
  <c r="BE17" i="17"/>
  <c r="BF17" i="17"/>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AC17" i="28"/>
  <c r="AW17" i="17"/>
  <c r="BH17" i="17"/>
  <c r="AX17" i="17"/>
  <c r="BI17" i="17"/>
  <c r="AY17" i="17"/>
  <c r="BJ17" i="17"/>
  <c r="BA17" i="17"/>
  <c r="BF21" i="17"/>
  <c r="BG21" i="17"/>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AC21" i="28"/>
  <c r="AW21" i="17"/>
  <c r="BH21" i="17"/>
  <c r="AX21" i="17"/>
  <c r="BA21" i="17"/>
  <c r="BL21" i="17"/>
  <c r="BB21" i="17"/>
  <c r="BM21" i="17"/>
  <c r="BC21" i="17"/>
  <c r="BN21" i="17"/>
  <c r="BF25" i="17"/>
  <c r="BG25" i="17"/>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AC25" i="28"/>
  <c r="AW25" i="17"/>
  <c r="BH25" i="17"/>
  <c r="AX25" i="17"/>
  <c r="AY25" i="17"/>
  <c r="AY50" i="17"/>
  <c r="BJ50" i="17"/>
  <c r="AZ25" i="17"/>
  <c r="BB25" i="17"/>
  <c r="BM25" i="17"/>
  <c r="BC25" i="17"/>
  <c r="BC50" i="17"/>
  <c r="BT62" i="17"/>
  <c r="BS62" i="17"/>
  <c r="BR62" i="17"/>
  <c r="BT61" i="17"/>
  <c r="BS61" i="17"/>
  <c r="BR61" i="17"/>
  <c r="BS60" i="17"/>
  <c r="BT59" i="17"/>
  <c r="BS59" i="17"/>
  <c r="BR56" i="17"/>
  <c r="BR54" i="17"/>
  <c r="BR53" i="17"/>
  <c r="BR51" i="17"/>
  <c r="BS49" i="17"/>
  <c r="BR49" i="17"/>
  <c r="BE23" i="17"/>
  <c r="BF23" i="17"/>
  <c r="BG23" i="17"/>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AC23" i="28"/>
  <c r="AW23" i="17"/>
  <c r="BH23" i="17"/>
  <c r="AY23" i="17"/>
  <c r="AZ23" i="17"/>
  <c r="BB23" i="17"/>
  <c r="BM23" i="17"/>
  <c r="BC23" i="17"/>
  <c r="BN23" i="17"/>
  <c r="BD23" i="17"/>
  <c r="BO23" i="17"/>
  <c r="BT6" i="17"/>
  <c r="BT47" i="17"/>
  <c r="BS47" i="17"/>
  <c r="BR47" i="17"/>
  <c r="BF6" i="17"/>
  <c r="BG6" i="17"/>
  <c r="AD6" i="28"/>
  <c r="AE6" i="28"/>
  <c r="AF6" i="28"/>
  <c r="AG6" i="28"/>
  <c r="AH6" i="28"/>
  <c r="AI6" i="28"/>
  <c r="AJ6" i="28"/>
  <c r="AK6" i="28"/>
  <c r="AL6" i="28"/>
  <c r="AM6" i="28"/>
  <c r="AN6" i="28"/>
  <c r="AO6" i="28"/>
  <c r="AP6" i="28"/>
  <c r="AQ6" i="28"/>
  <c r="AR6" i="28"/>
  <c r="AS6" i="28"/>
  <c r="AT6" i="28"/>
  <c r="AU6" i="28"/>
  <c r="AV6" i="28"/>
  <c r="AW6" i="28"/>
  <c r="AX6" i="28"/>
  <c r="AY6" i="28"/>
  <c r="AZ6" i="28"/>
  <c r="AC6" i="28"/>
  <c r="AW6" i="17"/>
  <c r="BH6" i="17"/>
  <c r="AX6" i="17"/>
  <c r="AX47" i="17"/>
  <c r="AY6" i="17"/>
  <c r="BJ6" i="17"/>
  <c r="BA6" i="17"/>
  <c r="BL6" i="17"/>
  <c r="BB6" i="17"/>
  <c r="BM6" i="17"/>
  <c r="BC6" i="17"/>
  <c r="BT10" i="17"/>
  <c r="BT46" i="17"/>
  <c r="BS46" i="17"/>
  <c r="BS45" i="17"/>
  <c r="BR46" i="17"/>
  <c r="BE10" i="17"/>
  <c r="BF10" i="17"/>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AC10" i="28"/>
  <c r="AW10" i="17"/>
  <c r="BH10" i="17"/>
  <c r="AX10" i="17"/>
  <c r="AY10" i="17"/>
  <c r="BJ10" i="17"/>
  <c r="BB10" i="17"/>
  <c r="BM10" i="17"/>
  <c r="BC10" i="17"/>
  <c r="BN10" i="17"/>
  <c r="BD10" i="17"/>
  <c r="BO10" i="17"/>
  <c r="BT15" i="17"/>
  <c r="BT44" i="17"/>
  <c r="BS44" i="17"/>
  <c r="BR44" i="17"/>
  <c r="BE15" i="17"/>
  <c r="BF15" i="17"/>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AC15" i="28"/>
  <c r="AW15" i="17"/>
  <c r="AZ15" i="17"/>
  <c r="BK15" i="17"/>
  <c r="BA15" i="17"/>
  <c r="BL15" i="17"/>
  <c r="BB15" i="17"/>
  <c r="BM15" i="17"/>
  <c r="BC15" i="17"/>
  <c r="BC44" i="17"/>
  <c r="BR43" i="17"/>
  <c r="BG28" i="17"/>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AC28" i="28"/>
  <c r="AW28" i="17"/>
  <c r="AX28" i="17"/>
  <c r="AZ28" i="17"/>
  <c r="BK28" i="17"/>
  <c r="BA28" i="17"/>
  <c r="BL28" i="17"/>
  <c r="BD28" i="17"/>
  <c r="BO28" i="17"/>
  <c r="BS42" i="17"/>
  <c r="BR42" i="17"/>
  <c r="BE19" i="17"/>
  <c r="BF19" i="17"/>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AC19" i="28"/>
  <c r="AW19" i="17"/>
  <c r="BH19" i="17"/>
  <c r="AY19" i="17"/>
  <c r="BJ19" i="17"/>
  <c r="AZ19" i="17"/>
  <c r="AZ42" i="17"/>
  <c r="BB19" i="17"/>
  <c r="BM19" i="17"/>
  <c r="BC19" i="17"/>
  <c r="BN19" i="17"/>
  <c r="BS41" i="17"/>
  <c r="BR41" i="17"/>
  <c r="BF8" i="17"/>
  <c r="AD8" i="28"/>
  <c r="AE8" i="28"/>
  <c r="AF8" i="28"/>
  <c r="AG8" i="28"/>
  <c r="AH8" i="28"/>
  <c r="AI8" i="28"/>
  <c r="AJ8" i="28"/>
  <c r="AK8" i="28"/>
  <c r="AL8" i="28"/>
  <c r="AM8" i="28"/>
  <c r="AN8" i="28"/>
  <c r="AO8" i="28"/>
  <c r="AP8" i="28"/>
  <c r="AQ8" i="28"/>
  <c r="AR8" i="28"/>
  <c r="AS8" i="28"/>
  <c r="AT8" i="28"/>
  <c r="AU8" i="28"/>
  <c r="AV8" i="28"/>
  <c r="AW8" i="28"/>
  <c r="AX8" i="28"/>
  <c r="AY8" i="28"/>
  <c r="AZ8" i="28"/>
  <c r="AC8" i="28"/>
  <c r="AW8" i="17"/>
  <c r="BH8" i="17"/>
  <c r="AX8" i="17"/>
  <c r="AY8" i="17"/>
  <c r="BJ8" i="17"/>
  <c r="BA8" i="17"/>
  <c r="BL8" i="17"/>
  <c r="BB8" i="17"/>
  <c r="BM8" i="17"/>
  <c r="BT4" i="17"/>
  <c r="BT40" i="17"/>
  <c r="BR40" i="17"/>
  <c r="BE4" i="17"/>
  <c r="BF4" i="17"/>
  <c r="AD4" i="28"/>
  <c r="AE4" i="28"/>
  <c r="AF4" i="28"/>
  <c r="AG4" i="28"/>
  <c r="AH4" i="28"/>
  <c r="AI4" i="28"/>
  <c r="AJ4" i="28"/>
  <c r="AK4" i="28"/>
  <c r="AL4" i="28"/>
  <c r="AM4" i="28"/>
  <c r="AN4" i="28"/>
  <c r="AO4" i="28"/>
  <c r="AP4" i="28"/>
  <c r="AQ4" i="28"/>
  <c r="AR4" i="28"/>
  <c r="AS4" i="28"/>
  <c r="AT4" i="28"/>
  <c r="AU4" i="28"/>
  <c r="AV4" i="28"/>
  <c r="AW4" i="28"/>
  <c r="AX4" i="28"/>
  <c r="AY4" i="28"/>
  <c r="AZ4" i="28"/>
  <c r="AC4" i="28"/>
  <c r="AW4" i="17"/>
  <c r="BH4" i="17"/>
  <c r="AX4" i="17"/>
  <c r="BI4" i="17"/>
  <c r="AY4" i="17"/>
  <c r="BJ4" i="17"/>
  <c r="BB4" i="17"/>
  <c r="BM4" i="17"/>
  <c r="BT11" i="17"/>
  <c r="BT39" i="17"/>
  <c r="BS39" i="17"/>
  <c r="BE11" i="17"/>
  <c r="BF11" i="17"/>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AC11" i="28"/>
  <c r="AW11" i="17"/>
  <c r="BH11" i="17"/>
  <c r="AX11" i="17"/>
  <c r="BI11" i="17"/>
  <c r="AY11" i="17"/>
  <c r="BJ11" i="17"/>
  <c r="BB11" i="17"/>
  <c r="BM11" i="17"/>
  <c r="BC11" i="17"/>
  <c r="BN11" i="17"/>
  <c r="BD11" i="17"/>
  <c r="BT2" i="17"/>
  <c r="BT38" i="17"/>
  <c r="BS38" i="17"/>
  <c r="BE2" i="17"/>
  <c r="BF2" i="17"/>
  <c r="BG2" i="17"/>
  <c r="AD2" i="28"/>
  <c r="AE2" i="28"/>
  <c r="AF2" i="28"/>
  <c r="AG2" i="28"/>
  <c r="AH2" i="28"/>
  <c r="AI2" i="28"/>
  <c r="AJ2" i="28"/>
  <c r="AK2" i="28"/>
  <c r="AL2" i="28"/>
  <c r="AM2" i="28"/>
  <c r="AN2" i="28"/>
  <c r="AO2" i="28"/>
  <c r="AP2" i="28"/>
  <c r="AQ2" i="28"/>
  <c r="AR2" i="28"/>
  <c r="AS2" i="28"/>
  <c r="AT2" i="28"/>
  <c r="AU2" i="28"/>
  <c r="AV2" i="28"/>
  <c r="AW2" i="28"/>
  <c r="AX2" i="28"/>
  <c r="AY2" i="28"/>
  <c r="AZ2" i="28"/>
  <c r="AC2" i="28"/>
  <c r="AW2" i="17"/>
  <c r="BH2" i="17"/>
  <c r="AY2" i="17"/>
  <c r="BJ2" i="17"/>
  <c r="AZ2" i="17"/>
  <c r="BK2" i="17"/>
  <c r="BC2" i="17"/>
  <c r="BN2" i="17"/>
  <c r="BD2" i="17"/>
  <c r="BO2" i="17"/>
  <c r="BT22" i="17"/>
  <c r="BT37" i="17"/>
  <c r="BS37" i="17"/>
  <c r="BE22" i="17"/>
  <c r="BF22" i="17"/>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AC22" i="28"/>
  <c r="AW22" i="17"/>
  <c r="AX22" i="17"/>
  <c r="BI22" i="17"/>
  <c r="AY22" i="17"/>
  <c r="BJ22" i="17"/>
  <c r="BB22" i="17"/>
  <c r="BM22" i="17"/>
  <c r="BD22" i="17"/>
  <c r="BD37" i="17"/>
  <c r="BS36" i="17"/>
  <c r="BE26" i="17"/>
  <c r="BG26" i="17"/>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AC26" i="28"/>
  <c r="AW26" i="17"/>
  <c r="BH26" i="17"/>
  <c r="AY26" i="17"/>
  <c r="BJ26" i="17"/>
  <c r="AZ26" i="17"/>
  <c r="BC26" i="17"/>
  <c r="BN26" i="17"/>
  <c r="BD26" i="17"/>
  <c r="BD36" i="17"/>
  <c r="BO26" i="17"/>
  <c r="BT30" i="17"/>
  <c r="BT35" i="17"/>
  <c r="BS35" i="17"/>
  <c r="BR35" i="17"/>
  <c r="BF30" i="17"/>
  <c r="BG30" i="17"/>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AC30" i="28"/>
  <c r="AW30" i="17"/>
  <c r="BH30" i="17"/>
  <c r="AX30" i="17"/>
  <c r="BI30" i="17"/>
  <c r="AY30" i="17"/>
  <c r="BJ30" i="17"/>
  <c r="AZ30" i="17"/>
  <c r="BK30" i="17"/>
  <c r="BB30" i="17"/>
  <c r="BM30" i="17"/>
  <c r="BC30" i="17"/>
  <c r="BN30" i="17"/>
  <c r="BD30" i="17"/>
  <c r="BT14" i="17"/>
  <c r="BT34" i="17"/>
  <c r="BS34" i="17"/>
  <c r="BR34" i="17"/>
  <c r="BE14" i="17"/>
  <c r="BG14" i="17"/>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AC14" i="28"/>
  <c r="AW14" i="17"/>
  <c r="BH14" i="17"/>
  <c r="AX14" i="17"/>
  <c r="BI14" i="17"/>
  <c r="BA14" i="17"/>
  <c r="BL14" i="17"/>
  <c r="BB14" i="17"/>
  <c r="BM14" i="17"/>
  <c r="BD14" i="17"/>
  <c r="BE13" i="17"/>
  <c r="BF13" i="17"/>
  <c r="BG13" i="17"/>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AC13" i="28"/>
  <c r="AW13" i="17"/>
  <c r="BH13" i="17"/>
  <c r="AX13" i="17"/>
  <c r="AX33" i="17"/>
  <c r="AY13" i="17"/>
  <c r="AZ13" i="17"/>
  <c r="BK13" i="17"/>
  <c r="BC13" i="17"/>
  <c r="BS32" i="17"/>
  <c r="BE3" i="17"/>
  <c r="BG3" i="17"/>
  <c r="AD3" i="28"/>
  <c r="AE3" i="28"/>
  <c r="AF3" i="28"/>
  <c r="AG3" i="28"/>
  <c r="AH3" i="28"/>
  <c r="AI3" i="28"/>
  <c r="AJ3" i="28"/>
  <c r="AK3" i="28"/>
  <c r="AL3" i="28"/>
  <c r="AM3" i="28"/>
  <c r="AN3" i="28"/>
  <c r="AO3" i="28"/>
  <c r="AP3" i="28"/>
  <c r="AQ3" i="28"/>
  <c r="AR3" i="28"/>
  <c r="AS3" i="28"/>
  <c r="AT3" i="28"/>
  <c r="AU3" i="28"/>
  <c r="AV3" i="28"/>
  <c r="AW3" i="28"/>
  <c r="AX3" i="28"/>
  <c r="AY3" i="28"/>
  <c r="AZ3" i="28"/>
  <c r="AC3" i="28"/>
  <c r="AW3" i="17"/>
  <c r="BH3" i="17"/>
  <c r="AZ3" i="17"/>
  <c r="BA3" i="17"/>
  <c r="BL3" i="17"/>
  <c r="BD3" i="17"/>
  <c r="BO3" i="17"/>
  <c r="BD76" i="17"/>
  <c r="BO76" i="17"/>
  <c r="BA76" i="17"/>
  <c r="AZ76" i="17"/>
  <c r="AY76" i="17"/>
  <c r="AV76" i="17"/>
  <c r="BC75" i="17"/>
  <c r="BB75" i="17"/>
  <c r="BM75" i="17"/>
  <c r="BC74" i="17"/>
  <c r="BB74" i="17"/>
  <c r="AY74" i="17"/>
  <c r="AV74" i="17"/>
  <c r="BB73" i="17"/>
  <c r="BA73" i="17"/>
  <c r="AW73" i="17"/>
  <c r="AV73" i="17"/>
  <c r="BC72" i="17"/>
  <c r="BA72" i="17"/>
  <c r="BL72" i="17"/>
  <c r="AX72" i="17"/>
  <c r="AW72" i="17"/>
  <c r="BD71" i="17"/>
  <c r="AZ71" i="17"/>
  <c r="AV71" i="17"/>
  <c r="BC70" i="17"/>
  <c r="BN70" i="17"/>
  <c r="BB70" i="17"/>
  <c r="AW70" i="17"/>
  <c r="BD69" i="17"/>
  <c r="AY69" i="17"/>
  <c r="AX69" i="17"/>
  <c r="BI69" i="17"/>
  <c r="BC68" i="17"/>
  <c r="BB68" i="17"/>
  <c r="AW68" i="17"/>
  <c r="AV68" i="17"/>
  <c r="BC67" i="17"/>
  <c r="BB67" i="17"/>
  <c r="AX67" i="17"/>
  <c r="AW67" i="17"/>
  <c r="AY66" i="17"/>
  <c r="AX66" i="17"/>
  <c r="BB65" i="17"/>
  <c r="BA65" i="17"/>
  <c r="AW65" i="17"/>
  <c r="BH65" i="17"/>
  <c r="BC64" i="17"/>
  <c r="BB64" i="17"/>
  <c r="AW64" i="17"/>
  <c r="AV64" i="17"/>
  <c r="BD62" i="17"/>
  <c r="BO62" i="17"/>
  <c r="BA62" i="17"/>
  <c r="AZ62" i="17"/>
  <c r="AY62" i="17"/>
  <c r="AV62" i="17"/>
  <c r="BC61" i="17"/>
  <c r="BB61" i="17"/>
  <c r="BM61" i="17"/>
  <c r="BC60" i="17"/>
  <c r="BB60" i="17"/>
  <c r="AY60" i="17"/>
  <c r="AV60" i="17"/>
  <c r="BB59" i="17"/>
  <c r="BA59" i="17"/>
  <c r="AW59" i="17"/>
  <c r="AV59" i="17"/>
  <c r="BC58" i="17"/>
  <c r="BA58" i="17"/>
  <c r="BL58" i="17"/>
  <c r="AX58" i="17"/>
  <c r="AW58" i="17"/>
  <c r="BD57" i="17"/>
  <c r="AZ57" i="17"/>
  <c r="AV57" i="17"/>
  <c r="BC56" i="17"/>
  <c r="BN56" i="17"/>
  <c r="BB56" i="17"/>
  <c r="AW56" i="17"/>
  <c r="BD55" i="17"/>
  <c r="AY55" i="17"/>
  <c r="AX55" i="17"/>
  <c r="BC54" i="17"/>
  <c r="BB54" i="17"/>
  <c r="AW54" i="17"/>
  <c r="BC53" i="17"/>
  <c r="BB53" i="17"/>
  <c r="AX53" i="17"/>
  <c r="AW53" i="17"/>
  <c r="AY52" i="17"/>
  <c r="BJ52" i="17"/>
  <c r="AX52" i="17"/>
  <c r="BB51" i="17"/>
  <c r="BA51" i="17"/>
  <c r="AW51" i="17"/>
  <c r="AV51" i="17"/>
  <c r="BG51" i="17"/>
  <c r="BB50" i="17"/>
  <c r="AW50" i="17"/>
  <c r="AV50" i="17"/>
  <c r="BD49" i="17"/>
  <c r="BC49" i="17"/>
  <c r="BB49" i="17"/>
  <c r="BM49" i="17"/>
  <c r="AW49" i="17"/>
  <c r="AV49" i="17"/>
  <c r="BA47" i="17"/>
  <c r="AY47" i="17"/>
  <c r="AW47" i="17"/>
  <c r="BH47" i="17"/>
  <c r="AV47" i="17"/>
  <c r="BD46" i="17"/>
  <c r="BC46" i="17"/>
  <c r="BB46" i="17"/>
  <c r="AY46" i="17"/>
  <c r="AW46" i="17"/>
  <c r="AY45" i="17"/>
  <c r="BB44" i="17"/>
  <c r="BA44" i="17"/>
  <c r="BD43" i="17"/>
  <c r="BA43" i="17"/>
  <c r="AZ43" i="17"/>
  <c r="AV43" i="17"/>
  <c r="BC42" i="17"/>
  <c r="BB42" i="17"/>
  <c r="AY42" i="17"/>
  <c r="AW42" i="17"/>
  <c r="BB41" i="17"/>
  <c r="BA41" i="17"/>
  <c r="AY41" i="17"/>
  <c r="BJ41" i="17"/>
  <c r="AW41" i="17"/>
  <c r="BB40" i="17"/>
  <c r="AY40" i="17"/>
  <c r="AX40" i="17"/>
  <c r="AW40" i="17"/>
  <c r="BC39" i="17"/>
  <c r="BN39" i="17"/>
  <c r="BB39" i="17"/>
  <c r="AY39" i="17"/>
  <c r="AX39" i="17"/>
  <c r="AW39" i="17"/>
  <c r="BD38" i="17"/>
  <c r="BC38" i="17"/>
  <c r="AZ38" i="17"/>
  <c r="AY38" i="17"/>
  <c r="BJ38" i="17"/>
  <c r="AW38" i="17"/>
  <c r="AV38" i="17"/>
  <c r="BB37" i="17"/>
  <c r="AY37" i="17"/>
  <c r="AX37" i="17"/>
  <c r="AY36" i="17"/>
  <c r="AW36" i="17"/>
  <c r="AV36" i="17"/>
  <c r="BC35" i="17"/>
  <c r="BB35" i="17"/>
  <c r="AZ35" i="17"/>
  <c r="AY35" i="17"/>
  <c r="AX35" i="17"/>
  <c r="AW35" i="17"/>
  <c r="BH35" i="17"/>
  <c r="BB34" i="17"/>
  <c r="BA34" i="17"/>
  <c r="AX34" i="17"/>
  <c r="AW34" i="17"/>
  <c r="AV34" i="17"/>
  <c r="AZ33" i="17"/>
  <c r="BK33" i="17"/>
  <c r="AW33" i="17"/>
  <c r="AV33" i="17"/>
  <c r="BD32" i="17"/>
  <c r="BA32" i="17"/>
  <c r="AW32" i="17"/>
  <c r="AV32" i="17"/>
  <c r="AT76" i="17"/>
  <c r="BE76" i="1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AC27" i="27"/>
  <c r="Y27" i="17"/>
  <c r="AJ27" i="17"/>
  <c r="AA27" i="17"/>
  <c r="AA76" i="17"/>
  <c r="AL76" i="17"/>
  <c r="AB27" i="17"/>
  <c r="AM27" i="17"/>
  <c r="AC27" i="17"/>
  <c r="AN27" i="17"/>
  <c r="AF27" i="17"/>
  <c r="AQ27" i="17"/>
  <c r="AT75" i="17"/>
  <c r="AH18" i="17"/>
  <c r="AI18" i="1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AC18" i="27"/>
  <c r="Y18" i="17"/>
  <c r="AJ18" i="17"/>
  <c r="Z18" i="17"/>
  <c r="AK18" i="17"/>
  <c r="AB18" i="17"/>
  <c r="AC18" i="17"/>
  <c r="AD18" i="17"/>
  <c r="AO18" i="17"/>
  <c r="AE18" i="17"/>
  <c r="AP18" i="17"/>
  <c r="AT74" i="17"/>
  <c r="AH12" i="17"/>
  <c r="AI12" i="1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AC12" i="27"/>
  <c r="Y12" i="17"/>
  <c r="AJ12" i="17"/>
  <c r="Z12" i="17"/>
  <c r="Z74" i="17"/>
  <c r="AK74" i="17"/>
  <c r="AA12" i="17"/>
  <c r="AL12" i="17"/>
  <c r="AD12" i="17"/>
  <c r="AO12" i="17"/>
  <c r="AE12" i="17"/>
  <c r="AP12" i="17"/>
  <c r="AT73" i="17"/>
  <c r="BE73" i="17"/>
  <c r="AG7" i="17"/>
  <c r="AH7" i="17"/>
  <c r="AD7" i="27"/>
  <c r="AE7" i="27"/>
  <c r="AF7" i="27"/>
  <c r="AG7" i="27"/>
  <c r="AH7" i="27"/>
  <c r="AI7" i="27"/>
  <c r="AJ7" i="27"/>
  <c r="AK7" i="27"/>
  <c r="AL7" i="27"/>
  <c r="AM7" i="27"/>
  <c r="AN7" i="27"/>
  <c r="AO7" i="27"/>
  <c r="AP7" i="27"/>
  <c r="AQ7" i="27"/>
  <c r="AR7" i="27"/>
  <c r="AS7" i="27"/>
  <c r="AT7" i="27"/>
  <c r="AU7" i="27"/>
  <c r="AV7" i="27"/>
  <c r="AW7" i="27"/>
  <c r="AX7" i="27"/>
  <c r="AY7" i="27"/>
  <c r="AZ7" i="27"/>
  <c r="AC7" i="27"/>
  <c r="Y7" i="17"/>
  <c r="AJ7" i="17"/>
  <c r="AB7" i="17"/>
  <c r="AM7" i="17"/>
  <c r="AC7" i="17"/>
  <c r="AN7" i="17"/>
  <c r="AD7" i="17"/>
  <c r="AO7" i="17"/>
  <c r="AE7" i="17"/>
  <c r="AF7" i="17"/>
  <c r="AQ7" i="17"/>
  <c r="AG16" i="17"/>
  <c r="AH16" i="17"/>
  <c r="AI16" i="1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AC16" i="27"/>
  <c r="Y16" i="17"/>
  <c r="AJ16" i="17"/>
  <c r="Z16" i="17"/>
  <c r="AK16" i="17"/>
  <c r="AC16" i="17"/>
  <c r="AN16" i="17"/>
  <c r="AD16" i="17"/>
  <c r="AO16" i="17"/>
  <c r="AE16" i="17"/>
  <c r="AP16" i="17"/>
  <c r="AT71" i="17"/>
  <c r="AG29" i="1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AC29" i="27"/>
  <c r="Y29" i="17"/>
  <c r="AJ29" i="17"/>
  <c r="Z29" i="17"/>
  <c r="AK29" i="17"/>
  <c r="AA29" i="17"/>
  <c r="AA57" i="17"/>
  <c r="AL57" i="17"/>
  <c r="AB29" i="17"/>
  <c r="AM29" i="17"/>
  <c r="AC29" i="17"/>
  <c r="AN29" i="17"/>
  <c r="AF29" i="17"/>
  <c r="AQ29" i="17"/>
  <c r="AT70" i="17"/>
  <c r="AH20" i="17"/>
  <c r="AI20" i="1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AC20" i="27"/>
  <c r="Y20" i="17"/>
  <c r="AJ20" i="17"/>
  <c r="Z20" i="17"/>
  <c r="AK20" i="17"/>
  <c r="AA20" i="17"/>
  <c r="AL20" i="17"/>
  <c r="AD20" i="17"/>
  <c r="AO20" i="17"/>
  <c r="AE20" i="17"/>
  <c r="AP20" i="17"/>
  <c r="AT69" i="17"/>
  <c r="BE69" i="17"/>
  <c r="AH24" i="17"/>
  <c r="AI24" i="1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AC24" i="27"/>
  <c r="Y24" i="17"/>
  <c r="AJ24" i="17"/>
  <c r="Z24" i="17"/>
  <c r="AK24" i="17"/>
  <c r="AA24" i="17"/>
  <c r="AB24" i="17"/>
  <c r="AM24" i="17"/>
  <c r="AD24" i="17"/>
  <c r="AO24" i="17"/>
  <c r="AE24" i="17"/>
  <c r="AF24" i="17"/>
  <c r="AQ24" i="17"/>
  <c r="AG9" i="17"/>
  <c r="AI9" i="17"/>
  <c r="AD9" i="27"/>
  <c r="AE9" i="27"/>
  <c r="AF9" i="27"/>
  <c r="AG9" i="27"/>
  <c r="AH9" i="27"/>
  <c r="AI9" i="27"/>
  <c r="AJ9" i="27"/>
  <c r="AK9" i="27"/>
  <c r="AL9" i="27"/>
  <c r="AM9" i="27"/>
  <c r="AN9" i="27"/>
  <c r="AO9" i="27"/>
  <c r="AP9" i="27"/>
  <c r="AQ9" i="27"/>
  <c r="AR9" i="27"/>
  <c r="AS9" i="27"/>
  <c r="AT9" i="27"/>
  <c r="AU9" i="27"/>
  <c r="AV9" i="27"/>
  <c r="AW9" i="27"/>
  <c r="AX9" i="27"/>
  <c r="AY9" i="27"/>
  <c r="AZ9" i="27"/>
  <c r="AC9" i="27"/>
  <c r="Y9" i="17"/>
  <c r="AJ9" i="17"/>
  <c r="AC9" i="17"/>
  <c r="AN9" i="17"/>
  <c r="AD9" i="17"/>
  <c r="AO9" i="17"/>
  <c r="AE9" i="17"/>
  <c r="AP9" i="17"/>
  <c r="AT67" i="17"/>
  <c r="AG5" i="17"/>
  <c r="AH5" i="17"/>
  <c r="AD5" i="27"/>
  <c r="AE5" i="27"/>
  <c r="AF5" i="27"/>
  <c r="AG5" i="27"/>
  <c r="AH5" i="27"/>
  <c r="AI5" i="27"/>
  <c r="AJ5" i="27"/>
  <c r="AK5" i="27"/>
  <c r="AL5" i="27"/>
  <c r="AM5" i="27"/>
  <c r="AN5" i="27"/>
  <c r="AO5" i="27"/>
  <c r="AP5" i="27"/>
  <c r="AQ5" i="27"/>
  <c r="AR5" i="27"/>
  <c r="AS5" i="27"/>
  <c r="AT5" i="27"/>
  <c r="AU5" i="27"/>
  <c r="AV5" i="27"/>
  <c r="AW5" i="27"/>
  <c r="AX5" i="27"/>
  <c r="AY5" i="27"/>
  <c r="AZ5" i="27"/>
  <c r="AC5" i="27"/>
  <c r="Y5" i="17"/>
  <c r="AJ5" i="17"/>
  <c r="Z5" i="17"/>
  <c r="AD5" i="17"/>
  <c r="AD67" i="17"/>
  <c r="AO67" i="17"/>
  <c r="AE5" i="17"/>
  <c r="AP5" i="17"/>
  <c r="AT66" i="17"/>
  <c r="AG17" i="17"/>
  <c r="AH17" i="17"/>
  <c r="AD17" i="27"/>
  <c r="AE17" i="27"/>
  <c r="AF17" i="27"/>
  <c r="AG17" i="27"/>
  <c r="AH17" i="27"/>
  <c r="AI17" i="27"/>
  <c r="AJ17" i="27"/>
  <c r="AK17" i="27"/>
  <c r="AL17" i="27"/>
  <c r="AM17" i="27"/>
  <c r="AN17" i="27"/>
  <c r="AO17" i="27"/>
  <c r="AP17" i="27"/>
  <c r="AQ17" i="27"/>
  <c r="AR17" i="27"/>
  <c r="AS17" i="27"/>
  <c r="AT17" i="27"/>
  <c r="AU17" i="27"/>
  <c r="AV17" i="27"/>
  <c r="AW17" i="27"/>
  <c r="AX17" i="27"/>
  <c r="AY17" i="27"/>
  <c r="AZ17" i="27"/>
  <c r="AC17" i="27"/>
  <c r="Y17" i="17"/>
  <c r="AJ17" i="17"/>
  <c r="Z17" i="17"/>
  <c r="AK17" i="17"/>
  <c r="AA17" i="17"/>
  <c r="AL17" i="17"/>
  <c r="AC17" i="17"/>
  <c r="AN17" i="17"/>
  <c r="AG21" i="17"/>
  <c r="AH21" i="17"/>
  <c r="AI21" i="1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AC21" i="27"/>
  <c r="Y21" i="17"/>
  <c r="Z21" i="17"/>
  <c r="AK21" i="17"/>
  <c r="AC21" i="17"/>
  <c r="AD21" i="17"/>
  <c r="AO21" i="17"/>
  <c r="AH25" i="17"/>
  <c r="AI25" i="17"/>
  <c r="AD25" i="27"/>
  <c r="AE25" i="27"/>
  <c r="AF25" i="27"/>
  <c r="AG25" i="27"/>
  <c r="AH25" i="27"/>
  <c r="AI25" i="27"/>
  <c r="AJ25" i="27"/>
  <c r="AK25" i="27"/>
  <c r="AL25" i="27"/>
  <c r="AM25" i="27"/>
  <c r="AN25" i="27"/>
  <c r="AO25" i="27"/>
  <c r="AP25" i="27"/>
  <c r="AQ25" i="27"/>
  <c r="AR25" i="27"/>
  <c r="AS25" i="27"/>
  <c r="AT25" i="27"/>
  <c r="AU25" i="27"/>
  <c r="AV25" i="27"/>
  <c r="AW25" i="27"/>
  <c r="AX25" i="27"/>
  <c r="AY25" i="27"/>
  <c r="AZ25" i="27"/>
  <c r="AC25" i="27"/>
  <c r="Y25" i="17"/>
  <c r="AJ25" i="17"/>
  <c r="Z25" i="17"/>
  <c r="AK25" i="17"/>
  <c r="AA25" i="17"/>
  <c r="AL25" i="17"/>
  <c r="AB25" i="17"/>
  <c r="AM25" i="17"/>
  <c r="AD25" i="17"/>
  <c r="AO25" i="17"/>
  <c r="AE25" i="17"/>
  <c r="AP25" i="17"/>
  <c r="AT62" i="17"/>
  <c r="AT61" i="17"/>
  <c r="AT60" i="17"/>
  <c r="BE60" i="17"/>
  <c r="AT57" i="17"/>
  <c r="AT56" i="17"/>
  <c r="AT55" i="17"/>
  <c r="AT54" i="17"/>
  <c r="AT53" i="17"/>
  <c r="AT49" i="17"/>
  <c r="AD23" i="27"/>
  <c r="AE23" i="27"/>
  <c r="AF23" i="27"/>
  <c r="AG23" i="27"/>
  <c r="AH23" i="27"/>
  <c r="AI23" i="27"/>
  <c r="AJ23" i="27"/>
  <c r="AK23" i="27"/>
  <c r="AL23" i="27"/>
  <c r="AM23" i="27"/>
  <c r="AN23" i="27"/>
  <c r="AO23" i="27"/>
  <c r="AP23" i="27"/>
  <c r="AQ23" i="27"/>
  <c r="AR23" i="27"/>
  <c r="AS23" i="27"/>
  <c r="AT23" i="27"/>
  <c r="AU23" i="27"/>
  <c r="AV23" i="27"/>
  <c r="AW23" i="27"/>
  <c r="AX23" i="27"/>
  <c r="AY23" i="27"/>
  <c r="AZ23" i="27"/>
  <c r="AC23" i="27"/>
  <c r="Y23" i="17"/>
  <c r="AJ23" i="17"/>
  <c r="AA23" i="17"/>
  <c r="AL23" i="17"/>
  <c r="AB23" i="17"/>
  <c r="AM23" i="17"/>
  <c r="AD23" i="17"/>
  <c r="AO23" i="17"/>
  <c r="AE23" i="17"/>
  <c r="AP23" i="17"/>
  <c r="AF23" i="17"/>
  <c r="AQ23" i="17"/>
  <c r="AT47" i="17"/>
  <c r="AG6" i="17"/>
  <c r="AH6" i="17"/>
  <c r="AI6" i="17"/>
  <c r="AD6" i="27"/>
  <c r="AE6" i="27"/>
  <c r="AF6" i="27"/>
  <c r="AG6" i="27"/>
  <c r="AH6" i="27"/>
  <c r="AI6" i="27"/>
  <c r="AJ6" i="27"/>
  <c r="AK6" i="27"/>
  <c r="AL6" i="27"/>
  <c r="AM6" i="27"/>
  <c r="AN6" i="27"/>
  <c r="AO6" i="27"/>
  <c r="AP6" i="27"/>
  <c r="AQ6" i="27"/>
  <c r="AR6" i="27"/>
  <c r="AS6" i="27"/>
  <c r="AT6" i="27"/>
  <c r="AU6" i="27"/>
  <c r="AV6" i="27"/>
  <c r="AW6" i="27"/>
  <c r="AX6" i="27"/>
  <c r="AY6" i="27"/>
  <c r="AZ6" i="27"/>
  <c r="AC6" i="27"/>
  <c r="Y6" i="17"/>
  <c r="AJ6" i="17"/>
  <c r="Z6" i="17"/>
  <c r="AK6" i="17"/>
  <c r="AA6" i="17"/>
  <c r="AL6" i="17"/>
  <c r="AB6" i="17"/>
  <c r="AM6" i="17"/>
  <c r="AC6" i="17"/>
  <c r="AN6" i="17"/>
  <c r="AD6" i="17"/>
  <c r="AO6" i="17"/>
  <c r="AG10" i="17"/>
  <c r="AH10" i="17"/>
  <c r="AI10" i="1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AC10" i="27"/>
  <c r="Y10" i="17"/>
  <c r="AJ10" i="17"/>
  <c r="Z10" i="17"/>
  <c r="AK10" i="17"/>
  <c r="AA10" i="17"/>
  <c r="AL10" i="17"/>
  <c r="AD10" i="17"/>
  <c r="AO10" i="17"/>
  <c r="AG15" i="17"/>
  <c r="AH15" i="1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AC15" i="27"/>
  <c r="Y15" i="17"/>
  <c r="AJ15" i="17"/>
  <c r="AA15" i="17"/>
  <c r="AL15" i="17"/>
  <c r="AC15" i="17"/>
  <c r="AN15" i="17"/>
  <c r="AD15" i="17"/>
  <c r="AO15" i="17"/>
  <c r="AG28" i="17"/>
  <c r="AH28" i="17"/>
  <c r="AI28" i="1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AC28" i="27"/>
  <c r="Y28" i="17"/>
  <c r="AJ28" i="17"/>
  <c r="Z28" i="17"/>
  <c r="AK28" i="17"/>
  <c r="AB28" i="17"/>
  <c r="AM28" i="17"/>
  <c r="AC28" i="17"/>
  <c r="AN28" i="17"/>
  <c r="AF28" i="17"/>
  <c r="AQ28" i="17"/>
  <c r="AG19" i="17"/>
  <c r="AH19" i="17"/>
  <c r="AD19" i="27"/>
  <c r="AE19" i="27"/>
  <c r="AF19" i="27"/>
  <c r="AG19" i="27"/>
  <c r="AH19" i="27"/>
  <c r="AI19" i="27"/>
  <c r="AJ19" i="27"/>
  <c r="AK19" i="27"/>
  <c r="AL19" i="27"/>
  <c r="AM19" i="27"/>
  <c r="AN19" i="27"/>
  <c r="AO19" i="27"/>
  <c r="AP19" i="27"/>
  <c r="AQ19" i="27"/>
  <c r="AR19" i="27"/>
  <c r="AS19" i="27"/>
  <c r="AT19" i="27"/>
  <c r="AU19" i="27"/>
  <c r="AV19" i="27"/>
  <c r="AW19" i="27"/>
  <c r="AX19" i="27"/>
  <c r="AY19" i="27"/>
  <c r="AZ19" i="27"/>
  <c r="AC19" i="27"/>
  <c r="Y19" i="17"/>
  <c r="AJ19" i="17"/>
  <c r="Z19" i="17"/>
  <c r="AK19" i="17"/>
  <c r="AA19" i="17"/>
  <c r="AL19" i="17"/>
  <c r="AB19" i="17"/>
  <c r="AM19" i="17"/>
  <c r="AD19" i="17"/>
  <c r="AD42" i="17"/>
  <c r="AO42" i="17"/>
  <c r="AE19" i="17"/>
  <c r="AP19" i="17"/>
  <c r="AG8" i="17"/>
  <c r="AH8" i="17"/>
  <c r="AI8" i="17"/>
  <c r="AD8" i="27"/>
  <c r="AE8" i="27"/>
  <c r="AF8" i="27"/>
  <c r="AG8" i="27"/>
  <c r="AH8" i="27"/>
  <c r="AI8" i="27"/>
  <c r="AJ8" i="27"/>
  <c r="AK8" i="27"/>
  <c r="AL8" i="27"/>
  <c r="AM8" i="27"/>
  <c r="AN8" i="27"/>
  <c r="AO8" i="27"/>
  <c r="AP8" i="27"/>
  <c r="AQ8" i="27"/>
  <c r="AR8" i="27"/>
  <c r="AS8" i="27"/>
  <c r="AT8" i="27"/>
  <c r="AU8" i="27"/>
  <c r="AV8" i="27"/>
  <c r="AW8" i="27"/>
  <c r="AX8" i="27"/>
  <c r="AY8" i="27"/>
  <c r="AZ8" i="27"/>
  <c r="AC8" i="27"/>
  <c r="Y8" i="17"/>
  <c r="AJ8" i="17"/>
  <c r="Z8" i="17"/>
  <c r="AK8" i="17"/>
  <c r="AA8" i="17"/>
  <c r="AL8" i="17"/>
  <c r="AC8" i="17"/>
  <c r="AN8" i="17"/>
  <c r="AD8" i="17"/>
  <c r="AO8" i="17"/>
  <c r="AG4" i="17"/>
  <c r="AI4" i="17"/>
  <c r="AD4" i="27"/>
  <c r="AE4" i="27"/>
  <c r="AF4" i="27"/>
  <c r="AG4" i="27"/>
  <c r="AH4" i="27"/>
  <c r="AI4" i="27"/>
  <c r="AJ4" i="27"/>
  <c r="AK4" i="27"/>
  <c r="AL4" i="27"/>
  <c r="AM4" i="27"/>
  <c r="AN4" i="27"/>
  <c r="AO4" i="27"/>
  <c r="AP4" i="27"/>
  <c r="AQ4" i="27"/>
  <c r="AR4" i="27"/>
  <c r="AS4" i="27"/>
  <c r="AT4" i="27"/>
  <c r="AU4" i="27"/>
  <c r="AV4" i="27"/>
  <c r="AW4" i="27"/>
  <c r="AX4" i="27"/>
  <c r="AY4" i="27"/>
  <c r="AZ4" i="27"/>
  <c r="AC4" i="27"/>
  <c r="Y4" i="17"/>
  <c r="AJ4" i="17"/>
  <c r="AA4" i="17"/>
  <c r="AL4" i="17"/>
  <c r="AC4" i="17"/>
  <c r="AN4" i="17"/>
  <c r="AD4" i="17"/>
  <c r="AO4" i="17"/>
  <c r="AH11" i="17"/>
  <c r="AD11" i="27"/>
  <c r="AE11" i="27"/>
  <c r="AF11" i="27"/>
  <c r="AG11" i="27"/>
  <c r="AH11" i="27"/>
  <c r="AI11" i="27"/>
  <c r="AJ11" i="27"/>
  <c r="AK11" i="27"/>
  <c r="AL11" i="27"/>
  <c r="AM11" i="27"/>
  <c r="AN11" i="27"/>
  <c r="AO11" i="27"/>
  <c r="AP11" i="27"/>
  <c r="AQ11" i="27"/>
  <c r="AR11" i="27"/>
  <c r="AS11" i="27"/>
  <c r="AT11" i="27"/>
  <c r="AU11" i="27"/>
  <c r="AV11" i="27"/>
  <c r="AW11" i="27"/>
  <c r="AX11" i="27"/>
  <c r="AY11" i="27"/>
  <c r="AZ11" i="27"/>
  <c r="AC11" i="27"/>
  <c r="Y11" i="17"/>
  <c r="AJ11" i="17"/>
  <c r="Z11" i="17"/>
  <c r="AK11" i="17"/>
  <c r="AA11" i="17"/>
  <c r="AL11" i="17"/>
  <c r="AC11" i="17"/>
  <c r="AN11" i="17"/>
  <c r="AD11" i="17"/>
  <c r="AO11" i="17"/>
  <c r="AE11" i="17"/>
  <c r="AP11" i="17"/>
  <c r="AF11" i="17"/>
  <c r="AQ11" i="17"/>
  <c r="AG2" i="17"/>
  <c r="AI2" i="17"/>
  <c r="AD2" i="27"/>
  <c r="AE2" i="27"/>
  <c r="AF2" i="27"/>
  <c r="AG2" i="27"/>
  <c r="AH2" i="27"/>
  <c r="AI2" i="27"/>
  <c r="AJ2" i="27"/>
  <c r="AK2" i="27"/>
  <c r="AL2" i="27"/>
  <c r="AM2" i="27"/>
  <c r="AN2" i="27"/>
  <c r="AO2" i="27"/>
  <c r="AP2" i="27"/>
  <c r="AQ2" i="27"/>
  <c r="AR2" i="27"/>
  <c r="AS2" i="27"/>
  <c r="AT2" i="27"/>
  <c r="AU2" i="27"/>
  <c r="AV2" i="27"/>
  <c r="AW2" i="27"/>
  <c r="AX2" i="27"/>
  <c r="AY2" i="27"/>
  <c r="AZ2" i="27"/>
  <c r="AC2" i="27"/>
  <c r="Y2" i="17"/>
  <c r="AJ2" i="17"/>
  <c r="Z2" i="17"/>
  <c r="AK2" i="17"/>
  <c r="AA2" i="17"/>
  <c r="AL2" i="17"/>
  <c r="AB2" i="17"/>
  <c r="AM2" i="17"/>
  <c r="AE2" i="17"/>
  <c r="AP2" i="17"/>
  <c r="AF2" i="17"/>
  <c r="AQ2" i="17"/>
  <c r="AH22" i="17"/>
  <c r="AI22" i="17"/>
  <c r="AD22" i="27"/>
  <c r="AE22" i="27"/>
  <c r="AF22" i="27"/>
  <c r="AG22" i="27"/>
  <c r="AH22" i="27"/>
  <c r="AI22" i="27"/>
  <c r="AJ22" i="27"/>
  <c r="AK22" i="27"/>
  <c r="AL22" i="27"/>
  <c r="AM22" i="27"/>
  <c r="AN22" i="27"/>
  <c r="AO22" i="27"/>
  <c r="AP22" i="27"/>
  <c r="AQ22" i="27"/>
  <c r="AR22" i="27"/>
  <c r="AS22" i="27"/>
  <c r="AT22" i="27"/>
  <c r="AU22" i="27"/>
  <c r="AV22" i="27"/>
  <c r="AW22" i="27"/>
  <c r="AX22" i="27"/>
  <c r="AY22" i="27"/>
  <c r="AZ22" i="27"/>
  <c r="AC22" i="27"/>
  <c r="Y22" i="17"/>
  <c r="AJ22" i="17"/>
  <c r="Z22" i="17"/>
  <c r="AK22" i="17"/>
  <c r="AA22" i="17"/>
  <c r="AL22" i="17"/>
  <c r="AD22" i="17"/>
  <c r="AO22" i="17"/>
  <c r="AF22" i="17"/>
  <c r="AQ22" i="17"/>
  <c r="AG26" i="17"/>
  <c r="AI26" i="17"/>
  <c r="AD26" i="27"/>
  <c r="AE26" i="27"/>
  <c r="AF26" i="27"/>
  <c r="AG26" i="27"/>
  <c r="AH26" i="27"/>
  <c r="AI26" i="27"/>
  <c r="AJ26" i="27"/>
  <c r="AK26" i="27"/>
  <c r="AL26" i="27"/>
  <c r="AM26" i="27"/>
  <c r="AN26" i="27"/>
  <c r="AO26" i="27"/>
  <c r="AP26" i="27"/>
  <c r="AQ26" i="27"/>
  <c r="AR26" i="27"/>
  <c r="AS26" i="27"/>
  <c r="AT26" i="27"/>
  <c r="AU26" i="27"/>
  <c r="AV26" i="27"/>
  <c r="AW26" i="27"/>
  <c r="AX26" i="27"/>
  <c r="AY26" i="27"/>
  <c r="AZ26" i="27"/>
  <c r="AC26" i="27"/>
  <c r="Y26" i="17"/>
  <c r="AJ26" i="17"/>
  <c r="AA26" i="17"/>
  <c r="AL26" i="17"/>
  <c r="AC26" i="17"/>
  <c r="AN26" i="17"/>
  <c r="AE26" i="17"/>
  <c r="AP26" i="17"/>
  <c r="AF26" i="17"/>
  <c r="AQ26" i="17"/>
  <c r="AH30" i="17"/>
  <c r="AI30" i="1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AC30" i="27"/>
  <c r="Y30" i="17"/>
  <c r="AJ30" i="17"/>
  <c r="Z30" i="17"/>
  <c r="AK30" i="17"/>
  <c r="AA30" i="17"/>
  <c r="AL30" i="17"/>
  <c r="AB30" i="17"/>
  <c r="AM30" i="17"/>
  <c r="AC30" i="17"/>
  <c r="AN30" i="17"/>
  <c r="AD30" i="17"/>
  <c r="AO30" i="17"/>
  <c r="AE30" i="17"/>
  <c r="AP30" i="17"/>
  <c r="AF30" i="17"/>
  <c r="AQ30" i="17"/>
  <c r="AG14" i="17"/>
  <c r="AH14" i="17"/>
  <c r="AI14" i="17"/>
  <c r="AD14" i="27"/>
  <c r="AE14" i="27"/>
  <c r="AF14" i="27"/>
  <c r="AG14" i="27"/>
  <c r="AH14" i="27"/>
  <c r="AI14" i="27"/>
  <c r="AJ14" i="27"/>
  <c r="AK14" i="27"/>
  <c r="AL14" i="27"/>
  <c r="AM14" i="27"/>
  <c r="AN14" i="27"/>
  <c r="AO14" i="27"/>
  <c r="AP14" i="27"/>
  <c r="AQ14" i="27"/>
  <c r="AR14" i="27"/>
  <c r="AS14" i="27"/>
  <c r="AT14" i="27"/>
  <c r="AU14" i="27"/>
  <c r="AV14" i="27"/>
  <c r="AW14" i="27"/>
  <c r="AX14" i="27"/>
  <c r="AY14" i="27"/>
  <c r="AZ14" i="27"/>
  <c r="AC14" i="27"/>
  <c r="Y14" i="17"/>
  <c r="AJ14" i="17"/>
  <c r="Z14" i="17"/>
  <c r="AK14" i="17"/>
  <c r="AC14" i="17"/>
  <c r="AN14" i="17"/>
  <c r="AD14" i="17"/>
  <c r="AO14" i="17"/>
  <c r="AF14" i="17"/>
  <c r="AQ14" i="17"/>
  <c r="AG13" i="17"/>
  <c r="AD13" i="27"/>
  <c r="AE13" i="27"/>
  <c r="AF13" i="27"/>
  <c r="AG13" i="27"/>
  <c r="AH13" i="27"/>
  <c r="AI13" i="27"/>
  <c r="AJ13" i="27"/>
  <c r="AK13" i="27"/>
  <c r="AL13" i="27"/>
  <c r="AM13" i="27"/>
  <c r="AN13" i="27"/>
  <c r="AO13" i="27"/>
  <c r="AP13" i="27"/>
  <c r="AQ13" i="27"/>
  <c r="AR13" i="27"/>
  <c r="AS13" i="27"/>
  <c r="AT13" i="27"/>
  <c r="AU13" i="27"/>
  <c r="AV13" i="27"/>
  <c r="AW13" i="27"/>
  <c r="AX13" i="27"/>
  <c r="AY13" i="27"/>
  <c r="AZ13" i="27"/>
  <c r="AC13" i="27"/>
  <c r="Y13" i="17"/>
  <c r="AJ13" i="17"/>
  <c r="Z13" i="17"/>
  <c r="AK13" i="17"/>
  <c r="AA13" i="17"/>
  <c r="AL13" i="17"/>
  <c r="AB13" i="17"/>
  <c r="AM13" i="17"/>
  <c r="AE13" i="17"/>
  <c r="AP13" i="17"/>
  <c r="AF13" i="17"/>
  <c r="AQ13" i="17"/>
  <c r="AG3" i="17"/>
  <c r="AD3" i="27"/>
  <c r="AE3" i="27"/>
  <c r="AF3" i="27"/>
  <c r="AG3" i="27"/>
  <c r="AH3" i="27"/>
  <c r="AI3" i="27"/>
  <c r="AJ3" i="27"/>
  <c r="AK3" i="27"/>
  <c r="AL3" i="27"/>
  <c r="AM3" i="27"/>
  <c r="AN3" i="27"/>
  <c r="AO3" i="27"/>
  <c r="AP3" i="27"/>
  <c r="AQ3" i="27"/>
  <c r="AR3" i="27"/>
  <c r="AS3" i="27"/>
  <c r="AT3" i="27"/>
  <c r="AU3" i="27"/>
  <c r="AV3" i="27"/>
  <c r="AW3" i="27"/>
  <c r="AX3" i="27"/>
  <c r="AY3" i="27"/>
  <c r="AZ3" i="27"/>
  <c r="AC3" i="27"/>
  <c r="Y3" i="17"/>
  <c r="AJ3" i="17"/>
  <c r="Z3" i="17"/>
  <c r="AK3" i="17"/>
  <c r="AB3" i="17"/>
  <c r="AM3" i="17"/>
  <c r="AC3" i="17"/>
  <c r="AN3" i="17"/>
  <c r="AF3" i="17"/>
  <c r="AQ3" i="17"/>
  <c r="AF76" i="17"/>
  <c r="AQ76" i="17"/>
  <c r="AC76" i="17"/>
  <c r="AN76" i="17"/>
  <c r="AB76" i="17"/>
  <c r="AM76" i="17"/>
  <c r="Y76" i="17"/>
  <c r="AJ76" i="17"/>
  <c r="W76" i="17"/>
  <c r="AH76" i="17"/>
  <c r="V76" i="17"/>
  <c r="AG76" i="17"/>
  <c r="K76" i="17"/>
  <c r="S76" i="17"/>
  <c r="H76" i="17"/>
  <c r="P76" i="17"/>
  <c r="G76" i="17"/>
  <c r="O76" i="17"/>
  <c r="F76" i="17"/>
  <c r="N76" i="17"/>
  <c r="AC27" i="26"/>
  <c r="D27" i="17"/>
  <c r="L27" i="17"/>
  <c r="AE75" i="17"/>
  <c r="AP75" i="17"/>
  <c r="Z75" i="17"/>
  <c r="AK75" i="17"/>
  <c r="Y75" i="17"/>
  <c r="AJ75" i="17"/>
  <c r="X75" i="17"/>
  <c r="AI75" i="17"/>
  <c r="W75" i="17"/>
  <c r="AH75" i="17"/>
  <c r="J75" i="17"/>
  <c r="R75" i="17"/>
  <c r="I75" i="17"/>
  <c r="Q75" i="17"/>
  <c r="H75" i="17"/>
  <c r="P75" i="17"/>
  <c r="E75" i="17"/>
  <c r="M75" i="17"/>
  <c r="AC18" i="26"/>
  <c r="D18" i="17"/>
  <c r="L18" i="17"/>
  <c r="AE74" i="17"/>
  <c r="AP74" i="17"/>
  <c r="AD74" i="17"/>
  <c r="AO74" i="17"/>
  <c r="AA74" i="17"/>
  <c r="AL74" i="17"/>
  <c r="Y74" i="17"/>
  <c r="AJ74" i="17"/>
  <c r="X74" i="17"/>
  <c r="AI74" i="17"/>
  <c r="W74" i="17"/>
  <c r="AH74" i="17"/>
  <c r="J74" i="17"/>
  <c r="R74" i="17"/>
  <c r="I74" i="17"/>
  <c r="Q74" i="17"/>
  <c r="F74" i="17"/>
  <c r="N74" i="17"/>
  <c r="E74" i="17"/>
  <c r="M74" i="17"/>
  <c r="AC12" i="26"/>
  <c r="D12" i="17"/>
  <c r="L12" i="17"/>
  <c r="AF73" i="17"/>
  <c r="AQ73" i="17"/>
  <c r="AD73" i="17"/>
  <c r="AO73" i="17"/>
  <c r="AC73" i="17"/>
  <c r="AN73" i="17"/>
  <c r="AB73" i="17"/>
  <c r="AM73" i="17"/>
  <c r="Y73" i="17"/>
  <c r="AJ73" i="17"/>
  <c r="V73" i="17"/>
  <c r="AG73" i="17"/>
  <c r="K73" i="17"/>
  <c r="S73" i="17"/>
  <c r="I73" i="17"/>
  <c r="Q73" i="17"/>
  <c r="H73" i="17"/>
  <c r="P73" i="17"/>
  <c r="G73" i="17"/>
  <c r="O73" i="17"/>
  <c r="E73" i="17"/>
  <c r="M73" i="17"/>
  <c r="AC7" i="26"/>
  <c r="D7" i="17"/>
  <c r="L7" i="17"/>
  <c r="AE72" i="17"/>
  <c r="AP72" i="17"/>
  <c r="AD72" i="17"/>
  <c r="AO72" i="17"/>
  <c r="AC72" i="17"/>
  <c r="AN72" i="17"/>
  <c r="Z72" i="17"/>
  <c r="AK72" i="17"/>
  <c r="Y72" i="17"/>
  <c r="AJ72" i="17"/>
  <c r="X72" i="17"/>
  <c r="AI72" i="17"/>
  <c r="W72" i="17"/>
  <c r="AH72" i="17"/>
  <c r="V72" i="17"/>
  <c r="AG72" i="17"/>
  <c r="J72" i="17"/>
  <c r="R72" i="17"/>
  <c r="I72" i="17"/>
  <c r="Q72" i="17"/>
  <c r="H72" i="17"/>
  <c r="P72" i="17"/>
  <c r="E72" i="17"/>
  <c r="M72" i="17"/>
  <c r="AC16" i="26"/>
  <c r="D16" i="17"/>
  <c r="AF71" i="17"/>
  <c r="AC71" i="17"/>
  <c r="AB71" i="17"/>
  <c r="Z71" i="17"/>
  <c r="AK71" i="17"/>
  <c r="Y71" i="17"/>
  <c r="X71" i="17"/>
  <c r="W71" i="17"/>
  <c r="V71" i="17"/>
  <c r="K71" i="17"/>
  <c r="S71" i="17"/>
  <c r="H71" i="17"/>
  <c r="P71" i="17"/>
  <c r="G71" i="17"/>
  <c r="O71" i="17"/>
  <c r="F71" i="17"/>
  <c r="N71" i="17"/>
  <c r="E71" i="17"/>
  <c r="M71" i="17"/>
  <c r="AC29" i="26"/>
  <c r="D29" i="17"/>
  <c r="L29" i="17"/>
  <c r="AE70" i="17"/>
  <c r="AD70" i="17"/>
  <c r="AA70" i="17"/>
  <c r="AL70" i="17"/>
  <c r="Z70" i="17"/>
  <c r="Y70" i="17"/>
  <c r="X70" i="17"/>
  <c r="W70" i="17"/>
  <c r="J70" i="17"/>
  <c r="R70" i="17"/>
  <c r="I70" i="17"/>
  <c r="Q70" i="17"/>
  <c r="H70" i="17"/>
  <c r="P70" i="17"/>
  <c r="G70" i="17"/>
  <c r="O70" i="17"/>
  <c r="F70" i="17"/>
  <c r="N70" i="17"/>
  <c r="E70" i="17"/>
  <c r="M70" i="17"/>
  <c r="AC20" i="26"/>
  <c r="D20" i="17"/>
  <c r="L20" i="17"/>
  <c r="AF69" i="17"/>
  <c r="AD69" i="17"/>
  <c r="AO69" i="17"/>
  <c r="AB69" i="17"/>
  <c r="Z69" i="17"/>
  <c r="Y69" i="17"/>
  <c r="X69" i="17"/>
  <c r="W69" i="17"/>
  <c r="K69" i="17"/>
  <c r="S69" i="17"/>
  <c r="J69" i="17"/>
  <c r="R69" i="17"/>
  <c r="I69" i="17"/>
  <c r="Q69" i="17"/>
  <c r="G69" i="17"/>
  <c r="O69" i="17"/>
  <c r="F69" i="17"/>
  <c r="N69" i="17"/>
  <c r="E69" i="17"/>
  <c r="M69" i="17"/>
  <c r="AC24" i="26"/>
  <c r="D24" i="17"/>
  <c r="L24" i="17"/>
  <c r="D69" i="17"/>
  <c r="L69" i="17"/>
  <c r="AD68" i="17"/>
  <c r="AC68" i="17"/>
  <c r="Y68" i="17"/>
  <c r="X68" i="17"/>
  <c r="V68" i="17"/>
  <c r="J68" i="17"/>
  <c r="R68" i="17"/>
  <c r="I68" i="17"/>
  <c r="Q68" i="17"/>
  <c r="H68" i="17"/>
  <c r="P68" i="17"/>
  <c r="G68" i="17"/>
  <c r="O68" i="17"/>
  <c r="F68" i="17"/>
  <c r="N68" i="17"/>
  <c r="AC9" i="26"/>
  <c r="D9" i="17"/>
  <c r="L9" i="17"/>
  <c r="D68" i="17"/>
  <c r="L68" i="17"/>
  <c r="AE67" i="17"/>
  <c r="Y67" i="17"/>
  <c r="X67" i="17"/>
  <c r="W67" i="17"/>
  <c r="V67" i="17"/>
  <c r="J67" i="17"/>
  <c r="R67" i="17"/>
  <c r="I67" i="17"/>
  <c r="Q67" i="17"/>
  <c r="G67" i="17"/>
  <c r="O67" i="17"/>
  <c r="F67" i="17"/>
  <c r="N67" i="17"/>
  <c r="E67" i="17"/>
  <c r="M67" i="17"/>
  <c r="AC5" i="26"/>
  <c r="D5" i="17"/>
  <c r="L5" i="17"/>
  <c r="AC66" i="17"/>
  <c r="AA66" i="17"/>
  <c r="Y66" i="17"/>
  <c r="X66" i="17"/>
  <c r="W66" i="17"/>
  <c r="V66" i="17"/>
  <c r="K66" i="17"/>
  <c r="S66" i="17"/>
  <c r="J66" i="17"/>
  <c r="R66" i="17"/>
  <c r="I66" i="17"/>
  <c r="H66" i="17"/>
  <c r="P66" i="17"/>
  <c r="F66" i="17"/>
  <c r="N66" i="17"/>
  <c r="E66" i="17"/>
  <c r="M66" i="17"/>
  <c r="AC17" i="26"/>
  <c r="D17" i="17"/>
  <c r="L17" i="17"/>
  <c r="D66" i="17"/>
  <c r="L66" i="17"/>
  <c r="AD65" i="17"/>
  <c r="X65" i="17"/>
  <c r="W65" i="17"/>
  <c r="V65" i="17"/>
  <c r="K65" i="17"/>
  <c r="S65" i="17"/>
  <c r="J65" i="17"/>
  <c r="R65" i="17"/>
  <c r="I65" i="17"/>
  <c r="Q65" i="17"/>
  <c r="H65" i="17"/>
  <c r="P65" i="17"/>
  <c r="F65" i="17"/>
  <c r="E65" i="17"/>
  <c r="M65" i="17"/>
  <c r="AC21" i="26"/>
  <c r="D21" i="17"/>
  <c r="L21" i="17"/>
  <c r="AE64" i="17"/>
  <c r="AP64" i="17"/>
  <c r="AD64" i="17"/>
  <c r="AB64" i="17"/>
  <c r="Z64" i="17"/>
  <c r="Y64" i="17"/>
  <c r="X64" i="17"/>
  <c r="W64" i="17"/>
  <c r="AH64" i="17"/>
  <c r="V64" i="17"/>
  <c r="K64" i="17"/>
  <c r="J64" i="17"/>
  <c r="R64" i="17"/>
  <c r="I64" i="17"/>
  <c r="Q64" i="17"/>
  <c r="G64" i="17"/>
  <c r="O64" i="17"/>
  <c r="F64" i="17"/>
  <c r="N64" i="17"/>
  <c r="E64" i="17"/>
  <c r="M64" i="17"/>
  <c r="AC25" i="26"/>
  <c r="D25" i="17"/>
  <c r="AF62" i="17"/>
  <c r="AC62" i="17"/>
  <c r="AB62" i="17"/>
  <c r="AA62" i="17"/>
  <c r="Y62" i="17"/>
  <c r="W62" i="17"/>
  <c r="V62" i="17"/>
  <c r="K62" i="17"/>
  <c r="S62" i="17"/>
  <c r="J62" i="17"/>
  <c r="R62" i="17"/>
  <c r="H62" i="17"/>
  <c r="P62" i="17"/>
  <c r="G62" i="17"/>
  <c r="O62" i="17"/>
  <c r="F62" i="17"/>
  <c r="N62" i="17"/>
  <c r="E62" i="17"/>
  <c r="M62" i="17"/>
  <c r="D62" i="17"/>
  <c r="L62" i="17"/>
  <c r="AE61" i="17"/>
  <c r="AC61" i="17"/>
  <c r="Z61" i="17"/>
  <c r="AK61" i="17"/>
  <c r="Y61" i="17"/>
  <c r="X61" i="17"/>
  <c r="W61" i="17"/>
  <c r="J61" i="17"/>
  <c r="R61" i="17"/>
  <c r="I61" i="17"/>
  <c r="Q61" i="17"/>
  <c r="H61" i="17"/>
  <c r="P61" i="17"/>
  <c r="G61" i="17"/>
  <c r="O61" i="17"/>
  <c r="F61" i="17"/>
  <c r="N61" i="17"/>
  <c r="E61" i="17"/>
  <c r="M61" i="17"/>
  <c r="AE60" i="17"/>
  <c r="AD60" i="17"/>
  <c r="AA60" i="17"/>
  <c r="Z60" i="17"/>
  <c r="AK60" i="17"/>
  <c r="Y60" i="17"/>
  <c r="X60" i="17"/>
  <c r="W60" i="17"/>
  <c r="V60" i="17"/>
  <c r="K60" i="17"/>
  <c r="S60" i="17"/>
  <c r="J60" i="17"/>
  <c r="R60" i="17"/>
  <c r="I60" i="17"/>
  <c r="Q60" i="17"/>
  <c r="H60" i="17"/>
  <c r="P60" i="17"/>
  <c r="F60" i="17"/>
  <c r="N60" i="17"/>
  <c r="E60" i="17"/>
  <c r="M60" i="17"/>
  <c r="D60" i="17"/>
  <c r="L60" i="17"/>
  <c r="AF59" i="17"/>
  <c r="AD59" i="17"/>
  <c r="AC59" i="17"/>
  <c r="AB59" i="17"/>
  <c r="Y59" i="17"/>
  <c r="W59" i="17"/>
  <c r="V59" i="17"/>
  <c r="K59" i="17"/>
  <c r="S59" i="17"/>
  <c r="I59" i="17"/>
  <c r="Q59" i="17"/>
  <c r="H59" i="17"/>
  <c r="P59" i="17"/>
  <c r="G59" i="17"/>
  <c r="O59" i="17"/>
  <c r="E59" i="17"/>
  <c r="M59" i="17"/>
  <c r="D59" i="17"/>
  <c r="L59" i="17"/>
  <c r="AE58" i="17"/>
  <c r="AD58" i="17"/>
  <c r="Z58" i="17"/>
  <c r="Y58" i="17"/>
  <c r="AJ58" i="17"/>
  <c r="X58" i="17"/>
  <c r="W58" i="17"/>
  <c r="V58" i="17"/>
  <c r="J58" i="17"/>
  <c r="R58" i="17"/>
  <c r="I58" i="17"/>
  <c r="Q58" i="17"/>
  <c r="H58" i="17"/>
  <c r="P58" i="17"/>
  <c r="G58" i="17"/>
  <c r="O58" i="17"/>
  <c r="F58" i="17"/>
  <c r="N58" i="17"/>
  <c r="E58" i="17"/>
  <c r="M58" i="17"/>
  <c r="AF57" i="17"/>
  <c r="AC57" i="17"/>
  <c r="AB57" i="17"/>
  <c r="Z57" i="17"/>
  <c r="AK57" i="17"/>
  <c r="Y57" i="17"/>
  <c r="X57" i="17"/>
  <c r="W57" i="17"/>
  <c r="V57" i="17"/>
  <c r="K57" i="17"/>
  <c r="S57" i="17"/>
  <c r="I57" i="17"/>
  <c r="Q57" i="17"/>
  <c r="H57" i="17"/>
  <c r="P57" i="17"/>
  <c r="G57" i="17"/>
  <c r="O57" i="17"/>
  <c r="F57" i="17"/>
  <c r="N57" i="17"/>
  <c r="E57" i="17"/>
  <c r="M57" i="17"/>
  <c r="D57" i="17"/>
  <c r="L57" i="17"/>
  <c r="AE56" i="17"/>
  <c r="AD56" i="17"/>
  <c r="AA56" i="17"/>
  <c r="Z56" i="17"/>
  <c r="AK56" i="17"/>
  <c r="Y56" i="17"/>
  <c r="X56" i="17"/>
  <c r="W56" i="17"/>
  <c r="J56" i="17"/>
  <c r="R56" i="17"/>
  <c r="I56" i="17"/>
  <c r="Q56" i="17"/>
  <c r="H56" i="17"/>
  <c r="P56" i="17"/>
  <c r="G56" i="17"/>
  <c r="O56" i="17"/>
  <c r="F56" i="17"/>
  <c r="N56" i="17"/>
  <c r="E56" i="17"/>
  <c r="M56" i="17"/>
  <c r="D56" i="17"/>
  <c r="L56" i="17"/>
  <c r="AF55" i="17"/>
  <c r="AB55" i="17"/>
  <c r="Z55" i="17"/>
  <c r="Y55" i="17"/>
  <c r="AJ55" i="17"/>
  <c r="X55" i="17"/>
  <c r="W55" i="17"/>
  <c r="K55" i="17"/>
  <c r="S55" i="17"/>
  <c r="J55" i="17"/>
  <c r="R55" i="17"/>
  <c r="I55" i="17"/>
  <c r="Q55" i="17"/>
  <c r="H55" i="17"/>
  <c r="P55" i="17"/>
  <c r="G55" i="17"/>
  <c r="O55" i="17"/>
  <c r="F55" i="17"/>
  <c r="N55" i="17"/>
  <c r="E55" i="17"/>
  <c r="M55" i="17"/>
  <c r="D55" i="17"/>
  <c r="L55" i="17"/>
  <c r="AD54" i="17"/>
  <c r="AC54" i="17"/>
  <c r="Y54" i="17"/>
  <c r="AJ54" i="17"/>
  <c r="X54" i="17"/>
  <c r="V54" i="17"/>
  <c r="J54" i="17"/>
  <c r="R54" i="17"/>
  <c r="I54" i="17"/>
  <c r="Q54" i="17"/>
  <c r="H54" i="17"/>
  <c r="P54" i="17"/>
  <c r="G54" i="17"/>
  <c r="O54" i="17"/>
  <c r="F54" i="17"/>
  <c r="N54" i="17"/>
  <c r="D54" i="17"/>
  <c r="L54" i="17"/>
  <c r="AE53" i="17"/>
  <c r="Y53" i="17"/>
  <c r="X53" i="17"/>
  <c r="W53" i="17"/>
  <c r="V53" i="17"/>
  <c r="K53" i="17"/>
  <c r="S53" i="17"/>
  <c r="J53" i="17"/>
  <c r="R53" i="17"/>
  <c r="I53" i="17"/>
  <c r="Q53" i="17"/>
  <c r="G53" i="17"/>
  <c r="O53" i="17"/>
  <c r="F53" i="17"/>
  <c r="N53" i="17"/>
  <c r="E53" i="17"/>
  <c r="M53" i="17"/>
  <c r="D53" i="17"/>
  <c r="L53" i="17"/>
  <c r="AC52" i="17"/>
  <c r="AA52" i="17"/>
  <c r="Y52" i="17"/>
  <c r="X52" i="17"/>
  <c r="W52" i="17"/>
  <c r="V52" i="17"/>
  <c r="K52" i="17"/>
  <c r="S52" i="17"/>
  <c r="J52" i="17"/>
  <c r="R52" i="17"/>
  <c r="I52" i="17"/>
  <c r="Q52" i="17"/>
  <c r="H52" i="17"/>
  <c r="P52" i="17"/>
  <c r="F52" i="17"/>
  <c r="N52" i="17"/>
  <c r="E52" i="17"/>
  <c r="M52" i="17"/>
  <c r="D52" i="17"/>
  <c r="L52" i="17"/>
  <c r="AD51" i="17"/>
  <c r="AC51" i="17"/>
  <c r="AN51" i="17"/>
  <c r="X51" i="17"/>
  <c r="W51" i="17"/>
  <c r="V51" i="17"/>
  <c r="K51" i="17"/>
  <c r="S51" i="17"/>
  <c r="J51" i="17"/>
  <c r="R51" i="17"/>
  <c r="I51" i="17"/>
  <c r="Q51" i="17"/>
  <c r="H51" i="17"/>
  <c r="P51" i="17"/>
  <c r="E51" i="17"/>
  <c r="M51" i="17"/>
  <c r="D51" i="17"/>
  <c r="L51" i="17"/>
  <c r="AE50" i="17"/>
  <c r="AD50" i="17"/>
  <c r="AB50" i="17"/>
  <c r="AM50" i="17"/>
  <c r="Z50" i="17"/>
  <c r="Y50" i="17"/>
  <c r="X50" i="17"/>
  <c r="W50" i="17"/>
  <c r="V50" i="17"/>
  <c r="K50" i="17"/>
  <c r="S50" i="17"/>
  <c r="J50" i="17"/>
  <c r="R50" i="17"/>
  <c r="I50" i="17"/>
  <c r="Q50" i="17"/>
  <c r="G50" i="17"/>
  <c r="O50" i="17"/>
  <c r="F50" i="17"/>
  <c r="N50" i="17"/>
  <c r="E50" i="17"/>
  <c r="M50" i="17"/>
  <c r="AF49" i="17"/>
  <c r="AE49" i="17"/>
  <c r="AP49" i="17"/>
  <c r="AD49" i="17"/>
  <c r="AO49" i="17"/>
  <c r="AB49" i="17"/>
  <c r="AA49" i="17"/>
  <c r="W49" i="17"/>
  <c r="AH49" i="17"/>
  <c r="V49" i="17"/>
  <c r="K49" i="17"/>
  <c r="S49" i="17"/>
  <c r="J49" i="17"/>
  <c r="R49" i="17"/>
  <c r="I49" i="17"/>
  <c r="Q49" i="17"/>
  <c r="G49" i="17"/>
  <c r="O49" i="17"/>
  <c r="F49" i="17"/>
  <c r="N49" i="17"/>
  <c r="E49" i="17"/>
  <c r="M49" i="17"/>
  <c r="AC23" i="26"/>
  <c r="D23" i="17"/>
  <c r="L23" i="17"/>
  <c r="AD47" i="17"/>
  <c r="AC47" i="17"/>
  <c r="AA47" i="17"/>
  <c r="Z47" i="17"/>
  <c r="Y47" i="17"/>
  <c r="X47" i="17"/>
  <c r="W47" i="17"/>
  <c r="AH47" i="17"/>
  <c r="V47" i="17"/>
  <c r="K47" i="17"/>
  <c r="S47" i="17"/>
  <c r="J47" i="17"/>
  <c r="R47" i="17"/>
  <c r="I47" i="17"/>
  <c r="Q47" i="17"/>
  <c r="H47" i="17"/>
  <c r="P47" i="17"/>
  <c r="F47" i="17"/>
  <c r="N47" i="17"/>
  <c r="E47" i="17"/>
  <c r="M47" i="17"/>
  <c r="AC6" i="26"/>
  <c r="D6" i="17"/>
  <c r="L6" i="17"/>
  <c r="AD46" i="17"/>
  <c r="Z46" i="17"/>
  <c r="Y46" i="17"/>
  <c r="Y45" i="17"/>
  <c r="X46" i="17"/>
  <c r="W46" i="17"/>
  <c r="V46" i="17"/>
  <c r="K46" i="17"/>
  <c r="S46" i="17"/>
  <c r="J46" i="17"/>
  <c r="R46" i="17"/>
  <c r="I46" i="17"/>
  <c r="Q46" i="17"/>
  <c r="H46" i="17"/>
  <c r="P46" i="17"/>
  <c r="F46" i="17"/>
  <c r="N46" i="17"/>
  <c r="E46" i="17"/>
  <c r="M46" i="17"/>
  <c r="AC10" i="26"/>
  <c r="D10" i="17"/>
  <c r="L10" i="17"/>
  <c r="J45" i="17"/>
  <c r="AD44" i="17"/>
  <c r="AO44" i="17"/>
  <c r="AC44" i="17"/>
  <c r="AA44" i="17"/>
  <c r="W44" i="17"/>
  <c r="AH44" i="17"/>
  <c r="V44" i="17"/>
  <c r="AG44" i="17"/>
  <c r="K44" i="17"/>
  <c r="S44" i="17"/>
  <c r="J44" i="17"/>
  <c r="R44" i="17"/>
  <c r="I44" i="17"/>
  <c r="Q44" i="17"/>
  <c r="H44" i="17"/>
  <c r="P44" i="17"/>
  <c r="F44" i="17"/>
  <c r="N44" i="17"/>
  <c r="AC15" i="26"/>
  <c r="D15" i="17"/>
  <c r="L15" i="17"/>
  <c r="AF43" i="17"/>
  <c r="AC43" i="17"/>
  <c r="AB43" i="17"/>
  <c r="Z43" i="17"/>
  <c r="Y43" i="17"/>
  <c r="X43" i="17"/>
  <c r="W43" i="17"/>
  <c r="V43" i="17"/>
  <c r="AG43" i="17"/>
  <c r="K43" i="17"/>
  <c r="S43" i="17"/>
  <c r="J43" i="17"/>
  <c r="R43" i="17"/>
  <c r="I43" i="17"/>
  <c r="Q43" i="17"/>
  <c r="H43" i="17"/>
  <c r="P43" i="17"/>
  <c r="G43" i="17"/>
  <c r="O43" i="17"/>
  <c r="AC28" i="26"/>
  <c r="D28" i="17"/>
  <c r="L28" i="17"/>
  <c r="AE42" i="17"/>
  <c r="AP42" i="17"/>
  <c r="AB42" i="17"/>
  <c r="AM42" i="17"/>
  <c r="AA42" i="17"/>
  <c r="Z42" i="17"/>
  <c r="Y42" i="17"/>
  <c r="W42" i="17"/>
  <c r="AH42" i="17"/>
  <c r="V42" i="17"/>
  <c r="K42" i="17"/>
  <c r="S42" i="17"/>
  <c r="J42" i="17"/>
  <c r="R42" i="17"/>
  <c r="I42" i="17"/>
  <c r="Q42" i="17"/>
  <c r="G42" i="17"/>
  <c r="O42" i="17"/>
  <c r="F42" i="17"/>
  <c r="N42" i="17"/>
  <c r="AC19" i="26"/>
  <c r="D19" i="17"/>
  <c r="L19" i="17"/>
  <c r="AD41" i="17"/>
  <c r="AC41" i="17"/>
  <c r="AA41" i="17"/>
  <c r="AL41" i="17"/>
  <c r="Y41" i="17"/>
  <c r="X41" i="17"/>
  <c r="W41" i="17"/>
  <c r="AH41" i="17"/>
  <c r="V41" i="17"/>
  <c r="K41" i="17"/>
  <c r="S41" i="17"/>
  <c r="J41" i="17"/>
  <c r="R41" i="17"/>
  <c r="I41" i="17"/>
  <c r="Q41" i="17"/>
  <c r="H41" i="17"/>
  <c r="P41" i="17"/>
  <c r="F41" i="17"/>
  <c r="N41" i="17"/>
  <c r="AC8" i="26"/>
  <c r="D8" i="17"/>
  <c r="L8" i="17"/>
  <c r="AD40" i="17"/>
  <c r="AO40" i="17"/>
  <c r="AC40" i="17"/>
  <c r="AA40" i="17"/>
  <c r="X40" i="17"/>
  <c r="W40" i="17"/>
  <c r="AH40" i="17"/>
  <c r="V40" i="17"/>
  <c r="AG40" i="17"/>
  <c r="K40" i="17"/>
  <c r="S40" i="17"/>
  <c r="J40" i="17"/>
  <c r="R40" i="17"/>
  <c r="I40" i="17"/>
  <c r="Q40" i="17"/>
  <c r="H40" i="17"/>
  <c r="P40" i="17"/>
  <c r="F40" i="17"/>
  <c r="N40" i="17"/>
  <c r="AC4" i="26"/>
  <c r="D4" i="17"/>
  <c r="L4" i="17"/>
  <c r="AF39" i="17"/>
  <c r="AQ39" i="17"/>
  <c r="AE39" i="17"/>
  <c r="AD39" i="17"/>
  <c r="AC39" i="17"/>
  <c r="AA39" i="17"/>
  <c r="Y39" i="17"/>
  <c r="AJ39" i="17"/>
  <c r="W39" i="17"/>
  <c r="K39" i="17"/>
  <c r="S39" i="17"/>
  <c r="J39" i="17"/>
  <c r="R39" i="17"/>
  <c r="I39" i="17"/>
  <c r="Q39" i="17"/>
  <c r="H39" i="17"/>
  <c r="P39" i="17"/>
  <c r="G39" i="17"/>
  <c r="O39" i="17"/>
  <c r="F39" i="17"/>
  <c r="N39" i="17"/>
  <c r="AC11" i="26"/>
  <c r="D11" i="17"/>
  <c r="L11" i="17"/>
  <c r="AF38" i="17"/>
  <c r="AE38" i="17"/>
  <c r="AP38" i="17"/>
  <c r="AB38" i="17"/>
  <c r="AM38" i="17"/>
  <c r="AA38" i="17"/>
  <c r="AL38" i="17"/>
  <c r="Z38" i="17"/>
  <c r="AK38" i="17"/>
  <c r="X38" i="17"/>
  <c r="V38" i="17"/>
  <c r="K38" i="17"/>
  <c r="S38" i="17"/>
  <c r="J38" i="17"/>
  <c r="R38" i="17"/>
  <c r="I38" i="17"/>
  <c r="Q38" i="17"/>
  <c r="H38" i="17"/>
  <c r="P38" i="17"/>
  <c r="G38" i="17"/>
  <c r="O38" i="17"/>
  <c r="F38" i="17"/>
  <c r="N38" i="17"/>
  <c r="AC2" i="26"/>
  <c r="D2" i="17"/>
  <c r="L2" i="17"/>
  <c r="AF37" i="17"/>
  <c r="AQ37" i="17"/>
  <c r="AD37" i="17"/>
  <c r="AO37" i="17"/>
  <c r="AA37" i="17"/>
  <c r="AL37" i="17"/>
  <c r="Z37" i="17"/>
  <c r="AK37" i="17"/>
  <c r="Y37" i="17"/>
  <c r="X37" i="17"/>
  <c r="AI37" i="17"/>
  <c r="W37" i="17"/>
  <c r="AH37" i="17"/>
  <c r="K37" i="17"/>
  <c r="S37" i="17"/>
  <c r="J37" i="17"/>
  <c r="R37" i="17"/>
  <c r="I37" i="17"/>
  <c r="Q37" i="17"/>
  <c r="H37" i="17"/>
  <c r="P37" i="17"/>
  <c r="G37" i="17"/>
  <c r="O37" i="17"/>
  <c r="F37" i="17"/>
  <c r="N37" i="17"/>
  <c r="AC22" i="26"/>
  <c r="D22" i="17"/>
  <c r="L22" i="17"/>
  <c r="AF36" i="17"/>
  <c r="AC36" i="17"/>
  <c r="AN36" i="17"/>
  <c r="AA36" i="17"/>
  <c r="AL36" i="17"/>
  <c r="Y36" i="17"/>
  <c r="X36" i="17"/>
  <c r="V36" i="17"/>
  <c r="K36" i="17"/>
  <c r="S36" i="17"/>
  <c r="J36" i="17"/>
  <c r="R36" i="17"/>
  <c r="I36" i="17"/>
  <c r="Q36" i="17"/>
  <c r="H36" i="17"/>
  <c r="P36" i="17"/>
  <c r="G36" i="17"/>
  <c r="O36" i="17"/>
  <c r="F36" i="17"/>
  <c r="N36" i="17"/>
  <c r="AC26" i="26"/>
  <c r="D26" i="17"/>
  <c r="L26" i="17"/>
  <c r="AF35" i="17"/>
  <c r="AE35" i="17"/>
  <c r="AP35" i="17"/>
  <c r="AD35" i="17"/>
  <c r="AO35" i="17"/>
  <c r="AA35" i="17"/>
  <c r="AL35" i="17"/>
  <c r="Z35" i="17"/>
  <c r="AK35" i="17"/>
  <c r="Y35" i="17"/>
  <c r="X35" i="17"/>
  <c r="W35" i="17"/>
  <c r="V35" i="17"/>
  <c r="AG35" i="17"/>
  <c r="K35" i="17"/>
  <c r="S35" i="17"/>
  <c r="J35" i="17"/>
  <c r="R35" i="17"/>
  <c r="I35" i="17"/>
  <c r="Q35" i="17"/>
  <c r="H35" i="17"/>
  <c r="P35" i="17"/>
  <c r="G35" i="17"/>
  <c r="O35" i="17"/>
  <c r="F35" i="17"/>
  <c r="N35" i="17"/>
  <c r="AC30" i="26"/>
  <c r="D30" i="17"/>
  <c r="L30" i="17"/>
  <c r="AF34" i="17"/>
  <c r="AQ34" i="17"/>
  <c r="AD34" i="17"/>
  <c r="AO34" i="17"/>
  <c r="AC34" i="17"/>
  <c r="AN34" i="17"/>
  <c r="Z34" i="17"/>
  <c r="AK34" i="17"/>
  <c r="Y34" i="17"/>
  <c r="X34" i="17"/>
  <c r="AI34" i="17"/>
  <c r="W34" i="17"/>
  <c r="AH34" i="17"/>
  <c r="V34" i="17"/>
  <c r="AG34" i="17"/>
  <c r="K34" i="17"/>
  <c r="S34" i="17"/>
  <c r="I34" i="17"/>
  <c r="Q34" i="17"/>
  <c r="H34" i="17"/>
  <c r="P34" i="17"/>
  <c r="G34" i="17"/>
  <c r="O34" i="17"/>
  <c r="F34" i="17"/>
  <c r="N34" i="17"/>
  <c r="AC14" i="26"/>
  <c r="D14" i="17"/>
  <c r="L14" i="17"/>
  <c r="AF33" i="17"/>
  <c r="AQ33" i="17"/>
  <c r="AE33" i="17"/>
  <c r="AA33" i="17"/>
  <c r="AL33" i="17"/>
  <c r="Z33" i="17"/>
  <c r="AK33" i="17"/>
  <c r="Y33" i="17"/>
  <c r="X33" i="17"/>
  <c r="W33" i="17"/>
  <c r="AH33" i="17"/>
  <c r="V33" i="17"/>
  <c r="AG33" i="17"/>
  <c r="K33" i="17"/>
  <c r="S33" i="17"/>
  <c r="J33" i="17"/>
  <c r="R33" i="17"/>
  <c r="I33" i="17"/>
  <c r="Q33" i="17"/>
  <c r="H33" i="17"/>
  <c r="P33" i="17"/>
  <c r="G33" i="17"/>
  <c r="O33" i="17"/>
  <c r="F33" i="17"/>
  <c r="N33" i="17"/>
  <c r="AC13" i="26"/>
  <c r="D13" i="17"/>
  <c r="L13" i="17"/>
  <c r="AF32" i="17"/>
  <c r="AQ32" i="17"/>
  <c r="AC32" i="17"/>
  <c r="AN32" i="17"/>
  <c r="Z32" i="17"/>
  <c r="Y32" i="17"/>
  <c r="AJ32" i="17"/>
  <c r="X32" i="17"/>
  <c r="AI32" i="17"/>
  <c r="W32" i="17"/>
  <c r="V32" i="17"/>
  <c r="K32" i="17"/>
  <c r="S32" i="17"/>
  <c r="I32" i="17"/>
  <c r="Q32" i="17"/>
  <c r="H32" i="17"/>
  <c r="P32" i="17"/>
  <c r="G32" i="17"/>
  <c r="O32" i="17"/>
  <c r="F32" i="17"/>
  <c r="N32" i="17"/>
  <c r="AC3" i="26"/>
  <c r="D3" i="17"/>
  <c r="L3" i="17"/>
  <c r="AK32" i="17"/>
  <c r="AI33" i="17"/>
  <c r="AJ33" i="17"/>
  <c r="AP33" i="17"/>
  <c r="AJ34" i="17"/>
  <c r="AH35" i="17"/>
  <c r="AI35" i="17"/>
  <c r="AJ35" i="17"/>
  <c r="AQ35" i="17"/>
  <c r="AG36" i="17"/>
  <c r="AI36" i="17"/>
  <c r="AJ36" i="17"/>
  <c r="AQ36" i="17"/>
  <c r="AJ37" i="17"/>
  <c r="AG38" i="17"/>
  <c r="AI38" i="17"/>
  <c r="AQ38" i="17"/>
  <c r="AH39" i="17"/>
  <c r="AL39" i="17"/>
  <c r="AN39" i="17"/>
  <c r="AO39" i="17"/>
  <c r="AP39" i="17"/>
  <c r="AI40" i="17"/>
  <c r="AL40" i="17"/>
  <c r="AN40" i="17"/>
  <c r="AG41" i="17"/>
  <c r="AI41" i="17"/>
  <c r="AJ41" i="17"/>
  <c r="AN41" i="17"/>
  <c r="AO41" i="17"/>
  <c r="AG42" i="17"/>
  <c r="AJ42" i="17"/>
  <c r="AK42" i="17"/>
  <c r="AL42" i="17"/>
  <c r="AH43" i="17"/>
  <c r="AI43" i="17"/>
  <c r="AJ43" i="17"/>
  <c r="AK43" i="17"/>
  <c r="AM43" i="17"/>
  <c r="AN43" i="17"/>
  <c r="AQ43" i="17"/>
  <c r="AL44" i="17"/>
  <c r="AN44" i="17"/>
  <c r="AG46" i="17"/>
  <c r="AI46" i="17"/>
  <c r="AJ46" i="17"/>
  <c r="AK46" i="17"/>
  <c r="AO46" i="17"/>
  <c r="AG47" i="17"/>
  <c r="AI47" i="17"/>
  <c r="AJ47" i="17"/>
  <c r="AL47" i="17"/>
  <c r="AN47" i="17"/>
  <c r="AO47" i="17"/>
  <c r="AG49" i="17"/>
  <c r="AL49" i="17"/>
  <c r="AM49" i="17"/>
  <c r="AQ49" i="17"/>
  <c r="AG50" i="17"/>
  <c r="AH50" i="17"/>
  <c r="AI50" i="17"/>
  <c r="AJ50" i="17"/>
  <c r="AK50" i="17"/>
  <c r="AO50" i="17"/>
  <c r="AP50" i="17"/>
  <c r="AG51" i="17"/>
  <c r="AH51" i="17"/>
  <c r="AI51" i="17"/>
  <c r="AO51" i="17"/>
  <c r="AG52" i="17"/>
  <c r="AH52" i="17"/>
  <c r="AI52" i="17"/>
  <c r="AJ52" i="17"/>
  <c r="AL52" i="17"/>
  <c r="AN52" i="17"/>
  <c r="AG53" i="17"/>
  <c r="AH53" i="17"/>
  <c r="AI53" i="17"/>
  <c r="AJ53" i="17"/>
  <c r="AP53" i="17"/>
  <c r="AG54" i="17"/>
  <c r="AI54" i="17"/>
  <c r="AN54" i="17"/>
  <c r="AO54" i="17"/>
  <c r="AH55" i="17"/>
  <c r="AI55" i="17"/>
  <c r="AK55" i="17"/>
  <c r="AM55" i="17"/>
  <c r="AQ55" i="17"/>
  <c r="AH56" i="17"/>
  <c r="AI56" i="17"/>
  <c r="AJ56" i="17"/>
  <c r="AL56" i="17"/>
  <c r="AO56" i="17"/>
  <c r="AP56" i="17"/>
  <c r="AG57" i="17"/>
  <c r="AH57" i="17"/>
  <c r="AI57" i="17"/>
  <c r="AJ57" i="17"/>
  <c r="AM57" i="17"/>
  <c r="AN57" i="17"/>
  <c r="AQ57" i="17"/>
  <c r="AG58" i="17"/>
  <c r="AH58" i="17"/>
  <c r="AI58" i="17"/>
  <c r="AK58" i="17"/>
  <c r="AO58" i="17"/>
  <c r="AP58" i="17"/>
  <c r="AG59" i="17"/>
  <c r="AH59" i="17"/>
  <c r="AJ59" i="17"/>
  <c r="AM59" i="17"/>
  <c r="AN59" i="17"/>
  <c r="AO59" i="17"/>
  <c r="AQ59" i="17"/>
  <c r="AG60" i="17"/>
  <c r="AH60" i="17"/>
  <c r="AI60" i="17"/>
  <c r="AJ60" i="17"/>
  <c r="AL60" i="17"/>
  <c r="AO60" i="17"/>
  <c r="AP60" i="17"/>
  <c r="AH61" i="17"/>
  <c r="AI61" i="17"/>
  <c r="AJ61" i="17"/>
  <c r="AN61" i="17"/>
  <c r="AP61" i="17"/>
  <c r="AG62" i="17"/>
  <c r="AH62" i="17"/>
  <c r="AJ62" i="17"/>
  <c r="AL62" i="17"/>
  <c r="AM62" i="17"/>
  <c r="AN62" i="17"/>
  <c r="AQ62" i="17"/>
  <c r="AG64" i="17"/>
  <c r="AI64" i="17"/>
  <c r="AJ64" i="17"/>
  <c r="AK64" i="17"/>
  <c r="AM64" i="17"/>
  <c r="AO64" i="17"/>
  <c r="AG65" i="17"/>
  <c r="AH65" i="17"/>
  <c r="AI65" i="17"/>
  <c r="AO65" i="17"/>
  <c r="AG66" i="17"/>
  <c r="AH66" i="17"/>
  <c r="AI66" i="17"/>
  <c r="AJ66" i="17"/>
  <c r="AL66" i="17"/>
  <c r="AN66" i="17"/>
  <c r="AG67" i="17"/>
  <c r="AH67" i="17"/>
  <c r="AI67" i="17"/>
  <c r="AJ67" i="17"/>
  <c r="AP67" i="17"/>
  <c r="AG68" i="17"/>
  <c r="AI68" i="17"/>
  <c r="AJ68" i="17"/>
  <c r="AN68" i="17"/>
  <c r="AO68" i="17"/>
  <c r="AH69" i="17"/>
  <c r="AI69" i="17"/>
  <c r="AJ69" i="17"/>
  <c r="AK69" i="17"/>
  <c r="AM69" i="17"/>
  <c r="AQ69" i="17"/>
  <c r="AH70" i="17"/>
  <c r="AI70" i="17"/>
  <c r="AJ70" i="17"/>
  <c r="AK70" i="17"/>
  <c r="AO70" i="17"/>
  <c r="AP70" i="17"/>
  <c r="AG71" i="17"/>
  <c r="AH71" i="17"/>
  <c r="AI71" i="17"/>
  <c r="AJ71" i="17"/>
  <c r="AM71" i="17"/>
  <c r="AN71" i="17"/>
  <c r="AQ71" i="17"/>
  <c r="BE32" i="17"/>
  <c r="BG32" i="17"/>
  <c r="BH32" i="17"/>
  <c r="BL32" i="17"/>
  <c r="BO32" i="17"/>
  <c r="BE33" i="17"/>
  <c r="BG33" i="17"/>
  <c r="BH33" i="17"/>
  <c r="BI33" i="17"/>
  <c r="BE34" i="17"/>
  <c r="BG34" i="17"/>
  <c r="BH34" i="17"/>
  <c r="BI34" i="17"/>
  <c r="BL34" i="17"/>
  <c r="BM34" i="17"/>
  <c r="BI35" i="17"/>
  <c r="BJ35" i="17"/>
  <c r="BK35" i="17"/>
  <c r="BM35" i="17"/>
  <c r="BN35" i="17"/>
  <c r="BE36" i="17"/>
  <c r="BG36" i="17"/>
  <c r="BH36" i="17"/>
  <c r="BJ36" i="17"/>
  <c r="BO36" i="17"/>
  <c r="BI37" i="17"/>
  <c r="BJ37" i="17"/>
  <c r="BM37" i="17"/>
  <c r="BO37" i="17"/>
  <c r="BE38" i="17"/>
  <c r="BG38" i="17"/>
  <c r="BH38" i="17"/>
  <c r="BK38" i="17"/>
  <c r="BN38" i="17"/>
  <c r="BO38" i="17"/>
  <c r="BE39" i="17"/>
  <c r="BH39" i="17"/>
  <c r="BI39" i="17"/>
  <c r="BJ39" i="17"/>
  <c r="BM39" i="17"/>
  <c r="BE40" i="17"/>
  <c r="BH40" i="17"/>
  <c r="BI40" i="17"/>
  <c r="BJ40" i="17"/>
  <c r="BM40" i="17"/>
  <c r="BH41" i="17"/>
  <c r="BL41" i="17"/>
  <c r="BM41" i="17"/>
  <c r="BH42" i="17"/>
  <c r="BJ42" i="17"/>
  <c r="BK42" i="17"/>
  <c r="BM42" i="17"/>
  <c r="BN42" i="17"/>
  <c r="BG43" i="17"/>
  <c r="BK43" i="17"/>
  <c r="BL43" i="17"/>
  <c r="BO43" i="17"/>
  <c r="BE44" i="17"/>
  <c r="BL44" i="17"/>
  <c r="BM44" i="17"/>
  <c r="BN44" i="17"/>
  <c r="BH46" i="17"/>
  <c r="BJ46" i="17"/>
  <c r="BM46" i="17"/>
  <c r="BN46" i="17"/>
  <c r="BO46" i="17"/>
  <c r="BE47" i="17"/>
  <c r="BG47" i="17"/>
  <c r="BI47" i="17"/>
  <c r="BJ47" i="17"/>
  <c r="BL47" i="17"/>
  <c r="BE49" i="17"/>
  <c r="BG49" i="17"/>
  <c r="BH49" i="17"/>
  <c r="BN49" i="17"/>
  <c r="BO49" i="17"/>
  <c r="BG50" i="17"/>
  <c r="BH50" i="17"/>
  <c r="BM50" i="17"/>
  <c r="BN50" i="17"/>
  <c r="BH51" i="17"/>
  <c r="BL51" i="17"/>
  <c r="BM51" i="17"/>
  <c r="BE52" i="17"/>
  <c r="BI52" i="17"/>
  <c r="BE53" i="17"/>
  <c r="BH53" i="17"/>
  <c r="BI53" i="17"/>
  <c r="BM53" i="17"/>
  <c r="BN53" i="17"/>
  <c r="BE54" i="17"/>
  <c r="BH54" i="17"/>
  <c r="BM54" i="17"/>
  <c r="BN54" i="17"/>
  <c r="BE55" i="17"/>
  <c r="BG55" i="17"/>
  <c r="BI55" i="17"/>
  <c r="BJ55" i="17"/>
  <c r="BO55" i="17"/>
  <c r="BE56" i="17"/>
  <c r="BH56" i="17"/>
  <c r="BM56" i="17"/>
  <c r="BE57" i="17"/>
  <c r="BG57" i="17"/>
  <c r="BK57" i="17"/>
  <c r="BO57" i="17"/>
  <c r="BH58" i="17"/>
  <c r="BI58" i="17"/>
  <c r="BN58" i="17"/>
  <c r="BG59" i="17"/>
  <c r="BH59" i="17"/>
  <c r="BL59" i="17"/>
  <c r="BM59" i="17"/>
  <c r="BG60" i="17"/>
  <c r="BJ60" i="17"/>
  <c r="BM60" i="17"/>
  <c r="BN60" i="17"/>
  <c r="BE61" i="17"/>
  <c r="BN61" i="17"/>
  <c r="BE62" i="17"/>
  <c r="BG62" i="17"/>
  <c r="BJ62" i="17"/>
  <c r="BK62" i="17"/>
  <c r="BL62" i="17"/>
  <c r="BG64" i="17"/>
  <c r="BH64" i="17"/>
  <c r="BM64" i="17"/>
  <c r="BN64" i="17"/>
  <c r="BL65" i="17"/>
  <c r="BM65" i="17"/>
  <c r="BE66" i="17"/>
  <c r="BI66" i="17"/>
  <c r="BJ66" i="17"/>
  <c r="BE67" i="17"/>
  <c r="BH67" i="17"/>
  <c r="BI67" i="17"/>
  <c r="BM67" i="17"/>
  <c r="BN67" i="17"/>
  <c r="BG68" i="17"/>
  <c r="BH68" i="17"/>
  <c r="BM68" i="17"/>
  <c r="BN68" i="17"/>
  <c r="BJ69" i="17"/>
  <c r="BO69" i="17"/>
  <c r="BE70" i="17"/>
  <c r="BH70" i="17"/>
  <c r="BM70" i="17"/>
  <c r="BE71" i="17"/>
  <c r="BG71" i="17"/>
  <c r="BK71" i="17"/>
  <c r="BO71" i="17"/>
  <c r="BH72" i="17"/>
  <c r="BI72" i="17"/>
  <c r="BN72" i="17"/>
  <c r="BG73" i="17"/>
  <c r="BH73" i="17"/>
  <c r="BL73" i="17"/>
  <c r="BM73" i="17"/>
  <c r="BE74" i="17"/>
  <c r="BG74" i="17"/>
  <c r="BJ74" i="17"/>
  <c r="BM74" i="17"/>
  <c r="BN74" i="17"/>
  <c r="BE75" i="17"/>
  <c r="BN75" i="17"/>
  <c r="BG76" i="17"/>
  <c r="BJ76" i="17"/>
  <c r="BK76" i="17"/>
  <c r="BL76" i="17"/>
  <c r="BF33" i="17"/>
  <c r="BF35" i="17"/>
  <c r="BF37" i="17"/>
  <c r="BF38" i="17"/>
  <c r="BF39" i="17"/>
  <c r="BF41" i="17"/>
  <c r="BF42" i="17"/>
  <c r="BF44" i="17"/>
  <c r="BF46" i="17"/>
  <c r="BF49" i="17"/>
  <c r="BF51" i="17"/>
  <c r="BF52" i="17"/>
  <c r="BF53" i="17"/>
  <c r="BF54" i="17"/>
  <c r="BF55" i="17"/>
  <c r="BF58" i="17"/>
  <c r="BF61" i="17"/>
  <c r="BF62" i="17"/>
  <c r="BF64" i="17"/>
  <c r="BF66" i="17"/>
  <c r="BF68" i="17"/>
  <c r="BF69" i="17"/>
  <c r="BF72" i="17"/>
  <c r="BF73" i="17"/>
  <c r="BF76" i="17"/>
  <c r="AB76" i="4"/>
  <c r="AA76" i="4"/>
  <c r="AB75" i="4"/>
  <c r="AA75" i="4"/>
  <c r="AB74" i="4"/>
  <c r="AA74" i="4"/>
  <c r="AB73" i="4"/>
  <c r="AA73" i="4"/>
  <c r="AB72" i="4"/>
  <c r="AA72" i="4"/>
  <c r="AB71" i="4"/>
  <c r="AA71" i="4"/>
  <c r="AB70" i="4"/>
  <c r="AA70" i="4"/>
  <c r="AB69" i="4"/>
  <c r="AA69" i="4"/>
  <c r="AB68" i="4"/>
  <c r="AA68" i="4"/>
  <c r="AB67" i="4"/>
  <c r="AA67" i="4"/>
  <c r="AB66" i="4"/>
  <c r="AA66" i="4"/>
  <c r="AB65" i="4"/>
  <c r="AA65" i="4"/>
  <c r="AB64" i="4"/>
  <c r="AA64" i="4"/>
  <c r="AB63" i="4"/>
  <c r="AA63" i="4"/>
  <c r="AB62" i="4"/>
  <c r="AA62" i="4"/>
  <c r="AB61" i="4"/>
  <c r="AA61" i="4"/>
  <c r="AB60" i="4"/>
  <c r="AA60" i="4"/>
  <c r="AB59" i="4"/>
  <c r="AA59" i="4"/>
  <c r="AB58" i="4"/>
  <c r="AA58" i="4"/>
  <c r="AB57" i="4"/>
  <c r="AA57" i="4"/>
  <c r="AB56" i="4"/>
  <c r="AA56" i="4"/>
  <c r="AB55" i="4"/>
  <c r="AA55" i="4"/>
  <c r="AB54" i="4"/>
  <c r="AA54" i="4"/>
  <c r="AB53" i="4"/>
  <c r="AA53" i="4"/>
  <c r="AB52" i="4"/>
  <c r="AA52" i="4"/>
  <c r="AB51" i="4"/>
  <c r="AA51" i="4"/>
  <c r="AB50" i="4"/>
  <c r="AA50" i="4"/>
  <c r="AB49" i="4"/>
  <c r="AA49" i="4"/>
  <c r="AB48" i="4"/>
  <c r="AA48" i="4"/>
  <c r="AB47" i="4"/>
  <c r="AA47" i="4"/>
  <c r="AB46" i="4"/>
  <c r="AA46" i="4"/>
  <c r="AB45" i="4"/>
  <c r="AA45" i="4"/>
  <c r="AB44" i="4"/>
  <c r="AA44" i="4"/>
  <c r="AB43" i="4"/>
  <c r="AA43" i="4"/>
  <c r="AB42" i="4"/>
  <c r="AA42" i="4"/>
  <c r="AB41" i="4"/>
  <c r="AA41" i="4"/>
  <c r="AB40" i="4"/>
  <c r="AA40" i="4"/>
  <c r="AB39" i="4"/>
  <c r="AA39" i="4"/>
  <c r="AB38" i="4"/>
  <c r="AA38" i="4"/>
  <c r="AB37" i="4"/>
  <c r="AA37" i="4"/>
  <c r="AB36" i="4"/>
  <c r="AA36" i="4"/>
  <c r="AB35" i="4"/>
  <c r="AA35" i="4"/>
  <c r="AB34" i="4"/>
  <c r="AA34" i="4"/>
  <c r="AB33" i="4"/>
  <c r="AA33" i="4"/>
  <c r="AB32" i="4"/>
  <c r="AA32" i="4"/>
  <c r="AB31" i="4"/>
  <c r="AA31" i="4"/>
  <c r="Y76" i="4"/>
  <c r="Y75" i="4"/>
  <c r="Y74" i="4"/>
  <c r="Y73" i="4"/>
  <c r="Y72" i="4"/>
  <c r="Y71" i="4"/>
  <c r="Y70" i="4"/>
  <c r="Y69" i="4"/>
  <c r="Y68" i="4"/>
  <c r="Y67" i="4"/>
  <c r="Y66" i="4"/>
  <c r="Y65" i="4"/>
  <c r="Y64" i="4"/>
  <c r="Y63" i="4"/>
  <c r="Y62" i="4"/>
  <c r="Y61" i="4"/>
  <c r="Y60" i="4"/>
  <c r="Y59" i="4"/>
  <c r="Y58" i="4"/>
  <c r="Y57" i="4"/>
  <c r="Y56" i="4"/>
  <c r="Y55" i="4"/>
  <c r="Y54" i="4"/>
  <c r="Y53" i="4"/>
  <c r="Y52" i="4"/>
  <c r="Y51" i="4"/>
  <c r="Y50" i="4"/>
  <c r="Y49" i="4"/>
  <c r="Y48" i="4"/>
  <c r="Y47" i="4"/>
  <c r="Y46" i="4"/>
  <c r="Y45" i="4"/>
  <c r="Y44" i="4"/>
  <c r="Y43" i="4"/>
  <c r="Y42" i="4"/>
  <c r="Y41" i="4"/>
  <c r="Y40" i="4"/>
  <c r="Y39" i="4"/>
  <c r="Y38" i="4"/>
  <c r="Y37" i="4"/>
  <c r="Y36" i="4"/>
  <c r="Y35" i="4"/>
  <c r="Y34" i="4"/>
  <c r="Y33" i="4"/>
  <c r="Y32" i="4"/>
  <c r="Y31" i="4"/>
  <c r="V76" i="4"/>
  <c r="U76" i="4"/>
  <c r="V75" i="4"/>
  <c r="U75" i="4"/>
  <c r="V74" i="4"/>
  <c r="U74" i="4"/>
  <c r="V73" i="4"/>
  <c r="U73" i="4"/>
  <c r="V72" i="4"/>
  <c r="U72" i="4"/>
  <c r="V71" i="4"/>
  <c r="U71" i="4"/>
  <c r="V70" i="4"/>
  <c r="U70" i="4"/>
  <c r="V69" i="4"/>
  <c r="U69" i="4"/>
  <c r="V68" i="4"/>
  <c r="U68" i="4"/>
  <c r="V67" i="4"/>
  <c r="U67" i="4"/>
  <c r="V66" i="4"/>
  <c r="U66" i="4"/>
  <c r="V65" i="4"/>
  <c r="U65" i="4"/>
  <c r="V64" i="4"/>
  <c r="U64" i="4"/>
  <c r="V63" i="4"/>
  <c r="U63" i="4"/>
  <c r="V62" i="4"/>
  <c r="U62" i="4"/>
  <c r="V61" i="4"/>
  <c r="U61" i="4"/>
  <c r="V60" i="4"/>
  <c r="U60" i="4"/>
  <c r="V59" i="4"/>
  <c r="U59" i="4"/>
  <c r="V58" i="4"/>
  <c r="U58" i="4"/>
  <c r="V57" i="4"/>
  <c r="U57" i="4"/>
  <c r="V56" i="4"/>
  <c r="U56" i="4"/>
  <c r="V55" i="4"/>
  <c r="U55" i="4"/>
  <c r="V54" i="4"/>
  <c r="U54" i="4"/>
  <c r="V53" i="4"/>
  <c r="U53" i="4"/>
  <c r="V52" i="4"/>
  <c r="U52" i="4"/>
  <c r="V51" i="4"/>
  <c r="U51" i="4"/>
  <c r="V50" i="4"/>
  <c r="U50" i="4"/>
  <c r="V49" i="4"/>
  <c r="U49" i="4"/>
  <c r="V48" i="4"/>
  <c r="U48" i="4"/>
  <c r="V47" i="4"/>
  <c r="U47" i="4"/>
  <c r="V46" i="4"/>
  <c r="U46" i="4"/>
  <c r="V45" i="4"/>
  <c r="U45" i="4"/>
  <c r="V44" i="4"/>
  <c r="U44" i="4"/>
  <c r="V43" i="4"/>
  <c r="U43" i="4"/>
  <c r="V42" i="4"/>
  <c r="U42" i="4"/>
  <c r="V41" i="4"/>
  <c r="U41" i="4"/>
  <c r="V40" i="4"/>
  <c r="U40" i="4"/>
  <c r="V39" i="4"/>
  <c r="U39" i="4"/>
  <c r="V38" i="4"/>
  <c r="U38" i="4"/>
  <c r="V37" i="4"/>
  <c r="U37" i="4"/>
  <c r="V36" i="4"/>
  <c r="U36" i="4"/>
  <c r="V35" i="4"/>
  <c r="U35" i="4"/>
  <c r="V34" i="4"/>
  <c r="U34" i="4"/>
  <c r="V33" i="4"/>
  <c r="U33" i="4"/>
  <c r="U32" i="4"/>
  <c r="V31" i="4"/>
  <c r="U31" i="4"/>
  <c r="N76" i="4"/>
  <c r="M76" i="4"/>
  <c r="L76" i="4"/>
  <c r="K76" i="4"/>
  <c r="N75" i="4"/>
  <c r="M75" i="4"/>
  <c r="L75" i="4"/>
  <c r="K75" i="4"/>
  <c r="N74" i="4"/>
  <c r="M74" i="4"/>
  <c r="L74" i="4"/>
  <c r="K74" i="4"/>
  <c r="N73" i="4"/>
  <c r="M73" i="4"/>
  <c r="L73" i="4"/>
  <c r="K73" i="4"/>
  <c r="N72" i="4"/>
  <c r="M72" i="4"/>
  <c r="L72" i="4"/>
  <c r="K72" i="4"/>
  <c r="N71" i="4"/>
  <c r="M71" i="4"/>
  <c r="L71" i="4"/>
  <c r="K71" i="4"/>
  <c r="N70" i="4"/>
  <c r="M70" i="4"/>
  <c r="L70" i="4"/>
  <c r="K70" i="4"/>
  <c r="N69" i="4"/>
  <c r="M69" i="4"/>
  <c r="L69" i="4"/>
  <c r="K69" i="4"/>
  <c r="N68" i="4"/>
  <c r="M68" i="4"/>
  <c r="L68" i="4"/>
  <c r="K68" i="4"/>
  <c r="N67" i="4"/>
  <c r="M67" i="4"/>
  <c r="L67" i="4"/>
  <c r="K67" i="4"/>
  <c r="N66" i="4"/>
  <c r="M66" i="4"/>
  <c r="L66" i="4"/>
  <c r="K66" i="4"/>
  <c r="N65" i="4"/>
  <c r="M65" i="4"/>
  <c r="L65" i="4"/>
  <c r="K65" i="4"/>
  <c r="N64" i="4"/>
  <c r="M64" i="4"/>
  <c r="L64" i="4"/>
  <c r="K64" i="4"/>
  <c r="N63" i="4"/>
  <c r="M63" i="4"/>
  <c r="L63" i="4"/>
  <c r="K63" i="4"/>
  <c r="N62" i="4"/>
  <c r="M62" i="4"/>
  <c r="L62" i="4"/>
  <c r="K62" i="4"/>
  <c r="N61" i="4"/>
  <c r="M61" i="4"/>
  <c r="L61" i="4"/>
  <c r="K61" i="4"/>
  <c r="N60" i="4"/>
  <c r="M60" i="4"/>
  <c r="L60" i="4"/>
  <c r="K60" i="4"/>
  <c r="N59" i="4"/>
  <c r="M59" i="4"/>
  <c r="L59" i="4"/>
  <c r="K59" i="4"/>
  <c r="N58" i="4"/>
  <c r="M58" i="4"/>
  <c r="L58" i="4"/>
  <c r="K58" i="4"/>
  <c r="N57" i="4"/>
  <c r="M57" i="4"/>
  <c r="L57" i="4"/>
  <c r="K57" i="4"/>
  <c r="N56" i="4"/>
  <c r="M56" i="4"/>
  <c r="L56" i="4"/>
  <c r="K56" i="4"/>
  <c r="N55" i="4"/>
  <c r="M55" i="4"/>
  <c r="L55" i="4"/>
  <c r="K55" i="4"/>
  <c r="N54" i="4"/>
  <c r="M54" i="4"/>
  <c r="L54" i="4"/>
  <c r="K54" i="4"/>
  <c r="N53" i="4"/>
  <c r="M53" i="4"/>
  <c r="L53" i="4"/>
  <c r="K53" i="4"/>
  <c r="N52" i="4"/>
  <c r="M52" i="4"/>
  <c r="L52" i="4"/>
  <c r="K52" i="4"/>
  <c r="N51" i="4"/>
  <c r="M51" i="4"/>
  <c r="L51" i="4"/>
  <c r="K51" i="4"/>
  <c r="N50" i="4"/>
  <c r="M50" i="4"/>
  <c r="L50" i="4"/>
  <c r="K50" i="4"/>
  <c r="N49" i="4"/>
  <c r="M49" i="4"/>
  <c r="L49" i="4"/>
  <c r="K49" i="4"/>
  <c r="N48" i="4"/>
  <c r="M48" i="4"/>
  <c r="L48" i="4"/>
  <c r="K48" i="4"/>
  <c r="N47" i="4"/>
  <c r="M47" i="4"/>
  <c r="L47" i="4"/>
  <c r="K47" i="4"/>
  <c r="N46" i="4"/>
  <c r="M46" i="4"/>
  <c r="L46" i="4"/>
  <c r="K46" i="4"/>
  <c r="N45" i="4"/>
  <c r="M45" i="4"/>
  <c r="L45" i="4"/>
  <c r="K45" i="4"/>
  <c r="N44" i="4"/>
  <c r="M44" i="4"/>
  <c r="L44" i="4"/>
  <c r="K44" i="4"/>
  <c r="N43" i="4"/>
  <c r="M43" i="4"/>
  <c r="L43" i="4"/>
  <c r="K43" i="4"/>
  <c r="N42" i="4"/>
  <c r="M42" i="4"/>
  <c r="L42" i="4"/>
  <c r="K42" i="4"/>
  <c r="N41" i="4"/>
  <c r="M41" i="4"/>
  <c r="L41" i="4"/>
  <c r="K41" i="4"/>
  <c r="N40" i="4"/>
  <c r="M40" i="4"/>
  <c r="L40" i="4"/>
  <c r="K40" i="4"/>
  <c r="N39" i="4"/>
  <c r="M39" i="4"/>
  <c r="L39" i="4"/>
  <c r="K39" i="4"/>
  <c r="N38" i="4"/>
  <c r="M38" i="4"/>
  <c r="L38" i="4"/>
  <c r="K38" i="4"/>
  <c r="N37" i="4"/>
  <c r="M37" i="4"/>
  <c r="L37" i="4"/>
  <c r="K37" i="4"/>
  <c r="N36" i="4"/>
  <c r="M36" i="4"/>
  <c r="L36" i="4"/>
  <c r="K36" i="4"/>
  <c r="N35" i="4"/>
  <c r="M35" i="4"/>
  <c r="L35" i="4"/>
  <c r="K35" i="4"/>
  <c r="N34" i="4"/>
  <c r="M34" i="4"/>
  <c r="L34" i="4"/>
  <c r="K34" i="4"/>
  <c r="N33" i="4"/>
  <c r="M33" i="4"/>
  <c r="L33" i="4"/>
  <c r="K33" i="4"/>
  <c r="N32" i="4"/>
  <c r="M32" i="4"/>
  <c r="L32" i="4"/>
  <c r="K32" i="4"/>
  <c r="N31" i="4"/>
  <c r="M31" i="4"/>
  <c r="L31" i="4"/>
  <c r="K31" i="4"/>
  <c r="D27" i="27"/>
  <c r="E27" i="27"/>
  <c r="F27" i="27"/>
  <c r="G27" i="27"/>
  <c r="H27" i="27"/>
  <c r="I27" i="27"/>
  <c r="J27" i="27"/>
  <c r="K27" i="27"/>
  <c r="L27" i="27"/>
  <c r="M27" i="27"/>
  <c r="N27" i="27"/>
  <c r="O27" i="27"/>
  <c r="P27" i="27"/>
  <c r="Q27" i="27"/>
  <c r="R27" i="27"/>
  <c r="S27" i="27"/>
  <c r="T27" i="27"/>
  <c r="U27" i="27"/>
  <c r="V27" i="27"/>
  <c r="W27" i="27"/>
  <c r="X27" i="27"/>
  <c r="Y27" i="27"/>
  <c r="Z27" i="27"/>
  <c r="C27" i="27"/>
  <c r="C27" i="26"/>
  <c r="H27" i="4"/>
  <c r="H76" i="4"/>
  <c r="G76" i="4"/>
  <c r="F76" i="4"/>
  <c r="E76" i="4"/>
  <c r="D76" i="4"/>
  <c r="D18" i="27"/>
  <c r="E18" i="27"/>
  <c r="F18" i="27"/>
  <c r="G18" i="27"/>
  <c r="H18" i="27"/>
  <c r="I18" i="27"/>
  <c r="J18" i="27"/>
  <c r="K18" i="27"/>
  <c r="L18" i="27"/>
  <c r="M18" i="27"/>
  <c r="N18" i="27"/>
  <c r="O18" i="27"/>
  <c r="P18" i="27"/>
  <c r="Q18" i="27"/>
  <c r="R18" i="27"/>
  <c r="S18" i="27"/>
  <c r="T18" i="27"/>
  <c r="U18" i="27"/>
  <c r="V18" i="27"/>
  <c r="W18" i="27"/>
  <c r="X18" i="27"/>
  <c r="Y18" i="27"/>
  <c r="Z18" i="27"/>
  <c r="C18" i="27"/>
  <c r="C18" i="26"/>
  <c r="H18" i="4"/>
  <c r="H75" i="4"/>
  <c r="G75" i="4"/>
  <c r="F75" i="4"/>
  <c r="E75" i="4"/>
  <c r="D75" i="4"/>
  <c r="D12" i="27"/>
  <c r="E12" i="27"/>
  <c r="F12" i="27"/>
  <c r="G12" i="27"/>
  <c r="H12" i="27"/>
  <c r="I12" i="27"/>
  <c r="J12" i="27"/>
  <c r="K12" i="27"/>
  <c r="L12" i="27"/>
  <c r="M12" i="27"/>
  <c r="N12" i="27"/>
  <c r="O12" i="27"/>
  <c r="P12" i="27"/>
  <c r="Q12" i="27"/>
  <c r="R12" i="27"/>
  <c r="S12" i="27"/>
  <c r="T12" i="27"/>
  <c r="U12" i="27"/>
  <c r="V12" i="27"/>
  <c r="W12" i="27"/>
  <c r="X12" i="27"/>
  <c r="Y12" i="27"/>
  <c r="Z12" i="27"/>
  <c r="C12" i="27"/>
  <c r="C12" i="26"/>
  <c r="H12" i="4"/>
  <c r="H74" i="4"/>
  <c r="G74" i="4"/>
  <c r="F74" i="4"/>
  <c r="E74" i="4"/>
  <c r="D74" i="4"/>
  <c r="D7" i="27"/>
  <c r="E7" i="27"/>
  <c r="F7" i="27"/>
  <c r="G7" i="27"/>
  <c r="H7" i="27"/>
  <c r="I7" i="27"/>
  <c r="J7" i="27"/>
  <c r="K7" i="27"/>
  <c r="L7" i="27"/>
  <c r="M7" i="27"/>
  <c r="N7" i="27"/>
  <c r="O7" i="27"/>
  <c r="P7" i="27"/>
  <c r="Q7" i="27"/>
  <c r="R7" i="27"/>
  <c r="S7" i="27"/>
  <c r="T7" i="27"/>
  <c r="U7" i="27"/>
  <c r="V7" i="27"/>
  <c r="W7" i="27"/>
  <c r="X7" i="27"/>
  <c r="Y7" i="27"/>
  <c r="Z7" i="27"/>
  <c r="C7" i="27"/>
  <c r="C7" i="26"/>
  <c r="H7" i="4"/>
  <c r="H73" i="4"/>
  <c r="G73" i="4"/>
  <c r="F73" i="4"/>
  <c r="E73" i="4"/>
  <c r="D73" i="4"/>
  <c r="D16" i="27"/>
  <c r="E16" i="27"/>
  <c r="F16" i="27"/>
  <c r="G16" i="27"/>
  <c r="H16" i="27"/>
  <c r="I16" i="27"/>
  <c r="J16" i="27"/>
  <c r="K16" i="27"/>
  <c r="L16" i="27"/>
  <c r="M16" i="27"/>
  <c r="N16" i="27"/>
  <c r="O16" i="27"/>
  <c r="P16" i="27"/>
  <c r="Q16" i="27"/>
  <c r="R16" i="27"/>
  <c r="S16" i="27"/>
  <c r="T16" i="27"/>
  <c r="U16" i="27"/>
  <c r="V16" i="27"/>
  <c r="W16" i="27"/>
  <c r="X16" i="27"/>
  <c r="Y16" i="27"/>
  <c r="Z16" i="27"/>
  <c r="C16" i="27"/>
  <c r="C16" i="26"/>
  <c r="H16" i="4"/>
  <c r="H72" i="4"/>
  <c r="G72" i="4"/>
  <c r="F72" i="4"/>
  <c r="E72" i="4"/>
  <c r="D72" i="4"/>
  <c r="D29" i="27"/>
  <c r="E29" i="27"/>
  <c r="F29" i="27"/>
  <c r="G29" i="27"/>
  <c r="H29" i="27"/>
  <c r="I29" i="27"/>
  <c r="J29" i="27"/>
  <c r="K29" i="27"/>
  <c r="L29" i="27"/>
  <c r="M29" i="27"/>
  <c r="N29" i="27"/>
  <c r="O29" i="27"/>
  <c r="P29" i="27"/>
  <c r="Q29" i="27"/>
  <c r="R29" i="27"/>
  <c r="S29" i="27"/>
  <c r="T29" i="27"/>
  <c r="U29" i="27"/>
  <c r="V29" i="27"/>
  <c r="W29" i="27"/>
  <c r="X29" i="27"/>
  <c r="Y29" i="27"/>
  <c r="Z29" i="27"/>
  <c r="C29" i="27"/>
  <c r="C29" i="26"/>
  <c r="H29" i="4"/>
  <c r="H71" i="4"/>
  <c r="G71" i="4"/>
  <c r="F71" i="4"/>
  <c r="E71" i="4"/>
  <c r="D71" i="4"/>
  <c r="D20" i="27"/>
  <c r="E20" i="27"/>
  <c r="F20" i="27"/>
  <c r="G20" i="27"/>
  <c r="H20" i="27"/>
  <c r="I20" i="27"/>
  <c r="J20" i="27"/>
  <c r="K20" i="27"/>
  <c r="L20" i="27"/>
  <c r="M20" i="27"/>
  <c r="N20" i="27"/>
  <c r="O20" i="27"/>
  <c r="P20" i="27"/>
  <c r="Q20" i="27"/>
  <c r="R20" i="27"/>
  <c r="S20" i="27"/>
  <c r="T20" i="27"/>
  <c r="U20" i="27"/>
  <c r="V20" i="27"/>
  <c r="W20" i="27"/>
  <c r="X20" i="27"/>
  <c r="Y20" i="27"/>
  <c r="Z20" i="27"/>
  <c r="C20" i="27"/>
  <c r="C20" i="26"/>
  <c r="H20" i="4"/>
  <c r="H70" i="4"/>
  <c r="G70" i="4"/>
  <c r="F70" i="4"/>
  <c r="E70" i="4"/>
  <c r="D70" i="4"/>
  <c r="D24" i="27"/>
  <c r="E24" i="27"/>
  <c r="F24" i="27"/>
  <c r="G24" i="27"/>
  <c r="H24" i="27"/>
  <c r="I24" i="27"/>
  <c r="J24" i="27"/>
  <c r="K24" i="27"/>
  <c r="L24" i="27"/>
  <c r="M24" i="27"/>
  <c r="N24" i="27"/>
  <c r="O24" i="27"/>
  <c r="P24" i="27"/>
  <c r="Q24" i="27"/>
  <c r="R24" i="27"/>
  <c r="S24" i="27"/>
  <c r="T24" i="27"/>
  <c r="U24" i="27"/>
  <c r="V24" i="27"/>
  <c r="W24" i="27"/>
  <c r="X24" i="27"/>
  <c r="Y24" i="27"/>
  <c r="Z24" i="27"/>
  <c r="C24" i="27"/>
  <c r="C24" i="26"/>
  <c r="H24" i="4"/>
  <c r="H69" i="4"/>
  <c r="G69" i="4"/>
  <c r="F69" i="4"/>
  <c r="E69" i="4"/>
  <c r="D69" i="4"/>
  <c r="D9" i="27"/>
  <c r="E9" i="27"/>
  <c r="F9" i="27"/>
  <c r="G9" i="27"/>
  <c r="H9" i="27"/>
  <c r="I9" i="27"/>
  <c r="J9" i="27"/>
  <c r="K9" i="27"/>
  <c r="L9" i="27"/>
  <c r="M9" i="27"/>
  <c r="N9" i="27"/>
  <c r="O9" i="27"/>
  <c r="P9" i="27"/>
  <c r="Q9" i="27"/>
  <c r="R9" i="27"/>
  <c r="S9" i="27"/>
  <c r="T9" i="27"/>
  <c r="U9" i="27"/>
  <c r="V9" i="27"/>
  <c r="W9" i="27"/>
  <c r="X9" i="27"/>
  <c r="Y9" i="27"/>
  <c r="Z9" i="27"/>
  <c r="C9" i="27"/>
  <c r="C9" i="26"/>
  <c r="H9" i="4"/>
  <c r="H68" i="4"/>
  <c r="G68" i="4"/>
  <c r="F68" i="4"/>
  <c r="E68" i="4"/>
  <c r="D68" i="4"/>
  <c r="D5" i="27"/>
  <c r="E5" i="27"/>
  <c r="F5" i="27"/>
  <c r="G5" i="27"/>
  <c r="H5" i="27"/>
  <c r="I5" i="27"/>
  <c r="J5" i="27"/>
  <c r="K5" i="27"/>
  <c r="L5" i="27"/>
  <c r="M5" i="27"/>
  <c r="N5" i="27"/>
  <c r="O5" i="27"/>
  <c r="P5" i="27"/>
  <c r="Q5" i="27"/>
  <c r="R5" i="27"/>
  <c r="S5" i="27"/>
  <c r="T5" i="27"/>
  <c r="U5" i="27"/>
  <c r="V5" i="27"/>
  <c r="W5" i="27"/>
  <c r="X5" i="27"/>
  <c r="Y5" i="27"/>
  <c r="Z5" i="27"/>
  <c r="C5" i="27"/>
  <c r="C5" i="26"/>
  <c r="H5" i="4"/>
  <c r="H67" i="4"/>
  <c r="G67" i="4"/>
  <c r="F67" i="4"/>
  <c r="E67" i="4"/>
  <c r="D67" i="4"/>
  <c r="D17" i="27"/>
  <c r="E17" i="27"/>
  <c r="F17" i="27"/>
  <c r="G17" i="27"/>
  <c r="H17" i="27"/>
  <c r="I17" i="27"/>
  <c r="J17" i="27"/>
  <c r="K17" i="27"/>
  <c r="L17" i="27"/>
  <c r="M17" i="27"/>
  <c r="N17" i="27"/>
  <c r="O17" i="27"/>
  <c r="P17" i="27"/>
  <c r="Q17" i="27"/>
  <c r="R17" i="27"/>
  <c r="S17" i="27"/>
  <c r="T17" i="27"/>
  <c r="U17" i="27"/>
  <c r="V17" i="27"/>
  <c r="W17" i="27"/>
  <c r="X17" i="27"/>
  <c r="Y17" i="27"/>
  <c r="Z17" i="27"/>
  <c r="C17" i="27"/>
  <c r="C17" i="26"/>
  <c r="H17" i="4"/>
  <c r="H66" i="4"/>
  <c r="G66" i="4"/>
  <c r="F66" i="4"/>
  <c r="E66" i="4"/>
  <c r="D66" i="4"/>
  <c r="D21" i="27"/>
  <c r="E21" i="27"/>
  <c r="F21" i="27"/>
  <c r="G21" i="27"/>
  <c r="H21" i="27"/>
  <c r="I21" i="27"/>
  <c r="J21" i="27"/>
  <c r="K21" i="27"/>
  <c r="L21" i="27"/>
  <c r="M21" i="27"/>
  <c r="N21" i="27"/>
  <c r="O21" i="27"/>
  <c r="P21" i="27"/>
  <c r="Q21" i="27"/>
  <c r="R21" i="27"/>
  <c r="S21" i="27"/>
  <c r="T21" i="27"/>
  <c r="U21" i="27"/>
  <c r="V21" i="27"/>
  <c r="W21" i="27"/>
  <c r="X21" i="27"/>
  <c r="Y21" i="27"/>
  <c r="Z21" i="27"/>
  <c r="C21" i="27"/>
  <c r="C21" i="26"/>
  <c r="H21" i="4"/>
  <c r="H65" i="4"/>
  <c r="G65" i="4"/>
  <c r="F65" i="4"/>
  <c r="E65" i="4"/>
  <c r="D65" i="4"/>
  <c r="D25" i="27"/>
  <c r="E25" i="27"/>
  <c r="F25" i="27"/>
  <c r="G25" i="27"/>
  <c r="H25" i="27"/>
  <c r="I25" i="27"/>
  <c r="J25" i="27"/>
  <c r="K25" i="27"/>
  <c r="L25" i="27"/>
  <c r="M25" i="27"/>
  <c r="N25" i="27"/>
  <c r="O25" i="27"/>
  <c r="P25" i="27"/>
  <c r="Q25" i="27"/>
  <c r="R25" i="27"/>
  <c r="S25" i="27"/>
  <c r="T25" i="27"/>
  <c r="U25" i="27"/>
  <c r="V25" i="27"/>
  <c r="W25" i="27"/>
  <c r="X25" i="27"/>
  <c r="Y25" i="27"/>
  <c r="Z25" i="27"/>
  <c r="C25" i="27"/>
  <c r="C25" i="26"/>
  <c r="H25" i="4"/>
  <c r="H64" i="4"/>
  <c r="G64" i="4"/>
  <c r="F64" i="4"/>
  <c r="E64" i="4"/>
  <c r="D64" i="4"/>
  <c r="H63" i="4"/>
  <c r="G63" i="4"/>
  <c r="F63" i="4"/>
  <c r="E63" i="4"/>
  <c r="D63" i="4"/>
  <c r="H62" i="4"/>
  <c r="G62" i="4"/>
  <c r="F62" i="4"/>
  <c r="E62" i="4"/>
  <c r="D62" i="4"/>
  <c r="H61" i="4"/>
  <c r="G61" i="4"/>
  <c r="F61" i="4"/>
  <c r="E61" i="4"/>
  <c r="D61" i="4"/>
  <c r="H60" i="4"/>
  <c r="G60" i="4"/>
  <c r="F60" i="4"/>
  <c r="E60" i="4"/>
  <c r="D60" i="4"/>
  <c r="H59" i="4"/>
  <c r="G59" i="4"/>
  <c r="F59" i="4"/>
  <c r="E59" i="4"/>
  <c r="D59" i="4"/>
  <c r="H58" i="4"/>
  <c r="G58" i="4"/>
  <c r="F58" i="4"/>
  <c r="E58" i="4"/>
  <c r="D58" i="4"/>
  <c r="H57" i="4"/>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50" i="4"/>
  <c r="G50" i="4"/>
  <c r="F50" i="4"/>
  <c r="E50" i="4"/>
  <c r="D50" i="4"/>
  <c r="D23" i="27"/>
  <c r="E23" i="27"/>
  <c r="F23" i="27"/>
  <c r="G23" i="27"/>
  <c r="H23" i="27"/>
  <c r="I23" i="27"/>
  <c r="J23" i="27"/>
  <c r="K23" i="27"/>
  <c r="L23" i="27"/>
  <c r="M23" i="27"/>
  <c r="N23" i="27"/>
  <c r="O23" i="27"/>
  <c r="P23" i="27"/>
  <c r="Q23" i="27"/>
  <c r="R23" i="27"/>
  <c r="S23" i="27"/>
  <c r="T23" i="27"/>
  <c r="U23" i="27"/>
  <c r="V23" i="27"/>
  <c r="W23" i="27"/>
  <c r="X23" i="27"/>
  <c r="Y23" i="27"/>
  <c r="Z23" i="27"/>
  <c r="C23" i="27"/>
  <c r="C23" i="26"/>
  <c r="H23" i="4"/>
  <c r="H49" i="4"/>
  <c r="G49" i="4"/>
  <c r="F49" i="4"/>
  <c r="E49" i="4"/>
  <c r="D49" i="4"/>
  <c r="H48" i="4"/>
  <c r="G48" i="4"/>
  <c r="F48" i="4"/>
  <c r="E48" i="4"/>
  <c r="D48" i="4"/>
  <c r="D6" i="27"/>
  <c r="E6" i="27"/>
  <c r="F6" i="27"/>
  <c r="G6" i="27"/>
  <c r="H6" i="27"/>
  <c r="I6" i="27"/>
  <c r="J6" i="27"/>
  <c r="K6" i="27"/>
  <c r="L6" i="27"/>
  <c r="M6" i="27"/>
  <c r="N6" i="27"/>
  <c r="O6" i="27"/>
  <c r="P6" i="27"/>
  <c r="Q6" i="27"/>
  <c r="R6" i="27"/>
  <c r="S6" i="27"/>
  <c r="T6" i="27"/>
  <c r="U6" i="27"/>
  <c r="V6" i="27"/>
  <c r="W6" i="27"/>
  <c r="X6" i="27"/>
  <c r="Y6" i="27"/>
  <c r="Z6" i="27"/>
  <c r="C6" i="27"/>
  <c r="C6" i="26"/>
  <c r="H6" i="4"/>
  <c r="H47" i="4"/>
  <c r="G47" i="4"/>
  <c r="F47" i="4"/>
  <c r="E47" i="4"/>
  <c r="D47" i="4"/>
  <c r="D10" i="27"/>
  <c r="E10" i="27"/>
  <c r="F10" i="27"/>
  <c r="G10" i="27"/>
  <c r="H10" i="27"/>
  <c r="I10" i="27"/>
  <c r="J10" i="27"/>
  <c r="K10" i="27"/>
  <c r="L10" i="27"/>
  <c r="M10" i="27"/>
  <c r="N10" i="27"/>
  <c r="O10" i="27"/>
  <c r="P10" i="27"/>
  <c r="Q10" i="27"/>
  <c r="R10" i="27"/>
  <c r="S10" i="27"/>
  <c r="T10" i="27"/>
  <c r="U10" i="27"/>
  <c r="V10" i="27"/>
  <c r="W10" i="27"/>
  <c r="X10" i="27"/>
  <c r="Y10" i="27"/>
  <c r="Z10" i="27"/>
  <c r="C10" i="27"/>
  <c r="C10" i="26"/>
  <c r="H10" i="4"/>
  <c r="H46" i="4"/>
  <c r="G46" i="4"/>
  <c r="F46" i="4"/>
  <c r="E46" i="4"/>
  <c r="D46" i="4"/>
  <c r="H45" i="4"/>
  <c r="G45" i="4"/>
  <c r="F45" i="4"/>
  <c r="E45" i="4"/>
  <c r="D45" i="4"/>
  <c r="C15" i="26"/>
  <c r="H15" i="4"/>
  <c r="H44" i="4"/>
  <c r="F44" i="4"/>
  <c r="E44" i="4"/>
  <c r="D44" i="4"/>
  <c r="C28" i="26"/>
  <c r="H28" i="4"/>
  <c r="H43" i="4"/>
  <c r="F43" i="4"/>
  <c r="E43" i="4"/>
  <c r="D43" i="4"/>
  <c r="C19" i="26"/>
  <c r="H19" i="4"/>
  <c r="H42" i="4"/>
  <c r="F42" i="4"/>
  <c r="E42" i="4"/>
  <c r="D42" i="4"/>
  <c r="C8" i="26"/>
  <c r="H8" i="4"/>
  <c r="H41" i="4"/>
  <c r="F41" i="4"/>
  <c r="E41" i="4"/>
  <c r="D41" i="4"/>
  <c r="C4" i="26"/>
  <c r="H4" i="4"/>
  <c r="H40" i="4"/>
  <c r="F40" i="4"/>
  <c r="E40" i="4"/>
  <c r="D40" i="4"/>
  <c r="C11" i="26"/>
  <c r="H11" i="4"/>
  <c r="H39" i="4"/>
  <c r="F39" i="4"/>
  <c r="E39" i="4"/>
  <c r="D39" i="4"/>
  <c r="H2" i="4"/>
  <c r="H38" i="4"/>
  <c r="F38" i="4"/>
  <c r="E38" i="4"/>
  <c r="D38" i="4"/>
  <c r="C22" i="26"/>
  <c r="H22" i="4"/>
  <c r="H37" i="4"/>
  <c r="F37" i="4"/>
  <c r="E37" i="4"/>
  <c r="D37" i="4"/>
  <c r="C26" i="26"/>
  <c r="H26" i="4"/>
  <c r="H36" i="4"/>
  <c r="F36" i="4"/>
  <c r="E36" i="4"/>
  <c r="D36" i="4"/>
  <c r="C30" i="26"/>
  <c r="H30" i="4"/>
  <c r="H35" i="4"/>
  <c r="F35" i="4"/>
  <c r="E35" i="4"/>
  <c r="D35" i="4"/>
  <c r="C14" i="26"/>
  <c r="H14" i="4"/>
  <c r="H34" i="4"/>
  <c r="F34" i="4"/>
  <c r="E34" i="4"/>
  <c r="D34" i="4"/>
  <c r="H13" i="4"/>
  <c r="H33" i="4"/>
  <c r="F33" i="4"/>
  <c r="E33" i="4"/>
  <c r="D33" i="4"/>
  <c r="H3" i="4"/>
  <c r="H32" i="4"/>
  <c r="F32" i="4"/>
  <c r="E32" i="4"/>
  <c r="H31" i="4"/>
  <c r="F31" i="4"/>
  <c r="E31" i="4"/>
  <c r="D31" i="4"/>
  <c r="AA27" i="36"/>
  <c r="AZ27" i="36"/>
  <c r="BY27" i="36"/>
  <c r="BB27" i="28"/>
  <c r="BB76" i="28"/>
  <c r="Z27" i="36"/>
  <c r="AY27" i="36"/>
  <c r="BX27" i="36"/>
  <c r="AZ76" i="28"/>
  <c r="AY76" i="28"/>
  <c r="AX76" i="28"/>
  <c r="AW76" i="28"/>
  <c r="AV76" i="28"/>
  <c r="AU76" i="28"/>
  <c r="AT76" i="28"/>
  <c r="AS76" i="28"/>
  <c r="AR76" i="28"/>
  <c r="AQ76" i="28"/>
  <c r="AP76" i="28"/>
  <c r="AO76" i="28"/>
  <c r="AN76" i="28"/>
  <c r="AM76" i="28"/>
  <c r="AL76" i="28"/>
  <c r="AK76" i="28"/>
  <c r="AJ76" i="28"/>
  <c r="AI76" i="28"/>
  <c r="AH76" i="28"/>
  <c r="AG76" i="28"/>
  <c r="AF76" i="28"/>
  <c r="AE76" i="28"/>
  <c r="AD76" i="28"/>
  <c r="AC76" i="28"/>
  <c r="AB27" i="28"/>
  <c r="AB76" i="28"/>
  <c r="AA27" i="28"/>
  <c r="AA76" i="28"/>
  <c r="Z76" i="28"/>
  <c r="Y76" i="28"/>
  <c r="X76" i="28"/>
  <c r="W76" i="28"/>
  <c r="V76" i="28"/>
  <c r="U76" i="28"/>
  <c r="T76" i="28"/>
  <c r="S76" i="28"/>
  <c r="R76" i="28"/>
  <c r="Q76" i="28"/>
  <c r="P76" i="28"/>
  <c r="O76" i="28"/>
  <c r="N76" i="28"/>
  <c r="M76" i="28"/>
  <c r="L76" i="28"/>
  <c r="K76" i="28"/>
  <c r="J76" i="28"/>
  <c r="I76" i="28"/>
  <c r="H76" i="28"/>
  <c r="G76" i="28"/>
  <c r="F76" i="28"/>
  <c r="E76" i="28"/>
  <c r="D76" i="28"/>
  <c r="C76" i="28"/>
  <c r="AA18" i="36"/>
  <c r="AZ18" i="36"/>
  <c r="BY18" i="36"/>
  <c r="BB18" i="28"/>
  <c r="BB75" i="28"/>
  <c r="Z18" i="36"/>
  <c r="AY18" i="36"/>
  <c r="BX18" i="36"/>
  <c r="BA18" i="28"/>
  <c r="BA75" i="28"/>
  <c r="AZ75" i="28"/>
  <c r="AY75" i="28"/>
  <c r="AX75" i="28"/>
  <c r="AW75" i="28"/>
  <c r="AV75" i="28"/>
  <c r="AU75" i="28"/>
  <c r="AT75" i="28"/>
  <c r="AS75" i="28"/>
  <c r="AR75" i="28"/>
  <c r="AQ75" i="28"/>
  <c r="AP75" i="28"/>
  <c r="AO75" i="28"/>
  <c r="AN75" i="28"/>
  <c r="AM75" i="28"/>
  <c r="AL75" i="28"/>
  <c r="AK75" i="28"/>
  <c r="AJ75" i="28"/>
  <c r="AI75" i="28"/>
  <c r="AH75" i="28"/>
  <c r="AG75" i="28"/>
  <c r="AF75" i="28"/>
  <c r="AE75" i="28"/>
  <c r="AD75" i="28"/>
  <c r="AC75" i="28"/>
  <c r="AB18" i="28"/>
  <c r="AB75" i="28"/>
  <c r="AA18" i="28"/>
  <c r="AA75" i="28"/>
  <c r="Z75" i="28"/>
  <c r="Y75" i="28"/>
  <c r="X75" i="28"/>
  <c r="W75" i="28"/>
  <c r="V75" i="28"/>
  <c r="U75" i="28"/>
  <c r="T75" i="28"/>
  <c r="S75" i="28"/>
  <c r="R75" i="28"/>
  <c r="Q75" i="28"/>
  <c r="P75" i="28"/>
  <c r="O75" i="28"/>
  <c r="N75" i="28"/>
  <c r="M75" i="28"/>
  <c r="L75" i="28"/>
  <c r="K75" i="28"/>
  <c r="J75" i="28"/>
  <c r="I75" i="28"/>
  <c r="H75" i="28"/>
  <c r="G75" i="28"/>
  <c r="F75" i="28"/>
  <c r="E75" i="28"/>
  <c r="D75" i="28"/>
  <c r="C75" i="28"/>
  <c r="AA12" i="36"/>
  <c r="AZ12" i="36"/>
  <c r="BY12" i="36"/>
  <c r="BB12" i="28"/>
  <c r="BB74" i="28"/>
  <c r="Z12" i="36"/>
  <c r="AY12" i="36"/>
  <c r="BX12" i="36"/>
  <c r="BA12" i="28"/>
  <c r="BA60" i="28"/>
  <c r="AZ74" i="28"/>
  <c r="AY74" i="28"/>
  <c r="AX74" i="28"/>
  <c r="AW74" i="28"/>
  <c r="AV74" i="28"/>
  <c r="AU74" i="28"/>
  <c r="AT74" i="28"/>
  <c r="AS74" i="28"/>
  <c r="AR74" i="28"/>
  <c r="AQ74" i="28"/>
  <c r="AP74" i="28"/>
  <c r="AO74" i="28"/>
  <c r="AN74" i="28"/>
  <c r="AM74" i="28"/>
  <c r="AL74" i="28"/>
  <c r="AK74" i="28"/>
  <c r="AJ74" i="28"/>
  <c r="AI74" i="28"/>
  <c r="AH74" i="28"/>
  <c r="AG74" i="28"/>
  <c r="AF74" i="28"/>
  <c r="AE74" i="28"/>
  <c r="AD74" i="28"/>
  <c r="AC74" i="28"/>
  <c r="AB12" i="28"/>
  <c r="AB74" i="28"/>
  <c r="AA12" i="28"/>
  <c r="AA74" i="28"/>
  <c r="Z74" i="28"/>
  <c r="Y74" i="28"/>
  <c r="X74" i="28"/>
  <c r="W74" i="28"/>
  <c r="V74" i="28"/>
  <c r="U74" i="28"/>
  <c r="T74" i="28"/>
  <c r="S74" i="28"/>
  <c r="R74" i="28"/>
  <c r="Q74" i="28"/>
  <c r="P74" i="28"/>
  <c r="O74" i="28"/>
  <c r="N74" i="28"/>
  <c r="M74" i="28"/>
  <c r="L74" i="28"/>
  <c r="K74" i="28"/>
  <c r="J74" i="28"/>
  <c r="I74" i="28"/>
  <c r="H74" i="28"/>
  <c r="G74" i="28"/>
  <c r="F74" i="28"/>
  <c r="E74" i="28"/>
  <c r="D74" i="28"/>
  <c r="C74" i="28"/>
  <c r="AA7" i="36"/>
  <c r="AZ7" i="36"/>
  <c r="BY7" i="36"/>
  <c r="BB7" i="28"/>
  <c r="BB73" i="28"/>
  <c r="Z7" i="36"/>
  <c r="AY7" i="36"/>
  <c r="BX7" i="36"/>
  <c r="AZ73" i="28"/>
  <c r="AY73" i="28"/>
  <c r="AX73" i="28"/>
  <c r="AW73" i="28"/>
  <c r="AV73" i="28"/>
  <c r="AU73" i="28"/>
  <c r="AT73" i="28"/>
  <c r="AS73" i="28"/>
  <c r="AR73" i="28"/>
  <c r="AQ73" i="28"/>
  <c r="AP73" i="28"/>
  <c r="AO73" i="28"/>
  <c r="AN73" i="28"/>
  <c r="AM73" i="28"/>
  <c r="AL73" i="28"/>
  <c r="AK73" i="28"/>
  <c r="AJ73" i="28"/>
  <c r="AI73" i="28"/>
  <c r="AH73" i="28"/>
  <c r="AG73" i="28"/>
  <c r="AF73" i="28"/>
  <c r="AE73" i="28"/>
  <c r="AD73" i="28"/>
  <c r="AC73" i="28"/>
  <c r="AB7" i="28"/>
  <c r="AB73" i="28"/>
  <c r="AA7" i="28"/>
  <c r="AA73" i="28"/>
  <c r="Z73" i="28"/>
  <c r="Y73" i="28"/>
  <c r="X73" i="28"/>
  <c r="W73" i="28"/>
  <c r="V73" i="28"/>
  <c r="U73" i="28"/>
  <c r="T73" i="28"/>
  <c r="S73" i="28"/>
  <c r="R73" i="28"/>
  <c r="Q73" i="28"/>
  <c r="P73" i="28"/>
  <c r="O73" i="28"/>
  <c r="N73" i="28"/>
  <c r="M73" i="28"/>
  <c r="L73" i="28"/>
  <c r="K73" i="28"/>
  <c r="J73" i="28"/>
  <c r="I73" i="28"/>
  <c r="H73" i="28"/>
  <c r="G73" i="28"/>
  <c r="F73" i="28"/>
  <c r="E73" i="28"/>
  <c r="D73" i="28"/>
  <c r="C73" i="28"/>
  <c r="AA16" i="36"/>
  <c r="AZ16" i="36"/>
  <c r="BY16" i="36"/>
  <c r="BB16" i="28"/>
  <c r="BB72" i="28"/>
  <c r="Z16" i="36"/>
  <c r="AY16" i="36"/>
  <c r="BX16" i="36"/>
  <c r="BA16" i="28"/>
  <c r="BA58"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16" i="28"/>
  <c r="AB72" i="28"/>
  <c r="AA16" i="28"/>
  <c r="AA72" i="28"/>
  <c r="Z72" i="28"/>
  <c r="Y72" i="28"/>
  <c r="X72" i="28"/>
  <c r="W72" i="28"/>
  <c r="V72" i="28"/>
  <c r="U72" i="28"/>
  <c r="T72" i="28"/>
  <c r="S72" i="28"/>
  <c r="R72" i="28"/>
  <c r="Q72" i="28"/>
  <c r="P72" i="28"/>
  <c r="O72" i="28"/>
  <c r="N72" i="28"/>
  <c r="M72" i="28"/>
  <c r="L72" i="28"/>
  <c r="K72" i="28"/>
  <c r="J72" i="28"/>
  <c r="I72" i="28"/>
  <c r="H72" i="28"/>
  <c r="G72" i="28"/>
  <c r="F72" i="28"/>
  <c r="E72" i="28"/>
  <c r="D72" i="28"/>
  <c r="C72" i="28"/>
  <c r="AA29" i="36"/>
  <c r="AZ29" i="36"/>
  <c r="BY29" i="36"/>
  <c r="BB29" i="28"/>
  <c r="BB71" i="28"/>
  <c r="Z29" i="36"/>
  <c r="AY29" i="36"/>
  <c r="BX29" i="36"/>
  <c r="AZ71" i="28"/>
  <c r="AY71" i="28"/>
  <c r="AX71" i="28"/>
  <c r="AW71" i="28"/>
  <c r="AV71" i="28"/>
  <c r="AU71" i="28"/>
  <c r="AT71" i="28"/>
  <c r="AS71" i="28"/>
  <c r="AR71" i="28"/>
  <c r="AQ71" i="28"/>
  <c r="AP71" i="28"/>
  <c r="AO71" i="28"/>
  <c r="AN71" i="28"/>
  <c r="AM71" i="28"/>
  <c r="AL71" i="28"/>
  <c r="AK71" i="28"/>
  <c r="AJ71" i="28"/>
  <c r="AI71" i="28"/>
  <c r="AH71" i="28"/>
  <c r="AG71" i="28"/>
  <c r="AF71" i="28"/>
  <c r="AE71" i="28"/>
  <c r="AD71" i="28"/>
  <c r="AC71" i="28"/>
  <c r="AB29" i="28"/>
  <c r="AB71" i="28"/>
  <c r="AA29" i="28"/>
  <c r="AA71" i="28"/>
  <c r="Z71" i="28"/>
  <c r="Y71" i="28"/>
  <c r="X71" i="28"/>
  <c r="W71" i="28"/>
  <c r="V71" i="28"/>
  <c r="U71" i="28"/>
  <c r="T71" i="28"/>
  <c r="S71" i="28"/>
  <c r="R71" i="28"/>
  <c r="Q71" i="28"/>
  <c r="P71" i="28"/>
  <c r="O71" i="28"/>
  <c r="N71" i="28"/>
  <c r="M71" i="28"/>
  <c r="L71" i="28"/>
  <c r="K71" i="28"/>
  <c r="J71" i="28"/>
  <c r="I71" i="28"/>
  <c r="H71" i="28"/>
  <c r="G71" i="28"/>
  <c r="F71" i="28"/>
  <c r="E71" i="28"/>
  <c r="D71" i="28"/>
  <c r="C71" i="28"/>
  <c r="AA20" i="36"/>
  <c r="AZ20" i="36"/>
  <c r="BY20" i="36"/>
  <c r="BB20" i="28"/>
  <c r="BB70" i="28"/>
  <c r="Z20" i="36"/>
  <c r="AY20" i="36"/>
  <c r="BX20" i="36"/>
  <c r="BA20" i="28"/>
  <c r="BA56" i="28"/>
  <c r="AZ70" i="28"/>
  <c r="AY70" i="28"/>
  <c r="AX70" i="28"/>
  <c r="AW70" i="28"/>
  <c r="AV70" i="28"/>
  <c r="AU70" i="28"/>
  <c r="AT70" i="28"/>
  <c r="AS70" i="28"/>
  <c r="AR70" i="28"/>
  <c r="AQ70" i="28"/>
  <c r="AP70" i="28"/>
  <c r="AO70" i="28"/>
  <c r="AN70" i="28"/>
  <c r="AM70" i="28"/>
  <c r="AL70" i="28"/>
  <c r="AK70" i="28"/>
  <c r="AJ70" i="28"/>
  <c r="AI70" i="28"/>
  <c r="AH70" i="28"/>
  <c r="AG70" i="28"/>
  <c r="AF70" i="28"/>
  <c r="AE70" i="28"/>
  <c r="AD70" i="28"/>
  <c r="AC70" i="28"/>
  <c r="AB20" i="28"/>
  <c r="AB70" i="28"/>
  <c r="AA20" i="28"/>
  <c r="AA70" i="28"/>
  <c r="Z70" i="28"/>
  <c r="Y70" i="28"/>
  <c r="X70" i="28"/>
  <c r="W70" i="28"/>
  <c r="V70" i="28"/>
  <c r="U70" i="28"/>
  <c r="T70" i="28"/>
  <c r="S70" i="28"/>
  <c r="R70" i="28"/>
  <c r="Q70" i="28"/>
  <c r="P70" i="28"/>
  <c r="O70" i="28"/>
  <c r="N70" i="28"/>
  <c r="M70" i="28"/>
  <c r="L70" i="28"/>
  <c r="K70" i="28"/>
  <c r="J70" i="28"/>
  <c r="I70" i="28"/>
  <c r="H70" i="28"/>
  <c r="G70" i="28"/>
  <c r="F70" i="28"/>
  <c r="E70" i="28"/>
  <c r="D70" i="28"/>
  <c r="C70" i="28"/>
  <c r="AA24" i="36"/>
  <c r="AZ24" i="36"/>
  <c r="BY24" i="36"/>
  <c r="BB24" i="28"/>
  <c r="BB69" i="28"/>
  <c r="Z24" i="36"/>
  <c r="AY24" i="36"/>
  <c r="BX24" i="36"/>
  <c r="BA24" i="28"/>
  <c r="BA69" i="28"/>
  <c r="AZ69" i="28"/>
  <c r="AY69" i="28"/>
  <c r="AX69" i="28"/>
  <c r="AW69" i="28"/>
  <c r="AV69" i="28"/>
  <c r="AU69" i="28"/>
  <c r="AT69" i="28"/>
  <c r="AS69" i="28"/>
  <c r="AR69" i="28"/>
  <c r="AQ69" i="28"/>
  <c r="AP69" i="28"/>
  <c r="AO69" i="28"/>
  <c r="AN69" i="28"/>
  <c r="AM69" i="28"/>
  <c r="AL69" i="28"/>
  <c r="AK69" i="28"/>
  <c r="AJ69" i="28"/>
  <c r="AI69" i="28"/>
  <c r="AH69" i="28"/>
  <c r="AG69" i="28"/>
  <c r="AF69" i="28"/>
  <c r="AE69" i="28"/>
  <c r="AD69" i="28"/>
  <c r="AC69" i="28"/>
  <c r="AB24" i="28"/>
  <c r="AB69" i="28"/>
  <c r="AA24" i="28"/>
  <c r="AA69" i="28"/>
  <c r="Z69" i="28"/>
  <c r="Y69" i="28"/>
  <c r="X69" i="28"/>
  <c r="W69" i="28"/>
  <c r="V69" i="28"/>
  <c r="U69" i="28"/>
  <c r="T69" i="28"/>
  <c r="S69" i="28"/>
  <c r="R69" i="28"/>
  <c r="Q69" i="28"/>
  <c r="P69" i="28"/>
  <c r="O69" i="28"/>
  <c r="N69" i="28"/>
  <c r="M69" i="28"/>
  <c r="L69" i="28"/>
  <c r="K69" i="28"/>
  <c r="J69" i="28"/>
  <c r="I69" i="28"/>
  <c r="H69" i="28"/>
  <c r="G69" i="28"/>
  <c r="F69" i="28"/>
  <c r="E69" i="28"/>
  <c r="D69" i="28"/>
  <c r="C69" i="28"/>
  <c r="AA9" i="36"/>
  <c r="AZ9" i="36"/>
  <c r="BY9" i="36"/>
  <c r="BB9" i="28"/>
  <c r="BB68" i="28"/>
  <c r="Z9" i="36"/>
  <c r="AY9" i="36"/>
  <c r="BX9" i="36"/>
  <c r="AZ68" i="28"/>
  <c r="AY68" i="28"/>
  <c r="AX68" i="28"/>
  <c r="AW68" i="28"/>
  <c r="AV68" i="28"/>
  <c r="AU68" i="28"/>
  <c r="AT68" i="28"/>
  <c r="AS68" i="28"/>
  <c r="AR68" i="28"/>
  <c r="AQ68" i="28"/>
  <c r="AP68" i="28"/>
  <c r="AO68" i="28"/>
  <c r="AN68" i="28"/>
  <c r="AM68" i="28"/>
  <c r="AL68" i="28"/>
  <c r="AK68" i="28"/>
  <c r="AJ68" i="28"/>
  <c r="AI68" i="28"/>
  <c r="AH68" i="28"/>
  <c r="AG68" i="28"/>
  <c r="AF68" i="28"/>
  <c r="AE68" i="28"/>
  <c r="AD68" i="28"/>
  <c r="AC68" i="28"/>
  <c r="AB9" i="28"/>
  <c r="AB68" i="28"/>
  <c r="AA9" i="28"/>
  <c r="AA68" i="28"/>
  <c r="Z68" i="28"/>
  <c r="Y68" i="28"/>
  <c r="X68" i="28"/>
  <c r="W68" i="28"/>
  <c r="V68" i="28"/>
  <c r="U68" i="28"/>
  <c r="T68" i="28"/>
  <c r="S68" i="28"/>
  <c r="R68" i="28"/>
  <c r="Q68" i="28"/>
  <c r="P68" i="28"/>
  <c r="O68" i="28"/>
  <c r="N68" i="28"/>
  <c r="M68" i="28"/>
  <c r="L68" i="28"/>
  <c r="K68" i="28"/>
  <c r="J68" i="28"/>
  <c r="I68" i="28"/>
  <c r="H68" i="28"/>
  <c r="G68" i="28"/>
  <c r="F68" i="28"/>
  <c r="E68" i="28"/>
  <c r="D68" i="28"/>
  <c r="C68" i="28"/>
  <c r="AA5" i="36"/>
  <c r="AZ5" i="36"/>
  <c r="BY5" i="36"/>
  <c r="BB5" i="28"/>
  <c r="BB67" i="28"/>
  <c r="Z5" i="36"/>
  <c r="AY5" i="36"/>
  <c r="BX5" i="36"/>
  <c r="AZ67" i="28"/>
  <c r="AY67" i="28"/>
  <c r="AX67" i="28"/>
  <c r="AW67" i="28"/>
  <c r="AV67" i="28"/>
  <c r="AU67" i="28"/>
  <c r="AT67" i="28"/>
  <c r="AS67" i="28"/>
  <c r="AR67" i="28"/>
  <c r="AQ67" i="28"/>
  <c r="AP67" i="28"/>
  <c r="AO67" i="28"/>
  <c r="AN67" i="28"/>
  <c r="AM67" i="28"/>
  <c r="AL67" i="28"/>
  <c r="AK67" i="28"/>
  <c r="AJ67" i="28"/>
  <c r="AI67" i="28"/>
  <c r="AH67" i="28"/>
  <c r="AG67" i="28"/>
  <c r="AF67" i="28"/>
  <c r="AE67" i="28"/>
  <c r="AD67" i="28"/>
  <c r="AC67" i="28"/>
  <c r="AB5" i="28"/>
  <c r="AB67" i="28"/>
  <c r="AA5" i="28"/>
  <c r="AA67" i="28"/>
  <c r="Z67" i="28"/>
  <c r="Y67" i="28"/>
  <c r="X67" i="28"/>
  <c r="W67" i="28"/>
  <c r="V67" i="28"/>
  <c r="U67" i="28"/>
  <c r="T67" i="28"/>
  <c r="S67" i="28"/>
  <c r="R67" i="28"/>
  <c r="Q67" i="28"/>
  <c r="P67" i="28"/>
  <c r="O67" i="28"/>
  <c r="N67" i="28"/>
  <c r="M67" i="28"/>
  <c r="L67" i="28"/>
  <c r="K67" i="28"/>
  <c r="J67" i="28"/>
  <c r="I67" i="28"/>
  <c r="H67" i="28"/>
  <c r="G67" i="28"/>
  <c r="F67" i="28"/>
  <c r="E67" i="28"/>
  <c r="D67" i="28"/>
  <c r="C67" i="28"/>
  <c r="AA17" i="36"/>
  <c r="AZ17" i="36"/>
  <c r="BY17" i="36"/>
  <c r="BB17" i="28"/>
  <c r="BB66" i="28"/>
  <c r="Z17" i="36"/>
  <c r="AY17" i="36"/>
  <c r="BX17" i="36"/>
  <c r="AZ66" i="28"/>
  <c r="AY66" i="28"/>
  <c r="AX66" i="28"/>
  <c r="AW66" i="28"/>
  <c r="AV66" i="28"/>
  <c r="AU66" i="28"/>
  <c r="AT66" i="28"/>
  <c r="AS66" i="28"/>
  <c r="AR66" i="28"/>
  <c r="AQ66" i="28"/>
  <c r="AP66" i="28"/>
  <c r="AO66" i="28"/>
  <c r="AN66" i="28"/>
  <c r="AM66" i="28"/>
  <c r="AL66" i="28"/>
  <c r="AK66" i="28"/>
  <c r="AJ66" i="28"/>
  <c r="AI66" i="28"/>
  <c r="AH66" i="28"/>
  <c r="AG66" i="28"/>
  <c r="AF66" i="28"/>
  <c r="AE66" i="28"/>
  <c r="AD66" i="28"/>
  <c r="AC66" i="28"/>
  <c r="AB17" i="28"/>
  <c r="AB66" i="28"/>
  <c r="AA17" i="28"/>
  <c r="AA66" i="28"/>
  <c r="Z66" i="28"/>
  <c r="Y66" i="28"/>
  <c r="X66" i="28"/>
  <c r="W66" i="28"/>
  <c r="V66" i="28"/>
  <c r="U66" i="28"/>
  <c r="T66" i="28"/>
  <c r="S66" i="28"/>
  <c r="R66" i="28"/>
  <c r="Q66" i="28"/>
  <c r="P66" i="28"/>
  <c r="O66" i="28"/>
  <c r="N66" i="28"/>
  <c r="M66" i="28"/>
  <c r="L66" i="28"/>
  <c r="K66" i="28"/>
  <c r="J66" i="28"/>
  <c r="I66" i="28"/>
  <c r="H66" i="28"/>
  <c r="G66" i="28"/>
  <c r="F66" i="28"/>
  <c r="E66" i="28"/>
  <c r="D66" i="28"/>
  <c r="C66" i="28"/>
  <c r="AA21" i="36"/>
  <c r="AZ21" i="36"/>
  <c r="BY21" i="36"/>
  <c r="BB21" i="28"/>
  <c r="BB65" i="28"/>
  <c r="Z21" i="36"/>
  <c r="AY21" i="36"/>
  <c r="BX21" i="36"/>
  <c r="AZ65" i="28"/>
  <c r="AY65" i="28"/>
  <c r="AX65" i="28"/>
  <c r="AW65" i="28"/>
  <c r="AV65" i="28"/>
  <c r="AU65" i="28"/>
  <c r="AT65" i="28"/>
  <c r="AS65" i="28"/>
  <c r="AR65" i="28"/>
  <c r="AQ65" i="28"/>
  <c r="AP65" i="28"/>
  <c r="AO65" i="28"/>
  <c r="AN65" i="28"/>
  <c r="AM65" i="28"/>
  <c r="AL65" i="28"/>
  <c r="AK65" i="28"/>
  <c r="AJ65" i="28"/>
  <c r="AI65" i="28"/>
  <c r="AH65" i="28"/>
  <c r="AG65" i="28"/>
  <c r="AF65" i="28"/>
  <c r="AE65" i="28"/>
  <c r="AD65" i="28"/>
  <c r="AC65" i="28"/>
  <c r="AB21" i="28"/>
  <c r="AB65" i="28"/>
  <c r="AA21" i="28"/>
  <c r="AA65" i="28"/>
  <c r="Z65" i="28"/>
  <c r="Y65" i="28"/>
  <c r="X65" i="28"/>
  <c r="W65" i="28"/>
  <c r="V65" i="28"/>
  <c r="U65" i="28"/>
  <c r="T65" i="28"/>
  <c r="S65" i="28"/>
  <c r="R65" i="28"/>
  <c r="Q65" i="28"/>
  <c r="P65" i="28"/>
  <c r="O65" i="28"/>
  <c r="N65" i="28"/>
  <c r="M65" i="28"/>
  <c r="L65" i="28"/>
  <c r="K65" i="28"/>
  <c r="J65" i="28"/>
  <c r="I65" i="28"/>
  <c r="H65" i="28"/>
  <c r="G65" i="28"/>
  <c r="F65" i="28"/>
  <c r="E65" i="28"/>
  <c r="D65" i="28"/>
  <c r="C65" i="28"/>
  <c r="AA25" i="36"/>
  <c r="AZ25" i="36"/>
  <c r="BY25" i="36"/>
  <c r="BB25" i="28"/>
  <c r="BB64" i="28"/>
  <c r="Z25" i="36"/>
  <c r="AY25" i="36"/>
  <c r="BX25" i="36"/>
  <c r="AZ64" i="28"/>
  <c r="AY64" i="28"/>
  <c r="AX64" i="28"/>
  <c r="AW64" i="28"/>
  <c r="AV64" i="28"/>
  <c r="AU64" i="28"/>
  <c r="AT64" i="28"/>
  <c r="AS64" i="28"/>
  <c r="AR64" i="28"/>
  <c r="AQ64" i="28"/>
  <c r="AP64" i="28"/>
  <c r="AO64" i="28"/>
  <c r="AN64" i="28"/>
  <c r="AM64" i="28"/>
  <c r="AL64" i="28"/>
  <c r="AK64" i="28"/>
  <c r="AJ64" i="28"/>
  <c r="AI64" i="28"/>
  <c r="AH64" i="28"/>
  <c r="AG64" i="28"/>
  <c r="AF64" i="28"/>
  <c r="AE64" i="28"/>
  <c r="AD64" i="28"/>
  <c r="AC64" i="28"/>
  <c r="AB25" i="28"/>
  <c r="AB64" i="28"/>
  <c r="AA25" i="28"/>
  <c r="AA64" i="28"/>
  <c r="Z64" i="28"/>
  <c r="Y64" i="28"/>
  <c r="X64" i="28"/>
  <c r="W64" i="28"/>
  <c r="V64" i="28"/>
  <c r="U64" i="28"/>
  <c r="T64" i="28"/>
  <c r="S64" i="28"/>
  <c r="R64" i="28"/>
  <c r="Q64" i="28"/>
  <c r="P64" i="28"/>
  <c r="O64" i="28"/>
  <c r="N64" i="28"/>
  <c r="M64" i="28"/>
  <c r="L64" i="28"/>
  <c r="K64" i="28"/>
  <c r="J64" i="28"/>
  <c r="I64" i="28"/>
  <c r="H64" i="28"/>
  <c r="G64" i="28"/>
  <c r="F64" i="28"/>
  <c r="E64" i="28"/>
  <c r="D64" i="28"/>
  <c r="C64" i="28"/>
  <c r="BB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C63" i="28"/>
  <c r="BB62" i="28"/>
  <c r="AZ62" i="28"/>
  <c r="AY62" i="28"/>
  <c r="AX62" i="28"/>
  <c r="AW62" i="28"/>
  <c r="AV62" i="28"/>
  <c r="AU62" i="28"/>
  <c r="AT62" i="28"/>
  <c r="AS62" i="28"/>
  <c r="AR62" i="28"/>
  <c r="AQ62" i="28"/>
  <c r="AP62" i="28"/>
  <c r="AO62" i="28"/>
  <c r="AN62" i="28"/>
  <c r="AM62" i="28"/>
  <c r="AL62" i="28"/>
  <c r="AK62" i="28"/>
  <c r="AJ62" i="28"/>
  <c r="AI62" i="28"/>
  <c r="AH62" i="28"/>
  <c r="AG62" i="28"/>
  <c r="AF62" i="28"/>
  <c r="AE62" i="28"/>
  <c r="AD62" i="28"/>
  <c r="AC62" i="28"/>
  <c r="AB62" i="28"/>
  <c r="AA62" i="28"/>
  <c r="Z62" i="28"/>
  <c r="Y62" i="28"/>
  <c r="X62" i="28"/>
  <c r="W62" i="28"/>
  <c r="V62" i="28"/>
  <c r="U62" i="28"/>
  <c r="T62" i="28"/>
  <c r="S62" i="28"/>
  <c r="R62" i="28"/>
  <c r="Q62" i="28"/>
  <c r="P62" i="28"/>
  <c r="O62" i="28"/>
  <c r="N62" i="28"/>
  <c r="M62" i="28"/>
  <c r="L62" i="28"/>
  <c r="K62" i="28"/>
  <c r="J62" i="28"/>
  <c r="I62" i="28"/>
  <c r="H62" i="28"/>
  <c r="G62" i="28"/>
  <c r="F62" i="28"/>
  <c r="E62" i="28"/>
  <c r="D62" i="28"/>
  <c r="C62" i="28"/>
  <c r="BB61" i="28"/>
  <c r="BA61" i="28"/>
  <c r="AZ61" i="28"/>
  <c r="AY61" i="28"/>
  <c r="AX61" i="28"/>
  <c r="AW61" i="28"/>
  <c r="AV61" i="28"/>
  <c r="AU61" i="28"/>
  <c r="AT61" i="28"/>
  <c r="AS61" i="28"/>
  <c r="AR61" i="28"/>
  <c r="AQ61" i="28"/>
  <c r="AP61" i="28"/>
  <c r="AO61" i="28"/>
  <c r="AN61" i="28"/>
  <c r="AM61" i="28"/>
  <c r="AL61" i="28"/>
  <c r="AK61" i="28"/>
  <c r="AJ61" i="28"/>
  <c r="AI61" i="28"/>
  <c r="AH61" i="28"/>
  <c r="AG61"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C61" i="28"/>
  <c r="BB60" i="28"/>
  <c r="AZ60" i="28"/>
  <c r="AY60" i="28"/>
  <c r="AX60" i="28"/>
  <c r="AW60" i="28"/>
  <c r="AV60" i="28"/>
  <c r="AU60" i="28"/>
  <c r="AT60" i="28"/>
  <c r="AS60" i="28"/>
  <c r="AR60" i="28"/>
  <c r="AQ60" i="28"/>
  <c r="AP60" i="28"/>
  <c r="AO60" i="28"/>
  <c r="AN60" i="28"/>
  <c r="AM60" i="28"/>
  <c r="AL60" i="28"/>
  <c r="AK60" i="28"/>
  <c r="AJ60" i="28"/>
  <c r="AI60" i="28"/>
  <c r="AH60" i="28"/>
  <c r="AG60" i="28"/>
  <c r="AF60" i="28"/>
  <c r="AE60" i="28"/>
  <c r="AD60" i="28"/>
  <c r="AC60" i="28"/>
  <c r="AB60" i="28"/>
  <c r="AA60" i="28"/>
  <c r="Z60" i="28"/>
  <c r="Y60" i="28"/>
  <c r="X60" i="28"/>
  <c r="W60" i="28"/>
  <c r="V60" i="28"/>
  <c r="U60" i="28"/>
  <c r="T60" i="28"/>
  <c r="S60" i="28"/>
  <c r="R60" i="28"/>
  <c r="Q60" i="28"/>
  <c r="P60" i="28"/>
  <c r="O60" i="28"/>
  <c r="N60" i="28"/>
  <c r="M60" i="28"/>
  <c r="L60" i="28"/>
  <c r="K60" i="28"/>
  <c r="J60" i="28"/>
  <c r="I60" i="28"/>
  <c r="H60" i="28"/>
  <c r="G60" i="28"/>
  <c r="F60" i="28"/>
  <c r="E60" i="28"/>
  <c r="D60" i="28"/>
  <c r="C60" i="28"/>
  <c r="BB59" i="28"/>
  <c r="AZ59" i="28"/>
  <c r="AY59" i="28"/>
  <c r="AX59" i="28"/>
  <c r="AW59" i="28"/>
  <c r="AV59" i="28"/>
  <c r="AU59" i="28"/>
  <c r="AT59" i="28"/>
  <c r="AS59" i="28"/>
  <c r="AR59" i="28"/>
  <c r="AQ59" i="28"/>
  <c r="AP59" i="28"/>
  <c r="AO59" i="28"/>
  <c r="AN59" i="28"/>
  <c r="AM59" i="28"/>
  <c r="AL59" i="28"/>
  <c r="AK59" i="28"/>
  <c r="AJ59" i="28"/>
  <c r="AI59" i="28"/>
  <c r="AH59" i="28"/>
  <c r="AG59" i="28"/>
  <c r="AF59" i="28"/>
  <c r="AE59" i="28"/>
  <c r="AD59" i="28"/>
  <c r="AC59" i="28"/>
  <c r="AB59" i="28"/>
  <c r="AA59" i="28"/>
  <c r="Z59" i="28"/>
  <c r="Y59" i="28"/>
  <c r="X59" i="28"/>
  <c r="W59" i="28"/>
  <c r="V59" i="28"/>
  <c r="U59" i="28"/>
  <c r="T59" i="28"/>
  <c r="S59" i="28"/>
  <c r="R59" i="28"/>
  <c r="Q59" i="28"/>
  <c r="P59" i="28"/>
  <c r="O59" i="28"/>
  <c r="N59" i="28"/>
  <c r="M59" i="28"/>
  <c r="L59" i="28"/>
  <c r="K59" i="28"/>
  <c r="J59" i="28"/>
  <c r="I59" i="28"/>
  <c r="H59" i="28"/>
  <c r="G59" i="28"/>
  <c r="F59" i="28"/>
  <c r="E59" i="28"/>
  <c r="D59" i="28"/>
  <c r="C59" i="28"/>
  <c r="BB58" i="28"/>
  <c r="AZ58" i="28"/>
  <c r="AY58" i="28"/>
  <c r="AX58" i="28"/>
  <c r="AW58" i="28"/>
  <c r="AV58" i="28"/>
  <c r="AU58" i="28"/>
  <c r="AT58" i="28"/>
  <c r="AS58" i="28"/>
  <c r="AR58" i="28"/>
  <c r="AQ58" i="28"/>
  <c r="AP58" i="28"/>
  <c r="AO58" i="28"/>
  <c r="AN58" i="28"/>
  <c r="AM58" i="28"/>
  <c r="AL58" i="28"/>
  <c r="AK58" i="28"/>
  <c r="AJ58" i="28"/>
  <c r="AI58" i="28"/>
  <c r="AH58" i="28"/>
  <c r="AG58" i="28"/>
  <c r="AF58" i="28"/>
  <c r="AE58" i="28"/>
  <c r="AD58" i="28"/>
  <c r="AC58" i="28"/>
  <c r="AB58" i="28"/>
  <c r="AA58" i="28"/>
  <c r="Z58" i="28"/>
  <c r="Y58" i="28"/>
  <c r="X58" i="28"/>
  <c r="W58" i="28"/>
  <c r="V58" i="28"/>
  <c r="U58" i="28"/>
  <c r="T58" i="28"/>
  <c r="S58" i="28"/>
  <c r="R58" i="28"/>
  <c r="Q58" i="28"/>
  <c r="P58" i="28"/>
  <c r="O58" i="28"/>
  <c r="N58" i="28"/>
  <c r="M58" i="28"/>
  <c r="L58" i="28"/>
  <c r="K58" i="28"/>
  <c r="J58" i="28"/>
  <c r="I58" i="28"/>
  <c r="H58" i="28"/>
  <c r="G58" i="28"/>
  <c r="F58" i="28"/>
  <c r="E58" i="28"/>
  <c r="D58" i="28"/>
  <c r="C58" i="28"/>
  <c r="BB57" i="28"/>
  <c r="AZ57" i="28"/>
  <c r="AY57" i="28"/>
  <c r="AX57" i="28"/>
  <c r="AW57" i="28"/>
  <c r="AV57" i="28"/>
  <c r="AU57" i="28"/>
  <c r="AT57" i="28"/>
  <c r="AS57" i="28"/>
  <c r="AR57" i="28"/>
  <c r="AQ57" i="28"/>
  <c r="AP57" i="28"/>
  <c r="AO57" i="28"/>
  <c r="AN57" i="28"/>
  <c r="AM57" i="28"/>
  <c r="AL57" i="28"/>
  <c r="AK57" i="28"/>
  <c r="AJ57" i="28"/>
  <c r="AI57" i="28"/>
  <c r="AH57" i="28"/>
  <c r="AG57" i="28"/>
  <c r="AF57" i="28"/>
  <c r="AE57" i="28"/>
  <c r="AD57" i="28"/>
  <c r="AC57" i="28"/>
  <c r="AB57" i="28"/>
  <c r="AA57" i="28"/>
  <c r="Z57" i="28"/>
  <c r="Y57" i="28"/>
  <c r="X57" i="28"/>
  <c r="W57" i="28"/>
  <c r="V57" i="28"/>
  <c r="U57" i="28"/>
  <c r="T57" i="28"/>
  <c r="S57" i="28"/>
  <c r="R57" i="28"/>
  <c r="Q57" i="28"/>
  <c r="P57" i="28"/>
  <c r="O57" i="28"/>
  <c r="N57" i="28"/>
  <c r="M57" i="28"/>
  <c r="L57" i="28"/>
  <c r="K57" i="28"/>
  <c r="J57" i="28"/>
  <c r="I57" i="28"/>
  <c r="H57" i="28"/>
  <c r="G57" i="28"/>
  <c r="F57" i="28"/>
  <c r="E57" i="28"/>
  <c r="D57" i="28"/>
  <c r="C57" i="28"/>
  <c r="BB56" i="28"/>
  <c r="AZ56" i="28"/>
  <c r="AY56" i="28"/>
  <c r="AX56" i="28"/>
  <c r="AW56" i="28"/>
  <c r="AV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N56" i="28"/>
  <c r="M56" i="28"/>
  <c r="L56" i="28"/>
  <c r="K56" i="28"/>
  <c r="J56" i="28"/>
  <c r="I56" i="28"/>
  <c r="H56" i="28"/>
  <c r="G56" i="28"/>
  <c r="F56" i="28"/>
  <c r="E56" i="28"/>
  <c r="D56" i="28"/>
  <c r="C56" i="28"/>
  <c r="BB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C55" i="28"/>
  <c r="BB54" i="28"/>
  <c r="AZ54" i="28"/>
  <c r="AY54" i="28"/>
  <c r="AX54" i="28"/>
  <c r="AW54" i="28"/>
  <c r="AV54" i="28"/>
  <c r="AU54" i="28"/>
  <c r="AT54" i="28"/>
  <c r="AS54" i="28"/>
  <c r="AR54" i="28"/>
  <c r="AQ54" i="28"/>
  <c r="AP54" i="28"/>
  <c r="AO54" i="28"/>
  <c r="AN54" i="28"/>
  <c r="AM54" i="28"/>
  <c r="AL54" i="28"/>
  <c r="AK54" i="28"/>
  <c r="AJ54" i="28"/>
  <c r="AI54" i="28"/>
  <c r="AH54" i="28"/>
  <c r="AG54" i="28"/>
  <c r="AF54" i="28"/>
  <c r="AE54" i="28"/>
  <c r="AD54" i="28"/>
  <c r="AC54" i="28"/>
  <c r="AB54" i="28"/>
  <c r="AA54" i="28"/>
  <c r="Z54" i="28"/>
  <c r="Y54" i="28"/>
  <c r="X54" i="28"/>
  <c r="W54" i="28"/>
  <c r="V54" i="28"/>
  <c r="U54" i="28"/>
  <c r="T54" i="28"/>
  <c r="S54" i="28"/>
  <c r="R54" i="28"/>
  <c r="Q54" i="28"/>
  <c r="P54" i="28"/>
  <c r="O54" i="28"/>
  <c r="N54" i="28"/>
  <c r="M54" i="28"/>
  <c r="L54" i="28"/>
  <c r="K54" i="28"/>
  <c r="J54" i="28"/>
  <c r="I54" i="28"/>
  <c r="H54" i="28"/>
  <c r="G54" i="28"/>
  <c r="F54" i="28"/>
  <c r="E54" i="28"/>
  <c r="D54" i="28"/>
  <c r="C54" i="28"/>
  <c r="BB53" i="28"/>
  <c r="AZ53" i="28"/>
  <c r="AY53" i="28"/>
  <c r="AX53" i="28"/>
  <c r="AW53" i="28"/>
  <c r="AV53" i="28"/>
  <c r="AU53" i="28"/>
  <c r="AT53" i="28"/>
  <c r="AS53" i="28"/>
  <c r="AR53" i="28"/>
  <c r="AQ53" i="28"/>
  <c r="AP53" i="28"/>
  <c r="AO53" i="28"/>
  <c r="AN53" i="28"/>
  <c r="AM53" i="28"/>
  <c r="AL53" i="28"/>
  <c r="AK53" i="28"/>
  <c r="AJ53" i="28"/>
  <c r="AI53" i="28"/>
  <c r="AH53" i="28"/>
  <c r="AG53" i="28"/>
  <c r="AF53" i="28"/>
  <c r="AE53" i="28"/>
  <c r="AD53" i="28"/>
  <c r="AC53" i="28"/>
  <c r="AB53" i="28"/>
  <c r="AA53" i="28"/>
  <c r="Z53" i="28"/>
  <c r="Y53" i="28"/>
  <c r="X53" i="28"/>
  <c r="W53" i="28"/>
  <c r="V53" i="28"/>
  <c r="U53" i="28"/>
  <c r="T53" i="28"/>
  <c r="S53" i="28"/>
  <c r="R53" i="28"/>
  <c r="Q53" i="28"/>
  <c r="P53" i="28"/>
  <c r="O53" i="28"/>
  <c r="N53" i="28"/>
  <c r="M53" i="28"/>
  <c r="L53" i="28"/>
  <c r="K53" i="28"/>
  <c r="J53" i="28"/>
  <c r="I53" i="28"/>
  <c r="H53" i="28"/>
  <c r="G53" i="28"/>
  <c r="F53" i="28"/>
  <c r="E53" i="28"/>
  <c r="D53" i="28"/>
  <c r="C53" i="28"/>
  <c r="BB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F52" i="28"/>
  <c r="E52" i="28"/>
  <c r="D52" i="28"/>
  <c r="C52" i="28"/>
  <c r="BB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F51" i="28"/>
  <c r="E51" i="28"/>
  <c r="D51" i="28"/>
  <c r="C51" i="28"/>
  <c r="BB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F50" i="28"/>
  <c r="E50" i="28"/>
  <c r="D50" i="28"/>
  <c r="C50" i="28"/>
  <c r="AA23" i="36"/>
  <c r="AZ23" i="36"/>
  <c r="BY23" i="36"/>
  <c r="BB23" i="28"/>
  <c r="BB49" i="28"/>
  <c r="Z23" i="36"/>
  <c r="AY23" i="36"/>
  <c r="BX23" i="36"/>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23" i="28"/>
  <c r="AB49" i="28"/>
  <c r="AA23" i="28"/>
  <c r="AA49" i="28"/>
  <c r="Z49" i="28"/>
  <c r="Y49" i="28"/>
  <c r="X49" i="28"/>
  <c r="W49" i="28"/>
  <c r="V49" i="28"/>
  <c r="U49" i="28"/>
  <c r="T49" i="28"/>
  <c r="S49" i="28"/>
  <c r="R49" i="28"/>
  <c r="Q49" i="28"/>
  <c r="P49" i="28"/>
  <c r="O49" i="28"/>
  <c r="N49" i="28"/>
  <c r="M49" i="28"/>
  <c r="L49" i="28"/>
  <c r="K49" i="28"/>
  <c r="J49" i="28"/>
  <c r="I49" i="28"/>
  <c r="H49" i="28"/>
  <c r="G49" i="28"/>
  <c r="F49" i="28"/>
  <c r="E49" i="28"/>
  <c r="D49" i="28"/>
  <c r="C49" i="28"/>
  <c r="BB48" i="28"/>
  <c r="AZ48" i="28"/>
  <c r="AY48" i="28"/>
  <c r="AX48" i="28"/>
  <c r="AW48" i="28"/>
  <c r="AV48" i="28"/>
  <c r="AU48" i="28"/>
  <c r="AT48" i="28"/>
  <c r="AS48" i="28"/>
  <c r="AR48" i="28"/>
  <c r="AQ48" i="28"/>
  <c r="AP48" i="28"/>
  <c r="AO48" i="28"/>
  <c r="AN48" i="28"/>
  <c r="AM48" i="28"/>
  <c r="AL48" i="28"/>
  <c r="AK48" i="28"/>
  <c r="AJ48" i="28"/>
  <c r="AI48" i="28"/>
  <c r="AH48" i="28"/>
  <c r="AG48" i="28"/>
  <c r="AF48" i="28"/>
  <c r="AE48" i="28"/>
  <c r="AD48" i="28"/>
  <c r="AC48" i="28"/>
  <c r="AB48" i="28"/>
  <c r="AA48" i="28"/>
  <c r="Z48" i="28"/>
  <c r="Y48" i="28"/>
  <c r="X48" i="28"/>
  <c r="W48" i="28"/>
  <c r="V48" i="28"/>
  <c r="U48" i="28"/>
  <c r="T48" i="28"/>
  <c r="S48" i="28"/>
  <c r="R48" i="28"/>
  <c r="Q48" i="28"/>
  <c r="P48" i="28"/>
  <c r="O48" i="28"/>
  <c r="N48" i="28"/>
  <c r="M48" i="28"/>
  <c r="L48" i="28"/>
  <c r="K48" i="28"/>
  <c r="J48" i="28"/>
  <c r="I48" i="28"/>
  <c r="H48" i="28"/>
  <c r="G48" i="28"/>
  <c r="F48" i="28"/>
  <c r="E48" i="28"/>
  <c r="D48" i="28"/>
  <c r="C48" i="28"/>
  <c r="AA6" i="36"/>
  <c r="AZ6" i="36"/>
  <c r="BY6" i="36"/>
  <c r="BB6" i="28"/>
  <c r="BB47" i="28"/>
  <c r="Z6" i="36"/>
  <c r="AY6" i="36"/>
  <c r="BX6" i="36"/>
  <c r="BA6" i="28"/>
  <c r="BA47" i="28"/>
  <c r="AZ47" i="28"/>
  <c r="AY47" i="28"/>
  <c r="AX47" i="28"/>
  <c r="AW47" i="28"/>
  <c r="AV47" i="28"/>
  <c r="AU47" i="28"/>
  <c r="AT47" i="28"/>
  <c r="AS47" i="28"/>
  <c r="AR47" i="28"/>
  <c r="AQ47" i="28"/>
  <c r="AP47" i="28"/>
  <c r="AO47" i="28"/>
  <c r="AN47" i="28"/>
  <c r="AM47" i="28"/>
  <c r="AL47" i="28"/>
  <c r="AK47" i="28"/>
  <c r="AJ47" i="28"/>
  <c r="AI47" i="28"/>
  <c r="AH47" i="28"/>
  <c r="AG47" i="28"/>
  <c r="AF47" i="28"/>
  <c r="AE47" i="28"/>
  <c r="AD47" i="28"/>
  <c r="AC47" i="28"/>
  <c r="AB6" i="28"/>
  <c r="AB47" i="28"/>
  <c r="AA6" i="28"/>
  <c r="AA47" i="28"/>
  <c r="Z47" i="28"/>
  <c r="Y47" i="28"/>
  <c r="X47" i="28"/>
  <c r="W47" i="28"/>
  <c r="V47" i="28"/>
  <c r="U47" i="28"/>
  <c r="T47" i="28"/>
  <c r="S47" i="28"/>
  <c r="R47" i="28"/>
  <c r="Q47" i="28"/>
  <c r="P47" i="28"/>
  <c r="O47" i="28"/>
  <c r="N47" i="28"/>
  <c r="M47" i="28"/>
  <c r="L47" i="28"/>
  <c r="K47" i="28"/>
  <c r="J47" i="28"/>
  <c r="I47" i="28"/>
  <c r="H47" i="28"/>
  <c r="G47" i="28"/>
  <c r="F47" i="28"/>
  <c r="E47" i="28"/>
  <c r="D47" i="28"/>
  <c r="AA10" i="36"/>
  <c r="AZ10" i="36"/>
  <c r="BY10" i="36"/>
  <c r="BB10" i="28"/>
  <c r="BB46" i="28"/>
  <c r="Z10" i="36"/>
  <c r="AY10" i="36"/>
  <c r="BX10" i="36"/>
  <c r="BA10"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10" i="28"/>
  <c r="AB46" i="28"/>
  <c r="AA10" i="28"/>
  <c r="AA46" i="28"/>
  <c r="Z46" i="28"/>
  <c r="Y46" i="28"/>
  <c r="X46" i="28"/>
  <c r="W46" i="28"/>
  <c r="V46" i="28"/>
  <c r="U46" i="28"/>
  <c r="T46" i="28"/>
  <c r="S46" i="28"/>
  <c r="R46" i="28"/>
  <c r="Q46" i="28"/>
  <c r="P46" i="28"/>
  <c r="O46" i="28"/>
  <c r="N46" i="28"/>
  <c r="M46" i="28"/>
  <c r="L46" i="28"/>
  <c r="K46" i="28"/>
  <c r="J46" i="28"/>
  <c r="I46" i="28"/>
  <c r="H46" i="28"/>
  <c r="G46" i="28"/>
  <c r="F46" i="28"/>
  <c r="E46" i="28"/>
  <c r="D46" i="28"/>
  <c r="BB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D45" i="28"/>
  <c r="AA15" i="36"/>
  <c r="AZ15" i="36"/>
  <c r="BY15" i="36"/>
  <c r="BB15" i="28"/>
  <c r="BB44" i="28"/>
  <c r="Z15" i="36"/>
  <c r="AY15" i="36"/>
  <c r="BX15" i="36"/>
  <c r="AZ44" i="28"/>
  <c r="AY44" i="28"/>
  <c r="AX44" i="28"/>
  <c r="AW44" i="28"/>
  <c r="AV44" i="28"/>
  <c r="AU44" i="28"/>
  <c r="AT44" i="28"/>
  <c r="AS44" i="28"/>
  <c r="AR44" i="28"/>
  <c r="AQ44" i="28"/>
  <c r="AP44" i="28"/>
  <c r="AO44" i="28"/>
  <c r="AN44" i="28"/>
  <c r="AM44" i="28"/>
  <c r="AL44" i="28"/>
  <c r="AK44" i="28"/>
  <c r="AJ44" i="28"/>
  <c r="AI44" i="28"/>
  <c r="AH44" i="28"/>
  <c r="AG44" i="28"/>
  <c r="AF44" i="28"/>
  <c r="AE44" i="28"/>
  <c r="AD44" i="28"/>
  <c r="AC44" i="28"/>
  <c r="AB15" i="28"/>
  <c r="AB44" i="28"/>
  <c r="AA15" i="28"/>
  <c r="AA44" i="28"/>
  <c r="Z44" i="28"/>
  <c r="Y44" i="28"/>
  <c r="X44" i="28"/>
  <c r="W44" i="28"/>
  <c r="V44" i="28"/>
  <c r="U44" i="28"/>
  <c r="T44" i="28"/>
  <c r="S44" i="28"/>
  <c r="R44" i="28"/>
  <c r="Q44" i="28"/>
  <c r="P44" i="28"/>
  <c r="O44" i="28"/>
  <c r="N44" i="28"/>
  <c r="M44" i="28"/>
  <c r="L44" i="28"/>
  <c r="K44" i="28"/>
  <c r="J44" i="28"/>
  <c r="I44" i="28"/>
  <c r="H44" i="28"/>
  <c r="G44" i="28"/>
  <c r="F44" i="28"/>
  <c r="E44" i="28"/>
  <c r="D44" i="28"/>
  <c r="C44" i="28"/>
  <c r="AA28" i="36"/>
  <c r="AZ28" i="36"/>
  <c r="BY28" i="36"/>
  <c r="BB28" i="28"/>
  <c r="BB43" i="28"/>
  <c r="Z28" i="36"/>
  <c r="AY28" i="36"/>
  <c r="BX28" i="36"/>
  <c r="BA28" i="28"/>
  <c r="BA43" i="28"/>
  <c r="AZ43" i="28"/>
  <c r="AY43" i="28"/>
  <c r="AX43" i="28"/>
  <c r="AW43" i="28"/>
  <c r="AV43" i="28"/>
  <c r="AU43" i="28"/>
  <c r="AT43" i="28"/>
  <c r="AS43" i="28"/>
  <c r="AR43" i="28"/>
  <c r="AQ43" i="28"/>
  <c r="AP43" i="28"/>
  <c r="AO43" i="28"/>
  <c r="AN43" i="28"/>
  <c r="AM43" i="28"/>
  <c r="AL43" i="28"/>
  <c r="AK43" i="28"/>
  <c r="AJ43" i="28"/>
  <c r="AI43" i="28"/>
  <c r="AH43" i="28"/>
  <c r="AG43" i="28"/>
  <c r="AF43" i="28"/>
  <c r="AE43" i="28"/>
  <c r="AD43" i="28"/>
  <c r="AC43" i="28"/>
  <c r="AB28" i="28"/>
  <c r="AB43" i="28"/>
  <c r="AA28" i="28"/>
  <c r="AA43" i="28"/>
  <c r="Z43" i="28"/>
  <c r="Y43" i="28"/>
  <c r="X43" i="28"/>
  <c r="W43" i="28"/>
  <c r="V43" i="28"/>
  <c r="U43" i="28"/>
  <c r="T43" i="28"/>
  <c r="S43" i="28"/>
  <c r="R43" i="28"/>
  <c r="Q43" i="28"/>
  <c r="P43" i="28"/>
  <c r="O43" i="28"/>
  <c r="N43" i="28"/>
  <c r="M43" i="28"/>
  <c r="L43" i="28"/>
  <c r="K43" i="28"/>
  <c r="J43" i="28"/>
  <c r="I43" i="28"/>
  <c r="H43" i="28"/>
  <c r="G43" i="28"/>
  <c r="F43" i="28"/>
  <c r="E43" i="28"/>
  <c r="D43" i="28"/>
  <c r="C43" i="28"/>
  <c r="AA19" i="36"/>
  <c r="AZ19" i="36"/>
  <c r="BY19" i="36"/>
  <c r="BB19" i="28"/>
  <c r="BB42" i="28"/>
  <c r="Z19" i="36"/>
  <c r="AY19" i="36"/>
  <c r="BX19" i="36"/>
  <c r="AZ42" i="28"/>
  <c r="AY42" i="28"/>
  <c r="AX42" i="28"/>
  <c r="AW42" i="28"/>
  <c r="AV42" i="28"/>
  <c r="AU42" i="28"/>
  <c r="AT42" i="28"/>
  <c r="AS42" i="28"/>
  <c r="AR42" i="28"/>
  <c r="AQ42" i="28"/>
  <c r="AP42" i="28"/>
  <c r="AO42" i="28"/>
  <c r="AN42" i="28"/>
  <c r="AM42" i="28"/>
  <c r="AL42" i="28"/>
  <c r="AK42" i="28"/>
  <c r="AJ42" i="28"/>
  <c r="AI42" i="28"/>
  <c r="AH42" i="28"/>
  <c r="AG42" i="28"/>
  <c r="AF42" i="28"/>
  <c r="AE42" i="28"/>
  <c r="AD42" i="28"/>
  <c r="AC42" i="28"/>
  <c r="AB19" i="28"/>
  <c r="AB42" i="28"/>
  <c r="AA19" i="28"/>
  <c r="AA42" i="28"/>
  <c r="Z42" i="28"/>
  <c r="Y42" i="28"/>
  <c r="X42" i="28"/>
  <c r="W42" i="28"/>
  <c r="V42" i="28"/>
  <c r="U42" i="28"/>
  <c r="T42" i="28"/>
  <c r="S42" i="28"/>
  <c r="R42" i="28"/>
  <c r="Q42" i="28"/>
  <c r="P42" i="28"/>
  <c r="O42" i="28"/>
  <c r="N42" i="28"/>
  <c r="M42" i="28"/>
  <c r="L42" i="28"/>
  <c r="K42" i="28"/>
  <c r="J42" i="28"/>
  <c r="I42" i="28"/>
  <c r="H42" i="28"/>
  <c r="G42" i="28"/>
  <c r="F42" i="28"/>
  <c r="E42" i="28"/>
  <c r="D42" i="28"/>
  <c r="C42" i="28"/>
  <c r="AA8" i="36"/>
  <c r="AZ8" i="36"/>
  <c r="BY8" i="36"/>
  <c r="BB8" i="28"/>
  <c r="BB41" i="28"/>
  <c r="Z8" i="36"/>
  <c r="AY8" i="36"/>
  <c r="BX8" i="36"/>
  <c r="BA8" i="28"/>
  <c r="BA41" i="28"/>
  <c r="AZ41" i="28"/>
  <c r="AY41" i="28"/>
  <c r="AX41" i="28"/>
  <c r="AW41" i="28"/>
  <c r="AV41" i="28"/>
  <c r="AU41" i="28"/>
  <c r="AT41" i="28"/>
  <c r="AS41" i="28"/>
  <c r="AR41" i="28"/>
  <c r="AQ41" i="28"/>
  <c r="AP41" i="28"/>
  <c r="AO41" i="28"/>
  <c r="AN41" i="28"/>
  <c r="AM41" i="28"/>
  <c r="AL41" i="28"/>
  <c r="AK41" i="28"/>
  <c r="AJ41" i="28"/>
  <c r="AI41" i="28"/>
  <c r="AH41" i="28"/>
  <c r="AG41" i="28"/>
  <c r="AF41" i="28"/>
  <c r="AE41" i="28"/>
  <c r="AD41" i="28"/>
  <c r="AC41" i="28"/>
  <c r="AB8" i="28"/>
  <c r="AB41" i="28"/>
  <c r="AA8" i="28"/>
  <c r="AA41" i="28"/>
  <c r="Z41" i="28"/>
  <c r="Y41" i="28"/>
  <c r="X41" i="28"/>
  <c r="W41" i="28"/>
  <c r="V41" i="28"/>
  <c r="U41" i="28"/>
  <c r="T41" i="28"/>
  <c r="S41" i="28"/>
  <c r="R41" i="28"/>
  <c r="Q41" i="28"/>
  <c r="P41" i="28"/>
  <c r="O41" i="28"/>
  <c r="N41" i="28"/>
  <c r="M41" i="28"/>
  <c r="L41" i="28"/>
  <c r="K41" i="28"/>
  <c r="J41" i="28"/>
  <c r="I41" i="28"/>
  <c r="H41" i="28"/>
  <c r="G41" i="28"/>
  <c r="F41" i="28"/>
  <c r="E41" i="28"/>
  <c r="D41" i="28"/>
  <c r="C41" i="28"/>
  <c r="AA4" i="36"/>
  <c r="AZ4" i="36"/>
  <c r="BY4" i="36"/>
  <c r="BB4" i="28"/>
  <c r="BB40" i="28"/>
  <c r="Z4" i="36"/>
  <c r="AY4" i="36"/>
  <c r="BX4" i="36"/>
  <c r="BA4"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 i="28"/>
  <c r="AB40" i="28"/>
  <c r="AA4" i="28"/>
  <c r="AA40" i="28"/>
  <c r="Z40" i="28"/>
  <c r="Y40" i="28"/>
  <c r="X40" i="28"/>
  <c r="W40" i="28"/>
  <c r="V40" i="28"/>
  <c r="U40" i="28"/>
  <c r="T40" i="28"/>
  <c r="S40" i="28"/>
  <c r="R40" i="28"/>
  <c r="Q40" i="28"/>
  <c r="P40" i="28"/>
  <c r="O40" i="28"/>
  <c r="N40" i="28"/>
  <c r="M40" i="28"/>
  <c r="L40" i="28"/>
  <c r="K40" i="28"/>
  <c r="J40" i="28"/>
  <c r="I40" i="28"/>
  <c r="H40" i="28"/>
  <c r="G40" i="28"/>
  <c r="F40" i="28"/>
  <c r="E40" i="28"/>
  <c r="D40" i="28"/>
  <c r="C40" i="28"/>
  <c r="AA11" i="36"/>
  <c r="AZ11" i="36"/>
  <c r="BY11" i="36"/>
  <c r="BB11" i="28"/>
  <c r="BB39" i="28"/>
  <c r="Z11" i="36"/>
  <c r="AY11" i="36"/>
  <c r="BX11" i="36"/>
  <c r="AZ39" i="28"/>
  <c r="AY39" i="28"/>
  <c r="AX39" i="28"/>
  <c r="AW39" i="28"/>
  <c r="AV39" i="28"/>
  <c r="AU39" i="28"/>
  <c r="AT39" i="28"/>
  <c r="AS39" i="28"/>
  <c r="AR39" i="28"/>
  <c r="AQ39" i="28"/>
  <c r="AP39" i="28"/>
  <c r="AO39" i="28"/>
  <c r="AN39" i="28"/>
  <c r="AM39" i="28"/>
  <c r="AL39" i="28"/>
  <c r="AK39" i="28"/>
  <c r="AJ39" i="28"/>
  <c r="AI39" i="28"/>
  <c r="AH39" i="28"/>
  <c r="AG39" i="28"/>
  <c r="AF39" i="28"/>
  <c r="AE39" i="28"/>
  <c r="AD39" i="28"/>
  <c r="AC39" i="28"/>
  <c r="AB11" i="28"/>
  <c r="AB39" i="28"/>
  <c r="AA11" i="28"/>
  <c r="AA39" i="28"/>
  <c r="Z39" i="28"/>
  <c r="Y39" i="28"/>
  <c r="X39" i="28"/>
  <c r="W39" i="28"/>
  <c r="V39" i="28"/>
  <c r="U39" i="28"/>
  <c r="T39" i="28"/>
  <c r="S39" i="28"/>
  <c r="R39" i="28"/>
  <c r="Q39" i="28"/>
  <c r="P39" i="28"/>
  <c r="O39" i="28"/>
  <c r="N39" i="28"/>
  <c r="M39" i="28"/>
  <c r="L39" i="28"/>
  <c r="K39" i="28"/>
  <c r="J39" i="28"/>
  <c r="I39" i="28"/>
  <c r="H39" i="28"/>
  <c r="G39" i="28"/>
  <c r="F39" i="28"/>
  <c r="E39" i="28"/>
  <c r="D39" i="28"/>
  <c r="C39" i="28"/>
  <c r="AA2" i="36"/>
  <c r="AZ2" i="36"/>
  <c r="BY2" i="36"/>
  <c r="BB2" i="28"/>
  <c r="BB38" i="28"/>
  <c r="Z2" i="36"/>
  <c r="AY2" i="36"/>
  <c r="BX2" i="36"/>
  <c r="BA2" i="28"/>
  <c r="BA38" i="28"/>
  <c r="AZ38" i="28"/>
  <c r="AY38" i="28"/>
  <c r="AX38" i="28"/>
  <c r="AW38" i="28"/>
  <c r="AV38" i="28"/>
  <c r="AU38" i="28"/>
  <c r="AT38" i="28"/>
  <c r="AS38" i="28"/>
  <c r="AR38" i="28"/>
  <c r="AQ38" i="28"/>
  <c r="AP38" i="28"/>
  <c r="AO38" i="28"/>
  <c r="AN38" i="28"/>
  <c r="AM38" i="28"/>
  <c r="AL38" i="28"/>
  <c r="AK38" i="28"/>
  <c r="AJ38" i="28"/>
  <c r="AI38" i="28"/>
  <c r="AH38" i="28"/>
  <c r="AG38" i="28"/>
  <c r="AF38" i="28"/>
  <c r="AE38" i="28"/>
  <c r="AD38" i="28"/>
  <c r="AC38" i="28"/>
  <c r="AB2" i="28"/>
  <c r="AB38" i="28"/>
  <c r="AA2" i="28"/>
  <c r="AA38" i="28"/>
  <c r="Z38" i="28"/>
  <c r="Y38" i="28"/>
  <c r="X38" i="28"/>
  <c r="W38" i="28"/>
  <c r="V38" i="28"/>
  <c r="U38" i="28"/>
  <c r="T38" i="28"/>
  <c r="S38" i="28"/>
  <c r="R38" i="28"/>
  <c r="Q38" i="28"/>
  <c r="P38" i="28"/>
  <c r="O38" i="28"/>
  <c r="N38" i="28"/>
  <c r="M38" i="28"/>
  <c r="L38" i="28"/>
  <c r="K38" i="28"/>
  <c r="J38" i="28"/>
  <c r="I38" i="28"/>
  <c r="H38" i="28"/>
  <c r="G38" i="28"/>
  <c r="F38" i="28"/>
  <c r="E38" i="28"/>
  <c r="D38" i="28"/>
  <c r="C38" i="28"/>
  <c r="AA22" i="36"/>
  <c r="AZ22" i="36"/>
  <c r="BY22" i="36"/>
  <c r="BB22" i="28"/>
  <c r="BB37" i="28"/>
  <c r="Z22" i="36"/>
  <c r="AY22" i="36"/>
  <c r="BX22" i="36"/>
  <c r="BA22" i="28"/>
  <c r="BA37" i="28"/>
  <c r="AZ37" i="28"/>
  <c r="AY37" i="28"/>
  <c r="AX37" i="28"/>
  <c r="AW37" i="28"/>
  <c r="AV37" i="28"/>
  <c r="AU37" i="28"/>
  <c r="AT37" i="28"/>
  <c r="AS37" i="28"/>
  <c r="AR37" i="28"/>
  <c r="AQ37" i="28"/>
  <c r="AP37" i="28"/>
  <c r="AO37" i="28"/>
  <c r="AN37" i="28"/>
  <c r="AM37" i="28"/>
  <c r="AL37" i="28"/>
  <c r="AK37" i="28"/>
  <c r="AJ37" i="28"/>
  <c r="AI37" i="28"/>
  <c r="AH37" i="28"/>
  <c r="AG37" i="28"/>
  <c r="AF37" i="28"/>
  <c r="AE37" i="28"/>
  <c r="AD37" i="28"/>
  <c r="AC37" i="28"/>
  <c r="AB22" i="28"/>
  <c r="AB37" i="28"/>
  <c r="AA22" i="28"/>
  <c r="AA37" i="28"/>
  <c r="Z37" i="28"/>
  <c r="Y37" i="28"/>
  <c r="X37" i="28"/>
  <c r="W37" i="28"/>
  <c r="V37" i="28"/>
  <c r="U37" i="28"/>
  <c r="T37" i="28"/>
  <c r="S37" i="28"/>
  <c r="R37" i="28"/>
  <c r="Q37" i="28"/>
  <c r="P37" i="28"/>
  <c r="O37" i="28"/>
  <c r="N37" i="28"/>
  <c r="M37" i="28"/>
  <c r="L37" i="28"/>
  <c r="K37" i="28"/>
  <c r="J37" i="28"/>
  <c r="I37" i="28"/>
  <c r="H37" i="28"/>
  <c r="G37" i="28"/>
  <c r="F37" i="28"/>
  <c r="E37" i="28"/>
  <c r="D37" i="28"/>
  <c r="C37" i="28"/>
  <c r="AA26" i="36"/>
  <c r="AZ26" i="36"/>
  <c r="BY26" i="36"/>
  <c r="BB26" i="28"/>
  <c r="BB36" i="28"/>
  <c r="Z26" i="36"/>
  <c r="AY26" i="36"/>
  <c r="BX26" i="36"/>
  <c r="BA2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26" i="28"/>
  <c r="AB36" i="28"/>
  <c r="AA26" i="28"/>
  <c r="AA36" i="28"/>
  <c r="Z36" i="28"/>
  <c r="Y36" i="28"/>
  <c r="X36" i="28"/>
  <c r="W36" i="28"/>
  <c r="V36" i="28"/>
  <c r="U36" i="28"/>
  <c r="T36" i="28"/>
  <c r="S36" i="28"/>
  <c r="R36" i="28"/>
  <c r="Q36" i="28"/>
  <c r="P36" i="28"/>
  <c r="O36" i="28"/>
  <c r="N36" i="28"/>
  <c r="M36" i="28"/>
  <c r="L36" i="28"/>
  <c r="K36" i="28"/>
  <c r="J36" i="28"/>
  <c r="I36" i="28"/>
  <c r="H36" i="28"/>
  <c r="G36" i="28"/>
  <c r="F36" i="28"/>
  <c r="E36" i="28"/>
  <c r="D36" i="28"/>
  <c r="C36" i="28"/>
  <c r="AA30" i="36"/>
  <c r="AZ30" i="36"/>
  <c r="BY30" i="36"/>
  <c r="BB30" i="28"/>
  <c r="BB35" i="28"/>
  <c r="Z30" i="36"/>
  <c r="AY30" i="36"/>
  <c r="BX30" i="36"/>
  <c r="AZ35" i="28"/>
  <c r="AY35" i="28"/>
  <c r="AX35" i="28"/>
  <c r="AW35" i="28"/>
  <c r="AV35" i="28"/>
  <c r="AU35" i="28"/>
  <c r="AT35" i="28"/>
  <c r="AS35" i="28"/>
  <c r="AR35" i="28"/>
  <c r="AQ35" i="28"/>
  <c r="AP35" i="28"/>
  <c r="AO35" i="28"/>
  <c r="AN35" i="28"/>
  <c r="AM35" i="28"/>
  <c r="AL35" i="28"/>
  <c r="AK35" i="28"/>
  <c r="AJ35" i="28"/>
  <c r="AI35" i="28"/>
  <c r="AH35" i="28"/>
  <c r="AG35" i="28"/>
  <c r="AF35" i="28"/>
  <c r="AE35" i="28"/>
  <c r="AD35" i="28"/>
  <c r="AC35" i="28"/>
  <c r="AB30" i="28"/>
  <c r="AB35" i="28"/>
  <c r="AA30" i="28"/>
  <c r="AA35" i="28"/>
  <c r="Z35" i="28"/>
  <c r="Y35" i="28"/>
  <c r="X35" i="28"/>
  <c r="W35" i="28"/>
  <c r="V35" i="28"/>
  <c r="U35" i="28"/>
  <c r="T35" i="28"/>
  <c r="S35" i="28"/>
  <c r="R35" i="28"/>
  <c r="Q35" i="28"/>
  <c r="P35" i="28"/>
  <c r="O35" i="28"/>
  <c r="N35" i="28"/>
  <c r="M35" i="28"/>
  <c r="L35" i="28"/>
  <c r="K35" i="28"/>
  <c r="J35" i="28"/>
  <c r="I35" i="28"/>
  <c r="H35" i="28"/>
  <c r="G35" i="28"/>
  <c r="F35" i="28"/>
  <c r="E35" i="28"/>
  <c r="D35" i="28"/>
  <c r="C35" i="28"/>
  <c r="AA14" i="36"/>
  <c r="AZ14" i="36"/>
  <c r="BY14" i="36"/>
  <c r="BB14" i="28"/>
  <c r="BB34" i="28"/>
  <c r="Z14" i="36"/>
  <c r="AY14" i="36"/>
  <c r="BX14" i="36"/>
  <c r="BA14" i="28"/>
  <c r="BA34" i="28"/>
  <c r="AZ34" i="28"/>
  <c r="AY34" i="28"/>
  <c r="AX34" i="28"/>
  <c r="AW34" i="28"/>
  <c r="AV34" i="28"/>
  <c r="AU34" i="28"/>
  <c r="AT34" i="28"/>
  <c r="AS34" i="28"/>
  <c r="AR34" i="28"/>
  <c r="AQ34" i="28"/>
  <c r="AP34" i="28"/>
  <c r="AO34" i="28"/>
  <c r="AN34" i="28"/>
  <c r="AM34" i="28"/>
  <c r="AL34" i="28"/>
  <c r="AK34" i="28"/>
  <c r="AJ34" i="28"/>
  <c r="AI34" i="28"/>
  <c r="AH34" i="28"/>
  <c r="AG34" i="28"/>
  <c r="AF34" i="28"/>
  <c r="AE34" i="28"/>
  <c r="AD34" i="28"/>
  <c r="AC34" i="28"/>
  <c r="AB14" i="28"/>
  <c r="AB34" i="28"/>
  <c r="AA14" i="28"/>
  <c r="AA34" i="28"/>
  <c r="Z34" i="28"/>
  <c r="Y34" i="28"/>
  <c r="X34" i="28"/>
  <c r="W34" i="28"/>
  <c r="V34" i="28"/>
  <c r="U34" i="28"/>
  <c r="T34" i="28"/>
  <c r="S34" i="28"/>
  <c r="R34" i="28"/>
  <c r="Q34" i="28"/>
  <c r="P34" i="28"/>
  <c r="O34" i="28"/>
  <c r="N34" i="28"/>
  <c r="M34" i="28"/>
  <c r="L34" i="28"/>
  <c r="K34" i="28"/>
  <c r="J34" i="28"/>
  <c r="I34" i="28"/>
  <c r="H34" i="28"/>
  <c r="G34" i="28"/>
  <c r="F34" i="28"/>
  <c r="E34" i="28"/>
  <c r="D34" i="28"/>
  <c r="C34" i="28"/>
  <c r="AA13" i="36"/>
  <c r="AZ13" i="36"/>
  <c r="BY13" i="36"/>
  <c r="BB13" i="28"/>
  <c r="BB33" i="28"/>
  <c r="Z13" i="36"/>
  <c r="AY13" i="36"/>
  <c r="BX13" i="36"/>
  <c r="AZ33" i="28"/>
  <c r="AY33" i="28"/>
  <c r="AX33" i="28"/>
  <c r="AW33" i="28"/>
  <c r="AV33" i="28"/>
  <c r="AU33" i="28"/>
  <c r="AT33" i="28"/>
  <c r="AS33" i="28"/>
  <c r="AR33" i="28"/>
  <c r="AQ33" i="28"/>
  <c r="AP33" i="28"/>
  <c r="AO33" i="28"/>
  <c r="AN33" i="28"/>
  <c r="AM33" i="28"/>
  <c r="AL33" i="28"/>
  <c r="AK33" i="28"/>
  <c r="AJ33" i="28"/>
  <c r="AI33" i="28"/>
  <c r="AH33" i="28"/>
  <c r="AG33" i="28"/>
  <c r="AF33" i="28"/>
  <c r="AE33" i="28"/>
  <c r="AD33" i="28"/>
  <c r="AC33" i="28"/>
  <c r="AB13" i="28"/>
  <c r="AB33" i="28"/>
  <c r="AA13" i="28"/>
  <c r="AA33" i="28"/>
  <c r="Z33" i="28"/>
  <c r="Y33" i="28"/>
  <c r="X33" i="28"/>
  <c r="W33" i="28"/>
  <c r="V33" i="28"/>
  <c r="U33" i="28"/>
  <c r="T33" i="28"/>
  <c r="S33" i="28"/>
  <c r="R33" i="28"/>
  <c r="Q33" i="28"/>
  <c r="P33" i="28"/>
  <c r="O33" i="28"/>
  <c r="N33" i="28"/>
  <c r="M33" i="28"/>
  <c r="L33" i="28"/>
  <c r="K33" i="28"/>
  <c r="J33" i="28"/>
  <c r="I33" i="28"/>
  <c r="H33" i="28"/>
  <c r="G33" i="28"/>
  <c r="F33" i="28"/>
  <c r="E33" i="28"/>
  <c r="D33" i="28"/>
  <c r="C33" i="28"/>
  <c r="AA3" i="36"/>
  <c r="AZ3" i="36"/>
  <c r="BY3" i="36"/>
  <c r="BB3" i="28"/>
  <c r="BB32" i="28"/>
  <c r="Z3" i="36"/>
  <c r="AY3" i="36"/>
  <c r="BX3" i="36"/>
  <c r="AZ32" i="28"/>
  <c r="AY32" i="28"/>
  <c r="AX32" i="28"/>
  <c r="AW32" i="28"/>
  <c r="AV32" i="28"/>
  <c r="AU32" i="28"/>
  <c r="AT32" i="28"/>
  <c r="AS32" i="28"/>
  <c r="AR32" i="28"/>
  <c r="AQ32" i="28"/>
  <c r="AP32" i="28"/>
  <c r="AO32" i="28"/>
  <c r="AN32" i="28"/>
  <c r="AM32" i="28"/>
  <c r="AL32" i="28"/>
  <c r="AK32" i="28"/>
  <c r="AJ32" i="28"/>
  <c r="AI32" i="28"/>
  <c r="AH32" i="28"/>
  <c r="AG32" i="28"/>
  <c r="AF32" i="28"/>
  <c r="AE32" i="28"/>
  <c r="AD32" i="28"/>
  <c r="AC32" i="28"/>
  <c r="AB3" i="28"/>
  <c r="AB32" i="28"/>
  <c r="AA3" i="28"/>
  <c r="AA32" i="28"/>
  <c r="Z32" i="28"/>
  <c r="Y32" i="28"/>
  <c r="X32" i="28"/>
  <c r="W32" i="28"/>
  <c r="V32" i="28"/>
  <c r="U32" i="28"/>
  <c r="T32" i="28"/>
  <c r="S32" i="28"/>
  <c r="R32" i="28"/>
  <c r="Q32" i="28"/>
  <c r="P32" i="28"/>
  <c r="O32" i="28"/>
  <c r="N32" i="28"/>
  <c r="M32" i="28"/>
  <c r="L32" i="28"/>
  <c r="K32" i="28"/>
  <c r="J32" i="28"/>
  <c r="I32" i="28"/>
  <c r="H32" i="28"/>
  <c r="G32" i="28"/>
  <c r="F32" i="28"/>
  <c r="E32" i="28"/>
  <c r="D32" i="28"/>
  <c r="C32" i="28"/>
  <c r="BB31" i="28"/>
  <c r="AZ31" i="28"/>
  <c r="AY31" i="28"/>
  <c r="AX31" i="28"/>
  <c r="AW31" i="28"/>
  <c r="AV31" i="28"/>
  <c r="AU31" i="28"/>
  <c r="AT31" i="28"/>
  <c r="AS31" i="28"/>
  <c r="AR31" i="28"/>
  <c r="AQ31" i="28"/>
  <c r="AP31" i="28"/>
  <c r="AO31" i="28"/>
  <c r="AN31" i="28"/>
  <c r="AM31" i="28"/>
  <c r="AL31" i="28"/>
  <c r="AK31" i="28"/>
  <c r="AJ31" i="28"/>
  <c r="AI31" i="28"/>
  <c r="AH31" i="28"/>
  <c r="AG31" i="28"/>
  <c r="AF31" i="28"/>
  <c r="AE31" i="28"/>
  <c r="AD31" i="28"/>
  <c r="AC31" i="28"/>
  <c r="AB31" i="28"/>
  <c r="AA31" i="28"/>
  <c r="Z31" i="28"/>
  <c r="Y31" i="28"/>
  <c r="X31" i="28"/>
  <c r="W31" i="28"/>
  <c r="V31" i="28"/>
  <c r="U31" i="28"/>
  <c r="T31" i="28"/>
  <c r="S31" i="28"/>
  <c r="R31" i="28"/>
  <c r="Q31" i="28"/>
  <c r="P31" i="28"/>
  <c r="O31" i="28"/>
  <c r="N31" i="28"/>
  <c r="M31" i="28"/>
  <c r="L31" i="28"/>
  <c r="K31" i="28"/>
  <c r="J31" i="28"/>
  <c r="I31" i="28"/>
  <c r="H31" i="28"/>
  <c r="G31" i="28"/>
  <c r="F31" i="28"/>
  <c r="E31" i="28"/>
  <c r="D31" i="28"/>
  <c r="C31" i="28"/>
  <c r="BB27" i="27"/>
  <c r="BB76" i="27"/>
  <c r="AZ76" i="27"/>
  <c r="AY76" i="27"/>
  <c r="AX76" i="27"/>
  <c r="AW76" i="27"/>
  <c r="AV76" i="27"/>
  <c r="AU76" i="27"/>
  <c r="AT76" i="27"/>
  <c r="AS76" i="27"/>
  <c r="AR76" i="27"/>
  <c r="AQ76" i="27"/>
  <c r="AP76" i="27"/>
  <c r="AO76" i="27"/>
  <c r="AN76" i="27"/>
  <c r="AM76" i="27"/>
  <c r="AL76" i="27"/>
  <c r="AK76" i="27"/>
  <c r="AJ76" i="27"/>
  <c r="AI76" i="27"/>
  <c r="AH76" i="27"/>
  <c r="AG76" i="27"/>
  <c r="AF76" i="27"/>
  <c r="AE76" i="27"/>
  <c r="AD76" i="27"/>
  <c r="AC76" i="27"/>
  <c r="AB27" i="27"/>
  <c r="AB76" i="27"/>
  <c r="AA27" i="27"/>
  <c r="AA76" i="27"/>
  <c r="Z76" i="27"/>
  <c r="Y76" i="27"/>
  <c r="X76" i="27"/>
  <c r="W76" i="27"/>
  <c r="V76" i="27"/>
  <c r="U76" i="27"/>
  <c r="T76" i="27"/>
  <c r="S76" i="27"/>
  <c r="R76" i="27"/>
  <c r="Q76" i="27"/>
  <c r="P76" i="27"/>
  <c r="O76" i="27"/>
  <c r="N76" i="27"/>
  <c r="M76" i="27"/>
  <c r="L76" i="27"/>
  <c r="K76" i="27"/>
  <c r="J76" i="27"/>
  <c r="I76" i="27"/>
  <c r="H76" i="27"/>
  <c r="G76" i="27"/>
  <c r="F76" i="27"/>
  <c r="E76" i="27"/>
  <c r="D76" i="27"/>
  <c r="C76" i="27"/>
  <c r="BB18" i="27"/>
  <c r="BB75" i="27"/>
  <c r="BA18" i="27"/>
  <c r="BA61" i="27"/>
  <c r="AZ75" i="27"/>
  <c r="AY75" i="27"/>
  <c r="AX75" i="27"/>
  <c r="AW75" i="27"/>
  <c r="AV75" i="27"/>
  <c r="AU75" i="27"/>
  <c r="AT75" i="27"/>
  <c r="AS75" i="27"/>
  <c r="AR75" i="27"/>
  <c r="AQ75" i="27"/>
  <c r="AP75" i="27"/>
  <c r="AO75" i="27"/>
  <c r="AN75" i="27"/>
  <c r="AM75" i="27"/>
  <c r="AL75" i="27"/>
  <c r="AK75" i="27"/>
  <c r="AJ75" i="27"/>
  <c r="AI75" i="27"/>
  <c r="AH75" i="27"/>
  <c r="AG75" i="27"/>
  <c r="AF75" i="27"/>
  <c r="AE75" i="27"/>
  <c r="AD75" i="27"/>
  <c r="AC75" i="27"/>
  <c r="AB18" i="27"/>
  <c r="AB75" i="27"/>
  <c r="AA18" i="27"/>
  <c r="AA75" i="27"/>
  <c r="Z75" i="27"/>
  <c r="Y75" i="27"/>
  <c r="X75" i="27"/>
  <c r="W75" i="27"/>
  <c r="V75" i="27"/>
  <c r="U75" i="27"/>
  <c r="T75" i="27"/>
  <c r="S75" i="27"/>
  <c r="R75" i="27"/>
  <c r="Q75" i="27"/>
  <c r="P75" i="27"/>
  <c r="O75" i="27"/>
  <c r="N75" i="27"/>
  <c r="M75" i="27"/>
  <c r="L75" i="27"/>
  <c r="K75" i="27"/>
  <c r="J75" i="27"/>
  <c r="I75" i="27"/>
  <c r="H75" i="27"/>
  <c r="G75" i="27"/>
  <c r="F75" i="27"/>
  <c r="E75" i="27"/>
  <c r="D75" i="27"/>
  <c r="C75" i="27"/>
  <c r="BB12" i="27"/>
  <c r="BB74" i="27"/>
  <c r="BA12" i="27"/>
  <c r="BA60" i="27"/>
  <c r="AZ74" i="27"/>
  <c r="AY74" i="27"/>
  <c r="AX74" i="27"/>
  <c r="AW74" i="27"/>
  <c r="AV74" i="27"/>
  <c r="AU74" i="27"/>
  <c r="AT74" i="27"/>
  <c r="AS74" i="27"/>
  <c r="AR74" i="27"/>
  <c r="AQ74" i="27"/>
  <c r="AP74" i="27"/>
  <c r="AO74" i="27"/>
  <c r="AN74" i="27"/>
  <c r="AM74" i="27"/>
  <c r="AL74" i="27"/>
  <c r="AK74" i="27"/>
  <c r="AJ74" i="27"/>
  <c r="AI74" i="27"/>
  <c r="AH74" i="27"/>
  <c r="AG74" i="27"/>
  <c r="AF74" i="27"/>
  <c r="AE74" i="27"/>
  <c r="AD74" i="27"/>
  <c r="AC74" i="27"/>
  <c r="AB12" i="27"/>
  <c r="AB74" i="27"/>
  <c r="AA12" i="27"/>
  <c r="AA74" i="27"/>
  <c r="Z74" i="27"/>
  <c r="Y74" i="27"/>
  <c r="X74" i="27"/>
  <c r="W74" i="27"/>
  <c r="V74" i="27"/>
  <c r="U74" i="27"/>
  <c r="T74" i="27"/>
  <c r="S74" i="27"/>
  <c r="R74" i="27"/>
  <c r="Q74" i="27"/>
  <c r="P74" i="27"/>
  <c r="O74" i="27"/>
  <c r="N74" i="27"/>
  <c r="M74" i="27"/>
  <c r="L74" i="27"/>
  <c r="K74" i="27"/>
  <c r="J74" i="27"/>
  <c r="I74" i="27"/>
  <c r="H74" i="27"/>
  <c r="G74" i="27"/>
  <c r="F74" i="27"/>
  <c r="E74" i="27"/>
  <c r="D74" i="27"/>
  <c r="C74" i="27"/>
  <c r="BB7" i="27"/>
  <c r="BB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 i="27"/>
  <c r="AB73" i="27"/>
  <c r="AA7" i="27"/>
  <c r="AA73" i="27"/>
  <c r="Z73" i="27"/>
  <c r="Y73" i="27"/>
  <c r="X73" i="27"/>
  <c r="W73" i="27"/>
  <c r="V73" i="27"/>
  <c r="U73" i="27"/>
  <c r="T73" i="27"/>
  <c r="S73" i="27"/>
  <c r="R73" i="27"/>
  <c r="Q73" i="27"/>
  <c r="P73" i="27"/>
  <c r="O73" i="27"/>
  <c r="N73" i="27"/>
  <c r="M73" i="27"/>
  <c r="L73" i="27"/>
  <c r="K73" i="27"/>
  <c r="J73" i="27"/>
  <c r="I73" i="27"/>
  <c r="H73" i="27"/>
  <c r="G73" i="27"/>
  <c r="F73" i="27"/>
  <c r="E73" i="27"/>
  <c r="D73" i="27"/>
  <c r="C73" i="27"/>
  <c r="BB16" i="27"/>
  <c r="BB72" i="27"/>
  <c r="BA16" i="27"/>
  <c r="BA58"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16" i="27"/>
  <c r="AB72" i="27"/>
  <c r="AA16" i="27"/>
  <c r="AA72" i="27"/>
  <c r="Z72" i="27"/>
  <c r="Y72" i="27"/>
  <c r="X72" i="27"/>
  <c r="W72" i="27"/>
  <c r="V72" i="27"/>
  <c r="U72" i="27"/>
  <c r="T72" i="27"/>
  <c r="S72" i="27"/>
  <c r="R72" i="27"/>
  <c r="Q72" i="27"/>
  <c r="P72" i="27"/>
  <c r="O72" i="27"/>
  <c r="N72" i="27"/>
  <c r="M72" i="27"/>
  <c r="L72" i="27"/>
  <c r="K72" i="27"/>
  <c r="J72" i="27"/>
  <c r="I72" i="27"/>
  <c r="H72" i="27"/>
  <c r="G72" i="27"/>
  <c r="F72" i="27"/>
  <c r="E72" i="27"/>
  <c r="D72" i="27"/>
  <c r="C72" i="27"/>
  <c r="BB29" i="27"/>
  <c r="BB71" i="27"/>
  <c r="AZ71" i="27"/>
  <c r="AY71" i="27"/>
  <c r="AX71" i="27"/>
  <c r="AW71" i="27"/>
  <c r="AV71" i="27"/>
  <c r="AU71" i="27"/>
  <c r="AT71" i="27"/>
  <c r="AS71" i="27"/>
  <c r="AR71" i="27"/>
  <c r="AQ71" i="27"/>
  <c r="AP71" i="27"/>
  <c r="AO71" i="27"/>
  <c r="AN71" i="27"/>
  <c r="AM71" i="27"/>
  <c r="AL71" i="27"/>
  <c r="AK71" i="27"/>
  <c r="AJ71" i="27"/>
  <c r="AI71" i="27"/>
  <c r="AH71" i="27"/>
  <c r="AG71" i="27"/>
  <c r="AF71" i="27"/>
  <c r="AE71" i="27"/>
  <c r="AD71" i="27"/>
  <c r="AC71" i="27"/>
  <c r="AB29" i="27"/>
  <c r="AB71" i="27"/>
  <c r="AA29" i="27"/>
  <c r="AA71" i="27"/>
  <c r="Z71" i="27"/>
  <c r="Y71" i="27"/>
  <c r="X71" i="27"/>
  <c r="W71" i="27"/>
  <c r="V71" i="27"/>
  <c r="U71" i="27"/>
  <c r="T71" i="27"/>
  <c r="S71" i="27"/>
  <c r="R71" i="27"/>
  <c r="Q71" i="27"/>
  <c r="P71" i="27"/>
  <c r="O71" i="27"/>
  <c r="N71" i="27"/>
  <c r="M71" i="27"/>
  <c r="L71" i="27"/>
  <c r="K71" i="27"/>
  <c r="J71" i="27"/>
  <c r="I71" i="27"/>
  <c r="H71" i="27"/>
  <c r="G71" i="27"/>
  <c r="F71" i="27"/>
  <c r="E71" i="27"/>
  <c r="D71" i="27"/>
  <c r="C71" i="27"/>
  <c r="BB20" i="27"/>
  <c r="BB70" i="27"/>
  <c r="BA20" i="27"/>
  <c r="BA56" i="27"/>
  <c r="AZ70" i="27"/>
  <c r="AY70" i="27"/>
  <c r="AX70" i="27"/>
  <c r="AW70" i="27"/>
  <c r="AV70" i="27"/>
  <c r="AU70" i="27"/>
  <c r="AT70" i="27"/>
  <c r="AS70" i="27"/>
  <c r="AR70" i="27"/>
  <c r="AQ70" i="27"/>
  <c r="AP70" i="27"/>
  <c r="AO70" i="27"/>
  <c r="AN70" i="27"/>
  <c r="AM70" i="27"/>
  <c r="AL70" i="27"/>
  <c r="AK70" i="27"/>
  <c r="AJ70" i="27"/>
  <c r="AI70" i="27"/>
  <c r="AH70" i="27"/>
  <c r="AG70" i="27"/>
  <c r="AF70" i="27"/>
  <c r="AE70" i="27"/>
  <c r="AD70" i="27"/>
  <c r="AC70" i="27"/>
  <c r="AB20" i="27"/>
  <c r="AB70" i="27"/>
  <c r="AA20" i="27"/>
  <c r="AA70" i="27"/>
  <c r="Z70" i="27"/>
  <c r="Y70" i="27"/>
  <c r="X70" i="27"/>
  <c r="W70" i="27"/>
  <c r="V70" i="27"/>
  <c r="U70" i="27"/>
  <c r="T70" i="27"/>
  <c r="S70" i="27"/>
  <c r="R70" i="27"/>
  <c r="Q70" i="27"/>
  <c r="P70" i="27"/>
  <c r="O70" i="27"/>
  <c r="N70" i="27"/>
  <c r="M70" i="27"/>
  <c r="L70" i="27"/>
  <c r="K70" i="27"/>
  <c r="J70" i="27"/>
  <c r="I70" i="27"/>
  <c r="H70" i="27"/>
  <c r="G70" i="27"/>
  <c r="F70" i="27"/>
  <c r="E70" i="27"/>
  <c r="D70" i="27"/>
  <c r="C70" i="27"/>
  <c r="BB24" i="27"/>
  <c r="BB69" i="27"/>
  <c r="BA24" i="27"/>
  <c r="BA55"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24" i="27"/>
  <c r="AB69" i="27"/>
  <c r="AA24"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B9" i="27"/>
  <c r="BB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9" i="27"/>
  <c r="AB68" i="27"/>
  <c r="AA9" i="27"/>
  <c r="AA68" i="27"/>
  <c r="Z68" i="27"/>
  <c r="Y68" i="27"/>
  <c r="X68" i="27"/>
  <c r="W68" i="27"/>
  <c r="V68" i="27"/>
  <c r="U68" i="27"/>
  <c r="T68" i="27"/>
  <c r="S68" i="27"/>
  <c r="R68" i="27"/>
  <c r="Q68" i="27"/>
  <c r="P68" i="27"/>
  <c r="O68" i="27"/>
  <c r="N68" i="27"/>
  <c r="M68" i="27"/>
  <c r="L68" i="27"/>
  <c r="K68" i="27"/>
  <c r="J68" i="27"/>
  <c r="I68" i="27"/>
  <c r="H68" i="27"/>
  <c r="G68" i="27"/>
  <c r="F68" i="27"/>
  <c r="E68" i="27"/>
  <c r="D68" i="27"/>
  <c r="C68" i="27"/>
  <c r="BB5" i="27"/>
  <c r="BB67" i="27"/>
  <c r="AZ67" i="27"/>
  <c r="AY67" i="27"/>
  <c r="AX67" i="27"/>
  <c r="AW67" i="27"/>
  <c r="AV67" i="27"/>
  <c r="AU67" i="27"/>
  <c r="AT67" i="27"/>
  <c r="AS67" i="27"/>
  <c r="AR67" i="27"/>
  <c r="AQ67" i="27"/>
  <c r="AP67" i="27"/>
  <c r="AO67" i="27"/>
  <c r="AN67" i="27"/>
  <c r="AM67" i="27"/>
  <c r="AL67" i="27"/>
  <c r="AK67" i="27"/>
  <c r="AJ67" i="27"/>
  <c r="AI67" i="27"/>
  <c r="AH67" i="27"/>
  <c r="AG67" i="27"/>
  <c r="AF67" i="27"/>
  <c r="AE67" i="27"/>
  <c r="AD67" i="27"/>
  <c r="AC67" i="27"/>
  <c r="AB5" i="27"/>
  <c r="AB67" i="27"/>
  <c r="AA5" i="27"/>
  <c r="AA67" i="27"/>
  <c r="Z67" i="27"/>
  <c r="Y67" i="27"/>
  <c r="X67" i="27"/>
  <c r="W67" i="27"/>
  <c r="V67" i="27"/>
  <c r="U67" i="27"/>
  <c r="T67" i="27"/>
  <c r="S67" i="27"/>
  <c r="R67" i="27"/>
  <c r="Q67" i="27"/>
  <c r="P67" i="27"/>
  <c r="O67" i="27"/>
  <c r="N67" i="27"/>
  <c r="M67" i="27"/>
  <c r="L67" i="27"/>
  <c r="K67" i="27"/>
  <c r="J67" i="27"/>
  <c r="I67" i="27"/>
  <c r="H67" i="27"/>
  <c r="G67" i="27"/>
  <c r="F67" i="27"/>
  <c r="E67" i="27"/>
  <c r="D67" i="27"/>
  <c r="C67" i="27"/>
  <c r="BB17" i="27"/>
  <c r="BB66" i="27"/>
  <c r="AZ66" i="27"/>
  <c r="AY66" i="27"/>
  <c r="AX66" i="27"/>
  <c r="AW66" i="27"/>
  <c r="AV66" i="27"/>
  <c r="AU66" i="27"/>
  <c r="AT66" i="27"/>
  <c r="AS66" i="27"/>
  <c r="AR66" i="27"/>
  <c r="AQ66" i="27"/>
  <c r="AP66" i="27"/>
  <c r="AO66" i="27"/>
  <c r="AN66" i="27"/>
  <c r="AM66" i="27"/>
  <c r="AL66" i="27"/>
  <c r="AK66" i="27"/>
  <c r="AJ66" i="27"/>
  <c r="AI66" i="27"/>
  <c r="AH66" i="27"/>
  <c r="AG66" i="27"/>
  <c r="AF66" i="27"/>
  <c r="AE66" i="27"/>
  <c r="AD66" i="27"/>
  <c r="AC66" i="27"/>
  <c r="AB17" i="27"/>
  <c r="AB66" i="27"/>
  <c r="AA17" i="27"/>
  <c r="AA66" i="27"/>
  <c r="Z66" i="27"/>
  <c r="Y66" i="27"/>
  <c r="X66" i="27"/>
  <c r="W66" i="27"/>
  <c r="V66" i="27"/>
  <c r="U66" i="27"/>
  <c r="T66" i="27"/>
  <c r="S66" i="27"/>
  <c r="R66" i="27"/>
  <c r="Q66" i="27"/>
  <c r="P66" i="27"/>
  <c r="O66" i="27"/>
  <c r="N66" i="27"/>
  <c r="M66" i="27"/>
  <c r="L66" i="27"/>
  <c r="K66" i="27"/>
  <c r="J66" i="27"/>
  <c r="I66" i="27"/>
  <c r="H66" i="27"/>
  <c r="G66" i="27"/>
  <c r="F66" i="27"/>
  <c r="E66" i="27"/>
  <c r="D66" i="27"/>
  <c r="C66" i="27"/>
  <c r="BB21" i="27"/>
  <c r="BB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21" i="27"/>
  <c r="AB65" i="27"/>
  <c r="AA21" i="27"/>
  <c r="AA65" i="27"/>
  <c r="Z65" i="27"/>
  <c r="Y65" i="27"/>
  <c r="X65" i="27"/>
  <c r="W65" i="27"/>
  <c r="V65" i="27"/>
  <c r="U65" i="27"/>
  <c r="T65" i="27"/>
  <c r="S65" i="27"/>
  <c r="R65" i="27"/>
  <c r="Q65" i="27"/>
  <c r="P65" i="27"/>
  <c r="O65" i="27"/>
  <c r="N65" i="27"/>
  <c r="M65" i="27"/>
  <c r="L65" i="27"/>
  <c r="K65" i="27"/>
  <c r="J65" i="27"/>
  <c r="I65" i="27"/>
  <c r="H65" i="27"/>
  <c r="G65" i="27"/>
  <c r="F65" i="27"/>
  <c r="E65" i="27"/>
  <c r="D65" i="27"/>
  <c r="C65" i="27"/>
  <c r="BB25" i="27"/>
  <c r="BB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25" i="27"/>
  <c r="AB64" i="27"/>
  <c r="AA25" i="27"/>
  <c r="AA64" i="27"/>
  <c r="Z64" i="27"/>
  <c r="Y64" i="27"/>
  <c r="X64" i="27"/>
  <c r="W64" i="27"/>
  <c r="V64" i="27"/>
  <c r="U64" i="27"/>
  <c r="T64" i="27"/>
  <c r="S64" i="27"/>
  <c r="R64" i="27"/>
  <c r="Q64" i="27"/>
  <c r="P64" i="27"/>
  <c r="O64" i="27"/>
  <c r="N64" i="27"/>
  <c r="M64" i="27"/>
  <c r="L64" i="27"/>
  <c r="K64" i="27"/>
  <c r="J64" i="27"/>
  <c r="I64" i="27"/>
  <c r="H64" i="27"/>
  <c r="G64" i="27"/>
  <c r="F64" i="27"/>
  <c r="E64" i="27"/>
  <c r="D64" i="27"/>
  <c r="C64" i="27"/>
  <c r="BB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D63" i="27"/>
  <c r="C63" i="27"/>
  <c r="BB62" i="27"/>
  <c r="AZ62" i="27"/>
  <c r="AY62" i="27"/>
  <c r="AX62" i="27"/>
  <c r="AW62" i="27"/>
  <c r="AV62" i="27"/>
  <c r="AU62" i="27"/>
  <c r="AT62" i="27"/>
  <c r="AS62" i="27"/>
  <c r="AR62" i="27"/>
  <c r="AQ62" i="27"/>
  <c r="AP62" i="27"/>
  <c r="AO62" i="27"/>
  <c r="AN62" i="27"/>
  <c r="AM62" i="27"/>
  <c r="AL62" i="27"/>
  <c r="AK62" i="27"/>
  <c r="AJ62" i="27"/>
  <c r="AI62" i="27"/>
  <c r="AH62" i="27"/>
  <c r="AG62" i="27"/>
  <c r="AF62" i="27"/>
  <c r="AE62" i="27"/>
  <c r="AD62" i="27"/>
  <c r="AC62" i="27"/>
  <c r="AB62" i="27"/>
  <c r="AA62" i="27"/>
  <c r="Z62" i="27"/>
  <c r="Y62" i="27"/>
  <c r="X62" i="27"/>
  <c r="W62" i="27"/>
  <c r="V62" i="27"/>
  <c r="U62" i="27"/>
  <c r="T62" i="27"/>
  <c r="S62" i="27"/>
  <c r="R62" i="27"/>
  <c r="Q62" i="27"/>
  <c r="P62" i="27"/>
  <c r="O62" i="27"/>
  <c r="N62" i="27"/>
  <c r="M62" i="27"/>
  <c r="L62" i="27"/>
  <c r="K62" i="27"/>
  <c r="J62" i="27"/>
  <c r="I62" i="27"/>
  <c r="H62" i="27"/>
  <c r="G62" i="27"/>
  <c r="F62" i="27"/>
  <c r="E62" i="27"/>
  <c r="D62" i="27"/>
  <c r="C62" i="27"/>
  <c r="BB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O61" i="27"/>
  <c r="N61" i="27"/>
  <c r="M61" i="27"/>
  <c r="L61" i="27"/>
  <c r="K61" i="27"/>
  <c r="J61" i="27"/>
  <c r="I61" i="27"/>
  <c r="H61" i="27"/>
  <c r="G61" i="27"/>
  <c r="F61" i="27"/>
  <c r="E61" i="27"/>
  <c r="D61" i="27"/>
  <c r="C61" i="27"/>
  <c r="BB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O60" i="27"/>
  <c r="N60" i="27"/>
  <c r="M60" i="27"/>
  <c r="L60" i="27"/>
  <c r="K60" i="27"/>
  <c r="J60" i="27"/>
  <c r="I60" i="27"/>
  <c r="H60" i="27"/>
  <c r="G60" i="27"/>
  <c r="F60" i="27"/>
  <c r="E60" i="27"/>
  <c r="D60" i="27"/>
  <c r="C60" i="27"/>
  <c r="BB59" i="27"/>
  <c r="AZ59" i="27"/>
  <c r="AY59" i="27"/>
  <c r="AX59" i="27"/>
  <c r="AW59" i="27"/>
  <c r="AV59" i="27"/>
  <c r="AU59" i="27"/>
  <c r="AT59" i="27"/>
  <c r="AS59" i="27"/>
  <c r="AR59" i="27"/>
  <c r="AQ59" i="27"/>
  <c r="AP59" i="27"/>
  <c r="AO59" i="27"/>
  <c r="AN59" i="27"/>
  <c r="AM59" i="27"/>
  <c r="AL59" i="27"/>
  <c r="AK59" i="27"/>
  <c r="AJ59" i="27"/>
  <c r="AI59" i="27"/>
  <c r="AH59" i="27"/>
  <c r="AG59" i="27"/>
  <c r="AF59" i="27"/>
  <c r="AE59" i="27"/>
  <c r="AD59" i="27"/>
  <c r="AC59" i="27"/>
  <c r="AB59" i="27"/>
  <c r="AA59" i="27"/>
  <c r="Z59" i="27"/>
  <c r="Y59" i="27"/>
  <c r="X59" i="27"/>
  <c r="W59" i="27"/>
  <c r="V59" i="27"/>
  <c r="U59" i="27"/>
  <c r="T59" i="27"/>
  <c r="S59" i="27"/>
  <c r="R59" i="27"/>
  <c r="Q59" i="27"/>
  <c r="P59" i="27"/>
  <c r="O59" i="27"/>
  <c r="N59" i="27"/>
  <c r="M59" i="27"/>
  <c r="L59" i="27"/>
  <c r="K59" i="27"/>
  <c r="J59" i="27"/>
  <c r="I59" i="27"/>
  <c r="H59" i="27"/>
  <c r="G59" i="27"/>
  <c r="F59" i="27"/>
  <c r="E59" i="27"/>
  <c r="D59" i="27"/>
  <c r="C59" i="27"/>
  <c r="BB58" i="27"/>
  <c r="AZ58" i="27"/>
  <c r="AY58" i="27"/>
  <c r="AX58" i="27"/>
  <c r="AW58" i="27"/>
  <c r="AV58" i="27"/>
  <c r="AU58" i="27"/>
  <c r="AT58" i="27"/>
  <c r="AS58" i="27"/>
  <c r="AR58" i="27"/>
  <c r="AQ58" i="27"/>
  <c r="AP58" i="27"/>
  <c r="AO58" i="27"/>
  <c r="AN58" i="27"/>
  <c r="AM58" i="27"/>
  <c r="AL58" i="27"/>
  <c r="AK58" i="27"/>
  <c r="AJ58" i="27"/>
  <c r="AI58" i="27"/>
  <c r="AH58" i="27"/>
  <c r="AG58" i="27"/>
  <c r="AF58" i="27"/>
  <c r="AE58" i="27"/>
  <c r="AD58" i="27"/>
  <c r="AC58" i="27"/>
  <c r="AB58" i="27"/>
  <c r="AA58" i="27"/>
  <c r="Z58" i="27"/>
  <c r="Y58" i="27"/>
  <c r="X58" i="27"/>
  <c r="W58" i="27"/>
  <c r="V58" i="27"/>
  <c r="U58" i="27"/>
  <c r="T58" i="27"/>
  <c r="S58" i="27"/>
  <c r="R58" i="27"/>
  <c r="Q58" i="27"/>
  <c r="P58" i="27"/>
  <c r="O58" i="27"/>
  <c r="N58" i="27"/>
  <c r="M58" i="27"/>
  <c r="L58" i="27"/>
  <c r="K58" i="27"/>
  <c r="J58" i="27"/>
  <c r="I58" i="27"/>
  <c r="H58" i="27"/>
  <c r="G58" i="27"/>
  <c r="F58" i="27"/>
  <c r="E58" i="27"/>
  <c r="D58" i="27"/>
  <c r="C58" i="27"/>
  <c r="BB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N57" i="27"/>
  <c r="M57" i="27"/>
  <c r="L57" i="27"/>
  <c r="K57" i="27"/>
  <c r="J57" i="27"/>
  <c r="I57" i="27"/>
  <c r="H57" i="27"/>
  <c r="G57" i="27"/>
  <c r="F57" i="27"/>
  <c r="E57" i="27"/>
  <c r="D57" i="27"/>
  <c r="C57" i="27"/>
  <c r="BB56" i="27"/>
  <c r="AZ56" i="27"/>
  <c r="AY56" i="27"/>
  <c r="AX56" i="27"/>
  <c r="AW56" i="27"/>
  <c r="AV56" i="27"/>
  <c r="AU56" i="27"/>
  <c r="AT56" i="27"/>
  <c r="AS56" i="27"/>
  <c r="AR56" i="27"/>
  <c r="AQ56" i="27"/>
  <c r="AP56" i="27"/>
  <c r="AO56" i="27"/>
  <c r="AN56" i="27"/>
  <c r="AM56" i="27"/>
  <c r="AL56" i="27"/>
  <c r="AK56" i="27"/>
  <c r="AJ56" i="27"/>
  <c r="AI56" i="27"/>
  <c r="AH56" i="27"/>
  <c r="AG56" i="27"/>
  <c r="AF56" i="27"/>
  <c r="AE56" i="27"/>
  <c r="AD56" i="27"/>
  <c r="AC56" i="27"/>
  <c r="AB56" i="27"/>
  <c r="AA56" i="27"/>
  <c r="Z56" i="27"/>
  <c r="Y56" i="27"/>
  <c r="X56" i="27"/>
  <c r="W56" i="27"/>
  <c r="V56" i="27"/>
  <c r="U56" i="27"/>
  <c r="T56" i="27"/>
  <c r="S56" i="27"/>
  <c r="R56" i="27"/>
  <c r="Q56" i="27"/>
  <c r="P56" i="27"/>
  <c r="O56" i="27"/>
  <c r="N56" i="27"/>
  <c r="M56" i="27"/>
  <c r="L56" i="27"/>
  <c r="K56" i="27"/>
  <c r="J56" i="27"/>
  <c r="I56" i="27"/>
  <c r="H56" i="27"/>
  <c r="G56" i="27"/>
  <c r="F56" i="27"/>
  <c r="E56" i="27"/>
  <c r="D56" i="27"/>
  <c r="C56" i="27"/>
  <c r="BB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D55" i="27"/>
  <c r="C55" i="27"/>
  <c r="BB54" i="27"/>
  <c r="AZ54" i="27"/>
  <c r="AY54" i="27"/>
  <c r="AX54" i="27"/>
  <c r="AW54" i="27"/>
  <c r="AV54" i="27"/>
  <c r="AU54" i="27"/>
  <c r="AT54" i="27"/>
  <c r="AS54" i="27"/>
  <c r="AR54" i="27"/>
  <c r="AQ54" i="27"/>
  <c r="AP54" i="27"/>
  <c r="AO54" i="27"/>
  <c r="AN54" i="27"/>
  <c r="AM54" i="27"/>
  <c r="AL54" i="27"/>
  <c r="AK54" i="27"/>
  <c r="AJ54" i="27"/>
  <c r="AI54" i="27"/>
  <c r="AH54" i="27"/>
  <c r="AG54" i="27"/>
  <c r="AF54" i="27"/>
  <c r="AE54" i="27"/>
  <c r="AD54" i="27"/>
  <c r="AC54" i="27"/>
  <c r="AB54" i="27"/>
  <c r="AA54" i="27"/>
  <c r="Z54" i="27"/>
  <c r="Y54" i="27"/>
  <c r="X54" i="27"/>
  <c r="W54" i="27"/>
  <c r="V54" i="27"/>
  <c r="U54" i="27"/>
  <c r="T54" i="27"/>
  <c r="S54" i="27"/>
  <c r="R54" i="27"/>
  <c r="Q54" i="27"/>
  <c r="P54" i="27"/>
  <c r="O54" i="27"/>
  <c r="N54" i="27"/>
  <c r="M54" i="27"/>
  <c r="L54" i="27"/>
  <c r="K54" i="27"/>
  <c r="J54" i="27"/>
  <c r="I54" i="27"/>
  <c r="H54" i="27"/>
  <c r="G54" i="27"/>
  <c r="F54" i="27"/>
  <c r="E54" i="27"/>
  <c r="D54" i="27"/>
  <c r="C54" i="27"/>
  <c r="BB53" i="27"/>
  <c r="AZ53" i="27"/>
  <c r="AY53" i="27"/>
  <c r="AX53" i="27"/>
  <c r="AW53" i="27"/>
  <c r="AV53" i="27"/>
  <c r="AU53" i="27"/>
  <c r="AT53" i="27"/>
  <c r="AS53" i="27"/>
  <c r="AR53" i="27"/>
  <c r="AQ53" i="27"/>
  <c r="AP53" i="27"/>
  <c r="AO53" i="27"/>
  <c r="AN53" i="27"/>
  <c r="AM53" i="27"/>
  <c r="AL53" i="27"/>
  <c r="AK53" i="27"/>
  <c r="AJ53" i="27"/>
  <c r="AI53" i="27"/>
  <c r="AH53" i="27"/>
  <c r="AG53" i="27"/>
  <c r="AF53" i="27"/>
  <c r="AE53" i="27"/>
  <c r="AD53" i="27"/>
  <c r="AC53" i="27"/>
  <c r="AB53" i="27"/>
  <c r="AA53" i="27"/>
  <c r="Z53" i="27"/>
  <c r="Y53" i="27"/>
  <c r="X53" i="27"/>
  <c r="W53" i="27"/>
  <c r="V53" i="27"/>
  <c r="U53" i="27"/>
  <c r="T53" i="27"/>
  <c r="S53" i="27"/>
  <c r="R53" i="27"/>
  <c r="Q53" i="27"/>
  <c r="P53" i="27"/>
  <c r="O53" i="27"/>
  <c r="N53" i="27"/>
  <c r="M53" i="27"/>
  <c r="L53" i="27"/>
  <c r="K53" i="27"/>
  <c r="J53" i="27"/>
  <c r="I53" i="27"/>
  <c r="H53" i="27"/>
  <c r="G53" i="27"/>
  <c r="F53" i="27"/>
  <c r="E53" i="27"/>
  <c r="D53" i="27"/>
  <c r="C53" i="27"/>
  <c r="BB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F52" i="27"/>
  <c r="E52" i="27"/>
  <c r="D52" i="27"/>
  <c r="C52" i="27"/>
  <c r="BB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F51" i="27"/>
  <c r="E51" i="27"/>
  <c r="D51" i="27"/>
  <c r="C51" i="27"/>
  <c r="BB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D50" i="27"/>
  <c r="C50" i="27"/>
  <c r="BB23" i="27"/>
  <c r="BB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23" i="27"/>
  <c r="AB49" i="27"/>
  <c r="AA23" i="27"/>
  <c r="AA49" i="27"/>
  <c r="Z49" i="27"/>
  <c r="Y49" i="27"/>
  <c r="X49" i="27"/>
  <c r="W49" i="27"/>
  <c r="V49" i="27"/>
  <c r="U49" i="27"/>
  <c r="T49" i="27"/>
  <c r="S49" i="27"/>
  <c r="R49" i="27"/>
  <c r="Q49" i="27"/>
  <c r="P49" i="27"/>
  <c r="O49" i="27"/>
  <c r="N49" i="27"/>
  <c r="M49" i="27"/>
  <c r="L49" i="27"/>
  <c r="K49" i="27"/>
  <c r="J49" i="27"/>
  <c r="I49" i="27"/>
  <c r="H49" i="27"/>
  <c r="G49" i="27"/>
  <c r="F49" i="27"/>
  <c r="E49" i="27"/>
  <c r="D49" i="27"/>
  <c r="C49" i="27"/>
  <c r="BB48" i="27"/>
  <c r="AZ48" i="27"/>
  <c r="AY48" i="27"/>
  <c r="AX48" i="27"/>
  <c r="AW48" i="27"/>
  <c r="AV48" i="27"/>
  <c r="AU48" i="27"/>
  <c r="AT48" i="27"/>
  <c r="AS48" i="27"/>
  <c r="AR48" i="27"/>
  <c r="AQ48" i="27"/>
  <c r="AP48" i="27"/>
  <c r="AO48" i="27"/>
  <c r="AN48" i="27"/>
  <c r="AM48" i="27"/>
  <c r="AL48" i="27"/>
  <c r="AK48" i="27"/>
  <c r="AJ48" i="27"/>
  <c r="AI48" i="27"/>
  <c r="AH48" i="27"/>
  <c r="AG48" i="27"/>
  <c r="AF48" i="27"/>
  <c r="AE48" i="27"/>
  <c r="AD48" i="27"/>
  <c r="AC48" i="27"/>
  <c r="AB48" i="27"/>
  <c r="AA48" i="27"/>
  <c r="Z48" i="27"/>
  <c r="Y48" i="27"/>
  <c r="X48" i="27"/>
  <c r="W48" i="27"/>
  <c r="V48" i="27"/>
  <c r="U48" i="27"/>
  <c r="T48" i="27"/>
  <c r="S48" i="27"/>
  <c r="R48" i="27"/>
  <c r="Q48" i="27"/>
  <c r="P48" i="27"/>
  <c r="O48" i="27"/>
  <c r="N48" i="27"/>
  <c r="M48" i="27"/>
  <c r="L48" i="27"/>
  <c r="K48" i="27"/>
  <c r="J48" i="27"/>
  <c r="I48" i="27"/>
  <c r="H48" i="27"/>
  <c r="G48" i="27"/>
  <c r="F48" i="27"/>
  <c r="E48" i="27"/>
  <c r="D48" i="27"/>
  <c r="C48" i="27"/>
  <c r="BB6" i="27"/>
  <c r="BB47" i="27"/>
  <c r="BA6" i="27"/>
  <c r="BA47" i="27"/>
  <c r="AZ47" i="27"/>
  <c r="AY47" i="27"/>
  <c r="AX47" i="27"/>
  <c r="AW47" i="27"/>
  <c r="AV47" i="27"/>
  <c r="AU47" i="27"/>
  <c r="AT47" i="27"/>
  <c r="AS47" i="27"/>
  <c r="AR47" i="27"/>
  <c r="AQ47" i="27"/>
  <c r="AP47" i="27"/>
  <c r="AO47" i="27"/>
  <c r="AN47" i="27"/>
  <c r="AM47" i="27"/>
  <c r="AL47" i="27"/>
  <c r="AK47" i="27"/>
  <c r="AJ47" i="27"/>
  <c r="AI47" i="27"/>
  <c r="AH47" i="27"/>
  <c r="AG47" i="27"/>
  <c r="AF47" i="27"/>
  <c r="AE47" i="27"/>
  <c r="AD47" i="27"/>
  <c r="AC47" i="27"/>
  <c r="AB6" i="27"/>
  <c r="AB47" i="27"/>
  <c r="AA6" i="27"/>
  <c r="AA47" i="27"/>
  <c r="Z47" i="27"/>
  <c r="Y47" i="27"/>
  <c r="X47" i="27"/>
  <c r="W47" i="27"/>
  <c r="V47" i="27"/>
  <c r="U47" i="27"/>
  <c r="T47" i="27"/>
  <c r="S47" i="27"/>
  <c r="R47" i="27"/>
  <c r="Q47" i="27"/>
  <c r="P47" i="27"/>
  <c r="O47" i="27"/>
  <c r="N47" i="27"/>
  <c r="M47" i="27"/>
  <c r="L47" i="27"/>
  <c r="K47" i="27"/>
  <c r="J47" i="27"/>
  <c r="I47" i="27"/>
  <c r="H47" i="27"/>
  <c r="G47" i="27"/>
  <c r="F47" i="27"/>
  <c r="E47" i="27"/>
  <c r="D47" i="27"/>
  <c r="C47" i="27"/>
  <c r="BB10" i="27"/>
  <c r="BB46" i="27"/>
  <c r="BA10" i="27"/>
  <c r="BA46" i="27"/>
  <c r="BA45" i="27"/>
  <c r="AZ46" i="27"/>
  <c r="AY46" i="27"/>
  <c r="AX46" i="27"/>
  <c r="AW46" i="27"/>
  <c r="AV46" i="27"/>
  <c r="AU46" i="27"/>
  <c r="AT46" i="27"/>
  <c r="AS46" i="27"/>
  <c r="AR46" i="27"/>
  <c r="AQ46" i="27"/>
  <c r="AP46" i="27"/>
  <c r="AO46" i="27"/>
  <c r="AN46" i="27"/>
  <c r="AM46" i="27"/>
  <c r="AL46" i="27"/>
  <c r="AK46" i="27"/>
  <c r="AJ46" i="27"/>
  <c r="AI46" i="27"/>
  <c r="AH46" i="27"/>
  <c r="AG46" i="27"/>
  <c r="AF46" i="27"/>
  <c r="AE46" i="27"/>
  <c r="AD46" i="27"/>
  <c r="AC46" i="27"/>
  <c r="AB10" i="27"/>
  <c r="AB46" i="27"/>
  <c r="AA10" i="27"/>
  <c r="AA46" i="27"/>
  <c r="Z46" i="27"/>
  <c r="Y46" i="27"/>
  <c r="X46" i="27"/>
  <c r="W46" i="27"/>
  <c r="V46" i="27"/>
  <c r="U46" i="27"/>
  <c r="T46" i="27"/>
  <c r="S46" i="27"/>
  <c r="R46" i="27"/>
  <c r="Q46" i="27"/>
  <c r="P46" i="27"/>
  <c r="O46" i="27"/>
  <c r="N46" i="27"/>
  <c r="M46" i="27"/>
  <c r="L46" i="27"/>
  <c r="K46" i="27"/>
  <c r="J46" i="27"/>
  <c r="I46" i="27"/>
  <c r="H46" i="27"/>
  <c r="G46" i="27"/>
  <c r="F46" i="27"/>
  <c r="E46" i="27"/>
  <c r="D46" i="27"/>
  <c r="C46" i="27"/>
  <c r="BB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D45" i="27"/>
  <c r="C45" i="27"/>
  <c r="BB15" i="27"/>
  <c r="BB44" i="27"/>
  <c r="AZ44" i="27"/>
  <c r="AY44" i="27"/>
  <c r="AX44" i="27"/>
  <c r="AW44" i="27"/>
  <c r="AV44" i="27"/>
  <c r="AU44" i="27"/>
  <c r="AT44" i="27"/>
  <c r="AS44" i="27"/>
  <c r="AR44" i="27"/>
  <c r="AQ44" i="27"/>
  <c r="AP44" i="27"/>
  <c r="AO44" i="27"/>
  <c r="AN44" i="27"/>
  <c r="AM44" i="27"/>
  <c r="AL44" i="27"/>
  <c r="AK44" i="27"/>
  <c r="AJ44" i="27"/>
  <c r="AI44" i="27"/>
  <c r="AH44" i="27"/>
  <c r="AG44" i="27"/>
  <c r="AF44" i="27"/>
  <c r="AE44" i="27"/>
  <c r="AD44" i="27"/>
  <c r="AC44" i="27"/>
  <c r="AB15" i="27"/>
  <c r="AB44" i="27"/>
  <c r="AA15" i="27"/>
  <c r="AA44" i="27"/>
  <c r="Z44" i="27"/>
  <c r="Y44" i="27"/>
  <c r="X44" i="27"/>
  <c r="W44" i="27"/>
  <c r="V44" i="27"/>
  <c r="U44" i="27"/>
  <c r="T44" i="27"/>
  <c r="S44" i="27"/>
  <c r="R44" i="27"/>
  <c r="Q44" i="27"/>
  <c r="P44" i="27"/>
  <c r="O44" i="27"/>
  <c r="N44" i="27"/>
  <c r="M44" i="27"/>
  <c r="L44" i="27"/>
  <c r="K44" i="27"/>
  <c r="J44" i="27"/>
  <c r="H44" i="27"/>
  <c r="G44" i="27"/>
  <c r="F44" i="27"/>
  <c r="E44" i="27"/>
  <c r="D44" i="27"/>
  <c r="C44" i="27"/>
  <c r="BB28" i="27"/>
  <c r="BB43" i="27"/>
  <c r="BA28" i="27"/>
  <c r="BA43" i="27"/>
  <c r="AZ43" i="27"/>
  <c r="AY43" i="27"/>
  <c r="AX43" i="27"/>
  <c r="AW43" i="27"/>
  <c r="AV43" i="27"/>
  <c r="AU43" i="27"/>
  <c r="AT43" i="27"/>
  <c r="AS43" i="27"/>
  <c r="AR43" i="27"/>
  <c r="AQ43" i="27"/>
  <c r="AP43" i="27"/>
  <c r="AO43" i="27"/>
  <c r="AN43" i="27"/>
  <c r="AM43" i="27"/>
  <c r="AL43" i="27"/>
  <c r="AK43" i="27"/>
  <c r="AJ43" i="27"/>
  <c r="AI43" i="27"/>
  <c r="AH43" i="27"/>
  <c r="AG43" i="27"/>
  <c r="AF43" i="27"/>
  <c r="AE43" i="27"/>
  <c r="AD43" i="27"/>
  <c r="AC43" i="27"/>
  <c r="AB28" i="27"/>
  <c r="AB43" i="27"/>
  <c r="AA28" i="27"/>
  <c r="AA43" i="27"/>
  <c r="Z43" i="27"/>
  <c r="Y43" i="27"/>
  <c r="X43" i="27"/>
  <c r="W43" i="27"/>
  <c r="V43" i="27"/>
  <c r="U43" i="27"/>
  <c r="T43" i="27"/>
  <c r="S43" i="27"/>
  <c r="R43" i="27"/>
  <c r="Q43" i="27"/>
  <c r="P43" i="27"/>
  <c r="O43" i="27"/>
  <c r="N43" i="27"/>
  <c r="M43" i="27"/>
  <c r="L43" i="27"/>
  <c r="K43" i="27"/>
  <c r="J43" i="27"/>
  <c r="H43" i="27"/>
  <c r="G43" i="27"/>
  <c r="F43" i="27"/>
  <c r="E43" i="27"/>
  <c r="D43" i="27"/>
  <c r="C43" i="27"/>
  <c r="BB19" i="27"/>
  <c r="BB42" i="27"/>
  <c r="AZ42" i="27"/>
  <c r="AY42" i="27"/>
  <c r="AX42" i="27"/>
  <c r="AW42" i="27"/>
  <c r="AV42" i="27"/>
  <c r="AU42" i="27"/>
  <c r="AT42" i="27"/>
  <c r="AS42" i="27"/>
  <c r="AR42" i="27"/>
  <c r="AQ42" i="27"/>
  <c r="AP42" i="27"/>
  <c r="AO42" i="27"/>
  <c r="AN42" i="27"/>
  <c r="AM42" i="27"/>
  <c r="AL42" i="27"/>
  <c r="AK42" i="27"/>
  <c r="AJ42" i="27"/>
  <c r="AI42" i="27"/>
  <c r="AH42" i="27"/>
  <c r="AG42" i="27"/>
  <c r="AF42" i="27"/>
  <c r="AE42" i="27"/>
  <c r="AD42" i="27"/>
  <c r="AC42" i="27"/>
  <c r="AB19" i="27"/>
  <c r="AB42" i="27"/>
  <c r="AA19" i="27"/>
  <c r="AA42" i="27"/>
  <c r="Z42" i="27"/>
  <c r="Y42" i="27"/>
  <c r="X42" i="27"/>
  <c r="W42" i="27"/>
  <c r="V42" i="27"/>
  <c r="U42" i="27"/>
  <c r="T42" i="27"/>
  <c r="S42" i="27"/>
  <c r="R42" i="27"/>
  <c r="Q42" i="27"/>
  <c r="P42" i="27"/>
  <c r="O42" i="27"/>
  <c r="N42" i="27"/>
  <c r="M42" i="27"/>
  <c r="L42" i="27"/>
  <c r="K42" i="27"/>
  <c r="J42" i="27"/>
  <c r="H42" i="27"/>
  <c r="G42" i="27"/>
  <c r="F42" i="27"/>
  <c r="E42" i="27"/>
  <c r="D42" i="27"/>
  <c r="C42" i="27"/>
  <c r="BB8" i="27"/>
  <c r="BB41" i="27"/>
  <c r="BA8" i="27"/>
  <c r="BA41" i="27"/>
  <c r="AZ41" i="27"/>
  <c r="AY41" i="27"/>
  <c r="AX41" i="27"/>
  <c r="AW41" i="27"/>
  <c r="AV41" i="27"/>
  <c r="AU41" i="27"/>
  <c r="AT41" i="27"/>
  <c r="AS41" i="27"/>
  <c r="AR41" i="27"/>
  <c r="AQ41" i="27"/>
  <c r="AP41" i="27"/>
  <c r="AO41" i="27"/>
  <c r="AN41" i="27"/>
  <c r="AM41" i="27"/>
  <c r="AL41" i="27"/>
  <c r="AK41" i="27"/>
  <c r="AJ41" i="27"/>
  <c r="AI41" i="27"/>
  <c r="AH41" i="27"/>
  <c r="AG41" i="27"/>
  <c r="AF41" i="27"/>
  <c r="AE41" i="27"/>
  <c r="AD41" i="27"/>
  <c r="AC41" i="27"/>
  <c r="AB8" i="27"/>
  <c r="AB41" i="27"/>
  <c r="AA8" i="27"/>
  <c r="AA41" i="27"/>
  <c r="Z41" i="27"/>
  <c r="Y41" i="27"/>
  <c r="X41" i="27"/>
  <c r="W41" i="27"/>
  <c r="V41" i="27"/>
  <c r="U41" i="27"/>
  <c r="T41" i="27"/>
  <c r="S41" i="27"/>
  <c r="R41" i="27"/>
  <c r="Q41" i="27"/>
  <c r="P41" i="27"/>
  <c r="O41" i="27"/>
  <c r="N41" i="27"/>
  <c r="M41" i="27"/>
  <c r="L41" i="27"/>
  <c r="K41" i="27"/>
  <c r="J41" i="27"/>
  <c r="H41" i="27"/>
  <c r="G41" i="27"/>
  <c r="F41" i="27"/>
  <c r="E41" i="27"/>
  <c r="D41" i="27"/>
  <c r="C41" i="27"/>
  <c r="BB4" i="27"/>
  <c r="BB40" i="27"/>
  <c r="BA4"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 i="27"/>
  <c r="AB40" i="27"/>
  <c r="AA4" i="27"/>
  <c r="AA40" i="27"/>
  <c r="Z40" i="27"/>
  <c r="Y40" i="27"/>
  <c r="X40" i="27"/>
  <c r="W40" i="27"/>
  <c r="V40" i="27"/>
  <c r="U40" i="27"/>
  <c r="T40" i="27"/>
  <c r="S40" i="27"/>
  <c r="R40" i="27"/>
  <c r="Q40" i="27"/>
  <c r="P40" i="27"/>
  <c r="O40" i="27"/>
  <c r="N40" i="27"/>
  <c r="M40" i="27"/>
  <c r="L40" i="27"/>
  <c r="K40" i="27"/>
  <c r="J40" i="27"/>
  <c r="H40" i="27"/>
  <c r="G40" i="27"/>
  <c r="F40" i="27"/>
  <c r="E40" i="27"/>
  <c r="D40" i="27"/>
  <c r="C40" i="27"/>
  <c r="BB11" i="27"/>
  <c r="BB39" i="27"/>
  <c r="AZ39" i="27"/>
  <c r="AY39" i="27"/>
  <c r="AX39" i="27"/>
  <c r="AW39" i="27"/>
  <c r="AV39" i="27"/>
  <c r="AU39" i="27"/>
  <c r="AT39" i="27"/>
  <c r="AS39" i="27"/>
  <c r="AR39" i="27"/>
  <c r="AQ39" i="27"/>
  <c r="AP39" i="27"/>
  <c r="AO39" i="27"/>
  <c r="AN39" i="27"/>
  <c r="AM39" i="27"/>
  <c r="AL39" i="27"/>
  <c r="AK39" i="27"/>
  <c r="AJ39" i="27"/>
  <c r="AI39" i="27"/>
  <c r="AH39" i="27"/>
  <c r="AG39" i="27"/>
  <c r="AF39" i="27"/>
  <c r="AE39" i="27"/>
  <c r="AD39" i="27"/>
  <c r="AC39" i="27"/>
  <c r="AB11" i="27"/>
  <c r="AB39" i="27"/>
  <c r="AA11" i="27"/>
  <c r="AA39" i="27"/>
  <c r="Z39" i="27"/>
  <c r="Y39" i="27"/>
  <c r="X39" i="27"/>
  <c r="W39" i="27"/>
  <c r="V39" i="27"/>
  <c r="U39" i="27"/>
  <c r="T39" i="27"/>
  <c r="S39" i="27"/>
  <c r="R39" i="27"/>
  <c r="Q39" i="27"/>
  <c r="P39" i="27"/>
  <c r="O39" i="27"/>
  <c r="N39" i="27"/>
  <c r="M39" i="27"/>
  <c r="L39" i="27"/>
  <c r="K39" i="27"/>
  <c r="J39" i="27"/>
  <c r="H39" i="27"/>
  <c r="G39" i="27"/>
  <c r="F39" i="27"/>
  <c r="E39" i="27"/>
  <c r="D39" i="27"/>
  <c r="C39" i="27"/>
  <c r="BB2" i="27"/>
  <c r="BB38" i="27"/>
  <c r="BA2"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2" i="27"/>
  <c r="AB38" i="27"/>
  <c r="AA2" i="27"/>
  <c r="AA38" i="27"/>
  <c r="Z38" i="27"/>
  <c r="Y38" i="27"/>
  <c r="X38" i="27"/>
  <c r="W38" i="27"/>
  <c r="V38" i="27"/>
  <c r="U38" i="27"/>
  <c r="T38" i="27"/>
  <c r="S38" i="27"/>
  <c r="R38" i="27"/>
  <c r="Q38" i="27"/>
  <c r="P38" i="27"/>
  <c r="O38" i="27"/>
  <c r="N38" i="27"/>
  <c r="M38" i="27"/>
  <c r="L38" i="27"/>
  <c r="K38" i="27"/>
  <c r="J38" i="27"/>
  <c r="H38" i="27"/>
  <c r="G38" i="27"/>
  <c r="F38" i="27"/>
  <c r="E38" i="27"/>
  <c r="D38" i="27"/>
  <c r="C38" i="27"/>
  <c r="BB22" i="27"/>
  <c r="BB37" i="27"/>
  <c r="BA22"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22" i="27"/>
  <c r="AB37" i="27"/>
  <c r="AA22" i="27"/>
  <c r="AA37" i="27"/>
  <c r="Z37" i="27"/>
  <c r="Y37" i="27"/>
  <c r="X37" i="27"/>
  <c r="W37" i="27"/>
  <c r="V37" i="27"/>
  <c r="U37" i="27"/>
  <c r="T37" i="27"/>
  <c r="S37" i="27"/>
  <c r="R37" i="27"/>
  <c r="Q37" i="27"/>
  <c r="P37" i="27"/>
  <c r="O37" i="27"/>
  <c r="N37" i="27"/>
  <c r="M37" i="27"/>
  <c r="L37" i="27"/>
  <c r="K37" i="27"/>
  <c r="J37" i="27"/>
  <c r="H37" i="27"/>
  <c r="G37" i="27"/>
  <c r="F37" i="27"/>
  <c r="E37" i="27"/>
  <c r="D37" i="27"/>
  <c r="C37" i="27"/>
  <c r="BB26" i="27"/>
  <c r="BB36" i="27"/>
  <c r="BA2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26" i="27"/>
  <c r="AB36" i="27"/>
  <c r="AA26" i="27"/>
  <c r="AA36" i="27"/>
  <c r="Z36" i="27"/>
  <c r="Y36" i="27"/>
  <c r="X36" i="27"/>
  <c r="W36" i="27"/>
  <c r="V36" i="27"/>
  <c r="U36" i="27"/>
  <c r="T36" i="27"/>
  <c r="S36" i="27"/>
  <c r="R36" i="27"/>
  <c r="Q36" i="27"/>
  <c r="P36" i="27"/>
  <c r="O36" i="27"/>
  <c r="N36" i="27"/>
  <c r="M36" i="27"/>
  <c r="L36" i="27"/>
  <c r="K36" i="27"/>
  <c r="J36" i="27"/>
  <c r="H36" i="27"/>
  <c r="G36" i="27"/>
  <c r="F36" i="27"/>
  <c r="E36" i="27"/>
  <c r="D36" i="27"/>
  <c r="C36" i="27"/>
  <c r="BB30" i="27"/>
  <c r="BB35" i="27"/>
  <c r="AZ35" i="27"/>
  <c r="AY35" i="27"/>
  <c r="AX35" i="27"/>
  <c r="AW35" i="27"/>
  <c r="AV35" i="27"/>
  <c r="AU35" i="27"/>
  <c r="AT35" i="27"/>
  <c r="AS35" i="27"/>
  <c r="AR35" i="27"/>
  <c r="AQ35" i="27"/>
  <c r="AP35" i="27"/>
  <c r="AO35" i="27"/>
  <c r="AN35" i="27"/>
  <c r="AM35" i="27"/>
  <c r="AL35" i="27"/>
  <c r="AK35" i="27"/>
  <c r="AJ35" i="27"/>
  <c r="AI35" i="27"/>
  <c r="AH35" i="27"/>
  <c r="AG35" i="27"/>
  <c r="AF35" i="27"/>
  <c r="AE35" i="27"/>
  <c r="AD35" i="27"/>
  <c r="AC35" i="27"/>
  <c r="AB30" i="27"/>
  <c r="AB35" i="27"/>
  <c r="AA30" i="27"/>
  <c r="AA35" i="27"/>
  <c r="Z35" i="27"/>
  <c r="Y35" i="27"/>
  <c r="X35" i="27"/>
  <c r="W35" i="27"/>
  <c r="V35" i="27"/>
  <c r="U35" i="27"/>
  <c r="T35" i="27"/>
  <c r="S35" i="27"/>
  <c r="R35" i="27"/>
  <c r="Q35" i="27"/>
  <c r="P35" i="27"/>
  <c r="O35" i="27"/>
  <c r="N35" i="27"/>
  <c r="M35" i="27"/>
  <c r="L35" i="27"/>
  <c r="K35" i="27"/>
  <c r="J35" i="27"/>
  <c r="H35" i="27"/>
  <c r="G35" i="27"/>
  <c r="F35" i="27"/>
  <c r="E35" i="27"/>
  <c r="D35" i="27"/>
  <c r="C35" i="27"/>
  <c r="BB14" i="27"/>
  <c r="BB34" i="27"/>
  <c r="BA14" i="27"/>
  <c r="BA34" i="27"/>
  <c r="AZ34" i="27"/>
  <c r="AY34" i="27"/>
  <c r="AX34" i="27"/>
  <c r="AW34" i="27"/>
  <c r="AV34" i="27"/>
  <c r="AU34" i="27"/>
  <c r="AT34" i="27"/>
  <c r="AS34" i="27"/>
  <c r="AR34" i="27"/>
  <c r="AQ34" i="27"/>
  <c r="AP34" i="27"/>
  <c r="AO34" i="27"/>
  <c r="AN34" i="27"/>
  <c r="AM34" i="27"/>
  <c r="AL34" i="27"/>
  <c r="AK34" i="27"/>
  <c r="AJ34" i="27"/>
  <c r="AI34" i="27"/>
  <c r="AH34" i="27"/>
  <c r="AG34" i="27"/>
  <c r="AF34" i="27"/>
  <c r="AE34" i="27"/>
  <c r="AD34" i="27"/>
  <c r="AC34" i="27"/>
  <c r="AB14" i="27"/>
  <c r="AB34" i="27"/>
  <c r="AA14" i="27"/>
  <c r="AA34" i="27"/>
  <c r="Z34" i="27"/>
  <c r="Y34" i="27"/>
  <c r="X34" i="27"/>
  <c r="W34" i="27"/>
  <c r="V34" i="27"/>
  <c r="U34" i="27"/>
  <c r="T34" i="27"/>
  <c r="S34" i="27"/>
  <c r="R34" i="27"/>
  <c r="Q34" i="27"/>
  <c r="P34" i="27"/>
  <c r="O34" i="27"/>
  <c r="N34" i="27"/>
  <c r="M34" i="27"/>
  <c r="L34" i="27"/>
  <c r="K34" i="27"/>
  <c r="J34" i="27"/>
  <c r="H34" i="27"/>
  <c r="G34" i="27"/>
  <c r="F34" i="27"/>
  <c r="E34" i="27"/>
  <c r="D34" i="27"/>
  <c r="C34" i="27"/>
  <c r="BB13" i="27"/>
  <c r="BB33" i="27"/>
  <c r="AZ33" i="27"/>
  <c r="AY33" i="27"/>
  <c r="AX33" i="27"/>
  <c r="AW33" i="27"/>
  <c r="AV33" i="27"/>
  <c r="AU33" i="27"/>
  <c r="AT33" i="27"/>
  <c r="AS33" i="27"/>
  <c r="AR33" i="27"/>
  <c r="AQ33" i="27"/>
  <c r="AP33" i="27"/>
  <c r="AO33" i="27"/>
  <c r="AN33" i="27"/>
  <c r="AM33" i="27"/>
  <c r="AL33" i="27"/>
  <c r="AK33" i="27"/>
  <c r="AJ33" i="27"/>
  <c r="AI33" i="27"/>
  <c r="AH33" i="27"/>
  <c r="AG33" i="27"/>
  <c r="AF33" i="27"/>
  <c r="AE33" i="27"/>
  <c r="AD33" i="27"/>
  <c r="AC33" i="27"/>
  <c r="AB13" i="27"/>
  <c r="AB33" i="27"/>
  <c r="AA13" i="27"/>
  <c r="AA33" i="27"/>
  <c r="Z33" i="27"/>
  <c r="Y33" i="27"/>
  <c r="X33" i="27"/>
  <c r="W33" i="27"/>
  <c r="V33" i="27"/>
  <c r="U33" i="27"/>
  <c r="T33" i="27"/>
  <c r="S33" i="27"/>
  <c r="R33" i="27"/>
  <c r="Q33" i="27"/>
  <c r="P33" i="27"/>
  <c r="O33" i="27"/>
  <c r="N33" i="27"/>
  <c r="M33" i="27"/>
  <c r="L33" i="27"/>
  <c r="K33" i="27"/>
  <c r="J33" i="27"/>
  <c r="H33" i="27"/>
  <c r="G33" i="27"/>
  <c r="F33" i="27"/>
  <c r="E33" i="27"/>
  <c r="D33" i="27"/>
  <c r="C33" i="27"/>
  <c r="BB3" i="27"/>
  <c r="BB32" i="27"/>
  <c r="AZ32" i="27"/>
  <c r="AY32" i="27"/>
  <c r="AX32" i="27"/>
  <c r="AW32" i="27"/>
  <c r="AV32" i="27"/>
  <c r="AU32" i="27"/>
  <c r="AT32" i="27"/>
  <c r="AS32" i="27"/>
  <c r="AR32" i="27"/>
  <c r="AQ32" i="27"/>
  <c r="AP32" i="27"/>
  <c r="AO32" i="27"/>
  <c r="AN32" i="27"/>
  <c r="AM32" i="27"/>
  <c r="AL32" i="27"/>
  <c r="AK32" i="27"/>
  <c r="AJ32" i="27"/>
  <c r="AI32" i="27"/>
  <c r="AH32" i="27"/>
  <c r="AG32" i="27"/>
  <c r="AF32" i="27"/>
  <c r="AE32" i="27"/>
  <c r="AD32" i="27"/>
  <c r="AC32" i="27"/>
  <c r="AB3" i="27"/>
  <c r="AB32" i="27"/>
  <c r="AA3" i="27"/>
  <c r="AA32" i="27"/>
  <c r="Z32" i="27"/>
  <c r="Y32" i="27"/>
  <c r="X32" i="27"/>
  <c r="W32" i="27"/>
  <c r="V32" i="27"/>
  <c r="U32" i="27"/>
  <c r="T32" i="27"/>
  <c r="S32" i="27"/>
  <c r="R32" i="27"/>
  <c r="Q32" i="27"/>
  <c r="P32" i="27"/>
  <c r="O32" i="27"/>
  <c r="N32" i="27"/>
  <c r="M32" i="27"/>
  <c r="L32" i="27"/>
  <c r="K32" i="27"/>
  <c r="J32" i="27"/>
  <c r="H32" i="27"/>
  <c r="G32" i="27"/>
  <c r="F32" i="27"/>
  <c r="E32" i="27"/>
  <c r="D32" i="27"/>
  <c r="C32" i="27"/>
  <c r="BB31" i="27"/>
  <c r="AZ31" i="27"/>
  <c r="AY31" i="27"/>
  <c r="AX31" i="27"/>
  <c r="AW31" i="27"/>
  <c r="AV31" i="27"/>
  <c r="AU31" i="27"/>
  <c r="AT31" i="27"/>
  <c r="AS31" i="27"/>
  <c r="AR31" i="27"/>
  <c r="AQ31" i="27"/>
  <c r="AP31" i="27"/>
  <c r="AO31" i="27"/>
  <c r="AN31" i="27"/>
  <c r="AM31" i="27"/>
  <c r="AL31" i="27"/>
  <c r="AK31" i="27"/>
  <c r="AJ31" i="27"/>
  <c r="AI31" i="27"/>
  <c r="AH31" i="27"/>
  <c r="AG31" i="27"/>
  <c r="AF31" i="27"/>
  <c r="AE31" i="27"/>
  <c r="AD31" i="27"/>
  <c r="AC31" i="27"/>
  <c r="AB31" i="27"/>
  <c r="AA31" i="27"/>
  <c r="Z31" i="27"/>
  <c r="Y31" i="27"/>
  <c r="X31" i="27"/>
  <c r="W31" i="27"/>
  <c r="V31" i="27"/>
  <c r="U31" i="27"/>
  <c r="T31" i="27"/>
  <c r="S31" i="27"/>
  <c r="R31" i="27"/>
  <c r="Q31" i="27"/>
  <c r="P31" i="27"/>
  <c r="O31" i="27"/>
  <c r="N31" i="27"/>
  <c r="M31" i="27"/>
  <c r="L31" i="27"/>
  <c r="K31" i="27"/>
  <c r="J31" i="27"/>
  <c r="H31" i="27"/>
  <c r="G31" i="27"/>
  <c r="F31" i="27"/>
  <c r="E31" i="27"/>
  <c r="D31" i="27"/>
  <c r="C31" i="27"/>
  <c r="BB76" i="26"/>
  <c r="AZ76" i="26"/>
  <c r="AY76" i="26"/>
  <c r="AX76" i="26"/>
  <c r="AW76" i="26"/>
  <c r="AV76" i="26"/>
  <c r="AU76" i="26"/>
  <c r="AT76" i="26"/>
  <c r="AS76" i="26"/>
  <c r="AR76" i="26"/>
  <c r="AQ76" i="26"/>
  <c r="AP76" i="26"/>
  <c r="AO76" i="26"/>
  <c r="AN76" i="26"/>
  <c r="AM76" i="26"/>
  <c r="AL76" i="26"/>
  <c r="AK76" i="26"/>
  <c r="AJ76" i="26"/>
  <c r="AI76" i="26"/>
  <c r="AH76" i="26"/>
  <c r="AG76" i="26"/>
  <c r="AF76"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C76" i="26"/>
  <c r="BB75" i="26"/>
  <c r="BA75" i="26"/>
  <c r="AZ75" i="26"/>
  <c r="AY75" i="26"/>
  <c r="AX75" i="26"/>
  <c r="AW75" i="26"/>
  <c r="AV75" i="26"/>
  <c r="AU75" i="26"/>
  <c r="AT75" i="26"/>
  <c r="AS75" i="26"/>
  <c r="AR75" i="26"/>
  <c r="AQ75" i="26"/>
  <c r="AP75" i="26"/>
  <c r="AO75" i="26"/>
  <c r="AN75" i="26"/>
  <c r="AM75" i="26"/>
  <c r="AL75" i="26"/>
  <c r="AK75" i="26"/>
  <c r="AJ75" i="26"/>
  <c r="AI75" i="26"/>
  <c r="AH75" i="26"/>
  <c r="AG75" i="26"/>
  <c r="AF75"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C75" i="26"/>
  <c r="BB74" i="26"/>
  <c r="BA74" i="26"/>
  <c r="AZ74" i="26"/>
  <c r="AY74" i="26"/>
  <c r="AX74" i="26"/>
  <c r="AW74" i="26"/>
  <c r="AV74" i="26"/>
  <c r="AU74" i="26"/>
  <c r="AT74" i="26"/>
  <c r="AS74" i="26"/>
  <c r="AR74" i="26"/>
  <c r="AQ74" i="26"/>
  <c r="AP74" i="26"/>
  <c r="AO74" i="26"/>
  <c r="AN74" i="26"/>
  <c r="AM74" i="26"/>
  <c r="AL74" i="26"/>
  <c r="AK74" i="26"/>
  <c r="AJ74" i="26"/>
  <c r="AI74" i="26"/>
  <c r="AH74" i="26"/>
  <c r="AG74" i="26"/>
  <c r="AF74"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C74" i="26"/>
  <c r="BB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C73"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C72" i="26"/>
  <c r="BB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C71"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C70"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C69" i="26"/>
  <c r="BB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C68" i="26"/>
  <c r="BB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D67" i="26"/>
  <c r="C67" i="26"/>
  <c r="BB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Y66" i="26"/>
  <c r="X66" i="26"/>
  <c r="W66" i="26"/>
  <c r="V66" i="26"/>
  <c r="U66" i="26"/>
  <c r="T66" i="26"/>
  <c r="S66" i="26"/>
  <c r="R66" i="26"/>
  <c r="Q66" i="26"/>
  <c r="P66" i="26"/>
  <c r="O66" i="26"/>
  <c r="N66" i="26"/>
  <c r="M66" i="26"/>
  <c r="L66" i="26"/>
  <c r="K66" i="26"/>
  <c r="J66" i="26"/>
  <c r="I66" i="26"/>
  <c r="H66" i="26"/>
  <c r="G66" i="26"/>
  <c r="F66" i="26"/>
  <c r="E66" i="26"/>
  <c r="D66" i="26"/>
  <c r="C66" i="26"/>
  <c r="BB65" i="26"/>
  <c r="AZ65" i="26"/>
  <c r="AY65" i="26"/>
  <c r="AX65" i="26"/>
  <c r="AW65" i="26"/>
  <c r="AV65" i="26"/>
  <c r="AU65" i="26"/>
  <c r="AT65" i="26"/>
  <c r="AS65" i="26"/>
  <c r="AR65" i="26"/>
  <c r="AQ65" i="26"/>
  <c r="AP65" i="26"/>
  <c r="AO65" i="26"/>
  <c r="AN65" i="26"/>
  <c r="AM65" i="26"/>
  <c r="AL65" i="26"/>
  <c r="AK65" i="26"/>
  <c r="AJ65" i="26"/>
  <c r="AI65" i="26"/>
  <c r="AH65" i="26"/>
  <c r="AG65" i="26"/>
  <c r="AF65" i="26"/>
  <c r="AE65" i="26"/>
  <c r="AD65" i="26"/>
  <c r="AC65" i="26"/>
  <c r="AB65" i="26"/>
  <c r="AA65" i="26"/>
  <c r="Z65" i="26"/>
  <c r="Y65" i="26"/>
  <c r="X65" i="26"/>
  <c r="W65" i="26"/>
  <c r="V65" i="26"/>
  <c r="U65" i="26"/>
  <c r="T65" i="26"/>
  <c r="S65" i="26"/>
  <c r="R65" i="26"/>
  <c r="Q65" i="26"/>
  <c r="P65" i="26"/>
  <c r="O65" i="26"/>
  <c r="N65" i="26"/>
  <c r="M65" i="26"/>
  <c r="L65" i="26"/>
  <c r="K65" i="26"/>
  <c r="J65" i="26"/>
  <c r="I65" i="26"/>
  <c r="H65" i="26"/>
  <c r="G65" i="26"/>
  <c r="F65" i="26"/>
  <c r="E65" i="26"/>
  <c r="D65" i="26"/>
  <c r="C65" i="26"/>
  <c r="BB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Y64" i="26"/>
  <c r="X64" i="26"/>
  <c r="W64" i="26"/>
  <c r="V64" i="26"/>
  <c r="U64" i="26"/>
  <c r="T64" i="26"/>
  <c r="S64" i="26"/>
  <c r="R64" i="26"/>
  <c r="Q64" i="26"/>
  <c r="P64" i="26"/>
  <c r="O64" i="26"/>
  <c r="N64" i="26"/>
  <c r="M64" i="26"/>
  <c r="L64" i="26"/>
  <c r="K64" i="26"/>
  <c r="J64" i="26"/>
  <c r="I64" i="26"/>
  <c r="H64" i="26"/>
  <c r="G64" i="26"/>
  <c r="F64" i="26"/>
  <c r="E64" i="26"/>
  <c r="D64" i="26"/>
  <c r="C64" i="26"/>
  <c r="BB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Y63" i="26"/>
  <c r="X63" i="26"/>
  <c r="W63" i="26"/>
  <c r="V63" i="26"/>
  <c r="U63" i="26"/>
  <c r="T63" i="26"/>
  <c r="S63" i="26"/>
  <c r="R63" i="26"/>
  <c r="Q63" i="26"/>
  <c r="P63" i="26"/>
  <c r="O63" i="26"/>
  <c r="N63" i="26"/>
  <c r="M63" i="26"/>
  <c r="L63" i="26"/>
  <c r="K63" i="26"/>
  <c r="J63" i="26"/>
  <c r="I63" i="26"/>
  <c r="H63" i="26"/>
  <c r="G63" i="26"/>
  <c r="F63" i="26"/>
  <c r="E63" i="26"/>
  <c r="D63" i="26"/>
  <c r="C63" i="26"/>
  <c r="BB62" i="26"/>
  <c r="AZ62" i="26"/>
  <c r="AY62" i="26"/>
  <c r="AX62" i="26"/>
  <c r="AW62" i="26"/>
  <c r="AV62" i="26"/>
  <c r="AU62" i="26"/>
  <c r="AT62" i="26"/>
  <c r="AS62" i="26"/>
  <c r="AR62" i="26"/>
  <c r="AQ62" i="26"/>
  <c r="AP62" i="26"/>
  <c r="AO62" i="26"/>
  <c r="AN62" i="26"/>
  <c r="AM62" i="26"/>
  <c r="AL62" i="26"/>
  <c r="AK62" i="26"/>
  <c r="AJ62" i="26"/>
  <c r="AI62" i="26"/>
  <c r="AH62" i="26"/>
  <c r="AG62" i="26"/>
  <c r="AF62" i="26"/>
  <c r="AE62" i="26"/>
  <c r="AD62" i="26"/>
  <c r="AC62" i="26"/>
  <c r="AB62" i="26"/>
  <c r="AA62" i="26"/>
  <c r="Z62" i="26"/>
  <c r="Y62" i="26"/>
  <c r="X62" i="26"/>
  <c r="W62" i="26"/>
  <c r="V62" i="26"/>
  <c r="U62" i="26"/>
  <c r="T62" i="26"/>
  <c r="S62" i="26"/>
  <c r="R62" i="26"/>
  <c r="Q62" i="26"/>
  <c r="P62" i="26"/>
  <c r="O62" i="26"/>
  <c r="N62" i="26"/>
  <c r="M62" i="26"/>
  <c r="L62" i="26"/>
  <c r="K62" i="26"/>
  <c r="J62" i="26"/>
  <c r="I62" i="26"/>
  <c r="H62" i="26"/>
  <c r="G62" i="26"/>
  <c r="F62" i="26"/>
  <c r="E62" i="26"/>
  <c r="D62" i="26"/>
  <c r="C62" i="26"/>
  <c r="BB61" i="26"/>
  <c r="BA61" i="26"/>
  <c r="AZ61" i="26"/>
  <c r="AY61" i="26"/>
  <c r="AX61" i="26"/>
  <c r="AW61" i="26"/>
  <c r="AV61" i="26"/>
  <c r="AU61" i="26"/>
  <c r="AT61" i="26"/>
  <c r="AS61" i="26"/>
  <c r="AR61" i="26"/>
  <c r="AQ61" i="26"/>
  <c r="AP61" i="26"/>
  <c r="AO61" i="26"/>
  <c r="AN61" i="26"/>
  <c r="AM61" i="26"/>
  <c r="AL61" i="26"/>
  <c r="AK61" i="26"/>
  <c r="AJ61" i="26"/>
  <c r="AI61" i="26"/>
  <c r="AH61" i="26"/>
  <c r="AG61" i="26"/>
  <c r="AF61" i="26"/>
  <c r="AE61" i="26"/>
  <c r="AD61" i="26"/>
  <c r="AC61" i="26"/>
  <c r="AB61" i="26"/>
  <c r="AA61" i="26"/>
  <c r="Z61" i="26"/>
  <c r="Y61" i="26"/>
  <c r="X61" i="26"/>
  <c r="W61" i="26"/>
  <c r="V61" i="26"/>
  <c r="U61" i="26"/>
  <c r="T61" i="26"/>
  <c r="S61" i="26"/>
  <c r="R61" i="26"/>
  <c r="Q61" i="26"/>
  <c r="P61" i="26"/>
  <c r="O61" i="26"/>
  <c r="N61" i="26"/>
  <c r="M61" i="26"/>
  <c r="L61" i="26"/>
  <c r="K61" i="26"/>
  <c r="J61" i="26"/>
  <c r="I61" i="26"/>
  <c r="H61" i="26"/>
  <c r="G61" i="26"/>
  <c r="F61" i="26"/>
  <c r="E61" i="26"/>
  <c r="D61" i="26"/>
  <c r="C61" i="26"/>
  <c r="BB60" i="26"/>
  <c r="BA60" i="26"/>
  <c r="AZ60" i="26"/>
  <c r="AY60" i="26"/>
  <c r="AX60" i="26"/>
  <c r="AW60" i="26"/>
  <c r="AV60" i="26"/>
  <c r="AU60" i="26"/>
  <c r="AT60" i="26"/>
  <c r="AS60" i="26"/>
  <c r="AR60" i="26"/>
  <c r="AQ60" i="26"/>
  <c r="AP60" i="26"/>
  <c r="AO60" i="26"/>
  <c r="AN60" i="26"/>
  <c r="AM60" i="26"/>
  <c r="AL60" i="26"/>
  <c r="AK60" i="26"/>
  <c r="AJ60" i="26"/>
  <c r="AI60" i="26"/>
  <c r="AH60" i="26"/>
  <c r="AG60" i="26"/>
  <c r="AF60" i="26"/>
  <c r="AE60" i="26"/>
  <c r="AD60" i="26"/>
  <c r="AC60" i="26"/>
  <c r="AB60" i="26"/>
  <c r="AA60" i="26"/>
  <c r="Z60" i="26"/>
  <c r="Y60" i="26"/>
  <c r="X60" i="26"/>
  <c r="W60" i="26"/>
  <c r="V60" i="26"/>
  <c r="U60" i="26"/>
  <c r="T60" i="26"/>
  <c r="S60" i="26"/>
  <c r="R60" i="26"/>
  <c r="Q60" i="26"/>
  <c r="P60" i="26"/>
  <c r="O60" i="26"/>
  <c r="N60" i="26"/>
  <c r="M60" i="26"/>
  <c r="L60" i="26"/>
  <c r="K60" i="26"/>
  <c r="J60" i="26"/>
  <c r="I60" i="26"/>
  <c r="H60" i="26"/>
  <c r="G60" i="26"/>
  <c r="F60" i="26"/>
  <c r="E60" i="26"/>
  <c r="D60" i="26"/>
  <c r="C60" i="26"/>
  <c r="BB59" i="26"/>
  <c r="AZ59" i="26"/>
  <c r="AY59" i="26"/>
  <c r="AX59" i="26"/>
  <c r="AW59" i="26"/>
  <c r="AV59" i="26"/>
  <c r="AU59" i="26"/>
  <c r="AT59" i="26"/>
  <c r="AS59" i="26"/>
  <c r="AR59" i="26"/>
  <c r="AQ59" i="26"/>
  <c r="AP59" i="26"/>
  <c r="AO59" i="26"/>
  <c r="AN59" i="26"/>
  <c r="AM59" i="26"/>
  <c r="AL59" i="26"/>
  <c r="AK59" i="26"/>
  <c r="AJ59" i="26"/>
  <c r="AI59" i="26"/>
  <c r="AH59" i="26"/>
  <c r="AG59" i="26"/>
  <c r="AF59" i="26"/>
  <c r="AE59" i="26"/>
  <c r="AD59" i="26"/>
  <c r="AC59" i="26"/>
  <c r="AB59" i="26"/>
  <c r="AA59" i="26"/>
  <c r="Z59" i="26"/>
  <c r="Y59" i="26"/>
  <c r="X59" i="26"/>
  <c r="W59" i="26"/>
  <c r="V59" i="26"/>
  <c r="U59" i="26"/>
  <c r="T59" i="26"/>
  <c r="S59" i="26"/>
  <c r="R59" i="26"/>
  <c r="Q59" i="26"/>
  <c r="P59" i="26"/>
  <c r="O59" i="26"/>
  <c r="N59" i="26"/>
  <c r="M59" i="26"/>
  <c r="L59" i="26"/>
  <c r="K59" i="26"/>
  <c r="J59" i="26"/>
  <c r="I59" i="26"/>
  <c r="H59" i="26"/>
  <c r="G59" i="26"/>
  <c r="F59" i="26"/>
  <c r="E59" i="26"/>
  <c r="D59" i="26"/>
  <c r="C59" i="26"/>
  <c r="BB58" i="26"/>
  <c r="BA58" i="26"/>
  <c r="AZ58" i="26"/>
  <c r="AY58" i="26"/>
  <c r="AX58" i="26"/>
  <c r="AW58" i="26"/>
  <c r="AV58" i="26"/>
  <c r="AU58" i="26"/>
  <c r="AT58" i="26"/>
  <c r="AS58" i="26"/>
  <c r="AR58" i="26"/>
  <c r="AQ58" i="26"/>
  <c r="AP58" i="26"/>
  <c r="AO58" i="26"/>
  <c r="AN58" i="26"/>
  <c r="AM58" i="26"/>
  <c r="AL58" i="26"/>
  <c r="AK58" i="26"/>
  <c r="AJ58" i="26"/>
  <c r="AI58" i="26"/>
  <c r="AH58" i="26"/>
  <c r="AG58" i="26"/>
  <c r="AF58" i="26"/>
  <c r="AE58" i="26"/>
  <c r="AD58" i="26"/>
  <c r="AC58" i="26"/>
  <c r="AB58" i="26"/>
  <c r="AA58" i="26"/>
  <c r="Z58" i="26"/>
  <c r="Y58" i="26"/>
  <c r="X58" i="26"/>
  <c r="W58" i="26"/>
  <c r="V58" i="26"/>
  <c r="U58" i="26"/>
  <c r="T58" i="26"/>
  <c r="S58" i="26"/>
  <c r="R58" i="26"/>
  <c r="Q58" i="26"/>
  <c r="P58" i="26"/>
  <c r="O58" i="26"/>
  <c r="N58" i="26"/>
  <c r="M58" i="26"/>
  <c r="L58" i="26"/>
  <c r="K58" i="26"/>
  <c r="J58" i="26"/>
  <c r="I58" i="26"/>
  <c r="H58" i="26"/>
  <c r="G58" i="26"/>
  <c r="F58" i="26"/>
  <c r="E58" i="26"/>
  <c r="D58" i="26"/>
  <c r="C58" i="26"/>
  <c r="BB57" i="26"/>
  <c r="AZ57" i="26"/>
  <c r="AY57" i="26"/>
  <c r="AX57" i="26"/>
  <c r="AW57" i="26"/>
  <c r="AV57" i="26"/>
  <c r="AU57" i="26"/>
  <c r="AT57" i="26"/>
  <c r="AS57" i="26"/>
  <c r="AR57" i="26"/>
  <c r="AQ57" i="26"/>
  <c r="AP57" i="26"/>
  <c r="AO57" i="26"/>
  <c r="AN57" i="26"/>
  <c r="AM57" i="26"/>
  <c r="AL57" i="26"/>
  <c r="AK57" i="26"/>
  <c r="AJ57" i="26"/>
  <c r="AI57" i="26"/>
  <c r="AH57" i="26"/>
  <c r="AG57" i="26"/>
  <c r="AF57" i="26"/>
  <c r="AE57" i="26"/>
  <c r="AD57" i="26"/>
  <c r="AC57" i="26"/>
  <c r="AB57" i="26"/>
  <c r="AA57" i="26"/>
  <c r="Z57" i="26"/>
  <c r="Y57" i="26"/>
  <c r="X57" i="26"/>
  <c r="W57" i="26"/>
  <c r="V57" i="26"/>
  <c r="U57" i="26"/>
  <c r="T57" i="26"/>
  <c r="S57" i="26"/>
  <c r="R57" i="26"/>
  <c r="Q57" i="26"/>
  <c r="P57" i="26"/>
  <c r="O57" i="26"/>
  <c r="N57" i="26"/>
  <c r="M57" i="26"/>
  <c r="L57" i="26"/>
  <c r="K57" i="26"/>
  <c r="J57" i="26"/>
  <c r="I57" i="26"/>
  <c r="H57" i="26"/>
  <c r="G57" i="26"/>
  <c r="F57" i="26"/>
  <c r="E57" i="26"/>
  <c r="D57" i="26"/>
  <c r="C57" i="26"/>
  <c r="BB56" i="26"/>
  <c r="BA56" i="26"/>
  <c r="AZ56" i="26"/>
  <c r="AY56" i="26"/>
  <c r="AX56" i="26"/>
  <c r="AW56" i="26"/>
  <c r="AV56" i="26"/>
  <c r="AU56" i="26"/>
  <c r="AT56" i="26"/>
  <c r="AS56" i="26"/>
  <c r="AR56" i="26"/>
  <c r="AQ56" i="26"/>
  <c r="AP56" i="26"/>
  <c r="AO56" i="26"/>
  <c r="AN56" i="26"/>
  <c r="AM56" i="26"/>
  <c r="AL56" i="26"/>
  <c r="AK56" i="26"/>
  <c r="AJ56" i="26"/>
  <c r="AI56" i="26"/>
  <c r="AH56" i="26"/>
  <c r="AG56" i="26"/>
  <c r="AF56" i="26"/>
  <c r="AE56" i="26"/>
  <c r="AD56" i="26"/>
  <c r="AC56" i="26"/>
  <c r="AB56" i="26"/>
  <c r="AA56" i="26"/>
  <c r="Z56" i="26"/>
  <c r="Y56" i="26"/>
  <c r="X56" i="26"/>
  <c r="W56" i="26"/>
  <c r="V56" i="26"/>
  <c r="U56" i="26"/>
  <c r="T56" i="26"/>
  <c r="S56" i="26"/>
  <c r="R56" i="26"/>
  <c r="Q56" i="26"/>
  <c r="P56" i="26"/>
  <c r="O56" i="26"/>
  <c r="N56" i="26"/>
  <c r="M56" i="26"/>
  <c r="L56" i="26"/>
  <c r="K56" i="26"/>
  <c r="J56" i="26"/>
  <c r="I56" i="26"/>
  <c r="H56" i="26"/>
  <c r="G56" i="26"/>
  <c r="F56" i="26"/>
  <c r="E56" i="26"/>
  <c r="D56" i="26"/>
  <c r="C56" i="26"/>
  <c r="BB55" i="26"/>
  <c r="BA55" i="26"/>
  <c r="AZ55" i="26"/>
  <c r="AY55" i="26"/>
  <c r="AX55" i="26"/>
  <c r="AW55" i="26"/>
  <c r="AV55" i="26"/>
  <c r="AU55" i="26"/>
  <c r="AT55" i="26"/>
  <c r="AS55"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D55" i="26"/>
  <c r="C55" i="26"/>
  <c r="BB54" i="26"/>
  <c r="AZ54" i="26"/>
  <c r="AY54" i="26"/>
  <c r="AX54" i="26"/>
  <c r="AW54" i="26"/>
  <c r="AV54" i="26"/>
  <c r="AU54" i="26"/>
  <c r="AT54" i="26"/>
  <c r="AS54"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D54" i="26"/>
  <c r="C54" i="26"/>
  <c r="BB53" i="26"/>
  <c r="AZ53" i="26"/>
  <c r="AY53" i="26"/>
  <c r="AX53" i="26"/>
  <c r="AW53" i="26"/>
  <c r="AV53" i="26"/>
  <c r="AU53" i="26"/>
  <c r="AT53" i="26"/>
  <c r="AS53"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D53" i="26"/>
  <c r="C53" i="26"/>
  <c r="BB52" i="26"/>
  <c r="AZ52" i="26"/>
  <c r="AY52" i="26"/>
  <c r="AX52" i="26"/>
  <c r="AW52"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C52" i="26"/>
  <c r="BB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D51" i="26"/>
  <c r="C51" i="26"/>
  <c r="BB50" i="26"/>
  <c r="AZ50" i="26"/>
  <c r="AY50" i="26"/>
  <c r="AX50" i="26"/>
  <c r="AW50"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C50" i="26"/>
  <c r="BB49" i="26"/>
  <c r="AZ49" i="26"/>
  <c r="AY49" i="26"/>
  <c r="AX49" i="26"/>
  <c r="AW49"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C49" i="26"/>
  <c r="BB48" i="26"/>
  <c r="AZ48" i="26"/>
  <c r="AY48" i="26"/>
  <c r="AX48" i="26"/>
  <c r="AW48" i="26"/>
  <c r="AV48" i="26"/>
  <c r="AU48" i="26"/>
  <c r="AT48" i="26"/>
  <c r="AS48"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D48" i="26"/>
  <c r="C48" i="26"/>
  <c r="BB47" i="26"/>
  <c r="BA47" i="26"/>
  <c r="AZ47" i="26"/>
  <c r="AY47" i="26"/>
  <c r="AX47" i="26"/>
  <c r="AW47" i="26"/>
  <c r="AV47" i="26"/>
  <c r="AU47" i="26"/>
  <c r="AT47" i="26"/>
  <c r="AS47" i="26"/>
  <c r="AR47" i="26"/>
  <c r="AQ47" i="26"/>
  <c r="AP47" i="26"/>
  <c r="AO47" i="26"/>
  <c r="AN47" i="26"/>
  <c r="AM47" i="26"/>
  <c r="AL47" i="26"/>
  <c r="AK47" i="26"/>
  <c r="AJ47" i="26"/>
  <c r="AI47" i="26"/>
  <c r="AH47" i="26"/>
  <c r="AG47" i="26"/>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C47" i="26"/>
  <c r="BB46" i="26"/>
  <c r="BA46" i="26"/>
  <c r="BA45" i="26"/>
  <c r="AZ46" i="26"/>
  <c r="AY46" i="26"/>
  <c r="AX46" i="26"/>
  <c r="AW46" i="26"/>
  <c r="AV46" i="26"/>
  <c r="AU46" i="26"/>
  <c r="AT46" i="26"/>
  <c r="AS46" i="26"/>
  <c r="AR46" i="26"/>
  <c r="AQ46" i="26"/>
  <c r="AP46" i="26"/>
  <c r="AO46" i="26"/>
  <c r="AN46" i="26"/>
  <c r="AM46" i="26"/>
  <c r="AL46" i="26"/>
  <c r="AK46" i="26"/>
  <c r="AJ46" i="26"/>
  <c r="AI46" i="26"/>
  <c r="AH46" i="26"/>
  <c r="AG46" i="26"/>
  <c r="AF46" i="26"/>
  <c r="AE46" i="26"/>
  <c r="AD46" i="26"/>
  <c r="AC46" i="26"/>
  <c r="AB46" i="26"/>
  <c r="AA46" i="26"/>
  <c r="Z46" i="26"/>
  <c r="Y46" i="26"/>
  <c r="X46" i="26"/>
  <c r="W46" i="26"/>
  <c r="V46" i="26"/>
  <c r="U46" i="26"/>
  <c r="T46" i="26"/>
  <c r="S46" i="26"/>
  <c r="R46" i="26"/>
  <c r="Q46" i="26"/>
  <c r="P46" i="26"/>
  <c r="O46" i="26"/>
  <c r="N46" i="26"/>
  <c r="M46" i="26"/>
  <c r="L46" i="26"/>
  <c r="K46" i="26"/>
  <c r="J46" i="26"/>
  <c r="I46" i="26"/>
  <c r="H46" i="26"/>
  <c r="G46" i="26"/>
  <c r="F46" i="26"/>
  <c r="E46" i="26"/>
  <c r="D46" i="26"/>
  <c r="C46" i="26"/>
  <c r="BB45" i="26"/>
  <c r="AZ45" i="26"/>
  <c r="AY45" i="26"/>
  <c r="AX45" i="26"/>
  <c r="AW45" i="26"/>
  <c r="AV45" i="26"/>
  <c r="AU45" i="26"/>
  <c r="AT45" i="26"/>
  <c r="AS45" i="26"/>
  <c r="AR45" i="26"/>
  <c r="AQ45" i="26"/>
  <c r="AP45" i="26"/>
  <c r="AO45" i="26"/>
  <c r="AN45" i="26"/>
  <c r="AM45" i="26"/>
  <c r="AL45" i="26"/>
  <c r="AK45" i="26"/>
  <c r="AJ45" i="26"/>
  <c r="AI45" i="26"/>
  <c r="AH45" i="26"/>
  <c r="AG45" i="26"/>
  <c r="AF45" i="26"/>
  <c r="AE45" i="26"/>
  <c r="AD45" i="26"/>
  <c r="AC45" i="26"/>
  <c r="AB45" i="26"/>
  <c r="AA45" i="26"/>
  <c r="Z45" i="26"/>
  <c r="Y45" i="26"/>
  <c r="X45" i="26"/>
  <c r="W45" i="26"/>
  <c r="V45" i="26"/>
  <c r="U45" i="26"/>
  <c r="T45" i="26"/>
  <c r="S45" i="26"/>
  <c r="R45" i="26"/>
  <c r="Q45" i="26"/>
  <c r="P45" i="26"/>
  <c r="O45" i="26"/>
  <c r="N45" i="26"/>
  <c r="M45" i="26"/>
  <c r="L45" i="26"/>
  <c r="K45" i="26"/>
  <c r="J45" i="26"/>
  <c r="I45" i="26"/>
  <c r="H45" i="26"/>
  <c r="G45" i="26"/>
  <c r="F45" i="26"/>
  <c r="E45" i="26"/>
  <c r="D45" i="26"/>
  <c r="C45" i="26"/>
  <c r="BB44" i="26"/>
  <c r="AZ44" i="26"/>
  <c r="AY44" i="26"/>
  <c r="AX44" i="26"/>
  <c r="AW44" i="26"/>
  <c r="AV44" i="26"/>
  <c r="AU44" i="26"/>
  <c r="AT44" i="26"/>
  <c r="AS44" i="26"/>
  <c r="AR44" i="26"/>
  <c r="AQ44" i="26"/>
  <c r="AP44" i="26"/>
  <c r="AO44" i="26"/>
  <c r="AN44" i="26"/>
  <c r="AM44" i="26"/>
  <c r="AL44" i="26"/>
  <c r="AK44" i="26"/>
  <c r="AJ44" i="26"/>
  <c r="AI44" i="26"/>
  <c r="AH44" i="26"/>
  <c r="AG44" i="26"/>
  <c r="AF44" i="26"/>
  <c r="AE44" i="26"/>
  <c r="AD44" i="26"/>
  <c r="AC44" i="26"/>
  <c r="AB44" i="26"/>
  <c r="AA44" i="26"/>
  <c r="Z44" i="26"/>
  <c r="Y44" i="26"/>
  <c r="X44" i="26"/>
  <c r="W44" i="26"/>
  <c r="V44" i="26"/>
  <c r="U44" i="26"/>
  <c r="T44" i="26"/>
  <c r="S44" i="26"/>
  <c r="R44" i="26"/>
  <c r="Q44" i="26"/>
  <c r="P44" i="26"/>
  <c r="O44" i="26"/>
  <c r="N44" i="26"/>
  <c r="M44" i="26"/>
  <c r="L44" i="26"/>
  <c r="K44" i="26"/>
  <c r="J44" i="26"/>
  <c r="I44" i="26"/>
  <c r="H44" i="26"/>
  <c r="G44" i="26"/>
  <c r="F44" i="26"/>
  <c r="E44" i="26"/>
  <c r="D44" i="26"/>
  <c r="C44" i="26"/>
  <c r="BB43" i="26"/>
  <c r="BA43"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BB42" i="26"/>
  <c r="AZ42" i="26"/>
  <c r="AY42" i="26"/>
  <c r="AX42" i="26"/>
  <c r="AW42" i="26"/>
  <c r="AV42" i="26"/>
  <c r="AU42" i="26"/>
  <c r="AT42" i="26"/>
  <c r="AS42" i="26"/>
  <c r="AR42" i="26"/>
  <c r="AQ42" i="26"/>
  <c r="AP42" i="26"/>
  <c r="AO42" i="26"/>
  <c r="AN42" i="26"/>
  <c r="AM42" i="26"/>
  <c r="AL42" i="26"/>
  <c r="AK42" i="26"/>
  <c r="AJ42" i="26"/>
  <c r="AI42" i="26"/>
  <c r="AH42" i="26"/>
  <c r="AG42" i="26"/>
  <c r="AF42" i="26"/>
  <c r="AE42" i="26"/>
  <c r="AD42" i="26"/>
  <c r="AC42" i="26"/>
  <c r="AB42" i="26"/>
  <c r="AA42" i="26"/>
  <c r="Z42" i="26"/>
  <c r="Y42" i="26"/>
  <c r="X42" i="26"/>
  <c r="W42" i="26"/>
  <c r="V42" i="26"/>
  <c r="U42" i="26"/>
  <c r="T42" i="26"/>
  <c r="S42" i="26"/>
  <c r="R42" i="26"/>
  <c r="Q42" i="26"/>
  <c r="P42" i="26"/>
  <c r="O42" i="26"/>
  <c r="N42" i="26"/>
  <c r="M42" i="26"/>
  <c r="L42" i="26"/>
  <c r="K42" i="26"/>
  <c r="J42" i="26"/>
  <c r="I42" i="26"/>
  <c r="H42" i="26"/>
  <c r="G42" i="26"/>
  <c r="F42" i="26"/>
  <c r="E42" i="26"/>
  <c r="D42" i="26"/>
  <c r="C42" i="26"/>
  <c r="BB41" i="26"/>
  <c r="BA41" i="26"/>
  <c r="AZ41" i="26"/>
  <c r="AY41" i="26"/>
  <c r="AX41" i="26"/>
  <c r="AW41" i="26"/>
  <c r="AV41" i="26"/>
  <c r="AU41" i="26"/>
  <c r="AT41" i="26"/>
  <c r="AS41" i="26"/>
  <c r="AR41" i="26"/>
  <c r="AQ41" i="26"/>
  <c r="AP41" i="26"/>
  <c r="AO41" i="26"/>
  <c r="AN41" i="26"/>
  <c r="AM41" i="26"/>
  <c r="AL41" i="26"/>
  <c r="AK41" i="26"/>
  <c r="AJ41" i="26"/>
  <c r="AI41" i="26"/>
  <c r="AH41" i="26"/>
  <c r="AG41" i="26"/>
  <c r="AF41" i="26"/>
  <c r="AE41" i="26"/>
  <c r="AD41" i="26"/>
  <c r="AC41" i="26"/>
  <c r="AB41" i="26"/>
  <c r="AA41" i="26"/>
  <c r="Z41" i="26"/>
  <c r="Y41" i="26"/>
  <c r="X41" i="26"/>
  <c r="W41" i="26"/>
  <c r="V41" i="26"/>
  <c r="U41" i="26"/>
  <c r="T41" i="26"/>
  <c r="S41" i="26"/>
  <c r="R41" i="26"/>
  <c r="Q41" i="26"/>
  <c r="P41" i="26"/>
  <c r="O41" i="26"/>
  <c r="N41" i="26"/>
  <c r="M41" i="26"/>
  <c r="L41" i="26"/>
  <c r="K41" i="26"/>
  <c r="J41" i="26"/>
  <c r="I41" i="26"/>
  <c r="H41" i="26"/>
  <c r="G41" i="26"/>
  <c r="F41" i="26"/>
  <c r="E41" i="26"/>
  <c r="D41" i="26"/>
  <c r="C41" i="26"/>
  <c r="BB40" i="26"/>
  <c r="BA40" i="26"/>
  <c r="AZ40" i="26"/>
  <c r="AY40" i="26"/>
  <c r="AX40" i="26"/>
  <c r="AW40"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C40" i="26"/>
  <c r="BB39" i="26"/>
  <c r="AZ39" i="26"/>
  <c r="AY39" i="26"/>
  <c r="AX39" i="26"/>
  <c r="AW39"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C39" i="26"/>
  <c r="BB38" i="26"/>
  <c r="BA38" i="26"/>
  <c r="AZ38" i="26"/>
  <c r="AY38" i="26"/>
  <c r="AX38" i="26"/>
  <c r="AW38"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C38" i="26"/>
  <c r="BB37" i="26"/>
  <c r="BA37" i="26"/>
  <c r="AZ37" i="26"/>
  <c r="AY37" i="26"/>
  <c r="AX37" i="26"/>
  <c r="AW37"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D37" i="26"/>
  <c r="C37" i="26"/>
  <c r="BB36" i="26"/>
  <c r="BA36" i="26"/>
  <c r="AZ36" i="26"/>
  <c r="AY36" i="26"/>
  <c r="AX36" i="26"/>
  <c r="AW36" i="26"/>
  <c r="AV36" i="26"/>
  <c r="AU36" i="26"/>
  <c r="AT36" i="26"/>
  <c r="AS36" i="26"/>
  <c r="AR36" i="26"/>
  <c r="AQ36" i="26"/>
  <c r="AP36" i="26"/>
  <c r="AO36" i="26"/>
  <c r="AN36" i="26"/>
  <c r="AM36" i="26"/>
  <c r="AL36" i="26"/>
  <c r="AK36" i="26"/>
  <c r="AJ36" i="26"/>
  <c r="AI36" i="26"/>
  <c r="AH36" i="26"/>
  <c r="AG36" i="26"/>
  <c r="AF36" i="26"/>
  <c r="AE36" i="26"/>
  <c r="AD36" i="26"/>
  <c r="AC36" i="26"/>
  <c r="AB36" i="26"/>
  <c r="AA36" i="26"/>
  <c r="Z36" i="26"/>
  <c r="Y36" i="26"/>
  <c r="X36" i="26"/>
  <c r="W36" i="26"/>
  <c r="V36" i="26"/>
  <c r="U36" i="26"/>
  <c r="T36" i="26"/>
  <c r="S36" i="26"/>
  <c r="R36" i="26"/>
  <c r="Q36" i="26"/>
  <c r="P36" i="26"/>
  <c r="O36" i="26"/>
  <c r="N36" i="26"/>
  <c r="M36" i="26"/>
  <c r="L36" i="26"/>
  <c r="K36" i="26"/>
  <c r="J36" i="26"/>
  <c r="I36" i="26"/>
  <c r="H36" i="26"/>
  <c r="G36" i="26"/>
  <c r="F36" i="26"/>
  <c r="E36" i="26"/>
  <c r="D36" i="26"/>
  <c r="C36" i="26"/>
  <c r="BB35" i="26"/>
  <c r="AZ35" i="26"/>
  <c r="AY35" i="26"/>
  <c r="AX35" i="26"/>
  <c r="AW35" i="26"/>
  <c r="AV35" i="26"/>
  <c r="AU35" i="26"/>
  <c r="AT35" i="26"/>
  <c r="AS35" i="26"/>
  <c r="AR35" i="26"/>
  <c r="AQ35" i="26"/>
  <c r="AP35" i="26"/>
  <c r="AO35" i="26"/>
  <c r="AN35" i="26"/>
  <c r="AM35" i="26"/>
  <c r="AL35" i="26"/>
  <c r="AK35" i="26"/>
  <c r="AJ35" i="26"/>
  <c r="AI35" i="26"/>
  <c r="AH35" i="26"/>
  <c r="AG35" i="26"/>
  <c r="AF35" i="26"/>
  <c r="AE35" i="26"/>
  <c r="AD35" i="26"/>
  <c r="AC35" i="26"/>
  <c r="AB35" i="26"/>
  <c r="AA35" i="26"/>
  <c r="Z35" i="26"/>
  <c r="Y35" i="26"/>
  <c r="X35" i="26"/>
  <c r="W35" i="26"/>
  <c r="V35" i="26"/>
  <c r="U35" i="26"/>
  <c r="T35" i="26"/>
  <c r="S35" i="26"/>
  <c r="R35" i="26"/>
  <c r="Q35" i="26"/>
  <c r="P35" i="26"/>
  <c r="O35" i="26"/>
  <c r="N35" i="26"/>
  <c r="M35" i="26"/>
  <c r="L35" i="26"/>
  <c r="K35" i="26"/>
  <c r="J35" i="26"/>
  <c r="I35" i="26"/>
  <c r="H35" i="26"/>
  <c r="G35" i="26"/>
  <c r="F35" i="26"/>
  <c r="E35" i="26"/>
  <c r="D35" i="26"/>
  <c r="C35" i="26"/>
  <c r="BB34" i="26"/>
  <c r="BA34" i="26"/>
  <c r="AZ34" i="26"/>
  <c r="AY34" i="26"/>
  <c r="AX34" i="26"/>
  <c r="AW34" i="26"/>
  <c r="AV34" i="26"/>
  <c r="AU34" i="26"/>
  <c r="AT34" i="26"/>
  <c r="AS34" i="26"/>
  <c r="AR34" i="26"/>
  <c r="AQ34" i="26"/>
  <c r="AP34" i="26"/>
  <c r="AO34" i="26"/>
  <c r="AN34" i="26"/>
  <c r="AM34" i="26"/>
  <c r="AL34" i="26"/>
  <c r="AK34" i="26"/>
  <c r="AJ34" i="26"/>
  <c r="AI34" i="26"/>
  <c r="AH34" i="26"/>
  <c r="AG34" i="26"/>
  <c r="AF34" i="26"/>
  <c r="AE34" i="26"/>
  <c r="AD34" i="26"/>
  <c r="AC34" i="26"/>
  <c r="AB34" i="26"/>
  <c r="AA34" i="26"/>
  <c r="Z34" i="26"/>
  <c r="Y34" i="26"/>
  <c r="X34" i="26"/>
  <c r="W34" i="26"/>
  <c r="V34" i="26"/>
  <c r="U34" i="26"/>
  <c r="T34" i="26"/>
  <c r="S34" i="26"/>
  <c r="R34" i="26"/>
  <c r="Q34" i="26"/>
  <c r="P34" i="26"/>
  <c r="O34" i="26"/>
  <c r="N34" i="26"/>
  <c r="M34" i="26"/>
  <c r="L34" i="26"/>
  <c r="K34" i="26"/>
  <c r="J34" i="26"/>
  <c r="I34" i="26"/>
  <c r="H34" i="26"/>
  <c r="G34" i="26"/>
  <c r="F34" i="26"/>
  <c r="E34" i="26"/>
  <c r="D34" i="26"/>
  <c r="C34" i="26"/>
  <c r="BB33" i="26"/>
  <c r="AZ33" i="26"/>
  <c r="AY33" i="26"/>
  <c r="AX33" i="26"/>
  <c r="AW33" i="26"/>
  <c r="AV33" i="26"/>
  <c r="AU33" i="26"/>
  <c r="AT33" i="26"/>
  <c r="AS33" i="26"/>
  <c r="AR33" i="26"/>
  <c r="AQ33" i="26"/>
  <c r="AP33" i="26"/>
  <c r="AO33" i="26"/>
  <c r="AN33" i="26"/>
  <c r="AM33" i="26"/>
  <c r="AL33" i="26"/>
  <c r="AK33" i="26"/>
  <c r="AJ33" i="26"/>
  <c r="AI33" i="26"/>
  <c r="AH33" i="26"/>
  <c r="AG33" i="26"/>
  <c r="AF33" i="26"/>
  <c r="AE33" i="26"/>
  <c r="AD33" i="26"/>
  <c r="AC33" i="26"/>
  <c r="AB33" i="26"/>
  <c r="AA33" i="26"/>
  <c r="Z33" i="26"/>
  <c r="Y33" i="26"/>
  <c r="X33" i="26"/>
  <c r="W33" i="26"/>
  <c r="V33" i="26"/>
  <c r="U33" i="26"/>
  <c r="T33" i="26"/>
  <c r="S33" i="26"/>
  <c r="R33" i="26"/>
  <c r="Q33" i="26"/>
  <c r="P33" i="26"/>
  <c r="O33" i="26"/>
  <c r="N33" i="26"/>
  <c r="M33" i="26"/>
  <c r="L33" i="26"/>
  <c r="K33" i="26"/>
  <c r="J33" i="26"/>
  <c r="I33" i="26"/>
  <c r="H33" i="26"/>
  <c r="G33" i="26"/>
  <c r="F33" i="26"/>
  <c r="E33" i="26"/>
  <c r="D33" i="26"/>
  <c r="C33" i="26"/>
  <c r="BB32" i="26"/>
  <c r="AZ32" i="26"/>
  <c r="AY32" i="26"/>
  <c r="AX32" i="26"/>
  <c r="AW32" i="26"/>
  <c r="AV32" i="26"/>
  <c r="AU32" i="26"/>
  <c r="AT32" i="26"/>
  <c r="AS32" i="26"/>
  <c r="AR32" i="26"/>
  <c r="AQ32" i="26"/>
  <c r="AP32" i="26"/>
  <c r="AO32" i="26"/>
  <c r="AN32" i="26"/>
  <c r="AM32" i="26"/>
  <c r="AL32" i="26"/>
  <c r="AK32" i="26"/>
  <c r="AJ32" i="26"/>
  <c r="AI32" i="26"/>
  <c r="AH32" i="26"/>
  <c r="AG32" i="26"/>
  <c r="AF32" i="26"/>
  <c r="AE32" i="26"/>
  <c r="AD32" i="26"/>
  <c r="AC32" i="26"/>
  <c r="AB32" i="26"/>
  <c r="AA32" i="26"/>
  <c r="Z32" i="26"/>
  <c r="Y32" i="26"/>
  <c r="X32" i="26"/>
  <c r="W32" i="26"/>
  <c r="V32" i="26"/>
  <c r="U32" i="26"/>
  <c r="T32" i="26"/>
  <c r="S32" i="26"/>
  <c r="R32" i="26"/>
  <c r="Q32" i="26"/>
  <c r="P32" i="26"/>
  <c r="O32" i="26"/>
  <c r="N32" i="26"/>
  <c r="M32" i="26"/>
  <c r="L32" i="26"/>
  <c r="K32" i="26"/>
  <c r="J32" i="26"/>
  <c r="I32" i="26"/>
  <c r="H32" i="26"/>
  <c r="G32" i="26"/>
  <c r="F32" i="26"/>
  <c r="E32" i="26"/>
  <c r="D32" i="26"/>
  <c r="BB31" i="26"/>
  <c r="AZ31" i="26"/>
  <c r="AY31" i="26"/>
  <c r="AX31" i="26"/>
  <c r="AW31" i="26"/>
  <c r="AV31" i="26"/>
  <c r="AU31" i="26"/>
  <c r="AT31" i="26"/>
  <c r="AS31" i="26"/>
  <c r="AR31" i="26"/>
  <c r="AQ31" i="26"/>
  <c r="AP31" i="26"/>
  <c r="AO31" i="26"/>
  <c r="AN31" i="26"/>
  <c r="AM31" i="26"/>
  <c r="AL31" i="26"/>
  <c r="AK31" i="26"/>
  <c r="AJ31" i="26"/>
  <c r="AI31" i="26"/>
  <c r="AH31" i="26"/>
  <c r="AG31" i="26"/>
  <c r="AF31" i="26"/>
  <c r="AE31" i="26"/>
  <c r="AD31" i="26"/>
  <c r="AC31" i="26"/>
  <c r="AB31" i="26"/>
  <c r="AA31" i="26"/>
  <c r="Z31" i="26"/>
  <c r="Y31" i="26"/>
  <c r="X31" i="26"/>
  <c r="W31" i="26"/>
  <c r="V31" i="26"/>
  <c r="U31" i="26"/>
  <c r="T31" i="26"/>
  <c r="S31" i="26"/>
  <c r="R31" i="26"/>
  <c r="Q31" i="26"/>
  <c r="P31" i="26"/>
  <c r="O31" i="26"/>
  <c r="N31" i="26"/>
  <c r="M31" i="26"/>
  <c r="L31" i="26"/>
  <c r="K31" i="26"/>
  <c r="J31" i="26"/>
  <c r="I31" i="26"/>
  <c r="H31" i="26"/>
  <c r="G31" i="26"/>
  <c r="F31" i="26"/>
  <c r="E31" i="26"/>
  <c r="D31" i="26"/>
  <c r="C31" i="26"/>
  <c r="CB76" i="31"/>
  <c r="CA76" i="31"/>
  <c r="BZ27" i="31"/>
  <c r="BY27" i="31"/>
  <c r="BX27" i="31"/>
  <c r="BW27" i="31"/>
  <c r="BW62" i="31"/>
  <c r="BV27" i="31"/>
  <c r="BV62" i="31"/>
  <c r="BU76" i="31"/>
  <c r="BT27" i="31"/>
  <c r="BT76" i="31"/>
  <c r="BS27" i="31"/>
  <c r="BS76" i="31"/>
  <c r="BR27" i="31"/>
  <c r="BQ27" i="31"/>
  <c r="BQ76" i="31"/>
  <c r="BP27" i="31"/>
  <c r="BO27" i="31"/>
  <c r="BO76" i="31"/>
  <c r="BN27" i="31"/>
  <c r="BM27" i="31"/>
  <c r="BL27" i="31"/>
  <c r="BK27" i="31"/>
  <c r="BK76" i="31"/>
  <c r="BJ27" i="31"/>
  <c r="BI27" i="31"/>
  <c r="BH27" i="31"/>
  <c r="BG27" i="31"/>
  <c r="BG76" i="31"/>
  <c r="BF27" i="31"/>
  <c r="BF76" i="31"/>
  <c r="BE27" i="31"/>
  <c r="BE76" i="31"/>
  <c r="BD76" i="31"/>
  <c r="BZ18" i="31"/>
  <c r="BY18" i="31"/>
  <c r="BY61" i="31"/>
  <c r="BY75" i="31"/>
  <c r="BX18" i="31"/>
  <c r="BW18" i="31"/>
  <c r="BW75" i="31"/>
  <c r="BV18" i="31"/>
  <c r="BT18" i="31"/>
  <c r="BS18" i="31"/>
  <c r="BS75" i="31"/>
  <c r="BR18" i="31"/>
  <c r="BR75" i="31"/>
  <c r="BQ18" i="31"/>
  <c r="BQ75" i="31"/>
  <c r="BP18" i="31"/>
  <c r="BO18" i="31"/>
  <c r="BO75" i="31"/>
  <c r="BN18" i="31"/>
  <c r="BN61" i="31"/>
  <c r="BN75" i="31"/>
  <c r="BM18" i="31"/>
  <c r="BL18" i="31"/>
  <c r="BK18" i="31"/>
  <c r="BK75" i="31"/>
  <c r="BJ18" i="31"/>
  <c r="BJ75" i="31"/>
  <c r="BI18" i="31"/>
  <c r="BI61" i="31"/>
  <c r="BI75" i="31"/>
  <c r="BH18" i="31"/>
  <c r="BG18" i="31"/>
  <c r="BF18" i="31"/>
  <c r="BF61" i="31"/>
  <c r="BE18" i="31"/>
  <c r="BE75" i="31"/>
  <c r="CB74" i="31"/>
  <c r="BZ12" i="31"/>
  <c r="BZ74" i="31"/>
  <c r="BY12" i="31"/>
  <c r="BY60" i="31"/>
  <c r="BY74" i="31"/>
  <c r="BX12" i="31"/>
  <c r="BW12" i="31"/>
  <c r="BW74" i="31"/>
  <c r="BV12" i="31"/>
  <c r="BT12" i="31"/>
  <c r="BS12" i="31"/>
  <c r="BS74" i="31"/>
  <c r="BR12" i="31"/>
  <c r="BR60" i="31"/>
  <c r="BQ12" i="31"/>
  <c r="BP12" i="31"/>
  <c r="BO12" i="31"/>
  <c r="BO74" i="31"/>
  <c r="BN12" i="31"/>
  <c r="BN74" i="31"/>
  <c r="BM12" i="31"/>
  <c r="BM74" i="31"/>
  <c r="BL12" i="31"/>
  <c r="BL74" i="31"/>
  <c r="BK12" i="31"/>
  <c r="BJ12" i="31"/>
  <c r="BI12" i="31"/>
  <c r="BH12" i="31"/>
  <c r="BG12" i="31"/>
  <c r="BF12" i="31"/>
  <c r="BF74" i="31"/>
  <c r="BE12" i="31"/>
  <c r="BD74" i="31"/>
  <c r="CA73" i="31"/>
  <c r="BZ7" i="31"/>
  <c r="BY7" i="31"/>
  <c r="BX7" i="31"/>
  <c r="BX59" i="31"/>
  <c r="BW7" i="31"/>
  <c r="BW73" i="31"/>
  <c r="BV7" i="31"/>
  <c r="BV73" i="31"/>
  <c r="BT7" i="31"/>
  <c r="BS7" i="31"/>
  <c r="BR7" i="31"/>
  <c r="BR73" i="31"/>
  <c r="BQ7" i="31"/>
  <c r="BQ59" i="31"/>
  <c r="BP7" i="31"/>
  <c r="BP73" i="31"/>
  <c r="BO7" i="31"/>
  <c r="BN7" i="31"/>
  <c r="BN73" i="31"/>
  <c r="BM7" i="31"/>
  <c r="BM59" i="31"/>
  <c r="BM73" i="31"/>
  <c r="BL7" i="31"/>
  <c r="BK7" i="31"/>
  <c r="BK73" i="31"/>
  <c r="BJ7" i="31"/>
  <c r="BJ73" i="31"/>
  <c r="BI7" i="31"/>
  <c r="BH7" i="31"/>
  <c r="BH59" i="31"/>
  <c r="BH73" i="31"/>
  <c r="BG7" i="31"/>
  <c r="BG73" i="31"/>
  <c r="BF7" i="31"/>
  <c r="BF73" i="31"/>
  <c r="BE7" i="31"/>
  <c r="BZ16" i="31"/>
  <c r="BZ58" i="31"/>
  <c r="BY16" i="31"/>
  <c r="BX16" i="31"/>
  <c r="BW16" i="31"/>
  <c r="BV16" i="31"/>
  <c r="BV72" i="31"/>
  <c r="BU72" i="31"/>
  <c r="BT16" i="31"/>
  <c r="BS16" i="31"/>
  <c r="BS58" i="31"/>
  <c r="BR16" i="31"/>
  <c r="BR72" i="31"/>
  <c r="BQ16" i="31"/>
  <c r="BQ72" i="31"/>
  <c r="BP16" i="31"/>
  <c r="BP72" i="31"/>
  <c r="BO16" i="31"/>
  <c r="BO58" i="31"/>
  <c r="BN16" i="31"/>
  <c r="BN72" i="31"/>
  <c r="BM16" i="31"/>
  <c r="BM72" i="31"/>
  <c r="BL16" i="31"/>
  <c r="BK16" i="31"/>
  <c r="BK58" i="31"/>
  <c r="BJ16" i="31"/>
  <c r="BJ58" i="31"/>
  <c r="BI16" i="31"/>
  <c r="BI72" i="31"/>
  <c r="BH16" i="31"/>
  <c r="BH72" i="31"/>
  <c r="BG16" i="31"/>
  <c r="BG58" i="31"/>
  <c r="BG72" i="31"/>
  <c r="BF16" i="31"/>
  <c r="BF72" i="31"/>
  <c r="BE16" i="31"/>
  <c r="BE72" i="31"/>
  <c r="BD72" i="31"/>
  <c r="BZ29" i="31"/>
  <c r="BY29" i="31"/>
  <c r="BY71" i="31"/>
  <c r="BX29" i="31"/>
  <c r="BW29" i="31"/>
  <c r="BV29" i="31"/>
  <c r="BV71" i="31"/>
  <c r="BT29" i="31"/>
  <c r="BT57" i="31"/>
  <c r="BS29" i="31"/>
  <c r="BR29" i="31"/>
  <c r="BQ29" i="31"/>
  <c r="BP29" i="31"/>
  <c r="BP71" i="31"/>
  <c r="BO29" i="31"/>
  <c r="BO71" i="31"/>
  <c r="BN29" i="31"/>
  <c r="BM29" i="31"/>
  <c r="BM57" i="31"/>
  <c r="BL29" i="31"/>
  <c r="BL57" i="31"/>
  <c r="BK29" i="31"/>
  <c r="BK71" i="31"/>
  <c r="BJ29" i="31"/>
  <c r="BJ71" i="31"/>
  <c r="BI29" i="31"/>
  <c r="BH29" i="31"/>
  <c r="BH71" i="31"/>
  <c r="BG29" i="31"/>
  <c r="BG57" i="31"/>
  <c r="BF29" i="31"/>
  <c r="BE29" i="31"/>
  <c r="BE71" i="31"/>
  <c r="CB70" i="31"/>
  <c r="CA70" i="31"/>
  <c r="BZ20" i="31"/>
  <c r="BZ70" i="31"/>
  <c r="BY20" i="31"/>
  <c r="BY70" i="31"/>
  <c r="BX20" i="31"/>
  <c r="BW20" i="31"/>
  <c r="BW56" i="31"/>
  <c r="BV20" i="31"/>
  <c r="BT20" i="31"/>
  <c r="BT70" i="31"/>
  <c r="BS20" i="31"/>
  <c r="BR20" i="31"/>
  <c r="BR70" i="31"/>
  <c r="BQ20" i="31"/>
  <c r="BP20" i="31"/>
  <c r="BP70" i="31"/>
  <c r="BO20" i="31"/>
  <c r="BN20" i="31"/>
  <c r="BN56" i="31"/>
  <c r="BM20" i="31"/>
  <c r="BM70" i="31"/>
  <c r="BL20" i="31"/>
  <c r="BL70" i="31"/>
  <c r="BK20" i="31"/>
  <c r="BJ20" i="31"/>
  <c r="BJ70" i="31"/>
  <c r="BI20" i="31"/>
  <c r="BH20" i="31"/>
  <c r="BH56" i="31"/>
  <c r="BH70" i="31"/>
  <c r="BG20" i="31"/>
  <c r="BF20" i="31"/>
  <c r="BF56" i="31"/>
  <c r="BE20" i="31"/>
  <c r="BE70" i="31"/>
  <c r="BD70" i="31"/>
  <c r="CB69" i="31"/>
  <c r="CA69" i="31"/>
  <c r="BZ24" i="31"/>
  <c r="BZ55" i="31"/>
  <c r="BY24" i="31"/>
  <c r="BY69" i="31"/>
  <c r="BX24" i="31"/>
  <c r="BX69" i="31"/>
  <c r="BW24" i="31"/>
  <c r="BV24" i="31"/>
  <c r="BV69" i="31"/>
  <c r="BT24" i="31"/>
  <c r="BT69" i="31"/>
  <c r="BS24" i="31"/>
  <c r="BR24" i="31"/>
  <c r="BR69" i="31"/>
  <c r="BQ24" i="31"/>
  <c r="BP24" i="31"/>
  <c r="BP69" i="31"/>
  <c r="BO24" i="31"/>
  <c r="BN24" i="31"/>
  <c r="BN69" i="31"/>
  <c r="BM24" i="31"/>
  <c r="BL24" i="31"/>
  <c r="BL69" i="31"/>
  <c r="BK24" i="31"/>
  <c r="BK55" i="31"/>
  <c r="BJ24" i="31"/>
  <c r="BJ69" i="31"/>
  <c r="BI24" i="31"/>
  <c r="BH24" i="31"/>
  <c r="BH69" i="31"/>
  <c r="BG24" i="31"/>
  <c r="BG69" i="31"/>
  <c r="BF24" i="31"/>
  <c r="BF69" i="31"/>
  <c r="BE24" i="31"/>
  <c r="CA68" i="31"/>
  <c r="BZ9" i="31"/>
  <c r="BZ68" i="31"/>
  <c r="BY9" i="31"/>
  <c r="BY68" i="31"/>
  <c r="BX9" i="31"/>
  <c r="BX54" i="31"/>
  <c r="BX68" i="31"/>
  <c r="BW9" i="31"/>
  <c r="BV9" i="31"/>
  <c r="BV68" i="31"/>
  <c r="BU68" i="31"/>
  <c r="BT9" i="31"/>
  <c r="BT68" i="31"/>
  <c r="BS9" i="31"/>
  <c r="BS68" i="31"/>
  <c r="BR9" i="31"/>
  <c r="BQ9" i="31"/>
  <c r="BQ68" i="31"/>
  <c r="BP9" i="31"/>
  <c r="BP68" i="31"/>
  <c r="BO9" i="31"/>
  <c r="BO68" i="31"/>
  <c r="BN9" i="31"/>
  <c r="BM9" i="31"/>
  <c r="BM68" i="31"/>
  <c r="BL9" i="31"/>
  <c r="BL68" i="31"/>
  <c r="BK9" i="31"/>
  <c r="BJ9" i="31"/>
  <c r="BI9" i="31"/>
  <c r="BH9" i="31"/>
  <c r="BH68" i="31"/>
  <c r="BG9" i="31"/>
  <c r="BG68" i="31"/>
  <c r="BF9" i="31"/>
  <c r="BE9" i="31"/>
  <c r="BE68" i="31"/>
  <c r="BD68" i="31"/>
  <c r="CA67" i="31"/>
  <c r="BZ5" i="31"/>
  <c r="BZ67" i="31"/>
  <c r="BY5" i="31"/>
  <c r="BY53" i="31"/>
  <c r="BX5" i="31"/>
  <c r="BX67" i="31"/>
  <c r="BW5" i="31"/>
  <c r="BW67" i="31"/>
  <c r="BV5" i="31"/>
  <c r="BU67" i="31"/>
  <c r="BT5" i="31"/>
  <c r="BS5" i="31"/>
  <c r="BS67" i="31"/>
  <c r="BR5" i="31"/>
  <c r="BQ5" i="31"/>
  <c r="BP5" i="31"/>
  <c r="BP67" i="31"/>
  <c r="BO5" i="31"/>
  <c r="BO67" i="31"/>
  <c r="BN5" i="31"/>
  <c r="BN53" i="31"/>
  <c r="BN67" i="31"/>
  <c r="BM5" i="31"/>
  <c r="BM67" i="31"/>
  <c r="BL5" i="31"/>
  <c r="BK5" i="31"/>
  <c r="BK67" i="31"/>
  <c r="BJ5" i="31"/>
  <c r="BJ67" i="31"/>
  <c r="BI5" i="31"/>
  <c r="BH5" i="31"/>
  <c r="BG5" i="31"/>
  <c r="BG53" i="31"/>
  <c r="BF5" i="31"/>
  <c r="BF53" i="31"/>
  <c r="BE5" i="31"/>
  <c r="BE67" i="31"/>
  <c r="BZ17" i="31"/>
  <c r="BZ52" i="31"/>
  <c r="BY17" i="31"/>
  <c r="BY66" i="31"/>
  <c r="BX17" i="31"/>
  <c r="BW17" i="31"/>
  <c r="BW66" i="31"/>
  <c r="BV17" i="31"/>
  <c r="BV52" i="31"/>
  <c r="BT17" i="31"/>
  <c r="BT66" i="31"/>
  <c r="BS17" i="31"/>
  <c r="BS52" i="31"/>
  <c r="BS66" i="31"/>
  <c r="BR17" i="31"/>
  <c r="BR66" i="31"/>
  <c r="BQ17" i="31"/>
  <c r="BQ66" i="31"/>
  <c r="BP17" i="31"/>
  <c r="BP52" i="31"/>
  <c r="BP66" i="31"/>
  <c r="BO17" i="31"/>
  <c r="BO52" i="31"/>
  <c r="BO66" i="31"/>
  <c r="BN17" i="31"/>
  <c r="BN66" i="31"/>
  <c r="BM17" i="31"/>
  <c r="BM66" i="31"/>
  <c r="BL17" i="31"/>
  <c r="BK17" i="31"/>
  <c r="BK66" i="31"/>
  <c r="BJ17" i="31"/>
  <c r="BJ66" i="31"/>
  <c r="BI17" i="31"/>
  <c r="BH17" i="31"/>
  <c r="BH52" i="31"/>
  <c r="BH66" i="31"/>
  <c r="BG17" i="31"/>
  <c r="BF17" i="31"/>
  <c r="BF66" i="31"/>
  <c r="BE17" i="31"/>
  <c r="BD66" i="31"/>
  <c r="BZ21" i="31"/>
  <c r="BZ65" i="31"/>
  <c r="BY21" i="31"/>
  <c r="BX21" i="31"/>
  <c r="BX51" i="31"/>
  <c r="BW21" i="31"/>
  <c r="BW65" i="31"/>
  <c r="BV21" i="31"/>
  <c r="BV65" i="31"/>
  <c r="BU65" i="31"/>
  <c r="BT21" i="31"/>
  <c r="BT51" i="31"/>
  <c r="BT65" i="31"/>
  <c r="BS21" i="31"/>
  <c r="BS65" i="31"/>
  <c r="BR21" i="31"/>
  <c r="BR65" i="31"/>
  <c r="BQ21" i="31"/>
  <c r="BQ51" i="31"/>
  <c r="BP21" i="31"/>
  <c r="BP65" i="31"/>
  <c r="BO21" i="31"/>
  <c r="BO65" i="31"/>
  <c r="BN21" i="31"/>
  <c r="BN65" i="31"/>
  <c r="BM21" i="31"/>
  <c r="BL21" i="31"/>
  <c r="BL65" i="31"/>
  <c r="BK21" i="31"/>
  <c r="BK65" i="31"/>
  <c r="BJ21" i="31"/>
  <c r="BJ51" i="31"/>
  <c r="BJ65" i="31"/>
  <c r="BI21" i="31"/>
  <c r="BI51" i="31"/>
  <c r="BI65" i="31"/>
  <c r="BH21" i="31"/>
  <c r="BH65" i="31"/>
  <c r="BG21" i="31"/>
  <c r="BG65" i="31"/>
  <c r="BF21" i="31"/>
  <c r="BF65" i="31"/>
  <c r="BE21" i="31"/>
  <c r="CB64" i="31"/>
  <c r="BZ25" i="31"/>
  <c r="BZ64" i="31"/>
  <c r="BY25" i="31"/>
  <c r="BY64" i="31"/>
  <c r="BX25" i="31"/>
  <c r="BX64" i="31"/>
  <c r="BW25" i="31"/>
  <c r="BV25" i="31"/>
  <c r="BV64" i="31"/>
  <c r="BU64" i="31"/>
  <c r="BT25" i="31"/>
  <c r="BS25" i="31"/>
  <c r="BS50" i="31"/>
  <c r="BR25" i="31"/>
  <c r="BR64" i="31"/>
  <c r="BQ25" i="31"/>
  <c r="BP25" i="31"/>
  <c r="BO25" i="31"/>
  <c r="BO50" i="31"/>
  <c r="BN25" i="31"/>
  <c r="BN64" i="31"/>
  <c r="BM25" i="31"/>
  <c r="BM64" i="31"/>
  <c r="BL25" i="31"/>
  <c r="BK25" i="31"/>
  <c r="BK50" i="31"/>
  <c r="BK64" i="31"/>
  <c r="BJ25" i="31"/>
  <c r="BJ64" i="31"/>
  <c r="BI25" i="31"/>
  <c r="BH25" i="31"/>
  <c r="BH64" i="31"/>
  <c r="BG25" i="31"/>
  <c r="BF25" i="31"/>
  <c r="BF64" i="31"/>
  <c r="BE25" i="31"/>
  <c r="BE50" i="31"/>
  <c r="BE64" i="31"/>
  <c r="BD64" i="31"/>
  <c r="BU62" i="31"/>
  <c r="BT62" i="31"/>
  <c r="BS62" i="31"/>
  <c r="BQ62" i="31"/>
  <c r="BO62" i="31"/>
  <c r="BK62" i="31"/>
  <c r="BG62" i="31"/>
  <c r="BF62" i="31"/>
  <c r="BE62" i="31"/>
  <c r="BD62" i="31"/>
  <c r="CB61" i="31"/>
  <c r="BW61" i="31"/>
  <c r="BS61" i="31"/>
  <c r="BR61" i="31"/>
  <c r="BQ61" i="31"/>
  <c r="BO61" i="31"/>
  <c r="BK61" i="31"/>
  <c r="BJ61" i="31"/>
  <c r="BE61" i="31"/>
  <c r="CB60" i="31"/>
  <c r="BZ60" i="31"/>
  <c r="BW60" i="31"/>
  <c r="BU60" i="31"/>
  <c r="BS60" i="31"/>
  <c r="BO60" i="31"/>
  <c r="BN60" i="31"/>
  <c r="BM60" i="31"/>
  <c r="BF60" i="31"/>
  <c r="BD60" i="31"/>
  <c r="CB59" i="31"/>
  <c r="BW59" i="31"/>
  <c r="BV59" i="31"/>
  <c r="BR59" i="31"/>
  <c r="BP59" i="31"/>
  <c r="BN59" i="31"/>
  <c r="BK59" i="31"/>
  <c r="BJ59" i="31"/>
  <c r="BG59" i="31"/>
  <c r="BF59" i="31"/>
  <c r="BV58" i="31"/>
  <c r="BU58" i="31"/>
  <c r="BR58" i="31"/>
  <c r="BQ58" i="31"/>
  <c r="BP58" i="31"/>
  <c r="BN58" i="31"/>
  <c r="BM58" i="31"/>
  <c r="BI58" i="31"/>
  <c r="BH58" i="31"/>
  <c r="BF58" i="31"/>
  <c r="BE58" i="31"/>
  <c r="BD58" i="31"/>
  <c r="CB57" i="31"/>
  <c r="CA57" i="31"/>
  <c r="BY57" i="31"/>
  <c r="BV57" i="31"/>
  <c r="BP57" i="31"/>
  <c r="BO57" i="31"/>
  <c r="BK57" i="31"/>
  <c r="BJ57" i="31"/>
  <c r="BH57" i="31"/>
  <c r="BE57" i="31"/>
  <c r="BZ56" i="31"/>
  <c r="BY56" i="31"/>
  <c r="BP56" i="31"/>
  <c r="BM56" i="31"/>
  <c r="BL56" i="31"/>
  <c r="BJ56" i="31"/>
  <c r="BE56" i="31"/>
  <c r="BD56" i="31"/>
  <c r="CB55" i="31"/>
  <c r="BY55" i="31"/>
  <c r="BX55" i="31"/>
  <c r="BV55" i="31"/>
  <c r="BT55" i="31"/>
  <c r="BR55" i="31"/>
  <c r="BP55" i="31"/>
  <c r="BN55" i="31"/>
  <c r="BL55" i="31"/>
  <c r="BJ55" i="31"/>
  <c r="BH55" i="31"/>
  <c r="BG55" i="31"/>
  <c r="BF55" i="31"/>
  <c r="BZ54" i="31"/>
  <c r="BY54" i="31"/>
  <c r="BV54" i="31"/>
  <c r="BU54" i="31"/>
  <c r="BT54" i="31"/>
  <c r="BS54" i="31"/>
  <c r="BQ54" i="31"/>
  <c r="BP54" i="31"/>
  <c r="BO54" i="31"/>
  <c r="BM54" i="31"/>
  <c r="BL54" i="31"/>
  <c r="BH54" i="31"/>
  <c r="BG54" i="31"/>
  <c r="BE54" i="31"/>
  <c r="CA53" i="31"/>
  <c r="BZ53" i="31"/>
  <c r="BX53" i="31"/>
  <c r="BW53" i="31"/>
  <c r="BU53" i="31"/>
  <c r="BS53" i="31"/>
  <c r="BP53" i="31"/>
  <c r="BO53" i="31"/>
  <c r="BM53" i="31"/>
  <c r="BK53" i="31"/>
  <c r="BJ53" i="31"/>
  <c r="BE53" i="31"/>
  <c r="BW52" i="31"/>
  <c r="BT52" i="31"/>
  <c r="BR52" i="31"/>
  <c r="BQ52" i="31"/>
  <c r="BM52" i="31"/>
  <c r="BK52" i="31"/>
  <c r="BJ52" i="31"/>
  <c r="BF52" i="31"/>
  <c r="BD52" i="31"/>
  <c r="CB51" i="31"/>
  <c r="BZ51" i="31"/>
  <c r="BW51" i="31"/>
  <c r="BV51" i="31"/>
  <c r="BU51" i="31"/>
  <c r="BS51" i="31"/>
  <c r="BR51" i="31"/>
  <c r="BP51" i="31"/>
  <c r="BO51" i="31"/>
  <c r="BN51" i="31"/>
  <c r="BL51" i="31"/>
  <c r="BK51" i="31"/>
  <c r="BH51" i="31"/>
  <c r="BG51" i="31"/>
  <c r="BF51" i="31"/>
  <c r="BZ50" i="31"/>
  <c r="BY50" i="31"/>
  <c r="BX50" i="31"/>
  <c r="BV50" i="31"/>
  <c r="BU50" i="31"/>
  <c r="BR50" i="31"/>
  <c r="BN50" i="31"/>
  <c r="BM50" i="31"/>
  <c r="BJ50" i="31"/>
  <c r="BH50" i="31"/>
  <c r="BF50" i="31"/>
  <c r="BD50" i="31"/>
  <c r="CA49" i="31"/>
  <c r="BZ23" i="31"/>
  <c r="BZ49" i="31"/>
  <c r="BY23" i="31"/>
  <c r="BY49" i="31"/>
  <c r="BX23" i="31"/>
  <c r="BX49" i="31"/>
  <c r="BW23" i="31"/>
  <c r="BW49" i="31"/>
  <c r="BV23" i="31"/>
  <c r="BV49" i="31"/>
  <c r="BU49" i="31"/>
  <c r="BT23" i="31"/>
  <c r="BT49" i="31"/>
  <c r="BS23" i="31"/>
  <c r="BS49" i="31"/>
  <c r="BR23" i="31"/>
  <c r="BR49" i="31"/>
  <c r="BQ23" i="31"/>
  <c r="BQ49" i="31"/>
  <c r="BP23" i="31"/>
  <c r="BP49" i="31"/>
  <c r="BO23" i="31"/>
  <c r="BO49" i="31"/>
  <c r="BN23" i="31"/>
  <c r="BN49" i="31"/>
  <c r="BM23" i="31"/>
  <c r="BM49" i="31"/>
  <c r="BL23" i="31"/>
  <c r="BL49" i="31"/>
  <c r="BK23" i="31"/>
  <c r="BK49" i="31"/>
  <c r="BJ23" i="31"/>
  <c r="BJ49" i="31"/>
  <c r="BI23" i="31"/>
  <c r="BI49" i="31"/>
  <c r="BH23" i="31"/>
  <c r="BH49" i="31"/>
  <c r="BG23" i="31"/>
  <c r="BG49" i="31"/>
  <c r="BF23" i="31"/>
  <c r="BF49" i="31"/>
  <c r="BE23" i="31"/>
  <c r="BE49" i="31"/>
  <c r="BD49" i="31"/>
  <c r="BZ6" i="31"/>
  <c r="BZ47" i="31"/>
  <c r="BY6" i="31"/>
  <c r="BY47" i="31"/>
  <c r="BX6" i="31"/>
  <c r="BX47" i="31"/>
  <c r="BW6" i="31"/>
  <c r="BW47" i="31"/>
  <c r="BV6" i="31"/>
  <c r="BV47" i="31"/>
  <c r="BT6" i="31"/>
  <c r="BT47" i="31"/>
  <c r="BS6" i="31"/>
  <c r="BS47" i="31"/>
  <c r="BR6" i="31"/>
  <c r="BR47" i="31"/>
  <c r="BQ6" i="31"/>
  <c r="BQ47" i="31"/>
  <c r="BP6" i="31"/>
  <c r="BP47" i="31"/>
  <c r="BO6" i="31"/>
  <c r="BO47" i="31"/>
  <c r="BN6" i="31"/>
  <c r="BN47" i="31"/>
  <c r="BM6" i="31"/>
  <c r="BM47" i="31"/>
  <c r="BL6" i="31"/>
  <c r="BL47" i="31"/>
  <c r="BK6" i="31"/>
  <c r="BK47" i="31"/>
  <c r="BJ6" i="31"/>
  <c r="BJ47" i="31"/>
  <c r="BI6" i="31"/>
  <c r="BI47" i="31"/>
  <c r="BH6" i="31"/>
  <c r="BH47" i="31"/>
  <c r="BG6" i="31"/>
  <c r="BG47" i="31"/>
  <c r="BF6" i="31"/>
  <c r="BF47" i="31"/>
  <c r="BE6" i="31"/>
  <c r="BE47" i="31"/>
  <c r="CA46" i="31"/>
  <c r="BZ10" i="31"/>
  <c r="BZ46" i="31"/>
  <c r="BY10" i="31"/>
  <c r="BY46" i="31"/>
  <c r="BX10" i="31"/>
  <c r="BX46" i="31"/>
  <c r="BW10" i="31"/>
  <c r="BW46" i="31"/>
  <c r="BV10" i="31"/>
  <c r="BV46" i="31"/>
  <c r="BU46" i="31"/>
  <c r="BT10" i="31"/>
  <c r="BT46" i="31"/>
  <c r="BS10" i="31"/>
  <c r="BS46" i="31"/>
  <c r="BR10" i="31"/>
  <c r="BR46" i="31"/>
  <c r="BQ10" i="31"/>
  <c r="BQ46" i="31"/>
  <c r="BP10" i="31"/>
  <c r="BP46" i="31"/>
  <c r="BO10" i="31"/>
  <c r="BO46" i="31"/>
  <c r="BN10" i="31"/>
  <c r="BN46" i="31"/>
  <c r="BM10" i="31"/>
  <c r="BM46" i="31"/>
  <c r="BL10" i="31"/>
  <c r="BL46" i="31"/>
  <c r="BK10" i="31"/>
  <c r="BK46" i="31"/>
  <c r="BJ10" i="31"/>
  <c r="BJ46" i="31"/>
  <c r="BI10" i="31"/>
  <c r="BI46" i="31"/>
  <c r="BH10" i="31"/>
  <c r="BH46" i="31"/>
  <c r="BG10" i="31"/>
  <c r="BG46" i="31"/>
  <c r="BF10" i="31"/>
  <c r="BF46" i="31"/>
  <c r="BE10" i="31"/>
  <c r="BE46" i="31"/>
  <c r="BD46" i="31"/>
  <c r="BO45" i="31"/>
  <c r="BG45" i="31"/>
  <c r="CB44" i="31"/>
  <c r="BZ15" i="31"/>
  <c r="BZ44" i="31"/>
  <c r="BY15" i="31"/>
  <c r="BY44" i="31"/>
  <c r="BX15" i="31"/>
  <c r="BX44" i="31"/>
  <c r="BW15" i="31"/>
  <c r="BW44" i="31"/>
  <c r="BV15" i="31"/>
  <c r="BV44" i="31"/>
  <c r="BT15" i="31"/>
  <c r="BT44" i="31"/>
  <c r="BS15" i="31"/>
  <c r="BS44" i="31"/>
  <c r="BR15" i="31"/>
  <c r="BR44" i="31"/>
  <c r="BQ15" i="31"/>
  <c r="BQ44" i="31"/>
  <c r="BP15" i="31"/>
  <c r="BP44" i="31"/>
  <c r="BO15" i="31"/>
  <c r="BO44" i="31"/>
  <c r="BN15" i="31"/>
  <c r="BN44" i="31"/>
  <c r="BM15" i="31"/>
  <c r="BM44" i="31"/>
  <c r="BL15" i="31"/>
  <c r="BL44" i="31"/>
  <c r="BK15" i="31"/>
  <c r="BK44" i="31"/>
  <c r="BJ15" i="31"/>
  <c r="BJ44" i="31"/>
  <c r="BI15" i="31"/>
  <c r="BI44" i="31"/>
  <c r="BH15" i="31"/>
  <c r="BH44" i="31"/>
  <c r="BG15" i="31"/>
  <c r="BG44" i="31"/>
  <c r="BF15" i="31"/>
  <c r="BF44" i="31"/>
  <c r="BE15" i="31"/>
  <c r="BE44" i="31"/>
  <c r="BZ28" i="31"/>
  <c r="BZ43" i="31"/>
  <c r="BY28" i="31"/>
  <c r="BY43" i="31"/>
  <c r="BX28" i="31"/>
  <c r="BX43" i="31"/>
  <c r="BW28" i="31"/>
  <c r="BW43" i="31"/>
  <c r="BV28" i="31"/>
  <c r="BV43" i="31"/>
  <c r="BU43" i="31"/>
  <c r="BT28" i="31"/>
  <c r="BT43" i="31"/>
  <c r="BS28" i="31"/>
  <c r="BS43" i="31"/>
  <c r="BR28" i="31"/>
  <c r="BR43" i="31"/>
  <c r="BQ28" i="31"/>
  <c r="BQ43" i="31"/>
  <c r="BP28" i="31"/>
  <c r="BP43" i="31"/>
  <c r="BO28" i="31"/>
  <c r="BO43" i="31"/>
  <c r="BN28" i="31"/>
  <c r="BN43" i="31"/>
  <c r="BM28" i="31"/>
  <c r="BM43" i="31"/>
  <c r="BL28" i="31"/>
  <c r="BL43" i="31"/>
  <c r="BK28" i="31"/>
  <c r="BK43" i="31"/>
  <c r="BJ28" i="31"/>
  <c r="BJ43" i="31"/>
  <c r="BI28" i="31"/>
  <c r="BI43" i="31"/>
  <c r="BH28" i="31"/>
  <c r="BH43" i="31"/>
  <c r="BG28" i="31"/>
  <c r="BG43" i="31"/>
  <c r="BF28" i="31"/>
  <c r="BF43" i="31"/>
  <c r="BE28" i="31"/>
  <c r="BE43" i="31"/>
  <c r="BD43" i="31"/>
  <c r="CB42" i="31"/>
  <c r="BZ19" i="31"/>
  <c r="BZ42" i="31"/>
  <c r="BY19" i="31"/>
  <c r="BY42" i="31"/>
  <c r="BX19" i="31"/>
  <c r="BX42" i="31"/>
  <c r="BW19" i="31"/>
  <c r="BW42" i="31"/>
  <c r="BV19" i="31"/>
  <c r="BV42" i="31"/>
  <c r="BT19" i="31"/>
  <c r="BT42" i="31"/>
  <c r="BS19" i="31"/>
  <c r="BS42" i="31"/>
  <c r="BR19" i="31"/>
  <c r="BR42" i="31"/>
  <c r="BQ19" i="31"/>
  <c r="BQ42" i="31"/>
  <c r="BP19" i="31"/>
  <c r="BP42" i="31"/>
  <c r="BO19" i="31"/>
  <c r="BO42" i="31"/>
  <c r="BN19" i="31"/>
  <c r="BN42" i="31"/>
  <c r="BM19" i="31"/>
  <c r="BM42" i="31"/>
  <c r="BL19" i="31"/>
  <c r="BL42" i="31"/>
  <c r="BK19" i="31"/>
  <c r="BK42" i="31"/>
  <c r="BJ19" i="31"/>
  <c r="BJ42" i="31"/>
  <c r="BI19" i="31"/>
  <c r="BI42" i="31"/>
  <c r="BH19" i="31"/>
  <c r="BH42" i="31"/>
  <c r="BG19" i="31"/>
  <c r="BG42" i="31"/>
  <c r="BF19" i="31"/>
  <c r="BF42" i="31"/>
  <c r="BE19" i="31"/>
  <c r="BE42" i="31"/>
  <c r="BD42" i="31"/>
  <c r="CB41" i="31"/>
  <c r="BZ8" i="31"/>
  <c r="BZ41" i="31"/>
  <c r="BY8" i="31"/>
  <c r="BY41" i="31"/>
  <c r="BX8" i="31"/>
  <c r="BX41" i="31"/>
  <c r="BW8" i="31"/>
  <c r="BW41" i="31"/>
  <c r="BV8" i="31"/>
  <c r="BV41" i="31"/>
  <c r="BU41" i="31"/>
  <c r="BT8" i="31"/>
  <c r="BT41" i="31"/>
  <c r="BS8" i="31"/>
  <c r="BS41" i="31"/>
  <c r="BR8" i="31"/>
  <c r="BR41" i="31"/>
  <c r="BQ8" i="31"/>
  <c r="BQ41" i="31"/>
  <c r="BP8" i="31"/>
  <c r="BP41" i="31"/>
  <c r="BO8" i="31"/>
  <c r="BO41" i="31"/>
  <c r="BN8" i="31"/>
  <c r="BN41" i="31"/>
  <c r="BM8" i="31"/>
  <c r="BM41" i="31"/>
  <c r="BL8" i="31"/>
  <c r="BL41" i="31"/>
  <c r="BK8" i="31"/>
  <c r="BK41" i="31"/>
  <c r="BJ8" i="31"/>
  <c r="BJ41" i="31"/>
  <c r="BI8" i="31"/>
  <c r="BI41" i="31"/>
  <c r="BH8" i="31"/>
  <c r="BH41" i="31"/>
  <c r="BG8" i="31"/>
  <c r="BG41" i="31"/>
  <c r="BF8" i="31"/>
  <c r="BF41" i="31"/>
  <c r="BE8" i="31"/>
  <c r="BE41" i="31"/>
  <c r="BD41" i="31"/>
  <c r="CA40" i="31"/>
  <c r="BZ4" i="31"/>
  <c r="BZ40" i="31"/>
  <c r="BY4" i="31"/>
  <c r="BY40" i="31"/>
  <c r="BX4" i="31"/>
  <c r="BX40" i="31"/>
  <c r="BW4" i="31"/>
  <c r="BW40" i="31"/>
  <c r="BV4" i="31"/>
  <c r="BV40" i="31"/>
  <c r="BT4" i="31"/>
  <c r="BT40" i="31"/>
  <c r="BS4" i="31"/>
  <c r="BS40" i="31"/>
  <c r="BR4" i="31"/>
  <c r="BR40" i="31"/>
  <c r="BQ4" i="31"/>
  <c r="BQ40" i="31"/>
  <c r="BP4" i="31"/>
  <c r="BP40" i="31"/>
  <c r="BO4" i="31"/>
  <c r="BO40" i="31"/>
  <c r="BN4" i="31"/>
  <c r="BN40" i="31"/>
  <c r="BM4" i="31"/>
  <c r="BM40" i="31"/>
  <c r="BL4" i="31"/>
  <c r="BL40" i="31"/>
  <c r="BK4" i="31"/>
  <c r="BK40" i="31"/>
  <c r="BJ4" i="31"/>
  <c r="BJ40" i="31"/>
  <c r="BI4" i="31"/>
  <c r="BI40" i="31"/>
  <c r="BH4" i="31"/>
  <c r="BH40" i="31"/>
  <c r="BG4" i="31"/>
  <c r="BG40" i="31"/>
  <c r="BF4" i="31"/>
  <c r="BF40" i="31"/>
  <c r="BE4" i="31"/>
  <c r="BE40" i="31"/>
  <c r="BD40" i="31"/>
  <c r="CA39" i="31"/>
  <c r="BZ11" i="31"/>
  <c r="BZ39" i="31"/>
  <c r="BY11" i="31"/>
  <c r="BY39" i="31"/>
  <c r="BX11" i="31"/>
  <c r="BX39" i="31"/>
  <c r="BW11" i="31"/>
  <c r="BW39" i="31"/>
  <c r="BV11" i="31"/>
  <c r="BV39" i="31"/>
  <c r="BT11" i="31"/>
  <c r="BT39" i="31"/>
  <c r="BS11" i="31"/>
  <c r="BS39" i="31"/>
  <c r="BR11" i="31"/>
  <c r="BR39" i="31"/>
  <c r="BQ11" i="31"/>
  <c r="BQ39" i="31"/>
  <c r="BP11" i="31"/>
  <c r="BP39" i="31"/>
  <c r="BO11" i="31"/>
  <c r="BO39" i="31"/>
  <c r="BN11" i="31"/>
  <c r="BN39" i="31"/>
  <c r="BM11" i="31"/>
  <c r="BM39" i="31"/>
  <c r="BL11" i="31"/>
  <c r="BL39" i="31"/>
  <c r="BK11" i="31"/>
  <c r="BK39" i="31"/>
  <c r="BJ11" i="31"/>
  <c r="BJ39" i="31"/>
  <c r="BI11" i="31"/>
  <c r="BI39" i="31"/>
  <c r="BH11" i="31"/>
  <c r="BH39" i="31"/>
  <c r="BG11" i="31"/>
  <c r="BG39" i="31"/>
  <c r="BF11" i="31"/>
  <c r="BF39" i="31"/>
  <c r="BE11" i="31"/>
  <c r="BE39" i="31"/>
  <c r="BD39" i="31"/>
  <c r="CA38" i="31"/>
  <c r="BZ2" i="31"/>
  <c r="BZ38" i="31"/>
  <c r="BY2" i="31"/>
  <c r="BY38" i="31"/>
  <c r="BX2" i="31"/>
  <c r="BX38" i="31"/>
  <c r="BW2" i="31"/>
  <c r="BW38" i="31"/>
  <c r="BV2" i="31"/>
  <c r="BV38" i="31"/>
  <c r="BU38" i="31"/>
  <c r="BT2" i="31"/>
  <c r="BT38" i="31"/>
  <c r="BS2" i="31"/>
  <c r="BS38" i="31"/>
  <c r="BR2" i="31"/>
  <c r="BR38" i="31"/>
  <c r="BQ2" i="31"/>
  <c r="BQ38" i="31"/>
  <c r="BP2" i="31"/>
  <c r="BP38" i="31"/>
  <c r="BO2" i="31"/>
  <c r="BO38" i="31"/>
  <c r="BN2" i="31"/>
  <c r="BN38" i="31"/>
  <c r="BM2" i="31"/>
  <c r="BM38" i="31"/>
  <c r="BL2" i="31"/>
  <c r="BL38" i="31"/>
  <c r="BK2" i="31"/>
  <c r="BK38" i="31"/>
  <c r="BJ2" i="31"/>
  <c r="BJ38" i="31"/>
  <c r="BI2" i="31"/>
  <c r="BI38" i="31"/>
  <c r="BH2" i="31"/>
  <c r="BH38" i="31"/>
  <c r="BG2" i="31"/>
  <c r="BG38" i="31"/>
  <c r="BF2" i="31"/>
  <c r="BF38" i="31"/>
  <c r="BE2" i="31"/>
  <c r="BE38" i="31"/>
  <c r="BD38" i="31"/>
  <c r="CA37" i="31"/>
  <c r="BZ22" i="31"/>
  <c r="BZ37" i="31"/>
  <c r="BY22" i="31"/>
  <c r="BY37" i="31"/>
  <c r="BX22" i="31"/>
  <c r="BX37" i="31"/>
  <c r="BW22" i="31"/>
  <c r="BW37" i="31"/>
  <c r="BV22" i="31"/>
  <c r="BV37" i="31"/>
  <c r="BT22" i="31"/>
  <c r="BT37" i="31"/>
  <c r="BS22" i="31"/>
  <c r="BS37" i="31"/>
  <c r="BR22" i="31"/>
  <c r="BR37" i="31"/>
  <c r="BQ22" i="31"/>
  <c r="BQ37" i="31"/>
  <c r="BP22" i="31"/>
  <c r="BP37" i="31"/>
  <c r="BO22" i="31"/>
  <c r="BO37" i="31"/>
  <c r="BN22" i="31"/>
  <c r="BN37" i="31"/>
  <c r="BM22" i="31"/>
  <c r="BM37" i="31"/>
  <c r="BL22" i="31"/>
  <c r="BL37" i="31"/>
  <c r="BK22" i="31"/>
  <c r="BK37" i="31"/>
  <c r="BJ22" i="31"/>
  <c r="BJ37" i="31"/>
  <c r="BI22" i="31"/>
  <c r="BI37" i="31"/>
  <c r="BH22" i="31"/>
  <c r="BH37" i="31"/>
  <c r="BG22" i="31"/>
  <c r="BG37" i="31"/>
  <c r="BF22" i="31"/>
  <c r="BF37" i="31"/>
  <c r="BE22" i="31"/>
  <c r="BE37" i="31"/>
  <c r="CB36" i="31"/>
  <c r="CA36" i="31"/>
  <c r="BZ26" i="31"/>
  <c r="BZ36" i="31"/>
  <c r="BY26" i="31"/>
  <c r="BY36" i="31"/>
  <c r="BX26" i="31"/>
  <c r="BX36" i="31"/>
  <c r="BW26" i="31"/>
  <c r="BW36" i="31"/>
  <c r="BV26" i="31"/>
  <c r="BV36" i="31"/>
  <c r="BU36" i="31"/>
  <c r="BT26" i="31"/>
  <c r="BT36" i="31"/>
  <c r="BS26" i="31"/>
  <c r="BS36" i="31"/>
  <c r="BR26" i="31"/>
  <c r="BR36" i="31"/>
  <c r="BQ26" i="31"/>
  <c r="BQ36" i="31"/>
  <c r="BP26" i="31"/>
  <c r="BP36" i="31"/>
  <c r="BO26" i="31"/>
  <c r="BO36" i="31"/>
  <c r="BN26" i="31"/>
  <c r="BN36" i="31"/>
  <c r="BM26" i="31"/>
  <c r="BM36" i="31"/>
  <c r="BL26" i="31"/>
  <c r="BL36" i="31"/>
  <c r="BK26" i="31"/>
  <c r="BK36" i="31"/>
  <c r="BJ26" i="31"/>
  <c r="BJ36" i="31"/>
  <c r="BI26" i="31"/>
  <c r="BI36" i="31"/>
  <c r="BH26" i="31"/>
  <c r="BH36" i="31"/>
  <c r="BG26" i="31"/>
  <c r="BG36" i="31"/>
  <c r="BF26" i="31"/>
  <c r="BF36" i="31"/>
  <c r="BE26" i="31"/>
  <c r="BE36" i="31"/>
  <c r="BZ30" i="31"/>
  <c r="BZ35" i="31"/>
  <c r="BY30" i="31"/>
  <c r="BY35" i="31"/>
  <c r="BX30" i="31"/>
  <c r="BX35" i="31"/>
  <c r="BW30" i="31"/>
  <c r="BW35" i="31"/>
  <c r="BV30" i="31"/>
  <c r="BV35" i="31"/>
  <c r="BT30" i="31"/>
  <c r="BT35" i="31"/>
  <c r="BS30" i="31"/>
  <c r="BS35" i="31"/>
  <c r="BR30" i="31"/>
  <c r="BR35" i="31"/>
  <c r="BQ30" i="31"/>
  <c r="BQ35" i="31"/>
  <c r="BP30" i="31"/>
  <c r="BP35" i="31"/>
  <c r="BO30" i="31"/>
  <c r="BO35" i="31"/>
  <c r="BN30" i="31"/>
  <c r="BN35" i="31"/>
  <c r="BM30" i="31"/>
  <c r="BM35" i="31"/>
  <c r="BL30" i="31"/>
  <c r="BL35" i="31"/>
  <c r="BK30" i="31"/>
  <c r="BK35" i="31"/>
  <c r="BJ30" i="31"/>
  <c r="BJ35" i="31"/>
  <c r="BI30" i="31"/>
  <c r="BI35" i="31"/>
  <c r="BH30" i="31"/>
  <c r="BH35" i="31"/>
  <c r="BG30" i="31"/>
  <c r="BG35" i="31"/>
  <c r="BF30" i="31"/>
  <c r="BF35" i="31"/>
  <c r="BE30" i="31"/>
  <c r="BE35" i="31"/>
  <c r="BD35" i="31"/>
  <c r="CA34" i="31"/>
  <c r="BZ14" i="31"/>
  <c r="BZ34" i="31"/>
  <c r="BY14" i="31"/>
  <c r="BY34" i="31"/>
  <c r="BX14" i="31"/>
  <c r="BX34" i="31"/>
  <c r="BW14" i="31"/>
  <c r="BW34" i="31"/>
  <c r="BV14" i="31"/>
  <c r="BV34" i="31"/>
  <c r="BU34" i="31"/>
  <c r="BT14" i="31"/>
  <c r="BT34" i="31"/>
  <c r="BS14" i="31"/>
  <c r="BS34" i="31"/>
  <c r="BR14" i="31"/>
  <c r="BR34" i="31"/>
  <c r="BQ14" i="31"/>
  <c r="BQ34" i="31"/>
  <c r="BP14" i="31"/>
  <c r="BP34" i="31"/>
  <c r="BO14" i="31"/>
  <c r="BO34" i="31"/>
  <c r="BN14" i="31"/>
  <c r="BN34" i="31"/>
  <c r="BM14" i="31"/>
  <c r="BM34" i="31"/>
  <c r="BL14" i="31"/>
  <c r="BL34" i="31"/>
  <c r="BK14" i="31"/>
  <c r="BK34" i="31"/>
  <c r="BJ14" i="31"/>
  <c r="BJ34" i="31"/>
  <c r="BI14" i="31"/>
  <c r="BI34" i="31"/>
  <c r="BH14" i="31"/>
  <c r="BH34" i="31"/>
  <c r="BG14" i="31"/>
  <c r="BG34" i="31"/>
  <c r="BF14" i="31"/>
  <c r="BF34" i="31"/>
  <c r="BE14" i="31"/>
  <c r="BE34" i="31"/>
  <c r="BD34" i="31"/>
  <c r="CA33" i="31"/>
  <c r="BZ13" i="31"/>
  <c r="BZ33" i="31"/>
  <c r="BY13" i="31"/>
  <c r="BY33" i="31"/>
  <c r="BX13" i="31"/>
  <c r="BX33" i="31"/>
  <c r="BW13" i="31"/>
  <c r="BW33" i="31"/>
  <c r="BV13" i="31"/>
  <c r="BV33" i="31"/>
  <c r="BU33" i="31"/>
  <c r="BT13" i="31"/>
  <c r="BT33" i="31"/>
  <c r="BS13" i="31"/>
  <c r="BS33" i="31"/>
  <c r="BR13" i="31"/>
  <c r="BR33" i="31"/>
  <c r="BQ13" i="31"/>
  <c r="BQ33" i="31"/>
  <c r="BP13" i="31"/>
  <c r="BP33" i="31"/>
  <c r="BO13" i="31"/>
  <c r="BO33" i="31"/>
  <c r="BN13" i="31"/>
  <c r="BN33" i="31"/>
  <c r="BM13" i="31"/>
  <c r="BM33" i="31"/>
  <c r="BL13" i="31"/>
  <c r="BL33" i="31"/>
  <c r="BK13" i="31"/>
  <c r="BK33" i="31"/>
  <c r="BJ13" i="31"/>
  <c r="BJ33" i="31"/>
  <c r="BI13" i="31"/>
  <c r="BI33" i="31"/>
  <c r="BH13" i="31"/>
  <c r="BH33" i="31"/>
  <c r="BG13" i="31"/>
  <c r="BG33" i="31"/>
  <c r="BF13" i="31"/>
  <c r="BF33" i="31"/>
  <c r="BE13" i="31"/>
  <c r="BE33" i="31"/>
  <c r="CB32" i="31"/>
  <c r="BZ3" i="31"/>
  <c r="BZ32" i="31"/>
  <c r="BY3" i="31"/>
  <c r="BY32" i="31"/>
  <c r="BX3" i="31"/>
  <c r="BX32" i="31"/>
  <c r="BW3" i="31"/>
  <c r="BW32" i="31"/>
  <c r="BV3" i="31"/>
  <c r="BV32" i="31"/>
  <c r="BU32" i="31"/>
  <c r="BT3" i="31"/>
  <c r="BT32" i="31"/>
  <c r="BS3" i="31"/>
  <c r="BS32" i="31"/>
  <c r="BR3" i="31"/>
  <c r="BR32" i="31"/>
  <c r="BQ3" i="31"/>
  <c r="BQ32" i="31"/>
  <c r="BP3" i="31"/>
  <c r="BP32" i="31"/>
  <c r="BO3" i="31"/>
  <c r="BO32" i="31"/>
  <c r="BN3" i="31"/>
  <c r="BN32" i="31"/>
  <c r="BM3" i="31"/>
  <c r="BM32" i="31"/>
  <c r="BL3" i="31"/>
  <c r="BL32" i="31"/>
  <c r="BK3" i="31"/>
  <c r="BK32" i="31"/>
  <c r="BJ3" i="31"/>
  <c r="BJ32" i="31"/>
  <c r="BI3" i="31"/>
  <c r="BI32" i="31"/>
  <c r="BH3" i="31"/>
  <c r="BH32" i="31"/>
  <c r="BG3" i="31"/>
  <c r="BG32" i="31"/>
  <c r="BF3" i="31"/>
  <c r="BF32" i="31"/>
  <c r="BE3" i="31"/>
  <c r="BE32" i="31"/>
  <c r="AA76" i="31"/>
  <c r="Z27" i="31"/>
  <c r="Z62" i="31"/>
  <c r="Y27" i="31"/>
  <c r="X27" i="31"/>
  <c r="X62" i="31"/>
  <c r="W27" i="31"/>
  <c r="W62" i="31"/>
  <c r="W76" i="31"/>
  <c r="V27" i="31"/>
  <c r="V76" i="31"/>
  <c r="U76" i="31"/>
  <c r="T27" i="31"/>
  <c r="T76" i="31"/>
  <c r="S27" i="31"/>
  <c r="S76" i="31"/>
  <c r="R27" i="31"/>
  <c r="R76" i="31"/>
  <c r="Q27" i="31"/>
  <c r="Q62" i="31"/>
  <c r="P27" i="31"/>
  <c r="P76" i="31"/>
  <c r="O27" i="31"/>
  <c r="N27" i="31"/>
  <c r="M27" i="31"/>
  <c r="M76" i="31"/>
  <c r="L27" i="31"/>
  <c r="L76" i="31"/>
  <c r="K27" i="31"/>
  <c r="J27" i="31"/>
  <c r="J62" i="31"/>
  <c r="I27" i="31"/>
  <c r="I62" i="31"/>
  <c r="I76" i="31"/>
  <c r="H27" i="31"/>
  <c r="G27" i="31"/>
  <c r="F27" i="31"/>
  <c r="F76" i="31"/>
  <c r="E27" i="31"/>
  <c r="E76" i="31"/>
  <c r="AB75" i="31"/>
  <c r="Z18" i="31"/>
  <c r="Z61" i="31"/>
  <c r="Z75" i="31"/>
  <c r="Y18" i="31"/>
  <c r="Y61" i="31"/>
  <c r="X18" i="31"/>
  <c r="X75" i="31"/>
  <c r="W18" i="31"/>
  <c r="W75" i="31"/>
  <c r="V18" i="31"/>
  <c r="V75" i="31"/>
  <c r="U75" i="31"/>
  <c r="T18" i="31"/>
  <c r="S18" i="31"/>
  <c r="S61" i="31"/>
  <c r="S75" i="31"/>
  <c r="R18" i="31"/>
  <c r="R75" i="31"/>
  <c r="Q18" i="31"/>
  <c r="Q75" i="31"/>
  <c r="P18" i="31"/>
  <c r="O18" i="31"/>
  <c r="O75" i="31"/>
  <c r="N18" i="31"/>
  <c r="N61" i="31"/>
  <c r="M18" i="31"/>
  <c r="M75" i="31"/>
  <c r="L18" i="31"/>
  <c r="K18" i="31"/>
  <c r="K61" i="31"/>
  <c r="J18" i="31"/>
  <c r="J75" i="31"/>
  <c r="I18" i="31"/>
  <c r="I61" i="31"/>
  <c r="I75" i="31"/>
  <c r="H18" i="31"/>
  <c r="G18" i="31"/>
  <c r="F18" i="31"/>
  <c r="F75" i="31"/>
  <c r="E18" i="31"/>
  <c r="E61" i="31"/>
  <c r="D75" i="31"/>
  <c r="Z12" i="31"/>
  <c r="Z60" i="31"/>
  <c r="Z74" i="31"/>
  <c r="Y12" i="31"/>
  <c r="Y74" i="31"/>
  <c r="X12" i="31"/>
  <c r="W12" i="31"/>
  <c r="W74" i="31"/>
  <c r="V12" i="31"/>
  <c r="V74" i="31"/>
  <c r="U74" i="31"/>
  <c r="T12" i="31"/>
  <c r="T60" i="31"/>
  <c r="T74" i="31"/>
  <c r="S12" i="31"/>
  <c r="S74" i="31"/>
  <c r="R12" i="31"/>
  <c r="Q12" i="31"/>
  <c r="Q74" i="31"/>
  <c r="P12" i="31"/>
  <c r="P60" i="31"/>
  <c r="O12" i="31"/>
  <c r="O74" i="31"/>
  <c r="N12" i="31"/>
  <c r="N74" i="31"/>
  <c r="M12" i="31"/>
  <c r="M60" i="31"/>
  <c r="L12" i="31"/>
  <c r="L60" i="31"/>
  <c r="K12" i="31"/>
  <c r="K74" i="31"/>
  <c r="J12" i="31"/>
  <c r="J74" i="31"/>
  <c r="I12" i="31"/>
  <c r="I60" i="31"/>
  <c r="H12" i="31"/>
  <c r="G12" i="31"/>
  <c r="G74" i="31"/>
  <c r="F12" i="31"/>
  <c r="E12" i="31"/>
  <c r="AB73" i="31"/>
  <c r="AA73" i="31"/>
  <c r="Z7" i="31"/>
  <c r="Y7" i="31"/>
  <c r="Y73" i="31"/>
  <c r="X7" i="31"/>
  <c r="X73" i="31"/>
  <c r="W7" i="31"/>
  <c r="W73" i="31"/>
  <c r="V7" i="31"/>
  <c r="T7" i="31"/>
  <c r="T73" i="31"/>
  <c r="S7" i="31"/>
  <c r="S73" i="31"/>
  <c r="R7" i="31"/>
  <c r="R59" i="31"/>
  <c r="Q7" i="31"/>
  <c r="Q59" i="31"/>
  <c r="P7" i="31"/>
  <c r="P73" i="31"/>
  <c r="O7" i="31"/>
  <c r="N7" i="31"/>
  <c r="M7" i="31"/>
  <c r="M73" i="31"/>
  <c r="L7" i="31"/>
  <c r="L59" i="31"/>
  <c r="L73" i="31"/>
  <c r="K7" i="31"/>
  <c r="K73" i="31"/>
  <c r="J7" i="31"/>
  <c r="J59" i="31"/>
  <c r="I7" i="31"/>
  <c r="I73" i="31"/>
  <c r="H7" i="31"/>
  <c r="H73" i="31"/>
  <c r="G7" i="31"/>
  <c r="F7" i="31"/>
  <c r="E7" i="31"/>
  <c r="E59" i="31"/>
  <c r="E73" i="31"/>
  <c r="AB72" i="31"/>
  <c r="AA72" i="31"/>
  <c r="Z16" i="31"/>
  <c r="Z72" i="31"/>
  <c r="Y16" i="31"/>
  <c r="Y72" i="31"/>
  <c r="X16" i="31"/>
  <c r="X72" i="31"/>
  <c r="W16" i="31"/>
  <c r="V16" i="31"/>
  <c r="V72" i="31"/>
  <c r="U72" i="31"/>
  <c r="T16" i="31"/>
  <c r="T72" i="31"/>
  <c r="S16" i="31"/>
  <c r="R16" i="31"/>
  <c r="R72" i="31"/>
  <c r="Q16" i="31"/>
  <c r="P16" i="31"/>
  <c r="P58" i="31"/>
  <c r="O16" i="31"/>
  <c r="O58" i="31"/>
  <c r="O72" i="31"/>
  <c r="N16" i="31"/>
  <c r="M16" i="31"/>
  <c r="L16" i="31"/>
  <c r="K16" i="31"/>
  <c r="K72" i="31"/>
  <c r="J16" i="31"/>
  <c r="J58" i="31"/>
  <c r="I16" i="31"/>
  <c r="H16" i="31"/>
  <c r="H72" i="31"/>
  <c r="G16" i="31"/>
  <c r="G58" i="31"/>
  <c r="F16" i="31"/>
  <c r="F72" i="31"/>
  <c r="E16" i="31"/>
  <c r="D72" i="31"/>
  <c r="Z29" i="31"/>
  <c r="Z57" i="31"/>
  <c r="Z71" i="31"/>
  <c r="Y29" i="31"/>
  <c r="X29" i="31"/>
  <c r="X71" i="31"/>
  <c r="W29" i="31"/>
  <c r="W71" i="31"/>
  <c r="V29" i="31"/>
  <c r="V71" i="31"/>
  <c r="U71" i="31"/>
  <c r="T29" i="31"/>
  <c r="T71" i="31"/>
  <c r="S29" i="31"/>
  <c r="S71" i="31"/>
  <c r="R29" i="31"/>
  <c r="Q29" i="31"/>
  <c r="Q57" i="31"/>
  <c r="Q71" i="31"/>
  <c r="P29" i="31"/>
  <c r="P57" i="31"/>
  <c r="P71" i="31"/>
  <c r="O29" i="31"/>
  <c r="N29" i="31"/>
  <c r="M29" i="31"/>
  <c r="L29" i="31"/>
  <c r="L71" i="31"/>
  <c r="K29" i="31"/>
  <c r="K71" i="31"/>
  <c r="J29" i="31"/>
  <c r="I29" i="31"/>
  <c r="I57" i="31"/>
  <c r="H29" i="31"/>
  <c r="G29" i="31"/>
  <c r="G71" i="31"/>
  <c r="F29" i="31"/>
  <c r="E29" i="31"/>
  <c r="E71" i="31"/>
  <c r="D71" i="31"/>
  <c r="AB70" i="31"/>
  <c r="Z20" i="31"/>
  <c r="Y20" i="31"/>
  <c r="X20" i="31"/>
  <c r="X70" i="31"/>
  <c r="W20" i="31"/>
  <c r="W56" i="31"/>
  <c r="V20" i="31"/>
  <c r="V70" i="31"/>
  <c r="T20" i="31"/>
  <c r="S20" i="31"/>
  <c r="S70" i="31"/>
  <c r="R20" i="31"/>
  <c r="R70" i="31"/>
  <c r="Q20" i="31"/>
  <c r="Q56" i="31"/>
  <c r="P20" i="31"/>
  <c r="O20" i="31"/>
  <c r="O70" i="31"/>
  <c r="N20" i="31"/>
  <c r="M20" i="31"/>
  <c r="M70" i="31"/>
  <c r="L20" i="31"/>
  <c r="K20" i="31"/>
  <c r="K70" i="31"/>
  <c r="J20" i="31"/>
  <c r="I20" i="31"/>
  <c r="I70" i="31"/>
  <c r="H20" i="31"/>
  <c r="G20" i="31"/>
  <c r="G70" i="31"/>
  <c r="F20" i="31"/>
  <c r="F56" i="31"/>
  <c r="E20" i="31"/>
  <c r="E56" i="31"/>
  <c r="E70" i="31"/>
  <c r="D70" i="31"/>
  <c r="AB69" i="31"/>
  <c r="Z24" i="31"/>
  <c r="Z55" i="31"/>
  <c r="Y24" i="31"/>
  <c r="Y69" i="31"/>
  <c r="X24" i="31"/>
  <c r="W24" i="31"/>
  <c r="W55" i="31"/>
  <c r="W69" i="31"/>
  <c r="V24" i="31"/>
  <c r="V55" i="31"/>
  <c r="V69" i="31"/>
  <c r="T24" i="31"/>
  <c r="S24" i="31"/>
  <c r="S55" i="31"/>
  <c r="S69" i="31"/>
  <c r="R24" i="31"/>
  <c r="R55" i="31"/>
  <c r="Q24" i="31"/>
  <c r="Q69" i="31"/>
  <c r="P24" i="31"/>
  <c r="O24" i="31"/>
  <c r="N24" i="31"/>
  <c r="N69" i="31"/>
  <c r="M24" i="31"/>
  <c r="L24" i="31"/>
  <c r="L69" i="31"/>
  <c r="K24" i="31"/>
  <c r="J24" i="31"/>
  <c r="J69" i="31"/>
  <c r="I24" i="31"/>
  <c r="H24" i="31"/>
  <c r="H55" i="31"/>
  <c r="H69" i="31"/>
  <c r="G24" i="31"/>
  <c r="G69" i="31"/>
  <c r="F24" i="31"/>
  <c r="E24" i="31"/>
  <c r="AA68" i="31"/>
  <c r="Z9" i="31"/>
  <c r="Z68" i="31"/>
  <c r="Y9" i="31"/>
  <c r="X9" i="31"/>
  <c r="X54" i="31"/>
  <c r="W9" i="31"/>
  <c r="W54" i="31"/>
  <c r="V9" i="31"/>
  <c r="V68" i="31"/>
  <c r="T9" i="31"/>
  <c r="T54" i="31"/>
  <c r="T68" i="31"/>
  <c r="S9" i="31"/>
  <c r="S68" i="31"/>
  <c r="R9" i="31"/>
  <c r="R68" i="31"/>
  <c r="Q9" i="31"/>
  <c r="Q54" i="31"/>
  <c r="P9" i="31"/>
  <c r="P68" i="31"/>
  <c r="O9" i="31"/>
  <c r="N9" i="31"/>
  <c r="N68" i="31"/>
  <c r="M9" i="31"/>
  <c r="M54" i="31"/>
  <c r="L9" i="31"/>
  <c r="L68" i="31"/>
  <c r="K9" i="31"/>
  <c r="K68" i="31"/>
  <c r="J9" i="31"/>
  <c r="I9" i="31"/>
  <c r="I54" i="31"/>
  <c r="H9" i="31"/>
  <c r="H68" i="31"/>
  <c r="G9" i="31"/>
  <c r="F9" i="31"/>
  <c r="F68" i="31"/>
  <c r="E9" i="31"/>
  <c r="E68" i="31"/>
  <c r="D68" i="31"/>
  <c r="AA67" i="31"/>
  <c r="Z5" i="31"/>
  <c r="Z67" i="31"/>
  <c r="Y5" i="31"/>
  <c r="X5" i="31"/>
  <c r="X53" i="31"/>
  <c r="W5" i="31"/>
  <c r="V5" i="31"/>
  <c r="U67" i="31"/>
  <c r="T5" i="31"/>
  <c r="T67" i="31"/>
  <c r="S5" i="31"/>
  <c r="S53" i="31"/>
  <c r="R5" i="31"/>
  <c r="R53" i="31"/>
  <c r="R67" i="31"/>
  <c r="Q5" i="31"/>
  <c r="Q53" i="31"/>
  <c r="Q67" i="31"/>
  <c r="P5" i="31"/>
  <c r="P67" i="31"/>
  <c r="O5" i="31"/>
  <c r="O67" i="31"/>
  <c r="N5" i="31"/>
  <c r="N67" i="31"/>
  <c r="M5" i="31"/>
  <c r="M53" i="31"/>
  <c r="M67" i="31"/>
  <c r="L5" i="31"/>
  <c r="L67" i="31"/>
  <c r="K5" i="31"/>
  <c r="K53" i="31"/>
  <c r="J5" i="31"/>
  <c r="J67" i="31"/>
  <c r="I5" i="31"/>
  <c r="I67" i="31"/>
  <c r="H5" i="31"/>
  <c r="G5" i="31"/>
  <c r="G53" i="31"/>
  <c r="G67" i="31"/>
  <c r="F5" i="31"/>
  <c r="F67" i="31"/>
  <c r="E5" i="31"/>
  <c r="E67" i="31"/>
  <c r="D67" i="31"/>
  <c r="AB66" i="31"/>
  <c r="Z17" i="31"/>
  <c r="Z66" i="31"/>
  <c r="Y17" i="31"/>
  <c r="Y66" i="31"/>
  <c r="X17" i="31"/>
  <c r="W17" i="31"/>
  <c r="W66" i="31"/>
  <c r="V17" i="31"/>
  <c r="V52" i="31"/>
  <c r="V66" i="31"/>
  <c r="T17" i="31"/>
  <c r="T52" i="31"/>
  <c r="S17" i="31"/>
  <c r="R17" i="31"/>
  <c r="Q17" i="31"/>
  <c r="Q52" i="31"/>
  <c r="P17" i="31"/>
  <c r="P52" i="31"/>
  <c r="O17" i="31"/>
  <c r="O66" i="31"/>
  <c r="N17" i="31"/>
  <c r="M17" i="31"/>
  <c r="M66" i="31"/>
  <c r="L17" i="31"/>
  <c r="L52" i="31"/>
  <c r="K17" i="31"/>
  <c r="K66" i="31"/>
  <c r="J17" i="31"/>
  <c r="J66" i="31"/>
  <c r="I17" i="31"/>
  <c r="H17" i="31"/>
  <c r="H52" i="31"/>
  <c r="H66" i="31"/>
  <c r="G17" i="31"/>
  <c r="G66" i="31"/>
  <c r="F17" i="31"/>
  <c r="F66" i="31"/>
  <c r="E17" i="31"/>
  <c r="E66" i="31"/>
  <c r="D66" i="31"/>
  <c r="Z21" i="31"/>
  <c r="Y21" i="31"/>
  <c r="Y65" i="31"/>
  <c r="X21" i="31"/>
  <c r="W21" i="31"/>
  <c r="W65" i="31"/>
  <c r="V21" i="31"/>
  <c r="T21" i="31"/>
  <c r="T51" i="31"/>
  <c r="S21" i="31"/>
  <c r="S65" i="31"/>
  <c r="R21" i="31"/>
  <c r="R51" i="31"/>
  <c r="Q21" i="31"/>
  <c r="Q51" i="31"/>
  <c r="Q65" i="31"/>
  <c r="P21" i="31"/>
  <c r="P65" i="31"/>
  <c r="O21" i="31"/>
  <c r="N21" i="31"/>
  <c r="N51" i="31"/>
  <c r="M21" i="31"/>
  <c r="M65" i="31"/>
  <c r="L21" i="31"/>
  <c r="K21" i="31"/>
  <c r="J21" i="31"/>
  <c r="J51" i="31"/>
  <c r="J65" i="31"/>
  <c r="I21" i="31"/>
  <c r="I65" i="31"/>
  <c r="H21" i="31"/>
  <c r="H51" i="31"/>
  <c r="H65" i="31"/>
  <c r="G21" i="31"/>
  <c r="F21" i="31"/>
  <c r="F51" i="31"/>
  <c r="E21" i="31"/>
  <c r="E65" i="31"/>
  <c r="AB64" i="31"/>
  <c r="Z25" i="31"/>
  <c r="Y25" i="31"/>
  <c r="Y64" i="31"/>
  <c r="X25" i="31"/>
  <c r="W25" i="31"/>
  <c r="V25" i="31"/>
  <c r="V64" i="31"/>
  <c r="U64" i="31"/>
  <c r="T25" i="31"/>
  <c r="T64" i="31"/>
  <c r="S25" i="31"/>
  <c r="R25" i="31"/>
  <c r="R64" i="31"/>
  <c r="Q25" i="31"/>
  <c r="P25" i="31"/>
  <c r="P64" i="31"/>
  <c r="O25" i="31"/>
  <c r="O50" i="31"/>
  <c r="N25" i="31"/>
  <c r="N50" i="31"/>
  <c r="N64" i="31"/>
  <c r="M25" i="31"/>
  <c r="M64" i="31"/>
  <c r="L25" i="31"/>
  <c r="L64" i="31"/>
  <c r="K25" i="31"/>
  <c r="K50" i="31"/>
  <c r="J25" i="31"/>
  <c r="J64" i="31"/>
  <c r="I25" i="31"/>
  <c r="H25" i="31"/>
  <c r="G25" i="31"/>
  <c r="G50" i="31"/>
  <c r="G64" i="31"/>
  <c r="F25" i="31"/>
  <c r="F64" i="31"/>
  <c r="E25" i="31"/>
  <c r="E64" i="31"/>
  <c r="D64" i="31"/>
  <c r="AB62" i="31"/>
  <c r="AA62" i="31"/>
  <c r="V62" i="31"/>
  <c r="U62" i="31"/>
  <c r="T62" i="31"/>
  <c r="S62" i="31"/>
  <c r="R62" i="31"/>
  <c r="P62" i="31"/>
  <c r="M62" i="31"/>
  <c r="L62" i="31"/>
  <c r="F62" i="31"/>
  <c r="E62" i="31"/>
  <c r="D62" i="31"/>
  <c r="AA61" i="31"/>
  <c r="X61" i="31"/>
  <c r="W61" i="31"/>
  <c r="V61" i="31"/>
  <c r="U61" i="31"/>
  <c r="R61" i="31"/>
  <c r="Q61" i="31"/>
  <c r="O61" i="31"/>
  <c r="M61" i="31"/>
  <c r="J61" i="31"/>
  <c r="F61" i="31"/>
  <c r="D61" i="31"/>
  <c r="AB60" i="31"/>
  <c r="AA60" i="31"/>
  <c r="Y60" i="31"/>
  <c r="W60" i="31"/>
  <c r="V60" i="31"/>
  <c r="S60" i="31"/>
  <c r="Q60" i="31"/>
  <c r="O60" i="31"/>
  <c r="N60" i="31"/>
  <c r="J60" i="31"/>
  <c r="G60" i="31"/>
  <c r="AA59" i="31"/>
  <c r="Y59" i="31"/>
  <c r="X59" i="31"/>
  <c r="W59" i="31"/>
  <c r="T59" i="31"/>
  <c r="S59" i="31"/>
  <c r="P59" i="31"/>
  <c r="M59" i="31"/>
  <c r="K59" i="31"/>
  <c r="I59" i="31"/>
  <c r="H59" i="31"/>
  <c r="AB58" i="31"/>
  <c r="Z58" i="31"/>
  <c r="Y58" i="31"/>
  <c r="V58" i="31"/>
  <c r="T58" i="31"/>
  <c r="R58" i="31"/>
  <c r="K58" i="31"/>
  <c r="H58" i="31"/>
  <c r="F58" i="31"/>
  <c r="D58" i="31"/>
  <c r="X57" i="31"/>
  <c r="W57" i="31"/>
  <c r="V57" i="31"/>
  <c r="U57" i="31"/>
  <c r="S57" i="31"/>
  <c r="L57" i="31"/>
  <c r="K57" i="31"/>
  <c r="G57" i="31"/>
  <c r="E57" i="31"/>
  <c r="D57" i="31"/>
  <c r="X56" i="31"/>
  <c r="V56" i="31"/>
  <c r="R56" i="31"/>
  <c r="O56" i="31"/>
  <c r="M56" i="31"/>
  <c r="K56" i="31"/>
  <c r="I56" i="31"/>
  <c r="G56" i="31"/>
  <c r="D56" i="31"/>
  <c r="AB55" i="31"/>
  <c r="Y55" i="31"/>
  <c r="Q55" i="31"/>
  <c r="N55" i="31"/>
  <c r="J55" i="31"/>
  <c r="G55" i="31"/>
  <c r="AA54" i="31"/>
  <c r="Z54" i="31"/>
  <c r="V54" i="31"/>
  <c r="U54" i="31"/>
  <c r="S54" i="31"/>
  <c r="R54" i="31"/>
  <c r="P54" i="31"/>
  <c r="N54" i="31"/>
  <c r="L54" i="31"/>
  <c r="K54" i="31"/>
  <c r="H54" i="31"/>
  <c r="F54" i="31"/>
  <c r="E54" i="31"/>
  <c r="D54" i="31"/>
  <c r="AA53" i="31"/>
  <c r="Z53" i="31"/>
  <c r="U53" i="31"/>
  <c r="T53" i="31"/>
  <c r="P53" i="31"/>
  <c r="O53" i="31"/>
  <c r="N53" i="31"/>
  <c r="J53" i="31"/>
  <c r="I53" i="31"/>
  <c r="F53" i="31"/>
  <c r="E53" i="31"/>
  <c r="AA52" i="31"/>
  <c r="W52" i="31"/>
  <c r="O52" i="31"/>
  <c r="M52" i="31"/>
  <c r="K52" i="31"/>
  <c r="J52" i="31"/>
  <c r="G52" i="31"/>
  <c r="E52" i="31"/>
  <c r="D52" i="31"/>
  <c r="AB51" i="31"/>
  <c r="Y51" i="31"/>
  <c r="W51" i="31"/>
  <c r="U51" i="31"/>
  <c r="S51" i="31"/>
  <c r="P51" i="31"/>
  <c r="M51" i="31"/>
  <c r="I51" i="31"/>
  <c r="D51" i="31"/>
  <c r="AB50" i="31"/>
  <c r="Y50" i="31"/>
  <c r="V50" i="31"/>
  <c r="U50" i="31"/>
  <c r="T50" i="31"/>
  <c r="R50" i="31"/>
  <c r="P50" i="31"/>
  <c r="M50" i="31"/>
  <c r="L50" i="31"/>
  <c r="J50" i="31"/>
  <c r="F50" i="31"/>
  <c r="AB49" i="31"/>
  <c r="AA49" i="31"/>
  <c r="Z23" i="31"/>
  <c r="Z49" i="31"/>
  <c r="Y23" i="31"/>
  <c r="Y49" i="31"/>
  <c r="X23" i="31"/>
  <c r="X49" i="31"/>
  <c r="W23" i="31"/>
  <c r="W49" i="31"/>
  <c r="V23" i="31"/>
  <c r="V49" i="31"/>
  <c r="U49" i="31"/>
  <c r="T23" i="31"/>
  <c r="T49" i="31"/>
  <c r="S23" i="31"/>
  <c r="S49" i="31"/>
  <c r="R23" i="31"/>
  <c r="R49" i="31"/>
  <c r="Q23" i="31"/>
  <c r="Q49" i="31"/>
  <c r="P23" i="31"/>
  <c r="P49" i="31"/>
  <c r="O23" i="31"/>
  <c r="O49" i="31"/>
  <c r="N23" i="31"/>
  <c r="N49" i="31"/>
  <c r="M23" i="31"/>
  <c r="M49" i="31"/>
  <c r="L23" i="31"/>
  <c r="L49" i="31"/>
  <c r="K23" i="31"/>
  <c r="K49" i="31"/>
  <c r="J23" i="31"/>
  <c r="J49" i="31"/>
  <c r="I23" i="31"/>
  <c r="I49" i="31"/>
  <c r="H23" i="31"/>
  <c r="H49" i="31"/>
  <c r="G23" i="31"/>
  <c r="G49" i="31"/>
  <c r="F23" i="31"/>
  <c r="F49" i="31"/>
  <c r="E23" i="31"/>
  <c r="E49" i="31"/>
  <c r="D49" i="31"/>
  <c r="AB47" i="31"/>
  <c r="Z6" i="31"/>
  <c r="Z47" i="31"/>
  <c r="Y6" i="31"/>
  <c r="Y47" i="31"/>
  <c r="X6" i="31"/>
  <c r="X47" i="31"/>
  <c r="W6" i="31"/>
  <c r="W47" i="31"/>
  <c r="V6" i="31"/>
  <c r="V47" i="31"/>
  <c r="T6" i="31"/>
  <c r="T47" i="31"/>
  <c r="S6" i="31"/>
  <c r="S47" i="31"/>
  <c r="R6" i="31"/>
  <c r="R47" i="31"/>
  <c r="Q6" i="31"/>
  <c r="Q47" i="31"/>
  <c r="P6" i="31"/>
  <c r="P47" i="31"/>
  <c r="O6" i="31"/>
  <c r="O47" i="31"/>
  <c r="N6" i="31"/>
  <c r="N47" i="31"/>
  <c r="M6" i="31"/>
  <c r="M47" i="31"/>
  <c r="L6" i="31"/>
  <c r="L47" i="31"/>
  <c r="K6" i="31"/>
  <c r="K47" i="31"/>
  <c r="J6" i="31"/>
  <c r="J47" i="31"/>
  <c r="I6" i="31"/>
  <c r="I47" i="31"/>
  <c r="H6" i="31"/>
  <c r="H47" i="31"/>
  <c r="G6" i="31"/>
  <c r="G47" i="31"/>
  <c r="F6" i="31"/>
  <c r="F47" i="31"/>
  <c r="E6" i="31"/>
  <c r="E47" i="31"/>
  <c r="AB46" i="31"/>
  <c r="Z10" i="31"/>
  <c r="Z46" i="31"/>
  <c r="Y10" i="31"/>
  <c r="Y46" i="31"/>
  <c r="X10" i="31"/>
  <c r="X46" i="31"/>
  <c r="W10" i="31"/>
  <c r="W46" i="31"/>
  <c r="V10" i="31"/>
  <c r="V46" i="31"/>
  <c r="V45" i="31"/>
  <c r="U46" i="31"/>
  <c r="T10" i="31"/>
  <c r="T46" i="31"/>
  <c r="S10" i="31"/>
  <c r="S46" i="31"/>
  <c r="R10" i="31"/>
  <c r="R46" i="31"/>
  <c r="Q10" i="31"/>
  <c r="Q46" i="31"/>
  <c r="P10" i="31"/>
  <c r="P46" i="31"/>
  <c r="O10" i="31"/>
  <c r="O46" i="31"/>
  <c r="N10" i="31"/>
  <c r="N46" i="31"/>
  <c r="M10" i="31"/>
  <c r="M46" i="31"/>
  <c r="L10" i="31"/>
  <c r="L46" i="31"/>
  <c r="K10" i="31"/>
  <c r="K46" i="31"/>
  <c r="J10" i="31"/>
  <c r="J46" i="31"/>
  <c r="I10" i="31"/>
  <c r="I46" i="31"/>
  <c r="H10" i="31"/>
  <c r="H46" i="31"/>
  <c r="G10" i="31"/>
  <c r="G46" i="31"/>
  <c r="F10" i="31"/>
  <c r="F46" i="31"/>
  <c r="E10" i="31"/>
  <c r="E46" i="31"/>
  <c r="D46" i="31"/>
  <c r="AB45" i="31"/>
  <c r="T45" i="31"/>
  <c r="G45" i="31"/>
  <c r="AA44" i="31"/>
  <c r="Z15" i="31"/>
  <c r="Z44" i="31"/>
  <c r="Y15" i="31"/>
  <c r="Y44" i="31"/>
  <c r="X15" i="31"/>
  <c r="X44" i="31"/>
  <c r="W15" i="31"/>
  <c r="W44" i="31"/>
  <c r="V15" i="31"/>
  <c r="V44" i="31"/>
  <c r="T15" i="31"/>
  <c r="T44" i="31"/>
  <c r="S15" i="31"/>
  <c r="S44" i="31"/>
  <c r="R15" i="31"/>
  <c r="R44" i="31"/>
  <c r="Q15" i="31"/>
  <c r="Q44" i="31"/>
  <c r="P15" i="31"/>
  <c r="P44" i="31"/>
  <c r="O15" i="31"/>
  <c r="O44" i="31"/>
  <c r="N15" i="31"/>
  <c r="N44" i="31"/>
  <c r="M15" i="31"/>
  <c r="M44" i="31"/>
  <c r="L15" i="31"/>
  <c r="L44" i="31"/>
  <c r="K15" i="31"/>
  <c r="K44" i="31"/>
  <c r="J15" i="31"/>
  <c r="J44" i="31"/>
  <c r="I15" i="31"/>
  <c r="I44" i="31"/>
  <c r="H15" i="31"/>
  <c r="H44" i="31"/>
  <c r="G15" i="31"/>
  <c r="G44" i="31"/>
  <c r="F15" i="31"/>
  <c r="F44" i="31"/>
  <c r="E15" i="31"/>
  <c r="E44" i="31"/>
  <c r="D44" i="31"/>
  <c r="AB43" i="31"/>
  <c r="Z28" i="31"/>
  <c r="Z43" i="31"/>
  <c r="Y28" i="31"/>
  <c r="Y43" i="31"/>
  <c r="X28" i="31"/>
  <c r="X43" i="31"/>
  <c r="W28" i="31"/>
  <c r="W43" i="31"/>
  <c r="V28" i="31"/>
  <c r="V43" i="31"/>
  <c r="U43" i="31"/>
  <c r="T28" i="31"/>
  <c r="T43" i="31"/>
  <c r="S28" i="31"/>
  <c r="S43" i="31"/>
  <c r="R28" i="31"/>
  <c r="R43" i="31"/>
  <c r="Q28" i="31"/>
  <c r="Q43" i="31"/>
  <c r="P28" i="31"/>
  <c r="P43" i="31"/>
  <c r="O28" i="31"/>
  <c r="O43" i="31"/>
  <c r="N28" i="31"/>
  <c r="N43" i="31"/>
  <c r="M28" i="31"/>
  <c r="M43" i="31"/>
  <c r="L28" i="31"/>
  <c r="L43" i="31"/>
  <c r="K28" i="31"/>
  <c r="K43" i="31"/>
  <c r="J28" i="31"/>
  <c r="J43" i="31"/>
  <c r="I28" i="31"/>
  <c r="I43" i="31"/>
  <c r="H28" i="31"/>
  <c r="H43" i="31"/>
  <c r="G28" i="31"/>
  <c r="G43" i="31"/>
  <c r="F28" i="31"/>
  <c r="F43" i="31"/>
  <c r="E28" i="31"/>
  <c r="E43" i="31"/>
  <c r="D43" i="31"/>
  <c r="AB42" i="31"/>
  <c r="AA42" i="31"/>
  <c r="Z19" i="31"/>
  <c r="Z42" i="31"/>
  <c r="Y19" i="31"/>
  <c r="Y42" i="31"/>
  <c r="X19" i="31"/>
  <c r="X42" i="31"/>
  <c r="W19" i="31"/>
  <c r="W42" i="31"/>
  <c r="V19" i="31"/>
  <c r="V42" i="31"/>
  <c r="U42" i="31"/>
  <c r="T19" i="31"/>
  <c r="T42" i="31"/>
  <c r="S19" i="31"/>
  <c r="S42" i="31"/>
  <c r="R19" i="31"/>
  <c r="R42" i="31"/>
  <c r="Q19" i="31"/>
  <c r="Q42" i="31"/>
  <c r="P19" i="31"/>
  <c r="P42" i="31"/>
  <c r="O19" i="31"/>
  <c r="O42" i="31"/>
  <c r="N19" i="31"/>
  <c r="N42" i="31"/>
  <c r="M19" i="31"/>
  <c r="M42" i="31"/>
  <c r="L19" i="31"/>
  <c r="L42" i="31"/>
  <c r="K19" i="31"/>
  <c r="K42" i="31"/>
  <c r="J19" i="31"/>
  <c r="J42" i="31"/>
  <c r="I19" i="31"/>
  <c r="I42" i="31"/>
  <c r="H19" i="31"/>
  <c r="H42" i="31"/>
  <c r="G19" i="31"/>
  <c r="G42" i="31"/>
  <c r="F19" i="31"/>
  <c r="F42" i="31"/>
  <c r="E19" i="31"/>
  <c r="E42" i="31"/>
  <c r="D42" i="31"/>
  <c r="Z8" i="31"/>
  <c r="Z41" i="31"/>
  <c r="Y8" i="31"/>
  <c r="Y41" i="31"/>
  <c r="X8" i="31"/>
  <c r="X41" i="31"/>
  <c r="W8" i="31"/>
  <c r="W41" i="31"/>
  <c r="V8" i="31"/>
  <c r="V41" i="31"/>
  <c r="U41" i="31"/>
  <c r="T8" i="31"/>
  <c r="T41" i="31"/>
  <c r="S8" i="31"/>
  <c r="S41" i="31"/>
  <c r="R8" i="31"/>
  <c r="R41" i="31"/>
  <c r="Q8" i="31"/>
  <c r="Q41" i="31"/>
  <c r="P8" i="31"/>
  <c r="P41" i="31"/>
  <c r="O8" i="31"/>
  <c r="O41" i="31"/>
  <c r="N8" i="31"/>
  <c r="N41" i="31"/>
  <c r="M8" i="31"/>
  <c r="M41" i="31"/>
  <c r="L8" i="31"/>
  <c r="L41" i="31"/>
  <c r="K8" i="31"/>
  <c r="K41" i="31"/>
  <c r="J8" i="31"/>
  <c r="J41" i="31"/>
  <c r="I8" i="31"/>
  <c r="I41" i="31"/>
  <c r="H8" i="31"/>
  <c r="H41" i="31"/>
  <c r="G8" i="31"/>
  <c r="G41" i="31"/>
  <c r="F8" i="31"/>
  <c r="F41" i="31"/>
  <c r="E8" i="31"/>
  <c r="E41" i="31"/>
  <c r="D41" i="31"/>
  <c r="AB40" i="31"/>
  <c r="Z4" i="31"/>
  <c r="Z40" i="31"/>
  <c r="Y4" i="31"/>
  <c r="Y40" i="31"/>
  <c r="X4" i="31"/>
  <c r="X40" i="31"/>
  <c r="W4" i="31"/>
  <c r="W40" i="31"/>
  <c r="V4" i="31"/>
  <c r="V40" i="31"/>
  <c r="T4" i="31"/>
  <c r="T40" i="31"/>
  <c r="S4" i="31"/>
  <c r="S40" i="31"/>
  <c r="R4" i="31"/>
  <c r="R40" i="31"/>
  <c r="Q4" i="31"/>
  <c r="Q40" i="31"/>
  <c r="P4" i="31"/>
  <c r="P40" i="31"/>
  <c r="O4" i="31"/>
  <c r="O40" i="31"/>
  <c r="N4" i="31"/>
  <c r="N40" i="31"/>
  <c r="M4" i="31"/>
  <c r="M40" i="31"/>
  <c r="L4" i="31"/>
  <c r="L40" i="31"/>
  <c r="K4" i="31"/>
  <c r="K40" i="31"/>
  <c r="J4" i="31"/>
  <c r="J40" i="31"/>
  <c r="I4" i="31"/>
  <c r="I40" i="31"/>
  <c r="H4" i="31"/>
  <c r="H40" i="31"/>
  <c r="G4" i="31"/>
  <c r="G40" i="31"/>
  <c r="F4" i="31"/>
  <c r="F40" i="31"/>
  <c r="E4" i="31"/>
  <c r="E40" i="31"/>
  <c r="D40" i="31"/>
  <c r="AA39" i="31"/>
  <c r="Z11" i="31"/>
  <c r="Z39" i="31"/>
  <c r="Y11" i="31"/>
  <c r="Y39" i="31"/>
  <c r="X11" i="31"/>
  <c r="X39" i="31"/>
  <c r="W11" i="31"/>
  <c r="W39" i="31"/>
  <c r="V11" i="31"/>
  <c r="V39" i="31"/>
  <c r="U39" i="31"/>
  <c r="T11" i="31"/>
  <c r="T39" i="31"/>
  <c r="S11" i="31"/>
  <c r="S39" i="31"/>
  <c r="R11" i="31"/>
  <c r="R39" i="31"/>
  <c r="Q11" i="31"/>
  <c r="Q39" i="31"/>
  <c r="P11" i="31"/>
  <c r="P39" i="31"/>
  <c r="O11" i="31"/>
  <c r="O39" i="31"/>
  <c r="N11" i="31"/>
  <c r="N39" i="31"/>
  <c r="M11" i="31"/>
  <c r="M39" i="31"/>
  <c r="L11" i="31"/>
  <c r="L39" i="31"/>
  <c r="K11" i="31"/>
  <c r="K39" i="31"/>
  <c r="J11" i="31"/>
  <c r="J39" i="31"/>
  <c r="I11" i="31"/>
  <c r="I39" i="31"/>
  <c r="H11" i="31"/>
  <c r="H39" i="31"/>
  <c r="G11" i="31"/>
  <c r="G39" i="31"/>
  <c r="F11" i="31"/>
  <c r="F39" i="31"/>
  <c r="E11" i="31"/>
  <c r="E39" i="31"/>
  <c r="AB38" i="31"/>
  <c r="AA38" i="31"/>
  <c r="Z2" i="31"/>
  <c r="Z38" i="31"/>
  <c r="Y2" i="31"/>
  <c r="Y38" i="31"/>
  <c r="X2" i="31"/>
  <c r="X38" i="31"/>
  <c r="W2" i="31"/>
  <c r="W38" i="31"/>
  <c r="V2" i="31"/>
  <c r="V38" i="31"/>
  <c r="U38" i="31"/>
  <c r="T2" i="31"/>
  <c r="T38" i="31"/>
  <c r="S2" i="31"/>
  <c r="S38" i="31"/>
  <c r="R2" i="31"/>
  <c r="R38" i="31"/>
  <c r="Q2" i="31"/>
  <c r="Q38" i="31"/>
  <c r="P2" i="31"/>
  <c r="P38" i="31"/>
  <c r="O2" i="31"/>
  <c r="O38" i="31"/>
  <c r="N2" i="31"/>
  <c r="N38" i="31"/>
  <c r="M2" i="31"/>
  <c r="M38" i="31"/>
  <c r="L2" i="31"/>
  <c r="L38" i="31"/>
  <c r="K2" i="31"/>
  <c r="K38" i="31"/>
  <c r="J2" i="31"/>
  <c r="J38" i="31"/>
  <c r="I2" i="31"/>
  <c r="I38" i="31"/>
  <c r="H2" i="31"/>
  <c r="H38" i="31"/>
  <c r="G2" i="31"/>
  <c r="G38" i="31"/>
  <c r="F2" i="31"/>
  <c r="F38" i="31"/>
  <c r="E2" i="31"/>
  <c r="E38" i="31"/>
  <c r="AB37" i="31"/>
  <c r="AA37" i="31"/>
  <c r="Z22" i="31"/>
  <c r="Z37" i="31"/>
  <c r="Y22" i="31"/>
  <c r="Y37" i="31"/>
  <c r="X22" i="31"/>
  <c r="X37" i="31"/>
  <c r="W22" i="31"/>
  <c r="W37" i="31"/>
  <c r="V22" i="31"/>
  <c r="V37" i="31"/>
  <c r="U37" i="31"/>
  <c r="T22" i="31"/>
  <c r="T37" i="31"/>
  <c r="S22" i="31"/>
  <c r="S37" i="31"/>
  <c r="R22" i="31"/>
  <c r="R37" i="31"/>
  <c r="Q22" i="31"/>
  <c r="Q37" i="31"/>
  <c r="P22" i="31"/>
  <c r="P37" i="31"/>
  <c r="O22" i="31"/>
  <c r="O37" i="31"/>
  <c r="N22" i="31"/>
  <c r="N37" i="31"/>
  <c r="M22" i="31"/>
  <c r="M37" i="31"/>
  <c r="L22" i="31"/>
  <c r="L37" i="31"/>
  <c r="K22" i="31"/>
  <c r="K37" i="31"/>
  <c r="J22" i="31"/>
  <c r="J37" i="31"/>
  <c r="I22" i="31"/>
  <c r="I37" i="31"/>
  <c r="H22" i="31"/>
  <c r="H37" i="31"/>
  <c r="G22" i="31"/>
  <c r="G37" i="31"/>
  <c r="F22" i="31"/>
  <c r="F37" i="31"/>
  <c r="E22" i="31"/>
  <c r="E37" i="31"/>
  <c r="AA36" i="31"/>
  <c r="Z26" i="31"/>
  <c r="Z36" i="31"/>
  <c r="Y26" i="31"/>
  <c r="Y36" i="31"/>
  <c r="X26" i="31"/>
  <c r="X36" i="31"/>
  <c r="W26" i="31"/>
  <c r="W36" i="31"/>
  <c r="V26" i="31"/>
  <c r="V36" i="31"/>
  <c r="U36" i="31"/>
  <c r="T26" i="31"/>
  <c r="T36" i="31"/>
  <c r="S26" i="31"/>
  <c r="S36" i="31"/>
  <c r="R26" i="31"/>
  <c r="R36" i="31"/>
  <c r="Q26" i="31"/>
  <c r="Q36" i="31"/>
  <c r="P26" i="31"/>
  <c r="P36" i="31"/>
  <c r="O26" i="31"/>
  <c r="O36" i="31"/>
  <c r="N26" i="31"/>
  <c r="N36" i="31"/>
  <c r="M26" i="31"/>
  <c r="M36" i="31"/>
  <c r="L26" i="31"/>
  <c r="L36" i="31"/>
  <c r="K26" i="31"/>
  <c r="K36" i="31"/>
  <c r="J26" i="31"/>
  <c r="J36" i="31"/>
  <c r="I26" i="31"/>
  <c r="I36" i="31"/>
  <c r="H26" i="31"/>
  <c r="H36" i="31"/>
  <c r="G26" i="31"/>
  <c r="G36" i="31"/>
  <c r="F26" i="31"/>
  <c r="F36" i="31"/>
  <c r="E26" i="31"/>
  <c r="E36" i="31"/>
  <c r="D36" i="31"/>
  <c r="C36" i="31"/>
  <c r="AB35" i="31"/>
  <c r="AA35" i="31"/>
  <c r="Z30" i="31"/>
  <c r="Z35" i="31"/>
  <c r="Y30" i="31"/>
  <c r="Y35" i="31"/>
  <c r="X30" i="31"/>
  <c r="X35" i="31"/>
  <c r="W30" i="31"/>
  <c r="W35" i="31"/>
  <c r="V30" i="31"/>
  <c r="V35" i="31"/>
  <c r="T30" i="31"/>
  <c r="T35" i="31"/>
  <c r="S30" i="31"/>
  <c r="S35" i="31"/>
  <c r="R30" i="31"/>
  <c r="R35" i="31"/>
  <c r="Q30" i="31"/>
  <c r="Q35" i="31"/>
  <c r="P30" i="31"/>
  <c r="P35" i="31"/>
  <c r="O30" i="31"/>
  <c r="O35" i="31"/>
  <c r="N30" i="31"/>
  <c r="N35" i="31"/>
  <c r="M30" i="31"/>
  <c r="M35" i="31"/>
  <c r="L30" i="31"/>
  <c r="L35" i="31"/>
  <c r="K30" i="31"/>
  <c r="K35" i="31"/>
  <c r="J30" i="31"/>
  <c r="J35" i="31"/>
  <c r="I30" i="31"/>
  <c r="I35" i="31"/>
  <c r="H30" i="31"/>
  <c r="H35" i="31"/>
  <c r="G30" i="31"/>
  <c r="G35" i="31"/>
  <c r="F30" i="31"/>
  <c r="F35" i="31"/>
  <c r="E30" i="31"/>
  <c r="E35" i="31"/>
  <c r="D35" i="31"/>
  <c r="AB34" i="31"/>
  <c r="AA34" i="31"/>
  <c r="Z14" i="31"/>
  <c r="Z34" i="31"/>
  <c r="Y14" i="31"/>
  <c r="Y34" i="31"/>
  <c r="X14" i="31"/>
  <c r="X34" i="31"/>
  <c r="W14" i="31"/>
  <c r="W34" i="31"/>
  <c r="V14" i="31"/>
  <c r="V34" i="31"/>
  <c r="U34" i="31"/>
  <c r="T14" i="31"/>
  <c r="T34" i="31"/>
  <c r="S14" i="31"/>
  <c r="S34" i="31"/>
  <c r="R14" i="31"/>
  <c r="R34" i="31"/>
  <c r="Q14" i="31"/>
  <c r="Q34" i="31"/>
  <c r="P14" i="31"/>
  <c r="P34" i="31"/>
  <c r="O14" i="31"/>
  <c r="O34" i="31"/>
  <c r="N14" i="31"/>
  <c r="N34" i="31"/>
  <c r="M14" i="31"/>
  <c r="M34" i="31"/>
  <c r="L14" i="31"/>
  <c r="L34" i="31"/>
  <c r="K14" i="31"/>
  <c r="K34" i="31"/>
  <c r="J14" i="31"/>
  <c r="J34" i="31"/>
  <c r="I14" i="31"/>
  <c r="I34" i="31"/>
  <c r="H14" i="31"/>
  <c r="H34" i="31"/>
  <c r="G14" i="31"/>
  <c r="G34" i="31"/>
  <c r="F14" i="31"/>
  <c r="F34" i="31"/>
  <c r="E14" i="31"/>
  <c r="E34" i="31"/>
  <c r="AA33" i="31"/>
  <c r="Z13" i="31"/>
  <c r="Z33" i="31"/>
  <c r="Y13" i="31"/>
  <c r="Y33" i="31"/>
  <c r="X13" i="31"/>
  <c r="X33" i="31"/>
  <c r="W13" i="31"/>
  <c r="W33" i="31"/>
  <c r="V13" i="31"/>
  <c r="V33" i="31"/>
  <c r="U33" i="31"/>
  <c r="T13" i="31"/>
  <c r="T33" i="31"/>
  <c r="S13" i="31"/>
  <c r="S33" i="31"/>
  <c r="R13" i="31"/>
  <c r="R33" i="31"/>
  <c r="Q13" i="31"/>
  <c r="Q33" i="31"/>
  <c r="P13" i="31"/>
  <c r="P33" i="31"/>
  <c r="O13" i="31"/>
  <c r="O33" i="31"/>
  <c r="N13" i="31"/>
  <c r="N33" i="31"/>
  <c r="M13" i="31"/>
  <c r="M33" i="31"/>
  <c r="L13" i="31"/>
  <c r="L33" i="31"/>
  <c r="K13" i="31"/>
  <c r="K33" i="31"/>
  <c r="J13" i="31"/>
  <c r="J33" i="31"/>
  <c r="I13" i="31"/>
  <c r="I33" i="31"/>
  <c r="H13" i="31"/>
  <c r="H33" i="31"/>
  <c r="G13" i="31"/>
  <c r="G33" i="31"/>
  <c r="F13" i="31"/>
  <c r="F33" i="31"/>
  <c r="E13" i="31"/>
  <c r="E33" i="31"/>
  <c r="D33" i="31"/>
  <c r="AA32" i="31"/>
  <c r="Z3" i="31"/>
  <c r="Z32" i="31"/>
  <c r="Y3" i="31"/>
  <c r="Y32" i="31"/>
  <c r="X3" i="31"/>
  <c r="X32" i="31"/>
  <c r="W3" i="31"/>
  <c r="W32" i="31"/>
  <c r="V3" i="31"/>
  <c r="V32" i="31"/>
  <c r="T3" i="31"/>
  <c r="T32" i="31"/>
  <c r="S3" i="31"/>
  <c r="S32" i="31"/>
  <c r="R3" i="31"/>
  <c r="R32" i="31"/>
  <c r="Q3" i="31"/>
  <c r="Q32" i="31"/>
  <c r="P3" i="31"/>
  <c r="P32" i="31"/>
  <c r="O3" i="31"/>
  <c r="O32" i="31"/>
  <c r="N3" i="31"/>
  <c r="N32" i="31"/>
  <c r="M3" i="31"/>
  <c r="M32" i="31"/>
  <c r="L3" i="31"/>
  <c r="L32" i="31"/>
  <c r="K3" i="31"/>
  <c r="K32" i="31"/>
  <c r="J3" i="31"/>
  <c r="J32" i="31"/>
  <c r="I3" i="31"/>
  <c r="I32" i="31"/>
  <c r="H3" i="31"/>
  <c r="H32" i="31"/>
  <c r="G3" i="31"/>
  <c r="G32" i="31"/>
  <c r="F3" i="31"/>
  <c r="F32" i="31"/>
  <c r="E3" i="31"/>
  <c r="E32" i="31"/>
  <c r="D32" i="31"/>
  <c r="CB76" i="30"/>
  <c r="BZ27" i="30"/>
  <c r="BZ76" i="30"/>
  <c r="BY27" i="30"/>
  <c r="BY76" i="30"/>
  <c r="BX27" i="30"/>
  <c r="BX76" i="30"/>
  <c r="BW27" i="30"/>
  <c r="BW62" i="30"/>
  <c r="BW76" i="30"/>
  <c r="BV27" i="30"/>
  <c r="BV76" i="30"/>
  <c r="BU76" i="30"/>
  <c r="BT27" i="30"/>
  <c r="BS27" i="30"/>
  <c r="BS62" i="30"/>
  <c r="BS76" i="30"/>
  <c r="BR27" i="30"/>
  <c r="BQ27" i="30"/>
  <c r="BQ76" i="30"/>
  <c r="BP27" i="30"/>
  <c r="BP76" i="30"/>
  <c r="BO27" i="30"/>
  <c r="BN27" i="30"/>
  <c r="BM27" i="30"/>
  <c r="BM76" i="30"/>
  <c r="BL27" i="30"/>
  <c r="BL76" i="30"/>
  <c r="BK27" i="30"/>
  <c r="BK76" i="30"/>
  <c r="BJ27" i="30"/>
  <c r="BI27" i="30"/>
  <c r="BI76" i="30"/>
  <c r="BH27" i="30"/>
  <c r="BH76" i="30"/>
  <c r="BG27" i="30"/>
  <c r="BG76" i="30"/>
  <c r="BF27" i="30"/>
  <c r="BE27" i="30"/>
  <c r="BE62" i="30"/>
  <c r="BE76" i="30"/>
  <c r="CB75" i="30"/>
  <c r="CA75" i="30"/>
  <c r="BZ18" i="30"/>
  <c r="BZ75" i="30"/>
  <c r="BY18" i="30"/>
  <c r="BY61" i="30"/>
  <c r="BY75" i="30"/>
  <c r="BX18" i="30"/>
  <c r="BW18" i="30"/>
  <c r="BW75" i="30"/>
  <c r="BV18" i="30"/>
  <c r="BU75" i="30"/>
  <c r="BT18" i="30"/>
  <c r="BT61" i="30"/>
  <c r="BT75" i="30"/>
  <c r="BS18" i="30"/>
  <c r="BS75" i="30"/>
  <c r="BR18" i="30"/>
  <c r="BR75" i="30"/>
  <c r="BQ18" i="30"/>
  <c r="BQ75" i="30"/>
  <c r="BP18" i="30"/>
  <c r="BP61" i="30"/>
  <c r="BO18" i="30"/>
  <c r="BO75" i="30"/>
  <c r="BN18" i="30"/>
  <c r="BN75" i="30"/>
  <c r="BM18" i="30"/>
  <c r="BL18" i="30"/>
  <c r="BK18" i="30"/>
  <c r="BK75" i="30"/>
  <c r="BJ18" i="30"/>
  <c r="BJ75" i="30"/>
  <c r="BI18" i="30"/>
  <c r="BI61" i="30"/>
  <c r="BH18" i="30"/>
  <c r="BG18" i="30"/>
  <c r="BG75" i="30"/>
  <c r="BF18" i="30"/>
  <c r="BF61" i="30"/>
  <c r="BE18" i="30"/>
  <c r="BE75" i="30"/>
  <c r="BD75" i="30"/>
  <c r="CB74" i="30"/>
  <c r="BZ12" i="30"/>
  <c r="BZ60" i="30"/>
  <c r="BZ74" i="30"/>
  <c r="BY12" i="30"/>
  <c r="BY74" i="30"/>
  <c r="BX12" i="30"/>
  <c r="BX74" i="30"/>
  <c r="BW12" i="30"/>
  <c r="BW60" i="30"/>
  <c r="BW74" i="30"/>
  <c r="BV12" i="30"/>
  <c r="BV60" i="30"/>
  <c r="BV74" i="30"/>
  <c r="BT12" i="30"/>
  <c r="BT74" i="30"/>
  <c r="BS12" i="30"/>
  <c r="BR12" i="30"/>
  <c r="BR60" i="30"/>
  <c r="BR74" i="30"/>
  <c r="BQ12" i="30"/>
  <c r="BQ74" i="30"/>
  <c r="BP12" i="30"/>
  <c r="BP60" i="30"/>
  <c r="BP74" i="30"/>
  <c r="BO12" i="30"/>
  <c r="BN12" i="30"/>
  <c r="BN74" i="30"/>
  <c r="BM12" i="30"/>
  <c r="BM74" i="30"/>
  <c r="BL12" i="30"/>
  <c r="BK12" i="30"/>
  <c r="BJ12" i="30"/>
  <c r="BJ74" i="30"/>
  <c r="BI12" i="30"/>
  <c r="BH12" i="30"/>
  <c r="BH74" i="30"/>
  <c r="BG12" i="30"/>
  <c r="BF12" i="30"/>
  <c r="BF74" i="30"/>
  <c r="BE12" i="30"/>
  <c r="BE74" i="30"/>
  <c r="BD74" i="30"/>
  <c r="CA73" i="30"/>
  <c r="BZ7" i="30"/>
  <c r="BY7" i="30"/>
  <c r="BX7" i="30"/>
  <c r="BX73" i="30"/>
  <c r="BW7" i="30"/>
  <c r="BW73" i="30"/>
  <c r="BV7" i="30"/>
  <c r="BV73" i="30"/>
  <c r="BU73" i="30"/>
  <c r="BT7" i="30"/>
  <c r="BT73" i="30"/>
  <c r="BS7" i="30"/>
  <c r="BS59" i="30"/>
  <c r="BR7" i="30"/>
  <c r="BR73" i="30"/>
  <c r="BQ7" i="30"/>
  <c r="BQ59" i="30"/>
  <c r="BQ73" i="30"/>
  <c r="BP7" i="30"/>
  <c r="BP73" i="30"/>
  <c r="BO7" i="30"/>
  <c r="BO59" i="30"/>
  <c r="BN7" i="30"/>
  <c r="BM7" i="30"/>
  <c r="BM59" i="30"/>
  <c r="BL7" i="30"/>
  <c r="BK7" i="30"/>
  <c r="BK59" i="30"/>
  <c r="BJ7" i="30"/>
  <c r="BJ73" i="30"/>
  <c r="BI7" i="30"/>
  <c r="BI59" i="30"/>
  <c r="BI73" i="30"/>
  <c r="BH7" i="30"/>
  <c r="BH73" i="30"/>
  <c r="BG7" i="30"/>
  <c r="BG59" i="30"/>
  <c r="BF7" i="30"/>
  <c r="BF73" i="30"/>
  <c r="BE7" i="30"/>
  <c r="BD73" i="30"/>
  <c r="CB72" i="30"/>
  <c r="CA72" i="30"/>
  <c r="BZ16" i="30"/>
  <c r="BY16" i="30"/>
  <c r="BY58" i="30"/>
  <c r="BY72" i="30"/>
  <c r="BX16" i="30"/>
  <c r="BX72" i="30"/>
  <c r="BW16" i="30"/>
  <c r="BW58" i="30"/>
  <c r="BV16" i="30"/>
  <c r="BT16" i="30"/>
  <c r="BT72" i="30"/>
  <c r="BS16" i="30"/>
  <c r="BS72" i="30"/>
  <c r="BR16" i="30"/>
  <c r="BQ16" i="30"/>
  <c r="BQ58" i="30"/>
  <c r="BP16" i="30"/>
  <c r="BP72" i="30"/>
  <c r="BO16" i="30"/>
  <c r="BO72" i="30"/>
  <c r="BN16" i="30"/>
  <c r="BM16" i="30"/>
  <c r="BM58" i="30"/>
  <c r="BM72" i="30"/>
  <c r="BL16" i="30"/>
  <c r="BK16" i="30"/>
  <c r="BJ16" i="30"/>
  <c r="BI16" i="30"/>
  <c r="BI72" i="30"/>
  <c r="BH16" i="30"/>
  <c r="BH72" i="30"/>
  <c r="BG16" i="30"/>
  <c r="BG72" i="30"/>
  <c r="BF16" i="30"/>
  <c r="BE16" i="30"/>
  <c r="BE72" i="30"/>
  <c r="BD72" i="30"/>
  <c r="CA71" i="30"/>
  <c r="BZ29" i="30"/>
  <c r="BY29" i="30"/>
  <c r="BY71" i="30"/>
  <c r="BX29" i="30"/>
  <c r="BW29" i="30"/>
  <c r="BW57" i="30"/>
  <c r="BW71" i="30"/>
  <c r="BV29" i="30"/>
  <c r="BV71" i="30"/>
  <c r="BU71" i="30"/>
  <c r="BT29" i="30"/>
  <c r="BT57" i="30"/>
  <c r="BT71" i="30"/>
  <c r="BS29" i="30"/>
  <c r="BR29" i="30"/>
  <c r="BR71" i="30"/>
  <c r="BQ29" i="30"/>
  <c r="BQ71" i="30"/>
  <c r="BP29" i="30"/>
  <c r="BO29" i="30"/>
  <c r="BN29" i="30"/>
  <c r="BN71" i="30"/>
  <c r="BM29" i="30"/>
  <c r="BM71" i="30"/>
  <c r="BL29" i="30"/>
  <c r="BL57" i="30"/>
  <c r="BK29" i="30"/>
  <c r="BK71" i="30"/>
  <c r="BJ29" i="30"/>
  <c r="BJ71" i="30"/>
  <c r="BI29" i="30"/>
  <c r="BI71" i="30"/>
  <c r="BH29" i="30"/>
  <c r="BH57" i="30"/>
  <c r="BH71" i="30"/>
  <c r="BG29" i="30"/>
  <c r="BF29" i="30"/>
  <c r="BF71" i="30"/>
  <c r="BE29" i="30"/>
  <c r="BE71" i="30"/>
  <c r="BD71" i="30"/>
  <c r="CB70" i="30"/>
  <c r="CA70" i="30"/>
  <c r="BY70" i="18"/>
  <c r="BZ20" i="30"/>
  <c r="BZ56" i="30"/>
  <c r="BZ70" i="30"/>
  <c r="BY20" i="30"/>
  <c r="BY70" i="30"/>
  <c r="BX20" i="30"/>
  <c r="BX56" i="30"/>
  <c r="BX70" i="30"/>
  <c r="BW20" i="30"/>
  <c r="BW56" i="30"/>
  <c r="BV20" i="30"/>
  <c r="BV56" i="30"/>
  <c r="BV70" i="30"/>
  <c r="BT20" i="30"/>
  <c r="BT70" i="30"/>
  <c r="BS20" i="30"/>
  <c r="BR20" i="30"/>
  <c r="BR56" i="30"/>
  <c r="BQ20" i="30"/>
  <c r="BQ70" i="30"/>
  <c r="BP20" i="30"/>
  <c r="BP70" i="30"/>
  <c r="BO20" i="30"/>
  <c r="BN20" i="30"/>
  <c r="BN70" i="30"/>
  <c r="BM20" i="30"/>
  <c r="BL20" i="30"/>
  <c r="BL70" i="30"/>
  <c r="BK20" i="30"/>
  <c r="BJ20" i="30"/>
  <c r="BI20" i="30"/>
  <c r="BI70" i="30"/>
  <c r="BH20" i="30"/>
  <c r="BH70" i="30"/>
  <c r="BG20" i="30"/>
  <c r="BF20" i="30"/>
  <c r="BF70" i="30"/>
  <c r="BE20" i="30"/>
  <c r="BD70" i="30"/>
  <c r="CA69" i="30"/>
  <c r="BZ24" i="30"/>
  <c r="BY24" i="30"/>
  <c r="BX24" i="30"/>
  <c r="BX69" i="30"/>
  <c r="BW24" i="30"/>
  <c r="BW69" i="30"/>
  <c r="BV24" i="30"/>
  <c r="BU69" i="30"/>
  <c r="BT24" i="30"/>
  <c r="BT69" i="30"/>
  <c r="BS24" i="30"/>
  <c r="BS69" i="30"/>
  <c r="BR24" i="30"/>
  <c r="BR55" i="30"/>
  <c r="BQ24" i="30"/>
  <c r="BP24" i="30"/>
  <c r="BP69" i="30"/>
  <c r="BO24" i="30"/>
  <c r="BO69" i="30"/>
  <c r="BN24" i="30"/>
  <c r="BN69" i="30"/>
  <c r="BM24" i="30"/>
  <c r="BM55" i="30"/>
  <c r="BL24" i="30"/>
  <c r="BL69" i="30"/>
  <c r="BK24" i="30"/>
  <c r="BJ24" i="30"/>
  <c r="BJ69" i="30"/>
  <c r="BI24" i="30"/>
  <c r="BI55" i="30"/>
  <c r="BI69" i="30"/>
  <c r="BH24" i="30"/>
  <c r="BH69" i="30"/>
  <c r="BG24" i="30"/>
  <c r="BG69" i="30"/>
  <c r="BF24" i="30"/>
  <c r="BF69" i="30"/>
  <c r="BE24" i="30"/>
  <c r="BE55" i="30"/>
  <c r="BE69" i="30"/>
  <c r="CA68" i="30"/>
  <c r="BZ9" i="30"/>
  <c r="BZ68" i="30"/>
  <c r="BY9" i="30"/>
  <c r="BY54" i="30"/>
  <c r="BX9" i="30"/>
  <c r="BX68" i="30"/>
  <c r="BW9" i="30"/>
  <c r="BW54" i="30"/>
  <c r="BW68" i="30"/>
  <c r="BV9" i="30"/>
  <c r="BV68" i="30"/>
  <c r="BT9" i="30"/>
  <c r="BT68" i="30"/>
  <c r="BS9" i="30"/>
  <c r="BS54" i="30"/>
  <c r="BS68" i="30"/>
  <c r="BR9" i="30"/>
  <c r="BQ9" i="30"/>
  <c r="BQ68" i="30"/>
  <c r="BP9" i="30"/>
  <c r="BO9" i="30"/>
  <c r="BO68" i="30"/>
  <c r="BN9" i="30"/>
  <c r="BM9" i="30"/>
  <c r="BL9" i="30"/>
  <c r="BK9" i="30"/>
  <c r="BK68" i="30"/>
  <c r="BJ9" i="30"/>
  <c r="BI9" i="30"/>
  <c r="BI68" i="30"/>
  <c r="BH9" i="30"/>
  <c r="BH68" i="30"/>
  <c r="BG9" i="30"/>
  <c r="BG68" i="30"/>
  <c r="BF9" i="30"/>
  <c r="BE9" i="30"/>
  <c r="BE68" i="30"/>
  <c r="BD68" i="30"/>
  <c r="CA67" i="30"/>
  <c r="BZ5" i="30"/>
  <c r="BZ67" i="30"/>
  <c r="BY5" i="30"/>
  <c r="BY67" i="30"/>
  <c r="BX5" i="30"/>
  <c r="BW5" i="30"/>
  <c r="BW67" i="30"/>
  <c r="BV5" i="30"/>
  <c r="BU67" i="30"/>
  <c r="BT5" i="30"/>
  <c r="BT53" i="30"/>
  <c r="BT67" i="30"/>
  <c r="BS5" i="30"/>
  <c r="BS67" i="30"/>
  <c r="BR5" i="30"/>
  <c r="BR53" i="30"/>
  <c r="BQ5" i="30"/>
  <c r="BQ53" i="30"/>
  <c r="BQ67" i="30"/>
  <c r="BP5" i="30"/>
  <c r="BO5" i="30"/>
  <c r="BO67" i="30"/>
  <c r="BN5" i="30"/>
  <c r="BN67" i="30"/>
  <c r="BM5" i="30"/>
  <c r="BM53" i="30"/>
  <c r="BL5" i="30"/>
  <c r="BL53" i="30"/>
  <c r="BK5" i="30"/>
  <c r="BK67" i="30"/>
  <c r="BJ5" i="30"/>
  <c r="BJ53" i="30"/>
  <c r="BI5" i="30"/>
  <c r="BI67" i="30"/>
  <c r="BH5" i="30"/>
  <c r="BH53" i="30"/>
  <c r="BH67" i="30"/>
  <c r="BG5" i="30"/>
  <c r="BG67" i="30"/>
  <c r="BF5" i="30"/>
  <c r="BF67" i="30"/>
  <c r="BE5" i="30"/>
  <c r="BD67" i="30"/>
  <c r="CB66" i="30"/>
  <c r="CA66" i="30"/>
  <c r="BZ17" i="30"/>
  <c r="BZ52" i="30"/>
  <c r="BY17" i="30"/>
  <c r="BX17" i="30"/>
  <c r="BX66" i="30"/>
  <c r="BW17" i="30"/>
  <c r="BW66" i="30"/>
  <c r="BV17" i="30"/>
  <c r="BV52" i="30"/>
  <c r="BV66" i="30"/>
  <c r="BT17" i="30"/>
  <c r="BT52" i="30"/>
  <c r="BT66" i="30"/>
  <c r="BS17" i="30"/>
  <c r="BR17" i="30"/>
  <c r="BR66" i="30"/>
  <c r="BQ17" i="30"/>
  <c r="BP17" i="30"/>
  <c r="BP66" i="30"/>
  <c r="BO17" i="30"/>
  <c r="BN17" i="30"/>
  <c r="BN66" i="30"/>
  <c r="BM17" i="30"/>
  <c r="BL17" i="30"/>
  <c r="BL52" i="30"/>
  <c r="BL66" i="30"/>
  <c r="BK17" i="30"/>
  <c r="BJ17" i="30"/>
  <c r="BJ66" i="30"/>
  <c r="BI17" i="30"/>
  <c r="BH17" i="30"/>
  <c r="BH66" i="30"/>
  <c r="BG17" i="30"/>
  <c r="BF17" i="30"/>
  <c r="BF66" i="30"/>
  <c r="BE17" i="30"/>
  <c r="BE66" i="30"/>
  <c r="BD66" i="30"/>
  <c r="CB65" i="30"/>
  <c r="CA65" i="30"/>
  <c r="BZ21" i="30"/>
  <c r="BZ65" i="30"/>
  <c r="BY21" i="30"/>
  <c r="BX21" i="30"/>
  <c r="BX65" i="30"/>
  <c r="BW21" i="30"/>
  <c r="BW65" i="30"/>
  <c r="BV21" i="30"/>
  <c r="BV65" i="30"/>
  <c r="BU65" i="30"/>
  <c r="BT21" i="30"/>
  <c r="BT65" i="30"/>
  <c r="BS21" i="30"/>
  <c r="BS65" i="30"/>
  <c r="BR21" i="30"/>
  <c r="BR51" i="30"/>
  <c r="BQ21" i="30"/>
  <c r="BQ51" i="30"/>
  <c r="BP21" i="30"/>
  <c r="BP65" i="30"/>
  <c r="BO21" i="30"/>
  <c r="BO65" i="30"/>
  <c r="BN21" i="30"/>
  <c r="BM21" i="30"/>
  <c r="BM51" i="30"/>
  <c r="BL21" i="30"/>
  <c r="BK21" i="30"/>
  <c r="BJ21" i="30"/>
  <c r="BJ65" i="30"/>
  <c r="BI21" i="30"/>
  <c r="BI51" i="30"/>
  <c r="BH21" i="30"/>
  <c r="BH65" i="30"/>
  <c r="BG21" i="30"/>
  <c r="BF21" i="30"/>
  <c r="BF65" i="30"/>
  <c r="BE21" i="30"/>
  <c r="BE51" i="30"/>
  <c r="BE65" i="30"/>
  <c r="BD65" i="30"/>
  <c r="CB64" i="30"/>
  <c r="BZ25" i="30"/>
  <c r="BZ64" i="30"/>
  <c r="BY25" i="30"/>
  <c r="BY50" i="30"/>
  <c r="BX25" i="30"/>
  <c r="BX50" i="30"/>
  <c r="BX64" i="30"/>
  <c r="BW25" i="30"/>
  <c r="BW50" i="30"/>
  <c r="BV25" i="30"/>
  <c r="BV64" i="30"/>
  <c r="BT25" i="30"/>
  <c r="BT64" i="30"/>
  <c r="BS25" i="30"/>
  <c r="BS64" i="30"/>
  <c r="BR25" i="30"/>
  <c r="BQ25" i="30"/>
  <c r="BQ64" i="30"/>
  <c r="BP25" i="30"/>
  <c r="BO25" i="30"/>
  <c r="BO64" i="30"/>
  <c r="BN25" i="30"/>
  <c r="BM25" i="30"/>
  <c r="BM64" i="30"/>
  <c r="BL25" i="30"/>
  <c r="BL64" i="30"/>
  <c r="BK25" i="30"/>
  <c r="BK64" i="30"/>
  <c r="BJ25" i="30"/>
  <c r="BI25" i="30"/>
  <c r="BI64" i="30"/>
  <c r="BH25" i="30"/>
  <c r="BG25" i="30"/>
  <c r="BG64" i="30"/>
  <c r="BF25" i="30"/>
  <c r="BE25" i="30"/>
  <c r="BE64" i="30"/>
  <c r="BZ62" i="30"/>
  <c r="BY62" i="30"/>
  <c r="BX62" i="30"/>
  <c r="BV62" i="30"/>
  <c r="BU62" i="30"/>
  <c r="BQ62" i="30"/>
  <c r="BM62" i="30"/>
  <c r="BK62" i="30"/>
  <c r="BI62" i="30"/>
  <c r="BH62" i="30"/>
  <c r="BG62" i="30"/>
  <c r="CB61" i="30"/>
  <c r="CA61" i="30"/>
  <c r="BZ61" i="30"/>
  <c r="BW61" i="30"/>
  <c r="BS61" i="30"/>
  <c r="BQ61" i="30"/>
  <c r="BO61" i="30"/>
  <c r="BN61" i="30"/>
  <c r="BK61" i="30"/>
  <c r="BG61" i="30"/>
  <c r="BE61" i="30"/>
  <c r="BD61" i="30"/>
  <c r="CA60" i="30"/>
  <c r="BY60" i="30"/>
  <c r="BT60" i="30"/>
  <c r="BQ60" i="30"/>
  <c r="BN60" i="30"/>
  <c r="BM60" i="30"/>
  <c r="BJ60" i="30"/>
  <c r="BH60" i="30"/>
  <c r="BF60" i="30"/>
  <c r="BD60" i="30"/>
  <c r="CA59" i="30"/>
  <c r="BX59" i="30"/>
  <c r="BV59" i="30"/>
  <c r="BU59" i="30"/>
  <c r="BT59" i="30"/>
  <c r="BR59" i="30"/>
  <c r="BP59" i="30"/>
  <c r="BJ59" i="30"/>
  <c r="BH59" i="30"/>
  <c r="BF59" i="30"/>
  <c r="BD59" i="30"/>
  <c r="CA58" i="30"/>
  <c r="BX58" i="30"/>
  <c r="BT58" i="30"/>
  <c r="BS58" i="30"/>
  <c r="BO58" i="30"/>
  <c r="BH58" i="30"/>
  <c r="BG58" i="30"/>
  <c r="BE58" i="30"/>
  <c r="BD58" i="30"/>
  <c r="BY57" i="30"/>
  <c r="BV57" i="30"/>
  <c r="BU57" i="30"/>
  <c r="BR57" i="30"/>
  <c r="BQ57" i="30"/>
  <c r="BN57" i="30"/>
  <c r="BM57" i="30"/>
  <c r="BK57" i="30"/>
  <c r="BJ57" i="30"/>
  <c r="BI57" i="30"/>
  <c r="BF57" i="30"/>
  <c r="BE57" i="30"/>
  <c r="BD57" i="30"/>
  <c r="CB56" i="30"/>
  <c r="CA56" i="30"/>
  <c r="BY56" i="30"/>
  <c r="BU56" i="30"/>
  <c r="BT56" i="30"/>
  <c r="BQ56" i="30"/>
  <c r="BN56" i="30"/>
  <c r="BH56" i="30"/>
  <c r="BF56" i="30"/>
  <c r="BD56" i="30"/>
  <c r="CA55" i="30"/>
  <c r="BU55" i="30"/>
  <c r="BT55" i="30"/>
  <c r="BS55" i="30"/>
  <c r="BP55" i="30"/>
  <c r="BO55" i="30"/>
  <c r="BN55" i="30"/>
  <c r="BL55" i="30"/>
  <c r="BJ55" i="30"/>
  <c r="BH55" i="30"/>
  <c r="BG55" i="30"/>
  <c r="BF55" i="30"/>
  <c r="CB54" i="30"/>
  <c r="BZ54" i="30"/>
  <c r="BX54" i="30"/>
  <c r="BU54" i="30"/>
  <c r="BQ54" i="30"/>
  <c r="BO54" i="30"/>
  <c r="BK54" i="30"/>
  <c r="BI54" i="30"/>
  <c r="BH54" i="30"/>
  <c r="BG54" i="30"/>
  <c r="BE54" i="30"/>
  <c r="BD54" i="30"/>
  <c r="CA53" i="30"/>
  <c r="BZ53" i="30"/>
  <c r="BY53" i="30"/>
  <c r="BW53" i="30"/>
  <c r="BU53" i="30"/>
  <c r="BS53" i="30"/>
  <c r="BO53" i="30"/>
  <c r="BN53" i="30"/>
  <c r="BK53" i="30"/>
  <c r="BI53" i="30"/>
  <c r="BG53" i="30"/>
  <c r="BF53" i="30"/>
  <c r="BD53" i="30"/>
  <c r="CB52" i="30"/>
  <c r="BX52" i="30"/>
  <c r="BW52" i="30"/>
  <c r="BR52" i="30"/>
  <c r="BP52" i="30"/>
  <c r="BJ52" i="30"/>
  <c r="BH52" i="30"/>
  <c r="BF52" i="30"/>
  <c r="BE52" i="30"/>
  <c r="BD52" i="30"/>
  <c r="CB51" i="30"/>
  <c r="CA51" i="30"/>
  <c r="BZ51" i="30"/>
  <c r="BX51" i="30"/>
  <c r="BV51" i="30"/>
  <c r="BU51" i="30"/>
  <c r="BT51" i="30"/>
  <c r="BS51" i="30"/>
  <c r="BP51" i="30"/>
  <c r="BO51" i="30"/>
  <c r="BJ51" i="30"/>
  <c r="BH51" i="30"/>
  <c r="BF51" i="30"/>
  <c r="BD51" i="30"/>
  <c r="CB50" i="30"/>
  <c r="BZ50" i="30"/>
  <c r="BV50" i="30"/>
  <c r="BS50" i="30"/>
  <c r="BQ50" i="30"/>
  <c r="BO50" i="30"/>
  <c r="BM50" i="30"/>
  <c r="BK50" i="30"/>
  <c r="BI50" i="30"/>
  <c r="BG50" i="30"/>
  <c r="BE50" i="30"/>
  <c r="CB49" i="30"/>
  <c r="CA49" i="30"/>
  <c r="BZ23" i="30"/>
  <c r="BZ49" i="30"/>
  <c r="BY23" i="30"/>
  <c r="BY49" i="30"/>
  <c r="BX23" i="30"/>
  <c r="BX49" i="30"/>
  <c r="BW23" i="30"/>
  <c r="BW49" i="30"/>
  <c r="BV23" i="30"/>
  <c r="BV49" i="30"/>
  <c r="BU49" i="30"/>
  <c r="BT23" i="30"/>
  <c r="BT49" i="30"/>
  <c r="BS23" i="30"/>
  <c r="BS49" i="30"/>
  <c r="BR23" i="30"/>
  <c r="BR49" i="30"/>
  <c r="BQ23" i="30"/>
  <c r="BQ49" i="30"/>
  <c r="BP23" i="30"/>
  <c r="BP49" i="30"/>
  <c r="BO23" i="30"/>
  <c r="BO49" i="30"/>
  <c r="BN23" i="30"/>
  <c r="BN49" i="30"/>
  <c r="BM23" i="30"/>
  <c r="BM49" i="30"/>
  <c r="BL23" i="30"/>
  <c r="BL49" i="30"/>
  <c r="BK23" i="30"/>
  <c r="BK49" i="30"/>
  <c r="BJ23" i="30"/>
  <c r="BJ49" i="30"/>
  <c r="BI23" i="30"/>
  <c r="BI49" i="30"/>
  <c r="BH23" i="30"/>
  <c r="BH49" i="30"/>
  <c r="BG23" i="30"/>
  <c r="BG49" i="30"/>
  <c r="BF23" i="30"/>
  <c r="BF49" i="30"/>
  <c r="BE23" i="30"/>
  <c r="BE49" i="30"/>
  <c r="BD49" i="30"/>
  <c r="CB47" i="30"/>
  <c r="BZ6" i="30"/>
  <c r="BZ47" i="30"/>
  <c r="BY6" i="30"/>
  <c r="BY47" i="30"/>
  <c r="BX6" i="30"/>
  <c r="BX47" i="30"/>
  <c r="BW6" i="30"/>
  <c r="BW47" i="30"/>
  <c r="BV6" i="30"/>
  <c r="BV47" i="30"/>
  <c r="BT6" i="30"/>
  <c r="BT47" i="30"/>
  <c r="BS6" i="30"/>
  <c r="BS47" i="30"/>
  <c r="BR6" i="30"/>
  <c r="BR47" i="30"/>
  <c r="BQ6" i="30"/>
  <c r="BQ47" i="30"/>
  <c r="BP6" i="30"/>
  <c r="BP47" i="30"/>
  <c r="BO6" i="30"/>
  <c r="BO47" i="30"/>
  <c r="BN6" i="30"/>
  <c r="BN47" i="30"/>
  <c r="BM6" i="30"/>
  <c r="BM47" i="30"/>
  <c r="BL6" i="30"/>
  <c r="BL47" i="30"/>
  <c r="BK6" i="30"/>
  <c r="BK47" i="30"/>
  <c r="BJ6" i="30"/>
  <c r="BJ47" i="30"/>
  <c r="BI6" i="30"/>
  <c r="BI47" i="30"/>
  <c r="BH6" i="30"/>
  <c r="BH47" i="30"/>
  <c r="BG6" i="30"/>
  <c r="BG47" i="30"/>
  <c r="BF6" i="30"/>
  <c r="BF47" i="30"/>
  <c r="BE6" i="30"/>
  <c r="BE47" i="30"/>
  <c r="BD47" i="30"/>
  <c r="CB46" i="30"/>
  <c r="CA46" i="30"/>
  <c r="BZ10" i="30"/>
  <c r="BZ46" i="30"/>
  <c r="BY10" i="30"/>
  <c r="BY46" i="30"/>
  <c r="BX10" i="30"/>
  <c r="BX46" i="30"/>
  <c r="BW10" i="30"/>
  <c r="BW46" i="30"/>
  <c r="BV10" i="30"/>
  <c r="BV46" i="30"/>
  <c r="BU46" i="30"/>
  <c r="BT10" i="30"/>
  <c r="BT46" i="30"/>
  <c r="BS10" i="30"/>
  <c r="BS46" i="30"/>
  <c r="BR10" i="30"/>
  <c r="BR46" i="30"/>
  <c r="BQ10" i="30"/>
  <c r="BQ46" i="30"/>
  <c r="BP10" i="30"/>
  <c r="BP46" i="30"/>
  <c r="BO10" i="30"/>
  <c r="BO46" i="30"/>
  <c r="BN10" i="30"/>
  <c r="BN46" i="30"/>
  <c r="BM10" i="30"/>
  <c r="BM46" i="30"/>
  <c r="BL10" i="30"/>
  <c r="BL46" i="30"/>
  <c r="BK10" i="30"/>
  <c r="BK46" i="30"/>
  <c r="BJ10" i="30"/>
  <c r="BJ46" i="30"/>
  <c r="BI10" i="30"/>
  <c r="BI46" i="30"/>
  <c r="BH10" i="30"/>
  <c r="BH46" i="30"/>
  <c r="BG10" i="30"/>
  <c r="BG46" i="30"/>
  <c r="BF10" i="30"/>
  <c r="BF46" i="30"/>
  <c r="BE10" i="30"/>
  <c r="BE46" i="30"/>
  <c r="BD46" i="30"/>
  <c r="CA44" i="30"/>
  <c r="BZ15" i="30"/>
  <c r="BZ44" i="30"/>
  <c r="BY15" i="30"/>
  <c r="BY44" i="30"/>
  <c r="BX15" i="30"/>
  <c r="BX44" i="30"/>
  <c r="BW15" i="30"/>
  <c r="BW44" i="30"/>
  <c r="BV15" i="30"/>
  <c r="BV44" i="30"/>
  <c r="BU44" i="30"/>
  <c r="BT15" i="30"/>
  <c r="BT44" i="30"/>
  <c r="BS15" i="30"/>
  <c r="BS44" i="30"/>
  <c r="BR15" i="30"/>
  <c r="BR44" i="30"/>
  <c r="BQ15" i="30"/>
  <c r="BQ44" i="30"/>
  <c r="BP15" i="30"/>
  <c r="BP44" i="30"/>
  <c r="BO15" i="30"/>
  <c r="BO44" i="30"/>
  <c r="BN15" i="30"/>
  <c r="BN44" i="30"/>
  <c r="BM15" i="30"/>
  <c r="BM44" i="30"/>
  <c r="BL15" i="30"/>
  <c r="BL44" i="30"/>
  <c r="BK15" i="30"/>
  <c r="BK44" i="30"/>
  <c r="BJ15" i="30"/>
  <c r="BJ44" i="30"/>
  <c r="BI15" i="30"/>
  <c r="BI44" i="30"/>
  <c r="BH15" i="30"/>
  <c r="BH44" i="30"/>
  <c r="BG15" i="30"/>
  <c r="BG44" i="30"/>
  <c r="BF15" i="30"/>
  <c r="BF44" i="30"/>
  <c r="BE15" i="30"/>
  <c r="BE44" i="30"/>
  <c r="BD44" i="30"/>
  <c r="CB43" i="30"/>
  <c r="CA43" i="30"/>
  <c r="BZ28" i="30"/>
  <c r="BZ43" i="30"/>
  <c r="BY28" i="30"/>
  <c r="BY43" i="30"/>
  <c r="BX28" i="30"/>
  <c r="BX43" i="30"/>
  <c r="BW28" i="30"/>
  <c r="BW43" i="30"/>
  <c r="BV28" i="30"/>
  <c r="BV43" i="30"/>
  <c r="BU43" i="30"/>
  <c r="BT28" i="30"/>
  <c r="BT43" i="30"/>
  <c r="BS28" i="30"/>
  <c r="BS43" i="30"/>
  <c r="BR28" i="30"/>
  <c r="BR43" i="30"/>
  <c r="BQ28" i="30"/>
  <c r="BQ43" i="30"/>
  <c r="BP28" i="30"/>
  <c r="BP43" i="30"/>
  <c r="BO28" i="30"/>
  <c r="BO43" i="30"/>
  <c r="BN28" i="30"/>
  <c r="BN43" i="30"/>
  <c r="BM28" i="30"/>
  <c r="BM43" i="30"/>
  <c r="BL28" i="30"/>
  <c r="BL43" i="30"/>
  <c r="BK28" i="30"/>
  <c r="BK43" i="30"/>
  <c r="BJ28" i="30"/>
  <c r="BJ43" i="30"/>
  <c r="BI28" i="30"/>
  <c r="BI43" i="30"/>
  <c r="BH28" i="30"/>
  <c r="BH43" i="30"/>
  <c r="BG28" i="30"/>
  <c r="BG43" i="30"/>
  <c r="BF28" i="30"/>
  <c r="BF43" i="30"/>
  <c r="BE28" i="30"/>
  <c r="BE43" i="30"/>
  <c r="BD43" i="30"/>
  <c r="BC43" i="30"/>
  <c r="CA42" i="30"/>
  <c r="BZ19" i="30"/>
  <c r="BZ42" i="30"/>
  <c r="BY19" i="30"/>
  <c r="BY42" i="30"/>
  <c r="BX19" i="30"/>
  <c r="BX42" i="30"/>
  <c r="BW19" i="30"/>
  <c r="BW42" i="30"/>
  <c r="BV19" i="30"/>
  <c r="BV42" i="30"/>
  <c r="BU42" i="30"/>
  <c r="BT19" i="30"/>
  <c r="BT42" i="30"/>
  <c r="BS19" i="30"/>
  <c r="BS42" i="30"/>
  <c r="BR19" i="30"/>
  <c r="BR42" i="30"/>
  <c r="BQ19" i="30"/>
  <c r="BQ42" i="30"/>
  <c r="BP19" i="30"/>
  <c r="BP42" i="30"/>
  <c r="BO19" i="30"/>
  <c r="BO42" i="30"/>
  <c r="BN19" i="30"/>
  <c r="BN42" i="30"/>
  <c r="BM19" i="30"/>
  <c r="BM42" i="30"/>
  <c r="BL19" i="30"/>
  <c r="BL42" i="30"/>
  <c r="BK19" i="30"/>
  <c r="BK42" i="30"/>
  <c r="BJ19" i="30"/>
  <c r="BJ42" i="30"/>
  <c r="BI19" i="30"/>
  <c r="BI42" i="30"/>
  <c r="BH19" i="30"/>
  <c r="BH42" i="30"/>
  <c r="BG19" i="30"/>
  <c r="BG42" i="30"/>
  <c r="BF19" i="30"/>
  <c r="BF42" i="30"/>
  <c r="BE19" i="30"/>
  <c r="BE42" i="30"/>
  <c r="CB41" i="30"/>
  <c r="CA41" i="30"/>
  <c r="BZ8" i="30"/>
  <c r="BZ41" i="30"/>
  <c r="BY8" i="30"/>
  <c r="BY41" i="30"/>
  <c r="BX8" i="30"/>
  <c r="BX41" i="30"/>
  <c r="BW8" i="30"/>
  <c r="BW41" i="30"/>
  <c r="BV8" i="30"/>
  <c r="BV41" i="30"/>
  <c r="BU41" i="30"/>
  <c r="BT8" i="30"/>
  <c r="BT41" i="30"/>
  <c r="BS8" i="30"/>
  <c r="BS41" i="30"/>
  <c r="BR8" i="30"/>
  <c r="BR41" i="30"/>
  <c r="BQ8" i="30"/>
  <c r="BQ41" i="30"/>
  <c r="BP8" i="30"/>
  <c r="BP41" i="30"/>
  <c r="BO8" i="30"/>
  <c r="BO41" i="30"/>
  <c r="BN8" i="30"/>
  <c r="BN41" i="30"/>
  <c r="BM8" i="30"/>
  <c r="BM41" i="30"/>
  <c r="BL8" i="30"/>
  <c r="BL41" i="30"/>
  <c r="BK8" i="30"/>
  <c r="BK41" i="30"/>
  <c r="BJ8" i="30"/>
  <c r="BJ41" i="30"/>
  <c r="BI8" i="30"/>
  <c r="BI41" i="30"/>
  <c r="BH8" i="30"/>
  <c r="BH41" i="30"/>
  <c r="BG8" i="30"/>
  <c r="BG41" i="30"/>
  <c r="BF8" i="30"/>
  <c r="BF41" i="30"/>
  <c r="BE8" i="30"/>
  <c r="BE41" i="30"/>
  <c r="BD41" i="30"/>
  <c r="CB40" i="30"/>
  <c r="CA40" i="30"/>
  <c r="BZ4" i="30"/>
  <c r="BZ40" i="30"/>
  <c r="BY4" i="30"/>
  <c r="BY40" i="30"/>
  <c r="BX4" i="30"/>
  <c r="BX40" i="30"/>
  <c r="BW4" i="30"/>
  <c r="BW40" i="30"/>
  <c r="BV4" i="30"/>
  <c r="BV40" i="30"/>
  <c r="BT4" i="30"/>
  <c r="BT40" i="30"/>
  <c r="BS4" i="30"/>
  <c r="BS40" i="30"/>
  <c r="BR4" i="30"/>
  <c r="BR40" i="30"/>
  <c r="BQ4" i="30"/>
  <c r="BQ40" i="30"/>
  <c r="BP4" i="30"/>
  <c r="BP40" i="30"/>
  <c r="BO4" i="30"/>
  <c r="BO40" i="30"/>
  <c r="BN4" i="30"/>
  <c r="BN40" i="30"/>
  <c r="BM4" i="30"/>
  <c r="BM40" i="30"/>
  <c r="BL4" i="30"/>
  <c r="BL40" i="30"/>
  <c r="BK4" i="30"/>
  <c r="BK40" i="30"/>
  <c r="BJ4" i="30"/>
  <c r="BJ40" i="30"/>
  <c r="BI4" i="30"/>
  <c r="BI40" i="30"/>
  <c r="BH4" i="30"/>
  <c r="BH40" i="30"/>
  <c r="BG4" i="30"/>
  <c r="BG40" i="30"/>
  <c r="BF4" i="30"/>
  <c r="BF40" i="30"/>
  <c r="BE4" i="30"/>
  <c r="BE40" i="30"/>
  <c r="BD40" i="30"/>
  <c r="BZ11" i="30"/>
  <c r="BZ39" i="30"/>
  <c r="BY11" i="30"/>
  <c r="BY39" i="30"/>
  <c r="BX11" i="30"/>
  <c r="BX39" i="30"/>
  <c r="BW11" i="30"/>
  <c r="BW39" i="30"/>
  <c r="BV11" i="30"/>
  <c r="BV39" i="30"/>
  <c r="BU39" i="30"/>
  <c r="BT11" i="30"/>
  <c r="BT39" i="30"/>
  <c r="BS11" i="30"/>
  <c r="BS39" i="30"/>
  <c r="BR11" i="30"/>
  <c r="BR39" i="30"/>
  <c r="BQ11" i="30"/>
  <c r="BQ39" i="30"/>
  <c r="BP11" i="30"/>
  <c r="BP39" i="30"/>
  <c r="BO11" i="30"/>
  <c r="BO39" i="30"/>
  <c r="BN11" i="30"/>
  <c r="BN39" i="30"/>
  <c r="BM11" i="30"/>
  <c r="BM39" i="30"/>
  <c r="BL11" i="30"/>
  <c r="BL39" i="30"/>
  <c r="BK11" i="30"/>
  <c r="BK39" i="30"/>
  <c r="BJ11" i="30"/>
  <c r="BJ39" i="30"/>
  <c r="BI11" i="30"/>
  <c r="BI39" i="30"/>
  <c r="BH11" i="30"/>
  <c r="BH39" i="30"/>
  <c r="BG11" i="30"/>
  <c r="BG39" i="30"/>
  <c r="BF11" i="30"/>
  <c r="BF39" i="30"/>
  <c r="BE11" i="30"/>
  <c r="BE39" i="30"/>
  <c r="BD39" i="30"/>
  <c r="CA38" i="30"/>
  <c r="BZ2" i="30"/>
  <c r="BZ38" i="30"/>
  <c r="BY2" i="30"/>
  <c r="BY38" i="30"/>
  <c r="BX2" i="30"/>
  <c r="BX38" i="30"/>
  <c r="BW2" i="30"/>
  <c r="BW38" i="30"/>
  <c r="BV2" i="30"/>
  <c r="BV38" i="30"/>
  <c r="BU38" i="30"/>
  <c r="BT2" i="30"/>
  <c r="BT38" i="30"/>
  <c r="BS2" i="30"/>
  <c r="BS38" i="30"/>
  <c r="BR2" i="30"/>
  <c r="BR38" i="30"/>
  <c r="BQ2" i="30"/>
  <c r="BQ38" i="30"/>
  <c r="BP2" i="30"/>
  <c r="BP38" i="30"/>
  <c r="BO2" i="30"/>
  <c r="BO38" i="30"/>
  <c r="BN2" i="30"/>
  <c r="BN38" i="30"/>
  <c r="BM2" i="30"/>
  <c r="BM38" i="30"/>
  <c r="BL2" i="30"/>
  <c r="BL38" i="30"/>
  <c r="BK2" i="30"/>
  <c r="BK38" i="30"/>
  <c r="BJ2" i="30"/>
  <c r="BJ38" i="30"/>
  <c r="BI2" i="30"/>
  <c r="BI38" i="30"/>
  <c r="BH2" i="30"/>
  <c r="BH38" i="30"/>
  <c r="BG2" i="30"/>
  <c r="BG38" i="30"/>
  <c r="BF2" i="30"/>
  <c r="BF38" i="30"/>
  <c r="BE2" i="30"/>
  <c r="BE38" i="30"/>
  <c r="BD38" i="30"/>
  <c r="CB37" i="30"/>
  <c r="CA37" i="30"/>
  <c r="BZ22" i="30"/>
  <c r="BZ37" i="30"/>
  <c r="BY22" i="30"/>
  <c r="BY37" i="30"/>
  <c r="BX22" i="30"/>
  <c r="BX37" i="30"/>
  <c r="BW22" i="30"/>
  <c r="BW37" i="30"/>
  <c r="BV22" i="30"/>
  <c r="BV37" i="30"/>
  <c r="BT22" i="30"/>
  <c r="BT37" i="30"/>
  <c r="BS22" i="30"/>
  <c r="BS37" i="30"/>
  <c r="BR22" i="30"/>
  <c r="BR37" i="30"/>
  <c r="BQ22" i="30"/>
  <c r="BQ37" i="30"/>
  <c r="BP22" i="30"/>
  <c r="BP37" i="30"/>
  <c r="BO22" i="30"/>
  <c r="BO37" i="30"/>
  <c r="BN22" i="30"/>
  <c r="BN37" i="30"/>
  <c r="BM22" i="30"/>
  <c r="BM37" i="30"/>
  <c r="BL22" i="30"/>
  <c r="BL37" i="30"/>
  <c r="BK22" i="30"/>
  <c r="BK37" i="30"/>
  <c r="BJ22" i="30"/>
  <c r="BJ37" i="30"/>
  <c r="BI22" i="30"/>
  <c r="BI37" i="30"/>
  <c r="BH22" i="30"/>
  <c r="BH37" i="30"/>
  <c r="BG22" i="30"/>
  <c r="BG37" i="30"/>
  <c r="BF22" i="30"/>
  <c r="BF37" i="30"/>
  <c r="BE22" i="30"/>
  <c r="BE37" i="30"/>
  <c r="BD37" i="30"/>
  <c r="CB36" i="30"/>
  <c r="CA36" i="30"/>
  <c r="BZ26" i="30"/>
  <c r="BZ36" i="30"/>
  <c r="BY26" i="30"/>
  <c r="BY36" i="30"/>
  <c r="BX26" i="30"/>
  <c r="BX36" i="30"/>
  <c r="BW26" i="30"/>
  <c r="BW36" i="30"/>
  <c r="BV26" i="30"/>
  <c r="BV36" i="30"/>
  <c r="BU36" i="30"/>
  <c r="BT26" i="30"/>
  <c r="BT36" i="30"/>
  <c r="BS26" i="30"/>
  <c r="BS36" i="30"/>
  <c r="BR26" i="30"/>
  <c r="BR36" i="30"/>
  <c r="BQ26" i="30"/>
  <c r="BQ36" i="30"/>
  <c r="BP26" i="30"/>
  <c r="BP36" i="30"/>
  <c r="BO26" i="30"/>
  <c r="BO36" i="30"/>
  <c r="BN26" i="30"/>
  <c r="BN36" i="30"/>
  <c r="BM26" i="30"/>
  <c r="BM36" i="30"/>
  <c r="BL26" i="30"/>
  <c r="BL36" i="30"/>
  <c r="BK26" i="30"/>
  <c r="BK36" i="30"/>
  <c r="BJ26" i="30"/>
  <c r="BJ36" i="30"/>
  <c r="BI26" i="30"/>
  <c r="BI36" i="30"/>
  <c r="BH26" i="30"/>
  <c r="BH36" i="30"/>
  <c r="BG26" i="30"/>
  <c r="BG36" i="30"/>
  <c r="BF26" i="30"/>
  <c r="BF36" i="30"/>
  <c r="BE26" i="30"/>
  <c r="BE36" i="30"/>
  <c r="BD36" i="30"/>
  <c r="CB35" i="30"/>
  <c r="BZ30" i="30"/>
  <c r="BZ35" i="30"/>
  <c r="BY30" i="30"/>
  <c r="BY35" i="30"/>
  <c r="BX30" i="30"/>
  <c r="BX35" i="30"/>
  <c r="BW30" i="30"/>
  <c r="BW35" i="30"/>
  <c r="BV30" i="30"/>
  <c r="BV35" i="30"/>
  <c r="BT30" i="30"/>
  <c r="BT35" i="30"/>
  <c r="BS30" i="30"/>
  <c r="BS35" i="30"/>
  <c r="BR30" i="30"/>
  <c r="BR35" i="30"/>
  <c r="BQ30" i="30"/>
  <c r="BQ35" i="30"/>
  <c r="BP30" i="30"/>
  <c r="BP35" i="30"/>
  <c r="BO30" i="30"/>
  <c r="BO35" i="30"/>
  <c r="BN30" i="30"/>
  <c r="BN35" i="30"/>
  <c r="BM30" i="30"/>
  <c r="BM35" i="30"/>
  <c r="BL30" i="30"/>
  <c r="BL35" i="30"/>
  <c r="BK30" i="30"/>
  <c r="BK35" i="30"/>
  <c r="BJ30" i="30"/>
  <c r="BJ35" i="30"/>
  <c r="BI30" i="30"/>
  <c r="BI35" i="30"/>
  <c r="BH30" i="30"/>
  <c r="BH35" i="30"/>
  <c r="BG30" i="30"/>
  <c r="BG35" i="30"/>
  <c r="BF30" i="30"/>
  <c r="BF35" i="30"/>
  <c r="BE30" i="30"/>
  <c r="BE35" i="30"/>
  <c r="BD35" i="30"/>
  <c r="CB34" i="30"/>
  <c r="CA34" i="30"/>
  <c r="BZ14" i="30"/>
  <c r="BZ34" i="30"/>
  <c r="BY14" i="30"/>
  <c r="BY34" i="30"/>
  <c r="BX14" i="30"/>
  <c r="BX34" i="30"/>
  <c r="BW14" i="30"/>
  <c r="BW34" i="30"/>
  <c r="BV14" i="30"/>
  <c r="BV34" i="30"/>
  <c r="BU34" i="30"/>
  <c r="BT14" i="30"/>
  <c r="BT34" i="30"/>
  <c r="BS14" i="30"/>
  <c r="BS34" i="30"/>
  <c r="BR14" i="30"/>
  <c r="BR34" i="30"/>
  <c r="BQ14" i="30"/>
  <c r="BQ34" i="30"/>
  <c r="BP14" i="30"/>
  <c r="BP34" i="30"/>
  <c r="BO14" i="30"/>
  <c r="BO34" i="30"/>
  <c r="BN14" i="30"/>
  <c r="BN34" i="30"/>
  <c r="BM14" i="30"/>
  <c r="BM34" i="30"/>
  <c r="BL14" i="30"/>
  <c r="BL34" i="30"/>
  <c r="BK14" i="30"/>
  <c r="BK34" i="30"/>
  <c r="BJ14" i="30"/>
  <c r="BJ34" i="30"/>
  <c r="BI14" i="30"/>
  <c r="BI34" i="30"/>
  <c r="BH14" i="30"/>
  <c r="BH34" i="30"/>
  <c r="BG14" i="30"/>
  <c r="BG34" i="30"/>
  <c r="BF14" i="30"/>
  <c r="BF34" i="30"/>
  <c r="BE14" i="30"/>
  <c r="BE34" i="30"/>
  <c r="BD34" i="30"/>
  <c r="CB33" i="30"/>
  <c r="BZ13" i="30"/>
  <c r="BZ33" i="30"/>
  <c r="BY13" i="30"/>
  <c r="BY33" i="30"/>
  <c r="BX13" i="30"/>
  <c r="BX33" i="30"/>
  <c r="BW13" i="30"/>
  <c r="BW33" i="30"/>
  <c r="BV13" i="30"/>
  <c r="BV33" i="30"/>
  <c r="BU33" i="30"/>
  <c r="BT13" i="30"/>
  <c r="BT33" i="30"/>
  <c r="BS13" i="30"/>
  <c r="BS33" i="30"/>
  <c r="BR13" i="30"/>
  <c r="BR33" i="30"/>
  <c r="BQ13" i="30"/>
  <c r="BQ33" i="30"/>
  <c r="BP13" i="30"/>
  <c r="BP33" i="30"/>
  <c r="BO13" i="30"/>
  <c r="BO33" i="30"/>
  <c r="BN13" i="30"/>
  <c r="BN33" i="30"/>
  <c r="BM13" i="30"/>
  <c r="BM33" i="30"/>
  <c r="BL13" i="30"/>
  <c r="BL33" i="30"/>
  <c r="BK13" i="30"/>
  <c r="BK33" i="30"/>
  <c r="BJ13" i="30"/>
  <c r="BJ33" i="30"/>
  <c r="BI13" i="30"/>
  <c r="BI33" i="30"/>
  <c r="BH13" i="30"/>
  <c r="BH33" i="30"/>
  <c r="BG13" i="30"/>
  <c r="BG33" i="30"/>
  <c r="BF13" i="30"/>
  <c r="BF33" i="30"/>
  <c r="BE13" i="30"/>
  <c r="BE33" i="30"/>
  <c r="CB32" i="30"/>
  <c r="BZ3" i="30"/>
  <c r="BZ32" i="30"/>
  <c r="BY3" i="30"/>
  <c r="BY32" i="30"/>
  <c r="BX3" i="30"/>
  <c r="BX32" i="30"/>
  <c r="BW3" i="30"/>
  <c r="BW32" i="30"/>
  <c r="BV3" i="30"/>
  <c r="BV32" i="30"/>
  <c r="BU32" i="30"/>
  <c r="BT3" i="30"/>
  <c r="BT32" i="30"/>
  <c r="BS3" i="30"/>
  <c r="BS32" i="30"/>
  <c r="BR3" i="30"/>
  <c r="BR32" i="30"/>
  <c r="BQ3" i="30"/>
  <c r="BQ32" i="30"/>
  <c r="BP3" i="30"/>
  <c r="BP32" i="30"/>
  <c r="BO3" i="30"/>
  <c r="BO32" i="30"/>
  <c r="BN3" i="30"/>
  <c r="BN32" i="30"/>
  <c r="BM3" i="30"/>
  <c r="BM32" i="30"/>
  <c r="BL3" i="30"/>
  <c r="BL32" i="30"/>
  <c r="BK3" i="30"/>
  <c r="BK32" i="30"/>
  <c r="BJ3" i="30"/>
  <c r="BJ32" i="30"/>
  <c r="BI3" i="30"/>
  <c r="BI32" i="30"/>
  <c r="BH3" i="30"/>
  <c r="BH32" i="30"/>
  <c r="BG3" i="30"/>
  <c r="BG32" i="30"/>
  <c r="BF3" i="30"/>
  <c r="BF32" i="30"/>
  <c r="BE3" i="30"/>
  <c r="BE32" i="30"/>
  <c r="BD32" i="30"/>
  <c r="AB27" i="30"/>
  <c r="AA27" i="30"/>
  <c r="AA76" i="30"/>
  <c r="Z27" i="30"/>
  <c r="Y27" i="30"/>
  <c r="X27" i="30"/>
  <c r="X76" i="30"/>
  <c r="W27" i="30"/>
  <c r="W76" i="30"/>
  <c r="V27" i="30"/>
  <c r="U27" i="30"/>
  <c r="U62" i="30"/>
  <c r="U76" i="30"/>
  <c r="T27" i="30"/>
  <c r="T76" i="30"/>
  <c r="S27" i="30"/>
  <c r="S76" i="30"/>
  <c r="R27" i="30"/>
  <c r="Q27" i="30"/>
  <c r="Q62" i="30"/>
  <c r="P27" i="30"/>
  <c r="P76" i="30"/>
  <c r="O27" i="30"/>
  <c r="O62" i="30"/>
  <c r="N27" i="30"/>
  <c r="N76" i="30"/>
  <c r="M27" i="30"/>
  <c r="M62" i="30"/>
  <c r="L27" i="30"/>
  <c r="L76" i="30"/>
  <c r="K27" i="30"/>
  <c r="K76" i="30"/>
  <c r="J27" i="30"/>
  <c r="I27" i="30"/>
  <c r="H27" i="30"/>
  <c r="G27" i="30"/>
  <c r="G62" i="30"/>
  <c r="G76" i="30"/>
  <c r="F27" i="30"/>
  <c r="F76" i="30"/>
  <c r="E27" i="30"/>
  <c r="E62" i="30"/>
  <c r="E76" i="30"/>
  <c r="D27" i="30"/>
  <c r="D62" i="30"/>
  <c r="AB18" i="30"/>
  <c r="AA18" i="30"/>
  <c r="AA61" i="30"/>
  <c r="AA75" i="30"/>
  <c r="Z18" i="30"/>
  <c r="Y18" i="30"/>
  <c r="Y75" i="30"/>
  <c r="X18" i="30"/>
  <c r="W18" i="30"/>
  <c r="V18" i="30"/>
  <c r="U18" i="30"/>
  <c r="U75" i="30"/>
  <c r="T18" i="30"/>
  <c r="T75" i="30"/>
  <c r="S18" i="30"/>
  <c r="S61" i="30"/>
  <c r="S75" i="30"/>
  <c r="R18" i="30"/>
  <c r="Q18" i="30"/>
  <c r="Q75" i="30"/>
  <c r="P18" i="30"/>
  <c r="O18" i="30"/>
  <c r="O61" i="30"/>
  <c r="O75" i="30"/>
  <c r="N18" i="30"/>
  <c r="N75" i="30"/>
  <c r="M18" i="30"/>
  <c r="M61" i="30"/>
  <c r="M75" i="30"/>
  <c r="L18" i="30"/>
  <c r="K18" i="30"/>
  <c r="K61" i="30"/>
  <c r="J18" i="30"/>
  <c r="J75" i="30"/>
  <c r="I18" i="30"/>
  <c r="I75" i="30"/>
  <c r="H18" i="30"/>
  <c r="G18" i="30"/>
  <c r="F18" i="30"/>
  <c r="F75" i="30"/>
  <c r="E18" i="30"/>
  <c r="E75" i="30"/>
  <c r="D18" i="30"/>
  <c r="AB12" i="30"/>
  <c r="AB74" i="30"/>
  <c r="AA12" i="30"/>
  <c r="AA60" i="30"/>
  <c r="Z12" i="30"/>
  <c r="Z74" i="30"/>
  <c r="Y12" i="30"/>
  <c r="X12" i="30"/>
  <c r="X74" i="30"/>
  <c r="W12" i="30"/>
  <c r="W74" i="30"/>
  <c r="V12" i="30"/>
  <c r="V74" i="30"/>
  <c r="U12" i="30"/>
  <c r="U60" i="30"/>
  <c r="T12" i="30"/>
  <c r="S12" i="30"/>
  <c r="R12" i="30"/>
  <c r="R74" i="30"/>
  <c r="Q12" i="30"/>
  <c r="Q60" i="30"/>
  <c r="P12" i="30"/>
  <c r="O12" i="30"/>
  <c r="O74" i="30"/>
  <c r="N12" i="30"/>
  <c r="M12" i="30"/>
  <c r="M60" i="30"/>
  <c r="M74" i="30"/>
  <c r="L12" i="30"/>
  <c r="L74" i="30"/>
  <c r="K12" i="30"/>
  <c r="K74" i="30"/>
  <c r="J12" i="30"/>
  <c r="I12" i="30"/>
  <c r="H12" i="30"/>
  <c r="H74" i="30"/>
  <c r="G12" i="30"/>
  <c r="G74" i="30"/>
  <c r="F12" i="30"/>
  <c r="E12" i="30"/>
  <c r="E60" i="30"/>
  <c r="D12" i="30"/>
  <c r="AB7" i="30"/>
  <c r="AA7" i="30"/>
  <c r="AA59" i="30"/>
  <c r="AA73" i="30"/>
  <c r="Z7" i="30"/>
  <c r="Z73" i="30"/>
  <c r="Y7" i="30"/>
  <c r="Y59" i="30"/>
  <c r="X7" i="30"/>
  <c r="X73" i="30"/>
  <c r="W7" i="30"/>
  <c r="W59" i="30"/>
  <c r="W73" i="30"/>
  <c r="V7" i="30"/>
  <c r="U7" i="30"/>
  <c r="U59" i="30"/>
  <c r="T7" i="30"/>
  <c r="T73" i="30"/>
  <c r="S7" i="30"/>
  <c r="R7" i="30"/>
  <c r="R73" i="30"/>
  <c r="Q7" i="30"/>
  <c r="Q59" i="30"/>
  <c r="P7" i="30"/>
  <c r="P73" i="30"/>
  <c r="O7" i="30"/>
  <c r="O59" i="30"/>
  <c r="N7" i="30"/>
  <c r="M7" i="30"/>
  <c r="M73" i="30"/>
  <c r="L7" i="30"/>
  <c r="L73" i="30"/>
  <c r="K7" i="30"/>
  <c r="K59" i="30"/>
  <c r="J7" i="30"/>
  <c r="I7" i="30"/>
  <c r="H7" i="30"/>
  <c r="H73" i="30"/>
  <c r="G7" i="30"/>
  <c r="F7" i="30"/>
  <c r="F73" i="30"/>
  <c r="E7" i="30"/>
  <c r="E59" i="30"/>
  <c r="E73" i="30"/>
  <c r="D7" i="30"/>
  <c r="C7" i="30"/>
  <c r="AB16" i="30"/>
  <c r="AB72" i="30"/>
  <c r="AA16" i="30"/>
  <c r="AA72" i="30"/>
  <c r="Z16" i="30"/>
  <c r="Y16" i="30"/>
  <c r="Y58" i="30"/>
  <c r="Y72" i="30"/>
  <c r="X16" i="30"/>
  <c r="X72" i="30"/>
  <c r="W16" i="30"/>
  <c r="W72" i="30"/>
  <c r="V16" i="30"/>
  <c r="U16" i="30"/>
  <c r="U58" i="30"/>
  <c r="U72" i="30"/>
  <c r="T16" i="30"/>
  <c r="T72" i="30"/>
  <c r="S16" i="30"/>
  <c r="S58" i="30"/>
  <c r="R16" i="30"/>
  <c r="R72" i="30"/>
  <c r="Q16" i="30"/>
  <c r="Q58" i="30"/>
  <c r="Q72" i="30"/>
  <c r="P16" i="30"/>
  <c r="O16" i="30"/>
  <c r="O58" i="30"/>
  <c r="O72" i="30"/>
  <c r="N16" i="30"/>
  <c r="N72" i="30"/>
  <c r="M16" i="30"/>
  <c r="L16" i="30"/>
  <c r="L72" i="30"/>
  <c r="K16" i="30"/>
  <c r="K72" i="30"/>
  <c r="J16" i="30"/>
  <c r="J72" i="30"/>
  <c r="I16" i="30"/>
  <c r="I58" i="30"/>
  <c r="I72" i="30"/>
  <c r="H16" i="30"/>
  <c r="G16" i="30"/>
  <c r="G58" i="30"/>
  <c r="G72" i="30"/>
  <c r="F16" i="30"/>
  <c r="F72" i="30"/>
  <c r="E16" i="30"/>
  <c r="E58" i="30"/>
  <c r="E72" i="30"/>
  <c r="D16" i="30"/>
  <c r="AB29" i="30"/>
  <c r="AA29" i="30"/>
  <c r="Z29" i="30"/>
  <c r="Z71" i="30"/>
  <c r="Y29" i="30"/>
  <c r="Y71" i="30"/>
  <c r="X29" i="30"/>
  <c r="W29" i="30"/>
  <c r="V29" i="30"/>
  <c r="V71" i="30"/>
  <c r="U29" i="30"/>
  <c r="U71" i="30"/>
  <c r="T29" i="30"/>
  <c r="S29" i="30"/>
  <c r="R29" i="30"/>
  <c r="Q29" i="30"/>
  <c r="Q57" i="30"/>
  <c r="Q71" i="30"/>
  <c r="P29" i="30"/>
  <c r="P71" i="30"/>
  <c r="O29" i="30"/>
  <c r="O57" i="30"/>
  <c r="O71" i="30"/>
  <c r="N29" i="30"/>
  <c r="M29" i="30"/>
  <c r="M57" i="30"/>
  <c r="M71" i="30"/>
  <c r="L29" i="30"/>
  <c r="L71" i="30"/>
  <c r="K29" i="30"/>
  <c r="K57" i="30"/>
  <c r="J29" i="30"/>
  <c r="J71" i="30"/>
  <c r="I29" i="30"/>
  <c r="I57" i="30"/>
  <c r="H29" i="30"/>
  <c r="H71" i="30"/>
  <c r="G29" i="30"/>
  <c r="F29" i="30"/>
  <c r="F71" i="30"/>
  <c r="E29" i="30"/>
  <c r="E57" i="30"/>
  <c r="D29" i="30"/>
  <c r="D71" i="30"/>
  <c r="AB20" i="30"/>
  <c r="AA20" i="30"/>
  <c r="AA70" i="30"/>
  <c r="Z20" i="30"/>
  <c r="Z70" i="30"/>
  <c r="Y20" i="30"/>
  <c r="Y56" i="30"/>
  <c r="X20" i="30"/>
  <c r="W20" i="30"/>
  <c r="W70" i="30"/>
  <c r="V20" i="30"/>
  <c r="V70" i="30"/>
  <c r="U20" i="30"/>
  <c r="U56" i="30"/>
  <c r="U70" i="30"/>
  <c r="T20" i="30"/>
  <c r="T70" i="30"/>
  <c r="S20" i="30"/>
  <c r="S70" i="30"/>
  <c r="R20" i="30"/>
  <c r="Q20" i="30"/>
  <c r="P20" i="30"/>
  <c r="P70" i="30"/>
  <c r="O20" i="30"/>
  <c r="N20" i="30"/>
  <c r="M20" i="30"/>
  <c r="M56" i="30"/>
  <c r="L20" i="30"/>
  <c r="L70" i="30"/>
  <c r="K20" i="30"/>
  <c r="K70" i="30"/>
  <c r="J20" i="30"/>
  <c r="I20" i="30"/>
  <c r="H20" i="30"/>
  <c r="H70" i="30"/>
  <c r="G20" i="30"/>
  <c r="G56" i="30"/>
  <c r="F20" i="30"/>
  <c r="F70" i="30"/>
  <c r="E20" i="30"/>
  <c r="E56" i="30"/>
  <c r="E70" i="30"/>
  <c r="D20" i="30"/>
  <c r="D56" i="30"/>
  <c r="AB24" i="30"/>
  <c r="AB69" i="30"/>
  <c r="AA24" i="30"/>
  <c r="Z24" i="30"/>
  <c r="Z69" i="30"/>
  <c r="Y24" i="30"/>
  <c r="X24" i="30"/>
  <c r="X69" i="30"/>
  <c r="W24" i="30"/>
  <c r="W55" i="30"/>
  <c r="V24" i="30"/>
  <c r="U24" i="30"/>
  <c r="U69" i="30"/>
  <c r="T24" i="30"/>
  <c r="T69" i="30"/>
  <c r="S24" i="30"/>
  <c r="R24" i="30"/>
  <c r="Q24" i="30"/>
  <c r="P24" i="30"/>
  <c r="P69" i="30"/>
  <c r="O24" i="30"/>
  <c r="O55" i="30"/>
  <c r="O69" i="30"/>
  <c r="N24" i="30"/>
  <c r="N69" i="30"/>
  <c r="M24" i="30"/>
  <c r="L24" i="30"/>
  <c r="K24" i="30"/>
  <c r="J24" i="30"/>
  <c r="J69" i="30"/>
  <c r="I24" i="30"/>
  <c r="I69" i="30"/>
  <c r="H24" i="30"/>
  <c r="G24" i="30"/>
  <c r="F24" i="30"/>
  <c r="F69" i="30"/>
  <c r="E24" i="30"/>
  <c r="D24" i="30"/>
  <c r="D69" i="30"/>
  <c r="AB9" i="30"/>
  <c r="AB68" i="30"/>
  <c r="AA9" i="30"/>
  <c r="AA54" i="30"/>
  <c r="Z9" i="30"/>
  <c r="Z68" i="30"/>
  <c r="Y9" i="30"/>
  <c r="Y54" i="30"/>
  <c r="Y68" i="30"/>
  <c r="X9" i="30"/>
  <c r="X68" i="30"/>
  <c r="W9" i="30"/>
  <c r="W54" i="30"/>
  <c r="W68" i="30"/>
  <c r="V9" i="30"/>
  <c r="V68" i="30"/>
  <c r="U9" i="30"/>
  <c r="T9" i="30"/>
  <c r="T68" i="30"/>
  <c r="S9" i="30"/>
  <c r="S68" i="30"/>
  <c r="R9" i="30"/>
  <c r="R68" i="30"/>
  <c r="Q9" i="30"/>
  <c r="Q54" i="30"/>
  <c r="Q68" i="30"/>
  <c r="P9" i="30"/>
  <c r="O9" i="30"/>
  <c r="N9" i="30"/>
  <c r="N68" i="30"/>
  <c r="M9" i="30"/>
  <c r="L9" i="30"/>
  <c r="K9" i="30"/>
  <c r="K54" i="30"/>
  <c r="J9" i="30"/>
  <c r="J68" i="30"/>
  <c r="I9" i="30"/>
  <c r="H9" i="30"/>
  <c r="G9" i="30"/>
  <c r="G68" i="30"/>
  <c r="F9" i="30"/>
  <c r="E9" i="30"/>
  <c r="D9" i="30"/>
  <c r="D68" i="30"/>
  <c r="AB5" i="30"/>
  <c r="AA5" i="30"/>
  <c r="AA53" i="30"/>
  <c r="Z5" i="30"/>
  <c r="Z67" i="30"/>
  <c r="Y5" i="30"/>
  <c r="Y67" i="30"/>
  <c r="X5" i="30"/>
  <c r="W5" i="30"/>
  <c r="W53" i="30"/>
  <c r="V5" i="30"/>
  <c r="V67" i="30"/>
  <c r="U5" i="30"/>
  <c r="U67" i="30"/>
  <c r="T5" i="30"/>
  <c r="T67" i="30"/>
  <c r="S5" i="30"/>
  <c r="S53" i="30"/>
  <c r="S67" i="30"/>
  <c r="R5" i="30"/>
  <c r="Q5" i="30"/>
  <c r="Q53" i="30"/>
  <c r="P5" i="30"/>
  <c r="P67" i="30"/>
  <c r="O5" i="30"/>
  <c r="N5" i="30"/>
  <c r="N67" i="30"/>
  <c r="M5" i="30"/>
  <c r="M67" i="30"/>
  <c r="L5" i="30"/>
  <c r="L67" i="30"/>
  <c r="K5" i="30"/>
  <c r="K53" i="30"/>
  <c r="J5" i="30"/>
  <c r="I5" i="30"/>
  <c r="H5" i="30"/>
  <c r="H67" i="30"/>
  <c r="G5" i="30"/>
  <c r="F5" i="30"/>
  <c r="E5" i="30"/>
  <c r="E67" i="30"/>
  <c r="D5" i="30"/>
  <c r="AB17" i="30"/>
  <c r="AB66" i="30"/>
  <c r="AA17" i="30"/>
  <c r="AA66" i="30"/>
  <c r="Z17" i="30"/>
  <c r="Y17" i="30"/>
  <c r="X17" i="30"/>
  <c r="X66" i="30"/>
  <c r="W17" i="30"/>
  <c r="W66" i="30"/>
  <c r="V17" i="30"/>
  <c r="U17" i="30"/>
  <c r="U52" i="30"/>
  <c r="T17" i="30"/>
  <c r="T66" i="30"/>
  <c r="S17" i="30"/>
  <c r="S52" i="30"/>
  <c r="S66" i="30"/>
  <c r="R17" i="30"/>
  <c r="R66" i="30"/>
  <c r="Q17" i="30"/>
  <c r="Q52" i="30"/>
  <c r="Q66" i="30"/>
  <c r="P17" i="30"/>
  <c r="P66" i="30"/>
  <c r="O17" i="30"/>
  <c r="N17" i="30"/>
  <c r="N66" i="30"/>
  <c r="M17" i="30"/>
  <c r="L17" i="30"/>
  <c r="K17" i="30"/>
  <c r="K52" i="30"/>
  <c r="K66" i="30"/>
  <c r="J17" i="30"/>
  <c r="J66" i="30"/>
  <c r="I17" i="30"/>
  <c r="H17" i="30"/>
  <c r="H66" i="30"/>
  <c r="G17" i="30"/>
  <c r="G66" i="30"/>
  <c r="F17" i="30"/>
  <c r="F66" i="30"/>
  <c r="E17" i="30"/>
  <c r="E52" i="30"/>
  <c r="D17" i="30"/>
  <c r="AB21" i="30"/>
  <c r="AB65" i="30"/>
  <c r="AA21" i="30"/>
  <c r="AA51" i="30"/>
  <c r="Z21" i="30"/>
  <c r="Y21" i="30"/>
  <c r="Y65" i="30"/>
  <c r="X21" i="30"/>
  <c r="X65" i="30"/>
  <c r="W21" i="30"/>
  <c r="V21" i="30"/>
  <c r="U21" i="30"/>
  <c r="U65" i="30"/>
  <c r="T21" i="30"/>
  <c r="S21" i="30"/>
  <c r="R21" i="30"/>
  <c r="R65" i="30"/>
  <c r="Q21" i="30"/>
  <c r="Q65" i="30"/>
  <c r="P21" i="30"/>
  <c r="O21" i="30"/>
  <c r="O51" i="30"/>
  <c r="N21" i="30"/>
  <c r="N65" i="30"/>
  <c r="M21" i="30"/>
  <c r="M65" i="30"/>
  <c r="L21" i="30"/>
  <c r="L65" i="30"/>
  <c r="K21" i="30"/>
  <c r="K51" i="30"/>
  <c r="J21" i="30"/>
  <c r="J65" i="30"/>
  <c r="I21" i="30"/>
  <c r="I51" i="30"/>
  <c r="I65" i="30"/>
  <c r="H21" i="30"/>
  <c r="H65" i="30"/>
  <c r="G21" i="30"/>
  <c r="G51" i="30"/>
  <c r="F21" i="30"/>
  <c r="F65" i="30"/>
  <c r="E21" i="30"/>
  <c r="E51" i="30"/>
  <c r="D21" i="30"/>
  <c r="D65" i="30"/>
  <c r="AB25" i="30"/>
  <c r="AB64" i="30"/>
  <c r="AA25" i="30"/>
  <c r="AA64" i="30"/>
  <c r="Z25" i="30"/>
  <c r="Z64" i="30"/>
  <c r="Y25" i="30"/>
  <c r="Y50" i="30"/>
  <c r="X25" i="30"/>
  <c r="W25" i="30"/>
  <c r="W64" i="30"/>
  <c r="V25" i="30"/>
  <c r="V64" i="30"/>
  <c r="U25" i="30"/>
  <c r="U50" i="30"/>
  <c r="U64" i="30"/>
  <c r="T25" i="30"/>
  <c r="S25" i="30"/>
  <c r="S64" i="30"/>
  <c r="R25" i="30"/>
  <c r="Q25" i="30"/>
  <c r="Q50" i="30"/>
  <c r="Q64" i="30"/>
  <c r="P25" i="30"/>
  <c r="P64" i="30"/>
  <c r="O25" i="30"/>
  <c r="O64" i="30"/>
  <c r="N25" i="30"/>
  <c r="M25" i="30"/>
  <c r="L25" i="30"/>
  <c r="L64" i="30"/>
  <c r="K25" i="30"/>
  <c r="K64" i="30"/>
  <c r="J25" i="30"/>
  <c r="I25" i="30"/>
  <c r="I50" i="30"/>
  <c r="H25" i="30"/>
  <c r="H64" i="30"/>
  <c r="G25" i="30"/>
  <c r="G50" i="30"/>
  <c r="G64" i="30"/>
  <c r="F25" i="30"/>
  <c r="F64" i="30"/>
  <c r="E25" i="30"/>
  <c r="D25" i="30"/>
  <c r="D64" i="30"/>
  <c r="AA62" i="30"/>
  <c r="W62" i="30"/>
  <c r="S62" i="30"/>
  <c r="P62" i="30"/>
  <c r="N62" i="30"/>
  <c r="K62" i="30"/>
  <c r="AB61" i="30"/>
  <c r="Y61" i="30"/>
  <c r="U61" i="30"/>
  <c r="T61" i="30"/>
  <c r="Q61" i="30"/>
  <c r="N61" i="30"/>
  <c r="F61" i="30"/>
  <c r="E61" i="30"/>
  <c r="AB60" i="30"/>
  <c r="W60" i="30"/>
  <c r="O60" i="30"/>
  <c r="L60" i="30"/>
  <c r="H60" i="30"/>
  <c r="D60" i="30"/>
  <c r="Z59" i="30"/>
  <c r="R59" i="30"/>
  <c r="P59" i="30"/>
  <c r="M59" i="30"/>
  <c r="L59" i="30"/>
  <c r="H59" i="30"/>
  <c r="F59" i="30"/>
  <c r="AA58" i="30"/>
  <c r="W58" i="30"/>
  <c r="T58" i="30"/>
  <c r="N58" i="30"/>
  <c r="K58" i="30"/>
  <c r="F58" i="30"/>
  <c r="Z57" i="30"/>
  <c r="Y57" i="30"/>
  <c r="V57" i="30"/>
  <c r="U57" i="30"/>
  <c r="P57" i="30"/>
  <c r="J57" i="30"/>
  <c r="H57" i="30"/>
  <c r="F57" i="30"/>
  <c r="AA56" i="30"/>
  <c r="W56" i="30"/>
  <c r="V56" i="30"/>
  <c r="S56" i="30"/>
  <c r="P56" i="30"/>
  <c r="K56" i="30"/>
  <c r="AB55" i="30"/>
  <c r="Z55" i="30"/>
  <c r="U55" i="30"/>
  <c r="T55" i="30"/>
  <c r="P55" i="30"/>
  <c r="N55" i="30"/>
  <c r="J55" i="30"/>
  <c r="D55" i="30"/>
  <c r="Z54" i="30"/>
  <c r="X54" i="30"/>
  <c r="T54" i="30"/>
  <c r="S54" i="30"/>
  <c r="R54" i="30"/>
  <c r="J54" i="30"/>
  <c r="D54" i="30"/>
  <c r="Z53" i="30"/>
  <c r="V53" i="30"/>
  <c r="P53" i="30"/>
  <c r="N53" i="30"/>
  <c r="H53" i="30"/>
  <c r="AB52" i="30"/>
  <c r="AA52" i="30"/>
  <c r="X52" i="30"/>
  <c r="W52" i="30"/>
  <c r="R52" i="30"/>
  <c r="N52" i="30"/>
  <c r="J52" i="30"/>
  <c r="H52" i="30"/>
  <c r="G52" i="30"/>
  <c r="F52" i="30"/>
  <c r="AB51" i="30"/>
  <c r="Y51" i="30"/>
  <c r="X51" i="30"/>
  <c r="R51" i="30"/>
  <c r="Q51" i="30"/>
  <c r="M51" i="30"/>
  <c r="L51" i="30"/>
  <c r="J51" i="30"/>
  <c r="H51" i="30"/>
  <c r="F51" i="30"/>
  <c r="D51" i="30"/>
  <c r="AA50" i="30"/>
  <c r="W50" i="30"/>
  <c r="L50" i="30"/>
  <c r="K50" i="30"/>
  <c r="H50" i="30"/>
  <c r="F50" i="30"/>
  <c r="AB23" i="30"/>
  <c r="AB49" i="30"/>
  <c r="AA23" i="30"/>
  <c r="AA49" i="30"/>
  <c r="Z23" i="30"/>
  <c r="Z49" i="30"/>
  <c r="Y23" i="30"/>
  <c r="Y49" i="30"/>
  <c r="X23" i="30"/>
  <c r="X49" i="30"/>
  <c r="W23" i="30"/>
  <c r="W49" i="30"/>
  <c r="V23" i="30"/>
  <c r="V49" i="30"/>
  <c r="U23" i="30"/>
  <c r="U49" i="30"/>
  <c r="T23" i="30"/>
  <c r="T49" i="30"/>
  <c r="S23" i="30"/>
  <c r="S49" i="30"/>
  <c r="R23" i="30"/>
  <c r="R49" i="30"/>
  <c r="Q23" i="30"/>
  <c r="Q49" i="30"/>
  <c r="P23" i="30"/>
  <c r="P49" i="30"/>
  <c r="O23" i="30"/>
  <c r="O49" i="30"/>
  <c r="N23" i="30"/>
  <c r="N49" i="30"/>
  <c r="M23" i="30"/>
  <c r="M49" i="30"/>
  <c r="L23" i="30"/>
  <c r="L49" i="30"/>
  <c r="K23" i="30"/>
  <c r="K49" i="30"/>
  <c r="J23" i="30"/>
  <c r="J49" i="30"/>
  <c r="I23" i="30"/>
  <c r="I49" i="30"/>
  <c r="H23" i="30"/>
  <c r="H49" i="30"/>
  <c r="G23" i="30"/>
  <c r="G49" i="30"/>
  <c r="F23" i="30"/>
  <c r="F49" i="30"/>
  <c r="E23" i="30"/>
  <c r="E49" i="30"/>
  <c r="D23" i="30"/>
  <c r="D49" i="30"/>
  <c r="AB6" i="30"/>
  <c r="AB47" i="30"/>
  <c r="AA6" i="30"/>
  <c r="AA47" i="30"/>
  <c r="Z6" i="30"/>
  <c r="Z47" i="30"/>
  <c r="Y6" i="30"/>
  <c r="Y47" i="30"/>
  <c r="X6" i="30"/>
  <c r="X47" i="30"/>
  <c r="W6" i="30"/>
  <c r="W47" i="30"/>
  <c r="V6" i="30"/>
  <c r="V47" i="30"/>
  <c r="U6" i="30"/>
  <c r="T6" i="30"/>
  <c r="T47" i="30"/>
  <c r="S6" i="30"/>
  <c r="S47" i="30"/>
  <c r="R6" i="30"/>
  <c r="R47" i="30"/>
  <c r="Q6" i="30"/>
  <c r="Q47" i="30"/>
  <c r="P6" i="30"/>
  <c r="P47" i="30"/>
  <c r="O6" i="30"/>
  <c r="O47" i="30"/>
  <c r="N6" i="30"/>
  <c r="N47" i="30"/>
  <c r="M6" i="30"/>
  <c r="M47" i="30"/>
  <c r="L6" i="30"/>
  <c r="L47" i="30"/>
  <c r="K6" i="30"/>
  <c r="K47" i="30"/>
  <c r="J6" i="30"/>
  <c r="J47" i="30"/>
  <c r="I6" i="30"/>
  <c r="I47" i="30"/>
  <c r="H6" i="30"/>
  <c r="H47" i="30"/>
  <c r="G6" i="30"/>
  <c r="G47" i="30"/>
  <c r="F6" i="30"/>
  <c r="F47" i="30"/>
  <c r="E6" i="30"/>
  <c r="E47" i="30"/>
  <c r="D6" i="30"/>
  <c r="D47" i="30"/>
  <c r="AB10" i="30"/>
  <c r="AA10" i="30"/>
  <c r="AA46" i="30"/>
  <c r="Z10" i="30"/>
  <c r="Z46" i="30"/>
  <c r="Y10" i="30"/>
  <c r="Y46" i="30"/>
  <c r="X10" i="30"/>
  <c r="X46" i="30"/>
  <c r="W10" i="30"/>
  <c r="W46" i="30"/>
  <c r="V10" i="30"/>
  <c r="V46" i="30"/>
  <c r="U10" i="30"/>
  <c r="U46" i="30"/>
  <c r="T10" i="30"/>
  <c r="T46" i="30"/>
  <c r="S10" i="30"/>
  <c r="S46" i="30"/>
  <c r="R10" i="30"/>
  <c r="R46" i="30"/>
  <c r="Q10" i="30"/>
  <c r="Q46" i="30"/>
  <c r="P10" i="30"/>
  <c r="P46" i="30"/>
  <c r="O10" i="30"/>
  <c r="O46" i="30"/>
  <c r="N10" i="30"/>
  <c r="N46" i="30"/>
  <c r="M10" i="30"/>
  <c r="M46" i="30"/>
  <c r="L10" i="30"/>
  <c r="L46" i="30"/>
  <c r="K10" i="30"/>
  <c r="K46" i="30"/>
  <c r="J10" i="30"/>
  <c r="J46" i="30"/>
  <c r="I10" i="30"/>
  <c r="I46" i="30"/>
  <c r="H10" i="30"/>
  <c r="H46" i="30"/>
  <c r="G10" i="30"/>
  <c r="G46" i="30"/>
  <c r="F10" i="30"/>
  <c r="F46" i="30"/>
  <c r="E10" i="30"/>
  <c r="E46" i="30"/>
  <c r="D10" i="30"/>
  <c r="D46" i="30"/>
  <c r="AB15" i="30"/>
  <c r="AB44" i="30"/>
  <c r="AA15" i="30"/>
  <c r="AA44" i="30"/>
  <c r="Z15" i="30"/>
  <c r="Z44" i="30"/>
  <c r="Y15" i="30"/>
  <c r="Y44" i="30"/>
  <c r="X15" i="30"/>
  <c r="X44" i="30"/>
  <c r="W15" i="30"/>
  <c r="W44" i="30"/>
  <c r="V15" i="30"/>
  <c r="V44" i="30"/>
  <c r="U15" i="30"/>
  <c r="T15" i="30"/>
  <c r="T44" i="30"/>
  <c r="S15" i="30"/>
  <c r="S44" i="30"/>
  <c r="R15" i="30"/>
  <c r="R44" i="30"/>
  <c r="Q15" i="30"/>
  <c r="Q44" i="30"/>
  <c r="P15" i="30"/>
  <c r="P44" i="30"/>
  <c r="O15" i="30"/>
  <c r="O44" i="30"/>
  <c r="N15" i="30"/>
  <c r="N44" i="30"/>
  <c r="M15" i="30"/>
  <c r="M44" i="30"/>
  <c r="L15" i="30"/>
  <c r="L44" i="30"/>
  <c r="K15" i="30"/>
  <c r="K44" i="30"/>
  <c r="J15" i="30"/>
  <c r="J44" i="30"/>
  <c r="I15" i="30"/>
  <c r="I44" i="30"/>
  <c r="H15" i="30"/>
  <c r="H44" i="30"/>
  <c r="G15" i="30"/>
  <c r="G44" i="30"/>
  <c r="F15" i="30"/>
  <c r="F44" i="30"/>
  <c r="E15" i="30"/>
  <c r="E44" i="30"/>
  <c r="D15" i="30"/>
  <c r="D44" i="30"/>
  <c r="AB28" i="30"/>
  <c r="AB43" i="30"/>
  <c r="AA28" i="30"/>
  <c r="AA43" i="30"/>
  <c r="Z28" i="30"/>
  <c r="Z43" i="30"/>
  <c r="Y28" i="30"/>
  <c r="Y43" i="30"/>
  <c r="X28" i="30"/>
  <c r="X43" i="30"/>
  <c r="W28" i="30"/>
  <c r="W43" i="30"/>
  <c r="V28" i="30"/>
  <c r="V43" i="30"/>
  <c r="U28" i="30"/>
  <c r="U43" i="30"/>
  <c r="T28" i="30"/>
  <c r="T43" i="30"/>
  <c r="S28" i="30"/>
  <c r="S43" i="30"/>
  <c r="R28" i="30"/>
  <c r="R43" i="30"/>
  <c r="Q28" i="30"/>
  <c r="Q43" i="30"/>
  <c r="P28" i="30"/>
  <c r="P43" i="30"/>
  <c r="O28" i="30"/>
  <c r="O43" i="30"/>
  <c r="N28" i="30"/>
  <c r="N43" i="30"/>
  <c r="M28" i="30"/>
  <c r="M43" i="30"/>
  <c r="L28" i="30"/>
  <c r="L43" i="30"/>
  <c r="K28" i="30"/>
  <c r="K43" i="30"/>
  <c r="J28" i="30"/>
  <c r="J43" i="30"/>
  <c r="I28" i="30"/>
  <c r="I43" i="30"/>
  <c r="H28" i="30"/>
  <c r="H43" i="30"/>
  <c r="G28" i="30"/>
  <c r="G43" i="30"/>
  <c r="F28" i="30"/>
  <c r="F43" i="30"/>
  <c r="E28" i="30"/>
  <c r="E43" i="30"/>
  <c r="D28" i="30"/>
  <c r="D43" i="30"/>
  <c r="AB19" i="30"/>
  <c r="AB42" i="30"/>
  <c r="AA19" i="30"/>
  <c r="AA42" i="30"/>
  <c r="Z19" i="30"/>
  <c r="Z42" i="30"/>
  <c r="Y19" i="30"/>
  <c r="Y42" i="30"/>
  <c r="X19" i="30"/>
  <c r="X42" i="30"/>
  <c r="W19" i="30"/>
  <c r="W42" i="30"/>
  <c r="V19" i="30"/>
  <c r="V42" i="30"/>
  <c r="U19" i="30"/>
  <c r="T19" i="30"/>
  <c r="T42" i="30"/>
  <c r="S19" i="30"/>
  <c r="S42" i="30"/>
  <c r="R19" i="30"/>
  <c r="R42" i="30"/>
  <c r="Q19" i="30"/>
  <c r="Q42" i="30"/>
  <c r="P19" i="30"/>
  <c r="P42" i="30"/>
  <c r="O19" i="30"/>
  <c r="O42" i="30"/>
  <c r="N19" i="30"/>
  <c r="N42" i="30"/>
  <c r="M19" i="30"/>
  <c r="M42" i="30"/>
  <c r="L19" i="30"/>
  <c r="L42" i="30"/>
  <c r="K19" i="30"/>
  <c r="K42" i="30"/>
  <c r="J19" i="30"/>
  <c r="J42" i="30"/>
  <c r="I19" i="30"/>
  <c r="I42" i="30"/>
  <c r="H19" i="30"/>
  <c r="H42" i="30"/>
  <c r="G19" i="30"/>
  <c r="G42" i="30"/>
  <c r="F19" i="30"/>
  <c r="F42" i="30"/>
  <c r="E19" i="30"/>
  <c r="E42" i="30"/>
  <c r="D19" i="30"/>
  <c r="D42" i="30"/>
  <c r="AB8" i="30"/>
  <c r="AB41" i="30"/>
  <c r="AA8" i="30"/>
  <c r="AA41" i="30"/>
  <c r="Z8" i="30"/>
  <c r="Z41" i="30"/>
  <c r="Y8" i="30"/>
  <c r="Y41" i="30"/>
  <c r="X8" i="30"/>
  <c r="X41" i="30"/>
  <c r="W8" i="30"/>
  <c r="W41" i="30"/>
  <c r="V8" i="30"/>
  <c r="V41" i="30"/>
  <c r="U8" i="30"/>
  <c r="U41" i="30"/>
  <c r="T8" i="30"/>
  <c r="T41" i="30"/>
  <c r="S8" i="30"/>
  <c r="S41" i="30"/>
  <c r="R8" i="30"/>
  <c r="R41" i="30"/>
  <c r="Q8" i="30"/>
  <c r="Q41" i="30"/>
  <c r="P8" i="30"/>
  <c r="P41" i="30"/>
  <c r="O8" i="30"/>
  <c r="O41" i="30"/>
  <c r="N8" i="30"/>
  <c r="N41" i="30"/>
  <c r="M8" i="30"/>
  <c r="M41" i="30"/>
  <c r="L8" i="30"/>
  <c r="L41" i="30"/>
  <c r="K8" i="30"/>
  <c r="K41" i="30"/>
  <c r="J8" i="30"/>
  <c r="J41" i="30"/>
  <c r="I8" i="30"/>
  <c r="I41" i="30"/>
  <c r="H8" i="30"/>
  <c r="H41" i="30"/>
  <c r="G8" i="30"/>
  <c r="G41" i="30"/>
  <c r="F8" i="30"/>
  <c r="F41" i="30"/>
  <c r="E8" i="30"/>
  <c r="E41" i="30"/>
  <c r="D8" i="30"/>
  <c r="D41" i="30"/>
  <c r="AB4" i="30"/>
  <c r="AB40" i="30"/>
  <c r="AA4" i="30"/>
  <c r="AA40" i="30"/>
  <c r="Z4" i="30"/>
  <c r="Z40" i="30"/>
  <c r="Y4" i="30"/>
  <c r="Y40" i="30"/>
  <c r="X4" i="30"/>
  <c r="X40" i="30"/>
  <c r="W4" i="30"/>
  <c r="W40" i="30"/>
  <c r="V4" i="30"/>
  <c r="V40" i="30"/>
  <c r="U4" i="30"/>
  <c r="T4" i="30"/>
  <c r="T40" i="30"/>
  <c r="S4" i="30"/>
  <c r="S40" i="30"/>
  <c r="R4" i="30"/>
  <c r="R40" i="30"/>
  <c r="Q4" i="30"/>
  <c r="Q40" i="30"/>
  <c r="P4" i="30"/>
  <c r="P40" i="30"/>
  <c r="O4" i="30"/>
  <c r="O40" i="30"/>
  <c r="N4" i="30"/>
  <c r="N40" i="30"/>
  <c r="M4" i="30"/>
  <c r="M40" i="30"/>
  <c r="L4" i="30"/>
  <c r="L40" i="30"/>
  <c r="K4" i="30"/>
  <c r="K40" i="30"/>
  <c r="J4" i="30"/>
  <c r="J40" i="30"/>
  <c r="I4" i="30"/>
  <c r="I40" i="30"/>
  <c r="H4" i="30"/>
  <c r="H40" i="30"/>
  <c r="G4" i="30"/>
  <c r="G40" i="30"/>
  <c r="F4" i="30"/>
  <c r="F40" i="30"/>
  <c r="E4" i="30"/>
  <c r="E40" i="30"/>
  <c r="D4" i="30"/>
  <c r="D40" i="30"/>
  <c r="AB11" i="30"/>
  <c r="AB39" i="30"/>
  <c r="AA11" i="30"/>
  <c r="AA39" i="30"/>
  <c r="Z11" i="30"/>
  <c r="Z39" i="30"/>
  <c r="Y11" i="30"/>
  <c r="Y39" i="30"/>
  <c r="X11" i="30"/>
  <c r="X39" i="30"/>
  <c r="W11" i="30"/>
  <c r="W39" i="30"/>
  <c r="V11" i="30"/>
  <c r="V39" i="30"/>
  <c r="U11" i="30"/>
  <c r="U39" i="30"/>
  <c r="T11" i="30"/>
  <c r="T39" i="30"/>
  <c r="S11" i="30"/>
  <c r="S39" i="30"/>
  <c r="R11" i="30"/>
  <c r="R39" i="30"/>
  <c r="Q11" i="30"/>
  <c r="Q39" i="30"/>
  <c r="P11" i="30"/>
  <c r="P39" i="30"/>
  <c r="O11" i="30"/>
  <c r="O39" i="30"/>
  <c r="N11" i="30"/>
  <c r="N39" i="30"/>
  <c r="M11" i="30"/>
  <c r="M39" i="30"/>
  <c r="L11" i="30"/>
  <c r="L39" i="30"/>
  <c r="K11" i="30"/>
  <c r="K39" i="30"/>
  <c r="J11" i="30"/>
  <c r="J39" i="30"/>
  <c r="I11" i="30"/>
  <c r="I39" i="30"/>
  <c r="H11" i="30"/>
  <c r="H39" i="30"/>
  <c r="G11" i="30"/>
  <c r="G39" i="30"/>
  <c r="F11" i="30"/>
  <c r="F39" i="30"/>
  <c r="E11" i="30"/>
  <c r="E39" i="30"/>
  <c r="D11" i="30"/>
  <c r="C11" i="30"/>
  <c r="D39" i="30"/>
  <c r="AB2" i="30"/>
  <c r="AB38" i="30"/>
  <c r="AA2" i="30"/>
  <c r="AA38" i="30"/>
  <c r="Z2" i="30"/>
  <c r="Z38" i="30"/>
  <c r="Y2" i="30"/>
  <c r="Y38" i="30"/>
  <c r="X2" i="30"/>
  <c r="X38" i="30"/>
  <c r="W2" i="30"/>
  <c r="W38" i="30"/>
  <c r="V2" i="30"/>
  <c r="V38" i="30"/>
  <c r="U2" i="30"/>
  <c r="C2" i="30"/>
  <c r="C38" i="30"/>
  <c r="U38" i="30"/>
  <c r="T2" i="30"/>
  <c r="T38" i="30"/>
  <c r="S2" i="30"/>
  <c r="S38" i="30"/>
  <c r="R2" i="30"/>
  <c r="R38" i="30"/>
  <c r="Q2" i="30"/>
  <c r="Q38" i="30"/>
  <c r="P2" i="30"/>
  <c r="P38" i="30"/>
  <c r="O2" i="30"/>
  <c r="O38" i="30"/>
  <c r="N2" i="30"/>
  <c r="N38" i="30"/>
  <c r="M2" i="30"/>
  <c r="M38" i="30"/>
  <c r="L2" i="30"/>
  <c r="L38" i="30"/>
  <c r="K2" i="30"/>
  <c r="K38" i="30"/>
  <c r="J2" i="30"/>
  <c r="J38" i="30"/>
  <c r="I2" i="30"/>
  <c r="I38" i="30"/>
  <c r="H2" i="30"/>
  <c r="H38" i="30"/>
  <c r="G2" i="30"/>
  <c r="G38" i="30"/>
  <c r="F2" i="30"/>
  <c r="F38" i="30"/>
  <c r="E2" i="30"/>
  <c r="E38" i="30"/>
  <c r="D2" i="30"/>
  <c r="D38" i="30"/>
  <c r="AB22" i="30"/>
  <c r="AB37" i="30"/>
  <c r="AA22" i="30"/>
  <c r="AA37" i="30"/>
  <c r="Z22" i="30"/>
  <c r="Z37" i="30"/>
  <c r="Y22" i="30"/>
  <c r="Y37" i="30"/>
  <c r="X22" i="30"/>
  <c r="X37" i="30"/>
  <c r="W22" i="30"/>
  <c r="W37" i="30"/>
  <c r="V22" i="30"/>
  <c r="V37" i="30"/>
  <c r="U22" i="30"/>
  <c r="U37" i="30"/>
  <c r="T22" i="30"/>
  <c r="T37" i="30"/>
  <c r="S22" i="30"/>
  <c r="S37" i="30"/>
  <c r="R22" i="30"/>
  <c r="R37" i="30"/>
  <c r="Q22" i="30"/>
  <c r="Q37" i="30"/>
  <c r="P22" i="30"/>
  <c r="P37" i="30"/>
  <c r="O22" i="30"/>
  <c r="O37" i="30"/>
  <c r="N22" i="30"/>
  <c r="N37" i="30"/>
  <c r="M22" i="30"/>
  <c r="M37" i="30"/>
  <c r="L22" i="30"/>
  <c r="L37" i="30"/>
  <c r="K22" i="30"/>
  <c r="K37" i="30"/>
  <c r="J22" i="30"/>
  <c r="J37" i="30"/>
  <c r="I22" i="30"/>
  <c r="I37" i="30"/>
  <c r="H22" i="30"/>
  <c r="H37" i="30"/>
  <c r="G22" i="30"/>
  <c r="G37" i="30"/>
  <c r="F22" i="30"/>
  <c r="F37" i="30"/>
  <c r="E22" i="30"/>
  <c r="E37" i="30"/>
  <c r="D22" i="30"/>
  <c r="D37" i="30"/>
  <c r="AB26" i="30"/>
  <c r="AB36" i="30"/>
  <c r="AA26" i="30"/>
  <c r="AA36" i="30"/>
  <c r="Z26" i="30"/>
  <c r="Z36" i="30"/>
  <c r="Y26" i="30"/>
  <c r="Y36" i="30"/>
  <c r="X26" i="30"/>
  <c r="X36" i="30"/>
  <c r="W26" i="30"/>
  <c r="W36" i="30"/>
  <c r="V26" i="30"/>
  <c r="V36" i="30"/>
  <c r="U26" i="30"/>
  <c r="U36" i="30"/>
  <c r="T26" i="30"/>
  <c r="T36" i="30"/>
  <c r="S26" i="30"/>
  <c r="S36" i="30"/>
  <c r="R26" i="30"/>
  <c r="R36" i="30"/>
  <c r="Q26" i="30"/>
  <c r="Q36" i="30"/>
  <c r="P26" i="30"/>
  <c r="P36" i="30"/>
  <c r="O26" i="30"/>
  <c r="O36" i="30"/>
  <c r="N26" i="30"/>
  <c r="N36" i="30"/>
  <c r="M26" i="30"/>
  <c r="M36" i="30"/>
  <c r="L26" i="30"/>
  <c r="L36" i="30"/>
  <c r="K26" i="30"/>
  <c r="K36" i="30"/>
  <c r="J26" i="30"/>
  <c r="J36" i="30"/>
  <c r="I26" i="30"/>
  <c r="I36" i="30"/>
  <c r="H26" i="30"/>
  <c r="H36" i="30"/>
  <c r="G26" i="30"/>
  <c r="G36" i="30"/>
  <c r="F26" i="30"/>
  <c r="F36" i="30"/>
  <c r="E26" i="30"/>
  <c r="E36" i="30"/>
  <c r="D26" i="30"/>
  <c r="D36" i="30"/>
  <c r="AB30" i="30"/>
  <c r="AB35" i="30"/>
  <c r="AA30" i="30"/>
  <c r="AA35" i="30"/>
  <c r="Z30" i="30"/>
  <c r="Z35" i="30"/>
  <c r="Y30" i="30"/>
  <c r="Y35" i="30"/>
  <c r="X30" i="30"/>
  <c r="X35" i="30"/>
  <c r="W30" i="30"/>
  <c r="W35" i="30"/>
  <c r="V30" i="30"/>
  <c r="V35" i="30"/>
  <c r="U30" i="30"/>
  <c r="U35" i="30"/>
  <c r="T30" i="30"/>
  <c r="T35" i="30"/>
  <c r="S30" i="30"/>
  <c r="S35" i="30"/>
  <c r="R30" i="30"/>
  <c r="R35" i="30"/>
  <c r="Q30" i="30"/>
  <c r="Q35" i="30"/>
  <c r="P30" i="30"/>
  <c r="P35" i="30"/>
  <c r="O30" i="30"/>
  <c r="O35" i="30"/>
  <c r="N30" i="30"/>
  <c r="N35" i="30"/>
  <c r="M30" i="30"/>
  <c r="M35" i="30"/>
  <c r="L30" i="30"/>
  <c r="L35" i="30"/>
  <c r="K30" i="30"/>
  <c r="K35" i="30"/>
  <c r="J30" i="30"/>
  <c r="J35" i="30"/>
  <c r="I30" i="30"/>
  <c r="I35" i="30"/>
  <c r="H30" i="30"/>
  <c r="H35" i="30"/>
  <c r="G30" i="30"/>
  <c r="G35" i="30"/>
  <c r="F30" i="30"/>
  <c r="F35" i="30"/>
  <c r="E30" i="30"/>
  <c r="E35" i="30"/>
  <c r="D30" i="30"/>
  <c r="D35" i="30"/>
  <c r="AB14" i="30"/>
  <c r="AB34" i="30"/>
  <c r="AA14" i="30"/>
  <c r="AA34" i="30"/>
  <c r="Z14" i="30"/>
  <c r="Z34" i="30"/>
  <c r="Y14" i="30"/>
  <c r="Y34" i="30"/>
  <c r="X14" i="30"/>
  <c r="X34" i="30"/>
  <c r="W14" i="30"/>
  <c r="W34" i="30"/>
  <c r="V14" i="30"/>
  <c r="V34" i="30"/>
  <c r="U14" i="30"/>
  <c r="C14" i="30"/>
  <c r="C34" i="30"/>
  <c r="T14" i="30"/>
  <c r="T34" i="30"/>
  <c r="S14" i="30"/>
  <c r="S34" i="30"/>
  <c r="R14" i="30"/>
  <c r="R34" i="30"/>
  <c r="Q14" i="30"/>
  <c r="Q34" i="30"/>
  <c r="P14" i="30"/>
  <c r="P34" i="30"/>
  <c r="O14" i="30"/>
  <c r="O34" i="30"/>
  <c r="N14" i="30"/>
  <c r="N34" i="30"/>
  <c r="M14" i="30"/>
  <c r="M34" i="30"/>
  <c r="L14" i="30"/>
  <c r="L34" i="30"/>
  <c r="K14" i="30"/>
  <c r="K34" i="30"/>
  <c r="J14" i="30"/>
  <c r="J34" i="30"/>
  <c r="I14" i="30"/>
  <c r="I34" i="30"/>
  <c r="H14" i="30"/>
  <c r="H34" i="30"/>
  <c r="G14" i="30"/>
  <c r="G34" i="30"/>
  <c r="F14" i="30"/>
  <c r="F34" i="30"/>
  <c r="E14" i="30"/>
  <c r="E34" i="30"/>
  <c r="D14" i="30"/>
  <c r="D34" i="30"/>
  <c r="AB13" i="30"/>
  <c r="AB33" i="30"/>
  <c r="AA13" i="30"/>
  <c r="AA33" i="30"/>
  <c r="Z13" i="30"/>
  <c r="Z33" i="30"/>
  <c r="Y13" i="30"/>
  <c r="Y33" i="30"/>
  <c r="X13" i="30"/>
  <c r="X33" i="30"/>
  <c r="W13" i="30"/>
  <c r="W33" i="30"/>
  <c r="V13" i="30"/>
  <c r="V33" i="30"/>
  <c r="U13" i="30"/>
  <c r="U33" i="30"/>
  <c r="T13" i="30"/>
  <c r="T33" i="30"/>
  <c r="S13" i="30"/>
  <c r="S33" i="30"/>
  <c r="R13" i="30"/>
  <c r="R33" i="30"/>
  <c r="Q13" i="30"/>
  <c r="Q33" i="30"/>
  <c r="P13" i="30"/>
  <c r="P33" i="30"/>
  <c r="O13" i="30"/>
  <c r="O33" i="30"/>
  <c r="N13" i="30"/>
  <c r="N33" i="30"/>
  <c r="M13" i="30"/>
  <c r="M33" i="30"/>
  <c r="L13" i="30"/>
  <c r="L33" i="30"/>
  <c r="K13" i="30"/>
  <c r="K33" i="30"/>
  <c r="J13" i="30"/>
  <c r="J33" i="30"/>
  <c r="I13" i="30"/>
  <c r="I33" i="30"/>
  <c r="H13" i="30"/>
  <c r="H33" i="30"/>
  <c r="G13" i="30"/>
  <c r="G33" i="30"/>
  <c r="F13" i="30"/>
  <c r="F33" i="30"/>
  <c r="E13" i="30"/>
  <c r="E33" i="30"/>
  <c r="D13" i="30"/>
  <c r="D33" i="30"/>
  <c r="AB3" i="30"/>
  <c r="AB32" i="30"/>
  <c r="AA3" i="30"/>
  <c r="AA32" i="30"/>
  <c r="Z3" i="30"/>
  <c r="Z32" i="30"/>
  <c r="Y3" i="30"/>
  <c r="Y32" i="30"/>
  <c r="X3" i="30"/>
  <c r="X32" i="30"/>
  <c r="W3" i="30"/>
  <c r="W32" i="30"/>
  <c r="V3" i="30"/>
  <c r="V32" i="30"/>
  <c r="U3" i="30"/>
  <c r="T3" i="30"/>
  <c r="T32" i="30"/>
  <c r="S3" i="30"/>
  <c r="S32" i="30"/>
  <c r="R3" i="30"/>
  <c r="R32" i="30"/>
  <c r="Q3" i="30"/>
  <c r="Q32" i="30"/>
  <c r="P3" i="30"/>
  <c r="P32" i="30"/>
  <c r="O3" i="30"/>
  <c r="O32" i="30"/>
  <c r="N3" i="30"/>
  <c r="N32" i="30"/>
  <c r="M3" i="30"/>
  <c r="M32" i="30"/>
  <c r="L3" i="30"/>
  <c r="L32" i="30"/>
  <c r="K3" i="30"/>
  <c r="K32" i="30"/>
  <c r="J3" i="30"/>
  <c r="J32" i="30"/>
  <c r="I3" i="30"/>
  <c r="I32" i="30"/>
  <c r="H3" i="30"/>
  <c r="H32" i="30"/>
  <c r="G3" i="30"/>
  <c r="G32" i="30"/>
  <c r="F3" i="30"/>
  <c r="F32" i="30"/>
  <c r="E3" i="30"/>
  <c r="E32" i="30"/>
  <c r="D3" i="30"/>
  <c r="D32" i="30"/>
  <c r="BB76" i="29"/>
  <c r="BA76" i="29"/>
  <c r="AZ76" i="29"/>
  <c r="AY76" i="29"/>
  <c r="AX76" i="29"/>
  <c r="AW76" i="29"/>
  <c r="AV76" i="29"/>
  <c r="AU76" i="29"/>
  <c r="AT76" i="29"/>
  <c r="AS76" i="29"/>
  <c r="AR76" i="29"/>
  <c r="AQ76" i="29"/>
  <c r="AP76" i="29"/>
  <c r="AO76" i="29"/>
  <c r="AN76"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C27" i="29"/>
  <c r="C62"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18" i="29"/>
  <c r="C61"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12" i="29"/>
  <c r="C74"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 i="29"/>
  <c r="H7" i="5"/>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16" i="29"/>
  <c r="C58"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29" i="29"/>
  <c r="C71" i="29"/>
  <c r="BB70" i="29"/>
  <c r="BA70" i="29"/>
  <c r="AZ70" i="29"/>
  <c r="AY70" i="29"/>
  <c r="AX70" i="29"/>
  <c r="AW70" i="29"/>
  <c r="AV70" i="29"/>
  <c r="AU70" i="29"/>
  <c r="AT70" i="29"/>
  <c r="AS70" i="29"/>
  <c r="AR70" i="29"/>
  <c r="AQ70" i="29"/>
  <c r="AP70" i="29"/>
  <c r="AO70" i="29"/>
  <c r="AN70" i="29"/>
  <c r="AM70" i="29"/>
  <c r="AL70" i="29"/>
  <c r="AK70" i="29"/>
  <c r="AJ70" i="29"/>
  <c r="AI70" i="29"/>
  <c r="AH70" i="29"/>
  <c r="AG70" i="29"/>
  <c r="AF70" i="29"/>
  <c r="AE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D70" i="29"/>
  <c r="C20"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24" i="29"/>
  <c r="C55" i="29"/>
  <c r="C69"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9" i="29"/>
  <c r="C68"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5" i="29"/>
  <c r="C67"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17" i="29"/>
  <c r="H17" i="5"/>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21" i="29"/>
  <c r="C65"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Q63" i="29"/>
  <c r="P64" i="29"/>
  <c r="O64" i="29"/>
  <c r="N64" i="29"/>
  <c r="M64" i="29"/>
  <c r="L64" i="29"/>
  <c r="K64" i="29"/>
  <c r="J64" i="29"/>
  <c r="I64" i="29"/>
  <c r="H64" i="29"/>
  <c r="G64" i="29"/>
  <c r="F64" i="29"/>
  <c r="E64" i="29"/>
  <c r="D64" i="29"/>
  <c r="C25" i="29"/>
  <c r="H25" i="5"/>
  <c r="H64" i="5"/>
  <c r="C64"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D55" i="18"/>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S48" i="29"/>
  <c r="R49" i="29"/>
  <c r="Q49" i="29"/>
  <c r="P49" i="29"/>
  <c r="O49" i="29"/>
  <c r="N49" i="29"/>
  <c r="N48" i="29"/>
  <c r="M49" i="29"/>
  <c r="L49" i="29"/>
  <c r="K49" i="29"/>
  <c r="J49" i="29"/>
  <c r="I49" i="29"/>
  <c r="H49" i="29"/>
  <c r="G49" i="29"/>
  <c r="F49" i="29"/>
  <c r="E49" i="29"/>
  <c r="D49" i="29"/>
  <c r="C23" i="29"/>
  <c r="C49"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6" i="29"/>
  <c r="C47"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AA45" i="29"/>
  <c r="Z46" i="29"/>
  <c r="Z45" i="29"/>
  <c r="Y46" i="29"/>
  <c r="X46" i="29"/>
  <c r="W46" i="29"/>
  <c r="V46" i="29"/>
  <c r="U46" i="29"/>
  <c r="T46" i="29"/>
  <c r="S46" i="29"/>
  <c r="R46" i="29"/>
  <c r="Q46" i="29"/>
  <c r="P46" i="29"/>
  <c r="O46" i="29"/>
  <c r="N46" i="29"/>
  <c r="M46" i="29"/>
  <c r="L46" i="29"/>
  <c r="K46" i="29"/>
  <c r="K45" i="29"/>
  <c r="J46" i="29"/>
  <c r="J45" i="29"/>
  <c r="I46" i="29"/>
  <c r="I45" i="29"/>
  <c r="H46" i="29"/>
  <c r="G46" i="29"/>
  <c r="F46" i="29"/>
  <c r="E46" i="29"/>
  <c r="D46" i="29"/>
  <c r="C10" i="29"/>
  <c r="C46" i="29"/>
  <c r="AY45" i="29"/>
  <c r="Y45" i="29"/>
  <c r="S45"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BB43" i="29"/>
  <c r="BA43" i="29"/>
  <c r="AZ43" i="29"/>
  <c r="AY43" i="29"/>
  <c r="AX43" i="29"/>
  <c r="AW43" i="29"/>
  <c r="AV43" i="29"/>
  <c r="AU43" i="29"/>
  <c r="AT43" i="29"/>
  <c r="AS43" i="29"/>
  <c r="AR43" i="29"/>
  <c r="AQ43" i="29"/>
  <c r="AP43" i="29"/>
  <c r="AO43" i="29"/>
  <c r="AN43" i="29"/>
  <c r="AM43" i="29"/>
  <c r="AL43" i="29"/>
  <c r="AK43" i="29"/>
  <c r="AJ43" i="29"/>
  <c r="AI43" i="29"/>
  <c r="AH43" i="29"/>
  <c r="AG43" i="29"/>
  <c r="AF43" i="29"/>
  <c r="AE43" i="29"/>
  <c r="AD43" i="29"/>
  <c r="AC43" i="29"/>
  <c r="AB43" i="29"/>
  <c r="AA43" i="29"/>
  <c r="Z43" i="29"/>
  <c r="Y43" i="29"/>
  <c r="X43" i="29"/>
  <c r="W43" i="29"/>
  <c r="V43" i="29"/>
  <c r="U43" i="29"/>
  <c r="T43" i="29"/>
  <c r="S43" i="29"/>
  <c r="R43" i="29"/>
  <c r="Q43" i="29"/>
  <c r="P43" i="29"/>
  <c r="O43" i="29"/>
  <c r="N43" i="29"/>
  <c r="M43" i="29"/>
  <c r="L43" i="29"/>
  <c r="K43" i="29"/>
  <c r="J43" i="29"/>
  <c r="I43" i="29"/>
  <c r="H43" i="29"/>
  <c r="G43" i="29"/>
  <c r="F43" i="29"/>
  <c r="E43" i="29"/>
  <c r="D43"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T31" i="29"/>
  <c r="S38" i="29"/>
  <c r="R38" i="29"/>
  <c r="Q38" i="29"/>
  <c r="P38" i="29"/>
  <c r="O38" i="29"/>
  <c r="N38" i="29"/>
  <c r="M38" i="29"/>
  <c r="L38" i="29"/>
  <c r="K38" i="29"/>
  <c r="J38" i="29"/>
  <c r="I38" i="29"/>
  <c r="H38" i="29"/>
  <c r="G38" i="29"/>
  <c r="F38" i="29"/>
  <c r="E38" i="29"/>
  <c r="D38" i="29"/>
  <c r="BB37" i="29"/>
  <c r="BA37" i="29"/>
  <c r="AZ37" i="29"/>
  <c r="AY37" i="29"/>
  <c r="AX37" i="29"/>
  <c r="AW37" i="29"/>
  <c r="AV37" i="29"/>
  <c r="AU37" i="29"/>
  <c r="AT37" i="29"/>
  <c r="AS37" i="29"/>
  <c r="AR37" i="29"/>
  <c r="AQ37" i="29"/>
  <c r="AP37" i="29"/>
  <c r="AO37" i="29"/>
  <c r="AN37" i="29"/>
  <c r="AM37" i="29"/>
  <c r="AL37"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H37" i="29"/>
  <c r="G37" i="29"/>
  <c r="F37" i="29"/>
  <c r="E37" i="29"/>
  <c r="D37"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M31" i="29"/>
  <c r="L35" i="29"/>
  <c r="K35" i="29"/>
  <c r="J35" i="29"/>
  <c r="I35" i="29"/>
  <c r="H35" i="29"/>
  <c r="G35" i="29"/>
  <c r="F35" i="29"/>
  <c r="E35" i="29"/>
  <c r="D35"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D31" i="29"/>
  <c r="AC32" i="29"/>
  <c r="AB32" i="29"/>
  <c r="AB31" i="29"/>
  <c r="AA32" i="29"/>
  <c r="Z32" i="29"/>
  <c r="Y32" i="29"/>
  <c r="X32" i="29"/>
  <c r="W32" i="29"/>
  <c r="W31" i="29"/>
  <c r="V32" i="29"/>
  <c r="U32" i="29"/>
  <c r="U31" i="29"/>
  <c r="T32" i="29"/>
  <c r="S32" i="29"/>
  <c r="R32" i="29"/>
  <c r="Q32" i="29"/>
  <c r="P32" i="29"/>
  <c r="O32" i="29"/>
  <c r="N32" i="29"/>
  <c r="N31" i="29"/>
  <c r="M32" i="29"/>
  <c r="L32" i="29"/>
  <c r="L31" i="29"/>
  <c r="K32" i="29"/>
  <c r="J32" i="29"/>
  <c r="I32" i="29"/>
  <c r="H32" i="29"/>
  <c r="G32" i="29"/>
  <c r="G31" i="29"/>
  <c r="F32" i="29"/>
  <c r="E32" i="29"/>
  <c r="E31" i="29"/>
  <c r="D32" i="29"/>
  <c r="D31" i="29"/>
  <c r="AJ31" i="29"/>
  <c r="O31" i="29"/>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27" i="41"/>
  <c r="AC76" i="41"/>
  <c r="AB76" i="41"/>
  <c r="AA76" i="41"/>
  <c r="Z76" i="41"/>
  <c r="Y76" i="41"/>
  <c r="X76" i="41"/>
  <c r="W76" i="41"/>
  <c r="V76" i="41"/>
  <c r="U76" i="41"/>
  <c r="T76" i="41"/>
  <c r="S76" i="41"/>
  <c r="R76" i="41"/>
  <c r="Q76" i="41"/>
  <c r="P76" i="41"/>
  <c r="O76" i="41"/>
  <c r="N76" i="41"/>
  <c r="M76" i="41"/>
  <c r="L76" i="41"/>
  <c r="K76" i="41"/>
  <c r="J76" i="41"/>
  <c r="I76" i="41"/>
  <c r="H76" i="41"/>
  <c r="G76" i="41"/>
  <c r="F76" i="41"/>
  <c r="E76" i="41"/>
  <c r="D76" i="41"/>
  <c r="C27" i="41"/>
  <c r="C76"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18" i="41"/>
  <c r="AC75" i="41"/>
  <c r="AB75" i="41"/>
  <c r="AA75" i="41"/>
  <c r="Z75" i="41"/>
  <c r="Y75" i="41"/>
  <c r="X75" i="41"/>
  <c r="W75" i="41"/>
  <c r="V75" i="41"/>
  <c r="U75" i="41"/>
  <c r="T75" i="41"/>
  <c r="S75" i="41"/>
  <c r="R75" i="41"/>
  <c r="Q75" i="41"/>
  <c r="P75" i="41"/>
  <c r="O75" i="41"/>
  <c r="N75" i="41"/>
  <c r="M75" i="41"/>
  <c r="L75" i="41"/>
  <c r="K75" i="41"/>
  <c r="J75" i="41"/>
  <c r="I75" i="41"/>
  <c r="H75" i="41"/>
  <c r="G75" i="41"/>
  <c r="F75" i="41"/>
  <c r="E75" i="41"/>
  <c r="D75" i="41"/>
  <c r="C18" i="41"/>
  <c r="C75"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12" i="41"/>
  <c r="AC74" i="41"/>
  <c r="AB74" i="41"/>
  <c r="AA74" i="41"/>
  <c r="Z74" i="41"/>
  <c r="Y74" i="41"/>
  <c r="X74" i="41"/>
  <c r="W74" i="41"/>
  <c r="V74" i="41"/>
  <c r="U74" i="41"/>
  <c r="T74" i="41"/>
  <c r="S74" i="41"/>
  <c r="R74" i="41"/>
  <c r="Q74" i="41"/>
  <c r="P74" i="41"/>
  <c r="O74" i="41"/>
  <c r="N74" i="41"/>
  <c r="M74" i="41"/>
  <c r="L74" i="41"/>
  <c r="K74" i="41"/>
  <c r="J74" i="41"/>
  <c r="I74" i="41"/>
  <c r="H74" i="41"/>
  <c r="G74" i="41"/>
  <c r="F74" i="41"/>
  <c r="E74" i="41"/>
  <c r="D74" i="41"/>
  <c r="C74"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 i="41"/>
  <c r="AC73" i="41"/>
  <c r="AB73" i="41"/>
  <c r="AA73" i="41"/>
  <c r="Z73" i="41"/>
  <c r="Y73" i="41"/>
  <c r="X73" i="41"/>
  <c r="W73" i="41"/>
  <c r="V73" i="41"/>
  <c r="U73" i="41"/>
  <c r="T73" i="41"/>
  <c r="S73" i="41"/>
  <c r="R73" i="41"/>
  <c r="Q73" i="41"/>
  <c r="P73" i="41"/>
  <c r="O73" i="41"/>
  <c r="N73" i="41"/>
  <c r="M73" i="41"/>
  <c r="L73" i="41"/>
  <c r="K73" i="41"/>
  <c r="J73" i="41"/>
  <c r="I73" i="41"/>
  <c r="H73" i="41"/>
  <c r="G73" i="41"/>
  <c r="F73" i="41"/>
  <c r="E73" i="41"/>
  <c r="D73" i="41"/>
  <c r="C7" i="41"/>
  <c r="C73"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16" i="41"/>
  <c r="AC72" i="41"/>
  <c r="AB72" i="41"/>
  <c r="AA72" i="41"/>
  <c r="Z72" i="41"/>
  <c r="Y72" i="41"/>
  <c r="X72" i="41"/>
  <c r="W72" i="41"/>
  <c r="V72" i="41"/>
  <c r="U72" i="41"/>
  <c r="T72" i="41"/>
  <c r="S72" i="41"/>
  <c r="R72" i="41"/>
  <c r="Q72" i="41"/>
  <c r="P72" i="41"/>
  <c r="O72" i="41"/>
  <c r="N72" i="41"/>
  <c r="M72" i="41"/>
  <c r="L72" i="41"/>
  <c r="K72" i="41"/>
  <c r="J72" i="41"/>
  <c r="I72" i="41"/>
  <c r="H72" i="41"/>
  <c r="G72" i="41"/>
  <c r="F72" i="41"/>
  <c r="E72" i="41"/>
  <c r="D72" i="41"/>
  <c r="C16" i="41"/>
  <c r="C72"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29" i="41"/>
  <c r="AC71" i="41"/>
  <c r="AB71" i="41"/>
  <c r="AA71" i="41"/>
  <c r="Z71" i="41"/>
  <c r="Y71" i="41"/>
  <c r="X71" i="41"/>
  <c r="W71" i="41"/>
  <c r="V71" i="41"/>
  <c r="U71" i="41"/>
  <c r="T71" i="41"/>
  <c r="S71" i="41"/>
  <c r="R71" i="41"/>
  <c r="Q71" i="41"/>
  <c r="P71" i="41"/>
  <c r="O71" i="41"/>
  <c r="N71" i="41"/>
  <c r="M71" i="41"/>
  <c r="L71" i="41"/>
  <c r="K71" i="41"/>
  <c r="J71" i="41"/>
  <c r="I71" i="41"/>
  <c r="H71" i="41"/>
  <c r="G71" i="41"/>
  <c r="F71" i="41"/>
  <c r="E71" i="41"/>
  <c r="D71" i="41"/>
  <c r="C29" i="41"/>
  <c r="C71"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20" i="41"/>
  <c r="AC70" i="41"/>
  <c r="AB70" i="41"/>
  <c r="AA70" i="41"/>
  <c r="Z70" i="41"/>
  <c r="Y70" i="41"/>
  <c r="X70" i="41"/>
  <c r="W70" i="41"/>
  <c r="V70" i="41"/>
  <c r="U70" i="41"/>
  <c r="T70" i="41"/>
  <c r="S70" i="41"/>
  <c r="R70" i="41"/>
  <c r="Q70" i="41"/>
  <c r="P70" i="41"/>
  <c r="O70" i="41"/>
  <c r="N70" i="41"/>
  <c r="M70" i="41"/>
  <c r="L70" i="41"/>
  <c r="K70" i="41"/>
  <c r="J70" i="41"/>
  <c r="I70" i="41"/>
  <c r="H70" i="41"/>
  <c r="G70" i="41"/>
  <c r="F70" i="41"/>
  <c r="E70" i="41"/>
  <c r="D70" i="41"/>
  <c r="C20" i="41"/>
  <c r="C70"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24" i="41"/>
  <c r="AC69" i="41"/>
  <c r="AB69" i="41"/>
  <c r="AA69" i="41"/>
  <c r="Z69" i="41"/>
  <c r="Y69" i="41"/>
  <c r="X69" i="41"/>
  <c r="W69" i="41"/>
  <c r="V69" i="41"/>
  <c r="U69" i="41"/>
  <c r="T69" i="41"/>
  <c r="S69" i="41"/>
  <c r="R69" i="41"/>
  <c r="Q69" i="41"/>
  <c r="P69" i="41"/>
  <c r="O69" i="41"/>
  <c r="N69" i="41"/>
  <c r="M69" i="41"/>
  <c r="L69" i="41"/>
  <c r="K69" i="41"/>
  <c r="J69" i="41"/>
  <c r="I69" i="41"/>
  <c r="H69" i="41"/>
  <c r="G69" i="41"/>
  <c r="F69" i="41"/>
  <c r="E69" i="41"/>
  <c r="D69" i="41"/>
  <c r="C24" i="41"/>
  <c r="C69"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9" i="41"/>
  <c r="AC68" i="41"/>
  <c r="AB68" i="41"/>
  <c r="AA68" i="41"/>
  <c r="Z68" i="41"/>
  <c r="Y68" i="41"/>
  <c r="X68" i="41"/>
  <c r="W68" i="41"/>
  <c r="V68" i="41"/>
  <c r="U68" i="41"/>
  <c r="T68" i="41"/>
  <c r="S68" i="41"/>
  <c r="R68" i="41"/>
  <c r="Q68" i="41"/>
  <c r="P68" i="41"/>
  <c r="O68" i="41"/>
  <c r="N68" i="41"/>
  <c r="M68" i="41"/>
  <c r="L68" i="41"/>
  <c r="K68" i="41"/>
  <c r="J68" i="41"/>
  <c r="I68" i="41"/>
  <c r="H68" i="41"/>
  <c r="G68" i="41"/>
  <c r="F68" i="41"/>
  <c r="E68" i="41"/>
  <c r="D68" i="41"/>
  <c r="C9" i="41"/>
  <c r="C68"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5" i="41"/>
  <c r="AC67" i="41"/>
  <c r="AB67" i="41"/>
  <c r="AA67" i="41"/>
  <c r="Z67" i="41"/>
  <c r="Y67" i="41"/>
  <c r="X67" i="41"/>
  <c r="W67" i="41"/>
  <c r="V67" i="41"/>
  <c r="U67" i="41"/>
  <c r="T67" i="41"/>
  <c r="S67" i="41"/>
  <c r="R67" i="41"/>
  <c r="Q67" i="41"/>
  <c r="P67" i="41"/>
  <c r="O67" i="41"/>
  <c r="N67" i="41"/>
  <c r="M67" i="41"/>
  <c r="L67" i="41"/>
  <c r="K67" i="41"/>
  <c r="J67" i="41"/>
  <c r="I67" i="41"/>
  <c r="H67" i="41"/>
  <c r="G67" i="41"/>
  <c r="F67" i="41"/>
  <c r="E67" i="41"/>
  <c r="D67" i="41"/>
  <c r="C5" i="41"/>
  <c r="C67"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17" i="41"/>
  <c r="AC66" i="41"/>
  <c r="AB66" i="41"/>
  <c r="AA66" i="41"/>
  <c r="Z66" i="41"/>
  <c r="Y66" i="41"/>
  <c r="X66" i="41"/>
  <c r="W66" i="41"/>
  <c r="V66" i="41"/>
  <c r="U66" i="41"/>
  <c r="T66" i="41"/>
  <c r="S66" i="41"/>
  <c r="R66" i="41"/>
  <c r="Q66" i="41"/>
  <c r="P66" i="41"/>
  <c r="O66" i="41"/>
  <c r="N66" i="41"/>
  <c r="M66" i="41"/>
  <c r="L66" i="41"/>
  <c r="K66" i="41"/>
  <c r="J66" i="41"/>
  <c r="I66" i="41"/>
  <c r="H66" i="41"/>
  <c r="G66" i="41"/>
  <c r="F66" i="41"/>
  <c r="E66" i="41"/>
  <c r="D66" i="41"/>
  <c r="C17" i="41"/>
  <c r="C66"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21" i="41"/>
  <c r="AC65" i="41"/>
  <c r="AB65" i="41"/>
  <c r="AA65" i="41"/>
  <c r="Z65" i="41"/>
  <c r="Y65" i="41"/>
  <c r="X65" i="41"/>
  <c r="W65" i="41"/>
  <c r="V65" i="41"/>
  <c r="U65" i="41"/>
  <c r="T65" i="41"/>
  <c r="S65" i="41"/>
  <c r="R65" i="41"/>
  <c r="Q65" i="41"/>
  <c r="P65" i="41"/>
  <c r="O65" i="41"/>
  <c r="N65" i="41"/>
  <c r="M65" i="41"/>
  <c r="L65" i="41"/>
  <c r="K65" i="41"/>
  <c r="J65" i="41"/>
  <c r="I65" i="41"/>
  <c r="H65" i="41"/>
  <c r="G65" i="41"/>
  <c r="F65" i="41"/>
  <c r="E65" i="41"/>
  <c r="D65" i="41"/>
  <c r="C21" i="41"/>
  <c r="C65"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25" i="41"/>
  <c r="AC64" i="41"/>
  <c r="AB64" i="41"/>
  <c r="AA64" i="41"/>
  <c r="Z64" i="41"/>
  <c r="Y64" i="41"/>
  <c r="X64" i="41"/>
  <c r="W64" i="41"/>
  <c r="V64" i="41"/>
  <c r="U64" i="41"/>
  <c r="T64" i="41"/>
  <c r="S64" i="41"/>
  <c r="R64" i="41"/>
  <c r="Q64" i="41"/>
  <c r="P64" i="41"/>
  <c r="O64" i="41"/>
  <c r="N64" i="41"/>
  <c r="M64" i="41"/>
  <c r="L64" i="41"/>
  <c r="K64" i="41"/>
  <c r="J64" i="41"/>
  <c r="I64" i="41"/>
  <c r="H64" i="41"/>
  <c r="G64" i="41"/>
  <c r="F64" i="41"/>
  <c r="E64" i="41"/>
  <c r="D64" i="41"/>
  <c r="C25" i="41"/>
  <c r="C64"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P63" i="41"/>
  <c r="O63" i="41"/>
  <c r="N63" i="41"/>
  <c r="M63" i="41"/>
  <c r="L63" i="41"/>
  <c r="K63" i="41"/>
  <c r="J63" i="41"/>
  <c r="I63" i="41"/>
  <c r="H63" i="41"/>
  <c r="G63" i="41"/>
  <c r="F63" i="41"/>
  <c r="E63" i="41"/>
  <c r="D63" i="41"/>
  <c r="C63"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P62" i="41"/>
  <c r="O62" i="41"/>
  <c r="N62" i="41"/>
  <c r="M62" i="41"/>
  <c r="L62" i="41"/>
  <c r="K62" i="41"/>
  <c r="J62" i="41"/>
  <c r="I62" i="41"/>
  <c r="H62" i="41"/>
  <c r="G62" i="41"/>
  <c r="F62" i="41"/>
  <c r="E62" i="41"/>
  <c r="D62" i="41"/>
  <c r="C62"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P61" i="41"/>
  <c r="O61" i="41"/>
  <c r="N61" i="41"/>
  <c r="M61" i="41"/>
  <c r="L61" i="41"/>
  <c r="K61" i="41"/>
  <c r="J61" i="41"/>
  <c r="I61" i="41"/>
  <c r="H61" i="41"/>
  <c r="G61" i="41"/>
  <c r="F61" i="41"/>
  <c r="E61" i="41"/>
  <c r="D61" i="41"/>
  <c r="C61"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P60" i="41"/>
  <c r="O60" i="41"/>
  <c r="N60" i="41"/>
  <c r="M60" i="41"/>
  <c r="L60" i="41"/>
  <c r="K60" i="41"/>
  <c r="J60" i="41"/>
  <c r="I60" i="41"/>
  <c r="H60" i="41"/>
  <c r="G60" i="41"/>
  <c r="F60" i="41"/>
  <c r="E60" i="41"/>
  <c r="D60" i="41"/>
  <c r="C60"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P59" i="41"/>
  <c r="O59" i="41"/>
  <c r="N59" i="41"/>
  <c r="M59" i="41"/>
  <c r="L59" i="41"/>
  <c r="K59" i="41"/>
  <c r="J59" i="41"/>
  <c r="I59" i="41"/>
  <c r="H59" i="41"/>
  <c r="G59" i="41"/>
  <c r="F59" i="41"/>
  <c r="E59" i="41"/>
  <c r="D59" i="41"/>
  <c r="C59"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P58" i="41"/>
  <c r="O58" i="41"/>
  <c r="N58" i="41"/>
  <c r="M58" i="41"/>
  <c r="L58" i="41"/>
  <c r="K58" i="41"/>
  <c r="J58" i="41"/>
  <c r="I58" i="41"/>
  <c r="H58" i="41"/>
  <c r="G58" i="41"/>
  <c r="F58" i="41"/>
  <c r="E58" i="41"/>
  <c r="D58" i="41"/>
  <c r="C58"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P57" i="41"/>
  <c r="O57" i="41"/>
  <c r="N57" i="41"/>
  <c r="M57" i="41"/>
  <c r="L57" i="41"/>
  <c r="K57" i="41"/>
  <c r="J57" i="41"/>
  <c r="I57" i="41"/>
  <c r="H57" i="41"/>
  <c r="G57" i="41"/>
  <c r="F57" i="41"/>
  <c r="E57" i="41"/>
  <c r="D57" i="41"/>
  <c r="C57"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P56" i="41"/>
  <c r="O56" i="41"/>
  <c r="N56" i="41"/>
  <c r="M56" i="41"/>
  <c r="L56" i="41"/>
  <c r="K56" i="41"/>
  <c r="J56" i="41"/>
  <c r="I56" i="41"/>
  <c r="H56" i="41"/>
  <c r="G56" i="41"/>
  <c r="F56" i="41"/>
  <c r="E56" i="41"/>
  <c r="D56" i="41"/>
  <c r="C56"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P55" i="41"/>
  <c r="O55" i="41"/>
  <c r="N55" i="41"/>
  <c r="M55" i="41"/>
  <c r="L55" i="41"/>
  <c r="K55" i="41"/>
  <c r="J55" i="41"/>
  <c r="I55" i="41"/>
  <c r="H55" i="41"/>
  <c r="G55" i="41"/>
  <c r="F55" i="41"/>
  <c r="E55" i="41"/>
  <c r="D55" i="41"/>
  <c r="C55"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4" i="41"/>
  <c r="J54" i="41"/>
  <c r="I54" i="41"/>
  <c r="H54" i="41"/>
  <c r="G54" i="41"/>
  <c r="F54" i="41"/>
  <c r="E54" i="41"/>
  <c r="D54" i="41"/>
  <c r="C54"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P53" i="41"/>
  <c r="O53" i="41"/>
  <c r="N53" i="41"/>
  <c r="M53" i="41"/>
  <c r="L53" i="41"/>
  <c r="K53" i="41"/>
  <c r="J53" i="41"/>
  <c r="I53" i="41"/>
  <c r="H53" i="41"/>
  <c r="G53" i="41"/>
  <c r="F53" i="41"/>
  <c r="E53" i="41"/>
  <c r="D53" i="41"/>
  <c r="C53"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P52" i="41"/>
  <c r="O52" i="41"/>
  <c r="N52" i="41"/>
  <c r="M52" i="41"/>
  <c r="L52" i="41"/>
  <c r="K52" i="41"/>
  <c r="J52" i="41"/>
  <c r="I52" i="41"/>
  <c r="H52" i="41"/>
  <c r="G52" i="41"/>
  <c r="F52" i="41"/>
  <c r="E52" i="41"/>
  <c r="D52" i="41"/>
  <c r="C52"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P51" i="41"/>
  <c r="O51" i="41"/>
  <c r="N51" i="41"/>
  <c r="M51" i="41"/>
  <c r="L51" i="41"/>
  <c r="K51" i="41"/>
  <c r="J51" i="41"/>
  <c r="I51" i="41"/>
  <c r="H51" i="41"/>
  <c r="G51" i="41"/>
  <c r="F51" i="41"/>
  <c r="E51" i="41"/>
  <c r="D51" i="41"/>
  <c r="C51"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P50" i="41"/>
  <c r="O50" i="41"/>
  <c r="N50" i="41"/>
  <c r="M50" i="41"/>
  <c r="L50" i="41"/>
  <c r="K50" i="41"/>
  <c r="J50" i="41"/>
  <c r="I50" i="41"/>
  <c r="H50" i="41"/>
  <c r="G50" i="41"/>
  <c r="F50" i="41"/>
  <c r="E50" i="41"/>
  <c r="D50" i="41"/>
  <c r="C50"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23" i="41"/>
  <c r="AC49" i="41"/>
  <c r="AB49" i="41"/>
  <c r="AA49" i="41"/>
  <c r="Z49" i="41"/>
  <c r="Y49" i="41"/>
  <c r="X49" i="41"/>
  <c r="W49" i="41"/>
  <c r="V49" i="41"/>
  <c r="U49" i="41"/>
  <c r="T49" i="41"/>
  <c r="S49" i="41"/>
  <c r="R49" i="41"/>
  <c r="Q49" i="41"/>
  <c r="P49" i="41"/>
  <c r="O49" i="41"/>
  <c r="N49" i="41"/>
  <c r="M49" i="41"/>
  <c r="L49" i="41"/>
  <c r="K49" i="41"/>
  <c r="J49" i="41"/>
  <c r="I49" i="41"/>
  <c r="H49" i="41"/>
  <c r="G49" i="41"/>
  <c r="F49" i="41"/>
  <c r="E49" i="41"/>
  <c r="D49" i="41"/>
  <c r="C23" i="41"/>
  <c r="C49"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P48" i="41"/>
  <c r="O48" i="41"/>
  <c r="N48" i="41"/>
  <c r="M48" i="41"/>
  <c r="L48" i="41"/>
  <c r="K48" i="41"/>
  <c r="J48" i="41"/>
  <c r="I48" i="41"/>
  <c r="H48" i="41"/>
  <c r="G48" i="41"/>
  <c r="F48" i="41"/>
  <c r="E48" i="41"/>
  <c r="D48" i="41"/>
  <c r="C48"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6" i="41"/>
  <c r="AC47" i="41"/>
  <c r="AB47" i="41"/>
  <c r="AA47" i="41"/>
  <c r="Z47" i="41"/>
  <c r="Y47" i="41"/>
  <c r="X47" i="41"/>
  <c r="W47" i="41"/>
  <c r="V47" i="41"/>
  <c r="U47" i="41"/>
  <c r="T47" i="41"/>
  <c r="S47" i="41"/>
  <c r="R47" i="41"/>
  <c r="Q47" i="41"/>
  <c r="P47" i="41"/>
  <c r="O47" i="41"/>
  <c r="N47" i="41"/>
  <c r="M47" i="41"/>
  <c r="L47" i="41"/>
  <c r="K47" i="41"/>
  <c r="J47" i="41"/>
  <c r="I47" i="41"/>
  <c r="H47" i="41"/>
  <c r="G47" i="41"/>
  <c r="F47" i="41"/>
  <c r="E47" i="41"/>
  <c r="D47" i="41"/>
  <c r="C6" i="41"/>
  <c r="C47"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10" i="41"/>
  <c r="AC46" i="41"/>
  <c r="AB46" i="41"/>
  <c r="AA46" i="41"/>
  <c r="Z46" i="41"/>
  <c r="Y46" i="41"/>
  <c r="X46" i="41"/>
  <c r="W46" i="41"/>
  <c r="V46" i="41"/>
  <c r="U46" i="41"/>
  <c r="T46" i="41"/>
  <c r="S46" i="41"/>
  <c r="R46" i="41"/>
  <c r="Q46" i="41"/>
  <c r="P46" i="41"/>
  <c r="O46" i="41"/>
  <c r="N46" i="41"/>
  <c r="M46" i="41"/>
  <c r="L46" i="41"/>
  <c r="K46" i="41"/>
  <c r="J46" i="41"/>
  <c r="I46" i="41"/>
  <c r="H46" i="41"/>
  <c r="G46" i="41"/>
  <c r="F46" i="41"/>
  <c r="E46" i="41"/>
  <c r="D46" i="41"/>
  <c r="C10" i="41"/>
  <c r="C46"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P45" i="41"/>
  <c r="O45" i="41"/>
  <c r="N45" i="41"/>
  <c r="M45" i="41"/>
  <c r="L45" i="41"/>
  <c r="K45" i="41"/>
  <c r="J45" i="41"/>
  <c r="I45" i="41"/>
  <c r="H45" i="41"/>
  <c r="G45" i="41"/>
  <c r="F45" i="41"/>
  <c r="E45" i="41"/>
  <c r="D45" i="41"/>
  <c r="C45"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15" i="41"/>
  <c r="AC44" i="41"/>
  <c r="AB44" i="41"/>
  <c r="AA44" i="41"/>
  <c r="Z44" i="41"/>
  <c r="Y44" i="41"/>
  <c r="X44" i="41"/>
  <c r="W44" i="41"/>
  <c r="V44" i="41"/>
  <c r="U44" i="41"/>
  <c r="T44" i="41"/>
  <c r="S44" i="41"/>
  <c r="R44" i="41"/>
  <c r="Q44" i="41"/>
  <c r="P44" i="41"/>
  <c r="O44" i="41"/>
  <c r="N44" i="41"/>
  <c r="M44" i="41"/>
  <c r="L44" i="41"/>
  <c r="K44" i="41"/>
  <c r="J44" i="41"/>
  <c r="I44" i="41"/>
  <c r="H44" i="41"/>
  <c r="G44" i="41"/>
  <c r="F44" i="41"/>
  <c r="E44" i="41"/>
  <c r="D44" i="41"/>
  <c r="C15" i="41"/>
  <c r="C44"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28" i="41"/>
  <c r="AC43" i="41"/>
  <c r="AB43" i="41"/>
  <c r="AA43" i="41"/>
  <c r="Z43" i="41"/>
  <c r="Y43" i="41"/>
  <c r="X43" i="41"/>
  <c r="W43" i="41"/>
  <c r="V43" i="41"/>
  <c r="U43" i="41"/>
  <c r="T43" i="41"/>
  <c r="S43" i="41"/>
  <c r="R43" i="41"/>
  <c r="Q43" i="41"/>
  <c r="P43" i="41"/>
  <c r="O43" i="41"/>
  <c r="N43" i="41"/>
  <c r="M43" i="41"/>
  <c r="L43" i="41"/>
  <c r="K43" i="41"/>
  <c r="J43" i="41"/>
  <c r="I43" i="41"/>
  <c r="H43" i="41"/>
  <c r="G43" i="41"/>
  <c r="F43" i="41"/>
  <c r="E43" i="41"/>
  <c r="D43" i="41"/>
  <c r="C28" i="41"/>
  <c r="C43"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19" i="41"/>
  <c r="AC42" i="41"/>
  <c r="AB42" i="41"/>
  <c r="AA42" i="41"/>
  <c r="Z42" i="41"/>
  <c r="Y42" i="41"/>
  <c r="X42" i="41"/>
  <c r="W42" i="41"/>
  <c r="V42" i="41"/>
  <c r="U42" i="41"/>
  <c r="T42" i="41"/>
  <c r="S42" i="41"/>
  <c r="R42" i="41"/>
  <c r="Q42" i="41"/>
  <c r="P42" i="41"/>
  <c r="O42" i="41"/>
  <c r="N42" i="41"/>
  <c r="M42" i="41"/>
  <c r="L42" i="41"/>
  <c r="K42" i="41"/>
  <c r="J42" i="41"/>
  <c r="I42" i="41"/>
  <c r="H42" i="41"/>
  <c r="G42" i="41"/>
  <c r="F42" i="41"/>
  <c r="E42" i="41"/>
  <c r="D42" i="41"/>
  <c r="C19" i="41"/>
  <c r="C42"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8" i="41"/>
  <c r="AC41" i="41"/>
  <c r="AB41" i="41"/>
  <c r="AA41" i="41"/>
  <c r="Z41" i="41"/>
  <c r="Y41" i="41"/>
  <c r="X41" i="41"/>
  <c r="W41" i="41"/>
  <c r="V41" i="41"/>
  <c r="U41" i="41"/>
  <c r="T41" i="41"/>
  <c r="S41" i="41"/>
  <c r="R41" i="41"/>
  <c r="Q41" i="41"/>
  <c r="P41" i="41"/>
  <c r="O41" i="41"/>
  <c r="N41" i="41"/>
  <c r="M41" i="41"/>
  <c r="L41" i="41"/>
  <c r="K41" i="41"/>
  <c r="J41" i="41"/>
  <c r="I41" i="41"/>
  <c r="H41" i="41"/>
  <c r="G41" i="41"/>
  <c r="F41" i="41"/>
  <c r="E41" i="41"/>
  <c r="D41" i="41"/>
  <c r="C8" i="41"/>
  <c r="C41"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 i="41"/>
  <c r="AC40" i="41"/>
  <c r="AB40" i="41"/>
  <c r="AA40" i="41"/>
  <c r="Z40" i="41"/>
  <c r="Y40" i="41"/>
  <c r="X40" i="41"/>
  <c r="W40" i="41"/>
  <c r="V40" i="41"/>
  <c r="U40" i="41"/>
  <c r="T40" i="41"/>
  <c r="S40" i="41"/>
  <c r="R40" i="41"/>
  <c r="Q40" i="41"/>
  <c r="P40" i="41"/>
  <c r="O40" i="41"/>
  <c r="N40" i="41"/>
  <c r="M40" i="41"/>
  <c r="L40" i="41"/>
  <c r="K40" i="41"/>
  <c r="J40" i="41"/>
  <c r="I40" i="41"/>
  <c r="H40" i="41"/>
  <c r="G40" i="41"/>
  <c r="F40" i="41"/>
  <c r="E40" i="41"/>
  <c r="D40" i="41"/>
  <c r="C4" i="41"/>
  <c r="C40"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11" i="41"/>
  <c r="AC39" i="41"/>
  <c r="AB39" i="41"/>
  <c r="AA39" i="41"/>
  <c r="Z39" i="41"/>
  <c r="Y39" i="41"/>
  <c r="X39" i="41"/>
  <c r="W39" i="41"/>
  <c r="V39" i="41"/>
  <c r="U39" i="41"/>
  <c r="T39" i="41"/>
  <c r="S39" i="41"/>
  <c r="R39" i="41"/>
  <c r="Q39" i="41"/>
  <c r="P39" i="41"/>
  <c r="O39" i="41"/>
  <c r="N39" i="41"/>
  <c r="M39" i="41"/>
  <c r="L39" i="41"/>
  <c r="K39" i="41"/>
  <c r="J39" i="41"/>
  <c r="I39" i="41"/>
  <c r="H39" i="41"/>
  <c r="G39" i="41"/>
  <c r="F39" i="41"/>
  <c r="E39" i="41"/>
  <c r="D39" i="41"/>
  <c r="C11" i="41"/>
  <c r="C39"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2" i="41"/>
  <c r="AC38" i="41"/>
  <c r="AB38" i="41"/>
  <c r="AA38" i="41"/>
  <c r="Z38" i="41"/>
  <c r="Y38" i="41"/>
  <c r="X38" i="41"/>
  <c r="W38" i="41"/>
  <c r="V38" i="41"/>
  <c r="U38" i="41"/>
  <c r="T38" i="41"/>
  <c r="S38" i="41"/>
  <c r="R38" i="41"/>
  <c r="Q38" i="41"/>
  <c r="P38" i="41"/>
  <c r="O38" i="41"/>
  <c r="N38" i="41"/>
  <c r="M38" i="41"/>
  <c r="L38" i="41"/>
  <c r="K38" i="41"/>
  <c r="J38" i="41"/>
  <c r="I38" i="41"/>
  <c r="H38" i="41"/>
  <c r="G38" i="41"/>
  <c r="F38" i="41"/>
  <c r="E38" i="41"/>
  <c r="D38" i="41"/>
  <c r="C2" i="41"/>
  <c r="C38"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22" i="41"/>
  <c r="AC37" i="41"/>
  <c r="AB37" i="41"/>
  <c r="AA37" i="41"/>
  <c r="Z37" i="41"/>
  <c r="Y37" i="41"/>
  <c r="X37" i="41"/>
  <c r="W37" i="41"/>
  <c r="V37" i="41"/>
  <c r="U37" i="41"/>
  <c r="T37" i="41"/>
  <c r="S37" i="41"/>
  <c r="R37" i="41"/>
  <c r="Q37" i="41"/>
  <c r="P37" i="41"/>
  <c r="O37" i="41"/>
  <c r="N37" i="41"/>
  <c r="M37" i="41"/>
  <c r="L37" i="41"/>
  <c r="K37" i="41"/>
  <c r="J37" i="41"/>
  <c r="I37" i="41"/>
  <c r="H37" i="41"/>
  <c r="G37" i="41"/>
  <c r="F37" i="41"/>
  <c r="E37" i="41"/>
  <c r="D37" i="41"/>
  <c r="C22" i="41"/>
  <c r="C37"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26" i="41"/>
  <c r="AC36" i="41"/>
  <c r="AB36" i="41"/>
  <c r="AA36" i="41"/>
  <c r="Z36" i="41"/>
  <c r="Y36" i="41"/>
  <c r="X36" i="41"/>
  <c r="W36" i="41"/>
  <c r="V36" i="41"/>
  <c r="U36" i="41"/>
  <c r="T36" i="41"/>
  <c r="S36" i="41"/>
  <c r="R36" i="41"/>
  <c r="Q36" i="41"/>
  <c r="P36" i="41"/>
  <c r="O36" i="41"/>
  <c r="N36" i="41"/>
  <c r="M36" i="41"/>
  <c r="L36" i="41"/>
  <c r="K36" i="41"/>
  <c r="J36" i="41"/>
  <c r="I36" i="41"/>
  <c r="H36" i="41"/>
  <c r="G36" i="41"/>
  <c r="F36" i="41"/>
  <c r="E36" i="41"/>
  <c r="D36" i="41"/>
  <c r="C26" i="41"/>
  <c r="C36"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0" i="41"/>
  <c r="AC35" i="41"/>
  <c r="AB35" i="41"/>
  <c r="AA35" i="41"/>
  <c r="Z35" i="41"/>
  <c r="Y35" i="41"/>
  <c r="X35" i="41"/>
  <c r="W35" i="41"/>
  <c r="V35" i="41"/>
  <c r="U35" i="41"/>
  <c r="T35" i="41"/>
  <c r="S35" i="41"/>
  <c r="R35" i="41"/>
  <c r="Q35" i="41"/>
  <c r="P35" i="41"/>
  <c r="O35" i="41"/>
  <c r="N35" i="41"/>
  <c r="M35" i="41"/>
  <c r="L35" i="41"/>
  <c r="K35" i="41"/>
  <c r="J35" i="41"/>
  <c r="I35" i="41"/>
  <c r="H35" i="41"/>
  <c r="G35" i="41"/>
  <c r="F35" i="41"/>
  <c r="E35" i="41"/>
  <c r="D35" i="41"/>
  <c r="C30" i="41"/>
  <c r="C35"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14" i="41"/>
  <c r="AC34" i="41"/>
  <c r="AB34" i="41"/>
  <c r="AA34" i="41"/>
  <c r="Z34" i="41"/>
  <c r="Y34" i="41"/>
  <c r="X34" i="41"/>
  <c r="W34" i="41"/>
  <c r="V34" i="41"/>
  <c r="U34" i="41"/>
  <c r="T34" i="41"/>
  <c r="S34" i="41"/>
  <c r="R34" i="41"/>
  <c r="Q34" i="41"/>
  <c r="P34" i="41"/>
  <c r="O34" i="41"/>
  <c r="N34" i="41"/>
  <c r="M34" i="41"/>
  <c r="L34" i="41"/>
  <c r="K34" i="41"/>
  <c r="J34" i="41"/>
  <c r="I34" i="41"/>
  <c r="H34" i="41"/>
  <c r="G34" i="41"/>
  <c r="F34" i="41"/>
  <c r="E34" i="41"/>
  <c r="D34" i="41"/>
  <c r="C14" i="41"/>
  <c r="C34"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P33" i="41"/>
  <c r="O33" i="41"/>
  <c r="N33" i="41"/>
  <c r="M33" i="41"/>
  <c r="L33" i="41"/>
  <c r="K33" i="41"/>
  <c r="J33" i="41"/>
  <c r="I33" i="41"/>
  <c r="H33" i="41"/>
  <c r="G33" i="41"/>
  <c r="F33" i="41"/>
  <c r="E33" i="41"/>
  <c r="D33" i="41"/>
  <c r="C13" i="41"/>
  <c r="C33"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C3" i="41"/>
  <c r="AC32" i="41"/>
  <c r="AB32" i="41"/>
  <c r="AA32" i="41"/>
  <c r="Z32" i="41"/>
  <c r="Y32" i="41"/>
  <c r="X32" i="41"/>
  <c r="W32" i="41"/>
  <c r="V32" i="41"/>
  <c r="U32" i="41"/>
  <c r="T32" i="41"/>
  <c r="S32" i="41"/>
  <c r="R32" i="41"/>
  <c r="Q32" i="41"/>
  <c r="P32" i="41"/>
  <c r="O32" i="41"/>
  <c r="N32" i="41"/>
  <c r="M32" i="41"/>
  <c r="L32" i="41"/>
  <c r="K32" i="41"/>
  <c r="J32" i="41"/>
  <c r="I32" i="41"/>
  <c r="H32" i="41"/>
  <c r="G32" i="41"/>
  <c r="F32" i="41"/>
  <c r="E32" i="41"/>
  <c r="D32" i="41"/>
  <c r="C3" i="41"/>
  <c r="C32"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B31" i="41"/>
  <c r="AA31" i="41"/>
  <c r="Z31" i="41"/>
  <c r="Y31" i="41"/>
  <c r="X31" i="41"/>
  <c r="W31" i="41"/>
  <c r="V31" i="41"/>
  <c r="U31" i="41"/>
  <c r="T31" i="41"/>
  <c r="S31" i="41"/>
  <c r="R31" i="41"/>
  <c r="Q31" i="41"/>
  <c r="P31" i="41"/>
  <c r="O31" i="41"/>
  <c r="N31" i="41"/>
  <c r="M31" i="41"/>
  <c r="L31" i="41"/>
  <c r="K31" i="41"/>
  <c r="J31" i="41"/>
  <c r="I31" i="41"/>
  <c r="H31" i="41"/>
  <c r="G31" i="41"/>
  <c r="F31" i="41"/>
  <c r="E31" i="41"/>
  <c r="D31" i="41"/>
  <c r="C31" i="41"/>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CB12" i="42"/>
  <c r="CA12" i="42"/>
  <c r="BZ12" i="42"/>
  <c r="BY12" i="42"/>
  <c r="BX12" i="42"/>
  <c r="BW12" i="42"/>
  <c r="BV12" i="42"/>
  <c r="BU12" i="42"/>
  <c r="BT12" i="42"/>
  <c r="BS12" i="42"/>
  <c r="BR12" i="42"/>
  <c r="BQ12" i="42"/>
  <c r="BP12" i="42"/>
  <c r="BO12" i="42"/>
  <c r="BN12" i="42"/>
  <c r="BM12" i="42"/>
  <c r="BL12" i="42"/>
  <c r="BK12" i="42"/>
  <c r="BJ12" i="42"/>
  <c r="BI12" i="42"/>
  <c r="BH12" i="42"/>
  <c r="BG12" i="42"/>
  <c r="BF12" i="42"/>
  <c r="BE12" i="42"/>
  <c r="BD12" i="42"/>
  <c r="CB7" i="42"/>
  <c r="CA7" i="42"/>
  <c r="BZ7" i="42"/>
  <c r="BY7" i="42"/>
  <c r="BX7" i="42"/>
  <c r="BW7" i="42"/>
  <c r="BV7" i="42"/>
  <c r="BU7" i="42"/>
  <c r="BT7" i="42"/>
  <c r="BS7" i="42"/>
  <c r="BR7" i="42"/>
  <c r="BQ7" i="42"/>
  <c r="BP7" i="42"/>
  <c r="BO7" i="42"/>
  <c r="BN7" i="42"/>
  <c r="BM7" i="42"/>
  <c r="BL7" i="42"/>
  <c r="BK7" i="42"/>
  <c r="BJ7" i="42"/>
  <c r="BI7" i="42"/>
  <c r="BH7" i="42"/>
  <c r="BG7" i="42"/>
  <c r="BF7" i="42"/>
  <c r="BE7" i="42"/>
  <c r="BD7" i="42"/>
  <c r="BC7"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CB9" i="42"/>
  <c r="CA9" i="42"/>
  <c r="BZ9" i="42"/>
  <c r="BY9" i="42"/>
  <c r="BX9" i="42"/>
  <c r="BW9" i="42"/>
  <c r="BV9" i="42"/>
  <c r="BU9" i="42"/>
  <c r="BT9" i="42"/>
  <c r="BS9" i="42"/>
  <c r="BR9" i="42"/>
  <c r="BQ9" i="42"/>
  <c r="BP9" i="42"/>
  <c r="BO9" i="42"/>
  <c r="BN9" i="42"/>
  <c r="BM9" i="42"/>
  <c r="BL9" i="42"/>
  <c r="BK9" i="42"/>
  <c r="BJ9" i="42"/>
  <c r="BI9" i="42"/>
  <c r="BH9" i="42"/>
  <c r="BG9" i="42"/>
  <c r="BF9" i="42"/>
  <c r="BE9" i="42"/>
  <c r="BD9" i="42"/>
  <c r="CB5" i="42"/>
  <c r="CA5" i="42"/>
  <c r="BZ5" i="42"/>
  <c r="BY5" i="42"/>
  <c r="BX5" i="42"/>
  <c r="BW5" i="42"/>
  <c r="BV5" i="42"/>
  <c r="BU5" i="42"/>
  <c r="BT5" i="42"/>
  <c r="BS5" i="42"/>
  <c r="BR5" i="42"/>
  <c r="BQ5" i="42"/>
  <c r="BP5" i="42"/>
  <c r="BO5" i="42"/>
  <c r="BN5" i="42"/>
  <c r="BM5" i="42"/>
  <c r="BL5" i="42"/>
  <c r="BK5" i="42"/>
  <c r="BJ5" i="42"/>
  <c r="BI5" i="42"/>
  <c r="BH5" i="42"/>
  <c r="BG5" i="42"/>
  <c r="BF5" i="42"/>
  <c r="BE5" i="42"/>
  <c r="BD5" i="42"/>
  <c r="BC5"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CB6" i="42"/>
  <c r="CA6" i="42"/>
  <c r="BZ6" i="42"/>
  <c r="BY6" i="42"/>
  <c r="BX6" i="42"/>
  <c r="BW6" i="42"/>
  <c r="BV6" i="42"/>
  <c r="BU6" i="42"/>
  <c r="BT6" i="42"/>
  <c r="BS6" i="42"/>
  <c r="BR6" i="42"/>
  <c r="BQ6" i="42"/>
  <c r="BP6" i="42"/>
  <c r="BO6" i="42"/>
  <c r="BN6" i="42"/>
  <c r="BM6" i="42"/>
  <c r="BL6" i="42"/>
  <c r="BK6" i="42"/>
  <c r="BJ6" i="42"/>
  <c r="BI6" i="42"/>
  <c r="BH6" i="42"/>
  <c r="BG6" i="42"/>
  <c r="BF6" i="42"/>
  <c r="BE6" i="42"/>
  <c r="BD6" i="42"/>
  <c r="CB10" i="42"/>
  <c r="CA10" i="42"/>
  <c r="BZ10" i="42"/>
  <c r="BY10" i="42"/>
  <c r="BX10" i="42"/>
  <c r="BW10" i="42"/>
  <c r="BV10" i="42"/>
  <c r="BU10" i="42"/>
  <c r="BT10" i="42"/>
  <c r="BS10" i="42"/>
  <c r="BR10" i="42"/>
  <c r="BQ10" i="42"/>
  <c r="BP10" i="42"/>
  <c r="BO10" i="42"/>
  <c r="BN10" i="42"/>
  <c r="BM10" i="42"/>
  <c r="BL10" i="42"/>
  <c r="BK10" i="42"/>
  <c r="BJ10" i="42"/>
  <c r="BI10" i="42"/>
  <c r="BH10" i="42"/>
  <c r="BG10" i="42"/>
  <c r="BF10" i="42"/>
  <c r="BE10" i="42"/>
  <c r="BD10"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CB8" i="42"/>
  <c r="CA8" i="42"/>
  <c r="BZ8" i="42"/>
  <c r="BY8" i="42"/>
  <c r="BX8" i="42"/>
  <c r="BW8" i="42"/>
  <c r="BV8" i="42"/>
  <c r="BU8" i="42"/>
  <c r="BT8" i="42"/>
  <c r="BS8" i="42"/>
  <c r="BR8" i="42"/>
  <c r="BQ8" i="42"/>
  <c r="BP8" i="42"/>
  <c r="BO8" i="42"/>
  <c r="BN8" i="42"/>
  <c r="BM8" i="42"/>
  <c r="BL8" i="42"/>
  <c r="BK8" i="42"/>
  <c r="BJ8" i="42"/>
  <c r="BI8" i="42"/>
  <c r="BH8" i="42"/>
  <c r="BG8" i="42"/>
  <c r="BF8" i="42"/>
  <c r="BE8" i="42"/>
  <c r="BD8" i="42"/>
  <c r="CB4" i="42"/>
  <c r="CA4" i="42"/>
  <c r="BZ4" i="42"/>
  <c r="BY4" i="42"/>
  <c r="BX4" i="42"/>
  <c r="BW4" i="42"/>
  <c r="BV4" i="42"/>
  <c r="BU4" i="42"/>
  <c r="BC4" i="42"/>
  <c r="BT4" i="42"/>
  <c r="BS4" i="42"/>
  <c r="BR4" i="42"/>
  <c r="BQ4" i="42"/>
  <c r="BP4" i="42"/>
  <c r="BO4" i="42"/>
  <c r="BN4" i="42"/>
  <c r="BM4" i="42"/>
  <c r="BL4" i="42"/>
  <c r="BK4" i="42"/>
  <c r="BJ4" i="42"/>
  <c r="BI4" i="42"/>
  <c r="BH4" i="42"/>
  <c r="BG4" i="42"/>
  <c r="BF4" i="42"/>
  <c r="BE4" i="42"/>
  <c r="BD4" i="42"/>
  <c r="CB11" i="42"/>
  <c r="CA11" i="42"/>
  <c r="BZ11" i="42"/>
  <c r="BY11" i="42"/>
  <c r="BX11" i="42"/>
  <c r="BW11" i="42"/>
  <c r="BV11" i="42"/>
  <c r="BU11" i="42"/>
  <c r="BT11" i="42"/>
  <c r="BS11" i="42"/>
  <c r="BR11" i="42"/>
  <c r="BQ11" i="42"/>
  <c r="BP11" i="42"/>
  <c r="BO11" i="42"/>
  <c r="BN11" i="42"/>
  <c r="BM11" i="42"/>
  <c r="BL11" i="42"/>
  <c r="BK11" i="42"/>
  <c r="BJ11" i="42"/>
  <c r="BI11" i="42"/>
  <c r="BH11" i="42"/>
  <c r="BG11" i="42"/>
  <c r="BF11" i="42"/>
  <c r="BE11" i="42"/>
  <c r="BD11" i="42"/>
  <c r="CB2" i="42"/>
  <c r="CA2" i="42"/>
  <c r="BZ2" i="42"/>
  <c r="BY2" i="42"/>
  <c r="BX2" i="42"/>
  <c r="BW2" i="42"/>
  <c r="BV2" i="42"/>
  <c r="BU2" i="42"/>
  <c r="BT2" i="42"/>
  <c r="BS2" i="42"/>
  <c r="BR2" i="42"/>
  <c r="BQ2" i="42"/>
  <c r="BP2" i="42"/>
  <c r="BO2" i="42"/>
  <c r="BN2" i="42"/>
  <c r="BM2" i="42"/>
  <c r="BL2" i="42"/>
  <c r="BK2" i="42"/>
  <c r="BJ2" i="42"/>
  <c r="BI2" i="42"/>
  <c r="BH2" i="42"/>
  <c r="BG2" i="42"/>
  <c r="BF2" i="42"/>
  <c r="BE2" i="42"/>
  <c r="BD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CB3" i="42"/>
  <c r="CA3" i="42"/>
  <c r="BZ3" i="42"/>
  <c r="BY3" i="42"/>
  <c r="BX3" i="42"/>
  <c r="BW3" i="42"/>
  <c r="BV3" i="42"/>
  <c r="BU3" i="42"/>
  <c r="BT3" i="42"/>
  <c r="BS3" i="42"/>
  <c r="BR3" i="42"/>
  <c r="BQ3" i="42"/>
  <c r="BP3" i="42"/>
  <c r="BO3" i="42"/>
  <c r="BN3" i="42"/>
  <c r="BM3" i="42"/>
  <c r="BL3" i="42"/>
  <c r="BK3" i="42"/>
  <c r="BJ3" i="42"/>
  <c r="BI3" i="42"/>
  <c r="BH3" i="42"/>
  <c r="BG3" i="42"/>
  <c r="BF3" i="42"/>
  <c r="BE3" i="42"/>
  <c r="BD3" i="42"/>
  <c r="AB27" i="42"/>
  <c r="AB76" i="42"/>
  <c r="AA27" i="42"/>
  <c r="AA76" i="42"/>
  <c r="Z27" i="42"/>
  <c r="Z76" i="42"/>
  <c r="Y27" i="42"/>
  <c r="Y76" i="42"/>
  <c r="X27" i="42"/>
  <c r="X76" i="42"/>
  <c r="W27" i="42"/>
  <c r="W76" i="42"/>
  <c r="V27" i="42"/>
  <c r="V76" i="42"/>
  <c r="U27" i="42"/>
  <c r="U76" i="42"/>
  <c r="T27" i="42"/>
  <c r="T76" i="42"/>
  <c r="S27" i="42"/>
  <c r="S76" i="42"/>
  <c r="R27" i="42"/>
  <c r="Q27" i="42"/>
  <c r="Q76" i="42"/>
  <c r="P27" i="42"/>
  <c r="O27" i="42"/>
  <c r="O76" i="42"/>
  <c r="N27" i="42"/>
  <c r="N76" i="42"/>
  <c r="M27" i="42"/>
  <c r="L27" i="42"/>
  <c r="L76" i="42"/>
  <c r="K27" i="42"/>
  <c r="K76" i="42"/>
  <c r="J27" i="42"/>
  <c r="J76" i="42"/>
  <c r="I27" i="42"/>
  <c r="I76" i="42"/>
  <c r="H27" i="42"/>
  <c r="H76" i="42"/>
  <c r="G27" i="42"/>
  <c r="G76" i="42"/>
  <c r="F27" i="42"/>
  <c r="F76" i="42"/>
  <c r="E27" i="42"/>
  <c r="E76" i="42"/>
  <c r="D27" i="42"/>
  <c r="AB18" i="42"/>
  <c r="AA18" i="42"/>
  <c r="AA75" i="42"/>
  <c r="Z18" i="42"/>
  <c r="Z75" i="42"/>
  <c r="Y18" i="42"/>
  <c r="Y75" i="42"/>
  <c r="X18" i="42"/>
  <c r="X75" i="42"/>
  <c r="W18" i="42"/>
  <c r="W75" i="42"/>
  <c r="V18" i="42"/>
  <c r="V75" i="42"/>
  <c r="U18" i="42"/>
  <c r="U75" i="42"/>
  <c r="T18" i="42"/>
  <c r="T75" i="42"/>
  <c r="S18" i="42"/>
  <c r="R18" i="42"/>
  <c r="R75" i="42"/>
  <c r="Q18" i="42"/>
  <c r="Q75" i="42"/>
  <c r="P18" i="42"/>
  <c r="P75" i="42"/>
  <c r="O18" i="42"/>
  <c r="O75" i="42"/>
  <c r="N18" i="42"/>
  <c r="M18" i="42"/>
  <c r="M75" i="42"/>
  <c r="L18" i="42"/>
  <c r="L75" i="42"/>
  <c r="K18" i="42"/>
  <c r="K75" i="42"/>
  <c r="J18" i="42"/>
  <c r="J75" i="42"/>
  <c r="I18" i="42"/>
  <c r="H18" i="42"/>
  <c r="H75" i="42"/>
  <c r="G18" i="42"/>
  <c r="G75" i="42"/>
  <c r="F18" i="42"/>
  <c r="F75" i="42"/>
  <c r="E18" i="42"/>
  <c r="E75" i="42"/>
  <c r="D18" i="42"/>
  <c r="C18" i="42"/>
  <c r="D75" i="42"/>
  <c r="AB12" i="42"/>
  <c r="AB74" i="42"/>
  <c r="AA12" i="42"/>
  <c r="AA74" i="42"/>
  <c r="Z12" i="42"/>
  <c r="Z74" i="42"/>
  <c r="Y12" i="42"/>
  <c r="Y74" i="42"/>
  <c r="X12" i="42"/>
  <c r="W12" i="42"/>
  <c r="W74" i="42"/>
  <c r="V12" i="42"/>
  <c r="V74" i="42"/>
  <c r="U12" i="42"/>
  <c r="U74" i="42"/>
  <c r="T12" i="42"/>
  <c r="T74" i="42"/>
  <c r="S12" i="42"/>
  <c r="S74" i="42"/>
  <c r="R12" i="42"/>
  <c r="R74" i="42"/>
  <c r="Q12" i="42"/>
  <c r="Q74" i="42"/>
  <c r="P12" i="42"/>
  <c r="P74" i="42"/>
  <c r="O12" i="42"/>
  <c r="N12" i="42"/>
  <c r="N74" i="42"/>
  <c r="M12" i="42"/>
  <c r="M74" i="42"/>
  <c r="L12" i="42"/>
  <c r="L74" i="42"/>
  <c r="K12" i="42"/>
  <c r="K74" i="42"/>
  <c r="J12" i="42"/>
  <c r="J74" i="42"/>
  <c r="I12" i="42"/>
  <c r="I74" i="42"/>
  <c r="H12" i="42"/>
  <c r="G12" i="42"/>
  <c r="G74" i="42"/>
  <c r="F12" i="42"/>
  <c r="F74" i="42"/>
  <c r="E12" i="42"/>
  <c r="E74" i="42"/>
  <c r="D12" i="42"/>
  <c r="D74" i="42"/>
  <c r="AB7" i="42"/>
  <c r="AB73" i="42"/>
  <c r="AA7" i="42"/>
  <c r="AA73" i="42"/>
  <c r="Z7" i="42"/>
  <c r="Z73" i="42"/>
  <c r="Y7" i="42"/>
  <c r="Y73" i="42"/>
  <c r="X7" i="42"/>
  <c r="X73" i="42"/>
  <c r="W7" i="42"/>
  <c r="W73" i="42"/>
  <c r="V7" i="42"/>
  <c r="U7" i="42"/>
  <c r="U73" i="42"/>
  <c r="T7" i="42"/>
  <c r="T73" i="42"/>
  <c r="S7" i="42"/>
  <c r="S73" i="42"/>
  <c r="R7" i="42"/>
  <c r="R73" i="42"/>
  <c r="Q7" i="42"/>
  <c r="Q73" i="42"/>
  <c r="P7" i="42"/>
  <c r="P73" i="42"/>
  <c r="O7" i="42"/>
  <c r="N7" i="42"/>
  <c r="N73" i="42"/>
  <c r="M7" i="42"/>
  <c r="M73" i="42"/>
  <c r="L7" i="42"/>
  <c r="L73" i="42"/>
  <c r="K7" i="42"/>
  <c r="K73" i="42"/>
  <c r="J7" i="42"/>
  <c r="J73" i="42"/>
  <c r="I7" i="42"/>
  <c r="I73" i="42"/>
  <c r="H7" i="42"/>
  <c r="H73" i="42"/>
  <c r="G7" i="42"/>
  <c r="G73" i="42"/>
  <c r="F7" i="42"/>
  <c r="E7" i="42"/>
  <c r="D7" i="42"/>
  <c r="D73" i="42"/>
  <c r="AB16" i="42"/>
  <c r="AB72" i="42"/>
  <c r="AA16" i="42"/>
  <c r="AA72" i="42"/>
  <c r="Z16" i="42"/>
  <c r="Z72" i="42"/>
  <c r="Y16" i="42"/>
  <c r="X16" i="42"/>
  <c r="X72" i="42"/>
  <c r="W16" i="42"/>
  <c r="W72" i="42"/>
  <c r="V16" i="42"/>
  <c r="V72" i="42"/>
  <c r="U16" i="42"/>
  <c r="U72" i="42"/>
  <c r="T16" i="42"/>
  <c r="T72" i="42"/>
  <c r="S16" i="42"/>
  <c r="S72" i="42"/>
  <c r="R16" i="42"/>
  <c r="R72" i="42"/>
  <c r="Q16" i="42"/>
  <c r="Q72" i="42"/>
  <c r="P16" i="42"/>
  <c r="O16" i="42"/>
  <c r="O72" i="42"/>
  <c r="N16" i="42"/>
  <c r="M16" i="42"/>
  <c r="M72" i="42"/>
  <c r="L16" i="42"/>
  <c r="L72" i="42"/>
  <c r="K16" i="42"/>
  <c r="K72" i="42"/>
  <c r="J16" i="42"/>
  <c r="J72" i="42"/>
  <c r="I16" i="42"/>
  <c r="H16" i="42"/>
  <c r="H72" i="42"/>
  <c r="G16" i="42"/>
  <c r="G72" i="42"/>
  <c r="F16" i="42"/>
  <c r="F72" i="42"/>
  <c r="E16" i="42"/>
  <c r="E72" i="42"/>
  <c r="D16" i="42"/>
  <c r="AB29" i="42"/>
  <c r="AB71" i="42"/>
  <c r="AA29" i="42"/>
  <c r="AA71" i="42"/>
  <c r="Z29" i="42"/>
  <c r="Z71" i="42"/>
  <c r="Y29" i="42"/>
  <c r="Y71" i="42"/>
  <c r="X29" i="42"/>
  <c r="X71" i="42"/>
  <c r="W29" i="42"/>
  <c r="V29" i="42"/>
  <c r="V71" i="42"/>
  <c r="U29" i="42"/>
  <c r="U71" i="42"/>
  <c r="T29" i="42"/>
  <c r="T71" i="42"/>
  <c r="S29" i="42"/>
  <c r="S71" i="42"/>
  <c r="R29" i="42"/>
  <c r="Q29" i="42"/>
  <c r="Q71" i="42"/>
  <c r="P29" i="42"/>
  <c r="P71" i="42"/>
  <c r="O29" i="42"/>
  <c r="O71" i="42"/>
  <c r="N29" i="42"/>
  <c r="M29" i="42"/>
  <c r="M71" i="42"/>
  <c r="L29" i="42"/>
  <c r="L71" i="42"/>
  <c r="K29" i="42"/>
  <c r="K71" i="42"/>
  <c r="J29" i="42"/>
  <c r="J71" i="42"/>
  <c r="I29" i="42"/>
  <c r="I71" i="42"/>
  <c r="H29" i="42"/>
  <c r="H71" i="42"/>
  <c r="G29" i="42"/>
  <c r="F29" i="42"/>
  <c r="E29" i="42"/>
  <c r="E71" i="42"/>
  <c r="D29" i="42"/>
  <c r="C29" i="42"/>
  <c r="C71" i="42"/>
  <c r="AB20" i="42"/>
  <c r="AB70" i="42"/>
  <c r="AA20" i="42"/>
  <c r="AA70" i="42"/>
  <c r="Z20" i="42"/>
  <c r="Y20" i="42"/>
  <c r="Y70" i="42"/>
  <c r="X20" i="42"/>
  <c r="W20" i="42"/>
  <c r="W70" i="42"/>
  <c r="V20" i="42"/>
  <c r="V70" i="42"/>
  <c r="U20" i="42"/>
  <c r="U70" i="42"/>
  <c r="T20" i="42"/>
  <c r="T70" i="42"/>
  <c r="S20" i="42"/>
  <c r="R20" i="42"/>
  <c r="R70" i="42"/>
  <c r="Q20" i="42"/>
  <c r="P20" i="42"/>
  <c r="P70" i="42"/>
  <c r="O20" i="42"/>
  <c r="O70" i="42"/>
  <c r="N20" i="42"/>
  <c r="N70" i="42"/>
  <c r="M20" i="42"/>
  <c r="M70" i="42"/>
  <c r="L20" i="42"/>
  <c r="L70" i="42"/>
  <c r="K20" i="42"/>
  <c r="K70" i="42"/>
  <c r="J20" i="42"/>
  <c r="I20" i="42"/>
  <c r="I70" i="42"/>
  <c r="H20" i="42"/>
  <c r="G20" i="42"/>
  <c r="G70" i="42"/>
  <c r="F20" i="42"/>
  <c r="F70" i="42"/>
  <c r="E20" i="42"/>
  <c r="E70" i="42"/>
  <c r="D20" i="42"/>
  <c r="D70" i="42"/>
  <c r="AB24" i="42"/>
  <c r="AB69" i="42"/>
  <c r="AA24" i="42"/>
  <c r="Z24" i="42"/>
  <c r="Z69" i="42"/>
  <c r="Y24" i="42"/>
  <c r="Y69" i="42"/>
  <c r="X24" i="42"/>
  <c r="X69" i="42"/>
  <c r="W24" i="42"/>
  <c r="W69" i="42"/>
  <c r="V24" i="42"/>
  <c r="V69" i="42"/>
  <c r="U24" i="42"/>
  <c r="U69" i="42"/>
  <c r="T24" i="42"/>
  <c r="S24" i="42"/>
  <c r="S69" i="42"/>
  <c r="R24" i="42"/>
  <c r="Q24" i="42"/>
  <c r="Q69" i="42"/>
  <c r="P24" i="42"/>
  <c r="P69" i="42"/>
  <c r="O24" i="42"/>
  <c r="O69" i="42"/>
  <c r="N24" i="42"/>
  <c r="N69" i="42"/>
  <c r="M24" i="42"/>
  <c r="L24" i="42"/>
  <c r="L69" i="42"/>
  <c r="K24" i="42"/>
  <c r="J24" i="42"/>
  <c r="J69" i="42"/>
  <c r="I24" i="42"/>
  <c r="I69" i="42"/>
  <c r="H24" i="42"/>
  <c r="H69" i="42"/>
  <c r="G24" i="42"/>
  <c r="G69" i="42"/>
  <c r="F24" i="42"/>
  <c r="F69" i="42"/>
  <c r="E24" i="42"/>
  <c r="E69" i="42"/>
  <c r="D24" i="42"/>
  <c r="AB9" i="42"/>
  <c r="AA9" i="42"/>
  <c r="AA68" i="42"/>
  <c r="Z9" i="42"/>
  <c r="Z68" i="42"/>
  <c r="Y9" i="42"/>
  <c r="X9" i="42"/>
  <c r="X68" i="42"/>
  <c r="W9" i="42"/>
  <c r="W68" i="42"/>
  <c r="V9" i="42"/>
  <c r="V68" i="42"/>
  <c r="U9" i="42"/>
  <c r="T9" i="42"/>
  <c r="T68" i="42"/>
  <c r="S9" i="42"/>
  <c r="R9" i="42"/>
  <c r="R68" i="42"/>
  <c r="Q9" i="42"/>
  <c r="Q68" i="42"/>
  <c r="P9" i="42"/>
  <c r="P68" i="42"/>
  <c r="O9" i="42"/>
  <c r="O68" i="42"/>
  <c r="N9" i="42"/>
  <c r="M9" i="42"/>
  <c r="M68" i="42"/>
  <c r="L9" i="42"/>
  <c r="K9" i="42"/>
  <c r="K68" i="42"/>
  <c r="J9" i="42"/>
  <c r="J68" i="42"/>
  <c r="I9" i="42"/>
  <c r="I68" i="42"/>
  <c r="H9" i="42"/>
  <c r="H68" i="42"/>
  <c r="G9" i="42"/>
  <c r="G68" i="42"/>
  <c r="F9" i="42"/>
  <c r="E9" i="42"/>
  <c r="D9" i="42"/>
  <c r="D68" i="42"/>
  <c r="AB5" i="42"/>
  <c r="AB67" i="42"/>
  <c r="AA5" i="42"/>
  <c r="AA67" i="42"/>
  <c r="Z5" i="42"/>
  <c r="Y5" i="42"/>
  <c r="Y67" i="42"/>
  <c r="X5" i="42"/>
  <c r="W5" i="42"/>
  <c r="W67" i="42"/>
  <c r="V5" i="42"/>
  <c r="U5" i="42"/>
  <c r="U67" i="42"/>
  <c r="T5" i="42"/>
  <c r="T67" i="42"/>
  <c r="S5" i="42"/>
  <c r="S67" i="42"/>
  <c r="R5" i="42"/>
  <c r="R67" i="42"/>
  <c r="Q5" i="42"/>
  <c r="Q67" i="42"/>
  <c r="P5" i="42"/>
  <c r="P67" i="42"/>
  <c r="O5" i="42"/>
  <c r="N5" i="42"/>
  <c r="N67" i="42"/>
  <c r="M5" i="42"/>
  <c r="M67" i="42"/>
  <c r="L5" i="42"/>
  <c r="L67" i="42"/>
  <c r="K5" i="42"/>
  <c r="K67" i="42"/>
  <c r="J5" i="42"/>
  <c r="J67" i="42"/>
  <c r="I5" i="42"/>
  <c r="I67" i="42"/>
  <c r="H5" i="42"/>
  <c r="G5" i="42"/>
  <c r="G67" i="42"/>
  <c r="F5" i="42"/>
  <c r="F67" i="42"/>
  <c r="E5" i="42"/>
  <c r="E67" i="42"/>
  <c r="D5" i="42"/>
  <c r="C5" i="42"/>
  <c r="C53" i="42"/>
  <c r="AB17" i="42"/>
  <c r="AA17" i="42"/>
  <c r="AA66" i="42"/>
  <c r="Z17" i="42"/>
  <c r="Z66" i="42"/>
  <c r="Y17" i="42"/>
  <c r="Y66" i="42"/>
  <c r="X17" i="42"/>
  <c r="X66" i="42"/>
  <c r="W17" i="42"/>
  <c r="W66" i="42"/>
  <c r="V17" i="42"/>
  <c r="V66" i="42"/>
  <c r="U17" i="42"/>
  <c r="U66" i="42"/>
  <c r="T17" i="42"/>
  <c r="T66" i="42"/>
  <c r="S17" i="42"/>
  <c r="S66" i="42"/>
  <c r="R17" i="42"/>
  <c r="R66" i="42"/>
  <c r="Q17" i="42"/>
  <c r="Q66" i="42"/>
  <c r="P17" i="42"/>
  <c r="P66" i="42"/>
  <c r="O17" i="42"/>
  <c r="O66" i="42"/>
  <c r="N17" i="42"/>
  <c r="N66" i="42"/>
  <c r="M17" i="42"/>
  <c r="M66" i="42"/>
  <c r="L17" i="42"/>
  <c r="L66" i="42"/>
  <c r="K17" i="42"/>
  <c r="K66" i="42"/>
  <c r="J17" i="42"/>
  <c r="J66" i="42"/>
  <c r="I17" i="42"/>
  <c r="I66" i="42"/>
  <c r="H17" i="42"/>
  <c r="H66" i="42"/>
  <c r="G17" i="42"/>
  <c r="G66" i="42"/>
  <c r="F17" i="42"/>
  <c r="F66" i="42"/>
  <c r="E17" i="42"/>
  <c r="E66" i="42"/>
  <c r="D17" i="42"/>
  <c r="D66" i="42"/>
  <c r="AB21" i="42"/>
  <c r="AB65" i="42"/>
  <c r="AA21" i="42"/>
  <c r="AA65" i="42"/>
  <c r="Z21" i="42"/>
  <c r="Z65" i="42"/>
  <c r="Y21" i="42"/>
  <c r="Y65" i="42"/>
  <c r="X21" i="42"/>
  <c r="X65" i="42"/>
  <c r="W21" i="42"/>
  <c r="W65" i="42"/>
  <c r="V21" i="42"/>
  <c r="V65" i="42"/>
  <c r="U21" i="42"/>
  <c r="U65" i="42"/>
  <c r="T21" i="42"/>
  <c r="T65" i="42"/>
  <c r="S21" i="42"/>
  <c r="S65" i="42"/>
  <c r="R21" i="42"/>
  <c r="R65" i="42"/>
  <c r="Q21" i="42"/>
  <c r="Q65" i="42"/>
  <c r="P21" i="42"/>
  <c r="P65" i="42"/>
  <c r="O21" i="42"/>
  <c r="O65" i="42"/>
  <c r="N21" i="42"/>
  <c r="N65" i="42"/>
  <c r="M21" i="42"/>
  <c r="M65" i="42"/>
  <c r="L21" i="42"/>
  <c r="L65" i="42"/>
  <c r="K21" i="42"/>
  <c r="K65" i="42"/>
  <c r="J21" i="42"/>
  <c r="J65" i="42"/>
  <c r="I21" i="42"/>
  <c r="I65" i="42"/>
  <c r="H21" i="42"/>
  <c r="H65" i="42"/>
  <c r="G21" i="42"/>
  <c r="G65" i="42"/>
  <c r="F21" i="42"/>
  <c r="F65" i="42"/>
  <c r="E21" i="42"/>
  <c r="E65" i="42"/>
  <c r="D21" i="42"/>
  <c r="AB25" i="42"/>
  <c r="AB64" i="42"/>
  <c r="AA25" i="42"/>
  <c r="AA64" i="42"/>
  <c r="Z25" i="42"/>
  <c r="Z64" i="42"/>
  <c r="Y25" i="42"/>
  <c r="Y64" i="42"/>
  <c r="X25" i="42"/>
  <c r="X64" i="42"/>
  <c r="W25" i="42"/>
  <c r="W64" i="42"/>
  <c r="V25" i="42"/>
  <c r="V64" i="42"/>
  <c r="U25" i="42"/>
  <c r="U64" i="42"/>
  <c r="T25" i="42"/>
  <c r="T64" i="42"/>
  <c r="S25" i="42"/>
  <c r="S64" i="42"/>
  <c r="R25" i="42"/>
  <c r="R64" i="42"/>
  <c r="Q25" i="42"/>
  <c r="Q64" i="42"/>
  <c r="P25" i="42"/>
  <c r="P64" i="42"/>
  <c r="O25" i="42"/>
  <c r="O64" i="42"/>
  <c r="N25" i="42"/>
  <c r="N64" i="42"/>
  <c r="M25" i="42"/>
  <c r="M64" i="42"/>
  <c r="L25" i="42"/>
  <c r="L64" i="42"/>
  <c r="K25" i="42"/>
  <c r="K64" i="42"/>
  <c r="J25" i="42"/>
  <c r="J64" i="42"/>
  <c r="I25" i="42"/>
  <c r="I64" i="42"/>
  <c r="H25" i="42"/>
  <c r="H64" i="42"/>
  <c r="G25" i="42"/>
  <c r="G64" i="42"/>
  <c r="F25" i="42"/>
  <c r="F64" i="42"/>
  <c r="E25" i="42"/>
  <c r="E64" i="42"/>
  <c r="D25" i="42"/>
  <c r="D64" i="42"/>
  <c r="AB62" i="42"/>
  <c r="AA62" i="42"/>
  <c r="Z62" i="42"/>
  <c r="Y62" i="42"/>
  <c r="X62" i="42"/>
  <c r="W62" i="42"/>
  <c r="V62" i="42"/>
  <c r="U62" i="42"/>
  <c r="T62" i="42"/>
  <c r="S62" i="42"/>
  <c r="Q62" i="42"/>
  <c r="O62" i="42"/>
  <c r="N62" i="42"/>
  <c r="L62" i="42"/>
  <c r="K62" i="42"/>
  <c r="J62" i="42"/>
  <c r="I62" i="42"/>
  <c r="H62" i="42"/>
  <c r="G62" i="42"/>
  <c r="F62" i="42"/>
  <c r="E62" i="42"/>
  <c r="D62" i="42"/>
  <c r="AA61" i="42"/>
  <c r="Z61" i="42"/>
  <c r="Y61" i="42"/>
  <c r="X61" i="42"/>
  <c r="W61" i="42"/>
  <c r="V61" i="42"/>
  <c r="U61" i="42"/>
  <c r="T61" i="42"/>
  <c r="R61" i="42"/>
  <c r="Q61" i="42"/>
  <c r="P61" i="42"/>
  <c r="O61" i="42"/>
  <c r="M61" i="42"/>
  <c r="L61" i="42"/>
  <c r="K61" i="42"/>
  <c r="J61" i="42"/>
  <c r="H61" i="42"/>
  <c r="G61" i="42"/>
  <c r="F61" i="42"/>
  <c r="E61" i="42"/>
  <c r="D61" i="42"/>
  <c r="AB60" i="42"/>
  <c r="AA60" i="42"/>
  <c r="Z60" i="42"/>
  <c r="Y60" i="42"/>
  <c r="W60" i="42"/>
  <c r="V60" i="42"/>
  <c r="U60" i="42"/>
  <c r="T60" i="42"/>
  <c r="S60" i="42"/>
  <c r="R60" i="42"/>
  <c r="Q60" i="42"/>
  <c r="P60" i="42"/>
  <c r="N60" i="42"/>
  <c r="M60" i="42"/>
  <c r="L60" i="42"/>
  <c r="K60" i="42"/>
  <c r="J60" i="42"/>
  <c r="I60" i="42"/>
  <c r="G60" i="42"/>
  <c r="F60" i="42"/>
  <c r="E60" i="42"/>
  <c r="D60" i="42"/>
  <c r="AB59" i="42"/>
  <c r="AA59" i="42"/>
  <c r="Z59" i="42"/>
  <c r="Y59" i="42"/>
  <c r="X59" i="42"/>
  <c r="W59" i="42"/>
  <c r="U59" i="42"/>
  <c r="T59" i="42"/>
  <c r="S59" i="42"/>
  <c r="R59" i="42"/>
  <c r="Q59" i="42"/>
  <c r="P59" i="42"/>
  <c r="N59" i="42"/>
  <c r="M59" i="42"/>
  <c r="L59" i="42"/>
  <c r="K59" i="42"/>
  <c r="J59" i="42"/>
  <c r="I59" i="42"/>
  <c r="H59" i="42"/>
  <c r="G59" i="42"/>
  <c r="D59" i="42"/>
  <c r="AB58" i="42"/>
  <c r="AA58" i="42"/>
  <c r="Z58" i="42"/>
  <c r="X58" i="42"/>
  <c r="W58" i="42"/>
  <c r="V58" i="42"/>
  <c r="U58" i="42"/>
  <c r="T58" i="42"/>
  <c r="S58" i="42"/>
  <c r="R58" i="42"/>
  <c r="Q58" i="42"/>
  <c r="O58" i="42"/>
  <c r="M58" i="42"/>
  <c r="L58" i="42"/>
  <c r="K58" i="42"/>
  <c r="J58" i="42"/>
  <c r="H58" i="42"/>
  <c r="G58" i="42"/>
  <c r="F58" i="42"/>
  <c r="E58" i="42"/>
  <c r="AB57" i="42"/>
  <c r="AA57" i="42"/>
  <c r="Z57" i="42"/>
  <c r="Y57" i="42"/>
  <c r="X57" i="42"/>
  <c r="V57" i="42"/>
  <c r="U57" i="42"/>
  <c r="T57" i="42"/>
  <c r="S57" i="42"/>
  <c r="Q57" i="42"/>
  <c r="P57" i="42"/>
  <c r="O57" i="42"/>
  <c r="M57" i="42"/>
  <c r="K57" i="42"/>
  <c r="J57" i="42"/>
  <c r="I57" i="42"/>
  <c r="H57" i="42"/>
  <c r="E57" i="42"/>
  <c r="D57" i="42"/>
  <c r="AB56" i="42"/>
  <c r="AA56" i="42"/>
  <c r="W56" i="42"/>
  <c r="V56" i="42"/>
  <c r="U56" i="42"/>
  <c r="T56" i="42"/>
  <c r="R56" i="42"/>
  <c r="P56" i="42"/>
  <c r="N56" i="42"/>
  <c r="M56" i="42"/>
  <c r="L56" i="42"/>
  <c r="K56" i="42"/>
  <c r="I56" i="42"/>
  <c r="G56" i="42"/>
  <c r="F56" i="42"/>
  <c r="E56" i="42"/>
  <c r="D56" i="42"/>
  <c r="AB55" i="42"/>
  <c r="Z55" i="42"/>
  <c r="Y55" i="42"/>
  <c r="X55" i="42"/>
  <c r="W55" i="42"/>
  <c r="V55" i="42"/>
  <c r="U55" i="42"/>
  <c r="S55" i="42"/>
  <c r="Q55" i="42"/>
  <c r="P55" i="42"/>
  <c r="O55" i="42"/>
  <c r="N55" i="42"/>
  <c r="L55" i="42"/>
  <c r="J55" i="42"/>
  <c r="I55" i="42"/>
  <c r="H55" i="42"/>
  <c r="G55" i="42"/>
  <c r="F55" i="42"/>
  <c r="E55" i="42"/>
  <c r="AA54" i="42"/>
  <c r="Z54" i="42"/>
  <c r="X54" i="42"/>
  <c r="W54" i="42"/>
  <c r="V54" i="42"/>
  <c r="T54" i="42"/>
  <c r="R54" i="42"/>
  <c r="Q54" i="42"/>
  <c r="P54" i="42"/>
  <c r="O54" i="42"/>
  <c r="M54" i="42"/>
  <c r="K54" i="42"/>
  <c r="J54" i="42"/>
  <c r="I54" i="42"/>
  <c r="H54" i="42"/>
  <c r="G54" i="42"/>
  <c r="D54" i="42"/>
  <c r="AB53" i="42"/>
  <c r="AA53" i="42"/>
  <c r="Y53" i="42"/>
  <c r="W53" i="42"/>
  <c r="U53" i="42"/>
  <c r="T53" i="42"/>
  <c r="S53" i="42"/>
  <c r="R53" i="42"/>
  <c r="Q53" i="42"/>
  <c r="P53" i="42"/>
  <c r="N53" i="42"/>
  <c r="M53" i="42"/>
  <c r="L53" i="42"/>
  <c r="K53" i="42"/>
  <c r="J53" i="42"/>
  <c r="I53" i="42"/>
  <c r="G53" i="42"/>
  <c r="F53" i="42"/>
  <c r="E53" i="42"/>
  <c r="D53" i="42"/>
  <c r="AA52" i="42"/>
  <c r="Z52" i="42"/>
  <c r="Y52" i="42"/>
  <c r="X52" i="42"/>
  <c r="W52" i="42"/>
  <c r="V52" i="42"/>
  <c r="U52" i="42"/>
  <c r="T52" i="42"/>
  <c r="S52" i="42"/>
  <c r="R52" i="42"/>
  <c r="Q52" i="42"/>
  <c r="P52" i="42"/>
  <c r="O52" i="42"/>
  <c r="N52" i="42"/>
  <c r="M52" i="42"/>
  <c r="L52" i="42"/>
  <c r="K52" i="42"/>
  <c r="J52" i="42"/>
  <c r="I52" i="42"/>
  <c r="H52" i="42"/>
  <c r="G52" i="42"/>
  <c r="F52" i="42"/>
  <c r="E52" i="42"/>
  <c r="D52" i="42"/>
  <c r="AB51" i="42"/>
  <c r="AA51" i="42"/>
  <c r="Z51" i="42"/>
  <c r="Y51" i="42"/>
  <c r="X51" i="42"/>
  <c r="W51" i="42"/>
  <c r="V51" i="42"/>
  <c r="U51" i="42"/>
  <c r="T51" i="42"/>
  <c r="S51" i="42"/>
  <c r="R51" i="42"/>
  <c r="Q51" i="42"/>
  <c r="P51" i="42"/>
  <c r="O51" i="42"/>
  <c r="N51" i="42"/>
  <c r="M51" i="42"/>
  <c r="L51" i="42"/>
  <c r="K51" i="42"/>
  <c r="J51" i="42"/>
  <c r="I51" i="42"/>
  <c r="H51" i="42"/>
  <c r="G51" i="42"/>
  <c r="F51" i="42"/>
  <c r="E51" i="42"/>
  <c r="D51" i="42"/>
  <c r="AB50" i="42"/>
  <c r="AA50" i="42"/>
  <c r="AC50" i="42"/>
  <c r="Z50" i="42"/>
  <c r="Y50" i="42"/>
  <c r="X50" i="42"/>
  <c r="W50" i="42"/>
  <c r="V50" i="42"/>
  <c r="U50" i="42"/>
  <c r="T50" i="42"/>
  <c r="R50" i="42"/>
  <c r="Q50" i="42"/>
  <c r="P50" i="42"/>
  <c r="O50" i="42"/>
  <c r="N50" i="42"/>
  <c r="M50" i="42"/>
  <c r="L50" i="42"/>
  <c r="K50" i="42"/>
  <c r="J50" i="42"/>
  <c r="I50" i="42"/>
  <c r="H50" i="42"/>
  <c r="G50" i="42"/>
  <c r="F50" i="42"/>
  <c r="E50" i="42"/>
  <c r="D50" i="42"/>
  <c r="AB23" i="42"/>
  <c r="AB49" i="42"/>
  <c r="AA23" i="42"/>
  <c r="AA49" i="42"/>
  <c r="Z23" i="42"/>
  <c r="Z49" i="42"/>
  <c r="Y23" i="42"/>
  <c r="Y49" i="42"/>
  <c r="X23" i="42"/>
  <c r="X49" i="42"/>
  <c r="W23" i="42"/>
  <c r="W49" i="42"/>
  <c r="V23" i="42"/>
  <c r="V49" i="42"/>
  <c r="U23" i="42"/>
  <c r="U49" i="42"/>
  <c r="T23" i="42"/>
  <c r="T49" i="42"/>
  <c r="S23" i="42"/>
  <c r="S49" i="42"/>
  <c r="R23" i="42"/>
  <c r="R49" i="42"/>
  <c r="Q23" i="42"/>
  <c r="Q49" i="42"/>
  <c r="P23" i="42"/>
  <c r="P49" i="42"/>
  <c r="O23" i="42"/>
  <c r="O49" i="42"/>
  <c r="N23" i="42"/>
  <c r="N49" i="42"/>
  <c r="M23" i="42"/>
  <c r="M49" i="42"/>
  <c r="L23" i="42"/>
  <c r="L49" i="42"/>
  <c r="K23" i="42"/>
  <c r="K49" i="42"/>
  <c r="J23" i="42"/>
  <c r="J49" i="42"/>
  <c r="I23" i="42"/>
  <c r="I49" i="42"/>
  <c r="H23" i="42"/>
  <c r="H49" i="42"/>
  <c r="G23" i="42"/>
  <c r="G49" i="42"/>
  <c r="F23" i="42"/>
  <c r="F49" i="42"/>
  <c r="E23" i="42"/>
  <c r="E49" i="42"/>
  <c r="D23" i="42"/>
  <c r="D49" i="42"/>
  <c r="AB6" i="42"/>
  <c r="AB47" i="42"/>
  <c r="AA6" i="42"/>
  <c r="AA47" i="42"/>
  <c r="Z6" i="42"/>
  <c r="Z47" i="42"/>
  <c r="Y6" i="42"/>
  <c r="Y47" i="42"/>
  <c r="X6" i="42"/>
  <c r="X47" i="42"/>
  <c r="W6" i="42"/>
  <c r="W47" i="42"/>
  <c r="V6" i="42"/>
  <c r="V47" i="42"/>
  <c r="U6" i="42"/>
  <c r="T6" i="42"/>
  <c r="T47" i="42"/>
  <c r="S6" i="42"/>
  <c r="S47" i="42"/>
  <c r="R6" i="42"/>
  <c r="R47" i="42"/>
  <c r="Q6" i="42"/>
  <c r="Q47" i="42"/>
  <c r="P6" i="42"/>
  <c r="P47" i="42"/>
  <c r="O6" i="42"/>
  <c r="O47" i="42"/>
  <c r="N6" i="42"/>
  <c r="N47" i="42"/>
  <c r="M6" i="42"/>
  <c r="M47" i="42"/>
  <c r="L6" i="42"/>
  <c r="L47" i="42"/>
  <c r="K6" i="42"/>
  <c r="K47" i="42"/>
  <c r="J6" i="42"/>
  <c r="J47" i="42"/>
  <c r="I6" i="42"/>
  <c r="I47" i="42"/>
  <c r="H6" i="42"/>
  <c r="H47" i="42"/>
  <c r="G6" i="42"/>
  <c r="G47" i="42"/>
  <c r="F6" i="42"/>
  <c r="F47" i="42"/>
  <c r="E6" i="42"/>
  <c r="E47" i="42"/>
  <c r="D6" i="42"/>
  <c r="D47" i="42"/>
  <c r="AB10" i="42"/>
  <c r="AB46" i="42"/>
  <c r="AB45" i="42"/>
  <c r="AA10" i="42"/>
  <c r="AA46" i="42"/>
  <c r="Z10" i="42"/>
  <c r="Z46" i="42"/>
  <c r="Y10" i="42"/>
  <c r="Y46" i="42"/>
  <c r="Y45" i="42"/>
  <c r="X10" i="42"/>
  <c r="X46" i="42"/>
  <c r="W10" i="42"/>
  <c r="W46" i="42"/>
  <c r="W45" i="42"/>
  <c r="V10" i="42"/>
  <c r="V46" i="42"/>
  <c r="U10" i="42"/>
  <c r="U46" i="42"/>
  <c r="T10" i="42"/>
  <c r="T46" i="42"/>
  <c r="T45" i="42"/>
  <c r="S10" i="42"/>
  <c r="S46" i="42"/>
  <c r="R10" i="42"/>
  <c r="R46" i="42"/>
  <c r="R45" i="42"/>
  <c r="Q10" i="42"/>
  <c r="Q46" i="42"/>
  <c r="Q45" i="42"/>
  <c r="P10" i="42"/>
  <c r="P46" i="42"/>
  <c r="O10" i="42"/>
  <c r="O46" i="42"/>
  <c r="O45" i="42"/>
  <c r="N10" i="42"/>
  <c r="N46" i="42"/>
  <c r="M10" i="42"/>
  <c r="M46" i="42"/>
  <c r="L10" i="42"/>
  <c r="L46" i="42"/>
  <c r="L45" i="42"/>
  <c r="K10" i="42"/>
  <c r="K46" i="42"/>
  <c r="J10" i="42"/>
  <c r="J46" i="42"/>
  <c r="J45" i="42"/>
  <c r="I10" i="42"/>
  <c r="I46" i="42"/>
  <c r="I45" i="42"/>
  <c r="H10" i="42"/>
  <c r="H46" i="42"/>
  <c r="G10" i="42"/>
  <c r="G46" i="42"/>
  <c r="G45" i="42"/>
  <c r="F10" i="42"/>
  <c r="F46" i="42"/>
  <c r="E10" i="42"/>
  <c r="E46" i="42"/>
  <c r="D10" i="42"/>
  <c r="AA45" i="42"/>
  <c r="S45" i="42"/>
  <c r="AB15" i="42"/>
  <c r="AB44" i="42"/>
  <c r="AA15" i="42"/>
  <c r="AA44" i="42"/>
  <c r="Z15" i="42"/>
  <c r="Z44" i="42"/>
  <c r="Y15" i="42"/>
  <c r="Y44" i="42"/>
  <c r="X15" i="42"/>
  <c r="X44" i="42"/>
  <c r="W15" i="42"/>
  <c r="W44" i="42"/>
  <c r="V15" i="42"/>
  <c r="V44" i="42"/>
  <c r="U15" i="42"/>
  <c r="U44" i="42"/>
  <c r="T15" i="42"/>
  <c r="T44" i="42"/>
  <c r="S15" i="42"/>
  <c r="S44" i="42"/>
  <c r="R15" i="42"/>
  <c r="R44" i="42"/>
  <c r="Q15" i="42"/>
  <c r="Q44" i="42"/>
  <c r="P15" i="42"/>
  <c r="P44" i="42"/>
  <c r="O15" i="42"/>
  <c r="O44" i="42"/>
  <c r="N15" i="42"/>
  <c r="N44" i="42"/>
  <c r="M15" i="42"/>
  <c r="M44" i="42"/>
  <c r="L15" i="42"/>
  <c r="L44" i="42"/>
  <c r="K15" i="42"/>
  <c r="K44" i="42"/>
  <c r="J15" i="42"/>
  <c r="J44" i="42"/>
  <c r="I15" i="42"/>
  <c r="I44" i="42"/>
  <c r="H15" i="42"/>
  <c r="H44" i="42"/>
  <c r="G15" i="42"/>
  <c r="G44" i="42"/>
  <c r="F15" i="42"/>
  <c r="F44" i="42"/>
  <c r="E15" i="42"/>
  <c r="E44" i="42"/>
  <c r="D15" i="42"/>
  <c r="D44" i="42"/>
  <c r="AB28" i="42"/>
  <c r="AB43" i="42"/>
  <c r="AA28" i="42"/>
  <c r="AA43" i="42"/>
  <c r="Z28" i="42"/>
  <c r="Z43" i="42"/>
  <c r="Y28" i="42"/>
  <c r="Y43" i="42"/>
  <c r="X28" i="42"/>
  <c r="X43" i="42"/>
  <c r="W28" i="42"/>
  <c r="W43" i="42"/>
  <c r="V28" i="42"/>
  <c r="V43" i="42"/>
  <c r="U28" i="42"/>
  <c r="U43" i="42"/>
  <c r="T28" i="42"/>
  <c r="T43" i="42"/>
  <c r="S28" i="42"/>
  <c r="S43" i="42"/>
  <c r="R28" i="42"/>
  <c r="R43" i="42"/>
  <c r="Q28" i="42"/>
  <c r="Q43" i="42"/>
  <c r="P28" i="42"/>
  <c r="P43" i="42"/>
  <c r="O28" i="42"/>
  <c r="O43" i="42"/>
  <c r="N28" i="42"/>
  <c r="N43" i="42"/>
  <c r="M28" i="42"/>
  <c r="M43" i="42"/>
  <c r="L28" i="42"/>
  <c r="L43" i="42"/>
  <c r="K28" i="42"/>
  <c r="K43" i="42"/>
  <c r="J28" i="42"/>
  <c r="J43" i="42"/>
  <c r="I28" i="42"/>
  <c r="I43" i="42"/>
  <c r="H28" i="42"/>
  <c r="H43" i="42"/>
  <c r="G28" i="42"/>
  <c r="G43" i="42"/>
  <c r="F28" i="42"/>
  <c r="F43" i="42"/>
  <c r="E28" i="42"/>
  <c r="E43" i="42"/>
  <c r="D28" i="42"/>
  <c r="AB19" i="42"/>
  <c r="AB42" i="42"/>
  <c r="AA19" i="42"/>
  <c r="AA42" i="42"/>
  <c r="Z19" i="42"/>
  <c r="Z42" i="42"/>
  <c r="Y19" i="42"/>
  <c r="Y42" i="42"/>
  <c r="X19" i="42"/>
  <c r="X42" i="42"/>
  <c r="W19" i="42"/>
  <c r="W42" i="42"/>
  <c r="V19" i="42"/>
  <c r="V42" i="42"/>
  <c r="U19" i="42"/>
  <c r="U42" i="42"/>
  <c r="T19" i="42"/>
  <c r="T42" i="42"/>
  <c r="S19" i="42"/>
  <c r="S42" i="42"/>
  <c r="R19" i="42"/>
  <c r="R42" i="42"/>
  <c r="Q19" i="42"/>
  <c r="Q42" i="42"/>
  <c r="P19" i="42"/>
  <c r="P42" i="42"/>
  <c r="O19" i="42"/>
  <c r="O42" i="42"/>
  <c r="N19" i="42"/>
  <c r="N42" i="42"/>
  <c r="M19" i="42"/>
  <c r="M42" i="42"/>
  <c r="L19" i="42"/>
  <c r="L42" i="42"/>
  <c r="K19" i="42"/>
  <c r="K42" i="42"/>
  <c r="J19" i="42"/>
  <c r="J42" i="42"/>
  <c r="I19" i="42"/>
  <c r="I42" i="42"/>
  <c r="H19" i="42"/>
  <c r="H42" i="42"/>
  <c r="G19" i="42"/>
  <c r="G42" i="42"/>
  <c r="F19" i="42"/>
  <c r="F42" i="42"/>
  <c r="E19" i="42"/>
  <c r="E42" i="42"/>
  <c r="D19" i="42"/>
  <c r="AB8" i="42"/>
  <c r="AB41" i="42"/>
  <c r="AA8" i="42"/>
  <c r="AA41" i="42"/>
  <c r="Z8" i="42"/>
  <c r="Z41" i="42"/>
  <c r="Y8" i="42"/>
  <c r="Y41" i="42"/>
  <c r="X8" i="42"/>
  <c r="X41" i="42"/>
  <c r="W8" i="42"/>
  <c r="W41" i="42"/>
  <c r="V8" i="42"/>
  <c r="V41" i="42"/>
  <c r="U8" i="42"/>
  <c r="U41" i="42"/>
  <c r="T8" i="42"/>
  <c r="T41" i="42"/>
  <c r="S8" i="42"/>
  <c r="S41" i="42"/>
  <c r="R8" i="42"/>
  <c r="R41" i="42"/>
  <c r="Q8" i="42"/>
  <c r="Q41" i="42"/>
  <c r="P8" i="42"/>
  <c r="P41" i="42"/>
  <c r="O8" i="42"/>
  <c r="O41" i="42"/>
  <c r="N8" i="42"/>
  <c r="N41" i="42"/>
  <c r="M8" i="42"/>
  <c r="M41" i="42"/>
  <c r="L8" i="42"/>
  <c r="L41" i="42"/>
  <c r="K8" i="42"/>
  <c r="K41" i="42"/>
  <c r="J8" i="42"/>
  <c r="J41" i="42"/>
  <c r="I8" i="42"/>
  <c r="I41" i="42"/>
  <c r="H8" i="42"/>
  <c r="H41" i="42"/>
  <c r="G8" i="42"/>
  <c r="G41" i="42"/>
  <c r="F8" i="42"/>
  <c r="F41" i="42"/>
  <c r="E8" i="42"/>
  <c r="E41" i="42"/>
  <c r="D8" i="42"/>
  <c r="D41" i="42"/>
  <c r="AB4" i="42"/>
  <c r="AB40" i="42"/>
  <c r="AA4" i="42"/>
  <c r="AA40" i="42"/>
  <c r="Z4" i="42"/>
  <c r="Z40" i="42"/>
  <c r="Y4" i="42"/>
  <c r="Y40" i="42"/>
  <c r="X4" i="42"/>
  <c r="X40" i="42"/>
  <c r="W4" i="42"/>
  <c r="W40" i="42"/>
  <c r="V4" i="42"/>
  <c r="V40" i="42"/>
  <c r="U4" i="42"/>
  <c r="U40" i="42"/>
  <c r="T4" i="42"/>
  <c r="T40" i="42"/>
  <c r="S4" i="42"/>
  <c r="S40" i="42"/>
  <c r="R4" i="42"/>
  <c r="R40" i="42"/>
  <c r="Q4" i="42"/>
  <c r="Q40" i="42"/>
  <c r="P4" i="42"/>
  <c r="P40" i="42"/>
  <c r="O4" i="42"/>
  <c r="O40" i="42"/>
  <c r="N4" i="42"/>
  <c r="N40" i="42"/>
  <c r="M4" i="42"/>
  <c r="M40" i="42"/>
  <c r="L4" i="42"/>
  <c r="L40" i="42"/>
  <c r="K4" i="42"/>
  <c r="K40" i="42"/>
  <c r="J4" i="42"/>
  <c r="J40" i="42"/>
  <c r="I4" i="42"/>
  <c r="I40" i="42"/>
  <c r="H4" i="42"/>
  <c r="H40" i="42"/>
  <c r="G4" i="42"/>
  <c r="G40" i="42"/>
  <c r="F4" i="42"/>
  <c r="F40" i="42"/>
  <c r="E4" i="42"/>
  <c r="E40" i="42"/>
  <c r="D4" i="42"/>
  <c r="AB11" i="42"/>
  <c r="AB39" i="42"/>
  <c r="AA11" i="42"/>
  <c r="AA39" i="42"/>
  <c r="Z11" i="42"/>
  <c r="Z39" i="42"/>
  <c r="Y11" i="42"/>
  <c r="Y39" i="42"/>
  <c r="X11" i="42"/>
  <c r="X39" i="42"/>
  <c r="W11" i="42"/>
  <c r="W39" i="42"/>
  <c r="V11" i="42"/>
  <c r="V39" i="42"/>
  <c r="U11" i="42"/>
  <c r="T11" i="42"/>
  <c r="T39" i="42"/>
  <c r="S11" i="42"/>
  <c r="S39" i="42"/>
  <c r="R11" i="42"/>
  <c r="R39" i="42"/>
  <c r="Q11" i="42"/>
  <c r="Q39" i="42"/>
  <c r="P11" i="42"/>
  <c r="P39" i="42"/>
  <c r="O11" i="42"/>
  <c r="O39" i="42"/>
  <c r="N11" i="42"/>
  <c r="N39" i="42"/>
  <c r="M11" i="42"/>
  <c r="M39" i="42"/>
  <c r="L11" i="42"/>
  <c r="L39" i="42"/>
  <c r="K11" i="42"/>
  <c r="K39" i="42"/>
  <c r="J11" i="42"/>
  <c r="J39" i="42"/>
  <c r="I11" i="42"/>
  <c r="I39" i="42"/>
  <c r="H11" i="42"/>
  <c r="H39" i="42"/>
  <c r="G11" i="42"/>
  <c r="G39" i="42"/>
  <c r="F11" i="42"/>
  <c r="F39" i="42"/>
  <c r="E11" i="42"/>
  <c r="E39" i="42"/>
  <c r="D11" i="42"/>
  <c r="D39" i="42"/>
  <c r="AB2" i="42"/>
  <c r="AB38" i="42"/>
  <c r="AA2" i="42"/>
  <c r="AA38" i="42"/>
  <c r="Z2" i="42"/>
  <c r="Z38" i="42"/>
  <c r="Y2" i="42"/>
  <c r="Y38" i="42"/>
  <c r="X2" i="42"/>
  <c r="X38" i="42"/>
  <c r="W2" i="42"/>
  <c r="W38" i="42"/>
  <c r="V2" i="42"/>
  <c r="V38" i="42"/>
  <c r="U2" i="42"/>
  <c r="T2" i="42"/>
  <c r="T38" i="42"/>
  <c r="S2" i="42"/>
  <c r="S38" i="42"/>
  <c r="R2" i="42"/>
  <c r="R38" i="42"/>
  <c r="Q2" i="42"/>
  <c r="Q38" i="42"/>
  <c r="P2" i="42"/>
  <c r="P38" i="42"/>
  <c r="O2" i="42"/>
  <c r="O38" i="42"/>
  <c r="N2" i="42"/>
  <c r="N38" i="42"/>
  <c r="M2" i="42"/>
  <c r="M38" i="42"/>
  <c r="L2" i="42"/>
  <c r="L38" i="42"/>
  <c r="K2" i="42"/>
  <c r="K38" i="42"/>
  <c r="J2" i="42"/>
  <c r="J38" i="42"/>
  <c r="I2" i="42"/>
  <c r="I38" i="42"/>
  <c r="H2" i="42"/>
  <c r="H38" i="42"/>
  <c r="G2" i="42"/>
  <c r="G38" i="42"/>
  <c r="F2" i="42"/>
  <c r="F38" i="42"/>
  <c r="E2" i="42"/>
  <c r="E38" i="42"/>
  <c r="D2" i="42"/>
  <c r="D38" i="42"/>
  <c r="AB22" i="42"/>
  <c r="AB37" i="42"/>
  <c r="AA22" i="42"/>
  <c r="AA37" i="42"/>
  <c r="Z22" i="42"/>
  <c r="Z37" i="42"/>
  <c r="Y22" i="42"/>
  <c r="Y37" i="42"/>
  <c r="X22" i="42"/>
  <c r="X37" i="42"/>
  <c r="W22" i="42"/>
  <c r="W37" i="42"/>
  <c r="V22" i="42"/>
  <c r="V37" i="42"/>
  <c r="U22" i="42"/>
  <c r="U37" i="42"/>
  <c r="T22" i="42"/>
  <c r="T37" i="42"/>
  <c r="S22" i="42"/>
  <c r="S37" i="42"/>
  <c r="R22" i="42"/>
  <c r="R37" i="42"/>
  <c r="Q22" i="42"/>
  <c r="Q37" i="42"/>
  <c r="P22" i="42"/>
  <c r="P37" i="42"/>
  <c r="O22" i="42"/>
  <c r="O37" i="42"/>
  <c r="N22" i="42"/>
  <c r="N37" i="42"/>
  <c r="M22" i="42"/>
  <c r="M37" i="42"/>
  <c r="L22" i="42"/>
  <c r="L37" i="42"/>
  <c r="K22" i="42"/>
  <c r="K37" i="42"/>
  <c r="J22" i="42"/>
  <c r="J37" i="42"/>
  <c r="I22" i="42"/>
  <c r="I37" i="42"/>
  <c r="H22" i="42"/>
  <c r="H37" i="42"/>
  <c r="G22" i="42"/>
  <c r="G37" i="42"/>
  <c r="F22" i="42"/>
  <c r="F37" i="42"/>
  <c r="E22" i="42"/>
  <c r="E37" i="42"/>
  <c r="D22" i="42"/>
  <c r="D37" i="42"/>
  <c r="AB26" i="42"/>
  <c r="AB36" i="42"/>
  <c r="AA26" i="42"/>
  <c r="AA36" i="42"/>
  <c r="Z26" i="42"/>
  <c r="Z36" i="42"/>
  <c r="Y26" i="42"/>
  <c r="Y36" i="42"/>
  <c r="X26" i="42"/>
  <c r="X36" i="42"/>
  <c r="W26" i="42"/>
  <c r="W36" i="42"/>
  <c r="V26" i="42"/>
  <c r="V36" i="42"/>
  <c r="U26" i="42"/>
  <c r="U36" i="42"/>
  <c r="T26" i="42"/>
  <c r="T36" i="42"/>
  <c r="S26" i="42"/>
  <c r="S36" i="42"/>
  <c r="R26" i="42"/>
  <c r="R36" i="42"/>
  <c r="Q26" i="42"/>
  <c r="Q36" i="42"/>
  <c r="P26" i="42"/>
  <c r="P36" i="42"/>
  <c r="O26" i="42"/>
  <c r="O36" i="42"/>
  <c r="N26" i="42"/>
  <c r="N36" i="42"/>
  <c r="M26" i="42"/>
  <c r="M36" i="42"/>
  <c r="L26" i="42"/>
  <c r="L36" i="42"/>
  <c r="K26" i="42"/>
  <c r="K36" i="42"/>
  <c r="J26" i="42"/>
  <c r="J36" i="42"/>
  <c r="J31" i="42"/>
  <c r="I26" i="42"/>
  <c r="I36" i="42"/>
  <c r="H26" i="42"/>
  <c r="H36" i="42"/>
  <c r="G26" i="42"/>
  <c r="G36" i="42"/>
  <c r="F26" i="42"/>
  <c r="F36" i="42"/>
  <c r="E26" i="42"/>
  <c r="E36" i="42"/>
  <c r="D26" i="42"/>
  <c r="AB30" i="42"/>
  <c r="AB35" i="42"/>
  <c r="AA30" i="42"/>
  <c r="AA35" i="42"/>
  <c r="Z30" i="42"/>
  <c r="Z35" i="42"/>
  <c r="Y30" i="42"/>
  <c r="Y35" i="42"/>
  <c r="X30" i="42"/>
  <c r="X35" i="42"/>
  <c r="W30" i="42"/>
  <c r="W35" i="42"/>
  <c r="V30" i="42"/>
  <c r="V35" i="42"/>
  <c r="U30" i="42"/>
  <c r="U35" i="42"/>
  <c r="T30" i="42"/>
  <c r="T35" i="42"/>
  <c r="S30" i="42"/>
  <c r="S35" i="42"/>
  <c r="R30" i="42"/>
  <c r="R35" i="42"/>
  <c r="Q30" i="42"/>
  <c r="Q35" i="42"/>
  <c r="P30" i="42"/>
  <c r="P35" i="42"/>
  <c r="O30" i="42"/>
  <c r="O35" i="42"/>
  <c r="N30" i="42"/>
  <c r="N35" i="42"/>
  <c r="M30" i="42"/>
  <c r="M35" i="42"/>
  <c r="L30" i="42"/>
  <c r="L35" i="42"/>
  <c r="K30" i="42"/>
  <c r="K35" i="42"/>
  <c r="J30" i="42"/>
  <c r="J35" i="42"/>
  <c r="I30" i="42"/>
  <c r="I35" i="42"/>
  <c r="H30" i="42"/>
  <c r="H35" i="42"/>
  <c r="G30" i="42"/>
  <c r="G35" i="42"/>
  <c r="F30" i="42"/>
  <c r="F35" i="42"/>
  <c r="E30" i="42"/>
  <c r="E35" i="42"/>
  <c r="D30" i="42"/>
  <c r="D35" i="42"/>
  <c r="AB14" i="42"/>
  <c r="AB34" i="42"/>
  <c r="AA14" i="42"/>
  <c r="AA34" i="42"/>
  <c r="Z14" i="42"/>
  <c r="Z34" i="42"/>
  <c r="Y14" i="42"/>
  <c r="Y34" i="42"/>
  <c r="X14" i="42"/>
  <c r="X34" i="42"/>
  <c r="W14" i="42"/>
  <c r="W34" i="42"/>
  <c r="V14" i="42"/>
  <c r="V34" i="42"/>
  <c r="U14" i="42"/>
  <c r="U34" i="42"/>
  <c r="T14" i="42"/>
  <c r="T34" i="42"/>
  <c r="S14" i="42"/>
  <c r="S34" i="42"/>
  <c r="R14" i="42"/>
  <c r="R34" i="42"/>
  <c r="Q14" i="42"/>
  <c r="Q34" i="42"/>
  <c r="P14" i="42"/>
  <c r="P34" i="42"/>
  <c r="O14" i="42"/>
  <c r="O34" i="42"/>
  <c r="N14" i="42"/>
  <c r="N34" i="42"/>
  <c r="M14" i="42"/>
  <c r="M34" i="42"/>
  <c r="L14" i="42"/>
  <c r="L34" i="42"/>
  <c r="K14" i="42"/>
  <c r="K34" i="42"/>
  <c r="J14" i="42"/>
  <c r="J34" i="42"/>
  <c r="I14" i="42"/>
  <c r="I34" i="42"/>
  <c r="H14" i="42"/>
  <c r="H34" i="42"/>
  <c r="G14" i="42"/>
  <c r="G34" i="42"/>
  <c r="F14" i="42"/>
  <c r="F34" i="42"/>
  <c r="E14" i="42"/>
  <c r="E34" i="42"/>
  <c r="D14" i="42"/>
  <c r="D34" i="42"/>
  <c r="AB13" i="42"/>
  <c r="AB33" i="42"/>
  <c r="AA13" i="42"/>
  <c r="Z13" i="42"/>
  <c r="Z33" i="42"/>
  <c r="Y13" i="42"/>
  <c r="Y33" i="42"/>
  <c r="X13" i="42"/>
  <c r="X33" i="42"/>
  <c r="W13" i="42"/>
  <c r="W33" i="42"/>
  <c r="V13" i="42"/>
  <c r="V33" i="42"/>
  <c r="U13" i="42"/>
  <c r="U33" i="42"/>
  <c r="T13" i="42"/>
  <c r="T33" i="42"/>
  <c r="S13" i="42"/>
  <c r="S33" i="42"/>
  <c r="R13" i="42"/>
  <c r="R33" i="42"/>
  <c r="Q13" i="42"/>
  <c r="Q33" i="42"/>
  <c r="P13" i="42"/>
  <c r="P33" i="42"/>
  <c r="O13" i="42"/>
  <c r="O33" i="42"/>
  <c r="N13" i="42"/>
  <c r="N33" i="42"/>
  <c r="M13" i="42"/>
  <c r="M33" i="42"/>
  <c r="L13" i="42"/>
  <c r="L33" i="42"/>
  <c r="K13" i="42"/>
  <c r="K33" i="42"/>
  <c r="J13" i="42"/>
  <c r="J33" i="42"/>
  <c r="I13" i="42"/>
  <c r="I33" i="42"/>
  <c r="H13" i="42"/>
  <c r="H33" i="42"/>
  <c r="G13" i="42"/>
  <c r="G33" i="42"/>
  <c r="F13" i="42"/>
  <c r="F33" i="42"/>
  <c r="E13" i="42"/>
  <c r="E33" i="42"/>
  <c r="D13" i="42"/>
  <c r="D33" i="42"/>
  <c r="AB3" i="42"/>
  <c r="AB32" i="42"/>
  <c r="AA3" i="42"/>
  <c r="AA32" i="42"/>
  <c r="Z3" i="42"/>
  <c r="Z32" i="42"/>
  <c r="Y3" i="42"/>
  <c r="Y32" i="42"/>
  <c r="X3" i="42"/>
  <c r="X32" i="42"/>
  <c r="W3" i="42"/>
  <c r="W32" i="42"/>
  <c r="V3" i="42"/>
  <c r="V32" i="42"/>
  <c r="U3" i="42"/>
  <c r="U32" i="42"/>
  <c r="T3" i="42"/>
  <c r="T32" i="42"/>
  <c r="S3" i="42"/>
  <c r="S32" i="42"/>
  <c r="R3" i="42"/>
  <c r="R32" i="42"/>
  <c r="Q3" i="42"/>
  <c r="Q32" i="42"/>
  <c r="P3" i="42"/>
  <c r="P32" i="42"/>
  <c r="O3" i="42"/>
  <c r="O32" i="42"/>
  <c r="N3" i="42"/>
  <c r="N32" i="42"/>
  <c r="M3" i="42"/>
  <c r="M32" i="42"/>
  <c r="L3" i="42"/>
  <c r="L32" i="42"/>
  <c r="L31" i="42"/>
  <c r="K3" i="42"/>
  <c r="K32" i="42"/>
  <c r="J3" i="42"/>
  <c r="J32" i="42"/>
  <c r="I3" i="42"/>
  <c r="I32" i="42"/>
  <c r="H3" i="42"/>
  <c r="H32" i="42"/>
  <c r="G3" i="42"/>
  <c r="G32" i="42"/>
  <c r="F3" i="42"/>
  <c r="F32" i="42"/>
  <c r="E3" i="42"/>
  <c r="E32" i="42"/>
  <c r="D3" i="42"/>
  <c r="D32" i="42"/>
  <c r="AZ27" i="33"/>
  <c r="AA27" i="44"/>
  <c r="AZ27" i="44"/>
  <c r="BA27" i="33"/>
  <c r="BY27" i="44"/>
  <c r="CB27" i="43"/>
  <c r="CB76" i="43"/>
  <c r="Z27" i="44"/>
  <c r="AY27" i="44"/>
  <c r="BX27" i="44"/>
  <c r="CA27" i="43"/>
  <c r="CA76" i="43"/>
  <c r="Y27" i="44"/>
  <c r="AX27" i="44"/>
  <c r="BW27" i="44"/>
  <c r="BZ27" i="43"/>
  <c r="BZ76" i="43"/>
  <c r="X27" i="44"/>
  <c r="AW27" i="44"/>
  <c r="BV27" i="44"/>
  <c r="BY27" i="43"/>
  <c r="BY76" i="43"/>
  <c r="W27" i="44"/>
  <c r="AV27" i="44"/>
  <c r="BU27" i="44"/>
  <c r="BX27" i="43"/>
  <c r="BX76" i="43"/>
  <c r="V27" i="44"/>
  <c r="AU27" i="44"/>
  <c r="BT27" i="44"/>
  <c r="BW27" i="43"/>
  <c r="BW76" i="43"/>
  <c r="U27" i="44"/>
  <c r="AT27" i="44"/>
  <c r="BS27" i="44"/>
  <c r="BV27" i="43"/>
  <c r="BV76" i="43"/>
  <c r="T27" i="44"/>
  <c r="AS27" i="44"/>
  <c r="BR27" i="44"/>
  <c r="BU27" i="43"/>
  <c r="BU76" i="43"/>
  <c r="S27" i="44"/>
  <c r="AR27" i="44"/>
  <c r="BQ27" i="44"/>
  <c r="BT27" i="43"/>
  <c r="BT76" i="43"/>
  <c r="R27" i="44"/>
  <c r="AQ27" i="44"/>
  <c r="BP27" i="44"/>
  <c r="BS27" i="43"/>
  <c r="BS76" i="43"/>
  <c r="Q27" i="44"/>
  <c r="AP27" i="44"/>
  <c r="BO27" i="44"/>
  <c r="BR27" i="43"/>
  <c r="BR76" i="43"/>
  <c r="P27" i="44"/>
  <c r="AO27" i="44"/>
  <c r="BN27" i="44"/>
  <c r="BQ27" i="43"/>
  <c r="BQ76" i="43"/>
  <c r="O27" i="44"/>
  <c r="AN27" i="44"/>
  <c r="BM27" i="44"/>
  <c r="BP27" i="43"/>
  <c r="BP76" i="43"/>
  <c r="N27" i="44"/>
  <c r="AM27" i="44"/>
  <c r="BL27" i="44"/>
  <c r="BO27" i="43"/>
  <c r="BO76" i="43"/>
  <c r="M27" i="44"/>
  <c r="AL27" i="44"/>
  <c r="BK27" i="44"/>
  <c r="BN27" i="43"/>
  <c r="BN76" i="43"/>
  <c r="L27" i="44"/>
  <c r="AK27" i="44"/>
  <c r="BJ27" i="44"/>
  <c r="BM27" i="43"/>
  <c r="BM76" i="43"/>
  <c r="K27" i="44"/>
  <c r="AJ27" i="44"/>
  <c r="BI27" i="44"/>
  <c r="BL27" i="43"/>
  <c r="BL76" i="43"/>
  <c r="J27" i="44"/>
  <c r="AI27" i="44"/>
  <c r="BH27" i="44"/>
  <c r="BK27" i="43"/>
  <c r="BK76" i="43"/>
  <c r="I27" i="44"/>
  <c r="AH27" i="44"/>
  <c r="BG27" i="44"/>
  <c r="BJ27" i="43"/>
  <c r="BJ76" i="43"/>
  <c r="H27" i="44"/>
  <c r="AG27" i="44"/>
  <c r="BF27" i="44"/>
  <c r="BI27" i="43"/>
  <c r="BI76" i="43"/>
  <c r="G27" i="44"/>
  <c r="AF27" i="44"/>
  <c r="BE27" i="44"/>
  <c r="BH27" i="43"/>
  <c r="BH76" i="43"/>
  <c r="F27" i="44"/>
  <c r="AE27" i="44"/>
  <c r="BD27" i="44"/>
  <c r="BG27" i="43"/>
  <c r="BG76" i="43"/>
  <c r="E27" i="44"/>
  <c r="AD27" i="44"/>
  <c r="BC27" i="44"/>
  <c r="BF27" i="43"/>
  <c r="BF76" i="43"/>
  <c r="D27" i="44"/>
  <c r="AC27" i="44"/>
  <c r="BB27" i="44"/>
  <c r="BE27" i="43"/>
  <c r="BE76" i="43"/>
  <c r="C27" i="44"/>
  <c r="AB27" i="44"/>
  <c r="BA27" i="44"/>
  <c r="BD27" i="43"/>
  <c r="BD76" i="43"/>
  <c r="BC27" i="43"/>
  <c r="BC76" i="43"/>
  <c r="AZ18" i="33"/>
  <c r="AA18" i="44"/>
  <c r="AZ18" i="44"/>
  <c r="BA18" i="33"/>
  <c r="BY18" i="44"/>
  <c r="CB18" i="43"/>
  <c r="CB75" i="43"/>
  <c r="Z18" i="44"/>
  <c r="AY18" i="44"/>
  <c r="BX18" i="44"/>
  <c r="CA18" i="43"/>
  <c r="CA75" i="43"/>
  <c r="Y18" i="44"/>
  <c r="AX18" i="44"/>
  <c r="BW18" i="44"/>
  <c r="BZ18" i="43"/>
  <c r="BZ75" i="43"/>
  <c r="X18" i="44"/>
  <c r="AW18" i="44"/>
  <c r="BV18" i="44"/>
  <c r="BY18" i="43"/>
  <c r="BY75" i="43"/>
  <c r="W18" i="44"/>
  <c r="AV18" i="44"/>
  <c r="BU18" i="44"/>
  <c r="BX18" i="43"/>
  <c r="BX75" i="43"/>
  <c r="V18" i="44"/>
  <c r="AU18" i="44"/>
  <c r="BT18" i="44"/>
  <c r="BW18" i="43"/>
  <c r="BW75" i="43"/>
  <c r="U18" i="44"/>
  <c r="AT18" i="44"/>
  <c r="BS18" i="44"/>
  <c r="BV18" i="43"/>
  <c r="BV75" i="43"/>
  <c r="T18" i="44"/>
  <c r="AS18" i="44"/>
  <c r="BR18" i="44"/>
  <c r="BU18" i="43"/>
  <c r="BU75" i="43"/>
  <c r="S18" i="44"/>
  <c r="AR18" i="44"/>
  <c r="BQ18" i="44"/>
  <c r="BT18" i="43"/>
  <c r="BT75" i="43"/>
  <c r="R18" i="44"/>
  <c r="AQ18" i="44"/>
  <c r="BP18" i="44"/>
  <c r="BS18" i="43"/>
  <c r="BS75" i="43"/>
  <c r="Q18" i="44"/>
  <c r="AP18" i="44"/>
  <c r="BO18" i="44"/>
  <c r="BR18" i="43"/>
  <c r="BR75" i="43"/>
  <c r="P18" i="44"/>
  <c r="AO18" i="44"/>
  <c r="BN18" i="44"/>
  <c r="BQ18" i="43"/>
  <c r="BQ75" i="43"/>
  <c r="O18" i="44"/>
  <c r="AN18" i="44"/>
  <c r="BM18" i="44"/>
  <c r="BP18" i="43"/>
  <c r="BP75" i="43"/>
  <c r="N18" i="44"/>
  <c r="AM18" i="44"/>
  <c r="BL18" i="44"/>
  <c r="BO18" i="43"/>
  <c r="BO75" i="43"/>
  <c r="M18" i="44"/>
  <c r="AL18" i="44"/>
  <c r="BK18" i="44"/>
  <c r="BN18" i="43"/>
  <c r="BN75" i="43"/>
  <c r="L18" i="44"/>
  <c r="AK18" i="44"/>
  <c r="BJ18" i="44"/>
  <c r="BM18" i="43"/>
  <c r="BM75" i="43"/>
  <c r="K18" i="44"/>
  <c r="AJ18" i="44"/>
  <c r="BI18" i="44"/>
  <c r="BL18" i="43"/>
  <c r="BL75" i="43"/>
  <c r="J18" i="44"/>
  <c r="AI18" i="44"/>
  <c r="BH18" i="44"/>
  <c r="BK18" i="43"/>
  <c r="BK75" i="43"/>
  <c r="I18" i="44"/>
  <c r="AH18" i="44"/>
  <c r="BG18" i="44"/>
  <c r="BJ18" i="43"/>
  <c r="BJ75" i="43"/>
  <c r="H18" i="44"/>
  <c r="AG18" i="44"/>
  <c r="BF18" i="44"/>
  <c r="BI18" i="43"/>
  <c r="BI75" i="43"/>
  <c r="G18" i="44"/>
  <c r="AF18" i="44"/>
  <c r="BE18" i="44"/>
  <c r="BH18" i="43"/>
  <c r="BH75" i="43"/>
  <c r="F18" i="44"/>
  <c r="AE18" i="44"/>
  <c r="BD18" i="44"/>
  <c r="BG18" i="43"/>
  <c r="BG75" i="43"/>
  <c r="E18" i="44"/>
  <c r="AD18" i="44"/>
  <c r="BC18" i="44"/>
  <c r="BF18" i="43"/>
  <c r="BF75" i="43"/>
  <c r="D18" i="44"/>
  <c r="AC18" i="44"/>
  <c r="BB18" i="44"/>
  <c r="BE18" i="43"/>
  <c r="BE75" i="43"/>
  <c r="C18" i="44"/>
  <c r="AB18" i="44"/>
  <c r="BA18" i="44"/>
  <c r="BD18" i="43"/>
  <c r="BD75" i="43"/>
  <c r="BC18" i="43"/>
  <c r="BC75" i="43"/>
  <c r="AZ12" i="33"/>
  <c r="AA12" i="44"/>
  <c r="AZ12" i="44"/>
  <c r="BA12" i="33"/>
  <c r="BY12" i="44"/>
  <c r="CB12" i="43"/>
  <c r="CB74" i="43"/>
  <c r="Z12" i="44"/>
  <c r="AY12" i="44"/>
  <c r="BX12" i="44"/>
  <c r="CA12" i="43"/>
  <c r="CA74" i="43"/>
  <c r="Y12" i="44"/>
  <c r="AX12" i="44"/>
  <c r="BW12" i="44"/>
  <c r="BZ12" i="43"/>
  <c r="BZ74" i="43"/>
  <c r="X12" i="44"/>
  <c r="AW12" i="44"/>
  <c r="BV12" i="44"/>
  <c r="BY12" i="43"/>
  <c r="BY74" i="43"/>
  <c r="W12" i="44"/>
  <c r="AV12" i="44"/>
  <c r="BU12" i="44"/>
  <c r="BX12" i="43"/>
  <c r="BX74" i="43"/>
  <c r="V12" i="44"/>
  <c r="AU12" i="44"/>
  <c r="BT12" i="44"/>
  <c r="BW12" i="43"/>
  <c r="BW74" i="43"/>
  <c r="U12" i="44"/>
  <c r="AT12" i="44"/>
  <c r="BS12" i="44"/>
  <c r="BV12" i="43"/>
  <c r="BV74" i="43"/>
  <c r="T12" i="44"/>
  <c r="AS12" i="44"/>
  <c r="BR12" i="44"/>
  <c r="BU12" i="43"/>
  <c r="BU74" i="43"/>
  <c r="S12" i="44"/>
  <c r="AR12" i="44"/>
  <c r="BQ12" i="44"/>
  <c r="BT12" i="43"/>
  <c r="BT74" i="43"/>
  <c r="R12" i="44"/>
  <c r="AQ12" i="44"/>
  <c r="BP12" i="44"/>
  <c r="BS12" i="43"/>
  <c r="BS74" i="43"/>
  <c r="Q12" i="44"/>
  <c r="AP12" i="44"/>
  <c r="BO12" i="44"/>
  <c r="BR12" i="43"/>
  <c r="BR74" i="43"/>
  <c r="P12" i="44"/>
  <c r="AO12" i="44"/>
  <c r="BN12" i="44"/>
  <c r="BQ12" i="43"/>
  <c r="BQ74" i="43"/>
  <c r="O12" i="44"/>
  <c r="AN12" i="44"/>
  <c r="BM12" i="44"/>
  <c r="BP12" i="43"/>
  <c r="BP74" i="43"/>
  <c r="N12" i="44"/>
  <c r="AM12" i="44"/>
  <c r="BL12" i="44"/>
  <c r="BO12" i="43"/>
  <c r="BO74" i="43"/>
  <c r="M12" i="44"/>
  <c r="AL12" i="44"/>
  <c r="BK12" i="44"/>
  <c r="BN12" i="43"/>
  <c r="BN74" i="43"/>
  <c r="L12" i="44"/>
  <c r="AK12" i="44"/>
  <c r="BJ12" i="44"/>
  <c r="BM12" i="43"/>
  <c r="BM74" i="43"/>
  <c r="K12" i="44"/>
  <c r="AJ12" i="44"/>
  <c r="BI12" i="44"/>
  <c r="BL12" i="43"/>
  <c r="BL74" i="43"/>
  <c r="J12" i="44"/>
  <c r="AI12" i="44"/>
  <c r="BH12" i="44"/>
  <c r="BK12" i="43"/>
  <c r="BK74" i="43"/>
  <c r="I12" i="44"/>
  <c r="AH12" i="44"/>
  <c r="BG12" i="44"/>
  <c r="BJ12" i="43"/>
  <c r="BJ74" i="43"/>
  <c r="H12" i="44"/>
  <c r="AG12" i="44"/>
  <c r="BF12" i="44"/>
  <c r="BI12" i="43"/>
  <c r="BI74" i="43"/>
  <c r="G12" i="44"/>
  <c r="AF12" i="44"/>
  <c r="BE12" i="44"/>
  <c r="BH12" i="43"/>
  <c r="BH74" i="43"/>
  <c r="F12" i="44"/>
  <c r="AE12" i="44"/>
  <c r="BD12" i="44"/>
  <c r="BG12" i="43"/>
  <c r="BG74" i="43"/>
  <c r="E12" i="44"/>
  <c r="AD12" i="44"/>
  <c r="BC12" i="44"/>
  <c r="BF12" i="43"/>
  <c r="BF74" i="43"/>
  <c r="D12" i="44"/>
  <c r="AC12" i="44"/>
  <c r="BB12" i="44"/>
  <c r="BE12" i="43"/>
  <c r="BE74" i="43"/>
  <c r="C12" i="44"/>
  <c r="AB12" i="44"/>
  <c r="BA12" i="44"/>
  <c r="BD12" i="43"/>
  <c r="BD74" i="43"/>
  <c r="BC12" i="43"/>
  <c r="BC74" i="43"/>
  <c r="AZ7" i="33"/>
  <c r="AA7" i="44"/>
  <c r="AZ7" i="44"/>
  <c r="BA7" i="33"/>
  <c r="BY7" i="44"/>
  <c r="CB7" i="43"/>
  <c r="CB73" i="43"/>
  <c r="Z7" i="44"/>
  <c r="AY7" i="44"/>
  <c r="BX7" i="44"/>
  <c r="CA7" i="43"/>
  <c r="CA73" i="43"/>
  <c r="Y7" i="44"/>
  <c r="AX7" i="44"/>
  <c r="BW7" i="44"/>
  <c r="BZ7" i="43"/>
  <c r="BZ73" i="43"/>
  <c r="X7" i="44"/>
  <c r="AW7" i="44"/>
  <c r="BV7" i="44"/>
  <c r="BY7" i="43"/>
  <c r="BY73" i="43"/>
  <c r="W7" i="44"/>
  <c r="AV7" i="44"/>
  <c r="BU7" i="44"/>
  <c r="BX7" i="43"/>
  <c r="BX73" i="43"/>
  <c r="V7" i="44"/>
  <c r="AU7" i="44"/>
  <c r="BT7" i="44"/>
  <c r="BW7" i="43"/>
  <c r="BW73" i="43"/>
  <c r="U7" i="44"/>
  <c r="AT7" i="44"/>
  <c r="BS7" i="44"/>
  <c r="BV7" i="43"/>
  <c r="BV73" i="43"/>
  <c r="T7" i="44"/>
  <c r="AS7" i="44"/>
  <c r="BR7" i="44"/>
  <c r="BU7" i="43"/>
  <c r="BU73" i="43"/>
  <c r="S7" i="44"/>
  <c r="AR7" i="44"/>
  <c r="BQ7" i="44"/>
  <c r="BT7" i="43"/>
  <c r="BT73" i="43"/>
  <c r="R7" i="44"/>
  <c r="AQ7" i="44"/>
  <c r="BP7" i="44"/>
  <c r="BS7" i="43"/>
  <c r="BS73" i="43"/>
  <c r="Q7" i="44"/>
  <c r="AP7" i="44"/>
  <c r="BO7" i="44"/>
  <c r="BR7" i="43"/>
  <c r="BR73" i="43"/>
  <c r="P7" i="44"/>
  <c r="AO7" i="44"/>
  <c r="BN7" i="44"/>
  <c r="BQ7" i="43"/>
  <c r="BQ73" i="43"/>
  <c r="O7" i="44"/>
  <c r="AN7" i="44"/>
  <c r="BM7" i="44"/>
  <c r="BP7" i="43"/>
  <c r="BP73" i="43"/>
  <c r="N7" i="44"/>
  <c r="AM7" i="44"/>
  <c r="BL7" i="44"/>
  <c r="BO7" i="43"/>
  <c r="BO73" i="43"/>
  <c r="M7" i="44"/>
  <c r="AL7" i="44"/>
  <c r="BK7" i="44"/>
  <c r="BN7" i="43"/>
  <c r="BN73" i="43"/>
  <c r="L7" i="44"/>
  <c r="AK7" i="44"/>
  <c r="BJ7" i="44"/>
  <c r="BM7" i="43"/>
  <c r="BM73" i="43"/>
  <c r="K7" i="44"/>
  <c r="AJ7" i="44"/>
  <c r="BI7" i="44"/>
  <c r="BL7" i="43"/>
  <c r="BL73" i="43"/>
  <c r="J7" i="44"/>
  <c r="AI7" i="44"/>
  <c r="BH7" i="44"/>
  <c r="BK7" i="43"/>
  <c r="BK73" i="43"/>
  <c r="I7" i="44"/>
  <c r="AH7" i="44"/>
  <c r="BG7" i="44"/>
  <c r="BJ7" i="43"/>
  <c r="BJ73" i="43"/>
  <c r="H7" i="44"/>
  <c r="AG7" i="44"/>
  <c r="BF7" i="44"/>
  <c r="BI7" i="43"/>
  <c r="BI73" i="43"/>
  <c r="G7" i="44"/>
  <c r="AF7" i="44"/>
  <c r="BE7" i="44"/>
  <c r="BH7" i="43"/>
  <c r="BH73" i="43"/>
  <c r="F7" i="44"/>
  <c r="AE7" i="44"/>
  <c r="BD7" i="44"/>
  <c r="BG7" i="43"/>
  <c r="BG73" i="43"/>
  <c r="E7" i="44"/>
  <c r="AD7" i="44"/>
  <c r="BC7" i="44"/>
  <c r="BF7" i="43"/>
  <c r="BF73" i="43"/>
  <c r="D7" i="44"/>
  <c r="AC7" i="44"/>
  <c r="BB7" i="44"/>
  <c r="BE7" i="43"/>
  <c r="BE73" i="43"/>
  <c r="C7" i="44"/>
  <c r="AB7" i="44"/>
  <c r="BA7" i="44"/>
  <c r="BD7" i="43"/>
  <c r="BD73" i="43"/>
  <c r="BC7" i="43"/>
  <c r="BC73" i="43"/>
  <c r="AZ16" i="33"/>
  <c r="AA16" i="44"/>
  <c r="AZ16" i="44"/>
  <c r="BA16" i="33"/>
  <c r="BY16" i="44"/>
  <c r="CB16" i="43"/>
  <c r="CB72" i="43"/>
  <c r="Z16" i="44"/>
  <c r="AY16" i="44"/>
  <c r="BX16" i="44"/>
  <c r="CA16" i="43"/>
  <c r="CA72" i="43"/>
  <c r="Y16" i="44"/>
  <c r="AX16" i="44"/>
  <c r="BW16" i="44"/>
  <c r="BZ16" i="43"/>
  <c r="BZ72" i="43"/>
  <c r="X16" i="44"/>
  <c r="AW16" i="44"/>
  <c r="BV16" i="44"/>
  <c r="BY16" i="43"/>
  <c r="BY72" i="43"/>
  <c r="W16" i="44"/>
  <c r="AV16" i="44"/>
  <c r="BU16" i="44"/>
  <c r="BX16" i="43"/>
  <c r="BX72" i="43"/>
  <c r="V16" i="44"/>
  <c r="AU16" i="44"/>
  <c r="BT16" i="44"/>
  <c r="BW16" i="43"/>
  <c r="BW72" i="43"/>
  <c r="U16" i="44"/>
  <c r="AT16" i="44"/>
  <c r="BS16" i="44"/>
  <c r="BV16" i="43"/>
  <c r="BV72" i="43"/>
  <c r="T16" i="44"/>
  <c r="AS16" i="44"/>
  <c r="BR16" i="44"/>
  <c r="BU16" i="43"/>
  <c r="BU72" i="43"/>
  <c r="S16" i="44"/>
  <c r="AR16" i="44"/>
  <c r="BQ16" i="44"/>
  <c r="BT16" i="43"/>
  <c r="BT72" i="43"/>
  <c r="R16" i="44"/>
  <c r="AQ16" i="44"/>
  <c r="BP16" i="44"/>
  <c r="BS16" i="43"/>
  <c r="BS72" i="43"/>
  <c r="Q16" i="44"/>
  <c r="AP16" i="44"/>
  <c r="BO16" i="44"/>
  <c r="BR16" i="43"/>
  <c r="BR72" i="43"/>
  <c r="P16" i="44"/>
  <c r="AO16" i="44"/>
  <c r="BN16" i="44"/>
  <c r="BQ16" i="43"/>
  <c r="BQ72" i="43"/>
  <c r="O16" i="44"/>
  <c r="AN16" i="44"/>
  <c r="BM16" i="44"/>
  <c r="BP16" i="43"/>
  <c r="BP72" i="43"/>
  <c r="N16" i="44"/>
  <c r="AM16" i="44"/>
  <c r="BL16" i="44"/>
  <c r="BO16" i="43"/>
  <c r="BO72" i="43"/>
  <c r="M16" i="44"/>
  <c r="AL16" i="44"/>
  <c r="BK16" i="44"/>
  <c r="BN16" i="43"/>
  <c r="BN72" i="43"/>
  <c r="L16" i="44"/>
  <c r="AK16" i="44"/>
  <c r="BJ16" i="44"/>
  <c r="BM16" i="43"/>
  <c r="BM72" i="43"/>
  <c r="K16" i="44"/>
  <c r="AJ16" i="44"/>
  <c r="BI16" i="44"/>
  <c r="BL16" i="43"/>
  <c r="BL72" i="43"/>
  <c r="J16" i="44"/>
  <c r="AI16" i="44"/>
  <c r="BH16" i="44"/>
  <c r="BK16" i="43"/>
  <c r="BK72" i="43"/>
  <c r="I16" i="44"/>
  <c r="AH16" i="44"/>
  <c r="BG16" i="44"/>
  <c r="BJ16" i="43"/>
  <c r="BJ72" i="43"/>
  <c r="H16" i="44"/>
  <c r="AG16" i="44"/>
  <c r="BF16" i="44"/>
  <c r="BI16" i="43"/>
  <c r="BI72" i="43"/>
  <c r="G16" i="44"/>
  <c r="AF16" i="44"/>
  <c r="BE16" i="44"/>
  <c r="BH16" i="43"/>
  <c r="BH72" i="43"/>
  <c r="F16" i="44"/>
  <c r="AE16" i="44"/>
  <c r="BD16" i="44"/>
  <c r="BG16" i="43"/>
  <c r="BG72" i="43"/>
  <c r="E16" i="44"/>
  <c r="AD16" i="44"/>
  <c r="BC16" i="44"/>
  <c r="BF16" i="43"/>
  <c r="BF72" i="43"/>
  <c r="D16" i="44"/>
  <c r="AC16" i="44"/>
  <c r="BB16" i="44"/>
  <c r="BE16" i="43"/>
  <c r="BE72" i="43"/>
  <c r="C16" i="44"/>
  <c r="AB16" i="44"/>
  <c r="BA16" i="44"/>
  <c r="BD16" i="43"/>
  <c r="BD72" i="43"/>
  <c r="BC16" i="43"/>
  <c r="BC72" i="43"/>
  <c r="AZ29" i="33"/>
  <c r="AA29" i="44"/>
  <c r="AZ29" i="44"/>
  <c r="BA29" i="33"/>
  <c r="BY29" i="44"/>
  <c r="CB29" i="43"/>
  <c r="CB71" i="43"/>
  <c r="Z29" i="44"/>
  <c r="AY29" i="44"/>
  <c r="BX29" i="44"/>
  <c r="CA29" i="43"/>
  <c r="CA71" i="43"/>
  <c r="Y29" i="44"/>
  <c r="AX29" i="44"/>
  <c r="BW29" i="44"/>
  <c r="BZ29" i="43"/>
  <c r="BZ71" i="43"/>
  <c r="X29" i="44"/>
  <c r="AW29" i="44"/>
  <c r="BV29" i="44"/>
  <c r="BY29" i="43"/>
  <c r="BY71" i="43"/>
  <c r="W29" i="44"/>
  <c r="AV29" i="44"/>
  <c r="BU29" i="44"/>
  <c r="BX29" i="43"/>
  <c r="BX71" i="43"/>
  <c r="V29" i="44"/>
  <c r="AU29" i="44"/>
  <c r="BT29" i="44"/>
  <c r="BW29" i="43"/>
  <c r="BW71" i="43"/>
  <c r="U29" i="44"/>
  <c r="AT29" i="44"/>
  <c r="BS29" i="44"/>
  <c r="BV29" i="43"/>
  <c r="BV71" i="43"/>
  <c r="T29" i="44"/>
  <c r="AS29" i="44"/>
  <c r="BR29" i="44"/>
  <c r="BU29" i="43"/>
  <c r="BU71" i="43"/>
  <c r="S29" i="44"/>
  <c r="AR29" i="44"/>
  <c r="BQ29" i="44"/>
  <c r="BT29" i="43"/>
  <c r="BT71" i="43"/>
  <c r="R29" i="44"/>
  <c r="AQ29" i="44"/>
  <c r="BP29" i="44"/>
  <c r="BS29" i="43"/>
  <c r="BS71" i="43"/>
  <c r="Q29" i="44"/>
  <c r="AP29" i="44"/>
  <c r="BO29" i="44"/>
  <c r="BR29" i="43"/>
  <c r="BR71" i="43"/>
  <c r="P29" i="44"/>
  <c r="AO29" i="44"/>
  <c r="BN29" i="44"/>
  <c r="BQ29" i="43"/>
  <c r="BQ71" i="43"/>
  <c r="O29" i="44"/>
  <c r="AN29" i="44"/>
  <c r="BM29" i="44"/>
  <c r="BP29" i="43"/>
  <c r="BP71" i="43"/>
  <c r="N29" i="44"/>
  <c r="AM29" i="44"/>
  <c r="BL29" i="44"/>
  <c r="BO29" i="43"/>
  <c r="BO71" i="43"/>
  <c r="M29" i="44"/>
  <c r="AL29" i="44"/>
  <c r="BK29" i="44"/>
  <c r="BN29" i="43"/>
  <c r="BN71" i="43"/>
  <c r="L29" i="44"/>
  <c r="AK29" i="44"/>
  <c r="BJ29" i="44"/>
  <c r="BM29" i="43"/>
  <c r="BM71" i="43"/>
  <c r="K29" i="44"/>
  <c r="AJ29" i="44"/>
  <c r="BI29" i="44"/>
  <c r="BL29" i="43"/>
  <c r="BL71" i="43"/>
  <c r="J29" i="44"/>
  <c r="AI29" i="44"/>
  <c r="BH29" i="44"/>
  <c r="BK29" i="43"/>
  <c r="BK71" i="43"/>
  <c r="I29" i="44"/>
  <c r="AH29" i="44"/>
  <c r="BG29" i="44"/>
  <c r="BJ29" i="43"/>
  <c r="BJ71" i="43"/>
  <c r="H29" i="44"/>
  <c r="AG29" i="44"/>
  <c r="BF29" i="44"/>
  <c r="BI29" i="43"/>
  <c r="BI71" i="43"/>
  <c r="G29" i="44"/>
  <c r="AF29" i="44"/>
  <c r="BE29" i="44"/>
  <c r="BH29" i="43"/>
  <c r="BH71" i="43"/>
  <c r="F29" i="44"/>
  <c r="AE29" i="44"/>
  <c r="BD29" i="44"/>
  <c r="BG29" i="43"/>
  <c r="BG71" i="43"/>
  <c r="E29" i="44"/>
  <c r="AD29" i="44"/>
  <c r="BC29" i="44"/>
  <c r="BF29" i="43"/>
  <c r="BF71" i="43"/>
  <c r="D29" i="44"/>
  <c r="AC29" i="44"/>
  <c r="BB29" i="44"/>
  <c r="BE29" i="43"/>
  <c r="BE71" i="43"/>
  <c r="C29" i="44"/>
  <c r="AB29" i="44"/>
  <c r="BA29" i="44"/>
  <c r="BD29" i="43"/>
  <c r="BD71" i="43"/>
  <c r="BC29" i="43"/>
  <c r="BC71" i="43"/>
  <c r="AZ20" i="33"/>
  <c r="AA20" i="44"/>
  <c r="AZ20" i="44"/>
  <c r="BA20" i="33"/>
  <c r="BY20" i="44"/>
  <c r="CB20" i="43"/>
  <c r="CB70" i="43"/>
  <c r="Z20" i="44"/>
  <c r="AY20" i="44"/>
  <c r="BX20" i="44"/>
  <c r="CA20" i="43"/>
  <c r="CA70" i="43"/>
  <c r="Y20" i="44"/>
  <c r="AX20" i="44"/>
  <c r="BW20" i="44"/>
  <c r="BZ20" i="43"/>
  <c r="BZ70" i="43"/>
  <c r="X20" i="44"/>
  <c r="AW20" i="44"/>
  <c r="BV20" i="44"/>
  <c r="BY20" i="43"/>
  <c r="BY70" i="43"/>
  <c r="W20" i="44"/>
  <c r="AV20" i="44"/>
  <c r="BU20" i="44"/>
  <c r="BX20" i="43"/>
  <c r="BX70" i="43"/>
  <c r="V20" i="44"/>
  <c r="AU20" i="44"/>
  <c r="BT20" i="44"/>
  <c r="BW20" i="43"/>
  <c r="BW70" i="43"/>
  <c r="U20" i="44"/>
  <c r="AT20" i="44"/>
  <c r="BS20" i="44"/>
  <c r="BV20" i="43"/>
  <c r="BV70" i="43"/>
  <c r="T20" i="44"/>
  <c r="AS20" i="44"/>
  <c r="BR20" i="44"/>
  <c r="BU20" i="43"/>
  <c r="BU70" i="43"/>
  <c r="S20" i="44"/>
  <c r="AR20" i="44"/>
  <c r="BQ20" i="44"/>
  <c r="BT20" i="43"/>
  <c r="BT70" i="43"/>
  <c r="R20" i="44"/>
  <c r="AQ20" i="44"/>
  <c r="BP20" i="44"/>
  <c r="BS20" i="43"/>
  <c r="BS70" i="43"/>
  <c r="Q20" i="44"/>
  <c r="AP20" i="44"/>
  <c r="BO20" i="44"/>
  <c r="BR20" i="43"/>
  <c r="BR70" i="43"/>
  <c r="P20" i="44"/>
  <c r="AO20" i="44"/>
  <c r="BN20" i="44"/>
  <c r="BQ20" i="43"/>
  <c r="BQ70" i="43"/>
  <c r="O20" i="44"/>
  <c r="AN20" i="44"/>
  <c r="BM20" i="44"/>
  <c r="BP20" i="43"/>
  <c r="BP70" i="43"/>
  <c r="N20" i="44"/>
  <c r="AM20" i="44"/>
  <c r="BL20" i="44"/>
  <c r="BO20" i="43"/>
  <c r="BO70" i="43"/>
  <c r="M20" i="44"/>
  <c r="AL20" i="44"/>
  <c r="BK20" i="44"/>
  <c r="BN20" i="43"/>
  <c r="BN70" i="43"/>
  <c r="L20" i="44"/>
  <c r="AK20" i="44"/>
  <c r="BJ20" i="44"/>
  <c r="BM20" i="43"/>
  <c r="BM70" i="43"/>
  <c r="K20" i="44"/>
  <c r="AJ20" i="44"/>
  <c r="BI20" i="44"/>
  <c r="BL20" i="43"/>
  <c r="BL70" i="43"/>
  <c r="J20" i="44"/>
  <c r="AI20" i="44"/>
  <c r="BH20" i="44"/>
  <c r="BK20" i="43"/>
  <c r="BK70" i="43"/>
  <c r="I20" i="44"/>
  <c r="AH20" i="44"/>
  <c r="BG20" i="44"/>
  <c r="BJ20" i="43"/>
  <c r="BJ70" i="43"/>
  <c r="H20" i="44"/>
  <c r="AG20" i="44"/>
  <c r="BF20" i="44"/>
  <c r="BI20" i="43"/>
  <c r="BI70" i="43"/>
  <c r="G20" i="44"/>
  <c r="AF20" i="44"/>
  <c r="BE20" i="44"/>
  <c r="BH20" i="43"/>
  <c r="BH70" i="43"/>
  <c r="F20" i="44"/>
  <c r="AE20" i="44"/>
  <c r="BD20" i="44"/>
  <c r="BG20" i="43"/>
  <c r="BG70" i="43"/>
  <c r="E20" i="44"/>
  <c r="AD20" i="44"/>
  <c r="BC20" i="44"/>
  <c r="BF20" i="43"/>
  <c r="BF70" i="43"/>
  <c r="D20" i="44"/>
  <c r="AC20" i="44"/>
  <c r="BB20" i="44"/>
  <c r="BE20" i="43"/>
  <c r="BE70" i="43"/>
  <c r="C20" i="44"/>
  <c r="AB20" i="44"/>
  <c r="BA20" i="44"/>
  <c r="BD20" i="43"/>
  <c r="BD70" i="43"/>
  <c r="BC20" i="43"/>
  <c r="BC70" i="43"/>
  <c r="AZ24" i="33"/>
  <c r="AA24" i="44"/>
  <c r="AZ24" i="44"/>
  <c r="BA24" i="33"/>
  <c r="BY24" i="44"/>
  <c r="CB24" i="43"/>
  <c r="CB69" i="43"/>
  <c r="Z24" i="44"/>
  <c r="AY24" i="44"/>
  <c r="BX24" i="44"/>
  <c r="CA24" i="43"/>
  <c r="CA69" i="43"/>
  <c r="Y24" i="44"/>
  <c r="AX24" i="44"/>
  <c r="BW24" i="44"/>
  <c r="BZ24" i="43"/>
  <c r="BZ69" i="43"/>
  <c r="X24" i="44"/>
  <c r="AW24" i="44"/>
  <c r="BV24" i="44"/>
  <c r="BY24" i="43"/>
  <c r="BY69" i="43"/>
  <c r="W24" i="44"/>
  <c r="AV24" i="44"/>
  <c r="BU24" i="44"/>
  <c r="BX24" i="43"/>
  <c r="BX69" i="43"/>
  <c r="V24" i="44"/>
  <c r="AU24" i="44"/>
  <c r="BT24" i="44"/>
  <c r="BW24" i="43"/>
  <c r="BW69" i="43"/>
  <c r="U24" i="44"/>
  <c r="AT24" i="44"/>
  <c r="BS24" i="44"/>
  <c r="BV24" i="43"/>
  <c r="BV69" i="43"/>
  <c r="T24" i="44"/>
  <c r="AS24" i="44"/>
  <c r="BR24" i="44"/>
  <c r="BU24" i="43"/>
  <c r="BU69" i="43"/>
  <c r="S24" i="44"/>
  <c r="AR24" i="44"/>
  <c r="BQ24" i="44"/>
  <c r="BT24" i="43"/>
  <c r="BT69" i="43"/>
  <c r="R24" i="44"/>
  <c r="AQ24" i="44"/>
  <c r="BP24" i="44"/>
  <c r="BS24" i="43"/>
  <c r="BS69" i="43"/>
  <c r="Q24" i="44"/>
  <c r="AP24" i="44"/>
  <c r="BO24" i="44"/>
  <c r="BR24" i="43"/>
  <c r="BR69" i="43"/>
  <c r="P24" i="44"/>
  <c r="AO24" i="44"/>
  <c r="BN24" i="44"/>
  <c r="BQ24" i="43"/>
  <c r="BQ69" i="43"/>
  <c r="O24" i="44"/>
  <c r="AN24" i="44"/>
  <c r="BM24" i="44"/>
  <c r="BP24" i="43"/>
  <c r="BP69" i="43"/>
  <c r="N24" i="44"/>
  <c r="AM24" i="44"/>
  <c r="BL24" i="44"/>
  <c r="BO24" i="43"/>
  <c r="BO69" i="43"/>
  <c r="M24" i="44"/>
  <c r="AL24" i="44"/>
  <c r="BK24" i="44"/>
  <c r="BN24" i="43"/>
  <c r="BN69" i="43"/>
  <c r="L24" i="44"/>
  <c r="AK24" i="44"/>
  <c r="BJ24" i="44"/>
  <c r="BM24" i="43"/>
  <c r="BM69" i="43"/>
  <c r="K24" i="44"/>
  <c r="AJ24" i="44"/>
  <c r="BI24" i="44"/>
  <c r="BL24" i="43"/>
  <c r="BL69" i="43"/>
  <c r="J24" i="44"/>
  <c r="AI24" i="44"/>
  <c r="BH24" i="44"/>
  <c r="BK24" i="43"/>
  <c r="BK69" i="43"/>
  <c r="I24" i="44"/>
  <c r="AH24" i="44"/>
  <c r="BG24" i="44"/>
  <c r="BJ24" i="43"/>
  <c r="BJ69" i="43"/>
  <c r="H24" i="44"/>
  <c r="AG24" i="44"/>
  <c r="BF24" i="44"/>
  <c r="BI24" i="43"/>
  <c r="BI69" i="43"/>
  <c r="G24" i="44"/>
  <c r="AF24" i="44"/>
  <c r="BE24" i="44"/>
  <c r="BH24" i="43"/>
  <c r="BH69" i="43"/>
  <c r="F24" i="44"/>
  <c r="AE24" i="44"/>
  <c r="BD24" i="44"/>
  <c r="BG24" i="43"/>
  <c r="BG69" i="43"/>
  <c r="E24" i="44"/>
  <c r="AD24" i="44"/>
  <c r="BC24" i="44"/>
  <c r="BF24" i="43"/>
  <c r="BF69" i="43"/>
  <c r="D24" i="44"/>
  <c r="AC24" i="44"/>
  <c r="BB24" i="44"/>
  <c r="BE24" i="43"/>
  <c r="BE69" i="43"/>
  <c r="C24" i="44"/>
  <c r="AB24" i="44"/>
  <c r="BA24" i="44"/>
  <c r="BD24" i="43"/>
  <c r="BD69" i="43"/>
  <c r="BC24" i="43"/>
  <c r="BC69" i="43"/>
  <c r="AZ9" i="33"/>
  <c r="AA9" i="44"/>
  <c r="AZ9" i="44"/>
  <c r="BA9" i="33"/>
  <c r="BY9" i="44"/>
  <c r="CB9" i="43"/>
  <c r="CB68" i="43"/>
  <c r="Z9" i="44"/>
  <c r="AY9" i="44"/>
  <c r="BX9" i="44"/>
  <c r="CA9" i="43"/>
  <c r="CA68" i="43"/>
  <c r="Y9" i="44"/>
  <c r="AX9" i="44"/>
  <c r="BW9" i="44"/>
  <c r="BZ9" i="43"/>
  <c r="BZ68" i="43"/>
  <c r="X9" i="44"/>
  <c r="AW9" i="44"/>
  <c r="BV9" i="44"/>
  <c r="BY9" i="43"/>
  <c r="BY68" i="43"/>
  <c r="W9" i="44"/>
  <c r="AV9" i="44"/>
  <c r="BU9" i="44"/>
  <c r="BX9" i="43"/>
  <c r="BX68" i="43"/>
  <c r="V9" i="44"/>
  <c r="AU9" i="44"/>
  <c r="BT9" i="44"/>
  <c r="BW9" i="43"/>
  <c r="BW68" i="43"/>
  <c r="U9" i="44"/>
  <c r="AT9" i="44"/>
  <c r="BS9" i="44"/>
  <c r="BV9" i="43"/>
  <c r="BV68" i="43"/>
  <c r="T9" i="44"/>
  <c r="AS9" i="44"/>
  <c r="BR9" i="44"/>
  <c r="BU9" i="43"/>
  <c r="BU68" i="43"/>
  <c r="S9" i="44"/>
  <c r="AR9" i="44"/>
  <c r="BQ9" i="44"/>
  <c r="BT9" i="43"/>
  <c r="BT68" i="43"/>
  <c r="R9" i="44"/>
  <c r="AQ9" i="44"/>
  <c r="BP9" i="44"/>
  <c r="BS9" i="43"/>
  <c r="BS68" i="43"/>
  <c r="Q9" i="44"/>
  <c r="AP9" i="44"/>
  <c r="BO9" i="44"/>
  <c r="BR9" i="43"/>
  <c r="BR68" i="43"/>
  <c r="P9" i="44"/>
  <c r="AO9" i="44"/>
  <c r="BN9" i="44"/>
  <c r="BQ9" i="43"/>
  <c r="BQ68" i="43"/>
  <c r="O9" i="44"/>
  <c r="AN9" i="44"/>
  <c r="BM9" i="44"/>
  <c r="BP9" i="43"/>
  <c r="BP68" i="43"/>
  <c r="N9" i="44"/>
  <c r="AM9" i="44"/>
  <c r="BL9" i="44"/>
  <c r="BO9" i="43"/>
  <c r="BO68" i="43"/>
  <c r="M9" i="44"/>
  <c r="AL9" i="44"/>
  <c r="BK9" i="44"/>
  <c r="BN9" i="43"/>
  <c r="BN68" i="43"/>
  <c r="L9" i="44"/>
  <c r="AK9" i="44"/>
  <c r="BJ9" i="44"/>
  <c r="BM9" i="43"/>
  <c r="BM68" i="43"/>
  <c r="K9" i="44"/>
  <c r="AJ9" i="44"/>
  <c r="BI9" i="44"/>
  <c r="BL9" i="43"/>
  <c r="BL68" i="43"/>
  <c r="J9" i="44"/>
  <c r="AI9" i="44"/>
  <c r="BH9" i="44"/>
  <c r="BK9" i="43"/>
  <c r="BK68" i="43"/>
  <c r="I9" i="44"/>
  <c r="AH9" i="44"/>
  <c r="BG9" i="44"/>
  <c r="BJ9" i="43"/>
  <c r="BJ68" i="43"/>
  <c r="H9" i="44"/>
  <c r="AG9" i="44"/>
  <c r="BF9" i="44"/>
  <c r="BI9" i="43"/>
  <c r="BI68" i="43"/>
  <c r="G9" i="44"/>
  <c r="AF9" i="44"/>
  <c r="BE9" i="44"/>
  <c r="BH9" i="43"/>
  <c r="BH68" i="43"/>
  <c r="F9" i="44"/>
  <c r="AE9" i="44"/>
  <c r="BD9" i="44"/>
  <c r="BG9" i="43"/>
  <c r="BG68" i="43"/>
  <c r="E9" i="44"/>
  <c r="AD9" i="44"/>
  <c r="BC9" i="44"/>
  <c r="BF9" i="43"/>
  <c r="BF68" i="43"/>
  <c r="D9" i="44"/>
  <c r="AC9" i="44"/>
  <c r="BB9" i="44"/>
  <c r="BE9" i="43"/>
  <c r="BE68" i="43"/>
  <c r="C9" i="44"/>
  <c r="AB9" i="44"/>
  <c r="BA9" i="44"/>
  <c r="BD9" i="43"/>
  <c r="BD68" i="43"/>
  <c r="BC9" i="43"/>
  <c r="BC68" i="43"/>
  <c r="AZ5" i="33"/>
  <c r="AA5" i="44"/>
  <c r="AZ5" i="44"/>
  <c r="BA5" i="33"/>
  <c r="BY5" i="44"/>
  <c r="CB5" i="43"/>
  <c r="CB67" i="43"/>
  <c r="Z5" i="44"/>
  <c r="AY5" i="44"/>
  <c r="BX5" i="44"/>
  <c r="CA5" i="43"/>
  <c r="CA67" i="43"/>
  <c r="Y5" i="44"/>
  <c r="AX5" i="44"/>
  <c r="BW5" i="44"/>
  <c r="BZ5" i="43"/>
  <c r="BZ67" i="43"/>
  <c r="X5" i="44"/>
  <c r="AW5" i="44"/>
  <c r="BV5" i="44"/>
  <c r="BY5" i="43"/>
  <c r="BY67" i="43"/>
  <c r="W5" i="44"/>
  <c r="AV5" i="44"/>
  <c r="BU5" i="44"/>
  <c r="BX5" i="43"/>
  <c r="BX67" i="43"/>
  <c r="V5" i="44"/>
  <c r="AU5" i="44"/>
  <c r="BT5" i="44"/>
  <c r="BW5" i="43"/>
  <c r="BW67" i="43"/>
  <c r="U5" i="44"/>
  <c r="AT5" i="44"/>
  <c r="BS5" i="44"/>
  <c r="BV5" i="43"/>
  <c r="BV67" i="43"/>
  <c r="T5" i="44"/>
  <c r="AS5" i="44"/>
  <c r="BR5" i="44"/>
  <c r="BU5" i="43"/>
  <c r="BU67" i="43"/>
  <c r="S5" i="44"/>
  <c r="AR5" i="44"/>
  <c r="BQ5" i="44"/>
  <c r="BT5" i="43"/>
  <c r="BT67" i="43"/>
  <c r="R5" i="44"/>
  <c r="AQ5" i="44"/>
  <c r="BP5" i="44"/>
  <c r="BS5" i="43"/>
  <c r="BS67" i="43"/>
  <c r="Q5" i="44"/>
  <c r="AP5" i="44"/>
  <c r="BO5" i="44"/>
  <c r="BR5" i="43"/>
  <c r="BR67" i="43"/>
  <c r="P5" i="44"/>
  <c r="AO5" i="44"/>
  <c r="BN5" i="44"/>
  <c r="BQ5" i="43"/>
  <c r="BQ67" i="43"/>
  <c r="O5" i="44"/>
  <c r="AN5" i="44"/>
  <c r="BM5" i="44"/>
  <c r="BP5" i="43"/>
  <c r="BP67" i="43"/>
  <c r="N5" i="44"/>
  <c r="AM5" i="44"/>
  <c r="BL5" i="44"/>
  <c r="BO5" i="43"/>
  <c r="BO67" i="43"/>
  <c r="M5" i="44"/>
  <c r="AL5" i="44"/>
  <c r="BK5" i="44"/>
  <c r="BN5" i="43"/>
  <c r="BN67" i="43"/>
  <c r="L5" i="44"/>
  <c r="AK5" i="44"/>
  <c r="BJ5" i="44"/>
  <c r="BM5" i="43"/>
  <c r="BM67" i="43"/>
  <c r="K5" i="44"/>
  <c r="AJ5" i="44"/>
  <c r="BI5" i="44"/>
  <c r="BL5" i="43"/>
  <c r="BL67" i="43"/>
  <c r="J5" i="44"/>
  <c r="AI5" i="44"/>
  <c r="BH5" i="44"/>
  <c r="BK5" i="43"/>
  <c r="BK67" i="43"/>
  <c r="I5" i="44"/>
  <c r="AH5" i="44"/>
  <c r="BG5" i="44"/>
  <c r="BJ5" i="43"/>
  <c r="BJ67" i="43"/>
  <c r="H5" i="44"/>
  <c r="AG5" i="44"/>
  <c r="BF5" i="44"/>
  <c r="BI5" i="43"/>
  <c r="BI67" i="43"/>
  <c r="G5" i="44"/>
  <c r="AF5" i="44"/>
  <c r="BE5" i="44"/>
  <c r="BH5" i="43"/>
  <c r="BH67" i="43"/>
  <c r="F5" i="44"/>
  <c r="AE5" i="44"/>
  <c r="BD5" i="44"/>
  <c r="BG5" i="43"/>
  <c r="BG67" i="43"/>
  <c r="E5" i="44"/>
  <c r="AD5" i="44"/>
  <c r="BC5" i="44"/>
  <c r="BF5" i="43"/>
  <c r="BF67" i="43"/>
  <c r="D5" i="44"/>
  <c r="AC5" i="44"/>
  <c r="BB5" i="44"/>
  <c r="BE5" i="43"/>
  <c r="BE67" i="43"/>
  <c r="C5" i="44"/>
  <c r="AB5" i="44"/>
  <c r="BA5" i="44"/>
  <c r="BD5" i="43"/>
  <c r="BD67" i="43"/>
  <c r="BC5" i="43"/>
  <c r="BC67" i="43"/>
  <c r="AZ17" i="33"/>
  <c r="AA17" i="44"/>
  <c r="AZ17" i="44"/>
  <c r="BA17" i="33"/>
  <c r="BY17" i="44"/>
  <c r="CB17" i="43"/>
  <c r="CB66" i="43"/>
  <c r="Z17" i="44"/>
  <c r="AY17" i="44"/>
  <c r="BX17" i="44"/>
  <c r="CA17" i="43"/>
  <c r="CA66" i="43"/>
  <c r="Y17" i="44"/>
  <c r="AX17" i="44"/>
  <c r="BW17" i="44"/>
  <c r="BZ17" i="43"/>
  <c r="BZ66" i="43"/>
  <c r="X17" i="44"/>
  <c r="AW17" i="44"/>
  <c r="BV17" i="44"/>
  <c r="BY17" i="43"/>
  <c r="BY66" i="43"/>
  <c r="W17" i="44"/>
  <c r="AV17" i="44"/>
  <c r="BU17" i="44"/>
  <c r="BX17" i="43"/>
  <c r="BX66" i="43"/>
  <c r="V17" i="44"/>
  <c r="AU17" i="44"/>
  <c r="BT17" i="44"/>
  <c r="BW17" i="43"/>
  <c r="BW66" i="43"/>
  <c r="U17" i="44"/>
  <c r="AT17" i="44"/>
  <c r="BS17" i="44"/>
  <c r="BV17" i="43"/>
  <c r="BV66" i="43"/>
  <c r="T17" i="44"/>
  <c r="AS17" i="44"/>
  <c r="BR17" i="44"/>
  <c r="BU17" i="43"/>
  <c r="BU66" i="43"/>
  <c r="S17" i="44"/>
  <c r="AR17" i="44"/>
  <c r="BQ17" i="44"/>
  <c r="BT17" i="43"/>
  <c r="BT66" i="43"/>
  <c r="R17" i="44"/>
  <c r="AQ17" i="44"/>
  <c r="BP17" i="44"/>
  <c r="BS17" i="43"/>
  <c r="BS66" i="43"/>
  <c r="Q17" i="44"/>
  <c r="AP17" i="44"/>
  <c r="BO17" i="44"/>
  <c r="BR17" i="43"/>
  <c r="BR66" i="43"/>
  <c r="P17" i="44"/>
  <c r="AO17" i="44"/>
  <c r="BN17" i="44"/>
  <c r="BQ17" i="43"/>
  <c r="BQ66" i="43"/>
  <c r="O17" i="44"/>
  <c r="AN17" i="44"/>
  <c r="BM17" i="44"/>
  <c r="BP17" i="43"/>
  <c r="BP66" i="43"/>
  <c r="N17" i="44"/>
  <c r="AM17" i="44"/>
  <c r="BL17" i="44"/>
  <c r="BO17" i="43"/>
  <c r="BO66" i="43"/>
  <c r="M17" i="44"/>
  <c r="AL17" i="44"/>
  <c r="BK17" i="44"/>
  <c r="BN17" i="43"/>
  <c r="BN66" i="43"/>
  <c r="L17" i="44"/>
  <c r="AK17" i="44"/>
  <c r="BJ17" i="44"/>
  <c r="BM17" i="43"/>
  <c r="BM66" i="43"/>
  <c r="K17" i="44"/>
  <c r="AJ17" i="44"/>
  <c r="BI17" i="44"/>
  <c r="BL17" i="43"/>
  <c r="BL66" i="43"/>
  <c r="J17" i="44"/>
  <c r="AI17" i="44"/>
  <c r="BH17" i="44"/>
  <c r="BK17" i="43"/>
  <c r="BK66" i="43"/>
  <c r="I17" i="44"/>
  <c r="AH17" i="44"/>
  <c r="BG17" i="44"/>
  <c r="BJ17" i="43"/>
  <c r="BJ66" i="43"/>
  <c r="H17" i="44"/>
  <c r="AG17" i="44"/>
  <c r="BF17" i="44"/>
  <c r="BI17" i="43"/>
  <c r="BI66" i="43"/>
  <c r="G17" i="44"/>
  <c r="AF17" i="44"/>
  <c r="BE17" i="44"/>
  <c r="BH17" i="43"/>
  <c r="BH66" i="43"/>
  <c r="F17" i="44"/>
  <c r="AE17" i="44"/>
  <c r="BD17" i="44"/>
  <c r="BG17" i="43"/>
  <c r="BG66" i="43"/>
  <c r="E17" i="44"/>
  <c r="AD17" i="44"/>
  <c r="BC17" i="44"/>
  <c r="BF17" i="43"/>
  <c r="BF66" i="43"/>
  <c r="D17" i="44"/>
  <c r="AC17" i="44"/>
  <c r="BB17" i="44"/>
  <c r="BE17" i="43"/>
  <c r="BE66" i="43"/>
  <c r="C17" i="44"/>
  <c r="AB17" i="44"/>
  <c r="BA17" i="44"/>
  <c r="BD17" i="43"/>
  <c r="BD66" i="43"/>
  <c r="BC17" i="43"/>
  <c r="BC66" i="43"/>
  <c r="AZ21" i="33"/>
  <c r="AA21" i="44"/>
  <c r="AZ21" i="44"/>
  <c r="BA21" i="33"/>
  <c r="BY21" i="44"/>
  <c r="CB21" i="43"/>
  <c r="CB65" i="43"/>
  <c r="Z21" i="44"/>
  <c r="AY21" i="44"/>
  <c r="BX21" i="44"/>
  <c r="CA21" i="43"/>
  <c r="CA65" i="43"/>
  <c r="Y21" i="44"/>
  <c r="AX21" i="44"/>
  <c r="BW21" i="44"/>
  <c r="BZ21" i="43"/>
  <c r="BZ65" i="43"/>
  <c r="X21" i="44"/>
  <c r="AW21" i="44"/>
  <c r="BV21" i="44"/>
  <c r="BY21" i="43"/>
  <c r="BY65" i="43"/>
  <c r="W21" i="44"/>
  <c r="AV21" i="44"/>
  <c r="BU21" i="44"/>
  <c r="BX21" i="43"/>
  <c r="BX65" i="43"/>
  <c r="V21" i="44"/>
  <c r="AU21" i="44"/>
  <c r="BT21" i="44"/>
  <c r="BW21" i="43"/>
  <c r="BW65" i="43"/>
  <c r="U21" i="44"/>
  <c r="AT21" i="44"/>
  <c r="BS21" i="44"/>
  <c r="BV21" i="43"/>
  <c r="BV65" i="43"/>
  <c r="T21" i="44"/>
  <c r="AS21" i="44"/>
  <c r="BR21" i="44"/>
  <c r="BU21" i="43"/>
  <c r="BU65" i="43"/>
  <c r="S21" i="44"/>
  <c r="AR21" i="44"/>
  <c r="BQ21" i="44"/>
  <c r="BT21" i="43"/>
  <c r="BT65" i="43"/>
  <c r="R21" i="44"/>
  <c r="AQ21" i="44"/>
  <c r="BP21" i="44"/>
  <c r="BS21" i="43"/>
  <c r="BS65" i="43"/>
  <c r="Q21" i="44"/>
  <c r="AP21" i="44"/>
  <c r="BO21" i="44"/>
  <c r="BR21" i="43"/>
  <c r="BR65" i="43"/>
  <c r="P21" i="44"/>
  <c r="AO21" i="44"/>
  <c r="BN21" i="44"/>
  <c r="BQ21" i="43"/>
  <c r="BQ65" i="43"/>
  <c r="O21" i="44"/>
  <c r="AN21" i="44"/>
  <c r="BM21" i="44"/>
  <c r="BP21" i="43"/>
  <c r="BP65" i="43"/>
  <c r="N21" i="44"/>
  <c r="AM21" i="44"/>
  <c r="BL21" i="44"/>
  <c r="BO21" i="43"/>
  <c r="BO65" i="43"/>
  <c r="M21" i="44"/>
  <c r="AL21" i="44"/>
  <c r="BK21" i="44"/>
  <c r="BN21" i="43"/>
  <c r="BN65" i="43"/>
  <c r="L21" i="44"/>
  <c r="AK21" i="44"/>
  <c r="BJ21" i="44"/>
  <c r="BM21" i="43"/>
  <c r="BM65" i="43"/>
  <c r="K21" i="44"/>
  <c r="AJ21" i="44"/>
  <c r="BI21" i="44"/>
  <c r="BL21" i="43"/>
  <c r="BL65" i="43"/>
  <c r="J21" i="44"/>
  <c r="AI21" i="44"/>
  <c r="BH21" i="44"/>
  <c r="BK21" i="43"/>
  <c r="BK65" i="43"/>
  <c r="I21" i="44"/>
  <c r="AH21" i="44"/>
  <c r="BG21" i="44"/>
  <c r="BJ21" i="43"/>
  <c r="BJ65" i="43"/>
  <c r="H21" i="44"/>
  <c r="AG21" i="44"/>
  <c r="BF21" i="44"/>
  <c r="BI21" i="43"/>
  <c r="BI65" i="43"/>
  <c r="G21" i="44"/>
  <c r="AF21" i="44"/>
  <c r="BE21" i="44"/>
  <c r="BH21" i="43"/>
  <c r="BH65" i="43"/>
  <c r="F21" i="44"/>
  <c r="AE21" i="44"/>
  <c r="BD21" i="44"/>
  <c r="BG21" i="43"/>
  <c r="BG65" i="43"/>
  <c r="E21" i="44"/>
  <c r="AD21" i="44"/>
  <c r="BC21" i="44"/>
  <c r="BF21" i="43"/>
  <c r="BF65" i="43"/>
  <c r="D21" i="44"/>
  <c r="AC21" i="44"/>
  <c r="BB21" i="44"/>
  <c r="BE21" i="43"/>
  <c r="BE65" i="43"/>
  <c r="C21" i="44"/>
  <c r="AB21" i="44"/>
  <c r="BA21" i="44"/>
  <c r="BD21" i="43"/>
  <c r="BD65" i="43"/>
  <c r="BC21" i="43"/>
  <c r="BC65" i="43"/>
  <c r="AZ25" i="33"/>
  <c r="AA25" i="44"/>
  <c r="AZ25" i="44"/>
  <c r="BA25" i="33"/>
  <c r="BY25" i="44"/>
  <c r="CB25" i="43"/>
  <c r="CB64" i="43"/>
  <c r="Z25" i="44"/>
  <c r="AY25" i="44"/>
  <c r="BX25" i="44"/>
  <c r="CA25" i="43"/>
  <c r="CA64" i="43"/>
  <c r="Y25" i="44"/>
  <c r="AX25" i="44"/>
  <c r="BW25" i="44"/>
  <c r="BZ25" i="43"/>
  <c r="BZ64" i="43"/>
  <c r="X25" i="44"/>
  <c r="AW25" i="44"/>
  <c r="BV25" i="44"/>
  <c r="BY25" i="43"/>
  <c r="BY64" i="43"/>
  <c r="W25" i="44"/>
  <c r="AV25" i="44"/>
  <c r="BU25" i="44"/>
  <c r="BX25" i="43"/>
  <c r="BX64" i="43"/>
  <c r="V25" i="44"/>
  <c r="AU25" i="44"/>
  <c r="BT25" i="44"/>
  <c r="BW25" i="43"/>
  <c r="BW64" i="43"/>
  <c r="U25" i="44"/>
  <c r="AT25" i="44"/>
  <c r="BS25" i="44"/>
  <c r="BV25" i="43"/>
  <c r="BV64" i="43"/>
  <c r="T25" i="44"/>
  <c r="AS25" i="44"/>
  <c r="BR25" i="44"/>
  <c r="BU25" i="43"/>
  <c r="BU64" i="43"/>
  <c r="S25" i="44"/>
  <c r="AR25" i="44"/>
  <c r="BQ25" i="44"/>
  <c r="BT25" i="43"/>
  <c r="BT64" i="43"/>
  <c r="R25" i="44"/>
  <c r="AQ25" i="44"/>
  <c r="BP25" i="44"/>
  <c r="BS25" i="43"/>
  <c r="BS64" i="43"/>
  <c r="Q25" i="44"/>
  <c r="AP25" i="44"/>
  <c r="BO25" i="44"/>
  <c r="BR25" i="43"/>
  <c r="BR64" i="43"/>
  <c r="P25" i="44"/>
  <c r="AO25" i="44"/>
  <c r="BN25" i="44"/>
  <c r="BQ25" i="43"/>
  <c r="BQ64" i="43"/>
  <c r="O25" i="44"/>
  <c r="AN25" i="44"/>
  <c r="BM25" i="44"/>
  <c r="BP25" i="43"/>
  <c r="BP64" i="43"/>
  <c r="N25" i="44"/>
  <c r="AM25" i="44"/>
  <c r="BL25" i="44"/>
  <c r="BO25" i="43"/>
  <c r="BO64" i="43"/>
  <c r="M25" i="44"/>
  <c r="AL25" i="44"/>
  <c r="BK25" i="44"/>
  <c r="BN25" i="43"/>
  <c r="BN64" i="43"/>
  <c r="L25" i="44"/>
  <c r="AK25" i="44"/>
  <c r="BJ25" i="44"/>
  <c r="BM25" i="43"/>
  <c r="BM64" i="43"/>
  <c r="K25" i="44"/>
  <c r="AJ25" i="44"/>
  <c r="BI25" i="44"/>
  <c r="BL25" i="43"/>
  <c r="BL64" i="43"/>
  <c r="J25" i="44"/>
  <c r="AI25" i="44"/>
  <c r="BH25" i="44"/>
  <c r="BK25" i="43"/>
  <c r="BK64" i="43"/>
  <c r="I25" i="44"/>
  <c r="AH25" i="44"/>
  <c r="BG25" i="44"/>
  <c r="BJ25" i="43"/>
  <c r="BJ64" i="43"/>
  <c r="H25" i="44"/>
  <c r="AG25" i="44"/>
  <c r="BF25" i="44"/>
  <c r="BI25" i="43"/>
  <c r="BI64" i="43"/>
  <c r="G25" i="44"/>
  <c r="AF25" i="44"/>
  <c r="BE25" i="44"/>
  <c r="BH25" i="43"/>
  <c r="BH64" i="43"/>
  <c r="F25" i="44"/>
  <c r="AE25" i="44"/>
  <c r="BD25" i="44"/>
  <c r="BG25" i="43"/>
  <c r="BG64" i="43"/>
  <c r="E25" i="44"/>
  <c r="AD25" i="44"/>
  <c r="BC25" i="44"/>
  <c r="BF25" i="43"/>
  <c r="BF64" i="43"/>
  <c r="D25" i="44"/>
  <c r="AC25" i="44"/>
  <c r="BB25" i="44"/>
  <c r="BE25" i="43"/>
  <c r="BE64" i="43"/>
  <c r="C25" i="44"/>
  <c r="AB25" i="44"/>
  <c r="BA25" i="44"/>
  <c r="BD25" i="43"/>
  <c r="BD64" i="43"/>
  <c r="BC25" i="43"/>
  <c r="BC64"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AZ23" i="33"/>
  <c r="AA23" i="44"/>
  <c r="AZ23" i="44"/>
  <c r="BA23" i="33"/>
  <c r="BY23" i="44"/>
  <c r="CB23" i="43"/>
  <c r="CB49" i="43"/>
  <c r="Z23" i="44"/>
  <c r="AY23" i="44"/>
  <c r="BX23" i="44"/>
  <c r="CA23" i="43"/>
  <c r="CA49" i="43"/>
  <c r="Y23" i="44"/>
  <c r="AX23" i="44"/>
  <c r="BW23" i="44"/>
  <c r="BZ23" i="43"/>
  <c r="BZ49" i="43"/>
  <c r="X23" i="44"/>
  <c r="AW23" i="44"/>
  <c r="BV23" i="44"/>
  <c r="BY23" i="43"/>
  <c r="BY49" i="43"/>
  <c r="W23" i="44"/>
  <c r="AV23" i="44"/>
  <c r="BU23" i="44"/>
  <c r="BX23" i="43"/>
  <c r="BX49" i="43"/>
  <c r="V23" i="44"/>
  <c r="AU23" i="44"/>
  <c r="BT23" i="44"/>
  <c r="BW23" i="43"/>
  <c r="BW49" i="43"/>
  <c r="U23" i="44"/>
  <c r="AT23" i="44"/>
  <c r="BS23" i="44"/>
  <c r="BV23" i="43"/>
  <c r="BV49" i="43"/>
  <c r="T23" i="44"/>
  <c r="AS23" i="44"/>
  <c r="BR23" i="44"/>
  <c r="BU23" i="43"/>
  <c r="BU49" i="43"/>
  <c r="S23" i="44"/>
  <c r="AR23" i="44"/>
  <c r="BQ23" i="44"/>
  <c r="BT23" i="43"/>
  <c r="BT49" i="43"/>
  <c r="R23" i="44"/>
  <c r="AQ23" i="44"/>
  <c r="BP23" i="44"/>
  <c r="BS23" i="43"/>
  <c r="BS49" i="43"/>
  <c r="Q23" i="44"/>
  <c r="AP23" i="44"/>
  <c r="BO23" i="44"/>
  <c r="BR23" i="43"/>
  <c r="BR49" i="43"/>
  <c r="P23" i="44"/>
  <c r="AO23" i="44"/>
  <c r="BN23" i="44"/>
  <c r="BQ23" i="43"/>
  <c r="BQ49" i="43"/>
  <c r="O23" i="44"/>
  <c r="AN23" i="44"/>
  <c r="BM23" i="44"/>
  <c r="BP23" i="43"/>
  <c r="BP49" i="43"/>
  <c r="N23" i="44"/>
  <c r="AM23" i="44"/>
  <c r="BL23" i="44"/>
  <c r="BO23" i="43"/>
  <c r="BO49" i="43"/>
  <c r="M23" i="44"/>
  <c r="AL23" i="44"/>
  <c r="BK23" i="44"/>
  <c r="BN23" i="43"/>
  <c r="BN49" i="43"/>
  <c r="L23" i="44"/>
  <c r="AK23" i="44"/>
  <c r="BJ23" i="44"/>
  <c r="BM23" i="43"/>
  <c r="BM49" i="43"/>
  <c r="K23" i="44"/>
  <c r="AJ23" i="44"/>
  <c r="BI23" i="44"/>
  <c r="BL23" i="43"/>
  <c r="BL49" i="43"/>
  <c r="J23" i="44"/>
  <c r="AI23" i="44"/>
  <c r="BH23" i="44"/>
  <c r="BK23" i="43"/>
  <c r="BK49" i="43"/>
  <c r="I23" i="44"/>
  <c r="AH23" i="44"/>
  <c r="BG23" i="44"/>
  <c r="BJ23" i="43"/>
  <c r="BJ49" i="43"/>
  <c r="H23" i="44"/>
  <c r="AG23" i="44"/>
  <c r="BF23" i="44"/>
  <c r="BI23" i="43"/>
  <c r="BI49" i="43"/>
  <c r="G23" i="44"/>
  <c r="AF23" i="44"/>
  <c r="BE23" i="44"/>
  <c r="BH23" i="43"/>
  <c r="BH49" i="43"/>
  <c r="F23" i="44"/>
  <c r="AE23" i="44"/>
  <c r="BD23" i="44"/>
  <c r="BG23" i="43"/>
  <c r="BG49" i="43"/>
  <c r="E23" i="44"/>
  <c r="AD23" i="44"/>
  <c r="BC23" i="44"/>
  <c r="BF23" i="43"/>
  <c r="BF49" i="43"/>
  <c r="D23" i="44"/>
  <c r="AC23" i="44"/>
  <c r="BB23" i="44"/>
  <c r="BE23" i="43"/>
  <c r="BE49" i="43"/>
  <c r="C23" i="44"/>
  <c r="AB23" i="44"/>
  <c r="BA23" i="44"/>
  <c r="BD23" i="43"/>
  <c r="BD49" i="43"/>
  <c r="BC23" i="43"/>
  <c r="BC49"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AZ6" i="33"/>
  <c r="AA6" i="44"/>
  <c r="AZ6" i="44"/>
  <c r="BA6" i="33"/>
  <c r="BY6" i="44"/>
  <c r="CB6" i="43"/>
  <c r="CB47" i="43"/>
  <c r="Z6" i="44"/>
  <c r="AY6" i="44"/>
  <c r="BX6" i="44"/>
  <c r="CA6" i="43"/>
  <c r="CA47" i="43"/>
  <c r="Y6" i="44"/>
  <c r="AX6" i="44"/>
  <c r="BW6" i="44"/>
  <c r="BZ6" i="43"/>
  <c r="BZ47" i="43"/>
  <c r="X6" i="44"/>
  <c r="AW6" i="44"/>
  <c r="BV6" i="44"/>
  <c r="BY6" i="43"/>
  <c r="BY47" i="43"/>
  <c r="W6" i="44"/>
  <c r="AV6" i="44"/>
  <c r="BU6" i="44"/>
  <c r="BX6" i="43"/>
  <c r="BX47" i="43"/>
  <c r="V6" i="44"/>
  <c r="AU6" i="44"/>
  <c r="BT6" i="44"/>
  <c r="BW6" i="43"/>
  <c r="BW47" i="43"/>
  <c r="U6" i="44"/>
  <c r="AT6" i="44"/>
  <c r="BS6" i="44"/>
  <c r="BV6" i="43"/>
  <c r="BV47" i="43"/>
  <c r="T6" i="44"/>
  <c r="AS6" i="44"/>
  <c r="BR6" i="44"/>
  <c r="BU6" i="43"/>
  <c r="BU47" i="43"/>
  <c r="S6" i="44"/>
  <c r="AR6" i="44"/>
  <c r="BQ6" i="44"/>
  <c r="BT6" i="43"/>
  <c r="BT47" i="43"/>
  <c r="R6" i="44"/>
  <c r="AQ6" i="44"/>
  <c r="BP6" i="44"/>
  <c r="BS6" i="43"/>
  <c r="BS47" i="43"/>
  <c r="Q6" i="44"/>
  <c r="AP6" i="44"/>
  <c r="BO6" i="44"/>
  <c r="BR6" i="43"/>
  <c r="BR47" i="43"/>
  <c r="P6" i="44"/>
  <c r="AO6" i="44"/>
  <c r="BN6" i="44"/>
  <c r="BQ6" i="43"/>
  <c r="BQ47" i="43"/>
  <c r="O6" i="44"/>
  <c r="AN6" i="44"/>
  <c r="BM6" i="44"/>
  <c r="BP6" i="43"/>
  <c r="BP47" i="43"/>
  <c r="N6" i="44"/>
  <c r="AM6" i="44"/>
  <c r="BL6" i="44"/>
  <c r="BO6" i="43"/>
  <c r="BO47" i="43"/>
  <c r="M6" i="44"/>
  <c r="AL6" i="44"/>
  <c r="BK6" i="44"/>
  <c r="BN6" i="43"/>
  <c r="BN47" i="43"/>
  <c r="L6" i="44"/>
  <c r="AK6" i="44"/>
  <c r="BJ6" i="44"/>
  <c r="BM6" i="43"/>
  <c r="BM47" i="43"/>
  <c r="K6" i="44"/>
  <c r="AJ6" i="44"/>
  <c r="BI6" i="44"/>
  <c r="BL6" i="43"/>
  <c r="BL47" i="43"/>
  <c r="J6" i="44"/>
  <c r="AI6" i="44"/>
  <c r="BH6" i="44"/>
  <c r="BK6" i="43"/>
  <c r="BK47" i="43"/>
  <c r="I6" i="44"/>
  <c r="AH6" i="44"/>
  <c r="BG6" i="44"/>
  <c r="BJ6" i="43"/>
  <c r="BJ47" i="43"/>
  <c r="H6" i="44"/>
  <c r="AG6" i="44"/>
  <c r="BF6" i="44"/>
  <c r="BI6" i="43"/>
  <c r="BI47" i="43"/>
  <c r="G6" i="44"/>
  <c r="AF6" i="44"/>
  <c r="BE6" i="44"/>
  <c r="BH6" i="43"/>
  <c r="BH47" i="43"/>
  <c r="F6" i="44"/>
  <c r="AE6" i="44"/>
  <c r="BD6" i="44"/>
  <c r="BG6" i="43"/>
  <c r="BG47" i="43"/>
  <c r="E6" i="44"/>
  <c r="AD6" i="44"/>
  <c r="BC6" i="44"/>
  <c r="BF6" i="43"/>
  <c r="BF47" i="43"/>
  <c r="D6" i="44"/>
  <c r="AC6" i="44"/>
  <c r="BB6" i="44"/>
  <c r="BE6" i="43"/>
  <c r="BE47" i="43"/>
  <c r="C6" i="44"/>
  <c r="AB6" i="44"/>
  <c r="BA6" i="44"/>
  <c r="BD6" i="43"/>
  <c r="BD47" i="43"/>
  <c r="BC6" i="43"/>
  <c r="BC47" i="43"/>
  <c r="AZ10" i="33"/>
  <c r="AA10" i="44"/>
  <c r="AZ10" i="44"/>
  <c r="BA10" i="33"/>
  <c r="BY10" i="44"/>
  <c r="CB10" i="43"/>
  <c r="CB46" i="43"/>
  <c r="Z10" i="44"/>
  <c r="AY10" i="44"/>
  <c r="BX10" i="44"/>
  <c r="CA10" i="43"/>
  <c r="CA46" i="43"/>
  <c r="Y10" i="44"/>
  <c r="AX10" i="44"/>
  <c r="BW10" i="44"/>
  <c r="BZ10" i="43"/>
  <c r="BZ46" i="43"/>
  <c r="X10" i="44"/>
  <c r="AW10" i="44"/>
  <c r="BV10" i="44"/>
  <c r="BY10" i="43"/>
  <c r="BY46" i="43"/>
  <c r="W10" i="44"/>
  <c r="AV10" i="44"/>
  <c r="BU10" i="44"/>
  <c r="BX10" i="43"/>
  <c r="BX46" i="43"/>
  <c r="V10" i="44"/>
  <c r="AU10" i="44"/>
  <c r="BT10" i="44"/>
  <c r="BW10" i="43"/>
  <c r="BW46" i="43"/>
  <c r="U10" i="44"/>
  <c r="AT10" i="44"/>
  <c r="BS10" i="44"/>
  <c r="BV10" i="43"/>
  <c r="BV46" i="43"/>
  <c r="T10" i="44"/>
  <c r="AS10" i="44"/>
  <c r="BR10" i="44"/>
  <c r="BU10" i="43"/>
  <c r="BU46" i="43"/>
  <c r="S10" i="44"/>
  <c r="AR10" i="44"/>
  <c r="BQ10" i="44"/>
  <c r="BT10" i="43"/>
  <c r="BT46" i="43"/>
  <c r="R10" i="44"/>
  <c r="AQ10" i="44"/>
  <c r="BP10" i="44"/>
  <c r="BS10" i="43"/>
  <c r="BS46" i="43"/>
  <c r="Q10" i="44"/>
  <c r="AP10" i="44"/>
  <c r="BO10" i="44"/>
  <c r="BR10" i="43"/>
  <c r="BR46" i="43"/>
  <c r="P10" i="44"/>
  <c r="AO10" i="44"/>
  <c r="BN10" i="44"/>
  <c r="BQ10" i="43"/>
  <c r="BQ46" i="43"/>
  <c r="O10" i="44"/>
  <c r="AN10" i="44"/>
  <c r="BM10" i="44"/>
  <c r="BP10" i="43"/>
  <c r="BP46" i="43"/>
  <c r="N10" i="44"/>
  <c r="AM10" i="44"/>
  <c r="BL10" i="44"/>
  <c r="BO10" i="43"/>
  <c r="BO46" i="43"/>
  <c r="M10" i="44"/>
  <c r="AL10" i="44"/>
  <c r="BK10" i="44"/>
  <c r="BN10" i="43"/>
  <c r="BN46" i="43"/>
  <c r="L10" i="44"/>
  <c r="AK10" i="44"/>
  <c r="BJ10" i="44"/>
  <c r="BM10" i="43"/>
  <c r="BM46" i="43"/>
  <c r="K10" i="44"/>
  <c r="AJ10" i="44"/>
  <c r="BI10" i="44"/>
  <c r="BL10" i="43"/>
  <c r="BL46" i="43"/>
  <c r="J10" i="44"/>
  <c r="AI10" i="44"/>
  <c r="BH10" i="44"/>
  <c r="BK10" i="43"/>
  <c r="BK46" i="43"/>
  <c r="I10" i="44"/>
  <c r="AH10" i="44"/>
  <c r="BG10" i="44"/>
  <c r="BJ10" i="43"/>
  <c r="BJ46" i="43"/>
  <c r="H10" i="44"/>
  <c r="AG10" i="44"/>
  <c r="BF10" i="44"/>
  <c r="BI10" i="43"/>
  <c r="BI46" i="43"/>
  <c r="G10" i="44"/>
  <c r="AF10" i="44"/>
  <c r="BE10" i="44"/>
  <c r="BH10" i="43"/>
  <c r="BH46" i="43"/>
  <c r="F10" i="44"/>
  <c r="AE10" i="44"/>
  <c r="BD10" i="44"/>
  <c r="BG10" i="43"/>
  <c r="BG46" i="43"/>
  <c r="E10" i="44"/>
  <c r="AD10" i="44"/>
  <c r="BC10" i="44"/>
  <c r="BF10" i="43"/>
  <c r="BF46" i="43"/>
  <c r="D10" i="44"/>
  <c r="AC10" i="44"/>
  <c r="BB10" i="44"/>
  <c r="BE10" i="43"/>
  <c r="BE46" i="43"/>
  <c r="C10" i="44"/>
  <c r="AB10" i="44"/>
  <c r="BA10" i="44"/>
  <c r="BD10" i="43"/>
  <c r="BD46" i="43"/>
  <c r="BC10" i="43"/>
  <c r="BC46"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AZ15" i="33"/>
  <c r="AA15" i="44"/>
  <c r="AZ15" i="44"/>
  <c r="BA15" i="33"/>
  <c r="BY15" i="44"/>
  <c r="CB15" i="43"/>
  <c r="CB44" i="43"/>
  <c r="Z15" i="44"/>
  <c r="AY15" i="44"/>
  <c r="BX15" i="44"/>
  <c r="CA15" i="43"/>
  <c r="CA44" i="43"/>
  <c r="Y15" i="44"/>
  <c r="AX15" i="44"/>
  <c r="BW15" i="44"/>
  <c r="BZ15" i="43"/>
  <c r="BZ44" i="43"/>
  <c r="X15" i="44"/>
  <c r="AW15" i="44"/>
  <c r="BV15" i="44"/>
  <c r="BY15" i="43"/>
  <c r="BY44" i="43"/>
  <c r="W15" i="44"/>
  <c r="AV15" i="44"/>
  <c r="BU15" i="44"/>
  <c r="BX15" i="43"/>
  <c r="BX44" i="43"/>
  <c r="V15" i="44"/>
  <c r="AU15" i="44"/>
  <c r="BT15" i="44"/>
  <c r="BW15" i="43"/>
  <c r="BW44" i="43"/>
  <c r="U15" i="44"/>
  <c r="AT15" i="44"/>
  <c r="BS15" i="44"/>
  <c r="BV15" i="43"/>
  <c r="BV44" i="43"/>
  <c r="T15" i="44"/>
  <c r="AS15" i="44"/>
  <c r="BR15" i="44"/>
  <c r="BU15" i="43"/>
  <c r="BU44" i="43"/>
  <c r="S15" i="44"/>
  <c r="AR15" i="44"/>
  <c r="BQ15" i="44"/>
  <c r="BT15" i="43"/>
  <c r="BT44" i="43"/>
  <c r="R15" i="44"/>
  <c r="AQ15" i="44"/>
  <c r="BP15" i="44"/>
  <c r="BS15" i="43"/>
  <c r="BS44" i="43"/>
  <c r="Q15" i="44"/>
  <c r="AP15" i="44"/>
  <c r="BO15" i="44"/>
  <c r="BR15" i="43"/>
  <c r="BR44" i="43"/>
  <c r="P15" i="44"/>
  <c r="AO15" i="44"/>
  <c r="BN15" i="44"/>
  <c r="BQ15" i="43"/>
  <c r="BQ44" i="43"/>
  <c r="O15" i="44"/>
  <c r="AN15" i="44"/>
  <c r="BM15" i="44"/>
  <c r="BP15" i="43"/>
  <c r="BP44" i="43"/>
  <c r="N15" i="44"/>
  <c r="AM15" i="44"/>
  <c r="BL15" i="44"/>
  <c r="BO15" i="43"/>
  <c r="BO44" i="43"/>
  <c r="M15" i="44"/>
  <c r="AL15" i="44"/>
  <c r="BK15" i="44"/>
  <c r="BN15" i="43"/>
  <c r="BN44" i="43"/>
  <c r="L15" i="44"/>
  <c r="AK15" i="44"/>
  <c r="BJ15" i="44"/>
  <c r="BM15" i="43"/>
  <c r="BM44" i="43"/>
  <c r="K15" i="44"/>
  <c r="AJ15" i="44"/>
  <c r="BI15" i="44"/>
  <c r="BL15" i="43"/>
  <c r="BL44" i="43"/>
  <c r="J15" i="44"/>
  <c r="AI15" i="44"/>
  <c r="BH15" i="44"/>
  <c r="BK15" i="43"/>
  <c r="BK44" i="43"/>
  <c r="I15" i="44"/>
  <c r="AH15" i="44"/>
  <c r="BG15" i="44"/>
  <c r="BJ15" i="43"/>
  <c r="BJ44" i="43"/>
  <c r="H15" i="44"/>
  <c r="AG15" i="44"/>
  <c r="BF15" i="44"/>
  <c r="BI15" i="43"/>
  <c r="BI44" i="43"/>
  <c r="G15" i="44"/>
  <c r="AF15" i="44"/>
  <c r="BE15" i="44"/>
  <c r="BH15" i="43"/>
  <c r="BH44" i="43"/>
  <c r="F15" i="44"/>
  <c r="AE15" i="44"/>
  <c r="BD15" i="44"/>
  <c r="BG15" i="43"/>
  <c r="BG44" i="43"/>
  <c r="E15" i="44"/>
  <c r="AD15" i="44"/>
  <c r="BC15" i="44"/>
  <c r="BF15" i="43"/>
  <c r="BF44" i="43"/>
  <c r="D15" i="44"/>
  <c r="AC15" i="44"/>
  <c r="BB15" i="44"/>
  <c r="BE15" i="43"/>
  <c r="BE44" i="43"/>
  <c r="C15" i="44"/>
  <c r="AB15" i="44"/>
  <c r="BA15" i="44"/>
  <c r="BD15" i="43"/>
  <c r="BD44" i="43"/>
  <c r="BC15" i="43"/>
  <c r="BC44" i="43"/>
  <c r="AZ28" i="33"/>
  <c r="AA28" i="44"/>
  <c r="AZ28" i="44"/>
  <c r="BA28" i="33"/>
  <c r="BY28" i="44"/>
  <c r="CB28" i="43"/>
  <c r="CB43" i="43"/>
  <c r="Z28" i="44"/>
  <c r="AY28" i="44"/>
  <c r="BX28" i="44"/>
  <c r="CA28" i="43"/>
  <c r="CA43" i="43"/>
  <c r="Y28" i="44"/>
  <c r="AX28" i="44"/>
  <c r="BW28" i="44"/>
  <c r="BZ28" i="43"/>
  <c r="BZ43" i="43"/>
  <c r="X28" i="44"/>
  <c r="AW28" i="44"/>
  <c r="BV28" i="44"/>
  <c r="BY28" i="43"/>
  <c r="BY43" i="43"/>
  <c r="W28" i="44"/>
  <c r="AV28" i="44"/>
  <c r="BU28" i="44"/>
  <c r="BX28" i="43"/>
  <c r="BX43" i="43"/>
  <c r="V28" i="44"/>
  <c r="AU28" i="44"/>
  <c r="BT28" i="44"/>
  <c r="BW28" i="43"/>
  <c r="BW43" i="43"/>
  <c r="U28" i="44"/>
  <c r="AT28" i="44"/>
  <c r="BS28" i="44"/>
  <c r="BV28" i="43"/>
  <c r="BV43" i="43"/>
  <c r="T28" i="44"/>
  <c r="AS28" i="44"/>
  <c r="BR28" i="44"/>
  <c r="BU28" i="43"/>
  <c r="BU43" i="43"/>
  <c r="S28" i="44"/>
  <c r="AR28" i="44"/>
  <c r="BQ28" i="44"/>
  <c r="BT28" i="43"/>
  <c r="BT43" i="43"/>
  <c r="R28" i="44"/>
  <c r="AQ28" i="44"/>
  <c r="BP28" i="44"/>
  <c r="BS28" i="43"/>
  <c r="BS43" i="43"/>
  <c r="Q28" i="44"/>
  <c r="AP28" i="44"/>
  <c r="BO28" i="44"/>
  <c r="BR28" i="43"/>
  <c r="BR43" i="43"/>
  <c r="P28" i="44"/>
  <c r="AO28" i="44"/>
  <c r="BN28" i="44"/>
  <c r="BQ28" i="43"/>
  <c r="BQ43" i="43"/>
  <c r="O28" i="44"/>
  <c r="AN28" i="44"/>
  <c r="BM28" i="44"/>
  <c r="BP28" i="43"/>
  <c r="BP43" i="43"/>
  <c r="N28" i="44"/>
  <c r="AM28" i="44"/>
  <c r="BL28" i="44"/>
  <c r="BO28" i="43"/>
  <c r="BO43" i="43"/>
  <c r="M28" i="44"/>
  <c r="AL28" i="44"/>
  <c r="BK28" i="44"/>
  <c r="BN28" i="43"/>
  <c r="BN43" i="43"/>
  <c r="L28" i="44"/>
  <c r="AK28" i="44"/>
  <c r="BJ28" i="44"/>
  <c r="BM28" i="43"/>
  <c r="BM43" i="43"/>
  <c r="K28" i="44"/>
  <c r="AJ28" i="44"/>
  <c r="BI28" i="44"/>
  <c r="BL28" i="43"/>
  <c r="BL43" i="43"/>
  <c r="J28" i="44"/>
  <c r="AI28" i="44"/>
  <c r="BH28" i="44"/>
  <c r="BK28" i="43"/>
  <c r="BK43" i="43"/>
  <c r="I28" i="44"/>
  <c r="AH28" i="44"/>
  <c r="BG28" i="44"/>
  <c r="BJ28" i="43"/>
  <c r="BJ43" i="43"/>
  <c r="H28" i="44"/>
  <c r="AG28" i="44"/>
  <c r="BF28" i="44"/>
  <c r="BI28" i="43"/>
  <c r="BI43" i="43"/>
  <c r="G28" i="44"/>
  <c r="AF28" i="44"/>
  <c r="BE28" i="44"/>
  <c r="BH28" i="43"/>
  <c r="BH43" i="43"/>
  <c r="F28" i="44"/>
  <c r="AE28" i="44"/>
  <c r="BD28" i="44"/>
  <c r="BG28" i="43"/>
  <c r="BG43" i="43"/>
  <c r="E28" i="44"/>
  <c r="AD28" i="44"/>
  <c r="BC28" i="44"/>
  <c r="BF28" i="43"/>
  <c r="BF43" i="43"/>
  <c r="D28" i="44"/>
  <c r="AC28" i="44"/>
  <c r="BB28" i="44"/>
  <c r="BE28" i="43"/>
  <c r="BE43" i="43"/>
  <c r="C28" i="44"/>
  <c r="AB28" i="44"/>
  <c r="BA28" i="44"/>
  <c r="BD28" i="43"/>
  <c r="BD43" i="43"/>
  <c r="BC28" i="43"/>
  <c r="BC43" i="43"/>
  <c r="AZ19" i="33"/>
  <c r="AA19" i="44"/>
  <c r="AZ19" i="44"/>
  <c r="BA19" i="33"/>
  <c r="BY19" i="44"/>
  <c r="CB19" i="43"/>
  <c r="CB42" i="43"/>
  <c r="Z19" i="44"/>
  <c r="AY19" i="44"/>
  <c r="BX19" i="44"/>
  <c r="CA19" i="43"/>
  <c r="CA42" i="43"/>
  <c r="Y19" i="44"/>
  <c r="AX19" i="44"/>
  <c r="BW19" i="44"/>
  <c r="BZ19" i="43"/>
  <c r="BZ42" i="43"/>
  <c r="X19" i="44"/>
  <c r="AW19" i="44"/>
  <c r="BV19" i="44"/>
  <c r="BY19" i="43"/>
  <c r="BY42" i="43"/>
  <c r="W19" i="44"/>
  <c r="AV19" i="44"/>
  <c r="BU19" i="44"/>
  <c r="BX19" i="43"/>
  <c r="BX42" i="43"/>
  <c r="V19" i="44"/>
  <c r="AU19" i="44"/>
  <c r="BT19" i="44"/>
  <c r="BW19" i="43"/>
  <c r="BW42" i="43"/>
  <c r="U19" i="44"/>
  <c r="AT19" i="44"/>
  <c r="BS19" i="44"/>
  <c r="BV19" i="43"/>
  <c r="BV42" i="43"/>
  <c r="T19" i="44"/>
  <c r="AS19" i="44"/>
  <c r="BR19" i="44"/>
  <c r="BU19" i="43"/>
  <c r="BU42" i="43"/>
  <c r="S19" i="44"/>
  <c r="AR19" i="44"/>
  <c r="BQ19" i="44"/>
  <c r="BT19" i="43"/>
  <c r="BT42" i="43"/>
  <c r="R19" i="44"/>
  <c r="AQ19" i="44"/>
  <c r="BP19" i="44"/>
  <c r="BS19" i="43"/>
  <c r="BS42" i="43"/>
  <c r="Q19" i="44"/>
  <c r="AP19" i="44"/>
  <c r="BO19" i="44"/>
  <c r="BR19" i="43"/>
  <c r="BR42" i="43"/>
  <c r="P19" i="44"/>
  <c r="AO19" i="44"/>
  <c r="BN19" i="44"/>
  <c r="BQ19" i="43"/>
  <c r="BQ42" i="43"/>
  <c r="O19" i="44"/>
  <c r="AN19" i="44"/>
  <c r="BM19" i="44"/>
  <c r="BP19" i="43"/>
  <c r="BP42" i="43"/>
  <c r="N19" i="44"/>
  <c r="AM19" i="44"/>
  <c r="BL19" i="44"/>
  <c r="BO19" i="43"/>
  <c r="BO42" i="43"/>
  <c r="M19" i="44"/>
  <c r="AL19" i="44"/>
  <c r="BK19" i="44"/>
  <c r="BN19" i="43"/>
  <c r="BN42" i="43"/>
  <c r="L19" i="44"/>
  <c r="AK19" i="44"/>
  <c r="BJ19" i="44"/>
  <c r="BM19" i="43"/>
  <c r="BM42" i="43"/>
  <c r="K19" i="44"/>
  <c r="AJ19" i="44"/>
  <c r="BI19" i="44"/>
  <c r="BL19" i="43"/>
  <c r="BL42" i="43"/>
  <c r="J19" i="44"/>
  <c r="AI19" i="44"/>
  <c r="BH19" i="44"/>
  <c r="BK19" i="43"/>
  <c r="BK42" i="43"/>
  <c r="I19" i="44"/>
  <c r="AH19" i="44"/>
  <c r="BG19" i="44"/>
  <c r="BJ19" i="43"/>
  <c r="BJ42" i="43"/>
  <c r="H19" i="44"/>
  <c r="AG19" i="44"/>
  <c r="BF19" i="44"/>
  <c r="BI19" i="43"/>
  <c r="BI42" i="43"/>
  <c r="G19" i="44"/>
  <c r="AF19" i="44"/>
  <c r="BE19" i="44"/>
  <c r="BH19" i="43"/>
  <c r="BH42" i="43"/>
  <c r="F19" i="44"/>
  <c r="AE19" i="44"/>
  <c r="BD19" i="44"/>
  <c r="BG19" i="43"/>
  <c r="BG42" i="43"/>
  <c r="E19" i="44"/>
  <c r="AD19" i="44"/>
  <c r="BC19" i="44"/>
  <c r="BF19" i="43"/>
  <c r="BF42" i="43"/>
  <c r="D19" i="44"/>
  <c r="AC19" i="44"/>
  <c r="BB19" i="44"/>
  <c r="BE19" i="43"/>
  <c r="BE42" i="43"/>
  <c r="C19" i="44"/>
  <c r="AB19" i="44"/>
  <c r="BA19" i="44"/>
  <c r="BD19" i="43"/>
  <c r="BD42" i="43"/>
  <c r="BC19" i="43"/>
  <c r="BC42" i="43"/>
  <c r="AZ8" i="33"/>
  <c r="AA8" i="44"/>
  <c r="AZ8" i="44"/>
  <c r="BA8" i="33"/>
  <c r="BY8" i="44"/>
  <c r="CB8" i="43"/>
  <c r="CB41" i="43"/>
  <c r="Z8" i="44"/>
  <c r="AY8" i="44"/>
  <c r="BX8" i="44"/>
  <c r="CA8" i="43"/>
  <c r="CA41" i="43"/>
  <c r="Y8" i="44"/>
  <c r="AX8" i="44"/>
  <c r="BW8" i="44"/>
  <c r="BZ8" i="43"/>
  <c r="BZ41" i="43"/>
  <c r="X8" i="44"/>
  <c r="AW8" i="44"/>
  <c r="BV8" i="44"/>
  <c r="BY8" i="43"/>
  <c r="BY41" i="43"/>
  <c r="W8" i="44"/>
  <c r="AV8" i="44"/>
  <c r="BU8" i="44"/>
  <c r="BX8" i="43"/>
  <c r="BX41" i="43"/>
  <c r="V8" i="44"/>
  <c r="AU8" i="44"/>
  <c r="BT8" i="44"/>
  <c r="BW8" i="43"/>
  <c r="BW41" i="43"/>
  <c r="U8" i="44"/>
  <c r="AT8" i="44"/>
  <c r="BS8" i="44"/>
  <c r="BV8" i="43"/>
  <c r="BV41" i="43"/>
  <c r="T8" i="44"/>
  <c r="AS8" i="44"/>
  <c r="BR8" i="44"/>
  <c r="BU8" i="43"/>
  <c r="BU41" i="43"/>
  <c r="S8" i="44"/>
  <c r="AR8" i="44"/>
  <c r="BQ8" i="44"/>
  <c r="BT8" i="43"/>
  <c r="BT41" i="43"/>
  <c r="R8" i="44"/>
  <c r="AQ8" i="44"/>
  <c r="BP8" i="44"/>
  <c r="BS8" i="43"/>
  <c r="BS41" i="43"/>
  <c r="Q8" i="44"/>
  <c r="AP8" i="44"/>
  <c r="BO8" i="44"/>
  <c r="BR8" i="43"/>
  <c r="BR41" i="43"/>
  <c r="P8" i="44"/>
  <c r="AO8" i="44"/>
  <c r="BN8" i="44"/>
  <c r="BQ8" i="43"/>
  <c r="BQ41" i="43"/>
  <c r="O8" i="44"/>
  <c r="AN8" i="44"/>
  <c r="BM8" i="44"/>
  <c r="BP8" i="43"/>
  <c r="BP41" i="43"/>
  <c r="N8" i="44"/>
  <c r="AM8" i="44"/>
  <c r="BL8" i="44"/>
  <c r="BO8" i="43"/>
  <c r="BO41" i="43"/>
  <c r="M8" i="44"/>
  <c r="AL8" i="44"/>
  <c r="BK8" i="44"/>
  <c r="BN8" i="43"/>
  <c r="BN41" i="43"/>
  <c r="L8" i="44"/>
  <c r="AK8" i="44"/>
  <c r="BJ8" i="44"/>
  <c r="BM8" i="43"/>
  <c r="BM41" i="43"/>
  <c r="K8" i="44"/>
  <c r="AJ8" i="44"/>
  <c r="BI8" i="44"/>
  <c r="BL8" i="43"/>
  <c r="BL41" i="43"/>
  <c r="J8" i="44"/>
  <c r="AI8" i="44"/>
  <c r="BH8" i="44"/>
  <c r="BK8" i="43"/>
  <c r="BK41" i="43"/>
  <c r="I8" i="44"/>
  <c r="AH8" i="44"/>
  <c r="BG8" i="44"/>
  <c r="BJ8" i="43"/>
  <c r="BJ41" i="43"/>
  <c r="H8" i="44"/>
  <c r="AG8" i="44"/>
  <c r="BF8" i="44"/>
  <c r="BI8" i="43"/>
  <c r="BI41" i="43"/>
  <c r="G8" i="44"/>
  <c r="AF8" i="44"/>
  <c r="BE8" i="44"/>
  <c r="BH8" i="43"/>
  <c r="BH41" i="43"/>
  <c r="F8" i="44"/>
  <c r="AE8" i="44"/>
  <c r="BD8" i="44"/>
  <c r="BG8" i="43"/>
  <c r="BG41" i="43"/>
  <c r="E8" i="44"/>
  <c r="AD8" i="44"/>
  <c r="BC8" i="44"/>
  <c r="BF8" i="43"/>
  <c r="BF41" i="43"/>
  <c r="D8" i="44"/>
  <c r="AC8" i="44"/>
  <c r="BB8" i="44"/>
  <c r="BE8" i="43"/>
  <c r="BE41" i="43"/>
  <c r="C8" i="44"/>
  <c r="AB8" i="44"/>
  <c r="BA8" i="44"/>
  <c r="BD8" i="43"/>
  <c r="BD41" i="43"/>
  <c r="BC8" i="43"/>
  <c r="BC41" i="43"/>
  <c r="AZ4" i="33"/>
  <c r="AA4" i="44"/>
  <c r="AZ4" i="44"/>
  <c r="BA4" i="33"/>
  <c r="BY4" i="44"/>
  <c r="CB4" i="43"/>
  <c r="CB40" i="43"/>
  <c r="Z4" i="44"/>
  <c r="AY4" i="44"/>
  <c r="BX4" i="44"/>
  <c r="CA4" i="43"/>
  <c r="CA40" i="43"/>
  <c r="Y4" i="44"/>
  <c r="AX4" i="44"/>
  <c r="BW4" i="44"/>
  <c r="BZ4" i="43"/>
  <c r="BZ40" i="43"/>
  <c r="X4" i="44"/>
  <c r="AW4" i="44"/>
  <c r="BV4" i="44"/>
  <c r="BY4" i="43"/>
  <c r="BY40" i="43"/>
  <c r="W4" i="44"/>
  <c r="AV4" i="44"/>
  <c r="BU4" i="44"/>
  <c r="BX4" i="43"/>
  <c r="BX40" i="43"/>
  <c r="V4" i="44"/>
  <c r="AU4" i="44"/>
  <c r="BT4" i="44"/>
  <c r="BW4" i="43"/>
  <c r="BW40" i="43"/>
  <c r="U4" i="44"/>
  <c r="AT4" i="44"/>
  <c r="BS4" i="44"/>
  <c r="BV4" i="43"/>
  <c r="BV40" i="43"/>
  <c r="T4" i="44"/>
  <c r="AS4" i="44"/>
  <c r="BR4" i="44"/>
  <c r="BU4" i="43"/>
  <c r="BU40" i="43"/>
  <c r="S4" i="44"/>
  <c r="AR4" i="44"/>
  <c r="BQ4" i="44"/>
  <c r="BT4" i="43"/>
  <c r="BT40" i="43"/>
  <c r="R4" i="44"/>
  <c r="AQ4" i="44"/>
  <c r="BP4" i="44"/>
  <c r="BS4" i="43"/>
  <c r="BS40" i="43"/>
  <c r="Q4" i="44"/>
  <c r="AP4" i="44"/>
  <c r="BO4" i="44"/>
  <c r="BR4" i="43"/>
  <c r="BR40" i="43"/>
  <c r="P4" i="44"/>
  <c r="AO4" i="44"/>
  <c r="BN4" i="44"/>
  <c r="BQ4" i="43"/>
  <c r="BQ40" i="43"/>
  <c r="O4" i="44"/>
  <c r="AN4" i="44"/>
  <c r="BM4" i="44"/>
  <c r="BP4" i="43"/>
  <c r="BP40" i="43"/>
  <c r="N4" i="44"/>
  <c r="AM4" i="44"/>
  <c r="BL4" i="44"/>
  <c r="BO4" i="43"/>
  <c r="BO40" i="43"/>
  <c r="M4" i="44"/>
  <c r="AL4" i="44"/>
  <c r="BK4" i="44"/>
  <c r="BN4" i="43"/>
  <c r="BN40" i="43"/>
  <c r="L4" i="44"/>
  <c r="AK4" i="44"/>
  <c r="BJ4" i="44"/>
  <c r="BM4" i="43"/>
  <c r="BM40" i="43"/>
  <c r="K4" i="44"/>
  <c r="AJ4" i="44"/>
  <c r="BI4" i="44"/>
  <c r="BL4" i="43"/>
  <c r="BL40" i="43"/>
  <c r="J4" i="44"/>
  <c r="AI4" i="44"/>
  <c r="BH4" i="44"/>
  <c r="BK4" i="43"/>
  <c r="BK40" i="43"/>
  <c r="I4" i="44"/>
  <c r="AH4" i="44"/>
  <c r="BG4" i="44"/>
  <c r="BJ4" i="43"/>
  <c r="BJ40" i="43"/>
  <c r="H4" i="44"/>
  <c r="AG4" i="44"/>
  <c r="BF4" i="44"/>
  <c r="BI4" i="43"/>
  <c r="BI40" i="43"/>
  <c r="G4" i="44"/>
  <c r="AF4" i="44"/>
  <c r="BE4" i="44"/>
  <c r="BH4" i="43"/>
  <c r="BH40" i="43"/>
  <c r="F4" i="44"/>
  <c r="AE4" i="44"/>
  <c r="BD4" i="44"/>
  <c r="BG4" i="43"/>
  <c r="BG40" i="43"/>
  <c r="E4" i="44"/>
  <c r="AD4" i="44"/>
  <c r="BC4" i="44"/>
  <c r="BF4" i="43"/>
  <c r="BF40" i="43"/>
  <c r="D4" i="44"/>
  <c r="AC4" i="44"/>
  <c r="BB4" i="44"/>
  <c r="BE4" i="43"/>
  <c r="BE40" i="43"/>
  <c r="C4" i="44"/>
  <c r="AB4" i="44"/>
  <c r="BA4" i="44"/>
  <c r="BD4" i="43"/>
  <c r="BD40" i="43"/>
  <c r="BC4" i="43"/>
  <c r="BC40" i="43"/>
  <c r="AZ11" i="33"/>
  <c r="AA11" i="44"/>
  <c r="AZ11" i="44"/>
  <c r="BA11" i="33"/>
  <c r="BY11" i="44"/>
  <c r="CB11" i="43"/>
  <c r="CB39" i="43"/>
  <c r="Z11" i="44"/>
  <c r="AY11" i="44"/>
  <c r="BX11" i="44"/>
  <c r="CA11" i="43"/>
  <c r="CA39" i="43"/>
  <c r="Y11" i="44"/>
  <c r="AX11" i="44"/>
  <c r="BW11" i="44"/>
  <c r="BZ11" i="43"/>
  <c r="BZ39" i="43"/>
  <c r="X11" i="44"/>
  <c r="AW11" i="44"/>
  <c r="BV11" i="44"/>
  <c r="BY11" i="43"/>
  <c r="BY39" i="43"/>
  <c r="W11" i="44"/>
  <c r="AV11" i="44"/>
  <c r="BU11" i="44"/>
  <c r="BX11" i="43"/>
  <c r="BX39" i="43"/>
  <c r="V11" i="44"/>
  <c r="AU11" i="44"/>
  <c r="BT11" i="44"/>
  <c r="BW11" i="43"/>
  <c r="BW39" i="43"/>
  <c r="U11" i="44"/>
  <c r="AT11" i="44"/>
  <c r="BS11" i="44"/>
  <c r="BV11" i="43"/>
  <c r="BV39" i="43"/>
  <c r="T11" i="44"/>
  <c r="AS11" i="44"/>
  <c r="BR11" i="44"/>
  <c r="BU11" i="43"/>
  <c r="BU39" i="43"/>
  <c r="S11" i="44"/>
  <c r="AR11" i="44"/>
  <c r="BQ11" i="44"/>
  <c r="BT11" i="43"/>
  <c r="BT39" i="43"/>
  <c r="R11" i="44"/>
  <c r="AQ11" i="44"/>
  <c r="BP11" i="44"/>
  <c r="BS11" i="43"/>
  <c r="BS39" i="43"/>
  <c r="Q11" i="44"/>
  <c r="AP11" i="44"/>
  <c r="BO11" i="44"/>
  <c r="BR11" i="43"/>
  <c r="BR39" i="43"/>
  <c r="P11" i="44"/>
  <c r="AO11" i="44"/>
  <c r="BN11" i="44"/>
  <c r="BQ11" i="43"/>
  <c r="BQ39" i="43"/>
  <c r="O11" i="44"/>
  <c r="AN11" i="44"/>
  <c r="BM11" i="44"/>
  <c r="BP11" i="43"/>
  <c r="BP39" i="43"/>
  <c r="N11" i="44"/>
  <c r="AM11" i="44"/>
  <c r="BL11" i="44"/>
  <c r="BO11" i="43"/>
  <c r="BO39" i="43"/>
  <c r="M11" i="44"/>
  <c r="AL11" i="44"/>
  <c r="BK11" i="44"/>
  <c r="BN11" i="43"/>
  <c r="BN39" i="43"/>
  <c r="L11" i="44"/>
  <c r="AK11" i="44"/>
  <c r="BJ11" i="44"/>
  <c r="BM11" i="43"/>
  <c r="BM39" i="43"/>
  <c r="K11" i="44"/>
  <c r="AJ11" i="44"/>
  <c r="BI11" i="44"/>
  <c r="BL11" i="43"/>
  <c r="BL39" i="43"/>
  <c r="J11" i="44"/>
  <c r="AI11" i="44"/>
  <c r="BH11" i="44"/>
  <c r="BK11" i="43"/>
  <c r="BK39" i="43"/>
  <c r="I11" i="44"/>
  <c r="AH11" i="44"/>
  <c r="BG11" i="44"/>
  <c r="BJ11" i="43"/>
  <c r="BJ39" i="43"/>
  <c r="H11" i="44"/>
  <c r="AG11" i="44"/>
  <c r="BF11" i="44"/>
  <c r="BI11" i="43"/>
  <c r="BI39" i="43"/>
  <c r="G11" i="44"/>
  <c r="AF11" i="44"/>
  <c r="BE11" i="44"/>
  <c r="BH11" i="43"/>
  <c r="BH39" i="43"/>
  <c r="F11" i="44"/>
  <c r="AE11" i="44"/>
  <c r="BD11" i="44"/>
  <c r="BG11" i="43"/>
  <c r="BG39" i="43"/>
  <c r="E11" i="44"/>
  <c r="AD11" i="44"/>
  <c r="BC11" i="44"/>
  <c r="BF11" i="43"/>
  <c r="BF39" i="43"/>
  <c r="D11" i="44"/>
  <c r="AC11" i="44"/>
  <c r="BB11" i="44"/>
  <c r="BE11" i="43"/>
  <c r="BE39" i="43"/>
  <c r="C11" i="44"/>
  <c r="AB11" i="44"/>
  <c r="BA11" i="44"/>
  <c r="BD11" i="43"/>
  <c r="BD39" i="43"/>
  <c r="BC11" i="43"/>
  <c r="BC39" i="43"/>
  <c r="AZ2" i="33"/>
  <c r="AA2" i="44"/>
  <c r="AZ2" i="44"/>
  <c r="BA2" i="33"/>
  <c r="BY2" i="44"/>
  <c r="CB2" i="43"/>
  <c r="CB38" i="43"/>
  <c r="Z2" i="44"/>
  <c r="AY2" i="44"/>
  <c r="BX2" i="44"/>
  <c r="CA2" i="43"/>
  <c r="CA38" i="43"/>
  <c r="Y2" i="44"/>
  <c r="AX2" i="44"/>
  <c r="BW2" i="44"/>
  <c r="BZ2" i="43"/>
  <c r="BZ38" i="43"/>
  <c r="X2" i="44"/>
  <c r="AW2" i="44"/>
  <c r="BV2" i="44"/>
  <c r="BY2" i="43"/>
  <c r="BY38" i="43"/>
  <c r="W2" i="44"/>
  <c r="AV2" i="44"/>
  <c r="BU2" i="44"/>
  <c r="BX2" i="43"/>
  <c r="BX38" i="43"/>
  <c r="V2" i="44"/>
  <c r="AU2" i="44"/>
  <c r="BT2" i="44"/>
  <c r="BW2" i="43"/>
  <c r="BW38" i="43"/>
  <c r="U2" i="44"/>
  <c r="AT2" i="44"/>
  <c r="BS2" i="44"/>
  <c r="BV2" i="43"/>
  <c r="BV38" i="43"/>
  <c r="T2" i="44"/>
  <c r="AS2" i="44"/>
  <c r="BR2" i="44"/>
  <c r="BU2" i="43"/>
  <c r="BU38" i="43"/>
  <c r="S2" i="44"/>
  <c r="AR2" i="44"/>
  <c r="BQ2" i="44"/>
  <c r="BT2" i="43"/>
  <c r="BT38" i="43"/>
  <c r="R2" i="44"/>
  <c r="AQ2" i="44"/>
  <c r="BP2" i="44"/>
  <c r="BS2" i="43"/>
  <c r="BS38" i="43"/>
  <c r="Q2" i="44"/>
  <c r="AP2" i="44"/>
  <c r="BO2" i="44"/>
  <c r="BR2" i="43"/>
  <c r="BR38" i="43"/>
  <c r="P2" i="44"/>
  <c r="AO2" i="44"/>
  <c r="BN2" i="44"/>
  <c r="BQ2" i="43"/>
  <c r="BQ38" i="43"/>
  <c r="O2" i="44"/>
  <c r="AN2" i="44"/>
  <c r="BM2" i="44"/>
  <c r="BP2" i="43"/>
  <c r="BP38" i="43"/>
  <c r="N2" i="44"/>
  <c r="AM2" i="44"/>
  <c r="BL2" i="44"/>
  <c r="BO2" i="43"/>
  <c r="BO38" i="43"/>
  <c r="M2" i="44"/>
  <c r="AL2" i="44"/>
  <c r="BK2" i="44"/>
  <c r="BN2" i="43"/>
  <c r="BN38" i="43"/>
  <c r="L2" i="44"/>
  <c r="AK2" i="44"/>
  <c r="BJ2" i="44"/>
  <c r="BM2" i="43"/>
  <c r="BM38" i="43"/>
  <c r="K2" i="44"/>
  <c r="AJ2" i="44"/>
  <c r="BI2" i="44"/>
  <c r="BL2" i="43"/>
  <c r="BL38" i="43"/>
  <c r="J2" i="44"/>
  <c r="AI2" i="44"/>
  <c r="BH2" i="44"/>
  <c r="BK2" i="43"/>
  <c r="BK38" i="43"/>
  <c r="I2" i="44"/>
  <c r="AH2" i="44"/>
  <c r="BG2" i="44"/>
  <c r="BJ2" i="43"/>
  <c r="BJ38" i="43"/>
  <c r="H2" i="44"/>
  <c r="AG2" i="44"/>
  <c r="BF2" i="44"/>
  <c r="BI2" i="43"/>
  <c r="BI38" i="43"/>
  <c r="G2" i="44"/>
  <c r="AF2" i="44"/>
  <c r="BE2" i="44"/>
  <c r="BH2" i="43"/>
  <c r="BH38" i="43"/>
  <c r="F2" i="44"/>
  <c r="AE2" i="44"/>
  <c r="BD2" i="44"/>
  <c r="BG2" i="43"/>
  <c r="BG38" i="43"/>
  <c r="E2" i="44"/>
  <c r="AD2" i="44"/>
  <c r="BC2" i="44"/>
  <c r="BF2" i="43"/>
  <c r="BF38" i="43"/>
  <c r="D2" i="44"/>
  <c r="AC2" i="44"/>
  <c r="BB2" i="44"/>
  <c r="BE2" i="43"/>
  <c r="BE38" i="43"/>
  <c r="C2" i="44"/>
  <c r="AB2" i="44"/>
  <c r="BA2" i="44"/>
  <c r="BD2" i="43"/>
  <c r="BD38" i="43"/>
  <c r="BC2" i="43"/>
  <c r="BC38" i="43"/>
  <c r="AZ22" i="33"/>
  <c r="AA22" i="44"/>
  <c r="AZ22" i="44"/>
  <c r="BA22" i="33"/>
  <c r="BY22" i="44"/>
  <c r="CB22" i="43"/>
  <c r="CB37" i="43"/>
  <c r="Z22" i="44"/>
  <c r="AY22" i="44"/>
  <c r="BX22" i="44"/>
  <c r="CA22" i="43"/>
  <c r="CA37" i="43"/>
  <c r="Y22" i="44"/>
  <c r="AX22" i="44"/>
  <c r="BW22" i="44"/>
  <c r="BZ22" i="43"/>
  <c r="BZ37" i="43"/>
  <c r="X22" i="44"/>
  <c r="AW22" i="44"/>
  <c r="BV22" i="44"/>
  <c r="BY22" i="43"/>
  <c r="BY37" i="43"/>
  <c r="W22" i="44"/>
  <c r="AV22" i="44"/>
  <c r="BU22" i="44"/>
  <c r="BX22" i="43"/>
  <c r="BX37" i="43"/>
  <c r="V22" i="44"/>
  <c r="AU22" i="44"/>
  <c r="BT22" i="44"/>
  <c r="BW22" i="43"/>
  <c r="BW37" i="43"/>
  <c r="U22" i="44"/>
  <c r="AT22" i="44"/>
  <c r="BS22" i="44"/>
  <c r="BV22" i="43"/>
  <c r="BV37" i="43"/>
  <c r="T22" i="44"/>
  <c r="AS22" i="44"/>
  <c r="BR22" i="44"/>
  <c r="BU22" i="43"/>
  <c r="BU37" i="43"/>
  <c r="S22" i="44"/>
  <c r="AR22" i="44"/>
  <c r="BQ22" i="44"/>
  <c r="BT22" i="43"/>
  <c r="BT37" i="43"/>
  <c r="R22" i="44"/>
  <c r="AQ22" i="44"/>
  <c r="BP22" i="44"/>
  <c r="BS22" i="43"/>
  <c r="BS37" i="43"/>
  <c r="Q22" i="44"/>
  <c r="AP22" i="44"/>
  <c r="BO22" i="44"/>
  <c r="BR22" i="43"/>
  <c r="BR37" i="43"/>
  <c r="P22" i="44"/>
  <c r="AO22" i="44"/>
  <c r="BN22" i="44"/>
  <c r="BQ22" i="43"/>
  <c r="BQ37" i="43"/>
  <c r="O22" i="44"/>
  <c r="AN22" i="44"/>
  <c r="BM22" i="44"/>
  <c r="BP22" i="43"/>
  <c r="BP37" i="43"/>
  <c r="N22" i="44"/>
  <c r="AM22" i="44"/>
  <c r="BL22" i="44"/>
  <c r="BO22" i="43"/>
  <c r="BO37" i="43"/>
  <c r="M22" i="44"/>
  <c r="AL22" i="44"/>
  <c r="BK22" i="44"/>
  <c r="BN22" i="43"/>
  <c r="BN37" i="43"/>
  <c r="L22" i="44"/>
  <c r="AK22" i="44"/>
  <c r="BJ22" i="44"/>
  <c r="BM22" i="43"/>
  <c r="BM37" i="43"/>
  <c r="K22" i="44"/>
  <c r="AJ22" i="44"/>
  <c r="BI22" i="44"/>
  <c r="BL22" i="43"/>
  <c r="BL37" i="43"/>
  <c r="J22" i="44"/>
  <c r="AI22" i="44"/>
  <c r="BH22" i="44"/>
  <c r="BK22" i="43"/>
  <c r="BK37" i="43"/>
  <c r="I22" i="44"/>
  <c r="AH22" i="44"/>
  <c r="BG22" i="44"/>
  <c r="BJ22" i="43"/>
  <c r="BJ37" i="43"/>
  <c r="H22" i="44"/>
  <c r="AG22" i="44"/>
  <c r="BF22" i="44"/>
  <c r="BI22" i="43"/>
  <c r="BI37" i="43"/>
  <c r="G22" i="44"/>
  <c r="AF22" i="44"/>
  <c r="BE22" i="44"/>
  <c r="BH22" i="43"/>
  <c r="BH37" i="43"/>
  <c r="F22" i="44"/>
  <c r="AE22" i="44"/>
  <c r="BD22" i="44"/>
  <c r="BG22" i="43"/>
  <c r="BG37" i="43"/>
  <c r="E22" i="44"/>
  <c r="AD22" i="44"/>
  <c r="BC22" i="44"/>
  <c r="BF22" i="43"/>
  <c r="BF37" i="43"/>
  <c r="D22" i="44"/>
  <c r="AC22" i="44"/>
  <c r="BB22" i="44"/>
  <c r="BE22" i="43"/>
  <c r="BE37" i="43"/>
  <c r="C22" i="44"/>
  <c r="AB22" i="44"/>
  <c r="BA22" i="44"/>
  <c r="BD22" i="43"/>
  <c r="BD37" i="43"/>
  <c r="BC22" i="43"/>
  <c r="BC37" i="43"/>
  <c r="AZ26" i="33"/>
  <c r="AA26" i="44"/>
  <c r="AZ26" i="44"/>
  <c r="BA26" i="33"/>
  <c r="BY26" i="44"/>
  <c r="CB26" i="43"/>
  <c r="CB36" i="43"/>
  <c r="Z26" i="44"/>
  <c r="AY26" i="44"/>
  <c r="BX26" i="44"/>
  <c r="CA26" i="43"/>
  <c r="CA36" i="43"/>
  <c r="Y26" i="44"/>
  <c r="AX26" i="44"/>
  <c r="BW26" i="44"/>
  <c r="BZ26" i="43"/>
  <c r="BZ36" i="43"/>
  <c r="X26" i="44"/>
  <c r="AW26" i="44"/>
  <c r="BV26" i="44"/>
  <c r="BY26" i="43"/>
  <c r="BY36" i="43"/>
  <c r="W26" i="44"/>
  <c r="AV26" i="44"/>
  <c r="BU26" i="44"/>
  <c r="BX26" i="43"/>
  <c r="BX36" i="43"/>
  <c r="V26" i="44"/>
  <c r="AU26" i="44"/>
  <c r="BT26" i="44"/>
  <c r="BW26" i="43"/>
  <c r="BW36" i="43"/>
  <c r="U26" i="44"/>
  <c r="AT26" i="44"/>
  <c r="BS26" i="44"/>
  <c r="BV26" i="43"/>
  <c r="BV36" i="43"/>
  <c r="T26" i="44"/>
  <c r="AS26" i="44"/>
  <c r="BR26" i="44"/>
  <c r="BU26" i="43"/>
  <c r="BU36" i="43"/>
  <c r="S26" i="44"/>
  <c r="AR26" i="44"/>
  <c r="BQ26" i="44"/>
  <c r="BT26" i="43"/>
  <c r="BT36" i="43"/>
  <c r="R26" i="44"/>
  <c r="AQ26" i="44"/>
  <c r="BP26" i="44"/>
  <c r="BS26" i="43"/>
  <c r="BS36" i="43"/>
  <c r="Q26" i="44"/>
  <c r="AP26" i="44"/>
  <c r="BO26" i="44"/>
  <c r="BR26" i="43"/>
  <c r="BR36" i="43"/>
  <c r="P26" i="44"/>
  <c r="AO26" i="44"/>
  <c r="BN26" i="44"/>
  <c r="BQ26" i="43"/>
  <c r="BQ36" i="43"/>
  <c r="O26" i="44"/>
  <c r="AN26" i="44"/>
  <c r="BM26" i="44"/>
  <c r="BP26" i="43"/>
  <c r="BP36" i="43"/>
  <c r="N26" i="44"/>
  <c r="AM26" i="44"/>
  <c r="BL26" i="44"/>
  <c r="BO26" i="43"/>
  <c r="BO36" i="43"/>
  <c r="M26" i="44"/>
  <c r="AL26" i="44"/>
  <c r="BK26" i="44"/>
  <c r="BN26" i="43"/>
  <c r="BN36" i="43"/>
  <c r="L26" i="44"/>
  <c r="AK26" i="44"/>
  <c r="BJ26" i="44"/>
  <c r="BM26" i="43"/>
  <c r="BM36" i="43"/>
  <c r="K26" i="44"/>
  <c r="AJ26" i="44"/>
  <c r="BI26" i="44"/>
  <c r="BL26" i="43"/>
  <c r="BL36" i="43"/>
  <c r="J26" i="44"/>
  <c r="AI26" i="44"/>
  <c r="BH26" i="44"/>
  <c r="BK26" i="43"/>
  <c r="BK36" i="43"/>
  <c r="I26" i="44"/>
  <c r="AH26" i="44"/>
  <c r="BG26" i="44"/>
  <c r="BJ26" i="43"/>
  <c r="BJ36" i="43"/>
  <c r="H26" i="44"/>
  <c r="AG26" i="44"/>
  <c r="BF26" i="44"/>
  <c r="BI26" i="43"/>
  <c r="BI36" i="43"/>
  <c r="G26" i="44"/>
  <c r="AF26" i="44"/>
  <c r="BE26" i="44"/>
  <c r="BH26" i="43"/>
  <c r="BH36" i="43"/>
  <c r="F26" i="44"/>
  <c r="AE26" i="44"/>
  <c r="BD26" i="44"/>
  <c r="BG26" i="43"/>
  <c r="BG36" i="43"/>
  <c r="E26" i="44"/>
  <c r="AD26" i="44"/>
  <c r="BC26" i="44"/>
  <c r="BF26" i="43"/>
  <c r="BF36" i="43"/>
  <c r="D26" i="44"/>
  <c r="AC26" i="44"/>
  <c r="BB26" i="44"/>
  <c r="BE26" i="43"/>
  <c r="BE36" i="43"/>
  <c r="C26" i="44"/>
  <c r="AB26" i="44"/>
  <c r="BA26" i="44"/>
  <c r="BD26" i="43"/>
  <c r="BD36" i="43"/>
  <c r="BC26" i="43"/>
  <c r="BC36" i="43"/>
  <c r="AZ30" i="33"/>
  <c r="AA30" i="44"/>
  <c r="AZ30" i="44"/>
  <c r="BA30" i="33"/>
  <c r="BY30" i="44"/>
  <c r="CB30" i="43"/>
  <c r="CB35" i="43"/>
  <c r="Z30" i="44"/>
  <c r="AY30" i="44"/>
  <c r="BX30" i="44"/>
  <c r="CA30" i="43"/>
  <c r="CA35" i="43"/>
  <c r="Y30" i="44"/>
  <c r="AX30" i="44"/>
  <c r="BW30" i="44"/>
  <c r="BZ30" i="43"/>
  <c r="BZ35" i="43"/>
  <c r="X30" i="44"/>
  <c r="AW30" i="44"/>
  <c r="BV30" i="44"/>
  <c r="BY30" i="43"/>
  <c r="BY35" i="43"/>
  <c r="W30" i="44"/>
  <c r="AV30" i="44"/>
  <c r="BU30" i="44"/>
  <c r="BX30" i="43"/>
  <c r="BX35" i="43"/>
  <c r="V30" i="44"/>
  <c r="AU30" i="44"/>
  <c r="BT30" i="44"/>
  <c r="BW30" i="43"/>
  <c r="BW35" i="43"/>
  <c r="U30" i="44"/>
  <c r="AT30" i="44"/>
  <c r="BS30" i="44"/>
  <c r="BV30" i="43"/>
  <c r="BV35" i="43"/>
  <c r="T30" i="44"/>
  <c r="AS30" i="44"/>
  <c r="BR30" i="44"/>
  <c r="BU30" i="43"/>
  <c r="BU35" i="43"/>
  <c r="S30" i="44"/>
  <c r="AR30" i="44"/>
  <c r="BQ30" i="44"/>
  <c r="BT30" i="43"/>
  <c r="BT35" i="43"/>
  <c r="R30" i="44"/>
  <c r="AQ30" i="44"/>
  <c r="BP30" i="44"/>
  <c r="BS30" i="43"/>
  <c r="BS35" i="43"/>
  <c r="Q30" i="44"/>
  <c r="AP30" i="44"/>
  <c r="BO30" i="44"/>
  <c r="BR30" i="43"/>
  <c r="BR35" i="43"/>
  <c r="P30" i="44"/>
  <c r="AO30" i="44"/>
  <c r="BN30" i="44"/>
  <c r="BQ30" i="43"/>
  <c r="BQ35" i="43"/>
  <c r="O30" i="44"/>
  <c r="AN30" i="44"/>
  <c r="BM30" i="44"/>
  <c r="BP30" i="43"/>
  <c r="BP35" i="43"/>
  <c r="N30" i="44"/>
  <c r="AM30" i="44"/>
  <c r="BL30" i="44"/>
  <c r="BO30" i="43"/>
  <c r="BO35" i="43"/>
  <c r="M30" i="44"/>
  <c r="AL30" i="44"/>
  <c r="BK30" i="44"/>
  <c r="BN30" i="43"/>
  <c r="BN35" i="43"/>
  <c r="L30" i="44"/>
  <c r="AK30" i="44"/>
  <c r="BJ30" i="44"/>
  <c r="BM30" i="43"/>
  <c r="BM35" i="43"/>
  <c r="K30" i="44"/>
  <c r="AJ30" i="44"/>
  <c r="BI30" i="44"/>
  <c r="BL30" i="43"/>
  <c r="BL35" i="43"/>
  <c r="J30" i="44"/>
  <c r="AI30" i="44"/>
  <c r="BH30" i="44"/>
  <c r="BK30" i="43"/>
  <c r="BK35" i="43"/>
  <c r="I30" i="44"/>
  <c r="AH30" i="44"/>
  <c r="BG30" i="44"/>
  <c r="BJ30" i="43"/>
  <c r="BJ35" i="43"/>
  <c r="H30" i="44"/>
  <c r="AG30" i="44"/>
  <c r="BF30" i="44"/>
  <c r="BI30" i="43"/>
  <c r="BI35" i="43"/>
  <c r="G30" i="44"/>
  <c r="AF30" i="44"/>
  <c r="BE30" i="44"/>
  <c r="BH30" i="43"/>
  <c r="BH35" i="43"/>
  <c r="F30" i="44"/>
  <c r="AE30" i="44"/>
  <c r="BD30" i="44"/>
  <c r="BG30" i="43"/>
  <c r="BG35" i="43"/>
  <c r="E30" i="44"/>
  <c r="AD30" i="44"/>
  <c r="BC30" i="44"/>
  <c r="BF30" i="43"/>
  <c r="BF35" i="43"/>
  <c r="D30" i="44"/>
  <c r="AC30" i="44"/>
  <c r="BB30" i="44"/>
  <c r="BE30" i="43"/>
  <c r="BE35" i="43"/>
  <c r="C30" i="44"/>
  <c r="AB30" i="44"/>
  <c r="BA30" i="44"/>
  <c r="BD30" i="43"/>
  <c r="BD35" i="43"/>
  <c r="BC30" i="43"/>
  <c r="BC35" i="43"/>
  <c r="AZ14" i="33"/>
  <c r="AA14" i="44"/>
  <c r="AZ14" i="44"/>
  <c r="BA14" i="33"/>
  <c r="BY14" i="44"/>
  <c r="CB14" i="43"/>
  <c r="CB34" i="43"/>
  <c r="Z14" i="44"/>
  <c r="AY14" i="44"/>
  <c r="BX14" i="44"/>
  <c r="CA14" i="43"/>
  <c r="CA34" i="43"/>
  <c r="Y14" i="44"/>
  <c r="AX14" i="44"/>
  <c r="BW14" i="44"/>
  <c r="BZ14" i="43"/>
  <c r="BZ34" i="43"/>
  <c r="X14" i="44"/>
  <c r="AW14" i="44"/>
  <c r="BV14" i="44"/>
  <c r="BY14" i="43"/>
  <c r="BY34" i="43"/>
  <c r="W14" i="44"/>
  <c r="AV14" i="44"/>
  <c r="BU14" i="44"/>
  <c r="BX14" i="43"/>
  <c r="BX34" i="43"/>
  <c r="V14" i="44"/>
  <c r="AU14" i="44"/>
  <c r="BT14" i="44"/>
  <c r="BW14" i="43"/>
  <c r="BW34" i="43"/>
  <c r="U14" i="44"/>
  <c r="AT14" i="44"/>
  <c r="BS14" i="44"/>
  <c r="BV14" i="43"/>
  <c r="BV34" i="43"/>
  <c r="T14" i="44"/>
  <c r="AS14" i="44"/>
  <c r="BR14" i="44"/>
  <c r="BU14" i="43"/>
  <c r="BU34" i="43"/>
  <c r="S14" i="44"/>
  <c r="AR14" i="44"/>
  <c r="BQ14" i="44"/>
  <c r="BT14" i="43"/>
  <c r="BT34" i="43"/>
  <c r="R14" i="44"/>
  <c r="AQ14" i="44"/>
  <c r="BP14" i="44"/>
  <c r="BS14" i="43"/>
  <c r="BS34" i="43"/>
  <c r="Q14" i="44"/>
  <c r="AP14" i="44"/>
  <c r="BO14" i="44"/>
  <c r="BR14" i="43"/>
  <c r="BR34" i="43"/>
  <c r="P14" i="44"/>
  <c r="AO14" i="44"/>
  <c r="BN14" i="44"/>
  <c r="BQ14" i="43"/>
  <c r="BQ34" i="43"/>
  <c r="O14" i="44"/>
  <c r="AN14" i="44"/>
  <c r="BM14" i="44"/>
  <c r="BP14" i="43"/>
  <c r="BP34" i="43"/>
  <c r="N14" i="44"/>
  <c r="AM14" i="44"/>
  <c r="BL14" i="44"/>
  <c r="BO14" i="43"/>
  <c r="BO34" i="43"/>
  <c r="M14" i="44"/>
  <c r="AL14" i="44"/>
  <c r="BK14" i="44"/>
  <c r="BN14" i="43"/>
  <c r="BN34" i="43"/>
  <c r="L14" i="44"/>
  <c r="AK14" i="44"/>
  <c r="BJ14" i="44"/>
  <c r="BM14" i="43"/>
  <c r="BM34" i="43"/>
  <c r="K14" i="44"/>
  <c r="AJ14" i="44"/>
  <c r="BI14" i="44"/>
  <c r="BL14" i="43"/>
  <c r="BL34" i="43"/>
  <c r="J14" i="44"/>
  <c r="AI14" i="44"/>
  <c r="BH14" i="44"/>
  <c r="BK14" i="43"/>
  <c r="BK34" i="43"/>
  <c r="I14" i="44"/>
  <c r="AH14" i="44"/>
  <c r="BG14" i="44"/>
  <c r="BJ14" i="43"/>
  <c r="BJ34" i="43"/>
  <c r="H14" i="44"/>
  <c r="AG14" i="44"/>
  <c r="BF14" i="44"/>
  <c r="BI14" i="43"/>
  <c r="BI34" i="43"/>
  <c r="G14" i="44"/>
  <c r="AF14" i="44"/>
  <c r="BE14" i="44"/>
  <c r="BH14" i="43"/>
  <c r="BH34" i="43"/>
  <c r="F14" i="44"/>
  <c r="AE14" i="44"/>
  <c r="BD14" i="44"/>
  <c r="BG14" i="43"/>
  <c r="BG34" i="43"/>
  <c r="E14" i="44"/>
  <c r="AD14" i="44"/>
  <c r="BC14" i="44"/>
  <c r="BF14" i="43"/>
  <c r="BF34" i="43"/>
  <c r="D14" i="44"/>
  <c r="AC14" i="44"/>
  <c r="BB14" i="44"/>
  <c r="BE14" i="43"/>
  <c r="BE34" i="43"/>
  <c r="C14" i="44"/>
  <c r="AB14" i="44"/>
  <c r="BA14" i="44"/>
  <c r="BD14" i="43"/>
  <c r="BD34" i="43"/>
  <c r="BC14" i="43"/>
  <c r="BC34" i="43"/>
  <c r="AZ13" i="33"/>
  <c r="AA13" i="44"/>
  <c r="AZ13" i="44"/>
  <c r="BA13" i="33"/>
  <c r="BY13" i="44"/>
  <c r="CB13" i="43"/>
  <c r="CB33" i="43"/>
  <c r="Z13" i="44"/>
  <c r="AY13" i="44"/>
  <c r="BX13" i="44"/>
  <c r="CA13" i="43"/>
  <c r="CA33" i="43"/>
  <c r="Y13" i="44"/>
  <c r="AX13" i="44"/>
  <c r="BW13" i="44"/>
  <c r="BZ13" i="43"/>
  <c r="BZ33" i="43"/>
  <c r="X13" i="44"/>
  <c r="AW13" i="44"/>
  <c r="BV13" i="44"/>
  <c r="BY13" i="43"/>
  <c r="BY33" i="43"/>
  <c r="W13" i="44"/>
  <c r="AV13" i="44"/>
  <c r="BU13" i="44"/>
  <c r="BX13" i="43"/>
  <c r="BX33" i="43"/>
  <c r="V13" i="44"/>
  <c r="AU13" i="44"/>
  <c r="BT13" i="44"/>
  <c r="BW13" i="43"/>
  <c r="BW33" i="43"/>
  <c r="U13" i="44"/>
  <c r="AT13" i="44"/>
  <c r="BS13" i="44"/>
  <c r="BV13" i="43"/>
  <c r="BV33" i="43"/>
  <c r="T13" i="44"/>
  <c r="AS13" i="44"/>
  <c r="BR13" i="44"/>
  <c r="BU13" i="43"/>
  <c r="BU33" i="43"/>
  <c r="S13" i="44"/>
  <c r="AR13" i="44"/>
  <c r="BQ13" i="44"/>
  <c r="BT13" i="43"/>
  <c r="BT33" i="43"/>
  <c r="R13" i="44"/>
  <c r="AQ13" i="44"/>
  <c r="BP13" i="44"/>
  <c r="BS13" i="43"/>
  <c r="BS33" i="43"/>
  <c r="Q13" i="44"/>
  <c r="AP13" i="44"/>
  <c r="BO13" i="44"/>
  <c r="BR13" i="43"/>
  <c r="BR33" i="43"/>
  <c r="P13" i="44"/>
  <c r="AO13" i="44"/>
  <c r="BN13" i="44"/>
  <c r="BQ13" i="43"/>
  <c r="BQ33" i="43"/>
  <c r="O13" i="44"/>
  <c r="AN13" i="44"/>
  <c r="BM13" i="44"/>
  <c r="BP13" i="43"/>
  <c r="BP33" i="43"/>
  <c r="N13" i="44"/>
  <c r="AM13" i="44"/>
  <c r="BL13" i="44"/>
  <c r="BO13" i="43"/>
  <c r="BO33" i="43"/>
  <c r="M13" i="44"/>
  <c r="AL13" i="44"/>
  <c r="BK13" i="44"/>
  <c r="BN13" i="43"/>
  <c r="BN33" i="43"/>
  <c r="L13" i="44"/>
  <c r="AK13" i="44"/>
  <c r="BJ13" i="44"/>
  <c r="BM13" i="43"/>
  <c r="BM33" i="43"/>
  <c r="K13" i="44"/>
  <c r="AJ13" i="44"/>
  <c r="BI13" i="44"/>
  <c r="BL13" i="43"/>
  <c r="BL33" i="43"/>
  <c r="J13" i="44"/>
  <c r="AI13" i="44"/>
  <c r="BH13" i="44"/>
  <c r="BK13" i="43"/>
  <c r="BK33" i="43"/>
  <c r="I13" i="44"/>
  <c r="AH13" i="44"/>
  <c r="BG13" i="44"/>
  <c r="BJ13" i="43"/>
  <c r="BJ33" i="43"/>
  <c r="H13" i="44"/>
  <c r="AG13" i="44"/>
  <c r="BF13" i="44"/>
  <c r="BI13" i="43"/>
  <c r="BI33" i="43"/>
  <c r="G13" i="44"/>
  <c r="AF13" i="44"/>
  <c r="BE13" i="44"/>
  <c r="BH13" i="43"/>
  <c r="BH33" i="43"/>
  <c r="F13" i="44"/>
  <c r="AE13" i="44"/>
  <c r="BD13" i="44"/>
  <c r="BG13" i="43"/>
  <c r="BG33" i="43"/>
  <c r="E13" i="44"/>
  <c r="AD13" i="44"/>
  <c r="BC13" i="44"/>
  <c r="BF13" i="43"/>
  <c r="BF33" i="43"/>
  <c r="D13" i="44"/>
  <c r="AC13" i="44"/>
  <c r="BB13" i="44"/>
  <c r="BE13" i="43"/>
  <c r="BE33" i="43"/>
  <c r="C13" i="44"/>
  <c r="AB13" i="44"/>
  <c r="BA13" i="44"/>
  <c r="BD13" i="43"/>
  <c r="BD33" i="43"/>
  <c r="BC13" i="43"/>
  <c r="BC33" i="43"/>
  <c r="AZ3" i="33"/>
  <c r="AA3" i="44"/>
  <c r="AZ3" i="44"/>
  <c r="BA3" i="33"/>
  <c r="BY3" i="44"/>
  <c r="CB3" i="43"/>
  <c r="CB32" i="43"/>
  <c r="Z3" i="44"/>
  <c r="AY3" i="44"/>
  <c r="BX3" i="44"/>
  <c r="CA3" i="43"/>
  <c r="CA32" i="43"/>
  <c r="Y3" i="44"/>
  <c r="AX3" i="44"/>
  <c r="BW3" i="44"/>
  <c r="BZ3" i="43"/>
  <c r="BZ32" i="43"/>
  <c r="X3" i="44"/>
  <c r="AW3" i="44"/>
  <c r="BV3" i="44"/>
  <c r="BY3" i="43"/>
  <c r="BY32" i="43"/>
  <c r="W3" i="44"/>
  <c r="AV3" i="44"/>
  <c r="BU3" i="44"/>
  <c r="BX3" i="43"/>
  <c r="BX32" i="43"/>
  <c r="V3" i="44"/>
  <c r="AU3" i="44"/>
  <c r="BT3" i="44"/>
  <c r="BW3" i="43"/>
  <c r="BW32" i="43"/>
  <c r="U3" i="44"/>
  <c r="AT3" i="44"/>
  <c r="BS3" i="44"/>
  <c r="BV3" i="43"/>
  <c r="BV32" i="43"/>
  <c r="T3" i="44"/>
  <c r="AS3" i="44"/>
  <c r="BR3" i="44"/>
  <c r="BU3" i="43"/>
  <c r="BU32" i="43"/>
  <c r="S3" i="44"/>
  <c r="AR3" i="44"/>
  <c r="BQ3" i="44"/>
  <c r="BT3" i="43"/>
  <c r="BT32" i="43"/>
  <c r="R3" i="44"/>
  <c r="AQ3" i="44"/>
  <c r="BP3" i="44"/>
  <c r="BS3" i="43"/>
  <c r="BS32" i="43"/>
  <c r="Q3" i="44"/>
  <c r="AP3" i="44"/>
  <c r="BO3" i="44"/>
  <c r="BR3" i="43"/>
  <c r="BR32" i="43"/>
  <c r="P3" i="44"/>
  <c r="AO3" i="44"/>
  <c r="BN3" i="44"/>
  <c r="BQ3" i="43"/>
  <c r="BQ32" i="43"/>
  <c r="O3" i="44"/>
  <c r="AN3" i="44"/>
  <c r="BM3" i="44"/>
  <c r="BP3" i="43"/>
  <c r="BP32" i="43"/>
  <c r="N3" i="44"/>
  <c r="AM3" i="44"/>
  <c r="BL3" i="44"/>
  <c r="BO3" i="43"/>
  <c r="BO32" i="43"/>
  <c r="M3" i="44"/>
  <c r="AL3" i="44"/>
  <c r="BK3" i="44"/>
  <c r="BN3" i="43"/>
  <c r="BN32" i="43"/>
  <c r="L3" i="44"/>
  <c r="AK3" i="44"/>
  <c r="BJ3" i="44"/>
  <c r="BM3" i="43"/>
  <c r="BM32" i="43"/>
  <c r="K3" i="44"/>
  <c r="AJ3" i="44"/>
  <c r="BI3" i="44"/>
  <c r="BL3" i="43"/>
  <c r="BL32" i="43"/>
  <c r="J3" i="44"/>
  <c r="AI3" i="44"/>
  <c r="BH3" i="44"/>
  <c r="BK3" i="43"/>
  <c r="BK32" i="43"/>
  <c r="I3" i="44"/>
  <c r="AH3" i="44"/>
  <c r="BG3" i="44"/>
  <c r="BJ3" i="43"/>
  <c r="BJ32" i="43"/>
  <c r="H3" i="44"/>
  <c r="AG3" i="44"/>
  <c r="BF3" i="44"/>
  <c r="BI3" i="43"/>
  <c r="BI32" i="43"/>
  <c r="G3" i="44"/>
  <c r="AF3" i="44"/>
  <c r="BE3" i="44"/>
  <c r="BH3" i="43"/>
  <c r="BH32" i="43"/>
  <c r="F3" i="44"/>
  <c r="AE3" i="44"/>
  <c r="BD3" i="44"/>
  <c r="BG3" i="43"/>
  <c r="BG32" i="43"/>
  <c r="E3" i="44"/>
  <c r="AD3" i="44"/>
  <c r="BC3" i="44"/>
  <c r="BF3" i="43"/>
  <c r="BF32" i="43"/>
  <c r="D3" i="44"/>
  <c r="AC3" i="44"/>
  <c r="BB3" i="44"/>
  <c r="BE3" i="43"/>
  <c r="BE32" i="43"/>
  <c r="C3" i="44"/>
  <c r="AB3" i="44"/>
  <c r="BA3" i="44"/>
  <c r="BD3" i="43"/>
  <c r="BD32" i="43"/>
  <c r="BC3" i="43"/>
  <c r="BC32"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AB27" i="43"/>
  <c r="AB76" i="43"/>
  <c r="AA27" i="43"/>
  <c r="AA76" i="43"/>
  <c r="Z27" i="43"/>
  <c r="Z76" i="43"/>
  <c r="Y27" i="43"/>
  <c r="Y76" i="43"/>
  <c r="X27" i="43"/>
  <c r="X76" i="43"/>
  <c r="W27" i="43"/>
  <c r="W76" i="43"/>
  <c r="V27" i="43"/>
  <c r="V76" i="43"/>
  <c r="U27" i="43"/>
  <c r="U76" i="43"/>
  <c r="T27" i="43"/>
  <c r="T76" i="43"/>
  <c r="S27" i="43"/>
  <c r="S76" i="43"/>
  <c r="R27" i="43"/>
  <c r="R76" i="43"/>
  <c r="Q27" i="43"/>
  <c r="Q76" i="43"/>
  <c r="P27" i="43"/>
  <c r="P76" i="43"/>
  <c r="O27" i="43"/>
  <c r="O76" i="43"/>
  <c r="N27" i="43"/>
  <c r="N76" i="43"/>
  <c r="M27" i="43"/>
  <c r="M76" i="43"/>
  <c r="L27" i="43"/>
  <c r="L76" i="43"/>
  <c r="K27" i="43"/>
  <c r="K76" i="43"/>
  <c r="J27" i="43"/>
  <c r="J76" i="43"/>
  <c r="I27" i="43"/>
  <c r="I76" i="43"/>
  <c r="H27" i="43"/>
  <c r="H76" i="43"/>
  <c r="G27" i="43"/>
  <c r="G76" i="43"/>
  <c r="F27" i="43"/>
  <c r="F76" i="43"/>
  <c r="E27" i="43"/>
  <c r="E76" i="43"/>
  <c r="D27" i="43"/>
  <c r="D76" i="43"/>
  <c r="C27" i="43"/>
  <c r="C76" i="43"/>
  <c r="AB18" i="43"/>
  <c r="AB75" i="43"/>
  <c r="AA18" i="43"/>
  <c r="AA75" i="43"/>
  <c r="Z18" i="43"/>
  <c r="Z75" i="43"/>
  <c r="Y18" i="43"/>
  <c r="Y75" i="43"/>
  <c r="X18" i="43"/>
  <c r="X75" i="43"/>
  <c r="W18" i="43"/>
  <c r="W75" i="43"/>
  <c r="V18" i="43"/>
  <c r="V75" i="43"/>
  <c r="U18" i="43"/>
  <c r="U75" i="43"/>
  <c r="T18" i="43"/>
  <c r="T75" i="43"/>
  <c r="S18" i="43"/>
  <c r="S75" i="43"/>
  <c r="R18" i="43"/>
  <c r="R75" i="43"/>
  <c r="Q18" i="43"/>
  <c r="Q75" i="43"/>
  <c r="P18" i="43"/>
  <c r="P75" i="43"/>
  <c r="O18" i="43"/>
  <c r="O75" i="43"/>
  <c r="N18" i="43"/>
  <c r="N75" i="43"/>
  <c r="M18" i="43"/>
  <c r="M75" i="43"/>
  <c r="L18" i="43"/>
  <c r="L75" i="43"/>
  <c r="K18" i="43"/>
  <c r="K75" i="43"/>
  <c r="J18" i="43"/>
  <c r="J75" i="43"/>
  <c r="I18" i="43"/>
  <c r="I75" i="43"/>
  <c r="H18" i="43"/>
  <c r="H75" i="43"/>
  <c r="G18" i="43"/>
  <c r="G75" i="43"/>
  <c r="F18" i="43"/>
  <c r="F75" i="43"/>
  <c r="E18" i="43"/>
  <c r="E75" i="43"/>
  <c r="D18" i="43"/>
  <c r="D75" i="43"/>
  <c r="C18" i="43"/>
  <c r="C75" i="43"/>
  <c r="AB12" i="43"/>
  <c r="AB74" i="43"/>
  <c r="AA12" i="43"/>
  <c r="AA74" i="43"/>
  <c r="Z12" i="43"/>
  <c r="Z74" i="43"/>
  <c r="Y12" i="43"/>
  <c r="Y74" i="43"/>
  <c r="X12" i="43"/>
  <c r="X74" i="43"/>
  <c r="W12" i="43"/>
  <c r="W74" i="43"/>
  <c r="V12" i="43"/>
  <c r="V74" i="43"/>
  <c r="U12" i="43"/>
  <c r="U74" i="43"/>
  <c r="T12" i="43"/>
  <c r="T74" i="43"/>
  <c r="S12" i="43"/>
  <c r="S74" i="43"/>
  <c r="R12" i="43"/>
  <c r="R74" i="43"/>
  <c r="Q12" i="43"/>
  <c r="Q74" i="43"/>
  <c r="P12" i="43"/>
  <c r="P74" i="43"/>
  <c r="O12" i="43"/>
  <c r="O74" i="43"/>
  <c r="N12" i="43"/>
  <c r="N74" i="43"/>
  <c r="M12" i="43"/>
  <c r="M74" i="43"/>
  <c r="L12" i="43"/>
  <c r="L74" i="43"/>
  <c r="K12" i="43"/>
  <c r="K74" i="43"/>
  <c r="J12" i="43"/>
  <c r="J74" i="43"/>
  <c r="I12" i="43"/>
  <c r="I74" i="43"/>
  <c r="H12" i="43"/>
  <c r="H74" i="43"/>
  <c r="G12" i="43"/>
  <c r="G74" i="43"/>
  <c r="F12" i="43"/>
  <c r="F74" i="43"/>
  <c r="E12" i="43"/>
  <c r="E74" i="43"/>
  <c r="D12" i="43"/>
  <c r="D74" i="43"/>
  <c r="C12" i="43"/>
  <c r="C74" i="43"/>
  <c r="AB7" i="43"/>
  <c r="AB73" i="43"/>
  <c r="AA7" i="43"/>
  <c r="AA73" i="43"/>
  <c r="Z7" i="43"/>
  <c r="Z73" i="43"/>
  <c r="Y7" i="43"/>
  <c r="Y73" i="43"/>
  <c r="X7" i="43"/>
  <c r="X73" i="43"/>
  <c r="W7" i="43"/>
  <c r="W73" i="43"/>
  <c r="V7" i="43"/>
  <c r="V73" i="43"/>
  <c r="U7" i="43"/>
  <c r="U73" i="43"/>
  <c r="T7" i="43"/>
  <c r="T73" i="43"/>
  <c r="S7" i="43"/>
  <c r="S73" i="43"/>
  <c r="R7" i="43"/>
  <c r="R73" i="43"/>
  <c r="Q7" i="43"/>
  <c r="Q73" i="43"/>
  <c r="P7" i="43"/>
  <c r="P73" i="43"/>
  <c r="O7" i="43"/>
  <c r="O73" i="43"/>
  <c r="N7" i="43"/>
  <c r="N73" i="43"/>
  <c r="M7" i="43"/>
  <c r="M73" i="43"/>
  <c r="L7" i="43"/>
  <c r="L73" i="43"/>
  <c r="K7" i="43"/>
  <c r="K73" i="43"/>
  <c r="J7" i="43"/>
  <c r="J73" i="43"/>
  <c r="I7" i="43"/>
  <c r="I73" i="43"/>
  <c r="H7" i="43"/>
  <c r="H73" i="43"/>
  <c r="G7" i="43"/>
  <c r="G73" i="43"/>
  <c r="F7" i="43"/>
  <c r="F73" i="43"/>
  <c r="E7" i="43"/>
  <c r="E73" i="43"/>
  <c r="D7" i="43"/>
  <c r="D73" i="43"/>
  <c r="C7" i="43"/>
  <c r="C73" i="43"/>
  <c r="AB16" i="43"/>
  <c r="AB72" i="43"/>
  <c r="AA16" i="43"/>
  <c r="AA72" i="43"/>
  <c r="Z16" i="43"/>
  <c r="Z72" i="43"/>
  <c r="Y16" i="43"/>
  <c r="Y72" i="43"/>
  <c r="X16" i="43"/>
  <c r="X72" i="43"/>
  <c r="W16" i="43"/>
  <c r="W72" i="43"/>
  <c r="V16" i="43"/>
  <c r="V72" i="43"/>
  <c r="U16" i="43"/>
  <c r="U72" i="43"/>
  <c r="T16" i="43"/>
  <c r="T72" i="43"/>
  <c r="S16" i="43"/>
  <c r="S72" i="43"/>
  <c r="R16" i="43"/>
  <c r="R72" i="43"/>
  <c r="Q16" i="43"/>
  <c r="Q72" i="43"/>
  <c r="P16" i="43"/>
  <c r="P72" i="43"/>
  <c r="O16" i="43"/>
  <c r="O72" i="43"/>
  <c r="N16" i="43"/>
  <c r="N72" i="43"/>
  <c r="M16" i="43"/>
  <c r="M72" i="43"/>
  <c r="L16" i="43"/>
  <c r="L72" i="43"/>
  <c r="K16" i="43"/>
  <c r="K72" i="43"/>
  <c r="J16" i="43"/>
  <c r="J72" i="43"/>
  <c r="I16" i="43"/>
  <c r="I72" i="43"/>
  <c r="H16" i="43"/>
  <c r="H72" i="43"/>
  <c r="G16" i="43"/>
  <c r="G72" i="43"/>
  <c r="F16" i="43"/>
  <c r="F72" i="43"/>
  <c r="E16" i="43"/>
  <c r="E72" i="43"/>
  <c r="D16" i="43"/>
  <c r="D72" i="43"/>
  <c r="C16" i="43"/>
  <c r="C72" i="43"/>
  <c r="AB29" i="43"/>
  <c r="AB71" i="43"/>
  <c r="AA29" i="43"/>
  <c r="AA71" i="43"/>
  <c r="Z29" i="43"/>
  <c r="Z71" i="43"/>
  <c r="Y29" i="43"/>
  <c r="Y71" i="43"/>
  <c r="X29" i="43"/>
  <c r="X71" i="43"/>
  <c r="W29" i="43"/>
  <c r="W71" i="43"/>
  <c r="V29" i="43"/>
  <c r="V71" i="43"/>
  <c r="U29" i="43"/>
  <c r="U71" i="43"/>
  <c r="T29" i="43"/>
  <c r="T71" i="43"/>
  <c r="S29" i="43"/>
  <c r="S71" i="43"/>
  <c r="R29" i="43"/>
  <c r="R71" i="43"/>
  <c r="Q29" i="43"/>
  <c r="Q71" i="43"/>
  <c r="P29" i="43"/>
  <c r="P71" i="43"/>
  <c r="O29" i="43"/>
  <c r="O71" i="43"/>
  <c r="N29" i="43"/>
  <c r="N71" i="43"/>
  <c r="M29" i="43"/>
  <c r="M71" i="43"/>
  <c r="L29" i="43"/>
  <c r="L71" i="43"/>
  <c r="K29" i="43"/>
  <c r="K71" i="43"/>
  <c r="J29" i="43"/>
  <c r="J71" i="43"/>
  <c r="I29" i="43"/>
  <c r="I71" i="43"/>
  <c r="H29" i="43"/>
  <c r="H71" i="43"/>
  <c r="G29" i="43"/>
  <c r="G71" i="43"/>
  <c r="F29" i="43"/>
  <c r="F71" i="43"/>
  <c r="E29" i="43"/>
  <c r="E71" i="43"/>
  <c r="D29" i="43"/>
  <c r="D71" i="43"/>
  <c r="C29" i="43"/>
  <c r="C71" i="43"/>
  <c r="AB20" i="43"/>
  <c r="AB70" i="43"/>
  <c r="AA20" i="43"/>
  <c r="AA70" i="43"/>
  <c r="Z20" i="43"/>
  <c r="Z70" i="43"/>
  <c r="Y20" i="43"/>
  <c r="Y70" i="43"/>
  <c r="X20" i="43"/>
  <c r="X70" i="43"/>
  <c r="W20" i="43"/>
  <c r="W70" i="43"/>
  <c r="V20" i="43"/>
  <c r="V70" i="43"/>
  <c r="U20" i="43"/>
  <c r="U70" i="43"/>
  <c r="T20" i="43"/>
  <c r="T70" i="43"/>
  <c r="S20" i="43"/>
  <c r="S70" i="43"/>
  <c r="R20" i="43"/>
  <c r="R70" i="43"/>
  <c r="Q20" i="43"/>
  <c r="Q70" i="43"/>
  <c r="P20" i="43"/>
  <c r="P70" i="43"/>
  <c r="O20" i="43"/>
  <c r="O70" i="43"/>
  <c r="N20" i="43"/>
  <c r="N70" i="43"/>
  <c r="M20" i="43"/>
  <c r="M70" i="43"/>
  <c r="L20" i="43"/>
  <c r="L70" i="43"/>
  <c r="K20" i="43"/>
  <c r="K70" i="43"/>
  <c r="J20" i="43"/>
  <c r="J70" i="43"/>
  <c r="I20" i="43"/>
  <c r="I70" i="43"/>
  <c r="H20" i="43"/>
  <c r="H70" i="43"/>
  <c r="G20" i="43"/>
  <c r="G70" i="43"/>
  <c r="F20" i="43"/>
  <c r="F70" i="43"/>
  <c r="E20" i="43"/>
  <c r="E70" i="43"/>
  <c r="D20" i="43"/>
  <c r="D70" i="43"/>
  <c r="C20" i="43"/>
  <c r="C70" i="43"/>
  <c r="AB24" i="43"/>
  <c r="AB69" i="43"/>
  <c r="AA24" i="43"/>
  <c r="AA69" i="43"/>
  <c r="Z24" i="43"/>
  <c r="Z69" i="43"/>
  <c r="Y24" i="43"/>
  <c r="Y69" i="43"/>
  <c r="X24" i="43"/>
  <c r="X69" i="43"/>
  <c r="W24" i="43"/>
  <c r="W69" i="43"/>
  <c r="V24" i="43"/>
  <c r="V69" i="43"/>
  <c r="U24" i="43"/>
  <c r="U69" i="43"/>
  <c r="T24" i="43"/>
  <c r="T69" i="43"/>
  <c r="S24" i="43"/>
  <c r="S69" i="43"/>
  <c r="R24" i="43"/>
  <c r="R69" i="43"/>
  <c r="Q24" i="43"/>
  <c r="Q69" i="43"/>
  <c r="P24" i="43"/>
  <c r="P69" i="43"/>
  <c r="O24" i="43"/>
  <c r="O69" i="43"/>
  <c r="N24" i="43"/>
  <c r="N69" i="43"/>
  <c r="M24" i="43"/>
  <c r="M69" i="43"/>
  <c r="L24" i="43"/>
  <c r="L69" i="43"/>
  <c r="K24" i="43"/>
  <c r="K69" i="43"/>
  <c r="J24" i="43"/>
  <c r="J69" i="43"/>
  <c r="I24" i="43"/>
  <c r="I69" i="43"/>
  <c r="H24" i="43"/>
  <c r="H69" i="43"/>
  <c r="G24" i="43"/>
  <c r="G69" i="43"/>
  <c r="F24" i="43"/>
  <c r="F69" i="43"/>
  <c r="E24" i="43"/>
  <c r="E69" i="43"/>
  <c r="D24" i="43"/>
  <c r="D69" i="43"/>
  <c r="C24" i="43"/>
  <c r="C69" i="43"/>
  <c r="AB9" i="43"/>
  <c r="AB68" i="43"/>
  <c r="AA9" i="43"/>
  <c r="AA68" i="43"/>
  <c r="Z9" i="43"/>
  <c r="Z68" i="43"/>
  <c r="Y9" i="43"/>
  <c r="Y68" i="43"/>
  <c r="X9" i="43"/>
  <c r="X68" i="43"/>
  <c r="W9" i="43"/>
  <c r="W68" i="43"/>
  <c r="V9" i="43"/>
  <c r="V68" i="43"/>
  <c r="U9" i="43"/>
  <c r="U68" i="43"/>
  <c r="T9" i="43"/>
  <c r="T68" i="43"/>
  <c r="S9" i="43"/>
  <c r="S68" i="43"/>
  <c r="R9" i="43"/>
  <c r="R68" i="43"/>
  <c r="Q9" i="43"/>
  <c r="Q68" i="43"/>
  <c r="P9" i="43"/>
  <c r="P68" i="43"/>
  <c r="O9" i="43"/>
  <c r="O68" i="43"/>
  <c r="N9" i="43"/>
  <c r="N68" i="43"/>
  <c r="M9" i="43"/>
  <c r="M68" i="43"/>
  <c r="L9" i="43"/>
  <c r="L68" i="43"/>
  <c r="K9" i="43"/>
  <c r="K68" i="43"/>
  <c r="J9" i="43"/>
  <c r="J68" i="43"/>
  <c r="I9" i="43"/>
  <c r="I68" i="43"/>
  <c r="H9" i="43"/>
  <c r="H68" i="43"/>
  <c r="G9" i="43"/>
  <c r="G68" i="43"/>
  <c r="F9" i="43"/>
  <c r="F68" i="43"/>
  <c r="E9" i="43"/>
  <c r="E68" i="43"/>
  <c r="D9" i="43"/>
  <c r="D68" i="43"/>
  <c r="C9" i="43"/>
  <c r="C68" i="43"/>
  <c r="AB5" i="43"/>
  <c r="AB67" i="43"/>
  <c r="AA5" i="43"/>
  <c r="AA67" i="43"/>
  <c r="Z5" i="43"/>
  <c r="Z67" i="43"/>
  <c r="Y5" i="43"/>
  <c r="Y67" i="43"/>
  <c r="X5" i="43"/>
  <c r="X67" i="43"/>
  <c r="W5" i="43"/>
  <c r="W67" i="43"/>
  <c r="V5" i="43"/>
  <c r="V67" i="43"/>
  <c r="U5" i="43"/>
  <c r="U67" i="43"/>
  <c r="T5" i="43"/>
  <c r="T67" i="43"/>
  <c r="S5" i="43"/>
  <c r="S67" i="43"/>
  <c r="R5" i="43"/>
  <c r="R67" i="43"/>
  <c r="Q5" i="43"/>
  <c r="Q67" i="43"/>
  <c r="P5" i="43"/>
  <c r="P67" i="43"/>
  <c r="O5" i="43"/>
  <c r="O67" i="43"/>
  <c r="N5" i="43"/>
  <c r="N67" i="43"/>
  <c r="M5" i="43"/>
  <c r="M67" i="43"/>
  <c r="L5" i="43"/>
  <c r="L67" i="43"/>
  <c r="K5" i="43"/>
  <c r="K67" i="43"/>
  <c r="J5" i="43"/>
  <c r="J67" i="43"/>
  <c r="I5" i="43"/>
  <c r="I67" i="43"/>
  <c r="H5" i="43"/>
  <c r="H67" i="43"/>
  <c r="G5" i="43"/>
  <c r="G67" i="43"/>
  <c r="F5" i="43"/>
  <c r="F67" i="43"/>
  <c r="E5" i="43"/>
  <c r="E67" i="43"/>
  <c r="D5" i="43"/>
  <c r="D67" i="43"/>
  <c r="C5" i="43"/>
  <c r="C67" i="43"/>
  <c r="AB17" i="43"/>
  <c r="AB66" i="43"/>
  <c r="AA17" i="43"/>
  <c r="AA66" i="43"/>
  <c r="Z17" i="43"/>
  <c r="Z66" i="43"/>
  <c r="Y17" i="43"/>
  <c r="Y66" i="43"/>
  <c r="X17" i="43"/>
  <c r="X66" i="43"/>
  <c r="W17" i="43"/>
  <c r="W66" i="43"/>
  <c r="V17" i="43"/>
  <c r="V66" i="43"/>
  <c r="U17" i="43"/>
  <c r="U66" i="43"/>
  <c r="T17" i="43"/>
  <c r="T66" i="43"/>
  <c r="S17" i="43"/>
  <c r="S66" i="43"/>
  <c r="R17" i="43"/>
  <c r="R66" i="43"/>
  <c r="Q17" i="43"/>
  <c r="Q66" i="43"/>
  <c r="P17" i="43"/>
  <c r="P66" i="43"/>
  <c r="O17" i="43"/>
  <c r="O66" i="43"/>
  <c r="N17" i="43"/>
  <c r="N66" i="43"/>
  <c r="M17" i="43"/>
  <c r="M66" i="43"/>
  <c r="L17" i="43"/>
  <c r="L66" i="43"/>
  <c r="K17" i="43"/>
  <c r="K66" i="43"/>
  <c r="J17" i="43"/>
  <c r="J66" i="43"/>
  <c r="I17" i="43"/>
  <c r="I66" i="43"/>
  <c r="H17" i="43"/>
  <c r="H66" i="43"/>
  <c r="G17" i="43"/>
  <c r="G66" i="43"/>
  <c r="F17" i="43"/>
  <c r="F66" i="43"/>
  <c r="E17" i="43"/>
  <c r="E66" i="43"/>
  <c r="D17" i="43"/>
  <c r="D66" i="43"/>
  <c r="C17" i="43"/>
  <c r="C66" i="43"/>
  <c r="AB21" i="43"/>
  <c r="AB65" i="43"/>
  <c r="AA21" i="43"/>
  <c r="AA65" i="43"/>
  <c r="Z21" i="43"/>
  <c r="Z65" i="43"/>
  <c r="Y21" i="43"/>
  <c r="Y65" i="43"/>
  <c r="X21" i="43"/>
  <c r="X65" i="43"/>
  <c r="W21" i="43"/>
  <c r="W65" i="43"/>
  <c r="V21" i="43"/>
  <c r="V65" i="43"/>
  <c r="U21" i="43"/>
  <c r="U65" i="43"/>
  <c r="T21" i="43"/>
  <c r="T65" i="43"/>
  <c r="S21" i="43"/>
  <c r="S65" i="43"/>
  <c r="R21" i="43"/>
  <c r="R65" i="43"/>
  <c r="Q21" i="43"/>
  <c r="Q65" i="43"/>
  <c r="P21" i="43"/>
  <c r="P65" i="43"/>
  <c r="O21" i="43"/>
  <c r="O65" i="43"/>
  <c r="N21" i="43"/>
  <c r="N65" i="43"/>
  <c r="M21" i="43"/>
  <c r="M65" i="43"/>
  <c r="L21" i="43"/>
  <c r="L65" i="43"/>
  <c r="K21" i="43"/>
  <c r="K65" i="43"/>
  <c r="J21" i="43"/>
  <c r="J65" i="43"/>
  <c r="I21" i="43"/>
  <c r="I65" i="43"/>
  <c r="H21" i="43"/>
  <c r="H65" i="43"/>
  <c r="G21" i="43"/>
  <c r="G65" i="43"/>
  <c r="F21" i="43"/>
  <c r="F65" i="43"/>
  <c r="E21" i="43"/>
  <c r="E65" i="43"/>
  <c r="D21" i="43"/>
  <c r="D65" i="43"/>
  <c r="C21" i="43"/>
  <c r="C65" i="43"/>
  <c r="AB25" i="43"/>
  <c r="AB64" i="43"/>
  <c r="AA25" i="43"/>
  <c r="AA64" i="43"/>
  <c r="Z25" i="43"/>
  <c r="Z64" i="43"/>
  <c r="Y25" i="43"/>
  <c r="Y64" i="43"/>
  <c r="X25" i="43"/>
  <c r="X64" i="43"/>
  <c r="W25" i="43"/>
  <c r="W64" i="43"/>
  <c r="V25" i="43"/>
  <c r="V64" i="43"/>
  <c r="U25" i="43"/>
  <c r="U64" i="43"/>
  <c r="T25" i="43"/>
  <c r="T64" i="43"/>
  <c r="S25" i="43"/>
  <c r="S64" i="43"/>
  <c r="R25" i="43"/>
  <c r="R64" i="43"/>
  <c r="Q25" i="43"/>
  <c r="Q64" i="43"/>
  <c r="P25" i="43"/>
  <c r="P64" i="43"/>
  <c r="O25" i="43"/>
  <c r="O64" i="43"/>
  <c r="N25" i="43"/>
  <c r="N64" i="43"/>
  <c r="M25" i="43"/>
  <c r="M64" i="43"/>
  <c r="L25" i="43"/>
  <c r="L64" i="43"/>
  <c r="K25" i="43"/>
  <c r="K64" i="43"/>
  <c r="J25" i="43"/>
  <c r="J64" i="43"/>
  <c r="I25" i="43"/>
  <c r="I64" i="43"/>
  <c r="H25" i="43"/>
  <c r="H64" i="43"/>
  <c r="G25" i="43"/>
  <c r="G64" i="43"/>
  <c r="F25" i="43"/>
  <c r="F64" i="43"/>
  <c r="E25" i="43"/>
  <c r="E64" i="43"/>
  <c r="D25" i="43"/>
  <c r="D64" i="43"/>
  <c r="C25" i="43"/>
  <c r="C64" i="43"/>
  <c r="AB63" i="43"/>
  <c r="AA63" i="43"/>
  <c r="Z63" i="43"/>
  <c r="Y63" i="43"/>
  <c r="X63" i="43"/>
  <c r="W63" i="43"/>
  <c r="V63" i="43"/>
  <c r="U63" i="43"/>
  <c r="T63" i="43"/>
  <c r="S63" i="43"/>
  <c r="R63" i="43"/>
  <c r="Q63" i="43"/>
  <c r="P63" i="43"/>
  <c r="O63" i="43"/>
  <c r="N63" i="43"/>
  <c r="M63" i="43"/>
  <c r="L63" i="43"/>
  <c r="K63" i="43"/>
  <c r="J63" i="43"/>
  <c r="I63" i="43"/>
  <c r="H63" i="43"/>
  <c r="G63" i="43"/>
  <c r="F63" i="43"/>
  <c r="E63" i="43"/>
  <c r="D63" i="43"/>
  <c r="C63" i="43"/>
  <c r="AB62" i="43"/>
  <c r="AA62" i="43"/>
  <c r="Z62" i="43"/>
  <c r="Y62" i="43"/>
  <c r="X62" i="43"/>
  <c r="W62" i="43"/>
  <c r="V62" i="43"/>
  <c r="U62" i="43"/>
  <c r="T62" i="43"/>
  <c r="S62" i="43"/>
  <c r="R62" i="43"/>
  <c r="Q62" i="43"/>
  <c r="P62" i="43"/>
  <c r="O62" i="43"/>
  <c r="N62" i="43"/>
  <c r="M62" i="43"/>
  <c r="L62" i="43"/>
  <c r="K62" i="43"/>
  <c r="J62" i="43"/>
  <c r="I62" i="43"/>
  <c r="H62" i="43"/>
  <c r="G62" i="43"/>
  <c r="F62" i="43"/>
  <c r="E62" i="43"/>
  <c r="D62" i="43"/>
  <c r="C62" i="43"/>
  <c r="AB61" i="43"/>
  <c r="AA61" i="43"/>
  <c r="Z61" i="43"/>
  <c r="Y61" i="43"/>
  <c r="X61" i="43"/>
  <c r="W61" i="43"/>
  <c r="V61" i="43"/>
  <c r="U61" i="43"/>
  <c r="T61" i="43"/>
  <c r="S61" i="43"/>
  <c r="R61" i="43"/>
  <c r="Q61" i="43"/>
  <c r="P61" i="43"/>
  <c r="O61" i="43"/>
  <c r="N61" i="43"/>
  <c r="M61" i="43"/>
  <c r="L61" i="43"/>
  <c r="K61" i="43"/>
  <c r="J61" i="43"/>
  <c r="I61" i="43"/>
  <c r="H61" i="43"/>
  <c r="G61" i="43"/>
  <c r="F61" i="43"/>
  <c r="E61" i="43"/>
  <c r="D61" i="43"/>
  <c r="C61" i="43"/>
  <c r="AB60" i="43"/>
  <c r="AA60" i="43"/>
  <c r="Z60" i="43"/>
  <c r="Y60" i="43"/>
  <c r="X60" i="43"/>
  <c r="W60" i="43"/>
  <c r="V60" i="43"/>
  <c r="U60" i="43"/>
  <c r="T60" i="43"/>
  <c r="S60" i="43"/>
  <c r="R60" i="43"/>
  <c r="Q60" i="43"/>
  <c r="P60" i="43"/>
  <c r="O60" i="43"/>
  <c r="N60" i="43"/>
  <c r="M60" i="43"/>
  <c r="L60" i="43"/>
  <c r="K60" i="43"/>
  <c r="J60" i="43"/>
  <c r="I60" i="43"/>
  <c r="H60" i="43"/>
  <c r="G60" i="43"/>
  <c r="F60" i="43"/>
  <c r="E60" i="43"/>
  <c r="D60" i="43"/>
  <c r="C60" i="43"/>
  <c r="AB59" i="43"/>
  <c r="AA59" i="43"/>
  <c r="Z59" i="43"/>
  <c r="Y59" i="43"/>
  <c r="X59" i="43"/>
  <c r="W59" i="43"/>
  <c r="V59" i="43"/>
  <c r="U59" i="43"/>
  <c r="T59" i="43"/>
  <c r="S59" i="43"/>
  <c r="R59" i="43"/>
  <c r="Q59" i="43"/>
  <c r="P59" i="43"/>
  <c r="O59" i="43"/>
  <c r="N59" i="43"/>
  <c r="M59" i="43"/>
  <c r="L59" i="43"/>
  <c r="K59" i="43"/>
  <c r="J59" i="43"/>
  <c r="I59" i="43"/>
  <c r="H59" i="43"/>
  <c r="G59" i="43"/>
  <c r="F59" i="43"/>
  <c r="E59" i="43"/>
  <c r="D59" i="43"/>
  <c r="C59"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AB57" i="43"/>
  <c r="AA57" i="43"/>
  <c r="Z57" i="43"/>
  <c r="Y57" i="43"/>
  <c r="X57" i="43"/>
  <c r="W57" i="43"/>
  <c r="V57" i="43"/>
  <c r="U57" i="43"/>
  <c r="T57" i="43"/>
  <c r="S57" i="43"/>
  <c r="R57" i="43"/>
  <c r="Q57" i="43"/>
  <c r="P57" i="43"/>
  <c r="O57" i="43"/>
  <c r="N57" i="43"/>
  <c r="M57" i="43"/>
  <c r="L57" i="43"/>
  <c r="K57" i="43"/>
  <c r="J57" i="43"/>
  <c r="I57" i="43"/>
  <c r="H57" i="43"/>
  <c r="G57" i="43"/>
  <c r="F57" i="43"/>
  <c r="E57" i="43"/>
  <c r="D57" i="43"/>
  <c r="C57" i="43"/>
  <c r="AB56" i="43"/>
  <c r="AA56" i="43"/>
  <c r="Z56" i="43"/>
  <c r="Y56" i="43"/>
  <c r="X56" i="43"/>
  <c r="W56" i="43"/>
  <c r="V56" i="43"/>
  <c r="U56" i="43"/>
  <c r="T56" i="43"/>
  <c r="S56" i="43"/>
  <c r="R56" i="43"/>
  <c r="Q56" i="43"/>
  <c r="P56" i="43"/>
  <c r="O56" i="43"/>
  <c r="N56" i="43"/>
  <c r="M56" i="43"/>
  <c r="L56" i="43"/>
  <c r="K56" i="43"/>
  <c r="J56" i="43"/>
  <c r="I56" i="43"/>
  <c r="H56" i="43"/>
  <c r="G56" i="43"/>
  <c r="F56" i="43"/>
  <c r="E56" i="43"/>
  <c r="D56" i="43"/>
  <c r="C56" i="43"/>
  <c r="AB55" i="43"/>
  <c r="AA55" i="43"/>
  <c r="Z55" i="43"/>
  <c r="Y55" i="43"/>
  <c r="X55" i="43"/>
  <c r="W55" i="43"/>
  <c r="V55" i="43"/>
  <c r="U55" i="43"/>
  <c r="T55" i="43"/>
  <c r="S55" i="43"/>
  <c r="R55" i="43"/>
  <c r="Q55" i="43"/>
  <c r="P55" i="43"/>
  <c r="O55" i="43"/>
  <c r="N55" i="43"/>
  <c r="M55" i="43"/>
  <c r="L55" i="43"/>
  <c r="K55" i="43"/>
  <c r="J55" i="43"/>
  <c r="I55" i="43"/>
  <c r="H55" i="43"/>
  <c r="G55" i="43"/>
  <c r="F55" i="43"/>
  <c r="E55" i="43"/>
  <c r="D55" i="43"/>
  <c r="C55" i="43"/>
  <c r="AB54" i="43"/>
  <c r="AA54" i="43"/>
  <c r="Z54" i="43"/>
  <c r="Y54" i="43"/>
  <c r="X54" i="43"/>
  <c r="W54" i="43"/>
  <c r="V54" i="43"/>
  <c r="U54" i="43"/>
  <c r="T54" i="43"/>
  <c r="S54" i="43"/>
  <c r="R54" i="43"/>
  <c r="Q54" i="43"/>
  <c r="P54" i="43"/>
  <c r="O54" i="43"/>
  <c r="N54" i="43"/>
  <c r="M54" i="43"/>
  <c r="L54" i="43"/>
  <c r="K54" i="43"/>
  <c r="J54" i="43"/>
  <c r="I54" i="43"/>
  <c r="H54" i="43"/>
  <c r="G54" i="43"/>
  <c r="F54" i="43"/>
  <c r="E54" i="43"/>
  <c r="D54" i="43"/>
  <c r="C54" i="43"/>
  <c r="AB53" i="43"/>
  <c r="AA53" i="43"/>
  <c r="Z53" i="43"/>
  <c r="Y53" i="43"/>
  <c r="X53" i="43"/>
  <c r="W53" i="43"/>
  <c r="V53" i="43"/>
  <c r="U53" i="43"/>
  <c r="T53" i="43"/>
  <c r="S53" i="43"/>
  <c r="R53" i="43"/>
  <c r="Q53" i="43"/>
  <c r="P53" i="43"/>
  <c r="O53" i="43"/>
  <c r="N53" i="43"/>
  <c r="M53" i="43"/>
  <c r="L53" i="43"/>
  <c r="K53" i="43"/>
  <c r="J53" i="43"/>
  <c r="I53" i="43"/>
  <c r="H53" i="43"/>
  <c r="G53" i="43"/>
  <c r="F53" i="43"/>
  <c r="E53" i="43"/>
  <c r="D53" i="43"/>
  <c r="C53" i="43"/>
  <c r="AB52" i="43"/>
  <c r="AA52" i="43"/>
  <c r="Z52" i="43"/>
  <c r="Y52" i="43"/>
  <c r="X52" i="43"/>
  <c r="W52" i="43"/>
  <c r="V52" i="43"/>
  <c r="U52" i="43"/>
  <c r="T52" i="43"/>
  <c r="S52" i="43"/>
  <c r="R52" i="43"/>
  <c r="Q52" i="43"/>
  <c r="P52" i="43"/>
  <c r="O52" i="43"/>
  <c r="N52" i="43"/>
  <c r="M52" i="43"/>
  <c r="L52" i="43"/>
  <c r="K52" i="43"/>
  <c r="J52" i="43"/>
  <c r="I52" i="43"/>
  <c r="H52" i="43"/>
  <c r="G52" i="43"/>
  <c r="F52" i="43"/>
  <c r="E52" i="43"/>
  <c r="D52" i="43"/>
  <c r="C52" i="43"/>
  <c r="AB51" i="43"/>
  <c r="AA51" i="43"/>
  <c r="Z51" i="43"/>
  <c r="Y51" i="43"/>
  <c r="X51" i="43"/>
  <c r="W51" i="43"/>
  <c r="V51" i="43"/>
  <c r="U51" i="43"/>
  <c r="T51" i="43"/>
  <c r="S51" i="43"/>
  <c r="R51" i="43"/>
  <c r="Q51" i="43"/>
  <c r="P51" i="43"/>
  <c r="O51" i="43"/>
  <c r="N51" i="43"/>
  <c r="M51" i="43"/>
  <c r="L51" i="43"/>
  <c r="K51" i="43"/>
  <c r="J51" i="43"/>
  <c r="I51" i="43"/>
  <c r="H51" i="43"/>
  <c r="G51" i="43"/>
  <c r="F51" i="43"/>
  <c r="E51" i="43"/>
  <c r="D51" i="43"/>
  <c r="C51" i="43"/>
  <c r="AB50" i="43"/>
  <c r="AA50" i="43"/>
  <c r="Z50" i="43"/>
  <c r="Y50" i="43"/>
  <c r="X50" i="43"/>
  <c r="W50" i="43"/>
  <c r="V50" i="43"/>
  <c r="U50" i="43"/>
  <c r="T50" i="43"/>
  <c r="S50" i="43"/>
  <c r="R50" i="43"/>
  <c r="Q50" i="43"/>
  <c r="P50" i="43"/>
  <c r="O50" i="43"/>
  <c r="N50" i="43"/>
  <c r="M50" i="43"/>
  <c r="L50" i="43"/>
  <c r="K50" i="43"/>
  <c r="J50" i="43"/>
  <c r="I50" i="43"/>
  <c r="H50" i="43"/>
  <c r="G50" i="43"/>
  <c r="F50" i="43"/>
  <c r="E50" i="43"/>
  <c r="D50" i="43"/>
  <c r="C50" i="43"/>
  <c r="AB23" i="43"/>
  <c r="AB49" i="43"/>
  <c r="AA23" i="43"/>
  <c r="AA49" i="43"/>
  <c r="Z23" i="43"/>
  <c r="Z49" i="43"/>
  <c r="Y23" i="43"/>
  <c r="Y49" i="43"/>
  <c r="X23" i="43"/>
  <c r="X49" i="43"/>
  <c r="W23" i="43"/>
  <c r="W49" i="43"/>
  <c r="V23" i="43"/>
  <c r="V49" i="43"/>
  <c r="U23" i="43"/>
  <c r="U49" i="43"/>
  <c r="T23" i="43"/>
  <c r="T49" i="43"/>
  <c r="S23" i="43"/>
  <c r="S49" i="43"/>
  <c r="R23" i="43"/>
  <c r="R49" i="43"/>
  <c r="Q23" i="43"/>
  <c r="Q49" i="43"/>
  <c r="P23" i="43"/>
  <c r="P49" i="43"/>
  <c r="O23" i="43"/>
  <c r="O49" i="43"/>
  <c r="N23" i="43"/>
  <c r="N49" i="43"/>
  <c r="M23" i="43"/>
  <c r="M49" i="43"/>
  <c r="L23" i="43"/>
  <c r="L49" i="43"/>
  <c r="K23" i="43"/>
  <c r="K49" i="43"/>
  <c r="J23" i="43"/>
  <c r="J49" i="43"/>
  <c r="I23" i="43"/>
  <c r="I49" i="43"/>
  <c r="H23" i="43"/>
  <c r="H49" i="43"/>
  <c r="G23" i="43"/>
  <c r="G49" i="43"/>
  <c r="F23" i="43"/>
  <c r="F49" i="43"/>
  <c r="E23" i="43"/>
  <c r="E49" i="43"/>
  <c r="D23" i="43"/>
  <c r="D49" i="43"/>
  <c r="C23" i="43"/>
  <c r="C49" i="43"/>
  <c r="AB48" i="43"/>
  <c r="AA48" i="43"/>
  <c r="Z48" i="43"/>
  <c r="Y48" i="43"/>
  <c r="X48" i="43"/>
  <c r="W48" i="43"/>
  <c r="V48" i="43"/>
  <c r="U48" i="43"/>
  <c r="T48" i="43"/>
  <c r="S48" i="43"/>
  <c r="R48" i="43"/>
  <c r="Q48" i="43"/>
  <c r="P48" i="43"/>
  <c r="O48" i="43"/>
  <c r="N48" i="43"/>
  <c r="M48" i="43"/>
  <c r="L48" i="43"/>
  <c r="K48" i="43"/>
  <c r="J48" i="43"/>
  <c r="I48" i="43"/>
  <c r="H48" i="43"/>
  <c r="G48" i="43"/>
  <c r="F48" i="43"/>
  <c r="E48" i="43"/>
  <c r="D48" i="43"/>
  <c r="C48" i="43"/>
  <c r="AB6" i="43"/>
  <c r="AB47" i="43"/>
  <c r="AA6" i="43"/>
  <c r="AA47" i="43"/>
  <c r="Z6" i="43"/>
  <c r="Z47" i="43"/>
  <c r="Y6" i="43"/>
  <c r="Y47" i="43"/>
  <c r="X6" i="43"/>
  <c r="X47" i="43"/>
  <c r="W6" i="43"/>
  <c r="W47" i="43"/>
  <c r="V6" i="43"/>
  <c r="V47" i="43"/>
  <c r="U6" i="43"/>
  <c r="U47" i="43"/>
  <c r="T6" i="43"/>
  <c r="T47" i="43"/>
  <c r="S6" i="43"/>
  <c r="S47" i="43"/>
  <c r="R6" i="43"/>
  <c r="R47" i="43"/>
  <c r="Q6" i="43"/>
  <c r="Q47" i="43"/>
  <c r="P6" i="43"/>
  <c r="P47" i="43"/>
  <c r="O6" i="43"/>
  <c r="O47" i="43"/>
  <c r="N6" i="43"/>
  <c r="N47" i="43"/>
  <c r="M6" i="43"/>
  <c r="M47" i="43"/>
  <c r="L6" i="43"/>
  <c r="L47" i="43"/>
  <c r="K6" i="43"/>
  <c r="K47" i="43"/>
  <c r="J6" i="43"/>
  <c r="J47" i="43"/>
  <c r="I6" i="43"/>
  <c r="I47" i="43"/>
  <c r="H6" i="43"/>
  <c r="H47" i="43"/>
  <c r="G6" i="43"/>
  <c r="G47" i="43"/>
  <c r="F6" i="43"/>
  <c r="F47" i="43"/>
  <c r="E6" i="43"/>
  <c r="E47" i="43"/>
  <c r="D6" i="43"/>
  <c r="D47" i="43"/>
  <c r="C6" i="43"/>
  <c r="C47" i="43"/>
  <c r="AB10" i="43"/>
  <c r="AB46" i="43"/>
  <c r="AA10" i="43"/>
  <c r="AA46" i="43"/>
  <c r="Z10" i="43"/>
  <c r="Z46" i="43"/>
  <c r="Y10" i="43"/>
  <c r="Y46" i="43"/>
  <c r="X10" i="43"/>
  <c r="X46" i="43"/>
  <c r="W10" i="43"/>
  <c r="W46" i="43"/>
  <c r="V10" i="43"/>
  <c r="V46" i="43"/>
  <c r="U10" i="43"/>
  <c r="U46" i="43"/>
  <c r="T10" i="43"/>
  <c r="T46" i="43"/>
  <c r="S10" i="43"/>
  <c r="S46" i="43"/>
  <c r="R10" i="43"/>
  <c r="R46" i="43"/>
  <c r="Q10" i="43"/>
  <c r="Q46" i="43"/>
  <c r="P10" i="43"/>
  <c r="P46" i="43"/>
  <c r="O10" i="43"/>
  <c r="O46" i="43"/>
  <c r="N10" i="43"/>
  <c r="N46" i="43"/>
  <c r="M10" i="43"/>
  <c r="M46" i="43"/>
  <c r="L10" i="43"/>
  <c r="L46" i="43"/>
  <c r="K10" i="43"/>
  <c r="K46" i="43"/>
  <c r="J10" i="43"/>
  <c r="J46" i="43"/>
  <c r="I10" i="43"/>
  <c r="I46" i="43"/>
  <c r="H10" i="43"/>
  <c r="H46" i="43"/>
  <c r="G10" i="43"/>
  <c r="G46" i="43"/>
  <c r="F10" i="43"/>
  <c r="F46" i="43"/>
  <c r="E10" i="43"/>
  <c r="E46" i="43"/>
  <c r="D10" i="43"/>
  <c r="D46" i="43"/>
  <c r="C10" i="43"/>
  <c r="C46" i="43"/>
  <c r="AB45" i="43"/>
  <c r="AA45" i="43"/>
  <c r="Z45" i="43"/>
  <c r="Y45" i="43"/>
  <c r="X45" i="43"/>
  <c r="W45" i="43"/>
  <c r="V45" i="43"/>
  <c r="U45" i="43"/>
  <c r="T45" i="43"/>
  <c r="S45" i="43"/>
  <c r="R45" i="43"/>
  <c r="Q45" i="43"/>
  <c r="P45" i="43"/>
  <c r="O45" i="43"/>
  <c r="N45" i="43"/>
  <c r="M45" i="43"/>
  <c r="L45" i="43"/>
  <c r="K45" i="43"/>
  <c r="J45" i="43"/>
  <c r="I45" i="43"/>
  <c r="H45" i="43"/>
  <c r="G45" i="43"/>
  <c r="F45" i="43"/>
  <c r="E45" i="43"/>
  <c r="D45" i="43"/>
  <c r="C45" i="43"/>
  <c r="AB15" i="43"/>
  <c r="AB44" i="43"/>
  <c r="AA15" i="43"/>
  <c r="AA44" i="43"/>
  <c r="Z15" i="43"/>
  <c r="Z44" i="43"/>
  <c r="Y15" i="43"/>
  <c r="Y44" i="43"/>
  <c r="X15" i="43"/>
  <c r="X44" i="43"/>
  <c r="W15" i="43"/>
  <c r="W44" i="43"/>
  <c r="V15" i="43"/>
  <c r="V44" i="43"/>
  <c r="U15" i="43"/>
  <c r="U44" i="43"/>
  <c r="T15" i="43"/>
  <c r="T44" i="43"/>
  <c r="S15" i="43"/>
  <c r="S44" i="43"/>
  <c r="R15" i="43"/>
  <c r="R44" i="43"/>
  <c r="Q15" i="43"/>
  <c r="Q44" i="43"/>
  <c r="P15" i="43"/>
  <c r="P44" i="43"/>
  <c r="O15" i="43"/>
  <c r="O44" i="43"/>
  <c r="N15" i="43"/>
  <c r="N44" i="43"/>
  <c r="M15" i="43"/>
  <c r="M44" i="43"/>
  <c r="L15" i="43"/>
  <c r="L44" i="43"/>
  <c r="K15" i="43"/>
  <c r="K44" i="43"/>
  <c r="J15" i="43"/>
  <c r="J44" i="43"/>
  <c r="I15" i="43"/>
  <c r="I44" i="43"/>
  <c r="H15" i="43"/>
  <c r="H44" i="43"/>
  <c r="G15" i="43"/>
  <c r="G44" i="43"/>
  <c r="F15" i="43"/>
  <c r="F44" i="43"/>
  <c r="E15" i="43"/>
  <c r="E44" i="43"/>
  <c r="D15" i="43"/>
  <c r="D44" i="43"/>
  <c r="C15" i="43"/>
  <c r="C44" i="43"/>
  <c r="AB28" i="43"/>
  <c r="AB43" i="43"/>
  <c r="AA28" i="43"/>
  <c r="AA43" i="43"/>
  <c r="Z28" i="43"/>
  <c r="Z43" i="43"/>
  <c r="Y28" i="43"/>
  <c r="Y43" i="43"/>
  <c r="X28" i="43"/>
  <c r="X43" i="43"/>
  <c r="W28" i="43"/>
  <c r="W43" i="43"/>
  <c r="V28" i="43"/>
  <c r="V43" i="43"/>
  <c r="U28" i="43"/>
  <c r="U43" i="43"/>
  <c r="T28" i="43"/>
  <c r="T43" i="43"/>
  <c r="S28" i="43"/>
  <c r="S43" i="43"/>
  <c r="R28" i="43"/>
  <c r="R43" i="43"/>
  <c r="Q28" i="43"/>
  <c r="Q43" i="43"/>
  <c r="P28" i="43"/>
  <c r="P43" i="43"/>
  <c r="O28" i="43"/>
  <c r="O43" i="43"/>
  <c r="N28" i="43"/>
  <c r="N43" i="43"/>
  <c r="M28" i="43"/>
  <c r="M43" i="43"/>
  <c r="L28" i="43"/>
  <c r="L43" i="43"/>
  <c r="K28" i="43"/>
  <c r="K43" i="43"/>
  <c r="J28" i="43"/>
  <c r="J43" i="43"/>
  <c r="I28" i="43"/>
  <c r="I43" i="43"/>
  <c r="H28" i="43"/>
  <c r="H43" i="43"/>
  <c r="G28" i="43"/>
  <c r="G43" i="43"/>
  <c r="F28" i="43"/>
  <c r="F43" i="43"/>
  <c r="E28" i="43"/>
  <c r="E43" i="43"/>
  <c r="D28" i="43"/>
  <c r="D43" i="43"/>
  <c r="C28" i="43"/>
  <c r="C43" i="43"/>
  <c r="AB19" i="43"/>
  <c r="AB42" i="43"/>
  <c r="AA19" i="43"/>
  <c r="AA42" i="43"/>
  <c r="Z19" i="43"/>
  <c r="Z42" i="43"/>
  <c r="Y19" i="43"/>
  <c r="Y42" i="43"/>
  <c r="X19" i="43"/>
  <c r="X42" i="43"/>
  <c r="W19" i="43"/>
  <c r="W42" i="43"/>
  <c r="V19" i="43"/>
  <c r="V42" i="43"/>
  <c r="U19" i="43"/>
  <c r="U42" i="43"/>
  <c r="T19" i="43"/>
  <c r="T42" i="43"/>
  <c r="S19" i="43"/>
  <c r="S42" i="43"/>
  <c r="R19" i="43"/>
  <c r="R42" i="43"/>
  <c r="Q19" i="43"/>
  <c r="Q42" i="43"/>
  <c r="P19" i="43"/>
  <c r="P42" i="43"/>
  <c r="O19" i="43"/>
  <c r="O42" i="43"/>
  <c r="N19" i="43"/>
  <c r="N42" i="43"/>
  <c r="M19" i="43"/>
  <c r="M42" i="43"/>
  <c r="L19" i="43"/>
  <c r="L42" i="43"/>
  <c r="K19" i="43"/>
  <c r="K42" i="43"/>
  <c r="J19" i="43"/>
  <c r="J42" i="43"/>
  <c r="I19" i="43"/>
  <c r="I42" i="43"/>
  <c r="H19" i="43"/>
  <c r="H42" i="43"/>
  <c r="G19" i="43"/>
  <c r="G42" i="43"/>
  <c r="F19" i="43"/>
  <c r="F42" i="43"/>
  <c r="E19" i="43"/>
  <c r="E42" i="43"/>
  <c r="D19" i="43"/>
  <c r="D42" i="43"/>
  <c r="C19" i="43"/>
  <c r="C42" i="43"/>
  <c r="AB8" i="43"/>
  <c r="AB41" i="43"/>
  <c r="AA8" i="43"/>
  <c r="AA41" i="43"/>
  <c r="Z8" i="43"/>
  <c r="Z41" i="43"/>
  <c r="Y8" i="43"/>
  <c r="Y41" i="43"/>
  <c r="X8" i="43"/>
  <c r="X41" i="43"/>
  <c r="W8" i="43"/>
  <c r="W41" i="43"/>
  <c r="V8" i="43"/>
  <c r="V41" i="43"/>
  <c r="U8" i="43"/>
  <c r="U41" i="43"/>
  <c r="T8" i="43"/>
  <c r="T41" i="43"/>
  <c r="S8" i="43"/>
  <c r="S41" i="43"/>
  <c r="R8" i="43"/>
  <c r="R41" i="43"/>
  <c r="Q8" i="43"/>
  <c r="Q41" i="43"/>
  <c r="P8" i="43"/>
  <c r="P41" i="43"/>
  <c r="O8" i="43"/>
  <c r="O41" i="43"/>
  <c r="N8" i="43"/>
  <c r="N41" i="43"/>
  <c r="M8" i="43"/>
  <c r="M41" i="43"/>
  <c r="L8" i="43"/>
  <c r="L41" i="43"/>
  <c r="K8" i="43"/>
  <c r="K41" i="43"/>
  <c r="J8" i="43"/>
  <c r="J41" i="43"/>
  <c r="I8" i="43"/>
  <c r="I41" i="43"/>
  <c r="H8" i="43"/>
  <c r="H41" i="43"/>
  <c r="G8" i="43"/>
  <c r="G41" i="43"/>
  <c r="F8" i="43"/>
  <c r="F41" i="43"/>
  <c r="E8" i="43"/>
  <c r="E41" i="43"/>
  <c r="D8" i="43"/>
  <c r="D41" i="43"/>
  <c r="C8" i="43"/>
  <c r="C41" i="43"/>
  <c r="AB4" i="43"/>
  <c r="AB40" i="43"/>
  <c r="AA4" i="43"/>
  <c r="AA40" i="43"/>
  <c r="Z4" i="43"/>
  <c r="Z40" i="43"/>
  <c r="Y4" i="43"/>
  <c r="Y40" i="43"/>
  <c r="X4" i="43"/>
  <c r="X40" i="43"/>
  <c r="W4" i="43"/>
  <c r="W40" i="43"/>
  <c r="V4" i="43"/>
  <c r="V40" i="43"/>
  <c r="U4" i="43"/>
  <c r="U40" i="43"/>
  <c r="T4" i="43"/>
  <c r="T40" i="43"/>
  <c r="S4" i="43"/>
  <c r="S40" i="43"/>
  <c r="R4" i="43"/>
  <c r="R40" i="43"/>
  <c r="Q4" i="43"/>
  <c r="Q40" i="43"/>
  <c r="P4" i="43"/>
  <c r="P40" i="43"/>
  <c r="O4" i="43"/>
  <c r="O40" i="43"/>
  <c r="N4" i="43"/>
  <c r="N40" i="43"/>
  <c r="M4" i="43"/>
  <c r="M40" i="43"/>
  <c r="L4" i="43"/>
  <c r="L40" i="43"/>
  <c r="K4" i="43"/>
  <c r="K40" i="43"/>
  <c r="J4" i="43"/>
  <c r="J40" i="43"/>
  <c r="I4" i="43"/>
  <c r="I40" i="43"/>
  <c r="H4" i="43"/>
  <c r="H40" i="43"/>
  <c r="G4" i="43"/>
  <c r="G40" i="43"/>
  <c r="F4" i="43"/>
  <c r="F40" i="43"/>
  <c r="E4" i="43"/>
  <c r="E40" i="43"/>
  <c r="D4" i="43"/>
  <c r="D40" i="43"/>
  <c r="C4" i="43"/>
  <c r="C40" i="43"/>
  <c r="AB11" i="43"/>
  <c r="AB39" i="43"/>
  <c r="AA11" i="43"/>
  <c r="AA39" i="43"/>
  <c r="Z11" i="43"/>
  <c r="Z39" i="43"/>
  <c r="Y11" i="43"/>
  <c r="Y39" i="43"/>
  <c r="X11" i="43"/>
  <c r="X39" i="43"/>
  <c r="W11" i="43"/>
  <c r="W39" i="43"/>
  <c r="V11" i="43"/>
  <c r="V39" i="43"/>
  <c r="U11" i="43"/>
  <c r="U39" i="43"/>
  <c r="T11" i="43"/>
  <c r="T39" i="43"/>
  <c r="S11" i="43"/>
  <c r="S39" i="43"/>
  <c r="R11" i="43"/>
  <c r="R39" i="43"/>
  <c r="Q11" i="43"/>
  <c r="Q39" i="43"/>
  <c r="P11" i="43"/>
  <c r="P39" i="43"/>
  <c r="O11" i="43"/>
  <c r="O39" i="43"/>
  <c r="N11" i="43"/>
  <c r="N39" i="43"/>
  <c r="M11" i="43"/>
  <c r="M39" i="43"/>
  <c r="L11" i="43"/>
  <c r="L39" i="43"/>
  <c r="K11" i="43"/>
  <c r="K39" i="43"/>
  <c r="J11" i="43"/>
  <c r="J39" i="43"/>
  <c r="I11" i="43"/>
  <c r="I39" i="43"/>
  <c r="H11" i="43"/>
  <c r="H39" i="43"/>
  <c r="G11" i="43"/>
  <c r="G39" i="43"/>
  <c r="F11" i="43"/>
  <c r="F39" i="43"/>
  <c r="E11" i="43"/>
  <c r="E39" i="43"/>
  <c r="D11" i="43"/>
  <c r="D39" i="43"/>
  <c r="C11" i="43"/>
  <c r="C39" i="43"/>
  <c r="AB2" i="43"/>
  <c r="AB38" i="43"/>
  <c r="AA2" i="43"/>
  <c r="AA38" i="43"/>
  <c r="Z2" i="43"/>
  <c r="Z38" i="43"/>
  <c r="Y2" i="43"/>
  <c r="Y38" i="43"/>
  <c r="X2" i="43"/>
  <c r="X38" i="43"/>
  <c r="W2" i="43"/>
  <c r="W38" i="43"/>
  <c r="V2" i="43"/>
  <c r="V38" i="43"/>
  <c r="U2" i="43"/>
  <c r="U38" i="43"/>
  <c r="T2" i="43"/>
  <c r="T38" i="43"/>
  <c r="S2" i="43"/>
  <c r="S38" i="43"/>
  <c r="R2" i="43"/>
  <c r="R38" i="43"/>
  <c r="Q2" i="43"/>
  <c r="Q38" i="43"/>
  <c r="P2" i="43"/>
  <c r="P38" i="43"/>
  <c r="O2" i="43"/>
  <c r="O38" i="43"/>
  <c r="N2" i="43"/>
  <c r="N38" i="43"/>
  <c r="M2" i="43"/>
  <c r="M38" i="43"/>
  <c r="L2" i="43"/>
  <c r="L38" i="43"/>
  <c r="K2" i="43"/>
  <c r="K38" i="43"/>
  <c r="J2" i="43"/>
  <c r="J38" i="43"/>
  <c r="I2" i="43"/>
  <c r="I38" i="43"/>
  <c r="H2" i="43"/>
  <c r="H38" i="43"/>
  <c r="G2" i="43"/>
  <c r="G38" i="43"/>
  <c r="F2" i="43"/>
  <c r="F38" i="43"/>
  <c r="E2" i="43"/>
  <c r="E38" i="43"/>
  <c r="D2" i="43"/>
  <c r="D38" i="43"/>
  <c r="C2" i="43"/>
  <c r="C38" i="43"/>
  <c r="AB22" i="43"/>
  <c r="AB37" i="43"/>
  <c r="AA22" i="43"/>
  <c r="AA37" i="43"/>
  <c r="Z22" i="43"/>
  <c r="Z37" i="43"/>
  <c r="Y22" i="43"/>
  <c r="Y37" i="43"/>
  <c r="X22" i="43"/>
  <c r="X37" i="43"/>
  <c r="W22" i="43"/>
  <c r="W37" i="43"/>
  <c r="V22" i="43"/>
  <c r="V37" i="43"/>
  <c r="U22" i="43"/>
  <c r="U37" i="43"/>
  <c r="T22" i="43"/>
  <c r="T37" i="43"/>
  <c r="S22" i="43"/>
  <c r="S37" i="43"/>
  <c r="R22" i="43"/>
  <c r="R37" i="43"/>
  <c r="Q22" i="43"/>
  <c r="Q37" i="43"/>
  <c r="P22" i="43"/>
  <c r="P37" i="43"/>
  <c r="O22" i="43"/>
  <c r="O37" i="43"/>
  <c r="N22" i="43"/>
  <c r="N37" i="43"/>
  <c r="M22" i="43"/>
  <c r="M37" i="43"/>
  <c r="L22" i="43"/>
  <c r="L37" i="43"/>
  <c r="K22" i="43"/>
  <c r="K37" i="43"/>
  <c r="J22" i="43"/>
  <c r="J37" i="43"/>
  <c r="I22" i="43"/>
  <c r="I37" i="43"/>
  <c r="H22" i="43"/>
  <c r="H37" i="43"/>
  <c r="G22" i="43"/>
  <c r="G37" i="43"/>
  <c r="F22" i="43"/>
  <c r="F37" i="43"/>
  <c r="E22" i="43"/>
  <c r="E37" i="43"/>
  <c r="D22" i="43"/>
  <c r="D37" i="43"/>
  <c r="C22" i="43"/>
  <c r="C37" i="43"/>
  <c r="AB26" i="43"/>
  <c r="AB36" i="43"/>
  <c r="AA26" i="43"/>
  <c r="AA36" i="43"/>
  <c r="Z26" i="43"/>
  <c r="Z36" i="43"/>
  <c r="Y26" i="43"/>
  <c r="Y36" i="43"/>
  <c r="X26" i="43"/>
  <c r="X36" i="43"/>
  <c r="W26" i="43"/>
  <c r="W36" i="43"/>
  <c r="V26" i="43"/>
  <c r="V36" i="43"/>
  <c r="U26" i="43"/>
  <c r="U36" i="43"/>
  <c r="T26" i="43"/>
  <c r="T36" i="43"/>
  <c r="S26" i="43"/>
  <c r="S36" i="43"/>
  <c r="R26" i="43"/>
  <c r="R36" i="43"/>
  <c r="Q26" i="43"/>
  <c r="Q36" i="43"/>
  <c r="P26" i="43"/>
  <c r="P36" i="43"/>
  <c r="O26" i="43"/>
  <c r="O36" i="43"/>
  <c r="N26" i="43"/>
  <c r="N36" i="43"/>
  <c r="M26" i="43"/>
  <c r="M36" i="43"/>
  <c r="L26" i="43"/>
  <c r="L36" i="43"/>
  <c r="K26" i="43"/>
  <c r="K36" i="43"/>
  <c r="J26" i="43"/>
  <c r="J36" i="43"/>
  <c r="I26" i="43"/>
  <c r="I36" i="43"/>
  <c r="H26" i="43"/>
  <c r="H36" i="43"/>
  <c r="G26" i="43"/>
  <c r="G36" i="43"/>
  <c r="F26" i="43"/>
  <c r="F36" i="43"/>
  <c r="E26" i="43"/>
  <c r="E36" i="43"/>
  <c r="D26" i="43"/>
  <c r="D36" i="43"/>
  <c r="C26" i="43"/>
  <c r="C36" i="43"/>
  <c r="AB30" i="43"/>
  <c r="AB35" i="43"/>
  <c r="AA30" i="43"/>
  <c r="AA35" i="43"/>
  <c r="Z30" i="43"/>
  <c r="Z35" i="43"/>
  <c r="Y30" i="43"/>
  <c r="Y35" i="43"/>
  <c r="X30" i="43"/>
  <c r="X35" i="43"/>
  <c r="W30" i="43"/>
  <c r="W35" i="43"/>
  <c r="V30" i="43"/>
  <c r="V35" i="43"/>
  <c r="U30" i="43"/>
  <c r="U35" i="43"/>
  <c r="T30" i="43"/>
  <c r="T35" i="43"/>
  <c r="S30" i="43"/>
  <c r="S35" i="43"/>
  <c r="R30" i="43"/>
  <c r="R35" i="43"/>
  <c r="Q30" i="43"/>
  <c r="Q35" i="43"/>
  <c r="P30" i="43"/>
  <c r="P35" i="43"/>
  <c r="O30" i="43"/>
  <c r="O35" i="43"/>
  <c r="N30" i="43"/>
  <c r="N35" i="43"/>
  <c r="M30" i="43"/>
  <c r="M35" i="43"/>
  <c r="L30" i="43"/>
  <c r="L35" i="43"/>
  <c r="K30" i="43"/>
  <c r="K35" i="43"/>
  <c r="J30" i="43"/>
  <c r="J35" i="43"/>
  <c r="I30" i="43"/>
  <c r="I35" i="43"/>
  <c r="H30" i="43"/>
  <c r="H35" i="43"/>
  <c r="G30" i="43"/>
  <c r="G35" i="43"/>
  <c r="F30" i="43"/>
  <c r="F35" i="43"/>
  <c r="E30" i="43"/>
  <c r="E35" i="43"/>
  <c r="D30" i="43"/>
  <c r="D35" i="43"/>
  <c r="C30" i="43"/>
  <c r="C35" i="43"/>
  <c r="AB14" i="43"/>
  <c r="AB34" i="43"/>
  <c r="AA14" i="43"/>
  <c r="AA34" i="43"/>
  <c r="Z14" i="43"/>
  <c r="Z34" i="43"/>
  <c r="Y14" i="43"/>
  <c r="Y34" i="43"/>
  <c r="X14" i="43"/>
  <c r="X34" i="43"/>
  <c r="W14" i="43"/>
  <c r="W34" i="43"/>
  <c r="V14" i="43"/>
  <c r="V34" i="43"/>
  <c r="U14" i="43"/>
  <c r="U34" i="43"/>
  <c r="T14" i="43"/>
  <c r="T34" i="43"/>
  <c r="S14" i="43"/>
  <c r="S34" i="43"/>
  <c r="R14" i="43"/>
  <c r="R34" i="43"/>
  <c r="Q14" i="43"/>
  <c r="Q34" i="43"/>
  <c r="P14" i="43"/>
  <c r="P34" i="43"/>
  <c r="O14" i="43"/>
  <c r="O34" i="43"/>
  <c r="N14" i="43"/>
  <c r="N34" i="43"/>
  <c r="M14" i="43"/>
  <c r="M34" i="43"/>
  <c r="L14" i="43"/>
  <c r="L34" i="43"/>
  <c r="K14" i="43"/>
  <c r="K34" i="43"/>
  <c r="J14" i="43"/>
  <c r="J34" i="43"/>
  <c r="I14" i="43"/>
  <c r="I34" i="43"/>
  <c r="H14" i="43"/>
  <c r="H34" i="43"/>
  <c r="G14" i="43"/>
  <c r="G34" i="43"/>
  <c r="F14" i="43"/>
  <c r="F34" i="43"/>
  <c r="E14" i="43"/>
  <c r="E34" i="43"/>
  <c r="D14" i="43"/>
  <c r="D34" i="43"/>
  <c r="C14" i="43"/>
  <c r="C34" i="43"/>
  <c r="AB13" i="43"/>
  <c r="AB33" i="43"/>
  <c r="AA13" i="43"/>
  <c r="AA33" i="43"/>
  <c r="Z13" i="43"/>
  <c r="Z33" i="43"/>
  <c r="Y13" i="43"/>
  <c r="Y33" i="43"/>
  <c r="X13" i="43"/>
  <c r="X33" i="43"/>
  <c r="W13" i="43"/>
  <c r="W33" i="43"/>
  <c r="V13" i="43"/>
  <c r="V33" i="43"/>
  <c r="U13" i="43"/>
  <c r="U33" i="43"/>
  <c r="T13" i="43"/>
  <c r="T33" i="43"/>
  <c r="S13" i="43"/>
  <c r="S33" i="43"/>
  <c r="R13" i="43"/>
  <c r="R33" i="43"/>
  <c r="Q13" i="43"/>
  <c r="Q33" i="43"/>
  <c r="P13" i="43"/>
  <c r="P33" i="43"/>
  <c r="O13" i="43"/>
  <c r="O33" i="43"/>
  <c r="N13" i="43"/>
  <c r="N33" i="43"/>
  <c r="M13" i="43"/>
  <c r="M33" i="43"/>
  <c r="L13" i="43"/>
  <c r="L33" i="43"/>
  <c r="K13" i="43"/>
  <c r="K33" i="43"/>
  <c r="J13" i="43"/>
  <c r="J33" i="43"/>
  <c r="I13" i="43"/>
  <c r="I33" i="43"/>
  <c r="H13" i="43"/>
  <c r="H33" i="43"/>
  <c r="G13" i="43"/>
  <c r="G33" i="43"/>
  <c r="F13" i="43"/>
  <c r="F33" i="43"/>
  <c r="E13" i="43"/>
  <c r="E33" i="43"/>
  <c r="D13" i="43"/>
  <c r="D33" i="43"/>
  <c r="C13" i="43"/>
  <c r="C33" i="43"/>
  <c r="AB3" i="43"/>
  <c r="AB32" i="43"/>
  <c r="AA3" i="43"/>
  <c r="AA32" i="43"/>
  <c r="Z3" i="43"/>
  <c r="Z32" i="43"/>
  <c r="Y3" i="43"/>
  <c r="Y32" i="43"/>
  <c r="X3" i="43"/>
  <c r="X32" i="43"/>
  <c r="W3" i="43"/>
  <c r="W32" i="43"/>
  <c r="V3" i="43"/>
  <c r="V32" i="43"/>
  <c r="U3" i="43"/>
  <c r="U32" i="43"/>
  <c r="T3" i="43"/>
  <c r="T32" i="43"/>
  <c r="S3" i="43"/>
  <c r="S32" i="43"/>
  <c r="R3" i="43"/>
  <c r="R32" i="43"/>
  <c r="Q3" i="43"/>
  <c r="Q32" i="43"/>
  <c r="P3" i="43"/>
  <c r="P32" i="43"/>
  <c r="O3" i="43"/>
  <c r="O32" i="43"/>
  <c r="N3" i="43"/>
  <c r="N32" i="43"/>
  <c r="M3" i="43"/>
  <c r="M32" i="43"/>
  <c r="L3" i="43"/>
  <c r="L32" i="43"/>
  <c r="K3" i="43"/>
  <c r="K32" i="43"/>
  <c r="J3" i="43"/>
  <c r="J32" i="43"/>
  <c r="I3" i="43"/>
  <c r="I32" i="43"/>
  <c r="H3" i="43"/>
  <c r="H32" i="43"/>
  <c r="G3" i="43"/>
  <c r="G32" i="43"/>
  <c r="F3" i="43"/>
  <c r="F32" i="43"/>
  <c r="E3" i="43"/>
  <c r="E32" i="43"/>
  <c r="D3" i="43"/>
  <c r="D32" i="43"/>
  <c r="C3" i="43"/>
  <c r="C32" i="43"/>
  <c r="AB31" i="43"/>
  <c r="AA31" i="43"/>
  <c r="Z31" i="43"/>
  <c r="Y31" i="43"/>
  <c r="X31" i="43"/>
  <c r="W31" i="43"/>
  <c r="V31" i="43"/>
  <c r="U31" i="43"/>
  <c r="T31" i="43"/>
  <c r="S31" i="43"/>
  <c r="R31" i="43"/>
  <c r="Q31" i="43"/>
  <c r="P31" i="43"/>
  <c r="O31" i="43"/>
  <c r="N31" i="43"/>
  <c r="M31" i="43"/>
  <c r="L31" i="43"/>
  <c r="K31" i="43"/>
  <c r="J31" i="43"/>
  <c r="I31" i="43"/>
  <c r="H31" i="43"/>
  <c r="G31" i="43"/>
  <c r="F31" i="43"/>
  <c r="E31" i="43"/>
  <c r="D31" i="43"/>
  <c r="C31" i="43"/>
  <c r="AY38" i="5"/>
  <c r="AE72" i="5"/>
  <c r="AI72" i="5"/>
  <c r="AE61" i="5"/>
  <c r="AI61" i="5"/>
  <c r="AE38" i="5"/>
  <c r="AI2" i="5"/>
  <c r="AI38" i="5"/>
  <c r="AE32" i="5"/>
  <c r="AI3" i="5"/>
  <c r="AI32" i="5"/>
  <c r="AC75" i="5"/>
  <c r="AA75" i="5"/>
  <c r="AC73" i="5"/>
  <c r="AA73" i="5"/>
  <c r="AA67" i="5"/>
  <c r="AA65" i="5"/>
  <c r="AA64" i="5"/>
  <c r="AA61" i="5"/>
  <c r="AA60" i="5"/>
  <c r="AA59" i="5"/>
  <c r="AC56" i="5"/>
  <c r="AA56" i="5"/>
  <c r="AA55" i="5"/>
  <c r="AA54" i="5"/>
  <c r="AA52" i="5"/>
  <c r="AA51" i="5"/>
  <c r="AA46" i="5"/>
  <c r="AA42" i="5"/>
  <c r="AC40" i="5"/>
  <c r="AA40" i="5"/>
  <c r="AA36" i="5"/>
  <c r="AA34" i="5"/>
  <c r="AC32" i="5"/>
  <c r="H27" i="5"/>
  <c r="H62" i="5"/>
  <c r="H12" i="5"/>
  <c r="H74" i="5"/>
  <c r="F74" i="5"/>
  <c r="M74" i="5"/>
  <c r="E73" i="5"/>
  <c r="L7" i="5"/>
  <c r="L73" i="5"/>
  <c r="H29" i="5"/>
  <c r="E71" i="5"/>
  <c r="L71" i="5"/>
  <c r="F70" i="5"/>
  <c r="M70" i="5"/>
  <c r="H9" i="5"/>
  <c r="H68" i="5"/>
  <c r="D68" i="5"/>
  <c r="K9" i="5"/>
  <c r="K68" i="5"/>
  <c r="D66" i="5"/>
  <c r="K17" i="5"/>
  <c r="K66" i="5"/>
  <c r="H21" i="5"/>
  <c r="D61" i="5"/>
  <c r="K18" i="5"/>
  <c r="K61" i="5"/>
  <c r="D57" i="5"/>
  <c r="K57" i="5"/>
  <c r="D56" i="5"/>
  <c r="K56" i="5"/>
  <c r="D54" i="5"/>
  <c r="K54" i="5"/>
  <c r="F52" i="5"/>
  <c r="M52" i="5"/>
  <c r="D52" i="5"/>
  <c r="K52" i="5"/>
  <c r="D51" i="5"/>
  <c r="K51" i="5"/>
  <c r="E46" i="5"/>
  <c r="L10" i="5"/>
  <c r="L46" i="5"/>
  <c r="H15" i="5"/>
  <c r="H44" i="5"/>
  <c r="H28" i="5"/>
  <c r="H43" i="5"/>
  <c r="H19" i="5"/>
  <c r="H42" i="5"/>
  <c r="H8" i="5"/>
  <c r="H41" i="5"/>
  <c r="H4" i="5"/>
  <c r="H40" i="5"/>
  <c r="H11" i="5"/>
  <c r="H39" i="5"/>
  <c r="H2" i="5"/>
  <c r="H38" i="5"/>
  <c r="H22" i="5"/>
  <c r="H37" i="5"/>
  <c r="H26" i="5"/>
  <c r="H36" i="5"/>
  <c r="H30" i="5"/>
  <c r="H35" i="5"/>
  <c r="E34" i="5"/>
  <c r="L14" i="5"/>
  <c r="L34" i="5"/>
  <c r="H13" i="5"/>
  <c r="H33" i="5"/>
  <c r="F33" i="5"/>
  <c r="M33" i="5"/>
  <c r="H3" i="5"/>
  <c r="H32" i="5"/>
  <c r="AD27" i="43"/>
  <c r="AU27" i="43"/>
  <c r="BA27" i="43"/>
  <c r="BB27" i="43"/>
  <c r="AD27" i="42"/>
  <c r="AU27" i="42"/>
  <c r="BA27" i="42"/>
  <c r="BB27" i="42"/>
  <c r="AD18" i="43"/>
  <c r="AU18" i="43"/>
  <c r="BA18" i="43"/>
  <c r="BB18" i="43"/>
  <c r="AD18" i="42"/>
  <c r="AU18" i="42"/>
  <c r="BA18" i="42"/>
  <c r="BB18" i="42"/>
  <c r="AD12" i="43"/>
  <c r="AU12" i="43"/>
  <c r="BA12" i="43"/>
  <c r="BB12" i="43"/>
  <c r="AD12" i="42"/>
  <c r="AU12" i="42"/>
  <c r="BA12" i="42"/>
  <c r="BB12" i="42"/>
  <c r="AD7" i="43"/>
  <c r="AU7" i="43"/>
  <c r="BA7" i="43"/>
  <c r="BB7" i="43"/>
  <c r="AD7" i="42"/>
  <c r="AU7" i="42"/>
  <c r="BA7" i="42"/>
  <c r="BB7" i="42"/>
  <c r="AD16" i="43"/>
  <c r="AU16" i="43"/>
  <c r="BA16" i="43"/>
  <c r="BB16" i="43"/>
  <c r="AD16" i="42"/>
  <c r="AU16" i="42"/>
  <c r="BA16" i="42"/>
  <c r="BB16" i="42"/>
  <c r="AD29" i="43"/>
  <c r="AU29" i="43"/>
  <c r="BA29" i="43"/>
  <c r="BB29" i="43"/>
  <c r="AD29" i="42"/>
  <c r="AU29" i="42"/>
  <c r="BA29" i="42"/>
  <c r="BB29" i="42"/>
  <c r="AD20" i="43"/>
  <c r="AU20" i="43"/>
  <c r="BA20" i="43"/>
  <c r="BB20" i="43"/>
  <c r="AD20" i="42"/>
  <c r="AU20" i="42"/>
  <c r="BA20" i="42"/>
  <c r="BB20" i="42"/>
  <c r="AD24" i="43"/>
  <c r="AU24" i="43"/>
  <c r="BA24" i="43"/>
  <c r="BB24" i="43"/>
  <c r="AD24" i="42"/>
  <c r="AU24" i="42"/>
  <c r="BA24" i="42"/>
  <c r="BB24" i="42"/>
  <c r="AD9" i="43"/>
  <c r="AU9" i="43"/>
  <c r="BA9" i="43"/>
  <c r="BB9" i="43"/>
  <c r="AD9" i="42"/>
  <c r="AU9" i="42"/>
  <c r="BA9" i="42"/>
  <c r="BB9" i="42"/>
  <c r="AD5" i="43"/>
  <c r="AU5" i="43"/>
  <c r="BA5" i="43"/>
  <c r="BB5" i="43"/>
  <c r="AD5" i="42"/>
  <c r="AU5" i="42"/>
  <c r="BA5" i="42"/>
  <c r="BB5" i="42"/>
  <c r="AD17" i="43"/>
  <c r="AU17" i="43"/>
  <c r="BA17" i="43"/>
  <c r="BB17" i="43"/>
  <c r="AD17" i="42"/>
  <c r="AU17" i="42"/>
  <c r="BA17" i="42"/>
  <c r="BB17" i="42"/>
  <c r="AD21" i="43"/>
  <c r="AU21" i="43"/>
  <c r="BA21" i="43"/>
  <c r="BB21" i="43"/>
  <c r="AD21" i="42"/>
  <c r="AU21" i="42"/>
  <c r="BA21" i="42"/>
  <c r="BB21" i="42"/>
  <c r="AD25" i="43"/>
  <c r="AU25" i="43"/>
  <c r="BA25" i="43"/>
  <c r="BB25" i="43"/>
  <c r="AD25" i="42"/>
  <c r="AU25" i="42"/>
  <c r="BA25" i="42"/>
  <c r="BB25" i="42"/>
  <c r="AD23" i="43"/>
  <c r="AU23" i="43"/>
  <c r="BA23" i="43"/>
  <c r="BB23" i="43"/>
  <c r="AD23" i="42"/>
  <c r="AU23" i="42"/>
  <c r="BA23" i="42"/>
  <c r="BB23" i="42"/>
  <c r="AD10" i="43"/>
  <c r="AD6" i="43"/>
  <c r="AU10" i="43"/>
  <c r="AU6" i="43"/>
  <c r="BA10" i="43"/>
  <c r="BA6" i="43"/>
  <c r="BB10" i="43"/>
  <c r="BB6" i="43"/>
  <c r="AD6" i="42"/>
  <c r="AU6" i="42"/>
  <c r="BA6" i="42"/>
  <c r="BB6" i="42"/>
  <c r="AD15" i="43"/>
  <c r="AU15" i="43"/>
  <c r="BA15" i="43"/>
  <c r="BB15" i="43"/>
  <c r="AD10" i="42"/>
  <c r="AU10" i="42"/>
  <c r="BA10" i="42"/>
  <c r="BB10" i="42"/>
  <c r="AD15" i="42"/>
  <c r="AU15" i="42"/>
  <c r="BA15" i="42"/>
  <c r="BB15" i="42"/>
  <c r="AD28" i="43"/>
  <c r="AU28" i="43"/>
  <c r="BA28" i="43"/>
  <c r="BB28" i="43"/>
  <c r="AD28" i="42"/>
  <c r="AU28" i="42"/>
  <c r="BA28" i="42"/>
  <c r="BB28" i="42"/>
  <c r="AD19" i="43"/>
  <c r="AU19" i="43"/>
  <c r="BA19" i="43"/>
  <c r="BB19" i="43"/>
  <c r="AD19" i="42"/>
  <c r="AU19" i="42"/>
  <c r="BA19" i="42"/>
  <c r="BB19" i="42"/>
  <c r="AD8" i="43"/>
  <c r="AU8" i="43"/>
  <c r="BA8" i="43"/>
  <c r="BB8" i="43"/>
  <c r="AD8" i="42"/>
  <c r="AU8" i="42"/>
  <c r="BA8" i="42"/>
  <c r="BB8" i="42"/>
  <c r="AD4" i="43"/>
  <c r="AU4" i="43"/>
  <c r="BA4" i="43"/>
  <c r="BB4" i="43"/>
  <c r="AD4" i="42"/>
  <c r="AU4" i="42"/>
  <c r="BA4" i="42"/>
  <c r="BB4" i="42"/>
  <c r="AD11" i="43"/>
  <c r="AU11" i="43"/>
  <c r="BA11" i="43"/>
  <c r="BB11" i="43"/>
  <c r="AD11" i="42"/>
  <c r="AU11" i="42"/>
  <c r="BA11" i="42"/>
  <c r="BB11" i="42"/>
  <c r="AD2" i="43"/>
  <c r="AU2" i="43"/>
  <c r="BA2" i="43"/>
  <c r="BB2" i="43"/>
  <c r="AD2" i="42"/>
  <c r="AU2" i="42"/>
  <c r="BA2" i="42"/>
  <c r="BB2" i="42"/>
  <c r="AD22" i="43"/>
  <c r="AU22" i="43"/>
  <c r="BA22" i="43"/>
  <c r="BB22" i="43"/>
  <c r="AD22" i="42"/>
  <c r="AU22" i="42"/>
  <c r="BA22" i="42"/>
  <c r="BB22" i="42"/>
  <c r="AD26" i="43"/>
  <c r="AU26" i="43"/>
  <c r="BA26" i="43"/>
  <c r="BB26" i="43"/>
  <c r="AD26" i="42"/>
  <c r="AU26" i="42"/>
  <c r="BA26" i="42"/>
  <c r="BB26" i="42"/>
  <c r="AD30" i="43"/>
  <c r="AU30" i="43"/>
  <c r="BA30" i="43"/>
  <c r="BB30" i="43"/>
  <c r="AD30" i="42"/>
  <c r="AU30" i="42"/>
  <c r="BA30" i="42"/>
  <c r="BB30" i="42"/>
  <c r="AD14" i="43"/>
  <c r="AU14" i="43"/>
  <c r="BA14" i="43"/>
  <c r="BB14" i="43"/>
  <c r="AD14" i="42"/>
  <c r="AU14" i="42"/>
  <c r="BA14" i="42"/>
  <c r="BB14" i="42"/>
  <c r="AD13" i="43"/>
  <c r="AU13" i="43"/>
  <c r="BA13" i="43"/>
  <c r="BB13" i="43"/>
  <c r="AD13" i="42"/>
  <c r="AU13" i="42"/>
  <c r="BA13" i="42"/>
  <c r="BB13" i="42"/>
  <c r="AD3" i="43"/>
  <c r="AU3" i="43"/>
  <c r="BA3" i="43"/>
  <c r="BB3" i="43"/>
  <c r="AD3" i="42"/>
  <c r="AU3" i="42"/>
  <c r="BA3" i="42"/>
  <c r="BB3" i="42"/>
  <c r="AO7" i="37"/>
  <c r="AO9" i="37"/>
  <c r="AO21" i="37"/>
  <c r="AO2" i="37"/>
  <c r="AO22" i="37"/>
  <c r="AO26" i="37"/>
  <c r="Q7" i="37"/>
  <c r="Q16" i="37"/>
  <c r="Q23" i="37"/>
  <c r="Q8" i="37"/>
  <c r="Q22" i="37"/>
  <c r="Q30" i="37"/>
  <c r="Q14" i="37"/>
  <c r="Q3" i="37"/>
  <c r="P7" i="37"/>
  <c r="P16" i="37"/>
  <c r="P9" i="37"/>
  <c r="P23" i="37"/>
  <c r="P15" i="37"/>
  <c r="P8" i="37"/>
  <c r="P13" i="37"/>
  <c r="P3" i="37"/>
  <c r="EL7" i="18"/>
  <c r="EL17" i="18"/>
  <c r="EL21" i="18"/>
  <c r="EL25" i="18"/>
  <c r="EL23" i="18"/>
  <c r="EL15" i="18"/>
  <c r="EL8" i="18"/>
  <c r="EL22" i="18"/>
  <c r="EL30" i="18"/>
  <c r="EL14" i="18"/>
  <c r="EL13" i="18"/>
  <c r="AI7" i="5"/>
  <c r="AI21" i="5"/>
  <c r="DT27" i="18"/>
  <c r="DT18" i="18"/>
  <c r="DT16" i="18"/>
  <c r="DT20" i="18"/>
  <c r="DT17" i="18"/>
  <c r="DT6" i="18"/>
  <c r="DT10" i="18"/>
  <c r="DT19" i="18"/>
  <c r="DT8" i="18"/>
  <c r="DT2" i="18"/>
  <c r="DT22" i="18"/>
  <c r="DT26" i="18"/>
  <c r="DT30" i="18"/>
  <c r="DT14" i="18"/>
  <c r="DT3" i="18"/>
  <c r="DR18" i="18"/>
  <c r="DR7" i="18"/>
  <c r="DR16" i="18"/>
  <c r="DR23" i="18"/>
  <c r="DR10" i="18"/>
  <c r="DR8" i="18"/>
  <c r="DR2" i="18"/>
  <c r="DR22" i="18"/>
  <c r="DR3" i="18"/>
  <c r="BW7" i="18"/>
  <c r="BW16" i="18"/>
  <c r="BW9" i="18"/>
  <c r="BW21" i="18"/>
  <c r="BW25" i="18"/>
  <c r="BW10" i="18"/>
  <c r="BW15" i="18"/>
  <c r="BW8" i="18"/>
  <c r="BW2" i="18"/>
  <c r="BW22" i="18"/>
  <c r="BW26" i="18"/>
  <c r="BW30" i="18"/>
  <c r="BW14" i="18"/>
  <c r="BW13" i="18"/>
  <c r="BW3" i="18"/>
  <c r="BV18" i="18"/>
  <c r="BV7" i="18"/>
  <c r="BV17" i="18"/>
  <c r="BV23" i="18"/>
  <c r="BV10" i="18"/>
  <c r="BV15" i="18"/>
  <c r="BV8" i="18"/>
  <c r="BV2" i="18"/>
  <c r="BV22" i="18"/>
  <c r="BV26" i="18"/>
  <c r="BV30" i="18"/>
  <c r="BV14" i="18"/>
  <c r="BV13" i="18"/>
  <c r="BV3" i="18"/>
  <c r="AN18" i="18"/>
  <c r="AM18" i="18"/>
  <c r="AJ18" i="18"/>
  <c r="AI18" i="18"/>
  <c r="AH18" i="18"/>
  <c r="AG18" i="18"/>
  <c r="AO7" i="18"/>
  <c r="AM7" i="18"/>
  <c r="AL7" i="18"/>
  <c r="AK7" i="18"/>
  <c r="AJ7" i="18"/>
  <c r="AI7" i="18"/>
  <c r="AH7" i="18"/>
  <c r="AG7" i="18"/>
  <c r="AO16" i="18"/>
  <c r="AN16" i="18"/>
  <c r="AM16" i="18"/>
  <c r="AK16" i="18"/>
  <c r="AJ16" i="18"/>
  <c r="AI16" i="18"/>
  <c r="AG16" i="18"/>
  <c r="AF16" i="18"/>
  <c r="AO9" i="18"/>
  <c r="AN9" i="18"/>
  <c r="AM9" i="18"/>
  <c r="AL9" i="18"/>
  <c r="AK9" i="18"/>
  <c r="AI9" i="18"/>
  <c r="AH9" i="18"/>
  <c r="AF9" i="18"/>
  <c r="AN17" i="18"/>
  <c r="AM17" i="18"/>
  <c r="AK17" i="18"/>
  <c r="AJ17" i="18"/>
  <c r="AI17" i="18"/>
  <c r="AH17" i="18"/>
  <c r="AF17" i="18"/>
  <c r="AO23" i="18"/>
  <c r="AN23" i="18"/>
  <c r="AM23" i="18"/>
  <c r="AL23" i="18"/>
  <c r="AK23" i="18"/>
  <c r="AJ23" i="18"/>
  <c r="AH23" i="18"/>
  <c r="AG23" i="18"/>
  <c r="AO10" i="18"/>
  <c r="AN10" i="18"/>
  <c r="AM10" i="18"/>
  <c r="AL10" i="18"/>
  <c r="AK10" i="18"/>
  <c r="AJ10" i="18"/>
  <c r="AI10" i="18"/>
  <c r="AH10" i="18"/>
  <c r="AO15" i="18"/>
  <c r="AN15" i="18"/>
  <c r="AM15" i="18"/>
  <c r="AL15" i="18"/>
  <c r="AK15" i="18"/>
  <c r="AJ15" i="18"/>
  <c r="AI15" i="18"/>
  <c r="AG15" i="18"/>
  <c r="AO8" i="18"/>
  <c r="AN8" i="18"/>
  <c r="AL8" i="18"/>
  <c r="AJ8" i="18"/>
  <c r="AI8" i="18"/>
  <c r="AH8" i="18"/>
  <c r="AG8" i="18"/>
  <c r="AF8" i="18"/>
  <c r="AO2" i="18"/>
  <c r="AN2" i="18"/>
  <c r="AM2" i="18"/>
  <c r="AL2" i="18"/>
  <c r="AK2" i="18"/>
  <c r="AJ2" i="18"/>
  <c r="AH2" i="18"/>
  <c r="AG2" i="18"/>
  <c r="AN22" i="18"/>
  <c r="AM22" i="18"/>
  <c r="AL22" i="18"/>
  <c r="AK22" i="18"/>
  <c r="AI22" i="18"/>
  <c r="AH22" i="18"/>
  <c r="AG22" i="18"/>
  <c r="AF22" i="18"/>
  <c r="AO26" i="18"/>
  <c r="AN26" i="18"/>
  <c r="AM26" i="18"/>
  <c r="AL26" i="18"/>
  <c r="AJ26" i="18"/>
  <c r="AI26" i="18"/>
  <c r="AH26" i="18"/>
  <c r="AF26" i="18"/>
  <c r="AN30" i="18"/>
  <c r="AM30" i="18"/>
  <c r="AL30" i="18"/>
  <c r="AK30" i="18"/>
  <c r="AH30" i="18"/>
  <c r="AF30" i="18"/>
  <c r="AM14" i="18"/>
  <c r="AL14" i="18"/>
  <c r="AK14" i="18"/>
  <c r="AJ14" i="18"/>
  <c r="AI14" i="18"/>
  <c r="AH14" i="18"/>
  <c r="AG14" i="18"/>
  <c r="AO13" i="18"/>
  <c r="AN13" i="18"/>
  <c r="AM13" i="18"/>
  <c r="AL13" i="18"/>
  <c r="AK13" i="18"/>
  <c r="AJ13" i="18"/>
  <c r="AI13" i="18"/>
  <c r="AG13" i="18"/>
  <c r="AF13" i="18"/>
  <c r="AO3" i="18"/>
  <c r="AN3" i="18"/>
  <c r="AM3" i="18"/>
  <c r="AL3" i="18"/>
  <c r="AK3" i="18"/>
  <c r="AI3" i="18"/>
  <c r="AH3" i="18"/>
  <c r="AG3" i="18"/>
  <c r="AF3" i="18"/>
  <c r="AE18" i="18"/>
  <c r="AE7" i="18"/>
  <c r="AE16" i="18"/>
  <c r="AE9" i="18"/>
  <c r="AE17" i="18"/>
  <c r="AE23" i="18"/>
  <c r="AE10" i="18"/>
  <c r="AE2" i="18"/>
  <c r="AE26" i="18"/>
  <c r="AE30" i="18"/>
  <c r="AE14" i="18"/>
  <c r="AE13" i="18"/>
  <c r="AE3" i="18"/>
  <c r="AT27" i="5"/>
  <c r="AT12" i="5"/>
  <c r="AT16" i="5"/>
  <c r="AT29" i="5"/>
  <c r="AT20" i="5"/>
  <c r="AT24" i="5"/>
  <c r="AT9" i="5"/>
  <c r="AT5" i="5"/>
  <c r="AT17" i="5"/>
  <c r="AT25" i="5"/>
  <c r="AT10" i="5"/>
  <c r="AT13" i="5"/>
  <c r="AR18" i="5"/>
  <c r="AR7" i="5"/>
  <c r="AR16" i="5"/>
  <c r="AR23" i="5"/>
  <c r="AR15" i="5"/>
  <c r="AR8" i="5"/>
  <c r="AR2" i="5"/>
  <c r="AR26" i="5"/>
  <c r="AR30" i="5"/>
  <c r="AR14" i="5"/>
  <c r="AR3" i="5"/>
  <c r="AD3" i="31"/>
  <c r="AC3" i="31"/>
  <c r="AU3" i="5"/>
  <c r="AU3" i="31"/>
  <c r="BA3" i="31"/>
  <c r="BB3" i="31"/>
  <c r="AD13" i="31"/>
  <c r="AU13" i="31"/>
  <c r="BA13" i="31"/>
  <c r="BB13" i="31"/>
  <c r="AD14" i="31"/>
  <c r="AU14" i="31"/>
  <c r="BA14" i="31"/>
  <c r="BB14" i="31"/>
  <c r="AD30" i="31"/>
  <c r="AU30" i="31"/>
  <c r="BA30" i="31"/>
  <c r="BB30" i="31"/>
  <c r="AD26" i="31"/>
  <c r="AU26" i="31"/>
  <c r="AC26" i="31"/>
  <c r="AU26" i="5"/>
  <c r="BA26" i="31"/>
  <c r="BB26" i="31"/>
  <c r="AD22" i="31"/>
  <c r="AU22" i="31"/>
  <c r="BA22" i="31"/>
  <c r="BB22" i="31"/>
  <c r="AD2" i="31"/>
  <c r="AC2" i="31"/>
  <c r="AU2" i="5"/>
  <c r="AU2" i="31"/>
  <c r="BA2" i="31"/>
  <c r="BB2" i="31"/>
  <c r="AD8" i="31"/>
  <c r="AU8" i="31"/>
  <c r="BA8" i="31"/>
  <c r="BB8" i="31"/>
  <c r="AD15" i="31"/>
  <c r="AC15" i="31"/>
  <c r="AU15" i="5"/>
  <c r="AU15" i="31"/>
  <c r="BA15" i="31"/>
  <c r="BB15" i="31"/>
  <c r="AD10" i="31"/>
  <c r="AU10" i="31"/>
  <c r="BA10" i="31"/>
  <c r="BB10" i="31"/>
  <c r="AD23" i="31"/>
  <c r="AU23" i="31"/>
  <c r="BA23" i="31"/>
  <c r="BB23" i="31"/>
  <c r="AD17" i="31"/>
  <c r="AU17" i="31"/>
  <c r="BA17" i="31"/>
  <c r="BB17" i="31"/>
  <c r="AD9" i="31"/>
  <c r="AU9" i="31"/>
  <c r="BA9" i="31"/>
  <c r="BB9" i="31"/>
  <c r="AD16" i="31"/>
  <c r="AU16" i="31"/>
  <c r="BA16" i="31"/>
  <c r="BB16" i="31"/>
  <c r="AD7" i="31"/>
  <c r="AC7" i="31"/>
  <c r="AU7" i="5"/>
  <c r="AU7" i="31"/>
  <c r="BA7" i="31"/>
  <c r="BB7" i="31"/>
  <c r="AD18" i="31"/>
  <c r="AU18" i="31"/>
  <c r="AC18" i="31"/>
  <c r="AU18" i="5"/>
  <c r="BA18" i="31"/>
  <c r="BB18" i="31"/>
  <c r="BD27" i="41"/>
  <c r="BU27" i="41"/>
  <c r="CA27" i="41"/>
  <c r="CB27" i="41"/>
  <c r="BD18" i="41"/>
  <c r="BU18" i="41"/>
  <c r="CA18" i="41"/>
  <c r="CB18" i="41"/>
  <c r="BD12" i="41"/>
  <c r="BU12" i="41"/>
  <c r="CA12" i="41"/>
  <c r="CB12" i="41"/>
  <c r="BD7" i="41"/>
  <c r="BU7" i="41"/>
  <c r="CA7" i="41"/>
  <c r="CB7" i="41"/>
  <c r="BD16" i="41"/>
  <c r="BU16" i="41"/>
  <c r="CA16" i="41"/>
  <c r="CB16" i="41"/>
  <c r="BD29" i="41"/>
  <c r="BU29" i="41"/>
  <c r="CA29" i="41"/>
  <c r="CB29" i="41"/>
  <c r="BD20" i="41"/>
  <c r="BU20" i="41"/>
  <c r="CA20" i="41"/>
  <c r="CB20" i="41"/>
  <c r="BD24" i="41"/>
  <c r="BU24" i="41"/>
  <c r="CA24" i="41"/>
  <c r="CB24" i="41"/>
  <c r="BD9" i="41"/>
  <c r="BU9" i="41"/>
  <c r="CA9" i="41"/>
  <c r="CB9" i="41"/>
  <c r="BD5" i="41"/>
  <c r="BU5" i="41"/>
  <c r="CA5" i="41"/>
  <c r="CB5" i="41"/>
  <c r="BD17" i="41"/>
  <c r="BU17" i="41"/>
  <c r="CA17" i="41"/>
  <c r="CB17" i="41"/>
  <c r="BD21" i="41"/>
  <c r="BU21" i="41"/>
  <c r="CA21" i="41"/>
  <c r="CB21" i="41"/>
  <c r="BD25" i="41"/>
  <c r="BU25" i="41"/>
  <c r="CA25" i="41"/>
  <c r="CB25" i="41"/>
  <c r="BD23" i="41"/>
  <c r="BU23" i="41"/>
  <c r="CA23" i="41"/>
  <c r="CB23" i="41"/>
  <c r="BD6" i="41"/>
  <c r="BU6" i="41"/>
  <c r="CA6" i="41"/>
  <c r="CB6" i="41"/>
  <c r="BD10" i="41"/>
  <c r="BU10" i="41"/>
  <c r="CA10" i="41"/>
  <c r="CB10" i="41"/>
  <c r="BD15" i="41"/>
  <c r="BU15" i="41"/>
  <c r="CA15" i="41"/>
  <c r="CB15" i="41"/>
  <c r="BD28" i="41"/>
  <c r="BU28" i="41"/>
  <c r="CA28" i="41"/>
  <c r="CB28" i="41"/>
  <c r="BD19" i="41"/>
  <c r="BU19" i="41"/>
  <c r="CA19" i="41"/>
  <c r="CB19" i="41"/>
  <c r="BD8" i="41"/>
  <c r="BU8" i="41"/>
  <c r="CA8" i="41"/>
  <c r="CB8" i="41"/>
  <c r="BD4" i="41"/>
  <c r="BU4" i="41"/>
  <c r="CA4" i="41"/>
  <c r="CB4" i="41"/>
  <c r="BD11" i="41"/>
  <c r="BU11" i="41"/>
  <c r="CA11" i="41"/>
  <c r="CB11" i="41"/>
  <c r="BD2" i="41"/>
  <c r="BU2" i="41"/>
  <c r="CA2" i="41"/>
  <c r="CB2" i="41"/>
  <c r="BD22" i="41"/>
  <c r="BU22" i="41"/>
  <c r="CA22" i="41"/>
  <c r="CB22" i="41"/>
  <c r="BD26" i="41"/>
  <c r="BU26" i="41"/>
  <c r="CA26" i="41"/>
  <c r="CB26" i="41"/>
  <c r="BD30" i="41"/>
  <c r="BU30" i="41"/>
  <c r="CA30" i="41"/>
  <c r="CB30" i="41"/>
  <c r="BD14" i="41"/>
  <c r="BU14" i="41"/>
  <c r="CA14" i="41"/>
  <c r="CB14" i="41"/>
  <c r="BD13" i="41"/>
  <c r="BU13" i="41"/>
  <c r="CA13" i="41"/>
  <c r="CB13" i="41"/>
  <c r="BD3" i="41"/>
  <c r="BU3" i="41"/>
  <c r="CA3" i="41"/>
  <c r="CB3" i="41"/>
  <c r="CD27" i="42"/>
  <c r="CU27" i="42"/>
  <c r="DA27" i="42"/>
  <c r="DB27" i="42"/>
  <c r="CD18" i="42"/>
  <c r="CU18" i="42"/>
  <c r="DA18" i="42"/>
  <c r="DB18" i="42"/>
  <c r="CD12" i="42"/>
  <c r="CU12" i="42"/>
  <c r="DA12" i="42"/>
  <c r="DB12" i="42"/>
  <c r="CD7" i="42"/>
  <c r="CU7" i="42"/>
  <c r="DA7" i="42"/>
  <c r="DB7" i="42"/>
  <c r="CD16" i="42"/>
  <c r="CU16" i="42"/>
  <c r="DA16" i="42"/>
  <c r="DB16" i="42"/>
  <c r="CD29" i="42"/>
  <c r="CU29" i="42"/>
  <c r="DA29" i="42"/>
  <c r="DB29" i="42"/>
  <c r="CD20" i="42"/>
  <c r="CU20" i="42"/>
  <c r="DA20" i="42"/>
  <c r="DB20" i="42"/>
  <c r="CD24" i="42"/>
  <c r="CU24" i="42"/>
  <c r="DA24" i="42"/>
  <c r="DB24" i="42"/>
  <c r="CD9" i="42"/>
  <c r="CU9" i="42"/>
  <c r="DA9" i="42"/>
  <c r="DB9" i="42"/>
  <c r="CD5" i="42"/>
  <c r="CU5" i="42"/>
  <c r="DA5" i="42"/>
  <c r="DB5" i="42"/>
  <c r="CD17" i="42"/>
  <c r="CU17" i="42"/>
  <c r="DA17" i="42"/>
  <c r="DB17" i="42"/>
  <c r="CD21" i="42"/>
  <c r="CU21" i="42"/>
  <c r="DA21" i="42"/>
  <c r="DB21" i="42"/>
  <c r="CD25" i="42"/>
  <c r="CU25" i="42"/>
  <c r="DA25" i="42"/>
  <c r="DB25" i="42"/>
  <c r="CD23" i="42"/>
  <c r="CU23" i="42"/>
  <c r="DA23" i="42"/>
  <c r="DB23" i="42"/>
  <c r="CD6" i="42"/>
  <c r="CU6" i="42"/>
  <c r="DA6" i="42"/>
  <c r="DB6" i="42"/>
  <c r="CD10" i="42"/>
  <c r="CU10" i="42"/>
  <c r="DA10" i="42"/>
  <c r="DB10" i="42"/>
  <c r="CD15" i="42"/>
  <c r="CU15" i="42"/>
  <c r="DA15" i="42"/>
  <c r="DB15" i="42"/>
  <c r="CD28" i="42"/>
  <c r="CU28" i="42"/>
  <c r="DA28" i="42"/>
  <c r="DB28" i="42"/>
  <c r="CD19" i="42"/>
  <c r="CU19" i="42"/>
  <c r="DA19" i="42"/>
  <c r="DB19" i="42"/>
  <c r="CD8" i="42"/>
  <c r="CU8" i="42"/>
  <c r="DA8" i="42"/>
  <c r="DB8" i="42"/>
  <c r="CD4" i="42"/>
  <c r="CU4" i="42"/>
  <c r="DA4" i="42"/>
  <c r="DB4" i="42"/>
  <c r="CD11" i="42"/>
  <c r="CU11" i="42"/>
  <c r="DA11" i="42"/>
  <c r="DB11" i="42"/>
  <c r="CD2" i="42"/>
  <c r="CU2" i="42"/>
  <c r="DA2" i="42"/>
  <c r="DB2" i="42"/>
  <c r="CD22" i="42"/>
  <c r="CU22" i="42"/>
  <c r="DA22" i="42"/>
  <c r="DB22" i="42"/>
  <c r="CD26" i="42"/>
  <c r="CU26" i="42"/>
  <c r="DA26" i="42"/>
  <c r="DB26" i="42"/>
  <c r="CD30" i="42"/>
  <c r="CU30" i="42"/>
  <c r="DA30" i="42"/>
  <c r="DB30" i="42"/>
  <c r="CD14" i="42"/>
  <c r="CU14" i="42"/>
  <c r="DA14" i="42"/>
  <c r="DB14" i="42"/>
  <c r="CD13" i="42"/>
  <c r="CU13" i="42"/>
  <c r="DA13" i="42"/>
  <c r="DB13" i="42"/>
  <c r="CD3" i="42"/>
  <c r="CU3" i="42"/>
  <c r="DA3" i="42"/>
  <c r="DB3" i="42"/>
  <c r="CD27" i="43"/>
  <c r="CU27" i="43"/>
  <c r="DA27" i="43"/>
  <c r="DB27" i="43"/>
  <c r="CD18" i="43"/>
  <c r="CU18" i="43"/>
  <c r="DA18" i="43"/>
  <c r="DB18" i="43"/>
  <c r="CD12" i="43"/>
  <c r="CU12" i="43"/>
  <c r="DA12" i="43"/>
  <c r="DB12" i="43"/>
  <c r="CD7" i="43"/>
  <c r="CU7" i="43"/>
  <c r="DA7" i="43"/>
  <c r="DB7" i="43"/>
  <c r="CD16" i="43"/>
  <c r="CU16" i="43"/>
  <c r="DA16" i="43"/>
  <c r="DB16" i="43"/>
  <c r="CD29" i="43"/>
  <c r="CU29" i="43"/>
  <c r="DA29" i="43"/>
  <c r="DB29" i="43"/>
  <c r="CD20" i="43"/>
  <c r="CU20" i="43"/>
  <c r="DA20" i="43"/>
  <c r="DB20" i="43"/>
  <c r="CD24" i="43"/>
  <c r="CU24" i="43"/>
  <c r="DA24" i="43"/>
  <c r="DB24" i="43"/>
  <c r="CD9" i="43"/>
  <c r="CU9" i="43"/>
  <c r="DA9" i="43"/>
  <c r="DB9" i="43"/>
  <c r="CD5" i="43"/>
  <c r="CU5" i="43"/>
  <c r="DA5" i="43"/>
  <c r="DB5" i="43"/>
  <c r="CD17" i="43"/>
  <c r="CU17" i="43"/>
  <c r="DA17" i="43"/>
  <c r="DB17" i="43"/>
  <c r="CD21" i="43"/>
  <c r="CU21" i="43"/>
  <c r="DA21" i="43"/>
  <c r="DB21" i="43"/>
  <c r="CD25" i="43"/>
  <c r="CU25" i="43"/>
  <c r="DA25" i="43"/>
  <c r="DB25" i="43"/>
  <c r="CD23" i="43"/>
  <c r="CU23" i="43"/>
  <c r="DA23" i="43"/>
  <c r="DB23" i="43"/>
  <c r="CD6" i="43"/>
  <c r="CU6" i="43"/>
  <c r="DA6" i="43"/>
  <c r="DB6" i="43"/>
  <c r="CD10" i="43"/>
  <c r="CU10" i="43"/>
  <c r="DA10" i="43"/>
  <c r="DB10" i="43"/>
  <c r="CD15" i="43"/>
  <c r="CU15" i="43"/>
  <c r="DA15" i="43"/>
  <c r="DB15" i="43"/>
  <c r="CD28" i="43"/>
  <c r="CU28" i="43"/>
  <c r="DA28" i="43"/>
  <c r="DB28" i="43"/>
  <c r="CD19" i="43"/>
  <c r="CU19" i="43"/>
  <c r="DA19" i="43"/>
  <c r="DB19" i="43"/>
  <c r="CD8" i="43"/>
  <c r="CU8" i="43"/>
  <c r="DA8" i="43"/>
  <c r="DB8" i="43"/>
  <c r="CD4" i="43"/>
  <c r="CU4" i="43"/>
  <c r="DA4" i="43"/>
  <c r="DB4" i="43"/>
  <c r="CD11" i="43"/>
  <c r="CU11" i="43"/>
  <c r="DA11" i="43"/>
  <c r="DB11" i="43"/>
  <c r="CD2" i="43"/>
  <c r="CU2" i="43"/>
  <c r="DA2" i="43"/>
  <c r="DB2" i="43"/>
  <c r="CD22" i="43"/>
  <c r="CU22" i="43"/>
  <c r="DA22" i="43"/>
  <c r="DB22" i="43"/>
  <c r="CD26" i="43"/>
  <c r="CU26" i="43"/>
  <c r="DA26" i="43"/>
  <c r="DB26" i="43"/>
  <c r="CD30" i="43"/>
  <c r="CU30" i="43"/>
  <c r="DA30" i="43"/>
  <c r="DB30" i="43"/>
  <c r="CD14" i="43"/>
  <c r="CU14" i="43"/>
  <c r="DA14" i="43"/>
  <c r="DB14" i="43"/>
  <c r="CD13" i="43"/>
  <c r="CU13" i="43"/>
  <c r="DA13" i="43"/>
  <c r="DB13" i="43"/>
  <c r="CD3" i="43"/>
  <c r="CU3" i="43"/>
  <c r="DA3" i="43"/>
  <c r="DB3" i="43"/>
  <c r="CD18" i="31"/>
  <c r="CU18" i="31"/>
  <c r="DA18" i="31"/>
  <c r="DB18" i="31"/>
  <c r="CD7" i="31"/>
  <c r="CC7" i="31"/>
  <c r="DU7" i="18"/>
  <c r="CU7" i="31"/>
  <c r="DA7" i="31"/>
  <c r="DB7" i="31"/>
  <c r="CD16" i="31"/>
  <c r="CU16" i="31"/>
  <c r="DA16" i="31"/>
  <c r="DB16" i="31"/>
  <c r="CD9" i="31"/>
  <c r="CU9" i="31"/>
  <c r="DA9" i="31"/>
  <c r="DB9" i="31"/>
  <c r="CD17" i="31"/>
  <c r="CU17" i="31"/>
  <c r="DA17" i="31"/>
  <c r="DB17" i="31"/>
  <c r="CD23" i="31"/>
  <c r="CU23" i="31"/>
  <c r="DA23" i="31"/>
  <c r="DB23" i="31"/>
  <c r="CD10" i="31"/>
  <c r="CU10" i="31"/>
  <c r="DA10" i="31"/>
  <c r="DB10" i="31"/>
  <c r="CD15" i="31"/>
  <c r="CU15" i="31"/>
  <c r="CC15" i="31"/>
  <c r="DU15" i="18"/>
  <c r="DA15" i="31"/>
  <c r="DB15" i="31"/>
  <c r="CD8" i="31"/>
  <c r="CU8" i="31"/>
  <c r="DA8" i="31"/>
  <c r="DB8" i="31"/>
  <c r="CD2" i="31"/>
  <c r="CU2" i="31"/>
  <c r="DA2" i="31"/>
  <c r="DB2" i="31"/>
  <c r="CD22" i="31"/>
  <c r="CU22" i="31"/>
  <c r="DA22" i="31"/>
  <c r="DB22" i="31"/>
  <c r="CD26" i="31"/>
  <c r="CU26" i="31"/>
  <c r="DA26" i="31"/>
  <c r="DB26" i="31"/>
  <c r="CD30" i="31"/>
  <c r="CU30" i="31"/>
  <c r="DA30" i="31"/>
  <c r="DB30" i="31"/>
  <c r="CD14" i="31"/>
  <c r="CU14" i="31"/>
  <c r="CC14" i="31"/>
  <c r="DU14" i="18"/>
  <c r="DA14" i="31"/>
  <c r="DB14" i="31"/>
  <c r="CD13" i="31"/>
  <c r="CU13" i="31"/>
  <c r="DA13" i="31"/>
  <c r="DB13" i="31"/>
  <c r="CD3" i="31"/>
  <c r="CU3" i="31"/>
  <c r="DA3" i="31"/>
  <c r="DB3" i="31"/>
  <c r="CD18" i="30"/>
  <c r="CU18" i="30"/>
  <c r="DA18" i="30"/>
  <c r="DB18" i="30"/>
  <c r="CD7" i="30"/>
  <c r="CU7" i="30"/>
  <c r="DA7" i="30"/>
  <c r="DB7" i="30"/>
  <c r="CD16" i="30"/>
  <c r="CU16" i="30"/>
  <c r="DA16" i="30"/>
  <c r="DB16" i="30"/>
  <c r="CD9" i="30"/>
  <c r="CU9" i="30"/>
  <c r="DA9" i="30"/>
  <c r="DB9" i="30"/>
  <c r="CD17" i="30"/>
  <c r="CU17" i="30"/>
  <c r="DA17" i="30"/>
  <c r="DB17" i="30"/>
  <c r="CD23" i="30"/>
  <c r="CU23" i="30"/>
  <c r="DA23" i="30"/>
  <c r="DB23" i="30"/>
  <c r="CD10" i="30"/>
  <c r="CU10" i="30"/>
  <c r="DA10" i="30"/>
  <c r="DB10" i="30"/>
  <c r="CD15" i="30"/>
  <c r="CU15" i="30"/>
  <c r="DA15" i="30"/>
  <c r="DB15" i="30"/>
  <c r="CD8" i="30"/>
  <c r="CU8" i="30"/>
  <c r="DA8" i="30"/>
  <c r="DB8" i="30"/>
  <c r="CD2" i="30"/>
  <c r="CU2" i="30"/>
  <c r="DA2" i="30"/>
  <c r="DB2" i="30"/>
  <c r="CD22" i="30"/>
  <c r="CU22" i="30"/>
  <c r="DA22" i="30"/>
  <c r="DB22" i="30"/>
  <c r="CD26" i="30"/>
  <c r="CU26" i="30"/>
  <c r="DA26" i="30"/>
  <c r="DB26" i="30"/>
  <c r="CD30" i="30"/>
  <c r="CU30" i="30"/>
  <c r="DA30" i="30"/>
  <c r="DB30" i="30"/>
  <c r="CD14" i="30"/>
  <c r="CU14" i="30"/>
  <c r="DA14" i="30"/>
  <c r="DB14" i="30"/>
  <c r="CD13" i="30"/>
  <c r="CU13" i="30"/>
  <c r="DA13" i="30"/>
  <c r="DB13" i="30"/>
  <c r="CD3" i="30"/>
  <c r="CU3" i="30"/>
  <c r="DA3" i="30"/>
  <c r="DB3" i="30"/>
  <c r="AD18" i="30"/>
  <c r="AU18" i="30"/>
  <c r="BA18" i="30"/>
  <c r="BB18" i="30"/>
  <c r="AD7" i="30"/>
  <c r="AU7" i="30"/>
  <c r="BA7" i="30"/>
  <c r="BB7" i="30"/>
  <c r="AD16" i="30"/>
  <c r="AU16" i="30"/>
  <c r="BA16" i="30"/>
  <c r="BB16" i="30"/>
  <c r="AD9" i="30"/>
  <c r="AU9" i="30"/>
  <c r="BA9" i="30"/>
  <c r="BB9" i="30"/>
  <c r="AD17" i="30"/>
  <c r="AU17" i="30"/>
  <c r="BA17" i="30"/>
  <c r="BB17" i="30"/>
  <c r="AD23" i="30"/>
  <c r="AU23" i="30"/>
  <c r="BA23" i="30"/>
  <c r="BB23" i="30"/>
  <c r="AD10" i="30"/>
  <c r="AU10" i="30"/>
  <c r="BA10" i="30"/>
  <c r="BB10" i="30"/>
  <c r="AD15" i="30"/>
  <c r="AU15" i="30"/>
  <c r="BA15" i="30"/>
  <c r="BB15" i="30"/>
  <c r="AD8" i="30"/>
  <c r="AU8" i="30"/>
  <c r="BA8" i="30"/>
  <c r="BB8" i="30"/>
  <c r="AD2" i="30"/>
  <c r="AU2" i="30"/>
  <c r="BA2" i="30"/>
  <c r="BB2" i="30"/>
  <c r="AD22" i="30"/>
  <c r="AU22" i="30"/>
  <c r="BA22" i="30"/>
  <c r="BB22" i="30"/>
  <c r="AD26" i="30"/>
  <c r="AU26" i="30"/>
  <c r="BA26" i="30"/>
  <c r="BB26" i="30"/>
  <c r="AD30" i="30"/>
  <c r="AU30" i="30"/>
  <c r="BA30" i="30"/>
  <c r="BB30" i="30"/>
  <c r="AD14" i="30"/>
  <c r="AU14" i="30"/>
  <c r="BA14" i="30"/>
  <c r="BB14" i="30"/>
  <c r="AD13" i="30"/>
  <c r="AU13" i="30"/>
  <c r="BA13" i="30"/>
  <c r="BB13" i="30"/>
  <c r="AD3" i="30"/>
  <c r="AU3" i="30"/>
  <c r="BA3" i="30"/>
  <c r="BB3" i="30"/>
  <c r="BD17" i="29"/>
  <c r="BD9" i="29"/>
  <c r="BD16" i="29"/>
  <c r="BD7" i="29"/>
  <c r="BD18" i="29"/>
  <c r="BU17" i="29"/>
  <c r="BU9" i="29"/>
  <c r="BU16" i="29"/>
  <c r="BU7" i="29"/>
  <c r="BU18" i="29"/>
  <c r="CA17" i="29"/>
  <c r="CA9" i="29"/>
  <c r="CA16" i="29"/>
  <c r="CA7" i="29"/>
  <c r="CA18" i="29"/>
  <c r="CB17" i="29"/>
  <c r="CB9" i="29"/>
  <c r="CB16" i="29"/>
  <c r="CB7" i="29"/>
  <c r="CB18" i="29"/>
  <c r="BD23" i="29"/>
  <c r="BU23" i="29"/>
  <c r="CA23" i="29"/>
  <c r="CB23" i="29"/>
  <c r="BD10" i="29"/>
  <c r="BU10" i="29"/>
  <c r="CA10" i="29"/>
  <c r="CB10" i="29"/>
  <c r="BD3" i="29"/>
  <c r="BD13" i="29"/>
  <c r="BD14" i="29"/>
  <c r="BD30" i="29"/>
  <c r="BD26" i="29"/>
  <c r="BD22" i="29"/>
  <c r="BD2" i="29"/>
  <c r="BD8" i="29"/>
  <c r="BD15" i="29"/>
  <c r="BU3" i="29"/>
  <c r="BU13" i="29"/>
  <c r="BU14" i="29"/>
  <c r="BU30" i="29"/>
  <c r="BU26" i="29"/>
  <c r="BU22" i="29"/>
  <c r="BU2" i="29"/>
  <c r="BU8" i="29"/>
  <c r="BU15" i="29"/>
  <c r="CA3" i="29"/>
  <c r="CA13" i="29"/>
  <c r="CA14" i="29"/>
  <c r="CA30" i="29"/>
  <c r="CA26" i="29"/>
  <c r="CA22" i="29"/>
  <c r="CA2" i="29"/>
  <c r="CA8" i="29"/>
  <c r="CA15" i="29"/>
  <c r="CB3" i="29"/>
  <c r="CB13" i="29"/>
  <c r="CB14" i="29"/>
  <c r="CB30" i="29"/>
  <c r="CB26" i="29"/>
  <c r="CB22" i="29"/>
  <c r="CB2" i="29"/>
  <c r="CB8" i="29"/>
  <c r="CB15" i="29"/>
  <c r="CZ27" i="43"/>
  <c r="CY27" i="43"/>
  <c r="CX27" i="43"/>
  <c r="CW27" i="43"/>
  <c r="CV27" i="43"/>
  <c r="CT27" i="43"/>
  <c r="CS27" i="43"/>
  <c r="CR27" i="43"/>
  <c r="CQ27" i="43"/>
  <c r="CP27" i="43"/>
  <c r="CO27" i="43"/>
  <c r="CN27" i="43"/>
  <c r="CM27" i="43"/>
  <c r="CL27" i="43"/>
  <c r="CK27" i="43"/>
  <c r="CJ27" i="43"/>
  <c r="CI27" i="43"/>
  <c r="CH27" i="43"/>
  <c r="CG27" i="43"/>
  <c r="CF27" i="43"/>
  <c r="CE27" i="43"/>
  <c r="AZ27" i="43"/>
  <c r="AY27" i="43"/>
  <c r="AX27" i="43"/>
  <c r="AW27" i="43"/>
  <c r="AV27" i="43"/>
  <c r="AT27" i="43"/>
  <c r="AS27" i="43"/>
  <c r="AR27" i="43"/>
  <c r="AQ27" i="43"/>
  <c r="AP27" i="43"/>
  <c r="AO27" i="43"/>
  <c r="AN27" i="43"/>
  <c r="AM27" i="43"/>
  <c r="AL27" i="43"/>
  <c r="AK27" i="43"/>
  <c r="AJ27" i="43"/>
  <c r="AI27" i="43"/>
  <c r="AH27" i="43"/>
  <c r="AG27" i="43"/>
  <c r="AF27" i="43"/>
  <c r="AE27" i="43"/>
  <c r="CZ18" i="43"/>
  <c r="CY18" i="43"/>
  <c r="CX18" i="43"/>
  <c r="CW18" i="43"/>
  <c r="CV18" i="43"/>
  <c r="CT18" i="43"/>
  <c r="CS18" i="43"/>
  <c r="CR18" i="43"/>
  <c r="CQ18" i="43"/>
  <c r="CP18" i="43"/>
  <c r="CO18" i="43"/>
  <c r="CN18" i="43"/>
  <c r="CM18" i="43"/>
  <c r="CL18" i="43"/>
  <c r="CK18" i="43"/>
  <c r="CJ18" i="43"/>
  <c r="CI18" i="43"/>
  <c r="CH18" i="43"/>
  <c r="CG18" i="43"/>
  <c r="CF18" i="43"/>
  <c r="CE18" i="43"/>
  <c r="AZ18" i="43"/>
  <c r="AY18" i="43"/>
  <c r="AX18" i="43"/>
  <c r="AW18" i="43"/>
  <c r="AV18" i="43"/>
  <c r="AT18" i="43"/>
  <c r="AS18" i="43"/>
  <c r="AR18" i="43"/>
  <c r="AQ18" i="43"/>
  <c r="AP18" i="43"/>
  <c r="AO18" i="43"/>
  <c r="AN18" i="43"/>
  <c r="AM18" i="43"/>
  <c r="AL18" i="43"/>
  <c r="AK18" i="43"/>
  <c r="AJ18" i="43"/>
  <c r="AI18" i="43"/>
  <c r="AH18" i="43"/>
  <c r="AG18" i="43"/>
  <c r="AF18" i="43"/>
  <c r="AE18" i="43"/>
  <c r="CZ12" i="43"/>
  <c r="CY12" i="43"/>
  <c r="CX12" i="43"/>
  <c r="CW12" i="43"/>
  <c r="CV12" i="43"/>
  <c r="CT12" i="43"/>
  <c r="CS12" i="43"/>
  <c r="CR12" i="43"/>
  <c r="CQ12" i="43"/>
  <c r="CP12" i="43"/>
  <c r="CO12" i="43"/>
  <c r="CN12" i="43"/>
  <c r="CM12" i="43"/>
  <c r="CL12" i="43"/>
  <c r="CK12" i="43"/>
  <c r="CJ12" i="43"/>
  <c r="CI12" i="43"/>
  <c r="CH12" i="43"/>
  <c r="CG12" i="43"/>
  <c r="CF12" i="43"/>
  <c r="CE12" i="43"/>
  <c r="AZ12" i="43"/>
  <c r="AY12" i="43"/>
  <c r="AX12" i="43"/>
  <c r="AW12" i="43"/>
  <c r="AV12" i="43"/>
  <c r="AT12" i="43"/>
  <c r="AS12" i="43"/>
  <c r="AR12" i="43"/>
  <c r="AQ12" i="43"/>
  <c r="AP12" i="43"/>
  <c r="AO12" i="43"/>
  <c r="AN12" i="43"/>
  <c r="AM12" i="43"/>
  <c r="AL12" i="43"/>
  <c r="AK12" i="43"/>
  <c r="AJ12" i="43"/>
  <c r="AI12" i="43"/>
  <c r="AH12" i="43"/>
  <c r="AG12" i="43"/>
  <c r="AF12" i="43"/>
  <c r="AE12" i="43"/>
  <c r="CZ7" i="43"/>
  <c r="CY7" i="43"/>
  <c r="CX7" i="43"/>
  <c r="CW7" i="43"/>
  <c r="CV7" i="43"/>
  <c r="CT7" i="43"/>
  <c r="CS7" i="43"/>
  <c r="CR7" i="43"/>
  <c r="CQ7" i="43"/>
  <c r="CP7" i="43"/>
  <c r="CO7" i="43"/>
  <c r="CN7" i="43"/>
  <c r="CM7" i="43"/>
  <c r="CL7" i="43"/>
  <c r="CK7" i="43"/>
  <c r="CJ7" i="43"/>
  <c r="CI7" i="43"/>
  <c r="CH7" i="43"/>
  <c r="CG7" i="43"/>
  <c r="CF7" i="43"/>
  <c r="CE7" i="43"/>
  <c r="AZ7" i="43"/>
  <c r="AY7" i="43"/>
  <c r="AX7" i="43"/>
  <c r="AW7" i="43"/>
  <c r="AV7" i="43"/>
  <c r="AT7" i="43"/>
  <c r="AS7" i="43"/>
  <c r="AR7" i="43"/>
  <c r="AQ7" i="43"/>
  <c r="AP7" i="43"/>
  <c r="AO7" i="43"/>
  <c r="AN7" i="43"/>
  <c r="AM7" i="43"/>
  <c r="AL7" i="43"/>
  <c r="AK7" i="43"/>
  <c r="AJ7" i="43"/>
  <c r="AI7" i="43"/>
  <c r="AH7" i="43"/>
  <c r="AG7" i="43"/>
  <c r="AF7" i="43"/>
  <c r="AE7" i="43"/>
  <c r="CZ16" i="43"/>
  <c r="CY16" i="43"/>
  <c r="CX16" i="43"/>
  <c r="CW16" i="43"/>
  <c r="CV16" i="43"/>
  <c r="CT16" i="43"/>
  <c r="CS16" i="43"/>
  <c r="CR16" i="43"/>
  <c r="CQ16" i="43"/>
  <c r="CP16" i="43"/>
  <c r="CO16" i="43"/>
  <c r="CN16" i="43"/>
  <c r="CM16" i="43"/>
  <c r="CL16" i="43"/>
  <c r="CK16" i="43"/>
  <c r="CJ16" i="43"/>
  <c r="CI16" i="43"/>
  <c r="CH16" i="43"/>
  <c r="CG16" i="43"/>
  <c r="CF16" i="43"/>
  <c r="CE16" i="43"/>
  <c r="AZ16" i="43"/>
  <c r="AY16" i="43"/>
  <c r="AX16" i="43"/>
  <c r="AW16" i="43"/>
  <c r="AV16" i="43"/>
  <c r="AT16" i="43"/>
  <c r="AS16" i="43"/>
  <c r="AR16" i="43"/>
  <c r="AQ16" i="43"/>
  <c r="AP16" i="43"/>
  <c r="AO16" i="43"/>
  <c r="AN16" i="43"/>
  <c r="AM16" i="43"/>
  <c r="AL16" i="43"/>
  <c r="AK16" i="43"/>
  <c r="AJ16" i="43"/>
  <c r="AI16" i="43"/>
  <c r="AH16" i="43"/>
  <c r="AG16" i="43"/>
  <c r="AF16" i="43"/>
  <c r="AE16" i="43"/>
  <c r="CZ29" i="43"/>
  <c r="CY29" i="43"/>
  <c r="CX29" i="43"/>
  <c r="CW29" i="43"/>
  <c r="CV29" i="43"/>
  <c r="CT29" i="43"/>
  <c r="CS29" i="43"/>
  <c r="CR29" i="43"/>
  <c r="CQ29" i="43"/>
  <c r="CP29" i="43"/>
  <c r="CO29" i="43"/>
  <c r="CN29" i="43"/>
  <c r="CM29" i="43"/>
  <c r="CL29" i="43"/>
  <c r="CK29" i="43"/>
  <c r="CJ29" i="43"/>
  <c r="CI29" i="43"/>
  <c r="CH29" i="43"/>
  <c r="CG29" i="43"/>
  <c r="CF29" i="43"/>
  <c r="CE29" i="43"/>
  <c r="AZ29" i="43"/>
  <c r="AY29" i="43"/>
  <c r="AX29" i="43"/>
  <c r="AW29" i="43"/>
  <c r="AV29" i="43"/>
  <c r="AT29" i="43"/>
  <c r="AS29" i="43"/>
  <c r="AR29" i="43"/>
  <c r="AQ29" i="43"/>
  <c r="AP29" i="43"/>
  <c r="AO29" i="43"/>
  <c r="AN29" i="43"/>
  <c r="AM29" i="43"/>
  <c r="AL29" i="43"/>
  <c r="AK29" i="43"/>
  <c r="AJ29" i="43"/>
  <c r="AI29" i="43"/>
  <c r="AH29" i="43"/>
  <c r="AG29" i="43"/>
  <c r="AF29" i="43"/>
  <c r="AE29" i="43"/>
  <c r="CZ20" i="43"/>
  <c r="CY20" i="43"/>
  <c r="CX20" i="43"/>
  <c r="CW20" i="43"/>
  <c r="CV20" i="43"/>
  <c r="CT20" i="43"/>
  <c r="CS20" i="43"/>
  <c r="CR20" i="43"/>
  <c r="CQ20" i="43"/>
  <c r="CP20" i="43"/>
  <c r="CO20" i="43"/>
  <c r="CN20" i="43"/>
  <c r="CM20" i="43"/>
  <c r="CL20" i="43"/>
  <c r="CK20" i="43"/>
  <c r="CJ20" i="43"/>
  <c r="CI20" i="43"/>
  <c r="CH20" i="43"/>
  <c r="CG20" i="43"/>
  <c r="CF20" i="43"/>
  <c r="CE20" i="43"/>
  <c r="AZ20" i="43"/>
  <c r="AY20" i="43"/>
  <c r="AX20" i="43"/>
  <c r="AW20" i="43"/>
  <c r="AV20" i="43"/>
  <c r="AT20" i="43"/>
  <c r="AS20" i="43"/>
  <c r="AR20" i="43"/>
  <c r="AQ20" i="43"/>
  <c r="AP20" i="43"/>
  <c r="AO20" i="43"/>
  <c r="AN20" i="43"/>
  <c r="AM20" i="43"/>
  <c r="AL20" i="43"/>
  <c r="AK20" i="43"/>
  <c r="AJ20" i="43"/>
  <c r="AI20" i="43"/>
  <c r="AH20" i="43"/>
  <c r="AG20" i="43"/>
  <c r="AF20" i="43"/>
  <c r="AE20" i="43"/>
  <c r="CZ24" i="43"/>
  <c r="CY24" i="43"/>
  <c r="CX24" i="43"/>
  <c r="CW24" i="43"/>
  <c r="CV24" i="43"/>
  <c r="CT24" i="43"/>
  <c r="CS24" i="43"/>
  <c r="CR24" i="43"/>
  <c r="CQ24" i="43"/>
  <c r="CP24" i="43"/>
  <c r="CO24" i="43"/>
  <c r="CN24" i="43"/>
  <c r="CM24" i="43"/>
  <c r="CL24" i="43"/>
  <c r="CK24" i="43"/>
  <c r="CJ24" i="43"/>
  <c r="CI24" i="43"/>
  <c r="CH24" i="43"/>
  <c r="CG24" i="43"/>
  <c r="CF24" i="43"/>
  <c r="CE24" i="43"/>
  <c r="AZ24" i="43"/>
  <c r="AY24" i="43"/>
  <c r="AX24" i="43"/>
  <c r="AW24" i="43"/>
  <c r="AV24" i="43"/>
  <c r="AT24" i="43"/>
  <c r="AS24" i="43"/>
  <c r="AR24" i="43"/>
  <c r="AQ24" i="43"/>
  <c r="AP24" i="43"/>
  <c r="AO24" i="43"/>
  <c r="AN24" i="43"/>
  <c r="AM24" i="43"/>
  <c r="AL24" i="43"/>
  <c r="AK24" i="43"/>
  <c r="AJ24" i="43"/>
  <c r="AI24" i="43"/>
  <c r="AH24" i="43"/>
  <c r="AG24" i="43"/>
  <c r="AF24" i="43"/>
  <c r="AE24" i="43"/>
  <c r="CZ9" i="43"/>
  <c r="CY9" i="43"/>
  <c r="CX9" i="43"/>
  <c r="CW9" i="43"/>
  <c r="CV9" i="43"/>
  <c r="CT9" i="43"/>
  <c r="CS9" i="43"/>
  <c r="CR9" i="43"/>
  <c r="CQ9" i="43"/>
  <c r="CP9" i="43"/>
  <c r="CO9" i="43"/>
  <c r="CN9" i="43"/>
  <c r="CM9" i="43"/>
  <c r="CL9" i="43"/>
  <c r="CK9" i="43"/>
  <c r="CJ9" i="43"/>
  <c r="CI9" i="43"/>
  <c r="CH9" i="43"/>
  <c r="CG9" i="43"/>
  <c r="CF9" i="43"/>
  <c r="CE9" i="43"/>
  <c r="AZ9" i="43"/>
  <c r="AY9" i="43"/>
  <c r="AX9" i="43"/>
  <c r="AW9" i="43"/>
  <c r="AV9" i="43"/>
  <c r="AT9" i="43"/>
  <c r="AS9" i="43"/>
  <c r="AR9" i="43"/>
  <c r="AQ9" i="43"/>
  <c r="AP9" i="43"/>
  <c r="AO9" i="43"/>
  <c r="AN9" i="43"/>
  <c r="AM9" i="43"/>
  <c r="AL9" i="43"/>
  <c r="AK9" i="43"/>
  <c r="AJ9" i="43"/>
  <c r="AI9" i="43"/>
  <c r="AH9" i="43"/>
  <c r="AG9" i="43"/>
  <c r="AF9" i="43"/>
  <c r="AE9" i="43"/>
  <c r="CZ5" i="43"/>
  <c r="CY5" i="43"/>
  <c r="CX5" i="43"/>
  <c r="CW5" i="43"/>
  <c r="CV5" i="43"/>
  <c r="CT5" i="43"/>
  <c r="CS5" i="43"/>
  <c r="CR5" i="43"/>
  <c r="CQ5" i="43"/>
  <c r="CP5" i="43"/>
  <c r="CO5" i="43"/>
  <c r="CN5" i="43"/>
  <c r="CM5" i="43"/>
  <c r="CL5" i="43"/>
  <c r="CK5" i="43"/>
  <c r="CJ5" i="43"/>
  <c r="CI5" i="43"/>
  <c r="CH5" i="43"/>
  <c r="CG5" i="43"/>
  <c r="CF5" i="43"/>
  <c r="CE5" i="43"/>
  <c r="AZ5" i="43"/>
  <c r="AY5" i="43"/>
  <c r="AX5" i="43"/>
  <c r="AW5" i="43"/>
  <c r="AV5" i="43"/>
  <c r="AT5" i="43"/>
  <c r="AS5" i="43"/>
  <c r="AR5" i="43"/>
  <c r="AQ5" i="43"/>
  <c r="AP5" i="43"/>
  <c r="AO5" i="43"/>
  <c r="AN5" i="43"/>
  <c r="AM5" i="43"/>
  <c r="AL5" i="43"/>
  <c r="AK5" i="43"/>
  <c r="AJ5" i="43"/>
  <c r="AI5" i="43"/>
  <c r="AH5" i="43"/>
  <c r="AG5" i="43"/>
  <c r="AF5" i="43"/>
  <c r="AE5" i="43"/>
  <c r="CZ17" i="43"/>
  <c r="CY17" i="43"/>
  <c r="CX17" i="43"/>
  <c r="CW17" i="43"/>
  <c r="CV17" i="43"/>
  <c r="CT17" i="43"/>
  <c r="CS17" i="43"/>
  <c r="CR17" i="43"/>
  <c r="CQ17" i="43"/>
  <c r="CP17" i="43"/>
  <c r="CO17" i="43"/>
  <c r="CN17" i="43"/>
  <c r="CM17" i="43"/>
  <c r="CL17" i="43"/>
  <c r="CK17" i="43"/>
  <c r="CJ17" i="43"/>
  <c r="CI17" i="43"/>
  <c r="CH17" i="43"/>
  <c r="CG17" i="43"/>
  <c r="CF17" i="43"/>
  <c r="CE17" i="43"/>
  <c r="AZ17" i="43"/>
  <c r="AY17" i="43"/>
  <c r="AX17" i="43"/>
  <c r="AW17" i="43"/>
  <c r="AV17" i="43"/>
  <c r="AT17" i="43"/>
  <c r="AS17" i="43"/>
  <c r="AR17" i="43"/>
  <c r="AQ17" i="43"/>
  <c r="AP17" i="43"/>
  <c r="AO17" i="43"/>
  <c r="AN17" i="43"/>
  <c r="AM17" i="43"/>
  <c r="AL17" i="43"/>
  <c r="AK17" i="43"/>
  <c r="AJ17" i="43"/>
  <c r="AI17" i="43"/>
  <c r="AH17" i="43"/>
  <c r="AG17" i="43"/>
  <c r="AF17" i="43"/>
  <c r="AE17" i="43"/>
  <c r="CZ21" i="43"/>
  <c r="CY21" i="43"/>
  <c r="CX21" i="43"/>
  <c r="CW21" i="43"/>
  <c r="CV21" i="43"/>
  <c r="CT21" i="43"/>
  <c r="CS21" i="43"/>
  <c r="CR21" i="43"/>
  <c r="CQ21" i="43"/>
  <c r="CP21" i="43"/>
  <c r="CO21" i="43"/>
  <c r="CN21" i="43"/>
  <c r="CM21" i="43"/>
  <c r="CL21" i="43"/>
  <c r="CK21" i="43"/>
  <c r="CJ21" i="43"/>
  <c r="CI21" i="43"/>
  <c r="CH21" i="43"/>
  <c r="CG21" i="43"/>
  <c r="CF21" i="43"/>
  <c r="CE21" i="43"/>
  <c r="AZ21" i="43"/>
  <c r="AY21" i="43"/>
  <c r="AX21" i="43"/>
  <c r="AW21" i="43"/>
  <c r="AV21" i="43"/>
  <c r="AT21" i="43"/>
  <c r="AS21" i="43"/>
  <c r="AR21" i="43"/>
  <c r="AQ21" i="43"/>
  <c r="AP21" i="43"/>
  <c r="AO21" i="43"/>
  <c r="AN21" i="43"/>
  <c r="AM21" i="43"/>
  <c r="AL21" i="43"/>
  <c r="AK21" i="43"/>
  <c r="AJ21" i="43"/>
  <c r="AI21" i="43"/>
  <c r="AH21" i="43"/>
  <c r="AG21" i="43"/>
  <c r="AF21" i="43"/>
  <c r="AE21" i="43"/>
  <c r="CZ25" i="43"/>
  <c r="CY25" i="43"/>
  <c r="CX25" i="43"/>
  <c r="CW25" i="43"/>
  <c r="CV25" i="43"/>
  <c r="CT25" i="43"/>
  <c r="CS25" i="43"/>
  <c r="CR25" i="43"/>
  <c r="CQ25" i="43"/>
  <c r="CP25" i="43"/>
  <c r="CO25" i="43"/>
  <c r="CN25" i="43"/>
  <c r="CM25" i="43"/>
  <c r="CL25" i="43"/>
  <c r="CK25" i="43"/>
  <c r="CJ25" i="43"/>
  <c r="CI25" i="43"/>
  <c r="CH25" i="43"/>
  <c r="CG25" i="43"/>
  <c r="CF25" i="43"/>
  <c r="CE25" i="43"/>
  <c r="AZ25" i="43"/>
  <c r="AY25" i="43"/>
  <c r="AX25" i="43"/>
  <c r="AW25" i="43"/>
  <c r="AV25" i="43"/>
  <c r="AT25" i="43"/>
  <c r="AS25" i="43"/>
  <c r="AR25" i="43"/>
  <c r="AQ25" i="43"/>
  <c r="AP25" i="43"/>
  <c r="AO25" i="43"/>
  <c r="AN25" i="43"/>
  <c r="AM25" i="43"/>
  <c r="AL25" i="43"/>
  <c r="AK25" i="43"/>
  <c r="AJ25" i="43"/>
  <c r="AI25" i="43"/>
  <c r="AH25" i="43"/>
  <c r="AG25" i="43"/>
  <c r="AF25" i="43"/>
  <c r="AE25" i="43"/>
  <c r="CZ23" i="43"/>
  <c r="CY23" i="43"/>
  <c r="CX23" i="43"/>
  <c r="CW23" i="43"/>
  <c r="CV23" i="43"/>
  <c r="CT23" i="43"/>
  <c r="CS23" i="43"/>
  <c r="CR23" i="43"/>
  <c r="CQ23" i="43"/>
  <c r="CP23" i="43"/>
  <c r="CO23" i="43"/>
  <c r="CN23" i="43"/>
  <c r="CM23" i="43"/>
  <c r="CL23" i="43"/>
  <c r="CK23" i="43"/>
  <c r="CJ23" i="43"/>
  <c r="CI23" i="43"/>
  <c r="CH23" i="43"/>
  <c r="CG23" i="43"/>
  <c r="CF23" i="43"/>
  <c r="CE23" i="43"/>
  <c r="AZ23" i="43"/>
  <c r="AY23" i="43"/>
  <c r="AX23" i="43"/>
  <c r="AW23" i="43"/>
  <c r="AV23" i="43"/>
  <c r="AT23" i="43"/>
  <c r="AS23" i="43"/>
  <c r="AR23" i="43"/>
  <c r="AQ23" i="43"/>
  <c r="AP23" i="43"/>
  <c r="AO23" i="43"/>
  <c r="AN23" i="43"/>
  <c r="AM23" i="43"/>
  <c r="AL23" i="43"/>
  <c r="AK23" i="43"/>
  <c r="AJ23" i="43"/>
  <c r="AI23" i="43"/>
  <c r="AH23" i="43"/>
  <c r="AG23" i="43"/>
  <c r="AF23" i="43"/>
  <c r="AE23" i="43"/>
  <c r="CZ6" i="43"/>
  <c r="CY6" i="43"/>
  <c r="CX6" i="43"/>
  <c r="CW6" i="43"/>
  <c r="CV6" i="43"/>
  <c r="CT6" i="43"/>
  <c r="CS6" i="43"/>
  <c r="CR6" i="43"/>
  <c r="CQ6" i="43"/>
  <c r="CP6" i="43"/>
  <c r="CO6" i="43"/>
  <c r="CN6" i="43"/>
  <c r="CM6" i="43"/>
  <c r="CL6" i="43"/>
  <c r="CK6" i="43"/>
  <c r="CJ6" i="43"/>
  <c r="CI6" i="43"/>
  <c r="CH6" i="43"/>
  <c r="CG6" i="43"/>
  <c r="CF6" i="43"/>
  <c r="CE6" i="43"/>
  <c r="AZ6" i="43"/>
  <c r="AY6" i="43"/>
  <c r="AX6" i="43"/>
  <c r="AW6" i="43"/>
  <c r="AV6" i="43"/>
  <c r="AT6" i="43"/>
  <c r="AS6" i="43"/>
  <c r="AR6" i="43"/>
  <c r="AQ6" i="43"/>
  <c r="AP6" i="43"/>
  <c r="AO6" i="43"/>
  <c r="AN6" i="43"/>
  <c r="AM6" i="43"/>
  <c r="AL6" i="43"/>
  <c r="AK6" i="43"/>
  <c r="AJ6" i="43"/>
  <c r="AI6" i="43"/>
  <c r="AH6" i="43"/>
  <c r="AG6" i="43"/>
  <c r="AF6" i="43"/>
  <c r="AE6" i="43"/>
  <c r="CZ10" i="43"/>
  <c r="CY10" i="43"/>
  <c r="CX10" i="43"/>
  <c r="CW10" i="43"/>
  <c r="CV10" i="43"/>
  <c r="CT10" i="43"/>
  <c r="CS10" i="43"/>
  <c r="CR10" i="43"/>
  <c r="CQ10" i="43"/>
  <c r="CP10" i="43"/>
  <c r="CO10" i="43"/>
  <c r="CN10" i="43"/>
  <c r="CM10" i="43"/>
  <c r="CL10" i="43"/>
  <c r="CK10" i="43"/>
  <c r="CJ10" i="43"/>
  <c r="CI10" i="43"/>
  <c r="CH10" i="43"/>
  <c r="CG10" i="43"/>
  <c r="CF10" i="43"/>
  <c r="CE10" i="43"/>
  <c r="AZ10" i="43"/>
  <c r="AY10" i="43"/>
  <c r="AX10" i="43"/>
  <c r="AW10" i="43"/>
  <c r="AV10" i="43"/>
  <c r="AT10" i="43"/>
  <c r="AS10" i="43"/>
  <c r="AR10" i="43"/>
  <c r="AQ10" i="43"/>
  <c r="AP10" i="43"/>
  <c r="AO10" i="43"/>
  <c r="AN10" i="43"/>
  <c r="AM10" i="43"/>
  <c r="AL10" i="43"/>
  <c r="AK10" i="43"/>
  <c r="AJ10" i="43"/>
  <c r="AI10" i="43"/>
  <c r="AH10" i="43"/>
  <c r="AG10" i="43"/>
  <c r="AF10" i="43"/>
  <c r="AE10" i="43"/>
  <c r="CZ15" i="43"/>
  <c r="CY15" i="43"/>
  <c r="CX15" i="43"/>
  <c r="CW15" i="43"/>
  <c r="CV15" i="43"/>
  <c r="CT15" i="43"/>
  <c r="CS15" i="43"/>
  <c r="CR15" i="43"/>
  <c r="CQ15" i="43"/>
  <c r="CP15" i="43"/>
  <c r="CO15" i="43"/>
  <c r="CN15" i="43"/>
  <c r="CM15" i="43"/>
  <c r="CL15" i="43"/>
  <c r="CK15" i="43"/>
  <c r="CJ15" i="43"/>
  <c r="CI15" i="43"/>
  <c r="CH15" i="43"/>
  <c r="CG15" i="43"/>
  <c r="CF15" i="43"/>
  <c r="CE15" i="43"/>
  <c r="AZ15" i="43"/>
  <c r="AY15" i="43"/>
  <c r="AX15" i="43"/>
  <c r="AW15" i="43"/>
  <c r="AV15" i="43"/>
  <c r="AT15" i="43"/>
  <c r="AS15" i="43"/>
  <c r="AR15" i="43"/>
  <c r="AQ15" i="43"/>
  <c r="AP15" i="43"/>
  <c r="AO15" i="43"/>
  <c r="AN15" i="43"/>
  <c r="AM15" i="43"/>
  <c r="AL15" i="43"/>
  <c r="AK15" i="43"/>
  <c r="AJ15" i="43"/>
  <c r="AI15" i="43"/>
  <c r="AH15" i="43"/>
  <c r="AG15" i="43"/>
  <c r="AF15" i="43"/>
  <c r="AE15" i="43"/>
  <c r="CZ28" i="43"/>
  <c r="CY28" i="43"/>
  <c r="CX28" i="43"/>
  <c r="CW28" i="43"/>
  <c r="CV28" i="43"/>
  <c r="CT28" i="43"/>
  <c r="CS28" i="43"/>
  <c r="CR28" i="43"/>
  <c r="CQ28" i="43"/>
  <c r="CP28" i="43"/>
  <c r="CO28" i="43"/>
  <c r="CN28" i="43"/>
  <c r="CM28" i="43"/>
  <c r="CL28" i="43"/>
  <c r="CK28" i="43"/>
  <c r="CJ28" i="43"/>
  <c r="CI28" i="43"/>
  <c r="CH28" i="43"/>
  <c r="CG28" i="43"/>
  <c r="CF28" i="43"/>
  <c r="CE28" i="43"/>
  <c r="AZ28" i="43"/>
  <c r="AY28" i="43"/>
  <c r="AX28" i="43"/>
  <c r="AW28" i="43"/>
  <c r="AV28" i="43"/>
  <c r="AT28" i="43"/>
  <c r="AS28" i="43"/>
  <c r="AR28" i="43"/>
  <c r="AQ28" i="43"/>
  <c r="AP28" i="43"/>
  <c r="AO28" i="43"/>
  <c r="AN28" i="43"/>
  <c r="AM28" i="43"/>
  <c r="AL28" i="43"/>
  <c r="AK28" i="43"/>
  <c r="AJ28" i="43"/>
  <c r="AI28" i="43"/>
  <c r="AH28" i="43"/>
  <c r="AG28" i="43"/>
  <c r="AF28" i="43"/>
  <c r="AE28" i="43"/>
  <c r="CZ19" i="43"/>
  <c r="CY19" i="43"/>
  <c r="CX19" i="43"/>
  <c r="CW19" i="43"/>
  <c r="CV19" i="43"/>
  <c r="CT19" i="43"/>
  <c r="CS19" i="43"/>
  <c r="CR19" i="43"/>
  <c r="CQ19" i="43"/>
  <c r="CP19" i="43"/>
  <c r="CO19" i="43"/>
  <c r="CN19" i="43"/>
  <c r="CM19" i="43"/>
  <c r="CL19" i="43"/>
  <c r="CK19" i="43"/>
  <c r="CJ19" i="43"/>
  <c r="CI19" i="43"/>
  <c r="CH19" i="43"/>
  <c r="CG19" i="43"/>
  <c r="CF19" i="43"/>
  <c r="CE19" i="43"/>
  <c r="AZ19" i="43"/>
  <c r="AY19" i="43"/>
  <c r="AX19" i="43"/>
  <c r="AW19" i="43"/>
  <c r="AV19" i="43"/>
  <c r="AT19" i="43"/>
  <c r="AS19" i="43"/>
  <c r="AR19" i="43"/>
  <c r="AQ19" i="43"/>
  <c r="AP19" i="43"/>
  <c r="AO19" i="43"/>
  <c r="AN19" i="43"/>
  <c r="AM19" i="43"/>
  <c r="AL19" i="43"/>
  <c r="AK19" i="43"/>
  <c r="AJ19" i="43"/>
  <c r="AI19" i="43"/>
  <c r="AH19" i="43"/>
  <c r="AG19" i="43"/>
  <c r="AF19" i="43"/>
  <c r="AE19" i="43"/>
  <c r="CZ8" i="43"/>
  <c r="CY8" i="43"/>
  <c r="CX8" i="43"/>
  <c r="CW8" i="43"/>
  <c r="CV8" i="43"/>
  <c r="CT8" i="43"/>
  <c r="CS8" i="43"/>
  <c r="CR8" i="43"/>
  <c r="CQ8" i="43"/>
  <c r="CP8" i="43"/>
  <c r="CO8" i="43"/>
  <c r="CN8" i="43"/>
  <c r="CM8" i="43"/>
  <c r="CL8" i="43"/>
  <c r="CK8" i="43"/>
  <c r="CJ8" i="43"/>
  <c r="CI8" i="43"/>
  <c r="CH8" i="43"/>
  <c r="CG8" i="43"/>
  <c r="CF8" i="43"/>
  <c r="CE8" i="43"/>
  <c r="AZ8" i="43"/>
  <c r="AY8" i="43"/>
  <c r="AX8" i="43"/>
  <c r="AW8" i="43"/>
  <c r="AV8" i="43"/>
  <c r="AT8" i="43"/>
  <c r="AS8" i="43"/>
  <c r="AR8" i="43"/>
  <c r="AQ8" i="43"/>
  <c r="AP8" i="43"/>
  <c r="AO8" i="43"/>
  <c r="AN8" i="43"/>
  <c r="AM8" i="43"/>
  <c r="AL8" i="43"/>
  <c r="AK8" i="43"/>
  <c r="AJ8" i="43"/>
  <c r="AI8" i="43"/>
  <c r="AH8" i="43"/>
  <c r="AG8" i="43"/>
  <c r="AF8" i="43"/>
  <c r="AE8" i="43"/>
  <c r="CZ4" i="43"/>
  <c r="CY4" i="43"/>
  <c r="CX4" i="43"/>
  <c r="CW4" i="43"/>
  <c r="CV4" i="43"/>
  <c r="CT4" i="43"/>
  <c r="CS4" i="43"/>
  <c r="CR4" i="43"/>
  <c r="CQ4" i="43"/>
  <c r="CP4" i="43"/>
  <c r="CO4" i="43"/>
  <c r="CN4" i="43"/>
  <c r="CM4" i="43"/>
  <c r="CL4" i="43"/>
  <c r="CK4" i="43"/>
  <c r="CJ4" i="43"/>
  <c r="CI4" i="43"/>
  <c r="CH4" i="43"/>
  <c r="CG4" i="43"/>
  <c r="CF4" i="43"/>
  <c r="CE4" i="43"/>
  <c r="AZ4" i="43"/>
  <c r="AY4" i="43"/>
  <c r="AX4" i="43"/>
  <c r="AW4" i="43"/>
  <c r="AV4" i="43"/>
  <c r="AT4" i="43"/>
  <c r="AS4" i="43"/>
  <c r="AR4" i="43"/>
  <c r="AQ4" i="43"/>
  <c r="AP4" i="43"/>
  <c r="AO4" i="43"/>
  <c r="AN4" i="43"/>
  <c r="AM4" i="43"/>
  <c r="AL4" i="43"/>
  <c r="AK4" i="43"/>
  <c r="AJ4" i="43"/>
  <c r="AI4" i="43"/>
  <c r="AH4" i="43"/>
  <c r="AG4" i="43"/>
  <c r="AF4" i="43"/>
  <c r="AE4" i="43"/>
  <c r="CZ11" i="43"/>
  <c r="CY11" i="43"/>
  <c r="CX11" i="43"/>
  <c r="CW11" i="43"/>
  <c r="CV11" i="43"/>
  <c r="CT11" i="43"/>
  <c r="CS11" i="43"/>
  <c r="CR11" i="43"/>
  <c r="CQ11" i="43"/>
  <c r="CP11" i="43"/>
  <c r="CO11" i="43"/>
  <c r="CN11" i="43"/>
  <c r="CM11" i="43"/>
  <c r="CL11" i="43"/>
  <c r="CK11" i="43"/>
  <c r="CJ11" i="43"/>
  <c r="CI11" i="43"/>
  <c r="CH11" i="43"/>
  <c r="CG11" i="43"/>
  <c r="CF11" i="43"/>
  <c r="CE11" i="43"/>
  <c r="AZ11" i="43"/>
  <c r="AY11" i="43"/>
  <c r="AX11" i="43"/>
  <c r="AW11" i="43"/>
  <c r="AV11" i="43"/>
  <c r="AT11" i="43"/>
  <c r="AS11" i="43"/>
  <c r="AR11" i="43"/>
  <c r="AQ11" i="43"/>
  <c r="AP11" i="43"/>
  <c r="AO11" i="43"/>
  <c r="AN11" i="43"/>
  <c r="AM11" i="43"/>
  <c r="AL11" i="43"/>
  <c r="AK11" i="43"/>
  <c r="AJ11" i="43"/>
  <c r="AI11" i="43"/>
  <c r="AH11" i="43"/>
  <c r="AG11" i="43"/>
  <c r="AF11" i="43"/>
  <c r="AE11" i="43"/>
  <c r="CZ2" i="43"/>
  <c r="CY2" i="43"/>
  <c r="CX2" i="43"/>
  <c r="CW2" i="43"/>
  <c r="CV2" i="43"/>
  <c r="CT2" i="43"/>
  <c r="CS2" i="43"/>
  <c r="CR2" i="43"/>
  <c r="CQ2" i="43"/>
  <c r="CP2" i="43"/>
  <c r="CO2" i="43"/>
  <c r="CN2" i="43"/>
  <c r="CM2" i="43"/>
  <c r="CL2" i="43"/>
  <c r="CK2" i="43"/>
  <c r="CJ2" i="43"/>
  <c r="CI2" i="43"/>
  <c r="CH2" i="43"/>
  <c r="CG2" i="43"/>
  <c r="CF2" i="43"/>
  <c r="CE2" i="43"/>
  <c r="AZ2" i="43"/>
  <c r="AY2" i="43"/>
  <c r="AX2" i="43"/>
  <c r="AW2" i="43"/>
  <c r="AV2" i="43"/>
  <c r="AT2" i="43"/>
  <c r="AS2" i="43"/>
  <c r="AR2" i="43"/>
  <c r="AQ2" i="43"/>
  <c r="AP2" i="43"/>
  <c r="AO2" i="43"/>
  <c r="AN2" i="43"/>
  <c r="AM2" i="43"/>
  <c r="AL2" i="43"/>
  <c r="AK2" i="43"/>
  <c r="AJ2" i="43"/>
  <c r="AI2" i="43"/>
  <c r="AH2" i="43"/>
  <c r="AG2" i="43"/>
  <c r="AF2" i="43"/>
  <c r="AE2" i="43"/>
  <c r="CZ22" i="43"/>
  <c r="CY22" i="43"/>
  <c r="CX22" i="43"/>
  <c r="CW22" i="43"/>
  <c r="CV22" i="43"/>
  <c r="CT22" i="43"/>
  <c r="CS22" i="43"/>
  <c r="CR22" i="43"/>
  <c r="CQ22" i="43"/>
  <c r="CP22" i="43"/>
  <c r="CO22" i="43"/>
  <c r="CN22" i="43"/>
  <c r="CM22" i="43"/>
  <c r="CL22" i="43"/>
  <c r="CK22" i="43"/>
  <c r="CJ22" i="43"/>
  <c r="CI22" i="43"/>
  <c r="CH22" i="43"/>
  <c r="CG22" i="43"/>
  <c r="CF22" i="43"/>
  <c r="CE22" i="43"/>
  <c r="AZ22" i="43"/>
  <c r="AY22" i="43"/>
  <c r="AX22" i="43"/>
  <c r="AW22" i="43"/>
  <c r="AV22" i="43"/>
  <c r="AT22" i="43"/>
  <c r="AS22" i="43"/>
  <c r="AR22" i="43"/>
  <c r="AQ22" i="43"/>
  <c r="AP22" i="43"/>
  <c r="AO22" i="43"/>
  <c r="AN22" i="43"/>
  <c r="AM22" i="43"/>
  <c r="AL22" i="43"/>
  <c r="AK22" i="43"/>
  <c r="AJ22" i="43"/>
  <c r="AI22" i="43"/>
  <c r="AH22" i="43"/>
  <c r="AG22" i="43"/>
  <c r="AF22" i="43"/>
  <c r="AE22" i="43"/>
  <c r="CZ26" i="43"/>
  <c r="CY26" i="43"/>
  <c r="CX26" i="43"/>
  <c r="CW26" i="43"/>
  <c r="CV26" i="43"/>
  <c r="CT26" i="43"/>
  <c r="CS26" i="43"/>
  <c r="CR26" i="43"/>
  <c r="CQ26" i="43"/>
  <c r="CP26" i="43"/>
  <c r="CO26" i="43"/>
  <c r="CN26" i="43"/>
  <c r="CM26" i="43"/>
  <c r="CL26" i="43"/>
  <c r="CK26" i="43"/>
  <c r="CJ26" i="43"/>
  <c r="CI26" i="43"/>
  <c r="CH26" i="43"/>
  <c r="CG26" i="43"/>
  <c r="CF26" i="43"/>
  <c r="CE26" i="43"/>
  <c r="AZ26" i="43"/>
  <c r="AY26" i="43"/>
  <c r="AX26" i="43"/>
  <c r="AW26" i="43"/>
  <c r="AV26" i="43"/>
  <c r="AT26" i="43"/>
  <c r="AS26" i="43"/>
  <c r="AR26" i="43"/>
  <c r="AQ26" i="43"/>
  <c r="AP26" i="43"/>
  <c r="AO26" i="43"/>
  <c r="AN26" i="43"/>
  <c r="AM26" i="43"/>
  <c r="AL26" i="43"/>
  <c r="AK26" i="43"/>
  <c r="AJ26" i="43"/>
  <c r="AI26" i="43"/>
  <c r="AH26" i="43"/>
  <c r="AG26" i="43"/>
  <c r="AF26" i="43"/>
  <c r="AE26" i="43"/>
  <c r="CZ30" i="43"/>
  <c r="CY30" i="43"/>
  <c r="CX30" i="43"/>
  <c r="CW30" i="43"/>
  <c r="CV30" i="43"/>
  <c r="CT30" i="43"/>
  <c r="CS30" i="43"/>
  <c r="CR30" i="43"/>
  <c r="CQ30" i="43"/>
  <c r="CP30" i="43"/>
  <c r="CO30" i="43"/>
  <c r="CN30" i="43"/>
  <c r="CM30" i="43"/>
  <c r="CL30" i="43"/>
  <c r="CK30" i="43"/>
  <c r="CJ30" i="43"/>
  <c r="CI30" i="43"/>
  <c r="CH30" i="43"/>
  <c r="CG30" i="43"/>
  <c r="CF30" i="43"/>
  <c r="CE30" i="43"/>
  <c r="AZ30" i="43"/>
  <c r="AY30" i="43"/>
  <c r="AX30" i="43"/>
  <c r="AW30" i="43"/>
  <c r="AV30" i="43"/>
  <c r="AT30" i="43"/>
  <c r="AS30" i="43"/>
  <c r="AR30" i="43"/>
  <c r="AQ30" i="43"/>
  <c r="AP30" i="43"/>
  <c r="AO30" i="43"/>
  <c r="AN30" i="43"/>
  <c r="AM30" i="43"/>
  <c r="AL30" i="43"/>
  <c r="AK30" i="43"/>
  <c r="AJ30" i="43"/>
  <c r="AI30" i="43"/>
  <c r="AH30" i="43"/>
  <c r="AG30" i="43"/>
  <c r="AF30" i="43"/>
  <c r="AE30" i="43"/>
  <c r="CZ14" i="43"/>
  <c r="CY14" i="43"/>
  <c r="CX14" i="43"/>
  <c r="CW14" i="43"/>
  <c r="CV14" i="43"/>
  <c r="CT14" i="43"/>
  <c r="CS14" i="43"/>
  <c r="CR14" i="43"/>
  <c r="CQ14" i="43"/>
  <c r="CP14" i="43"/>
  <c r="CO14" i="43"/>
  <c r="CN14" i="43"/>
  <c r="CM14" i="43"/>
  <c r="CL14" i="43"/>
  <c r="CK14" i="43"/>
  <c r="CJ14" i="43"/>
  <c r="CI14" i="43"/>
  <c r="CH14" i="43"/>
  <c r="CG14" i="43"/>
  <c r="CF14" i="43"/>
  <c r="CE14" i="43"/>
  <c r="AZ14" i="43"/>
  <c r="AY14" i="43"/>
  <c r="AX14" i="43"/>
  <c r="AW14" i="43"/>
  <c r="AV14" i="43"/>
  <c r="AT14" i="43"/>
  <c r="AS14" i="43"/>
  <c r="AR14" i="43"/>
  <c r="AQ14" i="43"/>
  <c r="AP14" i="43"/>
  <c r="AO14" i="43"/>
  <c r="AN14" i="43"/>
  <c r="AM14" i="43"/>
  <c r="AL14" i="43"/>
  <c r="AK14" i="43"/>
  <c r="AJ14" i="43"/>
  <c r="AI14" i="43"/>
  <c r="AH14" i="43"/>
  <c r="AG14" i="43"/>
  <c r="AF14" i="43"/>
  <c r="AE14" i="43"/>
  <c r="CZ13" i="43"/>
  <c r="CY13" i="43"/>
  <c r="CX13" i="43"/>
  <c r="CW13" i="43"/>
  <c r="CV13" i="43"/>
  <c r="CT13" i="43"/>
  <c r="CS13" i="43"/>
  <c r="CR13" i="43"/>
  <c r="CQ13" i="43"/>
  <c r="CP13" i="43"/>
  <c r="CO13" i="43"/>
  <c r="CN13" i="43"/>
  <c r="CM13" i="43"/>
  <c r="CL13" i="43"/>
  <c r="CK13" i="43"/>
  <c r="CJ13" i="43"/>
  <c r="CI13" i="43"/>
  <c r="CH13" i="43"/>
  <c r="CG13" i="43"/>
  <c r="CF13" i="43"/>
  <c r="CE13" i="43"/>
  <c r="AZ13" i="43"/>
  <c r="AY13" i="43"/>
  <c r="AX13" i="43"/>
  <c r="AW13" i="43"/>
  <c r="AV13" i="43"/>
  <c r="AT13" i="43"/>
  <c r="AS13" i="43"/>
  <c r="AR13" i="43"/>
  <c r="AQ13" i="43"/>
  <c r="AP13" i="43"/>
  <c r="AO13" i="43"/>
  <c r="AN13" i="43"/>
  <c r="AM13" i="43"/>
  <c r="AL13" i="43"/>
  <c r="AK13" i="43"/>
  <c r="AJ13" i="43"/>
  <c r="AI13" i="43"/>
  <c r="AH13" i="43"/>
  <c r="AG13" i="43"/>
  <c r="AF13" i="43"/>
  <c r="AE13" i="43"/>
  <c r="CZ3" i="43"/>
  <c r="CY3" i="43"/>
  <c r="CX3" i="43"/>
  <c r="CW3" i="43"/>
  <c r="CV3" i="43"/>
  <c r="CT3" i="43"/>
  <c r="CS3" i="43"/>
  <c r="CR3" i="43"/>
  <c r="CQ3" i="43"/>
  <c r="CP3" i="43"/>
  <c r="CO3" i="43"/>
  <c r="CN3" i="43"/>
  <c r="CM3" i="43"/>
  <c r="CL3" i="43"/>
  <c r="CK3" i="43"/>
  <c r="CJ3" i="43"/>
  <c r="CI3" i="43"/>
  <c r="CH3" i="43"/>
  <c r="CG3" i="43"/>
  <c r="CF3" i="43"/>
  <c r="CE3" i="43"/>
  <c r="AZ3" i="43"/>
  <c r="AY3" i="43"/>
  <c r="AX3" i="43"/>
  <c r="AW3" i="43"/>
  <c r="AV3" i="43"/>
  <c r="AT3" i="43"/>
  <c r="AS3" i="43"/>
  <c r="AR3" i="43"/>
  <c r="AQ3" i="43"/>
  <c r="AP3" i="43"/>
  <c r="AO3" i="43"/>
  <c r="AN3" i="43"/>
  <c r="AM3" i="43"/>
  <c r="AL3" i="43"/>
  <c r="AK3" i="43"/>
  <c r="AJ3" i="43"/>
  <c r="AI3" i="43"/>
  <c r="AH3" i="43"/>
  <c r="AG3" i="43"/>
  <c r="AF3" i="43"/>
  <c r="AE3" i="43"/>
  <c r="CZ27" i="42"/>
  <c r="CY27" i="42"/>
  <c r="CX27" i="42"/>
  <c r="CW27" i="42"/>
  <c r="CV27" i="42"/>
  <c r="CT27" i="42"/>
  <c r="CS27" i="42"/>
  <c r="CR27" i="42"/>
  <c r="CQ27" i="42"/>
  <c r="CP27" i="42"/>
  <c r="CO27" i="42"/>
  <c r="CN27" i="42"/>
  <c r="CM27" i="42"/>
  <c r="CL27" i="42"/>
  <c r="CK27" i="42"/>
  <c r="CJ27" i="42"/>
  <c r="CI27" i="42"/>
  <c r="CH27" i="42"/>
  <c r="CG27" i="42"/>
  <c r="CF27" i="42"/>
  <c r="CE27" i="42"/>
  <c r="AZ27" i="42"/>
  <c r="AY27" i="42"/>
  <c r="AX27" i="42"/>
  <c r="AW27" i="42"/>
  <c r="AV27" i="42"/>
  <c r="AT27" i="42"/>
  <c r="AS27" i="42"/>
  <c r="AR27" i="42"/>
  <c r="AQ27" i="42"/>
  <c r="AP27" i="42"/>
  <c r="AO27" i="42"/>
  <c r="AN27" i="42"/>
  <c r="AM27" i="42"/>
  <c r="AL27" i="42"/>
  <c r="AK27" i="42"/>
  <c r="AJ27" i="42"/>
  <c r="AI27" i="42"/>
  <c r="AH27" i="42"/>
  <c r="AG27" i="42"/>
  <c r="AF27" i="42"/>
  <c r="AE27" i="42"/>
  <c r="CZ18" i="42"/>
  <c r="CY18" i="42"/>
  <c r="CX18" i="42"/>
  <c r="CW18" i="42"/>
  <c r="CV18" i="42"/>
  <c r="CT18" i="42"/>
  <c r="CS18" i="42"/>
  <c r="CR18" i="42"/>
  <c r="CQ18" i="42"/>
  <c r="CP18" i="42"/>
  <c r="CO18" i="42"/>
  <c r="CN18" i="42"/>
  <c r="CM18" i="42"/>
  <c r="CL18" i="42"/>
  <c r="CK18" i="42"/>
  <c r="CJ18" i="42"/>
  <c r="CI18" i="42"/>
  <c r="CH18" i="42"/>
  <c r="CG18" i="42"/>
  <c r="CF18" i="42"/>
  <c r="CE18" i="42"/>
  <c r="AZ18" i="42"/>
  <c r="AY18" i="42"/>
  <c r="AX18" i="42"/>
  <c r="AW18" i="42"/>
  <c r="AV18" i="42"/>
  <c r="AT18" i="42"/>
  <c r="AS18" i="42"/>
  <c r="AR18" i="42"/>
  <c r="AQ18" i="42"/>
  <c r="AP18" i="42"/>
  <c r="AO18" i="42"/>
  <c r="AN18" i="42"/>
  <c r="AM18" i="42"/>
  <c r="AL18" i="42"/>
  <c r="AK18" i="42"/>
  <c r="AJ18" i="42"/>
  <c r="AI18" i="42"/>
  <c r="AH18" i="42"/>
  <c r="AG18" i="42"/>
  <c r="AF18" i="42"/>
  <c r="AE18" i="42"/>
  <c r="CZ12" i="42"/>
  <c r="CY12" i="42"/>
  <c r="CX12" i="42"/>
  <c r="CW12" i="42"/>
  <c r="CV12" i="42"/>
  <c r="CT12" i="42"/>
  <c r="CS12" i="42"/>
  <c r="CR12" i="42"/>
  <c r="CQ12" i="42"/>
  <c r="CP12" i="42"/>
  <c r="CO12" i="42"/>
  <c r="CN12" i="42"/>
  <c r="CM12" i="42"/>
  <c r="CL12" i="42"/>
  <c r="CK12" i="42"/>
  <c r="CJ12" i="42"/>
  <c r="CI12" i="42"/>
  <c r="CH12" i="42"/>
  <c r="CG12" i="42"/>
  <c r="CF12" i="42"/>
  <c r="CE12" i="42"/>
  <c r="AZ12" i="42"/>
  <c r="AY12" i="42"/>
  <c r="AX12" i="42"/>
  <c r="AW12" i="42"/>
  <c r="AV12" i="42"/>
  <c r="AT12" i="42"/>
  <c r="AS12" i="42"/>
  <c r="AR12" i="42"/>
  <c r="AQ12" i="42"/>
  <c r="AP12" i="42"/>
  <c r="AO12" i="42"/>
  <c r="AN12" i="42"/>
  <c r="AM12" i="42"/>
  <c r="AL12" i="42"/>
  <c r="AK12" i="42"/>
  <c r="AJ12" i="42"/>
  <c r="AI12" i="42"/>
  <c r="AH12" i="42"/>
  <c r="AG12" i="42"/>
  <c r="AF12" i="42"/>
  <c r="AE12" i="42"/>
  <c r="CZ7" i="42"/>
  <c r="CY7" i="42"/>
  <c r="CX7" i="42"/>
  <c r="CW7" i="42"/>
  <c r="CV7" i="42"/>
  <c r="CT7" i="42"/>
  <c r="CS7" i="42"/>
  <c r="CR7" i="42"/>
  <c r="CQ7" i="42"/>
  <c r="CP7" i="42"/>
  <c r="CO7" i="42"/>
  <c r="CN7" i="42"/>
  <c r="CM7" i="42"/>
  <c r="CL7" i="42"/>
  <c r="CK7" i="42"/>
  <c r="CJ7" i="42"/>
  <c r="CI7" i="42"/>
  <c r="CH7" i="42"/>
  <c r="CG7" i="42"/>
  <c r="CF7" i="42"/>
  <c r="CE7" i="42"/>
  <c r="AZ7" i="42"/>
  <c r="AY7" i="42"/>
  <c r="AX7" i="42"/>
  <c r="AW7" i="42"/>
  <c r="AV7" i="42"/>
  <c r="AT7" i="42"/>
  <c r="AS7" i="42"/>
  <c r="AR7" i="42"/>
  <c r="AQ7" i="42"/>
  <c r="AP7" i="42"/>
  <c r="AO7" i="42"/>
  <c r="AN7" i="42"/>
  <c r="AM7" i="42"/>
  <c r="AL7" i="42"/>
  <c r="AK7" i="42"/>
  <c r="AJ7" i="42"/>
  <c r="AI7" i="42"/>
  <c r="AH7" i="42"/>
  <c r="AG7" i="42"/>
  <c r="AF7" i="42"/>
  <c r="AE7" i="42"/>
  <c r="CZ16" i="42"/>
  <c r="CY16" i="42"/>
  <c r="CX16" i="42"/>
  <c r="CW16" i="42"/>
  <c r="CV16" i="42"/>
  <c r="CT16" i="42"/>
  <c r="CS16" i="42"/>
  <c r="CR16" i="42"/>
  <c r="CQ16" i="42"/>
  <c r="CP16" i="42"/>
  <c r="CO16" i="42"/>
  <c r="CN16" i="42"/>
  <c r="CM16" i="42"/>
  <c r="CL16" i="42"/>
  <c r="CK16" i="42"/>
  <c r="CJ16" i="42"/>
  <c r="CI16" i="42"/>
  <c r="CH16" i="42"/>
  <c r="CG16" i="42"/>
  <c r="CF16" i="42"/>
  <c r="CE16" i="42"/>
  <c r="AZ16" i="42"/>
  <c r="AY16" i="42"/>
  <c r="AX16" i="42"/>
  <c r="AW16" i="42"/>
  <c r="AV16" i="42"/>
  <c r="AT16" i="42"/>
  <c r="AS16" i="42"/>
  <c r="AR16" i="42"/>
  <c r="AQ16" i="42"/>
  <c r="AP16" i="42"/>
  <c r="AO16" i="42"/>
  <c r="AN16" i="42"/>
  <c r="AM16" i="42"/>
  <c r="AL16" i="42"/>
  <c r="AK16" i="42"/>
  <c r="AJ16" i="42"/>
  <c r="AI16" i="42"/>
  <c r="AH16" i="42"/>
  <c r="AG16" i="42"/>
  <c r="AF16" i="42"/>
  <c r="AE16" i="42"/>
  <c r="CZ29" i="42"/>
  <c r="CY29" i="42"/>
  <c r="CX29" i="42"/>
  <c r="CW29" i="42"/>
  <c r="CV29" i="42"/>
  <c r="CT29" i="42"/>
  <c r="CS29" i="42"/>
  <c r="CR29" i="42"/>
  <c r="CQ29" i="42"/>
  <c r="CP29" i="42"/>
  <c r="CO29" i="42"/>
  <c r="CN29" i="42"/>
  <c r="CM29" i="42"/>
  <c r="CL29" i="42"/>
  <c r="CK29" i="42"/>
  <c r="CJ29" i="42"/>
  <c r="CI29" i="42"/>
  <c r="CH29" i="42"/>
  <c r="CG29" i="42"/>
  <c r="CF29" i="42"/>
  <c r="CE29" i="42"/>
  <c r="AZ29" i="42"/>
  <c r="AY29" i="42"/>
  <c r="AX29" i="42"/>
  <c r="AW29" i="42"/>
  <c r="AV29" i="42"/>
  <c r="AT29" i="42"/>
  <c r="AS29" i="42"/>
  <c r="AR29" i="42"/>
  <c r="AQ29" i="42"/>
  <c r="AP29" i="42"/>
  <c r="AO29" i="42"/>
  <c r="AN29" i="42"/>
  <c r="AM29" i="42"/>
  <c r="AL29" i="42"/>
  <c r="AK29" i="42"/>
  <c r="AJ29" i="42"/>
  <c r="AI29" i="42"/>
  <c r="AH29" i="42"/>
  <c r="AG29" i="42"/>
  <c r="AF29" i="42"/>
  <c r="AE29" i="42"/>
  <c r="CZ20" i="42"/>
  <c r="CY20" i="42"/>
  <c r="CX20" i="42"/>
  <c r="CW20" i="42"/>
  <c r="CV20" i="42"/>
  <c r="CT20" i="42"/>
  <c r="CS20" i="42"/>
  <c r="CR20" i="42"/>
  <c r="CQ20" i="42"/>
  <c r="CP20" i="42"/>
  <c r="CO20" i="42"/>
  <c r="CN20" i="42"/>
  <c r="CM20" i="42"/>
  <c r="CL20" i="42"/>
  <c r="CK20" i="42"/>
  <c r="CJ20" i="42"/>
  <c r="CI20" i="42"/>
  <c r="CH20" i="42"/>
  <c r="CG20" i="42"/>
  <c r="CF20" i="42"/>
  <c r="CE20" i="42"/>
  <c r="AZ20" i="42"/>
  <c r="AY20" i="42"/>
  <c r="AX20" i="42"/>
  <c r="AW20" i="42"/>
  <c r="AV20" i="42"/>
  <c r="AT20" i="42"/>
  <c r="AS20" i="42"/>
  <c r="AR20" i="42"/>
  <c r="AQ20" i="42"/>
  <c r="AP20" i="42"/>
  <c r="AO20" i="42"/>
  <c r="AN20" i="42"/>
  <c r="AM20" i="42"/>
  <c r="AL20" i="42"/>
  <c r="AK20" i="42"/>
  <c r="AJ20" i="42"/>
  <c r="AI20" i="42"/>
  <c r="AH20" i="42"/>
  <c r="AG20" i="42"/>
  <c r="AF20" i="42"/>
  <c r="AE20" i="42"/>
  <c r="CZ24" i="42"/>
  <c r="CY24" i="42"/>
  <c r="CX24" i="42"/>
  <c r="CW24" i="42"/>
  <c r="CV24" i="42"/>
  <c r="CT24" i="42"/>
  <c r="CS24" i="42"/>
  <c r="CR24" i="42"/>
  <c r="CQ24" i="42"/>
  <c r="CP24" i="42"/>
  <c r="CO24" i="42"/>
  <c r="CN24" i="42"/>
  <c r="CM24" i="42"/>
  <c r="CL24" i="42"/>
  <c r="CK24" i="42"/>
  <c r="CJ24" i="42"/>
  <c r="CI24" i="42"/>
  <c r="CH24" i="42"/>
  <c r="CG24" i="42"/>
  <c r="CF24" i="42"/>
  <c r="CE24" i="42"/>
  <c r="AZ24" i="42"/>
  <c r="AY24" i="42"/>
  <c r="AX24" i="42"/>
  <c r="AW24" i="42"/>
  <c r="AV24" i="42"/>
  <c r="AT24" i="42"/>
  <c r="AS24" i="42"/>
  <c r="AR24" i="42"/>
  <c r="AQ24" i="42"/>
  <c r="AP24" i="42"/>
  <c r="AO24" i="42"/>
  <c r="AN24" i="42"/>
  <c r="AM24" i="42"/>
  <c r="AL24" i="42"/>
  <c r="AK24" i="42"/>
  <c r="AJ24" i="42"/>
  <c r="AI24" i="42"/>
  <c r="AH24" i="42"/>
  <c r="AG24" i="42"/>
  <c r="AF24" i="42"/>
  <c r="AE24" i="42"/>
  <c r="CZ9" i="42"/>
  <c r="CY9" i="42"/>
  <c r="CX9" i="42"/>
  <c r="CW9" i="42"/>
  <c r="CV9" i="42"/>
  <c r="CT9" i="42"/>
  <c r="CS9" i="42"/>
  <c r="CR9" i="42"/>
  <c r="CQ9" i="42"/>
  <c r="CP9" i="42"/>
  <c r="CO9" i="42"/>
  <c r="CN9" i="42"/>
  <c r="CM9" i="42"/>
  <c r="CL9" i="42"/>
  <c r="CK9" i="42"/>
  <c r="CJ9" i="42"/>
  <c r="CI9" i="42"/>
  <c r="CH9" i="42"/>
  <c r="CG9" i="42"/>
  <c r="CF9" i="42"/>
  <c r="CE9" i="42"/>
  <c r="AZ9" i="42"/>
  <c r="AY9" i="42"/>
  <c r="AX9" i="42"/>
  <c r="AW9" i="42"/>
  <c r="AV9" i="42"/>
  <c r="AT9" i="42"/>
  <c r="AS9" i="42"/>
  <c r="AR9" i="42"/>
  <c r="AQ9" i="42"/>
  <c r="AP9" i="42"/>
  <c r="AO9" i="42"/>
  <c r="AN9" i="42"/>
  <c r="AM9" i="42"/>
  <c r="AL9" i="42"/>
  <c r="AK9" i="42"/>
  <c r="AJ9" i="42"/>
  <c r="AI9" i="42"/>
  <c r="AH9" i="42"/>
  <c r="AG9" i="42"/>
  <c r="AF9" i="42"/>
  <c r="AE9" i="42"/>
  <c r="CZ5" i="42"/>
  <c r="CY5" i="42"/>
  <c r="CX5" i="42"/>
  <c r="CW5" i="42"/>
  <c r="CV5" i="42"/>
  <c r="CT5" i="42"/>
  <c r="CS5" i="42"/>
  <c r="CR5" i="42"/>
  <c r="CQ5" i="42"/>
  <c r="CP5" i="42"/>
  <c r="CO5" i="42"/>
  <c r="CN5" i="42"/>
  <c r="CM5" i="42"/>
  <c r="CL5" i="42"/>
  <c r="CK5" i="42"/>
  <c r="CJ5" i="42"/>
  <c r="CI5" i="42"/>
  <c r="CH5" i="42"/>
  <c r="CG5" i="42"/>
  <c r="CF5" i="42"/>
  <c r="CE5" i="42"/>
  <c r="AZ5" i="42"/>
  <c r="AY5" i="42"/>
  <c r="AX5" i="42"/>
  <c r="AW5" i="42"/>
  <c r="AV5" i="42"/>
  <c r="AT5" i="42"/>
  <c r="AS5" i="42"/>
  <c r="AR5" i="42"/>
  <c r="AQ5" i="42"/>
  <c r="AP5" i="42"/>
  <c r="AO5" i="42"/>
  <c r="AN5" i="42"/>
  <c r="AM5" i="42"/>
  <c r="AL5" i="42"/>
  <c r="AK5" i="42"/>
  <c r="AJ5" i="42"/>
  <c r="AI5" i="42"/>
  <c r="AH5" i="42"/>
  <c r="AG5" i="42"/>
  <c r="AF5" i="42"/>
  <c r="AE5" i="42"/>
  <c r="CZ17" i="42"/>
  <c r="CY17" i="42"/>
  <c r="CX17" i="42"/>
  <c r="CW17" i="42"/>
  <c r="CV17" i="42"/>
  <c r="CT17" i="42"/>
  <c r="CS17" i="42"/>
  <c r="CR17" i="42"/>
  <c r="CQ17" i="42"/>
  <c r="CP17" i="42"/>
  <c r="CO17" i="42"/>
  <c r="CN17" i="42"/>
  <c r="CM17" i="42"/>
  <c r="CL17" i="42"/>
  <c r="CK17" i="42"/>
  <c r="CJ17" i="42"/>
  <c r="CI17" i="42"/>
  <c r="CH17" i="42"/>
  <c r="CG17" i="42"/>
  <c r="CF17" i="42"/>
  <c r="CE17" i="42"/>
  <c r="AZ17" i="42"/>
  <c r="AY17" i="42"/>
  <c r="AX17" i="42"/>
  <c r="AW17" i="42"/>
  <c r="AV17" i="42"/>
  <c r="AT17" i="42"/>
  <c r="AS17" i="42"/>
  <c r="AR17" i="42"/>
  <c r="AQ17" i="42"/>
  <c r="AP17" i="42"/>
  <c r="AO17" i="42"/>
  <c r="AN17" i="42"/>
  <c r="AM17" i="42"/>
  <c r="AL17" i="42"/>
  <c r="AK17" i="42"/>
  <c r="AJ17" i="42"/>
  <c r="AI17" i="42"/>
  <c r="AH17" i="42"/>
  <c r="AG17" i="42"/>
  <c r="AF17" i="42"/>
  <c r="AE17" i="42"/>
  <c r="CZ21" i="42"/>
  <c r="CY21" i="42"/>
  <c r="CX21" i="42"/>
  <c r="CW21" i="42"/>
  <c r="CV21" i="42"/>
  <c r="CT21" i="42"/>
  <c r="CS21" i="42"/>
  <c r="CR21" i="42"/>
  <c r="CQ21" i="42"/>
  <c r="CP21" i="42"/>
  <c r="CO21" i="42"/>
  <c r="CN21" i="42"/>
  <c r="CM21" i="42"/>
  <c r="CL21" i="42"/>
  <c r="CK21" i="42"/>
  <c r="CJ21" i="42"/>
  <c r="CI21" i="42"/>
  <c r="CH21" i="42"/>
  <c r="CG21" i="42"/>
  <c r="CF21" i="42"/>
  <c r="CE21" i="42"/>
  <c r="AZ21" i="42"/>
  <c r="AY21" i="42"/>
  <c r="AX21" i="42"/>
  <c r="AW21" i="42"/>
  <c r="AV21" i="42"/>
  <c r="AT21" i="42"/>
  <c r="AS21" i="42"/>
  <c r="AR21" i="42"/>
  <c r="AQ21" i="42"/>
  <c r="AP21" i="42"/>
  <c r="AO21" i="42"/>
  <c r="AN21" i="42"/>
  <c r="AM21" i="42"/>
  <c r="AL21" i="42"/>
  <c r="AK21" i="42"/>
  <c r="AJ21" i="42"/>
  <c r="AI21" i="42"/>
  <c r="AH21" i="42"/>
  <c r="AG21" i="42"/>
  <c r="AF21" i="42"/>
  <c r="AE21" i="42"/>
  <c r="CZ25" i="42"/>
  <c r="CY25" i="42"/>
  <c r="CX25" i="42"/>
  <c r="CW25" i="42"/>
  <c r="CV25" i="42"/>
  <c r="CT25" i="42"/>
  <c r="CS25" i="42"/>
  <c r="CR25" i="42"/>
  <c r="CQ25" i="42"/>
  <c r="CP25" i="42"/>
  <c r="CO25" i="42"/>
  <c r="CN25" i="42"/>
  <c r="CM25" i="42"/>
  <c r="CL25" i="42"/>
  <c r="CK25" i="42"/>
  <c r="CJ25" i="42"/>
  <c r="CI25" i="42"/>
  <c r="CH25" i="42"/>
  <c r="CG25" i="42"/>
  <c r="CF25" i="42"/>
  <c r="CE25" i="42"/>
  <c r="AZ25" i="42"/>
  <c r="AY25" i="42"/>
  <c r="AX25" i="42"/>
  <c r="AW25" i="42"/>
  <c r="AV25" i="42"/>
  <c r="AT25" i="42"/>
  <c r="AS25" i="42"/>
  <c r="AR25" i="42"/>
  <c r="AQ25" i="42"/>
  <c r="AP25" i="42"/>
  <c r="AO25" i="42"/>
  <c r="AN25" i="42"/>
  <c r="AM25" i="42"/>
  <c r="AL25" i="42"/>
  <c r="AK25" i="42"/>
  <c r="AJ25" i="42"/>
  <c r="AI25" i="42"/>
  <c r="AH25" i="42"/>
  <c r="AG25" i="42"/>
  <c r="AF25" i="42"/>
  <c r="AE25" i="42"/>
  <c r="CZ23" i="42"/>
  <c r="CY23" i="42"/>
  <c r="CX23" i="42"/>
  <c r="CW23" i="42"/>
  <c r="CV23" i="42"/>
  <c r="CT23" i="42"/>
  <c r="CS23" i="42"/>
  <c r="CR23" i="42"/>
  <c r="CQ23" i="42"/>
  <c r="CP23" i="42"/>
  <c r="CO23" i="42"/>
  <c r="CN23" i="42"/>
  <c r="CM23" i="42"/>
  <c r="CL23" i="42"/>
  <c r="CK23" i="42"/>
  <c r="CJ23" i="42"/>
  <c r="CI23" i="42"/>
  <c r="CH23" i="42"/>
  <c r="CG23" i="42"/>
  <c r="CF23" i="42"/>
  <c r="CE23" i="42"/>
  <c r="AZ23" i="42"/>
  <c r="AY23" i="42"/>
  <c r="AX23" i="42"/>
  <c r="AW23" i="42"/>
  <c r="AV23" i="42"/>
  <c r="AT23" i="42"/>
  <c r="AS23" i="42"/>
  <c r="AR23" i="42"/>
  <c r="AQ23" i="42"/>
  <c r="AP23" i="42"/>
  <c r="AO23" i="42"/>
  <c r="AN23" i="42"/>
  <c r="AM23" i="42"/>
  <c r="AL23" i="42"/>
  <c r="AK23" i="42"/>
  <c r="AJ23" i="42"/>
  <c r="AI23" i="42"/>
  <c r="AH23" i="42"/>
  <c r="AG23" i="42"/>
  <c r="AF23" i="42"/>
  <c r="AE23" i="42"/>
  <c r="CZ6" i="42"/>
  <c r="CY6" i="42"/>
  <c r="CX6" i="42"/>
  <c r="CW6" i="42"/>
  <c r="CV6" i="42"/>
  <c r="CT6" i="42"/>
  <c r="CS6" i="42"/>
  <c r="CR6" i="42"/>
  <c r="CQ6" i="42"/>
  <c r="CP6" i="42"/>
  <c r="CO6" i="42"/>
  <c r="CN6" i="42"/>
  <c r="CM6" i="42"/>
  <c r="CL6" i="42"/>
  <c r="CK6" i="42"/>
  <c r="CJ6" i="42"/>
  <c r="CI6" i="42"/>
  <c r="CH6" i="42"/>
  <c r="CG6" i="42"/>
  <c r="CF6" i="42"/>
  <c r="CE6" i="42"/>
  <c r="AZ6" i="42"/>
  <c r="AY6" i="42"/>
  <c r="AX6" i="42"/>
  <c r="AW6" i="42"/>
  <c r="AV6" i="42"/>
  <c r="AT6" i="42"/>
  <c r="AS6" i="42"/>
  <c r="AR6" i="42"/>
  <c r="AQ6" i="42"/>
  <c r="AP6" i="42"/>
  <c r="AO6" i="42"/>
  <c r="AN6" i="42"/>
  <c r="AM6" i="42"/>
  <c r="AL6" i="42"/>
  <c r="AK6" i="42"/>
  <c r="AJ6" i="42"/>
  <c r="AI6" i="42"/>
  <c r="AH6" i="42"/>
  <c r="AG6" i="42"/>
  <c r="AF6" i="42"/>
  <c r="AE6" i="42"/>
  <c r="CZ10" i="42"/>
  <c r="CY10" i="42"/>
  <c r="CX10" i="42"/>
  <c r="CW10" i="42"/>
  <c r="CV10" i="42"/>
  <c r="CT10" i="42"/>
  <c r="CS10" i="42"/>
  <c r="CR10" i="42"/>
  <c r="CQ10" i="42"/>
  <c r="CP10" i="42"/>
  <c r="CO10" i="42"/>
  <c r="CN10" i="42"/>
  <c r="CM10" i="42"/>
  <c r="CL10" i="42"/>
  <c r="CK10" i="42"/>
  <c r="CJ10" i="42"/>
  <c r="CI10" i="42"/>
  <c r="CH10" i="42"/>
  <c r="CG10" i="42"/>
  <c r="CF10" i="42"/>
  <c r="CE10" i="42"/>
  <c r="AZ10" i="42"/>
  <c r="AY10" i="42"/>
  <c r="AX10" i="42"/>
  <c r="AW10" i="42"/>
  <c r="AV10" i="42"/>
  <c r="AT10" i="42"/>
  <c r="AS10" i="42"/>
  <c r="AR10" i="42"/>
  <c r="AQ10" i="42"/>
  <c r="AP10" i="42"/>
  <c r="AO10" i="42"/>
  <c r="AN10" i="42"/>
  <c r="AM10" i="42"/>
  <c r="AL10" i="42"/>
  <c r="AK10" i="42"/>
  <c r="AJ10" i="42"/>
  <c r="AI10" i="42"/>
  <c r="AH10" i="42"/>
  <c r="AG10" i="42"/>
  <c r="AF10" i="42"/>
  <c r="AE10" i="42"/>
  <c r="CZ15" i="42"/>
  <c r="CY15" i="42"/>
  <c r="CX15" i="42"/>
  <c r="CW15" i="42"/>
  <c r="CV15" i="42"/>
  <c r="CT15" i="42"/>
  <c r="CS15" i="42"/>
  <c r="CR15" i="42"/>
  <c r="CQ15" i="42"/>
  <c r="CP15" i="42"/>
  <c r="CO15" i="42"/>
  <c r="CN15" i="42"/>
  <c r="CM15" i="42"/>
  <c r="CL15" i="42"/>
  <c r="CK15" i="42"/>
  <c r="CJ15" i="42"/>
  <c r="CI15" i="42"/>
  <c r="CH15" i="42"/>
  <c r="CG15" i="42"/>
  <c r="CF15" i="42"/>
  <c r="CE15" i="42"/>
  <c r="AZ15" i="42"/>
  <c r="AY15" i="42"/>
  <c r="AX15" i="42"/>
  <c r="AW15" i="42"/>
  <c r="AV15" i="42"/>
  <c r="AT15" i="42"/>
  <c r="AS15" i="42"/>
  <c r="AR15" i="42"/>
  <c r="AQ15" i="42"/>
  <c r="AP15" i="42"/>
  <c r="AO15" i="42"/>
  <c r="AN15" i="42"/>
  <c r="AM15" i="42"/>
  <c r="AL15" i="42"/>
  <c r="AK15" i="42"/>
  <c r="AJ15" i="42"/>
  <c r="AI15" i="42"/>
  <c r="AH15" i="42"/>
  <c r="AG15" i="42"/>
  <c r="AF15" i="42"/>
  <c r="AE15" i="42"/>
  <c r="CZ28" i="42"/>
  <c r="CY28" i="42"/>
  <c r="CX28" i="42"/>
  <c r="CW28" i="42"/>
  <c r="CV28" i="42"/>
  <c r="CT28" i="42"/>
  <c r="CS28" i="42"/>
  <c r="CR28" i="42"/>
  <c r="CQ28" i="42"/>
  <c r="CP28" i="42"/>
  <c r="CO28" i="42"/>
  <c r="CN28" i="42"/>
  <c r="CM28" i="42"/>
  <c r="CL28" i="42"/>
  <c r="CK28" i="42"/>
  <c r="CJ28" i="42"/>
  <c r="CI28" i="42"/>
  <c r="CH28" i="42"/>
  <c r="CG28" i="42"/>
  <c r="CF28" i="42"/>
  <c r="CE28" i="42"/>
  <c r="AZ28" i="42"/>
  <c r="AY28" i="42"/>
  <c r="AX28" i="42"/>
  <c r="AW28" i="42"/>
  <c r="AV28" i="42"/>
  <c r="AT28" i="42"/>
  <c r="AS28" i="42"/>
  <c r="AR28" i="42"/>
  <c r="AQ28" i="42"/>
  <c r="AP28" i="42"/>
  <c r="AO28" i="42"/>
  <c r="AN28" i="42"/>
  <c r="AM28" i="42"/>
  <c r="AL28" i="42"/>
  <c r="AK28" i="42"/>
  <c r="AJ28" i="42"/>
  <c r="AI28" i="42"/>
  <c r="AH28" i="42"/>
  <c r="AG28" i="42"/>
  <c r="AF28" i="42"/>
  <c r="AE28" i="42"/>
  <c r="CZ19" i="42"/>
  <c r="CY19" i="42"/>
  <c r="CX19" i="42"/>
  <c r="CW19" i="42"/>
  <c r="CV19" i="42"/>
  <c r="CT19" i="42"/>
  <c r="CS19" i="42"/>
  <c r="CR19" i="42"/>
  <c r="CQ19" i="42"/>
  <c r="CP19" i="42"/>
  <c r="CO19" i="42"/>
  <c r="CN19" i="42"/>
  <c r="CM19" i="42"/>
  <c r="CL19" i="42"/>
  <c r="CK19" i="42"/>
  <c r="CJ19" i="42"/>
  <c r="CI19" i="42"/>
  <c r="CH19" i="42"/>
  <c r="CG19" i="42"/>
  <c r="CF19" i="42"/>
  <c r="CE19" i="42"/>
  <c r="AZ19" i="42"/>
  <c r="AY19" i="42"/>
  <c r="AX19" i="42"/>
  <c r="AW19" i="42"/>
  <c r="AV19" i="42"/>
  <c r="AT19" i="42"/>
  <c r="AS19" i="42"/>
  <c r="AR19" i="42"/>
  <c r="AQ19" i="42"/>
  <c r="AP19" i="42"/>
  <c r="AO19" i="42"/>
  <c r="AN19" i="42"/>
  <c r="AM19" i="42"/>
  <c r="AL19" i="42"/>
  <c r="AK19" i="42"/>
  <c r="AJ19" i="42"/>
  <c r="AI19" i="42"/>
  <c r="AH19" i="42"/>
  <c r="AG19" i="42"/>
  <c r="AF19" i="42"/>
  <c r="AE19" i="42"/>
  <c r="CZ8" i="42"/>
  <c r="CY8" i="42"/>
  <c r="CX8" i="42"/>
  <c r="CW8" i="42"/>
  <c r="CV8" i="42"/>
  <c r="CT8" i="42"/>
  <c r="CS8" i="42"/>
  <c r="CR8" i="42"/>
  <c r="CQ8" i="42"/>
  <c r="CP8" i="42"/>
  <c r="CO8" i="42"/>
  <c r="CN8" i="42"/>
  <c r="CM8" i="42"/>
  <c r="CL8" i="42"/>
  <c r="CK8" i="42"/>
  <c r="CJ8" i="42"/>
  <c r="CI8" i="42"/>
  <c r="CH8" i="42"/>
  <c r="CG8" i="42"/>
  <c r="CF8" i="42"/>
  <c r="CE8" i="42"/>
  <c r="AZ8" i="42"/>
  <c r="AY8" i="42"/>
  <c r="AX8" i="42"/>
  <c r="AW8" i="42"/>
  <c r="AV8" i="42"/>
  <c r="AT8" i="42"/>
  <c r="AS8" i="42"/>
  <c r="AR8" i="42"/>
  <c r="AQ8" i="42"/>
  <c r="AP8" i="42"/>
  <c r="AO8" i="42"/>
  <c r="AN8" i="42"/>
  <c r="AM8" i="42"/>
  <c r="AL8" i="42"/>
  <c r="AK8" i="42"/>
  <c r="AJ8" i="42"/>
  <c r="AI8" i="42"/>
  <c r="AH8" i="42"/>
  <c r="AG8" i="42"/>
  <c r="AF8" i="42"/>
  <c r="AE8" i="42"/>
  <c r="CZ4" i="42"/>
  <c r="CY4" i="42"/>
  <c r="CX4" i="42"/>
  <c r="CW4" i="42"/>
  <c r="CV4" i="42"/>
  <c r="CT4" i="42"/>
  <c r="CS4" i="42"/>
  <c r="CR4" i="42"/>
  <c r="CQ4" i="42"/>
  <c r="CP4" i="42"/>
  <c r="CO4" i="42"/>
  <c r="CN4" i="42"/>
  <c r="CM4" i="42"/>
  <c r="CL4" i="42"/>
  <c r="CK4" i="42"/>
  <c r="CJ4" i="42"/>
  <c r="CI4" i="42"/>
  <c r="CH4" i="42"/>
  <c r="CG4" i="42"/>
  <c r="CF4" i="42"/>
  <c r="CE4" i="42"/>
  <c r="AZ4" i="42"/>
  <c r="AY4" i="42"/>
  <c r="AX4" i="42"/>
  <c r="AW4" i="42"/>
  <c r="AV4" i="42"/>
  <c r="AT4" i="42"/>
  <c r="AS4" i="42"/>
  <c r="AR4" i="42"/>
  <c r="AQ4" i="42"/>
  <c r="AP4" i="42"/>
  <c r="AO4" i="42"/>
  <c r="AN4" i="42"/>
  <c r="AM4" i="42"/>
  <c r="AL4" i="42"/>
  <c r="AK4" i="42"/>
  <c r="AJ4" i="42"/>
  <c r="AI4" i="42"/>
  <c r="AH4" i="42"/>
  <c r="AG4" i="42"/>
  <c r="AF4" i="42"/>
  <c r="AE4" i="42"/>
  <c r="CZ11" i="42"/>
  <c r="CY11" i="42"/>
  <c r="CX11" i="42"/>
  <c r="CW11" i="42"/>
  <c r="CV11" i="42"/>
  <c r="CT11" i="42"/>
  <c r="CS11" i="42"/>
  <c r="CR11" i="42"/>
  <c r="CQ11" i="42"/>
  <c r="CP11" i="42"/>
  <c r="CO11" i="42"/>
  <c r="CN11" i="42"/>
  <c r="CM11" i="42"/>
  <c r="CL11" i="42"/>
  <c r="CK11" i="42"/>
  <c r="CJ11" i="42"/>
  <c r="CI11" i="42"/>
  <c r="CH11" i="42"/>
  <c r="CG11" i="42"/>
  <c r="CF11" i="42"/>
  <c r="CE11" i="42"/>
  <c r="AZ11" i="42"/>
  <c r="AY11" i="42"/>
  <c r="AX11" i="42"/>
  <c r="AW11" i="42"/>
  <c r="AV11" i="42"/>
  <c r="AT11" i="42"/>
  <c r="AS11" i="42"/>
  <c r="AR11" i="42"/>
  <c r="AQ11" i="42"/>
  <c r="AP11" i="42"/>
  <c r="AO11" i="42"/>
  <c r="AN11" i="42"/>
  <c r="AM11" i="42"/>
  <c r="AL11" i="42"/>
  <c r="AK11" i="42"/>
  <c r="AJ11" i="42"/>
  <c r="AI11" i="42"/>
  <c r="AH11" i="42"/>
  <c r="AG11" i="42"/>
  <c r="AF11" i="42"/>
  <c r="AE11" i="42"/>
  <c r="CZ2" i="42"/>
  <c r="CY2" i="42"/>
  <c r="CX2" i="42"/>
  <c r="CW2" i="42"/>
  <c r="CV2" i="42"/>
  <c r="CT2" i="42"/>
  <c r="CS2" i="42"/>
  <c r="CR2" i="42"/>
  <c r="CQ2" i="42"/>
  <c r="CP2" i="42"/>
  <c r="CO2" i="42"/>
  <c r="CN2" i="42"/>
  <c r="CM2" i="42"/>
  <c r="CL2" i="42"/>
  <c r="CK2" i="42"/>
  <c r="CJ2" i="42"/>
  <c r="CI2" i="42"/>
  <c r="CH2" i="42"/>
  <c r="CG2" i="42"/>
  <c r="CF2" i="42"/>
  <c r="CE2" i="42"/>
  <c r="AZ2" i="42"/>
  <c r="AY2" i="42"/>
  <c r="AX2" i="42"/>
  <c r="AW2" i="42"/>
  <c r="AV2" i="42"/>
  <c r="AT2" i="42"/>
  <c r="AS2" i="42"/>
  <c r="AR2" i="42"/>
  <c r="AQ2" i="42"/>
  <c r="AP2" i="42"/>
  <c r="AO2" i="42"/>
  <c r="AN2" i="42"/>
  <c r="AM2" i="42"/>
  <c r="AL2" i="42"/>
  <c r="AK2" i="42"/>
  <c r="AJ2" i="42"/>
  <c r="AI2" i="42"/>
  <c r="AH2" i="42"/>
  <c r="AG2" i="42"/>
  <c r="AF2" i="42"/>
  <c r="AE2" i="42"/>
  <c r="CZ22" i="42"/>
  <c r="CY22" i="42"/>
  <c r="CX22" i="42"/>
  <c r="CW22" i="42"/>
  <c r="CV22" i="42"/>
  <c r="CT22" i="42"/>
  <c r="CS22" i="42"/>
  <c r="CR22" i="42"/>
  <c r="CQ22" i="42"/>
  <c r="CP22" i="42"/>
  <c r="CO22" i="42"/>
  <c r="CN22" i="42"/>
  <c r="CM22" i="42"/>
  <c r="CL22" i="42"/>
  <c r="CK22" i="42"/>
  <c r="CJ22" i="42"/>
  <c r="CI22" i="42"/>
  <c r="CH22" i="42"/>
  <c r="CG22" i="42"/>
  <c r="CF22" i="42"/>
  <c r="CE22" i="42"/>
  <c r="AZ22" i="42"/>
  <c r="AY22" i="42"/>
  <c r="AX22" i="42"/>
  <c r="AW22" i="42"/>
  <c r="AV22" i="42"/>
  <c r="AT22" i="42"/>
  <c r="AS22" i="42"/>
  <c r="AR22" i="42"/>
  <c r="AQ22" i="42"/>
  <c r="AP22" i="42"/>
  <c r="AO22" i="42"/>
  <c r="AN22" i="42"/>
  <c r="AM22" i="42"/>
  <c r="AL22" i="42"/>
  <c r="AK22" i="42"/>
  <c r="AJ22" i="42"/>
  <c r="AI22" i="42"/>
  <c r="AH22" i="42"/>
  <c r="AG22" i="42"/>
  <c r="AF22" i="42"/>
  <c r="AE22" i="42"/>
  <c r="CZ26" i="42"/>
  <c r="CY26" i="42"/>
  <c r="CX26" i="42"/>
  <c r="CW26" i="42"/>
  <c r="CV26" i="42"/>
  <c r="CT26" i="42"/>
  <c r="CS26" i="42"/>
  <c r="CR26" i="42"/>
  <c r="CQ26" i="42"/>
  <c r="CP26" i="42"/>
  <c r="CO26" i="42"/>
  <c r="CN26" i="42"/>
  <c r="CM26" i="42"/>
  <c r="CL26" i="42"/>
  <c r="CK26" i="42"/>
  <c r="CJ26" i="42"/>
  <c r="CI26" i="42"/>
  <c r="CH26" i="42"/>
  <c r="CG26" i="42"/>
  <c r="CF26" i="42"/>
  <c r="CE26" i="42"/>
  <c r="AZ26" i="42"/>
  <c r="AY26" i="42"/>
  <c r="AX26" i="42"/>
  <c r="AW26" i="42"/>
  <c r="AV26" i="42"/>
  <c r="AT26" i="42"/>
  <c r="AS26" i="42"/>
  <c r="AR26" i="42"/>
  <c r="AQ26" i="42"/>
  <c r="AP26" i="42"/>
  <c r="AO26" i="42"/>
  <c r="AN26" i="42"/>
  <c r="AM26" i="42"/>
  <c r="AL26" i="42"/>
  <c r="AK26" i="42"/>
  <c r="AJ26" i="42"/>
  <c r="AI26" i="42"/>
  <c r="AH26" i="42"/>
  <c r="AG26" i="42"/>
  <c r="AF26" i="42"/>
  <c r="AE26" i="42"/>
  <c r="CZ30" i="42"/>
  <c r="CY30" i="42"/>
  <c r="CX30" i="42"/>
  <c r="CW30" i="42"/>
  <c r="CV30" i="42"/>
  <c r="CT30" i="42"/>
  <c r="CS30" i="42"/>
  <c r="CR30" i="42"/>
  <c r="CQ30" i="42"/>
  <c r="CP30" i="42"/>
  <c r="CO30" i="42"/>
  <c r="CN30" i="42"/>
  <c r="CM30" i="42"/>
  <c r="CL30" i="42"/>
  <c r="CK30" i="42"/>
  <c r="CJ30" i="42"/>
  <c r="CI30" i="42"/>
  <c r="CH30" i="42"/>
  <c r="CG30" i="42"/>
  <c r="CF30" i="42"/>
  <c r="CE30" i="42"/>
  <c r="AZ30" i="42"/>
  <c r="AY30" i="42"/>
  <c r="AX30" i="42"/>
  <c r="AW30" i="42"/>
  <c r="AV30" i="42"/>
  <c r="AT30" i="42"/>
  <c r="AS30" i="42"/>
  <c r="AR30" i="42"/>
  <c r="AQ30" i="42"/>
  <c r="AP30" i="42"/>
  <c r="AO30" i="42"/>
  <c r="AN30" i="42"/>
  <c r="AM30" i="42"/>
  <c r="AL30" i="42"/>
  <c r="AK30" i="42"/>
  <c r="AJ30" i="42"/>
  <c r="AI30" i="42"/>
  <c r="AH30" i="42"/>
  <c r="AG30" i="42"/>
  <c r="AF30" i="42"/>
  <c r="AE30" i="42"/>
  <c r="CZ14" i="42"/>
  <c r="CY14" i="42"/>
  <c r="CX14" i="42"/>
  <c r="CW14" i="42"/>
  <c r="CV14" i="42"/>
  <c r="CT14" i="42"/>
  <c r="CS14" i="42"/>
  <c r="CR14" i="42"/>
  <c r="CQ14" i="42"/>
  <c r="CP14" i="42"/>
  <c r="CO14" i="42"/>
  <c r="CN14" i="42"/>
  <c r="CM14" i="42"/>
  <c r="CL14" i="42"/>
  <c r="CK14" i="42"/>
  <c r="CJ14" i="42"/>
  <c r="CI14" i="42"/>
  <c r="CH14" i="42"/>
  <c r="CG14" i="42"/>
  <c r="CF14" i="42"/>
  <c r="CE14" i="42"/>
  <c r="AZ14" i="42"/>
  <c r="AY14" i="42"/>
  <c r="AX14" i="42"/>
  <c r="AW14" i="42"/>
  <c r="AV14" i="42"/>
  <c r="AT14" i="42"/>
  <c r="AS14" i="42"/>
  <c r="AR14" i="42"/>
  <c r="AQ14" i="42"/>
  <c r="AP14" i="42"/>
  <c r="AO14" i="42"/>
  <c r="AN14" i="42"/>
  <c r="AM14" i="42"/>
  <c r="AL14" i="42"/>
  <c r="AK14" i="42"/>
  <c r="AJ14" i="42"/>
  <c r="AI14" i="42"/>
  <c r="AH14" i="42"/>
  <c r="AG14" i="42"/>
  <c r="AF14" i="42"/>
  <c r="AE14" i="42"/>
  <c r="CZ13" i="42"/>
  <c r="CY13" i="42"/>
  <c r="CX13" i="42"/>
  <c r="CW13" i="42"/>
  <c r="CV13" i="42"/>
  <c r="CT13" i="42"/>
  <c r="CS13" i="42"/>
  <c r="CR13" i="42"/>
  <c r="CQ13" i="42"/>
  <c r="CP13" i="42"/>
  <c r="CO13" i="42"/>
  <c r="CN13" i="42"/>
  <c r="CM13" i="42"/>
  <c r="CL13" i="42"/>
  <c r="CK13" i="42"/>
  <c r="CJ13" i="42"/>
  <c r="CI13" i="42"/>
  <c r="CH13" i="42"/>
  <c r="CG13" i="42"/>
  <c r="CF13" i="42"/>
  <c r="CE13" i="42"/>
  <c r="AZ13" i="42"/>
  <c r="AY13" i="42"/>
  <c r="AX13" i="42"/>
  <c r="AW13" i="42"/>
  <c r="AV13" i="42"/>
  <c r="AT13" i="42"/>
  <c r="AS13" i="42"/>
  <c r="AR13" i="42"/>
  <c r="AQ13" i="42"/>
  <c r="AP13" i="42"/>
  <c r="AO13" i="42"/>
  <c r="AN13" i="42"/>
  <c r="AM13" i="42"/>
  <c r="AL13" i="42"/>
  <c r="AK13" i="42"/>
  <c r="AJ13" i="42"/>
  <c r="AI13" i="42"/>
  <c r="AH13" i="42"/>
  <c r="AG13" i="42"/>
  <c r="AF13" i="42"/>
  <c r="AE13" i="42"/>
  <c r="CZ3" i="42"/>
  <c r="CY3" i="42"/>
  <c r="CX3" i="42"/>
  <c r="CW3" i="42"/>
  <c r="CV3" i="42"/>
  <c r="CT3" i="42"/>
  <c r="CS3" i="42"/>
  <c r="CR3" i="42"/>
  <c r="CQ3" i="42"/>
  <c r="CP3" i="42"/>
  <c r="CO3" i="42"/>
  <c r="CN3" i="42"/>
  <c r="CM3" i="42"/>
  <c r="CL3" i="42"/>
  <c r="CK3" i="42"/>
  <c r="CJ3" i="42"/>
  <c r="CI3" i="42"/>
  <c r="CH3" i="42"/>
  <c r="CG3" i="42"/>
  <c r="CF3" i="42"/>
  <c r="CE3" i="42"/>
  <c r="AZ3" i="42"/>
  <c r="AY3" i="42"/>
  <c r="AX3" i="42"/>
  <c r="AW3" i="42"/>
  <c r="AV3" i="42"/>
  <c r="AT3" i="42"/>
  <c r="AS3" i="42"/>
  <c r="AR3" i="42"/>
  <c r="AQ3" i="42"/>
  <c r="AP3" i="42"/>
  <c r="AO3" i="42"/>
  <c r="AN3" i="42"/>
  <c r="AM3" i="42"/>
  <c r="AL3" i="42"/>
  <c r="AK3" i="42"/>
  <c r="AJ3" i="42"/>
  <c r="AI3" i="42"/>
  <c r="AH3" i="42"/>
  <c r="AG3" i="42"/>
  <c r="AF3" i="42"/>
  <c r="AE3" i="42"/>
  <c r="BZ27" i="41"/>
  <c r="BY27" i="41"/>
  <c r="BX27" i="41"/>
  <c r="BW27" i="41"/>
  <c r="BV27" i="41"/>
  <c r="BT27" i="41"/>
  <c r="BS27" i="41"/>
  <c r="BR27" i="41"/>
  <c r="BQ27" i="41"/>
  <c r="BP27" i="41"/>
  <c r="BO27" i="41"/>
  <c r="BN27" i="41"/>
  <c r="BM27" i="41"/>
  <c r="BL27" i="41"/>
  <c r="BK27" i="41"/>
  <c r="BJ27" i="41"/>
  <c r="BI27" i="41"/>
  <c r="BH27" i="41"/>
  <c r="BG27" i="41"/>
  <c r="BF27" i="41"/>
  <c r="BE27" i="41"/>
  <c r="BZ18" i="41"/>
  <c r="BY18" i="41"/>
  <c r="BX18" i="41"/>
  <c r="BW18" i="41"/>
  <c r="BV18" i="41"/>
  <c r="BT18" i="41"/>
  <c r="BS18" i="41"/>
  <c r="BR18" i="41"/>
  <c r="BQ18" i="41"/>
  <c r="BP18" i="41"/>
  <c r="BO18" i="41"/>
  <c r="BN18" i="41"/>
  <c r="BM18" i="41"/>
  <c r="BL18" i="41"/>
  <c r="BK18" i="41"/>
  <c r="BJ18" i="41"/>
  <c r="BI18" i="41"/>
  <c r="BH18" i="41"/>
  <c r="BG18" i="41"/>
  <c r="BF18" i="41"/>
  <c r="BE18" i="41"/>
  <c r="BZ12" i="41"/>
  <c r="BY12" i="41"/>
  <c r="BX12" i="41"/>
  <c r="BW12" i="41"/>
  <c r="BV12" i="41"/>
  <c r="BT12" i="41"/>
  <c r="BS12" i="41"/>
  <c r="BR12" i="41"/>
  <c r="BQ12" i="41"/>
  <c r="BP12" i="41"/>
  <c r="BO12" i="41"/>
  <c r="BN12" i="41"/>
  <c r="BM12" i="41"/>
  <c r="BL12" i="41"/>
  <c r="BK12" i="41"/>
  <c r="BJ12" i="41"/>
  <c r="BI12" i="41"/>
  <c r="BH12" i="41"/>
  <c r="BG12" i="41"/>
  <c r="BF12" i="41"/>
  <c r="BE12" i="41"/>
  <c r="BZ7" i="41"/>
  <c r="BY7" i="41"/>
  <c r="BX7" i="41"/>
  <c r="BW7" i="41"/>
  <c r="BV7" i="41"/>
  <c r="BT7" i="41"/>
  <c r="BS7" i="41"/>
  <c r="BR7" i="41"/>
  <c r="BQ7" i="41"/>
  <c r="BP7" i="41"/>
  <c r="BO7" i="41"/>
  <c r="BN7" i="41"/>
  <c r="BM7" i="41"/>
  <c r="BL7" i="41"/>
  <c r="BK7" i="41"/>
  <c r="BJ7" i="41"/>
  <c r="BI7" i="41"/>
  <c r="BH7" i="41"/>
  <c r="BG7" i="41"/>
  <c r="BF7" i="41"/>
  <c r="BE7" i="41"/>
  <c r="BZ16" i="41"/>
  <c r="BY16" i="41"/>
  <c r="BX16" i="41"/>
  <c r="BW16" i="41"/>
  <c r="BV16" i="41"/>
  <c r="BT16" i="41"/>
  <c r="BS16" i="41"/>
  <c r="BR16" i="41"/>
  <c r="BQ16" i="41"/>
  <c r="BP16" i="41"/>
  <c r="BO16" i="41"/>
  <c r="BN16" i="41"/>
  <c r="BM16" i="41"/>
  <c r="BL16" i="41"/>
  <c r="BK16" i="41"/>
  <c r="BJ16" i="41"/>
  <c r="BI16" i="41"/>
  <c r="BH16" i="41"/>
  <c r="BG16" i="41"/>
  <c r="BF16" i="41"/>
  <c r="BE16" i="41"/>
  <c r="BZ29" i="41"/>
  <c r="BY29" i="41"/>
  <c r="BX29" i="41"/>
  <c r="BW29" i="41"/>
  <c r="BV29" i="41"/>
  <c r="BT29" i="41"/>
  <c r="BS29" i="41"/>
  <c r="BR29" i="41"/>
  <c r="BQ29" i="41"/>
  <c r="BP29" i="41"/>
  <c r="BO29" i="41"/>
  <c r="BN29" i="41"/>
  <c r="BM29" i="41"/>
  <c r="BL29" i="41"/>
  <c r="BK29" i="41"/>
  <c r="BJ29" i="41"/>
  <c r="BI29" i="41"/>
  <c r="BH29" i="41"/>
  <c r="BG29" i="41"/>
  <c r="BF29" i="41"/>
  <c r="BE29" i="41"/>
  <c r="BZ20" i="41"/>
  <c r="BY20" i="41"/>
  <c r="BX20" i="41"/>
  <c r="BW20" i="41"/>
  <c r="BV20" i="41"/>
  <c r="BT20" i="41"/>
  <c r="BS20" i="41"/>
  <c r="BR20" i="41"/>
  <c r="BQ20" i="41"/>
  <c r="BP20" i="41"/>
  <c r="BO20" i="41"/>
  <c r="BN20" i="41"/>
  <c r="BM20" i="41"/>
  <c r="BL20" i="41"/>
  <c r="BK20" i="41"/>
  <c r="BJ20" i="41"/>
  <c r="BI20" i="41"/>
  <c r="BH20" i="41"/>
  <c r="BG20" i="41"/>
  <c r="BF20" i="41"/>
  <c r="BE20" i="41"/>
  <c r="BZ24" i="41"/>
  <c r="BY24" i="41"/>
  <c r="BX24" i="41"/>
  <c r="BW24" i="41"/>
  <c r="BV24" i="41"/>
  <c r="BT24" i="41"/>
  <c r="BS24" i="41"/>
  <c r="BR24" i="41"/>
  <c r="BQ24" i="41"/>
  <c r="BP24" i="41"/>
  <c r="BO24" i="41"/>
  <c r="BN24" i="41"/>
  <c r="BM24" i="41"/>
  <c r="BL24" i="41"/>
  <c r="BK24" i="41"/>
  <c r="BJ24" i="41"/>
  <c r="BI24" i="41"/>
  <c r="BH24" i="41"/>
  <c r="BG24" i="41"/>
  <c r="BF24" i="41"/>
  <c r="BE24" i="41"/>
  <c r="BZ9" i="41"/>
  <c r="BY9" i="41"/>
  <c r="BX9" i="41"/>
  <c r="BW9" i="41"/>
  <c r="BV9" i="41"/>
  <c r="BT9" i="41"/>
  <c r="BS9" i="41"/>
  <c r="BR9" i="41"/>
  <c r="BQ9" i="41"/>
  <c r="BP9" i="41"/>
  <c r="BO9" i="41"/>
  <c r="BN9" i="41"/>
  <c r="BM9" i="41"/>
  <c r="BL9" i="41"/>
  <c r="BK9" i="41"/>
  <c r="BJ9" i="41"/>
  <c r="BI9" i="41"/>
  <c r="BH9" i="41"/>
  <c r="BG9" i="41"/>
  <c r="BF9" i="41"/>
  <c r="BE9" i="41"/>
  <c r="BZ5" i="41"/>
  <c r="BY5" i="41"/>
  <c r="BX5" i="41"/>
  <c r="BW5" i="41"/>
  <c r="BV5" i="41"/>
  <c r="BT5" i="41"/>
  <c r="BS5" i="41"/>
  <c r="BR5" i="41"/>
  <c r="BQ5" i="41"/>
  <c r="BP5" i="41"/>
  <c r="BO5" i="41"/>
  <c r="BN5" i="41"/>
  <c r="BM5" i="41"/>
  <c r="BL5" i="41"/>
  <c r="BK5" i="41"/>
  <c r="BJ5" i="41"/>
  <c r="BI5" i="41"/>
  <c r="BH5" i="41"/>
  <c r="BG5" i="41"/>
  <c r="BF5" i="41"/>
  <c r="BE5" i="41"/>
  <c r="BZ17" i="41"/>
  <c r="BY17" i="41"/>
  <c r="BX17" i="41"/>
  <c r="BW17" i="41"/>
  <c r="BV17" i="41"/>
  <c r="BT17" i="41"/>
  <c r="BS17" i="41"/>
  <c r="BR17" i="41"/>
  <c r="BQ17" i="41"/>
  <c r="BP17" i="41"/>
  <c r="BO17" i="41"/>
  <c r="BN17" i="41"/>
  <c r="BM17" i="41"/>
  <c r="BL17" i="41"/>
  <c r="BK17" i="41"/>
  <c r="BJ17" i="41"/>
  <c r="BI17" i="41"/>
  <c r="BH17" i="41"/>
  <c r="BG17" i="41"/>
  <c r="BF17" i="41"/>
  <c r="BE17" i="41"/>
  <c r="BZ21" i="41"/>
  <c r="BY21" i="41"/>
  <c r="BX21" i="41"/>
  <c r="BW21" i="41"/>
  <c r="BV21" i="41"/>
  <c r="BT21" i="41"/>
  <c r="BS21" i="41"/>
  <c r="BR21" i="41"/>
  <c r="BQ21" i="41"/>
  <c r="BP21" i="41"/>
  <c r="BO21" i="41"/>
  <c r="BN21" i="41"/>
  <c r="BM21" i="41"/>
  <c r="BL21" i="41"/>
  <c r="BK21" i="41"/>
  <c r="BJ21" i="41"/>
  <c r="BI21" i="41"/>
  <c r="BH21" i="41"/>
  <c r="BG21" i="41"/>
  <c r="BF21" i="41"/>
  <c r="BE21" i="41"/>
  <c r="BZ25" i="41"/>
  <c r="BY25" i="41"/>
  <c r="BX25" i="41"/>
  <c r="BW25" i="41"/>
  <c r="BV25" i="41"/>
  <c r="BT25" i="41"/>
  <c r="BS25" i="41"/>
  <c r="BR25" i="41"/>
  <c r="BQ25" i="41"/>
  <c r="BP25" i="41"/>
  <c r="BO25" i="41"/>
  <c r="BN25" i="41"/>
  <c r="BM25" i="41"/>
  <c r="BL25" i="41"/>
  <c r="BK25" i="41"/>
  <c r="BJ25" i="41"/>
  <c r="BI25" i="41"/>
  <c r="BH25" i="41"/>
  <c r="BG25" i="41"/>
  <c r="BF25" i="41"/>
  <c r="BE25" i="41"/>
  <c r="BZ23" i="41"/>
  <c r="BY23" i="41"/>
  <c r="BX23" i="41"/>
  <c r="BW23" i="41"/>
  <c r="BV23" i="41"/>
  <c r="BT23" i="41"/>
  <c r="BS23" i="41"/>
  <c r="BR23" i="41"/>
  <c r="BQ23" i="41"/>
  <c r="BP23" i="41"/>
  <c r="BO23" i="41"/>
  <c r="BN23" i="41"/>
  <c r="BM23" i="41"/>
  <c r="BL23" i="41"/>
  <c r="BK23" i="41"/>
  <c r="BJ23" i="41"/>
  <c r="BI23" i="41"/>
  <c r="BH23" i="41"/>
  <c r="BG23" i="41"/>
  <c r="BF23" i="41"/>
  <c r="BE23" i="41"/>
  <c r="BZ6" i="41"/>
  <c r="BY6" i="41"/>
  <c r="BX6" i="41"/>
  <c r="BW6" i="41"/>
  <c r="BV6" i="41"/>
  <c r="BT6" i="41"/>
  <c r="BS6" i="41"/>
  <c r="BR6" i="41"/>
  <c r="BQ6" i="41"/>
  <c r="BP6" i="41"/>
  <c r="BO6" i="41"/>
  <c r="BN6" i="41"/>
  <c r="BM6" i="41"/>
  <c r="BL6" i="41"/>
  <c r="BK6" i="41"/>
  <c r="BJ6" i="41"/>
  <c r="BI6" i="41"/>
  <c r="BH6" i="41"/>
  <c r="BG6" i="41"/>
  <c r="BF6" i="41"/>
  <c r="BE6" i="41"/>
  <c r="BZ10" i="41"/>
  <c r="BY10" i="41"/>
  <c r="BX10" i="41"/>
  <c r="BW10" i="41"/>
  <c r="BV10" i="41"/>
  <c r="BT10" i="41"/>
  <c r="BS10" i="41"/>
  <c r="BR10" i="41"/>
  <c r="BQ10" i="41"/>
  <c r="BP10" i="41"/>
  <c r="BO10" i="41"/>
  <c r="BN10" i="41"/>
  <c r="BM10" i="41"/>
  <c r="BL10" i="41"/>
  <c r="BK10" i="41"/>
  <c r="BJ10" i="41"/>
  <c r="BI10" i="41"/>
  <c r="BH10" i="41"/>
  <c r="BG10" i="41"/>
  <c r="BF10" i="41"/>
  <c r="BE10" i="41"/>
  <c r="BZ15" i="41"/>
  <c r="BY15" i="41"/>
  <c r="BX15" i="41"/>
  <c r="BW15" i="41"/>
  <c r="BV15" i="41"/>
  <c r="BT15" i="41"/>
  <c r="BS15" i="41"/>
  <c r="BR15" i="41"/>
  <c r="BQ15" i="41"/>
  <c r="BP15" i="41"/>
  <c r="BO15" i="41"/>
  <c r="BN15" i="41"/>
  <c r="BM15" i="41"/>
  <c r="BL15" i="41"/>
  <c r="BK15" i="41"/>
  <c r="BJ15" i="41"/>
  <c r="BI15" i="41"/>
  <c r="BH15" i="41"/>
  <c r="BG15" i="41"/>
  <c r="BF15" i="41"/>
  <c r="BE15" i="41"/>
  <c r="BZ28" i="41"/>
  <c r="BY28" i="41"/>
  <c r="BX28" i="41"/>
  <c r="BW28" i="41"/>
  <c r="BV28" i="41"/>
  <c r="BT28" i="41"/>
  <c r="BS28" i="41"/>
  <c r="BR28" i="41"/>
  <c r="BQ28" i="41"/>
  <c r="BP28" i="41"/>
  <c r="BO28" i="41"/>
  <c r="BN28" i="41"/>
  <c r="BM28" i="41"/>
  <c r="BL28" i="41"/>
  <c r="BK28" i="41"/>
  <c r="BJ28" i="41"/>
  <c r="BI28" i="41"/>
  <c r="BH28" i="41"/>
  <c r="BG28" i="41"/>
  <c r="BF28" i="41"/>
  <c r="BE28" i="41"/>
  <c r="BZ19" i="41"/>
  <c r="BY19" i="41"/>
  <c r="BX19" i="41"/>
  <c r="BW19" i="41"/>
  <c r="BV19" i="41"/>
  <c r="BT19" i="41"/>
  <c r="BS19" i="41"/>
  <c r="BR19" i="41"/>
  <c r="BQ19" i="41"/>
  <c r="BP19" i="41"/>
  <c r="BO19" i="41"/>
  <c r="BN19" i="41"/>
  <c r="BM19" i="41"/>
  <c r="BL19" i="41"/>
  <c r="BK19" i="41"/>
  <c r="BJ19" i="41"/>
  <c r="BI19" i="41"/>
  <c r="BH19" i="41"/>
  <c r="BG19" i="41"/>
  <c r="BF19" i="41"/>
  <c r="BE19" i="41"/>
  <c r="BZ8" i="41"/>
  <c r="BY8" i="41"/>
  <c r="BX8" i="41"/>
  <c r="BW8" i="41"/>
  <c r="BV8" i="41"/>
  <c r="BT8" i="41"/>
  <c r="BS8" i="41"/>
  <c r="BR8" i="41"/>
  <c r="BQ8" i="41"/>
  <c r="BP8" i="41"/>
  <c r="BO8" i="41"/>
  <c r="BN8" i="41"/>
  <c r="BM8" i="41"/>
  <c r="BL8" i="41"/>
  <c r="BK8" i="41"/>
  <c r="BJ8" i="41"/>
  <c r="BI8" i="41"/>
  <c r="BH8" i="41"/>
  <c r="BG8" i="41"/>
  <c r="BF8" i="41"/>
  <c r="BE8" i="41"/>
  <c r="BZ4" i="41"/>
  <c r="BY4" i="41"/>
  <c r="BX4" i="41"/>
  <c r="BW4" i="41"/>
  <c r="BV4" i="41"/>
  <c r="BT4" i="41"/>
  <c r="BS4" i="41"/>
  <c r="BR4" i="41"/>
  <c r="BQ4" i="41"/>
  <c r="BP4" i="41"/>
  <c r="BO4" i="41"/>
  <c r="BN4" i="41"/>
  <c r="BM4" i="41"/>
  <c r="BL4" i="41"/>
  <c r="BK4" i="41"/>
  <c r="BJ4" i="41"/>
  <c r="BI4" i="41"/>
  <c r="BH4" i="41"/>
  <c r="BG4" i="41"/>
  <c r="BF4" i="41"/>
  <c r="BE4" i="41"/>
  <c r="BZ11" i="41"/>
  <c r="BY11" i="41"/>
  <c r="BX11" i="41"/>
  <c r="BW11" i="41"/>
  <c r="BV11" i="41"/>
  <c r="BT11" i="41"/>
  <c r="BS11" i="41"/>
  <c r="BR11" i="41"/>
  <c r="BQ11" i="41"/>
  <c r="BP11" i="41"/>
  <c r="BO11" i="41"/>
  <c r="BN11" i="41"/>
  <c r="BM11" i="41"/>
  <c r="BL11" i="41"/>
  <c r="BK11" i="41"/>
  <c r="BJ11" i="41"/>
  <c r="BI11" i="41"/>
  <c r="BH11" i="41"/>
  <c r="BG11" i="41"/>
  <c r="BF11" i="41"/>
  <c r="BE11" i="41"/>
  <c r="BZ2" i="41"/>
  <c r="BY2" i="41"/>
  <c r="BX2" i="41"/>
  <c r="BW2" i="41"/>
  <c r="BV2" i="41"/>
  <c r="BT2" i="41"/>
  <c r="BS2" i="41"/>
  <c r="BR2" i="41"/>
  <c r="BQ2" i="41"/>
  <c r="BP2" i="41"/>
  <c r="BO2" i="41"/>
  <c r="BN2" i="41"/>
  <c r="BM2" i="41"/>
  <c r="BL2" i="41"/>
  <c r="BK2" i="41"/>
  <c r="BJ2" i="41"/>
  <c r="BI2" i="41"/>
  <c r="BH2" i="41"/>
  <c r="BG2" i="41"/>
  <c r="BF2" i="41"/>
  <c r="BE2" i="41"/>
  <c r="BZ22" i="41"/>
  <c r="BY22" i="41"/>
  <c r="BX22" i="41"/>
  <c r="BW22" i="41"/>
  <c r="BV22" i="41"/>
  <c r="BT22" i="41"/>
  <c r="BS22" i="41"/>
  <c r="BR22" i="41"/>
  <c r="BQ22" i="41"/>
  <c r="BP22" i="41"/>
  <c r="BO22" i="41"/>
  <c r="BN22" i="41"/>
  <c r="BM22" i="41"/>
  <c r="BL22" i="41"/>
  <c r="BK22" i="41"/>
  <c r="BJ22" i="41"/>
  <c r="BI22" i="41"/>
  <c r="BH22" i="41"/>
  <c r="BG22" i="41"/>
  <c r="BF22" i="41"/>
  <c r="BE22" i="41"/>
  <c r="BZ26" i="41"/>
  <c r="BY26" i="41"/>
  <c r="BX26" i="41"/>
  <c r="BW26" i="41"/>
  <c r="BV26" i="41"/>
  <c r="BT26" i="41"/>
  <c r="BS26" i="41"/>
  <c r="BR26" i="41"/>
  <c r="BQ26" i="41"/>
  <c r="BP26" i="41"/>
  <c r="BO26" i="41"/>
  <c r="BN26" i="41"/>
  <c r="BM26" i="41"/>
  <c r="BL26" i="41"/>
  <c r="BK26" i="41"/>
  <c r="BJ26" i="41"/>
  <c r="BI26" i="41"/>
  <c r="BH26" i="41"/>
  <c r="BG26" i="41"/>
  <c r="BF26" i="41"/>
  <c r="BE26" i="41"/>
  <c r="BZ30" i="41"/>
  <c r="BY30" i="41"/>
  <c r="BX30" i="41"/>
  <c r="BW30" i="41"/>
  <c r="BV30" i="41"/>
  <c r="BT30" i="41"/>
  <c r="BS30" i="41"/>
  <c r="BR30" i="41"/>
  <c r="BQ30" i="41"/>
  <c r="BP30" i="41"/>
  <c r="BO30" i="41"/>
  <c r="BN30" i="41"/>
  <c r="BM30" i="41"/>
  <c r="BL30" i="41"/>
  <c r="BK30" i="41"/>
  <c r="BJ30" i="41"/>
  <c r="BI30" i="41"/>
  <c r="BH30" i="41"/>
  <c r="BG30" i="41"/>
  <c r="BF30" i="41"/>
  <c r="BE30" i="41"/>
  <c r="BZ14" i="41"/>
  <c r="BY14" i="41"/>
  <c r="BX14" i="41"/>
  <c r="BW14" i="41"/>
  <c r="BV14" i="41"/>
  <c r="BT14" i="41"/>
  <c r="BS14" i="41"/>
  <c r="BR14" i="41"/>
  <c r="BQ14" i="41"/>
  <c r="BP14" i="41"/>
  <c r="BO14" i="41"/>
  <c r="BN14" i="41"/>
  <c r="BM14" i="41"/>
  <c r="BL14" i="41"/>
  <c r="BK14" i="41"/>
  <c r="BJ14" i="41"/>
  <c r="BI14" i="41"/>
  <c r="BH14" i="41"/>
  <c r="BG14" i="41"/>
  <c r="BF14" i="41"/>
  <c r="BE14" i="41"/>
  <c r="BZ13" i="41"/>
  <c r="BY13" i="41"/>
  <c r="BX13" i="41"/>
  <c r="BW13" i="41"/>
  <c r="BV13" i="41"/>
  <c r="BT13" i="41"/>
  <c r="BS13" i="41"/>
  <c r="BR13" i="41"/>
  <c r="BQ13" i="41"/>
  <c r="BP13" i="41"/>
  <c r="BO13" i="41"/>
  <c r="BN13" i="41"/>
  <c r="BM13" i="41"/>
  <c r="BL13" i="41"/>
  <c r="BK13" i="41"/>
  <c r="BJ13" i="41"/>
  <c r="BI13" i="41"/>
  <c r="BH13" i="41"/>
  <c r="BG13" i="41"/>
  <c r="BF13" i="41"/>
  <c r="BE13" i="41"/>
  <c r="BZ3" i="41"/>
  <c r="BY3" i="41"/>
  <c r="BX3" i="41"/>
  <c r="BW3" i="41"/>
  <c r="BV3" i="41"/>
  <c r="BT3" i="41"/>
  <c r="BS3" i="41"/>
  <c r="BR3" i="41"/>
  <c r="BQ3" i="41"/>
  <c r="BP3" i="41"/>
  <c r="BO3" i="41"/>
  <c r="BN3" i="41"/>
  <c r="BM3" i="41"/>
  <c r="BL3" i="41"/>
  <c r="BK3" i="41"/>
  <c r="BJ3" i="41"/>
  <c r="BI3" i="41"/>
  <c r="BH3" i="41"/>
  <c r="BG3" i="41"/>
  <c r="BF3" i="41"/>
  <c r="BE3" i="41"/>
  <c r="CZ18" i="31"/>
  <c r="CY18" i="31"/>
  <c r="CX18" i="31"/>
  <c r="CW18" i="31"/>
  <c r="CV18" i="31"/>
  <c r="CT18" i="31"/>
  <c r="CS18" i="31"/>
  <c r="CR18" i="31"/>
  <c r="CQ18" i="31"/>
  <c r="CP18" i="31"/>
  <c r="CO18" i="31"/>
  <c r="CN18" i="31"/>
  <c r="CM18" i="31"/>
  <c r="CL18" i="31"/>
  <c r="CK18" i="31"/>
  <c r="CJ18" i="31"/>
  <c r="CI18" i="31"/>
  <c r="CH18" i="31"/>
  <c r="CG18" i="31"/>
  <c r="CF18" i="31"/>
  <c r="CE18" i="31"/>
  <c r="AZ18" i="31"/>
  <c r="AY18" i="31"/>
  <c r="AX18" i="31"/>
  <c r="AW18" i="31"/>
  <c r="AV18" i="31"/>
  <c r="AT18" i="31"/>
  <c r="AS18" i="31"/>
  <c r="AR18" i="31"/>
  <c r="AQ18" i="31"/>
  <c r="AP18" i="31"/>
  <c r="AO18" i="31"/>
  <c r="AN18" i="31"/>
  <c r="AM18" i="31"/>
  <c r="AL18" i="31"/>
  <c r="AK18" i="31"/>
  <c r="AJ18" i="31"/>
  <c r="AI18" i="31"/>
  <c r="AH18" i="31"/>
  <c r="AG18" i="31"/>
  <c r="AF18" i="31"/>
  <c r="AE18" i="31"/>
  <c r="CZ7" i="31"/>
  <c r="CY7" i="31"/>
  <c r="CX7" i="31"/>
  <c r="CW7" i="31"/>
  <c r="CV7" i="31"/>
  <c r="CT7" i="31"/>
  <c r="CS7" i="31"/>
  <c r="CR7" i="31"/>
  <c r="CQ7" i="31"/>
  <c r="CP7" i="31"/>
  <c r="CO7" i="31"/>
  <c r="CN7" i="31"/>
  <c r="CM7" i="31"/>
  <c r="CL7" i="31"/>
  <c r="CK7" i="31"/>
  <c r="CJ7" i="31"/>
  <c r="CI7" i="31"/>
  <c r="CH7" i="31"/>
  <c r="CG7" i="31"/>
  <c r="CF7" i="31"/>
  <c r="CE7" i="31"/>
  <c r="AZ7" i="31"/>
  <c r="AY7" i="31"/>
  <c r="AX7" i="31"/>
  <c r="AW7" i="31"/>
  <c r="AV7" i="31"/>
  <c r="AT7" i="31"/>
  <c r="AS7" i="31"/>
  <c r="AR7" i="31"/>
  <c r="AQ7" i="31"/>
  <c r="AP7" i="31"/>
  <c r="AO7" i="31"/>
  <c r="AN7" i="31"/>
  <c r="AM7" i="31"/>
  <c r="AL7" i="31"/>
  <c r="AK7" i="31"/>
  <c r="AJ7" i="31"/>
  <c r="AI7" i="31"/>
  <c r="AH7" i="31"/>
  <c r="AG7" i="31"/>
  <c r="AF7" i="31"/>
  <c r="AE7" i="31"/>
  <c r="CZ16" i="31"/>
  <c r="CY16" i="31"/>
  <c r="CX16" i="31"/>
  <c r="CW16" i="31"/>
  <c r="CV16" i="31"/>
  <c r="CT16" i="31"/>
  <c r="CS16" i="31"/>
  <c r="CR16" i="31"/>
  <c r="CQ16" i="31"/>
  <c r="CP16" i="31"/>
  <c r="CO16" i="31"/>
  <c r="CN16" i="31"/>
  <c r="CM16" i="31"/>
  <c r="CL16" i="31"/>
  <c r="CK16" i="31"/>
  <c r="CJ16" i="31"/>
  <c r="CI16" i="31"/>
  <c r="CH16" i="31"/>
  <c r="CG16" i="31"/>
  <c r="CF16" i="31"/>
  <c r="CE16" i="31"/>
  <c r="AZ16" i="31"/>
  <c r="AY16" i="31"/>
  <c r="AX16" i="31"/>
  <c r="AW16" i="31"/>
  <c r="AV16" i="31"/>
  <c r="AT16" i="31"/>
  <c r="AS16" i="31"/>
  <c r="AR16" i="31"/>
  <c r="AQ16" i="31"/>
  <c r="AP16" i="31"/>
  <c r="AO16" i="31"/>
  <c r="AN16" i="31"/>
  <c r="AM16" i="31"/>
  <c r="AL16" i="31"/>
  <c r="AK16" i="31"/>
  <c r="AJ16" i="31"/>
  <c r="AI16" i="31"/>
  <c r="AH16" i="31"/>
  <c r="AG16" i="31"/>
  <c r="AF16" i="31"/>
  <c r="AE16" i="31"/>
  <c r="CZ9" i="31"/>
  <c r="CY9" i="31"/>
  <c r="CX9" i="31"/>
  <c r="CW9" i="31"/>
  <c r="CV9" i="31"/>
  <c r="CT9" i="31"/>
  <c r="CS9" i="31"/>
  <c r="CR9" i="31"/>
  <c r="CQ9" i="31"/>
  <c r="CP9" i="31"/>
  <c r="CO9" i="31"/>
  <c r="CN9" i="31"/>
  <c r="CM9" i="31"/>
  <c r="CL9" i="31"/>
  <c r="CK9" i="31"/>
  <c r="CJ9" i="31"/>
  <c r="CI9" i="31"/>
  <c r="CH9" i="31"/>
  <c r="CG9" i="31"/>
  <c r="CF9" i="31"/>
  <c r="CE9" i="31"/>
  <c r="AZ9" i="31"/>
  <c r="AY9" i="31"/>
  <c r="AX9" i="31"/>
  <c r="AW9" i="31"/>
  <c r="AV9" i="31"/>
  <c r="AT9" i="31"/>
  <c r="AS9" i="31"/>
  <c r="AR9" i="31"/>
  <c r="AQ9" i="31"/>
  <c r="AP9" i="31"/>
  <c r="AO9" i="31"/>
  <c r="AN9" i="31"/>
  <c r="AM9" i="31"/>
  <c r="AL9" i="31"/>
  <c r="AK9" i="31"/>
  <c r="AJ9" i="31"/>
  <c r="AI9" i="31"/>
  <c r="AH9" i="31"/>
  <c r="AG9" i="31"/>
  <c r="AF9" i="31"/>
  <c r="AE9" i="31"/>
  <c r="CZ17" i="31"/>
  <c r="CY17" i="31"/>
  <c r="CX17" i="31"/>
  <c r="CW17" i="31"/>
  <c r="CV17" i="31"/>
  <c r="CT17" i="31"/>
  <c r="CS17" i="31"/>
  <c r="CR17" i="31"/>
  <c r="CQ17" i="31"/>
  <c r="CP17" i="31"/>
  <c r="CO17" i="31"/>
  <c r="CN17" i="31"/>
  <c r="CM17" i="31"/>
  <c r="CL17" i="31"/>
  <c r="CK17" i="31"/>
  <c r="CJ17" i="31"/>
  <c r="CI17" i="31"/>
  <c r="CH17" i="31"/>
  <c r="CG17" i="31"/>
  <c r="CF17" i="31"/>
  <c r="CE17" i="31"/>
  <c r="AZ17" i="31"/>
  <c r="AY17" i="31"/>
  <c r="AX17" i="31"/>
  <c r="AW17" i="31"/>
  <c r="AV17" i="31"/>
  <c r="AT17" i="31"/>
  <c r="AS17" i="31"/>
  <c r="AR17" i="31"/>
  <c r="AQ17" i="31"/>
  <c r="AP17" i="31"/>
  <c r="AO17" i="31"/>
  <c r="AN17" i="31"/>
  <c r="AM17" i="31"/>
  <c r="AL17" i="31"/>
  <c r="AK17" i="31"/>
  <c r="AJ17" i="31"/>
  <c r="AI17" i="31"/>
  <c r="AH17" i="31"/>
  <c r="AG17" i="31"/>
  <c r="AF17" i="31"/>
  <c r="AE17" i="31"/>
  <c r="CZ23" i="31"/>
  <c r="CY23" i="31"/>
  <c r="CX23" i="31"/>
  <c r="CW23" i="31"/>
  <c r="CV23" i="31"/>
  <c r="CT23" i="31"/>
  <c r="CS23" i="31"/>
  <c r="CR23" i="31"/>
  <c r="CQ23" i="31"/>
  <c r="CP23" i="31"/>
  <c r="CO23" i="31"/>
  <c r="CN23" i="31"/>
  <c r="CM23" i="31"/>
  <c r="CL23" i="31"/>
  <c r="CK23" i="31"/>
  <c r="CJ23" i="31"/>
  <c r="CI23" i="31"/>
  <c r="CH23" i="31"/>
  <c r="CG23" i="31"/>
  <c r="CF23" i="31"/>
  <c r="CE23" i="31"/>
  <c r="AZ23" i="31"/>
  <c r="AY23" i="31"/>
  <c r="AX23" i="31"/>
  <c r="AW23" i="31"/>
  <c r="AV23" i="31"/>
  <c r="AT23" i="31"/>
  <c r="AS23" i="31"/>
  <c r="AR23" i="31"/>
  <c r="AQ23" i="31"/>
  <c r="AP23" i="31"/>
  <c r="AO23" i="31"/>
  <c r="AN23" i="31"/>
  <c r="AM23" i="31"/>
  <c r="AL23" i="31"/>
  <c r="AK23" i="31"/>
  <c r="AJ23" i="31"/>
  <c r="AI23" i="31"/>
  <c r="AH23" i="31"/>
  <c r="AG23" i="31"/>
  <c r="AF23" i="31"/>
  <c r="AE23" i="31"/>
  <c r="CZ10" i="31"/>
  <c r="CY10" i="31"/>
  <c r="CX10" i="31"/>
  <c r="CW10" i="31"/>
  <c r="CV10" i="31"/>
  <c r="CT10" i="31"/>
  <c r="CS10" i="31"/>
  <c r="CR10" i="31"/>
  <c r="CQ10" i="31"/>
  <c r="CP10" i="31"/>
  <c r="CO10" i="31"/>
  <c r="CN10" i="31"/>
  <c r="CM10" i="31"/>
  <c r="CL10" i="31"/>
  <c r="CK10" i="31"/>
  <c r="CJ10" i="31"/>
  <c r="CI10" i="31"/>
  <c r="CH10" i="31"/>
  <c r="CG10" i="31"/>
  <c r="CF10" i="31"/>
  <c r="CE10" i="31"/>
  <c r="AZ10" i="31"/>
  <c r="AY10" i="31"/>
  <c r="AX10" i="31"/>
  <c r="AW10" i="31"/>
  <c r="AV10" i="31"/>
  <c r="AT10" i="31"/>
  <c r="AS10" i="31"/>
  <c r="AR10" i="31"/>
  <c r="AQ10" i="31"/>
  <c r="AP10" i="31"/>
  <c r="AO10" i="31"/>
  <c r="AN10" i="31"/>
  <c r="AM10" i="31"/>
  <c r="AL10" i="31"/>
  <c r="AK10" i="31"/>
  <c r="AJ10" i="31"/>
  <c r="AI10" i="31"/>
  <c r="AH10" i="31"/>
  <c r="AG10" i="31"/>
  <c r="AF10" i="31"/>
  <c r="AE10" i="31"/>
  <c r="CZ15" i="31"/>
  <c r="CY15" i="31"/>
  <c r="CX15" i="31"/>
  <c r="CW15" i="31"/>
  <c r="CV15" i="31"/>
  <c r="CT15" i="31"/>
  <c r="CS15" i="31"/>
  <c r="CR15" i="31"/>
  <c r="CQ15" i="31"/>
  <c r="CP15" i="31"/>
  <c r="CO15" i="31"/>
  <c r="CN15" i="31"/>
  <c r="CM15" i="31"/>
  <c r="CL15" i="31"/>
  <c r="CK15" i="31"/>
  <c r="CJ15" i="31"/>
  <c r="CI15" i="31"/>
  <c r="CH15" i="31"/>
  <c r="CG15" i="31"/>
  <c r="CF15" i="31"/>
  <c r="CE15" i="31"/>
  <c r="AZ15" i="31"/>
  <c r="AY15" i="31"/>
  <c r="AX15" i="31"/>
  <c r="AW15" i="31"/>
  <c r="AV15" i="31"/>
  <c r="AT15" i="31"/>
  <c r="AS15" i="31"/>
  <c r="AR15" i="31"/>
  <c r="AQ15" i="31"/>
  <c r="AP15" i="31"/>
  <c r="AO15" i="31"/>
  <c r="AN15" i="31"/>
  <c r="AM15" i="31"/>
  <c r="AL15" i="31"/>
  <c r="AK15" i="31"/>
  <c r="AJ15" i="31"/>
  <c r="AI15" i="31"/>
  <c r="AH15" i="31"/>
  <c r="AG15" i="31"/>
  <c r="AF15" i="31"/>
  <c r="AE15" i="31"/>
  <c r="CZ8" i="31"/>
  <c r="CY8" i="31"/>
  <c r="CX8" i="31"/>
  <c r="CW8" i="31"/>
  <c r="CV8" i="31"/>
  <c r="CT8" i="31"/>
  <c r="CS8" i="31"/>
  <c r="CR8" i="31"/>
  <c r="CQ8" i="31"/>
  <c r="CP8" i="31"/>
  <c r="CO8" i="31"/>
  <c r="CN8" i="31"/>
  <c r="CM8" i="31"/>
  <c r="CL8" i="31"/>
  <c r="CK8" i="31"/>
  <c r="CJ8" i="31"/>
  <c r="CI8" i="31"/>
  <c r="CH8" i="31"/>
  <c r="CG8" i="31"/>
  <c r="CF8" i="31"/>
  <c r="CE8" i="31"/>
  <c r="AZ8" i="31"/>
  <c r="AY8" i="31"/>
  <c r="AX8" i="31"/>
  <c r="AW8" i="31"/>
  <c r="AV8" i="31"/>
  <c r="AT8" i="31"/>
  <c r="AS8" i="31"/>
  <c r="AR8" i="31"/>
  <c r="AQ8" i="31"/>
  <c r="AP8" i="31"/>
  <c r="AO8" i="31"/>
  <c r="AN8" i="31"/>
  <c r="AM8" i="31"/>
  <c r="AL8" i="31"/>
  <c r="AK8" i="31"/>
  <c r="AJ8" i="31"/>
  <c r="AI8" i="31"/>
  <c r="AH8" i="31"/>
  <c r="AG8" i="31"/>
  <c r="AF8" i="31"/>
  <c r="AE8" i="31"/>
  <c r="CZ2" i="31"/>
  <c r="CY2" i="31"/>
  <c r="CX2" i="31"/>
  <c r="CW2" i="31"/>
  <c r="CV2" i="31"/>
  <c r="CT2" i="31"/>
  <c r="CS2" i="31"/>
  <c r="CR2" i="31"/>
  <c r="CQ2" i="31"/>
  <c r="CP2" i="31"/>
  <c r="CO2" i="31"/>
  <c r="CN2" i="31"/>
  <c r="CM2" i="31"/>
  <c r="CL2" i="31"/>
  <c r="CK2" i="31"/>
  <c r="CJ2" i="31"/>
  <c r="CI2" i="31"/>
  <c r="CH2" i="31"/>
  <c r="CG2" i="31"/>
  <c r="CF2" i="31"/>
  <c r="CE2" i="31"/>
  <c r="AZ2" i="31"/>
  <c r="AY2" i="31"/>
  <c r="AX2" i="31"/>
  <c r="AW2" i="31"/>
  <c r="AV2" i="31"/>
  <c r="AT2" i="31"/>
  <c r="AS2" i="31"/>
  <c r="AR2" i="31"/>
  <c r="AQ2" i="31"/>
  <c r="AP2" i="31"/>
  <c r="AO2" i="31"/>
  <c r="AN2" i="31"/>
  <c r="AM2" i="31"/>
  <c r="AL2" i="31"/>
  <c r="AK2" i="31"/>
  <c r="AJ2" i="31"/>
  <c r="AI2" i="31"/>
  <c r="AH2" i="31"/>
  <c r="AG2" i="31"/>
  <c r="AF2" i="31"/>
  <c r="AE2" i="31"/>
  <c r="CZ22" i="31"/>
  <c r="CY22" i="31"/>
  <c r="CX22" i="31"/>
  <c r="CW22" i="31"/>
  <c r="CV22" i="31"/>
  <c r="CT22" i="31"/>
  <c r="CS22" i="31"/>
  <c r="CR22" i="31"/>
  <c r="CQ22" i="31"/>
  <c r="CP22" i="31"/>
  <c r="CO22" i="31"/>
  <c r="CN22" i="31"/>
  <c r="CM22" i="31"/>
  <c r="CL22" i="31"/>
  <c r="CK22" i="31"/>
  <c r="CJ22" i="31"/>
  <c r="CI22" i="31"/>
  <c r="CH22" i="31"/>
  <c r="CG22" i="31"/>
  <c r="CF22" i="31"/>
  <c r="CE22" i="31"/>
  <c r="AZ22" i="31"/>
  <c r="AY22" i="31"/>
  <c r="AX22" i="31"/>
  <c r="AW22" i="31"/>
  <c r="AV22" i="31"/>
  <c r="AT22" i="31"/>
  <c r="AS22" i="31"/>
  <c r="AR22" i="31"/>
  <c r="AQ22" i="31"/>
  <c r="AP22" i="31"/>
  <c r="AO22" i="31"/>
  <c r="AN22" i="31"/>
  <c r="AM22" i="31"/>
  <c r="AL22" i="31"/>
  <c r="AK22" i="31"/>
  <c r="AJ22" i="31"/>
  <c r="AI22" i="31"/>
  <c r="AH22" i="31"/>
  <c r="AG22" i="31"/>
  <c r="AF22" i="31"/>
  <c r="AE22" i="31"/>
  <c r="CZ26" i="31"/>
  <c r="CY26" i="31"/>
  <c r="CX26" i="31"/>
  <c r="CW26" i="31"/>
  <c r="CV26" i="31"/>
  <c r="CT26" i="31"/>
  <c r="CS26" i="31"/>
  <c r="CR26" i="31"/>
  <c r="CQ26" i="31"/>
  <c r="CP26" i="31"/>
  <c r="CO26" i="31"/>
  <c r="CN26" i="31"/>
  <c r="CM26" i="31"/>
  <c r="CL26" i="31"/>
  <c r="CK26" i="31"/>
  <c r="CJ26" i="31"/>
  <c r="CI26" i="31"/>
  <c r="CH26" i="31"/>
  <c r="CG26" i="31"/>
  <c r="CF26" i="31"/>
  <c r="CE26" i="31"/>
  <c r="AZ26" i="31"/>
  <c r="AY26" i="31"/>
  <c r="AX26" i="31"/>
  <c r="AW26" i="31"/>
  <c r="AV26" i="31"/>
  <c r="AT26" i="31"/>
  <c r="AS26" i="31"/>
  <c r="AR26" i="31"/>
  <c r="AQ26" i="31"/>
  <c r="AP26" i="31"/>
  <c r="AO26" i="31"/>
  <c r="AN26" i="31"/>
  <c r="AM26" i="31"/>
  <c r="AL26" i="31"/>
  <c r="AK26" i="31"/>
  <c r="AJ26" i="31"/>
  <c r="AI26" i="31"/>
  <c r="AH26" i="31"/>
  <c r="AG26" i="31"/>
  <c r="AF26" i="31"/>
  <c r="AE26" i="31"/>
  <c r="CZ30" i="31"/>
  <c r="CY30" i="31"/>
  <c r="CX30" i="31"/>
  <c r="CW30" i="31"/>
  <c r="CV30" i="31"/>
  <c r="CT30" i="31"/>
  <c r="CS30" i="31"/>
  <c r="CR30" i="31"/>
  <c r="CQ30" i="31"/>
  <c r="CP30" i="31"/>
  <c r="CO30" i="31"/>
  <c r="CN30" i="31"/>
  <c r="CM30" i="31"/>
  <c r="CL30" i="31"/>
  <c r="CK30" i="31"/>
  <c r="CJ30" i="31"/>
  <c r="CI30" i="31"/>
  <c r="CH30" i="31"/>
  <c r="CG30" i="31"/>
  <c r="CF30" i="31"/>
  <c r="CE30" i="31"/>
  <c r="AZ30" i="31"/>
  <c r="AY30" i="31"/>
  <c r="AX30" i="31"/>
  <c r="AW30" i="31"/>
  <c r="AV30" i="31"/>
  <c r="AT30" i="31"/>
  <c r="AS30" i="31"/>
  <c r="AR30" i="31"/>
  <c r="AQ30" i="31"/>
  <c r="AP30" i="31"/>
  <c r="AO30" i="31"/>
  <c r="AN30" i="31"/>
  <c r="AM30" i="31"/>
  <c r="AL30" i="31"/>
  <c r="AK30" i="31"/>
  <c r="AJ30" i="31"/>
  <c r="AI30" i="31"/>
  <c r="AH30" i="31"/>
  <c r="AG30" i="31"/>
  <c r="AF30" i="31"/>
  <c r="AE30" i="31"/>
  <c r="CZ14" i="31"/>
  <c r="CY14" i="31"/>
  <c r="CX14" i="31"/>
  <c r="CW14" i="31"/>
  <c r="CV14" i="31"/>
  <c r="CT14" i="31"/>
  <c r="CS14" i="31"/>
  <c r="CR14" i="31"/>
  <c r="CQ14" i="31"/>
  <c r="CP14" i="31"/>
  <c r="CO14" i="31"/>
  <c r="CN14" i="31"/>
  <c r="CM14" i="31"/>
  <c r="CL14" i="31"/>
  <c r="CK14" i="31"/>
  <c r="CJ14" i="31"/>
  <c r="CI14" i="31"/>
  <c r="CH14" i="31"/>
  <c r="CG14" i="31"/>
  <c r="CF14" i="31"/>
  <c r="CE14" i="31"/>
  <c r="AZ14" i="31"/>
  <c r="AY14" i="31"/>
  <c r="AX14" i="31"/>
  <c r="AW14" i="31"/>
  <c r="AV14" i="31"/>
  <c r="AT14" i="31"/>
  <c r="AS14" i="31"/>
  <c r="AR14" i="31"/>
  <c r="AQ14" i="31"/>
  <c r="AP14" i="31"/>
  <c r="AO14" i="31"/>
  <c r="AN14" i="31"/>
  <c r="AM14" i="31"/>
  <c r="AL14" i="31"/>
  <c r="AK14" i="31"/>
  <c r="AJ14" i="31"/>
  <c r="AI14" i="31"/>
  <c r="AH14" i="31"/>
  <c r="AG14" i="31"/>
  <c r="AF14" i="31"/>
  <c r="AE14" i="31"/>
  <c r="CZ13" i="31"/>
  <c r="CY13" i="31"/>
  <c r="CX13" i="31"/>
  <c r="CW13" i="31"/>
  <c r="CV13" i="31"/>
  <c r="CT13" i="31"/>
  <c r="CS13" i="31"/>
  <c r="CR13" i="31"/>
  <c r="CQ13" i="31"/>
  <c r="CP13" i="31"/>
  <c r="CO13" i="31"/>
  <c r="CN13" i="31"/>
  <c r="CM13" i="31"/>
  <c r="CL13" i="31"/>
  <c r="CK13" i="31"/>
  <c r="CJ13" i="31"/>
  <c r="CI13" i="31"/>
  <c r="CH13" i="31"/>
  <c r="CG13" i="31"/>
  <c r="CF13" i="31"/>
  <c r="CE13" i="31"/>
  <c r="AZ13" i="31"/>
  <c r="AY13" i="31"/>
  <c r="AX13" i="31"/>
  <c r="AW13" i="31"/>
  <c r="AV13" i="31"/>
  <c r="AT13" i="31"/>
  <c r="AS13" i="31"/>
  <c r="AR13" i="31"/>
  <c r="AQ13" i="31"/>
  <c r="AP13" i="31"/>
  <c r="AO13" i="31"/>
  <c r="AN13" i="31"/>
  <c r="AM13" i="31"/>
  <c r="AL13" i="31"/>
  <c r="AK13" i="31"/>
  <c r="AJ13" i="31"/>
  <c r="AI13" i="31"/>
  <c r="AH13" i="31"/>
  <c r="AG13" i="31"/>
  <c r="AF13" i="31"/>
  <c r="AE13" i="31"/>
  <c r="CZ3" i="31"/>
  <c r="CY3" i="31"/>
  <c r="CX3" i="31"/>
  <c r="CW3" i="31"/>
  <c r="CV3" i="31"/>
  <c r="CT3" i="31"/>
  <c r="CS3" i="31"/>
  <c r="CR3" i="31"/>
  <c r="CQ3" i="31"/>
  <c r="CP3" i="31"/>
  <c r="CO3" i="31"/>
  <c r="CN3" i="31"/>
  <c r="CM3" i="31"/>
  <c r="CL3" i="31"/>
  <c r="CK3" i="31"/>
  <c r="CJ3" i="31"/>
  <c r="CI3" i="31"/>
  <c r="CH3" i="31"/>
  <c r="CG3" i="31"/>
  <c r="CF3" i="31"/>
  <c r="CE3" i="31"/>
  <c r="AZ3" i="31"/>
  <c r="AY3" i="31"/>
  <c r="AX3" i="31"/>
  <c r="AW3" i="31"/>
  <c r="AV3" i="31"/>
  <c r="AT3" i="31"/>
  <c r="AS3" i="31"/>
  <c r="AR3" i="31"/>
  <c r="AQ3" i="31"/>
  <c r="AP3" i="31"/>
  <c r="AO3" i="31"/>
  <c r="AN3" i="31"/>
  <c r="AM3" i="31"/>
  <c r="AL3" i="31"/>
  <c r="AK3" i="31"/>
  <c r="AJ3" i="31"/>
  <c r="AI3" i="31"/>
  <c r="AH3" i="31"/>
  <c r="AG3" i="31"/>
  <c r="AF3" i="31"/>
  <c r="AE3" i="31"/>
  <c r="CZ18" i="30"/>
  <c r="CY18" i="30"/>
  <c r="CX18" i="30"/>
  <c r="CW18" i="30"/>
  <c r="CV18" i="30"/>
  <c r="CT18" i="30"/>
  <c r="CS18" i="30"/>
  <c r="CR18" i="30"/>
  <c r="CQ18" i="30"/>
  <c r="CP18" i="30"/>
  <c r="CO18" i="30"/>
  <c r="CN18" i="30"/>
  <c r="CM18" i="30"/>
  <c r="CL18" i="30"/>
  <c r="CK18" i="30"/>
  <c r="CJ18" i="30"/>
  <c r="CI18" i="30"/>
  <c r="CH18" i="30"/>
  <c r="CG18" i="30"/>
  <c r="CF18" i="30"/>
  <c r="CE18" i="30"/>
  <c r="CZ7" i="30"/>
  <c r="CY7" i="30"/>
  <c r="CX7" i="30"/>
  <c r="CW7" i="30"/>
  <c r="CV7" i="30"/>
  <c r="CT7" i="30"/>
  <c r="CS7" i="30"/>
  <c r="CR7" i="30"/>
  <c r="CQ7" i="30"/>
  <c r="CP7" i="30"/>
  <c r="CO7" i="30"/>
  <c r="CN7" i="30"/>
  <c r="CM7" i="30"/>
  <c r="CL7" i="30"/>
  <c r="CK7" i="30"/>
  <c r="CJ7" i="30"/>
  <c r="CI7" i="30"/>
  <c r="CH7" i="30"/>
  <c r="CG7" i="30"/>
  <c r="CF7" i="30"/>
  <c r="CE7" i="30"/>
  <c r="CZ16" i="30"/>
  <c r="CY16" i="30"/>
  <c r="CX16" i="30"/>
  <c r="CW16" i="30"/>
  <c r="CV16" i="30"/>
  <c r="CT16" i="30"/>
  <c r="CS16" i="30"/>
  <c r="CR16" i="30"/>
  <c r="CQ16" i="30"/>
  <c r="CP16" i="30"/>
  <c r="CO16" i="30"/>
  <c r="CN16" i="30"/>
  <c r="CM16" i="30"/>
  <c r="CL16" i="30"/>
  <c r="CK16" i="30"/>
  <c r="CJ16" i="30"/>
  <c r="CI16" i="30"/>
  <c r="CH16" i="30"/>
  <c r="CG16" i="30"/>
  <c r="CF16" i="30"/>
  <c r="CE16" i="30"/>
  <c r="CZ9" i="30"/>
  <c r="CY9" i="30"/>
  <c r="CX9" i="30"/>
  <c r="CW9" i="30"/>
  <c r="CV9" i="30"/>
  <c r="CT9" i="30"/>
  <c r="CS9" i="30"/>
  <c r="CR9" i="30"/>
  <c r="CQ9" i="30"/>
  <c r="CP9" i="30"/>
  <c r="CO9" i="30"/>
  <c r="CN9" i="30"/>
  <c r="CM9" i="30"/>
  <c r="CL9" i="30"/>
  <c r="CK9" i="30"/>
  <c r="CJ9" i="30"/>
  <c r="CI9" i="30"/>
  <c r="CH9" i="30"/>
  <c r="CG9" i="30"/>
  <c r="CF9" i="30"/>
  <c r="CE9" i="30"/>
  <c r="CZ17" i="30"/>
  <c r="CY17" i="30"/>
  <c r="CX17" i="30"/>
  <c r="CW17" i="30"/>
  <c r="CV17" i="30"/>
  <c r="CT17" i="30"/>
  <c r="CS17" i="30"/>
  <c r="CR17" i="30"/>
  <c r="CQ17" i="30"/>
  <c r="CP17" i="30"/>
  <c r="CO17" i="30"/>
  <c r="CN17" i="30"/>
  <c r="CM17" i="30"/>
  <c r="CL17" i="30"/>
  <c r="CK17" i="30"/>
  <c r="CJ17" i="30"/>
  <c r="CI17" i="30"/>
  <c r="CH17" i="30"/>
  <c r="CG17" i="30"/>
  <c r="CF17" i="30"/>
  <c r="CE17" i="30"/>
  <c r="CZ23" i="30"/>
  <c r="CY23" i="30"/>
  <c r="CX23" i="30"/>
  <c r="CW23" i="30"/>
  <c r="CV23" i="30"/>
  <c r="CT23" i="30"/>
  <c r="CS23" i="30"/>
  <c r="CR23" i="30"/>
  <c r="CQ23" i="30"/>
  <c r="CP23" i="30"/>
  <c r="CO23" i="30"/>
  <c r="CN23" i="30"/>
  <c r="CM23" i="30"/>
  <c r="CL23" i="30"/>
  <c r="CK23" i="30"/>
  <c r="CJ23" i="30"/>
  <c r="CI23" i="30"/>
  <c r="CH23" i="30"/>
  <c r="CG23" i="30"/>
  <c r="CF23" i="30"/>
  <c r="CE23" i="30"/>
  <c r="CZ10" i="30"/>
  <c r="CY10" i="30"/>
  <c r="CX10" i="30"/>
  <c r="CW10" i="30"/>
  <c r="CV10" i="30"/>
  <c r="CT10" i="30"/>
  <c r="CS10" i="30"/>
  <c r="CR10" i="30"/>
  <c r="CQ10" i="30"/>
  <c r="CP10" i="30"/>
  <c r="CO10" i="30"/>
  <c r="CN10" i="30"/>
  <c r="CM10" i="30"/>
  <c r="CL10" i="30"/>
  <c r="CK10" i="30"/>
  <c r="CJ10" i="30"/>
  <c r="CI10" i="30"/>
  <c r="CH10" i="30"/>
  <c r="CG10" i="30"/>
  <c r="CF10" i="30"/>
  <c r="CE10" i="30"/>
  <c r="CZ15" i="30"/>
  <c r="CY15" i="30"/>
  <c r="CX15" i="30"/>
  <c r="CW15" i="30"/>
  <c r="CV15" i="30"/>
  <c r="CT15" i="30"/>
  <c r="CS15" i="30"/>
  <c r="CR15" i="30"/>
  <c r="CQ15" i="30"/>
  <c r="CP15" i="30"/>
  <c r="CO15" i="30"/>
  <c r="CN15" i="30"/>
  <c r="CM15" i="30"/>
  <c r="CL15" i="30"/>
  <c r="CK15" i="30"/>
  <c r="CJ15" i="30"/>
  <c r="CI15" i="30"/>
  <c r="CH15" i="30"/>
  <c r="CG15" i="30"/>
  <c r="CF15" i="30"/>
  <c r="CE15" i="30"/>
  <c r="CZ8" i="30"/>
  <c r="CY8" i="30"/>
  <c r="CX8" i="30"/>
  <c r="CW8" i="30"/>
  <c r="CV8" i="30"/>
  <c r="CT8" i="30"/>
  <c r="CS8" i="30"/>
  <c r="CR8" i="30"/>
  <c r="CQ8" i="30"/>
  <c r="CP8" i="30"/>
  <c r="CO8" i="30"/>
  <c r="CN8" i="30"/>
  <c r="CM8" i="30"/>
  <c r="CL8" i="30"/>
  <c r="CK8" i="30"/>
  <c r="CJ8" i="30"/>
  <c r="CI8" i="30"/>
  <c r="CH8" i="30"/>
  <c r="CG8" i="30"/>
  <c r="CF8" i="30"/>
  <c r="CE8" i="30"/>
  <c r="CZ2" i="30"/>
  <c r="CY2" i="30"/>
  <c r="CX2" i="30"/>
  <c r="CW2" i="30"/>
  <c r="CV2" i="30"/>
  <c r="CT2" i="30"/>
  <c r="CS2" i="30"/>
  <c r="CR2" i="30"/>
  <c r="CQ2" i="30"/>
  <c r="CP2" i="30"/>
  <c r="CO2" i="30"/>
  <c r="CN2" i="30"/>
  <c r="CM2" i="30"/>
  <c r="CL2" i="30"/>
  <c r="CK2" i="30"/>
  <c r="CJ2" i="30"/>
  <c r="CI2" i="30"/>
  <c r="CH2" i="30"/>
  <c r="CG2" i="30"/>
  <c r="CF2" i="30"/>
  <c r="CE2" i="30"/>
  <c r="CZ22" i="30"/>
  <c r="CY22" i="30"/>
  <c r="CX22" i="30"/>
  <c r="CW22" i="30"/>
  <c r="CV22" i="30"/>
  <c r="CT22" i="30"/>
  <c r="CS22" i="30"/>
  <c r="CR22" i="30"/>
  <c r="CQ22" i="30"/>
  <c r="CP22" i="30"/>
  <c r="CO22" i="30"/>
  <c r="CN22" i="30"/>
  <c r="CM22" i="30"/>
  <c r="CL22" i="30"/>
  <c r="CK22" i="30"/>
  <c r="CJ22" i="30"/>
  <c r="CI22" i="30"/>
  <c r="CH22" i="30"/>
  <c r="CG22" i="30"/>
  <c r="CF22" i="30"/>
  <c r="CE22" i="30"/>
  <c r="CZ26" i="30"/>
  <c r="CY26" i="30"/>
  <c r="CX26" i="30"/>
  <c r="CW26" i="30"/>
  <c r="CV26" i="30"/>
  <c r="CT26" i="30"/>
  <c r="CS26" i="30"/>
  <c r="CR26" i="30"/>
  <c r="CQ26" i="30"/>
  <c r="CP26" i="30"/>
  <c r="CO26" i="30"/>
  <c r="CN26" i="30"/>
  <c r="CM26" i="30"/>
  <c r="CL26" i="30"/>
  <c r="CK26" i="30"/>
  <c r="CJ26" i="30"/>
  <c r="CI26" i="30"/>
  <c r="CH26" i="30"/>
  <c r="CG26" i="30"/>
  <c r="CF26" i="30"/>
  <c r="CE26" i="30"/>
  <c r="CZ30" i="30"/>
  <c r="CY30" i="30"/>
  <c r="CX30" i="30"/>
  <c r="CW30" i="30"/>
  <c r="CV30" i="30"/>
  <c r="CT30" i="30"/>
  <c r="CS30" i="30"/>
  <c r="CR30" i="30"/>
  <c r="CQ30" i="30"/>
  <c r="CP30" i="30"/>
  <c r="CO30" i="30"/>
  <c r="CN30" i="30"/>
  <c r="CM30" i="30"/>
  <c r="CL30" i="30"/>
  <c r="CK30" i="30"/>
  <c r="CJ30" i="30"/>
  <c r="CI30" i="30"/>
  <c r="CH30" i="30"/>
  <c r="CG30" i="30"/>
  <c r="CF30" i="30"/>
  <c r="CE30" i="30"/>
  <c r="CZ14" i="30"/>
  <c r="CY14" i="30"/>
  <c r="CX14" i="30"/>
  <c r="CW14" i="30"/>
  <c r="CV14" i="30"/>
  <c r="CT14" i="30"/>
  <c r="CS14" i="30"/>
  <c r="CR14" i="30"/>
  <c r="CQ14" i="30"/>
  <c r="CP14" i="30"/>
  <c r="CO14" i="30"/>
  <c r="CN14" i="30"/>
  <c r="CM14" i="30"/>
  <c r="CL14" i="30"/>
  <c r="CK14" i="30"/>
  <c r="CJ14" i="30"/>
  <c r="CI14" i="30"/>
  <c r="CH14" i="30"/>
  <c r="CG14" i="30"/>
  <c r="CF14" i="30"/>
  <c r="CE14" i="30"/>
  <c r="CZ13" i="30"/>
  <c r="CY13" i="30"/>
  <c r="CX13" i="30"/>
  <c r="CW13" i="30"/>
  <c r="CV13" i="30"/>
  <c r="CT13" i="30"/>
  <c r="CS13" i="30"/>
  <c r="CR13" i="30"/>
  <c r="CQ13" i="30"/>
  <c r="CP13" i="30"/>
  <c r="CO13" i="30"/>
  <c r="CN13" i="30"/>
  <c r="CM13" i="30"/>
  <c r="CL13" i="30"/>
  <c r="CK13" i="30"/>
  <c r="CJ13" i="30"/>
  <c r="CI13" i="30"/>
  <c r="CH13" i="30"/>
  <c r="CG13" i="30"/>
  <c r="CF13" i="30"/>
  <c r="CE13" i="30"/>
  <c r="CZ3" i="30"/>
  <c r="CY3" i="30"/>
  <c r="CX3" i="30"/>
  <c r="CW3" i="30"/>
  <c r="CV3" i="30"/>
  <c r="CT3" i="30"/>
  <c r="CS3" i="30"/>
  <c r="CR3" i="30"/>
  <c r="CQ3" i="30"/>
  <c r="CP3" i="30"/>
  <c r="CO3" i="30"/>
  <c r="CN3" i="30"/>
  <c r="CM3" i="30"/>
  <c r="CL3" i="30"/>
  <c r="CK3" i="30"/>
  <c r="CJ3" i="30"/>
  <c r="CI3" i="30"/>
  <c r="CH3" i="30"/>
  <c r="CG3" i="30"/>
  <c r="CF3" i="30"/>
  <c r="CE3" i="30"/>
  <c r="AZ18" i="30"/>
  <c r="AY18" i="30"/>
  <c r="AX18" i="30"/>
  <c r="AW18" i="30"/>
  <c r="AV18" i="30"/>
  <c r="AT18" i="30"/>
  <c r="AS18" i="30"/>
  <c r="AR18" i="30"/>
  <c r="AQ18" i="30"/>
  <c r="AP18" i="30"/>
  <c r="AO18" i="30"/>
  <c r="AN18" i="30"/>
  <c r="AM18" i="30"/>
  <c r="AL18" i="30"/>
  <c r="AK18" i="30"/>
  <c r="AJ18" i="30"/>
  <c r="AI18" i="30"/>
  <c r="AH18" i="30"/>
  <c r="AG18" i="30"/>
  <c r="AF18" i="30"/>
  <c r="AE18" i="30"/>
  <c r="AZ7" i="30"/>
  <c r="AY7" i="30"/>
  <c r="AX7" i="30"/>
  <c r="AW7" i="30"/>
  <c r="AV7" i="30"/>
  <c r="AT7" i="30"/>
  <c r="AS7" i="30"/>
  <c r="AR7" i="30"/>
  <c r="AQ7" i="30"/>
  <c r="AP7" i="30"/>
  <c r="AO7" i="30"/>
  <c r="AN7" i="30"/>
  <c r="AM7" i="30"/>
  <c r="AL7" i="30"/>
  <c r="AK7" i="30"/>
  <c r="AJ7" i="30"/>
  <c r="AI7" i="30"/>
  <c r="AH7" i="30"/>
  <c r="AG7" i="30"/>
  <c r="AF7" i="30"/>
  <c r="AE7" i="30"/>
  <c r="AZ16" i="30"/>
  <c r="AY16" i="30"/>
  <c r="AX16" i="30"/>
  <c r="AW16" i="30"/>
  <c r="AV16" i="30"/>
  <c r="AT16" i="30"/>
  <c r="AS16" i="30"/>
  <c r="AR16" i="30"/>
  <c r="AQ16" i="30"/>
  <c r="AP16" i="30"/>
  <c r="AO16" i="30"/>
  <c r="AN16" i="30"/>
  <c r="AM16" i="30"/>
  <c r="AL16" i="30"/>
  <c r="AK16" i="30"/>
  <c r="AJ16" i="30"/>
  <c r="AI16" i="30"/>
  <c r="AH16" i="30"/>
  <c r="AG16" i="30"/>
  <c r="AF16" i="30"/>
  <c r="AE16" i="30"/>
  <c r="AZ9" i="30"/>
  <c r="AY9" i="30"/>
  <c r="AX9" i="30"/>
  <c r="AW9" i="30"/>
  <c r="AV9" i="30"/>
  <c r="AT9" i="30"/>
  <c r="AS9" i="30"/>
  <c r="AR9" i="30"/>
  <c r="AQ9" i="30"/>
  <c r="AP9" i="30"/>
  <c r="AO9" i="30"/>
  <c r="AN9" i="30"/>
  <c r="AM9" i="30"/>
  <c r="AL9" i="30"/>
  <c r="AK9" i="30"/>
  <c r="AJ9" i="30"/>
  <c r="AI9" i="30"/>
  <c r="AH9" i="30"/>
  <c r="AG9" i="30"/>
  <c r="AF9" i="30"/>
  <c r="AE9" i="30"/>
  <c r="AZ17" i="30"/>
  <c r="AY17" i="30"/>
  <c r="AX17" i="30"/>
  <c r="AW17" i="30"/>
  <c r="AV17" i="30"/>
  <c r="AT17" i="30"/>
  <c r="AS17" i="30"/>
  <c r="AR17" i="30"/>
  <c r="AQ17" i="30"/>
  <c r="AP17" i="30"/>
  <c r="AO17" i="30"/>
  <c r="AN17" i="30"/>
  <c r="AM17" i="30"/>
  <c r="AL17" i="30"/>
  <c r="AK17" i="30"/>
  <c r="AJ17" i="30"/>
  <c r="AI17" i="30"/>
  <c r="AH17" i="30"/>
  <c r="AG17" i="30"/>
  <c r="AF17" i="30"/>
  <c r="AE17" i="30"/>
  <c r="AZ23" i="30"/>
  <c r="AY23" i="30"/>
  <c r="AX23" i="30"/>
  <c r="AW23" i="30"/>
  <c r="AV23" i="30"/>
  <c r="AT23" i="30"/>
  <c r="AS23" i="30"/>
  <c r="AR23" i="30"/>
  <c r="AQ23" i="30"/>
  <c r="AP23" i="30"/>
  <c r="AO23" i="30"/>
  <c r="AN23" i="30"/>
  <c r="AM23" i="30"/>
  <c r="AL23" i="30"/>
  <c r="AK23" i="30"/>
  <c r="AJ23" i="30"/>
  <c r="AI23" i="30"/>
  <c r="AH23" i="30"/>
  <c r="AG23" i="30"/>
  <c r="AF23" i="30"/>
  <c r="AE23" i="30"/>
  <c r="AZ10" i="30"/>
  <c r="AY10" i="30"/>
  <c r="AX10" i="30"/>
  <c r="AW10" i="30"/>
  <c r="AV10" i="30"/>
  <c r="AT10" i="30"/>
  <c r="AS10" i="30"/>
  <c r="AR10" i="30"/>
  <c r="AQ10" i="30"/>
  <c r="AP10" i="30"/>
  <c r="AO10" i="30"/>
  <c r="AN10" i="30"/>
  <c r="AM10" i="30"/>
  <c r="AL10" i="30"/>
  <c r="AK10" i="30"/>
  <c r="AJ10" i="30"/>
  <c r="AI10" i="30"/>
  <c r="AH10" i="30"/>
  <c r="AG10" i="30"/>
  <c r="AF10" i="30"/>
  <c r="AE10" i="30"/>
  <c r="AZ15" i="30"/>
  <c r="AY15" i="30"/>
  <c r="AX15" i="30"/>
  <c r="AW15" i="30"/>
  <c r="AV15" i="30"/>
  <c r="AT15" i="30"/>
  <c r="AS15" i="30"/>
  <c r="AR15" i="30"/>
  <c r="AQ15" i="30"/>
  <c r="AP15" i="30"/>
  <c r="AO15" i="30"/>
  <c r="AN15" i="30"/>
  <c r="AM15" i="30"/>
  <c r="AL15" i="30"/>
  <c r="AK15" i="30"/>
  <c r="AJ15" i="30"/>
  <c r="AI15" i="30"/>
  <c r="AH15" i="30"/>
  <c r="AG15" i="30"/>
  <c r="AF15" i="30"/>
  <c r="AE15" i="30"/>
  <c r="AZ8" i="30"/>
  <c r="AY8" i="30"/>
  <c r="AX8" i="30"/>
  <c r="AW8" i="30"/>
  <c r="AV8" i="30"/>
  <c r="AT8" i="30"/>
  <c r="AS8" i="30"/>
  <c r="AR8" i="30"/>
  <c r="AQ8" i="30"/>
  <c r="AP8" i="30"/>
  <c r="AO8" i="30"/>
  <c r="AN8" i="30"/>
  <c r="AM8" i="30"/>
  <c r="AL8" i="30"/>
  <c r="AK8" i="30"/>
  <c r="AJ8" i="30"/>
  <c r="AI8" i="30"/>
  <c r="AH8" i="30"/>
  <c r="AG8" i="30"/>
  <c r="AF8" i="30"/>
  <c r="AE8" i="30"/>
  <c r="AZ2" i="30"/>
  <c r="AY2" i="30"/>
  <c r="AX2" i="30"/>
  <c r="AW2" i="30"/>
  <c r="AV2" i="30"/>
  <c r="AT2" i="30"/>
  <c r="AS2" i="30"/>
  <c r="AR2" i="30"/>
  <c r="AQ2" i="30"/>
  <c r="AP2" i="30"/>
  <c r="AO2" i="30"/>
  <c r="AN2" i="30"/>
  <c r="AM2" i="30"/>
  <c r="AL2" i="30"/>
  <c r="AK2" i="30"/>
  <c r="AJ2" i="30"/>
  <c r="AI2" i="30"/>
  <c r="AH2" i="30"/>
  <c r="AG2" i="30"/>
  <c r="AF2" i="30"/>
  <c r="AE2" i="30"/>
  <c r="AZ22" i="30"/>
  <c r="AY22" i="30"/>
  <c r="AX22" i="30"/>
  <c r="AW22" i="30"/>
  <c r="AV22" i="30"/>
  <c r="AT22" i="30"/>
  <c r="AS22" i="30"/>
  <c r="AR22" i="30"/>
  <c r="AQ22" i="30"/>
  <c r="AP22" i="30"/>
  <c r="AO22" i="30"/>
  <c r="AN22" i="30"/>
  <c r="AM22" i="30"/>
  <c r="AL22" i="30"/>
  <c r="AK22" i="30"/>
  <c r="AJ22" i="30"/>
  <c r="AI22" i="30"/>
  <c r="AH22" i="30"/>
  <c r="AG22" i="30"/>
  <c r="AF22" i="30"/>
  <c r="AE22" i="30"/>
  <c r="AZ26" i="30"/>
  <c r="AY26" i="30"/>
  <c r="AX26" i="30"/>
  <c r="AW26" i="30"/>
  <c r="AV26" i="30"/>
  <c r="AT26" i="30"/>
  <c r="AS26" i="30"/>
  <c r="AR26" i="30"/>
  <c r="AQ26" i="30"/>
  <c r="AP26" i="30"/>
  <c r="AO26" i="30"/>
  <c r="AN26" i="30"/>
  <c r="AM26" i="30"/>
  <c r="AL26" i="30"/>
  <c r="AK26" i="30"/>
  <c r="AJ26" i="30"/>
  <c r="AI26" i="30"/>
  <c r="AH26" i="30"/>
  <c r="AG26" i="30"/>
  <c r="AF26" i="30"/>
  <c r="AE26" i="30"/>
  <c r="AZ30" i="30"/>
  <c r="AY30" i="30"/>
  <c r="AX30" i="30"/>
  <c r="AW30" i="30"/>
  <c r="AV30" i="30"/>
  <c r="AT30" i="30"/>
  <c r="AS30" i="30"/>
  <c r="AR30" i="30"/>
  <c r="AQ30" i="30"/>
  <c r="AP30" i="30"/>
  <c r="AO30" i="30"/>
  <c r="AN30" i="30"/>
  <c r="AM30" i="30"/>
  <c r="AL30" i="30"/>
  <c r="AK30" i="30"/>
  <c r="AJ30" i="30"/>
  <c r="AI30" i="30"/>
  <c r="AH30" i="30"/>
  <c r="AG30" i="30"/>
  <c r="AF30" i="30"/>
  <c r="AE30" i="30"/>
  <c r="AZ14" i="30"/>
  <c r="AY14" i="30"/>
  <c r="AX14" i="30"/>
  <c r="AW14" i="30"/>
  <c r="AV14" i="30"/>
  <c r="AT14" i="30"/>
  <c r="AS14" i="30"/>
  <c r="AR14" i="30"/>
  <c r="AQ14" i="30"/>
  <c r="AP14" i="30"/>
  <c r="AO14" i="30"/>
  <c r="AN14" i="30"/>
  <c r="AM14" i="30"/>
  <c r="AL14" i="30"/>
  <c r="AK14" i="30"/>
  <c r="AJ14" i="30"/>
  <c r="AI14" i="30"/>
  <c r="AH14" i="30"/>
  <c r="AG14" i="30"/>
  <c r="AF14" i="30"/>
  <c r="AE14" i="30"/>
  <c r="AZ13" i="30"/>
  <c r="AY13" i="30"/>
  <c r="AX13" i="30"/>
  <c r="AW13" i="30"/>
  <c r="AV13" i="30"/>
  <c r="AT13" i="30"/>
  <c r="AS13" i="30"/>
  <c r="AR13" i="30"/>
  <c r="AQ13" i="30"/>
  <c r="AP13" i="30"/>
  <c r="AO13" i="30"/>
  <c r="AN13" i="30"/>
  <c r="AM13" i="30"/>
  <c r="AL13" i="30"/>
  <c r="AK13" i="30"/>
  <c r="AJ13" i="30"/>
  <c r="AI13" i="30"/>
  <c r="AH13" i="30"/>
  <c r="AG13" i="30"/>
  <c r="AF13" i="30"/>
  <c r="AE13" i="30"/>
  <c r="AZ3" i="30"/>
  <c r="AY3" i="30"/>
  <c r="AX3" i="30"/>
  <c r="AW3" i="30"/>
  <c r="AV3" i="30"/>
  <c r="AT3" i="30"/>
  <c r="AS3" i="30"/>
  <c r="AR3" i="30"/>
  <c r="AQ3" i="30"/>
  <c r="AP3" i="30"/>
  <c r="AO3" i="30"/>
  <c r="AN3" i="30"/>
  <c r="AM3" i="30"/>
  <c r="AL3" i="30"/>
  <c r="AK3" i="30"/>
  <c r="AJ3" i="30"/>
  <c r="AI3" i="30"/>
  <c r="AH3" i="30"/>
  <c r="AG3" i="30"/>
  <c r="AF3" i="30"/>
  <c r="AE3" i="30"/>
  <c r="BE10" i="29"/>
  <c r="BF10" i="29"/>
  <c r="BG10" i="29"/>
  <c r="BH10" i="29"/>
  <c r="BI10" i="29"/>
  <c r="BJ10" i="29"/>
  <c r="BK10" i="29"/>
  <c r="BL10" i="29"/>
  <c r="BM10" i="29"/>
  <c r="BN10" i="29"/>
  <c r="BO10" i="29"/>
  <c r="BP10" i="29"/>
  <c r="BQ10" i="29"/>
  <c r="BR10" i="29"/>
  <c r="BS10" i="29"/>
  <c r="BT10" i="29"/>
  <c r="BV10" i="29"/>
  <c r="BW10" i="29"/>
  <c r="BX10" i="29"/>
  <c r="BY10" i="29"/>
  <c r="BZ10" i="29"/>
  <c r="BE23" i="29"/>
  <c r="BE17" i="29"/>
  <c r="BE9" i="29"/>
  <c r="BE16" i="29"/>
  <c r="BE7" i="29"/>
  <c r="BE18" i="29"/>
  <c r="BF23" i="29"/>
  <c r="BF17" i="29"/>
  <c r="BF9" i="29"/>
  <c r="BF16" i="29"/>
  <c r="BF7" i="29"/>
  <c r="BF18" i="29"/>
  <c r="BG23" i="29"/>
  <c r="BG17" i="29"/>
  <c r="BG9" i="29"/>
  <c r="BG16" i="29"/>
  <c r="BG7" i="29"/>
  <c r="BG18" i="29"/>
  <c r="BH23" i="29"/>
  <c r="BH17" i="29"/>
  <c r="BH9" i="29"/>
  <c r="BH16" i="29"/>
  <c r="BH7" i="29"/>
  <c r="BH18" i="29"/>
  <c r="BI23" i="29"/>
  <c r="BI17" i="29"/>
  <c r="BI9" i="29"/>
  <c r="BI16" i="29"/>
  <c r="BI7" i="29"/>
  <c r="BI18" i="29"/>
  <c r="BJ23" i="29"/>
  <c r="BJ17" i="29"/>
  <c r="BJ9" i="29"/>
  <c r="BJ16" i="29"/>
  <c r="BJ7" i="29"/>
  <c r="BJ18" i="29"/>
  <c r="BK23" i="29"/>
  <c r="BK17" i="29"/>
  <c r="BK9" i="29"/>
  <c r="BK16" i="29"/>
  <c r="BK7" i="29"/>
  <c r="BK18" i="29"/>
  <c r="BL23" i="29"/>
  <c r="BL17" i="29"/>
  <c r="BL9" i="29"/>
  <c r="BL16" i="29"/>
  <c r="BL7" i="29"/>
  <c r="BL18" i="29"/>
  <c r="BM23" i="29"/>
  <c r="BM17" i="29"/>
  <c r="BM9" i="29"/>
  <c r="BM16" i="29"/>
  <c r="BM7" i="29"/>
  <c r="BM18" i="29"/>
  <c r="BN23" i="29"/>
  <c r="BN17" i="29"/>
  <c r="BN9" i="29"/>
  <c r="BN16" i="29"/>
  <c r="BN7" i="29"/>
  <c r="BN18" i="29"/>
  <c r="BO23" i="29"/>
  <c r="BO17" i="29"/>
  <c r="BO9" i="29"/>
  <c r="BO16" i="29"/>
  <c r="BO7" i="29"/>
  <c r="BO18" i="29"/>
  <c r="BP23" i="29"/>
  <c r="BP17" i="29"/>
  <c r="BP9" i="29"/>
  <c r="BP16" i="29"/>
  <c r="BP7" i="29"/>
  <c r="BP18" i="29"/>
  <c r="BQ23" i="29"/>
  <c r="BQ17" i="29"/>
  <c r="BQ9" i="29"/>
  <c r="BQ16" i="29"/>
  <c r="BQ7" i="29"/>
  <c r="BQ18" i="29"/>
  <c r="BR23" i="29"/>
  <c r="BR17" i="29"/>
  <c r="BR9" i="29"/>
  <c r="BR16" i="29"/>
  <c r="BR7" i="29"/>
  <c r="BR18" i="29"/>
  <c r="BS23" i="29"/>
  <c r="BS17" i="29"/>
  <c r="BS9" i="29"/>
  <c r="BS16" i="29"/>
  <c r="BS7" i="29"/>
  <c r="BS18" i="29"/>
  <c r="BT23" i="29"/>
  <c r="BT17" i="29"/>
  <c r="BT9" i="29"/>
  <c r="BT16" i="29"/>
  <c r="BT7" i="29"/>
  <c r="BT18" i="29"/>
  <c r="BV23" i="29"/>
  <c r="BV17" i="29"/>
  <c r="BV9" i="29"/>
  <c r="BV16" i="29"/>
  <c r="BV7" i="29"/>
  <c r="BV18" i="29"/>
  <c r="BW23" i="29"/>
  <c r="BW17" i="29"/>
  <c r="BW9" i="29"/>
  <c r="BW16" i="29"/>
  <c r="BW7" i="29"/>
  <c r="BW18" i="29"/>
  <c r="BX23" i="29"/>
  <c r="BX17" i="29"/>
  <c r="BX9" i="29"/>
  <c r="BX16" i="29"/>
  <c r="BX7" i="29"/>
  <c r="BX18" i="29"/>
  <c r="BY23" i="29"/>
  <c r="BY17" i="29"/>
  <c r="BY9" i="29"/>
  <c r="BY16" i="29"/>
  <c r="BY7" i="29"/>
  <c r="BY18" i="29"/>
  <c r="BZ23" i="29"/>
  <c r="BZ17" i="29"/>
  <c r="BZ9" i="29"/>
  <c r="BZ16" i="29"/>
  <c r="BZ7" i="29"/>
  <c r="BZ18" i="29"/>
  <c r="BE3" i="29"/>
  <c r="BF3" i="29"/>
  <c r="BG3" i="29"/>
  <c r="BH3" i="29"/>
  <c r="BI3" i="29"/>
  <c r="BJ3" i="29"/>
  <c r="BK3" i="29"/>
  <c r="BL3" i="29"/>
  <c r="BM3" i="29"/>
  <c r="BN3" i="29"/>
  <c r="BO3" i="29"/>
  <c r="BP3" i="29"/>
  <c r="BQ3" i="29"/>
  <c r="BR3" i="29"/>
  <c r="BS3" i="29"/>
  <c r="BT3" i="29"/>
  <c r="BV3" i="29"/>
  <c r="BW3" i="29"/>
  <c r="BX3" i="29"/>
  <c r="BY3" i="29"/>
  <c r="BZ3" i="29"/>
  <c r="BE13" i="29"/>
  <c r="BF13" i="29"/>
  <c r="BG13" i="29"/>
  <c r="BH13" i="29"/>
  <c r="BI13" i="29"/>
  <c r="BJ13" i="29"/>
  <c r="BK13" i="29"/>
  <c r="BL13" i="29"/>
  <c r="BM13" i="29"/>
  <c r="BN13" i="29"/>
  <c r="BO13" i="29"/>
  <c r="BP13" i="29"/>
  <c r="BQ13" i="29"/>
  <c r="BR13" i="29"/>
  <c r="BS13" i="29"/>
  <c r="BT13" i="29"/>
  <c r="BV13" i="29"/>
  <c r="BW13" i="29"/>
  <c r="BX13" i="29"/>
  <c r="BY13" i="29"/>
  <c r="BZ13" i="29"/>
  <c r="BE14" i="29"/>
  <c r="BF14" i="29"/>
  <c r="BG14" i="29"/>
  <c r="BH14" i="29"/>
  <c r="BI14" i="29"/>
  <c r="BJ14" i="29"/>
  <c r="BK14" i="29"/>
  <c r="BL14" i="29"/>
  <c r="BM14" i="29"/>
  <c r="BN14" i="29"/>
  <c r="BO14" i="29"/>
  <c r="BP14" i="29"/>
  <c r="BQ14" i="29"/>
  <c r="BR14" i="29"/>
  <c r="BS14" i="29"/>
  <c r="BT14" i="29"/>
  <c r="BV14" i="29"/>
  <c r="BW14" i="29"/>
  <c r="BX14" i="29"/>
  <c r="BY14" i="29"/>
  <c r="BZ14" i="29"/>
  <c r="BE30" i="29"/>
  <c r="BF30" i="29"/>
  <c r="BG30" i="29"/>
  <c r="BH30" i="29"/>
  <c r="BI30" i="29"/>
  <c r="BJ30" i="29"/>
  <c r="BK30" i="29"/>
  <c r="BL30" i="29"/>
  <c r="BM30" i="29"/>
  <c r="BN30" i="29"/>
  <c r="BO30" i="29"/>
  <c r="BP30" i="29"/>
  <c r="BQ30" i="29"/>
  <c r="BR30" i="29"/>
  <c r="BS30" i="29"/>
  <c r="BT30" i="29"/>
  <c r="BV30" i="29"/>
  <c r="BW30" i="29"/>
  <c r="BX30" i="29"/>
  <c r="BY30" i="29"/>
  <c r="BZ30" i="29"/>
  <c r="BE26" i="29"/>
  <c r="BF26" i="29"/>
  <c r="BG26" i="29"/>
  <c r="BH26" i="29"/>
  <c r="BI26" i="29"/>
  <c r="BJ26" i="29"/>
  <c r="BK26" i="29"/>
  <c r="BL26" i="29"/>
  <c r="BM26" i="29"/>
  <c r="BN26" i="29"/>
  <c r="BO26" i="29"/>
  <c r="BP26" i="29"/>
  <c r="BQ26" i="29"/>
  <c r="BR26" i="29"/>
  <c r="BS26" i="29"/>
  <c r="BT26" i="29"/>
  <c r="BV26" i="29"/>
  <c r="BW26" i="29"/>
  <c r="BX26" i="29"/>
  <c r="BY26" i="29"/>
  <c r="BZ26" i="29"/>
  <c r="BE22" i="29"/>
  <c r="BF22" i="29"/>
  <c r="BG22" i="29"/>
  <c r="BH22" i="29"/>
  <c r="BI22" i="29"/>
  <c r="BJ22" i="29"/>
  <c r="BK22" i="29"/>
  <c r="BL22" i="29"/>
  <c r="BM22" i="29"/>
  <c r="BN22" i="29"/>
  <c r="BO22" i="29"/>
  <c r="BP22" i="29"/>
  <c r="BQ22" i="29"/>
  <c r="BR22" i="29"/>
  <c r="BS22" i="29"/>
  <c r="BT22" i="29"/>
  <c r="BV22" i="29"/>
  <c r="BW22" i="29"/>
  <c r="BX22" i="29"/>
  <c r="BY22" i="29"/>
  <c r="BZ22" i="29"/>
  <c r="BE2" i="29"/>
  <c r="BF2" i="29"/>
  <c r="BG2" i="29"/>
  <c r="BH2" i="29"/>
  <c r="BI2" i="29"/>
  <c r="BJ2" i="29"/>
  <c r="BK2" i="29"/>
  <c r="BL2" i="29"/>
  <c r="BM2" i="29"/>
  <c r="BN2" i="29"/>
  <c r="BO2" i="29"/>
  <c r="BP2" i="29"/>
  <c r="BQ2" i="29"/>
  <c r="BR2" i="29"/>
  <c r="BS2" i="29"/>
  <c r="BT2" i="29"/>
  <c r="BV2" i="29"/>
  <c r="BW2" i="29"/>
  <c r="BX2" i="29"/>
  <c r="BY2" i="29"/>
  <c r="BZ2" i="29"/>
  <c r="BE8" i="29"/>
  <c r="BF8" i="29"/>
  <c r="BG8" i="29"/>
  <c r="BH8" i="29"/>
  <c r="BI8" i="29"/>
  <c r="BJ8" i="29"/>
  <c r="BK8" i="29"/>
  <c r="BL8" i="29"/>
  <c r="BM8" i="29"/>
  <c r="BN8" i="29"/>
  <c r="BO8" i="29"/>
  <c r="BP8" i="29"/>
  <c r="BQ8" i="29"/>
  <c r="BR8" i="29"/>
  <c r="BS8" i="29"/>
  <c r="BT8" i="29"/>
  <c r="BV8" i="29"/>
  <c r="BW8" i="29"/>
  <c r="BX8" i="29"/>
  <c r="BY8" i="29"/>
  <c r="BZ8" i="29"/>
  <c r="BE15" i="29"/>
  <c r="BF15" i="29"/>
  <c r="BG15" i="29"/>
  <c r="BH15" i="29"/>
  <c r="BI15" i="29"/>
  <c r="BJ15" i="29"/>
  <c r="BK15" i="29"/>
  <c r="BL15" i="29"/>
  <c r="BM15" i="29"/>
  <c r="BN15" i="29"/>
  <c r="BO15" i="29"/>
  <c r="BP15" i="29"/>
  <c r="BQ15" i="29"/>
  <c r="BR15" i="29"/>
  <c r="BS15" i="29"/>
  <c r="BT15" i="29"/>
  <c r="BV15" i="29"/>
  <c r="BW15" i="29"/>
  <c r="BX15" i="29"/>
  <c r="BY15" i="29"/>
  <c r="BZ15" i="29"/>
  <c r="L18" i="5"/>
  <c r="L9" i="5"/>
  <c r="L17" i="5"/>
  <c r="L25" i="5"/>
  <c r="L15" i="5"/>
  <c r="L2" i="5"/>
  <c r="L22" i="5"/>
  <c r="L26" i="5"/>
  <c r="K8" i="5"/>
  <c r="K14" i="5"/>
  <c r="DB27" i="31"/>
  <c r="DA27" i="31"/>
  <c r="CZ27" i="31"/>
  <c r="CY27" i="31"/>
  <c r="CX27" i="31"/>
  <c r="CW27" i="31"/>
  <c r="CV27" i="31"/>
  <c r="CU27" i="31"/>
  <c r="CT27" i="31"/>
  <c r="CS27" i="31"/>
  <c r="CR27" i="31"/>
  <c r="CQ27" i="31"/>
  <c r="CP27" i="31"/>
  <c r="CO27" i="31"/>
  <c r="CN27" i="31"/>
  <c r="CM27" i="31"/>
  <c r="CL27" i="31"/>
  <c r="CK27" i="31"/>
  <c r="CJ27" i="31"/>
  <c r="CI27" i="31"/>
  <c r="CH27" i="31"/>
  <c r="CG27" i="31"/>
  <c r="CF27" i="31"/>
  <c r="CE27" i="31"/>
  <c r="CD27" i="31"/>
  <c r="CC27" i="31"/>
  <c r="DU27" i="18"/>
  <c r="DB12" i="31"/>
  <c r="DA12" i="31"/>
  <c r="CZ12" i="31"/>
  <c r="CY12" i="31"/>
  <c r="CX12" i="31"/>
  <c r="CW12" i="31"/>
  <c r="CV12" i="31"/>
  <c r="CU12" i="31"/>
  <c r="CT12" i="31"/>
  <c r="CS12" i="31"/>
  <c r="CR12" i="31"/>
  <c r="CQ12" i="31"/>
  <c r="CP12" i="31"/>
  <c r="CO12" i="31"/>
  <c r="CN12" i="31"/>
  <c r="CM12" i="31"/>
  <c r="CL12" i="31"/>
  <c r="CK12" i="31"/>
  <c r="CJ12" i="31"/>
  <c r="CI12" i="31"/>
  <c r="CH12" i="31"/>
  <c r="CG12" i="31"/>
  <c r="CF12" i="31"/>
  <c r="CE12" i="31"/>
  <c r="CD12" i="31"/>
  <c r="CC12" i="31"/>
  <c r="DU12" i="18"/>
  <c r="DB29" i="31"/>
  <c r="DA29" i="31"/>
  <c r="CZ29" i="31"/>
  <c r="CY29" i="31"/>
  <c r="CX29" i="31"/>
  <c r="CW29" i="31"/>
  <c r="CV29" i="31"/>
  <c r="CU29" i="31"/>
  <c r="CT29" i="31"/>
  <c r="CS29" i="31"/>
  <c r="CR29" i="31"/>
  <c r="CQ29" i="31"/>
  <c r="CP29" i="31"/>
  <c r="CO29" i="31"/>
  <c r="CN29" i="31"/>
  <c r="CM29" i="31"/>
  <c r="CL29" i="31"/>
  <c r="CK29" i="31"/>
  <c r="CJ29" i="31"/>
  <c r="CI29" i="31"/>
  <c r="CH29" i="31"/>
  <c r="CG29" i="31"/>
  <c r="CF29" i="31"/>
  <c r="CE29" i="31"/>
  <c r="CD29" i="31"/>
  <c r="CC29" i="31"/>
  <c r="DU29" i="18"/>
  <c r="DB20" i="31"/>
  <c r="DA20" i="31"/>
  <c r="CZ20" i="31"/>
  <c r="CY20" i="31"/>
  <c r="CX20" i="31"/>
  <c r="CW20" i="31"/>
  <c r="CV20" i="31"/>
  <c r="CU20" i="31"/>
  <c r="CT20" i="31"/>
  <c r="CS20" i="31"/>
  <c r="CR20" i="31"/>
  <c r="CQ20" i="31"/>
  <c r="CP20" i="31"/>
  <c r="CO20" i="31"/>
  <c r="CN20" i="31"/>
  <c r="CM20" i="31"/>
  <c r="CL20" i="31"/>
  <c r="CK20" i="31"/>
  <c r="CJ20" i="31"/>
  <c r="CI20" i="31"/>
  <c r="CH20" i="31"/>
  <c r="CG20" i="31"/>
  <c r="CF20" i="31"/>
  <c r="CE20" i="31"/>
  <c r="CD20" i="31"/>
  <c r="DB24" i="31"/>
  <c r="DA24" i="31"/>
  <c r="CZ24" i="31"/>
  <c r="CY24" i="31"/>
  <c r="CX24" i="31"/>
  <c r="CW24" i="31"/>
  <c r="CV24" i="31"/>
  <c r="CU24" i="31"/>
  <c r="CT24" i="31"/>
  <c r="CS24" i="31"/>
  <c r="CR24" i="31"/>
  <c r="CQ24" i="31"/>
  <c r="CP24" i="31"/>
  <c r="CO24" i="31"/>
  <c r="CN24" i="31"/>
  <c r="CM24" i="31"/>
  <c r="CL24" i="31"/>
  <c r="CK24" i="31"/>
  <c r="CJ24" i="31"/>
  <c r="CI24" i="31"/>
  <c r="CH24" i="31"/>
  <c r="CG24" i="31"/>
  <c r="CF24" i="31"/>
  <c r="CE24" i="31"/>
  <c r="CD24" i="31"/>
  <c r="DB5" i="31"/>
  <c r="DA5" i="31"/>
  <c r="CZ5" i="31"/>
  <c r="CY5" i="31"/>
  <c r="CX5" i="31"/>
  <c r="CW5" i="31"/>
  <c r="CV5" i="31"/>
  <c r="CU5" i="31"/>
  <c r="CT5" i="31"/>
  <c r="CS5" i="31"/>
  <c r="CR5" i="31"/>
  <c r="CQ5" i="31"/>
  <c r="CP5" i="31"/>
  <c r="CO5" i="31"/>
  <c r="CN5" i="31"/>
  <c r="CM5" i="31"/>
  <c r="CL5" i="31"/>
  <c r="CK5" i="31"/>
  <c r="CJ5" i="31"/>
  <c r="CI5" i="31"/>
  <c r="CH5" i="31"/>
  <c r="CG5" i="31"/>
  <c r="CF5" i="31"/>
  <c r="CE5" i="31"/>
  <c r="CD5" i="31"/>
  <c r="DB21" i="31"/>
  <c r="DA21" i="31"/>
  <c r="CZ21" i="31"/>
  <c r="CY21" i="31"/>
  <c r="CX21" i="31"/>
  <c r="CW21" i="31"/>
  <c r="CV21" i="31"/>
  <c r="CU21" i="31"/>
  <c r="CT21" i="31"/>
  <c r="CS21" i="31"/>
  <c r="CR21" i="31"/>
  <c r="CQ21" i="31"/>
  <c r="CP21" i="31"/>
  <c r="CO21" i="31"/>
  <c r="CN21" i="31"/>
  <c r="CM21" i="31"/>
  <c r="CL21" i="31"/>
  <c r="CK21" i="31"/>
  <c r="CJ21" i="31"/>
  <c r="CI21" i="31"/>
  <c r="CH21" i="31"/>
  <c r="CG21" i="31"/>
  <c r="CF21" i="31"/>
  <c r="CE21" i="31"/>
  <c r="CD21" i="31"/>
  <c r="DB25" i="31"/>
  <c r="DA25" i="31"/>
  <c r="CZ25" i="31"/>
  <c r="CY25" i="31"/>
  <c r="CX25" i="31"/>
  <c r="CW25" i="31"/>
  <c r="CV25" i="31"/>
  <c r="CU25" i="31"/>
  <c r="CT25" i="31"/>
  <c r="CS25" i="31"/>
  <c r="CR25" i="31"/>
  <c r="CQ25" i="31"/>
  <c r="CP25" i="31"/>
  <c r="CO25" i="31"/>
  <c r="CN25" i="31"/>
  <c r="CM25" i="31"/>
  <c r="CL25" i="31"/>
  <c r="CK25" i="31"/>
  <c r="CJ25" i="31"/>
  <c r="CI25" i="31"/>
  <c r="CH25" i="31"/>
  <c r="CG25" i="31"/>
  <c r="CF25" i="31"/>
  <c r="CE25" i="31"/>
  <c r="CD25" i="31"/>
  <c r="DB6" i="31"/>
  <c r="DA6" i="31"/>
  <c r="CZ6" i="31"/>
  <c r="CY6" i="31"/>
  <c r="CX6" i="31"/>
  <c r="CW6" i="31"/>
  <c r="CV6" i="31"/>
  <c r="CU6" i="31"/>
  <c r="CT6" i="31"/>
  <c r="CS6" i="31"/>
  <c r="CR6" i="31"/>
  <c r="CQ6" i="31"/>
  <c r="CP6" i="31"/>
  <c r="CO6" i="31"/>
  <c r="CN6" i="31"/>
  <c r="CM6" i="31"/>
  <c r="CL6" i="31"/>
  <c r="CK6" i="31"/>
  <c r="CJ6" i="31"/>
  <c r="CI6" i="31"/>
  <c r="CH6" i="31"/>
  <c r="CG6" i="31"/>
  <c r="CF6" i="31"/>
  <c r="CE6" i="31"/>
  <c r="CD6" i="31"/>
  <c r="CC6" i="31"/>
  <c r="DU6" i="18"/>
  <c r="DB28" i="31"/>
  <c r="DA28" i="31"/>
  <c r="CZ28" i="31"/>
  <c r="CY28" i="31"/>
  <c r="CX28" i="31"/>
  <c r="CW28" i="31"/>
  <c r="CV28" i="31"/>
  <c r="CU28" i="31"/>
  <c r="CT28" i="31"/>
  <c r="CS28" i="31"/>
  <c r="CR28" i="31"/>
  <c r="CQ28" i="31"/>
  <c r="CP28" i="31"/>
  <c r="CO28" i="31"/>
  <c r="CN28" i="31"/>
  <c r="CM28" i="31"/>
  <c r="CL28" i="31"/>
  <c r="CK28" i="31"/>
  <c r="CJ28" i="31"/>
  <c r="CI28" i="31"/>
  <c r="CH28" i="31"/>
  <c r="CG28" i="31"/>
  <c r="CF28" i="31"/>
  <c r="CE28" i="31"/>
  <c r="CD28" i="31"/>
  <c r="CC28" i="31"/>
  <c r="DU28" i="18"/>
  <c r="DB19" i="31"/>
  <c r="DA19" i="31"/>
  <c r="CZ19" i="31"/>
  <c r="CY19" i="31"/>
  <c r="CX19" i="31"/>
  <c r="CW19" i="31"/>
  <c r="CV19" i="31"/>
  <c r="CU19" i="31"/>
  <c r="CT19" i="31"/>
  <c r="CS19" i="31"/>
  <c r="CR19" i="31"/>
  <c r="CQ19" i="31"/>
  <c r="CP19" i="31"/>
  <c r="CO19" i="31"/>
  <c r="CN19" i="31"/>
  <c r="CM19" i="31"/>
  <c r="CL19" i="31"/>
  <c r="CK19" i="31"/>
  <c r="CJ19" i="31"/>
  <c r="CI19" i="31"/>
  <c r="CH19" i="31"/>
  <c r="CG19" i="31"/>
  <c r="CF19" i="31"/>
  <c r="CE19" i="31"/>
  <c r="CD19" i="31"/>
  <c r="DB4" i="31"/>
  <c r="DA4" i="31"/>
  <c r="CZ4" i="31"/>
  <c r="CY4" i="31"/>
  <c r="CX4" i="31"/>
  <c r="CW4" i="31"/>
  <c r="CV4" i="31"/>
  <c r="CU4" i="31"/>
  <c r="CC4" i="31"/>
  <c r="DU4" i="18"/>
  <c r="CT4" i="31"/>
  <c r="CS4" i="31"/>
  <c r="CR4" i="31"/>
  <c r="CQ4" i="31"/>
  <c r="CP4" i="31"/>
  <c r="CO4" i="31"/>
  <c r="CN4" i="31"/>
  <c r="CM4" i="31"/>
  <c r="CL4" i="31"/>
  <c r="CK4" i="31"/>
  <c r="CJ4" i="31"/>
  <c r="CI4" i="31"/>
  <c r="CH4" i="31"/>
  <c r="CG4" i="31"/>
  <c r="CF4" i="31"/>
  <c r="CE4" i="31"/>
  <c r="CD4" i="31"/>
  <c r="DB11" i="31"/>
  <c r="DA11" i="31"/>
  <c r="CZ11" i="31"/>
  <c r="CY11" i="31"/>
  <c r="CX11" i="31"/>
  <c r="CW11" i="31"/>
  <c r="CV11" i="31"/>
  <c r="CU11" i="31"/>
  <c r="CT11" i="31"/>
  <c r="CS11" i="31"/>
  <c r="CR11" i="31"/>
  <c r="CQ11" i="31"/>
  <c r="CP11" i="31"/>
  <c r="CO11" i="31"/>
  <c r="CN11" i="31"/>
  <c r="CM11" i="31"/>
  <c r="CL11" i="31"/>
  <c r="CK11" i="31"/>
  <c r="CJ11" i="31"/>
  <c r="CI11" i="31"/>
  <c r="CH11" i="31"/>
  <c r="CG11" i="31"/>
  <c r="CF11" i="31"/>
  <c r="CE11" i="31"/>
  <c r="CD11" i="31"/>
  <c r="CC11" i="31"/>
  <c r="DU11" i="18"/>
  <c r="BB27" i="31"/>
  <c r="BA27" i="31"/>
  <c r="AZ27" i="31"/>
  <c r="AY27" i="31"/>
  <c r="AX27" i="31"/>
  <c r="AW27" i="31"/>
  <c r="AV27" i="31"/>
  <c r="AT27" i="31"/>
  <c r="AS27" i="31"/>
  <c r="AR27" i="31"/>
  <c r="AQ27" i="31"/>
  <c r="AP27" i="31"/>
  <c r="AO27" i="31"/>
  <c r="AN27" i="31"/>
  <c r="AM27" i="31"/>
  <c r="AL27" i="31"/>
  <c r="AK27" i="31"/>
  <c r="AJ27" i="31"/>
  <c r="AI27" i="31"/>
  <c r="AH27" i="31"/>
  <c r="AG27" i="31"/>
  <c r="AF27" i="31"/>
  <c r="AE27" i="31"/>
  <c r="AD27" i="31"/>
  <c r="BB12" i="31"/>
  <c r="BA12" i="31"/>
  <c r="AZ12" i="31"/>
  <c r="AY12" i="31"/>
  <c r="AX12" i="31"/>
  <c r="AW12" i="31"/>
  <c r="AV12" i="31"/>
  <c r="AT12" i="31"/>
  <c r="AS12" i="31"/>
  <c r="AR12" i="31"/>
  <c r="AQ12" i="31"/>
  <c r="AP12" i="31"/>
  <c r="AO12" i="31"/>
  <c r="AN12" i="31"/>
  <c r="AM12" i="31"/>
  <c r="AL12" i="31"/>
  <c r="AK12" i="31"/>
  <c r="AJ12" i="31"/>
  <c r="AI12" i="31"/>
  <c r="AH12" i="31"/>
  <c r="AG12" i="31"/>
  <c r="AF12" i="31"/>
  <c r="AE12" i="31"/>
  <c r="AD12" i="31"/>
  <c r="AC12" i="31"/>
  <c r="AU12" i="5"/>
  <c r="BB29" i="31"/>
  <c r="BA29" i="31"/>
  <c r="AZ29" i="31"/>
  <c r="AY29" i="31"/>
  <c r="AX29" i="31"/>
  <c r="AW29" i="31"/>
  <c r="AV29" i="31"/>
  <c r="AT29" i="31"/>
  <c r="AS29" i="31"/>
  <c r="AR29" i="31"/>
  <c r="AQ29" i="31"/>
  <c r="AP29" i="31"/>
  <c r="AO29" i="31"/>
  <c r="AN29" i="31"/>
  <c r="AM29" i="31"/>
  <c r="AL29" i="31"/>
  <c r="AK29" i="31"/>
  <c r="AJ29" i="31"/>
  <c r="AI29" i="31"/>
  <c r="AH29" i="31"/>
  <c r="AG29" i="31"/>
  <c r="AF29" i="31"/>
  <c r="AE29" i="31"/>
  <c r="AD29" i="31"/>
  <c r="BB20" i="31"/>
  <c r="BA20" i="31"/>
  <c r="AZ20" i="31"/>
  <c r="AY20" i="31"/>
  <c r="AX20" i="31"/>
  <c r="AW20" i="31"/>
  <c r="AV20" i="31"/>
  <c r="AT20" i="31"/>
  <c r="AS20" i="31"/>
  <c r="AR20" i="31"/>
  <c r="AQ20" i="31"/>
  <c r="AP20" i="31"/>
  <c r="AO20" i="31"/>
  <c r="AN20" i="31"/>
  <c r="AM20" i="31"/>
  <c r="AL20" i="31"/>
  <c r="AK20" i="31"/>
  <c r="AJ20" i="31"/>
  <c r="AI20" i="31"/>
  <c r="AH20" i="31"/>
  <c r="AG20" i="31"/>
  <c r="AF20" i="31"/>
  <c r="AE20" i="31"/>
  <c r="AD20" i="31"/>
  <c r="BB24" i="31"/>
  <c r="BA24" i="31"/>
  <c r="AZ24" i="31"/>
  <c r="AY24" i="31"/>
  <c r="AX24" i="31"/>
  <c r="AW24" i="31"/>
  <c r="AV24" i="31"/>
  <c r="AT24" i="31"/>
  <c r="AS24" i="31"/>
  <c r="AR24" i="31"/>
  <c r="AQ24" i="31"/>
  <c r="AP24" i="31"/>
  <c r="AO24" i="31"/>
  <c r="AN24" i="31"/>
  <c r="AM24" i="31"/>
  <c r="AL24" i="31"/>
  <c r="AK24" i="31"/>
  <c r="AJ24" i="31"/>
  <c r="AI24" i="31"/>
  <c r="AH24" i="31"/>
  <c r="AG24" i="31"/>
  <c r="AF24" i="31"/>
  <c r="AE24" i="31"/>
  <c r="AD24" i="31"/>
  <c r="BB5" i="31"/>
  <c r="BA5" i="31"/>
  <c r="AZ5" i="31"/>
  <c r="AY5" i="31"/>
  <c r="AX5" i="31"/>
  <c r="AW5" i="31"/>
  <c r="AV5" i="31"/>
  <c r="AT5" i="31"/>
  <c r="AS5" i="31"/>
  <c r="AR5" i="31"/>
  <c r="AQ5" i="31"/>
  <c r="AP5" i="31"/>
  <c r="AO5" i="31"/>
  <c r="AN5" i="31"/>
  <c r="AM5" i="31"/>
  <c r="AL5" i="31"/>
  <c r="AK5" i="31"/>
  <c r="AJ5" i="31"/>
  <c r="AI5" i="31"/>
  <c r="AH5" i="31"/>
  <c r="AG5" i="31"/>
  <c r="AF5" i="31"/>
  <c r="AE5" i="31"/>
  <c r="AD5" i="31"/>
  <c r="BB21" i="31"/>
  <c r="BA21" i="31"/>
  <c r="AZ21" i="31"/>
  <c r="AY21" i="31"/>
  <c r="AX21" i="31"/>
  <c r="AW21" i="31"/>
  <c r="AV21" i="31"/>
  <c r="AT21" i="31"/>
  <c r="AS21" i="31"/>
  <c r="AR21" i="31"/>
  <c r="AQ21" i="31"/>
  <c r="AP21" i="31"/>
  <c r="AO21" i="31"/>
  <c r="AN21" i="31"/>
  <c r="AM21" i="31"/>
  <c r="AL21" i="31"/>
  <c r="AK21" i="31"/>
  <c r="AJ21" i="31"/>
  <c r="AI21" i="31"/>
  <c r="AH21" i="31"/>
  <c r="AG21" i="31"/>
  <c r="AF21" i="31"/>
  <c r="AE21" i="31"/>
  <c r="AD21" i="31"/>
  <c r="BB25" i="31"/>
  <c r="BA25" i="31"/>
  <c r="AZ25" i="31"/>
  <c r="AY25" i="31"/>
  <c r="AX25" i="31"/>
  <c r="AW25" i="31"/>
  <c r="AV25" i="31"/>
  <c r="AT25" i="31"/>
  <c r="AS25" i="31"/>
  <c r="AR25" i="31"/>
  <c r="AQ25" i="31"/>
  <c r="AP25" i="31"/>
  <c r="AO25" i="31"/>
  <c r="AN25" i="31"/>
  <c r="AM25" i="31"/>
  <c r="AL25" i="31"/>
  <c r="AK25" i="31"/>
  <c r="AJ25" i="31"/>
  <c r="AI25" i="31"/>
  <c r="AH25" i="31"/>
  <c r="AG25" i="31"/>
  <c r="AF25" i="31"/>
  <c r="AE25" i="31"/>
  <c r="AD25" i="31"/>
  <c r="BB6" i="31"/>
  <c r="BA6" i="31"/>
  <c r="AZ6" i="31"/>
  <c r="AY6" i="31"/>
  <c r="AX6" i="31"/>
  <c r="AW6" i="31"/>
  <c r="AV6" i="31"/>
  <c r="AT6" i="31"/>
  <c r="AS6" i="31"/>
  <c r="AR6" i="31"/>
  <c r="AQ6" i="31"/>
  <c r="AP6" i="31"/>
  <c r="AO6" i="31"/>
  <c r="AN6" i="31"/>
  <c r="AM6" i="31"/>
  <c r="AL6" i="31"/>
  <c r="AK6" i="31"/>
  <c r="AJ6" i="31"/>
  <c r="AI6" i="31"/>
  <c r="AH6" i="31"/>
  <c r="AG6" i="31"/>
  <c r="AF6" i="31"/>
  <c r="AE6" i="31"/>
  <c r="AD6" i="31"/>
  <c r="BB28" i="31"/>
  <c r="BA28" i="31"/>
  <c r="AZ28" i="31"/>
  <c r="AY28" i="31"/>
  <c r="AX28" i="31"/>
  <c r="AW28" i="31"/>
  <c r="AV28" i="31"/>
  <c r="AT28" i="31"/>
  <c r="AS28" i="31"/>
  <c r="AR28" i="31"/>
  <c r="AQ28" i="31"/>
  <c r="AP28" i="31"/>
  <c r="AO28" i="31"/>
  <c r="AN28" i="31"/>
  <c r="AM28" i="31"/>
  <c r="AL28" i="31"/>
  <c r="AK28" i="31"/>
  <c r="AJ28" i="31"/>
  <c r="AI28" i="31"/>
  <c r="AH28" i="31"/>
  <c r="AG28" i="31"/>
  <c r="AF28" i="31"/>
  <c r="AE28" i="31"/>
  <c r="AD28" i="31"/>
  <c r="BB19" i="31"/>
  <c r="BA19" i="31"/>
  <c r="AZ19" i="31"/>
  <c r="AY19" i="31"/>
  <c r="AX19" i="31"/>
  <c r="AW19" i="31"/>
  <c r="AV19" i="31"/>
  <c r="AT19" i="31"/>
  <c r="AS19" i="31"/>
  <c r="AR19" i="31"/>
  <c r="AQ19" i="31"/>
  <c r="AP19" i="31"/>
  <c r="AO19" i="31"/>
  <c r="AN19" i="31"/>
  <c r="AM19" i="31"/>
  <c r="AL19" i="31"/>
  <c r="AK19" i="31"/>
  <c r="AJ19" i="31"/>
  <c r="AI19" i="31"/>
  <c r="AH19" i="31"/>
  <c r="AG19" i="31"/>
  <c r="AF19" i="31"/>
  <c r="AE19" i="31"/>
  <c r="AD19" i="31"/>
  <c r="AC19" i="31"/>
  <c r="AU19" i="5"/>
  <c r="BB4" i="31"/>
  <c r="BA4" i="31"/>
  <c r="AZ4" i="31"/>
  <c r="AY4" i="31"/>
  <c r="AX4" i="31"/>
  <c r="AW4" i="31"/>
  <c r="AV4" i="31"/>
  <c r="AT4" i="31"/>
  <c r="AS4" i="31"/>
  <c r="AR4" i="31"/>
  <c r="AQ4" i="31"/>
  <c r="AP4" i="31"/>
  <c r="AO4" i="31"/>
  <c r="AN4" i="31"/>
  <c r="AM4" i="31"/>
  <c r="AL4" i="31"/>
  <c r="AK4" i="31"/>
  <c r="AJ4" i="31"/>
  <c r="AI4" i="31"/>
  <c r="AH4" i="31"/>
  <c r="AG4" i="31"/>
  <c r="AF4" i="31"/>
  <c r="AE4" i="31"/>
  <c r="AD4" i="31"/>
  <c r="BB11" i="31"/>
  <c r="BA11" i="31"/>
  <c r="AZ11" i="31"/>
  <c r="AY11" i="31"/>
  <c r="AX11" i="31"/>
  <c r="AW11" i="31"/>
  <c r="AV11" i="31"/>
  <c r="AT11" i="31"/>
  <c r="AS11" i="31"/>
  <c r="AR11" i="31"/>
  <c r="AQ11" i="31"/>
  <c r="AP11" i="31"/>
  <c r="AO11" i="31"/>
  <c r="AN11" i="31"/>
  <c r="AM11" i="31"/>
  <c r="AL11" i="31"/>
  <c r="AK11" i="31"/>
  <c r="AJ11" i="31"/>
  <c r="AI11" i="31"/>
  <c r="AH11" i="31"/>
  <c r="AG11" i="31"/>
  <c r="AF11" i="31"/>
  <c r="AE11" i="31"/>
  <c r="AD11" i="31"/>
  <c r="AU27" i="31"/>
  <c r="AU12" i="31"/>
  <c r="AU29" i="31"/>
  <c r="AU20" i="31"/>
  <c r="AU24" i="31"/>
  <c r="AU5" i="31"/>
  <c r="AU21" i="31"/>
  <c r="AU25" i="31"/>
  <c r="H4" i="3"/>
  <c r="BC3" i="33"/>
  <c r="BC4" i="33"/>
  <c r="BC5" i="33"/>
  <c r="BC6" i="33"/>
  <c r="BC7" i="33"/>
  <c r="BC8" i="33"/>
  <c r="BC9" i="33"/>
  <c r="BC10" i="33"/>
  <c r="BC11" i="33"/>
  <c r="BC12" i="33"/>
  <c r="BC13" i="33"/>
  <c r="BC14" i="33"/>
  <c r="BC15" i="33"/>
  <c r="BC16" i="33"/>
  <c r="BC17" i="33"/>
  <c r="BC18" i="33"/>
  <c r="BC19" i="33"/>
  <c r="BC20" i="33"/>
  <c r="BC21" i="33"/>
  <c r="BC22" i="33"/>
  <c r="BC23" i="33"/>
  <c r="BC24" i="33"/>
  <c r="BC25" i="33"/>
  <c r="BC26" i="33"/>
  <c r="BC27" i="33"/>
  <c r="BC28" i="33"/>
  <c r="BC29" i="33"/>
  <c r="BC30" i="33"/>
  <c r="BC2" i="33"/>
  <c r="AC3" i="43"/>
  <c r="AC4" i="43"/>
  <c r="AC5" i="43"/>
  <c r="AC6" i="43"/>
  <c r="AC7" i="43"/>
  <c r="AC8" i="43"/>
  <c r="AC9" i="43"/>
  <c r="AC10" i="43"/>
  <c r="AC11" i="43"/>
  <c r="AC12" i="43"/>
  <c r="AC13" i="43"/>
  <c r="AC14" i="43"/>
  <c r="AC15" i="43"/>
  <c r="AC16" i="43"/>
  <c r="AC17" i="43"/>
  <c r="AC18" i="43"/>
  <c r="AC19" i="43"/>
  <c r="AC20" i="43"/>
  <c r="AC21" i="43"/>
  <c r="AC22" i="43"/>
  <c r="AC23" i="43"/>
  <c r="AC24" i="43"/>
  <c r="AC25" i="43"/>
  <c r="AC26" i="43"/>
  <c r="AC27" i="43"/>
  <c r="AC28" i="43"/>
  <c r="AC29" i="43"/>
  <c r="AC30" i="43"/>
  <c r="AC2" i="43"/>
  <c r="AC3" i="42"/>
  <c r="AC4" i="42"/>
  <c r="AC5" i="42"/>
  <c r="AC6" i="42"/>
  <c r="AC7" i="42"/>
  <c r="AC8" i="42"/>
  <c r="AC9" i="42"/>
  <c r="AC10" i="42"/>
  <c r="AC11" i="42"/>
  <c r="AC12" i="42"/>
  <c r="AC13" i="42"/>
  <c r="AC14" i="42"/>
  <c r="AC15" i="42"/>
  <c r="AC16" i="42"/>
  <c r="AC17" i="42"/>
  <c r="AC18" i="42"/>
  <c r="AC19" i="42"/>
  <c r="AC20" i="42"/>
  <c r="AC21" i="42"/>
  <c r="AC22" i="42"/>
  <c r="AC23" i="42"/>
  <c r="AC24" i="42"/>
  <c r="AC25" i="42"/>
  <c r="AC26" i="42"/>
  <c r="AC27" i="42"/>
  <c r="AC28" i="42"/>
  <c r="AC29" i="42"/>
  <c r="AC30" i="42"/>
  <c r="AR11" i="5"/>
  <c r="AU11" i="31"/>
  <c r="AR4" i="5"/>
  <c r="AU4" i="31"/>
  <c r="AR19" i="5"/>
  <c r="AU19" i="31"/>
  <c r="AR28" i="5"/>
  <c r="AU28" i="31"/>
  <c r="AE25" i="30"/>
  <c r="AF25" i="30"/>
  <c r="AG25" i="30"/>
  <c r="AH25" i="30"/>
  <c r="AI25" i="30"/>
  <c r="AJ25" i="30"/>
  <c r="AK25" i="30"/>
  <c r="AL25" i="30"/>
  <c r="AM25" i="30"/>
  <c r="AN25" i="30"/>
  <c r="AO25" i="30"/>
  <c r="AP25" i="30"/>
  <c r="AQ25" i="30"/>
  <c r="AR25" i="30"/>
  <c r="AS25" i="30"/>
  <c r="AT25" i="30"/>
  <c r="AU25" i="30"/>
  <c r="AV25" i="30"/>
  <c r="AW25" i="30"/>
  <c r="AX25" i="30"/>
  <c r="AY25" i="30"/>
  <c r="AZ25" i="30"/>
  <c r="BA25" i="30"/>
  <c r="BB25" i="30"/>
  <c r="AE21" i="30"/>
  <c r="AF21" i="30"/>
  <c r="AG21" i="30"/>
  <c r="AH21" i="30"/>
  <c r="AI21" i="30"/>
  <c r="AJ21" i="30"/>
  <c r="AK21" i="30"/>
  <c r="AL21" i="30"/>
  <c r="AM21" i="30"/>
  <c r="AN21" i="30"/>
  <c r="AO21" i="30"/>
  <c r="AP21" i="30"/>
  <c r="AQ21" i="30"/>
  <c r="AR21" i="30"/>
  <c r="AS21" i="30"/>
  <c r="AT21" i="30"/>
  <c r="AU21" i="30"/>
  <c r="AV21" i="30"/>
  <c r="AW21" i="30"/>
  <c r="AX21" i="30"/>
  <c r="AY21" i="30"/>
  <c r="AZ21" i="30"/>
  <c r="BA21" i="30"/>
  <c r="BB21" i="30"/>
  <c r="AE5" i="30"/>
  <c r="AF5" i="30"/>
  <c r="AG5" i="30"/>
  <c r="AH5" i="30"/>
  <c r="AI5" i="30"/>
  <c r="AJ5" i="30"/>
  <c r="AK5" i="30"/>
  <c r="AL5" i="30"/>
  <c r="AM5" i="30"/>
  <c r="AN5" i="30"/>
  <c r="AO5" i="30"/>
  <c r="AP5" i="30"/>
  <c r="AQ5" i="30"/>
  <c r="AR5" i="30"/>
  <c r="AS5" i="30"/>
  <c r="AT5" i="30"/>
  <c r="AU5" i="30"/>
  <c r="AV5" i="30"/>
  <c r="AW5" i="30"/>
  <c r="AX5" i="30"/>
  <c r="AY5" i="30"/>
  <c r="AZ5" i="30"/>
  <c r="BA5" i="30"/>
  <c r="BB5" i="30"/>
  <c r="AE24" i="30"/>
  <c r="AF24" i="30"/>
  <c r="AG24" i="30"/>
  <c r="AH24" i="30"/>
  <c r="AI24" i="30"/>
  <c r="AJ24" i="30"/>
  <c r="AK24" i="30"/>
  <c r="AL24" i="30"/>
  <c r="AM24" i="30"/>
  <c r="AN24" i="30"/>
  <c r="AO24" i="30"/>
  <c r="AP24" i="30"/>
  <c r="AQ24" i="30"/>
  <c r="AR24" i="30"/>
  <c r="AS24" i="30"/>
  <c r="AT24" i="30"/>
  <c r="AU24" i="30"/>
  <c r="AV24" i="30"/>
  <c r="AW24" i="30"/>
  <c r="AX24" i="30"/>
  <c r="AY24" i="30"/>
  <c r="AZ24" i="30"/>
  <c r="BA24" i="30"/>
  <c r="BB24" i="30"/>
  <c r="AE20" i="30"/>
  <c r="AF20" i="30"/>
  <c r="AG20" i="30"/>
  <c r="AH20" i="30"/>
  <c r="AI20" i="30"/>
  <c r="AJ20" i="30"/>
  <c r="AK20" i="30"/>
  <c r="AL20" i="30"/>
  <c r="AM20" i="30"/>
  <c r="AN20" i="30"/>
  <c r="AO20" i="30"/>
  <c r="AP20" i="30"/>
  <c r="AQ20" i="30"/>
  <c r="AR20" i="30"/>
  <c r="AS20" i="30"/>
  <c r="AT20" i="30"/>
  <c r="AU20" i="30"/>
  <c r="AV20" i="30"/>
  <c r="AW20" i="30"/>
  <c r="AX20" i="30"/>
  <c r="AY20" i="30"/>
  <c r="AZ20" i="30"/>
  <c r="BA20" i="30"/>
  <c r="BB20" i="30"/>
  <c r="AE29" i="30"/>
  <c r="AF29" i="30"/>
  <c r="AG29" i="30"/>
  <c r="AH29" i="30"/>
  <c r="AI29" i="30"/>
  <c r="AJ29" i="30"/>
  <c r="AK29" i="30"/>
  <c r="AL29" i="30"/>
  <c r="AM29" i="30"/>
  <c r="AN29" i="30"/>
  <c r="AO29" i="30"/>
  <c r="AP29" i="30"/>
  <c r="AQ29" i="30"/>
  <c r="AR29" i="30"/>
  <c r="AS29" i="30"/>
  <c r="AT29" i="30"/>
  <c r="AU29" i="30"/>
  <c r="AV29" i="30"/>
  <c r="AW29" i="30"/>
  <c r="AX29" i="30"/>
  <c r="AY29" i="30"/>
  <c r="AZ29" i="30"/>
  <c r="BA29" i="30"/>
  <c r="BB29"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AE27" i="30"/>
  <c r="AF27" i="30"/>
  <c r="AG27" i="30"/>
  <c r="AH27" i="30"/>
  <c r="AI27" i="30"/>
  <c r="AJ27" i="30"/>
  <c r="AK27" i="30"/>
  <c r="AL27" i="30"/>
  <c r="AM27" i="30"/>
  <c r="AN27" i="30"/>
  <c r="AO27" i="30"/>
  <c r="AP27" i="30"/>
  <c r="AQ27" i="30"/>
  <c r="AR27" i="30"/>
  <c r="AS27" i="30"/>
  <c r="AT27" i="30"/>
  <c r="AU27" i="30"/>
  <c r="AV27" i="30"/>
  <c r="AW27" i="30"/>
  <c r="AX27" i="30"/>
  <c r="AY27" i="30"/>
  <c r="AZ27" i="30"/>
  <c r="BA27" i="30"/>
  <c r="BB27" i="30"/>
  <c r="AD27" i="30"/>
  <c r="AD12" i="30"/>
  <c r="AD29" i="30"/>
  <c r="AD20" i="30"/>
  <c r="AD24" i="30"/>
  <c r="AD5" i="30"/>
  <c r="AD21" i="30"/>
  <c r="AD25" i="30"/>
  <c r="AC2" i="30"/>
  <c r="AW3" i="33"/>
  <c r="AW4" i="33"/>
  <c r="AW5" i="33"/>
  <c r="AW6" i="33"/>
  <c r="AW7" i="33"/>
  <c r="AW8" i="33"/>
  <c r="AW9" i="33"/>
  <c r="AW10" i="33"/>
  <c r="AW11" i="33"/>
  <c r="AW12" i="33"/>
  <c r="AW13" i="33"/>
  <c r="AW14" i="33"/>
  <c r="AW15" i="33"/>
  <c r="AW16" i="33"/>
  <c r="AW17" i="33"/>
  <c r="AW18" i="33"/>
  <c r="AW19" i="33"/>
  <c r="AW20" i="33"/>
  <c r="AW21" i="33"/>
  <c r="AW22" i="33"/>
  <c r="AW23" i="33"/>
  <c r="AW24" i="33"/>
  <c r="AW25" i="33"/>
  <c r="AW26" i="33"/>
  <c r="AW27" i="33"/>
  <c r="AW28" i="33"/>
  <c r="AW29" i="33"/>
  <c r="AW30" i="33"/>
  <c r="AW2" i="33"/>
  <c r="BD25" i="46"/>
  <c r="BD21" i="46"/>
  <c r="BD17" i="46"/>
  <c r="BD9" i="46"/>
  <c r="BD24" i="46"/>
  <c r="BD20" i="46"/>
  <c r="BD29" i="46"/>
  <c r="BD16" i="46"/>
  <c r="BD7" i="46"/>
  <c r="BD12" i="46"/>
  <c r="BD18" i="46"/>
  <c r="BD27" i="46"/>
  <c r="BD23" i="46"/>
  <c r="BD10" i="46"/>
  <c r="BD6" i="46"/>
  <c r="BD3" i="46"/>
  <c r="BD13" i="46"/>
  <c r="BD14" i="46"/>
  <c r="BD30" i="46"/>
  <c r="BD26" i="46"/>
  <c r="BD22" i="46"/>
  <c r="BD2" i="46"/>
  <c r="BD11" i="46"/>
  <c r="BD4" i="46"/>
  <c r="BD8" i="46"/>
  <c r="BD19" i="46"/>
  <c r="BD28" i="46"/>
  <c r="BD15" i="46"/>
  <c r="P25" i="37"/>
  <c r="P21" i="37"/>
  <c r="P5" i="37"/>
  <c r="Q5" i="37"/>
  <c r="BD5" i="46"/>
  <c r="P24" i="37"/>
  <c r="Q24" i="37"/>
  <c r="P20" i="37"/>
  <c r="Q20" i="37"/>
  <c r="P29" i="37"/>
  <c r="Q29" i="37"/>
  <c r="P12" i="37"/>
  <c r="Q12" i="37"/>
  <c r="P27" i="37"/>
  <c r="Q27" i="37"/>
  <c r="P6" i="37"/>
  <c r="Q6" i="37"/>
  <c r="P11" i="37"/>
  <c r="Q11" i="37"/>
  <c r="P4" i="37"/>
  <c r="Q4" i="37"/>
  <c r="P19" i="37"/>
  <c r="Q19" i="37"/>
  <c r="P28" i="37"/>
  <c r="Q28" i="37"/>
  <c r="K4" i="3"/>
  <c r="AB27" i="46"/>
  <c r="AB18" i="46"/>
  <c r="AB12" i="46"/>
  <c r="AB7" i="46"/>
  <c r="AB16" i="46"/>
  <c r="AB29" i="46"/>
  <c r="AB20" i="46"/>
  <c r="AB24" i="46"/>
  <c r="AB9" i="46"/>
  <c r="AB5" i="46"/>
  <c r="AB17" i="46"/>
  <c r="AB21" i="46"/>
  <c r="AB25" i="46"/>
  <c r="AB23" i="46"/>
  <c r="AB6" i="46"/>
  <c r="AB10" i="46"/>
  <c r="AB15" i="46"/>
  <c r="AB28" i="46"/>
  <c r="AB19" i="46"/>
  <c r="AB8" i="46"/>
  <c r="AB4" i="46"/>
  <c r="AB11" i="46"/>
  <c r="AB2" i="46"/>
  <c r="AB22" i="46"/>
  <c r="AB26" i="46"/>
  <c r="AB30" i="46"/>
  <c r="AB14" i="46"/>
  <c r="AB13" i="46"/>
  <c r="AB3" i="46"/>
  <c r="CC3" i="43"/>
  <c r="CC4" i="43"/>
  <c r="CC5" i="43"/>
  <c r="CC6" i="43"/>
  <c r="CC7" i="43"/>
  <c r="CC8" i="43"/>
  <c r="CC9" i="43"/>
  <c r="CC10" i="43"/>
  <c r="CC11" i="43"/>
  <c r="CC12" i="43"/>
  <c r="CC13" i="43"/>
  <c r="CC14" i="43"/>
  <c r="CC15" i="43"/>
  <c r="CC16" i="43"/>
  <c r="CC17" i="43"/>
  <c r="CC18" i="43"/>
  <c r="CC19" i="43"/>
  <c r="CC20" i="43"/>
  <c r="CC21" i="43"/>
  <c r="CC22" i="43"/>
  <c r="CC23" i="43"/>
  <c r="CC24" i="43"/>
  <c r="CC25" i="43"/>
  <c r="CC26" i="43"/>
  <c r="CC27" i="43"/>
  <c r="CC28" i="43"/>
  <c r="CC29" i="43"/>
  <c r="CC30" i="43"/>
  <c r="CC2" i="43"/>
  <c r="CC30" i="42"/>
  <c r="CC29" i="42"/>
  <c r="CC28" i="42"/>
  <c r="CC27" i="42"/>
  <c r="CC26" i="42"/>
  <c r="CC25" i="42"/>
  <c r="CC24" i="42"/>
  <c r="CC23" i="42"/>
  <c r="CC21" i="42"/>
  <c r="CC20" i="42"/>
  <c r="CC19" i="42"/>
  <c r="CC17" i="42"/>
  <c r="CC16" i="42"/>
  <c r="CC15" i="42"/>
  <c r="CC13" i="42"/>
  <c r="CC12" i="42"/>
  <c r="CC11" i="42"/>
  <c r="CC10" i="42"/>
  <c r="CC9" i="42"/>
  <c r="CC8" i="42"/>
  <c r="CC7" i="42"/>
  <c r="CC6" i="42"/>
  <c r="CC5" i="42"/>
  <c r="CC3" i="42"/>
  <c r="CC2" i="42"/>
  <c r="BC3" i="41"/>
  <c r="BC4" i="41"/>
  <c r="BC5" i="41"/>
  <c r="BC6" i="41"/>
  <c r="BC7" i="41"/>
  <c r="BC8" i="41"/>
  <c r="BC9" i="41"/>
  <c r="BC10" i="41"/>
  <c r="BC11" i="41"/>
  <c r="BC12" i="41"/>
  <c r="BC13" i="41"/>
  <c r="BC14" i="41"/>
  <c r="BC15" i="41"/>
  <c r="BC16" i="41"/>
  <c r="BC17" i="41"/>
  <c r="BC18" i="41"/>
  <c r="BC19" i="41"/>
  <c r="BC20" i="41"/>
  <c r="BC21" i="41"/>
  <c r="BC22" i="41"/>
  <c r="BC23" i="41"/>
  <c r="BC24" i="41"/>
  <c r="BC25" i="41"/>
  <c r="BC26" i="41"/>
  <c r="BC27" i="41"/>
  <c r="BC28" i="41"/>
  <c r="BC29" i="41"/>
  <c r="BC30" i="41"/>
  <c r="BC2" i="41"/>
  <c r="BD27" i="29"/>
  <c r="BU27" i="29"/>
  <c r="CA27" i="29"/>
  <c r="CB27" i="29"/>
  <c r="BD12" i="29"/>
  <c r="BU12" i="29"/>
  <c r="CA12" i="29"/>
  <c r="CB12" i="29"/>
  <c r="BD29" i="29"/>
  <c r="BU29" i="29"/>
  <c r="CA29" i="29"/>
  <c r="CB29" i="29"/>
  <c r="BD20" i="29"/>
  <c r="BU20" i="29"/>
  <c r="CA20" i="29"/>
  <c r="CB20" i="29"/>
  <c r="BD24" i="29"/>
  <c r="BU24" i="29"/>
  <c r="CA24" i="29"/>
  <c r="CB24" i="29"/>
  <c r="BD5" i="29"/>
  <c r="BU5" i="29"/>
  <c r="CA5" i="29"/>
  <c r="CB5" i="29"/>
  <c r="BD21" i="29"/>
  <c r="BU21" i="29"/>
  <c r="CA21" i="29"/>
  <c r="CB21" i="29"/>
  <c r="BD25" i="29"/>
  <c r="BU25" i="29"/>
  <c r="CA25" i="29"/>
  <c r="CB25" i="29"/>
  <c r="BD6" i="29"/>
  <c r="BW6" i="29"/>
  <c r="CB6" i="29"/>
  <c r="CA6" i="29"/>
  <c r="BD28" i="29"/>
  <c r="BU28" i="29"/>
  <c r="CA28" i="29"/>
  <c r="CB28" i="29"/>
  <c r="BD19" i="29"/>
  <c r="BU19" i="29"/>
  <c r="CA19" i="29"/>
  <c r="CB19" i="29"/>
  <c r="BD4" i="29"/>
  <c r="BU4" i="29"/>
  <c r="CA4" i="29"/>
  <c r="CB4" i="29"/>
  <c r="BD11" i="29"/>
  <c r="BU11" i="29"/>
  <c r="CA11" i="29"/>
  <c r="CB11" i="29"/>
  <c r="BC30" i="29"/>
  <c r="BC29" i="29"/>
  <c r="BC28" i="29"/>
  <c r="BC27" i="29"/>
  <c r="BC26" i="29"/>
  <c r="BC25" i="29"/>
  <c r="BC24" i="29"/>
  <c r="BC23" i="29"/>
  <c r="BC22" i="29"/>
  <c r="BC21" i="29"/>
  <c r="BC20" i="29"/>
  <c r="BC19" i="29"/>
  <c r="BC18" i="29"/>
  <c r="BC17" i="29"/>
  <c r="BC16" i="29"/>
  <c r="BC15" i="29"/>
  <c r="BC14" i="29"/>
  <c r="BC13" i="29"/>
  <c r="BC12" i="29"/>
  <c r="BC11" i="29"/>
  <c r="BC10" i="29"/>
  <c r="BC9" i="29"/>
  <c r="BC8" i="29"/>
  <c r="BC7" i="29"/>
  <c r="BU6" i="29"/>
  <c r="BC6" i="29"/>
  <c r="BC5" i="29"/>
  <c r="BC4" i="29"/>
  <c r="BC3" i="29"/>
  <c r="BC2" i="29"/>
  <c r="CD27" i="30"/>
  <c r="CU27" i="30"/>
  <c r="DA27" i="30"/>
  <c r="DB27" i="30"/>
  <c r="CD12" i="30"/>
  <c r="CU12" i="30"/>
  <c r="DA12" i="30"/>
  <c r="DB12" i="30"/>
  <c r="CD29" i="30"/>
  <c r="CU29" i="30"/>
  <c r="DA29" i="30"/>
  <c r="DB29" i="30"/>
  <c r="CD20" i="30"/>
  <c r="CU20" i="30"/>
  <c r="DA20" i="30"/>
  <c r="DB20" i="30"/>
  <c r="CD24" i="30"/>
  <c r="CU24" i="30"/>
  <c r="DA24" i="30"/>
  <c r="DB24" i="30"/>
  <c r="CD5" i="30"/>
  <c r="CU5" i="30"/>
  <c r="DA5" i="30"/>
  <c r="DB5" i="30"/>
  <c r="CD21" i="30"/>
  <c r="CU21" i="30"/>
  <c r="DA21" i="30"/>
  <c r="DB21" i="30"/>
  <c r="CD25" i="30"/>
  <c r="CU25" i="30"/>
  <c r="DA25" i="30"/>
  <c r="DB25" i="30"/>
  <c r="CD6" i="30"/>
  <c r="CU6" i="30"/>
  <c r="DA6" i="30"/>
  <c r="DB6" i="30"/>
  <c r="CD28" i="30"/>
  <c r="CU28" i="30"/>
  <c r="DA28" i="30"/>
  <c r="DB28" i="30"/>
  <c r="CD19" i="30"/>
  <c r="CU19" i="30"/>
  <c r="DA19" i="30"/>
  <c r="DB19" i="30"/>
  <c r="CD4" i="30"/>
  <c r="CU4" i="30"/>
  <c r="DA4" i="30"/>
  <c r="DB4" i="30"/>
  <c r="CD11" i="30"/>
  <c r="CU11" i="30"/>
  <c r="DA11" i="30"/>
  <c r="DB11" i="30"/>
  <c r="CC30" i="30"/>
  <c r="CC29" i="30"/>
  <c r="CC28" i="30"/>
  <c r="CC27" i="30"/>
  <c r="CC26" i="30"/>
  <c r="CC25" i="30"/>
  <c r="CC24" i="30"/>
  <c r="CC23" i="30"/>
  <c r="CC22" i="30"/>
  <c r="CC21" i="30"/>
  <c r="CC20" i="30"/>
  <c r="CC19" i="30"/>
  <c r="CC18" i="30"/>
  <c r="CC17" i="30"/>
  <c r="CC16" i="30"/>
  <c r="CC15" i="30"/>
  <c r="CC14" i="30"/>
  <c r="CC13" i="30"/>
  <c r="CC12" i="30"/>
  <c r="CC11" i="30"/>
  <c r="CC10" i="30"/>
  <c r="CC9" i="30"/>
  <c r="CC8" i="30"/>
  <c r="CC7" i="30"/>
  <c r="CC6" i="30"/>
  <c r="CC5" i="30"/>
  <c r="CC4" i="30"/>
  <c r="CC3" i="30"/>
  <c r="CC2" i="30"/>
  <c r="AD6" i="30"/>
  <c r="AU6" i="30"/>
  <c r="BA6" i="30"/>
  <c r="BB6" i="30"/>
  <c r="AD28" i="30"/>
  <c r="AU28" i="30"/>
  <c r="BA28" i="30"/>
  <c r="BB28" i="30"/>
  <c r="AD19" i="30"/>
  <c r="AU19" i="30"/>
  <c r="BA19" i="30"/>
  <c r="BB19" i="30"/>
  <c r="AD4" i="30"/>
  <c r="AU4" i="30"/>
  <c r="BA4" i="30"/>
  <c r="BB4" i="30"/>
  <c r="AD11" i="30"/>
  <c r="AU11" i="30"/>
  <c r="BA11" i="30"/>
  <c r="BB11" i="30"/>
  <c r="AC3" i="30"/>
  <c r="AC4" i="30"/>
  <c r="AC5" i="30"/>
  <c r="AC6" i="30"/>
  <c r="AC7" i="30"/>
  <c r="AC8" i="30"/>
  <c r="AC9" i="30"/>
  <c r="AC10" i="30"/>
  <c r="AC11" i="30"/>
  <c r="AC12" i="30"/>
  <c r="AC13" i="30"/>
  <c r="AC14" i="30"/>
  <c r="AC15" i="30"/>
  <c r="AC16" i="30"/>
  <c r="AC17" i="30"/>
  <c r="AC18" i="30"/>
  <c r="AC19" i="30"/>
  <c r="AC20" i="30"/>
  <c r="AC21" i="30"/>
  <c r="AC22" i="30"/>
  <c r="AC23" i="30"/>
  <c r="AC24" i="30"/>
  <c r="AC25" i="30"/>
  <c r="AC26" i="30"/>
  <c r="AC27" i="30"/>
  <c r="AC28" i="30"/>
  <c r="AC29" i="30"/>
  <c r="AC30" i="30"/>
  <c r="CC30" i="31"/>
  <c r="DU30" i="18"/>
  <c r="CC22" i="31"/>
  <c r="CC20" i="31"/>
  <c r="DU20" i="18"/>
  <c r="CC17" i="31"/>
  <c r="DU17" i="18"/>
  <c r="AU6" i="31"/>
  <c r="AC10" i="31"/>
  <c r="AU10" i="5"/>
  <c r="AC17" i="31"/>
  <c r="AU17" i="5"/>
  <c r="AK4" i="18"/>
  <c r="AK5" i="18"/>
  <c r="AK6" i="18"/>
  <c r="AK11" i="18"/>
  <c r="AK12" i="18"/>
  <c r="AK19" i="18"/>
  <c r="AK20" i="18"/>
  <c r="AK21" i="18"/>
  <c r="AK24" i="18"/>
  <c r="AK25" i="18"/>
  <c r="AK27" i="18"/>
  <c r="AK28" i="18"/>
  <c r="AK29" i="18"/>
  <c r="BE30" i="33"/>
  <c r="BD30" i="33"/>
  <c r="AE30" i="33"/>
  <c r="AD30" i="33"/>
  <c r="AC30" i="33"/>
  <c r="AB30" i="33"/>
  <c r="AA30" i="33"/>
  <c r="BE29" i="33"/>
  <c r="BD29" i="33"/>
  <c r="AE29" i="33"/>
  <c r="AD29" i="33"/>
  <c r="AC29" i="33"/>
  <c r="AB29" i="33"/>
  <c r="AA29" i="33"/>
  <c r="BE28" i="33"/>
  <c r="BD28" i="33"/>
  <c r="AE28" i="33"/>
  <c r="AD28" i="33"/>
  <c r="AC28" i="33"/>
  <c r="AB28" i="33"/>
  <c r="AA28" i="33"/>
  <c r="BE27" i="33"/>
  <c r="BD27" i="33"/>
  <c r="AE27" i="33"/>
  <c r="AD27" i="33"/>
  <c r="AC27" i="33"/>
  <c r="AB27" i="33"/>
  <c r="AA27" i="33"/>
  <c r="BE26" i="33"/>
  <c r="BD26" i="33"/>
  <c r="AE26" i="33"/>
  <c r="AD26" i="33"/>
  <c r="AC26" i="33"/>
  <c r="AB26" i="33"/>
  <c r="AA26" i="33"/>
  <c r="BE25" i="33"/>
  <c r="BD25" i="33"/>
  <c r="AE25" i="33"/>
  <c r="AD25" i="33"/>
  <c r="AC25" i="33"/>
  <c r="AB25" i="33"/>
  <c r="AA25" i="33"/>
  <c r="BE24" i="33"/>
  <c r="BD24" i="33"/>
  <c r="AE24" i="33"/>
  <c r="AD24" i="33"/>
  <c r="AC24" i="33"/>
  <c r="AB24" i="33"/>
  <c r="AA24" i="33"/>
  <c r="BE23" i="33"/>
  <c r="BD23" i="33"/>
  <c r="AE23" i="33"/>
  <c r="AD23" i="33"/>
  <c r="AC23" i="33"/>
  <c r="AB23" i="33"/>
  <c r="AA23" i="33"/>
  <c r="BE22" i="33"/>
  <c r="BD22" i="33"/>
  <c r="AE22" i="33"/>
  <c r="AD22" i="33"/>
  <c r="AC22" i="33"/>
  <c r="AB22" i="33"/>
  <c r="AA22" i="33"/>
  <c r="BE21" i="33"/>
  <c r="BD21" i="33"/>
  <c r="AE21" i="33"/>
  <c r="AD21" i="33"/>
  <c r="AC21" i="33"/>
  <c r="AB21" i="33"/>
  <c r="AA21" i="33"/>
  <c r="BE20" i="33"/>
  <c r="BD20" i="33"/>
  <c r="AE20" i="33"/>
  <c r="AD20" i="33"/>
  <c r="AC20" i="33"/>
  <c r="AB20" i="33"/>
  <c r="AA20" i="33"/>
  <c r="BE19" i="33"/>
  <c r="BD19" i="33"/>
  <c r="AE19" i="33"/>
  <c r="AD19" i="33"/>
  <c r="AC19" i="33"/>
  <c r="AB19" i="33"/>
  <c r="AA19" i="33"/>
  <c r="BE18" i="33"/>
  <c r="BD18" i="33"/>
  <c r="AE18" i="33"/>
  <c r="AD18" i="33"/>
  <c r="AC18" i="33"/>
  <c r="AB18" i="33"/>
  <c r="AA18" i="33"/>
  <c r="BE17" i="33"/>
  <c r="BD17" i="33"/>
  <c r="AE17" i="33"/>
  <c r="AD17" i="33"/>
  <c r="AC17" i="33"/>
  <c r="AB17" i="33"/>
  <c r="AA17" i="33"/>
  <c r="BE16" i="33"/>
  <c r="BD16" i="33"/>
  <c r="AE16" i="33"/>
  <c r="AD16" i="33"/>
  <c r="AC16" i="33"/>
  <c r="AB16" i="33"/>
  <c r="AA16" i="33"/>
  <c r="BE15" i="33"/>
  <c r="BD15" i="33"/>
  <c r="AE15" i="33"/>
  <c r="AD15" i="33"/>
  <c r="AC15" i="33"/>
  <c r="AB15" i="33"/>
  <c r="AA15" i="33"/>
  <c r="BE14" i="33"/>
  <c r="BD14" i="33"/>
  <c r="AE14" i="33"/>
  <c r="AD14" i="33"/>
  <c r="AC14" i="33"/>
  <c r="AB14" i="33"/>
  <c r="AA14" i="33"/>
  <c r="BE13" i="33"/>
  <c r="BD13" i="33"/>
  <c r="AE13" i="33"/>
  <c r="AD13" i="33"/>
  <c r="AC13" i="33"/>
  <c r="AB13" i="33"/>
  <c r="AA13" i="33"/>
  <c r="BE12" i="33"/>
  <c r="BD12" i="33"/>
  <c r="AE12" i="33"/>
  <c r="AD12" i="33"/>
  <c r="AC12" i="33"/>
  <c r="AB12" i="33"/>
  <c r="AA12" i="33"/>
  <c r="BE11" i="33"/>
  <c r="BD11" i="33"/>
  <c r="AE11" i="33"/>
  <c r="AD11" i="33"/>
  <c r="AC11" i="33"/>
  <c r="AB11" i="33"/>
  <c r="AA11" i="33"/>
  <c r="BE10" i="33"/>
  <c r="BD10" i="33"/>
  <c r="AE10" i="33"/>
  <c r="AD10" i="33"/>
  <c r="AC10" i="33"/>
  <c r="AB10" i="33"/>
  <c r="AA10" i="33"/>
  <c r="BE9" i="33"/>
  <c r="BD9" i="33"/>
  <c r="AE9" i="33"/>
  <c r="AD9" i="33"/>
  <c r="AC9" i="33"/>
  <c r="AB9" i="33"/>
  <c r="AA9" i="33"/>
  <c r="BE8" i="33"/>
  <c r="BD8" i="33"/>
  <c r="AE8" i="33"/>
  <c r="AD8" i="33"/>
  <c r="AC8" i="33"/>
  <c r="AB8" i="33"/>
  <c r="AA8" i="33"/>
  <c r="BE7" i="33"/>
  <c r="BD7" i="33"/>
  <c r="AE7" i="33"/>
  <c r="AD7" i="33"/>
  <c r="AC7" i="33"/>
  <c r="AB7" i="33"/>
  <c r="AA7" i="33"/>
  <c r="BE6" i="33"/>
  <c r="BD6" i="33"/>
  <c r="AE6" i="33"/>
  <c r="AD6" i="33"/>
  <c r="AC6" i="33"/>
  <c r="AB6" i="33"/>
  <c r="AA6" i="33"/>
  <c r="BE5" i="33"/>
  <c r="BD5" i="33"/>
  <c r="AE5" i="33"/>
  <c r="AD5" i="33"/>
  <c r="AC5" i="33"/>
  <c r="AB5" i="33"/>
  <c r="AA5" i="33"/>
  <c r="BE4" i="33"/>
  <c r="BD4" i="33"/>
  <c r="AE4" i="33"/>
  <c r="AD4" i="33"/>
  <c r="AC4" i="33"/>
  <c r="AB4" i="33"/>
  <c r="AA4" i="33"/>
  <c r="BE3" i="33"/>
  <c r="BD3" i="33"/>
  <c r="AE3" i="33"/>
  <c r="AD3" i="33"/>
  <c r="AC3" i="33"/>
  <c r="AB3" i="33"/>
  <c r="AA3" i="33"/>
  <c r="BE2" i="33"/>
  <c r="BD2" i="33"/>
  <c r="AE2" i="33"/>
  <c r="AD2" i="33"/>
  <c r="AC2" i="33"/>
  <c r="AB2" i="33"/>
  <c r="AA2" i="33"/>
  <c r="K27" i="5"/>
  <c r="K25" i="5"/>
  <c r="K20" i="5"/>
  <c r="K4" i="5"/>
  <c r="K21" i="5"/>
  <c r="K5" i="5"/>
  <c r="K29" i="5"/>
  <c r="K19" i="5"/>
  <c r="K11" i="5"/>
  <c r="K6" i="5"/>
  <c r="K12" i="5"/>
  <c r="K28" i="5"/>
  <c r="K24" i="5"/>
  <c r="BA25" i="46"/>
  <c r="AZ25" i="46"/>
  <c r="BA24" i="46"/>
  <c r="AZ24" i="46"/>
  <c r="BE30" i="46"/>
  <c r="AE30" i="46"/>
  <c r="AD30" i="46"/>
  <c r="AC30" i="46"/>
  <c r="AA30" i="46"/>
  <c r="BE29" i="46"/>
  <c r="AE29" i="46"/>
  <c r="AD29" i="46"/>
  <c r="AC29" i="46"/>
  <c r="AA29" i="46"/>
  <c r="BE28" i="46"/>
  <c r="AE28" i="46"/>
  <c r="AD28" i="46"/>
  <c r="AC28" i="46"/>
  <c r="AA28" i="46"/>
  <c r="BE27" i="46"/>
  <c r="AE27" i="46"/>
  <c r="AD27" i="46"/>
  <c r="AC27" i="46"/>
  <c r="AA27" i="46"/>
  <c r="BE26" i="46"/>
  <c r="AE26" i="46"/>
  <c r="AD26" i="46"/>
  <c r="AC26" i="46"/>
  <c r="AA26" i="46"/>
  <c r="BE25" i="46"/>
  <c r="AE25" i="46"/>
  <c r="AD25" i="46"/>
  <c r="AC25" i="46"/>
  <c r="AA25" i="46"/>
  <c r="BE24" i="46"/>
  <c r="AE24" i="46"/>
  <c r="AD24" i="46"/>
  <c r="AC24" i="46"/>
  <c r="AA24" i="46"/>
  <c r="BE23" i="46"/>
  <c r="AE23" i="46"/>
  <c r="AD23" i="46"/>
  <c r="AC23" i="46"/>
  <c r="AA23" i="46"/>
  <c r="BE22" i="46"/>
  <c r="AE22" i="46"/>
  <c r="AD22" i="46"/>
  <c r="AC22" i="46"/>
  <c r="AA22" i="46"/>
  <c r="BE21" i="46"/>
  <c r="AE21" i="46"/>
  <c r="AD21" i="46"/>
  <c r="AC21" i="46"/>
  <c r="AA21" i="46"/>
  <c r="BE20" i="46"/>
  <c r="AE20" i="46"/>
  <c r="AD20" i="46"/>
  <c r="AC20" i="46"/>
  <c r="AA20" i="46"/>
  <c r="BE19" i="46"/>
  <c r="AE19" i="46"/>
  <c r="AD19" i="46"/>
  <c r="AC19" i="46"/>
  <c r="AA19" i="46"/>
  <c r="BE18" i="46"/>
  <c r="AE18" i="46"/>
  <c r="AD18" i="46"/>
  <c r="AC18" i="46"/>
  <c r="AA18" i="46"/>
  <c r="BE17" i="46"/>
  <c r="AE17" i="46"/>
  <c r="AD17" i="46"/>
  <c r="AC17" i="46"/>
  <c r="AA17" i="46"/>
  <c r="BE16" i="46"/>
  <c r="AE16" i="46"/>
  <c r="AD16" i="46"/>
  <c r="AC16" i="46"/>
  <c r="AA16" i="46"/>
  <c r="BE15" i="46"/>
  <c r="AE15" i="46"/>
  <c r="AD15" i="46"/>
  <c r="AC15" i="46"/>
  <c r="AA15" i="46"/>
  <c r="BE14" i="46"/>
  <c r="AE14" i="46"/>
  <c r="AD14" i="46"/>
  <c r="AC14" i="46"/>
  <c r="AA14" i="46"/>
  <c r="BE13" i="46"/>
  <c r="AE13" i="46"/>
  <c r="AD13" i="46"/>
  <c r="AC13" i="46"/>
  <c r="AA13" i="46"/>
  <c r="BE12" i="46"/>
  <c r="AE12" i="46"/>
  <c r="AD12" i="46"/>
  <c r="AC12" i="46"/>
  <c r="AA12" i="46"/>
  <c r="BE11" i="46"/>
  <c r="AE11" i="46"/>
  <c r="AD11" i="46"/>
  <c r="AC11" i="46"/>
  <c r="AA11" i="46"/>
  <c r="BE10" i="46"/>
  <c r="AE10" i="46"/>
  <c r="AD10" i="46"/>
  <c r="AC10" i="46"/>
  <c r="AA10" i="46"/>
  <c r="BE9" i="46"/>
  <c r="AE9" i="46"/>
  <c r="AD9" i="46"/>
  <c r="AC9" i="46"/>
  <c r="AA9" i="46"/>
  <c r="BE8" i="46"/>
  <c r="AE8" i="46"/>
  <c r="AD8" i="46"/>
  <c r="AC8" i="46"/>
  <c r="AA8" i="46"/>
  <c r="BE7" i="46"/>
  <c r="AE7" i="46"/>
  <c r="AD7" i="46"/>
  <c r="AC7" i="46"/>
  <c r="AA7" i="46"/>
  <c r="BE6" i="46"/>
  <c r="AE6" i="46"/>
  <c r="AD6" i="46"/>
  <c r="AC6" i="46"/>
  <c r="AA6" i="46"/>
  <c r="BE5" i="46"/>
  <c r="AE5" i="46"/>
  <c r="AD5" i="46"/>
  <c r="AC5" i="46"/>
  <c r="AA5" i="46"/>
  <c r="BE4" i="46"/>
  <c r="AE4" i="46"/>
  <c r="AD4" i="46"/>
  <c r="AC4" i="46"/>
  <c r="AA4" i="46"/>
  <c r="BE3" i="46"/>
  <c r="AE3" i="46"/>
  <c r="AD3" i="46"/>
  <c r="AC3" i="46"/>
  <c r="AA3" i="46"/>
  <c r="BE2" i="46"/>
  <c r="AE2" i="46"/>
  <c r="AD2" i="46"/>
  <c r="AC2" i="46"/>
  <c r="AA2" i="46"/>
  <c r="AM28" i="18"/>
  <c r="AM24" i="18"/>
  <c r="AM20" i="18"/>
  <c r="AM12" i="18"/>
  <c r="AM11" i="18"/>
  <c r="AM5" i="18"/>
  <c r="AM29" i="18"/>
  <c r="AM27" i="18"/>
  <c r="AM25" i="18"/>
  <c r="AM21" i="18"/>
  <c r="AM19" i="18"/>
  <c r="AM6" i="18"/>
  <c r="AM4" i="18"/>
  <c r="BD22" i="1"/>
  <c r="BV29" i="18"/>
  <c r="BV25" i="18"/>
  <c r="BV21" i="18"/>
  <c r="BV6" i="18"/>
  <c r="BV28" i="18"/>
  <c r="BV24" i="18"/>
  <c r="BV20" i="18"/>
  <c r="BV12" i="18"/>
  <c r="BV5" i="18"/>
  <c r="BV27" i="18"/>
  <c r="BV19" i="18"/>
  <c r="BV4" i="18"/>
  <c r="BV11" i="18"/>
  <c r="AI29" i="18"/>
  <c r="AI27" i="18"/>
  <c r="AI25" i="18"/>
  <c r="AI21" i="18"/>
  <c r="AI19" i="18"/>
  <c r="AI6" i="18"/>
  <c r="AI4" i="18"/>
  <c r="AI24" i="18"/>
  <c r="AI11" i="18"/>
  <c r="AI28" i="18"/>
  <c r="AI20" i="18"/>
  <c r="AI12" i="18"/>
  <c r="AI5" i="18"/>
  <c r="BB28" i="37"/>
  <c r="BB24" i="37"/>
  <c r="BB19" i="37"/>
  <c r="BB11" i="37"/>
  <c r="BB20" i="37"/>
  <c r="BB12" i="37"/>
  <c r="BB6" i="37"/>
  <c r="BB29" i="37"/>
  <c r="BB27" i="37"/>
  <c r="BB25" i="37"/>
  <c r="BB21" i="37"/>
  <c r="BB5" i="37"/>
  <c r="BB4" i="37"/>
  <c r="AO29" i="37"/>
  <c r="AO27" i="37"/>
  <c r="AO6" i="37"/>
  <c r="AO5" i="37"/>
  <c r="AO28" i="37"/>
  <c r="AO24" i="37"/>
  <c r="AO20" i="37"/>
  <c r="AO12" i="37"/>
  <c r="AO4" i="37"/>
  <c r="AO19" i="37"/>
  <c r="AO11" i="37"/>
  <c r="BI4" i="29"/>
  <c r="BI5" i="29"/>
  <c r="BI6" i="29"/>
  <c r="BI11" i="29"/>
  <c r="BI12" i="29"/>
  <c r="BI20" i="29"/>
  <c r="BI24" i="29"/>
  <c r="BI28" i="29"/>
  <c r="BI21" i="29"/>
  <c r="BI19" i="29"/>
  <c r="BI25" i="29"/>
  <c r="BI27" i="29"/>
  <c r="BI29" i="29"/>
  <c r="CI5" i="30"/>
  <c r="CI6" i="30"/>
  <c r="CI19" i="30"/>
  <c r="CI20" i="30"/>
  <c r="CI24" i="30"/>
  <c r="CI25" i="30"/>
  <c r="CI28" i="30"/>
  <c r="CI29" i="30"/>
  <c r="CI4" i="30"/>
  <c r="CI11" i="30"/>
  <c r="CI12" i="30"/>
  <c r="CI21" i="30"/>
  <c r="CI27" i="30"/>
  <c r="AF6" i="30"/>
  <c r="AF19" i="30"/>
  <c r="AF28" i="30"/>
  <c r="AF11" i="30"/>
  <c r="AF4" i="30"/>
  <c r="AV28" i="30"/>
  <c r="AV4" i="30"/>
  <c r="AV6" i="30"/>
  <c r="AV19" i="30"/>
  <c r="AV11" i="30"/>
  <c r="BL4" i="29"/>
  <c r="BL5" i="29"/>
  <c r="BL6" i="29"/>
  <c r="BL12" i="29"/>
  <c r="BL19" i="29"/>
  <c r="BL20" i="29"/>
  <c r="BL21" i="29"/>
  <c r="BL24" i="29"/>
  <c r="BL25" i="29"/>
  <c r="BL27" i="29"/>
  <c r="BL28" i="29"/>
  <c r="BL29" i="29"/>
  <c r="BL11" i="29"/>
  <c r="CL4" i="30"/>
  <c r="CL5" i="30"/>
  <c r="CL6" i="30"/>
  <c r="CL11" i="30"/>
  <c r="CL12" i="30"/>
  <c r="CL19" i="30"/>
  <c r="CL20" i="30"/>
  <c r="CL21" i="30"/>
  <c r="CL24" i="30"/>
  <c r="CL25" i="30"/>
  <c r="CL27" i="30"/>
  <c r="CL28" i="30"/>
  <c r="CL29" i="30"/>
  <c r="BX4" i="29"/>
  <c r="BX6" i="29"/>
  <c r="BX12" i="29"/>
  <c r="BX19" i="29"/>
  <c r="BX20" i="29"/>
  <c r="BX21" i="29"/>
  <c r="BX24" i="29"/>
  <c r="BX25" i="29"/>
  <c r="BX27" i="29"/>
  <c r="BX28" i="29"/>
  <c r="BX29" i="29"/>
  <c r="BX5" i="29"/>
  <c r="BX11" i="29"/>
  <c r="CX4" i="30"/>
  <c r="CX5" i="30"/>
  <c r="CX6" i="30"/>
  <c r="CX11" i="30"/>
  <c r="CX12" i="30"/>
  <c r="CX19" i="30"/>
  <c r="CX20" i="30"/>
  <c r="CX21" i="30"/>
  <c r="CX24" i="30"/>
  <c r="CX25" i="30"/>
  <c r="CX27" i="30"/>
  <c r="CX28" i="30"/>
  <c r="CX29" i="30"/>
  <c r="AQ28" i="30"/>
  <c r="AQ6" i="30"/>
  <c r="AQ19" i="30"/>
  <c r="AQ4" i="30"/>
  <c r="AQ11" i="30"/>
  <c r="BF11" i="29"/>
  <c r="BF4" i="29"/>
  <c r="BF19" i="29"/>
  <c r="BF28" i="29"/>
  <c r="BF5" i="29"/>
  <c r="BF6" i="29"/>
  <c r="BF12" i="29"/>
  <c r="BF20" i="29"/>
  <c r="BF21" i="29"/>
  <c r="BF24" i="29"/>
  <c r="BF25" i="29"/>
  <c r="BF27" i="29"/>
  <c r="BF29" i="29"/>
  <c r="CF4" i="30"/>
  <c r="CF5" i="30"/>
  <c r="CF6" i="30"/>
  <c r="CF11" i="30"/>
  <c r="CF12" i="30"/>
  <c r="CF19" i="30"/>
  <c r="CF20" i="30"/>
  <c r="CF21" i="30"/>
  <c r="CF24" i="30"/>
  <c r="CF25" i="30"/>
  <c r="CF27" i="30"/>
  <c r="CF28" i="30"/>
  <c r="CF29" i="30"/>
  <c r="BV4" i="29"/>
  <c r="BV5" i="29"/>
  <c r="BV6" i="29"/>
  <c r="BV11" i="29"/>
  <c r="BV12" i="29"/>
  <c r="BV20" i="29"/>
  <c r="BV24" i="29"/>
  <c r="BV28" i="29"/>
  <c r="BV19" i="29"/>
  <c r="BV21" i="29"/>
  <c r="BV25" i="29"/>
  <c r="BV27" i="29"/>
  <c r="BV29" i="29"/>
  <c r="CV5" i="30"/>
  <c r="CV20" i="30"/>
  <c r="CV24" i="30"/>
  <c r="CV25" i="30"/>
  <c r="CV28" i="30"/>
  <c r="CV4" i="30"/>
  <c r="CV6" i="30"/>
  <c r="CV11" i="30"/>
  <c r="CV12" i="30"/>
  <c r="CV19" i="30"/>
  <c r="CV21" i="30"/>
  <c r="CV27" i="30"/>
  <c r="CV29" i="30"/>
  <c r="AG11" i="30"/>
  <c r="AG4" i="30"/>
  <c r="AG6" i="30"/>
  <c r="AG19" i="30"/>
  <c r="AG28" i="30"/>
  <c r="AZ28" i="30"/>
  <c r="AZ4" i="30"/>
  <c r="AZ11" i="30"/>
  <c r="AZ6" i="30"/>
  <c r="AZ19" i="30"/>
  <c r="BP6" i="29"/>
  <c r="BP4" i="29"/>
  <c r="BP11" i="29"/>
  <c r="BP12" i="29"/>
  <c r="BP19" i="29"/>
  <c r="BP20" i="29"/>
  <c r="BP21" i="29"/>
  <c r="BP24" i="29"/>
  <c r="BP25" i="29"/>
  <c r="BP27" i="29"/>
  <c r="BP28" i="29"/>
  <c r="BP29" i="29"/>
  <c r="BP5" i="29"/>
  <c r="CP4" i="30"/>
  <c r="CP5" i="30"/>
  <c r="CP6" i="30"/>
  <c r="CP11" i="30"/>
  <c r="CP12" i="30"/>
  <c r="CP19" i="30"/>
  <c r="CP20" i="30"/>
  <c r="CP21" i="30"/>
  <c r="CP24" i="30"/>
  <c r="CP25" i="30"/>
  <c r="CP27" i="30"/>
  <c r="CP28" i="30"/>
  <c r="CP29" i="30"/>
  <c r="AJ6" i="30"/>
  <c r="AJ19" i="30"/>
  <c r="AJ28" i="30"/>
  <c r="AJ11" i="30"/>
  <c r="AJ4" i="30"/>
  <c r="AY4" i="30"/>
  <c r="AY28" i="30"/>
  <c r="AY11" i="30"/>
  <c r="AY6" i="30"/>
  <c r="AY19" i="30"/>
  <c r="BM4" i="29"/>
  <c r="BM5" i="29"/>
  <c r="BM6" i="29"/>
  <c r="BM11" i="29"/>
  <c r="BM19" i="29"/>
  <c r="BM21" i="29"/>
  <c r="BM25" i="29"/>
  <c r="BM27" i="29"/>
  <c r="BM29" i="29"/>
  <c r="BM12" i="29"/>
  <c r="BM20" i="29"/>
  <c r="BM24" i="29"/>
  <c r="BM28" i="29"/>
  <c r="CM4" i="30"/>
  <c r="CM5" i="30"/>
  <c r="CM28" i="30"/>
  <c r="CM29" i="30"/>
  <c r="CM20" i="30"/>
  <c r="CM21" i="30"/>
  <c r="CM27" i="30"/>
  <c r="CM6" i="30"/>
  <c r="CM11" i="30"/>
  <c r="CM12" i="30"/>
  <c r="CM19" i="30"/>
  <c r="CM24" i="30"/>
  <c r="CM25" i="30"/>
  <c r="AN6" i="30"/>
  <c r="AN19" i="30"/>
  <c r="AN28" i="30"/>
  <c r="AN4" i="30"/>
  <c r="AN11" i="30"/>
  <c r="AW6" i="30"/>
  <c r="AW19" i="30"/>
  <c r="AW11" i="30"/>
  <c r="AW28" i="30"/>
  <c r="AW4" i="30"/>
  <c r="BN4" i="29"/>
  <c r="BN5" i="29"/>
  <c r="BN11" i="29"/>
  <c r="BN12" i="29"/>
  <c r="BN19" i="29"/>
  <c r="BN20" i="29"/>
  <c r="BN21" i="29"/>
  <c r="BN24" i="29"/>
  <c r="BN25" i="29"/>
  <c r="BN27" i="29"/>
  <c r="BN28" i="29"/>
  <c r="BN29" i="29"/>
  <c r="BN6" i="29"/>
  <c r="CN4" i="30"/>
  <c r="CN5" i="30"/>
  <c r="CN6" i="30"/>
  <c r="CN11" i="30"/>
  <c r="CN12" i="30"/>
  <c r="CN19" i="30"/>
  <c r="CN20" i="30"/>
  <c r="CN21" i="30"/>
  <c r="CN24" i="30"/>
  <c r="CN25" i="30"/>
  <c r="CN27" i="30"/>
  <c r="CN28" i="30"/>
  <c r="CN29" i="30"/>
  <c r="BR4" i="29"/>
  <c r="BR5" i="29"/>
  <c r="BR12" i="29"/>
  <c r="BR19" i="29"/>
  <c r="BR20" i="29"/>
  <c r="BR21" i="29"/>
  <c r="BR24" i="29"/>
  <c r="BR25" i="29"/>
  <c r="BR27" i="29"/>
  <c r="BR28" i="29"/>
  <c r="BR29" i="29"/>
  <c r="BR6" i="29"/>
  <c r="BR11" i="29"/>
  <c r="CR4" i="30"/>
  <c r="CR5" i="30"/>
  <c r="CR6" i="30"/>
  <c r="CR11" i="30"/>
  <c r="CR12" i="30"/>
  <c r="CR19" i="30"/>
  <c r="CR20" i="30"/>
  <c r="CR21" i="30"/>
  <c r="CR24" i="30"/>
  <c r="CR25" i="30"/>
  <c r="CR27" i="30"/>
  <c r="CR28" i="30"/>
  <c r="CR29" i="30"/>
  <c r="BW4" i="29"/>
  <c r="BW5" i="29"/>
  <c r="BW12" i="29"/>
  <c r="BW19" i="29"/>
  <c r="BW20" i="29"/>
  <c r="BW21" i="29"/>
  <c r="BW24" i="29"/>
  <c r="BW25" i="29"/>
  <c r="BW27" i="29"/>
  <c r="BW28" i="29"/>
  <c r="BW29" i="29"/>
  <c r="BW11" i="29"/>
  <c r="CW4" i="30"/>
  <c r="CW5" i="30"/>
  <c r="CW6" i="30"/>
  <c r="CW11" i="30"/>
  <c r="CW12" i="30"/>
  <c r="CW19" i="30"/>
  <c r="CW20" i="30"/>
  <c r="CW21" i="30"/>
  <c r="CW24" i="30"/>
  <c r="CW25" i="30"/>
  <c r="CW27" i="30"/>
  <c r="CW28" i="30"/>
  <c r="CW29" i="30"/>
  <c r="BZ4" i="29"/>
  <c r="BZ5" i="29"/>
  <c r="BZ6" i="29"/>
  <c r="BZ11" i="29"/>
  <c r="BZ12" i="29"/>
  <c r="BZ20" i="29"/>
  <c r="BZ24" i="29"/>
  <c r="BZ28" i="29"/>
  <c r="BZ19" i="29"/>
  <c r="BZ25" i="29"/>
  <c r="BZ27" i="29"/>
  <c r="BZ21" i="29"/>
  <c r="BZ29" i="29"/>
  <c r="CZ4" i="30"/>
  <c r="CZ6" i="30"/>
  <c r="CZ19" i="30"/>
  <c r="CZ28" i="30"/>
  <c r="CZ29" i="30"/>
  <c r="CZ20" i="30"/>
  <c r="CZ21" i="30"/>
  <c r="CZ27" i="30"/>
  <c r="CZ5" i="30"/>
  <c r="CZ11" i="30"/>
  <c r="CZ12" i="30"/>
  <c r="CZ24" i="30"/>
  <c r="CZ25" i="30"/>
  <c r="AH4" i="30"/>
  <c r="AH11" i="30"/>
  <c r="AH28" i="30"/>
  <c r="AH6" i="30"/>
  <c r="AH19" i="30"/>
  <c r="AK11" i="30"/>
  <c r="AK6" i="30"/>
  <c r="AK19" i="30"/>
  <c r="AK28" i="30"/>
  <c r="AK4" i="30"/>
  <c r="AO11" i="30"/>
  <c r="AO6" i="30"/>
  <c r="AO19" i="30"/>
  <c r="AO4" i="30"/>
  <c r="AO28" i="30"/>
  <c r="AS11" i="30"/>
  <c r="AS4" i="30"/>
  <c r="AS6" i="30"/>
  <c r="AS19" i="30"/>
  <c r="AS28" i="30"/>
  <c r="BE4" i="29"/>
  <c r="BE5" i="29"/>
  <c r="BE6" i="29"/>
  <c r="BE11" i="29"/>
  <c r="BE12" i="29"/>
  <c r="BE20" i="29"/>
  <c r="BE24" i="29"/>
  <c r="BE28" i="29"/>
  <c r="BE19" i="29"/>
  <c r="BE21" i="29"/>
  <c r="BE25" i="29"/>
  <c r="BE27" i="29"/>
  <c r="BE29" i="29"/>
  <c r="CE4" i="30"/>
  <c r="CE6" i="30"/>
  <c r="CE21" i="30"/>
  <c r="CE24" i="30"/>
  <c r="CE25" i="30"/>
  <c r="CE27" i="30"/>
  <c r="CE28" i="30"/>
  <c r="CE5" i="30"/>
  <c r="CE11" i="30"/>
  <c r="CE12" i="30"/>
  <c r="CE19" i="30"/>
  <c r="CE20" i="30"/>
  <c r="CE29" i="30"/>
  <c r="BT5" i="29"/>
  <c r="BT11" i="29"/>
  <c r="BT12" i="29"/>
  <c r="BT19" i="29"/>
  <c r="BT20" i="29"/>
  <c r="BT21" i="29"/>
  <c r="BT24" i="29"/>
  <c r="BT25" i="29"/>
  <c r="BT27" i="29"/>
  <c r="BT28" i="29"/>
  <c r="BT29" i="29"/>
  <c r="BT4" i="29"/>
  <c r="BT6" i="29"/>
  <c r="CT4" i="30"/>
  <c r="CT5" i="30"/>
  <c r="CT6" i="30"/>
  <c r="CT11" i="30"/>
  <c r="CT12" i="30"/>
  <c r="CT19" i="30"/>
  <c r="CT20" i="30"/>
  <c r="CT21" i="30"/>
  <c r="CT24" i="30"/>
  <c r="CT25" i="30"/>
  <c r="CT27" i="30"/>
  <c r="CT28" i="30"/>
  <c r="CT29" i="30"/>
  <c r="AM28" i="30"/>
  <c r="AM4" i="30"/>
  <c r="AM6" i="30"/>
  <c r="AM11" i="30"/>
  <c r="AM19" i="30"/>
  <c r="BJ4" i="29"/>
  <c r="BJ5" i="29"/>
  <c r="BJ12" i="29"/>
  <c r="BJ19" i="29"/>
  <c r="BJ20" i="29"/>
  <c r="BJ21" i="29"/>
  <c r="BJ24" i="29"/>
  <c r="BJ25" i="29"/>
  <c r="BJ27" i="29"/>
  <c r="BJ28" i="29"/>
  <c r="BJ29" i="29"/>
  <c r="BJ11" i="29"/>
  <c r="BJ6" i="29"/>
  <c r="CJ4" i="30"/>
  <c r="CJ5" i="30"/>
  <c r="CJ6" i="30"/>
  <c r="CJ11" i="30"/>
  <c r="CJ12" i="30"/>
  <c r="CJ19" i="30"/>
  <c r="CJ20" i="30"/>
  <c r="CJ21" i="30"/>
  <c r="CJ24" i="30"/>
  <c r="CJ25" i="30"/>
  <c r="CJ27" i="30"/>
  <c r="CJ28" i="30"/>
  <c r="CJ29" i="30"/>
  <c r="BQ4" i="29"/>
  <c r="BQ5" i="29"/>
  <c r="BQ6" i="29"/>
  <c r="BQ11" i="29"/>
  <c r="BQ19" i="29"/>
  <c r="BQ21" i="29"/>
  <c r="BQ25" i="29"/>
  <c r="BQ27" i="29"/>
  <c r="BQ29" i="29"/>
  <c r="BQ20" i="29"/>
  <c r="BQ24" i="29"/>
  <c r="BQ28" i="29"/>
  <c r="BQ12" i="29"/>
  <c r="CQ4" i="30"/>
  <c r="CQ6" i="30"/>
  <c r="CQ19" i="30"/>
  <c r="CQ21" i="30"/>
  <c r="CQ24" i="30"/>
  <c r="CQ25" i="30"/>
  <c r="CQ27" i="30"/>
  <c r="CQ29" i="30"/>
  <c r="CQ5" i="30"/>
  <c r="CQ11" i="30"/>
  <c r="CQ12" i="30"/>
  <c r="CQ20" i="30"/>
  <c r="CQ28" i="30"/>
  <c r="BY4" i="29"/>
  <c r="BY11" i="29"/>
  <c r="BY6" i="29"/>
  <c r="BY12" i="29"/>
  <c r="BY19" i="29"/>
  <c r="BY20" i="29"/>
  <c r="BY21" i="29"/>
  <c r="BY24" i="29"/>
  <c r="BY25" i="29"/>
  <c r="BY27" i="29"/>
  <c r="BY28" i="29"/>
  <c r="BY29" i="29"/>
  <c r="BY5" i="29"/>
  <c r="CY4" i="30"/>
  <c r="CY5" i="30"/>
  <c r="CY6" i="30"/>
  <c r="CY11" i="30"/>
  <c r="CY12" i="30"/>
  <c r="CY19" i="30"/>
  <c r="CY20" i="30"/>
  <c r="CY21" i="30"/>
  <c r="CY24" i="30"/>
  <c r="CY25" i="30"/>
  <c r="CY27" i="30"/>
  <c r="CY28" i="30"/>
  <c r="CY29" i="30"/>
  <c r="AR6" i="30"/>
  <c r="AR19" i="30"/>
  <c r="AR28" i="30"/>
  <c r="AR11" i="30"/>
  <c r="AR4" i="30"/>
  <c r="BG4" i="29"/>
  <c r="BH4" i="29"/>
  <c r="BH11" i="29"/>
  <c r="BG6" i="29"/>
  <c r="BG12" i="29"/>
  <c r="BG19" i="29"/>
  <c r="BG20" i="29"/>
  <c r="BG21" i="29"/>
  <c r="BG24" i="29"/>
  <c r="BG25" i="29"/>
  <c r="BG27" i="29"/>
  <c r="BG28" i="29"/>
  <c r="BG29" i="29"/>
  <c r="BG5" i="29"/>
  <c r="BH6" i="29"/>
  <c r="BH12" i="29"/>
  <c r="BH19" i="29"/>
  <c r="BH20" i="29"/>
  <c r="BH21" i="29"/>
  <c r="BH24" i="29"/>
  <c r="BH25" i="29"/>
  <c r="BH27" i="29"/>
  <c r="BH28" i="29"/>
  <c r="BH29" i="29"/>
  <c r="BH5" i="29"/>
  <c r="BG11" i="29"/>
  <c r="CG4" i="30"/>
  <c r="CG5" i="30"/>
  <c r="CG6" i="30"/>
  <c r="CG11" i="30"/>
  <c r="CG12" i="30"/>
  <c r="CG19" i="30"/>
  <c r="CG20" i="30"/>
  <c r="CG21" i="30"/>
  <c r="CG24" i="30"/>
  <c r="CG25" i="30"/>
  <c r="CG27" i="30"/>
  <c r="CG28" i="30"/>
  <c r="CG29" i="30"/>
  <c r="CH4" i="30"/>
  <c r="CH5" i="30"/>
  <c r="CH6" i="30"/>
  <c r="CH11" i="30"/>
  <c r="CH12" i="30"/>
  <c r="CH19" i="30"/>
  <c r="CH20" i="30"/>
  <c r="CH21" i="30"/>
  <c r="CH24" i="30"/>
  <c r="CH25" i="30"/>
  <c r="CH27" i="30"/>
  <c r="CH28" i="30"/>
  <c r="CH29" i="30"/>
  <c r="BK4" i="29"/>
  <c r="BK5" i="29"/>
  <c r="BK6" i="29"/>
  <c r="BK12" i="29"/>
  <c r="BK19" i="29"/>
  <c r="BK20" i="29"/>
  <c r="BK21" i="29"/>
  <c r="BK24" i="29"/>
  <c r="BK25" i="29"/>
  <c r="BK27" i="29"/>
  <c r="BK28" i="29"/>
  <c r="BK29" i="29"/>
  <c r="BK11" i="29"/>
  <c r="CK4" i="30"/>
  <c r="CK5" i="30"/>
  <c r="CK6" i="30"/>
  <c r="CK11" i="30"/>
  <c r="CK12" i="30"/>
  <c r="CK19" i="30"/>
  <c r="CK20" i="30"/>
  <c r="CK21" i="30"/>
  <c r="CK24" i="30"/>
  <c r="CK25" i="30"/>
  <c r="CK27" i="30"/>
  <c r="CK28" i="30"/>
  <c r="CK29" i="30"/>
  <c r="BO4" i="29"/>
  <c r="BO11" i="29"/>
  <c r="BO12" i="29"/>
  <c r="BO19" i="29"/>
  <c r="BO20" i="29"/>
  <c r="BO21" i="29"/>
  <c r="BO24" i="29"/>
  <c r="BO25" i="29"/>
  <c r="BO27" i="29"/>
  <c r="BO28" i="29"/>
  <c r="BO29" i="29"/>
  <c r="BO5" i="29"/>
  <c r="BO6" i="29"/>
  <c r="CO4" i="30"/>
  <c r="CO5" i="30"/>
  <c r="CO6" i="30"/>
  <c r="CO11" i="30"/>
  <c r="CO12" i="30"/>
  <c r="CO19" i="30"/>
  <c r="CO20" i="30"/>
  <c r="CO21" i="30"/>
  <c r="CO24" i="30"/>
  <c r="CO25" i="30"/>
  <c r="CO27" i="30"/>
  <c r="CO28" i="30"/>
  <c r="CO29" i="30"/>
  <c r="BS4" i="29"/>
  <c r="BS5" i="29"/>
  <c r="BS11" i="29"/>
  <c r="BS12" i="29"/>
  <c r="BS19" i="29"/>
  <c r="BS20" i="29"/>
  <c r="BS21" i="29"/>
  <c r="BS24" i="29"/>
  <c r="BS25" i="29"/>
  <c r="BS27" i="29"/>
  <c r="BS28" i="29"/>
  <c r="BS29" i="29"/>
  <c r="BS6" i="29"/>
  <c r="CS4" i="30"/>
  <c r="CS5" i="30"/>
  <c r="CS6" i="30"/>
  <c r="CS11" i="30"/>
  <c r="CS12" i="30"/>
  <c r="CS19" i="30"/>
  <c r="CS20" i="30"/>
  <c r="CS21" i="30"/>
  <c r="CS24" i="30"/>
  <c r="CS25" i="30"/>
  <c r="CS27" i="30"/>
  <c r="CS28" i="30"/>
  <c r="CS29" i="30"/>
  <c r="AE28" i="30"/>
  <c r="AE6" i="30"/>
  <c r="AE4" i="30"/>
  <c r="AE19" i="30"/>
  <c r="AE11" i="30"/>
  <c r="AI28" i="30"/>
  <c r="AI19" i="30"/>
  <c r="AI4" i="30"/>
  <c r="AI11" i="30"/>
  <c r="AI6" i="30"/>
  <c r="AL4" i="30"/>
  <c r="AL28" i="30"/>
  <c r="AL11" i="30"/>
  <c r="AL6" i="30"/>
  <c r="AL19" i="30"/>
  <c r="AP4" i="30"/>
  <c r="AP11" i="30"/>
  <c r="AP6" i="30"/>
  <c r="AP19" i="30"/>
  <c r="AP28" i="30"/>
  <c r="AT4" i="30"/>
  <c r="AT11" i="30"/>
  <c r="AT28" i="30"/>
  <c r="AT6" i="30"/>
  <c r="AT19" i="30"/>
  <c r="AX11" i="30"/>
  <c r="AX6" i="30"/>
  <c r="AX19" i="30"/>
  <c r="AX4" i="30"/>
  <c r="AX28" i="30"/>
  <c r="AH28" i="18"/>
  <c r="AH24" i="18"/>
  <c r="AH20" i="18"/>
  <c r="AH12" i="18"/>
  <c r="AH11" i="18"/>
  <c r="AH5" i="18"/>
  <c r="AH29" i="18"/>
  <c r="AH27" i="18"/>
  <c r="AH25" i="18"/>
  <c r="AH21" i="18"/>
  <c r="AH19" i="18"/>
  <c r="AH6" i="18"/>
  <c r="AH4" i="18"/>
  <c r="AN29" i="18"/>
  <c r="AN27" i="18"/>
  <c r="AN25" i="18"/>
  <c r="AN21" i="18"/>
  <c r="AN19" i="18"/>
  <c r="AN6" i="18"/>
  <c r="AN4" i="18"/>
  <c r="AN24" i="18"/>
  <c r="AN28" i="18"/>
  <c r="AN20" i="18"/>
  <c r="AN12" i="18"/>
  <c r="AN5" i="18"/>
  <c r="AN11" i="18"/>
  <c r="AF29" i="18"/>
  <c r="AF27" i="18"/>
  <c r="AF25" i="18"/>
  <c r="AF21" i="18"/>
  <c r="AF19" i="18"/>
  <c r="AF6" i="18"/>
  <c r="AF4" i="18"/>
  <c r="AF28" i="18"/>
  <c r="AF24" i="18"/>
  <c r="AF20" i="18"/>
  <c r="AF12" i="18"/>
  <c r="AF11" i="18"/>
  <c r="AF5" i="18"/>
  <c r="AG28" i="18"/>
  <c r="AG24" i="18"/>
  <c r="AG20" i="18"/>
  <c r="AG12" i="18"/>
  <c r="AG11" i="18"/>
  <c r="AG5" i="18"/>
  <c r="AG29" i="18"/>
  <c r="AG21" i="18"/>
  <c r="AG6" i="18"/>
  <c r="AG27" i="18"/>
  <c r="AG19" i="18"/>
  <c r="AG4" i="18"/>
  <c r="AG25" i="18"/>
  <c r="EL11" i="18"/>
  <c r="EL29" i="18"/>
  <c r="EL6" i="18"/>
  <c r="EL28" i="18"/>
  <c r="EL20" i="18"/>
  <c r="EL12" i="18"/>
  <c r="EL5" i="18"/>
  <c r="EL27" i="18"/>
  <c r="EL19" i="18"/>
  <c r="EL4" i="18"/>
  <c r="EL24" i="18"/>
  <c r="BW11" i="18"/>
  <c r="BW29" i="18"/>
  <c r="BW6" i="18"/>
  <c r="BW28" i="18"/>
  <c r="BW24" i="18"/>
  <c r="BW20" i="18"/>
  <c r="BW12" i="18"/>
  <c r="BW5" i="18"/>
  <c r="BW27" i="18"/>
  <c r="BW19" i="18"/>
  <c r="BW4" i="18"/>
  <c r="AR27" i="5"/>
  <c r="AR25" i="5"/>
  <c r="AR12" i="5"/>
  <c r="AR5" i="5"/>
  <c r="AR29" i="5"/>
  <c r="AR20" i="5"/>
  <c r="AR24" i="5"/>
  <c r="AR6" i="5"/>
  <c r="AR21" i="5"/>
  <c r="AE29" i="18"/>
  <c r="AE27" i="18"/>
  <c r="AE25" i="18"/>
  <c r="AE21" i="18"/>
  <c r="AE19" i="18"/>
  <c r="AE6" i="18"/>
  <c r="AE4" i="18"/>
  <c r="AE11" i="18"/>
  <c r="AE28" i="18"/>
  <c r="AE20" i="18"/>
  <c r="AE12" i="18"/>
  <c r="AE24" i="18"/>
  <c r="AE5" i="18"/>
  <c r="AL28" i="18"/>
  <c r="AL24" i="18"/>
  <c r="AL20" i="18"/>
  <c r="AL12" i="18"/>
  <c r="AL11" i="18"/>
  <c r="AL5" i="18"/>
  <c r="AL27" i="18"/>
  <c r="AL19" i="18"/>
  <c r="AL4" i="18"/>
  <c r="AL6" i="18"/>
  <c r="AL25" i="18"/>
  <c r="AL29" i="18"/>
  <c r="AL21" i="18"/>
  <c r="DR29" i="18"/>
  <c r="DR24" i="18"/>
  <c r="DR20" i="18"/>
  <c r="DR12" i="18"/>
  <c r="DR5" i="18"/>
  <c r="DR28" i="18"/>
  <c r="DR25" i="18"/>
  <c r="DR21" i="18"/>
  <c r="DR6" i="18"/>
  <c r="DR27" i="18"/>
  <c r="DR19" i="18"/>
  <c r="DR4" i="18"/>
  <c r="DR11" i="18"/>
  <c r="AJ29" i="18"/>
  <c r="AJ27" i="18"/>
  <c r="AJ25" i="18"/>
  <c r="AJ21" i="18"/>
  <c r="AJ19" i="18"/>
  <c r="AJ6" i="18"/>
  <c r="AJ4" i="18"/>
  <c r="AJ28" i="18"/>
  <c r="AJ24" i="18"/>
  <c r="AJ20" i="18"/>
  <c r="AJ12" i="18"/>
  <c r="AJ11" i="18"/>
  <c r="AJ5" i="18"/>
  <c r="AO29" i="18"/>
  <c r="AO27" i="18"/>
  <c r="AO25" i="18"/>
  <c r="AO21" i="18"/>
  <c r="AO19" i="18"/>
  <c r="AO6" i="18"/>
  <c r="AO4" i="18"/>
  <c r="AO28" i="18"/>
  <c r="AO24" i="18"/>
  <c r="AO20" i="18"/>
  <c r="AO12" i="18"/>
  <c r="AO11" i="18"/>
  <c r="AO5" i="18"/>
  <c r="AI27" i="5"/>
  <c r="AI12" i="5"/>
  <c r="AI5" i="5"/>
  <c r="AI29" i="5"/>
  <c r="AI20" i="5"/>
  <c r="AI4" i="5"/>
  <c r="AI28" i="5"/>
  <c r="AI24" i="5"/>
  <c r="AI19" i="5"/>
  <c r="AI11" i="5"/>
  <c r="AI6" i="5"/>
  <c r="L28" i="5"/>
  <c r="L4" i="5"/>
  <c r="L29" i="5"/>
  <c r="L24" i="5"/>
  <c r="L19" i="5"/>
  <c r="L6" i="5"/>
  <c r="L12" i="5"/>
  <c r="L5" i="5"/>
  <c r="L27" i="5"/>
  <c r="L20" i="5"/>
  <c r="L11" i="5"/>
  <c r="N11" i="5"/>
  <c r="N26" i="5"/>
  <c r="N4" i="5"/>
  <c r="N28" i="5"/>
  <c r="N13" i="5"/>
  <c r="N14" i="5"/>
  <c r="N8" i="5"/>
  <c r="N3" i="5"/>
  <c r="N15" i="5"/>
  <c r="N6" i="5"/>
  <c r="N29" i="5"/>
  <c r="AD4" i="18"/>
  <c r="AD8" i="18"/>
  <c r="AD15" i="18"/>
  <c r="AD19" i="18"/>
  <c r="AD23" i="18"/>
  <c r="AD27" i="18"/>
  <c r="N16" i="5"/>
  <c r="AD5" i="18"/>
  <c r="AD9" i="18"/>
  <c r="AD12" i="18"/>
  <c r="AD16" i="18"/>
  <c r="AD20" i="18"/>
  <c r="AD24" i="18"/>
  <c r="AD28" i="18"/>
  <c r="BY8" i="18"/>
  <c r="N27" i="5"/>
  <c r="N5" i="5"/>
  <c r="AD2" i="18"/>
  <c r="AD6" i="18"/>
  <c r="AD10" i="18"/>
  <c r="AD13" i="18"/>
  <c r="AD17" i="18"/>
  <c r="AD21" i="18"/>
  <c r="AD25" i="18"/>
  <c r="AD29" i="18"/>
  <c r="BY20" i="18"/>
  <c r="N9" i="5"/>
  <c r="AD3" i="18"/>
  <c r="AD7" i="18"/>
  <c r="AD11" i="18"/>
  <c r="AD14" i="18"/>
  <c r="AD18" i="18"/>
  <c r="AD22" i="18"/>
  <c r="AD26" i="18"/>
  <c r="AD30" i="18"/>
  <c r="BE3" i="1"/>
  <c r="BD3" i="1"/>
  <c r="AZ25" i="1"/>
  <c r="BA24" i="1"/>
  <c r="AZ24" i="1"/>
  <c r="BA25" i="1"/>
  <c r="BE30" i="1"/>
  <c r="BD30" i="1"/>
  <c r="BE29" i="1"/>
  <c r="BD29" i="1"/>
  <c r="BE28" i="1"/>
  <c r="BD28" i="1"/>
  <c r="BE27" i="1"/>
  <c r="BD27" i="1"/>
  <c r="BE26" i="1"/>
  <c r="BD26" i="1"/>
  <c r="BE25" i="1"/>
  <c r="BD25" i="1"/>
  <c r="BE24" i="1"/>
  <c r="BD24" i="1"/>
  <c r="BE23" i="1"/>
  <c r="BD23" i="1"/>
  <c r="BE22" i="1"/>
  <c r="BE21" i="1"/>
  <c r="BD21" i="1"/>
  <c r="BE20" i="1"/>
  <c r="BD20" i="1"/>
  <c r="BE19" i="1"/>
  <c r="BD19" i="1"/>
  <c r="BE18" i="1"/>
  <c r="BD18" i="1"/>
  <c r="BE17" i="1"/>
  <c r="BD17" i="1"/>
  <c r="BE16" i="1"/>
  <c r="BD16" i="1"/>
  <c r="BE15" i="1"/>
  <c r="BD15" i="1"/>
  <c r="BE14" i="1"/>
  <c r="BD14" i="1"/>
  <c r="BE13" i="1"/>
  <c r="BD13" i="1"/>
  <c r="BE12" i="1"/>
  <c r="BD12" i="1"/>
  <c r="BE11" i="1"/>
  <c r="BD11" i="1"/>
  <c r="BE10" i="1"/>
  <c r="BD10" i="1"/>
  <c r="BE9" i="1"/>
  <c r="BD9" i="1"/>
  <c r="BE8" i="1"/>
  <c r="BD8" i="1"/>
  <c r="BE7" i="1"/>
  <c r="BD7" i="1"/>
  <c r="BE6" i="1"/>
  <c r="BD6" i="1"/>
  <c r="BE5" i="1"/>
  <c r="BD5" i="1"/>
  <c r="BE4" i="1"/>
  <c r="BD4" i="1"/>
  <c r="BE2" i="1"/>
  <c r="BD2" i="1"/>
  <c r="AE30" i="1"/>
  <c r="AD30" i="1"/>
  <c r="AC30" i="1"/>
  <c r="AB30" i="1"/>
  <c r="AA30" i="1"/>
  <c r="AE29" i="1"/>
  <c r="AD29" i="1"/>
  <c r="AC29" i="1"/>
  <c r="AB29" i="1"/>
  <c r="AA29" i="1"/>
  <c r="AE28" i="1"/>
  <c r="AD28" i="1"/>
  <c r="AC28" i="1"/>
  <c r="AB28" i="1"/>
  <c r="AA28" i="1"/>
  <c r="AE27" i="1"/>
  <c r="AD27" i="1"/>
  <c r="AC27" i="1"/>
  <c r="AB27" i="1"/>
  <c r="AA27" i="1"/>
  <c r="AE26" i="1"/>
  <c r="AD26" i="1"/>
  <c r="AC26" i="1"/>
  <c r="AB26" i="1"/>
  <c r="AA26" i="1"/>
  <c r="AE25" i="1"/>
  <c r="AD25" i="1"/>
  <c r="AC25" i="1"/>
  <c r="AB25" i="1"/>
  <c r="AA25" i="1"/>
  <c r="AE24" i="1"/>
  <c r="AD24" i="1"/>
  <c r="AC24" i="1"/>
  <c r="AB24" i="1"/>
  <c r="AA24" i="1"/>
  <c r="AE23" i="1"/>
  <c r="AD23" i="1"/>
  <c r="AC23" i="1"/>
  <c r="AB23" i="1"/>
  <c r="AA23" i="1"/>
  <c r="AE22" i="1"/>
  <c r="AD22" i="1"/>
  <c r="AC22" i="1"/>
  <c r="AB22" i="1"/>
  <c r="AA22" i="1"/>
  <c r="AE21" i="1"/>
  <c r="AD21" i="1"/>
  <c r="AC21" i="1"/>
  <c r="AB21" i="1"/>
  <c r="AA21" i="1"/>
  <c r="AE20" i="1"/>
  <c r="AD20" i="1"/>
  <c r="AC20" i="1"/>
  <c r="AB20" i="1"/>
  <c r="AA20" i="1"/>
  <c r="AE19" i="1"/>
  <c r="AD19" i="1"/>
  <c r="AC19" i="1"/>
  <c r="AB19" i="1"/>
  <c r="AA19" i="1"/>
  <c r="AE18" i="1"/>
  <c r="AD18" i="1"/>
  <c r="AC18" i="1"/>
  <c r="AB18" i="1"/>
  <c r="AA18" i="1"/>
  <c r="AE17" i="1"/>
  <c r="AD17" i="1"/>
  <c r="AC17" i="1"/>
  <c r="AB17" i="1"/>
  <c r="AA17" i="1"/>
  <c r="AE16" i="1"/>
  <c r="AD16" i="1"/>
  <c r="AC16" i="1"/>
  <c r="AB16" i="1"/>
  <c r="AA16" i="1"/>
  <c r="AE15" i="1"/>
  <c r="AD15" i="1"/>
  <c r="AC15" i="1"/>
  <c r="AB15" i="1"/>
  <c r="AA15" i="1"/>
  <c r="AE14" i="1"/>
  <c r="AD14" i="1"/>
  <c r="AC14" i="1"/>
  <c r="AB14" i="1"/>
  <c r="AA14" i="1"/>
  <c r="AE13" i="1"/>
  <c r="AD13" i="1"/>
  <c r="AC13" i="1"/>
  <c r="AB13" i="1"/>
  <c r="AA13" i="1"/>
  <c r="AE12" i="1"/>
  <c r="AD12" i="1"/>
  <c r="AC12" i="1"/>
  <c r="AB12" i="1"/>
  <c r="AA12" i="1"/>
  <c r="AE11" i="1"/>
  <c r="AD11" i="1"/>
  <c r="AC11" i="1"/>
  <c r="AB11" i="1"/>
  <c r="AA11" i="1"/>
  <c r="AE10" i="1"/>
  <c r="AD10" i="1"/>
  <c r="AC10" i="1"/>
  <c r="AB10" i="1"/>
  <c r="AA10" i="1"/>
  <c r="AE9" i="1"/>
  <c r="AD9" i="1"/>
  <c r="AC9" i="1"/>
  <c r="AB9" i="1"/>
  <c r="AA9" i="1"/>
  <c r="AE8" i="1"/>
  <c r="AD8" i="1"/>
  <c r="AC8" i="1"/>
  <c r="AB8" i="1"/>
  <c r="AA8" i="1"/>
  <c r="AE7" i="1"/>
  <c r="AD7" i="1"/>
  <c r="AC7" i="1"/>
  <c r="AB7" i="1"/>
  <c r="AA7" i="1"/>
  <c r="AE6" i="1"/>
  <c r="AD6" i="1"/>
  <c r="AC6" i="1"/>
  <c r="AB6" i="1"/>
  <c r="AA6" i="1"/>
  <c r="AE5" i="1"/>
  <c r="AD5" i="1"/>
  <c r="AC5" i="1"/>
  <c r="AB5" i="1"/>
  <c r="AA5" i="1"/>
  <c r="AE4" i="1"/>
  <c r="AD4" i="1"/>
  <c r="AC4" i="1"/>
  <c r="AB4" i="1"/>
  <c r="AA4" i="1"/>
  <c r="AE3" i="1"/>
  <c r="AD3" i="1"/>
  <c r="AC3" i="1"/>
  <c r="AB3" i="1"/>
  <c r="AA3" i="1"/>
  <c r="AE2" i="1"/>
  <c r="AD2" i="1"/>
  <c r="AC2" i="1"/>
  <c r="AB2" i="1"/>
  <c r="AA2" i="1"/>
  <c r="E4" i="2"/>
  <c r="H4" i="2"/>
  <c r="K4" i="2"/>
  <c r="H5" i="2"/>
  <c r="N25" i="5"/>
  <c r="BY23" i="18"/>
  <c r="BY11" i="18"/>
  <c r="BY22" i="18"/>
  <c r="BY10" i="18"/>
  <c r="BY21" i="18"/>
  <c r="BY9" i="18"/>
  <c r="N2" i="5"/>
  <c r="N7" i="5"/>
  <c r="BY19" i="18"/>
  <c r="BY7" i="18"/>
  <c r="N12" i="5"/>
  <c r="BY30" i="18"/>
  <c r="BY18" i="18"/>
  <c r="BY6" i="18"/>
  <c r="BY5" i="18"/>
  <c r="N18" i="5"/>
  <c r="BY16" i="18"/>
  <c r="BY4" i="18"/>
  <c r="BY27" i="18"/>
  <c r="BY15" i="18"/>
  <c r="BY3" i="18"/>
  <c r="BY26" i="18"/>
  <c r="BY14" i="18"/>
  <c r="BY25" i="18"/>
  <c r="BY13" i="18"/>
  <c r="DU22" i="18"/>
  <c r="N20" i="5"/>
  <c r="N21" i="5"/>
  <c r="N23" i="5"/>
  <c r="N17" i="5"/>
  <c r="N30" i="5"/>
  <c r="N24" i="5"/>
  <c r="N22" i="5"/>
  <c r="BY24" i="18"/>
  <c r="BY29" i="18"/>
  <c r="BY28" i="18"/>
  <c r="BY2" i="18"/>
  <c r="BY12" i="18"/>
  <c r="N10" i="5"/>
  <c r="BY17" i="18"/>
  <c r="N19" i="5"/>
  <c r="E5" i="2"/>
  <c r="K5" i="2"/>
  <c r="AF60" i="4"/>
  <c r="AF70" i="4"/>
  <c r="O62" i="15"/>
  <c r="O64" i="15"/>
  <c r="O54" i="15"/>
  <c r="O52" i="15"/>
  <c r="AH64" i="15"/>
  <c r="AD63" i="15"/>
  <c r="AH63" i="15"/>
  <c r="AG36" i="15"/>
  <c r="AK36" i="15"/>
  <c r="Z34" i="15"/>
  <c r="Z31" i="15"/>
  <c r="AG75" i="15"/>
  <c r="AK75" i="15"/>
  <c r="AG61" i="15"/>
  <c r="AK61" i="15"/>
  <c r="AG72" i="15"/>
  <c r="AK72" i="15"/>
  <c r="AG58" i="15"/>
  <c r="AK58" i="15"/>
  <c r="G44" i="15"/>
  <c r="L44" i="15"/>
  <c r="E45" i="15"/>
  <c r="J45" i="15"/>
  <c r="J46" i="15"/>
  <c r="AK49" i="15"/>
  <c r="AG59" i="15"/>
  <c r="AG48" i="15"/>
  <c r="AK48" i="15"/>
  <c r="AG69" i="15"/>
  <c r="AK69" i="15"/>
  <c r="AG46" i="15"/>
  <c r="F48" i="15"/>
  <c r="K48" i="15"/>
  <c r="D69" i="15"/>
  <c r="D72" i="15"/>
  <c r="D63" i="15"/>
  <c r="I63" i="15"/>
  <c r="AI32" i="15"/>
  <c r="AE31" i="15"/>
  <c r="AI31" i="15"/>
  <c r="AI64" i="15"/>
  <c r="AE63" i="15"/>
  <c r="AI63" i="15"/>
  <c r="F31" i="15"/>
  <c r="K31" i="15"/>
  <c r="K32" i="15"/>
  <c r="G49" i="15"/>
  <c r="H34" i="15"/>
  <c r="M34" i="15"/>
  <c r="H32" i="15"/>
  <c r="AF50" i="15"/>
  <c r="G60" i="15"/>
  <c r="L60" i="15"/>
  <c r="G74" i="15"/>
  <c r="L74" i="15"/>
  <c r="P63" i="15"/>
  <c r="AK59" i="15"/>
  <c r="AF64" i="15"/>
  <c r="E42" i="15"/>
  <c r="J42" i="15"/>
  <c r="I69" i="15"/>
  <c r="D55" i="15"/>
  <c r="I55" i="15"/>
  <c r="H37" i="15"/>
  <c r="M37" i="15"/>
  <c r="D48" i="15"/>
  <c r="I48" i="15"/>
  <c r="E62" i="15"/>
  <c r="J62" i="15"/>
  <c r="F63" i="15"/>
  <c r="K63" i="15"/>
  <c r="K64" i="15"/>
  <c r="E63" i="15"/>
  <c r="J63" i="15"/>
  <c r="AF53" i="15"/>
  <c r="AJ53" i="15"/>
  <c r="AF67" i="15"/>
  <c r="AJ67" i="15"/>
  <c r="H52" i="15"/>
  <c r="M52" i="15"/>
  <c r="H66" i="15"/>
  <c r="M66" i="15"/>
  <c r="Z63" i="15"/>
  <c r="AG68" i="15"/>
  <c r="AG76" i="15"/>
  <c r="AK76" i="15"/>
  <c r="AE56" i="15"/>
  <c r="AI56" i="15"/>
  <c r="AE60" i="15"/>
  <c r="AI60" i="15"/>
  <c r="AF39" i="15"/>
  <c r="AJ39" i="15"/>
  <c r="H68" i="15"/>
  <c r="M68" i="15"/>
  <c r="H54" i="15"/>
  <c r="M54" i="15"/>
  <c r="AJ32" i="15"/>
  <c r="AD54" i="15"/>
  <c r="AH54" i="15"/>
  <c r="I72" i="15"/>
  <c r="AD50" i="15"/>
  <c r="E35" i="15"/>
  <c r="J35" i="15"/>
  <c r="G57" i="15"/>
  <c r="L57" i="15"/>
  <c r="G71" i="15"/>
  <c r="L71" i="15"/>
  <c r="G32" i="15"/>
  <c r="AK33" i="15"/>
  <c r="F45" i="15"/>
  <c r="K45" i="15"/>
  <c r="AG42" i="15"/>
  <c r="AK42" i="15"/>
  <c r="AD52" i="15"/>
  <c r="AH52" i="15"/>
  <c r="AF43" i="15"/>
  <c r="AJ43" i="15"/>
  <c r="G56" i="15"/>
  <c r="L56" i="15"/>
  <c r="G70" i="15"/>
  <c r="L70" i="15"/>
  <c r="G64" i="15"/>
  <c r="H42" i="15"/>
  <c r="M42" i="15"/>
  <c r="G35" i="15"/>
  <c r="L35" i="15"/>
  <c r="M64" i="15"/>
  <c r="G33" i="15"/>
  <c r="L33" i="15"/>
  <c r="H53" i="15"/>
  <c r="M53" i="15"/>
  <c r="H76" i="15"/>
  <c r="M76" i="15"/>
  <c r="H62" i="15"/>
  <c r="M62" i="15"/>
  <c r="H33" i="15"/>
  <c r="M33" i="15"/>
  <c r="H73" i="15"/>
  <c r="M73" i="15"/>
  <c r="H59" i="15"/>
  <c r="M59" i="15"/>
  <c r="G58" i="15"/>
  <c r="L58" i="15"/>
  <c r="G76" i="15"/>
  <c r="L76" i="15"/>
  <c r="G62" i="15"/>
  <c r="L62" i="15"/>
  <c r="H65" i="15"/>
  <c r="M65" i="15"/>
  <c r="H44" i="15"/>
  <c r="M44" i="15"/>
  <c r="G68" i="15"/>
  <c r="L68" i="15"/>
  <c r="G54" i="15"/>
  <c r="L54" i="15"/>
  <c r="H57" i="15"/>
  <c r="M57" i="15"/>
  <c r="H49" i="15"/>
  <c r="G52" i="15"/>
  <c r="L52" i="15"/>
  <c r="H74" i="15"/>
  <c r="M74" i="15"/>
  <c r="H60" i="15"/>
  <c r="M60" i="15"/>
  <c r="H40" i="15"/>
  <c r="M40" i="15"/>
  <c r="AF69" i="15"/>
  <c r="AJ69" i="15"/>
  <c r="BU53" i="17"/>
  <c r="BU54" i="17"/>
  <c r="BU62" i="17"/>
  <c r="BU70" i="17"/>
  <c r="BU71" i="17"/>
  <c r="BU64" i="17"/>
  <c r="BU72" i="17"/>
  <c r="BU65" i="17"/>
  <c r="BU66" i="17"/>
  <c r="BU74" i="17"/>
  <c r="BQ53" i="17"/>
  <c r="BQ61" i="17"/>
  <c r="BQ54" i="17"/>
  <c r="BQ72" i="17"/>
  <c r="BQ73" i="17"/>
  <c r="BQ66" i="17"/>
  <c r="BQ74" i="17"/>
  <c r="AU45" i="17"/>
  <c r="BF47" i="17"/>
  <c r="AI49" i="17"/>
  <c r="AB35" i="17"/>
  <c r="AM35" i="17"/>
  <c r="Y38" i="17"/>
  <c r="AJ38" i="17"/>
  <c r="X39" i="17"/>
  <c r="AI39" i="17"/>
  <c r="W45" i="17"/>
  <c r="AA50" i="17"/>
  <c r="AL50" i="17"/>
  <c r="X59" i="17"/>
  <c r="AI59" i="17"/>
  <c r="X62" i="17"/>
  <c r="AI62" i="17"/>
  <c r="AE68" i="17"/>
  <c r="AP68" i="17"/>
  <c r="AH26" i="17"/>
  <c r="AO19" i="17"/>
  <c r="Z15" i="17"/>
  <c r="AB10" i="17"/>
  <c r="AB21" i="17"/>
  <c r="AF9" i="17"/>
  <c r="AG24" i="17"/>
  <c r="AK12" i="17"/>
  <c r="AI27" i="17"/>
  <c r="BA61" i="17"/>
  <c r="BL61" i="17"/>
  <c r="BA75" i="17"/>
  <c r="BL75" i="17"/>
  <c r="BJ25" i="17"/>
  <c r="BI20" i="17"/>
  <c r="BL29" i="17"/>
  <c r="S18" i="17"/>
  <c r="Z39" i="17"/>
  <c r="AK39" i="17"/>
  <c r="X42" i="17"/>
  <c r="AI42" i="17"/>
  <c r="G46" i="17"/>
  <c r="X45" i="17"/>
  <c r="K67" i="17"/>
  <c r="S67" i="17"/>
  <c r="K68" i="17"/>
  <c r="S68" i="17"/>
  <c r="J71" i="17"/>
  <c r="R71" i="17"/>
  <c r="J73" i="17"/>
  <c r="R73" i="17"/>
  <c r="AE14" i="17"/>
  <c r="AG22" i="17"/>
  <c r="AI15" i="17"/>
  <c r="AI23" i="17"/>
  <c r="AV40" i="17"/>
  <c r="BG40" i="17"/>
  <c r="AW45" i="17"/>
  <c r="BB58" i="17"/>
  <c r="BM58" i="17"/>
  <c r="BD59" i="17"/>
  <c r="BO59" i="17"/>
  <c r="BB72" i="17"/>
  <c r="BM72" i="17"/>
  <c r="BD73" i="17"/>
  <c r="BO73" i="17"/>
  <c r="AX15" i="17"/>
  <c r="BA23" i="17"/>
  <c r="BG17" i="17"/>
  <c r="BC7" i="17"/>
  <c r="BB27" i="17"/>
  <c r="AE36" i="17"/>
  <c r="AP36" i="17"/>
  <c r="G40" i="17"/>
  <c r="O40" i="17"/>
  <c r="Y40" i="17"/>
  <c r="AJ40" i="17"/>
  <c r="G41" i="17"/>
  <c r="O41" i="17"/>
  <c r="G47" i="17"/>
  <c r="O47" i="17"/>
  <c r="J57" i="17"/>
  <c r="R57" i="17"/>
  <c r="AC58" i="17"/>
  <c r="AN58" i="17"/>
  <c r="AD61" i="17"/>
  <c r="AO61" i="17"/>
  <c r="I62" i="17"/>
  <c r="V69" i="17"/>
  <c r="AG69" i="17"/>
  <c r="D70" i="17"/>
  <c r="L70" i="17"/>
  <c r="K72" i="17"/>
  <c r="S72" i="17"/>
  <c r="I76" i="17"/>
  <c r="Q76" i="17"/>
  <c r="AG20" i="17"/>
  <c r="AD27" i="17"/>
  <c r="BC36" i="17"/>
  <c r="BN36" i="17"/>
  <c r="BC3" i="17"/>
  <c r="BO22" i="17"/>
  <c r="BG8" i="17"/>
  <c r="BK19" i="17"/>
  <c r="BF28" i="17"/>
  <c r="BR60" i="17"/>
  <c r="BN25" i="17"/>
  <c r="AB32" i="17"/>
  <c r="AM32" i="17"/>
  <c r="Z41" i="17"/>
  <c r="AK41" i="17"/>
  <c r="G44" i="17"/>
  <c r="O44" i="17"/>
  <c r="Y44" i="17"/>
  <c r="AJ44" i="17"/>
  <c r="AA46" i="17"/>
  <c r="AE54" i="17"/>
  <c r="AP54" i="17"/>
  <c r="AD55" i="17"/>
  <c r="AO55" i="17"/>
  <c r="J59" i="17"/>
  <c r="R59" i="17"/>
  <c r="H64" i="17"/>
  <c r="P64" i="17"/>
  <c r="V70" i="17"/>
  <c r="AG70" i="17"/>
  <c r="AD75" i="17"/>
  <c r="AO75" i="17"/>
  <c r="BA57" i="17"/>
  <c r="BL57" i="17"/>
  <c r="AY64" i="17"/>
  <c r="BJ64" i="17"/>
  <c r="AZ4" i="17"/>
  <c r="BK4" i="17"/>
  <c r="BG15" i="17"/>
  <c r="AZ6" i="17"/>
  <c r="BR50" i="17"/>
  <c r="BT8" i="17"/>
  <c r="BT41" i="17"/>
  <c r="J32" i="17"/>
  <c r="R32" i="17"/>
  <c r="K58" i="17"/>
  <c r="S58" i="17"/>
  <c r="K61" i="17"/>
  <c r="S61" i="17"/>
  <c r="AA64" i="17"/>
  <c r="AL64" i="17"/>
  <c r="X73" i="17"/>
  <c r="AI73" i="17"/>
  <c r="Z26" i="17"/>
  <c r="BB47" i="17"/>
  <c r="AV66" i="17"/>
  <c r="BG66" i="17"/>
  <c r="BI13" i="17"/>
  <c r="BC14" i="17"/>
  <c r="AX26" i="17"/>
  <c r="BN15" i="17"/>
  <c r="AZ21" i="17"/>
  <c r="AZ17" i="17"/>
  <c r="BD18" i="17"/>
  <c r="H31" i="17"/>
  <c r="AB33" i="17"/>
  <c r="AM33" i="17"/>
  <c r="W38" i="17"/>
  <c r="AH38" i="17"/>
  <c r="V39" i="17"/>
  <c r="AG39" i="17"/>
  <c r="AD45" i="17"/>
  <c r="AB47" i="17"/>
  <c r="AM47" i="17"/>
  <c r="G52" i="17"/>
  <c r="O52" i="17"/>
  <c r="K54" i="17"/>
  <c r="S54" i="17"/>
  <c r="AF58" i="17"/>
  <c r="AQ58" i="17"/>
  <c r="D61" i="17"/>
  <c r="L61" i="17"/>
  <c r="G65" i="17"/>
  <c r="O65" i="17"/>
  <c r="Z65" i="17"/>
  <c r="AK65" i="17"/>
  <c r="G66" i="17"/>
  <c r="O66" i="17"/>
  <c r="AE3" i="17"/>
  <c r="AB15" i="17"/>
  <c r="AC23" i="17"/>
  <c r="AF5" i="17"/>
  <c r="AE29" i="17"/>
  <c r="AC12" i="17"/>
  <c r="AF18" i="17"/>
  <c r="AF61" i="17"/>
  <c r="AQ61" i="17"/>
  <c r="AZ44" i="17"/>
  <c r="BK44" i="17"/>
  <c r="AW66" i="17"/>
  <c r="BH66" i="17"/>
  <c r="BD67" i="17"/>
  <c r="BO67" i="17"/>
  <c r="AZ8" i="17"/>
  <c r="AZ10" i="17"/>
  <c r="BA25" i="17"/>
  <c r="BD9" i="17"/>
  <c r="BO9" i="17"/>
  <c r="BD16" i="17"/>
  <c r="BA12" i="17"/>
  <c r="J34" i="17"/>
  <c r="R34" i="17"/>
  <c r="V45" i="17"/>
  <c r="H49" i="17"/>
  <c r="P49" i="17"/>
  <c r="H50" i="17"/>
  <c r="P50" i="17"/>
  <c r="G51" i="17"/>
  <c r="O51" i="17"/>
  <c r="Z51" i="17"/>
  <c r="AK51" i="17"/>
  <c r="Z52" i="17"/>
  <c r="AK52" i="17"/>
  <c r="Z66" i="17"/>
  <c r="AK66" i="17"/>
  <c r="H74" i="17"/>
  <c r="P74" i="17"/>
  <c r="AB4" i="17"/>
  <c r="AB8" i="17"/>
  <c r="AM8" i="17"/>
  <c r="AC25" i="17"/>
  <c r="AB17" i="17"/>
  <c r="AW52" i="17"/>
  <c r="BH52" i="17"/>
  <c r="BD53" i="17"/>
  <c r="BO53" i="17"/>
  <c r="AX56" i="17"/>
  <c r="BI56" i="17"/>
  <c r="BC29" i="17"/>
  <c r="AT45" i="17"/>
  <c r="G31" i="17"/>
  <c r="AR30" i="17"/>
  <c r="AR35" i="17"/>
  <c r="BI8" i="17"/>
  <c r="AX41" i="17"/>
  <c r="BI41" i="17"/>
  <c r="BI28" i="17"/>
  <c r="AX43" i="17"/>
  <c r="BI43" i="17"/>
  <c r="BI10" i="17"/>
  <c r="AX46" i="17"/>
  <c r="AW71" i="17"/>
  <c r="BH71" i="17"/>
  <c r="AW57" i="17"/>
  <c r="BH57" i="17"/>
  <c r="BE25" i="17"/>
  <c r="AT50" i="17"/>
  <c r="BE50" i="17"/>
  <c r="AT64" i="17"/>
  <c r="BE64" i="17"/>
  <c r="BE9" i="17"/>
  <c r="AT68" i="17"/>
  <c r="BE68" i="17"/>
  <c r="AL27" i="17"/>
  <c r="BI21" i="17"/>
  <c r="AX65" i="17"/>
  <c r="BI65" i="17"/>
  <c r="AX51" i="17"/>
  <c r="BI51" i="17"/>
  <c r="BD68" i="17"/>
  <c r="BO68" i="17"/>
  <c r="BD54" i="17"/>
  <c r="BO54" i="17"/>
  <c r="BD74" i="17"/>
  <c r="BO74" i="17"/>
  <c r="BD60" i="17"/>
  <c r="BO60" i="17"/>
  <c r="AX75" i="17"/>
  <c r="BI75" i="17"/>
  <c r="AX61" i="17"/>
  <c r="BI61" i="17"/>
  <c r="I31" i="17"/>
  <c r="F45" i="17"/>
  <c r="D46" i="17"/>
  <c r="L46" i="17"/>
  <c r="BO14" i="17"/>
  <c r="BD34" i="17"/>
  <c r="BO34" i="17"/>
  <c r="BN24" i="17"/>
  <c r="BC69" i="17"/>
  <c r="BN69" i="17"/>
  <c r="BC55" i="17"/>
  <c r="BN55" i="17"/>
  <c r="Z45" i="17"/>
  <c r="AL29" i="17"/>
  <c r="AA71" i="17"/>
  <c r="AL71" i="17"/>
  <c r="BK3" i="17"/>
  <c r="AZ32" i="17"/>
  <c r="BK32" i="17"/>
  <c r="BH15" i="17"/>
  <c r="AW44" i="17"/>
  <c r="BH44" i="17"/>
  <c r="BM24" i="17"/>
  <c r="BB69" i="17"/>
  <c r="BM69" i="17"/>
  <c r="BB55" i="17"/>
  <c r="BM55" i="17"/>
  <c r="BK7" i="17"/>
  <c r="AZ73" i="17"/>
  <c r="BK73" i="17"/>
  <c r="AZ59" i="17"/>
  <c r="BK59" i="17"/>
  <c r="P2" i="17"/>
  <c r="BA2" i="17"/>
  <c r="AC2" i="17"/>
  <c r="R4" i="17"/>
  <c r="BC4" i="17"/>
  <c r="AE4" i="17"/>
  <c r="N5" i="17"/>
  <c r="AA5" i="17"/>
  <c r="BF5" i="17"/>
  <c r="AU67" i="17"/>
  <c r="BF67" i="17"/>
  <c r="R6" i="17"/>
  <c r="AE6" i="17"/>
  <c r="M7" i="17"/>
  <c r="T7" i="17"/>
  <c r="Z7" i="17"/>
  <c r="AX7" i="17"/>
  <c r="N9" i="17"/>
  <c r="AY9" i="17"/>
  <c r="AA9" i="17"/>
  <c r="R10" i="17"/>
  <c r="AE10" i="17"/>
  <c r="O11" i="17"/>
  <c r="AZ11" i="17"/>
  <c r="AB11" i="17"/>
  <c r="AV39" i="17"/>
  <c r="BG39" i="17"/>
  <c r="BG11" i="17"/>
  <c r="S12" i="17"/>
  <c r="AF12" i="17"/>
  <c r="K74" i="17"/>
  <c r="S74" i="17"/>
  <c r="P13" i="17"/>
  <c r="BA13" i="17"/>
  <c r="AC13" i="17"/>
  <c r="R15" i="17"/>
  <c r="AE15" i="17"/>
  <c r="R17" i="17"/>
  <c r="BC17" i="17"/>
  <c r="AE17" i="17"/>
  <c r="N18" i="17"/>
  <c r="T18" i="17"/>
  <c r="AY18" i="17"/>
  <c r="AA18" i="17"/>
  <c r="F75" i="17"/>
  <c r="N75" i="17"/>
  <c r="S19" i="17"/>
  <c r="AF19" i="17"/>
  <c r="BD19" i="17"/>
  <c r="O20" i="17"/>
  <c r="AB20" i="17"/>
  <c r="AZ20" i="17"/>
  <c r="AU70" i="17"/>
  <c r="BF70" i="17"/>
  <c r="AU56" i="17"/>
  <c r="BF56" i="17"/>
  <c r="R21" i="17"/>
  <c r="AE21" i="17"/>
  <c r="O22" i="17"/>
  <c r="AB22" i="17"/>
  <c r="AZ22" i="17"/>
  <c r="AV37" i="17"/>
  <c r="BG37" i="17"/>
  <c r="BG22" i="17"/>
  <c r="O24" i="17"/>
  <c r="AZ24" i="17"/>
  <c r="P26" i="17"/>
  <c r="BA26" i="17"/>
  <c r="BT26" i="17"/>
  <c r="BT36" i="17"/>
  <c r="BR36" i="17"/>
  <c r="Q28" i="17"/>
  <c r="AD28" i="17"/>
  <c r="BB28" i="17"/>
  <c r="M29" i="17"/>
  <c r="AX29" i="17"/>
  <c r="P30" i="17"/>
  <c r="BA30" i="17"/>
  <c r="BT12" i="17"/>
  <c r="BS74" i="17"/>
  <c r="BT20" i="17"/>
  <c r="BS70" i="17"/>
  <c r="BS56" i="17"/>
  <c r="BS55" i="17"/>
  <c r="BS69" i="17"/>
  <c r="BT28" i="17"/>
  <c r="BT43" i="17"/>
  <c r="BS43" i="17"/>
  <c r="E41" i="17"/>
  <c r="M41" i="17"/>
  <c r="M8" i="17"/>
  <c r="Y31" i="17"/>
  <c r="I45" i="17"/>
  <c r="BK23" i="17"/>
  <c r="AZ49" i="17"/>
  <c r="BK49" i="17"/>
  <c r="BC65" i="17"/>
  <c r="BN65" i="17"/>
  <c r="BC51" i="17"/>
  <c r="BN51" i="17"/>
  <c r="AY67" i="17"/>
  <c r="BJ67" i="17"/>
  <c r="AY53" i="17"/>
  <c r="BJ53" i="17"/>
  <c r="Q2" i="17"/>
  <c r="BB2" i="17"/>
  <c r="AD2" i="17"/>
  <c r="N3" i="17"/>
  <c r="AA3" i="17"/>
  <c r="AY3" i="17"/>
  <c r="AU32" i="17"/>
  <c r="BF32" i="17"/>
  <c r="BF3" i="17"/>
  <c r="S4" i="17"/>
  <c r="AF4" i="17"/>
  <c r="BD4" i="17"/>
  <c r="O5" i="17"/>
  <c r="AZ5" i="17"/>
  <c r="AB5" i="17"/>
  <c r="AU59" i="17"/>
  <c r="BF59" i="17"/>
  <c r="BF7" i="17"/>
  <c r="S8" i="17"/>
  <c r="AF8" i="17"/>
  <c r="AQ8" i="17"/>
  <c r="BD8" i="17"/>
  <c r="O9" i="17"/>
  <c r="AB9" i="17"/>
  <c r="AZ9" i="17"/>
  <c r="BK9" i="17"/>
  <c r="BG9" i="17"/>
  <c r="AV54" i="17"/>
  <c r="BG54" i="17"/>
  <c r="AF10" i="17"/>
  <c r="S10" i="17"/>
  <c r="P11" i="17"/>
  <c r="BA11" i="17"/>
  <c r="V74" i="17"/>
  <c r="AG74" i="17"/>
  <c r="AG12" i="17"/>
  <c r="BB13" i="17"/>
  <c r="Q13" i="17"/>
  <c r="AD13" i="17"/>
  <c r="N14" i="17"/>
  <c r="AY14" i="17"/>
  <c r="AA14" i="17"/>
  <c r="O16" i="17"/>
  <c r="AB16" i="17"/>
  <c r="AZ16" i="17"/>
  <c r="G72" i="17"/>
  <c r="O72" i="17"/>
  <c r="BG16" i="17"/>
  <c r="AV72" i="17"/>
  <c r="BG72" i="17"/>
  <c r="AV58" i="17"/>
  <c r="BG58" i="17"/>
  <c r="S17" i="17"/>
  <c r="BD17" i="17"/>
  <c r="AF17" i="17"/>
  <c r="O18" i="17"/>
  <c r="G75" i="17"/>
  <c r="O75" i="17"/>
  <c r="BG18" i="17"/>
  <c r="AV75" i="17"/>
  <c r="BG75" i="17"/>
  <c r="AV61" i="17"/>
  <c r="BG61" i="17"/>
  <c r="P20" i="17"/>
  <c r="AC20" i="17"/>
  <c r="BA20" i="17"/>
  <c r="BL20" i="17"/>
  <c r="AV70" i="17"/>
  <c r="BG70" i="17"/>
  <c r="AV56" i="17"/>
  <c r="BG56" i="17"/>
  <c r="S21" i="17"/>
  <c r="BD21" i="17"/>
  <c r="AF21" i="17"/>
  <c r="P22" i="17"/>
  <c r="BA22" i="17"/>
  <c r="AC22" i="17"/>
  <c r="BT24" i="17"/>
  <c r="BR55" i="17"/>
  <c r="BR69" i="17"/>
  <c r="Q26" i="17"/>
  <c r="AD26" i="17"/>
  <c r="BB26" i="17"/>
  <c r="M27" i="17"/>
  <c r="AX27" i="17"/>
  <c r="Z27" i="17"/>
  <c r="E76" i="17"/>
  <c r="M76" i="17"/>
  <c r="R28" i="17"/>
  <c r="AE28" i="17"/>
  <c r="BC28" i="17"/>
  <c r="N29" i="17"/>
  <c r="AY29" i="17"/>
  <c r="AU71" i="17"/>
  <c r="BF71" i="17"/>
  <c r="AU57" i="17"/>
  <c r="BF57" i="17"/>
  <c r="BF29" i="17"/>
  <c r="M4" i="17"/>
  <c r="T4" i="17"/>
  <c r="Z4" i="17"/>
  <c r="E32" i="17"/>
  <c r="M32" i="17"/>
  <c r="AX3" i="17"/>
  <c r="AT41" i="17"/>
  <c r="BE41" i="17"/>
  <c r="D73" i="17"/>
  <c r="L73" i="17"/>
  <c r="AN18" i="17"/>
  <c r="AC75" i="17"/>
  <c r="AN75" i="17"/>
  <c r="BJ23" i="17"/>
  <c r="AY49" i="17"/>
  <c r="BJ49" i="17"/>
  <c r="BI25" i="17"/>
  <c r="AX64" i="17"/>
  <c r="BI64" i="17"/>
  <c r="AX50" i="17"/>
  <c r="BI50" i="17"/>
  <c r="AW76" i="17"/>
  <c r="BH76" i="17"/>
  <c r="AW62" i="17"/>
  <c r="BH62" i="17"/>
  <c r="V31" i="17"/>
  <c r="BI6" i="17"/>
  <c r="BL17" i="17"/>
  <c r="BA66" i="17"/>
  <c r="BL66" i="17"/>
  <c r="BA52" i="17"/>
  <c r="BL52" i="17"/>
  <c r="BI12" i="17"/>
  <c r="AX74" i="17"/>
  <c r="BI74" i="17"/>
  <c r="AX60" i="17"/>
  <c r="BI60" i="17"/>
  <c r="AT31" i="17"/>
  <c r="F31" i="17"/>
  <c r="W31" i="17"/>
  <c r="BO11" i="17"/>
  <c r="BD39" i="17"/>
  <c r="BO39" i="17"/>
  <c r="BH24" i="17"/>
  <c r="AW69" i="17"/>
  <c r="BH69" i="17"/>
  <c r="AW55" i="17"/>
  <c r="BH55" i="17"/>
  <c r="BH29" i="17"/>
  <c r="BH12" i="17"/>
  <c r="AW74" i="17"/>
  <c r="BH74" i="17"/>
  <c r="AW60" i="17"/>
  <c r="BH60" i="17"/>
  <c r="D74" i="17"/>
  <c r="L74" i="17"/>
  <c r="BR45" i="17"/>
  <c r="D75" i="17"/>
  <c r="L75" i="17"/>
  <c r="BT45" i="17"/>
  <c r="BE46" i="17"/>
  <c r="AH32" i="17"/>
  <c r="AB41" i="17"/>
  <c r="AM41" i="17"/>
  <c r="K45" i="17"/>
  <c r="AM18" i="17"/>
  <c r="AB75" i="17"/>
  <c r="AM75" i="17"/>
  <c r="AB61" i="17"/>
  <c r="AM61" i="17"/>
  <c r="BK26" i="17"/>
  <c r="AZ36" i="17"/>
  <c r="BK36" i="17"/>
  <c r="AH46" i="17"/>
  <c r="AG32" i="17"/>
  <c r="K31" i="17"/>
  <c r="D33" i="17"/>
  <c r="L33" i="17"/>
  <c r="D35" i="17"/>
  <c r="L35" i="17"/>
  <c r="AC35" i="17"/>
  <c r="AN35" i="17"/>
  <c r="D37" i="17"/>
  <c r="L37" i="17"/>
  <c r="D39" i="17"/>
  <c r="L39" i="17"/>
  <c r="D41" i="17"/>
  <c r="L41" i="17"/>
  <c r="D43" i="17"/>
  <c r="L43" i="17"/>
  <c r="D47" i="17"/>
  <c r="L47" i="17"/>
  <c r="D49" i="17"/>
  <c r="AN21" i="17"/>
  <c r="AC65" i="17"/>
  <c r="AN65" i="17"/>
  <c r="AL24" i="17"/>
  <c r="AA69" i="17"/>
  <c r="AL69" i="17"/>
  <c r="AA55" i="17"/>
  <c r="AL55" i="17"/>
  <c r="E45" i="17"/>
  <c r="N65" i="17"/>
  <c r="BJ13" i="17"/>
  <c r="AY33" i="17"/>
  <c r="BJ33" i="17"/>
  <c r="BL2" i="17"/>
  <c r="BA38" i="17"/>
  <c r="BL38" i="17"/>
  <c r="AK5" i="17"/>
  <c r="Z67" i="17"/>
  <c r="Z53" i="17"/>
  <c r="AK53" i="17"/>
  <c r="AK47" i="17"/>
  <c r="AO5" i="17"/>
  <c r="AD53" i="17"/>
  <c r="AO53" i="17"/>
  <c r="AL7" i="17"/>
  <c r="AA59" i="17"/>
  <c r="AL59" i="17"/>
  <c r="AA73" i="17"/>
  <c r="AL73" i="17"/>
  <c r="AQ18" i="17"/>
  <c r="AF75" i="17"/>
  <c r="AQ75" i="17"/>
  <c r="BO30" i="17"/>
  <c r="BD35" i="17"/>
  <c r="BO35" i="17"/>
  <c r="BI15" i="17"/>
  <c r="AX44" i="17"/>
  <c r="BI44" i="17"/>
  <c r="BA56" i="17"/>
  <c r="BL56" i="17"/>
  <c r="BA70" i="17"/>
  <c r="BL70" i="17"/>
  <c r="BH18" i="17"/>
  <c r="AW61" i="17"/>
  <c r="BH61" i="17"/>
  <c r="AW75" i="17"/>
  <c r="BH75" i="17"/>
  <c r="AF41" i="17"/>
  <c r="L25" i="17"/>
  <c r="D64" i="17"/>
  <c r="S64" i="17"/>
  <c r="AP24" i="17"/>
  <c r="AE55" i="17"/>
  <c r="AE69" i="17"/>
  <c r="AP69" i="17"/>
  <c r="BH22" i="17"/>
  <c r="AW37" i="17"/>
  <c r="BO15" i="17"/>
  <c r="BD44" i="17"/>
  <c r="BO44" i="17"/>
  <c r="D32" i="17"/>
  <c r="D34" i="17"/>
  <c r="L34" i="17"/>
  <c r="D36" i="17"/>
  <c r="L36" i="17"/>
  <c r="D38" i="17"/>
  <c r="L38" i="17"/>
  <c r="D40" i="17"/>
  <c r="L40" i="17"/>
  <c r="D42" i="17"/>
  <c r="L42" i="17"/>
  <c r="D44" i="17"/>
  <c r="L44" i="17"/>
  <c r="H45" i="17"/>
  <c r="L16" i="17"/>
  <c r="D72" i="17"/>
  <c r="L72" i="17"/>
  <c r="D58" i="17"/>
  <c r="L58" i="17"/>
  <c r="BN13" i="17"/>
  <c r="BC33" i="17"/>
  <c r="BN33" i="17"/>
  <c r="AZ54" i="17"/>
  <c r="BK54" i="17"/>
  <c r="AZ68" i="17"/>
  <c r="BK68" i="17"/>
  <c r="BT68" i="17"/>
  <c r="BT54" i="17"/>
  <c r="Q66" i="17"/>
  <c r="Y49" i="17"/>
  <c r="D50" i="17"/>
  <c r="L50" i="17"/>
  <c r="AJ21" i="17"/>
  <c r="Y51" i="17"/>
  <c r="AJ51" i="17"/>
  <c r="Y65" i="17"/>
  <c r="AP7" i="17"/>
  <c r="AE73" i="17"/>
  <c r="AP73" i="17"/>
  <c r="AE59" i="17"/>
  <c r="AP59" i="17"/>
  <c r="BH28" i="17"/>
  <c r="AW43" i="17"/>
  <c r="BH43" i="17"/>
  <c r="BN6" i="17"/>
  <c r="BC47" i="17"/>
  <c r="BN47" i="17"/>
  <c r="BK25" i="17"/>
  <c r="AZ50" i="17"/>
  <c r="BK50" i="17"/>
  <c r="AZ64" i="17"/>
  <c r="Q3" i="17"/>
  <c r="AD3" i="17"/>
  <c r="BB3" i="17"/>
  <c r="BR32" i="17"/>
  <c r="BR31" i="17"/>
  <c r="BT3" i="17"/>
  <c r="BT32" i="17"/>
  <c r="P5" i="17"/>
  <c r="BA5" i="17"/>
  <c r="H67" i="17"/>
  <c r="H53" i="17"/>
  <c r="P53" i="17"/>
  <c r="AC5" i="17"/>
  <c r="BG5" i="17"/>
  <c r="AV53" i="17"/>
  <c r="AV67" i="17"/>
  <c r="S6" i="17"/>
  <c r="T6" i="17"/>
  <c r="BD6" i="17"/>
  <c r="AF6" i="17"/>
  <c r="N7" i="17"/>
  <c r="AY7" i="17"/>
  <c r="F73" i="17"/>
  <c r="N73" i="17"/>
  <c r="F59" i="17"/>
  <c r="N59" i="17"/>
  <c r="BE7" i="17"/>
  <c r="AT59" i="17"/>
  <c r="BE59" i="17"/>
  <c r="R8" i="17"/>
  <c r="BC8" i="17"/>
  <c r="AE8" i="17"/>
  <c r="M9" i="17"/>
  <c r="AX9" i="17"/>
  <c r="E68" i="17"/>
  <c r="M68" i="17"/>
  <c r="Z9" i="17"/>
  <c r="E54" i="17"/>
  <c r="W68" i="17"/>
  <c r="AH68" i="17"/>
  <c r="W54" i="17"/>
  <c r="AH9" i="17"/>
  <c r="P10" i="17"/>
  <c r="T10" i="17"/>
  <c r="BA10" i="17"/>
  <c r="AC10" i="17"/>
  <c r="BG10" i="17"/>
  <c r="AV46" i="17"/>
  <c r="O12" i="17"/>
  <c r="AZ12" i="17"/>
  <c r="G60" i="17"/>
  <c r="O60" i="17"/>
  <c r="G74" i="17"/>
  <c r="AB12" i="17"/>
  <c r="AU60" i="17"/>
  <c r="BF60" i="17"/>
  <c r="BF12" i="17"/>
  <c r="AU74" i="17"/>
  <c r="S13" i="17"/>
  <c r="BD13" i="17"/>
  <c r="O14" i="17"/>
  <c r="AZ14" i="17"/>
  <c r="AB14" i="17"/>
  <c r="BF14" i="17"/>
  <c r="AU34" i="17"/>
  <c r="S15" i="17"/>
  <c r="T15" i="17"/>
  <c r="AF15" i="17"/>
  <c r="N16" i="17"/>
  <c r="AY16" i="17"/>
  <c r="AA16" i="17"/>
  <c r="F72" i="17"/>
  <c r="N72" i="17"/>
  <c r="AT58" i="17"/>
  <c r="BE58" i="17"/>
  <c r="BE16" i="17"/>
  <c r="AT72" i="17"/>
  <c r="BE72" i="17"/>
  <c r="BB17" i="17"/>
  <c r="Q17" i="17"/>
  <c r="AD17" i="17"/>
  <c r="BT17" i="17"/>
  <c r="BR52" i="17"/>
  <c r="BR66" i="17"/>
  <c r="V75" i="17"/>
  <c r="AG75" i="17"/>
  <c r="V61" i="17"/>
  <c r="AG18" i="17"/>
  <c r="P19" i="17"/>
  <c r="BA19" i="17"/>
  <c r="AC19" i="17"/>
  <c r="BG19" i="17"/>
  <c r="AV42" i="17"/>
  <c r="BD20" i="17"/>
  <c r="S20" i="17"/>
  <c r="K56" i="17"/>
  <c r="S56" i="17"/>
  <c r="K70" i="17"/>
  <c r="S70" i="17"/>
  <c r="AF20" i="17"/>
  <c r="N21" i="17"/>
  <c r="AY21" i="17"/>
  <c r="AA21" i="17"/>
  <c r="F51" i="17"/>
  <c r="N51" i="17"/>
  <c r="BE21" i="17"/>
  <c r="AT51" i="17"/>
  <c r="AT65" i="17"/>
  <c r="BE65" i="17"/>
  <c r="R22" i="17"/>
  <c r="T22" i="17"/>
  <c r="BC22" i="17"/>
  <c r="AE22" i="17"/>
  <c r="M23" i="17"/>
  <c r="T23" i="17"/>
  <c r="AX23" i="17"/>
  <c r="Z23" i="17"/>
  <c r="P24" i="17"/>
  <c r="BA24" i="17"/>
  <c r="H69" i="17"/>
  <c r="P69" i="17"/>
  <c r="AC24" i="17"/>
  <c r="AV69" i="17"/>
  <c r="BG69" i="17"/>
  <c r="BG24" i="17"/>
  <c r="S25" i="17"/>
  <c r="AF25" i="17"/>
  <c r="BD25" i="17"/>
  <c r="O26" i="17"/>
  <c r="AB26" i="17"/>
  <c r="AU36" i="17"/>
  <c r="BF36" i="17"/>
  <c r="BF26" i="17"/>
  <c r="R27" i="17"/>
  <c r="T27" i="17"/>
  <c r="BC27" i="17"/>
  <c r="AE27" i="17"/>
  <c r="J76" i="17"/>
  <c r="R76" i="17"/>
  <c r="N28" i="17"/>
  <c r="AY28" i="17"/>
  <c r="AA28" i="17"/>
  <c r="BE43" i="17"/>
  <c r="BE28" i="17"/>
  <c r="Q29" i="17"/>
  <c r="T29" i="17"/>
  <c r="BB29" i="17"/>
  <c r="AD29" i="17"/>
  <c r="I71" i="17"/>
  <c r="Q71" i="17"/>
  <c r="BR57" i="17"/>
  <c r="BT29" i="17"/>
  <c r="BR71" i="17"/>
  <c r="BE30" i="17"/>
  <c r="BS67" i="17"/>
  <c r="BS53" i="17"/>
  <c r="BT5" i="17"/>
  <c r="BS68" i="17"/>
  <c r="BS54" i="17"/>
  <c r="BT13" i="17"/>
  <c r="BT33" i="17"/>
  <c r="BS33" i="17"/>
  <c r="BS52" i="17"/>
  <c r="BS66" i="17"/>
  <c r="BS51" i="17"/>
  <c r="BS65" i="17"/>
  <c r="BS50" i="17"/>
  <c r="BT25" i="17"/>
  <c r="BS64" i="17"/>
  <c r="BS57" i="17"/>
  <c r="BS71" i="17"/>
  <c r="T12" i="17"/>
  <c r="M2" i="17"/>
  <c r="T2" i="17"/>
  <c r="AX2" i="17"/>
  <c r="E38" i="17"/>
  <c r="M38" i="17"/>
  <c r="T17" i="17"/>
  <c r="D71" i="17"/>
  <c r="L71" i="17"/>
  <c r="D76" i="17"/>
  <c r="L76" i="17"/>
  <c r="J63" i="17"/>
  <c r="X63" i="17"/>
  <c r="BT21" i="17"/>
  <c r="D65" i="17"/>
  <c r="L65" i="17"/>
  <c r="T9" i="17"/>
  <c r="T21" i="17"/>
  <c r="AX19" i="17"/>
  <c r="M19" i="17"/>
  <c r="T19" i="17"/>
  <c r="E42" i="17"/>
  <c r="M42" i="17"/>
  <c r="M14" i="17"/>
  <c r="E34" i="17"/>
  <c r="M34" i="17"/>
  <c r="D67" i="17"/>
  <c r="L67" i="17"/>
  <c r="T20" i="17"/>
  <c r="AY20" i="17"/>
  <c r="M11" i="17"/>
  <c r="S5" i="17"/>
  <c r="M3" i="17"/>
  <c r="T3" i="17"/>
  <c r="BR59" i="17"/>
  <c r="BA9" i="17"/>
  <c r="BR72" i="17"/>
  <c r="E37" i="17"/>
  <c r="M37" i="17"/>
  <c r="E33" i="17"/>
  <c r="M30" i="17"/>
  <c r="T30" i="17"/>
  <c r="BR65" i="17"/>
  <c r="BR73" i="17"/>
  <c r="AZ18" i="17"/>
  <c r="BF18" i="17"/>
  <c r="M26" i="17"/>
  <c r="T26" i="17"/>
  <c r="Q7" i="17"/>
  <c r="E44" i="17"/>
  <c r="M44" i="17"/>
  <c r="E40" i="17"/>
  <c r="M40" i="17"/>
  <c r="BT16" i="17"/>
  <c r="AU75" i="17"/>
  <c r="BF75" i="17"/>
  <c r="M28" i="17"/>
  <c r="AQ16" i="17"/>
  <c r="BA4" i="17"/>
  <c r="AY15" i="17"/>
  <c r="S16" i="17"/>
  <c r="J50" i="4"/>
  <c r="BC51" i="29"/>
  <c r="BC31" i="29"/>
  <c r="CA31" i="29"/>
  <c r="BC52" i="29"/>
  <c r="CA63" i="29"/>
  <c r="BD31" i="29"/>
  <c r="BC53" i="29"/>
  <c r="BC68" i="29"/>
  <c r="BU31" i="29"/>
  <c r="BC69" i="29"/>
  <c r="BC48" i="29"/>
  <c r="BC63" i="29"/>
  <c r="AD61" i="18"/>
  <c r="CU31" i="30"/>
  <c r="AD48" i="30"/>
  <c r="AC49" i="30"/>
  <c r="AD63" i="30"/>
  <c r="AC35" i="30"/>
  <c r="CC45" i="30"/>
  <c r="CC47" i="30"/>
  <c r="CC52" i="30"/>
  <c r="AC45" i="30"/>
  <c r="AC47" i="30"/>
  <c r="AC52" i="30"/>
  <c r="CD31" i="30"/>
  <c r="CC52" i="31"/>
  <c r="CC45" i="31"/>
  <c r="CC47" i="31"/>
  <c r="BA63" i="31"/>
  <c r="CD31" i="31"/>
  <c r="CC33" i="31"/>
  <c r="CC49" i="31"/>
  <c r="CC65" i="31"/>
  <c r="CC31" i="31"/>
  <c r="CC63" i="31"/>
  <c r="CC48" i="31"/>
  <c r="BY38" i="18"/>
  <c r="CC65" i="30"/>
  <c r="CC31" i="30"/>
  <c r="CC63" i="30"/>
  <c r="BY34" i="18"/>
  <c r="BY51" i="18"/>
  <c r="AD36" i="18"/>
  <c r="AD64" i="18"/>
  <c r="AD34" i="18"/>
  <c r="AD42" i="18"/>
  <c r="AD33" i="18"/>
  <c r="AD69" i="18"/>
  <c r="AD43" i="18"/>
  <c r="AD35" i="18"/>
  <c r="AD44" i="18"/>
  <c r="AD72" i="18"/>
  <c r="AC31" i="30"/>
  <c r="AC63" i="30"/>
  <c r="AC33" i="31"/>
  <c r="AC45" i="31"/>
  <c r="AC49" i="31"/>
  <c r="AC65" i="31"/>
  <c r="AU45" i="31"/>
  <c r="AC31" i="31"/>
  <c r="AC63" i="31"/>
  <c r="AC48" i="31"/>
  <c r="CC33" i="43"/>
  <c r="CC49" i="43"/>
  <c r="CC65" i="43"/>
  <c r="CC31" i="43"/>
  <c r="CC63" i="43"/>
  <c r="CC48" i="43"/>
  <c r="AC45" i="43"/>
  <c r="AD45" i="43"/>
  <c r="AC31" i="43"/>
  <c r="AC51" i="43"/>
  <c r="AC63" i="43"/>
  <c r="BD45" i="41"/>
  <c r="BC34" i="41"/>
  <c r="BC63" i="41"/>
  <c r="BD63" i="41"/>
  <c r="BC48" i="41"/>
  <c r="CC31" i="42"/>
  <c r="CC63" i="42"/>
  <c r="CU63" i="42"/>
  <c r="AC31" i="42"/>
  <c r="BO63" i="42"/>
  <c r="BS63" i="42"/>
  <c r="BK48" i="42"/>
  <c r="BE31" i="42"/>
  <c r="BM31" i="42"/>
  <c r="BU31" i="42"/>
  <c r="BG45" i="42"/>
  <c r="BO45" i="42"/>
  <c r="BW45" i="42"/>
  <c r="BE48" i="42"/>
  <c r="BM48" i="42"/>
  <c r="BU48" i="42"/>
  <c r="BG63" i="42"/>
  <c r="BZ63" i="42"/>
  <c r="CA63" i="42"/>
  <c r="BJ63" i="42"/>
  <c r="BW63" i="42"/>
  <c r="BK63" i="42"/>
  <c r="BD63" i="42"/>
  <c r="BL63" i="42"/>
  <c r="BT63" i="42"/>
  <c r="CB63" i="42"/>
  <c r="Q31" i="42"/>
  <c r="F54" i="42"/>
  <c r="F68" i="42"/>
  <c r="S68" i="42"/>
  <c r="S54" i="42"/>
  <c r="S70" i="42"/>
  <c r="S56" i="42"/>
  <c r="C16" i="42"/>
  <c r="D58" i="42"/>
  <c r="C10" i="42"/>
  <c r="D46" i="42"/>
  <c r="D42" i="42"/>
  <c r="C19" i="42"/>
  <c r="U39" i="42"/>
  <c r="AC39" i="42"/>
  <c r="C11" i="42"/>
  <c r="Z45" i="42"/>
  <c r="R31" i="42"/>
  <c r="U47" i="42"/>
  <c r="C6" i="42"/>
  <c r="S50" i="42"/>
  <c r="CC4" i="42"/>
  <c r="C28" i="42"/>
  <c r="E73" i="42"/>
  <c r="E59" i="42"/>
  <c r="C75" i="42"/>
  <c r="C61" i="42"/>
  <c r="AB75" i="42"/>
  <c r="AB61" i="42"/>
  <c r="Y31" i="42"/>
  <c r="C30" i="42"/>
  <c r="K45" i="42"/>
  <c r="O74" i="42"/>
  <c r="O60" i="42"/>
  <c r="Z67" i="42"/>
  <c r="Z53" i="42"/>
  <c r="S61" i="42"/>
  <c r="S75" i="42"/>
  <c r="Z31" i="42"/>
  <c r="Y56" i="42"/>
  <c r="H67" i="42"/>
  <c r="H53" i="42"/>
  <c r="AC51" i="42"/>
  <c r="L57" i="42"/>
  <c r="M69" i="42"/>
  <c r="M55" i="42"/>
  <c r="R71" i="42"/>
  <c r="R57" i="42"/>
  <c r="N58" i="42"/>
  <c r="N72" i="42"/>
  <c r="I75" i="42"/>
  <c r="I61" i="42"/>
  <c r="R62" i="42"/>
  <c r="R76" i="42"/>
  <c r="AC35" i="42"/>
  <c r="AB66" i="42"/>
  <c r="AB52" i="42"/>
  <c r="Y68" i="42"/>
  <c r="Y54" i="42"/>
  <c r="F57" i="42"/>
  <c r="F71" i="42"/>
  <c r="O59" i="42"/>
  <c r="O73" i="42"/>
  <c r="M62" i="42"/>
  <c r="M76" i="42"/>
  <c r="M63" i="42"/>
  <c r="C21" i="42"/>
  <c r="C65" i="42"/>
  <c r="C67" i="42"/>
  <c r="C27" i="42"/>
  <c r="BC8" i="42"/>
  <c r="BC14" i="42"/>
  <c r="BC20" i="42"/>
  <c r="C7" i="42"/>
  <c r="BC30" i="42"/>
  <c r="BC19" i="42"/>
  <c r="BC16" i="42"/>
  <c r="CC14" i="42"/>
  <c r="CC22" i="42"/>
  <c r="CC18" i="42"/>
  <c r="AC2" i="42"/>
  <c r="D36" i="42"/>
  <c r="AC36" i="42"/>
  <c r="C26" i="42"/>
  <c r="C46" i="42"/>
  <c r="AC47" i="42"/>
  <c r="G31" i="42"/>
  <c r="M31" i="42"/>
  <c r="C35" i="42"/>
  <c r="AB54" i="42"/>
  <c r="AB68" i="42"/>
  <c r="C9" i="42"/>
  <c r="P76" i="42"/>
  <c r="P62" i="42"/>
  <c r="I31" i="42"/>
  <c r="AA33" i="42"/>
  <c r="C13" i="42"/>
  <c r="X67" i="42"/>
  <c r="X53" i="42"/>
  <c r="U31" i="42"/>
  <c r="AB31" i="42"/>
  <c r="K31" i="42"/>
  <c r="P31" i="42"/>
  <c r="W31" i="42"/>
  <c r="E31" i="42"/>
  <c r="AC33" i="42"/>
  <c r="AC60" i="42"/>
  <c r="AC75" i="42"/>
  <c r="AC61" i="42"/>
  <c r="F31" i="42"/>
  <c r="V31" i="42"/>
  <c r="D69" i="42"/>
  <c r="C24" i="42"/>
  <c r="D55" i="42"/>
  <c r="K69" i="42"/>
  <c r="K55" i="42"/>
  <c r="J70" i="42"/>
  <c r="J56" i="42"/>
  <c r="Q70" i="42"/>
  <c r="Q56" i="42"/>
  <c r="C57" i="42"/>
  <c r="H60" i="42"/>
  <c r="H74" i="42"/>
  <c r="AC41" i="42"/>
  <c r="AC42" i="42"/>
  <c r="AC58" i="42"/>
  <c r="AC34" i="42"/>
  <c r="C51" i="42"/>
  <c r="BC6" i="42"/>
  <c r="AC59" i="42"/>
  <c r="AC73" i="42"/>
  <c r="H31" i="42"/>
  <c r="S31" i="42"/>
  <c r="X31" i="42"/>
  <c r="U38" i="42"/>
  <c r="C2" i="42"/>
  <c r="L54" i="42"/>
  <c r="L68" i="42"/>
  <c r="I72" i="42"/>
  <c r="I58" i="42"/>
  <c r="N61" i="42"/>
  <c r="N75" i="42"/>
  <c r="BC15" i="42"/>
  <c r="AC53" i="42"/>
  <c r="N31" i="42"/>
  <c r="AC37" i="42"/>
  <c r="AC38" i="42"/>
  <c r="AC66" i="42"/>
  <c r="AC62" i="42"/>
  <c r="O31" i="42"/>
  <c r="T31" i="42"/>
  <c r="C39" i="42"/>
  <c r="D40" i="42"/>
  <c r="AC40" i="42"/>
  <c r="C4" i="42"/>
  <c r="M48" i="42"/>
  <c r="AC64" i="42"/>
  <c r="Q63" i="42"/>
  <c r="AC70" i="42"/>
  <c r="AC57" i="42"/>
  <c r="C43" i="42"/>
  <c r="H45" i="42"/>
  <c r="M45" i="42"/>
  <c r="X45" i="42"/>
  <c r="Q48" i="42"/>
  <c r="BC11" i="42"/>
  <c r="C8" i="42"/>
  <c r="N45" i="42"/>
  <c r="O56" i="42"/>
  <c r="E68" i="42"/>
  <c r="E54" i="42"/>
  <c r="AB48" i="42"/>
  <c r="T63" i="42"/>
  <c r="R55" i="42"/>
  <c r="R69" i="42"/>
  <c r="X56" i="42"/>
  <c r="X70" i="42"/>
  <c r="W71" i="42"/>
  <c r="W57" i="42"/>
  <c r="Y58" i="42"/>
  <c r="Y72" i="42"/>
  <c r="X60" i="42"/>
  <c r="X74" i="42"/>
  <c r="BC21" i="42"/>
  <c r="BC29" i="42"/>
  <c r="C3" i="42"/>
  <c r="C14" i="42"/>
  <c r="E45" i="42"/>
  <c r="P45" i="42"/>
  <c r="U45" i="42"/>
  <c r="S48" i="42"/>
  <c r="K63" i="42"/>
  <c r="O67" i="42"/>
  <c r="O53" i="42"/>
  <c r="T69" i="42"/>
  <c r="T55" i="42"/>
  <c r="Z70" i="42"/>
  <c r="Z56" i="42"/>
  <c r="G71" i="42"/>
  <c r="G57" i="42"/>
  <c r="F73" i="42"/>
  <c r="F59" i="42"/>
  <c r="C22" i="42"/>
  <c r="C15" i="42"/>
  <c r="F45" i="42"/>
  <c r="V45" i="42"/>
  <c r="V53" i="42"/>
  <c r="V67" i="42"/>
  <c r="N68" i="42"/>
  <c r="N54" i="42"/>
  <c r="AA69" i="42"/>
  <c r="AA55" i="42"/>
  <c r="H56" i="42"/>
  <c r="H70" i="42"/>
  <c r="N57" i="42"/>
  <c r="N71" i="42"/>
  <c r="P58" i="42"/>
  <c r="P72" i="42"/>
  <c r="D48" i="42"/>
  <c r="O48" i="42"/>
  <c r="T48" i="42"/>
  <c r="L63" i="42"/>
  <c r="W63" i="42"/>
  <c r="AB63" i="42"/>
  <c r="U68" i="42"/>
  <c r="AC68" i="42"/>
  <c r="U54" i="42"/>
  <c r="AC54" i="42"/>
  <c r="V59" i="42"/>
  <c r="V73" i="42"/>
  <c r="D43" i="42"/>
  <c r="AC43" i="42"/>
  <c r="D65" i="42"/>
  <c r="D67" i="42"/>
  <c r="AC67" i="42"/>
  <c r="D71" i="42"/>
  <c r="AC71" i="42"/>
  <c r="D76" i="42"/>
  <c r="AC76" i="42"/>
  <c r="BC2" i="42"/>
  <c r="C20" i="42"/>
  <c r="BC28" i="42"/>
  <c r="BC12" i="42"/>
  <c r="C23" i="42"/>
  <c r="C25" i="42"/>
  <c r="C17" i="42"/>
  <c r="BC3" i="42"/>
  <c r="D72" i="42"/>
  <c r="AC72" i="42"/>
  <c r="BC10" i="42"/>
  <c r="BC23" i="42"/>
  <c r="C12" i="42"/>
  <c r="BC17" i="42"/>
  <c r="BC18" i="42"/>
  <c r="BC25" i="42"/>
  <c r="BC9" i="42"/>
  <c r="BC24" i="42"/>
  <c r="BC27" i="42"/>
  <c r="BC31" i="37"/>
  <c r="E45" i="30"/>
  <c r="G39" i="5"/>
  <c r="C39" i="30"/>
  <c r="N31" i="31"/>
  <c r="M45" i="30"/>
  <c r="BJ45" i="30"/>
  <c r="H73" i="5"/>
  <c r="H59" i="5"/>
  <c r="I45" i="30"/>
  <c r="BC39" i="30"/>
  <c r="N38" i="5"/>
  <c r="AC11" i="31"/>
  <c r="AU11" i="5"/>
  <c r="AC4" i="31"/>
  <c r="AU4" i="5"/>
  <c r="AC20" i="31"/>
  <c r="AU20" i="5"/>
  <c r="G38" i="5"/>
  <c r="H10" i="5"/>
  <c r="H46" i="5"/>
  <c r="AU31" i="29"/>
  <c r="AI45" i="29"/>
  <c r="F45" i="29"/>
  <c r="N45" i="29"/>
  <c r="V45" i="29"/>
  <c r="Q45" i="29"/>
  <c r="AD48" i="29"/>
  <c r="G48" i="29"/>
  <c r="O48" i="29"/>
  <c r="W48" i="29"/>
  <c r="C50" i="29"/>
  <c r="K48" i="29"/>
  <c r="AA48" i="29"/>
  <c r="C52" i="29"/>
  <c r="D48" i="29"/>
  <c r="T48" i="29"/>
  <c r="C59" i="29"/>
  <c r="AG63" i="29"/>
  <c r="G63" i="29"/>
  <c r="W63" i="29"/>
  <c r="AD66" i="18"/>
  <c r="P63" i="29"/>
  <c r="C3" i="30"/>
  <c r="C15" i="30"/>
  <c r="T45" i="30"/>
  <c r="V50" i="30"/>
  <c r="N54" i="30"/>
  <c r="I55" i="30"/>
  <c r="AB58" i="30"/>
  <c r="X59" i="30"/>
  <c r="E50" i="30"/>
  <c r="E64" i="30"/>
  <c r="L66" i="30"/>
  <c r="L52" i="30"/>
  <c r="M55" i="30"/>
  <c r="M69" i="30"/>
  <c r="C16" i="30"/>
  <c r="J76" i="30"/>
  <c r="J62" i="30"/>
  <c r="BU45" i="30"/>
  <c r="BW55" i="30"/>
  <c r="BP56" i="30"/>
  <c r="BK65" i="30"/>
  <c r="BK51" i="30"/>
  <c r="BY52" i="30"/>
  <c r="BY66" i="30"/>
  <c r="BE70" i="30"/>
  <c r="BE56" i="30"/>
  <c r="BV72" i="30"/>
  <c r="BV58" i="30"/>
  <c r="Y52" i="31"/>
  <c r="U56" i="31"/>
  <c r="J70" i="31"/>
  <c r="J56" i="31"/>
  <c r="D74" i="31"/>
  <c r="H76" i="31"/>
  <c r="H62" i="31"/>
  <c r="CB52" i="31"/>
  <c r="BR56" i="31"/>
  <c r="BG66" i="31"/>
  <c r="BG52" i="31"/>
  <c r="BL66" i="31"/>
  <c r="BL52" i="31"/>
  <c r="BS71" i="31"/>
  <c r="BS57" i="31"/>
  <c r="BG75" i="31"/>
  <c r="BG61" i="31"/>
  <c r="BU50" i="30"/>
  <c r="BU64" i="30"/>
  <c r="BU52" i="30"/>
  <c r="BY52" i="18"/>
  <c r="BU66" i="30"/>
  <c r="BY66" i="18"/>
  <c r="BU60" i="30"/>
  <c r="BY60" i="18"/>
  <c r="BU74" i="30"/>
  <c r="BY74" i="18"/>
  <c r="C12" i="31"/>
  <c r="U73" i="31"/>
  <c r="U59" i="31"/>
  <c r="AA55" i="31"/>
  <c r="AA69" i="31"/>
  <c r="AA65" i="31"/>
  <c r="AA51" i="31"/>
  <c r="AA50" i="31"/>
  <c r="AA64" i="31"/>
  <c r="AS46" i="5"/>
  <c r="AS45" i="5"/>
  <c r="AV72" i="37"/>
  <c r="CC19" i="31"/>
  <c r="DU19" i="18"/>
  <c r="CC18" i="31"/>
  <c r="DU18" i="18"/>
  <c r="H6" i="5"/>
  <c r="H47" i="5"/>
  <c r="H24" i="5"/>
  <c r="Z46" i="5"/>
  <c r="Z45" i="5"/>
  <c r="AZ31" i="29"/>
  <c r="AO45" i="29"/>
  <c r="R45" i="29"/>
  <c r="AI48" i="29"/>
  <c r="L48" i="29"/>
  <c r="AB48" i="29"/>
  <c r="AD54" i="18"/>
  <c r="C57" i="29"/>
  <c r="AW63" i="29"/>
  <c r="I63" i="29"/>
  <c r="Y63" i="29"/>
  <c r="H63" i="29"/>
  <c r="X63" i="29"/>
  <c r="C76" i="29"/>
  <c r="C4" i="30"/>
  <c r="V45" i="30"/>
  <c r="T53" i="30"/>
  <c r="F56" i="30"/>
  <c r="Z56" i="30"/>
  <c r="L58" i="30"/>
  <c r="X60" i="30"/>
  <c r="G65" i="30"/>
  <c r="M52" i="30"/>
  <c r="M66" i="30"/>
  <c r="I67" i="30"/>
  <c r="I53" i="30"/>
  <c r="W67" i="30"/>
  <c r="M54" i="30"/>
  <c r="M68" i="30"/>
  <c r="G55" i="30"/>
  <c r="G69" i="30"/>
  <c r="I56" i="30"/>
  <c r="I70" i="30"/>
  <c r="E71" i="30"/>
  <c r="K71" i="30"/>
  <c r="I59" i="30"/>
  <c r="I73" i="30"/>
  <c r="V73" i="30"/>
  <c r="V59" i="30"/>
  <c r="AB73" i="30"/>
  <c r="AB59" i="30"/>
  <c r="Q74" i="30"/>
  <c r="W61" i="30"/>
  <c r="W75" i="30"/>
  <c r="Q76" i="30"/>
  <c r="BZ45" i="30"/>
  <c r="BV54" i="30"/>
  <c r="BX55" i="30"/>
  <c r="BI58" i="30"/>
  <c r="BJ61" i="30"/>
  <c r="BL65" i="30"/>
  <c r="BL51" i="30"/>
  <c r="BM67" i="30"/>
  <c r="BV55" i="30"/>
  <c r="BV69" i="30"/>
  <c r="BQ72" i="30"/>
  <c r="BW72" i="30"/>
  <c r="BN73" i="30"/>
  <c r="BN59" i="30"/>
  <c r="BZ59" i="30"/>
  <c r="BZ73" i="30"/>
  <c r="BM61" i="30"/>
  <c r="BM75" i="30"/>
  <c r="E50" i="31"/>
  <c r="F52" i="31"/>
  <c r="Z52" i="31"/>
  <c r="T57" i="31"/>
  <c r="H64" i="31"/>
  <c r="H50" i="31"/>
  <c r="P66" i="31"/>
  <c r="I68" i="31"/>
  <c r="H71" i="31"/>
  <c r="H57" i="31"/>
  <c r="O71" i="31"/>
  <c r="O57" i="31"/>
  <c r="Q73" i="31"/>
  <c r="E74" i="31"/>
  <c r="E60" i="31"/>
  <c r="N76" i="31"/>
  <c r="N62" i="31"/>
  <c r="BG31" i="31"/>
  <c r="BN52" i="31"/>
  <c r="BD53" i="31"/>
  <c r="BT56" i="31"/>
  <c r="BZ66" i="31"/>
  <c r="BH67" i="31"/>
  <c r="BH53" i="31"/>
  <c r="BG71" i="31"/>
  <c r="BM71" i="31"/>
  <c r="BZ75" i="31"/>
  <c r="BZ61" i="31"/>
  <c r="BU35" i="30"/>
  <c r="BY35" i="18"/>
  <c r="BC30" i="30"/>
  <c r="BY39" i="18"/>
  <c r="BD64" i="30"/>
  <c r="BD50" i="30"/>
  <c r="D26" i="18"/>
  <c r="D36" i="18"/>
  <c r="T35" i="37"/>
  <c r="M35" i="37"/>
  <c r="D73" i="31"/>
  <c r="D59" i="31"/>
  <c r="C20" i="31"/>
  <c r="AB56" i="31"/>
  <c r="U69" i="31"/>
  <c r="U55" i="31"/>
  <c r="AT46" i="5"/>
  <c r="AT45" i="5"/>
  <c r="AC23" i="31"/>
  <c r="AU23" i="5"/>
  <c r="H23" i="5"/>
  <c r="H49" i="5"/>
  <c r="AD37" i="18"/>
  <c r="AP45" i="29"/>
  <c r="AT48" i="29"/>
  <c r="M48" i="29"/>
  <c r="AC48" i="29"/>
  <c r="AD52" i="18"/>
  <c r="F63" i="29"/>
  <c r="N63" i="29"/>
  <c r="V63" i="29"/>
  <c r="AD65" i="18"/>
  <c r="AD70" i="18"/>
  <c r="C22" i="30"/>
  <c r="G37" i="5"/>
  <c r="N51" i="30"/>
  <c r="Z60" i="30"/>
  <c r="R67" i="30"/>
  <c r="R53" i="30"/>
  <c r="D70" i="30"/>
  <c r="C20" i="30"/>
  <c r="C70" i="30"/>
  <c r="J70" i="30"/>
  <c r="J56" i="30"/>
  <c r="P72" i="30"/>
  <c r="P58" i="30"/>
  <c r="V72" i="30"/>
  <c r="V58" i="30"/>
  <c r="R75" i="30"/>
  <c r="R61" i="30"/>
  <c r="X75" i="30"/>
  <c r="X61" i="30"/>
  <c r="BQ55" i="30"/>
  <c r="BQ69" i="30"/>
  <c r="BP57" i="30"/>
  <c r="BP71" i="30"/>
  <c r="BK72" i="30"/>
  <c r="BK58" i="30"/>
  <c r="BO76" i="30"/>
  <c r="BO62" i="30"/>
  <c r="F45" i="31"/>
  <c r="L55" i="31"/>
  <c r="Z64" i="31"/>
  <c r="Z50" i="31"/>
  <c r="Y56" i="31"/>
  <c r="Y70" i="31"/>
  <c r="F74" i="31"/>
  <c r="F60" i="31"/>
  <c r="G75" i="31"/>
  <c r="G61" i="31"/>
  <c r="BI67" i="31"/>
  <c r="BI53" i="31"/>
  <c r="BQ70" i="31"/>
  <c r="BQ56" i="31"/>
  <c r="BI74" i="31"/>
  <c r="BI60" i="31"/>
  <c r="BQ74" i="31"/>
  <c r="BQ60" i="31"/>
  <c r="CA61" i="31"/>
  <c r="CA75" i="31"/>
  <c r="BD33" i="30"/>
  <c r="BY33" i="18"/>
  <c r="BC13" i="30"/>
  <c r="CB53" i="30"/>
  <c r="BY53" i="18"/>
  <c r="CB67" i="30"/>
  <c r="BY67" i="18"/>
  <c r="CB69" i="30"/>
  <c r="CB55" i="30"/>
  <c r="CB73" i="30"/>
  <c r="BY73" i="18"/>
  <c r="CB59" i="30"/>
  <c r="BY59" i="18"/>
  <c r="BY76" i="18"/>
  <c r="Q72" i="37"/>
  <c r="J72" i="37"/>
  <c r="C29" i="31"/>
  <c r="AB71" i="31"/>
  <c r="AB57" i="31"/>
  <c r="AA70" i="31"/>
  <c r="AA56" i="31"/>
  <c r="EL44" i="18"/>
  <c r="EN44" i="18"/>
  <c r="CC2" i="31"/>
  <c r="DU2" i="18"/>
  <c r="AC9" i="31"/>
  <c r="AU9" i="5"/>
  <c r="AE31" i="29"/>
  <c r="AQ45" i="29"/>
  <c r="AY48" i="29"/>
  <c r="O63" i="29"/>
  <c r="C66" i="29"/>
  <c r="C73" i="29"/>
  <c r="C19" i="30"/>
  <c r="C42" i="30"/>
  <c r="D45" i="30"/>
  <c r="AB50" i="30"/>
  <c r="E53" i="30"/>
  <c r="Y53" i="30"/>
  <c r="L56" i="30"/>
  <c r="R58" i="30"/>
  <c r="G60" i="30"/>
  <c r="AA65" i="30"/>
  <c r="O52" i="30"/>
  <c r="O66" i="30"/>
  <c r="X67" i="30"/>
  <c r="X53" i="30"/>
  <c r="O68" i="30"/>
  <c r="O54" i="30"/>
  <c r="AA68" i="30"/>
  <c r="Y70" i="30"/>
  <c r="K73" i="30"/>
  <c r="Q73" i="30"/>
  <c r="G61" i="30"/>
  <c r="G75" i="30"/>
  <c r="M76" i="30"/>
  <c r="BN52" i="30"/>
  <c r="BD62" i="30"/>
  <c r="BM69" i="30"/>
  <c r="BR69" i="30"/>
  <c r="BL71" i="30"/>
  <c r="BI75" i="30"/>
  <c r="J31" i="31"/>
  <c r="D45" i="31"/>
  <c r="X67" i="31"/>
  <c r="J68" i="31"/>
  <c r="J54" i="31"/>
  <c r="K69" i="31"/>
  <c r="K55" i="31"/>
  <c r="R69" i="31"/>
  <c r="Z70" i="31"/>
  <c r="Z56" i="31"/>
  <c r="N75" i="31"/>
  <c r="BW31" i="31"/>
  <c r="CA66" i="31"/>
  <c r="BZ73" i="31"/>
  <c r="BZ59" i="31"/>
  <c r="BJ74" i="31"/>
  <c r="BJ60" i="31"/>
  <c r="BR74" i="31"/>
  <c r="BX76" i="31"/>
  <c r="BX62" i="31"/>
  <c r="BU57" i="31"/>
  <c r="BU71" i="31"/>
  <c r="BU75" i="31"/>
  <c r="BU61" i="31"/>
  <c r="C27" i="31"/>
  <c r="AB76" i="31"/>
  <c r="AA57" i="31"/>
  <c r="AA71" i="31"/>
  <c r="AB53" i="31"/>
  <c r="AB67" i="31"/>
  <c r="AD40" i="18"/>
  <c r="D67" i="30"/>
  <c r="D53" i="30"/>
  <c r="H68" i="30"/>
  <c r="H54" i="30"/>
  <c r="R71" i="30"/>
  <c r="R57" i="30"/>
  <c r="S74" i="30"/>
  <c r="S60" i="30"/>
  <c r="H75" i="30"/>
  <c r="H61" i="30"/>
  <c r="BG71" i="30"/>
  <c r="BG57" i="30"/>
  <c r="BV75" i="30"/>
  <c r="BV61" i="30"/>
  <c r="K65" i="31"/>
  <c r="K51" i="31"/>
  <c r="X65" i="31"/>
  <c r="X51" i="31"/>
  <c r="X69" i="31"/>
  <c r="X55" i="31"/>
  <c r="F59" i="31"/>
  <c r="F73" i="31"/>
  <c r="T75" i="31"/>
  <c r="T61" i="31"/>
  <c r="BX72" i="31"/>
  <c r="BX58" i="31"/>
  <c r="BK74" i="31"/>
  <c r="BK60" i="31"/>
  <c r="BL76" i="31"/>
  <c r="BL62" i="31"/>
  <c r="BD69" i="31"/>
  <c r="BD55" i="31"/>
  <c r="BC24" i="31"/>
  <c r="BD57" i="31"/>
  <c r="BD71" i="31"/>
  <c r="BC29" i="31"/>
  <c r="BD61" i="31"/>
  <c r="BD75" i="31"/>
  <c r="CC25" i="31"/>
  <c r="DU25" i="18"/>
  <c r="CC3" i="31"/>
  <c r="DU3" i="18"/>
  <c r="CC23" i="31"/>
  <c r="DU23" i="18"/>
  <c r="AR31" i="29"/>
  <c r="C45" i="29"/>
  <c r="AD62" i="18"/>
  <c r="AD74" i="18"/>
  <c r="C10" i="30"/>
  <c r="U51" i="30"/>
  <c r="L53" i="30"/>
  <c r="X62" i="30"/>
  <c r="C21" i="30"/>
  <c r="G51" i="5"/>
  <c r="V65" i="30"/>
  <c r="V51" i="30"/>
  <c r="I54" i="30"/>
  <c r="I68" i="30"/>
  <c r="Q69" i="30"/>
  <c r="Q55" i="30"/>
  <c r="S57" i="30"/>
  <c r="S71" i="30"/>
  <c r="AA57" i="30"/>
  <c r="AA71" i="30"/>
  <c r="N74" i="30"/>
  <c r="N60" i="30"/>
  <c r="Y62" i="30"/>
  <c r="Y76" i="30"/>
  <c r="BI66" i="30"/>
  <c r="BI52" i="30"/>
  <c r="BL60" i="30"/>
  <c r="BL74" i="30"/>
  <c r="BY75" i="18"/>
  <c r="N45" i="31"/>
  <c r="X58" i="31"/>
  <c r="L65" i="31"/>
  <c r="L51" i="31"/>
  <c r="S66" i="31"/>
  <c r="S52" i="31"/>
  <c r="Y53" i="31"/>
  <c r="Y67" i="31"/>
  <c r="L72" i="31"/>
  <c r="L58" i="31"/>
  <c r="BP64" i="31"/>
  <c r="BP50" i="31"/>
  <c r="BE51" i="31"/>
  <c r="BE65" i="31"/>
  <c r="BO55" i="31"/>
  <c r="BO69" i="31"/>
  <c r="BY72" i="31"/>
  <c r="BY58" i="31"/>
  <c r="BT73" i="31"/>
  <c r="BT59" i="31"/>
  <c r="BM76" i="31"/>
  <c r="BM62" i="31"/>
  <c r="BZ76" i="31"/>
  <c r="BZ62" i="31"/>
  <c r="EL39" i="18"/>
  <c r="EN39" i="18"/>
  <c r="BC19" i="31"/>
  <c r="BC42" i="31"/>
  <c r="CB54" i="31"/>
  <c r="CB68" i="31"/>
  <c r="C14" i="31"/>
  <c r="D34" i="31"/>
  <c r="CC13" i="31"/>
  <c r="DU13" i="18"/>
  <c r="CC8" i="31"/>
  <c r="DU8" i="18"/>
  <c r="AC16" i="31"/>
  <c r="AU16" i="5"/>
  <c r="AC8" i="31"/>
  <c r="AU8" i="5"/>
  <c r="AS31" i="29"/>
  <c r="AC41" i="29"/>
  <c r="AC31" i="29"/>
  <c r="D45" i="29"/>
  <c r="L45" i="29"/>
  <c r="T45" i="29"/>
  <c r="AB45" i="29"/>
  <c r="AD47" i="18"/>
  <c r="AD60" i="18"/>
  <c r="K45" i="30"/>
  <c r="P50" i="30"/>
  <c r="M53" i="30"/>
  <c r="G54" i="30"/>
  <c r="AB54" i="30"/>
  <c r="T56" i="30"/>
  <c r="L57" i="30"/>
  <c r="X58" i="30"/>
  <c r="I61" i="30"/>
  <c r="W51" i="30"/>
  <c r="W65" i="30"/>
  <c r="Y69" i="30"/>
  <c r="Y55" i="30"/>
  <c r="G70" i="30"/>
  <c r="I71" i="30"/>
  <c r="N71" i="30"/>
  <c r="N57" i="30"/>
  <c r="AB71" i="30"/>
  <c r="AB57" i="30"/>
  <c r="O76" i="30"/>
  <c r="Z76" i="30"/>
  <c r="Z62" i="30"/>
  <c r="BY36" i="18"/>
  <c r="CB39" i="30"/>
  <c r="BE45" i="30"/>
  <c r="BL56" i="30"/>
  <c r="BJ70" i="30"/>
  <c r="BJ56" i="30"/>
  <c r="BW70" i="30"/>
  <c r="BL59" i="30"/>
  <c r="BL73" i="30"/>
  <c r="E51" i="31"/>
  <c r="K60" i="31"/>
  <c r="AB61" i="31"/>
  <c r="H67" i="31"/>
  <c r="H53" i="31"/>
  <c r="N70" i="31"/>
  <c r="N56" i="31"/>
  <c r="M72" i="31"/>
  <c r="M58" i="31"/>
  <c r="AB74" i="31"/>
  <c r="BY52" i="31"/>
  <c r="BQ64" i="31"/>
  <c r="BQ50" i="31"/>
  <c r="BQ53" i="31"/>
  <c r="BQ67" i="31"/>
  <c r="BK68" i="31"/>
  <c r="BK54" i="31"/>
  <c r="BK69" i="31"/>
  <c r="BI70" i="31"/>
  <c r="BI56" i="31"/>
  <c r="BN70" i="31"/>
  <c r="BQ71" i="31"/>
  <c r="BQ57" i="31"/>
  <c r="BS72" i="31"/>
  <c r="BZ72" i="31"/>
  <c r="BO73" i="31"/>
  <c r="BO59" i="31"/>
  <c r="BX75" i="31"/>
  <c r="BX61" i="31"/>
  <c r="C4" i="31"/>
  <c r="U40" i="31"/>
  <c r="AO37" i="5"/>
  <c r="C37" i="31"/>
  <c r="AC27" i="31"/>
  <c r="AU27" i="5"/>
  <c r="AC28" i="31"/>
  <c r="AU28" i="5"/>
  <c r="AC24" i="31"/>
  <c r="AU24" i="5"/>
  <c r="AC29" i="31"/>
  <c r="AU29" i="5"/>
  <c r="CC21" i="31"/>
  <c r="DU21" i="18"/>
  <c r="CC5" i="31"/>
  <c r="DU5" i="18"/>
  <c r="CC24" i="31"/>
  <c r="DU24" i="18"/>
  <c r="CC16" i="31"/>
  <c r="DU16" i="18"/>
  <c r="AC30" i="31"/>
  <c r="AU30" i="5"/>
  <c r="AT31" i="29"/>
  <c r="I31" i="29"/>
  <c r="Q31" i="29"/>
  <c r="Y31" i="29"/>
  <c r="F31" i="29"/>
  <c r="V31" i="29"/>
  <c r="AD38" i="18"/>
  <c r="AD41" i="18"/>
  <c r="E45" i="29"/>
  <c r="M45" i="29"/>
  <c r="U45" i="29"/>
  <c r="AC45" i="29"/>
  <c r="F48" i="29"/>
  <c r="V48" i="29"/>
  <c r="AD53" i="18"/>
  <c r="E48" i="29"/>
  <c r="U48" i="29"/>
  <c r="AD56" i="18"/>
  <c r="AD71" i="18"/>
  <c r="AD73" i="18"/>
  <c r="C26" i="30"/>
  <c r="U44" i="30"/>
  <c r="S50" i="30"/>
  <c r="J58" i="30"/>
  <c r="R60" i="30"/>
  <c r="R64" i="30"/>
  <c r="R50" i="30"/>
  <c r="K65" i="30"/>
  <c r="E66" i="30"/>
  <c r="G53" i="30"/>
  <c r="G67" i="30"/>
  <c r="E69" i="30"/>
  <c r="E55" i="30"/>
  <c r="S55" i="30"/>
  <c r="S69" i="30"/>
  <c r="O70" i="30"/>
  <c r="O56" i="30"/>
  <c r="G59" i="30"/>
  <c r="G73" i="30"/>
  <c r="D75" i="30"/>
  <c r="D61" i="30"/>
  <c r="K75" i="30"/>
  <c r="I62" i="30"/>
  <c r="I76" i="30"/>
  <c r="BL50" i="30"/>
  <c r="CA62" i="30"/>
  <c r="BP64" i="30"/>
  <c r="BP50" i="30"/>
  <c r="BR65" i="30"/>
  <c r="BL67" i="30"/>
  <c r="BL68" i="30"/>
  <c r="BL54" i="30"/>
  <c r="BR70" i="30"/>
  <c r="BU72" i="30"/>
  <c r="BY72" i="18"/>
  <c r="BZ72" i="30"/>
  <c r="BZ58" i="30"/>
  <c r="BM73" i="30"/>
  <c r="W45" i="31"/>
  <c r="L53" i="31"/>
  <c r="D55" i="31"/>
  <c r="S56" i="31"/>
  <c r="X64" i="31"/>
  <c r="X50" i="31"/>
  <c r="I52" i="31"/>
  <c r="I66" i="31"/>
  <c r="U66" i="31"/>
  <c r="N72" i="31"/>
  <c r="N58" i="31"/>
  <c r="BZ45" i="31"/>
  <c r="BL60" i="31"/>
  <c r="BG67" i="31"/>
  <c r="BR67" i="31"/>
  <c r="BR53" i="31"/>
  <c r="BF68" i="31"/>
  <c r="BF54" i="31"/>
  <c r="BW69" i="31"/>
  <c r="BW55" i="31"/>
  <c r="BZ71" i="31"/>
  <c r="BZ57" i="31"/>
  <c r="BM75" i="31"/>
  <c r="BM61" i="31"/>
  <c r="BH76" i="31"/>
  <c r="BH62" i="31"/>
  <c r="BY47" i="18"/>
  <c r="AO42" i="5"/>
  <c r="C42" i="31"/>
  <c r="BG65" i="30"/>
  <c r="BG51" i="30"/>
  <c r="BM54" i="30"/>
  <c r="BM68" i="30"/>
  <c r="BZ69" i="30"/>
  <c r="BZ55" i="30"/>
  <c r="BE59" i="30"/>
  <c r="BE73" i="30"/>
  <c r="K64" i="31"/>
  <c r="N65" i="31"/>
  <c r="Q66" i="31"/>
  <c r="Q68" i="31"/>
  <c r="I69" i="31"/>
  <c r="I55" i="31"/>
  <c r="Q70" i="31"/>
  <c r="W70" i="31"/>
  <c r="J72" i="31"/>
  <c r="M74" i="31"/>
  <c r="J76" i="31"/>
  <c r="Z76" i="31"/>
  <c r="BG50" i="31"/>
  <c r="BG64" i="31"/>
  <c r="BQ65" i="31"/>
  <c r="BE59" i="31"/>
  <c r="BE73" i="31"/>
  <c r="BT74" i="31"/>
  <c r="BT60" i="31"/>
  <c r="BU66" i="31"/>
  <c r="BU52" i="31"/>
  <c r="C2" i="31"/>
  <c r="BV50" i="18"/>
  <c r="BE50" i="18"/>
  <c r="BN45" i="30"/>
  <c r="BN51" i="30"/>
  <c r="BN65" i="30"/>
  <c r="BK55" i="30"/>
  <c r="BK69" i="30"/>
  <c r="BS71" i="30"/>
  <c r="BS57" i="30"/>
  <c r="BF75" i="30"/>
  <c r="R31" i="31"/>
  <c r="T65" i="31"/>
  <c r="M68" i="31"/>
  <c r="W68" i="31"/>
  <c r="O69" i="31"/>
  <c r="O55" i="31"/>
  <c r="Z69" i="31"/>
  <c r="P72" i="31"/>
  <c r="N59" i="31"/>
  <c r="N73" i="31"/>
  <c r="E75" i="31"/>
  <c r="P75" i="31"/>
  <c r="P61" i="31"/>
  <c r="BE66" i="31"/>
  <c r="BE52" i="31"/>
  <c r="BN68" i="31"/>
  <c r="BN54" i="31"/>
  <c r="BW70" i="31"/>
  <c r="BI71" i="31"/>
  <c r="BI57" i="31"/>
  <c r="BJ72" i="31"/>
  <c r="BL73" i="31"/>
  <c r="BL59" i="31"/>
  <c r="BX73" i="31"/>
  <c r="BP75" i="31"/>
  <c r="BP61" i="31"/>
  <c r="BP76" i="31"/>
  <c r="BP62" i="31"/>
  <c r="BV76" i="31"/>
  <c r="BC14" i="30"/>
  <c r="BC2" i="30"/>
  <c r="BC19" i="30"/>
  <c r="CB42" i="30"/>
  <c r="BY42" i="18"/>
  <c r="D48" i="20"/>
  <c r="EL73" i="18"/>
  <c r="EN73" i="18"/>
  <c r="BE67" i="30"/>
  <c r="BE53" i="30"/>
  <c r="BO57" i="30"/>
  <c r="BO71" i="30"/>
  <c r="O45" i="31"/>
  <c r="E72" i="31"/>
  <c r="E58" i="31"/>
  <c r="I74" i="31"/>
  <c r="BI64" i="31"/>
  <c r="BI50" i="31"/>
  <c r="BS55" i="31"/>
  <c r="BS69" i="31"/>
  <c r="BG74" i="31"/>
  <c r="BG60" i="31"/>
  <c r="CA31" i="31"/>
  <c r="BC5" i="31"/>
  <c r="BC5" i="30"/>
  <c r="BC24" i="30"/>
  <c r="BD69" i="30"/>
  <c r="BY69" i="18"/>
  <c r="BD55" i="30"/>
  <c r="BY55" i="18"/>
  <c r="BC18" i="30"/>
  <c r="BU61" i="30"/>
  <c r="BY61" i="18"/>
  <c r="AF32" i="37"/>
  <c r="AF31" i="37"/>
  <c r="C11" i="31"/>
  <c r="AB39" i="31"/>
  <c r="C3" i="31"/>
  <c r="C7" i="31"/>
  <c r="C59" i="31"/>
  <c r="AB59" i="31"/>
  <c r="R39" i="37"/>
  <c r="K39" i="37"/>
  <c r="AB46" i="5"/>
  <c r="AB45" i="5"/>
  <c r="BY65" i="18"/>
  <c r="BP53" i="30"/>
  <c r="BP67" i="30"/>
  <c r="BV67" i="30"/>
  <c r="BV53" i="30"/>
  <c r="V53" i="31"/>
  <c r="V67" i="31"/>
  <c r="F69" i="31"/>
  <c r="F55" i="31"/>
  <c r="M71" i="31"/>
  <c r="M57" i="31"/>
  <c r="BQ45" i="31"/>
  <c r="BX56" i="31"/>
  <c r="BX70" i="31"/>
  <c r="BH60" i="31"/>
  <c r="BH74" i="31"/>
  <c r="BP60" i="31"/>
  <c r="BP74" i="31"/>
  <c r="CA65" i="31"/>
  <c r="CA51" i="31"/>
  <c r="BC6" i="30"/>
  <c r="BC17" i="30"/>
  <c r="BC20" i="30"/>
  <c r="BY58" i="18"/>
  <c r="BC12" i="30"/>
  <c r="CB60" i="30"/>
  <c r="C28" i="31"/>
  <c r="AH46" i="37"/>
  <c r="AH45" i="37"/>
  <c r="BC15" i="31"/>
  <c r="BC27" i="31"/>
  <c r="BC10" i="30"/>
  <c r="BC21" i="30"/>
  <c r="C24" i="31"/>
  <c r="C25" i="31"/>
  <c r="BC22" i="30"/>
  <c r="BC16" i="30"/>
  <c r="C30" i="31"/>
  <c r="D63" i="20"/>
  <c r="C16" i="31"/>
  <c r="EL41" i="18"/>
  <c r="EN41" i="18"/>
  <c r="C31" i="29"/>
  <c r="AJ46" i="37"/>
  <c r="AJ45" i="37"/>
  <c r="AD46" i="5"/>
  <c r="AD45" i="5"/>
  <c r="AF46" i="37"/>
  <c r="AF45" i="37"/>
  <c r="DS46" i="18"/>
  <c r="DS45" i="18"/>
  <c r="AI46" i="37"/>
  <c r="AI45" i="37"/>
  <c r="AC46" i="5"/>
  <c r="AC45" i="5"/>
  <c r="CY59" i="18"/>
  <c r="EE59" i="18"/>
  <c r="CX62" i="18"/>
  <c r="ED62" i="18"/>
  <c r="CW33" i="18"/>
  <c r="EC33" i="18"/>
  <c r="AX40" i="18"/>
  <c r="CD40" i="18"/>
  <c r="AW53" i="18"/>
  <c r="CC53" i="18"/>
  <c r="CX42" i="18"/>
  <c r="ED42" i="18"/>
  <c r="CU75" i="18"/>
  <c r="EA75" i="18"/>
  <c r="CP49" i="18"/>
  <c r="DV49" i="18"/>
  <c r="AW75" i="18"/>
  <c r="CC75" i="18"/>
  <c r="CS57" i="18"/>
  <c r="DY57" i="18"/>
  <c r="H41" i="37"/>
  <c r="T41" i="37"/>
  <c r="G38" i="37"/>
  <c r="S38" i="37"/>
  <c r="N35" i="5"/>
  <c r="I31" i="30"/>
  <c r="AB31" i="30"/>
  <c r="G45" i="30"/>
  <c r="N65" i="5"/>
  <c r="J31" i="30"/>
  <c r="R45" i="30"/>
  <c r="V31" i="30"/>
  <c r="S45" i="30"/>
  <c r="BT45" i="30"/>
  <c r="S31" i="30"/>
  <c r="Z31" i="30"/>
  <c r="BO31" i="30"/>
  <c r="BP45" i="30"/>
  <c r="J45" i="30"/>
  <c r="BL45" i="30"/>
  <c r="M31" i="30"/>
  <c r="R31" i="30"/>
  <c r="D31" i="30"/>
  <c r="BH45" i="30"/>
  <c r="BS31" i="30"/>
  <c r="Y31" i="30"/>
  <c r="W45" i="30"/>
  <c r="G46" i="5"/>
  <c r="C46" i="30"/>
  <c r="AD51" i="18"/>
  <c r="AF63" i="29"/>
  <c r="AV63" i="29"/>
  <c r="H20" i="5"/>
  <c r="H70" i="5"/>
  <c r="C70" i="29"/>
  <c r="C72" i="29"/>
  <c r="AD76" i="18"/>
  <c r="AB46" i="30"/>
  <c r="O50" i="30"/>
  <c r="T52" i="30"/>
  <c r="C25" i="30"/>
  <c r="I64" i="30"/>
  <c r="T64" i="30"/>
  <c r="T50" i="30"/>
  <c r="P65" i="30"/>
  <c r="P51" i="30"/>
  <c r="Y52" i="30"/>
  <c r="Y66" i="30"/>
  <c r="F67" i="30"/>
  <c r="F53" i="30"/>
  <c r="AB67" i="30"/>
  <c r="AB53" i="30"/>
  <c r="L69" i="30"/>
  <c r="L55" i="30"/>
  <c r="W69" i="30"/>
  <c r="S59" i="30"/>
  <c r="S73" i="30"/>
  <c r="Y73" i="30"/>
  <c r="BV31" i="30"/>
  <c r="BZ31" i="30"/>
  <c r="BV48" i="30"/>
  <c r="BI65" i="30"/>
  <c r="BX61" i="30"/>
  <c r="BX75" i="30"/>
  <c r="F31" i="31"/>
  <c r="K31" i="31"/>
  <c r="Q31" i="31"/>
  <c r="W31" i="31"/>
  <c r="D63" i="31"/>
  <c r="N66" i="31"/>
  <c r="N52" i="31"/>
  <c r="S72" i="31"/>
  <c r="S58" i="31"/>
  <c r="L75" i="31"/>
  <c r="L61" i="31"/>
  <c r="AE48" i="29"/>
  <c r="AM48" i="29"/>
  <c r="AU48" i="29"/>
  <c r="E31" i="30"/>
  <c r="N31" i="30"/>
  <c r="W31" i="30"/>
  <c r="X45" i="30"/>
  <c r="I52" i="30"/>
  <c r="I66" i="30"/>
  <c r="Z66" i="30"/>
  <c r="Z52" i="30"/>
  <c r="U54" i="30"/>
  <c r="C9" i="30"/>
  <c r="U68" i="30"/>
  <c r="R69" i="30"/>
  <c r="R55" i="30"/>
  <c r="C56" i="30"/>
  <c r="N70" i="30"/>
  <c r="N56" i="30"/>
  <c r="C59" i="30"/>
  <c r="C73" i="30"/>
  <c r="N73" i="30"/>
  <c r="N59" i="30"/>
  <c r="F74" i="30"/>
  <c r="F60" i="30"/>
  <c r="V76" i="30"/>
  <c r="V62" i="30"/>
  <c r="BY31" i="30"/>
  <c r="BY45" i="30"/>
  <c r="BK45" i="30"/>
  <c r="BH64" i="30"/>
  <c r="BH50" i="30"/>
  <c r="BG70" i="30"/>
  <c r="BG56" i="30"/>
  <c r="BX71" i="30"/>
  <c r="BX57" i="30"/>
  <c r="BI74" i="30"/>
  <c r="BI60" i="30"/>
  <c r="U45" i="31"/>
  <c r="AA48" i="31"/>
  <c r="P69" i="31"/>
  <c r="P55" i="31"/>
  <c r="BF31" i="31"/>
  <c r="N37" i="5"/>
  <c r="CC9" i="31"/>
  <c r="DU9" i="18"/>
  <c r="AC13" i="31"/>
  <c r="AU13" i="5"/>
  <c r="H18" i="5"/>
  <c r="H75" i="5"/>
  <c r="AK45" i="29"/>
  <c r="AS45" i="29"/>
  <c r="BA45" i="29"/>
  <c r="AJ48" i="29"/>
  <c r="AZ48" i="29"/>
  <c r="H48" i="29"/>
  <c r="P48" i="29"/>
  <c r="X48" i="29"/>
  <c r="AF48" i="29"/>
  <c r="AN48" i="29"/>
  <c r="AV48" i="29"/>
  <c r="AD58" i="18"/>
  <c r="AL63" i="29"/>
  <c r="BB63" i="29"/>
  <c r="H5" i="5"/>
  <c r="H67" i="5"/>
  <c r="C53" i="29"/>
  <c r="AD68" i="18"/>
  <c r="T31" i="30"/>
  <c r="C36" i="30"/>
  <c r="G36" i="5"/>
  <c r="C44" i="30"/>
  <c r="G44" i="5"/>
  <c r="F45" i="30"/>
  <c r="U47" i="30"/>
  <c r="C6" i="30"/>
  <c r="D50" i="30"/>
  <c r="H56" i="30"/>
  <c r="F62" i="30"/>
  <c r="J64" i="30"/>
  <c r="J50" i="30"/>
  <c r="D66" i="30"/>
  <c r="C17" i="30"/>
  <c r="D52" i="30"/>
  <c r="U66" i="30"/>
  <c r="E54" i="30"/>
  <c r="E68" i="30"/>
  <c r="K68" i="30"/>
  <c r="P68" i="30"/>
  <c r="P54" i="30"/>
  <c r="M58" i="30"/>
  <c r="M72" i="30"/>
  <c r="S72" i="30"/>
  <c r="D73" i="30"/>
  <c r="D59" i="30"/>
  <c r="O73" i="30"/>
  <c r="U73" i="30"/>
  <c r="Z75" i="30"/>
  <c r="Z61" i="30"/>
  <c r="AB76" i="30"/>
  <c r="AB62" i="30"/>
  <c r="BE31" i="30"/>
  <c r="BJ31" i="30"/>
  <c r="BU31" i="30"/>
  <c r="BD48" i="30"/>
  <c r="BR61" i="30"/>
  <c r="BN50" i="30"/>
  <c r="BN64" i="30"/>
  <c r="BY64" i="30"/>
  <c r="BZ66" i="30"/>
  <c r="BJ67" i="30"/>
  <c r="BR67" i="30"/>
  <c r="BY68" i="18"/>
  <c r="BY68" i="30"/>
  <c r="BM70" i="30"/>
  <c r="BM56" i="30"/>
  <c r="BF58" i="30"/>
  <c r="BF72" i="30"/>
  <c r="BG73" i="30"/>
  <c r="BK73" i="30"/>
  <c r="BO73" i="30"/>
  <c r="BS73" i="30"/>
  <c r="BO74" i="30"/>
  <c r="BO60" i="30"/>
  <c r="M31" i="31"/>
  <c r="K45" i="31"/>
  <c r="P45" i="31"/>
  <c r="G68" i="31"/>
  <c r="G54" i="31"/>
  <c r="BS31" i="31"/>
  <c r="BY31" i="31"/>
  <c r="C73" i="31"/>
  <c r="AO59" i="5"/>
  <c r="DC33" i="18"/>
  <c r="BF66" i="18"/>
  <c r="CC26" i="31"/>
  <c r="DU26" i="18"/>
  <c r="G42" i="5"/>
  <c r="H16" i="5"/>
  <c r="AR45" i="29"/>
  <c r="AD45" i="29"/>
  <c r="AL45" i="29"/>
  <c r="AT45" i="29"/>
  <c r="BB45" i="29"/>
  <c r="AK48" i="29"/>
  <c r="BA48" i="29"/>
  <c r="I48" i="29"/>
  <c r="Q48" i="29"/>
  <c r="Y48" i="29"/>
  <c r="AG48" i="29"/>
  <c r="AO48" i="29"/>
  <c r="AW48" i="29"/>
  <c r="AM63" i="29"/>
  <c r="J63" i="29"/>
  <c r="R63" i="29"/>
  <c r="Z63" i="29"/>
  <c r="AH63" i="29"/>
  <c r="AP63" i="29"/>
  <c r="AX63" i="29"/>
  <c r="F31" i="30"/>
  <c r="O31" i="30"/>
  <c r="O45" i="30"/>
  <c r="F55" i="30"/>
  <c r="N60" i="5"/>
  <c r="F68" i="30"/>
  <c r="F54" i="30"/>
  <c r="H69" i="30"/>
  <c r="H55" i="30"/>
  <c r="W57" i="30"/>
  <c r="W71" i="30"/>
  <c r="H72" i="30"/>
  <c r="H58" i="30"/>
  <c r="J73" i="30"/>
  <c r="J59" i="30"/>
  <c r="P75" i="30"/>
  <c r="P61" i="30"/>
  <c r="R76" i="30"/>
  <c r="R62" i="30"/>
  <c r="BK31" i="30"/>
  <c r="BP31" i="30"/>
  <c r="BD45" i="30"/>
  <c r="BG45" i="30"/>
  <c r="BX60" i="30"/>
  <c r="BP62" i="30"/>
  <c r="BD63" i="30"/>
  <c r="BY65" i="30"/>
  <c r="BY51" i="30"/>
  <c r="BK52" i="30"/>
  <c r="BK66" i="30"/>
  <c r="BJ54" i="30"/>
  <c r="BJ68" i="30"/>
  <c r="BS70" i="30"/>
  <c r="BS56" i="30"/>
  <c r="BL72" i="30"/>
  <c r="BL58" i="30"/>
  <c r="BC44" i="31"/>
  <c r="AO32" i="5"/>
  <c r="C32" i="31"/>
  <c r="C64" i="31"/>
  <c r="C50" i="31"/>
  <c r="BI59" i="18"/>
  <c r="AC14" i="31"/>
  <c r="AU14" i="5"/>
  <c r="AG31" i="29"/>
  <c r="AO31" i="29"/>
  <c r="AW31" i="29"/>
  <c r="AG45" i="29"/>
  <c r="AW45" i="29"/>
  <c r="G45" i="29"/>
  <c r="O45" i="29"/>
  <c r="W45" i="29"/>
  <c r="AE45" i="29"/>
  <c r="AM45" i="29"/>
  <c r="AU45" i="29"/>
  <c r="AL48" i="29"/>
  <c r="BB48" i="29"/>
  <c r="J48" i="29"/>
  <c r="R48" i="29"/>
  <c r="Z48" i="29"/>
  <c r="AD50" i="18"/>
  <c r="AN63" i="29"/>
  <c r="K63" i="29"/>
  <c r="S63" i="29"/>
  <c r="AA63" i="29"/>
  <c r="AI63" i="29"/>
  <c r="AQ63" i="29"/>
  <c r="AY63" i="29"/>
  <c r="C13" i="30"/>
  <c r="C8" i="30"/>
  <c r="AA45" i="30"/>
  <c r="X55" i="30"/>
  <c r="V60" i="30"/>
  <c r="S51" i="30"/>
  <c r="S65" i="30"/>
  <c r="V66" i="30"/>
  <c r="V52" i="30"/>
  <c r="L68" i="30"/>
  <c r="L54" i="30"/>
  <c r="G57" i="30"/>
  <c r="G71" i="30"/>
  <c r="X71" i="30"/>
  <c r="X57" i="30"/>
  <c r="Y60" i="30"/>
  <c r="Y74" i="30"/>
  <c r="V75" i="30"/>
  <c r="V61" i="30"/>
  <c r="H76" i="30"/>
  <c r="H62" i="30"/>
  <c r="BF31" i="30"/>
  <c r="BQ31" i="30"/>
  <c r="CA31" i="30"/>
  <c r="CA45" i="30"/>
  <c r="BR45" i="30"/>
  <c r="BT50" i="30"/>
  <c r="BE63" i="30"/>
  <c r="BJ50" i="30"/>
  <c r="BJ64" i="30"/>
  <c r="BU63" i="30"/>
  <c r="BQ66" i="30"/>
  <c r="BQ52" i="30"/>
  <c r="BX53" i="30"/>
  <c r="BX67" i="30"/>
  <c r="BP68" i="30"/>
  <c r="BP54" i="30"/>
  <c r="BZ71" i="30"/>
  <c r="BZ57" i="30"/>
  <c r="BR58" i="30"/>
  <c r="BR72" i="30"/>
  <c r="BY73" i="30"/>
  <c r="BY59" i="30"/>
  <c r="BK60" i="30"/>
  <c r="BK74" i="30"/>
  <c r="D48" i="31"/>
  <c r="BI66" i="31"/>
  <c r="BI52" i="31"/>
  <c r="BW54" i="31"/>
  <c r="BW68" i="31"/>
  <c r="BE69" i="31"/>
  <c r="BE55" i="31"/>
  <c r="BE74" i="31"/>
  <c r="BE60" i="31"/>
  <c r="BC39" i="31"/>
  <c r="BC50" i="31"/>
  <c r="BC64" i="31"/>
  <c r="BC21" i="31"/>
  <c r="BD65" i="31"/>
  <c r="BD51" i="31"/>
  <c r="C38" i="31"/>
  <c r="AO38" i="5"/>
  <c r="CC10" i="31"/>
  <c r="DU10" i="18"/>
  <c r="AK31" i="29"/>
  <c r="BA31" i="29"/>
  <c r="J31" i="29"/>
  <c r="R31" i="29"/>
  <c r="Z31" i="29"/>
  <c r="AH31" i="29"/>
  <c r="AP31" i="29"/>
  <c r="AX31" i="29"/>
  <c r="AH45" i="29"/>
  <c r="AX45" i="29"/>
  <c r="H45" i="29"/>
  <c r="P45" i="29"/>
  <c r="X45" i="29"/>
  <c r="AQ48" i="29"/>
  <c r="AO63" i="29"/>
  <c r="D63" i="29"/>
  <c r="L63" i="29"/>
  <c r="T63" i="29"/>
  <c r="AB63" i="29"/>
  <c r="AJ63" i="29"/>
  <c r="AR63" i="29"/>
  <c r="AZ63" i="29"/>
  <c r="AD67" i="18"/>
  <c r="K31" i="30"/>
  <c r="AA31" i="30"/>
  <c r="G31" i="30"/>
  <c r="U32" i="30"/>
  <c r="U40" i="30"/>
  <c r="L45" i="30"/>
  <c r="P45" i="30"/>
  <c r="P52" i="30"/>
  <c r="V54" i="30"/>
  <c r="T59" i="30"/>
  <c r="C51" i="30"/>
  <c r="C65" i="30"/>
  <c r="T65" i="30"/>
  <c r="T51" i="30"/>
  <c r="O53" i="30"/>
  <c r="O67" i="30"/>
  <c r="Q56" i="30"/>
  <c r="Q70" i="30"/>
  <c r="AB70" i="30"/>
  <c r="AB56" i="30"/>
  <c r="D72" i="30"/>
  <c r="D58" i="30"/>
  <c r="Z72" i="30"/>
  <c r="Z58" i="30"/>
  <c r="I60" i="30"/>
  <c r="I74" i="30"/>
  <c r="T74" i="30"/>
  <c r="T60" i="30"/>
  <c r="L75" i="30"/>
  <c r="L61" i="30"/>
  <c r="AB75" i="30"/>
  <c r="C18" i="30"/>
  <c r="BG31" i="30"/>
  <c r="BL31" i="30"/>
  <c r="BW31" i="30"/>
  <c r="BN31" i="30"/>
  <c r="BM45" i="30"/>
  <c r="BU48" i="30"/>
  <c r="BG66" i="30"/>
  <c r="BG52" i="30"/>
  <c r="BF68" i="30"/>
  <c r="BF54" i="30"/>
  <c r="BN76" i="30"/>
  <c r="BN62" i="30"/>
  <c r="AB31" i="31"/>
  <c r="O31" i="31"/>
  <c r="Z31" i="31"/>
  <c r="AA31" i="31"/>
  <c r="BZ48" i="31"/>
  <c r="BI62" i="31"/>
  <c r="BI76" i="31"/>
  <c r="CA50" i="30"/>
  <c r="CA64" i="30"/>
  <c r="AC22" i="31"/>
  <c r="AU22" i="5"/>
  <c r="H65" i="5"/>
  <c r="H51" i="5"/>
  <c r="AL31" i="29"/>
  <c r="BB31" i="29"/>
  <c r="K31" i="29"/>
  <c r="S31" i="29"/>
  <c r="AA31" i="29"/>
  <c r="AI31" i="29"/>
  <c r="AQ31" i="29"/>
  <c r="AY31" i="29"/>
  <c r="H31" i="29"/>
  <c r="P31" i="29"/>
  <c r="X31" i="29"/>
  <c r="AF31" i="29"/>
  <c r="AN31" i="29"/>
  <c r="AV31" i="29"/>
  <c r="AD39" i="18"/>
  <c r="AR48" i="29"/>
  <c r="AD57" i="18"/>
  <c r="AD59" i="18"/>
  <c r="AD63" i="29"/>
  <c r="AT63" i="29"/>
  <c r="E63" i="29"/>
  <c r="M63" i="29"/>
  <c r="U63" i="29"/>
  <c r="AC63" i="29"/>
  <c r="L31" i="30"/>
  <c r="C30" i="30"/>
  <c r="C40" i="30"/>
  <c r="G40" i="5"/>
  <c r="C28" i="30"/>
  <c r="Q45" i="30"/>
  <c r="Z50" i="30"/>
  <c r="D57" i="30"/>
  <c r="K60" i="30"/>
  <c r="J61" i="30"/>
  <c r="L62" i="30"/>
  <c r="M50" i="30"/>
  <c r="M64" i="30"/>
  <c r="X64" i="30"/>
  <c r="X50" i="30"/>
  <c r="O65" i="30"/>
  <c r="Z65" i="30"/>
  <c r="Z51" i="30"/>
  <c r="J67" i="30"/>
  <c r="J53" i="30"/>
  <c r="C5" i="30"/>
  <c r="U53" i="30"/>
  <c r="AA67" i="30"/>
  <c r="AA55" i="30"/>
  <c r="C24" i="30"/>
  <c r="AA69" i="30"/>
  <c r="R70" i="30"/>
  <c r="R56" i="30"/>
  <c r="D74" i="30"/>
  <c r="C12" i="30"/>
  <c r="J74" i="30"/>
  <c r="J60" i="30"/>
  <c r="U74" i="30"/>
  <c r="AA74" i="30"/>
  <c r="BR31" i="30"/>
  <c r="BY41" i="18"/>
  <c r="BZ48" i="30"/>
  <c r="BS48" i="30"/>
  <c r="BT54" i="30"/>
  <c r="BI56" i="30"/>
  <c r="BY56" i="18"/>
  <c r="BE60" i="30"/>
  <c r="BQ65" i="30"/>
  <c r="BV63" i="30"/>
  <c r="BM66" i="30"/>
  <c r="BM52" i="30"/>
  <c r="BL61" i="30"/>
  <c r="BL75" i="30"/>
  <c r="BT76" i="30"/>
  <c r="BT62" i="30"/>
  <c r="V31" i="31"/>
  <c r="S31" i="31"/>
  <c r="Y31" i="31"/>
  <c r="BV61" i="31"/>
  <c r="BV75" i="31"/>
  <c r="BU35" i="31"/>
  <c r="BC30" i="31"/>
  <c r="BU59" i="31"/>
  <c r="BU73" i="31"/>
  <c r="AC6" i="31"/>
  <c r="AU6" i="5"/>
  <c r="AC25" i="31"/>
  <c r="AU25" i="5"/>
  <c r="AC21" i="31"/>
  <c r="AU21" i="5"/>
  <c r="AC5" i="31"/>
  <c r="AU5" i="5"/>
  <c r="G34" i="5"/>
  <c r="AM31" i="29"/>
  <c r="AJ45" i="29"/>
  <c r="AZ45" i="29"/>
  <c r="AS48" i="29"/>
  <c r="C56" i="29"/>
  <c r="AE63" i="29"/>
  <c r="AU63" i="29"/>
  <c r="C75" i="29"/>
  <c r="Q31" i="30"/>
  <c r="U34" i="30"/>
  <c r="C37" i="30"/>
  <c r="U42" i="30"/>
  <c r="N45" i="30"/>
  <c r="H45" i="30"/>
  <c r="C23" i="30"/>
  <c r="N64" i="30"/>
  <c r="N50" i="30"/>
  <c r="Y64" i="30"/>
  <c r="E65" i="30"/>
  <c r="K67" i="30"/>
  <c r="Q67" i="30"/>
  <c r="Q63" i="30"/>
  <c r="K55" i="30"/>
  <c r="K69" i="30"/>
  <c r="V69" i="30"/>
  <c r="V55" i="30"/>
  <c r="M70" i="30"/>
  <c r="X70" i="30"/>
  <c r="X56" i="30"/>
  <c r="C29" i="30"/>
  <c r="T71" i="30"/>
  <c r="T57" i="30"/>
  <c r="E74" i="30"/>
  <c r="P74" i="30"/>
  <c r="P60" i="30"/>
  <c r="BX31" i="30"/>
  <c r="BY40" i="18"/>
  <c r="BY44" i="18"/>
  <c r="BQ45" i="30"/>
  <c r="BY54" i="18"/>
  <c r="BP58" i="30"/>
  <c r="BW59" i="30"/>
  <c r="BM65" i="30"/>
  <c r="BH61" i="30"/>
  <c r="BH75" i="30"/>
  <c r="BJ62" i="30"/>
  <c r="BJ76" i="30"/>
  <c r="E31" i="31"/>
  <c r="P31" i="31"/>
  <c r="R66" i="31"/>
  <c r="R52" i="31"/>
  <c r="BL31" i="31"/>
  <c r="AD32" i="18"/>
  <c r="H14" i="5"/>
  <c r="H34" i="5"/>
  <c r="AF45" i="29"/>
  <c r="AN45" i="29"/>
  <c r="AV45" i="29"/>
  <c r="AH48" i="29"/>
  <c r="AP48" i="29"/>
  <c r="AX48" i="29"/>
  <c r="AK63" i="29"/>
  <c r="AS63" i="29"/>
  <c r="BA63" i="29"/>
  <c r="H31" i="30"/>
  <c r="P31" i="30"/>
  <c r="X31" i="30"/>
  <c r="Z45" i="30"/>
  <c r="F48" i="30"/>
  <c r="BD31" i="30"/>
  <c r="BT31" i="30"/>
  <c r="BI45" i="30"/>
  <c r="BX45" i="30"/>
  <c r="BW51" i="30"/>
  <c r="BL62" i="30"/>
  <c r="BM63" i="30"/>
  <c r="BR50" i="30"/>
  <c r="BR64" i="30"/>
  <c r="BN68" i="30"/>
  <c r="BN54" i="30"/>
  <c r="BJ58" i="30"/>
  <c r="BJ72" i="30"/>
  <c r="BS60" i="30"/>
  <c r="BS74" i="30"/>
  <c r="I31" i="31"/>
  <c r="T31" i="31"/>
  <c r="BK31" i="31"/>
  <c r="BQ31" i="31"/>
  <c r="BN45" i="31"/>
  <c r="BY45" i="31"/>
  <c r="BS45" i="31"/>
  <c r="BV60" i="31"/>
  <c r="BV74" i="31"/>
  <c r="BY76" i="31"/>
  <c r="BY62" i="31"/>
  <c r="BC69" i="31"/>
  <c r="BC55" i="31"/>
  <c r="BC33" i="30"/>
  <c r="BM31" i="30"/>
  <c r="CB31" i="30"/>
  <c r="BS45" i="30"/>
  <c r="BS52" i="30"/>
  <c r="BS66" i="30"/>
  <c r="BO70" i="30"/>
  <c r="BO56" i="30"/>
  <c r="BF76" i="30"/>
  <c r="BF62" i="30"/>
  <c r="L31" i="31"/>
  <c r="R74" i="31"/>
  <c r="R60" i="31"/>
  <c r="Y62" i="31"/>
  <c r="Y76" i="31"/>
  <c r="BJ54" i="31"/>
  <c r="BJ68" i="31"/>
  <c r="BR71" i="31"/>
  <c r="BR57" i="31"/>
  <c r="BI59" i="31"/>
  <c r="BI73" i="31"/>
  <c r="BS73" i="31"/>
  <c r="BS59" i="31"/>
  <c r="BL75" i="31"/>
  <c r="BL61" i="31"/>
  <c r="BD47" i="31"/>
  <c r="BC6" i="31"/>
  <c r="AO39" i="5"/>
  <c r="C39" i="31"/>
  <c r="AO71" i="5"/>
  <c r="C53" i="31"/>
  <c r="AO67" i="5"/>
  <c r="C67" i="31"/>
  <c r="K33" i="37"/>
  <c r="AA45" i="5"/>
  <c r="C27" i="30"/>
  <c r="D76" i="30"/>
  <c r="BH31" i="30"/>
  <c r="BW45" i="30"/>
  <c r="BF50" i="30"/>
  <c r="BF64" i="30"/>
  <c r="BR54" i="30"/>
  <c r="BR68" i="30"/>
  <c r="BN58" i="30"/>
  <c r="BN72" i="30"/>
  <c r="BG74" i="30"/>
  <c r="BG60" i="30"/>
  <c r="G31" i="31"/>
  <c r="U31" i="31"/>
  <c r="F71" i="31"/>
  <c r="F57" i="31"/>
  <c r="H60" i="31"/>
  <c r="H74" i="31"/>
  <c r="BT31" i="31"/>
  <c r="BW64" i="31"/>
  <c r="BW50" i="31"/>
  <c r="BN71" i="31"/>
  <c r="BN57" i="31"/>
  <c r="CB45" i="31"/>
  <c r="AC31" i="5"/>
  <c r="AI31" i="5"/>
  <c r="Y45" i="30"/>
  <c r="G48" i="30"/>
  <c r="W48" i="30"/>
  <c r="T62" i="30"/>
  <c r="G63" i="30"/>
  <c r="BI31" i="30"/>
  <c r="BF45" i="30"/>
  <c r="BV45" i="30"/>
  <c r="BO45" i="30"/>
  <c r="BX48" i="30"/>
  <c r="BL63" i="30"/>
  <c r="BW64" i="30"/>
  <c r="BX63" i="30"/>
  <c r="BO66" i="30"/>
  <c r="BO52" i="30"/>
  <c r="BY69" i="30"/>
  <c r="BY55" i="30"/>
  <c r="BK70" i="30"/>
  <c r="BK56" i="30"/>
  <c r="BP75" i="30"/>
  <c r="BR62" i="30"/>
  <c r="BR76" i="30"/>
  <c r="X31" i="31"/>
  <c r="H31" i="31"/>
  <c r="S64" i="31"/>
  <c r="S50" i="31"/>
  <c r="T70" i="31"/>
  <c r="T56" i="31"/>
  <c r="BR45" i="31"/>
  <c r="BC29" i="30"/>
  <c r="CB57" i="30"/>
  <c r="CB71" i="30"/>
  <c r="AO35" i="5"/>
  <c r="C35" i="31"/>
  <c r="AA47" i="31"/>
  <c r="C6" i="31"/>
  <c r="CB45" i="30"/>
  <c r="Y71" i="31"/>
  <c r="Y57" i="31"/>
  <c r="AA63" i="31"/>
  <c r="H75" i="31"/>
  <c r="H61" i="31"/>
  <c r="BV31" i="31"/>
  <c r="BX66" i="31"/>
  <c r="BX52" i="31"/>
  <c r="CB34" i="31"/>
  <c r="BC14" i="31"/>
  <c r="DM42" i="18"/>
  <c r="L45" i="31"/>
  <c r="Q45" i="31"/>
  <c r="R65" i="31"/>
  <c r="T69" i="31"/>
  <c r="T55" i="31"/>
  <c r="F70" i="31"/>
  <c r="R73" i="31"/>
  <c r="K76" i="31"/>
  <c r="K62" i="31"/>
  <c r="BO31" i="31"/>
  <c r="BU31" i="31"/>
  <c r="BJ45" i="31"/>
  <c r="BW71" i="31"/>
  <c r="BW57" i="31"/>
  <c r="BN76" i="31"/>
  <c r="BN62" i="31"/>
  <c r="BC3" i="31"/>
  <c r="BD32" i="31"/>
  <c r="BC4" i="31"/>
  <c r="CB40" i="31"/>
  <c r="BD73" i="31"/>
  <c r="BC7" i="31"/>
  <c r="BD59" i="31"/>
  <c r="BC15" i="30"/>
  <c r="G76" i="31"/>
  <c r="G62" i="31"/>
  <c r="BP31" i="31"/>
  <c r="BF45" i="31"/>
  <c r="BI45" i="31"/>
  <c r="BM51" i="31"/>
  <c r="BM65" i="31"/>
  <c r="BI68" i="31"/>
  <c r="BI54" i="31"/>
  <c r="BX71" i="31"/>
  <c r="BX57" i="31"/>
  <c r="BC67" i="31"/>
  <c r="CO67" i="18"/>
  <c r="DD67" i="18"/>
  <c r="BC53" i="31"/>
  <c r="BC20" i="31"/>
  <c r="BU70" i="31"/>
  <c r="BU56" i="31"/>
  <c r="CB58" i="31"/>
  <c r="CB72" i="31"/>
  <c r="AA46" i="31"/>
  <c r="C10" i="31"/>
  <c r="AB52" i="31"/>
  <c r="C17" i="31"/>
  <c r="C68" i="31"/>
  <c r="C54" i="31"/>
  <c r="S45" i="31"/>
  <c r="O64" i="31"/>
  <c r="W67" i="31"/>
  <c r="W53" i="31"/>
  <c r="BN31" i="31"/>
  <c r="BW45" i="31"/>
  <c r="BP48" i="31"/>
  <c r="BH75" i="31"/>
  <c r="BH61" i="31"/>
  <c r="BC76" i="31"/>
  <c r="BC62" i="31"/>
  <c r="CO76" i="18"/>
  <c r="DD76" i="18"/>
  <c r="D31" i="20"/>
  <c r="C72" i="31"/>
  <c r="AO72" i="5"/>
  <c r="C58" i="31"/>
  <c r="DJ36" i="18"/>
  <c r="AV38" i="37"/>
  <c r="AW47" i="37"/>
  <c r="AV44" i="37"/>
  <c r="J61" i="37"/>
  <c r="AV71" i="37"/>
  <c r="I45" i="31"/>
  <c r="F65" i="31"/>
  <c r="O51" i="31"/>
  <c r="O65" i="31"/>
  <c r="T66" i="31"/>
  <c r="S67" i="31"/>
  <c r="M55" i="31"/>
  <c r="M69" i="31"/>
  <c r="L70" i="31"/>
  <c r="L56" i="31"/>
  <c r="O59" i="31"/>
  <c r="O73" i="31"/>
  <c r="X74" i="31"/>
  <c r="X60" i="31"/>
  <c r="BI31" i="31"/>
  <c r="BP45" i="31"/>
  <c r="BU45" i="31"/>
  <c r="CA45" i="31"/>
  <c r="BH48" i="31"/>
  <c r="BO64" i="31"/>
  <c r="BF67" i="31"/>
  <c r="BY67" i="31"/>
  <c r="BZ69" i="31"/>
  <c r="BF70" i="31"/>
  <c r="BO56" i="31"/>
  <c r="BO70" i="31"/>
  <c r="BF71" i="31"/>
  <c r="BF57" i="31"/>
  <c r="BT71" i="31"/>
  <c r="BK72" i="31"/>
  <c r="BT58" i="31"/>
  <c r="BT72" i="31"/>
  <c r="BC2" i="31"/>
  <c r="CA74" i="31"/>
  <c r="CA60" i="31"/>
  <c r="BC26" i="30"/>
  <c r="J33" i="37"/>
  <c r="I47" i="37"/>
  <c r="P45" i="37"/>
  <c r="J54" i="37"/>
  <c r="J64" i="37"/>
  <c r="C61" i="31"/>
  <c r="C75" i="31"/>
  <c r="BF49" i="18"/>
  <c r="E45" i="31"/>
  <c r="X45" i="31"/>
  <c r="Q64" i="31"/>
  <c r="Q50" i="31"/>
  <c r="H70" i="31"/>
  <c r="H56" i="31"/>
  <c r="Q72" i="31"/>
  <c r="Q58" i="31"/>
  <c r="BE31" i="31"/>
  <c r="BX31" i="31"/>
  <c r="BL45" i="31"/>
  <c r="BT50" i="31"/>
  <c r="BT64" i="31"/>
  <c r="BY51" i="31"/>
  <c r="BY65" i="31"/>
  <c r="BT67" i="31"/>
  <c r="BT53" i="31"/>
  <c r="BK70" i="31"/>
  <c r="BK56" i="31"/>
  <c r="BX74" i="31"/>
  <c r="BX60" i="31"/>
  <c r="BC10" i="31"/>
  <c r="BU69" i="31"/>
  <c r="BU55" i="31"/>
  <c r="BC12" i="31"/>
  <c r="BU74" i="31"/>
  <c r="BC9" i="30"/>
  <c r="I38" i="37"/>
  <c r="AW42" i="37"/>
  <c r="AO43" i="5"/>
  <c r="C43" i="31"/>
  <c r="AO49" i="5"/>
  <c r="C49" i="31"/>
  <c r="DI47" i="18"/>
  <c r="BE68" i="18"/>
  <c r="AG31" i="37"/>
  <c r="M63" i="31"/>
  <c r="G51" i="31"/>
  <c r="G65" i="31"/>
  <c r="Z65" i="31"/>
  <c r="Z51" i="31"/>
  <c r="L66" i="31"/>
  <c r="K67" i="31"/>
  <c r="X68" i="31"/>
  <c r="E55" i="31"/>
  <c r="E69" i="31"/>
  <c r="I71" i="31"/>
  <c r="R57" i="31"/>
  <c r="R71" i="31"/>
  <c r="G59" i="31"/>
  <c r="G73" i="31"/>
  <c r="Z73" i="31"/>
  <c r="Z59" i="31"/>
  <c r="P74" i="31"/>
  <c r="Y75" i="31"/>
  <c r="DU35" i="18"/>
  <c r="BH45" i="31"/>
  <c r="BM45" i="31"/>
  <c r="BK45" i="31"/>
  <c r="BP63" i="31"/>
  <c r="BV66" i="31"/>
  <c r="BQ69" i="31"/>
  <c r="BQ55" i="31"/>
  <c r="BG56" i="31"/>
  <c r="BG70" i="31"/>
  <c r="BV70" i="31"/>
  <c r="BV56" i="31"/>
  <c r="BL71" i="31"/>
  <c r="BL58" i="31"/>
  <c r="BL72" i="31"/>
  <c r="BQ73" i="31"/>
  <c r="BF75" i="31"/>
  <c r="BW76" i="31"/>
  <c r="BC26" i="31"/>
  <c r="BD36" i="31"/>
  <c r="BC17" i="31"/>
  <c r="BC3" i="30"/>
  <c r="BC23" i="30"/>
  <c r="C15" i="31"/>
  <c r="DA47" i="18"/>
  <c r="DB41" i="18"/>
  <c r="DA68" i="18"/>
  <c r="AH31" i="37"/>
  <c r="BG71" i="18"/>
  <c r="Z31" i="5"/>
  <c r="Y45" i="31"/>
  <c r="I64" i="31"/>
  <c r="I50" i="31"/>
  <c r="W50" i="31"/>
  <c r="W64" i="31"/>
  <c r="V65" i="31"/>
  <c r="V51" i="31"/>
  <c r="U63" i="31"/>
  <c r="O68" i="31"/>
  <c r="O54" i="31"/>
  <c r="N71" i="31"/>
  <c r="N57" i="31"/>
  <c r="I72" i="31"/>
  <c r="I58" i="31"/>
  <c r="W58" i="31"/>
  <c r="W72" i="31"/>
  <c r="V73" i="31"/>
  <c r="V59" i="31"/>
  <c r="L74" i="31"/>
  <c r="K75" i="31"/>
  <c r="X76" i="31"/>
  <c r="BL50" i="31"/>
  <c r="BL64" i="31"/>
  <c r="BL67" i="31"/>
  <c r="BL53" i="31"/>
  <c r="BV53" i="31"/>
  <c r="BV67" i="31"/>
  <c r="BM69" i="31"/>
  <c r="BM55" i="31"/>
  <c r="BT75" i="31"/>
  <c r="BT61" i="31"/>
  <c r="BR62" i="31"/>
  <c r="BR76" i="31"/>
  <c r="BC13" i="31"/>
  <c r="BD33" i="31"/>
  <c r="BC8" i="31"/>
  <c r="CA54" i="31"/>
  <c r="BC9" i="31"/>
  <c r="BC4" i="30"/>
  <c r="C70" i="31"/>
  <c r="C56" i="31"/>
  <c r="C21" i="31"/>
  <c r="BP53" i="18"/>
  <c r="BG33" i="18"/>
  <c r="AA31" i="5"/>
  <c r="U48" i="31"/>
  <c r="Y54" i="31"/>
  <c r="Y68" i="31"/>
  <c r="J57" i="31"/>
  <c r="J71" i="31"/>
  <c r="O76" i="31"/>
  <c r="O62" i="31"/>
  <c r="BE45" i="31"/>
  <c r="BX45" i="31"/>
  <c r="DU52" i="18"/>
  <c r="DU56" i="18"/>
  <c r="BM63" i="31"/>
  <c r="BR54" i="31"/>
  <c r="BR68" i="31"/>
  <c r="BI69" i="31"/>
  <c r="BI55" i="31"/>
  <c r="BW72" i="31"/>
  <c r="BW58" i="31"/>
  <c r="CB67" i="31"/>
  <c r="CB53" i="31"/>
  <c r="BC18" i="31"/>
  <c r="C57" i="31"/>
  <c r="C71" i="31"/>
  <c r="J38" i="37"/>
  <c r="AW54" i="37"/>
  <c r="AW64" i="37"/>
  <c r="AJ31" i="37"/>
  <c r="H45" i="31"/>
  <c r="M45" i="31"/>
  <c r="X66" i="31"/>
  <c r="X52" i="31"/>
  <c r="P70" i="31"/>
  <c r="P56" i="31"/>
  <c r="G72" i="31"/>
  <c r="J73" i="31"/>
  <c r="Q76" i="31"/>
  <c r="BH31" i="31"/>
  <c r="BM31" i="31"/>
  <c r="BV45" i="31"/>
  <c r="BT45" i="31"/>
  <c r="BI48" i="31"/>
  <c r="BS64" i="31"/>
  <c r="BX65" i="31"/>
  <c r="BS70" i="31"/>
  <c r="BS56" i="31"/>
  <c r="BO72" i="31"/>
  <c r="BY59" i="31"/>
  <c r="BY73" i="31"/>
  <c r="BJ62" i="31"/>
  <c r="BJ76" i="31"/>
  <c r="BD37" i="31"/>
  <c r="BC22" i="31"/>
  <c r="BC28" i="31"/>
  <c r="BC23" i="31"/>
  <c r="CA64" i="31"/>
  <c r="CA50" i="31"/>
  <c r="CA72" i="31"/>
  <c r="DU72" i="18"/>
  <c r="CA58" i="31"/>
  <c r="BC16" i="31"/>
  <c r="BC8" i="30"/>
  <c r="K64" i="37"/>
  <c r="C8" i="31"/>
  <c r="C13" i="31"/>
  <c r="AB68" i="31"/>
  <c r="AB54" i="31"/>
  <c r="EN32" i="18"/>
  <c r="DN59" i="18"/>
  <c r="DC39" i="18"/>
  <c r="AY31" i="5"/>
  <c r="I36" i="37"/>
  <c r="K53" i="37"/>
  <c r="K62" i="37"/>
  <c r="AV35" i="37"/>
  <c r="AS31" i="5"/>
  <c r="DC60" i="18"/>
  <c r="DG34" i="18"/>
  <c r="DA52" i="18"/>
  <c r="BF75" i="18"/>
  <c r="BF70" i="18"/>
  <c r="DC65" i="18"/>
  <c r="DE49" i="18"/>
  <c r="AV33" i="37"/>
  <c r="AW56" i="37"/>
  <c r="J36" i="37"/>
  <c r="AI31" i="37"/>
  <c r="AG45" i="37"/>
  <c r="AY45" i="5"/>
  <c r="DH44" i="18"/>
  <c r="BC7" i="30"/>
  <c r="BC27" i="30"/>
  <c r="L38" i="37"/>
  <c r="J55" i="37"/>
  <c r="J65" i="37"/>
  <c r="K67" i="37"/>
  <c r="AX54" i="37"/>
  <c r="K52" i="37"/>
  <c r="K71" i="37"/>
  <c r="BG40" i="18"/>
  <c r="AB31" i="5"/>
  <c r="DC40" i="18"/>
  <c r="BC25" i="30"/>
  <c r="K42" i="37"/>
  <c r="AK57" i="5"/>
  <c r="EN68" i="18"/>
  <c r="AV37" i="37"/>
  <c r="J50" i="37"/>
  <c r="BG66" i="18"/>
  <c r="BG70" i="18"/>
  <c r="AD31" i="5"/>
  <c r="J45" i="31"/>
  <c r="R45" i="31"/>
  <c r="Z45" i="31"/>
  <c r="J48" i="31"/>
  <c r="BJ31" i="31"/>
  <c r="BR31" i="31"/>
  <c r="BZ31" i="31"/>
  <c r="DU58" i="18"/>
  <c r="BR63" i="31"/>
  <c r="BZ63" i="31"/>
  <c r="DU76" i="18"/>
  <c r="DN62" i="18"/>
  <c r="DA33" i="18"/>
  <c r="DC64" i="18"/>
  <c r="DC43" i="18"/>
  <c r="DC57" i="18"/>
  <c r="AV41" i="37"/>
  <c r="J44" i="37"/>
  <c r="I71" i="37"/>
  <c r="M41" i="37"/>
  <c r="I35" i="37"/>
  <c r="J66" i="37"/>
  <c r="K76" i="37"/>
  <c r="AW62" i="37"/>
  <c r="AE45" i="5"/>
  <c r="AI45" i="5"/>
  <c r="BI38" i="18"/>
  <c r="DB40" i="18"/>
  <c r="DC59" i="18"/>
  <c r="DC68" i="18"/>
  <c r="DA44" i="18"/>
  <c r="BE58" i="18"/>
  <c r="DJ75" i="18"/>
  <c r="DB75" i="18"/>
  <c r="DC49" i="18"/>
  <c r="AV75" i="37"/>
  <c r="K51" i="37"/>
  <c r="K44" i="37"/>
  <c r="I53" i="37"/>
  <c r="AL45" i="5"/>
  <c r="DA53" i="18"/>
  <c r="DC44" i="18"/>
  <c r="DB55" i="18"/>
  <c r="DA36" i="18"/>
  <c r="AW65" i="37"/>
  <c r="BG44" i="18"/>
  <c r="BG43" i="18"/>
  <c r="J53" i="37"/>
  <c r="I61" i="37"/>
  <c r="AV69" i="37"/>
  <c r="DO38" i="18"/>
  <c r="DI59" i="18"/>
  <c r="BL75" i="18"/>
  <c r="DC69" i="18"/>
  <c r="DA35" i="18"/>
  <c r="BG32" i="18"/>
  <c r="BG47" i="18"/>
  <c r="BG68" i="18"/>
  <c r="BG74" i="18"/>
  <c r="CQ38" i="18"/>
  <c r="DW38" i="18"/>
  <c r="CT40" i="18"/>
  <c r="DZ40" i="18"/>
  <c r="CW39" i="18"/>
  <c r="EC39" i="18"/>
  <c r="AZ59" i="18"/>
  <c r="CF59" i="18"/>
  <c r="CX73" i="18"/>
  <c r="ED73" i="18"/>
  <c r="AY41" i="18"/>
  <c r="CE41" i="18"/>
  <c r="BC41" i="18"/>
  <c r="CI41" i="18"/>
  <c r="CX40" i="18"/>
  <c r="ED40" i="18"/>
  <c r="AW47" i="18"/>
  <c r="CC47" i="18"/>
  <c r="CR33" i="18"/>
  <c r="DX33" i="18"/>
  <c r="CR57" i="18"/>
  <c r="DX57" i="18"/>
  <c r="CV39" i="18"/>
  <c r="EB39" i="18"/>
  <c r="BB34" i="18"/>
  <c r="CH34" i="18"/>
  <c r="AX38" i="18"/>
  <c r="CD38" i="18"/>
  <c r="BC44" i="18"/>
  <c r="CI44" i="18"/>
  <c r="CS43" i="18"/>
  <c r="DY43" i="18"/>
  <c r="CV58" i="18"/>
  <c r="EB58" i="18"/>
  <c r="CQ51" i="18"/>
  <c r="DW51" i="18"/>
  <c r="CP37" i="18"/>
  <c r="DV37" i="18"/>
  <c r="BA64" i="18"/>
  <c r="CG64" i="18"/>
  <c r="BD35" i="18"/>
  <c r="CJ35" i="18"/>
  <c r="BA71" i="18"/>
  <c r="CG71" i="18"/>
  <c r="AY58" i="18"/>
  <c r="CE58" i="18"/>
  <c r="AU43" i="18"/>
  <c r="CA43" i="18"/>
  <c r="AT35" i="18"/>
  <c r="BZ35" i="18"/>
  <c r="CM64" i="18"/>
  <c r="DS64" i="18"/>
  <c r="AJ38" i="18"/>
  <c r="CP35" i="18"/>
  <c r="DV35" i="18"/>
  <c r="CZ68" i="18"/>
  <c r="EF68" i="18"/>
  <c r="CN74" i="18"/>
  <c r="DT74" i="18"/>
  <c r="AP41" i="18"/>
  <c r="BV41" i="18"/>
  <c r="F36" i="18"/>
  <c r="AF36" i="18"/>
  <c r="D51" i="18"/>
  <c r="CV46" i="18"/>
  <c r="EB46" i="18"/>
  <c r="AO54" i="18"/>
  <c r="DB35" i="18"/>
  <c r="BD37" i="18"/>
  <c r="CJ37" i="18"/>
  <c r="AR62" i="18"/>
  <c r="BX62" i="18"/>
  <c r="AJ42" i="18"/>
  <c r="EH56" i="18"/>
  <c r="EL56" i="18"/>
  <c r="CM36" i="18"/>
  <c r="DS36" i="18"/>
  <c r="CT56" i="18"/>
  <c r="DZ56" i="18"/>
  <c r="F59" i="18"/>
  <c r="AF59" i="18"/>
  <c r="BA54" i="18"/>
  <c r="CG54" i="18"/>
  <c r="AK61" i="18"/>
  <c r="CQ43" i="18"/>
  <c r="DW43" i="18"/>
  <c r="AP43" i="18"/>
  <c r="BV43" i="18"/>
  <c r="G47" i="18"/>
  <c r="AG47" i="18"/>
  <c r="BF42" i="18"/>
  <c r="EH61" i="18"/>
  <c r="EL61" i="18"/>
  <c r="CY36" i="18"/>
  <c r="EE36" i="18"/>
  <c r="CL76" i="18"/>
  <c r="DR76" i="18"/>
  <c r="AP67" i="18"/>
  <c r="BV67" i="18"/>
  <c r="EH72" i="18"/>
  <c r="AR50" i="18"/>
  <c r="BX50" i="18"/>
  <c r="AW51" i="18"/>
  <c r="CC51" i="18"/>
  <c r="AI70" i="18"/>
  <c r="AR53" i="18"/>
  <c r="BX53" i="18"/>
  <c r="AN49" i="18"/>
  <c r="DB38" i="18"/>
  <c r="DB46" i="18"/>
  <c r="BF74" i="18"/>
  <c r="BB49" i="18"/>
  <c r="CH49" i="18"/>
  <c r="AP33" i="18"/>
  <c r="BV33" i="18"/>
  <c r="AR54" i="18"/>
  <c r="BX54" i="18"/>
  <c r="CP39" i="18"/>
  <c r="DV39" i="18"/>
  <c r="CX44" i="18"/>
  <c r="ED44" i="18"/>
  <c r="CN50" i="18"/>
  <c r="DT50" i="18"/>
  <c r="AW33" i="18"/>
  <c r="CC33" i="18"/>
  <c r="AQ56" i="18"/>
  <c r="BW56" i="18"/>
  <c r="G34" i="18"/>
  <c r="AG34" i="18"/>
  <c r="AK46" i="18"/>
  <c r="EI64" i="18"/>
  <c r="EM64" i="18"/>
  <c r="CU41" i="18"/>
  <c r="EA41" i="18"/>
  <c r="CN52" i="18"/>
  <c r="DT52" i="18"/>
  <c r="CW66" i="18"/>
  <c r="EC66" i="18"/>
  <c r="AR49" i="18"/>
  <c r="BX49" i="18"/>
  <c r="AR57" i="18"/>
  <c r="BX57" i="18"/>
  <c r="AR76" i="18"/>
  <c r="BX76" i="18"/>
  <c r="AI40" i="18"/>
  <c r="AM55" i="18"/>
  <c r="DO69" i="18"/>
  <c r="EI71" i="18"/>
  <c r="EM71" i="18"/>
  <c r="CN54" i="18"/>
  <c r="DT54" i="18"/>
  <c r="CS51" i="18"/>
  <c r="DY51" i="18"/>
  <c r="CL32" i="18"/>
  <c r="DR32" i="18"/>
  <c r="AQ60" i="18"/>
  <c r="BW60" i="18"/>
  <c r="AZ52" i="18"/>
  <c r="CF52" i="18"/>
  <c r="BA69" i="18"/>
  <c r="CG69" i="18"/>
  <c r="E59" i="18"/>
  <c r="AE59" i="18"/>
  <c r="DA34" i="18"/>
  <c r="CL42" i="18"/>
  <c r="DR42" i="18"/>
  <c r="AR42" i="18"/>
  <c r="BX42" i="18"/>
  <c r="AR51" i="18"/>
  <c r="BX51" i="18"/>
  <c r="AR64" i="18"/>
  <c r="BX64" i="18"/>
  <c r="AP65" i="18"/>
  <c r="BV65" i="18"/>
  <c r="AW57" i="18"/>
  <c r="CC57" i="18"/>
  <c r="AR73" i="18"/>
  <c r="BX73" i="18"/>
  <c r="AK38" i="18"/>
  <c r="AN59" i="18"/>
  <c r="EH55" i="18"/>
  <c r="EL55" i="18"/>
  <c r="CS49" i="18"/>
  <c r="DY49" i="18"/>
  <c r="CL67" i="18"/>
  <c r="DR67" i="18"/>
  <c r="AP71" i="18"/>
  <c r="BV71" i="18"/>
  <c r="AN44" i="18"/>
  <c r="CR47" i="18"/>
  <c r="DX47" i="18"/>
  <c r="DA39" i="18"/>
  <c r="CR37" i="18"/>
  <c r="DX37" i="18"/>
  <c r="BE57" i="18"/>
  <c r="DI44" i="18"/>
  <c r="DJ62" i="18"/>
  <c r="CZ37" i="18"/>
  <c r="EF37" i="18"/>
  <c r="CT49" i="18"/>
  <c r="DZ49" i="18"/>
  <c r="CN66" i="18"/>
  <c r="DT66" i="18"/>
  <c r="AQ32" i="18"/>
  <c r="BW32" i="18"/>
  <c r="AT32" i="18"/>
  <c r="BZ32" i="18"/>
  <c r="AR46" i="18"/>
  <c r="BG46" i="18"/>
  <c r="AV46" i="18"/>
  <c r="CB46" i="18"/>
  <c r="AR52" i="18"/>
  <c r="BX52" i="18"/>
  <c r="BA66" i="18"/>
  <c r="CG66" i="18"/>
  <c r="AL66" i="18"/>
  <c r="CV44" i="18"/>
  <c r="EB44" i="18"/>
  <c r="CL73" i="18"/>
  <c r="DR73" i="18"/>
  <c r="AX41" i="18"/>
  <c r="CD41" i="18"/>
  <c r="EH74" i="18"/>
  <c r="EL74" i="18"/>
  <c r="CY39" i="18"/>
  <c r="EE39" i="18"/>
  <c r="AP64" i="18"/>
  <c r="BV64" i="18"/>
  <c r="G54" i="18"/>
  <c r="AG54" i="18"/>
  <c r="DB47" i="18"/>
  <c r="EH42" i="18"/>
  <c r="EH76" i="18"/>
  <c r="CR35" i="18"/>
  <c r="DX35" i="18"/>
  <c r="CY41" i="18"/>
  <c r="EE41" i="18"/>
  <c r="AV37" i="18"/>
  <c r="CB37" i="18"/>
  <c r="AQ43" i="18"/>
  <c r="BW43" i="18"/>
  <c r="AP51" i="18"/>
  <c r="BV51" i="18"/>
  <c r="G37" i="18"/>
  <c r="AG37" i="18"/>
  <c r="AO47" i="18"/>
  <c r="E55" i="18"/>
  <c r="AE55" i="18"/>
  <c r="AI60" i="18"/>
  <c r="AH65" i="18"/>
  <c r="AI72" i="18"/>
  <c r="CM61" i="18"/>
  <c r="DS61" i="18"/>
  <c r="AQ44" i="18"/>
  <c r="BW44" i="18"/>
  <c r="AK35" i="18"/>
  <c r="E39" i="18"/>
  <c r="AE39" i="18"/>
  <c r="EH37" i="18"/>
  <c r="CV73" i="18"/>
  <c r="EB73" i="18"/>
  <c r="BB59" i="18"/>
  <c r="CH59" i="18"/>
  <c r="AH56" i="18"/>
  <c r="AJ62" i="18"/>
  <c r="BJ54" i="18"/>
  <c r="DM62" i="18"/>
  <c r="DB43" i="18"/>
  <c r="BG65" i="18"/>
  <c r="EI36" i="18"/>
  <c r="EI40" i="18"/>
  <c r="EI54" i="18"/>
  <c r="EM54" i="18"/>
  <c r="EI59" i="18"/>
  <c r="EM59" i="18"/>
  <c r="CR36" i="18"/>
  <c r="DX36" i="18"/>
  <c r="AP42" i="18"/>
  <c r="BV42" i="18"/>
  <c r="AI41" i="18"/>
  <c r="AI69" i="18"/>
  <c r="CM50" i="18"/>
  <c r="DS50" i="18"/>
  <c r="EI46" i="18"/>
  <c r="BG59" i="18"/>
  <c r="DI56" i="18"/>
  <c r="EH34" i="18"/>
  <c r="EI38" i="18"/>
  <c r="EI56" i="18"/>
  <c r="EM56" i="18"/>
  <c r="CV34" i="18"/>
  <c r="EB34" i="18"/>
  <c r="CP38" i="18"/>
  <c r="DV38" i="18"/>
  <c r="CY44" i="18"/>
  <c r="EE44" i="18"/>
  <c r="CN71" i="18"/>
  <c r="DT71" i="18"/>
  <c r="CZ75" i="18"/>
  <c r="EF75" i="18"/>
  <c r="CL59" i="18"/>
  <c r="DR59" i="18"/>
  <c r="AY43" i="18"/>
  <c r="CE43" i="18"/>
  <c r="E47" i="18"/>
  <c r="AE47" i="18"/>
  <c r="G51" i="18"/>
  <c r="AG51" i="18"/>
  <c r="AO56" i="18"/>
  <c r="AO60" i="18"/>
  <c r="CM69" i="18"/>
  <c r="DS69" i="18"/>
  <c r="EI69" i="18"/>
  <c r="EM69" i="18"/>
  <c r="EN69" i="18"/>
  <c r="F67" i="18"/>
  <c r="AF67" i="18"/>
  <c r="AL73" i="18"/>
  <c r="DB64" i="18"/>
  <c r="DA42" i="18"/>
  <c r="EH35" i="18"/>
  <c r="EI62" i="18"/>
  <c r="EI70" i="18"/>
  <c r="CQ35" i="18"/>
  <c r="DW35" i="18"/>
  <c r="CZ55" i="18"/>
  <c r="EF55" i="18"/>
  <c r="CW57" i="18"/>
  <c r="EC57" i="18"/>
  <c r="AP54" i="18"/>
  <c r="BV54" i="18"/>
  <c r="AI36" i="18"/>
  <c r="AL44" i="18"/>
  <c r="G61" i="18"/>
  <c r="AG61" i="18"/>
  <c r="CP64" i="18"/>
  <c r="DV64" i="18"/>
  <c r="AQ36" i="18"/>
  <c r="BW36" i="18"/>
  <c r="EI51" i="18"/>
  <c r="EM51" i="18"/>
  <c r="EI58" i="18"/>
  <c r="EI66" i="18"/>
  <c r="EM66" i="18"/>
  <c r="AN35" i="18"/>
  <c r="EI43" i="18"/>
  <c r="EM43" i="18"/>
  <c r="EN43" i="18"/>
  <c r="EH59" i="18"/>
  <c r="EI67" i="18"/>
  <c r="EI72" i="18"/>
  <c r="EM72" i="18"/>
  <c r="CR69" i="18"/>
  <c r="DX69" i="18"/>
  <c r="CL38" i="18"/>
  <c r="DR38" i="18"/>
  <c r="AQ38" i="18"/>
  <c r="BW38" i="18"/>
  <c r="AU69" i="18"/>
  <c r="CA69" i="18"/>
  <c r="E34" i="18"/>
  <c r="AE34" i="18"/>
  <c r="AL55" i="18"/>
  <c r="AL59" i="18"/>
  <c r="CS71" i="18"/>
  <c r="DY71" i="18"/>
  <c r="EH47" i="18"/>
  <c r="CL54" i="18"/>
  <c r="DR54" i="18"/>
  <c r="AH39" i="18"/>
  <c r="CS39" i="18"/>
  <c r="DY39" i="18"/>
  <c r="BE39" i="18"/>
  <c r="AO74" i="18"/>
  <c r="CZ60" i="18"/>
  <c r="EF60" i="18"/>
  <c r="CV33" i="18"/>
  <c r="EB33" i="18"/>
  <c r="AU58" i="18"/>
  <c r="CA58" i="18"/>
  <c r="CL66" i="18"/>
  <c r="DR66" i="18"/>
  <c r="AX61" i="18"/>
  <c r="CD61" i="18"/>
  <c r="AI75" i="18"/>
  <c r="CS42" i="18"/>
  <c r="DY42" i="18"/>
  <c r="AH42" i="18"/>
  <c r="CW49" i="18"/>
  <c r="EC49" i="18"/>
  <c r="AL49" i="18"/>
  <c r="AO43" i="18"/>
  <c r="E35" i="18"/>
  <c r="AE35" i="18"/>
  <c r="EI74" i="18"/>
  <c r="EM74" i="18"/>
  <c r="EI60" i="18"/>
  <c r="EI75" i="18"/>
  <c r="EI61" i="18"/>
  <c r="EM61" i="18"/>
  <c r="BG67" i="18"/>
  <c r="BS56" i="18"/>
  <c r="DL33" i="18"/>
  <c r="CO42" i="18"/>
  <c r="DD42" i="18"/>
  <c r="BD50" i="18"/>
  <c r="CJ50" i="18"/>
  <c r="AW40" i="18"/>
  <c r="CC40" i="18"/>
  <c r="AH40" i="18"/>
  <c r="G67" i="18"/>
  <c r="AG67" i="18"/>
  <c r="AV53" i="18"/>
  <c r="CB53" i="18"/>
  <c r="CL46" i="18"/>
  <c r="DR46" i="18"/>
  <c r="AH60" i="18"/>
  <c r="G33" i="18"/>
  <c r="AG33" i="18"/>
  <c r="AV33" i="18"/>
  <c r="CB33" i="18"/>
  <c r="CM66" i="18"/>
  <c r="DS66" i="18"/>
  <c r="CM52" i="18"/>
  <c r="DS52" i="18"/>
  <c r="G65" i="18"/>
  <c r="AG65" i="18"/>
  <c r="AO51" i="18"/>
  <c r="EH49" i="18"/>
  <c r="EL49" i="18"/>
  <c r="CN55" i="18"/>
  <c r="DT55" i="18"/>
  <c r="AJ36" i="18"/>
  <c r="CP36" i="18"/>
  <c r="DV36" i="18"/>
  <c r="AT36" i="18"/>
  <c r="BZ36" i="18"/>
  <c r="AI62" i="18"/>
  <c r="AI76" i="18"/>
  <c r="BE42" i="18"/>
  <c r="CY58" i="18"/>
  <c r="EE58" i="18"/>
  <c r="AZ44" i="18"/>
  <c r="CF44" i="18"/>
  <c r="BD70" i="18"/>
  <c r="CJ70" i="18"/>
  <c r="CY72" i="18"/>
  <c r="EE72" i="18"/>
  <c r="DA62" i="18"/>
  <c r="AU33" i="18"/>
  <c r="CA33" i="18"/>
  <c r="EH52" i="18"/>
  <c r="EH66" i="18"/>
  <c r="EL66" i="18"/>
  <c r="BE53" i="18"/>
  <c r="BM40" i="18"/>
  <c r="AR45" i="18"/>
  <c r="BG45" i="18"/>
  <c r="BL51" i="18"/>
  <c r="BF76" i="18"/>
  <c r="CZ54" i="18"/>
  <c r="EF54" i="18"/>
  <c r="CT70" i="18"/>
  <c r="DZ70" i="18"/>
  <c r="CX59" i="18"/>
  <c r="ED59" i="18"/>
  <c r="BL53" i="18"/>
  <c r="AN38" i="18"/>
  <c r="AM32" i="18"/>
  <c r="BC32" i="18"/>
  <c r="CI32" i="18"/>
  <c r="AL40" i="18"/>
  <c r="BA40" i="18"/>
  <c r="CG40" i="18"/>
  <c r="AQ73" i="18"/>
  <c r="BW73" i="18"/>
  <c r="AQ59" i="18"/>
  <c r="BW59" i="18"/>
  <c r="AH41" i="18"/>
  <c r="CR54" i="18"/>
  <c r="DX54" i="18"/>
  <c r="AY39" i="18"/>
  <c r="CE39" i="18"/>
  <c r="AK33" i="18"/>
  <c r="CM33" i="18"/>
  <c r="DS33" i="18"/>
  <c r="BN42" i="18"/>
  <c r="CY42" i="18"/>
  <c r="EE42" i="18"/>
  <c r="CN70" i="18"/>
  <c r="DT70" i="18"/>
  <c r="CN56" i="18"/>
  <c r="DT56" i="18"/>
  <c r="CL37" i="18"/>
  <c r="DR37" i="18"/>
  <c r="G50" i="18"/>
  <c r="AG50" i="18"/>
  <c r="AO50" i="18"/>
  <c r="CZ50" i="18"/>
  <c r="EF50" i="18"/>
  <c r="AO64" i="18"/>
  <c r="AN36" i="18"/>
  <c r="BB36" i="18"/>
  <c r="CH36" i="18"/>
  <c r="CX36" i="18"/>
  <c r="ED36" i="18"/>
  <c r="CU76" i="18"/>
  <c r="EA76" i="18"/>
  <c r="CW43" i="18"/>
  <c r="EC43" i="18"/>
  <c r="AK57" i="18"/>
  <c r="CM57" i="18"/>
  <c r="DS57" i="18"/>
  <c r="CM71" i="18"/>
  <c r="DS71" i="18"/>
  <c r="CQ36" i="18"/>
  <c r="DW36" i="18"/>
  <c r="DL60" i="18"/>
  <c r="BB39" i="18"/>
  <c r="CH39" i="18"/>
  <c r="BR62" i="18"/>
  <c r="BC76" i="18"/>
  <c r="CI76" i="18"/>
  <c r="BF40" i="18"/>
  <c r="CP42" i="18"/>
  <c r="DV42" i="18"/>
  <c r="CU47" i="18"/>
  <c r="EA47" i="18"/>
  <c r="D75" i="18"/>
  <c r="D61" i="18"/>
  <c r="CU34" i="18"/>
  <c r="EA34" i="18"/>
  <c r="CZ43" i="18"/>
  <c r="EF43" i="18"/>
  <c r="DE53" i="18"/>
  <c r="CW71" i="18"/>
  <c r="EC71" i="18"/>
  <c r="CW74" i="18"/>
  <c r="EC74" i="18"/>
  <c r="CQ75" i="18"/>
  <c r="DW75" i="18"/>
  <c r="CQ61" i="18"/>
  <c r="DW61" i="18"/>
  <c r="CY76" i="18"/>
  <c r="EE76" i="18"/>
  <c r="D69" i="18"/>
  <c r="D55" i="18"/>
  <c r="CU73" i="18"/>
  <c r="EA73" i="18"/>
  <c r="CU59" i="18"/>
  <c r="EA59" i="18"/>
  <c r="CX35" i="18"/>
  <c r="ED35" i="18"/>
  <c r="BE56" i="18"/>
  <c r="CV36" i="18"/>
  <c r="EB36" i="18"/>
  <c r="CX38" i="18"/>
  <c r="ED38" i="18"/>
  <c r="CW40" i="18"/>
  <c r="EC40" i="18"/>
  <c r="CZ71" i="18"/>
  <c r="EF71" i="18"/>
  <c r="CZ57" i="18"/>
  <c r="EF57" i="18"/>
  <c r="BA50" i="18"/>
  <c r="CG50" i="18"/>
  <c r="AZ47" i="18"/>
  <c r="CF47" i="18"/>
  <c r="BG57" i="18"/>
  <c r="CN38" i="18"/>
  <c r="DT38" i="18"/>
  <c r="CN46" i="18"/>
  <c r="DT46" i="18"/>
  <c r="AU39" i="18"/>
  <c r="CA39" i="18"/>
  <c r="AK39" i="18"/>
  <c r="G49" i="18"/>
  <c r="AG49" i="18"/>
  <c r="CU64" i="18"/>
  <c r="EA64" i="18"/>
  <c r="AL36" i="18"/>
  <c r="CL43" i="18"/>
  <c r="DR43" i="18"/>
  <c r="AQ71" i="18"/>
  <c r="BW71" i="18"/>
  <c r="AQ57" i="18"/>
  <c r="BW57" i="18"/>
  <c r="AP35" i="18"/>
  <c r="BV35" i="18"/>
  <c r="AS43" i="18"/>
  <c r="BH43" i="18"/>
  <c r="BC59" i="18"/>
  <c r="CI59" i="18"/>
  <c r="CW44" i="18"/>
  <c r="EC44" i="18"/>
  <c r="BG39" i="18"/>
  <c r="AW39" i="18"/>
  <c r="CC39" i="18"/>
  <c r="CS33" i="18"/>
  <c r="DY33" i="18"/>
  <c r="CV59" i="18"/>
  <c r="EB59" i="18"/>
  <c r="CZ61" i="18"/>
  <c r="EF61" i="18"/>
  <c r="CV32" i="18"/>
  <c r="EB32" i="18"/>
  <c r="CU56" i="18"/>
  <c r="EA56" i="18"/>
  <c r="CZ74" i="18"/>
  <c r="EF74" i="18"/>
  <c r="AX32" i="18"/>
  <c r="CD32" i="18"/>
  <c r="BD34" i="18"/>
  <c r="CJ34" i="18"/>
  <c r="AW65" i="18"/>
  <c r="CC65" i="18"/>
  <c r="AH32" i="18"/>
  <c r="F53" i="18"/>
  <c r="AF53" i="18"/>
  <c r="AM47" i="18"/>
  <c r="CY47" i="18"/>
  <c r="EE47" i="18"/>
  <c r="CW59" i="18"/>
  <c r="EC59" i="18"/>
  <c r="AJ68" i="18"/>
  <c r="AT68" i="18"/>
  <c r="BZ68" i="18"/>
  <c r="AI46" i="18"/>
  <c r="G74" i="18"/>
  <c r="AG74" i="18"/>
  <c r="AN33" i="18"/>
  <c r="CX33" i="18"/>
  <c r="ED33" i="18"/>
  <c r="AY34" i="18"/>
  <c r="CE34" i="18"/>
  <c r="BC34" i="18"/>
  <c r="CI34" i="18"/>
  <c r="AM34" i="18"/>
  <c r="CM58" i="18"/>
  <c r="DS58" i="18"/>
  <c r="CM72" i="18"/>
  <c r="DS72" i="18"/>
  <c r="AX75" i="18"/>
  <c r="CD75" i="18"/>
  <c r="AQ61" i="18"/>
  <c r="BW61" i="18"/>
  <c r="AO70" i="18"/>
  <c r="F51" i="18"/>
  <c r="AF51" i="18"/>
  <c r="AN65" i="18"/>
  <c r="AN51" i="18"/>
  <c r="AM37" i="18"/>
  <c r="AK69" i="18"/>
  <c r="AK55" i="18"/>
  <c r="CQ69" i="18"/>
  <c r="DW69" i="18"/>
  <c r="AH62" i="18"/>
  <c r="AP76" i="18"/>
  <c r="BV76" i="18"/>
  <c r="AP62" i="18"/>
  <c r="BV62" i="18"/>
  <c r="G43" i="18"/>
  <c r="AG43" i="18"/>
  <c r="CV57" i="18"/>
  <c r="EB57" i="18"/>
  <c r="F57" i="18"/>
  <c r="AF57" i="18"/>
  <c r="AN71" i="18"/>
  <c r="BC35" i="18"/>
  <c r="CI35" i="18"/>
  <c r="AM35" i="18"/>
  <c r="CX67" i="18"/>
  <c r="ED67" i="18"/>
  <c r="CX53" i="18"/>
  <c r="ED53" i="18"/>
  <c r="CV75" i="18"/>
  <c r="EB75" i="18"/>
  <c r="AT76" i="18"/>
  <c r="BZ76" i="18"/>
  <c r="AT62" i="18"/>
  <c r="BZ62" i="18"/>
  <c r="AI32" i="18"/>
  <c r="AP40" i="18"/>
  <c r="BV40" i="18"/>
  <c r="AO53" i="18"/>
  <c r="F47" i="18"/>
  <c r="AF47" i="18"/>
  <c r="AN47" i="18"/>
  <c r="AM73" i="18"/>
  <c r="AM59" i="18"/>
  <c r="CN41" i="18"/>
  <c r="DT41" i="18"/>
  <c r="AK54" i="18"/>
  <c r="CM68" i="18"/>
  <c r="DS68" i="18"/>
  <c r="CM54" i="18"/>
  <c r="DS54" i="18"/>
  <c r="AI39" i="18"/>
  <c r="CT39" i="18"/>
  <c r="DZ39" i="18"/>
  <c r="AQ39" i="18"/>
  <c r="BW39" i="18"/>
  <c r="AP74" i="18"/>
  <c r="BV74" i="18"/>
  <c r="AP60" i="18"/>
  <c r="BV60" i="18"/>
  <c r="CU44" i="18"/>
  <c r="EA44" i="18"/>
  <c r="AL72" i="18"/>
  <c r="CN58" i="18"/>
  <c r="DT58" i="18"/>
  <c r="AK66" i="18"/>
  <c r="AK52" i="18"/>
  <c r="AJ75" i="18"/>
  <c r="AJ61" i="18"/>
  <c r="CL61" i="18"/>
  <c r="DR61" i="18"/>
  <c r="CL75" i="18"/>
  <c r="DR75" i="18"/>
  <c r="AI42" i="18"/>
  <c r="AX42" i="18"/>
  <c r="CD42" i="18"/>
  <c r="AP70" i="18"/>
  <c r="BV70" i="18"/>
  <c r="F37" i="18"/>
  <c r="AF37" i="18"/>
  <c r="AN37" i="18"/>
  <c r="AM49" i="18"/>
  <c r="CY49" i="18"/>
  <c r="EE49" i="18"/>
  <c r="AK64" i="18"/>
  <c r="CQ64" i="18"/>
  <c r="DW64" i="18"/>
  <c r="AK50" i="18"/>
  <c r="AQ62" i="18"/>
  <c r="BW62" i="18"/>
  <c r="AW43" i="18"/>
  <c r="CC43" i="18"/>
  <c r="AO71" i="18"/>
  <c r="AO57" i="18"/>
  <c r="F35" i="18"/>
  <c r="AF35" i="18"/>
  <c r="EI55" i="18"/>
  <c r="EM55" i="18"/>
  <c r="CT38" i="18"/>
  <c r="DZ38" i="18"/>
  <c r="CS40" i="18"/>
  <c r="DY40" i="18"/>
  <c r="CV61" i="18"/>
  <c r="EB61" i="18"/>
  <c r="CN73" i="18"/>
  <c r="DT73" i="18"/>
  <c r="BB35" i="18"/>
  <c r="CH35" i="18"/>
  <c r="BB44" i="18"/>
  <c r="CH44" i="18"/>
  <c r="AU55" i="18"/>
  <c r="CA55" i="18"/>
  <c r="BA59" i="18"/>
  <c r="CG59" i="18"/>
  <c r="AX62" i="18"/>
  <c r="CD62" i="18"/>
  <c r="F33" i="18"/>
  <c r="AF33" i="18"/>
  <c r="E49" i="18"/>
  <c r="AE49" i="18"/>
  <c r="G53" i="18"/>
  <c r="AG53" i="18"/>
  <c r="F65" i="18"/>
  <c r="AF65" i="18"/>
  <c r="AO67" i="18"/>
  <c r="CP44" i="18"/>
  <c r="DV44" i="18"/>
  <c r="CS56" i="18"/>
  <c r="DY56" i="18"/>
  <c r="CN72" i="18"/>
  <c r="DT72" i="18"/>
  <c r="AP32" i="18"/>
  <c r="BV32" i="18"/>
  <c r="AZ36" i="18"/>
  <c r="CF36" i="18"/>
  <c r="BA41" i="18"/>
  <c r="CG41" i="18"/>
  <c r="AW67" i="18"/>
  <c r="CC67" i="18"/>
  <c r="AW70" i="18"/>
  <c r="CC70" i="18"/>
  <c r="AL41" i="18"/>
  <c r="AH43" i="18"/>
  <c r="AM44" i="18"/>
  <c r="AK68" i="18"/>
  <c r="E40" i="18"/>
  <c r="AE40" i="18"/>
  <c r="AM40" i="18"/>
  <c r="CY40" i="18"/>
  <c r="EE40" i="18"/>
  <c r="CN67" i="18"/>
  <c r="DT67" i="18"/>
  <c r="AJ59" i="18"/>
  <c r="AJ73" i="18"/>
  <c r="AQ41" i="18"/>
  <c r="BW41" i="18"/>
  <c r="CS54" i="18"/>
  <c r="DY54" i="18"/>
  <c r="AN39" i="18"/>
  <c r="CY74" i="18"/>
  <c r="EE74" i="18"/>
  <c r="CY60" i="18"/>
  <c r="EE60" i="18"/>
  <c r="CM34" i="18"/>
  <c r="DS34" i="18"/>
  <c r="CN51" i="18"/>
  <c r="DT51" i="18"/>
  <c r="CQ37" i="18"/>
  <c r="DW37" i="18"/>
  <c r="CM37" i="18"/>
  <c r="DS37" i="18"/>
  <c r="AJ49" i="18"/>
  <c r="CL49" i="18"/>
  <c r="DR49" i="18"/>
  <c r="AO36" i="18"/>
  <c r="CZ36" i="18"/>
  <c r="EF36" i="18"/>
  <c r="AZ76" i="18"/>
  <c r="CF76" i="18"/>
  <c r="CX76" i="18"/>
  <c r="ED76" i="18"/>
  <c r="AU35" i="18"/>
  <c r="CA35" i="18"/>
  <c r="AR61" i="18"/>
  <c r="BX61" i="18"/>
  <c r="AR75" i="18"/>
  <c r="BX75" i="18"/>
  <c r="AR36" i="18"/>
  <c r="BX36" i="18"/>
  <c r="D45" i="18"/>
  <c r="CM45" i="18"/>
  <c r="DB45" i="18"/>
  <c r="DJ67" i="18"/>
  <c r="CM49" i="18"/>
  <c r="DS49" i="18"/>
  <c r="AV49" i="18"/>
  <c r="CB49" i="18"/>
  <c r="CT41" i="18"/>
  <c r="DZ41" i="18"/>
  <c r="CZ46" i="18"/>
  <c r="EF46" i="18"/>
  <c r="DC53" i="18"/>
  <c r="CS34" i="18"/>
  <c r="DY34" i="18"/>
  <c r="CT76" i="18"/>
  <c r="DZ76" i="18"/>
  <c r="CT62" i="18"/>
  <c r="DZ62" i="18"/>
  <c r="DH57" i="18"/>
  <c r="CR53" i="18"/>
  <c r="DX53" i="18"/>
  <c r="CR67" i="18"/>
  <c r="DX67" i="18"/>
  <c r="AD31" i="18"/>
  <c r="CT33" i="18"/>
  <c r="DZ33" i="18"/>
  <c r="CX41" i="18"/>
  <c r="ED41" i="18"/>
  <c r="DB36" i="18"/>
  <c r="CP43" i="18"/>
  <c r="DV43" i="18"/>
  <c r="CX47" i="18"/>
  <c r="ED47" i="18"/>
  <c r="CV49" i="18"/>
  <c r="EB49" i="18"/>
  <c r="CY54" i="18"/>
  <c r="EE54" i="18"/>
  <c r="CY68" i="18"/>
  <c r="EE68" i="18"/>
  <c r="CY56" i="18"/>
  <c r="EE56" i="18"/>
  <c r="CY70" i="18"/>
  <c r="EE70" i="18"/>
  <c r="AV43" i="18"/>
  <c r="CB43" i="18"/>
  <c r="CV35" i="18"/>
  <c r="EB35" i="18"/>
  <c r="CV38" i="18"/>
  <c r="EB38" i="18"/>
  <c r="CY43" i="18"/>
  <c r="EE43" i="18"/>
  <c r="CT69" i="18"/>
  <c r="DZ69" i="18"/>
  <c r="CT55" i="18"/>
  <c r="DZ55" i="18"/>
  <c r="CP34" i="18"/>
  <c r="DV34" i="18"/>
  <c r="CQ40" i="18"/>
  <c r="DW40" i="18"/>
  <c r="CR44" i="18"/>
  <c r="DX44" i="18"/>
  <c r="AZ34" i="18"/>
  <c r="CF34" i="18"/>
  <c r="AZ46" i="18"/>
  <c r="CF46" i="18"/>
  <c r="CZ33" i="18"/>
  <c r="EF33" i="18"/>
  <c r="CV67" i="18"/>
  <c r="EB67" i="18"/>
  <c r="CV53" i="18"/>
  <c r="EB53" i="18"/>
  <c r="CY73" i="18"/>
  <c r="EE73" i="18"/>
  <c r="BD73" i="18"/>
  <c r="CJ73" i="18"/>
  <c r="BD59" i="18"/>
  <c r="CJ59" i="18"/>
  <c r="BA38" i="18"/>
  <c r="CG38" i="18"/>
  <c r="AL38" i="18"/>
  <c r="AK32" i="18"/>
  <c r="CM32" i="18"/>
  <c r="DS32" i="18"/>
  <c r="AJ40" i="18"/>
  <c r="AT40" i="18"/>
  <c r="BZ40" i="18"/>
  <c r="CL40" i="18"/>
  <c r="DR40" i="18"/>
  <c r="AQ53" i="18"/>
  <c r="BW53" i="18"/>
  <c r="AQ67" i="18"/>
  <c r="BW67" i="18"/>
  <c r="AH47" i="18"/>
  <c r="AP47" i="18"/>
  <c r="BV47" i="18"/>
  <c r="G73" i="18"/>
  <c r="AG73" i="18"/>
  <c r="G59" i="18"/>
  <c r="AG59" i="18"/>
  <c r="AV59" i="18"/>
  <c r="CB59" i="18"/>
  <c r="AO73" i="18"/>
  <c r="AO59" i="18"/>
  <c r="F41" i="18"/>
  <c r="AF41" i="18"/>
  <c r="AN41" i="18"/>
  <c r="BB41" i="18"/>
  <c r="CH41" i="18"/>
  <c r="E54" i="18"/>
  <c r="AE54" i="18"/>
  <c r="E68" i="18"/>
  <c r="AE68" i="18"/>
  <c r="AM54" i="18"/>
  <c r="AM68" i="18"/>
  <c r="EH54" i="18"/>
  <c r="AL46" i="18"/>
  <c r="CM39" i="18"/>
  <c r="DS39" i="18"/>
  <c r="AJ74" i="18"/>
  <c r="AJ60" i="18"/>
  <c r="AT60" i="18"/>
  <c r="BZ60" i="18"/>
  <c r="CL60" i="18"/>
  <c r="DR60" i="18"/>
  <c r="CL74" i="18"/>
  <c r="DR74" i="18"/>
  <c r="AI33" i="18"/>
  <c r="AQ33" i="18"/>
  <c r="BW33" i="18"/>
  <c r="AH34" i="18"/>
  <c r="AP34" i="18"/>
  <c r="BV34" i="18"/>
  <c r="G44" i="18"/>
  <c r="AG44" i="18"/>
  <c r="AO44" i="18"/>
  <c r="CZ44" i="18"/>
  <c r="EF44" i="18"/>
  <c r="E52" i="18"/>
  <c r="AE52" i="18"/>
  <c r="AY66" i="18"/>
  <c r="CE66" i="18"/>
  <c r="E66" i="18"/>
  <c r="AE66" i="18"/>
  <c r="AM52" i="18"/>
  <c r="AM66" i="18"/>
  <c r="AL75" i="18"/>
  <c r="BA75" i="18"/>
  <c r="CG75" i="18"/>
  <c r="CN75" i="18"/>
  <c r="DT75" i="18"/>
  <c r="CN61" i="18"/>
  <c r="DT61" i="18"/>
  <c r="AK42" i="18"/>
  <c r="CM42" i="18"/>
  <c r="DS42" i="18"/>
  <c r="AJ56" i="18"/>
  <c r="AJ70" i="18"/>
  <c r="CP56" i="18"/>
  <c r="DV56" i="18"/>
  <c r="CL70" i="18"/>
  <c r="DR70" i="18"/>
  <c r="CL56" i="18"/>
  <c r="DR56" i="18"/>
  <c r="AI51" i="18"/>
  <c r="AI65" i="18"/>
  <c r="AQ65" i="18"/>
  <c r="BW65" i="18"/>
  <c r="AQ51" i="18"/>
  <c r="BW51" i="18"/>
  <c r="AW37" i="18"/>
  <c r="CC37" i="18"/>
  <c r="CS37" i="18"/>
  <c r="DY37" i="18"/>
  <c r="AH37" i="18"/>
  <c r="AP37" i="18"/>
  <c r="BV37" i="18"/>
  <c r="AO49" i="18"/>
  <c r="F69" i="18"/>
  <c r="AF69" i="18"/>
  <c r="F55" i="18"/>
  <c r="AF55" i="18"/>
  <c r="AZ55" i="18"/>
  <c r="CF55" i="18"/>
  <c r="AN69" i="18"/>
  <c r="AN55" i="18"/>
  <c r="BB69" i="18"/>
  <c r="CH69" i="18"/>
  <c r="E50" i="18"/>
  <c r="AE50" i="18"/>
  <c r="E64" i="18"/>
  <c r="AE64" i="18"/>
  <c r="AM50" i="18"/>
  <c r="AM64" i="18"/>
  <c r="EH64" i="18"/>
  <c r="EL64" i="18"/>
  <c r="EH50" i="18"/>
  <c r="CN36" i="18"/>
  <c r="DT36" i="18"/>
  <c r="AU76" i="18"/>
  <c r="CA76" i="18"/>
  <c r="AK62" i="18"/>
  <c r="AK76" i="18"/>
  <c r="CM76" i="18"/>
  <c r="DS76" i="18"/>
  <c r="CM62" i="18"/>
  <c r="DS62" i="18"/>
  <c r="AJ43" i="18"/>
  <c r="AH35" i="18"/>
  <c r="AW35" i="18"/>
  <c r="CC35" i="18"/>
  <c r="CS35" i="18"/>
  <c r="DY35" i="18"/>
  <c r="CU40" i="18"/>
  <c r="EA40" i="18"/>
  <c r="CV42" i="18"/>
  <c r="EB42" i="18"/>
  <c r="CS47" i="18"/>
  <c r="DY47" i="18"/>
  <c r="CY66" i="18"/>
  <c r="EE66" i="18"/>
  <c r="CY52" i="18"/>
  <c r="EE52" i="18"/>
  <c r="AS33" i="18"/>
  <c r="BH33" i="18"/>
  <c r="CW73" i="18"/>
  <c r="EC73" i="18"/>
  <c r="AU36" i="18"/>
  <c r="CA36" i="18"/>
  <c r="BA44" i="18"/>
  <c r="CG44" i="18"/>
  <c r="AV47" i="18"/>
  <c r="CB47" i="18"/>
  <c r="BD71" i="18"/>
  <c r="CJ71" i="18"/>
  <c r="BD57" i="18"/>
  <c r="CJ57" i="18"/>
  <c r="D57" i="18"/>
  <c r="AN53" i="18"/>
  <c r="BB67" i="18"/>
  <c r="CH67" i="18"/>
  <c r="AN67" i="18"/>
  <c r="AQ46" i="18"/>
  <c r="BW46" i="18"/>
  <c r="AK72" i="18"/>
  <c r="AK58" i="18"/>
  <c r="AJ66" i="18"/>
  <c r="AJ52" i="18"/>
  <c r="AI61" i="18"/>
  <c r="CR70" i="18"/>
  <c r="DX70" i="18"/>
  <c r="G70" i="18"/>
  <c r="AG70" i="18"/>
  <c r="AJ64" i="18"/>
  <c r="CL64" i="18"/>
  <c r="DR64" i="18"/>
  <c r="CL50" i="18"/>
  <c r="DR50" i="18"/>
  <c r="AT42" i="18"/>
  <c r="BZ42" i="18"/>
  <c r="AZ53" i="18"/>
  <c r="CF53" i="18"/>
  <c r="AU68" i="18"/>
  <c r="CA68" i="18"/>
  <c r="E73" i="18"/>
  <c r="AE73" i="18"/>
  <c r="AJ46" i="18"/>
  <c r="AH74" i="18"/>
  <c r="AO33" i="18"/>
  <c r="AO65" i="18"/>
  <c r="BD65" i="18"/>
  <c r="CJ65" i="18"/>
  <c r="BC49" i="18"/>
  <c r="CI49" i="18"/>
  <c r="AV71" i="18"/>
  <c r="CB71" i="18"/>
  <c r="G71" i="18"/>
  <c r="AG71" i="18"/>
  <c r="G57" i="18"/>
  <c r="AG57" i="18"/>
  <c r="AZ57" i="18"/>
  <c r="CF57" i="18"/>
  <c r="BA72" i="18"/>
  <c r="CG72" i="18"/>
  <c r="E32" i="18"/>
  <c r="AE32" i="18"/>
  <c r="CM67" i="18"/>
  <c r="DS67" i="18"/>
  <c r="CM53" i="18"/>
  <c r="DS53" i="18"/>
  <c r="AJ34" i="18"/>
  <c r="AT34" i="18"/>
  <c r="BZ34" i="18"/>
  <c r="AI44" i="18"/>
  <c r="AP72" i="18"/>
  <c r="BV72" i="18"/>
  <c r="BB61" i="18"/>
  <c r="CH61" i="18"/>
  <c r="BA56" i="18"/>
  <c r="CG56" i="18"/>
  <c r="CW70" i="18"/>
  <c r="EC70" i="18"/>
  <c r="AP69" i="18"/>
  <c r="BV69" i="18"/>
  <c r="AP55" i="18"/>
  <c r="BV55" i="18"/>
  <c r="DG51" i="18"/>
  <c r="CZ41" i="18"/>
  <c r="EF41" i="18"/>
  <c r="DN46" i="18"/>
  <c r="AY49" i="18"/>
  <c r="CE49" i="18"/>
  <c r="BG52" i="18"/>
  <c r="CR65" i="18"/>
  <c r="DX65" i="18"/>
  <c r="CP66" i="18"/>
  <c r="DV66" i="18"/>
  <c r="CP52" i="18"/>
  <c r="DV52" i="18"/>
  <c r="D73" i="18"/>
  <c r="D59" i="18"/>
  <c r="BC69" i="18"/>
  <c r="CI69" i="18"/>
  <c r="BC55" i="18"/>
  <c r="CI55" i="18"/>
  <c r="CP33" i="18"/>
  <c r="DV33" i="18"/>
  <c r="CU65" i="18"/>
  <c r="EA65" i="18"/>
  <c r="CS66" i="18"/>
  <c r="DY66" i="18"/>
  <c r="CS52" i="18"/>
  <c r="DY52" i="18"/>
  <c r="CX60" i="18"/>
  <c r="ED60" i="18"/>
  <c r="CX74" i="18"/>
  <c r="ED74" i="18"/>
  <c r="AH38" i="18"/>
  <c r="AW38" i="18"/>
  <c r="CC38" i="18"/>
  <c r="AP38" i="18"/>
  <c r="BV38" i="18"/>
  <c r="G32" i="18"/>
  <c r="AG32" i="18"/>
  <c r="AV32" i="18"/>
  <c r="CB32" i="18"/>
  <c r="AO32" i="18"/>
  <c r="F40" i="18"/>
  <c r="AF40" i="18"/>
  <c r="AN40" i="18"/>
  <c r="E53" i="18"/>
  <c r="AE53" i="18"/>
  <c r="E67" i="18"/>
  <c r="AE67" i="18"/>
  <c r="AM67" i="18"/>
  <c r="AM53" i="18"/>
  <c r="EH53" i="18"/>
  <c r="AL47" i="18"/>
  <c r="CN47" i="18"/>
  <c r="DT47" i="18"/>
  <c r="AK59" i="18"/>
  <c r="AK73" i="18"/>
  <c r="CM73" i="18"/>
  <c r="DS73" i="18"/>
  <c r="CM59" i="18"/>
  <c r="DS59" i="18"/>
  <c r="AJ41" i="18"/>
  <c r="CL41" i="18"/>
  <c r="DR41" i="18"/>
  <c r="AI68" i="18"/>
  <c r="AI54" i="18"/>
  <c r="AQ68" i="18"/>
  <c r="BW68" i="18"/>
  <c r="AQ54" i="18"/>
  <c r="BW54" i="18"/>
  <c r="AH46" i="18"/>
  <c r="AP46" i="18"/>
  <c r="BV46" i="18"/>
  <c r="G39" i="18"/>
  <c r="AG39" i="18"/>
  <c r="AO39" i="18"/>
  <c r="F60" i="18"/>
  <c r="AF60" i="18"/>
  <c r="AN74" i="18"/>
  <c r="AN60" i="18"/>
  <c r="E33" i="18"/>
  <c r="AE33" i="18"/>
  <c r="AM33" i="18"/>
  <c r="EH33" i="18"/>
  <c r="AL34" i="18"/>
  <c r="CN34" i="18"/>
  <c r="DT34" i="18"/>
  <c r="AK44" i="18"/>
  <c r="CM44" i="18"/>
  <c r="DS44" i="18"/>
  <c r="AT58" i="18"/>
  <c r="BZ58" i="18"/>
  <c r="AJ58" i="18"/>
  <c r="AJ72" i="18"/>
  <c r="CP72" i="18"/>
  <c r="DV72" i="18"/>
  <c r="CL72" i="18"/>
  <c r="DR72" i="18"/>
  <c r="CL58" i="18"/>
  <c r="DR58" i="18"/>
  <c r="AI52" i="18"/>
  <c r="CT66" i="18"/>
  <c r="DZ66" i="18"/>
  <c r="AI66" i="18"/>
  <c r="AQ52" i="18"/>
  <c r="BW52" i="18"/>
  <c r="AH75" i="18"/>
  <c r="AH61" i="18"/>
  <c r="AP75" i="18"/>
  <c r="BV75" i="18"/>
  <c r="AP61" i="18"/>
  <c r="BV61" i="18"/>
  <c r="G42" i="18"/>
  <c r="AG42" i="18"/>
  <c r="AV42" i="18"/>
  <c r="CB42" i="18"/>
  <c r="AO42" i="18"/>
  <c r="F56" i="18"/>
  <c r="AF56" i="18"/>
  <c r="F70" i="18"/>
  <c r="AF70" i="18"/>
  <c r="AN70" i="18"/>
  <c r="AN56" i="18"/>
  <c r="E65" i="18"/>
  <c r="AE65" i="18"/>
  <c r="E51" i="18"/>
  <c r="AE51" i="18"/>
  <c r="AM51" i="18"/>
  <c r="AM65" i="18"/>
  <c r="EH65" i="18"/>
  <c r="EH51" i="18"/>
  <c r="AL37" i="18"/>
  <c r="BA37" i="18"/>
  <c r="CG37" i="18"/>
  <c r="CN37" i="18"/>
  <c r="DT37" i="18"/>
  <c r="AK49" i="18"/>
  <c r="AJ69" i="18"/>
  <c r="AJ55" i="18"/>
  <c r="CP69" i="18"/>
  <c r="DV69" i="18"/>
  <c r="CL55" i="18"/>
  <c r="DR55" i="18"/>
  <c r="CL69" i="18"/>
  <c r="DR69" i="18"/>
  <c r="AI64" i="18"/>
  <c r="AI50" i="18"/>
  <c r="AQ50" i="18"/>
  <c r="BW50" i="18"/>
  <c r="AQ64" i="18"/>
  <c r="BW64" i="18"/>
  <c r="AH36" i="18"/>
  <c r="AP36" i="18"/>
  <c r="BV36" i="18"/>
  <c r="G76" i="18"/>
  <c r="AG76" i="18"/>
  <c r="G62" i="18"/>
  <c r="AG62" i="18"/>
  <c r="AO76" i="18"/>
  <c r="CZ76" i="18"/>
  <c r="EF76" i="18"/>
  <c r="AO62" i="18"/>
  <c r="F43" i="18"/>
  <c r="AF43" i="18"/>
  <c r="AN43" i="18"/>
  <c r="E57" i="18"/>
  <c r="AE57" i="18"/>
  <c r="E71" i="18"/>
  <c r="AE71" i="18"/>
  <c r="AM71" i="18"/>
  <c r="AM57" i="18"/>
  <c r="CY71" i="18"/>
  <c r="EE71" i="18"/>
  <c r="EH71" i="18"/>
  <c r="EH57" i="18"/>
  <c r="AL35" i="18"/>
  <c r="CN35" i="18"/>
  <c r="DT35" i="18"/>
  <c r="CU32" i="18"/>
  <c r="EA32" i="18"/>
  <c r="CT46" i="18"/>
  <c r="CU72" i="18"/>
  <c r="EA72" i="18"/>
  <c r="CU58" i="18"/>
  <c r="EA58" i="18"/>
  <c r="CZ58" i="18"/>
  <c r="EF58" i="18"/>
  <c r="D68" i="18"/>
  <c r="D54" i="18"/>
  <c r="CU42" i="18"/>
  <c r="EA42" i="18"/>
  <c r="CQ44" i="18"/>
  <c r="DW44" i="18"/>
  <c r="CX49" i="18"/>
  <c r="ED49" i="18"/>
  <c r="BD43" i="18"/>
  <c r="CJ43" i="18"/>
  <c r="CQ34" i="18"/>
  <c r="DW34" i="18"/>
  <c r="CQ39" i="18"/>
  <c r="DW39" i="18"/>
  <c r="CO69" i="18"/>
  <c r="DD69" i="18"/>
  <c r="CO55" i="18"/>
  <c r="DD55" i="18"/>
  <c r="CY69" i="18"/>
  <c r="EE69" i="18"/>
  <c r="CY55" i="18"/>
  <c r="EE55" i="18"/>
  <c r="CP70" i="18"/>
  <c r="DV70" i="18"/>
  <c r="CY75" i="18"/>
  <c r="EE75" i="18"/>
  <c r="CY61" i="18"/>
  <c r="EE61" i="18"/>
  <c r="BD44" i="18"/>
  <c r="CJ44" i="18"/>
  <c r="CY65" i="18"/>
  <c r="EE65" i="18"/>
  <c r="CY51" i="18"/>
  <c r="EE51" i="18"/>
  <c r="CT68" i="18"/>
  <c r="DZ68" i="18"/>
  <c r="CT54" i="18"/>
  <c r="DZ54" i="18"/>
  <c r="CS73" i="18"/>
  <c r="DY73" i="18"/>
  <c r="CS59" i="18"/>
  <c r="DY59" i="18"/>
  <c r="CR75" i="18"/>
  <c r="DX75" i="18"/>
  <c r="CW68" i="18"/>
  <c r="EC68" i="18"/>
  <c r="CW54" i="18"/>
  <c r="EC54" i="18"/>
  <c r="AZ35" i="18"/>
  <c r="CF35" i="18"/>
  <c r="AU46" i="18"/>
  <c r="CA46" i="18"/>
  <c r="CO50" i="18"/>
  <c r="DD50" i="18"/>
  <c r="CR50" i="18"/>
  <c r="DX50" i="18"/>
  <c r="CS72" i="18"/>
  <c r="DY72" i="18"/>
  <c r="CS58" i="18"/>
  <c r="DY58" i="18"/>
  <c r="AV41" i="18"/>
  <c r="CB41" i="18"/>
  <c r="CT35" i="18"/>
  <c r="DZ35" i="18"/>
  <c r="CT43" i="18"/>
  <c r="DZ43" i="18"/>
  <c r="CP67" i="18"/>
  <c r="DV67" i="18"/>
  <c r="CV37" i="18"/>
  <c r="EB37" i="18"/>
  <c r="CQ67" i="18"/>
  <c r="DW67" i="18"/>
  <c r="CQ53" i="18"/>
  <c r="DW53" i="18"/>
  <c r="CP71" i="18"/>
  <c r="DV71" i="18"/>
  <c r="CP57" i="18"/>
  <c r="DV57" i="18"/>
  <c r="BC68" i="18"/>
  <c r="CI68" i="18"/>
  <c r="AT70" i="18"/>
  <c r="BZ70" i="18"/>
  <c r="AT56" i="18"/>
  <c r="BZ56" i="18"/>
  <c r="BB76" i="18"/>
  <c r="CH76" i="18"/>
  <c r="BB62" i="18"/>
  <c r="CH62" i="18"/>
  <c r="CV65" i="18"/>
  <c r="EB65" i="18"/>
  <c r="CV51" i="18"/>
  <c r="EB51" i="18"/>
  <c r="CZ53" i="18"/>
  <c r="EF53" i="18"/>
  <c r="CT73" i="18"/>
  <c r="DZ73" i="18"/>
  <c r="CU38" i="18"/>
  <c r="EA38" i="18"/>
  <c r="BC38" i="18"/>
  <c r="CI38" i="18"/>
  <c r="AM38" i="18"/>
  <c r="AL32" i="18"/>
  <c r="CN32" i="18"/>
  <c r="DT32" i="18"/>
  <c r="G41" i="18"/>
  <c r="AG41" i="18"/>
  <c r="AO41" i="18"/>
  <c r="F68" i="18"/>
  <c r="AF68" i="18"/>
  <c r="E46" i="18"/>
  <c r="AE46" i="18"/>
  <c r="AJ33" i="18"/>
  <c r="AI34" i="18"/>
  <c r="AQ34" i="18"/>
  <c r="BW34" i="18"/>
  <c r="G72" i="18"/>
  <c r="AG72" i="18"/>
  <c r="AO58" i="18"/>
  <c r="AO72" i="18"/>
  <c r="CV66" i="18"/>
  <c r="EB66" i="18"/>
  <c r="CV52" i="18"/>
  <c r="EB52" i="18"/>
  <c r="BB66" i="18"/>
  <c r="CH66" i="18"/>
  <c r="E61" i="18"/>
  <c r="AE61" i="18"/>
  <c r="E75" i="18"/>
  <c r="AE75" i="18"/>
  <c r="AL42" i="18"/>
  <c r="CN42" i="18"/>
  <c r="DT42" i="18"/>
  <c r="AK56" i="18"/>
  <c r="AK70" i="18"/>
  <c r="AJ65" i="18"/>
  <c r="CP51" i="18"/>
  <c r="DV51" i="18"/>
  <c r="CL65" i="18"/>
  <c r="DR65" i="18"/>
  <c r="CL51" i="18"/>
  <c r="DR51" i="18"/>
  <c r="AI37" i="18"/>
  <c r="AQ37" i="18"/>
  <c r="BW37" i="18"/>
  <c r="AP49" i="18"/>
  <c r="BV49" i="18"/>
  <c r="F50" i="18"/>
  <c r="AF50" i="18"/>
  <c r="AZ64" i="18"/>
  <c r="CF64" i="18"/>
  <c r="F64" i="18"/>
  <c r="AF64" i="18"/>
  <c r="CW76" i="18"/>
  <c r="EC76" i="18"/>
  <c r="CW62" i="18"/>
  <c r="EC62" i="18"/>
  <c r="CN76" i="18"/>
  <c r="DT76" i="18"/>
  <c r="CN62" i="18"/>
  <c r="DT62" i="18"/>
  <c r="AT71" i="18"/>
  <c r="BZ71" i="18"/>
  <c r="AT57" i="18"/>
  <c r="BZ57" i="18"/>
  <c r="CL57" i="18"/>
  <c r="DR57" i="18"/>
  <c r="CL71" i="18"/>
  <c r="DR71" i="18"/>
  <c r="AQ35" i="18"/>
  <c r="BW35" i="18"/>
  <c r="CQ46" i="18"/>
  <c r="DW46" i="18"/>
  <c r="CP47" i="18"/>
  <c r="DV47" i="18"/>
  <c r="CS67" i="18"/>
  <c r="DY67" i="18"/>
  <c r="CS53" i="18"/>
  <c r="DY53" i="18"/>
  <c r="CQ68" i="18"/>
  <c r="DW68" i="18"/>
  <c r="CQ72" i="18"/>
  <c r="DW72" i="18"/>
  <c r="CQ58" i="18"/>
  <c r="DW58" i="18"/>
  <c r="CT74" i="18"/>
  <c r="DZ74" i="18"/>
  <c r="CT60" i="18"/>
  <c r="DZ60" i="18"/>
  <c r="CS55" i="18"/>
  <c r="DY55" i="18"/>
  <c r="CS69" i="18"/>
  <c r="DY69" i="18"/>
  <c r="AW74" i="18"/>
  <c r="CC74" i="18"/>
  <c r="AW60" i="18"/>
  <c r="CC60" i="18"/>
  <c r="D62" i="18"/>
  <c r="D76" i="18"/>
  <c r="AT73" i="18"/>
  <c r="BZ73" i="18"/>
  <c r="G38" i="18"/>
  <c r="AG38" i="18"/>
  <c r="AO38" i="18"/>
  <c r="F32" i="18"/>
  <c r="AF32" i="18"/>
  <c r="BB32" i="18"/>
  <c r="CH32" i="18"/>
  <c r="AN32" i="18"/>
  <c r="AL53" i="18"/>
  <c r="AL67" i="18"/>
  <c r="AK47" i="18"/>
  <c r="AH68" i="18"/>
  <c r="AH54" i="18"/>
  <c r="AO46" i="18"/>
  <c r="F39" i="18"/>
  <c r="AF39" i="18"/>
  <c r="E60" i="18"/>
  <c r="AE60" i="18"/>
  <c r="E74" i="18"/>
  <c r="AE74" i="18"/>
  <c r="AM60" i="18"/>
  <c r="BC74" i="18"/>
  <c r="CI74" i="18"/>
  <c r="AM74" i="18"/>
  <c r="AL33" i="18"/>
  <c r="AK34" i="18"/>
  <c r="AJ44" i="18"/>
  <c r="AI58" i="18"/>
  <c r="AQ72" i="18"/>
  <c r="BW72" i="18"/>
  <c r="AQ58" i="18"/>
  <c r="BW58" i="18"/>
  <c r="AH66" i="18"/>
  <c r="AH52" i="18"/>
  <c r="AW52" i="18"/>
  <c r="CC52" i="18"/>
  <c r="AP66" i="18"/>
  <c r="BV66" i="18"/>
  <c r="AP52" i="18"/>
  <c r="BV52" i="18"/>
  <c r="G75" i="18"/>
  <c r="AG75" i="18"/>
  <c r="AO61" i="18"/>
  <c r="F42" i="18"/>
  <c r="AF42" i="18"/>
  <c r="AN42" i="18"/>
  <c r="E56" i="18"/>
  <c r="AE56" i="18"/>
  <c r="E70" i="18"/>
  <c r="AE70" i="18"/>
  <c r="AM56" i="18"/>
  <c r="AM70" i="18"/>
  <c r="AL65" i="18"/>
  <c r="AL51" i="18"/>
  <c r="AK37" i="18"/>
  <c r="AI55" i="18"/>
  <c r="AQ69" i="18"/>
  <c r="BW69" i="18"/>
  <c r="AQ55" i="18"/>
  <c r="BW55" i="18"/>
  <c r="AH64" i="18"/>
  <c r="AH50" i="18"/>
  <c r="AM43" i="18"/>
  <c r="AL57" i="18"/>
  <c r="AL71" i="18"/>
  <c r="AR38" i="18"/>
  <c r="BX38" i="18"/>
  <c r="AR41" i="18"/>
  <c r="BX41" i="18"/>
  <c r="AR60" i="18"/>
  <c r="BX60" i="18"/>
  <c r="AR34" i="18"/>
  <c r="BX34" i="18"/>
  <c r="AR72" i="18"/>
  <c r="BX72" i="18"/>
  <c r="AR58" i="18"/>
  <c r="BX58" i="18"/>
  <c r="AR56" i="18"/>
  <c r="BX56" i="18"/>
  <c r="AR37" i="18"/>
  <c r="BX37" i="18"/>
  <c r="AR69" i="18"/>
  <c r="BX69" i="18"/>
  <c r="AR55" i="18"/>
  <c r="BX55" i="18"/>
  <c r="AR35" i="18"/>
  <c r="BX35" i="18"/>
  <c r="BD64" i="18"/>
  <c r="CJ64" i="18"/>
  <c r="D64" i="18"/>
  <c r="D50" i="18"/>
  <c r="BA67" i="18"/>
  <c r="CG67" i="18"/>
  <c r="D52" i="18"/>
  <c r="D66" i="18"/>
  <c r="D67" i="18"/>
  <c r="D53" i="18"/>
  <c r="BB75" i="18"/>
  <c r="CH75" i="18"/>
  <c r="D70" i="18"/>
  <c r="CL45" i="18"/>
  <c r="DA45" i="18"/>
  <c r="DK35" i="18"/>
  <c r="CO39" i="18"/>
  <c r="DD39" i="18"/>
  <c r="DK39" i="18"/>
  <c r="CU52" i="18"/>
  <c r="EA52" i="18"/>
  <c r="CU66" i="18"/>
  <c r="EA66" i="18"/>
  <c r="CZ66" i="18"/>
  <c r="EF66" i="18"/>
  <c r="CZ52" i="18"/>
  <c r="EF52" i="18"/>
  <c r="DJ56" i="18"/>
  <c r="CZ47" i="18"/>
  <c r="EF47" i="18"/>
  <c r="AX33" i="18"/>
  <c r="CD33" i="18"/>
  <c r="CW51" i="18"/>
  <c r="EC51" i="18"/>
  <c r="CW65" i="18"/>
  <c r="EC65" i="18"/>
  <c r="CR68" i="18"/>
  <c r="DX68" i="18"/>
  <c r="CU39" i="18"/>
  <c r="EA39" i="18"/>
  <c r="CX32" i="18"/>
  <c r="ED32" i="18"/>
  <c r="CW46" i="18"/>
  <c r="EC46" i="18"/>
  <c r="CQ47" i="18"/>
  <c r="DW47" i="18"/>
  <c r="CU69" i="18"/>
  <c r="EA69" i="18"/>
  <c r="CU55" i="18"/>
  <c r="EA55" i="18"/>
  <c r="AX43" i="18"/>
  <c r="CD43" i="18"/>
  <c r="CR38" i="18"/>
  <c r="DX38" i="18"/>
  <c r="BD46" i="18"/>
  <c r="CT34" i="18"/>
  <c r="DZ34" i="18"/>
  <c r="AW73" i="18"/>
  <c r="CC73" i="18"/>
  <c r="AW59" i="18"/>
  <c r="CC59" i="18"/>
  <c r="CQ74" i="18"/>
  <c r="DW74" i="18"/>
  <c r="CQ60" i="18"/>
  <c r="DW60" i="18"/>
  <c r="AW44" i="18"/>
  <c r="CC44" i="18"/>
  <c r="CO44" i="18"/>
  <c r="DD44" i="18"/>
  <c r="BD39" i="18"/>
  <c r="CJ39" i="18"/>
  <c r="CX46" i="18"/>
  <c r="CO64" i="18"/>
  <c r="CS68" i="18"/>
  <c r="DY68" i="18"/>
  <c r="CZ72" i="18"/>
  <c r="EF72" i="18"/>
  <c r="AX36" i="18"/>
  <c r="CD36" i="18"/>
  <c r="AX49" i="18"/>
  <c r="CD49" i="18"/>
  <c r="CR61" i="18"/>
  <c r="DX61" i="18"/>
  <c r="CR66" i="18"/>
  <c r="DX66" i="18"/>
  <c r="CR52" i="18"/>
  <c r="DX52" i="18"/>
  <c r="CU53" i="18"/>
  <c r="EA53" i="18"/>
  <c r="CX68" i="18"/>
  <c r="ED68" i="18"/>
  <c r="CX54" i="18"/>
  <c r="ED54" i="18"/>
  <c r="CU61" i="18"/>
  <c r="EA61" i="18"/>
  <c r="AT37" i="18"/>
  <c r="BZ37" i="18"/>
  <c r="AZ66" i="18"/>
  <c r="CF66" i="18"/>
  <c r="BC60" i="18"/>
  <c r="CI60" i="18"/>
  <c r="CZ32" i="18"/>
  <c r="EF32" i="18"/>
  <c r="CU35" i="18"/>
  <c r="EA35" i="18"/>
  <c r="CP46" i="18"/>
  <c r="CO62" i="18"/>
  <c r="DD62" i="18"/>
  <c r="CR64" i="18"/>
  <c r="DX64" i="18"/>
  <c r="CU70" i="18"/>
  <c r="EA70" i="18"/>
  <c r="AV35" i="18"/>
  <c r="CB35" i="18"/>
  <c r="AV40" i="18"/>
  <c r="CB40" i="18"/>
  <c r="BB65" i="18"/>
  <c r="CH65" i="18"/>
  <c r="BB51" i="18"/>
  <c r="CH51" i="18"/>
  <c r="AV67" i="18"/>
  <c r="CB67" i="18"/>
  <c r="AY70" i="18"/>
  <c r="CE70" i="18"/>
  <c r="AY56" i="18"/>
  <c r="CE56" i="18"/>
  <c r="BC72" i="18"/>
  <c r="CI72" i="18"/>
  <c r="BC58" i="18"/>
  <c r="CI58" i="18"/>
  <c r="CP68" i="18"/>
  <c r="DV68" i="18"/>
  <c r="CP54" i="18"/>
  <c r="DV54" i="18"/>
  <c r="AZ39" i="18"/>
  <c r="CF39" i="18"/>
  <c r="AV64" i="18"/>
  <c r="CB64" i="18"/>
  <c r="AV50" i="18"/>
  <c r="CB50" i="18"/>
  <c r="BB64" i="18"/>
  <c r="CH64" i="18"/>
  <c r="BB50" i="18"/>
  <c r="CH50" i="18"/>
  <c r="AV51" i="18"/>
  <c r="CB51" i="18"/>
  <c r="CR40" i="18"/>
  <c r="DX40" i="18"/>
  <c r="AW32" i="18"/>
  <c r="CC32" i="18"/>
  <c r="BB37" i="18"/>
  <c r="CH37" i="18"/>
  <c r="AS39" i="18"/>
  <c r="BH39" i="18"/>
  <c r="AY47" i="18"/>
  <c r="CE47" i="18"/>
  <c r="BD47" i="18"/>
  <c r="CJ47" i="18"/>
  <c r="AU49" i="18"/>
  <c r="CA49" i="18"/>
  <c r="BA49" i="18"/>
  <c r="CG49" i="18"/>
  <c r="AV68" i="18"/>
  <c r="CB68" i="18"/>
  <c r="AV54" i="18"/>
  <c r="CB54" i="18"/>
  <c r="AY55" i="18"/>
  <c r="CE55" i="18"/>
  <c r="AY69" i="18"/>
  <c r="CE69" i="18"/>
  <c r="BB73" i="18"/>
  <c r="CH73" i="18"/>
  <c r="D74" i="18"/>
  <c r="D60" i="18"/>
  <c r="CU51" i="18"/>
  <c r="EA51" i="18"/>
  <c r="AX35" i="18"/>
  <c r="CD35" i="18"/>
  <c r="AU56" i="18"/>
  <c r="CA56" i="18"/>
  <c r="AU70" i="18"/>
  <c r="CA70" i="18"/>
  <c r="AW71" i="18"/>
  <c r="CC71" i="18"/>
  <c r="CT64" i="18"/>
  <c r="DZ64" i="18"/>
  <c r="CT50" i="18"/>
  <c r="DZ50" i="18"/>
  <c r="CT72" i="18"/>
  <c r="DZ72" i="18"/>
  <c r="CT58" i="18"/>
  <c r="DZ58" i="18"/>
  <c r="AV38" i="18"/>
  <c r="CB38" i="18"/>
  <c r="AW41" i="18"/>
  <c r="CC41" i="18"/>
  <c r="BD67" i="18"/>
  <c r="CJ67" i="18"/>
  <c r="BD53" i="18"/>
  <c r="CJ53" i="18"/>
  <c r="AZ72" i="18"/>
  <c r="CF72" i="18"/>
  <c r="AZ58" i="18"/>
  <c r="CF58" i="18"/>
  <c r="BA36" i="18"/>
  <c r="CG36" i="18"/>
  <c r="AV52" i="18"/>
  <c r="CB52" i="18"/>
  <c r="AV66" i="18"/>
  <c r="CB66" i="18"/>
  <c r="BD74" i="18"/>
  <c r="CJ74" i="18"/>
  <c r="BD60" i="18"/>
  <c r="CJ60" i="18"/>
  <c r="AW61" i="18"/>
  <c r="CC61" i="18"/>
  <c r="E38" i="18"/>
  <c r="AE38" i="18"/>
  <c r="AK40" i="18"/>
  <c r="AJ67" i="18"/>
  <c r="AJ53" i="18"/>
  <c r="AI47" i="18"/>
  <c r="AQ47" i="18"/>
  <c r="BW47" i="18"/>
  <c r="AH73" i="18"/>
  <c r="AH59" i="18"/>
  <c r="AP59" i="18"/>
  <c r="BV59" i="18"/>
  <c r="AP73" i="18"/>
  <c r="BV73" i="18"/>
  <c r="F54" i="18"/>
  <c r="AF54" i="18"/>
  <c r="AN54" i="18"/>
  <c r="AN68" i="18"/>
  <c r="AM46" i="18"/>
  <c r="AL39" i="18"/>
  <c r="AK60" i="18"/>
  <c r="AK74" i="18"/>
  <c r="CM74" i="18"/>
  <c r="DS74" i="18"/>
  <c r="CM60" i="18"/>
  <c r="DS60" i="18"/>
  <c r="AP44" i="18"/>
  <c r="BV44" i="18"/>
  <c r="G58" i="18"/>
  <c r="AG58" i="18"/>
  <c r="F52" i="18"/>
  <c r="AF52" i="18"/>
  <c r="F66" i="18"/>
  <c r="AF66" i="18"/>
  <c r="AN52" i="18"/>
  <c r="AN66" i="18"/>
  <c r="AM75" i="18"/>
  <c r="AM61" i="18"/>
  <c r="CM56" i="18"/>
  <c r="DS56" i="18"/>
  <c r="CM70" i="18"/>
  <c r="DS70" i="18"/>
  <c r="AJ51" i="18"/>
  <c r="AH49" i="18"/>
  <c r="G55" i="18"/>
  <c r="AG55" i="18"/>
  <c r="AO69" i="18"/>
  <c r="AO55" i="18"/>
  <c r="AN50" i="18"/>
  <c r="AN64" i="18"/>
  <c r="E36" i="18"/>
  <c r="AE36" i="18"/>
  <c r="AM36" i="18"/>
  <c r="AL76" i="18"/>
  <c r="AL62" i="18"/>
  <c r="AO52" i="18"/>
  <c r="D31" i="18"/>
  <c r="AM42" i="18"/>
  <c r="AK43" i="18"/>
  <c r="G52" i="18"/>
  <c r="AG52" i="18"/>
  <c r="AW64" i="18"/>
  <c r="CC64" i="18"/>
  <c r="AW50" i="18"/>
  <c r="CC50" i="18"/>
  <c r="E42" i="18"/>
  <c r="AE42" i="18"/>
  <c r="AO68" i="18"/>
  <c r="AJ71" i="18"/>
  <c r="AJ57" i="18"/>
  <c r="D72" i="18"/>
  <c r="D58" i="18"/>
  <c r="AK67" i="18"/>
  <c r="AK53" i="18"/>
  <c r="AJ47" i="18"/>
  <c r="AI59" i="18"/>
  <c r="AI73" i="18"/>
  <c r="BD68" i="18"/>
  <c r="CJ68" i="18"/>
  <c r="BD54" i="18"/>
  <c r="CJ54" i="18"/>
  <c r="F45" i="18"/>
  <c r="AN46" i="18"/>
  <c r="AM39" i="18"/>
  <c r="AL60" i="18"/>
  <c r="AL74" i="18"/>
  <c r="AH58" i="18"/>
  <c r="F61" i="18"/>
  <c r="AF61" i="18"/>
  <c r="AN75" i="18"/>
  <c r="AN61" i="18"/>
  <c r="AL56" i="18"/>
  <c r="AL70" i="18"/>
  <c r="AK51" i="18"/>
  <c r="AK65" i="18"/>
  <c r="CM51" i="18"/>
  <c r="DS51" i="18"/>
  <c r="CM65" i="18"/>
  <c r="DS65" i="18"/>
  <c r="AH55" i="18"/>
  <c r="AH69" i="18"/>
  <c r="E76" i="18"/>
  <c r="AE76" i="18"/>
  <c r="E62" i="18"/>
  <c r="AE62" i="18"/>
  <c r="AM76" i="18"/>
  <c r="AM62" i="18"/>
  <c r="AK71" i="18"/>
  <c r="F76" i="18"/>
  <c r="AF76" i="18"/>
  <c r="F62" i="18"/>
  <c r="AF62" i="18"/>
  <c r="AN76" i="18"/>
  <c r="AN62" i="18"/>
  <c r="AH67" i="18"/>
  <c r="AH53" i="18"/>
  <c r="AL68" i="18"/>
  <c r="AL54" i="18"/>
  <c r="E72" i="18"/>
  <c r="AE72" i="18"/>
  <c r="E58" i="18"/>
  <c r="AE58" i="18"/>
  <c r="AM72" i="18"/>
  <c r="AM58" i="18"/>
  <c r="AL64" i="18"/>
  <c r="AL50" i="18"/>
  <c r="AH71" i="18"/>
  <c r="AH57" i="18"/>
  <c r="AI67" i="18"/>
  <c r="AI53" i="18"/>
  <c r="F72" i="18"/>
  <c r="AF72" i="18"/>
  <c r="F58" i="18"/>
  <c r="AF58" i="18"/>
  <c r="AN72" i="18"/>
  <c r="AN58" i="18"/>
  <c r="AI71" i="18"/>
  <c r="AI57" i="18"/>
  <c r="D42" i="37"/>
  <c r="P42" i="37"/>
  <c r="E52" i="37"/>
  <c r="Q52" i="37"/>
  <c r="H55" i="37"/>
  <c r="T55" i="37"/>
  <c r="AJ59" i="37"/>
  <c r="AQ58" i="37"/>
  <c r="AJ74" i="37"/>
  <c r="AQ55" i="37"/>
  <c r="D44" i="37"/>
  <c r="P44" i="37"/>
  <c r="AI56" i="37"/>
  <c r="AI69" i="37"/>
  <c r="AQ41" i="37"/>
  <c r="E35" i="37"/>
  <c r="Q35" i="37"/>
  <c r="F69" i="37"/>
  <c r="R69" i="37"/>
  <c r="F73" i="37"/>
  <c r="R73" i="37"/>
  <c r="AI58" i="37"/>
  <c r="AQ69" i="37"/>
  <c r="E75" i="37"/>
  <c r="Q75" i="37"/>
  <c r="AG59" i="37"/>
  <c r="H33" i="37"/>
  <c r="T33" i="37"/>
  <c r="K58" i="37"/>
  <c r="K55" i="37"/>
  <c r="I65" i="37"/>
  <c r="J69" i="37"/>
  <c r="D40" i="37"/>
  <c r="P40" i="37"/>
  <c r="AI52" i="37"/>
  <c r="AI59" i="37"/>
  <c r="AI62" i="37"/>
  <c r="AI48" i="37"/>
  <c r="AG58" i="37"/>
  <c r="AJ70" i="37"/>
  <c r="AV59" i="37"/>
  <c r="D33" i="37"/>
  <c r="P33" i="37"/>
  <c r="E58" i="37"/>
  <c r="Q58" i="37"/>
  <c r="AI67" i="37"/>
  <c r="AK75" i="37"/>
  <c r="AO75" i="37"/>
  <c r="E41" i="37"/>
  <c r="Q41" i="37"/>
  <c r="E49" i="37"/>
  <c r="Q49" i="37"/>
  <c r="D67" i="37"/>
  <c r="P67" i="37"/>
  <c r="D70" i="37"/>
  <c r="P70" i="37"/>
  <c r="D74" i="37"/>
  <c r="P74" i="37"/>
  <c r="AI68" i="37"/>
  <c r="AK76" i="37"/>
  <c r="AO76" i="37"/>
  <c r="H58" i="37"/>
  <c r="T58" i="37"/>
  <c r="AQ53" i="37"/>
  <c r="AQ71" i="37"/>
  <c r="K69" i="37"/>
  <c r="D60" i="37"/>
  <c r="P60" i="37"/>
  <c r="AG56" i="37"/>
  <c r="D56" i="37"/>
  <c r="P56" i="37"/>
  <c r="M33" i="37"/>
  <c r="K41" i="37"/>
  <c r="J71" i="37"/>
  <c r="AK37" i="37"/>
  <c r="AO37" i="37"/>
  <c r="AV49" i="37"/>
  <c r="K54" i="37"/>
  <c r="H52" i="37"/>
  <c r="T52" i="37"/>
  <c r="E59" i="37"/>
  <c r="Q59" i="37"/>
  <c r="E73" i="37"/>
  <c r="Q73" i="37"/>
  <c r="D43" i="37"/>
  <c r="P43" i="37"/>
  <c r="F40" i="37"/>
  <c r="R40" i="37"/>
  <c r="G67" i="37"/>
  <c r="S67" i="37"/>
  <c r="AL73" i="37"/>
  <c r="AP73" i="37"/>
  <c r="AL59" i="37"/>
  <c r="AP59" i="37"/>
  <c r="AL39" i="37"/>
  <c r="AP39" i="37"/>
  <c r="F60" i="37"/>
  <c r="R60" i="37"/>
  <c r="F74" i="37"/>
  <c r="R74" i="37"/>
  <c r="F72" i="37"/>
  <c r="R72" i="37"/>
  <c r="AJ72" i="37"/>
  <c r="AJ58" i="37"/>
  <c r="G52" i="37"/>
  <c r="S52" i="37"/>
  <c r="F70" i="37"/>
  <c r="R70" i="37"/>
  <c r="F56" i="37"/>
  <c r="R56" i="37"/>
  <c r="AH76" i="37"/>
  <c r="AH62" i="37"/>
  <c r="G57" i="37"/>
  <c r="S57" i="37"/>
  <c r="E42" i="37"/>
  <c r="Q42" i="37"/>
  <c r="AW52" i="37"/>
  <c r="E40" i="37"/>
  <c r="Q40" i="37"/>
  <c r="AK73" i="37"/>
  <c r="AO73" i="37"/>
  <c r="AK59" i="37"/>
  <c r="AO59" i="37"/>
  <c r="D54" i="37"/>
  <c r="P54" i="37"/>
  <c r="D68" i="37"/>
  <c r="P68" i="37"/>
  <c r="E60" i="37"/>
  <c r="Q60" i="37"/>
  <c r="E74" i="37"/>
  <c r="Q74" i="37"/>
  <c r="D50" i="37"/>
  <c r="P50" i="37"/>
  <c r="E43" i="37"/>
  <c r="Q43" i="37"/>
  <c r="AI73" i="37"/>
  <c r="AG61" i="37"/>
  <c r="AG75" i="37"/>
  <c r="H46" i="37"/>
  <c r="T46" i="37"/>
  <c r="J68" i="37"/>
  <c r="I40" i="37"/>
  <c r="K65" i="37"/>
  <c r="AH53" i="37"/>
  <c r="AX71" i="37"/>
  <c r="AK47" i="37"/>
  <c r="D41" i="37"/>
  <c r="P41" i="37"/>
  <c r="E39" i="37"/>
  <c r="Q39" i="37"/>
  <c r="E76" i="37"/>
  <c r="Q76" i="37"/>
  <c r="E62" i="37"/>
  <c r="Q62" i="37"/>
  <c r="AF74" i="37"/>
  <c r="AF60" i="37"/>
  <c r="AF58" i="37"/>
  <c r="AF72" i="37"/>
  <c r="AJ75" i="37"/>
  <c r="AJ61" i="37"/>
  <c r="F37" i="37"/>
  <c r="R37" i="37"/>
  <c r="G49" i="37"/>
  <c r="S49" i="37"/>
  <c r="AF55" i="37"/>
  <c r="AF69" i="37"/>
  <c r="AH64" i="37"/>
  <c r="AH50" i="37"/>
  <c r="AL50" i="37"/>
  <c r="AP50" i="37"/>
  <c r="AL64" i="37"/>
  <c r="AP64" i="37"/>
  <c r="F36" i="37"/>
  <c r="R36" i="37"/>
  <c r="AH71" i="37"/>
  <c r="I64" i="37"/>
  <c r="K68" i="37"/>
  <c r="AQ33" i="37"/>
  <c r="H69" i="37"/>
  <c r="T69" i="37"/>
  <c r="AQ73" i="37"/>
  <c r="K66" i="37"/>
  <c r="H67" i="37"/>
  <c r="T67" i="37"/>
  <c r="H53" i="37"/>
  <c r="T53" i="37"/>
  <c r="I69" i="37"/>
  <c r="G56" i="37"/>
  <c r="S56" i="37"/>
  <c r="H72" i="37"/>
  <c r="T72" i="37"/>
  <c r="K43" i="37"/>
  <c r="G66" i="37"/>
  <c r="S66" i="37"/>
  <c r="U66" i="37"/>
  <c r="AW39" i="37"/>
  <c r="G43" i="37"/>
  <c r="S43" i="37"/>
  <c r="M66" i="37"/>
  <c r="I42" i="37"/>
  <c r="I57" i="37"/>
  <c r="K59" i="37"/>
  <c r="D32" i="37"/>
  <c r="P32" i="37"/>
  <c r="E47" i="37"/>
  <c r="E34" i="37"/>
  <c r="Q34" i="37"/>
  <c r="E37" i="37"/>
  <c r="Q37" i="37"/>
  <c r="I62" i="37"/>
  <c r="AG67" i="37"/>
  <c r="AG53" i="37"/>
  <c r="AG71" i="37"/>
  <c r="AG57" i="37"/>
  <c r="K57" i="37"/>
  <c r="AX73" i="37"/>
  <c r="E32" i="37"/>
  <c r="Q32" i="37"/>
  <c r="D72" i="37"/>
  <c r="P72" i="37"/>
  <c r="D58" i="37"/>
  <c r="P58" i="37"/>
  <c r="D55" i="37"/>
  <c r="F38" i="37"/>
  <c r="R38" i="37"/>
  <c r="AL67" i="37"/>
  <c r="AP67" i="37"/>
  <c r="F47" i="37"/>
  <c r="R47" i="37"/>
  <c r="AH54" i="37"/>
  <c r="AH68" i="37"/>
  <c r="AL68" i="37"/>
  <c r="AP68" i="37"/>
  <c r="AL54" i="37"/>
  <c r="AP54" i="37"/>
  <c r="F46" i="37"/>
  <c r="R46" i="37"/>
  <c r="G39" i="37"/>
  <c r="S39" i="37"/>
  <c r="F34" i="37"/>
  <c r="R34" i="37"/>
  <c r="AH52" i="37"/>
  <c r="AH66" i="37"/>
  <c r="AL52" i="37"/>
  <c r="AP52" i="37"/>
  <c r="AL66" i="37"/>
  <c r="AP66" i="37"/>
  <c r="F75" i="37"/>
  <c r="R75" i="37"/>
  <c r="F61" i="37"/>
  <c r="R61" i="37"/>
  <c r="AF70" i="37"/>
  <c r="AF56" i="37"/>
  <c r="AH65" i="37"/>
  <c r="AH51" i="37"/>
  <c r="AL65" i="37"/>
  <c r="AP65" i="37"/>
  <c r="AL51" i="37"/>
  <c r="AP51" i="37"/>
  <c r="AL57" i="37"/>
  <c r="AP57" i="37"/>
  <c r="F35" i="37"/>
  <c r="R35" i="37"/>
  <c r="D45" i="37"/>
  <c r="I45" i="37"/>
  <c r="I46" i="37"/>
  <c r="K74" i="37"/>
  <c r="H40" i="37"/>
  <c r="T40" i="37"/>
  <c r="D75" i="37"/>
  <c r="P75" i="37"/>
  <c r="E51" i="37"/>
  <c r="Q51" i="37"/>
  <c r="E57" i="37"/>
  <c r="Q57" i="37"/>
  <c r="AJ54" i="37"/>
  <c r="AJ68" i="37"/>
  <c r="F50" i="37"/>
  <c r="R50" i="37"/>
  <c r="D59" i="37"/>
  <c r="P59" i="37"/>
  <c r="D73" i="37"/>
  <c r="P73" i="37"/>
  <c r="AK65" i="37"/>
  <c r="AO65" i="37"/>
  <c r="AK51" i="37"/>
  <c r="AO51" i="37"/>
  <c r="D49" i="37"/>
  <c r="P49" i="37"/>
  <c r="AX37" i="37"/>
  <c r="G36" i="37"/>
  <c r="S36" i="37"/>
  <c r="D52" i="37"/>
  <c r="E70" i="37"/>
  <c r="Q70" i="37"/>
  <c r="E56" i="37"/>
  <c r="Q56" i="37"/>
  <c r="G61" i="37"/>
  <c r="S61" i="37"/>
  <c r="AX51" i="37"/>
  <c r="I51" i="37"/>
  <c r="M52" i="37"/>
  <c r="H56" i="37"/>
  <c r="T56" i="37"/>
  <c r="H70" i="37"/>
  <c r="T70" i="37"/>
  <c r="AX72" i="37"/>
  <c r="I39" i="37"/>
  <c r="G69" i="37"/>
  <c r="S69" i="37"/>
  <c r="G55" i="37"/>
  <c r="S55" i="37"/>
  <c r="M72" i="37"/>
  <c r="AV73" i="37"/>
  <c r="H37" i="37"/>
  <c r="T37" i="37"/>
  <c r="I66" i="37"/>
  <c r="J67" i="37"/>
  <c r="I34" i="37"/>
  <c r="J35" i="37"/>
  <c r="M55" i="37"/>
  <c r="J34" i="37"/>
  <c r="G37" i="37"/>
  <c r="S37" i="37"/>
  <c r="M46" i="37"/>
  <c r="G75" i="37"/>
  <c r="S75" i="37"/>
  <c r="K49" i="37"/>
  <c r="H50" i="37"/>
  <c r="T50" i="37"/>
  <c r="H59" i="37"/>
  <c r="T59" i="37"/>
  <c r="J46" i="37"/>
  <c r="F63" i="37"/>
  <c r="K63" i="37"/>
  <c r="H64" i="37"/>
  <c r="T64" i="37"/>
  <c r="AX36" i="37"/>
  <c r="G44" i="37"/>
  <c r="S44" i="37"/>
  <c r="H47" i="37"/>
  <c r="T47" i="37"/>
  <c r="G76" i="37"/>
  <c r="S76" i="37"/>
  <c r="G62" i="37"/>
  <c r="S62" i="37"/>
  <c r="AX64" i="37"/>
  <c r="J52" i="37"/>
  <c r="AV65" i="37"/>
  <c r="G71" i="37"/>
  <c r="S71" i="37"/>
  <c r="AK40" i="37"/>
  <c r="AO40" i="37"/>
  <c r="AK74" i="37"/>
  <c r="AO74" i="37"/>
  <c r="AK70" i="37"/>
  <c r="AO70" i="37"/>
  <c r="AK56" i="37"/>
  <c r="AO56" i="37"/>
  <c r="AK43" i="37"/>
  <c r="AO43" i="37"/>
  <c r="F32" i="37"/>
  <c r="R32" i="37"/>
  <c r="AF53" i="37"/>
  <c r="AF67" i="37"/>
  <c r="AF68" i="37"/>
  <c r="AF54" i="37"/>
  <c r="AL46" i="37"/>
  <c r="AL34" i="37"/>
  <c r="AP34" i="37"/>
  <c r="AL61" i="37"/>
  <c r="AP61" i="37"/>
  <c r="AL75" i="37"/>
  <c r="AP75" i="37"/>
  <c r="AF57" i="37"/>
  <c r="AF71" i="37"/>
  <c r="AL35" i="37"/>
  <c r="AP35" i="37"/>
  <c r="H39" i="37"/>
  <c r="T39" i="37"/>
  <c r="G70" i="37"/>
  <c r="S70" i="37"/>
  <c r="H71" i="37"/>
  <c r="T71" i="37"/>
  <c r="AK68" i="37"/>
  <c r="AO68" i="37"/>
  <c r="AK54" i="37"/>
  <c r="AO54" i="37"/>
  <c r="AK66" i="37"/>
  <c r="AO66" i="37"/>
  <c r="AK64" i="37"/>
  <c r="AO64" i="37"/>
  <c r="D76" i="37"/>
  <c r="P76" i="37"/>
  <c r="AG68" i="37"/>
  <c r="AG54" i="37"/>
  <c r="AG51" i="37"/>
  <c r="H65" i="37"/>
  <c r="T65" i="37"/>
  <c r="H51" i="37"/>
  <c r="T51" i="37"/>
  <c r="AK72" i="37"/>
  <c r="AO72" i="37"/>
  <c r="AF73" i="37"/>
  <c r="AF59" i="37"/>
  <c r="AL74" i="37"/>
  <c r="AP74" i="37"/>
  <c r="AL60" i="37"/>
  <c r="AP60" i="37"/>
  <c r="AL70" i="37"/>
  <c r="AP70" i="37"/>
  <c r="AL56" i="37"/>
  <c r="AP56" i="37"/>
  <c r="AJ57" i="37"/>
  <c r="AJ71" i="37"/>
  <c r="AK38" i="37"/>
  <c r="AO38" i="37"/>
  <c r="AK36" i="37"/>
  <c r="AO36" i="37"/>
  <c r="AL32" i="37"/>
  <c r="AP32" i="37"/>
  <c r="AH59" i="37"/>
  <c r="AH73" i="37"/>
  <c r="AL44" i="37"/>
  <c r="AP44" i="37"/>
  <c r="AF61" i="37"/>
  <c r="AF75" i="37"/>
  <c r="AL42" i="37"/>
  <c r="AP42" i="37"/>
  <c r="AL49" i="37"/>
  <c r="AP49" i="37"/>
  <c r="AJ69" i="37"/>
  <c r="AJ55" i="37"/>
  <c r="AL76" i="37"/>
  <c r="AP76" i="37"/>
  <c r="AL62" i="37"/>
  <c r="AP62" i="37"/>
  <c r="AL64" i="5"/>
  <c r="AR64" i="5"/>
  <c r="AL67" i="5"/>
  <c r="AR67" i="5"/>
  <c r="D64" i="5"/>
  <c r="K64" i="5"/>
  <c r="AD57" i="5"/>
  <c r="D53" i="5"/>
  <c r="K53" i="5"/>
  <c r="H76" i="5"/>
  <c r="AC71" i="5"/>
  <c r="AY55" i="5"/>
  <c r="AY66" i="5"/>
  <c r="G65" i="5"/>
  <c r="AD73" i="5"/>
  <c r="D59" i="5"/>
  <c r="K59" i="5"/>
  <c r="E65" i="5"/>
  <c r="L65" i="5"/>
  <c r="AF47" i="5"/>
  <c r="AJ47" i="5"/>
  <c r="AJ45" i="5"/>
  <c r="E70" i="5"/>
  <c r="L70" i="5"/>
  <c r="AD68" i="5"/>
  <c r="AO57" i="5"/>
  <c r="AY57" i="5"/>
  <c r="AM67" i="5"/>
  <c r="AS67" i="5"/>
  <c r="D76" i="5"/>
  <c r="K76" i="5"/>
  <c r="AB54" i="5"/>
  <c r="AM68" i="5"/>
  <c r="AS68" i="5"/>
  <c r="H61" i="5"/>
  <c r="AE60" i="5"/>
  <c r="AI60" i="5"/>
  <c r="AM70" i="5"/>
  <c r="AS70" i="5"/>
  <c r="AB62" i="5"/>
  <c r="AY74" i="5"/>
  <c r="AM50" i="5"/>
  <c r="F57" i="5"/>
  <c r="M57" i="5"/>
  <c r="AD56" i="5"/>
  <c r="AC51" i="5"/>
  <c r="AC68" i="5"/>
  <c r="AC76" i="5"/>
  <c r="AE54" i="5"/>
  <c r="AI54" i="5"/>
  <c r="AE71" i="5"/>
  <c r="AI71" i="5"/>
  <c r="AK46" i="5"/>
  <c r="E53" i="5"/>
  <c r="L53" i="5"/>
  <c r="AB52" i="5"/>
  <c r="AB60" i="5"/>
  <c r="AO53" i="5"/>
  <c r="AN45" i="5"/>
  <c r="D34" i="5"/>
  <c r="K34" i="5"/>
  <c r="H50" i="5"/>
  <c r="H56" i="5"/>
  <c r="D60" i="5"/>
  <c r="K60" i="5"/>
  <c r="AC60" i="5"/>
  <c r="H53" i="5"/>
  <c r="H60" i="5"/>
  <c r="AC66" i="5"/>
  <c r="AC67" i="5"/>
  <c r="AC69" i="5"/>
  <c r="AC63" i="5"/>
  <c r="D58" i="5"/>
  <c r="K58" i="5"/>
  <c r="AC58" i="5"/>
  <c r="AA76" i="5"/>
  <c r="AE50" i="5"/>
  <c r="AI50" i="5"/>
  <c r="AE62" i="5"/>
  <c r="AI62" i="5"/>
  <c r="AN59" i="5"/>
  <c r="AT59" i="5"/>
  <c r="AM72" i="5"/>
  <c r="AS72" i="5"/>
  <c r="H54" i="5"/>
  <c r="AE53" i="5"/>
  <c r="AI53" i="5"/>
  <c r="AE66" i="5"/>
  <c r="AI66" i="5"/>
  <c r="AD74" i="5"/>
  <c r="AE55" i="5"/>
  <c r="AI55" i="5"/>
  <c r="AL52" i="5"/>
  <c r="AR52" i="5"/>
  <c r="AY76" i="5"/>
  <c r="AM45" i="5"/>
  <c r="AM60" i="5"/>
  <c r="AS60" i="5"/>
  <c r="AL75" i="5"/>
  <c r="AR75" i="5"/>
  <c r="AL61" i="5"/>
  <c r="AR61" i="5"/>
  <c r="AB58" i="5"/>
  <c r="AB72" i="5"/>
  <c r="AB56" i="5"/>
  <c r="AB70" i="5"/>
  <c r="AK47" i="5"/>
  <c r="E60" i="5"/>
  <c r="L60" i="5"/>
  <c r="H66" i="5"/>
  <c r="H52" i="5"/>
  <c r="G70" i="5"/>
  <c r="G56" i="5"/>
  <c r="AE70" i="5"/>
  <c r="AI70" i="5"/>
  <c r="AL54" i="5"/>
  <c r="AR54" i="5"/>
  <c r="D41" i="5"/>
  <c r="K41" i="5"/>
  <c r="AM75" i="5"/>
  <c r="AS75" i="5"/>
  <c r="AM61" i="5"/>
  <c r="AS61" i="5"/>
  <c r="AE65" i="5"/>
  <c r="AE51" i="5"/>
  <c r="AI51" i="5"/>
  <c r="D69" i="5"/>
  <c r="K69" i="5"/>
  <c r="D55" i="5"/>
  <c r="K55" i="5"/>
  <c r="AC53" i="5"/>
  <c r="AC55" i="5"/>
  <c r="E69" i="5"/>
  <c r="L69" i="5"/>
  <c r="E55" i="5"/>
  <c r="L55" i="5"/>
  <c r="AL57" i="5"/>
  <c r="AR57" i="5"/>
  <c r="AL71" i="5"/>
  <c r="AR71" i="5"/>
  <c r="AD53" i="5"/>
  <c r="AD67" i="5"/>
  <c r="AD72" i="5"/>
  <c r="AD58" i="5"/>
  <c r="AY72" i="5"/>
  <c r="AY58" i="5"/>
  <c r="AD66" i="5"/>
  <c r="AD52" i="5"/>
  <c r="AD61" i="5"/>
  <c r="AD75" i="5"/>
  <c r="AD64" i="5"/>
  <c r="D45" i="5"/>
  <c r="E58" i="5"/>
  <c r="L58" i="5"/>
  <c r="AL65" i="5"/>
  <c r="AR65" i="5"/>
  <c r="AO58" i="5"/>
  <c r="AY54" i="5"/>
  <c r="AY67" i="5"/>
  <c r="AM66" i="5"/>
  <c r="AM52" i="5"/>
  <c r="AS52" i="5"/>
  <c r="AM57" i="5"/>
  <c r="AS57" i="5"/>
  <c r="AM71" i="5"/>
  <c r="AS71" i="5"/>
  <c r="AD65" i="5"/>
  <c r="AN61" i="5"/>
  <c r="AT61" i="5"/>
  <c r="AO73" i="5"/>
  <c r="AY56" i="5"/>
  <c r="AY73" i="5"/>
  <c r="AO68" i="5"/>
  <c r="AE73" i="5"/>
  <c r="AI73" i="5"/>
  <c r="AE59" i="5"/>
  <c r="AI59" i="5"/>
  <c r="D75" i="5"/>
  <c r="K75" i="5"/>
  <c r="AM55" i="5"/>
  <c r="AS55" i="5"/>
  <c r="H72" i="5"/>
  <c r="H58" i="5"/>
  <c r="AD55" i="5"/>
  <c r="AD62" i="5"/>
  <c r="AO75" i="5"/>
  <c r="AY75" i="5"/>
  <c r="D31" i="5"/>
  <c r="AM31" i="5"/>
  <c r="E38" i="5"/>
  <c r="L38" i="5"/>
  <c r="AL32" i="5"/>
  <c r="AR32" i="5"/>
  <c r="E47" i="5"/>
  <c r="L47" i="5"/>
  <c r="AL59" i="5"/>
  <c r="AR59" i="5"/>
  <c r="AL73" i="5"/>
  <c r="AR73" i="5"/>
  <c r="AL39" i="5"/>
  <c r="AR39" i="5"/>
  <c r="AN60" i="5"/>
  <c r="AT60" i="5"/>
  <c r="AN74" i="5"/>
  <c r="AT74" i="5"/>
  <c r="AL44" i="5"/>
  <c r="AR44" i="5"/>
  <c r="AN72" i="5"/>
  <c r="AT72" i="5"/>
  <c r="AN58" i="5"/>
  <c r="AT58" i="5"/>
  <c r="E75" i="5"/>
  <c r="L75" i="5"/>
  <c r="E61" i="5"/>
  <c r="L61" i="5"/>
  <c r="AL42" i="5"/>
  <c r="AR42" i="5"/>
  <c r="AN70" i="5"/>
  <c r="AT70" i="5"/>
  <c r="AN56" i="5"/>
  <c r="AT56" i="5"/>
  <c r="E37" i="5"/>
  <c r="L37" i="5"/>
  <c r="AL49" i="5"/>
  <c r="AR49" i="5"/>
  <c r="AN69" i="5"/>
  <c r="AT69" i="5"/>
  <c r="AN55" i="5"/>
  <c r="AT55" i="5"/>
  <c r="E36" i="5"/>
  <c r="L36" i="5"/>
  <c r="AL76" i="5"/>
  <c r="AR76" i="5"/>
  <c r="AL62" i="5"/>
  <c r="AR62" i="5"/>
  <c r="Z53" i="5"/>
  <c r="Z67" i="5"/>
  <c r="Z73" i="5"/>
  <c r="Z59" i="5"/>
  <c r="Z68" i="5"/>
  <c r="Z54" i="5"/>
  <c r="Z60" i="5"/>
  <c r="Z74" i="5"/>
  <c r="Z72" i="5"/>
  <c r="Z58" i="5"/>
  <c r="Z52" i="5"/>
  <c r="Z66" i="5"/>
  <c r="Z61" i="5"/>
  <c r="Z75" i="5"/>
  <c r="Z70" i="5"/>
  <c r="Z56" i="5"/>
  <c r="Z65" i="5"/>
  <c r="Z51" i="5"/>
  <c r="Z55" i="5"/>
  <c r="Z69" i="5"/>
  <c r="Z64" i="5"/>
  <c r="Z76" i="5"/>
  <c r="Z62" i="5"/>
  <c r="Z57" i="5"/>
  <c r="Z71" i="5"/>
  <c r="M45" i="5"/>
  <c r="H71" i="5"/>
  <c r="H57" i="5"/>
  <c r="H31" i="5"/>
  <c r="AL40" i="5"/>
  <c r="AR40" i="5"/>
  <c r="AN67" i="5"/>
  <c r="AT67" i="5"/>
  <c r="AN53" i="5"/>
  <c r="AT53" i="5"/>
  <c r="E59" i="5"/>
  <c r="L59" i="5"/>
  <c r="AL41" i="5"/>
  <c r="AR41" i="5"/>
  <c r="AN68" i="5"/>
  <c r="AT68" i="5"/>
  <c r="AN54" i="5"/>
  <c r="AT54" i="5"/>
  <c r="AL60" i="5"/>
  <c r="AR60" i="5"/>
  <c r="AL74" i="5"/>
  <c r="AR74" i="5"/>
  <c r="AN33" i="5"/>
  <c r="AT33" i="5"/>
  <c r="AT31" i="5"/>
  <c r="E44" i="5"/>
  <c r="L44" i="5"/>
  <c r="AL58" i="5"/>
  <c r="AR58" i="5"/>
  <c r="AL72" i="5"/>
  <c r="AR72" i="5"/>
  <c r="AN52" i="5"/>
  <c r="AT52" i="5"/>
  <c r="AN66" i="5"/>
  <c r="AT66" i="5"/>
  <c r="E42" i="5"/>
  <c r="L42" i="5"/>
  <c r="AL56" i="5"/>
  <c r="AR56" i="5"/>
  <c r="AL70" i="5"/>
  <c r="AR70" i="5"/>
  <c r="AN65" i="5"/>
  <c r="AT65" i="5"/>
  <c r="AL69" i="5"/>
  <c r="AL55" i="5"/>
  <c r="AR55" i="5"/>
  <c r="AN64" i="5"/>
  <c r="AN50" i="5"/>
  <c r="E76" i="5"/>
  <c r="L76" i="5"/>
  <c r="E62" i="5"/>
  <c r="L62" i="5"/>
  <c r="AL43" i="5"/>
  <c r="AR43" i="5"/>
  <c r="AN57" i="5"/>
  <c r="AT57" i="5"/>
  <c r="AN71" i="5"/>
  <c r="AT71" i="5"/>
  <c r="F67" i="5"/>
  <c r="M67" i="5"/>
  <c r="F53" i="5"/>
  <c r="M53" i="5"/>
  <c r="F73" i="5"/>
  <c r="M73" i="5"/>
  <c r="F59" i="5"/>
  <c r="M59" i="5"/>
  <c r="F68" i="5"/>
  <c r="M68" i="5"/>
  <c r="F54" i="5"/>
  <c r="M54" i="5"/>
  <c r="F45" i="5"/>
  <c r="F60" i="5"/>
  <c r="M60" i="5"/>
  <c r="F58" i="5"/>
  <c r="M58" i="5"/>
  <c r="F72" i="5"/>
  <c r="M72" i="5"/>
  <c r="F75" i="5"/>
  <c r="M75" i="5"/>
  <c r="F61" i="5"/>
  <c r="M61" i="5"/>
  <c r="F65" i="5"/>
  <c r="M65" i="5"/>
  <c r="F51" i="5"/>
  <c r="M51" i="5"/>
  <c r="F55" i="5"/>
  <c r="M55" i="5"/>
  <c r="F50" i="5"/>
  <c r="M50" i="5"/>
  <c r="F76" i="5"/>
  <c r="M76" i="5"/>
  <c r="F62" i="5"/>
  <c r="M62" i="5"/>
  <c r="F43" i="5"/>
  <c r="M43" i="5"/>
  <c r="AK59" i="5"/>
  <c r="AL38" i="5"/>
  <c r="AR38" i="5"/>
  <c r="E68" i="5"/>
  <c r="L68" i="5"/>
  <c r="E54" i="5"/>
  <c r="L54" i="5"/>
  <c r="AL34" i="5"/>
  <c r="AR34" i="5"/>
  <c r="E66" i="5"/>
  <c r="L66" i="5"/>
  <c r="E52" i="5"/>
  <c r="L52" i="5"/>
  <c r="E50" i="5"/>
  <c r="L50" i="5"/>
  <c r="E64" i="5"/>
  <c r="L64" i="5"/>
  <c r="AL36" i="5"/>
  <c r="AR36" i="5"/>
  <c r="AN76" i="5"/>
  <c r="AT76" i="5"/>
  <c r="AN62" i="5"/>
  <c r="AT62" i="5"/>
  <c r="AL35" i="5"/>
  <c r="AR35" i="5"/>
  <c r="AF38" i="5"/>
  <c r="AJ38" i="5"/>
  <c r="AF32" i="5"/>
  <c r="AF40" i="5"/>
  <c r="AJ40" i="5"/>
  <c r="AB53" i="5"/>
  <c r="AB67" i="5"/>
  <c r="AF53" i="5"/>
  <c r="AJ53" i="5"/>
  <c r="AF67" i="5"/>
  <c r="AJ67" i="5"/>
  <c r="AB59" i="5"/>
  <c r="AB73" i="5"/>
  <c r="AF73" i="5"/>
  <c r="AJ73" i="5"/>
  <c r="AF41" i="5"/>
  <c r="AJ41" i="5"/>
  <c r="AF68" i="5"/>
  <c r="AJ68" i="5"/>
  <c r="AF54" i="5"/>
  <c r="AJ54" i="5"/>
  <c r="AF45" i="5"/>
  <c r="AF39" i="5"/>
  <c r="AJ39" i="5"/>
  <c r="AF74" i="5"/>
  <c r="AJ74" i="5"/>
  <c r="AF60" i="5"/>
  <c r="AJ60" i="5"/>
  <c r="AF33" i="5"/>
  <c r="AJ33" i="5"/>
  <c r="AF34" i="5"/>
  <c r="AJ34" i="5"/>
  <c r="AF44" i="5"/>
  <c r="AF72" i="5"/>
  <c r="AJ72" i="5"/>
  <c r="AF58" i="5"/>
  <c r="AJ58" i="5"/>
  <c r="AF66" i="5"/>
  <c r="AJ66" i="5"/>
  <c r="AF52" i="5"/>
  <c r="AJ52" i="5"/>
  <c r="AB61" i="5"/>
  <c r="AB75" i="5"/>
  <c r="AF61" i="5"/>
  <c r="AJ61" i="5"/>
  <c r="AF75" i="5"/>
  <c r="AJ75" i="5"/>
  <c r="AF42" i="5"/>
  <c r="AJ42" i="5"/>
  <c r="AF70" i="5"/>
  <c r="AJ70" i="5"/>
  <c r="AF56" i="5"/>
  <c r="AJ56" i="5"/>
  <c r="AB65" i="5"/>
  <c r="AF65" i="5"/>
  <c r="AJ65" i="5"/>
  <c r="AF37" i="5"/>
  <c r="AJ37" i="5"/>
  <c r="AF49" i="5"/>
  <c r="AJ49" i="5"/>
  <c r="AB55" i="5"/>
  <c r="AB69" i="5"/>
  <c r="AF69" i="5"/>
  <c r="AJ69" i="5"/>
  <c r="AF64" i="5"/>
  <c r="AJ64" i="5"/>
  <c r="AF50" i="5"/>
  <c r="AJ50" i="5"/>
  <c r="AF36" i="5"/>
  <c r="AJ36" i="5"/>
  <c r="AF76" i="5"/>
  <c r="AJ76" i="5"/>
  <c r="AF62" i="5"/>
  <c r="AJ62" i="5"/>
  <c r="AF43" i="5"/>
  <c r="AJ43" i="5"/>
  <c r="AB71" i="5"/>
  <c r="AB57" i="5"/>
  <c r="AF71" i="5"/>
  <c r="AJ71" i="5"/>
  <c r="AF35" i="5"/>
  <c r="AJ35" i="5"/>
  <c r="H45" i="5"/>
  <c r="H55" i="5"/>
  <c r="H69" i="5"/>
  <c r="AE31" i="5"/>
  <c r="BA55" i="28"/>
  <c r="BA72" i="28"/>
  <c r="BA45" i="28"/>
  <c r="BA30" i="28"/>
  <c r="BA35" i="28"/>
  <c r="BA30" i="27"/>
  <c r="BA35" i="27"/>
  <c r="BA35" i="26"/>
  <c r="BA69" i="27"/>
  <c r="BA70" i="27"/>
  <c r="BA72" i="27"/>
  <c r="BA74" i="27"/>
  <c r="BA75" i="27"/>
  <c r="BA3" i="26"/>
  <c r="BA7" i="26"/>
  <c r="BA11" i="26"/>
  <c r="BA15" i="26"/>
  <c r="BA19" i="26"/>
  <c r="BA23" i="26"/>
  <c r="BA27" i="26"/>
  <c r="BA70" i="28"/>
  <c r="BA74" i="28"/>
  <c r="BA5" i="26"/>
  <c r="BA9" i="26"/>
  <c r="BA13" i="26"/>
  <c r="BA17" i="26"/>
  <c r="BA21" i="26"/>
  <c r="BA25" i="26"/>
  <c r="BA29" i="26"/>
  <c r="H46" i="15"/>
  <c r="AG47" i="15"/>
  <c r="AK47" i="15"/>
  <c r="G46" i="15"/>
  <c r="AF34" i="15"/>
  <c r="H47" i="15"/>
  <c r="M47" i="15"/>
  <c r="L49" i="15"/>
  <c r="G67" i="15"/>
  <c r="L67" i="15"/>
  <c r="G53" i="15"/>
  <c r="L53" i="15"/>
  <c r="H61" i="15"/>
  <c r="M61" i="15"/>
  <c r="H75" i="15"/>
  <c r="M75" i="15"/>
  <c r="AF46" i="15"/>
  <c r="H63" i="15"/>
  <c r="M63" i="15"/>
  <c r="G34" i="15"/>
  <c r="L34" i="15"/>
  <c r="AF47" i="15"/>
  <c r="AJ47" i="15"/>
  <c r="AJ64" i="15"/>
  <c r="AK46" i="15"/>
  <c r="AG45" i="15"/>
  <c r="AK45" i="15"/>
  <c r="E31" i="15"/>
  <c r="J31" i="15"/>
  <c r="M49" i="15"/>
  <c r="G75" i="15"/>
  <c r="L75" i="15"/>
  <c r="G61" i="15"/>
  <c r="L61" i="15"/>
  <c r="G47" i="15"/>
  <c r="L47" i="15"/>
  <c r="AJ50" i="15"/>
  <c r="AF75" i="15"/>
  <c r="AJ75" i="15"/>
  <c r="AF61" i="15"/>
  <c r="AJ61" i="15"/>
  <c r="AG31" i="15"/>
  <c r="AK31" i="15"/>
  <c r="AK68" i="15"/>
  <c r="AG63" i="15"/>
  <c r="AK63" i="15"/>
  <c r="M32" i="15"/>
  <c r="H36" i="15"/>
  <c r="M36" i="15"/>
  <c r="G65" i="15"/>
  <c r="L65" i="15"/>
  <c r="G51" i="15"/>
  <c r="L51" i="15"/>
  <c r="AF37" i="15"/>
  <c r="AJ37" i="15"/>
  <c r="L64" i="15"/>
  <c r="AH50" i="15"/>
  <c r="AD48" i="15"/>
  <c r="AH48" i="15"/>
  <c r="G36" i="15"/>
  <c r="L36" i="15"/>
  <c r="H35" i="15"/>
  <c r="M35" i="15"/>
  <c r="G37" i="15"/>
  <c r="L37" i="15"/>
  <c r="AE48" i="15"/>
  <c r="AI48" i="15"/>
  <c r="E48" i="15"/>
  <c r="J48" i="15"/>
  <c r="G31" i="15"/>
  <c r="L31" i="15"/>
  <c r="L32" i="15"/>
  <c r="T61" i="17"/>
  <c r="T75" i="17"/>
  <c r="BL12" i="17"/>
  <c r="BA74" i="17"/>
  <c r="BL74" i="17"/>
  <c r="BA60" i="17"/>
  <c r="BL60" i="17"/>
  <c r="BL23" i="17"/>
  <c r="BA49" i="17"/>
  <c r="BL49" i="17"/>
  <c r="AK15" i="17"/>
  <c r="Z44" i="17"/>
  <c r="AK44" i="17"/>
  <c r="AP3" i="17"/>
  <c r="AE32" i="17"/>
  <c r="AP32" i="17"/>
  <c r="BK21" i="17"/>
  <c r="AZ51" i="17"/>
  <c r="BK51" i="17"/>
  <c r="AZ65" i="17"/>
  <c r="BK65" i="17"/>
  <c r="AM10" i="17"/>
  <c r="AB46" i="17"/>
  <c r="BS31" i="17"/>
  <c r="AZ40" i="17"/>
  <c r="BK40" i="17"/>
  <c r="J31" i="17"/>
  <c r="BO16" i="17"/>
  <c r="BD72" i="17"/>
  <c r="BO72" i="17"/>
  <c r="BD58" i="17"/>
  <c r="BO58" i="17"/>
  <c r="BI26" i="17"/>
  <c r="AX36" i="17"/>
  <c r="BI36" i="17"/>
  <c r="AA45" i="17"/>
  <c r="AL46" i="17"/>
  <c r="O46" i="17"/>
  <c r="G45" i="17"/>
  <c r="J48" i="17"/>
  <c r="X31" i="17"/>
  <c r="AC74" i="17"/>
  <c r="AN74" i="17"/>
  <c r="AN12" i="17"/>
  <c r="AC60" i="17"/>
  <c r="AN60" i="17"/>
  <c r="BC34" i="17"/>
  <c r="BN34" i="17"/>
  <c r="BN14" i="17"/>
  <c r="BN29" i="17"/>
  <c r="BC71" i="17"/>
  <c r="BN71" i="17"/>
  <c r="BC57" i="17"/>
  <c r="BN57" i="17"/>
  <c r="T28" i="17"/>
  <c r="T43" i="17"/>
  <c r="I63" i="17"/>
  <c r="AM17" i="17"/>
  <c r="AB52" i="17"/>
  <c r="AM52" i="17"/>
  <c r="AB66" i="17"/>
  <c r="AM66" i="17"/>
  <c r="BL25" i="17"/>
  <c r="BA50" i="17"/>
  <c r="BL50" i="17"/>
  <c r="BA64" i="17"/>
  <c r="BL64" i="17"/>
  <c r="AP29" i="17"/>
  <c r="AE57" i="17"/>
  <c r="AP57" i="17"/>
  <c r="AE71" i="17"/>
  <c r="AP71" i="17"/>
  <c r="AP14" i="17"/>
  <c r="AE34" i="17"/>
  <c r="AP34" i="17"/>
  <c r="AN25" i="17"/>
  <c r="AC64" i="17"/>
  <c r="AN64" i="17"/>
  <c r="AC50" i="17"/>
  <c r="AN50" i="17"/>
  <c r="BK10" i="17"/>
  <c r="AZ46" i="17"/>
  <c r="AQ5" i="17"/>
  <c r="AF53" i="17"/>
  <c r="AQ53" i="17"/>
  <c r="AF67" i="17"/>
  <c r="AQ67" i="17"/>
  <c r="BN3" i="17"/>
  <c r="BC32" i="17"/>
  <c r="BN32" i="17"/>
  <c r="Q62" i="17"/>
  <c r="I48" i="17"/>
  <c r="X48" i="17"/>
  <c r="BK8" i="17"/>
  <c r="AZ41" i="17"/>
  <c r="BK41" i="17"/>
  <c r="AN23" i="17"/>
  <c r="AC49" i="17"/>
  <c r="AN49" i="17"/>
  <c r="BO18" i="17"/>
  <c r="BD75" i="17"/>
  <c r="BO75" i="17"/>
  <c r="BD61" i="17"/>
  <c r="BO61" i="17"/>
  <c r="BB45" i="17"/>
  <c r="BM47" i="17"/>
  <c r="BM27" i="17"/>
  <c r="BB76" i="17"/>
  <c r="BM76" i="17"/>
  <c r="BB62" i="17"/>
  <c r="BM62" i="17"/>
  <c r="AQ9" i="17"/>
  <c r="AF54" i="17"/>
  <c r="AQ54" i="17"/>
  <c r="AF68" i="17"/>
  <c r="AQ68" i="17"/>
  <c r="T11" i="17"/>
  <c r="T39" i="17"/>
  <c r="K63" i="17"/>
  <c r="T5" i="17"/>
  <c r="AM4" i="17"/>
  <c r="AB40" i="17"/>
  <c r="AM40" i="17"/>
  <c r="AM15" i="17"/>
  <c r="AB44" i="17"/>
  <c r="AM44" i="17"/>
  <c r="BK17" i="17"/>
  <c r="AZ66" i="17"/>
  <c r="BK66" i="17"/>
  <c r="AZ52" i="17"/>
  <c r="BK52" i="17"/>
  <c r="AK26" i="17"/>
  <c r="Z36" i="17"/>
  <c r="AK36" i="17"/>
  <c r="BK6" i="17"/>
  <c r="AZ47" i="17"/>
  <c r="BK47" i="17"/>
  <c r="AO27" i="17"/>
  <c r="AD62" i="17"/>
  <c r="AO62" i="17"/>
  <c r="AD76" i="17"/>
  <c r="AO76" i="17"/>
  <c r="BN7" i="17"/>
  <c r="BC59" i="17"/>
  <c r="BN59" i="17"/>
  <c r="BC73" i="17"/>
  <c r="BN73" i="17"/>
  <c r="AM21" i="17"/>
  <c r="AB65" i="17"/>
  <c r="AM65" i="17"/>
  <c r="AB51" i="17"/>
  <c r="AM51" i="17"/>
  <c r="T47" i="17"/>
  <c r="U47" i="17"/>
  <c r="U53" i="17"/>
  <c r="U67" i="17"/>
  <c r="U62" i="17"/>
  <c r="U76" i="17"/>
  <c r="T36" i="17"/>
  <c r="U36" i="17"/>
  <c r="T40" i="17"/>
  <c r="U40" i="17"/>
  <c r="T35" i="17"/>
  <c r="U35" i="17"/>
  <c r="E63" i="17"/>
  <c r="U54" i="17"/>
  <c r="U68" i="17"/>
  <c r="BS63" i="17"/>
  <c r="Z76" i="17"/>
  <c r="AK76" i="17"/>
  <c r="AK27" i="17"/>
  <c r="Z62" i="17"/>
  <c r="AK62" i="17"/>
  <c r="BT69" i="17"/>
  <c r="BT55" i="17"/>
  <c r="BK16" i="17"/>
  <c r="AZ72" i="17"/>
  <c r="BK72" i="17"/>
  <c r="AZ58" i="17"/>
  <c r="BK58" i="17"/>
  <c r="BB33" i="17"/>
  <c r="BM33" i="17"/>
  <c r="BM13" i="17"/>
  <c r="BK20" i="17"/>
  <c r="AZ70" i="17"/>
  <c r="BK70" i="17"/>
  <c r="AZ56" i="17"/>
  <c r="BK56" i="17"/>
  <c r="BJ18" i="17"/>
  <c r="AY75" i="17"/>
  <c r="BJ75" i="17"/>
  <c r="AY61" i="17"/>
  <c r="BJ61" i="17"/>
  <c r="BL13" i="17"/>
  <c r="BA33" i="17"/>
  <c r="BL33" i="17"/>
  <c r="BK11" i="17"/>
  <c r="AZ39" i="17"/>
  <c r="BK39" i="17"/>
  <c r="Z73" i="17"/>
  <c r="AK73" i="17"/>
  <c r="AK7" i="17"/>
  <c r="Z59" i="17"/>
  <c r="AK59" i="17"/>
  <c r="AP4" i="17"/>
  <c r="AE40" i="17"/>
  <c r="AP40" i="17"/>
  <c r="BT70" i="17"/>
  <c r="BT56" i="17"/>
  <c r="AN13" i="17"/>
  <c r="AC33" i="17"/>
  <c r="AN33" i="17"/>
  <c r="AX73" i="17"/>
  <c r="BI73" i="17"/>
  <c r="AX59" i="17"/>
  <c r="BI59" i="17"/>
  <c r="BI7" i="17"/>
  <c r="AX45" i="17"/>
  <c r="BI46" i="17"/>
  <c r="U52" i="17"/>
  <c r="U66" i="17"/>
  <c r="T37" i="17"/>
  <c r="U37" i="17"/>
  <c r="T46" i="17"/>
  <c r="T45" i="17"/>
  <c r="U46" i="17"/>
  <c r="T16" i="17"/>
  <c r="BI27" i="17"/>
  <c r="AX76" i="17"/>
  <c r="BI76" i="17"/>
  <c r="AX62" i="17"/>
  <c r="BI62" i="17"/>
  <c r="AN22" i="17"/>
  <c r="AC37" i="17"/>
  <c r="AN37" i="17"/>
  <c r="AQ17" i="17"/>
  <c r="AF52" i="17"/>
  <c r="AQ52" i="17"/>
  <c r="AF66" i="17"/>
  <c r="AQ66" i="17"/>
  <c r="AM16" i="17"/>
  <c r="AB72" i="17"/>
  <c r="AM72" i="17"/>
  <c r="AB58" i="17"/>
  <c r="AM58" i="17"/>
  <c r="AM5" i="17"/>
  <c r="AB67" i="17"/>
  <c r="AM67" i="17"/>
  <c r="AB53" i="17"/>
  <c r="AM53" i="17"/>
  <c r="AY32" i="17"/>
  <c r="BJ32" i="17"/>
  <c r="BJ3" i="17"/>
  <c r="BT74" i="17"/>
  <c r="BT60" i="17"/>
  <c r="BK22" i="17"/>
  <c r="AZ37" i="17"/>
  <c r="BK37" i="17"/>
  <c r="AM20" i="17"/>
  <c r="AB56" i="17"/>
  <c r="AM56" i="17"/>
  <c r="AB70" i="17"/>
  <c r="AM70" i="17"/>
  <c r="BN4" i="17"/>
  <c r="BC40" i="17"/>
  <c r="BN40" i="17"/>
  <c r="T14" i="17"/>
  <c r="AT63" i="17"/>
  <c r="BJ29" i="17"/>
  <c r="AY71" i="17"/>
  <c r="BJ71" i="17"/>
  <c r="AY57" i="17"/>
  <c r="BJ57" i="17"/>
  <c r="BL22" i="17"/>
  <c r="BA37" i="17"/>
  <c r="BL37" i="17"/>
  <c r="AN20" i="17"/>
  <c r="AC56" i="17"/>
  <c r="AN56" i="17"/>
  <c r="AC70" i="17"/>
  <c r="AN70" i="17"/>
  <c r="BD52" i="17"/>
  <c r="BO52" i="17"/>
  <c r="BO17" i="17"/>
  <c r="BD66" i="17"/>
  <c r="BO66" i="17"/>
  <c r="AM9" i="17"/>
  <c r="AB68" i="17"/>
  <c r="AM68" i="17"/>
  <c r="AB54" i="17"/>
  <c r="AM54" i="17"/>
  <c r="BK5" i="17"/>
  <c r="AZ67" i="17"/>
  <c r="BK67" i="17"/>
  <c r="AZ53" i="17"/>
  <c r="BK53" i="17"/>
  <c r="AL3" i="17"/>
  <c r="AA32" i="17"/>
  <c r="AL32" i="17"/>
  <c r="BL30" i="17"/>
  <c r="BP30" i="17"/>
  <c r="BP35" i="17"/>
  <c r="BA35" i="17"/>
  <c r="BL35" i="17"/>
  <c r="AM22" i="17"/>
  <c r="AB37" i="17"/>
  <c r="AM37" i="17"/>
  <c r="AP17" i="17"/>
  <c r="AE52" i="17"/>
  <c r="AP52" i="17"/>
  <c r="AE66" i="17"/>
  <c r="AP66" i="17"/>
  <c r="AP10" i="17"/>
  <c r="AE46" i="17"/>
  <c r="AP6" i="17"/>
  <c r="AE47" i="17"/>
  <c r="AP47" i="17"/>
  <c r="AU48" i="17"/>
  <c r="T24" i="17"/>
  <c r="T13" i="17"/>
  <c r="BI3" i="17"/>
  <c r="AX32" i="17"/>
  <c r="BI32" i="17"/>
  <c r="BM26" i="17"/>
  <c r="BB36" i="17"/>
  <c r="BM36" i="17"/>
  <c r="AL14" i="17"/>
  <c r="AA34" i="17"/>
  <c r="AL34" i="17"/>
  <c r="BL11" i="17"/>
  <c r="BA39" i="17"/>
  <c r="BL39" i="17"/>
  <c r="BL26" i="17"/>
  <c r="BA36" i="17"/>
  <c r="BL36" i="17"/>
  <c r="BO19" i="17"/>
  <c r="BD42" i="17"/>
  <c r="BO42" i="17"/>
  <c r="BN17" i="17"/>
  <c r="BC66" i="17"/>
  <c r="BN66" i="17"/>
  <c r="BC52" i="17"/>
  <c r="BN52" i="17"/>
  <c r="AQ12" i="17"/>
  <c r="AF74" i="17"/>
  <c r="AQ74" i="17"/>
  <c r="AF60" i="17"/>
  <c r="AQ60" i="17"/>
  <c r="AN2" i="17"/>
  <c r="AC38" i="17"/>
  <c r="AN38" i="17"/>
  <c r="T42" i="17"/>
  <c r="U42" i="17"/>
  <c r="U71" i="17"/>
  <c r="U57" i="17"/>
  <c r="T38" i="17"/>
  <c r="U38" i="17"/>
  <c r="T44" i="17"/>
  <c r="U44" i="17"/>
  <c r="T8" i="17"/>
  <c r="BN28" i="17"/>
  <c r="BC43" i="17"/>
  <c r="BN43" i="17"/>
  <c r="AO26" i="17"/>
  <c r="AD36" i="17"/>
  <c r="AO36" i="17"/>
  <c r="AQ21" i="17"/>
  <c r="AF51" i="17"/>
  <c r="AQ51" i="17"/>
  <c r="AF65" i="17"/>
  <c r="AQ65" i="17"/>
  <c r="BJ14" i="17"/>
  <c r="AY34" i="17"/>
  <c r="BJ34" i="17"/>
  <c r="BD41" i="17"/>
  <c r="BO41" i="17"/>
  <c r="BO8" i="17"/>
  <c r="BO4" i="17"/>
  <c r="BD40" i="17"/>
  <c r="BO40" i="17"/>
  <c r="AO2" i="17"/>
  <c r="AD38" i="17"/>
  <c r="AO38" i="17"/>
  <c r="BI29" i="17"/>
  <c r="AX71" i="17"/>
  <c r="BI71" i="17"/>
  <c r="AX57" i="17"/>
  <c r="BI57" i="17"/>
  <c r="AP21" i="17"/>
  <c r="AE51" i="17"/>
  <c r="AP51" i="17"/>
  <c r="AE65" i="17"/>
  <c r="AP65" i="17"/>
  <c r="AQ19" i="17"/>
  <c r="AF42" i="17"/>
  <c r="AQ42" i="17"/>
  <c r="AL9" i="17"/>
  <c r="AA68" i="17"/>
  <c r="AL68" i="17"/>
  <c r="AA54" i="17"/>
  <c r="AL54" i="17"/>
  <c r="U60" i="17"/>
  <c r="U74" i="17"/>
  <c r="D45" i="17"/>
  <c r="U61" i="17"/>
  <c r="U75" i="17"/>
  <c r="AK4" i="17"/>
  <c r="Z40" i="17"/>
  <c r="AP28" i="17"/>
  <c r="AE43" i="17"/>
  <c r="AP43" i="17"/>
  <c r="BO21" i="17"/>
  <c r="BD51" i="17"/>
  <c r="BO51" i="17"/>
  <c r="BD65" i="17"/>
  <c r="BO65" i="17"/>
  <c r="AQ4" i="17"/>
  <c r="AF40" i="17"/>
  <c r="AQ40" i="17"/>
  <c r="BM2" i="17"/>
  <c r="BB38" i="17"/>
  <c r="BM38" i="17"/>
  <c r="BK24" i="17"/>
  <c r="AZ55" i="17"/>
  <c r="BK55" i="17"/>
  <c r="AZ69" i="17"/>
  <c r="BK69" i="17"/>
  <c r="AP15" i="17"/>
  <c r="AE44" i="17"/>
  <c r="AP44" i="17"/>
  <c r="BJ9" i="17"/>
  <c r="AY68" i="17"/>
  <c r="BJ68" i="17"/>
  <c r="AY54" i="17"/>
  <c r="BJ54" i="17"/>
  <c r="U59" i="17"/>
  <c r="U73" i="17"/>
  <c r="AO28" i="17"/>
  <c r="AD43" i="17"/>
  <c r="AO43" i="17"/>
  <c r="AA75" i="17"/>
  <c r="AL75" i="17"/>
  <c r="AL18" i="17"/>
  <c r="AA61" i="17"/>
  <c r="AL61" i="17"/>
  <c r="AM11" i="17"/>
  <c r="AR11" i="17"/>
  <c r="AR39" i="17"/>
  <c r="AB39" i="17"/>
  <c r="AM39" i="17"/>
  <c r="T32" i="17"/>
  <c r="U32" i="17"/>
  <c r="U56" i="17"/>
  <c r="U70" i="17"/>
  <c r="U51" i="17"/>
  <c r="U65" i="17"/>
  <c r="T49" i="17"/>
  <c r="U49" i="17"/>
  <c r="AR7" i="17"/>
  <c r="AR73" i="17"/>
  <c r="AO13" i="17"/>
  <c r="AD33" i="17"/>
  <c r="AO33" i="17"/>
  <c r="AQ10" i="17"/>
  <c r="AF46" i="17"/>
  <c r="AQ46" i="17"/>
  <c r="BM28" i="17"/>
  <c r="BB43" i="17"/>
  <c r="BM43" i="17"/>
  <c r="AL5" i="17"/>
  <c r="AA67" i="17"/>
  <c r="AL67" i="17"/>
  <c r="AA53" i="17"/>
  <c r="AL53" i="17"/>
  <c r="T55" i="17"/>
  <c r="T69" i="17"/>
  <c r="AP22" i="17"/>
  <c r="AE37" i="17"/>
  <c r="AM12" i="17"/>
  <c r="AB60" i="17"/>
  <c r="AB74" i="17"/>
  <c r="T59" i="17"/>
  <c r="T73" i="17"/>
  <c r="BT50" i="17"/>
  <c r="BT64" i="17"/>
  <c r="BT71" i="17"/>
  <c r="BT57" i="17"/>
  <c r="AL28" i="17"/>
  <c r="AR28" i="17"/>
  <c r="AR43" i="17"/>
  <c r="AA43" i="17"/>
  <c r="AC55" i="17"/>
  <c r="AN55" i="17"/>
  <c r="AN24" i="17"/>
  <c r="AR24" i="17"/>
  <c r="AC69" i="17"/>
  <c r="AN69" i="17"/>
  <c r="BN22" i="17"/>
  <c r="BC37" i="17"/>
  <c r="BN37" i="17"/>
  <c r="AN19" i="17"/>
  <c r="AC42" i="17"/>
  <c r="BT66" i="17"/>
  <c r="BT52" i="17"/>
  <c r="AA72" i="17"/>
  <c r="AL72" i="17"/>
  <c r="AA58" i="17"/>
  <c r="AL58" i="17"/>
  <c r="AL16" i="17"/>
  <c r="AR16" i="17"/>
  <c r="AZ34" i="17"/>
  <c r="BK14" i="17"/>
  <c r="BP14" i="17"/>
  <c r="BP34" i="17"/>
  <c r="O74" i="17"/>
  <c r="G63" i="17"/>
  <c r="BL10" i="17"/>
  <c r="BA46" i="17"/>
  <c r="BI9" i="17"/>
  <c r="AX68" i="17"/>
  <c r="AX54" i="17"/>
  <c r="BI54" i="17"/>
  <c r="W63" i="17"/>
  <c r="AW31" i="17"/>
  <c r="BH37" i="17"/>
  <c r="AQ41" i="17"/>
  <c r="L49" i="17"/>
  <c r="D48" i="17"/>
  <c r="F48" i="17"/>
  <c r="BR48" i="17"/>
  <c r="AV48" i="17"/>
  <c r="BG53" i="17"/>
  <c r="BT72" i="17"/>
  <c r="BT58" i="17"/>
  <c r="BR63" i="17"/>
  <c r="T54" i="17"/>
  <c r="T68" i="17"/>
  <c r="BS48" i="17"/>
  <c r="AY43" i="17"/>
  <c r="BJ28" i="17"/>
  <c r="BP28" i="17"/>
  <c r="BP43" i="17"/>
  <c r="AM26" i="17"/>
  <c r="AR26" i="17"/>
  <c r="AR36" i="17"/>
  <c r="AB36" i="17"/>
  <c r="AM36" i="17"/>
  <c r="AQ20" i="17"/>
  <c r="AR20" i="17"/>
  <c r="AF56" i="17"/>
  <c r="AQ56" i="17"/>
  <c r="AF70" i="17"/>
  <c r="AQ70" i="17"/>
  <c r="BL19" i="17"/>
  <c r="BA42" i="17"/>
  <c r="BL42" i="17"/>
  <c r="AD52" i="17"/>
  <c r="AD66" i="17"/>
  <c r="AO17" i="17"/>
  <c r="AY58" i="17"/>
  <c r="BJ58" i="17"/>
  <c r="BJ16" i="17"/>
  <c r="BP16" i="17"/>
  <c r="AY72" i="17"/>
  <c r="BJ72" i="17"/>
  <c r="BJ7" i="17"/>
  <c r="BP7" i="17"/>
  <c r="AY59" i="17"/>
  <c r="BJ59" i="17"/>
  <c r="AY73" i="17"/>
  <c r="BJ73" i="17"/>
  <c r="AC67" i="17"/>
  <c r="AC53" i="17"/>
  <c r="AN5" i="17"/>
  <c r="BB32" i="17"/>
  <c r="BM3" i="17"/>
  <c r="G48" i="17"/>
  <c r="AW48" i="17"/>
  <c r="AN10" i="17"/>
  <c r="AC46" i="17"/>
  <c r="BT67" i="17"/>
  <c r="BT53" i="17"/>
  <c r="BL24" i="17"/>
  <c r="BA55" i="17"/>
  <c r="BL55" i="17"/>
  <c r="BA69" i="17"/>
  <c r="BL69" i="17"/>
  <c r="BO13" i="17"/>
  <c r="BP13" i="17"/>
  <c r="BP33" i="17"/>
  <c r="BD33" i="17"/>
  <c r="AZ74" i="17"/>
  <c r="BK74" i="17"/>
  <c r="BK12" i="17"/>
  <c r="BP12" i="17"/>
  <c r="AZ60" i="17"/>
  <c r="BK60" i="17"/>
  <c r="AP8" i="17"/>
  <c r="AR8" i="17"/>
  <c r="AR41" i="17"/>
  <c r="AE41" i="17"/>
  <c r="AP41" i="17"/>
  <c r="AO3" i="17"/>
  <c r="AR3" i="17"/>
  <c r="AR32" i="17"/>
  <c r="AD32" i="17"/>
  <c r="V63" i="17"/>
  <c r="AK67" i="17"/>
  <c r="BJ21" i="17"/>
  <c r="BP21" i="17"/>
  <c r="AY51" i="17"/>
  <c r="AY65" i="17"/>
  <c r="AM14" i="17"/>
  <c r="AR14" i="17"/>
  <c r="AR34" i="17"/>
  <c r="AB34" i="17"/>
  <c r="T72" i="17"/>
  <c r="T58" i="17"/>
  <c r="M33" i="17"/>
  <c r="E31" i="17"/>
  <c r="BJ20" i="17"/>
  <c r="AY56" i="17"/>
  <c r="BJ56" i="17"/>
  <c r="AY70" i="17"/>
  <c r="BJ70" i="17"/>
  <c r="BT65" i="17"/>
  <c r="BT51" i="17"/>
  <c r="T60" i="17"/>
  <c r="T74" i="17"/>
  <c r="AD71" i="17"/>
  <c r="AO71" i="17"/>
  <c r="AD57" i="17"/>
  <c r="AO57" i="17"/>
  <c r="AO29" i="17"/>
  <c r="BO25" i="17"/>
  <c r="BP25" i="17"/>
  <c r="BD50" i="17"/>
  <c r="BD64" i="17"/>
  <c r="AT48" i="17"/>
  <c r="BE51" i="17"/>
  <c r="AR18" i="17"/>
  <c r="BM17" i="17"/>
  <c r="BB52" i="17"/>
  <c r="BB66" i="17"/>
  <c r="AQ15" i="17"/>
  <c r="AR15" i="17"/>
  <c r="AR44" i="17"/>
  <c r="AF44" i="17"/>
  <c r="AQ44" i="17"/>
  <c r="AH54" i="17"/>
  <c r="W48" i="17"/>
  <c r="BN8" i="17"/>
  <c r="BC41" i="17"/>
  <c r="BN41" i="17"/>
  <c r="AQ6" i="17"/>
  <c r="AR6" i="17"/>
  <c r="AR47" i="17"/>
  <c r="AF47" i="17"/>
  <c r="P67" i="17"/>
  <c r="H63" i="17"/>
  <c r="Y48" i="17"/>
  <c r="AJ49" i="17"/>
  <c r="K48" i="17"/>
  <c r="F63" i="17"/>
  <c r="BK18" i="17"/>
  <c r="BP18" i="17"/>
  <c r="AZ61" i="17"/>
  <c r="BK61" i="17"/>
  <c r="AZ75" i="17"/>
  <c r="BK75" i="17"/>
  <c r="T53" i="17"/>
  <c r="T67" i="17"/>
  <c r="BI2" i="17"/>
  <c r="AX38" i="17"/>
  <c r="BT31" i="17"/>
  <c r="AP55" i="17"/>
  <c r="BJ15" i="17"/>
  <c r="BP15" i="17"/>
  <c r="BP44" i="17"/>
  <c r="AY44" i="17"/>
  <c r="BJ44" i="17"/>
  <c r="AX42" i="17"/>
  <c r="BI42" i="17"/>
  <c r="BI19" i="17"/>
  <c r="T62" i="17"/>
  <c r="T76" i="17"/>
  <c r="BM29" i="17"/>
  <c r="BB71" i="17"/>
  <c r="BM71" i="17"/>
  <c r="BB57" i="17"/>
  <c r="BM57" i="17"/>
  <c r="AP27" i="17"/>
  <c r="AR27" i="17"/>
  <c r="AE76" i="17"/>
  <c r="AP76" i="17"/>
  <c r="AE62" i="17"/>
  <c r="AP62" i="17"/>
  <c r="AQ25" i="17"/>
  <c r="AR25" i="17"/>
  <c r="AR50" i="17"/>
  <c r="AF64" i="17"/>
  <c r="AF50" i="17"/>
  <c r="AK23" i="17"/>
  <c r="AR23" i="17"/>
  <c r="AR49" i="17"/>
  <c r="Z49" i="17"/>
  <c r="V48" i="17"/>
  <c r="AG61" i="17"/>
  <c r="AU63" i="17"/>
  <c r="BF74" i="17"/>
  <c r="BO6" i="17"/>
  <c r="BP6" i="17"/>
  <c r="BP47" i="17"/>
  <c r="BD47" i="17"/>
  <c r="BL5" i="17"/>
  <c r="BP5" i="17"/>
  <c r="BA53" i="17"/>
  <c r="BA67" i="17"/>
  <c r="L32" i="17"/>
  <c r="D31" i="17"/>
  <c r="AW63" i="17"/>
  <c r="BL4" i="17"/>
  <c r="BP4" i="17"/>
  <c r="BP40" i="17"/>
  <c r="BA40" i="17"/>
  <c r="T56" i="17"/>
  <c r="T70" i="17"/>
  <c r="T71" i="17"/>
  <c r="T57" i="17"/>
  <c r="T52" i="17"/>
  <c r="T66" i="17"/>
  <c r="BN27" i="17"/>
  <c r="BP27" i="17"/>
  <c r="BC62" i="17"/>
  <c r="BC76" i="17"/>
  <c r="BI23" i="17"/>
  <c r="BP23" i="17"/>
  <c r="BP49" i="17"/>
  <c r="AX49" i="17"/>
  <c r="BO20" i="17"/>
  <c r="BD70" i="17"/>
  <c r="BO70" i="17"/>
  <c r="BD56" i="17"/>
  <c r="BO56" i="17"/>
  <c r="AU31" i="17"/>
  <c r="BF34" i="17"/>
  <c r="AV45" i="17"/>
  <c r="BG46" i="17"/>
  <c r="M54" i="17"/>
  <c r="E48" i="17"/>
  <c r="Y63" i="17"/>
  <c r="AJ65" i="17"/>
  <c r="L64" i="17"/>
  <c r="D63" i="17"/>
  <c r="BC45" i="17"/>
  <c r="BL9" i="17"/>
  <c r="BA54" i="17"/>
  <c r="BL54" i="17"/>
  <c r="BA68" i="17"/>
  <c r="BL68" i="17"/>
  <c r="T51" i="17"/>
  <c r="T65" i="17"/>
  <c r="BE35" i="17"/>
  <c r="AA51" i="17"/>
  <c r="AL21" i="17"/>
  <c r="AA65" i="17"/>
  <c r="BG42" i="17"/>
  <c r="AV31" i="17"/>
  <c r="Z54" i="17"/>
  <c r="AK54" i="17"/>
  <c r="AK9" i="17"/>
  <c r="AR9" i="17"/>
  <c r="Z68" i="17"/>
  <c r="AK68" i="17"/>
  <c r="BG67" i="17"/>
  <c r="AV63" i="17"/>
  <c r="BK64" i="17"/>
  <c r="T25" i="17"/>
  <c r="H48" i="17"/>
  <c r="V63" i="42"/>
  <c r="G48" i="42"/>
  <c r="AC74" i="42"/>
  <c r="J48" i="42"/>
  <c r="F63" i="42"/>
  <c r="G63" i="42"/>
  <c r="N48" i="42"/>
  <c r="AA31" i="42"/>
  <c r="C42" i="42"/>
  <c r="AC56" i="42"/>
  <c r="S63" i="42"/>
  <c r="P63" i="42"/>
  <c r="O63" i="42"/>
  <c r="C73" i="42"/>
  <c r="C59" i="42"/>
  <c r="C47" i="42"/>
  <c r="C72" i="42"/>
  <c r="C58" i="42"/>
  <c r="Z63" i="42"/>
  <c r="D45" i="42"/>
  <c r="X48" i="42"/>
  <c r="L48" i="42"/>
  <c r="C45" i="42"/>
  <c r="C76" i="42"/>
  <c r="C62" i="42"/>
  <c r="C44" i="42"/>
  <c r="V48" i="42"/>
  <c r="R48" i="42"/>
  <c r="AC32" i="42"/>
  <c r="P48" i="42"/>
  <c r="C69" i="42"/>
  <c r="C55" i="42"/>
  <c r="C68" i="42"/>
  <c r="C54" i="42"/>
  <c r="C37" i="42"/>
  <c r="F48" i="42"/>
  <c r="D31" i="42"/>
  <c r="K48" i="42"/>
  <c r="AC69" i="42"/>
  <c r="AA63" i="42"/>
  <c r="C40" i="42"/>
  <c r="Z48" i="42"/>
  <c r="Y63" i="42"/>
  <c r="U63" i="42"/>
  <c r="C70" i="42"/>
  <c r="C56" i="42"/>
  <c r="C34" i="42"/>
  <c r="C41" i="42"/>
  <c r="I63" i="42"/>
  <c r="U48" i="42"/>
  <c r="AC52" i="42"/>
  <c r="C52" i="42"/>
  <c r="C66" i="42"/>
  <c r="C32" i="42"/>
  <c r="R63" i="42"/>
  <c r="C64" i="42"/>
  <c r="C50" i="42"/>
  <c r="D63" i="42"/>
  <c r="E63" i="42"/>
  <c r="X63" i="42"/>
  <c r="AC49" i="42"/>
  <c r="E48" i="42"/>
  <c r="I48" i="42"/>
  <c r="C74" i="42"/>
  <c r="C60" i="42"/>
  <c r="C49" i="42"/>
  <c r="AC65" i="42"/>
  <c r="N63" i="42"/>
  <c r="J63" i="42"/>
  <c r="C38" i="42"/>
  <c r="H63" i="42"/>
  <c r="C33" i="42"/>
  <c r="H48" i="42"/>
  <c r="W48" i="42"/>
  <c r="Y48" i="42"/>
  <c r="AA48" i="42"/>
  <c r="AC55" i="42"/>
  <c r="C36" i="42"/>
  <c r="N71" i="5"/>
  <c r="O71" i="5"/>
  <c r="N43" i="5"/>
  <c r="AU69" i="5"/>
  <c r="AR69" i="5"/>
  <c r="AV69" i="5"/>
  <c r="AU64" i="5"/>
  <c r="N36" i="5"/>
  <c r="N51" i="5"/>
  <c r="AU50" i="5"/>
  <c r="AS50" i="5"/>
  <c r="AT50" i="5"/>
  <c r="AV50" i="5"/>
  <c r="N61" i="5"/>
  <c r="AJ32" i="5"/>
  <c r="AK32" i="5"/>
  <c r="AG50" i="37"/>
  <c r="AG48" i="37"/>
  <c r="DZ46" i="18"/>
  <c r="DZ45" i="18"/>
  <c r="EL71" i="18"/>
  <c r="EN71" i="18"/>
  <c r="EM36" i="18"/>
  <c r="EN36" i="18"/>
  <c r="F48" i="31"/>
  <c r="G34" i="37"/>
  <c r="BC51" i="30"/>
  <c r="BC65" i="30"/>
  <c r="BC34" i="30"/>
  <c r="AD75" i="18"/>
  <c r="AD63" i="18"/>
  <c r="AB64" i="5"/>
  <c r="AB63" i="5"/>
  <c r="AP46" i="37"/>
  <c r="AP45" i="37"/>
  <c r="AH57" i="37"/>
  <c r="AH48" i="37"/>
  <c r="AI65" i="37"/>
  <c r="AI63" i="37"/>
  <c r="EL52" i="18"/>
  <c r="EN52" i="18"/>
  <c r="EM38" i="18"/>
  <c r="EN38" i="18"/>
  <c r="M48" i="31"/>
  <c r="DU73" i="18"/>
  <c r="BP63" i="30"/>
  <c r="BO48" i="30"/>
  <c r="C63" i="29"/>
  <c r="O48" i="30"/>
  <c r="H34" i="37"/>
  <c r="BC46" i="30"/>
  <c r="BC70" i="30"/>
  <c r="BC56" i="30"/>
  <c r="AU55" i="5"/>
  <c r="C72" i="30"/>
  <c r="C58" i="30"/>
  <c r="AB51" i="5"/>
  <c r="AB48" i="5"/>
  <c r="AY65" i="5"/>
  <c r="AY63" i="5"/>
  <c r="AK45" i="5"/>
  <c r="BB45" i="37"/>
  <c r="DK44" i="18"/>
  <c r="EL34" i="18"/>
  <c r="EN34" i="18"/>
  <c r="BH63" i="31"/>
  <c r="BD48" i="31"/>
  <c r="BX63" i="31"/>
  <c r="K48" i="30"/>
  <c r="BC72" i="30"/>
  <c r="BC58" i="30"/>
  <c r="BC66" i="30"/>
  <c r="BC52" i="30"/>
  <c r="BC55" i="30"/>
  <c r="BC69" i="30"/>
  <c r="C40" i="31"/>
  <c r="AO70" i="5"/>
  <c r="AO56" i="5"/>
  <c r="AA58" i="5"/>
  <c r="AA48" i="5"/>
  <c r="AO47" i="37"/>
  <c r="AO45" i="37"/>
  <c r="DV46" i="18"/>
  <c r="DV45" i="18"/>
  <c r="EL53" i="18"/>
  <c r="EN53" i="18"/>
  <c r="EM75" i="18"/>
  <c r="EN75" i="18"/>
  <c r="EM58" i="18"/>
  <c r="EN58" i="18"/>
  <c r="EL76" i="18"/>
  <c r="EN76" i="18"/>
  <c r="BY71" i="18"/>
  <c r="BC37" i="30"/>
  <c r="BC47" i="30"/>
  <c r="BC67" i="30"/>
  <c r="BC53" i="30"/>
  <c r="D31" i="31"/>
  <c r="BY62" i="18"/>
  <c r="C32" i="30"/>
  <c r="AJ44" i="5"/>
  <c r="AK44" i="5"/>
  <c r="AF51" i="37"/>
  <c r="AF48" i="37"/>
  <c r="EL33" i="18"/>
  <c r="EN33" i="18"/>
  <c r="EL50" i="18"/>
  <c r="EN50" i="18"/>
  <c r="EL54" i="18"/>
  <c r="EN54" i="18"/>
  <c r="EM60" i="18"/>
  <c r="EN60" i="18"/>
  <c r="EM70" i="18"/>
  <c r="EN70" i="18"/>
  <c r="EL42" i="18"/>
  <c r="EN42" i="18"/>
  <c r="BL48" i="31"/>
  <c r="I48" i="31"/>
  <c r="AB63" i="31"/>
  <c r="BY57" i="18"/>
  <c r="G35" i="37"/>
  <c r="G46" i="37"/>
  <c r="C34" i="31"/>
  <c r="BC71" i="31"/>
  <c r="BC57" i="31"/>
  <c r="C60" i="31"/>
  <c r="C74" i="31"/>
  <c r="AT48" i="5"/>
  <c r="Z50" i="5"/>
  <c r="Z48" i="5"/>
  <c r="AI65" i="5"/>
  <c r="AI63" i="5"/>
  <c r="AS48" i="5"/>
  <c r="AF65" i="37"/>
  <c r="AF63" i="37"/>
  <c r="P52" i="37"/>
  <c r="U52" i="37"/>
  <c r="AJ67" i="37"/>
  <c r="AJ63" i="37"/>
  <c r="P55" i="37"/>
  <c r="U55" i="37"/>
  <c r="CJ46" i="18"/>
  <c r="CJ45" i="18"/>
  <c r="EL51" i="18"/>
  <c r="EN51" i="18"/>
  <c r="EM62" i="18"/>
  <c r="EN62" i="18"/>
  <c r="EM46" i="18"/>
  <c r="EM45" i="18"/>
  <c r="EN46" i="18"/>
  <c r="EL37" i="18"/>
  <c r="EN37" i="18"/>
  <c r="EL72" i="18"/>
  <c r="EN72" i="18"/>
  <c r="DU50" i="18"/>
  <c r="DU55" i="18"/>
  <c r="AT64" i="5"/>
  <c r="AT63" i="5"/>
  <c r="AD50" i="5"/>
  <c r="AD48" i="5"/>
  <c r="AY50" i="5"/>
  <c r="AY48" i="5"/>
  <c r="AG65" i="37"/>
  <c r="AG63" i="37"/>
  <c r="AJ53" i="37"/>
  <c r="AJ48" i="37"/>
  <c r="EL65" i="18"/>
  <c r="EN65" i="18"/>
  <c r="EL47" i="18"/>
  <c r="EN47" i="18"/>
  <c r="EM67" i="18"/>
  <c r="EN67" i="18"/>
  <c r="EL35" i="18"/>
  <c r="EN35" i="18"/>
  <c r="BX46" i="18"/>
  <c r="BX45" i="18"/>
  <c r="P48" i="31"/>
  <c r="DU69" i="18"/>
  <c r="BE63" i="31"/>
  <c r="L63" i="30"/>
  <c r="C69" i="31"/>
  <c r="C55" i="31"/>
  <c r="BC60" i="30"/>
  <c r="BC74" i="30"/>
  <c r="BC42" i="30"/>
  <c r="BC35" i="30"/>
  <c r="AS66" i="5"/>
  <c r="AS63" i="5"/>
  <c r="AC50" i="5"/>
  <c r="AC48" i="5"/>
  <c r="AA71" i="5"/>
  <c r="AA63" i="5"/>
  <c r="BC45" i="37"/>
  <c r="Q47" i="37"/>
  <c r="Q45" i="37"/>
  <c r="ED46" i="18"/>
  <c r="ED45" i="18"/>
  <c r="EL57" i="18"/>
  <c r="EN57" i="18"/>
  <c r="EL59" i="18"/>
  <c r="EN59" i="18"/>
  <c r="EM40" i="18"/>
  <c r="EN40" i="18"/>
  <c r="BC61" i="30"/>
  <c r="BC75" i="30"/>
  <c r="BC38" i="30"/>
  <c r="C62" i="31"/>
  <c r="C76" i="31"/>
  <c r="BI35" i="18"/>
  <c r="BN41" i="18"/>
  <c r="BO59" i="18"/>
  <c r="N70" i="5"/>
  <c r="O70" i="5"/>
  <c r="DG33" i="18"/>
  <c r="DI40" i="18"/>
  <c r="N67" i="5"/>
  <c r="O37" i="5"/>
  <c r="AX57" i="37"/>
  <c r="J32" i="37"/>
  <c r="I41" i="37"/>
  <c r="J43" i="37"/>
  <c r="AV34" i="37"/>
  <c r="DE34" i="18"/>
  <c r="DF37" i="18"/>
  <c r="DA61" i="18"/>
  <c r="DA66" i="18"/>
  <c r="DR63" i="18"/>
  <c r="DA73" i="18"/>
  <c r="DC66" i="18"/>
  <c r="DL66" i="18"/>
  <c r="BC73" i="30"/>
  <c r="BC59" i="30"/>
  <c r="C33" i="31"/>
  <c r="BL63" i="31"/>
  <c r="L63" i="31"/>
  <c r="AU37" i="5"/>
  <c r="AV37" i="5"/>
  <c r="N75" i="5"/>
  <c r="BJ48" i="30"/>
  <c r="AD46" i="18"/>
  <c r="AD45" i="18"/>
  <c r="AK69" i="5"/>
  <c r="AK42" i="5"/>
  <c r="AV55" i="5"/>
  <c r="L31" i="5"/>
  <c r="O36" i="5"/>
  <c r="AQ54" i="37"/>
  <c r="AO48" i="37"/>
  <c r="J56" i="37"/>
  <c r="K35" i="37"/>
  <c r="AQ67" i="37"/>
  <c r="I32" i="37"/>
  <c r="K56" i="37"/>
  <c r="BB48" i="37"/>
  <c r="J73" i="37"/>
  <c r="U67" i="37"/>
  <c r="J58" i="37"/>
  <c r="AV55" i="37"/>
  <c r="CQ57" i="18"/>
  <c r="DW57" i="18"/>
  <c r="DC62" i="18"/>
  <c r="BE36" i="18"/>
  <c r="BV45" i="18"/>
  <c r="DE33" i="18"/>
  <c r="BE34" i="18"/>
  <c r="CP32" i="18"/>
  <c r="DV32" i="18"/>
  <c r="CQ65" i="18"/>
  <c r="DW65" i="18"/>
  <c r="DH34" i="18"/>
  <c r="DC51" i="18"/>
  <c r="DE44" i="18"/>
  <c r="DK75" i="18"/>
  <c r="CY45" i="18"/>
  <c r="DN45" i="18"/>
  <c r="EE45" i="18"/>
  <c r="DA37" i="18"/>
  <c r="DA46" i="18"/>
  <c r="BF38" i="18"/>
  <c r="DE38" i="18"/>
  <c r="DK73" i="18"/>
  <c r="DA67" i="18"/>
  <c r="BG76" i="18"/>
  <c r="BL33" i="18"/>
  <c r="BG54" i="18"/>
  <c r="BE67" i="18"/>
  <c r="DF43" i="18"/>
  <c r="DC74" i="18"/>
  <c r="DU62" i="18"/>
  <c r="AU58" i="5"/>
  <c r="BC49" i="31"/>
  <c r="DU75" i="18"/>
  <c r="BS63" i="31"/>
  <c r="AU75" i="5"/>
  <c r="G63" i="31"/>
  <c r="BC75" i="31"/>
  <c r="BC61" i="31"/>
  <c r="DU74" i="18"/>
  <c r="BR48" i="31"/>
  <c r="Y63" i="31"/>
  <c r="DU33" i="18"/>
  <c r="BK63" i="31"/>
  <c r="DU46" i="18"/>
  <c r="V48" i="31"/>
  <c r="I63" i="31"/>
  <c r="EM31" i="18"/>
  <c r="BU63" i="31"/>
  <c r="BE48" i="31"/>
  <c r="DU39" i="18"/>
  <c r="DU40" i="18"/>
  <c r="T63" i="31"/>
  <c r="X48" i="31"/>
  <c r="AB48" i="31"/>
  <c r="BY48" i="31"/>
  <c r="X63" i="31"/>
  <c r="H48" i="31"/>
  <c r="K48" i="31"/>
  <c r="K63" i="31"/>
  <c r="T48" i="31"/>
  <c r="AU38" i="5"/>
  <c r="AV38" i="5"/>
  <c r="BW63" i="30"/>
  <c r="BC47" i="31"/>
  <c r="BW48" i="30"/>
  <c r="AA63" i="30"/>
  <c r="BY32" i="18"/>
  <c r="BY31" i="18"/>
  <c r="Y63" i="30"/>
  <c r="BN48" i="30"/>
  <c r="C53" i="30"/>
  <c r="C67" i="30"/>
  <c r="M63" i="30"/>
  <c r="H48" i="30"/>
  <c r="BY50" i="18"/>
  <c r="U31" i="30"/>
  <c r="C33" i="30"/>
  <c r="BY48" i="30"/>
  <c r="BE48" i="30"/>
  <c r="C47" i="30"/>
  <c r="R48" i="30"/>
  <c r="N48" i="31"/>
  <c r="C50" i="30"/>
  <c r="C64" i="30"/>
  <c r="AB45" i="30"/>
  <c r="N41" i="5"/>
  <c r="S63" i="30"/>
  <c r="BL48" i="30"/>
  <c r="AQ36" i="37"/>
  <c r="E45" i="37"/>
  <c r="J45" i="37"/>
  <c r="AW40" i="37"/>
  <c r="DC76" i="18"/>
  <c r="BK32" i="18"/>
  <c r="EL63" i="18"/>
  <c r="EN64" i="18"/>
  <c r="DA49" i="18"/>
  <c r="DA38" i="18"/>
  <c r="DG35" i="18"/>
  <c r="EM48" i="18"/>
  <c r="J63" i="31"/>
  <c r="BC60" i="31"/>
  <c r="BC74" i="31"/>
  <c r="BC38" i="31"/>
  <c r="C46" i="31"/>
  <c r="BC40" i="31"/>
  <c r="DU47" i="18"/>
  <c r="AK76" i="5"/>
  <c r="M31" i="5"/>
  <c r="L45" i="5"/>
  <c r="D63" i="5"/>
  <c r="AO54" i="5"/>
  <c r="AV64" i="5"/>
  <c r="AR63" i="5"/>
  <c r="AQ42" i="37"/>
  <c r="D63" i="37"/>
  <c r="I63" i="37"/>
  <c r="AQ66" i="37"/>
  <c r="AQ43" i="37"/>
  <c r="H38" i="37"/>
  <c r="T38" i="37"/>
  <c r="I74" i="37"/>
  <c r="AQ52" i="37"/>
  <c r="J37" i="37"/>
  <c r="AP63" i="37"/>
  <c r="K37" i="37"/>
  <c r="J41" i="37"/>
  <c r="AW68" i="37"/>
  <c r="K73" i="37"/>
  <c r="BA57" i="18"/>
  <c r="CG57" i="18"/>
  <c r="BI73" i="18"/>
  <c r="DJ32" i="18"/>
  <c r="DC34" i="18"/>
  <c r="DC61" i="18"/>
  <c r="BE65" i="18"/>
  <c r="CV72" i="18"/>
  <c r="EB72" i="18"/>
  <c r="DE39" i="18"/>
  <c r="BE43" i="18"/>
  <c r="DC56" i="18"/>
  <c r="DN72" i="18"/>
  <c r="DN58" i="18"/>
  <c r="DB66" i="18"/>
  <c r="DA54" i="18"/>
  <c r="DG69" i="18"/>
  <c r="DB61" i="18"/>
  <c r="BF60" i="18"/>
  <c r="BE33" i="18"/>
  <c r="AY72" i="18"/>
  <c r="CE72" i="18"/>
  <c r="DN36" i="18"/>
  <c r="EN56" i="18"/>
  <c r="DE35" i="18"/>
  <c r="AX60" i="37"/>
  <c r="DU68" i="18"/>
  <c r="DU54" i="18"/>
  <c r="AR45" i="5"/>
  <c r="DU53" i="18"/>
  <c r="DU38" i="18"/>
  <c r="BC37" i="31"/>
  <c r="C65" i="31"/>
  <c r="C51" i="31"/>
  <c r="BV48" i="31"/>
  <c r="DU42" i="18"/>
  <c r="CQ42" i="18"/>
  <c r="DW42" i="18"/>
  <c r="CR42" i="18"/>
  <c r="DX42" i="18"/>
  <c r="CT42" i="18"/>
  <c r="DZ42" i="18"/>
  <c r="CW42" i="18"/>
  <c r="EC42" i="18"/>
  <c r="CZ42" i="18"/>
  <c r="EF42" i="18"/>
  <c r="EG42" i="18"/>
  <c r="C44" i="31"/>
  <c r="DU36" i="18"/>
  <c r="BV63" i="31"/>
  <c r="BO48" i="31"/>
  <c r="BS48" i="31"/>
  <c r="E48" i="31"/>
  <c r="AA45" i="31"/>
  <c r="BD31" i="31"/>
  <c r="DU34" i="18"/>
  <c r="CB31" i="31"/>
  <c r="DU64" i="18"/>
  <c r="S63" i="31"/>
  <c r="K63" i="30"/>
  <c r="Q48" i="31"/>
  <c r="CB63" i="30"/>
  <c r="N63" i="30"/>
  <c r="BG63" i="30"/>
  <c r="AO64" i="5"/>
  <c r="AO50" i="5"/>
  <c r="BT63" i="30"/>
  <c r="BY63" i="30"/>
  <c r="N52" i="5"/>
  <c r="C48" i="29"/>
  <c r="G73" i="5"/>
  <c r="G59" i="5"/>
  <c r="Z63" i="30"/>
  <c r="BH48" i="30"/>
  <c r="I48" i="30"/>
  <c r="AK67" i="5"/>
  <c r="H45" i="37"/>
  <c r="M45" i="37"/>
  <c r="T45" i="37"/>
  <c r="I73" i="37"/>
  <c r="BL52" i="18"/>
  <c r="BK53" i="18"/>
  <c r="AU60" i="5"/>
  <c r="AV60" i="5"/>
  <c r="AU73" i="5"/>
  <c r="BC41" i="30"/>
  <c r="BC40" i="30"/>
  <c r="V63" i="31"/>
  <c r="BC34" i="31"/>
  <c r="O48" i="31"/>
  <c r="S48" i="31"/>
  <c r="AB63" i="30"/>
  <c r="BF48" i="30"/>
  <c r="BQ48" i="30"/>
  <c r="BN63" i="31"/>
  <c r="U45" i="30"/>
  <c r="H48" i="5"/>
  <c r="AR48" i="5"/>
  <c r="AR31" i="5"/>
  <c r="AQ38" i="37"/>
  <c r="AQ72" i="37"/>
  <c r="AW32" i="37"/>
  <c r="AV57" i="37"/>
  <c r="AV61" i="37"/>
  <c r="AW53" i="37"/>
  <c r="BC48" i="37"/>
  <c r="AX53" i="37"/>
  <c r="U69" i="37"/>
  <c r="CR71" i="18"/>
  <c r="DX71" i="18"/>
  <c r="CR72" i="18"/>
  <c r="DX72" i="18"/>
  <c r="CR73" i="18"/>
  <c r="DX73" i="18"/>
  <c r="CR74" i="18"/>
  <c r="DX74" i="18"/>
  <c r="CR76" i="18"/>
  <c r="DX76" i="18"/>
  <c r="DX63" i="18"/>
  <c r="DG75" i="18"/>
  <c r="BF52" i="18"/>
  <c r="BW48" i="18"/>
  <c r="BE38" i="18"/>
  <c r="BE72" i="18"/>
  <c r="AZ73" i="18"/>
  <c r="CF73" i="18"/>
  <c r="DC75" i="18"/>
  <c r="DG44" i="18"/>
  <c r="BI68" i="18"/>
  <c r="DK32" i="18"/>
  <c r="DA43" i="18"/>
  <c r="DO57" i="18"/>
  <c r="CQ71" i="18"/>
  <c r="DW71" i="18"/>
  <c r="DC70" i="18"/>
  <c r="DA59" i="18"/>
  <c r="DG36" i="18"/>
  <c r="EN74" i="18"/>
  <c r="EN55" i="18"/>
  <c r="BG73" i="18"/>
  <c r="BX63" i="18"/>
  <c r="BG49" i="18"/>
  <c r="EM63" i="18"/>
  <c r="EN61" i="18"/>
  <c r="DK46" i="18"/>
  <c r="BP64" i="18"/>
  <c r="Z48" i="31"/>
  <c r="DU70" i="18"/>
  <c r="BC58" i="31"/>
  <c r="BC72" i="31"/>
  <c r="DU37" i="18"/>
  <c r="DU60" i="18"/>
  <c r="DU43" i="18"/>
  <c r="E63" i="31"/>
  <c r="W63" i="31"/>
  <c r="BC49" i="30"/>
  <c r="BC36" i="31"/>
  <c r="BG48" i="31"/>
  <c r="BC36" i="30"/>
  <c r="BU48" i="31"/>
  <c r="Y48" i="31"/>
  <c r="BC44" i="30"/>
  <c r="BC32" i="31"/>
  <c r="W63" i="30"/>
  <c r="BF63" i="30"/>
  <c r="BG63" i="31"/>
  <c r="F63" i="30"/>
  <c r="Z48" i="30"/>
  <c r="N34" i="5"/>
  <c r="BF48" i="31"/>
  <c r="N69" i="5"/>
  <c r="BM48" i="30"/>
  <c r="V48" i="30"/>
  <c r="M48" i="30"/>
  <c r="BN63" i="30"/>
  <c r="C66" i="30"/>
  <c r="C52" i="30"/>
  <c r="C54" i="30"/>
  <c r="C68" i="30"/>
  <c r="E48" i="30"/>
  <c r="AA48" i="30"/>
  <c r="AQ40" i="37"/>
  <c r="AV66" i="37"/>
  <c r="BB63" i="37"/>
  <c r="I60" i="37"/>
  <c r="BF37" i="18"/>
  <c r="DH37" i="18"/>
  <c r="DK61" i="18"/>
  <c r="BR32" i="18"/>
  <c r="DC55" i="18"/>
  <c r="DB52" i="18"/>
  <c r="BJ58" i="18"/>
  <c r="DF35" i="18"/>
  <c r="BC33" i="31"/>
  <c r="L48" i="31"/>
  <c r="AU74" i="5"/>
  <c r="AV74" i="5"/>
  <c r="BD63" i="31"/>
  <c r="BT48" i="31"/>
  <c r="N48" i="30"/>
  <c r="BY49" i="18"/>
  <c r="BP48" i="30"/>
  <c r="AK36" i="5"/>
  <c r="AK74" i="5"/>
  <c r="AK55" i="5"/>
  <c r="AV36" i="37"/>
  <c r="J39" i="37"/>
  <c r="U39" i="37"/>
  <c r="I68" i="37"/>
  <c r="AW71" i="37"/>
  <c r="I44" i="37"/>
  <c r="BF58" i="18"/>
  <c r="DC42" i="18"/>
  <c r="DH72" i="18"/>
  <c r="AY44" i="18"/>
  <c r="CE44" i="18"/>
  <c r="DF44" i="18"/>
  <c r="BF68" i="18"/>
  <c r="DN52" i="18"/>
  <c r="BF65" i="18"/>
  <c r="BW63" i="18"/>
  <c r="DO46" i="18"/>
  <c r="EF45" i="18"/>
  <c r="BK49" i="18"/>
  <c r="DB68" i="18"/>
  <c r="BM32" i="18"/>
  <c r="CO53" i="18"/>
  <c r="DD53" i="18"/>
  <c r="EN66" i="18"/>
  <c r="EN49" i="18"/>
  <c r="EL48" i="18"/>
  <c r="BE54" i="18"/>
  <c r="DB50" i="18"/>
  <c r="BF43" i="18"/>
  <c r="BE64" i="18"/>
  <c r="BP66" i="18"/>
  <c r="DF38" i="18"/>
  <c r="BL57" i="18"/>
  <c r="DC50" i="18"/>
  <c r="BG50" i="18"/>
  <c r="U71" i="37"/>
  <c r="R48" i="31"/>
  <c r="CB63" i="31"/>
  <c r="BC68" i="31"/>
  <c r="BC54" i="31"/>
  <c r="BQ63" i="31"/>
  <c r="BC32" i="30"/>
  <c r="BQ48" i="31"/>
  <c r="BK48" i="31"/>
  <c r="R63" i="31"/>
  <c r="DU66" i="18"/>
  <c r="Q63" i="31"/>
  <c r="Q63" i="37"/>
  <c r="DU61" i="18"/>
  <c r="BO63" i="31"/>
  <c r="DU67" i="18"/>
  <c r="O63" i="31"/>
  <c r="DU59" i="18"/>
  <c r="H63" i="31"/>
  <c r="C76" i="30"/>
  <c r="C62" i="30"/>
  <c r="BR63" i="30"/>
  <c r="AB48" i="30"/>
  <c r="BJ48" i="31"/>
  <c r="C55" i="30"/>
  <c r="C69" i="30"/>
  <c r="C43" i="30"/>
  <c r="U63" i="30"/>
  <c r="BI48" i="30"/>
  <c r="L48" i="30"/>
  <c r="BH63" i="30"/>
  <c r="N54" i="5"/>
  <c r="O54" i="5"/>
  <c r="Z63" i="31"/>
  <c r="C45" i="30"/>
  <c r="Y48" i="30"/>
  <c r="BT48" i="30"/>
  <c r="O51" i="5"/>
  <c r="AQ57" i="37"/>
  <c r="AW67" i="37"/>
  <c r="J49" i="37"/>
  <c r="Q48" i="37"/>
  <c r="I33" i="37"/>
  <c r="BF34" i="18"/>
  <c r="DN75" i="18"/>
  <c r="DO58" i="18"/>
  <c r="BF41" i="18"/>
  <c r="DC72" i="18"/>
  <c r="BN39" i="18"/>
  <c r="BF32" i="18"/>
  <c r="DH49" i="18"/>
  <c r="BG42" i="18"/>
  <c r="BX31" i="18"/>
  <c r="BO52" i="18"/>
  <c r="BQ49" i="18"/>
  <c r="DA76" i="18"/>
  <c r="BC43" i="31"/>
  <c r="DU57" i="18"/>
  <c r="BQ63" i="30"/>
  <c r="CA48" i="30"/>
  <c r="S48" i="30"/>
  <c r="N39" i="5"/>
  <c r="O39" i="5"/>
  <c r="BS63" i="30"/>
  <c r="R63" i="30"/>
  <c r="E75" i="20"/>
  <c r="AK56" i="5"/>
  <c r="AK39" i="5"/>
  <c r="O52" i="5"/>
  <c r="L29" i="20"/>
  <c r="L71" i="20"/>
  <c r="O67" i="5"/>
  <c r="AV58" i="5"/>
  <c r="Z63" i="5"/>
  <c r="AV75" i="5"/>
  <c r="AQ60" i="37"/>
  <c r="I75" i="37"/>
  <c r="K36" i="37"/>
  <c r="J62" i="37"/>
  <c r="AH63" i="37"/>
  <c r="AQ39" i="37"/>
  <c r="AQ37" i="37"/>
  <c r="AW66" i="37"/>
  <c r="AW76" i="37"/>
  <c r="DF72" i="18"/>
  <c r="DW45" i="18"/>
  <c r="DH73" i="18"/>
  <c r="BF46" i="18"/>
  <c r="BW45" i="18"/>
  <c r="BJ36" i="18"/>
  <c r="BF33" i="18"/>
  <c r="DS31" i="18"/>
  <c r="DC67" i="18"/>
  <c r="BQ44" i="18"/>
  <c r="DA75" i="18"/>
  <c r="DC58" i="18"/>
  <c r="BE76" i="18"/>
  <c r="DC46" i="18"/>
  <c r="DT45" i="18"/>
  <c r="BF59" i="18"/>
  <c r="BF36" i="18"/>
  <c r="BK37" i="18"/>
  <c r="DA32" i="18"/>
  <c r="DM44" i="18"/>
  <c r="AT39" i="18"/>
  <c r="BZ39" i="18"/>
  <c r="BG62" i="18"/>
  <c r="DS63" i="18"/>
  <c r="BJ63" i="31"/>
  <c r="BC76" i="30"/>
  <c r="BC62" i="30"/>
  <c r="DU71" i="18"/>
  <c r="DU44" i="18"/>
  <c r="EG44" i="18"/>
  <c r="N63" i="31"/>
  <c r="BX48" i="31"/>
  <c r="U38" i="37"/>
  <c r="BC46" i="31"/>
  <c r="BC45" i="31"/>
  <c r="BT63" i="31"/>
  <c r="DU49" i="18"/>
  <c r="F63" i="31"/>
  <c r="W48" i="31"/>
  <c r="BC73" i="31"/>
  <c r="BC59" i="31"/>
  <c r="G48" i="31"/>
  <c r="CB48" i="30"/>
  <c r="BC71" i="30"/>
  <c r="BC57" i="30"/>
  <c r="BO63" i="30"/>
  <c r="P48" i="30"/>
  <c r="BK48" i="30"/>
  <c r="BR48" i="30"/>
  <c r="Q48" i="30"/>
  <c r="C57" i="30"/>
  <c r="C71" i="30"/>
  <c r="C49" i="30"/>
  <c r="BN48" i="31"/>
  <c r="N57" i="5"/>
  <c r="O57" i="5"/>
  <c r="CA63" i="30"/>
  <c r="BG48" i="30"/>
  <c r="C61" i="30"/>
  <c r="C75" i="30"/>
  <c r="DU51" i="18"/>
  <c r="U48" i="30"/>
  <c r="BI63" i="30"/>
  <c r="N50" i="5"/>
  <c r="P63" i="31"/>
  <c r="D63" i="30"/>
  <c r="T48" i="30"/>
  <c r="D48" i="30"/>
  <c r="AD49" i="18"/>
  <c r="AD48" i="18"/>
  <c r="AK43" i="5"/>
  <c r="AV73" i="5"/>
  <c r="L36" i="37"/>
  <c r="K47" i="37"/>
  <c r="AV43" i="37"/>
  <c r="I56" i="37"/>
  <c r="U56" i="37"/>
  <c r="AV58" i="37"/>
  <c r="BF72" i="18"/>
  <c r="BO35" i="18"/>
  <c r="DN66" i="18"/>
  <c r="DS48" i="18"/>
  <c r="DM33" i="18"/>
  <c r="BE35" i="18"/>
  <c r="DM35" i="18"/>
  <c r="BF73" i="18"/>
  <c r="DM59" i="18"/>
  <c r="BJ69" i="18"/>
  <c r="DN44" i="18"/>
  <c r="BK46" i="18"/>
  <c r="CB45" i="18"/>
  <c r="BF56" i="18"/>
  <c r="BG53" i="18"/>
  <c r="BE41" i="18"/>
  <c r="BC64" i="30"/>
  <c r="BC50" i="30"/>
  <c r="BC63" i="37"/>
  <c r="BF63" i="31"/>
  <c r="BW48" i="31"/>
  <c r="BC35" i="31"/>
  <c r="DU65" i="18"/>
  <c r="BJ63" i="30"/>
  <c r="J63" i="30"/>
  <c r="T63" i="30"/>
  <c r="O63" i="30"/>
  <c r="AK40" i="5"/>
  <c r="AD63" i="5"/>
  <c r="AK51" i="5"/>
  <c r="K31" i="5"/>
  <c r="AP48" i="37"/>
  <c r="AP31" i="37"/>
  <c r="AR48" i="37"/>
  <c r="AV48" i="37"/>
  <c r="AQ65" i="37"/>
  <c r="AO63" i="37"/>
  <c r="F48" i="37"/>
  <c r="K48" i="37"/>
  <c r="I72" i="37"/>
  <c r="P63" i="37"/>
  <c r="J75" i="37"/>
  <c r="BE52" i="18"/>
  <c r="BV48" i="18"/>
  <c r="BF35" i="18"/>
  <c r="BE37" i="18"/>
  <c r="BO46" i="18"/>
  <c r="CF45" i="18"/>
  <c r="BJ35" i="18"/>
  <c r="DH54" i="18"/>
  <c r="BE32" i="18"/>
  <c r="DC41" i="18"/>
  <c r="DC38" i="18"/>
  <c r="DG57" i="18"/>
  <c r="DF36" i="18"/>
  <c r="DO68" i="18"/>
  <c r="BJ33" i="18"/>
  <c r="DO55" i="18"/>
  <c r="BF44" i="18"/>
  <c r="DN39" i="18"/>
  <c r="DG37" i="18"/>
  <c r="DC54" i="18"/>
  <c r="DC52" i="18"/>
  <c r="G47" i="37"/>
  <c r="S47" i="37"/>
  <c r="BR44" i="18"/>
  <c r="DL39" i="18"/>
  <c r="DU41" i="18"/>
  <c r="CP41" i="18"/>
  <c r="DV41" i="18"/>
  <c r="CQ41" i="18"/>
  <c r="DW41" i="18"/>
  <c r="CR41" i="18"/>
  <c r="DX41" i="18"/>
  <c r="CS41" i="18"/>
  <c r="DY41" i="18"/>
  <c r="CV41" i="18"/>
  <c r="EB41" i="18"/>
  <c r="CW41" i="18"/>
  <c r="EC41" i="18"/>
  <c r="EG41" i="18"/>
  <c r="C41" i="31"/>
  <c r="C31" i="31"/>
  <c r="CA63" i="31"/>
  <c r="BC41" i="31"/>
  <c r="BD45" i="31"/>
  <c r="BC52" i="31"/>
  <c r="BC66" i="31"/>
  <c r="EL45" i="18"/>
  <c r="BC68" i="30"/>
  <c r="BC54" i="30"/>
  <c r="CB48" i="31"/>
  <c r="BM48" i="31"/>
  <c r="C52" i="31"/>
  <c r="C66" i="31"/>
  <c r="C63" i="31"/>
  <c r="BC56" i="31"/>
  <c r="BC70" i="31"/>
  <c r="BI63" i="31"/>
  <c r="C47" i="31"/>
  <c r="P63" i="30"/>
  <c r="BW63" i="31"/>
  <c r="CA48" i="31"/>
  <c r="BK63" i="30"/>
  <c r="C74" i="30"/>
  <c r="C60" i="30"/>
  <c r="X63" i="30"/>
  <c r="C35" i="30"/>
  <c r="N58" i="5"/>
  <c r="BC51" i="31"/>
  <c r="BC65" i="31"/>
  <c r="BY63" i="31"/>
  <c r="V63" i="30"/>
  <c r="X48" i="30"/>
  <c r="C41" i="30"/>
  <c r="BY46" i="18"/>
  <c r="BY45" i="18"/>
  <c r="H63" i="30"/>
  <c r="BZ63" i="30"/>
  <c r="E63" i="30"/>
  <c r="I63" i="30"/>
  <c r="J48" i="30"/>
  <c r="DI49" i="18"/>
  <c r="CU43" i="18"/>
  <c r="EA43" i="18"/>
  <c r="BD40" i="18"/>
  <c r="CJ40" i="18"/>
  <c r="BD33" i="18"/>
  <c r="CJ33" i="18"/>
  <c r="BC73" i="18"/>
  <c r="CI73" i="18"/>
  <c r="AF45" i="18"/>
  <c r="AZ70" i="18"/>
  <c r="CF70" i="18"/>
  <c r="EH45" i="18"/>
  <c r="BE71" i="18"/>
  <c r="AZ40" i="18"/>
  <c r="CF40" i="18"/>
  <c r="AV73" i="18"/>
  <c r="CB73" i="18"/>
  <c r="BA68" i="18"/>
  <c r="CG68" i="18"/>
  <c r="AX50" i="18"/>
  <c r="AZ74" i="18"/>
  <c r="CF74" i="18"/>
  <c r="EI31" i="18"/>
  <c r="AG45" i="18"/>
  <c r="AT64" i="18"/>
  <c r="AX60" i="18"/>
  <c r="CD60" i="18"/>
  <c r="CW64" i="18"/>
  <c r="EC64" i="18"/>
  <c r="CW50" i="18"/>
  <c r="EC50" i="18"/>
  <c r="AZ62" i="18"/>
  <c r="CF62" i="18"/>
  <c r="AV36" i="18"/>
  <c r="CB36" i="18"/>
  <c r="AX56" i="18"/>
  <c r="CD56" i="18"/>
  <c r="CW52" i="18"/>
  <c r="EC52" i="18"/>
  <c r="AX70" i="18"/>
  <c r="CD70" i="18"/>
  <c r="CZ51" i="18"/>
  <c r="EF51" i="18"/>
  <c r="BB38" i="18"/>
  <c r="CH38" i="18"/>
  <c r="G45" i="18"/>
  <c r="AZ38" i="18"/>
  <c r="CF38" i="18"/>
  <c r="AT50" i="18"/>
  <c r="BZ50" i="18"/>
  <c r="AX74" i="18"/>
  <c r="CD74" i="18"/>
  <c r="EI45" i="18"/>
  <c r="AY50" i="18"/>
  <c r="CE50" i="18"/>
  <c r="BB55" i="18"/>
  <c r="CH55" i="18"/>
  <c r="AV34" i="18"/>
  <c r="CB34" i="18"/>
  <c r="AW42" i="18"/>
  <c r="CC42" i="18"/>
  <c r="CS32" i="18"/>
  <c r="DY32" i="18"/>
  <c r="AV62" i="18"/>
  <c r="CB62" i="18"/>
  <c r="AY54" i="18"/>
  <c r="CE54" i="18"/>
  <c r="AV60" i="18"/>
  <c r="CB60" i="18"/>
  <c r="CQ55" i="18"/>
  <c r="DW55" i="18"/>
  <c r="EH31" i="18"/>
  <c r="BN43" i="18"/>
  <c r="AW36" i="18"/>
  <c r="CC36" i="18"/>
  <c r="CS65" i="18"/>
  <c r="DY65" i="18"/>
  <c r="AZ49" i="18"/>
  <c r="CF49" i="18"/>
  <c r="BG64" i="18"/>
  <c r="CP76" i="18"/>
  <c r="DV76" i="18"/>
  <c r="CP62" i="18"/>
  <c r="DV62" i="18"/>
  <c r="AW62" i="18"/>
  <c r="CC62" i="18"/>
  <c r="AT72" i="18"/>
  <c r="BZ72" i="18"/>
  <c r="AQ48" i="18"/>
  <c r="BF48" i="18"/>
  <c r="CV47" i="18"/>
  <c r="EB47" i="18"/>
  <c r="EB45" i="18"/>
  <c r="CZ65" i="18"/>
  <c r="EF65" i="18"/>
  <c r="BG51" i="18"/>
  <c r="AT52" i="18"/>
  <c r="BZ52" i="18"/>
  <c r="AW76" i="18"/>
  <c r="CC76" i="18"/>
  <c r="CW69" i="18"/>
  <c r="EC69" i="18"/>
  <c r="AY64" i="18"/>
  <c r="CE64" i="18"/>
  <c r="AZ45" i="18"/>
  <c r="BO45" i="18"/>
  <c r="AT66" i="18"/>
  <c r="BZ66" i="18"/>
  <c r="BA55" i="18"/>
  <c r="CG55" i="18"/>
  <c r="AU41" i="18"/>
  <c r="CA41" i="18"/>
  <c r="DJ41" i="18"/>
  <c r="BA51" i="18"/>
  <c r="CG51" i="18"/>
  <c r="AT74" i="18"/>
  <c r="BZ74" i="18"/>
  <c r="AZ51" i="18"/>
  <c r="CF51" i="18"/>
  <c r="BA70" i="18"/>
  <c r="CG70" i="18"/>
  <c r="CW55" i="18"/>
  <c r="EC55" i="18"/>
  <c r="AZ65" i="18"/>
  <c r="CF65" i="18"/>
  <c r="CP55" i="18"/>
  <c r="DV55" i="18"/>
  <c r="BA73" i="18"/>
  <c r="CG73" i="18"/>
  <c r="CZ35" i="18"/>
  <c r="EF35" i="18"/>
  <c r="CQ54" i="18"/>
  <c r="DW54" i="18"/>
  <c r="CS70" i="18"/>
  <c r="DY70" i="18"/>
  <c r="BF57" i="18"/>
  <c r="DN49" i="18"/>
  <c r="CL31" i="18"/>
  <c r="DA31" i="18"/>
  <c r="CP75" i="18"/>
  <c r="DV75" i="18"/>
  <c r="CU50" i="18"/>
  <c r="EA50" i="18"/>
  <c r="AU61" i="18"/>
  <c r="CA61" i="18"/>
  <c r="CZ34" i="18"/>
  <c r="EF34" i="18"/>
  <c r="BA52" i="18"/>
  <c r="CG52" i="18"/>
  <c r="BB33" i="18"/>
  <c r="CH33" i="18"/>
  <c r="AU75" i="18"/>
  <c r="CA75" i="18"/>
  <c r="AX51" i="18"/>
  <c r="CD51" i="18"/>
  <c r="CV56" i="18"/>
  <c r="EB56" i="18"/>
  <c r="AX65" i="18"/>
  <c r="CD65" i="18"/>
  <c r="BB52" i="18"/>
  <c r="CH52" i="18"/>
  <c r="CV70" i="18"/>
  <c r="EB70" i="18"/>
  <c r="CV76" i="18"/>
  <c r="EB76" i="18"/>
  <c r="CR49" i="18"/>
  <c r="DX49" i="18"/>
  <c r="BE51" i="18"/>
  <c r="BC40" i="18"/>
  <c r="CI40" i="18"/>
  <c r="CM31" i="18"/>
  <c r="DB31" i="18"/>
  <c r="DO43" i="18"/>
  <c r="DN41" i="18"/>
  <c r="DG47" i="18"/>
  <c r="AU72" i="18"/>
  <c r="CA72" i="18"/>
  <c r="BA61" i="18"/>
  <c r="CG61" i="18"/>
  <c r="EI63" i="18"/>
  <c r="AU38" i="18"/>
  <c r="CA38" i="18"/>
  <c r="DE36" i="18"/>
  <c r="DE37" i="18"/>
  <c r="AX64" i="18"/>
  <c r="CD64" i="18"/>
  <c r="AZ33" i="18"/>
  <c r="CF33" i="18"/>
  <c r="AY68" i="18"/>
  <c r="CE68" i="18"/>
  <c r="BA46" i="18"/>
  <c r="CG46" i="18"/>
  <c r="AY40" i="18"/>
  <c r="CE40" i="18"/>
  <c r="AV57" i="18"/>
  <c r="CB57" i="18"/>
  <c r="CR55" i="18"/>
  <c r="DX55" i="18"/>
  <c r="BB47" i="18"/>
  <c r="CH47" i="18"/>
  <c r="CW67" i="18"/>
  <c r="EC67" i="18"/>
  <c r="CW53" i="18"/>
  <c r="EC53" i="18"/>
  <c r="AZ56" i="18"/>
  <c r="CF56" i="18"/>
  <c r="CS62" i="18"/>
  <c r="DY62" i="18"/>
  <c r="CP61" i="18"/>
  <c r="DV61" i="18"/>
  <c r="CR46" i="18"/>
  <c r="CS76" i="18"/>
  <c r="DY76" i="18"/>
  <c r="CZ40" i="18"/>
  <c r="EF40" i="18"/>
  <c r="AY67" i="18"/>
  <c r="CE67" i="18"/>
  <c r="CT36" i="18"/>
  <c r="DZ36" i="18"/>
  <c r="CU60" i="18"/>
  <c r="EA60" i="18"/>
  <c r="CY57" i="18"/>
  <c r="EE57" i="18"/>
  <c r="AV65" i="18"/>
  <c r="CN63" i="18"/>
  <c r="DC63" i="18"/>
  <c r="AW56" i="18"/>
  <c r="CC56" i="18"/>
  <c r="AT54" i="18"/>
  <c r="BZ54" i="18"/>
  <c r="CQ52" i="18"/>
  <c r="DW52" i="18"/>
  <c r="CZ67" i="18"/>
  <c r="EF67" i="18"/>
  <c r="CW56" i="18"/>
  <c r="EC56" i="18"/>
  <c r="CV62" i="18"/>
  <c r="EB62" i="18"/>
  <c r="AV74" i="18"/>
  <c r="CB74" i="18"/>
  <c r="BC67" i="18"/>
  <c r="CI67" i="18"/>
  <c r="CU74" i="18"/>
  <c r="EA74" i="18"/>
  <c r="AW66" i="18"/>
  <c r="CC66" i="18"/>
  <c r="AZ60" i="18"/>
  <c r="CF60" i="18"/>
  <c r="CP50" i="18"/>
  <c r="DV50" i="18"/>
  <c r="H45" i="18"/>
  <c r="BD51" i="18"/>
  <c r="CJ51" i="18"/>
  <c r="AR48" i="18"/>
  <c r="BG48" i="18"/>
  <c r="CQ66" i="18"/>
  <c r="DW66" i="18"/>
  <c r="EI48" i="18"/>
  <c r="DB69" i="18"/>
  <c r="CZ64" i="18"/>
  <c r="EF64" i="18"/>
  <c r="BD36" i="18"/>
  <c r="CJ36" i="18"/>
  <c r="CZ45" i="18"/>
  <c r="DO45" i="18"/>
  <c r="CL63" i="18"/>
  <c r="DA63" i="18"/>
  <c r="BC54" i="18"/>
  <c r="CI54" i="18"/>
  <c r="DC71" i="18"/>
  <c r="AZ50" i="18"/>
  <c r="CF50" i="18"/>
  <c r="CV71" i="18"/>
  <c r="EB71" i="18"/>
  <c r="DJ76" i="18"/>
  <c r="BC42" i="18"/>
  <c r="CI42" i="18"/>
  <c r="CQ33" i="18"/>
  <c r="DO54" i="18"/>
  <c r="BS70" i="18"/>
  <c r="CQ50" i="18"/>
  <c r="DW50" i="18"/>
  <c r="DB71" i="18"/>
  <c r="DM36" i="18"/>
  <c r="BQ39" i="18"/>
  <c r="DB57" i="18"/>
  <c r="DH71" i="18"/>
  <c r="CX75" i="18"/>
  <c r="ED75" i="18"/>
  <c r="CX61" i="18"/>
  <c r="ED61" i="18"/>
  <c r="BO44" i="18"/>
  <c r="DH39" i="18"/>
  <c r="AI48" i="18"/>
  <c r="BR76" i="18"/>
  <c r="DF71" i="18"/>
  <c r="CY32" i="18"/>
  <c r="EE32" i="18"/>
  <c r="BS50" i="18"/>
  <c r="DH42" i="18"/>
  <c r="DM73" i="18"/>
  <c r="AY35" i="18"/>
  <c r="CE35" i="18"/>
  <c r="BA43" i="18"/>
  <c r="CG43" i="18"/>
  <c r="DB33" i="18"/>
  <c r="BM61" i="18"/>
  <c r="BA33" i="18"/>
  <c r="CG33" i="18"/>
  <c r="DI70" i="18"/>
  <c r="DO60" i="18"/>
  <c r="AU59" i="18"/>
  <c r="CA59" i="18"/>
  <c r="AN48" i="18"/>
  <c r="BB43" i="18"/>
  <c r="CH43" i="18"/>
  <c r="CN31" i="18"/>
  <c r="DC31" i="18"/>
  <c r="AW34" i="18"/>
  <c r="CC34" i="18"/>
  <c r="AE31" i="18"/>
  <c r="AO63" i="18"/>
  <c r="AX76" i="18"/>
  <c r="CD76" i="18"/>
  <c r="AT49" i="18"/>
  <c r="BZ49" i="18"/>
  <c r="AZ37" i="18"/>
  <c r="CF37" i="18"/>
  <c r="AT61" i="18"/>
  <c r="BZ61" i="18"/>
  <c r="AT75" i="18"/>
  <c r="BZ75" i="18"/>
  <c r="BB71" i="18"/>
  <c r="CH71" i="18"/>
  <c r="BB57" i="18"/>
  <c r="CH57" i="18"/>
  <c r="DL59" i="18"/>
  <c r="DO75" i="18"/>
  <c r="DJ73" i="18"/>
  <c r="DF75" i="18"/>
  <c r="AU73" i="18"/>
  <c r="CA73" i="18"/>
  <c r="AJ48" i="18"/>
  <c r="CR58" i="18"/>
  <c r="DX58" i="18"/>
  <c r="AY53" i="18"/>
  <c r="CE53" i="18"/>
  <c r="AR63" i="18"/>
  <c r="BG63" i="18"/>
  <c r="AF48" i="18"/>
  <c r="AJ31" i="18"/>
  <c r="BG75" i="18"/>
  <c r="DB34" i="18"/>
  <c r="BL67" i="18"/>
  <c r="BL43" i="18"/>
  <c r="BE60" i="18"/>
  <c r="DB54" i="18"/>
  <c r="CT32" i="18"/>
  <c r="DZ32" i="18"/>
  <c r="DM53" i="18"/>
  <c r="BE62" i="18"/>
  <c r="DL49" i="18"/>
  <c r="DK59" i="18"/>
  <c r="BO47" i="18"/>
  <c r="BP50" i="18"/>
  <c r="DL40" i="18"/>
  <c r="DJ34" i="18"/>
  <c r="DE42" i="18"/>
  <c r="AM31" i="18"/>
  <c r="I31" i="18"/>
  <c r="BG61" i="18"/>
  <c r="DN60" i="18"/>
  <c r="CP73" i="18"/>
  <c r="DV73" i="18"/>
  <c r="CP59" i="18"/>
  <c r="DV59" i="18"/>
  <c r="DC73" i="18"/>
  <c r="BF62" i="18"/>
  <c r="BE70" i="18"/>
  <c r="BA58" i="18"/>
  <c r="CG58" i="18"/>
  <c r="BE74" i="18"/>
  <c r="DM67" i="18"/>
  <c r="CX71" i="18"/>
  <c r="ED71" i="18"/>
  <c r="CX57" i="18"/>
  <c r="ED57" i="18"/>
  <c r="CX65" i="18"/>
  <c r="ED65" i="18"/>
  <c r="CX51" i="18"/>
  <c r="ED51" i="18"/>
  <c r="BM75" i="18"/>
  <c r="BN34" i="18"/>
  <c r="DK34" i="18"/>
  <c r="DH33" i="18"/>
  <c r="DL74" i="18"/>
  <c r="BQ36" i="18"/>
  <c r="AG48" i="18"/>
  <c r="AM48" i="18"/>
  <c r="DB37" i="18"/>
  <c r="DN74" i="18"/>
  <c r="DH56" i="18"/>
  <c r="CU49" i="18"/>
  <c r="EA49" i="18"/>
  <c r="CW58" i="18"/>
  <c r="EC58" i="18"/>
  <c r="CW72" i="18"/>
  <c r="EC72" i="18"/>
  <c r="BI62" i="18"/>
  <c r="BC37" i="18"/>
  <c r="CI37" i="18"/>
  <c r="DB72" i="18"/>
  <c r="AX46" i="18"/>
  <c r="CD46" i="18"/>
  <c r="BC47" i="18"/>
  <c r="CI47" i="18"/>
  <c r="BF71" i="18"/>
  <c r="DM38" i="18"/>
  <c r="J31" i="18"/>
  <c r="D63" i="18"/>
  <c r="AY61" i="18"/>
  <c r="CE61" i="18"/>
  <c r="G31" i="18"/>
  <c r="CS64" i="18"/>
  <c r="DY64" i="18"/>
  <c r="CS50" i="18"/>
  <c r="DY50" i="18"/>
  <c r="CX39" i="18"/>
  <c r="ED39" i="18"/>
  <c r="BP41" i="18"/>
  <c r="BJ55" i="18"/>
  <c r="AU66" i="18"/>
  <c r="CA66" i="18"/>
  <c r="AU52" i="18"/>
  <c r="CA52" i="18"/>
  <c r="BF39" i="18"/>
  <c r="DN42" i="18"/>
  <c r="DK57" i="18"/>
  <c r="DB58" i="18"/>
  <c r="AZ67" i="18"/>
  <c r="CF67" i="18"/>
  <c r="DO74" i="18"/>
  <c r="DL44" i="18"/>
  <c r="H31" i="18"/>
  <c r="AY75" i="18"/>
  <c r="CE75" i="18"/>
  <c r="AE48" i="18"/>
  <c r="CX37" i="18"/>
  <c r="ED37" i="18"/>
  <c r="DJ44" i="18"/>
  <c r="BI76" i="18"/>
  <c r="AZ71" i="18"/>
  <c r="CF71" i="18"/>
  <c r="CY37" i="18"/>
  <c r="EE37" i="18"/>
  <c r="CZ70" i="18"/>
  <c r="EF70" i="18"/>
  <c r="CZ56" i="18"/>
  <c r="EF56" i="18"/>
  <c r="DO71" i="18"/>
  <c r="DK36" i="18"/>
  <c r="DJ47" i="18"/>
  <c r="DM76" i="18"/>
  <c r="BO36" i="18"/>
  <c r="AU50" i="18"/>
  <c r="CA50" i="18"/>
  <c r="AU64" i="18"/>
  <c r="CA64" i="18"/>
  <c r="CX34" i="18"/>
  <c r="ED34" i="18"/>
  <c r="CX43" i="18"/>
  <c r="ED43" i="18"/>
  <c r="ED31" i="18"/>
  <c r="AX39" i="18"/>
  <c r="CD39" i="18"/>
  <c r="CR43" i="18"/>
  <c r="DX43" i="18"/>
  <c r="DF69" i="18"/>
  <c r="CU37" i="18"/>
  <c r="EA37" i="18"/>
  <c r="DK33" i="18"/>
  <c r="BL65" i="18"/>
  <c r="BL39" i="18"/>
  <c r="DN76" i="18"/>
  <c r="BA65" i="18"/>
  <c r="CG65" i="18"/>
  <c r="AP48" i="18"/>
  <c r="BE48" i="18"/>
  <c r="AH31" i="18"/>
  <c r="BG36" i="18"/>
  <c r="DI38" i="18"/>
  <c r="BE40" i="18"/>
  <c r="CY35" i="18"/>
  <c r="EE35" i="18"/>
  <c r="AY37" i="18"/>
  <c r="CE37" i="18"/>
  <c r="BF61" i="18"/>
  <c r="CY34" i="18"/>
  <c r="EE34" i="18"/>
  <c r="CR60" i="18"/>
  <c r="DX60" i="18"/>
  <c r="BS34" i="18"/>
  <c r="DO61" i="18"/>
  <c r="BR59" i="18"/>
  <c r="CW36" i="18"/>
  <c r="EC36" i="18"/>
  <c r="DJ59" i="18"/>
  <c r="DF61" i="18"/>
  <c r="DL71" i="18"/>
  <c r="AG63" i="18"/>
  <c r="AG31" i="18"/>
  <c r="AY73" i="18"/>
  <c r="CE73" i="18"/>
  <c r="AY59" i="18"/>
  <c r="CE59" i="18"/>
  <c r="CM63" i="18"/>
  <c r="DB63" i="18"/>
  <c r="BC53" i="18"/>
  <c r="CI53" i="18"/>
  <c r="AZ69" i="18"/>
  <c r="CF69" i="18"/>
  <c r="BB40" i="18"/>
  <c r="CH40" i="18"/>
  <c r="AT46" i="18"/>
  <c r="BZ46" i="18"/>
  <c r="AY52" i="18"/>
  <c r="CE52" i="18"/>
  <c r="CL48" i="18"/>
  <c r="DA48" i="18"/>
  <c r="AY32" i="18"/>
  <c r="CE32" i="18"/>
  <c r="BO57" i="18"/>
  <c r="BO53" i="18"/>
  <c r="CT75" i="18"/>
  <c r="DZ75" i="18"/>
  <c r="CT61" i="18"/>
  <c r="DZ61" i="18"/>
  <c r="AX71" i="18"/>
  <c r="CD71" i="18"/>
  <c r="AX57" i="18"/>
  <c r="CD57" i="18"/>
  <c r="CY64" i="18"/>
  <c r="EE64" i="18"/>
  <c r="CY50" i="18"/>
  <c r="CT65" i="18"/>
  <c r="CT51" i="18"/>
  <c r="CR59" i="18"/>
  <c r="DX59" i="18"/>
  <c r="BO55" i="18"/>
  <c r="BO34" i="18"/>
  <c r="AI63" i="18"/>
  <c r="BE55" i="18"/>
  <c r="AX44" i="18"/>
  <c r="CD44" i="18"/>
  <c r="BK60" i="18"/>
  <c r="DA64" i="18"/>
  <c r="BK47" i="18"/>
  <c r="DL73" i="18"/>
  <c r="AT43" i="18"/>
  <c r="BZ43" i="18"/>
  <c r="DC36" i="18"/>
  <c r="CV69" i="18"/>
  <c r="EB69" i="18"/>
  <c r="CX69" i="18"/>
  <c r="ED69" i="18"/>
  <c r="EG69" i="18"/>
  <c r="CV55" i="18"/>
  <c r="EB55" i="18"/>
  <c r="DB39" i="18"/>
  <c r="AZ41" i="18"/>
  <c r="CF41" i="18"/>
  <c r="AX67" i="18"/>
  <c r="CD67" i="18"/>
  <c r="AX53" i="18"/>
  <c r="CD53" i="18"/>
  <c r="DB32" i="18"/>
  <c r="BS59" i="18"/>
  <c r="BK43" i="18"/>
  <c r="DN54" i="18"/>
  <c r="DE43" i="18"/>
  <c r="DF51" i="18"/>
  <c r="DG67" i="18"/>
  <c r="DI62" i="18"/>
  <c r="BC50" i="18"/>
  <c r="CI50" i="18"/>
  <c r="BC64" i="18"/>
  <c r="CI64" i="18"/>
  <c r="CN48" i="18"/>
  <c r="DC48" i="18"/>
  <c r="CR56" i="18"/>
  <c r="DX56" i="18"/>
  <c r="BE69" i="18"/>
  <c r="BI42" i="18"/>
  <c r="AJ63" i="18"/>
  <c r="AI31" i="18"/>
  <c r="DB42" i="18"/>
  <c r="CX72" i="18"/>
  <c r="ED72" i="18"/>
  <c r="CX58" i="18"/>
  <c r="ED58" i="18"/>
  <c r="DA74" i="18"/>
  <c r="CU68" i="18"/>
  <c r="EA68" i="18"/>
  <c r="CV68" i="18"/>
  <c r="EB68" i="18"/>
  <c r="EG68" i="18"/>
  <c r="CU54" i="18"/>
  <c r="EA54" i="18"/>
  <c r="BE47" i="18"/>
  <c r="CT67" i="18"/>
  <c r="DZ67" i="18"/>
  <c r="CT53" i="18"/>
  <c r="CQ32" i="18"/>
  <c r="DW32" i="18"/>
  <c r="BS73" i="18"/>
  <c r="BP69" i="18"/>
  <c r="DI55" i="18"/>
  <c r="DK38" i="18"/>
  <c r="DG53" i="18"/>
  <c r="DF64" i="18"/>
  <c r="BM62" i="18"/>
  <c r="G63" i="18"/>
  <c r="AV44" i="18"/>
  <c r="CB44" i="18"/>
  <c r="AU62" i="18"/>
  <c r="CA62" i="18"/>
  <c r="AH63" i="18"/>
  <c r="EH63" i="18"/>
  <c r="BB53" i="18"/>
  <c r="CH53" i="18"/>
  <c r="AH45" i="18"/>
  <c r="DL57" i="18"/>
  <c r="BP44" i="18"/>
  <c r="DH47" i="18"/>
  <c r="AK31" i="18"/>
  <c r="DB62" i="18"/>
  <c r="DA56" i="18"/>
  <c r="AU42" i="18"/>
  <c r="CA42" i="18"/>
  <c r="BB72" i="18"/>
  <c r="CH72" i="18"/>
  <c r="BB58" i="18"/>
  <c r="CH58" i="18"/>
  <c r="CZ73" i="18"/>
  <c r="EF73" i="18"/>
  <c r="CZ59" i="18"/>
  <c r="EF59" i="18"/>
  <c r="BP40" i="18"/>
  <c r="DK49" i="18"/>
  <c r="DO50" i="18"/>
  <c r="DI76" i="18"/>
  <c r="DI41" i="18"/>
  <c r="BP73" i="18"/>
  <c r="BP52" i="18"/>
  <c r="DJ40" i="18"/>
  <c r="CW75" i="18"/>
  <c r="EC75" i="18"/>
  <c r="CW61" i="18"/>
  <c r="EC61" i="18"/>
  <c r="CP58" i="18"/>
  <c r="DV58" i="18"/>
  <c r="AF63" i="18"/>
  <c r="AK48" i="18"/>
  <c r="BM56" i="18"/>
  <c r="BP72" i="18"/>
  <c r="CS60" i="18"/>
  <c r="DY60" i="18"/>
  <c r="CS74" i="18"/>
  <c r="DY74" i="18"/>
  <c r="BO73" i="18"/>
  <c r="DF55" i="18"/>
  <c r="BS57" i="18"/>
  <c r="DB76" i="18"/>
  <c r="CZ49" i="18"/>
  <c r="EF49" i="18"/>
  <c r="BF51" i="18"/>
  <c r="BC66" i="18"/>
  <c r="CI66" i="18"/>
  <c r="BC52" i="18"/>
  <c r="CI52" i="18"/>
  <c r="DA60" i="18"/>
  <c r="DA40" i="18"/>
  <c r="AU32" i="18"/>
  <c r="CA32" i="18"/>
  <c r="BQ47" i="18"/>
  <c r="DN73" i="18"/>
  <c r="DF40" i="18"/>
  <c r="DI69" i="18"/>
  <c r="DI33" i="18"/>
  <c r="BP59" i="18"/>
  <c r="CT57" i="18"/>
  <c r="DZ57" i="18"/>
  <c r="CT71" i="18"/>
  <c r="DZ71" i="18"/>
  <c r="BF53" i="18"/>
  <c r="DN40" i="18"/>
  <c r="DN68" i="18"/>
  <c r="DM41" i="18"/>
  <c r="DJ64" i="18"/>
  <c r="AQ31" i="18"/>
  <c r="BF31" i="18"/>
  <c r="AN31" i="18"/>
  <c r="AO31" i="18"/>
  <c r="BM70" i="18"/>
  <c r="DB53" i="18"/>
  <c r="BS71" i="18"/>
  <c r="CX55" i="18"/>
  <c r="ED55" i="18"/>
  <c r="BD49" i="18"/>
  <c r="CJ49" i="18"/>
  <c r="DA70" i="18"/>
  <c r="DK58" i="18"/>
  <c r="CP40" i="18"/>
  <c r="DV40" i="18"/>
  <c r="CW38" i="18"/>
  <c r="EC38" i="18"/>
  <c r="DK53" i="18"/>
  <c r="AV45" i="18"/>
  <c r="BK45" i="18"/>
  <c r="DN70" i="18"/>
  <c r="DM47" i="18"/>
  <c r="DB49" i="18"/>
  <c r="DA50" i="18"/>
  <c r="DO33" i="18"/>
  <c r="G48" i="18"/>
  <c r="D48" i="18"/>
  <c r="AV76" i="18"/>
  <c r="CB76" i="18"/>
  <c r="CQ45" i="18"/>
  <c r="DF45" i="18"/>
  <c r="EH48" i="18"/>
  <c r="BQ61" i="18"/>
  <c r="DB67" i="18"/>
  <c r="BR49" i="18"/>
  <c r="BJ68" i="18"/>
  <c r="AV70" i="18"/>
  <c r="CB70" i="18"/>
  <c r="AV56" i="18"/>
  <c r="CB56" i="18"/>
  <c r="DK42" i="18"/>
  <c r="CQ76" i="18"/>
  <c r="DW76" i="18"/>
  <c r="CQ62" i="18"/>
  <c r="DW62" i="18"/>
  <c r="AM63" i="18"/>
  <c r="AO48" i="18"/>
  <c r="DE56" i="18"/>
  <c r="CP74" i="18"/>
  <c r="DV74" i="18"/>
  <c r="CP60" i="18"/>
  <c r="DV60" i="18"/>
  <c r="BK59" i="18"/>
  <c r="BF67" i="18"/>
  <c r="DK67" i="18"/>
  <c r="BL42" i="18"/>
  <c r="BJ41" i="18"/>
  <c r="DN43" i="18"/>
  <c r="DN56" i="18"/>
  <c r="BS64" i="18"/>
  <c r="BG55" i="18"/>
  <c r="AR31" i="18"/>
  <c r="BG31" i="18"/>
  <c r="BG34" i="18"/>
  <c r="AV75" i="18"/>
  <c r="CB75" i="18"/>
  <c r="AV61" i="18"/>
  <c r="CB61" i="18"/>
  <c r="AU47" i="18"/>
  <c r="CA47" i="18"/>
  <c r="BD38" i="18"/>
  <c r="CJ38" i="18"/>
  <c r="BN66" i="18"/>
  <c r="BS33" i="18"/>
  <c r="DF68" i="18"/>
  <c r="BI57" i="18"/>
  <c r="DL76" i="18"/>
  <c r="DA65" i="18"/>
  <c r="CU46" i="18"/>
  <c r="BJ39" i="18"/>
  <c r="DK65" i="18"/>
  <c r="BI70" i="18"/>
  <c r="DF67" i="18"/>
  <c r="BP75" i="18"/>
  <c r="BN44" i="18"/>
  <c r="DN55" i="18"/>
  <c r="DF39" i="18"/>
  <c r="BQ67" i="18"/>
  <c r="AZ43" i="18"/>
  <c r="CF43" i="18"/>
  <c r="BF50" i="18"/>
  <c r="AT55" i="18"/>
  <c r="BZ55" i="18"/>
  <c r="AT69" i="18"/>
  <c r="BZ69" i="18"/>
  <c r="CW37" i="18"/>
  <c r="EC37" i="18"/>
  <c r="BC65" i="18"/>
  <c r="CI65" i="18"/>
  <c r="BC51" i="18"/>
  <c r="CI51" i="18"/>
  <c r="DA72" i="18"/>
  <c r="CY33" i="18"/>
  <c r="EE33" i="18"/>
  <c r="AV39" i="18"/>
  <c r="CB39" i="18"/>
  <c r="BF54" i="18"/>
  <c r="CY67" i="18"/>
  <c r="EE67" i="18"/>
  <c r="CY53" i="18"/>
  <c r="EE53" i="18"/>
  <c r="DM74" i="18"/>
  <c r="DE52" i="18"/>
  <c r="BP67" i="18"/>
  <c r="BP46" i="18"/>
  <c r="BG69" i="18"/>
  <c r="BB42" i="18"/>
  <c r="CH42" i="18"/>
  <c r="K45" i="18"/>
  <c r="AK45" i="18"/>
  <c r="DH55" i="18"/>
  <c r="DO37" i="18"/>
  <c r="BI71" i="18"/>
  <c r="CX64" i="18"/>
  <c r="ED64" i="18"/>
  <c r="CX50" i="18"/>
  <c r="CP65" i="18"/>
  <c r="DV65" i="18"/>
  <c r="BA42" i="18"/>
  <c r="CG42" i="18"/>
  <c r="DK52" i="18"/>
  <c r="E45" i="18"/>
  <c r="AE45" i="18"/>
  <c r="DC32" i="18"/>
  <c r="DJ38" i="18"/>
  <c r="DI43" i="18"/>
  <c r="DK76" i="18"/>
  <c r="DN69" i="18"/>
  <c r="BS43" i="18"/>
  <c r="CT45" i="18"/>
  <c r="DI45" i="18"/>
  <c r="DI46" i="18"/>
  <c r="BD76" i="18"/>
  <c r="CJ76" i="18"/>
  <c r="BD62" i="18"/>
  <c r="CJ62" i="18"/>
  <c r="BP37" i="18"/>
  <c r="AY65" i="18"/>
  <c r="CE65" i="18"/>
  <c r="AY51" i="18"/>
  <c r="CE51" i="18"/>
  <c r="CV74" i="18"/>
  <c r="EB74" i="18"/>
  <c r="CV60" i="18"/>
  <c r="EB60" i="18"/>
  <c r="AT41" i="18"/>
  <c r="BZ41" i="18"/>
  <c r="DM60" i="18"/>
  <c r="CV45" i="18"/>
  <c r="DK45" i="18"/>
  <c r="DK47" i="18"/>
  <c r="DH40" i="18"/>
  <c r="BR34" i="18"/>
  <c r="BG37" i="18"/>
  <c r="BF55" i="18"/>
  <c r="BS40" i="18"/>
  <c r="DI60" i="18"/>
  <c r="DH53" i="18"/>
  <c r="BJ43" i="18"/>
  <c r="DK66" i="18"/>
  <c r="CV54" i="18"/>
  <c r="EB54" i="18"/>
  <c r="CW32" i="18"/>
  <c r="EC32" i="18"/>
  <c r="DI73" i="18"/>
  <c r="BR68" i="18"/>
  <c r="BL47" i="18"/>
  <c r="DG50" i="18"/>
  <c r="DI54" i="18"/>
  <c r="DF34" i="18"/>
  <c r="DJ42" i="18"/>
  <c r="AY57" i="18"/>
  <c r="CE57" i="18"/>
  <c r="AY71" i="18"/>
  <c r="CE71" i="18"/>
  <c r="AX66" i="18"/>
  <c r="CD66" i="18"/>
  <c r="AX52" i="18"/>
  <c r="CD52" i="18"/>
  <c r="BC33" i="18"/>
  <c r="CI33" i="18"/>
  <c r="CN45" i="18"/>
  <c r="DC45" i="18"/>
  <c r="DC47" i="18"/>
  <c r="DE66" i="18"/>
  <c r="BR41" i="18"/>
  <c r="BG60" i="18"/>
  <c r="BC43" i="18"/>
  <c r="CI43" i="18"/>
  <c r="BF69" i="18"/>
  <c r="AZ42" i="18"/>
  <c r="CF42" i="18"/>
  <c r="BE66" i="18"/>
  <c r="AX72" i="18"/>
  <c r="CD72" i="18"/>
  <c r="AX58" i="18"/>
  <c r="CD58" i="18"/>
  <c r="DI74" i="18"/>
  <c r="DH67" i="18"/>
  <c r="CV50" i="18"/>
  <c r="EB50" i="18"/>
  <c r="CV64" i="18"/>
  <c r="EB64" i="18"/>
  <c r="CT37" i="18"/>
  <c r="DZ37" i="18"/>
  <c r="CQ56" i="18"/>
  <c r="DW56" i="18"/>
  <c r="CQ70" i="18"/>
  <c r="DW70" i="18"/>
  <c r="AX34" i="18"/>
  <c r="CD34" i="18"/>
  <c r="BA32" i="18"/>
  <c r="BR35" i="18"/>
  <c r="DE57" i="18"/>
  <c r="DI35" i="18"/>
  <c r="DH58" i="18"/>
  <c r="DI68" i="18"/>
  <c r="DN61" i="18"/>
  <c r="DN71" i="18"/>
  <c r="CZ62" i="18"/>
  <c r="EF62" i="18"/>
  <c r="CS36" i="18"/>
  <c r="DY36" i="18"/>
  <c r="EG36" i="18"/>
  <c r="CQ49" i="18"/>
  <c r="DW49" i="18"/>
  <c r="BE61" i="18"/>
  <c r="CW34" i="18"/>
  <c r="EC34" i="18"/>
  <c r="AY33" i="18"/>
  <c r="CE33" i="18"/>
  <c r="AP45" i="18"/>
  <c r="BE45" i="18"/>
  <c r="BE46" i="18"/>
  <c r="DB59" i="18"/>
  <c r="CW47" i="18"/>
  <c r="EC47" i="18"/>
  <c r="DH52" i="18"/>
  <c r="DG65" i="18"/>
  <c r="DI39" i="18"/>
  <c r="BG41" i="18"/>
  <c r="AX55" i="18"/>
  <c r="CD55" i="18"/>
  <c r="AX69" i="18"/>
  <c r="CD69" i="18"/>
  <c r="BC70" i="18"/>
  <c r="CI70" i="18"/>
  <c r="BC56" i="18"/>
  <c r="CI56" i="18"/>
  <c r="AT44" i="18"/>
  <c r="BZ44" i="18"/>
  <c r="BL60" i="18"/>
  <c r="BS37" i="18"/>
  <c r="DF52" i="18"/>
  <c r="BK71" i="18"/>
  <c r="BQ62" i="18"/>
  <c r="DE71" i="18"/>
  <c r="DK37" i="18"/>
  <c r="DL54" i="18"/>
  <c r="DN51" i="18"/>
  <c r="DM49" i="18"/>
  <c r="DC35" i="18"/>
  <c r="DA69" i="18"/>
  <c r="CX70" i="18"/>
  <c r="ED70" i="18"/>
  <c r="CX56" i="18"/>
  <c r="ED56" i="18"/>
  <c r="BE75" i="18"/>
  <c r="CT52" i="18"/>
  <c r="DZ52" i="18"/>
  <c r="CX52" i="18"/>
  <c r="ED52" i="18"/>
  <c r="EG52" i="18"/>
  <c r="CU33" i="18"/>
  <c r="EA33" i="18"/>
  <c r="AX54" i="18"/>
  <c r="CD54" i="18"/>
  <c r="AX68" i="18"/>
  <c r="CD68" i="18"/>
  <c r="DB73" i="18"/>
  <c r="BA47" i="18"/>
  <c r="CG47" i="18"/>
  <c r="CV40" i="18"/>
  <c r="EB40" i="18"/>
  <c r="CV43" i="18"/>
  <c r="EB43" i="18"/>
  <c r="EB31" i="18"/>
  <c r="CS38" i="18"/>
  <c r="DY38" i="18"/>
  <c r="DH66" i="18"/>
  <c r="BN50" i="18"/>
  <c r="AO45" i="18"/>
  <c r="BQ75" i="18"/>
  <c r="BP38" i="18"/>
  <c r="BG56" i="18"/>
  <c r="BD75" i="18"/>
  <c r="CJ75" i="18"/>
  <c r="BD61" i="18"/>
  <c r="CJ61" i="18"/>
  <c r="AY74" i="18"/>
  <c r="CE74" i="18"/>
  <c r="AY60" i="18"/>
  <c r="CE60" i="18"/>
  <c r="AW68" i="18"/>
  <c r="CC68" i="18"/>
  <c r="AW54" i="18"/>
  <c r="CC54" i="18"/>
  <c r="BL74" i="18"/>
  <c r="DF58" i="18"/>
  <c r="DE47" i="18"/>
  <c r="BO64" i="18"/>
  <c r="AX37" i="18"/>
  <c r="CD37" i="18"/>
  <c r="BD72" i="18"/>
  <c r="CJ72" i="18"/>
  <c r="BD58" i="18"/>
  <c r="CJ58" i="18"/>
  <c r="AT33" i="18"/>
  <c r="BZ33" i="18"/>
  <c r="BD41" i="18"/>
  <c r="CJ41" i="18"/>
  <c r="CY38" i="18"/>
  <c r="EE38" i="18"/>
  <c r="DO53" i="18"/>
  <c r="BQ76" i="18"/>
  <c r="DG70" i="18"/>
  <c r="BQ41" i="18"/>
  <c r="DL68" i="18"/>
  <c r="DE70" i="18"/>
  <c r="CW35" i="18"/>
  <c r="BC57" i="18"/>
  <c r="CI57" i="18"/>
  <c r="BC71" i="18"/>
  <c r="CI71" i="18"/>
  <c r="CR62" i="18"/>
  <c r="DX62" i="18"/>
  <c r="DB44" i="18"/>
  <c r="BA34" i="18"/>
  <c r="CG34" i="18"/>
  <c r="CZ39" i="18"/>
  <c r="EF39" i="18"/>
  <c r="CS46" i="18"/>
  <c r="AL45" i="18"/>
  <c r="BD32" i="18"/>
  <c r="CJ32" i="18"/>
  <c r="DL43" i="18"/>
  <c r="BN68" i="18"/>
  <c r="BG58" i="18"/>
  <c r="BG38" i="18"/>
  <c r="BO76" i="18"/>
  <c r="AU34" i="18"/>
  <c r="CA34" i="18"/>
  <c r="AZ32" i="18"/>
  <c r="CF32" i="18"/>
  <c r="DH51" i="18"/>
  <c r="DA71" i="18"/>
  <c r="CX66" i="18"/>
  <c r="ED66" i="18"/>
  <c r="BO49" i="18"/>
  <c r="DE67" i="18"/>
  <c r="DH59" i="18"/>
  <c r="DN65" i="18"/>
  <c r="BS44" i="18"/>
  <c r="DJ58" i="18"/>
  <c r="BA35" i="18"/>
  <c r="CG35" i="18"/>
  <c r="AQ63" i="18"/>
  <c r="BF63" i="18"/>
  <c r="BF64" i="18"/>
  <c r="DA55" i="18"/>
  <c r="BB70" i="18"/>
  <c r="BB56" i="18"/>
  <c r="CH56" i="18"/>
  <c r="BD42" i="18"/>
  <c r="CJ42" i="18"/>
  <c r="CS75" i="18"/>
  <c r="DY75" i="18"/>
  <c r="CS61" i="18"/>
  <c r="DY61" i="18"/>
  <c r="DA58" i="18"/>
  <c r="AW46" i="18"/>
  <c r="DA41" i="18"/>
  <c r="CQ73" i="18"/>
  <c r="DW73" i="18"/>
  <c r="CQ59" i="18"/>
  <c r="DW59" i="18"/>
  <c r="DJ65" i="18"/>
  <c r="BR55" i="18"/>
  <c r="BI36" i="18"/>
  <c r="BN58" i="18"/>
  <c r="BG35" i="18"/>
  <c r="BG72" i="18"/>
  <c r="AU37" i="18"/>
  <c r="CA37" i="18"/>
  <c r="F31" i="18"/>
  <c r="AF31" i="18"/>
  <c r="DH69" i="18"/>
  <c r="DH65" i="18"/>
  <c r="DF54" i="18"/>
  <c r="DF46" i="18"/>
  <c r="DA57" i="18"/>
  <c r="DL62" i="18"/>
  <c r="BE49" i="18"/>
  <c r="DA51" i="18"/>
  <c r="AY46" i="18"/>
  <c r="DK51" i="18"/>
  <c r="BI56" i="18"/>
  <c r="DF53" i="18"/>
  <c r="BK41" i="18"/>
  <c r="DL70" i="18"/>
  <c r="BJ46" i="18"/>
  <c r="DJ72" i="18"/>
  <c r="CU71" i="18"/>
  <c r="EA71" i="18"/>
  <c r="CU57" i="18"/>
  <c r="EA57" i="18"/>
  <c r="DC37" i="18"/>
  <c r="AU44" i="18"/>
  <c r="CA44" i="18"/>
  <c r="BB74" i="18"/>
  <c r="CH74" i="18"/>
  <c r="BB60" i="18"/>
  <c r="CH60" i="18"/>
  <c r="CR39" i="18"/>
  <c r="DX39" i="18"/>
  <c r="CR32" i="18"/>
  <c r="DX32" i="18"/>
  <c r="DL64" i="18"/>
  <c r="BR69" i="18"/>
  <c r="BN49" i="18"/>
  <c r="DO41" i="18"/>
  <c r="AU51" i="18"/>
  <c r="CA51" i="18"/>
  <c r="AU65" i="18"/>
  <c r="CA65" i="18"/>
  <c r="AN45" i="18"/>
  <c r="AT47" i="18"/>
  <c r="BZ47" i="18"/>
  <c r="BK76" i="18"/>
  <c r="BL50" i="18"/>
  <c r="AV69" i="18"/>
  <c r="CB69" i="18"/>
  <c r="AV55" i="18"/>
  <c r="CB55" i="18"/>
  <c r="BC75" i="18"/>
  <c r="CI75" i="18"/>
  <c r="BC61" i="18"/>
  <c r="CI61" i="18"/>
  <c r="AZ68" i="18"/>
  <c r="CF68" i="18"/>
  <c r="AZ54" i="18"/>
  <c r="CF54" i="18"/>
  <c r="AQ45" i="18"/>
  <c r="BF45" i="18"/>
  <c r="BF47" i="18"/>
  <c r="AY38" i="18"/>
  <c r="CE38" i="18"/>
  <c r="BK52" i="18"/>
  <c r="BI34" i="18"/>
  <c r="BJ56" i="18"/>
  <c r="BK68" i="18"/>
  <c r="BS47" i="18"/>
  <c r="BK65" i="18"/>
  <c r="BQ40" i="18"/>
  <c r="BQ51" i="18"/>
  <c r="BO38" i="18"/>
  <c r="DG64" i="18"/>
  <c r="DJ35" i="18"/>
  <c r="BI40" i="18"/>
  <c r="DM68" i="18"/>
  <c r="J63" i="18"/>
  <c r="BM49" i="18"/>
  <c r="DF60" i="18"/>
  <c r="BM43" i="18"/>
  <c r="DL46" i="18"/>
  <c r="I63" i="18"/>
  <c r="K63" i="18"/>
  <c r="AK63" i="18"/>
  <c r="AW72" i="18"/>
  <c r="CC72" i="18"/>
  <c r="AW58" i="18"/>
  <c r="CC58" i="18"/>
  <c r="BB46" i="18"/>
  <c r="J45" i="18"/>
  <c r="AJ45" i="18"/>
  <c r="BL64" i="18"/>
  <c r="AY36" i="18"/>
  <c r="CE36" i="18"/>
  <c r="BA39" i="18"/>
  <c r="CG39" i="18"/>
  <c r="I45" i="18"/>
  <c r="AI45" i="18"/>
  <c r="BP33" i="18"/>
  <c r="BQ69" i="18"/>
  <c r="BL76" i="18"/>
  <c r="BK38" i="18"/>
  <c r="DI58" i="18"/>
  <c r="DJ51" i="18"/>
  <c r="BP56" i="18"/>
  <c r="BN47" i="18"/>
  <c r="BQ37" i="18"/>
  <c r="DI66" i="18"/>
  <c r="BP57" i="18"/>
  <c r="BQ65" i="18"/>
  <c r="BK35" i="18"/>
  <c r="DO32" i="18"/>
  <c r="F63" i="18"/>
  <c r="CX45" i="18"/>
  <c r="DM45" i="18"/>
  <c r="DM46" i="18"/>
  <c r="DF74" i="18"/>
  <c r="BO60" i="18"/>
  <c r="BL70" i="18"/>
  <c r="DE72" i="18"/>
  <c r="DE69" i="18"/>
  <c r="BR38" i="18"/>
  <c r="DL65" i="18"/>
  <c r="DJ66" i="18"/>
  <c r="AU53" i="18"/>
  <c r="CA53" i="18"/>
  <c r="AU67" i="18"/>
  <c r="CA67" i="18"/>
  <c r="AW49" i="18"/>
  <c r="CC49" i="18"/>
  <c r="AP31" i="18"/>
  <c r="BE31" i="18"/>
  <c r="BE44" i="18"/>
  <c r="AL31" i="18"/>
  <c r="AX47" i="18"/>
  <c r="CD47" i="18"/>
  <c r="BP54" i="18"/>
  <c r="BM38" i="18"/>
  <c r="BS53" i="18"/>
  <c r="BL37" i="18"/>
  <c r="DI72" i="18"/>
  <c r="BJ76" i="18"/>
  <c r="BP70" i="18"/>
  <c r="BP49" i="18"/>
  <c r="DG40" i="18"/>
  <c r="BQ50" i="18"/>
  <c r="BO39" i="18"/>
  <c r="BI74" i="18"/>
  <c r="BP71" i="18"/>
  <c r="BI58" i="18"/>
  <c r="BI37" i="18"/>
  <c r="DJ53" i="18"/>
  <c r="E48" i="18"/>
  <c r="BM36" i="18"/>
  <c r="DO72" i="18"/>
  <c r="DI42" i="18"/>
  <c r="DM40" i="18"/>
  <c r="DJ39" i="18"/>
  <c r="DL51" i="18"/>
  <c r="BM33" i="18"/>
  <c r="DJ52" i="18"/>
  <c r="E63" i="18"/>
  <c r="AE63" i="18"/>
  <c r="H63" i="18"/>
  <c r="AU71" i="18"/>
  <c r="CA71" i="18"/>
  <c r="AU57" i="18"/>
  <c r="CA57" i="18"/>
  <c r="AW69" i="18"/>
  <c r="CC69" i="18"/>
  <c r="AW55" i="18"/>
  <c r="CC55" i="18"/>
  <c r="BS54" i="18"/>
  <c r="BD52" i="18"/>
  <c r="CJ52" i="18"/>
  <c r="BD66" i="18"/>
  <c r="AN63" i="18"/>
  <c r="H48" i="18"/>
  <c r="AH48" i="18"/>
  <c r="BC46" i="18"/>
  <c r="AP63" i="18"/>
  <c r="BE63" i="18"/>
  <c r="BE73" i="18"/>
  <c r="AT67" i="18"/>
  <c r="BZ67" i="18"/>
  <c r="AT53" i="18"/>
  <c r="BZ53" i="18"/>
  <c r="BK44" i="18"/>
  <c r="BO50" i="18"/>
  <c r="BK73" i="18"/>
  <c r="BS67" i="18"/>
  <c r="BM60" i="18"/>
  <c r="BK42" i="18"/>
  <c r="BL32" i="18"/>
  <c r="BQ64" i="18"/>
  <c r="DE54" i="18"/>
  <c r="BI60" i="18"/>
  <c r="BN56" i="18"/>
  <c r="DO76" i="18"/>
  <c r="DG52" i="18"/>
  <c r="K31" i="18"/>
  <c r="DO44" i="18"/>
  <c r="BO74" i="18"/>
  <c r="F48" i="18"/>
  <c r="BA60" i="18"/>
  <c r="CG60" i="18"/>
  <c r="BA74" i="18"/>
  <c r="CG74" i="18"/>
  <c r="BS68" i="18"/>
  <c r="BI52" i="18"/>
  <c r="BJ73" i="18"/>
  <c r="BA62" i="18"/>
  <c r="CG62" i="18"/>
  <c r="BA76" i="18"/>
  <c r="CG76" i="18"/>
  <c r="AT65" i="18"/>
  <c r="BZ65" i="18"/>
  <c r="AT51" i="18"/>
  <c r="BZ51" i="18"/>
  <c r="DB60" i="18"/>
  <c r="AM45" i="18"/>
  <c r="BE59" i="18"/>
  <c r="BL61" i="18"/>
  <c r="BP36" i="18"/>
  <c r="BN69" i="18"/>
  <c r="BL40" i="18"/>
  <c r="BK50" i="18"/>
  <c r="BQ35" i="18"/>
  <c r="DE68" i="18"/>
  <c r="BR58" i="18"/>
  <c r="BN70" i="18"/>
  <c r="CP45" i="18"/>
  <c r="DE45" i="18"/>
  <c r="DE46" i="18"/>
  <c r="DG66" i="18"/>
  <c r="BQ34" i="18"/>
  <c r="DH68" i="18"/>
  <c r="BL44" i="18"/>
  <c r="DK71" i="18"/>
  <c r="DE64" i="18"/>
  <c r="CX31" i="18"/>
  <c r="DM31" i="18"/>
  <c r="DM32" i="18"/>
  <c r="DH43" i="18"/>
  <c r="DO47" i="18"/>
  <c r="I48" i="18"/>
  <c r="AX59" i="18"/>
  <c r="CD59" i="18"/>
  <c r="AX73" i="18"/>
  <c r="CD73" i="18"/>
  <c r="E31" i="18"/>
  <c r="BI66" i="18"/>
  <c r="DB74" i="18"/>
  <c r="BB68" i="18"/>
  <c r="CH68" i="18"/>
  <c r="BB54" i="18"/>
  <c r="CH54" i="18"/>
  <c r="BQ66" i="18"/>
  <c r="BO58" i="18"/>
  <c r="DH62" i="18"/>
  <c r="DI50" i="18"/>
  <c r="BL71" i="18"/>
  <c r="BS65" i="18"/>
  <c r="BM35" i="18"/>
  <c r="DN47" i="18"/>
  <c r="BN55" i="18"/>
  <c r="BJ49" i="18"/>
  <c r="BK64" i="18"/>
  <c r="BR72" i="18"/>
  <c r="DJ70" i="18"/>
  <c r="BO66" i="18"/>
  <c r="DO36" i="18"/>
  <c r="BL59" i="18"/>
  <c r="DI34" i="18"/>
  <c r="BD45" i="18"/>
  <c r="BS45" i="18"/>
  <c r="BS46" i="18"/>
  <c r="DG38" i="18"/>
  <c r="DJ55" i="18"/>
  <c r="AL48" i="18"/>
  <c r="DB65" i="18"/>
  <c r="BC39" i="18"/>
  <c r="CI39" i="18"/>
  <c r="BP51" i="18"/>
  <c r="BO70" i="18"/>
  <c r="BD69" i="18"/>
  <c r="CJ69" i="18"/>
  <c r="BD55" i="18"/>
  <c r="CJ55" i="18"/>
  <c r="DB70" i="18"/>
  <c r="AU74" i="18"/>
  <c r="CA74" i="18"/>
  <c r="AU60" i="18"/>
  <c r="CA60" i="18"/>
  <c r="AU40" i="18"/>
  <c r="CA40" i="18"/>
  <c r="BS60" i="18"/>
  <c r="BK66" i="18"/>
  <c r="BM41" i="18"/>
  <c r="BL35" i="18"/>
  <c r="K48" i="18"/>
  <c r="BO72" i="18"/>
  <c r="DI64" i="18"/>
  <c r="BM50" i="18"/>
  <c r="BQ73" i="18"/>
  <c r="DN57" i="18"/>
  <c r="J48" i="18"/>
  <c r="BQ32" i="18"/>
  <c r="BK67" i="18"/>
  <c r="DL69" i="18"/>
  <c r="BR60" i="18"/>
  <c r="DJ61" i="18"/>
  <c r="DG61" i="18"/>
  <c r="BI32" i="18"/>
  <c r="DD64" i="18"/>
  <c r="BS39" i="18"/>
  <c r="BL38" i="18"/>
  <c r="BL73" i="18"/>
  <c r="DJ69" i="18"/>
  <c r="DF47" i="18"/>
  <c r="BS35" i="18"/>
  <c r="DG54" i="18"/>
  <c r="DH35" i="18"/>
  <c r="BM42" i="18"/>
  <c r="DO52" i="18"/>
  <c r="AL63" i="18"/>
  <c r="AY76" i="18"/>
  <c r="CE76" i="18"/>
  <c r="AY62" i="18"/>
  <c r="CE62" i="18"/>
  <c r="CM48" i="18"/>
  <c r="DB48" i="18"/>
  <c r="DB51" i="18"/>
  <c r="AZ75" i="18"/>
  <c r="CF75" i="18"/>
  <c r="AZ61" i="18"/>
  <c r="CF61" i="18"/>
  <c r="BM51" i="18"/>
  <c r="BC36" i="18"/>
  <c r="CI36" i="18"/>
  <c r="DB56" i="18"/>
  <c r="AV72" i="18"/>
  <c r="CB72" i="18"/>
  <c r="AV58" i="18"/>
  <c r="CB58" i="18"/>
  <c r="BS74" i="18"/>
  <c r="BO40" i="18"/>
  <c r="BL41" i="18"/>
  <c r="DG58" i="18"/>
  <c r="BJ70" i="18"/>
  <c r="BK33" i="18"/>
  <c r="BQ59" i="18"/>
  <c r="BK54" i="18"/>
  <c r="BK51" i="18"/>
  <c r="BJ72" i="18"/>
  <c r="BK40" i="18"/>
  <c r="BR74" i="18"/>
  <c r="DM54" i="18"/>
  <c r="DE51" i="18"/>
  <c r="DG68" i="18"/>
  <c r="BS36" i="18"/>
  <c r="DO66" i="18"/>
  <c r="AQ68" i="37"/>
  <c r="AV52" i="37"/>
  <c r="F45" i="37"/>
  <c r="K45" i="37"/>
  <c r="AQ56" i="37"/>
  <c r="AV46" i="37"/>
  <c r="AR45" i="37"/>
  <c r="AV45" i="37"/>
  <c r="M58" i="37"/>
  <c r="AQ51" i="37"/>
  <c r="AQ35" i="37"/>
  <c r="I67" i="37"/>
  <c r="AQ76" i="37"/>
  <c r="AQ50" i="37"/>
  <c r="AQ34" i="37"/>
  <c r="AQ59" i="37"/>
  <c r="AW50" i="37"/>
  <c r="AW57" i="37"/>
  <c r="AV47" i="37"/>
  <c r="AQ75" i="37"/>
  <c r="AQ74" i="37"/>
  <c r="AQ61" i="37"/>
  <c r="I70" i="37"/>
  <c r="AQ44" i="37"/>
  <c r="L49" i="37"/>
  <c r="H73" i="37"/>
  <c r="T73" i="37"/>
  <c r="J74" i="37"/>
  <c r="K40" i="37"/>
  <c r="J59" i="37"/>
  <c r="I50" i="37"/>
  <c r="J60" i="37"/>
  <c r="J42" i="37"/>
  <c r="K72" i="37"/>
  <c r="AV67" i="37"/>
  <c r="E63" i="37"/>
  <c r="J63" i="37"/>
  <c r="U37" i="37"/>
  <c r="J76" i="37"/>
  <c r="U70" i="37"/>
  <c r="K70" i="37"/>
  <c r="G33" i="37"/>
  <c r="S33" i="37"/>
  <c r="G54" i="37"/>
  <c r="S54" i="37"/>
  <c r="G68" i="37"/>
  <c r="S68" i="37"/>
  <c r="AV53" i="37"/>
  <c r="M69" i="37"/>
  <c r="L67" i="37"/>
  <c r="E31" i="37"/>
  <c r="J31" i="37"/>
  <c r="AQ47" i="37"/>
  <c r="AK45" i="37"/>
  <c r="L52" i="37"/>
  <c r="H54" i="37"/>
  <c r="T54" i="37"/>
  <c r="H68" i="37"/>
  <c r="T68" i="37"/>
  <c r="I43" i="37"/>
  <c r="G64" i="37"/>
  <c r="S64" i="37"/>
  <c r="G50" i="37"/>
  <c r="AV51" i="37"/>
  <c r="AX67" i="37"/>
  <c r="D31" i="37"/>
  <c r="I31" i="37"/>
  <c r="AX43" i="37"/>
  <c r="AW33" i="37"/>
  <c r="L57" i="37"/>
  <c r="G65" i="37"/>
  <c r="G51" i="37"/>
  <c r="S51" i="37"/>
  <c r="U51" i="37"/>
  <c r="G53" i="37"/>
  <c r="I54" i="37"/>
  <c r="J40" i="37"/>
  <c r="H57" i="37"/>
  <c r="K60" i="37"/>
  <c r="K61" i="37"/>
  <c r="I58" i="37"/>
  <c r="AR63" i="37"/>
  <c r="AV63" i="37"/>
  <c r="K75" i="37"/>
  <c r="H44" i="37"/>
  <c r="T44" i="37"/>
  <c r="U44" i="37"/>
  <c r="AV50" i="37"/>
  <c r="AY39" i="37"/>
  <c r="J47" i="37"/>
  <c r="L43" i="37"/>
  <c r="M67" i="37"/>
  <c r="M53" i="37"/>
  <c r="AW51" i="37"/>
  <c r="K50" i="37"/>
  <c r="K46" i="37"/>
  <c r="G32" i="37"/>
  <c r="S32" i="37"/>
  <c r="AV68" i="37"/>
  <c r="J51" i="37"/>
  <c r="D48" i="37"/>
  <c r="I48" i="37"/>
  <c r="L61" i="37"/>
  <c r="H49" i="37"/>
  <c r="T49" i="37"/>
  <c r="G42" i="37"/>
  <c r="K34" i="37"/>
  <c r="AV64" i="37"/>
  <c r="L66" i="37"/>
  <c r="G73" i="37"/>
  <c r="S73" i="37"/>
  <c r="G59" i="37"/>
  <c r="J70" i="37"/>
  <c r="H61" i="37"/>
  <c r="T61" i="37"/>
  <c r="U61" i="37"/>
  <c r="H75" i="37"/>
  <c r="T75" i="37"/>
  <c r="U75" i="37"/>
  <c r="H42" i="37"/>
  <c r="T42" i="37"/>
  <c r="H32" i="37"/>
  <c r="T32" i="37"/>
  <c r="I55" i="37"/>
  <c r="AW60" i="37"/>
  <c r="AY49" i="37"/>
  <c r="L56" i="37"/>
  <c r="E48" i="37"/>
  <c r="J48" i="37"/>
  <c r="I59" i="37"/>
  <c r="J57" i="37"/>
  <c r="K38" i="37"/>
  <c r="AW74" i="37"/>
  <c r="AX33" i="37"/>
  <c r="AV54" i="37"/>
  <c r="I52" i="37"/>
  <c r="M40" i="37"/>
  <c r="AW70" i="37"/>
  <c r="I49" i="37"/>
  <c r="H36" i="37"/>
  <c r="T36" i="37"/>
  <c r="H76" i="37"/>
  <c r="T76" i="37"/>
  <c r="H62" i="37"/>
  <c r="T62" i="37"/>
  <c r="U62" i="37"/>
  <c r="AW43" i="37"/>
  <c r="AX56" i="37"/>
  <c r="AW37" i="37"/>
  <c r="AW58" i="37"/>
  <c r="AL63" i="37"/>
  <c r="AQ70" i="37"/>
  <c r="AX58" i="37"/>
  <c r="AV60" i="37"/>
  <c r="AW75" i="37"/>
  <c r="AW38" i="37"/>
  <c r="L71" i="37"/>
  <c r="L76" i="37"/>
  <c r="M50" i="37"/>
  <c r="M38" i="37"/>
  <c r="L62" i="37"/>
  <c r="AL31" i="37"/>
  <c r="AQ32" i="37"/>
  <c r="AW72" i="37"/>
  <c r="M51" i="37"/>
  <c r="AV56" i="37"/>
  <c r="AV74" i="37"/>
  <c r="AV40" i="37"/>
  <c r="AR31" i="37"/>
  <c r="AV31" i="37"/>
  <c r="AL45" i="37"/>
  <c r="AQ46" i="37"/>
  <c r="M64" i="37"/>
  <c r="AX38" i="37"/>
  <c r="L37" i="37"/>
  <c r="AX49" i="37"/>
  <c r="AX59" i="37"/>
  <c r="AL48" i="37"/>
  <c r="AQ49" i="37"/>
  <c r="AX68" i="37"/>
  <c r="M65" i="37"/>
  <c r="AV70" i="37"/>
  <c r="AW36" i="37"/>
  <c r="AX44" i="37"/>
  <c r="L53" i="37"/>
  <c r="L55" i="37"/>
  <c r="AS48" i="37"/>
  <c r="AW48" i="37"/>
  <c r="AW49" i="37"/>
  <c r="AW73" i="37"/>
  <c r="AW61" i="37"/>
  <c r="M56" i="37"/>
  <c r="AW41" i="37"/>
  <c r="AW35" i="37"/>
  <c r="AS31" i="37"/>
  <c r="AW31" i="37"/>
  <c r="AW34" i="37"/>
  <c r="AX34" i="37"/>
  <c r="G60" i="37"/>
  <c r="G74" i="37"/>
  <c r="S74" i="37"/>
  <c r="G40" i="37"/>
  <c r="AK48" i="37"/>
  <c r="L69" i="37"/>
  <c r="AV62" i="37"/>
  <c r="AX35" i="37"/>
  <c r="AX50" i="37"/>
  <c r="I76" i="37"/>
  <c r="G41" i="37"/>
  <c r="S41" i="37"/>
  <c r="U41" i="37"/>
  <c r="AS45" i="37"/>
  <c r="AW45" i="37"/>
  <c r="AW46" i="37"/>
  <c r="L39" i="37"/>
  <c r="M47" i="37"/>
  <c r="AX61" i="37"/>
  <c r="M39" i="37"/>
  <c r="AW55" i="37"/>
  <c r="AV76" i="37"/>
  <c r="M71" i="37"/>
  <c r="H74" i="37"/>
  <c r="T74" i="37"/>
  <c r="H60" i="37"/>
  <c r="T60" i="37"/>
  <c r="K32" i="37"/>
  <c r="F31" i="37"/>
  <c r="K31" i="37"/>
  <c r="L44" i="37"/>
  <c r="L75" i="37"/>
  <c r="M70" i="37"/>
  <c r="AS63" i="37"/>
  <c r="AW63" i="37"/>
  <c r="AW69" i="37"/>
  <c r="AK31" i="37"/>
  <c r="AX74" i="37"/>
  <c r="AX41" i="37"/>
  <c r="AK63" i="37"/>
  <c r="AQ64" i="37"/>
  <c r="AW44" i="37"/>
  <c r="AW59" i="37"/>
  <c r="L70" i="37"/>
  <c r="H43" i="37"/>
  <c r="T43" i="37"/>
  <c r="G72" i="37"/>
  <c r="G58" i="37"/>
  <c r="S58" i="37"/>
  <c r="U58" i="37"/>
  <c r="M59" i="37"/>
  <c r="M37" i="37"/>
  <c r="O38" i="5"/>
  <c r="AK73" i="5"/>
  <c r="AK50" i="5"/>
  <c r="K48" i="5"/>
  <c r="AK60" i="5"/>
  <c r="O69" i="5"/>
  <c r="AK65" i="5"/>
  <c r="AK35" i="5"/>
  <c r="AK41" i="5"/>
  <c r="AK68" i="5"/>
  <c r="AK62" i="5"/>
  <c r="AK66" i="5"/>
  <c r="AK33" i="5"/>
  <c r="H63" i="5"/>
  <c r="AE48" i="5"/>
  <c r="AK54" i="5"/>
  <c r="AK52" i="5"/>
  <c r="AK70" i="5"/>
  <c r="AK38" i="5"/>
  <c r="AK34" i="5"/>
  <c r="AK71" i="5"/>
  <c r="AK37" i="5"/>
  <c r="AM63" i="5"/>
  <c r="AK58" i="5"/>
  <c r="AE63" i="5"/>
  <c r="AK75" i="5"/>
  <c r="D48" i="5"/>
  <c r="AK72" i="5"/>
  <c r="AK53" i="5"/>
  <c r="AK61" i="5"/>
  <c r="O61" i="5"/>
  <c r="O58" i="5"/>
  <c r="O60" i="5"/>
  <c r="L48" i="5"/>
  <c r="O75" i="5"/>
  <c r="O43" i="5"/>
  <c r="K45" i="5"/>
  <c r="O41" i="5"/>
  <c r="O50" i="5"/>
  <c r="O35" i="5"/>
  <c r="AN48" i="5"/>
  <c r="AM48" i="5"/>
  <c r="E57" i="20"/>
  <c r="E71" i="20"/>
  <c r="L57" i="20"/>
  <c r="AF63" i="5"/>
  <c r="AK64" i="5"/>
  <c r="AL63" i="5"/>
  <c r="AL31" i="5"/>
  <c r="E61" i="20"/>
  <c r="AN63" i="5"/>
  <c r="AF31" i="5"/>
  <c r="F63" i="5"/>
  <c r="E63" i="5"/>
  <c r="L63" i="5"/>
  <c r="E67" i="20"/>
  <c r="L18" i="20"/>
  <c r="L75" i="20"/>
  <c r="AF48" i="5"/>
  <c r="AK49" i="5"/>
  <c r="E48" i="5"/>
  <c r="F31" i="5"/>
  <c r="K63" i="5"/>
  <c r="F48" i="5"/>
  <c r="AN31" i="5"/>
  <c r="M48" i="5"/>
  <c r="AL48" i="5"/>
  <c r="E31" i="5"/>
  <c r="E45" i="5"/>
  <c r="BA29" i="28"/>
  <c r="BA29" i="27"/>
  <c r="BA71" i="26"/>
  <c r="BA57" i="26"/>
  <c r="BA76" i="26"/>
  <c r="BA62" i="26"/>
  <c r="BA27" i="28"/>
  <c r="BA27" i="27"/>
  <c r="BA64" i="26"/>
  <c r="BA50" i="26"/>
  <c r="BA25" i="28"/>
  <c r="BA25" i="27"/>
  <c r="BA21" i="27"/>
  <c r="BA21" i="28"/>
  <c r="BA65" i="26"/>
  <c r="BA51" i="26"/>
  <c r="BA23" i="28"/>
  <c r="BA49" i="28"/>
  <c r="BA23" i="27"/>
  <c r="BA49" i="27"/>
  <c r="BA49" i="26"/>
  <c r="BA42" i="26"/>
  <c r="BA19" i="27"/>
  <c r="BA42" i="27"/>
  <c r="BA19" i="28"/>
  <c r="BA42" i="28"/>
  <c r="BA13" i="27"/>
  <c r="BA33" i="27"/>
  <c r="BA13" i="28"/>
  <c r="BA33" i="28"/>
  <c r="BA33" i="26"/>
  <c r="BA44" i="26"/>
  <c r="BA15" i="28"/>
  <c r="BA44" i="28"/>
  <c r="BA15" i="27"/>
  <c r="BA44" i="27"/>
  <c r="BA17" i="28"/>
  <c r="BA66" i="26"/>
  <c r="BA52" i="26"/>
  <c r="BA17" i="27"/>
  <c r="BA11" i="28"/>
  <c r="BA39" i="28"/>
  <c r="BA11" i="27"/>
  <c r="BA39" i="27"/>
  <c r="BA39" i="26"/>
  <c r="BA68" i="26"/>
  <c r="BA54" i="26"/>
  <c r="BA9" i="28"/>
  <c r="BA9" i="27"/>
  <c r="BA5" i="28"/>
  <c r="BA5" i="27"/>
  <c r="BA67" i="26"/>
  <c r="BA53" i="26"/>
  <c r="BA7" i="27"/>
  <c r="BA7" i="28"/>
  <c r="BA73" i="26"/>
  <c r="BA59" i="26"/>
  <c r="BA32" i="26"/>
  <c r="BA3" i="28"/>
  <c r="BA32" i="28"/>
  <c r="BA31" i="28"/>
  <c r="BA3" i="27"/>
  <c r="BA32" i="27"/>
  <c r="BA31" i="27"/>
  <c r="AJ34" i="15"/>
  <c r="AF31" i="15"/>
  <c r="AJ31" i="15"/>
  <c r="AF63" i="15"/>
  <c r="AJ63" i="15"/>
  <c r="G48" i="15"/>
  <c r="L48" i="15"/>
  <c r="AJ46" i="15"/>
  <c r="AF45" i="15"/>
  <c r="AJ45" i="15"/>
  <c r="L46" i="15"/>
  <c r="G45" i="15"/>
  <c r="L45" i="15"/>
  <c r="M46" i="15"/>
  <c r="H45" i="15"/>
  <c r="M45" i="15"/>
  <c r="AF48" i="15"/>
  <c r="AJ48" i="15"/>
  <c r="H48" i="15"/>
  <c r="M48" i="15"/>
  <c r="G63" i="15"/>
  <c r="L63" i="15"/>
  <c r="H31" i="15"/>
  <c r="M31" i="15"/>
  <c r="BP3" i="17"/>
  <c r="BP32" i="17"/>
  <c r="U43" i="17"/>
  <c r="BP26" i="17"/>
  <c r="BP36" i="17"/>
  <c r="AR29" i="17"/>
  <c r="BP24" i="17"/>
  <c r="BP17" i="17"/>
  <c r="U39" i="17"/>
  <c r="AR17" i="17"/>
  <c r="AR66" i="17"/>
  <c r="BP10" i="17"/>
  <c r="BP46" i="17"/>
  <c r="BP45" i="17"/>
  <c r="AR59" i="17"/>
  <c r="BP19" i="17"/>
  <c r="BP42" i="17"/>
  <c r="AR10" i="17"/>
  <c r="AR46" i="17"/>
  <c r="BK46" i="17"/>
  <c r="AZ45" i="17"/>
  <c r="AB45" i="17"/>
  <c r="AM46" i="17"/>
  <c r="AK40" i="17"/>
  <c r="Z31" i="17"/>
  <c r="AZ63" i="17"/>
  <c r="AR4" i="17"/>
  <c r="AR40" i="17"/>
  <c r="U55" i="17"/>
  <c r="U69" i="17"/>
  <c r="AR13" i="17"/>
  <c r="AR33" i="17"/>
  <c r="AR21" i="17"/>
  <c r="AR65" i="17"/>
  <c r="AR19" i="17"/>
  <c r="AR42" i="17"/>
  <c r="AR12" i="17"/>
  <c r="AR74" i="17"/>
  <c r="T34" i="17"/>
  <c r="U34" i="17"/>
  <c r="BP11" i="17"/>
  <c r="BP39" i="17"/>
  <c r="T41" i="17"/>
  <c r="U41" i="17"/>
  <c r="BP22" i="17"/>
  <c r="BP37" i="17"/>
  <c r="BP31" i="17"/>
  <c r="AR22" i="17"/>
  <c r="AR37" i="17"/>
  <c r="U72" i="17"/>
  <c r="U58" i="17"/>
  <c r="BP29" i="17"/>
  <c r="AR2" i="17"/>
  <c r="AR38" i="17"/>
  <c r="AE45" i="17"/>
  <c r="AP46" i="17"/>
  <c r="T33" i="17"/>
  <c r="T31" i="17"/>
  <c r="U33" i="17"/>
  <c r="BP8" i="17"/>
  <c r="BP41" i="17"/>
  <c r="AR5" i="17"/>
  <c r="AR53" i="17"/>
  <c r="U64" i="17"/>
  <c r="U50" i="17"/>
  <c r="BP2" i="17"/>
  <c r="BP38" i="17"/>
  <c r="AZ48" i="17"/>
  <c r="BP73" i="17"/>
  <c r="BP59" i="17"/>
  <c r="AR54" i="17"/>
  <c r="AR68" i="17"/>
  <c r="BP67" i="17"/>
  <c r="BP53" i="17"/>
  <c r="BP75" i="17"/>
  <c r="BP61" i="17"/>
  <c r="BP72" i="17"/>
  <c r="BP58" i="17"/>
  <c r="BP65" i="17"/>
  <c r="BP51" i="17"/>
  <c r="AR61" i="17"/>
  <c r="AR75" i="17"/>
  <c r="T64" i="17"/>
  <c r="T63" i="17"/>
  <c r="T50" i="17"/>
  <c r="T48" i="17"/>
  <c r="BP74" i="17"/>
  <c r="BP60" i="17"/>
  <c r="BL53" i="17"/>
  <c r="BA48" i="17"/>
  <c r="AR62" i="17"/>
  <c r="AR76" i="17"/>
  <c r="BC31" i="17"/>
  <c r="AZ31" i="17"/>
  <c r="BK34" i="17"/>
  <c r="AP37" i="17"/>
  <c r="AE31" i="17"/>
  <c r="AR60" i="17"/>
  <c r="BN76" i="17"/>
  <c r="BC63" i="17"/>
  <c r="Z48" i="17"/>
  <c r="AK49" i="17"/>
  <c r="BP69" i="17"/>
  <c r="BP55" i="17"/>
  <c r="BB31" i="17"/>
  <c r="BM32" i="17"/>
  <c r="BI68" i="17"/>
  <c r="AX63" i="17"/>
  <c r="AR72" i="17"/>
  <c r="AR58" i="17"/>
  <c r="BT63" i="17"/>
  <c r="BN62" i="17"/>
  <c r="BC48" i="17"/>
  <c r="BL40" i="17"/>
  <c r="BA31" i="17"/>
  <c r="BD45" i="17"/>
  <c r="BO47" i="17"/>
  <c r="BO64" i="17"/>
  <c r="BD63" i="17"/>
  <c r="Z63" i="17"/>
  <c r="AR70" i="17"/>
  <c r="AR56" i="17"/>
  <c r="BP9" i="17"/>
  <c r="BT48" i="17"/>
  <c r="BI38" i="17"/>
  <c r="AX31" i="17"/>
  <c r="AA63" i="17"/>
  <c r="AL65" i="17"/>
  <c r="BP62" i="17"/>
  <c r="BP76" i="17"/>
  <c r="AQ50" i="17"/>
  <c r="AF48" i="17"/>
  <c r="BP57" i="17"/>
  <c r="BP71" i="17"/>
  <c r="AE48" i="17"/>
  <c r="BD48" i="17"/>
  <c r="BO50" i="17"/>
  <c r="AM34" i="17"/>
  <c r="AB31" i="17"/>
  <c r="AC48" i="17"/>
  <c r="AN53" i="17"/>
  <c r="AR52" i="17"/>
  <c r="BA45" i="17"/>
  <c r="BL46" i="17"/>
  <c r="AR55" i="17"/>
  <c r="AR69" i="17"/>
  <c r="AF63" i="17"/>
  <c r="AQ64" i="17"/>
  <c r="AR64" i="17"/>
  <c r="AQ47" i="17"/>
  <c r="AF45" i="17"/>
  <c r="BM66" i="17"/>
  <c r="BB63" i="17"/>
  <c r="BP64" i="17"/>
  <c r="BP50" i="17"/>
  <c r="AN46" i="17"/>
  <c r="AC45" i="17"/>
  <c r="AN67" i="17"/>
  <c r="AC63" i="17"/>
  <c r="AO66" i="17"/>
  <c r="AD63" i="17"/>
  <c r="AF31" i="17"/>
  <c r="AA48" i="17"/>
  <c r="AL51" i="17"/>
  <c r="BM52" i="17"/>
  <c r="BB48" i="17"/>
  <c r="AR71" i="17"/>
  <c r="AR57" i="17"/>
  <c r="BJ65" i="17"/>
  <c r="AY63" i="17"/>
  <c r="AD31" i="17"/>
  <c r="AO32" i="17"/>
  <c r="BO33" i="17"/>
  <c r="BD31" i="17"/>
  <c r="AR45" i="17"/>
  <c r="AD48" i="17"/>
  <c r="AO52" i="17"/>
  <c r="AA31" i="17"/>
  <c r="AL43" i="17"/>
  <c r="AM74" i="17"/>
  <c r="AB63" i="17"/>
  <c r="AX48" i="17"/>
  <c r="BI49" i="17"/>
  <c r="BL67" i="17"/>
  <c r="BA63" i="17"/>
  <c r="AE63" i="17"/>
  <c r="BP66" i="17"/>
  <c r="BP52" i="17"/>
  <c r="BP20" i="17"/>
  <c r="AY48" i="17"/>
  <c r="BJ51" i="17"/>
  <c r="AR31" i="17"/>
  <c r="BJ43" i="17"/>
  <c r="AY31" i="17"/>
  <c r="AN42" i="17"/>
  <c r="AC31" i="17"/>
  <c r="AM60" i="17"/>
  <c r="AB48" i="17"/>
  <c r="BY48" i="18"/>
  <c r="AC46" i="42"/>
  <c r="C63" i="42"/>
  <c r="C31" i="42"/>
  <c r="C48" i="42"/>
  <c r="N42" i="5"/>
  <c r="O42" i="5"/>
  <c r="EN31" i="18"/>
  <c r="N40" i="5"/>
  <c r="O40" i="5"/>
  <c r="N68" i="5"/>
  <c r="O68" i="5"/>
  <c r="N55" i="5"/>
  <c r="O55" i="5"/>
  <c r="N56" i="5"/>
  <c r="O56" i="5"/>
  <c r="N62" i="5"/>
  <c r="O62" i="5"/>
  <c r="N59" i="5"/>
  <c r="O59" i="5"/>
  <c r="N72" i="5"/>
  <c r="O72" i="5"/>
  <c r="AK31" i="5"/>
  <c r="BF45" i="37"/>
  <c r="CI46" i="18"/>
  <c r="CI45" i="18"/>
  <c r="DI36" i="18"/>
  <c r="BC63" i="30"/>
  <c r="AO34" i="5"/>
  <c r="N44" i="5"/>
  <c r="O44" i="5"/>
  <c r="S50" i="37"/>
  <c r="S53" i="37"/>
  <c r="S59" i="37"/>
  <c r="S60" i="37"/>
  <c r="S48" i="37"/>
  <c r="BD63" i="37"/>
  <c r="DZ51" i="18"/>
  <c r="DZ53" i="18"/>
  <c r="DZ48" i="18"/>
  <c r="S46" i="37"/>
  <c r="L46" i="37"/>
  <c r="G32" i="5"/>
  <c r="AS66" i="18"/>
  <c r="BH66" i="18"/>
  <c r="AS52" i="18"/>
  <c r="BH52" i="18"/>
  <c r="BD48" i="37"/>
  <c r="S40" i="37"/>
  <c r="U40" i="37"/>
  <c r="T57" i="37"/>
  <c r="T48" i="37"/>
  <c r="S65" i="37"/>
  <c r="U65" i="37"/>
  <c r="DZ65" i="18"/>
  <c r="DZ63" i="18"/>
  <c r="AO76" i="5"/>
  <c r="AO62" i="5"/>
  <c r="AS60" i="18"/>
  <c r="BH60" i="18"/>
  <c r="AS74" i="18"/>
  <c r="BH74" i="18"/>
  <c r="AO60" i="5"/>
  <c r="AO74" i="5"/>
  <c r="EL31" i="18"/>
  <c r="AS70" i="18"/>
  <c r="BH70" i="18"/>
  <c r="AS56" i="18"/>
  <c r="BH56" i="18"/>
  <c r="AS34" i="18"/>
  <c r="BH34" i="18"/>
  <c r="S72" i="37"/>
  <c r="U72" i="37"/>
  <c r="U59" i="37"/>
  <c r="CH46" i="18"/>
  <c r="CH45" i="18"/>
  <c r="CE46" i="18"/>
  <c r="CE45" i="18"/>
  <c r="CC46" i="18"/>
  <c r="CC45" i="18"/>
  <c r="CH70" i="18"/>
  <c r="CH63" i="18"/>
  <c r="EE50" i="18"/>
  <c r="EE48" i="18"/>
  <c r="DF41" i="18"/>
  <c r="CD50" i="18"/>
  <c r="CD48" i="18"/>
  <c r="EG71" i="18"/>
  <c r="EN48" i="18"/>
  <c r="EG39" i="18"/>
  <c r="S35" i="37"/>
  <c r="U35" i="37"/>
  <c r="L35" i="37"/>
  <c r="AS53" i="18"/>
  <c r="BH53" i="18"/>
  <c r="AS67" i="18"/>
  <c r="BH67" i="18"/>
  <c r="AO40" i="5"/>
  <c r="G72" i="5"/>
  <c r="G58" i="5"/>
  <c r="BC45" i="30"/>
  <c r="M73" i="37"/>
  <c r="EC35" i="18"/>
  <c r="EG35" i="18"/>
  <c r="DW33" i="18"/>
  <c r="EG33" i="18"/>
  <c r="CB65" i="18"/>
  <c r="CB63" i="18"/>
  <c r="AS38" i="18"/>
  <c r="BH38" i="18"/>
  <c r="AS72" i="18"/>
  <c r="BH72" i="18"/>
  <c r="AS58" i="18"/>
  <c r="BH58" i="18"/>
  <c r="AS46" i="18"/>
  <c r="BZ64" i="18"/>
  <c r="BZ63" i="18"/>
  <c r="BC63" i="31"/>
  <c r="EG57" i="18"/>
  <c r="AS75" i="18"/>
  <c r="BH75" i="18"/>
  <c r="AS61" i="18"/>
  <c r="BH61" i="18"/>
  <c r="AS35" i="18"/>
  <c r="BH35" i="18"/>
  <c r="AO55" i="5"/>
  <c r="AO69" i="5"/>
  <c r="AS47" i="18"/>
  <c r="BH47" i="18"/>
  <c r="AS51" i="18"/>
  <c r="BH51" i="18"/>
  <c r="AS65" i="18"/>
  <c r="BH65" i="18"/>
  <c r="S42" i="37"/>
  <c r="U42" i="37"/>
  <c r="BD31" i="37"/>
  <c r="CJ66" i="18"/>
  <c r="CJ63" i="18"/>
  <c r="ED50" i="18"/>
  <c r="ED48" i="18"/>
  <c r="EA46" i="18"/>
  <c r="DX46" i="18"/>
  <c r="DY46" i="18"/>
  <c r="EG46" i="18"/>
  <c r="CO71" i="18"/>
  <c r="DD71" i="18"/>
  <c r="CO57" i="18"/>
  <c r="DD57" i="18"/>
  <c r="AS69" i="18"/>
  <c r="BH69" i="18"/>
  <c r="AS55" i="18"/>
  <c r="BH55" i="18"/>
  <c r="T34" i="37"/>
  <c r="M34" i="37"/>
  <c r="S34" i="37"/>
  <c r="U34" i="37"/>
  <c r="L34" i="37"/>
  <c r="U60" i="37"/>
  <c r="BE48" i="37"/>
  <c r="U53" i="37"/>
  <c r="DY45" i="18"/>
  <c r="CG32" i="18"/>
  <c r="CG31" i="18"/>
  <c r="EG53" i="18"/>
  <c r="DO65" i="18"/>
  <c r="DX45" i="18"/>
  <c r="C48" i="31"/>
  <c r="EN63" i="18"/>
  <c r="AS42" i="18"/>
  <c r="BH42" i="18"/>
  <c r="EN45" i="18"/>
  <c r="AS37" i="18"/>
  <c r="BH37" i="18"/>
  <c r="EG70" i="18"/>
  <c r="EB48" i="18"/>
  <c r="EG34" i="18"/>
  <c r="BR54" i="18"/>
  <c r="DG55" i="18"/>
  <c r="EG55" i="18"/>
  <c r="G57" i="5"/>
  <c r="G71" i="5"/>
  <c r="CB48" i="18"/>
  <c r="DU63" i="18"/>
  <c r="DF57" i="18"/>
  <c r="AU66" i="5"/>
  <c r="AV66" i="5"/>
  <c r="DT31" i="18"/>
  <c r="AX65" i="37"/>
  <c r="BD45" i="37"/>
  <c r="BO65" i="18"/>
  <c r="CJ31" i="18"/>
  <c r="DW48" i="18"/>
  <c r="ED63" i="18"/>
  <c r="CJ48" i="18"/>
  <c r="DE58" i="18"/>
  <c r="EG58" i="18"/>
  <c r="BQ53" i="18"/>
  <c r="BJ75" i="18"/>
  <c r="BZ48" i="18"/>
  <c r="DK62" i="18"/>
  <c r="EG62" i="18"/>
  <c r="DJ60" i="18"/>
  <c r="EG60" i="18"/>
  <c r="BN40" i="18"/>
  <c r="BQ33" i="18"/>
  <c r="DL55" i="18"/>
  <c r="AS54" i="18"/>
  <c r="BH54" i="18"/>
  <c r="AS68" i="18"/>
  <c r="BH68" i="18"/>
  <c r="BV31" i="18"/>
  <c r="DT48" i="18"/>
  <c r="U36" i="37"/>
  <c r="AU42" i="5"/>
  <c r="AV42" i="5"/>
  <c r="CO46" i="18"/>
  <c r="AU47" i="5"/>
  <c r="AU32" i="5"/>
  <c r="AU39" i="5"/>
  <c r="AV39" i="5"/>
  <c r="P48" i="37"/>
  <c r="CO32" i="18"/>
  <c r="AU62" i="5"/>
  <c r="AV62" i="5"/>
  <c r="AU59" i="5"/>
  <c r="AV59" i="5"/>
  <c r="DE32" i="18"/>
  <c r="DV31" i="18"/>
  <c r="N64" i="5"/>
  <c r="O64" i="5"/>
  <c r="BY64" i="18"/>
  <c r="BY63" i="18"/>
  <c r="Q31" i="37"/>
  <c r="AO51" i="5"/>
  <c r="AO65" i="5"/>
  <c r="BM65" i="18"/>
  <c r="BO51" i="18"/>
  <c r="DY31" i="18"/>
  <c r="BI50" i="18"/>
  <c r="BC31" i="31"/>
  <c r="AS41" i="18"/>
  <c r="BH41" i="18"/>
  <c r="EG67" i="18"/>
  <c r="H31" i="37"/>
  <c r="M31" i="37"/>
  <c r="T31" i="37"/>
  <c r="BE45" i="37"/>
  <c r="BQ52" i="18"/>
  <c r="CC48" i="18"/>
  <c r="BP68" i="18"/>
  <c r="BO62" i="18"/>
  <c r="BK57" i="18"/>
  <c r="BK36" i="18"/>
  <c r="CI63" i="18"/>
  <c r="BI46" i="18"/>
  <c r="BZ45" i="18"/>
  <c r="DZ31" i="18"/>
  <c r="BM76" i="18"/>
  <c r="EE31" i="18"/>
  <c r="BL66" i="18"/>
  <c r="CC63" i="18"/>
  <c r="DL56" i="18"/>
  <c r="BL56" i="18"/>
  <c r="CG45" i="18"/>
  <c r="DE75" i="18"/>
  <c r="EG75" i="18"/>
  <c r="U49" i="37"/>
  <c r="AJ63" i="5"/>
  <c r="G75" i="5"/>
  <c r="G61" i="5"/>
  <c r="AS76" i="18"/>
  <c r="BH76" i="18"/>
  <c r="AS62" i="18"/>
  <c r="BH62" i="18"/>
  <c r="EG76" i="18"/>
  <c r="DY48" i="18"/>
  <c r="AU43" i="5"/>
  <c r="AV43" i="5"/>
  <c r="BC31" i="30"/>
  <c r="CD31" i="18"/>
  <c r="AJ48" i="5"/>
  <c r="AJ31" i="5"/>
  <c r="AS36" i="18"/>
  <c r="BH36" i="18"/>
  <c r="AS40" i="18"/>
  <c r="BH40" i="18"/>
  <c r="EG72" i="18"/>
  <c r="DK72" i="18"/>
  <c r="CO40" i="18"/>
  <c r="DD40" i="18"/>
  <c r="DR45" i="18"/>
  <c r="EG61" i="18"/>
  <c r="S63" i="37"/>
  <c r="U64" i="37"/>
  <c r="AO44" i="5"/>
  <c r="BE63" i="37"/>
  <c r="CW45" i="18"/>
  <c r="DL45" i="18"/>
  <c r="AS50" i="18"/>
  <c r="BH50" i="18"/>
  <c r="AS64" i="18"/>
  <c r="G69" i="5"/>
  <c r="G55" i="5"/>
  <c r="BC48" i="31"/>
  <c r="DJ43" i="18"/>
  <c r="DX31" i="18"/>
  <c r="BP61" i="18"/>
  <c r="EC31" i="18"/>
  <c r="CA31" i="18"/>
  <c r="DW31" i="18"/>
  <c r="BK74" i="18"/>
  <c r="DY63" i="18"/>
  <c r="DF66" i="18"/>
  <c r="EG66" i="18"/>
  <c r="DJ74" i="18"/>
  <c r="EA63" i="18"/>
  <c r="DG49" i="18"/>
  <c r="DL50" i="18"/>
  <c r="EC48" i="18"/>
  <c r="G35" i="5"/>
  <c r="O34" i="5"/>
  <c r="AU36" i="5"/>
  <c r="AV36" i="5"/>
  <c r="BZ31" i="18"/>
  <c r="BI39" i="18"/>
  <c r="N66" i="5"/>
  <c r="O66" i="5"/>
  <c r="AS32" i="18"/>
  <c r="G68" i="5"/>
  <c r="G54" i="5"/>
  <c r="AS44" i="18"/>
  <c r="BH44" i="18"/>
  <c r="CO36" i="18"/>
  <c r="DD36" i="18"/>
  <c r="AU49" i="5"/>
  <c r="CO37" i="18"/>
  <c r="DD37" i="18"/>
  <c r="U76" i="37"/>
  <c r="CO74" i="18"/>
  <c r="DD74" i="18"/>
  <c r="CO60" i="18"/>
  <c r="DD60" i="18"/>
  <c r="G67" i="5"/>
  <c r="G53" i="5"/>
  <c r="DU45" i="18"/>
  <c r="AO33" i="5"/>
  <c r="BB31" i="37"/>
  <c r="AQ31" i="37"/>
  <c r="G74" i="5"/>
  <c r="G60" i="5"/>
  <c r="CO33" i="18"/>
  <c r="DD33" i="18"/>
  <c r="G64" i="5"/>
  <c r="G50" i="5"/>
  <c r="CO49" i="18"/>
  <c r="AK48" i="5"/>
  <c r="DT63" i="18"/>
  <c r="CO35" i="18"/>
  <c r="DD35" i="18"/>
  <c r="CO38" i="18"/>
  <c r="DD38" i="18"/>
  <c r="AU72" i="5"/>
  <c r="AV72" i="5"/>
  <c r="AK63" i="5"/>
  <c r="H63" i="37"/>
  <c r="M63" i="37"/>
  <c r="U74" i="37"/>
  <c r="AQ45" i="37"/>
  <c r="AX70" i="37"/>
  <c r="BE31" i="37"/>
  <c r="BP65" i="18"/>
  <c r="BI64" i="18"/>
  <c r="BQ43" i="18"/>
  <c r="BI72" i="18"/>
  <c r="AV31" i="18"/>
  <c r="BK31" i="18"/>
  <c r="DJ50" i="18"/>
  <c r="EE63" i="18"/>
  <c r="CD45" i="18"/>
  <c r="BO33" i="18"/>
  <c r="CF31" i="18"/>
  <c r="BN64" i="18"/>
  <c r="CE63" i="18"/>
  <c r="EC63" i="18"/>
  <c r="CO70" i="18"/>
  <c r="DD70" i="18"/>
  <c r="CO56" i="18"/>
  <c r="DD56" i="18"/>
  <c r="AI48" i="5"/>
  <c r="AU54" i="5"/>
  <c r="AV54" i="5"/>
  <c r="AU40" i="5"/>
  <c r="AV40" i="5"/>
  <c r="CH48" i="18"/>
  <c r="BW31" i="18"/>
  <c r="G76" i="5"/>
  <c r="G62" i="5"/>
  <c r="AU61" i="5"/>
  <c r="AV61" i="5"/>
  <c r="U68" i="37"/>
  <c r="AU41" i="5"/>
  <c r="AV41" i="5"/>
  <c r="BC48" i="30"/>
  <c r="BX48" i="18"/>
  <c r="EG43" i="18"/>
  <c r="EA31" i="18"/>
  <c r="EG38" i="18"/>
  <c r="CB31" i="18"/>
  <c r="C31" i="30"/>
  <c r="AU65" i="5"/>
  <c r="EG37" i="18"/>
  <c r="P31" i="37"/>
  <c r="BR40" i="18"/>
  <c r="CI31" i="18"/>
  <c r="DE55" i="18"/>
  <c r="DV48" i="18"/>
  <c r="AU71" i="5"/>
  <c r="AV71" i="5"/>
  <c r="CO43" i="18"/>
  <c r="DD43" i="18"/>
  <c r="AQ62" i="37"/>
  <c r="AQ48" i="37"/>
  <c r="AU33" i="5"/>
  <c r="AV33" i="5"/>
  <c r="L5" i="20"/>
  <c r="L53" i="20"/>
  <c r="AT63" i="37"/>
  <c r="AX63" i="37"/>
  <c r="AT48" i="37"/>
  <c r="AX48" i="37"/>
  <c r="S31" i="37"/>
  <c r="BN53" i="18"/>
  <c r="BK62" i="18"/>
  <c r="DH32" i="18"/>
  <c r="DE50" i="18"/>
  <c r="BM74" i="18"/>
  <c r="DG71" i="18"/>
  <c r="AU45" i="18"/>
  <c r="BJ45" i="18"/>
  <c r="CA45" i="18"/>
  <c r="DF65" i="18"/>
  <c r="DF50" i="18"/>
  <c r="BO69" i="18"/>
  <c r="CF63" i="18"/>
  <c r="CA63" i="18"/>
  <c r="BN61" i="18"/>
  <c r="BL34" i="18"/>
  <c r="CC31" i="18"/>
  <c r="DK56" i="18"/>
  <c r="EG56" i="18"/>
  <c r="BP55" i="18"/>
  <c r="CG48" i="18"/>
  <c r="BQ38" i="18"/>
  <c r="N33" i="5"/>
  <c r="O33" i="5"/>
  <c r="N73" i="5"/>
  <c r="O73" i="5"/>
  <c r="CO41" i="18"/>
  <c r="DD41" i="18"/>
  <c r="AO41" i="5"/>
  <c r="AU56" i="5"/>
  <c r="AV56" i="5"/>
  <c r="G49" i="5"/>
  <c r="AU70" i="5"/>
  <c r="AV70" i="5"/>
  <c r="AU68" i="5"/>
  <c r="AV68" i="5"/>
  <c r="AU52" i="5"/>
  <c r="AV52" i="5"/>
  <c r="U33" i="37"/>
  <c r="G43" i="5"/>
  <c r="AU57" i="5"/>
  <c r="AV57" i="5"/>
  <c r="AU53" i="5"/>
  <c r="AV53" i="5"/>
  <c r="AS49" i="18"/>
  <c r="EG59" i="18"/>
  <c r="U73" i="37"/>
  <c r="DU32" i="18"/>
  <c r="DU31" i="18"/>
  <c r="AU44" i="5"/>
  <c r="AV44" i="5"/>
  <c r="AO46" i="5"/>
  <c r="AO31" i="37"/>
  <c r="G47" i="5"/>
  <c r="G45" i="5"/>
  <c r="G33" i="5"/>
  <c r="N74" i="5"/>
  <c r="O74" i="5"/>
  <c r="AU67" i="5"/>
  <c r="AV67" i="5"/>
  <c r="CO61" i="18"/>
  <c r="DD61" i="18"/>
  <c r="CO75" i="18"/>
  <c r="DD75" i="18"/>
  <c r="AS73" i="18"/>
  <c r="BH73" i="18"/>
  <c r="AS59" i="18"/>
  <c r="BH59" i="18"/>
  <c r="EG73" i="18"/>
  <c r="U43" i="37"/>
  <c r="BR53" i="18"/>
  <c r="CI48" i="18"/>
  <c r="AU51" i="5"/>
  <c r="AV51" i="5"/>
  <c r="CO66" i="18"/>
  <c r="DD66" i="18"/>
  <c r="CO52" i="18"/>
  <c r="DD52" i="18"/>
  <c r="L47" i="37"/>
  <c r="G45" i="37"/>
  <c r="L45" i="37"/>
  <c r="CO47" i="18"/>
  <c r="DD47" i="18"/>
  <c r="E53" i="20"/>
  <c r="AQ63" i="37"/>
  <c r="AX75" i="37"/>
  <c r="U54" i="37"/>
  <c r="BL36" i="18"/>
  <c r="DH70" i="18"/>
  <c r="CP63" i="18"/>
  <c r="DE63" i="18"/>
  <c r="DV63" i="18"/>
  <c r="BJ62" i="18"/>
  <c r="CE31" i="18"/>
  <c r="EA48" i="18"/>
  <c r="DO64" i="18"/>
  <c r="EF63" i="18"/>
  <c r="DO40" i="18"/>
  <c r="EF31" i="18"/>
  <c r="BO56" i="18"/>
  <c r="BM64" i="18"/>
  <c r="CD63" i="18"/>
  <c r="DK70" i="18"/>
  <c r="EB63" i="18"/>
  <c r="BJ61" i="18"/>
  <c r="CA48" i="18"/>
  <c r="CF48" i="18"/>
  <c r="BN54" i="18"/>
  <c r="CE48" i="18"/>
  <c r="DO51" i="18"/>
  <c r="EG51" i="18"/>
  <c r="G41" i="5"/>
  <c r="CO65" i="18"/>
  <c r="CO51" i="18"/>
  <c r="DD51" i="18"/>
  <c r="AO47" i="5"/>
  <c r="AO52" i="5"/>
  <c r="AO66" i="5"/>
  <c r="N49" i="5"/>
  <c r="C48" i="30"/>
  <c r="AS71" i="18"/>
  <c r="BH71" i="18"/>
  <c r="AS57" i="18"/>
  <c r="BH57" i="18"/>
  <c r="CO59" i="18"/>
  <c r="DD59" i="18"/>
  <c r="CO73" i="18"/>
  <c r="DD73" i="18"/>
  <c r="DU48" i="18"/>
  <c r="DR31" i="18"/>
  <c r="CO54" i="18"/>
  <c r="DD54" i="18"/>
  <c r="CO68" i="18"/>
  <c r="DD68" i="18"/>
  <c r="BV63" i="18"/>
  <c r="G66" i="5"/>
  <c r="G52" i="5"/>
  <c r="N76" i="5"/>
  <c r="O76" i="5"/>
  <c r="AU34" i="5"/>
  <c r="AV34" i="5"/>
  <c r="CO58" i="18"/>
  <c r="DD58" i="18"/>
  <c r="CO72" i="18"/>
  <c r="DD72" i="18"/>
  <c r="CG63" i="18"/>
  <c r="CO34" i="18"/>
  <c r="DD34" i="18"/>
  <c r="AU35" i="5"/>
  <c r="AV35" i="5"/>
  <c r="AU76" i="5"/>
  <c r="AV76" i="5"/>
  <c r="BN72" i="18"/>
  <c r="EG54" i="18"/>
  <c r="C45" i="31"/>
  <c r="EG49" i="18"/>
  <c r="DR48" i="18"/>
  <c r="C63" i="30"/>
  <c r="CT31" i="18"/>
  <c r="DI31" i="18"/>
  <c r="BQ55" i="18"/>
  <c r="DE61" i="18"/>
  <c r="DL52" i="18"/>
  <c r="CX48" i="18"/>
  <c r="DM48" i="18"/>
  <c r="BR73" i="18"/>
  <c r="BL62" i="18"/>
  <c r="DG56" i="18"/>
  <c r="BJ59" i="18"/>
  <c r="CU63" i="18"/>
  <c r="DJ63" i="18"/>
  <c r="BN52" i="18"/>
  <c r="BN67" i="18"/>
  <c r="CQ48" i="18"/>
  <c r="DF48" i="18"/>
  <c r="AX31" i="18"/>
  <c r="BM31" i="18"/>
  <c r="BK34" i="18"/>
  <c r="CZ31" i="18"/>
  <c r="DO31" i="18"/>
  <c r="CT63" i="18"/>
  <c r="DI63" i="18"/>
  <c r="CS31" i="18"/>
  <c r="DH31" i="18"/>
  <c r="DO35" i="18"/>
  <c r="BA63" i="18"/>
  <c r="BP63" i="18"/>
  <c r="DE76" i="18"/>
  <c r="DE62" i="18"/>
  <c r="CY48" i="18"/>
  <c r="DN48" i="18"/>
  <c r="CU48" i="18"/>
  <c r="DJ48" i="18"/>
  <c r="BC63" i="18"/>
  <c r="BR63" i="18"/>
  <c r="BB31" i="18"/>
  <c r="BQ31" i="18"/>
  <c r="CP48" i="18"/>
  <c r="DE48" i="18"/>
  <c r="DO67" i="18"/>
  <c r="AX63" i="18"/>
  <c r="BM63" i="18"/>
  <c r="BJ38" i="18"/>
  <c r="DH76" i="18"/>
  <c r="AW31" i="18"/>
  <c r="BL31" i="18"/>
  <c r="AT31" i="18"/>
  <c r="BI31" i="18"/>
  <c r="AZ31" i="18"/>
  <c r="BO31" i="18"/>
  <c r="CQ63" i="18"/>
  <c r="DF63" i="18"/>
  <c r="CT48" i="18"/>
  <c r="DI48" i="18"/>
  <c r="CZ63" i="18"/>
  <c r="DO63" i="18"/>
  <c r="BR67" i="18"/>
  <c r="CV63" i="18"/>
  <c r="DK63" i="18"/>
  <c r="CX63" i="18"/>
  <c r="DM63" i="18"/>
  <c r="BC48" i="18"/>
  <c r="BR48" i="18"/>
  <c r="CR63" i="18"/>
  <c r="DG63" i="18"/>
  <c r="DO34" i="18"/>
  <c r="CR31" i="18"/>
  <c r="DG31" i="18"/>
  <c r="CV48" i="18"/>
  <c r="DK48" i="18"/>
  <c r="BN75" i="18"/>
  <c r="DG72" i="18"/>
  <c r="CR48" i="18"/>
  <c r="DG48" i="18"/>
  <c r="BS51" i="18"/>
  <c r="DG46" i="18"/>
  <c r="CR45" i="18"/>
  <c r="DG45" i="18"/>
  <c r="BB48" i="18"/>
  <c r="BQ48" i="18"/>
  <c r="DL67" i="18"/>
  <c r="BB63" i="18"/>
  <c r="BQ63" i="18"/>
  <c r="AT48" i="18"/>
  <c r="BI48" i="18"/>
  <c r="CW63" i="18"/>
  <c r="DL63" i="18"/>
  <c r="DL53" i="18"/>
  <c r="BI54" i="18"/>
  <c r="CS48" i="18"/>
  <c r="DH48" i="18"/>
  <c r="BP43" i="18"/>
  <c r="BN35" i="18"/>
  <c r="DM61" i="18"/>
  <c r="DF33" i="18"/>
  <c r="DM75" i="18"/>
  <c r="BR42" i="18"/>
  <c r="DH41" i="18"/>
  <c r="DN32" i="18"/>
  <c r="AU48" i="18"/>
  <c r="BJ48" i="18"/>
  <c r="DL36" i="18"/>
  <c r="BN37" i="18"/>
  <c r="DJ37" i="18"/>
  <c r="DM34" i="18"/>
  <c r="DN37" i="18"/>
  <c r="DM37" i="18"/>
  <c r="BR37" i="18"/>
  <c r="DM71" i="18"/>
  <c r="DE73" i="18"/>
  <c r="DI32" i="18"/>
  <c r="BI75" i="18"/>
  <c r="DG74" i="18"/>
  <c r="BJ64" i="18"/>
  <c r="BO67" i="18"/>
  <c r="BI61" i="18"/>
  <c r="BO71" i="18"/>
  <c r="DL41" i="18"/>
  <c r="BR47" i="18"/>
  <c r="DG60" i="18"/>
  <c r="DN35" i="18"/>
  <c r="BJ50" i="18"/>
  <c r="BJ52" i="18"/>
  <c r="BM46" i="18"/>
  <c r="DN34" i="18"/>
  <c r="DG43" i="18"/>
  <c r="DO56" i="18"/>
  <c r="BJ66" i="18"/>
  <c r="DM39" i="18"/>
  <c r="DL72" i="18"/>
  <c r="BO37" i="18"/>
  <c r="DH50" i="18"/>
  <c r="DL58" i="18"/>
  <c r="DM51" i="18"/>
  <c r="BM39" i="18"/>
  <c r="DO70" i="18"/>
  <c r="DM65" i="18"/>
  <c r="BQ57" i="18"/>
  <c r="BI49" i="18"/>
  <c r="DH64" i="18"/>
  <c r="DJ49" i="18"/>
  <c r="DM57" i="18"/>
  <c r="BP58" i="18"/>
  <c r="DE59" i="18"/>
  <c r="BQ71" i="18"/>
  <c r="DF76" i="18"/>
  <c r="DE40" i="18"/>
  <c r="DM55" i="18"/>
  <c r="DI71" i="18"/>
  <c r="BR52" i="18"/>
  <c r="DH74" i="18"/>
  <c r="DL61" i="18"/>
  <c r="BQ58" i="18"/>
  <c r="BM53" i="18"/>
  <c r="DK55" i="18"/>
  <c r="DE74" i="18"/>
  <c r="DM69" i="18"/>
  <c r="DI57" i="18"/>
  <c r="BR66" i="18"/>
  <c r="DL75" i="18"/>
  <c r="BQ72" i="18"/>
  <c r="DI67" i="18"/>
  <c r="DK69" i="18"/>
  <c r="BM71" i="18"/>
  <c r="BN32" i="18"/>
  <c r="BJ32" i="18"/>
  <c r="DH60" i="18"/>
  <c r="DM58" i="18"/>
  <c r="BM67" i="18"/>
  <c r="DI51" i="18"/>
  <c r="BN59" i="18"/>
  <c r="BK56" i="18"/>
  <c r="DF42" i="18"/>
  <c r="BJ42" i="18"/>
  <c r="DM72" i="18"/>
  <c r="DI65" i="18"/>
  <c r="DI61" i="18"/>
  <c r="BN73" i="18"/>
  <c r="BO41" i="18"/>
  <c r="DN50" i="18"/>
  <c r="DI75" i="18"/>
  <c r="BK70" i="18"/>
  <c r="BS49" i="18"/>
  <c r="DO59" i="18"/>
  <c r="DJ54" i="18"/>
  <c r="DK41" i="18"/>
  <c r="BI43" i="18"/>
  <c r="DN64" i="18"/>
  <c r="DF62" i="18"/>
  <c r="DL38" i="18"/>
  <c r="DO73" i="18"/>
  <c r="DF32" i="18"/>
  <c r="CQ31" i="18"/>
  <c r="DF31" i="18"/>
  <c r="DJ68" i="18"/>
  <c r="BR64" i="18"/>
  <c r="DG73" i="18"/>
  <c r="DE60" i="18"/>
  <c r="DO49" i="18"/>
  <c r="DI53" i="18"/>
  <c r="BR50" i="18"/>
  <c r="BM44" i="18"/>
  <c r="DG59" i="18"/>
  <c r="BM57" i="18"/>
  <c r="CW48" i="18"/>
  <c r="DL48" i="18"/>
  <c r="BQ74" i="18"/>
  <c r="BQ56" i="18"/>
  <c r="DO39" i="18"/>
  <c r="DG76" i="18"/>
  <c r="BS41" i="18"/>
  <c r="BM37" i="18"/>
  <c r="BN74" i="18"/>
  <c r="BP47" i="18"/>
  <c r="DJ33" i="18"/>
  <c r="CU31" i="18"/>
  <c r="DJ31" i="18"/>
  <c r="DM70" i="18"/>
  <c r="BN33" i="18"/>
  <c r="DF56" i="18"/>
  <c r="BO42" i="18"/>
  <c r="DK74" i="18"/>
  <c r="BS76" i="18"/>
  <c r="DE41" i="18"/>
  <c r="CP31" i="18"/>
  <c r="DE31" i="18"/>
  <c r="DF59" i="18"/>
  <c r="BQ70" i="18"/>
  <c r="DK43" i="18"/>
  <c r="BR71" i="18"/>
  <c r="BS61" i="18"/>
  <c r="DI52" i="18"/>
  <c r="BM55" i="18"/>
  <c r="BM52" i="18"/>
  <c r="DL32" i="18"/>
  <c r="CW31" i="18"/>
  <c r="DL31" i="18"/>
  <c r="BN51" i="18"/>
  <c r="BQ42" i="18"/>
  <c r="BI69" i="18"/>
  <c r="DL42" i="18"/>
  <c r="BJ47" i="18"/>
  <c r="BJ44" i="18"/>
  <c r="BJ37" i="18"/>
  <c r="DF73" i="18"/>
  <c r="DG41" i="18"/>
  <c r="DL47" i="18"/>
  <c r="DL34" i="18"/>
  <c r="DH36" i="18"/>
  <c r="DI37" i="18"/>
  <c r="BM66" i="18"/>
  <c r="BP42" i="18"/>
  <c r="DG42" i="18"/>
  <c r="BI55" i="18"/>
  <c r="BK61" i="18"/>
  <c r="DG32" i="18"/>
  <c r="DH61" i="18"/>
  <c r="BP35" i="18"/>
  <c r="BS32" i="18"/>
  <c r="BP34" i="18"/>
  <c r="BR57" i="18"/>
  <c r="BI33" i="18"/>
  <c r="BL54" i="18"/>
  <c r="BS75" i="18"/>
  <c r="BI44" i="18"/>
  <c r="BP32" i="18"/>
  <c r="DK64" i="18"/>
  <c r="BM58" i="18"/>
  <c r="DK68" i="18"/>
  <c r="BN65" i="18"/>
  <c r="BK39" i="18"/>
  <c r="DH75" i="18"/>
  <c r="DM66" i="18"/>
  <c r="BO32" i="18"/>
  <c r="BS58" i="18"/>
  <c r="BL68" i="18"/>
  <c r="BR56" i="18"/>
  <c r="DO62" i="18"/>
  <c r="CZ48" i="18"/>
  <c r="DO48" i="18"/>
  <c r="BM72" i="18"/>
  <c r="BR43" i="18"/>
  <c r="CS63" i="18"/>
  <c r="DH63" i="18"/>
  <c r="BN71" i="18"/>
  <c r="DK54" i="18"/>
  <c r="DE65" i="18"/>
  <c r="DN53" i="18"/>
  <c r="BR51" i="18"/>
  <c r="BK75" i="18"/>
  <c r="BD31" i="18"/>
  <c r="BS31" i="18"/>
  <c r="DG39" i="18"/>
  <c r="BN46" i="18"/>
  <c r="AY45" i="18"/>
  <c r="BN45" i="18"/>
  <c r="DM52" i="18"/>
  <c r="DL35" i="18"/>
  <c r="DH38" i="18"/>
  <c r="BM68" i="18"/>
  <c r="DM43" i="18"/>
  <c r="BM34" i="18"/>
  <c r="DK50" i="18"/>
  <c r="BN57" i="18"/>
  <c r="BI41" i="18"/>
  <c r="CK41" i="18"/>
  <c r="BA45" i="18"/>
  <c r="BP45" i="18"/>
  <c r="CY63" i="18"/>
  <c r="DN63" i="18"/>
  <c r="DN67" i="18"/>
  <c r="BR65" i="18"/>
  <c r="BQ60" i="18"/>
  <c r="DJ57" i="18"/>
  <c r="AW45" i="18"/>
  <c r="BL45" i="18"/>
  <c r="BL46" i="18"/>
  <c r="BS72" i="18"/>
  <c r="BM54" i="18"/>
  <c r="DO42" i="18"/>
  <c r="BR70" i="18"/>
  <c r="BR33" i="18"/>
  <c r="BS62" i="18"/>
  <c r="DM50" i="18"/>
  <c r="DN33" i="18"/>
  <c r="CY31" i="18"/>
  <c r="DN31" i="18"/>
  <c r="BO43" i="18"/>
  <c r="DJ71" i="18"/>
  <c r="BS42" i="18"/>
  <c r="BJ34" i="18"/>
  <c r="CS45" i="18"/>
  <c r="DH45" i="18"/>
  <c r="DH46" i="18"/>
  <c r="DG62" i="18"/>
  <c r="DN38" i="18"/>
  <c r="BN60" i="18"/>
  <c r="DK40" i="18"/>
  <c r="CV31" i="18"/>
  <c r="DK31" i="18"/>
  <c r="DM56" i="18"/>
  <c r="BM69" i="18"/>
  <c r="DF49" i="18"/>
  <c r="DF70" i="18"/>
  <c r="DK60" i="18"/>
  <c r="DM64" i="18"/>
  <c r="DL37" i="18"/>
  <c r="CU45" i="18"/>
  <c r="DJ45" i="18"/>
  <c r="DJ46" i="18"/>
  <c r="BS38" i="18"/>
  <c r="BN76" i="18"/>
  <c r="AY63" i="18"/>
  <c r="BN63" i="18"/>
  <c r="BO61" i="18"/>
  <c r="BO75" i="18"/>
  <c r="BJ40" i="18"/>
  <c r="CK40" i="18"/>
  <c r="AU31" i="18"/>
  <c r="BJ31" i="18"/>
  <c r="BS69" i="18"/>
  <c r="BM59" i="18"/>
  <c r="CK59" i="18"/>
  <c r="BL69" i="18"/>
  <c r="BN38" i="18"/>
  <c r="BK58" i="18"/>
  <c r="BJ60" i="18"/>
  <c r="BP76" i="18"/>
  <c r="BC45" i="18"/>
  <c r="BR45" i="18"/>
  <c r="BR46" i="18"/>
  <c r="BS66" i="18"/>
  <c r="BB45" i="18"/>
  <c r="BQ45" i="18"/>
  <c r="BQ46" i="18"/>
  <c r="BR61" i="18"/>
  <c r="AU63" i="18"/>
  <c r="BJ63" i="18"/>
  <c r="BJ65" i="18"/>
  <c r="BD63" i="18"/>
  <c r="BS63" i="18"/>
  <c r="BK72" i="18"/>
  <c r="AV63" i="18"/>
  <c r="BK63" i="18"/>
  <c r="BQ54" i="18"/>
  <c r="BJ57" i="18"/>
  <c r="AW48" i="18"/>
  <c r="BL48" i="18"/>
  <c r="BL49" i="18"/>
  <c r="BR75" i="18"/>
  <c r="BJ74" i="18"/>
  <c r="BQ68" i="18"/>
  <c r="BP62" i="18"/>
  <c r="BS52" i="18"/>
  <c r="BD48" i="18"/>
  <c r="BS48" i="18"/>
  <c r="BJ71" i="18"/>
  <c r="BM47" i="18"/>
  <c r="AX45" i="18"/>
  <c r="BM45" i="18"/>
  <c r="BP39" i="18"/>
  <c r="AW63" i="18"/>
  <c r="BL63" i="18"/>
  <c r="BL58" i="18"/>
  <c r="BJ51" i="18"/>
  <c r="BP74" i="18"/>
  <c r="BI53" i="18"/>
  <c r="BJ67" i="18"/>
  <c r="BL72" i="18"/>
  <c r="BK55" i="18"/>
  <c r="AV48" i="18"/>
  <c r="BK48" i="18"/>
  <c r="BN62" i="18"/>
  <c r="AY48" i="18"/>
  <c r="BN48" i="18"/>
  <c r="BI51" i="18"/>
  <c r="CK51" i="18"/>
  <c r="BP60" i="18"/>
  <c r="BI67" i="18"/>
  <c r="BA31" i="18"/>
  <c r="BP31" i="18"/>
  <c r="BK69" i="18"/>
  <c r="BS55" i="18"/>
  <c r="BR39" i="18"/>
  <c r="BI65" i="18"/>
  <c r="BA48" i="18"/>
  <c r="BP48" i="18"/>
  <c r="AT63" i="18"/>
  <c r="BI63" i="18"/>
  <c r="BJ53" i="18"/>
  <c r="BN36" i="18"/>
  <c r="AY31" i="18"/>
  <c r="BN31" i="18"/>
  <c r="BO54" i="18"/>
  <c r="AT45" i="18"/>
  <c r="BI45" i="18"/>
  <c r="BI47" i="18"/>
  <c r="BC31" i="18"/>
  <c r="BR31" i="18"/>
  <c r="BR36" i="18"/>
  <c r="BM73" i="18"/>
  <c r="CK73" i="18"/>
  <c r="AZ48" i="18"/>
  <c r="BO48" i="18"/>
  <c r="BL55" i="18"/>
  <c r="AX48" i="18"/>
  <c r="BM48" i="18"/>
  <c r="BO68" i="18"/>
  <c r="AZ63" i="18"/>
  <c r="BO63" i="18"/>
  <c r="R45" i="37"/>
  <c r="U46" i="37"/>
  <c r="U50" i="37"/>
  <c r="R48" i="37"/>
  <c r="R63" i="37"/>
  <c r="R31" i="37"/>
  <c r="U32" i="37"/>
  <c r="L51" i="37"/>
  <c r="AX52" i="37"/>
  <c r="L65" i="37"/>
  <c r="AX66" i="37"/>
  <c r="M68" i="37"/>
  <c r="M54" i="37"/>
  <c r="L68" i="37"/>
  <c r="L54" i="37"/>
  <c r="AX39" i="37"/>
  <c r="L50" i="37"/>
  <c r="G31" i="37"/>
  <c r="L31" i="37"/>
  <c r="L64" i="37"/>
  <c r="L33" i="37"/>
  <c r="M57" i="37"/>
  <c r="AY42" i="37"/>
  <c r="M75" i="37"/>
  <c r="AY76" i="37"/>
  <c r="M62" i="37"/>
  <c r="AX62" i="37"/>
  <c r="M32" i="37"/>
  <c r="L32" i="37"/>
  <c r="AX32" i="37"/>
  <c r="AY44" i="37"/>
  <c r="AX76" i="37"/>
  <c r="M61" i="37"/>
  <c r="AY62" i="37"/>
  <c r="M76" i="37"/>
  <c r="AY36" i="37"/>
  <c r="L59" i="37"/>
  <c r="L42" i="37"/>
  <c r="M44" i="37"/>
  <c r="M36" i="37"/>
  <c r="AX42" i="37"/>
  <c r="AY59" i="37"/>
  <c r="AY73" i="37"/>
  <c r="L73" i="37"/>
  <c r="AY32" i="37"/>
  <c r="M49" i="37"/>
  <c r="M42" i="37"/>
  <c r="L58" i="37"/>
  <c r="L72" i="37"/>
  <c r="AY51" i="37"/>
  <c r="L41" i="37"/>
  <c r="AY55" i="37"/>
  <c r="AY61" i="37"/>
  <c r="AY70" i="37"/>
  <c r="AY38" i="37"/>
  <c r="AY67" i="37"/>
  <c r="AY41" i="37"/>
  <c r="AY34" i="37"/>
  <c r="AX69" i="37"/>
  <c r="AY57" i="37"/>
  <c r="AY43" i="37"/>
  <c r="AX46" i="37"/>
  <c r="AT45" i="37"/>
  <c r="AX45" i="37"/>
  <c r="AY37" i="37"/>
  <c r="AY65" i="37"/>
  <c r="L40" i="37"/>
  <c r="AY54" i="37"/>
  <c r="AU31" i="37"/>
  <c r="AY31" i="37"/>
  <c r="AY33" i="37"/>
  <c r="AX40" i="37"/>
  <c r="AX55" i="37"/>
  <c r="AY50" i="37"/>
  <c r="AU48" i="37"/>
  <c r="AY48" i="37"/>
  <c r="G48" i="37"/>
  <c r="L48" i="37"/>
  <c r="M60" i="37"/>
  <c r="AY52" i="37"/>
  <c r="AY68" i="37"/>
  <c r="AY35" i="37"/>
  <c r="AY71" i="37"/>
  <c r="AU63" i="37"/>
  <c r="AY63" i="37"/>
  <c r="AY64" i="37"/>
  <c r="AY60" i="37"/>
  <c r="M43" i="37"/>
  <c r="M74" i="37"/>
  <c r="AY66" i="37"/>
  <c r="L74" i="37"/>
  <c r="AY47" i="37"/>
  <c r="AU45" i="37"/>
  <c r="AY45" i="37"/>
  <c r="AY46" i="37"/>
  <c r="AY74" i="37"/>
  <c r="L60" i="37"/>
  <c r="H48" i="37"/>
  <c r="M48" i="37"/>
  <c r="AY40" i="37"/>
  <c r="AY69" i="37"/>
  <c r="AY58" i="37"/>
  <c r="AY53" i="37"/>
  <c r="AX47" i="37"/>
  <c r="AY75" i="37"/>
  <c r="AY56" i="37"/>
  <c r="AY72" i="37"/>
  <c r="AT31" i="37"/>
  <c r="AX31" i="37"/>
  <c r="G63" i="37"/>
  <c r="L63" i="37"/>
  <c r="L67" i="20"/>
  <c r="M63" i="5"/>
  <c r="O65" i="5"/>
  <c r="E37" i="20"/>
  <c r="L22" i="20"/>
  <c r="L37" i="20"/>
  <c r="L61" i="20"/>
  <c r="E32" i="20"/>
  <c r="L3" i="20"/>
  <c r="L32" i="20"/>
  <c r="L25" i="20"/>
  <c r="E64" i="20"/>
  <c r="E50" i="20"/>
  <c r="E68" i="20"/>
  <c r="L9" i="20"/>
  <c r="E54" i="20"/>
  <c r="E42" i="20"/>
  <c r="L19" i="20"/>
  <c r="L42" i="20"/>
  <c r="L28" i="20"/>
  <c r="L43" i="20"/>
  <c r="E43" i="20"/>
  <c r="L20" i="20"/>
  <c r="E70" i="20"/>
  <c r="E56" i="20"/>
  <c r="L11" i="20"/>
  <c r="L39" i="20"/>
  <c r="E39" i="20"/>
  <c r="E59" i="20"/>
  <c r="E73" i="20"/>
  <c r="L7" i="20"/>
  <c r="E36" i="20"/>
  <c r="L26" i="20"/>
  <c r="L36" i="20"/>
  <c r="L2" i="20"/>
  <c r="L38" i="20"/>
  <c r="E38" i="20"/>
  <c r="L16" i="20"/>
  <c r="E72" i="20"/>
  <c r="E58" i="20"/>
  <c r="L23" i="20"/>
  <c r="L49" i="20"/>
  <c r="E49" i="20"/>
  <c r="L30" i="20"/>
  <c r="L35" i="20"/>
  <c r="E35" i="20"/>
  <c r="BA31" i="26"/>
  <c r="BA67" i="28"/>
  <c r="BA53" i="28"/>
  <c r="BA52" i="27"/>
  <c r="BA66" i="27"/>
  <c r="BA54" i="27"/>
  <c r="BA68" i="27"/>
  <c r="BA62" i="28"/>
  <c r="BA76" i="28"/>
  <c r="BA54" i="28"/>
  <c r="BA68" i="28"/>
  <c r="BA65" i="28"/>
  <c r="BA51" i="28"/>
  <c r="BA73" i="28"/>
  <c r="BA59" i="28"/>
  <c r="BA52" i="28"/>
  <c r="BA66" i="28"/>
  <c r="BA51" i="27"/>
  <c r="BA65" i="27"/>
  <c r="BA62" i="27"/>
  <c r="BA76" i="27"/>
  <c r="BA59" i="27"/>
  <c r="BA73" i="27"/>
  <c r="BA50" i="27"/>
  <c r="BA48" i="27"/>
  <c r="BA64" i="27"/>
  <c r="BA63" i="27"/>
  <c r="BA48" i="26"/>
  <c r="BA50" i="28"/>
  <c r="BA64" i="28"/>
  <c r="BA57" i="27"/>
  <c r="BA71" i="27"/>
  <c r="BA53" i="27"/>
  <c r="BA67" i="27"/>
  <c r="BA48" i="28"/>
  <c r="BA63" i="26"/>
  <c r="BA71" i="28"/>
  <c r="BA57" i="28"/>
  <c r="AR51" i="17"/>
  <c r="AR48" i="17"/>
  <c r="AR67" i="17"/>
  <c r="BP48" i="17"/>
  <c r="BP56" i="17"/>
  <c r="BP70" i="17"/>
  <c r="AR63" i="17"/>
  <c r="BP54" i="17"/>
  <c r="BP68" i="17"/>
  <c r="AS45" i="18"/>
  <c r="BH45" i="18"/>
  <c r="BH46" i="18"/>
  <c r="N53" i="5"/>
  <c r="O53" i="5"/>
  <c r="U31" i="37"/>
  <c r="EA45" i="18"/>
  <c r="U57" i="37"/>
  <c r="AO45" i="5"/>
  <c r="AO63" i="5"/>
  <c r="AO48" i="5"/>
  <c r="BF63" i="37"/>
  <c r="U63" i="37"/>
  <c r="O49" i="5"/>
  <c r="DD65" i="18"/>
  <c r="CO63" i="18"/>
  <c r="DD63" i="18"/>
  <c r="EF48" i="18"/>
  <c r="BF31" i="37"/>
  <c r="AU31" i="5"/>
  <c r="AV32" i="5"/>
  <c r="AV31" i="5"/>
  <c r="T63" i="37"/>
  <c r="DW63" i="18"/>
  <c r="CH31" i="18"/>
  <c r="AO31" i="5"/>
  <c r="EG50" i="18"/>
  <c r="EG48" i="18"/>
  <c r="AU63" i="5"/>
  <c r="AV65" i="5"/>
  <c r="AV63" i="5"/>
  <c r="DD32" i="18"/>
  <c r="CO31" i="18"/>
  <c r="DD31" i="18"/>
  <c r="BH64" i="18"/>
  <c r="AS63" i="18"/>
  <c r="BH63" i="18"/>
  <c r="AV47" i="5"/>
  <c r="U48" i="37"/>
  <c r="G31" i="5"/>
  <c r="BH49" i="18"/>
  <c r="AS48" i="18"/>
  <c r="BH48" i="18"/>
  <c r="G48" i="5"/>
  <c r="DD49" i="18"/>
  <c r="CO48" i="18"/>
  <c r="DD48" i="18"/>
  <c r="DX48" i="18"/>
  <c r="BF48" i="37"/>
  <c r="N32" i="5"/>
  <c r="EG74" i="18"/>
  <c r="S45" i="37"/>
  <c r="U47" i="37"/>
  <c r="U45" i="37"/>
  <c r="AU48" i="5"/>
  <c r="AV49" i="5"/>
  <c r="AV48" i="5"/>
  <c r="EC45" i="18"/>
  <c r="EG47" i="18"/>
  <c r="EG45" i="18"/>
  <c r="DD46" i="18"/>
  <c r="CO45" i="18"/>
  <c r="DD45" i="18"/>
  <c r="EG40" i="18"/>
  <c r="EG32" i="18"/>
  <c r="AS31" i="18"/>
  <c r="BH31" i="18"/>
  <c r="BH32" i="18"/>
  <c r="N47" i="5"/>
  <c r="O47" i="5"/>
  <c r="EG64" i="18"/>
  <c r="N63" i="5"/>
  <c r="AU46" i="5"/>
  <c r="AV46" i="5"/>
  <c r="EG65" i="18"/>
  <c r="N46" i="5"/>
  <c r="G63" i="5"/>
  <c r="CK71" i="18"/>
  <c r="CK56" i="18"/>
  <c r="CK67" i="18"/>
  <c r="CK74" i="18"/>
  <c r="CK53" i="18"/>
  <c r="CK36" i="18"/>
  <c r="CK65" i="18"/>
  <c r="CK52" i="18"/>
  <c r="CK75" i="18"/>
  <c r="CK58" i="18"/>
  <c r="CK34" i="18"/>
  <c r="CK61" i="18"/>
  <c r="CK47" i="18"/>
  <c r="CK43" i="18"/>
  <c r="CK46" i="18"/>
  <c r="CK57" i="18"/>
  <c r="CK76" i="18"/>
  <c r="CK39" i="18"/>
  <c r="CK38" i="18"/>
  <c r="CK37" i="18"/>
  <c r="CK69" i="18"/>
  <c r="CK64" i="18"/>
  <c r="CK62" i="18"/>
  <c r="CK72" i="18"/>
  <c r="CK68" i="18"/>
  <c r="CK60" i="18"/>
  <c r="CK70" i="18"/>
  <c r="CK42" i="18"/>
  <c r="CK54" i="18"/>
  <c r="CK50" i="18"/>
  <c r="CK66" i="18"/>
  <c r="CK44" i="18"/>
  <c r="CK55" i="18"/>
  <c r="CK35" i="18"/>
  <c r="CK33" i="18"/>
  <c r="CK49" i="18"/>
  <c r="CK32" i="18"/>
  <c r="O63" i="5"/>
  <c r="L72" i="20"/>
  <c r="L58" i="20"/>
  <c r="L70" i="20"/>
  <c r="L56" i="20"/>
  <c r="L64" i="20"/>
  <c r="L50" i="20"/>
  <c r="L54" i="20"/>
  <c r="L68" i="20"/>
  <c r="L59" i="20"/>
  <c r="L73" i="20"/>
  <c r="BA63" i="28"/>
  <c r="BP63" i="17"/>
  <c r="CK48" i="18"/>
  <c r="E60" i="20"/>
  <c r="L12" i="20"/>
  <c r="E74" i="20"/>
  <c r="L14" i="20"/>
  <c r="L34" i="20"/>
  <c r="E34" i="20"/>
  <c r="E40" i="20"/>
  <c r="L4" i="20"/>
  <c r="L40" i="20"/>
  <c r="E69" i="20"/>
  <c r="E55" i="20"/>
  <c r="L24" i="20"/>
  <c r="O48" i="5"/>
  <c r="N48" i="5"/>
  <c r="E76" i="20"/>
  <c r="L27" i="20"/>
  <c r="E62" i="20"/>
  <c r="O32" i="5"/>
  <c r="N31" i="5"/>
  <c r="O31" i="5"/>
  <c r="CK31" i="18"/>
  <c r="E66" i="20"/>
  <c r="L17" i="20"/>
  <c r="E52" i="20"/>
  <c r="EG63" i="18"/>
  <c r="L13" i="20"/>
  <c r="L33" i="20"/>
  <c r="L8" i="20"/>
  <c r="L41" i="20"/>
  <c r="L15" i="20"/>
  <c r="L44" i="20"/>
  <c r="L31" i="20"/>
  <c r="E33" i="20"/>
  <c r="E44" i="20"/>
  <c r="CK63" i="18"/>
  <c r="CK45" i="18"/>
  <c r="EG31" i="18"/>
  <c r="L6" i="20"/>
  <c r="L47" i="20"/>
  <c r="E47" i="20"/>
  <c r="E41" i="20"/>
  <c r="N45" i="5"/>
  <c r="O46" i="5"/>
  <c r="O45" i="5"/>
  <c r="AV45" i="5"/>
  <c r="AU45" i="5"/>
  <c r="L10" i="20"/>
  <c r="L46" i="20"/>
  <c r="E46" i="20"/>
  <c r="E51" i="20"/>
  <c r="E65" i="20"/>
  <c r="E63" i="20"/>
  <c r="L21" i="20"/>
  <c r="L55" i="20"/>
  <c r="L69" i="20"/>
  <c r="L62" i="20"/>
  <c r="L76" i="20"/>
  <c r="L74" i="20"/>
  <c r="L60" i="20"/>
  <c r="E48" i="20"/>
  <c r="L65" i="20"/>
  <c r="L66" i="20"/>
  <c r="L63" i="20"/>
  <c r="L51" i="20"/>
  <c r="L52" i="20"/>
  <c r="L48" i="20"/>
  <c r="E45" i="20"/>
  <c r="L45" i="20"/>
  <c r="E31"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Manning, Karessa L.</author>
  </authors>
  <commentList>
    <comment ref="A1" authorId="0" shapeId="0" xr:uid="{00000000-0006-0000-0C00-000001000000}">
      <text>
        <r>
          <rPr>
            <b/>
            <sz val="9"/>
            <color indexed="81"/>
            <rFont val="Tahoma"/>
            <family val="2"/>
          </rPr>
          <t>Manning, Karessa L.:</t>
        </r>
        <r>
          <rPr>
            <sz val="9"/>
            <color indexed="81"/>
            <rFont val="Tahoma"/>
            <family val="2"/>
          </rPr>
          <t xml:space="preserve">
Slab Size = 1
Cover Layer = 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tc={2CE6D14A-524B-4529-94FA-D8FEC90628C4}</author>
  </authors>
  <commentList>
    <comment ref="D1" authorId="0" shapeId="0" xr:uid="{2CE6D14A-524B-4529-94FA-D8FEC90628C4}">
      <text>
        <t>[Threaded comment]
Your version of Excel allows you to read this threaded comment; however, any edits to it will get removed if the file is opened in a newer version of Excel. Learn more: https://go.microsoft.com/fwlink/?linkid=870924
Comment:
    AEQ based on ACH of 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tc={165EF534-4BF2-4E29-9565-8DFA50480CB7}</author>
  </authors>
  <commentList>
    <comment ref="D1" authorId="0" shapeId="0" xr:uid="{165EF534-4BF2-4E29-9565-8DFA50480CB7}">
      <text>
        <t>[Threaded comment]
Your version of Excel allows you to read this threaded comment; however, any edits to it will get removed if the file is opened in a newer version of Excel. Learn more: https://go.microsoft.com/fwlink/?linkid=870924
Comment:
    AEQ based on ACH of 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<sst xmlns="http://schemas.openxmlformats.org/spreadsheetml/2006/main" count="6647" uniqueCount="1544">
  <si>
    <t>Ac-225</t>
  </si>
  <si>
    <t>Am-241</t>
  </si>
  <si>
    <t>At-217</t>
  </si>
  <si>
    <t>At-218</t>
  </si>
  <si>
    <t>Ba-137m</t>
  </si>
  <si>
    <t>Bi-210</t>
  </si>
  <si>
    <t>Bi-213</t>
  </si>
  <si>
    <t>Bi-214</t>
  </si>
  <si>
    <t>Cs-137</t>
  </si>
  <si>
    <t>Fr-221</t>
  </si>
  <si>
    <t>Hg-206</t>
  </si>
  <si>
    <t>Np-237</t>
  </si>
  <si>
    <t>Pa-233</t>
  </si>
  <si>
    <t>Pb-209</t>
  </si>
  <si>
    <t>Pb-210</t>
  </si>
  <si>
    <t>Pb-214</t>
  </si>
  <si>
    <t>Po-210</t>
  </si>
  <si>
    <t>Po-213</t>
  </si>
  <si>
    <t>Po-214</t>
  </si>
  <si>
    <t>Po-218</t>
  </si>
  <si>
    <t>Ra-225</t>
  </si>
  <si>
    <t>Ra-226</t>
  </si>
  <si>
    <t>Rn-218</t>
  </si>
  <si>
    <t>Rn-222</t>
  </si>
  <si>
    <t>Th-229</t>
  </si>
  <si>
    <t>Tl-206</t>
  </si>
  <si>
    <t>Tl-209</t>
  </si>
  <si>
    <t>Tl-210</t>
  </si>
  <si>
    <t>U-233</t>
  </si>
  <si>
    <t>ACFGP</t>
  </si>
  <si>
    <t>ACFSV</t>
  </si>
  <si>
    <t>ACFSV1</t>
  </si>
  <si>
    <t>ACFSV5</t>
  </si>
  <si>
    <t>ACFSV15</t>
  </si>
  <si>
    <t>GSFGP</t>
  </si>
  <si>
    <t>GSFSV</t>
  </si>
  <si>
    <t>GSFSV1</t>
  </si>
  <si>
    <t>GSFSV5</t>
  </si>
  <si>
    <t>GSFSV15</t>
  </si>
  <si>
    <t>Radionuclide</t>
  </si>
  <si>
    <t>General</t>
  </si>
  <si>
    <t>Resident</t>
  </si>
  <si>
    <t>Recreator</t>
  </si>
  <si>
    <t>years</t>
  </si>
  <si>
    <t>m3/day</t>
  </si>
  <si>
    <t>mg/day</t>
  </si>
  <si>
    <t>L/day</t>
  </si>
  <si>
    <t>g/day</t>
  </si>
  <si>
    <t>days/year</t>
  </si>
  <si>
    <t>hours/event</t>
  </si>
  <si>
    <t>hours/day</t>
  </si>
  <si>
    <t>events/day</t>
  </si>
  <si>
    <r>
      <t xml:space="preserve">ED </t>
    </r>
    <r>
      <rPr>
        <vertAlign val="subscript"/>
        <sz val="11"/>
        <color theme="1"/>
        <rFont val="Calibri"/>
        <family val="2"/>
        <scheme val="minor"/>
      </rPr>
      <t>res-c</t>
    </r>
  </si>
  <si>
    <r>
      <t xml:space="preserve">ED </t>
    </r>
    <r>
      <rPr>
        <vertAlign val="subscript"/>
        <sz val="11"/>
        <color theme="1"/>
        <rFont val="Calibri"/>
        <family val="2"/>
        <scheme val="minor"/>
      </rPr>
      <t>rec-c</t>
    </r>
  </si>
  <si>
    <r>
      <t xml:space="preserve">ED </t>
    </r>
    <r>
      <rPr>
        <vertAlign val="subscript"/>
        <sz val="11"/>
        <color theme="1"/>
        <rFont val="Calibri"/>
        <family val="2"/>
        <scheme val="minor"/>
      </rPr>
      <t>far-c</t>
    </r>
  </si>
  <si>
    <r>
      <t xml:space="preserve">ED </t>
    </r>
    <r>
      <rPr>
        <vertAlign val="subscript"/>
        <sz val="11"/>
        <color theme="1"/>
        <rFont val="Calibri"/>
        <family val="2"/>
        <scheme val="minor"/>
      </rPr>
      <t>res-a</t>
    </r>
  </si>
  <si>
    <r>
      <t xml:space="preserve">ED </t>
    </r>
    <r>
      <rPr>
        <vertAlign val="subscript"/>
        <sz val="11"/>
        <color theme="1"/>
        <rFont val="Calibri"/>
        <family val="2"/>
        <scheme val="minor"/>
      </rPr>
      <t>rec-a</t>
    </r>
  </si>
  <si>
    <r>
      <t xml:space="preserve">ED </t>
    </r>
    <r>
      <rPr>
        <vertAlign val="subscript"/>
        <sz val="11"/>
        <color theme="1"/>
        <rFont val="Calibri"/>
        <family val="2"/>
        <scheme val="minor"/>
      </rPr>
      <t>far-a</t>
    </r>
  </si>
  <si>
    <r>
      <t xml:space="preserve">ED </t>
    </r>
    <r>
      <rPr>
        <vertAlign val="subscript"/>
        <sz val="11"/>
        <color theme="1"/>
        <rFont val="Calibri"/>
        <family val="2"/>
        <scheme val="minor"/>
      </rPr>
      <t>res</t>
    </r>
  </si>
  <si>
    <r>
      <t xml:space="preserve">ED </t>
    </r>
    <r>
      <rPr>
        <vertAlign val="subscript"/>
        <sz val="11"/>
        <color theme="1"/>
        <rFont val="Calibri"/>
        <family val="2"/>
        <scheme val="minor"/>
      </rPr>
      <t>rec</t>
    </r>
  </si>
  <si>
    <r>
      <t xml:space="preserve">ED </t>
    </r>
    <r>
      <rPr>
        <vertAlign val="subscript"/>
        <sz val="11"/>
        <color theme="1"/>
        <rFont val="Calibri"/>
        <family val="2"/>
        <scheme val="minor"/>
      </rPr>
      <t>far</t>
    </r>
  </si>
  <si>
    <r>
      <t xml:space="preserve">IRA </t>
    </r>
    <r>
      <rPr>
        <vertAlign val="subscript"/>
        <sz val="11"/>
        <color theme="1"/>
        <rFont val="Calibri"/>
        <family val="2"/>
        <scheme val="minor"/>
      </rPr>
      <t>res-c</t>
    </r>
  </si>
  <si>
    <r>
      <t xml:space="preserve">IRA </t>
    </r>
    <r>
      <rPr>
        <vertAlign val="subscript"/>
        <sz val="11"/>
        <color theme="1"/>
        <rFont val="Calibri"/>
        <family val="2"/>
        <scheme val="minor"/>
      </rPr>
      <t>res-a</t>
    </r>
  </si>
  <si>
    <r>
      <t xml:space="preserve">IRS </t>
    </r>
    <r>
      <rPr>
        <vertAlign val="subscript"/>
        <sz val="11"/>
        <color theme="1"/>
        <rFont val="Calibri"/>
        <family val="2"/>
        <scheme val="minor"/>
      </rPr>
      <t>res-c</t>
    </r>
  </si>
  <si>
    <r>
      <t xml:space="preserve">IRS </t>
    </r>
    <r>
      <rPr>
        <vertAlign val="subscript"/>
        <sz val="11"/>
        <color theme="1"/>
        <rFont val="Calibri"/>
        <family val="2"/>
        <scheme val="minor"/>
      </rPr>
      <t>res-a</t>
    </r>
  </si>
  <si>
    <r>
      <t xml:space="preserve">IRW </t>
    </r>
    <r>
      <rPr>
        <vertAlign val="subscript"/>
        <sz val="11"/>
        <color theme="1"/>
        <rFont val="Calibri"/>
        <family val="2"/>
        <scheme val="minor"/>
      </rPr>
      <t>res-c</t>
    </r>
  </si>
  <si>
    <r>
      <t xml:space="preserve">IRW </t>
    </r>
    <r>
      <rPr>
        <vertAlign val="subscript"/>
        <sz val="11"/>
        <color theme="1"/>
        <rFont val="Calibri"/>
        <family val="2"/>
        <scheme val="minor"/>
      </rPr>
      <t>res-a</t>
    </r>
  </si>
  <si>
    <r>
      <t xml:space="preserve">IRF </t>
    </r>
    <r>
      <rPr>
        <vertAlign val="subscript"/>
        <sz val="11"/>
        <color theme="1"/>
        <rFont val="Calibri"/>
        <family val="2"/>
        <scheme val="minor"/>
      </rPr>
      <t>res</t>
    </r>
  </si>
  <si>
    <r>
      <t xml:space="preserve">EF </t>
    </r>
    <r>
      <rPr>
        <vertAlign val="subscript"/>
        <sz val="11"/>
        <color theme="1"/>
        <rFont val="Calibri"/>
        <family val="2"/>
        <scheme val="minor"/>
      </rPr>
      <t>res-c</t>
    </r>
  </si>
  <si>
    <r>
      <t xml:space="preserve">EF </t>
    </r>
    <r>
      <rPr>
        <vertAlign val="subscript"/>
        <sz val="11"/>
        <color theme="1"/>
        <rFont val="Calibri"/>
        <family val="2"/>
        <scheme val="minor"/>
      </rPr>
      <t>res-a</t>
    </r>
  </si>
  <si>
    <r>
      <t xml:space="preserve">EF </t>
    </r>
    <r>
      <rPr>
        <vertAlign val="subscript"/>
        <sz val="11"/>
        <color theme="1"/>
        <rFont val="Calibri"/>
        <family val="2"/>
        <scheme val="minor"/>
      </rPr>
      <t>res</t>
    </r>
  </si>
  <si>
    <r>
      <t xml:space="preserve">ET </t>
    </r>
    <r>
      <rPr>
        <vertAlign val="subscript"/>
        <sz val="11"/>
        <color theme="1"/>
        <rFont val="Calibri"/>
        <family val="2"/>
        <scheme val="minor"/>
      </rPr>
      <t>event-res-c</t>
    </r>
  </si>
  <si>
    <r>
      <t xml:space="preserve">ET </t>
    </r>
    <r>
      <rPr>
        <vertAlign val="subscript"/>
        <sz val="11"/>
        <color theme="1"/>
        <rFont val="Calibri"/>
        <family val="2"/>
        <scheme val="minor"/>
      </rPr>
      <t>event-res-a</t>
    </r>
  </si>
  <si>
    <r>
      <t xml:space="preserve">ET </t>
    </r>
    <r>
      <rPr>
        <vertAlign val="subscript"/>
        <sz val="11"/>
        <color theme="1"/>
        <rFont val="Calibri"/>
        <family val="2"/>
        <scheme val="minor"/>
      </rPr>
      <t>res-c</t>
    </r>
  </si>
  <si>
    <r>
      <t xml:space="preserve">ET </t>
    </r>
    <r>
      <rPr>
        <vertAlign val="subscript"/>
        <sz val="11"/>
        <color theme="1"/>
        <rFont val="Calibri"/>
        <family val="2"/>
        <scheme val="minor"/>
      </rPr>
      <t>res-a</t>
    </r>
  </si>
  <si>
    <r>
      <t xml:space="preserve">ET </t>
    </r>
    <r>
      <rPr>
        <vertAlign val="subscript"/>
        <sz val="11"/>
        <color theme="1"/>
        <rFont val="Calibri"/>
        <family val="2"/>
        <scheme val="minor"/>
      </rPr>
      <t>res</t>
    </r>
  </si>
  <si>
    <r>
      <t xml:space="preserve">EV </t>
    </r>
    <r>
      <rPr>
        <vertAlign val="subscript"/>
        <sz val="11"/>
        <color theme="1"/>
        <rFont val="Calibri"/>
        <family val="2"/>
        <scheme val="minor"/>
      </rPr>
      <t>res-c</t>
    </r>
  </si>
  <si>
    <r>
      <t xml:space="preserve">EV </t>
    </r>
    <r>
      <rPr>
        <vertAlign val="subscript"/>
        <sz val="11"/>
        <color theme="1"/>
        <rFont val="Calibri"/>
        <family val="2"/>
        <scheme val="minor"/>
      </rPr>
      <t>res-a</t>
    </r>
  </si>
  <si>
    <r>
      <t xml:space="preserve">t </t>
    </r>
    <r>
      <rPr>
        <vertAlign val="subscript"/>
        <sz val="11"/>
        <color theme="1"/>
        <rFont val="Calibri"/>
        <family val="2"/>
        <scheme val="minor"/>
      </rPr>
      <t>res</t>
    </r>
  </si>
  <si>
    <r>
      <t xml:space="preserve">t </t>
    </r>
    <r>
      <rPr>
        <vertAlign val="subscript"/>
        <sz val="11"/>
        <color theme="1"/>
        <rFont val="Calibri"/>
        <family val="2"/>
        <scheme val="minor"/>
      </rPr>
      <t>rec</t>
    </r>
  </si>
  <si>
    <r>
      <t xml:space="preserve">t </t>
    </r>
    <r>
      <rPr>
        <vertAlign val="subscript"/>
        <sz val="11"/>
        <color theme="1"/>
        <rFont val="Calibri"/>
        <family val="2"/>
        <scheme val="minor"/>
      </rPr>
      <t>far</t>
    </r>
  </si>
  <si>
    <r>
      <t xml:space="preserve">GSF </t>
    </r>
    <r>
      <rPr>
        <vertAlign val="subscript"/>
        <sz val="11"/>
        <color theme="1"/>
        <rFont val="Calibri"/>
        <family val="2"/>
        <scheme val="minor"/>
      </rPr>
      <t>a</t>
    </r>
  </si>
  <si>
    <r>
      <t xml:space="preserve">GSF </t>
    </r>
    <r>
      <rPr>
        <vertAlign val="subscript"/>
        <sz val="11"/>
        <color theme="1"/>
        <rFont val="Calibri"/>
        <family val="2"/>
        <scheme val="minor"/>
      </rPr>
      <t>i</t>
    </r>
  </si>
  <si>
    <r>
      <t xml:space="preserve">ET </t>
    </r>
    <r>
      <rPr>
        <vertAlign val="subscript"/>
        <sz val="11"/>
        <rFont val="Calibri"/>
        <family val="2"/>
        <scheme val="minor"/>
      </rPr>
      <t>res-o</t>
    </r>
  </si>
  <si>
    <r>
      <t xml:space="preserve">ET </t>
    </r>
    <r>
      <rPr>
        <vertAlign val="subscript"/>
        <sz val="11"/>
        <rFont val="Calibri"/>
        <family val="2"/>
        <scheme val="minor"/>
      </rPr>
      <t>res-i</t>
    </r>
  </si>
  <si>
    <r>
      <t xml:space="preserve">CF </t>
    </r>
    <r>
      <rPr>
        <vertAlign val="subscript"/>
        <sz val="11"/>
        <color theme="1"/>
        <rFont val="Calibri"/>
        <family val="2"/>
        <scheme val="minor"/>
      </rPr>
      <t>res-fish</t>
    </r>
  </si>
  <si>
    <t>m^3/day</t>
  </si>
  <si>
    <t>L/hour</t>
  </si>
  <si>
    <t>kg/day</t>
  </si>
  <si>
    <t>unitless</t>
  </si>
  <si>
    <t>K</t>
  </si>
  <si>
    <r>
      <t xml:space="preserve">EV </t>
    </r>
    <r>
      <rPr>
        <vertAlign val="subscript"/>
        <sz val="11"/>
        <color theme="1"/>
        <rFont val="Calibri"/>
        <family val="2"/>
        <scheme val="minor"/>
      </rPr>
      <t>rec-c</t>
    </r>
  </si>
  <si>
    <r>
      <t xml:space="preserve">EV </t>
    </r>
    <r>
      <rPr>
        <vertAlign val="subscript"/>
        <sz val="11"/>
        <color theme="1"/>
        <rFont val="Calibri"/>
        <family val="2"/>
        <scheme val="minor"/>
      </rPr>
      <t>rec-a</t>
    </r>
  </si>
  <si>
    <r>
      <t xml:space="preserve">EF </t>
    </r>
    <r>
      <rPr>
        <vertAlign val="subscript"/>
        <sz val="11"/>
        <color theme="1"/>
        <rFont val="Calibri"/>
        <family val="2"/>
        <scheme val="minor"/>
      </rPr>
      <t>rec-c</t>
    </r>
  </si>
  <si>
    <r>
      <t xml:space="preserve">EF </t>
    </r>
    <r>
      <rPr>
        <vertAlign val="subscript"/>
        <sz val="11"/>
        <color theme="1"/>
        <rFont val="Calibri"/>
        <family val="2"/>
        <scheme val="minor"/>
      </rPr>
      <t>rec-a</t>
    </r>
  </si>
  <si>
    <r>
      <t xml:space="preserve">EF </t>
    </r>
    <r>
      <rPr>
        <vertAlign val="subscript"/>
        <sz val="11"/>
        <color theme="1"/>
        <rFont val="Calibri"/>
        <family val="2"/>
        <scheme val="minor"/>
      </rPr>
      <t>rec</t>
    </r>
  </si>
  <si>
    <r>
      <t xml:space="preserve">ET </t>
    </r>
    <r>
      <rPr>
        <vertAlign val="subscript"/>
        <sz val="11"/>
        <color theme="1"/>
        <rFont val="Calibri"/>
        <family val="2"/>
        <scheme val="minor"/>
      </rPr>
      <t>rec</t>
    </r>
  </si>
  <si>
    <r>
      <t xml:space="preserve">ET </t>
    </r>
    <r>
      <rPr>
        <vertAlign val="subscript"/>
        <sz val="11"/>
        <color theme="1"/>
        <rFont val="Calibri"/>
        <family val="2"/>
        <scheme val="minor"/>
      </rPr>
      <t>rec-c</t>
    </r>
  </si>
  <si>
    <r>
      <t xml:space="preserve">ET </t>
    </r>
    <r>
      <rPr>
        <vertAlign val="subscript"/>
        <sz val="11"/>
        <color theme="1"/>
        <rFont val="Calibri"/>
        <family val="2"/>
        <scheme val="minor"/>
      </rPr>
      <t>rec-a</t>
    </r>
  </si>
  <si>
    <r>
      <t xml:space="preserve">Q </t>
    </r>
    <r>
      <rPr>
        <vertAlign val="subscript"/>
        <sz val="11"/>
        <rFont val="Calibri"/>
        <family val="2"/>
        <scheme val="minor"/>
      </rPr>
      <t>w-game</t>
    </r>
  </si>
  <si>
    <r>
      <t xml:space="preserve">f </t>
    </r>
    <r>
      <rPr>
        <vertAlign val="subscript"/>
        <sz val="11"/>
        <rFont val="Calibri"/>
        <family val="2"/>
        <scheme val="minor"/>
      </rPr>
      <t>s-game</t>
    </r>
  </si>
  <si>
    <r>
      <t xml:space="preserve">f </t>
    </r>
    <r>
      <rPr>
        <vertAlign val="subscript"/>
        <sz val="11"/>
        <rFont val="Calibri"/>
        <family val="2"/>
        <scheme val="minor"/>
      </rPr>
      <t>p-game</t>
    </r>
  </si>
  <si>
    <r>
      <t xml:space="preserve">Q </t>
    </r>
    <r>
      <rPr>
        <vertAlign val="subscript"/>
        <sz val="11"/>
        <rFont val="Calibri"/>
        <family val="2"/>
        <scheme val="minor"/>
      </rPr>
      <t>s-game</t>
    </r>
  </si>
  <si>
    <r>
      <t xml:space="preserve">Q </t>
    </r>
    <r>
      <rPr>
        <vertAlign val="subscript"/>
        <sz val="11"/>
        <rFont val="Calibri"/>
        <family val="2"/>
        <scheme val="minor"/>
      </rPr>
      <t>p-game</t>
    </r>
  </si>
  <si>
    <r>
      <t xml:space="preserve">Q </t>
    </r>
    <r>
      <rPr>
        <vertAlign val="subscript"/>
        <sz val="11"/>
        <rFont val="Calibri"/>
        <family val="2"/>
        <scheme val="minor"/>
      </rPr>
      <t>w-fowl</t>
    </r>
  </si>
  <si>
    <r>
      <t xml:space="preserve">f </t>
    </r>
    <r>
      <rPr>
        <vertAlign val="subscript"/>
        <sz val="11"/>
        <rFont val="Calibri"/>
        <family val="2"/>
        <scheme val="minor"/>
      </rPr>
      <t>s-fowl</t>
    </r>
  </si>
  <si>
    <r>
      <t xml:space="preserve">f </t>
    </r>
    <r>
      <rPr>
        <vertAlign val="subscript"/>
        <sz val="11"/>
        <rFont val="Calibri"/>
        <family val="2"/>
        <scheme val="minor"/>
      </rPr>
      <t>p-fowl</t>
    </r>
  </si>
  <si>
    <r>
      <t xml:space="preserve">Q </t>
    </r>
    <r>
      <rPr>
        <vertAlign val="subscript"/>
        <sz val="11"/>
        <rFont val="Calibri"/>
        <family val="2"/>
        <scheme val="minor"/>
      </rPr>
      <t>s-fowl</t>
    </r>
  </si>
  <si>
    <r>
      <t xml:space="preserve">Q </t>
    </r>
    <r>
      <rPr>
        <vertAlign val="subscript"/>
        <sz val="11"/>
        <rFont val="Calibri"/>
        <family val="2"/>
        <scheme val="minor"/>
      </rPr>
      <t>p-fowl</t>
    </r>
  </si>
  <si>
    <r>
      <t xml:space="preserve">IRA </t>
    </r>
    <r>
      <rPr>
        <vertAlign val="subscript"/>
        <sz val="11"/>
        <color theme="1"/>
        <rFont val="Calibri"/>
        <family val="2"/>
        <scheme val="minor"/>
      </rPr>
      <t>rec-c</t>
    </r>
  </si>
  <si>
    <r>
      <t xml:space="preserve">IRA </t>
    </r>
    <r>
      <rPr>
        <vertAlign val="subscript"/>
        <sz val="11"/>
        <color theme="1"/>
        <rFont val="Calibri"/>
        <family val="2"/>
        <scheme val="minor"/>
      </rPr>
      <t>rec-a</t>
    </r>
  </si>
  <si>
    <r>
      <t xml:space="preserve">IRW </t>
    </r>
    <r>
      <rPr>
        <vertAlign val="subscript"/>
        <sz val="11"/>
        <color theme="1"/>
        <rFont val="Calibri"/>
        <family val="2"/>
        <scheme val="minor"/>
      </rPr>
      <t>rec-c</t>
    </r>
  </si>
  <si>
    <r>
      <t xml:space="preserve">IRW </t>
    </r>
    <r>
      <rPr>
        <vertAlign val="subscript"/>
        <sz val="11"/>
        <color theme="1"/>
        <rFont val="Calibri"/>
        <family val="2"/>
        <scheme val="minor"/>
      </rPr>
      <t>rec-a</t>
    </r>
  </si>
  <si>
    <r>
      <t xml:space="preserve">IRS </t>
    </r>
    <r>
      <rPr>
        <vertAlign val="subscript"/>
        <sz val="11"/>
        <color theme="1"/>
        <rFont val="Calibri"/>
        <family val="2"/>
        <scheme val="minor"/>
      </rPr>
      <t>rec-c</t>
    </r>
  </si>
  <si>
    <r>
      <t xml:space="preserve">IRS </t>
    </r>
    <r>
      <rPr>
        <vertAlign val="subscript"/>
        <sz val="11"/>
        <color theme="1"/>
        <rFont val="Calibri"/>
        <family val="2"/>
        <scheme val="minor"/>
      </rPr>
      <t>rec-a</t>
    </r>
  </si>
  <si>
    <t>hour/event</t>
  </si>
  <si>
    <t>event/day</t>
  </si>
  <si>
    <t>Ir</t>
  </si>
  <si>
    <t>L/m^2-day</t>
  </si>
  <si>
    <t>F</t>
  </si>
  <si>
    <t>day</t>
  </si>
  <si>
    <t>P</t>
  </si>
  <si>
    <t>kg/m^2</t>
  </si>
  <si>
    <t>lambda HL</t>
  </si>
  <si>
    <t>1/day</t>
  </si>
  <si>
    <t>T</t>
  </si>
  <si>
    <t>days</t>
  </si>
  <si>
    <t>kg/L</t>
  </si>
  <si>
    <r>
      <t xml:space="preserve">IRS </t>
    </r>
    <r>
      <rPr>
        <vertAlign val="subscript"/>
        <sz val="11"/>
        <color theme="1"/>
        <rFont val="Calibri"/>
        <family val="2"/>
        <scheme val="minor"/>
      </rPr>
      <t>far-c</t>
    </r>
  </si>
  <si>
    <r>
      <t xml:space="preserve">IRS </t>
    </r>
    <r>
      <rPr>
        <vertAlign val="subscript"/>
        <sz val="11"/>
        <color theme="1"/>
        <rFont val="Calibri"/>
        <family val="2"/>
        <scheme val="minor"/>
      </rPr>
      <t>far-a</t>
    </r>
  </si>
  <si>
    <r>
      <t xml:space="preserve">IRA </t>
    </r>
    <r>
      <rPr>
        <vertAlign val="subscript"/>
        <sz val="11"/>
        <color theme="1"/>
        <rFont val="Calibri"/>
        <family val="2"/>
        <scheme val="minor"/>
      </rPr>
      <t>far-c</t>
    </r>
  </si>
  <si>
    <r>
      <t xml:space="preserve">IRA </t>
    </r>
    <r>
      <rPr>
        <vertAlign val="subscript"/>
        <sz val="11"/>
        <color theme="1"/>
        <rFont val="Calibri"/>
        <family val="2"/>
        <scheme val="minor"/>
      </rPr>
      <t>far-a</t>
    </r>
  </si>
  <si>
    <r>
      <t xml:space="preserve">IRW </t>
    </r>
    <r>
      <rPr>
        <vertAlign val="subscript"/>
        <sz val="11"/>
        <color theme="1"/>
        <rFont val="Calibri"/>
        <family val="2"/>
        <scheme val="minor"/>
      </rPr>
      <t>far-c</t>
    </r>
  </si>
  <si>
    <r>
      <t xml:space="preserve">IRW </t>
    </r>
    <r>
      <rPr>
        <vertAlign val="subscript"/>
        <sz val="11"/>
        <color theme="1"/>
        <rFont val="Calibri"/>
        <family val="2"/>
        <scheme val="minor"/>
      </rPr>
      <t>far-a</t>
    </r>
  </si>
  <si>
    <r>
      <t xml:space="preserve">IRD </t>
    </r>
    <r>
      <rPr>
        <vertAlign val="subscript"/>
        <sz val="11"/>
        <rFont val="Calibri"/>
        <family val="2"/>
        <scheme val="minor"/>
      </rPr>
      <t>far-c</t>
    </r>
  </si>
  <si>
    <r>
      <t xml:space="preserve">IRD </t>
    </r>
    <r>
      <rPr>
        <vertAlign val="subscript"/>
        <sz val="11"/>
        <rFont val="Calibri"/>
        <family val="2"/>
        <scheme val="minor"/>
      </rPr>
      <t>far-a</t>
    </r>
  </si>
  <si>
    <r>
      <t xml:space="preserve">IRB </t>
    </r>
    <r>
      <rPr>
        <vertAlign val="subscript"/>
        <sz val="11"/>
        <rFont val="Calibri"/>
        <family val="2"/>
        <scheme val="minor"/>
      </rPr>
      <t>far-c</t>
    </r>
  </si>
  <si>
    <r>
      <t xml:space="preserve">IRB </t>
    </r>
    <r>
      <rPr>
        <vertAlign val="subscript"/>
        <sz val="11"/>
        <rFont val="Calibri"/>
        <family val="2"/>
        <scheme val="minor"/>
      </rPr>
      <t>far-a</t>
    </r>
  </si>
  <si>
    <r>
      <t xml:space="preserve">IRE </t>
    </r>
    <r>
      <rPr>
        <vertAlign val="subscript"/>
        <sz val="11"/>
        <rFont val="Calibri"/>
        <family val="2"/>
        <scheme val="minor"/>
      </rPr>
      <t>far-c</t>
    </r>
  </si>
  <si>
    <r>
      <t xml:space="preserve">IRE </t>
    </r>
    <r>
      <rPr>
        <vertAlign val="subscript"/>
        <sz val="11"/>
        <rFont val="Calibri"/>
        <family val="2"/>
        <scheme val="minor"/>
      </rPr>
      <t>far-a</t>
    </r>
  </si>
  <si>
    <r>
      <t xml:space="preserve">IRFI </t>
    </r>
    <r>
      <rPr>
        <vertAlign val="subscript"/>
        <sz val="11"/>
        <rFont val="Calibri"/>
        <family val="2"/>
        <scheme val="minor"/>
      </rPr>
      <t>far-c</t>
    </r>
  </si>
  <si>
    <r>
      <t xml:space="preserve">IRFI </t>
    </r>
    <r>
      <rPr>
        <vertAlign val="subscript"/>
        <sz val="11"/>
        <rFont val="Calibri"/>
        <family val="2"/>
        <scheme val="minor"/>
      </rPr>
      <t>far-a</t>
    </r>
  </si>
  <si>
    <r>
      <t xml:space="preserve">IRP </t>
    </r>
    <r>
      <rPr>
        <vertAlign val="subscript"/>
        <sz val="11"/>
        <rFont val="Calibri"/>
        <family val="2"/>
        <scheme val="minor"/>
      </rPr>
      <t>far-c</t>
    </r>
  </si>
  <si>
    <r>
      <t xml:space="preserve">IRP </t>
    </r>
    <r>
      <rPr>
        <vertAlign val="subscript"/>
        <sz val="11"/>
        <rFont val="Calibri"/>
        <family val="2"/>
        <scheme val="minor"/>
      </rPr>
      <t>far-a</t>
    </r>
  </si>
  <si>
    <r>
      <t xml:space="preserve">IRSW </t>
    </r>
    <r>
      <rPr>
        <vertAlign val="subscript"/>
        <sz val="11"/>
        <rFont val="Calibri"/>
        <family val="2"/>
        <scheme val="minor"/>
      </rPr>
      <t>far-c</t>
    </r>
  </si>
  <si>
    <r>
      <t xml:space="preserve">IRSW </t>
    </r>
    <r>
      <rPr>
        <vertAlign val="subscript"/>
        <sz val="11"/>
        <rFont val="Calibri"/>
        <family val="2"/>
        <scheme val="minor"/>
      </rPr>
      <t>far-a</t>
    </r>
  </si>
  <si>
    <r>
      <t xml:space="preserve">ET </t>
    </r>
    <r>
      <rPr>
        <vertAlign val="subscript"/>
        <sz val="11"/>
        <color theme="1"/>
        <rFont val="Calibri"/>
        <family val="2"/>
        <scheme val="minor"/>
      </rPr>
      <t>event-rec-c</t>
    </r>
  </si>
  <si>
    <r>
      <t xml:space="preserve">ET </t>
    </r>
    <r>
      <rPr>
        <vertAlign val="subscript"/>
        <sz val="11"/>
        <color theme="1"/>
        <rFont val="Calibri"/>
        <family val="2"/>
        <scheme val="minor"/>
      </rPr>
      <t>event-rec-a</t>
    </r>
  </si>
  <si>
    <r>
      <t xml:space="preserve">EF </t>
    </r>
    <r>
      <rPr>
        <vertAlign val="subscript"/>
        <sz val="11"/>
        <color theme="1"/>
        <rFont val="Calibri"/>
        <family val="2"/>
        <scheme val="minor"/>
      </rPr>
      <t>far-c</t>
    </r>
  </si>
  <si>
    <r>
      <t xml:space="preserve">EF </t>
    </r>
    <r>
      <rPr>
        <vertAlign val="subscript"/>
        <sz val="11"/>
        <color theme="1"/>
        <rFont val="Calibri"/>
        <family val="2"/>
        <scheme val="minor"/>
      </rPr>
      <t>far-a</t>
    </r>
  </si>
  <si>
    <r>
      <t xml:space="preserve">ET </t>
    </r>
    <r>
      <rPr>
        <vertAlign val="subscript"/>
        <sz val="11"/>
        <color theme="1"/>
        <rFont val="Calibri"/>
        <family val="2"/>
        <scheme val="minor"/>
      </rPr>
      <t>far-c</t>
    </r>
  </si>
  <si>
    <r>
      <t xml:space="preserve">ET </t>
    </r>
    <r>
      <rPr>
        <vertAlign val="subscript"/>
        <sz val="11"/>
        <color theme="1"/>
        <rFont val="Calibri"/>
        <family val="2"/>
        <scheme val="minor"/>
      </rPr>
      <t>far-a</t>
    </r>
  </si>
  <si>
    <r>
      <t xml:space="preserve">ET </t>
    </r>
    <r>
      <rPr>
        <vertAlign val="subscript"/>
        <sz val="11"/>
        <color theme="1"/>
        <rFont val="Calibri"/>
        <family val="2"/>
        <scheme val="minor"/>
      </rPr>
      <t>far</t>
    </r>
  </si>
  <si>
    <r>
      <t xml:space="preserve">ET </t>
    </r>
    <r>
      <rPr>
        <vertAlign val="subscript"/>
        <sz val="11"/>
        <color theme="1"/>
        <rFont val="Calibri"/>
        <family val="2"/>
        <scheme val="minor"/>
      </rPr>
      <t>event-far-c</t>
    </r>
  </si>
  <si>
    <r>
      <t xml:space="preserve">ET </t>
    </r>
    <r>
      <rPr>
        <vertAlign val="subscript"/>
        <sz val="11"/>
        <color theme="1"/>
        <rFont val="Calibri"/>
        <family val="2"/>
        <scheme val="minor"/>
      </rPr>
      <t>event-far-a</t>
    </r>
  </si>
  <si>
    <r>
      <t xml:space="preserve">ET </t>
    </r>
    <r>
      <rPr>
        <vertAlign val="subscript"/>
        <sz val="11"/>
        <rFont val="Calibri"/>
        <family val="2"/>
        <scheme val="minor"/>
      </rPr>
      <t>far-o</t>
    </r>
  </si>
  <si>
    <r>
      <t xml:space="preserve">ET </t>
    </r>
    <r>
      <rPr>
        <vertAlign val="subscript"/>
        <sz val="11"/>
        <rFont val="Calibri"/>
        <family val="2"/>
        <scheme val="minor"/>
      </rPr>
      <t>far-i</t>
    </r>
  </si>
  <si>
    <r>
      <t xml:space="preserve">EV </t>
    </r>
    <r>
      <rPr>
        <vertAlign val="subscript"/>
        <sz val="11"/>
        <color theme="1"/>
        <rFont val="Calibri"/>
        <family val="2"/>
        <scheme val="minor"/>
      </rPr>
      <t>far-c</t>
    </r>
  </si>
  <si>
    <r>
      <t xml:space="preserve">EV </t>
    </r>
    <r>
      <rPr>
        <vertAlign val="subscript"/>
        <sz val="11"/>
        <color theme="1"/>
        <rFont val="Calibri"/>
        <family val="2"/>
        <scheme val="minor"/>
      </rPr>
      <t>far-a</t>
    </r>
  </si>
  <si>
    <r>
      <t xml:space="preserve">DF </t>
    </r>
    <r>
      <rPr>
        <vertAlign val="subscript"/>
        <sz val="11"/>
        <rFont val="Calibri"/>
        <family val="2"/>
        <scheme val="minor"/>
      </rPr>
      <t>i</t>
    </r>
  </si>
  <si>
    <r>
      <t xml:space="preserve">CF </t>
    </r>
    <r>
      <rPr>
        <vertAlign val="subscript"/>
        <sz val="11"/>
        <rFont val="Calibri"/>
        <family val="2"/>
        <scheme val="minor"/>
      </rPr>
      <t>far-dairy</t>
    </r>
  </si>
  <si>
    <r>
      <t xml:space="preserve">CF </t>
    </r>
    <r>
      <rPr>
        <vertAlign val="subscript"/>
        <sz val="11"/>
        <rFont val="Calibri"/>
        <family val="2"/>
        <scheme val="minor"/>
      </rPr>
      <t>far-beef</t>
    </r>
  </si>
  <si>
    <r>
      <t xml:space="preserve">CF </t>
    </r>
    <r>
      <rPr>
        <vertAlign val="subscript"/>
        <sz val="11"/>
        <rFont val="Calibri"/>
        <family val="2"/>
        <scheme val="minor"/>
      </rPr>
      <t>far-fish</t>
    </r>
  </si>
  <si>
    <r>
      <t xml:space="preserve">CF </t>
    </r>
    <r>
      <rPr>
        <vertAlign val="subscript"/>
        <sz val="11"/>
        <rFont val="Calibri"/>
        <family val="2"/>
        <scheme val="minor"/>
      </rPr>
      <t>far-poultry</t>
    </r>
  </si>
  <si>
    <r>
      <t xml:space="preserve">CF </t>
    </r>
    <r>
      <rPr>
        <vertAlign val="subscript"/>
        <sz val="11"/>
        <rFont val="Calibri"/>
        <family val="2"/>
        <scheme val="minor"/>
      </rPr>
      <t>far-swine</t>
    </r>
  </si>
  <si>
    <r>
      <t xml:space="preserve">Q </t>
    </r>
    <r>
      <rPr>
        <vertAlign val="subscript"/>
        <sz val="11"/>
        <rFont val="Calibri"/>
        <family val="2"/>
        <scheme val="minor"/>
      </rPr>
      <t>w dairy</t>
    </r>
  </si>
  <si>
    <r>
      <t xml:space="preserve">Q </t>
    </r>
    <r>
      <rPr>
        <vertAlign val="subscript"/>
        <sz val="11"/>
        <rFont val="Calibri"/>
        <family val="2"/>
        <scheme val="minor"/>
      </rPr>
      <t>p-dairy</t>
    </r>
  </si>
  <si>
    <r>
      <t xml:space="preserve">Q </t>
    </r>
    <r>
      <rPr>
        <vertAlign val="subscript"/>
        <sz val="11"/>
        <rFont val="Calibri"/>
        <family val="2"/>
        <scheme val="minor"/>
      </rPr>
      <t>s-dairy</t>
    </r>
  </si>
  <si>
    <r>
      <t xml:space="preserve">f </t>
    </r>
    <r>
      <rPr>
        <vertAlign val="subscript"/>
        <sz val="11"/>
        <rFont val="Calibri"/>
        <family val="2"/>
        <scheme val="minor"/>
      </rPr>
      <t>p-dairy</t>
    </r>
  </si>
  <si>
    <r>
      <t xml:space="preserve">f </t>
    </r>
    <r>
      <rPr>
        <vertAlign val="subscript"/>
        <sz val="11"/>
        <rFont val="Calibri"/>
        <family val="2"/>
        <scheme val="minor"/>
      </rPr>
      <t>s-dairy</t>
    </r>
  </si>
  <si>
    <r>
      <t xml:space="preserve">Q </t>
    </r>
    <r>
      <rPr>
        <vertAlign val="subscript"/>
        <sz val="11"/>
        <rFont val="Calibri"/>
        <family val="2"/>
        <scheme val="minor"/>
      </rPr>
      <t>p-beef</t>
    </r>
  </si>
  <si>
    <r>
      <t xml:space="preserve">Q </t>
    </r>
    <r>
      <rPr>
        <vertAlign val="subscript"/>
        <sz val="11"/>
        <rFont val="Calibri"/>
        <family val="2"/>
        <scheme val="minor"/>
      </rPr>
      <t>s-beef</t>
    </r>
  </si>
  <si>
    <r>
      <t xml:space="preserve">f </t>
    </r>
    <r>
      <rPr>
        <vertAlign val="subscript"/>
        <sz val="11"/>
        <rFont val="Calibri"/>
        <family val="2"/>
        <scheme val="minor"/>
      </rPr>
      <t>p-beef</t>
    </r>
  </si>
  <si>
    <r>
      <t xml:space="preserve">f </t>
    </r>
    <r>
      <rPr>
        <vertAlign val="subscript"/>
        <sz val="11"/>
        <rFont val="Calibri"/>
        <family val="2"/>
        <scheme val="minor"/>
      </rPr>
      <t>s-beef</t>
    </r>
  </si>
  <si>
    <r>
      <t xml:space="preserve">Q </t>
    </r>
    <r>
      <rPr>
        <vertAlign val="subscript"/>
        <sz val="11"/>
        <rFont val="Calibri"/>
        <family val="2"/>
        <scheme val="minor"/>
      </rPr>
      <t>w-egg</t>
    </r>
  </si>
  <si>
    <r>
      <t xml:space="preserve">Q </t>
    </r>
    <r>
      <rPr>
        <vertAlign val="subscript"/>
        <sz val="11"/>
        <rFont val="Calibri"/>
        <family val="2"/>
        <scheme val="minor"/>
      </rPr>
      <t>p-egg</t>
    </r>
  </si>
  <si>
    <r>
      <t xml:space="preserve">Q </t>
    </r>
    <r>
      <rPr>
        <vertAlign val="subscript"/>
        <sz val="11"/>
        <rFont val="Calibri"/>
        <family val="2"/>
        <scheme val="minor"/>
      </rPr>
      <t>s-egg</t>
    </r>
  </si>
  <si>
    <r>
      <t xml:space="preserve">f </t>
    </r>
    <r>
      <rPr>
        <vertAlign val="subscript"/>
        <sz val="11"/>
        <rFont val="Calibri"/>
        <family val="2"/>
        <scheme val="minor"/>
      </rPr>
      <t>p-egg</t>
    </r>
  </si>
  <si>
    <r>
      <t xml:space="preserve">f </t>
    </r>
    <r>
      <rPr>
        <vertAlign val="subscript"/>
        <sz val="11"/>
        <rFont val="Calibri"/>
        <family val="2"/>
        <scheme val="minor"/>
      </rPr>
      <t>s-egg</t>
    </r>
  </si>
  <si>
    <r>
      <t xml:space="preserve">Q </t>
    </r>
    <r>
      <rPr>
        <vertAlign val="subscript"/>
        <sz val="11"/>
        <rFont val="Calibri"/>
        <family val="2"/>
        <scheme val="minor"/>
      </rPr>
      <t>w-poultry</t>
    </r>
  </si>
  <si>
    <r>
      <t xml:space="preserve">Q </t>
    </r>
    <r>
      <rPr>
        <vertAlign val="subscript"/>
        <sz val="11"/>
        <rFont val="Calibri"/>
        <family val="2"/>
        <scheme val="minor"/>
      </rPr>
      <t>w-beef</t>
    </r>
  </si>
  <si>
    <r>
      <t xml:space="preserve">f </t>
    </r>
    <r>
      <rPr>
        <vertAlign val="subscript"/>
        <sz val="11"/>
        <rFont val="Calibri"/>
        <family val="2"/>
        <scheme val="minor"/>
      </rPr>
      <t>s-swine</t>
    </r>
  </si>
  <si>
    <r>
      <t xml:space="preserve">f </t>
    </r>
    <r>
      <rPr>
        <vertAlign val="subscript"/>
        <sz val="11"/>
        <rFont val="Calibri"/>
        <family val="2"/>
        <scheme val="minor"/>
      </rPr>
      <t>p-swine</t>
    </r>
  </si>
  <si>
    <r>
      <t xml:space="preserve">Q </t>
    </r>
    <r>
      <rPr>
        <vertAlign val="subscript"/>
        <sz val="11"/>
        <rFont val="Calibri"/>
        <family val="2"/>
        <scheme val="minor"/>
      </rPr>
      <t>s-swine</t>
    </r>
  </si>
  <si>
    <r>
      <t xml:space="preserve">Q </t>
    </r>
    <r>
      <rPr>
        <vertAlign val="subscript"/>
        <sz val="11"/>
        <rFont val="Calibri"/>
        <family val="2"/>
        <scheme val="minor"/>
      </rPr>
      <t>p-swine</t>
    </r>
  </si>
  <si>
    <r>
      <t xml:space="preserve">Q </t>
    </r>
    <r>
      <rPr>
        <vertAlign val="subscript"/>
        <sz val="11"/>
        <rFont val="Calibri"/>
        <family val="2"/>
        <scheme val="minor"/>
      </rPr>
      <t>w-swine</t>
    </r>
  </si>
  <si>
    <r>
      <t xml:space="preserve">f </t>
    </r>
    <r>
      <rPr>
        <vertAlign val="subscript"/>
        <sz val="11"/>
        <rFont val="Calibri"/>
        <family val="2"/>
        <scheme val="minor"/>
      </rPr>
      <t>s-poultry</t>
    </r>
  </si>
  <si>
    <r>
      <t xml:space="preserve">f </t>
    </r>
    <r>
      <rPr>
        <vertAlign val="subscript"/>
        <sz val="11"/>
        <rFont val="Calibri"/>
        <family val="2"/>
        <scheme val="minor"/>
      </rPr>
      <t>p-poultry</t>
    </r>
  </si>
  <si>
    <r>
      <t xml:space="preserve">Q </t>
    </r>
    <r>
      <rPr>
        <vertAlign val="subscript"/>
        <sz val="11"/>
        <rFont val="Calibri"/>
        <family val="2"/>
        <scheme val="minor"/>
      </rPr>
      <t>s-poultry</t>
    </r>
  </si>
  <si>
    <r>
      <t xml:space="preserve">Q </t>
    </r>
    <r>
      <rPr>
        <vertAlign val="subscript"/>
        <sz val="11"/>
        <rFont val="Calibri"/>
        <family val="2"/>
        <scheme val="minor"/>
      </rPr>
      <t>p-poultry</t>
    </r>
  </si>
  <si>
    <t xml:space="preserve">ρb </t>
  </si>
  <si>
    <t>m/yr</t>
  </si>
  <si>
    <t>m/m</t>
  </si>
  <si>
    <t>m</t>
  </si>
  <si>
    <r>
      <t xml:space="preserve">ED </t>
    </r>
    <r>
      <rPr>
        <vertAlign val="subscript"/>
        <sz val="11"/>
        <color theme="1"/>
        <rFont val="Calibri"/>
        <family val="2"/>
        <scheme val="minor"/>
      </rPr>
      <t>s2gw</t>
    </r>
  </si>
  <si>
    <r>
      <t xml:space="preserve">K </t>
    </r>
    <r>
      <rPr>
        <vertAlign val="subscript"/>
        <sz val="11"/>
        <color theme="1"/>
        <rFont val="Calibri"/>
        <family val="2"/>
        <scheme val="minor"/>
      </rPr>
      <t>s2gw</t>
    </r>
  </si>
  <si>
    <t>KD</t>
  </si>
  <si>
    <r>
      <t xml:space="preserve">t </t>
    </r>
    <r>
      <rPr>
        <vertAlign val="subscript"/>
        <sz val="11"/>
        <rFont val="Calibri"/>
        <family val="2"/>
        <scheme val="minor"/>
      </rPr>
      <t>b</t>
    </r>
  </si>
  <si>
    <r>
      <t xml:space="preserve">t </t>
    </r>
    <r>
      <rPr>
        <vertAlign val="subscript"/>
        <sz val="11"/>
        <rFont val="Calibri"/>
        <family val="2"/>
        <scheme val="minor"/>
      </rPr>
      <t>v</t>
    </r>
  </si>
  <si>
    <r>
      <t xml:space="preserve">I </t>
    </r>
    <r>
      <rPr>
        <vertAlign val="subscript"/>
        <sz val="11"/>
        <rFont val="Calibri"/>
        <family val="2"/>
        <scheme val="minor"/>
      </rPr>
      <t>f</t>
    </r>
  </si>
  <si>
    <r>
      <t xml:space="preserve">Y </t>
    </r>
    <r>
      <rPr>
        <vertAlign val="subscript"/>
        <sz val="11"/>
        <rFont val="Calibri"/>
        <family val="2"/>
        <scheme val="minor"/>
      </rPr>
      <t>v</t>
    </r>
  </si>
  <si>
    <r>
      <t xml:space="preserve">t </t>
    </r>
    <r>
      <rPr>
        <vertAlign val="subscript"/>
        <sz val="11"/>
        <rFont val="Calibri"/>
        <family val="2"/>
        <scheme val="minor"/>
      </rPr>
      <t>w</t>
    </r>
  </si>
  <si>
    <r>
      <t>θ</t>
    </r>
    <r>
      <rPr>
        <vertAlign val="subscript"/>
        <sz val="11"/>
        <color theme="1"/>
        <rFont val="Calibri"/>
        <family val="2"/>
        <scheme val="minor"/>
      </rPr>
      <t>w</t>
    </r>
  </si>
  <si>
    <r>
      <t>d</t>
    </r>
    <r>
      <rPr>
        <vertAlign val="subscript"/>
        <sz val="11"/>
        <color theme="1"/>
        <rFont val="Calibri"/>
        <family val="2"/>
        <scheme val="minor"/>
      </rPr>
      <t xml:space="preserve"> a</t>
    </r>
  </si>
  <si>
    <r>
      <t>d</t>
    </r>
    <r>
      <rPr>
        <vertAlign val="subscript"/>
        <sz val="11"/>
        <color theme="1"/>
        <rFont val="Calibri"/>
        <family val="2"/>
        <scheme val="minor"/>
      </rPr>
      <t xml:space="preserve"> s</t>
    </r>
  </si>
  <si>
    <t>m³ air / kg soil</t>
  </si>
  <si>
    <t>Um</t>
  </si>
  <si>
    <t>m/s</t>
  </si>
  <si>
    <t>Ut</t>
  </si>
  <si>
    <t>F(x)</t>
  </si>
  <si>
    <t>V</t>
  </si>
  <si>
    <t>As</t>
  </si>
  <si>
    <t>acres</t>
  </si>
  <si>
    <t>g</t>
  </si>
  <si>
    <r>
      <t xml:space="preserve">i </t>
    </r>
    <r>
      <rPr>
        <vertAlign val="subscript"/>
        <sz val="11"/>
        <color theme="1"/>
        <rFont val="Calibri"/>
        <family val="2"/>
        <scheme val="minor"/>
      </rPr>
      <t>s2gw</t>
    </r>
  </si>
  <si>
    <r>
      <t xml:space="preserve">L </t>
    </r>
    <r>
      <rPr>
        <vertAlign val="subscript"/>
        <sz val="11"/>
        <color theme="1"/>
        <rFont val="Calibri"/>
        <family val="2"/>
        <scheme val="minor"/>
      </rPr>
      <t>s2gw</t>
    </r>
  </si>
  <si>
    <r>
      <t>PEF</t>
    </r>
    <r>
      <rPr>
        <sz val="12"/>
        <color theme="1"/>
        <rFont val="Calibri"/>
        <family val="2"/>
        <scheme val="minor"/>
      </rPr>
      <t xml:space="preserve"> </t>
    </r>
    <r>
      <rPr>
        <vertAlign val="subscript"/>
        <sz val="12"/>
        <color theme="1"/>
        <rFont val="Calibri"/>
        <family val="2"/>
        <scheme val="minor"/>
      </rPr>
      <t>wind</t>
    </r>
  </si>
  <si>
    <r>
      <t xml:space="preserve">Q/C </t>
    </r>
    <r>
      <rPr>
        <vertAlign val="subscript"/>
        <sz val="11"/>
        <color theme="1"/>
        <rFont val="Calibri"/>
        <family val="2"/>
        <scheme val="minor"/>
      </rPr>
      <t>wind</t>
    </r>
  </si>
  <si>
    <r>
      <t xml:space="preserve">A </t>
    </r>
    <r>
      <rPr>
        <vertAlign val="subscript"/>
        <sz val="11"/>
        <color theme="1"/>
        <rFont val="Calibri"/>
        <family val="2"/>
        <scheme val="minor"/>
      </rPr>
      <t>wind</t>
    </r>
  </si>
  <si>
    <r>
      <t xml:space="preserve">B </t>
    </r>
    <r>
      <rPr>
        <vertAlign val="subscript"/>
        <sz val="11"/>
        <color theme="1"/>
        <rFont val="Calibri"/>
        <family val="2"/>
        <scheme val="minor"/>
      </rPr>
      <t>wind</t>
    </r>
  </si>
  <si>
    <r>
      <t xml:space="preserve">C </t>
    </r>
    <r>
      <rPr>
        <vertAlign val="subscript"/>
        <sz val="11"/>
        <color theme="1"/>
        <rFont val="Calibri"/>
        <family val="2"/>
        <scheme val="minor"/>
      </rPr>
      <t>wind</t>
    </r>
  </si>
  <si>
    <r>
      <t xml:space="preserve">IFA </t>
    </r>
    <r>
      <rPr>
        <vertAlign val="subscript"/>
        <sz val="11"/>
        <color theme="1"/>
        <rFont val="Calibri"/>
        <family val="2"/>
        <scheme val="minor"/>
      </rPr>
      <t>res-adj</t>
    </r>
  </si>
  <si>
    <r>
      <t xml:space="preserve">IFW </t>
    </r>
    <r>
      <rPr>
        <vertAlign val="subscript"/>
        <sz val="11"/>
        <color theme="1"/>
        <rFont val="Calibri"/>
        <family val="2"/>
        <scheme val="minor"/>
      </rPr>
      <t>res-adj</t>
    </r>
  </si>
  <si>
    <r>
      <t xml:space="preserve">IFS </t>
    </r>
    <r>
      <rPr>
        <vertAlign val="subscript"/>
        <sz val="11"/>
        <color theme="1"/>
        <rFont val="Calibri"/>
        <family val="2"/>
        <scheme val="minor"/>
      </rPr>
      <t>res-adj</t>
    </r>
  </si>
  <si>
    <r>
      <t xml:space="preserve">IFA </t>
    </r>
    <r>
      <rPr>
        <vertAlign val="subscript"/>
        <sz val="11"/>
        <color theme="1"/>
        <rFont val="Calibri"/>
        <family val="2"/>
        <scheme val="minor"/>
      </rPr>
      <t>rec-adj</t>
    </r>
  </si>
  <si>
    <r>
      <t xml:space="preserve">IFS </t>
    </r>
    <r>
      <rPr>
        <vertAlign val="subscript"/>
        <sz val="11"/>
        <color theme="1"/>
        <rFont val="Calibri"/>
        <family val="2"/>
        <scheme val="minor"/>
      </rPr>
      <t>rec-adj</t>
    </r>
  </si>
  <si>
    <r>
      <t xml:space="preserve">IFW </t>
    </r>
    <r>
      <rPr>
        <vertAlign val="subscript"/>
        <sz val="11"/>
        <color theme="1"/>
        <rFont val="Calibri"/>
        <family val="2"/>
        <scheme val="minor"/>
      </rPr>
      <t>rec-adj</t>
    </r>
  </si>
  <si>
    <r>
      <t xml:space="preserve">IFA </t>
    </r>
    <r>
      <rPr>
        <vertAlign val="subscript"/>
        <sz val="11"/>
        <color theme="1"/>
        <rFont val="Calibri"/>
        <family val="2"/>
        <scheme val="minor"/>
      </rPr>
      <t>far-adj</t>
    </r>
  </si>
  <si>
    <r>
      <t xml:space="preserve">IFS </t>
    </r>
    <r>
      <rPr>
        <vertAlign val="subscript"/>
        <sz val="11"/>
        <color theme="1"/>
        <rFont val="Calibri"/>
        <family val="2"/>
        <scheme val="minor"/>
      </rPr>
      <t>far-adj</t>
    </r>
  </si>
  <si>
    <r>
      <t xml:space="preserve">IFW </t>
    </r>
    <r>
      <rPr>
        <vertAlign val="subscript"/>
        <sz val="11"/>
        <color theme="1"/>
        <rFont val="Calibri"/>
        <family val="2"/>
        <scheme val="minor"/>
      </rPr>
      <t>far-adj</t>
    </r>
  </si>
  <si>
    <r>
      <t xml:space="preserve">IFD </t>
    </r>
    <r>
      <rPr>
        <vertAlign val="subscript"/>
        <sz val="11"/>
        <color theme="1"/>
        <rFont val="Calibri"/>
        <family val="2"/>
        <scheme val="minor"/>
      </rPr>
      <t>far-adj</t>
    </r>
  </si>
  <si>
    <r>
      <t xml:space="preserve">IFB </t>
    </r>
    <r>
      <rPr>
        <vertAlign val="subscript"/>
        <sz val="11"/>
        <color theme="1"/>
        <rFont val="Calibri"/>
        <family val="2"/>
        <scheme val="minor"/>
      </rPr>
      <t>far-adj</t>
    </r>
  </si>
  <si>
    <r>
      <t xml:space="preserve">IFE </t>
    </r>
    <r>
      <rPr>
        <vertAlign val="subscript"/>
        <sz val="11"/>
        <color theme="1"/>
        <rFont val="Calibri"/>
        <family val="2"/>
        <scheme val="minor"/>
      </rPr>
      <t>far-adj</t>
    </r>
  </si>
  <si>
    <r>
      <t xml:space="preserve">IFFI </t>
    </r>
    <r>
      <rPr>
        <vertAlign val="subscript"/>
        <sz val="11"/>
        <color theme="1"/>
        <rFont val="Calibri"/>
        <family val="2"/>
        <scheme val="minor"/>
      </rPr>
      <t>far-adj</t>
    </r>
  </si>
  <si>
    <r>
      <t xml:space="preserve">IFP </t>
    </r>
    <r>
      <rPr>
        <vertAlign val="subscript"/>
        <sz val="11"/>
        <color theme="1"/>
        <rFont val="Calibri"/>
        <family val="2"/>
        <scheme val="minor"/>
      </rPr>
      <t>far-adj</t>
    </r>
  </si>
  <si>
    <r>
      <t xml:space="preserve">IFSW </t>
    </r>
    <r>
      <rPr>
        <vertAlign val="subscript"/>
        <sz val="11"/>
        <color theme="1"/>
        <rFont val="Calibri"/>
        <family val="2"/>
        <scheme val="minor"/>
      </rPr>
      <t>far-adj</t>
    </r>
  </si>
  <si>
    <t>m^3</t>
  </si>
  <si>
    <t>mg</t>
  </si>
  <si>
    <t>L</t>
  </si>
  <si>
    <r>
      <t xml:space="preserve">l </t>
    </r>
    <r>
      <rPr>
        <vertAlign val="subscript"/>
        <sz val="11"/>
        <color theme="1"/>
        <rFont val="Calibri"/>
        <family val="2"/>
        <scheme val="minor"/>
      </rPr>
      <t>s2gw</t>
    </r>
  </si>
  <si>
    <t>s_K</t>
  </si>
  <si>
    <r>
      <t xml:space="preserve">s_GSF </t>
    </r>
    <r>
      <rPr>
        <vertAlign val="subscript"/>
        <sz val="11"/>
        <color theme="1"/>
        <rFont val="Calibri"/>
        <family val="2"/>
        <scheme val="minor"/>
      </rPr>
      <t>a</t>
    </r>
  </si>
  <si>
    <r>
      <t xml:space="preserve">s_GSF </t>
    </r>
    <r>
      <rPr>
        <vertAlign val="subscript"/>
        <sz val="11"/>
        <color theme="1"/>
        <rFont val="Calibri"/>
        <family val="2"/>
        <scheme val="minor"/>
      </rPr>
      <t>i</t>
    </r>
  </si>
  <si>
    <t>s_lambda HL</t>
  </si>
  <si>
    <t>s_Ir</t>
  </si>
  <si>
    <t>s_F</t>
  </si>
  <si>
    <r>
      <t xml:space="preserve">s_t </t>
    </r>
    <r>
      <rPr>
        <vertAlign val="subscript"/>
        <sz val="11"/>
        <rFont val="Calibri"/>
        <family val="2"/>
        <scheme val="minor"/>
      </rPr>
      <t>b</t>
    </r>
  </si>
  <si>
    <t>s_P</t>
  </si>
  <si>
    <r>
      <t xml:space="preserve">s_I </t>
    </r>
    <r>
      <rPr>
        <vertAlign val="subscript"/>
        <sz val="11"/>
        <rFont val="Calibri"/>
        <family val="2"/>
        <scheme val="minor"/>
      </rPr>
      <t>f</t>
    </r>
  </si>
  <si>
    <r>
      <t xml:space="preserve">s_t </t>
    </r>
    <r>
      <rPr>
        <vertAlign val="subscript"/>
        <sz val="11"/>
        <rFont val="Calibri"/>
        <family val="2"/>
        <scheme val="minor"/>
      </rPr>
      <t>v</t>
    </r>
  </si>
  <si>
    <r>
      <t xml:space="preserve">s_Y </t>
    </r>
    <r>
      <rPr>
        <vertAlign val="subscript"/>
        <sz val="11"/>
        <rFont val="Calibri"/>
        <family val="2"/>
        <scheme val="minor"/>
      </rPr>
      <t>v</t>
    </r>
  </si>
  <si>
    <t>s_T</t>
  </si>
  <si>
    <r>
      <t xml:space="preserve">s_t </t>
    </r>
    <r>
      <rPr>
        <vertAlign val="subscript"/>
        <sz val="11"/>
        <rFont val="Calibri"/>
        <family val="2"/>
        <scheme val="minor"/>
      </rPr>
      <t>w</t>
    </r>
  </si>
  <si>
    <t xml:space="preserve">s_ρb </t>
  </si>
  <si>
    <r>
      <t>s_θ</t>
    </r>
    <r>
      <rPr>
        <vertAlign val="subscript"/>
        <sz val="11"/>
        <color theme="1"/>
        <rFont val="Calibri"/>
        <family val="2"/>
        <scheme val="minor"/>
      </rPr>
      <t>w</t>
    </r>
  </si>
  <si>
    <r>
      <t xml:space="preserve">s_ED </t>
    </r>
    <r>
      <rPr>
        <vertAlign val="subscript"/>
        <sz val="11"/>
        <color theme="1"/>
        <rFont val="Calibri"/>
        <family val="2"/>
        <scheme val="minor"/>
      </rPr>
      <t>s2gw</t>
    </r>
  </si>
  <si>
    <r>
      <t xml:space="preserve">s_K </t>
    </r>
    <r>
      <rPr>
        <vertAlign val="subscript"/>
        <sz val="11"/>
        <color theme="1"/>
        <rFont val="Calibri"/>
        <family val="2"/>
        <scheme val="minor"/>
      </rPr>
      <t>s2gw</t>
    </r>
  </si>
  <si>
    <r>
      <t xml:space="preserve">s_i </t>
    </r>
    <r>
      <rPr>
        <vertAlign val="subscript"/>
        <sz val="11"/>
        <color theme="1"/>
        <rFont val="Calibri"/>
        <family val="2"/>
        <scheme val="minor"/>
      </rPr>
      <t>s2gw</t>
    </r>
  </si>
  <si>
    <r>
      <t>s_d</t>
    </r>
    <r>
      <rPr>
        <vertAlign val="subscript"/>
        <sz val="11"/>
        <color theme="1"/>
        <rFont val="Calibri"/>
        <family val="2"/>
        <scheme val="minor"/>
      </rPr>
      <t xml:space="preserve"> a</t>
    </r>
  </si>
  <si>
    <r>
      <t>s_d</t>
    </r>
    <r>
      <rPr>
        <vertAlign val="subscript"/>
        <sz val="11"/>
        <color theme="1"/>
        <rFont val="Calibri"/>
        <family val="2"/>
        <scheme val="minor"/>
      </rPr>
      <t xml:space="preserve"> s</t>
    </r>
  </si>
  <si>
    <r>
      <t>s_PEF</t>
    </r>
    <r>
      <rPr>
        <sz val="12"/>
        <color theme="1"/>
        <rFont val="Calibri"/>
        <family val="2"/>
        <scheme val="minor"/>
      </rPr>
      <t xml:space="preserve"> </t>
    </r>
    <r>
      <rPr>
        <vertAlign val="subscript"/>
        <sz val="12"/>
        <color theme="1"/>
        <rFont val="Calibri"/>
        <family val="2"/>
        <scheme val="minor"/>
      </rPr>
      <t>wind</t>
    </r>
  </si>
  <si>
    <t>s_Um</t>
  </si>
  <si>
    <t>s_Ut</t>
  </si>
  <si>
    <t>s_F(x)</t>
  </si>
  <si>
    <t>s_V</t>
  </si>
  <si>
    <r>
      <t xml:space="preserve">s_Q/C </t>
    </r>
    <r>
      <rPr>
        <vertAlign val="subscript"/>
        <sz val="11"/>
        <color theme="1"/>
        <rFont val="Calibri"/>
        <family val="2"/>
        <scheme val="minor"/>
      </rPr>
      <t>wind</t>
    </r>
  </si>
  <si>
    <t>s_As</t>
  </si>
  <si>
    <r>
      <t xml:space="preserve">s_A </t>
    </r>
    <r>
      <rPr>
        <vertAlign val="subscript"/>
        <sz val="11"/>
        <color theme="1"/>
        <rFont val="Calibri"/>
        <family val="2"/>
        <scheme val="minor"/>
      </rPr>
      <t>wind</t>
    </r>
  </si>
  <si>
    <r>
      <t xml:space="preserve">s_B </t>
    </r>
    <r>
      <rPr>
        <vertAlign val="subscript"/>
        <sz val="11"/>
        <color theme="1"/>
        <rFont val="Calibri"/>
        <family val="2"/>
        <scheme val="minor"/>
      </rPr>
      <t>wind</t>
    </r>
  </si>
  <si>
    <r>
      <t xml:space="preserve">s_C </t>
    </r>
    <r>
      <rPr>
        <vertAlign val="subscript"/>
        <sz val="11"/>
        <color theme="1"/>
        <rFont val="Calibri"/>
        <family val="2"/>
        <scheme val="minor"/>
      </rPr>
      <t>wind</t>
    </r>
  </si>
  <si>
    <r>
      <t xml:space="preserve">s_ED </t>
    </r>
    <r>
      <rPr>
        <vertAlign val="subscript"/>
        <sz val="11"/>
        <color theme="1"/>
        <rFont val="Calibri"/>
        <family val="2"/>
        <scheme val="minor"/>
      </rPr>
      <t>res-c</t>
    </r>
  </si>
  <si>
    <r>
      <t xml:space="preserve">s_ED </t>
    </r>
    <r>
      <rPr>
        <vertAlign val="subscript"/>
        <sz val="11"/>
        <color theme="1"/>
        <rFont val="Calibri"/>
        <family val="2"/>
        <scheme val="minor"/>
      </rPr>
      <t>res-a</t>
    </r>
  </si>
  <si>
    <r>
      <t xml:space="preserve">s_ED </t>
    </r>
    <r>
      <rPr>
        <vertAlign val="subscript"/>
        <sz val="11"/>
        <color theme="1"/>
        <rFont val="Calibri"/>
        <family val="2"/>
        <scheme val="minor"/>
      </rPr>
      <t>res</t>
    </r>
  </si>
  <si>
    <r>
      <t xml:space="preserve">s_IRD </t>
    </r>
    <r>
      <rPr>
        <vertAlign val="subscript"/>
        <sz val="11"/>
        <rFont val="Calibri"/>
        <family val="2"/>
        <scheme val="minor"/>
      </rPr>
      <t>far-c</t>
    </r>
  </si>
  <si>
    <r>
      <t xml:space="preserve">s_IRD </t>
    </r>
    <r>
      <rPr>
        <vertAlign val="subscript"/>
        <sz val="11"/>
        <rFont val="Calibri"/>
        <family val="2"/>
        <scheme val="minor"/>
      </rPr>
      <t>far-a</t>
    </r>
  </si>
  <si>
    <r>
      <t xml:space="preserve">s_IFD </t>
    </r>
    <r>
      <rPr>
        <vertAlign val="subscript"/>
        <sz val="11"/>
        <color theme="1"/>
        <rFont val="Calibri"/>
        <family val="2"/>
        <scheme val="minor"/>
      </rPr>
      <t>far-adj</t>
    </r>
  </si>
  <si>
    <r>
      <t xml:space="preserve">s_IRB </t>
    </r>
    <r>
      <rPr>
        <vertAlign val="subscript"/>
        <sz val="11"/>
        <rFont val="Calibri"/>
        <family val="2"/>
        <scheme val="minor"/>
      </rPr>
      <t>far-c</t>
    </r>
  </si>
  <si>
    <r>
      <t xml:space="preserve">s_IRB </t>
    </r>
    <r>
      <rPr>
        <vertAlign val="subscript"/>
        <sz val="11"/>
        <rFont val="Calibri"/>
        <family val="2"/>
        <scheme val="minor"/>
      </rPr>
      <t>far-a</t>
    </r>
  </si>
  <si>
    <r>
      <t xml:space="preserve">s_IFB </t>
    </r>
    <r>
      <rPr>
        <vertAlign val="subscript"/>
        <sz val="11"/>
        <color theme="1"/>
        <rFont val="Calibri"/>
        <family val="2"/>
        <scheme val="minor"/>
      </rPr>
      <t>far-adj</t>
    </r>
  </si>
  <si>
    <r>
      <t xml:space="preserve">s_IRE </t>
    </r>
    <r>
      <rPr>
        <vertAlign val="subscript"/>
        <sz val="11"/>
        <rFont val="Calibri"/>
        <family val="2"/>
        <scheme val="minor"/>
      </rPr>
      <t>far-c</t>
    </r>
  </si>
  <si>
    <r>
      <t xml:space="preserve">s_IRE </t>
    </r>
    <r>
      <rPr>
        <vertAlign val="subscript"/>
        <sz val="11"/>
        <rFont val="Calibri"/>
        <family val="2"/>
        <scheme val="minor"/>
      </rPr>
      <t>far-a</t>
    </r>
  </si>
  <si>
    <r>
      <t xml:space="preserve">s_IFE </t>
    </r>
    <r>
      <rPr>
        <vertAlign val="subscript"/>
        <sz val="11"/>
        <color theme="1"/>
        <rFont val="Calibri"/>
        <family val="2"/>
        <scheme val="minor"/>
      </rPr>
      <t>far-adj</t>
    </r>
  </si>
  <si>
    <r>
      <t xml:space="preserve">s_IRFI </t>
    </r>
    <r>
      <rPr>
        <vertAlign val="subscript"/>
        <sz val="11"/>
        <rFont val="Calibri"/>
        <family val="2"/>
        <scheme val="minor"/>
      </rPr>
      <t>far-c</t>
    </r>
  </si>
  <si>
    <r>
      <t xml:space="preserve">s_IRFI </t>
    </r>
    <r>
      <rPr>
        <vertAlign val="subscript"/>
        <sz val="11"/>
        <rFont val="Calibri"/>
        <family val="2"/>
        <scheme val="minor"/>
      </rPr>
      <t>far-a</t>
    </r>
  </si>
  <si>
    <r>
      <t xml:space="preserve">s_IFFI </t>
    </r>
    <r>
      <rPr>
        <vertAlign val="subscript"/>
        <sz val="11"/>
        <color theme="1"/>
        <rFont val="Calibri"/>
        <family val="2"/>
        <scheme val="minor"/>
      </rPr>
      <t>far-adj</t>
    </r>
  </si>
  <si>
    <r>
      <t xml:space="preserve">s_IRP </t>
    </r>
    <r>
      <rPr>
        <vertAlign val="subscript"/>
        <sz val="11"/>
        <rFont val="Calibri"/>
        <family val="2"/>
        <scheme val="minor"/>
      </rPr>
      <t>far-c</t>
    </r>
  </si>
  <si>
    <r>
      <t xml:space="preserve">s_IRP </t>
    </r>
    <r>
      <rPr>
        <vertAlign val="subscript"/>
        <sz val="11"/>
        <rFont val="Calibri"/>
        <family val="2"/>
        <scheme val="minor"/>
      </rPr>
      <t>far-a</t>
    </r>
  </si>
  <si>
    <r>
      <t xml:space="preserve">s_IFP </t>
    </r>
    <r>
      <rPr>
        <vertAlign val="subscript"/>
        <sz val="11"/>
        <color theme="1"/>
        <rFont val="Calibri"/>
        <family val="2"/>
        <scheme val="minor"/>
      </rPr>
      <t>far-adj</t>
    </r>
  </si>
  <si>
    <r>
      <t xml:space="preserve">s_IRSW </t>
    </r>
    <r>
      <rPr>
        <vertAlign val="subscript"/>
        <sz val="11"/>
        <rFont val="Calibri"/>
        <family val="2"/>
        <scheme val="minor"/>
      </rPr>
      <t>far-c</t>
    </r>
  </si>
  <si>
    <r>
      <t xml:space="preserve">s_IRSW </t>
    </r>
    <r>
      <rPr>
        <vertAlign val="subscript"/>
        <sz val="11"/>
        <rFont val="Calibri"/>
        <family val="2"/>
        <scheme val="minor"/>
      </rPr>
      <t>far-a</t>
    </r>
  </si>
  <si>
    <r>
      <t xml:space="preserve">s_IFSW </t>
    </r>
    <r>
      <rPr>
        <vertAlign val="subscript"/>
        <sz val="11"/>
        <color theme="1"/>
        <rFont val="Calibri"/>
        <family val="2"/>
        <scheme val="minor"/>
      </rPr>
      <t>far-adj</t>
    </r>
  </si>
  <si>
    <r>
      <t xml:space="preserve">s_CF </t>
    </r>
    <r>
      <rPr>
        <vertAlign val="subscript"/>
        <sz val="11"/>
        <rFont val="Calibri"/>
        <family val="2"/>
        <scheme val="minor"/>
      </rPr>
      <t>far-dairy</t>
    </r>
  </si>
  <si>
    <r>
      <t xml:space="preserve">s_CF </t>
    </r>
    <r>
      <rPr>
        <vertAlign val="subscript"/>
        <sz val="11"/>
        <rFont val="Calibri"/>
        <family val="2"/>
        <scheme val="minor"/>
      </rPr>
      <t>far-beef</t>
    </r>
  </si>
  <si>
    <r>
      <t xml:space="preserve">s_CF </t>
    </r>
    <r>
      <rPr>
        <vertAlign val="subscript"/>
        <sz val="11"/>
        <rFont val="Calibri"/>
        <family val="2"/>
        <scheme val="minor"/>
      </rPr>
      <t>far-egg</t>
    </r>
  </si>
  <si>
    <r>
      <t xml:space="preserve">s_CF </t>
    </r>
    <r>
      <rPr>
        <vertAlign val="subscript"/>
        <sz val="11"/>
        <rFont val="Calibri"/>
        <family val="2"/>
        <scheme val="minor"/>
      </rPr>
      <t>far-fish</t>
    </r>
  </si>
  <si>
    <r>
      <t xml:space="preserve">s_CF </t>
    </r>
    <r>
      <rPr>
        <vertAlign val="subscript"/>
        <sz val="11"/>
        <rFont val="Calibri"/>
        <family val="2"/>
        <scheme val="minor"/>
      </rPr>
      <t>far-poultry</t>
    </r>
  </si>
  <si>
    <r>
      <t xml:space="preserve">s_CF </t>
    </r>
    <r>
      <rPr>
        <vertAlign val="subscript"/>
        <sz val="11"/>
        <rFont val="Calibri"/>
        <family val="2"/>
        <scheme val="minor"/>
      </rPr>
      <t>far-swine</t>
    </r>
  </si>
  <si>
    <r>
      <t xml:space="preserve">s_Q </t>
    </r>
    <r>
      <rPr>
        <vertAlign val="subscript"/>
        <sz val="11"/>
        <rFont val="Calibri"/>
        <family val="2"/>
        <scheme val="minor"/>
      </rPr>
      <t>w dairy</t>
    </r>
  </si>
  <si>
    <r>
      <t xml:space="preserve">s_Q </t>
    </r>
    <r>
      <rPr>
        <vertAlign val="subscript"/>
        <sz val="11"/>
        <rFont val="Calibri"/>
        <family val="2"/>
        <scheme val="minor"/>
      </rPr>
      <t>p-dairy</t>
    </r>
  </si>
  <si>
    <r>
      <t xml:space="preserve">s_Q </t>
    </r>
    <r>
      <rPr>
        <vertAlign val="subscript"/>
        <sz val="11"/>
        <rFont val="Calibri"/>
        <family val="2"/>
        <scheme val="minor"/>
      </rPr>
      <t>s-dairy</t>
    </r>
  </si>
  <si>
    <r>
      <t xml:space="preserve">s_f </t>
    </r>
    <r>
      <rPr>
        <vertAlign val="subscript"/>
        <sz val="11"/>
        <rFont val="Calibri"/>
        <family val="2"/>
        <scheme val="minor"/>
      </rPr>
      <t>p-dairy</t>
    </r>
  </si>
  <si>
    <r>
      <t xml:space="preserve">s_f </t>
    </r>
    <r>
      <rPr>
        <vertAlign val="subscript"/>
        <sz val="11"/>
        <rFont val="Calibri"/>
        <family val="2"/>
        <scheme val="minor"/>
      </rPr>
      <t>s-dairy</t>
    </r>
  </si>
  <si>
    <r>
      <t xml:space="preserve">s_Q </t>
    </r>
    <r>
      <rPr>
        <vertAlign val="subscript"/>
        <sz val="11"/>
        <rFont val="Calibri"/>
        <family val="2"/>
        <scheme val="minor"/>
      </rPr>
      <t>w-beef</t>
    </r>
  </si>
  <si>
    <r>
      <t xml:space="preserve">s_Q </t>
    </r>
    <r>
      <rPr>
        <vertAlign val="subscript"/>
        <sz val="11"/>
        <rFont val="Calibri"/>
        <family val="2"/>
        <scheme val="minor"/>
      </rPr>
      <t>p-beef</t>
    </r>
  </si>
  <si>
    <r>
      <t xml:space="preserve">s_Q </t>
    </r>
    <r>
      <rPr>
        <vertAlign val="subscript"/>
        <sz val="11"/>
        <rFont val="Calibri"/>
        <family val="2"/>
        <scheme val="minor"/>
      </rPr>
      <t>s-beef</t>
    </r>
  </si>
  <si>
    <r>
      <t xml:space="preserve">s_f </t>
    </r>
    <r>
      <rPr>
        <vertAlign val="subscript"/>
        <sz val="11"/>
        <rFont val="Calibri"/>
        <family val="2"/>
        <scheme val="minor"/>
      </rPr>
      <t>p-beef</t>
    </r>
  </si>
  <si>
    <r>
      <t xml:space="preserve">s_f </t>
    </r>
    <r>
      <rPr>
        <vertAlign val="subscript"/>
        <sz val="11"/>
        <rFont val="Calibri"/>
        <family val="2"/>
        <scheme val="minor"/>
      </rPr>
      <t>s-beef</t>
    </r>
  </si>
  <si>
    <r>
      <t xml:space="preserve">s_Q </t>
    </r>
    <r>
      <rPr>
        <vertAlign val="subscript"/>
        <sz val="11"/>
        <rFont val="Calibri"/>
        <family val="2"/>
        <scheme val="minor"/>
      </rPr>
      <t>w-egg</t>
    </r>
  </si>
  <si>
    <r>
      <t xml:space="preserve">s_Q </t>
    </r>
    <r>
      <rPr>
        <vertAlign val="subscript"/>
        <sz val="11"/>
        <rFont val="Calibri"/>
        <family val="2"/>
        <scheme val="minor"/>
      </rPr>
      <t>p-egg</t>
    </r>
  </si>
  <si>
    <r>
      <t xml:space="preserve">s_Q </t>
    </r>
    <r>
      <rPr>
        <vertAlign val="subscript"/>
        <sz val="11"/>
        <rFont val="Calibri"/>
        <family val="2"/>
        <scheme val="minor"/>
      </rPr>
      <t>s-egg</t>
    </r>
  </si>
  <si>
    <r>
      <t xml:space="preserve">s_f </t>
    </r>
    <r>
      <rPr>
        <vertAlign val="subscript"/>
        <sz val="11"/>
        <rFont val="Calibri"/>
        <family val="2"/>
        <scheme val="minor"/>
      </rPr>
      <t>p-egg</t>
    </r>
  </si>
  <si>
    <r>
      <t xml:space="preserve">s_f </t>
    </r>
    <r>
      <rPr>
        <vertAlign val="subscript"/>
        <sz val="11"/>
        <rFont val="Calibri"/>
        <family val="2"/>
        <scheme val="minor"/>
      </rPr>
      <t>s-egg</t>
    </r>
  </si>
  <si>
    <r>
      <t xml:space="preserve">s_Q </t>
    </r>
    <r>
      <rPr>
        <vertAlign val="subscript"/>
        <sz val="11"/>
        <rFont val="Calibri"/>
        <family val="2"/>
        <scheme val="minor"/>
      </rPr>
      <t>w-poultry</t>
    </r>
  </si>
  <si>
    <r>
      <t xml:space="preserve">s_Q </t>
    </r>
    <r>
      <rPr>
        <vertAlign val="subscript"/>
        <sz val="11"/>
        <rFont val="Calibri"/>
        <family val="2"/>
        <scheme val="minor"/>
      </rPr>
      <t>p-poultry</t>
    </r>
  </si>
  <si>
    <r>
      <t xml:space="preserve">s_Q </t>
    </r>
    <r>
      <rPr>
        <vertAlign val="subscript"/>
        <sz val="11"/>
        <rFont val="Calibri"/>
        <family val="2"/>
        <scheme val="minor"/>
      </rPr>
      <t>s-poultry</t>
    </r>
  </si>
  <si>
    <r>
      <t xml:space="preserve">s_f </t>
    </r>
    <r>
      <rPr>
        <vertAlign val="subscript"/>
        <sz val="11"/>
        <rFont val="Calibri"/>
        <family val="2"/>
        <scheme val="minor"/>
      </rPr>
      <t>p-poultry</t>
    </r>
  </si>
  <si>
    <r>
      <t xml:space="preserve">s_f </t>
    </r>
    <r>
      <rPr>
        <vertAlign val="subscript"/>
        <sz val="11"/>
        <rFont val="Calibri"/>
        <family val="2"/>
        <scheme val="minor"/>
      </rPr>
      <t>s-poultry</t>
    </r>
  </si>
  <si>
    <r>
      <t xml:space="preserve">s_Q </t>
    </r>
    <r>
      <rPr>
        <vertAlign val="subscript"/>
        <sz val="11"/>
        <rFont val="Calibri"/>
        <family val="2"/>
        <scheme val="minor"/>
      </rPr>
      <t>w-swine</t>
    </r>
  </si>
  <si>
    <r>
      <t xml:space="preserve">s_Q </t>
    </r>
    <r>
      <rPr>
        <vertAlign val="subscript"/>
        <sz val="11"/>
        <rFont val="Calibri"/>
        <family val="2"/>
        <scheme val="minor"/>
      </rPr>
      <t>p-swine</t>
    </r>
  </si>
  <si>
    <r>
      <t xml:space="preserve">s_Q </t>
    </r>
    <r>
      <rPr>
        <vertAlign val="subscript"/>
        <sz val="11"/>
        <rFont val="Calibri"/>
        <family val="2"/>
        <scheme val="minor"/>
      </rPr>
      <t>s-swine</t>
    </r>
  </si>
  <si>
    <r>
      <t xml:space="preserve">s_f </t>
    </r>
    <r>
      <rPr>
        <vertAlign val="subscript"/>
        <sz val="11"/>
        <rFont val="Calibri"/>
        <family val="2"/>
        <scheme val="minor"/>
      </rPr>
      <t>p-swine</t>
    </r>
  </si>
  <si>
    <r>
      <t xml:space="preserve">s_f </t>
    </r>
    <r>
      <rPr>
        <vertAlign val="subscript"/>
        <sz val="11"/>
        <rFont val="Calibri"/>
        <family val="2"/>
        <scheme val="minor"/>
      </rPr>
      <t>s-swine</t>
    </r>
  </si>
  <si>
    <t>YHALFLIFE</t>
  </si>
  <si>
    <t>WEIGHT</t>
  </si>
  <si>
    <t>MILKBTF</t>
  </si>
  <si>
    <t>BEEFBTF</t>
  </si>
  <si>
    <t>FISHBTF</t>
  </si>
  <si>
    <t>POULTRYBTF</t>
  </si>
  <si>
    <t>EGGBTF</t>
  </si>
  <si>
    <t>SWINEBTF</t>
  </si>
  <si>
    <t>BVWET</t>
  </si>
  <si>
    <t>BVDRY</t>
  </si>
  <si>
    <t>GIABSFCT</t>
  </si>
  <si>
    <t>LAMBDA</t>
  </si>
  <si>
    <t>Test Rad</t>
  </si>
  <si>
    <t>Y</t>
  </si>
  <si>
    <r>
      <t xml:space="preserve">MLF </t>
    </r>
    <r>
      <rPr>
        <vertAlign val="subscript"/>
        <sz val="11"/>
        <rFont val="Calibri"/>
        <family val="2"/>
        <scheme val="minor"/>
      </rPr>
      <t>pasture</t>
    </r>
  </si>
  <si>
    <r>
      <t xml:space="preserve">s_MLF </t>
    </r>
    <r>
      <rPr>
        <vertAlign val="subscript"/>
        <sz val="11"/>
        <rFont val="Calibri"/>
        <family val="2"/>
        <scheme val="minor"/>
      </rPr>
      <t>pasture</t>
    </r>
  </si>
  <si>
    <t>MCL</t>
  </si>
  <si>
    <t>MASS</t>
  </si>
  <si>
    <t>hours</t>
  </si>
  <si>
    <r>
      <t xml:space="preserve">DFA </t>
    </r>
    <r>
      <rPr>
        <vertAlign val="subscript"/>
        <sz val="11"/>
        <color theme="1"/>
        <rFont val="Calibri"/>
        <family val="2"/>
        <scheme val="minor"/>
      </rPr>
      <t>res-adj</t>
    </r>
  </si>
  <si>
    <t>lambda i</t>
  </si>
  <si>
    <t>lambda E</t>
  </si>
  <si>
    <t>lambda B</t>
  </si>
  <si>
    <t>DHALFLIFE</t>
  </si>
  <si>
    <t>Volatile</t>
  </si>
  <si>
    <t>GSFiGP</t>
  </si>
  <si>
    <t>GSFiSV</t>
  </si>
  <si>
    <t>GSFiSV1</t>
  </si>
  <si>
    <t>GSFiSV5</t>
  </si>
  <si>
    <t>GSFiSV15</t>
  </si>
  <si>
    <r>
      <t xml:space="preserve">DFA </t>
    </r>
    <r>
      <rPr>
        <vertAlign val="subscript"/>
        <sz val="11"/>
        <color theme="1"/>
        <rFont val="Calibri"/>
        <family val="2"/>
        <scheme val="minor"/>
      </rPr>
      <t>rec-adj</t>
    </r>
  </si>
  <si>
    <r>
      <t xml:space="preserve">CF </t>
    </r>
    <r>
      <rPr>
        <vertAlign val="subscript"/>
        <sz val="11"/>
        <rFont val="Calibri"/>
        <family val="2"/>
        <scheme val="minor"/>
      </rPr>
      <t>fowl</t>
    </r>
  </si>
  <si>
    <r>
      <t xml:space="preserve">CF </t>
    </r>
    <r>
      <rPr>
        <vertAlign val="subscript"/>
        <sz val="11"/>
        <rFont val="Calibri"/>
        <family val="2"/>
        <scheme val="minor"/>
      </rPr>
      <t>game</t>
    </r>
  </si>
  <si>
    <r>
      <t>IRGL</t>
    </r>
    <r>
      <rPr>
        <vertAlign val="subscript"/>
        <sz val="11"/>
        <color theme="1"/>
        <rFont val="Calibri"/>
        <family val="2"/>
        <scheme val="minor"/>
      </rPr>
      <t xml:space="preserve"> rec</t>
    </r>
  </si>
  <si>
    <r>
      <t xml:space="preserve">IRGF </t>
    </r>
    <r>
      <rPr>
        <vertAlign val="subscript"/>
        <sz val="11"/>
        <color theme="1"/>
        <rFont val="Calibri"/>
        <family val="2"/>
        <scheme val="minor"/>
      </rPr>
      <t>rec</t>
    </r>
  </si>
  <si>
    <t>Rupp</t>
  </si>
  <si>
    <r>
      <t xml:space="preserve">R </t>
    </r>
    <r>
      <rPr>
        <vertAlign val="subscript"/>
        <sz val="11"/>
        <rFont val="Calibri"/>
        <family val="2"/>
        <scheme val="minor"/>
      </rPr>
      <t>es-past</t>
    </r>
  </si>
  <si>
    <r>
      <t xml:space="preserve">s_R </t>
    </r>
    <r>
      <rPr>
        <vertAlign val="subscript"/>
        <sz val="11"/>
        <rFont val="Calibri"/>
        <family val="2"/>
        <scheme val="minor"/>
      </rPr>
      <t>es-past</t>
    </r>
  </si>
  <si>
    <t>Ruvp</t>
  </si>
  <si>
    <r>
      <t xml:space="preserve">EF </t>
    </r>
    <r>
      <rPr>
        <vertAlign val="subscript"/>
        <sz val="11"/>
        <color theme="1"/>
        <rFont val="Calibri"/>
        <family val="2"/>
        <scheme val="minor"/>
      </rPr>
      <t>far</t>
    </r>
  </si>
  <si>
    <r>
      <t xml:space="preserve">D </t>
    </r>
    <r>
      <rPr>
        <vertAlign val="subscript"/>
        <sz val="11"/>
        <rFont val="Calibri"/>
        <family val="2"/>
        <scheme val="minor"/>
      </rPr>
      <t>milk</t>
    </r>
  </si>
  <si>
    <r>
      <t xml:space="preserve">DFA </t>
    </r>
    <r>
      <rPr>
        <vertAlign val="subscript"/>
        <sz val="11"/>
        <color theme="1"/>
        <rFont val="Calibri"/>
        <family val="2"/>
        <scheme val="minor"/>
      </rPr>
      <t>far-adj</t>
    </r>
  </si>
  <si>
    <t>*These are for running contruction worker and recreator with defaults only.</t>
  </si>
  <si>
    <t>DAF</t>
  </si>
  <si>
    <t>dm</t>
  </si>
  <si>
    <t>s_dm</t>
  </si>
  <si>
    <t>Farmer General</t>
  </si>
  <si>
    <r>
      <t>IRAP</t>
    </r>
    <r>
      <rPr>
        <vertAlign val="subscript"/>
        <sz val="11"/>
        <color theme="1"/>
        <rFont val="Calibri"/>
        <family val="2"/>
        <scheme val="minor"/>
      </rPr>
      <t xml:space="preserve"> far-c</t>
    </r>
  </si>
  <si>
    <r>
      <t xml:space="preserve">IRAP </t>
    </r>
    <r>
      <rPr>
        <vertAlign val="subscript"/>
        <sz val="11"/>
        <color theme="1"/>
        <rFont val="Calibri"/>
        <family val="2"/>
        <scheme val="minor"/>
      </rPr>
      <t>far-a</t>
    </r>
  </si>
  <si>
    <r>
      <t xml:space="preserve">IFAP </t>
    </r>
    <r>
      <rPr>
        <vertAlign val="subscript"/>
        <sz val="11"/>
        <color theme="1"/>
        <rFont val="Calibri"/>
        <family val="2"/>
        <scheme val="minor"/>
      </rPr>
      <t>far-adj</t>
    </r>
  </si>
  <si>
    <r>
      <t>IRAS</t>
    </r>
    <r>
      <rPr>
        <vertAlign val="subscript"/>
        <sz val="11"/>
        <color theme="1"/>
        <rFont val="Calibri"/>
        <family val="2"/>
        <scheme val="minor"/>
      </rPr>
      <t xml:space="preserve"> far-c</t>
    </r>
  </si>
  <si>
    <r>
      <t xml:space="preserve">IRAS </t>
    </r>
    <r>
      <rPr>
        <vertAlign val="subscript"/>
        <sz val="11"/>
        <color theme="1"/>
        <rFont val="Calibri"/>
        <family val="2"/>
        <scheme val="minor"/>
      </rPr>
      <t>far-a</t>
    </r>
  </si>
  <si>
    <r>
      <t xml:space="preserve">IFAS </t>
    </r>
    <r>
      <rPr>
        <vertAlign val="subscript"/>
        <sz val="11"/>
        <color theme="1"/>
        <rFont val="Calibri"/>
        <family val="2"/>
        <scheme val="minor"/>
      </rPr>
      <t>far-adj</t>
    </r>
  </si>
  <si>
    <r>
      <t>IRBT</t>
    </r>
    <r>
      <rPr>
        <vertAlign val="subscript"/>
        <sz val="11"/>
        <color theme="1"/>
        <rFont val="Calibri"/>
        <family val="2"/>
        <scheme val="minor"/>
      </rPr>
      <t xml:space="preserve"> far-c</t>
    </r>
  </si>
  <si>
    <r>
      <t xml:space="preserve">IRBT </t>
    </r>
    <r>
      <rPr>
        <vertAlign val="subscript"/>
        <sz val="11"/>
        <color theme="1"/>
        <rFont val="Calibri"/>
        <family val="2"/>
        <scheme val="minor"/>
      </rPr>
      <t>far-a</t>
    </r>
  </si>
  <si>
    <r>
      <t xml:space="preserve">IFBT </t>
    </r>
    <r>
      <rPr>
        <vertAlign val="subscript"/>
        <sz val="11"/>
        <color theme="1"/>
        <rFont val="Calibri"/>
        <family val="2"/>
        <scheme val="minor"/>
      </rPr>
      <t>far-adj</t>
    </r>
  </si>
  <si>
    <r>
      <t>IRBE</t>
    </r>
    <r>
      <rPr>
        <vertAlign val="subscript"/>
        <sz val="11"/>
        <color theme="1"/>
        <rFont val="Calibri"/>
        <family val="2"/>
        <scheme val="minor"/>
      </rPr>
      <t xml:space="preserve"> far-c</t>
    </r>
  </si>
  <si>
    <r>
      <t xml:space="preserve">IRBE </t>
    </r>
    <r>
      <rPr>
        <vertAlign val="subscript"/>
        <sz val="11"/>
        <color theme="1"/>
        <rFont val="Calibri"/>
        <family val="2"/>
        <scheme val="minor"/>
      </rPr>
      <t>far-a</t>
    </r>
  </si>
  <si>
    <r>
      <t xml:space="preserve">IFBE </t>
    </r>
    <r>
      <rPr>
        <vertAlign val="subscript"/>
        <sz val="11"/>
        <color theme="1"/>
        <rFont val="Calibri"/>
        <family val="2"/>
        <scheme val="minor"/>
      </rPr>
      <t>far-adj</t>
    </r>
  </si>
  <si>
    <r>
      <t>IRBR</t>
    </r>
    <r>
      <rPr>
        <vertAlign val="subscript"/>
        <sz val="11"/>
        <color theme="1"/>
        <rFont val="Calibri"/>
        <family val="2"/>
        <scheme val="minor"/>
      </rPr>
      <t xml:space="preserve"> far-c</t>
    </r>
  </si>
  <si>
    <r>
      <t xml:space="preserve">IRBR </t>
    </r>
    <r>
      <rPr>
        <vertAlign val="subscript"/>
        <sz val="11"/>
        <color theme="1"/>
        <rFont val="Calibri"/>
        <family val="2"/>
        <scheme val="minor"/>
      </rPr>
      <t>far-a</t>
    </r>
  </si>
  <si>
    <r>
      <t xml:space="preserve">IFBR </t>
    </r>
    <r>
      <rPr>
        <vertAlign val="subscript"/>
        <sz val="11"/>
        <color theme="1"/>
        <rFont val="Calibri"/>
        <family val="2"/>
        <scheme val="minor"/>
      </rPr>
      <t>far-adj</t>
    </r>
  </si>
  <si>
    <r>
      <t>IRCB</t>
    </r>
    <r>
      <rPr>
        <vertAlign val="subscript"/>
        <sz val="11"/>
        <color theme="1"/>
        <rFont val="Calibri"/>
        <family val="2"/>
        <scheme val="minor"/>
      </rPr>
      <t xml:space="preserve"> far-c</t>
    </r>
  </si>
  <si>
    <r>
      <t xml:space="preserve">IRCB </t>
    </r>
    <r>
      <rPr>
        <vertAlign val="subscript"/>
        <sz val="11"/>
        <color theme="1"/>
        <rFont val="Calibri"/>
        <family val="2"/>
        <scheme val="minor"/>
      </rPr>
      <t>far-a</t>
    </r>
  </si>
  <si>
    <r>
      <t xml:space="preserve">IFCB </t>
    </r>
    <r>
      <rPr>
        <vertAlign val="subscript"/>
        <sz val="11"/>
        <color theme="1"/>
        <rFont val="Calibri"/>
        <family val="2"/>
        <scheme val="minor"/>
      </rPr>
      <t>far-adj</t>
    </r>
  </si>
  <si>
    <r>
      <t>IRCR</t>
    </r>
    <r>
      <rPr>
        <vertAlign val="subscript"/>
        <sz val="11"/>
        <color theme="1"/>
        <rFont val="Calibri"/>
        <family val="2"/>
        <scheme val="minor"/>
      </rPr>
      <t xml:space="preserve"> far-c</t>
    </r>
  </si>
  <si>
    <r>
      <t xml:space="preserve">IRCR </t>
    </r>
    <r>
      <rPr>
        <vertAlign val="subscript"/>
        <sz val="11"/>
        <color theme="1"/>
        <rFont val="Calibri"/>
        <family val="2"/>
        <scheme val="minor"/>
      </rPr>
      <t>far-a</t>
    </r>
  </si>
  <si>
    <r>
      <t xml:space="preserve">IFCR </t>
    </r>
    <r>
      <rPr>
        <vertAlign val="subscript"/>
        <sz val="11"/>
        <color theme="1"/>
        <rFont val="Calibri"/>
        <family val="2"/>
        <scheme val="minor"/>
      </rPr>
      <t>far-adj</t>
    </r>
  </si>
  <si>
    <r>
      <t>IRCG</t>
    </r>
    <r>
      <rPr>
        <vertAlign val="subscript"/>
        <sz val="11"/>
        <color theme="1"/>
        <rFont val="Calibri"/>
        <family val="2"/>
        <scheme val="minor"/>
      </rPr>
      <t xml:space="preserve"> far-c</t>
    </r>
  </si>
  <si>
    <r>
      <t xml:space="preserve">IRCG </t>
    </r>
    <r>
      <rPr>
        <vertAlign val="subscript"/>
        <sz val="11"/>
        <color theme="1"/>
        <rFont val="Calibri"/>
        <family val="2"/>
        <scheme val="minor"/>
      </rPr>
      <t>far-a</t>
    </r>
  </si>
  <si>
    <r>
      <t xml:space="preserve">IFCG </t>
    </r>
    <r>
      <rPr>
        <vertAlign val="subscript"/>
        <sz val="11"/>
        <color theme="1"/>
        <rFont val="Calibri"/>
        <family val="2"/>
        <scheme val="minor"/>
      </rPr>
      <t>far-adj</t>
    </r>
  </si>
  <si>
    <r>
      <t>IRCI</t>
    </r>
    <r>
      <rPr>
        <vertAlign val="subscript"/>
        <sz val="11"/>
        <color theme="1"/>
        <rFont val="Calibri"/>
        <family val="2"/>
        <scheme val="minor"/>
      </rPr>
      <t xml:space="preserve"> far-c</t>
    </r>
  </si>
  <si>
    <r>
      <t xml:space="preserve">IRCI </t>
    </r>
    <r>
      <rPr>
        <vertAlign val="subscript"/>
        <sz val="11"/>
        <color theme="1"/>
        <rFont val="Calibri"/>
        <family val="2"/>
        <scheme val="minor"/>
      </rPr>
      <t>far-a</t>
    </r>
  </si>
  <si>
    <r>
      <t xml:space="preserve">IFCI </t>
    </r>
    <r>
      <rPr>
        <vertAlign val="subscript"/>
        <sz val="11"/>
        <color theme="1"/>
        <rFont val="Calibri"/>
        <family val="2"/>
        <scheme val="minor"/>
      </rPr>
      <t>far-adj</t>
    </r>
  </si>
  <si>
    <r>
      <t>IRCO</t>
    </r>
    <r>
      <rPr>
        <vertAlign val="subscript"/>
        <sz val="11"/>
        <color theme="1"/>
        <rFont val="Calibri"/>
        <family val="2"/>
        <scheme val="minor"/>
      </rPr>
      <t xml:space="preserve"> far-c</t>
    </r>
  </si>
  <si>
    <r>
      <t xml:space="preserve">IRCO </t>
    </r>
    <r>
      <rPr>
        <vertAlign val="subscript"/>
        <sz val="11"/>
        <color theme="1"/>
        <rFont val="Calibri"/>
        <family val="2"/>
        <scheme val="minor"/>
      </rPr>
      <t>far-a</t>
    </r>
  </si>
  <si>
    <r>
      <t xml:space="preserve">IFCO </t>
    </r>
    <r>
      <rPr>
        <vertAlign val="subscript"/>
        <sz val="11"/>
        <color theme="1"/>
        <rFont val="Calibri"/>
        <family val="2"/>
        <scheme val="minor"/>
      </rPr>
      <t>far-adj</t>
    </r>
  </si>
  <si>
    <r>
      <t>IRCU</t>
    </r>
    <r>
      <rPr>
        <vertAlign val="subscript"/>
        <sz val="11"/>
        <color theme="1"/>
        <rFont val="Calibri"/>
        <family val="2"/>
        <scheme val="minor"/>
      </rPr>
      <t xml:space="preserve"> far-c</t>
    </r>
  </si>
  <si>
    <r>
      <t xml:space="preserve">IRCU </t>
    </r>
    <r>
      <rPr>
        <vertAlign val="subscript"/>
        <sz val="11"/>
        <color theme="1"/>
        <rFont val="Calibri"/>
        <family val="2"/>
        <scheme val="minor"/>
      </rPr>
      <t>far-a</t>
    </r>
  </si>
  <si>
    <r>
      <t xml:space="preserve">IFCU </t>
    </r>
    <r>
      <rPr>
        <vertAlign val="subscript"/>
        <sz val="11"/>
        <color theme="1"/>
        <rFont val="Calibri"/>
        <family val="2"/>
        <scheme val="minor"/>
      </rPr>
      <t>far-adj</t>
    </r>
  </si>
  <si>
    <r>
      <t>IRLE</t>
    </r>
    <r>
      <rPr>
        <vertAlign val="subscript"/>
        <sz val="11"/>
        <color theme="1"/>
        <rFont val="Calibri"/>
        <family val="2"/>
        <scheme val="minor"/>
      </rPr>
      <t xml:space="preserve"> far-c</t>
    </r>
  </si>
  <si>
    <r>
      <t xml:space="preserve">IRLE </t>
    </r>
    <r>
      <rPr>
        <vertAlign val="subscript"/>
        <sz val="11"/>
        <color theme="1"/>
        <rFont val="Calibri"/>
        <family val="2"/>
        <scheme val="minor"/>
      </rPr>
      <t>far-a</t>
    </r>
  </si>
  <si>
    <r>
      <t xml:space="preserve">IFLE </t>
    </r>
    <r>
      <rPr>
        <vertAlign val="subscript"/>
        <sz val="11"/>
        <color theme="1"/>
        <rFont val="Calibri"/>
        <family val="2"/>
        <scheme val="minor"/>
      </rPr>
      <t>far-adj</t>
    </r>
  </si>
  <si>
    <r>
      <t>IRLI</t>
    </r>
    <r>
      <rPr>
        <vertAlign val="subscript"/>
        <sz val="11"/>
        <color theme="1"/>
        <rFont val="Calibri"/>
        <family val="2"/>
        <scheme val="minor"/>
      </rPr>
      <t xml:space="preserve"> far-c</t>
    </r>
  </si>
  <si>
    <r>
      <t xml:space="preserve">IRLI </t>
    </r>
    <r>
      <rPr>
        <vertAlign val="subscript"/>
        <sz val="11"/>
        <color theme="1"/>
        <rFont val="Calibri"/>
        <family val="2"/>
        <scheme val="minor"/>
      </rPr>
      <t>far-a</t>
    </r>
  </si>
  <si>
    <r>
      <t xml:space="preserve">IFLI </t>
    </r>
    <r>
      <rPr>
        <vertAlign val="subscript"/>
        <sz val="11"/>
        <color theme="1"/>
        <rFont val="Calibri"/>
        <family val="2"/>
        <scheme val="minor"/>
      </rPr>
      <t>far-adj</t>
    </r>
  </si>
  <si>
    <r>
      <t>IROK</t>
    </r>
    <r>
      <rPr>
        <vertAlign val="subscript"/>
        <sz val="11"/>
        <color theme="1"/>
        <rFont val="Calibri"/>
        <family val="2"/>
        <scheme val="minor"/>
      </rPr>
      <t xml:space="preserve"> far-c</t>
    </r>
  </si>
  <si>
    <r>
      <t xml:space="preserve">IROK </t>
    </r>
    <r>
      <rPr>
        <vertAlign val="subscript"/>
        <sz val="11"/>
        <color theme="1"/>
        <rFont val="Calibri"/>
        <family val="2"/>
        <scheme val="minor"/>
      </rPr>
      <t>far-a</t>
    </r>
  </si>
  <si>
    <r>
      <t xml:space="preserve">IFOK </t>
    </r>
    <r>
      <rPr>
        <vertAlign val="subscript"/>
        <sz val="11"/>
        <color theme="1"/>
        <rFont val="Calibri"/>
        <family val="2"/>
        <scheme val="minor"/>
      </rPr>
      <t>far-adj</t>
    </r>
  </si>
  <si>
    <r>
      <t>IRON</t>
    </r>
    <r>
      <rPr>
        <vertAlign val="subscript"/>
        <sz val="11"/>
        <color theme="1"/>
        <rFont val="Calibri"/>
        <family val="2"/>
        <scheme val="minor"/>
      </rPr>
      <t xml:space="preserve"> far-c</t>
    </r>
  </si>
  <si>
    <r>
      <t xml:space="preserve">IRON </t>
    </r>
    <r>
      <rPr>
        <vertAlign val="subscript"/>
        <sz val="11"/>
        <color theme="1"/>
        <rFont val="Calibri"/>
        <family val="2"/>
        <scheme val="minor"/>
      </rPr>
      <t>far-a</t>
    </r>
  </si>
  <si>
    <r>
      <t xml:space="preserve">IFON </t>
    </r>
    <r>
      <rPr>
        <vertAlign val="subscript"/>
        <sz val="11"/>
        <color theme="1"/>
        <rFont val="Calibri"/>
        <family val="2"/>
        <scheme val="minor"/>
      </rPr>
      <t>far-adj</t>
    </r>
  </si>
  <si>
    <r>
      <t>IRPC</t>
    </r>
    <r>
      <rPr>
        <vertAlign val="subscript"/>
        <sz val="11"/>
        <color theme="1"/>
        <rFont val="Calibri"/>
        <family val="2"/>
        <scheme val="minor"/>
      </rPr>
      <t xml:space="preserve"> far-c</t>
    </r>
  </si>
  <si>
    <r>
      <t xml:space="preserve">IRPC </t>
    </r>
    <r>
      <rPr>
        <vertAlign val="subscript"/>
        <sz val="11"/>
        <color theme="1"/>
        <rFont val="Calibri"/>
        <family val="2"/>
        <scheme val="minor"/>
      </rPr>
      <t>far-a</t>
    </r>
  </si>
  <si>
    <r>
      <t xml:space="preserve">IFPC </t>
    </r>
    <r>
      <rPr>
        <vertAlign val="subscript"/>
        <sz val="11"/>
        <color theme="1"/>
        <rFont val="Calibri"/>
        <family val="2"/>
        <scheme val="minor"/>
      </rPr>
      <t>far-adj</t>
    </r>
  </si>
  <si>
    <r>
      <t>IRPE</t>
    </r>
    <r>
      <rPr>
        <vertAlign val="subscript"/>
        <sz val="11"/>
        <color theme="1"/>
        <rFont val="Calibri"/>
        <family val="2"/>
        <scheme val="minor"/>
      </rPr>
      <t xml:space="preserve"> far-c</t>
    </r>
  </si>
  <si>
    <r>
      <t xml:space="preserve">IRPE </t>
    </r>
    <r>
      <rPr>
        <vertAlign val="subscript"/>
        <sz val="11"/>
        <color theme="1"/>
        <rFont val="Calibri"/>
        <family val="2"/>
        <scheme val="minor"/>
      </rPr>
      <t>far-a</t>
    </r>
  </si>
  <si>
    <r>
      <t xml:space="preserve">IFPE </t>
    </r>
    <r>
      <rPr>
        <vertAlign val="subscript"/>
        <sz val="11"/>
        <color theme="1"/>
        <rFont val="Calibri"/>
        <family val="2"/>
        <scheme val="minor"/>
      </rPr>
      <t>far-adj</t>
    </r>
  </si>
  <si>
    <r>
      <t>IRPT</t>
    </r>
    <r>
      <rPr>
        <vertAlign val="subscript"/>
        <sz val="11"/>
        <color theme="1"/>
        <rFont val="Calibri"/>
        <family val="2"/>
        <scheme val="minor"/>
      </rPr>
      <t xml:space="preserve"> far-c</t>
    </r>
  </si>
  <si>
    <r>
      <t xml:space="preserve">IRPT </t>
    </r>
    <r>
      <rPr>
        <vertAlign val="subscript"/>
        <sz val="11"/>
        <color theme="1"/>
        <rFont val="Calibri"/>
        <family val="2"/>
        <scheme val="minor"/>
      </rPr>
      <t>far-a</t>
    </r>
  </si>
  <si>
    <r>
      <t xml:space="preserve">IFPT </t>
    </r>
    <r>
      <rPr>
        <vertAlign val="subscript"/>
        <sz val="11"/>
        <color theme="1"/>
        <rFont val="Calibri"/>
        <family val="2"/>
        <scheme val="minor"/>
      </rPr>
      <t>far-adj</t>
    </r>
  </si>
  <si>
    <r>
      <t>IRPU</t>
    </r>
    <r>
      <rPr>
        <vertAlign val="subscript"/>
        <sz val="11"/>
        <color theme="1"/>
        <rFont val="Calibri"/>
        <family val="2"/>
        <scheme val="minor"/>
      </rPr>
      <t xml:space="preserve"> far-c</t>
    </r>
  </si>
  <si>
    <r>
      <t xml:space="preserve">IRPU </t>
    </r>
    <r>
      <rPr>
        <vertAlign val="subscript"/>
        <sz val="11"/>
        <color theme="1"/>
        <rFont val="Calibri"/>
        <family val="2"/>
        <scheme val="minor"/>
      </rPr>
      <t>far-a</t>
    </r>
  </si>
  <si>
    <r>
      <t xml:space="preserve">IFPU </t>
    </r>
    <r>
      <rPr>
        <vertAlign val="subscript"/>
        <sz val="11"/>
        <color theme="1"/>
        <rFont val="Calibri"/>
        <family val="2"/>
        <scheme val="minor"/>
      </rPr>
      <t>far-adj</t>
    </r>
  </si>
  <si>
    <r>
      <t>IRRI</t>
    </r>
    <r>
      <rPr>
        <vertAlign val="subscript"/>
        <sz val="11"/>
        <color theme="1"/>
        <rFont val="Calibri"/>
        <family val="2"/>
        <scheme val="minor"/>
      </rPr>
      <t xml:space="preserve"> far-c</t>
    </r>
  </si>
  <si>
    <r>
      <t xml:space="preserve">IRRI </t>
    </r>
    <r>
      <rPr>
        <vertAlign val="subscript"/>
        <sz val="11"/>
        <color theme="1"/>
        <rFont val="Calibri"/>
        <family val="2"/>
        <scheme val="minor"/>
      </rPr>
      <t>far-a</t>
    </r>
  </si>
  <si>
    <r>
      <t xml:space="preserve">IFRI </t>
    </r>
    <r>
      <rPr>
        <vertAlign val="subscript"/>
        <sz val="11"/>
        <color theme="1"/>
        <rFont val="Calibri"/>
        <family val="2"/>
        <scheme val="minor"/>
      </rPr>
      <t>far-adj</t>
    </r>
  </si>
  <si>
    <r>
      <t>IRSN</t>
    </r>
    <r>
      <rPr>
        <vertAlign val="subscript"/>
        <sz val="11"/>
        <color theme="1"/>
        <rFont val="Calibri"/>
        <family val="2"/>
        <scheme val="minor"/>
      </rPr>
      <t xml:space="preserve"> far-c</t>
    </r>
  </si>
  <si>
    <r>
      <t xml:space="preserve">IRSN </t>
    </r>
    <r>
      <rPr>
        <vertAlign val="subscript"/>
        <sz val="11"/>
        <color theme="1"/>
        <rFont val="Calibri"/>
        <family val="2"/>
        <scheme val="minor"/>
      </rPr>
      <t>far-a</t>
    </r>
  </si>
  <si>
    <r>
      <t xml:space="preserve">IFSN </t>
    </r>
    <r>
      <rPr>
        <vertAlign val="subscript"/>
        <sz val="11"/>
        <color theme="1"/>
        <rFont val="Calibri"/>
        <family val="2"/>
        <scheme val="minor"/>
      </rPr>
      <t>far-adj</t>
    </r>
  </si>
  <si>
    <r>
      <t>IRST</t>
    </r>
    <r>
      <rPr>
        <vertAlign val="subscript"/>
        <sz val="11"/>
        <color theme="1"/>
        <rFont val="Calibri"/>
        <family val="2"/>
        <scheme val="minor"/>
      </rPr>
      <t xml:space="preserve"> far-c</t>
    </r>
  </si>
  <si>
    <r>
      <t xml:space="preserve">IRST </t>
    </r>
    <r>
      <rPr>
        <vertAlign val="subscript"/>
        <sz val="11"/>
        <color theme="1"/>
        <rFont val="Calibri"/>
        <family val="2"/>
        <scheme val="minor"/>
      </rPr>
      <t>far-a</t>
    </r>
  </si>
  <si>
    <r>
      <t xml:space="preserve">IFST </t>
    </r>
    <r>
      <rPr>
        <vertAlign val="subscript"/>
        <sz val="11"/>
        <color theme="1"/>
        <rFont val="Calibri"/>
        <family val="2"/>
        <scheme val="minor"/>
      </rPr>
      <t>far-adj</t>
    </r>
  </si>
  <si>
    <r>
      <t>IRTO</t>
    </r>
    <r>
      <rPr>
        <vertAlign val="subscript"/>
        <sz val="11"/>
        <color theme="1"/>
        <rFont val="Calibri"/>
        <family val="2"/>
        <scheme val="minor"/>
      </rPr>
      <t xml:space="preserve"> far-c</t>
    </r>
  </si>
  <si>
    <r>
      <t xml:space="preserve">IRTO </t>
    </r>
    <r>
      <rPr>
        <vertAlign val="subscript"/>
        <sz val="11"/>
        <color theme="1"/>
        <rFont val="Calibri"/>
        <family val="2"/>
        <scheme val="minor"/>
      </rPr>
      <t>far-a</t>
    </r>
  </si>
  <si>
    <r>
      <t xml:space="preserve">IFTO </t>
    </r>
    <r>
      <rPr>
        <vertAlign val="subscript"/>
        <sz val="11"/>
        <color theme="1"/>
        <rFont val="Calibri"/>
        <family val="2"/>
        <scheme val="minor"/>
      </rPr>
      <t>far-adj</t>
    </r>
  </si>
  <si>
    <r>
      <t xml:space="preserve">CF </t>
    </r>
    <r>
      <rPr>
        <vertAlign val="subscript"/>
        <sz val="11"/>
        <rFont val="Calibri"/>
        <family val="2"/>
        <scheme val="minor"/>
      </rPr>
      <t>far-goat</t>
    </r>
  </si>
  <si>
    <r>
      <t xml:space="preserve">CF </t>
    </r>
    <r>
      <rPr>
        <vertAlign val="subscript"/>
        <sz val="11"/>
        <rFont val="Calibri"/>
        <family val="2"/>
        <scheme val="minor"/>
      </rPr>
      <t>far-goat-milk</t>
    </r>
  </si>
  <si>
    <r>
      <t xml:space="preserve">CF </t>
    </r>
    <r>
      <rPr>
        <vertAlign val="subscript"/>
        <sz val="11"/>
        <rFont val="Calibri"/>
        <family val="2"/>
        <scheme val="minor"/>
      </rPr>
      <t>far-sheep-milk</t>
    </r>
  </si>
  <si>
    <r>
      <t>IRGO</t>
    </r>
    <r>
      <rPr>
        <vertAlign val="subscript"/>
        <sz val="11"/>
        <color theme="1"/>
        <rFont val="Calibri"/>
        <family val="2"/>
        <scheme val="minor"/>
      </rPr>
      <t xml:space="preserve"> far-c</t>
    </r>
  </si>
  <si>
    <r>
      <t xml:space="preserve">IRGO </t>
    </r>
    <r>
      <rPr>
        <vertAlign val="subscript"/>
        <sz val="11"/>
        <color theme="1"/>
        <rFont val="Calibri"/>
        <family val="2"/>
        <scheme val="minor"/>
      </rPr>
      <t>far-a</t>
    </r>
  </si>
  <si>
    <r>
      <t xml:space="preserve">IFGO </t>
    </r>
    <r>
      <rPr>
        <vertAlign val="subscript"/>
        <sz val="11"/>
        <color theme="1"/>
        <rFont val="Calibri"/>
        <family val="2"/>
        <scheme val="minor"/>
      </rPr>
      <t>far-adj</t>
    </r>
  </si>
  <si>
    <r>
      <t>IRSM</t>
    </r>
    <r>
      <rPr>
        <vertAlign val="subscript"/>
        <sz val="11"/>
        <color theme="1"/>
        <rFont val="Calibri"/>
        <family val="2"/>
        <scheme val="minor"/>
      </rPr>
      <t xml:space="preserve"> far-c</t>
    </r>
  </si>
  <si>
    <r>
      <t xml:space="preserve">IRSM </t>
    </r>
    <r>
      <rPr>
        <vertAlign val="subscript"/>
        <sz val="11"/>
        <color theme="1"/>
        <rFont val="Calibri"/>
        <family val="2"/>
        <scheme val="minor"/>
      </rPr>
      <t>far-a</t>
    </r>
  </si>
  <si>
    <r>
      <t xml:space="preserve">IFSM </t>
    </r>
    <r>
      <rPr>
        <vertAlign val="subscript"/>
        <sz val="11"/>
        <color theme="1"/>
        <rFont val="Calibri"/>
        <family val="2"/>
        <scheme val="minor"/>
      </rPr>
      <t>far-adj</t>
    </r>
  </si>
  <si>
    <r>
      <t>IRGM</t>
    </r>
    <r>
      <rPr>
        <vertAlign val="subscript"/>
        <sz val="11"/>
        <color theme="1"/>
        <rFont val="Calibri"/>
        <family val="2"/>
        <scheme val="minor"/>
      </rPr>
      <t xml:space="preserve"> far-c</t>
    </r>
  </si>
  <si>
    <r>
      <t xml:space="preserve">IRGM </t>
    </r>
    <r>
      <rPr>
        <vertAlign val="subscript"/>
        <sz val="11"/>
        <color theme="1"/>
        <rFont val="Calibri"/>
        <family val="2"/>
        <scheme val="minor"/>
      </rPr>
      <t>far-a</t>
    </r>
  </si>
  <si>
    <r>
      <t xml:space="preserve">IFGM </t>
    </r>
    <r>
      <rPr>
        <vertAlign val="subscript"/>
        <sz val="11"/>
        <color theme="1"/>
        <rFont val="Calibri"/>
        <family val="2"/>
        <scheme val="minor"/>
      </rPr>
      <t>far-adj</t>
    </r>
  </si>
  <si>
    <r>
      <t xml:space="preserve">MLF </t>
    </r>
    <r>
      <rPr>
        <vertAlign val="subscript"/>
        <sz val="11"/>
        <rFont val="Calibri"/>
        <family val="2"/>
        <scheme val="minor"/>
      </rPr>
      <t>apple</t>
    </r>
  </si>
  <si>
    <r>
      <t xml:space="preserve">MLF </t>
    </r>
    <r>
      <rPr>
        <vertAlign val="subscript"/>
        <sz val="11"/>
        <rFont val="Calibri"/>
        <family val="2"/>
        <scheme val="minor"/>
      </rPr>
      <t>asparagus</t>
    </r>
  </si>
  <si>
    <r>
      <t xml:space="preserve">MLF </t>
    </r>
    <r>
      <rPr>
        <vertAlign val="subscript"/>
        <sz val="11"/>
        <rFont val="Calibri"/>
        <family val="2"/>
        <scheme val="minor"/>
      </rPr>
      <t>beet</t>
    </r>
  </si>
  <si>
    <r>
      <t xml:space="preserve">MLF </t>
    </r>
    <r>
      <rPr>
        <vertAlign val="subscript"/>
        <sz val="11"/>
        <rFont val="Calibri"/>
        <family val="2"/>
        <scheme val="minor"/>
      </rPr>
      <t>berries</t>
    </r>
  </si>
  <si>
    <r>
      <t xml:space="preserve">MLF </t>
    </r>
    <r>
      <rPr>
        <vertAlign val="subscript"/>
        <sz val="11"/>
        <rFont val="Calibri"/>
        <family val="2"/>
        <scheme val="minor"/>
      </rPr>
      <t>broccoli</t>
    </r>
  </si>
  <si>
    <r>
      <t xml:space="preserve">MLF </t>
    </r>
    <r>
      <rPr>
        <vertAlign val="subscript"/>
        <sz val="11"/>
        <rFont val="Calibri"/>
        <family val="2"/>
        <scheme val="minor"/>
      </rPr>
      <t>cabbage</t>
    </r>
  </si>
  <si>
    <r>
      <t xml:space="preserve">MLF </t>
    </r>
    <r>
      <rPr>
        <vertAlign val="subscript"/>
        <sz val="11"/>
        <rFont val="Calibri"/>
        <family val="2"/>
        <scheme val="minor"/>
      </rPr>
      <t>carrot</t>
    </r>
  </si>
  <si>
    <r>
      <t xml:space="preserve">MLF </t>
    </r>
    <r>
      <rPr>
        <vertAlign val="subscript"/>
        <sz val="11"/>
        <rFont val="Calibri"/>
        <family val="2"/>
        <scheme val="minor"/>
      </rPr>
      <t>citrus</t>
    </r>
  </si>
  <si>
    <r>
      <t xml:space="preserve">MLF </t>
    </r>
    <r>
      <rPr>
        <vertAlign val="subscript"/>
        <sz val="11"/>
        <rFont val="Calibri"/>
        <family val="2"/>
        <scheme val="minor"/>
      </rPr>
      <t>corn</t>
    </r>
  </si>
  <si>
    <r>
      <t xml:space="preserve">MLF </t>
    </r>
    <r>
      <rPr>
        <vertAlign val="subscript"/>
        <sz val="11"/>
        <rFont val="Calibri"/>
        <family val="2"/>
        <scheme val="minor"/>
      </rPr>
      <t>cucumber</t>
    </r>
  </si>
  <si>
    <r>
      <t xml:space="preserve">MLF </t>
    </r>
    <r>
      <rPr>
        <vertAlign val="subscript"/>
        <sz val="11"/>
        <rFont val="Calibri"/>
        <family val="2"/>
        <scheme val="minor"/>
      </rPr>
      <t>lettuce</t>
    </r>
  </si>
  <si>
    <r>
      <t xml:space="preserve">MLF </t>
    </r>
    <r>
      <rPr>
        <vertAlign val="subscript"/>
        <sz val="11"/>
        <rFont val="Calibri"/>
        <family val="2"/>
        <scheme val="minor"/>
      </rPr>
      <t>lima bean</t>
    </r>
  </si>
  <si>
    <r>
      <t xml:space="preserve">MLF </t>
    </r>
    <r>
      <rPr>
        <vertAlign val="subscript"/>
        <sz val="11"/>
        <rFont val="Calibri"/>
        <family val="2"/>
        <scheme val="minor"/>
      </rPr>
      <t>okra</t>
    </r>
  </si>
  <si>
    <r>
      <t xml:space="preserve">MLF </t>
    </r>
    <r>
      <rPr>
        <vertAlign val="subscript"/>
        <sz val="11"/>
        <rFont val="Calibri"/>
        <family val="2"/>
        <scheme val="minor"/>
      </rPr>
      <t>onion</t>
    </r>
  </si>
  <si>
    <r>
      <t xml:space="preserve">MLF </t>
    </r>
    <r>
      <rPr>
        <vertAlign val="subscript"/>
        <sz val="11"/>
        <rFont val="Calibri"/>
        <family val="2"/>
        <scheme val="minor"/>
      </rPr>
      <t>peach</t>
    </r>
  </si>
  <si>
    <r>
      <t xml:space="preserve">MLF </t>
    </r>
    <r>
      <rPr>
        <vertAlign val="subscript"/>
        <sz val="11"/>
        <rFont val="Calibri"/>
        <family val="2"/>
        <scheme val="minor"/>
      </rPr>
      <t>pear</t>
    </r>
  </si>
  <si>
    <r>
      <t xml:space="preserve">MLF </t>
    </r>
    <r>
      <rPr>
        <vertAlign val="subscript"/>
        <sz val="11"/>
        <rFont val="Calibri"/>
        <family val="2"/>
        <scheme val="minor"/>
      </rPr>
      <t>peas</t>
    </r>
  </si>
  <si>
    <r>
      <t xml:space="preserve">MLF </t>
    </r>
    <r>
      <rPr>
        <vertAlign val="subscript"/>
        <sz val="11"/>
        <rFont val="Calibri"/>
        <family val="2"/>
        <scheme val="minor"/>
      </rPr>
      <t>potato</t>
    </r>
  </si>
  <si>
    <r>
      <t xml:space="preserve">MLF </t>
    </r>
    <r>
      <rPr>
        <vertAlign val="subscript"/>
        <sz val="11"/>
        <rFont val="Calibri"/>
        <family val="2"/>
        <scheme val="minor"/>
      </rPr>
      <t>pumpkin</t>
    </r>
  </si>
  <si>
    <r>
      <t xml:space="preserve">MLF </t>
    </r>
    <r>
      <rPr>
        <vertAlign val="subscript"/>
        <sz val="11"/>
        <rFont val="Calibri"/>
        <family val="2"/>
        <scheme val="minor"/>
      </rPr>
      <t>snap bean</t>
    </r>
  </si>
  <si>
    <r>
      <t xml:space="preserve">MLF </t>
    </r>
    <r>
      <rPr>
        <vertAlign val="subscript"/>
        <sz val="11"/>
        <rFont val="Calibri"/>
        <family val="2"/>
        <scheme val="minor"/>
      </rPr>
      <t>strawberry</t>
    </r>
  </si>
  <si>
    <r>
      <t xml:space="preserve">MLF </t>
    </r>
    <r>
      <rPr>
        <vertAlign val="subscript"/>
        <sz val="11"/>
        <rFont val="Calibri"/>
        <family val="2"/>
        <scheme val="minor"/>
      </rPr>
      <t>tomato</t>
    </r>
  </si>
  <si>
    <r>
      <t xml:space="preserve">MLF </t>
    </r>
    <r>
      <rPr>
        <vertAlign val="subscript"/>
        <sz val="11"/>
        <rFont val="Calibri"/>
        <family val="2"/>
        <scheme val="minor"/>
      </rPr>
      <t>cereal</t>
    </r>
  </si>
  <si>
    <r>
      <t xml:space="preserve">MLF </t>
    </r>
    <r>
      <rPr>
        <vertAlign val="subscript"/>
        <sz val="11"/>
        <rFont val="Calibri"/>
        <family val="2"/>
        <scheme val="minor"/>
      </rPr>
      <t>rice</t>
    </r>
  </si>
  <si>
    <t>IRAP res-c</t>
  </si>
  <si>
    <t>IRAP res-a</t>
  </si>
  <si>
    <t>IFAP res-adj</t>
  </si>
  <si>
    <t>IRAS res-c</t>
  </si>
  <si>
    <t>IRAS res-a</t>
  </si>
  <si>
    <t>IFAS res-adj</t>
  </si>
  <si>
    <t>IRBT res-c</t>
  </si>
  <si>
    <t>IRBT res-a</t>
  </si>
  <si>
    <t>IFBT res-adj</t>
  </si>
  <si>
    <t>IRBE res-c</t>
  </si>
  <si>
    <t>IRBE res-a</t>
  </si>
  <si>
    <t>IFBE res-adj</t>
  </si>
  <si>
    <t>IRBR res-c</t>
  </si>
  <si>
    <t>IRBR res-a</t>
  </si>
  <si>
    <t>IFBR res-adj</t>
  </si>
  <si>
    <t>IRCB res-c</t>
  </si>
  <si>
    <t>IRCB res-a</t>
  </si>
  <si>
    <t>IFCB res-adj</t>
  </si>
  <si>
    <t>IRCR res-c</t>
  </si>
  <si>
    <t>IRCR res-a</t>
  </si>
  <si>
    <t>IFCR res-adj</t>
  </si>
  <si>
    <t>IRCG res-c</t>
  </si>
  <si>
    <t>IRCG res-a</t>
  </si>
  <si>
    <t>IFCG res-adj</t>
  </si>
  <si>
    <t>IRCI res-c</t>
  </si>
  <si>
    <t>IRCI res-a</t>
  </si>
  <si>
    <t>IFCI res-adj</t>
  </si>
  <si>
    <t>IRCO res-c</t>
  </si>
  <si>
    <t>IRCO res-a</t>
  </si>
  <si>
    <t>IFCO res-adj</t>
  </si>
  <si>
    <t>IRCU res-c</t>
  </si>
  <si>
    <t>IRCU res-a</t>
  </si>
  <si>
    <t>IFCU res-adj</t>
  </si>
  <si>
    <t>IRLE res-c</t>
  </si>
  <si>
    <t>IRLE res-a</t>
  </si>
  <si>
    <t>IFLE res-adj</t>
  </si>
  <si>
    <t>IRLI res-c</t>
  </si>
  <si>
    <t>IRLI res-a</t>
  </si>
  <si>
    <t>IFLI res-adj</t>
  </si>
  <si>
    <t>IROK res-c</t>
  </si>
  <si>
    <t>IROK res-a</t>
  </si>
  <si>
    <t>IFOK res-adj</t>
  </si>
  <si>
    <t>IRON res-c</t>
  </si>
  <si>
    <t>IRON res-a</t>
  </si>
  <si>
    <t>IFON res-adj</t>
  </si>
  <si>
    <t>IRPC res-c</t>
  </si>
  <si>
    <t>IRPC res-a</t>
  </si>
  <si>
    <t>IFPC res-adj</t>
  </si>
  <si>
    <t>IRPE res-c</t>
  </si>
  <si>
    <t>IRPE res-a</t>
  </si>
  <si>
    <t>IFPE res-adj</t>
  </si>
  <si>
    <t>IRPT res-c</t>
  </si>
  <si>
    <t>IRPT res-a</t>
  </si>
  <si>
    <t>IFPT res-adj</t>
  </si>
  <si>
    <t>IRPU res-c</t>
  </si>
  <si>
    <t>IRPU res-a</t>
  </si>
  <si>
    <t>IFPU res-adj</t>
  </si>
  <si>
    <t>IRRI res-c</t>
  </si>
  <si>
    <t>IRRI res-a</t>
  </si>
  <si>
    <t>IFRI res-adj</t>
  </si>
  <si>
    <t>IRSN res-c</t>
  </si>
  <si>
    <t>IRSN res-a</t>
  </si>
  <si>
    <t>IFSN res-adj</t>
  </si>
  <si>
    <t>IRST res-c</t>
  </si>
  <si>
    <t>IRST res-a</t>
  </si>
  <si>
    <t>IFST res-adj</t>
  </si>
  <si>
    <t>IRTO res-c</t>
  </si>
  <si>
    <t>IRTO res-a</t>
  </si>
  <si>
    <t>IFTO res-adj</t>
  </si>
  <si>
    <r>
      <t>IRPR</t>
    </r>
    <r>
      <rPr>
        <vertAlign val="subscript"/>
        <sz val="11"/>
        <color theme="1"/>
        <rFont val="Calibri"/>
        <family val="2"/>
        <scheme val="minor"/>
      </rPr>
      <t xml:space="preserve"> far-c</t>
    </r>
  </si>
  <si>
    <r>
      <t xml:space="preserve">IRPR </t>
    </r>
    <r>
      <rPr>
        <vertAlign val="subscript"/>
        <sz val="11"/>
        <color theme="1"/>
        <rFont val="Calibri"/>
        <family val="2"/>
        <scheme val="minor"/>
      </rPr>
      <t>far-a</t>
    </r>
  </si>
  <si>
    <r>
      <t xml:space="preserve">IFPR </t>
    </r>
    <r>
      <rPr>
        <vertAlign val="subscript"/>
        <sz val="11"/>
        <color theme="1"/>
        <rFont val="Calibri"/>
        <family val="2"/>
        <scheme val="minor"/>
      </rPr>
      <t>far-adj</t>
    </r>
  </si>
  <si>
    <t>IRPR res-c</t>
  </si>
  <si>
    <t>IRPR res-a</t>
  </si>
  <si>
    <t>IFPR res-adj</t>
  </si>
  <si>
    <t xml:space="preserve"> Farmer Produce</t>
  </si>
  <si>
    <t>Farmer Animal Products</t>
  </si>
  <si>
    <t>far_prod_ing_tot</t>
  </si>
  <si>
    <t>res_prod_ing_tot</t>
  </si>
  <si>
    <t>res_apple</t>
  </si>
  <si>
    <t>res_beet</t>
  </si>
  <si>
    <t>res_berry</t>
  </si>
  <si>
    <t>res_broc</t>
  </si>
  <si>
    <t>res_aspar</t>
  </si>
  <si>
    <t>res_cabb</t>
  </si>
  <si>
    <t>res_carr</t>
  </si>
  <si>
    <t>res_citrus</t>
  </si>
  <si>
    <t>res_corn</t>
  </si>
  <si>
    <t>res_cucum</t>
  </si>
  <si>
    <t>res_lett</t>
  </si>
  <si>
    <t>res_lima</t>
  </si>
  <si>
    <t>res_okra</t>
  </si>
  <si>
    <t>res_onion</t>
  </si>
  <si>
    <t>res_peach</t>
  </si>
  <si>
    <t>res_pear</t>
  </si>
  <si>
    <t>res_pea</t>
  </si>
  <si>
    <t>res_potat</t>
  </si>
  <si>
    <t>res_pump</t>
  </si>
  <si>
    <t>res_snap</t>
  </si>
  <si>
    <t>res_straw</t>
  </si>
  <si>
    <t>res_tom</t>
  </si>
  <si>
    <t>res_rice</t>
  </si>
  <si>
    <t>far_apple</t>
  </si>
  <si>
    <t>far_aspar</t>
  </si>
  <si>
    <t>far_beet</t>
  </si>
  <si>
    <t>far_berry</t>
  </si>
  <si>
    <t>far_broc</t>
  </si>
  <si>
    <t>far_cabb</t>
  </si>
  <si>
    <t>far_carr</t>
  </si>
  <si>
    <t>far_citrus</t>
  </si>
  <si>
    <t>far_corn</t>
  </si>
  <si>
    <t>far_cucum</t>
  </si>
  <si>
    <t>far_lett</t>
  </si>
  <si>
    <t>far_lima</t>
  </si>
  <si>
    <t>far_okra</t>
  </si>
  <si>
    <t>far_onion</t>
  </si>
  <si>
    <t>far_peach</t>
  </si>
  <si>
    <t>far_pear</t>
  </si>
  <si>
    <t>far_pea</t>
  </si>
  <si>
    <t>far_potat</t>
  </si>
  <si>
    <t>far_pump</t>
  </si>
  <si>
    <t>far_snap</t>
  </si>
  <si>
    <t>far_straw</t>
  </si>
  <si>
    <t>far_tom</t>
  </si>
  <si>
    <t>far_rice</t>
  </si>
  <si>
    <t>far_grain</t>
  </si>
  <si>
    <r>
      <t xml:space="preserve">CF </t>
    </r>
    <r>
      <rPr>
        <vertAlign val="subscript"/>
        <sz val="11"/>
        <rFont val="Calibri"/>
        <family val="2"/>
        <scheme val="minor"/>
      </rPr>
      <t>apple</t>
    </r>
  </si>
  <si>
    <r>
      <t xml:space="preserve">CF </t>
    </r>
    <r>
      <rPr>
        <vertAlign val="subscript"/>
        <sz val="11"/>
        <rFont val="Calibri"/>
        <family val="2"/>
        <scheme val="minor"/>
      </rPr>
      <t>asparagus</t>
    </r>
  </si>
  <si>
    <r>
      <t xml:space="preserve">CF </t>
    </r>
    <r>
      <rPr>
        <vertAlign val="subscript"/>
        <sz val="11"/>
        <rFont val="Calibri"/>
        <family val="2"/>
        <scheme val="minor"/>
      </rPr>
      <t>beet</t>
    </r>
  </si>
  <si>
    <r>
      <t xml:space="preserve">CF </t>
    </r>
    <r>
      <rPr>
        <vertAlign val="subscript"/>
        <sz val="11"/>
        <rFont val="Calibri"/>
        <family val="2"/>
        <scheme val="minor"/>
      </rPr>
      <t>berries</t>
    </r>
  </si>
  <si>
    <r>
      <t xml:space="preserve">CF </t>
    </r>
    <r>
      <rPr>
        <vertAlign val="subscript"/>
        <sz val="11"/>
        <rFont val="Calibri"/>
        <family val="2"/>
        <scheme val="minor"/>
      </rPr>
      <t>broccoli</t>
    </r>
  </si>
  <si>
    <r>
      <t xml:space="preserve">CF </t>
    </r>
    <r>
      <rPr>
        <vertAlign val="subscript"/>
        <sz val="11"/>
        <rFont val="Calibri"/>
        <family val="2"/>
        <scheme val="minor"/>
      </rPr>
      <t>cabbage</t>
    </r>
  </si>
  <si>
    <r>
      <t xml:space="preserve">CF </t>
    </r>
    <r>
      <rPr>
        <vertAlign val="subscript"/>
        <sz val="11"/>
        <rFont val="Calibri"/>
        <family val="2"/>
        <scheme val="minor"/>
      </rPr>
      <t>carrot</t>
    </r>
  </si>
  <si>
    <r>
      <t xml:space="preserve">CF </t>
    </r>
    <r>
      <rPr>
        <vertAlign val="subscript"/>
        <sz val="11"/>
        <rFont val="Calibri"/>
        <family val="2"/>
        <scheme val="minor"/>
      </rPr>
      <t>citrus</t>
    </r>
  </si>
  <si>
    <r>
      <t xml:space="preserve">CF </t>
    </r>
    <r>
      <rPr>
        <vertAlign val="subscript"/>
        <sz val="11"/>
        <rFont val="Calibri"/>
        <family val="2"/>
        <scheme val="minor"/>
      </rPr>
      <t>corn</t>
    </r>
  </si>
  <si>
    <r>
      <t xml:space="preserve">CF </t>
    </r>
    <r>
      <rPr>
        <vertAlign val="subscript"/>
        <sz val="11"/>
        <rFont val="Calibri"/>
        <family val="2"/>
        <scheme val="minor"/>
      </rPr>
      <t>cucumber</t>
    </r>
  </si>
  <si>
    <r>
      <t xml:space="preserve">CF </t>
    </r>
    <r>
      <rPr>
        <vertAlign val="subscript"/>
        <sz val="11"/>
        <rFont val="Calibri"/>
        <family val="2"/>
        <scheme val="minor"/>
      </rPr>
      <t>lettuce</t>
    </r>
  </si>
  <si>
    <r>
      <t xml:space="preserve">CF </t>
    </r>
    <r>
      <rPr>
        <vertAlign val="subscript"/>
        <sz val="11"/>
        <rFont val="Calibri"/>
        <family val="2"/>
        <scheme val="minor"/>
      </rPr>
      <t>lima bean</t>
    </r>
  </si>
  <si>
    <r>
      <t xml:space="preserve">CF </t>
    </r>
    <r>
      <rPr>
        <vertAlign val="subscript"/>
        <sz val="11"/>
        <rFont val="Calibri"/>
        <family val="2"/>
        <scheme val="minor"/>
      </rPr>
      <t>okra</t>
    </r>
  </si>
  <si>
    <r>
      <t xml:space="preserve">CF </t>
    </r>
    <r>
      <rPr>
        <vertAlign val="subscript"/>
        <sz val="11"/>
        <rFont val="Calibri"/>
        <family val="2"/>
        <scheme val="minor"/>
      </rPr>
      <t>onion</t>
    </r>
  </si>
  <si>
    <r>
      <t xml:space="preserve">CF </t>
    </r>
    <r>
      <rPr>
        <vertAlign val="subscript"/>
        <sz val="11"/>
        <rFont val="Calibri"/>
        <family val="2"/>
        <scheme val="minor"/>
      </rPr>
      <t>peach</t>
    </r>
  </si>
  <si>
    <r>
      <t xml:space="preserve">CF </t>
    </r>
    <r>
      <rPr>
        <vertAlign val="subscript"/>
        <sz val="11"/>
        <rFont val="Calibri"/>
        <family val="2"/>
        <scheme val="minor"/>
      </rPr>
      <t>pear</t>
    </r>
  </si>
  <si>
    <r>
      <t xml:space="preserve">CF </t>
    </r>
    <r>
      <rPr>
        <vertAlign val="subscript"/>
        <sz val="11"/>
        <rFont val="Calibri"/>
        <family val="2"/>
        <scheme val="minor"/>
      </rPr>
      <t>peas</t>
    </r>
  </si>
  <si>
    <r>
      <t xml:space="preserve">CF </t>
    </r>
    <r>
      <rPr>
        <vertAlign val="subscript"/>
        <sz val="11"/>
        <rFont val="Calibri"/>
        <family val="2"/>
        <scheme val="minor"/>
      </rPr>
      <t>potato</t>
    </r>
  </si>
  <si>
    <r>
      <t xml:space="preserve">CF </t>
    </r>
    <r>
      <rPr>
        <vertAlign val="subscript"/>
        <sz val="11"/>
        <rFont val="Calibri"/>
        <family val="2"/>
        <scheme val="minor"/>
      </rPr>
      <t>pumpkin</t>
    </r>
  </si>
  <si>
    <r>
      <t xml:space="preserve">CF </t>
    </r>
    <r>
      <rPr>
        <vertAlign val="subscript"/>
        <sz val="11"/>
        <rFont val="Calibri"/>
        <family val="2"/>
        <scheme val="minor"/>
      </rPr>
      <t>snap bean</t>
    </r>
  </si>
  <si>
    <r>
      <t xml:space="preserve">CF </t>
    </r>
    <r>
      <rPr>
        <vertAlign val="subscript"/>
        <sz val="11"/>
        <rFont val="Calibri"/>
        <family val="2"/>
        <scheme val="minor"/>
      </rPr>
      <t>strawberry</t>
    </r>
  </si>
  <si>
    <r>
      <t xml:space="preserve">CF </t>
    </r>
    <r>
      <rPr>
        <vertAlign val="subscript"/>
        <sz val="11"/>
        <rFont val="Calibri"/>
        <family val="2"/>
        <scheme val="minor"/>
      </rPr>
      <t>tomato</t>
    </r>
  </si>
  <si>
    <r>
      <t xml:space="preserve">CF </t>
    </r>
    <r>
      <rPr>
        <vertAlign val="subscript"/>
        <sz val="11"/>
        <rFont val="Calibri"/>
        <family val="2"/>
        <scheme val="minor"/>
      </rPr>
      <t>cereal</t>
    </r>
  </si>
  <si>
    <r>
      <t xml:space="preserve">CF </t>
    </r>
    <r>
      <rPr>
        <vertAlign val="subscript"/>
        <sz val="11"/>
        <rFont val="Calibri"/>
        <family val="2"/>
        <scheme val="minor"/>
      </rPr>
      <t>rice</t>
    </r>
  </si>
  <si>
    <t>res_cereal</t>
  </si>
  <si>
    <t>res_soil_prod_ing_tot</t>
  </si>
  <si>
    <t>far_soil_prod_ing_tot</t>
  </si>
  <si>
    <t>bvwet_apple</t>
  </si>
  <si>
    <t>bvwet_aspar</t>
  </si>
  <si>
    <t>bvwet_beet</t>
  </si>
  <si>
    <t>bvwet_berry</t>
  </si>
  <si>
    <t>bvwet_broc</t>
  </si>
  <si>
    <t>bvwet_cabb</t>
  </si>
  <si>
    <t>bvwet_carr</t>
  </si>
  <si>
    <t>bvwet_citrus</t>
  </si>
  <si>
    <t>bvwet_corn</t>
  </si>
  <si>
    <t>bvwet_cucum</t>
  </si>
  <si>
    <t>bvwet_lett</t>
  </si>
  <si>
    <t>bvwet_lima</t>
  </si>
  <si>
    <t>bvwet_okra</t>
  </si>
  <si>
    <t>bvwet_onion</t>
  </si>
  <si>
    <t>bvwet_peach</t>
  </si>
  <si>
    <t>bvwet_pear</t>
  </si>
  <si>
    <t>bvwet_pea</t>
  </si>
  <si>
    <t>bvwet_potat</t>
  </si>
  <si>
    <t>bvwet_pump</t>
  </si>
  <si>
    <t>bvwet_snap</t>
  </si>
  <si>
    <t>bvwet_straw</t>
  </si>
  <si>
    <t>bvwet_tom</t>
  </si>
  <si>
    <t>bvwet_rice</t>
  </si>
  <si>
    <t>IRRrup_apple</t>
  </si>
  <si>
    <t>IRRrup_aspar</t>
  </si>
  <si>
    <t>IRRrup_beet</t>
  </si>
  <si>
    <t>IRRrup_berry</t>
  </si>
  <si>
    <t>IRRrup_broc</t>
  </si>
  <si>
    <t>IRRrup_cabb</t>
  </si>
  <si>
    <t>IRRrup_carr</t>
  </si>
  <si>
    <t>IRRrup_citrus</t>
  </si>
  <si>
    <t>IRRrup_corn</t>
  </si>
  <si>
    <t>IRRrup_cucum</t>
  </si>
  <si>
    <t>IRRrup_lett</t>
  </si>
  <si>
    <t>IRRrup_lima</t>
  </si>
  <si>
    <t>IRRrup_okra</t>
  </si>
  <si>
    <t>IRRrup_onion</t>
  </si>
  <si>
    <t>IRRrup_peach</t>
  </si>
  <si>
    <t>IRRrup_pear</t>
  </si>
  <si>
    <t>IRRrup_pea</t>
  </si>
  <si>
    <t>IRRrup_potat</t>
  </si>
  <si>
    <t>IRRrup_pump</t>
  </si>
  <si>
    <t>IRRrup_snap</t>
  </si>
  <si>
    <t>IRRrup_straw</t>
  </si>
  <si>
    <t>IRRrup_tom</t>
  </si>
  <si>
    <t>IRRrup_rice</t>
  </si>
  <si>
    <t>IRRres_apple</t>
  </si>
  <si>
    <t>IRRres_aspar</t>
  </si>
  <si>
    <t>IRRres_beet</t>
  </si>
  <si>
    <t>IRRres_berry</t>
  </si>
  <si>
    <t>IRRres_broc</t>
  </si>
  <si>
    <t>IRRres_cabb</t>
  </si>
  <si>
    <t>IRRres_carr</t>
  </si>
  <si>
    <t>IRRres_citrus</t>
  </si>
  <si>
    <t>IRRres_corn</t>
  </si>
  <si>
    <t>IRRres_cucum</t>
  </si>
  <si>
    <t>IRRres_lett</t>
  </si>
  <si>
    <t>IRRres_lima</t>
  </si>
  <si>
    <t>IRRres_okra</t>
  </si>
  <si>
    <t>IRRres_onion</t>
  </si>
  <si>
    <t>IRRres_peach</t>
  </si>
  <si>
    <t>IRRres_pear</t>
  </si>
  <si>
    <t>IRRres_pea</t>
  </si>
  <si>
    <t>IRRres_potat</t>
  </si>
  <si>
    <t>IRRres_pump</t>
  </si>
  <si>
    <t>IRRres_snap</t>
  </si>
  <si>
    <t>IRRres_straw</t>
  </si>
  <si>
    <t>IRRres_tom</t>
  </si>
  <si>
    <t>IRRres_rice</t>
  </si>
  <si>
    <t>IRRdep_apple</t>
  </si>
  <si>
    <t>IRRdep_aspar</t>
  </si>
  <si>
    <t>IRRdep_beet</t>
  </si>
  <si>
    <t>IRRdep_berry</t>
  </si>
  <si>
    <t>IRRdep_broc</t>
  </si>
  <si>
    <t>IRRdep_cabb</t>
  </si>
  <si>
    <t>IRRdep_carr</t>
  </si>
  <si>
    <t>IRRdep_citrus</t>
  </si>
  <si>
    <t>IRRdep_corn</t>
  </si>
  <si>
    <t>IRRdep_cucum</t>
  </si>
  <si>
    <t>IRRdep_lett</t>
  </si>
  <si>
    <t>IRRdep_lima</t>
  </si>
  <si>
    <t>IRRdep_okra</t>
  </si>
  <si>
    <t>IRRdep_onion</t>
  </si>
  <si>
    <t>IRRdep_peach</t>
  </si>
  <si>
    <t>IRRdep_pear</t>
  </si>
  <si>
    <t>IRRdep_pea</t>
  </si>
  <si>
    <t>IRRdep_potat</t>
  </si>
  <si>
    <t>IRRdep_pump</t>
  </si>
  <si>
    <t>IRRdep_snap</t>
  </si>
  <si>
    <t>IRRdep_straw</t>
  </si>
  <si>
    <t>IRRdep_tom</t>
  </si>
  <si>
    <t>IRRdep_rice</t>
  </si>
  <si>
    <t>bvwet_cereal</t>
  </si>
  <si>
    <t>IRRrup_cereal</t>
  </si>
  <si>
    <t>IRRres_cereal</t>
  </si>
  <si>
    <t>IRRdep_cereal</t>
  </si>
  <si>
    <t>wat_res_prod_ing_tot</t>
  </si>
  <si>
    <t>wat_far_prod_ing_tot</t>
  </si>
  <si>
    <r>
      <t xml:space="preserve">Q </t>
    </r>
    <r>
      <rPr>
        <vertAlign val="subscript"/>
        <sz val="11"/>
        <rFont val="Calibri"/>
        <family val="2"/>
        <scheme val="minor"/>
      </rPr>
      <t>w-goat</t>
    </r>
  </si>
  <si>
    <r>
      <t xml:space="preserve">Q </t>
    </r>
    <r>
      <rPr>
        <vertAlign val="subscript"/>
        <sz val="11"/>
        <rFont val="Calibri"/>
        <family val="2"/>
        <scheme val="minor"/>
      </rPr>
      <t>p-goat</t>
    </r>
  </si>
  <si>
    <r>
      <t xml:space="preserve">Q </t>
    </r>
    <r>
      <rPr>
        <vertAlign val="subscript"/>
        <sz val="11"/>
        <rFont val="Calibri"/>
        <family val="2"/>
        <scheme val="minor"/>
      </rPr>
      <t>s-goat</t>
    </r>
  </si>
  <si>
    <r>
      <t xml:space="preserve">f </t>
    </r>
    <r>
      <rPr>
        <vertAlign val="subscript"/>
        <sz val="11"/>
        <rFont val="Calibri"/>
        <family val="2"/>
        <scheme val="minor"/>
      </rPr>
      <t>p-goat</t>
    </r>
  </si>
  <si>
    <r>
      <t xml:space="preserve">f </t>
    </r>
    <r>
      <rPr>
        <vertAlign val="subscript"/>
        <sz val="11"/>
        <rFont val="Calibri"/>
        <family val="2"/>
        <scheme val="minor"/>
      </rPr>
      <t>s-goat</t>
    </r>
  </si>
  <si>
    <r>
      <t xml:space="preserve">Q </t>
    </r>
    <r>
      <rPr>
        <vertAlign val="subscript"/>
        <sz val="11"/>
        <rFont val="Calibri"/>
        <family val="2"/>
        <scheme val="minor"/>
      </rPr>
      <t>w-goat-milk</t>
    </r>
  </si>
  <si>
    <r>
      <t xml:space="preserve">Q </t>
    </r>
    <r>
      <rPr>
        <vertAlign val="subscript"/>
        <sz val="11"/>
        <rFont val="Calibri"/>
        <family val="2"/>
        <scheme val="minor"/>
      </rPr>
      <t>p-goat-milk</t>
    </r>
  </si>
  <si>
    <r>
      <t xml:space="preserve">Q </t>
    </r>
    <r>
      <rPr>
        <vertAlign val="subscript"/>
        <sz val="11"/>
        <rFont val="Calibri"/>
        <family val="2"/>
        <scheme val="minor"/>
      </rPr>
      <t>s-goat-milk</t>
    </r>
  </si>
  <si>
    <r>
      <t xml:space="preserve">f </t>
    </r>
    <r>
      <rPr>
        <vertAlign val="subscript"/>
        <sz val="11"/>
        <rFont val="Calibri"/>
        <family val="2"/>
        <scheme val="minor"/>
      </rPr>
      <t>p-goat-milk</t>
    </r>
  </si>
  <si>
    <r>
      <t xml:space="preserve">f </t>
    </r>
    <r>
      <rPr>
        <vertAlign val="subscript"/>
        <sz val="11"/>
        <rFont val="Calibri"/>
        <family val="2"/>
        <scheme val="minor"/>
      </rPr>
      <t>s-goat-milk</t>
    </r>
  </si>
  <si>
    <r>
      <t xml:space="preserve">Q </t>
    </r>
    <r>
      <rPr>
        <vertAlign val="subscript"/>
        <sz val="11"/>
        <rFont val="Calibri"/>
        <family val="2"/>
        <scheme val="minor"/>
      </rPr>
      <t>w-sheep-milk</t>
    </r>
  </si>
  <si>
    <r>
      <t xml:space="preserve">Q </t>
    </r>
    <r>
      <rPr>
        <vertAlign val="subscript"/>
        <sz val="11"/>
        <rFont val="Calibri"/>
        <family val="2"/>
        <scheme val="minor"/>
      </rPr>
      <t>p-sheep-milk</t>
    </r>
  </si>
  <si>
    <r>
      <t xml:space="preserve">Q </t>
    </r>
    <r>
      <rPr>
        <vertAlign val="subscript"/>
        <sz val="11"/>
        <rFont val="Calibri"/>
        <family val="2"/>
        <scheme val="minor"/>
      </rPr>
      <t>s-sheep-milk</t>
    </r>
  </si>
  <si>
    <r>
      <t xml:space="preserve">f </t>
    </r>
    <r>
      <rPr>
        <vertAlign val="subscript"/>
        <sz val="11"/>
        <rFont val="Calibri"/>
        <family val="2"/>
        <scheme val="minor"/>
      </rPr>
      <t>p-sheep-milk</t>
    </r>
  </si>
  <si>
    <r>
      <t xml:space="preserve">f </t>
    </r>
    <r>
      <rPr>
        <vertAlign val="subscript"/>
        <sz val="11"/>
        <rFont val="Calibri"/>
        <family val="2"/>
        <scheme val="minor"/>
      </rPr>
      <t>s-sheep-milk</t>
    </r>
  </si>
  <si>
    <r>
      <t xml:space="preserve">CF </t>
    </r>
    <r>
      <rPr>
        <vertAlign val="subscript"/>
        <sz val="11"/>
        <rFont val="Calibri"/>
        <family val="2"/>
        <scheme val="minor"/>
      </rPr>
      <t>far-egg</t>
    </r>
  </si>
  <si>
    <r>
      <t xml:space="preserve">s_CF </t>
    </r>
    <r>
      <rPr>
        <vertAlign val="subscript"/>
        <sz val="11"/>
        <rFont val="Calibri"/>
        <family val="2"/>
        <scheme val="minor"/>
      </rPr>
      <t>apple</t>
    </r>
  </si>
  <si>
    <r>
      <t xml:space="preserve">s_CF </t>
    </r>
    <r>
      <rPr>
        <vertAlign val="subscript"/>
        <sz val="11"/>
        <rFont val="Calibri"/>
        <family val="2"/>
        <scheme val="minor"/>
      </rPr>
      <t>asparagus</t>
    </r>
  </si>
  <si>
    <r>
      <t xml:space="preserve">s_CF </t>
    </r>
    <r>
      <rPr>
        <vertAlign val="subscript"/>
        <sz val="11"/>
        <rFont val="Calibri"/>
        <family val="2"/>
        <scheme val="minor"/>
      </rPr>
      <t>beet</t>
    </r>
  </si>
  <si>
    <r>
      <t xml:space="preserve">s_CF </t>
    </r>
    <r>
      <rPr>
        <vertAlign val="subscript"/>
        <sz val="11"/>
        <rFont val="Calibri"/>
        <family val="2"/>
        <scheme val="minor"/>
      </rPr>
      <t>berries</t>
    </r>
  </si>
  <si>
    <r>
      <t xml:space="preserve">s_CF </t>
    </r>
    <r>
      <rPr>
        <vertAlign val="subscript"/>
        <sz val="11"/>
        <rFont val="Calibri"/>
        <family val="2"/>
        <scheme val="minor"/>
      </rPr>
      <t>broccoli</t>
    </r>
  </si>
  <si>
    <r>
      <t xml:space="preserve">s_CF </t>
    </r>
    <r>
      <rPr>
        <vertAlign val="subscript"/>
        <sz val="11"/>
        <rFont val="Calibri"/>
        <family val="2"/>
        <scheme val="minor"/>
      </rPr>
      <t>cabbage</t>
    </r>
  </si>
  <si>
    <r>
      <t xml:space="preserve">s_CF </t>
    </r>
    <r>
      <rPr>
        <vertAlign val="subscript"/>
        <sz val="11"/>
        <rFont val="Calibri"/>
        <family val="2"/>
        <scheme val="minor"/>
      </rPr>
      <t>carrot</t>
    </r>
  </si>
  <si>
    <r>
      <t xml:space="preserve">s_CF </t>
    </r>
    <r>
      <rPr>
        <vertAlign val="subscript"/>
        <sz val="11"/>
        <rFont val="Calibri"/>
        <family val="2"/>
        <scheme val="minor"/>
      </rPr>
      <t>citrus</t>
    </r>
  </si>
  <si>
    <r>
      <t xml:space="preserve">s_CF </t>
    </r>
    <r>
      <rPr>
        <vertAlign val="subscript"/>
        <sz val="11"/>
        <rFont val="Calibri"/>
        <family val="2"/>
        <scheme val="minor"/>
      </rPr>
      <t>corn</t>
    </r>
  </si>
  <si>
    <r>
      <t xml:space="preserve">s_CF </t>
    </r>
    <r>
      <rPr>
        <vertAlign val="subscript"/>
        <sz val="11"/>
        <rFont val="Calibri"/>
        <family val="2"/>
        <scheme val="minor"/>
      </rPr>
      <t>cucumber</t>
    </r>
  </si>
  <si>
    <r>
      <t xml:space="preserve">s_CF </t>
    </r>
    <r>
      <rPr>
        <vertAlign val="subscript"/>
        <sz val="11"/>
        <rFont val="Calibri"/>
        <family val="2"/>
        <scheme val="minor"/>
      </rPr>
      <t>lettuce</t>
    </r>
  </si>
  <si>
    <r>
      <t xml:space="preserve">s_CF </t>
    </r>
    <r>
      <rPr>
        <vertAlign val="subscript"/>
        <sz val="11"/>
        <rFont val="Calibri"/>
        <family val="2"/>
        <scheme val="minor"/>
      </rPr>
      <t>lima bean</t>
    </r>
  </si>
  <si>
    <r>
      <t xml:space="preserve">s_CF </t>
    </r>
    <r>
      <rPr>
        <vertAlign val="subscript"/>
        <sz val="11"/>
        <rFont val="Calibri"/>
        <family val="2"/>
        <scheme val="minor"/>
      </rPr>
      <t>okra</t>
    </r>
  </si>
  <si>
    <r>
      <t xml:space="preserve">s_CF </t>
    </r>
    <r>
      <rPr>
        <vertAlign val="subscript"/>
        <sz val="11"/>
        <rFont val="Calibri"/>
        <family val="2"/>
        <scheme val="minor"/>
      </rPr>
      <t>onion</t>
    </r>
  </si>
  <si>
    <r>
      <t xml:space="preserve">s_CF </t>
    </r>
    <r>
      <rPr>
        <vertAlign val="subscript"/>
        <sz val="11"/>
        <rFont val="Calibri"/>
        <family val="2"/>
        <scheme val="minor"/>
      </rPr>
      <t>peach</t>
    </r>
  </si>
  <si>
    <r>
      <t xml:space="preserve">s_CF </t>
    </r>
    <r>
      <rPr>
        <vertAlign val="subscript"/>
        <sz val="11"/>
        <rFont val="Calibri"/>
        <family val="2"/>
        <scheme val="minor"/>
      </rPr>
      <t>pear</t>
    </r>
  </si>
  <si>
    <r>
      <t xml:space="preserve">s_CF </t>
    </r>
    <r>
      <rPr>
        <vertAlign val="subscript"/>
        <sz val="11"/>
        <rFont val="Calibri"/>
        <family val="2"/>
        <scheme val="minor"/>
      </rPr>
      <t>peas</t>
    </r>
  </si>
  <si>
    <r>
      <t xml:space="preserve">s_CF </t>
    </r>
    <r>
      <rPr>
        <vertAlign val="subscript"/>
        <sz val="11"/>
        <rFont val="Calibri"/>
        <family val="2"/>
        <scheme val="minor"/>
      </rPr>
      <t>potato</t>
    </r>
  </si>
  <si>
    <r>
      <t xml:space="preserve">s_CF </t>
    </r>
    <r>
      <rPr>
        <vertAlign val="subscript"/>
        <sz val="11"/>
        <rFont val="Calibri"/>
        <family val="2"/>
        <scheme val="minor"/>
      </rPr>
      <t>pumpkin</t>
    </r>
  </si>
  <si>
    <r>
      <t xml:space="preserve">s_CF </t>
    </r>
    <r>
      <rPr>
        <vertAlign val="subscript"/>
        <sz val="11"/>
        <rFont val="Calibri"/>
        <family val="2"/>
        <scheme val="minor"/>
      </rPr>
      <t>snap bean</t>
    </r>
  </si>
  <si>
    <r>
      <t xml:space="preserve">s_CF </t>
    </r>
    <r>
      <rPr>
        <vertAlign val="subscript"/>
        <sz val="11"/>
        <rFont val="Calibri"/>
        <family val="2"/>
        <scheme val="minor"/>
      </rPr>
      <t>strawberry</t>
    </r>
  </si>
  <si>
    <r>
      <t xml:space="preserve">s_CF </t>
    </r>
    <r>
      <rPr>
        <vertAlign val="subscript"/>
        <sz val="11"/>
        <rFont val="Calibri"/>
        <family val="2"/>
        <scheme val="minor"/>
      </rPr>
      <t>tomato</t>
    </r>
  </si>
  <si>
    <r>
      <t xml:space="preserve">s_CF </t>
    </r>
    <r>
      <rPr>
        <vertAlign val="subscript"/>
        <sz val="11"/>
        <rFont val="Calibri"/>
        <family val="2"/>
        <scheme val="minor"/>
      </rPr>
      <t>cereal</t>
    </r>
  </si>
  <si>
    <r>
      <t xml:space="preserve">s_CF </t>
    </r>
    <r>
      <rPr>
        <vertAlign val="subscript"/>
        <sz val="11"/>
        <rFont val="Calibri"/>
        <family val="2"/>
        <scheme val="minor"/>
      </rPr>
      <t>rice</t>
    </r>
  </si>
  <si>
    <r>
      <t>s_IRAP</t>
    </r>
    <r>
      <rPr>
        <vertAlign val="subscript"/>
        <sz val="11"/>
        <color theme="1"/>
        <rFont val="Calibri"/>
        <family val="2"/>
        <scheme val="minor"/>
      </rPr>
      <t xml:space="preserve"> far-c</t>
    </r>
  </si>
  <si>
    <r>
      <t xml:space="preserve">s_IRAP </t>
    </r>
    <r>
      <rPr>
        <vertAlign val="subscript"/>
        <sz val="11"/>
        <color theme="1"/>
        <rFont val="Calibri"/>
        <family val="2"/>
        <scheme val="minor"/>
      </rPr>
      <t>far-a</t>
    </r>
  </si>
  <si>
    <r>
      <t xml:space="preserve">s_IFAP </t>
    </r>
    <r>
      <rPr>
        <vertAlign val="subscript"/>
        <sz val="11"/>
        <color theme="1"/>
        <rFont val="Calibri"/>
        <family val="2"/>
        <scheme val="minor"/>
      </rPr>
      <t>far-adj</t>
    </r>
  </si>
  <si>
    <r>
      <t>s_IRAS</t>
    </r>
    <r>
      <rPr>
        <vertAlign val="subscript"/>
        <sz val="11"/>
        <color theme="1"/>
        <rFont val="Calibri"/>
        <family val="2"/>
        <scheme val="minor"/>
      </rPr>
      <t xml:space="preserve"> far-c</t>
    </r>
  </si>
  <si>
    <r>
      <t xml:space="preserve">s_IRAS </t>
    </r>
    <r>
      <rPr>
        <vertAlign val="subscript"/>
        <sz val="11"/>
        <color theme="1"/>
        <rFont val="Calibri"/>
        <family val="2"/>
        <scheme val="minor"/>
      </rPr>
      <t>far-a</t>
    </r>
  </si>
  <si>
    <r>
      <t xml:space="preserve">s_IFAS </t>
    </r>
    <r>
      <rPr>
        <vertAlign val="subscript"/>
        <sz val="11"/>
        <color theme="1"/>
        <rFont val="Calibri"/>
        <family val="2"/>
        <scheme val="minor"/>
      </rPr>
      <t>far-adj</t>
    </r>
  </si>
  <si>
    <r>
      <t>s_IRBT</t>
    </r>
    <r>
      <rPr>
        <vertAlign val="subscript"/>
        <sz val="11"/>
        <color theme="1"/>
        <rFont val="Calibri"/>
        <family val="2"/>
        <scheme val="minor"/>
      </rPr>
      <t xml:space="preserve"> far-c</t>
    </r>
  </si>
  <si>
    <r>
      <t xml:space="preserve">s_IRBT </t>
    </r>
    <r>
      <rPr>
        <vertAlign val="subscript"/>
        <sz val="11"/>
        <color theme="1"/>
        <rFont val="Calibri"/>
        <family val="2"/>
        <scheme val="minor"/>
      </rPr>
      <t>far-a</t>
    </r>
  </si>
  <si>
    <r>
      <t xml:space="preserve">s_IFBT </t>
    </r>
    <r>
      <rPr>
        <vertAlign val="subscript"/>
        <sz val="11"/>
        <color theme="1"/>
        <rFont val="Calibri"/>
        <family val="2"/>
        <scheme val="minor"/>
      </rPr>
      <t>far-adj</t>
    </r>
  </si>
  <si>
    <r>
      <t>s_IRBE</t>
    </r>
    <r>
      <rPr>
        <vertAlign val="subscript"/>
        <sz val="11"/>
        <color theme="1"/>
        <rFont val="Calibri"/>
        <family val="2"/>
        <scheme val="minor"/>
      </rPr>
      <t xml:space="preserve"> far-c</t>
    </r>
  </si>
  <si>
    <r>
      <t xml:space="preserve">s_IRBE </t>
    </r>
    <r>
      <rPr>
        <vertAlign val="subscript"/>
        <sz val="11"/>
        <color theme="1"/>
        <rFont val="Calibri"/>
        <family val="2"/>
        <scheme val="minor"/>
      </rPr>
      <t>far-a</t>
    </r>
  </si>
  <si>
    <r>
      <t xml:space="preserve">s_IFBE </t>
    </r>
    <r>
      <rPr>
        <vertAlign val="subscript"/>
        <sz val="11"/>
        <color theme="1"/>
        <rFont val="Calibri"/>
        <family val="2"/>
        <scheme val="minor"/>
      </rPr>
      <t>far-adj</t>
    </r>
  </si>
  <si>
    <r>
      <t>s_IRBR</t>
    </r>
    <r>
      <rPr>
        <vertAlign val="subscript"/>
        <sz val="11"/>
        <color theme="1"/>
        <rFont val="Calibri"/>
        <family val="2"/>
        <scheme val="minor"/>
      </rPr>
      <t xml:space="preserve"> far-c</t>
    </r>
  </si>
  <si>
    <r>
      <t xml:space="preserve">s_IRBR </t>
    </r>
    <r>
      <rPr>
        <vertAlign val="subscript"/>
        <sz val="11"/>
        <color theme="1"/>
        <rFont val="Calibri"/>
        <family val="2"/>
        <scheme val="minor"/>
      </rPr>
      <t>far-a</t>
    </r>
  </si>
  <si>
    <r>
      <t xml:space="preserve">s_IFBR </t>
    </r>
    <r>
      <rPr>
        <vertAlign val="subscript"/>
        <sz val="11"/>
        <color theme="1"/>
        <rFont val="Calibri"/>
        <family val="2"/>
        <scheme val="minor"/>
      </rPr>
      <t>far-adj</t>
    </r>
  </si>
  <si>
    <r>
      <t>s_IRCB</t>
    </r>
    <r>
      <rPr>
        <vertAlign val="subscript"/>
        <sz val="11"/>
        <color theme="1"/>
        <rFont val="Calibri"/>
        <family val="2"/>
        <scheme val="minor"/>
      </rPr>
      <t xml:space="preserve"> far-c</t>
    </r>
  </si>
  <si>
    <r>
      <t xml:space="preserve">s_IRCB </t>
    </r>
    <r>
      <rPr>
        <vertAlign val="subscript"/>
        <sz val="11"/>
        <color theme="1"/>
        <rFont val="Calibri"/>
        <family val="2"/>
        <scheme val="minor"/>
      </rPr>
      <t>far-a</t>
    </r>
  </si>
  <si>
    <r>
      <t xml:space="preserve">s_IFCB </t>
    </r>
    <r>
      <rPr>
        <vertAlign val="subscript"/>
        <sz val="11"/>
        <color theme="1"/>
        <rFont val="Calibri"/>
        <family val="2"/>
        <scheme val="minor"/>
      </rPr>
      <t>far-adj</t>
    </r>
  </si>
  <si>
    <r>
      <t>s_IRCR</t>
    </r>
    <r>
      <rPr>
        <vertAlign val="subscript"/>
        <sz val="11"/>
        <color theme="1"/>
        <rFont val="Calibri"/>
        <family val="2"/>
        <scheme val="minor"/>
      </rPr>
      <t xml:space="preserve"> far-c</t>
    </r>
  </si>
  <si>
    <r>
      <t xml:space="preserve">s_IRCR </t>
    </r>
    <r>
      <rPr>
        <vertAlign val="subscript"/>
        <sz val="11"/>
        <color theme="1"/>
        <rFont val="Calibri"/>
        <family val="2"/>
        <scheme val="minor"/>
      </rPr>
      <t>far-a</t>
    </r>
  </si>
  <si>
    <r>
      <t xml:space="preserve">s_IFCR </t>
    </r>
    <r>
      <rPr>
        <vertAlign val="subscript"/>
        <sz val="11"/>
        <color theme="1"/>
        <rFont val="Calibri"/>
        <family val="2"/>
        <scheme val="minor"/>
      </rPr>
      <t>far-adj</t>
    </r>
  </si>
  <si>
    <r>
      <t>s_IRCG</t>
    </r>
    <r>
      <rPr>
        <vertAlign val="subscript"/>
        <sz val="11"/>
        <color theme="1"/>
        <rFont val="Calibri"/>
        <family val="2"/>
        <scheme val="minor"/>
      </rPr>
      <t xml:space="preserve"> far-c</t>
    </r>
  </si>
  <si>
    <r>
      <t xml:space="preserve">s_IRCG </t>
    </r>
    <r>
      <rPr>
        <vertAlign val="subscript"/>
        <sz val="11"/>
        <color theme="1"/>
        <rFont val="Calibri"/>
        <family val="2"/>
        <scheme val="minor"/>
      </rPr>
      <t>far-a</t>
    </r>
  </si>
  <si>
    <r>
      <t xml:space="preserve">s_IFCG </t>
    </r>
    <r>
      <rPr>
        <vertAlign val="subscript"/>
        <sz val="11"/>
        <color theme="1"/>
        <rFont val="Calibri"/>
        <family val="2"/>
        <scheme val="minor"/>
      </rPr>
      <t>far-adj</t>
    </r>
  </si>
  <si>
    <r>
      <t>s_IRCI</t>
    </r>
    <r>
      <rPr>
        <vertAlign val="subscript"/>
        <sz val="11"/>
        <color theme="1"/>
        <rFont val="Calibri"/>
        <family val="2"/>
        <scheme val="minor"/>
      </rPr>
      <t xml:space="preserve"> far-c</t>
    </r>
  </si>
  <si>
    <r>
      <t xml:space="preserve">s_IRCI </t>
    </r>
    <r>
      <rPr>
        <vertAlign val="subscript"/>
        <sz val="11"/>
        <color theme="1"/>
        <rFont val="Calibri"/>
        <family val="2"/>
        <scheme val="minor"/>
      </rPr>
      <t>far-a</t>
    </r>
  </si>
  <si>
    <r>
      <t xml:space="preserve">s_IFCI </t>
    </r>
    <r>
      <rPr>
        <vertAlign val="subscript"/>
        <sz val="11"/>
        <color theme="1"/>
        <rFont val="Calibri"/>
        <family val="2"/>
        <scheme val="minor"/>
      </rPr>
      <t>far-adj</t>
    </r>
  </si>
  <si>
    <r>
      <t>s_IRCO</t>
    </r>
    <r>
      <rPr>
        <vertAlign val="subscript"/>
        <sz val="11"/>
        <color theme="1"/>
        <rFont val="Calibri"/>
        <family val="2"/>
        <scheme val="minor"/>
      </rPr>
      <t xml:space="preserve"> far-c</t>
    </r>
  </si>
  <si>
    <r>
      <t xml:space="preserve">s_IRCO </t>
    </r>
    <r>
      <rPr>
        <vertAlign val="subscript"/>
        <sz val="11"/>
        <color theme="1"/>
        <rFont val="Calibri"/>
        <family val="2"/>
        <scheme val="minor"/>
      </rPr>
      <t>far-a</t>
    </r>
  </si>
  <si>
    <r>
      <t xml:space="preserve">s_IFCO </t>
    </r>
    <r>
      <rPr>
        <vertAlign val="subscript"/>
        <sz val="11"/>
        <color theme="1"/>
        <rFont val="Calibri"/>
        <family val="2"/>
        <scheme val="minor"/>
      </rPr>
      <t>far-adj</t>
    </r>
  </si>
  <si>
    <r>
      <t>s_IRCU</t>
    </r>
    <r>
      <rPr>
        <vertAlign val="subscript"/>
        <sz val="11"/>
        <color theme="1"/>
        <rFont val="Calibri"/>
        <family val="2"/>
        <scheme val="minor"/>
      </rPr>
      <t xml:space="preserve"> far-c</t>
    </r>
  </si>
  <si>
    <r>
      <t xml:space="preserve">s_IRCU </t>
    </r>
    <r>
      <rPr>
        <vertAlign val="subscript"/>
        <sz val="11"/>
        <color theme="1"/>
        <rFont val="Calibri"/>
        <family val="2"/>
        <scheme val="minor"/>
      </rPr>
      <t>far-a</t>
    </r>
  </si>
  <si>
    <r>
      <t xml:space="preserve">s_IFCU </t>
    </r>
    <r>
      <rPr>
        <vertAlign val="subscript"/>
        <sz val="11"/>
        <color theme="1"/>
        <rFont val="Calibri"/>
        <family val="2"/>
        <scheme val="minor"/>
      </rPr>
      <t>far-adj</t>
    </r>
  </si>
  <si>
    <r>
      <t>s_IRLE</t>
    </r>
    <r>
      <rPr>
        <vertAlign val="subscript"/>
        <sz val="11"/>
        <color theme="1"/>
        <rFont val="Calibri"/>
        <family val="2"/>
        <scheme val="minor"/>
      </rPr>
      <t xml:space="preserve"> far-c</t>
    </r>
  </si>
  <si>
    <r>
      <t xml:space="preserve">s_IRLE </t>
    </r>
    <r>
      <rPr>
        <vertAlign val="subscript"/>
        <sz val="11"/>
        <color theme="1"/>
        <rFont val="Calibri"/>
        <family val="2"/>
        <scheme val="minor"/>
      </rPr>
      <t>far-a</t>
    </r>
  </si>
  <si>
    <r>
      <t xml:space="preserve">s_IFLE </t>
    </r>
    <r>
      <rPr>
        <vertAlign val="subscript"/>
        <sz val="11"/>
        <color theme="1"/>
        <rFont val="Calibri"/>
        <family val="2"/>
        <scheme val="minor"/>
      </rPr>
      <t>far-adj</t>
    </r>
  </si>
  <si>
    <r>
      <t>s_IRLI</t>
    </r>
    <r>
      <rPr>
        <vertAlign val="subscript"/>
        <sz val="11"/>
        <color theme="1"/>
        <rFont val="Calibri"/>
        <family val="2"/>
        <scheme val="minor"/>
      </rPr>
      <t xml:space="preserve"> far-c</t>
    </r>
  </si>
  <si>
    <r>
      <t xml:space="preserve">s_IRLI </t>
    </r>
    <r>
      <rPr>
        <vertAlign val="subscript"/>
        <sz val="11"/>
        <color theme="1"/>
        <rFont val="Calibri"/>
        <family val="2"/>
        <scheme val="minor"/>
      </rPr>
      <t>far-a</t>
    </r>
  </si>
  <si>
    <r>
      <t xml:space="preserve">s_IFLI </t>
    </r>
    <r>
      <rPr>
        <vertAlign val="subscript"/>
        <sz val="11"/>
        <color theme="1"/>
        <rFont val="Calibri"/>
        <family val="2"/>
        <scheme val="minor"/>
      </rPr>
      <t>far-adj</t>
    </r>
  </si>
  <si>
    <r>
      <t>s_IROK</t>
    </r>
    <r>
      <rPr>
        <vertAlign val="subscript"/>
        <sz val="11"/>
        <color theme="1"/>
        <rFont val="Calibri"/>
        <family val="2"/>
        <scheme val="minor"/>
      </rPr>
      <t xml:space="preserve"> far-c</t>
    </r>
  </si>
  <si>
    <r>
      <t xml:space="preserve">s_IROK </t>
    </r>
    <r>
      <rPr>
        <vertAlign val="subscript"/>
        <sz val="11"/>
        <color theme="1"/>
        <rFont val="Calibri"/>
        <family val="2"/>
        <scheme val="minor"/>
      </rPr>
      <t>far-a</t>
    </r>
  </si>
  <si>
    <r>
      <t xml:space="preserve">s_IFOK </t>
    </r>
    <r>
      <rPr>
        <vertAlign val="subscript"/>
        <sz val="11"/>
        <color theme="1"/>
        <rFont val="Calibri"/>
        <family val="2"/>
        <scheme val="minor"/>
      </rPr>
      <t>far-adj</t>
    </r>
  </si>
  <si>
    <r>
      <t>s_IRON</t>
    </r>
    <r>
      <rPr>
        <vertAlign val="subscript"/>
        <sz val="11"/>
        <color theme="1"/>
        <rFont val="Calibri"/>
        <family val="2"/>
        <scheme val="minor"/>
      </rPr>
      <t xml:space="preserve"> far-c</t>
    </r>
  </si>
  <si>
    <r>
      <t xml:space="preserve">s_IRON </t>
    </r>
    <r>
      <rPr>
        <vertAlign val="subscript"/>
        <sz val="11"/>
        <color theme="1"/>
        <rFont val="Calibri"/>
        <family val="2"/>
        <scheme val="minor"/>
      </rPr>
      <t>far-a</t>
    </r>
  </si>
  <si>
    <r>
      <t xml:space="preserve">s_IFON </t>
    </r>
    <r>
      <rPr>
        <vertAlign val="subscript"/>
        <sz val="11"/>
        <color theme="1"/>
        <rFont val="Calibri"/>
        <family val="2"/>
        <scheme val="minor"/>
      </rPr>
      <t>far-adj</t>
    </r>
  </si>
  <si>
    <r>
      <t>s_IRPC</t>
    </r>
    <r>
      <rPr>
        <vertAlign val="subscript"/>
        <sz val="11"/>
        <color theme="1"/>
        <rFont val="Calibri"/>
        <family val="2"/>
        <scheme val="minor"/>
      </rPr>
      <t xml:space="preserve"> far-c</t>
    </r>
  </si>
  <si>
    <r>
      <t xml:space="preserve">s_IRPC </t>
    </r>
    <r>
      <rPr>
        <vertAlign val="subscript"/>
        <sz val="11"/>
        <color theme="1"/>
        <rFont val="Calibri"/>
        <family val="2"/>
        <scheme val="minor"/>
      </rPr>
      <t>far-a</t>
    </r>
  </si>
  <si>
    <r>
      <t xml:space="preserve">s_IFPC </t>
    </r>
    <r>
      <rPr>
        <vertAlign val="subscript"/>
        <sz val="11"/>
        <color theme="1"/>
        <rFont val="Calibri"/>
        <family val="2"/>
        <scheme val="minor"/>
      </rPr>
      <t>far-adj</t>
    </r>
  </si>
  <si>
    <r>
      <t>s_IRPR</t>
    </r>
    <r>
      <rPr>
        <vertAlign val="subscript"/>
        <sz val="11"/>
        <color theme="1"/>
        <rFont val="Calibri"/>
        <family val="2"/>
        <scheme val="minor"/>
      </rPr>
      <t xml:space="preserve"> far-c</t>
    </r>
  </si>
  <si>
    <r>
      <t xml:space="preserve">s_IRPR </t>
    </r>
    <r>
      <rPr>
        <vertAlign val="subscript"/>
        <sz val="11"/>
        <color theme="1"/>
        <rFont val="Calibri"/>
        <family val="2"/>
        <scheme val="minor"/>
      </rPr>
      <t>far-a</t>
    </r>
  </si>
  <si>
    <r>
      <t xml:space="preserve">s_IFPR </t>
    </r>
    <r>
      <rPr>
        <vertAlign val="subscript"/>
        <sz val="11"/>
        <color theme="1"/>
        <rFont val="Calibri"/>
        <family val="2"/>
        <scheme val="minor"/>
      </rPr>
      <t>far-adj</t>
    </r>
  </si>
  <si>
    <r>
      <t>s_IRPE</t>
    </r>
    <r>
      <rPr>
        <vertAlign val="subscript"/>
        <sz val="11"/>
        <color theme="1"/>
        <rFont val="Calibri"/>
        <family val="2"/>
        <scheme val="minor"/>
      </rPr>
      <t xml:space="preserve"> far-c</t>
    </r>
  </si>
  <si>
    <r>
      <t xml:space="preserve">s_IRPE </t>
    </r>
    <r>
      <rPr>
        <vertAlign val="subscript"/>
        <sz val="11"/>
        <color theme="1"/>
        <rFont val="Calibri"/>
        <family val="2"/>
        <scheme val="minor"/>
      </rPr>
      <t>far-a</t>
    </r>
  </si>
  <si>
    <r>
      <t xml:space="preserve">s_IFPE </t>
    </r>
    <r>
      <rPr>
        <vertAlign val="subscript"/>
        <sz val="11"/>
        <color theme="1"/>
        <rFont val="Calibri"/>
        <family val="2"/>
        <scheme val="minor"/>
      </rPr>
      <t>far-adj</t>
    </r>
  </si>
  <si>
    <r>
      <t>s_IRPT</t>
    </r>
    <r>
      <rPr>
        <vertAlign val="subscript"/>
        <sz val="11"/>
        <color theme="1"/>
        <rFont val="Calibri"/>
        <family val="2"/>
        <scheme val="minor"/>
      </rPr>
      <t xml:space="preserve"> far-c</t>
    </r>
  </si>
  <si>
    <r>
      <t xml:space="preserve">s_IRPT </t>
    </r>
    <r>
      <rPr>
        <vertAlign val="subscript"/>
        <sz val="11"/>
        <color theme="1"/>
        <rFont val="Calibri"/>
        <family val="2"/>
        <scheme val="minor"/>
      </rPr>
      <t>far-a</t>
    </r>
  </si>
  <si>
    <r>
      <t xml:space="preserve">s_IFPT </t>
    </r>
    <r>
      <rPr>
        <vertAlign val="subscript"/>
        <sz val="11"/>
        <color theme="1"/>
        <rFont val="Calibri"/>
        <family val="2"/>
        <scheme val="minor"/>
      </rPr>
      <t>far-adj</t>
    </r>
  </si>
  <si>
    <r>
      <t>s_IRPU</t>
    </r>
    <r>
      <rPr>
        <vertAlign val="subscript"/>
        <sz val="11"/>
        <color theme="1"/>
        <rFont val="Calibri"/>
        <family val="2"/>
        <scheme val="minor"/>
      </rPr>
      <t xml:space="preserve"> far-c</t>
    </r>
  </si>
  <si>
    <r>
      <t xml:space="preserve">s_IRPU </t>
    </r>
    <r>
      <rPr>
        <vertAlign val="subscript"/>
        <sz val="11"/>
        <color theme="1"/>
        <rFont val="Calibri"/>
        <family val="2"/>
        <scheme val="minor"/>
      </rPr>
      <t>far-a</t>
    </r>
  </si>
  <si>
    <r>
      <t xml:space="preserve">s_IFPU </t>
    </r>
    <r>
      <rPr>
        <vertAlign val="subscript"/>
        <sz val="11"/>
        <color theme="1"/>
        <rFont val="Calibri"/>
        <family val="2"/>
        <scheme val="minor"/>
      </rPr>
      <t>far-adj</t>
    </r>
  </si>
  <si>
    <r>
      <t>s_IRRI</t>
    </r>
    <r>
      <rPr>
        <vertAlign val="subscript"/>
        <sz val="11"/>
        <color theme="1"/>
        <rFont val="Calibri"/>
        <family val="2"/>
        <scheme val="minor"/>
      </rPr>
      <t xml:space="preserve"> far-c</t>
    </r>
  </si>
  <si>
    <r>
      <t xml:space="preserve">s_IRRI </t>
    </r>
    <r>
      <rPr>
        <vertAlign val="subscript"/>
        <sz val="11"/>
        <color theme="1"/>
        <rFont val="Calibri"/>
        <family val="2"/>
        <scheme val="minor"/>
      </rPr>
      <t>far-a</t>
    </r>
  </si>
  <si>
    <r>
      <t xml:space="preserve">s_IFRI </t>
    </r>
    <r>
      <rPr>
        <vertAlign val="subscript"/>
        <sz val="11"/>
        <color theme="1"/>
        <rFont val="Calibri"/>
        <family val="2"/>
        <scheme val="minor"/>
      </rPr>
      <t>far-adj</t>
    </r>
  </si>
  <si>
    <r>
      <t>s_IRSN</t>
    </r>
    <r>
      <rPr>
        <vertAlign val="subscript"/>
        <sz val="11"/>
        <color theme="1"/>
        <rFont val="Calibri"/>
        <family val="2"/>
        <scheme val="minor"/>
      </rPr>
      <t xml:space="preserve"> far-c</t>
    </r>
  </si>
  <si>
    <r>
      <t xml:space="preserve">s_IRSN </t>
    </r>
    <r>
      <rPr>
        <vertAlign val="subscript"/>
        <sz val="11"/>
        <color theme="1"/>
        <rFont val="Calibri"/>
        <family val="2"/>
        <scheme val="minor"/>
      </rPr>
      <t>far-a</t>
    </r>
  </si>
  <si>
    <r>
      <t xml:space="preserve">s_IFSN </t>
    </r>
    <r>
      <rPr>
        <vertAlign val="subscript"/>
        <sz val="11"/>
        <color theme="1"/>
        <rFont val="Calibri"/>
        <family val="2"/>
        <scheme val="minor"/>
      </rPr>
      <t>far-adj</t>
    </r>
  </si>
  <si>
    <r>
      <t>s_IRST</t>
    </r>
    <r>
      <rPr>
        <vertAlign val="subscript"/>
        <sz val="11"/>
        <color theme="1"/>
        <rFont val="Calibri"/>
        <family val="2"/>
        <scheme val="minor"/>
      </rPr>
      <t xml:space="preserve"> far-c</t>
    </r>
  </si>
  <si>
    <r>
      <t xml:space="preserve">s_IRST </t>
    </r>
    <r>
      <rPr>
        <vertAlign val="subscript"/>
        <sz val="11"/>
        <color theme="1"/>
        <rFont val="Calibri"/>
        <family val="2"/>
        <scheme val="minor"/>
      </rPr>
      <t>far-a</t>
    </r>
  </si>
  <si>
    <r>
      <t xml:space="preserve">s_IFST </t>
    </r>
    <r>
      <rPr>
        <vertAlign val="subscript"/>
        <sz val="11"/>
        <color theme="1"/>
        <rFont val="Calibri"/>
        <family val="2"/>
        <scheme val="minor"/>
      </rPr>
      <t>far-adj</t>
    </r>
  </si>
  <si>
    <r>
      <t>s_IRTO</t>
    </r>
    <r>
      <rPr>
        <vertAlign val="subscript"/>
        <sz val="11"/>
        <color theme="1"/>
        <rFont val="Calibri"/>
        <family val="2"/>
        <scheme val="minor"/>
      </rPr>
      <t xml:space="preserve"> far-c</t>
    </r>
  </si>
  <si>
    <r>
      <t xml:space="preserve">s_IRTO </t>
    </r>
    <r>
      <rPr>
        <vertAlign val="subscript"/>
        <sz val="11"/>
        <color theme="1"/>
        <rFont val="Calibri"/>
        <family val="2"/>
        <scheme val="minor"/>
      </rPr>
      <t>far-a</t>
    </r>
  </si>
  <si>
    <r>
      <t xml:space="preserve">s_IFTO </t>
    </r>
    <r>
      <rPr>
        <vertAlign val="subscript"/>
        <sz val="11"/>
        <color theme="1"/>
        <rFont val="Calibri"/>
        <family val="2"/>
        <scheme val="minor"/>
      </rPr>
      <t>far-adj</t>
    </r>
  </si>
  <si>
    <r>
      <t xml:space="preserve">s_MLF </t>
    </r>
    <r>
      <rPr>
        <vertAlign val="subscript"/>
        <sz val="11"/>
        <rFont val="Calibri"/>
        <family val="2"/>
        <scheme val="minor"/>
      </rPr>
      <t>apple</t>
    </r>
  </si>
  <si>
    <r>
      <t xml:space="preserve">s_MLF </t>
    </r>
    <r>
      <rPr>
        <vertAlign val="subscript"/>
        <sz val="11"/>
        <rFont val="Calibri"/>
        <family val="2"/>
        <scheme val="minor"/>
      </rPr>
      <t>asparagus</t>
    </r>
  </si>
  <si>
    <r>
      <t xml:space="preserve">s_MLF </t>
    </r>
    <r>
      <rPr>
        <vertAlign val="subscript"/>
        <sz val="11"/>
        <rFont val="Calibri"/>
        <family val="2"/>
        <scheme val="minor"/>
      </rPr>
      <t>beet</t>
    </r>
  </si>
  <si>
    <r>
      <t xml:space="preserve">s_MLF </t>
    </r>
    <r>
      <rPr>
        <vertAlign val="subscript"/>
        <sz val="11"/>
        <rFont val="Calibri"/>
        <family val="2"/>
        <scheme val="minor"/>
      </rPr>
      <t>berries</t>
    </r>
  </si>
  <si>
    <r>
      <t xml:space="preserve">s_MLF </t>
    </r>
    <r>
      <rPr>
        <vertAlign val="subscript"/>
        <sz val="11"/>
        <rFont val="Calibri"/>
        <family val="2"/>
        <scheme val="minor"/>
      </rPr>
      <t>broccoli</t>
    </r>
  </si>
  <si>
    <r>
      <t xml:space="preserve">s_MLF </t>
    </r>
    <r>
      <rPr>
        <vertAlign val="subscript"/>
        <sz val="11"/>
        <rFont val="Calibri"/>
        <family val="2"/>
        <scheme val="minor"/>
      </rPr>
      <t>cabbage</t>
    </r>
  </si>
  <si>
    <r>
      <t xml:space="preserve">s_MLF </t>
    </r>
    <r>
      <rPr>
        <vertAlign val="subscript"/>
        <sz val="11"/>
        <rFont val="Calibri"/>
        <family val="2"/>
        <scheme val="minor"/>
      </rPr>
      <t>carrot</t>
    </r>
  </si>
  <si>
    <r>
      <t xml:space="preserve">s_MLF </t>
    </r>
    <r>
      <rPr>
        <vertAlign val="subscript"/>
        <sz val="11"/>
        <rFont val="Calibri"/>
        <family val="2"/>
        <scheme val="minor"/>
      </rPr>
      <t>citrus</t>
    </r>
  </si>
  <si>
    <r>
      <t xml:space="preserve">s_MLF </t>
    </r>
    <r>
      <rPr>
        <vertAlign val="subscript"/>
        <sz val="11"/>
        <rFont val="Calibri"/>
        <family val="2"/>
        <scheme val="minor"/>
      </rPr>
      <t>corn</t>
    </r>
  </si>
  <si>
    <r>
      <t xml:space="preserve">s_MLF </t>
    </r>
    <r>
      <rPr>
        <vertAlign val="subscript"/>
        <sz val="11"/>
        <rFont val="Calibri"/>
        <family val="2"/>
        <scheme val="minor"/>
      </rPr>
      <t>cucumber</t>
    </r>
  </si>
  <si>
    <r>
      <t xml:space="preserve">s_MLF </t>
    </r>
    <r>
      <rPr>
        <vertAlign val="subscript"/>
        <sz val="11"/>
        <rFont val="Calibri"/>
        <family val="2"/>
        <scheme val="minor"/>
      </rPr>
      <t>lettuce</t>
    </r>
  </si>
  <si>
    <r>
      <t xml:space="preserve">s_MLF </t>
    </r>
    <r>
      <rPr>
        <vertAlign val="subscript"/>
        <sz val="11"/>
        <rFont val="Calibri"/>
        <family val="2"/>
        <scheme val="minor"/>
      </rPr>
      <t>lima bean</t>
    </r>
  </si>
  <si>
    <r>
      <t xml:space="preserve">s_MLF </t>
    </r>
    <r>
      <rPr>
        <vertAlign val="subscript"/>
        <sz val="11"/>
        <rFont val="Calibri"/>
        <family val="2"/>
        <scheme val="minor"/>
      </rPr>
      <t>okra</t>
    </r>
  </si>
  <si>
    <r>
      <t xml:space="preserve">s_MLF </t>
    </r>
    <r>
      <rPr>
        <vertAlign val="subscript"/>
        <sz val="11"/>
        <rFont val="Calibri"/>
        <family val="2"/>
        <scheme val="minor"/>
      </rPr>
      <t>onion</t>
    </r>
  </si>
  <si>
    <r>
      <t xml:space="preserve">s_MLF </t>
    </r>
    <r>
      <rPr>
        <vertAlign val="subscript"/>
        <sz val="11"/>
        <rFont val="Calibri"/>
        <family val="2"/>
        <scheme val="minor"/>
      </rPr>
      <t>peach</t>
    </r>
  </si>
  <si>
    <r>
      <t xml:space="preserve">s_MLF </t>
    </r>
    <r>
      <rPr>
        <vertAlign val="subscript"/>
        <sz val="11"/>
        <rFont val="Calibri"/>
        <family val="2"/>
        <scheme val="minor"/>
      </rPr>
      <t>pear</t>
    </r>
  </si>
  <si>
    <r>
      <t xml:space="preserve">s_MLF </t>
    </r>
    <r>
      <rPr>
        <vertAlign val="subscript"/>
        <sz val="11"/>
        <rFont val="Calibri"/>
        <family val="2"/>
        <scheme val="minor"/>
      </rPr>
      <t>peas</t>
    </r>
  </si>
  <si>
    <r>
      <t xml:space="preserve">s_MLF </t>
    </r>
    <r>
      <rPr>
        <vertAlign val="subscript"/>
        <sz val="11"/>
        <rFont val="Calibri"/>
        <family val="2"/>
        <scheme val="minor"/>
      </rPr>
      <t>potato</t>
    </r>
  </si>
  <si>
    <r>
      <t xml:space="preserve">s_MLF </t>
    </r>
    <r>
      <rPr>
        <vertAlign val="subscript"/>
        <sz val="11"/>
        <rFont val="Calibri"/>
        <family val="2"/>
        <scheme val="minor"/>
      </rPr>
      <t>pumpkin</t>
    </r>
  </si>
  <si>
    <r>
      <t xml:space="preserve">s_MLF </t>
    </r>
    <r>
      <rPr>
        <vertAlign val="subscript"/>
        <sz val="11"/>
        <rFont val="Calibri"/>
        <family val="2"/>
        <scheme val="minor"/>
      </rPr>
      <t>snap bean</t>
    </r>
  </si>
  <si>
    <r>
      <t xml:space="preserve">s_MLF </t>
    </r>
    <r>
      <rPr>
        <vertAlign val="subscript"/>
        <sz val="11"/>
        <rFont val="Calibri"/>
        <family val="2"/>
        <scheme val="minor"/>
      </rPr>
      <t>strawberry</t>
    </r>
  </si>
  <si>
    <r>
      <t xml:space="preserve">s_MLF </t>
    </r>
    <r>
      <rPr>
        <vertAlign val="subscript"/>
        <sz val="11"/>
        <rFont val="Calibri"/>
        <family val="2"/>
        <scheme val="minor"/>
      </rPr>
      <t>tomato</t>
    </r>
  </si>
  <si>
    <r>
      <t xml:space="preserve">s_MLF </t>
    </r>
    <r>
      <rPr>
        <vertAlign val="subscript"/>
        <sz val="11"/>
        <rFont val="Calibri"/>
        <family val="2"/>
        <scheme val="minor"/>
      </rPr>
      <t>cereal</t>
    </r>
  </si>
  <si>
    <r>
      <t xml:space="preserve">s_MLF </t>
    </r>
    <r>
      <rPr>
        <vertAlign val="subscript"/>
        <sz val="11"/>
        <rFont val="Calibri"/>
        <family val="2"/>
        <scheme val="minor"/>
      </rPr>
      <t>rice</t>
    </r>
  </si>
  <si>
    <r>
      <t xml:space="preserve">s_CF </t>
    </r>
    <r>
      <rPr>
        <vertAlign val="subscript"/>
        <sz val="11"/>
        <rFont val="Calibri"/>
        <family val="2"/>
        <scheme val="minor"/>
      </rPr>
      <t>far-goat</t>
    </r>
  </si>
  <si>
    <r>
      <t xml:space="preserve">s_CF </t>
    </r>
    <r>
      <rPr>
        <vertAlign val="subscript"/>
        <sz val="11"/>
        <rFont val="Calibri"/>
        <family val="2"/>
        <scheme val="minor"/>
      </rPr>
      <t>far-sheep-milk</t>
    </r>
  </si>
  <si>
    <r>
      <t xml:space="preserve">s_CF </t>
    </r>
    <r>
      <rPr>
        <vertAlign val="subscript"/>
        <sz val="11"/>
        <rFont val="Calibri"/>
        <family val="2"/>
        <scheme val="minor"/>
      </rPr>
      <t>far-goat-milk</t>
    </r>
  </si>
  <si>
    <r>
      <t>s_IRGO</t>
    </r>
    <r>
      <rPr>
        <vertAlign val="subscript"/>
        <sz val="11"/>
        <color theme="1"/>
        <rFont val="Calibri"/>
        <family val="2"/>
        <scheme val="minor"/>
      </rPr>
      <t xml:space="preserve"> far-c</t>
    </r>
  </si>
  <si>
    <r>
      <t xml:space="preserve">s_IRGO </t>
    </r>
    <r>
      <rPr>
        <vertAlign val="subscript"/>
        <sz val="11"/>
        <color theme="1"/>
        <rFont val="Calibri"/>
        <family val="2"/>
        <scheme val="minor"/>
      </rPr>
      <t>far-a</t>
    </r>
  </si>
  <si>
    <r>
      <t xml:space="preserve">s_IFGO </t>
    </r>
    <r>
      <rPr>
        <vertAlign val="subscript"/>
        <sz val="11"/>
        <color theme="1"/>
        <rFont val="Calibri"/>
        <family val="2"/>
        <scheme val="minor"/>
      </rPr>
      <t>far-adj</t>
    </r>
  </si>
  <si>
    <r>
      <t>s_IRSM</t>
    </r>
    <r>
      <rPr>
        <vertAlign val="subscript"/>
        <sz val="11"/>
        <color theme="1"/>
        <rFont val="Calibri"/>
        <family val="2"/>
        <scheme val="minor"/>
      </rPr>
      <t xml:space="preserve"> far-c</t>
    </r>
  </si>
  <si>
    <r>
      <t xml:space="preserve">s_IRSM </t>
    </r>
    <r>
      <rPr>
        <vertAlign val="subscript"/>
        <sz val="11"/>
        <color theme="1"/>
        <rFont val="Calibri"/>
        <family val="2"/>
        <scheme val="minor"/>
      </rPr>
      <t>far-a</t>
    </r>
  </si>
  <si>
    <r>
      <t xml:space="preserve">s_IFSM </t>
    </r>
    <r>
      <rPr>
        <vertAlign val="subscript"/>
        <sz val="11"/>
        <color theme="1"/>
        <rFont val="Calibri"/>
        <family val="2"/>
        <scheme val="minor"/>
      </rPr>
      <t>far-adj</t>
    </r>
  </si>
  <si>
    <r>
      <t>s_IRGM</t>
    </r>
    <r>
      <rPr>
        <vertAlign val="subscript"/>
        <sz val="11"/>
        <color theme="1"/>
        <rFont val="Calibri"/>
        <family val="2"/>
        <scheme val="minor"/>
      </rPr>
      <t xml:space="preserve"> far-c</t>
    </r>
  </si>
  <si>
    <r>
      <t xml:space="preserve">s_IRGM </t>
    </r>
    <r>
      <rPr>
        <vertAlign val="subscript"/>
        <sz val="11"/>
        <color theme="1"/>
        <rFont val="Calibri"/>
        <family val="2"/>
        <scheme val="minor"/>
      </rPr>
      <t>far-a</t>
    </r>
  </si>
  <si>
    <r>
      <t xml:space="preserve">s_IFGM </t>
    </r>
    <r>
      <rPr>
        <vertAlign val="subscript"/>
        <sz val="11"/>
        <color theme="1"/>
        <rFont val="Calibri"/>
        <family val="2"/>
        <scheme val="minor"/>
      </rPr>
      <t>far-adj</t>
    </r>
  </si>
  <si>
    <r>
      <t xml:space="preserve">s_D </t>
    </r>
    <r>
      <rPr>
        <vertAlign val="subscript"/>
        <sz val="11"/>
        <rFont val="Calibri"/>
        <family val="2"/>
        <scheme val="minor"/>
      </rPr>
      <t>milk</t>
    </r>
  </si>
  <si>
    <r>
      <t xml:space="preserve">s_Q </t>
    </r>
    <r>
      <rPr>
        <vertAlign val="subscript"/>
        <sz val="11"/>
        <rFont val="Calibri"/>
        <family val="2"/>
        <scheme val="minor"/>
      </rPr>
      <t>w-goat</t>
    </r>
  </si>
  <si>
    <r>
      <t xml:space="preserve">s_Q </t>
    </r>
    <r>
      <rPr>
        <vertAlign val="subscript"/>
        <sz val="11"/>
        <rFont val="Calibri"/>
        <family val="2"/>
        <scheme val="minor"/>
      </rPr>
      <t>p-goat</t>
    </r>
  </si>
  <si>
    <r>
      <t xml:space="preserve">s_Q </t>
    </r>
    <r>
      <rPr>
        <vertAlign val="subscript"/>
        <sz val="11"/>
        <rFont val="Calibri"/>
        <family val="2"/>
        <scheme val="minor"/>
      </rPr>
      <t>s-goat</t>
    </r>
  </si>
  <si>
    <r>
      <t xml:space="preserve">s_f </t>
    </r>
    <r>
      <rPr>
        <vertAlign val="subscript"/>
        <sz val="11"/>
        <rFont val="Calibri"/>
        <family val="2"/>
        <scheme val="minor"/>
      </rPr>
      <t>p-goat</t>
    </r>
  </si>
  <si>
    <r>
      <t xml:space="preserve">s_f </t>
    </r>
    <r>
      <rPr>
        <vertAlign val="subscript"/>
        <sz val="11"/>
        <rFont val="Calibri"/>
        <family val="2"/>
        <scheme val="minor"/>
      </rPr>
      <t>s-goat</t>
    </r>
  </si>
  <si>
    <r>
      <t xml:space="preserve">s_Q </t>
    </r>
    <r>
      <rPr>
        <vertAlign val="subscript"/>
        <sz val="11"/>
        <rFont val="Calibri"/>
        <family val="2"/>
        <scheme val="minor"/>
      </rPr>
      <t>w-goat-milk</t>
    </r>
  </si>
  <si>
    <r>
      <t xml:space="preserve">s_Q </t>
    </r>
    <r>
      <rPr>
        <vertAlign val="subscript"/>
        <sz val="11"/>
        <rFont val="Calibri"/>
        <family val="2"/>
        <scheme val="minor"/>
      </rPr>
      <t>p-goat-milk</t>
    </r>
  </si>
  <si>
    <r>
      <t xml:space="preserve">s_Q </t>
    </r>
    <r>
      <rPr>
        <vertAlign val="subscript"/>
        <sz val="11"/>
        <rFont val="Calibri"/>
        <family val="2"/>
        <scheme val="minor"/>
      </rPr>
      <t>s-goat-milk</t>
    </r>
  </si>
  <si>
    <r>
      <t xml:space="preserve">s_f </t>
    </r>
    <r>
      <rPr>
        <vertAlign val="subscript"/>
        <sz val="11"/>
        <rFont val="Calibri"/>
        <family val="2"/>
        <scheme val="minor"/>
      </rPr>
      <t>p-goat-milk</t>
    </r>
  </si>
  <si>
    <r>
      <t xml:space="preserve">s_f </t>
    </r>
    <r>
      <rPr>
        <vertAlign val="subscript"/>
        <sz val="11"/>
        <rFont val="Calibri"/>
        <family val="2"/>
        <scheme val="minor"/>
      </rPr>
      <t>s-goat-milk</t>
    </r>
  </si>
  <si>
    <r>
      <t xml:space="preserve">s_Q </t>
    </r>
    <r>
      <rPr>
        <vertAlign val="subscript"/>
        <sz val="11"/>
        <rFont val="Calibri"/>
        <family val="2"/>
        <scheme val="minor"/>
      </rPr>
      <t>w-sheep-milk</t>
    </r>
  </si>
  <si>
    <r>
      <t xml:space="preserve">s_Q </t>
    </r>
    <r>
      <rPr>
        <vertAlign val="subscript"/>
        <sz val="11"/>
        <rFont val="Calibri"/>
        <family val="2"/>
        <scheme val="minor"/>
      </rPr>
      <t>p-sheep-milk</t>
    </r>
  </si>
  <si>
    <r>
      <t xml:space="preserve">s_Q </t>
    </r>
    <r>
      <rPr>
        <vertAlign val="subscript"/>
        <sz val="11"/>
        <rFont val="Calibri"/>
        <family val="2"/>
        <scheme val="minor"/>
      </rPr>
      <t>s-sheep-milk</t>
    </r>
  </si>
  <si>
    <r>
      <t xml:space="preserve">s_f </t>
    </r>
    <r>
      <rPr>
        <vertAlign val="subscript"/>
        <sz val="11"/>
        <rFont val="Calibri"/>
        <family val="2"/>
        <scheme val="minor"/>
      </rPr>
      <t>p-sheep-milk</t>
    </r>
  </si>
  <si>
    <r>
      <t xml:space="preserve">s_f </t>
    </r>
    <r>
      <rPr>
        <vertAlign val="subscript"/>
        <sz val="11"/>
        <rFont val="Calibri"/>
        <family val="2"/>
        <scheme val="minor"/>
      </rPr>
      <t>s-sheep-milk</t>
    </r>
  </si>
  <si>
    <r>
      <t xml:space="preserve">s_L </t>
    </r>
    <r>
      <rPr>
        <vertAlign val="subscript"/>
        <sz val="11"/>
        <color theme="1"/>
        <rFont val="Calibri"/>
        <family val="2"/>
        <scheme val="minor"/>
      </rPr>
      <t>s2gw</t>
    </r>
  </si>
  <si>
    <r>
      <t>s_l</t>
    </r>
    <r>
      <rPr>
        <vertAlign val="subscript"/>
        <sz val="11"/>
        <color theme="1"/>
        <rFont val="Calibri"/>
        <family val="2"/>
        <scheme val="minor"/>
      </rPr>
      <t>s2gw</t>
    </r>
  </si>
  <si>
    <r>
      <t xml:space="preserve">s_t </t>
    </r>
    <r>
      <rPr>
        <vertAlign val="subscript"/>
        <sz val="11"/>
        <color theme="1"/>
        <rFont val="Calibri"/>
        <family val="2"/>
        <scheme val="minor"/>
      </rPr>
      <t>res</t>
    </r>
  </si>
  <si>
    <r>
      <t xml:space="preserve">s_IRA </t>
    </r>
    <r>
      <rPr>
        <vertAlign val="subscript"/>
        <sz val="11"/>
        <color theme="1"/>
        <rFont val="Calibri"/>
        <family val="2"/>
        <scheme val="minor"/>
      </rPr>
      <t>res-c</t>
    </r>
  </si>
  <si>
    <r>
      <t xml:space="preserve">s_IRA </t>
    </r>
    <r>
      <rPr>
        <vertAlign val="subscript"/>
        <sz val="11"/>
        <color theme="1"/>
        <rFont val="Calibri"/>
        <family val="2"/>
        <scheme val="minor"/>
      </rPr>
      <t>res-a</t>
    </r>
  </si>
  <si>
    <r>
      <t xml:space="preserve">s_IFA </t>
    </r>
    <r>
      <rPr>
        <vertAlign val="subscript"/>
        <sz val="11"/>
        <color theme="1"/>
        <rFont val="Calibri"/>
        <family val="2"/>
        <scheme val="minor"/>
      </rPr>
      <t>res-adj</t>
    </r>
  </si>
  <si>
    <r>
      <t xml:space="preserve">s_DFA </t>
    </r>
    <r>
      <rPr>
        <vertAlign val="subscript"/>
        <sz val="11"/>
        <color theme="1"/>
        <rFont val="Calibri"/>
        <family val="2"/>
        <scheme val="minor"/>
      </rPr>
      <t>res-adj</t>
    </r>
  </si>
  <si>
    <r>
      <t xml:space="preserve">s_IRS </t>
    </r>
    <r>
      <rPr>
        <vertAlign val="subscript"/>
        <sz val="11"/>
        <color theme="1"/>
        <rFont val="Calibri"/>
        <family val="2"/>
        <scheme val="minor"/>
      </rPr>
      <t>res-c</t>
    </r>
  </si>
  <si>
    <r>
      <t xml:space="preserve">s_IRS </t>
    </r>
    <r>
      <rPr>
        <vertAlign val="subscript"/>
        <sz val="11"/>
        <color theme="1"/>
        <rFont val="Calibri"/>
        <family val="2"/>
        <scheme val="minor"/>
      </rPr>
      <t>res-a</t>
    </r>
  </si>
  <si>
    <r>
      <t xml:space="preserve">s_IFS </t>
    </r>
    <r>
      <rPr>
        <vertAlign val="subscript"/>
        <sz val="11"/>
        <color theme="1"/>
        <rFont val="Calibri"/>
        <family val="2"/>
        <scheme val="minor"/>
      </rPr>
      <t>res-adj</t>
    </r>
  </si>
  <si>
    <r>
      <t xml:space="preserve">s_IRW </t>
    </r>
    <r>
      <rPr>
        <vertAlign val="subscript"/>
        <sz val="11"/>
        <color theme="1"/>
        <rFont val="Calibri"/>
        <family val="2"/>
        <scheme val="minor"/>
      </rPr>
      <t>res-c</t>
    </r>
  </si>
  <si>
    <r>
      <t xml:space="preserve">s_IRW </t>
    </r>
    <r>
      <rPr>
        <vertAlign val="subscript"/>
        <sz val="11"/>
        <color theme="1"/>
        <rFont val="Calibri"/>
        <family val="2"/>
        <scheme val="minor"/>
      </rPr>
      <t>res-a</t>
    </r>
  </si>
  <si>
    <r>
      <t xml:space="preserve">s_IFW </t>
    </r>
    <r>
      <rPr>
        <vertAlign val="subscript"/>
        <sz val="11"/>
        <color theme="1"/>
        <rFont val="Calibri"/>
        <family val="2"/>
        <scheme val="minor"/>
      </rPr>
      <t>res-adj</t>
    </r>
  </si>
  <si>
    <r>
      <t xml:space="preserve">s_IRF </t>
    </r>
    <r>
      <rPr>
        <vertAlign val="subscript"/>
        <sz val="11"/>
        <color theme="1"/>
        <rFont val="Calibri"/>
        <family val="2"/>
        <scheme val="minor"/>
      </rPr>
      <t>res</t>
    </r>
  </si>
  <si>
    <r>
      <t xml:space="preserve">s_EF </t>
    </r>
    <r>
      <rPr>
        <vertAlign val="subscript"/>
        <sz val="11"/>
        <color theme="1"/>
        <rFont val="Calibri"/>
        <family val="2"/>
        <scheme val="minor"/>
      </rPr>
      <t>res-c</t>
    </r>
  </si>
  <si>
    <r>
      <t xml:space="preserve">s_EF </t>
    </r>
    <r>
      <rPr>
        <vertAlign val="subscript"/>
        <sz val="11"/>
        <color theme="1"/>
        <rFont val="Calibri"/>
        <family val="2"/>
        <scheme val="minor"/>
      </rPr>
      <t>res-a</t>
    </r>
  </si>
  <si>
    <r>
      <t xml:space="preserve">s_EF </t>
    </r>
    <r>
      <rPr>
        <vertAlign val="subscript"/>
        <sz val="11"/>
        <color theme="1"/>
        <rFont val="Calibri"/>
        <family val="2"/>
        <scheme val="minor"/>
      </rPr>
      <t>res</t>
    </r>
  </si>
  <si>
    <r>
      <t xml:space="preserve">s_ET </t>
    </r>
    <r>
      <rPr>
        <vertAlign val="subscript"/>
        <sz val="11"/>
        <color theme="1"/>
        <rFont val="Calibri"/>
        <family val="2"/>
        <scheme val="minor"/>
      </rPr>
      <t>event-res-c</t>
    </r>
  </si>
  <si>
    <r>
      <t xml:space="preserve">s_ET </t>
    </r>
    <r>
      <rPr>
        <vertAlign val="subscript"/>
        <sz val="11"/>
        <color theme="1"/>
        <rFont val="Calibri"/>
        <family val="2"/>
        <scheme val="minor"/>
      </rPr>
      <t>event-res-a</t>
    </r>
  </si>
  <si>
    <r>
      <t xml:space="preserve">s_ET </t>
    </r>
    <r>
      <rPr>
        <vertAlign val="subscript"/>
        <sz val="11"/>
        <color theme="1"/>
        <rFont val="Calibri"/>
        <family val="2"/>
        <scheme val="minor"/>
      </rPr>
      <t>res-c</t>
    </r>
  </si>
  <si>
    <r>
      <t xml:space="preserve">s_ET </t>
    </r>
    <r>
      <rPr>
        <vertAlign val="subscript"/>
        <sz val="11"/>
        <color theme="1"/>
        <rFont val="Calibri"/>
        <family val="2"/>
        <scheme val="minor"/>
      </rPr>
      <t>res-a</t>
    </r>
  </si>
  <si>
    <r>
      <t xml:space="preserve">s_ET </t>
    </r>
    <r>
      <rPr>
        <vertAlign val="subscript"/>
        <sz val="11"/>
        <color theme="1"/>
        <rFont val="Calibri"/>
        <family val="2"/>
        <scheme val="minor"/>
      </rPr>
      <t>res</t>
    </r>
  </si>
  <si>
    <r>
      <t xml:space="preserve">s_EV </t>
    </r>
    <r>
      <rPr>
        <vertAlign val="subscript"/>
        <sz val="11"/>
        <color theme="1"/>
        <rFont val="Calibri"/>
        <family val="2"/>
        <scheme val="minor"/>
      </rPr>
      <t>res-c</t>
    </r>
  </si>
  <si>
    <r>
      <t xml:space="preserve">s_EV </t>
    </r>
    <r>
      <rPr>
        <vertAlign val="subscript"/>
        <sz val="11"/>
        <color theme="1"/>
        <rFont val="Calibri"/>
        <family val="2"/>
        <scheme val="minor"/>
      </rPr>
      <t>res-a</t>
    </r>
  </si>
  <si>
    <r>
      <t xml:space="preserve">s_ET </t>
    </r>
    <r>
      <rPr>
        <vertAlign val="subscript"/>
        <sz val="11"/>
        <rFont val="Calibri"/>
        <family val="2"/>
        <scheme val="minor"/>
      </rPr>
      <t>res-o</t>
    </r>
  </si>
  <si>
    <r>
      <t xml:space="preserve">s_ET </t>
    </r>
    <r>
      <rPr>
        <vertAlign val="subscript"/>
        <sz val="11"/>
        <rFont val="Calibri"/>
        <family val="2"/>
        <scheme val="minor"/>
      </rPr>
      <t>res-i</t>
    </r>
  </si>
  <si>
    <r>
      <t xml:space="preserve">s_CF </t>
    </r>
    <r>
      <rPr>
        <vertAlign val="subscript"/>
        <sz val="11"/>
        <color theme="1"/>
        <rFont val="Calibri"/>
        <family val="2"/>
        <scheme val="minor"/>
      </rPr>
      <t>res-fish</t>
    </r>
  </si>
  <si>
    <t>s_IRAP res-c</t>
  </si>
  <si>
    <t>s_IRAP res-a</t>
  </si>
  <si>
    <t>s_IFAP res-adj</t>
  </si>
  <si>
    <t>s_IRAS res-c</t>
  </si>
  <si>
    <t>s_IRAS res-a</t>
  </si>
  <si>
    <t>s_IFAS res-adj</t>
  </si>
  <si>
    <t>s_IRBT res-c</t>
  </si>
  <si>
    <t>s_IRBT res-a</t>
  </si>
  <si>
    <t>s_IFBT res-adj</t>
  </si>
  <si>
    <t>s_IRBE res-c</t>
  </si>
  <si>
    <t>s_IRBE res-a</t>
  </si>
  <si>
    <t>s_IFBE res-adj</t>
  </si>
  <si>
    <t>s_IRBR res-c</t>
  </si>
  <si>
    <t>s_IRBR res-a</t>
  </si>
  <si>
    <t>s_IFBR res-adj</t>
  </si>
  <si>
    <t>s_IRCB res-c</t>
  </si>
  <si>
    <t>s_IRCB res-a</t>
  </si>
  <si>
    <t>s_IFCB res-adj</t>
  </si>
  <si>
    <t>s_IRCR res-c</t>
  </si>
  <si>
    <t>s_IRCR res-a</t>
  </si>
  <si>
    <t>s_IFCR res-adj</t>
  </si>
  <si>
    <t>s_IRCG res-c</t>
  </si>
  <si>
    <t>s_IRCG res-a</t>
  </si>
  <si>
    <t>s_IFCG res-adj</t>
  </si>
  <si>
    <t>s_IRCI res-c</t>
  </si>
  <si>
    <t>s_IRCI res-a</t>
  </si>
  <si>
    <t>s_IFCI res-adj</t>
  </si>
  <si>
    <t>s_IRCO res-c</t>
  </si>
  <si>
    <t>s_IRCO res-a</t>
  </si>
  <si>
    <t>s_IFCO res-adj</t>
  </si>
  <si>
    <t>s_IRCU res-c</t>
  </si>
  <si>
    <t>s_IRCU res-a</t>
  </si>
  <si>
    <t>s_IFCU res-adj</t>
  </si>
  <si>
    <t>s_IRLE res-c</t>
  </si>
  <si>
    <t>s_IRLE res-a</t>
  </si>
  <si>
    <t>s_IFLE res-adj</t>
  </si>
  <si>
    <t>s_IRLI res-c</t>
  </si>
  <si>
    <t>s_IRLI res-a</t>
  </si>
  <si>
    <t>s_IFLI res-adj</t>
  </si>
  <si>
    <t>s_IROK res-c</t>
  </si>
  <si>
    <t>s_IROK res-a</t>
  </si>
  <si>
    <t>s_IFOK res-adj</t>
  </si>
  <si>
    <t>s_IRON res-c</t>
  </si>
  <si>
    <t>s_IRON res-a</t>
  </si>
  <si>
    <t>s_IFON res-adj</t>
  </si>
  <si>
    <t>s_IRPC res-c</t>
  </si>
  <si>
    <t>s_IRPC res-a</t>
  </si>
  <si>
    <t>s_IFPC res-adj</t>
  </si>
  <si>
    <t>s_IRPR res-c</t>
  </si>
  <si>
    <t>s_IRPR res-a</t>
  </si>
  <si>
    <t>s_IFPR res-adj</t>
  </si>
  <si>
    <t>s_IRPE res-c</t>
  </si>
  <si>
    <t>s_IRPE res-a</t>
  </si>
  <si>
    <t>s_IFPE res-adj</t>
  </si>
  <si>
    <t>s_IRPT res-c</t>
  </si>
  <si>
    <t>s_IRPT res-a</t>
  </si>
  <si>
    <t>s_IFPT res-adj</t>
  </si>
  <si>
    <t>s_IRPU res-c</t>
  </si>
  <si>
    <t>s_IRPU res-a</t>
  </si>
  <si>
    <t>s_IFPU res-adj</t>
  </si>
  <si>
    <t>s_IRRI res-c</t>
  </si>
  <si>
    <t>s_IRRI res-a</t>
  </si>
  <si>
    <t>s_IFRI res-adj</t>
  </si>
  <si>
    <t>s_IRSN res-c</t>
  </si>
  <si>
    <t>s_IRSN res-a</t>
  </si>
  <si>
    <t>s_IFSN res-adj</t>
  </si>
  <si>
    <t>s_IRST res-c</t>
  </si>
  <si>
    <t>s_IRST res-a</t>
  </si>
  <si>
    <t>s_IFST res-adj</t>
  </si>
  <si>
    <t>s_IRTO res-c</t>
  </si>
  <si>
    <t>s_IRTO res-a</t>
  </si>
  <si>
    <t>s_IFTO res-adj</t>
  </si>
  <si>
    <r>
      <t xml:space="preserve">s_ED </t>
    </r>
    <r>
      <rPr>
        <vertAlign val="subscript"/>
        <sz val="11"/>
        <color theme="1"/>
        <rFont val="Calibri"/>
        <family val="2"/>
        <scheme val="minor"/>
      </rPr>
      <t>rec-c</t>
    </r>
  </si>
  <si>
    <r>
      <t xml:space="preserve">s_ED </t>
    </r>
    <r>
      <rPr>
        <vertAlign val="subscript"/>
        <sz val="11"/>
        <color theme="1"/>
        <rFont val="Calibri"/>
        <family val="2"/>
        <scheme val="minor"/>
      </rPr>
      <t>rec-a</t>
    </r>
  </si>
  <si>
    <r>
      <t xml:space="preserve">s_ED </t>
    </r>
    <r>
      <rPr>
        <vertAlign val="subscript"/>
        <sz val="11"/>
        <color theme="1"/>
        <rFont val="Calibri"/>
        <family val="2"/>
        <scheme val="minor"/>
      </rPr>
      <t>rec</t>
    </r>
  </si>
  <si>
    <r>
      <t xml:space="preserve">s_t </t>
    </r>
    <r>
      <rPr>
        <vertAlign val="subscript"/>
        <sz val="11"/>
        <color theme="1"/>
        <rFont val="Calibri"/>
        <family val="2"/>
        <scheme val="minor"/>
      </rPr>
      <t>rec</t>
    </r>
  </si>
  <si>
    <r>
      <t xml:space="preserve">s_IRA </t>
    </r>
    <r>
      <rPr>
        <vertAlign val="subscript"/>
        <sz val="11"/>
        <color theme="1"/>
        <rFont val="Calibri"/>
        <family val="2"/>
        <scheme val="minor"/>
      </rPr>
      <t>rec-c</t>
    </r>
  </si>
  <si>
    <r>
      <t xml:space="preserve">s_IRA </t>
    </r>
    <r>
      <rPr>
        <vertAlign val="subscript"/>
        <sz val="11"/>
        <color theme="1"/>
        <rFont val="Calibri"/>
        <family val="2"/>
        <scheme val="minor"/>
      </rPr>
      <t>rec-a</t>
    </r>
  </si>
  <si>
    <r>
      <t xml:space="preserve">s_IFA </t>
    </r>
    <r>
      <rPr>
        <vertAlign val="subscript"/>
        <sz val="11"/>
        <color theme="1"/>
        <rFont val="Calibri"/>
        <family val="2"/>
        <scheme val="minor"/>
      </rPr>
      <t>rec-adj</t>
    </r>
  </si>
  <si>
    <r>
      <t xml:space="preserve">s_DFA </t>
    </r>
    <r>
      <rPr>
        <vertAlign val="subscript"/>
        <sz val="11"/>
        <color theme="1"/>
        <rFont val="Calibri"/>
        <family val="2"/>
        <scheme val="minor"/>
      </rPr>
      <t>rec-adj</t>
    </r>
  </si>
  <si>
    <r>
      <t xml:space="preserve">s_IRS </t>
    </r>
    <r>
      <rPr>
        <vertAlign val="subscript"/>
        <sz val="11"/>
        <color theme="1"/>
        <rFont val="Calibri"/>
        <family val="2"/>
        <scheme val="minor"/>
      </rPr>
      <t>rec-c</t>
    </r>
  </si>
  <si>
    <r>
      <t xml:space="preserve">s_IRS </t>
    </r>
    <r>
      <rPr>
        <vertAlign val="subscript"/>
        <sz val="11"/>
        <color theme="1"/>
        <rFont val="Calibri"/>
        <family val="2"/>
        <scheme val="minor"/>
      </rPr>
      <t>rec-a</t>
    </r>
  </si>
  <si>
    <r>
      <t xml:space="preserve">s_IFS </t>
    </r>
    <r>
      <rPr>
        <vertAlign val="subscript"/>
        <sz val="11"/>
        <color theme="1"/>
        <rFont val="Calibri"/>
        <family val="2"/>
        <scheme val="minor"/>
      </rPr>
      <t>rec-adj</t>
    </r>
  </si>
  <si>
    <r>
      <t xml:space="preserve">s_IRW </t>
    </r>
    <r>
      <rPr>
        <vertAlign val="subscript"/>
        <sz val="11"/>
        <color theme="1"/>
        <rFont val="Calibri"/>
        <family val="2"/>
        <scheme val="minor"/>
      </rPr>
      <t>rec-c</t>
    </r>
  </si>
  <si>
    <r>
      <t xml:space="preserve">s_IRW </t>
    </r>
    <r>
      <rPr>
        <vertAlign val="subscript"/>
        <sz val="11"/>
        <color theme="1"/>
        <rFont val="Calibri"/>
        <family val="2"/>
        <scheme val="minor"/>
      </rPr>
      <t>rec-a</t>
    </r>
  </si>
  <si>
    <r>
      <t xml:space="preserve">s_IFW </t>
    </r>
    <r>
      <rPr>
        <vertAlign val="subscript"/>
        <sz val="11"/>
        <color theme="1"/>
        <rFont val="Calibri"/>
        <family val="2"/>
        <scheme val="minor"/>
      </rPr>
      <t>rec-adj</t>
    </r>
  </si>
  <si>
    <r>
      <t>s_IRGL</t>
    </r>
    <r>
      <rPr>
        <vertAlign val="subscript"/>
        <sz val="11"/>
        <color theme="1"/>
        <rFont val="Calibri"/>
        <family val="2"/>
        <scheme val="minor"/>
      </rPr>
      <t xml:space="preserve"> rec</t>
    </r>
  </si>
  <si>
    <r>
      <t xml:space="preserve">s_IRGF </t>
    </r>
    <r>
      <rPr>
        <vertAlign val="subscript"/>
        <sz val="11"/>
        <color theme="1"/>
        <rFont val="Calibri"/>
        <family val="2"/>
        <scheme val="minor"/>
      </rPr>
      <t>rec</t>
    </r>
  </si>
  <si>
    <r>
      <t xml:space="preserve">s_EF </t>
    </r>
    <r>
      <rPr>
        <vertAlign val="subscript"/>
        <sz val="11"/>
        <color theme="1"/>
        <rFont val="Calibri"/>
        <family val="2"/>
        <scheme val="minor"/>
      </rPr>
      <t>rec-c</t>
    </r>
  </si>
  <si>
    <r>
      <t xml:space="preserve">s_EF </t>
    </r>
    <r>
      <rPr>
        <vertAlign val="subscript"/>
        <sz val="11"/>
        <color theme="1"/>
        <rFont val="Calibri"/>
        <family val="2"/>
        <scheme val="minor"/>
      </rPr>
      <t>rec-a</t>
    </r>
  </si>
  <si>
    <r>
      <t xml:space="preserve">s_EF </t>
    </r>
    <r>
      <rPr>
        <vertAlign val="subscript"/>
        <sz val="11"/>
        <color theme="1"/>
        <rFont val="Calibri"/>
        <family val="2"/>
        <scheme val="minor"/>
      </rPr>
      <t>rec</t>
    </r>
  </si>
  <si>
    <r>
      <t xml:space="preserve">s_ET </t>
    </r>
    <r>
      <rPr>
        <vertAlign val="subscript"/>
        <sz val="11"/>
        <color theme="1"/>
        <rFont val="Calibri"/>
        <family val="2"/>
        <scheme val="minor"/>
      </rPr>
      <t>rec</t>
    </r>
  </si>
  <si>
    <r>
      <t xml:space="preserve">s_ET </t>
    </r>
    <r>
      <rPr>
        <vertAlign val="subscript"/>
        <sz val="11"/>
        <color theme="1"/>
        <rFont val="Calibri"/>
        <family val="2"/>
        <scheme val="minor"/>
      </rPr>
      <t>rec-c</t>
    </r>
  </si>
  <si>
    <r>
      <t xml:space="preserve">s_ET </t>
    </r>
    <r>
      <rPr>
        <vertAlign val="subscript"/>
        <sz val="11"/>
        <color theme="1"/>
        <rFont val="Calibri"/>
        <family val="2"/>
        <scheme val="minor"/>
      </rPr>
      <t>rec-a</t>
    </r>
  </si>
  <si>
    <r>
      <t xml:space="preserve">s_ET </t>
    </r>
    <r>
      <rPr>
        <vertAlign val="subscript"/>
        <sz val="11"/>
        <color theme="1"/>
        <rFont val="Calibri"/>
        <family val="2"/>
        <scheme val="minor"/>
      </rPr>
      <t>event-rec-c</t>
    </r>
  </si>
  <si>
    <r>
      <t xml:space="preserve">s_ET </t>
    </r>
    <r>
      <rPr>
        <vertAlign val="subscript"/>
        <sz val="11"/>
        <color theme="1"/>
        <rFont val="Calibri"/>
        <family val="2"/>
        <scheme val="minor"/>
      </rPr>
      <t>event-rec-a</t>
    </r>
  </si>
  <si>
    <r>
      <t xml:space="preserve">s_EV </t>
    </r>
    <r>
      <rPr>
        <vertAlign val="subscript"/>
        <sz val="11"/>
        <color theme="1"/>
        <rFont val="Calibri"/>
        <family val="2"/>
        <scheme val="minor"/>
      </rPr>
      <t>rec-c</t>
    </r>
  </si>
  <si>
    <r>
      <t xml:space="preserve">s_EV </t>
    </r>
    <r>
      <rPr>
        <vertAlign val="subscript"/>
        <sz val="11"/>
        <color theme="1"/>
        <rFont val="Calibri"/>
        <family val="2"/>
        <scheme val="minor"/>
      </rPr>
      <t>rec-a</t>
    </r>
  </si>
  <si>
    <r>
      <t xml:space="preserve">s_Q </t>
    </r>
    <r>
      <rPr>
        <vertAlign val="subscript"/>
        <sz val="11"/>
        <rFont val="Calibri"/>
        <family val="2"/>
        <scheme val="minor"/>
      </rPr>
      <t>p-fowl</t>
    </r>
  </si>
  <si>
    <r>
      <t xml:space="preserve">s_Q </t>
    </r>
    <r>
      <rPr>
        <vertAlign val="subscript"/>
        <sz val="11"/>
        <rFont val="Calibri"/>
        <family val="2"/>
        <scheme val="minor"/>
      </rPr>
      <t>s-fowl</t>
    </r>
  </si>
  <si>
    <r>
      <t xml:space="preserve">s_f </t>
    </r>
    <r>
      <rPr>
        <vertAlign val="subscript"/>
        <sz val="11"/>
        <rFont val="Calibri"/>
        <family val="2"/>
        <scheme val="minor"/>
      </rPr>
      <t>p-fowl</t>
    </r>
  </si>
  <si>
    <r>
      <t xml:space="preserve">s_f </t>
    </r>
    <r>
      <rPr>
        <vertAlign val="subscript"/>
        <sz val="11"/>
        <rFont val="Calibri"/>
        <family val="2"/>
        <scheme val="minor"/>
      </rPr>
      <t>s-fowl</t>
    </r>
  </si>
  <si>
    <r>
      <t xml:space="preserve">s_Q </t>
    </r>
    <r>
      <rPr>
        <vertAlign val="subscript"/>
        <sz val="11"/>
        <rFont val="Calibri"/>
        <family val="2"/>
        <scheme val="minor"/>
      </rPr>
      <t>w-fowl</t>
    </r>
  </si>
  <si>
    <r>
      <t xml:space="preserve">s_Q </t>
    </r>
    <r>
      <rPr>
        <vertAlign val="subscript"/>
        <sz val="11"/>
        <rFont val="Calibri"/>
        <family val="2"/>
        <scheme val="minor"/>
      </rPr>
      <t>p-game</t>
    </r>
  </si>
  <si>
    <r>
      <t xml:space="preserve">s_Q </t>
    </r>
    <r>
      <rPr>
        <vertAlign val="subscript"/>
        <sz val="11"/>
        <rFont val="Calibri"/>
        <family val="2"/>
        <scheme val="minor"/>
      </rPr>
      <t>s-game</t>
    </r>
  </si>
  <si>
    <r>
      <t xml:space="preserve">s_f </t>
    </r>
    <r>
      <rPr>
        <vertAlign val="subscript"/>
        <sz val="11"/>
        <rFont val="Calibri"/>
        <family val="2"/>
        <scheme val="minor"/>
      </rPr>
      <t>p-game</t>
    </r>
  </si>
  <si>
    <r>
      <t xml:space="preserve">s_f </t>
    </r>
    <r>
      <rPr>
        <vertAlign val="subscript"/>
        <sz val="11"/>
        <rFont val="Calibri"/>
        <family val="2"/>
        <scheme val="minor"/>
      </rPr>
      <t>s-game</t>
    </r>
  </si>
  <si>
    <r>
      <t xml:space="preserve">s_Q </t>
    </r>
    <r>
      <rPr>
        <vertAlign val="subscript"/>
        <sz val="11"/>
        <rFont val="Calibri"/>
        <family val="2"/>
        <scheme val="minor"/>
      </rPr>
      <t>w-game</t>
    </r>
  </si>
  <si>
    <r>
      <t xml:space="preserve">s_CF </t>
    </r>
    <r>
      <rPr>
        <vertAlign val="subscript"/>
        <sz val="11"/>
        <rFont val="Calibri"/>
        <family val="2"/>
        <scheme val="minor"/>
      </rPr>
      <t>fowl</t>
    </r>
  </si>
  <si>
    <r>
      <t xml:space="preserve">s_CF </t>
    </r>
    <r>
      <rPr>
        <vertAlign val="subscript"/>
        <sz val="11"/>
        <rFont val="Calibri"/>
        <family val="2"/>
        <scheme val="minor"/>
      </rPr>
      <t>game</t>
    </r>
  </si>
  <si>
    <r>
      <t xml:space="preserve">s_ED </t>
    </r>
    <r>
      <rPr>
        <vertAlign val="subscript"/>
        <sz val="11"/>
        <color theme="1"/>
        <rFont val="Calibri"/>
        <family val="2"/>
        <scheme val="minor"/>
      </rPr>
      <t>far-c</t>
    </r>
  </si>
  <si>
    <r>
      <t xml:space="preserve">s_ED </t>
    </r>
    <r>
      <rPr>
        <vertAlign val="subscript"/>
        <sz val="11"/>
        <color theme="1"/>
        <rFont val="Calibri"/>
        <family val="2"/>
        <scheme val="minor"/>
      </rPr>
      <t>far-a</t>
    </r>
  </si>
  <si>
    <r>
      <t xml:space="preserve">s_ED </t>
    </r>
    <r>
      <rPr>
        <vertAlign val="subscript"/>
        <sz val="11"/>
        <color theme="1"/>
        <rFont val="Calibri"/>
        <family val="2"/>
        <scheme val="minor"/>
      </rPr>
      <t>far</t>
    </r>
  </si>
  <si>
    <r>
      <t xml:space="preserve">s_t </t>
    </r>
    <r>
      <rPr>
        <vertAlign val="subscript"/>
        <sz val="11"/>
        <color theme="1"/>
        <rFont val="Calibri"/>
        <family val="2"/>
        <scheme val="minor"/>
      </rPr>
      <t>far</t>
    </r>
  </si>
  <si>
    <r>
      <t xml:space="preserve">s_IRA </t>
    </r>
    <r>
      <rPr>
        <vertAlign val="subscript"/>
        <sz val="11"/>
        <color theme="1"/>
        <rFont val="Calibri"/>
        <family val="2"/>
        <scheme val="minor"/>
      </rPr>
      <t>far-c</t>
    </r>
  </si>
  <si>
    <r>
      <t xml:space="preserve">s_IRA </t>
    </r>
    <r>
      <rPr>
        <vertAlign val="subscript"/>
        <sz val="11"/>
        <color theme="1"/>
        <rFont val="Calibri"/>
        <family val="2"/>
        <scheme val="minor"/>
      </rPr>
      <t>far-a</t>
    </r>
  </si>
  <si>
    <r>
      <t xml:space="preserve">s_IFA </t>
    </r>
    <r>
      <rPr>
        <vertAlign val="subscript"/>
        <sz val="11"/>
        <color theme="1"/>
        <rFont val="Calibri"/>
        <family val="2"/>
        <scheme val="minor"/>
      </rPr>
      <t>far-adj</t>
    </r>
  </si>
  <si>
    <r>
      <t xml:space="preserve">s_DFA </t>
    </r>
    <r>
      <rPr>
        <vertAlign val="subscript"/>
        <sz val="11"/>
        <color theme="1"/>
        <rFont val="Calibri"/>
        <family val="2"/>
        <scheme val="minor"/>
      </rPr>
      <t>far-adj</t>
    </r>
  </si>
  <si>
    <r>
      <t xml:space="preserve">s_IRS </t>
    </r>
    <r>
      <rPr>
        <vertAlign val="subscript"/>
        <sz val="11"/>
        <color theme="1"/>
        <rFont val="Calibri"/>
        <family val="2"/>
        <scheme val="minor"/>
      </rPr>
      <t>far-c</t>
    </r>
  </si>
  <si>
    <r>
      <t xml:space="preserve">s_IRS </t>
    </r>
    <r>
      <rPr>
        <vertAlign val="subscript"/>
        <sz val="11"/>
        <color theme="1"/>
        <rFont val="Calibri"/>
        <family val="2"/>
        <scheme val="minor"/>
      </rPr>
      <t>far-a</t>
    </r>
  </si>
  <si>
    <r>
      <t xml:space="preserve">s_IFS </t>
    </r>
    <r>
      <rPr>
        <vertAlign val="subscript"/>
        <sz val="11"/>
        <color theme="1"/>
        <rFont val="Calibri"/>
        <family val="2"/>
        <scheme val="minor"/>
      </rPr>
      <t>far-adj</t>
    </r>
  </si>
  <si>
    <r>
      <t xml:space="preserve">s_IRW </t>
    </r>
    <r>
      <rPr>
        <vertAlign val="subscript"/>
        <sz val="11"/>
        <color theme="1"/>
        <rFont val="Calibri"/>
        <family val="2"/>
        <scheme val="minor"/>
      </rPr>
      <t>far-c</t>
    </r>
  </si>
  <si>
    <r>
      <t xml:space="preserve">s_IRW </t>
    </r>
    <r>
      <rPr>
        <vertAlign val="subscript"/>
        <sz val="11"/>
        <color theme="1"/>
        <rFont val="Calibri"/>
        <family val="2"/>
        <scheme val="minor"/>
      </rPr>
      <t>far-a</t>
    </r>
  </si>
  <si>
    <r>
      <t xml:space="preserve">s_IFW </t>
    </r>
    <r>
      <rPr>
        <vertAlign val="subscript"/>
        <sz val="11"/>
        <color theme="1"/>
        <rFont val="Calibri"/>
        <family val="2"/>
        <scheme val="minor"/>
      </rPr>
      <t>far-adj</t>
    </r>
  </si>
  <si>
    <r>
      <t xml:space="preserve">s_EF </t>
    </r>
    <r>
      <rPr>
        <vertAlign val="subscript"/>
        <sz val="11"/>
        <color theme="1"/>
        <rFont val="Calibri"/>
        <family val="2"/>
        <scheme val="minor"/>
      </rPr>
      <t>far-c</t>
    </r>
  </si>
  <si>
    <r>
      <t xml:space="preserve">s_EF </t>
    </r>
    <r>
      <rPr>
        <vertAlign val="subscript"/>
        <sz val="11"/>
        <color theme="1"/>
        <rFont val="Calibri"/>
        <family val="2"/>
        <scheme val="minor"/>
      </rPr>
      <t>far-a</t>
    </r>
  </si>
  <si>
    <r>
      <t xml:space="preserve">s_EF </t>
    </r>
    <r>
      <rPr>
        <vertAlign val="subscript"/>
        <sz val="11"/>
        <color theme="1"/>
        <rFont val="Calibri"/>
        <family val="2"/>
        <scheme val="minor"/>
      </rPr>
      <t>far</t>
    </r>
  </si>
  <si>
    <r>
      <t xml:space="preserve">s_ET </t>
    </r>
    <r>
      <rPr>
        <vertAlign val="subscript"/>
        <sz val="11"/>
        <color theme="1"/>
        <rFont val="Calibri"/>
        <family val="2"/>
        <scheme val="minor"/>
      </rPr>
      <t>far-c</t>
    </r>
  </si>
  <si>
    <r>
      <t xml:space="preserve">s_ET </t>
    </r>
    <r>
      <rPr>
        <vertAlign val="subscript"/>
        <sz val="11"/>
        <color theme="1"/>
        <rFont val="Calibri"/>
        <family val="2"/>
        <scheme val="minor"/>
      </rPr>
      <t>far-a</t>
    </r>
  </si>
  <si>
    <r>
      <t xml:space="preserve">s_ET </t>
    </r>
    <r>
      <rPr>
        <vertAlign val="subscript"/>
        <sz val="11"/>
        <color theme="1"/>
        <rFont val="Calibri"/>
        <family val="2"/>
        <scheme val="minor"/>
      </rPr>
      <t>far</t>
    </r>
  </si>
  <si>
    <r>
      <t xml:space="preserve">s_ET </t>
    </r>
    <r>
      <rPr>
        <vertAlign val="subscript"/>
        <sz val="11"/>
        <color theme="1"/>
        <rFont val="Calibri"/>
        <family val="2"/>
        <scheme val="minor"/>
      </rPr>
      <t>event-far-c</t>
    </r>
  </si>
  <si>
    <r>
      <t xml:space="preserve">s_ET </t>
    </r>
    <r>
      <rPr>
        <vertAlign val="subscript"/>
        <sz val="11"/>
        <color theme="1"/>
        <rFont val="Calibri"/>
        <family val="2"/>
        <scheme val="minor"/>
      </rPr>
      <t>event-far-a</t>
    </r>
  </si>
  <si>
    <r>
      <t xml:space="preserve">s_ET </t>
    </r>
    <r>
      <rPr>
        <vertAlign val="subscript"/>
        <sz val="11"/>
        <rFont val="Calibri"/>
        <family val="2"/>
        <scheme val="minor"/>
      </rPr>
      <t>far-o</t>
    </r>
  </si>
  <si>
    <r>
      <t xml:space="preserve">s_ET </t>
    </r>
    <r>
      <rPr>
        <vertAlign val="subscript"/>
        <sz val="11"/>
        <rFont val="Calibri"/>
        <family val="2"/>
        <scheme val="minor"/>
      </rPr>
      <t>far-i</t>
    </r>
  </si>
  <si>
    <r>
      <t xml:space="preserve">s_EV </t>
    </r>
    <r>
      <rPr>
        <vertAlign val="subscript"/>
        <sz val="11"/>
        <color theme="1"/>
        <rFont val="Calibri"/>
        <family val="2"/>
        <scheme val="minor"/>
      </rPr>
      <t>far-c</t>
    </r>
  </si>
  <si>
    <r>
      <t xml:space="preserve">s_EV </t>
    </r>
    <r>
      <rPr>
        <vertAlign val="subscript"/>
        <sz val="11"/>
        <color theme="1"/>
        <rFont val="Calibri"/>
        <family val="2"/>
        <scheme val="minor"/>
      </rPr>
      <t>far-a</t>
    </r>
  </si>
  <si>
    <t>s_C</t>
  </si>
  <si>
    <t>MUTTBTF</t>
  </si>
  <si>
    <t>GOATBTF</t>
  </si>
  <si>
    <t>GOATMILKBTF</t>
  </si>
  <si>
    <t>MUTTMILKBTF</t>
  </si>
  <si>
    <t>SE</t>
  </si>
  <si>
    <t>~Ba-137m</t>
  </si>
  <si>
    <t>~Po-218</t>
  </si>
  <si>
    <t>~Pb-214</t>
  </si>
  <si>
    <t>~Np-237</t>
  </si>
  <si>
    <t>~Pa-233</t>
  </si>
  <si>
    <t>~U-233</t>
  </si>
  <si>
    <t>~Th-229</t>
  </si>
  <si>
    <t>~Ra-225</t>
  </si>
  <si>
    <t>~Ac-225</t>
  </si>
  <si>
    <t>~Fr-221</t>
  </si>
  <si>
    <t>~At-217</t>
  </si>
  <si>
    <t>~Bi-213</t>
  </si>
  <si>
    <t>~Po-213</t>
  </si>
  <si>
    <t>~Tl-209</t>
  </si>
  <si>
    <t>~Pb-209</t>
  </si>
  <si>
    <t>~Rn-222</t>
  </si>
  <si>
    <t>~At-218</t>
  </si>
  <si>
    <t>~Bi-214</t>
  </si>
  <si>
    <t>~Rn-218</t>
  </si>
  <si>
    <t>~Po-214</t>
  </si>
  <si>
    <t>~Tl-210</t>
  </si>
  <si>
    <t>~Pb-210</t>
  </si>
  <si>
    <t>~Bi-210</t>
  </si>
  <si>
    <t>~Hg-206</t>
  </si>
  <si>
    <t>~Po-210</t>
  </si>
  <si>
    <t>~Tl-206</t>
  </si>
  <si>
    <t>~Cs-137</t>
  </si>
  <si>
    <t>~Am-241</t>
  </si>
  <si>
    <t>~Ra-226</t>
  </si>
  <si>
    <r>
      <t xml:space="preserve">Q </t>
    </r>
    <r>
      <rPr>
        <vertAlign val="subscript"/>
        <sz val="11"/>
        <rFont val="Calibri"/>
        <family val="2"/>
        <scheme val="minor"/>
      </rPr>
      <t>w-sheep</t>
    </r>
  </si>
  <si>
    <r>
      <t xml:space="preserve">Q </t>
    </r>
    <r>
      <rPr>
        <vertAlign val="subscript"/>
        <sz val="11"/>
        <rFont val="Calibri"/>
        <family val="2"/>
        <scheme val="minor"/>
      </rPr>
      <t>p-sheep</t>
    </r>
  </si>
  <si>
    <r>
      <t xml:space="preserve">Q </t>
    </r>
    <r>
      <rPr>
        <vertAlign val="subscript"/>
        <sz val="11"/>
        <rFont val="Calibri"/>
        <family val="2"/>
        <scheme val="minor"/>
      </rPr>
      <t>s-sheep</t>
    </r>
  </si>
  <si>
    <r>
      <t xml:space="preserve">f </t>
    </r>
    <r>
      <rPr>
        <vertAlign val="subscript"/>
        <sz val="11"/>
        <rFont val="Calibri"/>
        <family val="2"/>
        <scheme val="minor"/>
      </rPr>
      <t>p-sheep</t>
    </r>
  </si>
  <si>
    <r>
      <t xml:space="preserve">f </t>
    </r>
    <r>
      <rPr>
        <vertAlign val="subscript"/>
        <sz val="11"/>
        <rFont val="Calibri"/>
        <family val="2"/>
        <scheme val="minor"/>
      </rPr>
      <t>s-sheep</t>
    </r>
  </si>
  <si>
    <r>
      <t>IRSH</t>
    </r>
    <r>
      <rPr>
        <vertAlign val="subscript"/>
        <sz val="11"/>
        <color theme="1"/>
        <rFont val="Calibri"/>
        <family val="2"/>
        <scheme val="minor"/>
      </rPr>
      <t xml:space="preserve"> far-c</t>
    </r>
  </si>
  <si>
    <r>
      <t xml:space="preserve">IRSH </t>
    </r>
    <r>
      <rPr>
        <vertAlign val="subscript"/>
        <sz val="11"/>
        <color theme="1"/>
        <rFont val="Calibri"/>
        <family val="2"/>
        <scheme val="minor"/>
      </rPr>
      <t>far-a</t>
    </r>
  </si>
  <si>
    <r>
      <t xml:space="preserve">IFSH </t>
    </r>
    <r>
      <rPr>
        <vertAlign val="subscript"/>
        <sz val="11"/>
        <color theme="1"/>
        <rFont val="Calibri"/>
        <family val="2"/>
        <scheme val="minor"/>
      </rPr>
      <t>far-adj</t>
    </r>
  </si>
  <si>
    <r>
      <t xml:space="preserve">CF </t>
    </r>
    <r>
      <rPr>
        <vertAlign val="subscript"/>
        <sz val="11"/>
        <rFont val="Calibri"/>
        <family val="2"/>
        <scheme val="minor"/>
      </rPr>
      <t>far-sheep</t>
    </r>
  </si>
  <si>
    <r>
      <t xml:space="preserve">s_CF </t>
    </r>
    <r>
      <rPr>
        <vertAlign val="subscript"/>
        <sz val="11"/>
        <rFont val="Calibri"/>
        <family val="2"/>
        <scheme val="minor"/>
      </rPr>
      <t>far-sheep</t>
    </r>
  </si>
  <si>
    <r>
      <t>s_IRSH</t>
    </r>
    <r>
      <rPr>
        <vertAlign val="subscript"/>
        <sz val="11"/>
        <color theme="1"/>
        <rFont val="Calibri"/>
        <family val="2"/>
        <scheme val="minor"/>
      </rPr>
      <t xml:space="preserve"> far-c</t>
    </r>
  </si>
  <si>
    <r>
      <t xml:space="preserve">s_IRSH </t>
    </r>
    <r>
      <rPr>
        <vertAlign val="subscript"/>
        <sz val="11"/>
        <color theme="1"/>
        <rFont val="Calibri"/>
        <family val="2"/>
        <scheme val="minor"/>
      </rPr>
      <t>far-a</t>
    </r>
  </si>
  <si>
    <r>
      <t xml:space="preserve">s_IFSH </t>
    </r>
    <r>
      <rPr>
        <vertAlign val="subscript"/>
        <sz val="11"/>
        <color theme="1"/>
        <rFont val="Calibri"/>
        <family val="2"/>
        <scheme val="minor"/>
      </rPr>
      <t>far-adj</t>
    </r>
  </si>
  <si>
    <r>
      <t xml:space="preserve">s_Q </t>
    </r>
    <r>
      <rPr>
        <vertAlign val="subscript"/>
        <sz val="11"/>
        <rFont val="Calibri"/>
        <family val="2"/>
        <scheme val="minor"/>
      </rPr>
      <t>w-sheep</t>
    </r>
  </si>
  <si>
    <r>
      <t xml:space="preserve">s_Q </t>
    </r>
    <r>
      <rPr>
        <vertAlign val="subscript"/>
        <sz val="11"/>
        <rFont val="Calibri"/>
        <family val="2"/>
        <scheme val="minor"/>
      </rPr>
      <t>p-sheep</t>
    </r>
  </si>
  <si>
    <r>
      <t xml:space="preserve">s_Q </t>
    </r>
    <r>
      <rPr>
        <vertAlign val="subscript"/>
        <sz val="11"/>
        <rFont val="Calibri"/>
        <family val="2"/>
        <scheme val="minor"/>
      </rPr>
      <t>s-sheep</t>
    </r>
  </si>
  <si>
    <r>
      <t xml:space="preserve">s_f </t>
    </r>
    <r>
      <rPr>
        <vertAlign val="subscript"/>
        <sz val="11"/>
        <rFont val="Calibri"/>
        <family val="2"/>
        <scheme val="minor"/>
      </rPr>
      <t>p-sheep</t>
    </r>
  </si>
  <si>
    <r>
      <t xml:space="preserve">s_f </t>
    </r>
    <r>
      <rPr>
        <vertAlign val="subscript"/>
        <sz val="11"/>
        <rFont val="Calibri"/>
        <family val="2"/>
        <scheme val="minor"/>
      </rPr>
      <t>s-sheep</t>
    </r>
  </si>
  <si>
    <t>cdi_res_prod_ing_tot</t>
  </si>
  <si>
    <t>cdi_res_apple</t>
  </si>
  <si>
    <t>cdi_res_aspar</t>
  </si>
  <si>
    <t>cdi_res_beet</t>
  </si>
  <si>
    <t>cdi_res_berry</t>
  </si>
  <si>
    <t>cdi_res_broc</t>
  </si>
  <si>
    <t>cdi_res_cabb</t>
  </si>
  <si>
    <t>cdi_res_carr</t>
  </si>
  <si>
    <t>cdi_res_citrus</t>
  </si>
  <si>
    <t>cdi_res_corn</t>
  </si>
  <si>
    <t>cdi_res_cucum</t>
  </si>
  <si>
    <t>cdi_res_lett</t>
  </si>
  <si>
    <t>cdi_res_lima</t>
  </si>
  <si>
    <t>cdi_res_okra</t>
  </si>
  <si>
    <t>cdi_res_onion</t>
  </si>
  <si>
    <t>cdi_res_peach</t>
  </si>
  <si>
    <t>cdi_res_pear</t>
  </si>
  <si>
    <t>cdi_res_pea</t>
  </si>
  <si>
    <t>cdi_res_potat</t>
  </si>
  <si>
    <t>cdi_res_pump</t>
  </si>
  <si>
    <t>cdi_res_snap</t>
  </si>
  <si>
    <t>cdi_res_straw</t>
  </si>
  <si>
    <t>cdi_res_tom</t>
  </si>
  <si>
    <t>cdi_res_rice</t>
  </si>
  <si>
    <t>cdi_res_cereal</t>
  </si>
  <si>
    <t>cdi_far_prod_ing_tot</t>
  </si>
  <si>
    <t>INSTRUCTIONS</t>
  </si>
  <si>
    <t>Tab Descriptions</t>
  </si>
  <si>
    <r>
      <t>The</t>
    </r>
    <r>
      <rPr>
        <i/>
        <sz val="11"/>
        <rFont val="Arial"/>
        <family val="2"/>
      </rPr>
      <t xml:space="preserve"> 'RadSpec' </t>
    </r>
    <r>
      <rPr>
        <sz val="11"/>
        <rFont val="Arial"/>
        <family val="2"/>
      </rPr>
      <t>tab contains most isotope specific parameters like slope factors.</t>
    </r>
  </si>
  <si>
    <r>
      <t>The '</t>
    </r>
    <r>
      <rPr>
        <i/>
        <sz val="11"/>
        <rFont val="Arial"/>
        <family val="2"/>
      </rPr>
      <t>def_acf</t>
    </r>
    <r>
      <rPr>
        <sz val="11"/>
        <rFont val="Arial"/>
        <family val="2"/>
      </rPr>
      <t>' tab contains ACFs for slab size 1, cover layer 0, which is used to test recreator output using default input values.</t>
    </r>
  </si>
  <si>
    <t>The 'd' tab contains all the non isotope specific default exposure parameters that are used to calculate PRGs in the defaults tabs.</t>
  </si>
  <si>
    <t xml:space="preserve">The 'ss' tab contains all the non isotope specific site-specific exposure parameters that are used to calculate PRGs in the site specific tabs. </t>
  </si>
  <si>
    <t>Relevant Cell Descriptions on Green Tabs</t>
  </si>
  <si>
    <t>These cells, in column A, represent the primary QA isotopes.</t>
  </si>
  <si>
    <t>These cells, in column A, represent the progeny for the primary QA isotopes.</t>
  </si>
  <si>
    <t>These cells represent 'Chronic Daily Intakes'.</t>
  </si>
  <si>
    <r>
      <t xml:space="preserve">In column B, under the </t>
    </r>
    <r>
      <rPr>
        <b/>
        <sz val="10"/>
        <rFont val="Arial"/>
        <family val="2"/>
      </rPr>
      <t xml:space="preserve">'TEST' </t>
    </r>
    <r>
      <rPr>
        <sz val="10"/>
        <rFont val="Arial"/>
        <family val="2"/>
      </rPr>
      <t>filter, a value of '</t>
    </r>
    <r>
      <rPr>
        <b/>
        <sz val="10"/>
        <rFont val="Arial"/>
        <family val="2"/>
      </rPr>
      <t>Y</t>
    </r>
    <r>
      <rPr>
        <sz val="10"/>
        <rFont val="Arial"/>
        <family val="2"/>
      </rPr>
      <t>' means it is a primary test isotope and '</t>
    </r>
    <r>
      <rPr>
        <b/>
        <sz val="10"/>
        <rFont val="Arial"/>
        <family val="2"/>
      </rPr>
      <t>SE</t>
    </r>
    <r>
      <rPr>
        <sz val="10"/>
        <rFont val="Arial"/>
        <family val="2"/>
      </rPr>
      <t>' means it is a progeny for a primary test isotope.</t>
    </r>
  </si>
  <si>
    <t>These cells are intermediate calculation steps for determining total that are not presented in the online tool output.</t>
  </si>
  <si>
    <t>Other Important Notes</t>
  </si>
  <si>
    <r>
      <t xml:space="preserve">These tabs present PRGs in units of pCi for the output option that assumes secular equilibrium. Tabs that do not begin with 's_ ' or 'up_ 'should be used to test the default output. Tabs that begin with 's_' should be used to test the site-specific output and use inputs from the 'ss' tab . </t>
    </r>
    <r>
      <rPr>
        <b/>
        <sz val="11"/>
        <color indexed="9"/>
        <rFont val="Arial"/>
        <family val="2"/>
      </rPr>
      <t xml:space="preserve">Tabs that begin with 'up_' should be used to test the site-specific user provided output and use inputs from the 'ss'. </t>
    </r>
  </si>
  <si>
    <r>
      <t>The '</t>
    </r>
    <r>
      <rPr>
        <i/>
        <sz val="11"/>
        <rFont val="Arial"/>
        <family val="2"/>
      </rPr>
      <t>dir</t>
    </r>
    <r>
      <rPr>
        <sz val="11"/>
        <rFont val="Arial"/>
        <family val="2"/>
      </rPr>
      <t>' tabs contain the direct ingestion PRGs for resident and farmer scenarios.</t>
    </r>
  </si>
  <si>
    <t>The 'b2s' tabs contain the PRGs back calculated to soil for resident and farmer scenarios.</t>
  </si>
  <si>
    <t>The 'b2w' tabs contain the PRGs back calculated to water for resident and farmer scenarios.</t>
  </si>
  <si>
    <t>The point of this QA sheet is to replicate the 'Default', 'Site-Specific with Defaults', and 'Site-Specific User Provided' output results for the PRG (Preliminary Remediation Goals for Radionuclide Contaminants at Superfund Sites) calculator. Below are instructions for understanding the ins and outs of this spreadsheet. Due to the higher than normal processing time for calculating secular equilibrium, this QA sheet only calculates secular equilibrium PRGs for 4 isotopes including Am-241, Ca-137, Rn-222, &amp; Ra-226).</t>
  </si>
  <si>
    <t>soil_ing</t>
  </si>
  <si>
    <t>soil_inh</t>
  </si>
  <si>
    <t>soil_ext</t>
  </si>
  <si>
    <t>soil_produce</t>
  </si>
  <si>
    <t>soil_poultry</t>
  </si>
  <si>
    <t>soil_egg</t>
  </si>
  <si>
    <t>soil_beef</t>
  </si>
  <si>
    <t>soil_dairy</t>
  </si>
  <si>
    <t>soil_swine</t>
  </si>
  <si>
    <t>soil_fish</t>
  </si>
  <si>
    <t>water_ing</t>
  </si>
  <si>
    <t>water_inh</t>
  </si>
  <si>
    <t>water_imm</t>
  </si>
  <si>
    <t>water_produce</t>
  </si>
  <si>
    <t>water_poultry</t>
  </si>
  <si>
    <t>water_egg</t>
  </si>
  <si>
    <t>water_beef</t>
  </si>
  <si>
    <t>water_dairy</t>
  </si>
  <si>
    <t>water_swine</t>
  </si>
  <si>
    <t>water_fish</t>
  </si>
  <si>
    <t>cdi_soil_ing</t>
  </si>
  <si>
    <t>cdi_soil_inh</t>
  </si>
  <si>
    <t>cdi_soil_ext</t>
  </si>
  <si>
    <t>cdi_soil_produce</t>
  </si>
  <si>
    <t>cdi_soil_sv</t>
  </si>
  <si>
    <t>cdi_soil_1cm</t>
  </si>
  <si>
    <t>cdi_soil_5cm</t>
  </si>
  <si>
    <t>cdi_soil_15cm</t>
  </si>
  <si>
    <t>cdi_soil_gp</t>
  </si>
  <si>
    <t>cdi_air_inh</t>
  </si>
  <si>
    <t>cdi_air_sub</t>
  </si>
  <si>
    <t>cdi_tap_ing</t>
  </si>
  <si>
    <t>cdi_tap_inh</t>
  </si>
  <si>
    <t>cdi_tap_imm</t>
  </si>
  <si>
    <t>cdi_tap_produce</t>
  </si>
  <si>
    <t>cdi_fsh_ing</t>
  </si>
  <si>
    <t>FC</t>
  </si>
  <si>
    <t>These cells represent fractional contribution applied to PRGs. If individuals progeny are included in the output these values will be presented in the tool output.</t>
  </si>
  <si>
    <t>These cells represent secular equilibrium PRGs by route and media.</t>
  </si>
  <si>
    <t>soil_goat</t>
  </si>
  <si>
    <t>soil_sheep</t>
  </si>
  <si>
    <t>soil_g-dairy</t>
  </si>
  <si>
    <t>soil_sh-dairy</t>
  </si>
  <si>
    <t>cdi_produce</t>
  </si>
  <si>
    <t>cdi_poultry</t>
  </si>
  <si>
    <t>cdi_egg</t>
  </si>
  <si>
    <t>cdi_beef</t>
  </si>
  <si>
    <t>cdi_dairy</t>
  </si>
  <si>
    <t>cdi_swine</t>
  </si>
  <si>
    <t>cdi_fish</t>
  </si>
  <si>
    <t>cdi_goat</t>
  </si>
  <si>
    <t>cdi_sheep</t>
  </si>
  <si>
    <t>cdi_g-dairy</t>
  </si>
  <si>
    <t>cdi_sh-dairy</t>
  </si>
  <si>
    <t>cdi_soil_poultry</t>
  </si>
  <si>
    <t>cdi_soil_egg</t>
  </si>
  <si>
    <t>cdi_soil_beef</t>
  </si>
  <si>
    <t>cdi_soil_dairy</t>
  </si>
  <si>
    <t>cdi_soil_swine</t>
  </si>
  <si>
    <t>cdi_soil_fish</t>
  </si>
  <si>
    <t>cdi_soil_goat</t>
  </si>
  <si>
    <t>cdi_soil_sheep</t>
  </si>
  <si>
    <t>cdi_soil_g-dairy</t>
  </si>
  <si>
    <t>cdi_soil_sh-dairy</t>
  </si>
  <si>
    <t>cdi_wat_ing</t>
  </si>
  <si>
    <t>cdi_wat_imm</t>
  </si>
  <si>
    <t>cdi_game_ing</t>
  </si>
  <si>
    <t>cdi_soil_game_ing</t>
  </si>
  <si>
    <t>cdi_wat_game_ing</t>
  </si>
  <si>
    <t>cdi_fowl_ing</t>
  </si>
  <si>
    <t>cdi_soil_fowl_ing</t>
  </si>
  <si>
    <t>cdi_wat_fowl_ing</t>
  </si>
  <si>
    <t>mcl_water_conc</t>
  </si>
  <si>
    <t>For the 'Site-Specific with Defaults' and 'Site-Specific User Provided' tabs, the ACF is based on 20,000 and the GSFs are based on 20.</t>
  </si>
  <si>
    <t>cdi_far_apple</t>
  </si>
  <si>
    <t>cdi_far_aspar</t>
  </si>
  <si>
    <t>cdi_far_beet</t>
  </si>
  <si>
    <t>cdi_far_berry</t>
  </si>
  <si>
    <t>cdi_far_broc</t>
  </si>
  <si>
    <t>cdi_far_cabb</t>
  </si>
  <si>
    <t>cdi_far_carr</t>
  </si>
  <si>
    <t>cdi_far_citrus</t>
  </si>
  <si>
    <t>cdi_far_corn</t>
  </si>
  <si>
    <t>cdi_far_cucum</t>
  </si>
  <si>
    <t>cdi_far_lett</t>
  </si>
  <si>
    <t>cdi_far_lima</t>
  </si>
  <si>
    <t>cdi_far_okra</t>
  </si>
  <si>
    <t>cdi_far_onion</t>
  </si>
  <si>
    <t>cdi_far_peach</t>
  </si>
  <si>
    <t>cdi_far_pear</t>
  </si>
  <si>
    <t>cdi_far_pea</t>
  </si>
  <si>
    <t>cdi_far_potat</t>
  </si>
  <si>
    <t>cdi_far_pump</t>
  </si>
  <si>
    <t>cdi_far_snap</t>
  </si>
  <si>
    <t>cdi_far_straw</t>
  </si>
  <si>
    <t>cdi_far_tom</t>
  </si>
  <si>
    <t>cdi_far_rice</t>
  </si>
  <si>
    <t>cdi_far_grain</t>
  </si>
  <si>
    <t>res_water_prod_ing_tot</t>
  </si>
  <si>
    <t>IAEA</t>
  </si>
  <si>
    <t>EA</t>
  </si>
  <si>
    <t>NCRP</t>
  </si>
  <si>
    <t>Other</t>
  </si>
  <si>
    <t>In the 'd' and 'ss' tabs, these cells are calculated based on specific inputs and cannot be altered unless the respective inputs are altered.</t>
  </si>
  <si>
    <t>Any tab that contains Bv are tabs that contain soil to plant transfer coefficients. 'd_ss' contains default transfer coefficents and 'up' contains altered trasfer coefficients.</t>
  </si>
  <si>
    <t>Disclaimer: This archived file was intended for internal review but has been posted due to interest in historical reviews. This file is no longer used to quality assure the EPA PRG calculator as the calculator has undergone significant updates. Quality assurance spreadsheets have been updated accordingly and are provided on the internal verification page of the EPA PRG website.</t>
  </si>
  <si>
    <t>mass_soil_tot</t>
  </si>
  <si>
    <t>mass_soil_sv</t>
  </si>
  <si>
    <t>mass_soil_1cm</t>
  </si>
  <si>
    <t>mass_soil_5cm</t>
  </si>
  <si>
    <t>mass_soil_15cm</t>
  </si>
  <si>
    <t>mass_soil_gp</t>
  </si>
  <si>
    <t>mass_air_tot</t>
  </si>
  <si>
    <t>mass_tap_tot</t>
  </si>
  <si>
    <r>
      <t xml:space="preserve">IRSF </t>
    </r>
    <r>
      <rPr>
        <vertAlign val="subscript"/>
        <sz val="11"/>
        <rFont val="Calibri"/>
        <family val="2"/>
        <scheme val="minor"/>
      </rPr>
      <t>far-c</t>
    </r>
  </si>
  <si>
    <r>
      <t xml:space="preserve">IRSF </t>
    </r>
    <r>
      <rPr>
        <vertAlign val="subscript"/>
        <sz val="11"/>
        <rFont val="Calibri"/>
        <family val="2"/>
        <scheme val="minor"/>
      </rPr>
      <t>far-a</t>
    </r>
  </si>
  <si>
    <r>
      <t xml:space="preserve">IFSF </t>
    </r>
    <r>
      <rPr>
        <vertAlign val="subscript"/>
        <sz val="11"/>
        <color theme="1"/>
        <rFont val="Calibri"/>
        <family val="2"/>
        <scheme val="minor"/>
      </rPr>
      <t>far-adj</t>
    </r>
  </si>
  <si>
    <t>s_IRSF far-c</t>
  </si>
  <si>
    <t>s_IRSF far-a</t>
  </si>
  <si>
    <t>s_IFSF far-adj</t>
  </si>
  <si>
    <t>AEQ</t>
  </si>
  <si>
    <t>res_pepp</t>
  </si>
  <si>
    <t>IRPP res-c</t>
  </si>
  <si>
    <t>IRPP res-a</t>
  </si>
  <si>
    <t>IFPP res-adj</t>
  </si>
  <si>
    <r>
      <t>IRPP</t>
    </r>
    <r>
      <rPr>
        <vertAlign val="subscript"/>
        <sz val="11"/>
        <color theme="1"/>
        <rFont val="Calibri"/>
        <family val="2"/>
        <scheme val="minor"/>
      </rPr>
      <t xml:space="preserve"> far-c</t>
    </r>
  </si>
  <si>
    <r>
      <t xml:space="preserve">IRPP </t>
    </r>
    <r>
      <rPr>
        <vertAlign val="subscript"/>
        <sz val="11"/>
        <color theme="1"/>
        <rFont val="Calibri"/>
        <family val="2"/>
        <scheme val="minor"/>
      </rPr>
      <t>far-a</t>
    </r>
  </si>
  <si>
    <r>
      <t xml:space="preserve">IFPP </t>
    </r>
    <r>
      <rPr>
        <vertAlign val="subscript"/>
        <sz val="11"/>
        <color theme="1"/>
        <rFont val="Calibri"/>
        <family val="2"/>
        <scheme val="minor"/>
      </rPr>
      <t>far-adj</t>
    </r>
  </si>
  <si>
    <r>
      <t xml:space="preserve">CF </t>
    </r>
    <r>
      <rPr>
        <vertAlign val="subscript"/>
        <sz val="11"/>
        <rFont val="Calibri"/>
        <family val="2"/>
        <scheme val="minor"/>
      </rPr>
      <t>peppers</t>
    </r>
  </si>
  <si>
    <r>
      <t xml:space="preserve">MLF </t>
    </r>
    <r>
      <rPr>
        <vertAlign val="subscript"/>
        <sz val="11"/>
        <rFont val="Calibri"/>
        <family val="2"/>
        <scheme val="minor"/>
      </rPr>
      <t>peppers</t>
    </r>
  </si>
  <si>
    <r>
      <t xml:space="preserve">CF </t>
    </r>
    <r>
      <rPr>
        <vertAlign val="subscript"/>
        <sz val="11"/>
        <rFont val="Calibri"/>
        <family val="2"/>
        <scheme val="minor"/>
      </rPr>
      <t>far-shellfish</t>
    </r>
  </si>
  <si>
    <t>INVERTBTF</t>
  </si>
  <si>
    <t xml:space="preserve"> </t>
  </si>
  <si>
    <t>IRRrup_pepp</t>
  </si>
  <si>
    <t>bvwet_peppers</t>
  </si>
  <si>
    <t>IRRres_pepp</t>
  </si>
  <si>
    <t>IRRdep_pepp</t>
  </si>
  <si>
    <t>far_pepp</t>
  </si>
  <si>
    <t>soil_sh-fish</t>
  </si>
  <si>
    <t>water_sh-fish</t>
  </si>
  <si>
    <t>fraction</t>
  </si>
  <si>
    <t>L/m^3</t>
  </si>
  <si>
    <r>
      <t xml:space="preserve">s_CF </t>
    </r>
    <r>
      <rPr>
        <vertAlign val="subscript"/>
        <sz val="11"/>
        <rFont val="Calibri"/>
        <family val="2"/>
        <scheme val="minor"/>
      </rPr>
      <t>far-shellfish</t>
    </r>
  </si>
  <si>
    <t>L-water/L-soil</t>
  </si>
  <si>
    <t>g.m^2-s per kg/m^3</t>
  </si>
  <si>
    <t>conversion factor</t>
  </si>
  <si>
    <t>varies by media</t>
  </si>
  <si>
    <t>g dry soil / g dry plant</t>
  </si>
  <si>
    <r>
      <t>s_IRPP</t>
    </r>
    <r>
      <rPr>
        <vertAlign val="subscript"/>
        <sz val="11"/>
        <color theme="1"/>
        <rFont val="Calibri"/>
        <family val="2"/>
        <scheme val="minor"/>
      </rPr>
      <t xml:space="preserve"> far-c</t>
    </r>
  </si>
  <si>
    <r>
      <t xml:space="preserve">s_IRPP </t>
    </r>
    <r>
      <rPr>
        <vertAlign val="subscript"/>
        <sz val="11"/>
        <color theme="1"/>
        <rFont val="Calibri"/>
        <family val="2"/>
        <scheme val="minor"/>
      </rPr>
      <t>far-a</t>
    </r>
  </si>
  <si>
    <r>
      <t xml:space="preserve">s_IFPP </t>
    </r>
    <r>
      <rPr>
        <vertAlign val="subscript"/>
        <sz val="11"/>
        <color theme="1"/>
        <rFont val="Calibri"/>
        <family val="2"/>
        <scheme val="minor"/>
      </rPr>
      <t>far-adj</t>
    </r>
  </si>
  <si>
    <t>s_IRPP res-c</t>
  </si>
  <si>
    <t>s_IRPP res-a</t>
  </si>
  <si>
    <t>s_IFPP res-adj</t>
  </si>
  <si>
    <t>g dry soil / g fresh plant</t>
  </si>
  <si>
    <r>
      <t xml:space="preserve">s_MLF </t>
    </r>
    <r>
      <rPr>
        <vertAlign val="subscript"/>
        <sz val="11"/>
        <rFont val="Calibri"/>
        <family val="2"/>
        <scheme val="minor"/>
      </rPr>
      <t>peppers</t>
    </r>
  </si>
  <si>
    <t>cdi_far_pepp</t>
  </si>
  <si>
    <r>
      <t xml:space="preserve">s_CF </t>
    </r>
    <r>
      <rPr>
        <vertAlign val="subscript"/>
        <sz val="11"/>
        <rFont val="Calibri"/>
        <family val="2"/>
        <scheme val="minor"/>
      </rPr>
      <t>peppers</t>
    </r>
  </si>
  <si>
    <t>cdi_res_pepp</t>
  </si>
  <si>
    <t>cdi_sh-fish</t>
  </si>
  <si>
    <t>cdi_soil_sh-fish</t>
  </si>
  <si>
    <t>bvwet_pepp</t>
  </si>
  <si>
    <t>MUTTONBTF</t>
  </si>
  <si>
    <t>s_DAF</t>
  </si>
  <si>
    <t>soil_game</t>
  </si>
  <si>
    <t>soil_fowl</t>
  </si>
  <si>
    <t>m2_mcl_water_sl</t>
  </si>
  <si>
    <t>m1_mcl_water_sl</t>
  </si>
  <si>
    <t>wat_ing</t>
  </si>
  <si>
    <t>wat_inh</t>
  </si>
  <si>
    <t>wat_imm</t>
  </si>
  <si>
    <t>wat_produce</t>
  </si>
  <si>
    <t>wat_fish</t>
  </si>
  <si>
    <t>wat_sh-fish</t>
  </si>
  <si>
    <t>wat_beef</t>
  </si>
  <si>
    <t>wat_dairy</t>
  </si>
  <si>
    <t>wat_swine</t>
  </si>
  <si>
    <t>wat_poultry</t>
  </si>
  <si>
    <t>wat_egg</t>
  </si>
  <si>
    <t>wat_goat</t>
  </si>
  <si>
    <t>wat_g-dairy</t>
  </si>
  <si>
    <t>wat_sheep</t>
  </si>
  <si>
    <t>wat_sh-dairy</t>
  </si>
  <si>
    <t>cdi_wat_inh</t>
  </si>
  <si>
    <t>cdi_wat_produce</t>
  </si>
  <si>
    <t>cdi_wat_fish</t>
  </si>
  <si>
    <t>cdi_wat_sh-fish</t>
  </si>
  <si>
    <t>cdi_wat_beef</t>
  </si>
  <si>
    <t>cdi_wat_dairy</t>
  </si>
  <si>
    <t>cdi_wat_swine</t>
  </si>
  <si>
    <t>cdi_wat_poultry</t>
  </si>
  <si>
    <t>cdi_wat_egg</t>
  </si>
  <si>
    <t>cdi_wat_goat</t>
  </si>
  <si>
    <t>cdi_wat_g-dairy</t>
  </si>
  <si>
    <t>cdi_wat_sheep</t>
  </si>
  <si>
    <t>cdi_wat_sh-dairy</t>
  </si>
  <si>
    <t>DL</t>
  </si>
  <si>
    <t>DCFO_soil</t>
  </si>
  <si>
    <t>DCFO_food</t>
  </si>
  <si>
    <t>DCFX</t>
  </si>
  <si>
    <t>DCFI</t>
  </si>
  <si>
    <t>DCFO_wat</t>
  </si>
  <si>
    <t>DCFO_AD</t>
  </si>
  <si>
    <t>DCFXSUB</t>
  </si>
  <si>
    <t>DCFXGP</t>
  </si>
  <si>
    <t>DCFXIMM</t>
  </si>
  <si>
    <t>DCFXSV1</t>
  </si>
  <si>
    <t>DCFXSV5</t>
  </si>
  <si>
    <t>DCFXSV15</t>
  </si>
  <si>
    <r>
      <t xml:space="preserve">AAF </t>
    </r>
    <r>
      <rPr>
        <vertAlign val="subscript"/>
        <sz val="11"/>
        <color theme="1"/>
        <rFont val="Calibri"/>
        <family val="2"/>
        <scheme val="minor"/>
      </rPr>
      <t>res-c</t>
    </r>
  </si>
  <si>
    <r>
      <t xml:space="preserve">AAF </t>
    </r>
    <r>
      <rPr>
        <vertAlign val="subscript"/>
        <sz val="11"/>
        <color theme="1"/>
        <rFont val="Calibri"/>
        <family val="2"/>
        <scheme val="minor"/>
      </rPr>
      <t>res-a</t>
    </r>
  </si>
  <si>
    <r>
      <t xml:space="preserve">AAF </t>
    </r>
    <r>
      <rPr>
        <vertAlign val="subscript"/>
        <sz val="11"/>
        <color theme="1"/>
        <rFont val="Calibri"/>
        <family val="2"/>
        <scheme val="minor"/>
      </rPr>
      <t>rec-c</t>
    </r>
  </si>
  <si>
    <r>
      <t xml:space="preserve">AAF </t>
    </r>
    <r>
      <rPr>
        <vertAlign val="subscript"/>
        <sz val="11"/>
        <color theme="1"/>
        <rFont val="Calibri"/>
        <family val="2"/>
        <scheme val="minor"/>
      </rPr>
      <t>rec-a</t>
    </r>
  </si>
  <si>
    <r>
      <t xml:space="preserve">AAF </t>
    </r>
    <r>
      <rPr>
        <vertAlign val="subscript"/>
        <sz val="11"/>
        <color theme="1"/>
        <rFont val="Calibri"/>
        <family val="2"/>
        <scheme val="minor"/>
      </rPr>
      <t>far-c</t>
    </r>
  </si>
  <si>
    <r>
      <t xml:space="preserve">AAF </t>
    </r>
    <r>
      <rPr>
        <vertAlign val="subscript"/>
        <sz val="11"/>
        <color theme="1"/>
        <rFont val="Calibri"/>
        <family val="2"/>
        <scheme val="minor"/>
      </rPr>
      <t>far-a</t>
    </r>
  </si>
  <si>
    <t>s_DL</t>
  </si>
  <si>
    <r>
      <t xml:space="preserve">s_AAF </t>
    </r>
    <r>
      <rPr>
        <vertAlign val="subscript"/>
        <sz val="11"/>
        <color theme="1"/>
        <rFont val="Calibri"/>
        <family val="2"/>
        <scheme val="minor"/>
      </rPr>
      <t>res-c</t>
    </r>
  </si>
  <si>
    <r>
      <t xml:space="preserve">s_AAF </t>
    </r>
    <r>
      <rPr>
        <vertAlign val="subscript"/>
        <sz val="11"/>
        <color theme="1"/>
        <rFont val="Calibri"/>
        <family val="2"/>
        <scheme val="minor"/>
      </rPr>
      <t>res-a</t>
    </r>
  </si>
  <si>
    <r>
      <t xml:space="preserve">s_AAF </t>
    </r>
    <r>
      <rPr>
        <vertAlign val="subscript"/>
        <sz val="11"/>
        <color theme="1"/>
        <rFont val="Calibri"/>
        <family val="2"/>
        <scheme val="minor"/>
      </rPr>
      <t>rec-c</t>
    </r>
  </si>
  <si>
    <r>
      <t xml:space="preserve">s_AAF </t>
    </r>
    <r>
      <rPr>
        <vertAlign val="subscript"/>
        <sz val="11"/>
        <color theme="1"/>
        <rFont val="Calibri"/>
        <family val="2"/>
        <scheme val="minor"/>
      </rPr>
      <t>rec-a</t>
    </r>
  </si>
  <si>
    <r>
      <t xml:space="preserve">s_AAF </t>
    </r>
    <r>
      <rPr>
        <vertAlign val="subscript"/>
        <sz val="11"/>
        <color theme="1"/>
        <rFont val="Calibri"/>
        <family val="2"/>
        <scheme val="minor"/>
      </rPr>
      <t>far-c</t>
    </r>
  </si>
  <si>
    <r>
      <t xml:space="preserve">s_AAF </t>
    </r>
    <r>
      <rPr>
        <vertAlign val="subscript"/>
        <sz val="11"/>
        <color theme="1"/>
        <rFont val="Calibri"/>
        <family val="2"/>
        <scheme val="minor"/>
      </rPr>
      <t>far-a</t>
    </r>
  </si>
  <si>
    <t>dose limit</t>
  </si>
  <si>
    <t>dcc_soil_ing</t>
  </si>
  <si>
    <t>dcc_soil_inh</t>
  </si>
  <si>
    <t>dcc_soil_ext</t>
  </si>
  <si>
    <t>dcc_soil_produce</t>
  </si>
  <si>
    <t>dcc_food_produce</t>
  </si>
  <si>
    <t>dcc_soil_tot</t>
  </si>
  <si>
    <t>dcc_soil_sv</t>
  </si>
  <si>
    <t>dcc_soil_1cm</t>
  </si>
  <si>
    <t>dcc_soil_5cm</t>
  </si>
  <si>
    <t>dcc_soil_15cm</t>
  </si>
  <si>
    <t>dcc_soil_gp</t>
  </si>
  <si>
    <t>dcc_air_inh</t>
  </si>
  <si>
    <t>dcc_air_sub</t>
  </si>
  <si>
    <t>dcc_air_tot</t>
  </si>
  <si>
    <t>dcc_tap_ing</t>
  </si>
  <si>
    <t>dcc_tap_inh</t>
  </si>
  <si>
    <t>dcc_tap_imm</t>
  </si>
  <si>
    <t>dcc_tap_produce</t>
  </si>
  <si>
    <t>dcc_tap_tot</t>
  </si>
  <si>
    <t>dcc_fsh_ing</t>
  </si>
  <si>
    <t>dcc_produce</t>
  </si>
  <si>
    <t>dcc_poultry</t>
  </si>
  <si>
    <t>dcc_egg</t>
  </si>
  <si>
    <t>dcc_beef</t>
  </si>
  <si>
    <t>dcc_dairy</t>
  </si>
  <si>
    <t>dcc_swine</t>
  </si>
  <si>
    <t>dcc_fish</t>
  </si>
  <si>
    <t>dcc_sh-fish</t>
  </si>
  <si>
    <t>dcc_dir_tot</t>
  </si>
  <si>
    <t>dcc_soil_poultry</t>
  </si>
  <si>
    <t>dcc_soil_egg</t>
  </si>
  <si>
    <t>dcc_soil_beef</t>
  </si>
  <si>
    <t>dcc_soil_dairy</t>
  </si>
  <si>
    <t>dcc_soil_swine</t>
  </si>
  <si>
    <t>dcc_soil_fish</t>
  </si>
  <si>
    <t>dcc_soil_sh-fish</t>
  </si>
  <si>
    <t>dcc_water_ing</t>
  </si>
  <si>
    <t>dcc_water_inh</t>
  </si>
  <si>
    <t>dcc_water_imm</t>
  </si>
  <si>
    <t>dcc_water_produce</t>
  </si>
  <si>
    <t>dcc_water_poultry</t>
  </si>
  <si>
    <t>dcc_water_egg</t>
  </si>
  <si>
    <t>dcc_water_beef</t>
  </si>
  <si>
    <t>dcc_water_dairy</t>
  </si>
  <si>
    <t>dcc_water_swine</t>
  </si>
  <si>
    <t>dcc_water_fish</t>
  </si>
  <si>
    <t>dcc_water_sh-fish</t>
  </si>
  <si>
    <t>dcc_water_tot</t>
  </si>
  <si>
    <t>dcc_soil_game_ing</t>
  </si>
  <si>
    <t>dcc_soil_fowl_ing</t>
  </si>
  <si>
    <t>dcc_wat_ing</t>
  </si>
  <si>
    <t>dcc_wat_imm</t>
  </si>
  <si>
    <t>dcc_wat_game_ing</t>
  </si>
  <si>
    <t>dcc_wat_fowl_ing</t>
  </si>
  <si>
    <t>dcc_wat_tot</t>
  </si>
  <si>
    <t>dcc_game_ing</t>
  </si>
  <si>
    <t>dcc_fowl_ing</t>
  </si>
  <si>
    <t>dcc_res_prod_ing_tot</t>
  </si>
  <si>
    <t>dcc_res_apple</t>
  </si>
  <si>
    <t>dcc_res_aspar</t>
  </si>
  <si>
    <t>dcc_res_beet</t>
  </si>
  <si>
    <t>dcc_res_berry</t>
  </si>
  <si>
    <t>dcc_res_broc</t>
  </si>
  <si>
    <t>dcc_res_cabb</t>
  </si>
  <si>
    <t>dcc_res_carr</t>
  </si>
  <si>
    <t>dcc_res_citrus</t>
  </si>
  <si>
    <t>dcc_res_corn</t>
  </si>
  <si>
    <t>dcc_res_cucum</t>
  </si>
  <si>
    <t>dcc_res_lett</t>
  </si>
  <si>
    <t>dcc_res_lima</t>
  </si>
  <si>
    <t>dcc_res_okra</t>
  </si>
  <si>
    <t>dcc_res_onion</t>
  </si>
  <si>
    <t>dcc_res_peach</t>
  </si>
  <si>
    <t>dcc_res_pear</t>
  </si>
  <si>
    <t>dcc_res_pea</t>
  </si>
  <si>
    <t>dcc_res_pepp</t>
  </si>
  <si>
    <t>dcc_res_potat</t>
  </si>
  <si>
    <t>dcc_res_pump</t>
  </si>
  <si>
    <t>dcc_res_snap</t>
  </si>
  <si>
    <t>dcc_res_straw</t>
  </si>
  <si>
    <t>dcc_res_tom</t>
  </si>
  <si>
    <t>dcc_res_rice</t>
  </si>
  <si>
    <t>dcc_res_cereal</t>
  </si>
  <si>
    <t>dcc_far_prod_ing_tot</t>
  </si>
  <si>
    <t>dcc_far_apple</t>
  </si>
  <si>
    <t>dcc_far_aspar</t>
  </si>
  <si>
    <t>dcc_far_beet</t>
  </si>
  <si>
    <t>dcc_far_berry</t>
  </si>
  <si>
    <t>dcc_far_broc</t>
  </si>
  <si>
    <t>dcc_far_cabb</t>
  </si>
  <si>
    <t>dcc_far_carr</t>
  </si>
  <si>
    <t>dcc_far_citrus</t>
  </si>
  <si>
    <t>dcc_far_corn</t>
  </si>
  <si>
    <t>dcc_far_cucum</t>
  </si>
  <si>
    <t>dcc_far_lett</t>
  </si>
  <si>
    <t>dcc_far_lima</t>
  </si>
  <si>
    <t>dcc_far_okra</t>
  </si>
  <si>
    <t>dcc_far_onion</t>
  </si>
  <si>
    <t>dcc_far_peach</t>
  </si>
  <si>
    <t>dcc_far_pear</t>
  </si>
  <si>
    <t>dcc_far_pea</t>
  </si>
  <si>
    <t>dcc_far_pepp</t>
  </si>
  <si>
    <t>dcc_far_potat</t>
  </si>
  <si>
    <t>dcc_far_pump</t>
  </si>
  <si>
    <t>dcc_far_snap</t>
  </si>
  <si>
    <t>dcc_far_straw</t>
  </si>
  <si>
    <t>dcc_far_tom</t>
  </si>
  <si>
    <t>dcc_far_rice</t>
  </si>
  <si>
    <t>dcc_far_grain</t>
  </si>
  <si>
    <t>dcc_res_soil_prod_ing_tot</t>
  </si>
  <si>
    <t>dcc_far_soil_prod_ing_tot</t>
  </si>
  <si>
    <t>dcc_far_water_prod_ing_tot</t>
  </si>
  <si>
    <t>dcc_food_ingv</t>
  </si>
  <si>
    <t>dcc_goat</t>
  </si>
  <si>
    <t>dcc_sheep</t>
  </si>
  <si>
    <t>dcc_g-dairy</t>
  </si>
  <si>
    <t>dcc_sh-dairy</t>
  </si>
  <si>
    <t>dcc_soil_goat</t>
  </si>
  <si>
    <t>dcc_soil_g-dairy</t>
  </si>
  <si>
    <t>dcc_soil_sheep</t>
  </si>
  <si>
    <t>dcc_soil_sh-dairy</t>
  </si>
  <si>
    <t>dcc_wat_inh</t>
  </si>
  <si>
    <t>dcc_wat_produce</t>
  </si>
  <si>
    <t>dcc_wat_fish</t>
  </si>
  <si>
    <t>dcc_wat_sh-fish</t>
  </si>
  <si>
    <t>dcc_wat_beef</t>
  </si>
  <si>
    <t>dcc_wat_dairy</t>
  </si>
  <si>
    <t>dcc_wat_swine</t>
  </si>
  <si>
    <t>dcc_wat_poultry</t>
  </si>
  <si>
    <t>dcc_wat_egg</t>
  </si>
  <si>
    <t>dcc_wat_goat</t>
  </si>
  <si>
    <t>dcc_wat_g-dairy</t>
  </si>
  <si>
    <t>dcc_wat_sheep</t>
  </si>
  <si>
    <t>dcc_wat_sh-dairy</t>
  </si>
  <si>
    <t>These cells represent 'dose' for individual progeny.</t>
  </si>
  <si>
    <t>These cells represent 'Total dose' by route and media.</t>
  </si>
  <si>
    <t>Since this tool is used to calculate 'dose', the one hit rule is applied when the dose of exposure by route for a single isotope, summation of all routes for a single isotope, summation of single route for all isotopes, or summation of all routes for all isotopes exceed 0.01.</t>
  </si>
  <si>
    <t>dose_water_conc</t>
  </si>
  <si>
    <t>dose_soil_tot</t>
  </si>
  <si>
    <t>dose_air_tot</t>
  </si>
  <si>
    <t>dose_tap_tot</t>
  </si>
  <si>
    <t>dose_wat_tot</t>
  </si>
  <si>
    <t>m1_dose_water_sl</t>
  </si>
  <si>
    <t>m2_dose_water_sl</t>
  </si>
  <si>
    <t>mass_biota_tot</t>
  </si>
  <si>
    <t>mass_water_tot</t>
  </si>
  <si>
    <t>mass_fish_tot</t>
  </si>
  <si>
    <t>mass_game_tot</t>
  </si>
  <si>
    <t>mass_fowl_tot</t>
  </si>
  <si>
    <t>mass_mcl_sl</t>
  </si>
  <si>
    <t>These cells represent the DCC on a mass basis.</t>
  </si>
  <si>
    <t>produce_ing</t>
  </si>
  <si>
    <t>poultry_ing</t>
  </si>
  <si>
    <t>egg_ing</t>
  </si>
  <si>
    <t>beef_ing</t>
  </si>
  <si>
    <t>dairy_ing</t>
  </si>
  <si>
    <t>swine_ing</t>
  </si>
  <si>
    <t>fish_ing</t>
  </si>
  <si>
    <t>sh-fish_ing</t>
  </si>
  <si>
    <t>goat_ing</t>
  </si>
  <si>
    <t>sheep_ing</t>
  </si>
  <si>
    <t>g-dairy_ing</t>
  </si>
  <si>
    <t>sh-dairy_ing</t>
  </si>
  <si>
    <t>mass_wat_tot</t>
  </si>
  <si>
    <t>wat_ext</t>
  </si>
  <si>
    <t>wat_game</t>
  </si>
  <si>
    <t>wat_fowl</t>
  </si>
  <si>
    <t>mass_dose_sl</t>
  </si>
  <si>
    <t>mass_m2_dose_sl</t>
  </si>
  <si>
    <t>mass_m2_mcl_sl</t>
  </si>
  <si>
    <t>mass_m1_dose_sl</t>
  </si>
  <si>
    <t>mass_m1_mcl_sl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</si>
</sst>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37" x14ac:knownFonts="1">
    <font>
      <sz val="11"/>
      <color theme="1"/>
      <name val="Calibri"/>
      <family val="2"/>
      <scheme val="minor"/>
    </font>
    <font>
      <b/>
      <sz val="10"/>
      <name val="Arial"/>
      <family val="2"/>
    </font>
    <font>
      <sz val="11"/>
      <color theme="1"/>
      <name val="Calibri"/>
      <family val="2"/>
      <scheme val="minor"/>
    </font>
    <font>
      <b/>
      <sz val="14"/>
      <color theme="1"/>
      <name val="Calibri"/>
      <family val="2"/>
      <scheme val="minor"/>
    </font>
    <font>
      <vertAlign val="subscript"/>
      <sz val="12"/>
      <color theme="1"/>
      <name val="Calibri"/>
      <family val="2"/>
      <scheme val="minor"/>
    </font>
    <font>
      <sz val="11"/>
      <color rgb="FF005C00"/>
      <name val="Calibri"/>
      <family val="2"/>
      <scheme val="minor"/>
    </font>
    <font>
      <sz val="10"/>
      <name val="Arial"/>
      <family val="2"/>
    </font>
    <font>
      <vertAlign val="subscript"/>
      <sz val="11"/>
      <color theme="1"/>
      <name val="Calibri"/>
      <family val="2"/>
      <scheme val="minor"/>
    </font>
    <font>
      <sz val="11"/>
      <name val="Calibri"/>
      <family val="2"/>
      <scheme val="minor"/>
    </font>
    <font>
      <vertAlign val="subscript"/>
      <sz val="11"/>
      <name val="Calibri"/>
      <family val="2"/>
      <scheme val="minor"/>
    </font>
    <font>
      <sz val="10"/>
      <name val="Arial"/>
      <family val="2"/>
      <charset val="1"/>
    </font>
    <font>
      <sz val="12"/>
      <color theme="1"/>
      <name val="Calibri"/>
      <family val="2"/>
      <scheme val="minor"/>
    </font>
    <font>
      <sz val="11"/>
      <color rgb="FF7030A0"/>
      <name val="Calibri"/>
      <family val="2"/>
      <scheme val="minor"/>
    </font>
    <font>
      <b/>
      <sz val="11"/>
      <color theme="1"/>
      <name val="Calibri"/>
      <family val="2"/>
      <scheme val="minor"/>
    </font>
    <font>
      <b/>
      <sz val="10"/>
      <name val="Arial"/>
      <family val="2"/>
    </font>
    <font>
      <sz val="9"/>
      <color indexed="81"/>
      <name val="Tahoma"/>
      <family val="2"/>
    </font>
    <font>
      <b/>
      <sz val="9"/>
      <color indexed="81"/>
      <name val="Tahoma"/>
      <family val="2"/>
    </font>
    <font>
      <i/>
      <sz val="9"/>
      <color theme="1"/>
      <name val="Calibri"/>
      <family val="2"/>
      <scheme val="minor"/>
    </font>
    <font>
      <b/>
      <sz val="10"/>
      <color rgb="FFFF0000"/>
      <name val="Arial"/>
      <family val="2"/>
    </font>
    <font>
      <i/>
      <sz val="11"/>
      <color theme="1"/>
      <name val="Calibri"/>
      <family val="2"/>
      <scheme val="minor"/>
    </font>
    <font>
      <sz val="11"/>
      <color rgb="FF151515"/>
      <name val="Calibri"/>
      <family val="2"/>
      <scheme val="minor"/>
    </font>
    <font>
      <b/>
      <i/>
      <sz val="11"/>
      <color theme="1"/>
      <name val="Calibri"/>
      <family val="2"/>
      <scheme val="minor"/>
    </font>
    <font>
      <i/>
      <sz val="11"/>
      <name val="Calibri"/>
      <family val="2"/>
      <scheme val="minor"/>
    </font>
    <font>
      <b/>
      <sz val="22"/>
      <color rgb="FFFF0000"/>
      <name val="Arial"/>
      <family val="2"/>
    </font>
    <font>
      <b/>
      <sz val="11"/>
      <name val="Arial"/>
      <family val="2"/>
    </font>
    <font>
      <sz val="12"/>
      <name val="Arial"/>
      <family val="2"/>
    </font>
    <font>
      <b/>
      <sz val="12"/>
      <name val="Arial"/>
      <family val="2"/>
    </font>
    <font>
      <b/>
      <sz val="11"/>
      <color theme="0"/>
      <name val="Arial"/>
      <family val="2"/>
    </font>
    <font>
      <b/>
      <sz val="11"/>
      <color indexed="9"/>
      <name val="Arial"/>
      <family val="2"/>
    </font>
    <font>
      <sz val="11"/>
      <name val="Arial"/>
      <family val="2"/>
    </font>
    <font>
      <i/>
      <sz val="11"/>
      <name val="Arial"/>
      <family val="2"/>
    </font>
    <font>
      <b/>
      <i/>
      <sz val="11"/>
      <color theme="0"/>
      <name val="Calibri"/>
      <family val="2"/>
      <scheme val="minor"/>
    </font>
    <font>
      <sz val="10"/>
      <color theme="0"/>
      <name val="Arial"/>
      <family val="2"/>
    </font>
    <font>
      <sz val="11"/>
      <color theme="9" tint="-0.499984740745262"/>
      <name val="Calibri"/>
      <family val="2"/>
      <scheme val="minor"/>
    </font>
    <font>
      <sz val="10"/>
      <color rgb="FF008000"/>
      <name val="Arial"/>
      <family val="2"/>
    </font>
    <font>
      <b/>
      <sz val="12"/>
      <color rgb="FFFF0000"/>
      <name val="Arial"/>
      <family val="2"/>
    </font>
    <font>
      <sz val="11"/>
      <color rgb="FF008000"/>
      <name val="Calibri"/>
      <family val="2"/>
      <scheme val="minor"/>
    </font>
  </fonts>
  <fills count="17">
    <fill>
      <patternFill patternType="none"/>
    </fill>
    <fill>
      <patternFill patternType="gray125"/>
    </fill>
    <fill>
      <patternFill patternType="solid">
        <fgColor rgb="FFB3FFB3"/>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E9D9FF"/>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CCCC"/>
        <bgColor indexed="64"/>
      </patternFill>
    </fill>
    <fill>
      <patternFill patternType="solid">
        <fgColor theme="0" tint="-0.14999847407452621"/>
        <bgColor indexed="64"/>
      </patternFill>
    </fill>
  </fills>
  <borders count="8">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s>
  <cellStyleXfs count="5">
    <xf numFmtId="0" fontId="0" fillId="0" borderId="0"/>
    <xf numFmtId="0" fontId="10" fillId="0" borderId="0"/>
    <xf numFmtId="0" fontId="6" fillId="0" borderId="0"/>
    <xf numFmtId="0" fontId="6" fillId="0" borderId="0"/>
    <xf numFmtId="0" fontId="6" fillId="0" borderId="0"/>
  </cellStyleXfs>
  <cellXfs count="253">
    <xf numFmtId="0" fontId="0" fillId="0" borderId="0" xfId="0"/>
    <xf numFmtId="0" fontId="8" fillId="0" borderId="0" xfId="0" applyFont="1" applyFill="1"/>
    <xf numFmtId="11" fontId="0" fillId="0" borderId="0" xfId="0" applyNumberFormat="1" applyAlignment="1">
      <alignment horizontal="left"/>
    </xf>
    <xf numFmtId="0" fontId="0" fillId="0" borderId="0" xfId="0" applyAlignment="1">
      <alignment horizontal="left"/>
    </xf>
    <xf numFmtId="0" fontId="0" fillId="0" borderId="0" xfId="0" applyAlignment="1" applyProtection="1">
      <alignment horizontal="left"/>
      <protection locked="0"/>
    </xf>
    <xf numFmtId="11" fontId="0" fillId="0" borderId="0" xfId="0" applyNumberFormat="1" applyAlignment="1" applyProtection="1">
      <alignment horizontal="left"/>
      <protection locked="0"/>
    </xf>
    <xf numFmtId="11" fontId="14" fillId="0" borderId="0" xfId="0" applyNumberFormat="1" applyFont="1" applyAlignment="1" applyProtection="1">
      <alignment horizontal="left"/>
      <protection locked="0"/>
    </xf>
    <xf numFmtId="11" fontId="13" fillId="0" borderId="0" xfId="0" applyNumberFormat="1" applyFont="1" applyFill="1" applyBorder="1" applyAlignment="1">
      <alignment horizontal="left" vertical="center"/>
    </xf>
    <xf numFmtId="11" fontId="13" fillId="0" borderId="0" xfId="0" applyNumberFormat="1" applyFont="1" applyAlignment="1">
      <alignment horizontal="left" vertical="center"/>
    </xf>
    <xf numFmtId="0" fontId="13" fillId="0" borderId="0" xfId="0" applyFont="1" applyAlignment="1">
      <alignment horizontal="left"/>
    </xf>
    <xf numFmtId="0" fontId="13" fillId="0" borderId="0" xfId="0" applyNumberFormat="1" applyFont="1" applyFill="1" applyBorder="1"/>
    <xf numFmtId="11" fontId="14" fillId="0" borderId="0" xfId="0" applyNumberFormat="1" applyFont="1" applyProtection="1">
      <protection locked="0"/>
    </xf>
    <xf numFmtId="11" fontId="0" fillId="0" borderId="0" xfId="0" applyNumberFormat="1" applyProtection="1">
      <protection locked="0"/>
    </xf>
    <xf numFmtId="11" fontId="1" fillId="0" borderId="0" xfId="0" applyNumberFormat="1" applyFont="1" applyProtection="1">
      <protection locked="0"/>
    </xf>
    <xf numFmtId="0" fontId="0" fillId="0" borderId="0" xfId="0" applyAlignment="1">
      <alignment horizontal="left" vertical="top"/>
    </xf>
    <xf numFmtId="11" fontId="0" fillId="0" borderId="0" xfId="0" applyNumberFormat="1" applyAlignment="1" applyProtection="1">
      <alignment horizontal="left"/>
    </xf>
    <xf numFmtId="11" fontId="19" fillId="3" borderId="0" xfId="0" applyNumberFormat="1" applyFont="1" applyFill="1" applyAlignment="1">
      <alignment horizontal="left"/>
    </xf>
    <xf numFmtId="0" fontId="0" fillId="0" borderId="0" xfId="0" applyFill="1" applyAlignment="1">
      <alignment horizontal="left"/>
    </xf>
    <xf numFmtId="11" fontId="0" fillId="0" borderId="0" xfId="0" applyNumberFormat="1" applyFill="1" applyAlignment="1" applyProtection="1">
      <alignment horizontal="left"/>
      <protection locked="0"/>
    </xf>
    <xf numFmtId="11" fontId="0" fillId="3" borderId="0" xfId="0" applyNumberFormat="1" applyFill="1" applyAlignment="1">
      <alignment horizontal="left"/>
    </xf>
    <xf numFmtId="0" fontId="23" fillId="0" borderId="0" xfId="3" applyFont="1" applyAlignment="1" applyProtection="1">
      <alignment horizontal="center" vertical="center"/>
    </xf>
    <xf numFmtId="0" fontId="23" fillId="0" borderId="0" xfId="3" applyFont="1" applyAlignment="1" applyProtection="1">
      <alignment vertical="center"/>
      <protection locked="0"/>
    </xf>
    <xf numFmtId="0" fontId="6" fillId="0" borderId="0" xfId="3" applyProtection="1">
      <protection locked="0"/>
    </xf>
    <xf numFmtId="0" fontId="24" fillId="0" borderId="0" xfId="3" applyFont="1" applyAlignment="1" applyProtection="1">
      <alignment wrapText="1"/>
      <protection locked="0"/>
    </xf>
    <xf numFmtId="0" fontId="24" fillId="0" borderId="0" xfId="3" applyFont="1" applyAlignment="1" applyProtection="1">
      <alignment wrapText="1"/>
    </xf>
    <xf numFmtId="0" fontId="25" fillId="0" borderId="0" xfId="3" applyFont="1" applyAlignment="1" applyProtection="1">
      <alignment wrapText="1"/>
    </xf>
    <xf numFmtId="0" fontId="26" fillId="0" borderId="0" xfId="3" applyFont="1" applyAlignment="1" applyProtection="1">
      <alignment horizontal="center"/>
    </xf>
    <xf numFmtId="0" fontId="27" fillId="9" borderId="1" xfId="3" applyFont="1" applyFill="1" applyBorder="1" applyAlignment="1" applyProtection="1">
      <alignment wrapText="1"/>
    </xf>
    <xf numFmtId="0" fontId="27" fillId="0" borderId="0" xfId="3" applyFont="1" applyFill="1" applyAlignment="1" applyProtection="1">
      <protection locked="0"/>
    </xf>
    <xf numFmtId="0" fontId="24" fillId="0" borderId="2" xfId="3" applyFont="1" applyFill="1" applyBorder="1" applyProtection="1"/>
    <xf numFmtId="0" fontId="29" fillId="0" borderId="2" xfId="3" applyFont="1" applyBorder="1" applyProtection="1"/>
    <xf numFmtId="0" fontId="29" fillId="0" borderId="3" xfId="3" applyFont="1" applyBorder="1" applyProtection="1"/>
    <xf numFmtId="0" fontId="6" fillId="8" borderId="1" xfId="4" applyFont="1" applyFill="1" applyBorder="1" applyProtection="1"/>
    <xf numFmtId="0" fontId="6" fillId="5" borderId="2" xfId="4" applyFont="1" applyFill="1" applyBorder="1" applyProtection="1"/>
    <xf numFmtId="0" fontId="6" fillId="3" borderId="2" xfId="4" applyFont="1" applyFill="1" applyBorder="1" applyProtection="1"/>
    <xf numFmtId="0" fontId="6" fillId="0" borderId="3" xfId="3" applyFont="1" applyBorder="1" applyAlignment="1" applyProtection="1">
      <alignment wrapText="1"/>
    </xf>
    <xf numFmtId="0" fontId="6" fillId="0" borderId="0" xfId="3" applyProtection="1"/>
    <xf numFmtId="0" fontId="0" fillId="0" borderId="0" xfId="0" applyFill="1" applyAlignment="1">
      <alignment horizontal="left" vertical="top"/>
    </xf>
    <xf numFmtId="11" fontId="17" fillId="10" borderId="0" xfId="0" applyNumberFormat="1" applyFont="1" applyFill="1" applyAlignment="1" applyProtection="1">
      <alignment horizontal="left" vertical="top"/>
    </xf>
    <xf numFmtId="11" fontId="1" fillId="0" borderId="0" xfId="0" applyNumberFormat="1" applyFont="1" applyAlignment="1" applyProtection="1">
      <alignment horizontal="left"/>
    </xf>
    <xf numFmtId="11" fontId="0" fillId="3" borderId="0" xfId="0" applyNumberFormat="1" applyFill="1" applyAlignment="1" applyProtection="1">
      <alignment horizontal="left"/>
    </xf>
    <xf numFmtId="11" fontId="19" fillId="11" borderId="0" xfId="0" applyNumberFormat="1" applyFont="1" applyFill="1" applyAlignment="1" applyProtection="1">
      <alignment horizontal="left"/>
    </xf>
    <xf numFmtId="0" fontId="0" fillId="0" borderId="0" xfId="0" applyAlignment="1" applyProtection="1">
      <alignment horizontal="left"/>
    </xf>
    <xf numFmtId="11" fontId="19" fillId="3" borderId="0" xfId="0" applyNumberFormat="1" applyFont="1" applyFill="1" applyAlignment="1" applyProtection="1">
      <alignment horizontal="left"/>
    </xf>
    <xf numFmtId="0" fontId="0" fillId="5" borderId="0" xfId="0" applyFill="1" applyAlignment="1" applyProtection="1">
      <alignment horizontal="left"/>
    </xf>
    <xf numFmtId="11" fontId="0" fillId="0" borderId="0" xfId="0" applyNumberFormat="1" applyFill="1" applyAlignment="1" applyProtection="1">
      <alignment horizontal="left"/>
    </xf>
    <xf numFmtId="0" fontId="0" fillId="8" borderId="0" xfId="0" applyFill="1" applyAlignment="1" applyProtection="1">
      <alignment horizontal="left"/>
    </xf>
    <xf numFmtId="11" fontId="31" fillId="12" borderId="0" xfId="0" applyNumberFormat="1" applyFont="1" applyFill="1" applyAlignment="1" applyProtection="1">
      <alignment horizontal="left"/>
    </xf>
    <xf numFmtId="11" fontId="19" fillId="0" borderId="0" xfId="0" applyNumberFormat="1" applyFont="1" applyAlignment="1" applyProtection="1">
      <alignment horizontal="left"/>
    </xf>
    <xf numFmtId="11" fontId="0" fillId="11" borderId="0" xfId="0" applyNumberFormat="1" applyFill="1" applyAlignment="1" applyProtection="1">
      <alignment horizontal="left"/>
    </xf>
    <xf numFmtId="11" fontId="20" fillId="0" borderId="0" xfId="0" applyNumberFormat="1" applyFont="1" applyAlignment="1" applyProtection="1">
      <alignment horizontal="left"/>
    </xf>
    <xf numFmtId="11" fontId="0" fillId="0" borderId="0" xfId="0" applyNumberFormat="1" applyFont="1" applyAlignment="1" applyProtection="1">
      <alignment horizontal="left"/>
    </xf>
    <xf numFmtId="11" fontId="0" fillId="0" borderId="0" xfId="0" applyNumberFormat="1" applyFont="1" applyFill="1" applyAlignment="1" applyProtection="1">
      <alignment horizontal="left"/>
    </xf>
    <xf numFmtId="0" fontId="6" fillId="0" borderId="3" xfId="3" applyFont="1" applyBorder="1" applyProtection="1"/>
    <xf numFmtId="0" fontId="32" fillId="12" borderId="2" xfId="4" applyFont="1" applyFill="1" applyBorder="1" applyProtection="1"/>
    <xf numFmtId="0" fontId="6" fillId="13" borderId="2" xfId="4" applyFont="1" applyFill="1" applyBorder="1" applyProtection="1"/>
    <xf numFmtId="0" fontId="6" fillId="14" borderId="2" xfId="4" applyFont="1" applyFill="1" applyBorder="1" applyProtection="1"/>
    <xf numFmtId="11" fontId="13" fillId="14" borderId="0" xfId="0" applyNumberFormat="1" applyFont="1" applyFill="1" applyAlignment="1" applyProtection="1">
      <alignment horizontal="left"/>
    </xf>
    <xf numFmtId="11" fontId="19" fillId="14" borderId="0" xfId="0" applyNumberFormat="1" applyFont="1" applyFill="1" applyAlignment="1" applyProtection="1">
      <alignment horizontal="left"/>
    </xf>
    <xf numFmtId="11" fontId="21" fillId="14" borderId="0" xfId="0" applyNumberFormat="1" applyFont="1" applyFill="1" applyAlignment="1" applyProtection="1">
      <alignment horizontal="left"/>
    </xf>
    <xf numFmtId="11" fontId="0" fillId="13" borderId="0" xfId="0" applyNumberFormat="1" applyFill="1" applyAlignment="1" applyProtection="1">
      <alignment horizontal="left"/>
    </xf>
    <xf numFmtId="11" fontId="19" fillId="14" borderId="0" xfId="0" applyNumberFormat="1" applyFont="1" applyFill="1" applyAlignment="1">
      <alignment horizontal="left"/>
    </xf>
    <xf numFmtId="11" fontId="21" fillId="14" borderId="0" xfId="0" applyNumberFormat="1" applyFont="1" applyFill="1" applyAlignment="1">
      <alignment horizontal="left"/>
    </xf>
    <xf numFmtId="11" fontId="0" fillId="13" borderId="0" xfId="0" applyNumberFormat="1" applyFill="1" applyAlignment="1">
      <alignment horizontal="left"/>
    </xf>
    <xf numFmtId="0" fontId="0" fillId="0" borderId="0" xfId="0" applyFill="1" applyAlignment="1" applyProtection="1">
      <alignment horizontal="left" vertical="top"/>
    </xf>
    <xf numFmtId="11" fontId="0" fillId="0" borderId="0" xfId="0" applyNumberFormat="1" applyFill="1" applyAlignment="1" applyProtection="1">
      <alignment horizontal="left" vertical="top"/>
    </xf>
    <xf numFmtId="0" fontId="6" fillId="10" borderId="4" xfId="3" applyFont="1" applyFill="1" applyBorder="1" applyAlignment="1" applyProtection="1">
      <alignment wrapText="1"/>
    </xf>
    <xf numFmtId="0" fontId="6" fillId="11" borderId="2" xfId="4" applyFont="1" applyFill="1" applyBorder="1" applyProtection="1"/>
    <xf numFmtId="0" fontId="18" fillId="0" borderId="5" xfId="3" applyFont="1" applyFill="1" applyBorder="1" applyProtection="1"/>
    <xf numFmtId="0" fontId="0" fillId="0" borderId="0" xfId="0" applyAlignment="1" applyProtection="1">
      <alignment horizontal="left" vertical="center"/>
      <protection locked="0"/>
    </xf>
    <xf numFmtId="11" fontId="0" fillId="0" borderId="0" xfId="0" applyNumberFormat="1" applyAlignment="1" applyProtection="1">
      <alignment horizontal="left" vertical="center"/>
    </xf>
    <xf numFmtId="0" fontId="0" fillId="0" borderId="0" xfId="0" applyAlignment="1">
      <alignment horizontal="left" vertical="center"/>
    </xf>
    <xf numFmtId="0" fontId="1" fillId="0" borderId="0" xfId="0" applyFont="1" applyAlignment="1" applyProtection="1">
      <alignment horizontal="left"/>
    </xf>
    <xf numFmtId="0" fontId="14" fillId="0" borderId="0" xfId="0" applyFont="1" applyAlignment="1" applyProtection="1">
      <alignment horizontal="left"/>
    </xf>
    <xf numFmtId="0" fontId="8" fillId="0" borderId="0" xfId="0" applyFont="1" applyAlignment="1" applyProtection="1">
      <alignment horizontal="left" vertical="top"/>
    </xf>
    <xf numFmtId="0" fontId="19" fillId="3" borderId="0" xfId="0" applyFont="1" applyFill="1" applyAlignment="1" applyProtection="1">
      <alignment horizontal="left"/>
    </xf>
    <xf numFmtId="0" fontId="0" fillId="14" borderId="0" xfId="0" applyFill="1" applyAlignment="1" applyProtection="1">
      <alignment horizontal="left"/>
    </xf>
    <xf numFmtId="0" fontId="19" fillId="0" borderId="0" xfId="0" applyFont="1" applyAlignment="1" applyProtection="1">
      <alignment horizontal="left"/>
    </xf>
    <xf numFmtId="0" fontId="20" fillId="0" borderId="0" xfId="0" applyFont="1" applyAlignment="1" applyProtection="1">
      <alignment horizontal="left"/>
    </xf>
    <xf numFmtId="0" fontId="0" fillId="0" borderId="0" xfId="0" applyFont="1" applyAlignment="1" applyProtection="1">
      <alignment horizontal="left"/>
    </xf>
    <xf numFmtId="0" fontId="0" fillId="0" borderId="0" xfId="0" applyNumberFormat="1" applyAlignment="1" applyProtection="1">
      <alignment horizontal="left"/>
    </xf>
    <xf numFmtId="0" fontId="1" fillId="0" borderId="0" xfId="0" applyFont="1" applyAlignment="1" applyProtection="1">
      <alignment horizontal="left" vertical="center"/>
    </xf>
    <xf numFmtId="0" fontId="14" fillId="0" borderId="0" xfId="0" applyFont="1" applyAlignment="1" applyProtection="1">
      <alignment horizontal="left" vertical="center"/>
    </xf>
    <xf numFmtId="0" fontId="8" fillId="0" borderId="0" xfId="0" applyFont="1" applyAlignment="1" applyProtection="1">
      <alignment horizontal="left" vertical="center"/>
    </xf>
    <xf numFmtId="0" fontId="0" fillId="0" borderId="0" xfId="0" applyAlignment="1" applyProtection="1">
      <alignment horizontal="left" vertical="center"/>
    </xf>
    <xf numFmtId="0" fontId="19" fillId="3" borderId="0" xfId="0" applyFont="1" applyFill="1" applyAlignment="1" applyProtection="1">
      <alignment horizontal="left" vertical="center"/>
    </xf>
    <xf numFmtId="0" fontId="0" fillId="5" borderId="0" xfId="0" applyFill="1" applyAlignment="1" applyProtection="1">
      <alignment horizontal="left" vertical="center"/>
    </xf>
    <xf numFmtId="11" fontId="0" fillId="3" borderId="0" xfId="0" applyNumberFormat="1" applyFill="1" applyAlignment="1" applyProtection="1">
      <alignment horizontal="left" vertical="center"/>
    </xf>
    <xf numFmtId="0" fontId="0" fillId="8" borderId="0" xfId="0" applyFill="1" applyAlignment="1" applyProtection="1">
      <alignment horizontal="left" vertical="center"/>
    </xf>
    <xf numFmtId="0" fontId="0" fillId="14" borderId="0" xfId="0" applyFill="1" applyAlignment="1" applyProtection="1">
      <alignment horizontal="left" vertical="center"/>
    </xf>
    <xf numFmtId="11" fontId="19" fillId="14" borderId="0" xfId="0" applyNumberFormat="1" applyFont="1" applyFill="1" applyAlignment="1" applyProtection="1">
      <alignment horizontal="left" vertical="center"/>
    </xf>
    <xf numFmtId="11" fontId="31" fillId="12" borderId="0" xfId="0" applyNumberFormat="1" applyFont="1" applyFill="1" applyAlignment="1" applyProtection="1">
      <alignment horizontal="left" vertical="center"/>
    </xf>
    <xf numFmtId="0" fontId="19" fillId="0" borderId="0" xfId="0" applyFont="1" applyAlignment="1" applyProtection="1">
      <alignment horizontal="left" vertical="center"/>
    </xf>
    <xf numFmtId="11" fontId="0" fillId="13" borderId="0" xfId="0" applyNumberFormat="1" applyFill="1" applyAlignment="1" applyProtection="1">
      <alignment horizontal="left" vertical="center"/>
    </xf>
    <xf numFmtId="11" fontId="0" fillId="11" borderId="0" xfId="0" applyNumberFormat="1" applyFill="1" applyAlignment="1" applyProtection="1">
      <alignment horizontal="left" vertical="center"/>
    </xf>
    <xf numFmtId="0" fontId="20" fillId="0" borderId="0" xfId="0" applyFont="1" applyAlignment="1" applyProtection="1">
      <alignment horizontal="left" vertical="center"/>
    </xf>
    <xf numFmtId="0" fontId="0" fillId="0" borderId="0" xfId="0" applyFont="1" applyAlignment="1" applyProtection="1">
      <alignment horizontal="left" vertical="center"/>
    </xf>
    <xf numFmtId="0" fontId="0" fillId="0" borderId="0" xfId="0" applyNumberFormat="1" applyAlignment="1" applyProtection="1">
      <alignment horizontal="left" vertical="center"/>
    </xf>
    <xf numFmtId="11" fontId="5" fillId="2" borderId="0" xfId="0" applyNumberFormat="1" applyFont="1" applyFill="1" applyAlignment="1" applyProtection="1">
      <alignment horizontal="left"/>
    </xf>
    <xf numFmtId="11" fontId="13" fillId="0" borderId="0" xfId="0" applyNumberFormat="1" applyFont="1" applyAlignment="1" applyProtection="1">
      <alignment horizontal="left"/>
      <protection locked="0"/>
    </xf>
    <xf numFmtId="0" fontId="13" fillId="0" borderId="0" xfId="0" applyFont="1" applyAlignment="1" applyProtection="1">
      <alignment horizontal="left"/>
      <protection locked="0"/>
    </xf>
    <xf numFmtId="11" fontId="13" fillId="0" borderId="0" xfId="0" applyNumberFormat="1" applyFont="1" applyFill="1" applyAlignment="1" applyProtection="1">
      <alignment horizontal="left" vertical="center"/>
      <protection locked="0"/>
    </xf>
    <xf numFmtId="11" fontId="13" fillId="0" borderId="0" xfId="0" applyNumberFormat="1" applyFont="1" applyAlignment="1" applyProtection="1">
      <alignment horizontal="left" vertical="center"/>
      <protection locked="0"/>
    </xf>
    <xf numFmtId="11" fontId="13" fillId="0" borderId="0" xfId="0" applyNumberFormat="1" applyFont="1" applyFill="1" applyBorder="1" applyAlignment="1" applyProtection="1">
      <alignment horizontal="left" vertical="center"/>
      <protection locked="0"/>
    </xf>
    <xf numFmtId="11" fontId="0" fillId="0" borderId="0" xfId="0" applyNumberFormat="1" applyAlignment="1" applyProtection="1">
      <alignment horizontal="right"/>
      <protection locked="0"/>
    </xf>
    <xf numFmtId="0" fontId="0" fillId="0" borderId="0" xfId="0" applyProtection="1"/>
    <xf numFmtId="0" fontId="8" fillId="0" borderId="0" xfId="0" applyFont="1" applyFill="1" applyProtection="1"/>
    <xf numFmtId="0" fontId="34" fillId="2" borderId="1" xfId="3" applyFont="1" applyFill="1" applyBorder="1" applyProtection="1"/>
    <xf numFmtId="11" fontId="8" fillId="0" borderId="0" xfId="0" applyNumberFormat="1" applyFont="1" applyFill="1" applyProtection="1"/>
    <xf numFmtId="0" fontId="19" fillId="3" borderId="0" xfId="0" applyFont="1" applyFill="1" applyAlignment="1" applyProtection="1">
      <alignment horizontal="left" vertical="top"/>
    </xf>
    <xf numFmtId="0" fontId="19" fillId="11" borderId="0" xfId="0" applyFont="1" applyFill="1" applyAlignment="1" applyProtection="1">
      <alignment horizontal="left" vertical="top"/>
    </xf>
    <xf numFmtId="11" fontId="17" fillId="10" borderId="0" xfId="0" applyNumberFormat="1" applyFont="1" applyFill="1" applyAlignment="1" applyProtection="1">
      <alignment horizontal="left"/>
    </xf>
    <xf numFmtId="0" fontId="19" fillId="14" borderId="0" xfId="0" applyNumberFormat="1" applyFont="1" applyFill="1" applyAlignment="1" applyProtection="1">
      <alignment horizontal="left"/>
    </xf>
    <xf numFmtId="0" fontId="0" fillId="0" borderId="0" xfId="0" applyProtection="1">
      <protection locked="0"/>
    </xf>
    <xf numFmtId="11" fontId="0" fillId="0" borderId="0" xfId="0" applyNumberFormat="1" applyAlignment="1" applyProtection="1">
      <alignment horizontal="center"/>
    </xf>
    <xf numFmtId="11" fontId="22" fillId="14" borderId="0" xfId="0" applyNumberFormat="1" applyFont="1" applyFill="1" applyAlignment="1" applyProtection="1">
      <alignment horizontal="left"/>
    </xf>
    <xf numFmtId="0" fontId="0" fillId="0" borderId="0" xfId="0"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8" fillId="0" borderId="0" xfId="2" applyFont="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0" xfId="0" applyFont="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10" fillId="0" borderId="0" xfId="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8" fillId="0" borderId="0" xfId="1" applyFont="1" applyBorder="1" applyAlignment="1" applyProtection="1">
      <alignment vertical="center"/>
      <protection locked="0"/>
    </xf>
    <xf numFmtId="0" fontId="2" fillId="0" borderId="0"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0" fontId="8" fillId="0" borderId="0" xfId="1"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164" fontId="5" fillId="0" borderId="0"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8" fillId="0" borderId="0" xfId="2" applyFont="1" applyFill="1" applyBorder="1" applyAlignment="1" applyProtection="1">
      <alignment horizontal="center" vertical="center"/>
      <protection locked="0"/>
    </xf>
    <xf numFmtId="0" fontId="0" fillId="0" borderId="0" xfId="0" applyFont="1" applyBorder="1" applyAlignment="1" applyProtection="1">
      <alignment vertical="center"/>
      <protection locked="0"/>
    </xf>
    <xf numFmtId="11" fontId="5" fillId="0" borderId="0" xfId="0" applyNumberFormat="1" applyFont="1" applyFill="1" applyBorder="1" applyAlignment="1" applyProtection="1">
      <alignment horizontal="center" vertical="center"/>
      <protection locked="0"/>
    </xf>
    <xf numFmtId="0" fontId="8" fillId="0" borderId="0" xfId="2" applyFont="1" applyBorder="1" applyAlignment="1" applyProtection="1">
      <alignment vertical="center"/>
      <protection locked="0"/>
    </xf>
    <xf numFmtId="0" fontId="0" fillId="0" borderId="0" xfId="0" applyNumberFormat="1" applyFont="1" applyFill="1" applyBorder="1" applyAlignment="1" applyProtection="1">
      <alignment horizontal="center" vertical="center"/>
      <protection locked="0"/>
    </xf>
    <xf numFmtId="11" fontId="5" fillId="2" borderId="0" xfId="0" applyNumberFormat="1"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8"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1"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33" fillId="2" borderId="0" xfId="0" applyNumberFormat="1" applyFont="1" applyFill="1" applyBorder="1" applyAlignment="1" applyProtection="1">
      <alignment horizontal="center" vertical="center"/>
    </xf>
    <xf numFmtId="11" fontId="8" fillId="0" borderId="0" xfId="0" applyNumberFormat="1" applyFont="1" applyFill="1" applyBorder="1" applyAlignment="1" applyProtection="1">
      <alignment horizontal="center" vertical="center"/>
      <protection locked="0"/>
    </xf>
    <xf numFmtId="11" fontId="14" fillId="0" borderId="0" xfId="0" applyNumberFormat="1" applyFont="1" applyAlignment="1" applyProtection="1">
      <alignment horizontal="left"/>
    </xf>
    <xf numFmtId="11" fontId="14" fillId="0" borderId="0" xfId="0" applyNumberFormat="1" applyFont="1" applyProtection="1"/>
    <xf numFmtId="11" fontId="1" fillId="0" borderId="0" xfId="0" applyNumberFormat="1" applyFont="1" applyProtection="1"/>
    <xf numFmtId="11" fontId="13" fillId="0" borderId="0" xfId="0" applyNumberFormat="1" applyFont="1" applyFill="1" applyBorder="1" applyAlignment="1" applyProtection="1">
      <alignment horizontal="left" vertical="center"/>
    </xf>
    <xf numFmtId="11" fontId="13" fillId="0" borderId="0" xfId="0" applyNumberFormat="1" applyFont="1" applyAlignment="1" applyProtection="1">
      <alignment horizontal="left" vertical="center"/>
    </xf>
    <xf numFmtId="0" fontId="13" fillId="0" borderId="0" xfId="0" applyFont="1" applyAlignment="1" applyProtection="1">
      <alignment horizontal="left"/>
    </xf>
    <xf numFmtId="0" fontId="13" fillId="0" borderId="0" xfId="0" applyNumberFormat="1" applyFont="1" applyFill="1" applyBorder="1" applyProtection="1"/>
    <xf numFmtId="11" fontId="13" fillId="0" borderId="0" xfId="0" applyNumberFormat="1" applyFont="1" applyAlignment="1" applyProtection="1">
      <alignment horizontal="left"/>
    </xf>
    <xf numFmtId="11" fontId="0" fillId="0" borderId="0" xfId="0" applyNumberFormat="1" applyProtection="1"/>
    <xf numFmtId="11" fontId="0" fillId="0" borderId="0" xfId="0" applyNumberFormat="1" applyAlignment="1" applyProtection="1">
      <alignment horizontal="right"/>
    </xf>
    <xf numFmtId="11" fontId="18" fillId="0" borderId="0" xfId="0" applyNumberFormat="1" applyFont="1" applyProtection="1"/>
    <xf numFmtId="11" fontId="8" fillId="13" borderId="0" xfId="0" applyNumberFormat="1" applyFont="1" applyFill="1" applyAlignment="1" applyProtection="1">
      <alignment horizontal="left"/>
    </xf>
    <xf numFmtId="0" fontId="1" fillId="0" borderId="0" xfId="0" applyFont="1" applyFill="1" applyAlignment="1" applyProtection="1">
      <alignment horizontal="left"/>
    </xf>
    <xf numFmtId="0" fontId="14" fillId="0" borderId="0" xfId="0" applyFont="1" applyFill="1" applyAlignment="1" applyProtection="1">
      <alignment horizontal="left"/>
    </xf>
    <xf numFmtId="11" fontId="0" fillId="10" borderId="0" xfId="0" applyNumberFormat="1" applyFill="1" applyAlignment="1" applyProtection="1">
      <alignment horizontal="left"/>
    </xf>
    <xf numFmtId="0" fontId="19" fillId="0" borderId="0" xfId="0" applyFont="1" applyFill="1" applyAlignment="1" applyProtection="1">
      <alignment horizontal="left"/>
    </xf>
    <xf numFmtId="0" fontId="0" fillId="0" borderId="0" xfId="0" applyFill="1" applyAlignment="1" applyProtection="1">
      <alignment horizontal="left"/>
    </xf>
    <xf numFmtId="0" fontId="20" fillId="0" borderId="0" xfId="0" applyFont="1" applyFill="1" applyAlignment="1" applyProtection="1">
      <alignment horizontal="left"/>
    </xf>
    <xf numFmtId="0" fontId="13" fillId="14" borderId="0" xfId="0" applyFont="1" applyFill="1" applyAlignment="1" applyProtection="1">
      <alignment horizontal="left"/>
    </xf>
    <xf numFmtId="0" fontId="0" fillId="0" borderId="0" xfId="0" applyFont="1" applyFill="1" applyAlignment="1" applyProtection="1">
      <alignment horizontal="left"/>
    </xf>
    <xf numFmtId="0" fontId="0" fillId="0" borderId="0" xfId="0" applyNumberFormat="1" applyFill="1" applyAlignment="1" applyProtection="1">
      <alignment horizontal="left"/>
    </xf>
    <xf numFmtId="11" fontId="0" fillId="4" borderId="0" xfId="0" applyNumberFormat="1" applyFill="1" applyAlignment="1" applyProtection="1"/>
    <xf numFmtId="11" fontId="0" fillId="3" borderId="0" xfId="0" applyNumberFormat="1" applyFill="1" applyProtection="1"/>
    <xf numFmtId="11" fontId="0" fillId="6" borderId="0" xfId="0" applyNumberFormat="1" applyFill="1" applyProtection="1"/>
    <xf numFmtId="0" fontId="13" fillId="3" borderId="0" xfId="0" applyFont="1" applyFill="1" applyAlignment="1" applyProtection="1">
      <alignment horizontal="center" vertical="center"/>
    </xf>
    <xf numFmtId="0" fontId="13" fillId="6" borderId="0" xfId="0" applyFont="1" applyFill="1" applyAlignment="1" applyProtection="1">
      <alignment horizontal="center" vertical="center"/>
    </xf>
    <xf numFmtId="0" fontId="13" fillId="4" borderId="0" xfId="0" applyFont="1" applyFill="1" applyAlignment="1" applyProtection="1">
      <alignment horizontal="center" vertical="center"/>
    </xf>
    <xf numFmtId="0" fontId="13" fillId="7" borderId="0" xfId="0" applyFont="1" applyFill="1" applyAlignment="1" applyProtection="1">
      <alignment horizontal="center" vertical="center"/>
    </xf>
    <xf numFmtId="0" fontId="19" fillId="0" borderId="0" xfId="0" applyFont="1" applyFill="1" applyAlignment="1" applyProtection="1">
      <alignment horizontal="left" vertical="center"/>
    </xf>
    <xf numFmtId="0" fontId="0" fillId="0" borderId="0" xfId="0" applyFill="1" applyAlignment="1" applyProtection="1">
      <alignment horizontal="left" vertical="center"/>
    </xf>
    <xf numFmtId="0" fontId="20" fillId="0" borderId="0" xfId="0" applyFont="1" applyFill="1" applyAlignment="1" applyProtection="1">
      <alignment horizontal="left" vertical="center"/>
    </xf>
    <xf numFmtId="0" fontId="0" fillId="0" borderId="0" xfId="0" applyFont="1" applyFill="1" applyAlignment="1" applyProtection="1">
      <alignment horizontal="left" vertical="center"/>
    </xf>
    <xf numFmtId="0" fontId="0" fillId="0" borderId="0" xfId="0" applyNumberFormat="1" applyFill="1" applyAlignment="1" applyProtection="1">
      <alignment horizontal="left" vertical="center"/>
    </xf>
    <xf numFmtId="0" fontId="35" fillId="0" borderId="6" xfId="3" applyFont="1" applyBorder="1" applyAlignment="1">
      <alignment horizontal="left" vertical="center" wrapText="1"/>
    </xf>
    <xf numFmtId="0" fontId="0" fillId="15" borderId="0" xfId="0" applyFill="1" applyAlignment="1" applyProtection="1">
      <alignment horizontal="left"/>
    </xf>
    <xf numFmtId="11" fontId="0" fillId="15" borderId="0" xfId="0" applyNumberFormat="1" applyFill="1" applyAlignment="1" applyProtection="1">
      <alignment horizontal="left"/>
    </xf>
    <xf numFmtId="11" fontId="21" fillId="15" borderId="0" xfId="0" applyNumberFormat="1" applyFont="1" applyFill="1" applyAlignment="1" applyProtection="1">
      <alignment horizontal="left"/>
    </xf>
    <xf numFmtId="0" fontId="8" fillId="0" borderId="0" xfId="0" applyFont="1" applyAlignment="1">
      <alignment vertical="center"/>
    </xf>
    <xf numFmtId="0" fontId="8" fillId="0" borderId="0" xfId="0" applyFont="1" applyAlignment="1" applyProtection="1">
      <alignment horizontal="center" vertical="center"/>
      <protection locked="0"/>
    </xf>
    <xf numFmtId="0" fontId="0" fillId="0" borderId="0" xfId="0" applyAlignment="1">
      <alignment vertical="center"/>
    </xf>
    <xf numFmtId="0" fontId="5" fillId="2" borderId="0" xfId="0" applyFont="1" applyFill="1" applyAlignment="1">
      <alignment horizontal="center"/>
    </xf>
    <xf numFmtId="0" fontId="0" fillId="0" borderId="0" xfId="0" applyAlignment="1">
      <alignment horizontal="center"/>
    </xf>
    <xf numFmtId="165" fontId="8" fillId="0" borderId="0" xfId="0" applyNumberFormat="1" applyFont="1" applyFill="1" applyBorder="1" applyAlignment="1" applyProtection="1">
      <alignment horizontal="center" vertical="center"/>
      <protection locked="0"/>
    </xf>
    <xf numFmtId="165" fontId="0" fillId="0" borderId="0" xfId="0" applyNumberFormat="1" applyAlignment="1">
      <alignment horizontal="center" vertical="center"/>
    </xf>
    <xf numFmtId="0" fontId="8" fillId="0" borderId="0" xfId="0" applyFont="1" applyAlignment="1" applyProtection="1">
      <alignment vertical="center"/>
      <protection locked="0"/>
    </xf>
    <xf numFmtId="11" fontId="8" fillId="0" borderId="0" xfId="0" applyNumberFormat="1" applyFont="1" applyAlignment="1" applyProtection="1">
      <alignment horizontal="center" vertical="center"/>
      <protection locked="0"/>
    </xf>
    <xf numFmtId="0" fontId="1" fillId="0" borderId="0" xfId="0" applyFont="1" applyAlignment="1">
      <alignment horizontal="left"/>
    </xf>
    <xf numFmtId="0" fontId="8" fillId="0" borderId="0" xfId="0" applyFont="1"/>
    <xf numFmtId="11" fontId="8" fillId="0" borderId="0" xfId="0" applyNumberFormat="1" applyFont="1"/>
    <xf numFmtId="11" fontId="0" fillId="4" borderId="0" xfId="0" applyNumberFormat="1" applyFill="1"/>
    <xf numFmtId="11" fontId="0" fillId="3" borderId="0" xfId="0" applyNumberFormat="1" applyFill="1"/>
    <xf numFmtId="11" fontId="0" fillId="6" borderId="0" xfId="0" applyNumberFormat="1" applyFill="1"/>
    <xf numFmtId="0" fontId="0" fillId="0" borderId="0" xfId="0" applyAlignment="1" applyProtection="1">
      <alignment horizontal="center"/>
      <protection locked="0"/>
    </xf>
    <xf numFmtId="0" fontId="0" fillId="0" borderId="7" xfId="0" applyBorder="1" applyAlignment="1" applyProtection="1">
      <alignment horizontal="center"/>
      <protection locked="0"/>
    </xf>
    <xf numFmtId="0" fontId="6" fillId="0" borderId="0" xfId="0" applyFont="1" applyAlignment="1" applyProtection="1">
      <alignment horizontal="center" vertical="center"/>
      <protection locked="0"/>
    </xf>
    <xf numFmtId="0" fontId="5" fillId="2" borderId="0" xfId="0" applyFont="1" applyFill="1" applyAlignment="1">
      <alignment horizontal="center" vertical="center"/>
    </xf>
    <xf numFmtId="0" fontId="0" fillId="0" borderId="0" xfId="0"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0" fontId="8" fillId="0" borderId="0" xfId="0" applyFont="1" applyAlignment="1">
      <alignment horizontal="left" vertical="center"/>
    </xf>
    <xf numFmtId="11" fontId="5" fillId="2" borderId="0" xfId="0" applyNumberFormat="1" applyFont="1" applyFill="1" applyAlignment="1">
      <alignment horizontal="center"/>
    </xf>
    <xf numFmtId="0" fontId="10" fillId="0" borderId="0" xfId="1"/>
    <xf numFmtId="0" fontId="8" fillId="0" borderId="0" xfId="1" applyFont="1"/>
    <xf numFmtId="0" fontId="2" fillId="0" borderId="0" xfId="0" applyFont="1"/>
    <xf numFmtId="0" fontId="2" fillId="0" borderId="0" xfId="0" applyFont="1" applyAlignment="1" applyProtection="1">
      <alignment horizontal="center"/>
      <protection locked="0"/>
    </xf>
    <xf numFmtId="0" fontId="8" fillId="0" borderId="0" xfId="2" applyFont="1" applyAlignment="1" applyProtection="1">
      <alignment horizontal="center"/>
      <protection locked="0"/>
    </xf>
    <xf numFmtId="0" fontId="8" fillId="0" borderId="0" xfId="0" applyFont="1" applyAlignment="1" applyProtection="1">
      <alignment horizontal="center"/>
      <protection locked="0"/>
    </xf>
    <xf numFmtId="0" fontId="5" fillId="0" borderId="0" xfId="0" applyFont="1" applyAlignment="1">
      <alignment horizontal="center"/>
    </xf>
    <xf numFmtId="164" fontId="5" fillId="0" borderId="0" xfId="0" applyNumberFormat="1" applyFont="1" applyAlignment="1">
      <alignment horizontal="center"/>
    </xf>
    <xf numFmtId="0" fontId="12" fillId="0" borderId="0" xfId="0" applyFont="1" applyAlignment="1">
      <alignment horizontal="center"/>
    </xf>
    <xf numFmtId="0" fontId="2" fillId="0" borderId="0" xfId="0" applyFont="1" applyAlignment="1">
      <alignment horizontal="center"/>
    </xf>
    <xf numFmtId="0" fontId="8" fillId="0" borderId="0" xfId="2" applyFont="1" applyAlignment="1">
      <alignment horizontal="center"/>
    </xf>
    <xf numFmtId="11" fontId="5" fillId="0" borderId="0" xfId="0" applyNumberFormat="1" applyFont="1" applyAlignment="1">
      <alignment horizontal="center"/>
    </xf>
    <xf numFmtId="0" fontId="0" fillId="0" borderId="0" xfId="0" applyAlignment="1" applyProtection="1">
      <alignment vertical="center"/>
      <protection locked="0"/>
    </xf>
    <xf numFmtId="0" fontId="8" fillId="0" borderId="0" xfId="2" applyFont="1"/>
    <xf numFmtId="11" fontId="0" fillId="0" borderId="0" xfId="0" applyNumberFormat="1"/>
    <xf numFmtId="0" fontId="36" fillId="2" borderId="0" xfId="0" applyFont="1" applyFill="1"/>
    <xf numFmtId="2" fontId="8" fillId="0" borderId="0" xfId="0" applyNumberFormat="1" applyFont="1" applyAlignment="1" applyProtection="1">
      <alignment horizontal="center" vertical="center"/>
      <protection locked="0"/>
    </xf>
    <xf numFmtId="165" fontId="8" fillId="0" borderId="0" xfId="0" applyNumberFormat="1" applyFont="1" applyAlignment="1" applyProtection="1">
      <alignment horizontal="center" vertical="center"/>
      <protection locked="0"/>
    </xf>
    <xf numFmtId="11" fontId="17" fillId="16" borderId="0" xfId="0" applyNumberFormat="1" applyFont="1" applyFill="1" applyAlignment="1" applyProtection="1">
      <alignment horizontal="left" vertical="top"/>
    </xf>
    <xf numFmtId="11" fontId="17" fillId="16" borderId="0" xfId="0" applyNumberFormat="1" applyFont="1" applyFill="1" applyAlignment="1">
      <alignment horizontal="left"/>
    </xf>
    <xf numFmtId="11" fontId="33" fillId="2" borderId="0" xfId="0" applyNumberFormat="1" applyFont="1" applyFill="1" applyAlignment="1" applyProtection="1">
      <alignment horizontal="left"/>
    </xf>
    <xf numFmtId="11" fontId="33" fillId="2" borderId="0" xfId="0" applyNumberFormat="1" applyFont="1" applyFill="1" applyAlignment="1" applyProtection="1">
      <alignment horizontal="left"/>
      <protection locked="0"/>
    </xf>
    <xf numFmtId="11" fontId="0" fillId="0" borderId="0" xfId="0" applyNumberFormat="1" applyAlignment="1">
      <alignment horizontal="left" vertical="top"/>
    </xf>
    <xf numFmtId="0" fontId="0" fillId="13" borderId="0" xfId="0" applyFill="1" applyAlignment="1" applyProtection="1">
      <alignment horizontal="left"/>
    </xf>
    <xf numFmtId="0" fontId="0" fillId="7" borderId="0" xfId="0" applyFill="1" applyAlignment="1" applyProtection="1">
      <alignment horizontal="left"/>
    </xf>
    <xf numFmtId="11" fontId="13" fillId="7" borderId="0" xfId="0" applyNumberFormat="1" applyFont="1" applyFill="1" applyAlignment="1" applyProtection="1">
      <alignment horizontal="left"/>
    </xf>
    <xf numFmtId="0" fontId="0" fillId="7" borderId="0" xfId="0" applyFont="1" applyFill="1" applyAlignment="1" applyProtection="1">
      <alignment horizontal="left"/>
    </xf>
    <xf numFmtId="0" fontId="0" fillId="7" borderId="0" xfId="0" applyNumberFormat="1" applyFill="1" applyAlignment="1" applyProtection="1">
      <alignment horizontal="left"/>
    </xf>
    <xf numFmtId="0" fontId="0" fillId="0" borderId="0" xfId="0" applyNumberFormat="1" applyFont="1" applyBorder="1" applyAlignment="1" applyProtection="1">
      <alignment horizontal="center" vertical="center"/>
      <protection locked="0"/>
    </xf>
    <xf numFmtId="11" fontId="1" fillId="0" borderId="0" xfId="0" applyNumberFormat="1" applyFont="1" applyAlignment="1">
      <alignment horizontal="left"/>
    </xf>
    <xf numFmtId="1" fontId="5" fillId="2" borderId="0" xfId="0" applyNumberFormat="1" applyFont="1" applyFill="1" applyAlignment="1">
      <alignment horizontal="center" vertical="center"/>
    </xf>
    <xf numFmtId="0" fontId="0" fillId="0" borderId="0" xfId="0" applyNumberFormat="1" applyAlignment="1" applyProtection="1">
      <alignment horizontal="center"/>
      <protection locked="0"/>
    </xf>
    <xf numFmtId="11" fontId="8" fillId="11" borderId="0" xfId="0" applyNumberFormat="1" applyFont="1" applyFill="1" applyAlignment="1" applyProtection="1">
      <alignment horizontal="left"/>
    </xf>
    <xf numFmtId="11" fontId="0" fillId="15" borderId="0" xfId="0" applyNumberFormat="1" applyFill="1" applyAlignment="1">
      <alignment horizontal="left"/>
    </xf>
    <xf numFmtId="11" fontId="21" fillId="15" borderId="0" xfId="0" applyNumberFormat="1" applyFont="1" applyFill="1" applyAlignment="1">
      <alignment horizontal="left"/>
    </xf>
    <xf numFmtId="0" fontId="3" fillId="0" borderId="0"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0" xfId="0" applyFont="1" applyAlignment="1">
      <alignment horizontal="center"/>
    </xf>
    <xf numFmtId="0" fontId="6" fillId="15" borderId="4" xfId="3" applyFill="1" applyBorder="1"/>
  </cellXfs>
  <cellStyles count="5">
    <cellStyle name="Excel Built-in Normal" xfId="1" xr:uid="{00000000-0005-0000-0000-000000000000}"/>
    <cellStyle name="Excel Built-in Normal 2" xfId="2" xr:uid="{00000000-0005-0000-0000-000001000000}"/>
    <cellStyle name="Normal" xfId="0" builtinId="0"/>
    <cellStyle name="Normal 2" xfId="3" xr:uid="{66F8C8A4-BE9A-4D4F-9666-749D1383DFCF}"/>
    <cellStyle name="Normal 2 2" xfId="4" xr:uid="{2CD6799B-21A8-43AC-B203-D9C414B0BCC5}"/>
  </cellStyles>
  <dxfs count="0"/>
  <tableStyles count="0" defaultTableStyle="TableStyleMedium2" defaultPivotStyle="PivotStyleLight16"/>
  <colors>
    <mruColors>
      <color rgb="FFE9D9FF"/>
      <color rgb="FFFFCCCC"/>
      <color rgb="FF008000"/>
      <color rgb="FFB3FFB3"/>
      <color rgb="FFFF9999"/>
      <color rgb="FFCCFFCC"/>
      <color rgb="FFFFCCFF"/>
      <color rgb="FFCCECFF"/>
      <color rgb="FFFF99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k21_ornl_gov/Documents/EPA%20Tools/RAD_Master%20QA%20Sheets/2019_Internal_Verification_Spreadsheets/RADPRG_non_worker_dec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dSpec"/>
      <sheetName val="def_acf"/>
      <sheetName val="d"/>
      <sheetName val="Bv"/>
      <sheetName val="Irr"/>
      <sheetName val="dir"/>
      <sheetName val="b2s"/>
      <sheetName val="b2w"/>
      <sheetName val="res"/>
      <sheetName val="far"/>
      <sheetName val="rec"/>
      <sheetName val="sgw"/>
      <sheetName val="s_RadSpec"/>
      <sheetName val="s_Irr"/>
      <sheetName val="s_dir"/>
      <sheetName val="s_b2s"/>
      <sheetName val="s_b2w"/>
      <sheetName val="s_res"/>
      <sheetName val="s_far"/>
      <sheetName val="ss_rec"/>
      <sheetName val="ss_sgw"/>
      <sheetName val="ss"/>
      <sheetName val="up_RadSpec"/>
      <sheetName val="up_Bv"/>
      <sheetName val="up_Irr"/>
      <sheetName val="up_dir"/>
      <sheetName val="up_b2s"/>
      <sheetName val="up_b2w"/>
      <sheetName val="up_res"/>
      <sheetName val="up_far"/>
      <sheetName val="up_rec"/>
      <sheetName val="up_sgw"/>
    </sheetNames>
    <sheetDataSet>
      <sheetData sheetId="0"/>
      <sheetData sheetId="1"/>
      <sheetData sheetId="2"/>
      <sheetData sheetId="3">
        <row r="2">
          <cell r="B2">
            <v>9.9999999999999995E-7</v>
          </cell>
          <cell r="E2">
            <v>6</v>
          </cell>
          <cell r="H2">
            <v>6</v>
          </cell>
          <cell r="K2">
            <v>6</v>
          </cell>
          <cell r="N2">
            <v>1</v>
          </cell>
          <cell r="Q2">
            <v>1</v>
          </cell>
        </row>
        <row r="3">
          <cell r="B3">
            <v>0.5</v>
          </cell>
          <cell r="E3">
            <v>20</v>
          </cell>
          <cell r="H3">
            <v>20</v>
          </cell>
          <cell r="K3">
            <v>34</v>
          </cell>
          <cell r="N3">
            <v>1</v>
          </cell>
          <cell r="Q3">
            <v>1</v>
          </cell>
        </row>
        <row r="4">
          <cell r="B4">
            <v>1</v>
          </cell>
          <cell r="E4">
            <v>26</v>
          </cell>
          <cell r="H4">
            <v>26</v>
          </cell>
          <cell r="K4">
            <v>40</v>
          </cell>
          <cell r="N4">
            <v>1</v>
          </cell>
          <cell r="Q4">
            <v>1</v>
          </cell>
        </row>
        <row r="5">
          <cell r="E5">
            <v>26</v>
          </cell>
          <cell r="H5">
            <v>26</v>
          </cell>
          <cell r="K5">
            <v>40</v>
          </cell>
          <cell r="N5">
            <v>1</v>
          </cell>
          <cell r="Q5">
            <v>1</v>
          </cell>
        </row>
        <row r="6">
          <cell r="B6">
            <v>1</v>
          </cell>
          <cell r="E6">
            <v>10</v>
          </cell>
          <cell r="H6">
            <v>10</v>
          </cell>
          <cell r="K6">
            <v>10</v>
          </cell>
          <cell r="N6">
            <v>1</v>
          </cell>
          <cell r="Q6">
            <v>1</v>
          </cell>
        </row>
        <row r="7">
          <cell r="B7">
            <v>2.6999999999999999E-5</v>
          </cell>
          <cell r="E7">
            <v>20</v>
          </cell>
          <cell r="H7">
            <v>20</v>
          </cell>
          <cell r="K7">
            <v>20</v>
          </cell>
          <cell r="N7">
            <v>1</v>
          </cell>
          <cell r="Q7">
            <v>1</v>
          </cell>
        </row>
        <row r="8">
          <cell r="B8">
            <v>3.62</v>
          </cell>
          <cell r="E8">
            <v>161000</v>
          </cell>
          <cell r="H8">
            <v>1437.5</v>
          </cell>
          <cell r="K8">
            <v>259000</v>
          </cell>
          <cell r="N8">
            <v>1</v>
          </cell>
        </row>
        <row r="9">
          <cell r="B9">
            <v>0.25</v>
          </cell>
          <cell r="E9">
            <v>6104</v>
          </cell>
          <cell r="H9">
            <v>1950</v>
          </cell>
          <cell r="K9">
            <v>9583</v>
          </cell>
          <cell r="N9">
            <v>1</v>
          </cell>
        </row>
        <row r="10">
          <cell r="B10">
            <v>10950</v>
          </cell>
          <cell r="E10">
            <v>200</v>
          </cell>
          <cell r="H10">
            <v>200</v>
          </cell>
          <cell r="K10">
            <v>200</v>
          </cell>
          <cell r="N10">
            <v>1</v>
          </cell>
        </row>
        <row r="11">
          <cell r="B11">
            <v>240</v>
          </cell>
          <cell r="E11">
            <v>100</v>
          </cell>
          <cell r="H11">
            <v>100</v>
          </cell>
          <cell r="K11">
            <v>100</v>
          </cell>
          <cell r="N11">
            <v>1</v>
          </cell>
        </row>
        <row r="12">
          <cell r="B12">
            <v>0.42</v>
          </cell>
          <cell r="E12">
            <v>1120000</v>
          </cell>
          <cell r="H12">
            <v>240000</v>
          </cell>
          <cell r="K12">
            <v>1610000</v>
          </cell>
          <cell r="N12">
            <v>1</v>
          </cell>
          <cell r="Q12">
            <v>62.8</v>
          </cell>
        </row>
        <row r="13">
          <cell r="B13">
            <v>60</v>
          </cell>
          <cell r="E13">
            <v>0.78</v>
          </cell>
          <cell r="H13">
            <v>0.12</v>
          </cell>
          <cell r="K13">
            <v>0.78</v>
          </cell>
          <cell r="N13">
            <v>1</v>
          </cell>
          <cell r="Q13">
            <v>165.3</v>
          </cell>
        </row>
        <row r="14">
          <cell r="B14">
            <v>2</v>
          </cell>
          <cell r="E14">
            <v>2.5</v>
          </cell>
          <cell r="H14">
            <v>7.0999999999999994E-2</v>
          </cell>
          <cell r="K14">
            <v>2.5</v>
          </cell>
          <cell r="N14">
            <v>1</v>
          </cell>
          <cell r="Q14">
            <v>2098950</v>
          </cell>
        </row>
        <row r="15">
          <cell r="B15">
            <v>1</v>
          </cell>
          <cell r="E15">
            <v>19138</v>
          </cell>
          <cell r="H15">
            <v>160.5</v>
          </cell>
          <cell r="K15">
            <v>31388</v>
          </cell>
          <cell r="N15">
            <v>1</v>
          </cell>
          <cell r="Q15">
            <v>994.7</v>
          </cell>
        </row>
        <row r="16">
          <cell r="B16">
            <v>14</v>
          </cell>
          <cell r="E16">
            <v>54000</v>
          </cell>
          <cell r="H16">
            <v>1</v>
          </cell>
          <cell r="K16">
            <v>350</v>
          </cell>
          <cell r="N16">
            <v>1</v>
          </cell>
          <cell r="Q16">
            <v>676.4</v>
          </cell>
        </row>
        <row r="17">
          <cell r="B17">
            <v>1.5</v>
          </cell>
          <cell r="E17">
            <v>350</v>
          </cell>
          <cell r="H17">
            <v>1</v>
          </cell>
          <cell r="K17">
            <v>350</v>
          </cell>
          <cell r="N17">
            <v>1</v>
          </cell>
          <cell r="Q17">
            <v>10138030</v>
          </cell>
        </row>
        <row r="18">
          <cell r="B18">
            <v>0.3</v>
          </cell>
          <cell r="E18">
            <v>350</v>
          </cell>
          <cell r="H18">
            <v>75</v>
          </cell>
          <cell r="K18">
            <v>350</v>
          </cell>
          <cell r="N18">
            <v>1</v>
          </cell>
          <cell r="Q18">
            <v>31.7</v>
          </cell>
        </row>
        <row r="19">
          <cell r="E19">
            <v>350</v>
          </cell>
          <cell r="H19">
            <v>75</v>
          </cell>
          <cell r="K19">
            <v>24</v>
          </cell>
          <cell r="N19">
            <v>1</v>
          </cell>
          <cell r="Q19">
            <v>59.6</v>
          </cell>
        </row>
        <row r="20">
          <cell r="E20">
            <v>0.54</v>
          </cell>
          <cell r="H20">
            <v>75</v>
          </cell>
          <cell r="K20">
            <v>24</v>
          </cell>
          <cell r="N20">
            <v>1</v>
          </cell>
          <cell r="Q20">
            <v>775810</v>
          </cell>
        </row>
        <row r="21">
          <cell r="E21">
            <v>0.71</v>
          </cell>
          <cell r="H21">
            <v>1</v>
          </cell>
          <cell r="K21">
            <v>24</v>
          </cell>
          <cell r="N21">
            <v>1</v>
          </cell>
          <cell r="Q21">
            <v>46.9</v>
          </cell>
        </row>
        <row r="22">
          <cell r="E22">
            <v>24</v>
          </cell>
          <cell r="H22">
            <v>1</v>
          </cell>
          <cell r="K22">
            <v>0.54</v>
          </cell>
          <cell r="N22">
            <v>1</v>
          </cell>
          <cell r="Q22">
            <v>107.4</v>
          </cell>
        </row>
        <row r="23">
          <cell r="E23">
            <v>24</v>
          </cell>
          <cell r="H23">
            <v>1</v>
          </cell>
          <cell r="K23">
            <v>0.71</v>
          </cell>
          <cell r="N23">
            <v>1</v>
          </cell>
          <cell r="Q23">
            <v>1376550</v>
          </cell>
        </row>
        <row r="24">
          <cell r="E24">
            <v>24</v>
          </cell>
          <cell r="H24">
            <v>1</v>
          </cell>
          <cell r="K24">
            <v>12.167999999999999</v>
          </cell>
          <cell r="N24">
            <v>1</v>
          </cell>
          <cell r="Q24">
            <v>57.4</v>
          </cell>
        </row>
        <row r="25">
          <cell r="E25">
            <v>1</v>
          </cell>
          <cell r="H25">
            <v>1</v>
          </cell>
          <cell r="K25">
            <v>10.007999999999999</v>
          </cell>
          <cell r="N25">
            <v>1</v>
          </cell>
          <cell r="Q25">
            <v>831.8</v>
          </cell>
        </row>
        <row r="26">
          <cell r="E26">
            <v>1</v>
          </cell>
          <cell r="H26">
            <v>1</v>
          </cell>
          <cell r="K26">
            <v>1</v>
          </cell>
          <cell r="N26">
            <v>82.9</v>
          </cell>
          <cell r="Q26">
            <v>10018960</v>
          </cell>
        </row>
        <row r="27">
          <cell r="B27">
            <v>1359344473.5814338</v>
          </cell>
          <cell r="E27">
            <v>1.752</v>
          </cell>
          <cell r="H27">
            <v>1</v>
          </cell>
          <cell r="K27">
            <v>1</v>
          </cell>
          <cell r="N27">
            <v>84.7</v>
          </cell>
          <cell r="Q27">
            <v>33.700000000000003</v>
          </cell>
        </row>
        <row r="28">
          <cell r="B28">
            <v>4.6900000000000004</v>
          </cell>
          <cell r="E28">
            <v>16.416</v>
          </cell>
          <cell r="H28">
            <v>1</v>
          </cell>
          <cell r="N28">
            <v>1182020</v>
          </cell>
          <cell r="Q28">
            <v>92.5</v>
          </cell>
        </row>
        <row r="29">
          <cell r="B29">
            <v>11.32</v>
          </cell>
          <cell r="E29">
            <v>1</v>
          </cell>
          <cell r="H29">
            <v>1</v>
          </cell>
          <cell r="N29">
            <v>12</v>
          </cell>
          <cell r="Q29">
            <v>1171520</v>
          </cell>
        </row>
        <row r="30">
          <cell r="B30">
            <v>0.19400000000000001</v>
          </cell>
          <cell r="E30">
            <v>72.2</v>
          </cell>
          <cell r="H30">
            <v>1</v>
          </cell>
          <cell r="K30">
            <v>1.6000000000000001E-4</v>
          </cell>
          <cell r="N30">
            <v>39.299999999999997</v>
          </cell>
          <cell r="Q30">
            <v>0</v>
          </cell>
        </row>
        <row r="31">
          <cell r="B31">
            <v>0.5</v>
          </cell>
          <cell r="E31">
            <v>73.7</v>
          </cell>
          <cell r="H31">
            <v>1</v>
          </cell>
          <cell r="K31">
            <v>7.8999999999999996E-5</v>
          </cell>
          <cell r="N31">
            <v>492869.99999999994</v>
          </cell>
          <cell r="Q31">
            <v>0</v>
          </cell>
        </row>
        <row r="32">
          <cell r="B32">
            <v>93.773582452087695</v>
          </cell>
          <cell r="E32">
            <v>667520</v>
          </cell>
          <cell r="H32">
            <v>1</v>
          </cell>
          <cell r="K32">
            <v>1.3799999999999999E-4</v>
          </cell>
          <cell r="N32">
            <v>3.9</v>
          </cell>
        </row>
        <row r="33">
          <cell r="B33">
            <v>0.5</v>
          </cell>
          <cell r="E33">
            <v>12</v>
          </cell>
          <cell r="H33">
            <v>1</v>
          </cell>
          <cell r="K33">
            <v>1.66E-4</v>
          </cell>
          <cell r="N33">
            <v>33.9</v>
          </cell>
          <cell r="Q33">
            <v>0</v>
          </cell>
        </row>
        <row r="34">
          <cell r="B34">
            <v>16.2302</v>
          </cell>
          <cell r="E34">
            <v>39.299999999999997</v>
          </cell>
          <cell r="H34">
            <v>1</v>
          </cell>
          <cell r="K34">
            <v>1.01E-3</v>
          </cell>
          <cell r="N34">
            <v>411600</v>
          </cell>
          <cell r="Q34">
            <v>0</v>
          </cell>
        </row>
        <row r="35">
          <cell r="B35">
            <v>18.776199999999999</v>
          </cell>
          <cell r="E35">
            <v>300300</v>
          </cell>
          <cell r="H35">
            <v>1</v>
          </cell>
          <cell r="K35">
            <v>1.05E-4</v>
          </cell>
          <cell r="N35">
            <v>23.9</v>
          </cell>
        </row>
        <row r="36">
          <cell r="B36">
            <v>216.108</v>
          </cell>
          <cell r="E36">
            <v>3.9</v>
          </cell>
          <cell r="H36">
            <v>1</v>
          </cell>
          <cell r="K36">
            <v>9.7E-5</v>
          </cell>
          <cell r="N36">
            <v>35.4</v>
          </cell>
          <cell r="Q36">
            <v>0</v>
          </cell>
        </row>
        <row r="37">
          <cell r="E37">
            <v>33.9</v>
          </cell>
          <cell r="H37">
            <v>1</v>
          </cell>
          <cell r="K37">
            <v>1.5699999999999999E-4</v>
          </cell>
          <cell r="N37">
            <v>471450</v>
          </cell>
          <cell r="Q37">
            <v>0</v>
          </cell>
        </row>
        <row r="38">
          <cell r="E38">
            <v>245490</v>
          </cell>
          <cell r="H38">
            <v>1</v>
          </cell>
          <cell r="K38">
            <v>1.45E-4</v>
          </cell>
          <cell r="N38">
            <v>14.4</v>
          </cell>
        </row>
        <row r="39">
          <cell r="E39">
            <v>23.9</v>
          </cell>
          <cell r="H39">
            <v>1</v>
          </cell>
          <cell r="K39">
            <v>4.0000000000000003E-5</v>
          </cell>
          <cell r="N39">
            <v>35.299999999999997</v>
          </cell>
          <cell r="Q39">
            <v>0</v>
          </cell>
        </row>
        <row r="40">
          <cell r="E40">
            <v>35.4</v>
          </cell>
          <cell r="K40">
            <v>1.35E-2</v>
          </cell>
          <cell r="N40">
            <v>450309.99999999994</v>
          </cell>
          <cell r="Q40">
            <v>0</v>
          </cell>
        </row>
        <row r="41">
          <cell r="E41">
            <v>297990</v>
          </cell>
          <cell r="K41">
            <v>3.8300000000000001E-3</v>
          </cell>
          <cell r="N41">
            <v>11.5</v>
          </cell>
        </row>
        <row r="42">
          <cell r="E42">
            <v>13.1</v>
          </cell>
          <cell r="K42">
            <v>8.0000000000000007E-5</v>
          </cell>
          <cell r="N42">
            <v>85.7</v>
          </cell>
          <cell r="Q42">
            <v>92</v>
          </cell>
        </row>
        <row r="43">
          <cell r="E43">
            <v>32</v>
          </cell>
          <cell r="K43">
            <v>9.7E-5</v>
          </cell>
          <cell r="N43">
            <v>1043980</v>
          </cell>
          <cell r="Q43">
            <v>1.03</v>
          </cell>
        </row>
        <row r="44">
          <cell r="E44">
            <v>251510</v>
          </cell>
          <cell r="K44">
            <v>1.4999999999999999E-4</v>
          </cell>
          <cell r="N44">
            <v>13.3</v>
          </cell>
          <cell r="Q44">
            <v>20.3</v>
          </cell>
        </row>
        <row r="45">
          <cell r="E45">
            <v>12.3</v>
          </cell>
          <cell r="K45">
            <v>1.6000000000000001E-4</v>
          </cell>
          <cell r="N45">
            <v>24.4</v>
          </cell>
          <cell r="Q45">
            <v>0.4</v>
          </cell>
        </row>
        <row r="46">
          <cell r="E46">
            <v>92.1</v>
          </cell>
          <cell r="K46">
            <v>1.7799999999999999E-4</v>
          </cell>
          <cell r="N46">
            <v>318290</v>
          </cell>
          <cell r="Q46">
            <v>1</v>
          </cell>
        </row>
        <row r="47">
          <cell r="E47">
            <v>670530</v>
          </cell>
          <cell r="K47">
            <v>2.1000000000000001E-4</v>
          </cell>
          <cell r="N47">
            <v>46</v>
          </cell>
          <cell r="Q47">
            <v>1</v>
          </cell>
        </row>
        <row r="48">
          <cell r="E48">
            <v>14.9</v>
          </cell>
          <cell r="K48">
            <v>5.8E-5</v>
          </cell>
          <cell r="N48">
            <v>91.9</v>
          </cell>
          <cell r="Q48">
            <v>53</v>
          </cell>
        </row>
        <row r="49">
          <cell r="E49">
            <v>27.3</v>
          </cell>
          <cell r="K49">
            <v>5.0000000000000001E-3</v>
          </cell>
          <cell r="N49">
            <v>1190210</v>
          </cell>
          <cell r="Q49">
            <v>11.77</v>
          </cell>
        </row>
        <row r="50">
          <cell r="E50">
            <v>222390</v>
          </cell>
          <cell r="K50">
            <v>8.0000000000000007E-5</v>
          </cell>
          <cell r="N50">
            <v>194.4</v>
          </cell>
          <cell r="Q50">
            <v>0.5</v>
          </cell>
        </row>
        <row r="51">
          <cell r="E51">
            <v>46</v>
          </cell>
          <cell r="K51">
            <v>1.5900000000000001E-3</v>
          </cell>
          <cell r="N51">
            <v>309.39999999999998</v>
          </cell>
          <cell r="Q51">
            <v>1</v>
          </cell>
        </row>
        <row r="52">
          <cell r="E52">
            <v>91.9</v>
          </cell>
          <cell r="K52">
            <v>0.25</v>
          </cell>
          <cell r="N52">
            <v>4090099.9999999995</v>
          </cell>
          <cell r="Q52">
            <v>1</v>
          </cell>
        </row>
        <row r="53">
          <cell r="E53">
            <v>739900</v>
          </cell>
          <cell r="K53">
            <v>0.25</v>
          </cell>
          <cell r="N53">
            <v>32.700000000000003</v>
          </cell>
        </row>
        <row r="54">
          <cell r="E54">
            <v>194.1</v>
          </cell>
          <cell r="N54">
            <v>82</v>
          </cell>
        </row>
        <row r="55">
          <cell r="E55">
            <v>309.39999999999998</v>
          </cell>
          <cell r="N55">
            <v>1044470</v>
          </cell>
        </row>
        <row r="56">
          <cell r="E56">
            <v>2573410</v>
          </cell>
          <cell r="N56">
            <v>16.899999999999999</v>
          </cell>
        </row>
        <row r="57">
          <cell r="E57">
            <v>23.8</v>
          </cell>
          <cell r="N57">
            <v>54.9</v>
          </cell>
        </row>
        <row r="58">
          <cell r="E58">
            <v>59.8</v>
          </cell>
          <cell r="N58">
            <v>688800</v>
          </cell>
          <cell r="Q58">
            <v>0.4</v>
          </cell>
        </row>
        <row r="59">
          <cell r="E59">
            <v>468580</v>
          </cell>
          <cell r="N59">
            <v>4.2</v>
          </cell>
          <cell r="Q59">
            <v>0.2</v>
          </cell>
        </row>
        <row r="60">
          <cell r="E60">
            <v>25.4</v>
          </cell>
          <cell r="N60">
            <v>37.5</v>
          </cell>
          <cell r="Q60">
            <v>2.1999999999999999E-2</v>
          </cell>
        </row>
        <row r="61">
          <cell r="E61">
            <v>82.4</v>
          </cell>
          <cell r="N61">
            <v>455070</v>
          </cell>
          <cell r="Q61">
            <v>1</v>
          </cell>
        </row>
        <row r="62">
          <cell r="E62">
            <v>630140</v>
          </cell>
          <cell r="N62">
            <v>6.5</v>
          </cell>
          <cell r="Q62">
            <v>1</v>
          </cell>
        </row>
        <row r="63">
          <cell r="E63">
            <v>4.2</v>
          </cell>
          <cell r="N63">
            <v>33.799999999999997</v>
          </cell>
          <cell r="Q63">
            <v>11.4</v>
          </cell>
        </row>
        <row r="64">
          <cell r="E64">
            <v>37.5</v>
          </cell>
          <cell r="N64">
            <v>415869.99999999994</v>
          </cell>
          <cell r="Q64">
            <v>4.7</v>
          </cell>
        </row>
        <row r="65">
          <cell r="E65">
            <v>271320</v>
          </cell>
          <cell r="N65">
            <v>5.3</v>
          </cell>
          <cell r="Q65">
            <v>0.37</v>
          </cell>
        </row>
        <row r="66">
          <cell r="E66">
            <v>6.5</v>
          </cell>
          <cell r="N66">
            <v>30.2</v>
          </cell>
          <cell r="Q66">
            <v>1</v>
          </cell>
        </row>
        <row r="67">
          <cell r="E67">
            <v>33.799999999999997</v>
          </cell>
          <cell r="N67">
            <v>370510</v>
          </cell>
          <cell r="Q67">
            <v>1</v>
          </cell>
        </row>
        <row r="68">
          <cell r="E68">
            <v>250249.99999999997</v>
          </cell>
          <cell r="N68">
            <v>7.2</v>
          </cell>
          <cell r="Q68">
            <v>0.25</v>
          </cell>
        </row>
        <row r="69">
          <cell r="E69">
            <v>5.3</v>
          </cell>
          <cell r="N69">
            <v>27.2</v>
          </cell>
          <cell r="Q69">
            <v>0.25</v>
          </cell>
        </row>
        <row r="70">
          <cell r="E70">
            <v>30.2</v>
          </cell>
          <cell r="N70">
            <v>338800</v>
          </cell>
        </row>
        <row r="71">
          <cell r="E71">
            <v>222530</v>
          </cell>
          <cell r="N71">
            <v>99.3</v>
          </cell>
        </row>
        <row r="72">
          <cell r="E72">
            <v>5.8</v>
          </cell>
          <cell r="N72">
            <v>103.1</v>
          </cell>
        </row>
        <row r="73">
          <cell r="E73">
            <v>21.8</v>
          </cell>
          <cell r="N73">
            <v>1435420</v>
          </cell>
        </row>
        <row r="74">
          <cell r="E74">
            <v>164780</v>
          </cell>
          <cell r="N74">
            <v>76.900000000000006</v>
          </cell>
        </row>
        <row r="75">
          <cell r="E75">
            <v>111.4</v>
          </cell>
          <cell r="N75">
            <v>59.9</v>
          </cell>
        </row>
        <row r="76">
          <cell r="E76">
            <v>115.7</v>
          </cell>
          <cell r="N76">
            <v>874300</v>
          </cell>
        </row>
        <row r="77">
          <cell r="E77">
            <v>1043840</v>
          </cell>
          <cell r="N77">
            <v>28.7</v>
          </cell>
        </row>
        <row r="78">
          <cell r="E78">
            <v>66.7</v>
          </cell>
          <cell r="N78">
            <v>31.7</v>
          </cell>
        </row>
        <row r="79">
          <cell r="E79">
            <v>51.9</v>
          </cell>
          <cell r="N79">
            <v>437500</v>
          </cell>
        </row>
        <row r="80">
          <cell r="E80">
            <v>503370</v>
          </cell>
          <cell r="N80">
            <v>57.3</v>
          </cell>
        </row>
        <row r="81">
          <cell r="E81">
            <v>32.1</v>
          </cell>
          <cell r="N81">
            <v>141.80000000000001</v>
          </cell>
        </row>
        <row r="82">
          <cell r="E82">
            <v>35.4</v>
          </cell>
          <cell r="N82">
            <v>1807750.0000000002</v>
          </cell>
        </row>
        <row r="83">
          <cell r="E83">
            <v>315210</v>
          </cell>
          <cell r="N83">
            <v>45.2</v>
          </cell>
        </row>
        <row r="84">
          <cell r="E84">
            <v>51.7</v>
          </cell>
          <cell r="N84">
            <v>64.8</v>
          </cell>
        </row>
        <row r="85">
          <cell r="E85">
            <v>127.8</v>
          </cell>
          <cell r="N85">
            <v>866040</v>
          </cell>
        </row>
        <row r="86">
          <cell r="E86">
            <v>1003170</v>
          </cell>
          <cell r="N86">
            <v>34.799999999999997</v>
          </cell>
        </row>
        <row r="87">
          <cell r="E87">
            <v>45.2</v>
          </cell>
          <cell r="N87">
            <v>88.5</v>
          </cell>
        </row>
        <row r="88">
          <cell r="E88">
            <v>64.8</v>
          </cell>
          <cell r="N88">
            <v>1126230</v>
          </cell>
        </row>
        <row r="89">
          <cell r="E89">
            <v>548520</v>
          </cell>
          <cell r="N89">
            <v>27.5</v>
          </cell>
        </row>
        <row r="90">
          <cell r="E90">
            <v>28.8</v>
          </cell>
          <cell r="N90">
            <v>54.2</v>
          </cell>
        </row>
        <row r="91">
          <cell r="E91">
            <v>73.2</v>
          </cell>
          <cell r="N91">
            <v>702730</v>
          </cell>
        </row>
        <row r="92">
          <cell r="E92">
            <v>572880</v>
          </cell>
          <cell r="N92">
            <v>25.3</v>
          </cell>
        </row>
        <row r="93">
          <cell r="E93">
            <v>27.3</v>
          </cell>
          <cell r="N93">
            <v>40.5</v>
          </cell>
        </row>
        <row r="94">
          <cell r="E94">
            <v>53.9</v>
          </cell>
          <cell r="N94">
            <v>535080</v>
          </cell>
        </row>
        <row r="95">
          <cell r="E95">
            <v>434630</v>
          </cell>
          <cell r="N95">
            <v>34.9</v>
          </cell>
        </row>
        <row r="96">
          <cell r="E96">
            <v>25.3</v>
          </cell>
          <cell r="N96">
            <v>94.2</v>
          </cell>
        </row>
        <row r="97">
          <cell r="E97">
            <v>40.5</v>
          </cell>
          <cell r="N97">
            <v>1194270</v>
          </cell>
        </row>
        <row r="98">
          <cell r="E98">
            <v>336630</v>
          </cell>
        </row>
        <row r="99">
          <cell r="E99">
            <v>29.7</v>
          </cell>
        </row>
        <row r="100">
          <cell r="E100">
            <v>80.3</v>
          </cell>
        </row>
        <row r="101">
          <cell r="E101">
            <v>624470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1E-3</v>
          </cell>
          <cell r="E2">
            <v>5</v>
          </cell>
          <cell r="H2">
            <v>5</v>
          </cell>
          <cell r="K2">
            <v>5</v>
          </cell>
          <cell r="N2">
            <v>0.5</v>
          </cell>
          <cell r="Q2">
            <v>0.5</v>
          </cell>
        </row>
        <row r="3">
          <cell r="B3">
            <v>0.5</v>
          </cell>
          <cell r="E3">
            <v>15</v>
          </cell>
          <cell r="H3">
            <v>15</v>
          </cell>
          <cell r="K3">
            <v>15</v>
          </cell>
          <cell r="N3">
            <v>0.5</v>
          </cell>
          <cell r="Q3">
            <v>0.5</v>
          </cell>
        </row>
        <row r="4">
          <cell r="B4">
            <v>2</v>
          </cell>
          <cell r="E4">
            <v>20</v>
          </cell>
          <cell r="H4">
            <v>20</v>
          </cell>
          <cell r="K4">
            <v>20</v>
          </cell>
          <cell r="N4">
            <v>0.5</v>
          </cell>
          <cell r="Q4">
            <v>0.5</v>
          </cell>
        </row>
        <row r="5">
          <cell r="E5">
            <v>20</v>
          </cell>
          <cell r="H5">
            <v>20</v>
          </cell>
          <cell r="K5">
            <v>20</v>
          </cell>
          <cell r="N5">
            <v>0.5</v>
          </cell>
          <cell r="Q5">
            <v>0.5</v>
          </cell>
        </row>
        <row r="6">
          <cell r="B6">
            <v>2</v>
          </cell>
          <cell r="E6">
            <v>5</v>
          </cell>
          <cell r="H6">
            <v>5</v>
          </cell>
          <cell r="K6">
            <v>5</v>
          </cell>
          <cell r="N6">
            <v>0.5</v>
          </cell>
          <cell r="Q6">
            <v>0.5</v>
          </cell>
        </row>
        <row r="7">
          <cell r="B7">
            <v>5.5000000000000002E-5</v>
          </cell>
          <cell r="E7">
            <v>10</v>
          </cell>
          <cell r="H7">
            <v>10</v>
          </cell>
          <cell r="K7">
            <v>10</v>
          </cell>
          <cell r="N7">
            <v>0.5</v>
          </cell>
          <cell r="Q7">
            <v>0.5</v>
          </cell>
        </row>
        <row r="8">
          <cell r="B8">
            <v>5</v>
          </cell>
          <cell r="E8">
            <v>182.29166666666666</v>
          </cell>
          <cell r="H8">
            <v>182.29166666666666</v>
          </cell>
          <cell r="K8">
            <v>182.29166666666666</v>
          </cell>
          <cell r="N8">
            <v>0.5</v>
          </cell>
          <cell r="Q8">
            <v>0.5</v>
          </cell>
        </row>
        <row r="9">
          <cell r="B9">
            <v>0.5</v>
          </cell>
          <cell r="E9">
            <v>400</v>
          </cell>
          <cell r="H9">
            <v>400</v>
          </cell>
          <cell r="K9">
            <v>400</v>
          </cell>
          <cell r="N9">
            <v>0.5</v>
          </cell>
          <cell r="Q9">
            <v>0.5</v>
          </cell>
        </row>
        <row r="10">
          <cell r="B10">
            <v>5000</v>
          </cell>
          <cell r="E10">
            <v>55</v>
          </cell>
          <cell r="H10">
            <v>55</v>
          </cell>
          <cell r="K10">
            <v>55</v>
          </cell>
          <cell r="N10">
            <v>0.5</v>
          </cell>
          <cell r="Q10">
            <v>0.5</v>
          </cell>
        </row>
        <row r="11">
          <cell r="B11">
            <v>55</v>
          </cell>
          <cell r="E11">
            <v>55</v>
          </cell>
          <cell r="H11">
            <v>55</v>
          </cell>
          <cell r="K11">
            <v>55</v>
          </cell>
          <cell r="N11">
            <v>0.5</v>
          </cell>
          <cell r="Q11">
            <v>0.5</v>
          </cell>
        </row>
        <row r="12">
          <cell r="B12">
            <v>0.5</v>
          </cell>
          <cell r="E12">
            <v>5500</v>
          </cell>
          <cell r="H12">
            <v>5500</v>
          </cell>
          <cell r="K12">
            <v>5500</v>
          </cell>
          <cell r="N12">
            <v>0.5</v>
          </cell>
          <cell r="Q12">
            <v>55</v>
          </cell>
        </row>
        <row r="13">
          <cell r="B13">
            <v>55</v>
          </cell>
          <cell r="E13">
            <v>5</v>
          </cell>
          <cell r="H13">
            <v>2</v>
          </cell>
          <cell r="K13">
            <v>5</v>
          </cell>
          <cell r="N13">
            <v>0.5</v>
          </cell>
          <cell r="Q13">
            <v>55</v>
          </cell>
        </row>
        <row r="14">
          <cell r="B14">
            <v>5</v>
          </cell>
          <cell r="E14">
            <v>5</v>
          </cell>
          <cell r="H14">
            <v>2</v>
          </cell>
          <cell r="K14">
            <v>5</v>
          </cell>
          <cell r="N14">
            <v>0.5</v>
          </cell>
          <cell r="Q14">
            <v>5500</v>
          </cell>
        </row>
        <row r="15">
          <cell r="B15">
            <v>5</v>
          </cell>
          <cell r="E15">
            <v>500</v>
          </cell>
          <cell r="H15">
            <v>800</v>
          </cell>
          <cell r="K15">
            <v>500</v>
          </cell>
          <cell r="N15">
            <v>0.5</v>
          </cell>
          <cell r="Q15">
            <v>55</v>
          </cell>
        </row>
        <row r="16">
          <cell r="B16">
            <v>5</v>
          </cell>
          <cell r="E16">
            <v>55000</v>
          </cell>
          <cell r="H16">
            <v>2</v>
          </cell>
          <cell r="K16">
            <v>5</v>
          </cell>
          <cell r="N16">
            <v>0.5</v>
          </cell>
          <cell r="Q16">
            <v>55</v>
          </cell>
        </row>
        <row r="17">
          <cell r="B17">
            <v>2</v>
          </cell>
          <cell r="E17">
            <v>5</v>
          </cell>
          <cell r="H17">
            <v>2</v>
          </cell>
          <cell r="K17">
            <v>5</v>
          </cell>
          <cell r="N17">
            <v>0.5</v>
          </cell>
          <cell r="Q17">
            <v>5500</v>
          </cell>
        </row>
        <row r="18">
          <cell r="B18">
            <v>0.5</v>
          </cell>
          <cell r="E18">
            <v>5</v>
          </cell>
          <cell r="H18">
            <v>5</v>
          </cell>
          <cell r="K18">
            <v>5</v>
          </cell>
          <cell r="N18">
            <v>0.5</v>
          </cell>
          <cell r="Q18">
            <v>55</v>
          </cell>
        </row>
        <row r="19">
          <cell r="B19">
            <v>70</v>
          </cell>
          <cell r="E19">
            <v>5</v>
          </cell>
          <cell r="H19">
            <v>5</v>
          </cell>
          <cell r="K19">
            <v>5</v>
          </cell>
          <cell r="N19">
            <v>0.5</v>
          </cell>
          <cell r="Q19">
            <v>55</v>
          </cell>
        </row>
        <row r="20">
          <cell r="B20">
            <v>5</v>
          </cell>
          <cell r="E20">
            <v>2</v>
          </cell>
          <cell r="H20">
            <v>5</v>
          </cell>
          <cell r="K20">
            <v>5</v>
          </cell>
          <cell r="N20">
            <v>0.5</v>
          </cell>
          <cell r="Q20">
            <v>5500</v>
          </cell>
        </row>
        <row r="21">
          <cell r="B21">
            <v>2</v>
          </cell>
          <cell r="E21">
            <v>2</v>
          </cell>
          <cell r="H21">
            <v>5</v>
          </cell>
          <cell r="K21">
            <v>5</v>
          </cell>
          <cell r="N21">
            <v>0.5</v>
          </cell>
          <cell r="Q21">
            <v>55</v>
          </cell>
        </row>
        <row r="22">
          <cell r="B22">
            <v>0.5</v>
          </cell>
          <cell r="E22">
            <v>5</v>
          </cell>
          <cell r="H22">
            <v>5</v>
          </cell>
          <cell r="K22">
            <v>2</v>
          </cell>
          <cell r="N22">
            <v>0.5</v>
          </cell>
          <cell r="Q22">
            <v>55</v>
          </cell>
        </row>
        <row r="23">
          <cell r="B23">
            <v>2</v>
          </cell>
          <cell r="E23">
            <v>5</v>
          </cell>
          <cell r="H23">
            <v>5</v>
          </cell>
          <cell r="K23">
            <v>2</v>
          </cell>
          <cell r="N23">
            <v>0.5</v>
          </cell>
          <cell r="Q23">
            <v>5500</v>
          </cell>
        </row>
        <row r="24">
          <cell r="B24">
            <v>2</v>
          </cell>
          <cell r="E24">
            <v>5</v>
          </cell>
          <cell r="H24">
            <v>2</v>
          </cell>
          <cell r="K24">
            <v>10</v>
          </cell>
          <cell r="N24">
            <v>0.5</v>
          </cell>
          <cell r="Q24">
            <v>55</v>
          </cell>
        </row>
        <row r="25">
          <cell r="B25">
            <v>2</v>
          </cell>
          <cell r="E25">
            <v>2</v>
          </cell>
          <cell r="H25">
            <v>2</v>
          </cell>
          <cell r="K25">
            <v>5</v>
          </cell>
          <cell r="N25">
            <v>0.5</v>
          </cell>
          <cell r="Q25">
            <v>55</v>
          </cell>
        </row>
        <row r="26">
          <cell r="B26">
            <v>0.3092012558837392</v>
          </cell>
          <cell r="E26">
            <v>2</v>
          </cell>
          <cell r="H26">
            <v>2</v>
          </cell>
          <cell r="K26">
            <v>2</v>
          </cell>
          <cell r="N26">
            <v>55</v>
          </cell>
          <cell r="Q26">
            <v>5500</v>
          </cell>
        </row>
        <row r="27">
          <cell r="B27">
            <v>309803863.88015682</v>
          </cell>
          <cell r="E27">
            <v>5</v>
          </cell>
          <cell r="H27">
            <v>2</v>
          </cell>
          <cell r="K27">
            <v>2</v>
          </cell>
          <cell r="N27">
            <v>55</v>
          </cell>
          <cell r="Q27">
            <v>55</v>
          </cell>
        </row>
        <row r="28">
          <cell r="B28">
            <v>5</v>
          </cell>
          <cell r="E28">
            <v>10</v>
          </cell>
          <cell r="H28">
            <v>2</v>
          </cell>
          <cell r="N28">
            <v>5500</v>
          </cell>
          <cell r="Q28">
            <v>55</v>
          </cell>
        </row>
        <row r="29">
          <cell r="B29">
            <v>11.32</v>
          </cell>
          <cell r="E29">
            <v>0.5</v>
          </cell>
          <cell r="H29">
            <v>2</v>
          </cell>
          <cell r="N29">
            <v>55</v>
          </cell>
          <cell r="Q29">
            <v>5500</v>
          </cell>
        </row>
        <row r="30">
          <cell r="B30">
            <v>0.28539705780000002</v>
          </cell>
          <cell r="E30">
            <v>55</v>
          </cell>
          <cell r="H30">
            <v>2</v>
          </cell>
          <cell r="K30">
            <v>1.35E-2</v>
          </cell>
          <cell r="N30">
            <v>55</v>
          </cell>
          <cell r="Q30">
            <v>55</v>
          </cell>
        </row>
        <row r="31">
          <cell r="B31">
            <v>0.25</v>
          </cell>
          <cell r="E31">
            <v>55</v>
          </cell>
          <cell r="H31">
            <v>2</v>
          </cell>
          <cell r="K31">
            <v>1.35E-2</v>
          </cell>
          <cell r="N31">
            <v>5500</v>
          </cell>
          <cell r="Q31">
            <v>55</v>
          </cell>
        </row>
        <row r="32">
          <cell r="B32">
            <v>57.143694778447667</v>
          </cell>
          <cell r="E32">
            <v>5500</v>
          </cell>
          <cell r="H32">
            <v>2</v>
          </cell>
          <cell r="K32">
            <v>1.35E-2</v>
          </cell>
          <cell r="N32">
            <v>55</v>
          </cell>
          <cell r="Q32">
            <v>5500</v>
          </cell>
        </row>
        <row r="33">
          <cell r="B33">
            <v>5</v>
          </cell>
          <cell r="E33">
            <v>55</v>
          </cell>
          <cell r="H33">
            <v>2</v>
          </cell>
          <cell r="K33">
            <v>1.35E-2</v>
          </cell>
          <cell r="N33">
            <v>55</v>
          </cell>
          <cell r="Q33">
            <v>55</v>
          </cell>
        </row>
        <row r="34">
          <cell r="B34">
            <v>15.0235</v>
          </cell>
          <cell r="E34">
            <v>55</v>
          </cell>
          <cell r="H34">
            <v>2</v>
          </cell>
          <cell r="K34">
            <v>1.35E-2</v>
          </cell>
          <cell r="N34">
            <v>5500</v>
          </cell>
          <cell r="Q34">
            <v>55</v>
          </cell>
        </row>
        <row r="35">
          <cell r="B35">
            <v>18.252600000000001</v>
          </cell>
          <cell r="E35">
            <v>5500</v>
          </cell>
          <cell r="H35">
            <v>2</v>
          </cell>
          <cell r="K35">
            <v>1.35E-2</v>
          </cell>
          <cell r="N35">
            <v>55</v>
          </cell>
          <cell r="Q35">
            <v>5500</v>
          </cell>
        </row>
        <row r="36">
          <cell r="B36">
            <v>207.33869999999999</v>
          </cell>
          <cell r="E36">
            <v>55</v>
          </cell>
          <cell r="H36">
            <v>2</v>
          </cell>
          <cell r="K36">
            <v>1.35E-2</v>
          </cell>
          <cell r="N36">
            <v>55</v>
          </cell>
          <cell r="Q36">
            <v>55</v>
          </cell>
        </row>
        <row r="37">
          <cell r="E37">
            <v>55</v>
          </cell>
          <cell r="H37">
            <v>2</v>
          </cell>
          <cell r="K37">
            <v>1.35E-2</v>
          </cell>
          <cell r="N37">
            <v>5500</v>
          </cell>
          <cell r="Q37">
            <v>55</v>
          </cell>
        </row>
        <row r="38">
          <cell r="B38">
            <v>5</v>
          </cell>
          <cell r="E38">
            <v>5500</v>
          </cell>
          <cell r="H38">
            <v>0.5</v>
          </cell>
          <cell r="K38">
            <v>1.35E-2</v>
          </cell>
          <cell r="N38">
            <v>55</v>
          </cell>
          <cell r="Q38">
            <v>5500</v>
          </cell>
        </row>
        <row r="39">
          <cell r="E39">
            <v>55</v>
          </cell>
          <cell r="H39">
            <v>0.5</v>
          </cell>
          <cell r="K39">
            <v>1.35E-2</v>
          </cell>
          <cell r="N39">
            <v>55</v>
          </cell>
          <cell r="Q39">
            <v>55</v>
          </cell>
        </row>
        <row r="40">
          <cell r="E40">
            <v>55</v>
          </cell>
          <cell r="K40">
            <v>1.35E-2</v>
          </cell>
          <cell r="N40">
            <v>5500</v>
          </cell>
          <cell r="Q40">
            <v>55</v>
          </cell>
        </row>
        <row r="41">
          <cell r="E41">
            <v>5500</v>
          </cell>
          <cell r="K41">
            <v>1.35E-2</v>
          </cell>
          <cell r="N41">
            <v>55</v>
          </cell>
          <cell r="Q41">
            <v>5500</v>
          </cell>
        </row>
        <row r="42">
          <cell r="E42">
            <v>55</v>
          </cell>
          <cell r="K42">
            <v>1.35E-2</v>
          </cell>
          <cell r="N42">
            <v>55</v>
          </cell>
          <cell r="Q42">
            <v>5</v>
          </cell>
        </row>
        <row r="43">
          <cell r="E43">
            <v>55</v>
          </cell>
          <cell r="K43">
            <v>1.35E-2</v>
          </cell>
          <cell r="N43">
            <v>5500</v>
          </cell>
          <cell r="Q43">
            <v>1.03</v>
          </cell>
        </row>
        <row r="44">
          <cell r="E44">
            <v>5500</v>
          </cell>
          <cell r="K44">
            <v>1.35E-2</v>
          </cell>
          <cell r="N44">
            <v>55</v>
          </cell>
          <cell r="Q44">
            <v>5</v>
          </cell>
        </row>
        <row r="45">
          <cell r="E45">
            <v>55</v>
          </cell>
          <cell r="K45">
            <v>1.35E-2</v>
          </cell>
          <cell r="N45">
            <v>55</v>
          </cell>
          <cell r="Q45">
            <v>5</v>
          </cell>
        </row>
        <row r="46">
          <cell r="E46">
            <v>55</v>
          </cell>
          <cell r="K46">
            <v>1.35E-2</v>
          </cell>
          <cell r="N46">
            <v>5500</v>
          </cell>
          <cell r="Q46">
            <v>5</v>
          </cell>
        </row>
        <row r="47">
          <cell r="E47">
            <v>5500</v>
          </cell>
          <cell r="K47">
            <v>1.35E-2</v>
          </cell>
          <cell r="N47">
            <v>55</v>
          </cell>
          <cell r="Q47">
            <v>5</v>
          </cell>
        </row>
        <row r="48">
          <cell r="E48">
            <v>55</v>
          </cell>
          <cell r="K48">
            <v>1.35E-2</v>
          </cell>
          <cell r="N48">
            <v>55</v>
          </cell>
          <cell r="Q48">
            <v>5</v>
          </cell>
        </row>
        <row r="49">
          <cell r="E49">
            <v>55</v>
          </cell>
          <cell r="K49">
            <v>1.35E-2</v>
          </cell>
          <cell r="N49">
            <v>5500</v>
          </cell>
          <cell r="Q49">
            <v>5</v>
          </cell>
        </row>
        <row r="50">
          <cell r="E50">
            <v>5500</v>
          </cell>
          <cell r="K50">
            <v>1.35E-2</v>
          </cell>
          <cell r="N50">
            <v>55</v>
          </cell>
          <cell r="Q50">
            <v>5</v>
          </cell>
        </row>
        <row r="51">
          <cell r="E51">
            <v>55</v>
          </cell>
          <cell r="K51">
            <v>1.35E-2</v>
          </cell>
          <cell r="N51">
            <v>55</v>
          </cell>
          <cell r="Q51">
            <v>5</v>
          </cell>
        </row>
        <row r="52">
          <cell r="E52">
            <v>55</v>
          </cell>
          <cell r="K52">
            <v>1.35E-2</v>
          </cell>
          <cell r="N52">
            <v>5500</v>
          </cell>
          <cell r="Q52">
            <v>5</v>
          </cell>
        </row>
        <row r="53">
          <cell r="E53">
            <v>5500</v>
          </cell>
          <cell r="K53">
            <v>1.35E-2</v>
          </cell>
          <cell r="N53">
            <v>55</v>
          </cell>
          <cell r="Q53">
            <v>5</v>
          </cell>
        </row>
        <row r="54">
          <cell r="E54">
            <v>55</v>
          </cell>
          <cell r="N54">
            <v>55</v>
          </cell>
          <cell r="Q54">
            <v>5</v>
          </cell>
        </row>
        <row r="55">
          <cell r="E55">
            <v>55</v>
          </cell>
          <cell r="N55">
            <v>5500</v>
          </cell>
        </row>
        <row r="56">
          <cell r="E56">
            <v>5500</v>
          </cell>
          <cell r="N56">
            <v>55</v>
          </cell>
          <cell r="Q56">
            <v>5</v>
          </cell>
        </row>
        <row r="57">
          <cell r="E57">
            <v>55</v>
          </cell>
          <cell r="N57">
            <v>55</v>
          </cell>
          <cell r="Q57">
            <v>5</v>
          </cell>
        </row>
        <row r="58">
          <cell r="E58">
            <v>55</v>
          </cell>
          <cell r="N58">
            <v>5500</v>
          </cell>
          <cell r="Q58">
            <v>5</v>
          </cell>
        </row>
        <row r="59">
          <cell r="E59">
            <v>5500</v>
          </cell>
          <cell r="N59">
            <v>55</v>
          </cell>
          <cell r="Q59">
            <v>5</v>
          </cell>
        </row>
        <row r="60">
          <cell r="E60">
            <v>55</v>
          </cell>
          <cell r="N60">
            <v>55</v>
          </cell>
          <cell r="Q60">
            <v>5</v>
          </cell>
        </row>
        <row r="61">
          <cell r="E61">
            <v>55</v>
          </cell>
          <cell r="N61">
            <v>5500</v>
          </cell>
          <cell r="Q61">
            <v>5</v>
          </cell>
        </row>
        <row r="62">
          <cell r="E62">
            <v>5500</v>
          </cell>
          <cell r="N62">
            <v>55</v>
          </cell>
          <cell r="Q62">
            <v>5</v>
          </cell>
        </row>
        <row r="63">
          <cell r="E63">
            <v>55</v>
          </cell>
          <cell r="N63">
            <v>55</v>
          </cell>
          <cell r="Q63">
            <v>5</v>
          </cell>
        </row>
        <row r="64">
          <cell r="E64">
            <v>55</v>
          </cell>
          <cell r="N64">
            <v>5500</v>
          </cell>
          <cell r="Q64">
            <v>5</v>
          </cell>
        </row>
        <row r="65">
          <cell r="E65">
            <v>5500</v>
          </cell>
          <cell r="N65">
            <v>55</v>
          </cell>
          <cell r="Q65">
            <v>5</v>
          </cell>
        </row>
        <row r="66">
          <cell r="E66">
            <v>55</v>
          </cell>
          <cell r="N66">
            <v>55</v>
          </cell>
          <cell r="Q66">
            <v>5</v>
          </cell>
        </row>
        <row r="67">
          <cell r="E67">
            <v>55</v>
          </cell>
          <cell r="N67">
            <v>5500</v>
          </cell>
          <cell r="Q67">
            <v>5</v>
          </cell>
        </row>
        <row r="68">
          <cell r="E68">
            <v>5500</v>
          </cell>
          <cell r="N68">
            <v>55</v>
          </cell>
          <cell r="Q68">
            <v>0.5</v>
          </cell>
        </row>
        <row r="69">
          <cell r="E69">
            <v>55</v>
          </cell>
          <cell r="N69">
            <v>55</v>
          </cell>
          <cell r="Q69">
            <v>0.5</v>
          </cell>
        </row>
        <row r="70">
          <cell r="E70">
            <v>55</v>
          </cell>
          <cell r="N70">
            <v>5500</v>
          </cell>
          <cell r="Q70">
            <v>5</v>
          </cell>
        </row>
        <row r="71">
          <cell r="E71">
            <v>5500</v>
          </cell>
          <cell r="N71">
            <v>55</v>
          </cell>
          <cell r="Q71">
            <v>5</v>
          </cell>
        </row>
        <row r="72">
          <cell r="E72">
            <v>55</v>
          </cell>
          <cell r="N72">
            <v>55</v>
          </cell>
          <cell r="Q72">
            <v>5</v>
          </cell>
        </row>
        <row r="73">
          <cell r="E73">
            <v>55</v>
          </cell>
          <cell r="N73">
            <v>5500</v>
          </cell>
          <cell r="Q73">
            <v>5</v>
          </cell>
        </row>
        <row r="74">
          <cell r="E74">
            <v>5500</v>
          </cell>
          <cell r="N74">
            <v>55</v>
          </cell>
          <cell r="Q74">
            <v>5</v>
          </cell>
        </row>
        <row r="75">
          <cell r="E75">
            <v>55</v>
          </cell>
          <cell r="N75">
            <v>55</v>
          </cell>
          <cell r="Q75">
            <v>5</v>
          </cell>
        </row>
        <row r="76">
          <cell r="E76">
            <v>55</v>
          </cell>
          <cell r="N76">
            <v>5500</v>
          </cell>
          <cell r="Q76">
            <v>5</v>
          </cell>
        </row>
        <row r="77">
          <cell r="E77">
            <v>5500</v>
          </cell>
          <cell r="N77">
            <v>55</v>
          </cell>
          <cell r="Q77">
            <v>5</v>
          </cell>
        </row>
        <row r="78">
          <cell r="E78">
            <v>55</v>
          </cell>
          <cell r="N78">
            <v>55</v>
          </cell>
          <cell r="Q78">
            <v>5</v>
          </cell>
        </row>
        <row r="79">
          <cell r="E79">
            <v>55</v>
          </cell>
          <cell r="N79">
            <v>5500</v>
          </cell>
          <cell r="Q79">
            <v>5</v>
          </cell>
        </row>
        <row r="80">
          <cell r="E80">
            <v>5500</v>
          </cell>
          <cell r="N80">
            <v>55</v>
          </cell>
          <cell r="Q80">
            <v>5</v>
          </cell>
        </row>
        <row r="81">
          <cell r="E81">
            <v>55</v>
          </cell>
          <cell r="N81">
            <v>55</v>
          </cell>
          <cell r="Q81">
            <v>5</v>
          </cell>
        </row>
        <row r="82">
          <cell r="E82">
            <v>55</v>
          </cell>
          <cell r="N82">
            <v>5500</v>
          </cell>
          <cell r="Q82">
            <v>5</v>
          </cell>
        </row>
        <row r="83">
          <cell r="E83">
            <v>5500</v>
          </cell>
          <cell r="N83">
            <v>55</v>
          </cell>
          <cell r="Q83">
            <v>5</v>
          </cell>
        </row>
        <row r="84">
          <cell r="E84">
            <v>55</v>
          </cell>
          <cell r="N84">
            <v>55</v>
          </cell>
          <cell r="Q84">
            <v>5</v>
          </cell>
        </row>
        <row r="85">
          <cell r="E85">
            <v>55</v>
          </cell>
          <cell r="N85">
            <v>5500</v>
          </cell>
          <cell r="Q85">
            <v>5</v>
          </cell>
        </row>
        <row r="86">
          <cell r="E86">
            <v>5500</v>
          </cell>
          <cell r="N86">
            <v>55</v>
          </cell>
          <cell r="Q86">
            <v>5</v>
          </cell>
        </row>
        <row r="87">
          <cell r="E87">
            <v>55</v>
          </cell>
          <cell r="N87">
            <v>55</v>
          </cell>
          <cell r="Q87">
            <v>5</v>
          </cell>
        </row>
        <row r="88">
          <cell r="E88">
            <v>55</v>
          </cell>
          <cell r="N88">
            <v>5500</v>
          </cell>
          <cell r="Q88">
            <v>5</v>
          </cell>
        </row>
        <row r="89">
          <cell r="E89">
            <v>5500</v>
          </cell>
          <cell r="N89">
            <v>55</v>
          </cell>
          <cell r="Q89">
            <v>5</v>
          </cell>
        </row>
        <row r="90">
          <cell r="E90">
            <v>55</v>
          </cell>
          <cell r="N90">
            <v>55</v>
          </cell>
        </row>
        <row r="91">
          <cell r="E91">
            <v>55</v>
          </cell>
          <cell r="N91">
            <v>5500</v>
          </cell>
        </row>
        <row r="92">
          <cell r="E92">
            <v>5500</v>
          </cell>
          <cell r="N92">
            <v>55</v>
          </cell>
        </row>
        <row r="93">
          <cell r="E93">
            <v>55</v>
          </cell>
          <cell r="N93">
            <v>55</v>
          </cell>
        </row>
        <row r="94">
          <cell r="E94">
            <v>55</v>
          </cell>
          <cell r="N94">
            <v>5500</v>
          </cell>
        </row>
        <row r="95">
          <cell r="E95">
            <v>5500</v>
          </cell>
          <cell r="N95">
            <v>55</v>
          </cell>
        </row>
        <row r="96">
          <cell r="E96">
            <v>55</v>
          </cell>
          <cell r="N96">
            <v>55</v>
          </cell>
        </row>
        <row r="97">
          <cell r="E97">
            <v>55</v>
          </cell>
          <cell r="N97">
            <v>5500</v>
          </cell>
        </row>
        <row r="98">
          <cell r="E98">
            <v>5500</v>
          </cell>
        </row>
        <row r="99">
          <cell r="E99">
            <v>55</v>
          </cell>
        </row>
        <row r="100">
          <cell r="E100">
            <v>55</v>
          </cell>
        </row>
        <row r="101">
          <cell r="E101">
            <v>5500</v>
          </cell>
        </row>
      </sheetData>
      <sheetData sheetId="23"/>
      <sheetData sheetId="24"/>
      <sheetData sheetId="25"/>
      <sheetData sheetId="26"/>
      <sheetData sheetId="27"/>
      <sheetData sheetId="28"/>
      <sheetData sheetId="29"/>
      <sheetData sheetId="30"/>
      <sheetData sheetId="31"/>
      <sheetData sheetId="32"/>
    </sheetDataSet>
  </externalBook>
</externalLink>
</file>

<file path=xl/persons/person.xml><?xml version="1.0" encoding="utf-8"?>
<personList xmlns="http://schemas.microsoft.com/office/spreadsheetml/2018/threadedcomments" xmlns:x="http://schemas.openxmlformats.org/spreadsheetml/2006/main">
  <person displayName="Manning, Karessa" id="{0E7EE78B-661A-4AAF-99B3-A8036167D23D}" userId="S::k21@ornl.gov::61f50f5c-9652-42a7-8131-02bbd1db80b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 dT="2021-04-21T18:21:18.12" personId="{0E7EE78B-661A-4AAF-99B3-A8036167D23D}" id="{2CE6D14A-524B-4529-94FA-D8FEC90628C4}">
    <text>AEQ based on ACH of 5</text>
  </threadedComment>
</ThreadedComments>
</file>

<file path=xl/threadedComments/threadedComment2.xml><?xml version="1.0" encoding="utf-8"?>
<ThreadedComments xmlns="http://schemas.microsoft.com/office/spreadsheetml/2018/threadedcomments" xmlns:x="http://schemas.openxmlformats.org/spreadsheetml/2006/main">
  <threadedComment ref="D1" dT="2021-04-21T18:21:18.12" personId="{0E7EE78B-661A-4AAF-99B3-A8036167D23D}" id="{165EF534-4BF2-4E29-9565-8DFA50480CB7}">
    <text>AEQ based on ACH of 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E036-FF7A-4FF4-8B94-47CD0C2C3D3F}">
  <sheetPr codeName="Sheet1"/>
  <dimension ref="B1:N35"/>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RowHeight="12.75" x14ac:dyDescent="0.2"/>
  <cols>
    <col min="1" max="1" width="9.140625" style="22"/>
    <col min="2" max="2" width="159.140625" style="36" bestFit="1" customWidth="1"/>
    <col min="3" max="257" width="9.140625" style="22"/>
    <col min="258" max="258" width="118.85546875" style="22" bestFit="1" customWidth="1"/>
    <col min="259" max="513" width="9.140625" style="22"/>
    <col min="514" max="514" width="118.85546875" style="22" bestFit="1" customWidth="1"/>
    <col min="515" max="769" width="9.140625" style="22"/>
    <col min="770" max="770" width="118.85546875" style="22" bestFit="1" customWidth="1"/>
    <col min="771" max="1025" width="9.140625" style="22"/>
    <col min="1026" max="1026" width="118.85546875" style="22" bestFit="1" customWidth="1"/>
    <col min="1027" max="1281" width="9.140625" style="22"/>
    <col min="1282" max="1282" width="118.85546875" style="22" bestFit="1" customWidth="1"/>
    <col min="1283" max="1537" width="9.140625" style="22"/>
    <col min="1538" max="1538" width="118.85546875" style="22" bestFit="1" customWidth="1"/>
    <col min="1539" max="1793" width="9.140625" style="22"/>
    <col min="1794" max="1794" width="118.85546875" style="22" bestFit="1" customWidth="1"/>
    <col min="1795" max="2049" width="9.140625" style="22"/>
    <col min="2050" max="2050" width="118.85546875" style="22" bestFit="1" customWidth="1"/>
    <col min="2051" max="2305" width="9.140625" style="22"/>
    <col min="2306" max="2306" width="118.85546875" style="22" bestFit="1" customWidth="1"/>
    <col min="2307" max="2561" width="9.140625" style="22"/>
    <col min="2562" max="2562" width="118.85546875" style="22" bestFit="1" customWidth="1"/>
    <col min="2563" max="2817" width="9.140625" style="22"/>
    <col min="2818" max="2818" width="118.85546875" style="22" bestFit="1" customWidth="1"/>
    <col min="2819" max="3073" width="9.140625" style="22"/>
    <col min="3074" max="3074" width="118.85546875" style="22" bestFit="1" customWidth="1"/>
    <col min="3075" max="3329" width="9.140625" style="22"/>
    <col min="3330" max="3330" width="118.85546875" style="22" bestFit="1" customWidth="1"/>
    <col min="3331" max="3585" width="9.140625" style="22"/>
    <col min="3586" max="3586" width="118.85546875" style="22" bestFit="1" customWidth="1"/>
    <col min="3587" max="3841" width="9.140625" style="22"/>
    <col min="3842" max="3842" width="118.85546875" style="22" bestFit="1" customWidth="1"/>
    <col min="3843" max="4097" width="9.140625" style="22"/>
    <col min="4098" max="4098" width="118.85546875" style="22" bestFit="1" customWidth="1"/>
    <col min="4099" max="4353" width="9.140625" style="22"/>
    <col min="4354" max="4354" width="118.85546875" style="22" bestFit="1" customWidth="1"/>
    <col min="4355" max="4609" width="9.140625" style="22"/>
    <col min="4610" max="4610" width="118.85546875" style="22" bestFit="1" customWidth="1"/>
    <col min="4611" max="4865" width="9.140625" style="22"/>
    <col min="4866" max="4866" width="118.85546875" style="22" bestFit="1" customWidth="1"/>
    <col min="4867" max="5121" width="9.140625" style="22"/>
    <col min="5122" max="5122" width="118.85546875" style="22" bestFit="1" customWidth="1"/>
    <col min="5123" max="5377" width="9.140625" style="22"/>
    <col min="5378" max="5378" width="118.85546875" style="22" bestFit="1" customWidth="1"/>
    <col min="5379" max="5633" width="9.140625" style="22"/>
    <col min="5634" max="5634" width="118.85546875" style="22" bestFit="1" customWidth="1"/>
    <col min="5635" max="5889" width="9.140625" style="22"/>
    <col min="5890" max="5890" width="118.85546875" style="22" bestFit="1" customWidth="1"/>
    <col min="5891" max="6145" width="9.140625" style="22"/>
    <col min="6146" max="6146" width="118.85546875" style="22" bestFit="1" customWidth="1"/>
    <col min="6147" max="6401" width="9.140625" style="22"/>
    <col min="6402" max="6402" width="118.85546875" style="22" bestFit="1" customWidth="1"/>
    <col min="6403" max="6657" width="9.140625" style="22"/>
    <col min="6658" max="6658" width="118.85546875" style="22" bestFit="1" customWidth="1"/>
    <col min="6659" max="6913" width="9.140625" style="22"/>
    <col min="6914" max="6914" width="118.85546875" style="22" bestFit="1" customWidth="1"/>
    <col min="6915" max="7169" width="9.140625" style="22"/>
    <col min="7170" max="7170" width="118.85546875" style="22" bestFit="1" customWidth="1"/>
    <col min="7171" max="7425" width="9.140625" style="22"/>
    <col min="7426" max="7426" width="118.85546875" style="22" bestFit="1" customWidth="1"/>
    <col min="7427" max="7681" width="9.140625" style="22"/>
    <col min="7682" max="7682" width="118.85546875" style="22" bestFit="1" customWidth="1"/>
    <col min="7683" max="7937" width="9.140625" style="22"/>
    <col min="7938" max="7938" width="118.85546875" style="22" bestFit="1" customWidth="1"/>
    <col min="7939" max="8193" width="9.140625" style="22"/>
    <col min="8194" max="8194" width="118.85546875" style="22" bestFit="1" customWidth="1"/>
    <col min="8195" max="8449" width="9.140625" style="22"/>
    <col min="8450" max="8450" width="118.85546875" style="22" bestFit="1" customWidth="1"/>
    <col min="8451" max="8705" width="9.140625" style="22"/>
    <col min="8706" max="8706" width="118.85546875" style="22" bestFit="1" customWidth="1"/>
    <col min="8707" max="8961" width="9.140625" style="22"/>
    <col min="8962" max="8962" width="118.85546875" style="22" bestFit="1" customWidth="1"/>
    <col min="8963" max="9217" width="9.140625" style="22"/>
    <col min="9218" max="9218" width="118.85546875" style="22" bestFit="1" customWidth="1"/>
    <col min="9219" max="9473" width="9.140625" style="22"/>
    <col min="9474" max="9474" width="118.85546875" style="22" bestFit="1" customWidth="1"/>
    <col min="9475" max="9729" width="9.140625" style="22"/>
    <col min="9730" max="9730" width="118.85546875" style="22" bestFit="1" customWidth="1"/>
    <col min="9731" max="9985" width="9.140625" style="22"/>
    <col min="9986" max="9986" width="118.85546875" style="22" bestFit="1" customWidth="1"/>
    <col min="9987" max="10241" width="9.140625" style="22"/>
    <col min="10242" max="10242" width="118.85546875" style="22" bestFit="1" customWidth="1"/>
    <col min="10243" max="10497" width="9.140625" style="22"/>
    <col min="10498" max="10498" width="118.85546875" style="22" bestFit="1" customWidth="1"/>
    <col min="10499" max="10753" width="9.140625" style="22"/>
    <col min="10754" max="10754" width="118.85546875" style="22" bestFit="1" customWidth="1"/>
    <col min="10755" max="11009" width="9.140625" style="22"/>
    <col min="11010" max="11010" width="118.85546875" style="22" bestFit="1" customWidth="1"/>
    <col min="11011" max="11265" width="9.140625" style="22"/>
    <col min="11266" max="11266" width="118.85546875" style="22" bestFit="1" customWidth="1"/>
    <col min="11267" max="11521" width="9.140625" style="22"/>
    <col min="11522" max="11522" width="118.85546875" style="22" bestFit="1" customWidth="1"/>
    <col min="11523" max="11777" width="9.140625" style="22"/>
    <col min="11778" max="11778" width="118.85546875" style="22" bestFit="1" customWidth="1"/>
    <col min="11779" max="12033" width="9.140625" style="22"/>
    <col min="12034" max="12034" width="118.85546875" style="22" bestFit="1" customWidth="1"/>
    <col min="12035" max="12289" width="9.140625" style="22"/>
    <col min="12290" max="12290" width="118.85546875" style="22" bestFit="1" customWidth="1"/>
    <col min="12291" max="12545" width="9.140625" style="22"/>
    <col min="12546" max="12546" width="118.85546875" style="22" bestFit="1" customWidth="1"/>
    <col min="12547" max="12801" width="9.140625" style="22"/>
    <col min="12802" max="12802" width="118.85546875" style="22" bestFit="1" customWidth="1"/>
    <col min="12803" max="13057" width="9.140625" style="22"/>
    <col min="13058" max="13058" width="118.85546875" style="22" bestFit="1" customWidth="1"/>
    <col min="13059" max="13313" width="9.140625" style="22"/>
    <col min="13314" max="13314" width="118.85546875" style="22" bestFit="1" customWidth="1"/>
    <col min="13315" max="13569" width="9.140625" style="22"/>
    <col min="13570" max="13570" width="118.85546875" style="22" bestFit="1" customWidth="1"/>
    <col min="13571" max="13825" width="9.140625" style="22"/>
    <col min="13826" max="13826" width="118.85546875" style="22" bestFit="1" customWidth="1"/>
    <col min="13827" max="14081" width="9.140625" style="22"/>
    <col min="14082" max="14082" width="118.85546875" style="22" bestFit="1" customWidth="1"/>
    <col min="14083" max="14337" width="9.140625" style="22"/>
    <col min="14338" max="14338" width="118.85546875" style="22" bestFit="1" customWidth="1"/>
    <col min="14339" max="14593" width="9.140625" style="22"/>
    <col min="14594" max="14594" width="118.85546875" style="22" bestFit="1" customWidth="1"/>
    <col min="14595" max="14849" width="9.140625" style="22"/>
    <col min="14850" max="14850" width="118.85546875" style="22" bestFit="1" customWidth="1"/>
    <col min="14851" max="15105" width="9.140625" style="22"/>
    <col min="15106" max="15106" width="118.85546875" style="22" bestFit="1" customWidth="1"/>
    <col min="15107" max="15361" width="9.140625" style="22"/>
    <col min="15362" max="15362" width="118.85546875" style="22" bestFit="1" customWidth="1"/>
    <col min="15363" max="15617" width="9.140625" style="22"/>
    <col min="15618" max="15618" width="118.85546875" style="22" bestFit="1" customWidth="1"/>
    <col min="15619" max="15873" width="9.140625" style="22"/>
    <col min="15874" max="15874" width="118.85546875" style="22" bestFit="1" customWidth="1"/>
    <col min="15875" max="16129" width="9.140625" style="22"/>
    <col min="16130" max="16130" width="118.85546875" style="22" bestFit="1" customWidth="1"/>
    <col min="16131" max="16384" width="9.140625" style="22"/>
  </cols>
  <sheetData>
    <row r="1" spans="2:14" ht="28.5" thickBot="1" x14ac:dyDescent="0.25">
      <c r="B1" s="20" t="s">
        <v>1131</v>
      </c>
      <c r="C1" s="21"/>
      <c r="D1" s="21"/>
      <c r="E1" s="21"/>
      <c r="F1" s="21"/>
      <c r="G1" s="21"/>
      <c r="H1" s="21"/>
      <c r="I1" s="21"/>
      <c r="J1" s="21"/>
      <c r="K1" s="21"/>
      <c r="L1" s="21"/>
      <c r="M1" s="21"/>
      <c r="N1" s="21"/>
    </row>
    <row r="2" spans="2:14" ht="48" thickBot="1" x14ac:dyDescent="0.3">
      <c r="B2" s="187" t="s">
        <v>1254</v>
      </c>
      <c r="C2" s="23"/>
      <c r="D2" s="23"/>
      <c r="E2" s="23"/>
      <c r="F2" s="23"/>
      <c r="G2" s="23"/>
      <c r="H2" s="23"/>
      <c r="I2" s="23"/>
      <c r="J2" s="23"/>
      <c r="K2" s="23"/>
      <c r="L2" s="23"/>
      <c r="M2" s="23"/>
      <c r="N2" s="23"/>
    </row>
    <row r="3" spans="2:14" ht="15" x14ac:dyDescent="0.25">
      <c r="B3" s="24"/>
      <c r="C3" s="23"/>
      <c r="D3" s="23"/>
      <c r="E3" s="23"/>
      <c r="F3" s="23"/>
      <c r="G3" s="23"/>
      <c r="H3" s="23"/>
      <c r="I3" s="23"/>
      <c r="J3" s="23"/>
      <c r="K3" s="23"/>
      <c r="L3" s="23"/>
      <c r="M3" s="23"/>
      <c r="N3" s="23"/>
    </row>
    <row r="4" spans="2:14" ht="60.75" x14ac:dyDescent="0.25">
      <c r="B4" s="25" t="s">
        <v>1148</v>
      </c>
      <c r="C4" s="23"/>
      <c r="D4" s="23"/>
      <c r="E4" s="23"/>
      <c r="F4" s="23"/>
      <c r="G4" s="23"/>
      <c r="H4" s="23"/>
      <c r="I4" s="23"/>
      <c r="J4" s="23"/>
      <c r="K4" s="23"/>
      <c r="L4" s="23"/>
      <c r="M4" s="23"/>
      <c r="N4" s="23"/>
    </row>
    <row r="6" spans="2:14" ht="16.5" thickBot="1" x14ac:dyDescent="0.3">
      <c r="B6" s="26" t="s">
        <v>1132</v>
      </c>
    </row>
    <row r="7" spans="2:14" ht="45" x14ac:dyDescent="0.25">
      <c r="B7" s="27" t="s">
        <v>1144</v>
      </c>
      <c r="C7" s="28"/>
      <c r="D7" s="28"/>
      <c r="E7" s="28"/>
      <c r="F7" s="28"/>
      <c r="G7" s="28"/>
      <c r="H7" s="28"/>
      <c r="I7" s="28"/>
      <c r="J7" s="28"/>
      <c r="K7" s="28"/>
      <c r="L7" s="28"/>
      <c r="M7" s="28"/>
      <c r="N7" s="28"/>
    </row>
    <row r="8" spans="2:14" ht="15" x14ac:dyDescent="0.25">
      <c r="B8" s="29"/>
    </row>
    <row r="9" spans="2:14" ht="14.25" x14ac:dyDescent="0.2">
      <c r="B9" s="30" t="s">
        <v>1133</v>
      </c>
    </row>
    <row r="10" spans="2:14" ht="14.25" x14ac:dyDescent="0.2">
      <c r="B10" s="30" t="s">
        <v>1134</v>
      </c>
    </row>
    <row r="11" spans="2:14" ht="14.25" x14ac:dyDescent="0.2">
      <c r="B11" s="30" t="s">
        <v>1145</v>
      </c>
    </row>
    <row r="12" spans="2:14" ht="14.25" x14ac:dyDescent="0.2">
      <c r="B12" s="30" t="s">
        <v>1146</v>
      </c>
    </row>
    <row r="13" spans="2:14" ht="14.25" x14ac:dyDescent="0.2">
      <c r="B13" s="30" t="s">
        <v>1147</v>
      </c>
    </row>
    <row r="14" spans="2:14" ht="14.25" x14ac:dyDescent="0.2">
      <c r="B14" s="30" t="s">
        <v>1253</v>
      </c>
    </row>
    <row r="15" spans="2:14" ht="14.25" x14ac:dyDescent="0.2">
      <c r="B15" s="30"/>
    </row>
    <row r="16" spans="2:14" ht="14.25" x14ac:dyDescent="0.2">
      <c r="B16" s="30" t="s">
        <v>1135</v>
      </c>
    </row>
    <row r="17" spans="2:2" ht="15" thickBot="1" x14ac:dyDescent="0.25">
      <c r="B17" s="31" t="s">
        <v>1136</v>
      </c>
    </row>
    <row r="20" spans="2:2" ht="16.5" thickBot="1" x14ac:dyDescent="0.3">
      <c r="B20" s="26" t="s">
        <v>1137</v>
      </c>
    </row>
    <row r="21" spans="2:2" x14ac:dyDescent="0.2">
      <c r="B21" s="32" t="s">
        <v>1138</v>
      </c>
    </row>
    <row r="22" spans="2:2" x14ac:dyDescent="0.2">
      <c r="B22" s="33" t="s">
        <v>1139</v>
      </c>
    </row>
    <row r="23" spans="2:2" x14ac:dyDescent="0.2">
      <c r="B23" s="34" t="s">
        <v>1140</v>
      </c>
    </row>
    <row r="24" spans="2:2" x14ac:dyDescent="0.2">
      <c r="B24" s="67" t="s">
        <v>1506</v>
      </c>
    </row>
    <row r="25" spans="2:2" x14ac:dyDescent="0.2">
      <c r="B25" s="54" t="s">
        <v>1507</v>
      </c>
    </row>
    <row r="26" spans="2:2" x14ac:dyDescent="0.2">
      <c r="B26" s="56" t="s">
        <v>1187</v>
      </c>
    </row>
    <row r="27" spans="2:2" x14ac:dyDescent="0.2">
      <c r="B27" s="55" t="s">
        <v>1186</v>
      </c>
    </row>
    <row r="28" spans="2:2" x14ac:dyDescent="0.2">
      <c r="B28" s="66" t="s">
        <v>1142</v>
      </c>
    </row>
    <row r="29" spans="2:2" x14ac:dyDescent="0.2">
      <c r="B29" s="252" t="s">
        <v>1522</v>
      </c>
    </row>
    <row r="30" spans="2:2" ht="13.5" thickBot="1" x14ac:dyDescent="0.25">
      <c r="B30" s="53" t="s">
        <v>1141</v>
      </c>
    </row>
    <row r="32" spans="2:2" ht="16.5" thickBot="1" x14ac:dyDescent="0.3">
      <c r="B32" s="26" t="s">
        <v>1143</v>
      </c>
    </row>
    <row r="33" spans="2:2" x14ac:dyDescent="0.2">
      <c r="B33" s="107" t="s">
        <v>1252</v>
      </c>
    </row>
    <row r="34" spans="2:2" x14ac:dyDescent="0.2">
      <c r="B34" s="68" t="s">
        <v>1222</v>
      </c>
    </row>
    <row r="35" spans="2:2" ht="26.25" thickBot="1" x14ac:dyDescent="0.25">
      <c r="B35" s="35" t="s">
        <v>1508</v>
      </c>
    </row>
  </sheetData>
  <sheetProtection algorithmName="SHA-512" hashValue="5Ra6Kapc7mpJ30G/ZKnXXoEHecfjv3Xrr2Se2v2/bNKJ2TOBOxeWYBMkvbdPB8es6b2XLeZ8ykwLpqOuh5uU7g==" saltValue="NIHZ7jxlbxXHGrOPClCdrA==" spinCount="100000" sheet="1" formatColumns="0" formatRows="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499984740745262"/>
  </sheetPr>
  <dimension ref="A1:BU81"/>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5.42578125" style="4" bestFit="1" customWidth="1"/>
    <col min="2" max="2" width="12.28515625" style="4" bestFit="1" customWidth="1"/>
    <col min="3" max="3" width="13.28515625" style="4" customWidth="1"/>
    <col min="4" max="4" width="14.28515625" style="3" bestFit="1" customWidth="1"/>
    <col min="5" max="5" width="13.42578125" style="3" bestFit="1" customWidth="1"/>
    <col min="6" max="6" width="10.42578125" style="3" bestFit="1" customWidth="1"/>
    <col min="7" max="7" width="11.140625" style="3" bestFit="1" customWidth="1"/>
    <col min="8" max="8" width="11.7109375" style="3" bestFit="1" customWidth="1"/>
    <col min="9" max="9" width="12.28515625" style="3" bestFit="1" customWidth="1"/>
    <col min="10" max="10" width="10.42578125" style="3" bestFit="1" customWidth="1"/>
    <col min="11" max="11" width="12.85546875" style="3" bestFit="1" customWidth="1"/>
    <col min="12" max="12" width="13" style="3" bestFit="1" customWidth="1"/>
    <col min="13" max="13" width="12.42578125" style="3" bestFit="1" customWidth="1"/>
    <col min="14" max="14" width="10" style="3" bestFit="1" customWidth="1"/>
    <col min="15" max="15" width="10.42578125" style="3" bestFit="1" customWidth="1"/>
    <col min="16" max="16" width="11" style="3" bestFit="1" customWidth="1"/>
    <col min="17" max="17" width="11.42578125" style="3" bestFit="1" customWidth="1"/>
    <col min="18" max="18" width="10" style="3" bestFit="1" customWidth="1"/>
    <col min="19" max="19" width="12" style="3" bestFit="1" customWidth="1"/>
    <col min="20" max="20" width="13.140625" style="3" bestFit="1" customWidth="1"/>
    <col min="21" max="21" width="18.28515625" style="3" bestFit="1" customWidth="1"/>
    <col min="22" max="24" width="13.85546875" style="3" bestFit="1" customWidth="1"/>
    <col min="25" max="25" width="18" style="3" bestFit="1" customWidth="1"/>
    <col min="26" max="26" width="17.28515625" style="3" bestFit="1" customWidth="1"/>
    <col min="27" max="27" width="14.140625" style="3" bestFit="1" customWidth="1"/>
    <col min="28" max="28" width="14.85546875" style="3" bestFit="1" customWidth="1"/>
    <col min="29" max="29" width="15.42578125" style="3" bestFit="1" customWidth="1"/>
    <col min="30" max="30" width="16" style="3" bestFit="1" customWidth="1"/>
    <col min="31" max="31" width="14.140625" style="3" bestFit="1" customWidth="1"/>
    <col min="32" max="32" width="16.7109375" style="3" bestFit="1" customWidth="1"/>
    <col min="33" max="34" width="9.7109375" style="3" bestFit="1" customWidth="1"/>
    <col min="35" max="35" width="9.5703125" style="3" bestFit="1" customWidth="1"/>
    <col min="36" max="36" width="13" style="3" bestFit="1" customWidth="1"/>
    <col min="37" max="37" width="12.42578125" style="3" bestFit="1" customWidth="1"/>
    <col min="38" max="38" width="10" style="3" bestFit="1" customWidth="1"/>
    <col min="39" max="39" width="10.42578125" style="3" bestFit="1" customWidth="1"/>
    <col min="40" max="40" width="11" style="3" bestFit="1" customWidth="1"/>
    <col min="41" max="41" width="11.42578125" style="3" bestFit="1" customWidth="1"/>
    <col min="42" max="42" width="10" style="3" bestFit="1" customWidth="1"/>
    <col min="43" max="43" width="12" style="3" bestFit="1" customWidth="1"/>
    <col min="44" max="44" width="13.7109375" style="3" bestFit="1" customWidth="1"/>
    <col min="45" max="45" width="15.5703125" style="3" bestFit="1" customWidth="1"/>
    <col min="46" max="46" width="15.7109375" style="3" bestFit="1" customWidth="1"/>
    <col min="47" max="47" width="15.85546875" style="3" bestFit="1" customWidth="1"/>
    <col min="48" max="48" width="17" style="3" bestFit="1" customWidth="1"/>
    <col min="49" max="49" width="20" style="3" bestFit="1" customWidth="1"/>
    <col min="50" max="50" width="19.140625" style="3" bestFit="1" customWidth="1"/>
    <col min="51" max="51" width="16" style="3" bestFit="1" customWidth="1"/>
    <col min="52" max="52" width="16.85546875" style="3" bestFit="1" customWidth="1"/>
    <col min="53" max="53" width="17.42578125" style="3" bestFit="1" customWidth="1"/>
    <col min="54" max="54" width="18" style="3" bestFit="1" customWidth="1"/>
    <col min="55" max="55" width="16" style="3" bestFit="1" customWidth="1"/>
    <col min="56" max="56" width="18.5703125" style="3" bestFit="1" customWidth="1"/>
    <col min="57" max="58" width="11.28515625" style="3" bestFit="1" customWidth="1"/>
    <col min="59" max="59" width="12" style="3" bestFit="1" customWidth="1"/>
    <col min="60" max="60" width="14.7109375" style="3" bestFit="1" customWidth="1"/>
    <col min="61" max="61" width="14" style="3" bestFit="1" customWidth="1"/>
    <col min="62" max="62" width="11.7109375" style="3" bestFit="1" customWidth="1"/>
    <col min="63" max="63" width="12" style="3" bestFit="1" customWidth="1"/>
    <col min="64" max="64" width="12.7109375" style="3" bestFit="1" customWidth="1"/>
    <col min="65" max="65" width="13" style="3" bestFit="1" customWidth="1"/>
    <col min="66" max="66" width="11.5703125" style="3" bestFit="1" customWidth="1"/>
    <col min="67" max="67" width="13.5703125" style="3" bestFit="1" customWidth="1"/>
    <col min="68" max="68" width="15.5703125" style="3" bestFit="1" customWidth="1"/>
    <col min="69" max="69" width="18.28515625" style="3" bestFit="1" customWidth="1"/>
    <col min="70" max="70" width="13.140625" style="3" bestFit="1" customWidth="1"/>
    <col min="71" max="71" width="13.42578125" style="3" bestFit="1" customWidth="1"/>
    <col min="72" max="72" width="13" style="3" bestFit="1" customWidth="1"/>
    <col min="73" max="73" width="18.28515625" style="3" bestFit="1" customWidth="1"/>
    <col min="74" max="16384" width="15.5703125" style="3"/>
  </cols>
  <sheetData>
    <row r="1" spans="1:73" s="37" customFormat="1" x14ac:dyDescent="0.25">
      <c r="A1" s="166" t="s">
        <v>39</v>
      </c>
      <c r="B1" s="167" t="s">
        <v>334</v>
      </c>
      <c r="C1" s="72"/>
      <c r="D1" s="64" t="s">
        <v>1392</v>
      </c>
      <c r="E1" s="64" t="s">
        <v>1393</v>
      </c>
      <c r="F1" s="64" t="s">
        <v>1394</v>
      </c>
      <c r="G1" s="64" t="s">
        <v>1395</v>
      </c>
      <c r="H1" s="64" t="s">
        <v>1396</v>
      </c>
      <c r="I1" s="64" t="s">
        <v>1397</v>
      </c>
      <c r="J1" s="64" t="s">
        <v>1398</v>
      </c>
      <c r="K1" s="64" t="s">
        <v>1399</v>
      </c>
      <c r="L1" s="38" t="s">
        <v>1523</v>
      </c>
      <c r="M1" s="38" t="s">
        <v>1524</v>
      </c>
      <c r="N1" s="38" t="s">
        <v>1525</v>
      </c>
      <c r="O1" s="38" t="s">
        <v>1526</v>
      </c>
      <c r="P1" s="38" t="s">
        <v>1527</v>
      </c>
      <c r="Q1" s="38" t="s">
        <v>1528</v>
      </c>
      <c r="R1" s="38" t="s">
        <v>1529</v>
      </c>
      <c r="S1" s="38" t="s">
        <v>1530</v>
      </c>
      <c r="T1" s="64" t="s">
        <v>1400</v>
      </c>
      <c r="U1" s="247" t="s">
        <v>1516</v>
      </c>
      <c r="V1" s="64" t="s">
        <v>1372</v>
      </c>
      <c r="W1" s="64" t="s">
        <v>1373</v>
      </c>
      <c r="X1" s="64" t="s">
        <v>1374</v>
      </c>
      <c r="Y1" s="64" t="s">
        <v>1375</v>
      </c>
      <c r="Z1" s="64" t="s">
        <v>1401</v>
      </c>
      <c r="AA1" s="64" t="s">
        <v>1402</v>
      </c>
      <c r="AB1" s="64" t="s">
        <v>1403</v>
      </c>
      <c r="AC1" s="64" t="s">
        <v>1404</v>
      </c>
      <c r="AD1" s="64" t="s">
        <v>1405</v>
      </c>
      <c r="AE1" s="64" t="s">
        <v>1406</v>
      </c>
      <c r="AF1" s="64" t="s">
        <v>1407</v>
      </c>
      <c r="AG1" s="38" t="s">
        <v>1149</v>
      </c>
      <c r="AH1" s="38" t="s">
        <v>1150</v>
      </c>
      <c r="AI1" s="38" t="s">
        <v>1151</v>
      </c>
      <c r="AJ1" s="38" t="s">
        <v>1152</v>
      </c>
      <c r="AK1" s="38" t="s">
        <v>1153</v>
      </c>
      <c r="AL1" s="38" t="s">
        <v>1154</v>
      </c>
      <c r="AM1" s="38" t="s">
        <v>1155</v>
      </c>
      <c r="AN1" s="38" t="s">
        <v>1156</v>
      </c>
      <c r="AO1" s="38" t="s">
        <v>1157</v>
      </c>
      <c r="AP1" s="38" t="s">
        <v>1158</v>
      </c>
      <c r="AQ1" s="38" t="s">
        <v>1287</v>
      </c>
      <c r="AR1" s="64" t="s">
        <v>1377</v>
      </c>
      <c r="AS1" s="247" t="s">
        <v>1255</v>
      </c>
      <c r="AT1" s="64" t="s">
        <v>1408</v>
      </c>
      <c r="AU1" s="64" t="s">
        <v>1409</v>
      </c>
      <c r="AV1" s="64" t="s">
        <v>1410</v>
      </c>
      <c r="AW1" s="64" t="s">
        <v>1411</v>
      </c>
      <c r="AX1" s="64" t="s">
        <v>1412</v>
      </c>
      <c r="AY1" s="64" t="s">
        <v>1413</v>
      </c>
      <c r="AZ1" s="64" t="s">
        <v>1414</v>
      </c>
      <c r="BA1" s="64" t="s">
        <v>1415</v>
      </c>
      <c r="BB1" s="64" t="s">
        <v>1416</v>
      </c>
      <c r="BC1" s="64" t="s">
        <v>1417</v>
      </c>
      <c r="BD1" s="64" t="s">
        <v>1418</v>
      </c>
      <c r="BE1" s="38" t="s">
        <v>1159</v>
      </c>
      <c r="BF1" s="38" t="s">
        <v>1160</v>
      </c>
      <c r="BG1" s="38" t="s">
        <v>1161</v>
      </c>
      <c r="BH1" s="38" t="s">
        <v>1162</v>
      </c>
      <c r="BI1" s="38" t="s">
        <v>1163</v>
      </c>
      <c r="BJ1" s="38" t="s">
        <v>1164</v>
      </c>
      <c r="BK1" s="38" t="s">
        <v>1165</v>
      </c>
      <c r="BL1" s="38" t="s">
        <v>1166</v>
      </c>
      <c r="BM1" s="38" t="s">
        <v>1167</v>
      </c>
      <c r="BN1" s="38" t="s">
        <v>1168</v>
      </c>
      <c r="BO1" s="38" t="s">
        <v>1288</v>
      </c>
      <c r="BP1" s="64" t="s">
        <v>1419</v>
      </c>
      <c r="BQ1" s="247" t="s">
        <v>1517</v>
      </c>
      <c r="BR1" s="64" t="s">
        <v>1383</v>
      </c>
      <c r="BS1" s="64" t="s">
        <v>1384</v>
      </c>
      <c r="BT1" s="64" t="s">
        <v>1385</v>
      </c>
      <c r="BU1" s="247" t="s">
        <v>1261</v>
      </c>
    </row>
    <row r="2" spans="1:73" customFormat="1" x14ac:dyDescent="0.25">
      <c r="A2" s="44" t="s">
        <v>0</v>
      </c>
      <c r="B2" s="42" t="s">
        <v>1057</v>
      </c>
      <c r="C2" s="42"/>
      <c r="D2" s="15">
        <f>d_dir!AC2</f>
        <v>1.0433331298562462E-2</v>
      </c>
      <c r="E2" s="15">
        <f>IFERROR(DL/(RadSpec!F2*IFP_far_adj*CF_far_poultry),".")</f>
        <v>9.4346995881489218E-2</v>
      </c>
      <c r="F2" s="15">
        <f>IFERROR(DL/(RadSpec!F2*IFE_far_adj*CF_far_egg),".")</f>
        <v>0.17075093235195621</v>
      </c>
      <c r="G2" s="15">
        <f>IFERROR(DL/(RadSpec!F2*IFB_far_adj*CF_far_beef),".")</f>
        <v>6.1706543184510097E-2</v>
      </c>
      <c r="H2" s="15">
        <f>IFERROR(DL/(RadSpec!F2*IFD_far_adj*CF_far_dairy),".")</f>
        <v>1.0624016463615053E-2</v>
      </c>
      <c r="I2" s="15">
        <f>IFERROR(DL/(RadSpec!F2*IFSW_far_adj*CF_far_swine),".")</f>
        <v>0.11079302983134098</v>
      </c>
      <c r="J2" s="15">
        <f>IFERROR(DL/(RadSpec!F2*IFFI_far_adj*CF_far_fish),".")</f>
        <v>0.10704584296725625</v>
      </c>
      <c r="K2" s="15">
        <f>IFERROR(DL/(RadSpec!F2*IFSF_far_adj*CF_far_shellfish),".")</f>
        <v>8.168197123519394E-2</v>
      </c>
      <c r="L2" s="111">
        <f>IFERROR(1/D2,".")</f>
        <v>95.846664060000009</v>
      </c>
      <c r="M2" s="111">
        <f t="shared" ref="M2:S2" si="0">IFERROR(1/E2,".")</f>
        <v>10.599171607500001</v>
      </c>
      <c r="N2" s="111">
        <f t="shared" si="0"/>
        <v>5.8564833950000006</v>
      </c>
      <c r="O2" s="111">
        <f t="shared" si="0"/>
        <v>16.205736837500002</v>
      </c>
      <c r="P2" s="111">
        <f t="shared" si="0"/>
        <v>94.126360160000004</v>
      </c>
      <c r="Q2" s="111">
        <f t="shared" si="0"/>
        <v>9.0258385524999998</v>
      </c>
      <c r="R2" s="111">
        <f t="shared" si="0"/>
        <v>9.3417920050000003</v>
      </c>
      <c r="S2" s="111">
        <f t="shared" si="0"/>
        <v>12.242603659999999</v>
      </c>
      <c r="T2" s="15">
        <f>IFERROR(1/(SUMIF(L2:S2,"&lt;&gt;0")),".")</f>
        <v>3.9487507392721687E-3</v>
      </c>
      <c r="U2" s="247">
        <f>IFERROR(T2*(0.0000000000028)*RadSpec!$AY2*RadSpec!$AF2,0)</f>
        <v>6.8156519609355239E-14</v>
      </c>
      <c r="V2" s="15">
        <f>IFERROR((DL/(RadSpec!E2*IFS_far_adj*(1/1000)))*1,".")</f>
        <v>128.38985322151007</v>
      </c>
      <c r="W2" s="15">
        <f>IFERROR(IF(A2="H-3",(DL/(RadSpec!H2*IFA_far_adj*(1/17)*1000))*1,(DL/(RadSpec!H2*IFA_far_adj*(1/PEF_wind)*1000))*1),".")</f>
        <v>6180.8093516247727</v>
      </c>
      <c r="X2" s="15">
        <f>IFERROR((DL/(RadSpec!G2*EF_far*(1/365)*1*RadSpec!R2*((ET_far_o*(1/24)*RadSpec!W2)+(ET_far_i*(1/24)*RadSpec!AB2))))*1,".")</f>
        <v>29.277265157356183</v>
      </c>
      <c r="Y2" s="15">
        <f>d_b2s!AC2</f>
        <v>5.6489247514522125</v>
      </c>
      <c r="Z2" s="15" t="str">
        <f>IFERROR((E2/(RadSpec!AL2*((Q_p_poultry*f_p_poultry*f_s_poultry*(RadSpec!BD2+R_es_past))+(Q_s_poultry*f_p_poultry))))*1,".")</f>
        <v>.</v>
      </c>
      <c r="AA2" s="15" t="str">
        <f>IFERROR((F2/(RadSpec!AM2*((Q_p_poultry*f_p_poultry*f_s_poultry*(RadSpec!BD2+R_es_past))+(Q_s_poultry*f_p_poultry))))*1,".")</f>
        <v>.</v>
      </c>
      <c r="AB2" s="15">
        <f>IFERROR((G2/(RadSpec!AI2*((Q_p_beef*f_p_beef*f_s_beef*(RadSpec!BD2+R_es_past))+(Q_s_beef*f_p_beef))))*1,".")</f>
        <v>667.89201411960278</v>
      </c>
      <c r="AC2" s="15">
        <f>IFERROR(((H2*D_milk)/(RadSpec!AH2*((Q_p_dairy*f_p_dairy*f_s_dairy*(RadSpec!BD2+R_es_past))+(Q_s_dairy*f_p_dairy))))*1,".")</f>
        <v>729.02977731668921</v>
      </c>
      <c r="AD2" s="15" t="str">
        <f>IFERROR((I2/(RadSpec!AN2*((Q_p_swine*f_p_swine*f_s_swine*(RadSpec!BD2+R_es_past))+(Q_s_swine*f_p_swine))))*1,".")</f>
        <v>.</v>
      </c>
      <c r="AE2" s="15">
        <f>IFERROR(((J2*RadSpec!AU2)/RadSpec!AJ2)*1,".")</f>
        <v>12.131862202955709</v>
      </c>
      <c r="AF2" s="15" t="str">
        <f>IFERROR(((K2*RadSpec!AU2)/RadSpec!AK2)*1,".")</f>
        <v>.</v>
      </c>
      <c r="AG2" s="111">
        <f t="shared" ref="AG2:AG3" si="1">IFERROR(1/V2,".")</f>
        <v>7.7887774999999991E-3</v>
      </c>
      <c r="AH2" s="111">
        <f t="shared" ref="AH2:AH3" si="2">IFERROR(1/W2,".")</f>
        <v>1.6179110907815433E-4</v>
      </c>
      <c r="AI2" s="111">
        <f t="shared" ref="AI2:AI3" si="3">IFERROR(1/X2,".")</f>
        <v>3.41561957589041E-2</v>
      </c>
      <c r="AJ2" s="111">
        <f t="shared" ref="AJ2:AJ3" si="4">IFERROR(1/Y2,".")</f>
        <v>0.17702483994727003</v>
      </c>
      <c r="AK2" s="111" t="str">
        <f t="shared" ref="AK2:AK3" si="5">IFERROR(1/Z2,".")</f>
        <v>.</v>
      </c>
      <c r="AL2" s="111" t="str">
        <f t="shared" ref="AL2:AL3" si="6">IFERROR(1/AA2,".")</f>
        <v>.</v>
      </c>
      <c r="AM2" s="111">
        <f t="shared" ref="AM2:AM3" si="7">IFERROR(1/AB2,".")</f>
        <v>1.4972480264166252E-3</v>
      </c>
      <c r="AN2" s="111">
        <f t="shared" ref="AN2:AN3" si="8">IFERROR(1/AC2,".")</f>
        <v>1.3716860834966989E-3</v>
      </c>
      <c r="AO2" s="111" t="str">
        <f t="shared" ref="AO2:AO3" si="9">IFERROR(1/AD2,".")</f>
        <v>.</v>
      </c>
      <c r="AP2" s="111">
        <f t="shared" ref="AP2:AQ17" si="10">IFERROR(1/AE2,".")</f>
        <v>8.2427576514705891E-2</v>
      </c>
      <c r="AQ2" s="111" t="str">
        <f t="shared" si="10"/>
        <v>.</v>
      </c>
      <c r="AR2" s="15">
        <f>IFERROR(1/(SUMIF(AG2:AQ2,"&lt;&gt;0")),".")</f>
        <v>3.2848477224172052</v>
      </c>
      <c r="AS2" s="247">
        <f>IFERROR(AR2*(0.0000000000028)*RadSpec!$AY2*RadSpec!$AF2,0)</f>
        <v>5.6697371647201081E-11</v>
      </c>
      <c r="AT2" s="15">
        <f>IFERROR(DL/(RadSpec!I2*IFW_far_adj),".")</f>
        <v>6.5855633900417727</v>
      </c>
      <c r="AU2" s="15" t="str">
        <f>IFERROR(IF(AND(RadSpec!C2=1,RadSpec!D2&lt;&gt;0),DL/(RadSpec!H2*IFA_far_adj*K*RadSpec!D2),"."),".")</f>
        <v>.</v>
      </c>
      <c r="AV2" s="15">
        <f>IFERROR((DL/(RadSpec!M2*(1/8760)*DFA_far_adj)),".")</f>
        <v>248534.32247491175</v>
      </c>
      <c r="AW2" s="15">
        <f>d_b2w!AC2</f>
        <v>2.8133997996969233</v>
      </c>
      <c r="AX2" s="15" t="str">
        <f>IFERROR(E2/(RadSpec!AL2*Q_w_poultry*(1/1000)),".")</f>
        <v>.</v>
      </c>
      <c r="AY2" s="15" t="str">
        <f>IFERROR(F2/(RadSpec!AM2*Q_w_poultry*(1/1000)),".")</f>
        <v>.</v>
      </c>
      <c r="AZ2" s="15">
        <f>IFERROR(G2/(RadSpec!AI2*Q_w_beef*(1/1000)),".")</f>
        <v>58213.719985386873</v>
      </c>
      <c r="BA2" s="15">
        <f>IFERROR((H2*D_milk)/(RadSpec!AH2*Q_w_dairy*(1/1000)),".")</f>
        <v>59471.396508279911</v>
      </c>
      <c r="BB2" s="15" t="str">
        <f>IFERROR(I2/(RadSpec!AN2*Q_w_swine*(1/1000)),".")</f>
        <v>.</v>
      </c>
      <c r="BC2" s="15">
        <f>IFERROR(J2/(RadSpec!AJ2*(1/1000)),".")</f>
        <v>7.1363895311504173</v>
      </c>
      <c r="BD2" s="15" t="str">
        <f>IFERROR(K2/(RadSpec!AK2*(1/1000)),".")</f>
        <v>.</v>
      </c>
      <c r="BE2" s="111">
        <f t="shared" ref="BE2:BE3" si="11">IFERROR(1/AT2,".")</f>
        <v>0.15184729700000002</v>
      </c>
      <c r="BF2" s="111" t="str">
        <f t="shared" ref="BF2:BF3" si="12">IFERROR(1/AU2,".")</f>
        <v>.</v>
      </c>
      <c r="BG2" s="111">
        <f t="shared" ref="BG2:BG3" si="13">IFERROR(1/AV2,".")</f>
        <v>4.0235891366712333E-6</v>
      </c>
      <c r="BH2" s="111">
        <f t="shared" ref="BH2:BH3" si="14">IFERROR(1/AW2,".")</f>
        <v>0.35544183948108837</v>
      </c>
      <c r="BI2" s="111" t="str">
        <f t="shared" ref="BI2:BI3" si="15">IFERROR(1/AX2,".")</f>
        <v>.</v>
      </c>
      <c r="BJ2" s="111" t="str">
        <f t="shared" ref="BJ2:BJ3" si="16">IFERROR(1/AY2,".")</f>
        <v>.</v>
      </c>
      <c r="BK2" s="111">
        <f t="shared" ref="BK2:BK3" si="17">IFERROR(1/AZ2,".")</f>
        <v>1.7178081047750007E-5</v>
      </c>
      <c r="BL2" s="111">
        <f t="shared" ref="BL2:BL3" si="18">IFERROR(1/BA2,".")</f>
        <v>1.6814806086834951E-5</v>
      </c>
      <c r="BM2" s="111" t="str">
        <f t="shared" ref="BM2:BM3" si="19">IFERROR(1/BB2,".")</f>
        <v>.</v>
      </c>
      <c r="BN2" s="111">
        <f t="shared" ref="BN2:BO17" si="20">IFERROR(1/BC2,".")</f>
        <v>0.14012688007499999</v>
      </c>
      <c r="BO2" s="111" t="str">
        <f t="shared" si="20"/>
        <v>.</v>
      </c>
      <c r="BP2" s="15">
        <f>IFERROR(1/(SUMIF(BE2:BO2,"&lt;&gt;0")),".")</f>
        <v>1.544511191499552</v>
      </c>
      <c r="BQ2" s="247">
        <f>IFERROR(BP2*(0.0000000000000028)*RadSpec!$AY2*RadSpec!$AF2,0)</f>
        <v>2.6658686319033365E-14</v>
      </c>
      <c r="BR2" s="15">
        <f>IFERROR((DL/(RadSpec!H2*IFA_far_adj)),".")</f>
        <v>4.5469043879218761E-3</v>
      </c>
      <c r="BS2" s="15">
        <f>IFERROR((DL/(RadSpec!K2*EF_far*(1/365)*1*ET_far*(1/24)*GSF_a)),".")</f>
        <v>15779.843720917046</v>
      </c>
      <c r="BT2" s="15">
        <f t="shared" ref="BT2:BT3" si="21">IFERROR(IF(AND(ISNUMBER(BR2),ISNUMBER(BS2)),1/((1/BR2)+(1/BS2)),IF(AND(ISNUMBER(BR2),NOT(ISNUMBER(BS2))),1/((1/BR2)),IF(AND(NOT(ISNUMBER(BR2)),ISNUMBER(BS2)),1/((1/BS2)),IF(AND(NOT(ISNUMBER(BR2)),NOT(ISNUMBER(BS2))),".")))),".")</f>
        <v>4.5469030777483457E-3</v>
      </c>
      <c r="BU2" s="247">
        <f>IFERROR(BT2*(0.0000000000000028)*RadSpec!$AY2*RadSpec!$AF2,0)</f>
        <v>7.8480792848807052E-17</v>
      </c>
    </row>
    <row r="3" spans="1:73" x14ac:dyDescent="0.25">
      <c r="A3" s="46" t="s">
        <v>1</v>
      </c>
      <c r="B3" s="42" t="s">
        <v>335</v>
      </c>
      <c r="C3" s="42"/>
      <c r="D3" s="15">
        <f>d_dir!AC3</f>
        <v>2.2927026340958689E-3</v>
      </c>
      <c r="E3" s="15">
        <f>IFERROR(DL/(RadSpec!F3*IFP_far_adj*CF_far_poultry),".")</f>
        <v>2.0732554136982717E-2</v>
      </c>
      <c r="F3" s="15">
        <f>IFERROR(DL/(RadSpec!F3*IFE_far_adj*CF_far_egg),".")</f>
        <v>3.7522158663896264E-2</v>
      </c>
      <c r="G3" s="15">
        <f>IFERROR(DL/(RadSpec!F3*IFB_far_adj*CF_far_beef),".")</f>
        <v>1.355988322920117E-2</v>
      </c>
      <c r="H3" s="15">
        <f>IFERROR(DL/(RadSpec!F3*IFD_far_adj*CF_far_dairy),".")</f>
        <v>2.3346052985170895E-3</v>
      </c>
      <c r="I3" s="15">
        <f>IFERROR(DL/(RadSpec!F3*IFSW_far_adj*CF_far_swine),".")</f>
        <v>2.4346535546971144E-2</v>
      </c>
      <c r="J3" s="15">
        <f>IFERROR(DL/(RadSpec!F3*IFFI_far_adj*CF_far_fish),".")</f>
        <v>2.3523099105829844E-2</v>
      </c>
      <c r="K3" s="15">
        <f>IFERROR(DL/(RadSpec!F3*IFSF_far_adj*CF_far_shellfish),".")</f>
        <v>1.7949441578153959E-2</v>
      </c>
      <c r="L3" s="111">
        <f t="shared" ref="L3:L30" si="22">IFERROR(1/D3,".")</f>
        <v>436.16646360000004</v>
      </c>
      <c r="M3" s="111">
        <f t="shared" ref="M3:M30" si="23">IFERROR(1/E3,".")</f>
        <v>48.233323949999999</v>
      </c>
      <c r="N3" s="111">
        <f t="shared" ref="N3:N30" si="24">IFERROR(1/F3,".")</f>
        <v>26.650918700000002</v>
      </c>
      <c r="O3" s="111">
        <f t="shared" ref="O3:O30" si="25">IFERROR(1/G3,".")</f>
        <v>73.746947750000004</v>
      </c>
      <c r="P3" s="111">
        <f t="shared" ref="P3:P30" si="26">IFERROR(1/H3,".")</f>
        <v>428.33792959999994</v>
      </c>
      <c r="Q3" s="111">
        <f t="shared" ref="Q3:Q30" si="27">IFERROR(1/I3,".")</f>
        <v>41.073605650000005</v>
      </c>
      <c r="R3" s="111">
        <f t="shared" ref="R3:R30" si="28">IFERROR(1/J3,".")</f>
        <v>42.5114053</v>
      </c>
      <c r="S3" s="111">
        <f t="shared" ref="S3:S30" si="29">IFERROR(1/K3,".")</f>
        <v>55.712039600000011</v>
      </c>
      <c r="T3" s="15">
        <f t="shared" ref="T3:T30" si="30">IFERROR(1/(SUMIF(L3:S3,"&lt;&gt;0")),".")</f>
        <v>8.6772967926022871E-4</v>
      </c>
      <c r="U3" s="247">
        <f>IFERROR(T3*(0.0000000000028)*RadSpec!$AY3*RadSpec!$AF3,0)</f>
        <v>2.5307211142550762E-10</v>
      </c>
      <c r="V3" s="15">
        <f>IFERROR((DL/(RadSpec!E3*IFS_far_adj*(1/1000)))*1,".")</f>
        <v>28.213400518844434</v>
      </c>
      <c r="W3" s="15">
        <f>IFERROR(IF(A3="H-3",(DL/(RadSpec!H3*IFA_far_adj*(1/17)*1000))*1,(DL/(RadSpec!H3*IFA_far_adj*(1/PEF_wind)*1000))*1),".")</f>
        <v>578.38766409699713</v>
      </c>
      <c r="X3" s="15">
        <f>IFERROR((DL/(RadSpec!G3*EF_far*(1/365)*1*RadSpec!R3*((ET_far_o*(1/24)*RadSpec!W3)+(ET_far_i*(1/24)*RadSpec!AB3))))*1,".")</f>
        <v>41.635507736340699</v>
      </c>
      <c r="Y3" s="15">
        <f>d_b2s!AC3</f>
        <v>2.1534894749091564</v>
      </c>
      <c r="Z3" s="15">
        <f>IFERROR((E3/(RadSpec!AL3*((Q_p_poultry*f_p_poultry*f_s_poultry*(RadSpec!BD3+R_es_past))+(Q_s_poultry*f_p_poultry))))*1,".")</f>
        <v>47.988652614798667</v>
      </c>
      <c r="AA3" s="15">
        <f>IFERROR((F3/(RadSpec!AM3*((Q_p_poultry*f_p_poultry*f_s_poultry*(RadSpec!BD3+R_es_past))+(Q_s_poultry*f_p_poultry))))*1,".")</f>
        <v>173.70149626351142</v>
      </c>
      <c r="AB3" s="15">
        <f>IFERROR((G3/(RadSpec!AI3*((Q_p_beef*f_p_beef*f_s_beef*(RadSpec!BD3+R_es_past))+(Q_s_beef*f_p_beef))))*1,".")</f>
        <v>7.8772467498181582</v>
      </c>
      <c r="AC3" s="15">
        <f>IFERROR(((H3*D_milk)/(RadSpec!AH3*((Q_p_dairy*f_p_dairy*f_s_dairy*(RadSpec!BD3+R_es_past))+(Q_s_dairy*f_p_dairy))))*1,".")</f>
        <v>1045.6264494064408</v>
      </c>
      <c r="AD3" s="15">
        <f>IFERROR((I3/(RadSpec!AN3*((Q_p_swine*f_p_swine*f_s_swine*(RadSpec!BD3+R_es_past))+(Q_s_swine*f_p_swine))))*1,".")</f>
        <v>92.688607694426778</v>
      </c>
      <c r="AE3" s="15">
        <f>IFERROR(((J3*RadSpec!AU3)/RadSpec!AJ3)*1,".")</f>
        <v>3.9205165176383071E-4</v>
      </c>
      <c r="AF3" s="15">
        <f>IFERROR(((K3*RadSpec!AU3)/RadSpec!AK3)*1,".")</f>
        <v>2.991573596358993E-5</v>
      </c>
      <c r="AG3" s="111">
        <f t="shared" si="1"/>
        <v>3.5444150000000001E-2</v>
      </c>
      <c r="AH3" s="111">
        <f t="shared" si="2"/>
        <v>1.7289442048547864E-3</v>
      </c>
      <c r="AI3" s="111">
        <f t="shared" si="3"/>
        <v>2.4017960975342461E-2</v>
      </c>
      <c r="AJ3" s="111">
        <f t="shared" si="4"/>
        <v>0.46436261316865007</v>
      </c>
      <c r="AK3" s="111">
        <f t="shared" si="5"/>
        <v>2.0838259578299174E-2</v>
      </c>
      <c r="AL3" s="111">
        <f t="shared" si="6"/>
        <v>5.7570027979664843E-3</v>
      </c>
      <c r="AM3" s="111">
        <f t="shared" si="7"/>
        <v>0.12694790854724519</v>
      </c>
      <c r="AN3" s="111">
        <f t="shared" si="8"/>
        <v>9.5636448424545777E-4</v>
      </c>
      <c r="AO3" s="111">
        <f t="shared" si="9"/>
        <v>1.0788812399650799E-2</v>
      </c>
      <c r="AP3" s="111">
        <f t="shared" si="10"/>
        <v>2550.6843180000001</v>
      </c>
      <c r="AQ3" s="111">
        <f t="shared" si="10"/>
        <v>33427.223760000008</v>
      </c>
      <c r="AR3" s="15">
        <f t="shared" ref="AR3:AR64" si="31">IFERROR(1/(SUMIF(AG3:AQ3,"&lt;&gt;0")),".")</f>
        <v>2.7794300779279784E-5</v>
      </c>
      <c r="AS3" s="247">
        <f>IFERROR(AR3*(0.0000000000028)*RadSpec!$AY3*RadSpec!$AF3,0)</f>
        <v>8.1061677984838259E-12</v>
      </c>
      <c r="AT3" s="15">
        <f>IFERROR(DL/(RadSpec!I3*IFW_far_adj),".")</f>
        <v>1.4471637197444738</v>
      </c>
      <c r="AU3" s="15" t="str">
        <f>IFERROR(IF(AND(RadSpec!C3=1,RadSpec!D3&lt;&gt;0),DL/(RadSpec!H3*IFA_far_adj*K*RadSpec!D3),"."),".")</f>
        <v>.</v>
      </c>
      <c r="AV3" s="15">
        <f>IFERROR((DL/(RadSpec!M3*(1/8760)*DFA_far_adj)),".")</f>
        <v>203346.26384310963</v>
      </c>
      <c r="AW3" s="15">
        <f>d_b2w!AC3</f>
        <v>0.62293617860354933</v>
      </c>
      <c r="AX3" s="15">
        <f>IFERROR(E3/(RadSpec!AL3*Q_w_poultry*(1/1000)),".")</f>
        <v>8638.5642237427983</v>
      </c>
      <c r="AY3" s="15">
        <f>IFERROR(F3/(RadSpec!AM3*Q_w_poultry*(1/1000)),".")</f>
        <v>31268.465553246882</v>
      </c>
      <c r="AZ3" s="15">
        <f>IFERROR(G3/(RadSpec!AI3*Q_w_beef*(1/1000)),".")</f>
        <v>511.6937067623083</v>
      </c>
      <c r="BA3" s="15">
        <f>IFERROR((H3*D_milk)/(RadSpec!AH3*Q_w_dairy*(1/1000)),".")</f>
        <v>62231.973537075632</v>
      </c>
      <c r="BB3" s="15">
        <f>IFERROR(I3/(RadSpec!AN3*Q_w_swine*(1/1000)),".")</f>
        <v>12562.711840542384</v>
      </c>
      <c r="BC3" s="15">
        <f>IFERROR(J3/(RadSpec!AJ3*(1/1000)),".")</f>
        <v>9.801291294095768E-2</v>
      </c>
      <c r="BD3" s="15">
        <f>IFERROR(K3/(RadSpec!AK3*(1/1000)),".")</f>
        <v>7.4789339908974831E-3</v>
      </c>
      <c r="BE3" s="111">
        <f t="shared" si="11"/>
        <v>0.69100682000000002</v>
      </c>
      <c r="BF3" s="111" t="str">
        <f t="shared" si="12"/>
        <v>.</v>
      </c>
      <c r="BG3" s="111">
        <f t="shared" si="13"/>
        <v>4.9177200559315066E-6</v>
      </c>
      <c r="BH3" s="111">
        <f t="shared" si="14"/>
        <v>1.6053008869090306</v>
      </c>
      <c r="BI3" s="111">
        <f t="shared" si="15"/>
        <v>1.1575997748000001E-4</v>
      </c>
      <c r="BJ3" s="111">
        <f t="shared" si="16"/>
        <v>3.1981102440000009E-5</v>
      </c>
      <c r="BK3" s="111">
        <f t="shared" si="17"/>
        <v>1.954294115375E-3</v>
      </c>
      <c r="BL3" s="111">
        <f t="shared" si="18"/>
        <v>1.606891029101359E-5</v>
      </c>
      <c r="BM3" s="111">
        <f t="shared" si="19"/>
        <v>7.9600647749700025E-5</v>
      </c>
      <c r="BN3" s="111">
        <f t="shared" si="20"/>
        <v>10.202737272</v>
      </c>
      <c r="BO3" s="111">
        <f t="shared" si="20"/>
        <v>133.70889504000002</v>
      </c>
      <c r="BP3" s="15">
        <f t="shared" ref="BP3:BP30" si="32">IFERROR(1/(SUMIF(BE3:BO3,"&lt;&gt;0")),".")</f>
        <v>6.8394707913852068E-3</v>
      </c>
      <c r="BQ3" s="247">
        <f>IFERROR(BP3*(0.0000000000000028)*RadSpec!$AY3*RadSpec!$AF3,0)</f>
        <v>1.9947218074695557E-12</v>
      </c>
      <c r="BR3" s="15">
        <f>IFERROR((DL/(RadSpec!H3*IFA_far_adj)),".")</f>
        <v>4.2549013538351499E-4</v>
      </c>
      <c r="BS3" s="15">
        <f>IFERROR((DL/(RadSpec!K3*EF_far*(1/365)*1*ET_far*(1/24)*GSF_a)),".")</f>
        <v>13290.761229224776</v>
      </c>
      <c r="BT3" s="15">
        <f t="shared" si="21"/>
        <v>4.2549012176188361E-4</v>
      </c>
      <c r="BU3" s="247">
        <f>IFERROR(BT3*(0.0000000000000028)*RadSpec!$AY3*RadSpec!$AF3,0)</f>
        <v>1.2409358130607802E-13</v>
      </c>
    </row>
    <row r="4" spans="1:73" customFormat="1" x14ac:dyDescent="0.25">
      <c r="A4" s="44" t="s">
        <v>2</v>
      </c>
      <c r="B4" s="42" t="s">
        <v>1057</v>
      </c>
      <c r="C4" s="42"/>
      <c r="D4" s="15" t="str">
        <f>d_dir!AC4</f>
        <v>.</v>
      </c>
      <c r="E4" s="15" t="str">
        <f>IFERROR(DL/(RadSpec!F4*IFP_far_adj*CF_far_poultry),".")</f>
        <v>.</v>
      </c>
      <c r="F4" s="15" t="str">
        <f>IFERROR(DL/(RadSpec!F4*IFE_far_adj*CF_far_egg),".")</f>
        <v>.</v>
      </c>
      <c r="G4" s="15" t="str">
        <f>IFERROR(DL/(RadSpec!F4*IFB_far_adj*CF_far_beef),".")</f>
        <v>.</v>
      </c>
      <c r="H4" s="15" t="str">
        <f>IFERROR(DL/(RadSpec!F4*IFD_far_adj*CF_far_dairy),".")</f>
        <v>.</v>
      </c>
      <c r="I4" s="15" t="str">
        <f>IFERROR(DL/(RadSpec!F4*IFSW_far_adj*CF_far_swine),".")</f>
        <v>.</v>
      </c>
      <c r="J4" s="15" t="str">
        <f>IFERROR(DL/(RadSpec!F4*IFFI_far_adj*CF_far_fish),".")</f>
        <v>.</v>
      </c>
      <c r="K4" s="15" t="str">
        <f>IFERROR(DL/(RadSpec!F4*IFSF_far_adj*CF_far_shellfish),".")</f>
        <v>.</v>
      </c>
      <c r="L4" s="111" t="str">
        <f t="shared" si="22"/>
        <v>.</v>
      </c>
      <c r="M4" s="111" t="str">
        <f t="shared" si="23"/>
        <v>.</v>
      </c>
      <c r="N4" s="111" t="str">
        <f t="shared" si="24"/>
        <v>.</v>
      </c>
      <c r="O4" s="111" t="str">
        <f t="shared" si="25"/>
        <v>.</v>
      </c>
      <c r="P4" s="111" t="str">
        <f t="shared" si="26"/>
        <v>.</v>
      </c>
      <c r="Q4" s="111" t="str">
        <f t="shared" si="27"/>
        <v>.</v>
      </c>
      <c r="R4" s="111" t="str">
        <f t="shared" si="28"/>
        <v>.</v>
      </c>
      <c r="S4" s="111" t="str">
        <f t="shared" si="29"/>
        <v>.</v>
      </c>
      <c r="T4" s="15" t="str">
        <f t="shared" si="30"/>
        <v>.</v>
      </c>
      <c r="U4" s="247">
        <f>IFERROR(T4*(0.0000000000028)*RadSpec!$AY4*RadSpec!$AF4,0)</f>
        <v>0</v>
      </c>
      <c r="V4" s="15" t="str">
        <f>IFERROR((DL/(RadSpec!E4*IFS_far_adj*(1/1000)))*1,".")</f>
        <v>.</v>
      </c>
      <c r="W4" s="15" t="str">
        <f>IFERROR(IF(A4="H-3",(DL/(RadSpec!H4*IFA_far_adj*(1/17)*1000))*1,(DL/(RadSpec!H4*IFA_far_adj*(1/PEF_wind)*1000))*1),".")</f>
        <v>.</v>
      </c>
      <c r="X4" s="15">
        <f>IFERROR((DL/(RadSpec!G4*EF_far*(1/365)*1*RadSpec!R4*((ET_far_o*(1/24)*RadSpec!W4)+(ET_far_i*(1/24)*RadSpec!AB4))))*1,".")</f>
        <v>1304.7978015010706</v>
      </c>
      <c r="Y4" s="15" t="str">
        <f>d_b2s!AC4</f>
        <v>.</v>
      </c>
      <c r="Z4" s="15" t="str">
        <f>IFERROR((E4/(RadSpec!AL4*((Q_p_poultry*f_p_poultry*f_s_poultry*(RadSpec!BD4+R_es_past))+(Q_s_poultry*f_p_poultry))))*1,".")</f>
        <v>.</v>
      </c>
      <c r="AA4" s="15" t="str">
        <f>IFERROR((F4/(RadSpec!AM4*((Q_p_poultry*f_p_poultry*f_s_poultry*(RadSpec!BD4+R_es_past))+(Q_s_poultry*f_p_poultry))))*1,".")</f>
        <v>.</v>
      </c>
      <c r="AB4" s="15" t="str">
        <f>IFERROR((G4/(RadSpec!AI4*((Q_p_beef*f_p_beef*f_s_beef*(RadSpec!BD4+R_es_past))+(Q_s_beef*f_p_beef))))*1,".")</f>
        <v>.</v>
      </c>
      <c r="AC4" s="15" t="str">
        <f>IFERROR(((H4*D_milk)/(RadSpec!AH4*((Q_p_dairy*f_p_dairy*f_s_dairy*(RadSpec!BD4+R_es_past))+(Q_s_dairy*f_p_dairy))))*1,".")</f>
        <v>.</v>
      </c>
      <c r="AD4" s="15" t="str">
        <f>IFERROR((I4/(RadSpec!AN4*((Q_p_swine*f_p_swine*f_s_swine*(RadSpec!BD4+R_es_past))+(Q_s_swine*f_p_swine))))*1,".")</f>
        <v>.</v>
      </c>
      <c r="AE4" s="15" t="str">
        <f>IFERROR(((J4*RadSpec!AU4)/RadSpec!AJ4)*1,".")</f>
        <v>.</v>
      </c>
      <c r="AF4" s="15" t="str">
        <f>IFERROR(((K4*RadSpec!AU4)/RadSpec!AK4)*1,".")</f>
        <v>.</v>
      </c>
      <c r="AG4" s="111" t="str">
        <f t="shared" ref="AG4:AG6" si="33">IFERROR(1/V4,".")</f>
        <v>.</v>
      </c>
      <c r="AH4" s="111" t="str">
        <f t="shared" ref="AH4:AH6" si="34">IFERROR(1/W4,".")</f>
        <v>.</v>
      </c>
      <c r="AI4" s="111">
        <f t="shared" ref="AI4:AI6" si="35">IFERROR(1/X4,".")</f>
        <v>7.6640227232876708E-4</v>
      </c>
      <c r="AJ4" s="111" t="str">
        <f t="shared" ref="AJ4:AJ6" si="36">IFERROR(1/Y4,".")</f>
        <v>.</v>
      </c>
      <c r="AK4" s="111" t="str">
        <f t="shared" ref="AK4:AK6" si="37">IFERROR(1/Z4,".")</f>
        <v>.</v>
      </c>
      <c r="AL4" s="111" t="str">
        <f t="shared" ref="AL4:AL6" si="38">IFERROR(1/AA4,".")</f>
        <v>.</v>
      </c>
      <c r="AM4" s="111" t="str">
        <f t="shared" ref="AM4:AM6" si="39">IFERROR(1/AB4,".")</f>
        <v>.</v>
      </c>
      <c r="AN4" s="111" t="str">
        <f t="shared" ref="AN4:AN6" si="40">IFERROR(1/AC4,".")</f>
        <v>.</v>
      </c>
      <c r="AO4" s="111" t="str">
        <f t="shared" ref="AO4:AO6" si="41">IFERROR(1/AD4,".")</f>
        <v>.</v>
      </c>
      <c r="AP4" s="111" t="str">
        <f t="shared" ref="AP4:AP6" si="42">IFERROR(1/AE4,".")</f>
        <v>.</v>
      </c>
      <c r="AQ4" s="111" t="str">
        <f t="shared" si="10"/>
        <v>.</v>
      </c>
      <c r="AR4" s="15">
        <f t="shared" si="31"/>
        <v>1304.7978015010706</v>
      </c>
      <c r="AS4" s="247">
        <f>IFERROR(AR4*(0.0000000000028)*RadSpec!$AY4*RadSpec!$AF4,0)</f>
        <v>8.1200162219061801E-16</v>
      </c>
      <c r="AT4" s="15" t="str">
        <f>IFERROR(DL/(RadSpec!I4*IFW_far_adj),".")</f>
        <v>.</v>
      </c>
      <c r="AU4" s="15" t="str">
        <f>IFERROR(IF(AND(RadSpec!C4=1,RadSpec!D4&lt;&gt;0),DL/(RadSpec!H4*IFA_far_adj*K*RadSpec!D4),"."),".")</f>
        <v>.</v>
      </c>
      <c r="AV4" s="15">
        <f>IFERROR((DL/(RadSpec!M4*(1/8760)*DFA_far_adj)),".")</f>
        <v>13556417.589540642</v>
      </c>
      <c r="AW4" s="15" t="str">
        <f>d_b2w!AC4</f>
        <v>.</v>
      </c>
      <c r="AX4" s="15" t="str">
        <f>IFERROR(E4/(RadSpec!AL4*Q_w_poultry*(1/1000)),".")</f>
        <v>.</v>
      </c>
      <c r="AY4" s="15" t="str">
        <f>IFERROR(F4/(RadSpec!AM4*Q_w_poultry*(1/1000)),".")</f>
        <v>.</v>
      </c>
      <c r="AZ4" s="15" t="str">
        <f>IFERROR(G4/(RadSpec!AI4*Q_w_beef*(1/1000)),".")</f>
        <v>.</v>
      </c>
      <c r="BA4" s="15" t="str">
        <f>IFERROR((H4*D_milk)/(RadSpec!AH4*Q_w_dairy*(1/1000)),".")</f>
        <v>.</v>
      </c>
      <c r="BB4" s="15" t="str">
        <f>IFERROR(I4/(RadSpec!AN4*Q_w_swine*(1/1000)),".")</f>
        <v>.</v>
      </c>
      <c r="BC4" s="15" t="str">
        <f>IFERROR(J4/(RadSpec!AJ4*(1/1000)),".")</f>
        <v>.</v>
      </c>
      <c r="BD4" s="15" t="str">
        <f>IFERROR(K4/(RadSpec!AK4*(1/1000)),".")</f>
        <v>.</v>
      </c>
      <c r="BE4" s="111" t="str">
        <f t="shared" ref="BE4:BE6" si="43">IFERROR(1/AT4,".")</f>
        <v>.</v>
      </c>
      <c r="BF4" s="111" t="str">
        <f t="shared" ref="BF4:BF6" si="44">IFERROR(1/AU4,".")</f>
        <v>.</v>
      </c>
      <c r="BG4" s="111">
        <f t="shared" ref="BG4:BG6" si="45">IFERROR(1/AV4,".")</f>
        <v>7.3765800838972598E-8</v>
      </c>
      <c r="BH4" s="111" t="str">
        <f t="shared" ref="BH4:BH6" si="46">IFERROR(1/AW4,".")</f>
        <v>.</v>
      </c>
      <c r="BI4" s="111" t="str">
        <f t="shared" ref="BI4:BI6" si="47">IFERROR(1/AX4,".")</f>
        <v>.</v>
      </c>
      <c r="BJ4" s="111" t="str">
        <f t="shared" ref="BJ4:BJ6" si="48">IFERROR(1/AY4,".")</f>
        <v>.</v>
      </c>
      <c r="BK4" s="111" t="str">
        <f t="shared" ref="BK4:BK6" si="49">IFERROR(1/AZ4,".")</f>
        <v>.</v>
      </c>
      <c r="BL4" s="111" t="str">
        <f t="shared" ref="BL4:BL6" si="50">IFERROR(1/BA4,".")</f>
        <v>.</v>
      </c>
      <c r="BM4" s="111" t="str">
        <f t="shared" ref="BM4:BM6" si="51">IFERROR(1/BB4,".")</f>
        <v>.</v>
      </c>
      <c r="BN4" s="111" t="str">
        <f t="shared" ref="BN4:BN6" si="52">IFERROR(1/BC4,".")</f>
        <v>.</v>
      </c>
      <c r="BO4" s="111" t="str">
        <f t="shared" si="20"/>
        <v>.</v>
      </c>
      <c r="BP4" s="15">
        <f t="shared" si="32"/>
        <v>13556417.589540642</v>
      </c>
      <c r="BQ4" s="247">
        <f>IFERROR(BP4*(0.0000000000000028)*RadSpec!$AY4*RadSpec!$AF4,0)</f>
        <v>8.4364282811764054E-15</v>
      </c>
      <c r="BR4" s="15" t="str">
        <f>IFERROR((DL/(RadSpec!H4*IFA_far_adj)),".")</f>
        <v>.</v>
      </c>
      <c r="BS4" s="15">
        <f>IFERROR((DL/(RadSpec!K4*EF_far*(1/365)*1*ET_far*(1/24)*GSF_a)),".")</f>
        <v>842584.10811689147</v>
      </c>
      <c r="BT4" s="15">
        <f t="shared" ref="BT4:BT5" si="53">IFERROR(IF(AND(BR4&lt;&gt;".",BS4&lt;&gt;"."),1/((1/BR4)+(1/BS4)),IF(AND(BR4&lt;&gt;".",BS4="."),1/((1/BR4)),IF(AND(BR4=".",BS4&lt;&gt;"."),1/((1/BS4)),IF(AND(BR4=".",BS4="."),".")))),".")</f>
        <v>842584.10811689147</v>
      </c>
      <c r="BU4" s="247">
        <f>IFERROR(BT4*(0.0000000000000028)*RadSpec!$AY4*RadSpec!$AF4,0)</f>
        <v>5.2435684811535882E-16</v>
      </c>
    </row>
    <row r="5" spans="1:73" customFormat="1" x14ac:dyDescent="0.25">
      <c r="A5" s="44" t="s">
        <v>3</v>
      </c>
      <c r="B5" s="237" t="s">
        <v>1057</v>
      </c>
      <c r="C5" s="238"/>
      <c r="D5" s="15" t="str">
        <f>d_dir!AC5</f>
        <v>.</v>
      </c>
      <c r="E5" s="15" t="str">
        <f>IFERROR(DL/(RadSpec!F5*IFP_far_adj*CF_far_poultry),".")</f>
        <v>.</v>
      </c>
      <c r="F5" s="15" t="str">
        <f>IFERROR(DL/(RadSpec!F5*IFE_far_adj*CF_far_egg),".")</f>
        <v>.</v>
      </c>
      <c r="G5" s="15" t="str">
        <f>IFERROR(DL/(RadSpec!F5*IFB_far_adj*CF_far_beef),".")</f>
        <v>.</v>
      </c>
      <c r="H5" s="15" t="str">
        <f>IFERROR(DL/(RadSpec!F5*IFD_far_adj*CF_far_dairy),".")</f>
        <v>.</v>
      </c>
      <c r="I5" s="15" t="str">
        <f>IFERROR(DL/(RadSpec!F5*IFSW_far_adj*CF_far_swine),".")</f>
        <v>.</v>
      </c>
      <c r="J5" s="15" t="str">
        <f>IFERROR(DL/(RadSpec!F5*IFFI_far_adj*CF_far_fish),".")</f>
        <v>.</v>
      </c>
      <c r="K5" s="15" t="str">
        <f>IFERROR(DL/(RadSpec!F5*IFSF_far_adj*CF_far_shellfish),".")</f>
        <v>.</v>
      </c>
      <c r="L5" s="111" t="str">
        <f t="shared" si="22"/>
        <v>.</v>
      </c>
      <c r="M5" s="111" t="str">
        <f t="shared" si="23"/>
        <v>.</v>
      </c>
      <c r="N5" s="111" t="str">
        <f t="shared" si="24"/>
        <v>.</v>
      </c>
      <c r="O5" s="111" t="str">
        <f t="shared" si="25"/>
        <v>.</v>
      </c>
      <c r="P5" s="111" t="str">
        <f t="shared" si="26"/>
        <v>.</v>
      </c>
      <c r="Q5" s="111" t="str">
        <f t="shared" si="27"/>
        <v>.</v>
      </c>
      <c r="R5" s="111" t="str">
        <f t="shared" si="28"/>
        <v>.</v>
      </c>
      <c r="S5" s="111" t="str">
        <f t="shared" si="29"/>
        <v>.</v>
      </c>
      <c r="T5" s="15" t="str">
        <f t="shared" si="30"/>
        <v>.</v>
      </c>
      <c r="U5" s="247">
        <f>IFERROR(T5*(0.0000000000028)*RadSpec!$AY5*RadSpec!$AF5,0)</f>
        <v>0</v>
      </c>
      <c r="V5" s="15" t="str">
        <f>IFERROR((DL/(RadSpec!E5*IFS_far_adj*(1/1000)))*1,".")</f>
        <v>.</v>
      </c>
      <c r="W5" s="15" t="str">
        <f>IFERROR(IF(A5="H-3",(DL/(RadSpec!H5*IFA_far_adj*(1/17)*1000))*1,(DL/(RadSpec!H5*IFA_far_adj*(1/PEF_wind)*1000))*1),".")</f>
        <v>.</v>
      </c>
      <c r="X5" s="15">
        <f>IFERROR((DL/(RadSpec!G5*EF_far*(1/365)*1*RadSpec!R5*((ET_far_o*(1/24)*RadSpec!W5)+(ET_far_i*(1/24)*RadSpec!AB5))))*1,".")</f>
        <v>30892.86368207233</v>
      </c>
      <c r="Y5" s="15" t="str">
        <f>d_b2s!AC5</f>
        <v>.</v>
      </c>
      <c r="Z5" s="15" t="str">
        <f>IFERROR((E5/(RadSpec!AL5*((Q_p_poultry*f_p_poultry*f_s_poultry*(RadSpec!BD5+R_es_past))+(Q_s_poultry*f_p_poultry))))*1,".")</f>
        <v>.</v>
      </c>
      <c r="AA5" s="15" t="str">
        <f>IFERROR((F5/(RadSpec!AM5*((Q_p_poultry*f_p_poultry*f_s_poultry*(RadSpec!BD5+R_es_past))+(Q_s_poultry*f_p_poultry))))*1,".")</f>
        <v>.</v>
      </c>
      <c r="AB5" s="15" t="str">
        <f>IFERROR((G5/(RadSpec!AI5*((Q_p_beef*f_p_beef*f_s_beef*(RadSpec!BD5+R_es_past))+(Q_s_beef*f_p_beef))))*1,".")</f>
        <v>.</v>
      </c>
      <c r="AC5" s="15" t="str">
        <f>IFERROR(((H5*D_milk)/(RadSpec!AH5*((Q_p_dairy*f_p_dairy*f_s_dairy*(RadSpec!BD5+R_es_past))+(Q_s_dairy*f_p_dairy))))*1,".")</f>
        <v>.</v>
      </c>
      <c r="AD5" s="15" t="str">
        <f>IFERROR((I5/(RadSpec!AN5*((Q_p_swine*f_p_swine*f_s_swine*(RadSpec!BD5+R_es_past))+(Q_s_swine*f_p_swine))))*1,".")</f>
        <v>.</v>
      </c>
      <c r="AE5" s="15" t="str">
        <f>IFERROR(((J5*RadSpec!AU5)/RadSpec!AJ5)*1,".")</f>
        <v>.</v>
      </c>
      <c r="AF5" s="15" t="str">
        <f>IFERROR(((K5*RadSpec!AU5)/RadSpec!AK5)*1,".")</f>
        <v>.</v>
      </c>
      <c r="AG5" s="111" t="str">
        <f t="shared" si="33"/>
        <v>.</v>
      </c>
      <c r="AH5" s="111" t="str">
        <f t="shared" si="34"/>
        <v>.</v>
      </c>
      <c r="AI5" s="111">
        <f t="shared" si="35"/>
        <v>3.2369935344657529E-5</v>
      </c>
      <c r="AJ5" s="111" t="str">
        <f t="shared" si="36"/>
        <v>.</v>
      </c>
      <c r="AK5" s="111" t="str">
        <f t="shared" si="37"/>
        <v>.</v>
      </c>
      <c r="AL5" s="111" t="str">
        <f t="shared" si="38"/>
        <v>.</v>
      </c>
      <c r="AM5" s="111" t="str">
        <f t="shared" si="39"/>
        <v>.</v>
      </c>
      <c r="AN5" s="111" t="str">
        <f t="shared" si="40"/>
        <v>.</v>
      </c>
      <c r="AO5" s="111" t="str">
        <f t="shared" si="41"/>
        <v>.</v>
      </c>
      <c r="AP5" s="111" t="str">
        <f t="shared" si="42"/>
        <v>.</v>
      </c>
      <c r="AQ5" s="111" t="str">
        <f t="shared" si="10"/>
        <v>.</v>
      </c>
      <c r="AR5" s="15">
        <f t="shared" si="31"/>
        <v>30892.86368207233</v>
      </c>
      <c r="AS5" s="247">
        <f>IFERROR(AR5*(0.0000000000028)*RadSpec!$AY5*RadSpec!$AF5,0)</f>
        <v>8.9692751101298318E-13</v>
      </c>
      <c r="AT5" s="15" t="str">
        <f>IFERROR(DL/(RadSpec!I5*IFW_far_adj),".")</f>
        <v>.</v>
      </c>
      <c r="AU5" s="15" t="str">
        <f>IFERROR(IF(AND(RadSpec!C5=1,RadSpec!D5&lt;&gt;0),DL/(RadSpec!H5*IFA_far_adj*K*RadSpec!D5),"."),".")</f>
        <v>.</v>
      </c>
      <c r="AV5" s="15">
        <f>IFERROR((DL/(RadSpec!M5*(1/8760)*DFA_far_adj)),".")</f>
        <v>250522597.0547111</v>
      </c>
      <c r="AW5" s="15" t="str">
        <f>d_b2w!AC5</f>
        <v>.</v>
      </c>
      <c r="AX5" s="15" t="str">
        <f>IFERROR(E5/(RadSpec!AL5*Q_w_poultry*(1/1000)),".")</f>
        <v>.</v>
      </c>
      <c r="AY5" s="15" t="str">
        <f>IFERROR(F5/(RadSpec!AM5*Q_w_poultry*(1/1000)),".")</f>
        <v>.</v>
      </c>
      <c r="AZ5" s="15" t="str">
        <f>IFERROR(G5/(RadSpec!AI5*Q_w_beef*(1/1000)),".")</f>
        <v>.</v>
      </c>
      <c r="BA5" s="15" t="str">
        <f>IFERROR((H5*D_milk)/(RadSpec!AH5*Q_w_dairy*(1/1000)),".")</f>
        <v>.</v>
      </c>
      <c r="BB5" s="15" t="str">
        <f>IFERROR(I5/(RadSpec!AN5*Q_w_swine*(1/1000)),".")</f>
        <v>.</v>
      </c>
      <c r="BC5" s="15" t="str">
        <f>IFERROR(J5/(RadSpec!AJ5*(1/1000)),".")</f>
        <v>.</v>
      </c>
      <c r="BD5" s="15" t="str">
        <f>IFERROR(K5/(RadSpec!AK5*(1/1000)),".")</f>
        <v>.</v>
      </c>
      <c r="BE5" s="111" t="str">
        <f t="shared" si="43"/>
        <v>.</v>
      </c>
      <c r="BF5" s="111" t="str">
        <f t="shared" si="44"/>
        <v>.</v>
      </c>
      <c r="BG5" s="111">
        <f t="shared" si="45"/>
        <v>3.991655889554794E-9</v>
      </c>
      <c r="BH5" s="111" t="str">
        <f t="shared" si="46"/>
        <v>.</v>
      </c>
      <c r="BI5" s="111" t="str">
        <f t="shared" si="47"/>
        <v>.</v>
      </c>
      <c r="BJ5" s="111" t="str">
        <f t="shared" si="48"/>
        <v>.</v>
      </c>
      <c r="BK5" s="111" t="str">
        <f t="shared" si="49"/>
        <v>.</v>
      </c>
      <c r="BL5" s="111" t="str">
        <f t="shared" si="50"/>
        <v>.</v>
      </c>
      <c r="BM5" s="111" t="str">
        <f t="shared" si="51"/>
        <v>.</v>
      </c>
      <c r="BN5" s="111" t="str">
        <f t="shared" si="52"/>
        <v>.</v>
      </c>
      <c r="BO5" s="111" t="str">
        <f t="shared" si="20"/>
        <v>.</v>
      </c>
      <c r="BP5" s="15">
        <f t="shared" si="32"/>
        <v>250522597.0547111</v>
      </c>
      <c r="BQ5" s="247">
        <f>IFERROR(BP5*(0.0000000000000028)*RadSpec!$AY5*RadSpec!$AF5,0)</f>
        <v>7.2735441991150938E-12</v>
      </c>
      <c r="BR5" s="15" t="str">
        <f>IFERROR((DL/(RadSpec!H5*IFA_far_adj)),".")</f>
        <v>.</v>
      </c>
      <c r="BS5" s="15">
        <f>IFERROR((DL/(RadSpec!K5*EF_far*(1/365)*1*ET_far*(1/24)*GSF_a)),".")</f>
        <v>9113664.8428969868</v>
      </c>
      <c r="BT5" s="15">
        <f t="shared" si="53"/>
        <v>9113664.8428969868</v>
      </c>
      <c r="BU5" s="247">
        <f>IFERROR(BT5*(0.0000000000000028)*RadSpec!$AY5*RadSpec!$AF5,0)</f>
        <v>2.6460145643570794E-13</v>
      </c>
    </row>
    <row r="6" spans="1:73" customFormat="1" x14ac:dyDescent="0.25">
      <c r="A6" s="44" t="s">
        <v>4</v>
      </c>
      <c r="B6" s="42" t="s">
        <v>1057</v>
      </c>
      <c r="C6" s="42"/>
      <c r="D6" s="15" t="str">
        <f>d_dir!AC6</f>
        <v>.</v>
      </c>
      <c r="E6" s="15" t="str">
        <f>IFERROR(DL/(RadSpec!F6*IFP_far_adj*CF_far_poultry),".")</f>
        <v>.</v>
      </c>
      <c r="F6" s="15" t="str">
        <f>IFERROR(DL/(RadSpec!F6*IFE_far_adj*CF_far_egg),".")</f>
        <v>.</v>
      </c>
      <c r="G6" s="15" t="str">
        <f>IFERROR(DL/(RadSpec!F6*IFB_far_adj*CF_far_beef),".")</f>
        <v>.</v>
      </c>
      <c r="H6" s="15" t="str">
        <f>IFERROR(DL/(RadSpec!F6*IFD_far_adj*CF_far_dairy),".")</f>
        <v>.</v>
      </c>
      <c r="I6" s="15" t="str">
        <f>IFERROR(DL/(RadSpec!F6*IFSW_far_adj*CF_far_swine),".")</f>
        <v>.</v>
      </c>
      <c r="J6" s="15" t="str">
        <f>IFERROR(DL/(RadSpec!F6*IFFI_far_adj*CF_far_fish),".")</f>
        <v>.</v>
      </c>
      <c r="K6" s="15" t="str">
        <f>IFERROR(DL/(RadSpec!F6*IFSF_far_adj*CF_far_shellfish),".")</f>
        <v>.</v>
      </c>
      <c r="L6" s="111" t="str">
        <f t="shared" si="22"/>
        <v>.</v>
      </c>
      <c r="M6" s="111" t="str">
        <f t="shared" si="23"/>
        <v>.</v>
      </c>
      <c r="N6" s="111" t="str">
        <f t="shared" si="24"/>
        <v>.</v>
      </c>
      <c r="O6" s="111" t="str">
        <f t="shared" si="25"/>
        <v>.</v>
      </c>
      <c r="P6" s="111" t="str">
        <f t="shared" si="26"/>
        <v>.</v>
      </c>
      <c r="Q6" s="111" t="str">
        <f t="shared" si="27"/>
        <v>.</v>
      </c>
      <c r="R6" s="111" t="str">
        <f t="shared" si="28"/>
        <v>.</v>
      </c>
      <c r="S6" s="111" t="str">
        <f t="shared" si="29"/>
        <v>.</v>
      </c>
      <c r="T6" s="15" t="str">
        <f t="shared" si="30"/>
        <v>.</v>
      </c>
      <c r="U6" s="247">
        <f>IFERROR(T6*(0.0000000000028)*RadSpec!$AY6*RadSpec!$AF6,0)</f>
        <v>0</v>
      </c>
      <c r="V6" s="15" t="str">
        <f>IFERROR((DL/(RadSpec!E6*IFS_far_adj*(1/1000)))*1,".")</f>
        <v>.</v>
      </c>
      <c r="W6" s="15" t="str">
        <f>IFERROR(IF(A6="H-3",(DL/(RadSpec!H6*IFA_far_adj*(1/17)*1000))*1,(DL/(RadSpec!H6*IFA_far_adj*(1/PEF_wind)*1000))*1),".")</f>
        <v>.</v>
      </c>
      <c r="X6" s="15">
        <f>IFERROR((DL/(RadSpec!G6*EF_far*(1/365)*1*RadSpec!R6*((ET_far_o*(1/24)*RadSpec!W6)+(ET_far_i*(1/24)*RadSpec!AB6))))*1,".")</f>
        <v>0.45776055467026516</v>
      </c>
      <c r="Y6" s="15" t="str">
        <f>d_b2s!AC6</f>
        <v>.</v>
      </c>
      <c r="Z6" s="15" t="str">
        <f>IFERROR((E6/(RadSpec!AL6*((Q_p_poultry*f_p_poultry*f_s_poultry*(RadSpec!BD6+R_es_past))+(Q_s_poultry*f_p_poultry))))*1,".")</f>
        <v>.</v>
      </c>
      <c r="AA6" s="15" t="str">
        <f>IFERROR((F6/(RadSpec!AM6*((Q_p_poultry*f_p_poultry*f_s_poultry*(RadSpec!BD6+R_es_past))+(Q_s_poultry*f_p_poultry))))*1,".")</f>
        <v>.</v>
      </c>
      <c r="AB6" s="15" t="str">
        <f>IFERROR((G6/(RadSpec!AI6*((Q_p_beef*f_p_beef*f_s_beef*(RadSpec!BD6+R_es_past))+(Q_s_beef*f_p_beef))))*1,".")</f>
        <v>.</v>
      </c>
      <c r="AC6" s="15" t="str">
        <f>IFERROR(((H6*D_milk)/(RadSpec!AH6*((Q_p_dairy*f_p_dairy*f_s_dairy*(RadSpec!BD6+R_es_past))+(Q_s_dairy*f_p_dairy))))*1,".")</f>
        <v>.</v>
      </c>
      <c r="AD6" s="15" t="str">
        <f>IFERROR((I6/(RadSpec!AN6*((Q_p_swine*f_p_swine*f_s_swine*(RadSpec!BD6+R_es_past))+(Q_s_swine*f_p_swine))))*1,".")</f>
        <v>.</v>
      </c>
      <c r="AE6" s="15" t="str">
        <f>IFERROR(((J6*RadSpec!AU6)/RadSpec!AJ6)*1,".")</f>
        <v>.</v>
      </c>
      <c r="AF6" s="15" t="str">
        <f>IFERROR(((K6*RadSpec!AU6)/RadSpec!AK6)*1,".")</f>
        <v>.</v>
      </c>
      <c r="AG6" s="111" t="str">
        <f t="shared" si="33"/>
        <v>.</v>
      </c>
      <c r="AH6" s="111" t="str">
        <f t="shared" si="34"/>
        <v>.</v>
      </c>
      <c r="AI6" s="111">
        <f t="shared" si="35"/>
        <v>2.1845482093150679</v>
      </c>
      <c r="AJ6" s="111" t="str">
        <f t="shared" si="36"/>
        <v>.</v>
      </c>
      <c r="AK6" s="111" t="str">
        <f t="shared" si="37"/>
        <v>.</v>
      </c>
      <c r="AL6" s="111" t="str">
        <f t="shared" si="38"/>
        <v>.</v>
      </c>
      <c r="AM6" s="111" t="str">
        <f t="shared" si="39"/>
        <v>.</v>
      </c>
      <c r="AN6" s="111" t="str">
        <f t="shared" si="40"/>
        <v>.</v>
      </c>
      <c r="AO6" s="111" t="str">
        <f t="shared" si="41"/>
        <v>.</v>
      </c>
      <c r="AP6" s="111" t="str">
        <f t="shared" si="42"/>
        <v>.</v>
      </c>
      <c r="AQ6" s="111" t="str">
        <f t="shared" si="10"/>
        <v>.</v>
      </c>
      <c r="AR6" s="15">
        <f t="shared" si="31"/>
        <v>0.45776055467026516</v>
      </c>
      <c r="AS6" s="247">
        <f>IFERROR(AR6*(0.0000000000028)*RadSpec!$AY6*RadSpec!$AF6,0)</f>
        <v>8.5259401306107819E-16</v>
      </c>
      <c r="AT6" s="15" t="str">
        <f>IFERROR(DL/(RadSpec!I6*IFW_far_adj),".")</f>
        <v>.</v>
      </c>
      <c r="AU6" s="15" t="str">
        <f>IFERROR(IF(AND(RadSpec!C6=1,RadSpec!D6&lt;&gt;0),DL/(RadSpec!H6*IFA_far_adj*K*RadSpec!D6),"."),".")</f>
        <v>.</v>
      </c>
      <c r="AV6" s="15">
        <f>IFERROR((DL/(RadSpec!M6*(1/8760)*DFA_far_adj)),".")</f>
        <v>5371.4107430255372</v>
      </c>
      <c r="AW6" s="15" t="str">
        <f>d_b2w!AC6</f>
        <v>.</v>
      </c>
      <c r="AX6" s="15" t="str">
        <f>IFERROR(E6/(RadSpec!AL6*Q_w_poultry*(1/1000)),".")</f>
        <v>.</v>
      </c>
      <c r="AY6" s="15" t="str">
        <f>IFERROR(F6/(RadSpec!AM6*Q_w_poultry*(1/1000)),".")</f>
        <v>.</v>
      </c>
      <c r="AZ6" s="15" t="str">
        <f>IFERROR(G6/(RadSpec!AI6*Q_w_beef*(1/1000)),".")</f>
        <v>.</v>
      </c>
      <c r="BA6" s="15" t="str">
        <f>IFERROR((H6*D_milk)/(RadSpec!AH6*Q_w_dairy*(1/1000)),".")</f>
        <v>.</v>
      </c>
      <c r="BB6" s="15" t="str">
        <f>IFERROR(I6/(RadSpec!AN6*Q_w_swine*(1/1000)),".")</f>
        <v>.</v>
      </c>
      <c r="BC6" s="15" t="str">
        <f>IFERROR(J6/(RadSpec!AJ6*(1/1000)),".")</f>
        <v>.</v>
      </c>
      <c r="BD6" s="15" t="str">
        <f>IFERROR(K6/(RadSpec!AK6*(1/1000)),".")</f>
        <v>.</v>
      </c>
      <c r="BE6" s="111" t="str">
        <f t="shared" si="43"/>
        <v>.</v>
      </c>
      <c r="BF6" s="111" t="str">
        <f t="shared" si="44"/>
        <v>.</v>
      </c>
      <c r="BG6" s="111">
        <f t="shared" si="45"/>
        <v>1.861708306888356E-4</v>
      </c>
      <c r="BH6" s="111" t="str">
        <f t="shared" si="46"/>
        <v>.</v>
      </c>
      <c r="BI6" s="111" t="str">
        <f t="shared" si="47"/>
        <v>.</v>
      </c>
      <c r="BJ6" s="111" t="str">
        <f t="shared" si="48"/>
        <v>.</v>
      </c>
      <c r="BK6" s="111" t="str">
        <f t="shared" si="49"/>
        <v>.</v>
      </c>
      <c r="BL6" s="111" t="str">
        <f t="shared" si="50"/>
        <v>.</v>
      </c>
      <c r="BM6" s="111" t="str">
        <f t="shared" si="51"/>
        <v>.</v>
      </c>
      <c r="BN6" s="111" t="str">
        <f t="shared" si="52"/>
        <v>.</v>
      </c>
      <c r="BO6" s="111" t="str">
        <f t="shared" si="20"/>
        <v>.</v>
      </c>
      <c r="BP6" s="15">
        <f t="shared" si="32"/>
        <v>5371.4107430255372</v>
      </c>
      <c r="BQ6" s="247">
        <f>IFERROR(BP6*(0.0000000000000028)*RadSpec!$AY6*RadSpec!$AF6,0)</f>
        <v>1.000442828564453E-14</v>
      </c>
      <c r="BR6" s="15" t="str">
        <f>IFERROR((DL/(RadSpec!H6*IFA_far_adj)),".")</f>
        <v>.</v>
      </c>
      <c r="BS6" s="15">
        <f>IFERROR((DL/(RadSpec!K6*EF_far*(1/365)*1*ET_far*(1/24)*GSF_a)),".")</f>
        <v>332.02199055907238</v>
      </c>
      <c r="BT6" s="15">
        <f>IFERROR(IF(AND(BR6&lt;&gt;".",BS6&lt;&gt;"."),1/((1/BR6)+(1/BS6)),IF(AND(BR6&lt;&gt;".",BS6="."),1/((1/BR6)),IF(AND(BR6=".",BS6&lt;&gt;"."),1/((1/BS6)),IF(AND(BR6=".",BS6="."),".")))),".")</f>
        <v>332.02199055907238</v>
      </c>
      <c r="BU6" s="247">
        <f>IFERROR(BT6*(0.0000000000000028)*RadSpec!$AY6*RadSpec!$AF6,0)</f>
        <v>6.1840182267167065E-16</v>
      </c>
    </row>
    <row r="7" spans="1:73" customFormat="1" x14ac:dyDescent="0.25">
      <c r="A7" s="44" t="s">
        <v>5</v>
      </c>
      <c r="B7" s="237" t="s">
        <v>1057</v>
      </c>
      <c r="C7" s="238"/>
      <c r="D7" s="15">
        <f>d_dir!AC7</f>
        <v>0.30314623717489825</v>
      </c>
      <c r="E7" s="15">
        <f>IFERROR(DL/(RadSpec!F7*IFP_far_adj*CF_far_poultry),".")</f>
        <v>2.7413043803343813</v>
      </c>
      <c r="F7" s="15">
        <f>IFERROR(DL/(RadSpec!F7*IFE_far_adj*CF_far_egg),".")</f>
        <v>4.9612632011151732</v>
      </c>
      <c r="G7" s="15">
        <f>IFERROR(DL/(RadSpec!F7*IFB_far_adj*CF_far_beef),".")</f>
        <v>1.7929178936388217</v>
      </c>
      <c r="H7" s="15">
        <f>IFERROR(DL/(RadSpec!F7*IFD_far_adj*CF_far_dairy),".")</f>
        <v>0.30868670058170405</v>
      </c>
      <c r="I7" s="15">
        <f>IFERROR(DL/(RadSpec!F7*IFSW_far_adj*CF_far_swine),".")</f>
        <v>3.2191530334328515</v>
      </c>
      <c r="J7" s="15">
        <f>IFERROR(DL/(RadSpec!F7*IFFI_far_adj*CF_far_fish),".")</f>
        <v>3.1102764373263905</v>
      </c>
      <c r="K7" s="15">
        <f>IFERROR(DL/(RadSpec!F7*IFSF_far_adj*CF_far_shellfish),".")</f>
        <v>2.3733150531114684</v>
      </c>
      <c r="L7" s="111">
        <f t="shared" si="22"/>
        <v>3.29873796</v>
      </c>
      <c r="M7" s="111">
        <f t="shared" si="23"/>
        <v>0.364789845</v>
      </c>
      <c r="N7" s="111">
        <f t="shared" si="24"/>
        <v>0.20156157</v>
      </c>
      <c r="O7" s="111">
        <f t="shared" si="25"/>
        <v>0.55775002499999993</v>
      </c>
      <c r="P7" s="111">
        <f t="shared" si="26"/>
        <v>3.2395305599999999</v>
      </c>
      <c r="Q7" s="111">
        <f t="shared" si="27"/>
        <v>0.31064071500000001</v>
      </c>
      <c r="R7" s="111">
        <f t="shared" si="28"/>
        <v>0.32151482999999997</v>
      </c>
      <c r="S7" s="111">
        <f t="shared" si="29"/>
        <v>0.42135155999999996</v>
      </c>
      <c r="T7" s="15">
        <f t="shared" si="30"/>
        <v>0.11473314647996359</v>
      </c>
      <c r="U7" s="247">
        <f>IFERROR(T7*(0.0000000000028)*RadSpec!$AY7*RadSpec!$AF7,0)</f>
        <v>9.2655471458297732E-13</v>
      </c>
      <c r="V7" s="15">
        <f>IFERROR((DL/(RadSpec!E7*IFS_far_adj*(1/1000)))*1,".")</f>
        <v>3730.4385130472087</v>
      </c>
      <c r="W7" s="15">
        <f>IFERROR(IF(A7="H-3",(DL/(RadSpec!H7*IFA_far_adj*(1/17)*1000))*1,(DL/(RadSpec!H7*IFA_far_adj*(1/PEF_wind)*1000))*1),".")</f>
        <v>388628.97156106454</v>
      </c>
      <c r="X7" s="15">
        <f>IFERROR((DL/(RadSpec!G7*EF_far*(1/365)*1*RadSpec!R7*((ET_far_o*(1/24)*RadSpec!W7)+(ET_far_i*(1/24)*RadSpec!AB7))))*1,".")</f>
        <v>282.78041090552216</v>
      </c>
      <c r="Y7" s="15">
        <f>d_b2s!AC7</f>
        <v>3.0060027666907105</v>
      </c>
      <c r="Z7" s="15" t="str">
        <f>IFERROR((E7/(RadSpec!AL7*((Q_p_poultry*f_p_poultry*f_s_poultry*(RadSpec!BD7+R_es_past))+(Q_s_poultry*f_p_poultry))))*1,".")</f>
        <v>.</v>
      </c>
      <c r="AA7" s="15" t="str">
        <f>IFERROR((F7/(RadSpec!AM7*((Q_p_poultry*f_p_poultry*f_s_poultry*(RadSpec!BD7+R_es_past))+(Q_s_poultry*f_p_poultry))))*1,".")</f>
        <v>.</v>
      </c>
      <c r="AB7" s="15">
        <f>IFERROR((G7/(RadSpec!AI7*((Q_p_beef*f_p_beef*f_s_beef*(RadSpec!BD7+R_es_past))+(Q_s_beef*f_p_beef))))*1,".")</f>
        <v>96.109241149226563</v>
      </c>
      <c r="AC7" s="15">
        <f>IFERROR(((H7*D_milk)/(RadSpec!AH7*((Q_p_dairy*f_p_dairy*f_s_dairy*(RadSpec!BD7+R_es_past))+(Q_s_dairy*f_p_dairy))))*1,".")</f>
        <v>20.348627302345928</v>
      </c>
      <c r="AD7" s="15" t="str">
        <f>IFERROR((I7/(RadSpec!AN7*((Q_p_swine*f_p_swine*f_s_swine*(RadSpec!BD7+R_es_past))+(Q_s_swine*f_p_swine))))*1,".")</f>
        <v>.</v>
      </c>
      <c r="AE7" s="15">
        <f>IFERROR(((J7*RadSpec!AU7)/RadSpec!AJ7)*1,".")</f>
        <v>99.528845994444495</v>
      </c>
      <c r="AF7" s="15" t="str">
        <f>IFERROR(((K7*RadSpec!AU7)/RadSpec!AK7)*1,".")</f>
        <v>.</v>
      </c>
      <c r="AG7" s="111">
        <f t="shared" ref="AG7:AG9" si="54">IFERROR(1/V7,".")</f>
        <v>2.68065E-4</v>
      </c>
      <c r="AH7" s="111">
        <f t="shared" ref="AH7:AH9" si="55">IFERROR(1/W7,".")</f>
        <v>2.5731483578878573E-6</v>
      </c>
      <c r="AI7" s="111">
        <f t="shared" ref="AI7:AI9" si="56">IFERROR(1/X7,".")</f>
        <v>3.5363128471232867E-3</v>
      </c>
      <c r="AJ7" s="111">
        <f t="shared" ref="AJ7:AJ9" si="57">IFERROR(1/Y7,".")</f>
        <v>0.33266769115482009</v>
      </c>
      <c r="AK7" s="111" t="str">
        <f t="shared" ref="AK7:AK9" si="58">IFERROR(1/Z7,".")</f>
        <v>.</v>
      </c>
      <c r="AL7" s="111" t="str">
        <f t="shared" ref="AL7:AL9" si="59">IFERROR(1/AA7,".")</f>
        <v>.</v>
      </c>
      <c r="AM7" s="111">
        <f t="shared" ref="AM7:AM9" si="60">IFERROR(1/AB7,".")</f>
        <v>1.0404826716375E-2</v>
      </c>
      <c r="AN7" s="111">
        <f t="shared" ref="AN7:AN9" si="61">IFERROR(1/AC7,".")</f>
        <v>4.9143364077669907E-2</v>
      </c>
      <c r="AO7" s="111" t="str">
        <f t="shared" ref="AO7:AO9" si="62">IFERROR(1/AD7,".")</f>
        <v>.</v>
      </c>
      <c r="AP7" s="111">
        <f t="shared" ref="AP7:AP9" si="63">IFERROR(1/AE7,".")</f>
        <v>1.0047338437499999E-2</v>
      </c>
      <c r="AQ7" s="111" t="str">
        <f t="shared" si="10"/>
        <v>.</v>
      </c>
      <c r="AR7" s="15">
        <f t="shared" si="31"/>
        <v>2.4626285565300852</v>
      </c>
      <c r="AS7" s="247">
        <f>IFERROR(AR7*(0.0000000000028)*RadSpec!$AY7*RadSpec!$AF7,0)</f>
        <v>1.9887540517492014E-11</v>
      </c>
      <c r="AT7" s="15">
        <f>IFERROR(DL/(RadSpec!I7*IFW_far_adj),".")</f>
        <v>191.34720294399153</v>
      </c>
      <c r="AU7" s="15" t="str">
        <f>IFERROR(IF(AND(RadSpec!C7=1,RadSpec!D7&lt;&gt;0),DL/(RadSpec!H7*IFA_far_adj*K*RadSpec!D7),"."),".")</f>
        <v>.</v>
      </c>
      <c r="AV7" s="15">
        <f>IFERROR((DL/(RadSpec!M7*(1/8760)*DFA_far_adj)),".")</f>
        <v>1050849.8198603652</v>
      </c>
      <c r="AW7" s="15">
        <f>d_b2w!AC7</f>
        <v>41.828637410349664</v>
      </c>
      <c r="AX7" s="15" t="str">
        <f>IFERROR(E7/(RadSpec!AL7*Q_w_poultry*(1/1000)),".")</f>
        <v>.</v>
      </c>
      <c r="AY7" s="15" t="str">
        <f>IFERROR(F7/(RadSpec!AM7*Q_w_poultry*(1/1000)),".")</f>
        <v>.</v>
      </c>
      <c r="AZ7" s="15">
        <f>IFERROR(G7/(RadSpec!AI7*Q_w_beef*(1/1000)),".")</f>
        <v>16914.319751309638</v>
      </c>
      <c r="BA7" s="15">
        <f>IFERROR((H7*D_milk)/(RadSpec!AH7*Q_w_dairy*(1/1000)),".")</f>
        <v>3455.9489304255999</v>
      </c>
      <c r="BB7" s="15" t="str">
        <f>IFERROR(I7/(RadSpec!AN7*Q_w_swine*(1/1000)),".")</f>
        <v>.</v>
      </c>
      <c r="BC7" s="15">
        <f>IFERROR(J7/(RadSpec!AJ7*(1/1000)),".")</f>
        <v>207.35176248842603</v>
      </c>
      <c r="BD7" s="15" t="str">
        <f>IFERROR(K7/(RadSpec!AK7*(1/1000)),".")</f>
        <v>.</v>
      </c>
      <c r="BE7" s="111">
        <f t="shared" ref="BE7:BE9" si="64">IFERROR(1/AT7,".")</f>
        <v>5.2261019999999998E-3</v>
      </c>
      <c r="BF7" s="111" t="str">
        <f t="shared" ref="BF7:BF9" si="65">IFERROR(1/AU7,".")</f>
        <v>.</v>
      </c>
      <c r="BG7" s="111">
        <f t="shared" ref="BG7:BG9" si="66">IFERROR(1/AV7,".")</f>
        <v>9.5161076406986296E-7</v>
      </c>
      <c r="BH7" s="111">
        <f t="shared" ref="BH7:BH9" si="67">IFERROR(1/AW7,".")</f>
        <v>2.3907066113336265E-2</v>
      </c>
      <c r="BI7" s="111" t="str">
        <f t="shared" ref="BI7:BI9" si="68">IFERROR(1/AX7,".")</f>
        <v>.</v>
      </c>
      <c r="BJ7" s="111" t="str">
        <f t="shared" ref="BJ7:BJ9" si="69">IFERROR(1/AY7,".")</f>
        <v>.</v>
      </c>
      <c r="BK7" s="111">
        <f t="shared" ref="BK7:BK9" si="70">IFERROR(1/AZ7,".")</f>
        <v>5.912150264999999E-5</v>
      </c>
      <c r="BL7" s="111">
        <f t="shared" ref="BL7:BL9" si="71">IFERROR(1/BA7,".")</f>
        <v>2.8935612768932038E-4</v>
      </c>
      <c r="BM7" s="111" t="str">
        <f t="shared" ref="BM7:BM9" si="72">IFERROR(1/BB7,".")</f>
        <v>.</v>
      </c>
      <c r="BN7" s="111">
        <f t="shared" ref="BN7:BN9" si="73">IFERROR(1/BC7,".")</f>
        <v>4.8227224499999997E-3</v>
      </c>
      <c r="BO7" s="111" t="str">
        <f t="shared" si="20"/>
        <v>.</v>
      </c>
      <c r="BP7" s="15">
        <f t="shared" si="32"/>
        <v>29.149997892472179</v>
      </c>
      <c r="BQ7" s="247">
        <f>IFERROR(BP7*(0.0000000000000028)*RadSpec!$AY7*RadSpec!$AF7,0)</f>
        <v>2.3540771613084513E-13</v>
      </c>
      <c r="BR7" s="15">
        <f>IFERROR((DL/(RadSpec!H7*IFA_far_adj)),".")</f>
        <v>0.28589439918577275</v>
      </c>
      <c r="BS7" s="15">
        <f>IFERROR((DL/(RadSpec!K7*EF_far*(1/365)*1*ET_far*(1/24)*GSF_a)),".")</f>
        <v>34617.796690073825</v>
      </c>
      <c r="BT7" s="15">
        <f>IFERROR(IF(AND(BR7&lt;&gt;".",BS7&lt;&gt;"."),1/((1/BR7)+(1/BS7)),IF(AND(BR7&lt;&gt;".",BS7="."),1/((1/BR7)),IF(AND(BR7=".",BS7&lt;&gt;"."),1/((1/BS7)),IF(AND(BR7=".",BS7="."),".")))),".")</f>
        <v>0.2858920381189145</v>
      </c>
      <c r="BU7" s="247">
        <f>IFERROR(BT7*(0.0000000000000028)*RadSpec!$AY7*RadSpec!$AF7,0)</f>
        <v>2.308788906326005E-15</v>
      </c>
    </row>
    <row r="8" spans="1:73" customFormat="1" x14ac:dyDescent="0.25">
      <c r="A8" s="44" t="s">
        <v>6</v>
      </c>
      <c r="B8" s="42" t="s">
        <v>1057</v>
      </c>
      <c r="C8" s="42"/>
      <c r="D8" s="15">
        <f>d_dir!AC8</f>
        <v>2.0360568168463318</v>
      </c>
      <c r="E8" s="15">
        <f>IFERROR(DL/(RadSpec!F8*IFP_far_adj*CF_far_poultry),".")</f>
        <v>18.411745838066739</v>
      </c>
      <c r="F8" s="15">
        <f>IFERROR(DL/(RadSpec!F8*IFE_far_adj*CF_far_egg),".")</f>
        <v>33.321917022415342</v>
      </c>
      <c r="G8" s="15">
        <f>IFERROR(DL/(RadSpec!F8*IFB_far_adj*CF_far_beef),".")</f>
        <v>12.041985852798055</v>
      </c>
      <c r="H8" s="15">
        <f>IFERROR(DL/(RadSpec!F8*IFD_far_adj*CF_far_dairy),".")</f>
        <v>2.0732688845039822</v>
      </c>
      <c r="I8" s="15">
        <f>IFERROR(DL/(RadSpec!F8*IFSW_far_adj*CF_far_swine),".")</f>
        <v>21.621177090220648</v>
      </c>
      <c r="J8" s="15">
        <f>IFERROR(DL/(RadSpec!F8*IFFI_far_adj*CF_far_fish),".")</f>
        <v>20.889916370102622</v>
      </c>
      <c r="K8" s="15">
        <f>IFERROR(DL/(RadSpec!F8*IFSF_far_adj*CF_far_shellfish),".")</f>
        <v>15.940175729853145</v>
      </c>
      <c r="L8" s="111">
        <f t="shared" si="22"/>
        <v>0.49114542959999991</v>
      </c>
      <c r="M8" s="111">
        <f t="shared" si="23"/>
        <v>5.4313154700000005E-2</v>
      </c>
      <c r="N8" s="111">
        <f t="shared" si="24"/>
        <v>3.0010278200000001E-2</v>
      </c>
      <c r="O8" s="111">
        <f t="shared" si="25"/>
        <v>8.3042781499999996E-2</v>
      </c>
      <c r="P8" s="111">
        <f t="shared" si="26"/>
        <v>0.48233010560000006</v>
      </c>
      <c r="Q8" s="111">
        <f t="shared" si="27"/>
        <v>4.6250950899999997E-2</v>
      </c>
      <c r="R8" s="111">
        <f t="shared" si="28"/>
        <v>4.7869985800000001E-2</v>
      </c>
      <c r="S8" s="111">
        <f t="shared" si="29"/>
        <v>6.27345656E-2</v>
      </c>
      <c r="T8" s="15">
        <f t="shared" si="30"/>
        <v>0.7705957599400538</v>
      </c>
      <c r="U8" s="247">
        <f>IFERROR(T8*(0.0000000000028)*RadSpec!$AY8*RadSpec!$AF8,0)</f>
        <v>3.9863780743713501E-14</v>
      </c>
      <c r="V8" s="15">
        <f>IFERROR((DL/(RadSpec!E8*IFS_far_adj*(1/1000)))*1,".")</f>
        <v>25055.184042854387</v>
      </c>
      <c r="W8" s="15">
        <f>IFERROR(IF(A8="H-3",(DL/(RadSpec!H8*IFA_far_adj*(1/17)*1000))*1,(DL/(RadSpec!H8*IFA_far_adj*(1/PEF_wind)*1000))*1),".")</f>
        <v>1598305.0661384629</v>
      </c>
      <c r="X8" s="15">
        <f>IFERROR((DL/(RadSpec!G8*EF_far*(1/365)*1*RadSpec!R8*((ET_far_o*(1/24)*RadSpec!W8)+(ET_far_i*(1/24)*RadSpec!AB8))))*1,".")</f>
        <v>2.2514853368292931</v>
      </c>
      <c r="Y8" s="15">
        <f>d_b2s!AC8</f>
        <v>20.189570821057018</v>
      </c>
      <c r="Z8" s="15" t="str">
        <f>IFERROR((E8/(RadSpec!AL8*((Q_p_poultry*f_p_poultry*f_s_poultry*(RadSpec!BD8+R_es_past))+(Q_s_poultry*f_p_poultry))))*1,".")</f>
        <v>.</v>
      </c>
      <c r="AA8" s="15" t="str">
        <f>IFERROR((F8/(RadSpec!AM8*((Q_p_poultry*f_p_poultry*f_s_poultry*(RadSpec!BD8+R_es_past))+(Q_s_poultry*f_p_poultry))))*1,".")</f>
        <v>.</v>
      </c>
      <c r="AB8" s="15">
        <f>IFERROR((G8/(RadSpec!AI8*((Q_p_beef*f_p_beef*f_s_beef*(RadSpec!BD8+R_es_past))+(Q_s_beef*f_p_beef))))*1,".")</f>
        <v>645.50982861420823</v>
      </c>
      <c r="AC8" s="15">
        <f>IFERROR(((H8*D_milk)/(RadSpec!AH8*((Q_p_dairy*f_p_dairy*f_s_dairy*(RadSpec!BD8+R_es_past))+(Q_s_dairy*f_p_dairy))))*1,".")</f>
        <v>136.66988486650249</v>
      </c>
      <c r="AD8" s="15" t="str">
        <f>IFERROR((I8/(RadSpec!AN8*((Q_p_swine*f_p_swine*f_s_swine*(RadSpec!BD8+R_es_past))+(Q_s_swine*f_p_swine))))*1,".")</f>
        <v>.</v>
      </c>
      <c r="AE8" s="15">
        <f>IFERROR(((J8*RadSpec!AU8)/RadSpec!AJ8)*1,".")</f>
        <v>668.4773238432839</v>
      </c>
      <c r="AF8" s="15" t="str">
        <f>IFERROR(((K8*RadSpec!AU8)/RadSpec!AK8)*1,".")</f>
        <v>.</v>
      </c>
      <c r="AG8" s="111">
        <f t="shared" si="54"/>
        <v>3.99119E-5</v>
      </c>
      <c r="AH8" s="111">
        <f t="shared" si="55"/>
        <v>6.2566278565081448E-7</v>
      </c>
      <c r="AI8" s="111">
        <f t="shared" si="56"/>
        <v>0.4441512381369862</v>
      </c>
      <c r="AJ8" s="111">
        <f t="shared" si="57"/>
        <v>4.9530522905273197E-2</v>
      </c>
      <c r="AK8" s="111" t="str">
        <f t="shared" si="58"/>
        <v>.</v>
      </c>
      <c r="AL8" s="111" t="str">
        <f t="shared" si="59"/>
        <v>.</v>
      </c>
      <c r="AM8" s="111">
        <f t="shared" si="60"/>
        <v>1.5491630888825E-3</v>
      </c>
      <c r="AN8" s="111">
        <f t="shared" si="61"/>
        <v>7.316900873786409E-3</v>
      </c>
      <c r="AO8" s="111" t="str">
        <f t="shared" si="62"/>
        <v>.</v>
      </c>
      <c r="AP8" s="111">
        <f t="shared" si="63"/>
        <v>1.49593705625E-3</v>
      </c>
      <c r="AQ8" s="111" t="str">
        <f t="shared" si="10"/>
        <v>.</v>
      </c>
      <c r="AR8" s="15">
        <f t="shared" si="31"/>
        <v>1.9837951722479326</v>
      </c>
      <c r="AS8" s="247">
        <f>IFERROR(AR8*(0.0000000000028)*RadSpec!$AY8*RadSpec!$AF8,0)</f>
        <v>1.0262394357461928E-13</v>
      </c>
      <c r="AT8" s="15">
        <f>IFERROR(DL/(RadSpec!I8*IFW_far_adj),".")</f>
        <v>1285.1677809671073</v>
      </c>
      <c r="AU8" s="15" t="str">
        <f>IFERROR(IF(AND(RadSpec!C8=1,RadSpec!D8&lt;&gt;0),DL/(RadSpec!H8*IFA_far_adj*K*RadSpec!D8),"."),".")</f>
        <v>.</v>
      </c>
      <c r="AV8" s="15">
        <f>IFERROR((DL/(RadSpec!M8*(1/8760)*DFA_far_adj)),".")</f>
        <v>24853.432247491179</v>
      </c>
      <c r="AW8" s="15">
        <f>d_b2w!AC8</f>
        <v>280.93860947249777</v>
      </c>
      <c r="AX8" s="15" t="str">
        <f>IFERROR(E8/(RadSpec!AL8*Q_w_poultry*(1/1000)),".")</f>
        <v>.</v>
      </c>
      <c r="AY8" s="15" t="str">
        <f>IFERROR(F8/(RadSpec!AM8*Q_w_poultry*(1/1000)),".")</f>
        <v>.</v>
      </c>
      <c r="AZ8" s="15">
        <f>IFERROR(G8/(RadSpec!AI8*Q_w_beef*(1/1000)),".")</f>
        <v>113603.64012073637</v>
      </c>
      <c r="BA8" s="15">
        <f>IFERROR((H8*D_milk)/(RadSpec!AH8*Q_w_dairy*(1/1000)),".")</f>
        <v>23211.59729390328</v>
      </c>
      <c r="BB8" s="15" t="str">
        <f>IFERROR(I8/(RadSpec!AN8*Q_w_swine*(1/1000)),".")</f>
        <v>.</v>
      </c>
      <c r="BC8" s="15">
        <f>IFERROR(J8/(RadSpec!AJ8*(1/1000)),".")</f>
        <v>1392.6610913401748</v>
      </c>
      <c r="BD8" s="15" t="str">
        <f>IFERROR(K8/(RadSpec!AK8*(1/1000)),".")</f>
        <v>.</v>
      </c>
      <c r="BE8" s="111">
        <f t="shared" si="64"/>
        <v>7.7810851999999999E-4</v>
      </c>
      <c r="BF8" s="111" t="str">
        <f t="shared" si="65"/>
        <v>.</v>
      </c>
      <c r="BG8" s="111">
        <f t="shared" si="66"/>
        <v>4.0235891366712324E-5</v>
      </c>
      <c r="BH8" s="111">
        <f t="shared" si="67"/>
        <v>3.5594965102078435E-3</v>
      </c>
      <c r="BI8" s="111" t="str">
        <f t="shared" si="68"/>
        <v>.</v>
      </c>
      <c r="BJ8" s="111" t="str">
        <f t="shared" si="69"/>
        <v>.</v>
      </c>
      <c r="BK8" s="111">
        <f t="shared" si="70"/>
        <v>8.802534838999999E-6</v>
      </c>
      <c r="BL8" s="111">
        <f t="shared" si="71"/>
        <v>4.3081912344854371E-5</v>
      </c>
      <c r="BM8" s="111" t="str">
        <f t="shared" si="72"/>
        <v>.</v>
      </c>
      <c r="BN8" s="111">
        <f t="shared" si="73"/>
        <v>7.180497869999999E-4</v>
      </c>
      <c r="BO8" s="111" t="str">
        <f t="shared" si="20"/>
        <v>.</v>
      </c>
      <c r="BP8" s="15">
        <f t="shared" si="32"/>
        <v>194.25867869955022</v>
      </c>
      <c r="BQ8" s="247">
        <f>IFERROR(BP8*(0.0000000000000028)*RadSpec!$AY8*RadSpec!$AF8,0)</f>
        <v>1.0049218770480609E-14</v>
      </c>
      <c r="BR8" s="15">
        <f>IFERROR((DL/(RadSpec!H8*IFA_far_adj)),".")</f>
        <v>1.175791050172474</v>
      </c>
      <c r="BS8" s="15">
        <f>IFERROR((DL/(RadSpec!K8*EF_far*(1/365)*1*ET_far*(1/24)*GSF_a)),".")</f>
        <v>1503.6012703769438</v>
      </c>
      <c r="BT8" s="15">
        <f t="shared" ref="BT8:BT9" si="74">IFERROR(IF(AND(BR8&lt;&gt;".",BS8&lt;&gt;"."),1/((1/BR8)+(1/BS8)),IF(AND(BR8&lt;&gt;".",BS8="."),1/((1/BR8)),IF(AND(BR8=".",BS8&lt;&gt;"."),1/((1/BS8)),IF(AND(BR8=".",BS8="."),".")))),".")</f>
        <v>1.1748723196647439</v>
      </c>
      <c r="BU8" s="247">
        <f>IFERROR(BT8*(0.0000000000000028)*RadSpec!$AY8*RadSpec!$AF8,0)</f>
        <v>6.0777459451135333E-17</v>
      </c>
    </row>
    <row r="9" spans="1:73" customFormat="1" x14ac:dyDescent="0.25">
      <c r="A9" s="44" t="s">
        <v>7</v>
      </c>
      <c r="B9" s="237" t="s">
        <v>1057</v>
      </c>
      <c r="C9" s="238"/>
      <c r="D9" s="15">
        <f>d_dir!AC9</f>
        <v>3.6621693081531324</v>
      </c>
      <c r="E9" s="15">
        <f>IFERROR(DL/(RadSpec!F9*IFP_far_adj*CF_far_poultry),".")</f>
        <v>33.116428755717358</v>
      </c>
      <c r="F9" s="15">
        <f>IFERROR(DL/(RadSpec!F9*IFE_far_adj*CF_far_egg),".")</f>
        <v>59.934723234948393</v>
      </c>
      <c r="G9" s="15">
        <f>IFERROR(DL/(RadSpec!F9*IFB_far_adj*CF_far_beef),".")</f>
        <v>21.659410795636767</v>
      </c>
      <c r="H9" s="15">
        <f>IFERROR(DL/(RadSpec!F9*IFD_far_adj*CF_far_dairy),".")</f>
        <v>3.7291010808528</v>
      </c>
      <c r="I9" s="15">
        <f>IFERROR(DL/(RadSpec!F9*IFSW_far_adj*CF_far_swine),".")</f>
        <v>38.889097048182101</v>
      </c>
      <c r="J9" s="15">
        <f>IFERROR(DL/(RadSpec!F9*IFFI_far_adj*CF_far_fish),".")</f>
        <v>37.573809309983233</v>
      </c>
      <c r="K9" s="15">
        <f>IFERROR(DL/(RadSpec!F9*IFSF_far_adj*CF_far_shellfish),".")</f>
        <v>28.670920104702301</v>
      </c>
      <c r="L9" s="111">
        <f t="shared" si="22"/>
        <v>0.27306219780000007</v>
      </c>
      <c r="M9" s="111">
        <f t="shared" si="23"/>
        <v>3.0196492724999999E-2</v>
      </c>
      <c r="N9" s="111">
        <f t="shared" si="24"/>
        <v>1.6684818850000002E-2</v>
      </c>
      <c r="O9" s="111">
        <f t="shared" si="25"/>
        <v>4.6169307625000003E-2</v>
      </c>
      <c r="P9" s="111">
        <f t="shared" si="26"/>
        <v>0.26816114080000003</v>
      </c>
      <c r="Q9" s="111">
        <f t="shared" si="27"/>
        <v>2.5714148075000002E-2</v>
      </c>
      <c r="R9" s="111">
        <f t="shared" si="28"/>
        <v>2.6614283150000004E-2</v>
      </c>
      <c r="S9" s="111">
        <f t="shared" si="29"/>
        <v>3.4878545800000001E-2</v>
      </c>
      <c r="T9" s="15">
        <f t="shared" si="30"/>
        <v>1.3860380111673447</v>
      </c>
      <c r="U9" s="247">
        <f>IFERROR(T9*(0.0000000000028)*RadSpec!$AY9*RadSpec!$AF9,0)</f>
        <v>3.1444497960807283E-14</v>
      </c>
      <c r="V9" s="15">
        <f>IFERROR((DL/(RadSpec!E9*IFS_far_adj*(1/1000)))*1,".")</f>
        <v>45065.700157617284</v>
      </c>
      <c r="W9" s="15">
        <f>IFERROR(IF(A9="H-3",(DL/(RadSpec!H9*IFA_far_adj*(1/17)*1000))*1,(DL/(RadSpec!H9*IFA_far_adj*(1/PEF_wind)*1000))*1),".")</f>
        <v>5735993.7277947292</v>
      </c>
      <c r="X9" s="15">
        <f>IFERROR((DL/(RadSpec!G9*EF_far*(1/365)*1*RadSpec!R9*((ET_far_o*(1/24)*RadSpec!W9)+(ET_far_i*(1/24)*RadSpec!AB9))))*1,".")</f>
        <v>0.16943693332375864</v>
      </c>
      <c r="Y9" s="15">
        <f>d_b2s!AC9</f>
        <v>36.314127382840809</v>
      </c>
      <c r="Z9" s="15" t="str">
        <f>IFERROR((E9/(RadSpec!AL9*((Q_p_poultry*f_p_poultry*f_s_poultry*(RadSpec!BD9+R_es_past))+(Q_s_poultry*f_p_poultry))))*1,".")</f>
        <v>.</v>
      </c>
      <c r="AA9" s="15" t="str">
        <f>IFERROR((F9/(RadSpec!AM9*((Q_p_poultry*f_p_poultry*f_s_poultry*(RadSpec!BD9+R_es_past))+(Q_s_poultry*f_p_poultry))))*1,".")</f>
        <v>.</v>
      </c>
      <c r="AB9" s="15">
        <f>IFERROR((G9/(RadSpec!AI9*((Q_p_beef*f_p_beef*f_s_beef*(RadSpec!BD9+R_es_past))+(Q_s_beef*f_p_beef))))*1,".")</f>
        <v>1161.0512353597837</v>
      </c>
      <c r="AC9" s="15">
        <f>IFERROR(((H9*D_milk)/(RadSpec!AH9*((Q_p_dairy*f_p_dairy*f_s_dairy*(RadSpec!BD9+R_es_past))+(Q_s_dairy*f_p_dairy))))*1,".")</f>
        <v>245.82234324981653</v>
      </c>
      <c r="AD9" s="15" t="str">
        <f>IFERROR((I9/(RadSpec!AN9*((Q_p_swine*f_p_swine*f_s_swine*(RadSpec!BD9+R_es_past))+(Q_s_swine*f_p_swine))))*1,".")</f>
        <v>.</v>
      </c>
      <c r="AE9" s="15">
        <f>IFERROR(((J9*RadSpec!AU9)/RadSpec!AJ9)*1,".")</f>
        <v>1202.3618979194632</v>
      </c>
      <c r="AF9" s="15" t="str">
        <f>IFERROR(((K9*RadSpec!AU9)/RadSpec!AK9)*1,".")</f>
        <v>.</v>
      </c>
      <c r="AG9" s="111">
        <f t="shared" si="54"/>
        <v>2.2189825000000001E-5</v>
      </c>
      <c r="AH9" s="111">
        <f t="shared" si="55"/>
        <v>1.7433770806867005E-7</v>
      </c>
      <c r="AI9" s="111">
        <f t="shared" si="56"/>
        <v>5.9019009632876713</v>
      </c>
      <c r="AJ9" s="111">
        <f t="shared" si="57"/>
        <v>2.7537492212260099E-2</v>
      </c>
      <c r="AK9" s="111" t="str">
        <f t="shared" si="58"/>
        <v>.</v>
      </c>
      <c r="AL9" s="111" t="str">
        <f t="shared" si="59"/>
        <v>.</v>
      </c>
      <c r="AM9" s="111">
        <f t="shared" si="60"/>
        <v>8.6128843374437514E-4</v>
      </c>
      <c r="AN9" s="111">
        <f t="shared" si="61"/>
        <v>4.0679784708737877E-3</v>
      </c>
      <c r="AO9" s="111" t="str">
        <f t="shared" si="62"/>
        <v>.</v>
      </c>
      <c r="AP9" s="111">
        <f t="shared" si="63"/>
        <v>8.3169634843750025E-4</v>
      </c>
      <c r="AQ9" s="111" t="str">
        <f t="shared" si="10"/>
        <v>.</v>
      </c>
      <c r="AR9" s="15">
        <f t="shared" si="31"/>
        <v>0.16848570054761239</v>
      </c>
      <c r="AS9" s="247">
        <f>IFERROR(AR9*(0.0000000000028)*RadSpec!$AY9*RadSpec!$AF9,0)</f>
        <v>3.8223686685421867E-15</v>
      </c>
      <c r="AT9" s="15">
        <f>IFERROR(DL/(RadSpec!I9*IFW_far_adj),".")</f>
        <v>2311.576948316676</v>
      </c>
      <c r="AU9" s="15">
        <f>IFERROR(IF(AND(RadSpec!C9=1,RadSpec!D9&lt;&gt;0),DL/(RadSpec!H9*IFA_far_adj*K*RadSpec!D9),"."),".")</f>
        <v>10.364378106107441</v>
      </c>
      <c r="AV9" s="15">
        <f>IFERROR((DL/(RadSpec!M9*(1/8760)*DFA_far_adj)),".")</f>
        <v>2033.4626384310968</v>
      </c>
      <c r="AW9" s="15">
        <f>d_b2w!AC9</f>
        <v>505.31239824583491</v>
      </c>
      <c r="AX9" s="15" t="str">
        <f>IFERROR(E9/(RadSpec!AL9*Q_w_poultry*(1/1000)),".")</f>
        <v>.</v>
      </c>
      <c r="AY9" s="15" t="str">
        <f>IFERROR(F9/(RadSpec!AM9*Q_w_poultry*(1/1000)),".")</f>
        <v>.</v>
      </c>
      <c r="AZ9" s="15">
        <f>IFERROR(G9/(RadSpec!AI9*Q_w_beef*(1/1000)),".")</f>
        <v>204334.06410978083</v>
      </c>
      <c r="BA9" s="15">
        <f>IFERROR((H9*D_milk)/(RadSpec!AH9*Q_w_dairy*(1/1000)),".")</f>
        <v>41749.718622591128</v>
      </c>
      <c r="BB9" s="15" t="str">
        <f>IFERROR(I9/(RadSpec!AN9*Q_w_swine*(1/1000)),".")</f>
        <v>.</v>
      </c>
      <c r="BC9" s="15">
        <f>IFERROR(J9/(RadSpec!AJ9*(1/1000)),".")</f>
        <v>2504.920620665549</v>
      </c>
      <c r="BD9" s="15" t="str">
        <f>IFERROR(K9/(RadSpec!AK9*(1/1000)),".")</f>
        <v>.</v>
      </c>
      <c r="BE9" s="111">
        <f t="shared" si="64"/>
        <v>4.3260511000000002E-4</v>
      </c>
      <c r="BF9" s="111">
        <f t="shared" si="65"/>
        <v>9.6484322528789995E-2</v>
      </c>
      <c r="BG9" s="111">
        <f t="shared" si="66"/>
        <v>4.9177200559315053E-4</v>
      </c>
      <c r="BH9" s="111">
        <f t="shared" si="67"/>
        <v>1.9789738060483906E-3</v>
      </c>
      <c r="BI9" s="111" t="str">
        <f t="shared" si="68"/>
        <v>.</v>
      </c>
      <c r="BJ9" s="111" t="str">
        <f t="shared" si="69"/>
        <v>.</v>
      </c>
      <c r="BK9" s="111">
        <f t="shared" si="70"/>
        <v>4.8939466082500004E-6</v>
      </c>
      <c r="BL9" s="111">
        <f t="shared" si="71"/>
        <v>2.3952257236504857E-5</v>
      </c>
      <c r="BM9" s="111" t="str">
        <f t="shared" si="72"/>
        <v>.</v>
      </c>
      <c r="BN9" s="111">
        <f t="shared" si="73"/>
        <v>3.9921424725000005E-4</v>
      </c>
      <c r="BO9" s="111" t="str">
        <f t="shared" si="20"/>
        <v>.</v>
      </c>
      <c r="BP9" s="15">
        <f t="shared" si="32"/>
        <v>10.01846062652362</v>
      </c>
      <c r="BQ9" s="247">
        <f>IFERROR(BP9*(0.0000000000000028)*RadSpec!$AY9*RadSpec!$AF9,0)</f>
        <v>2.2728486679512505E-16</v>
      </c>
      <c r="BR9" s="15">
        <f>IFERROR((DL/(RadSpec!H9*IFA_far_adj)),".")</f>
        <v>4.2196763508238915</v>
      </c>
      <c r="BS9" s="15">
        <f>IFERROR((DL/(RadSpec!K9*EF_far*(1/365)*1*ET_far*(1/24)*GSF_a)),".")</f>
        <v>125.61732132263079</v>
      </c>
      <c r="BT9" s="15">
        <f t="shared" si="74"/>
        <v>4.0825377168076891</v>
      </c>
      <c r="BU9" s="247">
        <f>IFERROR(BT9*(0.0000000000000028)*RadSpec!$AY9*RadSpec!$AF9,0)</f>
        <v>9.2618923778980628E-17</v>
      </c>
    </row>
    <row r="10" spans="1:73" customFormat="1" x14ac:dyDescent="0.25">
      <c r="A10" s="46" t="s">
        <v>8</v>
      </c>
      <c r="B10" s="42" t="s">
        <v>335</v>
      </c>
      <c r="C10" s="42"/>
      <c r="D10" s="15">
        <f>d_dir!AC10</f>
        <v>4.1027310294347134E-2</v>
      </c>
      <c r="E10" s="15">
        <f>IFERROR(DL/(RadSpec!F10*IFP_far_adj*CF_far_poultry),".")</f>
        <v>0.37100360034600655</v>
      </c>
      <c r="F10" s="15">
        <f>IFERROR(DL/(RadSpec!F10*IFE_far_adj*CF_far_egg),".")</f>
        <v>0.67144915503814373</v>
      </c>
      <c r="G10" s="15">
        <f>IFERROR(DL/(RadSpec!F10*IFB_far_adj*CF_far_beef),".")</f>
        <v>0.24265054199623146</v>
      </c>
      <c r="H10" s="15">
        <f>IFERROR(DL/(RadSpec!F10*IFD_far_adj*CF_far_dairy),".")</f>
        <v>4.1777147447147917E-2</v>
      </c>
      <c r="I10" s="15">
        <f>IFERROR(DL/(RadSpec!F10*IFSW_far_adj*CF_far_swine),".")</f>
        <v>0.4356748466300101</v>
      </c>
      <c r="J10" s="15">
        <f>IFERROR(DL/(RadSpec!F10*IFFI_far_adj*CF_far_fish),".")</f>
        <v>0.42093966820958667</v>
      </c>
      <c r="K10" s="15">
        <f>IFERROR(DL/(RadSpec!F10*IFSF_far_adj*CF_far_shellfish),".")</f>
        <v>0.32120053350380773</v>
      </c>
      <c r="L10" s="111">
        <f t="shared" si="22"/>
        <v>24.374008259999997</v>
      </c>
      <c r="M10" s="111">
        <f t="shared" si="23"/>
        <v>2.6953916324999998</v>
      </c>
      <c r="N10" s="111">
        <f t="shared" si="24"/>
        <v>1.489316045</v>
      </c>
      <c r="O10" s="111">
        <f t="shared" si="25"/>
        <v>4.1211529625000001</v>
      </c>
      <c r="P10" s="111">
        <f t="shared" si="26"/>
        <v>23.93653136</v>
      </c>
      <c r="Q10" s="111">
        <f t="shared" si="27"/>
        <v>2.2952897274999997</v>
      </c>
      <c r="R10" s="111">
        <f t="shared" si="28"/>
        <v>2.3756373549999998</v>
      </c>
      <c r="S10" s="111">
        <f t="shared" si="29"/>
        <v>3.1133198599999998</v>
      </c>
      <c r="T10" s="15">
        <f t="shared" si="30"/>
        <v>1.5527794260446199E-2</v>
      </c>
      <c r="U10" s="247">
        <f>IFERROR(T10*(0.0000000000028)*RadSpec!$AY10*RadSpec!$AF10,0)</f>
        <v>1.7968918112908E-10</v>
      </c>
      <c r="V10" s="15">
        <f>IFERROR((DL/(RadSpec!E10*IFS_far_adj*(1/1000)))*1,".")</f>
        <v>504.8713777056372</v>
      </c>
      <c r="W10" s="15">
        <f>IFERROR(IF(A10="H-3",(DL/(RadSpec!H10*IFA_far_adj*(1/17)*1000))*1,(DL/(RadSpec!H10*IFA_far_adj*(1/PEF_wind)*1000))*1),".")</f>
        <v>1360667.3824440152</v>
      </c>
      <c r="X10" s="15">
        <f>IFERROR((DL/(RadSpec!G10*EF_far*(1/365)*1*RadSpec!R10*((ET_far_o*(1/24)*RadSpec!W10)+(ET_far_i*(1/24)*RadSpec!AB10))))*1,".")</f>
        <v>1781.8206536627526</v>
      </c>
      <c r="Y10" s="15">
        <f>d_b2s!AC10</f>
        <v>1.61979685068912</v>
      </c>
      <c r="Z10" s="15">
        <f>IFERROR((E10/(RadSpec!AL10*((Q_p_poultry*f_p_poultry*f_s_poultry*(RadSpec!BD10+R_es_past))+(Q_s_poultry*f_p_poultry))))*1,".")</f>
        <v>1.7467212822316702</v>
      </c>
      <c r="AA10" s="15">
        <f>IFERROR((F10/(RadSpec!AM10*((Q_p_poultry*f_p_poultry*f_s_poultry*(RadSpec!BD10+R_es_past))+(Q_s_poultry*f_p_poultry))))*1,".")</f>
        <v>21.338426537229161</v>
      </c>
      <c r="AB10" s="15">
        <f>IFERROR((G10/(RadSpec!AI10*((Q_p_beef*f_p_beef*f_s_beef*(RadSpec!BD10+R_es_past))+(Q_s_beef*f_p_beef))))*1,".")</f>
        <v>2.8761537026566488</v>
      </c>
      <c r="AC10" s="15">
        <f>IFERROR(((H10*D_milk)/(RadSpec!AH10*((Q_p_dairy*f_p_dairy*f_s_dairy*(RadSpec!BD10+R_es_past))+(Q_s_dairy*f_p_dairy))))*1,".")</f>
        <v>1.520636396542556</v>
      </c>
      <c r="AD10" s="15">
        <f>IFERROR((I10/(RadSpec!AN10*((Q_p_swine*f_p_swine*f_s_swine*(RadSpec!BD10+R_es_past))+(Q_s_swine*f_p_swine))))*1,".")</f>
        <v>1.2801415669833802</v>
      </c>
      <c r="AE10" s="15">
        <f>IFERROR(((J10*RadSpec!AU10)/RadSpec!AJ10)*1,".")</f>
        <v>1.6837586728383467E-3</v>
      </c>
      <c r="AF10" s="15">
        <f>IFERROR(((K10*RadSpec!AU10)/RadSpec!AK10)*1,".")</f>
        <v>0.13965240587122074</v>
      </c>
      <c r="AG10" s="111">
        <f t="shared" ref="AG10" si="75">IFERROR(1/V10,".")</f>
        <v>1.9807025000000002E-3</v>
      </c>
      <c r="AH10" s="111">
        <f t="shared" ref="AH10" si="76">IFERROR(1/W10,".")</f>
        <v>7.3493346934194266E-7</v>
      </c>
      <c r="AI10" s="111">
        <f t="shared" ref="AI10" si="77">IFERROR(1/X10,".")</f>
        <v>5.6122371123287654E-4</v>
      </c>
      <c r="AJ10" s="111">
        <f t="shared" ref="AJ10" si="78">IFERROR(1/Y10,".")</f>
        <v>0.61736136823241994</v>
      </c>
      <c r="AK10" s="111">
        <f t="shared" ref="AK10" si="79">IFERROR(1/Z10,".")</f>
        <v>0.57250118274299955</v>
      </c>
      <c r="AL10" s="111">
        <f t="shared" ref="AL10" si="80">IFERROR(1/AA10,".")</f>
        <v>4.6863811549333292E-2</v>
      </c>
      <c r="AM10" s="111">
        <f t="shared" ref="AM10" si="81">IFERROR(1/AB10,".")</f>
        <v>0.34768656455192881</v>
      </c>
      <c r="AN10" s="111">
        <f t="shared" ref="AN10" si="82">IFERROR(1/AC10,".")</f>
        <v>0.65761940347717718</v>
      </c>
      <c r="AO10" s="111">
        <f t="shared" ref="AO10" si="83">IFERROR(1/AD10,".")</f>
        <v>0.78116360392583262</v>
      </c>
      <c r="AP10" s="111">
        <f t="shared" ref="AP10" si="84">IFERROR(1/AE10,".")</f>
        <v>593.90933874999996</v>
      </c>
      <c r="AQ10" s="111">
        <f t="shared" si="10"/>
        <v>7.1606356780000002</v>
      </c>
      <c r="AR10" s="15">
        <f t="shared" si="31"/>
        <v>1.6553668209211296E-3</v>
      </c>
      <c r="AS10" s="247">
        <f>IFERROR(AR10*(0.0000000000028)*RadSpec!$AY10*RadSpec!$AF10,0)</f>
        <v>1.9156069660020003E-11</v>
      </c>
      <c r="AT10" s="15">
        <f>IFERROR(DL/(RadSpec!I10*IFW_far_adj),".")</f>
        <v>25.896613932269531</v>
      </c>
      <c r="AU10" s="15" t="str">
        <f>IFERROR(IF(AND(RadSpec!C10=1,RadSpec!D10&lt;&gt;0),DL/(RadSpec!H10*IFA_far_adj*K*RadSpec!D10),"."),".")</f>
        <v>.</v>
      </c>
      <c r="AV10" s="15">
        <f>IFERROR((DL/(RadSpec!M10*(1/8760)*DFA_far_adj)),".")</f>
        <v>2982411.8696989412</v>
      </c>
      <c r="AW10" s="15">
        <f>d_b2w!AC10</f>
        <v>9.0212945460834106</v>
      </c>
      <c r="AX10" s="15">
        <f>IFERROR(E10/(RadSpec!AL10*Q_w_poultry*(1/1000)),".")</f>
        <v>343.52185217222825</v>
      </c>
      <c r="AY10" s="15">
        <f>IFERROR(F10/(RadSpec!AM10*Q_w_poultry*(1/1000)),".")</f>
        <v>4196.5572189883969</v>
      </c>
      <c r="AZ10" s="15">
        <f>IFERROR(G10/(RadSpec!AI10*Q_w_beef*(1/1000)),".")</f>
        <v>208.10509605165649</v>
      </c>
      <c r="BA10" s="15">
        <f>IFERROR((H10*D_milk)/(RadSpec!AH10*Q_w_dairy*(1/1000)),".")</f>
        <v>101.67878513837985</v>
      </c>
      <c r="BB10" s="15">
        <f>IFERROR(I10/(RadSpec!AN10*Q_w_swine*(1/1000)),".")</f>
        <v>191.08545904825002</v>
      </c>
      <c r="BC10" s="15">
        <f>IFERROR(J10/(RadSpec!AJ10*(1/1000)),".")</f>
        <v>0.16837586728383466</v>
      </c>
      <c r="BD10" s="15">
        <f>IFERROR(K10/(RadSpec!AK10*(1/1000)),".")</f>
        <v>13.965240587122075</v>
      </c>
      <c r="BE10" s="111">
        <f t="shared" ref="BE10" si="85">IFERROR(1/AT10,".")</f>
        <v>3.8615086999999999E-2</v>
      </c>
      <c r="BF10" s="111" t="str">
        <f t="shared" ref="BF10" si="86">IFERROR(1/AU10,".")</f>
        <v>.</v>
      </c>
      <c r="BG10" s="111">
        <f t="shared" ref="BG10" si="87">IFERROR(1/AV10,".")</f>
        <v>3.3529909472260274E-7</v>
      </c>
      <c r="BH10" s="111">
        <f t="shared" ref="BH10" si="88">IFERROR(1/AW10,".")</f>
        <v>0.11084883603918567</v>
      </c>
      <c r="BI10" s="111">
        <f t="shared" ref="BI10" si="89">IFERROR(1/AX10,".")</f>
        <v>2.9110229631E-3</v>
      </c>
      <c r="BJ10" s="111">
        <f t="shared" ref="BJ10" si="90">IFERROR(1/AY10,".")</f>
        <v>2.3829056720000007E-4</v>
      </c>
      <c r="BK10" s="111">
        <f t="shared" ref="BK10" si="91">IFERROR(1/AZ10,".")</f>
        <v>4.805264354275E-3</v>
      </c>
      <c r="BL10" s="111">
        <f t="shared" ref="BL10" si="92">IFERROR(1/BA10,".")</f>
        <v>9.8348932733514569E-3</v>
      </c>
      <c r="BM10" s="111">
        <f t="shared" ref="BM10" si="93">IFERROR(1/BB10,".")</f>
        <v>5.2332605787000002E-3</v>
      </c>
      <c r="BN10" s="111">
        <f t="shared" ref="BN10" si="94">IFERROR(1/BC10,".")</f>
        <v>5.9390933874999998</v>
      </c>
      <c r="BO10" s="111">
        <f t="shared" si="20"/>
        <v>7.1606356780000005E-2</v>
      </c>
      <c r="BP10" s="15">
        <f t="shared" si="32"/>
        <v>0.16172890177225582</v>
      </c>
      <c r="BQ10" s="247">
        <f>IFERROR(BP10*(0.0000000000000028)*RadSpec!$AY10*RadSpec!$AF10,0)</f>
        <v>1.871542953038005E-12</v>
      </c>
      <c r="BR10" s="15">
        <f>IFERROR((DL/(RadSpec!H10*IFA_far_adj)),".")</f>
        <v>1.0009731961899959</v>
      </c>
      <c r="BS10" s="15">
        <f>IFERROR((DL/(RadSpec!K10*EF_far*(1/365)*1*ET_far*(1/24)*GSF_a)),".")</f>
        <v>95014.803681266494</v>
      </c>
      <c r="BT10" s="15">
        <f>IFERROR(IF(AND(BR10&lt;&gt;".",BS10&lt;&gt;"."),1/((1/BR10)+(1/BS10)),IF(AND(BR10&lt;&gt;".",BS10="."),1/((1/BR10)),IF(AND(BR10=".",BS10&lt;&gt;"."),1/((1/BS10)),IF(AND(BR10=".",BS10="."),".")))),".")</f>
        <v>1.0009626511302228</v>
      </c>
      <c r="BU10" s="247">
        <f>IFERROR(BT10*(0.0000000000000028)*RadSpec!$AY10*RadSpec!$AF10,0)</f>
        <v>1.1583239454720485E-11</v>
      </c>
    </row>
    <row r="11" spans="1:73" customFormat="1" x14ac:dyDescent="0.25">
      <c r="A11" s="44" t="s">
        <v>9</v>
      </c>
      <c r="B11" s="42" t="s">
        <v>1057</v>
      </c>
      <c r="C11" s="42"/>
      <c r="D11" s="15" t="str">
        <f>d_dir!AC11</f>
        <v>.</v>
      </c>
      <c r="E11" s="15" t="str">
        <f>IFERROR(DL/(RadSpec!F11*IFP_far_adj*CF_far_poultry),".")</f>
        <v>.</v>
      </c>
      <c r="F11" s="15" t="str">
        <f>IFERROR(DL/(RadSpec!F11*IFE_far_adj*CF_far_egg),".")</f>
        <v>.</v>
      </c>
      <c r="G11" s="15" t="str">
        <f>IFERROR(DL/(RadSpec!F11*IFB_far_adj*CF_far_beef),".")</f>
        <v>.</v>
      </c>
      <c r="H11" s="15" t="str">
        <f>IFERROR(DL/(RadSpec!F11*IFD_far_adj*CF_far_dairy),".")</f>
        <v>.</v>
      </c>
      <c r="I11" s="15" t="str">
        <f>IFERROR(DL/(RadSpec!F11*IFSW_far_adj*CF_far_swine),".")</f>
        <v>.</v>
      </c>
      <c r="J11" s="15" t="str">
        <f>IFERROR(DL/(RadSpec!F11*IFFI_far_adj*CF_far_fish),".")</f>
        <v>.</v>
      </c>
      <c r="K11" s="15" t="str">
        <f>IFERROR(DL/(RadSpec!F11*IFSF_far_adj*CF_far_shellfish),".")</f>
        <v>.</v>
      </c>
      <c r="L11" s="111" t="str">
        <f t="shared" si="22"/>
        <v>.</v>
      </c>
      <c r="M11" s="111" t="str">
        <f t="shared" si="23"/>
        <v>.</v>
      </c>
      <c r="N11" s="111" t="str">
        <f t="shared" si="24"/>
        <v>.</v>
      </c>
      <c r="O11" s="111" t="str">
        <f t="shared" si="25"/>
        <v>.</v>
      </c>
      <c r="P11" s="111" t="str">
        <f t="shared" si="26"/>
        <v>.</v>
      </c>
      <c r="Q11" s="111" t="str">
        <f t="shared" si="27"/>
        <v>.</v>
      </c>
      <c r="R11" s="111" t="str">
        <f t="shared" si="28"/>
        <v>.</v>
      </c>
      <c r="S11" s="111" t="str">
        <f t="shared" si="29"/>
        <v>.</v>
      </c>
      <c r="T11" s="15" t="str">
        <f t="shared" si="30"/>
        <v>.</v>
      </c>
      <c r="U11" s="247">
        <f>IFERROR(T11*(0.0000000000028)*RadSpec!$AY11*RadSpec!$AF11,0)</f>
        <v>0</v>
      </c>
      <c r="V11" s="15" t="str">
        <f>IFERROR((DL/(RadSpec!E11*IFS_far_adj*(1/1000)))*1,".")</f>
        <v>.</v>
      </c>
      <c r="W11" s="15" t="str">
        <f>IFERROR(IF(A11="H-3",(DL/(RadSpec!H11*IFA_far_adj*(1/17)*1000))*1,(DL/(RadSpec!H11*IFA_far_adj*(1/PEF_wind)*1000))*1),".")</f>
        <v>.</v>
      </c>
      <c r="X11" s="15">
        <f>IFERROR((DL/(RadSpec!G11*EF_far*(1/365)*1*RadSpec!R11*((ET_far_o*(1/24)*RadSpec!W11)+(ET_far_i*(1/24)*RadSpec!AB11))))*1,".")</f>
        <v>11.620569480409255</v>
      </c>
      <c r="Y11" s="15" t="str">
        <f>d_b2s!AC11</f>
        <v>.</v>
      </c>
      <c r="Z11" s="15" t="str">
        <f>IFERROR((E11/(RadSpec!AL11*((Q_p_poultry*f_p_poultry*f_s_poultry*(RadSpec!BD11+R_es_past))+(Q_s_poultry*f_p_poultry))))*1,".")</f>
        <v>.</v>
      </c>
      <c r="AA11" s="15" t="str">
        <f>IFERROR((F11/(RadSpec!AM11*((Q_p_poultry*f_p_poultry*f_s_poultry*(RadSpec!BD11+R_es_past))+(Q_s_poultry*f_p_poultry))))*1,".")</f>
        <v>.</v>
      </c>
      <c r="AB11" s="15" t="str">
        <f>IFERROR((G11/(RadSpec!AI11*((Q_p_beef*f_p_beef*f_s_beef*(RadSpec!BD11+R_es_past))+(Q_s_beef*f_p_beef))))*1,".")</f>
        <v>.</v>
      </c>
      <c r="AC11" s="15" t="str">
        <f>IFERROR(((H11*D_milk)/(RadSpec!AH11*((Q_p_dairy*f_p_dairy*f_s_dairy*(RadSpec!BD11+R_es_past))+(Q_s_dairy*f_p_dairy))))*1,".")</f>
        <v>.</v>
      </c>
      <c r="AD11" s="15" t="str">
        <f>IFERROR((I11/(RadSpec!AN11*((Q_p_swine*f_p_swine*f_s_swine*(RadSpec!BD11+R_es_past))+(Q_s_swine*f_p_swine))))*1,".")</f>
        <v>.</v>
      </c>
      <c r="AE11" s="15" t="str">
        <f>IFERROR(((J11*RadSpec!AU11)/RadSpec!AJ11)*1,".")</f>
        <v>.</v>
      </c>
      <c r="AF11" s="15" t="str">
        <f>IFERROR(((K11*RadSpec!AU11)/RadSpec!AK11)*1,".")</f>
        <v>.</v>
      </c>
      <c r="AG11" s="111" t="str">
        <f t="shared" ref="AG11" si="95">IFERROR(1/V11,".")</f>
        <v>.</v>
      </c>
      <c r="AH11" s="111" t="str">
        <f t="shared" ref="AH11" si="96">IFERROR(1/W11,".")</f>
        <v>.</v>
      </c>
      <c r="AI11" s="111">
        <f t="shared" ref="AI11" si="97">IFERROR(1/X11,".")</f>
        <v>8.6054302389041076E-2</v>
      </c>
      <c r="AJ11" s="111" t="str">
        <f t="shared" ref="AJ11" si="98">IFERROR(1/Y11,".")</f>
        <v>.</v>
      </c>
      <c r="AK11" s="111" t="str">
        <f t="shared" ref="AK11" si="99">IFERROR(1/Z11,".")</f>
        <v>.</v>
      </c>
      <c r="AL11" s="111" t="str">
        <f t="shared" ref="AL11" si="100">IFERROR(1/AA11,".")</f>
        <v>.</v>
      </c>
      <c r="AM11" s="111" t="str">
        <f t="shared" ref="AM11" si="101">IFERROR(1/AB11,".")</f>
        <v>.</v>
      </c>
      <c r="AN11" s="111" t="str">
        <f t="shared" ref="AN11" si="102">IFERROR(1/AC11,".")</f>
        <v>.</v>
      </c>
      <c r="AO11" s="111" t="str">
        <f t="shared" ref="AO11" si="103">IFERROR(1/AD11,".")</f>
        <v>.</v>
      </c>
      <c r="AP11" s="111" t="str">
        <f t="shared" ref="AP11" si="104">IFERROR(1/AE11,".")</f>
        <v>.</v>
      </c>
      <c r="AQ11" s="111" t="str">
        <f t="shared" si="10"/>
        <v>.</v>
      </c>
      <c r="AR11" s="15">
        <f t="shared" si="31"/>
        <v>11.620569480409255</v>
      </c>
      <c r="AS11" s="247">
        <f>IFERROR(AR11*(0.0000000000028)*RadSpec!$AY11*RadSpec!$AF11,0)</f>
        <v>6.7037597284890636E-14</v>
      </c>
      <c r="AT11" s="15" t="str">
        <f>IFERROR(DL/(RadSpec!I11*IFW_far_adj),".")</f>
        <v>.</v>
      </c>
      <c r="AU11" s="15" t="str">
        <f>IFERROR(IF(AND(RadSpec!C11=1,RadSpec!D11&lt;&gt;0),DL/(RadSpec!H11*IFA_far_adj*K*RadSpec!D11),"."),".")</f>
        <v>.</v>
      </c>
      <c r="AV11" s="15">
        <f>IFERROR((DL/(RadSpec!M11*(1/8760)*DFA_far_adj)),".")</f>
        <v>113873.9077521414</v>
      </c>
      <c r="AW11" s="15" t="str">
        <f>d_b2w!AC11</f>
        <v>.</v>
      </c>
      <c r="AX11" s="15" t="str">
        <f>IFERROR(E11/(RadSpec!AL11*Q_w_poultry*(1/1000)),".")</f>
        <v>.</v>
      </c>
      <c r="AY11" s="15" t="str">
        <f>IFERROR(F11/(RadSpec!AM11*Q_w_poultry*(1/1000)),".")</f>
        <v>.</v>
      </c>
      <c r="AZ11" s="15" t="str">
        <f>IFERROR(G11/(RadSpec!AI11*Q_w_beef*(1/1000)),".")</f>
        <v>.</v>
      </c>
      <c r="BA11" s="15" t="str">
        <f>IFERROR((H11*D_milk)/(RadSpec!AH11*Q_w_dairy*(1/1000)),".")</f>
        <v>.</v>
      </c>
      <c r="BB11" s="15" t="str">
        <f>IFERROR(I11/(RadSpec!AN11*Q_w_swine*(1/1000)),".")</f>
        <v>.</v>
      </c>
      <c r="BC11" s="15" t="str">
        <f>IFERROR(J11/(RadSpec!AJ11*(1/1000)),".")</f>
        <v>.</v>
      </c>
      <c r="BD11" s="15" t="str">
        <f>IFERROR(K11/(RadSpec!AK11*(1/1000)),".")</f>
        <v>.</v>
      </c>
      <c r="BE11" s="111" t="str">
        <f t="shared" ref="BE11" si="105">IFERROR(1/AT11,".")</f>
        <v>.</v>
      </c>
      <c r="BF11" s="111" t="str">
        <f t="shared" ref="BF11" si="106">IFERROR(1/AU11,".")</f>
        <v>.</v>
      </c>
      <c r="BG11" s="111">
        <f t="shared" ref="BG11" si="107">IFERROR(1/AV11,".")</f>
        <v>8.7816429570205471E-6</v>
      </c>
      <c r="BH11" s="111" t="str">
        <f t="shared" ref="BH11" si="108">IFERROR(1/AW11,".")</f>
        <v>.</v>
      </c>
      <c r="BI11" s="111" t="str">
        <f t="shared" ref="BI11" si="109">IFERROR(1/AX11,".")</f>
        <v>.</v>
      </c>
      <c r="BJ11" s="111" t="str">
        <f t="shared" ref="BJ11" si="110">IFERROR(1/AY11,".")</f>
        <v>.</v>
      </c>
      <c r="BK11" s="111" t="str">
        <f t="shared" ref="BK11" si="111">IFERROR(1/AZ11,".")</f>
        <v>.</v>
      </c>
      <c r="BL11" s="111" t="str">
        <f t="shared" ref="BL11" si="112">IFERROR(1/BA11,".")</f>
        <v>.</v>
      </c>
      <c r="BM11" s="111" t="str">
        <f t="shared" ref="BM11" si="113">IFERROR(1/BB11,".")</f>
        <v>.</v>
      </c>
      <c r="BN11" s="111" t="str">
        <f t="shared" ref="BN11" si="114">IFERROR(1/BC11,".")</f>
        <v>.</v>
      </c>
      <c r="BO11" s="111" t="str">
        <f t="shared" si="20"/>
        <v>.</v>
      </c>
      <c r="BP11" s="15">
        <f t="shared" si="32"/>
        <v>113873.9077521414</v>
      </c>
      <c r="BQ11" s="247">
        <f>IFERROR(BP11*(0.0000000000000028)*RadSpec!$AY11*RadSpec!$AF11,0)</f>
        <v>6.5692418792508186E-13</v>
      </c>
      <c r="BR11" s="15" t="str">
        <f>IFERROR((DL/(RadSpec!H11*IFA_far_adj)),".")</f>
        <v>.</v>
      </c>
      <c r="BS11" s="15">
        <f>IFERROR((DL/(RadSpec!K11*EF_far*(1/365)*1*ET_far*(1/24)*GSF_a)),".")</f>
        <v>7145.1132368312401</v>
      </c>
      <c r="BT11" s="15">
        <f>IFERROR(IF(AND(BR11&lt;&gt;".",BS11&lt;&gt;"."),1/((1/BR11)+(1/BS11)),IF(AND(BR11&lt;&gt;".",BS11="."),1/((1/BR11)),IF(AND(BR11=".",BS11&lt;&gt;"."),1/((1/BS11)),IF(AND(BR11=".",BS11="."),".")))),".")</f>
        <v>7145.1132368312401</v>
      </c>
      <c r="BU11" s="247">
        <f>IFERROR(BT11*(0.0000000000000028)*RadSpec!$AY11*RadSpec!$AF11,0)</f>
        <v>4.1219255608182546E-14</v>
      </c>
    </row>
    <row r="12" spans="1:73" customFormat="1" x14ac:dyDescent="0.25">
      <c r="A12" s="44" t="s">
        <v>10</v>
      </c>
      <c r="B12" s="237" t="s">
        <v>1057</v>
      </c>
      <c r="C12" s="238"/>
      <c r="D12" s="15" t="str">
        <f>d_dir!AC12</f>
        <v>.</v>
      </c>
      <c r="E12" s="15" t="str">
        <f>IFERROR(DL/(RadSpec!F12*IFP_far_adj*CF_far_poultry),".")</f>
        <v>.</v>
      </c>
      <c r="F12" s="15" t="str">
        <f>IFERROR(DL/(RadSpec!F12*IFE_far_adj*CF_far_egg),".")</f>
        <v>.</v>
      </c>
      <c r="G12" s="15" t="str">
        <f>IFERROR(DL/(RadSpec!F12*IFB_far_adj*CF_far_beef),".")</f>
        <v>.</v>
      </c>
      <c r="H12" s="15" t="str">
        <f>IFERROR(DL/(RadSpec!F12*IFD_far_adj*CF_far_dairy),".")</f>
        <v>.</v>
      </c>
      <c r="I12" s="15" t="str">
        <f>IFERROR(DL/(RadSpec!F12*IFSW_far_adj*CF_far_swine),".")</f>
        <v>.</v>
      </c>
      <c r="J12" s="15" t="str">
        <f>IFERROR(DL/(RadSpec!F12*IFFI_far_adj*CF_far_fish),".")</f>
        <v>.</v>
      </c>
      <c r="K12" s="15" t="str">
        <f>IFERROR(DL/(RadSpec!F12*IFSF_far_adj*CF_far_shellfish),".")</f>
        <v>.</v>
      </c>
      <c r="L12" s="111" t="str">
        <f t="shared" si="22"/>
        <v>.</v>
      </c>
      <c r="M12" s="111" t="str">
        <f t="shared" si="23"/>
        <v>.</v>
      </c>
      <c r="N12" s="111" t="str">
        <f t="shared" si="24"/>
        <v>.</v>
      </c>
      <c r="O12" s="111" t="str">
        <f t="shared" si="25"/>
        <v>.</v>
      </c>
      <c r="P12" s="111" t="str">
        <f t="shared" si="26"/>
        <v>.</v>
      </c>
      <c r="Q12" s="111" t="str">
        <f t="shared" si="27"/>
        <v>.</v>
      </c>
      <c r="R12" s="111" t="str">
        <f t="shared" si="28"/>
        <v>.</v>
      </c>
      <c r="S12" s="111" t="str">
        <f t="shared" si="29"/>
        <v>.</v>
      </c>
      <c r="T12" s="15" t="str">
        <f t="shared" si="30"/>
        <v>.</v>
      </c>
      <c r="U12" s="247">
        <f>IFERROR(T12*(0.0000000000028)*RadSpec!$AY12*RadSpec!$AF12,0)</f>
        <v>0</v>
      </c>
      <c r="V12" s="15" t="str">
        <f>IFERROR((DL/(RadSpec!E12*IFS_far_adj*(1/1000)))*1,".")</f>
        <v>.</v>
      </c>
      <c r="W12" s="15" t="str">
        <f>IFERROR(IF(A12="H-3",(DL/(RadSpec!H12*IFA_far_adj*(1/17)*1000))*1,(DL/(RadSpec!H12*IFA_far_adj*(1/PEF_wind)*1000))*1),".")</f>
        <v>.</v>
      </c>
      <c r="X12" s="15">
        <f>IFERROR((DL/(RadSpec!G12*EF_far*(1/365)*1*RadSpec!R12*((ET_far_o*(1/24)*RadSpec!W12)+(ET_far_i*(1/24)*RadSpec!AB12))))*1,".")</f>
        <v>2.5260567193694512</v>
      </c>
      <c r="Y12" s="15" t="str">
        <f>d_b2s!AC12</f>
        <v>.</v>
      </c>
      <c r="Z12" s="15" t="str">
        <f>IFERROR((E12/(RadSpec!AL12*((Q_p_poultry*f_p_poultry*f_s_poultry*(RadSpec!BD12+R_es_past))+(Q_s_poultry*f_p_poultry))))*1,".")</f>
        <v>.</v>
      </c>
      <c r="AA12" s="15" t="str">
        <f>IFERROR((F12/(RadSpec!AM12*((Q_p_poultry*f_p_poultry*f_s_poultry*(RadSpec!BD12+R_es_past))+(Q_s_poultry*f_p_poultry))))*1,".")</f>
        <v>.</v>
      </c>
      <c r="AB12" s="15" t="str">
        <f>IFERROR((G12/(RadSpec!AI12*((Q_p_beef*f_p_beef*f_s_beef*(RadSpec!BD12+R_es_past))+(Q_s_beef*f_p_beef))))*1,".")</f>
        <v>.</v>
      </c>
      <c r="AC12" s="15" t="str">
        <f>IFERROR(((H12*D_milk)/(RadSpec!AH12*((Q_p_dairy*f_p_dairy*f_s_dairy*(RadSpec!BD12+R_es_past))+(Q_s_dairy*f_p_dairy))))*1,".")</f>
        <v>.</v>
      </c>
      <c r="AD12" s="15" t="str">
        <f>IFERROR((I12/(RadSpec!AN12*((Q_p_swine*f_p_swine*f_s_swine*(RadSpec!BD12+R_es_past))+(Q_s_swine*f_p_swine))))*1,".")</f>
        <v>.</v>
      </c>
      <c r="AE12" s="15" t="str">
        <f>IFERROR(((J12*RadSpec!AU12)/RadSpec!AJ12)*1,".")</f>
        <v>.</v>
      </c>
      <c r="AF12" s="15" t="str">
        <f>IFERROR(((K12*RadSpec!AU12)/RadSpec!AK12)*1,".")</f>
        <v>.</v>
      </c>
      <c r="AG12" s="111" t="str">
        <f t="shared" ref="AG12" si="115">IFERROR(1/V12,".")</f>
        <v>.</v>
      </c>
      <c r="AH12" s="111" t="str">
        <f t="shared" ref="AH12" si="116">IFERROR(1/W12,".")</f>
        <v>.</v>
      </c>
      <c r="AI12" s="111">
        <f t="shared" ref="AI12" si="117">IFERROR(1/X12,".")</f>
        <v>0.3958739296438355</v>
      </c>
      <c r="AJ12" s="111" t="str">
        <f t="shared" ref="AJ12" si="118">IFERROR(1/Y12,".")</f>
        <v>.</v>
      </c>
      <c r="AK12" s="111" t="str">
        <f t="shared" ref="AK12" si="119">IFERROR(1/Z12,".")</f>
        <v>.</v>
      </c>
      <c r="AL12" s="111" t="str">
        <f t="shared" ref="AL12" si="120">IFERROR(1/AA12,".")</f>
        <v>.</v>
      </c>
      <c r="AM12" s="111" t="str">
        <f t="shared" ref="AM12" si="121">IFERROR(1/AB12,".")</f>
        <v>.</v>
      </c>
      <c r="AN12" s="111" t="str">
        <f t="shared" ref="AN12" si="122">IFERROR(1/AC12,".")</f>
        <v>.</v>
      </c>
      <c r="AO12" s="111" t="str">
        <f t="shared" ref="AO12" si="123">IFERROR(1/AD12,".")</f>
        <v>.</v>
      </c>
      <c r="AP12" s="111" t="str">
        <f t="shared" ref="AP12" si="124">IFERROR(1/AE12,".")</f>
        <v>.</v>
      </c>
      <c r="AQ12" s="111" t="str">
        <f t="shared" si="10"/>
        <v>.</v>
      </c>
      <c r="AR12" s="15">
        <f t="shared" si="31"/>
        <v>2.5260567193694512</v>
      </c>
      <c r="AS12" s="247">
        <f>IFERROR(AR12*(0.0000000000028)*RadSpec!$AY12*RadSpec!$AF12,0)</f>
        <v>2.2592828297599421E-14</v>
      </c>
      <c r="AT12" s="15" t="str">
        <f>IFERROR(DL/(RadSpec!I12*IFW_far_adj),".")</f>
        <v>.</v>
      </c>
      <c r="AU12" s="15" t="str">
        <f>IFERROR(IF(AND(RadSpec!C12=1,RadSpec!D12&lt;&gt;0),DL/(RadSpec!H12*IFA_far_adj*K*RadSpec!D12),"."),".")</f>
        <v>.</v>
      </c>
      <c r="AV12" s="15">
        <f>IFERROR((DL/(RadSpec!M12*(1/8760)*DFA_far_adj)),".")</f>
        <v>26315.398850284775</v>
      </c>
      <c r="AW12" s="15" t="str">
        <f>d_b2w!AC12</f>
        <v>.</v>
      </c>
      <c r="AX12" s="15" t="str">
        <f>IFERROR(E12/(RadSpec!AL12*Q_w_poultry*(1/1000)),".")</f>
        <v>.</v>
      </c>
      <c r="AY12" s="15" t="str">
        <f>IFERROR(F12/(RadSpec!AM12*Q_w_poultry*(1/1000)),".")</f>
        <v>.</v>
      </c>
      <c r="AZ12" s="15" t="str">
        <f>IFERROR(G12/(RadSpec!AI12*Q_w_beef*(1/1000)),".")</f>
        <v>.</v>
      </c>
      <c r="BA12" s="15" t="str">
        <f>IFERROR((H12*D_milk)/(RadSpec!AH12*Q_w_dairy*(1/1000)),".")</f>
        <v>.</v>
      </c>
      <c r="BB12" s="15" t="str">
        <f>IFERROR(I12/(RadSpec!AN12*Q_w_swine*(1/1000)),".")</f>
        <v>.</v>
      </c>
      <c r="BC12" s="15" t="str">
        <f>IFERROR(J12/(RadSpec!AJ12*(1/1000)),".")</f>
        <v>.</v>
      </c>
      <c r="BD12" s="15" t="str">
        <f>IFERROR(K12/(RadSpec!AK12*(1/1000)),".")</f>
        <v>.</v>
      </c>
      <c r="BE12" s="111" t="str">
        <f t="shared" ref="BE12" si="125">IFERROR(1/AT12,".")</f>
        <v>.</v>
      </c>
      <c r="BF12" s="111" t="str">
        <f t="shared" ref="BF12" si="126">IFERROR(1/AU12,".")</f>
        <v>.</v>
      </c>
      <c r="BG12" s="111">
        <f t="shared" ref="BG12" si="127">IFERROR(1/AV12,".")</f>
        <v>3.8000564068561644E-5</v>
      </c>
      <c r="BH12" s="111" t="str">
        <f t="shared" ref="BH12" si="128">IFERROR(1/AW12,".")</f>
        <v>.</v>
      </c>
      <c r="BI12" s="111" t="str">
        <f t="shared" ref="BI12" si="129">IFERROR(1/AX12,".")</f>
        <v>.</v>
      </c>
      <c r="BJ12" s="111" t="str">
        <f t="shared" ref="BJ12" si="130">IFERROR(1/AY12,".")</f>
        <v>.</v>
      </c>
      <c r="BK12" s="111" t="str">
        <f t="shared" ref="BK12" si="131">IFERROR(1/AZ12,".")</f>
        <v>.</v>
      </c>
      <c r="BL12" s="111" t="str">
        <f t="shared" ref="BL12" si="132">IFERROR(1/BA12,".")</f>
        <v>.</v>
      </c>
      <c r="BM12" s="111" t="str">
        <f t="shared" ref="BM12" si="133">IFERROR(1/BB12,".")</f>
        <v>.</v>
      </c>
      <c r="BN12" s="111" t="str">
        <f t="shared" ref="BN12" si="134">IFERROR(1/BC12,".")</f>
        <v>.</v>
      </c>
      <c r="BO12" s="111" t="str">
        <f t="shared" si="20"/>
        <v>.</v>
      </c>
      <c r="BP12" s="15">
        <f t="shared" si="32"/>
        <v>26315.398850284775</v>
      </c>
      <c r="BQ12" s="247">
        <f>IFERROR(BP12*(0.0000000000000028)*RadSpec!$AY12*RadSpec!$AF12,0)</f>
        <v>2.3536260419193466E-13</v>
      </c>
      <c r="BR12" s="15" t="str">
        <f>IFERROR((DL/(RadSpec!H12*IFA_far_adj)),".")</f>
        <v>.</v>
      </c>
      <c r="BS12" s="15">
        <f>IFERROR((DL/(RadSpec!K12*EF_far*(1/365)*1*ET_far*(1/24)*GSF_a)),".")</f>
        <v>1606.3653859782462</v>
      </c>
      <c r="BT12" s="15">
        <f>IFERROR(IF(AND(BR12&lt;&gt;".",BS12&lt;&gt;"."),1/((1/BR12)+(1/BS12)),IF(AND(BR12&lt;&gt;".",BS12="."),1/((1/BR12)),IF(AND(BR12=".",BS12&lt;&gt;"."),1/((1/BS12)),IF(AND(BR12=".",BS12="."),".")))),".")</f>
        <v>1606.3653859782462</v>
      </c>
      <c r="BU12" s="247">
        <f>IFERROR(BT12*(0.0000000000000028)*RadSpec!$AY12*RadSpec!$AF12,0)</f>
        <v>1.436719020215538E-14</v>
      </c>
    </row>
    <row r="13" spans="1:73" customFormat="1" x14ac:dyDescent="0.25">
      <c r="A13" s="44" t="s">
        <v>11</v>
      </c>
      <c r="B13" s="42" t="s">
        <v>1057</v>
      </c>
      <c r="C13" s="42"/>
      <c r="D13" s="15">
        <f>d_dir!AC13</f>
        <v>4.3653058153185357E-3</v>
      </c>
      <c r="E13" s="15">
        <f>IFERROR(DL/(RadSpec!F13*IFP_far_adj*CF_far_poultry),".")</f>
        <v>3.9474783076815088E-2</v>
      </c>
      <c r="F13" s="15">
        <f>IFERROR(DL/(RadSpec!F13*IFE_far_adj*CF_far_egg),".")</f>
        <v>7.1442190096058483E-2</v>
      </c>
      <c r="G13" s="15">
        <f>IFERROR(DL/(RadSpec!F13*IFB_far_adj*CF_far_beef),".")</f>
        <v>2.5818017668399026E-2</v>
      </c>
      <c r="H13" s="15">
        <f>IFERROR(DL/(RadSpec!F13*IFD_far_adj*CF_far_dairy),".")</f>
        <v>4.4450884883765378E-3</v>
      </c>
      <c r="I13" s="15">
        <f>IFERROR(DL/(RadSpec!F13*IFSW_far_adj*CF_far_swine),".")</f>
        <v>4.6355803681433064E-2</v>
      </c>
      <c r="J13" s="15">
        <f>IFERROR(DL/(RadSpec!F13*IFFI_far_adj*CF_far_fish),".")</f>
        <v>4.4787980697500021E-2</v>
      </c>
      <c r="K13" s="15">
        <f>IFERROR(DL/(RadSpec!F13*IFSF_far_adj*CF_far_shellfish),".")</f>
        <v>3.4175736764805141E-2</v>
      </c>
      <c r="L13" s="111">
        <f t="shared" si="22"/>
        <v>229.07902499999994</v>
      </c>
      <c r="M13" s="111">
        <f t="shared" si="23"/>
        <v>25.332628125000003</v>
      </c>
      <c r="N13" s="111">
        <f t="shared" si="24"/>
        <v>13.997331250000002</v>
      </c>
      <c r="O13" s="111">
        <f t="shared" si="25"/>
        <v>38.732640625000002</v>
      </c>
      <c r="P13" s="111">
        <f t="shared" si="26"/>
        <v>224.96740000000003</v>
      </c>
      <c r="Q13" s="111">
        <f t="shared" si="27"/>
        <v>21.572271875000002</v>
      </c>
      <c r="R13" s="111">
        <f t="shared" si="28"/>
        <v>22.32741875</v>
      </c>
      <c r="S13" s="111">
        <f t="shared" si="29"/>
        <v>29.260525000000001</v>
      </c>
      <c r="T13" s="15">
        <f t="shared" si="30"/>
        <v>1.6521573093114755E-3</v>
      </c>
      <c r="U13" s="247">
        <f>IFERROR(T13*(0.0000000000028)*RadSpec!$AY13*RadSpec!$AF13,0)</f>
        <v>2.3506206899443003E-6</v>
      </c>
      <c r="V13" s="15">
        <f>IFERROR((DL/(RadSpec!E13*IFS_far_adj*(1/1000)))*1,".")</f>
        <v>53.718314587879803</v>
      </c>
      <c r="W13" s="15">
        <f>IFERROR(IF(A13="H-3",(DL/(RadSpec!H13*IFA_far_adj*(1/17)*1000))*1,(DL/(RadSpec!H13*IFA_far_adj*(1/PEF_wind)*1000))*1),".")</f>
        <v>4503.1610990409063</v>
      </c>
      <c r="X13" s="15">
        <f>IFERROR((DL/(RadSpec!G13*EF_far*(1/365)*1*RadSpec!R13*((ET_far_o*(1/24)*RadSpec!W13)+(ET_far_i*(1/24)*RadSpec!AB13))))*1,".")</f>
        <v>23.079292589225062</v>
      </c>
      <c r="Y13" s="15">
        <f>d_b2s!AC13</f>
        <v>0.4207720211563013</v>
      </c>
      <c r="Z13" s="15" t="str">
        <f>IFERROR((E13/(RadSpec!AL13*((Q_p_poultry*f_p_poultry*f_s_poultry*(RadSpec!BD13+R_es_past))+(Q_s_poultry*f_p_poultry))))*1,".")</f>
        <v>.</v>
      </c>
      <c r="AA13" s="15" t="str">
        <f>IFERROR((F13/(RadSpec!AM13*((Q_p_poultry*f_p_poultry*f_s_poultry*(RadSpec!BD13+R_es_past))+(Q_s_poultry*f_p_poultry))))*1,".")</f>
        <v>.</v>
      </c>
      <c r="AB13" s="15">
        <f>IFERROR((G13/(RadSpec!AI13*((Q_p_beef*f_p_beef*f_s_beef*(RadSpec!BD13+R_es_past))+(Q_s_beef*f_p_beef))))*1,".")</f>
        <v>74.152771612986911</v>
      </c>
      <c r="AC13" s="15">
        <f>IFERROR(((H13*D_milk)/(RadSpec!AH13*((Q_p_dairy*f_p_dairy*f_s_dairy*(RadSpec!BD13+R_es_past))+(Q_s_dairy*f_p_dairy))))*1,".")</f>
        <v>826.03580882147605</v>
      </c>
      <c r="AD13" s="15" t="str">
        <f>IFERROR((I13/(RadSpec!AN13*((Q_p_swine*f_p_swine*f_s_swine*(RadSpec!BD13+R_es_past))+(Q_s_swine*f_p_swine))))*1,".")</f>
        <v>.</v>
      </c>
      <c r="AE13" s="15">
        <f>IFERROR(((J13*RadSpec!AU13)/RadSpec!AJ13)*1,".")</f>
        <v>2.9858653798333349E-4</v>
      </c>
      <c r="AF13" s="15">
        <f>IFERROR(((K13*RadSpec!AU13)/RadSpec!AK13)*1,".")</f>
        <v>7.1948919504852931E-7</v>
      </c>
      <c r="AG13" s="111">
        <f t="shared" ref="AG13:AG14" si="135">IFERROR(1/V13,".")</f>
        <v>1.8615625E-2</v>
      </c>
      <c r="AH13" s="111">
        <f t="shared" ref="AH13:AH14" si="136">IFERROR(1/W13,".")</f>
        <v>2.2206622814648633E-4</v>
      </c>
      <c r="AI13" s="111">
        <f t="shared" ref="AI13:AI14" si="137">IFERROR(1/X13,".")</f>
        <v>4.3328884372602738E-2</v>
      </c>
      <c r="AJ13" s="111">
        <f t="shared" ref="AJ13:AJ14" si="138">IFERROR(1/Y13,".")</f>
        <v>2.3765838737375002</v>
      </c>
      <c r="AK13" s="111" t="str">
        <f t="shared" ref="AK13:AK14" si="139">IFERROR(1/Z13,".")</f>
        <v>.</v>
      </c>
      <c r="AL13" s="111" t="str">
        <f t="shared" ref="AL13:AL14" si="140">IFERROR(1/AA13,".")</f>
        <v>.</v>
      </c>
      <c r="AM13" s="111">
        <f t="shared" ref="AM13:AM14" si="141">IFERROR(1/AB13,".")</f>
        <v>1.3485672595208333E-2</v>
      </c>
      <c r="AN13" s="111">
        <f t="shared" ref="AN13:AN14" si="142">IFERROR(1/AC13,".")</f>
        <v>1.2106012709385112E-3</v>
      </c>
      <c r="AO13" s="111" t="str">
        <f t="shared" ref="AO13:AO14" si="143">IFERROR(1/AD13,".")</f>
        <v>.</v>
      </c>
      <c r="AP13" s="111">
        <f t="shared" ref="AP13:AP14" si="144">IFERROR(1/AE13,".")</f>
        <v>3349.1128124999996</v>
      </c>
      <c r="AQ13" s="111">
        <f t="shared" si="10"/>
        <v>1389874.9375</v>
      </c>
      <c r="AR13" s="15">
        <f t="shared" si="31"/>
        <v>7.1775838121209011E-7</v>
      </c>
      <c r="AS13" s="247">
        <f>IFERROR(AR13*(0.0000000000028)*RadSpec!$AY13*RadSpec!$AF13,0)</f>
        <v>1.0211967660399035E-9</v>
      </c>
      <c r="AT13" s="15">
        <f>IFERROR(DL/(RadSpec!I13*IFW_far_adj),".")</f>
        <v>2.7553997223934776</v>
      </c>
      <c r="AU13" s="15" t="str">
        <f>IFERROR(IF(AND(RadSpec!C13=1,RadSpec!D13&lt;&gt;0),DL/(RadSpec!H13*IFA_far_adj*K*RadSpec!D13),"."),".")</f>
        <v>.</v>
      </c>
      <c r="AV13" s="15">
        <f>IFERROR((DL/(RadSpec!M13*(1/8760)*DFA_far_adj)),".")</f>
        <v>162255.56804061597</v>
      </c>
      <c r="AW13" s="15">
        <f>d_b2w!AC13</f>
        <v>1.0877174048294909</v>
      </c>
      <c r="AX13" s="15" t="str">
        <f>IFERROR(E13/(RadSpec!AL13*Q_w_poultry*(1/1000)),".")</f>
        <v>.</v>
      </c>
      <c r="AY13" s="15" t="str">
        <f>IFERROR(F13/(RadSpec!AM13*Q_w_poultry*(1/1000)),".")</f>
        <v>.</v>
      </c>
      <c r="AZ13" s="15">
        <f>IFERROR(G13/(RadSpec!AI13*Q_w_beef*(1/1000)),".")</f>
        <v>4871.324088377175</v>
      </c>
      <c r="BA13" s="15">
        <f>IFERROR((H13*D_milk)/(RadSpec!AH13*Q_w_dairy*(1/1000)),".")</f>
        <v>49765.664598128635</v>
      </c>
      <c r="BB13" s="15" t="str">
        <f>IFERROR(I13/(RadSpec!AN13*Q_w_swine*(1/1000)),".")</f>
        <v>.</v>
      </c>
      <c r="BC13" s="15">
        <f>IFERROR(J13/(RadSpec!AJ13*(1/1000)),".")</f>
        <v>1.4929326899166675</v>
      </c>
      <c r="BD13" s="15">
        <f>IFERROR(K13/(RadSpec!AK13*(1/1000)),".")</f>
        <v>3.5974459752426465E-3</v>
      </c>
      <c r="BE13" s="111">
        <f t="shared" ref="BE13:BE14" si="145">IFERROR(1/AT13,".")</f>
        <v>0.36292375000000004</v>
      </c>
      <c r="BF13" s="111" t="str">
        <f t="shared" ref="BF13:BF14" si="146">IFERROR(1/AU13,".")</f>
        <v>.</v>
      </c>
      <c r="BG13" s="111">
        <f t="shared" ref="BG13:BG14" si="147">IFERROR(1/AV13,".")</f>
        <v>6.1631166934726027E-6</v>
      </c>
      <c r="BH13" s="111">
        <f t="shared" ref="BH13:BH14" si="148">IFERROR(1/AW13,".")</f>
        <v>0.9193564390529898</v>
      </c>
      <c r="BI13" s="111" t="str">
        <f t="shared" ref="BI13:BI14" si="149">IFERROR(1/AX13,".")</f>
        <v>.</v>
      </c>
      <c r="BJ13" s="111" t="str">
        <f t="shared" ref="BJ13:BJ14" si="150">IFERROR(1/AY13,".")</f>
        <v>.</v>
      </c>
      <c r="BK13" s="111">
        <f t="shared" ref="BK13:BK14" si="151">IFERROR(1/AZ13,".")</f>
        <v>2.052829953125E-4</v>
      </c>
      <c r="BL13" s="111">
        <f t="shared" ref="BL13:BL14" si="152">IFERROR(1/BA13,".")</f>
        <v>2.0094175533980581E-5</v>
      </c>
      <c r="BM13" s="111" t="str">
        <f t="shared" ref="BM13:BM14" si="153">IFERROR(1/BB13,".")</f>
        <v>.</v>
      </c>
      <c r="BN13" s="111">
        <f t="shared" ref="BN13:BN14" si="154">IFERROR(1/BC13,".")</f>
        <v>0.66982256249999994</v>
      </c>
      <c r="BO13" s="111">
        <f t="shared" si="20"/>
        <v>277.9749875</v>
      </c>
      <c r="BP13" s="15">
        <f t="shared" si="32"/>
        <v>3.5723558300737061E-3</v>
      </c>
      <c r="BQ13" s="247">
        <f>IFERROR(BP13*(0.0000000000000028)*RadSpec!$AY13*RadSpec!$AF13,0)</f>
        <v>5.0825992650263384E-9</v>
      </c>
      <c r="BR13" s="15">
        <f>IFERROR((DL/(RadSpec!H13*IFA_far_adj)),".")</f>
        <v>3.3127446254859381E-3</v>
      </c>
      <c r="BS13" s="15">
        <f>IFERROR((DL/(RadSpec!K13*EF_far*(1/365)*1*ET_far*(1/24)*GSF_a)),".")</f>
        <v>10385.33900702215</v>
      </c>
      <c r="BT13" s="15">
        <f>IFERROR(IF(AND(BR13&lt;&gt;".",BS13&lt;&gt;"."),1/((1/BR13)+(1/BS13)),IF(AND(BR13&lt;&gt;".",BS13="."),1/((1/BR13)),IF(AND(BR13=".",BS13&lt;&gt;"."),1/((1/BS13)),IF(AND(BR13=".",BS13="."),".")))),".")</f>
        <v>3.3127435687776837E-3</v>
      </c>
      <c r="BU13" s="247">
        <f>IFERROR(BT13*(0.0000000000000028)*RadSpec!$AY13*RadSpec!$AF13,0)</f>
        <v>4.7132337395244274E-9</v>
      </c>
    </row>
    <row r="14" spans="1:73" customFormat="1" x14ac:dyDescent="0.25">
      <c r="A14" s="44" t="s">
        <v>12</v>
      </c>
      <c r="B14" s="42" t="s">
        <v>1057</v>
      </c>
      <c r="C14" s="42"/>
      <c r="D14" s="15">
        <f>d_dir!AC14</f>
        <v>0.41338123251122477</v>
      </c>
      <c r="E14" s="15">
        <f>IFERROR(DL/(RadSpec!F14*IFP_far_adj*CF_far_poultry),".")</f>
        <v>3.7381423368196112</v>
      </c>
      <c r="F14" s="15">
        <f>IFERROR(DL/(RadSpec!F14*IFE_far_adj*CF_far_egg),".")</f>
        <v>6.7653589106115986</v>
      </c>
      <c r="G14" s="15">
        <f>IFERROR(DL/(RadSpec!F14*IFB_far_adj*CF_far_beef),".")</f>
        <v>2.444888036780211</v>
      </c>
      <c r="H14" s="15">
        <f>IFERROR(DL/(RadSpec!F14*IFD_far_adj*CF_far_dairy),".")</f>
        <v>0.42093640988414188</v>
      </c>
      <c r="I14" s="15">
        <f>IFERROR(DL/(RadSpec!F14*IFSW_far_adj*CF_far_swine),".")</f>
        <v>4.3897541364993433</v>
      </c>
      <c r="J14" s="15">
        <f>IFERROR(DL/(RadSpec!F14*IFFI_far_adj*CF_far_fish),".")</f>
        <v>4.2412860508996229</v>
      </c>
      <c r="K14" s="15">
        <f>IFERROR(DL/(RadSpec!F14*IFSF_far_adj*CF_far_shellfish),".")</f>
        <v>3.2363387087883657</v>
      </c>
      <c r="L14" s="111">
        <f t="shared" si="22"/>
        <v>2.4190745040000006</v>
      </c>
      <c r="M14" s="111">
        <f t="shared" si="23"/>
        <v>0.26751255299999999</v>
      </c>
      <c r="N14" s="111">
        <f t="shared" si="24"/>
        <v>0.14781181800000001</v>
      </c>
      <c r="O14" s="111">
        <f t="shared" si="25"/>
        <v>0.40901668499999999</v>
      </c>
      <c r="P14" s="111">
        <f t="shared" si="26"/>
        <v>2.3756557439999999</v>
      </c>
      <c r="Q14" s="111">
        <f t="shared" si="27"/>
        <v>0.22780319100000002</v>
      </c>
      <c r="R14" s="111">
        <f t="shared" si="28"/>
        <v>0.23577754200000001</v>
      </c>
      <c r="S14" s="111">
        <f t="shared" si="29"/>
        <v>0.308991144</v>
      </c>
      <c r="T14" s="15">
        <f t="shared" si="30"/>
        <v>0.15645429065449579</v>
      </c>
      <c r="U14" s="247">
        <f>IFERROR(T14*(0.0000000000028)*RadSpec!$AY14*RadSpec!$AF14,0)</f>
        <v>7.5412128857711036E-12</v>
      </c>
      <c r="V14" s="15">
        <f>IFERROR((DL/(RadSpec!E14*IFS_far_adj*(1/1000)))*1,".")</f>
        <v>5086.9616087007389</v>
      </c>
      <c r="W14" s="15">
        <f>IFERROR(IF(A14="H-3",(DL/(RadSpec!H14*IFA_far_adj*(1/17)*1000))*1,(DL/(RadSpec!H14*IFA_far_adj*(1/PEF_wind)*1000))*1),".")</f>
        <v>12442945.142086715</v>
      </c>
      <c r="X14" s="15">
        <f>IFERROR((DL/(RadSpec!G14*EF_far*(1/365)*1*RadSpec!R14*((ET_far_o*(1/24)*RadSpec!W14)+(ET_far_i*(1/24)*RadSpec!AB14))))*1,".")</f>
        <v>1.5202689980792292</v>
      </c>
      <c r="Y14" s="15">
        <f>d_b2s!AC14</f>
        <v>38.110334888297167</v>
      </c>
      <c r="Z14" s="15" t="str">
        <f>IFERROR((E14/(RadSpec!AL14*((Q_p_poultry*f_p_poultry*f_s_poultry*(RadSpec!BD14+R_es_past))+(Q_s_poultry*f_p_poultry))))*1,".")</f>
        <v>.</v>
      </c>
      <c r="AA14" s="15" t="str">
        <f>IFERROR((F14/(RadSpec!AM14*((Q_p_poultry*f_p_poultry*f_s_poultry*(RadSpec!BD14+R_es_past))+(Q_s_poultry*f_p_poultry))))*1,".")</f>
        <v>.</v>
      </c>
      <c r="AB14" s="15">
        <f>IFERROR((G14/(RadSpec!AI14*((Q_p_beef*f_p_beef*f_s_beef*(RadSpec!BD14+R_es_past))+(Q_s_beef*f_p_beef))))*1,".")</f>
        <v>105850.76466198554</v>
      </c>
      <c r="AC14" s="15">
        <f>IFERROR(((H14*D_milk)/(RadSpec!AH14*((Q_p_dairy*f_p_dairy*f_s_dairy*(RadSpec!BD14+R_es_past))+(Q_s_dairy*f_p_dairy))))*1,".")</f>
        <v>11554.017379897832</v>
      </c>
      <c r="AD14" s="15" t="str">
        <f>IFERROR((I14/(RadSpec!AN14*((Q_p_swine*f_p_swine*f_s_swine*(RadSpec!BD14+R_es_past))+(Q_s_swine*f_p_swine))))*1,".")</f>
        <v>.</v>
      </c>
      <c r="AE14" s="15">
        <f>IFERROR(((J14*RadSpec!AU14)/RadSpec!AJ14)*1,".")</f>
        <v>848.25721017992453</v>
      </c>
      <c r="AF14" s="15" t="str">
        <f>IFERROR(((K14*RadSpec!AU14)/RadSpec!AK14)*1,".")</f>
        <v>.</v>
      </c>
      <c r="AG14" s="111">
        <f t="shared" si="135"/>
        <v>1.9658100000000001E-4</v>
      </c>
      <c r="AH14" s="111">
        <f t="shared" si="136"/>
        <v>8.0366825424442672E-8</v>
      </c>
      <c r="AI14" s="111">
        <f t="shared" si="137"/>
        <v>0.65777832821917792</v>
      </c>
      <c r="AJ14" s="111">
        <f t="shared" si="138"/>
        <v>2.6239601486868006E-2</v>
      </c>
      <c r="AK14" s="111" t="str">
        <f t="shared" si="139"/>
        <v>.</v>
      </c>
      <c r="AL14" s="111" t="str">
        <f t="shared" si="140"/>
        <v>.</v>
      </c>
      <c r="AM14" s="111">
        <f t="shared" si="141"/>
        <v>9.4472628817874997E-6</v>
      </c>
      <c r="AN14" s="111">
        <f t="shared" si="142"/>
        <v>8.6549982323883492E-5</v>
      </c>
      <c r="AO14" s="111" t="str">
        <f t="shared" si="143"/>
        <v>.</v>
      </c>
      <c r="AP14" s="111">
        <f t="shared" si="144"/>
        <v>1.1788877100000002E-3</v>
      </c>
      <c r="AQ14" s="111" t="str">
        <f t="shared" si="10"/>
        <v>.</v>
      </c>
      <c r="AR14" s="15">
        <f t="shared" si="31"/>
        <v>1.4588116010099637</v>
      </c>
      <c r="AS14" s="247">
        <f>IFERROR(AR14*(0.0000000000028)*RadSpec!$AY14*RadSpec!$AF14,0)</f>
        <v>7.0315801486985844E-11</v>
      </c>
      <c r="AT14" s="15">
        <f>IFERROR(DL/(RadSpec!I14*IFW_far_adj),".")</f>
        <v>260.92800401453388</v>
      </c>
      <c r="AU14" s="15" t="str">
        <f>IFERROR(IF(AND(RadSpec!C14=1,RadSpec!D14&lt;&gt;0),DL/(RadSpec!H14*IFA_far_adj*K*RadSpec!D14),"."),".")</f>
        <v>.</v>
      </c>
      <c r="AV14" s="15">
        <f>IFERROR((DL/(RadSpec!M14*(1/8760)*DFA_far_adj)),".")</f>
        <v>15426.268291546245</v>
      </c>
      <c r="AW14" s="15">
        <f>d_b2w!AC14</f>
        <v>102.57191166893995</v>
      </c>
      <c r="AX14" s="15" t="str">
        <f>IFERROR(E14/(RadSpec!AL14*Q_w_poultry*(1/1000)),".")</f>
        <v>.</v>
      </c>
      <c r="AY14" s="15" t="str">
        <f>IFERROR(F14/(RadSpec!AM14*Q_w_poultry*(1/1000)),".")</f>
        <v>.</v>
      </c>
      <c r="AZ14" s="15">
        <f>IFERROR(G14/(RadSpec!AI14*Q_w_beef*(1/1000)),".")</f>
        <v>9225992.5916234367</v>
      </c>
      <c r="BA14" s="15">
        <f>IFERROR((H14*D_milk)/(RadSpec!AH14*Q_w_dairy*(1/1000)),".")</f>
        <v>942531.52647970896</v>
      </c>
      <c r="BB14" s="15" t="str">
        <f>IFERROR(I14/(RadSpec!AN14*Q_w_swine*(1/1000)),".")</f>
        <v>.</v>
      </c>
      <c r="BC14" s="15">
        <f>IFERROR(J14/(RadSpec!AJ14*(1/1000)),".")</f>
        <v>424.12860508996226</v>
      </c>
      <c r="BD14" s="15" t="str">
        <f>IFERROR(K14/(RadSpec!AK14*(1/1000)),".")</f>
        <v>.</v>
      </c>
      <c r="BE14" s="111">
        <f t="shared" si="145"/>
        <v>3.8324748E-3</v>
      </c>
      <c r="BF14" s="111" t="str">
        <f t="shared" si="146"/>
        <v>.</v>
      </c>
      <c r="BG14" s="111">
        <f t="shared" si="147"/>
        <v>6.4824491646369871E-5</v>
      </c>
      <c r="BH14" s="111">
        <f t="shared" si="148"/>
        <v>9.7492577034889415E-3</v>
      </c>
      <c r="BI14" s="111" t="str">
        <f t="shared" si="149"/>
        <v>.</v>
      </c>
      <c r="BJ14" s="111" t="str">
        <f t="shared" si="150"/>
        <v>.</v>
      </c>
      <c r="BK14" s="111">
        <f t="shared" si="151"/>
        <v>1.0838942152500002E-7</v>
      </c>
      <c r="BL14" s="111">
        <f t="shared" si="152"/>
        <v>1.0609724681941748E-6</v>
      </c>
      <c r="BM14" s="111" t="str">
        <f t="shared" si="153"/>
        <v>.</v>
      </c>
      <c r="BN14" s="111">
        <f t="shared" si="154"/>
        <v>2.3577754200000004E-3</v>
      </c>
      <c r="BO14" s="111" t="str">
        <f t="shared" si="20"/>
        <v>.</v>
      </c>
      <c r="BP14" s="15">
        <f t="shared" si="32"/>
        <v>62.478516070982671</v>
      </c>
      <c r="BQ14" s="247">
        <f>IFERROR(BP14*(0.0000000000000028)*RadSpec!$AY14*RadSpec!$AF14,0)</f>
        <v>3.0115108285450679E-12</v>
      </c>
      <c r="BR14" s="15">
        <f>IFERROR((DL/(RadSpec!H14*IFA_far_adj)),".")</f>
        <v>9.1536364651585131</v>
      </c>
      <c r="BS14" s="15">
        <f>IFERROR((DL/(RadSpec!K14*EF_far*(1/365)*1*ET_far*(1/24)*GSF_a)),".")</f>
        <v>963.47265868813884</v>
      </c>
      <c r="BT14" s="15">
        <f>IFERROR(IF(AND(BR14&lt;&gt;".",BS14&lt;&gt;"."),1/((1/BR14)+(1/BS14)),IF(AND(BR14&lt;&gt;".",BS14="."),1/((1/BR14)),IF(AND(BR14=".",BS14&lt;&gt;"."),1/((1/BS14)),IF(AND(BR14=".",BS14="."),".")))),".")</f>
        <v>9.0674892357921983</v>
      </c>
      <c r="BU14" s="247">
        <f>IFERROR(BT14*(0.0000000000000028)*RadSpec!$AY14*RadSpec!$AF14,0)</f>
        <v>4.3705970849692374E-13</v>
      </c>
    </row>
    <row r="15" spans="1:73" customFormat="1" x14ac:dyDescent="0.25">
      <c r="A15" s="44" t="s">
        <v>13</v>
      </c>
      <c r="B15" s="42" t="s">
        <v>1057</v>
      </c>
      <c r="C15" s="42"/>
      <c r="D15" s="15">
        <f>d_dir!AC15</f>
        <v>7.304728606624054</v>
      </c>
      <c r="E15" s="15">
        <f>IFERROR(DL/(RadSpec!F15*IFP_far_adj*CF_far_poultry),".")</f>
        <v>66.055527236973035</v>
      </c>
      <c r="F15" s="15">
        <f>IFERROR(DL/(RadSpec!F15*IFE_far_adj*CF_far_egg),".")</f>
        <v>119.54851087024512</v>
      </c>
      <c r="G15" s="15">
        <f>IFERROR(DL/(RadSpec!F15*IFB_far_adj*CF_far_beef),".")</f>
        <v>43.20284081057401</v>
      </c>
      <c r="H15" s="15">
        <f>IFERROR(DL/(RadSpec!F15*IFD_far_adj*CF_far_dairy),".")</f>
        <v>7.4382337489567236</v>
      </c>
      <c r="I15" s="15">
        <f>IFERROR(DL/(RadSpec!F15*IFSW_far_adj*CF_far_swine),".")</f>
        <v>77.569952612839799</v>
      </c>
      <c r="J15" s="15">
        <f>IFERROR(DL/(RadSpec!F15*IFFI_far_adj*CF_far_fish),".")</f>
        <v>74.946420176539533</v>
      </c>
      <c r="K15" s="15">
        <f>IFERROR(DL/(RadSpec!F15*IFSF_far_adj*CF_far_shellfish),".")</f>
        <v>57.188314532806466</v>
      </c>
      <c r="L15" s="111">
        <f t="shared" si="22"/>
        <v>0.13689762534</v>
      </c>
      <c r="M15" s="111">
        <f t="shared" si="23"/>
        <v>1.5138778567500002E-2</v>
      </c>
      <c r="N15" s="111">
        <f t="shared" si="24"/>
        <v>8.3648051550000001E-3</v>
      </c>
      <c r="O15" s="111">
        <f t="shared" si="25"/>
        <v>2.31466260375E-2</v>
      </c>
      <c r="P15" s="111">
        <f t="shared" si="26"/>
        <v>0.13444051824</v>
      </c>
      <c r="Q15" s="111">
        <f t="shared" si="27"/>
        <v>1.28915896725E-2</v>
      </c>
      <c r="R15" s="111">
        <f t="shared" si="28"/>
        <v>1.3342865444999998E-2</v>
      </c>
      <c r="S15" s="111">
        <f t="shared" si="29"/>
        <v>1.7486089739999999E-2</v>
      </c>
      <c r="T15" s="15">
        <f t="shared" si="30"/>
        <v>2.7646541320473155</v>
      </c>
      <c r="U15" s="247">
        <f>IFERROR(T15*(0.0000000000028)*RadSpec!$AY15*RadSpec!$AF15,0)</f>
        <v>6.0079330143093693E-13</v>
      </c>
      <c r="V15" s="15">
        <f>IFERROR((DL/(RadSpec!E15*IFS_far_adj*(1/1000)))*1,".")</f>
        <v>89890.084651739962</v>
      </c>
      <c r="W15" s="15">
        <f>IFERROR(IF(A15="H-3",(DL/(RadSpec!H15*IFA_far_adj*(1/17)*1000))*1,(DL/(RadSpec!H15*IFA_far_adj*(1/PEF_wind)*1000))*1),".")</f>
        <v>812891545.09907496</v>
      </c>
      <c r="X15" s="15">
        <f>IFERROR((DL/(RadSpec!G15*EF_far*(1/365)*1*RadSpec!R15*((ET_far_o*(1/24)*RadSpec!W15)+(ET_far_i*(1/24)*RadSpec!AB15))))*1,".")</f>
        <v>2284.3854534137849</v>
      </c>
      <c r="Y15" s="15">
        <f>d_b2s!AC15</f>
        <v>423.70966121084354</v>
      </c>
      <c r="Z15" s="15" t="str">
        <f>IFERROR((E15/(RadSpec!AL15*((Q_p_poultry*f_p_poultry*f_s_poultry*(RadSpec!BD15+R_es_past))+(Q_s_poultry*f_p_poultry))))*1,".")</f>
        <v>.</v>
      </c>
      <c r="AA15" s="15" t="str">
        <f>IFERROR((F15/(RadSpec!AM15*((Q_p_poultry*f_p_poultry*f_s_poultry*(RadSpec!BD15+R_es_past))+(Q_s_poultry*f_p_poultry))))*1,".")</f>
        <v>.</v>
      </c>
      <c r="AB15" s="15">
        <f>IFERROR((G15/(RadSpec!AI15*((Q_p_beef*f_p_beef*f_s_beef*(RadSpec!BD15+R_es_past))+(Q_s_beef*f_p_beef))))*1,".")</f>
        <v>17185.439107790953</v>
      </c>
      <c r="AC15" s="15">
        <f>IFERROR(((H15*D_milk)/(RadSpec!AH15*((Q_p_dairy*f_p_dairy*f_s_dairy*(RadSpec!BD15+R_es_past))+(Q_s_dairy*f_p_dairy))))*1,".")</f>
        <v>7035.1363720409036</v>
      </c>
      <c r="AD15" s="15" t="str">
        <f>IFERROR((I15/(RadSpec!AN15*((Q_p_swine*f_p_swine*f_s_swine*(RadSpec!BD15+R_es_past))+(Q_s_swine*f_p_swine))))*1,".")</f>
        <v>.</v>
      </c>
      <c r="AE15" s="15">
        <f>IFERROR(((J15*RadSpec!AU15)/RadSpec!AJ15)*1,".")</f>
        <v>449.6785210592372</v>
      </c>
      <c r="AF15" s="15">
        <f>IFERROR(((K15*RadSpec!AU15)/RadSpec!AK15)*1,".")</f>
        <v>389.9203263600441</v>
      </c>
      <c r="AG15" s="111">
        <f t="shared" ref="AG15:AG21" si="155">IFERROR(1/V15,".")</f>
        <v>1.11246975E-5</v>
      </c>
      <c r="AH15" s="111">
        <f t="shared" ref="AH15:AH21" si="156">IFERROR(1/W15,".")</f>
        <v>1.2301764067162494E-9</v>
      </c>
      <c r="AI15" s="111">
        <f t="shared" ref="AI15:AI21" si="157">IFERROR(1/X15,".")</f>
        <v>4.3775449476164381E-4</v>
      </c>
      <c r="AJ15" s="111">
        <f t="shared" ref="AJ15:AJ21" si="158">IFERROR(1/Y15,".")</f>
        <v>2.3601066757417805E-3</v>
      </c>
      <c r="AK15" s="111" t="str">
        <f t="shared" ref="AK15:AK21" si="159">IFERROR(1/Z15,".")</f>
        <v>.</v>
      </c>
      <c r="AL15" s="111" t="str">
        <f t="shared" ref="AL15:AL21" si="160">IFERROR(1/AA15,".")</f>
        <v>.</v>
      </c>
      <c r="AM15" s="111">
        <f t="shared" ref="AM15:AM21" si="161">IFERROR(1/AB15,".")</f>
        <v>5.8188795394041096E-5</v>
      </c>
      <c r="AN15" s="111">
        <f t="shared" ref="AN15:AN21" si="162">IFERROR(1/AC15,".")</f>
        <v>1.4214365537734396E-4</v>
      </c>
      <c r="AO15" s="111" t="str">
        <f t="shared" ref="AO15:AO21" si="163">IFERROR(1/AD15,".")</f>
        <v>.</v>
      </c>
      <c r="AP15" s="111">
        <f t="shared" ref="AP15:AQ30" si="164">IFERROR(1/AE15,".")</f>
        <v>2.2238109074999997E-3</v>
      </c>
      <c r="AQ15" s="111">
        <f t="shared" si="10"/>
        <v>2.5646264951999999E-3</v>
      </c>
      <c r="AR15" s="15">
        <f t="shared" si="31"/>
        <v>128.24200679764004</v>
      </c>
      <c r="AS15" s="247">
        <f>IFERROR(AR15*(0.0000000000028)*RadSpec!$AY15*RadSpec!$AF15,0)</f>
        <v>2.7868563287164995E-11</v>
      </c>
      <c r="AT15" s="15">
        <f>IFERROR(DL/(RadSpec!I15*IFW_far_adj),".")</f>
        <v>4610.7759745540125</v>
      </c>
      <c r="AU15" s="15" t="str">
        <f>IFERROR(IF(AND(RadSpec!C15=1,RadSpec!D15&lt;&gt;0),DL/(RadSpec!H15*IFA_far_adj*K*RadSpec!D15),"."),".")</f>
        <v>.</v>
      </c>
      <c r="AV15" s="15">
        <f>IFERROR((DL/(RadSpec!M15*(1/8760)*DFA_far_adj)),".")</f>
        <v>2796011.1278427574</v>
      </c>
      <c r="AW15" s="15">
        <f>d_b2w!AC15</f>
        <v>1715.2539945948231</v>
      </c>
      <c r="AX15" s="15" t="str">
        <f>IFERROR(E15/(RadSpec!AL15*Q_w_poultry*(1/1000)),".")</f>
        <v>.</v>
      </c>
      <c r="AY15" s="15" t="str">
        <f>IFERROR(F15/(RadSpec!AM15*Q_w_poultry*(1/1000)),".")</f>
        <v>.</v>
      </c>
      <c r="AZ15" s="15">
        <f>IFERROR(G15/(RadSpec!AI15*Q_w_beef*(1/1000)),".")</f>
        <v>1164497.0568887873</v>
      </c>
      <c r="BA15" s="15">
        <f>IFERROR((H15*D_milk)/(RadSpec!AH15*Q_w_dairy*(1/1000)),".")</f>
        <v>438294.09390305629</v>
      </c>
      <c r="BB15" s="15" t="str">
        <f>IFERROR(I15/(RadSpec!AN15*Q_w_swine*(1/1000)),".")</f>
        <v>.</v>
      </c>
      <c r="BC15" s="15">
        <f>IFERROR(J15/(RadSpec!AJ15*(1/1000)),".")</f>
        <v>2997.8568070615811</v>
      </c>
      <c r="BD15" s="15">
        <f>IFERROR(K15/(RadSpec!AK15*(1/1000)),".")</f>
        <v>2599.4688424002939</v>
      </c>
      <c r="BE15" s="111">
        <f t="shared" ref="BE15:BE21" si="165">IFERROR(1/AT15,".")</f>
        <v>2.1688323300000001E-4</v>
      </c>
      <c r="BF15" s="111" t="str">
        <f t="shared" ref="BF15:BF21" si="166">IFERROR(1/AU15,".")</f>
        <v>.</v>
      </c>
      <c r="BG15" s="111">
        <f t="shared" ref="BG15:BG21" si="167">IFERROR(1/AV15,".")</f>
        <v>3.5765236770410957E-7</v>
      </c>
      <c r="BH15" s="111">
        <f t="shared" ref="BH15:BH21" si="168">IFERROR(1/AW15,".")</f>
        <v>5.8300403505908739E-4</v>
      </c>
      <c r="BI15" s="111" t="str">
        <f t="shared" ref="BI15:BI21" si="169">IFERROR(1/AX15,".")</f>
        <v>.</v>
      </c>
      <c r="BJ15" s="111" t="str">
        <f t="shared" ref="BJ15:BJ21" si="170">IFERROR(1/AY15,".")</f>
        <v>.</v>
      </c>
      <c r="BK15" s="111">
        <f t="shared" ref="BK15:BK21" si="171">IFERROR(1/AZ15,".")</f>
        <v>8.5873982599125002E-7</v>
      </c>
      <c r="BL15" s="111">
        <f t="shared" ref="BL15:BL21" si="172">IFERROR(1/BA15,".")</f>
        <v>2.2815730668302916E-6</v>
      </c>
      <c r="BM15" s="111" t="str">
        <f t="shared" ref="BM15:BM21" si="173">IFERROR(1/BB15,".")</f>
        <v>.</v>
      </c>
      <c r="BN15" s="111">
        <f t="shared" ref="BN15:BO30" si="174">IFERROR(1/BC15,".")</f>
        <v>3.3357163612499996E-4</v>
      </c>
      <c r="BO15" s="111">
        <f t="shared" si="20"/>
        <v>3.8469397428000002E-4</v>
      </c>
      <c r="BP15" s="15">
        <f t="shared" si="32"/>
        <v>657.18098479954517</v>
      </c>
      <c r="BQ15" s="247">
        <f>IFERROR(BP15*(0.0000000000000028)*RadSpec!$AY15*RadSpec!$AF15,0)</f>
        <v>1.4281350021999637E-13</v>
      </c>
      <c r="BR15" s="15">
        <f>IFERROR((DL/(RadSpec!H15*IFA_far_adj)),".")</f>
        <v>598.00261147740434</v>
      </c>
      <c r="BS15" s="15">
        <f>IFERROR((DL/(RadSpec!K15*EF_far*(1/365)*1*ET_far*(1/24)*GSF_a)),".")</f>
        <v>89313.915460390475</v>
      </c>
      <c r="BT15" s="15">
        <f t="shared" ref="BT15:BT16" si="175">IFERROR(IF(AND(BR15&lt;&gt;".",BS15&lt;&gt;"."),1/((1/BR15)+(1/BS15)),IF(AND(BR15&lt;&gt;".",BS15="."),1/((1/BR15)),IF(AND(BR15=".",BS15&lt;&gt;"."),1/((1/BS15)),IF(AND(BR15=".",BS15="."),".")))),".")</f>
        <v>594.02530645486047</v>
      </c>
      <c r="BU15" s="247">
        <f>IFERROR(BT15*(0.0000000000000028)*RadSpec!$AY15*RadSpec!$AF15,0)</f>
        <v>1.290889955678665E-13</v>
      </c>
    </row>
    <row r="16" spans="1:73" customFormat="1" x14ac:dyDescent="0.25">
      <c r="A16" s="44" t="s">
        <v>14</v>
      </c>
      <c r="B16" s="237" t="s">
        <v>1057</v>
      </c>
      <c r="C16" s="238"/>
      <c r="D16" s="15">
        <f>d_dir!AC16</f>
        <v>5.349639479557026E-4</v>
      </c>
      <c r="E16" s="15">
        <f>IFERROR(DL/(RadSpec!F16*IFP_far_adj*CF_far_poultry),".")</f>
        <v>4.8375959652959665E-3</v>
      </c>
      <c r="F16" s="15">
        <f>IFERROR(DL/(RadSpec!F16*IFE_far_adj*CF_far_egg),".")</f>
        <v>8.7551703549091295E-3</v>
      </c>
      <c r="G16" s="15">
        <f>IFERROR(DL/(RadSpec!F16*IFB_far_adj*CF_far_beef),".")</f>
        <v>3.1639727534802727E-3</v>
      </c>
      <c r="H16" s="15">
        <f>IFERROR(DL/(RadSpec!F16*IFD_far_adj*CF_far_dairy),".")</f>
        <v>5.4474123632065419E-4</v>
      </c>
      <c r="I16" s="15">
        <f>IFERROR(DL/(RadSpec!F16*IFSW_far_adj*CF_far_swine),".")</f>
        <v>5.6808582942932673E-3</v>
      </c>
      <c r="J16" s="15">
        <f>IFERROR(DL/(RadSpec!F16*IFFI_far_adj*CF_far_fish),".")</f>
        <v>5.4887231246936305E-3</v>
      </c>
      <c r="K16" s="15">
        <f>IFERROR(DL/(RadSpec!F16*IFSF_far_adj*CF_far_shellfish),".")</f>
        <v>4.188203034902591E-3</v>
      </c>
      <c r="L16" s="111">
        <f t="shared" si="22"/>
        <v>1869.2848440000007</v>
      </c>
      <c r="M16" s="111">
        <f t="shared" si="23"/>
        <v>206.71424550000003</v>
      </c>
      <c r="N16" s="111">
        <f t="shared" si="24"/>
        <v>114.21822299999999</v>
      </c>
      <c r="O16" s="111">
        <f t="shared" si="25"/>
        <v>316.05834750000002</v>
      </c>
      <c r="P16" s="111">
        <f t="shared" si="26"/>
        <v>1835.733984</v>
      </c>
      <c r="Q16" s="111">
        <f t="shared" si="27"/>
        <v>176.02973850000001</v>
      </c>
      <c r="R16" s="111">
        <f t="shared" si="28"/>
        <v>182.19173699999999</v>
      </c>
      <c r="S16" s="111">
        <f t="shared" si="29"/>
        <v>238.765884</v>
      </c>
      <c r="T16" s="15">
        <f t="shared" si="30"/>
        <v>2.0247025849405334E-4</v>
      </c>
      <c r="U16" s="247">
        <f>IFERROR(T16*(0.0000000000028)*RadSpec!$AY16*RadSpec!$AF16,0)</f>
        <v>2.642965766277975E-12</v>
      </c>
      <c r="V16" s="15">
        <f>IFERROR((DL/(RadSpec!E16*IFS_far_adj*(1/1000)))*1,".")</f>
        <v>6.5831267877303672</v>
      </c>
      <c r="W16" s="15">
        <f>IFERROR(IF(A16="H-3",(DL/(RadSpec!H16*IFA_far_adj*(1/17)*1000))*1,(DL/(RadSpec!H16*IFA_far_adj*(1/PEF_wind)*1000))*1),".")</f>
        <v>9409.5903562048788</v>
      </c>
      <c r="X16" s="15">
        <f>IFERROR((DL/(RadSpec!G16*EF_far*(1/365)*1*RadSpec!R16*((ET_far_o*(1/24)*RadSpec!W16)+(ET_far_i*(1/24)*RadSpec!AB16))))*1,".")</f>
        <v>739.77375352962497</v>
      </c>
      <c r="Y16" s="15">
        <f>d_b2s!AC16</f>
        <v>3.1030501659264728E-2</v>
      </c>
      <c r="Z16" s="15" t="str">
        <f>IFERROR((E16/(RadSpec!AL16*((Q_p_poultry*f_p_poultry*f_s_poultry*(RadSpec!BD16+R_es_past))+(Q_s_poultry*f_p_poultry))))*1,".")</f>
        <v>.</v>
      </c>
      <c r="AA16" s="15" t="str">
        <f>IFERROR((F16/(RadSpec!AM16*((Q_p_poultry*f_p_poultry*f_s_poultry*(RadSpec!BD16+R_es_past))+(Q_s_poultry*f_p_poultry))))*1,".")</f>
        <v>.</v>
      </c>
      <c r="AB16" s="15">
        <f>IFERROR((G16/(RadSpec!AI16*((Q_p_beef*f_p_beef*f_s_beef*(RadSpec!BD16+R_es_past))+(Q_s_beef*f_p_beef))))*1,".")</f>
        <v>1.2585806875999843</v>
      </c>
      <c r="AC16" s="15">
        <f>IFERROR(((H16*D_milk)/(RadSpec!AH16*((Q_p_dairy*f_p_dairy*f_s_dairy*(RadSpec!BD16+R_es_past))+(Q_s_dairy*f_p_dairy))))*1,".")</f>
        <v>0.51522028136417208</v>
      </c>
      <c r="AD16" s="15" t="str">
        <f>IFERROR((I16/(RadSpec!AN16*((Q_p_swine*f_p_swine*f_s_swine*(RadSpec!BD16+R_es_past))+(Q_s_swine*f_p_swine))))*1,".")</f>
        <v>.</v>
      </c>
      <c r="AE16" s="15">
        <f>IFERROR(((J16*RadSpec!AU16)/RadSpec!AJ16)*1,".")</f>
        <v>3.2932338748161788E-2</v>
      </c>
      <c r="AF16" s="15">
        <f>IFERROR(((K16*RadSpec!AU16)/RadSpec!AK16)*1,".")</f>
        <v>2.8555929783426758E-2</v>
      </c>
      <c r="AG16" s="111">
        <f t="shared" si="155"/>
        <v>0.15190350000000002</v>
      </c>
      <c r="AH16" s="111">
        <f t="shared" si="156"/>
        <v>1.0627455204153275E-4</v>
      </c>
      <c r="AI16" s="111">
        <f t="shared" si="157"/>
        <v>1.3517646378082189E-3</v>
      </c>
      <c r="AJ16" s="111">
        <f t="shared" si="158"/>
        <v>32.226356214947998</v>
      </c>
      <c r="AK16" s="111" t="str">
        <f t="shared" si="159"/>
        <v>.</v>
      </c>
      <c r="AL16" s="111" t="str">
        <f t="shared" si="160"/>
        <v>.</v>
      </c>
      <c r="AM16" s="111">
        <f t="shared" si="161"/>
        <v>0.79454580056120394</v>
      </c>
      <c r="AN16" s="111">
        <f t="shared" si="162"/>
        <v>1.9409173826625277</v>
      </c>
      <c r="AO16" s="111" t="str">
        <f t="shared" si="163"/>
        <v>.</v>
      </c>
      <c r="AP16" s="111">
        <f t="shared" si="164"/>
        <v>30.365289499999992</v>
      </c>
      <c r="AQ16" s="111">
        <f>IFERROR(1/AF16,".")</f>
        <v>35.018996319999999</v>
      </c>
      <c r="AR16" s="15">
        <f>IFERROR(1/(SUMIF(AG16:AQ16,"&lt;&gt;0")),".")</f>
        <v>9.9503015514930595E-3</v>
      </c>
      <c r="AS16" s="247">
        <f>IFERROR(AR16*(0.0000000000028)*RadSpec!$AY16*RadSpec!$AF16,0)</f>
        <v>1.298872563325698E-10</v>
      </c>
      <c r="AT16" s="15">
        <f>IFERROR(DL/(RadSpec!I16*IFW_far_adj),".")</f>
        <v>0.33767153460704386</v>
      </c>
      <c r="AU16" s="15" t="str">
        <f>IFERROR(IF(AND(RadSpec!C16=1,RadSpec!D16&lt;&gt;0),DL/(RadSpec!H16*IFA_far_adj*K*RadSpec!D16),"."),".")</f>
        <v>.</v>
      </c>
      <c r="AV16" s="15">
        <f>IFERROR((DL/(RadSpec!M16*(1/8760)*DFA_far_adj)),".")</f>
        <v>2872965.562554026</v>
      </c>
      <c r="AW16" s="15">
        <f>d_b2w!AC16</f>
        <v>0.12561713078062087</v>
      </c>
      <c r="AX16" s="15" t="str">
        <f>IFERROR(E16/(RadSpec!AL16*Q_w_poultry*(1/1000)),".")</f>
        <v>.</v>
      </c>
      <c r="AY16" s="15" t="str">
        <f>IFERROR(F16/(RadSpec!AM16*Q_w_poultry*(1/1000)),".")</f>
        <v>.</v>
      </c>
      <c r="AZ16" s="15">
        <f>IFERROR(G16/(RadSpec!AI16*Q_w_beef*(1/1000)),".")</f>
        <v>85.282284460384702</v>
      </c>
      <c r="BA16" s="15">
        <f>IFERROR((H16*D_milk)/(RadSpec!AH16*Q_w_dairy*(1/1000)),".")</f>
        <v>32.098596877017954</v>
      </c>
      <c r="BB16" s="15" t="str">
        <f>IFERROR(I16/(RadSpec!AN16*Q_w_swine*(1/1000)),".")</f>
        <v>.</v>
      </c>
      <c r="BC16" s="15">
        <f>IFERROR(J16/(RadSpec!AJ16*(1/1000)),".")</f>
        <v>0.2195489249877452</v>
      </c>
      <c r="BD16" s="15">
        <f>IFERROR(K16/(RadSpec!AK16*(1/1000)),".")</f>
        <v>0.19037286522284505</v>
      </c>
      <c r="BE16" s="111">
        <f t="shared" si="165"/>
        <v>2.9614578000000003</v>
      </c>
      <c r="BF16" s="111" t="str">
        <f t="shared" si="166"/>
        <v>.</v>
      </c>
      <c r="BG16" s="111">
        <f t="shared" si="167"/>
        <v>3.4807239356917805E-7</v>
      </c>
      <c r="BH16" s="111">
        <f t="shared" si="168"/>
        <v>7.9606976674734833</v>
      </c>
      <c r="BI16" s="111" t="str">
        <f t="shared" si="169"/>
        <v>.</v>
      </c>
      <c r="BJ16" s="111" t="str">
        <f t="shared" si="170"/>
        <v>.</v>
      </c>
      <c r="BK16" s="111">
        <f t="shared" si="171"/>
        <v>1.1725764692250002E-2</v>
      </c>
      <c r="BL16" s="111">
        <f t="shared" si="172"/>
        <v>3.1154009747883495E-2</v>
      </c>
      <c r="BM16" s="111" t="str">
        <f t="shared" si="173"/>
        <v>.</v>
      </c>
      <c r="BN16" s="111">
        <f t="shared" si="174"/>
        <v>4.5547934249999997</v>
      </c>
      <c r="BO16" s="111">
        <f t="shared" si="20"/>
        <v>5.2528494480000001</v>
      </c>
      <c r="BP16" s="15">
        <f t="shared" si="32"/>
        <v>4.8140156878751061E-2</v>
      </c>
      <c r="BQ16" s="247">
        <f>IFERROR(BP16*(0.0000000000000028)*RadSpec!$AY16*RadSpec!$AF16,0)</f>
        <v>6.2840235183246483E-13</v>
      </c>
      <c r="BR16" s="15">
        <f>IFERROR((DL/(RadSpec!H16*IFA_far_adj)),".")</f>
        <v>6.9221529487765868E-3</v>
      </c>
      <c r="BS16" s="15">
        <f>IFERROR((DL/(RadSpec!K16*EF_far*(1/365)*1*ET_far*(1/24)*GSF_a)),".")</f>
        <v>189626.14747428973</v>
      </c>
      <c r="BT16" s="15">
        <f t="shared" si="175"/>
        <v>6.9221526960888628E-3</v>
      </c>
      <c r="BU16" s="247">
        <f>IFERROR(BT16*(0.0000000000000028)*RadSpec!$AY16*RadSpec!$AF16,0)</f>
        <v>9.0359012433665574E-14</v>
      </c>
    </row>
    <row r="17" spans="1:73" customFormat="1" x14ac:dyDescent="0.25">
      <c r="A17" s="44" t="s">
        <v>15</v>
      </c>
      <c r="B17" s="237" t="s">
        <v>1057</v>
      </c>
      <c r="C17" s="238"/>
      <c r="D17" s="15">
        <f>d_dir!AC17</f>
        <v>2.7420262659036019</v>
      </c>
      <c r="E17" s="15">
        <f>IFERROR(DL/(RadSpec!F17*IFP_far_adj*CF_far_poultry),".")</f>
        <v>24.795718013074804</v>
      </c>
      <c r="F17" s="15">
        <f>IFERROR(DL/(RadSpec!F17*IFE_far_adj*CF_far_egg),".")</f>
        <v>44.875747547775426</v>
      </c>
      <c r="G17" s="15">
        <f>IFERROR(DL/(RadSpec!F17*IFB_far_adj*CF_far_beef),".")</f>
        <v>16.217347781657683</v>
      </c>
      <c r="H17" s="15">
        <f>IFERROR(DL/(RadSpec!F17*IFD_far_adj*CF_far_dairy),".")</f>
        <v>2.7921410102867701</v>
      </c>
      <c r="I17" s="15">
        <f>IFERROR(DL/(RadSpec!F17*IFSW_far_adj*CF_far_swine),".")</f>
        <v>29.117967136578557</v>
      </c>
      <c r="J17" s="15">
        <f>IFERROR(DL/(RadSpec!F17*IFFI_far_adj*CF_far_fish),".")</f>
        <v>28.133153704459808</v>
      </c>
      <c r="K17" s="15">
        <f>IFERROR(DL/(RadSpec!F17*IFSF_far_adj*CF_far_shellfish),".")</f>
        <v>21.467171334676596</v>
      </c>
      <c r="L17" s="111">
        <f t="shared" si="22"/>
        <v>0.36469380780000005</v>
      </c>
      <c r="M17" s="111">
        <f t="shared" si="23"/>
        <v>4.0329543975E-2</v>
      </c>
      <c r="N17" s="111">
        <f t="shared" si="24"/>
        <v>2.2283751350000002E-2</v>
      </c>
      <c r="O17" s="111">
        <f t="shared" si="25"/>
        <v>6.1662363874999994E-2</v>
      </c>
      <c r="P17" s="111">
        <f t="shared" si="26"/>
        <v>0.35814810080000004</v>
      </c>
      <c r="Q17" s="111">
        <f t="shared" si="27"/>
        <v>3.4343056825000003E-2</v>
      </c>
      <c r="R17" s="111">
        <f t="shared" si="28"/>
        <v>3.5545250650000006E-2</v>
      </c>
      <c r="S17" s="111">
        <f t="shared" si="29"/>
        <v>4.65827558E-2</v>
      </c>
      <c r="T17" s="15">
        <f t="shared" si="30"/>
        <v>1.0377872545926352</v>
      </c>
      <c r="U17" s="247">
        <f>IFERROR(T17*(0.0000000000028)*RadSpec!$AY17*RadSpec!$AF17,0)</f>
        <v>3.1707322859800397E-14</v>
      </c>
      <c r="V17" s="15">
        <f>IFERROR((DL/(RadSpec!E17*IFS_far_adj*(1/1000)))*1,".")</f>
        <v>33742.659917009929</v>
      </c>
      <c r="W17" s="15">
        <f>IFERROR(IF(A17="H-3",(DL/(RadSpec!H17*IFA_far_adj*(1/17)*1000))*1,(DL/(RadSpec!H17*IFA_far_adj*(1/PEF_wind)*1000))*1),".")</f>
        <v>4505093.7862078762</v>
      </c>
      <c r="X17" s="15">
        <f>IFERROR((DL/(RadSpec!G17*EF_far*(1/365)*1*RadSpec!R17*((ET_far_o*(1/24)*RadSpec!W17)+(ET_far_i*(1/24)*RadSpec!AB17))))*1,".")</f>
        <v>1.2311242257848143</v>
      </c>
      <c r="Y17" s="15">
        <f>d_b2s!AC17</f>
        <v>159.0508125248744</v>
      </c>
      <c r="Z17" s="15" t="str">
        <f>IFERROR((E17/(RadSpec!AL17*((Q_p_poultry*f_p_poultry*f_s_poultry*(RadSpec!BD17+R_es_past))+(Q_s_poultry*f_p_poultry))))*1,".")</f>
        <v>.</v>
      </c>
      <c r="AA17" s="15" t="str">
        <f>IFERROR((F17/(RadSpec!AM17*((Q_p_poultry*f_p_poultry*f_s_poultry*(RadSpec!BD17+R_es_past))+(Q_s_poultry*f_p_poultry))))*1,".")</f>
        <v>.</v>
      </c>
      <c r="AB17" s="15">
        <f>IFERROR((G17/(RadSpec!AI17*((Q_p_beef*f_p_beef*f_s_beef*(RadSpec!BD17+R_es_past))+(Q_s_beef*f_p_beef))))*1,".")</f>
        <v>6451.0165897084635</v>
      </c>
      <c r="AC17" s="15">
        <f>IFERROR(((H17*D_milk)/(RadSpec!AH17*((Q_p_dairy*f_p_dairy*f_s_dairy*(RadSpec!BD17+R_es_past))+(Q_s_dairy*f_p_dairy))))*1,".")</f>
        <v>2640.8275728213844</v>
      </c>
      <c r="AD17" s="15" t="str">
        <f>IFERROR((I17/(RadSpec!AN17*((Q_p_swine*f_p_swine*f_s_swine*(RadSpec!BD17+R_es_past))+(Q_s_swine*f_p_swine))))*1,".")</f>
        <v>.</v>
      </c>
      <c r="AE17" s="15">
        <f>IFERROR(((J17*RadSpec!AU17)/RadSpec!AJ17)*1,".")</f>
        <v>168.79892222675883</v>
      </c>
      <c r="AF17" s="15">
        <f>IFERROR(((K17*RadSpec!AU17)/RadSpec!AK17)*1,".")</f>
        <v>146.36707728188588</v>
      </c>
      <c r="AG17" s="111">
        <f t="shared" si="155"/>
        <v>2.9636075000000001E-5</v>
      </c>
      <c r="AH17" s="111">
        <f t="shared" si="156"/>
        <v>2.2197096163934501E-7</v>
      </c>
      <c r="AI17" s="111">
        <f t="shared" si="157"/>
        <v>0.81226571539726</v>
      </c>
      <c r="AJ17" s="111">
        <f t="shared" si="158"/>
        <v>6.2872989086026031E-3</v>
      </c>
      <c r="AK17" s="111" t="str">
        <f t="shared" si="159"/>
        <v>.</v>
      </c>
      <c r="AL17" s="111" t="str">
        <f t="shared" si="160"/>
        <v>.</v>
      </c>
      <c r="AM17" s="111">
        <f t="shared" si="161"/>
        <v>1.5501432775654858E-4</v>
      </c>
      <c r="AN17" s="111">
        <f t="shared" si="162"/>
        <v>3.7866917563710104E-4</v>
      </c>
      <c r="AO17" s="111" t="str">
        <f t="shared" si="163"/>
        <v>.</v>
      </c>
      <c r="AP17" s="111">
        <f t="shared" si="164"/>
        <v>5.9242084416666679E-3</v>
      </c>
      <c r="AQ17" s="111">
        <f t="shared" si="10"/>
        <v>6.8321375173333336E-3</v>
      </c>
      <c r="AR17" s="15">
        <f t="shared" si="31"/>
        <v>1.2021067134403782</v>
      </c>
      <c r="AS17" s="247">
        <f>IFERROR(AR17*(0.0000000000028)*RadSpec!$AY17*RadSpec!$AF17,0)</f>
        <v>3.6727745023183215E-14</v>
      </c>
      <c r="AT17" s="15">
        <f>IFERROR(DL/(RadSpec!I17*IFW_far_adj),".")</f>
        <v>1730.7787200964058</v>
      </c>
      <c r="AU17" s="15">
        <f>IFERROR(IF(AND(RadSpec!C17=1,RadSpec!D17&lt;&gt;0),DL/(RadSpec!H17*IFA_far_adj*K*RadSpec!D17),"."),".")</f>
        <v>7.496419218595169</v>
      </c>
      <c r="AV17" s="15">
        <f>IFERROR((DL/(RadSpec!M17*(1/8760)*DFA_far_adj)),".")</f>
        <v>12993.910635617794</v>
      </c>
      <c r="AW17" s="15">
        <f>d_b2w!AC17</f>
        <v>643.86670048358428</v>
      </c>
      <c r="AX17" s="15" t="str">
        <f>IFERROR(E17/(RadSpec!AL17*Q_w_poultry*(1/1000)),".")</f>
        <v>.</v>
      </c>
      <c r="AY17" s="15" t="str">
        <f>IFERROR(F17/(RadSpec!AM17*Q_w_poultry*(1/1000)),".")</f>
        <v>.</v>
      </c>
      <c r="AZ17" s="15">
        <f>IFERROR(G17/(RadSpec!AI17*Q_w_beef*(1/1000)),".")</f>
        <v>437125.27713363024</v>
      </c>
      <c r="BA17" s="15">
        <f>IFERROR((H17*D_milk)/(RadSpec!AH17*Q_w_dairy*(1/1000)),".")</f>
        <v>164525.47142994124</v>
      </c>
      <c r="BB17" s="15" t="str">
        <f>IFERROR(I17/(RadSpec!AN17*Q_w_swine*(1/1000)),".")</f>
        <v>.</v>
      </c>
      <c r="BC17" s="15">
        <f>IFERROR(J17/(RadSpec!AJ17*(1/1000)),".")</f>
        <v>1125.3261481783923</v>
      </c>
      <c r="BD17" s="15">
        <f>IFERROR(K17/(RadSpec!AK17*(1/1000)),".")</f>
        <v>975.7805152125726</v>
      </c>
      <c r="BE17" s="111">
        <f t="shared" si="165"/>
        <v>5.7777461000000003E-4</v>
      </c>
      <c r="BF17" s="111">
        <f t="shared" si="166"/>
        <v>0.133397022076815</v>
      </c>
      <c r="BG17" s="111">
        <f t="shared" si="167"/>
        <v>7.6959125550616432E-5</v>
      </c>
      <c r="BH17" s="111">
        <f t="shared" si="168"/>
        <v>1.5531165057129639E-3</v>
      </c>
      <c r="BI17" s="111" t="str">
        <f t="shared" si="169"/>
        <v>.</v>
      </c>
      <c r="BJ17" s="111" t="str">
        <f t="shared" si="170"/>
        <v>.</v>
      </c>
      <c r="BK17" s="111">
        <f t="shared" si="171"/>
        <v>2.2876736997625E-6</v>
      </c>
      <c r="BL17" s="111">
        <f t="shared" si="172"/>
        <v>6.0780862155184476E-6</v>
      </c>
      <c r="BM17" s="111" t="str">
        <f t="shared" si="173"/>
        <v>.</v>
      </c>
      <c r="BN17" s="111">
        <f t="shared" si="174"/>
        <v>8.886312662500001E-4</v>
      </c>
      <c r="BO17" s="111">
        <f t="shared" si="20"/>
        <v>1.0248206276E-3</v>
      </c>
      <c r="BP17" s="15">
        <f t="shared" si="32"/>
        <v>7.2713158457077105</v>
      </c>
      <c r="BQ17" s="247">
        <f>IFERROR(BP17*(0.0000000000000028)*RadSpec!$AY17*RadSpec!$AF17,0)</f>
        <v>2.2215917387223725E-16</v>
      </c>
      <c r="BR17" s="15">
        <f>IFERROR((DL/(RadSpec!H17*IFA_far_adj)),".")</f>
        <v>3.3141664042951593</v>
      </c>
      <c r="BS17" s="15">
        <f>IFERROR((DL/(RadSpec!K17*EF_far*(1/365)*1*ET_far*(1/24)*GSF_a)),".")</f>
        <v>804.62986901252691</v>
      </c>
      <c r="BT17" s="15">
        <f>IFERROR(IF(AND(BR17&lt;&gt;".",BS17&lt;&gt;"."),1/((1/BR17)+(1/BS17)),IF(AND(BR17&lt;&gt;".",BS17="."),1/((1/BR17)),IF(AND(BR17=".",BS17&lt;&gt;"."),1/((1/BS17)),IF(AND(BR17=".",BS17="."),".")))),".")</f>
        <v>3.3005717758631392</v>
      </c>
      <c r="BU17" s="247">
        <f>IFERROR(BT17*(0.0000000000000028)*RadSpec!$AY17*RadSpec!$AF17,0)</f>
        <v>1.0084176160008506E-16</v>
      </c>
    </row>
    <row r="18" spans="1:73" customFormat="1" x14ac:dyDescent="0.25">
      <c r="A18" s="44" t="s">
        <v>16</v>
      </c>
      <c r="B18" s="237" t="s">
        <v>1057</v>
      </c>
      <c r="C18" s="238"/>
      <c r="D18" s="15">
        <f>d_dir!AC18</f>
        <v>3.1180755823703818E-4</v>
      </c>
      <c r="E18" s="15">
        <f>IFERROR(DL/(RadSpec!F18*IFP_far_adj*CF_far_poultry),".")</f>
        <v>2.8196273626296493E-3</v>
      </c>
      <c r="F18" s="15">
        <f>IFERROR(DL/(RadSpec!F18*IFE_far_adj*CF_far_egg),".")</f>
        <v>5.1030135782898925E-3</v>
      </c>
      <c r="G18" s="15">
        <f>IFERROR(DL/(RadSpec!F18*IFB_far_adj*CF_far_beef),".")</f>
        <v>1.8441441191713594E-3</v>
      </c>
      <c r="H18" s="15">
        <f>IFERROR(DL/(RadSpec!F18*IFD_far_adj*CF_far_dairy),".")</f>
        <v>3.1750632059832415E-4</v>
      </c>
      <c r="I18" s="15">
        <f>IFERROR(DL/(RadSpec!F18*IFSW_far_adj*CF_far_swine),".")</f>
        <v>3.311128834388076E-3</v>
      </c>
      <c r="J18" s="15">
        <f>IFERROR(DL/(RadSpec!F18*IFFI_far_adj*CF_far_fish),".")</f>
        <v>3.1991414783928583E-3</v>
      </c>
      <c r="K18" s="15">
        <f>IFERROR(DL/(RadSpec!F18*IFSF_far_adj*CF_far_shellfish),".")</f>
        <v>2.4411240546289388E-3</v>
      </c>
      <c r="L18" s="111">
        <f t="shared" si="22"/>
        <v>3207.10635</v>
      </c>
      <c r="M18" s="111">
        <f t="shared" si="23"/>
        <v>354.65679375000002</v>
      </c>
      <c r="N18" s="111">
        <f t="shared" si="24"/>
        <v>195.96263749999997</v>
      </c>
      <c r="O18" s="111">
        <f t="shared" si="25"/>
        <v>542.25696874999994</v>
      </c>
      <c r="P18" s="111">
        <f t="shared" si="26"/>
        <v>3149.5436</v>
      </c>
      <c r="Q18" s="111">
        <f t="shared" si="27"/>
        <v>302.01180625000001</v>
      </c>
      <c r="R18" s="111">
        <f t="shared" si="28"/>
        <v>312.58386250000001</v>
      </c>
      <c r="S18" s="111">
        <f t="shared" si="29"/>
        <v>409.64735000000002</v>
      </c>
      <c r="T18" s="15">
        <f t="shared" si="30"/>
        <v>1.1801123637939114E-4</v>
      </c>
      <c r="U18" s="247">
        <f>IFERROR(T18*(0.0000000000028)*RadSpec!$AY18*RadSpec!$AF18,0)</f>
        <v>2.6306834610953298E-14</v>
      </c>
      <c r="V18" s="15">
        <f>IFERROR((DL/(RadSpec!E18*IFS_far_adj*(1/1000)))*1,".")</f>
        <v>3.8370224705628431</v>
      </c>
      <c r="W18" s="15">
        <f>IFERROR(IF(A18="H-3",(DL/(RadSpec!H18*IFA_far_adj*(1/17)*1000))*1,(DL/(RadSpec!H18*IFA_far_adj*(1/PEF_wind)*1000))*1),".")</f>
        <v>12123.895266648593</v>
      </c>
      <c r="X18" s="15">
        <f>IFERROR((DL/(RadSpec!G18*EF_far*(1/365)*1*RadSpec!R18*((ET_far_o*(1/24)*RadSpec!W18)+(ET_far_i*(1/24)*RadSpec!AB18))))*1,".")</f>
        <v>27435.318011694701</v>
      </c>
      <c r="Y18" s="15">
        <f>d_b2s!AC18</f>
        <v>0.13658701952912772</v>
      </c>
      <c r="Z18" s="15">
        <f>IFERROR((E18/(RadSpec!AL18*((Q_p_poultry*f_p_poultry*f_s_poultry*(RadSpec!BD18+R_es_past))+(Q_s_poultry*f_p_poultry))))*1,".")</f>
        <v>1.6304793883251147E-2</v>
      </c>
      <c r="AA18" s="15">
        <f>IFERROR((F18/(RadSpec!AM18*((Q_p_poultry*f_p_poultry*f_s_poultry*(RadSpec!BD18+R_es_past))+(Q_s_poultry*f_p_poultry))))*1,".")</f>
        <v>2.2845457962383117E-2</v>
      </c>
      <c r="AB18" s="15">
        <f>IFERROR((G18/(RadSpec!AI18*((Q_p_beef*f_p_beef*f_s_beef*(RadSpec!BD18+R_es_past))+(Q_s_beef*f_p_beef))))*1,".")</f>
        <v>0.17839810202125381</v>
      </c>
      <c r="AC18" s="15">
        <f>IFERROR(((H18*D_milk)/(RadSpec!AH18*((Q_p_dairy*f_p_dairy*f_s_dairy*(RadSpec!BD18+R_es_past))+(Q_s_dairy*f_p_dairy))))*1,".")</f>
        <v>0.28414642663062073</v>
      </c>
      <c r="AD18" s="15" t="str">
        <f>IFERROR((I18/(RadSpec!AN18*((Q_p_swine*f_p_swine*f_s_swine*(RadSpec!BD18+R_es_past))+(Q_s_swine*f_p_swine))))*1,".")</f>
        <v>.</v>
      </c>
      <c r="AE18" s="15">
        <f>IFERROR(((J18*RadSpec!AU18)/RadSpec!AJ18)*1,".")</f>
        <v>1.8661658623958341E-2</v>
      </c>
      <c r="AF18" s="15" t="str">
        <f>IFERROR(((K18*RadSpec!AU18)/RadSpec!AK18)*1,".")</f>
        <v>.</v>
      </c>
      <c r="AG18" s="111">
        <f t="shared" si="155"/>
        <v>0.26061875000000001</v>
      </c>
      <c r="AH18" s="111">
        <f t="shared" si="156"/>
        <v>8.2481741882980638E-5</v>
      </c>
      <c r="AI18" s="111">
        <f t="shared" si="157"/>
        <v>3.6449367912328759E-5</v>
      </c>
      <c r="AJ18" s="111">
        <f t="shared" si="158"/>
        <v>7.3213399300125008</v>
      </c>
      <c r="AK18" s="111">
        <f t="shared" si="159"/>
        <v>61.331655411310344</v>
      </c>
      <c r="AL18" s="111">
        <f t="shared" si="160"/>
        <v>43.77237705834483</v>
      </c>
      <c r="AM18" s="111">
        <f t="shared" si="161"/>
        <v>5.6054408016115724</v>
      </c>
      <c r="AN18" s="111">
        <f t="shared" si="162"/>
        <v>3.5193122498772826</v>
      </c>
      <c r="AO18" s="111" t="str">
        <f t="shared" si="163"/>
        <v>.</v>
      </c>
      <c r="AP18" s="111">
        <f t="shared" si="164"/>
        <v>53.585805000000001</v>
      </c>
      <c r="AQ18" s="111" t="str">
        <f t="shared" si="164"/>
        <v>.</v>
      </c>
      <c r="AR18" s="15">
        <f t="shared" si="31"/>
        <v>5.7013625780274321E-3</v>
      </c>
      <c r="AS18" s="247">
        <f>IFERROR(AR18*(0.0000000000028)*RadSpec!$AY18*RadSpec!$AF18,0)</f>
        <v>1.2709366243318042E-12</v>
      </c>
      <c r="AT18" s="15">
        <f>IFERROR(DL/(RadSpec!I18*IFW_far_adj),".")</f>
        <v>0.19681426588524842</v>
      </c>
      <c r="AU18" s="15" t="str">
        <f>IFERROR(IF(AND(RadSpec!C18=1,RadSpec!D18&lt;&gt;0),DL/(RadSpec!H18*IFA_far_adj*K*RadSpec!D18),"."),".")</f>
        <v>.</v>
      </c>
      <c r="AV18" s="15">
        <f>IFERROR((DL/(RadSpec!M18*(1/8760)*DFA_far_adj)),".")</f>
        <v>324511136.08123195</v>
      </c>
      <c r="AW18" s="15">
        <f>d_b2w!AC18</f>
        <v>8.372866545483662E-2</v>
      </c>
      <c r="AX18" s="15">
        <f>IFERROR(E18/(RadSpec!AL18*Q_w_poultry*(1/1000)),".")</f>
        <v>2.9371118360725514</v>
      </c>
      <c r="AY18" s="15">
        <f>IFERROR(F18/(RadSpec!AM18*Q_w_poultry*(1/1000)),".")</f>
        <v>4.1153335308789449</v>
      </c>
      <c r="AZ18" s="15">
        <f>IFERROR(G18/(RadSpec!AI18*Q_w_beef*(1/1000)),".")</f>
        <v>11.598390686612323</v>
      </c>
      <c r="BA18" s="15">
        <f>IFERROR((H18*D_milk)/(RadSpec!AH18*Q_w_dairy*(1/1000)),".")</f>
        <v>16.92709680208457</v>
      </c>
      <c r="BB18" s="15" t="str">
        <f>IFERROR(I18/(RadSpec!AN18*Q_w_swine*(1/1000)),".")</f>
        <v>.</v>
      </c>
      <c r="BC18" s="15">
        <f>IFERROR(J18/(RadSpec!AJ18*(1/1000)),".")</f>
        <v>8.8865041066468281E-2</v>
      </c>
      <c r="BD18" s="15" t="str">
        <f>IFERROR(K18/(RadSpec!AK18*(1/1000)),".")</f>
        <v>.</v>
      </c>
      <c r="BE18" s="111">
        <f t="shared" si="165"/>
        <v>5.0809325000000003</v>
      </c>
      <c r="BF18" s="111" t="str">
        <f t="shared" si="166"/>
        <v>.</v>
      </c>
      <c r="BG18" s="111">
        <f t="shared" si="167"/>
        <v>3.0815583467363011E-9</v>
      </c>
      <c r="BH18" s="111">
        <f t="shared" si="168"/>
        <v>11.943340964145687</v>
      </c>
      <c r="BI18" s="111">
        <f t="shared" si="169"/>
        <v>0.340470522</v>
      </c>
      <c r="BJ18" s="111">
        <f t="shared" si="170"/>
        <v>0.24299367050000001</v>
      </c>
      <c r="BK18" s="111">
        <f t="shared" si="171"/>
        <v>8.6218858031249998E-2</v>
      </c>
      <c r="BL18" s="111">
        <f t="shared" si="172"/>
        <v>5.907687606990291E-2</v>
      </c>
      <c r="BM18" s="111" t="str">
        <f t="shared" si="173"/>
        <v>.</v>
      </c>
      <c r="BN18" s="111">
        <f t="shared" si="174"/>
        <v>11.253019050000001</v>
      </c>
      <c r="BO18" s="111" t="str">
        <f t="shared" si="174"/>
        <v>.</v>
      </c>
      <c r="BP18" s="15">
        <f t="shared" si="32"/>
        <v>3.4475563399623155E-2</v>
      </c>
      <c r="BQ18" s="247">
        <f>IFERROR(BP18*(0.0000000000000028)*RadSpec!$AY18*RadSpec!$AF18,0)</f>
        <v>7.6852253420819598E-15</v>
      </c>
      <c r="BR18" s="15">
        <f>IFERROR((DL/(RadSpec!H18*IFA_far_adj)),".")</f>
        <v>8.9189278378467556E-3</v>
      </c>
      <c r="BS18" s="15">
        <f>IFERROR((DL/(RadSpec!K18*EF_far*(1/365)*1*ET_far*(1/24)*GSF_a)),".")</f>
        <v>20070542.80008775</v>
      </c>
      <c r="BT18" s="15">
        <f>IFERROR(IF(AND(BR18&lt;&gt;".",BS18&lt;&gt;"."),1/((1/BR18)+(1/BS18)),IF(AND(BR18&lt;&gt;".",BS18="."),1/((1/BR18)),IF(AND(BR18=".",BS18&lt;&gt;"."),1/((1/BS18)),IF(AND(BR18=".",BS18="."),".")))),".")</f>
        <v>8.9189278338833704E-3</v>
      </c>
      <c r="BU18" s="247">
        <f>IFERROR(BT18*(0.0000000000000028)*RadSpec!$AY18*RadSpec!$AF18,0)</f>
        <v>1.9881899947111488E-15</v>
      </c>
    </row>
    <row r="19" spans="1:73" customFormat="1" x14ac:dyDescent="0.25">
      <c r="A19" s="44" t="s">
        <v>17</v>
      </c>
      <c r="B19" s="42" t="s">
        <v>1057</v>
      </c>
      <c r="C19" s="42"/>
      <c r="D19" s="15" t="str">
        <f>d_dir!AC19</f>
        <v>.</v>
      </c>
      <c r="E19" s="15" t="str">
        <f>IFERROR(DL/(RadSpec!F19*IFP_far_adj*CF_far_poultry),".")</f>
        <v>.</v>
      </c>
      <c r="F19" s="15" t="str">
        <f>IFERROR(DL/(RadSpec!F19*IFE_far_adj*CF_far_egg),".")</f>
        <v>.</v>
      </c>
      <c r="G19" s="15" t="str">
        <f>IFERROR(DL/(RadSpec!F19*IFB_far_adj*CF_far_beef),".")</f>
        <v>.</v>
      </c>
      <c r="H19" s="15" t="str">
        <f>IFERROR(DL/(RadSpec!F19*IFD_far_adj*CF_far_dairy),".")</f>
        <v>.</v>
      </c>
      <c r="I19" s="15" t="str">
        <f>IFERROR(DL/(RadSpec!F19*IFSW_far_adj*CF_far_swine),".")</f>
        <v>.</v>
      </c>
      <c r="J19" s="15" t="str">
        <f>IFERROR(DL/(RadSpec!F19*IFFI_far_adj*CF_far_fish),".")</f>
        <v>.</v>
      </c>
      <c r="K19" s="15" t="str">
        <f>IFERROR(DL/(RadSpec!F19*IFSF_far_adj*CF_far_shellfish),".")</f>
        <v>.</v>
      </c>
      <c r="L19" s="111" t="str">
        <f t="shared" si="22"/>
        <v>.</v>
      </c>
      <c r="M19" s="111" t="str">
        <f t="shared" si="23"/>
        <v>.</v>
      </c>
      <c r="N19" s="111" t="str">
        <f t="shared" si="24"/>
        <v>.</v>
      </c>
      <c r="O19" s="111" t="str">
        <f t="shared" si="25"/>
        <v>.</v>
      </c>
      <c r="P19" s="111" t="str">
        <f t="shared" si="26"/>
        <v>.</v>
      </c>
      <c r="Q19" s="111" t="str">
        <f t="shared" si="27"/>
        <v>.</v>
      </c>
      <c r="R19" s="111" t="str">
        <f t="shared" si="28"/>
        <v>.</v>
      </c>
      <c r="S19" s="111" t="str">
        <f t="shared" si="29"/>
        <v>.</v>
      </c>
      <c r="T19" s="15" t="str">
        <f t="shared" si="30"/>
        <v>.</v>
      </c>
      <c r="U19" s="247">
        <f>IFERROR(T19*(0.0000000000028)*RadSpec!$AY19*RadSpec!$AF19,0)</f>
        <v>0</v>
      </c>
      <c r="V19" s="15" t="str">
        <f>IFERROR((DL/(RadSpec!E19*IFS_far_adj*(1/1000)))*1,".")</f>
        <v>.</v>
      </c>
      <c r="W19" s="15" t="str">
        <f>IFERROR(IF(A19="H-3",(DL/(RadSpec!H19*IFA_far_adj*(1/17)*1000))*1,(DL/(RadSpec!H19*IFA_far_adj*(1/PEF_wind)*1000))*1),".")</f>
        <v>.</v>
      </c>
      <c r="X19" s="15">
        <f>IFERROR((DL/(RadSpec!G19*EF_far*(1/365)*1*RadSpec!R19*((ET_far_o*(1/24)*RadSpec!W19)+(ET_far_i*(1/24)*RadSpec!AB19))))*1,".")</f>
        <v>7142.6431375274133</v>
      </c>
      <c r="Y19" s="15" t="str">
        <f>d_b2s!AC19</f>
        <v>.</v>
      </c>
      <c r="Z19" s="15" t="str">
        <f>IFERROR((E19/(RadSpec!AL19*((Q_p_poultry*f_p_poultry*f_s_poultry*(RadSpec!BD19+R_es_past))+(Q_s_poultry*f_p_poultry))))*1,".")</f>
        <v>.</v>
      </c>
      <c r="AA19" s="15" t="str">
        <f>IFERROR((F19/(RadSpec!AM19*((Q_p_poultry*f_p_poultry*f_s_poultry*(RadSpec!BD19+R_es_past))+(Q_s_poultry*f_p_poultry))))*1,".")</f>
        <v>.</v>
      </c>
      <c r="AB19" s="15" t="str">
        <f>IFERROR((G19/(RadSpec!AI19*((Q_p_beef*f_p_beef*f_s_beef*(RadSpec!BD19+R_es_past))+(Q_s_beef*f_p_beef))))*1,".")</f>
        <v>.</v>
      </c>
      <c r="AC19" s="15" t="str">
        <f>IFERROR(((H19*D_milk)/(RadSpec!AH19*((Q_p_dairy*f_p_dairy*f_s_dairy*(RadSpec!BD19+R_es_past))+(Q_s_dairy*f_p_dairy))))*1,".")</f>
        <v>.</v>
      </c>
      <c r="AD19" s="15" t="str">
        <f>IFERROR((I19/(RadSpec!AN19*((Q_p_swine*f_p_swine*f_s_swine*(RadSpec!BD19+R_es_past))+(Q_s_swine*f_p_swine))))*1,".")</f>
        <v>.</v>
      </c>
      <c r="AE19" s="15" t="str">
        <f>IFERROR(((J19*RadSpec!AU19)/RadSpec!AJ19)*1,".")</f>
        <v>.</v>
      </c>
      <c r="AF19" s="15" t="str">
        <f>IFERROR(((K19*RadSpec!AU19)/RadSpec!AK19)*1,".")</f>
        <v>.</v>
      </c>
      <c r="AG19" s="111" t="str">
        <f t="shared" si="155"/>
        <v>.</v>
      </c>
      <c r="AH19" s="111" t="str">
        <f t="shared" si="156"/>
        <v>.</v>
      </c>
      <c r="AI19" s="111">
        <f t="shared" si="157"/>
        <v>1.4000419463013695E-4</v>
      </c>
      <c r="AJ19" s="111" t="str">
        <f t="shared" si="158"/>
        <v>.</v>
      </c>
      <c r="AK19" s="111" t="str">
        <f t="shared" si="159"/>
        <v>.</v>
      </c>
      <c r="AL19" s="111" t="str">
        <f t="shared" si="160"/>
        <v>.</v>
      </c>
      <c r="AM19" s="111" t="str">
        <f t="shared" si="161"/>
        <v>.</v>
      </c>
      <c r="AN19" s="111" t="str">
        <f t="shared" si="162"/>
        <v>.</v>
      </c>
      <c r="AO19" s="111" t="str">
        <f t="shared" si="163"/>
        <v>.</v>
      </c>
      <c r="AP19" s="111" t="str">
        <f t="shared" si="164"/>
        <v>.</v>
      </c>
      <c r="AQ19" s="111" t="str">
        <f t="shared" si="164"/>
        <v>.</v>
      </c>
      <c r="AR19" s="15">
        <f t="shared" si="31"/>
        <v>7142.6431375274133</v>
      </c>
      <c r="AS19" s="247">
        <f>IFERROR(AR19*(0.0000000000028)*RadSpec!$AY19*RadSpec!$AF19,0)</f>
        <v>5.6733459989629743E-19</v>
      </c>
      <c r="AT19" s="15" t="str">
        <f>IFERROR(DL/(RadSpec!I19*IFW_far_adj),".")</f>
        <v>.</v>
      </c>
      <c r="AU19" s="15" t="str">
        <f>IFERROR(IF(AND(RadSpec!C19=1,RadSpec!D19&lt;&gt;0),DL/(RadSpec!H19*IFA_far_adj*K*RadSpec!D19),"."),".")</f>
        <v>.</v>
      </c>
      <c r="AV19" s="15">
        <f>IFERROR((DL/(RadSpec!M19*(1/8760)*DFA_far_adj)),".")</f>
        <v>84407883.10468702</v>
      </c>
      <c r="AW19" s="15" t="str">
        <f>d_b2w!AC19</f>
        <v>.</v>
      </c>
      <c r="AX19" s="15" t="str">
        <f>IFERROR(E19/(RadSpec!AL19*Q_w_poultry*(1/1000)),".")</f>
        <v>.</v>
      </c>
      <c r="AY19" s="15" t="str">
        <f>IFERROR(F19/(RadSpec!AM19*Q_w_poultry*(1/1000)),".")</f>
        <v>.</v>
      </c>
      <c r="AZ19" s="15" t="str">
        <f>IFERROR(G19/(RadSpec!AI19*Q_w_beef*(1/1000)),".")</f>
        <v>.</v>
      </c>
      <c r="BA19" s="15" t="str">
        <f>IFERROR((H19*D_milk)/(RadSpec!AH19*Q_w_dairy*(1/1000)),".")</f>
        <v>.</v>
      </c>
      <c r="BB19" s="15" t="str">
        <f>IFERROR(I19/(RadSpec!AN19*Q_w_swine*(1/1000)),".")</f>
        <v>.</v>
      </c>
      <c r="BC19" s="15" t="str">
        <f>IFERROR(J19/(RadSpec!AJ19*(1/1000)),".")</f>
        <v>.</v>
      </c>
      <c r="BD19" s="15" t="str">
        <f>IFERROR(K19/(RadSpec!AK19*(1/1000)),".")</f>
        <v>.</v>
      </c>
      <c r="BE19" s="111" t="str">
        <f t="shared" si="165"/>
        <v>.</v>
      </c>
      <c r="BF19" s="111" t="str">
        <f t="shared" si="166"/>
        <v>.</v>
      </c>
      <c r="BG19" s="111">
        <f t="shared" si="167"/>
        <v>1.1847234680198628E-8</v>
      </c>
      <c r="BH19" s="111" t="str">
        <f t="shared" si="168"/>
        <v>.</v>
      </c>
      <c r="BI19" s="111" t="str">
        <f t="shared" si="169"/>
        <v>.</v>
      </c>
      <c r="BJ19" s="111" t="str">
        <f t="shared" si="170"/>
        <v>.</v>
      </c>
      <c r="BK19" s="111" t="str">
        <f t="shared" si="171"/>
        <v>.</v>
      </c>
      <c r="BL19" s="111" t="str">
        <f t="shared" si="172"/>
        <v>.</v>
      </c>
      <c r="BM19" s="111" t="str">
        <f t="shared" si="173"/>
        <v>.</v>
      </c>
      <c r="BN19" s="111" t="str">
        <f t="shared" si="174"/>
        <v>.</v>
      </c>
      <c r="BO19" s="111" t="str">
        <f t="shared" si="174"/>
        <v>.</v>
      </c>
      <c r="BP19" s="15">
        <f t="shared" si="32"/>
        <v>84407883.10468702</v>
      </c>
      <c r="BQ19" s="247">
        <f>IFERROR(BP19*(0.0000000000000028)*RadSpec!$AY19*RadSpec!$AF19,0)</f>
        <v>6.7044526329042371E-18</v>
      </c>
      <c r="BR19" s="15" t="str">
        <f>IFERROR((DL/(RadSpec!H19*IFA_far_adj)),".")</f>
        <v>.</v>
      </c>
      <c r="BS19" s="15">
        <f>IFERROR((DL/(RadSpec!K19*EF_far*(1/365)*1*ET_far*(1/24)*GSF_a)),".")</f>
        <v>5223035.9918357013</v>
      </c>
      <c r="BT19" s="15">
        <f t="shared" ref="BT19:BT20" si="176">IFERROR(IF(AND(BR19&lt;&gt;".",BS19&lt;&gt;"."),1/((1/BR19)+(1/BS19)),IF(AND(BR19&lt;&gt;".",BS19="."),1/((1/BR19)),IF(AND(BR19=".",BS19&lt;&gt;"."),1/((1/BS19)),IF(AND(BR19=".",BS19="."),".")))),".")</f>
        <v>5223035.9918357013</v>
      </c>
      <c r="BU19" s="247">
        <f>IFERROR(BT19*(0.0000000000000028)*RadSpec!$AY19*RadSpec!$AF19,0)</f>
        <v>4.1486169442000845E-19</v>
      </c>
    </row>
    <row r="20" spans="1:73" customFormat="1" x14ac:dyDescent="0.25">
      <c r="A20" s="44" t="s">
        <v>18</v>
      </c>
      <c r="B20" s="237" t="s">
        <v>1057</v>
      </c>
      <c r="C20" s="238"/>
      <c r="D20" s="15" t="str">
        <f>d_dir!AC20</f>
        <v>.</v>
      </c>
      <c r="E20" s="15" t="str">
        <f>IFERROR(DL/(RadSpec!F20*IFP_far_adj*CF_far_poultry),".")</f>
        <v>.</v>
      </c>
      <c r="F20" s="15" t="str">
        <f>IFERROR(DL/(RadSpec!F20*IFE_far_adj*CF_far_egg),".")</f>
        <v>.</v>
      </c>
      <c r="G20" s="15" t="str">
        <f>IFERROR(DL/(RadSpec!F20*IFB_far_adj*CF_far_beef),".")</f>
        <v>.</v>
      </c>
      <c r="H20" s="15" t="str">
        <f>IFERROR(DL/(RadSpec!F20*IFD_far_adj*CF_far_dairy),".")</f>
        <v>.</v>
      </c>
      <c r="I20" s="15" t="str">
        <f>IFERROR(DL/(RadSpec!F20*IFSW_far_adj*CF_far_swine),".")</f>
        <v>.</v>
      </c>
      <c r="J20" s="15" t="str">
        <f>IFERROR(DL/(RadSpec!F20*IFFI_far_adj*CF_far_fish),".")</f>
        <v>.</v>
      </c>
      <c r="K20" s="15" t="str">
        <f>IFERROR(DL/(RadSpec!F20*IFSF_far_adj*CF_far_shellfish),".")</f>
        <v>.</v>
      </c>
      <c r="L20" s="111" t="str">
        <f t="shared" si="22"/>
        <v>.</v>
      </c>
      <c r="M20" s="111" t="str">
        <f t="shared" si="23"/>
        <v>.</v>
      </c>
      <c r="N20" s="111" t="str">
        <f t="shared" si="24"/>
        <v>.</v>
      </c>
      <c r="O20" s="111" t="str">
        <f t="shared" si="25"/>
        <v>.</v>
      </c>
      <c r="P20" s="111" t="str">
        <f t="shared" si="26"/>
        <v>.</v>
      </c>
      <c r="Q20" s="111" t="str">
        <f t="shared" si="27"/>
        <v>.</v>
      </c>
      <c r="R20" s="111" t="str">
        <f t="shared" si="28"/>
        <v>.</v>
      </c>
      <c r="S20" s="111" t="str">
        <f t="shared" si="29"/>
        <v>.</v>
      </c>
      <c r="T20" s="15" t="str">
        <f t="shared" si="30"/>
        <v>.</v>
      </c>
      <c r="U20" s="247">
        <f>IFERROR(T20*(0.0000000000028)*RadSpec!$AY20*RadSpec!$AF20,0)</f>
        <v>0</v>
      </c>
      <c r="V20" s="15" t="str">
        <f>IFERROR((DL/(RadSpec!E20*IFS_far_adj*(1/1000)))*1,".")</f>
        <v>.</v>
      </c>
      <c r="W20" s="15" t="str">
        <f>IFERROR(IF(A20="H-3",(DL/(RadSpec!H20*IFA_far_adj*(1/17)*1000))*1,(DL/(RadSpec!H20*IFA_far_adj*(1/PEF_wind)*1000))*1),".")</f>
        <v>.</v>
      </c>
      <c r="X20" s="15">
        <f>IFERROR((DL/(RadSpec!G20*EF_far*(1/365)*1*RadSpec!R20*((ET_far_o*(1/24)*RadSpec!W20)+(ET_far_i*(1/24)*RadSpec!AB20))))*1,".")</f>
        <v>3223.9167468995324</v>
      </c>
      <c r="Y20" s="15" t="str">
        <f>d_b2s!AC20</f>
        <v>.</v>
      </c>
      <c r="Z20" s="15" t="str">
        <f>IFERROR((E20/(RadSpec!AL20*((Q_p_poultry*f_p_poultry*f_s_poultry*(RadSpec!BD20+R_es_past))+(Q_s_poultry*f_p_poultry))))*1,".")</f>
        <v>.</v>
      </c>
      <c r="AA20" s="15" t="str">
        <f>IFERROR((F20/(RadSpec!AM20*((Q_p_poultry*f_p_poultry*f_s_poultry*(RadSpec!BD20+R_es_past))+(Q_s_poultry*f_p_poultry))))*1,".")</f>
        <v>.</v>
      </c>
      <c r="AB20" s="15" t="str">
        <f>IFERROR((G20/(RadSpec!AI20*((Q_p_beef*f_p_beef*f_s_beef*(RadSpec!BD20+R_es_past))+(Q_s_beef*f_p_beef))))*1,".")</f>
        <v>.</v>
      </c>
      <c r="AC20" s="15" t="str">
        <f>IFERROR(((H20*D_milk)/(RadSpec!AH20*((Q_p_dairy*f_p_dairy*f_s_dairy*(RadSpec!BD20+R_es_past))+(Q_s_dairy*f_p_dairy))))*1,".")</f>
        <v>.</v>
      </c>
      <c r="AD20" s="15" t="str">
        <f>IFERROR((I20/(RadSpec!AN20*((Q_p_swine*f_p_swine*f_s_swine*(RadSpec!BD20+R_es_past))+(Q_s_swine*f_p_swine))))*1,".")</f>
        <v>.</v>
      </c>
      <c r="AE20" s="15" t="str">
        <f>IFERROR(((J20*RadSpec!AU20)/RadSpec!AJ20)*1,".")</f>
        <v>.</v>
      </c>
      <c r="AF20" s="15" t="str">
        <f>IFERROR(((K20*RadSpec!AU20)/RadSpec!AK20)*1,".")</f>
        <v>.</v>
      </c>
      <c r="AG20" s="111" t="str">
        <f t="shared" si="155"/>
        <v>.</v>
      </c>
      <c r="AH20" s="111" t="str">
        <f t="shared" si="156"/>
        <v>.</v>
      </c>
      <c r="AI20" s="111">
        <f t="shared" si="157"/>
        <v>3.1018170706849309E-4</v>
      </c>
      <c r="AJ20" s="111" t="str">
        <f t="shared" si="158"/>
        <v>.</v>
      </c>
      <c r="AK20" s="111" t="str">
        <f t="shared" si="159"/>
        <v>.</v>
      </c>
      <c r="AL20" s="111" t="str">
        <f t="shared" si="160"/>
        <v>.</v>
      </c>
      <c r="AM20" s="111" t="str">
        <f t="shared" si="161"/>
        <v>.</v>
      </c>
      <c r="AN20" s="111" t="str">
        <f t="shared" si="162"/>
        <v>.</v>
      </c>
      <c r="AO20" s="111" t="str">
        <f t="shared" si="163"/>
        <v>.</v>
      </c>
      <c r="AP20" s="111" t="str">
        <f t="shared" si="164"/>
        <v>.</v>
      </c>
      <c r="AQ20" s="111" t="str">
        <f t="shared" si="164"/>
        <v>.</v>
      </c>
      <c r="AR20" s="15">
        <f t="shared" si="31"/>
        <v>3223.9167468995324</v>
      </c>
      <c r="AS20" s="247">
        <f>IFERROR(AR20*(0.0000000000028)*RadSpec!$AY20*RadSpec!$AF20,0)</f>
        <v>1.0064369650308959E-17</v>
      </c>
      <c r="AT20" s="15" t="str">
        <f>IFERROR(DL/(RadSpec!I20*IFW_far_adj),".")</f>
        <v>.</v>
      </c>
      <c r="AU20" s="15" t="str">
        <f>IFERROR(IF(AND(RadSpec!C20=1,RadSpec!D20&lt;&gt;0),DL/(RadSpec!H20*IFA_far_adj*K*RadSpec!D20),"."),".")</f>
        <v>.</v>
      </c>
      <c r="AV20" s="15">
        <f>IFERROR((DL/(RadSpec!M20*(1/8760)*DFA_far_adj)),".")</f>
        <v>38050212.189354666</v>
      </c>
      <c r="AW20" s="15" t="str">
        <f>d_b2w!AC20</f>
        <v>.</v>
      </c>
      <c r="AX20" s="15" t="str">
        <f>IFERROR(E20/(RadSpec!AL20*Q_w_poultry*(1/1000)),".")</f>
        <v>.</v>
      </c>
      <c r="AY20" s="15" t="str">
        <f>IFERROR(F20/(RadSpec!AM20*Q_w_poultry*(1/1000)),".")</f>
        <v>.</v>
      </c>
      <c r="AZ20" s="15" t="str">
        <f>IFERROR(G20/(RadSpec!AI20*Q_w_beef*(1/1000)),".")</f>
        <v>.</v>
      </c>
      <c r="BA20" s="15" t="str">
        <f>IFERROR((H20*D_milk)/(RadSpec!AH20*Q_w_dairy*(1/1000)),".")</f>
        <v>.</v>
      </c>
      <c r="BB20" s="15" t="str">
        <f>IFERROR(I20/(RadSpec!AN20*Q_w_swine*(1/1000)),".")</f>
        <v>.</v>
      </c>
      <c r="BC20" s="15" t="str">
        <f>IFERROR(J20/(RadSpec!AJ20*(1/1000)),".")</f>
        <v>.</v>
      </c>
      <c r="BD20" s="15" t="str">
        <f>IFERROR(K20/(RadSpec!AK20*(1/1000)),".")</f>
        <v>.</v>
      </c>
      <c r="BE20" s="111" t="str">
        <f t="shared" si="165"/>
        <v>.</v>
      </c>
      <c r="BF20" s="111" t="str">
        <f t="shared" si="166"/>
        <v>.</v>
      </c>
      <c r="BG20" s="111">
        <f t="shared" si="167"/>
        <v>2.6281062376828761E-8</v>
      </c>
      <c r="BH20" s="111" t="str">
        <f t="shared" si="168"/>
        <v>.</v>
      </c>
      <c r="BI20" s="111" t="str">
        <f t="shared" si="169"/>
        <v>.</v>
      </c>
      <c r="BJ20" s="111" t="str">
        <f t="shared" si="170"/>
        <v>.</v>
      </c>
      <c r="BK20" s="111" t="str">
        <f t="shared" si="171"/>
        <v>.</v>
      </c>
      <c r="BL20" s="111" t="str">
        <f t="shared" si="172"/>
        <v>.</v>
      </c>
      <c r="BM20" s="111" t="str">
        <f t="shared" si="173"/>
        <v>.</v>
      </c>
      <c r="BN20" s="111" t="str">
        <f t="shared" si="174"/>
        <v>.</v>
      </c>
      <c r="BO20" s="111" t="str">
        <f t="shared" si="174"/>
        <v>.</v>
      </c>
      <c r="BP20" s="15">
        <f t="shared" si="32"/>
        <v>38050212.189354666</v>
      </c>
      <c r="BQ20" s="247">
        <f>IFERROR(BP20*(0.0000000000000028)*RadSpec!$AY20*RadSpec!$AF20,0)</f>
        <v>1.1878451920777564E-16</v>
      </c>
      <c r="BR20" s="15" t="str">
        <f>IFERROR((DL/(RadSpec!H20*IFA_far_adj)),".")</f>
        <v>.</v>
      </c>
      <c r="BS20" s="15">
        <f>IFERROR((DL/(RadSpec!K20*EF_far*(1/365)*1*ET_far*(1/24)*GSF_a)),".")</f>
        <v>2350366.1963260653</v>
      </c>
      <c r="BT20" s="15">
        <f t="shared" si="176"/>
        <v>2350366.1963260653</v>
      </c>
      <c r="BU20" s="247">
        <f>IFERROR(BT20*(0.0000000000000028)*RadSpec!$AY20*RadSpec!$AF20,0)</f>
        <v>7.3373340785444697E-18</v>
      </c>
    </row>
    <row r="21" spans="1:73" customFormat="1" x14ac:dyDescent="0.25">
      <c r="A21" s="44" t="s">
        <v>19</v>
      </c>
      <c r="B21" s="237" t="s">
        <v>1057</v>
      </c>
      <c r="C21" s="238"/>
      <c r="D21" s="15" t="str">
        <f>d_dir!AC21</f>
        <v>.</v>
      </c>
      <c r="E21" s="15" t="str">
        <f>IFERROR(DL/(RadSpec!F21*IFP_far_adj*CF_far_poultry),".")</f>
        <v>.</v>
      </c>
      <c r="F21" s="15" t="str">
        <f>IFERROR(DL/(RadSpec!F21*IFE_far_adj*CF_far_egg),".")</f>
        <v>.</v>
      </c>
      <c r="G21" s="15" t="str">
        <f>IFERROR(DL/(RadSpec!F21*IFB_far_adj*CF_far_beef),".")</f>
        <v>.</v>
      </c>
      <c r="H21" s="15" t="str">
        <f>IFERROR(DL/(RadSpec!F21*IFD_far_adj*CF_far_dairy),".")</f>
        <v>.</v>
      </c>
      <c r="I21" s="15" t="str">
        <f>IFERROR(DL/(RadSpec!F21*IFSW_far_adj*CF_far_swine),".")</f>
        <v>.</v>
      </c>
      <c r="J21" s="15" t="str">
        <f>IFERROR(DL/(RadSpec!F21*IFFI_far_adj*CF_far_fish),".")</f>
        <v>.</v>
      </c>
      <c r="K21" s="15" t="str">
        <f>IFERROR(DL/(RadSpec!F21*IFSF_far_adj*CF_far_shellfish),".")</f>
        <v>.</v>
      </c>
      <c r="L21" s="111" t="str">
        <f t="shared" si="22"/>
        <v>.</v>
      </c>
      <c r="M21" s="111" t="str">
        <f t="shared" si="23"/>
        <v>.</v>
      </c>
      <c r="N21" s="111" t="str">
        <f t="shared" si="24"/>
        <v>.</v>
      </c>
      <c r="O21" s="111" t="str">
        <f t="shared" si="25"/>
        <v>.</v>
      </c>
      <c r="P21" s="111" t="str">
        <f t="shared" si="26"/>
        <v>.</v>
      </c>
      <c r="Q21" s="111" t="str">
        <f t="shared" si="27"/>
        <v>.</v>
      </c>
      <c r="R21" s="111" t="str">
        <f t="shared" si="28"/>
        <v>.</v>
      </c>
      <c r="S21" s="111" t="str">
        <f t="shared" si="29"/>
        <v>.</v>
      </c>
      <c r="T21" s="15" t="str">
        <f t="shared" si="30"/>
        <v>.</v>
      </c>
      <c r="U21" s="247">
        <f>IFERROR(T21*(0.0000000000028)*RadSpec!$AY21*RadSpec!$AF21,0)</f>
        <v>0</v>
      </c>
      <c r="V21" s="15" t="str">
        <f>IFERROR((DL/(RadSpec!E21*IFS_far_adj*(1/1000)))*1,".")</f>
        <v>.</v>
      </c>
      <c r="W21" s="15">
        <f>IFERROR(IF(A21="H-3",(DL/(RadSpec!H21*IFA_far_adj*(1/17)*1000))*1,(DL/(RadSpec!H21*IFA_far_adj*(1/PEF_wind)*1000))*1),".")</f>
        <v>27550836.015392002</v>
      </c>
      <c r="X21" s="15">
        <f>IFERROR((DL/(RadSpec!G21*EF_far*(1/365)*1*RadSpec!R21*((ET_far_o*(1/24)*RadSpec!W21)+(ET_far_i*(1/24)*RadSpec!AB21))))*1,".")</f>
        <v>186357760.67322987</v>
      </c>
      <c r="Y21" s="15" t="str">
        <f>d_b2s!AC21</f>
        <v>.</v>
      </c>
      <c r="Z21" s="15" t="str">
        <f>IFERROR((E21/(RadSpec!AL21*((Q_p_poultry*f_p_poultry*f_s_poultry*(RadSpec!BD21+R_es_past))+(Q_s_poultry*f_p_poultry))))*1,".")</f>
        <v>.</v>
      </c>
      <c r="AA21" s="15" t="str">
        <f>IFERROR((F21/(RadSpec!AM21*((Q_p_poultry*f_p_poultry*f_s_poultry*(RadSpec!BD21+R_es_past))+(Q_s_poultry*f_p_poultry))))*1,".")</f>
        <v>.</v>
      </c>
      <c r="AB21" s="15" t="str">
        <f>IFERROR((G21/(RadSpec!AI21*((Q_p_beef*f_p_beef*f_s_beef*(RadSpec!BD21+R_es_past))+(Q_s_beef*f_p_beef))))*1,".")</f>
        <v>.</v>
      </c>
      <c r="AC21" s="15" t="str">
        <f>IFERROR(((H21*D_milk)/(RadSpec!AH21*((Q_p_dairy*f_p_dairy*f_s_dairy*(RadSpec!BD21+R_es_past))+(Q_s_dairy*f_p_dairy))))*1,".")</f>
        <v>.</v>
      </c>
      <c r="AD21" s="15" t="str">
        <f>IFERROR((I21/(RadSpec!AN21*((Q_p_swine*f_p_swine*f_s_swine*(RadSpec!BD21+R_es_past))+(Q_s_swine*f_p_swine))))*1,".")</f>
        <v>.</v>
      </c>
      <c r="AE21" s="15" t="str">
        <f>IFERROR(((J21*RadSpec!AU21)/RadSpec!AJ21)*1,".")</f>
        <v>.</v>
      </c>
      <c r="AF21" s="15" t="str">
        <f>IFERROR(((K21*RadSpec!AU21)/RadSpec!AK21)*1,".")</f>
        <v>.</v>
      </c>
      <c r="AG21" s="111" t="str">
        <f t="shared" si="155"/>
        <v>.</v>
      </c>
      <c r="AH21" s="111">
        <f t="shared" si="156"/>
        <v>3.6296539220854265E-8</v>
      </c>
      <c r="AI21" s="111">
        <f t="shared" si="157"/>
        <v>5.366022839013697E-9</v>
      </c>
      <c r="AJ21" s="111" t="str">
        <f t="shared" si="158"/>
        <v>.</v>
      </c>
      <c r="AK21" s="111" t="str">
        <f t="shared" si="159"/>
        <v>.</v>
      </c>
      <c r="AL21" s="111" t="str">
        <f t="shared" si="160"/>
        <v>.</v>
      </c>
      <c r="AM21" s="111" t="str">
        <f t="shared" si="161"/>
        <v>.</v>
      </c>
      <c r="AN21" s="111" t="str">
        <f t="shared" si="162"/>
        <v>.</v>
      </c>
      <c r="AO21" s="111" t="str">
        <f t="shared" si="163"/>
        <v>.</v>
      </c>
      <c r="AP21" s="111" t="str">
        <f t="shared" si="164"/>
        <v>.</v>
      </c>
      <c r="AQ21" s="111" t="str">
        <f t="shared" si="164"/>
        <v>.</v>
      </c>
      <c r="AR21" s="15">
        <f t="shared" si="31"/>
        <v>24002364.486442942</v>
      </c>
      <c r="AS21" s="247">
        <f>IFERROR(AR21*(0.0000000000028)*RadSpec!$AY21*RadSpec!$AF21,0)</f>
        <v>8.6412165479122462E-8</v>
      </c>
      <c r="AT21" s="15" t="str">
        <f>IFERROR(DL/(RadSpec!I21*IFW_far_adj),".")</f>
        <v>.</v>
      </c>
      <c r="AU21" s="15">
        <f>IFERROR(IF(AND(RadSpec!C21=1,RadSpec!D21&lt;&gt;0),DL/(RadSpec!H21*IFA_far_adj*K*RadSpec!D21),"."),".")</f>
        <v>41.079340661473481</v>
      </c>
      <c r="AV21" s="15">
        <f>IFERROR((DL/(RadSpec!M21*(1/8760)*DFA_far_adj)),".")</f>
        <v>109494142069.36671</v>
      </c>
      <c r="AW21" s="15" t="str">
        <f>d_b2w!AC21</f>
        <v>.</v>
      </c>
      <c r="AX21" s="15" t="str">
        <f>IFERROR(E21/(RadSpec!AL21*Q_w_poultry*(1/1000)),".")</f>
        <v>.</v>
      </c>
      <c r="AY21" s="15" t="str">
        <f>IFERROR(F21/(RadSpec!AM21*Q_w_poultry*(1/1000)),".")</f>
        <v>.</v>
      </c>
      <c r="AZ21" s="15" t="str">
        <f>IFERROR(G21/(RadSpec!AI21*Q_w_beef*(1/1000)),".")</f>
        <v>.</v>
      </c>
      <c r="BA21" s="15" t="str">
        <f>IFERROR((H21*D_milk)/(RadSpec!AH21*Q_w_dairy*(1/1000)),".")</f>
        <v>.</v>
      </c>
      <c r="BB21" s="15" t="str">
        <f>IFERROR(I21/(RadSpec!AN21*Q_w_swine*(1/1000)),".")</f>
        <v>.</v>
      </c>
      <c r="BC21" s="15" t="str">
        <f>IFERROR(J21/(RadSpec!AJ21*(1/1000)),".")</f>
        <v>.</v>
      </c>
      <c r="BD21" s="15" t="str">
        <f>IFERROR(K21/(RadSpec!AK21*(1/1000)),".")</f>
        <v>.</v>
      </c>
      <c r="BE21" s="111" t="str">
        <f t="shared" si="165"/>
        <v>.</v>
      </c>
      <c r="BF21" s="111">
        <f t="shared" si="166"/>
        <v>2.43431365717575E-2</v>
      </c>
      <c r="BG21" s="111">
        <f t="shared" si="167"/>
        <v>9.1329086753013698E-12</v>
      </c>
      <c r="BH21" s="111" t="str">
        <f t="shared" si="168"/>
        <v>.</v>
      </c>
      <c r="BI21" s="111" t="str">
        <f t="shared" si="169"/>
        <v>.</v>
      </c>
      <c r="BJ21" s="111" t="str">
        <f t="shared" si="170"/>
        <v>.</v>
      </c>
      <c r="BK21" s="111" t="str">
        <f t="shared" si="171"/>
        <v>.</v>
      </c>
      <c r="BL21" s="111" t="str">
        <f t="shared" si="172"/>
        <v>.</v>
      </c>
      <c r="BM21" s="111" t="str">
        <f t="shared" si="173"/>
        <v>.</v>
      </c>
      <c r="BN21" s="111" t="str">
        <f t="shared" si="174"/>
        <v>.</v>
      </c>
      <c r="BO21" s="111" t="str">
        <f t="shared" si="174"/>
        <v>.</v>
      </c>
      <c r="BP21" s="15">
        <f t="shared" si="32"/>
        <v>41.079340646061581</v>
      </c>
      <c r="BQ21" s="247">
        <f>IFERROR(BP21*(0.0000000000000028)*RadSpec!$AY21*RadSpec!$AF21,0)</f>
        <v>1.4789187888908585E-16</v>
      </c>
      <c r="BR21" s="15">
        <f>IFERROR((DL/(RadSpec!H21*IFA_far_adj)),".")</f>
        <v>20.267736803169875</v>
      </c>
      <c r="BS21" s="15">
        <f>IFERROR((DL/(RadSpec!K21*EF_far*(1/365)*1*ET_far*(1/24)*GSF_a)),".")</f>
        <v>3408928071.0072703</v>
      </c>
      <c r="BT21" s="15">
        <f>IFERROR(IF(AND(BR21&lt;&gt;".",BS21&lt;&gt;"."),1/((1/BR21)+(1/BS21)),IF(AND(BR21&lt;&gt;".",BS21="."),1/((1/BR21)),IF(AND(BR21=".",BS21&lt;&gt;"."),1/((1/BS21)),IF(AND(BR21=".",BS21="."),".")))),".")</f>
        <v>20.267736682668314</v>
      </c>
      <c r="BU21" s="247">
        <f>IFERROR(BT21*(0.0000000000000028)*RadSpec!$AY21*RadSpec!$AF21,0)</f>
        <v>7.2966936949034007E-17</v>
      </c>
    </row>
    <row r="22" spans="1:73" customFormat="1" x14ac:dyDescent="0.25">
      <c r="A22" s="44" t="s">
        <v>20</v>
      </c>
      <c r="B22" s="42" t="s">
        <v>1057</v>
      </c>
      <c r="C22" s="42"/>
      <c r="D22" s="15">
        <f>d_dir!AC22</f>
        <v>2.2927026340958689E-3</v>
      </c>
      <c r="E22" s="15">
        <f>IFERROR(DL/(RadSpec!F22*IFP_far_adj*CF_far_poultry),".")</f>
        <v>2.0732554136982717E-2</v>
      </c>
      <c r="F22" s="15">
        <f>IFERROR(DL/(RadSpec!F22*IFE_far_adj*CF_far_egg),".")</f>
        <v>3.7522158663896264E-2</v>
      </c>
      <c r="G22" s="15">
        <f>IFERROR(DL/(RadSpec!F22*IFB_far_adj*CF_far_beef),".")</f>
        <v>1.355988322920117E-2</v>
      </c>
      <c r="H22" s="15">
        <f>IFERROR(DL/(RadSpec!F22*IFD_far_adj*CF_far_dairy),".")</f>
        <v>2.3346052985170895E-3</v>
      </c>
      <c r="I22" s="15">
        <f>IFERROR(DL/(RadSpec!F22*IFSW_far_adj*CF_far_swine),".")</f>
        <v>2.4346535546971144E-2</v>
      </c>
      <c r="J22" s="15">
        <f>IFERROR(DL/(RadSpec!F22*IFFI_far_adj*CF_far_fish),".")</f>
        <v>2.3523099105829844E-2</v>
      </c>
      <c r="K22" s="15">
        <f>IFERROR(DL/(RadSpec!F22*IFSF_far_adj*CF_far_shellfish),".")</f>
        <v>1.7949441578153959E-2</v>
      </c>
      <c r="L22" s="111">
        <f t="shared" si="22"/>
        <v>436.16646360000004</v>
      </c>
      <c r="M22" s="111">
        <f t="shared" si="23"/>
        <v>48.233323949999999</v>
      </c>
      <c r="N22" s="111">
        <f t="shared" si="24"/>
        <v>26.650918700000002</v>
      </c>
      <c r="O22" s="111">
        <f t="shared" si="25"/>
        <v>73.746947750000004</v>
      </c>
      <c r="P22" s="111">
        <f t="shared" si="26"/>
        <v>428.33792959999994</v>
      </c>
      <c r="Q22" s="111">
        <f t="shared" si="27"/>
        <v>41.073605650000005</v>
      </c>
      <c r="R22" s="111">
        <f t="shared" si="28"/>
        <v>42.5114053</v>
      </c>
      <c r="S22" s="111">
        <f t="shared" si="29"/>
        <v>55.712039600000011</v>
      </c>
      <c r="T22" s="15">
        <f t="shared" si="30"/>
        <v>8.6772967926022871E-4</v>
      </c>
      <c r="U22" s="247">
        <f>IFERROR(T22*(0.0000000000028)*RadSpec!$AY22*RadSpec!$AF22,0)</f>
        <v>2.2316105477303485E-14</v>
      </c>
      <c r="V22" s="15">
        <f>IFERROR((DL/(RadSpec!E22*IFS_far_adj*(1/1000)))*1,".")</f>
        <v>28.213400518844434</v>
      </c>
      <c r="W22" s="15">
        <f>IFERROR(IF(A22="H-3",(DL/(RadSpec!H22*IFA_far_adj*(1/17)*1000))*1,(DL/(RadSpec!H22*IFA_far_adj*(1/PEF_wind)*1000))*1),".")</f>
        <v>6746.7098511195518</v>
      </c>
      <c r="X22" s="15">
        <f>IFERROR((DL/(RadSpec!G22*EF_far*(1/365)*1*RadSpec!R22*((ET_far_o*(1/24)*RadSpec!W22)+(ET_far_i*(1/24)*RadSpec!AB22))))*1,".")</f>
        <v>173.69949768410476</v>
      </c>
      <c r="Y22" s="15">
        <f>d_b2s!AC22</f>
        <v>9.8376761159745682E-2</v>
      </c>
      <c r="Z22" s="15" t="str">
        <f>IFERROR((E22/(RadSpec!AL22*((Q_p_poultry*f_p_poultry*f_s_poultry*(RadSpec!BD22+R_es_past))+(Q_s_poultry*f_p_poultry))))*1,".")</f>
        <v>.</v>
      </c>
      <c r="AA22" s="15" t="str">
        <f>IFERROR((F22/(RadSpec!AM22*((Q_p_poultry*f_p_poultry*f_s_poultry*(RadSpec!BD22+R_es_past))+(Q_s_poultry*f_p_poultry))))*1,".")</f>
        <v>.</v>
      </c>
      <c r="AB22" s="15">
        <f>IFERROR((G22/(RadSpec!AI22*((Q_p_beef*f_p_beef*f_s_beef*(RadSpec!BD22+R_es_past))+(Q_s_beef*f_p_beef))))*1,".")</f>
        <v>2.1719337955851286</v>
      </c>
      <c r="AC22" s="15">
        <f>IFERROR(((H22*D_milk)/(RadSpec!AH22*((Q_p_dairy*f_p_dairy*f_s_dairy*(RadSpec!BD22+R_es_past))+(Q_s_dairy*f_p_dairy))))*1,".")</f>
        <v>1.0777194036807474</v>
      </c>
      <c r="AD22" s="15" t="str">
        <f>IFERROR((I22/(RadSpec!AN22*((Q_p_swine*f_p_swine*f_s_swine*(RadSpec!BD22+R_es_past))+(Q_s_swine*f_p_swine))))*1,".")</f>
        <v>.</v>
      </c>
      <c r="AE22" s="15">
        <f>IFERROR(((J22*RadSpec!AU22)/RadSpec!AJ22)*1,".")</f>
        <v>5.8807747764574609E-3</v>
      </c>
      <c r="AF22" s="15">
        <f>IFERROR(((K22*RadSpec!AU22)/RadSpec!AK22)*1,".")</f>
        <v>1.7949441578153958E-4</v>
      </c>
      <c r="AG22" s="111">
        <f t="shared" ref="AG22:AG23" si="177">IFERROR(1/V22,".")</f>
        <v>3.5444150000000001E-2</v>
      </c>
      <c r="AH22" s="111">
        <f t="shared" ref="AH22:AH23" si="178">IFERROR(1/W22,".")</f>
        <v>1.4822039513586903E-4</v>
      </c>
      <c r="AI22" s="111">
        <f t="shared" ref="AI22:AI23" si="179">IFERROR(1/X22,".")</f>
        <v>5.7570690378082193E-3</v>
      </c>
      <c r="AJ22" s="111">
        <f t="shared" ref="AJ22:AJ23" si="180">IFERROR(1/Y22,".")</f>
        <v>10.165002264876202</v>
      </c>
      <c r="AK22" s="111" t="str">
        <f t="shared" ref="AK22:AK23" si="181">IFERROR(1/Z22,".")</f>
        <v>.</v>
      </c>
      <c r="AL22" s="111" t="str">
        <f t="shared" ref="AL22:AL23" si="182">IFERROR(1/AA22,".")</f>
        <v>.</v>
      </c>
      <c r="AM22" s="111">
        <f t="shared" ref="AM22:AM23" si="183">IFERROR(1/AB22,".")</f>
        <v>0.46041919050787439</v>
      </c>
      <c r="AN22" s="111">
        <f t="shared" ref="AN22:AN23" si="184">IFERROR(1/AC22,".")</f>
        <v>0.92788530723738349</v>
      </c>
      <c r="AO22" s="111" t="str">
        <f t="shared" ref="AO22:AO23" si="185">IFERROR(1/AD22,".")</f>
        <v>.</v>
      </c>
      <c r="AP22" s="111">
        <f t="shared" ref="AP22:AP23" si="186">IFERROR(1/AE22,".")</f>
        <v>170.0456212</v>
      </c>
      <c r="AQ22" s="111">
        <f t="shared" si="164"/>
        <v>5571.2039600000007</v>
      </c>
      <c r="AR22" s="15">
        <f t="shared" si="31"/>
        <v>1.738270599260294E-4</v>
      </c>
      <c r="AS22" s="247">
        <f>IFERROR(AR22*(0.0000000000028)*RadSpec!$AY22*RadSpec!$AF22,0)</f>
        <v>4.4704509904812033E-15</v>
      </c>
      <c r="AT22" s="15">
        <f>IFERROR(DL/(RadSpec!I22*IFW_far_adj),".")</f>
        <v>1.4471637197444738</v>
      </c>
      <c r="AU22" s="15" t="str">
        <f>IFERROR(IF(AND(RadSpec!C22=1,RadSpec!D22&lt;&gt;0),DL/(RadSpec!H22*IFA_far_adj*K*RadSpec!D22),"."),".")</f>
        <v>.</v>
      </c>
      <c r="AV22" s="15">
        <f>IFERROR((DL/(RadSpec!M22*(1/8760)*DFA_far_adj)),".")</f>
        <v>576709.47756609367</v>
      </c>
      <c r="AW22" s="15">
        <f>d_b2w!AC22</f>
        <v>0.51227830260725016</v>
      </c>
      <c r="AX22" s="15" t="str">
        <f>IFERROR(E22/(RadSpec!AL22*Q_w_poultry*(1/1000)),".")</f>
        <v>.</v>
      </c>
      <c r="AY22" s="15" t="str">
        <f>IFERROR(F22/(RadSpec!AM22*Q_w_poultry*(1/1000)),".")</f>
        <v>.</v>
      </c>
      <c r="AZ22" s="15">
        <f>IFERROR(G22/(RadSpec!AI22*Q_w_beef*(1/1000)),".")</f>
        <v>150.49814904773771</v>
      </c>
      <c r="BA22" s="15">
        <f>IFERROR((H22*D_milk)/(RadSpec!AH22*Q_w_dairy*(1/1000)),".")</f>
        <v>68.782707593609899</v>
      </c>
      <c r="BB22" s="15" t="str">
        <f>IFERROR(I22/(RadSpec!AN22*Q_w_swine*(1/1000)),".")</f>
        <v>.</v>
      </c>
      <c r="BC22" s="15">
        <f>IFERROR(J22/(RadSpec!AJ22*(1/1000)),".")</f>
        <v>5.8807747764574607</v>
      </c>
      <c r="BD22" s="15">
        <f>IFERROR(K22/(RadSpec!AK22*(1/1000)),".")</f>
        <v>0.17949441578153957</v>
      </c>
      <c r="BE22" s="111">
        <f t="shared" ref="BE22:BE23" si="187">IFERROR(1/AT22,".")</f>
        <v>0.69100682000000002</v>
      </c>
      <c r="BF22" s="111" t="str">
        <f t="shared" ref="BF22:BF23" si="188">IFERROR(1/AU22,".")</f>
        <v>.</v>
      </c>
      <c r="BG22" s="111">
        <f t="shared" ref="BG22:BG23" si="189">IFERROR(1/AV22,".")</f>
        <v>1.7339753184226024E-6</v>
      </c>
      <c r="BH22" s="111">
        <f t="shared" ref="BH22:BH23" si="190">IFERROR(1/AW22,".")</f>
        <v>1.9520639365565182</v>
      </c>
      <c r="BI22" s="111" t="str">
        <f t="shared" ref="BI22:BI23" si="191">IFERROR(1/AX22,".")</f>
        <v>.</v>
      </c>
      <c r="BJ22" s="111" t="str">
        <f t="shared" ref="BJ22:BJ23" si="192">IFERROR(1/AY22,".")</f>
        <v>.</v>
      </c>
      <c r="BK22" s="111">
        <f t="shared" ref="BK22:BK23" si="193">IFERROR(1/AZ22,".")</f>
        <v>6.644599992275001E-3</v>
      </c>
      <c r="BL22" s="111">
        <f t="shared" ref="BL22:BL23" si="194">IFERROR(1/BA22,".")</f>
        <v>1.4538537882345631E-2</v>
      </c>
      <c r="BM22" s="111" t="str">
        <f t="shared" ref="BM22:BM23" si="195">IFERROR(1/BB22,".")</f>
        <v>.</v>
      </c>
      <c r="BN22" s="111">
        <f t="shared" ref="BN22:BN23" si="196">IFERROR(1/BC22,".")</f>
        <v>0.1700456212</v>
      </c>
      <c r="BO22" s="111">
        <f t="shared" si="174"/>
        <v>5.571203960000001</v>
      </c>
      <c r="BP22" s="15">
        <f t="shared" si="32"/>
        <v>0.11896964847004354</v>
      </c>
      <c r="BQ22" s="247">
        <f>IFERROR(BP22*(0.0000000000000028)*RadSpec!$AY22*RadSpec!$AF22,0)</f>
        <v>3.0596386032556152E-15</v>
      </c>
      <c r="BR22" s="15">
        <f>IFERROR((DL/(RadSpec!H22*IFA_far_adj)),".")</f>
        <v>4.9632083568517029E-3</v>
      </c>
      <c r="BS22" s="15">
        <f>IFERROR((DL/(RadSpec!K22*EF_far*(1/365)*1*ET_far*(1/24)*GSF_a)),".")</f>
        <v>36159.479943477927</v>
      </c>
      <c r="BT22" s="15">
        <f t="shared" ref="BT22:BT23" si="197">IFERROR(IF(AND(BR22&lt;&gt;".",BS22&lt;&gt;"."),1/((1/BR22)+(1/BS22)),IF(AND(BR22&lt;&gt;".",BS22="."),1/((1/BR22)),IF(AND(BR22=".",BS22&lt;&gt;"."),1/((1/BS22)),IF(AND(BR22=".",BS22="."),".")))),".")</f>
        <v>4.9632076756075628E-3</v>
      </c>
      <c r="BU22" s="247">
        <f>IFERROR(BT22*(0.0000000000000028)*RadSpec!$AY22*RadSpec!$AF22,0)</f>
        <v>1.2764282315322798E-16</v>
      </c>
    </row>
    <row r="23" spans="1:73" customFormat="1" x14ac:dyDescent="0.25">
      <c r="A23" s="46" t="s">
        <v>21</v>
      </c>
      <c r="B23" s="237" t="s">
        <v>335</v>
      </c>
      <c r="C23" s="238"/>
      <c r="D23" s="15">
        <f>d_dir!AC23</f>
        <v>1.2045545848009206E-3</v>
      </c>
      <c r="E23" s="15">
        <f>IFERROR(DL/(RadSpec!F23*IFP_far_adj*CF_far_poultry),".")</f>
        <v>1.0892600186759131E-2</v>
      </c>
      <c r="F23" s="15">
        <f>IFERROR(DL/(RadSpec!F23*IFE_far_adj*CF_far_egg),".")</f>
        <v>1.9713628613702672E-2</v>
      </c>
      <c r="G23" s="15">
        <f>IFERROR(DL/(RadSpec!F23*IFB_far_adj*CF_far_beef),".")</f>
        <v>7.1241770608165087E-3</v>
      </c>
      <c r="H23" s="15">
        <f>IFERROR(DL/(RadSpec!F23*IFD_far_adj*CF_far_dairy),".")</f>
        <v>1.226569671185579E-3</v>
      </c>
      <c r="I23" s="15">
        <f>IFERROR(DL/(RadSpec!F23*IFSW_far_adj*CF_far_swine),".")</f>
        <v>1.2791336556686829E-2</v>
      </c>
      <c r="J23" s="15">
        <f>IFERROR(DL/(RadSpec!F23*IFFI_far_adj*CF_far_fish),".")</f>
        <v>1.2358714320502211E-2</v>
      </c>
      <c r="K23" s="15">
        <f>IFERROR(DL/(RadSpec!F23*IFSF_far_adj*CF_far_shellfish),".")</f>
        <v>9.4303909395157676E-3</v>
      </c>
      <c r="L23" s="111">
        <f t="shared" si="22"/>
        <v>830.18238659999975</v>
      </c>
      <c r="M23" s="111">
        <f t="shared" si="23"/>
        <v>91.805444324999996</v>
      </c>
      <c r="N23" s="111">
        <f t="shared" si="24"/>
        <v>50.726328450000004</v>
      </c>
      <c r="O23" s="111">
        <f t="shared" si="25"/>
        <v>140.36708962500001</v>
      </c>
      <c r="P23" s="111">
        <f t="shared" si="26"/>
        <v>815.28185759999997</v>
      </c>
      <c r="Q23" s="111">
        <f t="shared" si="27"/>
        <v>78.177913274999995</v>
      </c>
      <c r="R23" s="111">
        <f t="shared" si="28"/>
        <v>80.914565550000006</v>
      </c>
      <c r="S23" s="111">
        <f t="shared" si="29"/>
        <v>106.04014260000001</v>
      </c>
      <c r="T23" s="15">
        <f t="shared" si="30"/>
        <v>4.5589329727137854E-4</v>
      </c>
      <c r="U23" s="247">
        <f>IFERROR(T23*(0.0000000000028)*RadSpec!$AY23*RadSpec!$AF23,0)</f>
        <v>4.6158284562132532E-10</v>
      </c>
      <c r="V23" s="15">
        <f>IFERROR((DL/(RadSpec!E23*IFS_far_adj*(1/1000)))*1,".")</f>
        <v>14.822934488929304</v>
      </c>
      <c r="W23" s="15">
        <f>IFERROR(IF(A23="H-3",(DL/(RadSpec!H23*IFA_far_adj*(1/17)*1000))*1,(DL/(RadSpec!H23*IFA_far_adj*(1/PEF_wind)*1000))*1),".")</f>
        <v>5508.7213444578083</v>
      </c>
      <c r="X23" s="15">
        <f>IFERROR((DL/(RadSpec!G23*EF_far*(1/365)*1*RadSpec!R23*((ET_far_o*(1/24)*RadSpec!W23)+(ET_far_i*(1/24)*RadSpec!AB23))))*1,".")</f>
        <v>48.738035526657647</v>
      </c>
      <c r="Y23" s="15">
        <f>d_b2s!AC23</f>
        <v>5.168580387642268E-2</v>
      </c>
      <c r="Z23" s="15" t="str">
        <f>IFERROR((E23/(RadSpec!AL23*((Q_p_poultry*f_p_poultry*f_s_poultry*(RadSpec!BD23+R_es_past))+(Q_s_poultry*f_p_poultry))))*1,".")</f>
        <v>.</v>
      </c>
      <c r="AA23" s="15" t="str">
        <f>IFERROR((F23/(RadSpec!AM23*((Q_p_poultry*f_p_poultry*f_s_poultry*(RadSpec!BD23+R_es_past))+(Q_s_poultry*f_p_poultry))))*1,".")</f>
        <v>.</v>
      </c>
      <c r="AB23" s="15">
        <f>IFERROR((G23/(RadSpec!AI23*((Q_p_beef*f_p_beef*f_s_beef*(RadSpec!BD23+R_es_past))+(Q_s_beef*f_p_beef))))*1,".")</f>
        <v>1.1411042899542176</v>
      </c>
      <c r="AC23" s="15">
        <f>IFERROR(((H23*D_milk)/(RadSpec!AH23*((Q_p_dairy*f_p_dairy*f_s_dairy*(RadSpec!BD23+R_es_past))+(Q_s_dairy*f_p_dairy))))*1,".")</f>
        <v>0.56621902445037053</v>
      </c>
      <c r="AD23" s="15" t="str">
        <f>IFERROR((I23/(RadSpec!AN23*((Q_p_swine*f_p_swine*f_s_swine*(RadSpec!BD23+R_es_past))+(Q_s_swine*f_p_swine))))*1,".")</f>
        <v>.</v>
      </c>
      <c r="AE23" s="15">
        <f>IFERROR(((J23*RadSpec!AU23)/RadSpec!AJ23)*1,".")</f>
        <v>3.0896785801255528E-3</v>
      </c>
      <c r="AF23" s="15">
        <f>IFERROR(((K23*RadSpec!AU23)/RadSpec!AK23)*1,".")</f>
        <v>9.430390939515767E-5</v>
      </c>
      <c r="AG23" s="111">
        <f t="shared" si="177"/>
        <v>6.746302500000001E-2</v>
      </c>
      <c r="AH23" s="111">
        <f t="shared" si="178"/>
        <v>1.8153032935784198E-4</v>
      </c>
      <c r="AI23" s="111">
        <f t="shared" si="179"/>
        <v>2.0517856109589033E-2</v>
      </c>
      <c r="AJ23" s="111">
        <f t="shared" si="180"/>
        <v>19.347672378104701</v>
      </c>
      <c r="AK23" s="111" t="str">
        <f t="shared" si="181"/>
        <v>.</v>
      </c>
      <c r="AL23" s="111" t="str">
        <f t="shared" si="182"/>
        <v>.</v>
      </c>
      <c r="AM23" s="111">
        <f t="shared" si="183"/>
        <v>0.87634408949608023</v>
      </c>
      <c r="AN23" s="111">
        <f t="shared" si="184"/>
        <v>1.7661010259602301</v>
      </c>
      <c r="AO23" s="111" t="str">
        <f t="shared" si="185"/>
        <v>.</v>
      </c>
      <c r="AP23" s="111">
        <f t="shared" si="186"/>
        <v>323.65826220000002</v>
      </c>
      <c r="AQ23" s="111">
        <f t="shared" si="164"/>
        <v>10604.014260000002</v>
      </c>
      <c r="AR23" s="15">
        <f t="shared" si="31"/>
        <v>9.1326279298315906E-5</v>
      </c>
      <c r="AS23" s="247">
        <f>IFERROR(AR23*(0.0000000000028)*RadSpec!$AY23*RadSpec!$AF23,0)</f>
        <v>9.2466031263958899E-11</v>
      </c>
      <c r="AT23" s="15">
        <f>IFERROR(DL/(RadSpec!I23*IFW_far_adj),".")</f>
        <v>0.76032001169797958</v>
      </c>
      <c r="AU23" s="15" t="str">
        <f>IFERROR(IF(AND(RadSpec!C23=1,RadSpec!D23&lt;&gt;0),DL/(RadSpec!H23*IFA_far_adj*K*RadSpec!D23),"."),".")</f>
        <v>.</v>
      </c>
      <c r="AV23" s="15">
        <f>IFERROR((DL/(RadSpec!M23*(1/8760)*DFA_far_adj)),".")</f>
        <v>457826.38350641646</v>
      </c>
      <c r="AW23" s="15">
        <f>d_b2w!AC23</f>
        <v>0.26914400887533224</v>
      </c>
      <c r="AX23" s="15" t="str">
        <f>IFERROR(E23/(RadSpec!AL23*Q_w_poultry*(1/1000)),".")</f>
        <v>.</v>
      </c>
      <c r="AY23" s="15" t="str">
        <f>IFERROR(F23/(RadSpec!AM23*Q_w_poultry*(1/1000)),".")</f>
        <v>.</v>
      </c>
      <c r="AZ23" s="15">
        <f>IFERROR(G23/(RadSpec!AI23*Q_w_beef*(1/1000)),".")</f>
        <v>79.069667711614969</v>
      </c>
      <c r="BA23" s="15">
        <f>IFERROR((H23*D_milk)/(RadSpec!AH23*Q_w_dairy*(1/1000)),".")</f>
        <v>36.137493172801669</v>
      </c>
      <c r="BB23" s="15" t="str">
        <f>IFERROR(I23/(RadSpec!AN23*Q_w_swine*(1/1000)),".")</f>
        <v>.</v>
      </c>
      <c r="BC23" s="15">
        <f>IFERROR(J23/(RadSpec!AJ23*(1/1000)),".")</f>
        <v>3.0896785801255526</v>
      </c>
      <c r="BD23" s="15">
        <f>IFERROR(K23/(RadSpec!AK23*(1/1000)),".")</f>
        <v>9.4303909395157676E-2</v>
      </c>
      <c r="BE23" s="111">
        <f t="shared" si="187"/>
        <v>1.3152356700000001</v>
      </c>
      <c r="BF23" s="111" t="str">
        <f t="shared" si="188"/>
        <v>.</v>
      </c>
      <c r="BG23" s="111">
        <f t="shared" si="189"/>
        <v>2.1842341027643833E-6</v>
      </c>
      <c r="BH23" s="111">
        <f t="shared" si="190"/>
        <v>3.7154830389079958</v>
      </c>
      <c r="BI23" s="111" t="str">
        <f t="shared" si="191"/>
        <v>.</v>
      </c>
      <c r="BJ23" s="111" t="str">
        <f t="shared" si="192"/>
        <v>.</v>
      </c>
      <c r="BK23" s="111">
        <f t="shared" si="193"/>
        <v>1.2647074775212501E-2</v>
      </c>
      <c r="BL23" s="111">
        <f t="shared" si="194"/>
        <v>2.767209101135534E-2</v>
      </c>
      <c r="BM23" s="111" t="str">
        <f t="shared" si="195"/>
        <v>.</v>
      </c>
      <c r="BN23" s="111">
        <f t="shared" si="196"/>
        <v>0.32365826220000005</v>
      </c>
      <c r="BO23" s="111">
        <f t="shared" si="174"/>
        <v>10.60401426</v>
      </c>
      <c r="BP23" s="15">
        <f t="shared" si="32"/>
        <v>6.2505029384648941E-2</v>
      </c>
      <c r="BQ23" s="247">
        <f>IFERROR(BP23*(0.0000000000000028)*RadSpec!$AY23*RadSpec!$AF23,0)</f>
        <v>6.3285092151369366E-11</v>
      </c>
      <c r="BR23" s="15">
        <f>IFERROR((DL/(RadSpec!H23*IFA_far_adj)),".")</f>
        <v>4.0524837166138663E-3</v>
      </c>
      <c r="BS23" s="15">
        <f>IFERROR((DL/(RadSpec!K23*EF_far*(1/365)*1*ET_far*(1/24)*GSF_a)),".")</f>
        <v>28718.300791122339</v>
      </c>
      <c r="BT23" s="15">
        <f t="shared" si="197"/>
        <v>4.0524831447617199E-3</v>
      </c>
      <c r="BU23" s="247">
        <f>IFERROR(BT23*(0.0000000000000028)*RadSpec!$AY23*RadSpec!$AF23,0)</f>
        <v>4.103058134408346E-12</v>
      </c>
    </row>
    <row r="24" spans="1:73" customFormat="1" x14ac:dyDescent="0.25">
      <c r="A24" s="44" t="s">
        <v>22</v>
      </c>
      <c r="B24" s="237" t="s">
        <v>1057</v>
      </c>
      <c r="C24" s="238"/>
      <c r="D24" s="15" t="str">
        <f>d_dir!AC24</f>
        <v>.</v>
      </c>
      <c r="E24" s="15" t="str">
        <f>IFERROR(DL/(RadSpec!F24*IFP_far_adj*CF_far_poultry),".")</f>
        <v>.</v>
      </c>
      <c r="F24" s="15" t="str">
        <f>IFERROR(DL/(RadSpec!F24*IFE_far_adj*CF_far_egg),".")</f>
        <v>.</v>
      </c>
      <c r="G24" s="15" t="str">
        <f>IFERROR(DL/(RadSpec!F24*IFB_far_adj*CF_far_beef),".")</f>
        <v>.</v>
      </c>
      <c r="H24" s="15" t="str">
        <f>IFERROR(DL/(RadSpec!F24*IFD_far_adj*CF_far_dairy),".")</f>
        <v>.</v>
      </c>
      <c r="I24" s="15" t="str">
        <f>IFERROR(DL/(RadSpec!F24*IFSW_far_adj*CF_far_swine),".")</f>
        <v>.</v>
      </c>
      <c r="J24" s="15" t="str">
        <f>IFERROR(DL/(RadSpec!F24*IFFI_far_adj*CF_far_fish),".")</f>
        <v>.</v>
      </c>
      <c r="K24" s="15" t="str">
        <f>IFERROR(DL/(RadSpec!F24*IFSF_far_adj*CF_far_shellfish),".")</f>
        <v>.</v>
      </c>
      <c r="L24" s="111" t="str">
        <f t="shared" si="22"/>
        <v>.</v>
      </c>
      <c r="M24" s="111" t="str">
        <f t="shared" si="23"/>
        <v>.</v>
      </c>
      <c r="N24" s="111" t="str">
        <f t="shared" si="24"/>
        <v>.</v>
      </c>
      <c r="O24" s="111" t="str">
        <f t="shared" si="25"/>
        <v>.</v>
      </c>
      <c r="P24" s="111" t="str">
        <f t="shared" si="26"/>
        <v>.</v>
      </c>
      <c r="Q24" s="111" t="str">
        <f t="shared" si="27"/>
        <v>.</v>
      </c>
      <c r="R24" s="111" t="str">
        <f t="shared" si="28"/>
        <v>.</v>
      </c>
      <c r="S24" s="111" t="str">
        <f t="shared" si="29"/>
        <v>.</v>
      </c>
      <c r="T24" s="15" t="str">
        <f t="shared" si="30"/>
        <v>.</v>
      </c>
      <c r="U24" s="247">
        <f>IFERROR(T24*(0.0000000000028)*RadSpec!$AY24*RadSpec!$AF24,0)</f>
        <v>0</v>
      </c>
      <c r="V24" s="15" t="str">
        <f>IFERROR((DL/(RadSpec!E24*IFS_far_adj*(1/1000)))*1,".")</f>
        <v>.</v>
      </c>
      <c r="W24" s="15" t="str">
        <f>IFERROR(IF(A24="H-3",(DL/(RadSpec!H24*IFA_far_adj*(1/17)*1000))*1,(DL/(RadSpec!H24*IFA_far_adj*(1/PEF_wind)*1000))*1),".")</f>
        <v>.</v>
      </c>
      <c r="X24" s="15">
        <f>IFERROR((DL/(RadSpec!G24*EF_far*(1/365)*1*RadSpec!R24*((ET_far_o*(1/24)*RadSpec!W24)+(ET_far_i*(1/24)*RadSpec!AB24))))*1,".")</f>
        <v>363.39763331279812</v>
      </c>
      <c r="Y24" s="15" t="str">
        <f>d_b2s!AC24</f>
        <v>.</v>
      </c>
      <c r="Z24" s="15" t="str">
        <f>IFERROR((E24/(RadSpec!AL24*((Q_p_poultry*f_p_poultry*f_s_poultry*(RadSpec!BD24+R_es_past))+(Q_s_poultry*f_p_poultry))))*1,".")</f>
        <v>.</v>
      </c>
      <c r="AA24" s="15" t="str">
        <f>IFERROR((F24/(RadSpec!AM24*((Q_p_poultry*f_p_poultry*f_s_poultry*(RadSpec!BD24+R_es_past))+(Q_s_poultry*f_p_poultry))))*1,".")</f>
        <v>.</v>
      </c>
      <c r="AB24" s="15" t="str">
        <f>IFERROR((G24/(RadSpec!AI24*((Q_p_beef*f_p_beef*f_s_beef*(RadSpec!BD24+R_es_past))+(Q_s_beef*f_p_beef))))*1,".")</f>
        <v>.</v>
      </c>
      <c r="AC24" s="15" t="str">
        <f>IFERROR(((H24*D_milk)/(RadSpec!AH24*((Q_p_dairy*f_p_dairy*f_s_dairy*(RadSpec!BD24+R_es_past))+(Q_s_dairy*f_p_dairy))))*1,".")</f>
        <v>.</v>
      </c>
      <c r="AD24" s="15" t="str">
        <f>IFERROR((I24/(RadSpec!AN24*((Q_p_swine*f_p_swine*f_s_swine*(RadSpec!BD24+R_es_past))+(Q_s_swine*f_p_swine))))*1,".")</f>
        <v>.</v>
      </c>
      <c r="AE24" s="15" t="str">
        <f>IFERROR(((J24*RadSpec!AU24)/RadSpec!AJ24)*1,".")</f>
        <v>.</v>
      </c>
      <c r="AF24" s="15" t="str">
        <f>IFERROR(((K24*RadSpec!AU24)/RadSpec!AK24)*1,".")</f>
        <v>.</v>
      </c>
      <c r="AG24" s="111" t="str">
        <f t="shared" ref="AG24:AG25" si="198">IFERROR(1/V24,".")</f>
        <v>.</v>
      </c>
      <c r="AH24" s="111" t="str">
        <f t="shared" ref="AH24:AH25" si="199">IFERROR(1/W24,".")</f>
        <v>.</v>
      </c>
      <c r="AI24" s="111">
        <f t="shared" ref="AI24:AI25" si="200">IFERROR(1/X24,".")</f>
        <v>2.7518065841095891E-3</v>
      </c>
      <c r="AJ24" s="111" t="str">
        <f t="shared" ref="AJ24:AJ25" si="201">IFERROR(1/Y24,".")</f>
        <v>.</v>
      </c>
      <c r="AK24" s="111" t="str">
        <f t="shared" ref="AK24:AK25" si="202">IFERROR(1/Z24,".")</f>
        <v>.</v>
      </c>
      <c r="AL24" s="111" t="str">
        <f t="shared" ref="AL24:AL25" si="203">IFERROR(1/AA24,".")</f>
        <v>.</v>
      </c>
      <c r="AM24" s="111" t="str">
        <f t="shared" ref="AM24:AM25" si="204">IFERROR(1/AB24,".")</f>
        <v>.</v>
      </c>
      <c r="AN24" s="111" t="str">
        <f t="shared" ref="AN24:AN25" si="205">IFERROR(1/AC24,".")</f>
        <v>.</v>
      </c>
      <c r="AO24" s="111" t="str">
        <f t="shared" ref="AO24:AO25" si="206">IFERROR(1/AD24,".")</f>
        <v>.</v>
      </c>
      <c r="AP24" s="111" t="str">
        <f t="shared" ref="AP24:AP25" si="207">IFERROR(1/AE24,".")</f>
        <v>.</v>
      </c>
      <c r="AQ24" s="111" t="str">
        <f t="shared" si="164"/>
        <v>.</v>
      </c>
      <c r="AR24" s="15">
        <f t="shared" si="31"/>
        <v>363.39763331279812</v>
      </c>
      <c r="AS24" s="247">
        <f>IFERROR(AR24*(0.0000000000028)*RadSpec!$AY24*RadSpec!$AF24,0)</f>
        <v>2.4618299841751065E-16</v>
      </c>
      <c r="AT24" s="15" t="str">
        <f>IFERROR(DL/(RadSpec!I24*IFW_far_adj),".")</f>
        <v>.</v>
      </c>
      <c r="AU24" s="15" t="str">
        <f>IFERROR(IF(AND(RadSpec!C24=1,RadSpec!D24&lt;&gt;0),DL/(RadSpec!H24*IFA_far_adj*K*RadSpec!D24),"."),".")</f>
        <v>.</v>
      </c>
      <c r="AV24" s="15">
        <f>IFERROR((DL/(RadSpec!M24*(1/8760)*DFA_far_adj)),".")</f>
        <v>4237527.0137806339</v>
      </c>
      <c r="AW24" s="15" t="str">
        <f>d_b2w!AC24</f>
        <v>.</v>
      </c>
      <c r="AX24" s="15" t="str">
        <f>IFERROR(E24/(RadSpec!AL24*Q_w_poultry*(1/1000)),".")</f>
        <v>.</v>
      </c>
      <c r="AY24" s="15" t="str">
        <f>IFERROR(F24/(RadSpec!AM24*Q_w_poultry*(1/1000)),".")</f>
        <v>.</v>
      </c>
      <c r="AZ24" s="15" t="str">
        <f>IFERROR(G24/(RadSpec!AI24*Q_w_beef*(1/1000)),".")</f>
        <v>.</v>
      </c>
      <c r="BA24" s="15" t="str">
        <f>IFERROR((H24*D_milk)/(RadSpec!AH24*Q_w_dairy*(1/1000)),".")</f>
        <v>.</v>
      </c>
      <c r="BB24" s="15" t="str">
        <f>IFERROR(I24/(RadSpec!AN24*Q_w_swine*(1/1000)),".")</f>
        <v>.</v>
      </c>
      <c r="BC24" s="15" t="str">
        <f>IFERROR(J24/(RadSpec!AJ24*(1/1000)),".")</f>
        <v>.</v>
      </c>
      <c r="BD24" s="15" t="str">
        <f>IFERROR(K24/(RadSpec!AK24*(1/1000)),".")</f>
        <v>.</v>
      </c>
      <c r="BE24" s="111" t="str">
        <f t="shared" ref="BE24:BE25" si="208">IFERROR(1/AT24,".")</f>
        <v>.</v>
      </c>
      <c r="BF24" s="111" t="str">
        <f t="shared" ref="BF24:BF25" si="209">IFERROR(1/AU24,".")</f>
        <v>.</v>
      </c>
      <c r="BG24" s="111">
        <f t="shared" ref="BG24:BG25" si="210">IFERROR(1/AV24,".")</f>
        <v>2.3598669619047944E-7</v>
      </c>
      <c r="BH24" s="111" t="str">
        <f t="shared" ref="BH24:BH25" si="211">IFERROR(1/AW24,".")</f>
        <v>.</v>
      </c>
      <c r="BI24" s="111" t="str">
        <f t="shared" ref="BI24:BI25" si="212">IFERROR(1/AX24,".")</f>
        <v>.</v>
      </c>
      <c r="BJ24" s="111" t="str">
        <f t="shared" ref="BJ24:BJ25" si="213">IFERROR(1/AY24,".")</f>
        <v>.</v>
      </c>
      <c r="BK24" s="111" t="str">
        <f t="shared" ref="BK24:BK25" si="214">IFERROR(1/AZ24,".")</f>
        <v>.</v>
      </c>
      <c r="BL24" s="111" t="str">
        <f t="shared" ref="BL24:BL25" si="215">IFERROR(1/BA24,".")</f>
        <v>.</v>
      </c>
      <c r="BM24" s="111" t="str">
        <f t="shared" ref="BM24:BM25" si="216">IFERROR(1/BB24,".")</f>
        <v>.</v>
      </c>
      <c r="BN24" s="111" t="str">
        <f t="shared" ref="BN24:BN25" si="217">IFERROR(1/BC24,".")</f>
        <v>.</v>
      </c>
      <c r="BO24" s="111" t="str">
        <f t="shared" si="174"/>
        <v>.</v>
      </c>
      <c r="BP24" s="15">
        <f t="shared" si="32"/>
        <v>4237527.0137806339</v>
      </c>
      <c r="BQ24" s="247">
        <f>IFERROR(BP24*(0.0000000000000028)*RadSpec!$AY24*RadSpec!$AF24,0)</f>
        <v>2.8707041832321611E-15</v>
      </c>
      <c r="BR24" s="15" t="str">
        <f>IFERROR((DL/(RadSpec!H24*IFA_far_adj)),".")</f>
        <v>.</v>
      </c>
      <c r="BS24" s="15">
        <f>IFERROR((DL/(RadSpec!K24*EF_far*(1/365)*1*ET_far*(1/24)*GSF_a)),".")</f>
        <v>262687.9866482073</v>
      </c>
      <c r="BT24" s="15">
        <f t="shared" ref="BT24:BT30" si="218">IFERROR(IF(AND(BR24&lt;&gt;".",BS24&lt;&gt;"."),1/((1/BR24)+(1/BS24)),IF(AND(BR24&lt;&gt;".",BS24="."),1/((1/BR24)),IF(AND(BR24=".",BS24&lt;&gt;"."),1/((1/BS24)),IF(AND(BR24=".",BS24="."),".")))),".")</f>
        <v>262687.9866482073</v>
      </c>
      <c r="BU24" s="247">
        <f>IFERROR(BT24*(0.0000000000000028)*RadSpec!$AY24*RadSpec!$AF24,0)</f>
        <v>1.7795745011264266E-16</v>
      </c>
    </row>
    <row r="25" spans="1:73" customFormat="1" x14ac:dyDescent="0.25">
      <c r="A25" s="46" t="s">
        <v>23</v>
      </c>
      <c r="B25" s="237" t="s">
        <v>335</v>
      </c>
      <c r="C25" s="238"/>
      <c r="D25" s="15" t="str">
        <f>d_dir!AC25</f>
        <v>.</v>
      </c>
      <c r="E25" s="15" t="str">
        <f>IFERROR(DL/(RadSpec!F25*IFP_far_adj*CF_far_poultry),".")</f>
        <v>.</v>
      </c>
      <c r="F25" s="15" t="str">
        <f>IFERROR(DL/(RadSpec!F25*IFE_far_adj*CF_far_egg),".")</f>
        <v>.</v>
      </c>
      <c r="G25" s="15" t="str">
        <f>IFERROR(DL/(RadSpec!F25*IFB_far_adj*CF_far_beef),".")</f>
        <v>.</v>
      </c>
      <c r="H25" s="15" t="str">
        <f>IFERROR(DL/(RadSpec!F25*IFD_far_adj*CF_far_dairy),".")</f>
        <v>.</v>
      </c>
      <c r="I25" s="15" t="str">
        <f>IFERROR(DL/(RadSpec!F25*IFSW_far_adj*CF_far_swine),".")</f>
        <v>.</v>
      </c>
      <c r="J25" s="15" t="str">
        <f>IFERROR(DL/(RadSpec!F25*IFFI_far_adj*CF_far_fish),".")</f>
        <v>.</v>
      </c>
      <c r="K25" s="15" t="str">
        <f>IFERROR(DL/(RadSpec!F25*IFSF_far_adj*CF_far_shellfish),".")</f>
        <v>.</v>
      </c>
      <c r="L25" s="111" t="str">
        <f t="shared" si="22"/>
        <v>.</v>
      </c>
      <c r="M25" s="111" t="str">
        <f t="shared" si="23"/>
        <v>.</v>
      </c>
      <c r="N25" s="111" t="str">
        <f t="shared" si="24"/>
        <v>.</v>
      </c>
      <c r="O25" s="111" t="str">
        <f t="shared" si="25"/>
        <v>.</v>
      </c>
      <c r="P25" s="111" t="str">
        <f t="shared" si="26"/>
        <v>.</v>
      </c>
      <c r="Q25" s="111" t="str">
        <f t="shared" si="27"/>
        <v>.</v>
      </c>
      <c r="R25" s="111" t="str">
        <f t="shared" si="28"/>
        <v>.</v>
      </c>
      <c r="S25" s="111" t="str">
        <f t="shared" si="29"/>
        <v>.</v>
      </c>
      <c r="T25" s="15" t="str">
        <f t="shared" si="30"/>
        <v>.</v>
      </c>
      <c r="U25" s="247">
        <f>IFERROR(T25*(0.0000000000028)*RadSpec!$AY25*RadSpec!$AF25,0)</f>
        <v>0</v>
      </c>
      <c r="V25" s="15" t="str">
        <f>IFERROR((DL/(RadSpec!E25*IFS_far_adj*(1/1000)))*1,".")</f>
        <v>.</v>
      </c>
      <c r="W25" s="15">
        <f>IFERROR(IF(A25="H-3",(DL/(RadSpec!H25*IFA_far_adj*(1/17)*1000))*1,(DL/(RadSpec!H25*IFA_far_adj*(1/PEF_wind)*1000))*1),".")</f>
        <v>32051506.936990399</v>
      </c>
      <c r="X25" s="15">
        <f>IFERROR((DL/(RadSpec!G25*EF_far*(1/365)*1*RadSpec!R25*((ET_far_o*(1/24)*RadSpec!W25)+(ET_far_i*(1/24)*RadSpec!AB25))))*1,".")</f>
        <v>726.79526662559624</v>
      </c>
      <c r="Y25" s="15" t="str">
        <f>d_b2s!AC25</f>
        <v>.</v>
      </c>
      <c r="Z25" s="15" t="str">
        <f>IFERROR((E25/(RadSpec!AL25*((Q_p_poultry*f_p_poultry*f_s_poultry*(RadSpec!BD25+R_es_past))+(Q_s_poultry*f_p_poultry))))*1,".")</f>
        <v>.</v>
      </c>
      <c r="AA25" s="15" t="str">
        <f>IFERROR((F25/(RadSpec!AM25*((Q_p_poultry*f_p_poultry*f_s_poultry*(RadSpec!BD25+R_es_past))+(Q_s_poultry*f_p_poultry))))*1,".")</f>
        <v>.</v>
      </c>
      <c r="AB25" s="15" t="str">
        <f>IFERROR((G25/(RadSpec!AI25*((Q_p_beef*f_p_beef*f_s_beef*(RadSpec!BD25+R_es_past))+(Q_s_beef*f_p_beef))))*1,".")</f>
        <v>.</v>
      </c>
      <c r="AC25" s="15" t="str">
        <f>IFERROR(((H25*D_milk)/(RadSpec!AH25*((Q_p_dairy*f_p_dairy*f_s_dairy*(RadSpec!BD25+R_es_past))+(Q_s_dairy*f_p_dairy))))*1,".")</f>
        <v>.</v>
      </c>
      <c r="AD25" s="15" t="str">
        <f>IFERROR((I25/(RadSpec!AN25*((Q_p_swine*f_p_swine*f_s_swine*(RadSpec!BD25+R_es_past))+(Q_s_swine*f_p_swine))))*1,".")</f>
        <v>.</v>
      </c>
      <c r="AE25" s="15" t="str">
        <f>IFERROR(((J25*RadSpec!AU25)/RadSpec!AJ25)*1,".")</f>
        <v>.</v>
      </c>
      <c r="AF25" s="15" t="str">
        <f>IFERROR(((K25*RadSpec!AU25)/RadSpec!AK25)*1,".")</f>
        <v>.</v>
      </c>
      <c r="AG25" s="111" t="str">
        <f t="shared" si="198"/>
        <v>.</v>
      </c>
      <c r="AH25" s="111">
        <f t="shared" si="199"/>
        <v>3.1199781088792043E-8</v>
      </c>
      <c r="AI25" s="111">
        <f t="shared" si="200"/>
        <v>1.3759032920547946E-3</v>
      </c>
      <c r="AJ25" s="111" t="str">
        <f t="shared" si="201"/>
        <v>.</v>
      </c>
      <c r="AK25" s="111" t="str">
        <f t="shared" si="202"/>
        <v>.</v>
      </c>
      <c r="AL25" s="111" t="str">
        <f t="shared" si="203"/>
        <v>.</v>
      </c>
      <c r="AM25" s="111" t="str">
        <f t="shared" si="204"/>
        <v>.</v>
      </c>
      <c r="AN25" s="111" t="str">
        <f t="shared" si="205"/>
        <v>.</v>
      </c>
      <c r="AO25" s="111" t="str">
        <f t="shared" si="206"/>
        <v>.</v>
      </c>
      <c r="AP25" s="111" t="str">
        <f t="shared" si="207"/>
        <v>.</v>
      </c>
      <c r="AQ25" s="111" t="str">
        <f t="shared" si="164"/>
        <v>.</v>
      </c>
      <c r="AR25" s="15">
        <f t="shared" si="31"/>
        <v>726.77878629651832</v>
      </c>
      <c r="AS25" s="247">
        <f>IFERROR(AR25*(0.0000000000028)*RadSpec!$AY25*RadSpec!$AF25,0)</f>
        <v>4.7324003543396741E-9</v>
      </c>
      <c r="AT25" s="15" t="str">
        <f>IFERROR(DL/(RadSpec!I25*IFW_far_adj),".")</f>
        <v>.</v>
      </c>
      <c r="AU25" s="15">
        <f>IFERROR(IF(AND(RadSpec!C25=1,RadSpec!D25&lt;&gt;0),DL/(RadSpec!H25*IFA_far_adj*K*RadSpec!D25),"."),".")</f>
        <v>47.157299065696016</v>
      </c>
      <c r="AV25" s="15">
        <f>IFERROR((DL/(RadSpec!M25*(1/8760)*DFA_far_adj)),".")</f>
        <v>8328543.785063535</v>
      </c>
      <c r="AW25" s="15" t="str">
        <f>d_b2w!AC25</f>
        <v>.</v>
      </c>
      <c r="AX25" s="15" t="str">
        <f>IFERROR(E25/(RadSpec!AL25*Q_w_poultry*(1/1000)),".")</f>
        <v>.</v>
      </c>
      <c r="AY25" s="15" t="str">
        <f>IFERROR(F25/(RadSpec!AM25*Q_w_poultry*(1/1000)),".")</f>
        <v>.</v>
      </c>
      <c r="AZ25" s="15" t="str">
        <f>IFERROR(G25/(RadSpec!AI25*Q_w_beef*(1/1000)),".")</f>
        <v>.</v>
      </c>
      <c r="BA25" s="15" t="str">
        <f>IFERROR((H25*D_milk)/(RadSpec!AH25*Q_w_dairy*(1/1000)),".")</f>
        <v>.</v>
      </c>
      <c r="BB25" s="15" t="str">
        <f>IFERROR(I25/(RadSpec!AN25*Q_w_swine*(1/1000)),".")</f>
        <v>.</v>
      </c>
      <c r="BC25" s="15" t="str">
        <f>IFERROR(J25/(RadSpec!AJ25*(1/1000)),".")</f>
        <v>.</v>
      </c>
      <c r="BD25" s="15" t="str">
        <f>IFERROR(K25/(RadSpec!AK25*(1/1000)),".")</f>
        <v>.</v>
      </c>
      <c r="BE25" s="111" t="str">
        <f t="shared" si="208"/>
        <v>.</v>
      </c>
      <c r="BF25" s="111">
        <f t="shared" si="209"/>
        <v>2.1205624999999999E-2</v>
      </c>
      <c r="BG25" s="111">
        <f t="shared" si="210"/>
        <v>1.2006900915780819E-7</v>
      </c>
      <c r="BH25" s="111" t="str">
        <f t="shared" si="211"/>
        <v>.</v>
      </c>
      <c r="BI25" s="111" t="str">
        <f t="shared" si="212"/>
        <v>.</v>
      </c>
      <c r="BJ25" s="111" t="str">
        <f t="shared" si="213"/>
        <v>.</v>
      </c>
      <c r="BK25" s="111" t="str">
        <f t="shared" si="214"/>
        <v>.</v>
      </c>
      <c r="BL25" s="111" t="str">
        <f t="shared" si="215"/>
        <v>.</v>
      </c>
      <c r="BM25" s="111" t="str">
        <f t="shared" si="216"/>
        <v>.</v>
      </c>
      <c r="BN25" s="111" t="str">
        <f t="shared" si="217"/>
        <v>.</v>
      </c>
      <c r="BO25" s="111" t="str">
        <f t="shared" si="174"/>
        <v>.</v>
      </c>
      <c r="BP25" s="15">
        <f t="shared" si="32"/>
        <v>47.157032056441921</v>
      </c>
      <c r="BQ25" s="247">
        <f>IFERROR(BP25*(0.0000000000000028)*RadSpec!$AY25*RadSpec!$AF25,0)</f>
        <v>3.0706173518177468E-13</v>
      </c>
      <c r="BR25" s="15">
        <f>IFERROR((DL/(RadSpec!H25*IFA_far_adj)),".")</f>
        <v>23.578649532848008</v>
      </c>
      <c r="BS25" s="15">
        <f>IFERROR((DL/(RadSpec!K25*EF_far*(1/365)*1*ET_far*(1/24)*GSF_a)),".")</f>
        <v>516265.40728549397</v>
      </c>
      <c r="BT25" s="15">
        <f t="shared" si="218"/>
        <v>23.577572708184032</v>
      </c>
      <c r="BU25" s="247">
        <f>IFERROR(BT25*(0.0000000000000028)*RadSpec!$AY25*RadSpec!$AF25,0)</f>
        <v>1.5352472518805284E-13</v>
      </c>
    </row>
    <row r="26" spans="1:73" customFormat="1" x14ac:dyDescent="0.25">
      <c r="A26" s="44" t="s">
        <v>24</v>
      </c>
      <c r="B26" s="42" t="s">
        <v>1057</v>
      </c>
      <c r="C26" s="42"/>
      <c r="D26" s="15">
        <f>d_dir!AC26</f>
        <v>8.9599873056620146E-4</v>
      </c>
      <c r="E26" s="15">
        <f>IFERROR(DL/(RadSpec!F26*IFP_far_adj*CF_far_poultry),".")</f>
        <v>8.1023774788208311E-3</v>
      </c>
      <c r="F26" s="15">
        <f>IFERROR(DL/(RadSpec!F26*IFE_far_adj*CF_far_egg),".")</f>
        <v>1.4663832121522677E-2</v>
      </c>
      <c r="G26" s="15">
        <f>IFERROR(DL/(RadSpec!F26*IFB_far_adj*CF_far_beef),".")</f>
        <v>5.2992647102625265E-3</v>
      </c>
      <c r="H26" s="15">
        <f>IFERROR(DL/(RadSpec!F26*IFD_far_adj*CF_far_dairy),".")</f>
        <v>9.1237448447794287E-4</v>
      </c>
      <c r="I26" s="15">
        <f>IFERROR(DL/(RadSpec!F26*IFSW_far_adj*CF_far_swine),".")</f>
        <v>9.5147380298507937E-3</v>
      </c>
      <c r="J26" s="15">
        <f>IFERROR(DL/(RadSpec!F26*IFFI_far_adj*CF_far_fish),".")</f>
        <v>9.1929352827380979E-3</v>
      </c>
      <c r="K26" s="15">
        <f>IFERROR(DL/(RadSpec!F26*IFSF_far_adj*CF_far_shellfish),".")</f>
        <v>7.0147242949107434E-3</v>
      </c>
      <c r="L26" s="111">
        <f t="shared" si="22"/>
        <v>1116.0730098000004</v>
      </c>
      <c r="M26" s="111">
        <f t="shared" si="23"/>
        <v>123.42056422500001</v>
      </c>
      <c r="N26" s="111">
        <f t="shared" si="24"/>
        <v>68.194997850000007</v>
      </c>
      <c r="O26" s="111">
        <f t="shared" si="25"/>
        <v>188.705425125</v>
      </c>
      <c r="P26" s="111">
        <f t="shared" si="26"/>
        <v>1096.0411728000001</v>
      </c>
      <c r="Q26" s="111">
        <f t="shared" si="27"/>
        <v>105.10010857499999</v>
      </c>
      <c r="R26" s="111">
        <f t="shared" si="28"/>
        <v>108.77918415000002</v>
      </c>
      <c r="S26" s="111">
        <f t="shared" si="29"/>
        <v>142.55727780000001</v>
      </c>
      <c r="T26" s="15">
        <f t="shared" si="30"/>
        <v>3.3911274821664107E-4</v>
      </c>
      <c r="U26" s="247">
        <f>IFERROR(T26*(0.0000000000028)*RadSpec!$AY26*RadSpec!$AF26,0)</f>
        <v>1.5960029511087855E-9</v>
      </c>
      <c r="V26" s="15">
        <f>IFERROR((DL/(RadSpec!E26*IFS_far_adj*(1/1000)))*1,".")</f>
        <v>11.025926639548398</v>
      </c>
      <c r="W26" s="15">
        <f>IFERROR(IF(A26="H-3",(DL/(RadSpec!H26*IFA_far_adj*(1/17)*1000))*1,(DL/(RadSpec!H26*IFA_far_adj*(1/PEF_wind)*1000))*1),".")</f>
        <v>751.52092513795276</v>
      </c>
      <c r="X26" s="15">
        <f>IFERROR((DL/(RadSpec!G26*EF_far*(1/365)*1*RadSpec!R26*((ET_far_o*(1/24)*RadSpec!W26)+(ET_far_i*(1/24)*RadSpec!AB26))))*1,".")</f>
        <v>5.3801727529427268</v>
      </c>
      <c r="Y26" s="15">
        <f>d_b2s!AC26</f>
        <v>0.610593989388168</v>
      </c>
      <c r="Z26" s="15" t="str">
        <f>IFERROR((E26/(RadSpec!AL26*((Q_p_poultry*f_p_poultry*f_s_poultry*(RadSpec!BD26+R_es_past))+(Q_s_poultry*f_p_poultry))))*1,".")</f>
        <v>.</v>
      </c>
      <c r="AA26" s="15" t="str">
        <f>IFERROR((F26/(RadSpec!AM26*((Q_p_poultry*f_p_poultry*f_s_poultry*(RadSpec!BD26+R_es_past))+(Q_s_poultry*f_p_poultry))))*1,".")</f>
        <v>.</v>
      </c>
      <c r="AB26" s="15">
        <f>IFERROR((G26/(RadSpec!AI26*((Q_p_beef*f_p_beef*f_s_beef*(RadSpec!BD26+R_es_past))+(Q_s_beef*f_p_beef))))*1,".")</f>
        <v>6.6381090434394396</v>
      </c>
      <c r="AC26" s="15">
        <f>IFERROR(((H26*D_milk)/(RadSpec!AH26*((Q_p_dairy*f_p_dairy*f_s_dairy*(RadSpec!BD26+R_es_past))+(Q_s_dairy*f_p_dairy))))*1,".")</f>
        <v>34.024102788279542</v>
      </c>
      <c r="AD26" s="15" t="str">
        <f>IFERROR((I26/(RadSpec!AN26*((Q_p_swine*f_p_swine*f_s_swine*(RadSpec!BD26+R_es_past))+(Q_s_swine*f_p_swine))))*1,".")</f>
        <v>.</v>
      </c>
      <c r="AE26" s="15">
        <f>IFERROR(((J26*RadSpec!AU26)/RadSpec!AJ26)*1,".")</f>
        <v>3.0643117609126993E-2</v>
      </c>
      <c r="AF26" s="15">
        <f>IFERROR(((K26*RadSpec!AU26)/RadSpec!AK26)*1,".")</f>
        <v>4.837740893041892E-5</v>
      </c>
      <c r="AG26" s="111">
        <f t="shared" ref="AG26" si="219">IFERROR(1/V26,".")</f>
        <v>9.0695325000000021E-2</v>
      </c>
      <c r="AH26" s="111">
        <f t="shared" ref="AH26" si="220">IFERROR(1/W26,".")</f>
        <v>1.3306349384968027E-3</v>
      </c>
      <c r="AI26" s="111">
        <f t="shared" ref="AI26" si="221">IFERROR(1/X26,".")</f>
        <v>0.1858676376986301</v>
      </c>
      <c r="AJ26" s="111">
        <f t="shared" ref="AJ26" si="222">IFERROR(1/Y26,".")</f>
        <v>1.6377494986513501</v>
      </c>
      <c r="AK26" s="111" t="str">
        <f t="shared" ref="AK26" si="223">IFERROR(1/Z26,".")</f>
        <v>.</v>
      </c>
      <c r="AL26" s="111" t="str">
        <f t="shared" ref="AL26" si="224">IFERROR(1/AA26,".")</f>
        <v>.</v>
      </c>
      <c r="AM26" s="111">
        <f t="shared" ref="AM26" si="225">IFERROR(1/AB26,".")</f>
        <v>0.15064531080403351</v>
      </c>
      <c r="AN26" s="111">
        <f t="shared" ref="AN26" si="226">IFERROR(1/AC26,".")</f>
        <v>2.9390929313335933E-2</v>
      </c>
      <c r="AO26" s="111" t="str">
        <f t="shared" ref="AO26" si="227">IFERROR(1/AD26,".")</f>
        <v>.</v>
      </c>
      <c r="AP26" s="111">
        <f t="shared" ref="AP26" si="228">IFERROR(1/AE26,".")</f>
        <v>32.633755245000003</v>
      </c>
      <c r="AQ26" s="111">
        <f t="shared" si="164"/>
        <v>20670.805281000001</v>
      </c>
      <c r="AR26" s="15">
        <f t="shared" si="31"/>
        <v>4.8296265406151347E-5</v>
      </c>
      <c r="AS26" s="247">
        <f>IFERROR(AR26*(0.0000000000028)*RadSpec!$AY26*RadSpec!$AF26,0)</f>
        <v>2.2730192987763398E-10</v>
      </c>
      <c r="AT26" s="15">
        <f>IFERROR(DL/(RadSpec!I26*IFW_far_adj),".")</f>
        <v>0.56555823530243787</v>
      </c>
      <c r="AU26" s="15" t="str">
        <f>IFERROR(IF(AND(RadSpec!C26=1,RadSpec!D26&lt;&gt;0),DL/(RadSpec!H26*IFA_far_adj*K*RadSpec!D26),"."),".")</f>
        <v>.</v>
      </c>
      <c r="AV26" s="15">
        <f>IFERROR((DL/(RadSpec!M26*(1/8760)*DFA_far_adj)),".")</f>
        <v>42318.006259241738</v>
      </c>
      <c r="AW26" s="15">
        <f>d_b2w!AC26</f>
        <v>0.24249768680142589</v>
      </c>
      <c r="AX26" s="15" t="str">
        <f>IFERROR(E26/(RadSpec!AL26*Q_w_poultry*(1/1000)),".")</f>
        <v>.</v>
      </c>
      <c r="AY26" s="15" t="str">
        <f>IFERROR(F26/(RadSpec!AM26*Q_w_poultry*(1/1000)),".")</f>
        <v>.</v>
      </c>
      <c r="AZ26" s="15">
        <f>IFERROR(G26/(RadSpec!AI26*Q_w_beef*(1/1000)),".")</f>
        <v>434.72228960316045</v>
      </c>
      <c r="BA26" s="15">
        <f>IFERROR((H26*D_milk)/(RadSpec!AH26*Q_w_dairy*(1/1000)),".")</f>
        <v>2042.9254761136547</v>
      </c>
      <c r="BB26" s="15" t="str">
        <f>IFERROR(I26/(RadSpec!AN26*Q_w_swine*(1/1000)),".")</f>
        <v>.</v>
      </c>
      <c r="BC26" s="15">
        <f>IFERROR(J26/(RadSpec!AJ26*(1/1000)),".")</f>
        <v>1.5321558804563495</v>
      </c>
      <c r="BD26" s="15">
        <f>IFERROR(K26/(RadSpec!AK26*(1/1000)),".")</f>
        <v>2.4188704465209461E-3</v>
      </c>
      <c r="BE26" s="111">
        <f t="shared" ref="BE26" si="229">IFERROR(1/AT26,".")</f>
        <v>1.7681645100000005</v>
      </c>
      <c r="BF26" s="111" t="str">
        <f t="shared" ref="BF26" si="230">IFERROR(1/AU26,".")</f>
        <v>.</v>
      </c>
      <c r="BG26" s="111">
        <f t="shared" ref="BG26" si="231">IFERROR(1/AV26,".")</f>
        <v>2.3630602866164382E-5</v>
      </c>
      <c r="BH26" s="111">
        <f t="shared" ref="BH26" si="232">IFERROR(1/AW26,".")</f>
        <v>4.1237506765121026</v>
      </c>
      <c r="BI26" s="111" t="str">
        <f t="shared" ref="BI26" si="233">IFERROR(1/AX26,".")</f>
        <v>.</v>
      </c>
      <c r="BJ26" s="111" t="str">
        <f t="shared" ref="BJ26" si="234">IFERROR(1/AY26,".")</f>
        <v>.</v>
      </c>
      <c r="BK26" s="111">
        <f t="shared" ref="BK26" si="235">IFERROR(1/AZ26,".")</f>
        <v>2.3003191322737504E-3</v>
      </c>
      <c r="BL26" s="111">
        <f t="shared" ref="BL26" si="236">IFERROR(1/BA26,".")</f>
        <v>4.8949411600776702E-4</v>
      </c>
      <c r="BM26" s="111" t="str">
        <f t="shared" ref="BM26" si="237">IFERROR(1/BB26,".")</f>
        <v>.</v>
      </c>
      <c r="BN26" s="111">
        <f t="shared" ref="BN26" si="238">IFERROR(1/BC26,".")</f>
        <v>0.65267510490000014</v>
      </c>
      <c r="BO26" s="111">
        <f t="shared" si="174"/>
        <v>413.41610562</v>
      </c>
      <c r="BP26" s="15">
        <f t="shared" si="32"/>
        <v>2.3811592619921215E-3</v>
      </c>
      <c r="BQ26" s="247">
        <f>IFERROR(BP26*(0.0000000000000028)*RadSpec!$AY26*RadSpec!$AF26,0)</f>
        <v>1.1206706999913816E-11</v>
      </c>
      <c r="BR26" s="15">
        <f>IFERROR((DL/(RadSpec!H26*IFA_far_adj)),".")</f>
        <v>5.5285539445195796E-4</v>
      </c>
      <c r="BS26" s="15">
        <f>IFERROR((DL/(RadSpec!K26*EF_far*(1/365)*1*ET_far*(1/24)*GSF_a)),".")</f>
        <v>2690.1781765177852</v>
      </c>
      <c r="BT26" s="15">
        <f t="shared" si="218"/>
        <v>5.5285528083531094E-4</v>
      </c>
      <c r="BU26" s="247">
        <f>IFERROR(BT26*(0.0000000000000028)*RadSpec!$AY26*RadSpec!$AF26,0)</f>
        <v>2.6019625165655541E-12</v>
      </c>
    </row>
    <row r="27" spans="1:73" customFormat="1" x14ac:dyDescent="0.25">
      <c r="A27" s="44" t="s">
        <v>25</v>
      </c>
      <c r="B27" s="237" t="s">
        <v>1057</v>
      </c>
      <c r="C27" s="238"/>
      <c r="D27" s="15" t="str">
        <f>d_dir!AC27</f>
        <v>.</v>
      </c>
      <c r="E27" s="15" t="str">
        <f>IFERROR(DL/(RadSpec!F27*IFP_far_adj*CF_far_poultry),".")</f>
        <v>.</v>
      </c>
      <c r="F27" s="15" t="str">
        <f>IFERROR(DL/(RadSpec!F27*IFE_far_adj*CF_far_egg),".")</f>
        <v>.</v>
      </c>
      <c r="G27" s="15" t="str">
        <f>IFERROR(DL/(RadSpec!F27*IFB_far_adj*CF_far_beef),".")</f>
        <v>.</v>
      </c>
      <c r="H27" s="15" t="str">
        <f>IFERROR(DL/(RadSpec!F27*IFD_far_adj*CF_far_dairy),".")</f>
        <v>.</v>
      </c>
      <c r="I27" s="15" t="str">
        <f>IFERROR(DL/(RadSpec!F27*IFSW_far_adj*CF_far_swine),".")</f>
        <v>.</v>
      </c>
      <c r="J27" s="15" t="str">
        <f>IFERROR(DL/(RadSpec!F27*IFFI_far_adj*CF_far_fish),".")</f>
        <v>.</v>
      </c>
      <c r="K27" s="15" t="str">
        <f>IFERROR(DL/(RadSpec!F27*IFSF_far_adj*CF_far_shellfish),".")</f>
        <v>.</v>
      </c>
      <c r="L27" s="111" t="str">
        <f t="shared" si="22"/>
        <v>.</v>
      </c>
      <c r="M27" s="111" t="str">
        <f t="shared" si="23"/>
        <v>.</v>
      </c>
      <c r="N27" s="111" t="str">
        <f t="shared" si="24"/>
        <v>.</v>
      </c>
      <c r="O27" s="111" t="str">
        <f t="shared" si="25"/>
        <v>.</v>
      </c>
      <c r="P27" s="111" t="str">
        <f t="shared" si="26"/>
        <v>.</v>
      </c>
      <c r="Q27" s="111" t="str">
        <f t="shared" si="27"/>
        <v>.</v>
      </c>
      <c r="R27" s="111" t="str">
        <f t="shared" si="28"/>
        <v>.</v>
      </c>
      <c r="S27" s="111" t="str">
        <f t="shared" si="29"/>
        <v>.</v>
      </c>
      <c r="T27" s="15" t="str">
        <f t="shared" si="30"/>
        <v>.</v>
      </c>
      <c r="U27" s="247">
        <f>IFERROR(T27*(0.0000000000028)*RadSpec!$AY27*RadSpec!$AF27,0)</f>
        <v>0</v>
      </c>
      <c r="V27" s="15" t="str">
        <f>IFERROR((DL/(RadSpec!E27*IFS_far_adj*(1/1000)))*1,".")</f>
        <v>.</v>
      </c>
      <c r="W27" s="15" t="str">
        <f>IFERROR(IF(A27="H-3",(DL/(RadSpec!H27*IFA_far_adj*(1/17)*1000))*1,(DL/(RadSpec!H27*IFA_far_adj*(1/PEF_wind)*1000))*1),".")</f>
        <v>.</v>
      </c>
      <c r="X27" s="15">
        <f>IFERROR((DL/(RadSpec!G27*EF_far*(1/365)*1*RadSpec!R27*((ET_far_o*(1/24)*RadSpec!W27)+(ET_far_i*(1/24)*RadSpec!AB27))))*1,".")</f>
        <v>121.13254443759941</v>
      </c>
      <c r="Y27" s="15" t="str">
        <f>d_b2s!AC27</f>
        <v>.</v>
      </c>
      <c r="Z27" s="15" t="str">
        <f>IFERROR((E27/(RadSpec!AL27*((Q_p_poultry*f_p_poultry*f_s_poultry*(RadSpec!BD27+R_es_past))+(Q_s_poultry*f_p_poultry))))*1,".")</f>
        <v>.</v>
      </c>
      <c r="AA27" s="15" t="str">
        <f>IFERROR((F27/(RadSpec!AM27*((Q_p_poultry*f_p_poultry*f_s_poultry*(RadSpec!BD27+R_es_past))+(Q_s_poultry*f_p_poultry))))*1,".")</f>
        <v>.</v>
      </c>
      <c r="AB27" s="15" t="str">
        <f>IFERROR((G27/(RadSpec!AI27*((Q_p_beef*f_p_beef*f_s_beef*(RadSpec!BD27+R_es_past))+(Q_s_beef*f_p_beef))))*1,".")</f>
        <v>.</v>
      </c>
      <c r="AC27" s="15" t="str">
        <f>IFERROR(((H27*D_milk)/(RadSpec!AH27*((Q_p_dairy*f_p_dairy*f_s_dairy*(RadSpec!BD27+R_es_past))+(Q_s_dairy*f_p_dairy))))*1,".")</f>
        <v>.</v>
      </c>
      <c r="AD27" s="15" t="str">
        <f>IFERROR((I27/(RadSpec!AN27*((Q_p_swine*f_p_swine*f_s_swine*(RadSpec!BD27+R_es_past))+(Q_s_swine*f_p_swine))))*1,".")</f>
        <v>.</v>
      </c>
      <c r="AE27" s="15" t="str">
        <f>IFERROR(((J27*RadSpec!AU27)/RadSpec!AJ27)*1,".")</f>
        <v>.</v>
      </c>
      <c r="AF27" s="15" t="str">
        <f>IFERROR(((K27*RadSpec!AU27)/RadSpec!AK27)*1,".")</f>
        <v>.</v>
      </c>
      <c r="AG27" s="111" t="str">
        <f t="shared" ref="AG27:AG30" si="239">IFERROR(1/V27,".")</f>
        <v>.</v>
      </c>
      <c r="AH27" s="111" t="str">
        <f t="shared" ref="AH27:AH30" si="240">IFERROR(1/W27,".")</f>
        <v>.</v>
      </c>
      <c r="AI27" s="111">
        <f t="shared" ref="AI27:AI30" si="241">IFERROR(1/X27,".")</f>
        <v>8.2554197523287652E-3</v>
      </c>
      <c r="AJ27" s="111" t="str">
        <f t="shared" ref="AJ27:AJ30" si="242">IFERROR(1/Y27,".")</f>
        <v>.</v>
      </c>
      <c r="AK27" s="111" t="str">
        <f t="shared" ref="AK27:AK30" si="243">IFERROR(1/Z27,".")</f>
        <v>.</v>
      </c>
      <c r="AL27" s="111" t="str">
        <f t="shared" ref="AL27:AL30" si="244">IFERROR(1/AA27,".")</f>
        <v>.</v>
      </c>
      <c r="AM27" s="111" t="str">
        <f t="shared" ref="AM27:AM30" si="245">IFERROR(1/AB27,".")</f>
        <v>.</v>
      </c>
      <c r="AN27" s="111" t="str">
        <f t="shared" ref="AN27:AN30" si="246">IFERROR(1/AC27,".")</f>
        <v>.</v>
      </c>
      <c r="AO27" s="111" t="str">
        <f t="shared" ref="AO27:AO30" si="247">IFERROR(1/AD27,".")</f>
        <v>.</v>
      </c>
      <c r="AP27" s="111" t="str">
        <f t="shared" ref="AP27:AP30" si="248">IFERROR(1/AE27,".")</f>
        <v>.</v>
      </c>
      <c r="AQ27" s="111" t="str">
        <f t="shared" si="164"/>
        <v>.</v>
      </c>
      <c r="AR27" s="15">
        <f t="shared" si="31"/>
        <v>121.13254443759941</v>
      </c>
      <c r="AS27" s="247">
        <f>IFERROR(AR27*(0.0000000000028)*RadSpec!$AY27*RadSpec!$AF27,0)</f>
        <v>5.5831593769549267E-13</v>
      </c>
      <c r="AT27" s="15" t="str">
        <f>IFERROR(DL/(RadSpec!I27*IFW_far_adj),".")</f>
        <v>.</v>
      </c>
      <c r="AU27" s="15" t="str">
        <f>IFERROR(IF(AND(RadSpec!C27=1,RadSpec!D27&lt;&gt;0),DL/(RadSpec!H27*IFA_far_adj*K*RadSpec!D27),"."),".")</f>
        <v>.</v>
      </c>
      <c r="AV27" s="15">
        <f>IFERROR((DL/(RadSpec!M27*(1/8760)*DFA_far_adj)),".")</f>
        <v>659269.9922492397</v>
      </c>
      <c r="AW27" s="15" t="str">
        <f>d_b2w!AC27</f>
        <v>.</v>
      </c>
      <c r="AX27" s="15" t="str">
        <f>IFERROR(E27/(RadSpec!AL27*Q_w_poultry*(1/1000)),".")</f>
        <v>.</v>
      </c>
      <c r="AY27" s="15" t="str">
        <f>IFERROR(F27/(RadSpec!AM27*Q_w_poultry*(1/1000)),".")</f>
        <v>.</v>
      </c>
      <c r="AZ27" s="15" t="str">
        <f>IFERROR(G27/(RadSpec!AI27*Q_w_beef*(1/1000)),".")</f>
        <v>.</v>
      </c>
      <c r="BA27" s="15" t="str">
        <f>IFERROR((H27*D_milk)/(RadSpec!AH27*Q_w_dairy*(1/1000)),".")</f>
        <v>.</v>
      </c>
      <c r="BB27" s="15" t="str">
        <f>IFERROR(I27/(RadSpec!AN27*Q_w_swine*(1/1000)),".")</f>
        <v>.</v>
      </c>
      <c r="BC27" s="15" t="str">
        <f>IFERROR(J27/(RadSpec!AJ27*(1/1000)),".")</f>
        <v>.</v>
      </c>
      <c r="BD27" s="15" t="str">
        <f>IFERROR(K27/(RadSpec!AK27*(1/1000)),".")</f>
        <v>.</v>
      </c>
      <c r="BE27" s="111" t="str">
        <f t="shared" ref="BE27:BE30" si="249">IFERROR(1/AT27,".")</f>
        <v>.</v>
      </c>
      <c r="BF27" s="111" t="str">
        <f t="shared" ref="BF27:BF30" si="250">IFERROR(1/AU27,".")</f>
        <v>.</v>
      </c>
      <c r="BG27" s="111">
        <f t="shared" ref="BG27:BG30" si="251">IFERROR(1/AV27,".")</f>
        <v>1.5168292380308216E-6</v>
      </c>
      <c r="BH27" s="111" t="str">
        <f t="shared" ref="BH27:BH30" si="252">IFERROR(1/AW27,".")</f>
        <v>.</v>
      </c>
      <c r="BI27" s="111" t="str">
        <f t="shared" ref="BI27:BI30" si="253">IFERROR(1/AX27,".")</f>
        <v>.</v>
      </c>
      <c r="BJ27" s="111" t="str">
        <f t="shared" ref="BJ27:BJ30" si="254">IFERROR(1/AY27,".")</f>
        <v>.</v>
      </c>
      <c r="BK27" s="111" t="str">
        <f t="shared" ref="BK27:BK30" si="255">IFERROR(1/AZ27,".")</f>
        <v>.</v>
      </c>
      <c r="BL27" s="111" t="str">
        <f t="shared" ref="BL27:BL30" si="256">IFERROR(1/BA27,".")</f>
        <v>.</v>
      </c>
      <c r="BM27" s="111" t="str">
        <f t="shared" ref="BM27:BM30" si="257">IFERROR(1/BB27,".")</f>
        <v>.</v>
      </c>
      <c r="BN27" s="111" t="str">
        <f t="shared" ref="BN27:BN30" si="258">IFERROR(1/BC27,".")</f>
        <v>.</v>
      </c>
      <c r="BO27" s="111" t="str">
        <f t="shared" si="174"/>
        <v>.</v>
      </c>
      <c r="BP27" s="15">
        <f t="shared" si="32"/>
        <v>659269.9922492397</v>
      </c>
      <c r="BQ27" s="247">
        <f>IFERROR(BP27*(0.0000000000000028)*RadSpec!$AY27*RadSpec!$AF27,0)</f>
        <v>3.0386626948693285E-12</v>
      </c>
      <c r="BR27" s="15" t="str">
        <f>IFERROR((DL/(RadSpec!H27*IFA_far_adj)),".")</f>
        <v>.</v>
      </c>
      <c r="BS27" s="15">
        <f>IFERROR((DL/(RadSpec!K27*EF_far*(1/365)*1*ET_far*(1/24)*GSF_a)),".")</f>
        <v>22497.207924531609</v>
      </c>
      <c r="BT27" s="15">
        <f t="shared" si="218"/>
        <v>22497.207924531609</v>
      </c>
      <c r="BU27" s="247">
        <f>IFERROR(BT27*(0.0000000000000028)*RadSpec!$AY27*RadSpec!$AF27,0)</f>
        <v>1.0369261040649415E-13</v>
      </c>
    </row>
    <row r="28" spans="1:73" customFormat="1" x14ac:dyDescent="0.25">
      <c r="A28" s="44" t="s">
        <v>26</v>
      </c>
      <c r="B28" s="42" t="s">
        <v>1057</v>
      </c>
      <c r="C28" s="42"/>
      <c r="D28" s="15" t="str">
        <f>d_dir!AC28</f>
        <v>.</v>
      </c>
      <c r="E28" s="15" t="str">
        <f>IFERROR(DL/(RadSpec!F28*IFP_far_adj*CF_far_poultry),".")</f>
        <v>.</v>
      </c>
      <c r="F28" s="15" t="str">
        <f>IFERROR(DL/(RadSpec!F28*IFE_far_adj*CF_far_egg),".")</f>
        <v>.</v>
      </c>
      <c r="G28" s="15" t="str">
        <f>IFERROR(DL/(RadSpec!F28*IFB_far_adj*CF_far_beef),".")</f>
        <v>.</v>
      </c>
      <c r="H28" s="15" t="str">
        <f>IFERROR(DL/(RadSpec!F28*IFD_far_adj*CF_far_dairy),".")</f>
        <v>.</v>
      </c>
      <c r="I28" s="15" t="str">
        <f>IFERROR(DL/(RadSpec!F28*IFSW_far_adj*CF_far_swine),".")</f>
        <v>.</v>
      </c>
      <c r="J28" s="15" t="str">
        <f>IFERROR(DL/(RadSpec!F28*IFFI_far_adj*CF_far_fish),".")</f>
        <v>.</v>
      </c>
      <c r="K28" s="15" t="str">
        <f>IFERROR(DL/(RadSpec!F28*IFSF_far_adj*CF_far_shellfish),".")</f>
        <v>.</v>
      </c>
      <c r="L28" s="111" t="str">
        <f t="shared" si="22"/>
        <v>.</v>
      </c>
      <c r="M28" s="111" t="str">
        <f t="shared" si="23"/>
        <v>.</v>
      </c>
      <c r="N28" s="111" t="str">
        <f t="shared" si="24"/>
        <v>.</v>
      </c>
      <c r="O28" s="111" t="str">
        <f t="shared" si="25"/>
        <v>.</v>
      </c>
      <c r="P28" s="111" t="str">
        <f t="shared" si="26"/>
        <v>.</v>
      </c>
      <c r="Q28" s="111" t="str">
        <f t="shared" si="27"/>
        <v>.</v>
      </c>
      <c r="R28" s="111" t="str">
        <f t="shared" si="28"/>
        <v>.</v>
      </c>
      <c r="S28" s="111" t="str">
        <f t="shared" si="29"/>
        <v>.</v>
      </c>
      <c r="T28" s="15" t="str">
        <f t="shared" si="30"/>
        <v>.</v>
      </c>
      <c r="U28" s="247">
        <f>IFERROR(T28*(0.0000000000028)*RadSpec!$AY28*RadSpec!$AF28,0)</f>
        <v>0</v>
      </c>
      <c r="V28" s="15" t="str">
        <f>IFERROR((DL/(RadSpec!E28*IFS_far_adj*(1/1000)))*1,".")</f>
        <v>.</v>
      </c>
      <c r="W28" s="15" t="str">
        <f>IFERROR(IF(A28="H-3",(DL/(RadSpec!H28*IFA_far_adj*(1/17)*1000))*1,(DL/(RadSpec!H28*IFA_far_adj*(1/PEF_wind)*1000))*1),".")</f>
        <v>.</v>
      </c>
      <c r="X28" s="15">
        <f>IFERROR((DL/(RadSpec!G28*EF_far*(1/365)*1*RadSpec!R28*((ET_far_o*(1/24)*RadSpec!W28)+(ET_far_i*(1/24)*RadSpec!AB28))))*1,".")</f>
        <v>0.12025349839668792</v>
      </c>
      <c r="Y28" s="15" t="str">
        <f>d_b2s!AC28</f>
        <v>.</v>
      </c>
      <c r="Z28" s="15" t="str">
        <f>IFERROR((E28/(RadSpec!AL28*((Q_p_poultry*f_p_poultry*f_s_poultry*(RadSpec!BD28+R_es_past))+(Q_s_poultry*f_p_poultry))))*1,".")</f>
        <v>.</v>
      </c>
      <c r="AA28" s="15" t="str">
        <f>IFERROR((F28/(RadSpec!AM28*((Q_p_poultry*f_p_poultry*f_s_poultry*(RadSpec!BD28+R_es_past))+(Q_s_poultry*f_p_poultry))))*1,".")</f>
        <v>.</v>
      </c>
      <c r="AB28" s="15" t="str">
        <f>IFERROR((G28/(RadSpec!AI28*((Q_p_beef*f_p_beef*f_s_beef*(RadSpec!BD28+R_es_past))+(Q_s_beef*f_p_beef))))*1,".")</f>
        <v>.</v>
      </c>
      <c r="AC28" s="15" t="str">
        <f>IFERROR(((H28*D_milk)/(RadSpec!AH28*((Q_p_dairy*f_p_dairy*f_s_dairy*(RadSpec!BD28+R_es_past))+(Q_s_dairy*f_p_dairy))))*1,".")</f>
        <v>.</v>
      </c>
      <c r="AD28" s="15" t="str">
        <f>IFERROR((I28/(RadSpec!AN28*((Q_p_swine*f_p_swine*f_s_swine*(RadSpec!BD28+R_es_past))+(Q_s_swine*f_p_swine))))*1,".")</f>
        <v>.</v>
      </c>
      <c r="AE28" s="15" t="str">
        <f>IFERROR(((J28*RadSpec!AU28)/RadSpec!AJ28)*1,".")</f>
        <v>.</v>
      </c>
      <c r="AF28" s="15" t="str">
        <f>IFERROR(((K28*RadSpec!AU28)/RadSpec!AK28)*1,".")</f>
        <v>.</v>
      </c>
      <c r="AG28" s="111" t="str">
        <f t="shared" si="239"/>
        <v>.</v>
      </c>
      <c r="AH28" s="111" t="str">
        <f t="shared" si="240"/>
        <v>.</v>
      </c>
      <c r="AI28" s="111">
        <f t="shared" si="241"/>
        <v>8.3157663879452048</v>
      </c>
      <c r="AJ28" s="111" t="str">
        <f t="shared" si="242"/>
        <v>.</v>
      </c>
      <c r="AK28" s="111" t="str">
        <f t="shared" si="243"/>
        <v>.</v>
      </c>
      <c r="AL28" s="111" t="str">
        <f t="shared" si="244"/>
        <v>.</v>
      </c>
      <c r="AM28" s="111" t="str">
        <f t="shared" si="245"/>
        <v>.</v>
      </c>
      <c r="AN28" s="111" t="str">
        <f t="shared" si="246"/>
        <v>.</v>
      </c>
      <c r="AO28" s="111" t="str">
        <f t="shared" si="247"/>
        <v>.</v>
      </c>
      <c r="AP28" s="111" t="str">
        <f t="shared" si="248"/>
        <v>.</v>
      </c>
      <c r="AQ28" s="111" t="str">
        <f t="shared" si="164"/>
        <v>.</v>
      </c>
      <c r="AR28" s="15">
        <f t="shared" si="31"/>
        <v>0.12025349839668792</v>
      </c>
      <c r="AS28" s="247">
        <f>IFERROR(AR28*(0.0000000000028)*RadSpec!$AY28*RadSpec!$AF28,0)</f>
        <v>2.8933531665263341E-16</v>
      </c>
      <c r="AT28" s="15" t="str">
        <f>IFERROR(DL/(RadSpec!I28*IFW_far_adj),".")</f>
        <v>.</v>
      </c>
      <c r="AU28" s="15" t="str">
        <f>IFERROR(IF(AND(RadSpec!C28=1,RadSpec!D28&lt;&gt;0),DL/(RadSpec!H28*IFA_far_adj*K*RadSpec!D28),"."),".")</f>
        <v>.</v>
      </c>
      <c r="AV28" s="15">
        <f>IFERROR((DL/(RadSpec!M28*(1/8760)*DFA_far_adj)),".")</f>
        <v>1423.4238469017678</v>
      </c>
      <c r="AW28" s="15" t="str">
        <f>d_b2w!AC28</f>
        <v>.</v>
      </c>
      <c r="AX28" s="15" t="str">
        <f>IFERROR(E28/(RadSpec!AL28*Q_w_poultry*(1/1000)),".")</f>
        <v>.</v>
      </c>
      <c r="AY28" s="15" t="str">
        <f>IFERROR(F28/(RadSpec!AM28*Q_w_poultry*(1/1000)),".")</f>
        <v>.</v>
      </c>
      <c r="AZ28" s="15" t="str">
        <f>IFERROR(G28/(RadSpec!AI28*Q_w_beef*(1/1000)),".")</f>
        <v>.</v>
      </c>
      <c r="BA28" s="15" t="str">
        <f>IFERROR((H28*D_milk)/(RadSpec!AH28*Q_w_dairy*(1/1000)),".")</f>
        <v>.</v>
      </c>
      <c r="BB28" s="15" t="str">
        <f>IFERROR(I28/(RadSpec!AN28*Q_w_swine*(1/1000)),".")</f>
        <v>.</v>
      </c>
      <c r="BC28" s="15" t="str">
        <f>IFERROR(J28/(RadSpec!AJ28*(1/1000)),".")</f>
        <v>.</v>
      </c>
      <c r="BD28" s="15" t="str">
        <f>IFERROR(K28/(RadSpec!AK28*(1/1000)),".")</f>
        <v>.</v>
      </c>
      <c r="BE28" s="111" t="str">
        <f t="shared" si="249"/>
        <v>.</v>
      </c>
      <c r="BF28" s="111" t="str">
        <f t="shared" si="250"/>
        <v>.</v>
      </c>
      <c r="BG28" s="111">
        <f t="shared" si="251"/>
        <v>7.0253143656164366E-4</v>
      </c>
      <c r="BH28" s="111" t="str">
        <f t="shared" si="252"/>
        <v>.</v>
      </c>
      <c r="BI28" s="111" t="str">
        <f t="shared" si="253"/>
        <v>.</v>
      </c>
      <c r="BJ28" s="111" t="str">
        <f t="shared" si="254"/>
        <v>.</v>
      </c>
      <c r="BK28" s="111" t="str">
        <f t="shared" si="255"/>
        <v>.</v>
      </c>
      <c r="BL28" s="111" t="str">
        <f t="shared" si="256"/>
        <v>.</v>
      </c>
      <c r="BM28" s="111" t="str">
        <f t="shared" si="257"/>
        <v>.</v>
      </c>
      <c r="BN28" s="111" t="str">
        <f t="shared" si="258"/>
        <v>.</v>
      </c>
      <c r="BO28" s="111" t="str">
        <f t="shared" si="174"/>
        <v>.</v>
      </c>
      <c r="BP28" s="15">
        <f t="shared" si="32"/>
        <v>1423.4238469017678</v>
      </c>
      <c r="BQ28" s="247">
        <f>IFERROR(BP28*(0.0000000000000028)*RadSpec!$AY28*RadSpec!$AF28,0)</f>
        <v>3.424821688892967E-15</v>
      </c>
      <c r="BR28" s="15" t="str">
        <f>IFERROR((DL/(RadSpec!H28*IFA_far_adj)),".")</f>
        <v>.</v>
      </c>
      <c r="BS28" s="15">
        <f>IFERROR((DL/(RadSpec!K28*EF_far*(1/365)*1*ET_far*(1/24)*GSF_a)),".")</f>
        <v>87.562662216069114</v>
      </c>
      <c r="BT28" s="15">
        <f t="shared" si="218"/>
        <v>87.562662216069114</v>
      </c>
      <c r="BU28" s="247">
        <f>IFERROR(BT28*(0.0000000000000028)*RadSpec!$AY28*RadSpec!$AF28,0)</f>
        <v>2.1067969694868953E-16</v>
      </c>
    </row>
    <row r="29" spans="1:73" customFormat="1" x14ac:dyDescent="0.25">
      <c r="A29" s="44" t="s">
        <v>27</v>
      </c>
      <c r="B29" s="237" t="s">
        <v>1057</v>
      </c>
      <c r="C29" s="238"/>
      <c r="D29" s="15" t="str">
        <f>d_dir!AC29</f>
        <v>.</v>
      </c>
      <c r="E29" s="15" t="str">
        <f>IFERROR(DL/(RadSpec!F29*IFP_far_adj*CF_far_poultry),".")</f>
        <v>.</v>
      </c>
      <c r="F29" s="15" t="str">
        <f>IFERROR(DL/(RadSpec!F29*IFE_far_adj*CF_far_egg),".")</f>
        <v>.</v>
      </c>
      <c r="G29" s="15" t="str">
        <f>IFERROR(DL/(RadSpec!F29*IFB_far_adj*CF_far_beef),".")</f>
        <v>.</v>
      </c>
      <c r="H29" s="15" t="str">
        <f>IFERROR(DL/(RadSpec!F29*IFD_far_adj*CF_far_dairy),".")</f>
        <v>.</v>
      </c>
      <c r="I29" s="15" t="str">
        <f>IFERROR(DL/(RadSpec!F29*IFSW_far_adj*CF_far_swine),".")</f>
        <v>.</v>
      </c>
      <c r="J29" s="15" t="str">
        <f>IFERROR(DL/(RadSpec!F29*IFFI_far_adj*CF_far_fish),".")</f>
        <v>.</v>
      </c>
      <c r="K29" s="15" t="str">
        <f>IFERROR(DL/(RadSpec!F29*IFSF_far_adj*CF_far_shellfish),".")</f>
        <v>.</v>
      </c>
      <c r="L29" s="111" t="str">
        <f t="shared" si="22"/>
        <v>.</v>
      </c>
      <c r="M29" s="111" t="str">
        <f t="shared" si="23"/>
        <v>.</v>
      </c>
      <c r="N29" s="111" t="str">
        <f t="shared" si="24"/>
        <v>.</v>
      </c>
      <c r="O29" s="111" t="str">
        <f t="shared" si="25"/>
        <v>.</v>
      </c>
      <c r="P29" s="111" t="str">
        <f t="shared" si="26"/>
        <v>.</v>
      </c>
      <c r="Q29" s="111" t="str">
        <f t="shared" si="27"/>
        <v>.</v>
      </c>
      <c r="R29" s="111" t="str">
        <f t="shared" si="28"/>
        <v>.</v>
      </c>
      <c r="S29" s="111" t="str">
        <f t="shared" si="29"/>
        <v>.</v>
      </c>
      <c r="T29" s="15" t="str">
        <f t="shared" si="30"/>
        <v>.</v>
      </c>
      <c r="U29" s="247">
        <f>IFERROR(T29*(0.0000000000028)*RadSpec!$AY29*RadSpec!$AF29,0)</f>
        <v>0</v>
      </c>
      <c r="V29" s="15" t="str">
        <f>IFERROR((DL/(RadSpec!E29*IFS_far_adj*(1/1000)))*1,".")</f>
        <v>.</v>
      </c>
      <c r="W29" s="15" t="str">
        <f>IFERROR(IF(A29="H-3",(DL/(RadSpec!H29*IFA_far_adj*(1/17)*1000))*1,(DL/(RadSpec!H29*IFA_far_adj*(1/PEF_wind)*1000))*1),".")</f>
        <v>.</v>
      </c>
      <c r="X29" s="15">
        <f>IFERROR((DL/(RadSpec!G29*EF_far*(1/365)*1*RadSpec!R29*((ET_far_o*(1/24)*RadSpec!W29)+(ET_far_i*(1/24)*RadSpec!AB29))))*1,".")</f>
        <v>9.2265768814385279E-2</v>
      </c>
      <c r="Y29" s="15" t="str">
        <f>d_b2s!AC29</f>
        <v>.</v>
      </c>
      <c r="Z29" s="15" t="str">
        <f>IFERROR((E29/(RadSpec!AL29*((Q_p_poultry*f_p_poultry*f_s_poultry*(RadSpec!BD29+R_es_past))+(Q_s_poultry*f_p_poultry))))*1,".")</f>
        <v>.</v>
      </c>
      <c r="AA29" s="15" t="str">
        <f>IFERROR((F29/(RadSpec!AM29*((Q_p_poultry*f_p_poultry*f_s_poultry*(RadSpec!BD29+R_es_past))+(Q_s_poultry*f_p_poultry))))*1,".")</f>
        <v>.</v>
      </c>
      <c r="AB29" s="15" t="str">
        <f>IFERROR((G29/(RadSpec!AI29*((Q_p_beef*f_p_beef*f_s_beef*(RadSpec!BD29+R_es_past))+(Q_s_beef*f_p_beef))))*1,".")</f>
        <v>.</v>
      </c>
      <c r="AC29" s="15" t="str">
        <f>IFERROR(((H29*D_milk)/(RadSpec!AH29*((Q_p_dairy*f_p_dairy*f_s_dairy*(RadSpec!BD29+R_es_past))+(Q_s_dairy*f_p_dairy))))*1,".")</f>
        <v>.</v>
      </c>
      <c r="AD29" s="15" t="str">
        <f>IFERROR((I29/(RadSpec!AN29*((Q_p_swine*f_p_swine*f_s_swine*(RadSpec!BD29+R_es_past))+(Q_s_swine*f_p_swine))))*1,".")</f>
        <v>.</v>
      </c>
      <c r="AE29" s="15" t="str">
        <f>IFERROR(((J29*RadSpec!AU29)/RadSpec!AJ29)*1,".")</f>
        <v>.</v>
      </c>
      <c r="AF29" s="15" t="str">
        <f>IFERROR(((K29*RadSpec!AU29)/RadSpec!AK29)*1,".")</f>
        <v>.</v>
      </c>
      <c r="AG29" s="111" t="str">
        <f t="shared" si="239"/>
        <v>.</v>
      </c>
      <c r="AH29" s="111" t="str">
        <f t="shared" si="240"/>
        <v>.</v>
      </c>
      <c r="AI29" s="111">
        <f t="shared" si="241"/>
        <v>10.838255756712327</v>
      </c>
      <c r="AJ29" s="111" t="str">
        <f t="shared" si="242"/>
        <v>.</v>
      </c>
      <c r="AK29" s="111" t="str">
        <f t="shared" si="243"/>
        <v>.</v>
      </c>
      <c r="AL29" s="111" t="str">
        <f t="shared" si="244"/>
        <v>.</v>
      </c>
      <c r="AM29" s="111" t="str">
        <f t="shared" si="245"/>
        <v>.</v>
      </c>
      <c r="AN29" s="111" t="str">
        <f t="shared" si="246"/>
        <v>.</v>
      </c>
      <c r="AO29" s="111" t="str">
        <f t="shared" si="247"/>
        <v>.</v>
      </c>
      <c r="AP29" s="111" t="str">
        <f t="shared" si="248"/>
        <v>.</v>
      </c>
      <c r="AQ29" s="111" t="str">
        <f t="shared" si="164"/>
        <v>.</v>
      </c>
      <c r="AR29" s="15">
        <f>IFERROR(1/(SUMIF(AG29:AQ29,"&lt;&gt;0")),".")</f>
        <v>9.2265768814385279E-2</v>
      </c>
      <c r="AS29" s="247">
        <f>IFERROR(AR29*(0.0000000000028)*RadSpec!$AY29*RadSpec!$AF29,0)</f>
        <v>1.341856044172682E-16</v>
      </c>
      <c r="AT29" s="15" t="str">
        <f>IFERROR(DL/(RadSpec!I29*IFW_far_adj),".")</f>
        <v>.</v>
      </c>
      <c r="AU29" s="15" t="str">
        <f>IFERROR(IF(AND(RadSpec!C29=1,RadSpec!D29&lt;&gt;0),DL/(RadSpec!H29*IFA_far_adj*K*RadSpec!D29),"."),".")</f>
        <v>.</v>
      </c>
      <c r="AV29" s="15">
        <f>IFERROR((DL/(RadSpec!M29*(1/8760)*DFA_far_adj)),".")</f>
        <v>1098.7833204153994</v>
      </c>
      <c r="AW29" s="15" t="str">
        <f>d_b2w!AC29</f>
        <v>.</v>
      </c>
      <c r="AX29" s="15" t="str">
        <f>IFERROR(E29/(RadSpec!AL29*Q_w_poultry*(1/1000)),".")</f>
        <v>.</v>
      </c>
      <c r="AY29" s="15" t="str">
        <f>IFERROR(F29/(RadSpec!AM29*Q_w_poultry*(1/1000)),".")</f>
        <v>.</v>
      </c>
      <c r="AZ29" s="15" t="str">
        <f>IFERROR(G29/(RadSpec!AI29*Q_w_beef*(1/1000)),".")</f>
        <v>.</v>
      </c>
      <c r="BA29" s="15" t="str">
        <f>IFERROR((H29*D_milk)/(RadSpec!AH29*Q_w_dairy*(1/1000)),".")</f>
        <v>.</v>
      </c>
      <c r="BB29" s="15" t="str">
        <f>IFERROR(I29/(RadSpec!AN29*Q_w_swine*(1/1000)),".")</f>
        <v>.</v>
      </c>
      <c r="BC29" s="15" t="str">
        <f>IFERROR(J29/(RadSpec!AJ29*(1/1000)),".")</f>
        <v>.</v>
      </c>
      <c r="BD29" s="15" t="str">
        <f>IFERROR(K29/(RadSpec!AK29*(1/1000)),".")</f>
        <v>.</v>
      </c>
      <c r="BE29" s="111" t="str">
        <f t="shared" si="249"/>
        <v>.</v>
      </c>
      <c r="BF29" s="111" t="str">
        <f t="shared" si="250"/>
        <v>.</v>
      </c>
      <c r="BG29" s="111">
        <f t="shared" si="251"/>
        <v>9.1009754281849307E-4</v>
      </c>
      <c r="BH29" s="111" t="str">
        <f t="shared" si="252"/>
        <v>.</v>
      </c>
      <c r="BI29" s="111" t="str">
        <f t="shared" si="253"/>
        <v>.</v>
      </c>
      <c r="BJ29" s="111" t="str">
        <f t="shared" si="254"/>
        <v>.</v>
      </c>
      <c r="BK29" s="111" t="str">
        <f t="shared" si="255"/>
        <v>.</v>
      </c>
      <c r="BL29" s="111" t="str">
        <f t="shared" si="256"/>
        <v>.</v>
      </c>
      <c r="BM29" s="111" t="str">
        <f t="shared" si="257"/>
        <v>.</v>
      </c>
      <c r="BN29" s="111" t="str">
        <f t="shared" si="258"/>
        <v>.</v>
      </c>
      <c r="BO29" s="111" t="str">
        <f t="shared" si="174"/>
        <v>.</v>
      </c>
      <c r="BP29" s="15">
        <f t="shared" si="32"/>
        <v>1098.7833204153994</v>
      </c>
      <c r="BQ29" s="247">
        <f>IFERROR(BP29*(0.0000000000000028)*RadSpec!$AY29*RadSpec!$AF29,0)</f>
        <v>1.5980022262662331E-15</v>
      </c>
      <c r="BR29" s="15" t="str">
        <f>IFERROR((DL/(RadSpec!H29*IFA_far_adj)),".")</f>
        <v>.</v>
      </c>
      <c r="BS29" s="15">
        <f>IFERROR((DL/(RadSpec!K29*EF_far*(1/365)*1*ET_far*(1/24)*GSF_a)),".")</f>
        <v>67.662057166962484</v>
      </c>
      <c r="BT29" s="15">
        <f t="shared" si="218"/>
        <v>67.662057166962484</v>
      </c>
      <c r="BU29" s="247">
        <f>IFERROR(BT29*(0.0000000000000028)*RadSpec!$AY29*RadSpec!$AF29,0)</f>
        <v>9.840349409898433E-17</v>
      </c>
    </row>
    <row r="30" spans="1:73" customFormat="1" x14ac:dyDescent="0.25">
      <c r="A30" s="44" t="s">
        <v>28</v>
      </c>
      <c r="B30" s="42" t="s">
        <v>1057</v>
      </c>
      <c r="C30" s="42"/>
      <c r="D30" s="15">
        <f>d_dir!AC30</f>
        <v>9.0641732045650646E-3</v>
      </c>
      <c r="E30" s="15">
        <f>IFERROR(DL/(RadSpec!F30*IFP_far_adj*CF_far_poultry),".")</f>
        <v>8.1965911704350275E-2</v>
      </c>
      <c r="F30" s="15">
        <f>IFERROR(DL/(RadSpec!F30*IFE_far_adj*CF_far_egg),".")</f>
        <v>0.14834341797354339</v>
      </c>
      <c r="G30" s="15">
        <f>IFERROR(DL/(RadSpec!F30*IFB_far_adj*CF_far_beef),".")</f>
        <v>5.3608840673586018E-2</v>
      </c>
      <c r="H30" s="15">
        <f>IFERROR(DL/(RadSpec!F30*IFD_far_adj*CF_far_dairy),".")</f>
        <v>9.2298349011140732E-3</v>
      </c>
      <c r="I30" s="15">
        <f>IFERROR(DL/(RadSpec!F30*IFSW_far_adj*CF_far_swine),".")</f>
        <v>9.6253745185699888E-2</v>
      </c>
      <c r="J30" s="15">
        <f>IFERROR(DL/(RadSpec!F30*IFFI_far_adj*CF_far_fish),".")</f>
        <v>9.2998298790490069E-2</v>
      </c>
      <c r="K30" s="15">
        <f>IFERROR(DL/(RadSpec!F30*IFSF_far_adj*CF_far_shellfish),".")</f>
        <v>7.096290856479473E-2</v>
      </c>
      <c r="L30" s="111">
        <f t="shared" si="22"/>
        <v>110.32445843999999</v>
      </c>
      <c r="M30" s="111">
        <f t="shared" si="23"/>
        <v>12.200193705</v>
      </c>
      <c r="N30" s="111">
        <f t="shared" si="24"/>
        <v>6.7411147299999996</v>
      </c>
      <c r="O30" s="111">
        <f t="shared" si="25"/>
        <v>18.653639725000001</v>
      </c>
      <c r="P30" s="111">
        <f t="shared" si="26"/>
        <v>108.34429984000001</v>
      </c>
      <c r="Q30" s="111">
        <f t="shared" si="27"/>
        <v>10.389206135</v>
      </c>
      <c r="R30" s="111">
        <f t="shared" si="28"/>
        <v>10.752884870000001</v>
      </c>
      <c r="S30" s="111">
        <f t="shared" si="29"/>
        <v>14.09186884</v>
      </c>
      <c r="T30" s="15">
        <f t="shared" si="30"/>
        <v>3.4305591970753223E-3</v>
      </c>
      <c r="U30" s="247">
        <f>IFERROR(T30*(0.0000000000028)*RadSpec!$AY30*RadSpec!$AF30,0)</f>
        <v>3.5630501377137295E-7</v>
      </c>
      <c r="V30" s="15">
        <f>IFERROR((DL/(RadSpec!E30*IFS_far_adj*(1/1000)))*1,".")</f>
        <v>111.54135088845474</v>
      </c>
      <c r="W30" s="15">
        <f>IFERROR(IF(A30="H-3",(DL/(RadSpec!H30*IFA_far_adj*(1/17)*1000))*1,(DL/(RadSpec!H30*IFA_far_adj*(1/PEF_wind)*1000))*1),".")</f>
        <v>5508.7213444578083</v>
      </c>
      <c r="X30" s="15">
        <f>IFERROR((DL/(RadSpec!G30*EF_far*(1/365)*1*RadSpec!R30*((ET_far_o*(1/24)*RadSpec!W30)+(ET_far_i*(1/24)*RadSpec!AB30))))*1,".")</f>
        <v>1684.0378129129674</v>
      </c>
      <c r="Y30" s="15">
        <f>d_b2s!AC30</f>
        <v>1.1362216577773681</v>
      </c>
      <c r="Z30" s="15">
        <f>IFERROR((E30/(RadSpec!AL30*((Q_p_poultry*f_p_poultry*f_s_poultry*(RadSpec!BD30+R_es_past))+(Q_s_poultry*f_p_poultry))))*1,".")</f>
        <v>1.488422942658834</v>
      </c>
      <c r="AA30" s="15">
        <f>IFERROR((F30/(RadSpec!AM30*((Q_p_poultry*f_p_poultry*f_s_poultry*(RadSpec!BD30+R_es_past))+(Q_s_poultry*f_p_poultry))))*1,".")</f>
        <v>1.8366649632404897</v>
      </c>
      <c r="AB30" s="15">
        <f>IFERROR((G30/(RadSpec!AI30*((Q_p_beef*f_p_beef*f_s_beef*(RadSpec!BD30+R_es_past))+(Q_s_beef*f_p_beef))))*1,".")</f>
        <v>38.980097867287149</v>
      </c>
      <c r="AC30" s="15">
        <f>IFERROR(((H30*D_milk)/(RadSpec!AH30*((Q_p_dairy*f_p_dairy*f_s_dairy*(RadSpec!BD30+R_es_past))+(Q_s_dairy*f_p_dairy))))*1,".")</f>
        <v>0.93982738677140765</v>
      </c>
      <c r="AD30" s="15">
        <f>IFERROR((I30/(RadSpec!AN30*((Q_p_swine*f_p_swine*f_s_swine*(RadSpec!BD30+R_es_past))+(Q_s_swine*f_p_swine))))*1,".")</f>
        <v>1.3858682816706085</v>
      </c>
      <c r="AE30" s="15">
        <f>IFERROR(((J30*RadSpec!AU30)/RadSpec!AJ30)*1,".")</f>
        <v>3.8749291162704202E-2</v>
      </c>
      <c r="AF30" s="15">
        <f>IFERROR(((K30*RadSpec!AU30)/RadSpec!AK30)*1,".")</f>
        <v>1.669715495642229E-4</v>
      </c>
      <c r="AG30" s="111">
        <f t="shared" si="239"/>
        <v>8.9652849999999999E-3</v>
      </c>
      <c r="AH30" s="111">
        <f t="shared" si="240"/>
        <v>1.8153032935784198E-4</v>
      </c>
      <c r="AI30" s="111">
        <f t="shared" si="241"/>
        <v>5.9381089446575326E-4</v>
      </c>
      <c r="AJ30" s="111">
        <f t="shared" si="242"/>
        <v>0.88010996195598001</v>
      </c>
      <c r="AK30" s="111">
        <f t="shared" si="243"/>
        <v>0.67185204644431029</v>
      </c>
      <c r="AL30" s="111">
        <f t="shared" si="244"/>
        <v>0.54446511476740234</v>
      </c>
      <c r="AM30" s="111">
        <f t="shared" si="245"/>
        <v>2.5654117221681458E-2</v>
      </c>
      <c r="AN30" s="111">
        <f t="shared" si="246"/>
        <v>1.064025175341297</v>
      </c>
      <c r="AO30" s="111">
        <f t="shared" si="247"/>
        <v>0.72156929574471551</v>
      </c>
      <c r="AP30" s="111">
        <f t="shared" si="248"/>
        <v>25.806923687999998</v>
      </c>
      <c r="AQ30" s="111">
        <f t="shared" si="164"/>
        <v>5989.0442569999996</v>
      </c>
      <c r="AR30" s="15">
        <f t="shared" si="31"/>
        <v>1.6614694249819989E-4</v>
      </c>
      <c r="AS30" s="247">
        <f>IFERROR(AR30*(0.0000000000028)*RadSpec!$AY30*RadSpec!$AF30,0)</f>
        <v>1.7256367033503439E-8</v>
      </c>
      <c r="AT30" s="15">
        <f>IFERROR(DL/(RadSpec!I30*IFW_far_adj),".")</f>
        <v>5.7213449385246635</v>
      </c>
      <c r="AU30" s="15" t="str">
        <f>IFERROR(IF(AND(RadSpec!C30=1,RadSpec!D30&lt;&gt;0),DL/(RadSpec!H30*IFA_far_adj*K*RadSpec!D30),"."),".")</f>
        <v>.</v>
      </c>
      <c r="AV30" s="15">
        <f>IFERROR((DL/(RadSpec!M30*(1/8760)*DFA_far_adj)),".")</f>
        <v>13325670.056101652</v>
      </c>
      <c r="AW30" s="15">
        <f>d_b2w!AC30</f>
        <v>2.3078228514618631</v>
      </c>
      <c r="AX30" s="15">
        <f>IFERROR(E30/(RadSpec!AL30*Q_w_poultry*(1/1000)),".")</f>
        <v>273.21970568116757</v>
      </c>
      <c r="AY30" s="15">
        <f>IFERROR(F30/(RadSpec!AM30*Q_w_poultry*(1/1000)),".")</f>
        <v>337.14413175805311</v>
      </c>
      <c r="AZ30" s="15">
        <f>IFERROR(G30/(RadSpec!AI30*Q_w_beef*(1/1000)),".")</f>
        <v>2593.5578458435421</v>
      </c>
      <c r="BA30" s="15">
        <f>IFERROR((H30*D_milk)/(RadSpec!AH30*Q_w_dairy*(1/1000)),".")</f>
        <v>57.407789541953477</v>
      </c>
      <c r="BB30" s="15">
        <f>IFERROR(I30/(RadSpec!AN30*Q_w_swine*(1/1000)),".")</f>
        <v>191.89343139094876</v>
      </c>
      <c r="BC30" s="15">
        <f>IFERROR(J30/(RadSpec!AJ30*(1/1000)),".")</f>
        <v>96.873227906760491</v>
      </c>
      <c r="BD30" s="15">
        <f>IFERROR(K30/(RadSpec!AK30*(1/1000)),".")</f>
        <v>0.41742887391055722</v>
      </c>
      <c r="BE30" s="111">
        <f t="shared" si="249"/>
        <v>0.17478407800000001</v>
      </c>
      <c r="BF30" s="111" t="str">
        <f t="shared" si="250"/>
        <v>.</v>
      </c>
      <c r="BG30" s="111">
        <f t="shared" si="251"/>
        <v>7.5043130723630134E-8</v>
      </c>
      <c r="BH30" s="111">
        <f t="shared" si="252"/>
        <v>0.43330882150099254</v>
      </c>
      <c r="BI30" s="111">
        <f t="shared" si="253"/>
        <v>3.6600581115000001E-3</v>
      </c>
      <c r="BJ30" s="111">
        <f t="shared" si="254"/>
        <v>2.9660904812000002E-3</v>
      </c>
      <c r="BK30" s="111">
        <f t="shared" si="255"/>
        <v>3.8557073311575008E-4</v>
      </c>
      <c r="BL30" s="111">
        <f t="shared" si="256"/>
        <v>1.7419238886897087E-2</v>
      </c>
      <c r="BM30" s="111">
        <f t="shared" si="257"/>
        <v>5.2112257973159996E-3</v>
      </c>
      <c r="BN30" s="111">
        <f t="shared" si="258"/>
        <v>1.03227694752E-2</v>
      </c>
      <c r="BO30" s="111">
        <f t="shared" si="174"/>
        <v>2.3956177028000001</v>
      </c>
      <c r="BP30" s="15">
        <f t="shared" si="32"/>
        <v>0.32855012205341877</v>
      </c>
      <c r="BQ30" s="247">
        <f>IFERROR(BP30*(0.0000000000000028)*RadSpec!$AY30*RadSpec!$AF30,0)</f>
        <v>3.4123899060721945E-8</v>
      </c>
      <c r="BR30" s="15">
        <f>IFERROR((DL/(RadSpec!H30*IFA_far_adj)),".")</f>
        <v>4.0524837166138663E-3</v>
      </c>
      <c r="BS30" s="15">
        <f>IFERROR((DL/(RadSpec!K30*EF_far*(1/365)*1*ET_far*(1/24)*GSF_a)),".")</f>
        <v>842584.10811689147</v>
      </c>
      <c r="BT30" s="15">
        <f t="shared" si="218"/>
        <v>4.0524836971230832E-3</v>
      </c>
      <c r="BU30" s="247">
        <f>IFERROR(BT30*(0.0000000000000028)*RadSpec!$AY30*RadSpec!$AF30,0)</f>
        <v>4.2089938594929342E-10</v>
      </c>
    </row>
    <row r="31" spans="1:73" x14ac:dyDescent="0.25">
      <c r="A31" s="76" t="s">
        <v>1</v>
      </c>
      <c r="B31" s="57" t="s">
        <v>1185</v>
      </c>
      <c r="C31" s="57"/>
      <c r="D31" s="58">
        <f t="shared" ref="D31:AF31" si="259">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4.1208172066866511E-4</v>
      </c>
      <c r="E31" s="58">
        <f t="shared" si="259"/>
        <v>3.7263910528864698E-3</v>
      </c>
      <c r="F31" s="58">
        <f t="shared" si="259"/>
        <v>6.7440912203246004E-3</v>
      </c>
      <c r="G31" s="58">
        <f t="shared" si="259"/>
        <v>2.4372022477127499E-3</v>
      </c>
      <c r="H31" s="58">
        <f t="shared" si="259"/>
        <v>4.1961314746536695E-4</v>
      </c>
      <c r="I31" s="58">
        <f t="shared" si="259"/>
        <v>4.3759544353091078E-3</v>
      </c>
      <c r="J31" s="58">
        <f t="shared" si="259"/>
        <v>4.2279530763537172E-3</v>
      </c>
      <c r="K31" s="58">
        <f t="shared" si="259"/>
        <v>3.2261649027520924E-3</v>
      </c>
      <c r="L31" s="168"/>
      <c r="M31" s="168"/>
      <c r="N31" s="168"/>
      <c r="O31" s="168"/>
      <c r="P31" s="168"/>
      <c r="Q31" s="168"/>
      <c r="R31" s="168"/>
      <c r="S31" s="111"/>
      <c r="T31" s="59">
        <f t="shared" ref="T31" si="260">IFERROR(1/SUM(IFERROR(1/SUMIF(T32,"&lt;&gt;.",T32),0),IFERROR(1/SUMIF(T33,"&lt;&gt;.",T33),0),IFERROR(1/SUMIF(T34,"&lt;&gt;.",T34),0),IFERROR(1/SUMIF(T35,"&lt;&gt;.",T35),0),IFERROR(1/SUMIF(T36,"&lt;&gt;.",T36),0),IFERROR(1/SUMIF(T37,"&lt;&gt;.",T37),0),IFERROR(1/SUMIF(T38,"&lt;&gt;.",T38),0),IFERROR(1/SUMIF(T39,"&lt;&gt;.",T39),0),IFERROR(1/SUMIF(T40,"&lt;&gt;.",T40),0),IFERROR(1/SUMIF(T41,"&lt;&gt;.",T41),0),IFERROR(1/SUMIF(T42,"&lt;&gt;.",T42),0),IFERROR(1/SUMIF(T43,"&lt;&gt;.",T43),0),IFERROR(1/SUMIF(T44,"&lt;&gt;.",T44),0)),".")</f>
        <v>1.559624584484479E-4</v>
      </c>
      <c r="U31" s="248">
        <f>IFERROR(T31*(0.0000000000028)*RadSpec!$AY3*RadSpec!$AF3,0)</f>
        <v>4.5486226420549669E-11</v>
      </c>
      <c r="V31" s="58">
        <f t="shared" si="259"/>
        <v>5.0709701549692872</v>
      </c>
      <c r="W31" s="58">
        <f t="shared" si="259"/>
        <v>264.97826827050432</v>
      </c>
      <c r="X31" s="58">
        <f t="shared" si="259"/>
        <v>0.60358336939430135</v>
      </c>
      <c r="Y31" s="58">
        <f t="shared" si="259"/>
        <v>6.3375544810561679E-2</v>
      </c>
      <c r="Z31" s="58">
        <f t="shared" si="259"/>
        <v>1.4436465925760478</v>
      </c>
      <c r="AA31" s="58">
        <f t="shared" si="259"/>
        <v>1.8174478416549575</v>
      </c>
      <c r="AB31" s="58">
        <f t="shared" si="259"/>
        <v>1.2816141300974646</v>
      </c>
      <c r="AC31" s="58">
        <f t="shared" si="259"/>
        <v>0.4920328168799743</v>
      </c>
      <c r="AD31" s="58">
        <f t="shared" si="259"/>
        <v>1.3654522137179297</v>
      </c>
      <c r="AE31" s="58">
        <f t="shared" si="259"/>
        <v>1.6317550614180278E-4</v>
      </c>
      <c r="AF31" s="58">
        <f t="shared" si="259"/>
        <v>6.8703344458167471E-7</v>
      </c>
      <c r="AG31" s="168"/>
      <c r="AH31" s="168"/>
      <c r="AI31" s="168"/>
      <c r="AJ31" s="168"/>
      <c r="AK31" s="168"/>
      <c r="AL31" s="168"/>
      <c r="AM31" s="168"/>
      <c r="AN31" s="168"/>
      <c r="AO31" s="168"/>
      <c r="AP31" s="168"/>
      <c r="AQ31" s="111"/>
      <c r="AR31" s="59">
        <f t="shared" ref="AR31:BD31" si="261">IFERROR(1/SUM(IFERROR(1/SUMIF(AR32,"&lt;&gt;.",AR32),0),IFERROR(1/SUMIF(AR33,"&lt;&gt;.",AR33),0),IFERROR(1/SUMIF(AR34,"&lt;&gt;.",AR34),0),IFERROR(1/SUMIF(AR35,"&lt;&gt;.",AR35),0),IFERROR(1/SUMIF(AR36,"&lt;&gt;.",AR36),0),IFERROR(1/SUMIF(AR37,"&lt;&gt;.",AR37),0),IFERROR(1/SUMIF(AR38,"&lt;&gt;.",AR38),0),IFERROR(1/SUMIF(AR39,"&lt;&gt;.",AR39),0),IFERROR(1/SUMIF(AR40,"&lt;&gt;.",AR40),0),IFERROR(1/SUMIF(AR41,"&lt;&gt;.",AR41),0),IFERROR(1/SUMIF(AR42,"&lt;&gt;.",AR42),0),IFERROR(1/SUMIF(AR43,"&lt;&gt;.",AR43),0),IFERROR(1/SUMIF(AR44,"&lt;&gt;.",AR44),0)),".")</f>
        <v>6.84142394189664E-7</v>
      </c>
      <c r="AS31" s="248">
        <f>IFERROR(AR31*(0.0000000000028)*RadSpec!$AY3*RadSpec!$AF3,0)</f>
        <v>1.9952914410036791E-13</v>
      </c>
      <c r="AT31" s="58">
        <f t="shared" si="261"/>
        <v>0.26010774657514191</v>
      </c>
      <c r="AU31" s="58" t="str">
        <f t="shared" si="261"/>
        <v>.</v>
      </c>
      <c r="AV31" s="58">
        <f t="shared" si="261"/>
        <v>5899.5183384797674</v>
      </c>
      <c r="AW31" s="58">
        <f t="shared" si="261"/>
        <v>0.10634774977365705</v>
      </c>
      <c r="AX31" s="58">
        <f t="shared" si="261"/>
        <v>264.84326745469355</v>
      </c>
      <c r="AY31" s="58">
        <f t="shared" si="261"/>
        <v>333.54773963932047</v>
      </c>
      <c r="AZ31" s="58">
        <f t="shared" si="261"/>
        <v>86.828064871132582</v>
      </c>
      <c r="BA31" s="58">
        <f t="shared" si="261"/>
        <v>30.725111596938977</v>
      </c>
      <c r="BB31" s="58">
        <f t="shared" si="261"/>
        <v>189.00638877176064</v>
      </c>
      <c r="BC31" s="58">
        <f t="shared" si="261"/>
        <v>8.4394314171124057E-2</v>
      </c>
      <c r="BD31" s="58">
        <f t="shared" si="261"/>
        <v>1.2003833623954786E-3</v>
      </c>
      <c r="BE31" s="168"/>
      <c r="BF31" s="168"/>
      <c r="BG31" s="168"/>
      <c r="BH31" s="168"/>
      <c r="BI31" s="168"/>
      <c r="BJ31" s="168"/>
      <c r="BK31" s="168"/>
      <c r="BL31" s="168"/>
      <c r="BM31" s="168"/>
      <c r="BN31" s="168"/>
      <c r="BO31" s="111"/>
      <c r="BP31" s="59">
        <f>IFERROR(1/SUM(IFERROR(1/SUMIF(BP32,"&lt;&gt;.",BP32),0),IFERROR(1/SUMIF(BP33,"&lt;&gt;.",BP33),0),IFERROR(1/SUMIF(BP34,"&lt;&gt;.",BP34),0),IFERROR(1/SUMIF(BP35,"&lt;&gt;.",BP35),0),IFERROR(1/SUMIF(BP36,"&lt;&gt;.",BP36),0),IFERROR(1/SUMIF(BP37,"&lt;&gt;.",BP37),0),IFERROR(1/SUMIF(BP38,"&lt;&gt;.",BP38),0),IFERROR(1/SUMIF(BP39,"&lt;&gt;.",BP39),0),IFERROR(1/SUMIF(BP40,"&lt;&gt;.",BP40),0),IFERROR(1/SUMIF(BP41,"&lt;&gt;.",BP41),0),IFERROR(1/SUMIF(BP42,"&lt;&gt;.",BP42),0),IFERROR(1/SUMIF(BP43,"&lt;&gt;.",BP43),0),IFERROR(1/SUMIF(BP44,"&lt;&gt;.",BP44),0)),".")</f>
        <v>1.1652019797428145E-3</v>
      </c>
      <c r="BQ31" s="248">
        <f>IFERROR(BP31*(0.0000000000000028)*RadSpec!$AY3*RadSpec!$AF3,0)</f>
        <v>3.3982947950114099E-13</v>
      </c>
      <c r="BR31" s="58">
        <f>IFERROR(1/SUM(IFERROR(1/SUMIF(BR32,"&lt;&gt;.",BR32),0),IFERROR(1/SUMIF(BR33,"&lt;&gt;.",BR33),0),IFERROR(1/SUMIF(BR34,"&lt;&gt;.",BR34),0),IFERROR(1/SUMIF(BR35,"&lt;&gt;.",BR35),0),IFERROR(1/SUMIF(BR36,"&lt;&gt;.",BR36),0),IFERROR(1/SUMIF(BR37,"&lt;&gt;.",BR37),0),IFERROR(1/SUMIF(BR38,"&lt;&gt;.",BR38),0),IFERROR(1/SUMIF(BR39,"&lt;&gt;.",BR39),0),IFERROR(1/SUMIF(BR40,"&lt;&gt;.",BR40),0),IFERROR(1/SUMIF(BR41,"&lt;&gt;.",BR41),0),IFERROR(1/SUMIF(BR42,"&lt;&gt;.",BR42),0),IFERROR(1/SUMIF(BR43,"&lt;&gt;.",BR43),0),IFERROR(1/SUMIF(BR44,"&lt;&gt;.",BR44),0)),".")</f>
        <v>1.9493091958683E-4</v>
      </c>
      <c r="BS31" s="58">
        <f>IFERROR(1/SUM(IFERROR(1/SUMIF(BS32,"&lt;&gt;.",BS32),0),IFERROR(1/SUMIF(BS33,"&lt;&gt;.",BS33),0),IFERROR(1/SUMIF(BS34,"&lt;&gt;.",BS34),0),IFERROR(1/SUMIF(BS35,"&lt;&gt;.",BS35),0),IFERROR(1/SUMIF(BS36,"&lt;&gt;.",BS36),0),IFERROR(1/SUMIF(BS37,"&lt;&gt;.",BS37),0),IFERROR(1/SUMIF(BS38,"&lt;&gt;.",BS38),0),IFERROR(1/SUMIF(BS39,"&lt;&gt;.",BS39),0),IFERROR(1/SUMIF(BS40,"&lt;&gt;.",BS40),0),IFERROR(1/SUMIF(BS41,"&lt;&gt;.",BS41),0),IFERROR(1/SUMIF(BS42,"&lt;&gt;.",BS42),0),IFERROR(1/SUMIF(BS43,"&lt;&gt;.",BS43),0),IFERROR(1/SUMIF(BS44,"&lt;&gt;.",BS44),0)),".")</f>
        <v>366.36055031098158</v>
      </c>
      <c r="BT31" s="59">
        <f>IFERROR(1/SUM(IFERROR(1/SUMIF(BT32,"&lt;&gt;.",BT32),0),IFERROR(1/SUMIF(BT33,"&lt;&gt;.",BT33),0),IFERROR(1/SUMIF(BT34,"&lt;&gt;.",BT34),0),IFERROR(1/SUMIF(BT35,"&lt;&gt;.",BT35),0),IFERROR(1/SUMIF(BT36,"&lt;&gt;.",BT36),0),IFERROR(1/SUMIF(BT37,"&lt;&gt;.",BT37),0),IFERROR(1/SUMIF(BT38,"&lt;&gt;.",BT38),0),IFERROR(1/SUMIF(BT39,"&lt;&gt;.",BT39),0),IFERROR(1/SUMIF(BT40,"&lt;&gt;.",BT40),0),IFERROR(1/SUMIF(BT41,"&lt;&gt;.",BT41),0),IFERROR(1/SUMIF(BT42,"&lt;&gt;.",BT42),0),IFERROR(1/SUMIF(BT43,"&lt;&gt;.",BT43),0),IFERROR(1/SUMIF(BT44,"&lt;&gt;.",BT44),0)),".")</f>
        <v>1.9493081586921318E-4</v>
      </c>
      <c r="BU31" s="248">
        <f>IFERROR(BT31*(0.0000000000000028)*RadSpec!$AY3*RadSpec!$AF3,0)</f>
        <v>5.6851291747881178E-14</v>
      </c>
    </row>
    <row r="32" spans="1:73" x14ac:dyDescent="0.25">
      <c r="A32" s="77" t="s">
        <v>1085</v>
      </c>
      <c r="B32" s="42">
        <v>1</v>
      </c>
      <c r="C32" s="42"/>
      <c r="D32" s="60">
        <f t="shared" ref="D32:AF32" si="262">IFERROR(D3/$B32,".")</f>
        <v>2.2927026340958689E-3</v>
      </c>
      <c r="E32" s="60">
        <f t="shared" si="262"/>
        <v>2.0732554136982717E-2</v>
      </c>
      <c r="F32" s="60">
        <f t="shared" si="262"/>
        <v>3.7522158663896264E-2</v>
      </c>
      <c r="G32" s="60">
        <f t="shared" si="262"/>
        <v>1.355988322920117E-2</v>
      </c>
      <c r="H32" s="60">
        <f t="shared" si="262"/>
        <v>2.3346052985170895E-3</v>
      </c>
      <c r="I32" s="60">
        <f t="shared" si="262"/>
        <v>2.4346535546971144E-2</v>
      </c>
      <c r="J32" s="60">
        <f t="shared" si="262"/>
        <v>2.3523099105829844E-2</v>
      </c>
      <c r="K32" s="60">
        <f t="shared" si="262"/>
        <v>1.7949441578153959E-2</v>
      </c>
      <c r="L32" s="111">
        <f>IFERROR(1/D32,".")</f>
        <v>436.16646360000004</v>
      </c>
      <c r="M32" s="111">
        <f t="shared" ref="M32:S32" si="263">IFERROR(1/E32,".")</f>
        <v>48.233323949999999</v>
      </c>
      <c r="N32" s="111">
        <f t="shared" si="263"/>
        <v>26.650918700000002</v>
      </c>
      <c r="O32" s="111">
        <f t="shared" si="263"/>
        <v>73.746947750000004</v>
      </c>
      <c r="P32" s="111">
        <f t="shared" si="263"/>
        <v>428.33792959999994</v>
      </c>
      <c r="Q32" s="111">
        <f t="shared" si="263"/>
        <v>41.073605650000005</v>
      </c>
      <c r="R32" s="111">
        <f t="shared" si="263"/>
        <v>42.5114053</v>
      </c>
      <c r="S32" s="111">
        <f t="shared" si="263"/>
        <v>55.712039600000011</v>
      </c>
      <c r="T32" s="60">
        <f>IFERROR(T3/$B32,".")</f>
        <v>8.6772967926022871E-4</v>
      </c>
      <c r="U32" s="247">
        <f>IFERROR(U3/$B32,0)</f>
        <v>2.5307211142550762E-10</v>
      </c>
      <c r="V32" s="60">
        <f t="shared" si="262"/>
        <v>28.213400518844434</v>
      </c>
      <c r="W32" s="60">
        <f t="shared" si="262"/>
        <v>578.38766409699713</v>
      </c>
      <c r="X32" s="60">
        <f t="shared" si="262"/>
        <v>41.635507736340699</v>
      </c>
      <c r="Y32" s="60">
        <f t="shared" si="262"/>
        <v>2.1534894749091564</v>
      </c>
      <c r="Z32" s="60">
        <f t="shared" si="262"/>
        <v>47.988652614798667</v>
      </c>
      <c r="AA32" s="60">
        <f t="shared" si="262"/>
        <v>173.70149626351142</v>
      </c>
      <c r="AB32" s="60">
        <f t="shared" si="262"/>
        <v>7.8772467498181582</v>
      </c>
      <c r="AC32" s="60">
        <f t="shared" si="262"/>
        <v>1045.6264494064408</v>
      </c>
      <c r="AD32" s="60">
        <f t="shared" si="262"/>
        <v>92.688607694426778</v>
      </c>
      <c r="AE32" s="60">
        <f t="shared" si="262"/>
        <v>3.9205165176383071E-4</v>
      </c>
      <c r="AF32" s="60">
        <f t="shared" si="262"/>
        <v>2.991573596358993E-5</v>
      </c>
      <c r="AG32" s="111">
        <f t="shared" ref="AG32:AG44" si="264">IFERROR(1/V32,".")</f>
        <v>3.5444150000000001E-2</v>
      </c>
      <c r="AH32" s="111">
        <f t="shared" ref="AH32:AH44" si="265">IFERROR(1/W32,".")</f>
        <v>1.7289442048547864E-3</v>
      </c>
      <c r="AI32" s="111">
        <f t="shared" ref="AI32:AI44" si="266">IFERROR(1/X32,".")</f>
        <v>2.4017960975342461E-2</v>
      </c>
      <c r="AJ32" s="111">
        <f t="shared" ref="AJ32:AJ44" si="267">IFERROR(1/Y32,".")</f>
        <v>0.46436261316865007</v>
      </c>
      <c r="AK32" s="111">
        <f t="shared" ref="AK32:AK44" si="268">IFERROR(1/Z32,".")</f>
        <v>2.0838259578299174E-2</v>
      </c>
      <c r="AL32" s="111">
        <f t="shared" ref="AL32:AL44" si="269">IFERROR(1/AA32,".")</f>
        <v>5.7570027979664843E-3</v>
      </c>
      <c r="AM32" s="111">
        <f t="shared" ref="AM32:AM44" si="270">IFERROR(1/AB32,".")</f>
        <v>0.12694790854724519</v>
      </c>
      <c r="AN32" s="111">
        <f t="shared" ref="AN32:AN44" si="271">IFERROR(1/AC32,".")</f>
        <v>9.5636448424545777E-4</v>
      </c>
      <c r="AO32" s="111">
        <f t="shared" ref="AO32:AO44" si="272">IFERROR(1/AD32,".")</f>
        <v>1.0788812399650799E-2</v>
      </c>
      <c r="AP32" s="111">
        <f t="shared" ref="AP32:AP44" si="273">IFERROR(1/AE32,".")</f>
        <v>2550.6843180000001</v>
      </c>
      <c r="AQ32" s="111">
        <f t="shared" ref="AQ32:AQ71" si="274">IFERROR(1/AF32,".")</f>
        <v>33427.223760000008</v>
      </c>
      <c r="AR32" s="60">
        <f>IFERROR(AR3/$B32,".")</f>
        <v>2.7794300779279784E-5</v>
      </c>
      <c r="AS32" s="247">
        <f>IFERROR(AS3/$B32,0)</f>
        <v>8.1061677984838259E-12</v>
      </c>
      <c r="AT32" s="60">
        <f>IFERROR(AT3/$B32,".")</f>
        <v>1.4471637197444738</v>
      </c>
      <c r="AU32" s="60" t="str">
        <f>IFERROR(AU3,".")</f>
        <v>.</v>
      </c>
      <c r="AV32" s="60">
        <f t="shared" ref="AV32:BD32" si="275">IFERROR(AV3/$B32,".")</f>
        <v>203346.26384310963</v>
      </c>
      <c r="AW32" s="60">
        <f t="shared" si="275"/>
        <v>0.62293617860354933</v>
      </c>
      <c r="AX32" s="60">
        <f t="shared" si="275"/>
        <v>8638.5642237427983</v>
      </c>
      <c r="AY32" s="60">
        <f t="shared" si="275"/>
        <v>31268.465553246882</v>
      </c>
      <c r="AZ32" s="60">
        <f t="shared" si="275"/>
        <v>511.6937067623083</v>
      </c>
      <c r="BA32" s="60">
        <f t="shared" si="275"/>
        <v>62231.973537075632</v>
      </c>
      <c r="BB32" s="60">
        <f t="shared" si="275"/>
        <v>12562.711840542384</v>
      </c>
      <c r="BC32" s="60">
        <f t="shared" si="275"/>
        <v>9.801291294095768E-2</v>
      </c>
      <c r="BD32" s="60">
        <f t="shared" si="275"/>
        <v>7.4789339908974831E-3</v>
      </c>
      <c r="BE32" s="111">
        <f t="shared" ref="BE32:BE44" si="276">IFERROR(1/AT32,".")</f>
        <v>0.69100682000000002</v>
      </c>
      <c r="BF32" s="111" t="str">
        <f t="shared" ref="BF32:BF44" si="277">IFERROR(1/AU32,".")</f>
        <v>.</v>
      </c>
      <c r="BG32" s="111">
        <f t="shared" ref="BG32:BG44" si="278">IFERROR(1/AV32,".")</f>
        <v>4.9177200559315066E-6</v>
      </c>
      <c r="BH32" s="111">
        <f t="shared" ref="BH32:BH44" si="279">IFERROR(1/AW32,".")</f>
        <v>1.6053008869090306</v>
      </c>
      <c r="BI32" s="111">
        <f t="shared" ref="BI32:BI44" si="280">IFERROR(1/AX32,".")</f>
        <v>1.1575997748000001E-4</v>
      </c>
      <c r="BJ32" s="111">
        <f t="shared" ref="BJ32:BJ44" si="281">IFERROR(1/AY32,".")</f>
        <v>3.1981102440000009E-5</v>
      </c>
      <c r="BK32" s="111">
        <f t="shared" ref="BK32:BK44" si="282">IFERROR(1/AZ32,".")</f>
        <v>1.954294115375E-3</v>
      </c>
      <c r="BL32" s="111">
        <f t="shared" ref="BL32:BL44" si="283">IFERROR(1/BA32,".")</f>
        <v>1.606891029101359E-5</v>
      </c>
      <c r="BM32" s="111">
        <f t="shared" ref="BM32:BM44" si="284">IFERROR(1/BB32,".")</f>
        <v>7.9600647749700025E-5</v>
      </c>
      <c r="BN32" s="111">
        <f t="shared" ref="BN32:BN44" si="285">IFERROR(1/BC32,".")</f>
        <v>10.202737272</v>
      </c>
      <c r="BO32" s="111">
        <f t="shared" ref="BO32:BO76" si="286">IFERROR(1/BD32,".")</f>
        <v>133.70889504000002</v>
      </c>
      <c r="BP32" s="60">
        <f>IFERROR(BP3/$B32,".")</f>
        <v>6.8394707913852068E-3</v>
      </c>
      <c r="BQ32" s="247">
        <f>IFERROR(BQ3/$B32,0)</f>
        <v>1.9947218074695557E-12</v>
      </c>
      <c r="BR32" s="60">
        <f>IFERROR(BR3/$B32,".")</f>
        <v>4.2549013538351499E-4</v>
      </c>
      <c r="BS32" s="60">
        <f>IFERROR(BS3/$B32,".")</f>
        <v>13290.761229224776</v>
      </c>
      <c r="BT32" s="60">
        <f>IFERROR(BT3/$B32,".")</f>
        <v>4.2549012176188361E-4</v>
      </c>
      <c r="BU32" s="247">
        <f>IFERROR(BU3/$B32,0)</f>
        <v>1.2409358130607802E-13</v>
      </c>
    </row>
    <row r="33" spans="1:73" x14ac:dyDescent="0.25">
      <c r="A33" s="169" t="s">
        <v>1061</v>
      </c>
      <c r="B33" s="170">
        <v>1</v>
      </c>
      <c r="C33" s="42"/>
      <c r="D33" s="60">
        <f t="shared" ref="D33:AF34" si="287">IFERROR(D13/$B33,".")</f>
        <v>4.3653058153185357E-3</v>
      </c>
      <c r="E33" s="60">
        <f t="shared" si="287"/>
        <v>3.9474783076815088E-2</v>
      </c>
      <c r="F33" s="60">
        <f t="shared" si="287"/>
        <v>7.1442190096058483E-2</v>
      </c>
      <c r="G33" s="60">
        <f t="shared" si="287"/>
        <v>2.5818017668399026E-2</v>
      </c>
      <c r="H33" s="60">
        <f t="shared" si="287"/>
        <v>4.4450884883765378E-3</v>
      </c>
      <c r="I33" s="60">
        <f t="shared" si="287"/>
        <v>4.6355803681433064E-2</v>
      </c>
      <c r="J33" s="60">
        <f t="shared" si="287"/>
        <v>4.4787980697500021E-2</v>
      </c>
      <c r="K33" s="60">
        <f t="shared" si="287"/>
        <v>3.4175736764805141E-2</v>
      </c>
      <c r="L33" s="111">
        <f t="shared" ref="L33:L44" si="288">IFERROR(1/D33,".")</f>
        <v>229.07902499999994</v>
      </c>
      <c r="M33" s="111">
        <f t="shared" ref="M33:M44" si="289">IFERROR(1/E33,".")</f>
        <v>25.332628125000003</v>
      </c>
      <c r="N33" s="111">
        <f t="shared" ref="N33:N44" si="290">IFERROR(1/F33,".")</f>
        <v>13.997331250000002</v>
      </c>
      <c r="O33" s="111">
        <f t="shared" ref="O33:O44" si="291">IFERROR(1/G33,".")</f>
        <v>38.732640625000002</v>
      </c>
      <c r="P33" s="111">
        <f t="shared" ref="P33:P44" si="292">IFERROR(1/H33,".")</f>
        <v>224.96740000000003</v>
      </c>
      <c r="Q33" s="111">
        <f t="shared" ref="Q33:Q44" si="293">IFERROR(1/I33,".")</f>
        <v>21.572271875000002</v>
      </c>
      <c r="R33" s="111">
        <f t="shared" ref="R33:R44" si="294">IFERROR(1/J33,".")</f>
        <v>22.32741875</v>
      </c>
      <c r="S33" s="111">
        <f t="shared" ref="S33:S44" si="295">IFERROR(1/K33,".")</f>
        <v>29.260525000000001</v>
      </c>
      <c r="T33" s="60">
        <f t="shared" ref="T33" si="296">IFERROR(T13/$B33,".")</f>
        <v>1.6521573093114755E-3</v>
      </c>
      <c r="U33" s="247">
        <f>IFERROR(U13/$B33,0)</f>
        <v>2.3506206899443003E-6</v>
      </c>
      <c r="V33" s="60">
        <f t="shared" si="287"/>
        <v>53.718314587879803</v>
      </c>
      <c r="W33" s="60">
        <f t="shared" si="287"/>
        <v>4503.1610990409063</v>
      </c>
      <c r="X33" s="60">
        <f t="shared" si="287"/>
        <v>23.079292589225062</v>
      </c>
      <c r="Y33" s="60">
        <f t="shared" si="287"/>
        <v>0.4207720211563013</v>
      </c>
      <c r="Z33" s="60" t="str">
        <f t="shared" si="287"/>
        <v>.</v>
      </c>
      <c r="AA33" s="60" t="str">
        <f t="shared" si="287"/>
        <v>.</v>
      </c>
      <c r="AB33" s="60">
        <f t="shared" si="287"/>
        <v>74.152771612986911</v>
      </c>
      <c r="AC33" s="60">
        <f t="shared" si="287"/>
        <v>826.03580882147605</v>
      </c>
      <c r="AD33" s="60" t="str">
        <f t="shared" si="287"/>
        <v>.</v>
      </c>
      <c r="AE33" s="60">
        <f t="shared" si="287"/>
        <v>2.9858653798333349E-4</v>
      </c>
      <c r="AF33" s="60">
        <f t="shared" si="287"/>
        <v>7.1948919504852931E-7</v>
      </c>
      <c r="AG33" s="111">
        <f t="shared" si="264"/>
        <v>1.8615625E-2</v>
      </c>
      <c r="AH33" s="111">
        <f t="shared" si="265"/>
        <v>2.2206622814648633E-4</v>
      </c>
      <c r="AI33" s="111">
        <f t="shared" si="266"/>
        <v>4.3328884372602738E-2</v>
      </c>
      <c r="AJ33" s="111">
        <f t="shared" si="267"/>
        <v>2.3765838737375002</v>
      </c>
      <c r="AK33" s="111" t="str">
        <f t="shared" si="268"/>
        <v>.</v>
      </c>
      <c r="AL33" s="111" t="str">
        <f t="shared" si="269"/>
        <v>.</v>
      </c>
      <c r="AM33" s="111">
        <f t="shared" si="270"/>
        <v>1.3485672595208333E-2</v>
      </c>
      <c r="AN33" s="111">
        <f t="shared" si="271"/>
        <v>1.2106012709385112E-3</v>
      </c>
      <c r="AO33" s="111" t="str">
        <f t="shared" si="272"/>
        <v>.</v>
      </c>
      <c r="AP33" s="111">
        <f t="shared" si="273"/>
        <v>3349.1128124999996</v>
      </c>
      <c r="AQ33" s="111">
        <f t="shared" si="274"/>
        <v>1389874.9375</v>
      </c>
      <c r="AR33" s="60">
        <f t="shared" ref="AR33:AT34" si="297">IFERROR(AR13/$B33,".")</f>
        <v>7.1775838121209011E-7</v>
      </c>
      <c r="AS33" s="247">
        <f>IFERROR(AS13/$B33,0)</f>
        <v>1.0211967660399035E-9</v>
      </c>
      <c r="AT33" s="60">
        <f t="shared" si="297"/>
        <v>2.7553997223934776</v>
      </c>
      <c r="AU33" s="60" t="str">
        <f>IFERROR(AU13,".")</f>
        <v>.</v>
      </c>
      <c r="AV33" s="60">
        <f t="shared" ref="AV33:BD34" si="298">IFERROR(AV13/$B33,".")</f>
        <v>162255.56804061597</v>
      </c>
      <c r="AW33" s="60">
        <f t="shared" si="298"/>
        <v>1.0877174048294909</v>
      </c>
      <c r="AX33" s="60" t="str">
        <f t="shared" si="298"/>
        <v>.</v>
      </c>
      <c r="AY33" s="60" t="str">
        <f t="shared" si="298"/>
        <v>.</v>
      </c>
      <c r="AZ33" s="60">
        <f t="shared" si="298"/>
        <v>4871.324088377175</v>
      </c>
      <c r="BA33" s="60">
        <f t="shared" si="298"/>
        <v>49765.664598128635</v>
      </c>
      <c r="BB33" s="60" t="str">
        <f t="shared" si="298"/>
        <v>.</v>
      </c>
      <c r="BC33" s="60">
        <f t="shared" si="298"/>
        <v>1.4929326899166675</v>
      </c>
      <c r="BD33" s="60">
        <f t="shared" si="298"/>
        <v>3.5974459752426465E-3</v>
      </c>
      <c r="BE33" s="111">
        <f t="shared" si="276"/>
        <v>0.36292375000000004</v>
      </c>
      <c r="BF33" s="111" t="str">
        <f t="shared" si="277"/>
        <v>.</v>
      </c>
      <c r="BG33" s="111">
        <f t="shared" si="278"/>
        <v>6.1631166934726027E-6</v>
      </c>
      <c r="BH33" s="111">
        <f t="shared" si="279"/>
        <v>0.9193564390529898</v>
      </c>
      <c r="BI33" s="111" t="str">
        <f t="shared" si="280"/>
        <v>.</v>
      </c>
      <c r="BJ33" s="111" t="str">
        <f t="shared" si="281"/>
        <v>.</v>
      </c>
      <c r="BK33" s="111">
        <f t="shared" si="282"/>
        <v>2.052829953125E-4</v>
      </c>
      <c r="BL33" s="111">
        <f t="shared" si="283"/>
        <v>2.0094175533980581E-5</v>
      </c>
      <c r="BM33" s="111" t="str">
        <f t="shared" si="284"/>
        <v>.</v>
      </c>
      <c r="BN33" s="111">
        <f t="shared" si="285"/>
        <v>0.66982256249999994</v>
      </c>
      <c r="BO33" s="111">
        <f t="shared" si="286"/>
        <v>277.9749875</v>
      </c>
      <c r="BP33" s="60">
        <f t="shared" ref="BP33:BT34" si="299">IFERROR(BP13/$B33,".")</f>
        <v>3.5723558300737061E-3</v>
      </c>
      <c r="BQ33" s="247">
        <f>IFERROR(BQ13/$B33,0)</f>
        <v>5.0825992650263384E-9</v>
      </c>
      <c r="BR33" s="60">
        <f t="shared" si="299"/>
        <v>3.3127446254859381E-3</v>
      </c>
      <c r="BS33" s="60">
        <f t="shared" si="299"/>
        <v>10385.33900702215</v>
      </c>
      <c r="BT33" s="60">
        <f t="shared" si="299"/>
        <v>3.3127435687776837E-3</v>
      </c>
      <c r="BU33" s="247">
        <f>IFERROR(BU13/$B33,0)</f>
        <v>4.7132337395244274E-9</v>
      </c>
    </row>
    <row r="34" spans="1:73" x14ac:dyDescent="0.25">
      <c r="A34" s="169" t="s">
        <v>1062</v>
      </c>
      <c r="B34" s="170">
        <v>1</v>
      </c>
      <c r="C34" s="42"/>
      <c r="D34" s="60">
        <f t="shared" si="287"/>
        <v>0.41338123251122477</v>
      </c>
      <c r="E34" s="60">
        <f t="shared" si="287"/>
        <v>3.7381423368196112</v>
      </c>
      <c r="F34" s="60">
        <f t="shared" si="287"/>
        <v>6.7653589106115986</v>
      </c>
      <c r="G34" s="60">
        <f t="shared" si="287"/>
        <v>2.444888036780211</v>
      </c>
      <c r="H34" s="60">
        <f t="shared" si="287"/>
        <v>0.42093640988414188</v>
      </c>
      <c r="I34" s="60">
        <f t="shared" si="287"/>
        <v>4.3897541364993433</v>
      </c>
      <c r="J34" s="60">
        <f t="shared" si="287"/>
        <v>4.2412860508996229</v>
      </c>
      <c r="K34" s="60">
        <f t="shared" si="287"/>
        <v>3.2363387087883657</v>
      </c>
      <c r="L34" s="111">
        <f t="shared" si="288"/>
        <v>2.4190745040000006</v>
      </c>
      <c r="M34" s="111">
        <f t="shared" si="289"/>
        <v>0.26751255299999999</v>
      </c>
      <c r="N34" s="111">
        <f t="shared" si="290"/>
        <v>0.14781181800000001</v>
      </c>
      <c r="O34" s="111">
        <f t="shared" si="291"/>
        <v>0.40901668499999999</v>
      </c>
      <c r="P34" s="111">
        <f t="shared" si="292"/>
        <v>2.3756557439999999</v>
      </c>
      <c r="Q34" s="111">
        <f t="shared" si="293"/>
        <v>0.22780319100000002</v>
      </c>
      <c r="R34" s="111">
        <f t="shared" si="294"/>
        <v>0.23577754200000001</v>
      </c>
      <c r="S34" s="111">
        <f t="shared" si="295"/>
        <v>0.308991144</v>
      </c>
      <c r="T34" s="60">
        <f t="shared" ref="T34" si="300">IFERROR(T14/$B34,".")</f>
        <v>0.15645429065449579</v>
      </c>
      <c r="U34" s="247">
        <f>IFERROR(U14/$B34,0)</f>
        <v>7.5412128857711036E-12</v>
      </c>
      <c r="V34" s="60">
        <f t="shared" si="287"/>
        <v>5086.9616087007389</v>
      </c>
      <c r="W34" s="60">
        <f t="shared" si="287"/>
        <v>12442945.142086715</v>
      </c>
      <c r="X34" s="60">
        <f t="shared" si="287"/>
        <v>1.5202689980792292</v>
      </c>
      <c r="Y34" s="60">
        <f t="shared" si="287"/>
        <v>38.110334888297167</v>
      </c>
      <c r="Z34" s="60" t="str">
        <f t="shared" si="287"/>
        <v>.</v>
      </c>
      <c r="AA34" s="60" t="str">
        <f t="shared" si="287"/>
        <v>.</v>
      </c>
      <c r="AB34" s="60">
        <f t="shared" si="287"/>
        <v>105850.76466198554</v>
      </c>
      <c r="AC34" s="60">
        <f t="shared" si="287"/>
        <v>11554.017379897832</v>
      </c>
      <c r="AD34" s="60" t="str">
        <f t="shared" si="287"/>
        <v>.</v>
      </c>
      <c r="AE34" s="60">
        <f t="shared" si="287"/>
        <v>848.25721017992453</v>
      </c>
      <c r="AF34" s="60" t="str">
        <f t="shared" si="287"/>
        <v>.</v>
      </c>
      <c r="AG34" s="111">
        <f t="shared" si="264"/>
        <v>1.9658100000000001E-4</v>
      </c>
      <c r="AH34" s="111">
        <f t="shared" si="265"/>
        <v>8.0366825424442672E-8</v>
      </c>
      <c r="AI34" s="111">
        <f t="shared" si="266"/>
        <v>0.65777832821917792</v>
      </c>
      <c r="AJ34" s="111">
        <f t="shared" si="267"/>
        <v>2.6239601486868006E-2</v>
      </c>
      <c r="AK34" s="111" t="str">
        <f t="shared" si="268"/>
        <v>.</v>
      </c>
      <c r="AL34" s="111" t="str">
        <f t="shared" si="269"/>
        <v>.</v>
      </c>
      <c r="AM34" s="111">
        <f t="shared" si="270"/>
        <v>9.4472628817874997E-6</v>
      </c>
      <c r="AN34" s="111">
        <f t="shared" si="271"/>
        <v>8.6549982323883492E-5</v>
      </c>
      <c r="AO34" s="111" t="str">
        <f t="shared" si="272"/>
        <v>.</v>
      </c>
      <c r="AP34" s="111">
        <f t="shared" si="273"/>
        <v>1.1788877100000002E-3</v>
      </c>
      <c r="AQ34" s="111" t="str">
        <f t="shared" si="274"/>
        <v>.</v>
      </c>
      <c r="AR34" s="60">
        <f t="shared" si="297"/>
        <v>1.4588116010099637</v>
      </c>
      <c r="AS34" s="247">
        <f>IFERROR(AS14/$B34,0)</f>
        <v>7.0315801486985844E-11</v>
      </c>
      <c r="AT34" s="60">
        <f t="shared" si="297"/>
        <v>260.92800401453388</v>
      </c>
      <c r="AU34" s="60" t="str">
        <f>IFERROR(AU14,".")</f>
        <v>.</v>
      </c>
      <c r="AV34" s="60">
        <f t="shared" si="298"/>
        <v>15426.268291546245</v>
      </c>
      <c r="AW34" s="60">
        <f t="shared" si="298"/>
        <v>102.57191166893995</v>
      </c>
      <c r="AX34" s="60" t="str">
        <f t="shared" si="298"/>
        <v>.</v>
      </c>
      <c r="AY34" s="60" t="str">
        <f t="shared" si="298"/>
        <v>.</v>
      </c>
      <c r="AZ34" s="60">
        <f t="shared" si="298"/>
        <v>9225992.5916234367</v>
      </c>
      <c r="BA34" s="60">
        <f t="shared" si="298"/>
        <v>942531.52647970896</v>
      </c>
      <c r="BB34" s="60" t="str">
        <f t="shared" si="298"/>
        <v>.</v>
      </c>
      <c r="BC34" s="60">
        <f t="shared" si="298"/>
        <v>424.12860508996226</v>
      </c>
      <c r="BD34" s="60" t="str">
        <f t="shared" si="298"/>
        <v>.</v>
      </c>
      <c r="BE34" s="111">
        <f t="shared" si="276"/>
        <v>3.8324748E-3</v>
      </c>
      <c r="BF34" s="111" t="str">
        <f t="shared" si="277"/>
        <v>.</v>
      </c>
      <c r="BG34" s="111">
        <f t="shared" si="278"/>
        <v>6.4824491646369871E-5</v>
      </c>
      <c r="BH34" s="111">
        <f t="shared" si="279"/>
        <v>9.7492577034889415E-3</v>
      </c>
      <c r="BI34" s="111" t="str">
        <f t="shared" si="280"/>
        <v>.</v>
      </c>
      <c r="BJ34" s="111" t="str">
        <f t="shared" si="281"/>
        <v>.</v>
      </c>
      <c r="BK34" s="111">
        <f t="shared" si="282"/>
        <v>1.0838942152500002E-7</v>
      </c>
      <c r="BL34" s="111">
        <f t="shared" si="283"/>
        <v>1.0609724681941748E-6</v>
      </c>
      <c r="BM34" s="111" t="str">
        <f t="shared" si="284"/>
        <v>.</v>
      </c>
      <c r="BN34" s="111">
        <f t="shared" si="285"/>
        <v>2.3577754200000004E-3</v>
      </c>
      <c r="BO34" s="111" t="str">
        <f t="shared" si="286"/>
        <v>.</v>
      </c>
      <c r="BP34" s="60">
        <f t="shared" si="299"/>
        <v>62.478516070982671</v>
      </c>
      <c r="BQ34" s="247">
        <f>IFERROR(BQ14/$B34,0)</f>
        <v>3.0115108285450679E-12</v>
      </c>
      <c r="BR34" s="60">
        <f t="shared" si="299"/>
        <v>9.1536364651585131</v>
      </c>
      <c r="BS34" s="60">
        <f t="shared" si="299"/>
        <v>963.47265868813884</v>
      </c>
      <c r="BT34" s="60">
        <f t="shared" si="299"/>
        <v>9.0674892357921983</v>
      </c>
      <c r="BU34" s="247">
        <f>IFERROR(BU14/$B34,0)</f>
        <v>4.3705970849692374E-13</v>
      </c>
    </row>
    <row r="35" spans="1:73" x14ac:dyDescent="0.25">
      <c r="A35" s="169" t="s">
        <v>1063</v>
      </c>
      <c r="B35" s="170">
        <v>1</v>
      </c>
      <c r="C35" s="42"/>
      <c r="D35" s="60">
        <f t="shared" ref="D35:AF35" si="301">IFERROR(D30/$B35,".")</f>
        <v>9.0641732045650646E-3</v>
      </c>
      <c r="E35" s="60">
        <f t="shared" si="301"/>
        <v>8.1965911704350275E-2</v>
      </c>
      <c r="F35" s="60">
        <f t="shared" si="301"/>
        <v>0.14834341797354339</v>
      </c>
      <c r="G35" s="60">
        <f t="shared" si="301"/>
        <v>5.3608840673586018E-2</v>
      </c>
      <c r="H35" s="60">
        <f t="shared" si="301"/>
        <v>9.2298349011140732E-3</v>
      </c>
      <c r="I35" s="60">
        <f t="shared" si="301"/>
        <v>9.6253745185699888E-2</v>
      </c>
      <c r="J35" s="60">
        <f t="shared" si="301"/>
        <v>9.2998298790490069E-2</v>
      </c>
      <c r="K35" s="60">
        <f t="shared" si="301"/>
        <v>7.096290856479473E-2</v>
      </c>
      <c r="L35" s="111">
        <f t="shared" si="288"/>
        <v>110.32445843999999</v>
      </c>
      <c r="M35" s="111">
        <f t="shared" si="289"/>
        <v>12.200193705</v>
      </c>
      <c r="N35" s="111">
        <f t="shared" si="290"/>
        <v>6.7411147299999996</v>
      </c>
      <c r="O35" s="111">
        <f t="shared" si="291"/>
        <v>18.653639725000001</v>
      </c>
      <c r="P35" s="111">
        <f t="shared" si="292"/>
        <v>108.34429984000001</v>
      </c>
      <c r="Q35" s="111">
        <f t="shared" si="293"/>
        <v>10.389206135</v>
      </c>
      <c r="R35" s="111">
        <f t="shared" si="294"/>
        <v>10.752884870000001</v>
      </c>
      <c r="S35" s="111">
        <f t="shared" si="295"/>
        <v>14.09186884</v>
      </c>
      <c r="T35" s="60">
        <f>IFERROR(T30/$B35,".")</f>
        <v>3.4305591970753223E-3</v>
      </c>
      <c r="U35" s="247">
        <f>IFERROR(U30/$B35,0)</f>
        <v>3.5630501377137295E-7</v>
      </c>
      <c r="V35" s="60">
        <f t="shared" si="301"/>
        <v>111.54135088845474</v>
      </c>
      <c r="W35" s="60">
        <f t="shared" si="301"/>
        <v>5508.7213444578083</v>
      </c>
      <c r="X35" s="60">
        <f t="shared" si="301"/>
        <v>1684.0378129129674</v>
      </c>
      <c r="Y35" s="60">
        <f t="shared" si="301"/>
        <v>1.1362216577773681</v>
      </c>
      <c r="Z35" s="60">
        <f t="shared" si="301"/>
        <v>1.488422942658834</v>
      </c>
      <c r="AA35" s="60">
        <f t="shared" si="301"/>
        <v>1.8366649632404897</v>
      </c>
      <c r="AB35" s="60">
        <f t="shared" si="301"/>
        <v>38.980097867287149</v>
      </c>
      <c r="AC35" s="60">
        <f t="shared" si="301"/>
        <v>0.93982738677140765</v>
      </c>
      <c r="AD35" s="60">
        <f t="shared" si="301"/>
        <v>1.3858682816706085</v>
      </c>
      <c r="AE35" s="60">
        <f t="shared" si="301"/>
        <v>3.8749291162704202E-2</v>
      </c>
      <c r="AF35" s="60">
        <f t="shared" si="301"/>
        <v>1.669715495642229E-4</v>
      </c>
      <c r="AG35" s="111">
        <f t="shared" si="264"/>
        <v>8.9652849999999999E-3</v>
      </c>
      <c r="AH35" s="111">
        <f t="shared" si="265"/>
        <v>1.8153032935784198E-4</v>
      </c>
      <c r="AI35" s="111">
        <f t="shared" si="266"/>
        <v>5.9381089446575326E-4</v>
      </c>
      <c r="AJ35" s="111">
        <f t="shared" si="267"/>
        <v>0.88010996195598001</v>
      </c>
      <c r="AK35" s="111">
        <f t="shared" si="268"/>
        <v>0.67185204644431029</v>
      </c>
      <c r="AL35" s="111">
        <f t="shared" si="269"/>
        <v>0.54446511476740234</v>
      </c>
      <c r="AM35" s="111">
        <f t="shared" si="270"/>
        <v>2.5654117221681458E-2</v>
      </c>
      <c r="AN35" s="111">
        <f t="shared" si="271"/>
        <v>1.064025175341297</v>
      </c>
      <c r="AO35" s="111">
        <f t="shared" si="272"/>
        <v>0.72156929574471551</v>
      </c>
      <c r="AP35" s="111">
        <f t="shared" si="273"/>
        <v>25.806923687999998</v>
      </c>
      <c r="AQ35" s="111">
        <f t="shared" si="274"/>
        <v>5989.0442569999996</v>
      </c>
      <c r="AR35" s="60">
        <f>IFERROR(AR30/$B35,".")</f>
        <v>1.6614694249819989E-4</v>
      </c>
      <c r="AS35" s="247">
        <f>IFERROR(AS30/$B35,0)</f>
        <v>1.7256367033503439E-8</v>
      </c>
      <c r="AT35" s="60">
        <f>IFERROR(AT30/$B35,".")</f>
        <v>5.7213449385246635</v>
      </c>
      <c r="AU35" s="60" t="str">
        <f>IFERROR(AU30,".")</f>
        <v>.</v>
      </c>
      <c r="AV35" s="60">
        <f t="shared" ref="AV35:BD35" si="302">IFERROR(AV30/$B35,".")</f>
        <v>13325670.056101652</v>
      </c>
      <c r="AW35" s="60">
        <f t="shared" si="302"/>
        <v>2.3078228514618631</v>
      </c>
      <c r="AX35" s="60">
        <f t="shared" si="302"/>
        <v>273.21970568116757</v>
      </c>
      <c r="AY35" s="60">
        <f t="shared" si="302"/>
        <v>337.14413175805311</v>
      </c>
      <c r="AZ35" s="60">
        <f t="shared" si="302"/>
        <v>2593.5578458435421</v>
      </c>
      <c r="BA35" s="60">
        <f t="shared" si="302"/>
        <v>57.407789541953477</v>
      </c>
      <c r="BB35" s="60">
        <f t="shared" si="302"/>
        <v>191.89343139094876</v>
      </c>
      <c r="BC35" s="60">
        <f t="shared" si="302"/>
        <v>96.873227906760491</v>
      </c>
      <c r="BD35" s="60">
        <f t="shared" si="302"/>
        <v>0.41742887391055722</v>
      </c>
      <c r="BE35" s="111">
        <f t="shared" si="276"/>
        <v>0.17478407800000001</v>
      </c>
      <c r="BF35" s="111" t="str">
        <f t="shared" si="277"/>
        <v>.</v>
      </c>
      <c r="BG35" s="111">
        <f t="shared" si="278"/>
        <v>7.5043130723630134E-8</v>
      </c>
      <c r="BH35" s="111">
        <f t="shared" si="279"/>
        <v>0.43330882150099254</v>
      </c>
      <c r="BI35" s="111">
        <f t="shared" si="280"/>
        <v>3.6600581115000001E-3</v>
      </c>
      <c r="BJ35" s="111">
        <f t="shared" si="281"/>
        <v>2.9660904812000002E-3</v>
      </c>
      <c r="BK35" s="111">
        <f t="shared" si="282"/>
        <v>3.8557073311575008E-4</v>
      </c>
      <c r="BL35" s="111">
        <f t="shared" si="283"/>
        <v>1.7419238886897087E-2</v>
      </c>
      <c r="BM35" s="111">
        <f t="shared" si="284"/>
        <v>5.2112257973159996E-3</v>
      </c>
      <c r="BN35" s="111">
        <f t="shared" si="285"/>
        <v>1.03227694752E-2</v>
      </c>
      <c r="BO35" s="111">
        <f t="shared" si="286"/>
        <v>2.3956177028000001</v>
      </c>
      <c r="BP35" s="60">
        <f>IFERROR(BP30/$B35,".")</f>
        <v>0.32855012205341877</v>
      </c>
      <c r="BQ35" s="247">
        <f>IFERROR(BQ30/$B35,0)</f>
        <v>3.4123899060721945E-8</v>
      </c>
      <c r="BR35" s="60">
        <f>IFERROR(BR30/$B35,".")</f>
        <v>4.0524837166138663E-3</v>
      </c>
      <c r="BS35" s="60">
        <f>IFERROR(BS30/$B35,".")</f>
        <v>842584.10811689147</v>
      </c>
      <c r="BT35" s="60">
        <f>IFERROR(BT30/$B35,".")</f>
        <v>4.0524836971230832E-3</v>
      </c>
      <c r="BU35" s="247">
        <f>IFERROR(BU30/$B35,0)</f>
        <v>4.2089938594929342E-10</v>
      </c>
    </row>
    <row r="36" spans="1:73" x14ac:dyDescent="0.25">
      <c r="A36" s="169" t="s">
        <v>1064</v>
      </c>
      <c r="B36" s="170">
        <v>1</v>
      </c>
      <c r="C36" s="42"/>
      <c r="D36" s="60">
        <f t="shared" ref="D36:AF36" si="303">IFERROR(D26/$B36,".")</f>
        <v>8.9599873056620146E-4</v>
      </c>
      <c r="E36" s="60">
        <f t="shared" si="303"/>
        <v>8.1023774788208311E-3</v>
      </c>
      <c r="F36" s="60">
        <f t="shared" si="303"/>
        <v>1.4663832121522677E-2</v>
      </c>
      <c r="G36" s="60">
        <f t="shared" si="303"/>
        <v>5.2992647102625265E-3</v>
      </c>
      <c r="H36" s="60">
        <f t="shared" si="303"/>
        <v>9.1237448447794287E-4</v>
      </c>
      <c r="I36" s="60">
        <f t="shared" si="303"/>
        <v>9.5147380298507937E-3</v>
      </c>
      <c r="J36" s="60">
        <f t="shared" si="303"/>
        <v>9.1929352827380979E-3</v>
      </c>
      <c r="K36" s="60">
        <f t="shared" si="303"/>
        <v>7.0147242949107434E-3</v>
      </c>
      <c r="L36" s="111">
        <f t="shared" si="288"/>
        <v>1116.0730098000004</v>
      </c>
      <c r="M36" s="111">
        <f t="shared" si="289"/>
        <v>123.42056422500001</v>
      </c>
      <c r="N36" s="111">
        <f t="shared" si="290"/>
        <v>68.194997850000007</v>
      </c>
      <c r="O36" s="111">
        <f t="shared" si="291"/>
        <v>188.705425125</v>
      </c>
      <c r="P36" s="111">
        <f t="shared" si="292"/>
        <v>1096.0411728000001</v>
      </c>
      <c r="Q36" s="111">
        <f t="shared" si="293"/>
        <v>105.10010857499999</v>
      </c>
      <c r="R36" s="111">
        <f t="shared" si="294"/>
        <v>108.77918415000002</v>
      </c>
      <c r="S36" s="111">
        <f t="shared" si="295"/>
        <v>142.55727780000001</v>
      </c>
      <c r="T36" s="60">
        <f>IFERROR(T26/$B36,".")</f>
        <v>3.3911274821664107E-4</v>
      </c>
      <c r="U36" s="247">
        <f>IFERROR(U26/$B36,0)</f>
        <v>1.5960029511087855E-9</v>
      </c>
      <c r="V36" s="60">
        <f t="shared" si="303"/>
        <v>11.025926639548398</v>
      </c>
      <c r="W36" s="60">
        <f t="shared" si="303"/>
        <v>751.52092513795276</v>
      </c>
      <c r="X36" s="60">
        <f t="shared" si="303"/>
        <v>5.3801727529427268</v>
      </c>
      <c r="Y36" s="60">
        <f t="shared" si="303"/>
        <v>0.610593989388168</v>
      </c>
      <c r="Z36" s="60" t="str">
        <f t="shared" si="303"/>
        <v>.</v>
      </c>
      <c r="AA36" s="60" t="str">
        <f t="shared" si="303"/>
        <v>.</v>
      </c>
      <c r="AB36" s="60">
        <f t="shared" si="303"/>
        <v>6.6381090434394396</v>
      </c>
      <c r="AC36" s="60">
        <f t="shared" si="303"/>
        <v>34.024102788279542</v>
      </c>
      <c r="AD36" s="60" t="str">
        <f t="shared" si="303"/>
        <v>.</v>
      </c>
      <c r="AE36" s="60">
        <f t="shared" si="303"/>
        <v>3.0643117609126993E-2</v>
      </c>
      <c r="AF36" s="60">
        <f t="shared" si="303"/>
        <v>4.837740893041892E-5</v>
      </c>
      <c r="AG36" s="111">
        <f t="shared" si="264"/>
        <v>9.0695325000000021E-2</v>
      </c>
      <c r="AH36" s="111">
        <f t="shared" si="265"/>
        <v>1.3306349384968027E-3</v>
      </c>
      <c r="AI36" s="111">
        <f t="shared" si="266"/>
        <v>0.1858676376986301</v>
      </c>
      <c r="AJ36" s="111">
        <f t="shared" si="267"/>
        <v>1.6377494986513501</v>
      </c>
      <c r="AK36" s="111" t="str">
        <f t="shared" si="268"/>
        <v>.</v>
      </c>
      <c r="AL36" s="111" t="str">
        <f t="shared" si="269"/>
        <v>.</v>
      </c>
      <c r="AM36" s="111">
        <f t="shared" si="270"/>
        <v>0.15064531080403351</v>
      </c>
      <c r="AN36" s="111">
        <f t="shared" si="271"/>
        <v>2.9390929313335933E-2</v>
      </c>
      <c r="AO36" s="111" t="str">
        <f t="shared" si="272"/>
        <v>.</v>
      </c>
      <c r="AP36" s="111">
        <f t="shared" si="273"/>
        <v>32.633755245000003</v>
      </c>
      <c r="AQ36" s="111">
        <f t="shared" si="274"/>
        <v>20670.805281000001</v>
      </c>
      <c r="AR36" s="60">
        <f>IFERROR(AR26/$B36,".")</f>
        <v>4.8296265406151347E-5</v>
      </c>
      <c r="AS36" s="247">
        <f>IFERROR(AS26/$B36,0)</f>
        <v>2.2730192987763398E-10</v>
      </c>
      <c r="AT36" s="60">
        <f>IFERROR(AT26/$B36,".")</f>
        <v>0.56555823530243787</v>
      </c>
      <c r="AU36" s="60" t="str">
        <f>IFERROR(AU26,".")</f>
        <v>.</v>
      </c>
      <c r="AV36" s="60">
        <f t="shared" ref="AV36:BD36" si="304">IFERROR(AV26/$B36,".")</f>
        <v>42318.006259241738</v>
      </c>
      <c r="AW36" s="60">
        <f t="shared" si="304"/>
        <v>0.24249768680142589</v>
      </c>
      <c r="AX36" s="60" t="str">
        <f t="shared" si="304"/>
        <v>.</v>
      </c>
      <c r="AY36" s="60" t="str">
        <f t="shared" si="304"/>
        <v>.</v>
      </c>
      <c r="AZ36" s="60">
        <f t="shared" si="304"/>
        <v>434.72228960316045</v>
      </c>
      <c r="BA36" s="60">
        <f t="shared" si="304"/>
        <v>2042.9254761136547</v>
      </c>
      <c r="BB36" s="60" t="str">
        <f t="shared" si="304"/>
        <v>.</v>
      </c>
      <c r="BC36" s="60">
        <f t="shared" si="304"/>
        <v>1.5321558804563495</v>
      </c>
      <c r="BD36" s="60">
        <f t="shared" si="304"/>
        <v>2.4188704465209461E-3</v>
      </c>
      <c r="BE36" s="111">
        <f t="shared" si="276"/>
        <v>1.7681645100000005</v>
      </c>
      <c r="BF36" s="111" t="str">
        <f t="shared" si="277"/>
        <v>.</v>
      </c>
      <c r="BG36" s="111">
        <f t="shared" si="278"/>
        <v>2.3630602866164382E-5</v>
      </c>
      <c r="BH36" s="111">
        <f t="shared" si="279"/>
        <v>4.1237506765121026</v>
      </c>
      <c r="BI36" s="111" t="str">
        <f t="shared" si="280"/>
        <v>.</v>
      </c>
      <c r="BJ36" s="111" t="str">
        <f t="shared" si="281"/>
        <v>.</v>
      </c>
      <c r="BK36" s="111">
        <f t="shared" si="282"/>
        <v>2.3003191322737504E-3</v>
      </c>
      <c r="BL36" s="111">
        <f t="shared" si="283"/>
        <v>4.8949411600776702E-4</v>
      </c>
      <c r="BM36" s="111" t="str">
        <f t="shared" si="284"/>
        <v>.</v>
      </c>
      <c r="BN36" s="111">
        <f t="shared" si="285"/>
        <v>0.65267510490000014</v>
      </c>
      <c r="BO36" s="111">
        <f t="shared" si="286"/>
        <v>413.41610562</v>
      </c>
      <c r="BP36" s="60">
        <f>IFERROR(BP26/$B36,".")</f>
        <v>2.3811592619921215E-3</v>
      </c>
      <c r="BQ36" s="247">
        <f>IFERROR(BQ26/$B36,0)</f>
        <v>1.1206706999913816E-11</v>
      </c>
      <c r="BR36" s="60">
        <f>IFERROR(BR26/$B36,".")</f>
        <v>5.5285539445195796E-4</v>
      </c>
      <c r="BS36" s="60">
        <f>IFERROR(BS26/$B36,".")</f>
        <v>2690.1781765177852</v>
      </c>
      <c r="BT36" s="60">
        <f>IFERROR(BT26/$B36,".")</f>
        <v>5.5285528083531094E-4</v>
      </c>
      <c r="BU36" s="247">
        <f>IFERROR(BU26/$B36,0)</f>
        <v>2.6019625165655541E-12</v>
      </c>
    </row>
    <row r="37" spans="1:73" x14ac:dyDescent="0.25">
      <c r="A37" s="169" t="s">
        <v>1065</v>
      </c>
      <c r="B37" s="170">
        <v>1</v>
      </c>
      <c r="C37" s="42"/>
      <c r="D37" s="60">
        <f t="shared" ref="D37:AF37" si="305">IFERROR(D22/$B37,".")</f>
        <v>2.2927026340958689E-3</v>
      </c>
      <c r="E37" s="60">
        <f t="shared" si="305"/>
        <v>2.0732554136982717E-2</v>
      </c>
      <c r="F37" s="60">
        <f t="shared" si="305"/>
        <v>3.7522158663896264E-2</v>
      </c>
      <c r="G37" s="60">
        <f t="shared" si="305"/>
        <v>1.355988322920117E-2</v>
      </c>
      <c r="H37" s="60">
        <f t="shared" si="305"/>
        <v>2.3346052985170895E-3</v>
      </c>
      <c r="I37" s="60">
        <f t="shared" si="305"/>
        <v>2.4346535546971144E-2</v>
      </c>
      <c r="J37" s="60">
        <f t="shared" si="305"/>
        <v>2.3523099105829844E-2</v>
      </c>
      <c r="K37" s="60">
        <f t="shared" si="305"/>
        <v>1.7949441578153959E-2</v>
      </c>
      <c r="L37" s="111">
        <f t="shared" si="288"/>
        <v>436.16646360000004</v>
      </c>
      <c r="M37" s="111">
        <f t="shared" si="289"/>
        <v>48.233323949999999</v>
      </c>
      <c r="N37" s="111">
        <f t="shared" si="290"/>
        <v>26.650918700000002</v>
      </c>
      <c r="O37" s="111">
        <f t="shared" si="291"/>
        <v>73.746947750000004</v>
      </c>
      <c r="P37" s="111">
        <f t="shared" si="292"/>
        <v>428.33792959999994</v>
      </c>
      <c r="Q37" s="111">
        <f t="shared" si="293"/>
        <v>41.073605650000005</v>
      </c>
      <c r="R37" s="111">
        <f t="shared" si="294"/>
        <v>42.5114053</v>
      </c>
      <c r="S37" s="111">
        <f t="shared" si="295"/>
        <v>55.712039600000011</v>
      </c>
      <c r="T37" s="60">
        <f>IFERROR(T22/$B37,".")</f>
        <v>8.6772967926022871E-4</v>
      </c>
      <c r="U37" s="247">
        <f>IFERROR(U22/$B37,0)</f>
        <v>2.2316105477303485E-14</v>
      </c>
      <c r="V37" s="60">
        <f t="shared" si="305"/>
        <v>28.213400518844434</v>
      </c>
      <c r="W37" s="60">
        <f t="shared" si="305"/>
        <v>6746.7098511195518</v>
      </c>
      <c r="X37" s="60">
        <f t="shared" si="305"/>
        <v>173.69949768410476</v>
      </c>
      <c r="Y37" s="60">
        <f t="shared" si="305"/>
        <v>9.8376761159745682E-2</v>
      </c>
      <c r="Z37" s="60" t="str">
        <f t="shared" si="305"/>
        <v>.</v>
      </c>
      <c r="AA37" s="60" t="str">
        <f t="shared" si="305"/>
        <v>.</v>
      </c>
      <c r="AB37" s="60">
        <f t="shared" si="305"/>
        <v>2.1719337955851286</v>
      </c>
      <c r="AC37" s="60">
        <f t="shared" si="305"/>
        <v>1.0777194036807474</v>
      </c>
      <c r="AD37" s="60" t="str">
        <f t="shared" si="305"/>
        <v>.</v>
      </c>
      <c r="AE37" s="60">
        <f t="shared" si="305"/>
        <v>5.8807747764574609E-3</v>
      </c>
      <c r="AF37" s="60">
        <f t="shared" si="305"/>
        <v>1.7949441578153958E-4</v>
      </c>
      <c r="AG37" s="111">
        <f t="shared" si="264"/>
        <v>3.5444150000000001E-2</v>
      </c>
      <c r="AH37" s="111">
        <f t="shared" si="265"/>
        <v>1.4822039513586903E-4</v>
      </c>
      <c r="AI37" s="111">
        <f t="shared" si="266"/>
        <v>5.7570690378082193E-3</v>
      </c>
      <c r="AJ37" s="111">
        <f t="shared" si="267"/>
        <v>10.165002264876202</v>
      </c>
      <c r="AK37" s="111" t="str">
        <f t="shared" si="268"/>
        <v>.</v>
      </c>
      <c r="AL37" s="111" t="str">
        <f t="shared" si="269"/>
        <v>.</v>
      </c>
      <c r="AM37" s="111">
        <f t="shared" si="270"/>
        <v>0.46041919050787439</v>
      </c>
      <c r="AN37" s="111">
        <f t="shared" si="271"/>
        <v>0.92788530723738349</v>
      </c>
      <c r="AO37" s="111" t="str">
        <f t="shared" si="272"/>
        <v>.</v>
      </c>
      <c r="AP37" s="111">
        <f t="shared" si="273"/>
        <v>170.0456212</v>
      </c>
      <c r="AQ37" s="111">
        <f t="shared" si="274"/>
        <v>5571.2039600000007</v>
      </c>
      <c r="AR37" s="60">
        <f>IFERROR(AR22/$B37,".")</f>
        <v>1.738270599260294E-4</v>
      </c>
      <c r="AS37" s="247">
        <f>IFERROR(AS22/$B37,0)</f>
        <v>4.4704509904812033E-15</v>
      </c>
      <c r="AT37" s="60">
        <f>IFERROR(AT22/$B37,".")</f>
        <v>1.4471637197444738</v>
      </c>
      <c r="AU37" s="60" t="str">
        <f>IFERROR(AU22,".")</f>
        <v>.</v>
      </c>
      <c r="AV37" s="60">
        <f t="shared" ref="AV37:BD37" si="306">IFERROR(AV22/$B37,".")</f>
        <v>576709.47756609367</v>
      </c>
      <c r="AW37" s="60">
        <f t="shared" si="306"/>
        <v>0.51227830260725016</v>
      </c>
      <c r="AX37" s="60" t="str">
        <f t="shared" si="306"/>
        <v>.</v>
      </c>
      <c r="AY37" s="60" t="str">
        <f t="shared" si="306"/>
        <v>.</v>
      </c>
      <c r="AZ37" s="60">
        <f t="shared" si="306"/>
        <v>150.49814904773771</v>
      </c>
      <c r="BA37" s="60">
        <f t="shared" si="306"/>
        <v>68.782707593609899</v>
      </c>
      <c r="BB37" s="60" t="str">
        <f t="shared" si="306"/>
        <v>.</v>
      </c>
      <c r="BC37" s="60">
        <f t="shared" si="306"/>
        <v>5.8807747764574607</v>
      </c>
      <c r="BD37" s="60">
        <f t="shared" si="306"/>
        <v>0.17949441578153957</v>
      </c>
      <c r="BE37" s="111">
        <f t="shared" si="276"/>
        <v>0.69100682000000002</v>
      </c>
      <c r="BF37" s="111" t="str">
        <f t="shared" si="277"/>
        <v>.</v>
      </c>
      <c r="BG37" s="111">
        <f t="shared" si="278"/>
        <v>1.7339753184226024E-6</v>
      </c>
      <c r="BH37" s="111">
        <f t="shared" si="279"/>
        <v>1.9520639365565182</v>
      </c>
      <c r="BI37" s="111" t="str">
        <f t="shared" si="280"/>
        <v>.</v>
      </c>
      <c r="BJ37" s="111" t="str">
        <f t="shared" si="281"/>
        <v>.</v>
      </c>
      <c r="BK37" s="111">
        <f t="shared" si="282"/>
        <v>6.644599992275001E-3</v>
      </c>
      <c r="BL37" s="111">
        <f t="shared" si="283"/>
        <v>1.4538537882345631E-2</v>
      </c>
      <c r="BM37" s="111" t="str">
        <f t="shared" si="284"/>
        <v>.</v>
      </c>
      <c r="BN37" s="111">
        <f t="shared" si="285"/>
        <v>0.1700456212</v>
      </c>
      <c r="BO37" s="111">
        <f t="shared" si="286"/>
        <v>5.571203960000001</v>
      </c>
      <c r="BP37" s="60">
        <f>IFERROR(BP22/$B37,".")</f>
        <v>0.11896964847004354</v>
      </c>
      <c r="BQ37" s="247">
        <f>IFERROR(BQ22/$B37,0)</f>
        <v>3.0596386032556152E-15</v>
      </c>
      <c r="BR37" s="60">
        <f>IFERROR(BR22/$B37,".")</f>
        <v>4.9632083568517029E-3</v>
      </c>
      <c r="BS37" s="60">
        <f>IFERROR(BS22/$B37,".")</f>
        <v>36159.479943477927</v>
      </c>
      <c r="BT37" s="60">
        <f>IFERROR(BT22/$B37,".")</f>
        <v>4.9632076756075628E-3</v>
      </c>
      <c r="BU37" s="247">
        <f>IFERROR(BU22/$B37,0)</f>
        <v>1.2764282315322798E-16</v>
      </c>
    </row>
    <row r="38" spans="1:73" x14ac:dyDescent="0.25">
      <c r="A38" s="169" t="s">
        <v>1066</v>
      </c>
      <c r="B38" s="170">
        <v>1</v>
      </c>
      <c r="C38" s="42"/>
      <c r="D38" s="60">
        <f t="shared" ref="D38:AF38" si="307">IFERROR(D2/$B38,".")</f>
        <v>1.0433331298562462E-2</v>
      </c>
      <c r="E38" s="60">
        <f t="shared" si="307"/>
        <v>9.4346995881489218E-2</v>
      </c>
      <c r="F38" s="60">
        <f t="shared" si="307"/>
        <v>0.17075093235195621</v>
      </c>
      <c r="G38" s="60">
        <f t="shared" si="307"/>
        <v>6.1706543184510097E-2</v>
      </c>
      <c r="H38" s="60">
        <f t="shared" si="307"/>
        <v>1.0624016463615053E-2</v>
      </c>
      <c r="I38" s="60">
        <f t="shared" si="307"/>
        <v>0.11079302983134098</v>
      </c>
      <c r="J38" s="60">
        <f t="shared" si="307"/>
        <v>0.10704584296725625</v>
      </c>
      <c r="K38" s="60">
        <f t="shared" si="307"/>
        <v>8.168197123519394E-2</v>
      </c>
      <c r="L38" s="111">
        <f t="shared" si="288"/>
        <v>95.846664060000009</v>
      </c>
      <c r="M38" s="111">
        <f t="shared" si="289"/>
        <v>10.599171607500001</v>
      </c>
      <c r="N38" s="111">
        <f t="shared" si="290"/>
        <v>5.8564833950000006</v>
      </c>
      <c r="O38" s="111">
        <f t="shared" si="291"/>
        <v>16.205736837500002</v>
      </c>
      <c r="P38" s="111">
        <f t="shared" si="292"/>
        <v>94.126360160000004</v>
      </c>
      <c r="Q38" s="111">
        <f t="shared" si="293"/>
        <v>9.0258385524999998</v>
      </c>
      <c r="R38" s="111">
        <f t="shared" si="294"/>
        <v>9.3417920050000003</v>
      </c>
      <c r="S38" s="111">
        <f t="shared" si="295"/>
        <v>12.242603659999999</v>
      </c>
      <c r="T38" s="60">
        <f>IFERROR(T2/$B38,".")</f>
        <v>3.9487507392721687E-3</v>
      </c>
      <c r="U38" s="247">
        <f>IFERROR(U2/$B38,0)</f>
        <v>6.8156519609355239E-14</v>
      </c>
      <c r="V38" s="60">
        <f t="shared" si="307"/>
        <v>128.38985322151007</v>
      </c>
      <c r="W38" s="60">
        <f t="shared" si="307"/>
        <v>6180.8093516247727</v>
      </c>
      <c r="X38" s="60">
        <f t="shared" si="307"/>
        <v>29.277265157356183</v>
      </c>
      <c r="Y38" s="60">
        <f t="shared" si="307"/>
        <v>5.6489247514522125</v>
      </c>
      <c r="Z38" s="60" t="str">
        <f t="shared" si="307"/>
        <v>.</v>
      </c>
      <c r="AA38" s="60" t="str">
        <f t="shared" si="307"/>
        <v>.</v>
      </c>
      <c r="AB38" s="60">
        <f t="shared" si="307"/>
        <v>667.89201411960278</v>
      </c>
      <c r="AC38" s="60">
        <f t="shared" si="307"/>
        <v>729.02977731668921</v>
      </c>
      <c r="AD38" s="60" t="str">
        <f t="shared" si="307"/>
        <v>.</v>
      </c>
      <c r="AE38" s="60">
        <f t="shared" si="307"/>
        <v>12.131862202955709</v>
      </c>
      <c r="AF38" s="60" t="str">
        <f t="shared" si="307"/>
        <v>.</v>
      </c>
      <c r="AG38" s="111">
        <f t="shared" si="264"/>
        <v>7.7887774999999991E-3</v>
      </c>
      <c r="AH38" s="111">
        <f t="shared" si="265"/>
        <v>1.6179110907815433E-4</v>
      </c>
      <c r="AI38" s="111">
        <f t="shared" si="266"/>
        <v>3.41561957589041E-2</v>
      </c>
      <c r="AJ38" s="111">
        <f t="shared" si="267"/>
        <v>0.17702483994727003</v>
      </c>
      <c r="AK38" s="111" t="str">
        <f t="shared" si="268"/>
        <v>.</v>
      </c>
      <c r="AL38" s="111" t="str">
        <f t="shared" si="269"/>
        <v>.</v>
      </c>
      <c r="AM38" s="111">
        <f t="shared" si="270"/>
        <v>1.4972480264166252E-3</v>
      </c>
      <c r="AN38" s="111">
        <f t="shared" si="271"/>
        <v>1.3716860834966989E-3</v>
      </c>
      <c r="AO38" s="111" t="str">
        <f t="shared" si="272"/>
        <v>.</v>
      </c>
      <c r="AP38" s="111">
        <f t="shared" si="273"/>
        <v>8.2427576514705891E-2</v>
      </c>
      <c r="AQ38" s="111" t="str">
        <f t="shared" si="274"/>
        <v>.</v>
      </c>
      <c r="AR38" s="60">
        <f>IFERROR(AR2/$B38,".")</f>
        <v>3.2848477224172052</v>
      </c>
      <c r="AS38" s="247">
        <f>IFERROR(AS2/$B38,0)</f>
        <v>5.6697371647201081E-11</v>
      </c>
      <c r="AT38" s="60">
        <f>IFERROR(AT2/$B38,".")</f>
        <v>6.5855633900417727</v>
      </c>
      <c r="AU38" s="60" t="str">
        <f>IFERROR(AU2,".")</f>
        <v>.</v>
      </c>
      <c r="AV38" s="60">
        <f t="shared" ref="AV38:BD38" si="308">IFERROR(AV2/$B38,".")</f>
        <v>248534.32247491175</v>
      </c>
      <c r="AW38" s="60">
        <f t="shared" si="308"/>
        <v>2.8133997996969233</v>
      </c>
      <c r="AX38" s="60" t="str">
        <f t="shared" si="308"/>
        <v>.</v>
      </c>
      <c r="AY38" s="60" t="str">
        <f t="shared" si="308"/>
        <v>.</v>
      </c>
      <c r="AZ38" s="60">
        <f t="shared" si="308"/>
        <v>58213.719985386873</v>
      </c>
      <c r="BA38" s="60">
        <f t="shared" si="308"/>
        <v>59471.396508279911</v>
      </c>
      <c r="BB38" s="60" t="str">
        <f t="shared" si="308"/>
        <v>.</v>
      </c>
      <c r="BC38" s="60">
        <f t="shared" si="308"/>
        <v>7.1363895311504173</v>
      </c>
      <c r="BD38" s="60" t="str">
        <f t="shared" si="308"/>
        <v>.</v>
      </c>
      <c r="BE38" s="111">
        <f t="shared" si="276"/>
        <v>0.15184729700000002</v>
      </c>
      <c r="BF38" s="111" t="str">
        <f t="shared" si="277"/>
        <v>.</v>
      </c>
      <c r="BG38" s="111">
        <f t="shared" si="278"/>
        <v>4.0235891366712333E-6</v>
      </c>
      <c r="BH38" s="111">
        <f t="shared" si="279"/>
        <v>0.35544183948108837</v>
      </c>
      <c r="BI38" s="111" t="str">
        <f t="shared" si="280"/>
        <v>.</v>
      </c>
      <c r="BJ38" s="111" t="str">
        <f t="shared" si="281"/>
        <v>.</v>
      </c>
      <c r="BK38" s="111">
        <f t="shared" si="282"/>
        <v>1.7178081047750007E-5</v>
      </c>
      <c r="BL38" s="111">
        <f t="shared" si="283"/>
        <v>1.6814806086834951E-5</v>
      </c>
      <c r="BM38" s="111" t="str">
        <f t="shared" si="284"/>
        <v>.</v>
      </c>
      <c r="BN38" s="111">
        <f t="shared" si="285"/>
        <v>0.14012688007499999</v>
      </c>
      <c r="BO38" s="111" t="str">
        <f t="shared" si="286"/>
        <v>.</v>
      </c>
      <c r="BP38" s="60">
        <f>IFERROR(BP2/$B38,".")</f>
        <v>1.544511191499552</v>
      </c>
      <c r="BQ38" s="247">
        <f>IFERROR(BQ2/$B38,0)</f>
        <v>2.6658686319033365E-14</v>
      </c>
      <c r="BR38" s="60">
        <f>IFERROR(BR2/$B38,".")</f>
        <v>4.5469043879218761E-3</v>
      </c>
      <c r="BS38" s="60">
        <f>IFERROR(BS2/$B38,".")</f>
        <v>15779.843720917046</v>
      </c>
      <c r="BT38" s="60">
        <f>IFERROR(BT2/$B38,".")</f>
        <v>4.5469030777483457E-3</v>
      </c>
      <c r="BU38" s="247">
        <f>IFERROR(BU2/$B38,0)</f>
        <v>7.8480792848807052E-17</v>
      </c>
    </row>
    <row r="39" spans="1:73" x14ac:dyDescent="0.25">
      <c r="A39" s="169" t="s">
        <v>1067</v>
      </c>
      <c r="B39" s="170">
        <v>1</v>
      </c>
      <c r="C39" s="42"/>
      <c r="D39" s="60" t="str">
        <f t="shared" ref="D39:AF39" si="309">IFERROR(D11/$B39,".")</f>
        <v>.</v>
      </c>
      <c r="E39" s="60" t="str">
        <f t="shared" si="309"/>
        <v>.</v>
      </c>
      <c r="F39" s="60" t="str">
        <f t="shared" si="309"/>
        <v>.</v>
      </c>
      <c r="G39" s="60" t="str">
        <f t="shared" si="309"/>
        <v>.</v>
      </c>
      <c r="H39" s="60" t="str">
        <f t="shared" si="309"/>
        <v>.</v>
      </c>
      <c r="I39" s="60" t="str">
        <f t="shared" si="309"/>
        <v>.</v>
      </c>
      <c r="J39" s="60" t="str">
        <f t="shared" si="309"/>
        <v>.</v>
      </c>
      <c r="K39" s="60" t="str">
        <f t="shared" si="309"/>
        <v>.</v>
      </c>
      <c r="L39" s="111" t="str">
        <f t="shared" si="288"/>
        <v>.</v>
      </c>
      <c r="M39" s="111" t="str">
        <f t="shared" si="289"/>
        <v>.</v>
      </c>
      <c r="N39" s="111" t="str">
        <f t="shared" si="290"/>
        <v>.</v>
      </c>
      <c r="O39" s="111" t="str">
        <f t="shared" si="291"/>
        <v>.</v>
      </c>
      <c r="P39" s="111" t="str">
        <f t="shared" si="292"/>
        <v>.</v>
      </c>
      <c r="Q39" s="111" t="str">
        <f t="shared" si="293"/>
        <v>.</v>
      </c>
      <c r="R39" s="111" t="str">
        <f t="shared" si="294"/>
        <v>.</v>
      </c>
      <c r="S39" s="111" t="str">
        <f t="shared" si="295"/>
        <v>.</v>
      </c>
      <c r="T39" s="60" t="str">
        <f>IFERROR(T11/$B39,".")</f>
        <v>.</v>
      </c>
      <c r="U39" s="247">
        <f>IFERROR(U11/$B39,0)</f>
        <v>0</v>
      </c>
      <c r="V39" s="60" t="str">
        <f t="shared" si="309"/>
        <v>.</v>
      </c>
      <c r="W39" s="60" t="str">
        <f t="shared" si="309"/>
        <v>.</v>
      </c>
      <c r="X39" s="60">
        <f t="shared" si="309"/>
        <v>11.620569480409255</v>
      </c>
      <c r="Y39" s="60" t="str">
        <f t="shared" si="309"/>
        <v>.</v>
      </c>
      <c r="Z39" s="60" t="str">
        <f t="shared" si="309"/>
        <v>.</v>
      </c>
      <c r="AA39" s="60" t="str">
        <f t="shared" si="309"/>
        <v>.</v>
      </c>
      <c r="AB39" s="60" t="str">
        <f t="shared" si="309"/>
        <v>.</v>
      </c>
      <c r="AC39" s="60" t="str">
        <f t="shared" si="309"/>
        <v>.</v>
      </c>
      <c r="AD39" s="60" t="str">
        <f t="shared" si="309"/>
        <v>.</v>
      </c>
      <c r="AE39" s="60" t="str">
        <f t="shared" si="309"/>
        <v>.</v>
      </c>
      <c r="AF39" s="60" t="str">
        <f t="shared" si="309"/>
        <v>.</v>
      </c>
      <c r="AG39" s="111" t="str">
        <f t="shared" si="264"/>
        <v>.</v>
      </c>
      <c r="AH39" s="111" t="str">
        <f t="shared" si="265"/>
        <v>.</v>
      </c>
      <c r="AI39" s="111">
        <f t="shared" si="266"/>
        <v>8.6054302389041076E-2</v>
      </c>
      <c r="AJ39" s="111" t="str">
        <f t="shared" si="267"/>
        <v>.</v>
      </c>
      <c r="AK39" s="111" t="str">
        <f t="shared" si="268"/>
        <v>.</v>
      </c>
      <c r="AL39" s="111" t="str">
        <f t="shared" si="269"/>
        <v>.</v>
      </c>
      <c r="AM39" s="111" t="str">
        <f t="shared" si="270"/>
        <v>.</v>
      </c>
      <c r="AN39" s="111" t="str">
        <f t="shared" si="271"/>
        <v>.</v>
      </c>
      <c r="AO39" s="111" t="str">
        <f t="shared" si="272"/>
        <v>.</v>
      </c>
      <c r="AP39" s="111" t="str">
        <f t="shared" si="273"/>
        <v>.</v>
      </c>
      <c r="AQ39" s="111" t="str">
        <f t="shared" si="274"/>
        <v>.</v>
      </c>
      <c r="AR39" s="60">
        <f>IFERROR(AR11/$B39,".")</f>
        <v>11.620569480409255</v>
      </c>
      <c r="AS39" s="247">
        <f>IFERROR(AS11/$B39,0)</f>
        <v>6.7037597284890636E-14</v>
      </c>
      <c r="AT39" s="60" t="str">
        <f>IFERROR(AT11/$B39,".")</f>
        <v>.</v>
      </c>
      <c r="AU39" s="60" t="str">
        <f>IFERROR(AU11,".")</f>
        <v>.</v>
      </c>
      <c r="AV39" s="60">
        <f t="shared" ref="AV39:BD39" si="310">IFERROR(AV11/$B39,".")</f>
        <v>113873.9077521414</v>
      </c>
      <c r="AW39" s="60" t="str">
        <f t="shared" si="310"/>
        <v>.</v>
      </c>
      <c r="AX39" s="60" t="str">
        <f t="shared" si="310"/>
        <v>.</v>
      </c>
      <c r="AY39" s="60" t="str">
        <f t="shared" si="310"/>
        <v>.</v>
      </c>
      <c r="AZ39" s="60" t="str">
        <f t="shared" si="310"/>
        <v>.</v>
      </c>
      <c r="BA39" s="60" t="str">
        <f t="shared" si="310"/>
        <v>.</v>
      </c>
      <c r="BB39" s="60" t="str">
        <f t="shared" si="310"/>
        <v>.</v>
      </c>
      <c r="BC39" s="60" t="str">
        <f t="shared" si="310"/>
        <v>.</v>
      </c>
      <c r="BD39" s="60" t="str">
        <f t="shared" si="310"/>
        <v>.</v>
      </c>
      <c r="BE39" s="111" t="str">
        <f t="shared" si="276"/>
        <v>.</v>
      </c>
      <c r="BF39" s="111" t="str">
        <f t="shared" si="277"/>
        <v>.</v>
      </c>
      <c r="BG39" s="111">
        <f t="shared" si="278"/>
        <v>8.7816429570205471E-6</v>
      </c>
      <c r="BH39" s="111" t="str">
        <f t="shared" si="279"/>
        <v>.</v>
      </c>
      <c r="BI39" s="111" t="str">
        <f t="shared" si="280"/>
        <v>.</v>
      </c>
      <c r="BJ39" s="111" t="str">
        <f t="shared" si="281"/>
        <v>.</v>
      </c>
      <c r="BK39" s="111" t="str">
        <f t="shared" si="282"/>
        <v>.</v>
      </c>
      <c r="BL39" s="111" t="str">
        <f t="shared" si="283"/>
        <v>.</v>
      </c>
      <c r="BM39" s="111" t="str">
        <f t="shared" si="284"/>
        <v>.</v>
      </c>
      <c r="BN39" s="111" t="str">
        <f t="shared" si="285"/>
        <v>.</v>
      </c>
      <c r="BO39" s="111" t="str">
        <f t="shared" si="286"/>
        <v>.</v>
      </c>
      <c r="BP39" s="60">
        <f>IFERROR(BP11/$B39,".")</f>
        <v>113873.9077521414</v>
      </c>
      <c r="BQ39" s="247">
        <f>IFERROR(BQ11/$B39,0)</f>
        <v>6.5692418792508186E-13</v>
      </c>
      <c r="BR39" s="60" t="str">
        <f>IFERROR(BR11/$B39,".")</f>
        <v>.</v>
      </c>
      <c r="BS39" s="60">
        <f>IFERROR(BS11/$B39,".")</f>
        <v>7145.1132368312401</v>
      </c>
      <c r="BT39" s="60">
        <f>IFERROR(BT11/$B39,".")</f>
        <v>7145.1132368312401</v>
      </c>
      <c r="BU39" s="247">
        <f>IFERROR(BU11/$B39,0)</f>
        <v>4.1219255608182546E-14</v>
      </c>
    </row>
    <row r="40" spans="1:73" x14ac:dyDescent="0.25">
      <c r="A40" s="169" t="s">
        <v>1068</v>
      </c>
      <c r="B40" s="170">
        <v>1</v>
      </c>
      <c r="C40" s="42"/>
      <c r="D40" s="60" t="str">
        <f t="shared" ref="D40:AF40" si="311">IFERROR(D4/$B40,".")</f>
        <v>.</v>
      </c>
      <c r="E40" s="60" t="str">
        <f t="shared" si="311"/>
        <v>.</v>
      </c>
      <c r="F40" s="60" t="str">
        <f t="shared" si="311"/>
        <v>.</v>
      </c>
      <c r="G40" s="60" t="str">
        <f t="shared" si="311"/>
        <v>.</v>
      </c>
      <c r="H40" s="60" t="str">
        <f t="shared" si="311"/>
        <v>.</v>
      </c>
      <c r="I40" s="60" t="str">
        <f t="shared" si="311"/>
        <v>.</v>
      </c>
      <c r="J40" s="60" t="str">
        <f t="shared" si="311"/>
        <v>.</v>
      </c>
      <c r="K40" s="60" t="str">
        <f t="shared" si="311"/>
        <v>.</v>
      </c>
      <c r="L40" s="111" t="str">
        <f t="shared" si="288"/>
        <v>.</v>
      </c>
      <c r="M40" s="111" t="str">
        <f t="shared" si="289"/>
        <v>.</v>
      </c>
      <c r="N40" s="111" t="str">
        <f t="shared" si="290"/>
        <v>.</v>
      </c>
      <c r="O40" s="111" t="str">
        <f t="shared" si="291"/>
        <v>.</v>
      </c>
      <c r="P40" s="111" t="str">
        <f t="shared" si="292"/>
        <v>.</v>
      </c>
      <c r="Q40" s="111" t="str">
        <f t="shared" si="293"/>
        <v>.</v>
      </c>
      <c r="R40" s="111" t="str">
        <f t="shared" si="294"/>
        <v>.</v>
      </c>
      <c r="S40" s="111" t="str">
        <f t="shared" si="295"/>
        <v>.</v>
      </c>
      <c r="T40" s="60" t="str">
        <f>IFERROR(T4/$B40,".")</f>
        <v>.</v>
      </c>
      <c r="U40" s="247">
        <f>IFERROR(U4/$B40,0)</f>
        <v>0</v>
      </c>
      <c r="V40" s="60" t="str">
        <f t="shared" si="311"/>
        <v>.</v>
      </c>
      <c r="W40" s="60" t="str">
        <f t="shared" si="311"/>
        <v>.</v>
      </c>
      <c r="X40" s="60">
        <f t="shared" si="311"/>
        <v>1304.7978015010706</v>
      </c>
      <c r="Y40" s="60" t="str">
        <f t="shared" si="311"/>
        <v>.</v>
      </c>
      <c r="Z40" s="60" t="str">
        <f t="shared" si="311"/>
        <v>.</v>
      </c>
      <c r="AA40" s="60" t="str">
        <f t="shared" si="311"/>
        <v>.</v>
      </c>
      <c r="AB40" s="60" t="str">
        <f t="shared" si="311"/>
        <v>.</v>
      </c>
      <c r="AC40" s="60" t="str">
        <f t="shared" si="311"/>
        <v>.</v>
      </c>
      <c r="AD40" s="60" t="str">
        <f t="shared" si="311"/>
        <v>.</v>
      </c>
      <c r="AE40" s="60" t="str">
        <f t="shared" si="311"/>
        <v>.</v>
      </c>
      <c r="AF40" s="60" t="str">
        <f t="shared" si="311"/>
        <v>.</v>
      </c>
      <c r="AG40" s="111" t="str">
        <f t="shared" si="264"/>
        <v>.</v>
      </c>
      <c r="AH40" s="111" t="str">
        <f t="shared" si="265"/>
        <v>.</v>
      </c>
      <c r="AI40" s="111">
        <f t="shared" si="266"/>
        <v>7.6640227232876708E-4</v>
      </c>
      <c r="AJ40" s="111" t="str">
        <f t="shared" si="267"/>
        <v>.</v>
      </c>
      <c r="AK40" s="111" t="str">
        <f t="shared" si="268"/>
        <v>.</v>
      </c>
      <c r="AL40" s="111" t="str">
        <f t="shared" si="269"/>
        <v>.</v>
      </c>
      <c r="AM40" s="111" t="str">
        <f t="shared" si="270"/>
        <v>.</v>
      </c>
      <c r="AN40" s="111" t="str">
        <f t="shared" si="271"/>
        <v>.</v>
      </c>
      <c r="AO40" s="111" t="str">
        <f t="shared" si="272"/>
        <v>.</v>
      </c>
      <c r="AP40" s="111" t="str">
        <f t="shared" si="273"/>
        <v>.</v>
      </c>
      <c r="AQ40" s="111" t="str">
        <f t="shared" si="274"/>
        <v>.</v>
      </c>
      <c r="AR40" s="60">
        <f>IFERROR(AR4/$B40,".")</f>
        <v>1304.7978015010706</v>
      </c>
      <c r="AS40" s="247">
        <f>IFERROR(AS4/$B40,0)</f>
        <v>8.1200162219061801E-16</v>
      </c>
      <c r="AT40" s="60" t="str">
        <f>IFERROR(AT4/$B40,".")</f>
        <v>.</v>
      </c>
      <c r="AU40" s="60" t="str">
        <f>IFERROR(AU4,".")</f>
        <v>.</v>
      </c>
      <c r="AV40" s="60">
        <f t="shared" ref="AV40:BD40" si="312">IFERROR(AV4/$B40,".")</f>
        <v>13556417.589540642</v>
      </c>
      <c r="AW40" s="60" t="str">
        <f t="shared" si="312"/>
        <v>.</v>
      </c>
      <c r="AX40" s="60" t="str">
        <f t="shared" si="312"/>
        <v>.</v>
      </c>
      <c r="AY40" s="60" t="str">
        <f t="shared" si="312"/>
        <v>.</v>
      </c>
      <c r="AZ40" s="60" t="str">
        <f t="shared" si="312"/>
        <v>.</v>
      </c>
      <c r="BA40" s="60" t="str">
        <f t="shared" si="312"/>
        <v>.</v>
      </c>
      <c r="BB40" s="60" t="str">
        <f t="shared" si="312"/>
        <v>.</v>
      </c>
      <c r="BC40" s="60" t="str">
        <f t="shared" si="312"/>
        <v>.</v>
      </c>
      <c r="BD40" s="60" t="str">
        <f t="shared" si="312"/>
        <v>.</v>
      </c>
      <c r="BE40" s="111" t="str">
        <f t="shared" si="276"/>
        <v>.</v>
      </c>
      <c r="BF40" s="111" t="str">
        <f t="shared" si="277"/>
        <v>.</v>
      </c>
      <c r="BG40" s="111">
        <f t="shared" si="278"/>
        <v>7.3765800838972598E-8</v>
      </c>
      <c r="BH40" s="111" t="str">
        <f t="shared" si="279"/>
        <v>.</v>
      </c>
      <c r="BI40" s="111" t="str">
        <f t="shared" si="280"/>
        <v>.</v>
      </c>
      <c r="BJ40" s="111" t="str">
        <f t="shared" si="281"/>
        <v>.</v>
      </c>
      <c r="BK40" s="111" t="str">
        <f t="shared" si="282"/>
        <v>.</v>
      </c>
      <c r="BL40" s="111" t="str">
        <f t="shared" si="283"/>
        <v>.</v>
      </c>
      <c r="BM40" s="111" t="str">
        <f t="shared" si="284"/>
        <v>.</v>
      </c>
      <c r="BN40" s="111" t="str">
        <f t="shared" si="285"/>
        <v>.</v>
      </c>
      <c r="BO40" s="111" t="str">
        <f t="shared" si="286"/>
        <v>.</v>
      </c>
      <c r="BP40" s="60">
        <f>IFERROR(BP4/$B40,".")</f>
        <v>13556417.589540642</v>
      </c>
      <c r="BQ40" s="247">
        <f>IFERROR(BQ4/$B40,0)</f>
        <v>8.4364282811764054E-15</v>
      </c>
      <c r="BR40" s="60" t="str">
        <f>IFERROR(BR4/$B40,".")</f>
        <v>.</v>
      </c>
      <c r="BS40" s="60">
        <f>IFERROR(BS4/$B40,".")</f>
        <v>842584.10811689147</v>
      </c>
      <c r="BT40" s="60">
        <f>IFERROR(BT4/$B40,".")</f>
        <v>842584.10811689147</v>
      </c>
      <c r="BU40" s="247">
        <f>IFERROR(BU4/$B40,0)</f>
        <v>5.2435684811535882E-16</v>
      </c>
    </row>
    <row r="41" spans="1:73" x14ac:dyDescent="0.25">
      <c r="A41" s="169" t="s">
        <v>1069</v>
      </c>
      <c r="B41" s="171">
        <v>0.99987999999999999</v>
      </c>
      <c r="C41" s="78"/>
      <c r="D41" s="60">
        <f t="shared" ref="D41:AF41" si="313">IFERROR(D8/$B41,".")</f>
        <v>2.0363011729870903</v>
      </c>
      <c r="E41" s="60">
        <f t="shared" si="313"/>
        <v>18.413955512728268</v>
      </c>
      <c r="F41" s="60">
        <f t="shared" si="313"/>
        <v>33.325916132351225</v>
      </c>
      <c r="G41" s="60">
        <f t="shared" si="313"/>
        <v>12.043431064525798</v>
      </c>
      <c r="H41" s="60">
        <f t="shared" si="313"/>
        <v>2.0735177066287775</v>
      </c>
      <c r="I41" s="60">
        <f t="shared" si="313"/>
        <v>21.623771942853789</v>
      </c>
      <c r="J41" s="60">
        <f t="shared" si="313"/>
        <v>20.892423460917932</v>
      </c>
      <c r="K41" s="60">
        <f t="shared" si="313"/>
        <v>15.942088780506806</v>
      </c>
      <c r="L41" s="111">
        <f t="shared" si="288"/>
        <v>0.49108649214844791</v>
      </c>
      <c r="M41" s="111">
        <f t="shared" si="289"/>
        <v>5.4306637121435998E-2</v>
      </c>
      <c r="N41" s="111">
        <f t="shared" si="290"/>
        <v>3.0006676966615999E-2</v>
      </c>
      <c r="O41" s="111">
        <f t="shared" si="291"/>
        <v>8.3032816366219994E-2</v>
      </c>
      <c r="P41" s="111">
        <f t="shared" si="292"/>
        <v>0.48227222598732805</v>
      </c>
      <c r="Q41" s="111">
        <f t="shared" si="293"/>
        <v>4.6245400785891996E-2</v>
      </c>
      <c r="R41" s="111">
        <f t="shared" si="294"/>
        <v>4.7864241401703998E-2</v>
      </c>
      <c r="S41" s="111">
        <f t="shared" si="295"/>
        <v>6.2727037452128001E-2</v>
      </c>
      <c r="T41" s="60">
        <f>IFERROR(T8/$B41,".")</f>
        <v>0.77068824252915735</v>
      </c>
      <c r="U41" s="247">
        <f>IFERROR(U8/$B41,0)</f>
        <v>3.9868564971510084E-14</v>
      </c>
      <c r="V41" s="60">
        <f t="shared" si="313"/>
        <v>25058.19102577748</v>
      </c>
      <c r="W41" s="60">
        <f t="shared" si="313"/>
        <v>1598496.8857647546</v>
      </c>
      <c r="X41" s="60">
        <f t="shared" si="313"/>
        <v>2.2517555474949926</v>
      </c>
      <c r="Y41" s="60">
        <f t="shared" si="313"/>
        <v>20.191993860320256</v>
      </c>
      <c r="Z41" s="60" t="str">
        <f t="shared" si="313"/>
        <v>.</v>
      </c>
      <c r="AA41" s="60" t="str">
        <f t="shared" si="313"/>
        <v>.</v>
      </c>
      <c r="AB41" s="60">
        <f t="shared" si="313"/>
        <v>645.58729909009901</v>
      </c>
      <c r="AC41" s="60">
        <f t="shared" si="313"/>
        <v>136.68628722096901</v>
      </c>
      <c r="AD41" s="60" t="str">
        <f t="shared" si="313"/>
        <v>.</v>
      </c>
      <c r="AE41" s="60">
        <f t="shared" si="313"/>
        <v>668.55755074937383</v>
      </c>
      <c r="AF41" s="60" t="str">
        <f t="shared" si="313"/>
        <v>.</v>
      </c>
      <c r="AG41" s="111">
        <f t="shared" si="264"/>
        <v>3.9907110571999998E-5</v>
      </c>
      <c r="AH41" s="111">
        <f t="shared" si="265"/>
        <v>6.2558770611653646E-7</v>
      </c>
      <c r="AI41" s="111">
        <f t="shared" si="266"/>
        <v>0.44409793998840974</v>
      </c>
      <c r="AJ41" s="111">
        <f t="shared" si="267"/>
        <v>4.9524579242524562E-2</v>
      </c>
      <c r="AK41" s="111" t="str">
        <f t="shared" si="268"/>
        <v>.</v>
      </c>
      <c r="AL41" s="111" t="str">
        <f t="shared" si="269"/>
        <v>.</v>
      </c>
      <c r="AM41" s="111">
        <f t="shared" si="270"/>
        <v>1.5489771893118342E-3</v>
      </c>
      <c r="AN41" s="111">
        <f t="shared" si="271"/>
        <v>7.3160228456815544E-3</v>
      </c>
      <c r="AO41" s="111" t="str">
        <f t="shared" si="272"/>
        <v>.</v>
      </c>
      <c r="AP41" s="111">
        <f t="shared" si="273"/>
        <v>1.4957575438032499E-3</v>
      </c>
      <c r="AQ41" s="111" t="str">
        <f t="shared" si="274"/>
        <v>.</v>
      </c>
      <c r="AR41" s="60">
        <f>IFERROR(AR8/$B41,".")</f>
        <v>1.9840332562386813</v>
      </c>
      <c r="AS41" s="247">
        <f>IFERROR(AS8/$B41,0)</f>
        <v>1.0263625992581038E-13</v>
      </c>
      <c r="AT41" s="60">
        <f>IFERROR(AT8/$B41,".")</f>
        <v>1285.3220196094605</v>
      </c>
      <c r="AU41" s="60" t="str">
        <f>IFERROR(AU8,".")</f>
        <v>.</v>
      </c>
      <c r="AV41" s="60">
        <f t="shared" ref="AV41:BD41" si="314">IFERROR(AV8/$B41,".")</f>
        <v>24856.415017293253</v>
      </c>
      <c r="AW41" s="60">
        <f t="shared" si="314"/>
        <v>280.97232615163597</v>
      </c>
      <c r="AX41" s="60" t="str">
        <f t="shared" si="314"/>
        <v>.</v>
      </c>
      <c r="AY41" s="60" t="str">
        <f t="shared" si="314"/>
        <v>.</v>
      </c>
      <c r="AZ41" s="60">
        <f t="shared" si="314"/>
        <v>113617.27419363961</v>
      </c>
      <c r="BA41" s="60">
        <f t="shared" si="314"/>
        <v>23214.383019865665</v>
      </c>
      <c r="BB41" s="60" t="str">
        <f t="shared" si="314"/>
        <v>.</v>
      </c>
      <c r="BC41" s="60">
        <f t="shared" si="314"/>
        <v>1392.8282307278621</v>
      </c>
      <c r="BD41" s="60" t="str">
        <f t="shared" si="314"/>
        <v>.</v>
      </c>
      <c r="BE41" s="111">
        <f t="shared" si="276"/>
        <v>7.7801514697759986E-4</v>
      </c>
      <c r="BF41" s="111" t="str">
        <f t="shared" si="277"/>
        <v>.</v>
      </c>
      <c r="BG41" s="111">
        <f t="shared" si="278"/>
        <v>4.0231063059748322E-5</v>
      </c>
      <c r="BH41" s="111">
        <f t="shared" si="279"/>
        <v>3.5590693706266186E-3</v>
      </c>
      <c r="BI41" s="111" t="str">
        <f t="shared" si="280"/>
        <v>.</v>
      </c>
      <c r="BJ41" s="111" t="str">
        <f t="shared" si="281"/>
        <v>.</v>
      </c>
      <c r="BK41" s="111">
        <f t="shared" si="282"/>
        <v>8.8014785348193203E-6</v>
      </c>
      <c r="BL41" s="111">
        <f t="shared" si="283"/>
        <v>4.3076742515372984E-5</v>
      </c>
      <c r="BM41" s="111" t="str">
        <f t="shared" si="284"/>
        <v>.</v>
      </c>
      <c r="BN41" s="111">
        <f t="shared" si="285"/>
        <v>7.1796362102556003E-4</v>
      </c>
      <c r="BO41" s="111" t="str">
        <f t="shared" si="286"/>
        <v>.</v>
      </c>
      <c r="BP41" s="60">
        <f>IFERROR(BP8/$B41,".")</f>
        <v>194.28199253865486</v>
      </c>
      <c r="BQ41" s="247">
        <f>IFERROR(BQ8/$B41,0)</f>
        <v>1.0050424821459184E-14</v>
      </c>
      <c r="BR41" s="60">
        <f>IFERROR(BR8/$B41,".")</f>
        <v>1.1759321620319179</v>
      </c>
      <c r="BS41" s="60">
        <f>IFERROR(BS8/$B41,".")</f>
        <v>1503.7817241838459</v>
      </c>
      <c r="BT41" s="60">
        <f>IFERROR(BT8/$B41,".")</f>
        <v>1.1750133212632956</v>
      </c>
      <c r="BU41" s="247">
        <f>IFERROR(BU8/$B41,0)</f>
        <v>6.0784753621569925E-17</v>
      </c>
    </row>
    <row r="42" spans="1:73" x14ac:dyDescent="0.25">
      <c r="A42" s="169" t="s">
        <v>1070</v>
      </c>
      <c r="B42" s="170">
        <v>0.97898250799999997</v>
      </c>
      <c r="C42" s="42"/>
      <c r="D42" s="60" t="str">
        <f t="shared" ref="D42:AF42" si="315">IFERROR(D19/$B42,".")</f>
        <v>.</v>
      </c>
      <c r="E42" s="60" t="str">
        <f t="shared" si="315"/>
        <v>.</v>
      </c>
      <c r="F42" s="60" t="str">
        <f t="shared" si="315"/>
        <v>.</v>
      </c>
      <c r="G42" s="60" t="str">
        <f t="shared" si="315"/>
        <v>.</v>
      </c>
      <c r="H42" s="60" t="str">
        <f t="shared" si="315"/>
        <v>.</v>
      </c>
      <c r="I42" s="60" t="str">
        <f t="shared" si="315"/>
        <v>.</v>
      </c>
      <c r="J42" s="60" t="str">
        <f t="shared" si="315"/>
        <v>.</v>
      </c>
      <c r="K42" s="60" t="str">
        <f t="shared" si="315"/>
        <v>.</v>
      </c>
      <c r="L42" s="111" t="str">
        <f t="shared" si="288"/>
        <v>.</v>
      </c>
      <c r="M42" s="111" t="str">
        <f t="shared" si="289"/>
        <v>.</v>
      </c>
      <c r="N42" s="111" t="str">
        <f t="shared" si="290"/>
        <v>.</v>
      </c>
      <c r="O42" s="111" t="str">
        <f t="shared" si="291"/>
        <v>.</v>
      </c>
      <c r="P42" s="111" t="str">
        <f t="shared" si="292"/>
        <v>.</v>
      </c>
      <c r="Q42" s="111" t="str">
        <f t="shared" si="293"/>
        <v>.</v>
      </c>
      <c r="R42" s="111" t="str">
        <f t="shared" si="294"/>
        <v>.</v>
      </c>
      <c r="S42" s="111" t="str">
        <f t="shared" si="295"/>
        <v>.</v>
      </c>
      <c r="T42" s="60" t="str">
        <f>IFERROR(T19/$B42,".")</f>
        <v>.</v>
      </c>
      <c r="U42" s="247">
        <f>IFERROR(U19/$B42,0)</f>
        <v>0</v>
      </c>
      <c r="V42" s="60" t="str">
        <f t="shared" si="315"/>
        <v>.</v>
      </c>
      <c r="W42" s="60" t="str">
        <f t="shared" si="315"/>
        <v>.</v>
      </c>
      <c r="X42" s="60">
        <f t="shared" si="315"/>
        <v>7295.9864748956406</v>
      </c>
      <c r="Y42" s="60" t="str">
        <f t="shared" si="315"/>
        <v>.</v>
      </c>
      <c r="Z42" s="60" t="str">
        <f t="shared" si="315"/>
        <v>.</v>
      </c>
      <c r="AA42" s="60" t="str">
        <f t="shared" si="315"/>
        <v>.</v>
      </c>
      <c r="AB42" s="60" t="str">
        <f t="shared" si="315"/>
        <v>.</v>
      </c>
      <c r="AC42" s="60" t="str">
        <f t="shared" si="315"/>
        <v>.</v>
      </c>
      <c r="AD42" s="60" t="str">
        <f t="shared" si="315"/>
        <v>.</v>
      </c>
      <c r="AE42" s="60" t="str">
        <f t="shared" si="315"/>
        <v>.</v>
      </c>
      <c r="AF42" s="60" t="str">
        <f t="shared" si="315"/>
        <v>.</v>
      </c>
      <c r="AG42" s="111" t="str">
        <f t="shared" si="264"/>
        <v>.</v>
      </c>
      <c r="AH42" s="111" t="str">
        <f t="shared" si="265"/>
        <v>.</v>
      </c>
      <c r="AI42" s="111">
        <f t="shared" si="266"/>
        <v>1.3706165758953161E-4</v>
      </c>
      <c r="AJ42" s="111" t="str">
        <f t="shared" si="267"/>
        <v>.</v>
      </c>
      <c r="AK42" s="111" t="str">
        <f t="shared" si="268"/>
        <v>.</v>
      </c>
      <c r="AL42" s="111" t="str">
        <f t="shared" si="269"/>
        <v>.</v>
      </c>
      <c r="AM42" s="111" t="str">
        <f t="shared" si="270"/>
        <v>.</v>
      </c>
      <c r="AN42" s="111" t="str">
        <f t="shared" si="271"/>
        <v>.</v>
      </c>
      <c r="AO42" s="111" t="str">
        <f t="shared" si="272"/>
        <v>.</v>
      </c>
      <c r="AP42" s="111" t="str">
        <f t="shared" si="273"/>
        <v>.</v>
      </c>
      <c r="AQ42" s="111" t="str">
        <f t="shared" si="274"/>
        <v>.</v>
      </c>
      <c r="AR42" s="60">
        <f>IFERROR(AR19/$B42,".")</f>
        <v>7295.9864748956406</v>
      </c>
      <c r="AS42" s="247">
        <f>IFERROR(AS19/$B42,0)</f>
        <v>5.7951454214981483E-19</v>
      </c>
      <c r="AT42" s="60" t="str">
        <f>IFERROR(AT19/$B42,".")</f>
        <v>.</v>
      </c>
      <c r="AU42" s="60" t="str">
        <f>IFERROR(AU19,".")</f>
        <v>.</v>
      </c>
      <c r="AV42" s="60">
        <f t="shared" ref="AV42:BD42" si="316">IFERROR(AV19/$B42,".")</f>
        <v>86220011.506770477</v>
      </c>
      <c r="AW42" s="60" t="str">
        <f t="shared" si="316"/>
        <v>.</v>
      </c>
      <c r="AX42" s="60" t="str">
        <f t="shared" si="316"/>
        <v>.</v>
      </c>
      <c r="AY42" s="60" t="str">
        <f t="shared" si="316"/>
        <v>.</v>
      </c>
      <c r="AZ42" s="60" t="str">
        <f t="shared" si="316"/>
        <v>.</v>
      </c>
      <c r="BA42" s="60" t="str">
        <f t="shared" si="316"/>
        <v>.</v>
      </c>
      <c r="BB42" s="60" t="str">
        <f t="shared" si="316"/>
        <v>.</v>
      </c>
      <c r="BC42" s="60" t="str">
        <f t="shared" si="316"/>
        <v>.</v>
      </c>
      <c r="BD42" s="60" t="str">
        <f t="shared" si="316"/>
        <v>.</v>
      </c>
      <c r="BE42" s="111" t="str">
        <f t="shared" si="276"/>
        <v>.</v>
      </c>
      <c r="BF42" s="111" t="str">
        <f t="shared" si="277"/>
        <v>.</v>
      </c>
      <c r="BG42" s="111">
        <f t="shared" si="278"/>
        <v>1.1598235520085432E-8</v>
      </c>
      <c r="BH42" s="111" t="str">
        <f t="shared" si="279"/>
        <v>.</v>
      </c>
      <c r="BI42" s="111" t="str">
        <f t="shared" si="280"/>
        <v>.</v>
      </c>
      <c r="BJ42" s="111" t="str">
        <f t="shared" si="281"/>
        <v>.</v>
      </c>
      <c r="BK42" s="111" t="str">
        <f t="shared" si="282"/>
        <v>.</v>
      </c>
      <c r="BL42" s="111" t="str">
        <f t="shared" si="283"/>
        <v>.</v>
      </c>
      <c r="BM42" s="111" t="str">
        <f t="shared" si="284"/>
        <v>.</v>
      </c>
      <c r="BN42" s="111" t="str">
        <f t="shared" si="285"/>
        <v>.</v>
      </c>
      <c r="BO42" s="111" t="str">
        <f t="shared" si="286"/>
        <v>.</v>
      </c>
      <c r="BP42" s="60">
        <f>IFERROR(BP19/$B42,".")</f>
        <v>86220011.506770477</v>
      </c>
      <c r="BQ42" s="247">
        <f>IFERROR(BQ19/$B42,0)</f>
        <v>6.8483885852067106E-18</v>
      </c>
      <c r="BR42" s="60" t="str">
        <f>IFERROR(BR19/$B42,".")</f>
        <v>.</v>
      </c>
      <c r="BS42" s="60">
        <f>IFERROR(BS19/$B42,".")</f>
        <v>5335167.8392150616</v>
      </c>
      <c r="BT42" s="60">
        <f>IFERROR(BT19/$B42,".")</f>
        <v>5335167.8392150616</v>
      </c>
      <c r="BU42" s="247">
        <f>IFERROR(BU19/$B42,0)</f>
        <v>4.2376824001436443E-19</v>
      </c>
    </row>
    <row r="43" spans="1:73" x14ac:dyDescent="0.25">
      <c r="A43" s="169" t="s">
        <v>1071</v>
      </c>
      <c r="B43" s="170">
        <v>2.0897492E-2</v>
      </c>
      <c r="C43" s="42"/>
      <c r="D43" s="60" t="str">
        <f t="shared" ref="D43:AF43" si="317">IFERROR(D28/$B43,".")</f>
        <v>.</v>
      </c>
      <c r="E43" s="60" t="str">
        <f t="shared" si="317"/>
        <v>.</v>
      </c>
      <c r="F43" s="60" t="str">
        <f t="shared" si="317"/>
        <v>.</v>
      </c>
      <c r="G43" s="60" t="str">
        <f t="shared" si="317"/>
        <v>.</v>
      </c>
      <c r="H43" s="60" t="str">
        <f t="shared" si="317"/>
        <v>.</v>
      </c>
      <c r="I43" s="60" t="str">
        <f t="shared" si="317"/>
        <v>.</v>
      </c>
      <c r="J43" s="60" t="str">
        <f t="shared" si="317"/>
        <v>.</v>
      </c>
      <c r="K43" s="60" t="str">
        <f t="shared" si="317"/>
        <v>.</v>
      </c>
      <c r="L43" s="111" t="str">
        <f t="shared" si="288"/>
        <v>.</v>
      </c>
      <c r="M43" s="111" t="str">
        <f t="shared" si="289"/>
        <v>.</v>
      </c>
      <c r="N43" s="111" t="str">
        <f t="shared" si="290"/>
        <v>.</v>
      </c>
      <c r="O43" s="111" t="str">
        <f t="shared" si="291"/>
        <v>.</v>
      </c>
      <c r="P43" s="111" t="str">
        <f t="shared" si="292"/>
        <v>.</v>
      </c>
      <c r="Q43" s="111" t="str">
        <f t="shared" si="293"/>
        <v>.</v>
      </c>
      <c r="R43" s="111" t="str">
        <f t="shared" si="294"/>
        <v>.</v>
      </c>
      <c r="S43" s="111" t="str">
        <f t="shared" si="295"/>
        <v>.</v>
      </c>
      <c r="T43" s="60" t="str">
        <f>IFERROR(T28/$B43,".")</f>
        <v>.</v>
      </c>
      <c r="U43" s="247">
        <f>IFERROR(U28/$B43,0)</f>
        <v>0</v>
      </c>
      <c r="V43" s="60" t="str">
        <f t="shared" si="317"/>
        <v>.</v>
      </c>
      <c r="W43" s="60" t="str">
        <f t="shared" si="317"/>
        <v>.</v>
      </c>
      <c r="X43" s="60">
        <f t="shared" si="317"/>
        <v>5.754446437720274</v>
      </c>
      <c r="Y43" s="60" t="str">
        <f t="shared" si="317"/>
        <v>.</v>
      </c>
      <c r="Z43" s="60" t="str">
        <f t="shared" si="317"/>
        <v>.</v>
      </c>
      <c r="AA43" s="60" t="str">
        <f t="shared" si="317"/>
        <v>.</v>
      </c>
      <c r="AB43" s="60" t="str">
        <f t="shared" si="317"/>
        <v>.</v>
      </c>
      <c r="AC43" s="60" t="str">
        <f t="shared" si="317"/>
        <v>.</v>
      </c>
      <c r="AD43" s="60" t="str">
        <f t="shared" si="317"/>
        <v>.</v>
      </c>
      <c r="AE43" s="60" t="str">
        <f t="shared" si="317"/>
        <v>.</v>
      </c>
      <c r="AF43" s="60" t="str">
        <f t="shared" si="317"/>
        <v>.</v>
      </c>
      <c r="AG43" s="111" t="str">
        <f t="shared" si="264"/>
        <v>.</v>
      </c>
      <c r="AH43" s="111" t="str">
        <f t="shared" si="265"/>
        <v>.</v>
      </c>
      <c r="AI43" s="111">
        <f t="shared" si="266"/>
        <v>0.17377866156595381</v>
      </c>
      <c r="AJ43" s="111" t="str">
        <f t="shared" si="267"/>
        <v>.</v>
      </c>
      <c r="AK43" s="111" t="str">
        <f t="shared" si="268"/>
        <v>.</v>
      </c>
      <c r="AL43" s="111" t="str">
        <f t="shared" si="269"/>
        <v>.</v>
      </c>
      <c r="AM43" s="111" t="str">
        <f t="shared" si="270"/>
        <v>.</v>
      </c>
      <c r="AN43" s="111" t="str">
        <f t="shared" si="271"/>
        <v>.</v>
      </c>
      <c r="AO43" s="111" t="str">
        <f t="shared" si="272"/>
        <v>.</v>
      </c>
      <c r="AP43" s="111" t="str">
        <f t="shared" si="273"/>
        <v>.</v>
      </c>
      <c r="AQ43" s="111" t="str">
        <f t="shared" si="274"/>
        <v>.</v>
      </c>
      <c r="AR43" s="60">
        <f>IFERROR(AR28/$B43,".")</f>
        <v>5.754446437720274</v>
      </c>
      <c r="AS43" s="247">
        <f>IFERROR(AS28/$B43,0)</f>
        <v>1.3845456509931115E-14</v>
      </c>
      <c r="AT43" s="60" t="str">
        <f>IFERROR(AT28/$B43,".")</f>
        <v>.</v>
      </c>
      <c r="AU43" s="60" t="str">
        <f>IFERROR(AU28,".")</f>
        <v>.</v>
      </c>
      <c r="AV43" s="60">
        <f t="shared" ref="AV43:BD43" si="318">IFERROR(AV28/$B43,".")</f>
        <v>68114.577907328203</v>
      </c>
      <c r="AW43" s="60" t="str">
        <f t="shared" si="318"/>
        <v>.</v>
      </c>
      <c r="AX43" s="60" t="str">
        <f t="shared" si="318"/>
        <v>.</v>
      </c>
      <c r="AY43" s="60" t="str">
        <f t="shared" si="318"/>
        <v>.</v>
      </c>
      <c r="AZ43" s="60" t="str">
        <f t="shared" si="318"/>
        <v>.</v>
      </c>
      <c r="BA43" s="60" t="str">
        <f t="shared" si="318"/>
        <v>.</v>
      </c>
      <c r="BB43" s="60" t="str">
        <f t="shared" si="318"/>
        <v>.</v>
      </c>
      <c r="BC43" s="60" t="str">
        <f t="shared" si="318"/>
        <v>.</v>
      </c>
      <c r="BD43" s="60" t="str">
        <f t="shared" si="318"/>
        <v>.</v>
      </c>
      <c r="BE43" s="111" t="str">
        <f t="shared" si="276"/>
        <v>.</v>
      </c>
      <c r="BF43" s="111" t="str">
        <f t="shared" si="277"/>
        <v>.</v>
      </c>
      <c r="BG43" s="111">
        <f t="shared" si="278"/>
        <v>1.4681145075295454E-5</v>
      </c>
      <c r="BH43" s="111" t="str">
        <f t="shared" si="279"/>
        <v>.</v>
      </c>
      <c r="BI43" s="111" t="str">
        <f t="shared" si="280"/>
        <v>.</v>
      </c>
      <c r="BJ43" s="111" t="str">
        <f t="shared" si="281"/>
        <v>.</v>
      </c>
      <c r="BK43" s="111" t="str">
        <f t="shared" si="282"/>
        <v>.</v>
      </c>
      <c r="BL43" s="111" t="str">
        <f t="shared" si="283"/>
        <v>.</v>
      </c>
      <c r="BM43" s="111" t="str">
        <f t="shared" si="284"/>
        <v>.</v>
      </c>
      <c r="BN43" s="111" t="str">
        <f t="shared" si="285"/>
        <v>.</v>
      </c>
      <c r="BO43" s="111" t="str">
        <f t="shared" si="286"/>
        <v>.</v>
      </c>
      <c r="BP43" s="60">
        <f>IFERROR(BP28/$B43,".")</f>
        <v>68114.577907328203</v>
      </c>
      <c r="BQ43" s="247">
        <f>IFERROR(BQ28/$B43,0)</f>
        <v>1.638867328621524E-13</v>
      </c>
      <c r="BR43" s="60" t="str">
        <f>IFERROR(BR28/$B43,".")</f>
        <v>.</v>
      </c>
      <c r="BS43" s="60">
        <f>IFERROR(BS28/$B43,".")</f>
        <v>4190.1038754348665</v>
      </c>
      <c r="BT43" s="60">
        <f>IFERROR(BT28/$B43,".")</f>
        <v>4190.1038754348665</v>
      </c>
      <c r="BU43" s="247">
        <f>IFERROR(BU28/$B43,0)</f>
        <v>1.0081578064424646E-14</v>
      </c>
    </row>
    <row r="44" spans="1:73" x14ac:dyDescent="0.25">
      <c r="A44" s="169" t="s">
        <v>1072</v>
      </c>
      <c r="B44" s="170">
        <v>0.99987999999999999</v>
      </c>
      <c r="C44" s="42"/>
      <c r="D44" s="60">
        <f t="shared" ref="D44:AF44" si="319">IFERROR(D15/$B44,".")</f>
        <v>7.3056052792575645</v>
      </c>
      <c r="E44" s="60">
        <f t="shared" si="319"/>
        <v>66.063454851555221</v>
      </c>
      <c r="F44" s="60">
        <f t="shared" si="319"/>
        <v>119.56285841325472</v>
      </c>
      <c r="G44" s="60">
        <f t="shared" si="319"/>
        <v>43.208025773666847</v>
      </c>
      <c r="H44" s="60">
        <f t="shared" si="319"/>
        <v>7.4391264441300189</v>
      </c>
      <c r="I44" s="60">
        <f t="shared" si="319"/>
        <v>77.579262124294715</v>
      </c>
      <c r="J44" s="60">
        <f t="shared" si="319"/>
        <v>74.955414826318687</v>
      </c>
      <c r="K44" s="60">
        <f t="shared" si="319"/>
        <v>57.195177954160968</v>
      </c>
      <c r="L44" s="111">
        <f t="shared" si="288"/>
        <v>0.13688119762495921</v>
      </c>
      <c r="M44" s="111">
        <f t="shared" si="289"/>
        <v>1.5136961914071902E-2</v>
      </c>
      <c r="N44" s="111">
        <f t="shared" si="290"/>
        <v>8.3638013783813997E-3</v>
      </c>
      <c r="O44" s="111">
        <f t="shared" si="291"/>
        <v>2.3143848442375502E-2</v>
      </c>
      <c r="P44" s="111">
        <f t="shared" si="292"/>
        <v>0.13442438537781121</v>
      </c>
      <c r="Q44" s="111">
        <f t="shared" si="293"/>
        <v>1.2890042681739301E-2</v>
      </c>
      <c r="R44" s="111">
        <f t="shared" si="294"/>
        <v>1.3341264301146599E-2</v>
      </c>
      <c r="S44" s="111">
        <f t="shared" si="295"/>
        <v>1.7483991409231198E-2</v>
      </c>
      <c r="T44" s="60">
        <f>IFERROR(T15/$B44,".")</f>
        <v>2.7649859303589586</v>
      </c>
      <c r="U44" s="247">
        <f>IFERROR(U15/$B44,0)</f>
        <v>6.0086540527957044E-13</v>
      </c>
      <c r="V44" s="60">
        <f t="shared" si="319"/>
        <v>89900.872756470737</v>
      </c>
      <c r="W44" s="60">
        <f t="shared" si="319"/>
        <v>812989103.79152989</v>
      </c>
      <c r="X44" s="60">
        <f t="shared" si="319"/>
        <v>2284.6596125672932</v>
      </c>
      <c r="Y44" s="60">
        <f t="shared" si="319"/>
        <v>423.76051247234022</v>
      </c>
      <c r="Z44" s="60" t="str">
        <f t="shared" si="319"/>
        <v>.</v>
      </c>
      <c r="AA44" s="60" t="str">
        <f t="shared" si="319"/>
        <v>.</v>
      </c>
      <c r="AB44" s="60">
        <f t="shared" si="319"/>
        <v>17187.501607983912</v>
      </c>
      <c r="AC44" s="60">
        <f t="shared" si="319"/>
        <v>7035.9806897236704</v>
      </c>
      <c r="AD44" s="60" t="str">
        <f t="shared" si="319"/>
        <v>.</v>
      </c>
      <c r="AE44" s="60">
        <f t="shared" si="319"/>
        <v>449.73248895791215</v>
      </c>
      <c r="AF44" s="60">
        <f t="shared" si="319"/>
        <v>389.96712241473386</v>
      </c>
      <c r="AG44" s="111">
        <f t="shared" si="264"/>
        <v>1.1123362536300002E-5</v>
      </c>
      <c r="AH44" s="111">
        <f t="shared" si="265"/>
        <v>1.2300287855474434E-9</v>
      </c>
      <c r="AI44" s="111">
        <f t="shared" si="266"/>
        <v>4.3770196422227237E-4</v>
      </c>
      <c r="AJ44" s="111">
        <f t="shared" si="267"/>
        <v>2.3598234629406915E-3</v>
      </c>
      <c r="AK44" s="111" t="str">
        <f t="shared" si="268"/>
        <v>.</v>
      </c>
      <c r="AL44" s="111" t="str">
        <f t="shared" si="269"/>
        <v>.</v>
      </c>
      <c r="AM44" s="111">
        <f t="shared" si="270"/>
        <v>5.8181812738593816E-5</v>
      </c>
      <c r="AN44" s="111">
        <f t="shared" si="271"/>
        <v>1.4212659813869866E-4</v>
      </c>
      <c r="AO44" s="111" t="str">
        <f t="shared" si="272"/>
        <v>.</v>
      </c>
      <c r="AP44" s="111">
        <f t="shared" si="273"/>
        <v>2.2235440501910996E-3</v>
      </c>
      <c r="AQ44" s="111">
        <f t="shared" si="274"/>
        <v>2.564318740020576E-3</v>
      </c>
      <c r="AR44" s="60">
        <f>IFERROR(AR15/$B44,".")</f>
        <v>128.25739768536229</v>
      </c>
      <c r="AS44" s="247">
        <f>IFERROR(AS15/$B44,0)</f>
        <v>2.7871907916114928E-11</v>
      </c>
      <c r="AT44" s="60">
        <f>IFERROR(AT15/$B44,".")</f>
        <v>4611.3293340741011</v>
      </c>
      <c r="AU44" s="60" t="str">
        <f>IFERROR(AU15,".")</f>
        <v>.</v>
      </c>
      <c r="AV44" s="60">
        <f t="shared" ref="AV44:BD44" si="320">IFERROR(AV15/$B44,".")</f>
        <v>2796346.6894454909</v>
      </c>
      <c r="AW44" s="60">
        <f t="shared" si="320"/>
        <v>1715.4598497767963</v>
      </c>
      <c r="AX44" s="60" t="str">
        <f t="shared" si="320"/>
        <v>.</v>
      </c>
      <c r="AY44" s="60" t="str">
        <f t="shared" si="320"/>
        <v>.</v>
      </c>
      <c r="AZ44" s="60">
        <f t="shared" si="320"/>
        <v>1164636.813306384</v>
      </c>
      <c r="BA44" s="60">
        <f t="shared" si="320"/>
        <v>438346.69550651708</v>
      </c>
      <c r="BB44" s="60" t="str">
        <f t="shared" si="320"/>
        <v>.</v>
      </c>
      <c r="BC44" s="60">
        <f t="shared" si="320"/>
        <v>2998.2165930527476</v>
      </c>
      <c r="BD44" s="60">
        <f t="shared" si="320"/>
        <v>2599.7808160982258</v>
      </c>
      <c r="BE44" s="111">
        <f t="shared" si="276"/>
        <v>2.1685720701204001E-4</v>
      </c>
      <c r="BF44" s="111" t="str">
        <f t="shared" si="277"/>
        <v>.</v>
      </c>
      <c r="BG44" s="111">
        <f t="shared" si="278"/>
        <v>3.5760944941998508E-7</v>
      </c>
      <c r="BH44" s="111">
        <f t="shared" si="279"/>
        <v>5.8293407457488036E-4</v>
      </c>
      <c r="BI44" s="111" t="str">
        <f t="shared" si="280"/>
        <v>.</v>
      </c>
      <c r="BJ44" s="111" t="str">
        <f t="shared" si="281"/>
        <v>.</v>
      </c>
      <c r="BK44" s="111">
        <f t="shared" si="282"/>
        <v>8.5863677721213117E-7</v>
      </c>
      <c r="BL44" s="111">
        <f t="shared" si="283"/>
        <v>2.281299278062272E-6</v>
      </c>
      <c r="BM44" s="111" t="str">
        <f t="shared" si="284"/>
        <v>.</v>
      </c>
      <c r="BN44" s="111">
        <f t="shared" si="285"/>
        <v>3.3353160752866494E-4</v>
      </c>
      <c r="BO44" s="111">
        <f t="shared" si="286"/>
        <v>3.8464781100308636E-4</v>
      </c>
      <c r="BP44" s="60">
        <f>IFERROR(BP15/$B44,".")</f>
        <v>657.25985598226305</v>
      </c>
      <c r="BQ44" s="247">
        <f>IFERROR(BQ15/$B44,0)</f>
        <v>1.4283063989678399E-13</v>
      </c>
      <c r="BR44" s="60">
        <f>IFERROR(BR15/$B44,".")</f>
        <v>598.07438040305271</v>
      </c>
      <c r="BS44" s="60">
        <f>IFERROR(BS15/$B44,".")</f>
        <v>89324.634416520465</v>
      </c>
      <c r="BT44" s="60">
        <f>IFERROR(BT15/$B44,".")</f>
        <v>594.09659804662601</v>
      </c>
      <c r="BU44" s="247">
        <f>IFERROR(BU15/$B44,0)</f>
        <v>1.2910448810643927E-13</v>
      </c>
    </row>
    <row r="45" spans="1:73" x14ac:dyDescent="0.25">
      <c r="A45" s="76" t="s">
        <v>8</v>
      </c>
      <c r="B45" s="57" t="s">
        <v>1185</v>
      </c>
      <c r="C45" s="57"/>
      <c r="D45" s="58">
        <f t="shared" ref="D45:AF45" si="321">IFERROR(1/SUM(IFERROR(1/SUMIF(D46,"&lt;&gt;.",D46),0),IFERROR(1/SUMIF(D47,"&lt;&gt;.",D47),0)),".")</f>
        <v>4.1027310294347134E-2</v>
      </c>
      <c r="E45" s="58">
        <f t="shared" si="321"/>
        <v>0.37100360034600655</v>
      </c>
      <c r="F45" s="58">
        <f t="shared" si="321"/>
        <v>0.67144915503814373</v>
      </c>
      <c r="G45" s="58">
        <f t="shared" si="321"/>
        <v>0.24265054199623146</v>
      </c>
      <c r="H45" s="58">
        <f t="shared" si="321"/>
        <v>4.1777147447147917E-2</v>
      </c>
      <c r="I45" s="58">
        <f t="shared" si="321"/>
        <v>0.4356748466300101</v>
      </c>
      <c r="J45" s="58">
        <f t="shared" si="321"/>
        <v>0.42093966820958667</v>
      </c>
      <c r="K45" s="58">
        <f t="shared" si="321"/>
        <v>0.32120053350380773</v>
      </c>
      <c r="L45" s="168"/>
      <c r="M45" s="168"/>
      <c r="N45" s="168"/>
      <c r="O45" s="168"/>
      <c r="P45" s="168"/>
      <c r="Q45" s="168"/>
      <c r="R45" s="168"/>
      <c r="S45" s="111"/>
      <c r="T45" s="59">
        <f t="shared" ref="T45" si="322">IFERROR(1/SUM(IFERROR(1/SUMIF(T46,"&lt;&gt;.",T46),0),IFERROR(1/SUMIF(T47,"&lt;&gt;.",T47),0)),".")</f>
        <v>1.5527794260446199E-2</v>
      </c>
      <c r="U45" s="190">
        <f>T45*(0.0000000000028)*RadSpec!$AY10*RadSpec!$AF10</f>
        <v>1.7968918112908E-10</v>
      </c>
      <c r="V45" s="58">
        <f t="shared" si="321"/>
        <v>504.8713777056372</v>
      </c>
      <c r="W45" s="58">
        <f t="shared" si="321"/>
        <v>1360667.3824440152</v>
      </c>
      <c r="X45" s="58">
        <f t="shared" si="321"/>
        <v>0.48478904375967075</v>
      </c>
      <c r="Y45" s="58">
        <f t="shared" si="321"/>
        <v>1.61979685068912</v>
      </c>
      <c r="Z45" s="58">
        <f t="shared" si="321"/>
        <v>1.7467212822316704</v>
      </c>
      <c r="AA45" s="58">
        <f t="shared" si="321"/>
        <v>21.338426537229161</v>
      </c>
      <c r="AB45" s="58">
        <f t="shared" si="321"/>
        <v>2.8761537026566488</v>
      </c>
      <c r="AC45" s="58">
        <f t="shared" si="321"/>
        <v>1.5206363965425562</v>
      </c>
      <c r="AD45" s="58">
        <f t="shared" si="321"/>
        <v>1.2801415669833802</v>
      </c>
      <c r="AE45" s="58">
        <f t="shared" si="321"/>
        <v>1.6837586728383467E-3</v>
      </c>
      <c r="AF45" s="58">
        <f t="shared" si="321"/>
        <v>0.13965240587122074</v>
      </c>
      <c r="AG45" s="168"/>
      <c r="AH45" s="168"/>
      <c r="AI45" s="168"/>
      <c r="AJ45" s="168"/>
      <c r="AK45" s="168"/>
      <c r="AL45" s="168"/>
      <c r="AM45" s="168"/>
      <c r="AN45" s="168"/>
      <c r="AO45" s="168"/>
      <c r="AP45" s="168"/>
      <c r="AQ45" s="111"/>
      <c r="AR45" s="59">
        <f t="shared" ref="AR45:BD45" si="323">IFERROR(1/SUM(IFERROR(1/SUMIF(AR46,"&lt;&gt;.",AR46),0),IFERROR(1/SUMIF(AR47,"&lt;&gt;.",AR47),0)),".")</f>
        <v>1.6497351470078636E-3</v>
      </c>
      <c r="AS45" s="190">
        <f>AR45*(0.0000000000028)*RadSpec!$AY10*RadSpec!$AF10</f>
        <v>1.9090899368806235E-11</v>
      </c>
      <c r="AT45" s="58">
        <f t="shared" si="323"/>
        <v>25.896613932269531</v>
      </c>
      <c r="AU45" s="58" t="str">
        <f t="shared" si="323"/>
        <v>.</v>
      </c>
      <c r="AV45" s="58">
        <f t="shared" si="323"/>
        <v>5679.2785905348019</v>
      </c>
      <c r="AW45" s="58">
        <f t="shared" si="323"/>
        <v>9.0212945460834106</v>
      </c>
      <c r="AX45" s="58">
        <f t="shared" si="323"/>
        <v>343.52185217222825</v>
      </c>
      <c r="AY45" s="58">
        <f t="shared" si="323"/>
        <v>4196.5572189883969</v>
      </c>
      <c r="AZ45" s="58">
        <f t="shared" si="323"/>
        <v>208.10509605165649</v>
      </c>
      <c r="BA45" s="58">
        <f t="shared" si="323"/>
        <v>101.67878513837984</v>
      </c>
      <c r="BB45" s="58">
        <f t="shared" si="323"/>
        <v>191.08545904824999</v>
      </c>
      <c r="BC45" s="58">
        <f t="shared" si="323"/>
        <v>0.16837586728383466</v>
      </c>
      <c r="BD45" s="58">
        <f t="shared" si="323"/>
        <v>13.965240587122075</v>
      </c>
      <c r="BE45" s="168"/>
      <c r="BF45" s="168"/>
      <c r="BG45" s="168"/>
      <c r="BH45" s="168"/>
      <c r="BI45" s="168"/>
      <c r="BJ45" s="168"/>
      <c r="BK45" s="168"/>
      <c r="BL45" s="168"/>
      <c r="BM45" s="168"/>
      <c r="BN45" s="168"/>
      <c r="BO45" s="111"/>
      <c r="BP45" s="59">
        <f>IFERROR(1/SUM(IFERROR(1/SUMIF(BP46,"&lt;&gt;.",BP46),0),IFERROR(1/SUMIF(BP47,"&lt;&gt;.",BP47),0)),".")</f>
        <v>0.16172430511670213</v>
      </c>
      <c r="BQ45" s="190">
        <f>BP45*(0.0000000000000028)*RadSpec!$AY10*RadSpec!$AF10</f>
        <v>1.8714897600822945E-12</v>
      </c>
      <c r="BR45" s="58">
        <f>IFERROR(1/SUM(IFERROR(1/SUMIF(BR46,"&lt;&gt;.",BR46),0),IFERROR(1/SUMIF(BR47,"&lt;&gt;.",BR47),0)),".")</f>
        <v>1.0009731961899959</v>
      </c>
      <c r="BS45" s="58">
        <f>IFERROR(1/SUM(IFERROR(1/SUMIF(BS46,"&lt;&gt;.",BS46),0),IFERROR(1/SUMIF(BS47,"&lt;&gt;.",BS47),0)),".")</f>
        <v>350.42474812443277</v>
      </c>
      <c r="BT45" s="59">
        <f>IFERROR(1/SUM(IFERROR(1/SUMIF(BT46,"&lt;&gt;.",BT46),0),IFERROR(1/SUMIF(BT47,"&lt;&gt;.",BT47),0)),".")</f>
        <v>0.99812210340223551</v>
      </c>
      <c r="BU45" s="190">
        <f>BT45*(0.0000000000000028)*RadSpec!$AY10*RadSpec!$AF10</f>
        <v>1.1550368353607285E-11</v>
      </c>
    </row>
    <row r="46" spans="1:73" x14ac:dyDescent="0.25">
      <c r="A46" s="77" t="s">
        <v>1084</v>
      </c>
      <c r="B46" s="42">
        <v>1</v>
      </c>
      <c r="C46" s="42"/>
      <c r="D46" s="60">
        <f t="shared" ref="D46:AF46" si="324">IFERROR(D10/$B46,".")</f>
        <v>4.1027310294347134E-2</v>
      </c>
      <c r="E46" s="60">
        <f t="shared" si="324"/>
        <v>0.37100360034600655</v>
      </c>
      <c r="F46" s="60">
        <f t="shared" si="324"/>
        <v>0.67144915503814373</v>
      </c>
      <c r="G46" s="60">
        <f t="shared" si="324"/>
        <v>0.24265054199623146</v>
      </c>
      <c r="H46" s="60">
        <f t="shared" si="324"/>
        <v>4.1777147447147917E-2</v>
      </c>
      <c r="I46" s="60">
        <f t="shared" si="324"/>
        <v>0.4356748466300101</v>
      </c>
      <c r="J46" s="60">
        <f t="shared" si="324"/>
        <v>0.42093966820958667</v>
      </c>
      <c r="K46" s="60">
        <f t="shared" si="324"/>
        <v>0.32120053350380773</v>
      </c>
      <c r="L46" s="111">
        <f t="shared" ref="L46:L47" si="325">IFERROR(1/D46,".")</f>
        <v>24.374008259999997</v>
      </c>
      <c r="M46" s="111">
        <f t="shared" ref="M46:M47" si="326">IFERROR(1/E46,".")</f>
        <v>2.6953916324999998</v>
      </c>
      <c r="N46" s="111">
        <f t="shared" ref="N46:N47" si="327">IFERROR(1/F46,".")</f>
        <v>1.489316045</v>
      </c>
      <c r="O46" s="111">
        <f t="shared" ref="O46:O47" si="328">IFERROR(1/G46,".")</f>
        <v>4.1211529625000001</v>
      </c>
      <c r="P46" s="111">
        <f t="shared" ref="P46:P47" si="329">IFERROR(1/H46,".")</f>
        <v>23.93653136</v>
      </c>
      <c r="Q46" s="111">
        <f t="shared" ref="Q46:Q47" si="330">IFERROR(1/I46,".")</f>
        <v>2.2952897274999997</v>
      </c>
      <c r="R46" s="111">
        <f t="shared" ref="R46:R47" si="331">IFERROR(1/J46,".")</f>
        <v>2.3756373549999998</v>
      </c>
      <c r="S46" s="111">
        <f t="shared" ref="S46:S47" si="332">IFERROR(1/K46,".")</f>
        <v>3.1133198599999998</v>
      </c>
      <c r="T46" s="60">
        <f>IFERROR(T10/$B46,".")</f>
        <v>1.5527794260446199E-2</v>
      </c>
      <c r="U46" s="189">
        <f>IFERROR(U10/$B46,0)</f>
        <v>1.7968918112908E-10</v>
      </c>
      <c r="V46" s="60">
        <f t="shared" si="324"/>
        <v>504.8713777056372</v>
      </c>
      <c r="W46" s="60">
        <f t="shared" si="324"/>
        <v>1360667.3824440152</v>
      </c>
      <c r="X46" s="60">
        <f t="shared" si="324"/>
        <v>1781.8206536627526</v>
      </c>
      <c r="Y46" s="60">
        <f t="shared" si="324"/>
        <v>1.61979685068912</v>
      </c>
      <c r="Z46" s="60">
        <f t="shared" si="324"/>
        <v>1.7467212822316702</v>
      </c>
      <c r="AA46" s="60">
        <f t="shared" si="324"/>
        <v>21.338426537229161</v>
      </c>
      <c r="AB46" s="60">
        <f t="shared" si="324"/>
        <v>2.8761537026566488</v>
      </c>
      <c r="AC46" s="60">
        <f t="shared" si="324"/>
        <v>1.520636396542556</v>
      </c>
      <c r="AD46" s="60">
        <f t="shared" si="324"/>
        <v>1.2801415669833802</v>
      </c>
      <c r="AE46" s="60">
        <f t="shared" si="324"/>
        <v>1.6837586728383467E-3</v>
      </c>
      <c r="AF46" s="60">
        <f t="shared" si="324"/>
        <v>0.13965240587122074</v>
      </c>
      <c r="AG46" s="111">
        <f t="shared" ref="AG46:AG47" si="333">IFERROR(1/V46,".")</f>
        <v>1.9807025000000002E-3</v>
      </c>
      <c r="AH46" s="111">
        <f t="shared" ref="AH46:AH47" si="334">IFERROR(1/W46,".")</f>
        <v>7.3493346934194266E-7</v>
      </c>
      <c r="AI46" s="111">
        <f t="shared" ref="AI46:AI47" si="335">IFERROR(1/X46,".")</f>
        <v>5.6122371123287654E-4</v>
      </c>
      <c r="AJ46" s="111">
        <f t="shared" ref="AJ46:AJ47" si="336">IFERROR(1/Y46,".")</f>
        <v>0.61736136823241994</v>
      </c>
      <c r="AK46" s="111">
        <f t="shared" ref="AK46:AK47" si="337">IFERROR(1/Z46,".")</f>
        <v>0.57250118274299955</v>
      </c>
      <c r="AL46" s="111">
        <f t="shared" ref="AL46:AL47" si="338">IFERROR(1/AA46,".")</f>
        <v>4.6863811549333292E-2</v>
      </c>
      <c r="AM46" s="111">
        <f t="shared" ref="AM46:AM47" si="339">IFERROR(1/AB46,".")</f>
        <v>0.34768656455192881</v>
      </c>
      <c r="AN46" s="111">
        <f t="shared" ref="AN46:AN47" si="340">IFERROR(1/AC46,".")</f>
        <v>0.65761940347717718</v>
      </c>
      <c r="AO46" s="111">
        <f t="shared" ref="AO46:AO47" si="341">IFERROR(1/AD46,".")</f>
        <v>0.78116360392583262</v>
      </c>
      <c r="AP46" s="111">
        <f t="shared" ref="AP46:AP47" si="342">IFERROR(1/AE46,".")</f>
        <v>593.90933874999996</v>
      </c>
      <c r="AQ46" s="111">
        <f t="shared" si="274"/>
        <v>7.1606356780000002</v>
      </c>
      <c r="AR46" s="60">
        <f>IFERROR(AR10/$B46,".")</f>
        <v>1.6553668209211296E-3</v>
      </c>
      <c r="AS46" s="189">
        <f>IFERROR(AS10/$B46,0)</f>
        <v>1.9156069660020003E-11</v>
      </c>
      <c r="AT46" s="60">
        <f>IFERROR(AT10/$B46,".")</f>
        <v>25.896613932269531</v>
      </c>
      <c r="AU46" s="60" t="str">
        <f>IFERROR(AU10,".")</f>
        <v>.</v>
      </c>
      <c r="AV46" s="60">
        <f t="shared" ref="AV46:BD46" si="343">IFERROR(AV10/$B46,".")</f>
        <v>2982411.8696989412</v>
      </c>
      <c r="AW46" s="60">
        <f t="shared" si="343"/>
        <v>9.0212945460834106</v>
      </c>
      <c r="AX46" s="60">
        <f t="shared" si="343"/>
        <v>343.52185217222825</v>
      </c>
      <c r="AY46" s="60">
        <f t="shared" si="343"/>
        <v>4196.5572189883969</v>
      </c>
      <c r="AZ46" s="60">
        <f t="shared" si="343"/>
        <v>208.10509605165649</v>
      </c>
      <c r="BA46" s="60">
        <f t="shared" si="343"/>
        <v>101.67878513837985</v>
      </c>
      <c r="BB46" s="60">
        <f t="shared" si="343"/>
        <v>191.08545904825002</v>
      </c>
      <c r="BC46" s="60">
        <f t="shared" si="343"/>
        <v>0.16837586728383466</v>
      </c>
      <c r="BD46" s="60">
        <f t="shared" si="343"/>
        <v>13.965240587122075</v>
      </c>
      <c r="BE46" s="111">
        <f t="shared" ref="BE46:BE47" si="344">IFERROR(1/AT46,".")</f>
        <v>3.8615086999999999E-2</v>
      </c>
      <c r="BF46" s="111" t="str">
        <f t="shared" ref="BF46:BF47" si="345">IFERROR(1/AU46,".")</f>
        <v>.</v>
      </c>
      <c r="BG46" s="111">
        <f t="shared" ref="BG46:BG47" si="346">IFERROR(1/AV46,".")</f>
        <v>3.3529909472260274E-7</v>
      </c>
      <c r="BH46" s="111">
        <f t="shared" ref="BH46:BH47" si="347">IFERROR(1/AW46,".")</f>
        <v>0.11084883603918567</v>
      </c>
      <c r="BI46" s="111">
        <f t="shared" ref="BI46:BI47" si="348">IFERROR(1/AX46,".")</f>
        <v>2.9110229631E-3</v>
      </c>
      <c r="BJ46" s="111">
        <f t="shared" ref="BJ46:BJ47" si="349">IFERROR(1/AY46,".")</f>
        <v>2.3829056720000007E-4</v>
      </c>
      <c r="BK46" s="111">
        <f t="shared" ref="BK46:BK47" si="350">IFERROR(1/AZ46,".")</f>
        <v>4.805264354275E-3</v>
      </c>
      <c r="BL46" s="111">
        <f t="shared" ref="BL46:BL47" si="351">IFERROR(1/BA46,".")</f>
        <v>9.8348932733514569E-3</v>
      </c>
      <c r="BM46" s="111">
        <f t="shared" ref="BM46:BM47" si="352">IFERROR(1/BB46,".")</f>
        <v>5.2332605787000002E-3</v>
      </c>
      <c r="BN46" s="111">
        <f t="shared" ref="BN46:BN47" si="353">IFERROR(1/BC46,".")</f>
        <v>5.9390933874999998</v>
      </c>
      <c r="BO46" s="111">
        <f t="shared" si="286"/>
        <v>7.1606356780000005E-2</v>
      </c>
      <c r="BP46" s="60">
        <f>IFERROR(BP10/$B46,".")</f>
        <v>0.16172890177225582</v>
      </c>
      <c r="BQ46" s="189">
        <f>IFERROR(BQ10/$B46,0)</f>
        <v>1.871542953038005E-12</v>
      </c>
      <c r="BR46" s="60">
        <f>IFERROR(BR10/$B46,".")</f>
        <v>1.0009731961899959</v>
      </c>
      <c r="BS46" s="60">
        <f>IFERROR(BS10/$B46,".")</f>
        <v>95014.803681266494</v>
      </c>
      <c r="BT46" s="60">
        <f>IFERROR(BT10/$B46,".")</f>
        <v>1.0009626511302228</v>
      </c>
      <c r="BU46" s="189">
        <f>IFERROR(BU10/$B46,0)</f>
        <v>1.1583239454720485E-11</v>
      </c>
    </row>
    <row r="47" spans="1:73" x14ac:dyDescent="0.25">
      <c r="A47" s="77" t="s">
        <v>1058</v>
      </c>
      <c r="B47" s="79">
        <v>0.94399</v>
      </c>
      <c r="C47" s="79"/>
      <c r="D47" s="60" t="str">
        <f t="shared" ref="D47:AF47" si="354">IFERROR(D6/$B$47,".")</f>
        <v>.</v>
      </c>
      <c r="E47" s="60" t="str">
        <f t="shared" si="354"/>
        <v>.</v>
      </c>
      <c r="F47" s="60" t="str">
        <f t="shared" si="354"/>
        <v>.</v>
      </c>
      <c r="G47" s="60" t="str">
        <f t="shared" si="354"/>
        <v>.</v>
      </c>
      <c r="H47" s="60" t="str">
        <f t="shared" si="354"/>
        <v>.</v>
      </c>
      <c r="I47" s="60" t="str">
        <f t="shared" si="354"/>
        <v>.</v>
      </c>
      <c r="J47" s="60" t="str">
        <f t="shared" si="354"/>
        <v>.</v>
      </c>
      <c r="K47" s="60" t="str">
        <f t="shared" si="354"/>
        <v>.</v>
      </c>
      <c r="L47" s="111" t="str">
        <f t="shared" si="325"/>
        <v>.</v>
      </c>
      <c r="M47" s="111" t="str">
        <f t="shared" si="326"/>
        <v>.</v>
      </c>
      <c r="N47" s="111" t="str">
        <f t="shared" si="327"/>
        <v>.</v>
      </c>
      <c r="O47" s="111" t="str">
        <f t="shared" si="328"/>
        <v>.</v>
      </c>
      <c r="P47" s="111" t="str">
        <f t="shared" si="329"/>
        <v>.</v>
      </c>
      <c r="Q47" s="111" t="str">
        <f t="shared" si="330"/>
        <v>.</v>
      </c>
      <c r="R47" s="111" t="str">
        <f t="shared" si="331"/>
        <v>.</v>
      </c>
      <c r="S47" s="111" t="str">
        <f t="shared" si="332"/>
        <v>.</v>
      </c>
      <c r="T47" s="60" t="str">
        <f>IFERROR(T6/$B$47,".")</f>
        <v>.</v>
      </c>
      <c r="U47" s="189">
        <f>IFERROR(U6/$B$47,0)</f>
        <v>0</v>
      </c>
      <c r="V47" s="60" t="str">
        <f t="shared" si="354"/>
        <v>.</v>
      </c>
      <c r="W47" s="60" t="str">
        <f t="shared" si="354"/>
        <v>.</v>
      </c>
      <c r="X47" s="60">
        <f t="shared" si="354"/>
        <v>0.48492097868649581</v>
      </c>
      <c r="Y47" s="60" t="str">
        <f t="shared" si="354"/>
        <v>.</v>
      </c>
      <c r="Z47" s="60" t="str">
        <f t="shared" si="354"/>
        <v>.</v>
      </c>
      <c r="AA47" s="60" t="str">
        <f t="shared" si="354"/>
        <v>.</v>
      </c>
      <c r="AB47" s="60" t="str">
        <f t="shared" si="354"/>
        <v>.</v>
      </c>
      <c r="AC47" s="60" t="str">
        <f t="shared" si="354"/>
        <v>.</v>
      </c>
      <c r="AD47" s="60" t="str">
        <f t="shared" si="354"/>
        <v>.</v>
      </c>
      <c r="AE47" s="60" t="str">
        <f t="shared" si="354"/>
        <v>.</v>
      </c>
      <c r="AF47" s="60" t="str">
        <f t="shared" si="354"/>
        <v>.</v>
      </c>
      <c r="AG47" s="111" t="str">
        <f t="shared" si="333"/>
        <v>.</v>
      </c>
      <c r="AH47" s="111" t="str">
        <f t="shared" si="334"/>
        <v>.</v>
      </c>
      <c r="AI47" s="111">
        <f t="shared" si="335"/>
        <v>2.0621916641113307</v>
      </c>
      <c r="AJ47" s="111" t="str">
        <f t="shared" si="336"/>
        <v>.</v>
      </c>
      <c r="AK47" s="111" t="str">
        <f t="shared" si="337"/>
        <v>.</v>
      </c>
      <c r="AL47" s="111" t="str">
        <f t="shared" si="338"/>
        <v>.</v>
      </c>
      <c r="AM47" s="111" t="str">
        <f t="shared" si="339"/>
        <v>.</v>
      </c>
      <c r="AN47" s="111" t="str">
        <f t="shared" si="340"/>
        <v>.</v>
      </c>
      <c r="AO47" s="111" t="str">
        <f t="shared" si="341"/>
        <v>.</v>
      </c>
      <c r="AP47" s="111" t="str">
        <f t="shared" si="342"/>
        <v>.</v>
      </c>
      <c r="AQ47" s="111" t="str">
        <f t="shared" si="274"/>
        <v>.</v>
      </c>
      <c r="AR47" s="60">
        <f>IFERROR(AR6/$B$47,".")</f>
        <v>0.48492097868649581</v>
      </c>
      <c r="AS47" s="189">
        <f>IFERROR(AS6/$B$47,0)</f>
        <v>9.0318119160274803E-16</v>
      </c>
      <c r="AT47" s="60" t="str">
        <f>IFERROR(AT6/$B$47,".")</f>
        <v>.</v>
      </c>
      <c r="AU47" s="60" t="str">
        <f>IFERROR(AU6,".")</f>
        <v>.</v>
      </c>
      <c r="AV47" s="60">
        <f t="shared" ref="AV47:BD47" si="355">IFERROR(AV6/$B$47,".")</f>
        <v>5690.11402983669</v>
      </c>
      <c r="AW47" s="60" t="str">
        <f t="shared" si="355"/>
        <v>.</v>
      </c>
      <c r="AX47" s="60" t="str">
        <f t="shared" si="355"/>
        <v>.</v>
      </c>
      <c r="AY47" s="60" t="str">
        <f t="shared" si="355"/>
        <v>.</v>
      </c>
      <c r="AZ47" s="60" t="str">
        <f t="shared" si="355"/>
        <v>.</v>
      </c>
      <c r="BA47" s="60" t="str">
        <f t="shared" si="355"/>
        <v>.</v>
      </c>
      <c r="BB47" s="60" t="str">
        <f t="shared" si="355"/>
        <v>.</v>
      </c>
      <c r="BC47" s="60" t="str">
        <f t="shared" si="355"/>
        <v>.</v>
      </c>
      <c r="BD47" s="60" t="str">
        <f t="shared" si="355"/>
        <v>.</v>
      </c>
      <c r="BE47" s="111" t="str">
        <f t="shared" si="344"/>
        <v>.</v>
      </c>
      <c r="BF47" s="111" t="str">
        <f t="shared" si="345"/>
        <v>.</v>
      </c>
      <c r="BG47" s="111">
        <f t="shared" si="346"/>
        <v>1.7574340246195394E-4</v>
      </c>
      <c r="BH47" s="111" t="str">
        <f t="shared" si="347"/>
        <v>.</v>
      </c>
      <c r="BI47" s="111" t="str">
        <f t="shared" si="348"/>
        <v>.</v>
      </c>
      <c r="BJ47" s="111" t="str">
        <f t="shared" si="349"/>
        <v>.</v>
      </c>
      <c r="BK47" s="111" t="str">
        <f t="shared" si="350"/>
        <v>.</v>
      </c>
      <c r="BL47" s="111" t="str">
        <f t="shared" si="351"/>
        <v>.</v>
      </c>
      <c r="BM47" s="111" t="str">
        <f t="shared" si="352"/>
        <v>.</v>
      </c>
      <c r="BN47" s="111" t="str">
        <f t="shared" si="353"/>
        <v>.</v>
      </c>
      <c r="BO47" s="111" t="str">
        <f t="shared" si="286"/>
        <v>.</v>
      </c>
      <c r="BP47" s="60">
        <f>IFERROR(BP6/$B$47,".")</f>
        <v>5690.11402983669</v>
      </c>
      <c r="BQ47" s="189">
        <f>IFERROR(BQ6/$B$47,0)</f>
        <v>1.0598023586737709E-14</v>
      </c>
      <c r="BR47" s="60" t="str">
        <f>IFERROR(BR6/$B$47,".")</f>
        <v>.</v>
      </c>
      <c r="BS47" s="60">
        <f>IFERROR(BS6/$B$47,".")</f>
        <v>351.72193620596869</v>
      </c>
      <c r="BT47" s="60">
        <f>IFERROR(BT6/$B$47,".")</f>
        <v>351.72193620596869</v>
      </c>
      <c r="BU47" s="189">
        <f>IFERROR(BU6/$B$47,0)</f>
        <v>6.5509361610999129E-16</v>
      </c>
    </row>
    <row r="48" spans="1:73" x14ac:dyDescent="0.25">
      <c r="A48" s="76" t="s">
        <v>21</v>
      </c>
      <c r="B48" s="57" t="s">
        <v>1185</v>
      </c>
      <c r="C48" s="239"/>
      <c r="D48" s="58">
        <f t="shared" ref="D48:AF48" si="356">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1.6919013752349541E-4</v>
      </c>
      <c r="E48" s="58">
        <f t="shared" si="356"/>
        <v>1.5299601585849372E-3</v>
      </c>
      <c r="F48" s="58">
        <f t="shared" si="356"/>
        <v>2.7689500985052591E-3</v>
      </c>
      <c r="G48" s="58">
        <f t="shared" si="356"/>
        <v>1.0006524501838879E-3</v>
      </c>
      <c r="H48" s="58">
        <f t="shared" si="356"/>
        <v>1.7228234732453789E-4</v>
      </c>
      <c r="I48" s="58">
        <f t="shared" si="356"/>
        <v>1.7966541478839138E-3</v>
      </c>
      <c r="J48" s="58">
        <f t="shared" si="356"/>
        <v>1.7358886030432086E-3</v>
      </c>
      <c r="K48" s="58">
        <f t="shared" si="356"/>
        <v>1.3245801892993458E-3</v>
      </c>
      <c r="L48" s="168"/>
      <c r="M48" s="168"/>
      <c r="N48" s="168"/>
      <c r="O48" s="168"/>
      <c r="P48" s="168"/>
      <c r="Q48" s="168"/>
      <c r="R48" s="168"/>
      <c r="S48" s="111"/>
      <c r="T48" s="59">
        <f t="shared" ref="T48" si="357">IFERROR(1/SUM(IFERROR(1/SUMIF(T49,"&lt;&gt;.",T49),0),IFERROR(1/SUMIF(T50,"&lt;&gt;.",T50),0),IFERROR(1/SUMIF(T51,"&lt;&gt;.",T51),0),IFERROR(1/SUMIF(T52,"&lt;&gt;.",T52),0),IFERROR(1/SUMIF(T53,"&lt;&gt;.",T53),0),IFERROR(1/SUMIF(T54,"&lt;&gt;.",T54),0),IFERROR(1/SUMIF(T55,"&lt;&gt;.",T55),0),IFERROR(1/SUMIF(T56,"&lt;&gt;.",T56),0),IFERROR(1/SUMIF(T57,"&lt;&gt;.",T57),0),IFERROR(1/SUMIF(T58,"&lt;&gt;.",T58),0),IFERROR(1/SUMIF(T59,"&lt;&gt;.",T59),0),IFERROR(1/SUMIF(T60,"&lt;&gt;.",T60),0),IFERROR(1/SUMIF(T61,"&lt;&gt;.",T61),0),IFERROR(1/SUMIF(T62,"&lt;&gt;.",T62),0)),".")</f>
        <v>6.4034167180669702E-5</v>
      </c>
      <c r="U48" s="190">
        <f>T48*(0.0000000000028)*RadSpec!$AY23*RadSpec!$AF23</f>
        <v>6.4833313587084464E-11</v>
      </c>
      <c r="V48" s="58">
        <f t="shared" si="356"/>
        <v>2.0820096958065193</v>
      </c>
      <c r="W48" s="58">
        <f t="shared" si="356"/>
        <v>2678.6417510403676</v>
      </c>
      <c r="X48" s="58">
        <f t="shared" si="356"/>
        <v>0.14829298069115954</v>
      </c>
      <c r="Y48" s="58">
        <f t="shared" si="356"/>
        <v>1.687425950429593E-2</v>
      </c>
      <c r="Z48" s="58">
        <f t="shared" si="356"/>
        <v>1.6304793883251147E-2</v>
      </c>
      <c r="AA48" s="58">
        <f t="shared" si="356"/>
        <v>2.2845457962383117E-2</v>
      </c>
      <c r="AB48" s="58">
        <f t="shared" si="356"/>
        <v>0.13721652833677198</v>
      </c>
      <c r="AC48" s="58">
        <f t="shared" si="356"/>
        <v>0.13736413565672437</v>
      </c>
      <c r="AD48" s="58" t="str">
        <f t="shared" si="356"/>
        <v>.</v>
      </c>
      <c r="AE48" s="58">
        <f t="shared" si="356"/>
        <v>2.4532282301174455E-3</v>
      </c>
      <c r="AF48" s="58">
        <f t="shared" si="356"/>
        <v>9.3993442247985594E-5</v>
      </c>
      <c r="AG48" s="168"/>
      <c r="AH48" s="168"/>
      <c r="AI48" s="168"/>
      <c r="AJ48" s="168"/>
      <c r="AK48" s="168"/>
      <c r="AL48" s="168"/>
      <c r="AM48" s="168"/>
      <c r="AN48" s="168"/>
      <c r="AO48" s="168"/>
      <c r="AP48" s="168"/>
      <c r="AQ48" s="111"/>
      <c r="AR48" s="59">
        <f t="shared" ref="AR48:BD48" si="358">IFERROR(1/SUM(IFERROR(1/SUMIF(AR49,"&lt;&gt;.",AR49),0),IFERROR(1/SUMIF(AR50,"&lt;&gt;.",AR50),0),IFERROR(1/SUMIF(AR51,"&lt;&gt;.",AR51),0),IFERROR(1/SUMIF(AR52,"&lt;&gt;.",AR52),0),IFERROR(1/SUMIF(AR53,"&lt;&gt;.",AR53),0),IFERROR(1/SUMIF(AR54,"&lt;&gt;.",AR54),0),IFERROR(1/SUMIF(AR55,"&lt;&gt;.",AR55),0),IFERROR(1/SUMIF(AR56,"&lt;&gt;.",AR56),0),IFERROR(1/SUMIF(AR57,"&lt;&gt;.",AR57),0),IFERROR(1/SUMIF(AR58,"&lt;&gt;.",AR58),0),IFERROR(1/SUMIF(AR59,"&lt;&gt;.",AR59),0),IFERROR(1/SUMIF(AR60,"&lt;&gt;.",AR60),0),IFERROR(1/SUMIF(AR61,"&lt;&gt;.",AR61),0),IFERROR(1/SUMIF(AR62,"&lt;&gt;.",AR62),0)),".")</f>
        <v>8.9024808829849688E-5</v>
      </c>
      <c r="AS48" s="190">
        <f>AR48*(0.0000000000028)*RadSpec!$AY23*RadSpec!$AF23</f>
        <v>9.0135838444046217E-11</v>
      </c>
      <c r="AT48" s="58">
        <f t="shared" si="358"/>
        <v>0.10679353925858596</v>
      </c>
      <c r="AU48" s="58">
        <f t="shared" si="358"/>
        <v>3.6306851632117971</v>
      </c>
      <c r="AV48" s="58">
        <f t="shared" si="358"/>
        <v>1746.6024989553655</v>
      </c>
      <c r="AW48" s="58">
        <f t="shared" si="358"/>
        <v>4.2288733020305364E-2</v>
      </c>
      <c r="AX48" s="58">
        <f t="shared" si="358"/>
        <v>2.9371118360725514</v>
      </c>
      <c r="AY48" s="58">
        <f t="shared" si="358"/>
        <v>4.1153335308789449</v>
      </c>
      <c r="AZ48" s="58">
        <f t="shared" si="358"/>
        <v>9.0368522702884064</v>
      </c>
      <c r="BA48" s="58">
        <f t="shared" si="358"/>
        <v>8.4586366099195605</v>
      </c>
      <c r="BB48" s="58" t="str">
        <f t="shared" si="358"/>
        <v>.</v>
      </c>
      <c r="BC48" s="58">
        <f t="shared" si="358"/>
        <v>6.1967155554975922E-2</v>
      </c>
      <c r="BD48" s="58">
        <f t="shared" si="358"/>
        <v>6.3060098519408733E-2</v>
      </c>
      <c r="BE48" s="168"/>
      <c r="BF48" s="168"/>
      <c r="BG48" s="168"/>
      <c r="BH48" s="168"/>
      <c r="BI48" s="168"/>
      <c r="BJ48" s="168"/>
      <c r="BK48" s="168"/>
      <c r="BL48" s="168"/>
      <c r="BM48" s="168"/>
      <c r="BN48" s="168"/>
      <c r="BO48" s="111"/>
      <c r="BP48" s="59">
        <f>IFERROR(1/SUM(IFERROR(1/SUMIF(BP49,"&lt;&gt;.",BP49),0),IFERROR(1/SUMIF(BP50,"&lt;&gt;.",BP50),0),IFERROR(1/SUMIF(BP51,"&lt;&gt;.",BP51),0),IFERROR(1/SUMIF(BP52,"&lt;&gt;.",BP52),0),IFERROR(1/SUMIF(BP53,"&lt;&gt;.",BP53),0),IFERROR(1/SUMIF(BP54,"&lt;&gt;.",BP54),0),IFERROR(1/SUMIF(BP55,"&lt;&gt;.",BP55),0),IFERROR(1/SUMIF(BP56,"&lt;&gt;.",BP56),0),IFERROR(1/SUMIF(BP57,"&lt;&gt;.",BP57),0),IFERROR(1/SUMIF(BP58,"&lt;&gt;.",BP58),0),IFERROR(1/SUMIF(BP59,"&lt;&gt;.",BP59),0),IFERROR(1/SUMIF(BP60,"&lt;&gt;.",BP60),0),IFERROR(1/SUMIF(BP61,"&lt;&gt;.",BP61),0),IFERROR(1/SUMIF(BP62,"&lt;&gt;.",BP62),0)),".")</f>
        <v>1.5129826131892619E-2</v>
      </c>
      <c r="BQ48" s="190">
        <f>BP48*(0.0000000000000028)*RadSpec!$AY23*RadSpec!$AF23</f>
        <v>1.5318646362018641E-11</v>
      </c>
      <c r="BR48" s="58">
        <f>IFERROR(1/SUM(IFERROR(1/SUMIF(BR49,"&lt;&gt;.",BR49),0),IFERROR(1/SUMIF(BR50,"&lt;&gt;.",BR50),0),IFERROR(1/SUMIF(BR51,"&lt;&gt;.",BR51),0),IFERROR(1/SUMIF(BR52,"&lt;&gt;.",BR52),0),IFERROR(1/SUMIF(BR53,"&lt;&gt;.",BR53),0),IFERROR(1/SUMIF(BR54,"&lt;&gt;.",BR54),0),IFERROR(1/SUMIF(BR55,"&lt;&gt;.",BR55),0),IFERROR(1/SUMIF(BR56,"&lt;&gt;.",BR56),0),IFERROR(1/SUMIF(BR57,"&lt;&gt;.",BR57),0),IFERROR(1/SUMIF(BR58,"&lt;&gt;.",BR58),0),IFERROR(1/SUMIF(BR59,"&lt;&gt;.",BR59),0),IFERROR(1/SUMIF(BR60,"&lt;&gt;.",BR60),0),IFERROR(1/SUMIF(BR61,"&lt;&gt;.",BR61),0),IFERROR(1/SUMIF(BR62,"&lt;&gt;.",BR62),0)),".")</f>
        <v>1.9705393320818905E-3</v>
      </c>
      <c r="BS48" s="58">
        <f>IFERROR(1/SUM(IFERROR(1/SUMIF(BS49,"&lt;&gt;.",BS49),0),IFERROR(1/SUMIF(BS50,"&lt;&gt;.",BS50),0),IFERROR(1/SUMIF(BS51,"&lt;&gt;.",BS51),0),IFERROR(1/SUMIF(BS52,"&lt;&gt;.",BS52),0),IFERROR(1/SUMIF(BS53,"&lt;&gt;.",BS53),0),IFERROR(1/SUMIF(BS54,"&lt;&gt;.",BS54),0),IFERROR(1/SUMIF(BS55,"&lt;&gt;.",BS55),0),IFERROR(1/SUMIF(BS56,"&lt;&gt;.",BS56),0),IFERROR(1/SUMIF(BS57,"&lt;&gt;.",BS57),0),IFERROR(1/SUMIF(BS58,"&lt;&gt;.",BS58),0),IFERROR(1/SUMIF(BS59,"&lt;&gt;.",BS59),0),IFERROR(1/SUMIF(BS60,"&lt;&gt;.",BS60),0),IFERROR(1/SUMIF(BS61,"&lt;&gt;.",BS61),0),IFERROR(1/SUMIF(BS62,"&lt;&gt;.",BS62),0)),".")</f>
        <v>107.78486373419169</v>
      </c>
      <c r="BT48" s="59">
        <f>IFERROR(1/SUM(IFERROR(1/SUMIF(BT49,"&lt;&gt;.",BT49),0),IFERROR(1/SUMIF(BT50,"&lt;&gt;.",BT50),0),IFERROR(1/SUMIF(BT51,"&lt;&gt;.",BT51),0),IFERROR(1/SUMIF(BT52,"&lt;&gt;.",BT52),0),IFERROR(1/SUMIF(BT53,"&lt;&gt;.",BT53),0),IFERROR(1/SUMIF(BT54,"&lt;&gt;.",BT54),0),IFERROR(1/SUMIF(BT55,"&lt;&gt;.",BT55),0),IFERROR(1/SUMIF(BT56,"&lt;&gt;.",BT56),0),IFERROR(1/SUMIF(BT57,"&lt;&gt;.",BT57),0),IFERROR(1/SUMIF(BT58,"&lt;&gt;.",BT58),0),IFERROR(1/SUMIF(BT59,"&lt;&gt;.",BT59),0),IFERROR(1/SUMIF(BT60,"&lt;&gt;.",BT60),0),IFERROR(1/SUMIF(BT61,"&lt;&gt;.",BT61),0),IFERROR(1/SUMIF(BT62,"&lt;&gt;.",BT62),0)),".")</f>
        <v>1.9705033070396348E-3</v>
      </c>
      <c r="BU48" s="190">
        <f>BT48*(0.0000000000000028)*RadSpec!$AY23*RadSpec!$AF23</f>
        <v>1.9950951883114899E-12</v>
      </c>
    </row>
    <row r="49" spans="1:73" x14ac:dyDescent="0.25">
      <c r="A49" s="77" t="s">
        <v>1086</v>
      </c>
      <c r="B49" s="42">
        <v>1</v>
      </c>
      <c r="C49" s="238"/>
      <c r="D49" s="60">
        <f t="shared" ref="D49:AF49" si="359">IFERROR(D23/$B49,".")</f>
        <v>1.2045545848009206E-3</v>
      </c>
      <c r="E49" s="60">
        <f t="shared" si="359"/>
        <v>1.0892600186759131E-2</v>
      </c>
      <c r="F49" s="60">
        <f t="shared" si="359"/>
        <v>1.9713628613702672E-2</v>
      </c>
      <c r="G49" s="60">
        <f t="shared" si="359"/>
        <v>7.1241770608165087E-3</v>
      </c>
      <c r="H49" s="60">
        <f t="shared" si="359"/>
        <v>1.226569671185579E-3</v>
      </c>
      <c r="I49" s="60">
        <f t="shared" si="359"/>
        <v>1.2791336556686829E-2</v>
      </c>
      <c r="J49" s="60">
        <f t="shared" si="359"/>
        <v>1.2358714320502211E-2</v>
      </c>
      <c r="K49" s="60">
        <f t="shared" si="359"/>
        <v>9.4303909395157676E-3</v>
      </c>
      <c r="L49" s="111">
        <f t="shared" ref="L49:L62" si="360">IFERROR(1/D49,".")</f>
        <v>830.18238659999975</v>
      </c>
      <c r="M49" s="111">
        <f t="shared" ref="M49:M62" si="361">IFERROR(1/E49,".")</f>
        <v>91.805444324999996</v>
      </c>
      <c r="N49" s="111">
        <f t="shared" ref="N49:N62" si="362">IFERROR(1/F49,".")</f>
        <v>50.726328450000004</v>
      </c>
      <c r="O49" s="111">
        <f t="shared" ref="O49:O62" si="363">IFERROR(1/G49,".")</f>
        <v>140.36708962500001</v>
      </c>
      <c r="P49" s="111">
        <f t="shared" ref="P49:P62" si="364">IFERROR(1/H49,".")</f>
        <v>815.28185759999997</v>
      </c>
      <c r="Q49" s="111">
        <f t="shared" ref="Q49:Q62" si="365">IFERROR(1/I49,".")</f>
        <v>78.177913274999995</v>
      </c>
      <c r="R49" s="111">
        <f t="shared" ref="R49:R62" si="366">IFERROR(1/J49,".")</f>
        <v>80.914565550000006</v>
      </c>
      <c r="S49" s="111">
        <f t="shared" ref="S49:S62" si="367">IFERROR(1/K49,".")</f>
        <v>106.04014260000001</v>
      </c>
      <c r="T49" s="60">
        <f>IFERROR(T23/$B49,".")</f>
        <v>4.5589329727137854E-4</v>
      </c>
      <c r="U49" s="189">
        <f>IFERROR(U23/$B49,0)</f>
        <v>4.6158284562132532E-10</v>
      </c>
      <c r="V49" s="60">
        <f t="shared" si="359"/>
        <v>14.822934488929304</v>
      </c>
      <c r="W49" s="60">
        <f t="shared" si="359"/>
        <v>5508.7213444578083</v>
      </c>
      <c r="X49" s="60">
        <f t="shared" si="359"/>
        <v>48.738035526657647</v>
      </c>
      <c r="Y49" s="60">
        <f t="shared" si="359"/>
        <v>5.168580387642268E-2</v>
      </c>
      <c r="Z49" s="60" t="str">
        <f t="shared" si="359"/>
        <v>.</v>
      </c>
      <c r="AA49" s="60" t="str">
        <f t="shared" si="359"/>
        <v>.</v>
      </c>
      <c r="AB49" s="60">
        <f t="shared" si="359"/>
        <v>1.1411042899542176</v>
      </c>
      <c r="AC49" s="60">
        <f t="shared" si="359"/>
        <v>0.56621902445037053</v>
      </c>
      <c r="AD49" s="60" t="str">
        <f t="shared" si="359"/>
        <v>.</v>
      </c>
      <c r="AE49" s="60">
        <f t="shared" si="359"/>
        <v>3.0896785801255528E-3</v>
      </c>
      <c r="AF49" s="60">
        <f t="shared" si="359"/>
        <v>9.430390939515767E-5</v>
      </c>
      <c r="AG49" s="111">
        <f t="shared" ref="AG49:AG62" si="368">IFERROR(1/V49,".")</f>
        <v>6.746302500000001E-2</v>
      </c>
      <c r="AH49" s="111">
        <f t="shared" ref="AH49:AH62" si="369">IFERROR(1/W49,".")</f>
        <v>1.8153032935784198E-4</v>
      </c>
      <c r="AI49" s="111">
        <f t="shared" ref="AI49:AI62" si="370">IFERROR(1/X49,".")</f>
        <v>2.0517856109589033E-2</v>
      </c>
      <c r="AJ49" s="111">
        <f t="shared" ref="AJ49:AJ62" si="371">IFERROR(1/Y49,".")</f>
        <v>19.347672378104701</v>
      </c>
      <c r="AK49" s="111" t="str">
        <f t="shared" ref="AK49:AK62" si="372">IFERROR(1/Z49,".")</f>
        <v>.</v>
      </c>
      <c r="AL49" s="111" t="str">
        <f t="shared" ref="AL49:AL62" si="373">IFERROR(1/AA49,".")</f>
        <v>.</v>
      </c>
      <c r="AM49" s="111">
        <f t="shared" ref="AM49:AM62" si="374">IFERROR(1/AB49,".")</f>
        <v>0.87634408949608023</v>
      </c>
      <c r="AN49" s="111">
        <f t="shared" ref="AN49:AN62" si="375">IFERROR(1/AC49,".")</f>
        <v>1.7661010259602301</v>
      </c>
      <c r="AO49" s="111" t="str">
        <f t="shared" ref="AO49:AO62" si="376">IFERROR(1/AD49,".")</f>
        <v>.</v>
      </c>
      <c r="AP49" s="111">
        <f t="shared" ref="AP49:AP62" si="377">IFERROR(1/AE49,".")</f>
        <v>323.65826220000002</v>
      </c>
      <c r="AQ49" s="111">
        <f t="shared" si="274"/>
        <v>10604.014260000002</v>
      </c>
      <c r="AR49" s="60">
        <f>IFERROR(AR23/$B49,".")</f>
        <v>9.1326279298315906E-5</v>
      </c>
      <c r="AS49" s="189">
        <f>IFERROR(AS23/$B49,0)</f>
        <v>9.2466031263958899E-11</v>
      </c>
      <c r="AT49" s="60">
        <f>IFERROR(AT23/$B49,".")</f>
        <v>0.76032001169797958</v>
      </c>
      <c r="AU49" s="60" t="str">
        <f>IFERROR(AU23,".")</f>
        <v>.</v>
      </c>
      <c r="AV49" s="60">
        <f t="shared" ref="AV49:BD49" si="378">IFERROR(AV23/$B49,".")</f>
        <v>457826.38350641646</v>
      </c>
      <c r="AW49" s="60">
        <f t="shared" si="378"/>
        <v>0.26914400887533224</v>
      </c>
      <c r="AX49" s="60" t="str">
        <f t="shared" si="378"/>
        <v>.</v>
      </c>
      <c r="AY49" s="60" t="str">
        <f t="shared" si="378"/>
        <v>.</v>
      </c>
      <c r="AZ49" s="60">
        <f t="shared" si="378"/>
        <v>79.069667711614969</v>
      </c>
      <c r="BA49" s="60">
        <f t="shared" si="378"/>
        <v>36.137493172801669</v>
      </c>
      <c r="BB49" s="60" t="str">
        <f t="shared" si="378"/>
        <v>.</v>
      </c>
      <c r="BC49" s="60">
        <f t="shared" si="378"/>
        <v>3.0896785801255526</v>
      </c>
      <c r="BD49" s="60">
        <f t="shared" si="378"/>
        <v>9.4303909395157676E-2</v>
      </c>
      <c r="BE49" s="111">
        <f t="shared" ref="BE49:BE62" si="379">IFERROR(1/AT49,".")</f>
        <v>1.3152356700000001</v>
      </c>
      <c r="BF49" s="111" t="str">
        <f t="shared" ref="BF49:BF62" si="380">IFERROR(1/AU49,".")</f>
        <v>.</v>
      </c>
      <c r="BG49" s="111">
        <f t="shared" ref="BG49:BG62" si="381">IFERROR(1/AV49,".")</f>
        <v>2.1842341027643833E-6</v>
      </c>
      <c r="BH49" s="111">
        <f t="shared" ref="BH49:BH62" si="382">IFERROR(1/AW49,".")</f>
        <v>3.7154830389079958</v>
      </c>
      <c r="BI49" s="111" t="str">
        <f t="shared" ref="BI49:BI62" si="383">IFERROR(1/AX49,".")</f>
        <v>.</v>
      </c>
      <c r="BJ49" s="111" t="str">
        <f t="shared" ref="BJ49:BJ62" si="384">IFERROR(1/AY49,".")</f>
        <v>.</v>
      </c>
      <c r="BK49" s="111">
        <f t="shared" ref="BK49:BK62" si="385">IFERROR(1/AZ49,".")</f>
        <v>1.2647074775212501E-2</v>
      </c>
      <c r="BL49" s="111">
        <f t="shared" ref="BL49:BL62" si="386">IFERROR(1/BA49,".")</f>
        <v>2.767209101135534E-2</v>
      </c>
      <c r="BM49" s="111" t="str">
        <f t="shared" ref="BM49:BM62" si="387">IFERROR(1/BB49,".")</f>
        <v>.</v>
      </c>
      <c r="BN49" s="111">
        <f t="shared" ref="BN49:BN62" si="388">IFERROR(1/BC49,".")</f>
        <v>0.32365826220000005</v>
      </c>
      <c r="BO49" s="111">
        <f t="shared" si="286"/>
        <v>10.60401426</v>
      </c>
      <c r="BP49" s="60">
        <f>IFERROR(BP23/$B49,".")</f>
        <v>6.2505029384648941E-2</v>
      </c>
      <c r="BQ49" s="189">
        <f>IFERROR(BQ23/$B49,0)</f>
        <v>6.3285092151369366E-11</v>
      </c>
      <c r="BR49" s="60">
        <f>IFERROR(BR23/$B49,".")</f>
        <v>4.0524837166138663E-3</v>
      </c>
      <c r="BS49" s="60">
        <f>IFERROR(BS23/$B49,".")</f>
        <v>28718.300791122339</v>
      </c>
      <c r="BT49" s="60">
        <f>IFERROR(BT23/$B49,".")</f>
        <v>4.0524831447617199E-3</v>
      </c>
      <c r="BU49" s="189">
        <f>IFERROR(BU23/$B49,0)</f>
        <v>4.103058134408346E-12</v>
      </c>
    </row>
    <row r="50" spans="1:73" x14ac:dyDescent="0.25">
      <c r="A50" s="77" t="s">
        <v>1073</v>
      </c>
      <c r="B50" s="42">
        <v>1</v>
      </c>
      <c r="C50" s="238"/>
      <c r="D50" s="60" t="str">
        <f t="shared" ref="D50:AF50" si="389">IFERROR(D25/$B50,".")</f>
        <v>.</v>
      </c>
      <c r="E50" s="60" t="str">
        <f t="shared" si="389"/>
        <v>.</v>
      </c>
      <c r="F50" s="60" t="str">
        <f t="shared" si="389"/>
        <v>.</v>
      </c>
      <c r="G50" s="60" t="str">
        <f t="shared" si="389"/>
        <v>.</v>
      </c>
      <c r="H50" s="60" t="str">
        <f t="shared" si="389"/>
        <v>.</v>
      </c>
      <c r="I50" s="60" t="str">
        <f t="shared" si="389"/>
        <v>.</v>
      </c>
      <c r="J50" s="60" t="str">
        <f t="shared" si="389"/>
        <v>.</v>
      </c>
      <c r="K50" s="60" t="str">
        <f t="shared" si="389"/>
        <v>.</v>
      </c>
      <c r="L50" s="111" t="str">
        <f t="shared" si="360"/>
        <v>.</v>
      </c>
      <c r="M50" s="111" t="str">
        <f t="shared" si="361"/>
        <v>.</v>
      </c>
      <c r="N50" s="111" t="str">
        <f t="shared" si="362"/>
        <v>.</v>
      </c>
      <c r="O50" s="111" t="str">
        <f t="shared" si="363"/>
        <v>.</v>
      </c>
      <c r="P50" s="111" t="str">
        <f t="shared" si="364"/>
        <v>.</v>
      </c>
      <c r="Q50" s="111" t="str">
        <f t="shared" si="365"/>
        <v>.</v>
      </c>
      <c r="R50" s="111" t="str">
        <f t="shared" si="366"/>
        <v>.</v>
      </c>
      <c r="S50" s="111" t="str">
        <f t="shared" si="367"/>
        <v>.</v>
      </c>
      <c r="T50" s="60" t="str">
        <f>IFERROR(T25/$B50,".")</f>
        <v>.</v>
      </c>
      <c r="U50" s="189">
        <f>IFERROR(U25/$B50,0)</f>
        <v>0</v>
      </c>
      <c r="V50" s="60" t="str">
        <f t="shared" si="389"/>
        <v>.</v>
      </c>
      <c r="W50" s="60">
        <f t="shared" si="389"/>
        <v>32051506.936990399</v>
      </c>
      <c r="X50" s="60">
        <f t="shared" si="389"/>
        <v>726.79526662559624</v>
      </c>
      <c r="Y50" s="60" t="str">
        <f t="shared" si="389"/>
        <v>.</v>
      </c>
      <c r="Z50" s="60" t="str">
        <f t="shared" si="389"/>
        <v>.</v>
      </c>
      <c r="AA50" s="60" t="str">
        <f t="shared" si="389"/>
        <v>.</v>
      </c>
      <c r="AB50" s="60" t="str">
        <f t="shared" si="389"/>
        <v>.</v>
      </c>
      <c r="AC50" s="60" t="str">
        <f t="shared" si="389"/>
        <v>.</v>
      </c>
      <c r="AD50" s="60" t="str">
        <f t="shared" si="389"/>
        <v>.</v>
      </c>
      <c r="AE50" s="60" t="str">
        <f t="shared" si="389"/>
        <v>.</v>
      </c>
      <c r="AF50" s="60" t="str">
        <f t="shared" si="389"/>
        <v>.</v>
      </c>
      <c r="AG50" s="111" t="str">
        <f t="shared" si="368"/>
        <v>.</v>
      </c>
      <c r="AH50" s="111">
        <f t="shared" si="369"/>
        <v>3.1199781088792043E-8</v>
      </c>
      <c r="AI50" s="111">
        <f t="shared" si="370"/>
        <v>1.3759032920547946E-3</v>
      </c>
      <c r="AJ50" s="111" t="str">
        <f t="shared" si="371"/>
        <v>.</v>
      </c>
      <c r="AK50" s="111" t="str">
        <f t="shared" si="372"/>
        <v>.</v>
      </c>
      <c r="AL50" s="111" t="str">
        <f t="shared" si="373"/>
        <v>.</v>
      </c>
      <c r="AM50" s="111" t="str">
        <f t="shared" si="374"/>
        <v>.</v>
      </c>
      <c r="AN50" s="111" t="str">
        <f t="shared" si="375"/>
        <v>.</v>
      </c>
      <c r="AO50" s="111" t="str">
        <f t="shared" si="376"/>
        <v>.</v>
      </c>
      <c r="AP50" s="111" t="str">
        <f t="shared" si="377"/>
        <v>.</v>
      </c>
      <c r="AQ50" s="111" t="str">
        <f t="shared" si="274"/>
        <v>.</v>
      </c>
      <c r="AR50" s="60">
        <f>IFERROR(AR25/$B50,".")</f>
        <v>726.77878629651832</v>
      </c>
      <c r="AS50" s="189">
        <f>IFERROR(AS25/$B50,0)</f>
        <v>4.7324003543396741E-9</v>
      </c>
      <c r="AT50" s="60" t="str">
        <f>IFERROR(AT25/$B50,".")</f>
        <v>.</v>
      </c>
      <c r="AU50" s="60">
        <f>IFERROR(AU25,".")</f>
        <v>47.157299065696016</v>
      </c>
      <c r="AV50" s="60">
        <f t="shared" ref="AV50:BD50" si="390">IFERROR(AV25/$B50,".")</f>
        <v>8328543.785063535</v>
      </c>
      <c r="AW50" s="60" t="str">
        <f t="shared" si="390"/>
        <v>.</v>
      </c>
      <c r="AX50" s="60" t="str">
        <f t="shared" si="390"/>
        <v>.</v>
      </c>
      <c r="AY50" s="60" t="str">
        <f t="shared" si="390"/>
        <v>.</v>
      </c>
      <c r="AZ50" s="60" t="str">
        <f t="shared" si="390"/>
        <v>.</v>
      </c>
      <c r="BA50" s="60" t="str">
        <f t="shared" si="390"/>
        <v>.</v>
      </c>
      <c r="BB50" s="60" t="str">
        <f t="shared" si="390"/>
        <v>.</v>
      </c>
      <c r="BC50" s="60" t="str">
        <f t="shared" si="390"/>
        <v>.</v>
      </c>
      <c r="BD50" s="60" t="str">
        <f t="shared" si="390"/>
        <v>.</v>
      </c>
      <c r="BE50" s="111" t="str">
        <f t="shared" si="379"/>
        <v>.</v>
      </c>
      <c r="BF50" s="111">
        <f t="shared" si="380"/>
        <v>2.1205624999999999E-2</v>
      </c>
      <c r="BG50" s="111">
        <f t="shared" si="381"/>
        <v>1.2006900915780819E-7</v>
      </c>
      <c r="BH50" s="111" t="str">
        <f t="shared" si="382"/>
        <v>.</v>
      </c>
      <c r="BI50" s="111" t="str">
        <f t="shared" si="383"/>
        <v>.</v>
      </c>
      <c r="BJ50" s="111" t="str">
        <f t="shared" si="384"/>
        <v>.</v>
      </c>
      <c r="BK50" s="111" t="str">
        <f t="shared" si="385"/>
        <v>.</v>
      </c>
      <c r="BL50" s="111" t="str">
        <f t="shared" si="386"/>
        <v>.</v>
      </c>
      <c r="BM50" s="111" t="str">
        <f t="shared" si="387"/>
        <v>.</v>
      </c>
      <c r="BN50" s="111" t="str">
        <f t="shared" si="388"/>
        <v>.</v>
      </c>
      <c r="BO50" s="111" t="str">
        <f t="shared" si="286"/>
        <v>.</v>
      </c>
      <c r="BP50" s="60">
        <f>IFERROR(BP25/$B50,".")</f>
        <v>47.157032056441921</v>
      </c>
      <c r="BQ50" s="189">
        <f>IFERROR(BQ25/$B50,0)</f>
        <v>3.0706173518177468E-13</v>
      </c>
      <c r="BR50" s="60">
        <f>IFERROR(BR25/$B50,".")</f>
        <v>23.578649532848008</v>
      </c>
      <c r="BS50" s="60">
        <f>IFERROR(BS25/$B50,".")</f>
        <v>516265.40728549397</v>
      </c>
      <c r="BT50" s="60">
        <f>IFERROR(BT25/$B50,".")</f>
        <v>23.577572708184032</v>
      </c>
      <c r="BU50" s="189">
        <f>IFERROR(BU25/$B50,0)</f>
        <v>1.5352472518805284E-13</v>
      </c>
    </row>
    <row r="51" spans="1:73" x14ac:dyDescent="0.25">
      <c r="A51" s="77" t="s">
        <v>1059</v>
      </c>
      <c r="B51" s="42">
        <v>1</v>
      </c>
      <c r="C51" s="238"/>
      <c r="D51" s="60" t="str">
        <f t="shared" ref="D51:AF51" si="391">IFERROR(D21/$B51,".")</f>
        <v>.</v>
      </c>
      <c r="E51" s="60" t="str">
        <f t="shared" si="391"/>
        <v>.</v>
      </c>
      <c r="F51" s="60" t="str">
        <f t="shared" si="391"/>
        <v>.</v>
      </c>
      <c r="G51" s="60" t="str">
        <f t="shared" si="391"/>
        <v>.</v>
      </c>
      <c r="H51" s="60" t="str">
        <f t="shared" si="391"/>
        <v>.</v>
      </c>
      <c r="I51" s="60" t="str">
        <f t="shared" si="391"/>
        <v>.</v>
      </c>
      <c r="J51" s="60" t="str">
        <f t="shared" si="391"/>
        <v>.</v>
      </c>
      <c r="K51" s="60" t="str">
        <f t="shared" si="391"/>
        <v>.</v>
      </c>
      <c r="L51" s="111" t="str">
        <f t="shared" si="360"/>
        <v>.</v>
      </c>
      <c r="M51" s="111" t="str">
        <f t="shared" si="361"/>
        <v>.</v>
      </c>
      <c r="N51" s="111" t="str">
        <f t="shared" si="362"/>
        <v>.</v>
      </c>
      <c r="O51" s="111" t="str">
        <f t="shared" si="363"/>
        <v>.</v>
      </c>
      <c r="P51" s="111" t="str">
        <f t="shared" si="364"/>
        <v>.</v>
      </c>
      <c r="Q51" s="111" t="str">
        <f t="shared" si="365"/>
        <v>.</v>
      </c>
      <c r="R51" s="111" t="str">
        <f t="shared" si="366"/>
        <v>.</v>
      </c>
      <c r="S51" s="111" t="str">
        <f t="shared" si="367"/>
        <v>.</v>
      </c>
      <c r="T51" s="60" t="str">
        <f>IFERROR(T21/$B51,".")</f>
        <v>.</v>
      </c>
      <c r="U51" s="189">
        <f>IFERROR(U21/$B51,0)</f>
        <v>0</v>
      </c>
      <c r="V51" s="60" t="str">
        <f t="shared" si="391"/>
        <v>.</v>
      </c>
      <c r="W51" s="60">
        <f t="shared" si="391"/>
        <v>27550836.015392002</v>
      </c>
      <c r="X51" s="60">
        <f t="shared" si="391"/>
        <v>186357760.67322987</v>
      </c>
      <c r="Y51" s="60" t="str">
        <f t="shared" si="391"/>
        <v>.</v>
      </c>
      <c r="Z51" s="60" t="str">
        <f t="shared" si="391"/>
        <v>.</v>
      </c>
      <c r="AA51" s="60" t="str">
        <f t="shared" si="391"/>
        <v>.</v>
      </c>
      <c r="AB51" s="60" t="str">
        <f t="shared" si="391"/>
        <v>.</v>
      </c>
      <c r="AC51" s="60" t="str">
        <f t="shared" si="391"/>
        <v>.</v>
      </c>
      <c r="AD51" s="60" t="str">
        <f t="shared" si="391"/>
        <v>.</v>
      </c>
      <c r="AE51" s="60" t="str">
        <f t="shared" si="391"/>
        <v>.</v>
      </c>
      <c r="AF51" s="60" t="str">
        <f t="shared" si="391"/>
        <v>.</v>
      </c>
      <c r="AG51" s="111" t="str">
        <f t="shared" si="368"/>
        <v>.</v>
      </c>
      <c r="AH51" s="111">
        <f t="shared" si="369"/>
        <v>3.6296539220854265E-8</v>
      </c>
      <c r="AI51" s="111">
        <f t="shared" si="370"/>
        <v>5.366022839013697E-9</v>
      </c>
      <c r="AJ51" s="111" t="str">
        <f t="shared" si="371"/>
        <v>.</v>
      </c>
      <c r="AK51" s="111" t="str">
        <f t="shared" si="372"/>
        <v>.</v>
      </c>
      <c r="AL51" s="111" t="str">
        <f t="shared" si="373"/>
        <v>.</v>
      </c>
      <c r="AM51" s="111" t="str">
        <f t="shared" si="374"/>
        <v>.</v>
      </c>
      <c r="AN51" s="111" t="str">
        <f t="shared" si="375"/>
        <v>.</v>
      </c>
      <c r="AO51" s="111" t="str">
        <f t="shared" si="376"/>
        <v>.</v>
      </c>
      <c r="AP51" s="111" t="str">
        <f t="shared" si="377"/>
        <v>.</v>
      </c>
      <c r="AQ51" s="111" t="str">
        <f t="shared" si="274"/>
        <v>.</v>
      </c>
      <c r="AR51" s="60">
        <f>IFERROR(AR21/$B51,".")</f>
        <v>24002364.486442942</v>
      </c>
      <c r="AS51" s="189">
        <f>IFERROR(AS21/$B51,0)</f>
        <v>8.6412165479122462E-8</v>
      </c>
      <c r="AT51" s="60" t="str">
        <f>IFERROR(AT21/$B51,".")</f>
        <v>.</v>
      </c>
      <c r="AU51" s="60">
        <f>IFERROR(AU21,".")</f>
        <v>41.079340661473481</v>
      </c>
      <c r="AV51" s="60">
        <f t="shared" ref="AV51:BD51" si="392">IFERROR(AV21/$B51,".")</f>
        <v>109494142069.36671</v>
      </c>
      <c r="AW51" s="60" t="str">
        <f t="shared" si="392"/>
        <v>.</v>
      </c>
      <c r="AX51" s="60" t="str">
        <f t="shared" si="392"/>
        <v>.</v>
      </c>
      <c r="AY51" s="60" t="str">
        <f t="shared" si="392"/>
        <v>.</v>
      </c>
      <c r="AZ51" s="60" t="str">
        <f t="shared" si="392"/>
        <v>.</v>
      </c>
      <c r="BA51" s="60" t="str">
        <f t="shared" si="392"/>
        <v>.</v>
      </c>
      <c r="BB51" s="60" t="str">
        <f t="shared" si="392"/>
        <v>.</v>
      </c>
      <c r="BC51" s="60" t="str">
        <f t="shared" si="392"/>
        <v>.</v>
      </c>
      <c r="BD51" s="60" t="str">
        <f t="shared" si="392"/>
        <v>.</v>
      </c>
      <c r="BE51" s="111" t="str">
        <f t="shared" si="379"/>
        <v>.</v>
      </c>
      <c r="BF51" s="111">
        <f t="shared" si="380"/>
        <v>2.43431365717575E-2</v>
      </c>
      <c r="BG51" s="111">
        <f t="shared" si="381"/>
        <v>9.1329086753013698E-12</v>
      </c>
      <c r="BH51" s="111" t="str">
        <f t="shared" si="382"/>
        <v>.</v>
      </c>
      <c r="BI51" s="111" t="str">
        <f t="shared" si="383"/>
        <v>.</v>
      </c>
      <c r="BJ51" s="111" t="str">
        <f t="shared" si="384"/>
        <v>.</v>
      </c>
      <c r="BK51" s="111" t="str">
        <f t="shared" si="385"/>
        <v>.</v>
      </c>
      <c r="BL51" s="111" t="str">
        <f t="shared" si="386"/>
        <v>.</v>
      </c>
      <c r="BM51" s="111" t="str">
        <f t="shared" si="387"/>
        <v>.</v>
      </c>
      <c r="BN51" s="111" t="str">
        <f t="shared" si="388"/>
        <v>.</v>
      </c>
      <c r="BO51" s="111" t="str">
        <f t="shared" si="286"/>
        <v>.</v>
      </c>
      <c r="BP51" s="60">
        <f>IFERROR(BP21/$B51,".")</f>
        <v>41.079340646061581</v>
      </c>
      <c r="BQ51" s="189">
        <f>IFERROR(BQ21/$B51,0)</f>
        <v>1.4789187888908585E-16</v>
      </c>
      <c r="BR51" s="60">
        <f>IFERROR(BR21/$B51,".")</f>
        <v>20.267736803169875</v>
      </c>
      <c r="BS51" s="60">
        <f>IFERROR(BS21/$B51,".")</f>
        <v>3408928071.0072703</v>
      </c>
      <c r="BT51" s="60">
        <f>IFERROR(BT21/$B51,".")</f>
        <v>20.267736682668314</v>
      </c>
      <c r="BU51" s="189">
        <f>IFERROR(BU21/$B51,0)</f>
        <v>7.2966936949034007E-17</v>
      </c>
    </row>
    <row r="52" spans="1:73" x14ac:dyDescent="0.25">
      <c r="A52" s="77" t="s">
        <v>1060</v>
      </c>
      <c r="B52" s="79">
        <v>0.99980000000000002</v>
      </c>
      <c r="C52" s="240"/>
      <c r="D52" s="60">
        <f t="shared" ref="D52:AF52" si="393">IFERROR(D17/$B52,".")</f>
        <v>2.7425747808597736</v>
      </c>
      <c r="E52" s="60">
        <f t="shared" si="393"/>
        <v>24.800678148704545</v>
      </c>
      <c r="F52" s="60">
        <f t="shared" si="393"/>
        <v>44.884724492673961</v>
      </c>
      <c r="G52" s="60">
        <f t="shared" si="393"/>
        <v>16.220591900037689</v>
      </c>
      <c r="H52" s="60">
        <f t="shared" si="393"/>
        <v>2.7926995501968093</v>
      </c>
      <c r="I52" s="60">
        <f t="shared" si="393"/>
        <v>29.123791894957549</v>
      </c>
      <c r="J52" s="60">
        <f t="shared" si="393"/>
        <v>28.138781460751957</v>
      </c>
      <c r="K52" s="60">
        <f t="shared" si="393"/>
        <v>21.471465627802157</v>
      </c>
      <c r="L52" s="111">
        <f t="shared" si="360"/>
        <v>0.3646208690384401</v>
      </c>
      <c r="M52" s="111">
        <f t="shared" si="361"/>
        <v>4.0321478066205001E-2</v>
      </c>
      <c r="N52" s="111">
        <f t="shared" si="362"/>
        <v>2.2279294599730003E-2</v>
      </c>
      <c r="O52" s="111">
        <f t="shared" si="363"/>
        <v>6.1650031402224997E-2</v>
      </c>
      <c r="P52" s="111">
        <f t="shared" si="364"/>
        <v>0.35807647117984004</v>
      </c>
      <c r="Q52" s="111">
        <f t="shared" si="365"/>
        <v>3.4336188213635002E-2</v>
      </c>
      <c r="R52" s="111">
        <f t="shared" si="366"/>
        <v>3.5538141599870003E-2</v>
      </c>
      <c r="S52" s="111">
        <f t="shared" si="367"/>
        <v>4.6573439248839998E-2</v>
      </c>
      <c r="T52" s="60">
        <f>IFERROR(T17/$B52,".")</f>
        <v>1.0379948535633479</v>
      </c>
      <c r="U52" s="189">
        <f>IFERROR(U17/$B52,0)</f>
        <v>3.1713665592918977E-14</v>
      </c>
      <c r="V52" s="60">
        <f t="shared" si="393"/>
        <v>33749.409798969726</v>
      </c>
      <c r="W52" s="60">
        <f t="shared" si="393"/>
        <v>4505994.9852049174</v>
      </c>
      <c r="X52" s="60">
        <f t="shared" si="393"/>
        <v>1.2313704998847912</v>
      </c>
      <c r="Y52" s="60">
        <f t="shared" si="393"/>
        <v>159.08262905068455</v>
      </c>
      <c r="Z52" s="60" t="str">
        <f t="shared" si="393"/>
        <v>.</v>
      </c>
      <c r="AA52" s="60" t="str">
        <f t="shared" si="393"/>
        <v>.</v>
      </c>
      <c r="AB52" s="60">
        <f t="shared" si="393"/>
        <v>6452.307051118687</v>
      </c>
      <c r="AC52" s="60">
        <f t="shared" si="393"/>
        <v>2641.3558439901822</v>
      </c>
      <c r="AD52" s="60" t="str">
        <f t="shared" si="393"/>
        <v>.</v>
      </c>
      <c r="AE52" s="60">
        <f t="shared" si="393"/>
        <v>168.83268876451174</v>
      </c>
      <c r="AF52" s="60">
        <f t="shared" si="393"/>
        <v>146.39635655319651</v>
      </c>
      <c r="AG52" s="111">
        <f t="shared" si="368"/>
        <v>2.9630147784999996E-5</v>
      </c>
      <c r="AH52" s="111">
        <f t="shared" si="369"/>
        <v>2.2192656744701713E-7</v>
      </c>
      <c r="AI52" s="111">
        <f t="shared" si="370"/>
        <v>0.81210326225418061</v>
      </c>
      <c r="AJ52" s="111">
        <f t="shared" si="371"/>
        <v>6.2860414488208815E-3</v>
      </c>
      <c r="AK52" s="111" t="str">
        <f t="shared" si="372"/>
        <v>.</v>
      </c>
      <c r="AL52" s="111" t="str">
        <f t="shared" si="373"/>
        <v>.</v>
      </c>
      <c r="AM52" s="111">
        <f t="shared" si="374"/>
        <v>1.5498332489099727E-4</v>
      </c>
      <c r="AN52" s="111">
        <f t="shared" si="375"/>
        <v>3.7859344180197363E-4</v>
      </c>
      <c r="AO52" s="111" t="str">
        <f t="shared" si="376"/>
        <v>.</v>
      </c>
      <c r="AP52" s="111">
        <f t="shared" si="377"/>
        <v>5.9230235999783339E-3</v>
      </c>
      <c r="AQ52" s="111">
        <f t="shared" si="274"/>
        <v>6.8307710898298677E-3</v>
      </c>
      <c r="AR52" s="60">
        <f>IFERROR(AR17/$B52,".")</f>
        <v>1.2023471828769536</v>
      </c>
      <c r="AS52" s="189">
        <f>IFERROR(AS17/$B52,0)</f>
        <v>3.6735092041591533E-14</v>
      </c>
      <c r="AT52" s="60">
        <f>IFERROR(AT17/$B52,".")</f>
        <v>1731.1249450854227</v>
      </c>
      <c r="AU52" s="60">
        <f>IFERROR(AU17,".")</f>
        <v>7.496419218595169</v>
      </c>
      <c r="AV52" s="60">
        <f t="shared" ref="AV52:BD52" si="394">IFERROR(AV17/$B52,".")</f>
        <v>12996.509937605315</v>
      </c>
      <c r="AW52" s="60">
        <f t="shared" si="394"/>
        <v>643.99549958350099</v>
      </c>
      <c r="AX52" s="60" t="str">
        <f t="shared" si="394"/>
        <v>.</v>
      </c>
      <c r="AY52" s="60" t="str">
        <f t="shared" si="394"/>
        <v>.</v>
      </c>
      <c r="AZ52" s="60">
        <f t="shared" si="394"/>
        <v>437212.71967756574</v>
      </c>
      <c r="BA52" s="60">
        <f t="shared" si="394"/>
        <v>164558.38310656254</v>
      </c>
      <c r="BB52" s="60" t="str">
        <f t="shared" si="394"/>
        <v>.</v>
      </c>
      <c r="BC52" s="60">
        <f t="shared" si="394"/>
        <v>1125.5512584300782</v>
      </c>
      <c r="BD52" s="60">
        <f t="shared" si="394"/>
        <v>975.97571035464352</v>
      </c>
      <c r="BE52" s="111">
        <f t="shared" si="379"/>
        <v>5.77659055078E-4</v>
      </c>
      <c r="BF52" s="111">
        <f t="shared" si="380"/>
        <v>0.133397022076815</v>
      </c>
      <c r="BG52" s="111">
        <f t="shared" si="381"/>
        <v>7.6943733725506308E-5</v>
      </c>
      <c r="BH52" s="111">
        <f t="shared" si="382"/>
        <v>1.5528058824118213E-3</v>
      </c>
      <c r="BI52" s="111" t="str">
        <f t="shared" si="383"/>
        <v>.</v>
      </c>
      <c r="BJ52" s="111" t="str">
        <f t="shared" si="384"/>
        <v>.</v>
      </c>
      <c r="BK52" s="111">
        <f t="shared" si="385"/>
        <v>2.2872161650225476E-6</v>
      </c>
      <c r="BL52" s="111">
        <f t="shared" si="386"/>
        <v>6.0768705982753438E-6</v>
      </c>
      <c r="BM52" s="111" t="str">
        <f t="shared" si="387"/>
        <v>.</v>
      </c>
      <c r="BN52" s="111">
        <f t="shared" si="388"/>
        <v>8.8845353999675021E-4</v>
      </c>
      <c r="BO52" s="111">
        <f t="shared" si="286"/>
        <v>1.02461566347448E-3</v>
      </c>
      <c r="BP52" s="60">
        <f>IFERROR(BP17/$B52,".")</f>
        <v>7.2727703997876683</v>
      </c>
      <c r="BQ52" s="189">
        <f>IFERROR(BQ17/$B52,0)</f>
        <v>2.2220361459515627E-16</v>
      </c>
      <c r="BR52" s="60">
        <f>IFERROR(BR17/$B52,".")</f>
        <v>3.3148293701691931</v>
      </c>
      <c r="BS52" s="60">
        <f>IFERROR(BS17/$B52,".")</f>
        <v>804.79082717796246</v>
      </c>
      <c r="BT52" s="60">
        <f>IFERROR(BT17/$B52,".")</f>
        <v>3.3012320222675928</v>
      </c>
      <c r="BU52" s="189">
        <f>IFERROR(BU17/$B52,0)</f>
        <v>1.0086193398688244E-16</v>
      </c>
    </row>
    <row r="53" spans="1:73" x14ac:dyDescent="0.25">
      <c r="A53" s="77" t="s">
        <v>1074</v>
      </c>
      <c r="B53" s="42">
        <v>2.0000000000000001E-4</v>
      </c>
      <c r="C53" s="238"/>
      <c r="D53" s="60" t="str">
        <f t="shared" ref="D53:AF53" si="395">IFERROR(D5/$B53,".")</f>
        <v>.</v>
      </c>
      <c r="E53" s="60" t="str">
        <f t="shared" si="395"/>
        <v>.</v>
      </c>
      <c r="F53" s="60" t="str">
        <f t="shared" si="395"/>
        <v>.</v>
      </c>
      <c r="G53" s="60" t="str">
        <f t="shared" si="395"/>
        <v>.</v>
      </c>
      <c r="H53" s="60" t="str">
        <f t="shared" si="395"/>
        <v>.</v>
      </c>
      <c r="I53" s="60" t="str">
        <f t="shared" si="395"/>
        <v>.</v>
      </c>
      <c r="J53" s="60" t="str">
        <f t="shared" si="395"/>
        <v>.</v>
      </c>
      <c r="K53" s="60" t="str">
        <f t="shared" si="395"/>
        <v>.</v>
      </c>
      <c r="L53" s="111" t="str">
        <f t="shared" si="360"/>
        <v>.</v>
      </c>
      <c r="M53" s="111" t="str">
        <f t="shared" si="361"/>
        <v>.</v>
      </c>
      <c r="N53" s="111" t="str">
        <f t="shared" si="362"/>
        <v>.</v>
      </c>
      <c r="O53" s="111" t="str">
        <f t="shared" si="363"/>
        <v>.</v>
      </c>
      <c r="P53" s="111" t="str">
        <f t="shared" si="364"/>
        <v>.</v>
      </c>
      <c r="Q53" s="111" t="str">
        <f t="shared" si="365"/>
        <v>.</v>
      </c>
      <c r="R53" s="111" t="str">
        <f t="shared" si="366"/>
        <v>.</v>
      </c>
      <c r="S53" s="111" t="str">
        <f t="shared" si="367"/>
        <v>.</v>
      </c>
      <c r="T53" s="60" t="str">
        <f>IFERROR(T5/$B53,".")</f>
        <v>.</v>
      </c>
      <c r="U53" s="189">
        <f>IFERROR(U5/$B53,0)</f>
        <v>0</v>
      </c>
      <c r="V53" s="60" t="str">
        <f t="shared" si="395"/>
        <v>.</v>
      </c>
      <c r="W53" s="60" t="str">
        <f t="shared" si="395"/>
        <v>.</v>
      </c>
      <c r="X53" s="60">
        <f t="shared" si="395"/>
        <v>154464318.41036165</v>
      </c>
      <c r="Y53" s="60" t="str">
        <f t="shared" si="395"/>
        <v>.</v>
      </c>
      <c r="Z53" s="60" t="str">
        <f t="shared" si="395"/>
        <v>.</v>
      </c>
      <c r="AA53" s="60" t="str">
        <f t="shared" si="395"/>
        <v>.</v>
      </c>
      <c r="AB53" s="60" t="str">
        <f t="shared" si="395"/>
        <v>.</v>
      </c>
      <c r="AC53" s="60" t="str">
        <f t="shared" si="395"/>
        <v>.</v>
      </c>
      <c r="AD53" s="60" t="str">
        <f t="shared" si="395"/>
        <v>.</v>
      </c>
      <c r="AE53" s="60" t="str">
        <f t="shared" si="395"/>
        <v>.</v>
      </c>
      <c r="AF53" s="60" t="str">
        <f t="shared" si="395"/>
        <v>.</v>
      </c>
      <c r="AG53" s="111" t="str">
        <f t="shared" si="368"/>
        <v>.</v>
      </c>
      <c r="AH53" s="111" t="str">
        <f t="shared" si="369"/>
        <v>.</v>
      </c>
      <c r="AI53" s="111">
        <f t="shared" si="370"/>
        <v>6.4739870689315054E-9</v>
      </c>
      <c r="AJ53" s="111" t="str">
        <f t="shared" si="371"/>
        <v>.</v>
      </c>
      <c r="AK53" s="111" t="str">
        <f t="shared" si="372"/>
        <v>.</v>
      </c>
      <c r="AL53" s="111" t="str">
        <f t="shared" si="373"/>
        <v>.</v>
      </c>
      <c r="AM53" s="111" t="str">
        <f t="shared" si="374"/>
        <v>.</v>
      </c>
      <c r="AN53" s="111" t="str">
        <f t="shared" si="375"/>
        <v>.</v>
      </c>
      <c r="AO53" s="111" t="str">
        <f t="shared" si="376"/>
        <v>.</v>
      </c>
      <c r="AP53" s="111" t="str">
        <f t="shared" si="377"/>
        <v>.</v>
      </c>
      <c r="AQ53" s="111" t="str">
        <f t="shared" si="274"/>
        <v>.</v>
      </c>
      <c r="AR53" s="60">
        <f>IFERROR(AR5/$B53,".")</f>
        <v>154464318.41036165</v>
      </c>
      <c r="AS53" s="189">
        <f>IFERROR(AS5/$B53,0)</f>
        <v>4.4846375550649158E-9</v>
      </c>
      <c r="AT53" s="60" t="str">
        <f>IFERROR(AT5/$B53,".")</f>
        <v>.</v>
      </c>
      <c r="AU53" s="60" t="str">
        <f>IFERROR(AU5,".")</f>
        <v>.</v>
      </c>
      <c r="AV53" s="60">
        <f t="shared" ref="AV53:BD53" si="396">IFERROR(AV5/$B53,".")</f>
        <v>1252612985273.5554</v>
      </c>
      <c r="AW53" s="60" t="str">
        <f t="shared" si="396"/>
        <v>.</v>
      </c>
      <c r="AX53" s="60" t="str">
        <f t="shared" si="396"/>
        <v>.</v>
      </c>
      <c r="AY53" s="60" t="str">
        <f t="shared" si="396"/>
        <v>.</v>
      </c>
      <c r="AZ53" s="60" t="str">
        <f t="shared" si="396"/>
        <v>.</v>
      </c>
      <c r="BA53" s="60" t="str">
        <f t="shared" si="396"/>
        <v>.</v>
      </c>
      <c r="BB53" s="60" t="str">
        <f t="shared" si="396"/>
        <v>.</v>
      </c>
      <c r="BC53" s="60" t="str">
        <f t="shared" si="396"/>
        <v>.</v>
      </c>
      <c r="BD53" s="60" t="str">
        <f t="shared" si="396"/>
        <v>.</v>
      </c>
      <c r="BE53" s="111" t="str">
        <f t="shared" si="379"/>
        <v>.</v>
      </c>
      <c r="BF53" s="111" t="str">
        <f t="shared" si="380"/>
        <v>.</v>
      </c>
      <c r="BG53" s="111">
        <f t="shared" si="381"/>
        <v>7.983311779109588E-13</v>
      </c>
      <c r="BH53" s="111" t="str">
        <f t="shared" si="382"/>
        <v>.</v>
      </c>
      <c r="BI53" s="111" t="str">
        <f t="shared" si="383"/>
        <v>.</v>
      </c>
      <c r="BJ53" s="111" t="str">
        <f t="shared" si="384"/>
        <v>.</v>
      </c>
      <c r="BK53" s="111" t="str">
        <f t="shared" si="385"/>
        <v>.</v>
      </c>
      <c r="BL53" s="111" t="str">
        <f t="shared" si="386"/>
        <v>.</v>
      </c>
      <c r="BM53" s="111" t="str">
        <f t="shared" si="387"/>
        <v>.</v>
      </c>
      <c r="BN53" s="111" t="str">
        <f t="shared" si="388"/>
        <v>.</v>
      </c>
      <c r="BO53" s="111" t="str">
        <f t="shared" si="286"/>
        <v>.</v>
      </c>
      <c r="BP53" s="60">
        <f>IFERROR(BP5/$B53,".")</f>
        <v>1252612985273.5554</v>
      </c>
      <c r="BQ53" s="189">
        <f>IFERROR(BQ5/$B53,0)</f>
        <v>3.6367720995575469E-8</v>
      </c>
      <c r="BR53" s="60" t="str">
        <f>IFERROR(BR5/$B53,".")</f>
        <v>.</v>
      </c>
      <c r="BS53" s="60">
        <f>IFERROR(BS5/$B53,".")</f>
        <v>45568324214.484932</v>
      </c>
      <c r="BT53" s="60">
        <f>IFERROR(BT5/$B53,".")</f>
        <v>45568324214.484932</v>
      </c>
      <c r="BU53" s="189">
        <f>IFERROR(BU5/$B53,0)</f>
        <v>1.3230072821785396E-9</v>
      </c>
    </row>
    <row r="54" spans="1:73" x14ac:dyDescent="0.25">
      <c r="A54" s="77" t="s">
        <v>1075</v>
      </c>
      <c r="B54" s="42">
        <v>0.99999979999999999</v>
      </c>
      <c r="C54" s="238"/>
      <c r="D54" s="60">
        <f t="shared" ref="D54:AF54" si="397">IFERROR(D9/$B54,".")</f>
        <v>3.6621700405871405</v>
      </c>
      <c r="E54" s="60">
        <f t="shared" si="397"/>
        <v>33.116435379004436</v>
      </c>
      <c r="F54" s="60">
        <f t="shared" si="397"/>
        <v>59.934735221895437</v>
      </c>
      <c r="G54" s="60">
        <f t="shared" si="397"/>
        <v>21.659415127519793</v>
      </c>
      <c r="H54" s="60">
        <f t="shared" si="397"/>
        <v>3.7291018266731655</v>
      </c>
      <c r="I54" s="60">
        <f t="shared" si="397"/>
        <v>38.88910482600307</v>
      </c>
      <c r="J54" s="60">
        <f t="shared" si="397"/>
        <v>37.573816824746601</v>
      </c>
      <c r="K54" s="60">
        <f t="shared" si="397"/>
        <v>28.67092583888747</v>
      </c>
      <c r="L54" s="111">
        <f t="shared" si="360"/>
        <v>0.2730621431875605</v>
      </c>
      <c r="M54" s="111">
        <f t="shared" si="361"/>
        <v>3.0196486685701452E-2</v>
      </c>
      <c r="N54" s="111">
        <f t="shared" si="362"/>
        <v>1.668481551303623E-2</v>
      </c>
      <c r="O54" s="111">
        <f t="shared" si="363"/>
        <v>4.616929839113848E-2</v>
      </c>
      <c r="P54" s="111">
        <f t="shared" si="364"/>
        <v>0.26816108716777187</v>
      </c>
      <c r="Q54" s="111">
        <f t="shared" si="365"/>
        <v>2.5714142932170385E-2</v>
      </c>
      <c r="R54" s="111">
        <f t="shared" si="366"/>
        <v>2.661427782714337E-2</v>
      </c>
      <c r="S54" s="111">
        <f t="shared" si="367"/>
        <v>3.4878538824290838E-2</v>
      </c>
      <c r="T54" s="60">
        <f>IFERROR(T9/$B54,".")</f>
        <v>1.3860382883750024</v>
      </c>
      <c r="U54" s="189">
        <f>IFERROR(U9/$B54,0)</f>
        <v>3.1444504249708132E-14</v>
      </c>
      <c r="V54" s="60">
        <f t="shared" si="397"/>
        <v>45065.709170759117</v>
      </c>
      <c r="W54" s="60">
        <f t="shared" si="397"/>
        <v>5735994.8749937043</v>
      </c>
      <c r="X54" s="60">
        <f t="shared" si="397"/>
        <v>0.16943696721115209</v>
      </c>
      <c r="Y54" s="60">
        <f t="shared" si="397"/>
        <v>36.314134645667735</v>
      </c>
      <c r="Z54" s="60" t="str">
        <f t="shared" si="397"/>
        <v>.</v>
      </c>
      <c r="AA54" s="60" t="str">
        <f t="shared" si="397"/>
        <v>.</v>
      </c>
      <c r="AB54" s="60">
        <f t="shared" si="397"/>
        <v>1161.0514675700772</v>
      </c>
      <c r="AC54" s="60">
        <f t="shared" si="397"/>
        <v>245.82239241429502</v>
      </c>
      <c r="AD54" s="60" t="str">
        <f t="shared" si="397"/>
        <v>.</v>
      </c>
      <c r="AE54" s="60">
        <f t="shared" si="397"/>
        <v>1202.362138391891</v>
      </c>
      <c r="AF54" s="60" t="str">
        <f t="shared" si="397"/>
        <v>.</v>
      </c>
      <c r="AG54" s="111">
        <f t="shared" si="368"/>
        <v>2.2189820562035001E-5</v>
      </c>
      <c r="AH54" s="111">
        <f t="shared" si="369"/>
        <v>1.7433767320112844E-7</v>
      </c>
      <c r="AI54" s="111">
        <f t="shared" si="370"/>
        <v>5.9018997829074777</v>
      </c>
      <c r="AJ54" s="111">
        <f t="shared" si="371"/>
        <v>2.7537486704761659E-2</v>
      </c>
      <c r="AK54" s="111" t="str">
        <f t="shared" si="372"/>
        <v>.</v>
      </c>
      <c r="AL54" s="111" t="str">
        <f t="shared" si="373"/>
        <v>.</v>
      </c>
      <c r="AM54" s="111">
        <f t="shared" si="374"/>
        <v>8.6128826148668841E-4</v>
      </c>
      <c r="AN54" s="111">
        <f t="shared" si="375"/>
        <v>4.0679776572780935E-3</v>
      </c>
      <c r="AO54" s="111" t="str">
        <f t="shared" si="376"/>
        <v>.</v>
      </c>
      <c r="AP54" s="111">
        <f t="shared" si="377"/>
        <v>8.3169618209823052E-4</v>
      </c>
      <c r="AQ54" s="111" t="str">
        <f t="shared" si="274"/>
        <v>.</v>
      </c>
      <c r="AR54" s="60">
        <f>IFERROR(AR9/$B54,".")</f>
        <v>0.16848573424475924</v>
      </c>
      <c r="AS54" s="189">
        <f>IFERROR(AS9/$B54,0)</f>
        <v>3.8223694330160731E-15</v>
      </c>
      <c r="AT54" s="60">
        <f>IFERROR(AT9/$B54,".")</f>
        <v>2311.5774106321583</v>
      </c>
      <c r="AU54" s="60">
        <f>IFERROR(AU9,".")</f>
        <v>10.364378106107441</v>
      </c>
      <c r="AV54" s="60">
        <f t="shared" ref="AV54:BD54" si="398">IFERROR(AV9/$B54,".")</f>
        <v>2033.4630451237058</v>
      </c>
      <c r="AW54" s="60">
        <f t="shared" si="398"/>
        <v>505.31249930833479</v>
      </c>
      <c r="AX54" s="60" t="str">
        <f t="shared" si="398"/>
        <v>.</v>
      </c>
      <c r="AY54" s="60" t="str">
        <f t="shared" si="398"/>
        <v>.</v>
      </c>
      <c r="AZ54" s="60">
        <f t="shared" si="398"/>
        <v>204334.10497660181</v>
      </c>
      <c r="BA54" s="60">
        <f t="shared" si="398"/>
        <v>41749.726972536526</v>
      </c>
      <c r="BB54" s="60" t="str">
        <f t="shared" si="398"/>
        <v>.</v>
      </c>
      <c r="BC54" s="60">
        <f t="shared" si="398"/>
        <v>2504.9211216497733</v>
      </c>
      <c r="BD54" s="60" t="str">
        <f t="shared" si="398"/>
        <v>.</v>
      </c>
      <c r="BE54" s="111">
        <f t="shared" si="379"/>
        <v>4.3260502347897801E-4</v>
      </c>
      <c r="BF54" s="111">
        <f t="shared" si="380"/>
        <v>9.6484322528789995E-2</v>
      </c>
      <c r="BG54" s="111">
        <f t="shared" si="381"/>
        <v>4.9177190723874941E-4</v>
      </c>
      <c r="BH54" s="111">
        <f t="shared" si="382"/>
        <v>1.9789734102536294E-3</v>
      </c>
      <c r="BI54" s="111" t="str">
        <f t="shared" si="383"/>
        <v>.</v>
      </c>
      <c r="BJ54" s="111" t="str">
        <f t="shared" si="384"/>
        <v>.</v>
      </c>
      <c r="BK54" s="111">
        <f t="shared" si="385"/>
        <v>4.8939456294606793E-6</v>
      </c>
      <c r="BL54" s="111">
        <f t="shared" si="386"/>
        <v>2.3952252446053408E-5</v>
      </c>
      <c r="BM54" s="111" t="str">
        <f t="shared" si="387"/>
        <v>.</v>
      </c>
      <c r="BN54" s="111">
        <f t="shared" si="388"/>
        <v>3.9921416740715059E-4</v>
      </c>
      <c r="BO54" s="111" t="str">
        <f t="shared" si="286"/>
        <v>.</v>
      </c>
      <c r="BP54" s="60">
        <f>IFERROR(BP9/$B54,".")</f>
        <v>10.018462630216145</v>
      </c>
      <c r="BQ54" s="189">
        <f>IFERROR(BQ9/$B54,0)</f>
        <v>2.2728491225210748E-16</v>
      </c>
      <c r="BR54" s="60">
        <f>IFERROR(BR9/$B54,".")</f>
        <v>4.2196771947593303</v>
      </c>
      <c r="BS54" s="60">
        <f>IFERROR(BS9/$B54,".")</f>
        <v>125.61734644610007</v>
      </c>
      <c r="BT54" s="60">
        <f>IFERROR(BT9/$B54,".")</f>
        <v>4.0825385333153958</v>
      </c>
      <c r="BU54" s="189">
        <f>IFERROR(BU9/$B54,0)</f>
        <v>9.261894230276909E-17</v>
      </c>
    </row>
    <row r="55" spans="1:73" x14ac:dyDescent="0.25">
      <c r="A55" s="77" t="s">
        <v>1076</v>
      </c>
      <c r="B55" s="42">
        <v>1.9999999999999999E-7</v>
      </c>
      <c r="C55" s="238"/>
      <c r="D55" s="60" t="str">
        <f t="shared" ref="D55:AF55" si="399">IFERROR(D24/$B55,".")</f>
        <v>.</v>
      </c>
      <c r="E55" s="60" t="str">
        <f t="shared" si="399"/>
        <v>.</v>
      </c>
      <c r="F55" s="60" t="str">
        <f t="shared" si="399"/>
        <v>.</v>
      </c>
      <c r="G55" s="60" t="str">
        <f t="shared" si="399"/>
        <v>.</v>
      </c>
      <c r="H55" s="60" t="str">
        <f t="shared" si="399"/>
        <v>.</v>
      </c>
      <c r="I55" s="60" t="str">
        <f t="shared" si="399"/>
        <v>.</v>
      </c>
      <c r="J55" s="60" t="str">
        <f t="shared" si="399"/>
        <v>.</v>
      </c>
      <c r="K55" s="60" t="str">
        <f t="shared" si="399"/>
        <v>.</v>
      </c>
      <c r="L55" s="111" t="str">
        <f t="shared" si="360"/>
        <v>.</v>
      </c>
      <c r="M55" s="111" t="str">
        <f t="shared" si="361"/>
        <v>.</v>
      </c>
      <c r="N55" s="111" t="str">
        <f t="shared" si="362"/>
        <v>.</v>
      </c>
      <c r="O55" s="111" t="str">
        <f t="shared" si="363"/>
        <v>.</v>
      </c>
      <c r="P55" s="111" t="str">
        <f t="shared" si="364"/>
        <v>.</v>
      </c>
      <c r="Q55" s="111" t="str">
        <f t="shared" si="365"/>
        <v>.</v>
      </c>
      <c r="R55" s="111" t="str">
        <f t="shared" si="366"/>
        <v>.</v>
      </c>
      <c r="S55" s="111" t="str">
        <f t="shared" si="367"/>
        <v>.</v>
      </c>
      <c r="T55" s="60" t="str">
        <f>IFERROR(T24/$B55,".")</f>
        <v>.</v>
      </c>
      <c r="U55" s="189">
        <f>IFERROR(U24/$B55,0)</f>
        <v>0</v>
      </c>
      <c r="V55" s="60" t="str">
        <f t="shared" si="399"/>
        <v>.</v>
      </c>
      <c r="W55" s="60" t="str">
        <f t="shared" si="399"/>
        <v>.</v>
      </c>
      <c r="X55" s="60">
        <f t="shared" si="399"/>
        <v>1816988166.5639906</v>
      </c>
      <c r="Y55" s="60" t="str">
        <f t="shared" si="399"/>
        <v>.</v>
      </c>
      <c r="Z55" s="60" t="str">
        <f t="shared" si="399"/>
        <v>.</v>
      </c>
      <c r="AA55" s="60" t="str">
        <f t="shared" si="399"/>
        <v>.</v>
      </c>
      <c r="AB55" s="60" t="str">
        <f t="shared" si="399"/>
        <v>.</v>
      </c>
      <c r="AC55" s="60" t="str">
        <f t="shared" si="399"/>
        <v>.</v>
      </c>
      <c r="AD55" s="60" t="str">
        <f t="shared" si="399"/>
        <v>.</v>
      </c>
      <c r="AE55" s="60" t="str">
        <f t="shared" si="399"/>
        <v>.</v>
      </c>
      <c r="AF55" s="60" t="str">
        <f t="shared" si="399"/>
        <v>.</v>
      </c>
      <c r="AG55" s="111" t="str">
        <f t="shared" si="368"/>
        <v>.</v>
      </c>
      <c r="AH55" s="111" t="str">
        <f t="shared" si="369"/>
        <v>.</v>
      </c>
      <c r="AI55" s="111">
        <f t="shared" si="370"/>
        <v>5.5036131682191784E-10</v>
      </c>
      <c r="AJ55" s="111" t="str">
        <f t="shared" si="371"/>
        <v>.</v>
      </c>
      <c r="AK55" s="111" t="str">
        <f t="shared" si="372"/>
        <v>.</v>
      </c>
      <c r="AL55" s="111" t="str">
        <f t="shared" si="373"/>
        <v>.</v>
      </c>
      <c r="AM55" s="111" t="str">
        <f t="shared" si="374"/>
        <v>.</v>
      </c>
      <c r="AN55" s="111" t="str">
        <f t="shared" si="375"/>
        <v>.</v>
      </c>
      <c r="AO55" s="111" t="str">
        <f t="shared" si="376"/>
        <v>.</v>
      </c>
      <c r="AP55" s="111" t="str">
        <f t="shared" si="377"/>
        <v>.</v>
      </c>
      <c r="AQ55" s="111" t="str">
        <f t="shared" si="274"/>
        <v>.</v>
      </c>
      <c r="AR55" s="60">
        <f>IFERROR(AR24/$B55,".")</f>
        <v>1816988166.5639906</v>
      </c>
      <c r="AS55" s="189">
        <f>IFERROR(AS24/$B55,0)</f>
        <v>1.2309149920875534E-9</v>
      </c>
      <c r="AT55" s="60" t="str">
        <f>IFERROR(AT24/$B55,".")</f>
        <v>.</v>
      </c>
      <c r="AU55" s="60" t="str">
        <f>IFERROR(AU24,".")</f>
        <v>.</v>
      </c>
      <c r="AV55" s="60">
        <f t="shared" ref="AV55:BD55" si="400">IFERROR(AV24/$B55,".")</f>
        <v>21187635068903.172</v>
      </c>
      <c r="AW55" s="60" t="str">
        <f t="shared" si="400"/>
        <v>.</v>
      </c>
      <c r="AX55" s="60" t="str">
        <f t="shared" si="400"/>
        <v>.</v>
      </c>
      <c r="AY55" s="60" t="str">
        <f t="shared" si="400"/>
        <v>.</v>
      </c>
      <c r="AZ55" s="60" t="str">
        <f t="shared" si="400"/>
        <v>.</v>
      </c>
      <c r="BA55" s="60" t="str">
        <f t="shared" si="400"/>
        <v>.</v>
      </c>
      <c r="BB55" s="60" t="str">
        <f t="shared" si="400"/>
        <v>.</v>
      </c>
      <c r="BC55" s="60" t="str">
        <f t="shared" si="400"/>
        <v>.</v>
      </c>
      <c r="BD55" s="60" t="str">
        <f t="shared" si="400"/>
        <v>.</v>
      </c>
      <c r="BE55" s="111" t="str">
        <f t="shared" si="379"/>
        <v>.</v>
      </c>
      <c r="BF55" s="111" t="str">
        <f t="shared" si="380"/>
        <v>.</v>
      </c>
      <c r="BG55" s="111">
        <f t="shared" si="381"/>
        <v>4.7197339238095882E-14</v>
      </c>
      <c r="BH55" s="111" t="str">
        <f t="shared" si="382"/>
        <v>.</v>
      </c>
      <c r="BI55" s="111" t="str">
        <f t="shared" si="383"/>
        <v>.</v>
      </c>
      <c r="BJ55" s="111" t="str">
        <f t="shared" si="384"/>
        <v>.</v>
      </c>
      <c r="BK55" s="111" t="str">
        <f t="shared" si="385"/>
        <v>.</v>
      </c>
      <c r="BL55" s="111" t="str">
        <f t="shared" si="386"/>
        <v>.</v>
      </c>
      <c r="BM55" s="111" t="str">
        <f t="shared" si="387"/>
        <v>.</v>
      </c>
      <c r="BN55" s="111" t="str">
        <f t="shared" si="388"/>
        <v>.</v>
      </c>
      <c r="BO55" s="111" t="str">
        <f t="shared" si="286"/>
        <v>.</v>
      </c>
      <c r="BP55" s="60">
        <f>IFERROR(BP24/$B55,".")</f>
        <v>21187635068903.172</v>
      </c>
      <c r="BQ55" s="189">
        <f>IFERROR(BQ24/$B55,0)</f>
        <v>1.4353520916160806E-8</v>
      </c>
      <c r="BR55" s="60" t="str">
        <f>IFERROR(BR24/$B55,".")</f>
        <v>.</v>
      </c>
      <c r="BS55" s="60">
        <f>IFERROR(BS24/$B55,".")</f>
        <v>1313439933241.0366</v>
      </c>
      <c r="BT55" s="60">
        <f>IFERROR(BT24/$B55,".")</f>
        <v>1313439933241.0366</v>
      </c>
      <c r="BU55" s="189">
        <f>IFERROR(BU24/$B55,0)</f>
        <v>8.8978725056321336E-10</v>
      </c>
    </row>
    <row r="56" spans="1:73" x14ac:dyDescent="0.25">
      <c r="A56" s="77" t="s">
        <v>1077</v>
      </c>
      <c r="B56" s="42">
        <v>0.99979000004200003</v>
      </c>
      <c r="C56" s="238"/>
      <c r="D56" s="60" t="str">
        <f t="shared" ref="D56:AF56" si="401">IFERROR(D20/$B56,".")</f>
        <v>.</v>
      </c>
      <c r="E56" s="60" t="str">
        <f t="shared" si="401"/>
        <v>.</v>
      </c>
      <c r="F56" s="60" t="str">
        <f t="shared" si="401"/>
        <v>.</v>
      </c>
      <c r="G56" s="60" t="str">
        <f t="shared" si="401"/>
        <v>.</v>
      </c>
      <c r="H56" s="60" t="str">
        <f t="shared" si="401"/>
        <v>.</v>
      </c>
      <c r="I56" s="60" t="str">
        <f t="shared" si="401"/>
        <v>.</v>
      </c>
      <c r="J56" s="60" t="str">
        <f t="shared" si="401"/>
        <v>.</v>
      </c>
      <c r="K56" s="60" t="str">
        <f t="shared" si="401"/>
        <v>.</v>
      </c>
      <c r="L56" s="111" t="str">
        <f t="shared" si="360"/>
        <v>.</v>
      </c>
      <c r="M56" s="111" t="str">
        <f t="shared" si="361"/>
        <v>.</v>
      </c>
      <c r="N56" s="111" t="str">
        <f t="shared" si="362"/>
        <v>.</v>
      </c>
      <c r="O56" s="111" t="str">
        <f t="shared" si="363"/>
        <v>.</v>
      </c>
      <c r="P56" s="111" t="str">
        <f t="shared" si="364"/>
        <v>.</v>
      </c>
      <c r="Q56" s="111" t="str">
        <f t="shared" si="365"/>
        <v>.</v>
      </c>
      <c r="R56" s="111" t="str">
        <f t="shared" si="366"/>
        <v>.</v>
      </c>
      <c r="S56" s="111" t="str">
        <f t="shared" si="367"/>
        <v>.</v>
      </c>
      <c r="T56" s="60" t="str">
        <f>IFERROR(T20/$B56,".")</f>
        <v>.</v>
      </c>
      <c r="U56" s="189">
        <f>IFERROR(U20/$B56,0)</f>
        <v>0</v>
      </c>
      <c r="V56" s="60" t="str">
        <f t="shared" si="401"/>
        <v>.</v>
      </c>
      <c r="W56" s="60" t="str">
        <f t="shared" si="401"/>
        <v>.</v>
      </c>
      <c r="X56" s="60">
        <f t="shared" si="401"/>
        <v>3224.5939114855114</v>
      </c>
      <c r="Y56" s="60" t="str">
        <f t="shared" si="401"/>
        <v>.</v>
      </c>
      <c r="Z56" s="60" t="str">
        <f t="shared" si="401"/>
        <v>.</v>
      </c>
      <c r="AA56" s="60" t="str">
        <f t="shared" si="401"/>
        <v>.</v>
      </c>
      <c r="AB56" s="60" t="str">
        <f t="shared" si="401"/>
        <v>.</v>
      </c>
      <c r="AC56" s="60" t="str">
        <f t="shared" si="401"/>
        <v>.</v>
      </c>
      <c r="AD56" s="60" t="str">
        <f t="shared" si="401"/>
        <v>.</v>
      </c>
      <c r="AE56" s="60" t="str">
        <f t="shared" si="401"/>
        <v>.</v>
      </c>
      <c r="AF56" s="60" t="str">
        <f t="shared" si="401"/>
        <v>.</v>
      </c>
      <c r="AG56" s="111" t="str">
        <f t="shared" si="368"/>
        <v>.</v>
      </c>
      <c r="AH56" s="111" t="str">
        <f t="shared" si="369"/>
        <v>.</v>
      </c>
      <c r="AI56" s="111">
        <f t="shared" si="370"/>
        <v>3.1011656892303638E-4</v>
      </c>
      <c r="AJ56" s="111" t="str">
        <f t="shared" si="371"/>
        <v>.</v>
      </c>
      <c r="AK56" s="111" t="str">
        <f t="shared" si="372"/>
        <v>.</v>
      </c>
      <c r="AL56" s="111" t="str">
        <f t="shared" si="373"/>
        <v>.</v>
      </c>
      <c r="AM56" s="111" t="str">
        <f t="shared" si="374"/>
        <v>.</v>
      </c>
      <c r="AN56" s="111" t="str">
        <f t="shared" si="375"/>
        <v>.</v>
      </c>
      <c r="AO56" s="111" t="str">
        <f t="shared" si="376"/>
        <v>.</v>
      </c>
      <c r="AP56" s="111" t="str">
        <f t="shared" si="377"/>
        <v>.</v>
      </c>
      <c r="AQ56" s="111" t="str">
        <f t="shared" si="274"/>
        <v>.</v>
      </c>
      <c r="AR56" s="60">
        <f>IFERROR(AR20/$B56,".")</f>
        <v>3224.5939114855114</v>
      </c>
      <c r="AS56" s="189">
        <f>IFERROR(AS20/$B56,0)</f>
        <v>1.006648361144457E-17</v>
      </c>
      <c r="AT56" s="60" t="str">
        <f>IFERROR(AT20/$B56,".")</f>
        <v>.</v>
      </c>
      <c r="AU56" s="60" t="str">
        <f>IFERROR(AU20,".")</f>
        <v>.</v>
      </c>
      <c r="AV56" s="60">
        <f t="shared" ref="AV56:BD56" si="402">IFERROR(AV20/$B56,".")</f>
        <v>38058204.410682462</v>
      </c>
      <c r="AW56" s="60" t="str">
        <f t="shared" si="402"/>
        <v>.</v>
      </c>
      <c r="AX56" s="60" t="str">
        <f t="shared" si="402"/>
        <v>.</v>
      </c>
      <c r="AY56" s="60" t="str">
        <f t="shared" si="402"/>
        <v>.</v>
      </c>
      <c r="AZ56" s="60" t="str">
        <f t="shared" si="402"/>
        <v>.</v>
      </c>
      <c r="BA56" s="60" t="str">
        <f t="shared" si="402"/>
        <v>.</v>
      </c>
      <c r="BB56" s="60" t="str">
        <f t="shared" si="402"/>
        <v>.</v>
      </c>
      <c r="BC56" s="60" t="str">
        <f t="shared" si="402"/>
        <v>.</v>
      </c>
      <c r="BD56" s="60" t="str">
        <f t="shared" si="402"/>
        <v>.</v>
      </c>
      <c r="BE56" s="111" t="str">
        <f t="shared" si="379"/>
        <v>.</v>
      </c>
      <c r="BF56" s="111" t="str">
        <f t="shared" si="380"/>
        <v>.</v>
      </c>
      <c r="BG56" s="111">
        <f t="shared" si="381"/>
        <v>2.6275543354833434E-8</v>
      </c>
      <c r="BH56" s="111" t="str">
        <f t="shared" si="382"/>
        <v>.</v>
      </c>
      <c r="BI56" s="111" t="str">
        <f t="shared" si="383"/>
        <v>.</v>
      </c>
      <c r="BJ56" s="111" t="str">
        <f t="shared" si="384"/>
        <v>.</v>
      </c>
      <c r="BK56" s="111" t="str">
        <f t="shared" si="385"/>
        <v>.</v>
      </c>
      <c r="BL56" s="111" t="str">
        <f t="shared" si="386"/>
        <v>.</v>
      </c>
      <c r="BM56" s="111" t="str">
        <f t="shared" si="387"/>
        <v>.</v>
      </c>
      <c r="BN56" s="111" t="str">
        <f t="shared" si="388"/>
        <v>.</v>
      </c>
      <c r="BO56" s="111" t="str">
        <f t="shared" si="286"/>
        <v>.</v>
      </c>
      <c r="BP56" s="60">
        <f>IFERROR(BP20/$B56,".")</f>
        <v>38058204.410682462</v>
      </c>
      <c r="BQ56" s="189">
        <f>IFERROR(BQ20/$B56,0)</f>
        <v>1.1880946919131581E-16</v>
      </c>
      <c r="BR56" s="60" t="str">
        <f>IFERROR(BR20/$B56,".")</f>
        <v>.</v>
      </c>
      <c r="BS56" s="60">
        <f>IFERROR(BS20/$B56,".")</f>
        <v>2350859.8768014573</v>
      </c>
      <c r="BT56" s="60">
        <f>IFERROR(BT20/$B56,".")</f>
        <v>2350859.8768014573</v>
      </c>
      <c r="BU56" s="189">
        <f>IFERROR(BU20/$B56,0)</f>
        <v>7.3388752420370644E-18</v>
      </c>
    </row>
    <row r="57" spans="1:73" x14ac:dyDescent="0.25">
      <c r="A57" s="77" t="s">
        <v>1078</v>
      </c>
      <c r="B57" s="42">
        <v>2.0999995799999999E-4</v>
      </c>
      <c r="C57" s="238"/>
      <c r="D57" s="60" t="str">
        <f t="shared" ref="D57:AF57" si="403">IFERROR(D29/$B57,".")</f>
        <v>.</v>
      </c>
      <c r="E57" s="60" t="str">
        <f t="shared" si="403"/>
        <v>.</v>
      </c>
      <c r="F57" s="60" t="str">
        <f t="shared" si="403"/>
        <v>.</v>
      </c>
      <c r="G57" s="60" t="str">
        <f t="shared" si="403"/>
        <v>.</v>
      </c>
      <c r="H57" s="60" t="str">
        <f t="shared" si="403"/>
        <v>.</v>
      </c>
      <c r="I57" s="60" t="str">
        <f t="shared" si="403"/>
        <v>.</v>
      </c>
      <c r="J57" s="60" t="str">
        <f t="shared" si="403"/>
        <v>.</v>
      </c>
      <c r="K57" s="60" t="str">
        <f t="shared" si="403"/>
        <v>.</v>
      </c>
      <c r="L57" s="111" t="str">
        <f t="shared" si="360"/>
        <v>.</v>
      </c>
      <c r="M57" s="111" t="str">
        <f t="shared" si="361"/>
        <v>.</v>
      </c>
      <c r="N57" s="111" t="str">
        <f t="shared" si="362"/>
        <v>.</v>
      </c>
      <c r="O57" s="111" t="str">
        <f t="shared" si="363"/>
        <v>.</v>
      </c>
      <c r="P57" s="111" t="str">
        <f t="shared" si="364"/>
        <v>.</v>
      </c>
      <c r="Q57" s="111" t="str">
        <f t="shared" si="365"/>
        <v>.</v>
      </c>
      <c r="R57" s="111" t="str">
        <f t="shared" si="366"/>
        <v>.</v>
      </c>
      <c r="S57" s="111" t="str">
        <f t="shared" si="367"/>
        <v>.</v>
      </c>
      <c r="T57" s="60" t="str">
        <f>IFERROR(T29/$B57,".")</f>
        <v>.</v>
      </c>
      <c r="U57" s="189">
        <f>IFERROR(U29/$B57,0)</f>
        <v>0</v>
      </c>
      <c r="V57" s="60" t="str">
        <f t="shared" si="403"/>
        <v>.</v>
      </c>
      <c r="W57" s="60" t="str">
        <f t="shared" si="403"/>
        <v>.</v>
      </c>
      <c r="X57" s="60">
        <f t="shared" si="403"/>
        <v>439.36089175020351</v>
      </c>
      <c r="Y57" s="60" t="str">
        <f t="shared" si="403"/>
        <v>.</v>
      </c>
      <c r="Z57" s="60" t="str">
        <f t="shared" si="403"/>
        <v>.</v>
      </c>
      <c r="AA57" s="60" t="str">
        <f t="shared" si="403"/>
        <v>.</v>
      </c>
      <c r="AB57" s="60" t="str">
        <f t="shared" si="403"/>
        <v>.</v>
      </c>
      <c r="AC57" s="60" t="str">
        <f t="shared" si="403"/>
        <v>.</v>
      </c>
      <c r="AD57" s="60" t="str">
        <f t="shared" si="403"/>
        <v>.</v>
      </c>
      <c r="AE57" s="60" t="str">
        <f t="shared" si="403"/>
        <v>.</v>
      </c>
      <c r="AF57" s="60" t="str">
        <f t="shared" si="403"/>
        <v>.</v>
      </c>
      <c r="AG57" s="111" t="str">
        <f t="shared" si="368"/>
        <v>.</v>
      </c>
      <c r="AH57" s="111" t="str">
        <f t="shared" si="369"/>
        <v>.</v>
      </c>
      <c r="AI57" s="111">
        <f t="shared" si="370"/>
        <v>2.2760332537028467E-3</v>
      </c>
      <c r="AJ57" s="111" t="str">
        <f t="shared" si="371"/>
        <v>.</v>
      </c>
      <c r="AK57" s="111" t="str">
        <f t="shared" si="372"/>
        <v>.</v>
      </c>
      <c r="AL57" s="111" t="str">
        <f t="shared" si="373"/>
        <v>.</v>
      </c>
      <c r="AM57" s="111" t="str">
        <f t="shared" si="374"/>
        <v>.</v>
      </c>
      <c r="AN57" s="111" t="str">
        <f t="shared" si="375"/>
        <v>.</v>
      </c>
      <c r="AO57" s="111" t="str">
        <f t="shared" si="376"/>
        <v>.</v>
      </c>
      <c r="AP57" s="111" t="str">
        <f t="shared" si="377"/>
        <v>.</v>
      </c>
      <c r="AQ57" s="111" t="str">
        <f t="shared" si="274"/>
        <v>.</v>
      </c>
      <c r="AR57" s="60">
        <f>IFERROR(AR29/$B57,".")</f>
        <v>439.36089175020351</v>
      </c>
      <c r="AS57" s="189">
        <f>IFERROR(AS29/$B57,0)</f>
        <v>6.3897919644949737E-13</v>
      </c>
      <c r="AT57" s="60" t="str">
        <f>IFERROR(AT29/$B57,".")</f>
        <v>.</v>
      </c>
      <c r="AU57" s="60" t="str">
        <f>IFERROR(AU29,".")</f>
        <v>.</v>
      </c>
      <c r="AV57" s="60">
        <f t="shared" ref="AV57:BD57" si="404">IFERROR(AV29/$B57,".")</f>
        <v>5232302.572248131</v>
      </c>
      <c r="AW57" s="60" t="str">
        <f t="shared" si="404"/>
        <v>.</v>
      </c>
      <c r="AX57" s="60" t="str">
        <f t="shared" si="404"/>
        <v>.</v>
      </c>
      <c r="AY57" s="60" t="str">
        <f t="shared" si="404"/>
        <v>.</v>
      </c>
      <c r="AZ57" s="60" t="str">
        <f t="shared" si="404"/>
        <v>.</v>
      </c>
      <c r="BA57" s="60" t="str">
        <f t="shared" si="404"/>
        <v>.</v>
      </c>
      <c r="BB57" s="60" t="str">
        <f t="shared" si="404"/>
        <v>.</v>
      </c>
      <c r="BC57" s="60" t="str">
        <f t="shared" si="404"/>
        <v>.</v>
      </c>
      <c r="BD57" s="60" t="str">
        <f t="shared" si="404"/>
        <v>.</v>
      </c>
      <c r="BE57" s="111" t="str">
        <f t="shared" si="379"/>
        <v>.</v>
      </c>
      <c r="BF57" s="111" t="str">
        <f t="shared" si="380"/>
        <v>.</v>
      </c>
      <c r="BG57" s="111">
        <f t="shared" si="381"/>
        <v>1.9112044576778675E-7</v>
      </c>
      <c r="BH57" s="111" t="str">
        <f t="shared" si="382"/>
        <v>.</v>
      </c>
      <c r="BI57" s="111" t="str">
        <f t="shared" si="383"/>
        <v>.</v>
      </c>
      <c r="BJ57" s="111" t="str">
        <f t="shared" si="384"/>
        <v>.</v>
      </c>
      <c r="BK57" s="111" t="str">
        <f t="shared" si="385"/>
        <v>.</v>
      </c>
      <c r="BL57" s="111" t="str">
        <f t="shared" si="386"/>
        <v>.</v>
      </c>
      <c r="BM57" s="111" t="str">
        <f t="shared" si="387"/>
        <v>.</v>
      </c>
      <c r="BN57" s="111" t="str">
        <f t="shared" si="388"/>
        <v>.</v>
      </c>
      <c r="BO57" s="111" t="str">
        <f t="shared" si="286"/>
        <v>.</v>
      </c>
      <c r="BP57" s="60">
        <f>IFERROR(BP29/$B57,".")</f>
        <v>5232302.572248131</v>
      </c>
      <c r="BQ57" s="189">
        <f>IFERROR(BQ29/$B57,0)</f>
        <v>7.6095359326987731E-12</v>
      </c>
      <c r="BR57" s="60" t="str">
        <f>IFERROR(BR29/$B57,".")</f>
        <v>.</v>
      </c>
      <c r="BS57" s="60">
        <f>IFERROR(BS29/$B57,".")</f>
        <v>322200.33666369825</v>
      </c>
      <c r="BT57" s="60">
        <f>IFERROR(BT29/$B57,".")</f>
        <v>322200.33666369825</v>
      </c>
      <c r="BU57" s="189">
        <f>IFERROR(BU29/$B57,0)</f>
        <v>4.6858816085565287E-13</v>
      </c>
    </row>
    <row r="58" spans="1:73" x14ac:dyDescent="0.25">
      <c r="A58" s="77" t="s">
        <v>1079</v>
      </c>
      <c r="B58" s="42">
        <v>1</v>
      </c>
      <c r="C58" s="238"/>
      <c r="D58" s="60">
        <f t="shared" ref="D58:AF58" si="405">IFERROR(D16/$B58,".")</f>
        <v>5.349639479557026E-4</v>
      </c>
      <c r="E58" s="60">
        <f t="shared" si="405"/>
        <v>4.8375959652959665E-3</v>
      </c>
      <c r="F58" s="60">
        <f t="shared" si="405"/>
        <v>8.7551703549091295E-3</v>
      </c>
      <c r="G58" s="60">
        <f t="shared" si="405"/>
        <v>3.1639727534802727E-3</v>
      </c>
      <c r="H58" s="60">
        <f t="shared" si="405"/>
        <v>5.4474123632065419E-4</v>
      </c>
      <c r="I58" s="60">
        <f t="shared" si="405"/>
        <v>5.6808582942932673E-3</v>
      </c>
      <c r="J58" s="60">
        <f t="shared" si="405"/>
        <v>5.4887231246936305E-3</v>
      </c>
      <c r="K58" s="60">
        <f t="shared" si="405"/>
        <v>4.188203034902591E-3</v>
      </c>
      <c r="L58" s="111">
        <f t="shared" si="360"/>
        <v>1869.2848440000007</v>
      </c>
      <c r="M58" s="111">
        <f t="shared" si="361"/>
        <v>206.71424550000003</v>
      </c>
      <c r="N58" s="111">
        <f t="shared" si="362"/>
        <v>114.21822299999999</v>
      </c>
      <c r="O58" s="111">
        <f t="shared" si="363"/>
        <v>316.05834750000002</v>
      </c>
      <c r="P58" s="111">
        <f t="shared" si="364"/>
        <v>1835.733984</v>
      </c>
      <c r="Q58" s="111">
        <f t="shared" si="365"/>
        <v>176.02973850000001</v>
      </c>
      <c r="R58" s="111">
        <f t="shared" si="366"/>
        <v>182.19173699999999</v>
      </c>
      <c r="S58" s="111">
        <f t="shared" si="367"/>
        <v>238.765884</v>
      </c>
      <c r="T58" s="60">
        <f>IFERROR(T16/$B58,".")</f>
        <v>2.0247025849405334E-4</v>
      </c>
      <c r="U58" s="189">
        <f>IFERROR(U16/$B58,0)</f>
        <v>2.642965766277975E-12</v>
      </c>
      <c r="V58" s="60">
        <f t="shared" si="405"/>
        <v>6.5831267877303672</v>
      </c>
      <c r="W58" s="60">
        <f t="shared" si="405"/>
        <v>9409.5903562048788</v>
      </c>
      <c r="X58" s="60">
        <f t="shared" si="405"/>
        <v>739.77375352962497</v>
      </c>
      <c r="Y58" s="60">
        <f t="shared" si="405"/>
        <v>3.1030501659264728E-2</v>
      </c>
      <c r="Z58" s="60" t="str">
        <f t="shared" si="405"/>
        <v>.</v>
      </c>
      <c r="AA58" s="60" t="str">
        <f t="shared" si="405"/>
        <v>.</v>
      </c>
      <c r="AB58" s="60">
        <f t="shared" si="405"/>
        <v>1.2585806875999843</v>
      </c>
      <c r="AC58" s="60">
        <f t="shared" si="405"/>
        <v>0.51522028136417208</v>
      </c>
      <c r="AD58" s="60" t="str">
        <f t="shared" si="405"/>
        <v>.</v>
      </c>
      <c r="AE58" s="60">
        <f t="shared" si="405"/>
        <v>3.2932338748161788E-2</v>
      </c>
      <c r="AF58" s="60">
        <f t="shared" si="405"/>
        <v>2.8555929783426758E-2</v>
      </c>
      <c r="AG58" s="111">
        <f t="shared" si="368"/>
        <v>0.15190350000000002</v>
      </c>
      <c r="AH58" s="111">
        <f t="shared" si="369"/>
        <v>1.0627455204153275E-4</v>
      </c>
      <c r="AI58" s="111">
        <f t="shared" si="370"/>
        <v>1.3517646378082189E-3</v>
      </c>
      <c r="AJ58" s="111">
        <f t="shared" si="371"/>
        <v>32.226356214947998</v>
      </c>
      <c r="AK58" s="111" t="str">
        <f t="shared" si="372"/>
        <v>.</v>
      </c>
      <c r="AL58" s="111" t="str">
        <f t="shared" si="373"/>
        <v>.</v>
      </c>
      <c r="AM58" s="111">
        <f t="shared" si="374"/>
        <v>0.79454580056120394</v>
      </c>
      <c r="AN58" s="111">
        <f t="shared" si="375"/>
        <v>1.9409173826625277</v>
      </c>
      <c r="AO58" s="111" t="str">
        <f t="shared" si="376"/>
        <v>.</v>
      </c>
      <c r="AP58" s="111">
        <f t="shared" si="377"/>
        <v>30.365289499999992</v>
      </c>
      <c r="AQ58" s="111">
        <f t="shared" si="274"/>
        <v>35.018996319999999</v>
      </c>
      <c r="AR58" s="60">
        <f>IFERROR(AR16/$B58,".")</f>
        <v>9.9503015514930595E-3</v>
      </c>
      <c r="AS58" s="189">
        <f>IFERROR(AS16/$B58,0)</f>
        <v>1.298872563325698E-10</v>
      </c>
      <c r="AT58" s="60">
        <f>IFERROR(AT16/$B58,".")</f>
        <v>0.33767153460704386</v>
      </c>
      <c r="AU58" s="60" t="str">
        <f>IFERROR(AU16,".")</f>
        <v>.</v>
      </c>
      <c r="AV58" s="60">
        <f t="shared" ref="AV58:BD58" si="406">IFERROR(AV16/$B58,".")</f>
        <v>2872965.562554026</v>
      </c>
      <c r="AW58" s="60">
        <f t="shared" si="406"/>
        <v>0.12561713078062087</v>
      </c>
      <c r="AX58" s="60" t="str">
        <f t="shared" si="406"/>
        <v>.</v>
      </c>
      <c r="AY58" s="60" t="str">
        <f t="shared" si="406"/>
        <v>.</v>
      </c>
      <c r="AZ58" s="60">
        <f t="shared" si="406"/>
        <v>85.282284460384702</v>
      </c>
      <c r="BA58" s="60">
        <f t="shared" si="406"/>
        <v>32.098596877017954</v>
      </c>
      <c r="BB58" s="60" t="str">
        <f t="shared" si="406"/>
        <v>.</v>
      </c>
      <c r="BC58" s="60">
        <f t="shared" si="406"/>
        <v>0.2195489249877452</v>
      </c>
      <c r="BD58" s="60">
        <f t="shared" si="406"/>
        <v>0.19037286522284505</v>
      </c>
      <c r="BE58" s="111">
        <f t="shared" si="379"/>
        <v>2.9614578000000003</v>
      </c>
      <c r="BF58" s="111" t="str">
        <f t="shared" si="380"/>
        <v>.</v>
      </c>
      <c r="BG58" s="111">
        <f t="shared" si="381"/>
        <v>3.4807239356917805E-7</v>
      </c>
      <c r="BH58" s="111">
        <f t="shared" si="382"/>
        <v>7.9606976674734833</v>
      </c>
      <c r="BI58" s="111" t="str">
        <f t="shared" si="383"/>
        <v>.</v>
      </c>
      <c r="BJ58" s="111" t="str">
        <f t="shared" si="384"/>
        <v>.</v>
      </c>
      <c r="BK58" s="111">
        <f t="shared" si="385"/>
        <v>1.1725764692250002E-2</v>
      </c>
      <c r="BL58" s="111">
        <f t="shared" si="386"/>
        <v>3.1154009747883495E-2</v>
      </c>
      <c r="BM58" s="111" t="str">
        <f t="shared" si="387"/>
        <v>.</v>
      </c>
      <c r="BN58" s="111">
        <f t="shared" si="388"/>
        <v>4.5547934249999997</v>
      </c>
      <c r="BO58" s="111">
        <f t="shared" si="286"/>
        <v>5.2528494480000001</v>
      </c>
      <c r="BP58" s="60">
        <f>IFERROR(BP16/$B58,".")</f>
        <v>4.8140156878751061E-2</v>
      </c>
      <c r="BQ58" s="189">
        <f>IFERROR(BQ16/$B58,0)</f>
        <v>6.2840235183246483E-13</v>
      </c>
      <c r="BR58" s="60">
        <f>IFERROR(BR16/$B58,".")</f>
        <v>6.9221529487765868E-3</v>
      </c>
      <c r="BS58" s="60">
        <f>IFERROR(BS16/$B58,".")</f>
        <v>189626.14747428973</v>
      </c>
      <c r="BT58" s="60">
        <f>IFERROR(BT16/$B58,".")</f>
        <v>6.9221526960888628E-3</v>
      </c>
      <c r="BU58" s="189">
        <f>IFERROR(BU16/$B58,0)</f>
        <v>9.0359012433665574E-14</v>
      </c>
    </row>
    <row r="59" spans="1:73" x14ac:dyDescent="0.25">
      <c r="A59" s="77" t="s">
        <v>1080</v>
      </c>
      <c r="B59" s="42">
        <v>1</v>
      </c>
      <c r="C59" s="238"/>
      <c r="D59" s="60">
        <f t="shared" ref="D59:AF59" si="407">IFERROR(D7/$B59,".")</f>
        <v>0.30314623717489825</v>
      </c>
      <c r="E59" s="60">
        <f t="shared" si="407"/>
        <v>2.7413043803343813</v>
      </c>
      <c r="F59" s="60">
        <f t="shared" si="407"/>
        <v>4.9612632011151732</v>
      </c>
      <c r="G59" s="60">
        <f t="shared" si="407"/>
        <v>1.7929178936388217</v>
      </c>
      <c r="H59" s="60">
        <f t="shared" si="407"/>
        <v>0.30868670058170405</v>
      </c>
      <c r="I59" s="60">
        <f t="shared" si="407"/>
        <v>3.2191530334328515</v>
      </c>
      <c r="J59" s="60">
        <f t="shared" si="407"/>
        <v>3.1102764373263905</v>
      </c>
      <c r="K59" s="60">
        <f t="shared" si="407"/>
        <v>2.3733150531114684</v>
      </c>
      <c r="L59" s="111">
        <f t="shared" si="360"/>
        <v>3.29873796</v>
      </c>
      <c r="M59" s="111">
        <f t="shared" si="361"/>
        <v>0.364789845</v>
      </c>
      <c r="N59" s="111">
        <f t="shared" si="362"/>
        <v>0.20156157</v>
      </c>
      <c r="O59" s="111">
        <f t="shared" si="363"/>
        <v>0.55775002499999993</v>
      </c>
      <c r="P59" s="111">
        <f t="shared" si="364"/>
        <v>3.2395305599999999</v>
      </c>
      <c r="Q59" s="111">
        <f t="shared" si="365"/>
        <v>0.31064071500000001</v>
      </c>
      <c r="R59" s="111">
        <f t="shared" si="366"/>
        <v>0.32151482999999997</v>
      </c>
      <c r="S59" s="111">
        <f t="shared" si="367"/>
        <v>0.42135155999999996</v>
      </c>
      <c r="T59" s="60">
        <f>IFERROR(T7/$B59,".")</f>
        <v>0.11473314647996359</v>
      </c>
      <c r="U59" s="189">
        <f>IFERROR(U7/$B59,0)</f>
        <v>9.2655471458297732E-13</v>
      </c>
      <c r="V59" s="60">
        <f t="shared" si="407"/>
        <v>3730.4385130472087</v>
      </c>
      <c r="W59" s="60">
        <f t="shared" si="407"/>
        <v>388628.97156106454</v>
      </c>
      <c r="X59" s="60">
        <f t="shared" si="407"/>
        <v>282.78041090552216</v>
      </c>
      <c r="Y59" s="60">
        <f t="shared" si="407"/>
        <v>3.0060027666907105</v>
      </c>
      <c r="Z59" s="60" t="str">
        <f t="shared" si="407"/>
        <v>.</v>
      </c>
      <c r="AA59" s="60" t="str">
        <f t="shared" si="407"/>
        <v>.</v>
      </c>
      <c r="AB59" s="60">
        <f t="shared" si="407"/>
        <v>96.109241149226563</v>
      </c>
      <c r="AC59" s="60">
        <f t="shared" si="407"/>
        <v>20.348627302345928</v>
      </c>
      <c r="AD59" s="60" t="str">
        <f t="shared" si="407"/>
        <v>.</v>
      </c>
      <c r="AE59" s="60">
        <f t="shared" si="407"/>
        <v>99.528845994444495</v>
      </c>
      <c r="AF59" s="60" t="str">
        <f t="shared" si="407"/>
        <v>.</v>
      </c>
      <c r="AG59" s="111">
        <f t="shared" si="368"/>
        <v>2.68065E-4</v>
      </c>
      <c r="AH59" s="111">
        <f t="shared" si="369"/>
        <v>2.5731483578878573E-6</v>
      </c>
      <c r="AI59" s="111">
        <f t="shared" si="370"/>
        <v>3.5363128471232867E-3</v>
      </c>
      <c r="AJ59" s="111">
        <f t="shared" si="371"/>
        <v>0.33266769115482009</v>
      </c>
      <c r="AK59" s="111" t="str">
        <f t="shared" si="372"/>
        <v>.</v>
      </c>
      <c r="AL59" s="111" t="str">
        <f t="shared" si="373"/>
        <v>.</v>
      </c>
      <c r="AM59" s="111">
        <f t="shared" si="374"/>
        <v>1.0404826716375E-2</v>
      </c>
      <c r="AN59" s="111">
        <f t="shared" si="375"/>
        <v>4.9143364077669907E-2</v>
      </c>
      <c r="AO59" s="111" t="str">
        <f t="shared" si="376"/>
        <v>.</v>
      </c>
      <c r="AP59" s="111">
        <f t="shared" si="377"/>
        <v>1.0047338437499999E-2</v>
      </c>
      <c r="AQ59" s="111" t="str">
        <f t="shared" si="274"/>
        <v>.</v>
      </c>
      <c r="AR59" s="60">
        <f>IFERROR(AR7/$B59,".")</f>
        <v>2.4626285565300852</v>
      </c>
      <c r="AS59" s="189">
        <f>IFERROR(AS7/$B59,0)</f>
        <v>1.9887540517492014E-11</v>
      </c>
      <c r="AT59" s="60">
        <f>IFERROR(AT7/$B59,".")</f>
        <v>191.34720294399153</v>
      </c>
      <c r="AU59" s="60" t="str">
        <f>IFERROR(AU7,".")</f>
        <v>.</v>
      </c>
      <c r="AV59" s="60">
        <f t="shared" ref="AV59:BD59" si="408">IFERROR(AV7/$B59,".")</f>
        <v>1050849.8198603652</v>
      </c>
      <c r="AW59" s="60">
        <f t="shared" si="408"/>
        <v>41.828637410349664</v>
      </c>
      <c r="AX59" s="60" t="str">
        <f t="shared" si="408"/>
        <v>.</v>
      </c>
      <c r="AY59" s="60" t="str">
        <f t="shared" si="408"/>
        <v>.</v>
      </c>
      <c r="AZ59" s="60">
        <f t="shared" si="408"/>
        <v>16914.319751309638</v>
      </c>
      <c r="BA59" s="60">
        <f t="shared" si="408"/>
        <v>3455.9489304255999</v>
      </c>
      <c r="BB59" s="60" t="str">
        <f t="shared" si="408"/>
        <v>.</v>
      </c>
      <c r="BC59" s="60">
        <f t="shared" si="408"/>
        <v>207.35176248842603</v>
      </c>
      <c r="BD59" s="60" t="str">
        <f t="shared" si="408"/>
        <v>.</v>
      </c>
      <c r="BE59" s="111">
        <f t="shared" si="379"/>
        <v>5.2261019999999998E-3</v>
      </c>
      <c r="BF59" s="111" t="str">
        <f t="shared" si="380"/>
        <v>.</v>
      </c>
      <c r="BG59" s="111">
        <f t="shared" si="381"/>
        <v>9.5161076406986296E-7</v>
      </c>
      <c r="BH59" s="111">
        <f t="shared" si="382"/>
        <v>2.3907066113336265E-2</v>
      </c>
      <c r="BI59" s="111" t="str">
        <f t="shared" si="383"/>
        <v>.</v>
      </c>
      <c r="BJ59" s="111" t="str">
        <f t="shared" si="384"/>
        <v>.</v>
      </c>
      <c r="BK59" s="111">
        <f t="shared" si="385"/>
        <v>5.912150264999999E-5</v>
      </c>
      <c r="BL59" s="111">
        <f t="shared" si="386"/>
        <v>2.8935612768932038E-4</v>
      </c>
      <c r="BM59" s="111" t="str">
        <f t="shared" si="387"/>
        <v>.</v>
      </c>
      <c r="BN59" s="111">
        <f t="shared" si="388"/>
        <v>4.8227224499999997E-3</v>
      </c>
      <c r="BO59" s="111" t="str">
        <f t="shared" si="286"/>
        <v>.</v>
      </c>
      <c r="BP59" s="60">
        <f>IFERROR(BP7/$B59,".")</f>
        <v>29.149997892472179</v>
      </c>
      <c r="BQ59" s="189">
        <f>IFERROR(BQ7/$B59,0)</f>
        <v>2.3540771613084513E-13</v>
      </c>
      <c r="BR59" s="60">
        <f>IFERROR(BR7/$B59,".")</f>
        <v>0.28589439918577275</v>
      </c>
      <c r="BS59" s="60">
        <f>IFERROR(BS7/$B59,".")</f>
        <v>34617.796690073825</v>
      </c>
      <c r="BT59" s="60">
        <f>IFERROR(BT7/$B59,".")</f>
        <v>0.2858920381189145</v>
      </c>
      <c r="BU59" s="189">
        <f>IFERROR(BU7/$B59,0)</f>
        <v>2.308788906326005E-15</v>
      </c>
    </row>
    <row r="60" spans="1:73" x14ac:dyDescent="0.25">
      <c r="A60" s="77" t="s">
        <v>1081</v>
      </c>
      <c r="B60" s="80">
        <v>1.9000000000000001E-8</v>
      </c>
      <c r="C60" s="241"/>
      <c r="D60" s="60" t="str">
        <f t="shared" ref="D60:AF60" si="409">IFERROR(D12/$B60,".")</f>
        <v>.</v>
      </c>
      <c r="E60" s="60" t="str">
        <f t="shared" si="409"/>
        <v>.</v>
      </c>
      <c r="F60" s="60" t="str">
        <f t="shared" si="409"/>
        <v>.</v>
      </c>
      <c r="G60" s="60" t="str">
        <f t="shared" si="409"/>
        <v>.</v>
      </c>
      <c r="H60" s="60" t="str">
        <f t="shared" si="409"/>
        <v>.</v>
      </c>
      <c r="I60" s="60" t="str">
        <f t="shared" si="409"/>
        <v>.</v>
      </c>
      <c r="J60" s="60" t="str">
        <f t="shared" si="409"/>
        <v>.</v>
      </c>
      <c r="K60" s="60" t="str">
        <f t="shared" si="409"/>
        <v>.</v>
      </c>
      <c r="L60" s="111" t="str">
        <f t="shared" si="360"/>
        <v>.</v>
      </c>
      <c r="M60" s="111" t="str">
        <f t="shared" si="361"/>
        <v>.</v>
      </c>
      <c r="N60" s="111" t="str">
        <f t="shared" si="362"/>
        <v>.</v>
      </c>
      <c r="O60" s="111" t="str">
        <f t="shared" si="363"/>
        <v>.</v>
      </c>
      <c r="P60" s="111" t="str">
        <f t="shared" si="364"/>
        <v>.</v>
      </c>
      <c r="Q60" s="111" t="str">
        <f t="shared" si="365"/>
        <v>.</v>
      </c>
      <c r="R60" s="111" t="str">
        <f t="shared" si="366"/>
        <v>.</v>
      </c>
      <c r="S60" s="111" t="str">
        <f t="shared" si="367"/>
        <v>.</v>
      </c>
      <c r="T60" s="60" t="str">
        <f>IFERROR(T12/$B60,".")</f>
        <v>.</v>
      </c>
      <c r="U60" s="189">
        <f>IFERROR(U12/$B60,0)</f>
        <v>0</v>
      </c>
      <c r="V60" s="60" t="str">
        <f t="shared" si="409"/>
        <v>.</v>
      </c>
      <c r="W60" s="60" t="str">
        <f t="shared" si="409"/>
        <v>.</v>
      </c>
      <c r="X60" s="60">
        <f t="shared" si="409"/>
        <v>132950353.65102373</v>
      </c>
      <c r="Y60" s="60" t="str">
        <f t="shared" si="409"/>
        <v>.</v>
      </c>
      <c r="Z60" s="60" t="str">
        <f t="shared" si="409"/>
        <v>.</v>
      </c>
      <c r="AA60" s="60" t="str">
        <f t="shared" si="409"/>
        <v>.</v>
      </c>
      <c r="AB60" s="60" t="str">
        <f t="shared" si="409"/>
        <v>.</v>
      </c>
      <c r="AC60" s="60" t="str">
        <f t="shared" si="409"/>
        <v>.</v>
      </c>
      <c r="AD60" s="60" t="str">
        <f t="shared" si="409"/>
        <v>.</v>
      </c>
      <c r="AE60" s="60" t="str">
        <f t="shared" si="409"/>
        <v>.</v>
      </c>
      <c r="AF60" s="60" t="str">
        <f t="shared" si="409"/>
        <v>.</v>
      </c>
      <c r="AG60" s="111" t="str">
        <f t="shared" si="368"/>
        <v>.</v>
      </c>
      <c r="AH60" s="111" t="str">
        <f t="shared" si="369"/>
        <v>.</v>
      </c>
      <c r="AI60" s="111">
        <f t="shared" si="370"/>
        <v>7.5216046632328748E-9</v>
      </c>
      <c r="AJ60" s="111" t="str">
        <f t="shared" si="371"/>
        <v>.</v>
      </c>
      <c r="AK60" s="111" t="str">
        <f t="shared" si="372"/>
        <v>.</v>
      </c>
      <c r="AL60" s="111" t="str">
        <f t="shared" si="373"/>
        <v>.</v>
      </c>
      <c r="AM60" s="111" t="str">
        <f t="shared" si="374"/>
        <v>.</v>
      </c>
      <c r="AN60" s="111" t="str">
        <f t="shared" si="375"/>
        <v>.</v>
      </c>
      <c r="AO60" s="111" t="str">
        <f t="shared" si="376"/>
        <v>.</v>
      </c>
      <c r="AP60" s="111" t="str">
        <f t="shared" si="377"/>
        <v>.</v>
      </c>
      <c r="AQ60" s="111" t="str">
        <f t="shared" si="274"/>
        <v>.</v>
      </c>
      <c r="AR60" s="60">
        <f>IFERROR(AR12/$B60,".")</f>
        <v>132950353.65102373</v>
      </c>
      <c r="AS60" s="189">
        <f>IFERROR(AS12/$B60,0)</f>
        <v>1.1890962261894432E-6</v>
      </c>
      <c r="AT60" s="60" t="str">
        <f>IFERROR(AT12/$B60,".")</f>
        <v>.</v>
      </c>
      <c r="AU60" s="60" t="str">
        <f>IFERROR(AU12,".")</f>
        <v>.</v>
      </c>
      <c r="AV60" s="60">
        <f t="shared" ref="AV60:BD60" si="410">IFERROR(AV12/$B60,".")</f>
        <v>1385020992120.2512</v>
      </c>
      <c r="AW60" s="60" t="str">
        <f t="shared" si="410"/>
        <v>.</v>
      </c>
      <c r="AX60" s="60" t="str">
        <f t="shared" si="410"/>
        <v>.</v>
      </c>
      <c r="AY60" s="60" t="str">
        <f t="shared" si="410"/>
        <v>.</v>
      </c>
      <c r="AZ60" s="60" t="str">
        <f t="shared" si="410"/>
        <v>.</v>
      </c>
      <c r="BA60" s="60" t="str">
        <f t="shared" si="410"/>
        <v>.</v>
      </c>
      <c r="BB60" s="60" t="str">
        <f t="shared" si="410"/>
        <v>.</v>
      </c>
      <c r="BC60" s="60" t="str">
        <f t="shared" si="410"/>
        <v>.</v>
      </c>
      <c r="BD60" s="60" t="str">
        <f t="shared" si="410"/>
        <v>.</v>
      </c>
      <c r="BE60" s="111" t="str">
        <f t="shared" si="379"/>
        <v>.</v>
      </c>
      <c r="BF60" s="111" t="str">
        <f t="shared" si="380"/>
        <v>.</v>
      </c>
      <c r="BG60" s="111">
        <f t="shared" si="381"/>
        <v>7.220107173026713E-13</v>
      </c>
      <c r="BH60" s="111" t="str">
        <f t="shared" si="382"/>
        <v>.</v>
      </c>
      <c r="BI60" s="111" t="str">
        <f t="shared" si="383"/>
        <v>.</v>
      </c>
      <c r="BJ60" s="111" t="str">
        <f t="shared" si="384"/>
        <v>.</v>
      </c>
      <c r="BK60" s="111" t="str">
        <f t="shared" si="385"/>
        <v>.</v>
      </c>
      <c r="BL60" s="111" t="str">
        <f t="shared" si="386"/>
        <v>.</v>
      </c>
      <c r="BM60" s="111" t="str">
        <f t="shared" si="387"/>
        <v>.</v>
      </c>
      <c r="BN60" s="111" t="str">
        <f t="shared" si="388"/>
        <v>.</v>
      </c>
      <c r="BO60" s="111" t="str">
        <f t="shared" si="286"/>
        <v>.</v>
      </c>
      <c r="BP60" s="60">
        <f>IFERROR(BP12/$B60,".")</f>
        <v>1385020992120.2512</v>
      </c>
      <c r="BQ60" s="189">
        <f>IFERROR(BQ12/$B60,0)</f>
        <v>1.2387505483786034E-5</v>
      </c>
      <c r="BR60" s="60" t="str">
        <f>IFERROR(BR12/$B60,".")</f>
        <v>.</v>
      </c>
      <c r="BS60" s="60">
        <f>IFERROR(BS12/$B60,".")</f>
        <v>84545546630.434006</v>
      </c>
      <c r="BT60" s="60">
        <f>IFERROR(BT12/$B60,".")</f>
        <v>84545546630.434006</v>
      </c>
      <c r="BU60" s="189">
        <f>IFERROR(BU12/$B60,0)</f>
        <v>7.5616790537659889E-7</v>
      </c>
    </row>
    <row r="61" spans="1:73" x14ac:dyDescent="0.25">
      <c r="A61" s="77" t="s">
        <v>1082</v>
      </c>
      <c r="B61" s="42">
        <v>1</v>
      </c>
      <c r="C61" s="238"/>
      <c r="D61" s="60">
        <f t="shared" ref="D61:AF61" si="411">IFERROR(D18/$B61,".")</f>
        <v>3.1180755823703818E-4</v>
      </c>
      <c r="E61" s="60">
        <f t="shared" si="411"/>
        <v>2.8196273626296493E-3</v>
      </c>
      <c r="F61" s="60">
        <f t="shared" si="411"/>
        <v>5.1030135782898925E-3</v>
      </c>
      <c r="G61" s="60">
        <f t="shared" si="411"/>
        <v>1.8441441191713594E-3</v>
      </c>
      <c r="H61" s="60">
        <f t="shared" si="411"/>
        <v>3.1750632059832415E-4</v>
      </c>
      <c r="I61" s="60">
        <f t="shared" si="411"/>
        <v>3.311128834388076E-3</v>
      </c>
      <c r="J61" s="60">
        <f t="shared" si="411"/>
        <v>3.1991414783928583E-3</v>
      </c>
      <c r="K61" s="60">
        <f t="shared" si="411"/>
        <v>2.4411240546289388E-3</v>
      </c>
      <c r="L61" s="111">
        <f t="shared" si="360"/>
        <v>3207.10635</v>
      </c>
      <c r="M61" s="111">
        <f t="shared" si="361"/>
        <v>354.65679375000002</v>
      </c>
      <c r="N61" s="111">
        <f t="shared" si="362"/>
        <v>195.96263749999997</v>
      </c>
      <c r="O61" s="111">
        <f t="shared" si="363"/>
        <v>542.25696874999994</v>
      </c>
      <c r="P61" s="111">
        <f t="shared" si="364"/>
        <v>3149.5436</v>
      </c>
      <c r="Q61" s="111">
        <f t="shared" si="365"/>
        <v>302.01180625000001</v>
      </c>
      <c r="R61" s="111">
        <f t="shared" si="366"/>
        <v>312.58386250000001</v>
      </c>
      <c r="S61" s="111">
        <f t="shared" si="367"/>
        <v>409.64735000000002</v>
      </c>
      <c r="T61" s="60">
        <f>IFERROR(T18/$B61,".")</f>
        <v>1.1801123637939114E-4</v>
      </c>
      <c r="U61" s="189">
        <f>IFERROR(U18/$B61,0)</f>
        <v>2.6306834610953298E-14</v>
      </c>
      <c r="V61" s="60">
        <f t="shared" si="411"/>
        <v>3.8370224705628431</v>
      </c>
      <c r="W61" s="60">
        <f t="shared" si="411"/>
        <v>12123.895266648593</v>
      </c>
      <c r="X61" s="60">
        <f t="shared" si="411"/>
        <v>27435.318011694701</v>
      </c>
      <c r="Y61" s="60">
        <f t="shared" si="411"/>
        <v>0.13658701952912772</v>
      </c>
      <c r="Z61" s="60">
        <f t="shared" si="411"/>
        <v>1.6304793883251147E-2</v>
      </c>
      <c r="AA61" s="60">
        <f t="shared" si="411"/>
        <v>2.2845457962383117E-2</v>
      </c>
      <c r="AB61" s="60">
        <f t="shared" si="411"/>
        <v>0.17839810202125381</v>
      </c>
      <c r="AC61" s="60">
        <f t="shared" si="411"/>
        <v>0.28414642663062073</v>
      </c>
      <c r="AD61" s="60" t="str">
        <f t="shared" si="411"/>
        <v>.</v>
      </c>
      <c r="AE61" s="60">
        <f t="shared" si="411"/>
        <v>1.8661658623958341E-2</v>
      </c>
      <c r="AF61" s="60" t="str">
        <f t="shared" si="411"/>
        <v>.</v>
      </c>
      <c r="AG61" s="111">
        <f t="shared" si="368"/>
        <v>0.26061875000000001</v>
      </c>
      <c r="AH61" s="111">
        <f t="shared" si="369"/>
        <v>8.2481741882980638E-5</v>
      </c>
      <c r="AI61" s="111">
        <f t="shared" si="370"/>
        <v>3.6449367912328759E-5</v>
      </c>
      <c r="AJ61" s="111">
        <f t="shared" si="371"/>
        <v>7.3213399300125008</v>
      </c>
      <c r="AK61" s="111">
        <f t="shared" si="372"/>
        <v>61.331655411310344</v>
      </c>
      <c r="AL61" s="111">
        <f t="shared" si="373"/>
        <v>43.77237705834483</v>
      </c>
      <c r="AM61" s="111">
        <f t="shared" si="374"/>
        <v>5.6054408016115724</v>
      </c>
      <c r="AN61" s="111">
        <f t="shared" si="375"/>
        <v>3.5193122498772826</v>
      </c>
      <c r="AO61" s="111" t="str">
        <f t="shared" si="376"/>
        <v>.</v>
      </c>
      <c r="AP61" s="111">
        <f t="shared" si="377"/>
        <v>53.585805000000001</v>
      </c>
      <c r="AQ61" s="111" t="str">
        <f t="shared" si="274"/>
        <v>.</v>
      </c>
      <c r="AR61" s="60">
        <f>IFERROR(AR18/$B61,".")</f>
        <v>5.7013625780274321E-3</v>
      </c>
      <c r="AS61" s="189">
        <f>IFERROR(AS18/$B61,0)</f>
        <v>1.2709366243318042E-12</v>
      </c>
      <c r="AT61" s="60">
        <f>IFERROR(AT18/$B61,".")</f>
        <v>0.19681426588524842</v>
      </c>
      <c r="AU61" s="60" t="str">
        <f>IFERROR(AU18,".")</f>
        <v>.</v>
      </c>
      <c r="AV61" s="60">
        <f t="shared" ref="AV61:BD61" si="412">IFERROR(AV18/$B61,".")</f>
        <v>324511136.08123195</v>
      </c>
      <c r="AW61" s="60">
        <f t="shared" si="412"/>
        <v>8.372866545483662E-2</v>
      </c>
      <c r="AX61" s="60">
        <f t="shared" si="412"/>
        <v>2.9371118360725514</v>
      </c>
      <c r="AY61" s="60">
        <f t="shared" si="412"/>
        <v>4.1153335308789449</v>
      </c>
      <c r="AZ61" s="60">
        <f t="shared" si="412"/>
        <v>11.598390686612323</v>
      </c>
      <c r="BA61" s="60">
        <f t="shared" si="412"/>
        <v>16.92709680208457</v>
      </c>
      <c r="BB61" s="60" t="str">
        <f t="shared" si="412"/>
        <v>.</v>
      </c>
      <c r="BC61" s="60">
        <f t="shared" si="412"/>
        <v>8.8865041066468281E-2</v>
      </c>
      <c r="BD61" s="60" t="str">
        <f t="shared" si="412"/>
        <v>.</v>
      </c>
      <c r="BE61" s="111">
        <f t="shared" si="379"/>
        <v>5.0809325000000003</v>
      </c>
      <c r="BF61" s="111" t="str">
        <f t="shared" si="380"/>
        <v>.</v>
      </c>
      <c r="BG61" s="111">
        <f t="shared" si="381"/>
        <v>3.0815583467363011E-9</v>
      </c>
      <c r="BH61" s="111">
        <f t="shared" si="382"/>
        <v>11.943340964145687</v>
      </c>
      <c r="BI61" s="111">
        <f t="shared" si="383"/>
        <v>0.340470522</v>
      </c>
      <c r="BJ61" s="111">
        <f t="shared" si="384"/>
        <v>0.24299367050000001</v>
      </c>
      <c r="BK61" s="111">
        <f t="shared" si="385"/>
        <v>8.6218858031249998E-2</v>
      </c>
      <c r="BL61" s="111">
        <f t="shared" si="386"/>
        <v>5.907687606990291E-2</v>
      </c>
      <c r="BM61" s="111" t="str">
        <f t="shared" si="387"/>
        <v>.</v>
      </c>
      <c r="BN61" s="111">
        <f t="shared" si="388"/>
        <v>11.253019050000001</v>
      </c>
      <c r="BO61" s="111" t="str">
        <f t="shared" si="286"/>
        <v>.</v>
      </c>
      <c r="BP61" s="60">
        <f>IFERROR(BP18/$B61,".")</f>
        <v>3.4475563399623155E-2</v>
      </c>
      <c r="BQ61" s="189">
        <f>IFERROR(BQ18/$B61,0)</f>
        <v>7.6852253420819598E-15</v>
      </c>
      <c r="BR61" s="60">
        <f>IFERROR(BR18/$B61,".")</f>
        <v>8.9189278378467556E-3</v>
      </c>
      <c r="BS61" s="60">
        <f>IFERROR(BS18/$B61,".")</f>
        <v>20070542.80008775</v>
      </c>
      <c r="BT61" s="60">
        <f>IFERROR(BT18/$B61,".")</f>
        <v>8.9189278338833704E-3</v>
      </c>
      <c r="BU61" s="189">
        <f>IFERROR(BU18/$B61,0)</f>
        <v>1.9881899947111488E-15</v>
      </c>
    </row>
    <row r="62" spans="1:73" x14ac:dyDescent="0.25">
      <c r="A62" s="77" t="s">
        <v>1083</v>
      </c>
      <c r="B62" s="42">
        <v>1.339E-6</v>
      </c>
      <c r="C62" s="238"/>
      <c r="D62" s="60" t="str">
        <f t="shared" ref="D62:AF62" si="413">IFERROR(D27/$B62,".")</f>
        <v>.</v>
      </c>
      <c r="E62" s="60" t="str">
        <f t="shared" si="413"/>
        <v>.</v>
      </c>
      <c r="F62" s="60" t="str">
        <f t="shared" si="413"/>
        <v>.</v>
      </c>
      <c r="G62" s="60" t="str">
        <f t="shared" si="413"/>
        <v>.</v>
      </c>
      <c r="H62" s="60" t="str">
        <f t="shared" si="413"/>
        <v>.</v>
      </c>
      <c r="I62" s="60" t="str">
        <f t="shared" si="413"/>
        <v>.</v>
      </c>
      <c r="J62" s="60" t="str">
        <f t="shared" si="413"/>
        <v>.</v>
      </c>
      <c r="K62" s="60" t="str">
        <f t="shared" si="413"/>
        <v>.</v>
      </c>
      <c r="L62" s="111" t="str">
        <f t="shared" si="360"/>
        <v>.</v>
      </c>
      <c r="M62" s="111" t="str">
        <f t="shared" si="361"/>
        <v>.</v>
      </c>
      <c r="N62" s="111" t="str">
        <f t="shared" si="362"/>
        <v>.</v>
      </c>
      <c r="O62" s="111" t="str">
        <f t="shared" si="363"/>
        <v>.</v>
      </c>
      <c r="P62" s="111" t="str">
        <f t="shared" si="364"/>
        <v>.</v>
      </c>
      <c r="Q62" s="111" t="str">
        <f t="shared" si="365"/>
        <v>.</v>
      </c>
      <c r="R62" s="111" t="str">
        <f t="shared" si="366"/>
        <v>.</v>
      </c>
      <c r="S62" s="111" t="str">
        <f t="shared" si="367"/>
        <v>.</v>
      </c>
      <c r="T62" s="60" t="str">
        <f>IFERROR(T27/$B62,".")</f>
        <v>.</v>
      </c>
      <c r="U62" s="189">
        <f>IFERROR(U27/$B62,0)</f>
        <v>0</v>
      </c>
      <c r="V62" s="60" t="str">
        <f t="shared" si="413"/>
        <v>.</v>
      </c>
      <c r="W62" s="60" t="str">
        <f t="shared" si="413"/>
        <v>.</v>
      </c>
      <c r="X62" s="60">
        <f t="shared" si="413"/>
        <v>90464932.365645558</v>
      </c>
      <c r="Y62" s="60" t="str">
        <f t="shared" si="413"/>
        <v>.</v>
      </c>
      <c r="Z62" s="60" t="str">
        <f t="shared" si="413"/>
        <v>.</v>
      </c>
      <c r="AA62" s="60" t="str">
        <f t="shared" si="413"/>
        <v>.</v>
      </c>
      <c r="AB62" s="60" t="str">
        <f t="shared" si="413"/>
        <v>.</v>
      </c>
      <c r="AC62" s="60" t="str">
        <f t="shared" si="413"/>
        <v>.</v>
      </c>
      <c r="AD62" s="60" t="str">
        <f t="shared" si="413"/>
        <v>.</v>
      </c>
      <c r="AE62" s="60" t="str">
        <f t="shared" si="413"/>
        <v>.</v>
      </c>
      <c r="AF62" s="60" t="str">
        <f t="shared" si="413"/>
        <v>.</v>
      </c>
      <c r="AG62" s="111" t="str">
        <f t="shared" si="368"/>
        <v>.</v>
      </c>
      <c r="AH62" s="111" t="str">
        <f t="shared" si="369"/>
        <v>.</v>
      </c>
      <c r="AI62" s="111">
        <f t="shared" si="370"/>
        <v>1.1054007048368217E-8</v>
      </c>
      <c r="AJ62" s="111" t="str">
        <f t="shared" si="371"/>
        <v>.</v>
      </c>
      <c r="AK62" s="111" t="str">
        <f t="shared" si="372"/>
        <v>.</v>
      </c>
      <c r="AL62" s="111" t="str">
        <f t="shared" si="373"/>
        <v>.</v>
      </c>
      <c r="AM62" s="111" t="str">
        <f t="shared" si="374"/>
        <v>.</v>
      </c>
      <c r="AN62" s="111" t="str">
        <f t="shared" si="375"/>
        <v>.</v>
      </c>
      <c r="AO62" s="111" t="str">
        <f t="shared" si="376"/>
        <v>.</v>
      </c>
      <c r="AP62" s="111" t="str">
        <f t="shared" si="377"/>
        <v>.</v>
      </c>
      <c r="AQ62" s="111" t="str">
        <f t="shared" si="274"/>
        <v>.</v>
      </c>
      <c r="AR62" s="60">
        <f>IFERROR(AR27/$B62,".")</f>
        <v>90464932.365645558</v>
      </c>
      <c r="AS62" s="189">
        <f>IFERROR(AS27/$B62,0)</f>
        <v>4.1696485264786609E-7</v>
      </c>
      <c r="AT62" s="60" t="str">
        <f>IFERROR(AT27/$B62,".")</f>
        <v>.</v>
      </c>
      <c r="AU62" s="60" t="str">
        <f>IFERROR(AU27,".")</f>
        <v>.</v>
      </c>
      <c r="AV62" s="60">
        <f t="shared" ref="AV62:BD62" si="414">IFERROR(AV27/$B62,".")</f>
        <v>492359964338.49121</v>
      </c>
      <c r="AW62" s="60" t="str">
        <f t="shared" si="414"/>
        <v>.</v>
      </c>
      <c r="AX62" s="60" t="str">
        <f t="shared" si="414"/>
        <v>.</v>
      </c>
      <c r="AY62" s="60" t="str">
        <f t="shared" si="414"/>
        <v>.</v>
      </c>
      <c r="AZ62" s="60" t="str">
        <f t="shared" si="414"/>
        <v>.</v>
      </c>
      <c r="BA62" s="60" t="str">
        <f t="shared" si="414"/>
        <v>.</v>
      </c>
      <c r="BB62" s="60" t="str">
        <f t="shared" si="414"/>
        <v>.</v>
      </c>
      <c r="BC62" s="60" t="str">
        <f t="shared" si="414"/>
        <v>.</v>
      </c>
      <c r="BD62" s="60" t="str">
        <f t="shared" si="414"/>
        <v>.</v>
      </c>
      <c r="BE62" s="111" t="str">
        <f t="shared" si="379"/>
        <v>.</v>
      </c>
      <c r="BF62" s="111" t="str">
        <f t="shared" si="380"/>
        <v>.</v>
      </c>
      <c r="BG62" s="111">
        <f t="shared" si="381"/>
        <v>2.0310343497232703E-12</v>
      </c>
      <c r="BH62" s="111" t="str">
        <f t="shared" si="382"/>
        <v>.</v>
      </c>
      <c r="BI62" s="111" t="str">
        <f t="shared" si="383"/>
        <v>.</v>
      </c>
      <c r="BJ62" s="111" t="str">
        <f t="shared" si="384"/>
        <v>.</v>
      </c>
      <c r="BK62" s="111" t="str">
        <f t="shared" si="385"/>
        <v>.</v>
      </c>
      <c r="BL62" s="111" t="str">
        <f t="shared" si="386"/>
        <v>.</v>
      </c>
      <c r="BM62" s="111" t="str">
        <f t="shared" si="387"/>
        <v>.</v>
      </c>
      <c r="BN62" s="111" t="str">
        <f t="shared" si="388"/>
        <v>.</v>
      </c>
      <c r="BO62" s="111" t="str">
        <f t="shared" si="286"/>
        <v>.</v>
      </c>
      <c r="BP62" s="60">
        <f>IFERROR(BP27/$B62,".")</f>
        <v>492359964338.49121</v>
      </c>
      <c r="BQ62" s="189">
        <f>IFERROR(BQ27/$B62,0)</f>
        <v>2.2693522739875492E-6</v>
      </c>
      <c r="BR62" s="60" t="str">
        <f>IFERROR(BR27/$B62,".")</f>
        <v>.</v>
      </c>
      <c r="BS62" s="60">
        <f>IFERROR(BS27/$B62,".")</f>
        <v>16801499570.22525</v>
      </c>
      <c r="BT62" s="60">
        <f>IFERROR(BT27/$B62,".")</f>
        <v>16801499570.22525</v>
      </c>
      <c r="BU62" s="189">
        <f>IFERROR(BU27/$B62,0)</f>
        <v>7.7440336375275696E-8</v>
      </c>
    </row>
    <row r="63" spans="1:73" x14ac:dyDescent="0.25">
      <c r="A63" s="76" t="s">
        <v>23</v>
      </c>
      <c r="B63" s="57" t="s">
        <v>1185</v>
      </c>
      <c r="C63" s="57"/>
      <c r="D63" s="58">
        <f t="shared" ref="D63:AF63" si="415">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1.9683769941389239E-4</v>
      </c>
      <c r="E63" s="58">
        <f t="shared" si="415"/>
        <v>1.7799727703924342E-3</v>
      </c>
      <c r="F63" s="58">
        <f t="shared" si="415"/>
        <v>3.2214275321217072E-3</v>
      </c>
      <c r="G63" s="58">
        <f t="shared" si="415"/>
        <v>1.1641702589178309E-3</v>
      </c>
      <c r="H63" s="58">
        <f t="shared" si="415"/>
        <v>2.0043521090156859E-4</v>
      </c>
      <c r="I63" s="58">
        <f t="shared" si="415"/>
        <v>2.0902475421345737E-3</v>
      </c>
      <c r="J63" s="58">
        <f t="shared" si="415"/>
        <v>2.0195522272352931E-3</v>
      </c>
      <c r="K63" s="58">
        <f t="shared" si="415"/>
        <v>1.5410314157034961E-3</v>
      </c>
      <c r="L63" s="168"/>
      <c r="M63" s="168"/>
      <c r="N63" s="168"/>
      <c r="O63" s="168"/>
      <c r="P63" s="168"/>
      <c r="Q63" s="168"/>
      <c r="R63" s="168"/>
      <c r="S63" s="111"/>
      <c r="T63" s="59">
        <f t="shared" ref="T63" si="416">IFERROR(1/SUM(IFERROR(1/SUMIF(T64,"&lt;&gt;.",T64),0),IFERROR(1/SUMIF(T65,"&lt;&gt;.",T65),0),IFERROR(1/SUMIF(T66,"&lt;&gt;.",T66),0),IFERROR(1/SUMIF(T67,"&lt;&gt;.",T67),0),IFERROR(1/SUMIF(T68,"&lt;&gt;.",T68),0),IFERROR(1/SUMIF(T69,"&lt;&gt;.",T69),0),IFERROR(1/SUMIF(T70,"&lt;&gt;.",T70),0),IFERROR(1/SUMIF(T71,"&lt;&gt;.",T71),0),IFERROR(1/SUMIF(T72,"&lt;&gt;.",T72),0),IFERROR(1/SUMIF(T73,"&lt;&gt;.",T73),0),IFERROR(1/SUMIF(T74,"&lt;&gt;.",T74),0),IFERROR(1/SUMIF(T75,"&lt;&gt;.",T75),0),IFERROR(1/SUMIF(T76,"&lt;&gt;.",T76),0)),".")</f>
        <v>7.4498066708984356E-5</v>
      </c>
      <c r="U63" s="190">
        <f>T63*(0.0000000000028)*RadSpec!$AY25*RadSpec!$AF25</f>
        <v>4.8509214074305616E-16</v>
      </c>
      <c r="V63" s="58">
        <f t="shared" si="415"/>
        <v>2.4222333800222953</v>
      </c>
      <c r="W63" s="58">
        <f t="shared" si="415"/>
        <v>5213.9491138104513</v>
      </c>
      <c r="X63" s="58">
        <f>IFERROR(1/SUM(IFERROR(1/SUMIF(X64,"&lt;&gt;.",X64),0),IFERROR(1/SUMIF(X65,"&lt;&gt;.",X65),0),IFERROR(1/SUMIF(X66,"&lt;&gt;.",X66),0),IFERROR(1/SUMIF(X67,"&lt;&gt;.",X67),0),IFERROR(1/SUMIF(X68,"&lt;&gt;.",X68),0),IFERROR(1/SUMIF(X69,"&lt;&gt;.",X69),0),IFERROR(1/SUMIF(X70,"&lt;&gt;.",X70),0),IFERROR(1/SUMIF(X71,"&lt;&gt;.",X71),0),IFERROR(1/SUMIF(X72,"&lt;&gt;.",X72),0),IFERROR(1/SUMIF(X73,"&lt;&gt;.",X73),0),IFERROR(1/SUMIF(X74,"&lt;&gt;.",X74),0),IFERROR(1/SUMIF(X75,"&lt;&gt;.",X75),0),IFERROR(1/SUMIF(X76,"&lt;&gt;.",X76),0)),".")</f>
        <v>0.14874556197622121</v>
      </c>
      <c r="Y63" s="58">
        <f t="shared" si="415"/>
        <v>2.5053748204208665E-2</v>
      </c>
      <c r="Z63" s="58">
        <f t="shared" si="415"/>
        <v>1.6304793883251147E-2</v>
      </c>
      <c r="AA63" s="58">
        <f t="shared" si="415"/>
        <v>2.2845457962383117E-2</v>
      </c>
      <c r="AB63" s="58">
        <f t="shared" si="415"/>
        <v>0.15597198723235631</v>
      </c>
      <c r="AC63" s="58">
        <f t="shared" si="415"/>
        <v>0.18136248161891347</v>
      </c>
      <c r="AD63" s="58" t="str">
        <f t="shared" si="415"/>
        <v>.</v>
      </c>
      <c r="AE63" s="58">
        <f t="shared" si="415"/>
        <v>1.1909313451798152E-2</v>
      </c>
      <c r="AF63" s="58">
        <f t="shared" si="415"/>
        <v>2.8550360778043942E-2</v>
      </c>
      <c r="AG63" s="168"/>
      <c r="AH63" s="168"/>
      <c r="AI63" s="168"/>
      <c r="AJ63" s="168"/>
      <c r="AK63" s="168"/>
      <c r="AL63" s="168"/>
      <c r="AM63" s="168"/>
      <c r="AN63" s="168"/>
      <c r="AO63" s="168"/>
      <c r="AP63" s="168"/>
      <c r="AQ63" s="111"/>
      <c r="AR63" s="59">
        <f>IFERROR(1/SUM(IFERROR(1/SUMIF(AR64,"&lt;&gt;.",AR64),0),IFERROR(1/SUMIF(AR65,"&lt;&gt;.",AR65),0),IFERROR(1/SUMIF(AR66,"&lt;&gt;.",AR66),0),IFERROR(1/SUMIF(AR67,"&lt;&gt;.",AR67),0),IFERROR(1/SUMIF(AR68,"&lt;&gt;.",AR68),0),IFERROR(1/SUMIF(AR69,"&lt;&gt;.",AR69),0),IFERROR(1/SUMIF(AR70,"&lt;&gt;.",AR70),0),IFERROR(1/SUMIF(AR71,"&lt;&gt;.",AR71),0),IFERROR(1/SUMIF(AR72,"&lt;&gt;.",AR72),0),IFERROR(1/SUMIF(AR73,"&lt;&gt;.",AR73),0),IFERROR(1/SUMIF(AR74,"&lt;&gt;.",AR74),0),IFERROR(1/SUMIF(AR75,"&lt;&gt;.",AR75),0),IFERROR(1/SUMIF(AR76,"&lt;&gt;.",AR76),0)),".")</f>
        <v>3.5326564764015175E-3</v>
      </c>
      <c r="AS63" s="190">
        <f>AR63*(0.0000000000028)*RadSpec!$AY25*RadSpec!$AF25</f>
        <v>2.3002796828830576E-14</v>
      </c>
      <c r="AT63" s="58">
        <f t="shared" ref="AT63:BD63" si="417">IFERROR(1/SUM(IFERROR(1/SUMIF(AT64,"&lt;&gt;.",AT64),0),IFERROR(1/SUMIF(AT65,"&lt;&gt;.",AT65),0),IFERROR(1/SUMIF(AT66,"&lt;&gt;.",AT66),0),IFERROR(1/SUMIF(AT67,"&lt;&gt;.",AT67),0),IFERROR(1/SUMIF(AT68,"&lt;&gt;.",AT68),0),IFERROR(1/SUMIF(AT69,"&lt;&gt;.",AT69),0),IFERROR(1/SUMIF(AT70,"&lt;&gt;.",AT70),0),IFERROR(1/SUMIF(AT71,"&lt;&gt;.",AT71),0),IFERROR(1/SUMIF(AT72,"&lt;&gt;.",AT72),0),IFERROR(1/SUMIF(AT73,"&lt;&gt;.",AT73),0),IFERROR(1/SUMIF(AT74,"&lt;&gt;.",AT74),0),IFERROR(1/SUMIF(AT75,"&lt;&gt;.",AT75),0),IFERROR(1/SUMIF(AT76,"&lt;&gt;.",AT76),0)),".")</f>
        <v>0.12424479870765565</v>
      </c>
      <c r="AU63" s="58">
        <f t="shared" si="417"/>
        <v>3.6306851632117971</v>
      </c>
      <c r="AV63" s="58">
        <f t="shared" si="417"/>
        <v>1753.291285471221</v>
      </c>
      <c r="AW63" s="58">
        <f t="shared" si="417"/>
        <v>5.0171895242221286E-2</v>
      </c>
      <c r="AX63" s="58">
        <f t="shared" si="417"/>
        <v>2.9371118360725514</v>
      </c>
      <c r="AY63" s="58">
        <f t="shared" si="417"/>
        <v>4.1153335308789449</v>
      </c>
      <c r="AZ63" s="58">
        <f t="shared" si="417"/>
        <v>10.202944172211661</v>
      </c>
      <c r="BA63" s="58">
        <f t="shared" si="417"/>
        <v>11.043589248267326</v>
      </c>
      <c r="BB63" s="58" t="str">
        <f t="shared" si="417"/>
        <v>.</v>
      </c>
      <c r="BC63" s="58">
        <f t="shared" si="417"/>
        <v>6.3235416571006939E-2</v>
      </c>
      <c r="BD63" s="58">
        <f t="shared" si="417"/>
        <v>0.19033573852029295</v>
      </c>
      <c r="BE63" s="168"/>
      <c r="BF63" s="168"/>
      <c r="BG63" s="168"/>
      <c r="BH63" s="168"/>
      <c r="BI63" s="168"/>
      <c r="BJ63" s="168"/>
      <c r="BK63" s="168"/>
      <c r="BL63" s="168"/>
      <c r="BM63" s="168"/>
      <c r="BN63" s="168"/>
      <c r="BO63" s="111"/>
      <c r="BP63" s="59">
        <f>IFERROR(1/SUM(IFERROR(1/SUMIF(BP64,"&lt;&gt;.",BP64),0),IFERROR(1/SUMIF(BP65,"&lt;&gt;.",BP65),0),IFERROR(1/SUMIF(BP66,"&lt;&gt;.",BP66),0),IFERROR(1/SUMIF(BP67,"&lt;&gt;.",BP67),0),IFERROR(1/SUMIF(BP68,"&lt;&gt;.",BP68),0),IFERROR(1/SUMIF(BP69,"&lt;&gt;.",BP69),0),IFERROR(1/SUMIF(BP70,"&lt;&gt;.",BP70),0),IFERROR(1/SUMIF(BP71,"&lt;&gt;.",BP71),0),IFERROR(1/SUMIF(BP72,"&lt;&gt;.",BP72),0),IFERROR(1/SUMIF(BP73,"&lt;&gt;.",BP73),0),IFERROR(1/SUMIF(BP74,"&lt;&gt;.",BP74),0),IFERROR(1/SUMIF(BP75,"&lt;&gt;.",BP75),0),IFERROR(1/SUMIF(BP76,"&lt;&gt;.",BP76),0)),".")</f>
        <v>1.9961713344281151E-2</v>
      </c>
      <c r="BQ63" s="190">
        <f>BP63*(0.0000000000000028)*RadSpec!$AY25*RadSpec!$AF25</f>
        <v>1.2998015501399298E-16</v>
      </c>
      <c r="BR63" s="58">
        <f>IFERROR(1/SUM(IFERROR(1/SUMIF(BR64,"&lt;&gt;.",BR64),0),IFERROR(1/SUMIF(BR65,"&lt;&gt;.",BR65),0),IFERROR(1/SUMIF(BR66,"&lt;&gt;.",BR66),0),IFERROR(1/SUMIF(BR67,"&lt;&gt;.",BR67),0),IFERROR(1/SUMIF(BR68,"&lt;&gt;.",BR68),0),IFERROR(1/SUMIF(BR69,"&lt;&gt;.",BR69),0),IFERROR(1/SUMIF(BR70,"&lt;&gt;.",BR70),0),IFERROR(1/SUMIF(BR71,"&lt;&gt;.",BR71),0),IFERROR(1/SUMIF(BR72,"&lt;&gt;.",BR72),0),IFERROR(1/SUMIF(BR73,"&lt;&gt;.",BR73),0),IFERROR(1/SUMIF(BR74,"&lt;&gt;.",BR74),0),IFERROR(1/SUMIF(BR75,"&lt;&gt;.",BR75),0),IFERROR(1/SUMIF(BR76,"&lt;&gt;.",BR76),0)),".")</f>
        <v>3.8356349072236119E-3</v>
      </c>
      <c r="BS63" s="58">
        <f>IFERROR(1/SUM(IFERROR(1/SUMIF(BS64,"&lt;&gt;.",BS64),0),IFERROR(1/SUMIF(BS65,"&lt;&gt;.",BS65),0),IFERROR(1/SUMIF(BS66,"&lt;&gt;.",BS66),0),IFERROR(1/SUMIF(BS67,"&lt;&gt;.",BS67),0),IFERROR(1/SUMIF(BS68,"&lt;&gt;.",BS68),0),IFERROR(1/SUMIF(BS69,"&lt;&gt;.",BS69),0),IFERROR(1/SUMIF(BS70,"&lt;&gt;.",BS70),0),IFERROR(1/SUMIF(BS71,"&lt;&gt;.",BS71),0),IFERROR(1/SUMIF(BS72,"&lt;&gt;.",BS72),0),IFERROR(1/SUMIF(BS73,"&lt;&gt;.",BS73),0),IFERROR(1/SUMIF(BS74,"&lt;&gt;.",BS74),0),IFERROR(1/SUMIF(BS75,"&lt;&gt;.",BS75),0),IFERROR(1/SUMIF(BS76,"&lt;&gt;.",BS76),0)),".")</f>
        <v>108.19092341097915</v>
      </c>
      <c r="BT63" s="59">
        <f>IFERROR(1/SUM(IFERROR(1/SUMIF(BT64,"&lt;&gt;.",BT64),0),IFERROR(1/SUMIF(BT65,"&lt;&gt;.",BT65),0),IFERROR(1/SUMIF(BT66,"&lt;&gt;.",BT66),0),IFERROR(1/SUMIF(BT67,"&lt;&gt;.",BT67),0),IFERROR(1/SUMIF(BT68,"&lt;&gt;.",BT68),0),IFERROR(1/SUMIF(BT69,"&lt;&gt;.",BT69),0),IFERROR(1/SUMIF(BT70,"&lt;&gt;.",BT70),0),IFERROR(1/SUMIF(BT71,"&lt;&gt;.",BT71),0),IFERROR(1/SUMIF(BT72,"&lt;&gt;.",BT72),0),IFERROR(1/SUMIF(BT73,"&lt;&gt;.",BT73),0),IFERROR(1/SUMIF(BT74,"&lt;&gt;.",BT74),0),IFERROR(1/SUMIF(BT75,"&lt;&gt;.",BT75),0),IFERROR(1/SUMIF(BT76,"&lt;&gt;.",BT76),0)),".")</f>
        <v>3.8354989293327116E-3</v>
      </c>
      <c r="BU63" s="190">
        <f>BT63*(0.0000000000000028)*RadSpec!$AY25*RadSpec!$AF25</f>
        <v>2.497474724700907E-17</v>
      </c>
    </row>
    <row r="64" spans="1:73" x14ac:dyDescent="0.25">
      <c r="A64" s="77" t="s">
        <v>1073</v>
      </c>
      <c r="B64" s="42">
        <v>1</v>
      </c>
      <c r="C64" s="170"/>
      <c r="D64" s="60" t="str">
        <f t="shared" ref="D64:AF64" si="418">IFERROR(D25/$B50,".")</f>
        <v>.</v>
      </c>
      <c r="E64" s="60" t="str">
        <f t="shared" si="418"/>
        <v>.</v>
      </c>
      <c r="F64" s="60" t="str">
        <f t="shared" si="418"/>
        <v>.</v>
      </c>
      <c r="G64" s="60" t="str">
        <f t="shared" si="418"/>
        <v>.</v>
      </c>
      <c r="H64" s="60" t="str">
        <f t="shared" si="418"/>
        <v>.</v>
      </c>
      <c r="I64" s="60" t="str">
        <f t="shared" si="418"/>
        <v>.</v>
      </c>
      <c r="J64" s="60" t="str">
        <f t="shared" si="418"/>
        <v>.</v>
      </c>
      <c r="K64" s="60" t="str">
        <f t="shared" si="418"/>
        <v>.</v>
      </c>
      <c r="L64" s="111" t="str">
        <f t="shared" ref="L64:L76" si="419">IFERROR(1/D64,".")</f>
        <v>.</v>
      </c>
      <c r="M64" s="111" t="str">
        <f t="shared" ref="M64:M76" si="420">IFERROR(1/E64,".")</f>
        <v>.</v>
      </c>
      <c r="N64" s="111" t="str">
        <f t="shared" ref="N64:N76" si="421">IFERROR(1/F64,".")</f>
        <v>.</v>
      </c>
      <c r="O64" s="111" t="str">
        <f t="shared" ref="O64:O76" si="422">IFERROR(1/G64,".")</f>
        <v>.</v>
      </c>
      <c r="P64" s="111" t="str">
        <f t="shared" ref="P64:P76" si="423">IFERROR(1/H64,".")</f>
        <v>.</v>
      </c>
      <c r="Q64" s="111" t="str">
        <f t="shared" ref="Q64:Q76" si="424">IFERROR(1/I64,".")</f>
        <v>.</v>
      </c>
      <c r="R64" s="111" t="str">
        <f t="shared" ref="R64:R76" si="425">IFERROR(1/J64,".")</f>
        <v>.</v>
      </c>
      <c r="S64" s="111" t="str">
        <f t="shared" ref="S64:S76" si="426">IFERROR(1/K64,".")</f>
        <v>.</v>
      </c>
      <c r="T64" s="60" t="str">
        <f>IFERROR(T25/$B50,".")</f>
        <v>.</v>
      </c>
      <c r="U64" s="189">
        <f>IFERROR(U25/$B50,0)</f>
        <v>0</v>
      </c>
      <c r="V64" s="60" t="str">
        <f t="shared" si="418"/>
        <v>.</v>
      </c>
      <c r="W64" s="60">
        <f t="shared" si="418"/>
        <v>32051506.936990399</v>
      </c>
      <c r="X64" s="60">
        <f t="shared" si="418"/>
        <v>726.79526662559624</v>
      </c>
      <c r="Y64" s="60" t="str">
        <f t="shared" si="418"/>
        <v>.</v>
      </c>
      <c r="Z64" s="60" t="str">
        <f t="shared" si="418"/>
        <v>.</v>
      </c>
      <c r="AA64" s="60" t="str">
        <f t="shared" si="418"/>
        <v>.</v>
      </c>
      <c r="AB64" s="60" t="str">
        <f t="shared" si="418"/>
        <v>.</v>
      </c>
      <c r="AC64" s="60" t="str">
        <f t="shared" si="418"/>
        <v>.</v>
      </c>
      <c r="AD64" s="60" t="str">
        <f t="shared" si="418"/>
        <v>.</v>
      </c>
      <c r="AE64" s="60" t="str">
        <f t="shared" si="418"/>
        <v>.</v>
      </c>
      <c r="AF64" s="60" t="str">
        <f t="shared" si="418"/>
        <v>.</v>
      </c>
      <c r="AG64" s="111" t="str">
        <f t="shared" ref="AG64:AG71" si="427">IFERROR(1/V64,".")</f>
        <v>.</v>
      </c>
      <c r="AH64" s="111">
        <f t="shared" ref="AH64:AH72" si="428">IFERROR(1/W64,".")</f>
        <v>3.1199781088792043E-8</v>
      </c>
      <c r="AI64" s="111">
        <f t="shared" ref="AI64:AI72" si="429">IFERROR(1/X64,".")</f>
        <v>1.3759032920547946E-3</v>
      </c>
      <c r="AJ64" s="111" t="str">
        <f t="shared" ref="AJ64:AJ72" si="430">IFERROR(1/Y64,".")</f>
        <v>.</v>
      </c>
      <c r="AK64" s="111" t="str">
        <f t="shared" ref="AK64:AK72" si="431">IFERROR(1/Z64,".")</f>
        <v>.</v>
      </c>
      <c r="AL64" s="111" t="str">
        <f t="shared" ref="AL64:AL72" si="432">IFERROR(1/AA64,".")</f>
        <v>.</v>
      </c>
      <c r="AM64" s="111" t="str">
        <f t="shared" ref="AM64:AM72" si="433">IFERROR(1/AB64,".")</f>
        <v>.</v>
      </c>
      <c r="AN64" s="111" t="str">
        <f t="shared" ref="AN64:AN72" si="434">IFERROR(1/AC64,".")</f>
        <v>.</v>
      </c>
      <c r="AO64" s="111" t="str">
        <f t="shared" ref="AO64:AO72" si="435">IFERROR(1/AD64,".")</f>
        <v>.</v>
      </c>
      <c r="AP64" s="111" t="str">
        <f t="shared" ref="AP64:AP72" si="436">IFERROR(1/AE64,".")</f>
        <v>.</v>
      </c>
      <c r="AQ64" s="111" t="str">
        <f t="shared" si="274"/>
        <v>.</v>
      </c>
      <c r="AR64" s="60">
        <f t="shared" si="31"/>
        <v>726.77878629651832</v>
      </c>
      <c r="AS64" s="189">
        <f>IFERROR(AS25/$B50,0)</f>
        <v>4.7324003543396741E-9</v>
      </c>
      <c r="AT64" s="60" t="str">
        <f>IFERROR(AT25/$B50,".")</f>
        <v>.</v>
      </c>
      <c r="AU64" s="60">
        <f>IFERROR(AU25,".")</f>
        <v>47.157299065696016</v>
      </c>
      <c r="AV64" s="60">
        <f t="shared" ref="AV64:BD64" si="437">IFERROR(AV25/$B50,".")</f>
        <v>8328543.785063535</v>
      </c>
      <c r="AW64" s="60" t="str">
        <f t="shared" si="437"/>
        <v>.</v>
      </c>
      <c r="AX64" s="60" t="str">
        <f t="shared" si="437"/>
        <v>.</v>
      </c>
      <c r="AY64" s="60" t="str">
        <f t="shared" si="437"/>
        <v>.</v>
      </c>
      <c r="AZ64" s="60" t="str">
        <f t="shared" si="437"/>
        <v>.</v>
      </c>
      <c r="BA64" s="60" t="str">
        <f t="shared" si="437"/>
        <v>.</v>
      </c>
      <c r="BB64" s="60" t="str">
        <f t="shared" si="437"/>
        <v>.</v>
      </c>
      <c r="BC64" s="60" t="str">
        <f t="shared" si="437"/>
        <v>.</v>
      </c>
      <c r="BD64" s="60" t="str">
        <f t="shared" si="437"/>
        <v>.</v>
      </c>
      <c r="BE64" s="111" t="str">
        <f t="shared" ref="BE64:BE76" si="438">IFERROR(1/AT64,".")</f>
        <v>.</v>
      </c>
      <c r="BF64" s="111">
        <f t="shared" ref="BF64:BF76" si="439">IFERROR(1/AU64,".")</f>
        <v>2.1205624999999999E-2</v>
      </c>
      <c r="BG64" s="111">
        <f t="shared" ref="BG64:BG76" si="440">IFERROR(1/AV64,".")</f>
        <v>1.2006900915780819E-7</v>
      </c>
      <c r="BH64" s="111" t="str">
        <f t="shared" ref="BH64:BH76" si="441">IFERROR(1/AW64,".")</f>
        <v>.</v>
      </c>
      <c r="BI64" s="111" t="str">
        <f t="shared" ref="BI64:BI76" si="442">IFERROR(1/AX64,".")</f>
        <v>.</v>
      </c>
      <c r="BJ64" s="111" t="str">
        <f t="shared" ref="BJ64:BJ76" si="443">IFERROR(1/AY64,".")</f>
        <v>.</v>
      </c>
      <c r="BK64" s="111" t="str">
        <f t="shared" ref="BK64:BK76" si="444">IFERROR(1/AZ64,".")</f>
        <v>.</v>
      </c>
      <c r="BL64" s="111" t="str">
        <f t="shared" ref="BL64:BL76" si="445">IFERROR(1/BA64,".")</f>
        <v>.</v>
      </c>
      <c r="BM64" s="111" t="str">
        <f t="shared" ref="BM64:BM76" si="446">IFERROR(1/BB64,".")</f>
        <v>.</v>
      </c>
      <c r="BN64" s="111" t="str">
        <f t="shared" ref="BN64:BN76" si="447">IFERROR(1/BC64,".")</f>
        <v>.</v>
      </c>
      <c r="BO64" s="111" t="str">
        <f t="shared" si="286"/>
        <v>.</v>
      </c>
      <c r="BP64" s="60">
        <f>IFERROR(BP25/$B50,".")</f>
        <v>47.157032056441921</v>
      </c>
      <c r="BQ64" s="189">
        <f>IFERROR(BQ25/$B50,0)</f>
        <v>3.0706173518177468E-13</v>
      </c>
      <c r="BR64" s="60">
        <f>IFERROR(BR25/$B50,".")</f>
        <v>23.578649532848008</v>
      </c>
      <c r="BS64" s="60">
        <f>IFERROR(BS25/$B50,".")</f>
        <v>516265.40728549397</v>
      </c>
      <c r="BT64" s="60">
        <f>IFERROR(BT25/$B50,".")</f>
        <v>23.577572708184032</v>
      </c>
      <c r="BU64" s="189">
        <f>IFERROR(BU25/$B50,0)</f>
        <v>1.5352472518805284E-13</v>
      </c>
    </row>
    <row r="65" spans="1:73" x14ac:dyDescent="0.25">
      <c r="A65" s="77" t="s">
        <v>1059</v>
      </c>
      <c r="B65" s="42">
        <v>1</v>
      </c>
      <c r="C65" s="170"/>
      <c r="D65" s="60" t="str">
        <f t="shared" ref="D65:AF65" si="448">IFERROR(D21/$B51,".")</f>
        <v>.</v>
      </c>
      <c r="E65" s="60" t="str">
        <f t="shared" si="448"/>
        <v>.</v>
      </c>
      <c r="F65" s="60" t="str">
        <f t="shared" si="448"/>
        <v>.</v>
      </c>
      <c r="G65" s="60" t="str">
        <f t="shared" si="448"/>
        <v>.</v>
      </c>
      <c r="H65" s="60" t="str">
        <f t="shared" si="448"/>
        <v>.</v>
      </c>
      <c r="I65" s="60" t="str">
        <f t="shared" si="448"/>
        <v>.</v>
      </c>
      <c r="J65" s="60" t="str">
        <f t="shared" si="448"/>
        <v>.</v>
      </c>
      <c r="K65" s="60" t="str">
        <f t="shared" si="448"/>
        <v>.</v>
      </c>
      <c r="L65" s="111" t="str">
        <f t="shared" si="419"/>
        <v>.</v>
      </c>
      <c r="M65" s="111" t="str">
        <f t="shared" si="420"/>
        <v>.</v>
      </c>
      <c r="N65" s="111" t="str">
        <f t="shared" si="421"/>
        <v>.</v>
      </c>
      <c r="O65" s="111" t="str">
        <f t="shared" si="422"/>
        <v>.</v>
      </c>
      <c r="P65" s="111" t="str">
        <f t="shared" si="423"/>
        <v>.</v>
      </c>
      <c r="Q65" s="111" t="str">
        <f t="shared" si="424"/>
        <v>.</v>
      </c>
      <c r="R65" s="111" t="str">
        <f t="shared" si="425"/>
        <v>.</v>
      </c>
      <c r="S65" s="111" t="str">
        <f t="shared" si="426"/>
        <v>.</v>
      </c>
      <c r="T65" s="60" t="str">
        <f>IFERROR(T21/$B51,".")</f>
        <v>.</v>
      </c>
      <c r="U65" s="189">
        <f>IFERROR(U21/$B51,0)</f>
        <v>0</v>
      </c>
      <c r="V65" s="60" t="str">
        <f t="shared" si="448"/>
        <v>.</v>
      </c>
      <c r="W65" s="60">
        <f t="shared" si="448"/>
        <v>27550836.015392002</v>
      </c>
      <c r="X65" s="60">
        <f t="shared" si="448"/>
        <v>186357760.67322987</v>
      </c>
      <c r="Y65" s="60" t="str">
        <f t="shared" si="448"/>
        <v>.</v>
      </c>
      <c r="Z65" s="60" t="str">
        <f t="shared" si="448"/>
        <v>.</v>
      </c>
      <c r="AA65" s="60" t="str">
        <f t="shared" si="448"/>
        <v>.</v>
      </c>
      <c r="AB65" s="60" t="str">
        <f t="shared" si="448"/>
        <v>.</v>
      </c>
      <c r="AC65" s="60" t="str">
        <f t="shared" si="448"/>
        <v>.</v>
      </c>
      <c r="AD65" s="60" t="str">
        <f t="shared" si="448"/>
        <v>.</v>
      </c>
      <c r="AE65" s="60" t="str">
        <f t="shared" si="448"/>
        <v>.</v>
      </c>
      <c r="AF65" s="60" t="str">
        <f t="shared" si="448"/>
        <v>.</v>
      </c>
      <c r="AG65" s="111" t="str">
        <f t="shared" si="427"/>
        <v>.</v>
      </c>
      <c r="AH65" s="111">
        <f t="shared" si="428"/>
        <v>3.6296539220854265E-8</v>
      </c>
      <c r="AI65" s="111">
        <f t="shared" si="429"/>
        <v>5.366022839013697E-9</v>
      </c>
      <c r="AJ65" s="111" t="str">
        <f t="shared" si="430"/>
        <v>.</v>
      </c>
      <c r="AK65" s="111" t="str">
        <f t="shared" si="431"/>
        <v>.</v>
      </c>
      <c r="AL65" s="111" t="str">
        <f t="shared" si="432"/>
        <v>.</v>
      </c>
      <c r="AM65" s="111" t="str">
        <f t="shared" si="433"/>
        <v>.</v>
      </c>
      <c r="AN65" s="111" t="str">
        <f t="shared" si="434"/>
        <v>.</v>
      </c>
      <c r="AO65" s="111" t="str">
        <f t="shared" si="435"/>
        <v>.</v>
      </c>
      <c r="AP65" s="111" t="str">
        <f t="shared" si="436"/>
        <v>.</v>
      </c>
      <c r="AQ65" s="111" t="str">
        <f t="shared" si="274"/>
        <v>.</v>
      </c>
      <c r="AR65" s="60">
        <f>IFERROR(AR21/$B51,".")</f>
        <v>24002364.486442942</v>
      </c>
      <c r="AS65" s="189">
        <f>IFERROR(AS21/$B51,0)</f>
        <v>8.6412165479122462E-8</v>
      </c>
      <c r="AT65" s="60" t="str">
        <f>IFERROR(AT21/$B51,".")</f>
        <v>.</v>
      </c>
      <c r="AU65" s="60">
        <f>IFERROR(AU21,".")</f>
        <v>41.079340661473481</v>
      </c>
      <c r="AV65" s="60">
        <f t="shared" ref="AV65:BD65" si="449">IFERROR(AV21/$B51,".")</f>
        <v>109494142069.36671</v>
      </c>
      <c r="AW65" s="60" t="str">
        <f t="shared" si="449"/>
        <v>.</v>
      </c>
      <c r="AX65" s="60" t="str">
        <f t="shared" si="449"/>
        <v>.</v>
      </c>
      <c r="AY65" s="60" t="str">
        <f t="shared" si="449"/>
        <v>.</v>
      </c>
      <c r="AZ65" s="60" t="str">
        <f t="shared" si="449"/>
        <v>.</v>
      </c>
      <c r="BA65" s="60" t="str">
        <f t="shared" si="449"/>
        <v>.</v>
      </c>
      <c r="BB65" s="60" t="str">
        <f t="shared" si="449"/>
        <v>.</v>
      </c>
      <c r="BC65" s="60" t="str">
        <f t="shared" si="449"/>
        <v>.</v>
      </c>
      <c r="BD65" s="60" t="str">
        <f t="shared" si="449"/>
        <v>.</v>
      </c>
      <c r="BE65" s="111" t="str">
        <f t="shared" si="438"/>
        <v>.</v>
      </c>
      <c r="BF65" s="111">
        <f t="shared" si="439"/>
        <v>2.43431365717575E-2</v>
      </c>
      <c r="BG65" s="111">
        <f t="shared" si="440"/>
        <v>9.1329086753013698E-12</v>
      </c>
      <c r="BH65" s="111" t="str">
        <f t="shared" si="441"/>
        <v>.</v>
      </c>
      <c r="BI65" s="111" t="str">
        <f t="shared" si="442"/>
        <v>.</v>
      </c>
      <c r="BJ65" s="111" t="str">
        <f t="shared" si="443"/>
        <v>.</v>
      </c>
      <c r="BK65" s="111" t="str">
        <f t="shared" si="444"/>
        <v>.</v>
      </c>
      <c r="BL65" s="111" t="str">
        <f t="shared" si="445"/>
        <v>.</v>
      </c>
      <c r="BM65" s="111" t="str">
        <f t="shared" si="446"/>
        <v>.</v>
      </c>
      <c r="BN65" s="111" t="str">
        <f t="shared" si="447"/>
        <v>.</v>
      </c>
      <c r="BO65" s="111" t="str">
        <f t="shared" si="286"/>
        <v>.</v>
      </c>
      <c r="BP65" s="60">
        <f>IFERROR(BP21/$B51,".")</f>
        <v>41.079340646061581</v>
      </c>
      <c r="BQ65" s="189">
        <f>IFERROR(BQ21/$B51,0)</f>
        <v>1.4789187888908585E-16</v>
      </c>
      <c r="BR65" s="60">
        <f>IFERROR(BR21/$B51,".")</f>
        <v>20.267736803169875</v>
      </c>
      <c r="BS65" s="60">
        <f>IFERROR(BS21/$B51,".")</f>
        <v>3408928071.0072703</v>
      </c>
      <c r="BT65" s="60">
        <f>IFERROR(BT21/$B51,".")</f>
        <v>20.267736682668314</v>
      </c>
      <c r="BU65" s="189">
        <f>IFERROR(BU21/$B51,0)</f>
        <v>7.2966936949034007E-17</v>
      </c>
    </row>
    <row r="66" spans="1:73" x14ac:dyDescent="0.25">
      <c r="A66" s="77" t="s">
        <v>1060</v>
      </c>
      <c r="B66" s="79">
        <v>0.99980000000000002</v>
      </c>
      <c r="C66" s="173"/>
      <c r="D66" s="60">
        <f t="shared" ref="D66:AF66" si="450">IFERROR(D17/$B52,".")</f>
        <v>2.7425747808597736</v>
      </c>
      <c r="E66" s="60">
        <f t="shared" si="450"/>
        <v>24.800678148704545</v>
      </c>
      <c r="F66" s="60">
        <f t="shared" si="450"/>
        <v>44.884724492673961</v>
      </c>
      <c r="G66" s="60">
        <f t="shared" si="450"/>
        <v>16.220591900037689</v>
      </c>
      <c r="H66" s="60">
        <f t="shared" si="450"/>
        <v>2.7926995501968093</v>
      </c>
      <c r="I66" s="60">
        <f t="shared" si="450"/>
        <v>29.123791894957549</v>
      </c>
      <c r="J66" s="60">
        <f t="shared" si="450"/>
        <v>28.138781460751957</v>
      </c>
      <c r="K66" s="60">
        <f t="shared" si="450"/>
        <v>21.471465627802157</v>
      </c>
      <c r="L66" s="111">
        <f t="shared" si="419"/>
        <v>0.3646208690384401</v>
      </c>
      <c r="M66" s="111">
        <f t="shared" si="420"/>
        <v>4.0321478066205001E-2</v>
      </c>
      <c r="N66" s="111">
        <f t="shared" si="421"/>
        <v>2.2279294599730003E-2</v>
      </c>
      <c r="O66" s="111">
        <f t="shared" si="422"/>
        <v>6.1650031402224997E-2</v>
      </c>
      <c r="P66" s="111">
        <f t="shared" si="423"/>
        <v>0.35807647117984004</v>
      </c>
      <c r="Q66" s="111">
        <f t="shared" si="424"/>
        <v>3.4336188213635002E-2</v>
      </c>
      <c r="R66" s="111">
        <f t="shared" si="425"/>
        <v>3.5538141599870003E-2</v>
      </c>
      <c r="S66" s="111">
        <f t="shared" si="426"/>
        <v>4.6573439248839998E-2</v>
      </c>
      <c r="T66" s="60">
        <f>IFERROR(T17/$B52,".")</f>
        <v>1.0379948535633479</v>
      </c>
      <c r="U66" s="189">
        <f>IFERROR(U17/$B52,0)</f>
        <v>3.1713665592918977E-14</v>
      </c>
      <c r="V66" s="60">
        <f t="shared" si="450"/>
        <v>33749.409798969726</v>
      </c>
      <c r="W66" s="60">
        <f t="shared" si="450"/>
        <v>4505994.9852049174</v>
      </c>
      <c r="X66" s="60">
        <f t="shared" si="450"/>
        <v>1.2313704998847912</v>
      </c>
      <c r="Y66" s="60">
        <f t="shared" si="450"/>
        <v>159.08262905068455</v>
      </c>
      <c r="Z66" s="60" t="str">
        <f t="shared" si="450"/>
        <v>.</v>
      </c>
      <c r="AA66" s="60" t="str">
        <f t="shared" si="450"/>
        <v>.</v>
      </c>
      <c r="AB66" s="60">
        <f t="shared" si="450"/>
        <v>6452.307051118687</v>
      </c>
      <c r="AC66" s="60">
        <f t="shared" si="450"/>
        <v>2641.3558439901822</v>
      </c>
      <c r="AD66" s="60" t="str">
        <f t="shared" si="450"/>
        <v>.</v>
      </c>
      <c r="AE66" s="60">
        <f t="shared" si="450"/>
        <v>168.83268876451174</v>
      </c>
      <c r="AF66" s="60">
        <f t="shared" si="450"/>
        <v>146.39635655319651</v>
      </c>
      <c r="AG66" s="111">
        <f t="shared" si="427"/>
        <v>2.9630147784999996E-5</v>
      </c>
      <c r="AH66" s="111">
        <f t="shared" si="428"/>
        <v>2.2192656744701713E-7</v>
      </c>
      <c r="AI66" s="111">
        <f t="shared" si="429"/>
        <v>0.81210326225418061</v>
      </c>
      <c r="AJ66" s="111">
        <f t="shared" si="430"/>
        <v>6.2860414488208815E-3</v>
      </c>
      <c r="AK66" s="111" t="str">
        <f t="shared" si="431"/>
        <v>.</v>
      </c>
      <c r="AL66" s="111" t="str">
        <f t="shared" si="432"/>
        <v>.</v>
      </c>
      <c r="AM66" s="111">
        <f t="shared" si="433"/>
        <v>1.5498332489099727E-4</v>
      </c>
      <c r="AN66" s="111">
        <f t="shared" si="434"/>
        <v>3.7859344180197363E-4</v>
      </c>
      <c r="AO66" s="111" t="str">
        <f t="shared" si="435"/>
        <v>.</v>
      </c>
      <c r="AP66" s="111">
        <f t="shared" si="436"/>
        <v>5.9230235999783339E-3</v>
      </c>
      <c r="AQ66" s="111">
        <f t="shared" si="274"/>
        <v>6.8307710898298677E-3</v>
      </c>
      <c r="AR66" s="60">
        <f>IFERROR(AR17/$B52,".")</f>
        <v>1.2023471828769536</v>
      </c>
      <c r="AS66" s="189">
        <f>IFERROR(AS17/$B52,0)</f>
        <v>3.6735092041591533E-14</v>
      </c>
      <c r="AT66" s="60">
        <f>IFERROR(AT17/$B52,".")</f>
        <v>1731.1249450854227</v>
      </c>
      <c r="AU66" s="60">
        <f>IFERROR(AU17,".")</f>
        <v>7.496419218595169</v>
      </c>
      <c r="AV66" s="60">
        <f t="shared" ref="AV66:BD66" si="451">IFERROR(AV17/$B52,".")</f>
        <v>12996.509937605315</v>
      </c>
      <c r="AW66" s="60">
        <f t="shared" si="451"/>
        <v>643.99549958350099</v>
      </c>
      <c r="AX66" s="60" t="str">
        <f t="shared" si="451"/>
        <v>.</v>
      </c>
      <c r="AY66" s="60" t="str">
        <f t="shared" si="451"/>
        <v>.</v>
      </c>
      <c r="AZ66" s="60">
        <f t="shared" si="451"/>
        <v>437212.71967756574</v>
      </c>
      <c r="BA66" s="60">
        <f t="shared" si="451"/>
        <v>164558.38310656254</v>
      </c>
      <c r="BB66" s="60" t="str">
        <f t="shared" si="451"/>
        <v>.</v>
      </c>
      <c r="BC66" s="60">
        <f t="shared" si="451"/>
        <v>1125.5512584300782</v>
      </c>
      <c r="BD66" s="60">
        <f t="shared" si="451"/>
        <v>975.97571035464352</v>
      </c>
      <c r="BE66" s="111">
        <f t="shared" si="438"/>
        <v>5.77659055078E-4</v>
      </c>
      <c r="BF66" s="111">
        <f t="shared" si="439"/>
        <v>0.133397022076815</v>
      </c>
      <c r="BG66" s="111">
        <f t="shared" si="440"/>
        <v>7.6943733725506308E-5</v>
      </c>
      <c r="BH66" s="111">
        <f t="shared" si="441"/>
        <v>1.5528058824118213E-3</v>
      </c>
      <c r="BI66" s="111" t="str">
        <f t="shared" si="442"/>
        <v>.</v>
      </c>
      <c r="BJ66" s="111" t="str">
        <f t="shared" si="443"/>
        <v>.</v>
      </c>
      <c r="BK66" s="111">
        <f t="shared" si="444"/>
        <v>2.2872161650225476E-6</v>
      </c>
      <c r="BL66" s="111">
        <f t="shared" si="445"/>
        <v>6.0768705982753438E-6</v>
      </c>
      <c r="BM66" s="111" t="str">
        <f t="shared" si="446"/>
        <v>.</v>
      </c>
      <c r="BN66" s="111">
        <f t="shared" si="447"/>
        <v>8.8845353999675021E-4</v>
      </c>
      <c r="BO66" s="111">
        <f t="shared" si="286"/>
        <v>1.02461566347448E-3</v>
      </c>
      <c r="BP66" s="60">
        <f>IFERROR(BP17/$B52,".")</f>
        <v>7.2727703997876683</v>
      </c>
      <c r="BQ66" s="189">
        <f>IFERROR(BQ17/$B52,0)</f>
        <v>2.2220361459515627E-16</v>
      </c>
      <c r="BR66" s="60">
        <f>IFERROR(BR17/$B52,".")</f>
        <v>3.3148293701691931</v>
      </c>
      <c r="BS66" s="60">
        <f>IFERROR(BS17/$B52,".")</f>
        <v>804.79082717796246</v>
      </c>
      <c r="BT66" s="60">
        <f>IFERROR(BT17/$B52,".")</f>
        <v>3.3012320222675928</v>
      </c>
      <c r="BU66" s="189">
        <f>IFERROR(BU17/$B52,0)</f>
        <v>1.0086193398688244E-16</v>
      </c>
    </row>
    <row r="67" spans="1:73" x14ac:dyDescent="0.25">
      <c r="A67" s="77" t="s">
        <v>1074</v>
      </c>
      <c r="B67" s="42">
        <v>2.0000000000000001E-4</v>
      </c>
      <c r="C67" s="170"/>
      <c r="D67" s="60" t="str">
        <f t="shared" ref="D67:AF67" si="452">IFERROR(D5/$B53,".")</f>
        <v>.</v>
      </c>
      <c r="E67" s="60" t="str">
        <f t="shared" si="452"/>
        <v>.</v>
      </c>
      <c r="F67" s="60" t="str">
        <f t="shared" si="452"/>
        <v>.</v>
      </c>
      <c r="G67" s="60" t="str">
        <f t="shared" si="452"/>
        <v>.</v>
      </c>
      <c r="H67" s="60" t="str">
        <f t="shared" si="452"/>
        <v>.</v>
      </c>
      <c r="I67" s="60" t="str">
        <f t="shared" si="452"/>
        <v>.</v>
      </c>
      <c r="J67" s="60" t="str">
        <f t="shared" si="452"/>
        <v>.</v>
      </c>
      <c r="K67" s="60" t="str">
        <f t="shared" si="452"/>
        <v>.</v>
      </c>
      <c r="L67" s="111" t="str">
        <f t="shared" si="419"/>
        <v>.</v>
      </c>
      <c r="M67" s="111" t="str">
        <f t="shared" si="420"/>
        <v>.</v>
      </c>
      <c r="N67" s="111" t="str">
        <f t="shared" si="421"/>
        <v>.</v>
      </c>
      <c r="O67" s="111" t="str">
        <f t="shared" si="422"/>
        <v>.</v>
      </c>
      <c r="P67" s="111" t="str">
        <f t="shared" si="423"/>
        <v>.</v>
      </c>
      <c r="Q67" s="111" t="str">
        <f t="shared" si="424"/>
        <v>.</v>
      </c>
      <c r="R67" s="111" t="str">
        <f t="shared" si="425"/>
        <v>.</v>
      </c>
      <c r="S67" s="111" t="str">
        <f t="shared" si="426"/>
        <v>.</v>
      </c>
      <c r="T67" s="60" t="str">
        <f>IFERROR(T5/$B53,".")</f>
        <v>.</v>
      </c>
      <c r="U67" s="189">
        <f>IFERROR(U5/$B53,0)</f>
        <v>0</v>
      </c>
      <c r="V67" s="60" t="str">
        <f t="shared" si="452"/>
        <v>.</v>
      </c>
      <c r="W67" s="60" t="str">
        <f t="shared" si="452"/>
        <v>.</v>
      </c>
      <c r="X67" s="60">
        <f t="shared" si="452"/>
        <v>154464318.41036165</v>
      </c>
      <c r="Y67" s="60" t="str">
        <f t="shared" si="452"/>
        <v>.</v>
      </c>
      <c r="Z67" s="60" t="str">
        <f t="shared" si="452"/>
        <v>.</v>
      </c>
      <c r="AA67" s="60" t="str">
        <f t="shared" si="452"/>
        <v>.</v>
      </c>
      <c r="AB67" s="60" t="str">
        <f t="shared" si="452"/>
        <v>.</v>
      </c>
      <c r="AC67" s="60" t="str">
        <f t="shared" si="452"/>
        <v>.</v>
      </c>
      <c r="AD67" s="60" t="str">
        <f t="shared" si="452"/>
        <v>.</v>
      </c>
      <c r="AE67" s="60" t="str">
        <f t="shared" si="452"/>
        <v>.</v>
      </c>
      <c r="AF67" s="60" t="str">
        <f t="shared" si="452"/>
        <v>.</v>
      </c>
      <c r="AG67" s="111" t="str">
        <f t="shared" si="427"/>
        <v>.</v>
      </c>
      <c r="AH67" s="111" t="str">
        <f t="shared" si="428"/>
        <v>.</v>
      </c>
      <c r="AI67" s="111">
        <f t="shared" si="429"/>
        <v>6.4739870689315054E-9</v>
      </c>
      <c r="AJ67" s="111" t="str">
        <f t="shared" si="430"/>
        <v>.</v>
      </c>
      <c r="AK67" s="111" t="str">
        <f t="shared" si="431"/>
        <v>.</v>
      </c>
      <c r="AL67" s="111" t="str">
        <f t="shared" si="432"/>
        <v>.</v>
      </c>
      <c r="AM67" s="111" t="str">
        <f t="shared" si="433"/>
        <v>.</v>
      </c>
      <c r="AN67" s="111" t="str">
        <f t="shared" si="434"/>
        <v>.</v>
      </c>
      <c r="AO67" s="111" t="str">
        <f t="shared" si="435"/>
        <v>.</v>
      </c>
      <c r="AP67" s="111" t="str">
        <f t="shared" si="436"/>
        <v>.</v>
      </c>
      <c r="AQ67" s="111" t="str">
        <f t="shared" si="274"/>
        <v>.</v>
      </c>
      <c r="AR67" s="60">
        <f>IFERROR(AR5/$B53,".")</f>
        <v>154464318.41036165</v>
      </c>
      <c r="AS67" s="189">
        <f>IFERROR(AS5/$B53,0)</f>
        <v>4.4846375550649158E-9</v>
      </c>
      <c r="AT67" s="60" t="str">
        <f>IFERROR(AT5/$B53,".")</f>
        <v>.</v>
      </c>
      <c r="AU67" s="60" t="str">
        <f>IFERROR(AU5,".")</f>
        <v>.</v>
      </c>
      <c r="AV67" s="60">
        <f t="shared" ref="AV67:BD67" si="453">IFERROR(AV5/$B53,".")</f>
        <v>1252612985273.5554</v>
      </c>
      <c r="AW67" s="60" t="str">
        <f t="shared" si="453"/>
        <v>.</v>
      </c>
      <c r="AX67" s="60" t="str">
        <f t="shared" si="453"/>
        <v>.</v>
      </c>
      <c r="AY67" s="60" t="str">
        <f t="shared" si="453"/>
        <v>.</v>
      </c>
      <c r="AZ67" s="60" t="str">
        <f t="shared" si="453"/>
        <v>.</v>
      </c>
      <c r="BA67" s="60" t="str">
        <f t="shared" si="453"/>
        <v>.</v>
      </c>
      <c r="BB67" s="60" t="str">
        <f t="shared" si="453"/>
        <v>.</v>
      </c>
      <c r="BC67" s="60" t="str">
        <f t="shared" si="453"/>
        <v>.</v>
      </c>
      <c r="BD67" s="60" t="str">
        <f t="shared" si="453"/>
        <v>.</v>
      </c>
      <c r="BE67" s="111" t="str">
        <f t="shared" si="438"/>
        <v>.</v>
      </c>
      <c r="BF67" s="111" t="str">
        <f t="shared" si="439"/>
        <v>.</v>
      </c>
      <c r="BG67" s="111">
        <f t="shared" si="440"/>
        <v>7.983311779109588E-13</v>
      </c>
      <c r="BH67" s="111" t="str">
        <f t="shared" si="441"/>
        <v>.</v>
      </c>
      <c r="BI67" s="111" t="str">
        <f t="shared" si="442"/>
        <v>.</v>
      </c>
      <c r="BJ67" s="111" t="str">
        <f t="shared" si="443"/>
        <v>.</v>
      </c>
      <c r="BK67" s="111" t="str">
        <f t="shared" si="444"/>
        <v>.</v>
      </c>
      <c r="BL67" s="111" t="str">
        <f t="shared" si="445"/>
        <v>.</v>
      </c>
      <c r="BM67" s="111" t="str">
        <f t="shared" si="446"/>
        <v>.</v>
      </c>
      <c r="BN67" s="111" t="str">
        <f t="shared" si="447"/>
        <v>.</v>
      </c>
      <c r="BO67" s="111" t="str">
        <f t="shared" si="286"/>
        <v>.</v>
      </c>
      <c r="BP67" s="60">
        <f>IFERROR(BP5/$B53,".")</f>
        <v>1252612985273.5554</v>
      </c>
      <c r="BQ67" s="189">
        <f>IFERROR(BQ5/$B53,0)</f>
        <v>3.6367720995575469E-8</v>
      </c>
      <c r="BR67" s="60" t="str">
        <f>IFERROR(BR5/$B53,".")</f>
        <v>.</v>
      </c>
      <c r="BS67" s="60">
        <f>IFERROR(BS5/$B53,".")</f>
        <v>45568324214.484932</v>
      </c>
      <c r="BT67" s="60">
        <f>IFERROR(BT5/$B53,".")</f>
        <v>45568324214.484932</v>
      </c>
      <c r="BU67" s="189">
        <f>IFERROR(BU5/$B53,0)</f>
        <v>1.3230072821785396E-9</v>
      </c>
    </row>
    <row r="68" spans="1:73" x14ac:dyDescent="0.25">
      <c r="A68" s="77" t="s">
        <v>1075</v>
      </c>
      <c r="B68" s="42">
        <v>0.99999979999999999</v>
      </c>
      <c r="C68" s="170"/>
      <c r="D68" s="60">
        <f t="shared" ref="D68:AF68" si="454">IFERROR(D9/$B54,".")</f>
        <v>3.6621700405871405</v>
      </c>
      <c r="E68" s="60">
        <f t="shared" si="454"/>
        <v>33.116435379004436</v>
      </c>
      <c r="F68" s="60">
        <f t="shared" si="454"/>
        <v>59.934735221895437</v>
      </c>
      <c r="G68" s="60">
        <f t="shared" si="454"/>
        <v>21.659415127519793</v>
      </c>
      <c r="H68" s="60">
        <f t="shared" si="454"/>
        <v>3.7291018266731655</v>
      </c>
      <c r="I68" s="60">
        <f t="shared" si="454"/>
        <v>38.88910482600307</v>
      </c>
      <c r="J68" s="60">
        <f t="shared" si="454"/>
        <v>37.573816824746601</v>
      </c>
      <c r="K68" s="60">
        <f t="shared" si="454"/>
        <v>28.67092583888747</v>
      </c>
      <c r="L68" s="111">
        <f t="shared" si="419"/>
        <v>0.2730621431875605</v>
      </c>
      <c r="M68" s="111">
        <f t="shared" si="420"/>
        <v>3.0196486685701452E-2</v>
      </c>
      <c r="N68" s="111">
        <f t="shared" si="421"/>
        <v>1.668481551303623E-2</v>
      </c>
      <c r="O68" s="111">
        <f t="shared" si="422"/>
        <v>4.616929839113848E-2</v>
      </c>
      <c r="P68" s="111">
        <f t="shared" si="423"/>
        <v>0.26816108716777187</v>
      </c>
      <c r="Q68" s="111">
        <f t="shared" si="424"/>
        <v>2.5714142932170385E-2</v>
      </c>
      <c r="R68" s="111">
        <f t="shared" si="425"/>
        <v>2.661427782714337E-2</v>
      </c>
      <c r="S68" s="111">
        <f t="shared" si="426"/>
        <v>3.4878538824290838E-2</v>
      </c>
      <c r="T68" s="60">
        <f>IFERROR(T9/$B54,".")</f>
        <v>1.3860382883750024</v>
      </c>
      <c r="U68" s="189">
        <f>IFERROR(U9/$B54,0)</f>
        <v>3.1444504249708132E-14</v>
      </c>
      <c r="V68" s="60">
        <f t="shared" si="454"/>
        <v>45065.709170759117</v>
      </c>
      <c r="W68" s="60">
        <f t="shared" si="454"/>
        <v>5735994.8749937043</v>
      </c>
      <c r="X68" s="60">
        <f t="shared" si="454"/>
        <v>0.16943696721115209</v>
      </c>
      <c r="Y68" s="60">
        <f t="shared" si="454"/>
        <v>36.314134645667735</v>
      </c>
      <c r="Z68" s="60" t="str">
        <f t="shared" si="454"/>
        <v>.</v>
      </c>
      <c r="AA68" s="60" t="str">
        <f t="shared" si="454"/>
        <v>.</v>
      </c>
      <c r="AB68" s="60">
        <f t="shared" si="454"/>
        <v>1161.0514675700772</v>
      </c>
      <c r="AC68" s="60">
        <f t="shared" si="454"/>
        <v>245.82239241429502</v>
      </c>
      <c r="AD68" s="60" t="str">
        <f t="shared" si="454"/>
        <v>.</v>
      </c>
      <c r="AE68" s="60">
        <f t="shared" si="454"/>
        <v>1202.362138391891</v>
      </c>
      <c r="AF68" s="60" t="str">
        <f t="shared" si="454"/>
        <v>.</v>
      </c>
      <c r="AG68" s="111">
        <f t="shared" si="427"/>
        <v>2.2189820562035001E-5</v>
      </c>
      <c r="AH68" s="111">
        <f t="shared" si="428"/>
        <v>1.7433767320112844E-7</v>
      </c>
      <c r="AI68" s="111">
        <f t="shared" si="429"/>
        <v>5.9018997829074777</v>
      </c>
      <c r="AJ68" s="111">
        <f t="shared" si="430"/>
        <v>2.7537486704761659E-2</v>
      </c>
      <c r="AK68" s="111" t="str">
        <f t="shared" si="431"/>
        <v>.</v>
      </c>
      <c r="AL68" s="111" t="str">
        <f t="shared" si="432"/>
        <v>.</v>
      </c>
      <c r="AM68" s="111">
        <f t="shared" si="433"/>
        <v>8.6128826148668841E-4</v>
      </c>
      <c r="AN68" s="111">
        <f t="shared" si="434"/>
        <v>4.0679776572780935E-3</v>
      </c>
      <c r="AO68" s="111" t="str">
        <f t="shared" si="435"/>
        <v>.</v>
      </c>
      <c r="AP68" s="111">
        <f t="shared" si="436"/>
        <v>8.3169618209823052E-4</v>
      </c>
      <c r="AQ68" s="111" t="str">
        <f t="shared" si="274"/>
        <v>.</v>
      </c>
      <c r="AR68" s="60">
        <f>IFERROR(AR9/$B54,".")</f>
        <v>0.16848573424475924</v>
      </c>
      <c r="AS68" s="189">
        <f>IFERROR(AS9/$B54,0)</f>
        <v>3.8223694330160731E-15</v>
      </c>
      <c r="AT68" s="60">
        <f>IFERROR(AT9/$B54,".")</f>
        <v>2311.5774106321583</v>
      </c>
      <c r="AU68" s="60">
        <f>IFERROR(AU9,".")</f>
        <v>10.364378106107441</v>
      </c>
      <c r="AV68" s="60">
        <f t="shared" ref="AV68:BD68" si="455">IFERROR(AV9/$B54,".")</f>
        <v>2033.4630451237058</v>
      </c>
      <c r="AW68" s="60">
        <f t="shared" si="455"/>
        <v>505.31249930833479</v>
      </c>
      <c r="AX68" s="60" t="str">
        <f t="shared" si="455"/>
        <v>.</v>
      </c>
      <c r="AY68" s="60" t="str">
        <f t="shared" si="455"/>
        <v>.</v>
      </c>
      <c r="AZ68" s="60">
        <f t="shared" si="455"/>
        <v>204334.10497660181</v>
      </c>
      <c r="BA68" s="60">
        <f t="shared" si="455"/>
        <v>41749.726972536526</v>
      </c>
      <c r="BB68" s="60" t="str">
        <f t="shared" si="455"/>
        <v>.</v>
      </c>
      <c r="BC68" s="60">
        <f t="shared" si="455"/>
        <v>2504.9211216497733</v>
      </c>
      <c r="BD68" s="60" t="str">
        <f t="shared" si="455"/>
        <v>.</v>
      </c>
      <c r="BE68" s="111">
        <f t="shared" si="438"/>
        <v>4.3260502347897801E-4</v>
      </c>
      <c r="BF68" s="111">
        <f t="shared" si="439"/>
        <v>9.6484322528789995E-2</v>
      </c>
      <c r="BG68" s="111">
        <f t="shared" si="440"/>
        <v>4.9177190723874941E-4</v>
      </c>
      <c r="BH68" s="111">
        <f t="shared" si="441"/>
        <v>1.9789734102536294E-3</v>
      </c>
      <c r="BI68" s="111" t="str">
        <f t="shared" si="442"/>
        <v>.</v>
      </c>
      <c r="BJ68" s="111" t="str">
        <f t="shared" si="443"/>
        <v>.</v>
      </c>
      <c r="BK68" s="111">
        <f t="shared" si="444"/>
        <v>4.8939456294606793E-6</v>
      </c>
      <c r="BL68" s="111">
        <f t="shared" si="445"/>
        <v>2.3952252446053408E-5</v>
      </c>
      <c r="BM68" s="111" t="str">
        <f t="shared" si="446"/>
        <v>.</v>
      </c>
      <c r="BN68" s="111">
        <f t="shared" si="447"/>
        <v>3.9921416740715059E-4</v>
      </c>
      <c r="BO68" s="111" t="str">
        <f t="shared" si="286"/>
        <v>.</v>
      </c>
      <c r="BP68" s="60">
        <f>IFERROR(BP9/$B54,".")</f>
        <v>10.018462630216145</v>
      </c>
      <c r="BQ68" s="189">
        <f>IFERROR(BQ9/$B54,0)</f>
        <v>2.2728491225210748E-16</v>
      </c>
      <c r="BR68" s="60">
        <f>IFERROR(BR9/$B54,".")</f>
        <v>4.2196771947593303</v>
      </c>
      <c r="BS68" s="60">
        <f>IFERROR(BS9/$B54,".")</f>
        <v>125.61734644610007</v>
      </c>
      <c r="BT68" s="60">
        <f>IFERROR(BT9/$B54,".")</f>
        <v>4.0825385333153958</v>
      </c>
      <c r="BU68" s="189">
        <f>IFERROR(BU9/$B54,0)</f>
        <v>9.261894230276909E-17</v>
      </c>
    </row>
    <row r="69" spans="1:73" x14ac:dyDescent="0.25">
      <c r="A69" s="77" t="s">
        <v>1076</v>
      </c>
      <c r="B69" s="42">
        <v>1.9999999999999999E-7</v>
      </c>
      <c r="C69" s="170"/>
      <c r="D69" s="60" t="str">
        <f t="shared" ref="D69:AF69" si="456">IFERROR(D24/$B55,".")</f>
        <v>.</v>
      </c>
      <c r="E69" s="60" t="str">
        <f t="shared" si="456"/>
        <v>.</v>
      </c>
      <c r="F69" s="60" t="str">
        <f t="shared" si="456"/>
        <v>.</v>
      </c>
      <c r="G69" s="60" t="str">
        <f t="shared" si="456"/>
        <v>.</v>
      </c>
      <c r="H69" s="60" t="str">
        <f t="shared" si="456"/>
        <v>.</v>
      </c>
      <c r="I69" s="60" t="str">
        <f t="shared" si="456"/>
        <v>.</v>
      </c>
      <c r="J69" s="60" t="str">
        <f t="shared" si="456"/>
        <v>.</v>
      </c>
      <c r="K69" s="60" t="str">
        <f t="shared" si="456"/>
        <v>.</v>
      </c>
      <c r="L69" s="111" t="str">
        <f t="shared" si="419"/>
        <v>.</v>
      </c>
      <c r="M69" s="111" t="str">
        <f t="shared" si="420"/>
        <v>.</v>
      </c>
      <c r="N69" s="111" t="str">
        <f t="shared" si="421"/>
        <v>.</v>
      </c>
      <c r="O69" s="111" t="str">
        <f t="shared" si="422"/>
        <v>.</v>
      </c>
      <c r="P69" s="111" t="str">
        <f t="shared" si="423"/>
        <v>.</v>
      </c>
      <c r="Q69" s="111" t="str">
        <f t="shared" si="424"/>
        <v>.</v>
      </c>
      <c r="R69" s="111" t="str">
        <f t="shared" si="425"/>
        <v>.</v>
      </c>
      <c r="S69" s="111" t="str">
        <f t="shared" si="426"/>
        <v>.</v>
      </c>
      <c r="T69" s="60" t="str">
        <f>IFERROR(T24/$B55,".")</f>
        <v>.</v>
      </c>
      <c r="U69" s="189">
        <f>IFERROR(U24/$B55,0)</f>
        <v>0</v>
      </c>
      <c r="V69" s="60" t="str">
        <f t="shared" si="456"/>
        <v>.</v>
      </c>
      <c r="W69" s="60" t="str">
        <f t="shared" si="456"/>
        <v>.</v>
      </c>
      <c r="X69" s="60">
        <f t="shared" si="456"/>
        <v>1816988166.5639906</v>
      </c>
      <c r="Y69" s="60" t="str">
        <f t="shared" si="456"/>
        <v>.</v>
      </c>
      <c r="Z69" s="60" t="str">
        <f t="shared" si="456"/>
        <v>.</v>
      </c>
      <c r="AA69" s="60" t="str">
        <f t="shared" si="456"/>
        <v>.</v>
      </c>
      <c r="AB69" s="60" t="str">
        <f t="shared" si="456"/>
        <v>.</v>
      </c>
      <c r="AC69" s="60" t="str">
        <f t="shared" si="456"/>
        <v>.</v>
      </c>
      <c r="AD69" s="60" t="str">
        <f t="shared" si="456"/>
        <v>.</v>
      </c>
      <c r="AE69" s="60" t="str">
        <f t="shared" si="456"/>
        <v>.</v>
      </c>
      <c r="AF69" s="60" t="str">
        <f t="shared" si="456"/>
        <v>.</v>
      </c>
      <c r="AG69" s="111" t="str">
        <f t="shared" si="427"/>
        <v>.</v>
      </c>
      <c r="AH69" s="111" t="str">
        <f t="shared" si="428"/>
        <v>.</v>
      </c>
      <c r="AI69" s="111">
        <f t="shared" si="429"/>
        <v>5.5036131682191784E-10</v>
      </c>
      <c r="AJ69" s="111" t="str">
        <f t="shared" si="430"/>
        <v>.</v>
      </c>
      <c r="AK69" s="111" t="str">
        <f t="shared" si="431"/>
        <v>.</v>
      </c>
      <c r="AL69" s="111" t="str">
        <f t="shared" si="432"/>
        <v>.</v>
      </c>
      <c r="AM69" s="111" t="str">
        <f t="shared" si="433"/>
        <v>.</v>
      </c>
      <c r="AN69" s="111" t="str">
        <f t="shared" si="434"/>
        <v>.</v>
      </c>
      <c r="AO69" s="111" t="str">
        <f t="shared" si="435"/>
        <v>.</v>
      </c>
      <c r="AP69" s="111" t="str">
        <f t="shared" si="436"/>
        <v>.</v>
      </c>
      <c r="AQ69" s="111" t="str">
        <f t="shared" si="274"/>
        <v>.</v>
      </c>
      <c r="AR69" s="60">
        <f>IFERROR(AR24/$B55,".")</f>
        <v>1816988166.5639906</v>
      </c>
      <c r="AS69" s="189">
        <f>IFERROR(AS24/$B55,0)</f>
        <v>1.2309149920875534E-9</v>
      </c>
      <c r="AT69" s="60" t="str">
        <f>IFERROR(AT24/$B55,".")</f>
        <v>.</v>
      </c>
      <c r="AU69" s="60" t="str">
        <f>IFERROR(AU24,".")</f>
        <v>.</v>
      </c>
      <c r="AV69" s="60">
        <f t="shared" ref="AV69:BD69" si="457">IFERROR(AV24/$B55,".")</f>
        <v>21187635068903.172</v>
      </c>
      <c r="AW69" s="60" t="str">
        <f t="shared" si="457"/>
        <v>.</v>
      </c>
      <c r="AX69" s="60" t="str">
        <f t="shared" si="457"/>
        <v>.</v>
      </c>
      <c r="AY69" s="60" t="str">
        <f t="shared" si="457"/>
        <v>.</v>
      </c>
      <c r="AZ69" s="60" t="str">
        <f t="shared" si="457"/>
        <v>.</v>
      </c>
      <c r="BA69" s="60" t="str">
        <f t="shared" si="457"/>
        <v>.</v>
      </c>
      <c r="BB69" s="60" t="str">
        <f t="shared" si="457"/>
        <v>.</v>
      </c>
      <c r="BC69" s="60" t="str">
        <f t="shared" si="457"/>
        <v>.</v>
      </c>
      <c r="BD69" s="60" t="str">
        <f t="shared" si="457"/>
        <v>.</v>
      </c>
      <c r="BE69" s="111" t="str">
        <f t="shared" si="438"/>
        <v>.</v>
      </c>
      <c r="BF69" s="111" t="str">
        <f t="shared" si="439"/>
        <v>.</v>
      </c>
      <c r="BG69" s="111">
        <f t="shared" si="440"/>
        <v>4.7197339238095882E-14</v>
      </c>
      <c r="BH69" s="111" t="str">
        <f t="shared" si="441"/>
        <v>.</v>
      </c>
      <c r="BI69" s="111" t="str">
        <f t="shared" si="442"/>
        <v>.</v>
      </c>
      <c r="BJ69" s="111" t="str">
        <f t="shared" si="443"/>
        <v>.</v>
      </c>
      <c r="BK69" s="111" t="str">
        <f t="shared" si="444"/>
        <v>.</v>
      </c>
      <c r="BL69" s="111" t="str">
        <f t="shared" si="445"/>
        <v>.</v>
      </c>
      <c r="BM69" s="111" t="str">
        <f t="shared" si="446"/>
        <v>.</v>
      </c>
      <c r="BN69" s="111" t="str">
        <f t="shared" si="447"/>
        <v>.</v>
      </c>
      <c r="BO69" s="111" t="str">
        <f t="shared" si="286"/>
        <v>.</v>
      </c>
      <c r="BP69" s="60">
        <f>IFERROR(BP24/$B55,".")</f>
        <v>21187635068903.172</v>
      </c>
      <c r="BQ69" s="189">
        <f>IFERROR(BQ24/$B55,0)</f>
        <v>1.4353520916160806E-8</v>
      </c>
      <c r="BR69" s="60" t="str">
        <f>IFERROR(BR24/$B55,".")</f>
        <v>.</v>
      </c>
      <c r="BS69" s="60">
        <f>IFERROR(BS24/$B55,".")</f>
        <v>1313439933241.0366</v>
      </c>
      <c r="BT69" s="60">
        <f>IFERROR(BT24/$B55,".")</f>
        <v>1313439933241.0366</v>
      </c>
      <c r="BU69" s="189">
        <f>IFERROR(BU24/$B55,0)</f>
        <v>8.8978725056321336E-10</v>
      </c>
    </row>
    <row r="70" spans="1:73" x14ac:dyDescent="0.25">
      <c r="A70" s="77" t="s">
        <v>1077</v>
      </c>
      <c r="B70" s="42">
        <v>0.99979000004200003</v>
      </c>
      <c r="C70" s="170"/>
      <c r="D70" s="60" t="str">
        <f t="shared" ref="D70:AF70" si="458">IFERROR(D20/$B56,".")</f>
        <v>.</v>
      </c>
      <c r="E70" s="60" t="str">
        <f t="shared" si="458"/>
        <v>.</v>
      </c>
      <c r="F70" s="60" t="str">
        <f t="shared" si="458"/>
        <v>.</v>
      </c>
      <c r="G70" s="60" t="str">
        <f t="shared" si="458"/>
        <v>.</v>
      </c>
      <c r="H70" s="60" t="str">
        <f t="shared" si="458"/>
        <v>.</v>
      </c>
      <c r="I70" s="60" t="str">
        <f t="shared" si="458"/>
        <v>.</v>
      </c>
      <c r="J70" s="60" t="str">
        <f t="shared" si="458"/>
        <v>.</v>
      </c>
      <c r="K70" s="60" t="str">
        <f t="shared" si="458"/>
        <v>.</v>
      </c>
      <c r="L70" s="111" t="str">
        <f t="shared" si="419"/>
        <v>.</v>
      </c>
      <c r="M70" s="111" t="str">
        <f t="shared" si="420"/>
        <v>.</v>
      </c>
      <c r="N70" s="111" t="str">
        <f t="shared" si="421"/>
        <v>.</v>
      </c>
      <c r="O70" s="111" t="str">
        <f t="shared" si="422"/>
        <v>.</v>
      </c>
      <c r="P70" s="111" t="str">
        <f t="shared" si="423"/>
        <v>.</v>
      </c>
      <c r="Q70" s="111" t="str">
        <f t="shared" si="424"/>
        <v>.</v>
      </c>
      <c r="R70" s="111" t="str">
        <f t="shared" si="425"/>
        <v>.</v>
      </c>
      <c r="S70" s="111" t="str">
        <f t="shared" si="426"/>
        <v>.</v>
      </c>
      <c r="T70" s="60" t="str">
        <f>IFERROR(T20/$B56,".")</f>
        <v>.</v>
      </c>
      <c r="U70" s="189">
        <f>IFERROR(U20/$B56,0)</f>
        <v>0</v>
      </c>
      <c r="V70" s="60" t="str">
        <f t="shared" si="458"/>
        <v>.</v>
      </c>
      <c r="W70" s="60" t="str">
        <f t="shared" si="458"/>
        <v>.</v>
      </c>
      <c r="X70" s="60">
        <f t="shared" si="458"/>
        <v>3224.5939114855114</v>
      </c>
      <c r="Y70" s="60" t="str">
        <f t="shared" si="458"/>
        <v>.</v>
      </c>
      <c r="Z70" s="60" t="str">
        <f t="shared" si="458"/>
        <v>.</v>
      </c>
      <c r="AA70" s="60" t="str">
        <f t="shared" si="458"/>
        <v>.</v>
      </c>
      <c r="AB70" s="60" t="str">
        <f t="shared" si="458"/>
        <v>.</v>
      </c>
      <c r="AC70" s="60" t="str">
        <f t="shared" si="458"/>
        <v>.</v>
      </c>
      <c r="AD70" s="60" t="str">
        <f t="shared" si="458"/>
        <v>.</v>
      </c>
      <c r="AE70" s="60" t="str">
        <f t="shared" si="458"/>
        <v>.</v>
      </c>
      <c r="AF70" s="60" t="str">
        <f t="shared" si="458"/>
        <v>.</v>
      </c>
      <c r="AG70" s="111" t="str">
        <f t="shared" si="427"/>
        <v>.</v>
      </c>
      <c r="AH70" s="111" t="str">
        <f t="shared" si="428"/>
        <v>.</v>
      </c>
      <c r="AI70" s="111">
        <f t="shared" si="429"/>
        <v>3.1011656892303638E-4</v>
      </c>
      <c r="AJ70" s="111" t="str">
        <f t="shared" si="430"/>
        <v>.</v>
      </c>
      <c r="AK70" s="111" t="str">
        <f t="shared" si="431"/>
        <v>.</v>
      </c>
      <c r="AL70" s="111" t="str">
        <f t="shared" si="432"/>
        <v>.</v>
      </c>
      <c r="AM70" s="111" t="str">
        <f t="shared" si="433"/>
        <v>.</v>
      </c>
      <c r="AN70" s="111" t="str">
        <f t="shared" si="434"/>
        <v>.</v>
      </c>
      <c r="AO70" s="111" t="str">
        <f t="shared" si="435"/>
        <v>.</v>
      </c>
      <c r="AP70" s="111" t="str">
        <f t="shared" si="436"/>
        <v>.</v>
      </c>
      <c r="AQ70" s="111" t="str">
        <f t="shared" si="274"/>
        <v>.</v>
      </c>
      <c r="AR70" s="60">
        <f>IFERROR(AR20/$B56,".")</f>
        <v>3224.5939114855114</v>
      </c>
      <c r="AS70" s="189">
        <f>IFERROR(AS20/$B56,0)</f>
        <v>1.006648361144457E-17</v>
      </c>
      <c r="AT70" s="60" t="str">
        <f>IFERROR(AT20/$B56,".")</f>
        <v>.</v>
      </c>
      <c r="AU70" s="60" t="str">
        <f>IFERROR(AU20,".")</f>
        <v>.</v>
      </c>
      <c r="AV70" s="60">
        <f t="shared" ref="AV70:BD70" si="459">IFERROR(AV20/$B56,".")</f>
        <v>38058204.410682462</v>
      </c>
      <c r="AW70" s="60" t="str">
        <f t="shared" si="459"/>
        <v>.</v>
      </c>
      <c r="AX70" s="60" t="str">
        <f t="shared" si="459"/>
        <v>.</v>
      </c>
      <c r="AY70" s="60" t="str">
        <f t="shared" si="459"/>
        <v>.</v>
      </c>
      <c r="AZ70" s="60" t="str">
        <f t="shared" si="459"/>
        <v>.</v>
      </c>
      <c r="BA70" s="60" t="str">
        <f t="shared" si="459"/>
        <v>.</v>
      </c>
      <c r="BB70" s="60" t="str">
        <f t="shared" si="459"/>
        <v>.</v>
      </c>
      <c r="BC70" s="60" t="str">
        <f t="shared" si="459"/>
        <v>.</v>
      </c>
      <c r="BD70" s="60" t="str">
        <f t="shared" si="459"/>
        <v>.</v>
      </c>
      <c r="BE70" s="111" t="str">
        <f t="shared" si="438"/>
        <v>.</v>
      </c>
      <c r="BF70" s="111" t="str">
        <f t="shared" si="439"/>
        <v>.</v>
      </c>
      <c r="BG70" s="111">
        <f t="shared" si="440"/>
        <v>2.6275543354833434E-8</v>
      </c>
      <c r="BH70" s="111" t="str">
        <f t="shared" si="441"/>
        <v>.</v>
      </c>
      <c r="BI70" s="111" t="str">
        <f t="shared" si="442"/>
        <v>.</v>
      </c>
      <c r="BJ70" s="111" t="str">
        <f t="shared" si="443"/>
        <v>.</v>
      </c>
      <c r="BK70" s="111" t="str">
        <f t="shared" si="444"/>
        <v>.</v>
      </c>
      <c r="BL70" s="111" t="str">
        <f t="shared" si="445"/>
        <v>.</v>
      </c>
      <c r="BM70" s="111" t="str">
        <f t="shared" si="446"/>
        <v>.</v>
      </c>
      <c r="BN70" s="111" t="str">
        <f t="shared" si="447"/>
        <v>.</v>
      </c>
      <c r="BO70" s="111" t="str">
        <f t="shared" si="286"/>
        <v>.</v>
      </c>
      <c r="BP70" s="60">
        <f>IFERROR(BP20/$B56,".")</f>
        <v>38058204.410682462</v>
      </c>
      <c r="BQ70" s="189">
        <f>IFERROR(BQ20/$B56,0)</f>
        <v>1.1880946919131581E-16</v>
      </c>
      <c r="BR70" s="60" t="str">
        <f>IFERROR(BR20/$B56,".")</f>
        <v>.</v>
      </c>
      <c r="BS70" s="60">
        <f>IFERROR(BS20/$B56,".")</f>
        <v>2350859.8768014573</v>
      </c>
      <c r="BT70" s="60">
        <f>IFERROR(BT20/$B56,".")</f>
        <v>2350859.8768014573</v>
      </c>
      <c r="BU70" s="189">
        <f>IFERROR(BU20/$B56,0)</f>
        <v>7.3388752420370644E-18</v>
      </c>
    </row>
    <row r="71" spans="1:73" x14ac:dyDescent="0.25">
      <c r="A71" s="169" t="s">
        <v>1078</v>
      </c>
      <c r="B71" s="42">
        <v>2.0999995799999999E-4</v>
      </c>
      <c r="C71" s="170"/>
      <c r="D71" s="60" t="str">
        <f t="shared" ref="D71:AF71" si="460">IFERROR(D29/$B57,".")</f>
        <v>.</v>
      </c>
      <c r="E71" s="60" t="str">
        <f t="shared" si="460"/>
        <v>.</v>
      </c>
      <c r="F71" s="60" t="str">
        <f t="shared" si="460"/>
        <v>.</v>
      </c>
      <c r="G71" s="60" t="str">
        <f t="shared" si="460"/>
        <v>.</v>
      </c>
      <c r="H71" s="60" t="str">
        <f t="shared" si="460"/>
        <v>.</v>
      </c>
      <c r="I71" s="60" t="str">
        <f t="shared" si="460"/>
        <v>.</v>
      </c>
      <c r="J71" s="60" t="str">
        <f t="shared" si="460"/>
        <v>.</v>
      </c>
      <c r="K71" s="60" t="str">
        <f t="shared" si="460"/>
        <v>.</v>
      </c>
      <c r="L71" s="111" t="str">
        <f t="shared" si="419"/>
        <v>.</v>
      </c>
      <c r="M71" s="111" t="str">
        <f t="shared" si="420"/>
        <v>.</v>
      </c>
      <c r="N71" s="111" t="str">
        <f t="shared" si="421"/>
        <v>.</v>
      </c>
      <c r="O71" s="111" t="str">
        <f t="shared" si="422"/>
        <v>.</v>
      </c>
      <c r="P71" s="111" t="str">
        <f t="shared" si="423"/>
        <v>.</v>
      </c>
      <c r="Q71" s="111" t="str">
        <f t="shared" si="424"/>
        <v>.</v>
      </c>
      <c r="R71" s="111" t="str">
        <f t="shared" si="425"/>
        <v>.</v>
      </c>
      <c r="S71" s="111" t="str">
        <f t="shared" si="426"/>
        <v>.</v>
      </c>
      <c r="T71" s="60" t="str">
        <f>IFERROR(T29/$B57,".")</f>
        <v>.</v>
      </c>
      <c r="U71" s="189">
        <f>IFERROR(U29/$B57,0)</f>
        <v>0</v>
      </c>
      <c r="V71" s="60" t="str">
        <f t="shared" si="460"/>
        <v>.</v>
      </c>
      <c r="W71" s="60" t="str">
        <f t="shared" si="460"/>
        <v>.</v>
      </c>
      <c r="X71" s="60">
        <f t="shared" si="460"/>
        <v>439.36089175020351</v>
      </c>
      <c r="Y71" s="60" t="str">
        <f t="shared" si="460"/>
        <v>.</v>
      </c>
      <c r="Z71" s="60" t="str">
        <f t="shared" si="460"/>
        <v>.</v>
      </c>
      <c r="AA71" s="60" t="str">
        <f t="shared" si="460"/>
        <v>.</v>
      </c>
      <c r="AB71" s="60" t="str">
        <f t="shared" si="460"/>
        <v>.</v>
      </c>
      <c r="AC71" s="60" t="str">
        <f t="shared" si="460"/>
        <v>.</v>
      </c>
      <c r="AD71" s="60" t="str">
        <f t="shared" si="460"/>
        <v>.</v>
      </c>
      <c r="AE71" s="60" t="str">
        <f t="shared" si="460"/>
        <v>.</v>
      </c>
      <c r="AF71" s="60" t="str">
        <f t="shared" si="460"/>
        <v>.</v>
      </c>
      <c r="AG71" s="111" t="str">
        <f t="shared" si="427"/>
        <v>.</v>
      </c>
      <c r="AH71" s="111" t="str">
        <f t="shared" si="428"/>
        <v>.</v>
      </c>
      <c r="AI71" s="111">
        <f t="shared" si="429"/>
        <v>2.2760332537028467E-3</v>
      </c>
      <c r="AJ71" s="111" t="str">
        <f t="shared" si="430"/>
        <v>.</v>
      </c>
      <c r="AK71" s="111" t="str">
        <f t="shared" si="431"/>
        <v>.</v>
      </c>
      <c r="AL71" s="111" t="str">
        <f t="shared" si="432"/>
        <v>.</v>
      </c>
      <c r="AM71" s="111" t="str">
        <f t="shared" si="433"/>
        <v>.</v>
      </c>
      <c r="AN71" s="111" t="str">
        <f t="shared" si="434"/>
        <v>.</v>
      </c>
      <c r="AO71" s="111" t="str">
        <f t="shared" si="435"/>
        <v>.</v>
      </c>
      <c r="AP71" s="111" t="str">
        <f t="shared" si="436"/>
        <v>.</v>
      </c>
      <c r="AQ71" s="111" t="str">
        <f t="shared" si="274"/>
        <v>.</v>
      </c>
      <c r="AR71" s="60">
        <f>IFERROR(AR29/$B57,".")</f>
        <v>439.36089175020351</v>
      </c>
      <c r="AS71" s="189">
        <f>IFERROR(AS29/$B57,0)</f>
        <v>6.3897919644949737E-13</v>
      </c>
      <c r="AT71" s="60" t="str">
        <f>IFERROR(AT29/$B57,".")</f>
        <v>.</v>
      </c>
      <c r="AU71" s="60" t="str">
        <f>IFERROR(AU29,".")</f>
        <v>.</v>
      </c>
      <c r="AV71" s="60">
        <f t="shared" ref="AV71:BD71" si="461">IFERROR(AV29/$B57,".")</f>
        <v>5232302.572248131</v>
      </c>
      <c r="AW71" s="60" t="str">
        <f t="shared" si="461"/>
        <v>.</v>
      </c>
      <c r="AX71" s="60" t="str">
        <f t="shared" si="461"/>
        <v>.</v>
      </c>
      <c r="AY71" s="60" t="str">
        <f t="shared" si="461"/>
        <v>.</v>
      </c>
      <c r="AZ71" s="60" t="str">
        <f t="shared" si="461"/>
        <v>.</v>
      </c>
      <c r="BA71" s="60" t="str">
        <f t="shared" si="461"/>
        <v>.</v>
      </c>
      <c r="BB71" s="60" t="str">
        <f t="shared" si="461"/>
        <v>.</v>
      </c>
      <c r="BC71" s="60" t="str">
        <f t="shared" si="461"/>
        <v>.</v>
      </c>
      <c r="BD71" s="60" t="str">
        <f t="shared" si="461"/>
        <v>.</v>
      </c>
      <c r="BE71" s="111" t="str">
        <f t="shared" si="438"/>
        <v>.</v>
      </c>
      <c r="BF71" s="111" t="str">
        <f t="shared" si="439"/>
        <v>.</v>
      </c>
      <c r="BG71" s="111">
        <f t="shared" si="440"/>
        <v>1.9112044576778675E-7</v>
      </c>
      <c r="BH71" s="111" t="str">
        <f t="shared" si="441"/>
        <v>.</v>
      </c>
      <c r="BI71" s="111" t="str">
        <f t="shared" si="442"/>
        <v>.</v>
      </c>
      <c r="BJ71" s="111" t="str">
        <f t="shared" si="443"/>
        <v>.</v>
      </c>
      <c r="BK71" s="111" t="str">
        <f t="shared" si="444"/>
        <v>.</v>
      </c>
      <c r="BL71" s="111" t="str">
        <f t="shared" si="445"/>
        <v>.</v>
      </c>
      <c r="BM71" s="111" t="str">
        <f t="shared" si="446"/>
        <v>.</v>
      </c>
      <c r="BN71" s="111" t="str">
        <f t="shared" si="447"/>
        <v>.</v>
      </c>
      <c r="BO71" s="111" t="str">
        <f t="shared" si="286"/>
        <v>.</v>
      </c>
      <c r="BP71" s="60">
        <f>IFERROR(BP29/$B57,".")</f>
        <v>5232302.572248131</v>
      </c>
      <c r="BQ71" s="189">
        <f>IFERROR(BQ29/$B57,0)</f>
        <v>7.6095359326987731E-12</v>
      </c>
      <c r="BR71" s="60" t="str">
        <f>IFERROR(BR29/$B57,".")</f>
        <v>.</v>
      </c>
      <c r="BS71" s="60">
        <f>IFERROR(BS29/$B57,".")</f>
        <v>322200.33666369825</v>
      </c>
      <c r="BT71" s="60">
        <f>IFERROR(BT29/$B57,".")</f>
        <v>322200.33666369825</v>
      </c>
      <c r="BU71" s="189">
        <f>IFERROR(BU29/$B57,0)</f>
        <v>4.6858816085565287E-13</v>
      </c>
    </row>
    <row r="72" spans="1:73" x14ac:dyDescent="0.25">
      <c r="A72" s="169" t="s">
        <v>1079</v>
      </c>
      <c r="B72" s="42">
        <v>1</v>
      </c>
      <c r="C72" s="170"/>
      <c r="D72" s="60">
        <f t="shared" ref="D72:AF72" si="462">IFERROR(D16/$B58,".")</f>
        <v>5.349639479557026E-4</v>
      </c>
      <c r="E72" s="60">
        <f t="shared" si="462"/>
        <v>4.8375959652959665E-3</v>
      </c>
      <c r="F72" s="60">
        <f t="shared" si="462"/>
        <v>8.7551703549091295E-3</v>
      </c>
      <c r="G72" s="60">
        <f t="shared" si="462"/>
        <v>3.1639727534802727E-3</v>
      </c>
      <c r="H72" s="60">
        <f t="shared" si="462"/>
        <v>5.4474123632065419E-4</v>
      </c>
      <c r="I72" s="60">
        <f t="shared" si="462"/>
        <v>5.6808582942932673E-3</v>
      </c>
      <c r="J72" s="60">
        <f t="shared" si="462"/>
        <v>5.4887231246936305E-3</v>
      </c>
      <c r="K72" s="60">
        <f t="shared" si="462"/>
        <v>4.188203034902591E-3</v>
      </c>
      <c r="L72" s="111">
        <f t="shared" si="419"/>
        <v>1869.2848440000007</v>
      </c>
      <c r="M72" s="111">
        <f t="shared" si="420"/>
        <v>206.71424550000003</v>
      </c>
      <c r="N72" s="111">
        <f t="shared" si="421"/>
        <v>114.21822299999999</v>
      </c>
      <c r="O72" s="111">
        <f t="shared" si="422"/>
        <v>316.05834750000002</v>
      </c>
      <c r="P72" s="111">
        <f t="shared" si="423"/>
        <v>1835.733984</v>
      </c>
      <c r="Q72" s="111">
        <f t="shared" si="424"/>
        <v>176.02973850000001</v>
      </c>
      <c r="R72" s="111">
        <f t="shared" si="425"/>
        <v>182.19173699999999</v>
      </c>
      <c r="S72" s="111">
        <f t="shared" si="426"/>
        <v>238.765884</v>
      </c>
      <c r="T72" s="60">
        <f>IFERROR(T16/$B58,".")</f>
        <v>2.0247025849405334E-4</v>
      </c>
      <c r="U72" s="189">
        <f>IFERROR(U16/$B58,0)</f>
        <v>2.642965766277975E-12</v>
      </c>
      <c r="V72" s="60">
        <f t="shared" si="462"/>
        <v>6.5831267877303672</v>
      </c>
      <c r="W72" s="60">
        <f t="shared" si="462"/>
        <v>9409.5903562048788</v>
      </c>
      <c r="X72" s="60">
        <f t="shared" si="462"/>
        <v>739.77375352962497</v>
      </c>
      <c r="Y72" s="60">
        <f t="shared" si="462"/>
        <v>3.1030501659264728E-2</v>
      </c>
      <c r="Z72" s="60" t="str">
        <f t="shared" si="462"/>
        <v>.</v>
      </c>
      <c r="AA72" s="60" t="str">
        <f t="shared" si="462"/>
        <v>.</v>
      </c>
      <c r="AB72" s="60">
        <f t="shared" si="462"/>
        <v>1.2585806875999843</v>
      </c>
      <c r="AC72" s="60">
        <f t="shared" si="462"/>
        <v>0.51522028136417208</v>
      </c>
      <c r="AD72" s="60" t="str">
        <f t="shared" si="462"/>
        <v>.</v>
      </c>
      <c r="AE72" s="60">
        <f t="shared" si="462"/>
        <v>3.2932338748161788E-2</v>
      </c>
      <c r="AF72" s="60">
        <f t="shared" si="462"/>
        <v>2.8555929783426758E-2</v>
      </c>
      <c r="AG72" s="111">
        <f>IFERROR(1/V72,".")</f>
        <v>0.15190350000000002</v>
      </c>
      <c r="AH72" s="111">
        <f t="shared" si="428"/>
        <v>1.0627455204153275E-4</v>
      </c>
      <c r="AI72" s="111">
        <f t="shared" si="429"/>
        <v>1.3517646378082189E-3</v>
      </c>
      <c r="AJ72" s="111">
        <f t="shared" si="430"/>
        <v>32.226356214947998</v>
      </c>
      <c r="AK72" s="111" t="str">
        <f t="shared" si="431"/>
        <v>.</v>
      </c>
      <c r="AL72" s="111" t="str">
        <f t="shared" si="432"/>
        <v>.</v>
      </c>
      <c r="AM72" s="111">
        <f t="shared" si="433"/>
        <v>0.79454580056120394</v>
      </c>
      <c r="AN72" s="111">
        <f t="shared" si="434"/>
        <v>1.9409173826625277</v>
      </c>
      <c r="AO72" s="111" t="str">
        <f t="shared" si="435"/>
        <v>.</v>
      </c>
      <c r="AP72" s="111">
        <f t="shared" si="436"/>
        <v>30.365289499999992</v>
      </c>
      <c r="AQ72" s="111">
        <f>IFERROR(1/AF72,".")</f>
        <v>35.018996319999999</v>
      </c>
      <c r="AR72" s="60">
        <f>IFERROR(AR16/$B58,".")</f>
        <v>9.9503015514930595E-3</v>
      </c>
      <c r="AS72" s="189">
        <f>IFERROR(AS16/$B58,0)</f>
        <v>1.298872563325698E-10</v>
      </c>
      <c r="AT72" s="60">
        <f>IFERROR(AT16/$B58,".")</f>
        <v>0.33767153460704386</v>
      </c>
      <c r="AU72" s="60" t="str">
        <f>IFERROR(AU16,".")</f>
        <v>.</v>
      </c>
      <c r="AV72" s="60">
        <f t="shared" ref="AV72:BD72" si="463">IFERROR(AV16/$B58,".")</f>
        <v>2872965.562554026</v>
      </c>
      <c r="AW72" s="60">
        <f t="shared" si="463"/>
        <v>0.12561713078062087</v>
      </c>
      <c r="AX72" s="60" t="str">
        <f t="shared" si="463"/>
        <v>.</v>
      </c>
      <c r="AY72" s="60" t="str">
        <f t="shared" si="463"/>
        <v>.</v>
      </c>
      <c r="AZ72" s="60">
        <f t="shared" si="463"/>
        <v>85.282284460384702</v>
      </c>
      <c r="BA72" s="60">
        <f t="shared" si="463"/>
        <v>32.098596877017954</v>
      </c>
      <c r="BB72" s="60" t="str">
        <f t="shared" si="463"/>
        <v>.</v>
      </c>
      <c r="BC72" s="60">
        <f t="shared" si="463"/>
        <v>0.2195489249877452</v>
      </c>
      <c r="BD72" s="60">
        <f t="shared" si="463"/>
        <v>0.19037286522284505</v>
      </c>
      <c r="BE72" s="111">
        <f t="shared" si="438"/>
        <v>2.9614578000000003</v>
      </c>
      <c r="BF72" s="111" t="str">
        <f t="shared" si="439"/>
        <v>.</v>
      </c>
      <c r="BG72" s="111">
        <f t="shared" si="440"/>
        <v>3.4807239356917805E-7</v>
      </c>
      <c r="BH72" s="111">
        <f t="shared" si="441"/>
        <v>7.9606976674734833</v>
      </c>
      <c r="BI72" s="111" t="str">
        <f t="shared" si="442"/>
        <v>.</v>
      </c>
      <c r="BJ72" s="111" t="str">
        <f t="shared" si="443"/>
        <v>.</v>
      </c>
      <c r="BK72" s="111">
        <f t="shared" si="444"/>
        <v>1.1725764692250002E-2</v>
      </c>
      <c r="BL72" s="111">
        <f t="shared" si="445"/>
        <v>3.1154009747883495E-2</v>
      </c>
      <c r="BM72" s="111" t="str">
        <f t="shared" si="446"/>
        <v>.</v>
      </c>
      <c r="BN72" s="111">
        <f t="shared" si="447"/>
        <v>4.5547934249999997</v>
      </c>
      <c r="BO72" s="111">
        <f t="shared" si="286"/>
        <v>5.2528494480000001</v>
      </c>
      <c r="BP72" s="60">
        <f>IFERROR(BP16/$B58,".")</f>
        <v>4.8140156878751061E-2</v>
      </c>
      <c r="BQ72" s="189">
        <f>IFERROR(BQ16/$B58,0)</f>
        <v>6.2840235183246483E-13</v>
      </c>
      <c r="BR72" s="60">
        <f>IFERROR(BR16/$B58,".")</f>
        <v>6.9221529487765868E-3</v>
      </c>
      <c r="BS72" s="60">
        <f>IFERROR(BS16/$B58,".")</f>
        <v>189626.14747428973</v>
      </c>
      <c r="BT72" s="60">
        <f>IFERROR(BT16/$B58,".")</f>
        <v>6.9221526960888628E-3</v>
      </c>
      <c r="BU72" s="189">
        <f>IFERROR(BU16/$B58,0)</f>
        <v>9.0359012433665574E-14</v>
      </c>
    </row>
    <row r="73" spans="1:73" x14ac:dyDescent="0.25">
      <c r="A73" s="169" t="s">
        <v>1080</v>
      </c>
      <c r="B73" s="42">
        <v>1</v>
      </c>
      <c r="C73" s="170"/>
      <c r="D73" s="60">
        <f t="shared" ref="D73:AF73" si="464">IFERROR(D7/$B59,".")</f>
        <v>0.30314623717489825</v>
      </c>
      <c r="E73" s="60">
        <f t="shared" si="464"/>
        <v>2.7413043803343813</v>
      </c>
      <c r="F73" s="60">
        <f t="shared" si="464"/>
        <v>4.9612632011151732</v>
      </c>
      <c r="G73" s="60">
        <f t="shared" si="464"/>
        <v>1.7929178936388217</v>
      </c>
      <c r="H73" s="60">
        <f t="shared" si="464"/>
        <v>0.30868670058170405</v>
      </c>
      <c r="I73" s="60">
        <f t="shared" si="464"/>
        <v>3.2191530334328515</v>
      </c>
      <c r="J73" s="60">
        <f t="shared" si="464"/>
        <v>3.1102764373263905</v>
      </c>
      <c r="K73" s="60">
        <f t="shared" si="464"/>
        <v>2.3733150531114684</v>
      </c>
      <c r="L73" s="111">
        <f t="shared" si="419"/>
        <v>3.29873796</v>
      </c>
      <c r="M73" s="111">
        <f t="shared" si="420"/>
        <v>0.364789845</v>
      </c>
      <c r="N73" s="111">
        <f t="shared" si="421"/>
        <v>0.20156157</v>
      </c>
      <c r="O73" s="111">
        <f t="shared" si="422"/>
        <v>0.55775002499999993</v>
      </c>
      <c r="P73" s="111">
        <f t="shared" si="423"/>
        <v>3.2395305599999999</v>
      </c>
      <c r="Q73" s="111">
        <f t="shared" si="424"/>
        <v>0.31064071500000001</v>
      </c>
      <c r="R73" s="111">
        <f t="shared" si="425"/>
        <v>0.32151482999999997</v>
      </c>
      <c r="S73" s="111">
        <f t="shared" si="426"/>
        <v>0.42135155999999996</v>
      </c>
      <c r="T73" s="60">
        <f>IFERROR(T7/$B59,".")</f>
        <v>0.11473314647996359</v>
      </c>
      <c r="U73" s="189">
        <f>IFERROR(U7/$B59,0)</f>
        <v>9.2655471458297732E-13</v>
      </c>
      <c r="V73" s="60">
        <f t="shared" si="464"/>
        <v>3730.4385130472087</v>
      </c>
      <c r="W73" s="60">
        <f t="shared" si="464"/>
        <v>388628.97156106454</v>
      </c>
      <c r="X73" s="60">
        <f t="shared" si="464"/>
        <v>282.78041090552216</v>
      </c>
      <c r="Y73" s="60">
        <f t="shared" si="464"/>
        <v>3.0060027666907105</v>
      </c>
      <c r="Z73" s="60" t="str">
        <f t="shared" si="464"/>
        <v>.</v>
      </c>
      <c r="AA73" s="60" t="str">
        <f t="shared" si="464"/>
        <v>.</v>
      </c>
      <c r="AB73" s="60">
        <f t="shared" si="464"/>
        <v>96.109241149226563</v>
      </c>
      <c r="AC73" s="60">
        <f t="shared" si="464"/>
        <v>20.348627302345928</v>
      </c>
      <c r="AD73" s="60" t="str">
        <f t="shared" si="464"/>
        <v>.</v>
      </c>
      <c r="AE73" s="60">
        <f t="shared" si="464"/>
        <v>99.528845994444495</v>
      </c>
      <c r="AF73" s="60" t="str">
        <f t="shared" si="464"/>
        <v>.</v>
      </c>
      <c r="AG73" s="111">
        <f t="shared" ref="AG73:AG76" si="465">IFERROR(1/V73,".")</f>
        <v>2.68065E-4</v>
      </c>
      <c r="AH73" s="111">
        <f t="shared" ref="AH73:AH76" si="466">IFERROR(1/W73,".")</f>
        <v>2.5731483578878573E-6</v>
      </c>
      <c r="AI73" s="111">
        <f t="shared" ref="AI73:AI76" si="467">IFERROR(1/X73,".")</f>
        <v>3.5363128471232867E-3</v>
      </c>
      <c r="AJ73" s="111">
        <f t="shared" ref="AJ73:AJ76" si="468">IFERROR(1/Y73,".")</f>
        <v>0.33266769115482009</v>
      </c>
      <c r="AK73" s="111" t="str">
        <f t="shared" ref="AK73:AK76" si="469">IFERROR(1/Z73,".")</f>
        <v>.</v>
      </c>
      <c r="AL73" s="111" t="str">
        <f t="shared" ref="AL73:AL76" si="470">IFERROR(1/AA73,".")</f>
        <v>.</v>
      </c>
      <c r="AM73" s="111">
        <f t="shared" ref="AM73:AM76" si="471">IFERROR(1/AB73,".")</f>
        <v>1.0404826716375E-2</v>
      </c>
      <c r="AN73" s="111">
        <f t="shared" ref="AN73:AN76" si="472">IFERROR(1/AC73,".")</f>
        <v>4.9143364077669907E-2</v>
      </c>
      <c r="AO73" s="111" t="str">
        <f t="shared" ref="AO73:AO76" si="473">IFERROR(1/AD73,".")</f>
        <v>.</v>
      </c>
      <c r="AP73" s="111">
        <f t="shared" ref="AP73:AP76" si="474">IFERROR(1/AE73,".")</f>
        <v>1.0047338437499999E-2</v>
      </c>
      <c r="AQ73" s="111" t="str">
        <f t="shared" ref="AQ73:AQ76" si="475">IFERROR(1/AF73,".")</f>
        <v>.</v>
      </c>
      <c r="AR73" s="60">
        <f>IFERROR(AR7/$B59,".")</f>
        <v>2.4626285565300852</v>
      </c>
      <c r="AS73" s="189">
        <f>IFERROR(AS7/$B59,0)</f>
        <v>1.9887540517492014E-11</v>
      </c>
      <c r="AT73" s="60">
        <f>IFERROR(AT7/$B59,".")</f>
        <v>191.34720294399153</v>
      </c>
      <c r="AU73" s="60" t="str">
        <f>IFERROR(AU7,".")</f>
        <v>.</v>
      </c>
      <c r="AV73" s="60">
        <f t="shared" ref="AV73:BD73" si="476">IFERROR(AV7/$B59,".")</f>
        <v>1050849.8198603652</v>
      </c>
      <c r="AW73" s="60">
        <f t="shared" si="476"/>
        <v>41.828637410349664</v>
      </c>
      <c r="AX73" s="60" t="str">
        <f t="shared" si="476"/>
        <v>.</v>
      </c>
      <c r="AY73" s="60" t="str">
        <f t="shared" si="476"/>
        <v>.</v>
      </c>
      <c r="AZ73" s="60">
        <f t="shared" si="476"/>
        <v>16914.319751309638</v>
      </c>
      <c r="BA73" s="60">
        <f t="shared" si="476"/>
        <v>3455.9489304255999</v>
      </c>
      <c r="BB73" s="60" t="str">
        <f t="shared" si="476"/>
        <v>.</v>
      </c>
      <c r="BC73" s="60">
        <f t="shared" si="476"/>
        <v>207.35176248842603</v>
      </c>
      <c r="BD73" s="60" t="str">
        <f t="shared" si="476"/>
        <v>.</v>
      </c>
      <c r="BE73" s="111">
        <f t="shared" si="438"/>
        <v>5.2261019999999998E-3</v>
      </c>
      <c r="BF73" s="111" t="str">
        <f t="shared" si="439"/>
        <v>.</v>
      </c>
      <c r="BG73" s="111">
        <f t="shared" si="440"/>
        <v>9.5161076406986296E-7</v>
      </c>
      <c r="BH73" s="111">
        <f t="shared" si="441"/>
        <v>2.3907066113336265E-2</v>
      </c>
      <c r="BI73" s="111" t="str">
        <f t="shared" si="442"/>
        <v>.</v>
      </c>
      <c r="BJ73" s="111" t="str">
        <f t="shared" si="443"/>
        <v>.</v>
      </c>
      <c r="BK73" s="111">
        <f t="shared" si="444"/>
        <v>5.912150264999999E-5</v>
      </c>
      <c r="BL73" s="111">
        <f t="shared" si="445"/>
        <v>2.8935612768932038E-4</v>
      </c>
      <c r="BM73" s="111" t="str">
        <f t="shared" si="446"/>
        <v>.</v>
      </c>
      <c r="BN73" s="111">
        <f t="shared" si="447"/>
        <v>4.8227224499999997E-3</v>
      </c>
      <c r="BO73" s="111" t="str">
        <f t="shared" si="286"/>
        <v>.</v>
      </c>
      <c r="BP73" s="60">
        <f>IFERROR(BP7/$B59,".")</f>
        <v>29.149997892472179</v>
      </c>
      <c r="BQ73" s="189">
        <f>IFERROR(BQ7/$B59,0)</f>
        <v>2.3540771613084513E-13</v>
      </c>
      <c r="BR73" s="60">
        <f>IFERROR(BR7/$B59,".")</f>
        <v>0.28589439918577275</v>
      </c>
      <c r="BS73" s="60">
        <f>IFERROR(BS7/$B59,".")</f>
        <v>34617.796690073825</v>
      </c>
      <c r="BT73" s="60">
        <f>IFERROR(BT7/$B59,".")</f>
        <v>0.2858920381189145</v>
      </c>
      <c r="BU73" s="189">
        <f>IFERROR(BU7/$B59,0)</f>
        <v>2.308788906326005E-15</v>
      </c>
    </row>
    <row r="74" spans="1:73" x14ac:dyDescent="0.25">
      <c r="A74" s="169" t="s">
        <v>1081</v>
      </c>
      <c r="B74" s="80">
        <v>1.9000000000000001E-8</v>
      </c>
      <c r="C74" s="174"/>
      <c r="D74" s="60" t="str">
        <f t="shared" ref="D74:AF74" si="477">IFERROR(D12/$B60,".")</f>
        <v>.</v>
      </c>
      <c r="E74" s="60" t="str">
        <f t="shared" si="477"/>
        <v>.</v>
      </c>
      <c r="F74" s="60" t="str">
        <f t="shared" si="477"/>
        <v>.</v>
      </c>
      <c r="G74" s="60" t="str">
        <f t="shared" si="477"/>
        <v>.</v>
      </c>
      <c r="H74" s="60" t="str">
        <f t="shared" si="477"/>
        <v>.</v>
      </c>
      <c r="I74" s="60" t="str">
        <f t="shared" si="477"/>
        <v>.</v>
      </c>
      <c r="J74" s="60" t="str">
        <f t="shared" si="477"/>
        <v>.</v>
      </c>
      <c r="K74" s="60" t="str">
        <f t="shared" si="477"/>
        <v>.</v>
      </c>
      <c r="L74" s="111" t="str">
        <f t="shared" si="419"/>
        <v>.</v>
      </c>
      <c r="M74" s="111" t="str">
        <f t="shared" si="420"/>
        <v>.</v>
      </c>
      <c r="N74" s="111" t="str">
        <f t="shared" si="421"/>
        <v>.</v>
      </c>
      <c r="O74" s="111" t="str">
        <f t="shared" si="422"/>
        <v>.</v>
      </c>
      <c r="P74" s="111" t="str">
        <f t="shared" si="423"/>
        <v>.</v>
      </c>
      <c r="Q74" s="111" t="str">
        <f t="shared" si="424"/>
        <v>.</v>
      </c>
      <c r="R74" s="111" t="str">
        <f t="shared" si="425"/>
        <v>.</v>
      </c>
      <c r="S74" s="111" t="str">
        <f t="shared" si="426"/>
        <v>.</v>
      </c>
      <c r="T74" s="60" t="str">
        <f>IFERROR(T12/$B60,".")</f>
        <v>.</v>
      </c>
      <c r="U74" s="189">
        <f>IFERROR(U12/$B60,0)</f>
        <v>0</v>
      </c>
      <c r="V74" s="60" t="str">
        <f t="shared" si="477"/>
        <v>.</v>
      </c>
      <c r="W74" s="60" t="str">
        <f t="shared" si="477"/>
        <v>.</v>
      </c>
      <c r="X74" s="60">
        <f t="shared" si="477"/>
        <v>132950353.65102373</v>
      </c>
      <c r="Y74" s="60" t="str">
        <f t="shared" si="477"/>
        <v>.</v>
      </c>
      <c r="Z74" s="60" t="str">
        <f t="shared" si="477"/>
        <v>.</v>
      </c>
      <c r="AA74" s="60" t="str">
        <f t="shared" si="477"/>
        <v>.</v>
      </c>
      <c r="AB74" s="60" t="str">
        <f t="shared" si="477"/>
        <v>.</v>
      </c>
      <c r="AC74" s="60" t="str">
        <f t="shared" si="477"/>
        <v>.</v>
      </c>
      <c r="AD74" s="60" t="str">
        <f t="shared" si="477"/>
        <v>.</v>
      </c>
      <c r="AE74" s="60" t="str">
        <f t="shared" si="477"/>
        <v>.</v>
      </c>
      <c r="AF74" s="60" t="str">
        <f t="shared" si="477"/>
        <v>.</v>
      </c>
      <c r="AG74" s="111" t="str">
        <f t="shared" si="465"/>
        <v>.</v>
      </c>
      <c r="AH74" s="111" t="str">
        <f t="shared" si="466"/>
        <v>.</v>
      </c>
      <c r="AI74" s="111">
        <f t="shared" si="467"/>
        <v>7.5216046632328748E-9</v>
      </c>
      <c r="AJ74" s="111" t="str">
        <f t="shared" si="468"/>
        <v>.</v>
      </c>
      <c r="AK74" s="111" t="str">
        <f t="shared" si="469"/>
        <v>.</v>
      </c>
      <c r="AL74" s="111" t="str">
        <f t="shared" si="470"/>
        <v>.</v>
      </c>
      <c r="AM74" s="111" t="str">
        <f t="shared" si="471"/>
        <v>.</v>
      </c>
      <c r="AN74" s="111" t="str">
        <f t="shared" si="472"/>
        <v>.</v>
      </c>
      <c r="AO74" s="111" t="str">
        <f t="shared" si="473"/>
        <v>.</v>
      </c>
      <c r="AP74" s="111" t="str">
        <f t="shared" si="474"/>
        <v>.</v>
      </c>
      <c r="AQ74" s="111" t="str">
        <f t="shared" si="475"/>
        <v>.</v>
      </c>
      <c r="AR74" s="60">
        <f>IFERROR(AR12/$B60,".")</f>
        <v>132950353.65102373</v>
      </c>
      <c r="AS74" s="189">
        <f>IFERROR(AS12/$B60,0)</f>
        <v>1.1890962261894432E-6</v>
      </c>
      <c r="AT74" s="60" t="str">
        <f>IFERROR(AT12/$B60,".")</f>
        <v>.</v>
      </c>
      <c r="AU74" s="60" t="str">
        <f>IFERROR(AU12,".")</f>
        <v>.</v>
      </c>
      <c r="AV74" s="60">
        <f t="shared" ref="AV74:BD74" si="478">IFERROR(AV12/$B60,".")</f>
        <v>1385020992120.2512</v>
      </c>
      <c r="AW74" s="60" t="str">
        <f t="shared" si="478"/>
        <v>.</v>
      </c>
      <c r="AX74" s="60" t="str">
        <f t="shared" si="478"/>
        <v>.</v>
      </c>
      <c r="AY74" s="60" t="str">
        <f t="shared" si="478"/>
        <v>.</v>
      </c>
      <c r="AZ74" s="60" t="str">
        <f t="shared" si="478"/>
        <v>.</v>
      </c>
      <c r="BA74" s="60" t="str">
        <f t="shared" si="478"/>
        <v>.</v>
      </c>
      <c r="BB74" s="60" t="str">
        <f t="shared" si="478"/>
        <v>.</v>
      </c>
      <c r="BC74" s="60" t="str">
        <f t="shared" si="478"/>
        <v>.</v>
      </c>
      <c r="BD74" s="60" t="str">
        <f t="shared" si="478"/>
        <v>.</v>
      </c>
      <c r="BE74" s="111" t="str">
        <f t="shared" si="438"/>
        <v>.</v>
      </c>
      <c r="BF74" s="111" t="str">
        <f t="shared" si="439"/>
        <v>.</v>
      </c>
      <c r="BG74" s="111">
        <f t="shared" si="440"/>
        <v>7.220107173026713E-13</v>
      </c>
      <c r="BH74" s="111" t="str">
        <f t="shared" si="441"/>
        <v>.</v>
      </c>
      <c r="BI74" s="111" t="str">
        <f t="shared" si="442"/>
        <v>.</v>
      </c>
      <c r="BJ74" s="111" t="str">
        <f t="shared" si="443"/>
        <v>.</v>
      </c>
      <c r="BK74" s="111" t="str">
        <f t="shared" si="444"/>
        <v>.</v>
      </c>
      <c r="BL74" s="111" t="str">
        <f t="shared" si="445"/>
        <v>.</v>
      </c>
      <c r="BM74" s="111" t="str">
        <f t="shared" si="446"/>
        <v>.</v>
      </c>
      <c r="BN74" s="111" t="str">
        <f t="shared" si="447"/>
        <v>.</v>
      </c>
      <c r="BO74" s="111" t="str">
        <f t="shared" si="286"/>
        <v>.</v>
      </c>
      <c r="BP74" s="60">
        <f>IFERROR(BP12/$B60,".")</f>
        <v>1385020992120.2512</v>
      </c>
      <c r="BQ74" s="189">
        <f>IFERROR(BQ12/$B60,0)</f>
        <v>1.2387505483786034E-5</v>
      </c>
      <c r="BR74" s="60" t="str">
        <f>IFERROR(BR12/$B60,".")</f>
        <v>.</v>
      </c>
      <c r="BS74" s="60">
        <f>IFERROR(BS12/$B60,".")</f>
        <v>84545546630.434006</v>
      </c>
      <c r="BT74" s="60">
        <f>IFERROR(BT12/$B60,".")</f>
        <v>84545546630.434006</v>
      </c>
      <c r="BU74" s="189">
        <f>IFERROR(BU12/$B60,0)</f>
        <v>7.5616790537659889E-7</v>
      </c>
    </row>
    <row r="75" spans="1:73" x14ac:dyDescent="0.25">
      <c r="A75" s="169" t="s">
        <v>1082</v>
      </c>
      <c r="B75" s="42">
        <v>1</v>
      </c>
      <c r="C75" s="170"/>
      <c r="D75" s="60">
        <f t="shared" ref="D75:AF75" si="479">IFERROR(D18/$B61,".")</f>
        <v>3.1180755823703818E-4</v>
      </c>
      <c r="E75" s="60">
        <f t="shared" si="479"/>
        <v>2.8196273626296493E-3</v>
      </c>
      <c r="F75" s="60">
        <f t="shared" si="479"/>
        <v>5.1030135782898925E-3</v>
      </c>
      <c r="G75" s="60">
        <f t="shared" si="479"/>
        <v>1.8441441191713594E-3</v>
      </c>
      <c r="H75" s="60">
        <f t="shared" si="479"/>
        <v>3.1750632059832415E-4</v>
      </c>
      <c r="I75" s="60">
        <f t="shared" si="479"/>
        <v>3.311128834388076E-3</v>
      </c>
      <c r="J75" s="60">
        <f t="shared" si="479"/>
        <v>3.1991414783928583E-3</v>
      </c>
      <c r="K75" s="60">
        <f t="shared" si="479"/>
        <v>2.4411240546289388E-3</v>
      </c>
      <c r="L75" s="111">
        <f t="shared" si="419"/>
        <v>3207.10635</v>
      </c>
      <c r="M75" s="111">
        <f t="shared" si="420"/>
        <v>354.65679375000002</v>
      </c>
      <c r="N75" s="111">
        <f t="shared" si="421"/>
        <v>195.96263749999997</v>
      </c>
      <c r="O75" s="111">
        <f t="shared" si="422"/>
        <v>542.25696874999994</v>
      </c>
      <c r="P75" s="111">
        <f t="shared" si="423"/>
        <v>3149.5436</v>
      </c>
      <c r="Q75" s="111">
        <f t="shared" si="424"/>
        <v>302.01180625000001</v>
      </c>
      <c r="R75" s="111">
        <f t="shared" si="425"/>
        <v>312.58386250000001</v>
      </c>
      <c r="S75" s="111">
        <f t="shared" si="426"/>
        <v>409.64735000000002</v>
      </c>
      <c r="T75" s="60">
        <f>IFERROR(T18/$B61,".")</f>
        <v>1.1801123637939114E-4</v>
      </c>
      <c r="U75" s="189">
        <f>IFERROR(U18/$B61,0)</f>
        <v>2.6306834610953298E-14</v>
      </c>
      <c r="V75" s="60">
        <f t="shared" si="479"/>
        <v>3.8370224705628431</v>
      </c>
      <c r="W75" s="60">
        <f t="shared" si="479"/>
        <v>12123.895266648593</v>
      </c>
      <c r="X75" s="60">
        <f t="shared" si="479"/>
        <v>27435.318011694701</v>
      </c>
      <c r="Y75" s="60">
        <f t="shared" si="479"/>
        <v>0.13658701952912772</v>
      </c>
      <c r="Z75" s="60">
        <f t="shared" si="479"/>
        <v>1.6304793883251147E-2</v>
      </c>
      <c r="AA75" s="60">
        <f t="shared" si="479"/>
        <v>2.2845457962383117E-2</v>
      </c>
      <c r="AB75" s="60">
        <f t="shared" si="479"/>
        <v>0.17839810202125381</v>
      </c>
      <c r="AC75" s="60">
        <f t="shared" si="479"/>
        <v>0.28414642663062073</v>
      </c>
      <c r="AD75" s="60" t="str">
        <f t="shared" si="479"/>
        <v>.</v>
      </c>
      <c r="AE75" s="60">
        <f t="shared" si="479"/>
        <v>1.8661658623958341E-2</v>
      </c>
      <c r="AF75" s="60" t="str">
        <f t="shared" si="479"/>
        <v>.</v>
      </c>
      <c r="AG75" s="111">
        <f t="shared" si="465"/>
        <v>0.26061875000000001</v>
      </c>
      <c r="AH75" s="111">
        <f t="shared" si="466"/>
        <v>8.2481741882980638E-5</v>
      </c>
      <c r="AI75" s="111">
        <f t="shared" si="467"/>
        <v>3.6449367912328759E-5</v>
      </c>
      <c r="AJ75" s="111">
        <f t="shared" si="468"/>
        <v>7.3213399300125008</v>
      </c>
      <c r="AK75" s="111">
        <f t="shared" si="469"/>
        <v>61.331655411310344</v>
      </c>
      <c r="AL75" s="111">
        <f t="shared" si="470"/>
        <v>43.77237705834483</v>
      </c>
      <c r="AM75" s="111">
        <f t="shared" si="471"/>
        <v>5.6054408016115724</v>
      </c>
      <c r="AN75" s="111">
        <f t="shared" si="472"/>
        <v>3.5193122498772826</v>
      </c>
      <c r="AO75" s="111" t="str">
        <f t="shared" si="473"/>
        <v>.</v>
      </c>
      <c r="AP75" s="111">
        <f t="shared" si="474"/>
        <v>53.585805000000001</v>
      </c>
      <c r="AQ75" s="111" t="str">
        <f t="shared" si="475"/>
        <v>.</v>
      </c>
      <c r="AR75" s="60">
        <f>IFERROR(AR18/$B61,".")</f>
        <v>5.7013625780274321E-3</v>
      </c>
      <c r="AS75" s="189">
        <f>IFERROR(AS18/$B61,0)</f>
        <v>1.2709366243318042E-12</v>
      </c>
      <c r="AT75" s="60">
        <f>IFERROR(AT18/$B61,".")</f>
        <v>0.19681426588524842</v>
      </c>
      <c r="AU75" s="60" t="str">
        <f>IFERROR(AU18,".")</f>
        <v>.</v>
      </c>
      <c r="AV75" s="60">
        <f t="shared" ref="AV75:BD75" si="480">IFERROR(AV18/$B61,".")</f>
        <v>324511136.08123195</v>
      </c>
      <c r="AW75" s="60">
        <f t="shared" si="480"/>
        <v>8.372866545483662E-2</v>
      </c>
      <c r="AX75" s="60">
        <f t="shared" si="480"/>
        <v>2.9371118360725514</v>
      </c>
      <c r="AY75" s="60">
        <f t="shared" si="480"/>
        <v>4.1153335308789449</v>
      </c>
      <c r="AZ75" s="60">
        <f t="shared" si="480"/>
        <v>11.598390686612323</v>
      </c>
      <c r="BA75" s="60">
        <f t="shared" si="480"/>
        <v>16.92709680208457</v>
      </c>
      <c r="BB75" s="60" t="str">
        <f t="shared" si="480"/>
        <v>.</v>
      </c>
      <c r="BC75" s="60">
        <f t="shared" si="480"/>
        <v>8.8865041066468281E-2</v>
      </c>
      <c r="BD75" s="60" t="str">
        <f t="shared" si="480"/>
        <v>.</v>
      </c>
      <c r="BE75" s="111">
        <f t="shared" si="438"/>
        <v>5.0809325000000003</v>
      </c>
      <c r="BF75" s="111" t="str">
        <f t="shared" si="439"/>
        <v>.</v>
      </c>
      <c r="BG75" s="111">
        <f t="shared" si="440"/>
        <v>3.0815583467363011E-9</v>
      </c>
      <c r="BH75" s="111">
        <f t="shared" si="441"/>
        <v>11.943340964145687</v>
      </c>
      <c r="BI75" s="111">
        <f t="shared" si="442"/>
        <v>0.340470522</v>
      </c>
      <c r="BJ75" s="111">
        <f t="shared" si="443"/>
        <v>0.24299367050000001</v>
      </c>
      <c r="BK75" s="111">
        <f t="shared" si="444"/>
        <v>8.6218858031249998E-2</v>
      </c>
      <c r="BL75" s="111">
        <f t="shared" si="445"/>
        <v>5.907687606990291E-2</v>
      </c>
      <c r="BM75" s="111" t="str">
        <f t="shared" si="446"/>
        <v>.</v>
      </c>
      <c r="BN75" s="111">
        <f t="shared" si="447"/>
        <v>11.253019050000001</v>
      </c>
      <c r="BO75" s="111" t="str">
        <f t="shared" si="286"/>
        <v>.</v>
      </c>
      <c r="BP75" s="60">
        <f>IFERROR(BP18/$B61,".")</f>
        <v>3.4475563399623155E-2</v>
      </c>
      <c r="BQ75" s="189">
        <f>IFERROR(BQ18/$B61,0)</f>
        <v>7.6852253420819598E-15</v>
      </c>
      <c r="BR75" s="60">
        <f>IFERROR(BR18/$B61,".")</f>
        <v>8.9189278378467556E-3</v>
      </c>
      <c r="BS75" s="60">
        <f>IFERROR(BS18/$B61,".")</f>
        <v>20070542.80008775</v>
      </c>
      <c r="BT75" s="60">
        <f>IFERROR(BT18/$B61,".")</f>
        <v>8.9189278338833704E-3</v>
      </c>
      <c r="BU75" s="189">
        <f>IFERROR(BU18/$B61,0)</f>
        <v>1.9881899947111488E-15</v>
      </c>
    </row>
    <row r="76" spans="1:73" x14ac:dyDescent="0.25">
      <c r="A76" s="169" t="s">
        <v>1083</v>
      </c>
      <c r="B76" s="42">
        <v>1.339E-6</v>
      </c>
      <c r="C76" s="170"/>
      <c r="D76" s="60" t="str">
        <f t="shared" ref="D76:AF76" si="481">IFERROR(D27/$B62,".")</f>
        <v>.</v>
      </c>
      <c r="E76" s="60" t="str">
        <f t="shared" si="481"/>
        <v>.</v>
      </c>
      <c r="F76" s="60" t="str">
        <f t="shared" si="481"/>
        <v>.</v>
      </c>
      <c r="G76" s="60" t="str">
        <f t="shared" si="481"/>
        <v>.</v>
      </c>
      <c r="H76" s="60" t="str">
        <f t="shared" si="481"/>
        <v>.</v>
      </c>
      <c r="I76" s="60" t="str">
        <f t="shared" si="481"/>
        <v>.</v>
      </c>
      <c r="J76" s="60" t="str">
        <f t="shared" si="481"/>
        <v>.</v>
      </c>
      <c r="K76" s="60" t="str">
        <f t="shared" si="481"/>
        <v>.</v>
      </c>
      <c r="L76" s="111" t="str">
        <f t="shared" si="419"/>
        <v>.</v>
      </c>
      <c r="M76" s="111" t="str">
        <f t="shared" si="420"/>
        <v>.</v>
      </c>
      <c r="N76" s="111" t="str">
        <f t="shared" si="421"/>
        <v>.</v>
      </c>
      <c r="O76" s="111" t="str">
        <f t="shared" si="422"/>
        <v>.</v>
      </c>
      <c r="P76" s="111" t="str">
        <f t="shared" si="423"/>
        <v>.</v>
      </c>
      <c r="Q76" s="111" t="str">
        <f t="shared" si="424"/>
        <v>.</v>
      </c>
      <c r="R76" s="111" t="str">
        <f t="shared" si="425"/>
        <v>.</v>
      </c>
      <c r="S76" s="111" t="str">
        <f t="shared" si="426"/>
        <v>.</v>
      </c>
      <c r="T76" s="60" t="str">
        <f>IFERROR(T27/$B62,".")</f>
        <v>.</v>
      </c>
      <c r="U76" s="189">
        <f>IFERROR(U27/$B62,0)</f>
        <v>0</v>
      </c>
      <c r="V76" s="60" t="str">
        <f t="shared" si="481"/>
        <v>.</v>
      </c>
      <c r="W76" s="60" t="str">
        <f t="shared" si="481"/>
        <v>.</v>
      </c>
      <c r="X76" s="60">
        <f t="shared" si="481"/>
        <v>90464932.365645558</v>
      </c>
      <c r="Y76" s="60" t="str">
        <f t="shared" si="481"/>
        <v>.</v>
      </c>
      <c r="Z76" s="60" t="str">
        <f t="shared" si="481"/>
        <v>.</v>
      </c>
      <c r="AA76" s="60" t="str">
        <f t="shared" si="481"/>
        <v>.</v>
      </c>
      <c r="AB76" s="60" t="str">
        <f t="shared" si="481"/>
        <v>.</v>
      </c>
      <c r="AC76" s="60" t="str">
        <f t="shared" si="481"/>
        <v>.</v>
      </c>
      <c r="AD76" s="60" t="str">
        <f t="shared" si="481"/>
        <v>.</v>
      </c>
      <c r="AE76" s="60" t="str">
        <f t="shared" si="481"/>
        <v>.</v>
      </c>
      <c r="AF76" s="60" t="str">
        <f t="shared" si="481"/>
        <v>.</v>
      </c>
      <c r="AG76" s="111" t="str">
        <f t="shared" si="465"/>
        <v>.</v>
      </c>
      <c r="AH76" s="111" t="str">
        <f t="shared" si="466"/>
        <v>.</v>
      </c>
      <c r="AI76" s="111">
        <f t="shared" si="467"/>
        <v>1.1054007048368217E-8</v>
      </c>
      <c r="AJ76" s="111" t="str">
        <f t="shared" si="468"/>
        <v>.</v>
      </c>
      <c r="AK76" s="111" t="str">
        <f t="shared" si="469"/>
        <v>.</v>
      </c>
      <c r="AL76" s="111" t="str">
        <f t="shared" si="470"/>
        <v>.</v>
      </c>
      <c r="AM76" s="111" t="str">
        <f t="shared" si="471"/>
        <v>.</v>
      </c>
      <c r="AN76" s="111" t="str">
        <f t="shared" si="472"/>
        <v>.</v>
      </c>
      <c r="AO76" s="111" t="str">
        <f t="shared" si="473"/>
        <v>.</v>
      </c>
      <c r="AP76" s="111" t="str">
        <f t="shared" si="474"/>
        <v>.</v>
      </c>
      <c r="AQ76" s="111" t="str">
        <f t="shared" si="475"/>
        <v>.</v>
      </c>
      <c r="AR76" s="60">
        <f>IFERROR(AR27/$B62,".")</f>
        <v>90464932.365645558</v>
      </c>
      <c r="AS76" s="189">
        <f>IFERROR(AS27/$B62,0)</f>
        <v>4.1696485264786609E-7</v>
      </c>
      <c r="AT76" s="60" t="str">
        <f>IFERROR(AT27/$B62,".")</f>
        <v>.</v>
      </c>
      <c r="AU76" s="60" t="str">
        <f>IFERROR(AU27,".")</f>
        <v>.</v>
      </c>
      <c r="AV76" s="60">
        <f t="shared" ref="AV76:BD76" si="482">IFERROR(AV27/$B62,".")</f>
        <v>492359964338.49121</v>
      </c>
      <c r="AW76" s="60" t="str">
        <f t="shared" si="482"/>
        <v>.</v>
      </c>
      <c r="AX76" s="60" t="str">
        <f t="shared" si="482"/>
        <v>.</v>
      </c>
      <c r="AY76" s="60" t="str">
        <f t="shared" si="482"/>
        <v>.</v>
      </c>
      <c r="AZ76" s="60" t="str">
        <f t="shared" si="482"/>
        <v>.</v>
      </c>
      <c r="BA76" s="60" t="str">
        <f t="shared" si="482"/>
        <v>.</v>
      </c>
      <c r="BB76" s="60" t="str">
        <f t="shared" si="482"/>
        <v>.</v>
      </c>
      <c r="BC76" s="60" t="str">
        <f t="shared" si="482"/>
        <v>.</v>
      </c>
      <c r="BD76" s="60" t="str">
        <f t="shared" si="482"/>
        <v>.</v>
      </c>
      <c r="BE76" s="111" t="str">
        <f t="shared" si="438"/>
        <v>.</v>
      </c>
      <c r="BF76" s="111" t="str">
        <f t="shared" si="439"/>
        <v>.</v>
      </c>
      <c r="BG76" s="111">
        <f t="shared" si="440"/>
        <v>2.0310343497232703E-12</v>
      </c>
      <c r="BH76" s="111" t="str">
        <f t="shared" si="441"/>
        <v>.</v>
      </c>
      <c r="BI76" s="111" t="str">
        <f t="shared" si="442"/>
        <v>.</v>
      </c>
      <c r="BJ76" s="111" t="str">
        <f t="shared" si="443"/>
        <v>.</v>
      </c>
      <c r="BK76" s="111" t="str">
        <f t="shared" si="444"/>
        <v>.</v>
      </c>
      <c r="BL76" s="111" t="str">
        <f t="shared" si="445"/>
        <v>.</v>
      </c>
      <c r="BM76" s="111" t="str">
        <f t="shared" si="446"/>
        <v>.</v>
      </c>
      <c r="BN76" s="111" t="str">
        <f t="shared" si="447"/>
        <v>.</v>
      </c>
      <c r="BO76" s="111" t="str">
        <f t="shared" si="286"/>
        <v>.</v>
      </c>
      <c r="BP76" s="60">
        <f>IFERROR(BP27/$B62,".")</f>
        <v>492359964338.49121</v>
      </c>
      <c r="BQ76" s="189">
        <f>IFERROR(BQ27/$B62,0)</f>
        <v>2.2693522739875492E-6</v>
      </c>
      <c r="BR76" s="60" t="str">
        <f>IFERROR(BR27/$B62,".")</f>
        <v>.</v>
      </c>
      <c r="BS76" s="60">
        <f>IFERROR(BS27/$B62,".")</f>
        <v>16801499570.22525</v>
      </c>
      <c r="BT76" s="60">
        <f>IFERROR(BT27/$B62,".")</f>
        <v>16801499570.22525</v>
      </c>
      <c r="BU76" s="189">
        <f>IFERROR(BU27/$B62,0)</f>
        <v>7.7440336375275696E-8</v>
      </c>
    </row>
    <row r="78" spans="1:73" x14ac:dyDescent="0.25">
      <c r="AT78" s="2"/>
    </row>
    <row r="79" spans="1:73" x14ac:dyDescent="0.25">
      <c r="AR79" s="2"/>
      <c r="AT79" s="2"/>
    </row>
    <row r="80" spans="1:73" x14ac:dyDescent="0.25">
      <c r="AR80" s="2"/>
      <c r="AT80" s="2"/>
    </row>
    <row r="81" spans="46:46" x14ac:dyDescent="0.25">
      <c r="AT81" s="2"/>
    </row>
  </sheetData>
  <sheetProtection algorithmName="SHA-512" hashValue="CsKsD5EwwEbAh6JQBb7Ta9RB0XGimrAmJ3JKl6QyUtC/zRauh5lCErSNdxoyracnUkvdEKVzP2fh4mmfQURlFg==" saltValue="upgXQHKGke1WtIZD4emZdw==" spinCount="100000" sheet="1" formatColumns="0" formatRows="0" autoFilter="0"/>
  <autoFilter ref="A1:BT76" xr:uid="{00000000-0009-0000-0000-000008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sheetPr>
  <dimension ref="A1:AQ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3.28515625" style="4" customWidth="1"/>
    <col min="4" max="4" width="14.42578125" style="3" bestFit="1" customWidth="1"/>
    <col min="5" max="5" width="14.5703125" style="3" bestFit="1" customWidth="1"/>
    <col min="6" max="6" width="14.28515625" style="3" bestFit="1" customWidth="1"/>
    <col min="7" max="7" width="20.140625" style="3" bestFit="1" customWidth="1"/>
    <col min="8" max="8" width="19.28515625" style="3" bestFit="1" customWidth="1"/>
    <col min="9" max="11" width="11.42578125" style="3" bestFit="1" customWidth="1"/>
    <col min="12" max="12" width="13.42578125" style="3" bestFit="1" customWidth="1"/>
    <col min="13" max="13" width="12.140625" style="3" bestFit="1" customWidth="1"/>
    <col min="14" max="14" width="14.140625" style="3" bestFit="1" customWidth="1"/>
    <col min="15" max="15" width="13.28515625" style="3" bestFit="1" customWidth="1"/>
    <col min="16" max="16" width="13.5703125" style="3" bestFit="1" customWidth="1"/>
    <col min="17" max="18" width="15.42578125" style="3" bestFit="1" customWidth="1"/>
    <col min="19" max="19" width="16.42578125" style="3" bestFit="1" customWidth="1"/>
    <col min="20" max="20" width="13.85546875" style="3" bestFit="1" customWidth="1"/>
    <col min="21" max="21" width="15.42578125" style="3" bestFit="1" customWidth="1"/>
    <col min="22" max="23" width="17.28515625" style="3" bestFit="1" customWidth="1"/>
    <col min="24" max="24" width="18.42578125" style="3" bestFit="1" customWidth="1"/>
    <col min="25" max="25" width="15.5703125" style="3" bestFit="1" customWidth="1"/>
    <col min="26" max="26" width="13.85546875" style="3" bestFit="1" customWidth="1"/>
    <col min="27" max="27" width="14.140625" style="3" bestFit="1" customWidth="1"/>
    <col min="28" max="28" width="13.28515625" style="3" bestFit="1" customWidth="1"/>
    <col min="29" max="29" width="15" style="3" bestFit="1" customWidth="1"/>
    <col min="30" max="30" width="14.28515625" style="3" bestFit="1" customWidth="1"/>
    <col min="31" max="31" width="15.5703125" style="3" bestFit="1" customWidth="1"/>
    <col min="32" max="32" width="20.28515625" style="3" bestFit="1" customWidth="1"/>
    <col min="33" max="33" width="19.28515625" style="3" bestFit="1" customWidth="1"/>
    <col min="34" max="35" width="11.42578125" style="3" bestFit="1" customWidth="1"/>
    <col min="36" max="36" width="13.42578125" style="3" bestFit="1" customWidth="1"/>
    <col min="37" max="37" width="12.140625" style="3" bestFit="1" customWidth="1"/>
    <col min="38" max="38" width="14" style="3" bestFit="1" customWidth="1"/>
    <col min="39" max="39" width="15.42578125" style="3" bestFit="1" customWidth="1"/>
    <col min="40" max="40" width="15.85546875" style="3" bestFit="1" customWidth="1"/>
    <col min="41" max="41" width="14.85546875" style="3" bestFit="1" customWidth="1"/>
    <col min="42" max="43" width="15.42578125" style="3" bestFit="1" customWidth="1"/>
    <col min="44" max="16384" width="9.140625" style="3"/>
  </cols>
  <sheetData>
    <row r="1" spans="1:43" x14ac:dyDescent="0.25">
      <c r="A1" s="72" t="s">
        <v>39</v>
      </c>
      <c r="B1" s="73" t="s">
        <v>334</v>
      </c>
      <c r="C1" s="72"/>
      <c r="D1" s="15" t="s">
        <v>1372</v>
      </c>
      <c r="E1" s="15" t="s">
        <v>1373</v>
      </c>
      <c r="F1" s="15" t="s">
        <v>1374</v>
      </c>
      <c r="G1" s="15" t="s">
        <v>1420</v>
      </c>
      <c r="H1" s="15" t="s">
        <v>1421</v>
      </c>
      <c r="I1" s="232" t="s">
        <v>1149</v>
      </c>
      <c r="J1" s="233" t="s">
        <v>1150</v>
      </c>
      <c r="K1" s="233" t="s">
        <v>1151</v>
      </c>
      <c r="L1" s="233" t="s">
        <v>1313</v>
      </c>
      <c r="M1" s="233" t="s">
        <v>1314</v>
      </c>
      <c r="N1" s="15" t="s">
        <v>1377</v>
      </c>
      <c r="O1" s="247" t="s">
        <v>1255</v>
      </c>
      <c r="P1" s="42" t="s">
        <v>1378</v>
      </c>
      <c r="Q1" s="42" t="s">
        <v>1379</v>
      </c>
      <c r="R1" s="42" t="s">
        <v>1380</v>
      </c>
      <c r="S1" s="42" t="s">
        <v>1381</v>
      </c>
      <c r="T1" s="42" t="s">
        <v>1382</v>
      </c>
      <c r="U1" s="188" t="s">
        <v>1256</v>
      </c>
      <c r="V1" s="188" t="s">
        <v>1257</v>
      </c>
      <c r="W1" s="188" t="s">
        <v>1258</v>
      </c>
      <c r="X1" s="188" t="s">
        <v>1259</v>
      </c>
      <c r="Y1" s="188" t="s">
        <v>1260</v>
      </c>
      <c r="Z1" s="42" t="s">
        <v>1383</v>
      </c>
      <c r="AA1" s="42" t="s">
        <v>1384</v>
      </c>
      <c r="AB1" s="42" t="s">
        <v>1385</v>
      </c>
      <c r="AC1" s="188" t="s">
        <v>1261</v>
      </c>
      <c r="AD1" s="15" t="s">
        <v>1422</v>
      </c>
      <c r="AE1" s="15" t="s">
        <v>1423</v>
      </c>
      <c r="AF1" s="15" t="s">
        <v>1424</v>
      </c>
      <c r="AG1" s="15" t="s">
        <v>1425</v>
      </c>
      <c r="AH1" s="233" t="s">
        <v>1149</v>
      </c>
      <c r="AI1" s="233" t="s">
        <v>1151</v>
      </c>
      <c r="AJ1" s="233" t="s">
        <v>1313</v>
      </c>
      <c r="AK1" s="233" t="s">
        <v>1314</v>
      </c>
      <c r="AL1" s="15" t="s">
        <v>1426</v>
      </c>
      <c r="AM1" s="189" t="s">
        <v>1262</v>
      </c>
      <c r="AN1" s="15" t="s">
        <v>1427</v>
      </c>
      <c r="AO1" s="15" t="s">
        <v>1428</v>
      </c>
      <c r="AP1" s="189" t="s">
        <v>1519</v>
      </c>
      <c r="AQ1" s="189" t="s">
        <v>1520</v>
      </c>
    </row>
    <row r="2" spans="1:43" customFormat="1" x14ac:dyDescent="0.25">
      <c r="A2" s="44" t="s">
        <v>0</v>
      </c>
      <c r="B2" s="42" t="s">
        <v>1057</v>
      </c>
      <c r="C2" s="42"/>
      <c r="D2" s="15">
        <f>IFERROR(((DL)/(RadSpec!E2*IFS_rec_adj*(1/1000))),".")</f>
        <v>560.18337042447467</v>
      </c>
      <c r="E2" s="15">
        <f>IFERROR(IF(A2="H-3",(DL/(RadSpec!H2*IFA_rec_adj*(1/17)*1000))*RadSpec!#REF!,(DL/(RadSpec!H2*IFA_rec_adj*(1/PEF_wind)*1000))),".")</f>
        <v>723538.81223539717</v>
      </c>
      <c r="F2" s="15">
        <f>IFERROR((DL/(RadSpec!G2*EF_rec*(1/365)*1*d_acf!D2*ET_rec*(1/24)*RadSpec!W2)),".")</f>
        <v>23742.08562115737</v>
      </c>
      <c r="G2" s="15">
        <f>IFERROR((AN2/(RadSpec!AI2*((Q_p_game*f_p_game*f_s_game*(RadSpec!BD2+R_es_past))+(Q_s_game*f_p_game)))),".")</f>
        <v>2551946.4652670515</v>
      </c>
      <c r="H2" s="15" t="str">
        <f>IFERROR((AN2/(RadSpec!AL2*((Q_p_fowl*f_p_fowl*f_s_fowl*(RadSpec!BD2+R_es_past))+(Q_s_fowl*f_p_fowl)))),".")</f>
        <v>.</v>
      </c>
      <c r="I2" s="233">
        <f>IFERROR(1/D2,0)</f>
        <v>1.7851297500000001E-3</v>
      </c>
      <c r="J2" s="233">
        <f>IFERROR(1/E2,0)</f>
        <v>1.3820958642294071E-6</v>
      </c>
      <c r="K2" s="233">
        <f>IFERROR(1/F2,0)</f>
        <v>4.2119298866855507E-5</v>
      </c>
      <c r="L2" s="233">
        <f>IFERROR(1/G2,0)</f>
        <v>3.9185775000000001E-7</v>
      </c>
      <c r="M2" s="233">
        <f t="shared" ref="M2" si="0">IFERROR(1/H2,0)</f>
        <v>0</v>
      </c>
      <c r="N2" s="15">
        <f>IFERROR(1/SUM(I2:M2),0)</f>
        <v>546.73998011150854</v>
      </c>
      <c r="O2" s="247">
        <f>IFERROR(N2*(0.0000000000028)*RadSpec!$AY2*RadSpec!$AF2,0)</f>
        <v>9.4368818485000121E-9</v>
      </c>
      <c r="P2" s="15">
        <f>IFERROR((DL/(RadSpec!G2*EF_rec*(1/365)*1*d_acf!D2*ET_rec*(1/24)*RadSpec!W2)),".")</f>
        <v>23742.08562115737</v>
      </c>
      <c r="Q2" s="15">
        <f>IFERROR((DL/(RadSpec!N2*EF_rec*(1/365)*1*d_acf!E2*ET_rec*(1/24)*RadSpec!S2)),".")</f>
        <v>82890.280215951148</v>
      </c>
      <c r="R2" s="15">
        <f>IFERROR((DL/(RadSpec!O2*EF_rec*(1/365)*1*d_acf!F2*ET_rec*(1/24)*RadSpec!T2)),".")</f>
        <v>33791.227010549082</v>
      </c>
      <c r="S2" s="15">
        <f>IFERROR((DL/(RadSpec!P2*EF_rec*(1/365)*1*d_acf!G2*ET_rec*(1/24)*RadSpec!Z2)),".")</f>
        <v>23585.006259719121</v>
      </c>
      <c r="T2" s="15">
        <f>IFERROR((DL/(RadSpec!L2*EF_rec*(1/365)*1*d_acf!C2*ET_rec*(1/24)*RadSpec!V2)),".")</f>
        <v>79013.633145913176</v>
      </c>
      <c r="U2" s="189">
        <f>P2*(0.0000000000028)*RadSpec!$AY2*RadSpec!$AF2</f>
        <v>4.0979490250216831E-7</v>
      </c>
      <c r="V2" s="189">
        <f>Q2*(0.0000000000028)*RadSpec!$AY2*RadSpec!$AF2</f>
        <v>1.4307089461931294E-6</v>
      </c>
      <c r="W2" s="189">
        <f>R2*(0.0000000000028)*RadSpec!$AY2*RadSpec!$AF2</f>
        <v>5.8324583607249101E-7</v>
      </c>
      <c r="X2" s="189">
        <f>S2*(0.0000000000028)*RadSpec!$AY2*RadSpec!$AF2</f>
        <v>4.0708366968830256E-7</v>
      </c>
      <c r="Y2" s="189">
        <f>T2*(0.0000000000000028)*RadSpec!$AY2*RadSpec!$AF2</f>
        <v>1.3637969556691864E-9</v>
      </c>
      <c r="Z2" s="15">
        <f>IFERROR((DL/(RadSpec!H2*IFA_rec_adj)),".")</f>
        <v>0.53227038936576987</v>
      </c>
      <c r="AA2" s="15">
        <f>IFERROR((DL/(RadSpec!K2*EF_rec*(1/365)*1*ET_rec*(1/24)*GSF_a)),".")</f>
        <v>1767342.4967427093</v>
      </c>
      <c r="AB2" s="15">
        <f t="shared" ref="AB2" si="1">IFERROR(IF(AND(Z2&lt;&gt;0,AA2&lt;&gt;0),1/((1/Z2)+(1/AA2)),IF(AND(Z2&lt;&gt;0,AA2=0),1/((1/Z2)),IF(AND(Z2=0,AA2&lt;&gt;0),1/((1/AA2)),IF(AND(Z2=0,AA2=0),0)))),0)</f>
        <v>0.53227022906199029</v>
      </c>
      <c r="AC2" s="189">
        <f>AB2*(0.0000000000000028)*RadSpec!$AY2*RadSpec!$AF2</f>
        <v>9.1871299810699706E-15</v>
      </c>
      <c r="AD2" s="15">
        <f>IFERROR(DL/(RadSpec!I2*IFW_rec_adj),".")</f>
        <v>613.55792130196255</v>
      </c>
      <c r="AE2" s="15">
        <f>IFERROR(DL/(RadSpec!M2*(1/8760)*DFA_rec_adj),".")</f>
        <v>793901.47075902647</v>
      </c>
      <c r="AF2" s="15">
        <f>IFERROR(AN2/(RadSpec!AI2*Q_w_game*(1/1000)),".")</f>
        <v>3445127728.1105199</v>
      </c>
      <c r="AG2" s="15" t="str">
        <f>IFERROR(AN2/(RadSpec!AL2*Q_w_fowl*(1/1000)),".")</f>
        <v>.</v>
      </c>
      <c r="AH2" s="233">
        <f t="shared" ref="AH2:AH33" si="2">IFERROR(1/AD2,0)</f>
        <v>1.6298379750000001E-3</v>
      </c>
      <c r="AI2" s="233">
        <f t="shared" ref="AI2:AI33" si="3">IFERROR(1/AE2,0)</f>
        <v>1.2596021506849315E-6</v>
      </c>
      <c r="AJ2" s="233">
        <f t="shared" ref="AJ2:AK2" si="4">IFERROR(1/AF2,0)</f>
        <v>2.9026499999999998E-10</v>
      </c>
      <c r="AK2" s="233">
        <f t="shared" si="4"/>
        <v>0</v>
      </c>
      <c r="AL2" s="2">
        <f>IFERROR(1/SUM(AH2:AK2),0)</f>
        <v>613.08399696727099</v>
      </c>
      <c r="AM2" s="189">
        <f>AL2*(0.0000000000000028)*RadSpec!$AY2*RadSpec!$AF2</f>
        <v>1.0581997755873445E-11</v>
      </c>
      <c r="AN2" s="15">
        <f>IFERROR(DL/(RadSpec!F2*EF_rec*1*IRGL_rec*CF_game),".")</f>
        <v>68.902554562210398</v>
      </c>
      <c r="AO2" s="15">
        <f>IFERROR(DL/(RadSpec!F2*EF_rec*1*IRGF_rec*CF_fowl),".")</f>
        <v>68.902554562210398</v>
      </c>
      <c r="AP2" s="189">
        <f>IFERROR(AN2*(0.0000000000028)*RadSpec!$AY2*RadSpec!$AF2,0)</f>
        <v>1.1892769691559602E-9</v>
      </c>
      <c r="AQ2" s="189">
        <f>IFERROR(AO2*(0.0000000000028)*RadSpec!$AY2*RadSpec!$AF2,0)</f>
        <v>1.1892769691559602E-9</v>
      </c>
    </row>
    <row r="3" spans="1:43" x14ac:dyDescent="0.25">
      <c r="A3" s="46" t="s">
        <v>1</v>
      </c>
      <c r="B3" s="42" t="s">
        <v>335</v>
      </c>
      <c r="C3" s="42"/>
      <c r="D3" s="15">
        <f>IFERROR(((DL)/(RadSpec!E3*IFS_rec_adj*(1/1000))),".")</f>
        <v>123.09911879495809</v>
      </c>
      <c r="E3" s="15">
        <f>IFERROR(IF(A3="H-3",(DL/(RadSpec!H3*IFA_rec_adj*(1/17)*1000))*RadSpec!#REF!,(DL/(RadSpec!H3*IFA_rec_adj*(1/PEF_wind)*1000))),".")</f>
        <v>67707.301695422502</v>
      </c>
      <c r="F3" s="15">
        <f>IFERROR((DL/(RadSpec!G3*EF_rec*(1/365)*1*d_acf!D3*ET_rec*(1/24)*RadSpec!W3)),".")</f>
        <v>29176.165317256124</v>
      </c>
      <c r="G3" s="15">
        <f>IFERROR((AN3/(RadSpec!AI3*((Q_p_game*f_p_game*f_s_game*(RadSpec!BD3+R_es_past))+(Q_s_game*f_p_game)))),".")</f>
        <v>24225.416501456461</v>
      </c>
      <c r="H3" s="15">
        <f>IFERROR((AN3/(RadSpec!AL3*((Q_p_fowl*f_p_fowl*f_s_fowl*(RadSpec!BD3+R_es_past))+(Q_s_fowl*f_p_fowl)))),".")</f>
        <v>2018.784708454705</v>
      </c>
      <c r="I3" s="233">
        <f t="shared" ref="I3:I34" si="5">IFERROR(1/D3,0)</f>
        <v>8.1235350000000012E-3</v>
      </c>
      <c r="J3" s="233">
        <f t="shared" ref="J3:J34" si="6">IFERROR(1/E3,0)</f>
        <v>1.4769455804020131E-5</v>
      </c>
      <c r="K3" s="233">
        <f t="shared" ref="K3:K34" si="7">IFERROR(1/F3,0)</f>
        <v>3.42745521601687E-5</v>
      </c>
      <c r="L3" s="233">
        <f t="shared" ref="L3:L66" si="8">IFERROR(1/G3,0)</f>
        <v>4.1278960051724141E-5</v>
      </c>
      <c r="M3" s="233">
        <f t="shared" ref="M3:M66" si="9">IFERROR(1/H3,0)</f>
        <v>4.9534752062068972E-4</v>
      </c>
      <c r="N3" s="15">
        <f t="shared" ref="N3:N30" si="10">IFERROR(1/SUM(I3:M3),0)</f>
        <v>114.82103635110653</v>
      </c>
      <c r="O3" s="247">
        <f>IFERROR(N3*(0.0000000000028)*RadSpec!$AY3*RadSpec!$AF3,0)</f>
        <v>3.3487389909507872E-5</v>
      </c>
      <c r="P3" s="15">
        <f>IFERROR((DL/(RadSpec!G3*EF_rec*(1/365)*1*d_acf!D3*ET_rec*(1/24)*RadSpec!W3)),".")</f>
        <v>29176.165317256124</v>
      </c>
      <c r="Q3" s="15">
        <f>IFERROR((DL/(RadSpec!N3*EF_rec*(1/365)*1*d_acf!E3*ET_rec*(1/24)*RadSpec!S3)),".")</f>
        <v>67472.896949043236</v>
      </c>
      <c r="R3" s="15">
        <f>IFERROR((DL/(RadSpec!O3*EF_rec*(1/365)*1*d_acf!F3*ET_rec*(1/24)*RadSpec!T3)),".")</f>
        <v>35567.794214385489</v>
      </c>
      <c r="S3" s="15">
        <f>IFERROR((DL/(RadSpec!P3*EF_rec*(1/365)*1*d_acf!G3*ET_rec*(1/24)*RadSpec!Z3)),".")</f>
        <v>32417.375402667745</v>
      </c>
      <c r="T3" s="15">
        <f>IFERROR((DL/(RadSpec!L3*EF_rec*(1/365)*1*d_acf!C3*ET_rec*(1/24)*RadSpec!V3)),".")</f>
        <v>54305.52158236254</v>
      </c>
      <c r="U3" s="189">
        <f>P3*(0.0000000000028)*RadSpec!$AY3*RadSpec!$AF3</f>
        <v>8.509186601099691E-3</v>
      </c>
      <c r="V3" s="189">
        <f>Q3*(0.0000000000028)*RadSpec!$AY3*RadSpec!$AF3</f>
        <v>1.9678373234216853E-2</v>
      </c>
      <c r="W3" s="189">
        <f>R3*(0.0000000000028)*RadSpec!$AY3*RadSpec!$AF3</f>
        <v>1.0373295965001859E-2</v>
      </c>
      <c r="X3" s="189">
        <f>S3*(0.0000000000028)*RadSpec!$AY3*RadSpec!$AF3</f>
        <v>9.4544808551674693E-3</v>
      </c>
      <c r="Y3" s="189">
        <f>T3*(0.0000000000000028)*RadSpec!$AY3*RadSpec!$AF3</f>
        <v>1.5838127169544958E-5</v>
      </c>
      <c r="Z3" s="15">
        <f>IFERROR((DL/(RadSpec!H3*IFA_rec_adj)),".")</f>
        <v>4.9808788729640847E-2</v>
      </c>
      <c r="AA3" s="15">
        <f>IFERROR((DL/(RadSpec!K3*EF_rec*(1/365)*1*ET_rec*(1/24)*GSF_a)),".")</f>
        <v>1488565.2576731746</v>
      </c>
      <c r="AB3" s="15">
        <f t="shared" ref="AB3" si="11">IFERROR(IF(AND(Z3&lt;&gt;0,AA3&lt;&gt;0),1/((1/Z3)+(1/AA3)),IF(AND(Z3&lt;&gt;0,AA3=0),1/((1/Z3)),IF(AND(Z3=0,AA3&lt;&gt;0),1/((1/AA3)),IF(AND(Z3=0,AA3=0),0)))),0)</f>
        <v>4.9808787062992153E-2</v>
      </c>
      <c r="AC3" s="189">
        <f>AB3*(0.0000000000000028)*RadSpec!$AY3*RadSpec!$AF3</f>
        <v>1.4526661022268291E-11</v>
      </c>
      <c r="AD3" s="15">
        <f>IFERROR(DL/(RadSpec!I3*IFW_rec_adj),".")</f>
        <v>134.82806421887665</v>
      </c>
      <c r="AE3" s="15">
        <f>IFERROR(DL/(RadSpec!M3*(1/8760)*DFA_rec_adj),".")</f>
        <v>649555.74880283978</v>
      </c>
      <c r="AF3" s="15">
        <f>IFERROR(AN3/(RadSpec!AI3*Q_w_game*(1/1000)),".")</f>
        <v>30282383.223559693</v>
      </c>
      <c r="AG3" s="15">
        <f>IFERROR(AN3/(RadSpec!AL3*Q_w_fowl*(1/1000)),".")</f>
        <v>2523531.9352966407</v>
      </c>
      <c r="AH3" s="233">
        <f t="shared" si="2"/>
        <v>7.4168534999999999E-3</v>
      </c>
      <c r="AI3" s="233">
        <f t="shared" si="3"/>
        <v>1.5395137397260275E-6</v>
      </c>
      <c r="AJ3" s="233">
        <f t="shared" ref="AJ3:AJ66" si="12">IFERROR(1/AF3,0)</f>
        <v>3.3022500000000003E-8</v>
      </c>
      <c r="AK3" s="233">
        <f t="shared" ref="AK3:AK66" si="13">IFERROR(1/AG3,0)</f>
        <v>3.9627000000000009E-7</v>
      </c>
      <c r="AL3" s="2">
        <f t="shared" ref="AL3:AL30" si="14">IFERROR(1/SUM(AH3:AK3),0)</f>
        <v>134.79228356216768</v>
      </c>
      <c r="AM3" s="189">
        <f>AL3*(0.0000000000000028)*RadSpec!$AY3*RadSpec!$AF3</f>
        <v>3.9311975400017877E-8</v>
      </c>
      <c r="AN3" s="15">
        <f>IFERROR(DL/(RadSpec!F3*EF_rec*1*IRGL_rec*CF_game),".")</f>
        <v>15.141191611779846</v>
      </c>
      <c r="AO3" s="15">
        <f>IFERROR(DL/(RadSpec!F3*EF_rec*1*IRGF_rec*CF_fowl),".")</f>
        <v>15.141191611779846</v>
      </c>
      <c r="AP3" s="189">
        <f>IFERROR(AN3*(0.0000000000028)*RadSpec!$AY3*RadSpec!$AF3,0)</f>
        <v>4.4159067302596715E-6</v>
      </c>
      <c r="AQ3" s="189">
        <f>IFERROR(AO3*(0.0000000000028)*RadSpec!$AY3*RadSpec!$AF3,0)</f>
        <v>4.4159067302596715E-6</v>
      </c>
    </row>
    <row r="4" spans="1:43" customFormat="1" x14ac:dyDescent="0.25">
      <c r="A4" s="44" t="s">
        <v>2</v>
      </c>
      <c r="B4" s="42" t="s">
        <v>1057</v>
      </c>
      <c r="C4" s="42"/>
      <c r="D4" s="15" t="str">
        <f>IFERROR(((DL)/(RadSpec!E4*IFS_rec_adj*(1/1000))),".")</f>
        <v>.</v>
      </c>
      <c r="E4" s="15" t="str">
        <f>IFERROR(IF(A4="H-3",(DL/(RadSpec!H4*IFA_rec_adj*(1/17)*1000))*RadSpec!#REF!,(DL/(RadSpec!H4*IFA_rec_adj*(1/PEF_wind)*1000))),".")</f>
        <v>.</v>
      </c>
      <c r="F4" s="15">
        <f>IFERROR((DL/(RadSpec!G4*EF_rec*(1/365)*1*d_acf!D4*ET_rec*(1/24)*RadSpec!W4)),".")</f>
        <v>1297791.4194653612</v>
      </c>
      <c r="G4" s="15" t="str">
        <f>IFERROR((AN4/(RadSpec!AI4*((Q_p_game*f_p_game*f_s_game*(RadSpec!BD4+R_es_past))+(Q_s_game*f_p_game)))),".")</f>
        <v>.</v>
      </c>
      <c r="H4" s="15" t="str">
        <f>IFERROR((AN4/(RadSpec!AL4*((Q_p_fowl*f_p_fowl*f_s_fowl*(RadSpec!BD4+R_es_past))+(Q_s_fowl*f_p_fowl)))),".")</f>
        <v>.</v>
      </c>
      <c r="I4" s="233">
        <f t="shared" si="5"/>
        <v>0</v>
      </c>
      <c r="J4" s="233">
        <f t="shared" si="6"/>
        <v>0</v>
      </c>
      <c r="K4" s="233">
        <f t="shared" si="7"/>
        <v>7.7053984561861303E-7</v>
      </c>
      <c r="L4" s="233">
        <f t="shared" si="8"/>
        <v>0</v>
      </c>
      <c r="M4" s="233">
        <f t="shared" si="9"/>
        <v>0</v>
      </c>
      <c r="N4" s="15">
        <f t="shared" si="10"/>
        <v>1297791.4194653612</v>
      </c>
      <c r="O4" s="247">
        <f>IFERROR(N4*(0.0000000000028)*RadSpec!$AY4*RadSpec!$AF4,0)</f>
        <v>8.0764141130419692E-13</v>
      </c>
      <c r="P4" s="15">
        <f>IFERROR((DL/(RadSpec!G4*EF_rec*(1/365)*1*d_acf!D4*ET_rec*(1/24)*RadSpec!W4)),".")</f>
        <v>1297791.4194653612</v>
      </c>
      <c r="Q4" s="15">
        <f>IFERROR((DL/(RadSpec!N4*EF_rec*(1/365)*1*d_acf!E4*ET_rec*(1/24)*RadSpec!S4)),".")</f>
        <v>8561382.4806180671</v>
      </c>
      <c r="R4" s="15">
        <f>IFERROR((DL/(RadSpec!O4*EF_rec*(1/365)*1*d_acf!F4*ET_rec*(1/24)*RadSpec!T4)),".")</f>
        <v>2187270.2866822211</v>
      </c>
      <c r="S4" s="15">
        <f>IFERROR((DL/(RadSpec!P4*EF_rec*(1/365)*1*d_acf!G4*ET_rec*(1/24)*RadSpec!Z4)),".")</f>
        <v>1256258.4892489887</v>
      </c>
      <c r="T4" s="15">
        <f>IFERROR((DL/(RadSpec!L4*EF_rec*(1/365)*1*d_acf!C4*ET_rec*(1/24)*RadSpec!V4)),".")</f>
        <v>10476852.515552316</v>
      </c>
      <c r="U4" s="189">
        <f>P4*(0.0000000000028)*RadSpec!$AY4*RadSpec!$AF4</f>
        <v>8.0764141130419692E-13</v>
      </c>
      <c r="V4" s="189">
        <f>Q4*(0.0000000000028)*RadSpec!$AY4*RadSpec!$AF4</f>
        <v>5.327918589729861E-12</v>
      </c>
      <c r="W4" s="189">
        <f>R4*(0.0000000000028)*RadSpec!$AY4*RadSpec!$AF4</f>
        <v>1.3611818006683269E-12</v>
      </c>
      <c r="X4" s="189">
        <f>S4*(0.0000000000028)*RadSpec!$AY4*RadSpec!$AF4</f>
        <v>7.8179464280778595E-13</v>
      </c>
      <c r="Y4" s="189">
        <f>T4*(0.0000000000000028)*RadSpec!$AY4*RadSpec!$AF4</f>
        <v>6.5199536880683162E-15</v>
      </c>
      <c r="Z4" s="15" t="str">
        <f>IFERROR((DL/(RadSpec!H4*IFA_rec_adj)),".")</f>
        <v>.</v>
      </c>
      <c r="AA4" s="15">
        <f>IFERROR((DL/(RadSpec!K4*EF_rec*(1/365)*1*ET_rec*(1/24)*GSF_a)),".")</f>
        <v>94369420.109091848</v>
      </c>
      <c r="AB4" s="15">
        <f t="shared" ref="AB4:AB5" si="15">IFERROR(IF(AND(Z4&lt;&gt;0,AA4&lt;&gt;0),1/((1/Z4)+(1/AA4)),IF(AND(Z4&lt;&gt;0,AA4=0),1/((1/Z4)),IF(AND(Z4=0,AA4&lt;&gt;0),1/((1/AA4)),IF(AND(Z4=0,AA4=0),0)))),0)</f>
        <v>0</v>
      </c>
      <c r="AC4" s="189">
        <f>AB4*(0.0000000000000028)*RadSpec!$AY4*RadSpec!$AF4</f>
        <v>0</v>
      </c>
      <c r="AD4" s="15" t="str">
        <f>IFERROR(DL/(RadSpec!I4*IFW_rec_adj),".")</f>
        <v>.</v>
      </c>
      <c r="AE4" s="15">
        <f>IFERROR(DL/(RadSpec!M4*(1/8760)*DFA_rec_adj),".")</f>
        <v>43303716.586855985</v>
      </c>
      <c r="AF4" s="15" t="str">
        <f>IFERROR(AN4/(RadSpec!AI4*Q_w_game*(1/1000)),".")</f>
        <v>.</v>
      </c>
      <c r="AG4" s="15" t="str">
        <f>IFERROR(AN4/(RadSpec!AL4*Q_w_fowl*(1/1000)),".")</f>
        <v>.</v>
      </c>
      <c r="AH4" s="233">
        <f t="shared" si="2"/>
        <v>0</v>
      </c>
      <c r="AI4" s="233">
        <f t="shared" si="3"/>
        <v>2.3092706095890412E-8</v>
      </c>
      <c r="AJ4" s="233">
        <f t="shared" si="12"/>
        <v>0</v>
      </c>
      <c r="AK4" s="233">
        <f t="shared" si="13"/>
        <v>0</v>
      </c>
      <c r="AL4" s="2">
        <f t="shared" si="14"/>
        <v>43303716.586855985</v>
      </c>
      <c r="AM4" s="189">
        <f>AL4*(0.0000000000000028)*RadSpec!$AY4*RadSpec!$AF4</f>
        <v>2.6948764072837824E-14</v>
      </c>
      <c r="AN4" s="15" t="str">
        <f>IFERROR(DL/(RadSpec!F4*EF_rec*1*IRGL_rec*CF_game),".")</f>
        <v>.</v>
      </c>
      <c r="AO4" s="15" t="str">
        <f>IFERROR(DL/(RadSpec!F4*EF_rec*1*IRGF_rec*CF_fowl),".")</f>
        <v>.</v>
      </c>
      <c r="AP4" s="189">
        <f>IFERROR(AN4*(0.0000000000028)*RadSpec!$AY4*RadSpec!$AF4,0)</f>
        <v>0</v>
      </c>
      <c r="AQ4" s="189">
        <f>IFERROR(AO4*(0.0000000000028)*RadSpec!$AY4*RadSpec!$AF4,0)</f>
        <v>0</v>
      </c>
    </row>
    <row r="5" spans="1:43" customFormat="1" x14ac:dyDescent="0.25">
      <c r="A5" s="44" t="s">
        <v>3</v>
      </c>
      <c r="B5" s="42" t="s">
        <v>1057</v>
      </c>
      <c r="C5" s="238"/>
      <c r="D5" s="15" t="str">
        <f>IFERROR(((DL)/(RadSpec!E5*IFS_rec_adj*(1/1000))),".")</f>
        <v>.</v>
      </c>
      <c r="E5" s="15" t="str">
        <f>IFERROR(IF(A5="H-3",(DL/(RadSpec!H5*IFA_rec_adj*(1/17)*1000))*RadSpec!#REF!,(DL/(RadSpec!H5*IFA_rec_adj*(1/PEF_wind)*1000))),".")</f>
        <v>.</v>
      </c>
      <c r="F5" s="15">
        <f>IFERROR((DL/(RadSpec!G5*EF_rec*(1/365)*1*d_acf!D5*ET_rec*(1/24)*RadSpec!W5)),".")</f>
        <v>2331348.4934857972</v>
      </c>
      <c r="G5" s="15" t="str">
        <f>IFERROR((AN5/(RadSpec!AI5*((Q_p_game*f_p_game*f_s_game*(RadSpec!BD5+R_es_past))+(Q_s_game*f_p_game)))),".")</f>
        <v>.</v>
      </c>
      <c r="H5" s="15" t="str">
        <f>IFERROR((AN5/(RadSpec!AL5*((Q_p_fowl*f_p_fowl*f_s_fowl*(RadSpec!BD5+R_es_past))+(Q_s_fowl*f_p_fowl)))),".")</f>
        <v>.</v>
      </c>
      <c r="I5" s="233">
        <f t="shared" si="5"/>
        <v>0</v>
      </c>
      <c r="J5" s="233">
        <f t="shared" si="6"/>
        <v>0</v>
      </c>
      <c r="K5" s="233">
        <f t="shared" si="7"/>
        <v>4.2893630136986303E-7</v>
      </c>
      <c r="L5" s="233">
        <f t="shared" si="8"/>
        <v>0</v>
      </c>
      <c r="M5" s="233">
        <f t="shared" si="9"/>
        <v>0</v>
      </c>
      <c r="N5" s="15">
        <f t="shared" si="10"/>
        <v>2331348.4934857972</v>
      </c>
      <c r="O5" s="247">
        <f>IFERROR(N5*(0.0000000000028)*RadSpec!$AY5*RadSpec!$AF5,0)</f>
        <v>6.7687172775101383E-11</v>
      </c>
      <c r="P5" s="15">
        <f>IFERROR((DL/(RadSpec!G5*EF_rec*(1/365)*1*d_acf!D5*ET_rec*(1/24)*RadSpec!W5)),".")</f>
        <v>2331348.4934857972</v>
      </c>
      <c r="Q5" s="15">
        <f>IFERROR((DL/(RadSpec!N5*EF_rec*(1/365)*1*d_acf!E5*ET_rec*(1/24)*RadSpec!S5)),".")</f>
        <v>4567665.0299721733</v>
      </c>
      <c r="R5" s="15">
        <f>IFERROR((DL/(RadSpec!O5*EF_rec*(1/365)*1*d_acf!F5*ET_rec*(1/24)*RadSpec!T5)),".")</f>
        <v>3257111.3504864858</v>
      </c>
      <c r="S5" s="15">
        <f>IFERROR((DL/(RadSpec!P5*EF_rec*(1/365)*1*d_acf!G5*ET_rec*(1/24)*RadSpec!Z5)),".")</f>
        <v>2429167.3113942915</v>
      </c>
      <c r="T5" s="15">
        <f>IFERROR((DL/(RadSpec!L5*EF_rec*(1/365)*1*d_acf!C5*ET_rec*(1/24)*RadSpec!V5)),".")</f>
        <v>888128.50489497208</v>
      </c>
      <c r="U5" s="189">
        <f>P5*(0.0000000000028)*RadSpec!$AY5*RadSpec!$AF5</f>
        <v>6.7687172775101383E-11</v>
      </c>
      <c r="V5" s="189">
        <f>Q5*(0.0000000000028)*RadSpec!$AY5*RadSpec!$AF5</f>
        <v>1.3261523660079032E-10</v>
      </c>
      <c r="W5" s="189">
        <f>R5*(0.0000000000028)*RadSpec!$AY5*RadSpec!$AF5</f>
        <v>9.456529529760995E-11</v>
      </c>
      <c r="X5" s="189">
        <f>S5*(0.0000000000028)*RadSpec!$AY5*RadSpec!$AF5</f>
        <v>7.0527194010420288E-11</v>
      </c>
      <c r="Y5" s="189">
        <f>T5*(0.0000000000000028)*RadSpec!$AY5*RadSpec!$AF5</f>
        <v>2.5785466104827392E-14</v>
      </c>
      <c r="Z5" s="15" t="str">
        <f>IFERROR((DL/(RadSpec!H5*IFA_rec_adj)),".")</f>
        <v>.</v>
      </c>
      <c r="AA5" s="15">
        <f>IFERROR((DL/(RadSpec!K5*EF_rec*(1/365)*1*ET_rec*(1/24)*GSF_a)),".")</f>
        <v>1020730462.4044627</v>
      </c>
      <c r="AB5" s="15">
        <f t="shared" si="15"/>
        <v>0</v>
      </c>
      <c r="AC5" s="189">
        <f>AB5*(0.0000000000000028)*RadSpec!$AY5*RadSpec!$AF5</f>
        <v>0</v>
      </c>
      <c r="AD5" s="15" t="str">
        <f>IFERROR(DL/(RadSpec!I5*IFW_rec_adj),".")</f>
        <v>.</v>
      </c>
      <c r="AE5" s="15">
        <f>IFERROR(DL/(RadSpec!M5*(1/8760)*DFA_rec_adj),".")</f>
        <v>800252682.5250988</v>
      </c>
      <c r="AF5" s="15" t="str">
        <f>IFERROR(AN5/(RadSpec!AI5*Q_w_game*(1/1000)),".")</f>
        <v>.</v>
      </c>
      <c r="AG5" s="15" t="str">
        <f>IFERROR(AN5/(RadSpec!AL5*Q_w_fowl*(1/1000)),".")</f>
        <v>.</v>
      </c>
      <c r="AH5" s="233">
        <f t="shared" si="2"/>
        <v>0</v>
      </c>
      <c r="AI5" s="233">
        <f t="shared" si="3"/>
        <v>1.2496053082191779E-9</v>
      </c>
      <c r="AJ5" s="233">
        <f t="shared" si="12"/>
        <v>0</v>
      </c>
      <c r="AK5" s="233">
        <f t="shared" si="13"/>
        <v>0</v>
      </c>
      <c r="AL5" s="2">
        <f t="shared" si="14"/>
        <v>800252682.5250988</v>
      </c>
      <c r="AM5" s="189">
        <f>AL5*(0.0000000000000028)*RadSpec!$AY5*RadSpec!$AF5</f>
        <v>2.3234124686706648E-11</v>
      </c>
      <c r="AN5" s="15" t="str">
        <f>IFERROR(DL/(RadSpec!F5*EF_rec*1*IRGL_rec*CF_game),".")</f>
        <v>.</v>
      </c>
      <c r="AO5" s="15" t="str">
        <f>IFERROR(DL/(RadSpec!F5*EF_rec*1*IRGF_rec*CF_fowl),".")</f>
        <v>.</v>
      </c>
      <c r="AP5" s="189">
        <f>IFERROR(AN5*(0.0000000000028)*RadSpec!$AY5*RadSpec!$AF5,0)</f>
        <v>0</v>
      </c>
      <c r="AQ5" s="189">
        <f>IFERROR(AO5*(0.0000000000028)*RadSpec!$AY5*RadSpec!$AF5,0)</f>
        <v>0</v>
      </c>
    </row>
    <row r="6" spans="1:43" customFormat="1" x14ac:dyDescent="0.25">
      <c r="A6" s="44" t="s">
        <v>4</v>
      </c>
      <c r="B6" s="42" t="s">
        <v>1057</v>
      </c>
      <c r="C6" s="42"/>
      <c r="D6" s="15" t="str">
        <f>IFERROR(((DL)/(RadSpec!E6*IFS_rec_adj*(1/1000))),".")</f>
        <v>.</v>
      </c>
      <c r="E6" s="15" t="str">
        <f>IFERROR(IF(A6="H-3",(DL/(RadSpec!H6*IFA_rec_adj*(1/17)*1000))*RadSpec!#REF!,(DL/(RadSpec!H6*IFA_rec_adj*(1/PEF_wind)*1000))),".")</f>
        <v>.</v>
      </c>
      <c r="F6" s="15">
        <f>IFERROR((DL/(RadSpec!G6*EF_rec*(1/365)*1*d_acf!D6*ET_rec*(1/24)*RadSpec!W6)),".")</f>
        <v>394.20502019396719</v>
      </c>
      <c r="G6" s="15" t="str">
        <f>IFERROR((AN6/(RadSpec!AI6*((Q_p_game*f_p_game*f_s_game*(RadSpec!BD6+R_es_past))+(Q_s_game*f_p_game)))),".")</f>
        <v>.</v>
      </c>
      <c r="H6" s="15" t="str">
        <f>IFERROR((AN6/(RadSpec!AL6*((Q_p_fowl*f_p_fowl*f_s_fowl*(RadSpec!BD6+R_es_past))+(Q_s_fowl*f_p_fowl)))),".")</f>
        <v>.</v>
      </c>
      <c r="I6" s="233">
        <f t="shared" si="5"/>
        <v>0</v>
      </c>
      <c r="J6" s="233">
        <f t="shared" si="6"/>
        <v>0</v>
      </c>
      <c r="K6" s="233">
        <f t="shared" si="7"/>
        <v>2.5367510528099147E-3</v>
      </c>
      <c r="L6" s="233">
        <f t="shared" si="8"/>
        <v>0</v>
      </c>
      <c r="M6" s="233">
        <f t="shared" si="9"/>
        <v>0</v>
      </c>
      <c r="N6" s="15">
        <f t="shared" si="10"/>
        <v>394.20502019396719</v>
      </c>
      <c r="O6" s="247">
        <f>IFERROR(N6*(0.0000000000028)*RadSpec!$AY6*RadSpec!$AF6,0)</f>
        <v>7.342197502755467E-13</v>
      </c>
      <c r="P6" s="15">
        <f>IFERROR((DL/(RadSpec!G6*EF_rec*(1/365)*1*d_acf!D6*ET_rec*(1/24)*RadSpec!W6)),".")</f>
        <v>394.20502019396719</v>
      </c>
      <c r="Q6" s="15">
        <f>IFERROR((DL/(RadSpec!N6*EF_rec*(1/365)*1*d_acf!E6*ET_rec*(1/24)*RadSpec!S6)),".")</f>
        <v>3724.0666790987962</v>
      </c>
      <c r="R6" s="15">
        <f>IFERROR((DL/(RadSpec!O6*EF_rec*(1/365)*1*d_acf!F6*ET_rec*(1/24)*RadSpec!T6)),".")</f>
        <v>896.7172184332527</v>
      </c>
      <c r="S6" s="15">
        <f>IFERROR((DL/(RadSpec!P6*EF_rec*(1/365)*1*d_acf!G6*ET_rec*(1/24)*RadSpec!Z6)),".")</f>
        <v>445.06063179309893</v>
      </c>
      <c r="T6" s="15">
        <f>IFERROR((DL/(RadSpec!L6*EF_rec*(1/365)*1*d_acf!C6*ET_rec*(1/24)*RadSpec!V6)),".")</f>
        <v>5535.2629787814967</v>
      </c>
      <c r="U6" s="189">
        <f>P6*(0.0000000000028)*RadSpec!$AY6*RadSpec!$AF6</f>
        <v>7.342197502755467E-13</v>
      </c>
      <c r="V6" s="189">
        <f>Q6*(0.0000000000028)*RadSpec!$AY6*RadSpec!$AF6</f>
        <v>6.9361960580613828E-12</v>
      </c>
      <c r="W6" s="189">
        <f>R6*(0.0000000000028)*RadSpec!$AY6*RadSpec!$AF6</f>
        <v>1.6701651639593237E-12</v>
      </c>
      <c r="X6" s="189">
        <f>S6*(0.0000000000028)*RadSpec!$AY6*RadSpec!$AF6</f>
        <v>8.2893999110366231E-13</v>
      </c>
      <c r="Y6" s="189">
        <f>T6*(0.0000000000000028)*RadSpec!$AY6*RadSpec!$AF6</f>
        <v>1.0309608436723367E-14</v>
      </c>
      <c r="Z6" s="15" t="str">
        <f>IFERROR((DL/(RadSpec!H6*IFA_rec_adj)),".")</f>
        <v>.</v>
      </c>
      <c r="AA6" s="15">
        <f>IFERROR((DL/(RadSpec!K6*EF_rec*(1/365)*1*ET_rec*(1/24)*GSF_a)),".")</f>
        <v>37186.462942616105</v>
      </c>
      <c r="AB6" s="15">
        <f t="shared" ref="AB6" si="16">IFERROR(IF(AND(Z6&lt;&gt;0,AA6&lt;&gt;0),1/((1/Z6)+(1/AA6)),IF(AND(Z6&lt;&gt;0,AA6=0),1/((1/Z6)),IF(AND(Z6=0,AA6&lt;&gt;0),1/((1/AA6)),IF(AND(Z6=0,AA6=0),0)))),0)</f>
        <v>0</v>
      </c>
      <c r="AC6" s="189">
        <f>AB6*(0.0000000000000028)*RadSpec!$AY6*RadSpec!$AF6</f>
        <v>0</v>
      </c>
      <c r="AD6" s="15" t="str">
        <f>IFERROR(DL/(RadSpec!I6*IFW_rec_adj),".")</f>
        <v>.</v>
      </c>
      <c r="AE6" s="15">
        <f>IFERROR(DL/(RadSpec!M6*(1/8760)*DFA_rec_adj),".")</f>
        <v>17158.076383471242</v>
      </c>
      <c r="AF6" s="15" t="str">
        <f>IFERROR(AN6/(RadSpec!AI6*Q_w_game*(1/1000)),".")</f>
        <v>.</v>
      </c>
      <c r="AG6" s="15" t="str">
        <f>IFERROR(AN6/(RadSpec!AL6*Q_w_fowl*(1/1000)),".")</f>
        <v>.</v>
      </c>
      <c r="AH6" s="233">
        <f t="shared" si="2"/>
        <v>0</v>
      </c>
      <c r="AI6" s="233">
        <f t="shared" si="3"/>
        <v>5.8281591575342464E-5</v>
      </c>
      <c r="AJ6" s="233">
        <f t="shared" si="12"/>
        <v>0</v>
      </c>
      <c r="AK6" s="233">
        <f t="shared" si="13"/>
        <v>0</v>
      </c>
      <c r="AL6" s="2">
        <f t="shared" si="14"/>
        <v>17158.076383471242</v>
      </c>
      <c r="AM6" s="189">
        <f>AL6*(0.0000000000000028)*RadSpec!$AY6*RadSpec!$AF6</f>
        <v>3.1957478753777178E-14</v>
      </c>
      <c r="AN6" s="15" t="str">
        <f>IFERROR(DL/(RadSpec!F6*EF_rec*1*IRGL_rec*CF_game),".")</f>
        <v>.</v>
      </c>
      <c r="AO6" s="15" t="str">
        <f>IFERROR(DL/(RadSpec!F6*EF_rec*1*IRGF_rec*CF_fowl),".")</f>
        <v>.</v>
      </c>
      <c r="AP6" s="189">
        <f>IFERROR(AN6*(0.0000000000028)*RadSpec!$AY6*RadSpec!$AF6,0)</f>
        <v>0</v>
      </c>
      <c r="AQ6" s="189">
        <f>IFERROR(AO6*(0.0000000000028)*RadSpec!$AY6*RadSpec!$AF6,0)</f>
        <v>0</v>
      </c>
    </row>
    <row r="7" spans="1:43" customFormat="1" x14ac:dyDescent="0.25">
      <c r="A7" s="44" t="s">
        <v>5</v>
      </c>
      <c r="B7" s="42" t="s">
        <v>1057</v>
      </c>
      <c r="C7" s="238"/>
      <c r="D7" s="15">
        <f>IFERROR(((DL)/(RadSpec!E7*IFS_rec_adj*(1/1000))),".")</f>
        <v>16276.439040666684</v>
      </c>
      <c r="E7" s="15">
        <f>IFERROR(IF(A7="H-3",(DL/(RadSpec!H7*IFA_rec_adj*(1/17)*1000))*RadSpec!#REF!,(DL/(RadSpec!H7*IFA_rec_adj*(1/PEF_wind)*1000))),".")</f>
        <v>45493741.755622923</v>
      </c>
      <c r="F7" s="15">
        <f>IFERROR((DL/(RadSpec!G7*EF_rec*(1/365)*1*d_acf!D7*ET_rec*(1/24)*RadSpec!W7)),".")</f>
        <v>285741.5723392049</v>
      </c>
      <c r="G7" s="15">
        <f>IFERROR((AN7/(RadSpec!AI7*((Q_p_game*f_p_game*f_s_game*(RadSpec!BD7+R_es_past))+(Q_s_game*f_p_game)))),".")</f>
        <v>572000.57200057199</v>
      </c>
      <c r="H7" s="15" t="str">
        <f>IFERROR((AN7/(RadSpec!AL7*((Q_p_fowl*f_p_fowl*f_s_fowl*(RadSpec!BD7+R_es_past))+(Q_s_fowl*f_p_fowl)))),".")</f>
        <v>.</v>
      </c>
      <c r="I7" s="233">
        <f t="shared" si="5"/>
        <v>6.1438499999999998E-5</v>
      </c>
      <c r="J7" s="233">
        <f t="shared" si="6"/>
        <v>2.1981045335238936E-8</v>
      </c>
      <c r="K7" s="233">
        <f t="shared" si="7"/>
        <v>3.4996657707646974E-6</v>
      </c>
      <c r="L7" s="233">
        <f t="shared" si="8"/>
        <v>1.7482499999999999E-6</v>
      </c>
      <c r="M7" s="233">
        <f t="shared" si="9"/>
        <v>0</v>
      </c>
      <c r="N7" s="15">
        <f t="shared" si="10"/>
        <v>14990.616589944073</v>
      </c>
      <c r="O7" s="247">
        <f>IFERROR(N7*(0.0000000000028)*RadSpec!$AY7*RadSpec!$AF7,0)</f>
        <v>1.2106027684287457E-7</v>
      </c>
      <c r="P7" s="15">
        <f>IFERROR((DL/(RadSpec!G7*EF_rec*(1/365)*1*d_acf!D7*ET_rec*(1/24)*RadSpec!W7)),".")</f>
        <v>285741.5723392049</v>
      </c>
      <c r="Q7" s="15">
        <f>IFERROR((DL/(RadSpec!N7*EF_rec*(1/365)*1*d_acf!E7*ET_rec*(1/24)*RadSpec!S7)),".")</f>
        <v>744366.26899153669</v>
      </c>
      <c r="R7" s="15">
        <f>IFERROR((DL/(RadSpec!O7*EF_rec*(1/365)*1*d_acf!F7*ET_rec*(1/24)*RadSpec!T7)),".")</f>
        <v>357504.00070870714</v>
      </c>
      <c r="S7" s="15">
        <f>IFERROR((DL/(RadSpec!P7*EF_rec*(1/365)*1*d_acf!G7*ET_rec*(1/24)*RadSpec!Z7)),".")</f>
        <v>262674.15254818671</v>
      </c>
      <c r="T7" s="15">
        <f>IFERROR((DL/(RadSpec!L7*EF_rec*(1/365)*1*d_acf!C7*ET_rec*(1/24)*RadSpec!V7)),".")</f>
        <v>74518.376513113224</v>
      </c>
      <c r="U7" s="189">
        <f>P7*(0.0000000000028)*RadSpec!$AY7*RadSpec!$AF7</f>
        <v>2.3075737842636313E-6</v>
      </c>
      <c r="V7" s="189">
        <f>Q7*(0.0000000000028)*RadSpec!$AY7*RadSpec!$AF7</f>
        <v>6.0113062098501224E-6</v>
      </c>
      <c r="W7" s="189">
        <f>R7*(0.0000000000028)*RadSpec!$AY7*RadSpec!$AF7</f>
        <v>2.8871082812740246E-6</v>
      </c>
      <c r="X7" s="189">
        <f>S7*(0.0000000000028)*RadSpec!$AY7*RadSpec!$AF7</f>
        <v>2.1212873690787649E-6</v>
      </c>
      <c r="Y7" s="189">
        <f>T7*(0.0000000000000028)*RadSpec!$AY7*RadSpec!$AF7</f>
        <v>6.0179080936608128E-10</v>
      </c>
      <c r="Z7" s="15">
        <f>IFERROR((DL/(RadSpec!H7*IFA_rec_adj)),".")</f>
        <v>33.467412153272377</v>
      </c>
      <c r="AA7" s="15">
        <f>IFERROR((DL/(RadSpec!K7*EF_rec*(1/365)*1*ET_rec*(1/24)*GSF_a)),".")</f>
        <v>3877193.2292882688</v>
      </c>
      <c r="AB7" s="15">
        <f t="shared" ref="AB7" si="17">IFERROR(IF(AND(Z7&lt;&gt;0,AA7&lt;&gt;0),1/((1/Z7)+(1/AA7)),IF(AND(Z7&lt;&gt;0,AA7=0),1/((1/Z7)),IF(AND(Z7=0,AA7&lt;&gt;0),1/((1/AA7)),IF(AND(Z7=0,AA7=0),0)))),0)</f>
        <v>33.467123269551138</v>
      </c>
      <c r="AC7" s="189">
        <f>AB7*(0.0000000000000028)*RadSpec!$AY7*RadSpec!$AF7</f>
        <v>2.7027168521302204E-13</v>
      </c>
      <c r="AD7" s="15">
        <f>IFERROR(DL/(RadSpec!I7*IFW_rec_adj),".")</f>
        <v>17827.266268940359</v>
      </c>
      <c r="AE7" s="15">
        <f>IFERROR(DL/(RadSpec!M7*(1/8760)*DFA_rec_adj),".")</f>
        <v>3356764.6079072929</v>
      </c>
      <c r="AF7" s="15">
        <f>IFERROR(AN7/(RadSpec!AI7*Q_w_game*(1/1000)),".")</f>
        <v>1001001001.0010011</v>
      </c>
      <c r="AG7" s="15" t="str">
        <f>IFERROR(AN7/(RadSpec!AL7*Q_w_fowl*(1/1000)),".")</f>
        <v>.</v>
      </c>
      <c r="AH7" s="233">
        <f t="shared" si="2"/>
        <v>5.6093849999999991E-5</v>
      </c>
      <c r="AI7" s="233">
        <f t="shared" si="3"/>
        <v>2.9790590547945206E-7</v>
      </c>
      <c r="AJ7" s="233">
        <f t="shared" si="12"/>
        <v>9.9899999999999996E-10</v>
      </c>
      <c r="AK7" s="233">
        <f t="shared" si="13"/>
        <v>0</v>
      </c>
      <c r="AL7" s="2">
        <f t="shared" si="14"/>
        <v>17732.774390542043</v>
      </c>
      <c r="AM7" s="189">
        <f>AL7*(0.0000000000000028)*RadSpec!$AY7*RadSpec!$AF7</f>
        <v>1.4320522201543848E-10</v>
      </c>
      <c r="AN7" s="15">
        <f>IFERROR(DL/(RadSpec!F7*EF_rec*1*IRGL_rec*CF_game),".")</f>
        <v>2002.0020020020022</v>
      </c>
      <c r="AO7" s="15">
        <f>IFERROR(DL/(RadSpec!F7*EF_rec*1*IRGF_rec*CF_fowl),".")</f>
        <v>2002.0020020020022</v>
      </c>
      <c r="AP7" s="189">
        <f>IFERROR(AN7*(0.0000000000028)*RadSpec!$AY7*RadSpec!$AF7,0)</f>
        <v>1.6167641614217002E-8</v>
      </c>
      <c r="AQ7" s="189">
        <f>IFERROR(AO7*(0.0000000000028)*RadSpec!$AY7*RadSpec!$AF7,0)</f>
        <v>1.6167641614217002E-8</v>
      </c>
    </row>
    <row r="8" spans="1:43" customFormat="1" x14ac:dyDescent="0.25">
      <c r="A8" s="44" t="s">
        <v>6</v>
      </c>
      <c r="B8" s="42" t="s">
        <v>1057</v>
      </c>
      <c r="C8" s="42"/>
      <c r="D8" s="15">
        <f>IFERROR(((DL)/(RadSpec!E8*IFS_rec_adj*(1/1000))),".")</f>
        <v>109319.3666910449</v>
      </c>
      <c r="E8" s="15">
        <f>IFERROR(IF(A8="H-3",(DL/(RadSpec!H8*IFA_rec_adj*(1/17)*1000))*RadSpec!#REF!,(DL/(RadSpec!H8*IFA_rec_adj*(1/PEF_wind)*1000))),".")</f>
        <v>187101022.43157595</v>
      </c>
      <c r="F8" s="15">
        <f>IFERROR((DL/(RadSpec!G8*EF_rec*(1/365)*1*d_acf!D8*ET_rec*(1/24)*RadSpec!W8)),".")</f>
        <v>1927.0245537386941</v>
      </c>
      <c r="G8" s="15">
        <f>IFERROR((AN8/(RadSpec!AI8*((Q_p_game*f_p_game*f_s_game*(RadSpec!BD8+R_es_past))+(Q_s_game*f_p_game)))),".")</f>
        <v>3841794.8865710064</v>
      </c>
      <c r="H8" s="15" t="str">
        <f>IFERROR((AN8/(RadSpec!AL8*((Q_p_fowl*f_p_fowl*f_s_fowl*(RadSpec!BD8+R_es_past))+(Q_s_fowl*f_p_fowl)))),".")</f>
        <v>.</v>
      </c>
      <c r="I8" s="233">
        <f t="shared" si="5"/>
        <v>9.1475099999999991E-6</v>
      </c>
      <c r="J8" s="233">
        <f t="shared" si="6"/>
        <v>5.3447062287738505E-9</v>
      </c>
      <c r="K8" s="233">
        <f t="shared" si="7"/>
        <v>5.1893474738547662E-4</v>
      </c>
      <c r="L8" s="233">
        <f t="shared" si="8"/>
        <v>2.6029499999999999E-7</v>
      </c>
      <c r="M8" s="233">
        <f t="shared" si="9"/>
        <v>0</v>
      </c>
      <c r="N8" s="15">
        <f t="shared" si="10"/>
        <v>1892.6923065361041</v>
      </c>
      <c r="O8" s="247">
        <f>IFERROR(N8*(0.0000000000028)*RadSpec!$AY8*RadSpec!$AF8,0)</f>
        <v>9.7911090412615367E-11</v>
      </c>
      <c r="P8" s="15">
        <f>IFERROR((DL/(RadSpec!G8*EF_rec*(1/365)*1*d_acf!D8*ET_rec*(1/24)*RadSpec!W8)),".")</f>
        <v>1927.0245537386941</v>
      </c>
      <c r="Q8" s="15">
        <f>IFERROR((DL/(RadSpec!N8*EF_rec*(1/365)*1*d_acf!E8*ET_rec*(1/24)*RadSpec!S8)),".")</f>
        <v>16320.656505594136</v>
      </c>
      <c r="R8" s="15">
        <f>IFERROR((DL/(RadSpec!O8*EF_rec*(1/365)*1*d_acf!F8*ET_rec*(1/24)*RadSpec!T8)),".")</f>
        <v>3943.1294249281423</v>
      </c>
      <c r="S8" s="15">
        <f>IFERROR((DL/(RadSpec!P8*EF_rec*(1/365)*1*d_acf!G8*ET_rec*(1/24)*RadSpec!Z8)),".")</f>
        <v>2173.8110626012513</v>
      </c>
      <c r="T8" s="15">
        <f>IFERROR((DL/(RadSpec!L8*EF_rec*(1/365)*1*d_acf!C8*ET_rec*(1/24)*RadSpec!V8)),".")</f>
        <v>18244.45539597734</v>
      </c>
      <c r="U8" s="189">
        <f>P8*(0.0000000000028)*RadSpec!$AY8*RadSpec!$AF8</f>
        <v>9.9687135968627102E-11</v>
      </c>
      <c r="V8" s="189">
        <f>Q8*(0.0000000000028)*RadSpec!$AY8*RadSpec!$AF8</f>
        <v>8.4428581930307756E-10</v>
      </c>
      <c r="W8" s="189">
        <f>R8*(0.0000000000028)*RadSpec!$AY8*RadSpec!$AF8</f>
        <v>2.0398249641504459E-10</v>
      </c>
      <c r="X8" s="189">
        <f>S8*(0.0000000000028)*RadSpec!$AY8*RadSpec!$AF8</f>
        <v>1.1245367815745096E-10</v>
      </c>
      <c r="Y8" s="189">
        <f>T8*(0.0000000000000028)*RadSpec!$AY8*RadSpec!$AF8</f>
        <v>9.4380608809770641E-13</v>
      </c>
      <c r="Z8" s="15">
        <f>IFERROR((DL/(RadSpec!H8*IFA_rec_adj)),".")</f>
        <v>137.64062463035967</v>
      </c>
      <c r="AA8" s="15">
        <f>IFERROR((DL/(RadSpec!K8*EF_rec*(1/365)*1*ET_rec*(1/24)*GSF_a)),".")</f>
        <v>168403.34228221772</v>
      </c>
      <c r="AB8" s="15">
        <f t="shared" ref="AB8:AB9" si="18">IFERROR(IF(AND(Z8&lt;&gt;0,AA8&lt;&gt;0),1/((1/Z8)+(1/AA8)),IF(AND(Z8&lt;&gt;0,AA8=0),1/((1/Z8)),IF(AND(Z8=0,AA8&lt;&gt;0),1/((1/AA8)),IF(AND(Z8=0,AA8=0),0)))),0)</f>
        <v>137.52821908233278</v>
      </c>
      <c r="AC8" s="189">
        <f>AB8*(0.0000000000000028)*RadSpec!$AY8*RadSpec!$AF8</f>
        <v>7.1144886288992775E-15</v>
      </c>
      <c r="AD8" s="15">
        <f>IFERROR(DL/(RadSpec!I8*IFW_rec_adj),".")</f>
        <v>119735.37046303225</v>
      </c>
      <c r="AE8" s="15">
        <f>IFERROR(DL/(RadSpec!M8*(1/8760)*DFA_rec_adj),".")</f>
        <v>79390.147075902656</v>
      </c>
      <c r="AF8" s="15">
        <f>IFERROR(AN8/(RadSpec!AI8*Q_w_game*(1/1000)),".")</f>
        <v>6723141051.4992619</v>
      </c>
      <c r="AG8" s="15" t="str">
        <f>IFERROR(AN8/(RadSpec!AL8*Q_w_fowl*(1/1000)),".")</f>
        <v>.</v>
      </c>
      <c r="AH8" s="233">
        <f t="shared" si="2"/>
        <v>8.3517509999999995E-6</v>
      </c>
      <c r="AI8" s="233">
        <f t="shared" si="3"/>
        <v>1.2596021506849313E-5</v>
      </c>
      <c r="AJ8" s="233">
        <f t="shared" si="12"/>
        <v>1.4873999999999997E-10</v>
      </c>
      <c r="AK8" s="233">
        <f t="shared" si="13"/>
        <v>0</v>
      </c>
      <c r="AL8" s="2">
        <f t="shared" si="14"/>
        <v>47737.433620073673</v>
      </c>
      <c r="AM8" s="189">
        <f>AL8*(0.0000000000000028)*RadSpec!$AY8*RadSpec!$AF8</f>
        <v>2.4695108460579021E-12</v>
      </c>
      <c r="AN8" s="15">
        <f>IFERROR(DL/(RadSpec!F8*EF_rec*1*IRGL_rec*CF_game),".")</f>
        <v>13446.282102998523</v>
      </c>
      <c r="AO8" s="15">
        <f>IFERROR(DL/(RadSpec!F8*EF_rec*1*IRGF_rec*CF_fowl),".")</f>
        <v>13446.282102998523</v>
      </c>
      <c r="AP8" s="189">
        <f>IFERROR(AN8*(0.0000000000028)*RadSpec!$AY8*RadSpec!$AF8,0)</f>
        <v>6.9559121583247499E-10</v>
      </c>
      <c r="AQ8" s="189">
        <f>IFERROR(AO8*(0.0000000000028)*RadSpec!$AY8*RadSpec!$AF8,0)</f>
        <v>6.9559121583247499E-10</v>
      </c>
    </row>
    <row r="9" spans="1:43" customFormat="1" x14ac:dyDescent="0.25">
      <c r="A9" s="44" t="s">
        <v>7</v>
      </c>
      <c r="B9" s="42" t="s">
        <v>1057</v>
      </c>
      <c r="C9" s="238"/>
      <c r="D9" s="15">
        <f>IFERROR(((DL)/(RadSpec!E9*IFS_rec_adj*(1/1000))),".")</f>
        <v>196628.12263892635</v>
      </c>
      <c r="E9" s="15">
        <f>IFERROR(IF(A9="H-3",(DL/(RadSpec!H9*IFA_rec_adj*(1/17)*1000))*RadSpec!#REF!,(DL/(RadSpec!H9*IFA_rec_adj*(1/PEF_wind)*1000))),".")</f>
        <v>671467740.33845627</v>
      </c>
      <c r="F9" s="15">
        <f>IFERROR((DL/(RadSpec!G9*EF_rec*(1/365)*1*d_acf!D9*ET_rec*(1/24)*RadSpec!W9)),".")</f>
        <v>136.52218347374742</v>
      </c>
      <c r="G9" s="15">
        <f>IFERROR((AN9/(RadSpec!AI9*((Q_p_game*f_p_game*f_s_game*(RadSpec!BD9+R_es_past))+(Q_s_game*f_p_game)))),".")</f>
        <v>6910074.0241679838</v>
      </c>
      <c r="H9" s="15" t="str">
        <f>IFERROR((AN9/(RadSpec!AL9*((Q_p_fowl*f_p_fowl*f_s_fowl*(RadSpec!BD9+R_es_past))+(Q_s_fowl*f_p_fowl)))),".")</f>
        <v>.</v>
      </c>
      <c r="I9" s="233">
        <f t="shared" si="5"/>
        <v>5.0857425000000007E-6</v>
      </c>
      <c r="J9" s="233">
        <f t="shared" si="6"/>
        <v>1.4892748227873846E-9</v>
      </c>
      <c r="K9" s="233">
        <f t="shared" si="7"/>
        <v>7.3248169239272043E-3</v>
      </c>
      <c r="L9" s="233">
        <f t="shared" si="8"/>
        <v>1.4471624999999999E-7</v>
      </c>
      <c r="M9" s="233">
        <f t="shared" si="9"/>
        <v>0</v>
      </c>
      <c r="N9" s="15">
        <f t="shared" si="10"/>
        <v>136.4247384252017</v>
      </c>
      <c r="O9" s="247">
        <f>IFERROR(N9*(0.0000000000028)*RadSpec!$AY9*RadSpec!$AF9,0)</f>
        <v>3.0950142598195941E-12</v>
      </c>
      <c r="P9" s="15">
        <f>IFERROR((DL/(RadSpec!G9*EF_rec*(1/365)*1*d_acf!D9*ET_rec*(1/24)*RadSpec!W9)),".")</f>
        <v>136.52218347374742</v>
      </c>
      <c r="Q9" s="15">
        <f>IFERROR((DL/(RadSpec!N9*EF_rec*(1/365)*1*d_acf!E9*ET_rec*(1/24)*RadSpec!S9)),".")</f>
        <v>1667.9208281052872</v>
      </c>
      <c r="R9" s="15">
        <f>IFERROR((DL/(RadSpec!O9*EF_rec*(1/365)*1*d_acf!F9*ET_rec*(1/24)*RadSpec!T9)),".")</f>
        <v>382.49699808037025</v>
      </c>
      <c r="S9" s="15">
        <f>IFERROR((DL/(RadSpec!P9*EF_rec*(1/365)*1*d_acf!G9*ET_rec*(1/24)*RadSpec!Z9)),".")</f>
        <v>181.92481109318777</v>
      </c>
      <c r="T9" s="15">
        <f>IFERROR((DL/(RadSpec!L9*EF_rec*(1/365)*1*d_acf!C9*ET_rec*(1/24)*RadSpec!V9)),".")</f>
        <v>2429.3507657987038</v>
      </c>
      <c r="U9" s="189">
        <f>P9*(0.0000000000028)*RadSpec!$AY9*RadSpec!$AF9</f>
        <v>3.09722495722154E-12</v>
      </c>
      <c r="V9" s="189">
        <f>Q9*(0.0000000000028)*RadSpec!$AY9*RadSpec!$AF9</f>
        <v>3.7839462305924059E-11</v>
      </c>
      <c r="W9" s="189">
        <f>R9*(0.0000000000028)*RadSpec!$AY9*RadSpec!$AF9</f>
        <v>8.6775586089615298E-12</v>
      </c>
      <c r="X9" s="189">
        <f>S9*(0.0000000000028)*RadSpec!$AY9*RadSpec!$AF9</f>
        <v>4.1272564715754528E-12</v>
      </c>
      <c r="Y9" s="189">
        <f>T9*(0.0000000000000028)*RadSpec!$AY9*RadSpec!$AF9</f>
        <v>5.5113723134408289E-14</v>
      </c>
      <c r="Z9" s="15">
        <f>IFERROR((DL/(RadSpec!H9*IFA_rec_adj)),".")</f>
        <v>493.96437281961033</v>
      </c>
      <c r="AA9" s="15">
        <f>IFERROR((DL/(RadSpec!K9*EF_rec*(1/365)*1*ET_rec*(1/24)*GSF_a)),".")</f>
        <v>14069.139988134648</v>
      </c>
      <c r="AB9" s="15">
        <f t="shared" si="18"/>
        <v>477.20964830707635</v>
      </c>
      <c r="AC9" s="189">
        <f>AB9*(0.0000000000000028)*RadSpec!$AY9*RadSpec!$AF9</f>
        <v>1.0826267167400002E-14</v>
      </c>
      <c r="AD9" s="15">
        <f>IFERROR(DL/(RadSpec!I9*IFW_rec_adj),".")</f>
        <v>215362.94821538686</v>
      </c>
      <c r="AE9" s="15">
        <f>IFERROR(DL/(RadSpec!M9*(1/8760)*DFA_rec_adj),".")</f>
        <v>6495.5574880283993</v>
      </c>
      <c r="AF9" s="15">
        <f>IFERROR(AN9/(RadSpec!AI9*Q_w_game*(1/1000)),".")</f>
        <v>12092629542.293972</v>
      </c>
      <c r="AG9" s="15" t="str">
        <f>IFERROR(AN9/(RadSpec!AL9*Q_w_fowl*(1/1000)),".")</f>
        <v>.</v>
      </c>
      <c r="AH9" s="233">
        <f t="shared" si="2"/>
        <v>4.6433242499999997E-6</v>
      </c>
      <c r="AI9" s="233">
        <f t="shared" si="3"/>
        <v>1.5395137397260271E-4</v>
      </c>
      <c r="AJ9" s="233">
        <f t="shared" si="12"/>
        <v>8.2695000000000005E-11</v>
      </c>
      <c r="AK9" s="233">
        <f t="shared" si="13"/>
        <v>0</v>
      </c>
      <c r="AL9" s="2">
        <f t="shared" si="14"/>
        <v>6305.3777319415449</v>
      </c>
      <c r="AM9" s="189">
        <f>AL9*(0.0000000000000028)*RadSpec!$AY9*RadSpec!$AF9</f>
        <v>1.4304761892292527E-13</v>
      </c>
      <c r="AN9" s="15">
        <f>IFERROR(DL/(RadSpec!F9*EF_rec*1*IRGL_rec*CF_game),".")</f>
        <v>24185.259084587942</v>
      </c>
      <c r="AO9" s="15">
        <f>IFERROR(DL/(RadSpec!F9*EF_rec*1*IRGF_rec*CF_fowl),".")</f>
        <v>24185.259084587942</v>
      </c>
      <c r="AP9" s="189">
        <f>IFERROR(AN9*(0.0000000000028)*RadSpec!$AY9*RadSpec!$AF9,0)</f>
        <v>5.4868143863271172E-10</v>
      </c>
      <c r="AQ9" s="189">
        <f>IFERROR(AO9*(0.0000000000028)*RadSpec!$AY9*RadSpec!$AF9,0)</f>
        <v>5.4868143863271172E-10</v>
      </c>
    </row>
    <row r="10" spans="1:43" customFormat="1" x14ac:dyDescent="0.25">
      <c r="A10" s="46" t="s">
        <v>8</v>
      </c>
      <c r="B10" s="42" t="s">
        <v>335</v>
      </c>
      <c r="C10" s="42"/>
      <c r="D10" s="15">
        <f>IFERROR(((DL)/(RadSpec!E10*IFS_rec_adj*(1/1000))),".")</f>
        <v>2202.8263363308297</v>
      </c>
      <c r="E10" s="15">
        <f>IFERROR(IF(A10="H-3",(DL/(RadSpec!H10*IFA_rec_adj*(1/17)*1000))*RadSpec!#REF!,(DL/(RadSpec!H10*IFA_rec_adj*(1/PEF_wind)*1000))),".")</f>
        <v>159282644.99570617</v>
      </c>
      <c r="F10" s="15">
        <f>IFERROR((DL/(RadSpec!G10*EF_rec*(1/365)*1*d_acf!D10*ET_rec*(1/24)*RadSpec!W10)),".")</f>
        <v>1826109.9025997738</v>
      </c>
      <c r="G10" s="15">
        <f>IFERROR((AN10/(RadSpec!AI10*((Q_p_game*f_p_game*f_s_game*(RadSpec!BD10+R_es_past))+(Q_s_game*f_p_game)))),".")</f>
        <v>9596.7286671319507</v>
      </c>
      <c r="H10" s="15">
        <f>IFERROR((AN10/(RadSpec!AL10*((Q_p_fowl*f_p_fowl*f_s_fowl*(RadSpec!BD10+R_es_past))+(Q_s_fowl*f_p_fowl)))),".")</f>
        <v>78.195566917371451</v>
      </c>
      <c r="I10" s="233">
        <f t="shared" si="5"/>
        <v>4.539622499999999E-4</v>
      </c>
      <c r="J10" s="233">
        <f t="shared" si="6"/>
        <v>6.2781478799963252E-9</v>
      </c>
      <c r="K10" s="233">
        <f t="shared" si="7"/>
        <v>5.4761216648369969E-7</v>
      </c>
      <c r="L10" s="233">
        <f t="shared" si="8"/>
        <v>1.0420217499999997E-4</v>
      </c>
      <c r="M10" s="233">
        <f t="shared" si="9"/>
        <v>1.2788448749999997E-2</v>
      </c>
      <c r="N10" s="15">
        <f t="shared" si="10"/>
        <v>74.922265909050225</v>
      </c>
      <c r="O10" s="247">
        <f>IFERROR(N10*(0.0000000000028)*RadSpec!$AY10*RadSpec!$AF10,0)</f>
        <v>8.6700792036032321E-7</v>
      </c>
      <c r="P10" s="15">
        <f>IFERROR((DL/(RadSpec!G10*EF_rec*(1/365)*1*d_acf!D10*ET_rec*(1/24)*RadSpec!W10)),".")</f>
        <v>1826109.9025997738</v>
      </c>
      <c r="Q10" s="15">
        <f>IFERROR((DL/(RadSpec!N10*EF_rec*(1/365)*1*d_acf!E10*ET_rec*(1/24)*RadSpec!S10)),".")</f>
        <v>5910671.5005993089</v>
      </c>
      <c r="R10" s="15">
        <f>IFERROR((DL/(RadSpec!O10*EF_rec*(1/365)*1*d_acf!F10*ET_rec*(1/24)*RadSpec!T10)),".")</f>
        <v>2326512.4097766969</v>
      </c>
      <c r="S10" s="15">
        <f>IFERROR((DL/(RadSpec!P10*EF_rec*(1/365)*1*d_acf!G10*ET_rec*(1/24)*RadSpec!Z10)),".")</f>
        <v>1649480.3970255319</v>
      </c>
      <c r="T10" s="15">
        <f>IFERROR((DL/(RadSpec!L10*EF_rec*(1/365)*1*d_acf!C10*ET_rec*(1/24)*RadSpec!V10)),".")</f>
        <v>955382.61096886278</v>
      </c>
      <c r="U10" s="189">
        <f>P10*(0.0000000000028)*RadSpec!$AY10*RadSpec!$AF10</f>
        <v>2.1131925600386486E-2</v>
      </c>
      <c r="V10" s="189">
        <f>Q10*(0.0000000000028)*RadSpec!$AY10*RadSpec!$AF10</f>
        <v>6.8398879071389793E-2</v>
      </c>
      <c r="W10" s="189">
        <f>R10*(0.0000000000028)*RadSpec!$AY10*RadSpec!$AF10</f>
        <v>2.6922633233511458E-2</v>
      </c>
      <c r="X10" s="189">
        <f>S10*(0.0000000000028)*RadSpec!$AY10*RadSpec!$AF10</f>
        <v>1.9087951376647785E-2</v>
      </c>
      <c r="Y10" s="189">
        <f>T10*(0.0000000000000028)*RadSpec!$AY10*RadSpec!$AF10</f>
        <v>1.105578269202443E-5</v>
      </c>
      <c r="Z10" s="15">
        <f>IFERROR((DL/(RadSpec!H10*IFA_rec_adj)),".")</f>
        <v>117.17607132800403</v>
      </c>
      <c r="AA10" s="15">
        <f>IFERROR((DL/(RadSpec!K10*EF_rec*(1/365)*1*ET_rec*(1/24)*GSF_a)),".")</f>
        <v>10641658.012301844</v>
      </c>
      <c r="AB10" s="15">
        <f t="shared" ref="AB10" si="19">IFERROR(IF(AND(Z10&lt;&gt;0,AA10&lt;&gt;0),1/((1/Z10)+(1/AA10)),IF(AND(Z10&lt;&gt;0,AA10=0),1/((1/Z10)),IF(AND(Z10=0,AA10&lt;&gt;0),1/((1/AA10)),IF(AND(Z10=0,AA10=0),0)))),0)</f>
        <v>117.17478110795625</v>
      </c>
      <c r="AC10" s="189">
        <f>AB10*(0.0000000000000028)*RadSpec!$AY10*RadSpec!$AF10</f>
        <v>1.3559582329024768E-9</v>
      </c>
      <c r="AD10" s="15">
        <f>IFERROR(DL/(RadSpec!I10*IFW_rec_adj),".")</f>
        <v>2412.7127281272665</v>
      </c>
      <c r="AE10" s="15">
        <f>IFERROR(DL/(RadSpec!M10*(1/8760)*DFA_rec_adj),".")</f>
        <v>9526817.6491083186</v>
      </c>
      <c r="AF10" s="15">
        <f>IFERROR(AN10/(RadSpec!AI10*Q_w_game*(1/1000)),".")</f>
        <v>12315801.789486002</v>
      </c>
      <c r="AG10" s="15">
        <f>IFERROR(AN10/(RadSpec!AL10*Q_w_fowl*(1/1000)),".")</f>
        <v>100350.97754396001</v>
      </c>
      <c r="AH10" s="233">
        <f t="shared" si="2"/>
        <v>4.1447122499999994E-4</v>
      </c>
      <c r="AI10" s="233">
        <f t="shared" si="3"/>
        <v>1.0496684589041094E-7</v>
      </c>
      <c r="AJ10" s="233">
        <f t="shared" si="12"/>
        <v>8.1196499999999982E-8</v>
      </c>
      <c r="AK10" s="233">
        <f t="shared" si="13"/>
        <v>9.9650249999999987E-6</v>
      </c>
      <c r="AL10" s="2">
        <f t="shared" si="14"/>
        <v>2355.0334804993363</v>
      </c>
      <c r="AM10" s="189">
        <f>AL10*(0.0000000000000028)*RadSpec!$AY10*RadSpec!$AF10</f>
        <v>2.7252681903471639E-8</v>
      </c>
      <c r="AN10" s="15">
        <f>IFERROR(DL/(RadSpec!F10*EF_rec*1*IRGL_rec*CF_game),".")</f>
        <v>270.94763936869202</v>
      </c>
      <c r="AO10" s="15">
        <f>IFERROR(DL/(RadSpec!F10*EF_rec*1*IRGF_rec*CF_fowl),".")</f>
        <v>270.94763936869202</v>
      </c>
      <c r="AP10" s="189">
        <f>IFERROR(AN10*(0.0000000000028)*RadSpec!$AY10*RadSpec!$AF10,0)</f>
        <v>3.1354330583214803E-6</v>
      </c>
      <c r="AQ10" s="189">
        <f>IFERROR(AO10*(0.0000000000028)*RadSpec!$AY10*RadSpec!$AF10,0)</f>
        <v>3.1354330583214803E-6</v>
      </c>
    </row>
    <row r="11" spans="1:43" customFormat="1" x14ac:dyDescent="0.25">
      <c r="A11" s="44" t="s">
        <v>9</v>
      </c>
      <c r="B11" s="42" t="s">
        <v>1057</v>
      </c>
      <c r="C11" s="42"/>
      <c r="D11" s="15" t="str">
        <f>IFERROR(((DL)/(RadSpec!E11*IFS_rec_adj*(1/1000))),".")</f>
        <v>.</v>
      </c>
      <c r="E11" s="15" t="str">
        <f>IFERROR(IF(A11="H-3",(DL/(RadSpec!H11*IFA_rec_adj*(1/17)*1000))*RadSpec!#REF!,(DL/(RadSpec!H11*IFA_rec_adj*(1/PEF_wind)*1000))),".")</f>
        <v>.</v>
      </c>
      <c r="F11" s="15">
        <f>IFERROR((DL/(RadSpec!G11*EF_rec*(1/365)*1*d_acf!D11*ET_rec*(1/24)*RadSpec!W11)),".")</f>
        <v>11873.79176740338</v>
      </c>
      <c r="G11" s="15" t="str">
        <f>IFERROR((AN11/(RadSpec!AI11*((Q_p_game*f_p_game*f_s_game*(RadSpec!BD11+R_es_past))+(Q_s_game*f_p_game)))),".")</f>
        <v>.</v>
      </c>
      <c r="H11" s="15" t="str">
        <f>IFERROR((AN11/(RadSpec!AL11*((Q_p_fowl*f_p_fowl*f_s_fowl*(RadSpec!BD11+R_es_past))+(Q_s_fowl*f_p_fowl)))),".")</f>
        <v>.</v>
      </c>
      <c r="I11" s="233">
        <f t="shared" si="5"/>
        <v>0</v>
      </c>
      <c r="J11" s="233">
        <f t="shared" si="6"/>
        <v>0</v>
      </c>
      <c r="K11" s="233">
        <f t="shared" si="7"/>
        <v>8.4219095263676248E-5</v>
      </c>
      <c r="L11" s="233">
        <f t="shared" si="8"/>
        <v>0</v>
      </c>
      <c r="M11" s="233">
        <f t="shared" si="9"/>
        <v>0</v>
      </c>
      <c r="N11" s="15">
        <f t="shared" si="10"/>
        <v>11873.79176740338</v>
      </c>
      <c r="O11" s="247">
        <f>IFERROR(N11*(0.0000000000028)*RadSpec!$AY11*RadSpec!$AF11,0)</f>
        <v>6.8498404668529574E-11</v>
      </c>
      <c r="P11" s="15">
        <f>IFERROR((DL/(RadSpec!G11*EF_rec*(1/365)*1*d_acf!D11*ET_rec*(1/24)*RadSpec!W11)),".")</f>
        <v>11873.79176740338</v>
      </c>
      <c r="Q11" s="15">
        <f>IFERROR((DL/(RadSpec!N11*EF_rec*(1/365)*1*d_acf!E11*ET_rec*(1/24)*RadSpec!S11)),".")</f>
        <v>69338.757844461783</v>
      </c>
      <c r="R11" s="15">
        <f>IFERROR((DL/(RadSpec!O11*EF_rec*(1/365)*1*d_acf!F11*ET_rec*(1/24)*RadSpec!T11)),".")</f>
        <v>18194.361523543612</v>
      </c>
      <c r="S11" s="15">
        <f>IFERROR((DL/(RadSpec!P11*EF_rec*(1/365)*1*d_acf!G11*ET_rec*(1/24)*RadSpec!Z11)),".")</f>
        <v>10823.693197070808</v>
      </c>
      <c r="T11" s="15">
        <f>IFERROR((DL/(RadSpec!L11*EF_rec*(1/365)*1*d_acf!C11*ET_rec*(1/24)*RadSpec!V11)),".")</f>
        <v>82672.952623182806</v>
      </c>
      <c r="U11" s="189">
        <f>P11*(0.0000000000028)*RadSpec!$AY11*RadSpec!$AF11</f>
        <v>6.8498404668529574E-11</v>
      </c>
      <c r="V11" s="189">
        <f>Q11*(0.0000000000028)*RadSpec!$AY11*RadSpec!$AF11</f>
        <v>4.000065343138309E-10</v>
      </c>
      <c r="W11" s="189">
        <f>R11*(0.0000000000028)*RadSpec!$AY11*RadSpec!$AF11</f>
        <v>1.0496097310267708E-10</v>
      </c>
      <c r="X11" s="189">
        <f>S11*(0.0000000000028)*RadSpec!$AY11*RadSpec!$AF11</f>
        <v>6.2440518677135369E-11</v>
      </c>
      <c r="Y11" s="189">
        <f>T11*(0.0000000000000028)*RadSpec!$AY11*RadSpec!$AF11</f>
        <v>4.7692981945929441E-13</v>
      </c>
      <c r="Z11" s="15" t="str">
        <f>IFERROR((DL/(RadSpec!H11*IFA_rec_adj)),".")</f>
        <v>.</v>
      </c>
      <c r="AA11" s="15">
        <f>IFERROR((DL/(RadSpec!K11*EF_rec*(1/365)*1*ET_rec*(1/24)*GSF_a)),".")</f>
        <v>800252.68252509879</v>
      </c>
      <c r="AB11" s="15">
        <f t="shared" ref="AB11" si="20">IFERROR(IF(AND(Z11&lt;&gt;0,AA11&lt;&gt;0),1/((1/Z11)+(1/AA11)),IF(AND(Z11&lt;&gt;0,AA11=0),1/((1/Z11)),IF(AND(Z11=0,AA11&lt;&gt;0),1/((1/AA11)),IF(AND(Z11=0,AA11=0),0)))),0)</f>
        <v>0</v>
      </c>
      <c r="AC11" s="189">
        <f>AB11*(0.0000000000000028)*RadSpec!$AY11*RadSpec!$AF11</f>
        <v>0</v>
      </c>
      <c r="AD11" s="15" t="str">
        <f>IFERROR(DL/(RadSpec!I11*IFW_rec_adj),".")</f>
        <v>.</v>
      </c>
      <c r="AE11" s="15">
        <f>IFERROR(DL/(RadSpec!M11*(1/8760)*DFA_rec_adj),".")</f>
        <v>363751.21932959039</v>
      </c>
      <c r="AF11" s="15" t="str">
        <f>IFERROR(AN11/(RadSpec!AI11*Q_w_game*(1/1000)),".")</f>
        <v>.</v>
      </c>
      <c r="AG11" s="15" t="str">
        <f>IFERROR(AN11/(RadSpec!AL11*Q_w_fowl*(1/1000)),".")</f>
        <v>.</v>
      </c>
      <c r="AH11" s="233">
        <f t="shared" si="2"/>
        <v>0</v>
      </c>
      <c r="AI11" s="233">
        <f t="shared" si="3"/>
        <v>2.749131678082191E-6</v>
      </c>
      <c r="AJ11" s="233">
        <f t="shared" si="12"/>
        <v>0</v>
      </c>
      <c r="AK11" s="233">
        <f t="shared" si="13"/>
        <v>0</v>
      </c>
      <c r="AL11" s="2">
        <f t="shared" si="14"/>
        <v>363751.21932959039</v>
      </c>
      <c r="AM11" s="189">
        <f>AL11*(0.0000000000000028)*RadSpec!$AY11*RadSpec!$AF11</f>
        <v>2.0984348309620201E-12</v>
      </c>
      <c r="AN11" s="15" t="str">
        <f>IFERROR(DL/(RadSpec!F11*EF_rec*1*IRGL_rec*CF_game),".")</f>
        <v>.</v>
      </c>
      <c r="AO11" s="15" t="str">
        <f>IFERROR(DL/(RadSpec!F11*EF_rec*1*IRGF_rec*CF_fowl),".")</f>
        <v>.</v>
      </c>
      <c r="AP11" s="189">
        <f>IFERROR(AN11*(0.0000000000028)*RadSpec!$AY11*RadSpec!$AF11,0)</f>
        <v>0</v>
      </c>
      <c r="AQ11" s="189">
        <f>IFERROR(AO11*(0.0000000000028)*RadSpec!$AY11*RadSpec!$AF11,0)</f>
        <v>0</v>
      </c>
    </row>
    <row r="12" spans="1:43" customFormat="1" x14ac:dyDescent="0.25">
      <c r="A12" s="44" t="s">
        <v>10</v>
      </c>
      <c r="B12" s="42" t="s">
        <v>1057</v>
      </c>
      <c r="C12" s="238"/>
      <c r="D12" s="15" t="str">
        <f>IFERROR(((DL)/(RadSpec!E12*IFS_rec_adj*(1/1000))),".")</f>
        <v>.</v>
      </c>
      <c r="E12" s="15" t="str">
        <f>IFERROR(IF(A12="H-3",(DL/(RadSpec!H12*IFA_rec_adj*(1/17)*1000))*RadSpec!#REF!,(DL/(RadSpec!H12*IFA_rec_adj*(1/PEF_wind)*1000))),".")</f>
        <v>.</v>
      </c>
      <c r="F12" s="15">
        <f>IFERROR((DL/(RadSpec!G12*EF_rec*(1/365)*1*d_acf!D12*ET_rec*(1/24)*RadSpec!W12)),".")</f>
        <v>2415.466215278198</v>
      </c>
      <c r="G12" s="15" t="str">
        <f>IFERROR((AN12/(RadSpec!AI12*((Q_p_game*f_p_game*f_s_game*(RadSpec!BD12+R_es_past))+(Q_s_game*f_p_game)))),".")</f>
        <v>.</v>
      </c>
      <c r="H12" s="15" t="str">
        <f>IFERROR((AN12/(RadSpec!AL12*((Q_p_fowl*f_p_fowl*f_s_fowl*(RadSpec!BD12+R_es_past))+(Q_s_fowl*f_p_fowl)))),".")</f>
        <v>.</v>
      </c>
      <c r="I12" s="233">
        <f t="shared" si="5"/>
        <v>0</v>
      </c>
      <c r="J12" s="233">
        <f t="shared" si="6"/>
        <v>0</v>
      </c>
      <c r="K12" s="233">
        <f t="shared" si="7"/>
        <v>4.1399875256993666E-4</v>
      </c>
      <c r="L12" s="233">
        <f t="shared" si="8"/>
        <v>0</v>
      </c>
      <c r="M12" s="233">
        <f t="shared" si="9"/>
        <v>0</v>
      </c>
      <c r="N12" s="15">
        <f t="shared" si="10"/>
        <v>2415.466215278198</v>
      </c>
      <c r="O12" s="247">
        <f>IFERROR(N12*(0.0000000000028)*RadSpec!$AY12*RadSpec!$AF12,0)</f>
        <v>2.1603716591943686E-11</v>
      </c>
      <c r="P12" s="15">
        <f>IFERROR((DL/(RadSpec!G12*EF_rec*(1/365)*1*d_acf!D12*ET_rec*(1/24)*RadSpec!W12)),".")</f>
        <v>2415.466215278198</v>
      </c>
      <c r="Q12" s="15">
        <f>IFERROR((DL/(RadSpec!N12*EF_rec*(1/365)*1*d_acf!E12*ET_rec*(1/24)*RadSpec!S12)),".")</f>
        <v>16919.928562725483</v>
      </c>
      <c r="R12" s="15">
        <f>IFERROR((DL/(RadSpec!O12*EF_rec*(1/365)*1*d_acf!F12*ET_rec*(1/24)*RadSpec!T12)),".")</f>
        <v>4212.4247106491393</v>
      </c>
      <c r="S12" s="15">
        <f>IFERROR((DL/(RadSpec!P12*EF_rec*(1/365)*1*d_acf!G12*ET_rec*(1/24)*RadSpec!Z12)),".")</f>
        <v>2422.973657797902</v>
      </c>
      <c r="T12" s="15">
        <f>IFERROR((DL/(RadSpec!L12*EF_rec*(1/365)*1*d_acf!C12*ET_rec*(1/24)*RadSpec!V12)),".")</f>
        <v>17715.136521718596</v>
      </c>
      <c r="U12" s="189">
        <f>P12*(0.0000000000028)*RadSpec!$AY12*RadSpec!$AF12</f>
        <v>2.1603716591943686E-11</v>
      </c>
      <c r="V12" s="189">
        <f>Q12*(0.0000000000028)*RadSpec!$AY12*RadSpec!$AF12</f>
        <v>1.5133034737269326E-10</v>
      </c>
      <c r="W12" s="189">
        <f>R12*(0.0000000000028)*RadSpec!$AY12*RadSpec!$AF12</f>
        <v>3.7675554738936033E-11</v>
      </c>
      <c r="X12" s="189">
        <f>S12*(0.0000000000028)*RadSpec!$AY12*RadSpec!$AF12</f>
        <v>2.1670862495082435E-11</v>
      </c>
      <c r="Y12" s="189">
        <f>T12*(0.0000000000000028)*RadSpec!$AY12*RadSpec!$AF12</f>
        <v>1.5844261715692065E-13</v>
      </c>
      <c r="Z12" s="15" t="str">
        <f>IFERROR((DL/(RadSpec!H12*IFA_rec_adj)),".")</f>
        <v>.</v>
      </c>
      <c r="AA12" s="15">
        <f>IFERROR((DL/(RadSpec!K12*EF_rec*(1/365)*1*ET_rec*(1/24)*GSF_a)),".")</f>
        <v>179912.92322956357</v>
      </c>
      <c r="AB12" s="15">
        <f t="shared" ref="AB12" si="21">IFERROR(IF(AND(Z12&lt;&gt;0,AA12&lt;&gt;0),1/((1/Z12)+(1/AA12)),IF(AND(Z12&lt;&gt;0,AA12=0),1/((1/Z12)),IF(AND(Z12=0,AA12&lt;&gt;0),1/((1/AA12)),IF(AND(Z12=0,AA12=0),0)))),0)</f>
        <v>0</v>
      </c>
      <c r="AC12" s="189">
        <f>AB12*(0.0000000000000028)*RadSpec!$AY12*RadSpec!$AF12</f>
        <v>0</v>
      </c>
      <c r="AD12" s="15" t="str">
        <f>IFERROR(DL/(RadSpec!I12*IFW_rec_adj),".")</f>
        <v>.</v>
      </c>
      <c r="AE12" s="15">
        <f>IFERROR(DL/(RadSpec!M12*(1/8760)*DFA_rec_adj),".")</f>
        <v>84060.155727426332</v>
      </c>
      <c r="AF12" s="15" t="str">
        <f>IFERROR(AN12/(RadSpec!AI12*Q_w_game*(1/1000)),".")</f>
        <v>.</v>
      </c>
      <c r="AG12" s="15" t="str">
        <f>IFERROR(AN12/(RadSpec!AL12*Q_w_fowl*(1/1000)),".")</f>
        <v>.</v>
      </c>
      <c r="AH12" s="233">
        <f t="shared" si="2"/>
        <v>0</v>
      </c>
      <c r="AI12" s="233">
        <f t="shared" si="3"/>
        <v>1.1896242534246575E-5</v>
      </c>
      <c r="AJ12" s="233">
        <f t="shared" si="12"/>
        <v>0</v>
      </c>
      <c r="AK12" s="233">
        <f t="shared" si="13"/>
        <v>0</v>
      </c>
      <c r="AL12" s="2">
        <f t="shared" si="14"/>
        <v>84060.155727426332</v>
      </c>
      <c r="AM12" s="189">
        <f>AL12*(0.0000000000000028)*RadSpec!$AY12*RadSpec!$AF12</f>
        <v>7.5182661199043665E-13</v>
      </c>
      <c r="AN12" s="15" t="str">
        <f>IFERROR(DL/(RadSpec!F12*EF_rec*1*IRGL_rec*CF_game),".")</f>
        <v>.</v>
      </c>
      <c r="AO12" s="15" t="str">
        <f>IFERROR(DL/(RadSpec!F12*EF_rec*1*IRGF_rec*CF_fowl),".")</f>
        <v>.</v>
      </c>
      <c r="AP12" s="189">
        <f>IFERROR(AN12*(0.0000000000028)*RadSpec!$AY12*RadSpec!$AF12,0)</f>
        <v>0</v>
      </c>
      <c r="AQ12" s="189">
        <f>IFERROR(AO12*(0.0000000000028)*RadSpec!$AY12*RadSpec!$AF12,0)</f>
        <v>0</v>
      </c>
    </row>
    <row r="13" spans="1:43" customFormat="1" x14ac:dyDescent="0.25">
      <c r="A13" s="44" t="s">
        <v>11</v>
      </c>
      <c r="B13" s="42" t="s">
        <v>1057</v>
      </c>
      <c r="C13" s="42"/>
      <c r="D13" s="15">
        <f>IFERROR(((DL)/(RadSpec!E13*IFS_rec_adj*(1/1000))),".")</f>
        <v>234.38072218560021</v>
      </c>
      <c r="E13" s="15">
        <f>IFERROR(IF(A13="H-3",(DL/(RadSpec!H13*IFA_rec_adj*(1/17)*1000))*RadSpec!#REF!,(DL/(RadSpec!H13*IFA_rec_adj*(1/PEF_wind)*1000))),".")</f>
        <v>527149.7060572179</v>
      </c>
      <c r="F13" s="15">
        <f>IFERROR((DL/(RadSpec!G13*EF_rec*(1/365)*1*d_acf!D13*ET_rec*(1/24)*RadSpec!W13)),".")</f>
        <v>16686.146489967417</v>
      </c>
      <c r="G13" s="15">
        <f>IFERROR((AN13/(RadSpec!AI13*((Q_p_game*f_p_game*f_s_game*(RadSpec!BD13+R_es_past))+(Q_s_game*f_p_game)))),".")</f>
        <v>230017.25129384702</v>
      </c>
      <c r="H13" s="15" t="str">
        <f>IFERROR((AN13/(RadSpec!AL13*((Q_p_fowl*f_p_fowl*f_s_fowl*(RadSpec!BD13+R_es_past))+(Q_s_fowl*f_p_fowl)))),".")</f>
        <v>.</v>
      </c>
      <c r="I13" s="233">
        <f t="shared" si="5"/>
        <v>4.2665625000000004E-3</v>
      </c>
      <c r="J13" s="233">
        <f t="shared" si="6"/>
        <v>1.8969943234521276E-6</v>
      </c>
      <c r="K13" s="233">
        <f t="shared" si="7"/>
        <v>5.9929954504549762E-5</v>
      </c>
      <c r="L13" s="233">
        <f t="shared" si="8"/>
        <v>4.3475000000000003E-6</v>
      </c>
      <c r="M13" s="233">
        <f t="shared" si="9"/>
        <v>0</v>
      </c>
      <c r="N13" s="15">
        <f t="shared" si="10"/>
        <v>230.80099526247454</v>
      </c>
      <c r="O13" s="247">
        <f>IFERROR(N13*(0.0000000000028)*RadSpec!$AY13*RadSpec!$AF13,0)</f>
        <v>0.32837405473804587</v>
      </c>
      <c r="P13" s="15">
        <f>IFERROR((DL/(RadSpec!G13*EF_rec*(1/365)*1*d_acf!D13*ET_rec*(1/24)*RadSpec!W13)),".")</f>
        <v>16686.146489967417</v>
      </c>
      <c r="Q13" s="15">
        <f>IFERROR((DL/(RadSpec!N13*EF_rec*(1/365)*1*d_acf!E13*ET_rec*(1/24)*RadSpec!S13)),".")</f>
        <v>48654.9342711688</v>
      </c>
      <c r="R13" s="15">
        <f>IFERROR((DL/(RadSpec!O13*EF_rec*(1/365)*1*d_acf!F13*ET_rec*(1/24)*RadSpec!T13)),".")</f>
        <v>20798.401537822894</v>
      </c>
      <c r="S13" s="15">
        <f>IFERROR((DL/(RadSpec!P13*EF_rec*(1/365)*1*d_acf!G13*ET_rec*(1/24)*RadSpec!Z13)),".")</f>
        <v>16468.062464401421</v>
      </c>
      <c r="T13" s="15">
        <f>IFERROR((DL/(RadSpec!L13*EF_rec*(1/365)*1*d_acf!C13*ET_rec*(1/24)*RadSpec!V13)),".")</f>
        <v>45394.390209210236</v>
      </c>
      <c r="U13" s="189">
        <f>P13*(0.0000000000028)*RadSpec!$AY13*RadSpec!$AF13</f>
        <v>23.740355082231662</v>
      </c>
      <c r="V13" s="189">
        <f>Q13*(0.0000000000028)*RadSpec!$AY13*RadSpec!$AF13</f>
        <v>69.224216435753277</v>
      </c>
      <c r="W13" s="189">
        <f>R13*(0.0000000000028)*RadSpec!$AY13*RadSpec!$AF13</f>
        <v>29.591100494510442</v>
      </c>
      <c r="X13" s="189">
        <f>S13*(0.0000000000028)*RadSpec!$AY13*RadSpec!$AF13</f>
        <v>23.430074202951825</v>
      </c>
      <c r="Y13" s="189">
        <f>T13*(0.0000000000000028)*RadSpec!$AY13*RadSpec!$AF13</f>
        <v>6.4585249983031612E-2</v>
      </c>
      <c r="Z13" s="15">
        <f>IFERROR((DL/(RadSpec!H13*IFA_rec_adj)),".")</f>
        <v>0.38779699796648948</v>
      </c>
      <c r="AA13" s="15">
        <f>IFERROR((DL/(RadSpec!K13*EF_rec*(1/365)*1*ET_rec*(1/24)*GSF_a)),".")</f>
        <v>1163157.9687864806</v>
      </c>
      <c r="AB13" s="15">
        <f t="shared" ref="AB13" si="22">IFERROR(IF(AND(Z13&lt;&gt;0,AA13&lt;&gt;0),1/((1/Z13)+(1/AA13)),IF(AND(Z13&lt;&gt;0,AA13=0),1/((1/Z13)),IF(AND(Z13=0,AA13&lt;&gt;0),1/((1/AA13)),IF(AND(Z13=0,AA13=0),0)))),0)</f>
        <v>0.38779686867496971</v>
      </c>
      <c r="AC13" s="189">
        <f>AB13*(0.0000000000000028)*RadSpec!$AY13*RadSpec!$AF13</f>
        <v>5.5174125240101005E-7</v>
      </c>
      <c r="AD13" s="15">
        <f>IFERROR(DL/(RadSpec!I13*IFW_rec_adj),".")</f>
        <v>256.71263427274113</v>
      </c>
      <c r="AE13" s="15">
        <f>IFERROR(DL/(RadSpec!M13*(1/8760)*DFA_rec_adj),".")</f>
        <v>518298.36951107433</v>
      </c>
      <c r="AF13" s="15">
        <f>IFERROR(AN13/(RadSpec!AI13*Q_w_game*(1/1000)),".")</f>
        <v>288288288.28828824</v>
      </c>
      <c r="AG13" s="15" t="str">
        <f>IFERROR(AN13/(RadSpec!AL13*Q_w_fowl*(1/1000)),".")</f>
        <v>.</v>
      </c>
      <c r="AH13" s="233">
        <f t="shared" si="2"/>
        <v>3.89540625E-3</v>
      </c>
      <c r="AI13" s="233">
        <f t="shared" si="3"/>
        <v>1.9293905958904108E-6</v>
      </c>
      <c r="AJ13" s="233">
        <f t="shared" si="12"/>
        <v>3.4687500000000005E-9</v>
      </c>
      <c r="AK13" s="233">
        <f t="shared" si="13"/>
        <v>0</v>
      </c>
      <c r="AL13" s="2">
        <f t="shared" si="14"/>
        <v>256.58531935339721</v>
      </c>
      <c r="AM13" s="189">
        <f>AL13*(0.0000000000000028)*RadSpec!$AY13*RadSpec!$AF13</f>
        <v>3.6505891842672847E-4</v>
      </c>
      <c r="AN13" s="15">
        <f>IFERROR(DL/(RadSpec!F13*EF_rec*1*IRGL_rec*CF_game),".")</f>
        <v>28.828828828828826</v>
      </c>
      <c r="AO13" s="15">
        <f>IFERROR(DL/(RadSpec!F13*EF_rec*1*IRGF_rec*CF_fowl),".")</f>
        <v>28.828828828828826</v>
      </c>
      <c r="AP13" s="189">
        <f>IFERROR(AN13*(0.0000000000028)*RadSpec!$AY13*RadSpec!$AF13,0)</f>
        <v>4.1016458378378376E-2</v>
      </c>
      <c r="AQ13" s="189">
        <f>IFERROR(AO13*(0.0000000000028)*RadSpec!$AY13*RadSpec!$AF13,0)</f>
        <v>4.1016458378378376E-2</v>
      </c>
    </row>
    <row r="14" spans="1:43" customFormat="1" x14ac:dyDescent="0.25">
      <c r="A14" s="44" t="s">
        <v>12</v>
      </c>
      <c r="B14" s="42" t="s">
        <v>1057</v>
      </c>
      <c r="C14" s="42"/>
      <c r="D14" s="15">
        <f>IFERROR(((DL)/(RadSpec!E14*IFS_rec_adj*(1/1000))),".")</f>
        <v>22195.144146363658</v>
      </c>
      <c r="E14" s="15">
        <f>IFERROR(IF(A14="H-3",(DL/(RadSpec!H14*IFA_rec_adj*(1/17)*1000))*RadSpec!#REF!,(DL/(RadSpec!H14*IFA_rec_adj*(1/PEF_wind)*1000))),".")</f>
        <v>1456597872.0002077</v>
      </c>
      <c r="F14" s="15">
        <f>IFERROR((DL/(RadSpec!G14*EF_rec*(1/365)*1*d_acf!D14*ET_rec*(1/24)*RadSpec!W14)),".")</f>
        <v>1417.0680829632508</v>
      </c>
      <c r="G14" s="15">
        <f>IFERROR((AN14/(RadSpec!AI14*((Q_p_game*f_p_game*f_s_game*(RadSpec!BD14+R_es_past))+(Q_s_game*f_p_game)))),".")</f>
        <v>404444848.88929331</v>
      </c>
      <c r="H14" s="15" t="str">
        <f>IFERROR((AN14/(RadSpec!AL14*((Q_p_fowl*f_p_fowl*f_s_fowl*(RadSpec!BD14+R_es_past))+(Q_s_fowl*f_p_fowl)))),".")</f>
        <v>.</v>
      </c>
      <c r="I14" s="233">
        <f t="shared" si="5"/>
        <v>4.5054900000000001E-5</v>
      </c>
      <c r="J14" s="233">
        <f t="shared" si="6"/>
        <v>6.8653127896362698E-10</v>
      </c>
      <c r="K14" s="233">
        <f t="shared" si="7"/>
        <v>7.0568239594309831E-4</v>
      </c>
      <c r="L14" s="233">
        <f t="shared" si="8"/>
        <v>2.472525E-9</v>
      </c>
      <c r="M14" s="233">
        <f t="shared" si="9"/>
        <v>0</v>
      </c>
      <c r="N14" s="15">
        <f t="shared" si="10"/>
        <v>1332.0182672197004</v>
      </c>
      <c r="O14" s="247">
        <f>IFERROR(N14*(0.0000000000028)*RadSpec!$AY14*RadSpec!$AF14,0)</f>
        <v>6.4204268728062872E-8</v>
      </c>
      <c r="P14" s="15">
        <f>IFERROR((DL/(RadSpec!G14*EF_rec*(1/365)*1*d_acf!D14*ET_rec*(1/24)*RadSpec!W14)),".")</f>
        <v>1417.0680829632508</v>
      </c>
      <c r="Q14" s="15">
        <f>IFERROR((DL/(RadSpec!N14*EF_rec*(1/365)*1*d_acf!E14*ET_rec*(1/24)*RadSpec!S14)),".")</f>
        <v>7985.9346014195262</v>
      </c>
      <c r="R14" s="15">
        <f>IFERROR((DL/(RadSpec!O14*EF_rec*(1/365)*1*d_acf!F14*ET_rec*(1/24)*RadSpec!T14)),".")</f>
        <v>2301.6847228623892</v>
      </c>
      <c r="S14" s="15">
        <f>IFERROR((DL/(RadSpec!P14*EF_rec*(1/365)*1*d_acf!G14*ET_rec*(1/24)*RadSpec!Z14)),".")</f>
        <v>1410.3340811736059</v>
      </c>
      <c r="T14" s="15">
        <f>IFERROR((DL/(RadSpec!L14*EF_rec*(1/365)*1*d_acf!C14*ET_rec*(1/24)*RadSpec!V14)),".")</f>
        <v>8634.9966860802815</v>
      </c>
      <c r="U14" s="189">
        <f>P14*(0.0000000000028)*RadSpec!$AY14*RadSpec!$AF14</f>
        <v>6.8303732946874886E-8</v>
      </c>
      <c r="V14" s="189">
        <f>Q14*(0.0000000000028)*RadSpec!$AY14*RadSpec!$AF14</f>
        <v>3.8492797269551712E-7</v>
      </c>
      <c r="W14" s="189">
        <f>R14*(0.0000000000028)*RadSpec!$AY14*RadSpec!$AF14</f>
        <v>1.1094291130285192E-7</v>
      </c>
      <c r="X14" s="189">
        <f>S14*(0.0000000000028)*RadSpec!$AY14*RadSpec!$AF14</f>
        <v>6.7979149064538141E-8</v>
      </c>
      <c r="Y14" s="189">
        <f>T14*(0.0000000000000028)*RadSpec!$AY14*RadSpec!$AF14</f>
        <v>4.1621324672688479E-10</v>
      </c>
      <c r="Z14" s="15">
        <f>IFERROR((DL/(RadSpec!H14*IFA_rec_adj)),".")</f>
        <v>1071.5443364863524</v>
      </c>
      <c r="AA14" s="15">
        <f>IFERROR((DL/(RadSpec!K14*EF_rec*(1/365)*1*ET_rec*(1/24)*GSF_a)),".")</f>
        <v>107908.93777307156</v>
      </c>
      <c r="AB14" s="15">
        <f t="shared" ref="AB14" si="23">IFERROR(IF(AND(Z14&lt;&gt;0,AA14&lt;&gt;0),1/((1/Z14)+(1/AA14)),IF(AND(Z14&lt;&gt;0,AA14=0),1/((1/Z14)),IF(AND(Z14=0,AA14&lt;&gt;0),1/((1/AA14)),IF(AND(Z14=0,AA14=0),0)))),0)</f>
        <v>1061.0084382885295</v>
      </c>
      <c r="AC14" s="189">
        <f>AB14*(0.0000000000000028)*RadSpec!$AY14*RadSpec!$AF14</f>
        <v>5.1141393906562151E-11</v>
      </c>
      <c r="AD14" s="15">
        <f>IFERROR(DL/(RadSpec!I14*IFW_rec_adj),".")</f>
        <v>24309.908548555031</v>
      </c>
      <c r="AE14" s="15">
        <f>IFERROR(DL/(RadSpec!M14*(1/8760)*DFA_rec_adj),".")</f>
        <v>49276.643012629225</v>
      </c>
      <c r="AF14" s="15">
        <f>IFERROR(AN14/(RadSpec!AI14*Q_w_game*(1/1000)),".")</f>
        <v>546000546000.54596</v>
      </c>
      <c r="AG14" s="15" t="str">
        <f>IFERROR(AN14/(RadSpec!AL14*Q_w_fowl*(1/1000)),".")</f>
        <v>.</v>
      </c>
      <c r="AH14" s="233">
        <f t="shared" si="2"/>
        <v>4.1135489999999999E-5</v>
      </c>
      <c r="AI14" s="233">
        <f t="shared" si="3"/>
        <v>2.0293590205479454E-5</v>
      </c>
      <c r="AJ14" s="233">
        <f t="shared" si="12"/>
        <v>1.8315E-12</v>
      </c>
      <c r="AK14" s="233">
        <f t="shared" si="13"/>
        <v>0</v>
      </c>
      <c r="AL14" s="2">
        <f t="shared" si="14"/>
        <v>16278.934453196191</v>
      </c>
      <c r="AM14" s="189">
        <f>AL14*(0.0000000000000028)*RadSpec!$AY14*RadSpec!$AF14</f>
        <v>7.8465671827542575E-10</v>
      </c>
      <c r="AN14" s="15">
        <f>IFERROR(DL/(RadSpec!F14*EF_rec*1*IRGL_rec*CF_game),".")</f>
        <v>2730.00273000273</v>
      </c>
      <c r="AO14" s="15">
        <f>IFERROR(DL/(RadSpec!F14*EF_rec*1*IRGF_rec*CF_fowl),".")</f>
        <v>2730.00273000273</v>
      </c>
      <c r="AP14" s="189">
        <f>IFERROR(AN14*(0.0000000000028)*RadSpec!$AY14*RadSpec!$AF14,0)</f>
        <v>1.3158815702377342E-7</v>
      </c>
      <c r="AQ14" s="189">
        <f>IFERROR(AO14*(0.0000000000028)*RadSpec!$AY14*RadSpec!$AF14,0)</f>
        <v>1.3158815702377342E-7</v>
      </c>
    </row>
    <row r="15" spans="1:43" customFormat="1" x14ac:dyDescent="0.25">
      <c r="A15" s="44" t="s">
        <v>13</v>
      </c>
      <c r="B15" s="42" t="s">
        <v>1057</v>
      </c>
      <c r="C15" s="42"/>
      <c r="D15" s="15">
        <f>IFERROR(((DL)/(RadSpec!E15*IFS_rec_adj*(1/1000))),".")</f>
        <v>392203.35037751042</v>
      </c>
      <c r="E15" s="15">
        <f>IFERROR(IF(A15="H-3",(DL/(RadSpec!H15*IFA_rec_adj*(1/17)*1000))*RadSpec!#REF!,(DL/(RadSpec!H15*IFA_rec_adj*(1/PEF_wind)*1000))),".")</f>
        <v>95158829460.185501</v>
      </c>
      <c r="F15" s="15">
        <f>IFERROR((DL/(RadSpec!G15*EF_rec*(1/365)*1*d_acf!D15*ET_rec*(1/24)*RadSpec!W15)),".")</f>
        <v>172392.5188731433</v>
      </c>
      <c r="G15" s="15">
        <f>IFERROR((AN15/(RadSpec!AI15*((Q_p_game*f_p_game*f_s_game*(RadSpec!BD15+R_es_past))+(Q_s_game*f_p_game)))),".")</f>
        <v>54580506.565963157</v>
      </c>
      <c r="H15" s="15" t="str">
        <f>IFERROR((AN15/(RadSpec!AL15*((Q_p_fowl*f_p_fowl*f_s_fowl*(RadSpec!BD15+R_es_past))+(Q_s_fowl*f_p_fowl)))),".")</f>
        <v>.</v>
      </c>
      <c r="I15" s="233">
        <f t="shared" si="5"/>
        <v>2.54969775E-6</v>
      </c>
      <c r="J15" s="233">
        <f t="shared" si="6"/>
        <v>1.050874633150464E-11</v>
      </c>
      <c r="K15" s="233">
        <f t="shared" si="7"/>
        <v>5.8007157534246575E-6</v>
      </c>
      <c r="L15" s="233">
        <f t="shared" si="8"/>
        <v>1.832155952586208E-8</v>
      </c>
      <c r="M15" s="233">
        <f t="shared" si="9"/>
        <v>0</v>
      </c>
      <c r="N15" s="15">
        <f t="shared" si="10"/>
        <v>119492.22155612022</v>
      </c>
      <c r="O15" s="247">
        <f>IFERROR(N15*(0.0000000000028)*RadSpec!$AY15*RadSpec!$AF15,0)</f>
        <v>2.5967127479651691E-8</v>
      </c>
      <c r="P15" s="15">
        <f>IFERROR((DL/(RadSpec!G15*EF_rec*(1/365)*1*d_acf!D15*ET_rec*(1/24)*RadSpec!W15)),".")</f>
        <v>172392.5188731433</v>
      </c>
      <c r="Q15" s="15">
        <f>IFERROR((DL/(RadSpec!N15*EF_rec*(1/365)*1*d_acf!E15*ET_rec*(1/24)*RadSpec!S15)),".")</f>
        <v>488566.70257297292</v>
      </c>
      <c r="R15" s="15">
        <f>IFERROR((DL/(RadSpec!O15*EF_rec*(1/365)*1*d_acf!F15*ET_rec*(1/24)*RadSpec!T15)),".")</f>
        <v>241986.0156944505</v>
      </c>
      <c r="S15" s="15">
        <f>IFERROR((DL/(RadSpec!P15*EF_rec*(1/365)*1*d_acf!G15*ET_rec*(1/24)*RadSpec!Z15)),".")</f>
        <v>174997.94736996666</v>
      </c>
      <c r="T15" s="15">
        <f>IFERROR((DL/(RadSpec!L15*EF_rec*(1/365)*1*d_acf!C15*ET_rec*(1/24)*RadSpec!V15)),".")</f>
        <v>34801.273702781036</v>
      </c>
      <c r="U15" s="189">
        <f>P15*(0.0000000000028)*RadSpec!$AY15*RadSpec!$AF15</f>
        <v>3.7463011866548477E-8</v>
      </c>
      <c r="V15" s="189">
        <f>Q15*(0.0000000000028)*RadSpec!$AY15*RadSpec!$AF15</f>
        <v>1.061715455852253E-7</v>
      </c>
      <c r="W15" s="189">
        <f>R15*(0.0000000000028)*RadSpec!$AY15*RadSpec!$AF15</f>
        <v>5.2586533550048882E-8</v>
      </c>
      <c r="X15" s="189">
        <f>S15*(0.0000000000028)*RadSpec!$AY15*RadSpec!$AF15</f>
        <v>3.8029203481660049E-8</v>
      </c>
      <c r="Y15" s="189">
        <f>T15*(0.0000000000000028)*RadSpec!$AY15*RadSpec!$AF15</f>
        <v>7.5627442433141335E-12</v>
      </c>
      <c r="Z15" s="15">
        <f>IFERROR((DL/(RadSpec!H15*IFA_rec_adj)),".")</f>
        <v>70003.46954695943</v>
      </c>
      <c r="AA15" s="15">
        <f>IFERROR((DL/(RadSpec!K15*EF_rec*(1/365)*1*ET_rec*(1/24)*GSF_a)),".")</f>
        <v>10003158.531563735</v>
      </c>
      <c r="AB15" s="15">
        <f t="shared" ref="AB15:AB16" si="24">IFERROR(IF(AND(Z15&lt;&gt;0,AA15&lt;&gt;0),1/((1/Z15)+(1/AA15)),IF(AND(Z15&lt;&gt;0,AA15=0),1/((1/Z15)),IF(AND(Z15=0,AA15&lt;&gt;0),1/((1/AA15)),IF(AND(Z15=0,AA15=0),0)))),0)</f>
        <v>69516.980225327192</v>
      </c>
      <c r="AC15" s="189">
        <f>AB15*(0.0000000000000028)*RadSpec!$AY15*RadSpec!$AF15</f>
        <v>1.5106893687332566E-11</v>
      </c>
      <c r="AD15" s="15">
        <f>IFERROR(DL/(RadSpec!I15*IFW_rec_adj),".")</f>
        <v>429572.68117928569</v>
      </c>
      <c r="AE15" s="15">
        <f>IFERROR(DL/(RadSpec!M15*(1/8760)*DFA_rec_adj),".")</f>
        <v>8931391.5460390467</v>
      </c>
      <c r="AF15" s="15">
        <f>IFERROR(AN15/(RadSpec!AI15*Q_w_game*(1/1000)),".")</f>
        <v>68915731566.333969</v>
      </c>
      <c r="AG15" s="15" t="str">
        <f>IFERROR(AN15/(RadSpec!AL15*Q_w_fowl*(1/1000)),".")</f>
        <v>.</v>
      </c>
      <c r="AH15" s="233">
        <f t="shared" si="2"/>
        <v>2.327894775E-6</v>
      </c>
      <c r="AI15" s="233">
        <f t="shared" si="3"/>
        <v>1.1196463561643838E-7</v>
      </c>
      <c r="AJ15" s="233">
        <f t="shared" si="12"/>
        <v>1.4510475000000001E-11</v>
      </c>
      <c r="AK15" s="233">
        <f t="shared" si="13"/>
        <v>0</v>
      </c>
      <c r="AL15" s="2">
        <f t="shared" si="14"/>
        <v>409857.24358767935</v>
      </c>
      <c r="AM15" s="189">
        <f>AL15*(0.0000000000000028)*RadSpec!$AY15*RadSpec!$AF15</f>
        <v>8.9067013351170014E-11</v>
      </c>
      <c r="AN15" s="15">
        <f>IFERROR(DL/(RadSpec!F15*EF_rec*1*IRGL_rec*CF_game),".")</f>
        <v>48241.012096433777</v>
      </c>
      <c r="AO15" s="15">
        <f>IFERROR(DL/(RadSpec!F15*EF_rec*1*IRGF_rec*CF_fowl),".")</f>
        <v>48241.012096433777</v>
      </c>
      <c r="AP15" s="189">
        <f>IFERROR(AN15*(0.0000000000028)*RadSpec!$AY15*RadSpec!$AF15,0)</f>
        <v>1.048336447797304E-8</v>
      </c>
      <c r="AQ15" s="189">
        <f>IFERROR(AO15*(0.0000000000028)*RadSpec!$AY15*RadSpec!$AF15,0)</f>
        <v>1.048336447797304E-8</v>
      </c>
    </row>
    <row r="16" spans="1:43" customFormat="1" x14ac:dyDescent="0.25">
      <c r="A16" s="44" t="s">
        <v>14</v>
      </c>
      <c r="B16" s="42" t="s">
        <v>1057</v>
      </c>
      <c r="C16" s="238"/>
      <c r="D16" s="15">
        <f>IFERROR(((DL)/(RadSpec!E16*IFS_rec_adj*(1/1000))),".")</f>
        <v>28.723127718823555</v>
      </c>
      <c r="E16" s="15">
        <f>IFERROR(IF(A16="H-3",(DL/(RadSpec!H16*IFA_rec_adj*(1/17)*1000))*RadSpec!#REF!,(DL/(RadSpec!H16*IFA_rec_adj*(1/PEF_wind)*1000))),".")</f>
        <v>1101506.8484777689</v>
      </c>
      <c r="F16" s="15">
        <f>IFERROR((DL/(RadSpec!G16*EF_rec*(1/365)*1*d_acf!D16*ET_rec*(1/24)*RadSpec!W16)),".")</f>
        <v>424389.81852006185</v>
      </c>
      <c r="G16" s="15">
        <f>IFERROR((AN16/(RadSpec!AI16*((Q_p_game*f_p_game*f_s_game*(RadSpec!BD16+R_es_past))+(Q_s_game*f_p_game)))),".")</f>
        <v>3997.2194514484781</v>
      </c>
      <c r="H16" s="15" t="str">
        <f>IFERROR((AN16/(RadSpec!AL16*((Q_p_fowl*f_p_fowl*f_s_fowl*(RadSpec!BD16+R_es_past))+(Q_s_fowl*f_p_fowl)))),".")</f>
        <v>.</v>
      </c>
      <c r="I16" s="233">
        <f t="shared" si="5"/>
        <v>3.4815150000000003E-2</v>
      </c>
      <c r="J16" s="233">
        <f t="shared" si="6"/>
        <v>9.0784728336637522E-7</v>
      </c>
      <c r="K16" s="233">
        <f t="shared" si="7"/>
        <v>2.3563242009132408E-6</v>
      </c>
      <c r="L16" s="233">
        <f t="shared" si="8"/>
        <v>2.5017390517241393E-4</v>
      </c>
      <c r="M16" s="233">
        <f t="shared" si="9"/>
        <v>0</v>
      </c>
      <c r="N16" s="15">
        <f t="shared" si="10"/>
        <v>28.515547812021754</v>
      </c>
      <c r="O16" s="247">
        <f>IFERROR(N16*(0.0000000000028)*RadSpec!$AY16*RadSpec!$AF16,0)</f>
        <v>3.7223055491900723E-7</v>
      </c>
      <c r="P16" s="15">
        <f>IFERROR((DL/(RadSpec!G16*EF_rec*(1/365)*1*d_acf!D16*ET_rec*(1/24)*RadSpec!W16)),".")</f>
        <v>424389.81852006185</v>
      </c>
      <c r="Q16" s="15">
        <f>IFERROR((DL/(RadSpec!N16*EF_rec*(1/365)*1*d_acf!E16*ET_rec*(1/24)*RadSpec!S16)),".")</f>
        <v>583530.77192898234</v>
      </c>
      <c r="R16" s="15">
        <f>IFERROR((DL/(RadSpec!O16*EF_rec*(1/365)*1*d_acf!F16*ET_rec*(1/24)*RadSpec!T16)),".")</f>
        <v>412386.87415787758</v>
      </c>
      <c r="S16" s="15">
        <f>IFERROR((DL/(RadSpec!P16*EF_rec*(1/365)*1*d_acf!G16*ET_rec*(1/24)*RadSpec!Z16)),".")</f>
        <v>384036.10056251351</v>
      </c>
      <c r="T16" s="15">
        <f>IFERROR((DL/(RadSpec!L16*EF_rec*(1/365)*1*d_acf!C16*ET_rec*(1/24)*RadSpec!V16)),".")</f>
        <v>364037.26028066827</v>
      </c>
      <c r="U16" s="189">
        <f>P16*(0.0000000000028)*RadSpec!$AY16*RadSpec!$AF16</f>
        <v>5.53981493503348E-3</v>
      </c>
      <c r="V16" s="189">
        <f>Q16*(0.0000000000028)*RadSpec!$AY16*RadSpec!$AF16</f>
        <v>7.6171772844521642E-3</v>
      </c>
      <c r="W16" s="189">
        <f>R16*(0.0000000000028)*RadSpec!$AY16*RadSpec!$AF16</f>
        <v>5.3831333005072719E-3</v>
      </c>
      <c r="X16" s="189">
        <f>S16*(0.0000000000028)*RadSpec!$AY16*RadSpec!$AF16</f>
        <v>5.0130536423028263E-3</v>
      </c>
      <c r="Y16" s="189">
        <f>T16*(0.0000000000000028)*RadSpec!$AY16*RadSpec!$AF16</f>
        <v>4.7519967807997314E-6</v>
      </c>
      <c r="Z16" s="15">
        <f>IFERROR((DL/(RadSpec!H16*IFA_rec_adj)),".")</f>
        <v>0.81032208530311234</v>
      </c>
      <c r="AA16" s="15">
        <f>IFERROR((DL/(RadSpec!K16*EF_rec*(1/365)*1*ET_rec*(1/24)*GSF_a)),".")</f>
        <v>21238128.517120451</v>
      </c>
      <c r="AB16" s="15">
        <f t="shared" si="24"/>
        <v>0.81032205438598814</v>
      </c>
      <c r="AC16" s="189">
        <f>AB16*(0.0000000000000028)*RadSpec!$AY16*RadSpec!$AF16</f>
        <v>1.0577619969132935E-11</v>
      </c>
      <c r="AD16" s="15">
        <f>IFERROR(DL/(RadSpec!I16*IFW_rec_adj),".")</f>
        <v>31.459881651071214</v>
      </c>
      <c r="AE16" s="15">
        <f>IFERROR(DL/(RadSpec!M16*(1/8760)*DFA_rec_adj),".")</f>
        <v>9177209.661985077</v>
      </c>
      <c r="AF16" s="15">
        <f>IFERROR(AN16/(RadSpec!AI16*Q_w_game*(1/1000)),".")</f>
        <v>5047063.8705932824</v>
      </c>
      <c r="AG16" s="15" t="str">
        <f>IFERROR(AN16/(RadSpec!AL16*Q_w_fowl*(1/1000)),".")</f>
        <v>.</v>
      </c>
      <c r="AH16" s="233">
        <f t="shared" si="2"/>
        <v>3.1786515000000001E-2</v>
      </c>
      <c r="AI16" s="233">
        <f t="shared" si="3"/>
        <v>1.0896558287671232E-7</v>
      </c>
      <c r="AJ16" s="233">
        <f t="shared" si="12"/>
        <v>1.9813499999999999E-7</v>
      </c>
      <c r="AK16" s="233">
        <f t="shared" si="13"/>
        <v>0</v>
      </c>
      <c r="AL16" s="2">
        <f t="shared" si="14"/>
        <v>31.459577709143282</v>
      </c>
      <c r="AM16" s="189">
        <f>AL16*(0.0000000000000028)*RadSpec!$AY16*RadSpec!$AF16</f>
        <v>4.1066074358407272E-10</v>
      </c>
      <c r="AN16" s="15">
        <f>IFERROR(DL/(RadSpec!F16*EF_rec*1*IRGL_rec*CF_game),".")</f>
        <v>3.5329447094152973</v>
      </c>
      <c r="AO16" s="15">
        <f>IFERROR(DL/(RadSpec!F16*EF_rec*1*IRGF_rec*CF_fowl),".")</f>
        <v>3.5329447094152973</v>
      </c>
      <c r="AP16" s="189">
        <f>IFERROR(AN16*(0.0000000000028)*RadSpec!$AY16*RadSpec!$AF16,0)</f>
        <v>4.6117647058823533E-8</v>
      </c>
      <c r="AQ16" s="189">
        <f>IFERROR(AO16*(0.0000000000028)*RadSpec!$AY16*RadSpec!$AF16,0)</f>
        <v>4.6117647058823533E-8</v>
      </c>
    </row>
    <row r="17" spans="1:43" customFormat="1" x14ac:dyDescent="0.25">
      <c r="A17" s="44" t="s">
        <v>15</v>
      </c>
      <c r="B17" s="42" t="s">
        <v>1057</v>
      </c>
      <c r="C17" s="238"/>
      <c r="D17" s="15">
        <f>IFERROR(((DL)/(RadSpec!E17*IFS_rec_adj*(1/1000))),".")</f>
        <v>147224.07172462324</v>
      </c>
      <c r="E17" s="15">
        <f>IFERROR(IF(A17="H-3",(DL/(RadSpec!H17*IFA_rec_adj*(1/17)*1000))*RadSpec!#REF!,(DL/(RadSpec!H17*IFA_rec_adj*(1/PEF_wind)*1000))),".")</f>
        <v>527375950.56625545</v>
      </c>
      <c r="F17" s="15">
        <f>IFERROR((DL/(RadSpec!G17*EF_rec*(1/365)*1*d_acf!D17*ET_rec*(1/24)*RadSpec!W17)),".")</f>
        <v>1143.3294598172683</v>
      </c>
      <c r="G17" s="15">
        <f>IFERROR((AN17/(RadSpec!AI17*((Q_p_game*f_p_game*f_s_game*(RadSpec!BD17+R_es_past))+(Q_s_game*f_p_game)))),".")</f>
        <v>20488260.504911799</v>
      </c>
      <c r="H17" s="15" t="str">
        <f>IFERROR((AN17/(RadSpec!AL17*((Q_p_fowl*f_p_fowl*f_s_fowl*(RadSpec!BD17+R_es_past))+(Q_s_fowl*f_p_fowl)))),".")</f>
        <v>.</v>
      </c>
      <c r="I17" s="233">
        <f t="shared" si="5"/>
        <v>6.7923675000000015E-6</v>
      </c>
      <c r="J17" s="233">
        <f t="shared" si="6"/>
        <v>1.8961805120735548E-9</v>
      </c>
      <c r="K17" s="233">
        <f t="shared" si="7"/>
        <v>8.7463853171405566E-4</v>
      </c>
      <c r="L17" s="233">
        <f t="shared" si="8"/>
        <v>4.8808438362068988E-8</v>
      </c>
      <c r="M17" s="233">
        <f t="shared" si="9"/>
        <v>0</v>
      </c>
      <c r="N17" s="15">
        <f t="shared" si="10"/>
        <v>1134.4536240481013</v>
      </c>
      <c r="O17" s="247">
        <f>IFERROR(N17*(0.0000000000028)*RadSpec!$AY17*RadSpec!$AF17,0)</f>
        <v>3.4660752642682379E-11</v>
      </c>
      <c r="P17" s="15">
        <f>IFERROR((DL/(RadSpec!G17*EF_rec*(1/365)*1*d_acf!D17*ET_rec*(1/24)*RadSpec!W17)),".")</f>
        <v>1143.3294598172683</v>
      </c>
      <c r="Q17" s="15">
        <f>IFERROR((DL/(RadSpec!N17*EF_rec*(1/365)*1*d_acf!E17*ET_rec*(1/24)*RadSpec!S17)),".")</f>
        <v>8222.1742006037712</v>
      </c>
      <c r="R17" s="15">
        <f>IFERROR((DL/(RadSpec!O17*EF_rec*(1/365)*1*d_acf!F17*ET_rec*(1/24)*RadSpec!T17)),".")</f>
        <v>2034.4762510986561</v>
      </c>
      <c r="S17" s="15">
        <f>IFERROR((DL/(RadSpec!P17*EF_rec*(1/365)*1*d_acf!G17*ET_rec*(1/24)*RadSpec!Z17)),".")</f>
        <v>1183.0209817132829</v>
      </c>
      <c r="T17" s="15">
        <f>IFERROR((DL/(RadSpec!L17*EF_rec*(1/365)*1*d_acf!C17*ET_rec*(1/24)*RadSpec!V17)),".")</f>
        <v>10025.803771645416</v>
      </c>
      <c r="U17" s="189">
        <f>P17*(0.0000000000028)*RadSpec!$AY17*RadSpec!$AF17</f>
        <v>3.4931934418270876E-11</v>
      </c>
      <c r="V17" s="189">
        <f>Q17*(0.0000000000028)*RadSpec!$AY17*RadSpec!$AF17</f>
        <v>2.5121057406934466E-10</v>
      </c>
      <c r="W17" s="189">
        <f>R17*(0.0000000000028)*RadSpec!$AY17*RadSpec!$AF17</f>
        <v>6.2158978209366056E-11</v>
      </c>
      <c r="X17" s="189">
        <f>S17*(0.0000000000028)*RadSpec!$AY17*RadSpec!$AF17</f>
        <v>3.6144622176753494E-11</v>
      </c>
      <c r="Y17" s="189">
        <f>T17*(0.0000000000000028)*RadSpec!$AY17*RadSpec!$AF17</f>
        <v>3.0631653617807084E-13</v>
      </c>
      <c r="Z17" s="15">
        <f>IFERROR((DL/(RadSpec!H17*IFA_rec_adj)),".")</f>
        <v>387.96343444630344</v>
      </c>
      <c r="AA17" s="15">
        <f>IFERROR((DL/(RadSpec!K17*EF_rec*(1/365)*1*ET_rec*(1/24)*GSF_a)),".")</f>
        <v>90118.545329403001</v>
      </c>
      <c r="AB17" s="15">
        <f t="shared" ref="AB17" si="25">IFERROR(IF(AND(Z17&lt;&gt;0,AA17&lt;&gt;0),1/((1/Z17)+(1/AA17)),IF(AND(Z17&lt;&gt;0,AA17=0),1/((1/Z17)),IF(AND(Z17=0,AA17&lt;&gt;0),1/((1/AA17)),IF(AND(Z17=0,AA17=0),0)))),0)</f>
        <v>386.30039795839622</v>
      </c>
      <c r="AC17" s="189">
        <f>AB17*(0.0000000000000028)*RadSpec!$AY17*RadSpec!$AF17</f>
        <v>1.1802564913696304E-14</v>
      </c>
      <c r="AD17" s="15">
        <f>IFERROR(DL/(RadSpec!I17*IFW_rec_adj),".")</f>
        <v>161251.65469393285</v>
      </c>
      <c r="AE17" s="15">
        <f>IFERROR(DL/(RadSpec!M17*(1/8760)*DFA_rec_adj),".")</f>
        <v>41506.881873708437</v>
      </c>
      <c r="AF17" s="15">
        <f>IFERROR(AN17/(RadSpec!AI17*Q_w_game*(1/1000)),".")</f>
        <v>25869372603.040943</v>
      </c>
      <c r="AG17" s="15" t="str">
        <f>IFERROR(AN17/(RadSpec!AL17*Q_w_fowl*(1/1000)),".")</f>
        <v>.</v>
      </c>
      <c r="AH17" s="233">
        <f t="shared" si="2"/>
        <v>6.2014867500000003E-6</v>
      </c>
      <c r="AI17" s="233">
        <f t="shared" si="3"/>
        <v>2.4092390342465754E-5</v>
      </c>
      <c r="AJ17" s="233">
        <f t="shared" si="12"/>
        <v>3.8655750000000001E-11</v>
      </c>
      <c r="AK17" s="233">
        <f t="shared" si="13"/>
        <v>0</v>
      </c>
      <c r="AL17" s="2">
        <f t="shared" si="14"/>
        <v>33009.928736561495</v>
      </c>
      <c r="AM17" s="189">
        <f>AL17*(0.0000000000000028)*RadSpec!$AY17*RadSpec!$AF17</f>
        <v>1.0085462732340114E-12</v>
      </c>
      <c r="AN17" s="15">
        <f>IFERROR(DL/(RadSpec!F17*EF_rec*1*IRGL_rec*CF_game),".")</f>
        <v>18108.56082212866</v>
      </c>
      <c r="AO17" s="15">
        <f>IFERROR(DL/(RadSpec!F17*EF_rec*1*IRGF_rec*CF_fowl),".")</f>
        <v>18108.56082212866</v>
      </c>
      <c r="AP17" s="189">
        <f>IFERROR(AN17*(0.0000000000028)*RadSpec!$AY17*RadSpec!$AF17,0)</f>
        <v>5.5326752373630535E-10</v>
      </c>
      <c r="AQ17" s="189">
        <f>IFERROR(AO17*(0.0000000000028)*RadSpec!$AY17*RadSpec!$AF17,0)</f>
        <v>5.5326752373630535E-10</v>
      </c>
    </row>
    <row r="18" spans="1:43" customFormat="1" x14ac:dyDescent="0.25">
      <c r="A18" s="44" t="s">
        <v>16</v>
      </c>
      <c r="B18" s="42" t="s">
        <v>1057</v>
      </c>
      <c r="C18" s="238"/>
      <c r="D18" s="15">
        <f>IFERROR(((DL)/(RadSpec!E18*IFS_rec_adj*(1/1000))),".")</f>
        <v>16.741480156114303</v>
      </c>
      <c r="E18" s="15">
        <f>IFERROR(IF(A18="H-3",(DL/(RadSpec!H18*IFA_rec_adj*(1/17)*1000))*RadSpec!#REF!,(DL/(RadSpec!H18*IFA_rec_adj*(1/PEF_wind)*1000))),".")</f>
        <v>1419249.2086155869</v>
      </c>
      <c r="F18" s="15">
        <f>IFERROR((DL/(RadSpec!G18*EF_rec*(1/365)*1*d_acf!D18*ET_rec*(1/24)*RadSpec!W18)),".")</f>
        <v>22013393.949983113</v>
      </c>
      <c r="G18" s="15">
        <f>IFERROR((AN18/(RadSpec!AI18*((Q_p_game*f_p_game*f_s_game*(RadSpec!BD18+R_es_past))+(Q_s_game*f_p_game)))),".")</f>
        <v>548.9993906343401</v>
      </c>
      <c r="H18" s="15">
        <f>IFERROR((AN18/(RadSpec!AL18*((Q_p_fowl*f_p_fowl*f_s_fowl*(RadSpec!BD18+R_es_past))+(Q_s_fowl*f_p_fowl)))),".")</f>
        <v>0.68624923829292517</v>
      </c>
      <c r="I18" s="233">
        <f t="shared" si="5"/>
        <v>5.9731874999999997E-2</v>
      </c>
      <c r="J18" s="233">
        <f t="shared" si="6"/>
        <v>7.0459789156793302E-7</v>
      </c>
      <c r="K18" s="233">
        <f t="shared" si="7"/>
        <v>4.5426888841952838E-8</v>
      </c>
      <c r="L18" s="233">
        <f t="shared" si="8"/>
        <v>1.8214956465517243E-3</v>
      </c>
      <c r="M18" s="233">
        <f t="shared" si="9"/>
        <v>1.4571965172413794</v>
      </c>
      <c r="N18" s="15">
        <f t="shared" si="10"/>
        <v>0.65843593743232642</v>
      </c>
      <c r="O18" s="247">
        <f>IFERROR(N18*(0.0000000000028)*RadSpec!$AY18*RadSpec!$AF18,0)</f>
        <v>1.4677725477135258E-10</v>
      </c>
      <c r="P18" s="15">
        <f>IFERROR((DL/(RadSpec!G18*EF_rec*(1/365)*1*d_acf!D18*ET_rec*(1/24)*RadSpec!W18)),".")</f>
        <v>22013393.949983113</v>
      </c>
      <c r="Q18" s="15">
        <f>IFERROR((DL/(RadSpec!N18*EF_rec*(1/365)*1*d_acf!E18*ET_rec*(1/24)*RadSpec!S18)),".")</f>
        <v>235931170.18229866</v>
      </c>
      <c r="R18" s="15">
        <f>IFERROR((DL/(RadSpec!O18*EF_rec*(1/365)*1*d_acf!F18*ET_rec*(1/24)*RadSpec!T18)),".")</f>
        <v>54987056.644858643</v>
      </c>
      <c r="S18" s="15">
        <f>IFERROR((DL/(RadSpec!P18*EF_rec*(1/365)*1*d_acf!G18*ET_rec*(1/24)*RadSpec!Z18)),".")</f>
        <v>27113793.961003933</v>
      </c>
      <c r="T18" s="15">
        <f>IFERROR((DL/(RadSpec!L18*EF_rec*(1/365)*1*d_acf!C18*ET_rec*(1/24)*RadSpec!V18)),".")</f>
        <v>362246929.09492135</v>
      </c>
      <c r="U18" s="189">
        <f>P18*(0.0000000000028)*RadSpec!$AY18*RadSpec!$AF18</f>
        <v>4.9071828381343626E-3</v>
      </c>
      <c r="V18" s="189">
        <f>Q18*(0.0000000000028)*RadSpec!$AY18*RadSpec!$AF18</f>
        <v>5.2593316229659431E-2</v>
      </c>
      <c r="W18" s="189">
        <f>R18*(0.0000000000028)*RadSpec!$AY18*RadSpec!$AF18</f>
        <v>1.2257607404849054E-2</v>
      </c>
      <c r="X18" s="189">
        <f>S18*(0.0000000000028)*RadSpec!$AY18*RadSpec!$AF18</f>
        <v>6.044154059317677E-3</v>
      </c>
      <c r="Y18" s="189">
        <f>T18*(0.0000000000000028)*RadSpec!$AY18*RadSpec!$AF18</f>
        <v>8.0751378804213731E-5</v>
      </c>
      <c r="Z18" s="15">
        <f>IFERROR((DL/(RadSpec!H18*IFA_rec_adj)),".")</f>
        <v>1.04406884067901</v>
      </c>
      <c r="AA18" s="15">
        <f>IFERROR((DL/(RadSpec!K18*EF_rec*(1/365)*1*ET_rec*(1/24)*GSF_a)),".")</f>
        <v>2247900793.609828</v>
      </c>
      <c r="AB18" s="15">
        <f t="shared" ref="AB18" si="26">IFERROR(IF(AND(Z18&lt;&gt;0,AA18&lt;&gt;0),1/((1/Z18)+(1/AA18)),IF(AND(Z18&lt;&gt;0,AA18=0),1/((1/Z18)),IF(AND(Z18=0,AA18&lt;&gt;0),1/((1/AA18)),IF(AND(Z18=0,AA18=0),0)))),0)</f>
        <v>1.0440688401940776</v>
      </c>
      <c r="AC18" s="189">
        <f>AB18*(0.0000000000000028)*RadSpec!$AY18*RadSpec!$AF18</f>
        <v>2.3274178920670958E-13</v>
      </c>
      <c r="AD18" s="15">
        <f>IFERROR(DL/(RadSpec!I18*IFW_rec_adj),".")</f>
        <v>18.336616733767226</v>
      </c>
      <c r="AE18" s="15">
        <f>IFERROR(DL/(RadSpec!M18*(1/8760)*DFA_rec_adj),".")</f>
        <v>1036596739.0221485</v>
      </c>
      <c r="AF18" s="15">
        <f>IFERROR(AN18/(RadSpec!AI18*Q_w_game*(1/1000)),".")</f>
        <v>686400.68640068639</v>
      </c>
      <c r="AG18" s="15">
        <f>IFERROR(AN18/(RadSpec!AL18*Q_w_fowl*(1/1000)),".")</f>
        <v>858.0008580008581</v>
      </c>
      <c r="AH18" s="233">
        <f t="shared" si="2"/>
        <v>5.4535687499999992E-2</v>
      </c>
      <c r="AI18" s="233">
        <f t="shared" si="3"/>
        <v>9.6469529794520554E-10</v>
      </c>
      <c r="AJ18" s="233">
        <f t="shared" si="12"/>
        <v>1.4568749999999999E-6</v>
      </c>
      <c r="AK18" s="233">
        <f t="shared" si="13"/>
        <v>1.1654999999999999E-3</v>
      </c>
      <c r="AL18" s="2">
        <f t="shared" si="14"/>
        <v>17.952468754430441</v>
      </c>
      <c r="AM18" s="189">
        <f>AL18*(0.0000000000000028)*RadSpec!$AY18*RadSpec!$AF18</f>
        <v>4.0019293151273487E-12</v>
      </c>
      <c r="AN18" s="15">
        <f>IFERROR(DL/(RadSpec!F18*EF_rec*1*IRGL_rec*CF_game),".")</f>
        <v>2.0592020592020592</v>
      </c>
      <c r="AO18" s="15">
        <f>IFERROR(DL/(RadSpec!F18*EF_rec*1*IRGF_rec*CF_fowl),".")</f>
        <v>2.0592020592020592</v>
      </c>
      <c r="AP18" s="189">
        <f>IFERROR(AN18*(0.0000000000028)*RadSpec!$AY18*RadSpec!$AF18,0)</f>
        <v>4.5903330618289485E-10</v>
      </c>
      <c r="AQ18" s="189">
        <f>IFERROR(AO18*(0.0000000000028)*RadSpec!$AY18*RadSpec!$AF18,0)</f>
        <v>4.5903330618289485E-10</v>
      </c>
    </row>
    <row r="19" spans="1:43" customFormat="1" x14ac:dyDescent="0.25">
      <c r="A19" s="44" t="s">
        <v>17</v>
      </c>
      <c r="B19" s="42" t="s">
        <v>1057</v>
      </c>
      <c r="C19" s="42"/>
      <c r="D19" s="15" t="str">
        <f>IFERROR(((DL)/(RadSpec!E19*IFS_rec_adj*(1/1000))),".")</f>
        <v>.</v>
      </c>
      <c r="E19" s="15" t="str">
        <f>IFERROR(IF(A19="H-3",(DL/(RadSpec!H19*IFA_rec_adj*(1/17)*1000))*RadSpec!#REF!,(DL/(RadSpec!H19*IFA_rec_adj*(1/PEF_wind)*1000))),".")</f>
        <v>.</v>
      </c>
      <c r="F19" s="15">
        <f>IFERROR((DL/(RadSpec!G19*EF_rec*(1/365)*1*d_acf!D19*ET_rec*(1/24)*RadSpec!W19)),".")</f>
        <v>5787065.8737971205</v>
      </c>
      <c r="G19" s="15" t="str">
        <f>IFERROR((AN19/(RadSpec!AI19*((Q_p_game*f_p_game*f_s_game*(RadSpec!BD19+R_es_past))+(Q_s_game*f_p_game)))),".")</f>
        <v>.</v>
      </c>
      <c r="H19" s="15" t="str">
        <f>IFERROR((AN19/(RadSpec!AL19*((Q_p_fowl*f_p_fowl*f_s_fowl*(RadSpec!BD19+R_es_past))+(Q_s_fowl*f_p_fowl)))),".")</f>
        <v>.</v>
      </c>
      <c r="I19" s="233">
        <f t="shared" si="5"/>
        <v>0</v>
      </c>
      <c r="J19" s="233">
        <f t="shared" si="6"/>
        <v>0</v>
      </c>
      <c r="K19" s="233">
        <f t="shared" si="7"/>
        <v>1.7279913894324843E-7</v>
      </c>
      <c r="L19" s="233">
        <f t="shared" si="8"/>
        <v>0</v>
      </c>
      <c r="M19" s="233">
        <f t="shared" si="9"/>
        <v>0</v>
      </c>
      <c r="N19" s="15">
        <f t="shared" si="10"/>
        <v>5787065.8737971205</v>
      </c>
      <c r="O19" s="247">
        <f>IFERROR(N19*(0.0000000000028)*RadSpec!$AY19*RadSpec!$AF19,0)</f>
        <v>4.5966215011278864E-16</v>
      </c>
      <c r="P19" s="15">
        <f>IFERROR((DL/(RadSpec!G19*EF_rec*(1/365)*1*d_acf!D19*ET_rec*(1/24)*RadSpec!W19)),".")</f>
        <v>5787065.8737971205</v>
      </c>
      <c r="Q19" s="15">
        <f>IFERROR((DL/(RadSpec!N19*EF_rec*(1/365)*1*d_acf!E19*ET_rec*(1/24)*RadSpec!S19)),".")</f>
        <v>60741951.712769963</v>
      </c>
      <c r="R19" s="15">
        <f>IFERROR((DL/(RadSpec!O19*EF_rec*(1/365)*1*d_acf!F19*ET_rec*(1/24)*RadSpec!T19)),".")</f>
        <v>14254556.526746746</v>
      </c>
      <c r="S19" s="15">
        <f>IFERROR((DL/(RadSpec!P19*EF_rec*(1/365)*1*d_acf!G19*ET_rec*(1/24)*RadSpec!Z19)),".")</f>
        <v>7006826.8200361859</v>
      </c>
      <c r="T19" s="15">
        <f>IFERROR((DL/(RadSpec!L19*EF_rec*(1/365)*1*d_acf!C19*ET_rec*(1/24)*RadSpec!V19)),".")</f>
        <v>92885197.123195454</v>
      </c>
      <c r="U19" s="189">
        <f>P19*(0.0000000000028)*RadSpec!$AY19*RadSpec!$AF19</f>
        <v>4.5966215011278864E-16</v>
      </c>
      <c r="V19" s="189">
        <f>Q19*(0.0000000000028)*RadSpec!$AY19*RadSpec!$AF19</f>
        <v>4.824686073258591E-15</v>
      </c>
      <c r="W19" s="189">
        <f>R19*(0.0000000000028)*RadSpec!$AY19*RadSpec!$AF19</f>
        <v>1.1322283597386263E-15</v>
      </c>
      <c r="X19" s="189">
        <f>S19*(0.0000000000028)*RadSpec!$AY19*RadSpec!$AF19</f>
        <v>5.5654681522616092E-16</v>
      </c>
      <c r="Y19" s="189">
        <f>T19*(0.0000000000000028)*RadSpec!$AY19*RadSpec!$AF19</f>
        <v>7.3777991048309675E-18</v>
      </c>
      <c r="Z19" s="15" t="str">
        <f>IFERROR((DL/(RadSpec!H19*IFA_rec_adj)),".")</f>
        <v>.</v>
      </c>
      <c r="AA19" s="15">
        <f>IFERROR((DL/(RadSpec!K19*EF_rec*(1/365)*1*ET_rec*(1/24)*GSF_a)),".")</f>
        <v>584980031.08559847</v>
      </c>
      <c r="AB19" s="15">
        <f t="shared" ref="AB19:AB20" si="27">IFERROR(IF(AND(Z19&lt;&gt;0,AA19&lt;&gt;0),1/((1/Z19)+(1/AA19)),IF(AND(Z19&lt;&gt;0,AA19=0),1/((1/Z19)),IF(AND(Z19=0,AA19&lt;&gt;0),1/((1/AA19)),IF(AND(Z19=0,AA19=0),0)))),0)</f>
        <v>0</v>
      </c>
      <c r="AC19" s="189">
        <f>AB19*(0.0000000000000028)*RadSpec!$AY19*RadSpec!$AF19</f>
        <v>0</v>
      </c>
      <c r="AD19" s="15" t="str">
        <f>IFERROR(DL/(RadSpec!I19*IFW_rec_adj),".")</f>
        <v>.</v>
      </c>
      <c r="AE19" s="15">
        <f>IFERROR(DL/(RadSpec!M19*(1/8760)*DFA_rec_adj),".")</f>
        <v>269626914.59740525</v>
      </c>
      <c r="AF19" s="15" t="str">
        <f>IFERROR(AN19/(RadSpec!AI19*Q_w_game*(1/1000)),".")</f>
        <v>.</v>
      </c>
      <c r="AG19" s="15" t="str">
        <f>IFERROR(AN19/(RadSpec!AL19*Q_w_fowl*(1/1000)),".")</f>
        <v>.</v>
      </c>
      <c r="AH19" s="233">
        <f t="shared" si="2"/>
        <v>0</v>
      </c>
      <c r="AI19" s="233">
        <f t="shared" si="3"/>
        <v>3.7088285547945198E-9</v>
      </c>
      <c r="AJ19" s="233">
        <f t="shared" si="12"/>
        <v>0</v>
      </c>
      <c r="AK19" s="233">
        <f t="shared" si="13"/>
        <v>0</v>
      </c>
      <c r="AL19" s="2">
        <f t="shared" si="14"/>
        <v>269626914.59740525</v>
      </c>
      <c r="AM19" s="189">
        <f>AL19*(0.0000000000000028)*RadSpec!$AY19*RadSpec!$AF19</f>
        <v>2.1416256527040438E-17</v>
      </c>
      <c r="AN19" s="15" t="str">
        <f>IFERROR(DL/(RadSpec!F19*EF_rec*1*IRGL_rec*CF_game),".")</f>
        <v>.</v>
      </c>
      <c r="AO19" s="15" t="str">
        <f>IFERROR(DL/(RadSpec!F19*EF_rec*1*IRGF_rec*CF_fowl),".")</f>
        <v>.</v>
      </c>
      <c r="AP19" s="189">
        <f>IFERROR(AN19*(0.0000000000028)*RadSpec!$AY19*RadSpec!$AF19,0)</f>
        <v>0</v>
      </c>
      <c r="AQ19" s="189">
        <f>IFERROR(AO19*(0.0000000000028)*RadSpec!$AY19*RadSpec!$AF19,0)</f>
        <v>0</v>
      </c>
    </row>
    <row r="20" spans="1:43" customFormat="1" x14ac:dyDescent="0.25">
      <c r="A20" s="44" t="s">
        <v>18</v>
      </c>
      <c r="B20" s="42" t="s">
        <v>1057</v>
      </c>
      <c r="C20" s="238"/>
      <c r="D20" s="15" t="str">
        <f>IFERROR(((DL)/(RadSpec!E20*IFS_rec_adj*(1/1000))),".")</f>
        <v>.</v>
      </c>
      <c r="E20" s="15" t="str">
        <f>IFERROR(IF(A20="H-3",(DL/(RadSpec!H20*IFA_rec_adj*(1/17)*1000))*RadSpec!#REF!,(DL/(RadSpec!H20*IFA_rec_adj*(1/PEF_wind)*1000))),".")</f>
        <v>.</v>
      </c>
      <c r="F20" s="15">
        <f>IFERROR((DL/(RadSpec!G20*EF_rec*(1/365)*1*d_acf!D20*ET_rec*(1/24)*RadSpec!W20)),".")</f>
        <v>2593362.2780788653</v>
      </c>
      <c r="G20" s="15" t="str">
        <f>IFERROR((AN20/(RadSpec!AI20*((Q_p_game*f_p_game*f_s_game*(RadSpec!BD20+R_es_past))+(Q_s_game*f_p_game)))),".")</f>
        <v>.</v>
      </c>
      <c r="H20" s="15" t="str">
        <f>IFERROR((AN20/(RadSpec!AL20*((Q_p_fowl*f_p_fowl*f_s_fowl*(RadSpec!BD20+R_es_past))+(Q_s_fowl*f_p_fowl)))),".")</f>
        <v>.</v>
      </c>
      <c r="I20" s="233">
        <f t="shared" si="5"/>
        <v>0</v>
      </c>
      <c r="J20" s="233">
        <f t="shared" si="6"/>
        <v>0</v>
      </c>
      <c r="K20" s="233">
        <f t="shared" si="7"/>
        <v>3.8559980934896191E-7</v>
      </c>
      <c r="L20" s="233">
        <f t="shared" si="8"/>
        <v>0</v>
      </c>
      <c r="M20" s="233">
        <f t="shared" si="9"/>
        <v>0</v>
      </c>
      <c r="N20" s="15">
        <f t="shared" si="10"/>
        <v>2593362.2780788653</v>
      </c>
      <c r="O20" s="247">
        <f>IFERROR(N20*(0.0000000000028)*RadSpec!$AY20*RadSpec!$AF20,0)</f>
        <v>8.0959152027899487E-15</v>
      </c>
      <c r="P20" s="15">
        <f>IFERROR((DL/(RadSpec!G20*EF_rec*(1/365)*1*d_acf!D20*ET_rec*(1/24)*RadSpec!W20)),".")</f>
        <v>2593362.2780788653</v>
      </c>
      <c r="Q20" s="15">
        <f>IFERROR((DL/(RadSpec!N20*EF_rec*(1/365)*1*d_acf!E20*ET_rec*(1/24)*RadSpec!S20)),".")</f>
        <v>27675077.448361639</v>
      </c>
      <c r="R20" s="15">
        <f>IFERROR((DL/(RadSpec!O20*EF_rec*(1/365)*1*d_acf!F20*ET_rec*(1/24)*RadSpec!T20)),".")</f>
        <v>6451501.7122992538</v>
      </c>
      <c r="S20" s="15">
        <f>IFERROR((DL/(RadSpec!P20*EF_rec*(1/365)*1*d_acf!G20*ET_rec*(1/24)*RadSpec!Z20)),".")</f>
        <v>3161909.8151852889</v>
      </c>
      <c r="T20" s="15">
        <f>IFERROR((DL/(RadSpec!L20*EF_rec*(1/365)*1*d_acf!C20*ET_rec*(1/24)*RadSpec!V20)),".")</f>
        <v>42458830.738192312</v>
      </c>
      <c r="U20" s="189">
        <f>P20*(0.0000000000028)*RadSpec!$AY20*RadSpec!$AF20</f>
        <v>8.0959152027899487E-15</v>
      </c>
      <c r="V20" s="189">
        <f>Q20*(0.0000000000028)*RadSpec!$AY20*RadSpec!$AF20</f>
        <v>8.6395596229061302E-14</v>
      </c>
      <c r="W20" s="189">
        <f>R20*(0.0000000000028)*RadSpec!$AY20*RadSpec!$AF20</f>
        <v>2.014019068408789E-14</v>
      </c>
      <c r="X20" s="189">
        <f>S20*(0.0000000000028)*RadSpec!$AY20*RadSpec!$AF20</f>
        <v>9.8707974427593138E-15</v>
      </c>
      <c r="Y20" s="189">
        <f>T20*(0.0000000000000028)*RadSpec!$AY20*RadSpec!$AF20</f>
        <v>1.325472712283983E-16</v>
      </c>
      <c r="Z20" s="15" t="str">
        <f>IFERROR((DL/(RadSpec!H20*IFA_rec_adj)),".")</f>
        <v>.</v>
      </c>
      <c r="AA20" s="15">
        <f>IFERROR((DL/(RadSpec!K20*EF_rec*(1/365)*1*ET_rec*(1/24)*GSF_a)),".")</f>
        <v>263241013.98851931</v>
      </c>
      <c r="AB20" s="15">
        <f t="shared" si="27"/>
        <v>0</v>
      </c>
      <c r="AC20" s="189">
        <f>AB20*(0.0000000000000028)*RadSpec!$AY20*RadSpec!$AF20</f>
        <v>0</v>
      </c>
      <c r="AD20" s="15" t="str">
        <f>IFERROR(DL/(RadSpec!I20*IFW_rec_adj),".")</f>
        <v>.</v>
      </c>
      <c r="AE20" s="15">
        <f>IFERROR(DL/(RadSpec!M20*(1/8760)*DFA_rec_adj),".")</f>
        <v>121545061.13686191</v>
      </c>
      <c r="AF20" s="15" t="str">
        <f>IFERROR(AN20/(RadSpec!AI20*Q_w_game*(1/1000)),".")</f>
        <v>.</v>
      </c>
      <c r="AG20" s="15" t="str">
        <f>IFERROR(AN20/(RadSpec!AL20*Q_w_fowl*(1/1000)),".")</f>
        <v>.</v>
      </c>
      <c r="AH20" s="233">
        <f t="shared" si="2"/>
        <v>0</v>
      </c>
      <c r="AI20" s="233">
        <f t="shared" si="3"/>
        <v>8.2274013493150675E-9</v>
      </c>
      <c r="AJ20" s="233">
        <f t="shared" si="12"/>
        <v>0</v>
      </c>
      <c r="AK20" s="233">
        <f t="shared" si="13"/>
        <v>0</v>
      </c>
      <c r="AL20" s="2">
        <f t="shared" si="14"/>
        <v>121545061.13686191</v>
      </c>
      <c r="AM20" s="189">
        <f>AL20*(0.0000000000000028)*RadSpec!$AY20*RadSpec!$AF20</f>
        <v>3.7943734918937136E-16</v>
      </c>
      <c r="AN20" s="15" t="str">
        <f>IFERROR(DL/(RadSpec!F20*EF_rec*1*IRGL_rec*CF_game),".")</f>
        <v>.</v>
      </c>
      <c r="AO20" s="15" t="str">
        <f>IFERROR(DL/(RadSpec!F20*EF_rec*1*IRGF_rec*CF_fowl),".")</f>
        <v>.</v>
      </c>
      <c r="AP20" s="189">
        <f>IFERROR(AN20*(0.0000000000028)*RadSpec!$AY20*RadSpec!$AF20,0)</f>
        <v>0</v>
      </c>
      <c r="AQ20" s="189">
        <f>IFERROR(AO20*(0.0000000000028)*RadSpec!$AY20*RadSpec!$AF20,0)</f>
        <v>0</v>
      </c>
    </row>
    <row r="21" spans="1:43" customFormat="1" x14ac:dyDescent="0.25">
      <c r="A21" s="44" t="s">
        <v>19</v>
      </c>
      <c r="B21" s="42" t="s">
        <v>1057</v>
      </c>
      <c r="C21" s="238"/>
      <c r="D21" s="15" t="str">
        <f>IFERROR(((DL)/(RadSpec!E21*IFS_rec_adj*(1/1000))),".")</f>
        <v>.</v>
      </c>
      <c r="E21" s="15">
        <f>IFERROR(IF(A21="H-3",(DL/(RadSpec!H21*IFA_rec_adj*(1/17)*1000))*RadSpec!#REF!,(DL/(RadSpec!H21*IFA_rec_adj*(1/PEF_wind)*1000))),".")</f>
        <v>3225160012.6492791</v>
      </c>
      <c r="F21" s="15">
        <f>IFERROR((DL/(RadSpec!G21*EF_rec*(1/365)*1*d_acf!D21*ET_rec*(1/24)*RadSpec!W21)),".")</f>
        <v>14063600223.861692</v>
      </c>
      <c r="G21" s="15" t="str">
        <f>IFERROR((AN21/(RadSpec!AI21*((Q_p_game*f_p_game*f_s_game*(RadSpec!BD21+R_es_past))+(Q_s_game*f_p_game)))),".")</f>
        <v>.</v>
      </c>
      <c r="H21" s="15" t="str">
        <f>IFERROR((AN21/(RadSpec!AL21*((Q_p_fowl*f_p_fowl*f_s_fowl*(RadSpec!BD21+R_es_past))+(Q_s_fowl*f_p_fowl)))),".")</f>
        <v>.</v>
      </c>
      <c r="I21" s="233">
        <f t="shared" si="5"/>
        <v>0</v>
      </c>
      <c r="J21" s="233">
        <f t="shared" si="6"/>
        <v>3.1006213523606195E-10</v>
      </c>
      <c r="K21" s="233">
        <f t="shared" si="7"/>
        <v>7.1105547945205478E-11</v>
      </c>
      <c r="L21" s="233">
        <f t="shared" si="8"/>
        <v>0</v>
      </c>
      <c r="M21" s="233">
        <f t="shared" si="9"/>
        <v>0</v>
      </c>
      <c r="N21" s="15">
        <f t="shared" si="10"/>
        <v>2623517271.0705433</v>
      </c>
      <c r="O21" s="247">
        <f>IFERROR(N21*(0.0000000000028)*RadSpec!$AY21*RadSpec!$AF21,0)</f>
        <v>9.4450614935512232E-6</v>
      </c>
      <c r="P21" s="15">
        <f>IFERROR((DL/(RadSpec!G21*EF_rec*(1/365)*1*d_acf!D21*ET_rec*(1/24)*RadSpec!W21)),".")</f>
        <v>14063600223.861692</v>
      </c>
      <c r="Q21" s="15">
        <f>IFERROR((DL/(RadSpec!N21*EF_rec*(1/365)*1*d_acf!E21*ET_rec*(1/24)*RadSpec!S21)),".")</f>
        <v>33273077157.986954</v>
      </c>
      <c r="R21" s="15">
        <f>IFERROR((DL/(RadSpec!O21*EF_rec*(1/365)*1*d_acf!F21*ET_rec*(1/24)*RadSpec!T21)),".")</f>
        <v>17786529725.006851</v>
      </c>
      <c r="S21" s="15">
        <f>IFERROR((DL/(RadSpec!P21*EF_rec*(1/365)*1*d_acf!G21*ET_rec*(1/24)*RadSpec!Z21)),".")</f>
        <v>14063600223.861692</v>
      </c>
      <c r="T21" s="15">
        <f>IFERROR((DL/(RadSpec!L21*EF_rec*(1/365)*1*d_acf!C21*ET_rec*(1/24)*RadSpec!V21)),".")</f>
        <v>16694144828.852856</v>
      </c>
      <c r="U21" s="189">
        <f>P21*(0.0000000000028)*RadSpec!$AY21*RadSpec!$AF21</f>
        <v>5.0631101384322755E-5</v>
      </c>
      <c r="V21" s="189">
        <f>Q21*(0.0000000000028)*RadSpec!$AY21*RadSpec!$AF21</f>
        <v>1.1978814216405861E-4</v>
      </c>
      <c r="W21" s="189">
        <f>R21*(0.0000000000028)*RadSpec!$AY21*RadSpec!$AF21</f>
        <v>6.4034214244381558E-5</v>
      </c>
      <c r="X21" s="189">
        <f>S21*(0.0000000000028)*RadSpec!$AY21*RadSpec!$AF21</f>
        <v>5.0631101384322755E-5</v>
      </c>
      <c r="Y21" s="189">
        <f>T21*(0.0000000000000028)*RadSpec!$AY21*RadSpec!$AF21</f>
        <v>6.0101462349597627E-8</v>
      </c>
      <c r="Z21" s="15">
        <f>IFERROR((DL/(RadSpec!H21*IFA_rec_adj)),".")</f>
        <v>2372.584782834349</v>
      </c>
      <c r="AA21" s="15">
        <f>IFERROR((DL/(RadSpec!K21*EF_rec*(1/365)*1*ET_rec*(1/24)*GSF_a)),".")</f>
        <v>381799943952.81427</v>
      </c>
      <c r="AB21" s="15">
        <f t="shared" ref="AB21" si="28">IFERROR(IF(AND(Z21&lt;&gt;0,AA21&lt;&gt;0),1/((1/Z21)+(1/AA21)),IF(AND(Z21&lt;&gt;0,AA21=0),1/((1/Z21)),IF(AND(Z21=0,AA21&lt;&gt;0),1/((1/AA21)),IF(AND(Z21=0,AA21=0),0)))),0)</f>
        <v>2372.5847680906104</v>
      </c>
      <c r="AC21" s="189">
        <f>AB21*(0.0000000000000028)*RadSpec!$AY21*RadSpec!$AF21</f>
        <v>8.5416662891396025E-15</v>
      </c>
      <c r="AD21" s="15" t="str">
        <f>IFERROR(DL/(RadSpec!I21*IFW_rec_adj),".")</f>
        <v>.</v>
      </c>
      <c r="AE21" s="15">
        <f>IFERROR(DL/(RadSpec!M21*(1/8760)*DFA_rec_adj),".")</f>
        <v>349760787816.91376</v>
      </c>
      <c r="AF21" s="15" t="str">
        <f>IFERROR(AN21/(RadSpec!AI21*Q_w_game*(1/1000)),".")</f>
        <v>.</v>
      </c>
      <c r="AG21" s="15" t="str">
        <f>IFERROR(AN21/(RadSpec!AL21*Q_w_fowl*(1/1000)),".")</f>
        <v>.</v>
      </c>
      <c r="AH21" s="233">
        <f t="shared" si="2"/>
        <v>0</v>
      </c>
      <c r="AI21" s="233">
        <f t="shared" si="3"/>
        <v>2.8590969452054795E-12</v>
      </c>
      <c r="AJ21" s="233">
        <f t="shared" si="12"/>
        <v>0</v>
      </c>
      <c r="AK21" s="233">
        <f t="shared" si="13"/>
        <v>0</v>
      </c>
      <c r="AL21" s="2">
        <f t="shared" si="14"/>
        <v>349760787816.91376</v>
      </c>
      <c r="AM21" s="189">
        <f>AL21*(0.0000000000000028)*RadSpec!$AY21*RadSpec!$AF21</f>
        <v>1.2591920721816526E-6</v>
      </c>
      <c r="AN21" s="15" t="str">
        <f>IFERROR(DL/(RadSpec!F21*EF_rec*1*IRGL_rec*CF_game),".")</f>
        <v>.</v>
      </c>
      <c r="AO21" s="15" t="str">
        <f>IFERROR(DL/(RadSpec!F21*EF_rec*1*IRGF_rec*CF_fowl),".")</f>
        <v>.</v>
      </c>
      <c r="AP21" s="189">
        <f>IFERROR(AN21*(0.0000000000028)*RadSpec!$AY21*RadSpec!$AF21,0)</f>
        <v>0</v>
      </c>
      <c r="AQ21" s="189">
        <f>IFERROR(AO21*(0.0000000000028)*RadSpec!$AY21*RadSpec!$AF21,0)</f>
        <v>0</v>
      </c>
    </row>
    <row r="22" spans="1:43" customFormat="1" x14ac:dyDescent="0.25">
      <c r="A22" s="44" t="s">
        <v>20</v>
      </c>
      <c r="B22" s="42" t="s">
        <v>1057</v>
      </c>
      <c r="C22" s="42"/>
      <c r="D22" s="15">
        <f>IFERROR(((DL)/(RadSpec!E22*IFS_rec_adj*(1/1000))),".")</f>
        <v>123.09911879495809</v>
      </c>
      <c r="E22" s="15">
        <f>IFERROR(IF(A22="H-3",(DL/(RadSpec!H22*IFA_rec_adj*(1/17)*1000))*RadSpec!#REF!,(DL/(RadSpec!H22*IFA_rec_adj*(1/PEF_wind)*1000))),".")</f>
        <v>789784.33963388193</v>
      </c>
      <c r="F22" s="15">
        <f>IFERROR((DL/(RadSpec!G22*EF_rec*(1/365)*1*d_acf!D22*ET_rec*(1/24)*RadSpec!W22)),".")</f>
        <v>132568.73206904699</v>
      </c>
      <c r="G22" s="15">
        <f>IFERROR((AN22/(RadSpec!AI22*((Q_p_game*f_p_game*f_s_game*(RadSpec!BD22+R_es_past))+(Q_s_game*f_p_game)))),".")</f>
        <v>7015.5975300234195</v>
      </c>
      <c r="H22" s="15" t="str">
        <f>IFERROR((AN22/(RadSpec!AL22*((Q_p_fowl*f_p_fowl*f_s_fowl*(RadSpec!BD22+R_es_past))+(Q_s_fowl*f_p_fowl)))),".")</f>
        <v>.</v>
      </c>
      <c r="I22" s="233">
        <f t="shared" si="5"/>
        <v>8.1235350000000012E-3</v>
      </c>
      <c r="J22" s="233">
        <f t="shared" si="6"/>
        <v>1.266168433351777E-6</v>
      </c>
      <c r="K22" s="233">
        <f t="shared" si="7"/>
        <v>7.5432568780937029E-6</v>
      </c>
      <c r="L22" s="233">
        <f t="shared" si="8"/>
        <v>1.4253953362068959E-4</v>
      </c>
      <c r="M22" s="233">
        <f t="shared" si="9"/>
        <v>0</v>
      </c>
      <c r="N22" s="15">
        <f t="shared" si="10"/>
        <v>120.84761610712046</v>
      </c>
      <c r="O22" s="247">
        <f>IFERROR(N22*(0.0000000000028)*RadSpec!$AY22*RadSpec!$AF22,0)</f>
        <v>3.1079358147877814E-9</v>
      </c>
      <c r="P22" s="15">
        <f>IFERROR((DL/(RadSpec!G22*EF_rec*(1/365)*1*d_acf!D22*ET_rec*(1/24)*RadSpec!W22)),".")</f>
        <v>132568.73206904699</v>
      </c>
      <c r="Q22" s="15">
        <f>IFERROR((DL/(RadSpec!N22*EF_rec*(1/365)*1*d_acf!E22*ET_rec*(1/24)*RadSpec!S22)),".")</f>
        <v>196809.11064722066</v>
      </c>
      <c r="R22" s="15">
        <f>IFERROR((DL/(RadSpec!O22*EF_rec*(1/365)*1*d_acf!F22*ET_rec*(1/24)*RadSpec!T22)),".")</f>
        <v>128171.21130336229</v>
      </c>
      <c r="S22" s="15">
        <f>IFERROR((DL/(RadSpec!P22*EF_rec*(1/365)*1*d_acf!G22*ET_rec*(1/24)*RadSpec!Z22)),".")</f>
        <v>109967.42807080026</v>
      </c>
      <c r="T22" s="15">
        <f>IFERROR((DL/(RadSpec!L22*EF_rec*(1/365)*1*d_acf!C22*ET_rec*(1/24)*RadSpec!V22)),".")</f>
        <v>115793.83371968415</v>
      </c>
      <c r="U22" s="189">
        <f>P22*(0.0000000000028)*RadSpec!$AY22*RadSpec!$AF22</f>
        <v>3.4093772272113559E-6</v>
      </c>
      <c r="V22" s="189">
        <f>Q22*(0.0000000000028)*RadSpec!$AY22*RadSpec!$AF22</f>
        <v>5.0614989634122241E-6</v>
      </c>
      <c r="W22" s="189">
        <f>R22*(0.0000000000028)*RadSpec!$AY22*RadSpec!$AF22</f>
        <v>3.2962826315196237E-6</v>
      </c>
      <c r="X22" s="189">
        <f>S22*(0.0000000000028)*RadSpec!$AY22*RadSpec!$AF22</f>
        <v>2.8281212254811032E-6</v>
      </c>
      <c r="Y22" s="189">
        <f>T22*(0.0000000000000028)*RadSpec!$AY22*RadSpec!$AF22</f>
        <v>2.9779636085662347E-9</v>
      </c>
      <c r="Z22" s="15">
        <f>IFERROR((DL/(RadSpec!H22*IFA_rec_adj)),".")</f>
        <v>0.58100382572862874</v>
      </c>
      <c r="AA22" s="15">
        <f>IFERROR((DL/(RadSpec!K22*EF_rec*(1/365)*1*ET_rec*(1/24)*GSF_a)),".")</f>
        <v>4049861.7536695283</v>
      </c>
      <c r="AB22" s="15">
        <f t="shared" ref="AB22:AB23" si="29">IFERROR(IF(AND(Z22&lt;&gt;0,AA22&lt;&gt;0),1/((1/Z22)+(1/AA22)),IF(AND(Z22&lt;&gt;0,AA22=0),1/((1/Z22)),IF(AND(Z22=0,AA22&lt;&gt;0),1/((1/AA22)),IF(AND(Z22=0,AA22=0),0)))),0)</f>
        <v>0.58100374237630281</v>
      </c>
      <c r="AC22" s="189">
        <f>AB22*(0.0000000000000028)*RadSpec!$AY22*RadSpec!$AF22</f>
        <v>1.4942142821058515E-14</v>
      </c>
      <c r="AD22" s="15">
        <f>IFERROR(DL/(RadSpec!I22*IFW_rec_adj),".")</f>
        <v>134.82806421887665</v>
      </c>
      <c r="AE22" s="15">
        <f>IFERROR(DL/(RadSpec!M22*(1/8760)*DFA_rec_adj),".")</f>
        <v>1842202.3078386253</v>
      </c>
      <c r="AF22" s="15">
        <f>IFERROR(AN22/(RadSpec!AI22*Q_w_game*(1/1000)),".")</f>
        <v>8906583.3010469675</v>
      </c>
      <c r="AG22" s="15" t="str">
        <f>IFERROR(AN22/(RadSpec!AL22*Q_w_fowl*(1/1000)),".")</f>
        <v>.</v>
      </c>
      <c r="AH22" s="233">
        <f t="shared" si="2"/>
        <v>7.4168534999999999E-3</v>
      </c>
      <c r="AI22" s="233">
        <f t="shared" si="3"/>
        <v>5.4282854589041089E-7</v>
      </c>
      <c r="AJ22" s="233">
        <f t="shared" si="12"/>
        <v>1.1227650000000002E-7</v>
      </c>
      <c r="AK22" s="233">
        <f t="shared" si="13"/>
        <v>0</v>
      </c>
      <c r="AL22" s="2">
        <f t="shared" si="14"/>
        <v>134.81615637354736</v>
      </c>
      <c r="AM22" s="189">
        <f>AL22*(0.0000000000000028)*RadSpec!$AY22*RadSpec!$AF22</f>
        <v>3.4671760544616154E-12</v>
      </c>
      <c r="AN22" s="15">
        <f>IFERROR(DL/(RadSpec!F22*EF_rec*1*IRGL_rec*CF_game),".")</f>
        <v>15.141191611779846</v>
      </c>
      <c r="AO22" s="15">
        <f>IFERROR(DL/(RadSpec!F22*EF_rec*1*IRGF_rec*CF_fowl),".")</f>
        <v>15.141191611779846</v>
      </c>
      <c r="AP22" s="189">
        <f>IFERROR(AN22*(0.0000000000028)*RadSpec!$AY22*RadSpec!$AF22,0)</f>
        <v>3.8939826208158215E-10</v>
      </c>
      <c r="AQ22" s="189">
        <f>IFERROR(AO22*(0.0000000000028)*RadSpec!$AY22*RadSpec!$AF22,0)</f>
        <v>3.8939826208158215E-10</v>
      </c>
    </row>
    <row r="23" spans="1:43" customFormat="1" x14ac:dyDescent="0.25">
      <c r="A23" s="46" t="s">
        <v>21</v>
      </c>
      <c r="B23" s="42" t="s">
        <v>335</v>
      </c>
      <c r="C23" s="238"/>
      <c r="D23" s="15">
        <f>IFERROR(((DL)/(RadSpec!E23*IFS_rec_adj*(1/1000))),".")</f>
        <v>64.6745922145696</v>
      </c>
      <c r="E23" s="15">
        <f>IFERROR(IF(A23="H-3",(DL/(RadSpec!H23*IFA_rec_adj*(1/17)*1000))*RadSpec!#REF!,(DL/(RadSpec!H23*IFA_rec_adj*(1/PEF_wind)*1000))),".")</f>
        <v>644862.74721562583</v>
      </c>
      <c r="F23" s="15">
        <f>IFERROR((DL/(RadSpec!G23*EF_rec*(1/365)*1*d_acf!D23*ET_rec*(1/24)*RadSpec!W23)),".")</f>
        <v>46493.598193265934</v>
      </c>
      <c r="G23" s="15">
        <f>IFERROR((AN23/(RadSpec!AI23*((Q_p_game*f_p_game*f_s_game*(RadSpec!BD23+R_es_past))+(Q_s_game*f_p_game)))),".")</f>
        <v>3685.8989230586621</v>
      </c>
      <c r="H23" s="15" t="str">
        <f>IFERROR((AN23/(RadSpec!AL23*((Q_p_fowl*f_p_fowl*f_s_fowl*(RadSpec!BD23+R_es_past))+(Q_s_fowl*f_p_fowl)))),".")</f>
        <v>.</v>
      </c>
      <c r="I23" s="233">
        <f t="shared" si="5"/>
        <v>1.54620225E-2</v>
      </c>
      <c r="J23" s="233">
        <f t="shared" si="6"/>
        <v>1.5507175818695962E-6</v>
      </c>
      <c r="K23" s="233">
        <f t="shared" si="7"/>
        <v>2.1508337467088933E-5</v>
      </c>
      <c r="L23" s="233">
        <f t="shared" si="8"/>
        <v>2.7130423836206879E-4</v>
      </c>
      <c r="M23" s="233">
        <f t="shared" si="9"/>
        <v>0</v>
      </c>
      <c r="N23" s="15">
        <f t="shared" si="10"/>
        <v>63.4663312457212</v>
      </c>
      <c r="O23" s="247">
        <f>IFERROR(N23*(0.0000000000028)*RadSpec!$AY23*RadSpec!$AF23,0)</f>
        <v>6.425839105966781E-5</v>
      </c>
      <c r="P23" s="15">
        <f>IFERROR((DL/(RadSpec!G23*EF_rec*(1/365)*1*d_acf!D23*ET_rec*(1/24)*RadSpec!W23)),".")</f>
        <v>46493.598193265934</v>
      </c>
      <c r="Q23" s="15">
        <f>IFERROR((DL/(RadSpec!N23*EF_rec*(1/365)*1*d_acf!E23*ET_rec*(1/24)*RadSpec!S23)),".")</f>
        <v>268793.52701941802</v>
      </c>
      <c r="R23" s="15">
        <f>IFERROR((DL/(RadSpec!O23*EF_rec*(1/365)*1*d_acf!F23*ET_rec*(1/24)*RadSpec!T23)),".")</f>
        <v>74627.490045048966</v>
      </c>
      <c r="S23" s="15">
        <f>IFERROR((DL/(RadSpec!P23*EF_rec*(1/365)*1*d_acf!G23*ET_rec*(1/24)*RadSpec!Z23)),".")</f>
        <v>43348.300190582071</v>
      </c>
      <c r="T23" s="15">
        <f>IFERROR((DL/(RadSpec!L23*EF_rec*(1/365)*1*d_acf!C23*ET_rec*(1/24)*RadSpec!V23)),".")</f>
        <v>302414.42538082181</v>
      </c>
      <c r="U23" s="189">
        <f>P23*(0.0000000000028)*RadSpec!$AY23*RadSpec!$AF23</f>
        <v>4.7073838298717897E-2</v>
      </c>
      <c r="V23" s="189">
        <f>Q23*(0.0000000000028)*RadSpec!$AY23*RadSpec!$AF23</f>
        <v>0.27214807023662035</v>
      </c>
      <c r="W23" s="189">
        <f>R23*(0.0000000000028)*RadSpec!$AY23*RadSpec!$AF23</f>
        <v>7.5558841120811182E-2</v>
      </c>
      <c r="X23" s="189">
        <f>S23*(0.0000000000028)*RadSpec!$AY23*RadSpec!$AF23</f>
        <v>4.388928697696054E-2</v>
      </c>
      <c r="Y23" s="189">
        <f>T23*(0.0000000000000028)*RadSpec!$AY23*RadSpec!$AF23</f>
        <v>3.0618855740957449E-4</v>
      </c>
      <c r="Z23" s="15">
        <f>IFERROR((DL/(RadSpec!H23*IFA_rec_adj)),".")</f>
        <v>0.47439244411434633</v>
      </c>
      <c r="AA23" s="15">
        <f>IFERROR((DL/(RadSpec!K23*EF_rec*(1/365)*1*ET_rec*(1/24)*GSF_a)),".")</f>
        <v>3216449.6886057025</v>
      </c>
      <c r="AB23" s="15">
        <f t="shared" si="29"/>
        <v>0.47439237414646884</v>
      </c>
      <c r="AC23" s="189">
        <f>AB23*(0.0000000000000028)*RadSpec!$AY23*RadSpec!$AF23</f>
        <v>4.8031279097581679E-10</v>
      </c>
      <c r="AD23" s="15">
        <f>IFERROR(DL/(RadSpec!I23*IFW_rec_adj),".")</f>
        <v>70.836819611683538</v>
      </c>
      <c r="AE23" s="15">
        <f>IFERROR(DL/(RadSpec!M23*(1/8760)*DFA_rec_adj),".")</f>
        <v>1462450.0777139959</v>
      </c>
      <c r="AF23" s="15">
        <f>IFERROR(AN23/(RadSpec!AI23*Q_w_game*(1/1000)),".")</f>
        <v>4679396.9661129769</v>
      </c>
      <c r="AG23" s="15" t="str">
        <f>IFERROR(AN23/(RadSpec!AL23*Q_w_fowl*(1/1000)),".")</f>
        <v>.</v>
      </c>
      <c r="AH23" s="233">
        <f t="shared" si="2"/>
        <v>1.411695225E-2</v>
      </c>
      <c r="AI23" s="233">
        <f t="shared" si="3"/>
        <v>6.837840246575343E-7</v>
      </c>
      <c r="AJ23" s="233">
        <f t="shared" si="12"/>
        <v>2.1370275000000001E-7</v>
      </c>
      <c r="AK23" s="233">
        <f t="shared" si="13"/>
        <v>0</v>
      </c>
      <c r="AL23" s="2">
        <f t="shared" si="14"/>
        <v>70.832316439462161</v>
      </c>
      <c r="AM23" s="189">
        <f>AL23*(0.0000000000000028)*RadSpec!$AY23*RadSpec!$AF23</f>
        <v>7.171630374862665E-8</v>
      </c>
      <c r="AN23" s="15">
        <f>IFERROR(DL/(RadSpec!F23*EF_rec*1*IRGL_rec*CF_game),".")</f>
        <v>7.954974842392061</v>
      </c>
      <c r="AO23" s="15">
        <f>IFERROR(DL/(RadSpec!F23*EF_rec*1*IRGF_rec*CF_fowl),".")</f>
        <v>7.954974842392061</v>
      </c>
      <c r="AP23" s="189">
        <f>IFERROR(AN23*(0.0000000000028)*RadSpec!$AY23*RadSpec!$AF23,0)</f>
        <v>8.0542529284251127E-6</v>
      </c>
      <c r="AQ23" s="189">
        <f>IFERROR(AO23*(0.0000000000028)*RadSpec!$AY23*RadSpec!$AF23,0)</f>
        <v>8.0542529284251127E-6</v>
      </c>
    </row>
    <row r="24" spans="1:43" customFormat="1" x14ac:dyDescent="0.25">
      <c r="A24" s="44" t="s">
        <v>22</v>
      </c>
      <c r="B24" s="42" t="s">
        <v>1057</v>
      </c>
      <c r="C24" s="238"/>
      <c r="D24" s="15" t="str">
        <f>IFERROR(((DL)/(RadSpec!E24*IFS_rec_adj*(1/1000))),".")</f>
        <v>.</v>
      </c>
      <c r="E24" s="15" t="str">
        <f>IFERROR(IF(A24="H-3",(DL/(RadSpec!H24*IFA_rec_adj*(1/17)*1000))*RadSpec!#REF!,(DL/(RadSpec!H24*IFA_rec_adj*(1/PEF_wind)*1000))),".")</f>
        <v>.</v>
      </c>
      <c r="F24" s="15">
        <f>IFERROR((DL/(RadSpec!G24*EF_rec*(1/365)*1*d_acf!D24*ET_rec*(1/24)*RadSpec!W24)),".")</f>
        <v>318759.71806096914</v>
      </c>
      <c r="G24" s="15" t="str">
        <f>IFERROR((AN24/(RadSpec!AI24*((Q_p_game*f_p_game*f_s_game*(RadSpec!BD24+R_es_past))+(Q_s_game*f_p_game)))),".")</f>
        <v>.</v>
      </c>
      <c r="H24" s="15" t="str">
        <f>IFERROR((AN24/(RadSpec!AL24*((Q_p_fowl*f_p_fowl*f_s_fowl*(RadSpec!BD24+R_es_past))+(Q_s_fowl*f_p_fowl)))),".")</f>
        <v>.</v>
      </c>
      <c r="I24" s="233">
        <f t="shared" si="5"/>
        <v>0</v>
      </c>
      <c r="J24" s="233">
        <f t="shared" si="6"/>
        <v>0</v>
      </c>
      <c r="K24" s="233">
        <f t="shared" si="7"/>
        <v>3.1371592561414242E-6</v>
      </c>
      <c r="L24" s="233">
        <f t="shared" si="8"/>
        <v>0</v>
      </c>
      <c r="M24" s="233">
        <f t="shared" si="9"/>
        <v>0</v>
      </c>
      <c r="N24" s="15">
        <f t="shared" si="10"/>
        <v>318759.71806096914</v>
      </c>
      <c r="O24" s="247">
        <f>IFERROR(N24*(0.0000000000028)*RadSpec!$AY24*RadSpec!$AF24,0)</f>
        <v>2.159431321871684E-13</v>
      </c>
      <c r="P24" s="15">
        <f>IFERROR((DL/(RadSpec!G24*EF_rec*(1/365)*1*d_acf!D24*ET_rec*(1/24)*RadSpec!W24)),".")</f>
        <v>318759.71806096914</v>
      </c>
      <c r="Q24" s="15">
        <f>IFERROR((DL/(RadSpec!N24*EF_rec*(1/365)*1*d_acf!E24*ET_rec*(1/24)*RadSpec!S24)),".")</f>
        <v>2922533.8610106683</v>
      </c>
      <c r="R24" s="15">
        <f>IFERROR((DL/(RadSpec!O24*EF_rec*(1/365)*1*d_acf!F24*ET_rec*(1/24)*RadSpec!T24)),".")</f>
        <v>702696.91042203573</v>
      </c>
      <c r="S24" s="15">
        <f>IFERROR((DL/(RadSpec!P24*EF_rec*(1/365)*1*d_acf!G24*ET_rec*(1/24)*RadSpec!Z24)),".")</f>
        <v>350290.00893719372</v>
      </c>
      <c r="T24" s="15">
        <f>IFERROR((DL/(RadSpec!L24*EF_rec*(1/365)*1*d_acf!C24*ET_rec*(1/24)*RadSpec!V24)),".")</f>
        <v>4390175.0642890399</v>
      </c>
      <c r="U24" s="189">
        <f>P24*(0.0000000000028)*RadSpec!$AY24*RadSpec!$AF24</f>
        <v>2.159431321871684E-13</v>
      </c>
      <c r="V24" s="189">
        <f>Q24*(0.0000000000028)*RadSpec!$AY24*RadSpec!$AF24</f>
        <v>1.9798647072118181E-12</v>
      </c>
      <c r="W24" s="189">
        <f>R24*(0.0000000000028)*RadSpec!$AY24*RadSpec!$AF24</f>
        <v>4.7604061371944336E-13</v>
      </c>
      <c r="X24" s="189">
        <f>S24*(0.0000000000028)*RadSpec!$AY24*RadSpec!$AF24</f>
        <v>2.3730326455270814E-13</v>
      </c>
      <c r="Y24" s="189">
        <f>T24*(0.0000000000000028)*RadSpec!$AY24*RadSpec!$AF24</f>
        <v>2.9741152991334035E-15</v>
      </c>
      <c r="Z24" s="15" t="str">
        <f>IFERROR((DL/(RadSpec!H24*IFA_rec_adj)),".")</f>
        <v>.</v>
      </c>
      <c r="AA24" s="15">
        <f>IFERROR((DL/(RadSpec!K24*EF_rec*(1/365)*1*ET_rec*(1/24)*GSF_a)),".")</f>
        <v>29421054.504599217</v>
      </c>
      <c r="AB24" s="15">
        <f t="shared" ref="AB24" si="30">IFERROR(IF(AND(Z24&lt;&gt;0,AA24&lt;&gt;0),1/((1/Z24)+(1/AA24)),IF(AND(Z24&lt;&gt;0,AA24=0),1/((1/Z24)),IF(AND(Z24=0,AA24&lt;&gt;0),1/((1/AA24)),IF(AND(Z24=0,AA24=0),0)))),0)</f>
        <v>0</v>
      </c>
      <c r="AC24" s="189">
        <f>AB24*(0.0000000000000028)*RadSpec!$AY24*RadSpec!$AF24</f>
        <v>0</v>
      </c>
      <c r="AD24" s="15" t="str">
        <f>IFERROR(DL/(RadSpec!I24*IFW_rec_adj),".")</f>
        <v>.</v>
      </c>
      <c r="AE24" s="15">
        <f>IFERROR(DL/(RadSpec!M24*(1/8760)*DFA_rec_adj),".")</f>
        <v>13536073.791019937</v>
      </c>
      <c r="AF24" s="15" t="str">
        <f>IFERROR(AN24/(RadSpec!AI24*Q_w_game*(1/1000)),".")</f>
        <v>.</v>
      </c>
      <c r="AG24" s="15" t="str">
        <f>IFERROR(AN24/(RadSpec!AL24*Q_w_fowl*(1/1000)),".")</f>
        <v>.</v>
      </c>
      <c r="AH24" s="233">
        <f t="shared" si="2"/>
        <v>0</v>
      </c>
      <c r="AI24" s="233">
        <f t="shared" si="3"/>
        <v>7.3876665821917808E-8</v>
      </c>
      <c r="AJ24" s="233">
        <f t="shared" si="12"/>
        <v>0</v>
      </c>
      <c r="AK24" s="233">
        <f t="shared" si="13"/>
        <v>0</v>
      </c>
      <c r="AL24" s="2">
        <f t="shared" si="14"/>
        <v>13536073.791019937</v>
      </c>
      <c r="AM24" s="189">
        <f>AL24*(0.0000000000000028)*RadSpec!$AY24*RadSpec!$AF24</f>
        <v>9.1699860626379332E-15</v>
      </c>
      <c r="AN24" s="15" t="str">
        <f>IFERROR(DL/(RadSpec!F24*EF_rec*1*IRGL_rec*CF_game),".")</f>
        <v>.</v>
      </c>
      <c r="AO24" s="15" t="str">
        <f>IFERROR(DL/(RadSpec!F24*EF_rec*1*IRGF_rec*CF_fowl),".")</f>
        <v>.</v>
      </c>
      <c r="AP24" s="189">
        <f>IFERROR(AN24*(0.0000000000028)*RadSpec!$AY24*RadSpec!$AF24,0)</f>
        <v>0</v>
      </c>
      <c r="AQ24" s="189">
        <f>IFERROR(AO24*(0.0000000000028)*RadSpec!$AY24*RadSpec!$AF24,0)</f>
        <v>0</v>
      </c>
    </row>
    <row r="25" spans="1:43" customFormat="1" x14ac:dyDescent="0.25">
      <c r="A25" s="46" t="s">
        <v>23</v>
      </c>
      <c r="B25" s="42" t="s">
        <v>335</v>
      </c>
      <c r="C25" s="238"/>
      <c r="D25" s="15" t="str">
        <f>IFERROR(((DL)/(RadSpec!E25*IFS_rec_adj*(1/1000))),".")</f>
        <v>.</v>
      </c>
      <c r="E25" s="15">
        <f>IFERROR(IF(A25="H-3",(DL/(RadSpec!H25*IFA_rec_adj*(1/17)*1000))*RadSpec!#REF!,(DL/(RadSpec!H25*IFA_rec_adj*(1/PEF_wind)*1000))),".")</f>
        <v>3752018213.1889324</v>
      </c>
      <c r="F25" s="15">
        <f>IFERROR((DL/(RadSpec!G25*EF_rec*(1/365)*1*d_acf!D25*ET_rec*(1/24)*RadSpec!W25)),".")</f>
        <v>630931.7120038342</v>
      </c>
      <c r="G25" s="15" t="str">
        <f>IFERROR((AN25/(RadSpec!AI25*((Q_p_game*f_p_game*f_s_game*(RadSpec!BD25+R_es_past))+(Q_s_game*f_p_game)))),".")</f>
        <v>.</v>
      </c>
      <c r="H25" s="15" t="str">
        <f>IFERROR((AN25/(RadSpec!AL25*((Q_p_fowl*f_p_fowl*f_s_fowl*(RadSpec!BD25+R_es_past))+(Q_s_fowl*f_p_fowl)))),".")</f>
        <v>.</v>
      </c>
      <c r="I25" s="233">
        <f t="shared" si="5"/>
        <v>0</v>
      </c>
      <c r="J25" s="233">
        <f t="shared" si="6"/>
        <v>2.6652322648244168E-10</v>
      </c>
      <c r="K25" s="233">
        <f t="shared" si="7"/>
        <v>1.584957580946451E-6</v>
      </c>
      <c r="L25" s="233">
        <f t="shared" si="8"/>
        <v>0</v>
      </c>
      <c r="M25" s="233">
        <f t="shared" si="9"/>
        <v>0</v>
      </c>
      <c r="N25" s="15">
        <f t="shared" si="10"/>
        <v>630825.63365495554</v>
      </c>
      <c r="O25" s="247">
        <f>IFERROR(N25*(0.0000000000028)*RadSpec!$AY25*RadSpec!$AF25,0)</f>
        <v>4.1076040034791018E-6</v>
      </c>
      <c r="P25" s="15">
        <f>IFERROR((DL/(RadSpec!G25*EF_rec*(1/365)*1*d_acf!D25*ET_rec*(1/24)*RadSpec!W25)),".")</f>
        <v>630931.7120038342</v>
      </c>
      <c r="Q25" s="15">
        <f>IFERROR((DL/(RadSpec!N25*EF_rec*(1/365)*1*d_acf!E25*ET_rec*(1/24)*RadSpec!S25)),".")</f>
        <v>5583382.0699922517</v>
      </c>
      <c r="R25" s="15">
        <f>IFERROR((DL/(RadSpec!O25*EF_rec*(1/365)*1*d_acf!F25*ET_rec*(1/24)*RadSpec!T25)),".")</f>
        <v>1334235.9337832199</v>
      </c>
      <c r="S25" s="15">
        <f>IFERROR((DL/(RadSpec!P25*EF_rec*(1/365)*1*d_acf!G25*ET_rec*(1/24)*RadSpec!Z25)),".")</f>
        <v>698019.76357534796</v>
      </c>
      <c r="T25" s="15">
        <f>IFERROR((DL/(RadSpec!L25*EF_rec*(1/365)*1*d_acf!C25*ET_rec*(1/24)*RadSpec!V25)),".")</f>
        <v>8556914.2938275579</v>
      </c>
      <c r="U25" s="189">
        <f>P25*(0.0000000000028)*RadSpec!$AY25*RadSpec!$AF25</f>
        <v>4.1082947297706314E-6</v>
      </c>
      <c r="V25" s="189">
        <f>Q25*(0.0000000000028)*RadSpec!$AY25*RadSpec!$AF25</f>
        <v>3.6356040909076401E-5</v>
      </c>
      <c r="W25" s="189">
        <f>R25*(0.0000000000028)*RadSpec!$AY25*RadSpec!$AF25</f>
        <v>8.6878410939643622E-6</v>
      </c>
      <c r="X25" s="189">
        <f>S25*(0.0000000000028)*RadSpec!$AY25*RadSpec!$AF25</f>
        <v>4.5451367579300195E-6</v>
      </c>
      <c r="Y25" s="189">
        <f>T25*(0.0000000000000028)*RadSpec!$AY25*RadSpec!$AF25</f>
        <v>5.5718115332610042E-8</v>
      </c>
      <c r="Z25" s="15">
        <f>IFERROR((DL/(RadSpec!H25*IFA_rec_adj)),".")</f>
        <v>2760.1673351446934</v>
      </c>
      <c r="AA25" s="15">
        <f>IFERROR((DL/(RadSpec!K25*EF_rec*(1/365)*1*ET_rec*(1/24)*GSF_a)),".")</f>
        <v>57821725.615975335</v>
      </c>
      <c r="AB25" s="15">
        <f t="shared" ref="AB25" si="31">IFERROR(IF(AND(Z25&lt;&gt;0,AA25&lt;&gt;0),1/((1/Z25)+(1/AA25)),IF(AND(Z25&lt;&gt;0,AA25=0),1/((1/Z25)),IF(AND(Z25=0,AA25&lt;&gt;0),1/((1/AA25)),IF(AND(Z25=0,AA25=0),0)))),0)</f>
        <v>2760.0355825901343</v>
      </c>
      <c r="AC25" s="189">
        <f>AB25*(0.0000000000000028)*RadSpec!$AY25*RadSpec!$AF25</f>
        <v>1.7971896834796529E-11</v>
      </c>
      <c r="AD25" s="15" t="str">
        <f>IFERROR(DL/(RadSpec!I25*IFW_rec_adj),".")</f>
        <v>.</v>
      </c>
      <c r="AE25" s="15">
        <f>IFERROR(DL/(RadSpec!M25*(1/8760)*DFA_rec_adj),".")</f>
        <v>26604145.030754615</v>
      </c>
      <c r="AF25" s="15" t="str">
        <f>IFERROR(AN25/(RadSpec!AI25*Q_w_game*(1/1000)),".")</f>
        <v>.</v>
      </c>
      <c r="AG25" s="15" t="str">
        <f>IFERROR(AN25/(RadSpec!AL25*Q_w_fowl*(1/1000)),".")</f>
        <v>.</v>
      </c>
      <c r="AH25" s="233">
        <f t="shared" si="2"/>
        <v>0</v>
      </c>
      <c r="AI25" s="233">
        <f t="shared" si="3"/>
        <v>3.758812767123287E-8</v>
      </c>
      <c r="AJ25" s="233">
        <f t="shared" si="12"/>
        <v>0</v>
      </c>
      <c r="AK25" s="233">
        <f t="shared" si="13"/>
        <v>0</v>
      </c>
      <c r="AL25" s="2">
        <f t="shared" si="14"/>
        <v>26604145.030754615</v>
      </c>
      <c r="AM25" s="189">
        <f>AL25*(0.0000000000000028)*RadSpec!$AY25*RadSpec!$AF25</f>
        <v>1.7323216877587932E-7</v>
      </c>
      <c r="AN25" s="15" t="str">
        <f>IFERROR(DL/(RadSpec!F25*EF_rec*1*IRGL_rec*CF_game),".")</f>
        <v>.</v>
      </c>
      <c r="AO25" s="15" t="str">
        <f>IFERROR(DL/(RadSpec!F25*EF_rec*1*IRGF_rec*CF_fowl),".")</f>
        <v>.</v>
      </c>
      <c r="AP25" s="189">
        <f>IFERROR(AN25*(0.0000000000028)*RadSpec!$AY25*RadSpec!$AF25,0)</f>
        <v>0</v>
      </c>
      <c r="AQ25" s="189">
        <f>IFERROR(AO25*(0.0000000000028)*RadSpec!$AY25*RadSpec!$AF25,0)</f>
        <v>0</v>
      </c>
    </row>
    <row r="26" spans="1:43" customFormat="1" x14ac:dyDescent="0.25">
      <c r="A26" s="44" t="s">
        <v>24</v>
      </c>
      <c r="B26" s="42" t="s">
        <v>1057</v>
      </c>
      <c r="C26" s="42"/>
      <c r="D26" s="15">
        <f>IFERROR(((DL)/(RadSpec!E26*IFS_rec_adj*(1/1000))),".")</f>
        <v>48.1077015980296</v>
      </c>
      <c r="E26" s="15">
        <f>IFERROR(IF(A26="H-3",(DL/(RadSpec!H26*IFA_rec_adj*(1/17)*1000))*RadSpec!#REF!,(DL/(RadSpec!H26*IFA_rec_adj*(1/PEF_wind)*1000))),".")</f>
        <v>87974.652931403281</v>
      </c>
      <c r="F26" s="15">
        <f>IFERROR((DL/(RadSpec!G26*EF_rec*(1/365)*1*d_acf!D26*ET_rec*(1/24)*RadSpec!W26)),".")</f>
        <v>4545.6359114305287</v>
      </c>
      <c r="G26" s="15">
        <f>IFERROR((AN26/(RadSpec!AI26*((Q_p_game*f_p_game*f_s_game*(RadSpec!BD26+R_es_past))+(Q_s_game*f_p_game)))),".")</f>
        <v>20542.062296515462</v>
      </c>
      <c r="H26" s="15" t="str">
        <f>IFERROR((AN26/(RadSpec!AL26*((Q_p_fowl*f_p_fowl*f_s_fowl*(RadSpec!BD26+R_es_past))+(Q_s_fowl*f_p_fowl)))),".")</f>
        <v>.</v>
      </c>
      <c r="I26" s="233">
        <f t="shared" si="5"/>
        <v>2.0786692500000002E-2</v>
      </c>
      <c r="J26" s="233">
        <f t="shared" si="6"/>
        <v>1.1366910430209174E-5</v>
      </c>
      <c r="K26" s="233">
        <f t="shared" si="7"/>
        <v>2.1999122223699967E-4</v>
      </c>
      <c r="L26" s="233">
        <f t="shared" si="8"/>
        <v>4.8680604000000014E-5</v>
      </c>
      <c r="M26" s="233">
        <f t="shared" si="9"/>
        <v>0</v>
      </c>
      <c r="N26" s="15">
        <f t="shared" si="10"/>
        <v>47.468208938815962</v>
      </c>
      <c r="O26" s="247">
        <f>IFERROR(N26*(0.0000000000028)*RadSpec!$AY26*RadSpec!$AF26,0)</f>
        <v>2.2340475829531496E-4</v>
      </c>
      <c r="P26" s="15">
        <f>IFERROR((DL/(RadSpec!G26*EF_rec*(1/365)*1*d_acf!D26*ET_rec*(1/24)*RadSpec!W26)),".")</f>
        <v>4545.6359114305287</v>
      </c>
      <c r="Q26" s="15">
        <f>IFERROR((DL/(RadSpec!N26*EF_rec*(1/365)*1*d_acf!E26*ET_rec*(1/24)*RadSpec!S26)),".")</f>
        <v>15794.07447703933</v>
      </c>
      <c r="R26" s="15">
        <f>IFERROR((DL/(RadSpec!O26*EF_rec*(1/365)*1*d_acf!F26*ET_rec*(1/24)*RadSpec!T26)),".")</f>
        <v>6163.7568880294675</v>
      </c>
      <c r="S26" s="15">
        <f>IFERROR((DL/(RadSpec!P26*EF_rec*(1/365)*1*d_acf!G26*ET_rec*(1/24)*RadSpec!Z26)),".")</f>
        <v>4454.9809132371802</v>
      </c>
      <c r="T26" s="15">
        <f>IFERROR((DL/(RadSpec!L26*EF_rec*(1/365)*1*d_acf!C26*ET_rec*(1/24)*RadSpec!V26)),".")</f>
        <v>14599.167566695482</v>
      </c>
      <c r="U26" s="189">
        <f>P26*(0.0000000000028)*RadSpec!$AY26*RadSpec!$AF26</f>
        <v>2.1393617218643933E-2</v>
      </c>
      <c r="V26" s="189">
        <f>Q26*(0.0000000000028)*RadSpec!$AY26*RadSpec!$AF26</f>
        <v>7.4333358471333724E-2</v>
      </c>
      <c r="W26" s="189">
        <f>R26*(0.0000000000028)*RadSpec!$AY26*RadSpec!$AF26</f>
        <v>2.900915472787699E-2</v>
      </c>
      <c r="X26" s="189">
        <f>S26*(0.0000000000028)*RadSpec!$AY26*RadSpec!$AF26</f>
        <v>2.0966957809906771E-2</v>
      </c>
      <c r="Y26" s="189">
        <f>T26*(0.0000000000000028)*RadSpec!$AY26*RadSpec!$AF26</f>
        <v>6.8709639029236152E-5</v>
      </c>
      <c r="Z26" s="15">
        <f>IFERROR((DL/(RadSpec!H26*IFA_rec_adj)),".")</f>
        <v>6.4718439395732019E-2</v>
      </c>
      <c r="AA26" s="15">
        <f>IFERROR((DL/(RadSpec!K26*EF_rec*(1/365)*1*ET_rec*(1/24)*GSF_a)),".")</f>
        <v>301299.95576999197</v>
      </c>
      <c r="AB26" s="15">
        <f t="shared" ref="AB26" si="32">IFERROR(IF(AND(Z26&lt;&gt;0,AA26&lt;&gt;0),1/((1/Z26)+(1/AA26)),IF(AND(Z26&lt;&gt;0,AA26=0),1/((1/Z26)),IF(AND(Z26=0,AA26&lt;&gt;0),1/((1/AA26)),IF(AND(Z26=0,AA26=0),0)))),0)</f>
        <v>6.4718425494384155E-2</v>
      </c>
      <c r="AC26" s="189">
        <f>AB26*(0.0000000000000028)*RadSpec!$AY26*RadSpec!$AF26</f>
        <v>3.0459131549417356E-10</v>
      </c>
      <c r="AD26" s="15">
        <f>IFERROR(DL/(RadSpec!I26*IFW_rec_adj),".")</f>
        <v>52.691427395882826</v>
      </c>
      <c r="AE26" s="15">
        <f>IFERROR(DL/(RadSpec!M26*(1/8760)*DFA_rec_adj),".")</f>
        <v>135177.81799410452</v>
      </c>
      <c r="AF26" s="15">
        <f>IFERROR(AN26/(RadSpec!AI26*Q_w_game*(1/1000)),".")</f>
        <v>25727162.158946261</v>
      </c>
      <c r="AG26" s="15" t="str">
        <f>IFERROR(AN26/(RadSpec!AL26*Q_w_fowl*(1/1000)),".")</f>
        <v>.</v>
      </c>
      <c r="AH26" s="233">
        <f t="shared" si="2"/>
        <v>1.897841925E-2</v>
      </c>
      <c r="AI26" s="233">
        <f t="shared" si="3"/>
        <v>7.3976634246575337E-6</v>
      </c>
      <c r="AJ26" s="233">
        <f t="shared" si="12"/>
        <v>3.8869425000000009E-8</v>
      </c>
      <c r="AK26" s="233">
        <f t="shared" si="13"/>
        <v>0</v>
      </c>
      <c r="AL26" s="2">
        <f t="shared" si="14"/>
        <v>52.67078879337754</v>
      </c>
      <c r="AM26" s="189">
        <f>AL26*(0.0000000000000028)*RadSpec!$AY26*RadSpec!$AF26</f>
        <v>2.478902217434624E-7</v>
      </c>
      <c r="AN26" s="15">
        <f>IFERROR(DL/(RadSpec!F26*EF_rec*1*IRGL_rec*CF_game),".")</f>
        <v>5.9172472965576404</v>
      </c>
      <c r="AO26" s="15">
        <f>IFERROR(DL/(RadSpec!F26*EF_rec*1*IRGF_rec*CF_fowl),".")</f>
        <v>5.9172472965576404</v>
      </c>
      <c r="AP26" s="189">
        <f>IFERROR(AN26*(0.0000000000028)*RadSpec!$AY26*RadSpec!$AF26,0)</f>
        <v>2.7848980014497249E-5</v>
      </c>
      <c r="AQ26" s="189">
        <f>IFERROR(AO26*(0.0000000000028)*RadSpec!$AY26*RadSpec!$AF26,0)</f>
        <v>2.7848980014497249E-5</v>
      </c>
    </row>
    <row r="27" spans="1:43" customFormat="1" x14ac:dyDescent="0.25">
      <c r="A27" s="44" t="s">
        <v>25</v>
      </c>
      <c r="B27" s="42" t="s">
        <v>1057</v>
      </c>
      <c r="C27" s="238"/>
      <c r="D27" s="15" t="str">
        <f>IFERROR(((DL)/(RadSpec!E27*IFS_rec_adj*(1/1000))),".")</f>
        <v>.</v>
      </c>
      <c r="E27" s="15" t="str">
        <f>IFERROR(IF(A27="H-3",(DL/(RadSpec!H27*IFA_rec_adj*(1/17)*1000))*RadSpec!#REF!,(DL/(RadSpec!H27*IFA_rec_adj*(1/PEF_wind)*1000))),".")</f>
        <v>.</v>
      </c>
      <c r="F27" s="15">
        <f>IFERROR((DL/(RadSpec!G27*EF_rec*(1/365)*1*d_acf!D27*ET_rec*(1/24)*RadSpec!W27)),".")</f>
        <v>99801.925353333791</v>
      </c>
      <c r="G27" s="15" t="str">
        <f>IFERROR((AN27/(RadSpec!AI27*((Q_p_game*f_p_game*f_s_game*(RadSpec!BD27+R_es_past))+(Q_s_game*f_p_game)))),".")</f>
        <v>.</v>
      </c>
      <c r="H27" s="15" t="str">
        <f>IFERROR((AN27/(RadSpec!AL27*((Q_p_fowl*f_p_fowl*f_s_fowl*(RadSpec!BD27+R_es_past))+(Q_s_fowl*f_p_fowl)))),".")</f>
        <v>.</v>
      </c>
      <c r="I27" s="233">
        <f t="shared" si="5"/>
        <v>0</v>
      </c>
      <c r="J27" s="233">
        <f t="shared" si="6"/>
        <v>0</v>
      </c>
      <c r="K27" s="233">
        <f t="shared" si="7"/>
        <v>1.0019846776098252E-5</v>
      </c>
      <c r="L27" s="233">
        <f t="shared" si="8"/>
        <v>0</v>
      </c>
      <c r="M27" s="233">
        <f t="shared" si="9"/>
        <v>0</v>
      </c>
      <c r="N27" s="15">
        <f t="shared" si="10"/>
        <v>99801.925353333791</v>
      </c>
      <c r="O27" s="247">
        <f>IFERROR(N27*(0.0000000000028)*RadSpec!$AY27*RadSpec!$AF27,0)</f>
        <v>4.600002897335853E-10</v>
      </c>
      <c r="P27" s="15">
        <f>IFERROR((DL/(RadSpec!G27*EF_rec*(1/365)*1*d_acf!D27*ET_rec*(1/24)*RadSpec!W27)),".")</f>
        <v>99801.925353333791</v>
      </c>
      <c r="Q27" s="15">
        <f>IFERROR((DL/(RadSpec!N27*EF_rec*(1/365)*1*d_acf!E27*ET_rec*(1/24)*RadSpec!S27)),".")</f>
        <v>258334.0110404444</v>
      </c>
      <c r="R27" s="15">
        <f>IFERROR((DL/(RadSpec!O27*EF_rec*(1/365)*1*d_acf!F27*ET_rec*(1/24)*RadSpec!T27)),".")</f>
        <v>146478.60045592784</v>
      </c>
      <c r="S27" s="15">
        <f>IFERROR((DL/(RadSpec!P27*EF_rec*(1/365)*1*d_acf!G27*ET_rec*(1/24)*RadSpec!Z27)),".")</f>
        <v>110221.58888435869</v>
      </c>
      <c r="T27" s="15">
        <f>IFERROR((DL/(RadSpec!L27*EF_rec*(1/365)*1*d_acf!C27*ET_rec*(1/24)*RadSpec!V27)),".")</f>
        <v>24138.99691613172</v>
      </c>
      <c r="U27" s="189">
        <f>P27*(0.0000000000028)*RadSpec!$AY27*RadSpec!$AF27</f>
        <v>4.600002897335853E-10</v>
      </c>
      <c r="V27" s="189">
        <f>Q27*(0.0000000000028)*RadSpec!$AY27*RadSpec!$AF27</f>
        <v>1.190695665498743E-9</v>
      </c>
      <c r="W27" s="189">
        <f>R27*(0.0000000000028)*RadSpec!$AY27*RadSpec!$AF27</f>
        <v>6.751392662110212E-10</v>
      </c>
      <c r="X27" s="189">
        <f>S27*(0.0000000000028)*RadSpec!$AY27*RadSpec!$AF27</f>
        <v>5.0802589872087539E-10</v>
      </c>
      <c r="Y27" s="189">
        <f>T27*(0.0000000000000028)*RadSpec!$AY27*RadSpec!$AF27</f>
        <v>1.1125983327462727E-13</v>
      </c>
      <c r="Z27" s="15" t="str">
        <f>IFERROR((DL/(RadSpec!H27*IFA_rec_adj)),".")</f>
        <v>.</v>
      </c>
      <c r="AA27" s="15">
        <f>IFERROR((DL/(RadSpec!K27*EF_rec*(1/365)*1*ET_rec*(1/24)*GSF_a)),".")</f>
        <v>2519687.2875475399</v>
      </c>
      <c r="AB27" s="15">
        <f t="shared" ref="AB27" si="33">IFERROR(IF(AND(Z27&lt;&gt;0,AA27&lt;&gt;0),1/((1/Z27)+(1/AA27)),IF(AND(Z27&lt;&gt;0,AA27=0),1/((1/Z27)),IF(AND(Z27=0,AA27&lt;&gt;0),1/((1/AA27)),IF(AND(Z27=0,AA27=0),0)))),0)</f>
        <v>0</v>
      </c>
      <c r="AC27" s="189">
        <f>AB27*(0.0000000000000028)*RadSpec!$AY27*RadSpec!$AF27</f>
        <v>0</v>
      </c>
      <c r="AD27" s="15" t="str">
        <f>IFERROR(DL/(RadSpec!I27*IFW_rec_adj),".")</f>
        <v>.</v>
      </c>
      <c r="AE27" s="15">
        <f>IFERROR(DL/(RadSpec!M27*(1/8760)*DFA_rec_adj),".")</f>
        <v>2105928.1119081546</v>
      </c>
      <c r="AF27" s="15" t="str">
        <f>IFERROR(AN27/(RadSpec!AI27*Q_w_game*(1/1000)),".")</f>
        <v>.</v>
      </c>
      <c r="AG27" s="15" t="str">
        <f>IFERROR(AN27/(RadSpec!AL27*Q_w_fowl*(1/1000)),".")</f>
        <v>.</v>
      </c>
      <c r="AH27" s="233">
        <f t="shared" si="2"/>
        <v>0</v>
      </c>
      <c r="AI27" s="233">
        <f t="shared" si="3"/>
        <v>4.7485001712328766E-7</v>
      </c>
      <c r="AJ27" s="233">
        <f t="shared" si="12"/>
        <v>0</v>
      </c>
      <c r="AK27" s="233">
        <f t="shared" si="13"/>
        <v>0</v>
      </c>
      <c r="AL27" s="2">
        <f t="shared" si="14"/>
        <v>2105928.1119081546</v>
      </c>
      <c r="AM27" s="189">
        <f>AL27*(0.0000000000000028)*RadSpec!$AY27*RadSpec!$AF27</f>
        <v>9.7065015349775902E-12</v>
      </c>
      <c r="AN27" s="15" t="str">
        <f>IFERROR(DL/(RadSpec!F27*EF_rec*1*IRGL_rec*CF_game),".")</f>
        <v>.</v>
      </c>
      <c r="AO27" s="15" t="str">
        <f>IFERROR(DL/(RadSpec!F27*EF_rec*1*IRGF_rec*CF_fowl),".")</f>
        <v>.</v>
      </c>
      <c r="AP27" s="189">
        <f>IFERROR(AN27*(0.0000000000028)*RadSpec!$AY27*RadSpec!$AF27,0)</f>
        <v>0</v>
      </c>
      <c r="AQ27" s="189">
        <f>IFERROR(AO27*(0.0000000000028)*RadSpec!$AY27*RadSpec!$AF27,0)</f>
        <v>0</v>
      </c>
    </row>
    <row r="28" spans="1:43" customFormat="1" x14ac:dyDescent="0.25">
      <c r="A28" s="44" t="s">
        <v>26</v>
      </c>
      <c r="B28" s="42" t="s">
        <v>1057</v>
      </c>
      <c r="C28" s="42"/>
      <c r="D28" s="15" t="str">
        <f>IFERROR(((DL)/(RadSpec!E28*IFS_rec_adj*(1/1000))),".")</f>
        <v>.</v>
      </c>
      <c r="E28" s="15" t="str">
        <f>IFERROR(IF(A28="H-3",(DL/(RadSpec!H28*IFA_rec_adj*(1/17)*1000))*RadSpec!#REF!,(DL/(RadSpec!H28*IFA_rec_adj*(1/PEF_wind)*1000))),".")</f>
        <v>.</v>
      </c>
      <c r="F28" s="15">
        <f>IFERROR((DL/(RadSpec!G28*EF_rec*(1/365)*1*d_acf!D28*ET_rec*(1/24)*RadSpec!W28)),".")</f>
        <v>96.337605186890556</v>
      </c>
      <c r="G28" s="15" t="str">
        <f>IFERROR((AN28/(RadSpec!AI28*((Q_p_game*f_p_game*f_s_game*(RadSpec!BD28+R_es_past))+(Q_s_game*f_p_game)))),".")</f>
        <v>.</v>
      </c>
      <c r="H28" s="15" t="str">
        <f>IFERROR((AN28/(RadSpec!AL28*((Q_p_fowl*f_p_fowl*f_s_fowl*(RadSpec!BD28+R_es_past))+(Q_s_fowl*f_p_fowl)))),".")</f>
        <v>.</v>
      </c>
      <c r="I28" s="233">
        <f t="shared" si="5"/>
        <v>0</v>
      </c>
      <c r="J28" s="233">
        <f t="shared" si="6"/>
        <v>0</v>
      </c>
      <c r="K28" s="233">
        <f t="shared" si="7"/>
        <v>1.0380162534246576E-2</v>
      </c>
      <c r="L28" s="233">
        <f t="shared" si="8"/>
        <v>0</v>
      </c>
      <c r="M28" s="233">
        <f t="shared" si="9"/>
        <v>0</v>
      </c>
      <c r="N28" s="15">
        <f t="shared" si="10"/>
        <v>96.337605186890556</v>
      </c>
      <c r="O28" s="247">
        <f>IFERROR(N28*(0.0000000028)*RadSpec!$AY28*RadSpec!$AF28,0)</f>
        <v>2.3179260374077453E-10</v>
      </c>
      <c r="P28" s="15">
        <f>IFERROR((DL/(RadSpec!G28*EF_rec*(1/365)*1*d_acf!D28*ET_rec*(1/24)*RadSpec!W28)),".")</f>
        <v>96.337605186890556</v>
      </c>
      <c r="Q28" s="15">
        <f>IFERROR((DL/(RadSpec!N28*EF_rec*(1/365)*1*d_acf!E28*ET_rec*(1/24)*RadSpec!S28)),".")</f>
        <v>1141.864320015962</v>
      </c>
      <c r="R28" s="15">
        <f>IFERROR((DL/(RadSpec!O28*EF_rec*(1/365)*1*d_acf!F28*ET_rec*(1/24)*RadSpec!T28)),".")</f>
        <v>261.5407564506574</v>
      </c>
      <c r="S28" s="15">
        <f>IFERROR((DL/(RadSpec!P28*EF_rec*(1/365)*1*d_acf!G28*ET_rec*(1/24)*RadSpec!Z28)),".")</f>
        <v>128.83132225796615</v>
      </c>
      <c r="T28" s="15">
        <f>IFERROR((DL/(RadSpec!L28*EF_rec*(1/365)*1*d_acf!C28*ET_rec*(1/24)*RadSpec!V28)),".")</f>
        <v>1651.0275551905513</v>
      </c>
      <c r="U28" s="189">
        <f>P28*(0.0000000000028)*RadSpec!$AY28*RadSpec!$AF28</f>
        <v>2.3179260374077463E-13</v>
      </c>
      <c r="V28" s="189">
        <f>Q28*(0.0000000000028)*RadSpec!$AY28*RadSpec!$AF28</f>
        <v>2.7473768248829739E-12</v>
      </c>
      <c r="W28" s="189">
        <f>R28*(0.0000000000028)*RadSpec!$AY28*RadSpec!$AF28</f>
        <v>6.292788034789052E-13</v>
      </c>
      <c r="X28" s="189">
        <f>S28*(0.0000000000028)*RadSpec!$AY28*RadSpec!$AF28</f>
        <v>3.0997394601629938E-13</v>
      </c>
      <c r="Y28" s="189">
        <f>T28*(0.0000000000000028)*RadSpec!$AY28*RadSpec!$AF28</f>
        <v>3.9724464306847841E-15</v>
      </c>
      <c r="Z28" s="15" t="str">
        <f>IFERROR((DL/(RadSpec!H28*IFA_rec_adj)),".")</f>
        <v>.</v>
      </c>
      <c r="AA28" s="15">
        <f>IFERROR((DL/(RadSpec!K28*EF_rec*(1/365)*1*ET_rec*(1/24)*GSF_a)),".")</f>
        <v>9807.0181681997401</v>
      </c>
      <c r="AB28" s="15">
        <f t="shared" ref="AB28:AB29" si="34">IFERROR(IF(AND(Z28&lt;&gt;0,AA28&lt;&gt;0),1/((1/Z28)+(1/AA28)),IF(AND(Z28&lt;&gt;0,AA28=0),1/((1/Z28)),IF(AND(Z28=0,AA28&lt;&gt;0),1/((1/AA28)),IF(AND(Z28=0,AA28=0),0)))),0)</f>
        <v>0</v>
      </c>
      <c r="AC28" s="189">
        <f>AB28*(0.0000000000000028)*RadSpec!$AY28*RadSpec!$AF28</f>
        <v>0</v>
      </c>
      <c r="AD28" s="15" t="str">
        <f>IFERROR(DL/(RadSpec!I28*IFW_rec_adj),".")</f>
        <v>.</v>
      </c>
      <c r="AE28" s="15">
        <f>IFERROR(DL/(RadSpec!M28*(1/8760)*DFA_rec_adj),".")</f>
        <v>4546.8902416198798</v>
      </c>
      <c r="AF28" s="15" t="str">
        <f>IFERROR(AN28/(RadSpec!AI28*Q_w_game*(1/1000)),".")</f>
        <v>.</v>
      </c>
      <c r="AG28" s="15" t="str">
        <f>IFERROR(AN28/(RadSpec!AL28*Q_w_fowl*(1/1000)),".")</f>
        <v>.</v>
      </c>
      <c r="AH28" s="233">
        <f t="shared" si="2"/>
        <v>0</v>
      </c>
      <c r="AI28" s="233">
        <f t="shared" si="3"/>
        <v>2.199305342465753E-4</v>
      </c>
      <c r="AJ28" s="233">
        <f t="shared" si="12"/>
        <v>0</v>
      </c>
      <c r="AK28" s="233">
        <f t="shared" si="13"/>
        <v>0</v>
      </c>
      <c r="AL28" s="2">
        <f t="shared" si="14"/>
        <v>4546.8902416198798</v>
      </c>
      <c r="AM28" s="189">
        <f>AL28*(0.0000000000000028)*RadSpec!$AY28*RadSpec!$AF28</f>
        <v>1.0940022081553768E-14</v>
      </c>
      <c r="AN28" s="15" t="str">
        <f>IFERROR(DL/(RadSpec!F28*EF_rec*1*IRGL_rec*CF_game),".")</f>
        <v>.</v>
      </c>
      <c r="AO28" s="15" t="str">
        <f>IFERROR(DL/(RadSpec!F28*EF_rec*1*IRGF_rec*CF_fowl),".")</f>
        <v>.</v>
      </c>
      <c r="AP28" s="189">
        <f>IFERROR(AN28*(0.0000000000028)*RadSpec!$AY28*RadSpec!$AF28,0)</f>
        <v>0</v>
      </c>
      <c r="AQ28" s="189">
        <f>IFERROR(AO28*(0.0000000000028)*RadSpec!$AY28*RadSpec!$AF28,0)</f>
        <v>0</v>
      </c>
    </row>
    <row r="29" spans="1:43" customFormat="1" x14ac:dyDescent="0.25">
      <c r="A29" s="44" t="s">
        <v>27</v>
      </c>
      <c r="B29" s="42" t="s">
        <v>1057</v>
      </c>
      <c r="C29" s="238"/>
      <c r="D29" s="15" t="str">
        <f>IFERROR(((DL)/(RadSpec!E29*IFS_rec_adj*(1/1000))),".")</f>
        <v>.</v>
      </c>
      <c r="E29" s="15" t="str">
        <f>IFERROR(IF(A29="H-3",(DL/(RadSpec!H29*IFA_rec_adj*(1/17)*1000))*RadSpec!#REF!,(DL/(RadSpec!H29*IFA_rec_adj*(1/PEF_wind)*1000))),".")</f>
        <v>.</v>
      </c>
      <c r="F29" s="15">
        <f>IFERROR((DL/(RadSpec!G29*EF_rec*(1/365)*1*d_acf!D29*ET_rec*(1/24)*RadSpec!W29)),".")</f>
        <v>75.431325699587774</v>
      </c>
      <c r="G29" s="15" t="str">
        <f>IFERROR((AN29/(RadSpec!AI29*((Q_p_game*f_p_game*f_s_game*(RadSpec!BD29+R_es_past))+(Q_s_game*f_p_game)))),".")</f>
        <v>.</v>
      </c>
      <c r="H29" s="15" t="str">
        <f>IFERROR((AN29/(RadSpec!AL29*((Q_p_fowl*f_p_fowl*f_s_fowl*(RadSpec!BD29+R_es_past))+(Q_s_fowl*f_p_fowl)))),".")</f>
        <v>.</v>
      </c>
      <c r="I29" s="233">
        <f t="shared" si="5"/>
        <v>0</v>
      </c>
      <c r="J29" s="233">
        <f t="shared" si="6"/>
        <v>0</v>
      </c>
      <c r="K29" s="233">
        <f t="shared" si="7"/>
        <v>1.3257091675447842E-2</v>
      </c>
      <c r="L29" s="233">
        <f t="shared" si="8"/>
        <v>0</v>
      </c>
      <c r="M29" s="233">
        <f t="shared" si="9"/>
        <v>0</v>
      </c>
      <c r="N29" s="15">
        <f t="shared" si="10"/>
        <v>75.431325699587774</v>
      </c>
      <c r="O29" s="247">
        <f>IFERROR(N29*(0.0000000000028)*RadSpec!$AY29*RadSpec!$AF29,0)</f>
        <v>1.097026357777111E-13</v>
      </c>
      <c r="P29" s="15">
        <f>IFERROR((DL/(RadSpec!G29*EF_rec*(1/365)*1*d_acf!D29*ET_rec*(1/24)*RadSpec!W29)),".")</f>
        <v>75.431325699587774</v>
      </c>
      <c r="Q29" s="15">
        <f>IFERROR((DL/(RadSpec!N29*EF_rec*(1/365)*1*d_acf!E29*ET_rec*(1/24)*RadSpec!S29)),".")</f>
        <v>863.393227896231</v>
      </c>
      <c r="R29" s="15">
        <f>IFERROR((DL/(RadSpec!O29*EF_rec*(1/365)*1*d_acf!F29*ET_rec*(1/24)*RadSpec!T29)),".")</f>
        <v>202.33762148137328</v>
      </c>
      <c r="S29" s="15">
        <f>IFERROR((DL/(RadSpec!P29*EF_rec*(1/365)*1*d_acf!G29*ET_rec*(1/24)*RadSpec!Z29)),".")</f>
        <v>97.935744635128827</v>
      </c>
      <c r="T29" s="15">
        <f>IFERROR((DL/(RadSpec!L29*EF_rec*(1/365)*1*d_acf!C29*ET_rec*(1/24)*RadSpec!V29)),".")</f>
        <v>1235.4001370786468</v>
      </c>
      <c r="U29" s="189">
        <f>P29*(0.0000000000028)*RadSpec!$AY29*RadSpec!$AF29</f>
        <v>1.097026357777111E-13</v>
      </c>
      <c r="V29" s="189">
        <f>Q29*(0.0000000000028)*RadSpec!$AY29*RadSpec!$AF29</f>
        <v>1.2556654935385835E-12</v>
      </c>
      <c r="W29" s="189">
        <f>R29*(0.0000000000028)*RadSpec!$AY29*RadSpec!$AF29</f>
        <v>2.9426727142382392E-13</v>
      </c>
      <c r="X29" s="189">
        <f>S29*(0.0000000000028)*RadSpec!$AY29*RadSpec!$AF29</f>
        <v>1.4243166514287011E-13</v>
      </c>
      <c r="Y29" s="189">
        <f>T29*(0.0000000000000028)*RadSpec!$AY29*RadSpec!$AF29</f>
        <v>1.7966892404545635E-15</v>
      </c>
      <c r="Z29" s="15" t="str">
        <f>IFERROR((DL/(RadSpec!H29*IFA_rec_adj)),".")</f>
        <v>.</v>
      </c>
      <c r="AA29" s="15">
        <f>IFERROR((DL/(RadSpec!K29*EF_rec*(1/365)*1*ET_rec*(1/24)*GSF_a)),".")</f>
        <v>7578.1504026997964</v>
      </c>
      <c r="AB29" s="15">
        <f t="shared" si="34"/>
        <v>0</v>
      </c>
      <c r="AC29" s="189">
        <f>AB29*(0.0000000000000028)*RadSpec!$AY29*RadSpec!$AF29</f>
        <v>0</v>
      </c>
      <c r="AD29" s="15" t="str">
        <f>IFERROR(DL/(RadSpec!I29*IFW_rec_adj),".")</f>
        <v>.</v>
      </c>
      <c r="AE29" s="15">
        <f>IFERROR(DL/(RadSpec!M29*(1/8760)*DFA_rec_adj),".")</f>
        <v>3509.8801865135906</v>
      </c>
      <c r="AF29" s="15" t="str">
        <f>IFERROR(AN29/(RadSpec!AI29*Q_w_game*(1/1000)),".")</f>
        <v>.</v>
      </c>
      <c r="AG29" s="15" t="str">
        <f>IFERROR(AN29/(RadSpec!AL29*Q_w_fowl*(1/1000)),".")</f>
        <v>.</v>
      </c>
      <c r="AH29" s="233">
        <f t="shared" si="2"/>
        <v>0</v>
      </c>
      <c r="AI29" s="233">
        <f t="shared" si="3"/>
        <v>2.8491001027397263E-4</v>
      </c>
      <c r="AJ29" s="233">
        <f t="shared" si="12"/>
        <v>0</v>
      </c>
      <c r="AK29" s="233">
        <f t="shared" si="13"/>
        <v>0</v>
      </c>
      <c r="AL29" s="2">
        <f t="shared" si="14"/>
        <v>3509.8801865135906</v>
      </c>
      <c r="AM29" s="189">
        <f>AL29*(0.0000000000000028)*RadSpec!$AY29*RadSpec!$AF29</f>
        <v>5.1045517781031029E-15</v>
      </c>
      <c r="AN29" s="15" t="str">
        <f>IFERROR(DL/(RadSpec!F29*EF_rec*1*IRGL_rec*CF_game),".")</f>
        <v>.</v>
      </c>
      <c r="AO29" s="15" t="str">
        <f>IFERROR(DL/(RadSpec!F29*EF_rec*1*IRGF_rec*CF_fowl),".")</f>
        <v>.</v>
      </c>
      <c r="AP29" s="189">
        <f>IFERROR(AN29*(0.0000000000028)*RadSpec!$AY29*RadSpec!$AF29,0)</f>
        <v>0</v>
      </c>
      <c r="AQ29" s="189">
        <f>IFERROR(AO29*(0.0000000000028)*RadSpec!$AY29*RadSpec!$AF29,0)</f>
        <v>0</v>
      </c>
    </row>
    <row r="30" spans="1:43" customFormat="1" x14ac:dyDescent="0.25">
      <c r="A30" s="44" t="s">
        <v>28</v>
      </c>
      <c r="B30" s="42" t="s">
        <v>1057</v>
      </c>
      <c r="C30" s="42"/>
      <c r="D30" s="15">
        <f>IFERROR(((DL)/(RadSpec!E30*IFS_rec_adj*(1/1000))),".")</f>
        <v>486.67093477076457</v>
      </c>
      <c r="E30" s="15">
        <f>IFERROR(IF(A30="H-3",(DL/(RadSpec!H30*IFA_rec_adj*(1/17)*1000))*RadSpec!#REF!,(DL/(RadSpec!H30*IFA_rec_adj*(1/PEF_wind)*1000))),".")</f>
        <v>644862.74721562583</v>
      </c>
      <c r="F30" s="15">
        <f>IFERROR((DL/(RadSpec!G30*EF_rec*(1/365)*1*d_acf!D30*ET_rec*(1/24)*RadSpec!W30)),".")</f>
        <v>825296.77744880575</v>
      </c>
      <c r="G30" s="15">
        <f>IFERROR((AN30/(RadSpec!AI30*((Q_p_game*f_p_game*f_s_game*(RadSpec!BD30+R_es_past))+(Q_s_game*f_p_game)))),".")</f>
        <v>122094.74010784263</v>
      </c>
      <c r="H30" s="15">
        <f>IFERROR((AN30/(RadSpec!AL30*((Q_p_fowl*f_p_fowl*f_s_fowl*(RadSpec!BD30+R_es_past))+(Q_s_fowl*f_p_fowl)))),".")</f>
        <v>63.489264856078172</v>
      </c>
      <c r="I30" s="233">
        <f t="shared" si="5"/>
        <v>2.0547765000000001E-3</v>
      </c>
      <c r="J30" s="233">
        <f t="shared" si="6"/>
        <v>1.5507175818695962E-6</v>
      </c>
      <c r="K30" s="233">
        <f t="shared" si="7"/>
        <v>1.2116853322646486E-6</v>
      </c>
      <c r="L30" s="233">
        <f t="shared" si="8"/>
        <v>8.190361018965517E-6</v>
      </c>
      <c r="M30" s="233">
        <f t="shared" si="9"/>
        <v>1.5750694267241377E-2</v>
      </c>
      <c r="N30" s="15">
        <f t="shared" si="10"/>
        <v>56.127987654213506</v>
      </c>
      <c r="O30" s="247">
        <f>IFERROR(N30*(0.0000000000028)*RadSpec!$AY30*RadSpec!$AF30,0)</f>
        <v>5.8295695439809364E-3</v>
      </c>
      <c r="P30" s="15">
        <f>IFERROR((DL/(RadSpec!G30*EF_rec*(1/365)*1*d_acf!D30*ET_rec*(1/24)*RadSpec!W30)),".")</f>
        <v>825296.77744880575</v>
      </c>
      <c r="Q30" s="15">
        <f>IFERROR((DL/(RadSpec!N30*EF_rec*(1/365)*1*d_acf!E30*ET_rec*(1/24)*RadSpec!S30)),".")</f>
        <v>2814770.6978099104</v>
      </c>
      <c r="R30" s="15">
        <f>IFERROR((DL/(RadSpec!O30*EF_rec*(1/365)*1*d_acf!F30*ET_rec*(1/24)*RadSpec!T30)),".")</f>
        <v>1195840.0807635507</v>
      </c>
      <c r="S30" s="15">
        <f>IFERROR((DL/(RadSpec!P30*EF_rec*(1/365)*1*d_acf!G30*ET_rec*(1/24)*RadSpec!Z30)),".")</f>
        <v>847263.95911683992</v>
      </c>
      <c r="T30" s="15">
        <f>IFERROR((DL/(RadSpec!L30*EF_rec*(1/365)*1*d_acf!C30*ET_rec*(1/24)*RadSpec!V30)),".")</f>
        <v>1941311.6393973741</v>
      </c>
      <c r="U30" s="189">
        <f>P30*(0.0000000000028)*RadSpec!$AY30*RadSpec!$AF30</f>
        <v>85.717039923130059</v>
      </c>
      <c r="V30" s="189">
        <f>Q30*(0.0000000000028)*RadSpec!$AY30*RadSpec!$AF30</f>
        <v>292.34793939758879</v>
      </c>
      <c r="W30" s="189">
        <f>R30*(0.0000000000028)*RadSpec!$AY30*RadSpec!$AF30</f>
        <v>124.20243813547039</v>
      </c>
      <c r="X30" s="189">
        <f>S30*(0.0000000000028)*RadSpec!$AY30*RadSpec!$AF30</f>
        <v>87.998597102909955</v>
      </c>
      <c r="Y30" s="189">
        <f>T30*(0.0000000000000028)*RadSpec!$AY30*RadSpec!$AF30</f>
        <v>0.20162866479602123</v>
      </c>
      <c r="Z30" s="15">
        <f>IFERROR((DL/(RadSpec!H30*IFA_rec_adj)),".")</f>
        <v>0.47439244411434633</v>
      </c>
      <c r="AA30" s="15">
        <f>IFERROR((DL/(RadSpec!K30*EF_rec*(1/365)*1*ET_rec*(1/24)*GSF_a)),".")</f>
        <v>94369420.109091848</v>
      </c>
      <c r="AB30" s="15">
        <f t="shared" ref="AB30" si="35">IFERROR(IF(AND(Z30&lt;&gt;0,AA30&lt;&gt;0),1/((1/Z30)+(1/AA30)),IF(AND(Z30&lt;&gt;0,AA30=0),1/((1/Z30)),IF(AND(Z30=0,AA30&lt;&gt;0),1/((1/AA30)),IF(AND(Z30=0,AA30=0),0)))),0)</f>
        <v>0.47439244172958878</v>
      </c>
      <c r="AC30" s="189">
        <f>AB30*(0.0000000000000028)*RadSpec!$AY30*RadSpec!$AF30</f>
        <v>4.9271385734313884E-8</v>
      </c>
      <c r="AD30" s="15">
        <f>IFERROR(DL/(RadSpec!I30*IFW_rec_adj),".")</f>
        <v>533.04118412114019</v>
      </c>
      <c r="AE30" s="15">
        <f>IFERROR(DL/(RadSpec!M30*(1/8760)*DFA_rec_adj),".")</f>
        <v>42566632.049207382</v>
      </c>
      <c r="AF30" s="15">
        <f>IFERROR(AN30/(RadSpec!AI30*Q_w_game*(1/1000)),".")</f>
        <v>153488525.58154881</v>
      </c>
      <c r="AG30" s="15">
        <f>IFERROR(AN30/(RadSpec!AL30*Q_w_fowl*(1/1000)),".")</f>
        <v>79814.033302405383</v>
      </c>
      <c r="AH30" s="233">
        <f t="shared" si="2"/>
        <v>1.8760276500000002E-3</v>
      </c>
      <c r="AI30" s="233">
        <f t="shared" si="3"/>
        <v>2.3492579794520546E-8</v>
      </c>
      <c r="AJ30" s="233">
        <f t="shared" si="12"/>
        <v>6.5151450000000015E-9</v>
      </c>
      <c r="AK30" s="233">
        <f t="shared" si="13"/>
        <v>1.2529125000000002E-5</v>
      </c>
      <c r="AL30" s="2">
        <f t="shared" si="14"/>
        <v>529.49645160453304</v>
      </c>
      <c r="AM30" s="189">
        <f>AL30*(0.0000000000000028)*RadSpec!$AY30*RadSpec!$AF30</f>
        <v>5.4994602816266138E-5</v>
      </c>
      <c r="AN30" s="15">
        <f>IFERROR(DL/(RadSpec!F30*EF_rec*1*IRGL_rec*CF_game),".")</f>
        <v>59.860524976804044</v>
      </c>
      <c r="AO30" s="15">
        <f>IFERROR(DL/(RadSpec!F30*EF_rec*1*IRGF_rec*CF_fowl),".")</f>
        <v>59.860524976804044</v>
      </c>
      <c r="AP30" s="189">
        <f>IFERROR(AN30*(0.0000000000028)*RadSpec!$AY30*RadSpec!$AF30,0)</f>
        <v>6.2172386339828193E-3</v>
      </c>
      <c r="AQ30" s="189">
        <f>IFERROR(AO30*(0.0000000000028)*RadSpec!$AY30*RadSpec!$AF30,0)</f>
        <v>6.2172386339828193E-3</v>
      </c>
    </row>
    <row r="31" spans="1:43" x14ac:dyDescent="0.25">
      <c r="A31" s="76" t="s">
        <v>1</v>
      </c>
      <c r="B31" s="57" t="s">
        <v>1185</v>
      </c>
      <c r="C31" s="57"/>
      <c r="D31" s="58">
        <f>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22.125371136857868</v>
      </c>
      <c r="E31" s="58">
        <f>IFERROR(1/SUM(IFERROR(1/SUMIF(E32,"&lt;&gt;.",E32),0),IFERROR(1/SUMIF(E33,"&lt;&gt;.",E33),0),IFERROR(1/SUMIF(E34,"&lt;&gt;.",E34),0),IFERROR(1/SUMIF(E35,"&lt;&gt;.",E35),0),IFERROR(1/SUMIF(E36,"&lt;&gt;.",E36),0),IFERROR(1/SUMIF(E37,"&lt;&gt;.",E37),0),IFERROR(1/SUMIF(E38,"&lt;&gt;.",E38),0),IFERROR(1/SUMIF(E39,"&lt;&gt;.",E39),0),IFERROR(1/SUMIF(E40,"&lt;&gt;.",E40),0),IFERROR(1/SUMIF(E41,"&lt;&gt;.",E41),0),IFERROR(1/SUMIF(E42,"&lt;&gt;.",E42),0),IFERROR(1/SUMIF(E43,"&lt;&gt;.",E43),0),IFERROR(1/SUMIF(E44,"&lt;&gt;.",E44),0)),".")</f>
        <v>31018.924963643218</v>
      </c>
      <c r="F31" s="58">
        <f>IFERROR(1/SUM(IFERROR(1/SUMIF(F32,"&lt;&gt;.",F32),0),IFERROR(1/SUMIF(F33,"&lt;&gt;.",F33),0),IFERROR(1/SUMIF(F34,"&lt;&gt;.",F34),0),IFERROR(1/SUMIF(F35,"&lt;&gt;.",F35),0),IFERROR(1/SUMIF(F36,"&lt;&gt;.",F36),0),IFERROR(1/SUMIF(F37,"&lt;&gt;.",F37),0),IFERROR(1/SUMIF(F38,"&lt;&gt;.",F38),0),IFERROR(1/SUMIF(F39,"&lt;&gt;.",F39),0),IFERROR(1/SUMIF(F40,"&lt;&gt;.",F40),0),IFERROR(1/SUMIF(F41,"&lt;&gt;.",F41),0),IFERROR(1/SUMIF(F42,"&lt;&gt;.",F42),0),IFERROR(1/SUMIF(F43,"&lt;&gt;.",F43),0),IFERROR(1/SUMIF(F44,"&lt;&gt;.",F44),0)),".")</f>
        <v>527.00838201228999</v>
      </c>
      <c r="G31" s="58">
        <f>IFERROR(1/SUM(IFERROR(1/SUMIF(G32,"&lt;&gt;.",G32),0),IFERROR(1/SUMIF(G33,"&lt;&gt;.",G33),0),IFERROR(1/SUMIF(G34,"&lt;&gt;.",G34),0),IFERROR(1/SUMIF(G35,"&lt;&gt;.",G35),0),IFERROR(1/SUMIF(G36,"&lt;&gt;.",G36),0),IFERROR(1/SUMIF(G37,"&lt;&gt;.",G37),0),IFERROR(1/SUMIF(G38,"&lt;&gt;.",G38),0),IFERROR(1/SUMIF(G39,"&lt;&gt;.",G39),0),IFERROR(1/SUMIF(G40,"&lt;&gt;.",G40),0),IFERROR(1/SUMIF(G41,"&lt;&gt;.",G41),0),IFERROR(1/SUMIF(G42,"&lt;&gt;.",G42),0),IFERROR(1/SUMIF(G43,"&lt;&gt;.",G43),0),IFERROR(1/SUMIF(G44,"&lt;&gt;.",G44),0)),".")</f>
        <v>4069.8405460319009</v>
      </c>
      <c r="H31" s="58">
        <f>IFERROR(1/SUM(IFERROR(1/SUMIF(H32,"&lt;&gt;.",H32),0),IFERROR(1/SUMIF(H33,"&lt;&gt;.",H33),0),IFERROR(1/SUMIF(H34,"&lt;&gt;.",H34),0),IFERROR(1/SUMIF(H35,"&lt;&gt;.",H35),0),IFERROR(1/SUMIF(H36,"&lt;&gt;.",H36),0),IFERROR(1/SUMIF(H37,"&lt;&gt;.",H37),0),IFERROR(1/SUMIF(H38,"&lt;&gt;.",H38),0),IFERROR(1/SUMIF(H39,"&lt;&gt;.",H39),0),IFERROR(1/SUMIF(H40,"&lt;&gt;.",H40),0),IFERROR(1/SUMIF(H41,"&lt;&gt;.",H41),0),IFERROR(1/SUMIF(H42,"&lt;&gt;.",H42),0),IFERROR(1/SUMIF(H43,"&lt;&gt;.",H43),0),IFERROR(1/SUMIF(H44,"&lt;&gt;.",H44),0)),".")</f>
        <v>61.553454869673658</v>
      </c>
      <c r="I31" s="233">
        <f t="shared" si="5"/>
        <v>4.5196981954085079E-2</v>
      </c>
      <c r="J31" s="233">
        <f t="shared" si="6"/>
        <v>3.2238383540760483E-5</v>
      </c>
      <c r="K31" s="233">
        <f t="shared" si="7"/>
        <v>1.8975030267671905E-3</v>
      </c>
      <c r="L31" s="233">
        <f t="shared" si="8"/>
        <v>2.4570987209191798E-4</v>
      </c>
      <c r="M31" s="233">
        <f t="shared" si="9"/>
        <v>1.6246041787862067E-2</v>
      </c>
      <c r="N31" s="59">
        <f t="shared" ref="N31:AE31" si="36">IFERROR(1/SUM(IFERROR(1/SUMIF(N32,"&lt;&gt;.",N32),0),IFERROR(1/SUMIF(N33,"&lt;&gt;.",N33),0),IFERROR(1/SUMIF(N34,"&lt;&gt;.",N34),0),IFERROR(1/SUMIF(N35,"&lt;&gt;.",N35),0),IFERROR(1/SUMIF(N36,"&lt;&gt;.",N36),0),IFERROR(1/SUMIF(N37,"&lt;&gt;.",N37),0),IFERROR(1/SUMIF(N38,"&lt;&gt;.",N38),0),IFERROR(1/SUMIF(N39,"&lt;&gt;.",N39),0),IFERROR(1/SUMIF(N40,"&lt;&gt;.",N40),0),IFERROR(1/SUMIF(N41,"&lt;&gt;.",N41),0),IFERROR(1/SUMIF(N42,"&lt;&gt;.",N42),0),IFERROR(1/SUMIF(N43,"&lt;&gt;.",N43),0),IFERROR(1/SUMIF(N44,"&lt;&gt;.",N44),0)),".")</f>
        <v>15.718704348340575</v>
      </c>
      <c r="O31" s="248">
        <f>IFERROR(N31*(0.0000000000028)*RadSpec!$AY3*RadSpec!$AF3,0)</f>
        <v>4.5843374882592674E-6</v>
      </c>
      <c r="P31" s="58">
        <f t="shared" si="36"/>
        <v>527.00838201228999</v>
      </c>
      <c r="Q31" s="58">
        <f t="shared" si="36"/>
        <v>2962.2914434092204</v>
      </c>
      <c r="R31" s="58">
        <f t="shared" si="36"/>
        <v>905.61052949936447</v>
      </c>
      <c r="S31" s="58">
        <f t="shared" si="36"/>
        <v>555.87101261010775</v>
      </c>
      <c r="T31" s="58">
        <f t="shared" si="36"/>
        <v>2817.2951961894355</v>
      </c>
      <c r="U31" s="190">
        <f>P31*(0.0000000000028)*RadSpec!$AY3*RadSpec!$AF3</f>
        <v>1.5370123572181429E-4</v>
      </c>
      <c r="V31" s="190">
        <f>Q31*(0.0000000000028)*RadSpec!$AY3*RadSpec!$AF3</f>
        <v>8.6394803377062076E-4</v>
      </c>
      <c r="W31" s="190">
        <f>R31*(0.0000000000028)*RadSpec!$AY3*RadSpec!$AF3</f>
        <v>2.6412000684932716E-4</v>
      </c>
      <c r="X31" s="190">
        <f>S31*(0.0000000000028)*RadSpec!$AY3*RadSpec!$AF3</f>
        <v>1.6211898037347977E-4</v>
      </c>
      <c r="Y31" s="190">
        <f>T31*(0.0000000000000028)*RadSpec!$AY3*RadSpec!$AF3</f>
        <v>8.2166008706356639E-7</v>
      </c>
      <c r="Z31" s="58">
        <f t="shared" si="36"/>
        <v>2.2819031942593892E-2</v>
      </c>
      <c r="AA31" s="58">
        <f t="shared" si="36"/>
        <v>41032.38163482993</v>
      </c>
      <c r="AB31" s="59">
        <f t="shared" si="36"/>
        <v>2.2819021019052373E-2</v>
      </c>
      <c r="AC31" s="190">
        <f>AB31*(0.0000000000000028)*RadSpec!$AY3*RadSpec!$AF3</f>
        <v>6.6551346208163583E-12</v>
      </c>
      <c r="AD31" s="58">
        <f t="shared" si="36"/>
        <v>24.233487531910225</v>
      </c>
      <c r="AE31" s="58">
        <f t="shared" si="36"/>
        <v>18845.028079217202</v>
      </c>
      <c r="AF31" s="58">
        <f>IFERROR(1/SUM(IFERROR(1/SUMIF(AF32,"&lt;&gt;.",AF32),0),IFERROR(1/SUMIF(AF33,"&lt;&gt;.",AF33),0),IFERROR(1/SUMIF(AF34,"&lt;&gt;.",AF34),0),IFERROR(1/SUMIF(AF35,"&lt;&gt;.",AF35),0),IFERROR(1/SUMIF(AF36,"&lt;&gt;.",AF36),0),IFERROR(1/SUMIF(AF37,"&lt;&gt;.",AF37),0),IFERROR(1/SUMIF(AF38,"&lt;&gt;.",AF38),0),IFERROR(1/SUMIF(AF39,"&lt;&gt;.",AF39),0),IFERROR(1/SUMIF(AF40,"&lt;&gt;.",AF40),0),IFERROR(1/SUMIF(AF41,"&lt;&gt;.",AF41),0),IFERROR(1/SUMIF(AF42,"&lt;&gt;.",AF42),0),IFERROR(1/SUMIF(AF43,"&lt;&gt;.",AF43),0),IFERROR(1/SUMIF(AF44,"&lt;&gt;.",AF44),0)),".")</f>
        <v>5138544.2115846202</v>
      </c>
      <c r="AG31" s="58">
        <f>IFERROR(1/SUM(IFERROR(1/SUMIF(AG32,"&lt;&gt;.",AG32),0),IFERROR(1/SUMIF(AG33,"&lt;&gt;.",AG33),0),IFERROR(1/SUMIF(AG34,"&lt;&gt;.",AG34),0),IFERROR(1/SUMIF(AG35,"&lt;&gt;.",AG35),0),IFERROR(1/SUMIF(AG36,"&lt;&gt;.",AG36),0),IFERROR(1/SUMIF(AG37,"&lt;&gt;.",AG37),0),IFERROR(1/SUMIF(AG38,"&lt;&gt;.",AG38),0),IFERROR(1/SUMIF(AG39,"&lt;&gt;.",AG39),0),IFERROR(1/SUMIF(AG40,"&lt;&gt;.",AG40),0),IFERROR(1/SUMIF(AG41,"&lt;&gt;.",AG41),0),IFERROR(1/SUMIF(AG42,"&lt;&gt;.",AG42),0),IFERROR(1/SUMIF(AG43,"&lt;&gt;.",AG43),0),IFERROR(1/SUMIF(AG44,"&lt;&gt;.",AG44),0)),".")</f>
        <v>77367.074661934894</v>
      </c>
      <c r="AH31" s="233">
        <f t="shared" si="2"/>
        <v>4.1265211979217509E-2</v>
      </c>
      <c r="AI31" s="233">
        <f t="shared" si="3"/>
        <v>5.3064394268683875E-5</v>
      </c>
      <c r="AJ31" s="233">
        <f t="shared" si="12"/>
        <v>1.9460764738494305E-7</v>
      </c>
      <c r="AK31" s="233">
        <f t="shared" si="13"/>
        <v>1.2925395E-5</v>
      </c>
      <c r="AL31" s="59">
        <f>IFERROR(1/SUM(IFERROR(1/SUMIF(AL32,"&lt;&gt;.",AL32),0),IFERROR(1/SUMIF(AL33,"&lt;&gt;.",AL33),0),IFERROR(1/SUMIF(AL34,"&lt;&gt;.",AL34),0),IFERROR(1/SUMIF(AL35,"&lt;&gt;.",AL35),0),IFERROR(1/SUMIF(AL36,"&lt;&gt;.",AL36),0),IFERROR(1/SUMIF(AL37,"&lt;&gt;.",AL37),0),IFERROR(1/SUMIF(AL38,"&lt;&gt;.",AL38),0),IFERROR(1/SUMIF(AL39,"&lt;&gt;.",AL39),0),IFERROR(1/SUMIF(AL40,"&lt;&gt;.",AL40),0),IFERROR(1/SUMIF(AL41,"&lt;&gt;.",AL41),0),IFERROR(1/SUMIF(AL42,"&lt;&gt;.",AL42),0),IFERROR(1/SUMIF(AL43,"&lt;&gt;.",AL43),0),IFERROR(1/SUMIF(AL44,"&lt;&gt;.",AL44),0)),".")</f>
        <v>24.194682195093712</v>
      </c>
      <c r="AM31" s="190">
        <f>AL31*(0.0000000000000028)*RadSpec!$AY3*RadSpec!$AF3</f>
        <v>7.05634422185672E-9</v>
      </c>
      <c r="AN31" s="58">
        <f>IFERROR(1/SUM(IFERROR(1/SUMIF(AN32,"&lt;&gt;.",AN32),0),IFERROR(1/SUMIF(AN33,"&lt;&gt;.",AN33),0),IFERROR(1/SUMIF(AN34,"&lt;&gt;.",AN34),0),IFERROR(1/SUMIF(AN35,"&lt;&gt;.",AN35),0),IFERROR(1/SUMIF(AN36,"&lt;&gt;.",AN36),0),IFERROR(1/SUMIF(AN37,"&lt;&gt;.",AN37),0),IFERROR(1/SUMIF(AN38,"&lt;&gt;.",AN38),0),IFERROR(1/SUMIF(AN39,"&lt;&gt;.",AN39),0),IFERROR(1/SUMIF(AN40,"&lt;&gt;.",AN40),0),IFERROR(1/SUMIF(AN41,"&lt;&gt;.",AN41),0),IFERROR(1/SUMIF(AN42,"&lt;&gt;.",AN42),0),IFERROR(1/SUMIF(AN43,"&lt;&gt;.",AN43),0),IFERROR(1/SUMIF(AN44,"&lt;&gt;.",AN44),0)),".")</f>
        <v>2.7214206498335187</v>
      </c>
      <c r="AO31" s="58">
        <f>IFERROR(1/SUM(IFERROR(1/SUMIF(AO32,"&lt;&gt;.",AO32),0),IFERROR(1/SUMIF(AO33,"&lt;&gt;.",AO33),0),IFERROR(1/SUMIF(AO34,"&lt;&gt;.",AO34),0),IFERROR(1/SUMIF(AO35,"&lt;&gt;.",AO35),0),IFERROR(1/SUMIF(AO36,"&lt;&gt;.",AO36),0),IFERROR(1/SUMIF(AO37,"&lt;&gt;.",AO37),0),IFERROR(1/SUMIF(AO38,"&lt;&gt;.",AO38),0),IFERROR(1/SUMIF(AO39,"&lt;&gt;.",AO39),0),IFERROR(1/SUMIF(AO40,"&lt;&gt;.",AO40),0),IFERROR(1/SUMIF(AO41,"&lt;&gt;.",AO41),0),IFERROR(1/SUMIF(AO42,"&lt;&gt;.",AO42),0),IFERROR(1/SUMIF(AO43,"&lt;&gt;.",AO43),0),IFERROR(1/SUMIF(AO44,"&lt;&gt;.",AO44),0)),".")</f>
        <v>2.7214206498335187</v>
      </c>
      <c r="AP31" s="190">
        <f>AN31*(0.0000000000028)*RadSpec!$AY3*RadSpec!$AF3</f>
        <v>7.9369841367821005E-7</v>
      </c>
      <c r="AQ31" s="190">
        <f>AO31*(0.0000000000028)*RadSpec!$AY3*RadSpec!$AF3</f>
        <v>7.9369841367821005E-7</v>
      </c>
    </row>
    <row r="32" spans="1:43" x14ac:dyDescent="0.25">
      <c r="A32" s="77" t="s">
        <v>1085</v>
      </c>
      <c r="B32" s="42">
        <v>1</v>
      </c>
      <c r="C32" s="42"/>
      <c r="D32" s="60">
        <f>IFERROR(D3/$B32,".")</f>
        <v>123.09911879495809</v>
      </c>
      <c r="E32" s="60">
        <f>IFERROR(E3/$B32,".")</f>
        <v>67707.301695422502</v>
      </c>
      <c r="F32" s="60">
        <f>IFERROR(F3/$B32,".")</f>
        <v>29176.165317256124</v>
      </c>
      <c r="G32" s="60">
        <f>IFERROR(G3/$B32,".")</f>
        <v>24225.416501456461</v>
      </c>
      <c r="H32" s="60">
        <f>IFERROR(H3/$B32,".")</f>
        <v>2018.784708454705</v>
      </c>
      <c r="I32" s="233">
        <f t="shared" si="5"/>
        <v>8.1235350000000012E-3</v>
      </c>
      <c r="J32" s="233">
        <f t="shared" si="6"/>
        <v>1.4769455804020131E-5</v>
      </c>
      <c r="K32" s="233">
        <f t="shared" si="7"/>
        <v>3.42745521601687E-5</v>
      </c>
      <c r="L32" s="233">
        <f t="shared" si="8"/>
        <v>4.1278960051724141E-5</v>
      </c>
      <c r="M32" s="233">
        <f t="shared" si="9"/>
        <v>4.9534752062068972E-4</v>
      </c>
      <c r="N32" s="60">
        <f t="shared" ref="N32:AE32" si="37">IFERROR(N3/$B32,".")</f>
        <v>114.82103635110653</v>
      </c>
      <c r="O32" s="247">
        <f>IFERROR(O3/$B32,0)</f>
        <v>3.3487389909507872E-5</v>
      </c>
      <c r="P32" s="60">
        <f t="shared" si="37"/>
        <v>29176.165317256124</v>
      </c>
      <c r="Q32" s="60">
        <f t="shared" si="37"/>
        <v>67472.896949043236</v>
      </c>
      <c r="R32" s="60">
        <f t="shared" si="37"/>
        <v>35567.794214385489</v>
      </c>
      <c r="S32" s="60">
        <f t="shared" si="37"/>
        <v>32417.375402667745</v>
      </c>
      <c r="T32" s="60">
        <f t="shared" si="37"/>
        <v>54305.52158236254</v>
      </c>
      <c r="U32" s="189">
        <f t="shared" ref="U32:Y32" si="38">IFERROR(U3/$B32,0)</f>
        <v>8.509186601099691E-3</v>
      </c>
      <c r="V32" s="189">
        <f t="shared" si="38"/>
        <v>1.9678373234216853E-2</v>
      </c>
      <c r="W32" s="189">
        <f t="shared" si="38"/>
        <v>1.0373295965001859E-2</v>
      </c>
      <c r="X32" s="189">
        <f t="shared" si="38"/>
        <v>9.4544808551674693E-3</v>
      </c>
      <c r="Y32" s="189">
        <f t="shared" si="38"/>
        <v>1.5838127169544958E-5</v>
      </c>
      <c r="Z32" s="60">
        <f t="shared" si="37"/>
        <v>4.9808788729640847E-2</v>
      </c>
      <c r="AA32" s="60">
        <f t="shared" si="37"/>
        <v>1488565.2576731746</v>
      </c>
      <c r="AB32" s="60">
        <f t="shared" si="37"/>
        <v>4.9808787062992153E-2</v>
      </c>
      <c r="AC32" s="189">
        <f t="shared" ref="AC32" si="39">IFERROR(AC3/$B32,0)</f>
        <v>1.4526661022268291E-11</v>
      </c>
      <c r="AD32" s="60">
        <f t="shared" si="37"/>
        <v>134.82806421887665</v>
      </c>
      <c r="AE32" s="60">
        <f t="shared" si="37"/>
        <v>649555.74880283978</v>
      </c>
      <c r="AF32" s="60">
        <f>IFERROR(AF3/$B32,".")</f>
        <v>30282383.223559693</v>
      </c>
      <c r="AG32" s="60">
        <f>IFERROR(AG3/$B32,".")</f>
        <v>2523531.9352966407</v>
      </c>
      <c r="AH32" s="233">
        <f t="shared" si="2"/>
        <v>7.4168534999999999E-3</v>
      </c>
      <c r="AI32" s="233">
        <f t="shared" si="3"/>
        <v>1.5395137397260275E-6</v>
      </c>
      <c r="AJ32" s="233">
        <f t="shared" si="12"/>
        <v>3.3022500000000003E-8</v>
      </c>
      <c r="AK32" s="233">
        <f t="shared" si="13"/>
        <v>3.9627000000000009E-7</v>
      </c>
      <c r="AL32" s="60">
        <f>IFERROR(AL3/$B32,".")</f>
        <v>134.79228356216768</v>
      </c>
      <c r="AM32" s="189">
        <f t="shared" ref="AM32" si="40">IFERROR(AM3/$B32,0)</f>
        <v>3.9311975400017877E-8</v>
      </c>
      <c r="AN32" s="60">
        <f>IFERROR(AN3/$B32,".")</f>
        <v>15.141191611779846</v>
      </c>
      <c r="AO32" s="60">
        <f>IFERROR(AO3/$B32,".")</f>
        <v>15.141191611779846</v>
      </c>
      <c r="AP32" s="189">
        <f t="shared" ref="AP32" si="41">IFERROR(AP3/$B32,0)</f>
        <v>4.4159067302596715E-6</v>
      </c>
      <c r="AQ32" s="189">
        <f t="shared" ref="AQ32" si="42">IFERROR(AQ3/$B32,0)</f>
        <v>4.4159067302596715E-6</v>
      </c>
    </row>
    <row r="33" spans="1:43" x14ac:dyDescent="0.25">
      <c r="A33" s="77" t="s">
        <v>1061</v>
      </c>
      <c r="B33" s="42">
        <v>1</v>
      </c>
      <c r="C33" s="42"/>
      <c r="D33" s="60">
        <f t="shared" ref="D33:AN34" si="43">IFERROR(D13/$B33,".")</f>
        <v>234.38072218560021</v>
      </c>
      <c r="E33" s="60">
        <f t="shared" si="43"/>
        <v>527149.7060572179</v>
      </c>
      <c r="F33" s="60">
        <f t="shared" si="43"/>
        <v>16686.146489967417</v>
      </c>
      <c r="G33" s="60">
        <f>IFERROR(G13/$B33,".")</f>
        <v>230017.25129384702</v>
      </c>
      <c r="H33" s="60" t="str">
        <f>IFERROR(H13/$B33,".")</f>
        <v>.</v>
      </c>
      <c r="I33" s="233">
        <f t="shared" si="5"/>
        <v>4.2665625000000004E-3</v>
      </c>
      <c r="J33" s="233">
        <f t="shared" si="6"/>
        <v>1.8969943234521276E-6</v>
      </c>
      <c r="K33" s="233">
        <f t="shared" si="7"/>
        <v>5.9929954504549762E-5</v>
      </c>
      <c r="L33" s="233">
        <f t="shared" si="8"/>
        <v>4.3475000000000003E-6</v>
      </c>
      <c r="M33" s="233">
        <f t="shared" si="9"/>
        <v>0</v>
      </c>
      <c r="N33" s="60">
        <f>IFERROR(N13/$B33,".")</f>
        <v>230.80099526247454</v>
      </c>
      <c r="O33" s="247">
        <f>IFERROR(O13/$B33,0)</f>
        <v>0.32837405473804587</v>
      </c>
      <c r="P33" s="60">
        <f t="shared" si="43"/>
        <v>16686.146489967417</v>
      </c>
      <c r="Q33" s="60">
        <f t="shared" si="43"/>
        <v>48654.9342711688</v>
      </c>
      <c r="R33" s="60">
        <f t="shared" si="43"/>
        <v>20798.401537822894</v>
      </c>
      <c r="S33" s="60">
        <f t="shared" si="43"/>
        <v>16468.062464401421</v>
      </c>
      <c r="T33" s="60">
        <f t="shared" si="43"/>
        <v>45394.390209210236</v>
      </c>
      <c r="U33" s="189">
        <f t="shared" ref="U33:Y34" si="44">IFERROR(U13/$B33,0)</f>
        <v>23.740355082231662</v>
      </c>
      <c r="V33" s="189">
        <f t="shared" si="44"/>
        <v>69.224216435753277</v>
      </c>
      <c r="W33" s="189">
        <f t="shared" si="44"/>
        <v>29.591100494510442</v>
      </c>
      <c r="X33" s="189">
        <f t="shared" si="44"/>
        <v>23.430074202951825</v>
      </c>
      <c r="Y33" s="189">
        <f t="shared" si="44"/>
        <v>6.4585249983031612E-2</v>
      </c>
      <c r="Z33" s="60">
        <f t="shared" si="43"/>
        <v>0.38779699796648948</v>
      </c>
      <c r="AA33" s="60">
        <f t="shared" si="43"/>
        <v>1163157.9687864806</v>
      </c>
      <c r="AB33" s="60">
        <f t="shared" si="43"/>
        <v>0.38779686867496971</v>
      </c>
      <c r="AC33" s="189">
        <f t="shared" ref="AC33:AC34" si="45">IFERROR(AC13/$B33,0)</f>
        <v>5.5174125240101005E-7</v>
      </c>
      <c r="AD33" s="60">
        <f t="shared" si="43"/>
        <v>256.71263427274113</v>
      </c>
      <c r="AE33" s="60">
        <f t="shared" si="43"/>
        <v>518298.36951107433</v>
      </c>
      <c r="AF33" s="60">
        <f>IFERROR(AF13/$B33,".")</f>
        <v>288288288.28828824</v>
      </c>
      <c r="AG33" s="60" t="str">
        <f>IFERROR(AG13/$B33,".")</f>
        <v>.</v>
      </c>
      <c r="AH33" s="233">
        <f t="shared" si="2"/>
        <v>3.89540625E-3</v>
      </c>
      <c r="AI33" s="233">
        <f t="shared" si="3"/>
        <v>1.9293905958904108E-6</v>
      </c>
      <c r="AJ33" s="233">
        <f t="shared" si="12"/>
        <v>3.4687500000000005E-9</v>
      </c>
      <c r="AK33" s="233">
        <f t="shared" si="13"/>
        <v>0</v>
      </c>
      <c r="AL33" s="60">
        <f t="shared" si="43"/>
        <v>256.58531935339721</v>
      </c>
      <c r="AM33" s="189">
        <f t="shared" ref="AM33:AM34" si="46">IFERROR(AM13/$B33,0)</f>
        <v>3.6505891842672847E-4</v>
      </c>
      <c r="AN33" s="60">
        <f t="shared" si="43"/>
        <v>28.828828828828826</v>
      </c>
      <c r="AO33" s="60">
        <f>IFERROR(AO13/$B33,".")</f>
        <v>28.828828828828826</v>
      </c>
      <c r="AP33" s="189">
        <f t="shared" ref="AP33:AP34" si="47">IFERROR(AP13/$B33,0)</f>
        <v>4.1016458378378376E-2</v>
      </c>
      <c r="AQ33" s="189">
        <f t="shared" ref="AQ33" si="48">IFERROR(AQ13/$B33,0)</f>
        <v>4.1016458378378376E-2</v>
      </c>
    </row>
    <row r="34" spans="1:43" x14ac:dyDescent="0.25">
      <c r="A34" s="77" t="s">
        <v>1062</v>
      </c>
      <c r="B34" s="42">
        <v>1</v>
      </c>
      <c r="C34" s="42"/>
      <c r="D34" s="60">
        <f t="shared" si="43"/>
        <v>22195.144146363658</v>
      </c>
      <c r="E34" s="60">
        <f t="shared" si="43"/>
        <v>1456597872.0002077</v>
      </c>
      <c r="F34" s="60">
        <f t="shared" si="43"/>
        <v>1417.0680829632508</v>
      </c>
      <c r="G34" s="60">
        <f>IFERROR(G14/$B34,".")</f>
        <v>404444848.88929331</v>
      </c>
      <c r="H34" s="60" t="str">
        <f>IFERROR(H14/$B34,".")</f>
        <v>.</v>
      </c>
      <c r="I34" s="233">
        <f t="shared" si="5"/>
        <v>4.5054900000000001E-5</v>
      </c>
      <c r="J34" s="233">
        <f t="shared" si="6"/>
        <v>6.8653127896362698E-10</v>
      </c>
      <c r="K34" s="233">
        <f t="shared" si="7"/>
        <v>7.0568239594309831E-4</v>
      </c>
      <c r="L34" s="233">
        <f t="shared" si="8"/>
        <v>2.472525E-9</v>
      </c>
      <c r="M34" s="233">
        <f t="shared" si="9"/>
        <v>0</v>
      </c>
      <c r="N34" s="60">
        <f t="shared" si="43"/>
        <v>1332.0182672197004</v>
      </c>
      <c r="O34" s="247">
        <f>IFERROR(O14/$B34,0)</f>
        <v>6.4204268728062872E-8</v>
      </c>
      <c r="P34" s="60">
        <f t="shared" si="43"/>
        <v>1417.0680829632508</v>
      </c>
      <c r="Q34" s="60">
        <f t="shared" si="43"/>
        <v>7985.9346014195262</v>
      </c>
      <c r="R34" s="60">
        <f t="shared" si="43"/>
        <v>2301.6847228623892</v>
      </c>
      <c r="S34" s="60">
        <f t="shared" si="43"/>
        <v>1410.3340811736059</v>
      </c>
      <c r="T34" s="60">
        <f t="shared" si="43"/>
        <v>8634.9966860802815</v>
      </c>
      <c r="U34" s="189">
        <f t="shared" si="44"/>
        <v>6.8303732946874886E-8</v>
      </c>
      <c r="V34" s="189">
        <f t="shared" si="44"/>
        <v>3.8492797269551712E-7</v>
      </c>
      <c r="W34" s="189">
        <f t="shared" si="44"/>
        <v>1.1094291130285192E-7</v>
      </c>
      <c r="X34" s="189">
        <f t="shared" si="44"/>
        <v>6.7979149064538141E-8</v>
      </c>
      <c r="Y34" s="189">
        <f t="shared" si="44"/>
        <v>4.1621324672688479E-10</v>
      </c>
      <c r="Z34" s="60">
        <f t="shared" si="43"/>
        <v>1071.5443364863524</v>
      </c>
      <c r="AA34" s="60">
        <f t="shared" si="43"/>
        <v>107908.93777307156</v>
      </c>
      <c r="AB34" s="60">
        <f t="shared" si="43"/>
        <v>1061.0084382885295</v>
      </c>
      <c r="AC34" s="189">
        <f t="shared" si="45"/>
        <v>5.1141393906562151E-11</v>
      </c>
      <c r="AD34" s="60">
        <f t="shared" si="43"/>
        <v>24309.908548555031</v>
      </c>
      <c r="AE34" s="60">
        <f t="shared" si="43"/>
        <v>49276.643012629225</v>
      </c>
      <c r="AF34" s="60">
        <f>IFERROR(AF14/$B34,".")</f>
        <v>546000546000.54596</v>
      </c>
      <c r="AG34" s="60" t="str">
        <f>IFERROR(AG14/$B34,".")</f>
        <v>.</v>
      </c>
      <c r="AH34" s="233">
        <f t="shared" ref="AH34:AH65" si="49">IFERROR(1/AD34,0)</f>
        <v>4.1135489999999999E-5</v>
      </c>
      <c r="AI34" s="233">
        <f t="shared" ref="AI34:AI65" si="50">IFERROR(1/AE34,0)</f>
        <v>2.0293590205479454E-5</v>
      </c>
      <c r="AJ34" s="233">
        <f t="shared" si="12"/>
        <v>1.8315E-12</v>
      </c>
      <c r="AK34" s="233">
        <f t="shared" si="13"/>
        <v>0</v>
      </c>
      <c r="AL34" s="60">
        <f t="shared" si="43"/>
        <v>16278.934453196191</v>
      </c>
      <c r="AM34" s="189">
        <f t="shared" si="46"/>
        <v>7.8465671827542575E-10</v>
      </c>
      <c r="AN34" s="60">
        <f t="shared" si="43"/>
        <v>2730.00273000273</v>
      </c>
      <c r="AO34" s="60">
        <f>IFERROR(AO14/$B34,".")</f>
        <v>2730.00273000273</v>
      </c>
      <c r="AP34" s="189">
        <f t="shared" si="47"/>
        <v>1.3158815702377342E-7</v>
      </c>
      <c r="AQ34" s="189">
        <f t="shared" ref="AQ34" si="51">IFERROR(AQ14/$B34,0)</f>
        <v>1.3158815702377342E-7</v>
      </c>
    </row>
    <row r="35" spans="1:43" x14ac:dyDescent="0.25">
      <c r="A35" s="77" t="s">
        <v>1063</v>
      </c>
      <c r="B35" s="42">
        <v>1</v>
      </c>
      <c r="C35" s="42"/>
      <c r="D35" s="60">
        <f>IFERROR(D30/$B35,".")</f>
        <v>486.67093477076457</v>
      </c>
      <c r="E35" s="60">
        <f>IFERROR(E30/$B35,".")</f>
        <v>644862.74721562583</v>
      </c>
      <c r="F35" s="60">
        <f>IFERROR(F30/$B35,".")</f>
        <v>825296.77744880575</v>
      </c>
      <c r="G35" s="60">
        <f>IFERROR(G30/$B35,".")</f>
        <v>122094.74010784263</v>
      </c>
      <c r="H35" s="60">
        <f>IFERROR(H30/$B35,".")</f>
        <v>63.489264856078172</v>
      </c>
      <c r="I35" s="233">
        <f t="shared" ref="I35:I66" si="52">IFERROR(1/D35,0)</f>
        <v>2.0547765000000001E-3</v>
      </c>
      <c r="J35" s="233">
        <f t="shared" ref="J35:J66" si="53">IFERROR(1/E35,0)</f>
        <v>1.5507175818695962E-6</v>
      </c>
      <c r="K35" s="233">
        <f t="shared" ref="K35:K66" si="54">IFERROR(1/F35,0)</f>
        <v>1.2116853322646486E-6</v>
      </c>
      <c r="L35" s="233">
        <f t="shared" si="8"/>
        <v>8.190361018965517E-6</v>
      </c>
      <c r="M35" s="233">
        <f t="shared" si="9"/>
        <v>1.5750694267241377E-2</v>
      </c>
      <c r="N35" s="60">
        <f t="shared" ref="N35:AE35" si="55">IFERROR(N30/$B35,".")</f>
        <v>56.127987654213506</v>
      </c>
      <c r="O35" s="247">
        <f>IFERROR(O30/$B35,0)</f>
        <v>5.8295695439809364E-3</v>
      </c>
      <c r="P35" s="60">
        <f t="shared" si="55"/>
        <v>825296.77744880575</v>
      </c>
      <c r="Q35" s="60">
        <f t="shared" si="55"/>
        <v>2814770.6978099104</v>
      </c>
      <c r="R35" s="60">
        <f t="shared" si="55"/>
        <v>1195840.0807635507</v>
      </c>
      <c r="S35" s="60">
        <f t="shared" si="55"/>
        <v>847263.95911683992</v>
      </c>
      <c r="T35" s="60">
        <f t="shared" si="55"/>
        <v>1941311.6393973741</v>
      </c>
      <c r="U35" s="189">
        <f t="shared" ref="U35:Y35" si="56">IFERROR(U30/$B35,0)</f>
        <v>85.717039923130059</v>
      </c>
      <c r="V35" s="189">
        <f t="shared" si="56"/>
        <v>292.34793939758879</v>
      </c>
      <c r="W35" s="189">
        <f t="shared" si="56"/>
        <v>124.20243813547039</v>
      </c>
      <c r="X35" s="189">
        <f t="shared" si="56"/>
        <v>87.998597102909955</v>
      </c>
      <c r="Y35" s="189">
        <f t="shared" si="56"/>
        <v>0.20162866479602123</v>
      </c>
      <c r="Z35" s="60">
        <f t="shared" si="55"/>
        <v>0.47439244411434633</v>
      </c>
      <c r="AA35" s="60">
        <f t="shared" si="55"/>
        <v>94369420.109091848</v>
      </c>
      <c r="AB35" s="60">
        <f t="shared" si="55"/>
        <v>0.47439244172958878</v>
      </c>
      <c r="AC35" s="189">
        <f t="shared" ref="AC35" si="57">IFERROR(AC30/$B35,0)</f>
        <v>4.9271385734313884E-8</v>
      </c>
      <c r="AD35" s="60">
        <f t="shared" si="55"/>
        <v>533.04118412114019</v>
      </c>
      <c r="AE35" s="60">
        <f t="shared" si="55"/>
        <v>42566632.049207382</v>
      </c>
      <c r="AF35" s="60">
        <f>IFERROR(AF30/$B35,".")</f>
        <v>153488525.58154881</v>
      </c>
      <c r="AG35" s="60">
        <f>IFERROR(AG30/$B35,".")</f>
        <v>79814.033302405383</v>
      </c>
      <c r="AH35" s="233">
        <f t="shared" si="49"/>
        <v>1.8760276500000002E-3</v>
      </c>
      <c r="AI35" s="233">
        <f t="shared" si="50"/>
        <v>2.3492579794520546E-8</v>
      </c>
      <c r="AJ35" s="233">
        <f t="shared" si="12"/>
        <v>6.5151450000000015E-9</v>
      </c>
      <c r="AK35" s="233">
        <f t="shared" si="13"/>
        <v>1.2529125000000002E-5</v>
      </c>
      <c r="AL35" s="60">
        <f>IFERROR(AL30/$B35,".")</f>
        <v>529.49645160453304</v>
      </c>
      <c r="AM35" s="189">
        <f t="shared" ref="AM35" si="58">IFERROR(AM30/$B35,0)</f>
        <v>5.4994602816266138E-5</v>
      </c>
      <c r="AN35" s="60">
        <f>IFERROR(AN30/$B35,".")</f>
        <v>59.860524976804044</v>
      </c>
      <c r="AO35" s="60">
        <f>IFERROR(AO30/$B35,".")</f>
        <v>59.860524976804044</v>
      </c>
      <c r="AP35" s="189">
        <f t="shared" ref="AP35" si="59">IFERROR(AP30/$B35,0)</f>
        <v>6.2172386339828193E-3</v>
      </c>
      <c r="AQ35" s="189">
        <f t="shared" ref="AQ35" si="60">IFERROR(AQ30/$B35,0)</f>
        <v>6.2172386339828193E-3</v>
      </c>
    </row>
    <row r="36" spans="1:43" x14ac:dyDescent="0.25">
      <c r="A36" s="77" t="s">
        <v>1064</v>
      </c>
      <c r="B36" s="42">
        <v>1</v>
      </c>
      <c r="C36" s="42"/>
      <c r="D36" s="60">
        <f>IFERROR(D26/$B36,".")</f>
        <v>48.1077015980296</v>
      </c>
      <c r="E36" s="60">
        <f>IFERROR(E26/$B36,".")</f>
        <v>87974.652931403281</v>
      </c>
      <c r="F36" s="60">
        <f>IFERROR(F26/$B36,".")</f>
        <v>4545.6359114305287</v>
      </c>
      <c r="G36" s="60">
        <f>IFERROR(G26/$B36,".")</f>
        <v>20542.062296515462</v>
      </c>
      <c r="H36" s="60" t="str">
        <f>IFERROR(H26/$B36,".")</f>
        <v>.</v>
      </c>
      <c r="I36" s="233">
        <f t="shared" si="52"/>
        <v>2.0786692500000002E-2</v>
      </c>
      <c r="J36" s="233">
        <f t="shared" si="53"/>
        <v>1.1366910430209174E-5</v>
      </c>
      <c r="K36" s="233">
        <f t="shared" si="54"/>
        <v>2.1999122223699967E-4</v>
      </c>
      <c r="L36" s="233">
        <f t="shared" si="8"/>
        <v>4.8680604000000014E-5</v>
      </c>
      <c r="M36" s="233">
        <f t="shared" si="9"/>
        <v>0</v>
      </c>
      <c r="N36" s="60">
        <f t="shared" ref="N36:AE36" si="61">IFERROR(N26/$B36,".")</f>
        <v>47.468208938815962</v>
      </c>
      <c r="O36" s="247">
        <f>IFERROR(O26/$B36,0)</f>
        <v>2.2340475829531496E-4</v>
      </c>
      <c r="P36" s="60">
        <f t="shared" si="61"/>
        <v>4545.6359114305287</v>
      </c>
      <c r="Q36" s="60">
        <f t="shared" si="61"/>
        <v>15794.07447703933</v>
      </c>
      <c r="R36" s="60">
        <f t="shared" si="61"/>
        <v>6163.7568880294675</v>
      </c>
      <c r="S36" s="60">
        <f t="shared" si="61"/>
        <v>4454.9809132371802</v>
      </c>
      <c r="T36" s="60">
        <f t="shared" si="61"/>
        <v>14599.167566695482</v>
      </c>
      <c r="U36" s="189">
        <f t="shared" ref="U36:Y36" si="62">IFERROR(U26/$B36,0)</f>
        <v>2.1393617218643933E-2</v>
      </c>
      <c r="V36" s="189">
        <f t="shared" si="62"/>
        <v>7.4333358471333724E-2</v>
      </c>
      <c r="W36" s="189">
        <f t="shared" si="62"/>
        <v>2.900915472787699E-2</v>
      </c>
      <c r="X36" s="189">
        <f t="shared" si="62"/>
        <v>2.0966957809906771E-2</v>
      </c>
      <c r="Y36" s="189">
        <f t="shared" si="62"/>
        <v>6.8709639029236152E-5</v>
      </c>
      <c r="Z36" s="60">
        <f t="shared" si="61"/>
        <v>6.4718439395732019E-2</v>
      </c>
      <c r="AA36" s="60">
        <f t="shared" si="61"/>
        <v>301299.95576999197</v>
      </c>
      <c r="AB36" s="60">
        <f t="shared" si="61"/>
        <v>6.4718425494384155E-2</v>
      </c>
      <c r="AC36" s="189">
        <f t="shared" ref="AC36" si="63">IFERROR(AC26/$B36,0)</f>
        <v>3.0459131549417356E-10</v>
      </c>
      <c r="AD36" s="60">
        <f t="shared" si="61"/>
        <v>52.691427395882826</v>
      </c>
      <c r="AE36" s="60">
        <f t="shared" si="61"/>
        <v>135177.81799410452</v>
      </c>
      <c r="AF36" s="60">
        <f>IFERROR(AF26/$B36,".")</f>
        <v>25727162.158946261</v>
      </c>
      <c r="AG36" s="60" t="str">
        <f>IFERROR(AG26/$B36,".")</f>
        <v>.</v>
      </c>
      <c r="AH36" s="233">
        <f t="shared" si="49"/>
        <v>1.897841925E-2</v>
      </c>
      <c r="AI36" s="233">
        <f t="shared" si="50"/>
        <v>7.3976634246575337E-6</v>
      </c>
      <c r="AJ36" s="233">
        <f t="shared" si="12"/>
        <v>3.8869425000000009E-8</v>
      </c>
      <c r="AK36" s="233">
        <f t="shared" si="13"/>
        <v>0</v>
      </c>
      <c r="AL36" s="60">
        <f>IFERROR(AL26/$B36,".")</f>
        <v>52.67078879337754</v>
      </c>
      <c r="AM36" s="189">
        <f t="shared" ref="AM36" si="64">IFERROR(AM26/$B36,0)</f>
        <v>2.478902217434624E-7</v>
      </c>
      <c r="AN36" s="60">
        <f>IFERROR(AN26/$B36,".")</f>
        <v>5.9172472965576404</v>
      </c>
      <c r="AO36" s="60">
        <f>IFERROR(AO26/$B36,".")</f>
        <v>5.9172472965576404</v>
      </c>
      <c r="AP36" s="189">
        <f t="shared" ref="AP36" si="65">IFERROR(AP26/$B36,0)</f>
        <v>2.7848980014497249E-5</v>
      </c>
      <c r="AQ36" s="189">
        <f t="shared" ref="AQ36" si="66">IFERROR(AQ26/$B36,0)</f>
        <v>2.7848980014497249E-5</v>
      </c>
    </row>
    <row r="37" spans="1:43" x14ac:dyDescent="0.25">
      <c r="A37" s="77" t="s">
        <v>1065</v>
      </c>
      <c r="B37" s="42">
        <v>1</v>
      </c>
      <c r="C37" s="42"/>
      <c r="D37" s="60">
        <f>IFERROR(D22/$B37,".")</f>
        <v>123.09911879495809</v>
      </c>
      <c r="E37" s="60">
        <f>IFERROR(E22/$B37,".")</f>
        <v>789784.33963388193</v>
      </c>
      <c r="F37" s="60">
        <f>IFERROR(F22/$B37,".")</f>
        <v>132568.73206904699</v>
      </c>
      <c r="G37" s="60">
        <f>IFERROR(G22/$B37,".")</f>
        <v>7015.5975300234195</v>
      </c>
      <c r="H37" s="60" t="str">
        <f>IFERROR(H22/$B37,".")</f>
        <v>.</v>
      </c>
      <c r="I37" s="233">
        <f t="shared" si="52"/>
        <v>8.1235350000000012E-3</v>
      </c>
      <c r="J37" s="233">
        <f t="shared" si="53"/>
        <v>1.266168433351777E-6</v>
      </c>
      <c r="K37" s="233">
        <f t="shared" si="54"/>
        <v>7.5432568780937029E-6</v>
      </c>
      <c r="L37" s="233">
        <f t="shared" si="8"/>
        <v>1.4253953362068959E-4</v>
      </c>
      <c r="M37" s="233">
        <f t="shared" si="9"/>
        <v>0</v>
      </c>
      <c r="N37" s="60">
        <f t="shared" ref="N37:AE37" si="67">IFERROR(N22/$B37,".")</f>
        <v>120.84761610712046</v>
      </c>
      <c r="O37" s="247">
        <f>IFERROR(O22/$B37,0)</f>
        <v>3.1079358147877814E-9</v>
      </c>
      <c r="P37" s="60">
        <f t="shared" si="67"/>
        <v>132568.73206904699</v>
      </c>
      <c r="Q37" s="60">
        <f t="shared" si="67"/>
        <v>196809.11064722066</v>
      </c>
      <c r="R37" s="60">
        <f t="shared" si="67"/>
        <v>128171.21130336229</v>
      </c>
      <c r="S37" s="60">
        <f t="shared" si="67"/>
        <v>109967.42807080026</v>
      </c>
      <c r="T37" s="60">
        <f t="shared" si="67"/>
        <v>115793.83371968415</v>
      </c>
      <c r="U37" s="189">
        <f t="shared" ref="U37:Y37" si="68">IFERROR(U22/$B37,0)</f>
        <v>3.4093772272113559E-6</v>
      </c>
      <c r="V37" s="189">
        <f t="shared" si="68"/>
        <v>5.0614989634122241E-6</v>
      </c>
      <c r="W37" s="189">
        <f t="shared" si="68"/>
        <v>3.2962826315196237E-6</v>
      </c>
      <c r="X37" s="189">
        <f t="shared" si="68"/>
        <v>2.8281212254811032E-6</v>
      </c>
      <c r="Y37" s="189">
        <f t="shared" si="68"/>
        <v>2.9779636085662347E-9</v>
      </c>
      <c r="Z37" s="60">
        <f t="shared" si="67"/>
        <v>0.58100382572862874</v>
      </c>
      <c r="AA37" s="60">
        <f t="shared" si="67"/>
        <v>4049861.7536695283</v>
      </c>
      <c r="AB37" s="60">
        <f t="shared" si="67"/>
        <v>0.58100374237630281</v>
      </c>
      <c r="AC37" s="189">
        <f t="shared" ref="AC37" si="69">IFERROR(AC22/$B37,0)</f>
        <v>1.4942142821058515E-14</v>
      </c>
      <c r="AD37" s="60">
        <f t="shared" si="67"/>
        <v>134.82806421887665</v>
      </c>
      <c r="AE37" s="60">
        <f t="shared" si="67"/>
        <v>1842202.3078386253</v>
      </c>
      <c r="AF37" s="60">
        <f>IFERROR(AF22/$B37,".")</f>
        <v>8906583.3010469675</v>
      </c>
      <c r="AG37" s="60" t="str">
        <f>IFERROR(AG22/$B37,".")</f>
        <v>.</v>
      </c>
      <c r="AH37" s="233">
        <f t="shared" si="49"/>
        <v>7.4168534999999999E-3</v>
      </c>
      <c r="AI37" s="233">
        <f t="shared" si="50"/>
        <v>5.4282854589041089E-7</v>
      </c>
      <c r="AJ37" s="233">
        <f t="shared" si="12"/>
        <v>1.1227650000000002E-7</v>
      </c>
      <c r="AK37" s="233">
        <f t="shared" si="13"/>
        <v>0</v>
      </c>
      <c r="AL37" s="60">
        <f>IFERROR(AL22/$B37,".")</f>
        <v>134.81615637354736</v>
      </c>
      <c r="AM37" s="189">
        <f t="shared" ref="AM37" si="70">IFERROR(AM22/$B37,0)</f>
        <v>3.4671760544616154E-12</v>
      </c>
      <c r="AN37" s="60">
        <f>IFERROR(AN22/$B37,".")</f>
        <v>15.141191611779846</v>
      </c>
      <c r="AO37" s="60">
        <f>IFERROR(AO22/$B37,".")</f>
        <v>15.141191611779846</v>
      </c>
      <c r="AP37" s="189">
        <f t="shared" ref="AP37" si="71">IFERROR(AP22/$B37,0)</f>
        <v>3.8939826208158215E-10</v>
      </c>
      <c r="AQ37" s="189">
        <f t="shared" ref="AQ37" si="72">IFERROR(AQ22/$B37,0)</f>
        <v>3.8939826208158215E-10</v>
      </c>
    </row>
    <row r="38" spans="1:43" x14ac:dyDescent="0.25">
      <c r="A38" s="77" t="s">
        <v>1066</v>
      </c>
      <c r="B38" s="42">
        <v>1</v>
      </c>
      <c r="C38" s="42"/>
      <c r="D38" s="60">
        <f>IFERROR(D2/$B38,".")</f>
        <v>560.18337042447467</v>
      </c>
      <c r="E38" s="60">
        <f>IFERROR(E2/$B38,".")</f>
        <v>723538.81223539717</v>
      </c>
      <c r="F38" s="60">
        <f>IFERROR(F2/$B38,".")</f>
        <v>23742.08562115737</v>
      </c>
      <c r="G38" s="60">
        <f>IFERROR(G2/$B38,".")</f>
        <v>2551946.4652670515</v>
      </c>
      <c r="H38" s="60" t="str">
        <f>IFERROR(H2/$B38,".")</f>
        <v>.</v>
      </c>
      <c r="I38" s="233">
        <f t="shared" si="52"/>
        <v>1.7851297500000001E-3</v>
      </c>
      <c r="J38" s="233">
        <f t="shared" si="53"/>
        <v>1.3820958642294071E-6</v>
      </c>
      <c r="K38" s="233">
        <f t="shared" si="54"/>
        <v>4.2119298866855507E-5</v>
      </c>
      <c r="L38" s="233">
        <f t="shared" si="8"/>
        <v>3.9185775000000001E-7</v>
      </c>
      <c r="M38" s="233">
        <f t="shared" si="9"/>
        <v>0</v>
      </c>
      <c r="N38" s="60">
        <f t="shared" ref="N38:AE38" si="73">IFERROR(N2/$B38,".")</f>
        <v>546.73998011150854</v>
      </c>
      <c r="O38" s="247">
        <f>IFERROR(O2/$B38,0)</f>
        <v>9.4368818485000121E-9</v>
      </c>
      <c r="P38" s="60">
        <f t="shared" si="73"/>
        <v>23742.08562115737</v>
      </c>
      <c r="Q38" s="60">
        <f t="shared" si="73"/>
        <v>82890.280215951148</v>
      </c>
      <c r="R38" s="60">
        <f t="shared" si="73"/>
        <v>33791.227010549082</v>
      </c>
      <c r="S38" s="60">
        <f t="shared" si="73"/>
        <v>23585.006259719121</v>
      </c>
      <c r="T38" s="60">
        <f t="shared" si="73"/>
        <v>79013.633145913176</v>
      </c>
      <c r="U38" s="189">
        <f t="shared" ref="U38:Y38" si="74">IFERROR(U2/$B38,0)</f>
        <v>4.0979490250216831E-7</v>
      </c>
      <c r="V38" s="189">
        <f t="shared" si="74"/>
        <v>1.4307089461931294E-6</v>
      </c>
      <c r="W38" s="189">
        <f t="shared" si="74"/>
        <v>5.8324583607249101E-7</v>
      </c>
      <c r="X38" s="189">
        <f t="shared" si="74"/>
        <v>4.0708366968830256E-7</v>
      </c>
      <c r="Y38" s="189">
        <f t="shared" si="74"/>
        <v>1.3637969556691864E-9</v>
      </c>
      <c r="Z38" s="60">
        <f t="shared" si="73"/>
        <v>0.53227038936576987</v>
      </c>
      <c r="AA38" s="60">
        <f t="shared" si="73"/>
        <v>1767342.4967427093</v>
      </c>
      <c r="AB38" s="60">
        <f t="shared" si="73"/>
        <v>0.53227022906199029</v>
      </c>
      <c r="AC38" s="189">
        <f t="shared" ref="AC38" si="75">IFERROR(AC2/$B38,0)</f>
        <v>9.1871299810699706E-15</v>
      </c>
      <c r="AD38" s="60">
        <f t="shared" si="73"/>
        <v>613.55792130196255</v>
      </c>
      <c r="AE38" s="60">
        <f t="shared" si="73"/>
        <v>793901.47075902647</v>
      </c>
      <c r="AF38" s="60">
        <f>IFERROR(AF2/$B38,".")</f>
        <v>3445127728.1105199</v>
      </c>
      <c r="AG38" s="60" t="str">
        <f>IFERROR(AG2/$B38,".")</f>
        <v>.</v>
      </c>
      <c r="AH38" s="233">
        <f t="shared" si="49"/>
        <v>1.6298379750000001E-3</v>
      </c>
      <c r="AI38" s="233">
        <f t="shared" si="50"/>
        <v>1.2596021506849315E-6</v>
      </c>
      <c r="AJ38" s="233">
        <f t="shared" si="12"/>
        <v>2.9026499999999998E-10</v>
      </c>
      <c r="AK38" s="233">
        <f t="shared" si="13"/>
        <v>0</v>
      </c>
      <c r="AL38" s="60">
        <f>IFERROR(AL2/$B38,".")</f>
        <v>613.08399696727099</v>
      </c>
      <c r="AM38" s="189">
        <f t="shared" ref="AM38" si="76">IFERROR(AM2/$B38,0)</f>
        <v>1.0581997755873445E-11</v>
      </c>
      <c r="AN38" s="60">
        <f>IFERROR(AN2/$B38,".")</f>
        <v>68.902554562210398</v>
      </c>
      <c r="AO38" s="60">
        <f>IFERROR(AO2/$B38,".")</f>
        <v>68.902554562210398</v>
      </c>
      <c r="AP38" s="189">
        <f t="shared" ref="AP38" si="77">IFERROR(AP2/$B38,0)</f>
        <v>1.1892769691559602E-9</v>
      </c>
      <c r="AQ38" s="189">
        <f t="shared" ref="AQ38" si="78">IFERROR(AQ2/$B38,0)</f>
        <v>1.1892769691559602E-9</v>
      </c>
    </row>
    <row r="39" spans="1:43" x14ac:dyDescent="0.25">
      <c r="A39" s="77" t="s">
        <v>1067</v>
      </c>
      <c r="B39" s="42">
        <v>1</v>
      </c>
      <c r="C39" s="42"/>
      <c r="D39" s="60" t="str">
        <f>IFERROR(D11/$B39,".")</f>
        <v>.</v>
      </c>
      <c r="E39" s="60" t="str">
        <f>IFERROR(E11/$B39,".")</f>
        <v>.</v>
      </c>
      <c r="F39" s="60">
        <f>IFERROR(F11/$B39,".")</f>
        <v>11873.79176740338</v>
      </c>
      <c r="G39" s="60" t="str">
        <f>IFERROR(G11/$B39,".")</f>
        <v>.</v>
      </c>
      <c r="H39" s="60" t="str">
        <f>IFERROR(H11/$B39,".")</f>
        <v>.</v>
      </c>
      <c r="I39" s="233">
        <f t="shared" si="52"/>
        <v>0</v>
      </c>
      <c r="J39" s="233">
        <f t="shared" si="53"/>
        <v>0</v>
      </c>
      <c r="K39" s="233">
        <f t="shared" si="54"/>
        <v>8.4219095263676248E-5</v>
      </c>
      <c r="L39" s="233">
        <f t="shared" si="8"/>
        <v>0</v>
      </c>
      <c r="M39" s="233">
        <f t="shared" si="9"/>
        <v>0</v>
      </c>
      <c r="N39" s="60">
        <f t="shared" ref="N39:AE39" si="79">IFERROR(N11/$B39,".")</f>
        <v>11873.79176740338</v>
      </c>
      <c r="O39" s="247">
        <f>IFERROR(O11/$B39,0)</f>
        <v>6.8498404668529574E-11</v>
      </c>
      <c r="P39" s="60">
        <f t="shared" si="79"/>
        <v>11873.79176740338</v>
      </c>
      <c r="Q39" s="60">
        <f t="shared" si="79"/>
        <v>69338.757844461783</v>
      </c>
      <c r="R39" s="60">
        <f t="shared" si="79"/>
        <v>18194.361523543612</v>
      </c>
      <c r="S39" s="60">
        <f t="shared" si="79"/>
        <v>10823.693197070808</v>
      </c>
      <c r="T39" s="60">
        <f t="shared" si="79"/>
        <v>82672.952623182806</v>
      </c>
      <c r="U39" s="189">
        <f t="shared" ref="U39:Y39" si="80">IFERROR(U11/$B39,0)</f>
        <v>6.8498404668529574E-11</v>
      </c>
      <c r="V39" s="189">
        <f t="shared" si="80"/>
        <v>4.000065343138309E-10</v>
      </c>
      <c r="W39" s="189">
        <f t="shared" si="80"/>
        <v>1.0496097310267708E-10</v>
      </c>
      <c r="X39" s="189">
        <f t="shared" si="80"/>
        <v>6.2440518677135369E-11</v>
      </c>
      <c r="Y39" s="189">
        <f t="shared" si="80"/>
        <v>4.7692981945929441E-13</v>
      </c>
      <c r="Z39" s="60" t="str">
        <f t="shared" si="79"/>
        <v>.</v>
      </c>
      <c r="AA39" s="60">
        <f t="shared" si="79"/>
        <v>800252.68252509879</v>
      </c>
      <c r="AB39" s="60">
        <f t="shared" si="79"/>
        <v>0</v>
      </c>
      <c r="AC39" s="189">
        <f t="shared" ref="AC39" si="81">IFERROR(AC11/$B39,0)</f>
        <v>0</v>
      </c>
      <c r="AD39" s="60" t="str">
        <f t="shared" si="79"/>
        <v>.</v>
      </c>
      <c r="AE39" s="60">
        <f t="shared" si="79"/>
        <v>363751.21932959039</v>
      </c>
      <c r="AF39" s="60" t="str">
        <f>IFERROR(AF11/$B39,".")</f>
        <v>.</v>
      </c>
      <c r="AG39" s="60" t="str">
        <f>IFERROR(AG11/$B39,".")</f>
        <v>.</v>
      </c>
      <c r="AH39" s="233">
        <f t="shared" si="49"/>
        <v>0</v>
      </c>
      <c r="AI39" s="233">
        <f t="shared" si="50"/>
        <v>2.749131678082191E-6</v>
      </c>
      <c r="AJ39" s="233">
        <f t="shared" si="12"/>
        <v>0</v>
      </c>
      <c r="AK39" s="233">
        <f t="shared" si="13"/>
        <v>0</v>
      </c>
      <c r="AL39" s="60">
        <f>IFERROR(AL11/$B39,".")</f>
        <v>363751.21932959039</v>
      </c>
      <c r="AM39" s="189">
        <f t="shared" ref="AM39" si="82">IFERROR(AM11/$B39,0)</f>
        <v>2.0984348309620201E-12</v>
      </c>
      <c r="AN39" s="60" t="str">
        <f>IFERROR(AN11/$B39,".")</f>
        <v>.</v>
      </c>
      <c r="AO39" s="60" t="str">
        <f>IFERROR(AO11/$B39,".")</f>
        <v>.</v>
      </c>
      <c r="AP39" s="189">
        <f t="shared" ref="AP39" si="83">IFERROR(AP11/$B39,0)</f>
        <v>0</v>
      </c>
      <c r="AQ39" s="189">
        <f t="shared" ref="AQ39" si="84">IFERROR(AQ11/$B39,0)</f>
        <v>0</v>
      </c>
    </row>
    <row r="40" spans="1:43" x14ac:dyDescent="0.25">
      <c r="A40" s="77" t="s">
        <v>1068</v>
      </c>
      <c r="B40" s="42">
        <v>1</v>
      </c>
      <c r="C40" s="42"/>
      <c r="D40" s="60" t="str">
        <f>IFERROR(D4/$B40,".")</f>
        <v>.</v>
      </c>
      <c r="E40" s="60" t="str">
        <f>IFERROR(E4/$B40,".")</f>
        <v>.</v>
      </c>
      <c r="F40" s="60">
        <f>IFERROR(F4/$B40,".")</f>
        <v>1297791.4194653612</v>
      </c>
      <c r="G40" s="60" t="str">
        <f>IFERROR(G4/$B40,".")</f>
        <v>.</v>
      </c>
      <c r="H40" s="60" t="str">
        <f>IFERROR(H4/$B40,".")</f>
        <v>.</v>
      </c>
      <c r="I40" s="233">
        <f t="shared" si="52"/>
        <v>0</v>
      </c>
      <c r="J40" s="233">
        <f t="shared" si="53"/>
        <v>0</v>
      </c>
      <c r="K40" s="233">
        <f t="shared" si="54"/>
        <v>7.7053984561861303E-7</v>
      </c>
      <c r="L40" s="233">
        <f t="shared" si="8"/>
        <v>0</v>
      </c>
      <c r="M40" s="233">
        <f t="shared" si="9"/>
        <v>0</v>
      </c>
      <c r="N40" s="60">
        <f t="shared" ref="N40:AE40" si="85">IFERROR(N4/$B40,".")</f>
        <v>1297791.4194653612</v>
      </c>
      <c r="O40" s="247">
        <f>IFERROR(O4/$B40,0)</f>
        <v>8.0764141130419692E-13</v>
      </c>
      <c r="P40" s="60">
        <f t="shared" si="85"/>
        <v>1297791.4194653612</v>
      </c>
      <c r="Q40" s="60">
        <f t="shared" si="85"/>
        <v>8561382.4806180671</v>
      </c>
      <c r="R40" s="60">
        <f t="shared" si="85"/>
        <v>2187270.2866822211</v>
      </c>
      <c r="S40" s="60">
        <f t="shared" si="85"/>
        <v>1256258.4892489887</v>
      </c>
      <c r="T40" s="60">
        <f t="shared" si="85"/>
        <v>10476852.515552316</v>
      </c>
      <c r="U40" s="189">
        <f t="shared" ref="U40:Y40" si="86">IFERROR(U4/$B40,0)</f>
        <v>8.0764141130419692E-13</v>
      </c>
      <c r="V40" s="189">
        <f t="shared" si="86"/>
        <v>5.327918589729861E-12</v>
      </c>
      <c r="W40" s="189">
        <f t="shared" si="86"/>
        <v>1.3611818006683269E-12</v>
      </c>
      <c r="X40" s="189">
        <f t="shared" si="86"/>
        <v>7.8179464280778595E-13</v>
      </c>
      <c r="Y40" s="189">
        <f t="shared" si="86"/>
        <v>6.5199536880683162E-15</v>
      </c>
      <c r="Z40" s="60" t="str">
        <f t="shared" si="85"/>
        <v>.</v>
      </c>
      <c r="AA40" s="60">
        <f t="shared" si="85"/>
        <v>94369420.109091848</v>
      </c>
      <c r="AB40" s="60">
        <f t="shared" si="85"/>
        <v>0</v>
      </c>
      <c r="AC40" s="189">
        <f t="shared" ref="AC40" si="87">IFERROR(AC4/$B40,0)</f>
        <v>0</v>
      </c>
      <c r="AD40" s="60" t="str">
        <f t="shared" si="85"/>
        <v>.</v>
      </c>
      <c r="AE40" s="60">
        <f t="shared" si="85"/>
        <v>43303716.586855985</v>
      </c>
      <c r="AF40" s="60" t="str">
        <f>IFERROR(AF4/$B40,".")</f>
        <v>.</v>
      </c>
      <c r="AG40" s="60" t="str">
        <f>IFERROR(AG4/$B40,".")</f>
        <v>.</v>
      </c>
      <c r="AH40" s="233">
        <f t="shared" si="49"/>
        <v>0</v>
      </c>
      <c r="AI40" s="233">
        <f t="shared" si="50"/>
        <v>2.3092706095890412E-8</v>
      </c>
      <c r="AJ40" s="233">
        <f t="shared" si="12"/>
        <v>0</v>
      </c>
      <c r="AK40" s="233">
        <f t="shared" si="13"/>
        <v>0</v>
      </c>
      <c r="AL40" s="60">
        <f>IFERROR(AL4/$B40,".")</f>
        <v>43303716.586855985</v>
      </c>
      <c r="AM40" s="189">
        <f t="shared" ref="AM40" si="88">IFERROR(AM4/$B40,0)</f>
        <v>2.6948764072837824E-14</v>
      </c>
      <c r="AN40" s="60" t="str">
        <f>IFERROR(AN4/$B40,".")</f>
        <v>.</v>
      </c>
      <c r="AO40" s="60" t="str">
        <f>IFERROR(AO4/$B40,".")</f>
        <v>.</v>
      </c>
      <c r="AP40" s="189">
        <f t="shared" ref="AP40" si="89">IFERROR(AP4/$B40,0)</f>
        <v>0</v>
      </c>
      <c r="AQ40" s="189">
        <f t="shared" ref="AQ40" si="90">IFERROR(AQ4/$B40,0)</f>
        <v>0</v>
      </c>
    </row>
    <row r="41" spans="1:43" x14ac:dyDescent="0.25">
      <c r="A41" s="77" t="s">
        <v>1069</v>
      </c>
      <c r="B41" s="78">
        <v>0.99987999999999999</v>
      </c>
      <c r="C41" s="78"/>
      <c r="D41" s="60">
        <f>IFERROR(D8/$B41,".")</f>
        <v>109332.48658943563</v>
      </c>
      <c r="E41" s="60">
        <f>IFERROR(E8/$B41,".")</f>
        <v>187123477.24884582</v>
      </c>
      <c r="F41" s="60">
        <f>IFERROR(F8/$B41,".")</f>
        <v>1927.2558244376266</v>
      </c>
      <c r="G41" s="60">
        <f>IFERROR(G8/$B41,".")</f>
        <v>3842255.9572858806</v>
      </c>
      <c r="H41" s="60" t="str">
        <f>IFERROR(H8/$B41,".")</f>
        <v>.</v>
      </c>
      <c r="I41" s="233">
        <f t="shared" si="52"/>
        <v>9.1464122987999986E-6</v>
      </c>
      <c r="J41" s="233">
        <f t="shared" si="53"/>
        <v>5.344064864026398E-9</v>
      </c>
      <c r="K41" s="233">
        <f t="shared" si="54"/>
        <v>5.188724752157903E-4</v>
      </c>
      <c r="L41" s="233">
        <f t="shared" si="8"/>
        <v>2.6026376459999999E-7</v>
      </c>
      <c r="M41" s="233">
        <f t="shared" si="9"/>
        <v>0</v>
      </c>
      <c r="N41" s="60">
        <f t="shared" ref="N41:AE41" si="91">IFERROR(N8/$B41,".")</f>
        <v>1892.9194568709286</v>
      </c>
      <c r="O41" s="247">
        <f>IFERROR(O8/$B41,0)</f>
        <v>9.7922841153553791E-11</v>
      </c>
      <c r="P41" s="60">
        <f t="shared" si="91"/>
        <v>1927.2558244376266</v>
      </c>
      <c r="Q41" s="60">
        <f t="shared" si="91"/>
        <v>16322.615219420466</v>
      </c>
      <c r="R41" s="60">
        <f t="shared" si="91"/>
        <v>3943.6026572470118</v>
      </c>
      <c r="S41" s="60">
        <f t="shared" si="91"/>
        <v>2174.0719512353994</v>
      </c>
      <c r="T41" s="60">
        <f t="shared" si="91"/>
        <v>18246.644993376547</v>
      </c>
      <c r="U41" s="189">
        <f t="shared" ref="U41:Y41" si="92">IFERROR(U8/$B41,0)</f>
        <v>9.9699099860610373E-11</v>
      </c>
      <c r="V41" s="189">
        <f t="shared" si="92"/>
        <v>8.4438714576056881E-10</v>
      </c>
      <c r="W41" s="189">
        <f t="shared" si="92"/>
        <v>2.0400697725231486E-10</v>
      </c>
      <c r="X41" s="189">
        <f t="shared" si="92"/>
        <v>1.1246717421835716E-10</v>
      </c>
      <c r="Y41" s="189">
        <f t="shared" si="92"/>
        <v>9.4391935842071692E-13</v>
      </c>
      <c r="Z41" s="60">
        <f t="shared" si="91"/>
        <v>137.65714348757817</v>
      </c>
      <c r="AA41" s="60">
        <f t="shared" si="91"/>
        <v>168423.55310859074</v>
      </c>
      <c r="AB41" s="60">
        <f t="shared" si="91"/>
        <v>137.54472444926671</v>
      </c>
      <c r="AC41" s="189">
        <f t="shared" ref="AC41" si="93">IFERROR(AC8/$B41,0)</f>
        <v>7.1153424699956768E-15</v>
      </c>
      <c r="AD41" s="60">
        <f t="shared" si="91"/>
        <v>119749.74043188407</v>
      </c>
      <c r="AE41" s="60">
        <f t="shared" si="91"/>
        <v>79399.67503690708</v>
      </c>
      <c r="AF41" s="60">
        <f>IFERROR(AF8/$B41,".")</f>
        <v>6723947925.2502918</v>
      </c>
      <c r="AG41" s="60" t="str">
        <f>IFERROR(AG8/$B41,".")</f>
        <v>.</v>
      </c>
      <c r="AH41" s="233">
        <f t="shared" si="49"/>
        <v>8.3507487898799997E-6</v>
      </c>
      <c r="AI41" s="233">
        <f t="shared" si="50"/>
        <v>1.2594509984268493E-5</v>
      </c>
      <c r="AJ41" s="233">
        <f t="shared" si="12"/>
        <v>1.4872215119999998E-10</v>
      </c>
      <c r="AK41" s="233">
        <f t="shared" si="13"/>
        <v>0</v>
      </c>
      <c r="AL41" s="60">
        <f>IFERROR(AL8/$B41,".")</f>
        <v>47743.162799609629</v>
      </c>
      <c r="AM41" s="189">
        <f t="shared" ref="AM41" si="94">IFERROR(AM8/$B41,0)</f>
        <v>2.4698072229246531E-12</v>
      </c>
      <c r="AN41" s="60">
        <f>IFERROR(AN8/$B41,".")</f>
        <v>13447.895850500583</v>
      </c>
      <c r="AO41" s="60">
        <f>IFERROR(AO8/$B41,".")</f>
        <v>13447.895850500583</v>
      </c>
      <c r="AP41" s="189">
        <f t="shared" ref="AP41" si="95">IFERROR(AP8/$B41,0)</f>
        <v>6.9567469679609052E-10</v>
      </c>
      <c r="AQ41" s="189">
        <f t="shared" ref="AQ41" si="96">IFERROR(AQ8/$B41,0)</f>
        <v>6.9567469679609052E-10</v>
      </c>
    </row>
    <row r="42" spans="1:43" x14ac:dyDescent="0.25">
      <c r="A42" s="77" t="s">
        <v>1070</v>
      </c>
      <c r="B42" s="42">
        <v>0.97898250799999997</v>
      </c>
      <c r="C42" s="42"/>
      <c r="D42" s="60" t="str">
        <f>IFERROR(D19/$B42,".")</f>
        <v>.</v>
      </c>
      <c r="E42" s="60" t="str">
        <f>IFERROR(E19/$B42,".")</f>
        <v>.</v>
      </c>
      <c r="F42" s="60">
        <f>IFERROR(F19/$B42,".")</f>
        <v>5911306.7153975349</v>
      </c>
      <c r="G42" s="60" t="str">
        <f>IFERROR(G19/$B42,".")</f>
        <v>.</v>
      </c>
      <c r="H42" s="60" t="str">
        <f>IFERROR(H19/$B42,".")</f>
        <v>.</v>
      </c>
      <c r="I42" s="233">
        <f t="shared" si="52"/>
        <v>0</v>
      </c>
      <c r="J42" s="233">
        <f t="shared" si="53"/>
        <v>0</v>
      </c>
      <c r="K42" s="233">
        <f t="shared" si="54"/>
        <v>1.6916733442290181E-7</v>
      </c>
      <c r="L42" s="233">
        <f t="shared" si="8"/>
        <v>0</v>
      </c>
      <c r="M42" s="233">
        <f t="shared" si="9"/>
        <v>0</v>
      </c>
      <c r="N42" s="60">
        <f t="shared" ref="N42:AE42" si="97">IFERROR(N19/$B42,".")</f>
        <v>5911306.7153975349</v>
      </c>
      <c r="O42" s="247">
        <f>IFERROR(O19/$B42,0)</f>
        <v>4.6953050371844711E-16</v>
      </c>
      <c r="P42" s="60">
        <f t="shared" si="97"/>
        <v>5911306.7153975349</v>
      </c>
      <c r="Q42" s="60">
        <f t="shared" si="97"/>
        <v>62046003.086267568</v>
      </c>
      <c r="R42" s="60">
        <f t="shared" si="97"/>
        <v>14560583.47341457</v>
      </c>
      <c r="S42" s="60">
        <f t="shared" si="97"/>
        <v>7157254.3562097903</v>
      </c>
      <c r="T42" s="60">
        <f t="shared" si="97"/>
        <v>94879322.525337145</v>
      </c>
      <c r="U42" s="189">
        <f t="shared" ref="U42:Y42" si="98">IFERROR(U19/$B42,0)</f>
        <v>4.6953050371844711E-16</v>
      </c>
      <c r="V42" s="189">
        <f t="shared" si="98"/>
        <v>4.928265861578184E-15</v>
      </c>
      <c r="W42" s="189">
        <f t="shared" si="98"/>
        <v>1.1565358425572873E-15</v>
      </c>
      <c r="X42" s="189">
        <f t="shared" si="98"/>
        <v>5.6849515765419672E-16</v>
      </c>
      <c r="Y42" s="189">
        <f t="shared" si="98"/>
        <v>7.5361909375718573E-18</v>
      </c>
      <c r="Z42" s="60" t="str">
        <f t="shared" si="97"/>
        <v>.</v>
      </c>
      <c r="AA42" s="60">
        <f t="shared" si="97"/>
        <v>597538797.99208677</v>
      </c>
      <c r="AB42" s="60">
        <f t="shared" si="97"/>
        <v>0</v>
      </c>
      <c r="AC42" s="189">
        <f t="shared" ref="AC42" si="99">IFERROR(AC19/$B42,0)</f>
        <v>0</v>
      </c>
      <c r="AD42" s="60" t="str">
        <f t="shared" si="97"/>
        <v>.</v>
      </c>
      <c r="AE42" s="60">
        <f t="shared" si="97"/>
        <v>275415456.75646049</v>
      </c>
      <c r="AF42" s="60" t="str">
        <f>IFERROR(AF19/$B42,".")</f>
        <v>.</v>
      </c>
      <c r="AG42" s="60" t="str">
        <f>IFERROR(AG19/$B42,".")</f>
        <v>.</v>
      </c>
      <c r="AH42" s="233">
        <f t="shared" si="49"/>
        <v>0</v>
      </c>
      <c r="AI42" s="233">
        <f t="shared" si="50"/>
        <v>3.630878280314755E-9</v>
      </c>
      <c r="AJ42" s="233">
        <f t="shared" si="12"/>
        <v>0</v>
      </c>
      <c r="AK42" s="233">
        <f t="shared" si="13"/>
        <v>0</v>
      </c>
      <c r="AL42" s="60">
        <f>IFERROR(AL19/$B42,".")</f>
        <v>275415456.75646049</v>
      </c>
      <c r="AM42" s="189">
        <f t="shared" ref="AM42" si="100">IFERROR(AM19/$B42,0)</f>
        <v>2.1876035937345306E-17</v>
      </c>
      <c r="AN42" s="60" t="str">
        <f>IFERROR(AN19/$B42,".")</f>
        <v>.</v>
      </c>
      <c r="AO42" s="60" t="str">
        <f>IFERROR(AO19/$B42,".")</f>
        <v>.</v>
      </c>
      <c r="AP42" s="189">
        <f t="shared" ref="AP42" si="101">IFERROR(AP19/$B42,0)</f>
        <v>0</v>
      </c>
      <c r="AQ42" s="189">
        <f t="shared" ref="AQ42" si="102">IFERROR(AQ19/$B42,0)</f>
        <v>0</v>
      </c>
    </row>
    <row r="43" spans="1:43" x14ac:dyDescent="0.25">
      <c r="A43" s="77" t="s">
        <v>1071</v>
      </c>
      <c r="B43" s="42">
        <v>2.0897492E-2</v>
      </c>
      <c r="C43" s="42"/>
      <c r="D43" s="60" t="str">
        <f>IFERROR(D28/$B43,".")</f>
        <v>.</v>
      </c>
      <c r="E43" s="60" t="str">
        <f>IFERROR(E28/$B43,".")</f>
        <v>.</v>
      </c>
      <c r="F43" s="60">
        <f>IFERROR(F28/$B43,".")</f>
        <v>4610.0079945904781</v>
      </c>
      <c r="G43" s="60" t="str">
        <f>IFERROR(G28/$B43,".")</f>
        <v>.</v>
      </c>
      <c r="H43" s="60" t="str">
        <f>IFERROR(H28/$B43,".")</f>
        <v>.</v>
      </c>
      <c r="I43" s="233">
        <f t="shared" si="52"/>
        <v>0</v>
      </c>
      <c r="J43" s="233">
        <f t="shared" si="53"/>
        <v>0</v>
      </c>
      <c r="K43" s="233">
        <f t="shared" si="54"/>
        <v>2.1691936351811756E-4</v>
      </c>
      <c r="L43" s="233">
        <f t="shared" si="8"/>
        <v>0</v>
      </c>
      <c r="M43" s="233">
        <f t="shared" si="9"/>
        <v>0</v>
      </c>
      <c r="N43" s="60">
        <f t="shared" ref="N43:AE43" si="103">IFERROR(N28/$B43,".")</f>
        <v>4610.0079945904781</v>
      </c>
      <c r="O43" s="247">
        <f>IFERROR(O28/$B43,0)</f>
        <v>1.1091886229255383E-8</v>
      </c>
      <c r="P43" s="60">
        <f t="shared" si="103"/>
        <v>4610.0079945904781</v>
      </c>
      <c r="Q43" s="60">
        <f t="shared" si="103"/>
        <v>54641.213405702561</v>
      </c>
      <c r="R43" s="60">
        <f t="shared" si="103"/>
        <v>12515.413641534467</v>
      </c>
      <c r="S43" s="60">
        <f t="shared" si="103"/>
        <v>6164.9178886139134</v>
      </c>
      <c r="T43" s="60">
        <f t="shared" si="103"/>
        <v>79006.014462910258</v>
      </c>
      <c r="U43" s="189">
        <f t="shared" ref="U43:Y43" si="104">IFERROR(U28/$B43,0)</f>
        <v>1.1091886229255387E-11</v>
      </c>
      <c r="V43" s="189">
        <f t="shared" si="104"/>
        <v>1.3146921290281981E-10</v>
      </c>
      <c r="W43" s="189">
        <f t="shared" si="104"/>
        <v>3.0112647176938996E-11</v>
      </c>
      <c r="X43" s="189">
        <f t="shared" si="104"/>
        <v>1.4833069251386692E-11</v>
      </c>
      <c r="Y43" s="189">
        <f t="shared" si="104"/>
        <v>1.9009201825198851E-13</v>
      </c>
      <c r="Z43" s="60" t="str">
        <f t="shared" si="103"/>
        <v>.</v>
      </c>
      <c r="AA43" s="60">
        <f t="shared" si="103"/>
        <v>469291.63404870499</v>
      </c>
      <c r="AB43" s="60">
        <f t="shared" si="103"/>
        <v>0</v>
      </c>
      <c r="AC43" s="189">
        <f t="shared" ref="AC43" si="105">IFERROR(AC28/$B43,0)</f>
        <v>0</v>
      </c>
      <c r="AD43" s="60" t="str">
        <f t="shared" si="103"/>
        <v>.</v>
      </c>
      <c r="AE43" s="60">
        <f t="shared" si="103"/>
        <v>217580.6666953087</v>
      </c>
      <c r="AF43" s="60" t="str">
        <f>IFERROR(AF28/$B43,".")</f>
        <v>.</v>
      </c>
      <c r="AG43" s="60" t="str">
        <f>IFERROR(AG28/$B43,".")</f>
        <v>.</v>
      </c>
      <c r="AH43" s="233">
        <f t="shared" si="49"/>
        <v>0</v>
      </c>
      <c r="AI43" s="233">
        <f t="shared" si="50"/>
        <v>4.5959965799735332E-6</v>
      </c>
      <c r="AJ43" s="233">
        <f t="shared" si="12"/>
        <v>0</v>
      </c>
      <c r="AK43" s="233">
        <f t="shared" si="13"/>
        <v>0</v>
      </c>
      <c r="AL43" s="60">
        <f>IFERROR(AL28/$B43,".")</f>
        <v>217580.6666953087</v>
      </c>
      <c r="AM43" s="189">
        <f t="shared" ref="AM43" si="106">IFERROR(AM28/$B43,0)</f>
        <v>5.2350885367266889E-13</v>
      </c>
      <c r="AN43" s="60" t="str">
        <f>IFERROR(AN28/$B43,".")</f>
        <v>.</v>
      </c>
      <c r="AO43" s="60" t="str">
        <f>IFERROR(AO28/$B43,".")</f>
        <v>.</v>
      </c>
      <c r="AP43" s="189">
        <f t="shared" ref="AP43" si="107">IFERROR(AP28/$B43,0)</f>
        <v>0</v>
      </c>
      <c r="AQ43" s="189">
        <f t="shared" ref="AQ43" si="108">IFERROR(AQ28/$B43,0)</f>
        <v>0</v>
      </c>
    </row>
    <row r="44" spans="1:43" x14ac:dyDescent="0.25">
      <c r="A44" s="77" t="s">
        <v>1072</v>
      </c>
      <c r="B44" s="42">
        <v>0.99987999999999999</v>
      </c>
      <c r="C44" s="42"/>
      <c r="D44" s="60">
        <f>IFERROR(D15/$B44,".")</f>
        <v>392250.4204279618</v>
      </c>
      <c r="E44" s="60">
        <f>IFERROR(E15/$B44,".")</f>
        <v>95170249890.172318</v>
      </c>
      <c r="F44" s="60">
        <f>IFERROR(F15/$B44,".")</f>
        <v>172413.20845815827</v>
      </c>
      <c r="G44" s="60">
        <f>IFERROR(G15/$B44,".")</f>
        <v>54587057.012804694</v>
      </c>
      <c r="H44" s="60" t="str">
        <f>IFERROR(H15/$B44,".")</f>
        <v>.</v>
      </c>
      <c r="I44" s="233">
        <f t="shared" si="52"/>
        <v>2.54939178627E-6</v>
      </c>
      <c r="J44" s="233">
        <f t="shared" si="53"/>
        <v>1.0507485281944859E-11</v>
      </c>
      <c r="K44" s="233">
        <f t="shared" si="54"/>
        <v>5.8000196675342472E-6</v>
      </c>
      <c r="L44" s="233">
        <f t="shared" si="8"/>
        <v>1.8319360938718976E-8</v>
      </c>
      <c r="M44" s="233">
        <f t="shared" si="9"/>
        <v>0</v>
      </c>
      <c r="N44" s="60">
        <f t="shared" ref="N44:AE44" si="109">IFERROR(N15/$B44,".")</f>
        <v>119506.56234360146</v>
      </c>
      <c r="O44" s="247">
        <f>IFERROR(O15/$B44,0)</f>
        <v>2.5970243908920763E-8</v>
      </c>
      <c r="P44" s="60">
        <f t="shared" si="109"/>
        <v>172413.20845815827</v>
      </c>
      <c r="Q44" s="60">
        <f t="shared" si="109"/>
        <v>488625.33761348657</v>
      </c>
      <c r="R44" s="60">
        <f t="shared" si="109"/>
        <v>242015.05750135068</v>
      </c>
      <c r="S44" s="60">
        <f t="shared" si="109"/>
        <v>175018.94964392393</v>
      </c>
      <c r="T44" s="60">
        <f t="shared" si="109"/>
        <v>34805.450356823858</v>
      </c>
      <c r="U44" s="189">
        <f t="shared" ref="U44:Y44" si="110">IFERROR(U15/$B44,0)</f>
        <v>3.7467507967504577E-8</v>
      </c>
      <c r="V44" s="189">
        <f t="shared" si="110"/>
        <v>1.0618428769974927E-7</v>
      </c>
      <c r="W44" s="189">
        <f t="shared" si="110"/>
        <v>5.2592844691411855E-8</v>
      </c>
      <c r="X44" s="189">
        <f t="shared" si="110"/>
        <v>3.8033767533764102E-8</v>
      </c>
      <c r="Y44" s="189">
        <f t="shared" si="110"/>
        <v>7.5636518815399192E-12</v>
      </c>
      <c r="Z44" s="60">
        <f t="shared" si="109"/>
        <v>70011.870971476004</v>
      </c>
      <c r="AA44" s="60">
        <f t="shared" si="109"/>
        <v>10004359.054650294</v>
      </c>
      <c r="AB44" s="60">
        <f t="shared" si="109"/>
        <v>69525.323264118881</v>
      </c>
      <c r="AC44" s="189">
        <f t="shared" ref="AC44" si="111">IFERROR(AC15/$B44,0)</f>
        <v>1.5108706732140422E-11</v>
      </c>
      <c r="AD44" s="60">
        <f t="shared" si="109"/>
        <v>429624.23608761618</v>
      </c>
      <c r="AE44" s="60">
        <f t="shared" si="109"/>
        <v>8932463.4416520447</v>
      </c>
      <c r="AF44" s="60">
        <f>IFERROR(AF15/$B44,".")</f>
        <v>68924002446.627563</v>
      </c>
      <c r="AG44" s="60" t="str">
        <f>IFERROR(AG15/$B44,".")</f>
        <v>.</v>
      </c>
      <c r="AH44" s="233">
        <f t="shared" si="49"/>
        <v>2.3276154276270002E-6</v>
      </c>
      <c r="AI44" s="233">
        <f t="shared" si="50"/>
        <v>1.1195119986016439E-7</v>
      </c>
      <c r="AJ44" s="233">
        <f t="shared" si="12"/>
        <v>1.4508733743000001E-11</v>
      </c>
      <c r="AK44" s="233">
        <f t="shared" si="13"/>
        <v>0</v>
      </c>
      <c r="AL44" s="60">
        <f>IFERROR(AL15/$B44,".")</f>
        <v>409906.43235956249</v>
      </c>
      <c r="AM44" s="189">
        <f t="shared" ref="AM44" si="112">IFERROR(AM15/$B44,0)</f>
        <v>8.9077702675491077E-11</v>
      </c>
      <c r="AN44" s="60">
        <f>IFERROR(AN15/$B44,".")</f>
        <v>48246.801712639295</v>
      </c>
      <c r="AO44" s="60">
        <f>IFERROR(AO15/$B44,".")</f>
        <v>48246.801712639295</v>
      </c>
      <c r="AP44" s="189">
        <f t="shared" ref="AP44" si="113">IFERROR(AP15/$B44,0)</f>
        <v>1.0484622632688962E-8</v>
      </c>
      <c r="AQ44" s="189">
        <f t="shared" ref="AQ44" si="114">IFERROR(AQ15/$B44,0)</f>
        <v>1.0484622632688962E-8</v>
      </c>
    </row>
    <row r="45" spans="1:43" x14ac:dyDescent="0.25">
      <c r="A45" s="76" t="s">
        <v>8</v>
      </c>
      <c r="B45" s="57" t="s">
        <v>1185</v>
      </c>
      <c r="C45" s="57"/>
      <c r="D45" s="58">
        <f>IFERROR(1/SUM(IFERROR(1/SUMIF(D46,"&lt;&gt;.",D46),0),IFERROR(1/SUMIF(D47,"&lt;&gt;.",D47),0)),".")</f>
        <v>2202.8263363308297</v>
      </c>
      <c r="E45" s="58">
        <f>IFERROR(1/SUM(IFERROR(1/SUMIF(E46,"&lt;&gt;.",E46),0),IFERROR(1/SUMIF(E47,"&lt;&gt;.",E47),0)),".")</f>
        <v>159282644.99570617</v>
      </c>
      <c r="F45" s="58">
        <f>IFERROR(1/SUM(IFERROR(1/SUMIF(F46,"&lt;&gt;.",F46),0),IFERROR(1/SUMIF(F47,"&lt;&gt;.",F47),0)),".")</f>
        <v>417.49901383505454</v>
      </c>
      <c r="G45" s="58">
        <f>IFERROR(1/SUM(IFERROR(1/SUMIF(G46,"&lt;&gt;.",G46),0),IFERROR(1/SUMIF(G47,"&lt;&gt;.",G47),0)),".")</f>
        <v>9596.7286671319507</v>
      </c>
      <c r="H45" s="58">
        <f>IFERROR(1/SUM(IFERROR(1/SUMIF(H46,"&lt;&gt;.",H46),0),IFERROR(1/SUMIF(H47,"&lt;&gt;.",H47),0)),".")</f>
        <v>78.195566917371451</v>
      </c>
      <c r="I45" s="233">
        <f t="shared" si="52"/>
        <v>4.539622499999999E-4</v>
      </c>
      <c r="J45" s="233">
        <f t="shared" si="53"/>
        <v>6.2781478799963252E-9</v>
      </c>
      <c r="K45" s="233">
        <f t="shared" si="54"/>
        <v>2.395215238508515E-3</v>
      </c>
      <c r="L45" s="233">
        <f t="shared" si="8"/>
        <v>1.0420217499999997E-4</v>
      </c>
      <c r="M45" s="233">
        <f t="shared" si="9"/>
        <v>1.2788448749999997E-2</v>
      </c>
      <c r="N45" s="59">
        <f t="shared" ref="N45:AE45" si="115">IFERROR(1/SUM(IFERROR(1/SUMIF(N46,"&lt;&gt;.",N46),0),IFERROR(1/SUMIF(N47,"&lt;&gt;.",N47),0)),".")</f>
        <v>63.524996900775974</v>
      </c>
      <c r="O45" s="190">
        <f>N45*(0.0000000000028)*RadSpec!$AY10*RadSpec!$AF10</f>
        <v>7.3511758868447104E-7</v>
      </c>
      <c r="P45" s="58">
        <f t="shared" si="115"/>
        <v>417.49901383505454</v>
      </c>
      <c r="Q45" s="58">
        <f t="shared" si="115"/>
        <v>3942.3963603315151</v>
      </c>
      <c r="R45" s="58">
        <f t="shared" si="115"/>
        <v>949.53467239135443</v>
      </c>
      <c r="S45" s="58">
        <f t="shared" si="115"/>
        <v>471.33280796895832</v>
      </c>
      <c r="T45" s="58">
        <f t="shared" si="115"/>
        <v>5827.9191315113885</v>
      </c>
      <c r="U45" s="190">
        <f>P45*(0.0000000000028)*RadSpec!$AY10*RadSpec!$AF10</f>
        <v>4.8313401543010698E-6</v>
      </c>
      <c r="V45" s="190">
        <f>Q45*(0.0000000000028)*RadSpec!$AY10*RadSpec!$AF10</f>
        <v>4.5621803186737926E-5</v>
      </c>
      <c r="W45" s="190">
        <f>R45*(0.0000000000028)*RadSpec!$AY10*RadSpec!$AF10</f>
        <v>1.0988109764584737E-5</v>
      </c>
      <c r="X45" s="190">
        <f>S45*(0.0000000000028)*RadSpec!$AY10*RadSpec!$AF10</f>
        <v>5.4543101797111479E-6</v>
      </c>
      <c r="Y45" s="190">
        <f>T45*(0.0000000000000028)*RadSpec!$AY10*RadSpec!$AF10</f>
        <v>6.7441260417478523E-8</v>
      </c>
      <c r="Z45" s="58">
        <f t="shared" si="115"/>
        <v>117.17607132800403</v>
      </c>
      <c r="AA45" s="58">
        <f t="shared" si="115"/>
        <v>39247.571789936475</v>
      </c>
      <c r="AB45" s="59">
        <f t="shared" si="115"/>
        <v>117.17478110795625</v>
      </c>
      <c r="AC45" s="190">
        <f>AB45*(0.0000000000000028)*RadSpec!$AY10*RadSpec!$AF10</f>
        <v>1.3559582329024768E-9</v>
      </c>
      <c r="AD45" s="58">
        <f t="shared" si="115"/>
        <v>2412.7127281272665</v>
      </c>
      <c r="AE45" s="58">
        <f t="shared" si="115"/>
        <v>18141.508911031669</v>
      </c>
      <c r="AF45" s="58">
        <f>IFERROR(1/SUM(IFERROR(1/SUMIF(AF46,"&lt;&gt;.",AF46),0),IFERROR(1/SUMIF(AF47,"&lt;&gt;.",AF47),0)),".")</f>
        <v>12315801.789486002</v>
      </c>
      <c r="AG45" s="58">
        <f>IFERROR(1/SUM(IFERROR(1/SUMIF(AG46,"&lt;&gt;.",AG46),0),IFERROR(1/SUMIF(AG47,"&lt;&gt;.",AG47),0)),".")</f>
        <v>100350.97754396002</v>
      </c>
      <c r="AH45" s="233">
        <f t="shared" si="49"/>
        <v>4.1447122499999994E-4</v>
      </c>
      <c r="AI45" s="233">
        <f t="shared" si="50"/>
        <v>5.5122206477097943E-5</v>
      </c>
      <c r="AJ45" s="233">
        <f t="shared" si="12"/>
        <v>8.1196499999999982E-8</v>
      </c>
      <c r="AK45" s="233">
        <f t="shared" si="13"/>
        <v>9.9650249999999987E-6</v>
      </c>
      <c r="AL45" s="59">
        <f>IFERROR(1/SUM(IFERROR(1/SUMIF(AL46,"&lt;&gt;.",AL46),0),IFERROR(1/SUMIF(AL47,"&lt;&gt;.",AL47),0)),".")</f>
        <v>2084.8985145265888</v>
      </c>
      <c r="AM45" s="190">
        <f>AL45*(0.0000000000000028)*RadSpec!$AY10*RadSpec!$AF10</f>
        <v>2.4126653182597794E-8</v>
      </c>
      <c r="AN45" s="58">
        <f>IFERROR(1/SUM(IFERROR(1/SUMIF(AN46,"&lt;&gt;.",AN46),0),IFERROR(1/SUMIF(AN47,"&lt;&gt;.",AN47),0)),".")</f>
        <v>270.94763936869202</v>
      </c>
      <c r="AO45" s="58">
        <f>IFERROR(1/SUM(IFERROR(1/SUMIF(AO46,"&lt;&gt;.",AO46),0),IFERROR(1/SUMIF(AO47,"&lt;&gt;.",AO47),0)),".")</f>
        <v>270.94763936869202</v>
      </c>
      <c r="AP45" s="190">
        <f>AN45*(0.0000000000028)*RadSpec!$AY10*RadSpec!$AF10</f>
        <v>3.1354330583214803E-6</v>
      </c>
      <c r="AQ45" s="190">
        <f>AO45*(0.0000000000028)*RadSpec!$AY10*RadSpec!$AF10</f>
        <v>3.1354330583214803E-6</v>
      </c>
    </row>
    <row r="46" spans="1:43" x14ac:dyDescent="0.25">
      <c r="A46" s="77" t="s">
        <v>1084</v>
      </c>
      <c r="B46" s="42">
        <v>1</v>
      </c>
      <c r="C46" s="42"/>
      <c r="D46" s="60">
        <f>IFERROR(D10/$B46,".")</f>
        <v>2202.8263363308297</v>
      </c>
      <c r="E46" s="60">
        <f>IFERROR(E10/$B46,".")</f>
        <v>159282644.99570617</v>
      </c>
      <c r="F46" s="60">
        <f>IFERROR(F10/$B46,".")</f>
        <v>1826109.9025997738</v>
      </c>
      <c r="G46" s="60">
        <f>IFERROR(G10/$B46,".")</f>
        <v>9596.7286671319507</v>
      </c>
      <c r="H46" s="60">
        <f>IFERROR(H10/$B46,".")</f>
        <v>78.195566917371451</v>
      </c>
      <c r="I46" s="233">
        <f t="shared" si="52"/>
        <v>4.539622499999999E-4</v>
      </c>
      <c r="J46" s="233">
        <f t="shared" si="53"/>
        <v>6.2781478799963252E-9</v>
      </c>
      <c r="K46" s="233">
        <f t="shared" si="54"/>
        <v>5.4761216648369969E-7</v>
      </c>
      <c r="L46" s="233">
        <f t="shared" si="8"/>
        <v>1.0420217499999997E-4</v>
      </c>
      <c r="M46" s="233">
        <f t="shared" si="9"/>
        <v>1.2788448749999997E-2</v>
      </c>
      <c r="N46" s="60">
        <f t="shared" ref="N46:AE46" si="116">IFERROR(N10/$B46,".")</f>
        <v>74.922265909050225</v>
      </c>
      <c r="O46" s="189">
        <f>IFERROR(O10/$B46,0)</f>
        <v>8.6700792036032321E-7</v>
      </c>
      <c r="P46" s="60">
        <f t="shared" si="116"/>
        <v>1826109.9025997738</v>
      </c>
      <c r="Q46" s="60">
        <f t="shared" si="116"/>
        <v>5910671.5005993089</v>
      </c>
      <c r="R46" s="60">
        <f t="shared" si="116"/>
        <v>2326512.4097766969</v>
      </c>
      <c r="S46" s="60">
        <f t="shared" si="116"/>
        <v>1649480.3970255319</v>
      </c>
      <c r="T46" s="60">
        <f t="shared" si="116"/>
        <v>955382.61096886278</v>
      </c>
      <c r="U46" s="189">
        <f t="shared" ref="U46:Y46" si="117">IFERROR(U10/$B46,0)</f>
        <v>2.1131925600386486E-2</v>
      </c>
      <c r="V46" s="189">
        <f t="shared" si="117"/>
        <v>6.8398879071389793E-2</v>
      </c>
      <c r="W46" s="189">
        <f t="shared" si="117"/>
        <v>2.6922633233511458E-2</v>
      </c>
      <c r="X46" s="189">
        <f t="shared" si="117"/>
        <v>1.9087951376647785E-2</v>
      </c>
      <c r="Y46" s="189">
        <f t="shared" si="117"/>
        <v>1.105578269202443E-5</v>
      </c>
      <c r="Z46" s="60">
        <f t="shared" si="116"/>
        <v>117.17607132800403</v>
      </c>
      <c r="AA46" s="60">
        <f t="shared" si="116"/>
        <v>10641658.012301844</v>
      </c>
      <c r="AB46" s="60">
        <f t="shared" si="116"/>
        <v>117.17478110795625</v>
      </c>
      <c r="AC46" s="189">
        <f t="shared" ref="AC46" si="118">IFERROR(AC10/$B46,0)</f>
        <v>1.3559582329024768E-9</v>
      </c>
      <c r="AD46" s="60">
        <f t="shared" si="116"/>
        <v>2412.7127281272665</v>
      </c>
      <c r="AE46" s="60">
        <f t="shared" si="116"/>
        <v>9526817.6491083186</v>
      </c>
      <c r="AF46" s="60">
        <f>IFERROR(AF10/$B46,".")</f>
        <v>12315801.789486002</v>
      </c>
      <c r="AG46" s="60">
        <f>IFERROR(AG10/$B46,".")</f>
        <v>100350.97754396001</v>
      </c>
      <c r="AH46" s="233">
        <f t="shared" si="49"/>
        <v>4.1447122499999994E-4</v>
      </c>
      <c r="AI46" s="233">
        <f t="shared" si="50"/>
        <v>1.0496684589041094E-7</v>
      </c>
      <c r="AJ46" s="233">
        <f t="shared" si="12"/>
        <v>8.1196499999999982E-8</v>
      </c>
      <c r="AK46" s="233">
        <f t="shared" si="13"/>
        <v>9.9650249999999987E-6</v>
      </c>
      <c r="AL46" s="60">
        <f>IFERROR(AL10/$B46,".")</f>
        <v>2355.0334804993363</v>
      </c>
      <c r="AM46" s="189">
        <f t="shared" ref="AM46" si="119">IFERROR(AM10/$B46,0)</f>
        <v>2.7252681903471639E-8</v>
      </c>
      <c r="AN46" s="60">
        <f>IFERROR(AN10/$B46,".")</f>
        <v>270.94763936869202</v>
      </c>
      <c r="AO46" s="60">
        <f>IFERROR(AO10/$B46,".")</f>
        <v>270.94763936869202</v>
      </c>
      <c r="AP46" s="189">
        <f t="shared" ref="AP46" si="120">IFERROR(AP10/$B46,0)</f>
        <v>3.1354330583214803E-6</v>
      </c>
      <c r="AQ46" s="189">
        <f t="shared" ref="AQ46" si="121">IFERROR(AQ10/$B46,0)</f>
        <v>3.1354330583214803E-6</v>
      </c>
    </row>
    <row r="47" spans="1:43" x14ac:dyDescent="0.25">
      <c r="A47" s="77" t="s">
        <v>1058</v>
      </c>
      <c r="B47" s="79">
        <v>0.94399</v>
      </c>
      <c r="C47" s="79"/>
      <c r="D47" s="60" t="str">
        <f>IFERROR(D6/$B$47,".")</f>
        <v>.</v>
      </c>
      <c r="E47" s="60" t="str">
        <f>IFERROR(E6/$B$47,".")</f>
        <v>.</v>
      </c>
      <c r="F47" s="60">
        <f>IFERROR(F6/$B$47,".")</f>
        <v>417.59448743521352</v>
      </c>
      <c r="G47" s="60" t="str">
        <f>IFERROR(G6/$B$47,".")</f>
        <v>.</v>
      </c>
      <c r="H47" s="60" t="str">
        <f>IFERROR(H6/$B$47,".")</f>
        <v>.</v>
      </c>
      <c r="I47" s="233">
        <f t="shared" si="52"/>
        <v>0</v>
      </c>
      <c r="J47" s="233">
        <f t="shared" si="53"/>
        <v>0</v>
      </c>
      <c r="K47" s="233">
        <f t="shared" si="54"/>
        <v>2.3946676263420313E-3</v>
      </c>
      <c r="L47" s="233">
        <f t="shared" si="8"/>
        <v>0</v>
      </c>
      <c r="M47" s="233">
        <f t="shared" si="9"/>
        <v>0</v>
      </c>
      <c r="N47" s="60">
        <f t="shared" ref="N47:AE47" si="122">IFERROR(N6/$B$47,".")</f>
        <v>417.59448743521352</v>
      </c>
      <c r="O47" s="189">
        <f>IFERROR(O6/$B$47,0)</f>
        <v>7.7778339842111324E-13</v>
      </c>
      <c r="P47" s="60">
        <f t="shared" si="122"/>
        <v>417.59448743521352</v>
      </c>
      <c r="Q47" s="60">
        <f t="shared" si="122"/>
        <v>3945.027679423295</v>
      </c>
      <c r="R47" s="60">
        <f t="shared" si="122"/>
        <v>949.92237039931854</v>
      </c>
      <c r="S47" s="60">
        <f t="shared" si="122"/>
        <v>471.46752803853741</v>
      </c>
      <c r="T47" s="60">
        <f t="shared" si="122"/>
        <v>5863.6881521854011</v>
      </c>
      <c r="U47" s="189">
        <f t="shared" ref="U47:Y47" si="123">IFERROR(U6/$B$47,0)</f>
        <v>7.7778339842111324E-13</v>
      </c>
      <c r="V47" s="189">
        <f t="shared" si="123"/>
        <v>7.3477431520051942E-12</v>
      </c>
      <c r="W47" s="189">
        <f t="shared" si="123"/>
        <v>1.7692615006084002E-12</v>
      </c>
      <c r="X47" s="189">
        <f t="shared" si="123"/>
        <v>8.7812369951340829E-13</v>
      </c>
      <c r="Y47" s="189">
        <f t="shared" si="123"/>
        <v>1.0921311069739475E-14</v>
      </c>
      <c r="Z47" s="60" t="str">
        <f t="shared" si="122"/>
        <v>.</v>
      </c>
      <c r="AA47" s="60">
        <f t="shared" si="122"/>
        <v>39392.856855068494</v>
      </c>
      <c r="AB47" s="60">
        <f t="shared" si="122"/>
        <v>0</v>
      </c>
      <c r="AC47" s="189">
        <f t="shared" ref="AC47" si="124">IFERROR(AC6/$B$47,0)</f>
        <v>0</v>
      </c>
      <c r="AD47" s="60" t="str">
        <f t="shared" si="122"/>
        <v>.</v>
      </c>
      <c r="AE47" s="60">
        <f t="shared" si="122"/>
        <v>18176.120915975</v>
      </c>
      <c r="AF47" s="60" t="str">
        <f>IFERROR(AF6/$B$47,".")</f>
        <v>.</v>
      </c>
      <c r="AG47" s="60" t="str">
        <f>IFERROR(AG6/$B$47,".")</f>
        <v>.</v>
      </c>
      <c r="AH47" s="233">
        <f t="shared" si="49"/>
        <v>0</v>
      </c>
      <c r="AI47" s="233">
        <f t="shared" si="50"/>
        <v>5.5017239631207535E-5</v>
      </c>
      <c r="AJ47" s="233">
        <f t="shared" si="12"/>
        <v>0</v>
      </c>
      <c r="AK47" s="233">
        <f t="shared" si="13"/>
        <v>0</v>
      </c>
      <c r="AL47" s="60">
        <f>IFERROR(AL6/$B$47,".")</f>
        <v>18176.120915975</v>
      </c>
      <c r="AM47" s="189">
        <f t="shared" ref="AM47" si="125">IFERROR(AM6/$B$47,0)</f>
        <v>3.3853620010569159E-14</v>
      </c>
      <c r="AN47" s="60" t="str">
        <f>IFERROR(AN6/$B$47,".")</f>
        <v>.</v>
      </c>
      <c r="AO47" s="60" t="str">
        <f>IFERROR(AO6/$B$47,".")</f>
        <v>.</v>
      </c>
      <c r="AP47" s="189">
        <f t="shared" ref="AP47" si="126">IFERROR(AP6/$B$47,0)</f>
        <v>0</v>
      </c>
      <c r="AQ47" s="189">
        <f t="shared" ref="AQ47" si="127">IFERROR(AQ6/$B$47,0)</f>
        <v>0</v>
      </c>
    </row>
    <row r="48" spans="1:43" x14ac:dyDescent="0.25">
      <c r="A48" s="76" t="s">
        <v>21</v>
      </c>
      <c r="B48" s="57" t="s">
        <v>1185</v>
      </c>
      <c r="C48" s="239"/>
      <c r="D48" s="58">
        <f>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9.0841073448468759</v>
      </c>
      <c r="E48" s="58">
        <f>IFERROR(1/SUM(IFERROR(1/SUMIF(E49,"&lt;&gt;.",E49),0),IFERROR(1/SUMIF(E50,"&lt;&gt;.",E50),0),IFERROR(1/SUMIF(E51,"&lt;&gt;.",E51),0),IFERROR(1/SUMIF(E52,"&lt;&gt;.",E52),0),IFERROR(1/SUMIF(E53,"&lt;&gt;.",E53),0),IFERROR(1/SUMIF(E54,"&lt;&gt;.",E54),0),IFERROR(1/SUMIF(E55,"&lt;&gt;.",E55),0),IFERROR(1/SUMIF(E56,"&lt;&gt;.",E56),0),IFERROR(1/SUMIF(E57,"&lt;&gt;.",E57),0),IFERROR(1/SUMIF(E58,"&lt;&gt;.",E58),0),IFERROR(1/SUMIF(E59,"&lt;&gt;.",E59),0),IFERROR(1/SUMIF(E60,"&lt;&gt;.",E60),0),IFERROR(1/SUMIF(E61,"&lt;&gt;.",E61),0),IFERROR(1/SUMIF(E62,"&lt;&gt;.",E62),0)),".")</f>
        <v>313567.55413308705</v>
      </c>
      <c r="F48" s="58">
        <f>IFERROR(1/SUM(IFERROR(1/SUMIF(F49,"&lt;&gt;.",F49),0),IFERROR(1/SUMIF(F50,"&lt;&gt;.",F50),0),IFERROR(1/SUMIF(F51,"&lt;&gt;.",F51),0),IFERROR(1/SUMIF(F52,"&lt;&gt;.",F52),0),IFERROR(1/SUMIF(F53,"&lt;&gt;.",F53),0),IFERROR(1/SUMIF(F54,"&lt;&gt;.",F54),0),IFERROR(1/SUMIF(F55,"&lt;&gt;.",F55),0),IFERROR(1/SUMIF(F56,"&lt;&gt;.",F56),0),IFERROR(1/SUMIF(F57,"&lt;&gt;.",F57),0),IFERROR(1/SUMIF(F58,"&lt;&gt;.",F58),0),IFERROR(1/SUMIF(F59,"&lt;&gt;.",F59),0),IFERROR(1/SUMIF(F60,"&lt;&gt;.",F60),0),IFERROR(1/SUMIF(F61,"&lt;&gt;.",F61),0),IFERROR(1/SUMIF(F62,"&lt;&gt;.",F62),0)),".")</f>
        <v>121.48537552523513</v>
      </c>
      <c r="G48" s="58">
        <f>IFERROR(1/SUM(IFERROR(1/SUMIF(G49,"&lt;&gt;.",G49),0),IFERROR(1/SUMIF(G50,"&lt;&gt;.",G50),0),IFERROR(1/SUMIF(G51,"&lt;&gt;.",G51),0),IFERROR(1/SUMIF(G52,"&lt;&gt;.",G52),0),IFERROR(1/SUMIF(G53,"&lt;&gt;.",G53),0),IFERROR(1/SUMIF(G54,"&lt;&gt;.",G54),0),IFERROR(1/SUMIF(G55,"&lt;&gt;.",G55),0),IFERROR(1/SUMIF(G56,"&lt;&gt;.",G56),0),IFERROR(1/SUMIF(G57,"&lt;&gt;.",G57),0),IFERROR(1/SUMIF(G58,"&lt;&gt;.",G58),0),IFERROR(1/SUMIF(G59,"&lt;&gt;.",G59),0),IFERROR(1/SUMIF(G60,"&lt;&gt;.",G60),0),IFERROR(1/SUMIF(G61,"&lt;&gt;.",G61),0),IFERROR(1/SUMIF(G62,"&lt;&gt;.",G62),0)),".")</f>
        <v>426.45458932394251</v>
      </c>
      <c r="H48" s="58">
        <f>IFERROR(1/SUM(IFERROR(1/SUMIF(H49,"&lt;&gt;.",H49),0),IFERROR(1/SUMIF(H50,"&lt;&gt;.",H50),0),IFERROR(1/SUMIF(H51,"&lt;&gt;.",H51),0),IFERROR(1/SUMIF(H52,"&lt;&gt;.",H52),0),IFERROR(1/SUMIF(H53,"&lt;&gt;.",H53),0),IFERROR(1/SUMIF(H54,"&lt;&gt;.",H54),0),IFERROR(1/SUMIF(H55,"&lt;&gt;.",H55),0),IFERROR(1/SUMIF(H56,"&lt;&gt;.",H56),0),IFERROR(1/SUMIF(H57,"&lt;&gt;.",H57),0),IFERROR(1/SUMIF(H58,"&lt;&gt;.",H58),0),IFERROR(1/SUMIF(H59,"&lt;&gt;.",H59),0),IFERROR(1/SUMIF(H60,"&lt;&gt;.",H60),0),IFERROR(1/SUMIF(H61,"&lt;&gt;.",H61),0),IFERROR(1/SUMIF(H62,"&lt;&gt;.",H62),0)),".")</f>
        <v>0.68624923829292517</v>
      </c>
      <c r="I48" s="233">
        <f t="shared" si="52"/>
        <v>0.11008236275050934</v>
      </c>
      <c r="J48" s="233">
        <f t="shared" si="53"/>
        <v>3.1891054633017653E-6</v>
      </c>
      <c r="K48" s="233">
        <f t="shared" si="54"/>
        <v>8.2314434612113328E-3</v>
      </c>
      <c r="L48" s="233">
        <f t="shared" si="8"/>
        <v>2.3449155549839381E-3</v>
      </c>
      <c r="M48" s="233">
        <f t="shared" si="9"/>
        <v>1.4571965172413794</v>
      </c>
      <c r="N48" s="59">
        <f t="shared" ref="N48:AE48" si="128">IFERROR(1/SUM(IFERROR(1/SUMIF(N49,"&lt;&gt;.",N49),0),IFERROR(1/SUMIF(N50,"&lt;&gt;.",N50),0),IFERROR(1/SUMIF(N51,"&lt;&gt;.",N51),0),IFERROR(1/SUMIF(N52,"&lt;&gt;.",N52),0),IFERROR(1/SUMIF(N53,"&lt;&gt;.",N53),0),IFERROR(1/SUMIF(N54,"&lt;&gt;.",N54),0),IFERROR(1/SUMIF(N55,"&lt;&gt;.",N55),0),IFERROR(1/SUMIF(N56,"&lt;&gt;.",N56),0),IFERROR(1/SUMIF(N57,"&lt;&gt;.",N57),0),IFERROR(1/SUMIF(N58,"&lt;&gt;.",N58),0),IFERROR(1/SUMIF(N59,"&lt;&gt;.",N59),0),IFERROR(1/SUMIF(N60,"&lt;&gt;.",N60),0),IFERROR(1/SUMIF(N61,"&lt;&gt;.",N61),0),IFERROR(1/SUMIF(N62,"&lt;&gt;.",N62),0)),".")</f>
        <v>0.63377042083273449</v>
      </c>
      <c r="O48" s="190">
        <f>N48*(0.0000000000028)*RadSpec!$AY23*RadSpec!$AF23</f>
        <v>6.4167987568472712E-7</v>
      </c>
      <c r="P48" s="58">
        <f t="shared" si="128"/>
        <v>121.48537552523513</v>
      </c>
      <c r="Q48" s="58">
        <f t="shared" si="128"/>
        <v>1372.8966244586816</v>
      </c>
      <c r="R48" s="58">
        <f t="shared" si="128"/>
        <v>319.85564150939302</v>
      </c>
      <c r="S48" s="58">
        <f t="shared" si="128"/>
        <v>156.85512358199986</v>
      </c>
      <c r="T48" s="58">
        <f t="shared" si="128"/>
        <v>1882.7360188379953</v>
      </c>
      <c r="U48" s="190">
        <f>P48*(0.0000000000028)*RadSpec!$AY23*RadSpec!$AF23</f>
        <v>1.2300151301179008E-4</v>
      </c>
      <c r="V48" s="190">
        <f>Q48*(0.0000000000028)*RadSpec!$AY23*RadSpec!$AF23</f>
        <v>1.3900303743319261E-3</v>
      </c>
      <c r="W48" s="190">
        <f>R48*(0.0000000000028)*RadSpec!$AY23*RadSpec!$AF23</f>
        <v>3.2384743991543025E-4</v>
      </c>
      <c r="X48" s="190">
        <f>S48*(0.0000000000028)*RadSpec!$AY23*RadSpec!$AF23</f>
        <v>1.5881267552430323E-4</v>
      </c>
      <c r="Y48" s="190">
        <f>T48*(0.0000000000000028)*RadSpec!$AY23*RadSpec!$AF23</f>
        <v>1.9062325643530935E-6</v>
      </c>
      <c r="Z48" s="58">
        <f t="shared" si="128"/>
        <v>0.23067556474992518</v>
      </c>
      <c r="AA48" s="58">
        <f t="shared" si="128"/>
        <v>12071.904738229465</v>
      </c>
      <c r="AB48" s="59">
        <f t="shared" si="128"/>
        <v>0.23067115865490595</v>
      </c>
      <c r="AC48" s="190">
        <f>AB48*(0.0000000000000028)*RadSpec!$AY23*RadSpec!$AF23</f>
        <v>2.3354993471491919E-10</v>
      </c>
      <c r="AD48" s="58">
        <f t="shared" si="128"/>
        <v>9.9496456225838443</v>
      </c>
      <c r="AE48" s="58">
        <f t="shared" si="128"/>
        <v>5579.2305824964187</v>
      </c>
      <c r="AF48" s="58">
        <f>IFERROR(1/SUM(IFERROR(1/SUMIF(AF49,"&lt;&gt;.",AF49),0),IFERROR(1/SUMIF(AF50,"&lt;&gt;.",AF50),0),IFERROR(1/SUMIF(AF51,"&lt;&gt;.",AF51),0),IFERROR(1/SUMIF(AF52,"&lt;&gt;.",AF52),0),IFERROR(1/SUMIF(AF53,"&lt;&gt;.",AF53),0),IFERROR(1/SUMIF(AF54,"&lt;&gt;.",AF54),0),IFERROR(1/SUMIF(AF55,"&lt;&gt;.",AF55),0),IFERROR(1/SUMIF(AF56,"&lt;&gt;.",AF56),0),IFERROR(1/SUMIF(AF57,"&lt;&gt;.",AF57),0),IFERROR(1/SUMIF(AF58,"&lt;&gt;.",AF58),0),IFERROR(1/SUMIF(AF59,"&lt;&gt;.",AF59),0),IFERROR(1/SUMIF(AF60,"&lt;&gt;.",AF60),0),IFERROR(1/SUMIF(AF61,"&lt;&gt;.",AF61),0),IFERROR(1/SUMIF(AF62,"&lt;&gt;.",AF62),0)),".")</f>
        <v>534807.09253805259</v>
      </c>
      <c r="AG48" s="58">
        <f>IFERROR(1/SUM(IFERROR(1/SUMIF(AG49,"&lt;&gt;.",AG49),0),IFERROR(1/SUMIF(AG50,"&lt;&gt;.",AG50),0),IFERROR(1/SUMIF(AG51,"&lt;&gt;.",AG51),0),IFERROR(1/SUMIF(AG52,"&lt;&gt;.",AG52),0),IFERROR(1/SUMIF(AG53,"&lt;&gt;.",AG53),0),IFERROR(1/SUMIF(AG54,"&lt;&gt;.",AG54),0),IFERROR(1/SUMIF(AG55,"&lt;&gt;.",AG55),0),IFERROR(1/SUMIF(AG56,"&lt;&gt;.",AG56),0),IFERROR(1/SUMIF(AG57,"&lt;&gt;.",AG57),0),IFERROR(1/SUMIF(AG58,"&lt;&gt;.",AG58),0),IFERROR(1/SUMIF(AG59,"&lt;&gt;.",AG59),0),IFERROR(1/SUMIF(AG60,"&lt;&gt;.",AG60),0),IFERROR(1/SUMIF(AG61,"&lt;&gt;.",AG61),0),IFERROR(1/SUMIF(AG62,"&lt;&gt;.",AG62),0)),".")</f>
        <v>858.0008580008581</v>
      </c>
      <c r="AH48" s="233">
        <f t="shared" si="49"/>
        <v>0.10050609216977398</v>
      </c>
      <c r="AI48" s="233">
        <f t="shared" si="50"/>
        <v>1.7923618413214092E-4</v>
      </c>
      <c r="AJ48" s="233">
        <f t="shared" si="12"/>
        <v>1.8698330930023109E-6</v>
      </c>
      <c r="AK48" s="233">
        <f t="shared" si="13"/>
        <v>1.1654999999999999E-3</v>
      </c>
      <c r="AL48" s="59">
        <f>IFERROR(1/SUM(IFERROR(1/SUMIF(AL49,"&lt;&gt;.",AL49),0),IFERROR(1/SUMIF(AL50,"&lt;&gt;.",AL50),0),IFERROR(1/SUMIF(AL51,"&lt;&gt;.",AL51),0),IFERROR(1/SUMIF(AL52,"&lt;&gt;.",AL52),0),IFERROR(1/SUMIF(AL53,"&lt;&gt;.",AL53),0),IFERROR(1/SUMIF(AL54,"&lt;&gt;.",AL54),0),IFERROR(1/SUMIF(AL55,"&lt;&gt;.",AL55),0),IFERROR(1/SUMIF(AL56,"&lt;&gt;.",AL56),0),IFERROR(1/SUMIF(AL57,"&lt;&gt;.",AL57),0),IFERROR(1/SUMIF(AL58,"&lt;&gt;.",AL58),0),IFERROR(1/SUMIF(AL59,"&lt;&gt;.",AL59),0),IFERROR(1/SUMIF(AL60,"&lt;&gt;.",AL60),0),IFERROR(1/SUMIF(AL61,"&lt;&gt;.",AL61),0),IFERROR(1/SUMIF(AL62,"&lt;&gt;.",AL62),0)),".")</f>
        <v>9.8181002349493394</v>
      </c>
      <c r="AM48" s="190">
        <f>AL48*(0.0000000000000028)*RadSpec!$AY23*RadSpec!$AF23</f>
        <v>9.9406301258815076E-9</v>
      </c>
      <c r="AN48" s="58">
        <f>IFERROR(1/SUM(IFERROR(1/SUMIF(AN49,"&lt;&gt;.",AN49),0),IFERROR(1/SUMIF(AN50,"&lt;&gt;.",AN50),0),IFERROR(1/SUMIF(AN51,"&lt;&gt;.",AN51),0),IFERROR(1/SUMIF(AN52,"&lt;&gt;.",AN52),0),IFERROR(1/SUMIF(AN53,"&lt;&gt;.",AN53),0),IFERROR(1/SUMIF(AN54,"&lt;&gt;.",AN54),0),IFERROR(1/SUMIF(AN55,"&lt;&gt;.",AN55),0),IFERROR(1/SUMIF(AN56,"&lt;&gt;.",AN56),0),IFERROR(1/SUMIF(AN57,"&lt;&gt;.",AN57),0),IFERROR(1/SUMIF(AN58,"&lt;&gt;.",AN58),0),IFERROR(1/SUMIF(AN59,"&lt;&gt;.",AN59),0),IFERROR(1/SUMIF(AN60,"&lt;&gt;.",AN60),0),IFERROR(1/SUMIF(AN61,"&lt;&gt;.",AN61),0),IFERROR(1/SUMIF(AN62,"&lt;&gt;.",AN62),0)),".")</f>
        <v>1.1173452034161657</v>
      </c>
      <c r="AO48" s="58">
        <f>IFERROR(1/SUM(IFERROR(1/SUMIF(AO49,"&lt;&gt;.",AO49),0),IFERROR(1/SUMIF(AO50,"&lt;&gt;.",AO50),0),IFERROR(1/SUMIF(AO51,"&lt;&gt;.",AO51),0),IFERROR(1/SUMIF(AO52,"&lt;&gt;.",AO52),0),IFERROR(1/SUMIF(AO53,"&lt;&gt;.",AO53),0),IFERROR(1/SUMIF(AO54,"&lt;&gt;.",AO54),0),IFERROR(1/SUMIF(AO55,"&lt;&gt;.",AO55),0),IFERROR(1/SUMIF(AO56,"&lt;&gt;.",AO56),0),IFERROR(1/SUMIF(AO57,"&lt;&gt;.",AO57),0),IFERROR(1/SUMIF(AO58,"&lt;&gt;.",AO58),0),IFERROR(1/SUMIF(AO59,"&lt;&gt;.",AO59),0),IFERROR(1/SUMIF(AO60,"&lt;&gt;.",AO60),0),IFERROR(1/SUMIF(AO61,"&lt;&gt;.",AO61),0),IFERROR(1/SUMIF(AO62,"&lt;&gt;.",AO62),0)),".")</f>
        <v>1.1173452034161657</v>
      </c>
      <c r="AP48" s="190">
        <f>AN48*(0.0000000000028)*RadSpec!$AY23*RadSpec!$AF23</f>
        <v>1.1312896715547996E-6</v>
      </c>
      <c r="AQ48" s="190">
        <f>AO48*(0.0000000000028)*RadSpec!$AY23*RadSpec!$AF23</f>
        <v>1.1312896715547996E-6</v>
      </c>
    </row>
    <row r="49" spans="1:43" x14ac:dyDescent="0.25">
      <c r="A49" s="77" t="s">
        <v>1086</v>
      </c>
      <c r="B49" s="42">
        <v>1</v>
      </c>
      <c r="C49" s="238"/>
      <c r="D49" s="60">
        <f>IFERROR(D23/$B49,".")</f>
        <v>64.6745922145696</v>
      </c>
      <c r="E49" s="60">
        <f>IFERROR(E23/$B49,".")</f>
        <v>644862.74721562583</v>
      </c>
      <c r="F49" s="60">
        <f>IFERROR(F23/$B49,".")</f>
        <v>46493.598193265934</v>
      </c>
      <c r="G49" s="60">
        <f>IFERROR(G23/$B49,".")</f>
        <v>3685.8989230586621</v>
      </c>
      <c r="H49" s="60" t="str">
        <f>IFERROR(H23/$B49,".")</f>
        <v>.</v>
      </c>
      <c r="I49" s="233">
        <f t="shared" si="52"/>
        <v>1.54620225E-2</v>
      </c>
      <c r="J49" s="233">
        <f t="shared" si="53"/>
        <v>1.5507175818695962E-6</v>
      </c>
      <c r="K49" s="233">
        <f t="shared" si="54"/>
        <v>2.1508337467088933E-5</v>
      </c>
      <c r="L49" s="233">
        <f t="shared" si="8"/>
        <v>2.7130423836206879E-4</v>
      </c>
      <c r="M49" s="233">
        <f t="shared" si="9"/>
        <v>0</v>
      </c>
      <c r="N49" s="60">
        <f t="shared" ref="N49:AE49" si="129">IFERROR(N23/$B49,".")</f>
        <v>63.4663312457212</v>
      </c>
      <c r="O49" s="189">
        <f>IFERROR(O23/$B49,0)</f>
        <v>6.425839105966781E-5</v>
      </c>
      <c r="P49" s="60">
        <f t="shared" si="129"/>
        <v>46493.598193265934</v>
      </c>
      <c r="Q49" s="60">
        <f t="shared" si="129"/>
        <v>268793.52701941802</v>
      </c>
      <c r="R49" s="60">
        <f t="shared" si="129"/>
        <v>74627.490045048966</v>
      </c>
      <c r="S49" s="60">
        <f t="shared" si="129"/>
        <v>43348.300190582071</v>
      </c>
      <c r="T49" s="60">
        <f t="shared" si="129"/>
        <v>302414.42538082181</v>
      </c>
      <c r="U49" s="189">
        <f t="shared" ref="U49:Y49" si="130">IFERROR(U23/$B49,0)</f>
        <v>4.7073838298717897E-2</v>
      </c>
      <c r="V49" s="189">
        <f t="shared" si="130"/>
        <v>0.27214807023662035</v>
      </c>
      <c r="W49" s="189">
        <f t="shared" si="130"/>
        <v>7.5558841120811182E-2</v>
      </c>
      <c r="X49" s="189">
        <f t="shared" si="130"/>
        <v>4.388928697696054E-2</v>
      </c>
      <c r="Y49" s="189">
        <f t="shared" si="130"/>
        <v>3.0618855740957449E-4</v>
      </c>
      <c r="Z49" s="60">
        <f t="shared" si="129"/>
        <v>0.47439244411434633</v>
      </c>
      <c r="AA49" s="60">
        <f t="shared" si="129"/>
        <v>3216449.6886057025</v>
      </c>
      <c r="AB49" s="60">
        <f t="shared" si="129"/>
        <v>0.47439237414646884</v>
      </c>
      <c r="AC49" s="189">
        <f t="shared" ref="AC49" si="131">IFERROR(AC23/$B49,0)</f>
        <v>4.8031279097581679E-10</v>
      </c>
      <c r="AD49" s="60">
        <f t="shared" si="129"/>
        <v>70.836819611683538</v>
      </c>
      <c r="AE49" s="60">
        <f t="shared" si="129"/>
        <v>1462450.0777139959</v>
      </c>
      <c r="AF49" s="60">
        <f>IFERROR(AF23/$B49,".")</f>
        <v>4679396.9661129769</v>
      </c>
      <c r="AG49" s="60" t="str">
        <f>IFERROR(AG23/$B49,".")</f>
        <v>.</v>
      </c>
      <c r="AH49" s="233">
        <f t="shared" si="49"/>
        <v>1.411695225E-2</v>
      </c>
      <c r="AI49" s="233">
        <f t="shared" si="50"/>
        <v>6.837840246575343E-7</v>
      </c>
      <c r="AJ49" s="233">
        <f t="shared" si="12"/>
        <v>2.1370275000000001E-7</v>
      </c>
      <c r="AK49" s="233">
        <f t="shared" si="13"/>
        <v>0</v>
      </c>
      <c r="AL49" s="60">
        <f>IFERROR(AL23/$B49,".")</f>
        <v>70.832316439462161</v>
      </c>
      <c r="AM49" s="189">
        <f t="shared" ref="AM49" si="132">IFERROR(AM23/$B49,0)</f>
        <v>7.171630374862665E-8</v>
      </c>
      <c r="AN49" s="60">
        <f>IFERROR(AN23/$B49,".")</f>
        <v>7.954974842392061</v>
      </c>
      <c r="AO49" s="60">
        <f>IFERROR(AO23/$B49,".")</f>
        <v>7.954974842392061</v>
      </c>
      <c r="AP49" s="189">
        <f t="shared" ref="AP49" si="133">IFERROR(AP23/$B49,0)</f>
        <v>8.0542529284251127E-6</v>
      </c>
      <c r="AQ49" s="189">
        <f t="shared" ref="AQ49" si="134">IFERROR(AQ23/$B49,0)</f>
        <v>8.0542529284251127E-6</v>
      </c>
    </row>
    <row r="50" spans="1:43" x14ac:dyDescent="0.25">
      <c r="A50" s="77" t="s">
        <v>1073</v>
      </c>
      <c r="B50" s="42">
        <v>1</v>
      </c>
      <c r="C50" s="238"/>
      <c r="D50" s="60" t="str">
        <f>IFERROR(D25/$B50,".")</f>
        <v>.</v>
      </c>
      <c r="E50" s="60">
        <f>IFERROR(E25/$B50,".")</f>
        <v>3752018213.1889324</v>
      </c>
      <c r="F50" s="60">
        <f>IFERROR(F25/$B50,".")</f>
        <v>630931.7120038342</v>
      </c>
      <c r="G50" s="60" t="str">
        <f>IFERROR(G25/$B50,".")</f>
        <v>.</v>
      </c>
      <c r="H50" s="60" t="str">
        <f>IFERROR(H25/$B50,".")</f>
        <v>.</v>
      </c>
      <c r="I50" s="233">
        <f t="shared" si="52"/>
        <v>0</v>
      </c>
      <c r="J50" s="233">
        <f t="shared" si="53"/>
        <v>2.6652322648244168E-10</v>
      </c>
      <c r="K50" s="233">
        <f t="shared" si="54"/>
        <v>1.584957580946451E-6</v>
      </c>
      <c r="L50" s="233">
        <f t="shared" si="8"/>
        <v>0</v>
      </c>
      <c r="M50" s="233">
        <f t="shared" si="9"/>
        <v>0</v>
      </c>
      <c r="N50" s="60">
        <f t="shared" ref="N50:AE50" si="135">IFERROR(N25/$B50,".")</f>
        <v>630825.63365495554</v>
      </c>
      <c r="O50" s="189">
        <f>IFERROR(O25/$B50,0)</f>
        <v>4.1076040034791018E-6</v>
      </c>
      <c r="P50" s="60">
        <f t="shared" si="135"/>
        <v>630931.7120038342</v>
      </c>
      <c r="Q50" s="60">
        <f t="shared" si="135"/>
        <v>5583382.0699922517</v>
      </c>
      <c r="R50" s="60">
        <f t="shared" si="135"/>
        <v>1334235.9337832199</v>
      </c>
      <c r="S50" s="60">
        <f t="shared" si="135"/>
        <v>698019.76357534796</v>
      </c>
      <c r="T50" s="60">
        <f t="shared" si="135"/>
        <v>8556914.2938275579</v>
      </c>
      <c r="U50" s="189">
        <f t="shared" ref="U50:Y50" si="136">IFERROR(U25/$B50,0)</f>
        <v>4.1082947297706314E-6</v>
      </c>
      <c r="V50" s="189">
        <f t="shared" si="136"/>
        <v>3.6356040909076401E-5</v>
      </c>
      <c r="W50" s="189">
        <f t="shared" si="136"/>
        <v>8.6878410939643622E-6</v>
      </c>
      <c r="X50" s="189">
        <f t="shared" si="136"/>
        <v>4.5451367579300195E-6</v>
      </c>
      <c r="Y50" s="189">
        <f t="shared" si="136"/>
        <v>5.5718115332610042E-8</v>
      </c>
      <c r="Z50" s="60">
        <f t="shared" si="135"/>
        <v>2760.1673351446934</v>
      </c>
      <c r="AA50" s="60">
        <f t="shared" si="135"/>
        <v>57821725.615975335</v>
      </c>
      <c r="AB50" s="60">
        <f t="shared" si="135"/>
        <v>2760.0355825901343</v>
      </c>
      <c r="AC50" s="189">
        <f t="shared" ref="AC50" si="137">IFERROR(AC25/$B50,0)</f>
        <v>1.7971896834796529E-11</v>
      </c>
      <c r="AD50" s="60" t="str">
        <f t="shared" si="135"/>
        <v>.</v>
      </c>
      <c r="AE50" s="60">
        <f t="shared" si="135"/>
        <v>26604145.030754615</v>
      </c>
      <c r="AF50" s="60" t="str">
        <f>IFERROR(AF25/$B50,".")</f>
        <v>.</v>
      </c>
      <c r="AG50" s="60" t="str">
        <f>IFERROR(AG25/$B50,".")</f>
        <v>.</v>
      </c>
      <c r="AH50" s="233">
        <f t="shared" si="49"/>
        <v>0</v>
      </c>
      <c r="AI50" s="233">
        <f t="shared" si="50"/>
        <v>3.758812767123287E-8</v>
      </c>
      <c r="AJ50" s="233">
        <f t="shared" si="12"/>
        <v>0</v>
      </c>
      <c r="AK50" s="233">
        <f t="shared" si="13"/>
        <v>0</v>
      </c>
      <c r="AL50" s="60">
        <f>IFERROR(AL25/$B50,".")</f>
        <v>26604145.030754615</v>
      </c>
      <c r="AM50" s="189">
        <f t="shared" ref="AM50" si="138">IFERROR(AM25/$B50,0)</f>
        <v>1.7323216877587932E-7</v>
      </c>
      <c r="AN50" s="60" t="str">
        <f>IFERROR(AN25/$B50,".")</f>
        <v>.</v>
      </c>
      <c r="AO50" s="60" t="str">
        <f>IFERROR(AO25/$B50,".")</f>
        <v>.</v>
      </c>
      <c r="AP50" s="189">
        <f t="shared" ref="AP50" si="139">IFERROR(AP25/$B50,0)</f>
        <v>0</v>
      </c>
      <c r="AQ50" s="189">
        <f t="shared" ref="AQ50" si="140">IFERROR(AQ25/$B50,0)</f>
        <v>0</v>
      </c>
    </row>
    <row r="51" spans="1:43" x14ac:dyDescent="0.25">
      <c r="A51" s="77" t="s">
        <v>1059</v>
      </c>
      <c r="B51" s="42">
        <v>1</v>
      </c>
      <c r="C51" s="238"/>
      <c r="D51" s="60" t="str">
        <f>IFERROR(D21/$B51,".")</f>
        <v>.</v>
      </c>
      <c r="E51" s="60">
        <f>IFERROR(E21/$B51,".")</f>
        <v>3225160012.6492791</v>
      </c>
      <c r="F51" s="60">
        <f>IFERROR(F21/$B51,".")</f>
        <v>14063600223.861692</v>
      </c>
      <c r="G51" s="60" t="str">
        <f>IFERROR(G21/$B51,".")</f>
        <v>.</v>
      </c>
      <c r="H51" s="60" t="str">
        <f>IFERROR(H21/$B51,".")</f>
        <v>.</v>
      </c>
      <c r="I51" s="233">
        <f t="shared" si="52"/>
        <v>0</v>
      </c>
      <c r="J51" s="233">
        <f t="shared" si="53"/>
        <v>3.1006213523606195E-10</v>
      </c>
      <c r="K51" s="233">
        <f t="shared" si="54"/>
        <v>7.1105547945205478E-11</v>
      </c>
      <c r="L51" s="233">
        <f t="shared" si="8"/>
        <v>0</v>
      </c>
      <c r="M51" s="233">
        <f t="shared" si="9"/>
        <v>0</v>
      </c>
      <c r="N51" s="60">
        <f t="shared" ref="N51:AE51" si="141">IFERROR(N21/$B51,".")</f>
        <v>2623517271.0705433</v>
      </c>
      <c r="O51" s="189">
        <f>IFERROR(O21/$B51,0)</f>
        <v>9.4450614935512232E-6</v>
      </c>
      <c r="P51" s="60">
        <f t="shared" si="141"/>
        <v>14063600223.861692</v>
      </c>
      <c r="Q51" s="60">
        <f t="shared" si="141"/>
        <v>33273077157.986954</v>
      </c>
      <c r="R51" s="60">
        <f t="shared" si="141"/>
        <v>17786529725.006851</v>
      </c>
      <c r="S51" s="60">
        <f t="shared" si="141"/>
        <v>14063600223.861692</v>
      </c>
      <c r="T51" s="60">
        <f t="shared" si="141"/>
        <v>16694144828.852856</v>
      </c>
      <c r="U51" s="189">
        <f t="shared" ref="U51:Y51" si="142">IFERROR(U21/$B51,0)</f>
        <v>5.0631101384322755E-5</v>
      </c>
      <c r="V51" s="189">
        <f t="shared" si="142"/>
        <v>1.1978814216405861E-4</v>
      </c>
      <c r="W51" s="189">
        <f t="shared" si="142"/>
        <v>6.4034214244381558E-5</v>
      </c>
      <c r="X51" s="189">
        <f t="shared" si="142"/>
        <v>5.0631101384322755E-5</v>
      </c>
      <c r="Y51" s="189">
        <f t="shared" si="142"/>
        <v>6.0101462349597627E-8</v>
      </c>
      <c r="Z51" s="60">
        <f t="shared" si="141"/>
        <v>2372.584782834349</v>
      </c>
      <c r="AA51" s="60">
        <f t="shared" si="141"/>
        <v>381799943952.81427</v>
      </c>
      <c r="AB51" s="60">
        <f t="shared" si="141"/>
        <v>2372.5847680906104</v>
      </c>
      <c r="AC51" s="189">
        <f t="shared" ref="AC51" si="143">IFERROR(AC21/$B51,0)</f>
        <v>8.5416662891396025E-15</v>
      </c>
      <c r="AD51" s="60" t="str">
        <f t="shared" si="141"/>
        <v>.</v>
      </c>
      <c r="AE51" s="60">
        <f t="shared" si="141"/>
        <v>349760787816.91376</v>
      </c>
      <c r="AF51" s="60" t="str">
        <f>IFERROR(AF21/$B51,".")</f>
        <v>.</v>
      </c>
      <c r="AG51" s="60" t="str">
        <f>IFERROR(AG21/$B51,".")</f>
        <v>.</v>
      </c>
      <c r="AH51" s="233">
        <f t="shared" si="49"/>
        <v>0</v>
      </c>
      <c r="AI51" s="233">
        <f t="shared" si="50"/>
        <v>2.8590969452054795E-12</v>
      </c>
      <c r="AJ51" s="233">
        <f t="shared" si="12"/>
        <v>0</v>
      </c>
      <c r="AK51" s="233">
        <f t="shared" si="13"/>
        <v>0</v>
      </c>
      <c r="AL51" s="60">
        <f>IFERROR(AL21/$B51,".")</f>
        <v>349760787816.91376</v>
      </c>
      <c r="AM51" s="189">
        <f t="shared" ref="AM51" si="144">IFERROR(AM21/$B51,0)</f>
        <v>1.2591920721816526E-6</v>
      </c>
      <c r="AN51" s="60" t="str">
        <f>IFERROR(AN21/$B51,".")</f>
        <v>.</v>
      </c>
      <c r="AO51" s="60" t="str">
        <f>IFERROR(AO21/$B51,".")</f>
        <v>.</v>
      </c>
      <c r="AP51" s="189">
        <f t="shared" ref="AP51" si="145">IFERROR(AP21/$B51,0)</f>
        <v>0</v>
      </c>
      <c r="AQ51" s="189">
        <f t="shared" ref="AQ51" si="146">IFERROR(AQ21/$B51,0)</f>
        <v>0</v>
      </c>
    </row>
    <row r="52" spans="1:43" x14ac:dyDescent="0.25">
      <c r="A52" s="77" t="s">
        <v>1060</v>
      </c>
      <c r="B52" s="79">
        <v>0.99980000000000002</v>
      </c>
      <c r="C52" s="240"/>
      <c r="D52" s="60">
        <f>IFERROR(D17/$B52,".")</f>
        <v>147253.52242910906</v>
      </c>
      <c r="E52" s="60">
        <f>IFERROR(E17/$B52,".")</f>
        <v>527481446.85562658</v>
      </c>
      <c r="F52" s="60">
        <f>IFERROR(F17/$B52,".")</f>
        <v>1143.5581714515586</v>
      </c>
      <c r="G52" s="60">
        <f>IFERROR(G17/$B52,".")</f>
        <v>20492358.976707138</v>
      </c>
      <c r="H52" s="60" t="str">
        <f>IFERROR(H17/$B52,".")</f>
        <v>.</v>
      </c>
      <c r="I52" s="233">
        <f t="shared" si="52"/>
        <v>6.7910090265000012E-6</v>
      </c>
      <c r="J52" s="233">
        <f t="shared" si="53"/>
        <v>1.8958012759711402E-9</v>
      </c>
      <c r="K52" s="233">
        <f t="shared" si="54"/>
        <v>8.744636040077129E-4</v>
      </c>
      <c r="L52" s="233">
        <f t="shared" si="8"/>
        <v>4.8798676674396583E-8</v>
      </c>
      <c r="M52" s="233">
        <f t="shared" si="9"/>
        <v>0</v>
      </c>
      <c r="N52" s="60">
        <f t="shared" ref="N52:AE52" si="147">IFERROR(N17/$B52,".")</f>
        <v>1134.6805601601334</v>
      </c>
      <c r="O52" s="189">
        <f>IFERROR(O17/$B52,0)</f>
        <v>3.4667686179918359E-11</v>
      </c>
      <c r="P52" s="60">
        <f t="shared" si="147"/>
        <v>1143.5581714515586</v>
      </c>
      <c r="Q52" s="60">
        <f t="shared" si="147"/>
        <v>8223.8189643966507</v>
      </c>
      <c r="R52" s="60">
        <f t="shared" si="147"/>
        <v>2034.883227744205</v>
      </c>
      <c r="S52" s="60">
        <f t="shared" si="147"/>
        <v>1183.2576332399308</v>
      </c>
      <c r="T52" s="60">
        <f t="shared" si="147"/>
        <v>10027.809333512119</v>
      </c>
      <c r="U52" s="189">
        <f t="shared" ref="U52:Y52" si="148">IFERROR(U17/$B52,0)</f>
        <v>3.4938922202711416E-11</v>
      </c>
      <c r="V52" s="189">
        <f t="shared" si="148"/>
        <v>2.5126082623459159E-10</v>
      </c>
      <c r="W52" s="189">
        <f t="shared" si="148"/>
        <v>6.2171412491864422E-11</v>
      </c>
      <c r="X52" s="189">
        <f t="shared" si="148"/>
        <v>3.6151852547262947E-11</v>
      </c>
      <c r="Y52" s="189">
        <f t="shared" si="148"/>
        <v>3.0637781174041894E-13</v>
      </c>
      <c r="Z52" s="60">
        <f t="shared" si="147"/>
        <v>388.04104265483437</v>
      </c>
      <c r="AA52" s="60">
        <f t="shared" si="147"/>
        <v>90136.57264393178</v>
      </c>
      <c r="AB52" s="60">
        <f t="shared" si="147"/>
        <v>386.37767349309485</v>
      </c>
      <c r="AC52" s="189">
        <f t="shared" ref="AC52" si="149">IFERROR(AC17/$B52,0)</f>
        <v>1.1804925898876079E-14</v>
      </c>
      <c r="AD52" s="60">
        <f t="shared" si="147"/>
        <v>161283.9114762281</v>
      </c>
      <c r="AE52" s="60">
        <f t="shared" si="147"/>
        <v>41515.184910690572</v>
      </c>
      <c r="AF52" s="60">
        <f>IFERROR(AF17/$B52,".")</f>
        <v>25874547512.543449</v>
      </c>
      <c r="AG52" s="60" t="str">
        <f>IFERROR(AG17/$B52,".")</f>
        <v>.</v>
      </c>
      <c r="AH52" s="233">
        <f t="shared" si="49"/>
        <v>6.2002464526500011E-6</v>
      </c>
      <c r="AI52" s="233">
        <f t="shared" si="50"/>
        <v>2.4087571864397262E-5</v>
      </c>
      <c r="AJ52" s="233">
        <f t="shared" si="12"/>
        <v>3.8648018850000009E-11</v>
      </c>
      <c r="AK52" s="233">
        <f t="shared" si="13"/>
        <v>0</v>
      </c>
      <c r="AL52" s="60">
        <f>IFERROR(AL17/$B52,".")</f>
        <v>33016.532042970088</v>
      </c>
      <c r="AM52" s="189">
        <f t="shared" ref="AM52" si="150">IFERROR(AM17/$B52,0)</f>
        <v>1.0087480228385791E-12</v>
      </c>
      <c r="AN52" s="60">
        <f>IFERROR(AN17/$B52,".")</f>
        <v>18112.183258780417</v>
      </c>
      <c r="AO52" s="60">
        <f>IFERROR(AO17/$B52,".")</f>
        <v>18112.183258780417</v>
      </c>
      <c r="AP52" s="189">
        <f t="shared" ref="AP52" si="151">IFERROR(AP17/$B52,0)</f>
        <v>5.5337819937618055E-10</v>
      </c>
      <c r="AQ52" s="189">
        <f t="shared" ref="AQ52" si="152">IFERROR(AQ17/$B52,0)</f>
        <v>5.5337819937618055E-10</v>
      </c>
    </row>
    <row r="53" spans="1:43" x14ac:dyDescent="0.25">
      <c r="A53" s="77" t="s">
        <v>1074</v>
      </c>
      <c r="B53" s="42">
        <v>2.0000000000000001E-4</v>
      </c>
      <c r="C53" s="238"/>
      <c r="D53" s="60" t="str">
        <f>IFERROR(D5/$B53,".")</f>
        <v>.</v>
      </c>
      <c r="E53" s="60" t="str">
        <f>IFERROR(E5/$B53,".")</f>
        <v>.</v>
      </c>
      <c r="F53" s="60">
        <f>IFERROR(F5/$B53,".")</f>
        <v>11656742467.428986</v>
      </c>
      <c r="G53" s="60" t="str">
        <f>IFERROR(G5/$B53,".")</f>
        <v>.</v>
      </c>
      <c r="H53" s="60" t="str">
        <f>IFERROR(H5/$B53,".")</f>
        <v>.</v>
      </c>
      <c r="I53" s="233">
        <f t="shared" si="52"/>
        <v>0</v>
      </c>
      <c r="J53" s="233">
        <f t="shared" si="53"/>
        <v>0</v>
      </c>
      <c r="K53" s="233">
        <f t="shared" si="54"/>
        <v>8.5787260273972601E-11</v>
      </c>
      <c r="L53" s="233">
        <f t="shared" si="8"/>
        <v>0</v>
      </c>
      <c r="M53" s="233">
        <f t="shared" si="9"/>
        <v>0</v>
      </c>
      <c r="N53" s="60">
        <f t="shared" ref="N53:AE53" si="153">IFERROR(N5/$B53,".")</f>
        <v>11656742467.428986</v>
      </c>
      <c r="O53" s="189">
        <f>IFERROR(O5/$B53,0)</f>
        <v>3.3843586387550689E-7</v>
      </c>
      <c r="P53" s="60">
        <f t="shared" si="153"/>
        <v>11656742467.428986</v>
      </c>
      <c r="Q53" s="60">
        <f t="shared" si="153"/>
        <v>22838325149.860867</v>
      </c>
      <c r="R53" s="60">
        <f t="shared" si="153"/>
        <v>16285556752.432428</v>
      </c>
      <c r="S53" s="60">
        <f t="shared" si="153"/>
        <v>12145836556.971457</v>
      </c>
      <c r="T53" s="60">
        <f t="shared" si="153"/>
        <v>4440642524.4748602</v>
      </c>
      <c r="U53" s="189">
        <f t="shared" ref="U53:Y53" si="154">IFERROR(U5/$B53,0)</f>
        <v>3.3843586387550689E-7</v>
      </c>
      <c r="V53" s="189">
        <f t="shared" si="154"/>
        <v>6.6307618300395157E-7</v>
      </c>
      <c r="W53" s="189">
        <f t="shared" si="154"/>
        <v>4.7282647648804975E-7</v>
      </c>
      <c r="X53" s="189">
        <f t="shared" si="154"/>
        <v>3.5263597005210143E-7</v>
      </c>
      <c r="Y53" s="189">
        <f t="shared" si="154"/>
        <v>1.2892733052413696E-10</v>
      </c>
      <c r="Z53" s="60" t="str">
        <f t="shared" si="153"/>
        <v>.</v>
      </c>
      <c r="AA53" s="60">
        <f t="shared" si="153"/>
        <v>5103652312022.3135</v>
      </c>
      <c r="AB53" s="60">
        <f t="shared" si="153"/>
        <v>0</v>
      </c>
      <c r="AC53" s="189">
        <f t="shared" ref="AC53" si="155">IFERROR(AC5/$B53,0)</f>
        <v>0</v>
      </c>
      <c r="AD53" s="60" t="str">
        <f t="shared" si="153"/>
        <v>.</v>
      </c>
      <c r="AE53" s="60">
        <f t="shared" si="153"/>
        <v>4001263412625.4937</v>
      </c>
      <c r="AF53" s="60" t="str">
        <f>IFERROR(AF5/$B53,".")</f>
        <v>.</v>
      </c>
      <c r="AG53" s="60" t="str">
        <f>IFERROR(AG5/$B53,".")</f>
        <v>.</v>
      </c>
      <c r="AH53" s="233">
        <f t="shared" si="49"/>
        <v>0</v>
      </c>
      <c r="AI53" s="233">
        <f t="shared" si="50"/>
        <v>2.4992106164383562E-13</v>
      </c>
      <c r="AJ53" s="233">
        <f t="shared" si="12"/>
        <v>0</v>
      </c>
      <c r="AK53" s="233">
        <f t="shared" si="13"/>
        <v>0</v>
      </c>
      <c r="AL53" s="60">
        <f>IFERROR(AL5/$B53,".")</f>
        <v>4001263412625.4937</v>
      </c>
      <c r="AM53" s="189">
        <f t="shared" ref="AM53" si="156">IFERROR(AM5/$B53,0)</f>
        <v>1.1617062343353323E-7</v>
      </c>
      <c r="AN53" s="60" t="str">
        <f>IFERROR(AN5/$B53,".")</f>
        <v>.</v>
      </c>
      <c r="AO53" s="60" t="str">
        <f>IFERROR(AO5/$B53,".")</f>
        <v>.</v>
      </c>
      <c r="AP53" s="189">
        <f t="shared" ref="AP53" si="157">IFERROR(AP5/$B53,0)</f>
        <v>0</v>
      </c>
      <c r="AQ53" s="189">
        <f t="shared" ref="AQ53" si="158">IFERROR(AQ5/$B53,0)</f>
        <v>0</v>
      </c>
    </row>
    <row r="54" spans="1:43" x14ac:dyDescent="0.25">
      <c r="A54" s="77" t="s">
        <v>1075</v>
      </c>
      <c r="B54" s="42">
        <v>0.99999979999999999</v>
      </c>
      <c r="C54" s="238"/>
      <c r="D54" s="60">
        <f>IFERROR(D9/$B54,".")</f>
        <v>196628.16196455873</v>
      </c>
      <c r="E54" s="60">
        <f>IFERROR(E9/$B54,".")</f>
        <v>671467874.6320312</v>
      </c>
      <c r="F54" s="60">
        <f>IFERROR(F9/$B54,".")</f>
        <v>136.52221077818959</v>
      </c>
      <c r="G54" s="60">
        <f>IFERROR(G9/$B54,".")</f>
        <v>6910075.4061830649</v>
      </c>
      <c r="H54" s="60" t="str">
        <f>IFERROR(H9/$B54,".")</f>
        <v>.</v>
      </c>
      <c r="I54" s="233">
        <f t="shared" si="52"/>
        <v>5.0857414828515008E-6</v>
      </c>
      <c r="J54" s="233">
        <f t="shared" si="53"/>
        <v>1.4892745249324199E-9</v>
      </c>
      <c r="K54" s="233">
        <f t="shared" si="54"/>
        <v>7.3248154589638194E-3</v>
      </c>
      <c r="L54" s="233">
        <f t="shared" si="8"/>
        <v>1.4471622105675001E-7</v>
      </c>
      <c r="M54" s="233">
        <f t="shared" si="9"/>
        <v>0</v>
      </c>
      <c r="N54" s="60">
        <f t="shared" ref="N54:AE54" si="159">IFERROR(N9/$B54,".")</f>
        <v>136.42476571015484</v>
      </c>
      <c r="O54" s="189">
        <f>IFERROR(O9/$B54,0)</f>
        <v>3.0950148788225698E-12</v>
      </c>
      <c r="P54" s="60">
        <f t="shared" si="159"/>
        <v>136.52221077818959</v>
      </c>
      <c r="Q54" s="60">
        <f t="shared" si="159"/>
        <v>1667.9211616895195</v>
      </c>
      <c r="R54" s="60">
        <f t="shared" si="159"/>
        <v>382.49707457978519</v>
      </c>
      <c r="S54" s="60">
        <f t="shared" si="159"/>
        <v>181.92484747815726</v>
      </c>
      <c r="T54" s="60">
        <f t="shared" si="159"/>
        <v>2429.3512516689543</v>
      </c>
      <c r="U54" s="189">
        <f t="shared" ref="U54:Y54" si="160">IFERROR(U9/$B54,0)</f>
        <v>3.0972255766666554E-12</v>
      </c>
      <c r="V54" s="189">
        <f t="shared" si="160"/>
        <v>3.7839469873818037E-11</v>
      </c>
      <c r="W54" s="189">
        <f t="shared" si="160"/>
        <v>8.6775603444735981E-12</v>
      </c>
      <c r="X54" s="189">
        <f t="shared" si="160"/>
        <v>4.1272572970269121E-12</v>
      </c>
      <c r="Y54" s="189">
        <f t="shared" si="160"/>
        <v>5.5113734157155123E-14</v>
      </c>
      <c r="Z54" s="60">
        <f t="shared" si="159"/>
        <v>493.96447161250467</v>
      </c>
      <c r="AA54" s="60">
        <f t="shared" si="159"/>
        <v>14069.142801963208</v>
      </c>
      <c r="AB54" s="60">
        <f t="shared" si="159"/>
        <v>477.20974374902511</v>
      </c>
      <c r="AC54" s="189">
        <f t="shared" ref="AC54" si="161">IFERROR(AC9/$B54,0)</f>
        <v>1.0826269332653869E-14</v>
      </c>
      <c r="AD54" s="60">
        <f t="shared" si="159"/>
        <v>215362.99128798512</v>
      </c>
      <c r="AE54" s="60">
        <f t="shared" si="159"/>
        <v>6495.5587871401567</v>
      </c>
      <c r="AF54" s="60">
        <f>IFERROR(AF9/$B54,".")</f>
        <v>12092631960.820364</v>
      </c>
      <c r="AG54" s="60" t="str">
        <f>IFERROR(AG9/$B54,".")</f>
        <v>.</v>
      </c>
      <c r="AH54" s="233">
        <f t="shared" si="49"/>
        <v>4.6433233213351501E-6</v>
      </c>
      <c r="AI54" s="233">
        <f t="shared" si="50"/>
        <v>1.5395134318232792E-4</v>
      </c>
      <c r="AJ54" s="233">
        <f t="shared" si="12"/>
        <v>8.2694983460999997E-11</v>
      </c>
      <c r="AK54" s="233">
        <f t="shared" si="13"/>
        <v>0</v>
      </c>
      <c r="AL54" s="60">
        <f>IFERROR(AL9/$B54,".")</f>
        <v>6305.3789930173434</v>
      </c>
      <c r="AM54" s="189">
        <f t="shared" ref="AM54" si="162">IFERROR(AM9/$B54,0)</f>
        <v>1.4304764753245479E-13</v>
      </c>
      <c r="AN54" s="60">
        <f>IFERROR(AN9/$B54,".")</f>
        <v>24185.263921640726</v>
      </c>
      <c r="AO54" s="60">
        <f>IFERROR(AO9/$B54,".")</f>
        <v>24185.263921640726</v>
      </c>
      <c r="AP54" s="189">
        <f t="shared" ref="AP54" si="163">IFERROR(AP9/$B54,0)</f>
        <v>5.486815483690214E-10</v>
      </c>
      <c r="AQ54" s="189">
        <f t="shared" ref="AQ54" si="164">IFERROR(AQ9/$B54,0)</f>
        <v>5.486815483690214E-10</v>
      </c>
    </row>
    <row r="55" spans="1:43" x14ac:dyDescent="0.25">
      <c r="A55" s="77" t="s">
        <v>1076</v>
      </c>
      <c r="B55" s="42">
        <v>1.9999999999999999E-7</v>
      </c>
      <c r="C55" s="238"/>
      <c r="D55" s="60" t="str">
        <f>IFERROR(D24/$B55,".")</f>
        <v>.</v>
      </c>
      <c r="E55" s="60" t="str">
        <f>IFERROR(E24/$B55,".")</f>
        <v>.</v>
      </c>
      <c r="F55" s="60">
        <f>IFERROR(F24/$B55,".")</f>
        <v>1593798590304.8457</v>
      </c>
      <c r="G55" s="60" t="str">
        <f>IFERROR(G24/$B55,".")</f>
        <v>.</v>
      </c>
      <c r="H55" s="60" t="str">
        <f>IFERROR(H24/$B55,".")</f>
        <v>.</v>
      </c>
      <c r="I55" s="233">
        <f t="shared" si="52"/>
        <v>0</v>
      </c>
      <c r="J55" s="233">
        <f t="shared" si="53"/>
        <v>0</v>
      </c>
      <c r="K55" s="233">
        <f t="shared" si="54"/>
        <v>6.2743185122828479E-13</v>
      </c>
      <c r="L55" s="233">
        <f t="shared" si="8"/>
        <v>0</v>
      </c>
      <c r="M55" s="233">
        <f t="shared" si="9"/>
        <v>0</v>
      </c>
      <c r="N55" s="60">
        <f t="shared" ref="N55:AE55" si="165">IFERROR(N24/$B55,".")</f>
        <v>1593798590304.8457</v>
      </c>
      <c r="O55" s="189">
        <f>IFERROR(O24/$B55,0)</f>
        <v>1.0797156609358421E-6</v>
      </c>
      <c r="P55" s="60">
        <f t="shared" si="165"/>
        <v>1593798590304.8457</v>
      </c>
      <c r="Q55" s="60">
        <f t="shared" si="165"/>
        <v>14612669305053.342</v>
      </c>
      <c r="R55" s="60">
        <f t="shared" si="165"/>
        <v>3513484552110.1787</v>
      </c>
      <c r="S55" s="60">
        <f t="shared" si="165"/>
        <v>1751450044685.9688</v>
      </c>
      <c r="T55" s="60">
        <f t="shared" si="165"/>
        <v>21950875321445.199</v>
      </c>
      <c r="U55" s="189">
        <f t="shared" ref="U55:Y55" si="166">IFERROR(U24/$B55,0)</f>
        <v>1.0797156609358421E-6</v>
      </c>
      <c r="V55" s="189">
        <f t="shared" si="166"/>
        <v>9.8993235360590916E-6</v>
      </c>
      <c r="W55" s="189">
        <f t="shared" si="166"/>
        <v>2.3802030685972169E-6</v>
      </c>
      <c r="X55" s="189">
        <f t="shared" si="166"/>
        <v>1.1865163227635408E-6</v>
      </c>
      <c r="Y55" s="189">
        <f t="shared" si="166"/>
        <v>1.4870576495667018E-8</v>
      </c>
      <c r="Z55" s="60" t="str">
        <f t="shared" si="165"/>
        <v>.</v>
      </c>
      <c r="AA55" s="60">
        <f t="shared" si="165"/>
        <v>147105272522996.09</v>
      </c>
      <c r="AB55" s="60">
        <f t="shared" si="165"/>
        <v>0</v>
      </c>
      <c r="AC55" s="189">
        <f t="shared" ref="AC55" si="167">IFERROR(AC24/$B55,0)</f>
        <v>0</v>
      </c>
      <c r="AD55" s="60" t="str">
        <f t="shared" si="165"/>
        <v>.</v>
      </c>
      <c r="AE55" s="60">
        <f t="shared" si="165"/>
        <v>67680368955099.688</v>
      </c>
      <c r="AF55" s="60" t="str">
        <f>IFERROR(AF24/$B55,".")</f>
        <v>.</v>
      </c>
      <c r="AG55" s="60" t="str">
        <f>IFERROR(AG24/$B55,".")</f>
        <v>.</v>
      </c>
      <c r="AH55" s="233">
        <f t="shared" si="49"/>
        <v>0</v>
      </c>
      <c r="AI55" s="233">
        <f t="shared" si="50"/>
        <v>1.477533316438356E-14</v>
      </c>
      <c r="AJ55" s="233">
        <f t="shared" si="12"/>
        <v>0</v>
      </c>
      <c r="AK55" s="233">
        <f t="shared" si="13"/>
        <v>0</v>
      </c>
      <c r="AL55" s="60">
        <f>IFERROR(AL24/$B55,".")</f>
        <v>67680368955099.688</v>
      </c>
      <c r="AM55" s="189">
        <f t="shared" ref="AM55" si="168">IFERROR(AM24/$B55,0)</f>
        <v>4.5849930313189666E-8</v>
      </c>
      <c r="AN55" s="60" t="str">
        <f>IFERROR(AN24/$B55,".")</f>
        <v>.</v>
      </c>
      <c r="AO55" s="60" t="str">
        <f>IFERROR(AO24/$B55,".")</f>
        <v>.</v>
      </c>
      <c r="AP55" s="189">
        <f t="shared" ref="AP55" si="169">IFERROR(AP24/$B55,0)</f>
        <v>0</v>
      </c>
      <c r="AQ55" s="189">
        <f t="shared" ref="AQ55" si="170">IFERROR(AQ24/$B55,0)</f>
        <v>0</v>
      </c>
    </row>
    <row r="56" spans="1:43" x14ac:dyDescent="0.25">
      <c r="A56" s="77" t="s">
        <v>1077</v>
      </c>
      <c r="B56" s="42">
        <v>0.99979000004200003</v>
      </c>
      <c r="C56" s="238"/>
      <c r="D56" s="60" t="str">
        <f>IFERROR(D20/$B56,".")</f>
        <v>.</v>
      </c>
      <c r="E56" s="60" t="str">
        <f>IFERROR(E20/$B56,".")</f>
        <v>.</v>
      </c>
      <c r="F56" s="60">
        <f>IFERROR(F20/$B56,".")</f>
        <v>2593906.9984395932</v>
      </c>
      <c r="G56" s="60" t="str">
        <f>IFERROR(G20/$B56,".")</f>
        <v>.</v>
      </c>
      <c r="H56" s="60" t="str">
        <f>IFERROR(H20/$B56,".")</f>
        <v>.</v>
      </c>
      <c r="I56" s="233">
        <f t="shared" si="52"/>
        <v>0</v>
      </c>
      <c r="J56" s="233">
        <f t="shared" si="53"/>
        <v>0</v>
      </c>
      <c r="K56" s="233">
        <f t="shared" si="54"/>
        <v>3.8551883340519386E-7</v>
      </c>
      <c r="L56" s="233">
        <f t="shared" si="8"/>
        <v>0</v>
      </c>
      <c r="M56" s="233">
        <f t="shared" si="9"/>
        <v>0</v>
      </c>
      <c r="N56" s="60">
        <f t="shared" ref="N56:AE56" si="171">IFERROR(N20/$B56,".")</f>
        <v>2593906.9984395932</v>
      </c>
      <c r="O56" s="189">
        <f>IFERROR(O20/$B56,0)</f>
        <v>8.0976157017472149E-15</v>
      </c>
      <c r="P56" s="60">
        <f t="shared" si="171"/>
        <v>2593906.9984395932</v>
      </c>
      <c r="Q56" s="60">
        <f t="shared" si="171"/>
        <v>27680890.434190221</v>
      </c>
      <c r="R56" s="60">
        <f t="shared" si="171"/>
        <v>6452856.8119587451</v>
      </c>
      <c r="S56" s="60">
        <f t="shared" si="171"/>
        <v>3162573.9555831333</v>
      </c>
      <c r="T56" s="60">
        <f t="shared" si="171"/>
        <v>42467748.963691041</v>
      </c>
      <c r="U56" s="189">
        <f t="shared" ref="U56:Y56" si="172">IFERROR(U20/$B56,0)</f>
        <v>8.0976157017472149E-15</v>
      </c>
      <c r="V56" s="189">
        <f t="shared" si="172"/>
        <v>8.6413743111485328E-14</v>
      </c>
      <c r="W56" s="189">
        <f t="shared" si="172"/>
        <v>2.014442101165427E-14</v>
      </c>
      <c r="X56" s="189">
        <f t="shared" si="172"/>
        <v>9.872870745201145E-15</v>
      </c>
      <c r="Y56" s="189">
        <f t="shared" si="172"/>
        <v>1.3257511199634938E-16</v>
      </c>
      <c r="Z56" s="60" t="str">
        <f t="shared" si="171"/>
        <v>.</v>
      </c>
      <c r="AA56" s="60">
        <f t="shared" si="171"/>
        <v>263296306.20176324</v>
      </c>
      <c r="AB56" s="60">
        <f t="shared" si="171"/>
        <v>0</v>
      </c>
      <c r="AC56" s="189">
        <f t="shared" ref="AC56" si="173">IFERROR(AC20/$B56,0)</f>
        <v>0</v>
      </c>
      <c r="AD56" s="60" t="str">
        <f t="shared" si="171"/>
        <v>.</v>
      </c>
      <c r="AE56" s="60">
        <f t="shared" si="171"/>
        <v>121570590.95585667</v>
      </c>
      <c r="AF56" s="60" t="str">
        <f>IFERROR(AF20/$B56,".")</f>
        <v>.</v>
      </c>
      <c r="AG56" s="60" t="str">
        <f>IFERROR(AG20/$B56,".")</f>
        <v>.</v>
      </c>
      <c r="AH56" s="233">
        <f t="shared" si="49"/>
        <v>0</v>
      </c>
      <c r="AI56" s="233">
        <f t="shared" si="50"/>
        <v>8.225673595377262E-9</v>
      </c>
      <c r="AJ56" s="233">
        <f t="shared" si="12"/>
        <v>0</v>
      </c>
      <c r="AK56" s="233">
        <f t="shared" si="13"/>
        <v>0</v>
      </c>
      <c r="AL56" s="60">
        <f>IFERROR(AL20/$B56,".")</f>
        <v>121570590.95585667</v>
      </c>
      <c r="AM56" s="189">
        <f t="shared" ref="AM56" si="174">IFERROR(AM20/$B56,0)</f>
        <v>3.7951704775345987E-16</v>
      </c>
      <c r="AN56" s="60" t="str">
        <f>IFERROR(AN20/$B56,".")</f>
        <v>.</v>
      </c>
      <c r="AO56" s="60" t="str">
        <f>IFERROR(AO20/$B56,".")</f>
        <v>.</v>
      </c>
      <c r="AP56" s="189">
        <f t="shared" ref="AP56" si="175">IFERROR(AP20/$B56,0)</f>
        <v>0</v>
      </c>
      <c r="AQ56" s="189">
        <f t="shared" ref="AQ56" si="176">IFERROR(AQ20/$B56,0)</f>
        <v>0</v>
      </c>
    </row>
    <row r="57" spans="1:43" x14ac:dyDescent="0.25">
      <c r="A57" s="77" t="s">
        <v>1078</v>
      </c>
      <c r="B57" s="42">
        <v>2.0999995799999999E-4</v>
      </c>
      <c r="C57" s="238"/>
      <c r="D57" s="60" t="str">
        <f>IFERROR(D29/$B57,".")</f>
        <v>.</v>
      </c>
      <c r="E57" s="60" t="str">
        <f>IFERROR(E29/$B57,".")</f>
        <v>.</v>
      </c>
      <c r="F57" s="60">
        <f>IFERROR(F29/$B57,".")</f>
        <v>359196.86088502826</v>
      </c>
      <c r="G57" s="60" t="str">
        <f>IFERROR(G29/$B57,".")</f>
        <v>.</v>
      </c>
      <c r="H57" s="60" t="str">
        <f>IFERROR(H29/$B57,".")</f>
        <v>.</v>
      </c>
      <c r="I57" s="233">
        <f t="shared" si="52"/>
        <v>0</v>
      </c>
      <c r="J57" s="233">
        <f t="shared" si="53"/>
        <v>0</v>
      </c>
      <c r="K57" s="233">
        <f t="shared" si="54"/>
        <v>2.7839886950461964E-6</v>
      </c>
      <c r="L57" s="233">
        <f t="shared" si="8"/>
        <v>0</v>
      </c>
      <c r="M57" s="233">
        <f t="shared" si="9"/>
        <v>0</v>
      </c>
      <c r="N57" s="60">
        <f t="shared" ref="N57:AE57" si="177">IFERROR(N29/$B57,".")</f>
        <v>359196.86088502826</v>
      </c>
      <c r="O57" s="189">
        <f>IFERROR(O29/$B57,0)</f>
        <v>5.223936081821078E-10</v>
      </c>
      <c r="P57" s="60">
        <f t="shared" si="177"/>
        <v>359196.86088502826</v>
      </c>
      <c r="Q57" s="60">
        <f t="shared" si="177"/>
        <v>4111397.1455948153</v>
      </c>
      <c r="R57" s="60">
        <f t="shared" si="177"/>
        <v>963512.67594716989</v>
      </c>
      <c r="S57" s="60">
        <f t="shared" si="177"/>
        <v>466360.78201086511</v>
      </c>
      <c r="T57" s="60">
        <f t="shared" si="177"/>
        <v>5882858.9721843991</v>
      </c>
      <c r="U57" s="189">
        <f t="shared" ref="U57:Y57" si="178">IFERROR(U29/$B57,0)</f>
        <v>5.223936081821078E-10</v>
      </c>
      <c r="V57" s="189">
        <f t="shared" si="178"/>
        <v>5.9793606889130122E-9</v>
      </c>
      <c r="W57" s="189">
        <f t="shared" si="178"/>
        <v>1.4012730013204286E-9</v>
      </c>
      <c r="X57" s="189">
        <f t="shared" si="178"/>
        <v>6.7824616013908976E-10</v>
      </c>
      <c r="Y57" s="189">
        <f t="shared" si="178"/>
        <v>8.5556647609165891E-12</v>
      </c>
      <c r="Z57" s="60" t="str">
        <f t="shared" si="177"/>
        <v>.</v>
      </c>
      <c r="AA57" s="60">
        <f t="shared" si="177"/>
        <v>36086437.706334196</v>
      </c>
      <c r="AB57" s="60">
        <f t="shared" si="177"/>
        <v>0</v>
      </c>
      <c r="AC57" s="189">
        <f t="shared" ref="AC57" si="179">IFERROR(AC29/$B57,0)</f>
        <v>0</v>
      </c>
      <c r="AD57" s="60" t="str">
        <f t="shared" si="177"/>
        <v>.</v>
      </c>
      <c r="AE57" s="60">
        <f t="shared" si="177"/>
        <v>16713718.516617946</v>
      </c>
      <c r="AF57" s="60" t="str">
        <f>IFERROR(AF29/$B57,".")</f>
        <v>.</v>
      </c>
      <c r="AG57" s="60" t="str">
        <f>IFERROR(AG29/$B57,".")</f>
        <v>.</v>
      </c>
      <c r="AH57" s="233">
        <f t="shared" si="49"/>
        <v>0</v>
      </c>
      <c r="AI57" s="233">
        <f t="shared" si="50"/>
        <v>5.983109019131381E-8</v>
      </c>
      <c r="AJ57" s="233">
        <f t="shared" si="12"/>
        <v>0</v>
      </c>
      <c r="AK57" s="233">
        <f t="shared" si="13"/>
        <v>0</v>
      </c>
      <c r="AL57" s="60">
        <f>IFERROR(AL29/$B57,".")</f>
        <v>16713718.516617946</v>
      </c>
      <c r="AM57" s="189">
        <f t="shared" ref="AM57" si="180">IFERROR(AM29/$B57,0)</f>
        <v>2.4307394281017442E-11</v>
      </c>
      <c r="AN57" s="60" t="str">
        <f>IFERROR(AN29/$B57,".")</f>
        <v>.</v>
      </c>
      <c r="AO57" s="60" t="str">
        <f>IFERROR(AO29/$B57,".")</f>
        <v>.</v>
      </c>
      <c r="AP57" s="189">
        <f t="shared" ref="AP57" si="181">IFERROR(AP29/$B57,0)</f>
        <v>0</v>
      </c>
      <c r="AQ57" s="189">
        <f t="shared" ref="AQ57" si="182">IFERROR(AQ29/$B57,0)</f>
        <v>0</v>
      </c>
    </row>
    <row r="58" spans="1:43" x14ac:dyDescent="0.25">
      <c r="A58" s="77" t="s">
        <v>1079</v>
      </c>
      <c r="B58" s="42">
        <v>1</v>
      </c>
      <c r="C58" s="238"/>
      <c r="D58" s="60">
        <f>IFERROR(D16/$B58,".")</f>
        <v>28.723127718823555</v>
      </c>
      <c r="E58" s="60">
        <f>IFERROR(E16/$B58,".")</f>
        <v>1101506.8484777689</v>
      </c>
      <c r="F58" s="60">
        <f>IFERROR(F16/$B58,".")</f>
        <v>424389.81852006185</v>
      </c>
      <c r="G58" s="60">
        <f>IFERROR(G16/$B58,".")</f>
        <v>3997.2194514484781</v>
      </c>
      <c r="H58" s="60" t="str">
        <f>IFERROR(H16/$B58,".")</f>
        <v>.</v>
      </c>
      <c r="I58" s="233">
        <f t="shared" si="52"/>
        <v>3.4815150000000003E-2</v>
      </c>
      <c r="J58" s="233">
        <f t="shared" si="53"/>
        <v>9.0784728336637522E-7</v>
      </c>
      <c r="K58" s="233">
        <f t="shared" si="54"/>
        <v>2.3563242009132408E-6</v>
      </c>
      <c r="L58" s="233">
        <f t="shared" si="8"/>
        <v>2.5017390517241393E-4</v>
      </c>
      <c r="M58" s="233">
        <f t="shared" si="9"/>
        <v>0</v>
      </c>
      <c r="N58" s="60">
        <f t="shared" ref="N58:AE58" si="183">IFERROR(N16/$B58,".")</f>
        <v>28.515547812021754</v>
      </c>
      <c r="O58" s="189">
        <f>IFERROR(O16/$B58,0)</f>
        <v>3.7223055491900723E-7</v>
      </c>
      <c r="P58" s="60">
        <f t="shared" si="183"/>
        <v>424389.81852006185</v>
      </c>
      <c r="Q58" s="60">
        <f t="shared" si="183"/>
        <v>583530.77192898234</v>
      </c>
      <c r="R58" s="60">
        <f t="shared" si="183"/>
        <v>412386.87415787758</v>
      </c>
      <c r="S58" s="60">
        <f t="shared" si="183"/>
        <v>384036.10056251351</v>
      </c>
      <c r="T58" s="60">
        <f t="shared" si="183"/>
        <v>364037.26028066827</v>
      </c>
      <c r="U58" s="189">
        <f t="shared" ref="U58:Y58" si="184">IFERROR(U16/$B58,0)</f>
        <v>5.53981493503348E-3</v>
      </c>
      <c r="V58" s="189">
        <f t="shared" si="184"/>
        <v>7.6171772844521642E-3</v>
      </c>
      <c r="W58" s="189">
        <f t="shared" si="184"/>
        <v>5.3831333005072719E-3</v>
      </c>
      <c r="X58" s="189">
        <f t="shared" si="184"/>
        <v>5.0130536423028263E-3</v>
      </c>
      <c r="Y58" s="189">
        <f t="shared" si="184"/>
        <v>4.7519967807997314E-6</v>
      </c>
      <c r="Z58" s="60">
        <f t="shared" si="183"/>
        <v>0.81032208530311234</v>
      </c>
      <c r="AA58" s="60">
        <f t="shared" si="183"/>
        <v>21238128.517120451</v>
      </c>
      <c r="AB58" s="60">
        <f t="shared" si="183"/>
        <v>0.81032205438598814</v>
      </c>
      <c r="AC58" s="189">
        <f t="shared" ref="AC58" si="185">IFERROR(AC16/$B58,0)</f>
        <v>1.0577619969132935E-11</v>
      </c>
      <c r="AD58" s="60">
        <f t="shared" si="183"/>
        <v>31.459881651071214</v>
      </c>
      <c r="AE58" s="60">
        <f t="shared" si="183"/>
        <v>9177209.661985077</v>
      </c>
      <c r="AF58" s="60">
        <f>IFERROR(AF16/$B58,".")</f>
        <v>5047063.8705932824</v>
      </c>
      <c r="AG58" s="60" t="str">
        <f>IFERROR(AG16/$B58,".")</f>
        <v>.</v>
      </c>
      <c r="AH58" s="233">
        <f t="shared" si="49"/>
        <v>3.1786515000000001E-2</v>
      </c>
      <c r="AI58" s="233">
        <f t="shared" si="50"/>
        <v>1.0896558287671232E-7</v>
      </c>
      <c r="AJ58" s="233">
        <f t="shared" si="12"/>
        <v>1.9813499999999999E-7</v>
      </c>
      <c r="AK58" s="233">
        <f t="shared" si="13"/>
        <v>0</v>
      </c>
      <c r="AL58" s="60">
        <f>IFERROR(AL16/$B58,".")</f>
        <v>31.459577709143282</v>
      </c>
      <c r="AM58" s="189">
        <f t="shared" ref="AM58" si="186">IFERROR(AM16/$B58,0)</f>
        <v>4.1066074358407272E-10</v>
      </c>
      <c r="AN58" s="60">
        <f>IFERROR(AN16/$B58,".")</f>
        <v>3.5329447094152973</v>
      </c>
      <c r="AO58" s="60">
        <f>IFERROR(AO16/$B58,".")</f>
        <v>3.5329447094152973</v>
      </c>
      <c r="AP58" s="189">
        <f t="shared" ref="AP58" si="187">IFERROR(AP16/$B58,0)</f>
        <v>4.6117647058823533E-8</v>
      </c>
      <c r="AQ58" s="189">
        <f t="shared" ref="AQ58" si="188">IFERROR(AQ16/$B58,0)</f>
        <v>4.6117647058823533E-8</v>
      </c>
    </row>
    <row r="59" spans="1:43" x14ac:dyDescent="0.25">
      <c r="A59" s="77" t="s">
        <v>1080</v>
      </c>
      <c r="B59" s="42">
        <v>1</v>
      </c>
      <c r="C59" s="238"/>
      <c r="D59" s="60">
        <f>IFERROR(D7/$B59,".")</f>
        <v>16276.439040666684</v>
      </c>
      <c r="E59" s="60">
        <f>IFERROR(E7/$B59,".")</f>
        <v>45493741.755622923</v>
      </c>
      <c r="F59" s="60">
        <f>IFERROR(F7/$B59,".")</f>
        <v>285741.5723392049</v>
      </c>
      <c r="G59" s="60">
        <f>IFERROR(G7/$B59,".")</f>
        <v>572000.57200057199</v>
      </c>
      <c r="H59" s="60" t="str">
        <f>IFERROR(H7/$B59,".")</f>
        <v>.</v>
      </c>
      <c r="I59" s="233">
        <f t="shared" si="52"/>
        <v>6.1438499999999998E-5</v>
      </c>
      <c r="J59" s="233">
        <f t="shared" si="53"/>
        <v>2.1981045335238936E-8</v>
      </c>
      <c r="K59" s="233">
        <f t="shared" si="54"/>
        <v>3.4996657707646974E-6</v>
      </c>
      <c r="L59" s="233">
        <f t="shared" si="8"/>
        <v>1.7482499999999999E-6</v>
      </c>
      <c r="M59" s="233">
        <f t="shared" si="9"/>
        <v>0</v>
      </c>
      <c r="N59" s="60">
        <f t="shared" ref="N59:AE59" si="189">IFERROR(N7/$B59,".")</f>
        <v>14990.616589944073</v>
      </c>
      <c r="O59" s="189">
        <f>IFERROR(O7/$B59,0)</f>
        <v>1.2106027684287457E-7</v>
      </c>
      <c r="P59" s="60">
        <f t="shared" si="189"/>
        <v>285741.5723392049</v>
      </c>
      <c r="Q59" s="60">
        <f t="shared" si="189"/>
        <v>744366.26899153669</v>
      </c>
      <c r="R59" s="60">
        <f t="shared" si="189"/>
        <v>357504.00070870714</v>
      </c>
      <c r="S59" s="60">
        <f t="shared" si="189"/>
        <v>262674.15254818671</v>
      </c>
      <c r="T59" s="60">
        <f t="shared" si="189"/>
        <v>74518.376513113224</v>
      </c>
      <c r="U59" s="189">
        <f t="shared" ref="U59:Y59" si="190">IFERROR(U7/$B59,0)</f>
        <v>2.3075737842636313E-6</v>
      </c>
      <c r="V59" s="189">
        <f t="shared" si="190"/>
        <v>6.0113062098501224E-6</v>
      </c>
      <c r="W59" s="189">
        <f t="shared" si="190"/>
        <v>2.8871082812740246E-6</v>
      </c>
      <c r="X59" s="189">
        <f t="shared" si="190"/>
        <v>2.1212873690787649E-6</v>
      </c>
      <c r="Y59" s="189">
        <f t="shared" si="190"/>
        <v>6.0179080936608128E-10</v>
      </c>
      <c r="Z59" s="60">
        <f t="shared" si="189"/>
        <v>33.467412153272377</v>
      </c>
      <c r="AA59" s="60">
        <f t="shared" si="189"/>
        <v>3877193.2292882688</v>
      </c>
      <c r="AB59" s="60">
        <f t="shared" si="189"/>
        <v>33.467123269551138</v>
      </c>
      <c r="AC59" s="189">
        <f t="shared" ref="AC59" si="191">IFERROR(AC7/$B59,0)</f>
        <v>2.7027168521302204E-13</v>
      </c>
      <c r="AD59" s="60">
        <f t="shared" si="189"/>
        <v>17827.266268940359</v>
      </c>
      <c r="AE59" s="60">
        <f t="shared" si="189"/>
        <v>3356764.6079072929</v>
      </c>
      <c r="AF59" s="60">
        <f>IFERROR(AF7/$B59,".")</f>
        <v>1001001001.0010011</v>
      </c>
      <c r="AG59" s="60" t="str">
        <f>IFERROR(AG7/$B59,".")</f>
        <v>.</v>
      </c>
      <c r="AH59" s="233">
        <f t="shared" si="49"/>
        <v>5.6093849999999991E-5</v>
      </c>
      <c r="AI59" s="233">
        <f t="shared" si="50"/>
        <v>2.9790590547945206E-7</v>
      </c>
      <c r="AJ59" s="233">
        <f t="shared" si="12"/>
        <v>9.9899999999999996E-10</v>
      </c>
      <c r="AK59" s="233">
        <f t="shared" si="13"/>
        <v>0</v>
      </c>
      <c r="AL59" s="60">
        <f>IFERROR(AL7/$B59,".")</f>
        <v>17732.774390542043</v>
      </c>
      <c r="AM59" s="189">
        <f t="shared" ref="AM59" si="192">IFERROR(AM7/$B59,0)</f>
        <v>1.4320522201543848E-10</v>
      </c>
      <c r="AN59" s="60">
        <f>IFERROR(AN7/$B59,".")</f>
        <v>2002.0020020020022</v>
      </c>
      <c r="AO59" s="60">
        <f>IFERROR(AO7/$B59,".")</f>
        <v>2002.0020020020022</v>
      </c>
      <c r="AP59" s="189">
        <f t="shared" ref="AP59" si="193">IFERROR(AP7/$B59,0)</f>
        <v>1.6167641614217002E-8</v>
      </c>
      <c r="AQ59" s="189">
        <f t="shared" ref="AQ59" si="194">IFERROR(AQ7/$B59,0)</f>
        <v>1.6167641614217002E-8</v>
      </c>
    </row>
    <row r="60" spans="1:43" x14ac:dyDescent="0.25">
      <c r="A60" s="77" t="s">
        <v>1081</v>
      </c>
      <c r="B60" s="80">
        <v>1.9000000000000001E-8</v>
      </c>
      <c r="C60" s="241"/>
      <c r="D60" s="60" t="str">
        <f>IFERROR(D12/$B60,".")</f>
        <v>.</v>
      </c>
      <c r="E60" s="60" t="str">
        <f>IFERROR(E12/$B60,".")</f>
        <v>.</v>
      </c>
      <c r="F60" s="60">
        <f>IFERROR(F12/$B60,".")</f>
        <v>127129800804.11568</v>
      </c>
      <c r="G60" s="60" t="str">
        <f>IFERROR(G12/$B60,".")</f>
        <v>.</v>
      </c>
      <c r="H60" s="60" t="str">
        <f>IFERROR(H12/$B60,".")</f>
        <v>.</v>
      </c>
      <c r="I60" s="233">
        <f t="shared" si="52"/>
        <v>0</v>
      </c>
      <c r="J60" s="233">
        <f t="shared" si="53"/>
        <v>0</v>
      </c>
      <c r="K60" s="233">
        <f t="shared" si="54"/>
        <v>7.8659762988287961E-12</v>
      </c>
      <c r="L60" s="233">
        <f t="shared" si="8"/>
        <v>0</v>
      </c>
      <c r="M60" s="233">
        <f t="shared" si="9"/>
        <v>0</v>
      </c>
      <c r="N60" s="60">
        <f t="shared" ref="N60:AE60" si="195">IFERROR(N12/$B60,".")</f>
        <v>127129800804.11568</v>
      </c>
      <c r="O60" s="189">
        <f>IFERROR(O12/$B60,0)</f>
        <v>1.137037715365457E-3</v>
      </c>
      <c r="P60" s="60">
        <f t="shared" si="195"/>
        <v>127129800804.11568</v>
      </c>
      <c r="Q60" s="60">
        <f t="shared" si="195"/>
        <v>890522555932.92004</v>
      </c>
      <c r="R60" s="60">
        <f t="shared" si="195"/>
        <v>221706563718.37573</v>
      </c>
      <c r="S60" s="60">
        <f t="shared" si="195"/>
        <v>127524929357.7843</v>
      </c>
      <c r="T60" s="60">
        <f t="shared" si="195"/>
        <v>932375606406.24182</v>
      </c>
      <c r="U60" s="189">
        <f t="shared" ref="U60:Y60" si="196">IFERROR(U12/$B60,0)</f>
        <v>1.137037715365457E-3</v>
      </c>
      <c r="V60" s="189">
        <f t="shared" si="196"/>
        <v>7.9647551248785923E-3</v>
      </c>
      <c r="W60" s="189">
        <f t="shared" si="196"/>
        <v>1.9829239336282122E-3</v>
      </c>
      <c r="X60" s="189">
        <f t="shared" si="196"/>
        <v>1.1405717102674965E-3</v>
      </c>
      <c r="Y60" s="189">
        <f t="shared" si="196"/>
        <v>8.3390851135221391E-6</v>
      </c>
      <c r="Z60" s="60" t="str">
        <f t="shared" si="195"/>
        <v>.</v>
      </c>
      <c r="AA60" s="60">
        <f t="shared" si="195"/>
        <v>9469101222608.6094</v>
      </c>
      <c r="AB60" s="60">
        <f t="shared" si="195"/>
        <v>0</v>
      </c>
      <c r="AC60" s="189">
        <f t="shared" ref="AC60" si="197">IFERROR(AC12/$B60,0)</f>
        <v>0</v>
      </c>
      <c r="AD60" s="60" t="str">
        <f t="shared" si="195"/>
        <v>.</v>
      </c>
      <c r="AE60" s="60">
        <f t="shared" si="195"/>
        <v>4424218722496.1221</v>
      </c>
      <c r="AF60" s="60" t="str">
        <f>IFERROR(AF12/$B60,".")</f>
        <v>.</v>
      </c>
      <c r="AG60" s="60" t="str">
        <f>IFERROR(AG12/$B60,".")</f>
        <v>.</v>
      </c>
      <c r="AH60" s="233">
        <f t="shared" si="49"/>
        <v>0</v>
      </c>
      <c r="AI60" s="233">
        <f t="shared" si="50"/>
        <v>2.2602860815068497E-13</v>
      </c>
      <c r="AJ60" s="233">
        <f t="shared" si="12"/>
        <v>0</v>
      </c>
      <c r="AK60" s="233">
        <f t="shared" si="13"/>
        <v>0</v>
      </c>
      <c r="AL60" s="60">
        <f>IFERROR(AL12/$B60,".")</f>
        <v>4424218722496.1221</v>
      </c>
      <c r="AM60" s="189">
        <f t="shared" ref="AM60" si="198">IFERROR(AM12/$B60,0)</f>
        <v>3.9569821683707186E-5</v>
      </c>
      <c r="AN60" s="60" t="str">
        <f>IFERROR(AN12/$B60,".")</f>
        <v>.</v>
      </c>
      <c r="AO60" s="60" t="str">
        <f>IFERROR(AO12/$B60,".")</f>
        <v>.</v>
      </c>
      <c r="AP60" s="189">
        <f t="shared" ref="AP60" si="199">IFERROR(AP12/$B60,0)</f>
        <v>0</v>
      </c>
      <c r="AQ60" s="189">
        <f t="shared" ref="AQ60" si="200">IFERROR(AQ12/$B60,0)</f>
        <v>0</v>
      </c>
    </row>
    <row r="61" spans="1:43" x14ac:dyDescent="0.25">
      <c r="A61" s="77" t="s">
        <v>1082</v>
      </c>
      <c r="B61" s="42">
        <v>1</v>
      </c>
      <c r="C61" s="238"/>
      <c r="D61" s="60">
        <f>IFERROR(D18/$B61,".")</f>
        <v>16.741480156114303</v>
      </c>
      <c r="E61" s="60">
        <f>IFERROR(E18/$B61,".")</f>
        <v>1419249.2086155869</v>
      </c>
      <c r="F61" s="60">
        <f>IFERROR(F18/$B61,".")</f>
        <v>22013393.949983113</v>
      </c>
      <c r="G61" s="60">
        <f>IFERROR(G18/$B61,".")</f>
        <v>548.9993906343401</v>
      </c>
      <c r="H61" s="60">
        <f>IFERROR(H18/$B61,".")</f>
        <v>0.68624923829292517</v>
      </c>
      <c r="I61" s="233">
        <f t="shared" si="52"/>
        <v>5.9731874999999997E-2</v>
      </c>
      <c r="J61" s="233">
        <f t="shared" si="53"/>
        <v>7.0459789156793302E-7</v>
      </c>
      <c r="K61" s="233">
        <f t="shared" si="54"/>
        <v>4.5426888841952838E-8</v>
      </c>
      <c r="L61" s="233">
        <f t="shared" si="8"/>
        <v>1.8214956465517243E-3</v>
      </c>
      <c r="M61" s="233">
        <f t="shared" si="9"/>
        <v>1.4571965172413794</v>
      </c>
      <c r="N61" s="60">
        <f t="shared" ref="N61:AE61" si="201">IFERROR(N18/$B61,".")</f>
        <v>0.65843593743232642</v>
      </c>
      <c r="O61" s="189">
        <f>IFERROR(O18/$B61,0)</f>
        <v>1.4677725477135258E-10</v>
      </c>
      <c r="P61" s="60">
        <f t="shared" si="201"/>
        <v>22013393.949983113</v>
      </c>
      <c r="Q61" s="60">
        <f t="shared" si="201"/>
        <v>235931170.18229866</v>
      </c>
      <c r="R61" s="60">
        <f t="shared" si="201"/>
        <v>54987056.644858643</v>
      </c>
      <c r="S61" s="60">
        <f t="shared" si="201"/>
        <v>27113793.961003933</v>
      </c>
      <c r="T61" s="60">
        <f t="shared" si="201"/>
        <v>362246929.09492135</v>
      </c>
      <c r="U61" s="189">
        <f t="shared" ref="U61:Y61" si="202">IFERROR(U18/$B61,0)</f>
        <v>4.9071828381343626E-3</v>
      </c>
      <c r="V61" s="189">
        <f t="shared" si="202"/>
        <v>5.2593316229659431E-2</v>
      </c>
      <c r="W61" s="189">
        <f t="shared" si="202"/>
        <v>1.2257607404849054E-2</v>
      </c>
      <c r="X61" s="189">
        <f t="shared" si="202"/>
        <v>6.044154059317677E-3</v>
      </c>
      <c r="Y61" s="189">
        <f t="shared" si="202"/>
        <v>8.0751378804213731E-5</v>
      </c>
      <c r="Z61" s="60">
        <f t="shared" si="201"/>
        <v>1.04406884067901</v>
      </c>
      <c r="AA61" s="60">
        <f t="shared" si="201"/>
        <v>2247900793.609828</v>
      </c>
      <c r="AB61" s="60">
        <f t="shared" si="201"/>
        <v>1.0440688401940776</v>
      </c>
      <c r="AC61" s="189">
        <f t="shared" ref="AC61" si="203">IFERROR(AC18/$B61,0)</f>
        <v>2.3274178920670958E-13</v>
      </c>
      <c r="AD61" s="60">
        <f t="shared" si="201"/>
        <v>18.336616733767226</v>
      </c>
      <c r="AE61" s="60">
        <f t="shared" si="201"/>
        <v>1036596739.0221485</v>
      </c>
      <c r="AF61" s="60">
        <f>IFERROR(AF18/$B61,".")</f>
        <v>686400.68640068639</v>
      </c>
      <c r="AG61" s="60">
        <f>IFERROR(AG18/$B61,".")</f>
        <v>858.0008580008581</v>
      </c>
      <c r="AH61" s="233">
        <f t="shared" si="49"/>
        <v>5.4535687499999992E-2</v>
      </c>
      <c r="AI61" s="233">
        <f t="shared" si="50"/>
        <v>9.6469529794520554E-10</v>
      </c>
      <c r="AJ61" s="233">
        <f t="shared" si="12"/>
        <v>1.4568749999999999E-6</v>
      </c>
      <c r="AK61" s="233">
        <f t="shared" si="13"/>
        <v>1.1654999999999999E-3</v>
      </c>
      <c r="AL61" s="60">
        <f>IFERROR(AL18/$B61,".")</f>
        <v>17.952468754430441</v>
      </c>
      <c r="AM61" s="189">
        <f t="shared" ref="AM61" si="204">IFERROR(AM18/$B61,0)</f>
        <v>4.0019293151273487E-12</v>
      </c>
      <c r="AN61" s="60">
        <f>IFERROR(AN18/$B61,".")</f>
        <v>2.0592020592020592</v>
      </c>
      <c r="AO61" s="60">
        <f>IFERROR(AO18/$B61,".")</f>
        <v>2.0592020592020592</v>
      </c>
      <c r="AP61" s="189">
        <f t="shared" ref="AP61" si="205">IFERROR(AP18/$B61,0)</f>
        <v>4.5903330618289485E-10</v>
      </c>
      <c r="AQ61" s="189">
        <f t="shared" ref="AQ61" si="206">IFERROR(AQ18/$B61,0)</f>
        <v>4.5903330618289485E-10</v>
      </c>
    </row>
    <row r="62" spans="1:43" x14ac:dyDescent="0.25">
      <c r="A62" s="77" t="s">
        <v>1083</v>
      </c>
      <c r="B62" s="42">
        <v>1.339E-6</v>
      </c>
      <c r="C62" s="238"/>
      <c r="D62" s="60" t="str">
        <f>IFERROR(D27/$B62,".")</f>
        <v>.</v>
      </c>
      <c r="E62" s="60" t="str">
        <f>IFERROR(E27/$B62,".")</f>
        <v>.</v>
      </c>
      <c r="F62" s="60">
        <f>IFERROR(F27/$B62,".")</f>
        <v>74534671660.443451</v>
      </c>
      <c r="G62" s="60" t="str">
        <f>IFERROR(G27/$B62,".")</f>
        <v>.</v>
      </c>
      <c r="H62" s="60" t="str">
        <f>IFERROR(H27/$B62,".")</f>
        <v>.</v>
      </c>
      <c r="I62" s="233">
        <f t="shared" si="52"/>
        <v>0</v>
      </c>
      <c r="J62" s="233">
        <f t="shared" si="53"/>
        <v>0</v>
      </c>
      <c r="K62" s="233">
        <f t="shared" si="54"/>
        <v>1.3416574833195562E-11</v>
      </c>
      <c r="L62" s="233">
        <f t="shared" si="8"/>
        <v>0</v>
      </c>
      <c r="M62" s="233">
        <f t="shared" si="9"/>
        <v>0</v>
      </c>
      <c r="N62" s="60">
        <f t="shared" ref="N62:AE62" si="207">IFERROR(N27/$B62,".")</f>
        <v>74534671660.443451</v>
      </c>
      <c r="O62" s="189">
        <f>IFERROR(O27/$B62,0)</f>
        <v>3.4354017157101215E-4</v>
      </c>
      <c r="P62" s="60">
        <f t="shared" si="207"/>
        <v>74534671660.443451</v>
      </c>
      <c r="Q62" s="60">
        <f t="shared" si="207"/>
        <v>192930553428.26318</v>
      </c>
      <c r="R62" s="60">
        <f t="shared" si="207"/>
        <v>109394025732.5824</v>
      </c>
      <c r="S62" s="60">
        <f t="shared" si="207"/>
        <v>82316347187.721207</v>
      </c>
      <c r="T62" s="60">
        <f t="shared" si="207"/>
        <v>18027630258.500164</v>
      </c>
      <c r="U62" s="189">
        <f t="shared" ref="U62:Y62" si="208">IFERROR(U27/$B62,0)</f>
        <v>3.4354017157101215E-4</v>
      </c>
      <c r="V62" s="189">
        <f t="shared" si="208"/>
        <v>8.8924246863236972E-4</v>
      </c>
      <c r="W62" s="189">
        <f t="shared" si="208"/>
        <v>5.0421155056835042E-4</v>
      </c>
      <c r="X62" s="189">
        <f t="shared" si="208"/>
        <v>3.7940694452641926E-4</v>
      </c>
      <c r="Y62" s="189">
        <f t="shared" si="208"/>
        <v>8.309173508187249E-8</v>
      </c>
      <c r="Z62" s="60" t="str">
        <f t="shared" si="207"/>
        <v>.</v>
      </c>
      <c r="AA62" s="60">
        <f t="shared" si="207"/>
        <v>1881767951865.2278</v>
      </c>
      <c r="AB62" s="60">
        <f t="shared" si="207"/>
        <v>0</v>
      </c>
      <c r="AC62" s="189">
        <f t="shared" ref="AC62" si="209">IFERROR(AC27/$B62,0)</f>
        <v>0</v>
      </c>
      <c r="AD62" s="60" t="str">
        <f t="shared" si="207"/>
        <v>.</v>
      </c>
      <c r="AE62" s="60">
        <f t="shared" si="207"/>
        <v>1572761846085.2537</v>
      </c>
      <c r="AF62" s="60" t="str">
        <f>IFERROR(AF27/$B62,".")</f>
        <v>.</v>
      </c>
      <c r="AG62" s="60" t="str">
        <f>IFERROR(AG27/$B62,".")</f>
        <v>.</v>
      </c>
      <c r="AH62" s="233">
        <f t="shared" si="49"/>
        <v>0</v>
      </c>
      <c r="AI62" s="233">
        <f t="shared" si="50"/>
        <v>6.358241729280821E-13</v>
      </c>
      <c r="AJ62" s="233">
        <f t="shared" si="12"/>
        <v>0</v>
      </c>
      <c r="AK62" s="233">
        <f t="shared" si="13"/>
        <v>0</v>
      </c>
      <c r="AL62" s="60">
        <f>IFERROR(AL27/$B62,".")</f>
        <v>1572761846085.2537</v>
      </c>
      <c r="AM62" s="189">
        <f t="shared" ref="AM62" si="210">IFERROR(AM27/$B62,0)</f>
        <v>7.2490676138742269E-6</v>
      </c>
      <c r="AN62" s="60" t="str">
        <f>IFERROR(AN27/$B62,".")</f>
        <v>.</v>
      </c>
      <c r="AO62" s="60" t="str">
        <f>IFERROR(AO27/$B62,".")</f>
        <v>.</v>
      </c>
      <c r="AP62" s="189">
        <f t="shared" ref="AP62" si="211">IFERROR(AP27/$B62,0)</f>
        <v>0</v>
      </c>
      <c r="AQ62" s="189">
        <f t="shared" ref="AQ62" si="212">IFERROR(AQ27/$B62,0)</f>
        <v>0</v>
      </c>
    </row>
    <row r="63" spans="1:43" x14ac:dyDescent="0.25">
      <c r="A63" s="76" t="s">
        <v>23</v>
      </c>
      <c r="B63" s="57" t="s">
        <v>1185</v>
      </c>
      <c r="C63" s="57"/>
      <c r="D63" s="58">
        <f>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10.568552145896737</v>
      </c>
      <c r="E63" s="58">
        <f>IFERROR(1/SUM(IFERROR(1/SUMIF(E64,"&lt;&gt;.",E64),0),IFERROR(1/SUMIF(E65,"&lt;&gt;.",E65),0),IFERROR(1/SUMIF(E66,"&lt;&gt;.",E66),0),IFERROR(1/SUMIF(E67,"&lt;&gt;.",E67),0),IFERROR(1/SUMIF(E68,"&lt;&gt;.",E68),0),IFERROR(1/SUMIF(E69,"&lt;&gt;.",E69),0),IFERROR(1/SUMIF(E70,"&lt;&gt;.",E70),0),IFERROR(1/SUMIF(E71,"&lt;&gt;.",E71),0),IFERROR(1/SUMIF(E72,"&lt;&gt;.",E72),0),IFERROR(1/SUMIF(E73,"&lt;&gt;.",E73),0),IFERROR(1/SUMIF(E74,"&lt;&gt;.",E74),0),IFERROR(1/SUMIF(E75,"&lt;&gt;.",E75),0),IFERROR(1/SUMIF(E76,"&lt;&gt;.",E76),0)),".")</f>
        <v>610356.07705170941</v>
      </c>
      <c r="F63" s="58">
        <f>IFERROR(1/SUM(IFERROR(1/SUMIF(F64,"&lt;&gt;.",F64),0),IFERROR(1/SUMIF(F65,"&lt;&gt;.",F65),0),IFERROR(1/SUMIF(F66,"&lt;&gt;.",F66),0),IFERROR(1/SUMIF(F67,"&lt;&gt;.",F67),0),IFERROR(1/SUMIF(F68,"&lt;&gt;.",F68),0),IFERROR(1/SUMIF(F69,"&lt;&gt;.",F69),0),IFERROR(1/SUMIF(F70,"&lt;&gt;.",F70),0),IFERROR(1/SUMIF(F71,"&lt;&gt;.",F71),0),IFERROR(1/SUMIF(F72,"&lt;&gt;.",F72),0),IFERROR(1/SUMIF(F73,"&lt;&gt;.",F73),0),IFERROR(1/SUMIF(F74,"&lt;&gt;.",F74),0),IFERROR(1/SUMIF(F75,"&lt;&gt;.",F75),0),IFERROR(1/SUMIF(F76,"&lt;&gt;.",F76),0)),".")</f>
        <v>121.80364216373216</v>
      </c>
      <c r="G63" s="58">
        <f>IFERROR(1/SUM(IFERROR(1/SUMIF(G64,"&lt;&gt;.",G64),0),IFERROR(1/SUMIF(G65,"&lt;&gt;.",G65),0),IFERROR(1/SUMIF(G66,"&lt;&gt;.",G66),0),IFERROR(1/SUMIF(G67,"&lt;&gt;.",G67),0),IFERROR(1/SUMIF(G68,"&lt;&gt;.",G68),0),IFERROR(1/SUMIF(G69,"&lt;&gt;.",G69),0),IFERROR(1/SUMIF(G70,"&lt;&gt;.",G70),0),IFERROR(1/SUMIF(G71,"&lt;&gt;.",G71),0),IFERROR(1/SUMIF(G72,"&lt;&gt;.",G72),0),IFERROR(1/SUMIF(G73,"&lt;&gt;.",G73),0),IFERROR(1/SUMIF(G74,"&lt;&gt;.",G74),0),IFERROR(1/SUMIF(G75,"&lt;&gt;.",G75),0),IFERROR(1/SUMIF(G76,"&lt;&gt;.",G76),0)),".")</f>
        <v>482.25045454955614</v>
      </c>
      <c r="H63" s="58">
        <f>IFERROR(1/SUM(IFERROR(1/SUMIF(H64,"&lt;&gt;.",H64),0),IFERROR(1/SUMIF(H65,"&lt;&gt;.",H65),0),IFERROR(1/SUMIF(H66,"&lt;&gt;.",H66),0),IFERROR(1/SUMIF(H67,"&lt;&gt;.",H67),0),IFERROR(1/SUMIF(H68,"&lt;&gt;.",H68),0),IFERROR(1/SUMIF(H69,"&lt;&gt;.",H69),0),IFERROR(1/SUMIF(H70,"&lt;&gt;.",H70),0),IFERROR(1/SUMIF(H71,"&lt;&gt;.",H71),0),IFERROR(1/SUMIF(H72,"&lt;&gt;.",H72),0),IFERROR(1/SUMIF(H73,"&lt;&gt;.",H73),0),IFERROR(1/SUMIF(H74,"&lt;&gt;.",H74),0),IFERROR(1/SUMIF(H75,"&lt;&gt;.",H75),0),IFERROR(1/SUMIF(H76,"&lt;&gt;.",H76),0)),".")</f>
        <v>0.68624923829292517</v>
      </c>
      <c r="I63" s="233">
        <f t="shared" si="52"/>
        <v>9.4620340250509347E-2</v>
      </c>
      <c r="J63" s="233">
        <f t="shared" si="53"/>
        <v>1.6383878814321692E-6</v>
      </c>
      <c r="K63" s="233">
        <f t="shared" si="54"/>
        <v>8.2099351237442438E-3</v>
      </c>
      <c r="L63" s="233">
        <f t="shared" si="8"/>
        <v>2.0736113166218693E-3</v>
      </c>
      <c r="M63" s="233">
        <f t="shared" si="9"/>
        <v>1.4571965172413794</v>
      </c>
      <c r="N63" s="59">
        <f t="shared" ref="N63:AE63" si="213">IFERROR(1/SUM(IFERROR(1/SUMIF(N64,"&lt;&gt;.",N64),0),IFERROR(1/SUMIF(N65,"&lt;&gt;.",N65),0),IFERROR(1/SUMIF(N66,"&lt;&gt;.",N66),0),IFERROR(1/SUMIF(N67,"&lt;&gt;.",N67),0),IFERROR(1/SUMIF(N68,"&lt;&gt;.",N68),0),IFERROR(1/SUMIF(N69,"&lt;&gt;.",N69),0),IFERROR(1/SUMIF(N70,"&lt;&gt;.",N70),0),IFERROR(1/SUMIF(N71,"&lt;&gt;.",N71),0),IFERROR(1/SUMIF(N72,"&lt;&gt;.",N72),0),IFERROR(1/SUMIF(N73,"&lt;&gt;.",N73),0),IFERROR(1/SUMIF(N74,"&lt;&gt;.",N74),0),IFERROR(1/SUMIF(N75,"&lt;&gt;.",N75),0),IFERROR(1/SUMIF(N76,"&lt;&gt;.",N76),0)),".")</f>
        <v>0.64016304499207644</v>
      </c>
      <c r="O63" s="190">
        <f>N63*(0.0000000000028)*RadSpec!$AY25*RadSpec!$AF25</f>
        <v>4.1684043041394702E-12</v>
      </c>
      <c r="P63" s="58">
        <f t="shared" si="213"/>
        <v>121.80364216373216</v>
      </c>
      <c r="Q63" s="58">
        <f t="shared" si="213"/>
        <v>1379.9448657954335</v>
      </c>
      <c r="R63" s="58">
        <f t="shared" si="213"/>
        <v>321.23245335687807</v>
      </c>
      <c r="S63" s="58">
        <f t="shared" si="213"/>
        <v>157.4247625407279</v>
      </c>
      <c r="T63" s="58">
        <f t="shared" si="213"/>
        <v>1894.5307647569866</v>
      </c>
      <c r="U63" s="190">
        <f>P63*(0.0000000000028)*RadSpec!$AY25*RadSpec!$AF25</f>
        <v>7.9312111223391429E-10</v>
      </c>
      <c r="V63" s="190">
        <f>Q63*(0.0000000000028)*RadSpec!$AY25*RadSpec!$AF25</f>
        <v>8.9854735649853796E-9</v>
      </c>
      <c r="W63" s="190">
        <f>R63*(0.0000000000028)*RadSpec!$AY25*RadSpec!$AF25</f>
        <v>2.0916964071530648E-9</v>
      </c>
      <c r="X63" s="190">
        <f>S63*(0.0000000000028)*RadSpec!$AY25*RadSpec!$AF25</f>
        <v>1.0250670714068262E-9</v>
      </c>
      <c r="Y63" s="190">
        <f>T63*(0.0000000000000028)*RadSpec!$AY25*RadSpec!$AF25</f>
        <v>1.2336185688812156E-11</v>
      </c>
      <c r="Z63" s="58">
        <f t="shared" si="213"/>
        <v>0.44900765693600697</v>
      </c>
      <c r="AA63" s="58">
        <f t="shared" si="213"/>
        <v>12117.383422029665</v>
      </c>
      <c r="AB63" s="59">
        <f t="shared" si="213"/>
        <v>0.44899102599956392</v>
      </c>
      <c r="AC63" s="190">
        <f>AB63*(0.0000000000000028)*RadSpec!$AY25*RadSpec!$AF25</f>
        <v>2.9235928876833937E-15</v>
      </c>
      <c r="AD63" s="58">
        <f t="shared" si="213"/>
        <v>11.575529064517353</v>
      </c>
      <c r="AE63" s="58">
        <f t="shared" si="213"/>
        <v>5600.5967962235673</v>
      </c>
      <c r="AF63" s="58">
        <f>IFERROR(1/SUM(IFERROR(1/SUMIF(AF64,"&lt;&gt;.",AF64),0),IFERROR(1/SUMIF(AF65,"&lt;&gt;.",AF65),0),IFERROR(1/SUMIF(AF66,"&lt;&gt;.",AF66),0),IFERROR(1/SUMIF(AF67,"&lt;&gt;.",AF67),0),IFERROR(1/SUMIF(AF68,"&lt;&gt;.",AF68),0),IFERROR(1/SUMIF(AF69,"&lt;&gt;.",AF69),0),IFERROR(1/SUMIF(AF70,"&lt;&gt;.",AF70),0),IFERROR(1/SUMIF(AF71,"&lt;&gt;.",AF71),0),IFERROR(1/SUMIF(AF72,"&lt;&gt;.",AF72),0),IFERROR(1/SUMIF(AF73,"&lt;&gt;.",AF73),0),IFERROR(1/SUMIF(AF74,"&lt;&gt;.",AF74),0),IFERROR(1/SUMIF(AF75,"&lt;&gt;.",AF75),0),IFERROR(1/SUMIF(AF76,"&lt;&gt;.",AF76),0)),".")</f>
        <v>603817.20812333713</v>
      </c>
      <c r="AG63" s="58">
        <f>IFERROR(1/SUM(IFERROR(1/SUMIF(AG64,"&lt;&gt;.",AG64),0),IFERROR(1/SUMIF(AG65,"&lt;&gt;.",AG65),0),IFERROR(1/SUMIF(AG66,"&lt;&gt;.",AG66),0),IFERROR(1/SUMIF(AG67,"&lt;&gt;.",AG67),0),IFERROR(1/SUMIF(AG68,"&lt;&gt;.",AG68),0),IFERROR(1/SUMIF(AG69,"&lt;&gt;.",AG69),0),IFERROR(1/SUMIF(AG70,"&lt;&gt;.",AG70),0),IFERROR(1/SUMIF(AG71,"&lt;&gt;.",AG71),0),IFERROR(1/SUMIF(AG72,"&lt;&gt;.",AG72),0),IFERROR(1/SUMIF(AG73,"&lt;&gt;.",AG73),0),IFERROR(1/SUMIF(AG74,"&lt;&gt;.",AG74),0),IFERROR(1/SUMIF(AG75,"&lt;&gt;.",AG75),0),IFERROR(1/SUMIF(AG76,"&lt;&gt;.",AG76),0)),".")</f>
        <v>858.0008580008581</v>
      </c>
      <c r="AH63" s="233">
        <f t="shared" si="49"/>
        <v>8.6389139919773983E-2</v>
      </c>
      <c r="AI63" s="233">
        <f t="shared" si="50"/>
        <v>1.7855240010748339E-4</v>
      </c>
      <c r="AJ63" s="233">
        <f t="shared" si="12"/>
        <v>1.6561303430023109E-6</v>
      </c>
      <c r="AK63" s="233">
        <f t="shared" si="13"/>
        <v>1.1654999999999999E-3</v>
      </c>
      <c r="AL63" s="59">
        <f>IFERROR(1/SUM(IFERROR(1/SUMIF(AL64,"&lt;&gt;.",AL64),0),IFERROR(1/SUMIF(AL65,"&lt;&gt;.",AL65),0),IFERROR(1/SUMIF(AL66,"&lt;&gt;.",AL66),0),IFERROR(1/SUMIF(AL67,"&lt;&gt;.",AL67),0),IFERROR(1/SUMIF(AL68,"&lt;&gt;.",AL68),0),IFERROR(1/SUMIF(AL69,"&lt;&gt;.",AL69),0),IFERROR(1/SUMIF(AL70,"&lt;&gt;.",AL70),0),IFERROR(1/SUMIF(AL71,"&lt;&gt;.",AL71),0),IFERROR(1/SUMIF(AL72,"&lt;&gt;.",AL72),0),IFERROR(1/SUMIF(AL73,"&lt;&gt;.",AL73),0),IFERROR(1/SUMIF(AL74,"&lt;&gt;.",AL74),0),IFERROR(1/SUMIF(AL75,"&lt;&gt;.",AL75),0),IFERROR(1/SUMIF(AL76,"&lt;&gt;.",AL76),0)),".")</f>
        <v>11.397979453595806</v>
      </c>
      <c r="AM63" s="190">
        <f>AL63*(0.0000000000000028)*RadSpec!$AY25*RadSpec!$AF25</f>
        <v>7.4217634061413321E-14</v>
      </c>
      <c r="AN63" s="58">
        <f>IFERROR(1/SUM(IFERROR(1/SUMIF(AN64,"&lt;&gt;.",AN64),0),IFERROR(1/SUMIF(AN65,"&lt;&gt;.",AN65),0),IFERROR(1/SUMIF(AN66,"&lt;&gt;.",AN66),0),IFERROR(1/SUMIF(AN67,"&lt;&gt;.",AN67),0),IFERROR(1/SUMIF(AN68,"&lt;&gt;.",AN68),0),IFERROR(1/SUMIF(AN69,"&lt;&gt;.",AN69),0),IFERROR(1/SUMIF(AN70,"&lt;&gt;.",AN70),0),IFERROR(1/SUMIF(AN71,"&lt;&gt;.",AN71),0),IFERROR(1/SUMIF(AN72,"&lt;&gt;.",AN72),0),IFERROR(1/SUMIF(AN73,"&lt;&gt;.",AN73),0),IFERROR(1/SUMIF(AN74,"&lt;&gt;.",AN74),0),IFERROR(1/SUMIF(AN75,"&lt;&gt;.",AN75),0),IFERROR(1/SUMIF(AN76,"&lt;&gt;.",AN76),0)),".")</f>
        <v>1.2999319139452987</v>
      </c>
      <c r="AO63" s="58">
        <f>IFERROR(1/SUM(IFERROR(1/SUMIF(AO64,"&lt;&gt;.",AO64),0),IFERROR(1/SUMIF(AO65,"&lt;&gt;.",AO65),0),IFERROR(1/SUMIF(AO66,"&lt;&gt;.",AO66),0),IFERROR(1/SUMIF(AO67,"&lt;&gt;.",AO67),0),IFERROR(1/SUMIF(AO68,"&lt;&gt;.",AO68),0),IFERROR(1/SUMIF(AO69,"&lt;&gt;.",AO69),0),IFERROR(1/SUMIF(AO70,"&lt;&gt;.",AO70),0),IFERROR(1/SUMIF(AO71,"&lt;&gt;.",AO71),0),IFERROR(1/SUMIF(AO72,"&lt;&gt;.",AO72),0),IFERROR(1/SUMIF(AO73,"&lt;&gt;.",AO73),0),IFERROR(1/SUMIF(AO74,"&lt;&gt;.",AO74),0),IFERROR(1/SUMIF(AO75,"&lt;&gt;.",AO75),0),IFERROR(1/SUMIF(AO76,"&lt;&gt;.",AO76),0)),".")</f>
        <v>1.2999319139452987</v>
      </c>
      <c r="AP63" s="190">
        <f>AN63*(0.0000000000028)*RadSpec!$AY25*RadSpec!$AF25</f>
        <v>8.4644713992275379E-12</v>
      </c>
      <c r="AQ63" s="190">
        <f>AO63*(0.0000000000028)*RadSpec!$AY25*RadSpec!$AF25</f>
        <v>8.4644713992275379E-12</v>
      </c>
    </row>
    <row r="64" spans="1:43" x14ac:dyDescent="0.25">
      <c r="A64" s="77" t="s">
        <v>1073</v>
      </c>
      <c r="B64" s="42">
        <v>1</v>
      </c>
      <c r="C64" s="170"/>
      <c r="D64" s="60" t="str">
        <f>IFERROR(D25/$B50,".")</f>
        <v>.</v>
      </c>
      <c r="E64" s="60">
        <f>IFERROR(E25/$B50,".")</f>
        <v>3752018213.1889324</v>
      </c>
      <c r="F64" s="60">
        <f>IFERROR(F25/$B50,".")</f>
        <v>630931.7120038342</v>
      </c>
      <c r="G64" s="60" t="str">
        <f>IFERROR(G25/$B50,".")</f>
        <v>.</v>
      </c>
      <c r="H64" s="60" t="str">
        <f>IFERROR(H25/$B50,".")</f>
        <v>.</v>
      </c>
      <c r="I64" s="233">
        <f t="shared" si="52"/>
        <v>0</v>
      </c>
      <c r="J64" s="233">
        <f t="shared" si="53"/>
        <v>2.6652322648244168E-10</v>
      </c>
      <c r="K64" s="233">
        <f t="shared" si="54"/>
        <v>1.584957580946451E-6</v>
      </c>
      <c r="L64" s="233">
        <f t="shared" si="8"/>
        <v>0</v>
      </c>
      <c r="M64" s="233">
        <f t="shared" si="9"/>
        <v>0</v>
      </c>
      <c r="N64" s="60">
        <f t="shared" ref="N64:AE64" si="214">IFERROR(N25/$B50,".")</f>
        <v>630825.63365495554</v>
      </c>
      <c r="O64" s="189">
        <f>IFERROR(O25/$B50,0)</f>
        <v>4.1076040034791018E-6</v>
      </c>
      <c r="P64" s="60">
        <f t="shared" si="214"/>
        <v>630931.7120038342</v>
      </c>
      <c r="Q64" s="60">
        <f t="shared" si="214"/>
        <v>5583382.0699922517</v>
      </c>
      <c r="R64" s="60">
        <f t="shared" si="214"/>
        <v>1334235.9337832199</v>
      </c>
      <c r="S64" s="60">
        <f t="shared" si="214"/>
        <v>698019.76357534796</v>
      </c>
      <c r="T64" s="60">
        <f t="shared" si="214"/>
        <v>8556914.2938275579</v>
      </c>
      <c r="U64" s="189">
        <f t="shared" ref="U64:Y64" si="215">IFERROR(U25/$B50,0)</f>
        <v>4.1082947297706314E-6</v>
      </c>
      <c r="V64" s="189">
        <f t="shared" si="215"/>
        <v>3.6356040909076401E-5</v>
      </c>
      <c r="W64" s="189">
        <f t="shared" si="215"/>
        <v>8.6878410939643622E-6</v>
      </c>
      <c r="X64" s="189">
        <f t="shared" si="215"/>
        <v>4.5451367579300195E-6</v>
      </c>
      <c r="Y64" s="189">
        <f t="shared" si="215"/>
        <v>5.5718115332610042E-8</v>
      </c>
      <c r="Z64" s="60">
        <f t="shared" si="214"/>
        <v>2760.1673351446934</v>
      </c>
      <c r="AA64" s="60">
        <f t="shared" si="214"/>
        <v>57821725.615975335</v>
      </c>
      <c r="AB64" s="60">
        <f t="shared" si="214"/>
        <v>2760.0355825901343</v>
      </c>
      <c r="AC64" s="189">
        <f t="shared" ref="AC64" si="216">IFERROR(AC25/$B50,0)</f>
        <v>1.7971896834796529E-11</v>
      </c>
      <c r="AD64" s="60" t="str">
        <f t="shared" si="214"/>
        <v>.</v>
      </c>
      <c r="AE64" s="60">
        <f t="shared" si="214"/>
        <v>26604145.030754615</v>
      </c>
      <c r="AF64" s="60" t="str">
        <f>IFERROR(AF25/$B50,".")</f>
        <v>.</v>
      </c>
      <c r="AG64" s="60" t="str">
        <f>IFERROR(AG25/$B50,".")</f>
        <v>.</v>
      </c>
      <c r="AH64" s="233">
        <f t="shared" si="49"/>
        <v>0</v>
      </c>
      <c r="AI64" s="233">
        <f t="shared" si="50"/>
        <v>3.758812767123287E-8</v>
      </c>
      <c r="AJ64" s="233">
        <f t="shared" si="12"/>
        <v>0</v>
      </c>
      <c r="AK64" s="233">
        <f t="shared" si="13"/>
        <v>0</v>
      </c>
      <c r="AL64" s="60">
        <f>IFERROR(AL25/$B50,".")</f>
        <v>26604145.030754615</v>
      </c>
      <c r="AM64" s="189">
        <f t="shared" ref="AM64" si="217">IFERROR(AM25/$B50,0)</f>
        <v>1.7323216877587932E-7</v>
      </c>
      <c r="AN64" s="60" t="str">
        <f>IFERROR(AN25/$B50,".")</f>
        <v>.</v>
      </c>
      <c r="AO64" s="60" t="str">
        <f>IFERROR(AO25/$B50,".")</f>
        <v>.</v>
      </c>
      <c r="AP64" s="189">
        <f t="shared" ref="AP64" si="218">IFERROR(AP25/$B50,0)</f>
        <v>0</v>
      </c>
      <c r="AQ64" s="189">
        <f t="shared" ref="AQ64" si="219">IFERROR(AQ25/$B50,0)</f>
        <v>0</v>
      </c>
    </row>
    <row r="65" spans="1:43" x14ac:dyDescent="0.25">
      <c r="A65" s="77" t="s">
        <v>1059</v>
      </c>
      <c r="B65" s="42">
        <v>1</v>
      </c>
      <c r="C65" s="170"/>
      <c r="D65" s="60" t="str">
        <f>IFERROR(D21/$B51,".")</f>
        <v>.</v>
      </c>
      <c r="E65" s="60">
        <f>IFERROR(E21/$B51,".")</f>
        <v>3225160012.6492791</v>
      </c>
      <c r="F65" s="60">
        <f>IFERROR(F21/$B51,".")</f>
        <v>14063600223.861692</v>
      </c>
      <c r="G65" s="60" t="str">
        <f>IFERROR(G21/$B51,".")</f>
        <v>.</v>
      </c>
      <c r="H65" s="60" t="str">
        <f>IFERROR(H21/$B51,".")</f>
        <v>.</v>
      </c>
      <c r="I65" s="233">
        <f t="shared" si="52"/>
        <v>0</v>
      </c>
      <c r="J65" s="233">
        <f t="shared" si="53"/>
        <v>3.1006213523606195E-10</v>
      </c>
      <c r="K65" s="233">
        <f t="shared" si="54"/>
        <v>7.1105547945205478E-11</v>
      </c>
      <c r="L65" s="233">
        <f t="shared" si="8"/>
        <v>0</v>
      </c>
      <c r="M65" s="233">
        <f t="shared" si="9"/>
        <v>0</v>
      </c>
      <c r="N65" s="60">
        <f t="shared" ref="N65:AE65" si="220">IFERROR(N21/$B51,".")</f>
        <v>2623517271.0705433</v>
      </c>
      <c r="O65" s="189">
        <f>IFERROR(O21/$B51,0)</f>
        <v>9.4450614935512232E-6</v>
      </c>
      <c r="P65" s="60">
        <f t="shared" si="220"/>
        <v>14063600223.861692</v>
      </c>
      <c r="Q65" s="60">
        <f t="shared" si="220"/>
        <v>33273077157.986954</v>
      </c>
      <c r="R65" s="60">
        <f t="shared" si="220"/>
        <v>17786529725.006851</v>
      </c>
      <c r="S65" s="60">
        <f t="shared" si="220"/>
        <v>14063600223.861692</v>
      </c>
      <c r="T65" s="60">
        <f t="shared" si="220"/>
        <v>16694144828.852856</v>
      </c>
      <c r="U65" s="189">
        <f t="shared" ref="U65:Y65" si="221">IFERROR(U21/$B51,0)</f>
        <v>5.0631101384322755E-5</v>
      </c>
      <c r="V65" s="189">
        <f t="shared" si="221"/>
        <v>1.1978814216405861E-4</v>
      </c>
      <c r="W65" s="189">
        <f t="shared" si="221"/>
        <v>6.4034214244381558E-5</v>
      </c>
      <c r="X65" s="189">
        <f t="shared" si="221"/>
        <v>5.0631101384322755E-5</v>
      </c>
      <c r="Y65" s="189">
        <f t="shared" si="221"/>
        <v>6.0101462349597627E-8</v>
      </c>
      <c r="Z65" s="60">
        <f t="shared" si="220"/>
        <v>2372.584782834349</v>
      </c>
      <c r="AA65" s="60">
        <f t="shared" si="220"/>
        <v>381799943952.81427</v>
      </c>
      <c r="AB65" s="60">
        <f t="shared" si="220"/>
        <v>2372.5847680906104</v>
      </c>
      <c r="AC65" s="189">
        <f t="shared" ref="AC65" si="222">IFERROR(AC21/$B51,0)</f>
        <v>8.5416662891396025E-15</v>
      </c>
      <c r="AD65" s="60" t="str">
        <f t="shared" si="220"/>
        <v>.</v>
      </c>
      <c r="AE65" s="60">
        <f t="shared" si="220"/>
        <v>349760787816.91376</v>
      </c>
      <c r="AF65" s="60" t="str">
        <f>IFERROR(AF21/$B51,".")</f>
        <v>.</v>
      </c>
      <c r="AG65" s="60" t="str">
        <f>IFERROR(AG21/$B51,".")</f>
        <v>.</v>
      </c>
      <c r="AH65" s="233">
        <f t="shared" si="49"/>
        <v>0</v>
      </c>
      <c r="AI65" s="233">
        <f t="shared" si="50"/>
        <v>2.8590969452054795E-12</v>
      </c>
      <c r="AJ65" s="233">
        <f t="shared" si="12"/>
        <v>0</v>
      </c>
      <c r="AK65" s="233">
        <f t="shared" si="13"/>
        <v>0</v>
      </c>
      <c r="AL65" s="60">
        <f>IFERROR(AL21/$B51,".")</f>
        <v>349760787816.91376</v>
      </c>
      <c r="AM65" s="189">
        <f t="shared" ref="AM65" si="223">IFERROR(AM21/$B51,0)</f>
        <v>1.2591920721816526E-6</v>
      </c>
      <c r="AN65" s="60" t="str">
        <f>IFERROR(AN21/$B51,".")</f>
        <v>.</v>
      </c>
      <c r="AO65" s="60" t="str">
        <f>IFERROR(AO21/$B51,".")</f>
        <v>.</v>
      </c>
      <c r="AP65" s="189">
        <f t="shared" ref="AP65" si="224">IFERROR(AP21/$B51,0)</f>
        <v>0</v>
      </c>
      <c r="AQ65" s="189">
        <f t="shared" ref="AQ65" si="225">IFERROR(AQ21/$B51,0)</f>
        <v>0</v>
      </c>
    </row>
    <row r="66" spans="1:43" x14ac:dyDescent="0.25">
      <c r="A66" s="77" t="s">
        <v>1060</v>
      </c>
      <c r="B66" s="79">
        <v>0.99980000000000002</v>
      </c>
      <c r="C66" s="173"/>
      <c r="D66" s="60">
        <f>IFERROR(D17/$B52,".")</f>
        <v>147253.52242910906</v>
      </c>
      <c r="E66" s="60">
        <f>IFERROR(E17/$B52,".")</f>
        <v>527481446.85562658</v>
      </c>
      <c r="F66" s="60">
        <f>IFERROR(F17/$B52,".")</f>
        <v>1143.5581714515586</v>
      </c>
      <c r="G66" s="60">
        <f>IFERROR(G17/$B52,".")</f>
        <v>20492358.976707138</v>
      </c>
      <c r="H66" s="60" t="str">
        <f>IFERROR(H17/$B52,".")</f>
        <v>.</v>
      </c>
      <c r="I66" s="233">
        <f t="shared" si="52"/>
        <v>6.7910090265000012E-6</v>
      </c>
      <c r="J66" s="233">
        <f t="shared" si="53"/>
        <v>1.8958012759711402E-9</v>
      </c>
      <c r="K66" s="233">
        <f t="shared" si="54"/>
        <v>8.744636040077129E-4</v>
      </c>
      <c r="L66" s="233">
        <f t="shared" si="8"/>
        <v>4.8798676674396583E-8</v>
      </c>
      <c r="M66" s="233">
        <f t="shared" si="9"/>
        <v>0</v>
      </c>
      <c r="N66" s="60">
        <f t="shared" ref="N66:AE66" si="226">IFERROR(N17/$B52,".")</f>
        <v>1134.6805601601334</v>
      </c>
      <c r="O66" s="189">
        <f>IFERROR(O17/$B52,0)</f>
        <v>3.4667686179918359E-11</v>
      </c>
      <c r="P66" s="60">
        <f t="shared" si="226"/>
        <v>1143.5581714515586</v>
      </c>
      <c r="Q66" s="60">
        <f t="shared" si="226"/>
        <v>8223.8189643966507</v>
      </c>
      <c r="R66" s="60">
        <f t="shared" si="226"/>
        <v>2034.883227744205</v>
      </c>
      <c r="S66" s="60">
        <f t="shared" si="226"/>
        <v>1183.2576332399308</v>
      </c>
      <c r="T66" s="60">
        <f t="shared" si="226"/>
        <v>10027.809333512119</v>
      </c>
      <c r="U66" s="189">
        <f t="shared" ref="U66:Y66" si="227">IFERROR(U17/$B52,0)</f>
        <v>3.4938922202711416E-11</v>
      </c>
      <c r="V66" s="189">
        <f t="shared" si="227"/>
        <v>2.5126082623459159E-10</v>
      </c>
      <c r="W66" s="189">
        <f t="shared" si="227"/>
        <v>6.2171412491864422E-11</v>
      </c>
      <c r="X66" s="189">
        <f t="shared" si="227"/>
        <v>3.6151852547262947E-11</v>
      </c>
      <c r="Y66" s="189">
        <f t="shared" si="227"/>
        <v>3.0637781174041894E-13</v>
      </c>
      <c r="Z66" s="60">
        <f t="shared" si="226"/>
        <v>388.04104265483437</v>
      </c>
      <c r="AA66" s="60">
        <f t="shared" si="226"/>
        <v>90136.57264393178</v>
      </c>
      <c r="AB66" s="60">
        <f t="shared" si="226"/>
        <v>386.37767349309485</v>
      </c>
      <c r="AC66" s="189">
        <f t="shared" ref="AC66" si="228">IFERROR(AC17/$B52,0)</f>
        <v>1.1804925898876079E-14</v>
      </c>
      <c r="AD66" s="60">
        <f t="shared" si="226"/>
        <v>161283.9114762281</v>
      </c>
      <c r="AE66" s="60">
        <f t="shared" si="226"/>
        <v>41515.184910690572</v>
      </c>
      <c r="AF66" s="60">
        <f>IFERROR(AF17/$B52,".")</f>
        <v>25874547512.543449</v>
      </c>
      <c r="AG66" s="60" t="str">
        <f>IFERROR(AG17/$B52,".")</f>
        <v>.</v>
      </c>
      <c r="AH66" s="233">
        <f t="shared" ref="AH66:AH76" si="229">IFERROR(1/AD66,0)</f>
        <v>6.2002464526500011E-6</v>
      </c>
      <c r="AI66" s="233">
        <f t="shared" ref="AI66:AI76" si="230">IFERROR(1/AE66,0)</f>
        <v>2.4087571864397262E-5</v>
      </c>
      <c r="AJ66" s="233">
        <f t="shared" si="12"/>
        <v>3.8648018850000009E-11</v>
      </c>
      <c r="AK66" s="233">
        <f t="shared" si="13"/>
        <v>0</v>
      </c>
      <c r="AL66" s="60">
        <f>IFERROR(AL17/$B52,".")</f>
        <v>33016.532042970088</v>
      </c>
      <c r="AM66" s="189">
        <f t="shared" ref="AM66" si="231">IFERROR(AM17/$B52,0)</f>
        <v>1.0087480228385791E-12</v>
      </c>
      <c r="AN66" s="60">
        <f>IFERROR(AN17/$B52,".")</f>
        <v>18112.183258780417</v>
      </c>
      <c r="AO66" s="60">
        <f>IFERROR(AO17/$B52,".")</f>
        <v>18112.183258780417</v>
      </c>
      <c r="AP66" s="189">
        <f t="shared" ref="AP66" si="232">IFERROR(AP17/$B52,0)</f>
        <v>5.5337819937618055E-10</v>
      </c>
      <c r="AQ66" s="189">
        <f t="shared" ref="AQ66" si="233">IFERROR(AQ17/$B52,0)</f>
        <v>5.5337819937618055E-10</v>
      </c>
    </row>
    <row r="67" spans="1:43" x14ac:dyDescent="0.25">
      <c r="A67" s="77" t="s">
        <v>1074</v>
      </c>
      <c r="B67" s="42">
        <v>2.0000000000000001E-4</v>
      </c>
      <c r="C67" s="170"/>
      <c r="D67" s="60" t="str">
        <f>IFERROR(D5/$B53,".")</f>
        <v>.</v>
      </c>
      <c r="E67" s="60" t="str">
        <f>IFERROR(E5/$B53,".")</f>
        <v>.</v>
      </c>
      <c r="F67" s="60">
        <f>IFERROR(F5/$B53,".")</f>
        <v>11656742467.428986</v>
      </c>
      <c r="G67" s="60" t="str">
        <f>IFERROR(G5/$B53,".")</f>
        <v>.</v>
      </c>
      <c r="H67" s="60" t="str">
        <f>IFERROR(H5/$B53,".")</f>
        <v>.</v>
      </c>
      <c r="I67" s="233">
        <f t="shared" ref="I67:I76" si="234">IFERROR(1/D67,0)</f>
        <v>0</v>
      </c>
      <c r="J67" s="233">
        <f t="shared" ref="J67:J76" si="235">IFERROR(1/E67,0)</f>
        <v>0</v>
      </c>
      <c r="K67" s="233">
        <f t="shared" ref="K67:K76" si="236">IFERROR(1/F67,0)</f>
        <v>8.5787260273972601E-11</v>
      </c>
      <c r="L67" s="233">
        <f t="shared" ref="L67:L76" si="237">IFERROR(1/G67,0)</f>
        <v>0</v>
      </c>
      <c r="M67" s="233">
        <f t="shared" ref="M67:M76" si="238">IFERROR(1/H67,0)</f>
        <v>0</v>
      </c>
      <c r="N67" s="60">
        <f t="shared" ref="N67:AE67" si="239">IFERROR(N5/$B53,".")</f>
        <v>11656742467.428986</v>
      </c>
      <c r="O67" s="189">
        <f>IFERROR(O5/$B53,0)</f>
        <v>3.3843586387550689E-7</v>
      </c>
      <c r="P67" s="60">
        <f t="shared" si="239"/>
        <v>11656742467.428986</v>
      </c>
      <c r="Q67" s="60">
        <f t="shared" si="239"/>
        <v>22838325149.860867</v>
      </c>
      <c r="R67" s="60">
        <f t="shared" si="239"/>
        <v>16285556752.432428</v>
      </c>
      <c r="S67" s="60">
        <f t="shared" si="239"/>
        <v>12145836556.971457</v>
      </c>
      <c r="T67" s="60">
        <f t="shared" si="239"/>
        <v>4440642524.4748602</v>
      </c>
      <c r="U67" s="189">
        <f t="shared" ref="U67:Y67" si="240">IFERROR(U5/$B53,0)</f>
        <v>3.3843586387550689E-7</v>
      </c>
      <c r="V67" s="189">
        <f t="shared" si="240"/>
        <v>6.6307618300395157E-7</v>
      </c>
      <c r="W67" s="189">
        <f t="shared" si="240"/>
        <v>4.7282647648804975E-7</v>
      </c>
      <c r="X67" s="189">
        <f t="shared" si="240"/>
        <v>3.5263597005210143E-7</v>
      </c>
      <c r="Y67" s="189">
        <f t="shared" si="240"/>
        <v>1.2892733052413696E-10</v>
      </c>
      <c r="Z67" s="60" t="str">
        <f t="shared" si="239"/>
        <v>.</v>
      </c>
      <c r="AA67" s="60">
        <f t="shared" si="239"/>
        <v>5103652312022.3135</v>
      </c>
      <c r="AB67" s="60">
        <f t="shared" si="239"/>
        <v>0</v>
      </c>
      <c r="AC67" s="189">
        <f t="shared" ref="AC67" si="241">IFERROR(AC5/$B53,0)</f>
        <v>0</v>
      </c>
      <c r="AD67" s="60" t="str">
        <f t="shared" si="239"/>
        <v>.</v>
      </c>
      <c r="AE67" s="60">
        <f t="shared" si="239"/>
        <v>4001263412625.4937</v>
      </c>
      <c r="AF67" s="60" t="str">
        <f>IFERROR(AF5/$B53,".")</f>
        <v>.</v>
      </c>
      <c r="AG67" s="60" t="str">
        <f>IFERROR(AG5/$B53,".")</f>
        <v>.</v>
      </c>
      <c r="AH67" s="233">
        <f t="shared" si="229"/>
        <v>0</v>
      </c>
      <c r="AI67" s="233">
        <f t="shared" si="230"/>
        <v>2.4992106164383562E-13</v>
      </c>
      <c r="AJ67" s="233">
        <f t="shared" ref="AJ67:AJ76" si="242">IFERROR(1/AF67,0)</f>
        <v>0</v>
      </c>
      <c r="AK67" s="233">
        <f t="shared" ref="AK67:AK76" si="243">IFERROR(1/AG67,0)</f>
        <v>0</v>
      </c>
      <c r="AL67" s="60">
        <f>IFERROR(AL5/$B53,".")</f>
        <v>4001263412625.4937</v>
      </c>
      <c r="AM67" s="189">
        <f t="shared" ref="AM67" si="244">IFERROR(AM5/$B53,0)</f>
        <v>1.1617062343353323E-7</v>
      </c>
      <c r="AN67" s="60" t="str">
        <f>IFERROR(AN5/$B53,".")</f>
        <v>.</v>
      </c>
      <c r="AO67" s="60" t="str">
        <f>IFERROR(AO5/$B53,".")</f>
        <v>.</v>
      </c>
      <c r="AP67" s="189">
        <f t="shared" ref="AP67" si="245">IFERROR(AP5/$B53,0)</f>
        <v>0</v>
      </c>
      <c r="AQ67" s="189">
        <f t="shared" ref="AQ67" si="246">IFERROR(AQ5/$B53,0)</f>
        <v>0</v>
      </c>
    </row>
    <row r="68" spans="1:43" x14ac:dyDescent="0.25">
      <c r="A68" s="77" t="s">
        <v>1075</v>
      </c>
      <c r="B68" s="42">
        <v>0.99999979999999999</v>
      </c>
      <c r="C68" s="170"/>
      <c r="D68" s="60">
        <f>IFERROR(D9/$B54,".")</f>
        <v>196628.16196455873</v>
      </c>
      <c r="E68" s="60">
        <f>IFERROR(E9/$B54,".")</f>
        <v>671467874.6320312</v>
      </c>
      <c r="F68" s="60">
        <f>IFERROR(F9/$B54,".")</f>
        <v>136.52221077818959</v>
      </c>
      <c r="G68" s="60">
        <f>IFERROR(G9/$B54,".")</f>
        <v>6910075.4061830649</v>
      </c>
      <c r="H68" s="60" t="str">
        <f>IFERROR(H9/$B54,".")</f>
        <v>.</v>
      </c>
      <c r="I68" s="233">
        <f t="shared" si="234"/>
        <v>5.0857414828515008E-6</v>
      </c>
      <c r="J68" s="233">
        <f t="shared" si="235"/>
        <v>1.4892745249324199E-9</v>
      </c>
      <c r="K68" s="233">
        <f t="shared" si="236"/>
        <v>7.3248154589638194E-3</v>
      </c>
      <c r="L68" s="233">
        <f t="shared" si="237"/>
        <v>1.4471622105675001E-7</v>
      </c>
      <c r="M68" s="233">
        <f t="shared" si="238"/>
        <v>0</v>
      </c>
      <c r="N68" s="60">
        <f t="shared" ref="N68:AE68" si="247">IFERROR(N9/$B54,".")</f>
        <v>136.42476571015484</v>
      </c>
      <c r="O68" s="189">
        <f>IFERROR(O9/$B54,0)</f>
        <v>3.0950148788225698E-12</v>
      </c>
      <c r="P68" s="60">
        <f t="shared" si="247"/>
        <v>136.52221077818959</v>
      </c>
      <c r="Q68" s="60">
        <f t="shared" si="247"/>
        <v>1667.9211616895195</v>
      </c>
      <c r="R68" s="60">
        <f t="shared" si="247"/>
        <v>382.49707457978519</v>
      </c>
      <c r="S68" s="60">
        <f t="shared" si="247"/>
        <v>181.92484747815726</v>
      </c>
      <c r="T68" s="60">
        <f t="shared" si="247"/>
        <v>2429.3512516689543</v>
      </c>
      <c r="U68" s="189">
        <f t="shared" ref="U68:Y68" si="248">IFERROR(U9/$B54,0)</f>
        <v>3.0972255766666554E-12</v>
      </c>
      <c r="V68" s="189">
        <f t="shared" si="248"/>
        <v>3.7839469873818037E-11</v>
      </c>
      <c r="W68" s="189">
        <f t="shared" si="248"/>
        <v>8.6775603444735981E-12</v>
      </c>
      <c r="X68" s="189">
        <f t="shared" si="248"/>
        <v>4.1272572970269121E-12</v>
      </c>
      <c r="Y68" s="189">
        <f t="shared" si="248"/>
        <v>5.5113734157155123E-14</v>
      </c>
      <c r="Z68" s="60">
        <f t="shared" si="247"/>
        <v>493.96447161250467</v>
      </c>
      <c r="AA68" s="60">
        <f t="shared" si="247"/>
        <v>14069.142801963208</v>
      </c>
      <c r="AB68" s="60">
        <f t="shared" si="247"/>
        <v>477.20974374902511</v>
      </c>
      <c r="AC68" s="189">
        <f t="shared" ref="AC68" si="249">IFERROR(AC9/$B54,0)</f>
        <v>1.0826269332653869E-14</v>
      </c>
      <c r="AD68" s="60">
        <f t="shared" si="247"/>
        <v>215362.99128798512</v>
      </c>
      <c r="AE68" s="60">
        <f t="shared" si="247"/>
        <v>6495.5587871401567</v>
      </c>
      <c r="AF68" s="60">
        <f>IFERROR(AF9/$B54,".")</f>
        <v>12092631960.820364</v>
      </c>
      <c r="AG68" s="60" t="str">
        <f>IFERROR(AG9/$B54,".")</f>
        <v>.</v>
      </c>
      <c r="AH68" s="233">
        <f t="shared" si="229"/>
        <v>4.6433233213351501E-6</v>
      </c>
      <c r="AI68" s="233">
        <f t="shared" si="230"/>
        <v>1.5395134318232792E-4</v>
      </c>
      <c r="AJ68" s="233">
        <f t="shared" si="242"/>
        <v>8.2694983460999997E-11</v>
      </c>
      <c r="AK68" s="233">
        <f t="shared" si="243"/>
        <v>0</v>
      </c>
      <c r="AL68" s="60">
        <f>IFERROR(AL9/$B54,".")</f>
        <v>6305.3789930173434</v>
      </c>
      <c r="AM68" s="189">
        <f t="shared" ref="AM68" si="250">IFERROR(AM9/$B54,0)</f>
        <v>1.4304764753245479E-13</v>
      </c>
      <c r="AN68" s="60">
        <f>IFERROR(AN9/$B54,".")</f>
        <v>24185.263921640726</v>
      </c>
      <c r="AO68" s="60">
        <f>IFERROR(AO9/$B54,".")</f>
        <v>24185.263921640726</v>
      </c>
      <c r="AP68" s="189">
        <f t="shared" ref="AP68" si="251">IFERROR(AP9/$B54,0)</f>
        <v>5.486815483690214E-10</v>
      </c>
      <c r="AQ68" s="189">
        <f t="shared" ref="AQ68" si="252">IFERROR(AQ9/$B54,0)</f>
        <v>5.486815483690214E-10</v>
      </c>
    </row>
    <row r="69" spans="1:43" x14ac:dyDescent="0.25">
      <c r="A69" s="77" t="s">
        <v>1076</v>
      </c>
      <c r="B69" s="42">
        <v>1.9999999999999999E-7</v>
      </c>
      <c r="C69" s="170"/>
      <c r="D69" s="60" t="str">
        <f>IFERROR(D24/$B55,".")</f>
        <v>.</v>
      </c>
      <c r="E69" s="60" t="str">
        <f>IFERROR(E24/$B55,".")</f>
        <v>.</v>
      </c>
      <c r="F69" s="60">
        <f>IFERROR(F24/$B55,".")</f>
        <v>1593798590304.8457</v>
      </c>
      <c r="G69" s="60" t="str">
        <f>IFERROR(G24/$B55,".")</f>
        <v>.</v>
      </c>
      <c r="H69" s="60" t="str">
        <f>IFERROR(H24/$B55,".")</f>
        <v>.</v>
      </c>
      <c r="I69" s="233">
        <f t="shared" si="234"/>
        <v>0</v>
      </c>
      <c r="J69" s="233">
        <f t="shared" si="235"/>
        <v>0</v>
      </c>
      <c r="K69" s="233">
        <f t="shared" si="236"/>
        <v>6.2743185122828479E-13</v>
      </c>
      <c r="L69" s="233">
        <f t="shared" si="237"/>
        <v>0</v>
      </c>
      <c r="M69" s="233">
        <f t="shared" si="238"/>
        <v>0</v>
      </c>
      <c r="N69" s="60">
        <f t="shared" ref="N69:AE69" si="253">IFERROR(N24/$B55,".")</f>
        <v>1593798590304.8457</v>
      </c>
      <c r="O69" s="189">
        <f>IFERROR(O24/$B55,0)</f>
        <v>1.0797156609358421E-6</v>
      </c>
      <c r="P69" s="60">
        <f t="shared" si="253"/>
        <v>1593798590304.8457</v>
      </c>
      <c r="Q69" s="60">
        <f t="shared" si="253"/>
        <v>14612669305053.342</v>
      </c>
      <c r="R69" s="60">
        <f t="shared" si="253"/>
        <v>3513484552110.1787</v>
      </c>
      <c r="S69" s="60">
        <f t="shared" si="253"/>
        <v>1751450044685.9688</v>
      </c>
      <c r="T69" s="60">
        <f t="shared" si="253"/>
        <v>21950875321445.199</v>
      </c>
      <c r="U69" s="189">
        <f t="shared" ref="U69:Y69" si="254">IFERROR(U24/$B55,0)</f>
        <v>1.0797156609358421E-6</v>
      </c>
      <c r="V69" s="189">
        <f t="shared" si="254"/>
        <v>9.8993235360590916E-6</v>
      </c>
      <c r="W69" s="189">
        <f t="shared" si="254"/>
        <v>2.3802030685972169E-6</v>
      </c>
      <c r="X69" s="189">
        <f t="shared" si="254"/>
        <v>1.1865163227635408E-6</v>
      </c>
      <c r="Y69" s="189">
        <f t="shared" si="254"/>
        <v>1.4870576495667018E-8</v>
      </c>
      <c r="Z69" s="60" t="str">
        <f t="shared" si="253"/>
        <v>.</v>
      </c>
      <c r="AA69" s="60">
        <f t="shared" si="253"/>
        <v>147105272522996.09</v>
      </c>
      <c r="AB69" s="60">
        <f t="shared" si="253"/>
        <v>0</v>
      </c>
      <c r="AC69" s="189">
        <f t="shared" ref="AC69" si="255">IFERROR(AC24/$B55,0)</f>
        <v>0</v>
      </c>
      <c r="AD69" s="60" t="str">
        <f t="shared" si="253"/>
        <v>.</v>
      </c>
      <c r="AE69" s="60">
        <f t="shared" si="253"/>
        <v>67680368955099.688</v>
      </c>
      <c r="AF69" s="60" t="str">
        <f>IFERROR(AF24/$B55,".")</f>
        <v>.</v>
      </c>
      <c r="AG69" s="60" t="str">
        <f>IFERROR(AG24/$B55,".")</f>
        <v>.</v>
      </c>
      <c r="AH69" s="233">
        <f t="shared" si="229"/>
        <v>0</v>
      </c>
      <c r="AI69" s="233">
        <f t="shared" si="230"/>
        <v>1.477533316438356E-14</v>
      </c>
      <c r="AJ69" s="233">
        <f t="shared" si="242"/>
        <v>0</v>
      </c>
      <c r="AK69" s="233">
        <f t="shared" si="243"/>
        <v>0</v>
      </c>
      <c r="AL69" s="60">
        <f>IFERROR(AL24/$B55,".")</f>
        <v>67680368955099.688</v>
      </c>
      <c r="AM69" s="189">
        <f t="shared" ref="AM69" si="256">IFERROR(AM24/$B55,0)</f>
        <v>4.5849930313189666E-8</v>
      </c>
      <c r="AN69" s="60" t="str">
        <f>IFERROR(AN24/$B55,".")</f>
        <v>.</v>
      </c>
      <c r="AO69" s="60" t="str">
        <f>IFERROR(AO24/$B55,".")</f>
        <v>.</v>
      </c>
      <c r="AP69" s="189">
        <f t="shared" ref="AP69" si="257">IFERROR(AP24/$B55,0)</f>
        <v>0</v>
      </c>
      <c r="AQ69" s="189">
        <f t="shared" ref="AQ69" si="258">IFERROR(AQ24/$B55,0)</f>
        <v>0</v>
      </c>
    </row>
    <row r="70" spans="1:43" x14ac:dyDescent="0.25">
      <c r="A70" s="77" t="s">
        <v>1077</v>
      </c>
      <c r="B70" s="42">
        <v>0.99979000004200003</v>
      </c>
      <c r="C70" s="170"/>
      <c r="D70" s="60" t="str">
        <f>IFERROR(D20/$B56,".")</f>
        <v>.</v>
      </c>
      <c r="E70" s="60" t="str">
        <f>IFERROR(E20/$B56,".")</f>
        <v>.</v>
      </c>
      <c r="F70" s="60">
        <f>IFERROR(F20/$B56,".")</f>
        <v>2593906.9984395932</v>
      </c>
      <c r="G70" s="60" t="str">
        <f>IFERROR(G20/$B56,".")</f>
        <v>.</v>
      </c>
      <c r="H70" s="60" t="str">
        <f>IFERROR(H20/$B56,".")</f>
        <v>.</v>
      </c>
      <c r="I70" s="233">
        <f t="shared" si="234"/>
        <v>0</v>
      </c>
      <c r="J70" s="233">
        <f t="shared" si="235"/>
        <v>0</v>
      </c>
      <c r="K70" s="233">
        <f t="shared" si="236"/>
        <v>3.8551883340519386E-7</v>
      </c>
      <c r="L70" s="233">
        <f t="shared" si="237"/>
        <v>0</v>
      </c>
      <c r="M70" s="233">
        <f t="shared" si="238"/>
        <v>0</v>
      </c>
      <c r="N70" s="60">
        <f t="shared" ref="N70:AE70" si="259">IFERROR(N20/$B56,".")</f>
        <v>2593906.9984395932</v>
      </c>
      <c r="O70" s="189">
        <f>IFERROR(O20/$B56,0)</f>
        <v>8.0976157017472149E-15</v>
      </c>
      <c r="P70" s="60">
        <f t="shared" si="259"/>
        <v>2593906.9984395932</v>
      </c>
      <c r="Q70" s="60">
        <f t="shared" si="259"/>
        <v>27680890.434190221</v>
      </c>
      <c r="R70" s="60">
        <f t="shared" si="259"/>
        <v>6452856.8119587451</v>
      </c>
      <c r="S70" s="60">
        <f t="shared" si="259"/>
        <v>3162573.9555831333</v>
      </c>
      <c r="T70" s="60">
        <f t="shared" si="259"/>
        <v>42467748.963691041</v>
      </c>
      <c r="U70" s="189">
        <f t="shared" ref="U70:Y70" si="260">IFERROR(U20/$B56,0)</f>
        <v>8.0976157017472149E-15</v>
      </c>
      <c r="V70" s="189">
        <f t="shared" si="260"/>
        <v>8.6413743111485328E-14</v>
      </c>
      <c r="W70" s="189">
        <f t="shared" si="260"/>
        <v>2.014442101165427E-14</v>
      </c>
      <c r="X70" s="189">
        <f t="shared" si="260"/>
        <v>9.872870745201145E-15</v>
      </c>
      <c r="Y70" s="189">
        <f t="shared" si="260"/>
        <v>1.3257511199634938E-16</v>
      </c>
      <c r="Z70" s="60" t="str">
        <f t="shared" si="259"/>
        <v>.</v>
      </c>
      <c r="AA70" s="60">
        <f t="shared" si="259"/>
        <v>263296306.20176324</v>
      </c>
      <c r="AB70" s="60">
        <f t="shared" si="259"/>
        <v>0</v>
      </c>
      <c r="AC70" s="189">
        <f t="shared" ref="AC70" si="261">IFERROR(AC20/$B56,0)</f>
        <v>0</v>
      </c>
      <c r="AD70" s="60" t="str">
        <f t="shared" si="259"/>
        <v>.</v>
      </c>
      <c r="AE70" s="60">
        <f t="shared" si="259"/>
        <v>121570590.95585667</v>
      </c>
      <c r="AF70" s="60" t="str">
        <f>IFERROR(AF20/$B56,".")</f>
        <v>.</v>
      </c>
      <c r="AG70" s="60" t="str">
        <f>IFERROR(AG20/$B56,".")</f>
        <v>.</v>
      </c>
      <c r="AH70" s="233">
        <f t="shared" si="229"/>
        <v>0</v>
      </c>
      <c r="AI70" s="233">
        <f t="shared" si="230"/>
        <v>8.225673595377262E-9</v>
      </c>
      <c r="AJ70" s="233">
        <f t="shared" si="242"/>
        <v>0</v>
      </c>
      <c r="AK70" s="233">
        <f t="shared" si="243"/>
        <v>0</v>
      </c>
      <c r="AL70" s="60">
        <f>IFERROR(AL20/$B56,".")</f>
        <v>121570590.95585667</v>
      </c>
      <c r="AM70" s="189">
        <f t="shared" ref="AM70" si="262">IFERROR(AM20/$B56,0)</f>
        <v>3.7951704775345987E-16</v>
      </c>
      <c r="AN70" s="60" t="str">
        <f>IFERROR(AN20/$B56,".")</f>
        <v>.</v>
      </c>
      <c r="AO70" s="60" t="str">
        <f>IFERROR(AO20/$B56,".")</f>
        <v>.</v>
      </c>
      <c r="AP70" s="189">
        <f t="shared" ref="AP70" si="263">IFERROR(AP20/$B56,0)</f>
        <v>0</v>
      </c>
      <c r="AQ70" s="189">
        <f t="shared" ref="AQ70" si="264">IFERROR(AQ20/$B56,0)</f>
        <v>0</v>
      </c>
    </row>
    <row r="71" spans="1:43" x14ac:dyDescent="0.25">
      <c r="A71" s="77" t="s">
        <v>1078</v>
      </c>
      <c r="B71" s="42">
        <v>2.0999995799999999E-4</v>
      </c>
      <c r="C71" s="170"/>
      <c r="D71" s="60" t="str">
        <f>IFERROR(D29/$B57,".")</f>
        <v>.</v>
      </c>
      <c r="E71" s="60" t="str">
        <f>IFERROR(E29/$B57,".")</f>
        <v>.</v>
      </c>
      <c r="F71" s="60">
        <f>IFERROR(F29/$B57,".")</f>
        <v>359196.86088502826</v>
      </c>
      <c r="G71" s="60" t="str">
        <f>IFERROR(G29/$B57,".")</f>
        <v>.</v>
      </c>
      <c r="H71" s="60" t="str">
        <f>IFERROR(H29/$B57,".")</f>
        <v>.</v>
      </c>
      <c r="I71" s="233">
        <f t="shared" si="234"/>
        <v>0</v>
      </c>
      <c r="J71" s="233">
        <f t="shared" si="235"/>
        <v>0</v>
      </c>
      <c r="K71" s="233">
        <f t="shared" si="236"/>
        <v>2.7839886950461964E-6</v>
      </c>
      <c r="L71" s="233">
        <f t="shared" si="237"/>
        <v>0</v>
      </c>
      <c r="M71" s="233">
        <f t="shared" si="238"/>
        <v>0</v>
      </c>
      <c r="N71" s="60">
        <f t="shared" ref="N71:AE71" si="265">IFERROR(N29/$B57,".")</f>
        <v>359196.86088502826</v>
      </c>
      <c r="O71" s="189">
        <f>IFERROR(O29/$B57,0)</f>
        <v>5.223936081821078E-10</v>
      </c>
      <c r="P71" s="60">
        <f t="shared" si="265"/>
        <v>359196.86088502826</v>
      </c>
      <c r="Q71" s="60">
        <f t="shared" si="265"/>
        <v>4111397.1455948153</v>
      </c>
      <c r="R71" s="60">
        <f t="shared" si="265"/>
        <v>963512.67594716989</v>
      </c>
      <c r="S71" s="60">
        <f t="shared" si="265"/>
        <v>466360.78201086511</v>
      </c>
      <c r="T71" s="60">
        <f t="shared" si="265"/>
        <v>5882858.9721843991</v>
      </c>
      <c r="U71" s="189">
        <f t="shared" ref="U71:Y71" si="266">IFERROR(U29/$B57,0)</f>
        <v>5.223936081821078E-10</v>
      </c>
      <c r="V71" s="189">
        <f t="shared" si="266"/>
        <v>5.9793606889130122E-9</v>
      </c>
      <c r="W71" s="189">
        <f t="shared" si="266"/>
        <v>1.4012730013204286E-9</v>
      </c>
      <c r="X71" s="189">
        <f t="shared" si="266"/>
        <v>6.7824616013908976E-10</v>
      </c>
      <c r="Y71" s="189">
        <f t="shared" si="266"/>
        <v>8.5556647609165891E-12</v>
      </c>
      <c r="Z71" s="60" t="str">
        <f t="shared" si="265"/>
        <v>.</v>
      </c>
      <c r="AA71" s="60">
        <f t="shared" si="265"/>
        <v>36086437.706334196</v>
      </c>
      <c r="AB71" s="60">
        <f t="shared" si="265"/>
        <v>0</v>
      </c>
      <c r="AC71" s="189">
        <f t="shared" ref="AC71" si="267">IFERROR(AC29/$B57,0)</f>
        <v>0</v>
      </c>
      <c r="AD71" s="60" t="str">
        <f t="shared" si="265"/>
        <v>.</v>
      </c>
      <c r="AE71" s="60">
        <f t="shared" si="265"/>
        <v>16713718.516617946</v>
      </c>
      <c r="AF71" s="60" t="str">
        <f>IFERROR(AF29/$B57,".")</f>
        <v>.</v>
      </c>
      <c r="AG71" s="60" t="str">
        <f>IFERROR(AG29/$B57,".")</f>
        <v>.</v>
      </c>
      <c r="AH71" s="233">
        <f t="shared" si="229"/>
        <v>0</v>
      </c>
      <c r="AI71" s="233">
        <f t="shared" si="230"/>
        <v>5.983109019131381E-8</v>
      </c>
      <c r="AJ71" s="233">
        <f t="shared" si="242"/>
        <v>0</v>
      </c>
      <c r="AK71" s="233">
        <f t="shared" si="243"/>
        <v>0</v>
      </c>
      <c r="AL71" s="60">
        <f>IFERROR(AL29/$B57,".")</f>
        <v>16713718.516617946</v>
      </c>
      <c r="AM71" s="189">
        <f t="shared" ref="AM71" si="268">IFERROR(AM29/$B57,0)</f>
        <v>2.4307394281017442E-11</v>
      </c>
      <c r="AN71" s="60" t="str">
        <f>IFERROR(AN29/$B57,".")</f>
        <v>.</v>
      </c>
      <c r="AO71" s="60" t="str">
        <f>IFERROR(AO29/$B57,".")</f>
        <v>.</v>
      </c>
      <c r="AP71" s="189">
        <f t="shared" ref="AP71" si="269">IFERROR(AP29/$B57,0)</f>
        <v>0</v>
      </c>
      <c r="AQ71" s="189">
        <f t="shared" ref="AQ71" si="270">IFERROR(AQ29/$B57,0)</f>
        <v>0</v>
      </c>
    </row>
    <row r="72" spans="1:43" x14ac:dyDescent="0.25">
      <c r="A72" s="77" t="s">
        <v>1079</v>
      </c>
      <c r="B72" s="42">
        <v>1</v>
      </c>
      <c r="C72" s="170"/>
      <c r="D72" s="60">
        <f>IFERROR(D16/$B58,".")</f>
        <v>28.723127718823555</v>
      </c>
      <c r="E72" s="60">
        <f>IFERROR(E16/$B58,".")</f>
        <v>1101506.8484777689</v>
      </c>
      <c r="F72" s="60">
        <f>IFERROR(F16/$B58,".")</f>
        <v>424389.81852006185</v>
      </c>
      <c r="G72" s="60">
        <f>IFERROR(G16/$B58,".")</f>
        <v>3997.2194514484781</v>
      </c>
      <c r="H72" s="60" t="str">
        <f>IFERROR(H16/$B58,".")</f>
        <v>.</v>
      </c>
      <c r="I72" s="233">
        <f t="shared" si="234"/>
        <v>3.4815150000000003E-2</v>
      </c>
      <c r="J72" s="233">
        <f t="shared" si="235"/>
        <v>9.0784728336637522E-7</v>
      </c>
      <c r="K72" s="233">
        <f t="shared" si="236"/>
        <v>2.3563242009132408E-6</v>
      </c>
      <c r="L72" s="233">
        <f t="shared" si="237"/>
        <v>2.5017390517241393E-4</v>
      </c>
      <c r="M72" s="233">
        <f t="shared" si="238"/>
        <v>0</v>
      </c>
      <c r="N72" s="60">
        <f t="shared" ref="N72:AE72" si="271">IFERROR(N16/$B58,".")</f>
        <v>28.515547812021754</v>
      </c>
      <c r="O72" s="189">
        <f>IFERROR(O16/$B58,0)</f>
        <v>3.7223055491900723E-7</v>
      </c>
      <c r="P72" s="60">
        <f t="shared" si="271"/>
        <v>424389.81852006185</v>
      </c>
      <c r="Q72" s="60">
        <f t="shared" si="271"/>
        <v>583530.77192898234</v>
      </c>
      <c r="R72" s="60">
        <f t="shared" si="271"/>
        <v>412386.87415787758</v>
      </c>
      <c r="S72" s="60">
        <f t="shared" si="271"/>
        <v>384036.10056251351</v>
      </c>
      <c r="T72" s="60">
        <f t="shared" si="271"/>
        <v>364037.26028066827</v>
      </c>
      <c r="U72" s="189">
        <f t="shared" ref="U72:Y72" si="272">IFERROR(U16/$B58,0)</f>
        <v>5.53981493503348E-3</v>
      </c>
      <c r="V72" s="189">
        <f t="shared" si="272"/>
        <v>7.6171772844521642E-3</v>
      </c>
      <c r="W72" s="189">
        <f t="shared" si="272"/>
        <v>5.3831333005072719E-3</v>
      </c>
      <c r="X72" s="189">
        <f t="shared" si="272"/>
        <v>5.0130536423028263E-3</v>
      </c>
      <c r="Y72" s="189">
        <f t="shared" si="272"/>
        <v>4.7519967807997314E-6</v>
      </c>
      <c r="Z72" s="60">
        <f t="shared" si="271"/>
        <v>0.81032208530311234</v>
      </c>
      <c r="AA72" s="60">
        <f t="shared" si="271"/>
        <v>21238128.517120451</v>
      </c>
      <c r="AB72" s="60">
        <f t="shared" si="271"/>
        <v>0.81032205438598814</v>
      </c>
      <c r="AC72" s="189">
        <f t="shared" ref="AC72" si="273">IFERROR(AC16/$B58,0)</f>
        <v>1.0577619969132935E-11</v>
      </c>
      <c r="AD72" s="60">
        <f t="shared" si="271"/>
        <v>31.459881651071214</v>
      </c>
      <c r="AE72" s="60">
        <f t="shared" si="271"/>
        <v>9177209.661985077</v>
      </c>
      <c r="AF72" s="60">
        <f>IFERROR(AF16/$B58,".")</f>
        <v>5047063.8705932824</v>
      </c>
      <c r="AG72" s="60" t="str">
        <f>IFERROR(AG16/$B58,".")</f>
        <v>.</v>
      </c>
      <c r="AH72" s="233">
        <f t="shared" si="229"/>
        <v>3.1786515000000001E-2</v>
      </c>
      <c r="AI72" s="233">
        <f t="shared" si="230"/>
        <v>1.0896558287671232E-7</v>
      </c>
      <c r="AJ72" s="233">
        <f t="shared" si="242"/>
        <v>1.9813499999999999E-7</v>
      </c>
      <c r="AK72" s="233">
        <f t="shared" si="243"/>
        <v>0</v>
      </c>
      <c r="AL72" s="60">
        <f>IFERROR(AL16/$B58,".")</f>
        <v>31.459577709143282</v>
      </c>
      <c r="AM72" s="189">
        <f t="shared" ref="AM72" si="274">IFERROR(AM16/$B58,0)</f>
        <v>4.1066074358407272E-10</v>
      </c>
      <c r="AN72" s="60">
        <f>IFERROR(AN16/$B58,".")</f>
        <v>3.5329447094152973</v>
      </c>
      <c r="AO72" s="60">
        <f>IFERROR(AO16/$B58,".")</f>
        <v>3.5329447094152973</v>
      </c>
      <c r="AP72" s="189">
        <f t="shared" ref="AP72" si="275">IFERROR(AP16/$B58,0)</f>
        <v>4.6117647058823533E-8</v>
      </c>
      <c r="AQ72" s="189">
        <f t="shared" ref="AQ72" si="276">IFERROR(AQ16/$B58,0)</f>
        <v>4.6117647058823533E-8</v>
      </c>
    </row>
    <row r="73" spans="1:43" x14ac:dyDescent="0.25">
      <c r="A73" s="77" t="s">
        <v>1080</v>
      </c>
      <c r="B73" s="42">
        <v>1</v>
      </c>
      <c r="C73" s="170"/>
      <c r="D73" s="60">
        <f>IFERROR(D7/$B59,".")</f>
        <v>16276.439040666684</v>
      </c>
      <c r="E73" s="60">
        <f>IFERROR(E7/$B59,".")</f>
        <v>45493741.755622923</v>
      </c>
      <c r="F73" s="60">
        <f>IFERROR(F7/$B59,".")</f>
        <v>285741.5723392049</v>
      </c>
      <c r="G73" s="60">
        <f>IFERROR(G7/$B59,".")</f>
        <v>572000.57200057199</v>
      </c>
      <c r="H73" s="60" t="str">
        <f>IFERROR(H7/$B59,".")</f>
        <v>.</v>
      </c>
      <c r="I73" s="233">
        <f t="shared" si="234"/>
        <v>6.1438499999999998E-5</v>
      </c>
      <c r="J73" s="233">
        <f t="shared" si="235"/>
        <v>2.1981045335238936E-8</v>
      </c>
      <c r="K73" s="233">
        <f t="shared" si="236"/>
        <v>3.4996657707646974E-6</v>
      </c>
      <c r="L73" s="233">
        <f t="shared" si="237"/>
        <v>1.7482499999999999E-6</v>
      </c>
      <c r="M73" s="233">
        <f t="shared" si="238"/>
        <v>0</v>
      </c>
      <c r="N73" s="60">
        <f t="shared" ref="N73:AE73" si="277">IFERROR(N7/$B59,".")</f>
        <v>14990.616589944073</v>
      </c>
      <c r="O73" s="189">
        <f>IFERROR(O7/$B59,0)</f>
        <v>1.2106027684287457E-7</v>
      </c>
      <c r="P73" s="60">
        <f t="shared" si="277"/>
        <v>285741.5723392049</v>
      </c>
      <c r="Q73" s="60">
        <f t="shared" si="277"/>
        <v>744366.26899153669</v>
      </c>
      <c r="R73" s="60">
        <f t="shared" si="277"/>
        <v>357504.00070870714</v>
      </c>
      <c r="S73" s="60">
        <f t="shared" si="277"/>
        <v>262674.15254818671</v>
      </c>
      <c r="T73" s="60">
        <f t="shared" si="277"/>
        <v>74518.376513113224</v>
      </c>
      <c r="U73" s="189">
        <f t="shared" ref="U73:Y73" si="278">IFERROR(U7/$B59,0)</f>
        <v>2.3075737842636313E-6</v>
      </c>
      <c r="V73" s="189">
        <f t="shared" si="278"/>
        <v>6.0113062098501224E-6</v>
      </c>
      <c r="W73" s="189">
        <f t="shared" si="278"/>
        <v>2.8871082812740246E-6</v>
      </c>
      <c r="X73" s="189">
        <f t="shared" si="278"/>
        <v>2.1212873690787649E-6</v>
      </c>
      <c r="Y73" s="189">
        <f t="shared" si="278"/>
        <v>6.0179080936608128E-10</v>
      </c>
      <c r="Z73" s="60">
        <f t="shared" si="277"/>
        <v>33.467412153272377</v>
      </c>
      <c r="AA73" s="60">
        <f t="shared" si="277"/>
        <v>3877193.2292882688</v>
      </c>
      <c r="AB73" s="60">
        <f t="shared" si="277"/>
        <v>33.467123269551138</v>
      </c>
      <c r="AC73" s="189">
        <f t="shared" ref="AC73" si="279">IFERROR(AC7/$B59,0)</f>
        <v>2.7027168521302204E-13</v>
      </c>
      <c r="AD73" s="60">
        <f t="shared" si="277"/>
        <v>17827.266268940359</v>
      </c>
      <c r="AE73" s="60">
        <f t="shared" si="277"/>
        <v>3356764.6079072929</v>
      </c>
      <c r="AF73" s="60">
        <f>IFERROR(AF7/$B59,".")</f>
        <v>1001001001.0010011</v>
      </c>
      <c r="AG73" s="60" t="str">
        <f>IFERROR(AG7/$B59,".")</f>
        <v>.</v>
      </c>
      <c r="AH73" s="233">
        <f t="shared" si="229"/>
        <v>5.6093849999999991E-5</v>
      </c>
      <c r="AI73" s="233">
        <f t="shared" si="230"/>
        <v>2.9790590547945206E-7</v>
      </c>
      <c r="AJ73" s="233">
        <f t="shared" si="242"/>
        <v>9.9899999999999996E-10</v>
      </c>
      <c r="AK73" s="233">
        <f t="shared" si="243"/>
        <v>0</v>
      </c>
      <c r="AL73" s="60">
        <f>IFERROR(AL7/$B59,".")</f>
        <v>17732.774390542043</v>
      </c>
      <c r="AM73" s="189">
        <f t="shared" ref="AM73" si="280">IFERROR(AM7/$B59,0)</f>
        <v>1.4320522201543848E-10</v>
      </c>
      <c r="AN73" s="60">
        <f>IFERROR(AN7/$B59,".")</f>
        <v>2002.0020020020022</v>
      </c>
      <c r="AO73" s="60">
        <f>IFERROR(AO7/$B59,".")</f>
        <v>2002.0020020020022</v>
      </c>
      <c r="AP73" s="189">
        <f t="shared" ref="AP73" si="281">IFERROR(AP7/$B59,0)</f>
        <v>1.6167641614217002E-8</v>
      </c>
      <c r="AQ73" s="189">
        <f t="shared" ref="AQ73" si="282">IFERROR(AQ7/$B59,0)</f>
        <v>1.6167641614217002E-8</v>
      </c>
    </row>
    <row r="74" spans="1:43" x14ac:dyDescent="0.25">
      <c r="A74" s="77" t="s">
        <v>1081</v>
      </c>
      <c r="B74" s="80">
        <v>1.9000000000000001E-8</v>
      </c>
      <c r="C74" s="174"/>
      <c r="D74" s="60" t="str">
        <f>IFERROR(D12/$B60,".")</f>
        <v>.</v>
      </c>
      <c r="E74" s="60" t="str">
        <f>IFERROR(E12/$B60,".")</f>
        <v>.</v>
      </c>
      <c r="F74" s="60">
        <f>IFERROR(F12/$B60,".")</f>
        <v>127129800804.11568</v>
      </c>
      <c r="G74" s="60" t="str">
        <f>IFERROR(G12/$B60,".")</f>
        <v>.</v>
      </c>
      <c r="H74" s="60" t="str">
        <f>IFERROR(H12/$B60,".")</f>
        <v>.</v>
      </c>
      <c r="I74" s="233">
        <f t="shared" si="234"/>
        <v>0</v>
      </c>
      <c r="J74" s="233">
        <f t="shared" si="235"/>
        <v>0</v>
      </c>
      <c r="K74" s="233">
        <f t="shared" si="236"/>
        <v>7.8659762988287961E-12</v>
      </c>
      <c r="L74" s="233">
        <f t="shared" si="237"/>
        <v>0</v>
      </c>
      <c r="M74" s="233">
        <f t="shared" si="238"/>
        <v>0</v>
      </c>
      <c r="N74" s="60">
        <f t="shared" ref="N74:AE74" si="283">IFERROR(N12/$B60,".")</f>
        <v>127129800804.11568</v>
      </c>
      <c r="O74" s="189">
        <f>IFERROR(O12/$B60,0)</f>
        <v>1.137037715365457E-3</v>
      </c>
      <c r="P74" s="60">
        <f t="shared" si="283"/>
        <v>127129800804.11568</v>
      </c>
      <c r="Q74" s="60">
        <f t="shared" si="283"/>
        <v>890522555932.92004</v>
      </c>
      <c r="R74" s="60">
        <f t="shared" si="283"/>
        <v>221706563718.37573</v>
      </c>
      <c r="S74" s="60">
        <f t="shared" si="283"/>
        <v>127524929357.7843</v>
      </c>
      <c r="T74" s="60">
        <f t="shared" si="283"/>
        <v>932375606406.24182</v>
      </c>
      <c r="U74" s="189">
        <f t="shared" ref="U74:Y74" si="284">IFERROR(U12/$B60,0)</f>
        <v>1.137037715365457E-3</v>
      </c>
      <c r="V74" s="189">
        <f t="shared" si="284"/>
        <v>7.9647551248785923E-3</v>
      </c>
      <c r="W74" s="189">
        <f t="shared" si="284"/>
        <v>1.9829239336282122E-3</v>
      </c>
      <c r="X74" s="189">
        <f t="shared" si="284"/>
        <v>1.1405717102674965E-3</v>
      </c>
      <c r="Y74" s="189">
        <f t="shared" si="284"/>
        <v>8.3390851135221391E-6</v>
      </c>
      <c r="Z74" s="60" t="str">
        <f t="shared" si="283"/>
        <v>.</v>
      </c>
      <c r="AA74" s="60">
        <f t="shared" si="283"/>
        <v>9469101222608.6094</v>
      </c>
      <c r="AB74" s="60">
        <f t="shared" si="283"/>
        <v>0</v>
      </c>
      <c r="AC74" s="189">
        <f t="shared" ref="AC74" si="285">IFERROR(AC12/$B60,0)</f>
        <v>0</v>
      </c>
      <c r="AD74" s="60" t="str">
        <f t="shared" si="283"/>
        <v>.</v>
      </c>
      <c r="AE74" s="60">
        <f t="shared" si="283"/>
        <v>4424218722496.1221</v>
      </c>
      <c r="AF74" s="60" t="str">
        <f>IFERROR(AF12/$B60,".")</f>
        <v>.</v>
      </c>
      <c r="AG74" s="60" t="str">
        <f>IFERROR(AG12/$B60,".")</f>
        <v>.</v>
      </c>
      <c r="AH74" s="233">
        <f t="shared" si="229"/>
        <v>0</v>
      </c>
      <c r="AI74" s="233">
        <f t="shared" si="230"/>
        <v>2.2602860815068497E-13</v>
      </c>
      <c r="AJ74" s="233">
        <f t="shared" si="242"/>
        <v>0</v>
      </c>
      <c r="AK74" s="233">
        <f t="shared" si="243"/>
        <v>0</v>
      </c>
      <c r="AL74" s="60">
        <f>IFERROR(AL12/$B60,".")</f>
        <v>4424218722496.1221</v>
      </c>
      <c r="AM74" s="189">
        <f t="shared" ref="AM74" si="286">IFERROR(AM12/$B60,0)</f>
        <v>3.9569821683707186E-5</v>
      </c>
      <c r="AN74" s="60" t="str">
        <f>IFERROR(AN12/$B60,".")</f>
        <v>.</v>
      </c>
      <c r="AO74" s="60" t="str">
        <f>IFERROR(AO12/$B60,".")</f>
        <v>.</v>
      </c>
      <c r="AP74" s="189">
        <f t="shared" ref="AP74" si="287">IFERROR(AP12/$B60,0)</f>
        <v>0</v>
      </c>
      <c r="AQ74" s="189">
        <f t="shared" ref="AQ74" si="288">IFERROR(AQ12/$B60,0)</f>
        <v>0</v>
      </c>
    </row>
    <row r="75" spans="1:43" x14ac:dyDescent="0.25">
      <c r="A75" s="77" t="s">
        <v>1082</v>
      </c>
      <c r="B75" s="42">
        <v>1</v>
      </c>
      <c r="C75" s="170"/>
      <c r="D75" s="60">
        <f>IFERROR(D18/$B61,".")</f>
        <v>16.741480156114303</v>
      </c>
      <c r="E75" s="60">
        <f>IFERROR(E18/$B61,".")</f>
        <v>1419249.2086155869</v>
      </c>
      <c r="F75" s="60">
        <f>IFERROR(F18/$B61,".")</f>
        <v>22013393.949983113</v>
      </c>
      <c r="G75" s="60">
        <f>IFERROR(G18/$B61,".")</f>
        <v>548.9993906343401</v>
      </c>
      <c r="H75" s="60">
        <f>IFERROR(H18/$B61,".")</f>
        <v>0.68624923829292517</v>
      </c>
      <c r="I75" s="233">
        <f t="shared" si="234"/>
        <v>5.9731874999999997E-2</v>
      </c>
      <c r="J75" s="233">
        <f t="shared" si="235"/>
        <v>7.0459789156793302E-7</v>
      </c>
      <c r="K75" s="233">
        <f t="shared" si="236"/>
        <v>4.5426888841952838E-8</v>
      </c>
      <c r="L75" s="233">
        <f t="shared" si="237"/>
        <v>1.8214956465517243E-3</v>
      </c>
      <c r="M75" s="233">
        <f t="shared" si="238"/>
        <v>1.4571965172413794</v>
      </c>
      <c r="N75" s="60">
        <f t="shared" ref="N75:AE75" si="289">IFERROR(N18/$B61,".")</f>
        <v>0.65843593743232642</v>
      </c>
      <c r="O75" s="189">
        <f>IFERROR(O18/$B61,0)</f>
        <v>1.4677725477135258E-10</v>
      </c>
      <c r="P75" s="60">
        <f t="shared" si="289"/>
        <v>22013393.949983113</v>
      </c>
      <c r="Q75" s="60">
        <f t="shared" si="289"/>
        <v>235931170.18229866</v>
      </c>
      <c r="R75" s="60">
        <f t="shared" si="289"/>
        <v>54987056.644858643</v>
      </c>
      <c r="S75" s="60">
        <f t="shared" si="289"/>
        <v>27113793.961003933</v>
      </c>
      <c r="T75" s="60">
        <f t="shared" si="289"/>
        <v>362246929.09492135</v>
      </c>
      <c r="U75" s="189">
        <f t="shared" ref="U75:Y75" si="290">IFERROR(U18/$B61,0)</f>
        <v>4.9071828381343626E-3</v>
      </c>
      <c r="V75" s="189">
        <f t="shared" si="290"/>
        <v>5.2593316229659431E-2</v>
      </c>
      <c r="W75" s="189">
        <f t="shared" si="290"/>
        <v>1.2257607404849054E-2</v>
      </c>
      <c r="X75" s="189">
        <f t="shared" si="290"/>
        <v>6.044154059317677E-3</v>
      </c>
      <c r="Y75" s="189">
        <f t="shared" si="290"/>
        <v>8.0751378804213731E-5</v>
      </c>
      <c r="Z75" s="60">
        <f t="shared" si="289"/>
        <v>1.04406884067901</v>
      </c>
      <c r="AA75" s="60">
        <f t="shared" si="289"/>
        <v>2247900793.609828</v>
      </c>
      <c r="AB75" s="60">
        <f t="shared" si="289"/>
        <v>1.0440688401940776</v>
      </c>
      <c r="AC75" s="189">
        <f t="shared" ref="AC75" si="291">IFERROR(AC18/$B61,0)</f>
        <v>2.3274178920670958E-13</v>
      </c>
      <c r="AD75" s="60">
        <f t="shared" si="289"/>
        <v>18.336616733767226</v>
      </c>
      <c r="AE75" s="60">
        <f t="shared" si="289"/>
        <v>1036596739.0221485</v>
      </c>
      <c r="AF75" s="60">
        <f>IFERROR(AF18/$B61,".")</f>
        <v>686400.68640068639</v>
      </c>
      <c r="AG75" s="60">
        <f>IFERROR(AG18/$B61,".")</f>
        <v>858.0008580008581</v>
      </c>
      <c r="AH75" s="233">
        <f t="shared" si="229"/>
        <v>5.4535687499999992E-2</v>
      </c>
      <c r="AI75" s="233">
        <f t="shared" si="230"/>
        <v>9.6469529794520554E-10</v>
      </c>
      <c r="AJ75" s="233">
        <f t="shared" si="242"/>
        <v>1.4568749999999999E-6</v>
      </c>
      <c r="AK75" s="233">
        <f t="shared" si="243"/>
        <v>1.1654999999999999E-3</v>
      </c>
      <c r="AL75" s="60">
        <f>IFERROR(AL18/$B61,".")</f>
        <v>17.952468754430441</v>
      </c>
      <c r="AM75" s="189">
        <f t="shared" ref="AM75" si="292">IFERROR(AM18/$B61,0)</f>
        <v>4.0019293151273487E-12</v>
      </c>
      <c r="AN75" s="60">
        <f>IFERROR(AN18/$B61,".")</f>
        <v>2.0592020592020592</v>
      </c>
      <c r="AO75" s="60">
        <f>IFERROR(AO18/$B61,".")</f>
        <v>2.0592020592020592</v>
      </c>
      <c r="AP75" s="189">
        <f t="shared" ref="AP75" si="293">IFERROR(AP18/$B61,0)</f>
        <v>4.5903330618289485E-10</v>
      </c>
      <c r="AQ75" s="189">
        <f t="shared" ref="AQ75" si="294">IFERROR(AQ18/$B61,0)</f>
        <v>4.5903330618289485E-10</v>
      </c>
    </row>
    <row r="76" spans="1:43" x14ac:dyDescent="0.25">
      <c r="A76" s="77" t="s">
        <v>1083</v>
      </c>
      <c r="B76" s="42">
        <v>1.339E-6</v>
      </c>
      <c r="C76" s="170"/>
      <c r="D76" s="60" t="str">
        <f>IFERROR(D27/$B62,".")</f>
        <v>.</v>
      </c>
      <c r="E76" s="60" t="str">
        <f>IFERROR(E27/$B62,".")</f>
        <v>.</v>
      </c>
      <c r="F76" s="60">
        <f>IFERROR(F27/$B62,".")</f>
        <v>74534671660.443451</v>
      </c>
      <c r="G76" s="60" t="str">
        <f>IFERROR(G27/$B62,".")</f>
        <v>.</v>
      </c>
      <c r="H76" s="60" t="str">
        <f>IFERROR(H27/$B62,".")</f>
        <v>.</v>
      </c>
      <c r="I76" s="233">
        <f t="shared" si="234"/>
        <v>0</v>
      </c>
      <c r="J76" s="233">
        <f t="shared" si="235"/>
        <v>0</v>
      </c>
      <c r="K76" s="233">
        <f t="shared" si="236"/>
        <v>1.3416574833195562E-11</v>
      </c>
      <c r="L76" s="233">
        <f t="shared" si="237"/>
        <v>0</v>
      </c>
      <c r="M76" s="233">
        <f t="shared" si="238"/>
        <v>0</v>
      </c>
      <c r="N76" s="60">
        <f t="shared" ref="N76:AE76" si="295">IFERROR(N27/$B62,".")</f>
        <v>74534671660.443451</v>
      </c>
      <c r="O76" s="189">
        <f>IFERROR(O27/$B62,0)</f>
        <v>3.4354017157101215E-4</v>
      </c>
      <c r="P76" s="60">
        <f t="shared" si="295"/>
        <v>74534671660.443451</v>
      </c>
      <c r="Q76" s="60">
        <f t="shared" si="295"/>
        <v>192930553428.26318</v>
      </c>
      <c r="R76" s="60">
        <f t="shared" si="295"/>
        <v>109394025732.5824</v>
      </c>
      <c r="S76" s="60">
        <f t="shared" si="295"/>
        <v>82316347187.721207</v>
      </c>
      <c r="T76" s="60">
        <f t="shared" si="295"/>
        <v>18027630258.500164</v>
      </c>
      <c r="U76" s="189">
        <f t="shared" ref="U76:Y76" si="296">IFERROR(U27/$B62,0)</f>
        <v>3.4354017157101215E-4</v>
      </c>
      <c r="V76" s="189">
        <f t="shared" si="296"/>
        <v>8.8924246863236972E-4</v>
      </c>
      <c r="W76" s="189">
        <f t="shared" si="296"/>
        <v>5.0421155056835042E-4</v>
      </c>
      <c r="X76" s="189">
        <f t="shared" si="296"/>
        <v>3.7940694452641926E-4</v>
      </c>
      <c r="Y76" s="189">
        <f t="shared" si="296"/>
        <v>8.309173508187249E-8</v>
      </c>
      <c r="Z76" s="60" t="str">
        <f t="shared" si="295"/>
        <v>.</v>
      </c>
      <c r="AA76" s="60">
        <f t="shared" si="295"/>
        <v>1881767951865.2278</v>
      </c>
      <c r="AB76" s="60">
        <f t="shared" si="295"/>
        <v>0</v>
      </c>
      <c r="AC76" s="189">
        <f t="shared" ref="AC76" si="297">IFERROR(AC27/$B62,0)</f>
        <v>0</v>
      </c>
      <c r="AD76" s="60" t="str">
        <f t="shared" si="295"/>
        <v>.</v>
      </c>
      <c r="AE76" s="60">
        <f t="shared" si="295"/>
        <v>1572761846085.2537</v>
      </c>
      <c r="AF76" s="60" t="str">
        <f>IFERROR(AF27/$B62,".")</f>
        <v>.</v>
      </c>
      <c r="AG76" s="60" t="str">
        <f>IFERROR(AG27/$B62,".")</f>
        <v>.</v>
      </c>
      <c r="AH76" s="233">
        <f t="shared" si="229"/>
        <v>0</v>
      </c>
      <c r="AI76" s="233">
        <f t="shared" si="230"/>
        <v>6.358241729280821E-13</v>
      </c>
      <c r="AJ76" s="233">
        <f t="shared" si="242"/>
        <v>0</v>
      </c>
      <c r="AK76" s="233">
        <f t="shared" si="243"/>
        <v>0</v>
      </c>
      <c r="AL76" s="60">
        <f>IFERROR(AL27/$B62,".")</f>
        <v>1572761846085.2537</v>
      </c>
      <c r="AM76" s="189">
        <f t="shared" ref="AM76" si="298">IFERROR(AM27/$B62,0)</f>
        <v>7.2490676138742269E-6</v>
      </c>
      <c r="AN76" s="60" t="str">
        <f>IFERROR(AN27/$B62,".")</f>
        <v>.</v>
      </c>
      <c r="AO76" s="60" t="str">
        <f>IFERROR(AO27/$B62,".")</f>
        <v>.</v>
      </c>
      <c r="AP76" s="189">
        <f t="shared" ref="AP76" si="299">IFERROR(AP27/$B62,0)</f>
        <v>0</v>
      </c>
      <c r="AQ76" s="189">
        <f t="shared" ref="AQ76" si="300">IFERROR(AQ27/$B62,0)</f>
        <v>0</v>
      </c>
    </row>
  </sheetData>
  <sheetProtection algorithmName="SHA-512" hashValue="CfyeTYukhDRvWZPghlksVpSHlEX2oGVSe2ZSlEQs51HVegOfFzzSm1WetsobC0oIVjyRoZkYmv6bgX07YkR5Zw==" saltValue="sfj9wjm+Btpf9poU6FPFvA==" spinCount="100000" sheet="1" formatColumns="0" formatRows="0" autoFilter="0"/>
  <autoFilter ref="D1:AQ76" xr:uid="{00000000-0001-0000-0900-000000000000}"/>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499984740745262"/>
  </sheetPr>
  <dimension ref="A1:J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5.42578125" style="4" bestFit="1" customWidth="1"/>
    <col min="2" max="2" width="12" style="4" bestFit="1" customWidth="1"/>
    <col min="3" max="3" width="13.28515625" style="4" customWidth="1"/>
    <col min="4" max="4" width="17.7109375" bestFit="1" customWidth="1"/>
    <col min="5" max="6" width="18.85546875" bestFit="1" customWidth="1"/>
    <col min="7" max="7" width="14.28515625" style="3" bestFit="1" customWidth="1"/>
    <col min="8" max="8" width="20.140625" bestFit="1" customWidth="1"/>
    <col min="9" max="9" width="15.42578125" style="3" bestFit="1" customWidth="1"/>
  </cols>
  <sheetData>
    <row r="1" spans="1:10" x14ac:dyDescent="0.25">
      <c r="A1" s="72" t="s">
        <v>39</v>
      </c>
      <c r="B1" s="73" t="s">
        <v>334</v>
      </c>
      <c r="C1" s="72"/>
      <c r="D1" s="105" t="s">
        <v>1221</v>
      </c>
      <c r="E1" s="105" t="s">
        <v>1509</v>
      </c>
      <c r="F1" s="105" t="s">
        <v>1316</v>
      </c>
      <c r="G1" s="189" t="s">
        <v>1521</v>
      </c>
      <c r="H1" s="105" t="s">
        <v>1514</v>
      </c>
      <c r="I1" s="189" t="s">
        <v>1539</v>
      </c>
    </row>
    <row r="2" spans="1:10" x14ac:dyDescent="0.25">
      <c r="A2" s="44" t="s">
        <v>0</v>
      </c>
      <c r="B2" s="42" t="s">
        <v>1057</v>
      </c>
      <c r="C2" s="42"/>
      <c r="D2" s="114">
        <f>IF(RadSpec!AX2*DAF=0,".",RadSpec!AX2*DAF)</f>
        <v>15</v>
      </c>
      <c r="E2" s="114">
        <f>IFERROR(d_res!AC2*DAF,".")</f>
        <v>2.096891767209204</v>
      </c>
      <c r="F2" s="114">
        <f>IFERROR((D2*0.001*(RadSpec!AU2+(θw/ρb))*1),".")</f>
        <v>25.503</v>
      </c>
      <c r="G2" s="189">
        <f>IFERROR(F2*(0.0000000000000028)*RadSpec!$AY2*RadSpec!$AF2,0)</f>
        <v>4.4018876712328764E-13</v>
      </c>
      <c r="H2" s="114">
        <f>IFERROR((E2*0.001*(RadSpec!AU2+(θw/ρb))*1),".")</f>
        <v>3.565135382609089</v>
      </c>
      <c r="I2" s="189">
        <f>IFERROR(H2*(0.0000000000000028)*RadSpec!$AY2*RadSpec!$AF2,0)</f>
        <v>6.1535213453252774E-14</v>
      </c>
    </row>
    <row r="3" spans="1:10" x14ac:dyDescent="0.25">
      <c r="A3" s="46" t="s">
        <v>1</v>
      </c>
      <c r="B3" s="42" t="s">
        <v>335</v>
      </c>
      <c r="C3" s="42"/>
      <c r="D3" s="114">
        <f>IF(RadSpec!AX3*DAF=0,".",RadSpec!AX3*DAF)</f>
        <v>15</v>
      </c>
      <c r="E3" s="114">
        <f>IFERROR(d_res!AC3*DAF,".")</f>
        <v>0.46323856908812622</v>
      </c>
      <c r="F3" s="114">
        <f>IFERROR((D3*0.001*(RadSpec!AU3+(θw/ρb))*1),".")</f>
        <v>6.3E-2</v>
      </c>
      <c r="G3" s="189">
        <f>IFERROR(F3*(0.0000000000000028)*RadSpec!$AY3*RadSpec!$AF3,0)</f>
        <v>1.8373859280000002E-11</v>
      </c>
      <c r="H3" s="114">
        <f>IFERROR((E3*0.001*(RadSpec!AU3+(θw/ρb))*1),".")</f>
        <v>1.9456019901701303E-3</v>
      </c>
      <c r="I3" s="189">
        <f>IFERROR(H3*(0.0000000000000028)*RadSpec!$AY3*RadSpec!$AF3,0)</f>
        <v>5.674320187662527E-13</v>
      </c>
    </row>
    <row r="4" spans="1:10" x14ac:dyDescent="0.25">
      <c r="A4" s="44" t="s">
        <v>2</v>
      </c>
      <c r="B4" s="42" t="s">
        <v>1057</v>
      </c>
      <c r="C4" s="42"/>
      <c r="D4" s="114">
        <f>IF(RadSpec!AX4*DAF=0,".",RadSpec!AX4*DAF)</f>
        <v>15</v>
      </c>
      <c r="E4" s="114">
        <f>IFERROR(d_res!AC4*DAF,".")</f>
        <v>13831223.490893679</v>
      </c>
      <c r="F4" s="114">
        <f>IFERROR((D4*0.001*(RadSpec!AU4+(θw/ρb))*1),".")</f>
        <v>0.153</v>
      </c>
      <c r="G4" s="189">
        <f>IFERROR(F4*(0.0000000000000028)*RadSpec!$AY4*RadSpec!$AF4,0)</f>
        <v>9.5214942922374793E-23</v>
      </c>
      <c r="H4" s="114">
        <f>IFERROR((E4*0.001*(RadSpec!AU4+(θw/ρb))*1),".")</f>
        <v>141078.47960711553</v>
      </c>
      <c r="I4" s="189">
        <f>IFERROR(H4*(0.0000000000000028)*RadSpec!$AY4*RadSpec!$AF4,0)</f>
        <v>8.7795943682136744E-17</v>
      </c>
    </row>
    <row r="5" spans="1:10" x14ac:dyDescent="0.25">
      <c r="A5" s="44" t="s">
        <v>3</v>
      </c>
      <c r="B5" s="42" t="s">
        <v>1057</v>
      </c>
      <c r="C5" s="238"/>
      <c r="D5" s="114">
        <f>IF(RadSpec!AX5*DAF=0,".",RadSpec!AX5*DAF)</f>
        <v>15</v>
      </c>
      <c r="E5" s="114">
        <f>IFERROR(d_res!AC5*DAF,".")</f>
        <v>255601010.1117152</v>
      </c>
      <c r="F5" s="114">
        <f>IFERROR((D5*0.001*(RadSpec!AU5+(θw/ρb))*1),".")</f>
        <v>0.153</v>
      </c>
      <c r="G5" s="189">
        <f>IFERROR(F5*(0.0000000000000028)*RadSpec!$AY5*RadSpec!$AF5,0)</f>
        <v>4.442123287671235E-21</v>
      </c>
      <c r="H5" s="114">
        <f>IFERROR((E5*0.001*(RadSpec!AU5+(θw/ρb))*1),".")</f>
        <v>2607130.3031394947</v>
      </c>
      <c r="I5" s="189">
        <f>IFERROR(H5*(0.0000000000000028)*RadSpec!$AY5*RadSpec!$AF5,0)</f>
        <v>7.5694079957969378E-14</v>
      </c>
    </row>
    <row r="6" spans="1:10" x14ac:dyDescent="0.25">
      <c r="A6" s="44" t="s">
        <v>4</v>
      </c>
      <c r="B6" s="42" t="s">
        <v>1057</v>
      </c>
      <c r="C6" s="42"/>
      <c r="D6" s="114" t="str">
        <f>IF(RadSpec!AX6*DAF=0,".",RadSpec!AX6*DAF)</f>
        <v>.</v>
      </c>
      <c r="E6" s="114">
        <f>IFERROR(d_res!AC6*DAF,".")</f>
        <v>5480.2961001654203</v>
      </c>
      <c r="F6" s="114" t="str">
        <f>IFERROR((D6*0.001*(RadSpec!AU6+(θw/ρb))*1),".")</f>
        <v>.</v>
      </c>
      <c r="G6" s="189">
        <f>IFERROR(F6*(0.0000000000000028)*RadSpec!$AY6*RadSpec!$AF6,0)</f>
        <v>0</v>
      </c>
      <c r="H6" s="114">
        <f>IFERROR((E6*0.001*(RadSpec!AU6+(θw/ρb))*1),".")</f>
        <v>3.2881776600992518</v>
      </c>
      <c r="I6" s="189">
        <f>IFERROR(H6*(0.0000000000000028)*RadSpec!$AY6*RadSpec!$AF6,0)</f>
        <v>6.1243384959222065E-18</v>
      </c>
    </row>
    <row r="7" spans="1:10" x14ac:dyDescent="0.25">
      <c r="A7" s="44" t="s">
        <v>5</v>
      </c>
      <c r="B7" s="42" t="s">
        <v>1057</v>
      </c>
      <c r="C7" s="238"/>
      <c r="D7" s="114">
        <f>IF(RadSpec!AX7*DAF=0,".",RadSpec!AX7*DAF)</f>
        <v>15</v>
      </c>
      <c r="E7" s="114">
        <f>IFERROR(d_res!AC7*DAF,".")</f>
        <v>36.498083363721484</v>
      </c>
      <c r="F7" s="114">
        <f>IFERROR((D7*0.001*(RadSpec!AU7+(θw/ρb))*1),".")</f>
        <v>7.2029999999999994</v>
      </c>
      <c r="G7" s="189">
        <f>IFERROR(F7*(0.0000000000000028)*RadSpec!$AY7*RadSpec!$AF7,0)</f>
        <v>5.8169533512328904E-14</v>
      </c>
      <c r="H7" s="114">
        <f>IFERROR((E7*0.001*(RadSpec!AU7+(θw/ρb))*1),".")</f>
        <v>17.526379631259058</v>
      </c>
      <c r="I7" s="189">
        <f>IFERROR(H7*(0.0000000000000028)*RadSpec!$AY7*RadSpec!$AF7,0)</f>
        <v>1.4153843222411808E-13</v>
      </c>
    </row>
    <row r="8" spans="1:10" x14ac:dyDescent="0.25">
      <c r="A8" s="44" t="s">
        <v>6</v>
      </c>
      <c r="B8" s="42" t="s">
        <v>1057</v>
      </c>
      <c r="C8" s="42"/>
      <c r="D8" s="114">
        <f>IF(RadSpec!AX8*DAF=0,".",RadSpec!AX8*DAF)</f>
        <v>15</v>
      </c>
      <c r="E8" s="114">
        <f>IFERROR(d_res!AC8*DAF,".")</f>
        <v>242.79744740387881</v>
      </c>
      <c r="F8" s="114">
        <f>IFERROR((D8*0.001*(RadSpec!AU8+(θw/ρb))*1),".")</f>
        <v>7.2029999999999994</v>
      </c>
      <c r="G8" s="189">
        <f>IFERROR(F8*(0.0000000000000028)*RadSpec!$AY8*RadSpec!$AF8,0)</f>
        <v>3.7261924815068469E-16</v>
      </c>
      <c r="H8" s="114">
        <f>IFERROR((E8*0.001*(RadSpec!AU8+(θw/ρb))*1),".")</f>
        <v>116.5913342433426</v>
      </c>
      <c r="I8" s="189">
        <f>IFERROR(H8*(0.0000000000000028)*RadSpec!$AY8*RadSpec!$AF8,0)</f>
        <v>6.031400153635916E-15</v>
      </c>
    </row>
    <row r="9" spans="1:10" x14ac:dyDescent="0.25">
      <c r="A9" s="44" t="s">
        <v>7</v>
      </c>
      <c r="B9" s="42" t="s">
        <v>1057</v>
      </c>
      <c r="C9" s="238"/>
      <c r="D9" s="114">
        <f>IF(RadSpec!AX9*DAF=0,".",RadSpec!AX9*DAF)</f>
        <v>15</v>
      </c>
      <c r="E9" s="114">
        <f>IFERROR(d_res!AC9*DAF,".")</f>
        <v>10.519455450717498</v>
      </c>
      <c r="F9" s="114">
        <f>IFERROR((D9*0.001*(RadSpec!AU9+(θw/ρb))*1),".")</f>
        <v>7.2029999999999994</v>
      </c>
      <c r="G9" s="189">
        <f>IFERROR(F9*(0.0000000000000028)*RadSpec!$AY9*RadSpec!$AF9,0)</f>
        <v>1.6341162146118714E-16</v>
      </c>
      <c r="H9" s="114">
        <f>IFERROR((E9*0.001*(RadSpec!AU9+(θw/ρb))*1),".")</f>
        <v>5.051442507434543</v>
      </c>
      <c r="I9" s="189">
        <f>IFERROR(H9*(0.0000000000000028)*RadSpec!$AY9*RadSpec!$AF9,0)</f>
        <v>1.1460008480603134E-16</v>
      </c>
    </row>
    <row r="10" spans="1:10" x14ac:dyDescent="0.25">
      <c r="A10" s="46" t="s">
        <v>8</v>
      </c>
      <c r="B10" s="42" t="s">
        <v>335</v>
      </c>
      <c r="C10" s="42"/>
      <c r="D10" s="114">
        <f>IF(RadSpec!AX10*DAF=0,".",RadSpec!AX10*DAF)</f>
        <v>200</v>
      </c>
      <c r="E10" s="114">
        <f>IFERROR(d_res!AC10*DAF,".")</f>
        <v>7.1416497558227796</v>
      </c>
      <c r="F10" s="114">
        <f>IFERROR((D10*0.001*(RadSpec!AU10+(θw/ρb))*1),".")</f>
        <v>2.04</v>
      </c>
      <c r="G10" s="189">
        <f>IFERROR(F10*(0.0000000000000028)*RadSpec!$AY10*RadSpec!$AF10,0)</f>
        <v>2.3607083102400006E-11</v>
      </c>
      <c r="H10" s="114">
        <f>IFERROR((E10*0.001*(RadSpec!AU10+(θw/ρb))*1),".")</f>
        <v>7.2844827509392349E-2</v>
      </c>
      <c r="I10" s="189">
        <f>IFERROR(H10*(0.0000000000000028)*RadSpec!$AY10*RadSpec!$AF10,0)</f>
        <v>8.4296759636971515E-13</v>
      </c>
    </row>
    <row r="11" spans="1:10" x14ac:dyDescent="0.25">
      <c r="A11" s="44" t="s">
        <v>9</v>
      </c>
      <c r="B11" s="42" t="s">
        <v>1057</v>
      </c>
      <c r="C11" s="42"/>
      <c r="D11" s="114">
        <f>IF(RadSpec!AX11*DAF=0,".",RadSpec!AX11*DAF)</f>
        <v>15</v>
      </c>
      <c r="E11" s="114">
        <f>IFERROR(d_res!AC11*DAF,".")</f>
        <v>116182.27732350692</v>
      </c>
      <c r="F11" s="114">
        <f>IFERROR((D11*0.001*(RadSpec!AU11+(θw/ρb))*1),".")</f>
        <v>3.7529999999999997</v>
      </c>
      <c r="G11" s="189">
        <f>IFERROR(F11*(0.0000000000000028)*RadSpec!$AY11*RadSpec!$AF11,0)</f>
        <v>2.1650582876712336E-17</v>
      </c>
      <c r="H11" s="114">
        <f>IFERROR((E11*0.001*(RadSpec!AU11+(θw/ρb))*1),".")</f>
        <v>29068.805786341432</v>
      </c>
      <c r="I11" s="189">
        <f>IFERROR(H11*(0.0000000000000028)*RadSpec!$AY11*RadSpec!$AF11,0)</f>
        <v>1.6769426826651753E-13</v>
      </c>
      <c r="J11" s="228"/>
    </row>
    <row r="12" spans="1:10" x14ac:dyDescent="0.25">
      <c r="A12" s="44" t="s">
        <v>10</v>
      </c>
      <c r="B12" s="42" t="s">
        <v>1057</v>
      </c>
      <c r="C12" s="238"/>
      <c r="D12" s="114" t="str">
        <f>IF(RadSpec!AX12*DAF=0,".",RadSpec!AX12*DAF)</f>
        <v>.</v>
      </c>
      <c r="E12" s="114">
        <f>IFERROR(d_res!AC12*DAF,".")</f>
        <v>26848.845599970082</v>
      </c>
      <c r="F12" s="114" t="str">
        <f>IFERROR((D12*0.001*(RadSpec!AU12+(θw/ρb))*1),".")</f>
        <v>.</v>
      </c>
      <c r="G12" s="189">
        <f>IFERROR(F12*(0.0000000000000028)*RadSpec!$AY12*RadSpec!$AF12,0)</f>
        <v>0</v>
      </c>
      <c r="H12" s="114">
        <f>IFERROR((E12*0.001*(RadSpec!AU12+(θw/ρb))*1),".")</f>
        <v>169153.09704893152</v>
      </c>
      <c r="I12" s="189">
        <f>IFERROR(H12*(0.0000000000000028)*RadSpec!$AY12*RadSpec!$AF12,0)</f>
        <v>1.5128903671599394E-12</v>
      </c>
    </row>
    <row r="13" spans="1:10" x14ac:dyDescent="0.25">
      <c r="A13" s="44" t="s">
        <v>11</v>
      </c>
      <c r="B13" s="42" t="s">
        <v>1057</v>
      </c>
      <c r="C13" s="42"/>
      <c r="D13" s="114">
        <f>IF(RadSpec!AX13*DAF=0,".",RadSpec!AX13*DAF)</f>
        <v>15</v>
      </c>
      <c r="E13" s="114">
        <f>IFERROR(d_res!AC13*DAF,".")</f>
        <v>0.82942518363759743</v>
      </c>
      <c r="F13" s="114">
        <f>IFERROR((D13*0.001*(RadSpec!AU13+(θw/ρb))*1),".")</f>
        <v>6.0000000000000001E-3</v>
      </c>
      <c r="G13" s="189">
        <f>IFERROR(F13*(0.0000000000000028)*RadSpec!$AY13*RadSpec!$AF13,0)</f>
        <v>8.5365503999999996E-9</v>
      </c>
      <c r="H13" s="114">
        <f>IFERROR((E13*0.001*(RadSpec!AU13+(θw/ρb))*1),".")</f>
        <v>3.3177007345503904E-4</v>
      </c>
      <c r="I13" s="189">
        <f>IFERROR(H13*(0.0000000000000028)*RadSpec!$AY13*RadSpec!$AF13,0)</f>
        <v>4.7202865887677382E-10</v>
      </c>
    </row>
    <row r="14" spans="1:10" x14ac:dyDescent="0.25">
      <c r="A14" s="44" t="s">
        <v>12</v>
      </c>
      <c r="B14" s="42" t="s">
        <v>1057</v>
      </c>
      <c r="C14" s="42"/>
      <c r="D14" s="114">
        <f>IF(RadSpec!AX14*DAF=0,".",RadSpec!AX14*DAF)</f>
        <v>300</v>
      </c>
      <c r="E14" s="114">
        <f>IFERROR(d_res!AC14*DAF,".")</f>
        <v>77.929349056591079</v>
      </c>
      <c r="F14" s="114">
        <f>IFERROR((D14*0.001*(RadSpec!AU14+(θw/ρb))*1),".")</f>
        <v>600.05999999999995</v>
      </c>
      <c r="G14" s="189">
        <f>IFERROR(F14*(0.0000000000000028)*RadSpec!$AY14*RadSpec!$AF14,0)</f>
        <v>2.892333719519999E-11</v>
      </c>
      <c r="H14" s="114">
        <f>IFERROR((E14*0.001*(RadSpec!AU14+(θw/ρb))*1),".")</f>
        <v>155.87428398299346</v>
      </c>
      <c r="I14" s="189">
        <f>IFERROR(H14*(0.0000000000000028)*RadSpec!$AY14*RadSpec!$AF14,0)</f>
        <v>7.5132561338874127E-12</v>
      </c>
    </row>
    <row r="15" spans="1:10" x14ac:dyDescent="0.25">
      <c r="A15" s="44" t="s">
        <v>13</v>
      </c>
      <c r="B15" s="42" t="s">
        <v>1057</v>
      </c>
      <c r="C15" s="42"/>
      <c r="D15" s="114" t="str">
        <f>IF(RadSpec!AX15*DAF=0,".",RadSpec!AX15*DAF)</f>
        <v>.</v>
      </c>
      <c r="E15" s="114">
        <f>IFERROR(d_res!AC15*DAF,".")</f>
        <v>1326.7010887374761</v>
      </c>
      <c r="F15" s="114" t="str">
        <f>IFERROR((D15*0.001*(RadSpec!AU15+(θw/ρb))*1),".")</f>
        <v>.</v>
      </c>
      <c r="G15" s="189">
        <f>IFERROR(F15*(0.0000000000000028)*RadSpec!$AY15*RadSpec!$AF15,0)</f>
        <v>0</v>
      </c>
      <c r="H15" s="114">
        <f>IFERROR((E15*0.001*(RadSpec!AU15+(θw/ρb))*1),".")</f>
        <v>199.27050352836889</v>
      </c>
      <c r="I15" s="189">
        <f>IFERROR(H15*(0.0000000000000028)*RadSpec!$AY15*RadSpec!$AF15,0)</f>
        <v>4.3303928077237316E-14</v>
      </c>
    </row>
    <row r="16" spans="1:10" x14ac:dyDescent="0.25">
      <c r="A16" s="44" t="s">
        <v>14</v>
      </c>
      <c r="B16" s="42" t="s">
        <v>1057</v>
      </c>
      <c r="C16" s="238"/>
      <c r="D16" s="114" t="str">
        <f>IF(RadSpec!AX16*DAF=0,".",RadSpec!AX16*DAF)</f>
        <v>.</v>
      </c>
      <c r="E16" s="114">
        <f>IFERROR(d_res!AC16*DAF,".")</f>
        <v>9.720654908875985E-2</v>
      </c>
      <c r="F16" s="114" t="str">
        <f>IFERROR((D16*0.001*(RadSpec!AU16+(θw/ρb))*1),".")</f>
        <v>.</v>
      </c>
      <c r="G16" s="189">
        <f>IFERROR(F16*(0.0000000000000028)*RadSpec!$AY16*RadSpec!$AF16,0)</f>
        <v>0</v>
      </c>
      <c r="H16" s="114">
        <f>IFERROR((E16*0.001*(RadSpec!AU16+(θw/ρb))*1),".")</f>
        <v>1.4600423673131729E-2</v>
      </c>
      <c r="I16" s="189">
        <f>IFERROR(H16*(0.0000000000000028)*RadSpec!$AY16*RadSpec!$AF16,0)</f>
        <v>1.9058809045959236E-13</v>
      </c>
    </row>
    <row r="17" spans="1:9" x14ac:dyDescent="0.25">
      <c r="A17" s="44" t="s">
        <v>15</v>
      </c>
      <c r="B17" s="42" t="s">
        <v>1057</v>
      </c>
      <c r="C17" s="238"/>
      <c r="D17" s="114" t="str">
        <f>IF(RadSpec!AX17*DAF=0,".",RadSpec!AX17*DAF)</f>
        <v>.</v>
      </c>
      <c r="E17" s="114">
        <f>IFERROR(d_res!AC17*DAF,".")</f>
        <v>7.7094476659523963</v>
      </c>
      <c r="F17" s="114" t="str">
        <f>IFERROR((D17*0.001*(RadSpec!AU17+(θw/ρb))*1),".")</f>
        <v>.</v>
      </c>
      <c r="G17" s="189">
        <f>IFERROR(F17*(0.0000000000000028)*RadSpec!$AY17*RadSpec!$AF17,0)</f>
        <v>0</v>
      </c>
      <c r="H17" s="114">
        <f>IFERROR((E17*0.001*(RadSpec!AU17+(θw/ρb))*1),".")</f>
        <v>1.1579590394260497</v>
      </c>
      <c r="I17" s="189">
        <f>IFERROR(H17*(0.0000000000000028)*RadSpec!$AY17*RadSpec!$AF17,0)</f>
        <v>3.5378909269721391E-17</v>
      </c>
    </row>
    <row r="18" spans="1:9" x14ac:dyDescent="0.25">
      <c r="A18" s="44" t="s">
        <v>16</v>
      </c>
      <c r="B18" s="42" t="s">
        <v>1057</v>
      </c>
      <c r="C18" s="238"/>
      <c r="D18" s="114">
        <f>IF(RadSpec!AX18*DAF=0,".",RadSpec!AX18*DAF)</f>
        <v>15</v>
      </c>
      <c r="E18" s="114">
        <f>IFERROR(d_res!AC18*DAF,".")</f>
        <v>6.2492458713617187E-2</v>
      </c>
      <c r="F18" s="114">
        <f>IFERROR((D18*0.001*(RadSpec!AU18+(θw/ρb))*1),".")</f>
        <v>3.1529999999999996</v>
      </c>
      <c r="G18" s="189">
        <f>IFERROR(F18*(0.0000000000000028)*RadSpec!$AY18*RadSpec!$AF18,0)</f>
        <v>7.0286060949041032E-13</v>
      </c>
      <c r="H18" s="114">
        <f>IFERROR((E18*0.001*(RadSpec!AU18+(θw/ρb))*1),".")</f>
        <v>1.3135914821602333E-2</v>
      </c>
      <c r="I18" s="189">
        <f>IFERROR(H18*(0.0000000000000028)*RadSpec!$AY18*RadSpec!$AF18,0)</f>
        <v>2.9282325080004863E-15</v>
      </c>
    </row>
    <row r="19" spans="1:9" x14ac:dyDescent="0.25">
      <c r="A19" s="44" t="s">
        <v>17</v>
      </c>
      <c r="B19" s="42" t="s">
        <v>1057</v>
      </c>
      <c r="C19" s="42"/>
      <c r="D19" s="114">
        <f>IF(RadSpec!AX19*DAF=0,".",RadSpec!AX19*DAF)</f>
        <v>15</v>
      </c>
      <c r="E19" s="114">
        <f>IFERROR(d_res!AC19*DAF,".")</f>
        <v>86118938.716885179</v>
      </c>
      <c r="F19" s="114">
        <f>IFERROR((D19*0.001*(RadSpec!AU19+(θw/ρb))*1),".")</f>
        <v>3.1529999999999996</v>
      </c>
      <c r="G19" s="189">
        <f>IFERROR(F19*(0.0000000000000028)*RadSpec!$AY19*RadSpec!$AF19,0)</f>
        <v>2.5044034246575294E-25</v>
      </c>
      <c r="H19" s="114">
        <f>IFERROR((E19*0.001*(RadSpec!AU19+(θw/ρb))*1),".")</f>
        <v>18102200.918289263</v>
      </c>
      <c r="I19" s="189">
        <f>IFERROR(H19*(0.0000000000000028)*RadSpec!$AY19*RadSpec!$AF19,0)</f>
        <v>1.4378437670029275E-18</v>
      </c>
    </row>
    <row r="20" spans="1:9" x14ac:dyDescent="0.25">
      <c r="A20" s="44" t="s">
        <v>18</v>
      </c>
      <c r="B20" s="42" t="s">
        <v>1057</v>
      </c>
      <c r="C20" s="238"/>
      <c r="D20" s="114">
        <f>IF(RadSpec!AX20*DAF=0,".",RadSpec!AX20*DAF)</f>
        <v>15</v>
      </c>
      <c r="E20" s="114">
        <f>IFERROR(d_res!AC20*DAF,".")</f>
        <v>38821538.595339499</v>
      </c>
      <c r="F20" s="114">
        <f>IFERROR((D20*0.001*(RadSpec!AU20+(θw/ρb))*1),".")</f>
        <v>3.1529999999999996</v>
      </c>
      <c r="G20" s="189">
        <f>IFERROR(F20*(0.0000000000000028)*RadSpec!$AY20*RadSpec!$AF20,0)</f>
        <v>9.842982929984776E-24</v>
      </c>
      <c r="H20" s="114">
        <f>IFERROR((E20*0.001*(RadSpec!AU20+(θw/ρb))*1),".")</f>
        <v>8160287.4127403628</v>
      </c>
      <c r="I20" s="189">
        <f>IFERROR(H20*(0.0000000000000028)*RadSpec!$AY20*RadSpec!$AF20,0)</f>
        <v>2.5474649447311458E-17</v>
      </c>
    </row>
    <row r="21" spans="1:9" x14ac:dyDescent="0.25">
      <c r="A21" s="44" t="s">
        <v>19</v>
      </c>
      <c r="B21" s="42" t="s">
        <v>1057</v>
      </c>
      <c r="C21" s="238"/>
      <c r="D21" s="114">
        <f>IF(RadSpec!AX21*DAF=0,".",RadSpec!AX21*DAF)</f>
        <v>15</v>
      </c>
      <c r="E21" s="114">
        <f>IFERROR(d_res!AC21*DAF,".")</f>
        <v>42.936034008201894</v>
      </c>
      <c r="F21" s="114">
        <f>IFERROR((D21*0.001*(RadSpec!AU21+(θw/ρb))*1),".")</f>
        <v>3.1529999999999996</v>
      </c>
      <c r="G21" s="189">
        <f>IFERROR(F21*(0.0000000000000028)*RadSpec!$AY21*RadSpec!$AF21,0)</f>
        <v>1.1351279908675793E-17</v>
      </c>
      <c r="H21" s="114">
        <f>IFERROR((E21*0.001*(RadSpec!AU21+(θw/ρb))*1),".")</f>
        <v>9.0251543485240386</v>
      </c>
      <c r="I21" s="189">
        <f>IFERROR(H21*(0.0000000000000028)*RadSpec!$AY21*RadSpec!$AF21,0)</f>
        <v>3.2491929346368185E-17</v>
      </c>
    </row>
    <row r="22" spans="1:9" x14ac:dyDescent="0.25">
      <c r="A22" s="44" t="s">
        <v>20</v>
      </c>
      <c r="B22" s="42" t="s">
        <v>1057</v>
      </c>
      <c r="C22" s="42"/>
      <c r="D22" s="114" t="str">
        <f>IF(RadSpec!AX22*DAF=0,".",RadSpec!AX22*DAF)</f>
        <v>.</v>
      </c>
      <c r="E22" s="114">
        <f>IFERROR(d_res!AC22*DAF,".")</f>
        <v>0.40205989741009895</v>
      </c>
      <c r="F22" s="114" t="str">
        <f>IFERROR((D22*0.001*(RadSpec!AU22+(θw/ρb))*1),".")</f>
        <v>.</v>
      </c>
      <c r="G22" s="189">
        <f>IFERROR(F22*(0.0000000000000028)*RadSpec!$AY22*RadSpec!$AF22,0)</f>
        <v>0</v>
      </c>
      <c r="H22" s="114">
        <f>IFERROR((E22*0.001*(RadSpec!AU22+(θw/ρb))*1),".")</f>
        <v>4.824718768921187E-4</v>
      </c>
      <c r="I22" s="189">
        <f>IFERROR(H22*(0.0000000000000028)*RadSpec!$AY22*RadSpec!$AF22,0)</f>
        <v>1.2408119201058411E-17</v>
      </c>
    </row>
    <row r="23" spans="1:9" x14ac:dyDescent="0.25">
      <c r="A23" s="46" t="s">
        <v>21</v>
      </c>
      <c r="B23" s="42" t="s">
        <v>335</v>
      </c>
      <c r="C23" s="238"/>
      <c r="D23" s="114">
        <f>IF(RadSpec!AX23*DAF=0,".",RadSpec!AX23*DAF)</f>
        <v>5</v>
      </c>
      <c r="E23" s="114">
        <f>IFERROR(d_res!AC23*DAF,".")</f>
        <v>0.21123681610679668</v>
      </c>
      <c r="F23" s="114">
        <f>IFERROR((D23*0.001*(RadSpec!AU23+(θw/ρb))*1),".")</f>
        <v>6.0000000000000001E-3</v>
      </c>
      <c r="G23" s="189">
        <f>IFERROR(F23*(0.0000000000000028)*RadSpec!$AY23*RadSpec!$AF23,0)</f>
        <v>6.0748799999999993E-12</v>
      </c>
      <c r="H23" s="114">
        <f>IFERROR((E23*0.001*(RadSpec!AU23+(θw/ρb))*1),".")</f>
        <v>2.53484179328156E-4</v>
      </c>
      <c r="I23" s="189">
        <f>IFERROR(H23*(0.0000000000000028)*RadSpec!$AY23*RadSpec!$AF23,0)</f>
        <v>2.5664766188617139E-13</v>
      </c>
    </row>
    <row r="24" spans="1:9" x14ac:dyDescent="0.25">
      <c r="A24" s="44" t="s">
        <v>22</v>
      </c>
      <c r="B24" s="42" t="s">
        <v>1057</v>
      </c>
      <c r="C24" s="238"/>
      <c r="D24" s="114" t="str">
        <f>IF(RadSpec!AX24*DAF=0,".",RadSpec!AX24*DAF)</f>
        <v>.</v>
      </c>
      <c r="E24" s="114">
        <f>IFERROR(d_res!AC24*DAF,".")</f>
        <v>4323427.0993185928</v>
      </c>
      <c r="F24" s="114" t="str">
        <f>IFERROR((D24*0.001*(RadSpec!AU24+(θw/ρb))*1),".")</f>
        <v>.</v>
      </c>
      <c r="G24" s="189">
        <f>IFERROR(F24*(0.0000000000000028)*RadSpec!$AY24*RadSpec!$AF24,0)</f>
        <v>0</v>
      </c>
      <c r="H24" s="114">
        <f>IFERROR((E24*0.001*(RadSpec!AU24+(θw/ρb))*1),".")</f>
        <v>864.68541986371849</v>
      </c>
      <c r="I24" s="189">
        <f>IFERROR(H24*(0.0000000000000028)*RadSpec!$AY24*RadSpec!$AF24,0)</f>
        <v>5.8577940480620484E-19</v>
      </c>
    </row>
    <row r="25" spans="1:9" x14ac:dyDescent="0.25">
      <c r="A25" s="46" t="s">
        <v>23</v>
      </c>
      <c r="B25" s="42" t="s">
        <v>335</v>
      </c>
      <c r="C25" s="238"/>
      <c r="D25" s="114" t="str">
        <f>IF(RadSpec!AX25*DAF=0,".",RadSpec!AX25*DAF)</f>
        <v>.</v>
      </c>
      <c r="E25" s="114">
        <f>IFERROR(d_res!AC25*DAF,".")</f>
        <v>49.288416517668175</v>
      </c>
      <c r="F25" s="114" t="str">
        <f>IFERROR((D25*0.001*(RadSpec!AU25+(θw/ρb))*1),".")</f>
        <v>.</v>
      </c>
      <c r="G25" s="189">
        <f>IFERROR(F25*(0.0000000000000028)*RadSpec!$AY25*RadSpec!$AF25,0)</f>
        <v>0</v>
      </c>
      <c r="H25" s="114">
        <f>IFERROR((E25*0.001*(RadSpec!AU25+(θw/ρb))*1),".")</f>
        <v>9.8576833035336348E-3</v>
      </c>
      <c r="I25" s="189">
        <f>IFERROR(H25*(0.0000000000000028)*RadSpec!$AY25*RadSpec!$AF25,0)</f>
        <v>6.4188037458179091E-17</v>
      </c>
    </row>
    <row r="26" spans="1:9" x14ac:dyDescent="0.25">
      <c r="A26" s="44" t="s">
        <v>24</v>
      </c>
      <c r="B26" s="42" t="s">
        <v>1057</v>
      </c>
      <c r="C26" s="42"/>
      <c r="D26" s="114">
        <f>IF(RadSpec!AX26*DAF=0,".",RadSpec!AX26*DAF)</f>
        <v>15</v>
      </c>
      <c r="E26" s="114">
        <f>IFERROR(d_res!AC26*DAF,".")</f>
        <v>0.1805390554867782</v>
      </c>
      <c r="F26" s="114">
        <f>IFERROR((D26*0.001*(RadSpec!AU26+(θw/ρb))*1),".")</f>
        <v>0.30299999999999999</v>
      </c>
      <c r="G26" s="189">
        <f>IFERROR(F26*(0.0000000000000028)*RadSpec!$AY26*RadSpec!$AF26,0)</f>
        <v>1.4260416240000001E-9</v>
      </c>
      <c r="H26" s="114">
        <f>IFERROR((E26*0.001*(RadSpec!AU26+(θw/ρb))*1),".")</f>
        <v>3.6468889208329199E-3</v>
      </c>
      <c r="I26" s="189">
        <f>IFERROR(H26*(0.0000000000000028)*RadSpec!$AY26*RadSpec!$AF26,0)</f>
        <v>1.7163747192119425E-11</v>
      </c>
    </row>
    <row r="27" spans="1:9" x14ac:dyDescent="0.25">
      <c r="A27" s="44" t="s">
        <v>25</v>
      </c>
      <c r="B27" s="42" t="s">
        <v>1057</v>
      </c>
      <c r="C27" s="238"/>
      <c r="D27" s="114" t="str">
        <f>IF(RadSpec!AX27*DAF=0,".",RadSpec!AX27*DAF)</f>
        <v>.</v>
      </c>
      <c r="E27" s="114">
        <f>IFERROR(d_res!AC27*DAF,".")</f>
        <v>672634.23713609262</v>
      </c>
      <c r="F27" s="114" t="str">
        <f>IFERROR((D27*0.001*(RadSpec!AU27+(θw/ρb))*1),".")</f>
        <v>.</v>
      </c>
      <c r="G27" s="189">
        <f>IFERROR(F27*(0.0000000000000028)*RadSpec!$AY27*RadSpec!$AF27,0)</f>
        <v>0</v>
      </c>
      <c r="H27" s="114">
        <f>IFERROR((E27*0.001*(RadSpec!AU27+(θw/ρb))*1),".")</f>
        <v>1009085.8825515662</v>
      </c>
      <c r="I27" s="189">
        <f>IFERROR(H27*(0.0000000000000028)*RadSpec!$AY27*RadSpec!$AF27,0)</f>
        <v>4.6510104559248926E-12</v>
      </c>
    </row>
    <row r="28" spans="1:9" x14ac:dyDescent="0.25">
      <c r="A28" s="44" t="s">
        <v>26</v>
      </c>
      <c r="B28" s="42" t="s">
        <v>1057</v>
      </c>
      <c r="C28" s="42"/>
      <c r="D28" s="114" t="str">
        <f>IF(RadSpec!AX28*DAF=0,".",RadSpec!AX28*DAF)</f>
        <v>.</v>
      </c>
      <c r="E28" s="114">
        <f>IFERROR(d_res!AC28*DAF,".")</f>
        <v>1452.2784665438364</v>
      </c>
      <c r="F28" s="114" t="str">
        <f>IFERROR((D28*0.001*(RadSpec!AU28+(θw/ρb))*1),".")</f>
        <v>.</v>
      </c>
      <c r="G28" s="189">
        <f>IFERROR(F28*(0.0000000000000028)*RadSpec!$AY28*RadSpec!$AF28,0)</f>
        <v>0</v>
      </c>
      <c r="H28" s="114">
        <f>IFERROR((E28*0.001*(RadSpec!AU28+(θw/ρb))*1),".")</f>
        <v>2178.7081555090635</v>
      </c>
      <c r="I28" s="189">
        <f>IFERROR(H28*(0.0000000000000028)*RadSpec!$AY28*RadSpec!$AF28,0)</f>
        <v>5.2420696484722964E-15</v>
      </c>
    </row>
    <row r="29" spans="1:9" x14ac:dyDescent="0.25">
      <c r="A29" s="44" t="s">
        <v>27</v>
      </c>
      <c r="B29" s="42" t="s">
        <v>1057</v>
      </c>
      <c r="C29" s="238"/>
      <c r="D29" s="114" t="str">
        <f>IF(RadSpec!AX29*DAF=0,".",RadSpec!AX29*DAF)</f>
        <v>.</v>
      </c>
      <c r="E29" s="114">
        <f>IFERROR(d_res!AC29*DAF,".")</f>
        <v>1121.0570618934876</v>
      </c>
      <c r="F29" s="114" t="str">
        <f>IFERROR((D29*0.001*(RadSpec!AU29+(θw/ρb))*1),".")</f>
        <v>.</v>
      </c>
      <c r="G29" s="189">
        <f>IFERROR(F29*(0.0000000000000028)*RadSpec!$AY29*RadSpec!$AF29,0)</f>
        <v>0</v>
      </c>
      <c r="H29" s="114">
        <f>IFERROR((E29*0.001*(RadSpec!AU29+(θw/ρb))*1),".")</f>
        <v>1681.8098042526103</v>
      </c>
      <c r="I29" s="189">
        <f>IFERROR(H29*(0.0000000000000028)*RadSpec!$AY29*RadSpec!$AF29,0)</f>
        <v>2.4459197381482048E-15</v>
      </c>
    </row>
    <row r="30" spans="1:9" x14ac:dyDescent="0.25">
      <c r="A30" s="44" t="s">
        <v>28</v>
      </c>
      <c r="B30" s="42" t="s">
        <v>1057</v>
      </c>
      <c r="C30" s="42"/>
      <c r="D30" s="114">
        <f>IF(RadSpec!AX30*DAF=0,".",RadSpec!AX30*DAF)</f>
        <v>289207.91735594597</v>
      </c>
      <c r="E30" s="114">
        <f>IFERROR(d_res!AC30*DAF,".")</f>
        <v>1.7510464362226756</v>
      </c>
      <c r="F30" s="114">
        <f>IFERROR((D30*0.001*(RadSpec!AU30+(θw/ρb))*1),".")</f>
        <v>173.5247504135676</v>
      </c>
      <c r="G30" s="189">
        <f>IFERROR(F30*(0.0000000000000028)*RadSpec!$AY30*RadSpec!$AF30,0)</f>
        <v>1.8022641509433991E-5</v>
      </c>
      <c r="H30" s="114">
        <f>IFERROR((E30*0.001*(RadSpec!AU30+(θw/ρb))*1),".")</f>
        <v>1.0506278617336054E-3</v>
      </c>
      <c r="I30" s="189">
        <f>IFERROR(H30*(0.0000000000000028)*RadSpec!$AY30*RadSpec!$AF30,0)</f>
        <v>1.0912039502560467E-10</v>
      </c>
    </row>
    <row r="31" spans="1:9" x14ac:dyDescent="0.25">
      <c r="A31" s="76" t="s">
        <v>1</v>
      </c>
      <c r="B31" s="57" t="s">
        <v>1185</v>
      </c>
      <c r="C31" s="57"/>
      <c r="D31" s="58">
        <f>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1.8682475988220888</v>
      </c>
      <c r="E31" s="58">
        <f>IFERROR(1/SUM(IFERROR(1/SUMIF(E32,"&lt;&gt;.",E32),0),IFERROR(1/SUMIF(E33,"&lt;&gt;.",E33),0),IFERROR(1/SUMIF(E34,"&lt;&gt;.",E34),0),IFERROR(1/SUMIF(E35,"&lt;&gt;.",E35),0),IFERROR(1/SUMIF(E36,"&lt;&gt;.",E36),0),IFERROR(1/SUMIF(E37,"&lt;&gt;.",E37),0),IFERROR(1/SUMIF(E38,"&lt;&gt;.",E38),0),IFERROR(1/SUMIF(E39,"&lt;&gt;.",E39),0),IFERROR(1/SUMIF(E40,"&lt;&gt;.",E40),0),IFERROR(1/SUMIF(E41,"&lt;&gt;.",E41),0),IFERROR(1/SUMIF(E42,"&lt;&gt;.",E42),0),IFERROR(1/SUMIF(E43,"&lt;&gt;.",E43),0),IFERROR(1/SUMIF(E44,"&lt;&gt;.",E44),0)),".")</f>
        <v>8.0281054813952854E-2</v>
      </c>
      <c r="F31" s="115">
        <f>IFERROR(1/SUM(IFERROR(1/SUMIF(F32,"&lt;&gt;.",F32),0),IFERROR(1/SUMIF(F33,"&lt;&gt;.",F33),0),IFERROR(1/SUMIF(F34,"&lt;&gt;.",F34),0),IFERROR(1/SUMIF(F35,"&lt;&gt;.",F35),0),IFERROR(1/SUMIF(F36,"&lt;&gt;.",F36),0),IFERROR(1/SUMIF(F37,"&lt;&gt;.",F37),0),IFERROR(1/SUMIF(F38,"&lt;&gt;.",F38),0),IFERROR(1/SUMIF(F39,"&lt;&gt;.",F39),0),IFERROR(1/SUMIF(F40,"&lt;&gt;.",F40),0),IFERROR(1/SUMIF(F41,"&lt;&gt;.",F41),0),IFERROR(1/SUMIF(F42,"&lt;&gt;.",F42),0),IFERROR(1/SUMIF(F43,"&lt;&gt;.",F43),0),IFERROR(1/SUMIF(F44,"&lt;&gt;.",F44),0)),".")</f>
        <v>5.1776353222086824E-3</v>
      </c>
      <c r="G31" s="190">
        <f>F31*(0.0000000000000028)*RadSpec!$AY3*RadSpec!$AF3</f>
        <v>1.5100498859272984E-12</v>
      </c>
      <c r="H31" s="115">
        <f>IFERROR(1/SUM(IFERROR(1/SUMIF(H32,"&lt;&gt;.",H32),0),IFERROR(1/SUMIF(H33,"&lt;&gt;.",H33),0),IFERROR(1/SUMIF(H34,"&lt;&gt;.",H34),0),IFERROR(1/SUMIF(H35,"&lt;&gt;.",H35),0),IFERROR(1/SUMIF(H36,"&lt;&gt;.",H36),0),IFERROR(1/SUMIF(H37,"&lt;&gt;.",H37),0),IFERROR(1/SUMIF(H38,"&lt;&gt;.",H38),0),IFERROR(1/SUMIF(H39,"&lt;&gt;.",H39),0),IFERROR(1/SUMIF(H40,"&lt;&gt;.",H40),0),IFERROR(1/SUMIF(H41,"&lt;&gt;.",H41),0),IFERROR(1/SUMIF(H42,"&lt;&gt;.",H42),0),IFERROR(1/SUMIF(H43,"&lt;&gt;.",H43),0),IFERROR(1/SUMIF(H44,"&lt;&gt;.",H44),0)),".")</f>
        <v>1.4647521205366133E-4</v>
      </c>
      <c r="I31" s="190">
        <f>H31*(0.0000000000000028)*RadSpec!$AY3*RadSpec!$AF3</f>
        <v>4.2719284671144969E-14</v>
      </c>
    </row>
    <row r="32" spans="1:9" x14ac:dyDescent="0.25">
      <c r="A32" s="77" t="s">
        <v>1085</v>
      </c>
      <c r="B32" s="42">
        <v>1</v>
      </c>
      <c r="C32" s="42"/>
      <c r="D32" s="60">
        <f>IFERROR(D3/$B32,0)</f>
        <v>15</v>
      </c>
      <c r="E32" s="60">
        <f>IFERROR(E3/$B32,0)</f>
        <v>0.46323856908812622</v>
      </c>
      <c r="F32" s="165">
        <f>IFERROR((D32*0.001*(RadSpec!$AU3+(θw/ρb))*1),".")</f>
        <v>6.3E-2</v>
      </c>
      <c r="G32" s="189">
        <f t="shared" ref="G32:I32" si="0">IFERROR(G3/$B32,0)</f>
        <v>1.8373859280000002E-11</v>
      </c>
      <c r="H32" s="165">
        <f>IFERROR((E32*0.001*(RadSpec!$AU3+(θw/ρb))*1),".")</f>
        <v>1.9456019901701303E-3</v>
      </c>
      <c r="I32" s="189">
        <f t="shared" si="0"/>
        <v>5.674320187662527E-13</v>
      </c>
    </row>
    <row r="33" spans="1:9" x14ac:dyDescent="0.25">
      <c r="A33" s="77" t="s">
        <v>1061</v>
      </c>
      <c r="B33" s="42">
        <v>1</v>
      </c>
      <c r="C33" s="42"/>
      <c r="D33" s="60">
        <f>IFERROR(D13/$B33,0)</f>
        <v>15</v>
      </c>
      <c r="E33" s="60">
        <f>IFERROR(E13/$B33,0)</f>
        <v>0.82942518363759743</v>
      </c>
      <c r="F33" s="165">
        <f>IFERROR((D33*0.001*(RadSpec!$AU13+(θw/ρb))*1),".")</f>
        <v>6.0000000000000001E-3</v>
      </c>
      <c r="G33" s="189">
        <f t="shared" ref="G33:I34" si="1">IFERROR(G13/$B33,0)</f>
        <v>8.5365503999999996E-9</v>
      </c>
      <c r="H33" s="165">
        <f>IFERROR((E33*0.001*(RadSpec!$AU13+(θw/ρb))*1),".")</f>
        <v>3.3177007345503904E-4</v>
      </c>
      <c r="I33" s="189">
        <f t="shared" si="1"/>
        <v>4.7202865887677382E-10</v>
      </c>
    </row>
    <row r="34" spans="1:9" x14ac:dyDescent="0.25">
      <c r="A34" s="77" t="s">
        <v>1062</v>
      </c>
      <c r="B34" s="42">
        <v>1</v>
      </c>
      <c r="C34" s="42"/>
      <c r="D34" s="60">
        <f>IFERROR(D14/$B34,0)</f>
        <v>300</v>
      </c>
      <c r="E34" s="60">
        <f>IFERROR(E14/$B34,0)</f>
        <v>77.929349056591079</v>
      </c>
      <c r="F34" s="165">
        <f>IFERROR((D34*0.001*(RadSpec!$AU14+(θw/ρb))*1),".")</f>
        <v>600.05999999999995</v>
      </c>
      <c r="G34" s="189">
        <f t="shared" si="1"/>
        <v>2.892333719519999E-11</v>
      </c>
      <c r="H34" s="165">
        <f>IFERROR((E34*0.001*(RadSpec!$AU14+(θw/ρb))*1),".")</f>
        <v>155.87428398299346</v>
      </c>
      <c r="I34" s="189">
        <f t="shared" si="1"/>
        <v>7.5132561338874127E-12</v>
      </c>
    </row>
    <row r="35" spans="1:9" x14ac:dyDescent="0.25">
      <c r="A35" s="77" t="s">
        <v>1063</v>
      </c>
      <c r="B35" s="42">
        <v>1</v>
      </c>
      <c r="C35" s="42"/>
      <c r="D35" s="60">
        <f>IFERROR(D30/$B35,0)</f>
        <v>289207.91735594597</v>
      </c>
      <c r="E35" s="60">
        <f>IFERROR(E30/$B35,0)</f>
        <v>1.7510464362226756</v>
      </c>
      <c r="F35" s="165">
        <f>IFERROR((D35*0.001*(RadSpec!$AU30+(θw/ρb))*1),".")</f>
        <v>173.5247504135676</v>
      </c>
      <c r="G35" s="189">
        <f t="shared" ref="G35:I35" si="2">IFERROR(G30/$B35,0)</f>
        <v>1.8022641509433991E-5</v>
      </c>
      <c r="H35" s="165">
        <f>IFERROR((E35*0.001*(RadSpec!$AU30+(θw/ρb))*1),".")</f>
        <v>1.0506278617336054E-3</v>
      </c>
      <c r="I35" s="189">
        <f t="shared" si="2"/>
        <v>1.0912039502560467E-10</v>
      </c>
    </row>
    <row r="36" spans="1:9" x14ac:dyDescent="0.25">
      <c r="A36" s="77" t="s">
        <v>1064</v>
      </c>
      <c r="B36" s="42">
        <v>1</v>
      </c>
      <c r="C36" s="42"/>
      <c r="D36" s="60">
        <f>IFERROR(D26/$B36,0)</f>
        <v>15</v>
      </c>
      <c r="E36" s="60">
        <f>IFERROR(E26/$B36,0)</f>
        <v>0.1805390554867782</v>
      </c>
      <c r="F36" s="165">
        <f>IFERROR((D36*0.001*(RadSpec!$AU26+(θw/ρb))*1),".")</f>
        <v>0.30299999999999999</v>
      </c>
      <c r="G36" s="189">
        <f t="shared" ref="G36:I36" si="3">IFERROR(G26/$B36,0)</f>
        <v>1.4260416240000001E-9</v>
      </c>
      <c r="H36" s="165">
        <f>IFERROR((E36*0.001*(RadSpec!$AU26+(θw/ρb))*1),".")</f>
        <v>3.6468889208329199E-3</v>
      </c>
      <c r="I36" s="189">
        <f t="shared" si="3"/>
        <v>1.7163747192119425E-11</v>
      </c>
    </row>
    <row r="37" spans="1:9" x14ac:dyDescent="0.25">
      <c r="A37" s="77" t="s">
        <v>1065</v>
      </c>
      <c r="B37" s="42">
        <v>1</v>
      </c>
      <c r="C37" s="42"/>
      <c r="D37" s="60">
        <f>IFERROR(D22/$B37,0)</f>
        <v>0</v>
      </c>
      <c r="E37" s="60">
        <f>IFERROR(E22/$B37,0)</f>
        <v>0.40205989741009895</v>
      </c>
      <c r="F37" s="165">
        <f>IFERROR((D37*0.001*(RadSpec!$AU22+(θw/ρb))*1),".")</f>
        <v>0</v>
      </c>
      <c r="G37" s="189">
        <f t="shared" ref="G37:I37" si="4">IFERROR(G22/$B37,0)</f>
        <v>0</v>
      </c>
      <c r="H37" s="165">
        <f>IFERROR((E37*0.001*(RadSpec!$AU22+(θw/ρb))*1),".")</f>
        <v>4.824718768921187E-4</v>
      </c>
      <c r="I37" s="189">
        <f t="shared" si="4"/>
        <v>1.2408119201058411E-17</v>
      </c>
    </row>
    <row r="38" spans="1:9" x14ac:dyDescent="0.25">
      <c r="A38" s="77" t="s">
        <v>1066</v>
      </c>
      <c r="B38" s="42">
        <v>1</v>
      </c>
      <c r="C38" s="42"/>
      <c r="D38" s="60">
        <f>IFERROR(D2/$B38,0)</f>
        <v>15</v>
      </c>
      <c r="E38" s="60">
        <f>IFERROR(E2/$B38,0)</f>
        <v>2.096891767209204</v>
      </c>
      <c r="F38" s="165">
        <f>IFERROR((D38*0.001*(RadSpec!$AU2+(θw/ρb))*1),".")</f>
        <v>25.503</v>
      </c>
      <c r="G38" s="189">
        <f t="shared" ref="G38:I38" si="5">IFERROR(G2/$B38,0)</f>
        <v>4.4018876712328764E-13</v>
      </c>
      <c r="H38" s="165">
        <f>IFERROR((E38*0.001*(RadSpec!$AU2+(θw/ρb))*1),".")</f>
        <v>3.565135382609089</v>
      </c>
      <c r="I38" s="189">
        <f t="shared" si="5"/>
        <v>6.1535213453252774E-14</v>
      </c>
    </row>
    <row r="39" spans="1:9" x14ac:dyDescent="0.25">
      <c r="A39" s="77" t="s">
        <v>1067</v>
      </c>
      <c r="B39" s="42">
        <v>1</v>
      </c>
      <c r="C39" s="42"/>
      <c r="D39" s="60">
        <f>IFERROR(D11/$B39,0)</f>
        <v>15</v>
      </c>
      <c r="E39" s="60">
        <f>IFERROR(E11/$B39,0)</f>
        <v>116182.27732350692</v>
      </c>
      <c r="F39" s="165">
        <f>IFERROR((D39*0.001*(RadSpec!$AU11+(θw/ρb))*1),".")</f>
        <v>3.7529999999999997</v>
      </c>
      <c r="G39" s="189">
        <f t="shared" ref="G39:I39" si="6">IFERROR(G11/$B39,0)</f>
        <v>2.1650582876712336E-17</v>
      </c>
      <c r="H39" s="165">
        <f>IFERROR((E39*0.001*(RadSpec!$AU11+(θw/ρb))*1),".")</f>
        <v>29068.805786341432</v>
      </c>
      <c r="I39" s="189">
        <f t="shared" si="6"/>
        <v>1.6769426826651753E-13</v>
      </c>
    </row>
    <row r="40" spans="1:9" x14ac:dyDescent="0.25">
      <c r="A40" s="77" t="s">
        <v>1068</v>
      </c>
      <c r="B40" s="42">
        <v>1</v>
      </c>
      <c r="C40" s="42"/>
      <c r="D40" s="60">
        <f>IFERROR(D4/$B40,0)</f>
        <v>15</v>
      </c>
      <c r="E40" s="60">
        <f>IFERROR(E4/$B40,0)</f>
        <v>13831223.490893679</v>
      </c>
      <c r="F40" s="165">
        <f>IFERROR((D40*0.001*(RadSpec!$AU4+(θw/ρb))*1),".")</f>
        <v>0.153</v>
      </c>
      <c r="G40" s="189">
        <f t="shared" ref="G40:I40" si="7">IFERROR(G4/$B40,0)</f>
        <v>9.5214942922374793E-23</v>
      </c>
      <c r="H40" s="165">
        <f>IFERROR((E40*0.001*(RadSpec!$AU4+(θw/ρb))*1),".")</f>
        <v>141078.47960711553</v>
      </c>
      <c r="I40" s="189">
        <f t="shared" si="7"/>
        <v>8.7795943682136744E-17</v>
      </c>
    </row>
    <row r="41" spans="1:9" x14ac:dyDescent="0.25">
      <c r="A41" s="77" t="s">
        <v>1069</v>
      </c>
      <c r="B41" s="78">
        <v>0.99987999999999999</v>
      </c>
      <c r="C41" s="78"/>
      <c r="D41" s="60">
        <f>IFERROR(D8/$B41,0)</f>
        <v>15.001800216025924</v>
      </c>
      <c r="E41" s="60">
        <f>IFERROR(E8/$B41,0)</f>
        <v>242.82658659427011</v>
      </c>
      <c r="F41" s="165">
        <f>IFERROR((D41*0.001*(RadSpec!$AU8+(θw/ρb))*1),".")</f>
        <v>7.2038644637356484</v>
      </c>
      <c r="G41" s="189">
        <f t="shared" ref="G41:I41" si="8">IFERROR(G8/$B41,0)</f>
        <v>3.7266396782682389E-16</v>
      </c>
      <c r="H41" s="165">
        <f>IFERROR((E41*0.001*(RadSpec!$AU8+(θw/ρb))*1),".")</f>
        <v>116.60532688256851</v>
      </c>
      <c r="I41" s="189">
        <f t="shared" si="8"/>
        <v>6.0321240085169383E-15</v>
      </c>
    </row>
    <row r="42" spans="1:9" x14ac:dyDescent="0.25">
      <c r="A42" s="77" t="s">
        <v>1070</v>
      </c>
      <c r="B42" s="42">
        <v>0.97898250799999997</v>
      </c>
      <c r="C42" s="42"/>
      <c r="D42" s="60">
        <f>IFERROR(D19/$B42,0)</f>
        <v>15.322030656752041</v>
      </c>
      <c r="E42" s="60">
        <f>IFERROR(E19/$B42,0)</f>
        <v>87967801.276471004</v>
      </c>
      <c r="F42" s="165">
        <f>IFERROR((D42*0.001*(RadSpec!$AU19+(θw/ρb))*1),".")</f>
        <v>3.2206908440492792</v>
      </c>
      <c r="G42" s="189">
        <f t="shared" ref="G42:I42" si="9">IFERROR(G19/$B42,0)</f>
        <v>2.5581697366318312E-25</v>
      </c>
      <c r="H42" s="165">
        <f>IFERROR((E42*0.001*(RadSpec!$AU19+(θw/ρb))*1),".")</f>
        <v>18490831.828314204</v>
      </c>
      <c r="I42" s="189">
        <f t="shared" si="9"/>
        <v>1.4687124185092462E-18</v>
      </c>
    </row>
    <row r="43" spans="1:9" x14ac:dyDescent="0.25">
      <c r="A43" s="77" t="s">
        <v>1071</v>
      </c>
      <c r="B43" s="42">
        <v>2.0897492E-2</v>
      </c>
      <c r="C43" s="42"/>
      <c r="D43" s="60">
        <f>IFERROR(D28/$B43,0)</f>
        <v>0</v>
      </c>
      <c r="E43" s="60">
        <f>IFERROR(E28/$B43,0)</f>
        <v>69495.347410293849</v>
      </c>
      <c r="F43" s="165">
        <f>IFERROR((D43*0.001*(RadSpec!$AU28+(θw/ρb))*1),".")</f>
        <v>0</v>
      </c>
      <c r="G43" s="189">
        <f t="shared" ref="G43:I43" si="10">IFERROR(G28/$B43,0)</f>
        <v>0</v>
      </c>
      <c r="H43" s="165">
        <f>IFERROR((E43*0.001*(RadSpec!$AU28+(θw/ρb))*1),".")</f>
        <v>104256.92018492283</v>
      </c>
      <c r="I43" s="189">
        <f t="shared" si="10"/>
        <v>2.5084683121172131E-13</v>
      </c>
    </row>
    <row r="44" spans="1:9" x14ac:dyDescent="0.25">
      <c r="A44" s="77" t="s">
        <v>1072</v>
      </c>
      <c r="B44" s="42">
        <v>0.99987999999999999</v>
      </c>
      <c r="C44" s="42"/>
      <c r="D44" s="60">
        <f>IFERROR(D15/$B44,0)</f>
        <v>0</v>
      </c>
      <c r="E44" s="60">
        <f>IFERROR(E15/$B44,0)</f>
        <v>1326.860311974913</v>
      </c>
      <c r="F44" s="165">
        <f>IFERROR((D44*0.001*(RadSpec!$AU15+(θw/ρb))*1),".")</f>
        <v>0</v>
      </c>
      <c r="G44" s="189">
        <f t="shared" ref="G44:I44" si="11">IFERROR(G15/$B44,0)</f>
        <v>0</v>
      </c>
      <c r="H44" s="165">
        <f>IFERROR((E44*0.001*(RadSpec!$AU15+(θw/ρb))*1),".")</f>
        <v>199.2944188586319</v>
      </c>
      <c r="I44" s="189">
        <f t="shared" si="11"/>
        <v>4.330912517225799E-14</v>
      </c>
    </row>
    <row r="45" spans="1:9" x14ac:dyDescent="0.25">
      <c r="A45" s="76" t="s">
        <v>8</v>
      </c>
      <c r="B45" s="57" t="s">
        <v>1185</v>
      </c>
      <c r="C45" s="57"/>
      <c r="D45" s="58">
        <f>IFERROR(1/SUM(IFERROR(1/SUMIF(D46,"&lt;&gt;.",D46),0),IFERROR(1/SUMIF(D47,"&lt;&gt;.",D47),0)),".")</f>
        <v>200</v>
      </c>
      <c r="E45" s="58">
        <f>IFERROR(1/SUM(IFERROR(1/SUMIF(E46,"&lt;&gt;.",E46),0),IFERROR(1/SUMIF(E47,"&lt;&gt;.",E47),0)),".")</f>
        <v>7.1328751717207961</v>
      </c>
      <c r="F45" s="115">
        <f>IFERROR(1/SUM(IFERROR(1/SUMIF(F46,"&lt;&gt;.",F46),0),IFERROR(1/SUMIF(F47,"&lt;&gt;.",F47),0)),".")</f>
        <v>2.04</v>
      </c>
      <c r="G45" s="190">
        <f>F45*(0.0000000000000028)*RadSpec!$AY10*RadSpec!$AF10</f>
        <v>2.3607083102400006E-11</v>
      </c>
      <c r="H45" s="115">
        <f>IFERROR(1/SUM(IFERROR(1/SUMIF(H46,"&lt;&gt;.",H46),0),IFERROR(1/SUMIF(H47,"&lt;&gt;.",H47),0)),".")</f>
        <v>7.1352648465681803E-2</v>
      </c>
      <c r="I45" s="190">
        <f>H45*(0.0000000000000028)*RadSpec!$AY10*RadSpec!$AF10</f>
        <v>8.2569995191455111E-13</v>
      </c>
    </row>
    <row r="46" spans="1:9" x14ac:dyDescent="0.25">
      <c r="A46" s="77" t="s">
        <v>1084</v>
      </c>
      <c r="B46" s="42">
        <v>1</v>
      </c>
      <c r="C46" s="42"/>
      <c r="D46" s="60">
        <f>IFERROR(D10/$B46,0)</f>
        <v>200</v>
      </c>
      <c r="E46" s="60">
        <f>IFERROR(E10/$B46,0)</f>
        <v>7.1416497558227796</v>
      </c>
      <c r="F46" s="60">
        <f>IFERROR((D46*0.001*(RadSpec!$AU10+(θw/ρb))*1),".")</f>
        <v>2.04</v>
      </c>
      <c r="G46" s="189">
        <f t="shared" ref="G46:I46" si="12">IFERROR(G10/$B46,0)</f>
        <v>2.3607083102400006E-11</v>
      </c>
      <c r="H46" s="60">
        <f>IFERROR((E46*0.001*(RadSpec!$AU10+(θw/ρb))*1),".")</f>
        <v>7.2844827509392349E-2</v>
      </c>
      <c r="I46" s="189">
        <f t="shared" si="12"/>
        <v>8.4296759636971515E-13</v>
      </c>
    </row>
    <row r="47" spans="1:9" x14ac:dyDescent="0.25">
      <c r="A47" s="77" t="s">
        <v>1058</v>
      </c>
      <c r="B47" s="79">
        <v>0.94399</v>
      </c>
      <c r="C47" s="79"/>
      <c r="D47" s="60">
        <f>IFERROR(D6/$B$47,0)</f>
        <v>0</v>
      </c>
      <c r="E47" s="60">
        <f>IFERROR(E6/$B$47,0)</f>
        <v>5805.4599097081755</v>
      </c>
      <c r="F47" s="60">
        <f>IFERROR((D47*0.001*(RadSpec!$AU6+(θw/ρb))*1),".")</f>
        <v>0</v>
      </c>
      <c r="G47" s="189">
        <f t="shared" ref="G47:I47" si="13">IFERROR(G6/$B$47,0)</f>
        <v>0</v>
      </c>
      <c r="H47" s="60">
        <f>IFERROR((E47*0.001*(RadSpec!$AU6+(θw/ρb))*1),".")</f>
        <v>3.483275945824905</v>
      </c>
      <c r="I47" s="189">
        <f t="shared" si="13"/>
        <v>6.487715437581125E-18</v>
      </c>
    </row>
    <row r="48" spans="1:9" x14ac:dyDescent="0.25">
      <c r="A48" s="76" t="s">
        <v>21</v>
      </c>
      <c r="B48" s="57" t="s">
        <v>1185</v>
      </c>
      <c r="C48" s="239"/>
      <c r="D48" s="58">
        <f>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1.8750023906182043</v>
      </c>
      <c r="E48" s="58">
        <f>IFERROR(1/SUM(IFERROR(1/SUMIF(E49,"&lt;&gt;.",E49),0),IFERROR(1/SUMIF(E50,"&lt;&gt;.",E50),0),IFERROR(1/SUMIF(E51,"&lt;&gt;.",E51),0),IFERROR(1/SUMIF(E52,"&lt;&gt;.",E52),0),IFERROR(1/SUMIF(E53,"&lt;&gt;.",E53),0),IFERROR(1/SUMIF(E54,"&lt;&gt;.",E54),0),IFERROR(1/SUMIF(E55,"&lt;&gt;.",E55),0),IFERROR(1/SUMIF(E56,"&lt;&gt;.",E56),0),IFERROR(1/SUMIF(E57,"&lt;&gt;.",E57),0),IFERROR(1/SUMIF(E58,"&lt;&gt;.",E58),0),IFERROR(1/SUMIF(E59,"&lt;&gt;.",E59),0),IFERROR(1/SUMIF(E60,"&lt;&gt;.",E60),0),IFERROR(1/SUMIF(E61,"&lt;&gt;.",E61),0),IFERROR(1/SUMIF(E62,"&lt;&gt;.",E62),0)),".")</f>
        <v>3.1929446801709692E-2</v>
      </c>
      <c r="F48" s="58">
        <f>IFERROR(1/SUM(IFERROR(1/SUMIF(F49,"&lt;&gt;.",F49),0),IFERROR(1/SUMIF(F50,"&lt;&gt;.",F50),0),IFERROR(1/SUMIF(F51,"&lt;&gt;.",F51),0),IFERROR(1/SUMIF(F52,"&lt;&gt;.",F52),0),IFERROR(1/SUMIF(F53,"&lt;&gt;.",F53),0),IFERROR(1/SUMIF(F54,"&lt;&gt;.",F54),0),IFERROR(1/SUMIF(F55,"&lt;&gt;.",F55),0),IFERROR(1/SUMIF(F56,"&lt;&gt;.",F56),0),IFERROR(1/SUMIF(F57,"&lt;&gt;.",F57),0),IFERROR(1/SUMIF(F58,"&lt;&gt;.",F58),0),IFERROR(1/SUMIF(F59,"&lt;&gt;.",F59),0),IFERROR(1/SUMIF(F60,"&lt;&gt;.",F60),0),IFERROR(1/SUMIF(F61,"&lt;&gt;.",F61),0),IFERROR(1/SUMIF(F62,"&lt;&gt;.",F62),0)),".")</f>
        <v>5.9560310032971617E-3</v>
      </c>
      <c r="G48" s="190">
        <f>F48*(0.0000000000000028)*RadSpec!$AY23*RadSpec!$AF23</f>
        <v>6.0303622702183103E-12</v>
      </c>
      <c r="H48" s="58">
        <f>IFERROR(1/SUM(IFERROR(1/SUMIF(H49,"&lt;&gt;.",H49),0),IFERROR(1/SUMIF(H50,"&lt;&gt;.",H50),0),IFERROR(1/SUMIF(H51,"&lt;&gt;.",H51),0),IFERROR(1/SUMIF(H52,"&lt;&gt;.",H52),0),IFERROR(1/SUMIF(H53,"&lt;&gt;.",H53),0),IFERROR(1/SUMIF(H54,"&lt;&gt;.",H54),0),IFERROR(1/SUMIF(H55,"&lt;&gt;.",H55),0),IFERROR(1/SUMIF(H56,"&lt;&gt;.",H56),0),IFERROR(1/SUMIF(H57,"&lt;&gt;.",H57),0),IFERROR(1/SUMIF(H58,"&lt;&gt;.",H58),0),IFERROR(1/SUMIF(H59,"&lt;&gt;.",H59),0),IFERROR(1/SUMIF(H60,"&lt;&gt;.",H60),0),IFERROR(1/SUMIF(H61,"&lt;&gt;.",H61),0),IFERROR(1/SUMIF(H62,"&lt;&gt;.",H62),0)),".")</f>
        <v>2.3853194109320382E-4</v>
      </c>
      <c r="I48" s="190">
        <f>H48*(0.0000000000000028)*RadSpec!$AY23*RadSpec!$AF23</f>
        <v>2.4150881971804701E-13</v>
      </c>
    </row>
    <row r="49" spans="1:9" x14ac:dyDescent="0.25">
      <c r="A49" s="77" t="s">
        <v>1086</v>
      </c>
      <c r="B49" s="42">
        <v>1</v>
      </c>
      <c r="C49" s="238"/>
      <c r="D49" s="60">
        <f>IFERROR(D23/$B49,0)</f>
        <v>5</v>
      </c>
      <c r="E49" s="60">
        <f>IFERROR(E23/$B49,0)</f>
        <v>0.21123681610679668</v>
      </c>
      <c r="F49" s="60">
        <f>IFERROR((D49*0.001*(RadSpec!$AU23+(θw/ρb))*1),".")</f>
        <v>6.0000000000000001E-3</v>
      </c>
      <c r="G49" s="189">
        <f t="shared" ref="G49:I49" si="14">IFERROR(G23/$B49,0)</f>
        <v>6.0748799999999993E-12</v>
      </c>
      <c r="H49" s="60">
        <f>IFERROR((E49*0.001*(RadSpec!$AU23+(θw/ρb))*1),".")</f>
        <v>2.53484179328156E-4</v>
      </c>
      <c r="I49" s="189">
        <f t="shared" si="14"/>
        <v>2.5664766188617139E-13</v>
      </c>
    </row>
    <row r="50" spans="1:9" x14ac:dyDescent="0.25">
      <c r="A50" s="77" t="s">
        <v>1073</v>
      </c>
      <c r="B50" s="42">
        <v>1</v>
      </c>
      <c r="C50" s="238"/>
      <c r="D50" s="60">
        <f>IFERROR(D25/$B50,0)</f>
        <v>0</v>
      </c>
      <c r="E50" s="60">
        <f>IFERROR(E25/$B50,0)</f>
        <v>49.288416517668175</v>
      </c>
      <c r="F50" s="60">
        <f>IFERROR((D50*0.001*(RadSpec!$AU25+(θw/ρb))*1),".")</f>
        <v>0</v>
      </c>
      <c r="G50" s="189">
        <f t="shared" ref="G50:I50" si="15">IFERROR(G25/$B50,0)</f>
        <v>0</v>
      </c>
      <c r="H50" s="60">
        <f>IFERROR((E50*0.001*(RadSpec!$AU25+(θw/ρb))*1),".")</f>
        <v>9.8576833035336348E-3</v>
      </c>
      <c r="I50" s="189">
        <f t="shared" si="15"/>
        <v>6.4188037458179091E-17</v>
      </c>
    </row>
    <row r="51" spans="1:9" x14ac:dyDescent="0.25">
      <c r="A51" s="77" t="s">
        <v>1059</v>
      </c>
      <c r="B51" s="42">
        <v>1</v>
      </c>
      <c r="C51" s="238"/>
      <c r="D51" s="60">
        <f>IFERROR(D21/$B51,0)</f>
        <v>15</v>
      </c>
      <c r="E51" s="60">
        <f>IFERROR(E21/$B51,0)</f>
        <v>42.936034008201894</v>
      </c>
      <c r="F51" s="60">
        <f>IFERROR((D51*0.001*(RadSpec!$AU21+(θw/ρb))*1),".")</f>
        <v>3.1529999999999996</v>
      </c>
      <c r="G51" s="189">
        <f t="shared" ref="G51:I51" si="16">IFERROR(G21/$B51,0)</f>
        <v>1.1351279908675793E-17</v>
      </c>
      <c r="H51" s="60">
        <f>IFERROR((E51*0.001*(RadSpec!$AU21+(θw/ρb))*1),".")</f>
        <v>9.0251543485240386</v>
      </c>
      <c r="I51" s="189">
        <f t="shared" si="16"/>
        <v>3.2491929346368185E-17</v>
      </c>
    </row>
    <row r="52" spans="1:9" x14ac:dyDescent="0.25">
      <c r="A52" s="77" t="s">
        <v>1060</v>
      </c>
      <c r="B52" s="79">
        <v>0.99980000000000002</v>
      </c>
      <c r="C52" s="240"/>
      <c r="D52" s="60">
        <f>IFERROR(D17/$B52,0)</f>
        <v>0</v>
      </c>
      <c r="E52" s="60">
        <f>IFERROR(E17/$B52,0)</f>
        <v>7.7109898639251808</v>
      </c>
      <c r="F52" s="60">
        <f>IFERROR((D52*0.001*(RadSpec!$AU17+(θw/ρb))*1),".")</f>
        <v>0</v>
      </c>
      <c r="G52" s="189">
        <f t="shared" ref="G52:I52" si="17">IFERROR(G17/$B52,0)</f>
        <v>0</v>
      </c>
      <c r="H52" s="60">
        <f>IFERROR((E52*0.001*(RadSpec!$AU17+(θw/ρb))*1),".")</f>
        <v>1.158190677561562</v>
      </c>
      <c r="I52" s="189">
        <f t="shared" si="17"/>
        <v>3.5385986467014793E-17</v>
      </c>
    </row>
    <row r="53" spans="1:9" x14ac:dyDescent="0.25">
      <c r="A53" s="77" t="s">
        <v>1074</v>
      </c>
      <c r="B53" s="42">
        <v>2.0000000000000001E-4</v>
      </c>
      <c r="C53" s="238"/>
      <c r="D53" s="60">
        <f>IFERROR(D5/$B53,0)</f>
        <v>75000</v>
      </c>
      <c r="E53" s="60">
        <f>IFERROR(E5/$B53,0)</f>
        <v>1278005050558.5759</v>
      </c>
      <c r="F53" s="60">
        <f>IFERROR((D53*0.001*(RadSpec!$AU5+(θw/ρb))*1),".")</f>
        <v>765</v>
      </c>
      <c r="G53" s="189">
        <f t="shared" ref="G53:I53" si="18">IFERROR(G5/$B53,0)</f>
        <v>2.2210616438356175E-17</v>
      </c>
      <c r="H53" s="60">
        <f>IFERROR((E53*0.001*(RadSpec!$AU5+(θw/ρb))*1),".")</f>
        <v>13035651515.697474</v>
      </c>
      <c r="I53" s="189">
        <f t="shared" si="18"/>
        <v>3.7847039978984687E-10</v>
      </c>
    </row>
    <row r="54" spans="1:9" x14ac:dyDescent="0.25">
      <c r="A54" s="77" t="s">
        <v>1075</v>
      </c>
      <c r="B54" s="42">
        <v>0.99999979999999999</v>
      </c>
      <c r="C54" s="238"/>
      <c r="D54" s="60">
        <f>IFERROR(D9/$B54,0)</f>
        <v>15.0000030000006</v>
      </c>
      <c r="E54" s="60">
        <f>IFERROR(E9/$B54,0)</f>
        <v>10.519457554609009</v>
      </c>
      <c r="F54" s="60">
        <f>IFERROR((D54*0.001*(RadSpec!$AU9+(θw/ρb))*1),".")</f>
        <v>7.2030014406002882</v>
      </c>
      <c r="G54" s="189">
        <f t="shared" ref="G54:I54" si="19">IFERROR(G9/$B54,0)</f>
        <v>1.6341165414351796E-16</v>
      </c>
      <c r="H54" s="60">
        <f>IFERROR((E54*0.001*(RadSpec!$AU9+(θw/ρb))*1),".")</f>
        <v>5.0514435177232464</v>
      </c>
      <c r="I54" s="189">
        <f t="shared" si="19"/>
        <v>1.1460010772605288E-16</v>
      </c>
    </row>
    <row r="55" spans="1:9" x14ac:dyDescent="0.25">
      <c r="A55" s="77" t="s">
        <v>1076</v>
      </c>
      <c r="B55" s="42">
        <v>1.9999999999999999E-7</v>
      </c>
      <c r="C55" s="238"/>
      <c r="D55" s="60">
        <f>IFERROR(D24/$B55,0)</f>
        <v>0</v>
      </c>
      <c r="E55" s="60">
        <f>IFERROR(E24/$B55,0)</f>
        <v>21617135496592.965</v>
      </c>
      <c r="F55" s="60">
        <f>IFERROR((D55*0.001*(RadSpec!$AU24+(θw/ρb))*1),".")</f>
        <v>0</v>
      </c>
      <c r="G55" s="189">
        <f t="shared" ref="G55:I55" si="20">IFERROR(G24/$B55,0)</f>
        <v>0</v>
      </c>
      <c r="H55" s="60">
        <f>IFERROR((E55*0.001*(RadSpec!$AU24+(θw/ρb))*1),".")</f>
        <v>4323427099.3185921</v>
      </c>
      <c r="I55" s="189">
        <f t="shared" si="20"/>
        <v>2.9288970240310242E-12</v>
      </c>
    </row>
    <row r="56" spans="1:9" x14ac:dyDescent="0.25">
      <c r="A56" s="77" t="s">
        <v>1077</v>
      </c>
      <c r="B56" s="42">
        <v>0.99979000004200003</v>
      </c>
      <c r="C56" s="238"/>
      <c r="D56" s="60">
        <f>IFERROR(D20/$B56,0)</f>
        <v>15.003150661008679</v>
      </c>
      <c r="E56" s="60">
        <f>IFERROR(E20/$B56,0)</f>
        <v>38829692.829202786</v>
      </c>
      <c r="F56" s="60">
        <f>IFERROR((D56*0.001*(RadSpec!$AU20+(θw/ρb))*1),".")</f>
        <v>3.1536622689440241</v>
      </c>
      <c r="G56" s="189">
        <f t="shared" ref="G56:I56" si="21">IFERROR(G20/$B56,0)</f>
        <v>9.8450503901532159E-24</v>
      </c>
      <c r="H56" s="60">
        <f>IFERROR((E56*0.001*(RadSpec!$AU20+(θw/ρb))*1),".")</f>
        <v>8162001.4326984258</v>
      </c>
      <c r="I56" s="189">
        <f t="shared" si="21"/>
        <v>2.5480000246293018E-17</v>
      </c>
    </row>
    <row r="57" spans="1:9" x14ac:dyDescent="0.25">
      <c r="A57" s="77" t="s">
        <v>1078</v>
      </c>
      <c r="B57" s="42">
        <v>2.0999995799999999E-4</v>
      </c>
      <c r="C57" s="238"/>
      <c r="D57" s="60">
        <f>IFERROR(D29/$B57,0)</f>
        <v>0</v>
      </c>
      <c r="E57" s="60">
        <f>IFERROR(E29/$B57,0)</f>
        <v>5338368.0290711662</v>
      </c>
      <c r="F57" s="60">
        <f>IFERROR((D57*0.001*(RadSpec!$AU29+(θw/ρb))*1),".")</f>
        <v>0</v>
      </c>
      <c r="G57" s="189">
        <f t="shared" ref="G57:I57" si="22">IFERROR(G29/$B57,0)</f>
        <v>0</v>
      </c>
      <c r="H57" s="60">
        <f>IFERROR((E57*0.001*(RadSpec!$AU29+(θw/ρb))*1),".")</f>
        <v>8008619.7172125643</v>
      </c>
      <c r="I57" s="189">
        <f t="shared" si="22"/>
        <v>1.164723917777262E-11</v>
      </c>
    </row>
    <row r="58" spans="1:9" x14ac:dyDescent="0.25">
      <c r="A58" s="77" t="s">
        <v>1079</v>
      </c>
      <c r="B58" s="42">
        <v>1</v>
      </c>
      <c r="C58" s="238"/>
      <c r="D58" s="60">
        <f>IFERROR(D16/$B58,0)</f>
        <v>0</v>
      </c>
      <c r="E58" s="60">
        <f>IFERROR(E16/$B58,0)</f>
        <v>9.720654908875985E-2</v>
      </c>
      <c r="F58" s="60">
        <f>IFERROR((D58*0.001*(RadSpec!$AU16+(θw/ρb))*1),".")</f>
        <v>0</v>
      </c>
      <c r="G58" s="189">
        <f t="shared" ref="G58:I58" si="23">IFERROR(G16/$B58,0)</f>
        <v>0</v>
      </c>
      <c r="H58" s="60">
        <f>IFERROR((E58*0.001*(RadSpec!$AU16+(θw/ρb))*1),".")</f>
        <v>1.4600423673131729E-2</v>
      </c>
      <c r="I58" s="189">
        <f t="shared" si="23"/>
        <v>1.9058809045959236E-13</v>
      </c>
    </row>
    <row r="59" spans="1:9" x14ac:dyDescent="0.25">
      <c r="A59" s="77" t="s">
        <v>1080</v>
      </c>
      <c r="B59" s="42">
        <v>1</v>
      </c>
      <c r="C59" s="238"/>
      <c r="D59" s="60">
        <f>IFERROR(D7/$B59,0)</f>
        <v>15</v>
      </c>
      <c r="E59" s="60">
        <f>IFERROR(E7/$B59,0)</f>
        <v>36.498083363721484</v>
      </c>
      <c r="F59" s="60">
        <f>IFERROR((D59*0.001*(RadSpec!$AU7+(θw/ρb))*1),".")</f>
        <v>7.2029999999999994</v>
      </c>
      <c r="G59" s="189">
        <f t="shared" ref="G59:I59" si="24">IFERROR(G7/$B59,0)</f>
        <v>5.8169533512328904E-14</v>
      </c>
      <c r="H59" s="60">
        <f>IFERROR((E59*0.001*(RadSpec!$AU7+(θw/ρb))*1),".")</f>
        <v>17.526379631259058</v>
      </c>
      <c r="I59" s="189">
        <f t="shared" si="24"/>
        <v>1.4153843222411808E-13</v>
      </c>
    </row>
    <row r="60" spans="1:9" x14ac:dyDescent="0.25">
      <c r="A60" s="77" t="s">
        <v>1081</v>
      </c>
      <c r="B60" s="80">
        <v>1.9000000000000001E-8</v>
      </c>
      <c r="C60" s="241"/>
      <c r="D60" s="60">
        <f>IFERROR(D12/$B60,0)</f>
        <v>0</v>
      </c>
      <c r="E60" s="60">
        <f>IFERROR(E12/$B60,0)</f>
        <v>1413097136840.5305</v>
      </c>
      <c r="F60" s="60">
        <f>IFERROR((D60*0.001*(RadSpec!$AU12+(θw/ρb))*1),".")</f>
        <v>0</v>
      </c>
      <c r="G60" s="189">
        <f t="shared" ref="G60:I60" si="25">IFERROR(G12/$B60,0)</f>
        <v>0</v>
      </c>
      <c r="H60" s="60">
        <f>IFERROR((E60*0.001*(RadSpec!$AU12+(θw/ρb))*1),".")</f>
        <v>8902794581522.7109</v>
      </c>
      <c r="I60" s="189">
        <f t="shared" si="25"/>
        <v>7.9625808797891546E-5</v>
      </c>
    </row>
    <row r="61" spans="1:9" x14ac:dyDescent="0.25">
      <c r="A61" s="77" t="s">
        <v>1082</v>
      </c>
      <c r="B61" s="42">
        <v>1</v>
      </c>
      <c r="C61" s="238"/>
      <c r="D61" s="60">
        <f>IFERROR(D18/$B61,0)</f>
        <v>15</v>
      </c>
      <c r="E61" s="60">
        <f>IFERROR(E18/$B61,0)</f>
        <v>6.2492458713617187E-2</v>
      </c>
      <c r="F61" s="60">
        <f>IFERROR((D61*0.001*(RadSpec!$AU18+(θw/ρb))*1),".")</f>
        <v>3.1529999999999996</v>
      </c>
      <c r="G61" s="189">
        <f t="shared" ref="G61:I61" si="26">IFERROR(G18/$B61,0)</f>
        <v>7.0286060949041032E-13</v>
      </c>
      <c r="H61" s="60">
        <f>IFERROR((E61*0.001*(RadSpec!$AU18+(θw/ρb))*1),".")</f>
        <v>1.3135914821602333E-2</v>
      </c>
      <c r="I61" s="189">
        <f t="shared" si="26"/>
        <v>2.9282325080004863E-15</v>
      </c>
    </row>
    <row r="62" spans="1:9" x14ac:dyDescent="0.25">
      <c r="A62" s="77" t="s">
        <v>1083</v>
      </c>
      <c r="B62" s="42">
        <v>1.339E-6</v>
      </c>
      <c r="C62" s="238"/>
      <c r="D62" s="60">
        <f>IFERROR(D27/$B62,0)</f>
        <v>0</v>
      </c>
      <c r="E62" s="60">
        <f>IFERROR(E27/$B62,0)</f>
        <v>502340729750.62927</v>
      </c>
      <c r="F62" s="60">
        <f>IFERROR((D62*0.001*(RadSpec!$AU27+(θw/ρb))*1),".")</f>
        <v>0</v>
      </c>
      <c r="G62" s="189">
        <f t="shared" ref="G62:I62" si="27">IFERROR(G27/$B62,0)</f>
        <v>0</v>
      </c>
      <c r="H62" s="60">
        <f>IFERROR((E62*0.001*(RadSpec!$AU27+(θw/ρb))*1),".")</f>
        <v>753611562771.89417</v>
      </c>
      <c r="I62" s="189">
        <f t="shared" si="27"/>
        <v>3.4734954861276269E-6</v>
      </c>
    </row>
    <row r="63" spans="1:9" x14ac:dyDescent="0.25">
      <c r="A63" s="76" t="s">
        <v>23</v>
      </c>
      <c r="B63" s="57" t="s">
        <v>1185</v>
      </c>
      <c r="C63" s="57"/>
      <c r="D63" s="58">
        <f>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3.0000061199872849</v>
      </c>
      <c r="E63" s="58">
        <f>IFERROR(1/SUM(IFERROR(1/SUMIF(E64,"&lt;&gt;.",E64),0),IFERROR(1/SUMIF(E65,"&lt;&gt;.",E65),0),IFERROR(1/SUMIF(E66,"&lt;&gt;.",E66),0),IFERROR(1/SUMIF(E67,"&lt;&gt;.",E67),0),IFERROR(1/SUMIF(E68,"&lt;&gt;.",E68),0),IFERROR(1/SUMIF(E69,"&lt;&gt;.",E69),0),IFERROR(1/SUMIF(E70,"&lt;&gt;.",E70),0),IFERROR(1/SUMIF(E71,"&lt;&gt;.",E71),0),IFERROR(1/SUMIF(E72,"&lt;&gt;.",E72),0),IFERROR(1/SUMIF(E73,"&lt;&gt;.",E73),0),IFERROR(1/SUMIF(E74,"&lt;&gt;.",E74),0),IFERROR(1/SUMIF(E75,"&lt;&gt;.",E75),0),IFERROR(1/SUMIF(E76,"&lt;&gt;.",E76),0)),".")</f>
        <v>3.7615156078546902E-2</v>
      </c>
      <c r="F63" s="58">
        <f>IFERROR(1/SUM(IFERROR(1/SUMIF(F64,"&lt;&gt;.",F64),0),IFERROR(1/SUMIF(F65,"&lt;&gt;.",F65),0),IFERROR(1/SUMIF(F66,"&lt;&gt;.",F66),0),IFERROR(1/SUMIF(F67,"&lt;&gt;.",F67),0),IFERROR(1/SUMIF(F68,"&lt;&gt;.",F68),0),IFERROR(1/SUMIF(F69,"&lt;&gt;.",F69),0),IFERROR(1/SUMIF(F70,"&lt;&gt;.",F70),0),IFERROR(1/SUMIF(F71,"&lt;&gt;.",F71),0),IFERROR(1/SUMIF(F72,"&lt;&gt;.",F72),0),IFERROR(1/SUMIF(F73,"&lt;&gt;.",F73),0),IFERROR(1/SUMIF(F74,"&lt;&gt;.",F74),0),IFERROR(1/SUMIF(F75,"&lt;&gt;.",F75),0),IFERROR(1/SUMIF(F76,"&lt;&gt;.",F76),0)),".")</f>
        <v>0.81275873227910567</v>
      </c>
      <c r="G63" s="190">
        <f>F63*(0.0000000000000028)*RadSpec!$AY25*RadSpec!$AF25</f>
        <v>5.2922564405464814E-15</v>
      </c>
      <c r="H63" s="58">
        <f>IFERROR(1/SUM(IFERROR(1/SUMIF(H64,"&lt;&gt;.",H64),0),IFERROR(1/SUMIF(H65,"&lt;&gt;.",H65),0),IFERROR(1/SUMIF(H66,"&lt;&gt;.",H66),0),IFERROR(1/SUMIF(H67,"&lt;&gt;.",H67),0),IFERROR(1/SUMIF(H68,"&lt;&gt;.",H68),0),IFERROR(1/SUMIF(H69,"&lt;&gt;.",H69),0),IFERROR(1/SUMIF(H70,"&lt;&gt;.",H70),0),IFERROR(1/SUMIF(H71,"&lt;&gt;.",H71),0),IFERROR(1/SUMIF(H72,"&lt;&gt;.",H72),0),IFERROR(1/SUMIF(H73,"&lt;&gt;.",H73),0),IFERROR(1/SUMIF(H74,"&lt;&gt;.",H74),0),IFERROR(1/SUMIF(H75,"&lt;&gt;.",H75),0),IFERROR(1/SUMIF(H76,"&lt;&gt;.",H76),0)),".")</f>
        <v>4.0438142023595247E-3</v>
      </c>
      <c r="I63" s="190">
        <f>H63*(0.0000000000000028)*RadSpec!$AY25*RadSpec!$AF25</f>
        <v>2.6331186497128083E-17</v>
      </c>
    </row>
    <row r="64" spans="1:9" x14ac:dyDescent="0.25">
      <c r="A64" s="77" t="s">
        <v>1073</v>
      </c>
      <c r="B64" s="42">
        <v>1</v>
      </c>
      <c r="C64" s="170"/>
      <c r="D64" s="60">
        <f>IFERROR(D25/$B50,0)</f>
        <v>0</v>
      </c>
      <c r="E64" s="60">
        <f>IFERROR(E25/$B50,0)</f>
        <v>49.288416517668175</v>
      </c>
      <c r="F64" s="60">
        <f>IFERROR((D64*0.001*(RadSpec!$AU25+(θw/ρb))*1),".")</f>
        <v>0</v>
      </c>
      <c r="G64" s="189">
        <f t="shared" ref="G64:I64" si="28">IFERROR(G25/$B50,0)</f>
        <v>0</v>
      </c>
      <c r="H64" s="60">
        <f>IFERROR((E64*0.001*(RadSpec!$AU25+(θw/ρb))*1),".")</f>
        <v>9.8576833035336348E-3</v>
      </c>
      <c r="I64" s="189">
        <f t="shared" si="28"/>
        <v>6.4188037458179091E-17</v>
      </c>
    </row>
    <row r="65" spans="1:9" x14ac:dyDescent="0.25">
      <c r="A65" s="77" t="s">
        <v>1059</v>
      </c>
      <c r="B65" s="42">
        <v>1</v>
      </c>
      <c r="C65" s="170"/>
      <c r="D65" s="60">
        <f>IFERROR(D21/$B51,0)</f>
        <v>15</v>
      </c>
      <c r="E65" s="60">
        <f>IFERROR(E21/$B51,0)</f>
        <v>42.936034008201894</v>
      </c>
      <c r="F65" s="60">
        <f>IFERROR((D65*0.001*(RadSpec!$AU21+(θw/ρb))*1),".")</f>
        <v>3.1529999999999996</v>
      </c>
      <c r="G65" s="189">
        <f t="shared" ref="G65:I65" si="29">IFERROR(G21/$B51,0)</f>
        <v>1.1351279908675793E-17</v>
      </c>
      <c r="H65" s="60">
        <f>IFERROR((E65*0.001*(RadSpec!$AU21+(θw/ρb))*1),".")</f>
        <v>9.0251543485240386</v>
      </c>
      <c r="I65" s="189">
        <f t="shared" si="29"/>
        <v>3.2491929346368185E-17</v>
      </c>
    </row>
    <row r="66" spans="1:9" x14ac:dyDescent="0.25">
      <c r="A66" s="77" t="s">
        <v>1060</v>
      </c>
      <c r="B66" s="79">
        <v>0.99980000000000002</v>
      </c>
      <c r="C66" s="173"/>
      <c r="D66" s="60">
        <f>IFERROR(D17/$B52,0)</f>
        <v>0</v>
      </c>
      <c r="E66" s="60">
        <f>IFERROR(E17/$B52,0)</f>
        <v>7.7109898639251808</v>
      </c>
      <c r="F66" s="60">
        <f>IFERROR((D66*0.001*(RadSpec!$AU17+(θw/ρb))*1),".")</f>
        <v>0</v>
      </c>
      <c r="G66" s="189">
        <f t="shared" ref="G66:I66" si="30">IFERROR(G17/$B52,0)</f>
        <v>0</v>
      </c>
      <c r="H66" s="60">
        <f>IFERROR((E66*0.001*(RadSpec!$AU17+(θw/ρb))*1),".")</f>
        <v>1.158190677561562</v>
      </c>
      <c r="I66" s="189">
        <f t="shared" si="30"/>
        <v>3.5385986467014793E-17</v>
      </c>
    </row>
    <row r="67" spans="1:9" x14ac:dyDescent="0.25">
      <c r="A67" s="77" t="s">
        <v>1074</v>
      </c>
      <c r="B67" s="42">
        <v>2.0000000000000001E-4</v>
      </c>
      <c r="C67" s="170"/>
      <c r="D67" s="60">
        <f>IFERROR(D5/$B53,0)</f>
        <v>75000</v>
      </c>
      <c r="E67" s="60">
        <f>IFERROR(E5/$B53,0)</f>
        <v>1278005050558.5759</v>
      </c>
      <c r="F67" s="60">
        <f>IFERROR((D67*0.001*(RadSpec!$AU5+(θw/ρb))*1),".")</f>
        <v>765</v>
      </c>
      <c r="G67" s="189">
        <f t="shared" ref="G67:I67" si="31">IFERROR(G5/$B53,0)</f>
        <v>2.2210616438356175E-17</v>
      </c>
      <c r="H67" s="60">
        <f>IFERROR((E67*0.001*(RadSpec!$AU5+(θw/ρb))*1),".")</f>
        <v>13035651515.697474</v>
      </c>
      <c r="I67" s="189">
        <f t="shared" si="31"/>
        <v>3.7847039978984687E-10</v>
      </c>
    </row>
    <row r="68" spans="1:9" x14ac:dyDescent="0.25">
      <c r="A68" s="77" t="s">
        <v>1075</v>
      </c>
      <c r="B68" s="42">
        <v>0.99999979999999999</v>
      </c>
      <c r="C68" s="170"/>
      <c r="D68" s="60">
        <f>IFERROR(D9/$B54,0)</f>
        <v>15.0000030000006</v>
      </c>
      <c r="E68" s="60">
        <f>IFERROR(E9/$B54,0)</f>
        <v>10.519457554609009</v>
      </c>
      <c r="F68" s="60">
        <f>IFERROR((D68*0.001*(RadSpec!$AU9+(θw/ρb))*1),".")</f>
        <v>7.2030014406002882</v>
      </c>
      <c r="G68" s="189">
        <f t="shared" ref="G68:I68" si="32">IFERROR(G9/$B54,0)</f>
        <v>1.6341165414351796E-16</v>
      </c>
      <c r="H68" s="60">
        <f>IFERROR((E68*0.001*(RadSpec!$AU9+(θw/ρb))*1),".")</f>
        <v>5.0514435177232464</v>
      </c>
      <c r="I68" s="189">
        <f t="shared" si="32"/>
        <v>1.1460010772605288E-16</v>
      </c>
    </row>
    <row r="69" spans="1:9" x14ac:dyDescent="0.25">
      <c r="A69" s="77" t="s">
        <v>1076</v>
      </c>
      <c r="B69" s="42">
        <v>1.9999999999999999E-7</v>
      </c>
      <c r="C69" s="170"/>
      <c r="D69" s="60">
        <f>IFERROR(D24/$B55,0)</f>
        <v>0</v>
      </c>
      <c r="E69" s="60">
        <f>IFERROR(E24/$B55,0)</f>
        <v>21617135496592.965</v>
      </c>
      <c r="F69" s="60">
        <f>IFERROR((D69*0.001*(RadSpec!$AU24+(θw/ρb))*1),".")</f>
        <v>0</v>
      </c>
      <c r="G69" s="189">
        <f t="shared" ref="G69:I69" si="33">IFERROR(G24/$B55,0)</f>
        <v>0</v>
      </c>
      <c r="H69" s="60">
        <f>IFERROR((E69*0.001*(RadSpec!$AU24+(θw/ρb))*1),".")</f>
        <v>4323427099.3185921</v>
      </c>
      <c r="I69" s="189">
        <f t="shared" si="33"/>
        <v>2.9288970240310242E-12</v>
      </c>
    </row>
    <row r="70" spans="1:9" x14ac:dyDescent="0.25">
      <c r="A70" s="77" t="s">
        <v>1077</v>
      </c>
      <c r="B70" s="42">
        <v>0.99979000004200003</v>
      </c>
      <c r="C70" s="170"/>
      <c r="D70" s="60">
        <f>IFERROR(D20/$B56,0)</f>
        <v>15.003150661008679</v>
      </c>
      <c r="E70" s="60">
        <f>IFERROR(E20/$B56,0)</f>
        <v>38829692.829202786</v>
      </c>
      <c r="F70" s="60">
        <f>IFERROR((D70*0.001*(RadSpec!$AU20+(θw/ρb))*1),".")</f>
        <v>3.1536622689440241</v>
      </c>
      <c r="G70" s="189">
        <f t="shared" ref="G70:I70" si="34">IFERROR(G20/$B56,0)</f>
        <v>9.8450503901532159E-24</v>
      </c>
      <c r="H70" s="60">
        <f>IFERROR((E70*0.001*(RadSpec!$AU20+(θw/ρb))*1),".")</f>
        <v>8162001.4326984258</v>
      </c>
      <c r="I70" s="189">
        <f t="shared" si="34"/>
        <v>2.5480000246293018E-17</v>
      </c>
    </row>
    <row r="71" spans="1:9" x14ac:dyDescent="0.25">
      <c r="A71" s="77" t="s">
        <v>1078</v>
      </c>
      <c r="B71" s="42">
        <v>2.0999995799999999E-4</v>
      </c>
      <c r="C71" s="170"/>
      <c r="D71" s="60">
        <f>IFERROR(D29/$B57,0)</f>
        <v>0</v>
      </c>
      <c r="E71" s="60">
        <f>IFERROR(E29/$B57,0)</f>
        <v>5338368.0290711662</v>
      </c>
      <c r="F71" s="60">
        <f>IFERROR((D71*0.001*(RadSpec!$AU29+(θw/ρb))*1),".")</f>
        <v>0</v>
      </c>
      <c r="G71" s="189">
        <f t="shared" ref="G71:I71" si="35">IFERROR(G29/$B57,0)</f>
        <v>0</v>
      </c>
      <c r="H71" s="60">
        <f>IFERROR((E71*0.001*(RadSpec!$AU29+(θw/ρb))*1),".")</f>
        <v>8008619.7172125643</v>
      </c>
      <c r="I71" s="189">
        <f t="shared" si="35"/>
        <v>1.164723917777262E-11</v>
      </c>
    </row>
    <row r="72" spans="1:9" x14ac:dyDescent="0.25">
      <c r="A72" s="77" t="s">
        <v>1079</v>
      </c>
      <c r="B72" s="42">
        <v>1</v>
      </c>
      <c r="C72" s="170"/>
      <c r="D72" s="60">
        <f>IFERROR(D16/$B58,0)</f>
        <v>0</v>
      </c>
      <c r="E72" s="60">
        <f>IFERROR(E16/$B58,0)</f>
        <v>9.720654908875985E-2</v>
      </c>
      <c r="F72" s="60">
        <f>IFERROR((D72*0.001*(RadSpec!$AU16+(θw/ρb))*1),".")</f>
        <v>0</v>
      </c>
      <c r="G72" s="189">
        <f t="shared" ref="G72:I72" si="36">IFERROR(G16/$B58,0)</f>
        <v>0</v>
      </c>
      <c r="H72" s="60">
        <f>IFERROR((E72*0.001*(RadSpec!$AU16+(θw/ρb))*1),".")</f>
        <v>1.4600423673131729E-2</v>
      </c>
      <c r="I72" s="189">
        <f t="shared" si="36"/>
        <v>1.9058809045959236E-13</v>
      </c>
    </row>
    <row r="73" spans="1:9" x14ac:dyDescent="0.25">
      <c r="A73" s="77" t="s">
        <v>1080</v>
      </c>
      <c r="B73" s="42">
        <v>1</v>
      </c>
      <c r="C73" s="170"/>
      <c r="D73" s="60">
        <f>IFERROR(D7/$B59,0)</f>
        <v>15</v>
      </c>
      <c r="E73" s="60">
        <f>IFERROR(E7/$B59,0)</f>
        <v>36.498083363721484</v>
      </c>
      <c r="F73" s="60">
        <f>IFERROR((D73*0.001*(RadSpec!$AU7+(θw/ρb))*1),".")</f>
        <v>7.2029999999999994</v>
      </c>
      <c r="G73" s="189">
        <f t="shared" ref="G73:I73" si="37">IFERROR(G7/$B59,0)</f>
        <v>5.8169533512328904E-14</v>
      </c>
      <c r="H73" s="60">
        <f>IFERROR((E73*0.001*(RadSpec!$AU7+(θw/ρb))*1),".")</f>
        <v>17.526379631259058</v>
      </c>
      <c r="I73" s="189">
        <f t="shared" si="37"/>
        <v>1.4153843222411808E-13</v>
      </c>
    </row>
    <row r="74" spans="1:9" x14ac:dyDescent="0.25">
      <c r="A74" s="77" t="s">
        <v>1081</v>
      </c>
      <c r="B74" s="80">
        <v>1.9000000000000001E-8</v>
      </c>
      <c r="C74" s="174"/>
      <c r="D74" s="60">
        <f>IFERROR(D12/$B60,0)</f>
        <v>0</v>
      </c>
      <c r="E74" s="60">
        <f>IFERROR(E12/$B60,0)</f>
        <v>1413097136840.5305</v>
      </c>
      <c r="F74" s="60">
        <f>IFERROR((D74*0.001*(RadSpec!$AU12+(θw/ρb))*1),".")</f>
        <v>0</v>
      </c>
      <c r="G74" s="189">
        <f t="shared" ref="G74:I74" si="38">IFERROR(G12/$B60,0)</f>
        <v>0</v>
      </c>
      <c r="H74" s="60">
        <f>IFERROR((E74*0.001*(RadSpec!$AU12+(θw/ρb))*1),".")</f>
        <v>8902794581522.7109</v>
      </c>
      <c r="I74" s="189">
        <f t="shared" si="38"/>
        <v>7.9625808797891546E-5</v>
      </c>
    </row>
    <row r="75" spans="1:9" x14ac:dyDescent="0.25">
      <c r="A75" s="77" t="s">
        <v>1082</v>
      </c>
      <c r="B75" s="42">
        <v>1</v>
      </c>
      <c r="C75" s="170"/>
      <c r="D75" s="60">
        <f>IFERROR(D18/$B61,0)</f>
        <v>15</v>
      </c>
      <c r="E75" s="60">
        <f>IFERROR(E18/$B61,0)</f>
        <v>6.2492458713617187E-2</v>
      </c>
      <c r="F75" s="60">
        <f>IFERROR((D75*0.001*(RadSpec!$AU18+(θw/ρb))*1),".")</f>
        <v>3.1529999999999996</v>
      </c>
      <c r="G75" s="189">
        <f t="shared" ref="G75:I75" si="39">IFERROR(G18/$B61,0)</f>
        <v>7.0286060949041032E-13</v>
      </c>
      <c r="H75" s="60">
        <f>IFERROR((E75*0.001*(RadSpec!$AU18+(θw/ρb))*1),".")</f>
        <v>1.3135914821602333E-2</v>
      </c>
      <c r="I75" s="189">
        <f t="shared" si="39"/>
        <v>2.9282325080004863E-15</v>
      </c>
    </row>
    <row r="76" spans="1:9" x14ac:dyDescent="0.25">
      <c r="A76" s="77" t="s">
        <v>1083</v>
      </c>
      <c r="B76" s="42">
        <v>1.339E-6</v>
      </c>
      <c r="C76" s="170"/>
      <c r="D76" s="60">
        <f>IFERROR(D27/$B62,0)</f>
        <v>0</v>
      </c>
      <c r="E76" s="60">
        <f>IFERROR(E27/$B62,0)</f>
        <v>502340729750.62927</v>
      </c>
      <c r="F76" s="60">
        <f>IFERROR((D76*0.001*(RadSpec!$AU27+(θw/ρb))*1),".")</f>
        <v>0</v>
      </c>
      <c r="G76" s="189">
        <f t="shared" ref="G76:I76" si="40">IFERROR(G27/$B62,0)</f>
        <v>0</v>
      </c>
      <c r="H76" s="60">
        <f>IFERROR((E76*0.001*(RadSpec!$AU27+(θw/ρb))*1),".")</f>
        <v>753611562771.89417</v>
      </c>
      <c r="I76" s="189">
        <f t="shared" si="40"/>
        <v>3.4734954861276269E-6</v>
      </c>
    </row>
  </sheetData>
  <sheetProtection algorithmName="SHA-512" hashValue="v+giEWfSjTh6u+BTlbI/bNJYl1/shpFdZloYYl+KdU0CD/ESRpKICRWCCHfT7N9c3P4n/NRhg1uxd3TL+MZAlQ==" saltValue="eRazlbK/pSNFSY+EwDv41g==" spinCount="100000" sheet="1" formatColumns="0" formatRows="0" autoFilter="0"/>
  <autoFilter ref="D1:I76" xr:uid="{00000000-0001-0000-0A00-00000000000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H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9.28515625" bestFit="1" customWidth="1"/>
    <col min="4" max="4" width="9" bestFit="1" customWidth="1"/>
    <col min="5" max="6" width="10" bestFit="1" customWidth="1"/>
    <col min="7" max="7" width="11" bestFit="1" customWidth="1"/>
    <col min="8" max="8" width="67.5703125" bestFit="1" customWidth="1"/>
  </cols>
  <sheetData>
    <row r="1" spans="1:8" x14ac:dyDescent="0.25">
      <c r="A1" s="73" t="s">
        <v>39</v>
      </c>
      <c r="B1" s="73" t="s">
        <v>334</v>
      </c>
      <c r="C1" s="156" t="s">
        <v>29</v>
      </c>
      <c r="D1" s="156" t="s">
        <v>30</v>
      </c>
      <c r="E1" s="156" t="s">
        <v>31</v>
      </c>
      <c r="F1" s="156" t="s">
        <v>32</v>
      </c>
      <c r="G1" s="156" t="s">
        <v>33</v>
      </c>
      <c r="H1" s="164" t="s">
        <v>364</v>
      </c>
    </row>
    <row r="2" spans="1:8" x14ac:dyDescent="0.25">
      <c r="A2" s="44" t="s">
        <v>0</v>
      </c>
      <c r="B2" s="42" t="s">
        <v>1057</v>
      </c>
      <c r="C2" s="162">
        <v>9.5797101449275404E-2</v>
      </c>
      <c r="D2" s="162">
        <v>9.3059490084985805E-2</v>
      </c>
      <c r="E2" s="162">
        <v>9.6585365853658595E-2</v>
      </c>
      <c r="F2" s="162">
        <v>9.0705128205128202E-2</v>
      </c>
      <c r="G2" s="162">
        <v>9.6404494382022504E-2</v>
      </c>
      <c r="H2" s="105"/>
    </row>
    <row r="3" spans="1:8" x14ac:dyDescent="0.25">
      <c r="A3" s="46" t="s">
        <v>1</v>
      </c>
      <c r="B3" s="42" t="s">
        <v>335</v>
      </c>
      <c r="C3" s="162">
        <v>8.4397163120567401E-2</v>
      </c>
      <c r="D3" s="162">
        <v>0.107692307692308</v>
      </c>
      <c r="E3" s="162">
        <v>9.4560669456066906E-2</v>
      </c>
      <c r="F3" s="162">
        <v>9.5024875621890506E-2</v>
      </c>
      <c r="G3" s="162">
        <v>9.6924829157175402E-2</v>
      </c>
      <c r="H3" s="105"/>
    </row>
    <row r="4" spans="1:8" x14ac:dyDescent="0.25">
      <c r="A4" s="44" t="s">
        <v>2</v>
      </c>
      <c r="B4" s="42" t="s">
        <v>1057</v>
      </c>
      <c r="C4" s="162">
        <v>4.2011834319526598E-2</v>
      </c>
      <c r="D4" s="162">
        <v>7.5873015873015898E-2</v>
      </c>
      <c r="E4" s="162">
        <v>5.07177033492823E-2</v>
      </c>
      <c r="F4" s="162">
        <v>7.1111111111111097E-2</v>
      </c>
      <c r="G4" s="162">
        <v>8.3791606367583205E-2</v>
      </c>
      <c r="H4" s="105"/>
    </row>
    <row r="5" spans="1:8" x14ac:dyDescent="0.25">
      <c r="A5" s="44" t="s">
        <v>3</v>
      </c>
      <c r="B5" s="42" t="s">
        <v>1057</v>
      </c>
      <c r="C5" s="162">
        <v>0.9</v>
      </c>
      <c r="D5" s="162">
        <v>0.9</v>
      </c>
      <c r="E5" s="162">
        <v>0.9</v>
      </c>
      <c r="F5" s="162">
        <v>0.9</v>
      </c>
      <c r="G5" s="162">
        <v>0.9</v>
      </c>
      <c r="H5" s="105"/>
    </row>
    <row r="6" spans="1:8" x14ac:dyDescent="0.25">
      <c r="A6" s="44" t="s">
        <v>4</v>
      </c>
      <c r="B6" s="42" t="s">
        <v>1057</v>
      </c>
      <c r="C6" s="162">
        <v>3.1283422459892997E-2</v>
      </c>
      <c r="D6" s="162">
        <v>8.7632508833922304E-2</v>
      </c>
      <c r="E6" s="162">
        <v>4.6638655462184903E-2</v>
      </c>
      <c r="F6" s="162">
        <v>6.7697594501718195E-2</v>
      </c>
      <c r="G6" s="162">
        <v>8.7261146496815295E-2</v>
      </c>
      <c r="H6" s="105"/>
    </row>
    <row r="7" spans="1:8" x14ac:dyDescent="0.25">
      <c r="A7" s="44" t="s">
        <v>5</v>
      </c>
      <c r="B7" s="42" t="s">
        <v>1057</v>
      </c>
      <c r="C7" s="162">
        <v>3.81995133819951E-2</v>
      </c>
      <c r="D7" s="162">
        <v>7.4683544303797506E-2</v>
      </c>
      <c r="E7" s="162">
        <v>0.05</v>
      </c>
      <c r="F7" s="162">
        <v>7.1974522292993601E-2</v>
      </c>
      <c r="G7" s="162">
        <v>8.2940516273849602E-2</v>
      </c>
      <c r="H7" s="105"/>
    </row>
    <row r="8" spans="1:8" x14ac:dyDescent="0.25">
      <c r="A8" s="44" t="s">
        <v>6</v>
      </c>
      <c r="B8" s="42" t="s">
        <v>1057</v>
      </c>
      <c r="C8" s="162">
        <v>3.3392857142857099E-2</v>
      </c>
      <c r="D8" s="162">
        <v>8.8172043010752696E-2</v>
      </c>
      <c r="E8" s="162">
        <v>4.81904761904762E-2</v>
      </c>
      <c r="F8" s="162">
        <v>7.1428571428571397E-2</v>
      </c>
      <c r="G8" s="162">
        <v>8.5352112676056302E-2</v>
      </c>
      <c r="H8" s="105"/>
    </row>
    <row r="9" spans="1:8" x14ac:dyDescent="0.25">
      <c r="A9" s="44" t="s">
        <v>7</v>
      </c>
      <c r="B9" s="42" t="s">
        <v>1057</v>
      </c>
      <c r="C9" s="162">
        <v>2.8963414634146301E-2</v>
      </c>
      <c r="D9" s="162">
        <v>9.3659942363112397E-2</v>
      </c>
      <c r="E9" s="162">
        <v>4.2990654205607499E-2</v>
      </c>
      <c r="F9" s="162">
        <v>6.4869029275808898E-2</v>
      </c>
      <c r="G9" s="162">
        <v>8.4239130434782594E-2</v>
      </c>
      <c r="H9" s="105"/>
    </row>
    <row r="10" spans="1:8" x14ac:dyDescent="0.25">
      <c r="A10" s="46" t="s">
        <v>8</v>
      </c>
      <c r="B10" s="42" t="s">
        <v>335</v>
      </c>
      <c r="C10" s="162">
        <v>3.3412322274881501E-2</v>
      </c>
      <c r="D10" s="162">
        <v>7.3635307781649201E-2</v>
      </c>
      <c r="E10" s="162">
        <v>4.92028985507246E-2</v>
      </c>
      <c r="F10" s="162">
        <v>7.1668667466986802E-2</v>
      </c>
      <c r="G10" s="162">
        <v>8.2947368421052603E-2</v>
      </c>
      <c r="H10" s="105"/>
    </row>
    <row r="11" spans="1:8" x14ac:dyDescent="0.25">
      <c r="A11" s="44" t="s">
        <v>9</v>
      </c>
      <c r="B11" s="42" t="s">
        <v>1057</v>
      </c>
      <c r="C11" s="162">
        <v>4.4927536231884099E-2</v>
      </c>
      <c r="D11" s="162">
        <v>7.3856209150326799E-2</v>
      </c>
      <c r="E11" s="162">
        <v>5.2734375E-2</v>
      </c>
      <c r="F11" s="162">
        <v>7.1895424836601302E-2</v>
      </c>
      <c r="G11" s="162">
        <v>8.42105263157895E-2</v>
      </c>
      <c r="H11" s="105"/>
    </row>
    <row r="12" spans="1:8" x14ac:dyDescent="0.25">
      <c r="A12" s="44" t="s">
        <v>10</v>
      </c>
      <c r="B12" s="42" t="s">
        <v>1057</v>
      </c>
      <c r="C12" s="162">
        <v>3.7852760736196298E-2</v>
      </c>
      <c r="D12" s="162">
        <v>7.8920741989881901E-2</v>
      </c>
      <c r="E12" s="162">
        <v>4.9803921568627403E-2</v>
      </c>
      <c r="F12" s="162">
        <v>7.1707317073170698E-2</v>
      </c>
      <c r="G12" s="162">
        <v>8.4057971014492805E-2</v>
      </c>
      <c r="H12" s="105"/>
    </row>
    <row r="13" spans="1:8" x14ac:dyDescent="0.25">
      <c r="A13" s="44" t="s">
        <v>11</v>
      </c>
      <c r="B13" s="42" t="s">
        <v>1057</v>
      </c>
      <c r="C13" s="162">
        <v>9.0206185567010294E-2</v>
      </c>
      <c r="D13" s="162">
        <v>0.104379562043796</v>
      </c>
      <c r="E13" s="162">
        <v>0.10709219858155999</v>
      </c>
      <c r="F13" s="162">
        <v>0.105116279069767</v>
      </c>
      <c r="G13" s="162">
        <v>0.106057268722467</v>
      </c>
      <c r="H13" s="105"/>
    </row>
    <row r="14" spans="1:8" x14ac:dyDescent="0.25">
      <c r="A14" s="44" t="s">
        <v>12</v>
      </c>
      <c r="B14" s="42" t="s">
        <v>1057</v>
      </c>
      <c r="C14" s="162">
        <v>5.7281553398058301E-2</v>
      </c>
      <c r="D14" s="162">
        <v>8.0961538461538501E-2</v>
      </c>
      <c r="E14" s="162">
        <v>6.16504854368932E-2</v>
      </c>
      <c r="F14" s="162">
        <v>7.6956521739130396E-2</v>
      </c>
      <c r="G14" s="162">
        <v>8.5919999999999996E-2</v>
      </c>
      <c r="H14" s="105"/>
    </row>
    <row r="15" spans="1:8" x14ac:dyDescent="0.25">
      <c r="A15" s="44" t="s">
        <v>13</v>
      </c>
      <c r="B15" s="42" t="s">
        <v>1057</v>
      </c>
      <c r="C15" s="162">
        <v>0.9</v>
      </c>
      <c r="D15" s="162">
        <v>0.9</v>
      </c>
      <c r="E15" s="162">
        <v>0.9</v>
      </c>
      <c r="F15" s="162">
        <v>0.9</v>
      </c>
      <c r="G15" s="162">
        <v>0.9</v>
      </c>
      <c r="H15" s="105"/>
    </row>
    <row r="16" spans="1:8" x14ac:dyDescent="0.25">
      <c r="A16" s="44" t="s">
        <v>14</v>
      </c>
      <c r="B16" s="42" t="s">
        <v>1057</v>
      </c>
      <c r="C16" s="162">
        <v>0.12648026315789501</v>
      </c>
      <c r="D16" s="162">
        <v>0.131547619047619</v>
      </c>
      <c r="E16" s="162">
        <v>0.15049504950494999</v>
      </c>
      <c r="F16" s="162">
        <v>0.13783783783783801</v>
      </c>
      <c r="G16" s="162">
        <v>0.14537037037037001</v>
      </c>
      <c r="H16" s="105"/>
    </row>
    <row r="17" spans="1:8" x14ac:dyDescent="0.25">
      <c r="A17" s="44" t="s">
        <v>15</v>
      </c>
      <c r="B17" s="42" t="s">
        <v>1057</v>
      </c>
      <c r="C17" s="162">
        <v>4.1011235955056201E-2</v>
      </c>
      <c r="D17" s="162">
        <v>8.1260504201680697E-2</v>
      </c>
      <c r="E17" s="162">
        <v>5.06976744186046E-2</v>
      </c>
      <c r="F17" s="162">
        <v>7.2656250000000006E-2</v>
      </c>
      <c r="G17" s="162">
        <v>8.4027777777777798E-2</v>
      </c>
      <c r="H17" s="105"/>
    </row>
    <row r="18" spans="1:8" x14ac:dyDescent="0.25">
      <c r="A18" s="44" t="s">
        <v>16</v>
      </c>
      <c r="B18" s="42" t="s">
        <v>1057</v>
      </c>
      <c r="C18" s="162">
        <v>2.9915254237288101E-2</v>
      </c>
      <c r="D18" s="162">
        <v>9.4052863436123402E-2</v>
      </c>
      <c r="E18" s="162">
        <v>4.5225464190981397E-2</v>
      </c>
      <c r="F18" s="162">
        <v>6.7685589519650702E-2</v>
      </c>
      <c r="G18" s="162">
        <v>8.7351778656126505E-2</v>
      </c>
      <c r="H18" s="105"/>
    </row>
    <row r="19" spans="1:8" x14ac:dyDescent="0.25">
      <c r="A19" s="44" t="s">
        <v>17</v>
      </c>
      <c r="B19" s="42" t="s">
        <v>1057</v>
      </c>
      <c r="C19" s="162">
        <v>3.0131004366812202E-2</v>
      </c>
      <c r="D19" s="162">
        <v>9.3142857142857097E-2</v>
      </c>
      <c r="E19" s="162">
        <v>4.5547945205479501E-2</v>
      </c>
      <c r="F19" s="162">
        <v>6.7796610169491497E-2</v>
      </c>
      <c r="G19" s="162">
        <v>8.7487179487179503E-2</v>
      </c>
      <c r="H19" s="105"/>
    </row>
    <row r="20" spans="1:8" x14ac:dyDescent="0.25">
      <c r="A20" s="44" t="s">
        <v>18</v>
      </c>
      <c r="B20" s="42" t="s">
        <v>1057</v>
      </c>
      <c r="C20" s="162">
        <v>2.99009900990099E-2</v>
      </c>
      <c r="D20" s="162">
        <v>9.3814432989690694E-2</v>
      </c>
      <c r="E20" s="162">
        <v>4.5186335403726699E-2</v>
      </c>
      <c r="F20" s="162">
        <v>6.7774936061381102E-2</v>
      </c>
      <c r="G20" s="162">
        <v>8.7499999999999994E-2</v>
      </c>
      <c r="H20" s="105"/>
    </row>
    <row r="21" spans="1:8" x14ac:dyDescent="0.25">
      <c r="A21" s="44" t="s">
        <v>19</v>
      </c>
      <c r="B21" s="42" t="s">
        <v>1057</v>
      </c>
      <c r="C21" s="162">
        <v>0.9</v>
      </c>
      <c r="D21" s="162">
        <v>0.9</v>
      </c>
      <c r="E21" s="162">
        <v>0.9</v>
      </c>
      <c r="F21" s="162">
        <v>0.9</v>
      </c>
      <c r="G21" s="162">
        <v>0.9</v>
      </c>
      <c r="H21" s="105"/>
    </row>
    <row r="22" spans="1:8" x14ac:dyDescent="0.25">
      <c r="A22" s="44" t="s">
        <v>20</v>
      </c>
      <c r="B22" s="42" t="s">
        <v>1057</v>
      </c>
      <c r="C22" s="162">
        <v>7.8442280945758003E-2</v>
      </c>
      <c r="D22" s="162">
        <v>9.8879551820728301E-2</v>
      </c>
      <c r="E22" s="162">
        <v>9.1821561338289906E-2</v>
      </c>
      <c r="F22" s="162">
        <v>0.102702702702703</v>
      </c>
      <c r="G22" s="162">
        <v>0.119201995012469</v>
      </c>
      <c r="H22" s="105"/>
    </row>
    <row r="23" spans="1:8" x14ac:dyDescent="0.25">
      <c r="A23" s="46" t="s">
        <v>21</v>
      </c>
      <c r="B23" s="42" t="s">
        <v>335</v>
      </c>
      <c r="C23" s="162">
        <v>4.9459459459459502E-2</v>
      </c>
      <c r="D23" s="162">
        <v>7.9108635097492996E-2</v>
      </c>
      <c r="E23" s="162">
        <v>5.4863221884498499E-2</v>
      </c>
      <c r="F23" s="162">
        <v>7.1611253196930902E-2</v>
      </c>
      <c r="G23" s="162">
        <v>8.6893203883495099E-2</v>
      </c>
      <c r="H23" s="105"/>
    </row>
    <row r="24" spans="1:8" x14ac:dyDescent="0.25">
      <c r="A24" s="44" t="s">
        <v>22</v>
      </c>
      <c r="B24" s="42" t="s">
        <v>1057</v>
      </c>
      <c r="C24" s="162">
        <v>3.1434599156118098E-2</v>
      </c>
      <c r="D24" s="162">
        <v>8.6033519553072604E-2</v>
      </c>
      <c r="E24" s="162">
        <v>4.6611570247933901E-2</v>
      </c>
      <c r="F24" s="162">
        <v>6.7924528301886805E-2</v>
      </c>
      <c r="G24" s="162">
        <v>8.7499999999999994E-2</v>
      </c>
      <c r="H24" s="105"/>
    </row>
    <row r="25" spans="1:8" x14ac:dyDescent="0.25">
      <c r="A25" s="46" t="s">
        <v>23</v>
      </c>
      <c r="B25" s="42" t="s">
        <v>335</v>
      </c>
      <c r="C25" s="162">
        <v>3.1388329979879302E-2</v>
      </c>
      <c r="D25" s="162">
        <v>8.6931818181818193E-2</v>
      </c>
      <c r="E25" s="162">
        <v>4.7452229299363102E-2</v>
      </c>
      <c r="F25" s="162">
        <v>6.9633507853403095E-2</v>
      </c>
      <c r="G25" s="162">
        <v>8.61320754716981E-2</v>
      </c>
      <c r="H25" s="105"/>
    </row>
    <row r="26" spans="1:8" x14ac:dyDescent="0.25">
      <c r="A26" s="44" t="s">
        <v>24</v>
      </c>
      <c r="B26" s="42" t="s">
        <v>1057</v>
      </c>
      <c r="C26" s="162">
        <v>8.8307692307692295E-2</v>
      </c>
      <c r="D26" s="162">
        <v>8.9320388349514598E-2</v>
      </c>
      <c r="E26" s="162">
        <v>8.6249999999999993E-2</v>
      </c>
      <c r="F26" s="162">
        <v>8.6703096539162097E-2</v>
      </c>
      <c r="G26" s="162">
        <v>9.2337164750957906E-2</v>
      </c>
      <c r="H26" s="105"/>
    </row>
    <row r="27" spans="1:8" x14ac:dyDescent="0.25">
      <c r="A27" s="44" t="s">
        <v>25</v>
      </c>
      <c r="B27" s="42" t="s">
        <v>1057</v>
      </c>
      <c r="C27" s="162">
        <v>6.7632850241545903E-2</v>
      </c>
      <c r="D27" s="162">
        <v>9.1594827586206906E-2</v>
      </c>
      <c r="E27" s="162">
        <v>5.9615384615384598E-2</v>
      </c>
      <c r="F27" s="162">
        <v>7.5418060200668893E-2</v>
      </c>
      <c r="G27" s="162">
        <v>8.5049833887043194E-2</v>
      </c>
      <c r="H27" s="105"/>
    </row>
    <row r="28" spans="1:8" x14ac:dyDescent="0.25">
      <c r="A28" s="44" t="s">
        <v>26</v>
      </c>
      <c r="B28" s="42" t="s">
        <v>1057</v>
      </c>
      <c r="C28" s="162">
        <v>2.99586776859504E-2</v>
      </c>
      <c r="D28" s="162">
        <v>9.4200000000000006E-2</v>
      </c>
      <c r="E28" s="162">
        <v>4.3459119496855297E-2</v>
      </c>
      <c r="F28" s="162">
        <v>6.6041666666666707E-2</v>
      </c>
      <c r="G28" s="162">
        <v>8.38235294117647E-2</v>
      </c>
      <c r="H28" s="105"/>
    </row>
    <row r="29" spans="1:8" x14ac:dyDescent="0.25">
      <c r="A29" s="44" t="s">
        <v>27</v>
      </c>
      <c r="B29" s="42" t="s">
        <v>1057</v>
      </c>
      <c r="C29" s="162">
        <v>3.0634920634920602E-2</v>
      </c>
      <c r="D29" s="162">
        <v>9.2307692307692299E-2</v>
      </c>
      <c r="E29" s="162">
        <v>4.4158415841584198E-2</v>
      </c>
      <c r="F29" s="162">
        <v>6.5609756097561006E-2</v>
      </c>
      <c r="G29" s="162">
        <v>8.4339080459770094E-2</v>
      </c>
      <c r="H29" s="105"/>
    </row>
    <row r="30" spans="1:8" x14ac:dyDescent="0.25">
      <c r="A30" s="44" t="s">
        <v>28</v>
      </c>
      <c r="B30" s="42" t="s">
        <v>1057</v>
      </c>
      <c r="C30" s="162">
        <v>0.108125</v>
      </c>
      <c r="D30" s="162">
        <v>0.15398936170212801</v>
      </c>
      <c r="E30" s="162">
        <v>0.153198653198653</v>
      </c>
      <c r="F30" s="162">
        <v>0.14896551724137899</v>
      </c>
      <c r="G30" s="162">
        <v>0.15503875968992201</v>
      </c>
      <c r="H30" s="105"/>
    </row>
  </sheetData>
  <sheetProtection algorithmName="SHA-512" hashValue="dQPvOVlsbchUIdmHRvKm6S8wUiECoAC2NfgNP73xOXeV6VQbltk1telWfODZ2Sh7XBPc/vzUMDPwt+5m3VHD0w==" saltValue="Bp2oZr8pzAgA3couQldOzQ==" spinCount="100000" sheet="1" formatColumns="0" formatRows="0" autoFilter="0"/>
  <autoFilter ref="A1:G30"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E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3" width="10.28515625" style="4" customWidth="1"/>
    <col min="4" max="4" width="8.5703125" style="4" bestFit="1" customWidth="1"/>
    <col min="5" max="5" width="12.5703125" style="4" bestFit="1" customWidth="1"/>
    <col min="6" max="6" width="13.42578125" style="5" bestFit="1" customWidth="1"/>
    <col min="7" max="8" width="8.5703125" style="5" bestFit="1" customWidth="1"/>
    <col min="9" max="9" width="12.7109375" style="5" bestFit="1" customWidth="1"/>
    <col min="10" max="10" width="12" style="5" bestFit="1" customWidth="1"/>
    <col min="11" max="11" width="12.140625" style="5" bestFit="1" customWidth="1"/>
    <col min="12" max="12" width="11" style="5" bestFit="1" customWidth="1"/>
    <col min="13" max="13" width="12" style="5" bestFit="1" customWidth="1"/>
    <col min="14" max="15" width="11.85546875" style="5" bestFit="1" customWidth="1"/>
    <col min="16" max="16" width="12.85546875" style="5" bestFit="1" customWidth="1"/>
    <col min="17" max="17" width="9.7109375" style="2" bestFit="1" customWidth="1"/>
    <col min="18" max="18" width="9.5703125" style="2" bestFit="1" customWidth="1"/>
    <col min="19" max="20" width="10.5703125" style="2" bestFit="1" customWidth="1"/>
    <col min="21" max="21" width="11.5703125" style="2" bestFit="1" customWidth="1"/>
    <col min="22" max="22" width="9.85546875" style="2" bestFit="1" customWidth="1"/>
    <col min="23" max="23" width="9.7109375" style="2" bestFit="1" customWidth="1"/>
    <col min="24" max="25" width="10.7109375" style="2" bestFit="1" customWidth="1"/>
    <col min="26" max="26" width="11.7109375" style="2" bestFit="1" customWidth="1"/>
    <col min="27" max="27" width="10.42578125" style="2" bestFit="1" customWidth="1"/>
    <col min="28" max="28" width="10.28515625" style="2" bestFit="1" customWidth="1"/>
    <col min="29" max="30" width="11.28515625" style="2" bestFit="1" customWidth="1"/>
    <col min="31" max="32" width="12.28515625" style="2" bestFit="1" customWidth="1"/>
    <col min="33" max="33" width="10.5703125" style="2" bestFit="1" customWidth="1"/>
    <col min="34" max="34" width="10.85546875" style="2" bestFit="1" customWidth="1"/>
    <col min="35" max="35" width="10.5703125" style="2" bestFit="1" customWidth="1"/>
    <col min="36" max="36" width="10.28515625" style="2" bestFit="1" customWidth="1"/>
    <col min="37" max="37" width="12.85546875" style="2" bestFit="1" customWidth="1"/>
    <col min="38" max="38" width="14.5703125" style="2" bestFit="1" customWidth="1"/>
    <col min="39" max="39" width="10.28515625" style="2" bestFit="1" customWidth="1"/>
    <col min="40" max="40" width="12.42578125" style="2" bestFit="1" customWidth="1"/>
    <col min="41" max="41" width="14.5703125" style="2" bestFit="1" customWidth="1"/>
    <col min="42" max="42" width="16.28515625" style="2" bestFit="1" customWidth="1"/>
    <col min="43" max="43" width="11.5703125" style="2" bestFit="1" customWidth="1"/>
    <col min="44" max="44" width="16.140625" style="2" bestFit="1" customWidth="1"/>
    <col min="45" max="45" width="9.7109375" style="2" bestFit="1" customWidth="1"/>
    <col min="46" max="46" width="9.28515625" style="2" bestFit="1" customWidth="1"/>
    <col min="47" max="47" width="8.5703125" style="2" bestFit="1" customWidth="1"/>
    <col min="48" max="48" width="11.85546875" style="2" bestFit="1" customWidth="1"/>
    <col min="49" max="49" width="11" style="2" bestFit="1" customWidth="1"/>
    <col min="50" max="50" width="12" style="2" bestFit="1" customWidth="1"/>
    <col min="51" max="51" width="8.42578125" style="3" bestFit="1" customWidth="1"/>
    <col min="52" max="52" width="11.42578125" style="3" bestFit="1" customWidth="1"/>
    <col min="53" max="53" width="11.28515625" style="2" bestFit="1" customWidth="1"/>
    <col min="54" max="54" width="10.85546875" style="3" bestFit="1" customWidth="1"/>
    <col min="55" max="55" width="12.42578125" style="3" bestFit="1" customWidth="1"/>
    <col min="56" max="57" width="8.5703125" style="3" bestFit="1" customWidth="1"/>
    <col min="58" max="16384" width="9.140625" style="3"/>
  </cols>
  <sheetData>
    <row r="1" spans="1:57" s="9" customFormat="1" x14ac:dyDescent="0.25">
      <c r="A1" s="72" t="s">
        <v>39</v>
      </c>
      <c r="B1" s="73" t="s">
        <v>334</v>
      </c>
      <c r="C1" s="73" t="s">
        <v>346</v>
      </c>
      <c r="D1" s="200" t="s">
        <v>1269</v>
      </c>
      <c r="E1" s="243" t="s">
        <v>1346</v>
      </c>
      <c r="F1" s="243" t="s">
        <v>1347</v>
      </c>
      <c r="G1" s="243" t="s">
        <v>1348</v>
      </c>
      <c r="H1" s="243" t="s">
        <v>1349</v>
      </c>
      <c r="I1" s="243" t="s">
        <v>1350</v>
      </c>
      <c r="J1" s="243" t="s">
        <v>1351</v>
      </c>
      <c r="K1" s="243" t="s">
        <v>1352</v>
      </c>
      <c r="L1" s="243" t="s">
        <v>1353</v>
      </c>
      <c r="M1" s="243" t="s">
        <v>1354</v>
      </c>
      <c r="N1" s="243" t="s">
        <v>1355</v>
      </c>
      <c r="O1" s="243" t="s">
        <v>1356</v>
      </c>
      <c r="P1" s="243" t="s">
        <v>1357</v>
      </c>
      <c r="Q1" s="155" t="s">
        <v>29</v>
      </c>
      <c r="R1" s="155" t="s">
        <v>30</v>
      </c>
      <c r="S1" s="155" t="s">
        <v>31</v>
      </c>
      <c r="T1" s="155" t="s">
        <v>32</v>
      </c>
      <c r="U1" s="155" t="s">
        <v>33</v>
      </c>
      <c r="V1" s="156" t="s">
        <v>34</v>
      </c>
      <c r="W1" s="156" t="s">
        <v>35</v>
      </c>
      <c r="X1" s="156" t="s">
        <v>36</v>
      </c>
      <c r="Y1" s="156" t="s">
        <v>37</v>
      </c>
      <c r="Z1" s="156" t="s">
        <v>38</v>
      </c>
      <c r="AA1" s="154" t="s">
        <v>347</v>
      </c>
      <c r="AB1" s="154" t="s">
        <v>348</v>
      </c>
      <c r="AC1" s="154" t="s">
        <v>349</v>
      </c>
      <c r="AD1" s="154" t="s">
        <v>350</v>
      </c>
      <c r="AE1" s="154" t="s">
        <v>351</v>
      </c>
      <c r="AF1" s="157" t="s">
        <v>322</v>
      </c>
      <c r="AG1" s="157" t="s">
        <v>323</v>
      </c>
      <c r="AH1" s="8" t="s">
        <v>324</v>
      </c>
      <c r="AI1" s="8" t="s">
        <v>325</v>
      </c>
      <c r="AJ1" s="8" t="s">
        <v>326</v>
      </c>
      <c r="AK1" s="8" t="s">
        <v>1280</v>
      </c>
      <c r="AL1" s="8" t="s">
        <v>327</v>
      </c>
      <c r="AM1" s="8" t="s">
        <v>328</v>
      </c>
      <c r="AN1" s="8" t="s">
        <v>329</v>
      </c>
      <c r="AO1" s="8" t="s">
        <v>1311</v>
      </c>
      <c r="AP1" s="8" t="s">
        <v>1056</v>
      </c>
      <c r="AQ1" s="8" t="s">
        <v>1054</v>
      </c>
      <c r="AR1" s="8" t="s">
        <v>1055</v>
      </c>
      <c r="AS1" s="8" t="s">
        <v>330</v>
      </c>
      <c r="AT1" s="8" t="s">
        <v>331</v>
      </c>
      <c r="AU1" s="158" t="s">
        <v>196</v>
      </c>
      <c r="AV1" s="158" t="s">
        <v>332</v>
      </c>
      <c r="AW1" s="158" t="s">
        <v>333</v>
      </c>
      <c r="AX1" s="159" t="s">
        <v>338</v>
      </c>
      <c r="AY1" s="159" t="s">
        <v>339</v>
      </c>
      <c r="AZ1" s="160" t="s">
        <v>344</v>
      </c>
      <c r="BA1" s="160" t="s">
        <v>343</v>
      </c>
      <c r="BB1" s="160" t="s">
        <v>342</v>
      </c>
      <c r="BC1" s="161" t="s">
        <v>345</v>
      </c>
      <c r="BD1" s="159" t="s">
        <v>357</v>
      </c>
      <c r="BE1" s="159" t="s">
        <v>360</v>
      </c>
    </row>
    <row r="2" spans="1:57" x14ac:dyDescent="0.25">
      <c r="A2" s="44" t="s">
        <v>0</v>
      </c>
      <c r="B2" s="42" t="s">
        <v>1057</v>
      </c>
      <c r="C2" s="42"/>
      <c r="D2" s="3"/>
      <c r="E2" s="2">
        <v>1.9351000000000001E-4</v>
      </c>
      <c r="F2" s="2">
        <v>1.9351000000000001E-4</v>
      </c>
      <c r="G2" s="2">
        <v>5.2864399999999999E-2</v>
      </c>
      <c r="H2" s="2">
        <v>3.3966000000000003E-2</v>
      </c>
      <c r="I2" s="2">
        <v>1.9351000000000001E-4</v>
      </c>
      <c r="J2" s="2">
        <v>1.4281999999999999E-4</v>
      </c>
      <c r="K2" s="2">
        <v>6.6087925919999994E-5</v>
      </c>
      <c r="L2" s="2">
        <v>1.54308E-2</v>
      </c>
      <c r="M2" s="2">
        <v>1.4712153120000001E-4</v>
      </c>
      <c r="N2" s="2">
        <v>1.4589080000000001E-2</v>
      </c>
      <c r="O2" s="2">
        <v>3.8107200000000001E-2</v>
      </c>
      <c r="P2" s="2">
        <v>5.1369999999999999E-2</v>
      </c>
      <c r="Q2" s="162">
        <v>0.98115942028985503</v>
      </c>
      <c r="R2" s="162">
        <v>0.94192634560906496</v>
      </c>
      <c r="S2" s="162">
        <v>0.931707317073171</v>
      </c>
      <c r="T2" s="162">
        <v>0.91452991452991494</v>
      </c>
      <c r="U2" s="162">
        <v>0.91685393258426995</v>
      </c>
      <c r="V2" s="162">
        <v>1.1999999999999999E-3</v>
      </c>
      <c r="W2" s="162">
        <v>0.02</v>
      </c>
      <c r="X2" s="162">
        <v>0.01</v>
      </c>
      <c r="Y2" s="162">
        <v>1.4999999999999999E-2</v>
      </c>
      <c r="Z2" s="162">
        <v>1.7999999999999999E-2</v>
      </c>
      <c r="AA2" s="98">
        <f t="shared" ref="AA2:AE3" si="0">0.4*V2</f>
        <v>4.7999999999999996E-4</v>
      </c>
      <c r="AB2" s="98">
        <f t="shared" si="0"/>
        <v>8.0000000000000002E-3</v>
      </c>
      <c r="AC2" s="98">
        <f t="shared" si="0"/>
        <v>4.0000000000000001E-3</v>
      </c>
      <c r="AD2" s="98">
        <f t="shared" si="0"/>
        <v>6.0000000000000001E-3</v>
      </c>
      <c r="AE2" s="98">
        <f t="shared" si="0"/>
        <v>7.1999999999999998E-3</v>
      </c>
      <c r="AF2" s="15">
        <v>2.7397260273972601E-2</v>
      </c>
      <c r="AG2" s="15">
        <v>225</v>
      </c>
      <c r="AH2" s="2">
        <v>1.9999999999999999E-6</v>
      </c>
      <c r="AI2" s="2">
        <v>2.0000000000000002E-5</v>
      </c>
      <c r="AJ2" s="2">
        <v>15</v>
      </c>
      <c r="AK2" s="2" t="s">
        <v>1281</v>
      </c>
      <c r="AL2" s="2" t="s">
        <v>1281</v>
      </c>
      <c r="AM2" s="2" t="s">
        <v>1281</v>
      </c>
      <c r="AN2" s="2" t="s">
        <v>1281</v>
      </c>
      <c r="AO2" s="2" t="s">
        <v>1281</v>
      </c>
      <c r="AP2" s="2" t="s">
        <v>1281</v>
      </c>
      <c r="AQ2" s="2" t="s">
        <v>1281</v>
      </c>
      <c r="AR2" s="2" t="s">
        <v>1281</v>
      </c>
      <c r="AS2" s="2">
        <v>1E-3</v>
      </c>
      <c r="AT2" s="2">
        <v>0.1</v>
      </c>
      <c r="AU2" s="15">
        <v>1700</v>
      </c>
      <c r="AV2" s="15">
        <v>5.0000000000000001E-4</v>
      </c>
      <c r="AW2" s="15">
        <v>25.294499999999999</v>
      </c>
      <c r="AX2" s="42">
        <v>15</v>
      </c>
      <c r="AY2" s="42">
        <v>225</v>
      </c>
      <c r="AZ2" s="98">
        <f>BB2+s_lambda_HL</f>
        <v>5.5000000000000002E-5</v>
      </c>
      <c r="BA2" s="98">
        <f>BB2+(0.693/s_t_w)</f>
        <v>0.1386</v>
      </c>
      <c r="BB2" s="98">
        <v>0</v>
      </c>
      <c r="BC2" s="15">
        <v>10</v>
      </c>
      <c r="BD2" s="98">
        <f t="shared" ref="BD2" si="1">AT2</f>
        <v>0.1</v>
      </c>
      <c r="BE2" s="98">
        <f t="shared" ref="BE2" si="2">AS2</f>
        <v>1E-3</v>
      </c>
    </row>
    <row r="3" spans="1:57" x14ac:dyDescent="0.25">
      <c r="A3" s="46" t="s">
        <v>1</v>
      </c>
      <c r="B3" s="42" t="s">
        <v>335</v>
      </c>
      <c r="C3" s="42"/>
      <c r="D3" s="3"/>
      <c r="E3" s="2">
        <v>8.8060000000000005E-4</v>
      </c>
      <c r="F3" s="2">
        <v>8.8060000000000005E-4</v>
      </c>
      <c r="G3" s="2">
        <v>3.7173200000000003E-2</v>
      </c>
      <c r="H3" s="2">
        <v>0.36297000000000001</v>
      </c>
      <c r="I3" s="2">
        <v>8.8060000000000005E-4</v>
      </c>
      <c r="J3" s="2">
        <v>7.5480000000000002E-4</v>
      </c>
      <c r="K3" s="2">
        <v>7.8464816639999994E-5</v>
      </c>
      <c r="L3" s="2">
        <v>2.5484199999999999E-2</v>
      </c>
      <c r="M3" s="2">
        <v>1.7981520480000001E-4</v>
      </c>
      <c r="N3" s="2">
        <v>1.83064E-2</v>
      </c>
      <c r="O3" s="2">
        <v>3.4557999999999998E-2</v>
      </c>
      <c r="P3" s="2">
        <v>3.7173200000000003E-2</v>
      </c>
      <c r="Q3" s="162">
        <v>0.98581560283687897</v>
      </c>
      <c r="R3" s="162">
        <v>0.95726495726495697</v>
      </c>
      <c r="S3" s="162">
        <v>0.93096234309623405</v>
      </c>
      <c r="T3" s="162">
        <v>0.90049751243781095</v>
      </c>
      <c r="U3" s="162">
        <v>0.87357630979498901</v>
      </c>
      <c r="V3" s="162">
        <v>6.7000000000000002E-5</v>
      </c>
      <c r="W3" s="162">
        <v>1.4999999999999999E-4</v>
      </c>
      <c r="X3" s="162">
        <v>1.1E-4</v>
      </c>
      <c r="Y3" s="162">
        <v>1.4999999999999999E-4</v>
      </c>
      <c r="Z3" s="162">
        <v>1.4999999999999999E-4</v>
      </c>
      <c r="AA3" s="98">
        <f t="shared" si="0"/>
        <v>2.6800000000000001E-5</v>
      </c>
      <c r="AB3" s="98">
        <f t="shared" si="0"/>
        <v>5.9999999999999995E-5</v>
      </c>
      <c r="AC3" s="98">
        <f t="shared" si="0"/>
        <v>4.4000000000000006E-5</v>
      </c>
      <c r="AD3" s="98">
        <f t="shared" si="0"/>
        <v>5.9999999999999995E-5</v>
      </c>
      <c r="AE3" s="98">
        <f t="shared" si="0"/>
        <v>5.9999999999999995E-5</v>
      </c>
      <c r="AF3" s="15">
        <v>432.2</v>
      </c>
      <c r="AG3" s="15">
        <v>241</v>
      </c>
      <c r="AH3" s="2">
        <v>4.2E-7</v>
      </c>
      <c r="AI3" s="2">
        <v>5.0000000000000001E-4</v>
      </c>
      <c r="AJ3" s="2">
        <v>240</v>
      </c>
      <c r="AK3" s="2">
        <v>2400</v>
      </c>
      <c r="AL3" s="2">
        <v>6.0000000000000001E-3</v>
      </c>
      <c r="AM3" s="2">
        <v>3.0000000000000001E-3</v>
      </c>
      <c r="AN3" s="2">
        <v>1.7000000000000001E-4</v>
      </c>
      <c r="AO3" s="228">
        <v>1.1E-4</v>
      </c>
      <c r="AP3" s="2" t="s">
        <v>1281</v>
      </c>
      <c r="AQ3" s="2" t="s">
        <v>1281</v>
      </c>
      <c r="AR3" s="228">
        <v>6.9E-6</v>
      </c>
      <c r="AS3" s="2">
        <v>2.1999999999999999E-5</v>
      </c>
      <c r="AT3" s="2">
        <v>2.5287356321838999E-5</v>
      </c>
      <c r="AU3" s="15">
        <v>4</v>
      </c>
      <c r="AV3" s="15">
        <v>5.0000000000000001E-4</v>
      </c>
      <c r="AW3" s="15">
        <v>1.60342434058306E-3</v>
      </c>
      <c r="AX3" s="42">
        <v>15</v>
      </c>
      <c r="AY3" s="42">
        <v>241</v>
      </c>
      <c r="AZ3" s="98">
        <f t="shared" ref="AZ3" si="3">BB3+s_lambda_HL</f>
        <v>5.5000000000000002E-5</v>
      </c>
      <c r="BA3" s="98">
        <f t="shared" ref="BA3" si="4">BB3+(0.693/s_t_w)</f>
        <v>0.1386</v>
      </c>
      <c r="BB3" s="98">
        <v>0</v>
      </c>
      <c r="BC3" s="15">
        <v>157753</v>
      </c>
      <c r="BD3" s="98">
        <f>AT3</f>
        <v>2.5287356321838999E-5</v>
      </c>
      <c r="BE3" s="98">
        <f>AS3</f>
        <v>2.1999999999999999E-5</v>
      </c>
    </row>
    <row r="4" spans="1:57" x14ac:dyDescent="0.25">
      <c r="A4" s="44" t="s">
        <v>2</v>
      </c>
      <c r="B4" s="42" t="s">
        <v>1057</v>
      </c>
      <c r="C4" s="42"/>
      <c r="D4" s="2"/>
      <c r="E4" s="2">
        <v>0</v>
      </c>
      <c r="F4" s="2">
        <v>0</v>
      </c>
      <c r="G4" s="2">
        <v>1.18618E-3</v>
      </c>
      <c r="H4" s="2">
        <v>0</v>
      </c>
      <c r="I4" s="2">
        <v>0</v>
      </c>
      <c r="J4" s="2">
        <v>0</v>
      </c>
      <c r="K4" s="2">
        <v>1.237689072E-6</v>
      </c>
      <c r="L4" s="2">
        <v>2.6536300000000001E-4</v>
      </c>
      <c r="M4" s="2">
        <v>2.697228072E-6</v>
      </c>
      <c r="N4" s="2">
        <v>2.6899200000000002E-4</v>
      </c>
      <c r="O4" s="2">
        <v>7.5093600000000001E-4</v>
      </c>
      <c r="P4" s="2">
        <v>1.109592E-3</v>
      </c>
      <c r="Q4" s="162">
        <v>0.914201183431953</v>
      </c>
      <c r="R4" s="162">
        <v>0.85714285714285698</v>
      </c>
      <c r="S4" s="162">
        <v>0.90909090909090895</v>
      </c>
      <c r="T4" s="162">
        <v>0.91269841269841301</v>
      </c>
      <c r="U4" s="162">
        <v>0.89869753979739497</v>
      </c>
      <c r="V4" s="162">
        <v>1.4E-2</v>
      </c>
      <c r="W4" s="162">
        <v>4.4999999999999998E-2</v>
      </c>
      <c r="X4" s="162">
        <v>2.5999999999999999E-2</v>
      </c>
      <c r="Y4" s="162">
        <v>3.5999999999999997E-2</v>
      </c>
      <c r="Z4" s="162">
        <v>4.2000000000000003E-2</v>
      </c>
      <c r="AA4" s="98">
        <f t="shared" ref="AA4:AE5" si="5">0.4*V4</f>
        <v>5.6000000000000008E-3</v>
      </c>
      <c r="AB4" s="98">
        <f t="shared" si="5"/>
        <v>1.7999999999999999E-2</v>
      </c>
      <c r="AC4" s="98">
        <f t="shared" si="5"/>
        <v>1.04E-2</v>
      </c>
      <c r="AD4" s="98">
        <f t="shared" si="5"/>
        <v>1.44E-2</v>
      </c>
      <c r="AE4" s="98">
        <f t="shared" si="5"/>
        <v>1.6800000000000002E-2</v>
      </c>
      <c r="AF4" s="15">
        <v>1.0242262810756E-9</v>
      </c>
      <c r="AG4" s="15">
        <v>217</v>
      </c>
      <c r="AH4" s="2">
        <v>0.01</v>
      </c>
      <c r="AI4" s="2">
        <v>0.01</v>
      </c>
      <c r="AJ4" s="2" t="s">
        <v>1281</v>
      </c>
      <c r="AK4" s="2" t="s">
        <v>1281</v>
      </c>
      <c r="AL4" s="2" t="s">
        <v>1281</v>
      </c>
      <c r="AM4" s="2" t="s">
        <v>1281</v>
      </c>
      <c r="AN4" s="2" t="s">
        <v>1281</v>
      </c>
      <c r="AO4" s="2" t="s">
        <v>1281</v>
      </c>
      <c r="AP4" s="2" t="s">
        <v>1281</v>
      </c>
      <c r="AQ4" s="2" t="s">
        <v>1281</v>
      </c>
      <c r="AR4" s="2" t="s">
        <v>1281</v>
      </c>
      <c r="AS4" s="2">
        <v>0.2</v>
      </c>
      <c r="AT4" s="2">
        <v>0.9</v>
      </c>
      <c r="AU4" s="15">
        <v>10</v>
      </c>
      <c r="AV4" s="15"/>
      <c r="AW4" s="15">
        <v>676608297.21362197</v>
      </c>
      <c r="AX4" s="42">
        <v>15</v>
      </c>
      <c r="AY4" s="42">
        <v>217</v>
      </c>
      <c r="AZ4" s="98">
        <f t="shared" ref="AZ4:AZ5" si="6">BB4+s_lambda_HL</f>
        <v>5.5000000000000002E-5</v>
      </c>
      <c r="BA4" s="98">
        <f t="shared" ref="BA4:BA5" si="7">BB4+(0.693/s_t_w)</f>
        <v>0.1386</v>
      </c>
      <c r="BB4" s="98">
        <v>0</v>
      </c>
      <c r="BC4" s="15">
        <v>3.7384259259259298E-7</v>
      </c>
      <c r="BD4" s="98">
        <f t="shared" ref="BD4:BD5" si="8">AT4</f>
        <v>0.9</v>
      </c>
      <c r="BE4" s="98">
        <f t="shared" ref="BE4:BE5" si="9">AS4</f>
        <v>0.2</v>
      </c>
    </row>
    <row r="5" spans="1:57" x14ac:dyDescent="0.25">
      <c r="A5" s="44" t="s">
        <v>3</v>
      </c>
      <c r="B5" s="42" t="s">
        <v>1057</v>
      </c>
      <c r="C5" s="42">
        <v>1</v>
      </c>
      <c r="D5" s="236">
        <v>1.4526200000000001E-4</v>
      </c>
      <c r="E5" s="2">
        <v>0</v>
      </c>
      <c r="F5" s="2">
        <v>0</v>
      </c>
      <c r="G5" s="2">
        <v>5.56664E-5</v>
      </c>
      <c r="H5" s="2">
        <v>0</v>
      </c>
      <c r="I5" s="2">
        <v>0</v>
      </c>
      <c r="J5" s="2">
        <v>0</v>
      </c>
      <c r="K5" s="2">
        <v>1.144278576E-7</v>
      </c>
      <c r="L5" s="2">
        <v>1.4612499999999999E-4</v>
      </c>
      <c r="M5" s="2">
        <v>1.4595389999999999E-7</v>
      </c>
      <c r="N5" s="2">
        <v>3.1569200000000003E-5</v>
      </c>
      <c r="O5" s="2">
        <v>4.4271599999999998E-5</v>
      </c>
      <c r="P5" s="2">
        <v>5.3424799999999997E-5</v>
      </c>
      <c r="Q5" s="162">
        <v>0.9</v>
      </c>
      <c r="R5" s="162">
        <v>0.9</v>
      </c>
      <c r="S5" s="162">
        <v>0.9</v>
      </c>
      <c r="T5" s="162">
        <v>0.9</v>
      </c>
      <c r="U5" s="162">
        <v>0.9</v>
      </c>
      <c r="V5" s="162">
        <v>0</v>
      </c>
      <c r="W5" s="162">
        <v>0</v>
      </c>
      <c r="X5" s="162">
        <v>0</v>
      </c>
      <c r="Y5" s="162">
        <v>0</v>
      </c>
      <c r="Z5" s="162">
        <v>0</v>
      </c>
      <c r="AA5" s="98">
        <f t="shared" si="5"/>
        <v>0</v>
      </c>
      <c r="AB5" s="98">
        <f t="shared" si="5"/>
        <v>0</v>
      </c>
      <c r="AC5" s="98">
        <f t="shared" si="5"/>
        <v>0</v>
      </c>
      <c r="AD5" s="98">
        <f t="shared" si="5"/>
        <v>0</v>
      </c>
      <c r="AE5" s="98">
        <f t="shared" si="5"/>
        <v>0</v>
      </c>
      <c r="AF5" s="15">
        <v>4.7564687975646899E-8</v>
      </c>
      <c r="AG5" s="15">
        <v>218</v>
      </c>
      <c r="AH5" s="2">
        <v>0.01</v>
      </c>
      <c r="AI5" s="2">
        <v>0.01</v>
      </c>
      <c r="AJ5" s="2" t="s">
        <v>1281</v>
      </c>
      <c r="AK5" s="2" t="s">
        <v>1281</v>
      </c>
      <c r="AL5" s="2" t="s">
        <v>1281</v>
      </c>
      <c r="AM5" s="2" t="s">
        <v>1281</v>
      </c>
      <c r="AN5" s="2" t="s">
        <v>1281</v>
      </c>
      <c r="AO5" s="2" t="s">
        <v>1281</v>
      </c>
      <c r="AP5" s="2" t="s">
        <v>1281</v>
      </c>
      <c r="AQ5" s="2" t="s">
        <v>1281</v>
      </c>
      <c r="AR5" s="2" t="s">
        <v>1281</v>
      </c>
      <c r="AS5" s="2">
        <v>0.2</v>
      </c>
      <c r="AT5" s="2">
        <v>0.9</v>
      </c>
      <c r="AU5" s="15">
        <v>10</v>
      </c>
      <c r="AV5" s="15"/>
      <c r="AW5" s="15">
        <v>14569632</v>
      </c>
      <c r="AX5" s="42">
        <v>15</v>
      </c>
      <c r="AY5" s="42">
        <v>218</v>
      </c>
      <c r="AZ5" s="98">
        <f t="shared" si="6"/>
        <v>5.5000000000000002E-5</v>
      </c>
      <c r="BA5" s="98">
        <f t="shared" si="7"/>
        <v>0.1386</v>
      </c>
      <c r="BB5" s="98">
        <v>0</v>
      </c>
      <c r="BC5" s="15">
        <v>1.7361111111111101E-5</v>
      </c>
      <c r="BD5" s="98">
        <f t="shared" si="8"/>
        <v>0.9</v>
      </c>
      <c r="BE5" s="98">
        <f t="shared" si="9"/>
        <v>0.2</v>
      </c>
    </row>
    <row r="6" spans="1:57" x14ac:dyDescent="0.25">
      <c r="A6" s="44" t="s">
        <v>4</v>
      </c>
      <c r="B6" s="42" t="s">
        <v>1057</v>
      </c>
      <c r="C6" s="42"/>
      <c r="D6" s="2"/>
      <c r="E6" s="2">
        <v>0</v>
      </c>
      <c r="F6" s="2">
        <v>0</v>
      </c>
      <c r="G6" s="2">
        <v>3.3810799999999999</v>
      </c>
      <c r="H6" s="2">
        <v>0</v>
      </c>
      <c r="I6" s="2">
        <v>0</v>
      </c>
      <c r="J6" s="2">
        <v>0</v>
      </c>
      <c r="K6" s="2">
        <v>3.1409279280000002E-3</v>
      </c>
      <c r="L6" s="2">
        <v>0.67451300000000003</v>
      </c>
      <c r="M6" s="2">
        <v>6.8072898960000001E-3</v>
      </c>
      <c r="N6" s="2">
        <v>0.67247999999999997</v>
      </c>
      <c r="O6" s="2">
        <v>1.92404</v>
      </c>
      <c r="P6" s="2">
        <v>3.0074800000000002</v>
      </c>
      <c r="Q6" s="162">
        <v>0.88636363636363602</v>
      </c>
      <c r="R6" s="162">
        <v>0.91519434628975305</v>
      </c>
      <c r="S6" s="162">
        <v>0.93487394957983205</v>
      </c>
      <c r="T6" s="162">
        <v>0.91752577319587603</v>
      </c>
      <c r="U6" s="162">
        <v>0.95541401273885396</v>
      </c>
      <c r="V6" s="162">
        <v>2.7E-2</v>
      </c>
      <c r="W6" s="162">
        <v>8.2000000000000003E-2</v>
      </c>
      <c r="X6" s="162">
        <v>4.2999999999999997E-2</v>
      </c>
      <c r="Y6" s="162">
        <v>6.2E-2</v>
      </c>
      <c r="Z6" s="162">
        <v>7.1999999999999995E-2</v>
      </c>
      <c r="AA6" s="98">
        <f t="shared" ref="AA6:AE7" si="10">0.4*V6</f>
        <v>1.0800000000000001E-2</v>
      </c>
      <c r="AB6" s="98">
        <f t="shared" si="10"/>
        <v>3.2800000000000003E-2</v>
      </c>
      <c r="AC6" s="98">
        <f t="shared" si="10"/>
        <v>1.72E-2</v>
      </c>
      <c r="AD6" s="98">
        <f t="shared" si="10"/>
        <v>2.4800000000000003E-2</v>
      </c>
      <c r="AE6" s="98">
        <f t="shared" si="10"/>
        <v>2.8799999999999999E-2</v>
      </c>
      <c r="AF6" s="15">
        <v>4.8554033485540298E-6</v>
      </c>
      <c r="AG6" s="15">
        <v>137</v>
      </c>
      <c r="AH6" s="2">
        <v>1.6000000000000001E-4</v>
      </c>
      <c r="AI6" s="2">
        <v>1.3999999999999999E-4</v>
      </c>
      <c r="AJ6" s="2">
        <v>1.2</v>
      </c>
      <c r="AK6" s="2">
        <v>140</v>
      </c>
      <c r="AL6" s="2">
        <v>1.9E-2</v>
      </c>
      <c r="AM6" s="2">
        <v>0.87</v>
      </c>
      <c r="AN6" s="2" t="s">
        <v>1281</v>
      </c>
      <c r="AO6" s="228">
        <v>5.0000000000000001E-3</v>
      </c>
      <c r="AP6" s="228">
        <v>4.1000000000000002E-2</v>
      </c>
      <c r="AQ6" s="228">
        <v>1.2999999999999999E-5</v>
      </c>
      <c r="AR6" s="228">
        <v>1.0999999999999999E-2</v>
      </c>
      <c r="AS6" s="2">
        <v>1E-3</v>
      </c>
      <c r="AT6" s="2">
        <v>1.1494252873562999E-3</v>
      </c>
      <c r="AU6" s="15">
        <v>0.4</v>
      </c>
      <c r="AV6" s="15"/>
      <c r="AW6" s="15">
        <v>142727.58620689699</v>
      </c>
      <c r="AX6" s="42"/>
      <c r="AY6" s="42">
        <v>137</v>
      </c>
      <c r="AZ6" s="98">
        <f t="shared" ref="AZ6:AZ9" si="11">BB6+s_lambda_HL</f>
        <v>5.5000000000000002E-5</v>
      </c>
      <c r="BA6" s="98">
        <f t="shared" ref="BA6:BA9" si="12">BB6+(0.693/s_t_w)</f>
        <v>0.1386</v>
      </c>
      <c r="BB6" s="98">
        <v>0</v>
      </c>
      <c r="BC6" s="15">
        <v>1.77222222222222E-3</v>
      </c>
      <c r="BD6" s="98">
        <f t="shared" ref="BD6:BD9" si="13">AT6</f>
        <v>1.1494252873562999E-3</v>
      </c>
      <c r="BE6" s="98">
        <f t="shared" ref="BE6:BE9" si="14">AS6</f>
        <v>1E-3</v>
      </c>
    </row>
    <row r="7" spans="1:57" x14ac:dyDescent="0.25">
      <c r="A7" s="44" t="s">
        <v>5</v>
      </c>
      <c r="B7" s="42" t="s">
        <v>1057</v>
      </c>
      <c r="C7" s="42">
        <v>1</v>
      </c>
      <c r="D7" s="236">
        <v>0</v>
      </c>
      <c r="E7" s="2">
        <v>6.6599999999999998E-6</v>
      </c>
      <c r="F7" s="2">
        <v>6.6599999999999998E-6</v>
      </c>
      <c r="G7" s="2">
        <v>5.4732399999999999E-3</v>
      </c>
      <c r="H7" s="2">
        <v>5.4020000000000001E-4</v>
      </c>
      <c r="I7" s="2">
        <v>6.6599999999999998E-6</v>
      </c>
      <c r="J7" s="2">
        <v>4.8470000000000003E-6</v>
      </c>
      <c r="K7" s="2">
        <v>3.012488496E-5</v>
      </c>
      <c r="L7" s="2">
        <v>4.1031900000000003E-2</v>
      </c>
      <c r="M7" s="2">
        <v>3.479540976E-5</v>
      </c>
      <c r="N7" s="2">
        <v>3.13824E-3</v>
      </c>
      <c r="O7" s="2">
        <v>4.5392399999999999E-3</v>
      </c>
      <c r="P7" s="2">
        <v>5.3611600000000002E-3</v>
      </c>
      <c r="Q7" s="162">
        <v>0.90997566909975702</v>
      </c>
      <c r="R7" s="162">
        <v>0.867088607594937</v>
      </c>
      <c r="S7" s="162">
        <v>0.90839694656488501</v>
      </c>
      <c r="T7" s="162">
        <v>0.92993630573248398</v>
      </c>
      <c r="U7" s="162">
        <v>0.87429854096520798</v>
      </c>
      <c r="V7" s="162">
        <v>1.4E-2</v>
      </c>
      <c r="W7" s="162">
        <v>0.04</v>
      </c>
      <c r="X7" s="162">
        <v>2.4E-2</v>
      </c>
      <c r="Y7" s="162">
        <v>3.2000000000000001E-2</v>
      </c>
      <c r="Z7" s="162">
        <v>3.6999999999999998E-2</v>
      </c>
      <c r="AA7" s="98">
        <f t="shared" si="10"/>
        <v>5.6000000000000008E-3</v>
      </c>
      <c r="AB7" s="98">
        <f t="shared" si="10"/>
        <v>1.6E-2</v>
      </c>
      <c r="AC7" s="98">
        <f t="shared" si="10"/>
        <v>9.6000000000000009E-3</v>
      </c>
      <c r="AD7" s="98">
        <f t="shared" si="10"/>
        <v>1.2800000000000001E-2</v>
      </c>
      <c r="AE7" s="98">
        <f t="shared" si="10"/>
        <v>1.4800000000000001E-2</v>
      </c>
      <c r="AF7" s="15">
        <v>1.37342465753425E-2</v>
      </c>
      <c r="AG7" s="15">
        <v>210</v>
      </c>
      <c r="AH7" s="2">
        <v>1E-3</v>
      </c>
      <c r="AI7" s="2">
        <v>2E-3</v>
      </c>
      <c r="AJ7" s="2">
        <v>15</v>
      </c>
      <c r="AK7" s="2" t="s">
        <v>1281</v>
      </c>
      <c r="AL7" s="2" t="s">
        <v>1281</v>
      </c>
      <c r="AM7" s="2" t="s">
        <v>1281</v>
      </c>
      <c r="AN7" s="2" t="s">
        <v>1281</v>
      </c>
      <c r="AO7" s="2" t="s">
        <v>1281</v>
      </c>
      <c r="AP7" s="2" t="s">
        <v>1281</v>
      </c>
      <c r="AQ7" s="2" t="s">
        <v>1281</v>
      </c>
      <c r="AR7" s="2" t="s">
        <v>1281</v>
      </c>
      <c r="AS7" s="2">
        <v>0.1</v>
      </c>
      <c r="AT7" s="2">
        <v>0.5</v>
      </c>
      <c r="AU7" s="15">
        <v>480</v>
      </c>
      <c r="AV7" s="15">
        <v>0.05</v>
      </c>
      <c r="AW7" s="15">
        <v>50.457809694793497</v>
      </c>
      <c r="AX7" s="42">
        <v>15</v>
      </c>
      <c r="AY7" s="42">
        <v>210</v>
      </c>
      <c r="AZ7" s="98">
        <f t="shared" si="11"/>
        <v>5.5000000000000002E-5</v>
      </c>
      <c r="BA7" s="98">
        <f t="shared" si="12"/>
        <v>0.1386</v>
      </c>
      <c r="BB7" s="98">
        <v>0</v>
      </c>
      <c r="BC7" s="15">
        <v>5.0129999999999999</v>
      </c>
      <c r="BD7" s="98">
        <f t="shared" si="13"/>
        <v>0.5</v>
      </c>
      <c r="BE7" s="98">
        <f t="shared" si="14"/>
        <v>0.1</v>
      </c>
    </row>
    <row r="8" spans="1:57" x14ac:dyDescent="0.25">
      <c r="A8" s="44" t="s">
        <v>6</v>
      </c>
      <c r="B8" s="42" t="s">
        <v>1057</v>
      </c>
      <c r="C8" s="42"/>
      <c r="D8" s="2"/>
      <c r="E8" s="2">
        <v>9.9159999999999996E-7</v>
      </c>
      <c r="F8" s="2">
        <v>9.9159999999999996E-7</v>
      </c>
      <c r="G8" s="2">
        <v>0.68742400000000004</v>
      </c>
      <c r="H8" s="2">
        <v>1.3134999999999999E-4</v>
      </c>
      <c r="I8" s="2">
        <v>9.9159999999999996E-7</v>
      </c>
      <c r="J8" s="2">
        <v>7.3259999999999998E-7</v>
      </c>
      <c r="K8" s="2">
        <v>6.9357293280000005E-4</v>
      </c>
      <c r="L8" s="2">
        <v>0.191716</v>
      </c>
      <c r="M8" s="2">
        <v>1.4712153119999999E-3</v>
      </c>
      <c r="N8" s="2">
        <v>0.148506</v>
      </c>
      <c r="O8" s="2">
        <v>0.41469600000000001</v>
      </c>
      <c r="P8" s="2">
        <v>0.62951599999999996</v>
      </c>
      <c r="Q8" s="162">
        <v>0.88690476190476197</v>
      </c>
      <c r="R8" s="162">
        <v>0.97311827956989205</v>
      </c>
      <c r="S8" s="162">
        <v>0.93904761904761902</v>
      </c>
      <c r="T8" s="162">
        <v>0.93809523809523798</v>
      </c>
      <c r="U8" s="162">
        <v>0.89295774647887305</v>
      </c>
      <c r="V8" s="162">
        <v>0.02</v>
      </c>
      <c r="W8" s="162">
        <v>6.2E-2</v>
      </c>
      <c r="X8" s="162">
        <v>3.5000000000000003E-2</v>
      </c>
      <c r="Y8" s="162">
        <v>4.8000000000000001E-2</v>
      </c>
      <c r="Z8" s="162">
        <v>5.5E-2</v>
      </c>
      <c r="AA8" s="98">
        <f t="shared" ref="AA8:AE9" si="15">0.4*V8</f>
        <v>8.0000000000000002E-3</v>
      </c>
      <c r="AB8" s="98">
        <f t="shared" si="15"/>
        <v>2.4800000000000003E-2</v>
      </c>
      <c r="AC8" s="98">
        <f t="shared" si="15"/>
        <v>1.4000000000000002E-2</v>
      </c>
      <c r="AD8" s="98">
        <f t="shared" si="15"/>
        <v>1.9200000000000002E-2</v>
      </c>
      <c r="AE8" s="98">
        <f t="shared" si="15"/>
        <v>2.2000000000000002E-2</v>
      </c>
      <c r="AF8" s="15">
        <v>8.6738964992389594E-5</v>
      </c>
      <c r="AG8" s="15">
        <v>213</v>
      </c>
      <c r="AH8" s="2">
        <v>1E-3</v>
      </c>
      <c r="AI8" s="2">
        <v>2E-3</v>
      </c>
      <c r="AJ8" s="2">
        <v>15</v>
      </c>
      <c r="AK8" s="2" t="s">
        <v>1281</v>
      </c>
      <c r="AL8" s="2" t="s">
        <v>1281</v>
      </c>
      <c r="AM8" s="2" t="s">
        <v>1281</v>
      </c>
      <c r="AN8" s="2" t="s">
        <v>1281</v>
      </c>
      <c r="AO8" s="2" t="s">
        <v>1281</v>
      </c>
      <c r="AP8" s="2" t="s">
        <v>1281</v>
      </c>
      <c r="AQ8" s="2" t="s">
        <v>1281</v>
      </c>
      <c r="AR8" s="2" t="s">
        <v>1281</v>
      </c>
      <c r="AS8" s="2">
        <v>0.1</v>
      </c>
      <c r="AT8" s="2">
        <v>0.5</v>
      </c>
      <c r="AU8" s="15">
        <v>480</v>
      </c>
      <c r="AV8" s="15">
        <v>0.05</v>
      </c>
      <c r="AW8" s="15">
        <v>7989.4889230094304</v>
      </c>
      <c r="AX8" s="42">
        <v>15</v>
      </c>
      <c r="AY8" s="42">
        <v>213</v>
      </c>
      <c r="AZ8" s="98">
        <f t="shared" si="11"/>
        <v>5.5000000000000002E-5</v>
      </c>
      <c r="BA8" s="98">
        <f t="shared" si="12"/>
        <v>0.1386</v>
      </c>
      <c r="BB8" s="98">
        <v>0</v>
      </c>
      <c r="BC8" s="15">
        <v>3.16597222222222E-2</v>
      </c>
      <c r="BD8" s="98">
        <f t="shared" si="13"/>
        <v>0.5</v>
      </c>
      <c r="BE8" s="98">
        <f t="shared" si="14"/>
        <v>0.1</v>
      </c>
    </row>
    <row r="9" spans="1:57" x14ac:dyDescent="0.25">
      <c r="A9" s="44" t="s">
        <v>7</v>
      </c>
      <c r="B9" s="42" t="s">
        <v>1057</v>
      </c>
      <c r="C9" s="42">
        <v>1</v>
      </c>
      <c r="D9" s="236">
        <v>5.0904311000000001E-2</v>
      </c>
      <c r="E9" s="2">
        <v>5.5130000000000002E-7</v>
      </c>
      <c r="F9" s="2">
        <v>5.5130000000000002E-7</v>
      </c>
      <c r="G9" s="2">
        <v>9.1345200000000002</v>
      </c>
      <c r="H9" s="2">
        <v>3.6600000000000002E-5</v>
      </c>
      <c r="I9" s="2">
        <v>5.5130000000000002E-7</v>
      </c>
      <c r="J9" s="2">
        <v>4.144E-7</v>
      </c>
      <c r="K9" s="2">
        <v>8.3018578319999994E-3</v>
      </c>
      <c r="L9" s="2">
        <v>1.65998</v>
      </c>
      <c r="M9" s="2">
        <v>1.7981520479999999E-2</v>
      </c>
      <c r="N9" s="2">
        <v>1.6288959999999999</v>
      </c>
      <c r="O9" s="2">
        <v>4.7073600000000004</v>
      </c>
      <c r="P9" s="2">
        <v>7.6214399999999998</v>
      </c>
      <c r="Q9" s="162">
        <v>0.86585365853658502</v>
      </c>
      <c r="R9" s="162">
        <v>0.94236311239193105</v>
      </c>
      <c r="S9" s="162">
        <v>0.934579439252336</v>
      </c>
      <c r="T9" s="162">
        <v>0.94453004622496095</v>
      </c>
      <c r="U9" s="162">
        <v>0.9375</v>
      </c>
      <c r="V9" s="162">
        <v>3.9E-2</v>
      </c>
      <c r="W9" s="162">
        <v>0.13</v>
      </c>
      <c r="X9" s="162">
        <v>6.4000000000000001E-2</v>
      </c>
      <c r="Y9" s="162">
        <v>0.09</v>
      </c>
      <c r="Z9" s="162">
        <v>0.11</v>
      </c>
      <c r="AA9" s="98">
        <f t="shared" si="15"/>
        <v>1.5600000000000001E-2</v>
      </c>
      <c r="AB9" s="98">
        <f t="shared" si="15"/>
        <v>5.2000000000000005E-2</v>
      </c>
      <c r="AC9" s="98">
        <f t="shared" si="15"/>
        <v>2.5600000000000001E-2</v>
      </c>
      <c r="AD9" s="98">
        <f t="shared" si="15"/>
        <v>3.5999999999999997E-2</v>
      </c>
      <c r="AE9" s="98">
        <f t="shared" si="15"/>
        <v>4.4000000000000004E-2</v>
      </c>
      <c r="AF9" s="15">
        <v>3.7861491628614902E-5</v>
      </c>
      <c r="AG9" s="15">
        <v>214</v>
      </c>
      <c r="AH9" s="2">
        <v>1E-3</v>
      </c>
      <c r="AI9" s="2">
        <v>2E-3</v>
      </c>
      <c r="AJ9" s="2">
        <v>15</v>
      </c>
      <c r="AK9" s="2" t="s">
        <v>1281</v>
      </c>
      <c r="AL9" s="2" t="s">
        <v>1281</v>
      </c>
      <c r="AM9" s="2" t="s">
        <v>1281</v>
      </c>
      <c r="AN9" s="2" t="s">
        <v>1281</v>
      </c>
      <c r="AO9" s="2" t="s">
        <v>1281</v>
      </c>
      <c r="AP9" s="2" t="s">
        <v>1281</v>
      </c>
      <c r="AQ9" s="2" t="s">
        <v>1281</v>
      </c>
      <c r="AR9" s="2" t="s">
        <v>1281</v>
      </c>
      <c r="AS9" s="2">
        <v>0.1</v>
      </c>
      <c r="AT9" s="2">
        <v>0.5</v>
      </c>
      <c r="AU9" s="15">
        <v>480</v>
      </c>
      <c r="AV9" s="15">
        <v>0.05</v>
      </c>
      <c r="AW9" s="15">
        <v>18303.557788944701</v>
      </c>
      <c r="AX9" s="42">
        <v>15</v>
      </c>
      <c r="AY9" s="42">
        <v>214</v>
      </c>
      <c r="AZ9" s="98">
        <f t="shared" si="11"/>
        <v>5.5000000000000002E-5</v>
      </c>
      <c r="BA9" s="98">
        <f t="shared" si="12"/>
        <v>0.1386</v>
      </c>
      <c r="BB9" s="98">
        <v>0</v>
      </c>
      <c r="BC9" s="15">
        <v>1.38194444444444E-2</v>
      </c>
      <c r="BD9" s="98">
        <f t="shared" si="13"/>
        <v>0.5</v>
      </c>
      <c r="BE9" s="98">
        <f t="shared" si="14"/>
        <v>0.1</v>
      </c>
    </row>
    <row r="10" spans="1:57" x14ac:dyDescent="0.25">
      <c r="A10" s="46" t="s">
        <v>8</v>
      </c>
      <c r="B10" s="42" t="s">
        <v>335</v>
      </c>
      <c r="C10" s="42"/>
      <c r="D10" s="2"/>
      <c r="E10" s="2">
        <v>4.9209999999999998E-5</v>
      </c>
      <c r="F10" s="2">
        <v>4.9209999999999998E-5</v>
      </c>
      <c r="G10" s="2">
        <v>8.6861999999999996E-4</v>
      </c>
      <c r="H10" s="2">
        <v>1.5428999999999999E-4</v>
      </c>
      <c r="I10" s="2">
        <v>4.9209999999999998E-5</v>
      </c>
      <c r="J10" s="2">
        <v>5.0319999999999999E-5</v>
      </c>
      <c r="K10" s="2">
        <v>1.0975733279999999E-5</v>
      </c>
      <c r="L10" s="2">
        <v>3.6589700000000001E-3</v>
      </c>
      <c r="M10" s="2">
        <v>1.22601276E-5</v>
      </c>
      <c r="N10" s="2">
        <v>4.0161999999999999E-4</v>
      </c>
      <c r="O10" s="2">
        <v>7.0049999999999995E-4</v>
      </c>
      <c r="P10" s="2">
        <v>8.5367600000000004E-4</v>
      </c>
      <c r="Q10" s="162">
        <v>0.90521327014218</v>
      </c>
      <c r="R10" s="162">
        <v>0.85365853658536595</v>
      </c>
      <c r="S10" s="162">
        <v>0.91304347826086996</v>
      </c>
      <c r="T10" s="162">
        <v>0.92797118847538995</v>
      </c>
      <c r="U10" s="162">
        <v>0.87368421052631595</v>
      </c>
      <c r="V10" s="162">
        <v>2.7E-2</v>
      </c>
      <c r="W10" s="162">
        <v>7.4999999999999997E-2</v>
      </c>
      <c r="X10" s="162">
        <v>4.4999999999999998E-2</v>
      </c>
      <c r="Y10" s="162">
        <v>6.2E-2</v>
      </c>
      <c r="Z10" s="162">
        <v>7.1999999999999995E-2</v>
      </c>
      <c r="AA10" s="98">
        <f t="shared" ref="AA10:AE10" si="16">0.4*V10</f>
        <v>1.0800000000000001E-2</v>
      </c>
      <c r="AB10" s="98">
        <f t="shared" si="16"/>
        <v>0.03</v>
      </c>
      <c r="AC10" s="98">
        <f t="shared" si="16"/>
        <v>1.7999999999999999E-2</v>
      </c>
      <c r="AD10" s="98">
        <f t="shared" si="16"/>
        <v>2.4800000000000003E-2</v>
      </c>
      <c r="AE10" s="98">
        <f t="shared" si="16"/>
        <v>2.8799999999999999E-2</v>
      </c>
      <c r="AF10" s="15">
        <v>30.167100000000001</v>
      </c>
      <c r="AG10" s="15">
        <v>137</v>
      </c>
      <c r="AH10" s="2">
        <v>4.5999999999999999E-3</v>
      </c>
      <c r="AI10" s="2">
        <v>2.1999999999999999E-2</v>
      </c>
      <c r="AJ10" s="2">
        <v>2500</v>
      </c>
      <c r="AK10" s="2">
        <v>23</v>
      </c>
      <c r="AL10" s="2">
        <v>2.7</v>
      </c>
      <c r="AM10" s="2">
        <v>0.4</v>
      </c>
      <c r="AN10" s="2">
        <v>0.2</v>
      </c>
      <c r="AO10" s="228">
        <v>0.19</v>
      </c>
      <c r="AP10" s="228">
        <v>5.8000000000000003E-2</v>
      </c>
      <c r="AQ10" s="228">
        <v>0.32</v>
      </c>
      <c r="AR10" s="228">
        <v>0.11</v>
      </c>
      <c r="AS10" s="2">
        <v>2.9000000000000001E-2</v>
      </c>
      <c r="AT10" s="2">
        <v>3.3333333333333E-2</v>
      </c>
      <c r="AU10" s="15">
        <v>10</v>
      </c>
      <c r="AV10" s="15">
        <v>1</v>
      </c>
      <c r="AW10" s="15">
        <v>2.2972045705420802E-2</v>
      </c>
      <c r="AX10" s="42">
        <v>200</v>
      </c>
      <c r="AY10" s="42">
        <v>137</v>
      </c>
      <c r="AZ10" s="98">
        <f t="shared" ref="AZ10" si="17">BB10+s_lambda_HL</f>
        <v>5.5000000000000002E-5</v>
      </c>
      <c r="BA10" s="98">
        <f t="shared" ref="BA10" si="18">BB10+(0.693/s_t_w)</f>
        <v>0.1386</v>
      </c>
      <c r="BB10" s="98">
        <v>0</v>
      </c>
      <c r="BC10" s="15">
        <v>11010.9915</v>
      </c>
      <c r="BD10" s="98">
        <f t="shared" ref="BD10" si="19">AT10</f>
        <v>3.3333333333333E-2</v>
      </c>
      <c r="BE10" s="98">
        <f t="shared" ref="BE10" si="20">AS10</f>
        <v>2.9000000000000001E-2</v>
      </c>
    </row>
    <row r="11" spans="1:57" x14ac:dyDescent="0.25">
      <c r="A11" s="44" t="s">
        <v>9</v>
      </c>
      <c r="B11" s="42" t="s">
        <v>1057</v>
      </c>
      <c r="C11" s="42"/>
      <c r="D11" s="2"/>
      <c r="E11" s="2">
        <v>0</v>
      </c>
      <c r="F11" s="2">
        <v>0</v>
      </c>
      <c r="G11" s="2">
        <v>0.13318840000000001</v>
      </c>
      <c r="H11" s="2">
        <v>0</v>
      </c>
      <c r="I11" s="2">
        <v>0</v>
      </c>
      <c r="J11" s="2">
        <v>0</v>
      </c>
      <c r="K11" s="2">
        <v>1.459539E-4</v>
      </c>
      <c r="L11" s="2">
        <v>3.1446099999999998E-2</v>
      </c>
      <c r="M11" s="2">
        <v>3.2109857999999998E-4</v>
      </c>
      <c r="N11" s="2">
        <v>3.19428E-2</v>
      </c>
      <c r="O11" s="2">
        <v>8.9290400000000006E-2</v>
      </c>
      <c r="P11" s="2">
        <v>0.1281448</v>
      </c>
      <c r="Q11" s="162">
        <v>0.92753623188405798</v>
      </c>
      <c r="R11" s="162">
        <v>0.82352941176470595</v>
      </c>
      <c r="S11" s="162">
        <v>0.890625</v>
      </c>
      <c r="T11" s="162">
        <v>0.908496732026144</v>
      </c>
      <c r="U11" s="162">
        <v>0.88038277511961704</v>
      </c>
      <c r="V11" s="162">
        <v>9.7999999999999997E-3</v>
      </c>
      <c r="W11" s="162">
        <v>2.5999999999999999E-2</v>
      </c>
      <c r="X11" s="162">
        <v>1.9E-2</v>
      </c>
      <c r="Y11" s="162">
        <v>2.4E-2</v>
      </c>
      <c r="Z11" s="162">
        <v>2.5999999999999999E-2</v>
      </c>
      <c r="AA11" s="98">
        <f t="shared" ref="AA11:AE11" si="21">0.4*V11</f>
        <v>3.9199999999999999E-3</v>
      </c>
      <c r="AB11" s="98">
        <f t="shared" si="21"/>
        <v>1.04E-2</v>
      </c>
      <c r="AC11" s="98">
        <f t="shared" si="21"/>
        <v>7.6E-3</v>
      </c>
      <c r="AD11" s="98">
        <f t="shared" si="21"/>
        <v>9.6000000000000009E-3</v>
      </c>
      <c r="AE11" s="98">
        <f t="shared" si="21"/>
        <v>1.04E-2</v>
      </c>
      <c r="AF11" s="15">
        <v>9.3226788432267907E-6</v>
      </c>
      <c r="AG11" s="15">
        <v>221</v>
      </c>
      <c r="AH11" s="2">
        <v>8.0000000000000002E-3</v>
      </c>
      <c r="AI11" s="2">
        <v>0.03</v>
      </c>
      <c r="AJ11" s="2" t="s">
        <v>1281</v>
      </c>
      <c r="AK11" s="2" t="s">
        <v>1281</v>
      </c>
      <c r="AL11" s="2" t="s">
        <v>1281</v>
      </c>
      <c r="AM11" s="2" t="s">
        <v>1281</v>
      </c>
      <c r="AN11" s="2" t="s">
        <v>1281</v>
      </c>
      <c r="AO11" s="2" t="s">
        <v>1281</v>
      </c>
      <c r="AP11" s="2" t="s">
        <v>1281</v>
      </c>
      <c r="AQ11" s="2" t="s">
        <v>1281</v>
      </c>
      <c r="AR11" s="2" t="s">
        <v>1281</v>
      </c>
      <c r="AS11" s="2">
        <v>0.03</v>
      </c>
      <c r="AT11" s="2">
        <v>0.1</v>
      </c>
      <c r="AU11" s="15">
        <v>250</v>
      </c>
      <c r="AV11" s="15"/>
      <c r="AW11" s="15">
        <v>74334.857142857101</v>
      </c>
      <c r="AX11" s="42">
        <v>15</v>
      </c>
      <c r="AY11" s="42">
        <v>221</v>
      </c>
      <c r="AZ11" s="98">
        <f t="shared" ref="AZ11" si="22">BB11+s_lambda_HL</f>
        <v>5.5000000000000002E-5</v>
      </c>
      <c r="BA11" s="98">
        <f t="shared" ref="BA11" si="23">BB11+(0.693/s_t_w)</f>
        <v>0.1386</v>
      </c>
      <c r="BB11" s="98">
        <v>0</v>
      </c>
      <c r="BC11" s="15">
        <v>3.4027777777777802E-3</v>
      </c>
      <c r="BD11" s="98">
        <f t="shared" ref="BD11" si="24">AT11</f>
        <v>0.1</v>
      </c>
      <c r="BE11" s="98">
        <f t="shared" ref="BE11" si="25">AS11</f>
        <v>0.03</v>
      </c>
    </row>
    <row r="12" spans="1:57" x14ac:dyDescent="0.25">
      <c r="A12" s="44" t="s">
        <v>10</v>
      </c>
      <c r="B12" s="42" t="s">
        <v>1057</v>
      </c>
      <c r="C12" s="42">
        <v>1</v>
      </c>
      <c r="D12" s="236">
        <v>0</v>
      </c>
      <c r="E12" s="2">
        <v>0</v>
      </c>
      <c r="F12" s="2">
        <v>0</v>
      </c>
      <c r="G12" s="2">
        <v>0.61270400000000003</v>
      </c>
      <c r="H12" s="2">
        <v>0</v>
      </c>
      <c r="I12" s="2">
        <v>0</v>
      </c>
      <c r="J12" s="2">
        <v>0</v>
      </c>
      <c r="K12" s="2">
        <v>6.4920294719999995E-4</v>
      </c>
      <c r="L12" s="2">
        <v>0.174181</v>
      </c>
      <c r="M12" s="2">
        <v>1.3894811280000001E-3</v>
      </c>
      <c r="N12" s="2">
        <v>0.1386056</v>
      </c>
      <c r="O12" s="2">
        <v>0.38667600000000002</v>
      </c>
      <c r="P12" s="2">
        <v>0.57347599999999999</v>
      </c>
      <c r="Q12" s="162">
        <v>0.90184049079754602</v>
      </c>
      <c r="R12" s="162">
        <v>0.89376053962900504</v>
      </c>
      <c r="S12" s="162">
        <v>0.92254901960784297</v>
      </c>
      <c r="T12" s="162">
        <v>0.92845528455284598</v>
      </c>
      <c r="U12" s="162">
        <v>0.88405797101449302</v>
      </c>
      <c r="V12" s="162">
        <v>1.6E-2</v>
      </c>
      <c r="W12" s="162">
        <v>0.05</v>
      </c>
      <c r="X12" s="162">
        <v>2.7E-2</v>
      </c>
      <c r="Y12" s="162">
        <v>3.6999999999999998E-2</v>
      </c>
      <c r="Z12" s="162">
        <v>4.3999999999999997E-2</v>
      </c>
      <c r="AA12" s="98">
        <f t="shared" ref="AA12:AE12" si="26">0.4*V12</f>
        <v>6.4000000000000003E-3</v>
      </c>
      <c r="AB12" s="98">
        <f t="shared" si="26"/>
        <v>2.0000000000000004E-2</v>
      </c>
      <c r="AC12" s="98">
        <f t="shared" si="26"/>
        <v>1.0800000000000001E-2</v>
      </c>
      <c r="AD12" s="98">
        <f t="shared" si="26"/>
        <v>1.4800000000000001E-2</v>
      </c>
      <c r="AE12" s="98">
        <f t="shared" si="26"/>
        <v>1.7600000000000001E-2</v>
      </c>
      <c r="AF12" s="15">
        <v>1.5506088280060901E-5</v>
      </c>
      <c r="AG12" s="15">
        <v>206</v>
      </c>
      <c r="AH12" s="2">
        <v>5.0000000000000001E-4</v>
      </c>
      <c r="AI12" s="2">
        <v>0.01</v>
      </c>
      <c r="AJ12" s="2">
        <v>6100</v>
      </c>
      <c r="AK12" s="2">
        <v>750</v>
      </c>
      <c r="AL12" s="2">
        <v>0.03</v>
      </c>
      <c r="AM12" s="2" t="s">
        <v>1281</v>
      </c>
      <c r="AN12" s="2" t="s">
        <v>1281</v>
      </c>
      <c r="AO12" s="2" t="s">
        <v>1281</v>
      </c>
      <c r="AP12" s="2" t="s">
        <v>1281</v>
      </c>
      <c r="AQ12" s="2" t="s">
        <v>1281</v>
      </c>
      <c r="AR12" s="2" t="s">
        <v>1281</v>
      </c>
      <c r="AS12" s="2">
        <v>0.3</v>
      </c>
      <c r="AT12" s="2">
        <v>1</v>
      </c>
      <c r="AU12" s="15">
        <v>6300</v>
      </c>
      <c r="AV12" s="15"/>
      <c r="AW12" s="15">
        <v>44692.122699386498</v>
      </c>
      <c r="AX12" s="42"/>
      <c r="AY12" s="42">
        <v>206</v>
      </c>
      <c r="AZ12" s="98">
        <f t="shared" ref="AZ12" si="27">BB12+s_lambda_HL</f>
        <v>5.5000000000000002E-5</v>
      </c>
      <c r="BA12" s="98">
        <f t="shared" ref="BA12" si="28">BB12+(0.693/s_t_w)</f>
        <v>0.1386</v>
      </c>
      <c r="BB12" s="98">
        <v>0</v>
      </c>
      <c r="BC12" s="15">
        <v>5.6597222222222196E-3</v>
      </c>
      <c r="BD12" s="98">
        <f t="shared" ref="BD12" si="29">AT12</f>
        <v>1</v>
      </c>
      <c r="BE12" s="98">
        <f t="shared" ref="BE12" si="30">AS12</f>
        <v>0.3</v>
      </c>
    </row>
    <row r="13" spans="1:57" x14ac:dyDescent="0.25">
      <c r="A13" s="44" t="s">
        <v>11</v>
      </c>
      <c r="B13" s="42" t="s">
        <v>1057</v>
      </c>
      <c r="C13" s="42"/>
      <c r="D13" s="2"/>
      <c r="E13" s="2">
        <v>4.6250000000000002E-4</v>
      </c>
      <c r="F13" s="2">
        <v>4.6250000000000002E-4</v>
      </c>
      <c r="G13" s="2">
        <v>6.7061200000000001E-2</v>
      </c>
      <c r="H13" s="2">
        <v>4.6620000000000002E-2</v>
      </c>
      <c r="I13" s="2">
        <v>4.6250000000000002E-4</v>
      </c>
      <c r="J13" s="2">
        <v>3.9589999999999997E-4</v>
      </c>
      <c r="K13" s="2">
        <v>1.004162832E-4</v>
      </c>
      <c r="L13" s="2">
        <v>2.85236E-2</v>
      </c>
      <c r="M13" s="2">
        <v>2.2535282160000001E-4</v>
      </c>
      <c r="N13" s="2">
        <v>2.2415999999999998E-2</v>
      </c>
      <c r="O13" s="2">
        <v>5.3424800000000001E-2</v>
      </c>
      <c r="P13" s="2">
        <v>6.6874400000000001E-2</v>
      </c>
      <c r="Q13" s="162">
        <v>0.98969072164948502</v>
      </c>
      <c r="R13" s="162">
        <v>0.98540145985401395</v>
      </c>
      <c r="S13" s="162">
        <v>0.95212765957446799</v>
      </c>
      <c r="T13" s="162">
        <v>0.93488372093023298</v>
      </c>
      <c r="U13" s="162">
        <v>0.93722466960352402</v>
      </c>
      <c r="V13" s="162">
        <v>2.7999999999999998E-4</v>
      </c>
      <c r="W13" s="162">
        <v>5.8999999999999999E-3</v>
      </c>
      <c r="X13" s="162">
        <v>2.8E-3</v>
      </c>
      <c r="Y13" s="162">
        <v>4.7999999999999996E-3</v>
      </c>
      <c r="Z13" s="162">
        <v>5.7999999999999996E-3</v>
      </c>
      <c r="AA13" s="98">
        <f t="shared" ref="AA13:AE13" si="31">0.4*V13</f>
        <v>1.12E-4</v>
      </c>
      <c r="AB13" s="98">
        <f t="shared" si="31"/>
        <v>2.3600000000000001E-3</v>
      </c>
      <c r="AC13" s="98">
        <f t="shared" si="31"/>
        <v>1.1200000000000001E-3</v>
      </c>
      <c r="AD13" s="98">
        <f t="shared" si="31"/>
        <v>1.9199999999999998E-3</v>
      </c>
      <c r="AE13" s="98">
        <f t="shared" si="31"/>
        <v>2.32E-3</v>
      </c>
      <c r="AF13" s="15">
        <v>2144000</v>
      </c>
      <c r="AG13" s="15">
        <v>237</v>
      </c>
      <c r="AH13" s="2">
        <v>9.9999999999999995E-7</v>
      </c>
      <c r="AI13" s="2">
        <v>1E-4</v>
      </c>
      <c r="AJ13" s="2">
        <v>30</v>
      </c>
      <c r="AK13" s="2">
        <v>9500</v>
      </c>
      <c r="AL13" s="2" t="s">
        <v>1281</v>
      </c>
      <c r="AM13" s="2" t="s">
        <v>1281</v>
      </c>
      <c r="AN13" s="2" t="s">
        <v>1281</v>
      </c>
      <c r="AO13" s="228">
        <v>4.0000000000000002E-4</v>
      </c>
      <c r="AP13" s="2" t="s">
        <v>1281</v>
      </c>
      <c r="AQ13" s="2" t="s">
        <v>1281</v>
      </c>
      <c r="AR13" s="228">
        <v>5.3000000000000001E-5</v>
      </c>
      <c r="AS13" s="2">
        <v>2.8999999999999998E-3</v>
      </c>
      <c r="AT13" s="2">
        <v>3.3333333333333002E-3</v>
      </c>
      <c r="AU13" s="15">
        <v>0.2</v>
      </c>
      <c r="AV13" s="15">
        <v>5.0000000000000001E-4</v>
      </c>
      <c r="AW13" s="15">
        <v>3.2322761194029798E-7</v>
      </c>
      <c r="AX13" s="42">
        <v>15</v>
      </c>
      <c r="AY13" s="42">
        <v>237</v>
      </c>
      <c r="AZ13" s="98">
        <f t="shared" ref="AZ13:AZ14" si="32">BB13+s_lambda_HL</f>
        <v>5.5000000000000002E-5</v>
      </c>
      <c r="BA13" s="98">
        <f t="shared" ref="BA13:BA14" si="33">BB13+(0.693/s_t_w)</f>
        <v>0.1386</v>
      </c>
      <c r="BB13" s="98">
        <v>0</v>
      </c>
      <c r="BC13" s="15">
        <v>782560000</v>
      </c>
      <c r="BD13" s="98">
        <f t="shared" ref="BD13:BD14" si="34">AT13</f>
        <v>3.3333333333333002E-3</v>
      </c>
      <c r="BE13" s="98">
        <f t="shared" ref="BE13:BE14" si="35">AS13</f>
        <v>2.8999999999999998E-3</v>
      </c>
    </row>
    <row r="14" spans="1:57" x14ac:dyDescent="0.25">
      <c r="A14" s="44" t="s">
        <v>12</v>
      </c>
      <c r="B14" s="42" t="s">
        <v>1057</v>
      </c>
      <c r="C14" s="42"/>
      <c r="D14" s="2"/>
      <c r="E14" s="2">
        <v>4.8840000000000002E-6</v>
      </c>
      <c r="F14" s="2">
        <v>4.8840000000000002E-6</v>
      </c>
      <c r="G14" s="2">
        <v>1.01806</v>
      </c>
      <c r="H14" s="2">
        <v>1.6872E-5</v>
      </c>
      <c r="I14" s="2">
        <v>4.8840000000000002E-6</v>
      </c>
      <c r="J14" s="2">
        <v>3.5742E-6</v>
      </c>
      <c r="K14" s="2">
        <v>1.0823941224000001E-3</v>
      </c>
      <c r="L14" s="2">
        <v>0.23613799999999999</v>
      </c>
      <c r="M14" s="2">
        <v>2.370291336E-3</v>
      </c>
      <c r="N14" s="2">
        <v>0.237236</v>
      </c>
      <c r="O14" s="2">
        <v>0.65940399999999999</v>
      </c>
      <c r="P14" s="2">
        <v>0.96388799999999997</v>
      </c>
      <c r="Q14" s="162">
        <v>0.93203883495145601</v>
      </c>
      <c r="R14" s="162">
        <v>0.922115384615385</v>
      </c>
      <c r="S14" s="162">
        <v>0.92718446601941695</v>
      </c>
      <c r="T14" s="162">
        <v>0.93043478260869505</v>
      </c>
      <c r="U14" s="162">
        <v>0.88959999999999995</v>
      </c>
      <c r="V14" s="162">
        <v>8.2000000000000007E-3</v>
      </c>
      <c r="W14" s="162">
        <v>4.2000000000000003E-2</v>
      </c>
      <c r="X14" s="162">
        <v>2.3E-2</v>
      </c>
      <c r="Y14" s="162">
        <v>3.1E-2</v>
      </c>
      <c r="Z14" s="162">
        <v>3.6999999999999998E-2</v>
      </c>
      <c r="AA14" s="98">
        <f t="shared" ref="AA14:AE14" si="36">0.4*V14</f>
        <v>3.2800000000000004E-3</v>
      </c>
      <c r="AB14" s="98">
        <f t="shared" si="36"/>
        <v>1.6800000000000002E-2</v>
      </c>
      <c r="AC14" s="98">
        <f t="shared" si="36"/>
        <v>9.1999999999999998E-3</v>
      </c>
      <c r="AD14" s="98">
        <f t="shared" si="36"/>
        <v>1.2400000000000001E-2</v>
      </c>
      <c r="AE14" s="98">
        <f t="shared" si="36"/>
        <v>1.4800000000000001E-2</v>
      </c>
      <c r="AF14" s="15">
        <v>7.3882191780821893E-2</v>
      </c>
      <c r="AG14" s="15">
        <v>233</v>
      </c>
      <c r="AH14" s="2">
        <v>5.0000000000000004E-6</v>
      </c>
      <c r="AI14" s="2">
        <v>5.0000000000000004E-6</v>
      </c>
      <c r="AJ14" s="2">
        <v>10</v>
      </c>
      <c r="AK14" s="2" t="s">
        <v>1281</v>
      </c>
      <c r="AL14" s="2" t="s">
        <v>1281</v>
      </c>
      <c r="AM14" s="2" t="s">
        <v>1281</v>
      </c>
      <c r="AN14" s="2" t="s">
        <v>1281</v>
      </c>
      <c r="AO14" s="2" t="s">
        <v>1281</v>
      </c>
      <c r="AP14" s="2" t="s">
        <v>1281</v>
      </c>
      <c r="AQ14" s="2" t="s">
        <v>1281</v>
      </c>
      <c r="AR14" s="2" t="s">
        <v>1281</v>
      </c>
      <c r="AS14" s="2">
        <v>0.01</v>
      </c>
      <c r="AT14" s="2">
        <v>0.1</v>
      </c>
      <c r="AU14" s="15">
        <v>2000</v>
      </c>
      <c r="AV14" s="15">
        <v>5.0000000000000001E-4</v>
      </c>
      <c r="AW14" s="15">
        <v>9.3797975303148302</v>
      </c>
      <c r="AX14" s="42">
        <v>300</v>
      </c>
      <c r="AY14" s="42">
        <v>233</v>
      </c>
      <c r="AZ14" s="98">
        <f t="shared" si="32"/>
        <v>5.5000000000000002E-5</v>
      </c>
      <c r="BA14" s="98">
        <f t="shared" si="33"/>
        <v>0.1386</v>
      </c>
      <c r="BB14" s="98">
        <v>0</v>
      </c>
      <c r="BC14" s="15">
        <v>26.966999999999999</v>
      </c>
      <c r="BD14" s="98">
        <f t="shared" si="34"/>
        <v>0.1</v>
      </c>
      <c r="BE14" s="98">
        <f t="shared" si="35"/>
        <v>0.01</v>
      </c>
    </row>
    <row r="15" spans="1:57" x14ac:dyDescent="0.25">
      <c r="A15" s="44" t="s">
        <v>13</v>
      </c>
      <c r="B15" s="42" t="s">
        <v>1057</v>
      </c>
      <c r="C15" s="42"/>
      <c r="D15" s="2"/>
      <c r="E15" s="2">
        <v>2.7639E-7</v>
      </c>
      <c r="F15" s="2">
        <v>2.7639E-7</v>
      </c>
      <c r="G15" s="2">
        <v>7.5280400000000004E-4</v>
      </c>
      <c r="H15" s="2">
        <v>2.5825999999999998E-7</v>
      </c>
      <c r="I15" s="2">
        <v>2.7639E-7</v>
      </c>
      <c r="J15" s="2">
        <v>2.0979E-7</v>
      </c>
      <c r="K15" s="2">
        <v>1.1676312E-5</v>
      </c>
      <c r="L15" s="2">
        <v>3.7291099999999999E-3</v>
      </c>
      <c r="M15" s="2">
        <v>1.3077469440000001E-5</v>
      </c>
      <c r="N15" s="2">
        <v>2.9514400000000001E-4</v>
      </c>
      <c r="O15" s="2">
        <v>5.9589199999999999E-4</v>
      </c>
      <c r="P15" s="2">
        <v>7.4159599999999997E-4</v>
      </c>
      <c r="Q15" s="162">
        <v>0.9</v>
      </c>
      <c r="R15" s="162">
        <v>0.9</v>
      </c>
      <c r="S15" s="162">
        <v>0.9</v>
      </c>
      <c r="T15" s="162">
        <v>0.9</v>
      </c>
      <c r="U15" s="162">
        <v>0.9</v>
      </c>
      <c r="V15" s="162">
        <v>0</v>
      </c>
      <c r="W15" s="162">
        <v>0</v>
      </c>
      <c r="X15" s="162">
        <v>0</v>
      </c>
      <c r="Y15" s="162">
        <v>0</v>
      </c>
      <c r="Z15" s="162">
        <v>0</v>
      </c>
      <c r="AA15" s="98">
        <f t="shared" ref="AA15:AE17" si="37">0.4*V15</f>
        <v>0</v>
      </c>
      <c r="AB15" s="98">
        <f t="shared" si="37"/>
        <v>0</v>
      </c>
      <c r="AC15" s="98">
        <f t="shared" si="37"/>
        <v>0</v>
      </c>
      <c r="AD15" s="98">
        <f t="shared" si="37"/>
        <v>0</v>
      </c>
      <c r="AE15" s="98">
        <f t="shared" si="37"/>
        <v>0</v>
      </c>
      <c r="AF15" s="15">
        <v>3.7134703196347002E-4</v>
      </c>
      <c r="AG15" s="15">
        <v>209</v>
      </c>
      <c r="AH15" s="2">
        <v>1.9000000000000001E-4</v>
      </c>
      <c r="AI15" s="2">
        <v>6.9999999999999999E-4</v>
      </c>
      <c r="AJ15" s="2">
        <v>25</v>
      </c>
      <c r="AK15" s="2">
        <v>22</v>
      </c>
      <c r="AL15" s="2" t="s">
        <v>1281</v>
      </c>
      <c r="AM15" s="2" t="s">
        <v>1281</v>
      </c>
      <c r="AN15" s="2" t="s">
        <v>1281</v>
      </c>
      <c r="AO15" s="228">
        <v>7.1000000000000004E-3</v>
      </c>
      <c r="AP15" s="228">
        <v>3.5000000000000003E-2</v>
      </c>
      <c r="AQ15" s="2" t="s">
        <v>1281</v>
      </c>
      <c r="AR15" s="228">
        <v>6.0000000000000001E-3</v>
      </c>
      <c r="AS15" s="2">
        <v>1.0999999999999999E-2</v>
      </c>
      <c r="AT15" s="2">
        <v>1.264367816092E-2</v>
      </c>
      <c r="AU15" s="15">
        <v>150</v>
      </c>
      <c r="AV15" s="15">
        <v>0.2</v>
      </c>
      <c r="AW15" s="15">
        <v>1866.1789117737501</v>
      </c>
      <c r="AX15" s="42"/>
      <c r="AY15" s="42">
        <v>209</v>
      </c>
      <c r="AZ15" s="98">
        <f t="shared" ref="AZ15:AZ21" si="38">BB15+s_lambda_HL</f>
        <v>5.5000000000000002E-5</v>
      </c>
      <c r="BA15" s="98">
        <f t="shared" ref="BA15:BA21" si="39">BB15+(0.693/s_t_w)</f>
        <v>0.1386</v>
      </c>
      <c r="BB15" s="98">
        <v>0</v>
      </c>
      <c r="BC15" s="15">
        <v>0.135541666666667</v>
      </c>
      <c r="BD15" s="98">
        <f t="shared" ref="BD15:BD21" si="40">AT15</f>
        <v>1.264367816092E-2</v>
      </c>
      <c r="BE15" s="98">
        <f t="shared" ref="BE15:BE21" si="41">AS15</f>
        <v>1.0999999999999999E-2</v>
      </c>
    </row>
    <row r="16" spans="1:57" x14ac:dyDescent="0.25">
      <c r="A16" s="44" t="s">
        <v>14</v>
      </c>
      <c r="B16" s="42" t="s">
        <v>1057</v>
      </c>
      <c r="C16" s="42">
        <v>1</v>
      </c>
      <c r="D16" s="236">
        <v>0</v>
      </c>
      <c r="E16" s="2">
        <v>3.774E-3</v>
      </c>
      <c r="F16" s="2">
        <v>3.774E-3</v>
      </c>
      <c r="G16" s="2">
        <v>2.09216E-3</v>
      </c>
      <c r="H16" s="2">
        <v>2.2311000000000001E-2</v>
      </c>
      <c r="I16" s="2">
        <v>3.774E-3</v>
      </c>
      <c r="J16" s="2">
        <v>2.5752000000000001E-3</v>
      </c>
      <c r="K16" s="2">
        <v>5.4995429520000004E-6</v>
      </c>
      <c r="L16" s="2">
        <v>2.5367300000000001E-3</v>
      </c>
      <c r="M16" s="2">
        <v>1.272718008E-5</v>
      </c>
      <c r="N16" s="2">
        <v>1.3300160000000001E-3</v>
      </c>
      <c r="O16" s="2">
        <v>2.0547999999999999E-3</v>
      </c>
      <c r="P16" s="2">
        <v>2.09216E-3</v>
      </c>
      <c r="Q16" s="162">
        <v>1</v>
      </c>
      <c r="R16" s="162">
        <v>0.94642857142857095</v>
      </c>
      <c r="S16" s="162">
        <v>0.97425742574257401</v>
      </c>
      <c r="T16" s="162">
        <v>0.94932432432432401</v>
      </c>
      <c r="U16" s="162">
        <v>0.94444444444444398</v>
      </c>
      <c r="V16" s="162">
        <v>9.9999999999999995E-8</v>
      </c>
      <c r="W16" s="162">
        <v>4.4000000000000002E-6</v>
      </c>
      <c r="X16" s="162">
        <v>2.3999999999999999E-6</v>
      </c>
      <c r="Y16" s="162">
        <v>4.0999999999999997E-6</v>
      </c>
      <c r="Z16" s="162">
        <v>4.0999999999999997E-6</v>
      </c>
      <c r="AA16" s="98">
        <f t="shared" si="37"/>
        <v>4.0000000000000001E-8</v>
      </c>
      <c r="AB16" s="98">
        <f t="shared" si="37"/>
        <v>1.7600000000000001E-6</v>
      </c>
      <c r="AC16" s="98">
        <f t="shared" si="37"/>
        <v>9.5999999999999991E-7</v>
      </c>
      <c r="AD16" s="98">
        <f t="shared" si="37"/>
        <v>1.64E-6</v>
      </c>
      <c r="AE16" s="98">
        <f t="shared" si="37"/>
        <v>1.64E-6</v>
      </c>
      <c r="AF16" s="15">
        <v>22.2</v>
      </c>
      <c r="AG16" s="15">
        <v>210</v>
      </c>
      <c r="AH16" s="2">
        <v>1.9000000000000001E-4</v>
      </c>
      <c r="AI16" s="2">
        <v>6.9999999999999999E-4</v>
      </c>
      <c r="AJ16" s="2">
        <v>25</v>
      </c>
      <c r="AK16" s="2">
        <v>22</v>
      </c>
      <c r="AL16" s="2" t="s">
        <v>1281</v>
      </c>
      <c r="AM16" s="2" t="s">
        <v>1281</v>
      </c>
      <c r="AN16" s="2" t="s">
        <v>1281</v>
      </c>
      <c r="AO16" s="228">
        <v>7.1000000000000004E-3</v>
      </c>
      <c r="AP16" s="228">
        <v>3.5000000000000003E-2</v>
      </c>
      <c r="AQ16" s="2" t="s">
        <v>1281</v>
      </c>
      <c r="AR16" s="228">
        <v>6.0000000000000001E-3</v>
      </c>
      <c r="AS16" s="2">
        <v>1.0999999999999999E-2</v>
      </c>
      <c r="AT16" s="2">
        <v>1.264367816092E-2</v>
      </c>
      <c r="AU16" s="15">
        <v>150</v>
      </c>
      <c r="AV16" s="15">
        <v>0.2</v>
      </c>
      <c r="AW16" s="15">
        <v>3.1216216216216199E-2</v>
      </c>
      <c r="AX16" s="42"/>
      <c r="AY16" s="42">
        <v>210</v>
      </c>
      <c r="AZ16" s="98">
        <f t="shared" si="38"/>
        <v>5.5000000000000002E-5</v>
      </c>
      <c r="BA16" s="98">
        <f t="shared" si="39"/>
        <v>0.1386</v>
      </c>
      <c r="BB16" s="98">
        <v>0</v>
      </c>
      <c r="BC16" s="15">
        <v>8103</v>
      </c>
      <c r="BD16" s="98">
        <f t="shared" si="40"/>
        <v>1.264367816092E-2</v>
      </c>
      <c r="BE16" s="98">
        <f t="shared" si="41"/>
        <v>1.0999999999999999E-2</v>
      </c>
    </row>
    <row r="17" spans="1:57" x14ac:dyDescent="0.25">
      <c r="A17" s="44" t="s">
        <v>15</v>
      </c>
      <c r="B17" s="42" t="s">
        <v>1057</v>
      </c>
      <c r="C17" s="42">
        <v>1</v>
      </c>
      <c r="D17" s="236">
        <v>0.17254619500000001</v>
      </c>
      <c r="E17" s="2">
        <v>7.3630000000000005E-7</v>
      </c>
      <c r="F17" s="2">
        <v>7.3630000000000005E-7</v>
      </c>
      <c r="G17" s="2">
        <v>1.2571639999999999</v>
      </c>
      <c r="H17" s="2">
        <v>4.6600000000000001E-5</v>
      </c>
      <c r="I17" s="2">
        <v>7.3630000000000005E-7</v>
      </c>
      <c r="J17" s="2">
        <v>5.1429999999999999E-7</v>
      </c>
      <c r="K17" s="2">
        <v>1.2960706319999999E-3</v>
      </c>
      <c r="L17" s="2">
        <v>0.28406700000000001</v>
      </c>
      <c r="M17" s="2">
        <v>2.8139911920000002E-3</v>
      </c>
      <c r="N17" s="2">
        <v>0.2802</v>
      </c>
      <c r="O17" s="2">
        <v>0.79016399999999998</v>
      </c>
      <c r="P17" s="2">
        <v>1.1749719999999999</v>
      </c>
      <c r="Q17" s="162">
        <v>0.901685393258427</v>
      </c>
      <c r="R17" s="162">
        <v>0.92436974789916004</v>
      </c>
      <c r="S17" s="162">
        <v>0.92558139534883699</v>
      </c>
      <c r="T17" s="162">
        <v>0.9296875</v>
      </c>
      <c r="U17" s="162">
        <v>0.87916666666666698</v>
      </c>
      <c r="V17" s="162">
        <v>1.4999999999999999E-2</v>
      </c>
      <c r="W17" s="162">
        <v>4.9000000000000002E-2</v>
      </c>
      <c r="X17" s="162">
        <v>2.8000000000000001E-2</v>
      </c>
      <c r="Y17" s="162">
        <v>3.6999999999999998E-2</v>
      </c>
      <c r="Z17" s="162">
        <v>4.3999999999999997E-2</v>
      </c>
      <c r="AA17" s="98">
        <f t="shared" si="37"/>
        <v>6.0000000000000001E-3</v>
      </c>
      <c r="AB17" s="98">
        <f t="shared" si="37"/>
        <v>1.9600000000000003E-2</v>
      </c>
      <c r="AC17" s="98">
        <f t="shared" si="37"/>
        <v>1.1200000000000002E-2</v>
      </c>
      <c r="AD17" s="98">
        <f t="shared" si="37"/>
        <v>1.4800000000000001E-2</v>
      </c>
      <c r="AE17" s="98">
        <f t="shared" si="37"/>
        <v>1.7600000000000001E-2</v>
      </c>
      <c r="AF17" s="15">
        <v>5.0989345509893397E-5</v>
      </c>
      <c r="AG17" s="15">
        <v>214</v>
      </c>
      <c r="AH17" s="2">
        <v>1.9000000000000001E-4</v>
      </c>
      <c r="AI17" s="2">
        <v>6.9999999999999999E-4</v>
      </c>
      <c r="AJ17" s="2">
        <v>25</v>
      </c>
      <c r="AK17" s="2">
        <v>22</v>
      </c>
      <c r="AL17" s="2" t="s">
        <v>1281</v>
      </c>
      <c r="AM17" s="2" t="s">
        <v>1281</v>
      </c>
      <c r="AN17" s="2" t="s">
        <v>1281</v>
      </c>
      <c r="AO17" s="228">
        <v>7.1000000000000004E-3</v>
      </c>
      <c r="AP17" s="228">
        <v>3.5000000000000003E-2</v>
      </c>
      <c r="AQ17" s="2" t="s">
        <v>1281</v>
      </c>
      <c r="AR17" s="228">
        <v>6.0000000000000001E-3</v>
      </c>
      <c r="AS17" s="2">
        <v>1.0999999999999999E-2</v>
      </c>
      <c r="AT17" s="2">
        <v>1.264367816092E-2</v>
      </c>
      <c r="AU17" s="15">
        <v>150</v>
      </c>
      <c r="AV17" s="15">
        <v>0.2</v>
      </c>
      <c r="AW17" s="15">
        <v>13591.0746268657</v>
      </c>
      <c r="AX17" s="42"/>
      <c r="AY17" s="42">
        <v>214</v>
      </c>
      <c r="AZ17" s="98">
        <f t="shared" si="38"/>
        <v>5.5000000000000002E-5</v>
      </c>
      <c r="BA17" s="98">
        <f t="shared" si="39"/>
        <v>0.1386</v>
      </c>
      <c r="BB17" s="98">
        <v>0</v>
      </c>
      <c r="BC17" s="15">
        <v>1.8611111111111099E-2</v>
      </c>
      <c r="BD17" s="98">
        <f t="shared" si="40"/>
        <v>1.264367816092E-2</v>
      </c>
      <c r="BE17" s="98">
        <f t="shared" si="41"/>
        <v>1.0999999999999999E-2</v>
      </c>
    </row>
    <row r="18" spans="1:57" x14ac:dyDescent="0.25">
      <c r="A18" s="44" t="s">
        <v>16</v>
      </c>
      <c r="B18" s="42" t="s">
        <v>1057</v>
      </c>
      <c r="C18" s="42">
        <v>1</v>
      </c>
      <c r="D18" s="236">
        <v>0</v>
      </c>
      <c r="E18" s="2">
        <v>6.4749999999999999E-3</v>
      </c>
      <c r="F18" s="2">
        <v>6.4749999999999999E-3</v>
      </c>
      <c r="G18" s="2">
        <v>5.6413599999999998E-5</v>
      </c>
      <c r="H18" s="2">
        <v>1.7316000000000002E-2</v>
      </c>
      <c r="I18" s="2">
        <v>6.4749999999999999E-3</v>
      </c>
      <c r="J18" s="2">
        <v>4.4770000000000001E-3</v>
      </c>
      <c r="K18" s="2">
        <v>5.1959588399999998E-8</v>
      </c>
      <c r="L18" s="2">
        <v>1.077818E-5</v>
      </c>
      <c r="M18" s="2">
        <v>1.126764108E-7</v>
      </c>
      <c r="N18" s="2">
        <v>1.094648E-5</v>
      </c>
      <c r="O18" s="2">
        <v>3.13824E-5</v>
      </c>
      <c r="P18" s="2">
        <v>4.9315199999999998E-5</v>
      </c>
      <c r="Q18" s="162">
        <v>0.88135593220339004</v>
      </c>
      <c r="R18" s="162">
        <v>0.93612334801762098</v>
      </c>
      <c r="S18" s="162">
        <v>0.93633952254641895</v>
      </c>
      <c r="T18" s="162">
        <v>0.93013100436681195</v>
      </c>
      <c r="U18" s="162">
        <v>0.94466403162055301</v>
      </c>
      <c r="V18" s="162">
        <v>0.03</v>
      </c>
      <c r="W18" s="162">
        <v>9.5000000000000001E-2</v>
      </c>
      <c r="X18" s="162">
        <v>4.8000000000000001E-2</v>
      </c>
      <c r="Y18" s="162">
        <v>6.9000000000000006E-2</v>
      </c>
      <c r="Z18" s="162">
        <v>8.2000000000000003E-2</v>
      </c>
      <c r="AA18" s="98">
        <f t="shared" ref="AA18:AE21" si="42">0.4*V18</f>
        <v>1.2E-2</v>
      </c>
      <c r="AB18" s="98">
        <f t="shared" si="42"/>
        <v>3.8000000000000006E-2</v>
      </c>
      <c r="AC18" s="98">
        <f t="shared" si="42"/>
        <v>1.9200000000000002E-2</v>
      </c>
      <c r="AD18" s="98">
        <f t="shared" si="42"/>
        <v>2.7600000000000003E-2</v>
      </c>
      <c r="AE18" s="98">
        <f t="shared" si="42"/>
        <v>3.2800000000000003E-2</v>
      </c>
      <c r="AF18" s="15">
        <v>0.37911232876712297</v>
      </c>
      <c r="AG18" s="15">
        <v>210</v>
      </c>
      <c r="AH18" s="2">
        <v>2.1000000000000001E-4</v>
      </c>
      <c r="AI18" s="2">
        <v>3.0000000000000001E-3</v>
      </c>
      <c r="AJ18" s="2">
        <v>36</v>
      </c>
      <c r="AK18" s="2" t="s">
        <v>1281</v>
      </c>
      <c r="AL18" s="2">
        <v>2.4</v>
      </c>
      <c r="AM18" s="2">
        <v>3.1</v>
      </c>
      <c r="AN18" s="2" t="s">
        <v>1281</v>
      </c>
      <c r="AO18" s="228">
        <v>0.05</v>
      </c>
      <c r="AP18" s="2" t="s">
        <v>1281</v>
      </c>
      <c r="AQ18" s="2" t="s">
        <v>1281</v>
      </c>
      <c r="AR18" s="228">
        <v>2.3E-3</v>
      </c>
      <c r="AS18" s="2">
        <v>2.4000000000000001E-4</v>
      </c>
      <c r="AT18" s="2">
        <v>2.7586206896552002E-4</v>
      </c>
      <c r="AU18" s="15">
        <v>210</v>
      </c>
      <c r="AV18" s="15"/>
      <c r="AW18" s="15">
        <v>1.8279542695265101</v>
      </c>
      <c r="AX18" s="42">
        <v>15</v>
      </c>
      <c r="AY18" s="42">
        <v>210</v>
      </c>
      <c r="AZ18" s="98">
        <f t="shared" si="38"/>
        <v>5.5000000000000002E-5</v>
      </c>
      <c r="BA18" s="98">
        <f t="shared" si="39"/>
        <v>0.1386</v>
      </c>
      <c r="BB18" s="98">
        <v>0</v>
      </c>
      <c r="BC18" s="15">
        <v>138.376</v>
      </c>
      <c r="BD18" s="98">
        <f t="shared" si="40"/>
        <v>2.7586206896552002E-4</v>
      </c>
      <c r="BE18" s="98">
        <f t="shared" si="41"/>
        <v>2.4000000000000001E-4</v>
      </c>
    </row>
    <row r="19" spans="1:57" x14ac:dyDescent="0.25">
      <c r="A19" s="44" t="s">
        <v>17</v>
      </c>
      <c r="B19" s="42" t="s">
        <v>1057</v>
      </c>
      <c r="C19" s="42"/>
      <c r="D19" s="2"/>
      <c r="E19" s="2">
        <v>0</v>
      </c>
      <c r="F19" s="2">
        <v>0</v>
      </c>
      <c r="G19" s="2">
        <v>2.1668800000000001E-4</v>
      </c>
      <c r="H19" s="2">
        <v>0</v>
      </c>
      <c r="I19" s="2">
        <v>0</v>
      </c>
      <c r="J19" s="2">
        <v>0</v>
      </c>
      <c r="K19" s="2">
        <v>1.996649352E-7</v>
      </c>
      <c r="L19" s="2">
        <v>4.1733300000000002E-5</v>
      </c>
      <c r="M19" s="2">
        <v>4.3319117519999999E-7</v>
      </c>
      <c r="N19" s="2">
        <v>4.2216799999999999E-5</v>
      </c>
      <c r="O19" s="2">
        <v>1.208596E-4</v>
      </c>
      <c r="P19" s="2">
        <v>1.9053599999999999E-4</v>
      </c>
      <c r="Q19" s="162">
        <v>0.87991266375545796</v>
      </c>
      <c r="R19" s="162">
        <v>0.93714285714285706</v>
      </c>
      <c r="S19" s="162">
        <v>0.93493150684931503</v>
      </c>
      <c r="T19" s="162">
        <v>0.93220338983050799</v>
      </c>
      <c r="U19" s="162">
        <v>0.94871794871794901</v>
      </c>
      <c r="V19" s="162">
        <v>2.9000000000000001E-2</v>
      </c>
      <c r="W19" s="162">
        <v>9.2999999999999999E-2</v>
      </c>
      <c r="X19" s="162">
        <v>4.7E-2</v>
      </c>
      <c r="Y19" s="162">
        <v>6.8000000000000005E-2</v>
      </c>
      <c r="Z19" s="162">
        <v>0.08</v>
      </c>
      <c r="AA19" s="98">
        <f t="shared" si="42"/>
        <v>1.1600000000000001E-2</v>
      </c>
      <c r="AB19" s="98">
        <f t="shared" si="42"/>
        <v>3.7200000000000004E-2</v>
      </c>
      <c r="AC19" s="98">
        <f t="shared" si="42"/>
        <v>1.8800000000000001E-2</v>
      </c>
      <c r="AD19" s="98">
        <f t="shared" si="42"/>
        <v>2.7200000000000002E-2</v>
      </c>
      <c r="AE19" s="98">
        <f t="shared" si="42"/>
        <v>3.2000000000000001E-2</v>
      </c>
      <c r="AF19" s="15">
        <v>1.3318112633181101E-13</v>
      </c>
      <c r="AG19" s="15">
        <v>213</v>
      </c>
      <c r="AH19" s="2">
        <v>2.1000000000000001E-4</v>
      </c>
      <c r="AI19" s="2">
        <v>3.0000000000000001E-3</v>
      </c>
      <c r="AJ19" s="2">
        <v>36</v>
      </c>
      <c r="AK19" s="2" t="s">
        <v>1281</v>
      </c>
      <c r="AL19" s="2">
        <v>2.4</v>
      </c>
      <c r="AM19" s="2">
        <v>3.1</v>
      </c>
      <c r="AN19" s="2" t="s">
        <v>1281</v>
      </c>
      <c r="AO19" s="228">
        <v>0.05</v>
      </c>
      <c r="AP19" s="2" t="s">
        <v>1281</v>
      </c>
      <c r="AQ19" s="2" t="s">
        <v>1281</v>
      </c>
      <c r="AR19" s="228">
        <v>2.3E-3</v>
      </c>
      <c r="AS19" s="2">
        <v>2.4000000000000001E-4</v>
      </c>
      <c r="AT19" s="2">
        <v>2.7586206896552002E-4</v>
      </c>
      <c r="AU19" s="15">
        <v>210</v>
      </c>
      <c r="AV19" s="15"/>
      <c r="AW19" s="15">
        <v>5203440000000</v>
      </c>
      <c r="AX19" s="42">
        <v>15</v>
      </c>
      <c r="AY19" s="42">
        <v>213</v>
      </c>
      <c r="AZ19" s="98">
        <f t="shared" si="38"/>
        <v>5.5000000000000002E-5</v>
      </c>
      <c r="BA19" s="98">
        <f t="shared" si="39"/>
        <v>0.1386</v>
      </c>
      <c r="BB19" s="98">
        <v>0</v>
      </c>
      <c r="BC19" s="15">
        <v>4.8611111111111103E-11</v>
      </c>
      <c r="BD19" s="98">
        <f t="shared" si="40"/>
        <v>2.7586206896552002E-4</v>
      </c>
      <c r="BE19" s="98">
        <f t="shared" si="41"/>
        <v>2.4000000000000001E-4</v>
      </c>
    </row>
    <row r="20" spans="1:57" x14ac:dyDescent="0.25">
      <c r="A20" s="44" t="s">
        <v>18</v>
      </c>
      <c r="B20" s="42" t="s">
        <v>1057</v>
      </c>
      <c r="C20" s="42">
        <v>1</v>
      </c>
      <c r="D20" s="236">
        <v>5.0904440000000002E-2</v>
      </c>
      <c r="E20" s="2">
        <v>0</v>
      </c>
      <c r="F20" s="2">
        <v>0</v>
      </c>
      <c r="G20" s="2">
        <v>4.8007600000000002E-4</v>
      </c>
      <c r="H20" s="2">
        <v>0</v>
      </c>
      <c r="I20" s="2">
        <v>0</v>
      </c>
      <c r="J20" s="2">
        <v>0</v>
      </c>
      <c r="K20" s="2">
        <v>4.4369985599999999E-7</v>
      </c>
      <c r="L20" s="2">
        <v>9.2000299999999994E-5</v>
      </c>
      <c r="M20" s="2">
        <v>9.609604775999999E-7</v>
      </c>
      <c r="N20" s="2">
        <v>9.3399999999999993E-5</v>
      </c>
      <c r="O20" s="2">
        <v>2.6712399999999999E-4</v>
      </c>
      <c r="P20" s="2">
        <v>4.22168E-4</v>
      </c>
      <c r="Q20" s="162">
        <v>0.87920792079207899</v>
      </c>
      <c r="R20" s="162">
        <v>0.93298969072164994</v>
      </c>
      <c r="S20" s="162">
        <v>0.93633540372670798</v>
      </c>
      <c r="T20" s="162">
        <v>0.930946291560102</v>
      </c>
      <c r="U20" s="162">
        <v>0.94444444444444398</v>
      </c>
      <c r="V20" s="162">
        <v>0.03</v>
      </c>
      <c r="W20" s="162">
        <v>9.5000000000000001E-2</v>
      </c>
      <c r="X20" s="162">
        <v>4.8000000000000001E-2</v>
      </c>
      <c r="Y20" s="162">
        <v>6.9000000000000006E-2</v>
      </c>
      <c r="Z20" s="162">
        <v>8.1000000000000003E-2</v>
      </c>
      <c r="AA20" s="98">
        <f t="shared" si="42"/>
        <v>1.2E-2</v>
      </c>
      <c r="AB20" s="98">
        <f t="shared" si="42"/>
        <v>3.8000000000000006E-2</v>
      </c>
      <c r="AC20" s="98">
        <f t="shared" si="42"/>
        <v>1.9200000000000002E-2</v>
      </c>
      <c r="AD20" s="98">
        <f t="shared" si="42"/>
        <v>2.7600000000000003E-2</v>
      </c>
      <c r="AE20" s="98">
        <f t="shared" si="42"/>
        <v>3.2400000000000005E-2</v>
      </c>
      <c r="AF20" s="15">
        <v>5.20991882293252E-12</v>
      </c>
      <c r="AG20" s="15">
        <v>214</v>
      </c>
      <c r="AH20" s="2">
        <v>2.1000000000000001E-4</v>
      </c>
      <c r="AI20" s="2">
        <v>3.0000000000000001E-3</v>
      </c>
      <c r="AJ20" s="2">
        <v>36</v>
      </c>
      <c r="AK20" s="2" t="s">
        <v>1281</v>
      </c>
      <c r="AL20" s="2">
        <v>2.4</v>
      </c>
      <c r="AM20" s="2">
        <v>3.1</v>
      </c>
      <c r="AN20" s="2" t="s">
        <v>1281</v>
      </c>
      <c r="AO20" s="228">
        <v>0.05</v>
      </c>
      <c r="AP20" s="2" t="s">
        <v>1281</v>
      </c>
      <c r="AQ20" s="2" t="s">
        <v>1281</v>
      </c>
      <c r="AR20" s="228">
        <v>2.3E-3</v>
      </c>
      <c r="AS20" s="2">
        <v>2.4000000000000001E-4</v>
      </c>
      <c r="AT20" s="2">
        <v>2.7586206896552002E-4</v>
      </c>
      <c r="AU20" s="15">
        <v>210</v>
      </c>
      <c r="AV20" s="15"/>
      <c r="AW20" s="15">
        <v>133015508216.677</v>
      </c>
      <c r="AX20" s="42">
        <v>15</v>
      </c>
      <c r="AY20" s="42">
        <v>214</v>
      </c>
      <c r="AZ20" s="98">
        <f t="shared" si="38"/>
        <v>5.5000000000000002E-5</v>
      </c>
      <c r="BA20" s="98">
        <f t="shared" si="39"/>
        <v>0.1386</v>
      </c>
      <c r="BB20" s="98">
        <v>0</v>
      </c>
      <c r="BC20" s="15">
        <v>1.9016203703703698E-9</v>
      </c>
      <c r="BD20" s="98">
        <f t="shared" si="40"/>
        <v>2.7586206896552002E-4</v>
      </c>
      <c r="BE20" s="98">
        <f t="shared" si="41"/>
        <v>2.4000000000000001E-4</v>
      </c>
    </row>
    <row r="21" spans="1:57" x14ac:dyDescent="0.25">
      <c r="A21" s="44" t="s">
        <v>19</v>
      </c>
      <c r="B21" s="42" t="s">
        <v>1057</v>
      </c>
      <c r="C21" s="42">
        <v>1</v>
      </c>
      <c r="D21" s="236">
        <v>0.72849330099999998</v>
      </c>
      <c r="E21" s="2">
        <v>0</v>
      </c>
      <c r="F21" s="2">
        <v>0</v>
      </c>
      <c r="G21" s="2">
        <v>9.2279199999999993E-9</v>
      </c>
      <c r="H21" s="2">
        <v>7.6199999999999999E-6</v>
      </c>
      <c r="I21" s="2">
        <v>0</v>
      </c>
      <c r="J21" s="2">
        <v>0</v>
      </c>
      <c r="K21" s="2">
        <v>3.0591937440000002E-10</v>
      </c>
      <c r="L21" s="2">
        <v>7.7738500000000008E-9</v>
      </c>
      <c r="M21" s="2">
        <v>3.339425232E-10</v>
      </c>
      <c r="N21" s="2">
        <v>4.3337599999999997E-9</v>
      </c>
      <c r="O21" s="2">
        <v>8.1071199999999996E-9</v>
      </c>
      <c r="P21" s="2">
        <v>9.2279199999999993E-9</v>
      </c>
      <c r="Q21" s="162">
        <v>0.9</v>
      </c>
      <c r="R21" s="162">
        <v>0.9</v>
      </c>
      <c r="S21" s="162">
        <v>0.9</v>
      </c>
      <c r="T21" s="162">
        <v>0.9</v>
      </c>
      <c r="U21" s="162">
        <v>0.9</v>
      </c>
      <c r="V21" s="162">
        <v>0</v>
      </c>
      <c r="W21" s="162">
        <v>0</v>
      </c>
      <c r="X21" s="162">
        <v>0</v>
      </c>
      <c r="Y21" s="162">
        <v>0</v>
      </c>
      <c r="Z21" s="162">
        <v>0</v>
      </c>
      <c r="AA21" s="98">
        <f t="shared" si="42"/>
        <v>0</v>
      </c>
      <c r="AB21" s="98">
        <f t="shared" si="42"/>
        <v>0</v>
      </c>
      <c r="AC21" s="98">
        <f t="shared" si="42"/>
        <v>0</v>
      </c>
      <c r="AD21" s="98">
        <f t="shared" si="42"/>
        <v>0</v>
      </c>
      <c r="AE21" s="98">
        <f t="shared" si="42"/>
        <v>0</v>
      </c>
      <c r="AF21" s="15">
        <v>5.8980213089802101E-6</v>
      </c>
      <c r="AG21" s="15">
        <v>218</v>
      </c>
      <c r="AH21" s="2">
        <v>2.1000000000000001E-4</v>
      </c>
      <c r="AI21" s="2">
        <v>3.0000000000000001E-3</v>
      </c>
      <c r="AJ21" s="2">
        <v>36</v>
      </c>
      <c r="AK21" s="2" t="s">
        <v>1281</v>
      </c>
      <c r="AL21" s="2">
        <v>2.4</v>
      </c>
      <c r="AM21" s="2">
        <v>3.1</v>
      </c>
      <c r="AN21" s="2" t="s">
        <v>1281</v>
      </c>
      <c r="AO21" s="228">
        <v>0.05</v>
      </c>
      <c r="AP21" s="2" t="s">
        <v>1281</v>
      </c>
      <c r="AQ21" s="2" t="s">
        <v>1281</v>
      </c>
      <c r="AR21" s="228">
        <v>2.3E-3</v>
      </c>
      <c r="AS21" s="2">
        <v>2.4000000000000001E-4</v>
      </c>
      <c r="AT21" s="2">
        <v>2.7586206896552002E-4</v>
      </c>
      <c r="AU21" s="15">
        <v>210</v>
      </c>
      <c r="AV21" s="15"/>
      <c r="AW21" s="15">
        <v>117497.032258065</v>
      </c>
      <c r="AX21" s="42">
        <v>15</v>
      </c>
      <c r="AY21" s="42">
        <v>218</v>
      </c>
      <c r="AZ21" s="98">
        <f t="shared" si="38"/>
        <v>5.5000000000000002E-5</v>
      </c>
      <c r="BA21" s="98">
        <f t="shared" si="39"/>
        <v>0.1386</v>
      </c>
      <c r="BB21" s="98">
        <v>0</v>
      </c>
      <c r="BC21" s="15">
        <v>2.1527777777777799E-3</v>
      </c>
      <c r="BD21" s="98">
        <f t="shared" si="40"/>
        <v>2.7586206896552002E-4</v>
      </c>
      <c r="BE21" s="98">
        <f t="shared" si="41"/>
        <v>2.4000000000000001E-4</v>
      </c>
    </row>
    <row r="22" spans="1:57" x14ac:dyDescent="0.25">
      <c r="A22" s="44" t="s">
        <v>20</v>
      </c>
      <c r="B22" s="42" t="s">
        <v>1057</v>
      </c>
      <c r="C22" s="42"/>
      <c r="D22" s="2"/>
      <c r="E22" s="2">
        <v>8.8060000000000005E-4</v>
      </c>
      <c r="F22" s="2">
        <v>8.8060000000000005E-4</v>
      </c>
      <c r="G22" s="2">
        <v>8.9103600000000008E-3</v>
      </c>
      <c r="H22" s="2">
        <v>3.1116999999999999E-2</v>
      </c>
      <c r="I22" s="2">
        <v>8.8060000000000005E-4</v>
      </c>
      <c r="J22" s="2">
        <v>3.6852E-4</v>
      </c>
      <c r="K22" s="2">
        <v>2.8840490640000001E-5</v>
      </c>
      <c r="L22" s="2">
        <v>1.2859000000000001E-2</v>
      </c>
      <c r="M22" s="2">
        <v>6.3402374159999994E-5</v>
      </c>
      <c r="N22" s="2">
        <v>6.4632800000000001E-3</v>
      </c>
      <c r="O22" s="2">
        <v>8.8730000000000007E-3</v>
      </c>
      <c r="P22" s="2">
        <v>8.9103600000000008E-3</v>
      </c>
      <c r="Q22" s="162">
        <v>0.98748261474269805</v>
      </c>
      <c r="R22" s="162">
        <v>0.86834733893557403</v>
      </c>
      <c r="S22" s="162">
        <v>0.98884758364312197</v>
      </c>
      <c r="T22" s="162">
        <v>0.95495495495495497</v>
      </c>
      <c r="U22" s="162">
        <v>0.95760598503740701</v>
      </c>
      <c r="V22" s="162">
        <v>4.1000000000000003E-9</v>
      </c>
      <c r="W22" s="162">
        <v>2.4E-8</v>
      </c>
      <c r="X22" s="162">
        <v>2.3000000000000001E-8</v>
      </c>
      <c r="Y22" s="162">
        <v>3.1E-8</v>
      </c>
      <c r="Z22" s="162">
        <v>2.9999999999999997E-8</v>
      </c>
      <c r="AA22" s="98">
        <f t="shared" ref="AA22:AE23" si="43">0.4*V22</f>
        <v>1.6400000000000001E-9</v>
      </c>
      <c r="AB22" s="98">
        <f t="shared" si="43"/>
        <v>9.5999999999999999E-9</v>
      </c>
      <c r="AC22" s="98">
        <f t="shared" si="43"/>
        <v>9.2000000000000013E-9</v>
      </c>
      <c r="AD22" s="98">
        <f t="shared" si="43"/>
        <v>1.24E-8</v>
      </c>
      <c r="AE22" s="98">
        <f t="shared" si="43"/>
        <v>1.2E-8</v>
      </c>
      <c r="AF22" s="15">
        <v>4.0821917808219199E-2</v>
      </c>
      <c r="AG22" s="15">
        <v>225</v>
      </c>
      <c r="AH22" s="2">
        <v>3.8000000000000002E-4</v>
      </c>
      <c r="AI22" s="2">
        <v>1.6999999999999999E-3</v>
      </c>
      <c r="AJ22" s="2">
        <v>4</v>
      </c>
      <c r="AK22" s="2">
        <v>100</v>
      </c>
      <c r="AL22" s="2" t="s">
        <v>1281</v>
      </c>
      <c r="AM22" s="2" t="s">
        <v>1281</v>
      </c>
      <c r="AN22" s="2" t="s">
        <v>1281</v>
      </c>
      <c r="AO22" s="228">
        <v>5.0000000000000001E-3</v>
      </c>
      <c r="AP22" s="2" t="s">
        <v>1281</v>
      </c>
      <c r="AQ22" s="2" t="s">
        <v>1281</v>
      </c>
      <c r="AR22" s="2" t="s">
        <v>1281</v>
      </c>
      <c r="AS22" s="2">
        <v>1.7000000000000001E-2</v>
      </c>
      <c r="AT22" s="2">
        <v>1.9540229885056999E-2</v>
      </c>
      <c r="AU22" s="15">
        <v>1</v>
      </c>
      <c r="AV22" s="15">
        <v>0.2</v>
      </c>
      <c r="AW22" s="15">
        <v>16.976174496644301</v>
      </c>
      <c r="AX22" s="42"/>
      <c r="AY22" s="42">
        <v>225</v>
      </c>
      <c r="AZ22" s="98">
        <f t="shared" ref="AZ22:AZ23" si="44">BB22+s_lambda_HL</f>
        <v>5.5000000000000002E-5</v>
      </c>
      <c r="BA22" s="98">
        <f t="shared" ref="BA22:BA23" si="45">BB22+(0.693/s_t_w)</f>
        <v>0.1386</v>
      </c>
      <c r="BB22" s="98">
        <v>0</v>
      </c>
      <c r="BC22" s="15">
        <v>14.9</v>
      </c>
      <c r="BD22" s="98">
        <f>AT22</f>
        <v>1.9540229885056999E-2</v>
      </c>
      <c r="BE22" s="98">
        <f t="shared" ref="BE22:BE23" si="46">AS22</f>
        <v>1.7000000000000001E-2</v>
      </c>
    </row>
    <row r="23" spans="1:57" x14ac:dyDescent="0.25">
      <c r="A23" s="46" t="s">
        <v>21</v>
      </c>
      <c r="B23" s="42" t="s">
        <v>335</v>
      </c>
      <c r="C23" s="42"/>
      <c r="D23" s="2"/>
      <c r="E23" s="2">
        <v>1.6761E-3</v>
      </c>
      <c r="F23" s="2">
        <v>1.6761E-3</v>
      </c>
      <c r="G23" s="2">
        <v>3.1756E-2</v>
      </c>
      <c r="H23" s="2">
        <v>3.8109999999999998E-2</v>
      </c>
      <c r="I23" s="2">
        <v>1.6761E-3</v>
      </c>
      <c r="J23" s="2">
        <v>1.036E-3</v>
      </c>
      <c r="K23" s="2">
        <v>3.631333032E-5</v>
      </c>
      <c r="L23" s="2">
        <v>7.8089199999999996E-3</v>
      </c>
      <c r="M23" s="2">
        <v>7.9865974080000005E-5</v>
      </c>
      <c r="N23" s="2">
        <v>7.9203199999999998E-3</v>
      </c>
      <c r="O23" s="2">
        <v>2.1855599999999999E-2</v>
      </c>
      <c r="P23" s="2">
        <v>3.10088E-2</v>
      </c>
      <c r="Q23" s="162">
        <v>0.927927927927928</v>
      </c>
      <c r="R23" s="162">
        <v>0.82729805013927604</v>
      </c>
      <c r="S23" s="162">
        <v>0.88145896656534894</v>
      </c>
      <c r="T23" s="162">
        <v>0.89258312020460395</v>
      </c>
      <c r="U23" s="162">
        <v>0.88349514563106801</v>
      </c>
      <c r="V23" s="162">
        <v>3.5000000000000003E-2</v>
      </c>
      <c r="W23" s="162">
        <v>0.11</v>
      </c>
      <c r="X23" s="162">
        <v>5.8000000000000003E-2</v>
      </c>
      <c r="Y23" s="162">
        <v>8.1000000000000003E-2</v>
      </c>
      <c r="Z23" s="162">
        <v>0.1</v>
      </c>
      <c r="AA23" s="98">
        <f t="shared" si="43"/>
        <v>1.4000000000000002E-2</v>
      </c>
      <c r="AB23" s="98">
        <f t="shared" si="43"/>
        <v>4.4000000000000004E-2</v>
      </c>
      <c r="AC23" s="98">
        <f t="shared" si="43"/>
        <v>2.3200000000000002E-2</v>
      </c>
      <c r="AD23" s="98">
        <f t="shared" si="43"/>
        <v>3.2400000000000005E-2</v>
      </c>
      <c r="AE23" s="98">
        <f t="shared" si="43"/>
        <v>4.0000000000000008E-2</v>
      </c>
      <c r="AF23" s="15">
        <v>1600</v>
      </c>
      <c r="AG23" s="15">
        <v>226</v>
      </c>
      <c r="AH23" s="2">
        <v>3.8000000000000002E-4</v>
      </c>
      <c r="AI23" s="2">
        <v>1.6999999999999999E-3</v>
      </c>
      <c r="AJ23" s="2">
        <v>4</v>
      </c>
      <c r="AK23" s="2">
        <v>100</v>
      </c>
      <c r="AL23" s="2" t="s">
        <v>1281</v>
      </c>
      <c r="AM23" s="2" t="s">
        <v>1281</v>
      </c>
      <c r="AN23" s="2" t="s">
        <v>1281</v>
      </c>
      <c r="AO23" s="228">
        <v>5.0000000000000001E-3</v>
      </c>
      <c r="AP23" s="2" t="s">
        <v>1281</v>
      </c>
      <c r="AQ23" s="2" t="s">
        <v>1281</v>
      </c>
      <c r="AR23" s="2" t="s">
        <v>1281</v>
      </c>
      <c r="AS23" s="2">
        <v>1.7000000000000001E-2</v>
      </c>
      <c r="AT23" s="2">
        <v>1.9540229885056999E-2</v>
      </c>
      <c r="AU23" s="15">
        <v>1</v>
      </c>
      <c r="AV23" s="15">
        <v>0.2</v>
      </c>
      <c r="AW23" s="15">
        <v>4.3312500000000002E-4</v>
      </c>
      <c r="AX23" s="42">
        <v>5</v>
      </c>
      <c r="AY23" s="42">
        <v>226</v>
      </c>
      <c r="AZ23" s="98">
        <f t="shared" si="44"/>
        <v>5.5000000000000002E-5</v>
      </c>
      <c r="BA23" s="98">
        <f t="shared" si="45"/>
        <v>0.1386</v>
      </c>
      <c r="BB23" s="98">
        <v>0</v>
      </c>
      <c r="BC23" s="15">
        <v>584000</v>
      </c>
      <c r="BD23" s="98">
        <f t="shared" ref="BD23" si="47">AT23</f>
        <v>1.9540229885056999E-2</v>
      </c>
      <c r="BE23" s="98">
        <f t="shared" si="46"/>
        <v>1.7000000000000001E-2</v>
      </c>
    </row>
    <row r="24" spans="1:57" x14ac:dyDescent="0.25">
      <c r="A24" s="44" t="s">
        <v>22</v>
      </c>
      <c r="B24" s="42" t="s">
        <v>1057</v>
      </c>
      <c r="C24" s="42">
        <v>1</v>
      </c>
      <c r="D24" s="236">
        <v>1.4525200000000001E-7</v>
      </c>
      <c r="E24" s="2">
        <v>0</v>
      </c>
      <c r="F24" s="2">
        <v>0</v>
      </c>
      <c r="G24" s="2">
        <v>4.2590400000000004E-3</v>
      </c>
      <c r="H24" s="2">
        <v>0</v>
      </c>
      <c r="I24" s="2">
        <v>0</v>
      </c>
      <c r="J24" s="2">
        <v>0</v>
      </c>
      <c r="K24" s="2">
        <v>3.9699460800000002E-6</v>
      </c>
      <c r="L24" s="2">
        <v>8.4635600000000004E-4</v>
      </c>
      <c r="M24" s="2">
        <v>8.6287945679999992E-6</v>
      </c>
      <c r="N24" s="2">
        <v>8.57412E-4</v>
      </c>
      <c r="O24" s="2">
        <v>2.4470799999999999E-3</v>
      </c>
      <c r="P24" s="2">
        <v>3.8107200000000001E-3</v>
      </c>
      <c r="Q24" s="162">
        <v>0.886075949367089</v>
      </c>
      <c r="R24" s="162">
        <v>0.91340782122904995</v>
      </c>
      <c r="S24" s="162">
        <v>0.93388429752066104</v>
      </c>
      <c r="T24" s="162">
        <v>0.91913746630727799</v>
      </c>
      <c r="U24" s="162">
        <v>0.95499999999999996</v>
      </c>
      <c r="V24" s="162">
        <v>2.5999999999999999E-2</v>
      </c>
      <c r="W24" s="162">
        <v>7.5999999999999998E-2</v>
      </c>
      <c r="X24" s="162">
        <v>4.1000000000000002E-2</v>
      </c>
      <c r="Y24" s="162">
        <v>5.8999999999999997E-2</v>
      </c>
      <c r="Z24" s="162">
        <v>6.8000000000000005E-2</v>
      </c>
      <c r="AA24" s="98">
        <f t="shared" ref="AA24:AE25" si="48">0.4*V24</f>
        <v>1.04E-2</v>
      </c>
      <c r="AB24" s="98">
        <f t="shared" si="48"/>
        <v>3.04E-2</v>
      </c>
      <c r="AC24" s="98">
        <f t="shared" si="48"/>
        <v>1.6400000000000001E-2</v>
      </c>
      <c r="AD24" s="98">
        <f t="shared" si="48"/>
        <v>2.3599999999999999E-2</v>
      </c>
      <c r="AE24" s="98">
        <f t="shared" si="48"/>
        <v>2.7200000000000002E-2</v>
      </c>
      <c r="AF24" s="15">
        <v>1.1098427194317601E-9</v>
      </c>
      <c r="AG24" s="15">
        <v>218</v>
      </c>
      <c r="AH24" s="2">
        <v>0</v>
      </c>
      <c r="AI24" s="2">
        <v>0</v>
      </c>
      <c r="AJ24" s="2">
        <v>0</v>
      </c>
      <c r="AK24" s="2" t="s">
        <v>1281</v>
      </c>
      <c r="AL24" s="2" t="s">
        <v>1281</v>
      </c>
      <c r="AM24" s="2" t="s">
        <v>1281</v>
      </c>
      <c r="AN24" s="2" t="s">
        <v>1281</v>
      </c>
      <c r="AO24" s="2" t="s">
        <v>1281</v>
      </c>
      <c r="AP24" s="2" t="s">
        <v>1281</v>
      </c>
      <c r="AQ24" s="2" t="s">
        <v>1281</v>
      </c>
      <c r="AR24" s="2" t="s">
        <v>1281</v>
      </c>
      <c r="AS24" s="2">
        <v>0</v>
      </c>
      <c r="AT24" s="2">
        <v>0</v>
      </c>
      <c r="AU24" s="15">
        <v>0</v>
      </c>
      <c r="AV24" s="15"/>
      <c r="AW24" s="15">
        <v>624412800</v>
      </c>
      <c r="AX24" s="42"/>
      <c r="AY24" s="42">
        <v>218</v>
      </c>
      <c r="AZ24" s="98">
        <f t="shared" ref="AZ24:AZ25" si="49">BB24+s_lambda_HL</f>
        <v>5.5000000000000002E-5</v>
      </c>
      <c r="BA24" s="98">
        <f t="shared" ref="BA24:BA25" si="50">BB24+(0.693/s_t_w)</f>
        <v>0.1386</v>
      </c>
      <c r="BB24" s="98">
        <v>0</v>
      </c>
      <c r="BC24" s="15">
        <v>4.05092592592593E-7</v>
      </c>
      <c r="BD24" s="98">
        <f t="shared" ref="BD24:BD25" si="51">AT24</f>
        <v>0</v>
      </c>
      <c r="BE24" s="98">
        <f t="shared" ref="BE24:BE25" si="52">AS24</f>
        <v>0</v>
      </c>
    </row>
    <row r="25" spans="1:57" x14ac:dyDescent="0.25">
      <c r="A25" s="46" t="s">
        <v>23</v>
      </c>
      <c r="B25" s="42" t="s">
        <v>335</v>
      </c>
      <c r="C25" s="42">
        <v>1</v>
      </c>
      <c r="D25" s="236">
        <v>1</v>
      </c>
      <c r="E25" s="2">
        <v>0</v>
      </c>
      <c r="F25" s="2">
        <v>0</v>
      </c>
      <c r="G25" s="2">
        <v>2.1295200000000002E-3</v>
      </c>
      <c r="H25" s="2">
        <v>6.55E-6</v>
      </c>
      <c r="I25" s="2">
        <v>0</v>
      </c>
      <c r="J25" s="2">
        <v>0</v>
      </c>
      <c r="K25" s="2">
        <v>2.0200019760000001E-6</v>
      </c>
      <c r="L25" s="2">
        <v>4.3486799999999998E-4</v>
      </c>
      <c r="M25" s="2">
        <v>4.3902933119999996E-6</v>
      </c>
      <c r="N25" s="2">
        <v>4.4084799999999998E-4</v>
      </c>
      <c r="O25" s="2">
        <v>1.2571640000000001E-3</v>
      </c>
      <c r="P25" s="2">
        <v>1.94272E-3</v>
      </c>
      <c r="Q25" s="162">
        <v>0.881287726358149</v>
      </c>
      <c r="R25" s="162">
        <v>0.94318181818181801</v>
      </c>
      <c r="S25" s="162">
        <v>0.93949044585987296</v>
      </c>
      <c r="T25" s="162">
        <v>0.93193717277486898</v>
      </c>
      <c r="U25" s="162">
        <v>0.91981132075471705</v>
      </c>
      <c r="V25" s="162">
        <v>2.1999999999999999E-2</v>
      </c>
      <c r="W25" s="162">
        <v>6.6000000000000003E-2</v>
      </c>
      <c r="X25" s="162">
        <v>3.6999999999999998E-2</v>
      </c>
      <c r="Y25" s="162">
        <v>5.1999999999999998E-2</v>
      </c>
      <c r="Z25" s="162">
        <v>5.8999999999999997E-2</v>
      </c>
      <c r="AA25" s="98">
        <f t="shared" si="48"/>
        <v>8.8000000000000005E-3</v>
      </c>
      <c r="AB25" s="98">
        <f t="shared" si="48"/>
        <v>2.6400000000000003E-2</v>
      </c>
      <c r="AC25" s="98">
        <f t="shared" si="48"/>
        <v>1.4800000000000001E-2</v>
      </c>
      <c r="AD25" s="98">
        <f t="shared" si="48"/>
        <v>2.0799999999999999E-2</v>
      </c>
      <c r="AE25" s="98">
        <f t="shared" si="48"/>
        <v>2.3599999999999999E-2</v>
      </c>
      <c r="AF25" s="15">
        <v>1.04753424657534E-2</v>
      </c>
      <c r="AG25" s="15">
        <v>222</v>
      </c>
      <c r="AH25" s="2">
        <v>0</v>
      </c>
      <c r="AI25" s="2">
        <v>0</v>
      </c>
      <c r="AJ25" s="2">
        <v>0</v>
      </c>
      <c r="AK25" s="2" t="s">
        <v>1281</v>
      </c>
      <c r="AL25" s="2" t="s">
        <v>1281</v>
      </c>
      <c r="AM25" s="2" t="s">
        <v>1281</v>
      </c>
      <c r="AN25" s="2" t="s">
        <v>1281</v>
      </c>
      <c r="AO25" s="2" t="s">
        <v>1281</v>
      </c>
      <c r="AP25" s="2" t="s">
        <v>1281</v>
      </c>
      <c r="AQ25" s="2" t="s">
        <v>1281</v>
      </c>
      <c r="AR25" s="2" t="s">
        <v>1281</v>
      </c>
      <c r="AS25" s="2">
        <v>0</v>
      </c>
      <c r="AT25" s="2">
        <v>0</v>
      </c>
      <c r="AU25" s="15">
        <v>0</v>
      </c>
      <c r="AV25" s="15"/>
      <c r="AW25" s="15">
        <v>66.155355041192607</v>
      </c>
      <c r="AX25" s="42"/>
      <c r="AY25" s="42">
        <v>222</v>
      </c>
      <c r="AZ25" s="98">
        <f t="shared" si="49"/>
        <v>5.5000000000000002E-5</v>
      </c>
      <c r="BA25" s="98">
        <f t="shared" si="50"/>
        <v>0.1386</v>
      </c>
      <c r="BB25" s="98">
        <v>0</v>
      </c>
      <c r="BC25" s="15">
        <v>3.8235000000000001</v>
      </c>
      <c r="BD25" s="98">
        <f t="shared" si="51"/>
        <v>0</v>
      </c>
      <c r="BE25" s="98">
        <f t="shared" si="52"/>
        <v>0</v>
      </c>
    </row>
    <row r="26" spans="1:57" x14ac:dyDescent="0.25">
      <c r="A26" s="44" t="s">
        <v>24</v>
      </c>
      <c r="B26" s="42" t="s">
        <v>1057</v>
      </c>
      <c r="C26" s="42"/>
      <c r="D26" s="2"/>
      <c r="E26" s="2">
        <v>2.2533000000000002E-3</v>
      </c>
      <c r="F26" s="2">
        <v>2.2533000000000002E-3</v>
      </c>
      <c r="G26" s="2">
        <v>0.28767199999999998</v>
      </c>
      <c r="H26" s="2">
        <v>0.27934999999999999</v>
      </c>
      <c r="I26" s="2">
        <v>2.2533000000000002E-3</v>
      </c>
      <c r="J26" s="2">
        <v>1.8462999999999999E-3</v>
      </c>
      <c r="K26" s="2">
        <v>3.8765355840000002E-4</v>
      </c>
      <c r="L26" s="2">
        <v>9.0597499999999997E-2</v>
      </c>
      <c r="M26" s="2">
        <v>8.6404708800000003E-4</v>
      </c>
      <c r="N26" s="2">
        <v>8.5741200000000004E-2</v>
      </c>
      <c r="O26" s="2">
        <v>0.218556</v>
      </c>
      <c r="P26" s="2">
        <v>0.28393600000000002</v>
      </c>
      <c r="Q26" s="162">
        <v>0.97538461538461496</v>
      </c>
      <c r="R26" s="162">
        <v>0.95145631067961201</v>
      </c>
      <c r="S26" s="162">
        <v>0.91964285714285698</v>
      </c>
      <c r="T26" s="162">
        <v>0.91074681238615696</v>
      </c>
      <c r="U26" s="162">
        <v>0.91954022988505801</v>
      </c>
      <c r="V26" s="162">
        <v>1.1000000000000001E-3</v>
      </c>
      <c r="W26" s="162">
        <v>1.2E-2</v>
      </c>
      <c r="X26" s="162">
        <v>6.7999999999999996E-3</v>
      </c>
      <c r="Y26" s="162">
        <v>9.4999999999999998E-3</v>
      </c>
      <c r="Z26" s="162">
        <v>1.0999999999999999E-2</v>
      </c>
      <c r="AA26" s="98">
        <f t="shared" ref="AA26:AE26" si="53">0.4*V26</f>
        <v>4.4000000000000007E-4</v>
      </c>
      <c r="AB26" s="98">
        <f t="shared" si="53"/>
        <v>4.8000000000000004E-3</v>
      </c>
      <c r="AC26" s="98">
        <f t="shared" si="53"/>
        <v>2.7200000000000002E-3</v>
      </c>
      <c r="AD26" s="98">
        <f t="shared" si="53"/>
        <v>3.8E-3</v>
      </c>
      <c r="AE26" s="98">
        <f t="shared" si="53"/>
        <v>4.4000000000000003E-3</v>
      </c>
      <c r="AF26" s="15">
        <v>7340</v>
      </c>
      <c r="AG26" s="15">
        <v>229</v>
      </c>
      <c r="AH26" s="2">
        <v>5.0000000000000004E-6</v>
      </c>
      <c r="AI26" s="2">
        <v>2.3000000000000001E-4</v>
      </c>
      <c r="AJ26" s="2">
        <v>6</v>
      </c>
      <c r="AK26" s="2">
        <v>2900</v>
      </c>
      <c r="AL26" s="2" t="s">
        <v>1281</v>
      </c>
      <c r="AM26" s="2" t="s">
        <v>1281</v>
      </c>
      <c r="AN26" s="2" t="s">
        <v>1281</v>
      </c>
      <c r="AO26" s="228">
        <v>1E-3</v>
      </c>
      <c r="AP26" s="2" t="s">
        <v>1281</v>
      </c>
      <c r="AQ26" s="2" t="s">
        <v>1281</v>
      </c>
      <c r="AR26" s="2" t="s">
        <v>1281</v>
      </c>
      <c r="AS26" s="2">
        <v>2.0999999999999999E-3</v>
      </c>
      <c r="AT26" s="2">
        <v>2.4137931034482999E-3</v>
      </c>
      <c r="AU26" s="15">
        <v>20</v>
      </c>
      <c r="AV26" s="15">
        <v>5.0000000000000001E-4</v>
      </c>
      <c r="AW26" s="15">
        <v>9.4414168937329696E-5</v>
      </c>
      <c r="AX26" s="42">
        <v>15</v>
      </c>
      <c r="AY26" s="42">
        <v>229</v>
      </c>
      <c r="AZ26" s="98">
        <f t="shared" ref="AZ26" si="54">BB26+s_lambda_HL</f>
        <v>5.5000000000000002E-5</v>
      </c>
      <c r="BA26" s="98">
        <f t="shared" ref="BA26" si="55">BB26+(0.693/s_t_w)</f>
        <v>0.1386</v>
      </c>
      <c r="BB26" s="98">
        <v>0</v>
      </c>
      <c r="BC26" s="15">
        <v>2679100</v>
      </c>
      <c r="BD26" s="98">
        <f t="shared" ref="BD26" si="56">AT26</f>
        <v>2.4137931034482999E-3</v>
      </c>
      <c r="BE26" s="98">
        <f t="shared" ref="BE26" si="57">AS26</f>
        <v>2.0999999999999999E-3</v>
      </c>
    </row>
    <row r="27" spans="1:57" x14ac:dyDescent="0.25">
      <c r="A27" s="44" t="s">
        <v>25</v>
      </c>
      <c r="B27" s="42" t="s">
        <v>1057</v>
      </c>
      <c r="C27" s="42">
        <v>1</v>
      </c>
      <c r="D27" s="236">
        <v>0</v>
      </c>
      <c r="E27" s="2">
        <v>0</v>
      </c>
      <c r="F27" s="2">
        <v>0</v>
      </c>
      <c r="G27" s="2">
        <v>1.2777119999999999E-2</v>
      </c>
      <c r="H27" s="2">
        <v>0</v>
      </c>
      <c r="I27" s="2">
        <v>0</v>
      </c>
      <c r="J27" s="2">
        <v>0</v>
      </c>
      <c r="K27" s="2">
        <v>4.635495864E-5</v>
      </c>
      <c r="L27" s="2">
        <v>7.1542800000000004E-2</v>
      </c>
      <c r="M27" s="2">
        <v>5.5462481999999997E-5</v>
      </c>
      <c r="N27" s="2">
        <v>7.58408E-3</v>
      </c>
      <c r="O27" s="2">
        <v>1.057288E-2</v>
      </c>
      <c r="P27" s="2">
        <v>1.245956E-2</v>
      </c>
      <c r="Q27" s="162">
        <v>0.94202898550724601</v>
      </c>
      <c r="R27" s="162">
        <v>0.96767241379310298</v>
      </c>
      <c r="S27" s="162">
        <v>0.91346153846153799</v>
      </c>
      <c r="T27" s="162">
        <v>0.90301003344481601</v>
      </c>
      <c r="U27" s="162">
        <v>0.91029900332225899</v>
      </c>
      <c r="V27" s="162">
        <v>6.1999999999999998E-3</v>
      </c>
      <c r="W27" s="162">
        <v>5.6000000000000001E-2</v>
      </c>
      <c r="X27" s="162">
        <v>0.02</v>
      </c>
      <c r="Y27" s="162">
        <v>3.3000000000000002E-2</v>
      </c>
      <c r="Z27" s="162">
        <v>4.4999999999999998E-2</v>
      </c>
      <c r="AA27" s="98">
        <f t="shared" ref="AA27:AE30" si="58">0.4*V27</f>
        <v>2.48E-3</v>
      </c>
      <c r="AB27" s="98">
        <f t="shared" si="58"/>
        <v>2.2400000000000003E-2</v>
      </c>
      <c r="AC27" s="98">
        <f t="shared" si="58"/>
        <v>8.0000000000000002E-3</v>
      </c>
      <c r="AD27" s="98">
        <f t="shared" si="58"/>
        <v>1.3200000000000002E-2</v>
      </c>
      <c r="AE27" s="98">
        <f t="shared" si="58"/>
        <v>1.7999999999999999E-2</v>
      </c>
      <c r="AF27" s="15">
        <v>7.9908675799086794E-6</v>
      </c>
      <c r="AG27" s="15">
        <v>206</v>
      </c>
      <c r="AH27" s="2">
        <v>2E-3</v>
      </c>
      <c r="AI27" s="2">
        <v>0.04</v>
      </c>
      <c r="AJ27" s="2">
        <v>900</v>
      </c>
      <c r="AK27" s="2" t="s">
        <v>1281</v>
      </c>
      <c r="AL27" s="2" t="s">
        <v>1281</v>
      </c>
      <c r="AM27" s="2" t="s">
        <v>1281</v>
      </c>
      <c r="AN27" s="2" t="s">
        <v>1281</v>
      </c>
      <c r="AO27" s="228">
        <v>0.4</v>
      </c>
      <c r="AP27" s="2" t="s">
        <v>1281</v>
      </c>
      <c r="AQ27" s="2" t="s">
        <v>1281</v>
      </c>
      <c r="AR27" s="2" t="s">
        <v>1281</v>
      </c>
      <c r="AS27" s="2">
        <v>8.0000000000000004E-4</v>
      </c>
      <c r="AT27" s="2">
        <v>8.0000000000000002E-3</v>
      </c>
      <c r="AU27" s="15">
        <v>1500</v>
      </c>
      <c r="AV27" s="15"/>
      <c r="AW27" s="15">
        <v>86724</v>
      </c>
      <c r="AX27" s="42"/>
      <c r="AY27" s="42">
        <v>206</v>
      </c>
      <c r="AZ27" s="98">
        <f t="shared" ref="AZ27:AZ30" si="59">BB27+s_lambda_HL</f>
        <v>5.5000000000000002E-5</v>
      </c>
      <c r="BA27" s="98">
        <f t="shared" ref="BA27:BA30" si="60">BB27+(0.693/s_t_w)</f>
        <v>0.1386</v>
      </c>
      <c r="BB27" s="98">
        <v>0</v>
      </c>
      <c r="BC27" s="15">
        <v>2.9166666666666698E-3</v>
      </c>
      <c r="BD27" s="98">
        <f t="shared" ref="BD27:BD30" si="61">AT27</f>
        <v>8.0000000000000002E-3</v>
      </c>
      <c r="BE27" s="98">
        <f t="shared" ref="BE27:BE30" si="62">AS27</f>
        <v>8.0000000000000004E-4</v>
      </c>
    </row>
    <row r="28" spans="1:57" x14ac:dyDescent="0.25">
      <c r="A28" s="44" t="s">
        <v>26</v>
      </c>
      <c r="B28" s="42" t="s">
        <v>1057</v>
      </c>
      <c r="C28" s="42"/>
      <c r="D28" s="2"/>
      <c r="E28" s="2">
        <v>0</v>
      </c>
      <c r="F28" s="2">
        <v>0</v>
      </c>
      <c r="G28" s="2">
        <v>12.870520000000001</v>
      </c>
      <c r="H28" s="2">
        <v>0</v>
      </c>
      <c r="I28" s="2">
        <v>0</v>
      </c>
      <c r="J28" s="2">
        <v>0</v>
      </c>
      <c r="K28" s="2">
        <v>1.190983824E-2</v>
      </c>
      <c r="L28" s="2">
        <v>2.36138</v>
      </c>
      <c r="M28" s="2">
        <v>2.5687886399999998E-2</v>
      </c>
      <c r="N28" s="2">
        <v>2.3536800000000002</v>
      </c>
      <c r="O28" s="2">
        <v>6.7621599999999997</v>
      </c>
      <c r="P28" s="2">
        <v>10.815720000000001</v>
      </c>
      <c r="Q28" s="162">
        <v>0.86776859504132198</v>
      </c>
      <c r="R28" s="162">
        <v>0.94199999999999995</v>
      </c>
      <c r="S28" s="162">
        <v>0.93081761006289299</v>
      </c>
      <c r="T28" s="162">
        <v>0.94166666666666698</v>
      </c>
      <c r="U28" s="162">
        <v>0.91360294117647101</v>
      </c>
      <c r="V28" s="162">
        <v>3.5999999999999997E-2</v>
      </c>
      <c r="W28" s="162">
        <v>0.13</v>
      </c>
      <c r="X28" s="162">
        <v>5.8999999999999997E-2</v>
      </c>
      <c r="Y28" s="162">
        <v>8.4000000000000005E-2</v>
      </c>
      <c r="Z28" s="162">
        <v>0.1</v>
      </c>
      <c r="AA28" s="98">
        <f t="shared" si="58"/>
        <v>1.44E-2</v>
      </c>
      <c r="AB28" s="98">
        <f t="shared" si="58"/>
        <v>5.2000000000000005E-2</v>
      </c>
      <c r="AC28" s="98">
        <f t="shared" si="58"/>
        <v>2.3599999999999999E-2</v>
      </c>
      <c r="AD28" s="98">
        <f t="shared" si="58"/>
        <v>3.3600000000000005E-2</v>
      </c>
      <c r="AE28" s="98">
        <f t="shared" si="58"/>
        <v>4.0000000000000008E-2</v>
      </c>
      <c r="AF28" s="15">
        <v>4.1114916286149197E-6</v>
      </c>
      <c r="AG28" s="15">
        <v>209</v>
      </c>
      <c r="AH28" s="2">
        <v>2E-3</v>
      </c>
      <c r="AI28" s="2">
        <v>0.04</v>
      </c>
      <c r="AJ28" s="2">
        <v>900</v>
      </c>
      <c r="AK28" s="2" t="s">
        <v>1281</v>
      </c>
      <c r="AL28" s="2" t="s">
        <v>1281</v>
      </c>
      <c r="AM28" s="2" t="s">
        <v>1281</v>
      </c>
      <c r="AN28" s="2" t="s">
        <v>1281</v>
      </c>
      <c r="AO28" s="228">
        <v>0.4</v>
      </c>
      <c r="AP28" s="2" t="s">
        <v>1281</v>
      </c>
      <c r="AQ28" s="2" t="s">
        <v>1281</v>
      </c>
      <c r="AR28" s="2" t="s">
        <v>1281</v>
      </c>
      <c r="AS28" s="2">
        <v>8.0000000000000004E-4</v>
      </c>
      <c r="AT28" s="2">
        <v>8.0000000000000002E-3</v>
      </c>
      <c r="AU28" s="15">
        <v>1500</v>
      </c>
      <c r="AV28" s="15"/>
      <c r="AW28" s="15">
        <v>168551.966682092</v>
      </c>
      <c r="AX28" s="42"/>
      <c r="AY28" s="42">
        <v>209</v>
      </c>
      <c r="AZ28" s="98">
        <f t="shared" si="59"/>
        <v>5.5000000000000002E-5</v>
      </c>
      <c r="BA28" s="98">
        <f t="shared" si="60"/>
        <v>0.1386</v>
      </c>
      <c r="BB28" s="98">
        <v>0</v>
      </c>
      <c r="BC28" s="15">
        <v>1.5006944444444399E-3</v>
      </c>
      <c r="BD28" s="98">
        <f t="shared" si="61"/>
        <v>8.0000000000000002E-3</v>
      </c>
      <c r="BE28" s="98">
        <f t="shared" si="62"/>
        <v>8.0000000000000004E-4</v>
      </c>
    </row>
    <row r="29" spans="1:57" x14ac:dyDescent="0.25">
      <c r="A29" s="44" t="s">
        <v>27</v>
      </c>
      <c r="B29" s="42" t="s">
        <v>1057</v>
      </c>
      <c r="C29" s="42">
        <v>1</v>
      </c>
      <c r="D29" s="236">
        <v>9.2449899999999997E-6</v>
      </c>
      <c r="E29" s="2">
        <v>0</v>
      </c>
      <c r="F29" s="2">
        <v>0</v>
      </c>
      <c r="G29" s="2">
        <v>16.774640000000002</v>
      </c>
      <c r="H29" s="2">
        <v>0</v>
      </c>
      <c r="I29" s="2">
        <v>0</v>
      </c>
      <c r="J29" s="2">
        <v>0</v>
      </c>
      <c r="K29" s="2">
        <v>1.5412731840000001E-2</v>
      </c>
      <c r="L29" s="2">
        <v>3.08616</v>
      </c>
      <c r="M29" s="2">
        <v>3.3277489200000003E-2</v>
      </c>
      <c r="N29" s="2">
        <v>3.06352</v>
      </c>
      <c r="O29" s="2">
        <v>8.7982800000000001</v>
      </c>
      <c r="P29" s="2">
        <v>14.14076</v>
      </c>
      <c r="Q29" s="162">
        <v>0.87301587301587302</v>
      </c>
      <c r="R29" s="162">
        <v>0.93846153846153801</v>
      </c>
      <c r="S29" s="162">
        <v>0.94059405940594099</v>
      </c>
      <c r="T29" s="162">
        <v>0.94308943089430897</v>
      </c>
      <c r="U29" s="162">
        <v>0.93390804597701205</v>
      </c>
      <c r="V29" s="162">
        <v>3.5999999999999997E-2</v>
      </c>
      <c r="W29" s="162">
        <v>0.12</v>
      </c>
      <c r="X29" s="162">
        <v>0.06</v>
      </c>
      <c r="Y29" s="162">
        <v>8.4000000000000005E-2</v>
      </c>
      <c r="Z29" s="162">
        <v>0.1</v>
      </c>
      <c r="AA29" s="98">
        <f t="shared" si="58"/>
        <v>1.44E-2</v>
      </c>
      <c r="AB29" s="98">
        <f t="shared" si="58"/>
        <v>4.8000000000000001E-2</v>
      </c>
      <c r="AC29" s="98">
        <f t="shared" si="58"/>
        <v>2.4E-2</v>
      </c>
      <c r="AD29" s="98">
        <f t="shared" si="58"/>
        <v>3.3600000000000005E-2</v>
      </c>
      <c r="AE29" s="98">
        <f t="shared" si="58"/>
        <v>4.0000000000000008E-2</v>
      </c>
      <c r="AF29" s="15">
        <v>2.4733637747336398E-6</v>
      </c>
      <c r="AG29" s="15">
        <v>210</v>
      </c>
      <c r="AH29" s="2">
        <v>2E-3</v>
      </c>
      <c r="AI29" s="2">
        <v>0.04</v>
      </c>
      <c r="AJ29" s="2">
        <v>900</v>
      </c>
      <c r="AK29" s="2" t="s">
        <v>1281</v>
      </c>
      <c r="AL29" s="2" t="s">
        <v>1281</v>
      </c>
      <c r="AM29" s="2" t="s">
        <v>1281</v>
      </c>
      <c r="AN29" s="2" t="s">
        <v>1281</v>
      </c>
      <c r="AO29" s="228">
        <v>0.4</v>
      </c>
      <c r="AP29" s="2" t="s">
        <v>1281</v>
      </c>
      <c r="AQ29" s="2" t="s">
        <v>1281</v>
      </c>
      <c r="AR29" s="2" t="s">
        <v>1281</v>
      </c>
      <c r="AS29" s="2">
        <v>8.0000000000000004E-4</v>
      </c>
      <c r="AT29" s="2">
        <v>8.0000000000000002E-3</v>
      </c>
      <c r="AU29" s="15">
        <v>1500</v>
      </c>
      <c r="AV29" s="15"/>
      <c r="AW29" s="15">
        <v>280185.23076923098</v>
      </c>
      <c r="AX29" s="42"/>
      <c r="AY29" s="42">
        <v>210</v>
      </c>
      <c r="AZ29" s="98">
        <f t="shared" si="59"/>
        <v>5.5000000000000002E-5</v>
      </c>
      <c r="BA29" s="98">
        <f t="shared" si="60"/>
        <v>0.1386</v>
      </c>
      <c r="BB29" s="98">
        <v>0</v>
      </c>
      <c r="BC29" s="15">
        <v>9.0277777777777795E-4</v>
      </c>
      <c r="BD29" s="98">
        <f t="shared" si="61"/>
        <v>8.0000000000000002E-3</v>
      </c>
      <c r="BE29" s="98">
        <f t="shared" si="62"/>
        <v>8.0000000000000004E-4</v>
      </c>
    </row>
    <row r="30" spans="1:57" x14ac:dyDescent="0.25">
      <c r="A30" s="44" t="s">
        <v>28</v>
      </c>
      <c r="B30" s="42" t="s">
        <v>1057</v>
      </c>
      <c r="C30" s="42"/>
      <c r="D30" s="3"/>
      <c r="E30" s="2">
        <v>2.2274E-4</v>
      </c>
      <c r="F30" s="2">
        <v>2.2274E-4</v>
      </c>
      <c r="G30" s="2">
        <v>9.1905600000000002E-4</v>
      </c>
      <c r="H30" s="2">
        <v>3.8109999999999998E-2</v>
      </c>
      <c r="I30" s="2">
        <v>2.2274E-4</v>
      </c>
      <c r="J30" s="2">
        <v>1.8944E-4</v>
      </c>
      <c r="K30" s="2">
        <v>1.237689072E-6</v>
      </c>
      <c r="L30" s="2">
        <v>5.5644400000000001E-4</v>
      </c>
      <c r="M30" s="2">
        <v>2.7439333199999998E-6</v>
      </c>
      <c r="N30" s="2">
        <v>2.7085999999999999E-4</v>
      </c>
      <c r="O30" s="2">
        <v>6.5566799999999998E-4</v>
      </c>
      <c r="P30" s="2">
        <v>8.8916799999999997E-4</v>
      </c>
      <c r="Q30" s="163">
        <v>1</v>
      </c>
      <c r="R30" s="163">
        <v>1</v>
      </c>
      <c r="S30" s="163">
        <v>0.97979797979798</v>
      </c>
      <c r="T30" s="163">
        <v>0.97103448275862103</v>
      </c>
      <c r="U30" s="163">
        <v>0.96124031007751898</v>
      </c>
      <c r="V30" s="15">
        <v>1E-4</v>
      </c>
      <c r="W30" s="15">
        <v>1.2E-2</v>
      </c>
      <c r="X30" s="15">
        <v>2.5000000000000001E-3</v>
      </c>
      <c r="Y30" s="15">
        <v>7.0000000000000001E-3</v>
      </c>
      <c r="Z30" s="15">
        <v>9.4999999999999998E-3</v>
      </c>
      <c r="AA30" s="98">
        <f t="shared" si="58"/>
        <v>4.0000000000000003E-5</v>
      </c>
      <c r="AB30" s="98">
        <f t="shared" si="58"/>
        <v>4.8000000000000004E-3</v>
      </c>
      <c r="AC30" s="98">
        <f t="shared" si="58"/>
        <v>1E-3</v>
      </c>
      <c r="AD30" s="98">
        <f t="shared" si="58"/>
        <v>2.8000000000000004E-3</v>
      </c>
      <c r="AE30" s="98">
        <f t="shared" si="58"/>
        <v>3.8E-3</v>
      </c>
      <c r="AF30" s="15">
        <v>159200</v>
      </c>
      <c r="AG30" s="15">
        <v>233</v>
      </c>
      <c r="AH30" s="2">
        <v>1.8E-3</v>
      </c>
      <c r="AI30" s="2">
        <v>3.8999999999999999E-4</v>
      </c>
      <c r="AJ30" s="2">
        <v>0.96</v>
      </c>
      <c r="AK30" s="2">
        <v>170</v>
      </c>
      <c r="AL30" s="2">
        <v>0.75</v>
      </c>
      <c r="AM30" s="2">
        <v>1.1000000000000001</v>
      </c>
      <c r="AN30" s="2">
        <v>4.3999999999999997E-2</v>
      </c>
      <c r="AO30" s="228">
        <v>2E-3</v>
      </c>
      <c r="AP30" s="2" t="s">
        <v>1281</v>
      </c>
      <c r="AQ30" s="2" t="s">
        <v>1281</v>
      </c>
      <c r="AR30" s="228">
        <v>1.4E-3</v>
      </c>
      <c r="AS30" s="2">
        <v>6.1999999999999998E-3</v>
      </c>
      <c r="AT30" s="2">
        <v>7.1264367816092E-3</v>
      </c>
      <c r="AU30" s="15">
        <v>0.4</v>
      </c>
      <c r="AV30" s="15">
        <v>0.02</v>
      </c>
      <c r="AW30" s="15">
        <v>4.3530150753768799E-6</v>
      </c>
      <c r="AX30" s="42">
        <v>289207.91735594597</v>
      </c>
      <c r="AY30" s="42">
        <v>233</v>
      </c>
      <c r="AZ30" s="98">
        <f t="shared" si="59"/>
        <v>5.5000000000000002E-5</v>
      </c>
      <c r="BA30" s="98">
        <f t="shared" si="60"/>
        <v>0.1386</v>
      </c>
      <c r="BB30" s="98">
        <v>0</v>
      </c>
      <c r="BC30" s="15">
        <v>58108000</v>
      </c>
      <c r="BD30" s="98">
        <f t="shared" si="61"/>
        <v>7.1264367816092E-3</v>
      </c>
      <c r="BE30" s="98">
        <f t="shared" si="62"/>
        <v>6.1999999999999998E-3</v>
      </c>
    </row>
  </sheetData>
  <sheetProtection algorithmName="SHA-512" hashValue="4GG1vlPk57b3GuQEju2HAtIyw5LkNd27Ln6WBkt8Q/WUw8noEeaH3u/sZkRBSjS9oI/iyVWcy23VOEH78/qJfQ==" saltValue="hFGS2fZptBMU+wQKSiZG8w==" spinCount="100000" sheet="1" formatColumns="0" formatRows="0" autoFilter="0"/>
  <autoFilter ref="A1:BE30" xr:uid="{00000000-0009-0000-0000-00000D000000}"/>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R126"/>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1" width="12.85546875" bestFit="1" customWidth="1"/>
    <col min="2" max="2" width="13.28515625" bestFit="1" customWidth="1"/>
    <col min="3" max="3" width="18.5703125" bestFit="1" customWidth="1"/>
    <col min="4" max="4" width="14" bestFit="1" customWidth="1"/>
    <col min="5" max="5" width="13.28515625" bestFit="1" customWidth="1"/>
    <col min="6" max="6" width="12" bestFit="1" customWidth="1"/>
    <col min="7" max="7" width="11.85546875" bestFit="1" customWidth="1"/>
    <col min="8" max="8" width="13.28515625" bestFit="1" customWidth="1"/>
    <col min="9" max="9" width="12" bestFit="1" customWidth="1"/>
    <col min="10" max="10" width="13.140625" bestFit="1" customWidth="1"/>
    <col min="11" max="11" width="13.28515625" bestFit="1" customWidth="1"/>
    <col min="12" max="12" width="22.140625" bestFit="1" customWidth="1"/>
    <col min="13" max="13" width="13.5703125" bestFit="1" customWidth="1"/>
    <col min="14" max="14" width="8.42578125" bestFit="1" customWidth="1"/>
    <col min="15" max="15" width="23.28515625" bestFit="1" customWidth="1"/>
    <col min="16" max="16" width="14" bestFit="1" customWidth="1"/>
    <col min="17" max="17" width="8" customWidth="1"/>
    <col min="18" max="18" width="20.5703125" bestFit="1" customWidth="1"/>
  </cols>
  <sheetData>
    <row r="1" spans="1:18" ht="18.75" x14ac:dyDescent="0.3">
      <c r="A1" s="251" t="s">
        <v>40</v>
      </c>
      <c r="B1" s="251"/>
      <c r="C1" s="251"/>
      <c r="D1" s="251" t="s">
        <v>41</v>
      </c>
      <c r="E1" s="251"/>
      <c r="F1" s="251"/>
      <c r="G1" s="251" t="s">
        <v>42</v>
      </c>
      <c r="H1" s="251"/>
      <c r="I1" s="251"/>
      <c r="J1" s="251" t="s">
        <v>368</v>
      </c>
      <c r="K1" s="251"/>
      <c r="L1" s="251"/>
      <c r="M1" s="251" t="s">
        <v>549</v>
      </c>
      <c r="N1" s="251"/>
      <c r="O1" s="251"/>
      <c r="P1" s="251" t="s">
        <v>550</v>
      </c>
      <c r="Q1" s="251"/>
      <c r="R1" s="251"/>
    </row>
    <row r="2" spans="1:18" ht="18" x14ac:dyDescent="0.35">
      <c r="A2" t="s">
        <v>1364</v>
      </c>
      <c r="B2" s="245">
        <v>5</v>
      </c>
      <c r="C2" t="s">
        <v>1371</v>
      </c>
      <c r="D2" t="s">
        <v>270</v>
      </c>
      <c r="E2" s="206">
        <v>5</v>
      </c>
      <c r="F2" s="3" t="s">
        <v>43</v>
      </c>
      <c r="G2" t="s">
        <v>988</v>
      </c>
      <c r="H2" s="206">
        <v>5</v>
      </c>
      <c r="I2" s="3" t="s">
        <v>43</v>
      </c>
      <c r="J2" t="s">
        <v>1026</v>
      </c>
      <c r="K2" s="207">
        <v>5</v>
      </c>
      <c r="L2" s="3" t="s">
        <v>43</v>
      </c>
      <c r="M2" s="191" t="s">
        <v>741</v>
      </c>
      <c r="N2" s="192">
        <v>0.5</v>
      </c>
      <c r="O2" s="191" t="s">
        <v>1289</v>
      </c>
      <c r="P2" s="191" t="s">
        <v>292</v>
      </c>
      <c r="Q2" s="192">
        <v>0.5</v>
      </c>
      <c r="R2" s="191" t="s">
        <v>1289</v>
      </c>
    </row>
    <row r="3" spans="1:18" ht="18" x14ac:dyDescent="0.35">
      <c r="A3" s="191" t="s">
        <v>240</v>
      </c>
      <c r="B3" s="208">
        <v>0.5</v>
      </c>
      <c r="C3" t="s">
        <v>1290</v>
      </c>
      <c r="D3" t="s">
        <v>271</v>
      </c>
      <c r="E3" s="206">
        <v>15</v>
      </c>
      <c r="F3" s="3" t="s">
        <v>43</v>
      </c>
      <c r="G3" t="s">
        <v>989</v>
      </c>
      <c r="H3" s="206">
        <v>15</v>
      </c>
      <c r="I3" s="3" t="s">
        <v>43</v>
      </c>
      <c r="J3" t="s">
        <v>1027</v>
      </c>
      <c r="K3" s="206">
        <v>15</v>
      </c>
      <c r="L3" s="3" t="s">
        <v>43</v>
      </c>
      <c r="M3" s="191" t="s">
        <v>742</v>
      </c>
      <c r="N3" s="192">
        <v>0.5</v>
      </c>
      <c r="O3" s="191" t="s">
        <v>1289</v>
      </c>
      <c r="P3" s="191" t="s">
        <v>291</v>
      </c>
      <c r="Q3" s="192">
        <v>0.5</v>
      </c>
      <c r="R3" s="191" t="s">
        <v>1289</v>
      </c>
    </row>
    <row r="4" spans="1:18" ht="18" x14ac:dyDescent="0.35">
      <c r="A4" s="193" t="s">
        <v>241</v>
      </c>
      <c r="B4" s="192">
        <v>0.5</v>
      </c>
      <c r="C4" t="s">
        <v>1289</v>
      </c>
      <c r="D4" t="s">
        <v>272</v>
      </c>
      <c r="E4" s="194">
        <f>s_ED_res_c+s_ED_res_a</f>
        <v>20</v>
      </c>
      <c r="F4" s="3" t="s">
        <v>43</v>
      </c>
      <c r="G4" t="s">
        <v>990</v>
      </c>
      <c r="H4" s="194">
        <f>s_ED_rec_c+s_ED_rec_a</f>
        <v>20</v>
      </c>
      <c r="I4" s="3" t="s">
        <v>43</v>
      </c>
      <c r="J4" t="s">
        <v>1028</v>
      </c>
      <c r="K4" s="194">
        <f>s_ED_far_c+s_ED_far_a</f>
        <v>20</v>
      </c>
      <c r="L4" s="3" t="s">
        <v>43</v>
      </c>
      <c r="M4" s="191" t="s">
        <v>743</v>
      </c>
      <c r="N4" s="192">
        <v>0.5</v>
      </c>
      <c r="O4" s="191" t="s">
        <v>1289</v>
      </c>
      <c r="P4" s="191" t="s">
        <v>295</v>
      </c>
      <c r="Q4" s="192">
        <v>0.5</v>
      </c>
      <c r="R4" s="191" t="s">
        <v>1289</v>
      </c>
    </row>
    <row r="5" spans="1:18" ht="18" x14ac:dyDescent="0.35">
      <c r="A5" s="193" t="s">
        <v>242</v>
      </c>
      <c r="B5" s="209">
        <v>0.4</v>
      </c>
      <c r="C5" t="s">
        <v>1289</v>
      </c>
      <c r="D5" t="s">
        <v>891</v>
      </c>
      <c r="E5" s="194">
        <v>1</v>
      </c>
      <c r="G5" t="s">
        <v>991</v>
      </c>
      <c r="H5" s="194">
        <v>1</v>
      </c>
      <c r="I5" s="3"/>
      <c r="J5" t="s">
        <v>1029</v>
      </c>
      <c r="K5" s="194">
        <v>1</v>
      </c>
      <c r="L5" s="3"/>
      <c r="M5" s="191" t="s">
        <v>744</v>
      </c>
      <c r="N5" s="192">
        <v>0.5</v>
      </c>
      <c r="O5" s="191" t="s">
        <v>1289</v>
      </c>
      <c r="P5" s="191" t="s">
        <v>293</v>
      </c>
      <c r="Q5" s="192">
        <v>0.5</v>
      </c>
      <c r="R5" s="191" t="s">
        <v>1289</v>
      </c>
    </row>
    <row r="6" spans="1:18" ht="18" x14ac:dyDescent="0.25">
      <c r="A6" s="191" t="s">
        <v>243</v>
      </c>
      <c r="B6" s="192">
        <v>5.5000000000000002E-5</v>
      </c>
      <c r="C6" s="191" t="s">
        <v>124</v>
      </c>
      <c r="D6" s="193" t="s">
        <v>892</v>
      </c>
      <c r="E6" s="192">
        <v>5</v>
      </c>
      <c r="F6" s="193" t="s">
        <v>44</v>
      </c>
      <c r="G6" s="193" t="s">
        <v>992</v>
      </c>
      <c r="H6" s="192">
        <v>5</v>
      </c>
      <c r="I6" s="191" t="s">
        <v>86</v>
      </c>
      <c r="J6" s="193" t="s">
        <v>1030</v>
      </c>
      <c r="K6" s="192">
        <v>5</v>
      </c>
      <c r="L6" s="191" t="s">
        <v>86</v>
      </c>
      <c r="M6" s="191" t="s">
        <v>745</v>
      </c>
      <c r="N6" s="192">
        <v>0.5</v>
      </c>
      <c r="O6" s="191" t="s">
        <v>1289</v>
      </c>
      <c r="P6" s="191" t="s">
        <v>294</v>
      </c>
      <c r="Q6" s="192">
        <v>0.5</v>
      </c>
      <c r="R6" s="191" t="s">
        <v>1289</v>
      </c>
    </row>
    <row r="7" spans="1:18" ht="18" x14ac:dyDescent="0.25">
      <c r="A7" s="191" t="s">
        <v>244</v>
      </c>
      <c r="B7" s="192">
        <v>5</v>
      </c>
      <c r="C7" s="191" t="s">
        <v>118</v>
      </c>
      <c r="D7" s="193" t="s">
        <v>893</v>
      </c>
      <c r="E7" s="192">
        <v>10</v>
      </c>
      <c r="F7" s="193" t="s">
        <v>44</v>
      </c>
      <c r="G7" s="193" t="s">
        <v>993</v>
      </c>
      <c r="H7" s="192">
        <v>10</v>
      </c>
      <c r="I7" s="191" t="s">
        <v>86</v>
      </c>
      <c r="J7" s="193" t="s">
        <v>1031</v>
      </c>
      <c r="K7" s="192">
        <v>10</v>
      </c>
      <c r="L7" s="191" t="s">
        <v>86</v>
      </c>
      <c r="M7" s="191" t="s">
        <v>746</v>
      </c>
      <c r="N7" s="192">
        <v>0.5</v>
      </c>
      <c r="O7" s="191" t="s">
        <v>1289</v>
      </c>
      <c r="P7" s="198" t="s">
        <v>1291</v>
      </c>
      <c r="Q7" s="192">
        <v>0.5</v>
      </c>
      <c r="R7" s="191" t="s">
        <v>1289</v>
      </c>
    </row>
    <row r="8" spans="1:18" ht="18" x14ac:dyDescent="0.25">
      <c r="A8" s="191" t="s">
        <v>245</v>
      </c>
      <c r="B8" s="192">
        <v>0.5</v>
      </c>
      <c r="C8" s="191" t="s">
        <v>89</v>
      </c>
      <c r="D8" s="193" t="s">
        <v>894</v>
      </c>
      <c r="E8" s="194">
        <f>((s_EF_res_c*s_AAF_res_c*s_ET_res_c*(1/24)*s_IRA_res_c)+(s_EF_res_a*s_AAF_res_a*s_ET_res_a*(1/24)*s_IRA_res_a))</f>
        <v>100.26041666666666</v>
      </c>
      <c r="F8" s="3" t="s">
        <v>236</v>
      </c>
      <c r="G8" s="193" t="s">
        <v>994</v>
      </c>
      <c r="H8" s="194" cm="1">
        <f t="array" ref="H8">((s_EF_rec_c*s_AAF_rec_c*s_ET_rec_c*(1/24)*s_IRA_rec_c)+(s_EF_rec_a*s_AAF_rec_a*s_ET_rec_a*(1/24)*s_IRA_rec_a))</f>
        <v>100.26041666666666</v>
      </c>
      <c r="J8" s="193" t="s">
        <v>1032</v>
      </c>
      <c r="K8" s="194">
        <f>((s_EF_far_c*s_AAF_far_c*s_ET_far_c*(1/24)*s_IRA_far_c)+(s_EF_far_a*s_AAF_far_a*s_ET_far_a*(1/24)*s_IRA_far_a))</f>
        <v>100.26041666666666</v>
      </c>
      <c r="L8" s="3" t="s">
        <v>236</v>
      </c>
      <c r="M8" s="191" t="s">
        <v>747</v>
      </c>
      <c r="N8" s="192">
        <v>0.5</v>
      </c>
      <c r="O8" s="191" t="s">
        <v>1289</v>
      </c>
      <c r="P8" s="191" t="s">
        <v>296</v>
      </c>
      <c r="Q8" s="192">
        <v>0.5</v>
      </c>
      <c r="R8" s="191" t="s">
        <v>1289</v>
      </c>
    </row>
    <row r="9" spans="1:18" ht="18" x14ac:dyDescent="0.25">
      <c r="A9" s="191" t="s">
        <v>246</v>
      </c>
      <c r="B9" s="192">
        <v>5000</v>
      </c>
      <c r="C9" s="191" t="s">
        <v>120</v>
      </c>
      <c r="D9" s="193" t="s">
        <v>895</v>
      </c>
      <c r="E9" s="194">
        <f>((s_EF_res_c*s_AAF_res_c*s_ET_event_res_c*s_EV_res_c)+(s_EF_res_a*s_AAF_res_a*s_ET_event_res_a*s_EV_res_a))</f>
        <v>220</v>
      </c>
      <c r="F9" s="3" t="s">
        <v>340</v>
      </c>
      <c r="G9" s="193" t="s">
        <v>995</v>
      </c>
      <c r="H9" s="194" cm="1">
        <f t="array" ref="H9">((s_EF_rec_c*s_AAF_rec_c*s_ET_event_rec_c*s_EV_rec_c)+(s_EF_rec_a*s_AAF_rec_a*s_ET_event_rec_a*s_EV_rec_a))</f>
        <v>220</v>
      </c>
      <c r="I9" s="3" t="s">
        <v>340</v>
      </c>
      <c r="J9" s="193" t="s">
        <v>1033</v>
      </c>
      <c r="K9" s="194">
        <f>((s_EF_far_c*s_AAF_far_c*s_EV_far_c*s_ET_event_far_c)+(s_EF_far_a*s_AAF_far_a*s_EV_far_a*s_ET_event_far_a))</f>
        <v>220</v>
      </c>
      <c r="L9" s="3" t="s">
        <v>340</v>
      </c>
      <c r="M9" s="191" t="s">
        <v>748</v>
      </c>
      <c r="N9" s="192">
        <v>0.5</v>
      </c>
      <c r="O9" s="191" t="s">
        <v>1289</v>
      </c>
      <c r="P9" s="191" t="s">
        <v>1096</v>
      </c>
      <c r="Q9" s="192">
        <v>0.5</v>
      </c>
      <c r="R9" s="191" t="s">
        <v>1289</v>
      </c>
    </row>
    <row r="10" spans="1:18" ht="18" x14ac:dyDescent="0.25">
      <c r="A10" s="191" t="s">
        <v>247</v>
      </c>
      <c r="B10" s="192">
        <v>55</v>
      </c>
      <c r="C10" s="191" t="s">
        <v>122</v>
      </c>
      <c r="D10" s="193" t="s">
        <v>896</v>
      </c>
      <c r="E10" s="192">
        <v>55</v>
      </c>
      <c r="F10" s="193" t="s">
        <v>45</v>
      </c>
      <c r="G10" s="193" t="s">
        <v>996</v>
      </c>
      <c r="H10" s="192">
        <v>55</v>
      </c>
      <c r="I10" s="191" t="s">
        <v>45</v>
      </c>
      <c r="J10" s="193" t="s">
        <v>1034</v>
      </c>
      <c r="K10" s="192">
        <v>55</v>
      </c>
      <c r="L10" s="191" t="s">
        <v>45</v>
      </c>
      <c r="M10" s="191" t="s">
        <v>749</v>
      </c>
      <c r="N10" s="192">
        <v>0.5</v>
      </c>
      <c r="O10" s="191" t="s">
        <v>1289</v>
      </c>
      <c r="P10" s="191" t="s">
        <v>861</v>
      </c>
      <c r="Q10" s="192">
        <v>0.5</v>
      </c>
      <c r="R10" s="191" t="s">
        <v>1289</v>
      </c>
    </row>
    <row r="11" spans="1:18" ht="18" x14ac:dyDescent="0.25">
      <c r="A11" s="191" t="s">
        <v>248</v>
      </c>
      <c r="B11" s="192">
        <v>0.5</v>
      </c>
      <c r="C11" s="191" t="s">
        <v>89</v>
      </c>
      <c r="D11" s="193" t="s">
        <v>897</v>
      </c>
      <c r="E11" s="192">
        <v>55</v>
      </c>
      <c r="F11" s="193" t="s">
        <v>45</v>
      </c>
      <c r="G11" s="193" t="s">
        <v>997</v>
      </c>
      <c r="H11" s="192">
        <v>55</v>
      </c>
      <c r="I11" s="191" t="s">
        <v>45</v>
      </c>
      <c r="J11" s="193" t="s">
        <v>1035</v>
      </c>
      <c r="K11" s="192">
        <v>55</v>
      </c>
      <c r="L11" s="191" t="s">
        <v>45</v>
      </c>
      <c r="M11" s="191" t="s">
        <v>750</v>
      </c>
      <c r="N11" s="192">
        <v>0.5</v>
      </c>
      <c r="O11" s="191" t="s">
        <v>1289</v>
      </c>
      <c r="P11" s="191" t="s">
        <v>862</v>
      </c>
      <c r="Q11" s="192">
        <v>0.5</v>
      </c>
      <c r="R11" s="191" t="s">
        <v>1289</v>
      </c>
    </row>
    <row r="12" spans="1:18" ht="18" x14ac:dyDescent="0.25">
      <c r="A12" s="191" t="s">
        <v>249</v>
      </c>
      <c r="B12" s="192">
        <v>55</v>
      </c>
      <c r="C12" s="191" t="s">
        <v>120</v>
      </c>
      <c r="D12" s="193" t="s">
        <v>898</v>
      </c>
      <c r="E12" s="194">
        <f>((s_EF_res_c*s_AAF_res_c*s_IRS_res_c)+(s_EF_res_a*s_AAF_res_a*s_IRS_res_a))</f>
        <v>3025</v>
      </c>
      <c r="F12" s="191" t="s">
        <v>237</v>
      </c>
      <c r="G12" s="193" t="s">
        <v>998</v>
      </c>
      <c r="H12" s="194" cm="1">
        <f t="array" ref="H12">((s_EF_rec_c*s_AAF_rec_c*s_IRS_rec_c)+(s_EF_rec_a*s_AAF_rec_a*s_IRS_rec_a))</f>
        <v>3025</v>
      </c>
      <c r="I12" s="191" t="s">
        <v>237</v>
      </c>
      <c r="J12" s="193" t="s">
        <v>1036</v>
      </c>
      <c r="K12" s="194">
        <f>((s_EF_far_c*s_AAF_far_c*s_IRS_far_c)+(s_EF_far_a*s_AAF_far_a*s_IRS_far_a))</f>
        <v>3025</v>
      </c>
      <c r="L12" s="191" t="s">
        <v>237</v>
      </c>
      <c r="M12" s="191" t="s">
        <v>751</v>
      </c>
      <c r="N12" s="192">
        <v>0.5</v>
      </c>
      <c r="O12" s="191" t="s">
        <v>1289</v>
      </c>
      <c r="P12" s="191" t="s">
        <v>863</v>
      </c>
      <c r="Q12" s="192">
        <v>0.5</v>
      </c>
      <c r="R12" s="191" t="s">
        <v>1289</v>
      </c>
    </row>
    <row r="13" spans="1:18" ht="18" x14ac:dyDescent="0.25">
      <c r="A13" s="191" t="s">
        <v>250</v>
      </c>
      <c r="B13" s="192">
        <v>5</v>
      </c>
      <c r="C13" s="191" t="s">
        <v>122</v>
      </c>
      <c r="D13" s="193" t="s">
        <v>899</v>
      </c>
      <c r="E13" s="192">
        <v>5</v>
      </c>
      <c r="F13" s="193" t="s">
        <v>46</v>
      </c>
      <c r="G13" s="193" t="s">
        <v>999</v>
      </c>
      <c r="H13" s="192">
        <v>2</v>
      </c>
      <c r="I13" s="191" t="s">
        <v>87</v>
      </c>
      <c r="J13" s="193" t="s">
        <v>1037</v>
      </c>
      <c r="K13" s="192">
        <v>5</v>
      </c>
      <c r="L13" s="191" t="s">
        <v>46</v>
      </c>
      <c r="M13" s="191" t="s">
        <v>752</v>
      </c>
      <c r="N13" s="192">
        <v>0.5</v>
      </c>
      <c r="O13" s="191" t="s">
        <v>1289</v>
      </c>
      <c r="P13" s="191" t="s">
        <v>276</v>
      </c>
      <c r="Q13" s="192">
        <v>55</v>
      </c>
      <c r="R13" s="191" t="s">
        <v>47</v>
      </c>
    </row>
    <row r="14" spans="1:18" ht="18" x14ac:dyDescent="0.25">
      <c r="A14" s="191" t="s">
        <v>251</v>
      </c>
      <c r="B14" s="192">
        <v>5</v>
      </c>
      <c r="C14" s="191" t="s">
        <v>89</v>
      </c>
      <c r="D14" s="193" t="s">
        <v>900</v>
      </c>
      <c r="E14" s="192">
        <v>5</v>
      </c>
      <c r="F14" s="193" t="s">
        <v>46</v>
      </c>
      <c r="G14" s="193" t="s">
        <v>1000</v>
      </c>
      <c r="H14" s="192">
        <v>2</v>
      </c>
      <c r="I14" s="191" t="s">
        <v>87</v>
      </c>
      <c r="J14" s="193" t="s">
        <v>1038</v>
      </c>
      <c r="K14" s="192">
        <v>5</v>
      </c>
      <c r="L14" s="191" t="s">
        <v>46</v>
      </c>
      <c r="M14" s="191" t="s">
        <v>753</v>
      </c>
      <c r="N14" s="192">
        <v>0.5</v>
      </c>
      <c r="O14" s="191" t="s">
        <v>1289</v>
      </c>
      <c r="P14" s="191" t="s">
        <v>277</v>
      </c>
      <c r="Q14" s="192">
        <v>55</v>
      </c>
      <c r="R14" s="191" t="s">
        <v>47</v>
      </c>
    </row>
    <row r="15" spans="1:18" ht="18" x14ac:dyDescent="0.25">
      <c r="A15" s="191" t="s">
        <v>252</v>
      </c>
      <c r="B15" s="192">
        <v>5</v>
      </c>
      <c r="C15" s="191" t="s">
        <v>126</v>
      </c>
      <c r="D15" s="193" t="s">
        <v>901</v>
      </c>
      <c r="E15" s="194">
        <f>((s_EF_res_c*s_AAF_res_c*s_IRW_res_c)+(s_EF_res_a*s_AAF_res_a*s_IRW_res_a))</f>
        <v>275</v>
      </c>
      <c r="F15" s="191" t="s">
        <v>238</v>
      </c>
      <c r="G15" s="193" t="s">
        <v>1001</v>
      </c>
      <c r="H15" s="194" cm="1">
        <f t="array" ref="H15">((s_EF_rec_c*s_AAF_rec_c*s_IRW_rec_c*s_ET_event_rec_c*s_EV_rec_c)+(s_EF_rec_a*s_AAF_rec_a*s_IRW_rec_a*s_ET_event_rec_a*s_EV_rec_a))</f>
        <v>440</v>
      </c>
      <c r="I15" s="191" t="s">
        <v>238</v>
      </c>
      <c r="J15" s="193" t="s">
        <v>1039</v>
      </c>
      <c r="K15" s="194">
        <f>((s_EF_far_c*s_AAF_far_c*s_IRW_far_c)+(s_EF_far_a*s_AAF_far_a*s_IRW_far_a))</f>
        <v>275</v>
      </c>
      <c r="L15" s="191" t="s">
        <v>238</v>
      </c>
      <c r="M15" s="191" t="s">
        <v>754</v>
      </c>
      <c r="N15" s="192">
        <v>0.5</v>
      </c>
      <c r="O15" s="191" t="s">
        <v>1289</v>
      </c>
      <c r="P15" s="193" t="s">
        <v>278</v>
      </c>
      <c r="Q15" s="194">
        <f>((s_EF_far_c*s_AAF_far_c*s_IRB_far_c)+(s_EF_far_a*s_AAF_far_a*s_IRB_far_a))</f>
        <v>3025</v>
      </c>
      <c r="R15" s="191" t="s">
        <v>213</v>
      </c>
    </row>
    <row r="16" spans="1:18" ht="18" x14ac:dyDescent="0.25">
      <c r="A16" s="193" t="s">
        <v>253</v>
      </c>
      <c r="B16" s="210">
        <v>2</v>
      </c>
      <c r="C16" s="193" t="s">
        <v>127</v>
      </c>
      <c r="D16" s="226" t="s">
        <v>1365</v>
      </c>
      <c r="E16" s="194">
        <f>s_ED_res_c/s_ED_res</f>
        <v>0.25</v>
      </c>
      <c r="G16" s="226" t="s">
        <v>1367</v>
      </c>
      <c r="H16" s="194">
        <f>s_ED_rec_c/s_ED_rec</f>
        <v>0.25</v>
      </c>
      <c r="I16" s="226"/>
      <c r="J16" s="226" t="s">
        <v>1369</v>
      </c>
      <c r="K16" s="194">
        <f>s_ED_far_c/s_ED_far</f>
        <v>0.25</v>
      </c>
      <c r="M16" s="191" t="s">
        <v>755</v>
      </c>
      <c r="N16" s="192">
        <v>0.5</v>
      </c>
      <c r="O16" s="191" t="s">
        <v>1289</v>
      </c>
      <c r="P16" s="191" t="s">
        <v>273</v>
      </c>
      <c r="Q16" s="192">
        <v>55</v>
      </c>
      <c r="R16" s="191" t="s">
        <v>47</v>
      </c>
    </row>
    <row r="17" spans="1:18" ht="18" x14ac:dyDescent="0.25">
      <c r="A17" s="193" t="s">
        <v>254</v>
      </c>
      <c r="B17" s="210">
        <v>0.5</v>
      </c>
      <c r="C17" s="193" t="s">
        <v>1292</v>
      </c>
      <c r="D17" s="226" t="s">
        <v>1366</v>
      </c>
      <c r="E17" s="194">
        <f>s_ED_res_a/s_ED_res</f>
        <v>0.75</v>
      </c>
      <c r="G17" s="226" t="s">
        <v>1368</v>
      </c>
      <c r="H17" s="194">
        <f>s_ED_rec_a/s_ED_rec</f>
        <v>0.75</v>
      </c>
      <c r="I17" s="226"/>
      <c r="J17" s="226" t="s">
        <v>1370</v>
      </c>
      <c r="K17" s="194">
        <f>s_ED_far_a/s_ED_far</f>
        <v>0.75</v>
      </c>
      <c r="M17" s="191" t="s">
        <v>756</v>
      </c>
      <c r="N17" s="192">
        <v>0.5</v>
      </c>
      <c r="O17" s="191" t="s">
        <v>1289</v>
      </c>
      <c r="P17" s="191" t="s">
        <v>274</v>
      </c>
      <c r="Q17" s="192">
        <v>55</v>
      </c>
      <c r="R17" s="191" t="s">
        <v>47</v>
      </c>
    </row>
    <row r="18" spans="1:18" ht="18" x14ac:dyDescent="0.35">
      <c r="A18" s="193" t="s">
        <v>255</v>
      </c>
      <c r="B18" s="210">
        <v>70</v>
      </c>
      <c r="C18" s="193" t="s">
        <v>43</v>
      </c>
      <c r="D18" t="s">
        <v>902</v>
      </c>
      <c r="E18" s="192">
        <v>55000</v>
      </c>
      <c r="F18" s="193" t="s">
        <v>45</v>
      </c>
      <c r="G18" s="193" t="s">
        <v>1002</v>
      </c>
      <c r="H18" s="192">
        <v>2</v>
      </c>
      <c r="I18" s="191" t="s">
        <v>47</v>
      </c>
      <c r="J18" s="193" t="s">
        <v>1040</v>
      </c>
      <c r="K18" s="192">
        <v>55</v>
      </c>
      <c r="L18" s="191" t="s">
        <v>48</v>
      </c>
      <c r="M18" s="191" t="s">
        <v>757</v>
      </c>
      <c r="N18" s="192">
        <v>0.5</v>
      </c>
      <c r="O18" s="191" t="s">
        <v>1289</v>
      </c>
      <c r="P18" s="193" t="s">
        <v>275</v>
      </c>
      <c r="Q18" s="194">
        <f>((s_EF_far_c*s_AAF_far_c*s_IRD_far_c)+(s_EF_far_a*s_AAF_far_a*s_IRD_far_a))</f>
        <v>3025</v>
      </c>
      <c r="R18" s="191" t="s">
        <v>213</v>
      </c>
    </row>
    <row r="19" spans="1:18" ht="18" x14ac:dyDescent="0.35">
      <c r="A19" s="193" t="s">
        <v>256</v>
      </c>
      <c r="B19" s="210">
        <v>5</v>
      </c>
      <c r="C19" s="193" t="s">
        <v>191</v>
      </c>
      <c r="D19" t="s">
        <v>903</v>
      </c>
      <c r="E19" s="192">
        <v>55</v>
      </c>
      <c r="F19" s="193" t="s">
        <v>48</v>
      </c>
      <c r="G19" s="193" t="s">
        <v>1003</v>
      </c>
      <c r="H19" s="192">
        <v>2</v>
      </c>
      <c r="I19" s="191" t="s">
        <v>47</v>
      </c>
      <c r="J19" s="193" t="s">
        <v>1041</v>
      </c>
      <c r="K19" s="192">
        <v>55</v>
      </c>
      <c r="L19" s="191" t="s">
        <v>48</v>
      </c>
      <c r="M19" s="198" t="s">
        <v>1306</v>
      </c>
      <c r="N19" s="192">
        <v>0.5</v>
      </c>
      <c r="O19" s="191" t="s">
        <v>1289</v>
      </c>
      <c r="P19" s="191" t="s">
        <v>279</v>
      </c>
      <c r="Q19" s="192">
        <v>55</v>
      </c>
      <c r="R19" s="191" t="s">
        <v>47</v>
      </c>
    </row>
    <row r="20" spans="1:18" ht="18" x14ac:dyDescent="0.35">
      <c r="A20" s="193" t="s">
        <v>257</v>
      </c>
      <c r="B20" s="210">
        <v>5</v>
      </c>
      <c r="C20" s="193" t="s">
        <v>192</v>
      </c>
      <c r="D20" t="s">
        <v>904</v>
      </c>
      <c r="E20" s="192">
        <v>55</v>
      </c>
      <c r="F20" s="193" t="s">
        <v>48</v>
      </c>
      <c r="G20" s="193" t="s">
        <v>1004</v>
      </c>
      <c r="H20" s="211">
        <v>55</v>
      </c>
      <c r="I20" s="212" t="s">
        <v>48</v>
      </c>
      <c r="J20" s="193" t="s">
        <v>1042</v>
      </c>
      <c r="K20" s="206">
        <v>55</v>
      </c>
      <c r="L20" t="s">
        <v>48</v>
      </c>
      <c r="M20" s="191" t="s">
        <v>758</v>
      </c>
      <c r="N20" s="192">
        <v>0.5</v>
      </c>
      <c r="O20" s="191" t="s">
        <v>1289</v>
      </c>
      <c r="P20" s="191" t="s">
        <v>280</v>
      </c>
      <c r="Q20" s="192">
        <v>55</v>
      </c>
      <c r="R20" s="191" t="s">
        <v>47</v>
      </c>
    </row>
    <row r="21" spans="1:18" ht="18" x14ac:dyDescent="0.35">
      <c r="A21" s="193" t="s">
        <v>890</v>
      </c>
      <c r="B21" s="210">
        <v>0.5</v>
      </c>
      <c r="C21" s="193" t="s">
        <v>191</v>
      </c>
      <c r="D21" t="s">
        <v>905</v>
      </c>
      <c r="E21" s="192">
        <v>55</v>
      </c>
      <c r="F21" s="193" t="s">
        <v>48</v>
      </c>
      <c r="G21" s="193" t="s">
        <v>1005</v>
      </c>
      <c r="H21" s="192">
        <v>55</v>
      </c>
      <c r="I21" s="212" t="s">
        <v>48</v>
      </c>
      <c r="J21" s="193" t="s">
        <v>1043</v>
      </c>
      <c r="K21" s="192">
        <v>5</v>
      </c>
      <c r="L21" s="191" t="s">
        <v>50</v>
      </c>
      <c r="M21" s="191" t="s">
        <v>759</v>
      </c>
      <c r="N21" s="192">
        <v>0.5</v>
      </c>
      <c r="O21" s="191" t="s">
        <v>1289</v>
      </c>
      <c r="P21" s="193" t="s">
        <v>281</v>
      </c>
      <c r="Q21" s="194">
        <f>((s_EF_far_c*s_AAF_far_c*s_IRE_far_c)+(s_EF_far_a*s_AAF_far_a*s_IRE_far_a))</f>
        <v>3025</v>
      </c>
      <c r="R21" s="191" t="s">
        <v>213</v>
      </c>
    </row>
    <row r="22" spans="1:18" ht="18" x14ac:dyDescent="0.35">
      <c r="A22" s="193" t="s">
        <v>889</v>
      </c>
      <c r="B22" s="210">
        <v>5</v>
      </c>
      <c r="C22" s="193" t="s">
        <v>193</v>
      </c>
      <c r="D22" t="s">
        <v>906</v>
      </c>
      <c r="E22" s="192">
        <v>2</v>
      </c>
      <c r="F22" s="71" t="s">
        <v>49</v>
      </c>
      <c r="G22" s="193" t="s">
        <v>1006</v>
      </c>
      <c r="H22" s="192">
        <v>55</v>
      </c>
      <c r="I22" s="212" t="s">
        <v>48</v>
      </c>
      <c r="J22" s="193" t="s">
        <v>1044</v>
      </c>
      <c r="K22" s="192">
        <v>5</v>
      </c>
      <c r="L22" s="191" t="s">
        <v>50</v>
      </c>
      <c r="M22" s="191" t="s">
        <v>760</v>
      </c>
      <c r="N22" s="192">
        <v>0.5</v>
      </c>
      <c r="O22" s="191" t="s">
        <v>1289</v>
      </c>
      <c r="P22" s="191" t="s">
        <v>285</v>
      </c>
      <c r="Q22" s="192">
        <v>55</v>
      </c>
      <c r="R22" s="191" t="s">
        <v>47</v>
      </c>
    </row>
    <row r="23" spans="1:18" ht="18" x14ac:dyDescent="0.35">
      <c r="A23" s="193" t="s">
        <v>258</v>
      </c>
      <c r="B23" s="210">
        <v>5</v>
      </c>
      <c r="C23" s="193" t="s">
        <v>193</v>
      </c>
      <c r="D23" t="s">
        <v>907</v>
      </c>
      <c r="E23" s="192">
        <v>2</v>
      </c>
      <c r="F23" s="71" t="s">
        <v>49</v>
      </c>
      <c r="G23" s="193" t="s">
        <v>1007</v>
      </c>
      <c r="H23" s="192">
        <v>5</v>
      </c>
      <c r="I23" s="212" t="s">
        <v>50</v>
      </c>
      <c r="J23" s="193" t="s">
        <v>1045</v>
      </c>
      <c r="K23" s="192">
        <v>5</v>
      </c>
      <c r="L23" s="191" t="s">
        <v>50</v>
      </c>
      <c r="M23" s="191" t="s">
        <v>761</v>
      </c>
      <c r="N23" s="192">
        <v>0.5</v>
      </c>
      <c r="O23" s="191" t="s">
        <v>1289</v>
      </c>
      <c r="P23" s="191" t="s">
        <v>286</v>
      </c>
      <c r="Q23" s="192">
        <v>55</v>
      </c>
      <c r="R23" s="191" t="s">
        <v>47</v>
      </c>
    </row>
    <row r="24" spans="1:18" ht="18" x14ac:dyDescent="0.35">
      <c r="A24" s="193" t="s">
        <v>259</v>
      </c>
      <c r="B24" s="210">
        <v>5</v>
      </c>
      <c r="C24" s="193" t="s">
        <v>193</v>
      </c>
      <c r="D24" t="s">
        <v>908</v>
      </c>
      <c r="E24" s="192">
        <v>5</v>
      </c>
      <c r="F24" s="193" t="s">
        <v>50</v>
      </c>
      <c r="G24" s="193" t="s">
        <v>1008</v>
      </c>
      <c r="H24" s="192">
        <v>5</v>
      </c>
      <c r="I24" s="212" t="s">
        <v>50</v>
      </c>
      <c r="J24" s="193" t="s">
        <v>1046</v>
      </c>
      <c r="K24" s="192">
        <v>2</v>
      </c>
      <c r="L24" s="191" t="s">
        <v>115</v>
      </c>
      <c r="M24" s="191" t="s">
        <v>762</v>
      </c>
      <c r="N24" s="192">
        <v>0.5</v>
      </c>
      <c r="O24" s="191" t="s">
        <v>1289</v>
      </c>
      <c r="P24" s="193" t="s">
        <v>287</v>
      </c>
      <c r="Q24" s="194">
        <f>((s_EF_far_c*s_AAF_far_c*s_IRP_far_c)+(s_EF_far_a*s_AAF_far_a*s_IRP_far_a))</f>
        <v>3025</v>
      </c>
    </row>
    <row r="25" spans="1:18" ht="18" x14ac:dyDescent="0.35">
      <c r="A25" s="193" t="s">
        <v>367</v>
      </c>
      <c r="B25" s="210">
        <f>((0.0112*((s_L_s2gw)^2))^0.5)+(s_d_a*(1-EXP((-s_L_s2gw*s_ls2gw)/(s_K_s2gw*s_i_s2gw*s_d_a))))</f>
        <v>0.62815689567914179</v>
      </c>
      <c r="C25" s="193" t="s">
        <v>193</v>
      </c>
      <c r="D25" t="s">
        <v>909</v>
      </c>
      <c r="E25" s="192">
        <v>5</v>
      </c>
      <c r="F25" s="193" t="s">
        <v>50</v>
      </c>
      <c r="G25" s="193" t="s">
        <v>1009</v>
      </c>
      <c r="H25" s="192">
        <v>5</v>
      </c>
      <c r="I25" s="212" t="s">
        <v>50</v>
      </c>
      <c r="J25" s="193" t="s">
        <v>1047</v>
      </c>
      <c r="K25" s="192">
        <v>2</v>
      </c>
      <c r="L25" s="191" t="s">
        <v>115</v>
      </c>
      <c r="M25" s="191" t="s">
        <v>763</v>
      </c>
      <c r="N25" s="192">
        <v>0.5</v>
      </c>
      <c r="O25" s="191" t="s">
        <v>1289</v>
      </c>
      <c r="P25" s="191" t="s">
        <v>282</v>
      </c>
      <c r="Q25" s="192">
        <v>55</v>
      </c>
      <c r="R25" s="191" t="s">
        <v>47</v>
      </c>
    </row>
    <row r="26" spans="1:18" ht="18.75" x14ac:dyDescent="0.35">
      <c r="A26" t="s">
        <v>260</v>
      </c>
      <c r="B26" s="213">
        <f>s_Q_C_wind*((3600)/(B36*(1-s_V)*((s_Um/s_Ut)^3)*s_F_x))</f>
        <v>309803863.88015682</v>
      </c>
      <c r="C26" t="s">
        <v>205</v>
      </c>
      <c r="D26" t="s">
        <v>910</v>
      </c>
      <c r="E26" s="192">
        <v>5</v>
      </c>
      <c r="F26" s="193" t="s">
        <v>50</v>
      </c>
      <c r="G26" s="193" t="s">
        <v>1010</v>
      </c>
      <c r="H26" s="192">
        <v>2</v>
      </c>
      <c r="I26" s="191" t="s">
        <v>49</v>
      </c>
      <c r="J26" s="191" t="s">
        <v>1048</v>
      </c>
      <c r="K26" s="192">
        <v>10</v>
      </c>
      <c r="L26" s="191" t="s">
        <v>50</v>
      </c>
      <c r="M26" s="191" t="s">
        <v>764</v>
      </c>
      <c r="N26" s="192">
        <v>0.5</v>
      </c>
      <c r="O26" s="191" t="s">
        <v>1289</v>
      </c>
      <c r="P26" s="191" t="s">
        <v>283</v>
      </c>
      <c r="Q26" s="192">
        <v>55</v>
      </c>
      <c r="R26" s="191" t="s">
        <v>47</v>
      </c>
    </row>
    <row r="27" spans="1:18" ht="18" x14ac:dyDescent="0.35">
      <c r="A27" s="214" t="s">
        <v>261</v>
      </c>
      <c r="B27" s="206">
        <v>5</v>
      </c>
      <c r="C27" t="s">
        <v>207</v>
      </c>
      <c r="D27" t="s">
        <v>911</v>
      </c>
      <c r="E27" s="192">
        <v>2</v>
      </c>
      <c r="F27" s="71" t="s">
        <v>51</v>
      </c>
      <c r="G27" s="193" t="s">
        <v>1011</v>
      </c>
      <c r="H27" s="192">
        <v>2</v>
      </c>
      <c r="I27" s="191" t="s">
        <v>49</v>
      </c>
      <c r="J27" s="191" t="s">
        <v>1049</v>
      </c>
      <c r="K27" s="192">
        <v>5</v>
      </c>
      <c r="L27" s="191" t="s">
        <v>50</v>
      </c>
      <c r="M27" s="193" t="s">
        <v>765</v>
      </c>
      <c r="N27" s="192">
        <v>55</v>
      </c>
      <c r="O27" s="191" t="s">
        <v>47</v>
      </c>
      <c r="P27" s="193" t="s">
        <v>284</v>
      </c>
      <c r="Q27" s="194">
        <f>((s_EF_far_c*s_AAF_far_c*s_IRFI_far_c)+(s_EF_far_a*s_AAF_far_a*s_IRFI_far_a))</f>
        <v>3025</v>
      </c>
      <c r="R27" s="191" t="s">
        <v>213</v>
      </c>
    </row>
    <row r="28" spans="1:18" ht="18" x14ac:dyDescent="0.35">
      <c r="A28" s="214" t="s">
        <v>262</v>
      </c>
      <c r="B28" s="206">
        <v>11.32</v>
      </c>
      <c r="C28" t="s">
        <v>207</v>
      </c>
      <c r="D28" t="s">
        <v>912</v>
      </c>
      <c r="E28" s="192">
        <v>2</v>
      </c>
      <c r="F28" s="71" t="s">
        <v>51</v>
      </c>
      <c r="G28" s="193" t="s">
        <v>1012</v>
      </c>
      <c r="H28" s="192">
        <v>2</v>
      </c>
      <c r="I28" s="212" t="s">
        <v>51</v>
      </c>
      <c r="J28" s="193" t="s">
        <v>1050</v>
      </c>
      <c r="K28" s="192">
        <v>2</v>
      </c>
      <c r="L28" s="191" t="s">
        <v>116</v>
      </c>
      <c r="M28" s="193" t="s">
        <v>766</v>
      </c>
      <c r="N28" s="192">
        <v>55</v>
      </c>
      <c r="O28" s="191" t="s">
        <v>47</v>
      </c>
      <c r="P28" s="191" t="s">
        <v>1266</v>
      </c>
      <c r="Q28" s="192">
        <v>55</v>
      </c>
      <c r="R28" s="191" t="s">
        <v>47</v>
      </c>
    </row>
    <row r="29" spans="1:18" ht="18" x14ac:dyDescent="0.35">
      <c r="A29" s="215" t="s">
        <v>263</v>
      </c>
      <c r="B29" s="206">
        <v>0.28539705780000002</v>
      </c>
      <c r="C29" s="216" t="s">
        <v>89</v>
      </c>
      <c r="D29" t="s">
        <v>913</v>
      </c>
      <c r="E29" s="192">
        <v>5</v>
      </c>
      <c r="F29" s="191" t="s">
        <v>50</v>
      </c>
      <c r="G29" s="193" t="s">
        <v>1013</v>
      </c>
      <c r="H29" s="192">
        <v>2</v>
      </c>
      <c r="I29" s="212" t="s">
        <v>51</v>
      </c>
      <c r="J29" s="193" t="s">
        <v>1051</v>
      </c>
      <c r="K29" s="192">
        <v>2</v>
      </c>
      <c r="L29" s="191" t="s">
        <v>116</v>
      </c>
      <c r="M29" s="193" t="s">
        <v>767</v>
      </c>
      <c r="N29" s="194">
        <f>((s_EF_far_c*s_AAF_far_c*s_IRAP_far_c)+(s_EF_far_a*s_AAF_far_a*s_IRAP_far_a))</f>
        <v>3025</v>
      </c>
      <c r="O29" s="191" t="s">
        <v>213</v>
      </c>
      <c r="P29" s="191" t="s">
        <v>1267</v>
      </c>
      <c r="Q29" s="192">
        <v>55</v>
      </c>
      <c r="R29" s="191" t="s">
        <v>47</v>
      </c>
    </row>
    <row r="30" spans="1:18" ht="18" x14ac:dyDescent="0.35">
      <c r="A30" s="215" t="s">
        <v>264</v>
      </c>
      <c r="B30" s="217">
        <v>0.25</v>
      </c>
      <c r="C30" t="s">
        <v>1289</v>
      </c>
      <c r="D30" t="s">
        <v>914</v>
      </c>
      <c r="E30" s="192">
        <v>10</v>
      </c>
      <c r="F30" s="191" t="s">
        <v>50</v>
      </c>
      <c r="G30" s="191" t="s">
        <v>1014</v>
      </c>
      <c r="H30" s="192">
        <v>2</v>
      </c>
      <c r="I30" s="191" t="s">
        <v>88</v>
      </c>
      <c r="J30" s="191"/>
      <c r="K30" s="192"/>
      <c r="L30" s="201"/>
      <c r="M30" s="193" t="s">
        <v>768</v>
      </c>
      <c r="N30" s="192">
        <v>55</v>
      </c>
      <c r="O30" s="191" t="s">
        <v>47</v>
      </c>
      <c r="P30" s="193" t="s">
        <v>1268</v>
      </c>
      <c r="Q30" s="194">
        <f>((s_EF_far_c*s_AAF_far_c*s_IRSF_far_c)+(s_EF_far_a*s_AAF_far_a*s_IRSF_far_a))</f>
        <v>3025</v>
      </c>
      <c r="R30" s="191" t="s">
        <v>213</v>
      </c>
    </row>
    <row r="31" spans="1:18" ht="18" x14ac:dyDescent="0.35">
      <c r="A31" t="s">
        <v>265</v>
      </c>
      <c r="B31" s="194">
        <f>s_A_wind*EXP((((LN(s_As))-s_B_wind)^2)/s_C_wind)</f>
        <v>57.143694778447667</v>
      </c>
      <c r="C31" t="s">
        <v>1293</v>
      </c>
      <c r="D31" t="s">
        <v>915</v>
      </c>
      <c r="E31" s="192">
        <v>0.5</v>
      </c>
      <c r="G31" s="191" t="s">
        <v>1015</v>
      </c>
      <c r="H31" s="192">
        <v>2</v>
      </c>
      <c r="I31" s="191" t="s">
        <v>88</v>
      </c>
      <c r="K31" s="113"/>
      <c r="L31" s="201"/>
      <c r="M31" s="193" t="s">
        <v>769</v>
      </c>
      <c r="N31" s="192">
        <v>55</v>
      </c>
      <c r="O31" s="191" t="s">
        <v>47</v>
      </c>
      <c r="P31" s="191" t="s">
        <v>288</v>
      </c>
      <c r="Q31" s="192">
        <v>55</v>
      </c>
      <c r="R31" s="191" t="s">
        <v>47</v>
      </c>
    </row>
    <row r="32" spans="1:18" ht="18" x14ac:dyDescent="0.25">
      <c r="A32" s="215" t="s">
        <v>266</v>
      </c>
      <c r="B32" s="217">
        <v>5</v>
      </c>
      <c r="C32" s="216" t="s">
        <v>212</v>
      </c>
      <c r="D32" s="193" t="s">
        <v>916</v>
      </c>
      <c r="E32" s="192">
        <v>55</v>
      </c>
      <c r="F32" s="191" t="s">
        <v>47</v>
      </c>
      <c r="G32" s="191" t="s">
        <v>1016</v>
      </c>
      <c r="H32" s="192">
        <v>2</v>
      </c>
      <c r="I32" s="191" t="s">
        <v>89</v>
      </c>
      <c r="M32" s="193" t="s">
        <v>770</v>
      </c>
      <c r="N32" s="194">
        <f>((s_EF_far_c*s_AAF_far_c*s_IRAS_far_c)+(s_EF_far_a*s_AAF_far_a*s_IRAS_far_a))</f>
        <v>3025</v>
      </c>
      <c r="O32" s="191" t="s">
        <v>213</v>
      </c>
      <c r="P32" s="191" t="s">
        <v>289</v>
      </c>
      <c r="Q32" s="192">
        <v>55</v>
      </c>
      <c r="R32" s="191" t="s">
        <v>47</v>
      </c>
    </row>
    <row r="33" spans="1:18" ht="18" x14ac:dyDescent="0.35">
      <c r="A33" t="s">
        <v>267</v>
      </c>
      <c r="B33" s="218">
        <v>15.0235</v>
      </c>
      <c r="C33" s="216"/>
      <c r="D33" s="193" t="s">
        <v>917</v>
      </c>
      <c r="E33" s="192">
        <v>55</v>
      </c>
      <c r="F33" s="191" t="s">
        <v>47</v>
      </c>
      <c r="G33" s="191" t="s">
        <v>1017</v>
      </c>
      <c r="H33" s="192">
        <v>2</v>
      </c>
      <c r="I33" s="191" t="s">
        <v>89</v>
      </c>
      <c r="M33" s="193" t="s">
        <v>771</v>
      </c>
      <c r="N33" s="192">
        <v>55</v>
      </c>
      <c r="O33" s="191" t="s">
        <v>47</v>
      </c>
      <c r="P33" s="193" t="s">
        <v>290</v>
      </c>
      <c r="Q33" s="194">
        <f>((s_EF_far_c*s_AAF_far_c*s_IRSW_far_c)+(s_EF_far_a*s_AAF_far_a*s_IRSW_far_a))</f>
        <v>3025</v>
      </c>
      <c r="R33" s="191" t="s">
        <v>213</v>
      </c>
    </row>
    <row r="34" spans="1:18" ht="18" x14ac:dyDescent="0.35">
      <c r="A34" t="s">
        <v>268</v>
      </c>
      <c r="B34" s="218">
        <v>18.252600000000001</v>
      </c>
      <c r="C34" s="216"/>
      <c r="D34" s="193" t="s">
        <v>918</v>
      </c>
      <c r="E34" s="194">
        <f>((s_EF_res_c*s_AAF_res_c*s_IRAP_res_c)+(s_EF_res_a*s_AAF_res_a*s_IRAP_res_a))</f>
        <v>3025</v>
      </c>
      <c r="F34" s="191" t="s">
        <v>213</v>
      </c>
      <c r="G34" s="191" t="s">
        <v>1018</v>
      </c>
      <c r="H34" s="192">
        <v>2</v>
      </c>
      <c r="I34" s="191" t="s">
        <v>46</v>
      </c>
      <c r="M34" s="193" t="s">
        <v>772</v>
      </c>
      <c r="N34" s="192">
        <v>55</v>
      </c>
      <c r="O34" s="191" t="s">
        <v>47</v>
      </c>
      <c r="P34" s="193" t="s">
        <v>1097</v>
      </c>
      <c r="Q34" s="192">
        <v>55</v>
      </c>
      <c r="R34" s="191" t="s">
        <v>47</v>
      </c>
    </row>
    <row r="35" spans="1:18" ht="18" x14ac:dyDescent="0.35">
      <c r="A35" t="s">
        <v>269</v>
      </c>
      <c r="B35" s="218">
        <v>207.33869999999999</v>
      </c>
      <c r="C35" s="216"/>
      <c r="D35" s="193" t="s">
        <v>919</v>
      </c>
      <c r="E35" s="192">
        <v>55</v>
      </c>
      <c r="F35" s="191" t="s">
        <v>47</v>
      </c>
      <c r="G35" s="191" t="s">
        <v>1019</v>
      </c>
      <c r="H35" s="192">
        <v>2</v>
      </c>
      <c r="I35" s="191" t="s">
        <v>88</v>
      </c>
      <c r="M35" s="193" t="s">
        <v>773</v>
      </c>
      <c r="N35" s="194">
        <f>((s_EF_far_c*s_AAF_far_c*s_IRBT_far_c)+(s_EF_far_a*s_AAF_far_a*s_IRBT_far_a))</f>
        <v>3025</v>
      </c>
      <c r="O35" s="191" t="s">
        <v>213</v>
      </c>
      <c r="P35" s="193" t="s">
        <v>1098</v>
      </c>
      <c r="Q35" s="192">
        <v>55</v>
      </c>
      <c r="R35" s="191" t="s">
        <v>47</v>
      </c>
    </row>
    <row r="36" spans="1:18" ht="18" x14ac:dyDescent="0.25">
      <c r="A36" s="216"/>
      <c r="B36" s="217">
        <v>3.5999999999999997E-2</v>
      </c>
      <c r="C36" t="s">
        <v>1294</v>
      </c>
      <c r="D36" s="193" t="s">
        <v>920</v>
      </c>
      <c r="E36" s="192">
        <v>55</v>
      </c>
      <c r="F36" s="191" t="s">
        <v>47</v>
      </c>
      <c r="G36" s="191" t="s">
        <v>1020</v>
      </c>
      <c r="H36" s="192">
        <v>2</v>
      </c>
      <c r="I36" s="191" t="s">
        <v>88</v>
      </c>
      <c r="M36" s="193" t="s">
        <v>774</v>
      </c>
      <c r="N36" s="192">
        <v>55</v>
      </c>
      <c r="O36" s="191" t="s">
        <v>47</v>
      </c>
      <c r="P36" s="193" t="s">
        <v>1099</v>
      </c>
      <c r="Q36" s="194">
        <f>((s_EF_far_c*s_AAF_far_c*s_IRSH_far_c)+(s_EF_far_a*s_AAF_far_a*s_IRSH_far_a))</f>
        <v>3025</v>
      </c>
      <c r="R36" s="191" t="s">
        <v>213</v>
      </c>
    </row>
    <row r="37" spans="1:18" ht="18" x14ac:dyDescent="0.25">
      <c r="A37" t="s">
        <v>1052</v>
      </c>
      <c r="B37" s="219">
        <v>5</v>
      </c>
      <c r="C37" t="s">
        <v>1295</v>
      </c>
      <c r="D37" s="193" t="s">
        <v>921</v>
      </c>
      <c r="E37" s="194">
        <f>((s_EF_res_c*s_AAF_res_c*s_IRAS_res_c)+(s_EF_res_a*s_AAF_res_a*s_IRAS_res_a))</f>
        <v>3025</v>
      </c>
      <c r="F37" s="191" t="s">
        <v>213</v>
      </c>
      <c r="G37" s="191" t="s">
        <v>1021</v>
      </c>
      <c r="H37" s="192">
        <v>2</v>
      </c>
      <c r="I37" s="191" t="s">
        <v>89</v>
      </c>
      <c r="M37" s="193" t="s">
        <v>775</v>
      </c>
      <c r="N37" s="192">
        <v>55</v>
      </c>
      <c r="O37" s="191" t="s">
        <v>47</v>
      </c>
      <c r="P37" s="193" t="s">
        <v>864</v>
      </c>
      <c r="Q37" s="192">
        <v>55</v>
      </c>
      <c r="R37" s="191" t="s">
        <v>47</v>
      </c>
    </row>
    <row r="38" spans="1:18" ht="18" x14ac:dyDescent="0.25">
      <c r="A38" t="s">
        <v>1312</v>
      </c>
      <c r="B38" s="229">
        <f>(1+(s_K_s2gw*s_i_s2gw*s_dm)/(s_ls2gw*s_L_s2gw))</f>
        <v>7.2815689567914177</v>
      </c>
      <c r="C38" t="s">
        <v>89</v>
      </c>
      <c r="D38" s="193" t="s">
        <v>922</v>
      </c>
      <c r="E38" s="192">
        <v>55</v>
      </c>
      <c r="F38" s="191" t="s">
        <v>47</v>
      </c>
      <c r="G38" s="191" t="s">
        <v>1022</v>
      </c>
      <c r="H38" s="192">
        <v>2</v>
      </c>
      <c r="I38" s="191" t="s">
        <v>89</v>
      </c>
      <c r="M38" s="193" t="s">
        <v>776</v>
      </c>
      <c r="N38" s="194">
        <f>((s_EF_far_c*s_AAF_far_c*s_IRBE_far_c)+(s_EF_far_a*s_AAF_far_a*s_IRBE_far_a))</f>
        <v>3025</v>
      </c>
      <c r="O38" s="191" t="s">
        <v>213</v>
      </c>
      <c r="P38" s="193" t="s">
        <v>865</v>
      </c>
      <c r="Q38" s="192">
        <v>55</v>
      </c>
      <c r="R38" s="191" t="s">
        <v>47</v>
      </c>
    </row>
    <row r="39" spans="1:18" ht="18" x14ac:dyDescent="0.25">
      <c r="D39" s="193" t="s">
        <v>923</v>
      </c>
      <c r="E39" s="192">
        <v>55</v>
      </c>
      <c r="F39" s="191" t="s">
        <v>47</v>
      </c>
      <c r="G39" s="191" t="s">
        <v>1023</v>
      </c>
      <c r="H39" s="192">
        <v>2</v>
      </c>
      <c r="I39" s="191" t="s">
        <v>46</v>
      </c>
      <c r="M39" s="193" t="s">
        <v>777</v>
      </c>
      <c r="N39" s="192">
        <v>55</v>
      </c>
      <c r="O39" s="191" t="s">
        <v>47</v>
      </c>
      <c r="P39" s="193" t="s">
        <v>866</v>
      </c>
      <c r="Q39" s="194">
        <f>((s_EF_far_c*s_AAF_far_c*s_IRGO_far_c)+(s_EF_far_a*s_AAF_far_a*s_IRGO_far_a))</f>
        <v>3025</v>
      </c>
      <c r="R39" s="191" t="s">
        <v>213</v>
      </c>
    </row>
    <row r="40" spans="1:18" ht="18" x14ac:dyDescent="0.25">
      <c r="D40" s="193" t="s">
        <v>924</v>
      </c>
      <c r="E40" s="194">
        <f>((s_EF_res_c*s_AAF_res_c*s_IRBT_res_c)+(s_EF_res_a*s_AAF_res_a*s_IRBT_res_a))</f>
        <v>3025</v>
      </c>
      <c r="F40" s="191" t="s">
        <v>213</v>
      </c>
      <c r="G40" s="191" t="s">
        <v>1024</v>
      </c>
      <c r="H40" s="192">
        <v>0.5</v>
      </c>
      <c r="I40" s="191" t="s">
        <v>1289</v>
      </c>
      <c r="M40" s="193" t="s">
        <v>778</v>
      </c>
      <c r="N40" s="192">
        <v>55</v>
      </c>
      <c r="O40" s="191" t="s">
        <v>47</v>
      </c>
      <c r="P40" s="193" t="s">
        <v>867</v>
      </c>
      <c r="Q40" s="192">
        <v>55</v>
      </c>
      <c r="R40" s="191" t="s">
        <v>47</v>
      </c>
    </row>
    <row r="41" spans="1:18" ht="18" x14ac:dyDescent="0.25">
      <c r="A41" s="216"/>
      <c r="B41" s="220"/>
      <c r="C41" s="216"/>
      <c r="D41" s="193" t="s">
        <v>925</v>
      </c>
      <c r="E41" s="192">
        <v>55</v>
      </c>
      <c r="F41" s="191" t="s">
        <v>47</v>
      </c>
      <c r="G41" s="191" t="s">
        <v>1025</v>
      </c>
      <c r="H41" s="192">
        <v>0.5</v>
      </c>
      <c r="I41" s="191" t="s">
        <v>1289</v>
      </c>
      <c r="M41" s="193" t="s">
        <v>779</v>
      </c>
      <c r="N41" s="194">
        <f>((s_EF_far_c*s_AAF_far_c*s_IRBR_far_c)+(s_EF_far_a*s_AAF_far_a*s_IRBR_far_a))</f>
        <v>3025</v>
      </c>
      <c r="O41" s="191" t="s">
        <v>213</v>
      </c>
      <c r="P41" s="193" t="s">
        <v>868</v>
      </c>
      <c r="Q41" s="192">
        <v>55</v>
      </c>
      <c r="R41" s="191" t="s">
        <v>47</v>
      </c>
    </row>
    <row r="42" spans="1:18" ht="18" x14ac:dyDescent="0.25">
      <c r="B42" s="220"/>
      <c r="C42" s="216"/>
      <c r="D42" s="193" t="s">
        <v>926</v>
      </c>
      <c r="E42" s="192">
        <v>55</v>
      </c>
      <c r="F42" s="191" t="s">
        <v>47</v>
      </c>
      <c r="M42" s="193" t="s">
        <v>780</v>
      </c>
      <c r="N42" s="192">
        <v>55</v>
      </c>
      <c r="O42" s="191" t="s">
        <v>47</v>
      </c>
      <c r="P42" s="193" t="s">
        <v>869</v>
      </c>
      <c r="Q42" s="194">
        <f>((s_EF_far_c*s_AAF_far_c*s_IRSM_far_c)+(s_EF_far_a*s_AAF_far_a*s_IRSM_far_a))</f>
        <v>3025</v>
      </c>
      <c r="R42" s="191" t="s">
        <v>213</v>
      </c>
    </row>
    <row r="43" spans="1:18" ht="18" x14ac:dyDescent="0.25">
      <c r="A43" s="216"/>
      <c r="B43" s="220"/>
      <c r="C43" s="216"/>
      <c r="D43" s="193" t="s">
        <v>927</v>
      </c>
      <c r="E43" s="194">
        <f>((s_EF_res_c*s_AAF_res_c*s_IRBE_res_c)+(s_EF_res_a*s_AAF_res_a*s_IRBE_res_a))</f>
        <v>3025</v>
      </c>
      <c r="F43" s="191" t="s">
        <v>213</v>
      </c>
      <c r="M43" s="193" t="s">
        <v>781</v>
      </c>
      <c r="N43" s="192">
        <v>55</v>
      </c>
      <c r="O43" s="191" t="s">
        <v>47</v>
      </c>
      <c r="P43" s="193" t="s">
        <v>870</v>
      </c>
      <c r="Q43" s="192">
        <v>55</v>
      </c>
      <c r="R43" s="191" t="s">
        <v>47</v>
      </c>
    </row>
    <row r="44" spans="1:18" ht="18" x14ac:dyDescent="0.25">
      <c r="A44" s="216"/>
      <c r="B44" s="220"/>
      <c r="C44" s="216"/>
      <c r="D44" s="193" t="s">
        <v>928</v>
      </c>
      <c r="E44" s="192">
        <v>55</v>
      </c>
      <c r="F44" s="191" t="s">
        <v>47</v>
      </c>
      <c r="M44" s="193" t="s">
        <v>782</v>
      </c>
      <c r="N44" s="194">
        <f>((s_EF_far_c*s_AAF_far_c*s_IRCB_far_c)+(s_EF_far_a*s_AAF_far_a*s_IRCB_far_a))</f>
        <v>3025</v>
      </c>
      <c r="O44" s="191" t="s">
        <v>213</v>
      </c>
      <c r="P44" s="193" t="s">
        <v>871</v>
      </c>
      <c r="Q44" s="192">
        <v>55</v>
      </c>
      <c r="R44" s="191" t="s">
        <v>47</v>
      </c>
    </row>
    <row r="45" spans="1:18" ht="18" x14ac:dyDescent="0.25">
      <c r="A45" s="216"/>
      <c r="B45" s="220"/>
      <c r="C45" s="216"/>
      <c r="D45" s="193" t="s">
        <v>929</v>
      </c>
      <c r="E45" s="192">
        <v>55</v>
      </c>
      <c r="F45" s="191" t="s">
        <v>47</v>
      </c>
      <c r="M45" s="193" t="s">
        <v>783</v>
      </c>
      <c r="N45" s="192">
        <v>55</v>
      </c>
      <c r="O45" s="191" t="s">
        <v>47</v>
      </c>
      <c r="P45" s="193" t="s">
        <v>872</v>
      </c>
      <c r="Q45" s="194">
        <f>((s_EF_far_c*s_AAF_far_c*s_IRGM_far_c)+(s_EF_far_a*s_AAF_far_a*s_IRGM_far_a))</f>
        <v>3025</v>
      </c>
      <c r="R45" s="191" t="s">
        <v>213</v>
      </c>
    </row>
    <row r="46" spans="1:18" ht="18" x14ac:dyDescent="0.25">
      <c r="A46" s="216"/>
      <c r="B46" s="221"/>
      <c r="C46" s="216"/>
      <c r="D46" s="193" t="s">
        <v>930</v>
      </c>
      <c r="E46" s="194">
        <f>((s_EF_res_c*s_AAF_res_c*s_IRBR_res_c)+(s_EF_res_a*s_AAF_res_a*s_IRBR_res_a))</f>
        <v>3025</v>
      </c>
      <c r="F46" s="191" t="s">
        <v>213</v>
      </c>
      <c r="M46" s="193" t="s">
        <v>784</v>
      </c>
      <c r="N46" s="192">
        <v>55</v>
      </c>
      <c r="O46" s="191" t="s">
        <v>47</v>
      </c>
      <c r="P46" s="191" t="s">
        <v>297</v>
      </c>
      <c r="Q46" s="192">
        <v>5</v>
      </c>
      <c r="R46" s="191" t="s">
        <v>46</v>
      </c>
    </row>
    <row r="47" spans="1:18" ht="18" x14ac:dyDescent="0.25">
      <c r="A47" s="216"/>
      <c r="B47" s="220"/>
      <c r="C47" s="216"/>
      <c r="D47" s="193" t="s">
        <v>931</v>
      </c>
      <c r="E47" s="192">
        <v>55</v>
      </c>
      <c r="F47" s="191" t="s">
        <v>47</v>
      </c>
      <c r="M47" s="193" t="s">
        <v>785</v>
      </c>
      <c r="N47" s="194">
        <f>((s_EF_far_c*s_AAF_far_c*s_IRCR_far_c)+(s_EF_far_a*s_AAF_far_a*s_IRCR_far_a))</f>
        <v>3025</v>
      </c>
      <c r="O47" s="191" t="s">
        <v>213</v>
      </c>
      <c r="P47" s="191" t="s">
        <v>873</v>
      </c>
      <c r="Q47" s="218">
        <v>1.03</v>
      </c>
      <c r="R47" s="191" t="s">
        <v>127</v>
      </c>
    </row>
    <row r="48" spans="1:18" ht="18" x14ac:dyDescent="0.25">
      <c r="A48" s="216"/>
      <c r="B48" s="220"/>
      <c r="C48" s="216"/>
      <c r="D48" s="193" t="s">
        <v>932</v>
      </c>
      <c r="E48" s="192">
        <v>55</v>
      </c>
      <c r="F48" s="191" t="s">
        <v>47</v>
      </c>
      <c r="M48" s="193" t="s">
        <v>786</v>
      </c>
      <c r="N48" s="192">
        <v>55</v>
      </c>
      <c r="O48" s="191" t="s">
        <v>47</v>
      </c>
      <c r="P48" s="191" t="s">
        <v>298</v>
      </c>
      <c r="Q48" s="192">
        <v>5</v>
      </c>
      <c r="R48" s="191" t="s">
        <v>88</v>
      </c>
    </row>
    <row r="49" spans="1:18" ht="18" x14ac:dyDescent="0.25">
      <c r="A49" s="216"/>
      <c r="B49" s="220"/>
      <c r="C49" s="216"/>
      <c r="D49" s="193" t="s">
        <v>933</v>
      </c>
      <c r="E49" s="194">
        <f>((s_EF_res_c*s_AAF_res_c*s_IRCB_res_c)+(s_EF_res_a*s_AAF_res_a*s_IRCB_res_a))</f>
        <v>3025</v>
      </c>
      <c r="F49" s="191" t="s">
        <v>213</v>
      </c>
      <c r="M49" s="193" t="s">
        <v>787</v>
      </c>
      <c r="N49" s="192">
        <v>55</v>
      </c>
      <c r="O49" s="191" t="s">
        <v>47</v>
      </c>
      <c r="P49" s="191" t="s">
        <v>299</v>
      </c>
      <c r="Q49" s="192">
        <v>5</v>
      </c>
      <c r="R49" s="191" t="s">
        <v>88</v>
      </c>
    </row>
    <row r="50" spans="1:18" ht="18" x14ac:dyDescent="0.25">
      <c r="A50" s="216"/>
      <c r="B50" s="222"/>
      <c r="C50" s="216"/>
      <c r="D50" s="193" t="s">
        <v>934</v>
      </c>
      <c r="E50" s="192">
        <v>55</v>
      </c>
      <c r="F50" s="191" t="s">
        <v>47</v>
      </c>
      <c r="M50" s="193" t="s">
        <v>788</v>
      </c>
      <c r="N50" s="194">
        <f>((s_EF_far_c*s_AAF_far_c*s_IRCG_far_c)+(s_EF_far_a*s_AAF_far_a*s_IRCG_far_a))</f>
        <v>3025</v>
      </c>
      <c r="O50" s="191" t="s">
        <v>213</v>
      </c>
      <c r="P50" s="191" t="s">
        <v>300</v>
      </c>
      <c r="Q50" s="192">
        <v>5</v>
      </c>
      <c r="R50" s="191" t="s">
        <v>1289</v>
      </c>
    </row>
    <row r="51" spans="1:18" ht="18" x14ac:dyDescent="0.25">
      <c r="A51" s="216"/>
      <c r="B51" s="223"/>
      <c r="C51" s="216"/>
      <c r="D51" s="193" t="s">
        <v>935</v>
      </c>
      <c r="E51" s="192">
        <v>55</v>
      </c>
      <c r="F51" s="191" t="s">
        <v>47</v>
      </c>
      <c r="M51" s="193" t="s">
        <v>789</v>
      </c>
      <c r="N51" s="192">
        <v>55</v>
      </c>
      <c r="O51" s="191" t="s">
        <v>47</v>
      </c>
      <c r="P51" s="191" t="s">
        <v>301</v>
      </c>
      <c r="Q51" s="192">
        <v>5</v>
      </c>
      <c r="R51" s="191" t="s">
        <v>1289</v>
      </c>
    </row>
    <row r="52" spans="1:18" ht="18" x14ac:dyDescent="0.25">
      <c r="A52" s="216"/>
      <c r="B52" s="223"/>
      <c r="C52" s="216"/>
      <c r="D52" s="193" t="s">
        <v>936</v>
      </c>
      <c r="E52" s="194">
        <f>((s_EF_res_c*s_AAF_res_c*s_IRCR_res_c)+(s_EF_res_a*s_AAF_res_a*s_IRCR_res_a))</f>
        <v>3025</v>
      </c>
      <c r="F52" s="191" t="s">
        <v>213</v>
      </c>
      <c r="M52" s="193" t="s">
        <v>790</v>
      </c>
      <c r="N52" s="192">
        <v>55</v>
      </c>
      <c r="O52" s="191" t="s">
        <v>47</v>
      </c>
      <c r="P52" s="191" t="s">
        <v>302</v>
      </c>
      <c r="Q52" s="192">
        <v>5</v>
      </c>
      <c r="R52" s="191" t="s">
        <v>46</v>
      </c>
    </row>
    <row r="53" spans="1:18" ht="18" x14ac:dyDescent="0.25">
      <c r="A53" s="216"/>
      <c r="B53" s="223"/>
      <c r="C53" s="216"/>
      <c r="D53" s="193" t="s">
        <v>937</v>
      </c>
      <c r="E53" s="192">
        <v>55</v>
      </c>
      <c r="F53" s="191" t="s">
        <v>47</v>
      </c>
      <c r="M53" s="193" t="s">
        <v>791</v>
      </c>
      <c r="N53" s="194">
        <f>((s_EF_far_c*s_AAF_far_c*s_IRCI_far_c)+(s_EF_far_a*s_AAF_far_a*s_IRCI_far_a))</f>
        <v>3025</v>
      </c>
      <c r="O53" s="191" t="s">
        <v>213</v>
      </c>
      <c r="P53" s="191" t="s">
        <v>303</v>
      </c>
      <c r="Q53" s="192">
        <v>5</v>
      </c>
      <c r="R53" s="191" t="s">
        <v>88</v>
      </c>
    </row>
    <row r="54" spans="1:18" ht="18" x14ac:dyDescent="0.25">
      <c r="A54" s="216"/>
      <c r="B54" s="223"/>
      <c r="C54" s="216"/>
      <c r="D54" s="193" t="s">
        <v>938</v>
      </c>
      <c r="E54" s="192">
        <v>55</v>
      </c>
      <c r="F54" s="191" t="s">
        <v>47</v>
      </c>
      <c r="M54" s="193" t="s">
        <v>792</v>
      </c>
      <c r="N54" s="192">
        <v>55</v>
      </c>
      <c r="O54" s="191" t="s">
        <v>47</v>
      </c>
      <c r="P54" s="191" t="s">
        <v>304</v>
      </c>
      <c r="Q54" s="192">
        <v>5</v>
      </c>
      <c r="R54" s="191" t="s">
        <v>88</v>
      </c>
    </row>
    <row r="55" spans="1:18" ht="18" x14ac:dyDescent="0.25">
      <c r="A55" s="216"/>
      <c r="B55" s="222"/>
      <c r="C55" s="216"/>
      <c r="D55" s="193" t="s">
        <v>939</v>
      </c>
      <c r="E55" s="194">
        <f>((s_EF_res_c*s_AAF_res_c*s_IRCG_res_c)+(s_EF_res_a*s_AAF_res_a*s_IRCG_res_a))</f>
        <v>3025</v>
      </c>
      <c r="F55" s="191" t="s">
        <v>213</v>
      </c>
      <c r="M55" s="193" t="s">
        <v>793</v>
      </c>
      <c r="N55" s="192">
        <v>55</v>
      </c>
      <c r="O55" s="191" t="s">
        <v>47</v>
      </c>
      <c r="P55" s="191" t="s">
        <v>305</v>
      </c>
      <c r="Q55" s="192">
        <v>5</v>
      </c>
      <c r="R55" s="191" t="s">
        <v>1289</v>
      </c>
    </row>
    <row r="56" spans="1:18" ht="18" x14ac:dyDescent="0.25">
      <c r="A56" s="216"/>
      <c r="B56" s="222"/>
      <c r="C56" s="216"/>
      <c r="D56" s="193" t="s">
        <v>940</v>
      </c>
      <c r="E56" s="192">
        <v>55</v>
      </c>
      <c r="F56" s="191" t="s">
        <v>47</v>
      </c>
      <c r="M56" s="193" t="s">
        <v>794</v>
      </c>
      <c r="N56" s="194">
        <f>((s_EF_far_c*s_AAF_far_c*s_IRCO_far_c)+(s_EF_far_a*s_AAF_far_a*s_IRCO_far_a))</f>
        <v>3025</v>
      </c>
      <c r="O56" s="191" t="s">
        <v>213</v>
      </c>
      <c r="P56" s="191" t="s">
        <v>306</v>
      </c>
      <c r="Q56" s="192">
        <v>5</v>
      </c>
      <c r="R56" s="191" t="s">
        <v>1289</v>
      </c>
    </row>
    <row r="57" spans="1:18" ht="18" x14ac:dyDescent="0.25">
      <c r="A57" s="216"/>
      <c r="B57" s="223"/>
      <c r="C57" s="216"/>
      <c r="D57" s="193" t="s">
        <v>941</v>
      </c>
      <c r="E57" s="192">
        <v>55</v>
      </c>
      <c r="F57" s="191" t="s">
        <v>47</v>
      </c>
      <c r="M57" s="193" t="s">
        <v>795</v>
      </c>
      <c r="N57" s="192">
        <v>55</v>
      </c>
      <c r="O57" s="191" t="s">
        <v>47</v>
      </c>
      <c r="P57" s="191" t="s">
        <v>307</v>
      </c>
      <c r="Q57" s="192">
        <v>5</v>
      </c>
      <c r="R57" s="191" t="s">
        <v>46</v>
      </c>
    </row>
    <row r="58" spans="1:18" ht="18" x14ac:dyDescent="0.25">
      <c r="A58" s="216"/>
      <c r="B58" s="223"/>
      <c r="C58" s="216"/>
      <c r="D58" s="193" t="s">
        <v>942</v>
      </c>
      <c r="E58" s="194">
        <f>((s_EF_res_c*s_AAF_res_c*s_IRCI_res_c)+(s_EF_res_a*s_AAF_res_a*s_IRCI_res_a))</f>
        <v>3025</v>
      </c>
      <c r="F58" s="191" t="s">
        <v>213</v>
      </c>
      <c r="M58" s="193" t="s">
        <v>796</v>
      </c>
      <c r="N58" s="192">
        <v>55</v>
      </c>
      <c r="O58" s="191" t="s">
        <v>47</v>
      </c>
      <c r="P58" s="191" t="s">
        <v>308</v>
      </c>
      <c r="Q58" s="192">
        <v>5</v>
      </c>
      <c r="R58" s="191" t="s">
        <v>88</v>
      </c>
    </row>
    <row r="59" spans="1:18" ht="18" x14ac:dyDescent="0.25">
      <c r="A59" s="216"/>
      <c r="B59" s="223"/>
      <c r="C59" s="216"/>
      <c r="D59" s="193" t="s">
        <v>943</v>
      </c>
      <c r="E59" s="192">
        <v>55</v>
      </c>
      <c r="F59" s="191" t="s">
        <v>47</v>
      </c>
      <c r="M59" s="193" t="s">
        <v>797</v>
      </c>
      <c r="N59" s="194">
        <f>((s_EF_far_c*s_AAF_far_c*s_IRCU_far_c)+(s_EF_far_a*s_AAF_far_a*s_IRCU_far_a))</f>
        <v>3025</v>
      </c>
      <c r="O59" s="191" t="s">
        <v>213</v>
      </c>
      <c r="P59" s="191" t="s">
        <v>309</v>
      </c>
      <c r="Q59" s="192">
        <v>5</v>
      </c>
      <c r="R59" s="191" t="s">
        <v>88</v>
      </c>
    </row>
    <row r="60" spans="1:18" ht="18" x14ac:dyDescent="0.25">
      <c r="A60" s="216"/>
      <c r="B60" s="224"/>
      <c r="C60" s="216"/>
      <c r="D60" s="193" t="s">
        <v>944</v>
      </c>
      <c r="E60" s="192">
        <v>55</v>
      </c>
      <c r="F60" s="191" t="s">
        <v>47</v>
      </c>
      <c r="M60" s="193" t="s">
        <v>798</v>
      </c>
      <c r="N60" s="192">
        <v>55</v>
      </c>
      <c r="O60" s="191" t="s">
        <v>47</v>
      </c>
      <c r="P60" s="191" t="s">
        <v>310</v>
      </c>
      <c r="Q60" s="192">
        <v>5</v>
      </c>
      <c r="R60" s="191" t="s">
        <v>1289</v>
      </c>
    </row>
    <row r="61" spans="1:18" ht="18" x14ac:dyDescent="0.25">
      <c r="A61" s="216"/>
      <c r="B61" s="224"/>
      <c r="C61" s="216"/>
      <c r="D61" s="193" t="s">
        <v>945</v>
      </c>
      <c r="E61" s="194">
        <f>((s_EF_res_c*s_AAF_res_c*s_IRCO_res_c)+(s_EF_res_a*s_AAF_res_a*s_IRCO_res_a))</f>
        <v>3025</v>
      </c>
      <c r="F61" s="191" t="s">
        <v>213</v>
      </c>
      <c r="M61" s="193" t="s">
        <v>799</v>
      </c>
      <c r="N61" s="192">
        <v>55</v>
      </c>
      <c r="O61" s="191" t="s">
        <v>47</v>
      </c>
      <c r="P61" s="191" t="s">
        <v>311</v>
      </c>
      <c r="Q61" s="192">
        <v>5</v>
      </c>
      <c r="R61" s="191" t="s">
        <v>1289</v>
      </c>
    </row>
    <row r="62" spans="1:18" ht="18" x14ac:dyDescent="0.25">
      <c r="A62" s="216"/>
      <c r="B62" s="224"/>
      <c r="C62" s="216"/>
      <c r="D62" s="193" t="s">
        <v>946</v>
      </c>
      <c r="E62" s="192">
        <v>55</v>
      </c>
      <c r="F62" s="191" t="s">
        <v>47</v>
      </c>
      <c r="M62" s="193" t="s">
        <v>800</v>
      </c>
      <c r="N62" s="194">
        <f>((s_EF_far_c*s_AAF_far_c*s_IRLE_far_c)+(s_EF_far_a*s_AAF_far_a*s_IRLE_far_a))</f>
        <v>3025</v>
      </c>
      <c r="O62" s="191" t="s">
        <v>213</v>
      </c>
      <c r="P62" s="191" t="s">
        <v>312</v>
      </c>
      <c r="Q62" s="192">
        <v>5</v>
      </c>
      <c r="R62" s="191" t="s">
        <v>46</v>
      </c>
    </row>
    <row r="63" spans="1:18" ht="18" x14ac:dyDescent="0.25">
      <c r="A63" s="216"/>
      <c r="B63" s="223"/>
      <c r="C63" s="216"/>
      <c r="D63" s="193" t="s">
        <v>947</v>
      </c>
      <c r="E63" s="192">
        <v>55</v>
      </c>
      <c r="F63" s="191" t="s">
        <v>47</v>
      </c>
      <c r="M63" s="193" t="s">
        <v>801</v>
      </c>
      <c r="N63" s="192">
        <v>55</v>
      </c>
      <c r="O63" s="191" t="s">
        <v>47</v>
      </c>
      <c r="P63" s="191" t="s">
        <v>313</v>
      </c>
      <c r="Q63" s="192">
        <v>5</v>
      </c>
      <c r="R63" s="191" t="s">
        <v>88</v>
      </c>
    </row>
    <row r="64" spans="1:18" ht="18" x14ac:dyDescent="0.25">
      <c r="A64" s="216"/>
      <c r="B64" s="223"/>
      <c r="C64" s="216"/>
      <c r="D64" s="193" t="s">
        <v>948</v>
      </c>
      <c r="E64" s="194">
        <f>((s_EF_res_c*s_AAF_res_c*s_IRCU_res_c)+(s_EF_res_a*s_AAF_res_a*s_IRCU_res_a))</f>
        <v>3025</v>
      </c>
      <c r="F64" s="191" t="s">
        <v>213</v>
      </c>
      <c r="M64" s="193" t="s">
        <v>802</v>
      </c>
      <c r="N64" s="192">
        <v>55</v>
      </c>
      <c r="O64" s="191" t="s">
        <v>47</v>
      </c>
      <c r="P64" s="191" t="s">
        <v>314</v>
      </c>
      <c r="Q64" s="192">
        <v>5</v>
      </c>
      <c r="R64" s="191" t="s">
        <v>88</v>
      </c>
    </row>
    <row r="65" spans="1:18" ht="18" x14ac:dyDescent="0.25">
      <c r="A65" s="216"/>
      <c r="B65" s="223"/>
      <c r="C65" s="216"/>
      <c r="D65" s="193" t="s">
        <v>949</v>
      </c>
      <c r="E65" s="192">
        <v>55</v>
      </c>
      <c r="F65" s="191" t="s">
        <v>47</v>
      </c>
      <c r="M65" s="193" t="s">
        <v>803</v>
      </c>
      <c r="N65" s="194">
        <f>((s_EF_far_c*s_AAF_far_c*s_IRLI_far_c)+(s_EF_far_a*s_AAF_far_a*s_IRLI_far_a))</f>
        <v>3025</v>
      </c>
      <c r="O65" s="191" t="s">
        <v>213</v>
      </c>
      <c r="P65" s="191" t="s">
        <v>315</v>
      </c>
      <c r="Q65" s="192">
        <v>5</v>
      </c>
      <c r="R65" s="191" t="s">
        <v>1289</v>
      </c>
    </row>
    <row r="66" spans="1:18" ht="18" x14ac:dyDescent="0.25">
      <c r="A66" s="216"/>
      <c r="B66" s="223"/>
      <c r="C66" s="216"/>
      <c r="D66" s="193" t="s">
        <v>950</v>
      </c>
      <c r="E66" s="192">
        <v>55</v>
      </c>
      <c r="F66" s="191" t="s">
        <v>47</v>
      </c>
      <c r="M66" s="193" t="s">
        <v>804</v>
      </c>
      <c r="N66" s="192">
        <v>55</v>
      </c>
      <c r="O66" s="191" t="s">
        <v>47</v>
      </c>
      <c r="P66" s="191" t="s">
        <v>316</v>
      </c>
      <c r="Q66" s="192">
        <v>5</v>
      </c>
      <c r="R66" s="191" t="s">
        <v>1289</v>
      </c>
    </row>
    <row r="67" spans="1:18" ht="18" x14ac:dyDescent="0.25">
      <c r="A67" s="216"/>
      <c r="B67" s="223"/>
      <c r="C67" s="216"/>
      <c r="D67" s="193" t="s">
        <v>951</v>
      </c>
      <c r="E67" s="194">
        <f>((s_EF_res_c*s_AAF_res_c*s_IRLE_res_c)+(s_EF_res_a*s_AAF_res_a*s_IRLE_res_a))</f>
        <v>3025</v>
      </c>
      <c r="F67" s="191" t="s">
        <v>213</v>
      </c>
      <c r="M67" s="193" t="s">
        <v>805</v>
      </c>
      <c r="N67" s="192">
        <v>55</v>
      </c>
      <c r="O67" s="191" t="s">
        <v>47</v>
      </c>
      <c r="P67" s="191" t="s">
        <v>317</v>
      </c>
      <c r="Q67" s="192">
        <v>5</v>
      </c>
      <c r="R67" s="191" t="s">
        <v>46</v>
      </c>
    </row>
    <row r="68" spans="1:18" ht="18" x14ac:dyDescent="0.25">
      <c r="A68" s="216"/>
      <c r="B68" s="223"/>
      <c r="C68" s="216"/>
      <c r="D68" s="193" t="s">
        <v>952</v>
      </c>
      <c r="E68" s="192">
        <v>55</v>
      </c>
      <c r="F68" s="191" t="s">
        <v>47</v>
      </c>
      <c r="M68" s="193" t="s">
        <v>806</v>
      </c>
      <c r="N68" s="194">
        <f>((s_EF_far_c*s_AAF_far_c*s_IROK_far_c)+(s_EF_far_a*s_AAF_far_a*s_IROK_far_a))</f>
        <v>3025</v>
      </c>
      <c r="O68" s="191" t="s">
        <v>213</v>
      </c>
      <c r="P68" s="191" t="s">
        <v>318</v>
      </c>
      <c r="Q68" s="192">
        <v>5</v>
      </c>
      <c r="R68" s="191" t="s">
        <v>88</v>
      </c>
    </row>
    <row r="69" spans="1:18" ht="18" x14ac:dyDescent="0.25">
      <c r="A69" s="216"/>
      <c r="B69" s="225"/>
      <c r="C69" s="216"/>
      <c r="D69" s="193" t="s">
        <v>953</v>
      </c>
      <c r="E69" s="192">
        <v>55</v>
      </c>
      <c r="F69" s="191" t="s">
        <v>47</v>
      </c>
      <c r="M69" s="193" t="s">
        <v>807</v>
      </c>
      <c r="N69" s="192">
        <v>55</v>
      </c>
      <c r="O69" s="191" t="s">
        <v>47</v>
      </c>
      <c r="P69" s="191" t="s">
        <v>319</v>
      </c>
      <c r="Q69" s="192">
        <v>5</v>
      </c>
      <c r="R69" s="191" t="s">
        <v>88</v>
      </c>
    </row>
    <row r="70" spans="1:18" ht="18" x14ac:dyDescent="0.25">
      <c r="A70" s="216"/>
      <c r="B70" s="225"/>
      <c r="C70" s="216"/>
      <c r="D70" s="193" t="s">
        <v>954</v>
      </c>
      <c r="E70" s="194">
        <f>((s_EF_res_c*s_AAF_res_c*s_IRLI_res_c)+(s_EF_res_a*s_AAF_res_a*s_IRLI_res_a))</f>
        <v>3025</v>
      </c>
      <c r="F70" s="191" t="s">
        <v>213</v>
      </c>
      <c r="M70" s="193" t="s">
        <v>808</v>
      </c>
      <c r="N70" s="192">
        <v>55</v>
      </c>
      <c r="O70" s="191" t="s">
        <v>47</v>
      </c>
      <c r="P70" s="191" t="s">
        <v>320</v>
      </c>
      <c r="Q70" s="192">
        <v>5</v>
      </c>
      <c r="R70" s="191" t="s">
        <v>1289</v>
      </c>
    </row>
    <row r="71" spans="1:18" ht="18" x14ac:dyDescent="0.25">
      <c r="A71" s="216"/>
      <c r="B71" s="225"/>
      <c r="C71" s="216"/>
      <c r="D71" s="193" t="s">
        <v>955</v>
      </c>
      <c r="E71" s="192">
        <v>55</v>
      </c>
      <c r="F71" s="191" t="s">
        <v>47</v>
      </c>
      <c r="M71" s="193" t="s">
        <v>809</v>
      </c>
      <c r="N71" s="194">
        <f>((s_EF_far_c*s_AAF_far_c*s_IRON_far_c)+(s_EF_far_a*s_AAF_far_a*s_IRON_far_a))</f>
        <v>3025</v>
      </c>
      <c r="O71" s="191" t="s">
        <v>213</v>
      </c>
      <c r="P71" s="191" t="s">
        <v>321</v>
      </c>
      <c r="Q71" s="192">
        <v>5</v>
      </c>
      <c r="R71" s="191" t="s">
        <v>1289</v>
      </c>
    </row>
    <row r="72" spans="1:18" ht="18" x14ac:dyDescent="0.25">
      <c r="A72" s="216"/>
      <c r="B72" s="225"/>
      <c r="C72" s="216"/>
      <c r="D72" s="193" t="s">
        <v>956</v>
      </c>
      <c r="E72" s="192">
        <v>55</v>
      </c>
      <c r="F72" s="191" t="s">
        <v>47</v>
      </c>
      <c r="M72" s="193" t="s">
        <v>810</v>
      </c>
      <c r="N72" s="192">
        <v>55</v>
      </c>
      <c r="O72" s="191" t="s">
        <v>47</v>
      </c>
      <c r="P72" s="191" t="s">
        <v>337</v>
      </c>
      <c r="Q72" s="192">
        <v>0.5</v>
      </c>
      <c r="R72" s="201" t="s">
        <v>1296</v>
      </c>
    </row>
    <row r="73" spans="1:18" ht="18" x14ac:dyDescent="0.25">
      <c r="A73" s="216"/>
      <c r="B73" s="225"/>
      <c r="C73" s="216"/>
      <c r="D73" s="193" t="s">
        <v>957</v>
      </c>
      <c r="E73" s="194">
        <f>((s_EF_res_c*s_AAF_res_c*s_IROK_res_c)+(s_EF_res_a*s_AAF_res_a*s_IROK_res_a))</f>
        <v>3025</v>
      </c>
      <c r="F73" s="191" t="s">
        <v>213</v>
      </c>
      <c r="M73" s="193" t="s">
        <v>811</v>
      </c>
      <c r="N73" s="192">
        <v>55</v>
      </c>
      <c r="O73" s="191" t="s">
        <v>47</v>
      </c>
      <c r="P73" s="191" t="s">
        <v>359</v>
      </c>
      <c r="Q73" s="194">
        <f>s_MLF_pasture</f>
        <v>0.5</v>
      </c>
      <c r="R73" s="201" t="s">
        <v>1296</v>
      </c>
    </row>
    <row r="74" spans="1:18" ht="18" x14ac:dyDescent="0.25">
      <c r="A74" s="216"/>
      <c r="B74" s="225"/>
      <c r="C74" s="216"/>
      <c r="D74" s="193" t="s">
        <v>958</v>
      </c>
      <c r="E74" s="192">
        <v>55</v>
      </c>
      <c r="F74" s="191" t="s">
        <v>47</v>
      </c>
      <c r="M74" s="193" t="s">
        <v>812</v>
      </c>
      <c r="N74" s="194">
        <f>((s_EF_far_c*s_AAF_far_c*s_IRPC_far_c)+(s_EF_far_a*s_AAF_far_a*s_IRPC_far_a))</f>
        <v>3025</v>
      </c>
      <c r="O74" s="191" t="s">
        <v>213</v>
      </c>
      <c r="P74" s="191" t="s">
        <v>1100</v>
      </c>
      <c r="Q74" s="192">
        <v>5</v>
      </c>
      <c r="R74" s="191" t="s">
        <v>46</v>
      </c>
    </row>
    <row r="75" spans="1:18" ht="18" x14ac:dyDescent="0.25">
      <c r="A75" s="216"/>
      <c r="B75" s="225"/>
      <c r="C75" s="216"/>
      <c r="D75" s="193" t="s">
        <v>959</v>
      </c>
      <c r="E75" s="192">
        <v>55</v>
      </c>
      <c r="F75" s="191" t="s">
        <v>47</v>
      </c>
      <c r="M75" s="226" t="s">
        <v>1297</v>
      </c>
      <c r="N75" s="192">
        <v>55</v>
      </c>
      <c r="O75" s="198" t="s">
        <v>47</v>
      </c>
      <c r="P75" s="191" t="s">
        <v>1101</v>
      </c>
      <c r="Q75" s="192">
        <v>5</v>
      </c>
      <c r="R75" s="191" t="s">
        <v>88</v>
      </c>
    </row>
    <row r="76" spans="1:18" ht="18" x14ac:dyDescent="0.25">
      <c r="A76" s="216"/>
      <c r="B76" s="225"/>
      <c r="C76" s="216"/>
      <c r="D76" s="193" t="s">
        <v>960</v>
      </c>
      <c r="E76" s="194">
        <f>((s_EF_res_c*s_AAF_res_c*s_IRON_res_c)+(s_EF_res_a*s_AAF_res_a*s_IRON_res_a))</f>
        <v>3025</v>
      </c>
      <c r="F76" s="191" t="s">
        <v>213</v>
      </c>
      <c r="M76" s="226" t="s">
        <v>1298</v>
      </c>
      <c r="N76" s="192">
        <v>55</v>
      </c>
      <c r="O76" s="198" t="s">
        <v>47</v>
      </c>
      <c r="P76" s="191" t="s">
        <v>1102</v>
      </c>
      <c r="Q76" s="192">
        <v>5</v>
      </c>
      <c r="R76" s="191" t="s">
        <v>88</v>
      </c>
    </row>
    <row r="77" spans="1:18" ht="18" x14ac:dyDescent="0.25">
      <c r="A77" s="216"/>
      <c r="B77" s="225"/>
      <c r="C77" s="216"/>
      <c r="D77" s="193" t="s">
        <v>961</v>
      </c>
      <c r="E77" s="192">
        <v>55</v>
      </c>
      <c r="F77" s="191" t="s">
        <v>47</v>
      </c>
      <c r="M77" s="226" t="s">
        <v>1299</v>
      </c>
      <c r="N77" s="209">
        <f>((s_EF_far_c*s_AAF_far_c*s_IRPP_far_c)+(s_EF_far_a*s_AAF_far_a*s_IRPP_far_a))</f>
        <v>3025</v>
      </c>
      <c r="O77" s="198" t="s">
        <v>213</v>
      </c>
      <c r="P77" s="191" t="s">
        <v>1103</v>
      </c>
      <c r="Q77" s="192">
        <v>5</v>
      </c>
      <c r="R77" s="191" t="s">
        <v>1289</v>
      </c>
    </row>
    <row r="78" spans="1:18" ht="18" x14ac:dyDescent="0.25">
      <c r="A78" s="216"/>
      <c r="B78" s="225"/>
      <c r="C78" s="216"/>
      <c r="D78" s="193" t="s">
        <v>962</v>
      </c>
      <c r="E78" s="192">
        <v>55</v>
      </c>
      <c r="F78" s="191" t="s">
        <v>47</v>
      </c>
      <c r="M78" s="193" t="s">
        <v>813</v>
      </c>
      <c r="N78" s="192">
        <v>55</v>
      </c>
      <c r="O78" s="191" t="s">
        <v>47</v>
      </c>
      <c r="P78" s="191" t="s">
        <v>1104</v>
      </c>
      <c r="Q78" s="192">
        <v>5</v>
      </c>
      <c r="R78" s="191" t="s">
        <v>1289</v>
      </c>
    </row>
    <row r="79" spans="1:18" ht="18" x14ac:dyDescent="0.25">
      <c r="A79" s="216"/>
      <c r="B79" s="225"/>
      <c r="C79" s="216"/>
      <c r="D79" s="193" t="s">
        <v>963</v>
      </c>
      <c r="E79" s="194">
        <f>((s_EF_res_c*s_AAF_res_c*s_IRPC_res_c)+(s_EF_res_a*s_AAF_res_a*s_IRPC_res_a))</f>
        <v>3025</v>
      </c>
      <c r="F79" s="191" t="s">
        <v>213</v>
      </c>
      <c r="M79" s="193" t="s">
        <v>814</v>
      </c>
      <c r="N79" s="192">
        <v>55</v>
      </c>
      <c r="O79" s="191" t="s">
        <v>47</v>
      </c>
      <c r="P79" s="191" t="s">
        <v>874</v>
      </c>
      <c r="Q79" s="192">
        <v>5</v>
      </c>
      <c r="R79" s="191" t="s">
        <v>46</v>
      </c>
    </row>
    <row r="80" spans="1:18" ht="18" x14ac:dyDescent="0.25">
      <c r="A80" s="215"/>
      <c r="B80" s="223"/>
      <c r="C80" s="216"/>
      <c r="D80" s="226" t="s">
        <v>1300</v>
      </c>
      <c r="E80" s="195">
        <v>55</v>
      </c>
      <c r="F80" s="198" t="s">
        <v>47</v>
      </c>
      <c r="M80" s="193" t="s">
        <v>815</v>
      </c>
      <c r="N80" s="194">
        <f>((s_EF_far_c*s_AAF_far_c*s_IRPR_far_c)+(s_EF_far_a*s_AAF_far_a*s_IRPR_far_a))</f>
        <v>3025</v>
      </c>
      <c r="O80" s="191" t="s">
        <v>213</v>
      </c>
      <c r="P80" s="191" t="s">
        <v>875</v>
      </c>
      <c r="Q80" s="192">
        <v>5</v>
      </c>
      <c r="R80" s="191" t="s">
        <v>88</v>
      </c>
    </row>
    <row r="81" spans="1:18" ht="18" x14ac:dyDescent="0.25">
      <c r="A81" s="215"/>
      <c r="B81" s="223"/>
      <c r="C81" s="216"/>
      <c r="D81" s="226" t="s">
        <v>1301</v>
      </c>
      <c r="E81" s="195">
        <v>55</v>
      </c>
      <c r="F81" s="198" t="s">
        <v>47</v>
      </c>
      <c r="M81" s="193" t="s">
        <v>816</v>
      </c>
      <c r="N81" s="192">
        <v>55</v>
      </c>
      <c r="O81" s="191" t="s">
        <v>47</v>
      </c>
      <c r="P81" s="191" t="s">
        <v>876</v>
      </c>
      <c r="Q81" s="192">
        <v>5</v>
      </c>
      <c r="R81" s="191" t="s">
        <v>88</v>
      </c>
    </row>
    <row r="82" spans="1:18" ht="18" x14ac:dyDescent="0.25">
      <c r="A82" s="215"/>
      <c r="B82" s="223"/>
      <c r="C82" s="216"/>
      <c r="D82" s="226" t="s">
        <v>1302</v>
      </c>
      <c r="E82" s="209">
        <f>((s_EF_res_c*s_AAF_res_c*s_IRPP_res_c)+(s_EF_res_a*s_AAF_res_a*s_IRPP_res_a))</f>
        <v>3025</v>
      </c>
      <c r="F82" s="198" t="s">
        <v>213</v>
      </c>
      <c r="M82" s="193" t="s">
        <v>817</v>
      </c>
      <c r="N82" s="192">
        <v>55</v>
      </c>
      <c r="O82" s="191" t="s">
        <v>47</v>
      </c>
      <c r="P82" s="191" t="s">
        <v>877</v>
      </c>
      <c r="Q82" s="192">
        <v>5</v>
      </c>
      <c r="R82" s="191" t="s">
        <v>1289</v>
      </c>
    </row>
    <row r="83" spans="1:18" ht="18" x14ac:dyDescent="0.25">
      <c r="A83" s="215"/>
      <c r="B83" s="223"/>
      <c r="C83" s="216"/>
      <c r="D83" s="193" t="s">
        <v>964</v>
      </c>
      <c r="E83" s="192">
        <v>55</v>
      </c>
      <c r="F83" s="191" t="s">
        <v>47</v>
      </c>
      <c r="M83" s="193" t="s">
        <v>818</v>
      </c>
      <c r="N83" s="194">
        <f>((s_EF_far_c*s_AAF_far_c*s_IRPE_far_c)+(s_EF_far_a*s_AAF_far_a*s_IRPE_far_a))</f>
        <v>3025</v>
      </c>
      <c r="O83" s="191" t="s">
        <v>213</v>
      </c>
      <c r="P83" s="191" t="s">
        <v>878</v>
      </c>
      <c r="Q83" s="192">
        <v>5</v>
      </c>
      <c r="R83" s="191" t="s">
        <v>1289</v>
      </c>
    </row>
    <row r="84" spans="1:18" ht="18" x14ac:dyDescent="0.25">
      <c r="A84" s="215"/>
      <c r="B84" s="223"/>
      <c r="C84" s="216"/>
      <c r="D84" s="193" t="s">
        <v>965</v>
      </c>
      <c r="E84" s="192">
        <v>55</v>
      </c>
      <c r="F84" s="191" t="s">
        <v>47</v>
      </c>
      <c r="M84" s="193" t="s">
        <v>819</v>
      </c>
      <c r="N84" s="192">
        <v>55</v>
      </c>
      <c r="O84" s="191" t="s">
        <v>47</v>
      </c>
      <c r="P84" s="191" t="s">
        <v>879</v>
      </c>
      <c r="Q84" s="192">
        <v>5</v>
      </c>
      <c r="R84" s="191" t="s">
        <v>46</v>
      </c>
    </row>
    <row r="85" spans="1:18" ht="18" x14ac:dyDescent="0.25">
      <c r="A85" s="215"/>
      <c r="B85" s="223"/>
      <c r="C85" s="216"/>
      <c r="D85" s="193" t="s">
        <v>966</v>
      </c>
      <c r="E85" s="194">
        <f>((s_EF_res_c*s_AAF_res_c*s_IRPR_res_c)+(s_EF_res_a*s_AAF_res_a*s_IRPR_res_a))</f>
        <v>3025</v>
      </c>
      <c r="F85" s="191" t="s">
        <v>213</v>
      </c>
      <c r="M85" s="193" t="s">
        <v>820</v>
      </c>
      <c r="N85" s="192">
        <v>55</v>
      </c>
      <c r="O85" s="191" t="s">
        <v>47</v>
      </c>
      <c r="P85" s="191" t="s">
        <v>880</v>
      </c>
      <c r="Q85" s="192">
        <v>5</v>
      </c>
      <c r="R85" s="191" t="s">
        <v>88</v>
      </c>
    </row>
    <row r="86" spans="1:18" ht="18" x14ac:dyDescent="0.25">
      <c r="A86" s="215"/>
      <c r="B86" s="223"/>
      <c r="C86" s="216"/>
      <c r="D86" s="193" t="s">
        <v>967</v>
      </c>
      <c r="E86" s="192">
        <v>55</v>
      </c>
      <c r="F86" s="191" t="s">
        <v>47</v>
      </c>
      <c r="M86" s="193" t="s">
        <v>821</v>
      </c>
      <c r="N86" s="194">
        <f>((s_EF_far_c*s_AAF_far_c*s_IRPT_far_c)+(s_EF_far_a*s_AAF_far_a*s_IRPT_far_a))</f>
        <v>3025</v>
      </c>
      <c r="O86" s="191" t="s">
        <v>213</v>
      </c>
      <c r="P86" s="191" t="s">
        <v>881</v>
      </c>
      <c r="Q86" s="192">
        <v>5</v>
      </c>
      <c r="R86" s="191" t="s">
        <v>88</v>
      </c>
    </row>
    <row r="87" spans="1:18" ht="18" x14ac:dyDescent="0.25">
      <c r="A87" s="215"/>
      <c r="B87" s="223"/>
      <c r="C87" s="216"/>
      <c r="D87" s="193" t="s">
        <v>968</v>
      </c>
      <c r="E87" s="192">
        <v>55</v>
      </c>
      <c r="F87" s="191" t="s">
        <v>47</v>
      </c>
      <c r="M87" s="193" t="s">
        <v>822</v>
      </c>
      <c r="N87" s="192">
        <v>55</v>
      </c>
      <c r="O87" s="191" t="s">
        <v>47</v>
      </c>
      <c r="P87" s="191" t="s">
        <v>882</v>
      </c>
      <c r="Q87" s="192">
        <v>5</v>
      </c>
      <c r="R87" s="191" t="s">
        <v>1289</v>
      </c>
    </row>
    <row r="88" spans="1:18" ht="18" x14ac:dyDescent="0.25">
      <c r="A88" s="215"/>
      <c r="B88" s="223"/>
      <c r="C88" s="216"/>
      <c r="D88" s="193" t="s">
        <v>969</v>
      </c>
      <c r="E88" s="194">
        <f>((s_EF_res_c*s_AAF_res_c*s_IRPE_res_c)+(s_EF_res_a*s_AAF_res_a*s_IRPE_res_a))</f>
        <v>3025</v>
      </c>
      <c r="F88" s="191" t="s">
        <v>213</v>
      </c>
      <c r="M88" s="193" t="s">
        <v>823</v>
      </c>
      <c r="N88" s="192">
        <v>55</v>
      </c>
      <c r="O88" s="191" t="s">
        <v>47</v>
      </c>
      <c r="P88" s="191" t="s">
        <v>883</v>
      </c>
      <c r="Q88" s="192">
        <v>5</v>
      </c>
      <c r="R88" s="191" t="s">
        <v>1289</v>
      </c>
    </row>
    <row r="89" spans="1:18" ht="18" x14ac:dyDescent="0.25">
      <c r="A89" s="215"/>
      <c r="B89" s="223"/>
      <c r="C89" s="216"/>
      <c r="D89" s="193" t="s">
        <v>970</v>
      </c>
      <c r="E89" s="192">
        <v>55</v>
      </c>
      <c r="F89" s="191" t="s">
        <v>47</v>
      </c>
      <c r="M89" s="193" t="s">
        <v>824</v>
      </c>
      <c r="N89" s="194">
        <f>((s_EF_far_c*s_AAF_far_c*s_IRPU_far_c)+(s_EF_far_a*s_AAF_far_a*s_IRPU_far_a))</f>
        <v>3025</v>
      </c>
      <c r="O89" s="191" t="s">
        <v>213</v>
      </c>
      <c r="P89" s="191" t="s">
        <v>884</v>
      </c>
      <c r="Q89" s="192">
        <v>5</v>
      </c>
      <c r="R89" s="191" t="s">
        <v>46</v>
      </c>
    </row>
    <row r="90" spans="1:18" ht="18" x14ac:dyDescent="0.25">
      <c r="A90" s="215"/>
      <c r="B90" s="223"/>
      <c r="C90" s="216"/>
      <c r="D90" s="193" t="s">
        <v>971</v>
      </c>
      <c r="E90" s="192">
        <v>55</v>
      </c>
      <c r="F90" s="191" t="s">
        <v>47</v>
      </c>
      <c r="M90" s="193" t="s">
        <v>825</v>
      </c>
      <c r="N90" s="192">
        <v>55</v>
      </c>
      <c r="O90" s="191" t="s">
        <v>47</v>
      </c>
      <c r="P90" s="191" t="s">
        <v>885</v>
      </c>
      <c r="Q90" s="192">
        <v>5</v>
      </c>
      <c r="R90" s="191" t="s">
        <v>88</v>
      </c>
    </row>
    <row r="91" spans="1:18" ht="18" x14ac:dyDescent="0.25">
      <c r="A91" s="215"/>
      <c r="B91" s="223"/>
      <c r="C91" s="216"/>
      <c r="D91" s="193" t="s">
        <v>972</v>
      </c>
      <c r="E91" s="194">
        <f>((s_EF_res_c*s_AAF_res_c*s_IRPT_res_c)+(s_EF_res_a*s_AAF_res_a*s_IRPT_res_a))</f>
        <v>3025</v>
      </c>
      <c r="F91" s="191" t="s">
        <v>213</v>
      </c>
      <c r="K91" s="227"/>
      <c r="M91" s="193" t="s">
        <v>826</v>
      </c>
      <c r="N91" s="192">
        <v>55</v>
      </c>
      <c r="O91" s="191" t="s">
        <v>47</v>
      </c>
      <c r="P91" s="191" t="s">
        <v>886</v>
      </c>
      <c r="Q91" s="192">
        <v>5</v>
      </c>
      <c r="R91" s="191" t="s">
        <v>88</v>
      </c>
    </row>
    <row r="92" spans="1:18" ht="18" x14ac:dyDescent="0.25">
      <c r="A92" s="215"/>
      <c r="B92" s="223"/>
      <c r="C92" s="216"/>
      <c r="D92" s="193" t="s">
        <v>973</v>
      </c>
      <c r="E92" s="192">
        <v>55</v>
      </c>
      <c r="F92" s="191" t="s">
        <v>47</v>
      </c>
      <c r="K92" s="227"/>
      <c r="M92" s="193" t="s">
        <v>827</v>
      </c>
      <c r="N92" s="194">
        <f>((s_EF_far_c*s_AAF_far_c*s_IRRI_far_c)+(s_EF_far_a*s_AAF_far_a*s_IRRI_far_a))</f>
        <v>3025</v>
      </c>
      <c r="O92" s="191" t="s">
        <v>213</v>
      </c>
      <c r="P92" s="191" t="s">
        <v>887</v>
      </c>
      <c r="Q92" s="192">
        <v>5</v>
      </c>
      <c r="R92" s="191" t="s">
        <v>1289</v>
      </c>
    </row>
    <row r="93" spans="1:18" ht="18" x14ac:dyDescent="0.25">
      <c r="A93" s="215"/>
      <c r="B93" s="223"/>
      <c r="C93" s="216"/>
      <c r="D93" s="193" t="s">
        <v>974</v>
      </c>
      <c r="E93" s="192">
        <v>55</v>
      </c>
      <c r="F93" s="191" t="s">
        <v>47</v>
      </c>
      <c r="K93" s="227"/>
      <c r="M93" s="193" t="s">
        <v>828</v>
      </c>
      <c r="N93" s="192">
        <v>55</v>
      </c>
      <c r="O93" s="191" t="s">
        <v>47</v>
      </c>
      <c r="P93" s="191" t="s">
        <v>888</v>
      </c>
      <c r="Q93" s="192">
        <v>5</v>
      </c>
      <c r="R93" s="191" t="s">
        <v>1289</v>
      </c>
    </row>
    <row r="94" spans="1:18" ht="18" x14ac:dyDescent="0.25">
      <c r="A94" s="215"/>
      <c r="B94" s="223"/>
      <c r="C94" s="216"/>
      <c r="D94" s="193" t="s">
        <v>975</v>
      </c>
      <c r="E94" s="194">
        <f>((s_EF_res_c*s_AAF_res_c*s_IRPU_res_c)+(s_EF_res_a*s_AAF_res_a*s_IRPU_res_a))</f>
        <v>3025</v>
      </c>
      <c r="F94" s="191" t="s">
        <v>213</v>
      </c>
      <c r="K94" s="227"/>
      <c r="M94" s="193" t="s">
        <v>829</v>
      </c>
      <c r="N94" s="192">
        <v>55</v>
      </c>
      <c r="O94" s="191" t="s">
        <v>47</v>
      </c>
    </row>
    <row r="95" spans="1:18" ht="18" x14ac:dyDescent="0.25">
      <c r="A95" s="215"/>
      <c r="B95" s="223"/>
      <c r="C95" s="216"/>
      <c r="D95" s="193" t="s">
        <v>976</v>
      </c>
      <c r="E95" s="192">
        <v>55</v>
      </c>
      <c r="F95" s="191" t="s">
        <v>47</v>
      </c>
      <c r="K95" s="227"/>
      <c r="M95" s="193" t="s">
        <v>830</v>
      </c>
      <c r="N95" s="194">
        <f>((s_EF_far_c*s_AAF_far_c*s_IRSN_far_c)+(s_EF_far_a*s_AAF_far_a*s_IRSN_far_a))</f>
        <v>3025</v>
      </c>
      <c r="O95" s="191" t="s">
        <v>213</v>
      </c>
    </row>
    <row r="96" spans="1:18" ht="18" x14ac:dyDescent="0.25">
      <c r="A96" s="215"/>
      <c r="B96" s="223"/>
      <c r="C96" s="216"/>
      <c r="D96" s="193" t="s">
        <v>977</v>
      </c>
      <c r="E96" s="192">
        <v>55</v>
      </c>
      <c r="F96" s="191" t="s">
        <v>47</v>
      </c>
      <c r="M96" s="193" t="s">
        <v>831</v>
      </c>
      <c r="N96" s="192">
        <v>55</v>
      </c>
      <c r="O96" s="191" t="s">
        <v>47</v>
      </c>
    </row>
    <row r="97" spans="1:15" ht="18" x14ac:dyDescent="0.25">
      <c r="A97" s="215"/>
      <c r="B97" s="195"/>
      <c r="C97" s="216"/>
      <c r="D97" s="193" t="s">
        <v>978</v>
      </c>
      <c r="E97" s="194">
        <f>((s_EF_res_c*s_AAF_res_c*s_IRRI_res_c)+(s_EF_res_a*s_AAF_res_a*s_IRRI_res_a))</f>
        <v>3025</v>
      </c>
      <c r="F97" s="191" t="s">
        <v>213</v>
      </c>
      <c r="K97" s="227"/>
      <c r="M97" s="193" t="s">
        <v>832</v>
      </c>
      <c r="N97" s="192">
        <v>55</v>
      </c>
      <c r="O97" s="191" t="s">
        <v>47</v>
      </c>
    </row>
    <row r="98" spans="1:15" ht="18" x14ac:dyDescent="0.25">
      <c r="A98" s="216"/>
      <c r="B98" s="224"/>
      <c r="C98" s="216"/>
      <c r="D98" s="193" t="s">
        <v>979</v>
      </c>
      <c r="E98" s="192">
        <v>55</v>
      </c>
      <c r="F98" s="191" t="s">
        <v>47</v>
      </c>
      <c r="K98" s="227"/>
      <c r="M98" s="193" t="s">
        <v>833</v>
      </c>
      <c r="N98" s="194">
        <f>((s_EF_far_c*s_AAF_far_c*s_IRST_far_c)+(s_EF_far_a*s_AAF_far_a*s_IRST_far_a))</f>
        <v>3025</v>
      </c>
      <c r="O98" s="191" t="s">
        <v>213</v>
      </c>
    </row>
    <row r="99" spans="1:15" ht="18" x14ac:dyDescent="0.25">
      <c r="A99" s="216"/>
      <c r="B99" s="224"/>
      <c r="D99" s="193" t="s">
        <v>980</v>
      </c>
      <c r="E99" s="192">
        <v>55</v>
      </c>
      <c r="F99" s="191" t="s">
        <v>47</v>
      </c>
      <c r="M99" s="193" t="s">
        <v>834</v>
      </c>
      <c r="N99" s="192">
        <v>55</v>
      </c>
      <c r="O99" s="191" t="s">
        <v>47</v>
      </c>
    </row>
    <row r="100" spans="1:15" ht="18" x14ac:dyDescent="0.25">
      <c r="A100" s="216"/>
      <c r="B100" s="224"/>
      <c r="D100" s="193" t="s">
        <v>981</v>
      </c>
      <c r="E100" s="194">
        <f>((s_EF_res_c*s_AAF_res_c*s_IRSN_res_c)+(s_EF_res_a*s_AAF_res_a*s_IRSN_res_a))</f>
        <v>3025</v>
      </c>
      <c r="F100" s="191" t="s">
        <v>213</v>
      </c>
      <c r="M100" s="193" t="s">
        <v>835</v>
      </c>
      <c r="N100" s="192">
        <v>55</v>
      </c>
      <c r="O100" s="191" t="s">
        <v>47</v>
      </c>
    </row>
    <row r="101" spans="1:15" ht="18" x14ac:dyDescent="0.25">
      <c r="D101" s="193" t="s">
        <v>982</v>
      </c>
      <c r="E101" s="192">
        <v>55</v>
      </c>
      <c r="F101" s="191" t="s">
        <v>47</v>
      </c>
      <c r="M101" s="193" t="s">
        <v>836</v>
      </c>
      <c r="N101" s="194">
        <f>((s_EF_far_c*s_AAF_far_c*s_IRTO_far_c)+(s_EF_far_a*s_AAF_far_a*s_IRTO_far_a))</f>
        <v>3025</v>
      </c>
      <c r="O101" s="191" t="s">
        <v>213</v>
      </c>
    </row>
    <row r="102" spans="1:15" ht="18" x14ac:dyDescent="0.25">
      <c r="D102" s="193" t="s">
        <v>983</v>
      </c>
      <c r="E102" s="192">
        <v>55</v>
      </c>
      <c r="F102" s="191" t="s">
        <v>47</v>
      </c>
      <c r="M102" s="191" t="s">
        <v>837</v>
      </c>
      <c r="N102" s="199">
        <v>1.35E-2</v>
      </c>
      <c r="O102" s="201" t="s">
        <v>1303</v>
      </c>
    </row>
    <row r="103" spans="1:15" ht="18" x14ac:dyDescent="0.25">
      <c r="D103" s="193" t="s">
        <v>984</v>
      </c>
      <c r="E103" s="194">
        <f>((s_EF_res_c*s_AAF_res_c*s_IRST_res_c)+(s_EF_res_a*s_AAF_res_a*s_IRST_res_a))</f>
        <v>3025</v>
      </c>
      <c r="F103" s="191" t="s">
        <v>213</v>
      </c>
      <c r="M103" s="191" t="s">
        <v>838</v>
      </c>
      <c r="N103" s="199">
        <v>1.35E-2</v>
      </c>
      <c r="O103" s="201" t="s">
        <v>1303</v>
      </c>
    </row>
    <row r="104" spans="1:15" ht="18" x14ac:dyDescent="0.25">
      <c r="D104" s="193" t="s">
        <v>985</v>
      </c>
      <c r="E104" s="192">
        <v>55</v>
      </c>
      <c r="F104" s="191" t="s">
        <v>47</v>
      </c>
      <c r="M104" s="191" t="s">
        <v>839</v>
      </c>
      <c r="N104" s="199">
        <v>1.35E-2</v>
      </c>
      <c r="O104" s="201" t="s">
        <v>1303</v>
      </c>
    </row>
    <row r="105" spans="1:15" ht="18" x14ac:dyDescent="0.25">
      <c r="D105" s="193" t="s">
        <v>986</v>
      </c>
      <c r="E105" s="192">
        <v>55</v>
      </c>
      <c r="F105" s="191" t="s">
        <v>47</v>
      </c>
      <c r="M105" s="191" t="s">
        <v>840</v>
      </c>
      <c r="N105" s="199">
        <v>1.35E-2</v>
      </c>
      <c r="O105" s="201" t="s">
        <v>1303</v>
      </c>
    </row>
    <row r="106" spans="1:15" ht="18" x14ac:dyDescent="0.25">
      <c r="D106" s="193" t="s">
        <v>987</v>
      </c>
      <c r="E106" s="194">
        <f>((s_EF_res_c*s_AAF_res_c*s_IRTO_res_c)+(s_EF_res_a*s_AAF_res_a*s_IRTO_res_a))</f>
        <v>3025</v>
      </c>
      <c r="F106" s="191" t="s">
        <v>213</v>
      </c>
      <c r="M106" s="191" t="s">
        <v>841</v>
      </c>
      <c r="N106" s="199">
        <v>1.35E-2</v>
      </c>
      <c r="O106" s="201" t="s">
        <v>1303</v>
      </c>
    </row>
    <row r="107" spans="1:15" ht="18" x14ac:dyDescent="0.25">
      <c r="M107" s="191" t="s">
        <v>842</v>
      </c>
      <c r="N107" s="199">
        <v>1.35E-2</v>
      </c>
      <c r="O107" s="201" t="s">
        <v>1303</v>
      </c>
    </row>
    <row r="108" spans="1:15" ht="18" x14ac:dyDescent="0.25">
      <c r="M108" s="191" t="s">
        <v>843</v>
      </c>
      <c r="N108" s="199">
        <v>1.35E-2</v>
      </c>
      <c r="O108" s="201" t="s">
        <v>1303</v>
      </c>
    </row>
    <row r="109" spans="1:15" ht="18" x14ac:dyDescent="0.25">
      <c r="M109" s="191" t="s">
        <v>844</v>
      </c>
      <c r="N109" s="199">
        <v>1.35E-2</v>
      </c>
      <c r="O109" s="201" t="s">
        <v>1303</v>
      </c>
    </row>
    <row r="110" spans="1:15" ht="18" x14ac:dyDescent="0.25">
      <c r="M110" s="191" t="s">
        <v>845</v>
      </c>
      <c r="N110" s="199">
        <v>1.35E-2</v>
      </c>
      <c r="O110" s="201" t="s">
        <v>1303</v>
      </c>
    </row>
    <row r="111" spans="1:15" ht="18" x14ac:dyDescent="0.25">
      <c r="M111" s="191" t="s">
        <v>846</v>
      </c>
      <c r="N111" s="199">
        <v>1.35E-2</v>
      </c>
      <c r="O111" s="201" t="s">
        <v>1303</v>
      </c>
    </row>
    <row r="112" spans="1:15" ht="18" x14ac:dyDescent="0.25">
      <c r="M112" s="191" t="s">
        <v>847</v>
      </c>
      <c r="N112" s="199">
        <v>1.35E-2</v>
      </c>
      <c r="O112" s="201" t="s">
        <v>1303</v>
      </c>
    </row>
    <row r="113" spans="13:15" ht="18" x14ac:dyDescent="0.25">
      <c r="M113" s="191" t="s">
        <v>848</v>
      </c>
      <c r="N113" s="199">
        <v>1.35E-2</v>
      </c>
      <c r="O113" s="201" t="s">
        <v>1303</v>
      </c>
    </row>
    <row r="114" spans="13:15" ht="18" x14ac:dyDescent="0.25">
      <c r="M114" s="191" t="s">
        <v>849</v>
      </c>
      <c r="N114" s="199">
        <v>1.35E-2</v>
      </c>
      <c r="O114" s="201" t="s">
        <v>1303</v>
      </c>
    </row>
    <row r="115" spans="13:15" ht="18" x14ac:dyDescent="0.25">
      <c r="M115" s="191" t="s">
        <v>850</v>
      </c>
      <c r="N115" s="199">
        <v>1.35E-2</v>
      </c>
      <c r="O115" s="201" t="s">
        <v>1303</v>
      </c>
    </row>
    <row r="116" spans="13:15" ht="18" x14ac:dyDescent="0.25">
      <c r="M116" s="191" t="s">
        <v>851</v>
      </c>
      <c r="N116" s="199">
        <v>1.35E-2</v>
      </c>
      <c r="O116" s="201" t="s">
        <v>1303</v>
      </c>
    </row>
    <row r="117" spans="13:15" ht="18" x14ac:dyDescent="0.25">
      <c r="M117" s="191" t="s">
        <v>852</v>
      </c>
      <c r="N117" s="199">
        <v>1.35E-2</v>
      </c>
      <c r="O117" s="201" t="s">
        <v>1303</v>
      </c>
    </row>
    <row r="118" spans="13:15" ht="18" x14ac:dyDescent="0.25">
      <c r="M118" s="191" t="s">
        <v>853</v>
      </c>
      <c r="N118" s="199">
        <v>1.35E-2</v>
      </c>
      <c r="O118" s="201" t="s">
        <v>1303</v>
      </c>
    </row>
    <row r="119" spans="13:15" ht="18" x14ac:dyDescent="0.25">
      <c r="M119" s="191" t="s">
        <v>1304</v>
      </c>
      <c r="N119" s="199">
        <v>1.35E-2</v>
      </c>
      <c r="O119" s="201" t="s">
        <v>1303</v>
      </c>
    </row>
    <row r="120" spans="13:15" ht="18" x14ac:dyDescent="0.25">
      <c r="M120" s="191" t="s">
        <v>854</v>
      </c>
      <c r="N120" s="199">
        <v>1.35E-2</v>
      </c>
      <c r="O120" s="201" t="s">
        <v>1303</v>
      </c>
    </row>
    <row r="121" spans="13:15" ht="18" x14ac:dyDescent="0.25">
      <c r="M121" s="191" t="s">
        <v>855</v>
      </c>
      <c r="N121" s="199">
        <v>1.35E-2</v>
      </c>
      <c r="O121" s="201" t="s">
        <v>1303</v>
      </c>
    </row>
    <row r="122" spans="13:15" ht="18" x14ac:dyDescent="0.25">
      <c r="M122" s="191" t="s">
        <v>856</v>
      </c>
      <c r="N122" s="199">
        <v>1.35E-2</v>
      </c>
      <c r="O122" s="201" t="s">
        <v>1303</v>
      </c>
    </row>
    <row r="123" spans="13:15" ht="18" x14ac:dyDescent="0.25">
      <c r="M123" s="191" t="s">
        <v>857</v>
      </c>
      <c r="N123" s="199">
        <v>1.35E-2</v>
      </c>
      <c r="O123" s="201" t="s">
        <v>1303</v>
      </c>
    </row>
    <row r="124" spans="13:15" ht="18" x14ac:dyDescent="0.25">
      <c r="M124" s="191" t="s">
        <v>858</v>
      </c>
      <c r="N124" s="199">
        <v>1.35E-2</v>
      </c>
      <c r="O124" s="201" t="s">
        <v>1303</v>
      </c>
    </row>
    <row r="125" spans="13:15" ht="18" x14ac:dyDescent="0.25">
      <c r="M125" s="191" t="s">
        <v>859</v>
      </c>
      <c r="N125" s="199">
        <v>1.35E-2</v>
      </c>
      <c r="O125" s="201" t="s">
        <v>1303</v>
      </c>
    </row>
    <row r="126" spans="13:15" ht="18" x14ac:dyDescent="0.25">
      <c r="M126" s="191" t="s">
        <v>860</v>
      </c>
      <c r="N126" s="199">
        <v>1.35E-2</v>
      </c>
      <c r="O126" s="201" t="s">
        <v>1303</v>
      </c>
    </row>
  </sheetData>
  <sheetProtection algorithmName="SHA-512" hashValue="jR1IVNvdGf1W/t7sYGW+VGN3mcaVRCjNe/WTmDiOMMU550qMg4dfiaKharc5/0vLeXPu9d8JWMGApUcDkJq49Q==" saltValue="YxAIMWs7+Pz0VMBvyymuSQ==" spinCount="100000" sheet="1" formatColumns="0" formatRows="0" autoFilter="0"/>
  <mergeCells count="6">
    <mergeCell ref="P1:R1"/>
    <mergeCell ref="A1:C1"/>
    <mergeCell ref="D1:F1"/>
    <mergeCell ref="G1:I1"/>
    <mergeCell ref="J1:L1"/>
    <mergeCell ref="M1:O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Y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5.42578125" style="1" bestFit="1" customWidth="1"/>
    <col min="4" max="4" width="15.5703125" style="1" bestFit="1" customWidth="1"/>
    <col min="5" max="5" width="14.28515625" style="1" bestFit="1" customWidth="1"/>
    <col min="6" max="6" width="15" style="1" bestFit="1" customWidth="1"/>
    <col min="7" max="7" width="14.42578125" style="1" bestFit="1" customWidth="1"/>
    <col min="8" max="8" width="14.7109375" style="1" bestFit="1" customWidth="1"/>
    <col min="9" max="9" width="14.140625" style="1" bestFit="1" customWidth="1"/>
    <col min="10" max="10" width="15.5703125" style="1" bestFit="1" customWidth="1"/>
    <col min="11" max="11" width="14.42578125" style="1" bestFit="1" customWidth="1"/>
    <col min="12" max="12" width="16.140625" style="1" bestFit="1" customWidth="1"/>
    <col min="13" max="13" width="13.28515625" style="1" bestFit="1" customWidth="1"/>
    <col min="14" max="15" width="14.42578125" style="1" bestFit="1" customWidth="1"/>
    <col min="16" max="16" width="15.5703125" style="1" bestFit="1" customWidth="1"/>
    <col min="17" max="17" width="15.7109375" style="1" bestFit="1" customWidth="1"/>
    <col min="18" max="18" width="14.42578125" style="1" bestFit="1" customWidth="1"/>
    <col min="19" max="19" width="13.5703125" style="1" bestFit="1" customWidth="1"/>
    <col min="20" max="20" width="14.7109375" style="1" bestFit="1" customWidth="1"/>
    <col min="21" max="21" width="15" style="1" bestFit="1" customWidth="1"/>
    <col min="22" max="22" width="15.42578125" style="1" bestFit="1" customWidth="1"/>
    <col min="23" max="23" width="14.7109375" style="1" bestFit="1" customWidth="1"/>
    <col min="24" max="24" width="15.42578125" style="1" bestFit="1" customWidth="1"/>
    <col min="25" max="26" width="13.85546875" style="1" bestFit="1" customWidth="1"/>
    <col min="27" max="27" width="15.85546875" style="1" bestFit="1" customWidth="1"/>
    <col min="28" max="28" width="15" style="1" bestFit="1" customWidth="1"/>
    <col min="29" max="29" width="15.28515625" style="1" bestFit="1" customWidth="1"/>
    <col min="30" max="30" width="14" style="1" bestFit="1" customWidth="1"/>
    <col min="31" max="31" width="14.7109375" style="1" bestFit="1" customWidth="1"/>
    <col min="32" max="32" width="14.140625" style="1" bestFit="1" customWidth="1"/>
    <col min="33" max="33" width="14.42578125" style="1" bestFit="1" customWidth="1"/>
    <col min="34" max="34" width="13.85546875" style="1" bestFit="1" customWidth="1"/>
    <col min="35" max="35" width="15.28515625" style="1" bestFit="1" customWidth="1"/>
    <col min="36" max="36" width="14.140625" style="1" bestFit="1" customWidth="1"/>
    <col min="37" max="37" width="15.85546875" style="1" bestFit="1" customWidth="1"/>
    <col min="38" max="38" width="13" style="1" bestFit="1" customWidth="1"/>
    <col min="39" max="40" width="14.140625" style="1" bestFit="1" customWidth="1"/>
    <col min="41" max="41" width="15.28515625" style="1" bestFit="1" customWidth="1"/>
    <col min="42" max="42" width="15.42578125" style="1" bestFit="1" customWidth="1"/>
    <col min="43" max="43" width="14.140625" style="1" bestFit="1" customWidth="1"/>
    <col min="44" max="44" width="13.28515625" style="1" bestFit="1" customWidth="1"/>
    <col min="45" max="45" width="14.42578125" style="1" bestFit="1" customWidth="1"/>
    <col min="46" max="46" width="14.7109375" style="1" bestFit="1" customWidth="1"/>
    <col min="47" max="47" width="15" style="1" bestFit="1" customWidth="1"/>
    <col min="48" max="48" width="14.42578125" style="1" bestFit="1" customWidth="1"/>
    <col min="49" max="49" width="15" style="1" bestFit="1" customWidth="1"/>
    <col min="50" max="51" width="13.42578125" style="1" bestFit="1" customWidth="1"/>
    <col min="52" max="52" width="15.5703125" style="1" bestFit="1" customWidth="1"/>
    <col min="53" max="54" width="15.7109375" style="1" bestFit="1" customWidth="1"/>
    <col min="55" max="55" width="14.7109375" style="1" bestFit="1" customWidth="1"/>
    <col min="56" max="56" width="15.42578125" style="1" bestFit="1" customWidth="1"/>
    <col min="57" max="57" width="14.5703125" style="1" bestFit="1" customWidth="1"/>
    <col min="58" max="58" width="14.85546875" style="1" bestFit="1" customWidth="1"/>
    <col min="59" max="59" width="14.28515625" style="1" bestFit="1" customWidth="1"/>
    <col min="60" max="60" width="15.7109375" style="1" bestFit="1" customWidth="1"/>
    <col min="61" max="61" width="14.5703125" style="1" bestFit="1" customWidth="1"/>
    <col min="62" max="62" width="16.42578125" style="1" bestFit="1" customWidth="1"/>
    <col min="63" max="63" width="13.7109375" style="1" bestFit="1" customWidth="1"/>
    <col min="64" max="65" width="14.5703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5.140625" style="1" bestFit="1" customWidth="1"/>
    <col min="71" max="71" width="15.42578125" style="1" bestFit="1" customWidth="1"/>
    <col min="72" max="72" width="15.85546875" style="1" bestFit="1" customWidth="1"/>
    <col min="73" max="73" width="14.85546875" style="1" bestFit="1" customWidth="1"/>
    <col min="74" max="74" width="15.5703125" style="1" bestFit="1" customWidth="1"/>
    <col min="75" max="75" width="14.140625" style="1" bestFit="1" customWidth="1"/>
    <col min="76" max="76" width="14" style="1" bestFit="1" customWidth="1"/>
    <col min="77" max="77" width="16.140625" style="1" bestFit="1" customWidth="1"/>
  </cols>
  <sheetData>
    <row r="1" spans="1:77" x14ac:dyDescent="0.25">
      <c r="A1" s="72" t="s">
        <v>39</v>
      </c>
      <c r="B1" s="73" t="s">
        <v>334</v>
      </c>
      <c r="C1" s="106" t="s">
        <v>650</v>
      </c>
      <c r="D1" s="106" t="s">
        <v>651</v>
      </c>
      <c r="E1" s="106" t="s">
        <v>652</v>
      </c>
      <c r="F1" s="106" t="s">
        <v>653</v>
      </c>
      <c r="G1" s="106" t="s">
        <v>654</v>
      </c>
      <c r="H1" s="106" t="s">
        <v>655</v>
      </c>
      <c r="I1" s="106" t="s">
        <v>656</v>
      </c>
      <c r="J1" s="106" t="s">
        <v>657</v>
      </c>
      <c r="K1" s="106" t="s">
        <v>658</v>
      </c>
      <c r="L1" s="106" t="s">
        <v>659</v>
      </c>
      <c r="M1" s="106" t="s">
        <v>660</v>
      </c>
      <c r="N1" s="106" t="s">
        <v>661</v>
      </c>
      <c r="O1" s="106" t="s">
        <v>662</v>
      </c>
      <c r="P1" s="106" t="s">
        <v>663</v>
      </c>
      <c r="Q1" s="106" t="s">
        <v>664</v>
      </c>
      <c r="R1" s="106" t="s">
        <v>665</v>
      </c>
      <c r="S1" s="106" t="s">
        <v>666</v>
      </c>
      <c r="T1" s="106" t="s">
        <v>1282</v>
      </c>
      <c r="U1" s="106" t="s">
        <v>667</v>
      </c>
      <c r="V1" s="106" t="s">
        <v>668</v>
      </c>
      <c r="W1" s="106" t="s">
        <v>669</v>
      </c>
      <c r="X1" s="106" t="s">
        <v>670</v>
      </c>
      <c r="Y1" s="106" t="s">
        <v>671</v>
      </c>
      <c r="Z1" s="106" t="s">
        <v>672</v>
      </c>
      <c r="AA1" s="106" t="s">
        <v>720</v>
      </c>
      <c r="AB1" s="106" t="s">
        <v>673</v>
      </c>
      <c r="AC1" s="106" t="s">
        <v>674</v>
      </c>
      <c r="AD1" s="106" t="s">
        <v>675</v>
      </c>
      <c r="AE1" s="106" t="s">
        <v>676</v>
      </c>
      <c r="AF1" s="106" t="s">
        <v>677</v>
      </c>
      <c r="AG1" s="106" t="s">
        <v>678</v>
      </c>
      <c r="AH1" s="106" t="s">
        <v>679</v>
      </c>
      <c r="AI1" s="106" t="s">
        <v>680</v>
      </c>
      <c r="AJ1" s="106" t="s">
        <v>681</v>
      </c>
      <c r="AK1" s="106" t="s">
        <v>682</v>
      </c>
      <c r="AL1" s="106" t="s">
        <v>683</v>
      </c>
      <c r="AM1" s="106" t="s">
        <v>684</v>
      </c>
      <c r="AN1" s="106" t="s">
        <v>685</v>
      </c>
      <c r="AO1" s="106" t="s">
        <v>686</v>
      </c>
      <c r="AP1" s="106" t="s">
        <v>687</v>
      </c>
      <c r="AQ1" s="106" t="s">
        <v>688</v>
      </c>
      <c r="AR1" s="106" t="s">
        <v>689</v>
      </c>
      <c r="AS1" s="106" t="s">
        <v>1284</v>
      </c>
      <c r="AT1" s="106" t="s">
        <v>690</v>
      </c>
      <c r="AU1" s="106" t="s">
        <v>691</v>
      </c>
      <c r="AV1" s="106" t="s">
        <v>692</v>
      </c>
      <c r="AW1" s="106" t="s">
        <v>693</v>
      </c>
      <c r="AX1" s="106" t="s">
        <v>694</v>
      </c>
      <c r="AY1" s="106" t="s">
        <v>695</v>
      </c>
      <c r="AZ1" s="106" t="s">
        <v>721</v>
      </c>
      <c r="BA1" s="106" t="s">
        <v>696</v>
      </c>
      <c r="BB1" s="106" t="s">
        <v>697</v>
      </c>
      <c r="BC1" s="106" t="s">
        <v>698</v>
      </c>
      <c r="BD1" s="106" t="s">
        <v>699</v>
      </c>
      <c r="BE1" s="106" t="s">
        <v>700</v>
      </c>
      <c r="BF1" s="106" t="s">
        <v>701</v>
      </c>
      <c r="BG1" s="106" t="s">
        <v>702</v>
      </c>
      <c r="BH1" s="106" t="s">
        <v>703</v>
      </c>
      <c r="BI1" s="106" t="s">
        <v>704</v>
      </c>
      <c r="BJ1" s="106" t="s">
        <v>705</v>
      </c>
      <c r="BK1" s="106" t="s">
        <v>706</v>
      </c>
      <c r="BL1" s="106" t="s">
        <v>707</v>
      </c>
      <c r="BM1" s="106" t="s">
        <v>708</v>
      </c>
      <c r="BN1" s="106" t="s">
        <v>709</v>
      </c>
      <c r="BO1" s="106" t="s">
        <v>710</v>
      </c>
      <c r="BP1" s="106" t="s">
        <v>711</v>
      </c>
      <c r="BQ1" s="106" t="s">
        <v>712</v>
      </c>
      <c r="BR1" s="106" t="s">
        <v>1285</v>
      </c>
      <c r="BS1" s="106" t="s">
        <v>713</v>
      </c>
      <c r="BT1" s="106" t="s">
        <v>714</v>
      </c>
      <c r="BU1" s="106" t="s">
        <v>715</v>
      </c>
      <c r="BV1" s="106" t="s">
        <v>716</v>
      </c>
      <c r="BW1" s="106" t="s">
        <v>717</v>
      </c>
      <c r="BX1" s="106" t="s">
        <v>718</v>
      </c>
      <c r="BY1" s="106" t="s">
        <v>722</v>
      </c>
    </row>
    <row r="2" spans="1:77" x14ac:dyDescent="0.25">
      <c r="A2" s="44" t="s">
        <v>0</v>
      </c>
      <c r="B2" s="42" t="s">
        <v>1057</v>
      </c>
      <c r="C2" s="108">
        <f>IFERROR(IF(d_Bv!C2=0,0,((s_Ir*s_F*d_Bv!C2*(1-EXP(-s_RadSpec!$AZ2*s_t_b)))/(s_P*s_RadSpec!$AZ2))),0)</f>
        <v>0.19870072460746407</v>
      </c>
      <c r="D2" s="108">
        <f>IFERROR(IF(d_Bv!D2=0,0,((s_Ir*s_F*d_Bv!D2*(1-EXP(-s_RadSpec!AZ2*s_t_b)))/(s_P*s_RadSpec!AZ2))),0)</f>
        <v>0.19870072460746407</v>
      </c>
      <c r="E2" s="108">
        <f>IFERROR(IF(d_Bv!E2=0,0,((s_Ir*s_F*d_Bv!E2*(1-EXP(-s_RadSpec!AZ2*s_t_b)))/(s_P*s_RadSpec!AZ2))),0)</f>
        <v>0.19870072460746407</v>
      </c>
      <c r="F2" s="108">
        <f>IFERROR(IF(d_Bv!F2=0,0,((s_Ir*s_F*d_Bv!F2*(1-EXP(-s_RadSpec!AZ2*s_t_b)))/(s_P*s_RadSpec!AZ2))),0)</f>
        <v>0.19870072460746407</v>
      </c>
      <c r="G2" s="108">
        <f>IFERROR(IF(d_Bv!G2=0,0,((s_Ir*s_F*d_Bv!G2*(1-EXP(-s_RadSpec!AZ2*s_t_b)))/(s_P*s_RadSpec!AZ2))),0)</f>
        <v>0.19870072460746407</v>
      </c>
      <c r="H2" s="108">
        <f>IFERROR(IF(d_Bv!H2=0,0,((s_Ir*s_F*d_Bv!H2*(1-EXP(-s_RadSpec!AZ2*s_t_b)))/(s_P*s_RadSpec!AZ2))),0)</f>
        <v>0.19870072460746407</v>
      </c>
      <c r="I2" s="108">
        <f>IFERROR(IF(d_Bv!I2=0,0,((s_Ir*s_F*d_Bv!I2*(1-EXP(-s_RadSpec!AZ2*s_t_b)))/(s_P*s_RadSpec!AZ2))),0)</f>
        <v>0.19870072460746407</v>
      </c>
      <c r="J2" s="108">
        <f>IFERROR(IF(d_Bv!J2=0,0,((s_Ir*s_F*d_Bv!J2*(1-EXP(-s_RadSpec!AZ2*s_t_b)))/(s_P*s_RadSpec!AZ2))),0)</f>
        <v>0.19870072460746407</v>
      </c>
      <c r="K2" s="108">
        <f>IFERROR(IF(d_Bv!K2=0,0,((s_Ir*s_F*d_Bv!K2*(1-EXP(-s_RadSpec!AZ2*s_t_b)))/(s_P*s_RadSpec!AZ2))),0)</f>
        <v>0.19870072460746407</v>
      </c>
      <c r="L2" s="108">
        <f>IFERROR(IF(d_Bv!L2=0,0,((s_Ir*s_F*d_Bv!L2*(1-EXP(-s_RadSpec!AZ2*s_t_b)))/(s_P*s_RadSpec!AZ2))),0)</f>
        <v>0.19870072460746407</v>
      </c>
      <c r="M2" s="108">
        <f>IFERROR(IF(d_Bv!M2=0,0,((s_Ir*s_F*d_Bv!M2*(1-EXP(-s_RadSpec!AZ2*s_t_b)))/(s_P*s_RadSpec!AZ2))),0)</f>
        <v>0.19870072460746407</v>
      </c>
      <c r="N2" s="108">
        <f>IFERROR(IF(d_Bv!N2=0,0,((s_Ir*s_F*d_Bv!N2*(1-EXP(-s_RadSpec!AZ2*s_t_b)))/(s_P*s_RadSpec!AZ2))),0)</f>
        <v>0.19870072460746407</v>
      </c>
      <c r="O2" s="108">
        <f>IFERROR(IF(d_Bv!O2=0,0,((s_Ir*s_F*d_Bv!O2*(1-EXP(-s_RadSpec!AZ2*s_t_b)))/(s_P*s_RadSpec!AZ2))),0)</f>
        <v>0.19870072460746407</v>
      </c>
      <c r="P2" s="108">
        <f>IFERROR(IF(d_Bv!P2=0,0,((s_Ir*s_F*d_Bv!P2*(1-EXP(-s_RadSpec!AZ2*s_t_b)))/(s_P*s_RadSpec!AZ2))),0)</f>
        <v>0.19870072460746407</v>
      </c>
      <c r="Q2" s="108">
        <f>IFERROR(IF(d_Bv!Q2=0,0,((s_Ir*s_F*d_Bv!Q2*(1-EXP(-s_RadSpec!AZ2*s_t_b)))/(s_P*s_RadSpec!AZ2))),0)</f>
        <v>0.19870072460746407</v>
      </c>
      <c r="R2" s="108">
        <f>IFERROR(IF(d_Bv!R2=0,0,((s_Ir*s_F*d_Bv!R2*(1-EXP(-s_RadSpec!AZ2*s_t_b)))/(s_P*s_RadSpec!AZ2))),0)</f>
        <v>0.19870072460746407</v>
      </c>
      <c r="S2" s="108">
        <f>IFERROR(IF(d_Bv!S2=0,0,((s_Ir*s_F*d_Bv!S2*(1-EXP(-s_RadSpec!AZ2*s_t_b)))/(s_P*s_RadSpec!AZ2))),0)</f>
        <v>0.19870072460746407</v>
      </c>
      <c r="T2" s="108">
        <f>IFERROR(IF(d_Bv!T2=0,0,((s_Ir*s_F*d_Bv!T2*(1-EXP(-s_RadSpec!AZ2*s_t_b)))/(s_P*s_RadSpec!AZ2))),0)</f>
        <v>0.19870072460746407</v>
      </c>
      <c r="U2" s="108">
        <f>IFERROR(IF(d_Bv!U2=0,0,((s_Ir*s_F*d_Bv!U2*(1-EXP(-s_RadSpec!AZ2*s_t_b)))/(s_P*s_RadSpec!AZ2))),0)</f>
        <v>0.19870072460746407</v>
      </c>
      <c r="V2" s="108">
        <f>IFERROR(IF(d_Bv!V2=0,0,((s_Ir*s_F*d_Bv!V2*(1-EXP(-s_RadSpec!AZ2*s_t_b)))/(s_P*s_RadSpec!AZ2))),0)</f>
        <v>0.19870072460746407</v>
      </c>
      <c r="W2" s="108">
        <f>IFERROR(IF(d_Bv!W2=0,0,((s_Ir*s_F*d_Bv!W2*(1-EXP(-s_RadSpec!AZ2*s_t_b)))/(s_P*s_RadSpec!AZ2))),0)</f>
        <v>0.19870072460746407</v>
      </c>
      <c r="X2" s="108">
        <f>IFERROR(IF(d_Bv!X2=0,0,((s_Ir*s_F*d_Bv!X2*(1-EXP(-s_RadSpec!AZ2*s_t_b)))/(s_P*s_RadSpec!AZ2))),0)</f>
        <v>0.19870072460746407</v>
      </c>
      <c r="Y2" s="108">
        <f>IFERROR(IF(d_Bv!Y2=0,0,((s_Ir*s_F*d_Bv!Y2*(1-EXP(-s_RadSpec!AZ2*s_t_b)))/(s_P*s_RadSpec!AZ2))),0)</f>
        <v>0.19870072460746407</v>
      </c>
      <c r="Z2" s="108">
        <f>IFERROR(IF(d_Bv!Z2=0,0,((s_Ir*s_F*d_Bv!Z2*(1-EXP(-s_RadSpec!AZ2*s_t_b)))/(s_P*s_RadSpec!AZ2))),0)</f>
        <v>0.19870072460746407</v>
      </c>
      <c r="AA2" s="108">
        <f>IFERROR(IF(d_Bv!AA2=0,0,((s_Ir*s_F*d_Bv!AA2*(1-EXP(-s_RadSpec!AZ2*s_t_b)))/(s_P*s_RadSpec!AZ2))),0)</f>
        <v>0.19870072460746407</v>
      </c>
      <c r="AB2" s="108">
        <f>IFERROR(IF(d_Bv!C2=0,0,((s_Ir*s_F*s_MLF_apple*(1-EXP(-s_RadSpec!AZ2*s_t_b)))/(s_P*s_RadSpec!AZ2))),0)</f>
        <v>2.6824597822007652</v>
      </c>
      <c r="AC2" s="108">
        <f>IFERROR(IF(d_Bv!D2=0,0,((s_Ir*s_F*s_MLF_asparagus*(1-EXP(-s_RadSpec!AZ2*s_t_b)))/(s_P*s_RadSpec!AZ2))),0)</f>
        <v>2.6824597822007652</v>
      </c>
      <c r="AD2" s="108">
        <f>IFERROR(IF(d_Bv!E2=0,0,((s_Ir*s_F*s_MLF_beet*(1-EXP(-s_RadSpec!AZ2*s_t_b)))/(s_P*s_RadSpec!AZ2))),0)</f>
        <v>2.6824597822007652</v>
      </c>
      <c r="AE2" s="108">
        <f>IFERROR(IF(d_Bv!F2=0,0,((s_Ir*s_F*s_MLF_berries*(1-EXP(-s_RadSpec!AZ2*s_t_b)))/(s_P*s_RadSpec!AZ2))),0)</f>
        <v>2.6824597822007652</v>
      </c>
      <c r="AF2" s="108">
        <f>IFERROR(IF(d_Bv!G2=0,0,((s_Ir*s_F*s_MLF_broccoli*(1-EXP(-s_RadSpec!AZ2*s_t_b)))/(s_P*s_RadSpec!AZ2))),0)</f>
        <v>2.6824597822007652</v>
      </c>
      <c r="AG2" s="108">
        <f>IFERROR(IF(d_Bv!H2=0,0,((s_Ir*s_F*s_MLF_cabbage*(1-EXP(-s_RadSpec!AZ2*s_t_b)))/(s_P*s_RadSpec!AZ2))),0)</f>
        <v>2.6824597822007652</v>
      </c>
      <c r="AH2" s="108">
        <f>IFERROR(IF(d_Bv!I2=0,0,((s_Ir*s_F*s_MLF_carrot*(1-EXP(-s_RadSpec!AZ2*s_t_b)))/(s_P*s_RadSpec!AZ2))),0)</f>
        <v>2.6824597822007652</v>
      </c>
      <c r="AI2" s="108">
        <f>IFERROR(IF(d_Bv!J2=0,0,((s_Ir*s_F*s_MLF_citrus*(1-EXP(-s_RadSpec!AZ2*s_t_b)))/(s_P*s_RadSpec!AZ2))),0)</f>
        <v>2.6824597822007652</v>
      </c>
      <c r="AJ2" s="108">
        <f>IFERROR(IF(d_Bv!K2=0,0,((s_Ir*s_F*s_MLF_corn*(1-EXP(-s_RadSpec!AZ2*s_t_b)))/(s_P*s_RadSpec!AZ2))),0)</f>
        <v>2.6824597822007652</v>
      </c>
      <c r="AK2" s="108">
        <f>IFERROR(IF(d_Bv!L2=0,0,((s_Ir*s_F*s_MLF_cucumber*(1-EXP(-s_RadSpec!AZ2*s_t_b)))/(s_P*s_RadSpec!AZ2))),0)</f>
        <v>2.6824597822007652</v>
      </c>
      <c r="AL2" s="108">
        <f>IFERROR(IF(d_Bv!M2=0,0,((s_Ir*s_F*s_MLF_lettuce*(1-EXP(-s_RadSpec!AZ2*s_t_b)))/(s_P*s_RadSpec!AZ2))),0)</f>
        <v>2.6824597822007652</v>
      </c>
      <c r="AM2" s="108">
        <f>IFERROR(IF(d_Bv!N2=0,0,((s_Ir*s_F*s_MLF_lima_bean*(1-EXP(-s_RadSpec!AZ2*s_t_b)))/(s_P*s_RadSpec!AZ2))),0)</f>
        <v>2.6824597822007652</v>
      </c>
      <c r="AN2" s="108">
        <f>IFERROR(IF(d_Bv!O2=0,0,((s_Ir*s_F*s_MLF_okra*(1-EXP(-s_RadSpec!AZ2*s_t_b)))/(s_P*s_RadSpec!AZ2))),0)</f>
        <v>2.6824597822007652</v>
      </c>
      <c r="AO2" s="108">
        <f>IFERROR(IF(d_Bv!P2=0,0,((s_Ir*s_F*s_MLF_onion*(1-EXP(-s_RadSpec!AZ2*s_t_b)))/(s_P*s_RadSpec!AZ2))),0)</f>
        <v>2.6824597822007652</v>
      </c>
      <c r="AP2" s="108">
        <f>IFERROR(IF(d_Bv!Q2=0,0,((s_Ir*s_F*s_MLF_peach*(1-EXP(-s_RadSpec!AZ2*s_t_b)))/(s_P*s_RadSpec!AZ2))),0)</f>
        <v>2.6824597822007652</v>
      </c>
      <c r="AQ2" s="108">
        <f>IFERROR(IF(d_Bv!R2=0,0,((s_Ir*s_F*s_MLF_pear*(1-EXP(-s_RadSpec!AZ2*s_t_b)))/(s_P*s_RadSpec!AZ2))),0)</f>
        <v>2.6824597822007652</v>
      </c>
      <c r="AR2" s="108">
        <f>IFERROR(IF(d_Bv!S2=0,0,((s_Ir*s_F*s_MLF_peas*(1-EXP(-s_RadSpec!AZ2*s_t_b)))/(s_P*s_RadSpec!AZ2))),0)</f>
        <v>2.6824597822007652</v>
      </c>
      <c r="AS2" s="108">
        <f>IFERROR(IF(d_Bv!T2=0,0,((s_Ir*s_F*s_MLF_peppers*(1-EXP(-s_RadSpec!AZ2*s_t_b)))/(s_P*s_RadSpec!AZ2))),0)</f>
        <v>2.6824597822007652</v>
      </c>
      <c r="AT2" s="108">
        <f>IFERROR(IF(d_Bv!U2=0,0,((s_Ir*s_F*s_MLF_potato*(1-EXP(-s_RadSpec!AZ2*s_t_b)))/(s_P*s_RadSpec!AZ2))),0)</f>
        <v>2.6824597822007652</v>
      </c>
      <c r="AU2" s="108">
        <f>IFERROR(IF(d_Bv!V2=0,0,((s_Ir*s_F*s_MLF_pumpkin*(1-EXP(-s_RadSpec!AZ2*s_t_b)))/(s_P*s_RadSpec!AZ2))),0)</f>
        <v>2.6824597822007652</v>
      </c>
      <c r="AV2" s="108">
        <f>IFERROR(IF(d_Bv!W2=0,0,((s_Ir*s_F*s_MLF_snap_bean*(1-EXP(-s_RadSpec!AZ2*s_t_b)))/(s_P*s_RadSpec!AZ2))),0)</f>
        <v>2.6824597822007652</v>
      </c>
      <c r="AW2" s="108">
        <f>IFERROR(IF(d_Bv!X2=0,0,((s_Ir*s_F*s_MLF_strawberry*(1-EXP(-s_RadSpec!AZ2*s_t_b)))/(s_P*s_RadSpec!AZ2))),0)</f>
        <v>2.6824597822007652</v>
      </c>
      <c r="AX2" s="108">
        <f>IFERROR(IF(d_Bv!Y2=0,0,((s_Ir*s_F*s_MLF_tomato*(1-EXP(-s_RadSpec!AZ2*s_t_b)))/(s_P*s_RadSpec!AZ2))),0)</f>
        <v>2.6824597822007652</v>
      </c>
      <c r="AY2" s="108">
        <f>IFERROR(IF(d_Bv!Z2=0,0,((s_Ir*s_F*s_MLF_rice*(1-EXP(-s_RadSpec!AZ2*s_t_b)))/(s_P*s_RadSpec!AZ2))),0)</f>
        <v>2.6824597822007652</v>
      </c>
      <c r="AZ2" s="108">
        <f>IFERROR(IF(d_Bv!AA2=0,0,((s_Ir*s_F*s_MLF_cereal*(1-EXP(-s_RadSpec!AZ2*s_t_b)))/(s_P*s_RadSpec!AZ2))),0)</f>
        <v>2.6824597822007652</v>
      </c>
      <c r="BA2" s="108">
        <f>IFERROR(IF(d_Bv!C2=0,0,((s_Ir*s_F*s_I_f*s_T*(1-EXP(-s_RadSpec!BA2*s_t_v)))/(s_Y_v*s_RadSpec!BA2))),0)</f>
        <v>9.0143481925428208</v>
      </c>
      <c r="BB2" s="108">
        <f>IFERROR(IF(d_Bv!D2=0,0,((s_Ir*s_F*s_I_f*s_T*(1-EXP(-s_RadSpec!BA2*s_t_v)))/(s_Y_v*s_RadSpec!BA2))),0)</f>
        <v>9.0143481925428208</v>
      </c>
      <c r="BC2" s="108">
        <f>IFERROR(IF(d_Bv!E2=0,0,((s_Ir*s_F*s_I_f*s_T*(1-EXP(-s_RadSpec!BA2*s_t_v)))/(s_Y_v*s_RadSpec!BA2))),0)</f>
        <v>9.0143481925428208</v>
      </c>
      <c r="BD2" s="108">
        <f>IFERROR(IF(d_Bv!F2=0,0,((s_Ir*s_F*s_I_f*s_T*(1-EXP(-s_RadSpec!BA2*s_t_v)))/(s_Y_v*s_RadSpec!BA2))),0)</f>
        <v>9.0143481925428208</v>
      </c>
      <c r="BE2" s="108">
        <f>IFERROR(IF(d_Bv!G2=0,0,((s_Ir*s_F*s_I_f*s_T*(1-EXP(-s_RadSpec!BA2*s_t_v)))/(s_Y_v*s_RadSpec!BA2))),0)</f>
        <v>9.0143481925428208</v>
      </c>
      <c r="BF2" s="108">
        <f>IFERROR(IF(d_Bv!H2=0,0,((s_Ir*s_F*s_I_f*s_T*(1-EXP(-s_RadSpec!BA2*s_t_v)))/(s_Y_v*s_RadSpec!BA2))),0)</f>
        <v>9.0143481925428208</v>
      </c>
      <c r="BG2" s="108">
        <f>IFERROR(IF(d_Bv!I2=0,0,((s_Ir*s_F*s_I_f*s_T*(1-EXP(-s_RadSpec!BA2*s_t_v)))/(s_Y_v*s_RadSpec!BA2))),0)</f>
        <v>9.0143481925428208</v>
      </c>
      <c r="BH2" s="108">
        <f>IFERROR(IF(d_Bv!J2=0,0,((s_Ir*s_F*s_I_f*s_T*(1-EXP(-s_RadSpec!BA2*s_t_v)))/(s_Y_v*s_RadSpec!BA2))),0)</f>
        <v>9.0143481925428208</v>
      </c>
      <c r="BI2" s="108">
        <f>IFERROR(IF(d_Bv!K2=0,0,((s_Ir*s_F*s_I_f*s_T*(1-EXP(-s_RadSpec!BA2*s_t_v)))/(s_Y_v*s_RadSpec!BA2))),0)</f>
        <v>9.0143481925428208</v>
      </c>
      <c r="BJ2" s="108">
        <f>IFERROR(IF(d_Bv!L2=0,0,((s_Ir*s_F*s_I_f*s_T*(1-EXP(-s_RadSpec!BA2*s_t_v)))/(s_Y_v*s_RadSpec!BA2))),0)</f>
        <v>9.0143481925428208</v>
      </c>
      <c r="BK2" s="108">
        <f>IFERROR(IF(d_Bv!M2=0,0,((s_Ir*s_F*s_I_f*s_T*(1-EXP(-s_RadSpec!BA2*s_t_v)))/(s_Y_v*s_RadSpec!BA2))),0)</f>
        <v>9.0143481925428208</v>
      </c>
      <c r="BL2" s="108">
        <f>IFERROR(IF(d_Bv!N2=0,0,((s_Ir*s_F*s_I_f*s_T*(1-EXP(-s_RadSpec!BA2*s_t_v)))/(s_Y_v*s_RadSpec!BA2))),0)</f>
        <v>9.0143481925428208</v>
      </c>
      <c r="BM2" s="108">
        <f>IFERROR(IF(d_Bv!O2=0,0,((s_Ir*s_F*s_I_f*s_T*(1-EXP(-s_RadSpec!BA2*s_t_v)))/(s_Y_v*s_RadSpec!BA2))),0)</f>
        <v>9.0143481925428208</v>
      </c>
      <c r="BN2" s="108">
        <f>IFERROR(IF(d_Bv!P2=0,0,((s_Ir*s_F*s_I_f*s_T*(1-EXP(-s_RadSpec!BA2*s_t_v)))/(s_Y_v*s_RadSpec!BA2))),0)</f>
        <v>9.0143481925428208</v>
      </c>
      <c r="BO2" s="108">
        <f>IFERROR(IF(d_Bv!Q2=0,0,((s_Ir*s_F*s_I_f*s_T*(1-EXP(-s_RadSpec!BA2*s_t_v)))/(s_Y_v*s_RadSpec!BA2))),0)</f>
        <v>9.0143481925428208</v>
      </c>
      <c r="BP2" s="108">
        <f>IFERROR(IF(d_Bv!R2=0,0,((s_Ir*s_F*s_I_f*s_T*(1-EXP(-s_RadSpec!BA2*s_t_v)))/(s_Y_v*s_RadSpec!BA2))),0)</f>
        <v>9.0143481925428208</v>
      </c>
      <c r="BQ2" s="108">
        <f>IFERROR(IF(d_Bv!S2=0,0,((s_Ir*s_F*s_I_f*s_T*(1-EXP(-s_RadSpec!BA2*s_t_v)))/(s_Y_v*s_RadSpec!BA2))),0)</f>
        <v>9.0143481925428208</v>
      </c>
      <c r="BR2" s="108">
        <f>IFERROR(IF(d_Bv!T2=0,0,((s_Ir*s_F*s_I_f*s_T*(1-EXP(-s_RadSpec!BA2*s_t_v)))/(s_Y_v*s_RadSpec!BA2))),0)</f>
        <v>9.0143481925428208</v>
      </c>
      <c r="BS2" s="108">
        <f>IFERROR(IF(d_Bv!U2=0,0,((s_Ir*s_F*s_I_f*s_T*(1-EXP(-s_RadSpec!BA2*s_t_v)))/(s_Y_v*s_RadSpec!BA2))),0)</f>
        <v>9.0143481925428208</v>
      </c>
      <c r="BT2" s="108">
        <f>IFERROR(IF(d_Bv!V2=0,0,((s_Ir*s_F*s_I_f*s_T*(1-EXP(-s_RadSpec!BA2*s_t_v)))/(s_Y_v*s_RadSpec!BA2))),0)</f>
        <v>9.0143481925428208</v>
      </c>
      <c r="BU2" s="108">
        <f>IFERROR(IF(d_Bv!W2=0,0,((s_Ir*s_F*s_I_f*s_T*(1-EXP(-s_RadSpec!BA2*s_t_v)))/(s_Y_v*s_RadSpec!BA2))),0)</f>
        <v>9.0143481925428208</v>
      </c>
      <c r="BV2" s="108">
        <f>IFERROR(IF(d_Bv!X2=0,0,((s_Ir*s_F*s_I_f*s_T*(1-EXP(-s_RadSpec!BA2*s_t_v)))/(s_Y_v*s_RadSpec!BA2))),0)</f>
        <v>9.0143481925428208</v>
      </c>
      <c r="BW2" s="108">
        <f>IFERROR(IF(d_Bv!Y2=0,0,((s_Ir*s_F*s_I_f*s_T*(1-EXP(-s_RadSpec!BA2*s_t_v)))/(s_Y_v*s_RadSpec!BA2))),0)</f>
        <v>9.0143481925428208</v>
      </c>
      <c r="BX2" s="108">
        <f>IFERROR(IF(d_Bv!Z2=0,0,((s_Ir*s_F*s_I_f*s_T*(1-EXP(-s_RadSpec!BA2*s_t_v)))/(s_Y_v*s_RadSpec!BA2))),0)</f>
        <v>9.0143481925428208</v>
      </c>
      <c r="BY2" s="108">
        <f>IFERROR(IF(d_Bv!AA2=0,0,((s_Ir*s_F*s_I_f*s_T*(1-EXP(-s_RadSpec!BA2*s_t_v)))/(s_Y_v*s_RadSpec!BA2))),0)</f>
        <v>9.0143481925428208</v>
      </c>
    </row>
    <row r="3" spans="1:77" x14ac:dyDescent="0.25">
      <c r="A3" s="46" t="s">
        <v>1</v>
      </c>
      <c r="B3" s="42" t="s">
        <v>335</v>
      </c>
      <c r="C3" s="108">
        <f>IFERROR(IF(d_Bv!C3=0,0,((s_Ir*s_F*d_Bv!C3*(1-EXP(-s_RadSpec!$AZ3*s_t_b)))/(s_P*s_RadSpec!$AZ3))),0)</f>
        <v>6.1597224628313864E-3</v>
      </c>
      <c r="D3" s="108">
        <f>IFERROR(IF(d_Bv!D3=0,0,((s_Ir*s_F*d_Bv!D3*(1-EXP(-s_RadSpec!AZ3*s_t_b)))/(s_P*s_RadSpec!AZ3))),0)</f>
        <v>5.364919564401531E-2</v>
      </c>
      <c r="E3" s="108">
        <f>IFERROR(IF(d_Bv!E3=0,0,((s_Ir*s_F*d_Bv!E3*(1-EXP(-s_RadSpec!AZ3*s_t_b)))/(s_P*s_RadSpec!AZ3))),0)</f>
        <v>0.13312948548700093</v>
      </c>
      <c r="F3" s="108">
        <f>IFERROR(IF(d_Bv!F3=0,0,((s_Ir*s_F*d_Bv!F3*(1-EXP(-s_RadSpec!AZ3*s_t_b)))/(s_P*s_RadSpec!AZ3))),0)</f>
        <v>0.15896057968597124</v>
      </c>
      <c r="G3" s="108">
        <f>IFERROR(IF(d_Bv!G3=0,0,((s_Ir*s_F*d_Bv!G3*(1-EXP(-s_RadSpec!AZ3*s_t_b)))/(s_P*s_RadSpec!AZ3))),0)</f>
        <v>7.1532260858687066E-2</v>
      </c>
      <c r="H3" s="108">
        <f>IFERROR(IF(d_Bv!H3=0,0,((s_Ir*s_F*d_Bv!H3*(1-EXP(-s_RadSpec!AZ3*s_t_b)))/(s_P*s_RadSpec!AZ3))),0)</f>
        <v>5.364919564401531E-2</v>
      </c>
      <c r="I3" s="108">
        <f>IFERROR(IF(d_Bv!I3=0,0,((s_Ir*s_F*d_Bv!I3*(1-EXP(-s_RadSpec!AZ3*s_t_b)))/(s_P*s_RadSpec!AZ3))),0)</f>
        <v>0.13312948548700093</v>
      </c>
      <c r="J3" s="108">
        <f>IFERROR(IF(d_Bv!J3=0,0,((s_Ir*s_F*d_Bv!J3*(1-EXP(-s_RadSpec!AZ3*s_t_b)))/(s_P*s_RadSpec!AZ3))),0)</f>
        <v>6.1597224628313864E-3</v>
      </c>
      <c r="K3" s="108">
        <f>IFERROR(IF(d_Bv!K3=0,0,((s_Ir*s_F*d_Bv!K3*(1-EXP(-s_RadSpec!AZ3*s_t_b)))/(s_P*s_RadSpec!AZ3))),0)</f>
        <v>9.9350362303732027E-3</v>
      </c>
      <c r="L3" s="108">
        <f>IFERROR(IF(d_Bv!L3=0,0,((s_Ir*s_F*d_Bv!L3*(1-EXP(-s_RadSpec!AZ3*s_t_b)))/(s_P*s_RadSpec!AZ3))),0)</f>
        <v>7.1532260858687066E-2</v>
      </c>
      <c r="M3" s="108">
        <f>IFERROR(IF(d_Bv!M3=0,0,((s_Ir*s_F*d_Bv!M3*(1-EXP(-s_RadSpec!AZ3*s_t_b)))/(s_P*s_RadSpec!AZ3))),0)</f>
        <v>5.364919564401531E-2</v>
      </c>
      <c r="N3" s="108">
        <f>IFERROR(IF(d_Bv!N3=0,0,((s_Ir*s_F*d_Bv!N3*(1-EXP(-s_RadSpec!AZ3*s_t_b)))/(s_P*s_RadSpec!AZ3))),0)</f>
        <v>7.5506275350836358E-2</v>
      </c>
      <c r="O3" s="108">
        <f>IFERROR(IF(d_Bv!O3=0,0,((s_Ir*s_F*d_Bv!O3*(1-EXP(-s_RadSpec!AZ3*s_t_b)))/(s_P*s_RadSpec!AZ3))),0)</f>
        <v>7.1532260858687066E-2</v>
      </c>
      <c r="P3" s="108">
        <f>IFERROR(IF(d_Bv!P3=0,0,((s_Ir*s_F*d_Bv!P3*(1-EXP(-s_RadSpec!AZ3*s_t_b)))/(s_P*s_RadSpec!AZ3))),0)</f>
        <v>0.13312948548700093</v>
      </c>
      <c r="Q3" s="108">
        <f>IFERROR(IF(d_Bv!Q3=0,0,((s_Ir*s_F*d_Bv!Q3*(1-EXP(-s_RadSpec!AZ3*s_t_b)))/(s_P*s_RadSpec!AZ3))),0)</f>
        <v>6.1597224628313864E-3</v>
      </c>
      <c r="R3" s="108">
        <f>IFERROR(IF(d_Bv!R3=0,0,((s_Ir*s_F*d_Bv!R3*(1-EXP(-s_RadSpec!AZ3*s_t_b)))/(s_P*s_RadSpec!AZ3))),0)</f>
        <v>6.1597224628313864E-3</v>
      </c>
      <c r="S3" s="108">
        <f>IFERROR(IF(d_Bv!S3=0,0,((s_Ir*s_F*d_Bv!S3*(1-EXP(-s_RadSpec!AZ3*s_t_b)))/(s_P*s_RadSpec!AZ3))),0)</f>
        <v>7.5506275350836358E-2</v>
      </c>
      <c r="T3" s="108">
        <f>IFERROR(IF(d_Bv!T3=0,0,((s_Ir*s_F*d_Bv!T3*(1-EXP(-s_RadSpec!AZ3*s_t_b)))/(s_P*s_RadSpec!AZ3))),0)</f>
        <v>7.1532260858687066E-2</v>
      </c>
      <c r="U3" s="108">
        <f>IFERROR(IF(d_Bv!U3=0,0,((s_Ir*s_F*d_Bv!U3*(1-EXP(-s_RadSpec!AZ3*s_t_b)))/(s_P*s_RadSpec!AZ3))),0)</f>
        <v>4.1727152167567463E-2</v>
      </c>
      <c r="V3" s="108">
        <f>IFERROR(IF(d_Bv!V3=0,0,((s_Ir*s_F*d_Bv!V3*(1-EXP(-s_RadSpec!AZ3*s_t_b)))/(s_P*s_RadSpec!AZ3))),0)</f>
        <v>7.1532260858687066E-2</v>
      </c>
      <c r="W3" s="108">
        <f>IFERROR(IF(d_Bv!W3=0,0,((s_Ir*s_F*d_Bv!W3*(1-EXP(-s_RadSpec!AZ3*s_t_b)))/(s_P*s_RadSpec!AZ3))),0)</f>
        <v>7.5506275350836358E-2</v>
      </c>
      <c r="X3" s="108">
        <f>IFERROR(IF(d_Bv!X3=0,0,((s_Ir*s_F*d_Bv!X3*(1-EXP(-s_RadSpec!AZ3*s_t_b)))/(s_P*s_RadSpec!AZ3))),0)</f>
        <v>2.1857079706821051E-2</v>
      </c>
      <c r="Y3" s="108">
        <f>IFERROR(IF(d_Bv!Y3=0,0,((s_Ir*s_F*d_Bv!Y3*(1-EXP(-s_RadSpec!AZ3*s_t_b)))/(s_P*s_RadSpec!AZ3))),0)</f>
        <v>7.1532260858687066E-2</v>
      </c>
      <c r="Z3" s="108">
        <f>IFERROR(IF(d_Bv!Z3=0,0,((s_Ir*s_F*d_Bv!Z3*(1-EXP(-s_RadSpec!AZ3*s_t_b)))/(s_P*s_RadSpec!AZ3))),0)</f>
        <v>0.19870072460746407</v>
      </c>
      <c r="AA3" s="108">
        <f>IFERROR(IF(d_Bv!AA3=0,0,((s_Ir*s_F*d_Bv!AA3*(1-EXP(-s_RadSpec!AZ3*s_t_b)))/(s_P*s_RadSpec!AZ3))),0)</f>
        <v>4.3714159413642097E-3</v>
      </c>
      <c r="AB3" s="108">
        <f>IFERROR(IF(d_Bv!C3=0,0,((s_Ir*s_F*s_MLF_apple*(1-EXP(-s_RadSpec!AZ3*s_t_b)))/(s_P*s_RadSpec!AZ3))),0)</f>
        <v>2.6824597822007652</v>
      </c>
      <c r="AC3" s="108">
        <f>IFERROR(IF(d_Bv!D3=0,0,((s_Ir*s_F*s_MLF_asparagus*(1-EXP(-s_RadSpec!AZ3*s_t_b)))/(s_P*s_RadSpec!AZ3))),0)</f>
        <v>2.6824597822007652</v>
      </c>
      <c r="AD3" s="108">
        <f>IFERROR(IF(d_Bv!E3=0,0,((s_Ir*s_F*s_MLF_beet*(1-EXP(-s_RadSpec!AZ3*s_t_b)))/(s_P*s_RadSpec!AZ3))),0)</f>
        <v>2.6824597822007652</v>
      </c>
      <c r="AE3" s="108">
        <f>IFERROR(IF(d_Bv!F3=0,0,((s_Ir*s_F*s_MLF_berries*(1-EXP(-s_RadSpec!AZ3*s_t_b)))/(s_P*s_RadSpec!AZ3))),0)</f>
        <v>2.6824597822007652</v>
      </c>
      <c r="AF3" s="108">
        <f>IFERROR(IF(d_Bv!G3=0,0,((s_Ir*s_F*s_MLF_broccoli*(1-EXP(-s_RadSpec!AZ3*s_t_b)))/(s_P*s_RadSpec!AZ3))),0)</f>
        <v>2.6824597822007652</v>
      </c>
      <c r="AG3" s="108">
        <f>IFERROR(IF(d_Bv!H3=0,0,((s_Ir*s_F*s_MLF_cabbage*(1-EXP(-s_RadSpec!AZ3*s_t_b)))/(s_P*s_RadSpec!AZ3))),0)</f>
        <v>2.6824597822007652</v>
      </c>
      <c r="AH3" s="108">
        <f>IFERROR(IF(d_Bv!I3=0,0,((s_Ir*s_F*s_MLF_carrot*(1-EXP(-s_RadSpec!AZ3*s_t_b)))/(s_P*s_RadSpec!AZ3))),0)</f>
        <v>2.6824597822007652</v>
      </c>
      <c r="AI3" s="108">
        <f>IFERROR(IF(d_Bv!J3=0,0,((s_Ir*s_F*s_MLF_citrus*(1-EXP(-s_RadSpec!AZ3*s_t_b)))/(s_P*s_RadSpec!AZ3))),0)</f>
        <v>2.6824597822007652</v>
      </c>
      <c r="AJ3" s="108">
        <f>IFERROR(IF(d_Bv!K3=0,0,((s_Ir*s_F*s_MLF_corn*(1-EXP(-s_RadSpec!AZ3*s_t_b)))/(s_P*s_RadSpec!AZ3))),0)</f>
        <v>2.6824597822007652</v>
      </c>
      <c r="AK3" s="108">
        <f>IFERROR(IF(d_Bv!L3=0,0,((s_Ir*s_F*s_MLF_cucumber*(1-EXP(-s_RadSpec!AZ3*s_t_b)))/(s_P*s_RadSpec!AZ3))),0)</f>
        <v>2.6824597822007652</v>
      </c>
      <c r="AL3" s="108">
        <f>IFERROR(IF(d_Bv!M3=0,0,((s_Ir*s_F*s_MLF_lettuce*(1-EXP(-s_RadSpec!AZ3*s_t_b)))/(s_P*s_RadSpec!AZ3))),0)</f>
        <v>2.6824597822007652</v>
      </c>
      <c r="AM3" s="108">
        <f>IFERROR(IF(d_Bv!N3=0,0,((s_Ir*s_F*s_MLF_lima_bean*(1-EXP(-s_RadSpec!AZ3*s_t_b)))/(s_P*s_RadSpec!AZ3))),0)</f>
        <v>2.6824597822007652</v>
      </c>
      <c r="AN3" s="108">
        <f>IFERROR(IF(d_Bv!O3=0,0,((s_Ir*s_F*s_MLF_okra*(1-EXP(-s_RadSpec!AZ3*s_t_b)))/(s_P*s_RadSpec!AZ3))),0)</f>
        <v>2.6824597822007652</v>
      </c>
      <c r="AO3" s="108">
        <f>IFERROR(IF(d_Bv!P3=0,0,((s_Ir*s_F*s_MLF_onion*(1-EXP(-s_RadSpec!AZ3*s_t_b)))/(s_P*s_RadSpec!AZ3))),0)</f>
        <v>2.6824597822007652</v>
      </c>
      <c r="AP3" s="108">
        <f>IFERROR(IF(d_Bv!Q3=0,0,((s_Ir*s_F*s_MLF_peach*(1-EXP(-s_RadSpec!AZ3*s_t_b)))/(s_P*s_RadSpec!AZ3))),0)</f>
        <v>2.6824597822007652</v>
      </c>
      <c r="AQ3" s="108">
        <f>IFERROR(IF(d_Bv!R3=0,0,((s_Ir*s_F*s_MLF_pear*(1-EXP(-s_RadSpec!AZ3*s_t_b)))/(s_P*s_RadSpec!AZ3))),0)</f>
        <v>2.6824597822007652</v>
      </c>
      <c r="AR3" s="108">
        <f>IFERROR(IF(d_Bv!S3=0,0,((s_Ir*s_F*s_MLF_peas*(1-EXP(-s_RadSpec!AZ3*s_t_b)))/(s_P*s_RadSpec!AZ3))),0)</f>
        <v>2.6824597822007652</v>
      </c>
      <c r="AS3" s="108">
        <f>IFERROR(IF(d_Bv!T3=0,0,((s_Ir*s_F*s_MLF_peppers*(1-EXP(-s_RadSpec!AZ3*s_t_b)))/(s_P*s_RadSpec!AZ3))),0)</f>
        <v>2.6824597822007652</v>
      </c>
      <c r="AT3" s="108">
        <f>IFERROR(IF(d_Bv!U3=0,0,((s_Ir*s_F*s_MLF_potato*(1-EXP(-s_RadSpec!AZ3*s_t_b)))/(s_P*s_RadSpec!AZ3))),0)</f>
        <v>2.6824597822007652</v>
      </c>
      <c r="AU3" s="108">
        <f>IFERROR(IF(d_Bv!V3=0,0,((s_Ir*s_F*s_MLF_pumpkin*(1-EXP(-s_RadSpec!AZ3*s_t_b)))/(s_P*s_RadSpec!AZ3))),0)</f>
        <v>2.6824597822007652</v>
      </c>
      <c r="AV3" s="108">
        <f>IFERROR(IF(d_Bv!W3=0,0,((s_Ir*s_F*s_MLF_snap_bean*(1-EXP(-s_RadSpec!AZ3*s_t_b)))/(s_P*s_RadSpec!AZ3))),0)</f>
        <v>2.6824597822007652</v>
      </c>
      <c r="AW3" s="108">
        <f>IFERROR(IF(d_Bv!X3=0,0,((s_Ir*s_F*s_MLF_strawberry*(1-EXP(-s_RadSpec!AZ3*s_t_b)))/(s_P*s_RadSpec!AZ3))),0)</f>
        <v>2.6824597822007652</v>
      </c>
      <c r="AX3" s="108">
        <f>IFERROR(IF(d_Bv!Y3=0,0,((s_Ir*s_F*s_MLF_tomato*(1-EXP(-s_RadSpec!AZ3*s_t_b)))/(s_P*s_RadSpec!AZ3))),0)</f>
        <v>2.6824597822007652</v>
      </c>
      <c r="AY3" s="108">
        <f>IFERROR(IF(d_Bv!Z3=0,0,((s_Ir*s_F*s_MLF_rice*(1-EXP(-s_RadSpec!AZ3*s_t_b)))/(s_P*s_RadSpec!AZ3))),0)</f>
        <v>2.6824597822007652</v>
      </c>
      <c r="AZ3" s="108">
        <f>IFERROR(IF(d_Bv!AA3=0,0,((s_Ir*s_F*s_MLF_cereal*(1-EXP(-s_RadSpec!AZ3*s_t_b)))/(s_P*s_RadSpec!AZ3))),0)</f>
        <v>2.6824597822007652</v>
      </c>
      <c r="BA3" s="108">
        <f>IFERROR(IF(d_Bv!C3=0,0,((s_Ir*s_F*s_I_f*s_T*(1-EXP(-s_RadSpec!BA3*s_t_v)))/(s_Y_v*s_RadSpec!BA3))),0)</f>
        <v>9.0143481925428208</v>
      </c>
      <c r="BB3" s="108">
        <f>IFERROR(IF(d_Bv!D3=0,0,((s_Ir*s_F*s_I_f*s_T*(1-EXP(-s_RadSpec!BA3*s_t_v)))/(s_Y_v*s_RadSpec!BA3))),0)</f>
        <v>9.0143481925428208</v>
      </c>
      <c r="BC3" s="108">
        <f>IFERROR(IF(d_Bv!E3=0,0,((s_Ir*s_F*s_I_f*s_T*(1-EXP(-s_RadSpec!BA3*s_t_v)))/(s_Y_v*s_RadSpec!BA3))),0)</f>
        <v>9.0143481925428208</v>
      </c>
      <c r="BD3" s="108">
        <f>IFERROR(IF(d_Bv!F3=0,0,((s_Ir*s_F*s_I_f*s_T*(1-EXP(-s_RadSpec!BA3*s_t_v)))/(s_Y_v*s_RadSpec!BA3))),0)</f>
        <v>9.0143481925428208</v>
      </c>
      <c r="BE3" s="108">
        <f>IFERROR(IF(d_Bv!G3=0,0,((s_Ir*s_F*s_I_f*s_T*(1-EXP(-s_RadSpec!BA3*s_t_v)))/(s_Y_v*s_RadSpec!BA3))),0)</f>
        <v>9.0143481925428208</v>
      </c>
      <c r="BF3" s="108">
        <f>IFERROR(IF(d_Bv!H3=0,0,((s_Ir*s_F*s_I_f*s_T*(1-EXP(-s_RadSpec!BA3*s_t_v)))/(s_Y_v*s_RadSpec!BA3))),0)</f>
        <v>9.0143481925428208</v>
      </c>
      <c r="BG3" s="108">
        <f>IFERROR(IF(d_Bv!I3=0,0,((s_Ir*s_F*s_I_f*s_T*(1-EXP(-s_RadSpec!BA3*s_t_v)))/(s_Y_v*s_RadSpec!BA3))),0)</f>
        <v>9.0143481925428208</v>
      </c>
      <c r="BH3" s="108">
        <f>IFERROR(IF(d_Bv!J3=0,0,((s_Ir*s_F*s_I_f*s_T*(1-EXP(-s_RadSpec!BA3*s_t_v)))/(s_Y_v*s_RadSpec!BA3))),0)</f>
        <v>9.0143481925428208</v>
      </c>
      <c r="BI3" s="108">
        <f>IFERROR(IF(d_Bv!K3=0,0,((s_Ir*s_F*s_I_f*s_T*(1-EXP(-s_RadSpec!BA3*s_t_v)))/(s_Y_v*s_RadSpec!BA3))),0)</f>
        <v>9.0143481925428208</v>
      </c>
      <c r="BJ3" s="108">
        <f>IFERROR(IF(d_Bv!L3=0,0,((s_Ir*s_F*s_I_f*s_T*(1-EXP(-s_RadSpec!BA3*s_t_v)))/(s_Y_v*s_RadSpec!BA3))),0)</f>
        <v>9.0143481925428208</v>
      </c>
      <c r="BK3" s="108">
        <f>IFERROR(IF(d_Bv!M3=0,0,((s_Ir*s_F*s_I_f*s_T*(1-EXP(-s_RadSpec!BA3*s_t_v)))/(s_Y_v*s_RadSpec!BA3))),0)</f>
        <v>9.0143481925428208</v>
      </c>
      <c r="BL3" s="108">
        <f>IFERROR(IF(d_Bv!N3=0,0,((s_Ir*s_F*s_I_f*s_T*(1-EXP(-s_RadSpec!BA3*s_t_v)))/(s_Y_v*s_RadSpec!BA3))),0)</f>
        <v>9.0143481925428208</v>
      </c>
      <c r="BM3" s="108">
        <f>IFERROR(IF(d_Bv!O3=0,0,((s_Ir*s_F*s_I_f*s_T*(1-EXP(-s_RadSpec!BA3*s_t_v)))/(s_Y_v*s_RadSpec!BA3))),0)</f>
        <v>9.0143481925428208</v>
      </c>
      <c r="BN3" s="108">
        <f>IFERROR(IF(d_Bv!P3=0,0,((s_Ir*s_F*s_I_f*s_T*(1-EXP(-s_RadSpec!BA3*s_t_v)))/(s_Y_v*s_RadSpec!BA3))),0)</f>
        <v>9.0143481925428208</v>
      </c>
      <c r="BO3" s="108">
        <f>IFERROR(IF(d_Bv!Q3=0,0,((s_Ir*s_F*s_I_f*s_T*(1-EXP(-s_RadSpec!BA3*s_t_v)))/(s_Y_v*s_RadSpec!BA3))),0)</f>
        <v>9.0143481925428208</v>
      </c>
      <c r="BP3" s="108">
        <f>IFERROR(IF(d_Bv!R3=0,0,((s_Ir*s_F*s_I_f*s_T*(1-EXP(-s_RadSpec!BA3*s_t_v)))/(s_Y_v*s_RadSpec!BA3))),0)</f>
        <v>9.0143481925428208</v>
      </c>
      <c r="BQ3" s="108">
        <f>IFERROR(IF(d_Bv!S3=0,0,((s_Ir*s_F*s_I_f*s_T*(1-EXP(-s_RadSpec!BA3*s_t_v)))/(s_Y_v*s_RadSpec!BA3))),0)</f>
        <v>9.0143481925428208</v>
      </c>
      <c r="BR3" s="108">
        <f>IFERROR(IF(d_Bv!T3=0,0,((s_Ir*s_F*s_I_f*s_T*(1-EXP(-s_RadSpec!BA3*s_t_v)))/(s_Y_v*s_RadSpec!BA3))),0)</f>
        <v>9.0143481925428208</v>
      </c>
      <c r="BS3" s="108">
        <f>IFERROR(IF(d_Bv!U3=0,0,((s_Ir*s_F*s_I_f*s_T*(1-EXP(-s_RadSpec!BA3*s_t_v)))/(s_Y_v*s_RadSpec!BA3))),0)</f>
        <v>9.0143481925428208</v>
      </c>
      <c r="BT3" s="108">
        <f>IFERROR(IF(d_Bv!V3=0,0,((s_Ir*s_F*s_I_f*s_T*(1-EXP(-s_RadSpec!BA3*s_t_v)))/(s_Y_v*s_RadSpec!BA3))),0)</f>
        <v>9.0143481925428208</v>
      </c>
      <c r="BU3" s="108">
        <f>IFERROR(IF(d_Bv!W3=0,0,((s_Ir*s_F*s_I_f*s_T*(1-EXP(-s_RadSpec!BA3*s_t_v)))/(s_Y_v*s_RadSpec!BA3))),0)</f>
        <v>9.0143481925428208</v>
      </c>
      <c r="BV3" s="108">
        <f>IFERROR(IF(d_Bv!X3=0,0,((s_Ir*s_F*s_I_f*s_T*(1-EXP(-s_RadSpec!BA3*s_t_v)))/(s_Y_v*s_RadSpec!BA3))),0)</f>
        <v>9.0143481925428208</v>
      </c>
      <c r="BW3" s="108">
        <f>IFERROR(IF(d_Bv!Y3=0,0,((s_Ir*s_F*s_I_f*s_T*(1-EXP(-s_RadSpec!BA3*s_t_v)))/(s_Y_v*s_RadSpec!BA3))),0)</f>
        <v>9.0143481925428208</v>
      </c>
      <c r="BX3" s="108">
        <f>IFERROR(IF(d_Bv!Z3=0,0,((s_Ir*s_F*s_I_f*s_T*(1-EXP(-s_RadSpec!BA3*s_t_v)))/(s_Y_v*s_RadSpec!BA3))),0)</f>
        <v>9.0143481925428208</v>
      </c>
      <c r="BY3" s="108">
        <f>IFERROR(IF(d_Bv!AA3=0,0,((s_Ir*s_F*s_I_f*s_T*(1-EXP(-s_RadSpec!BA3*s_t_v)))/(s_Y_v*s_RadSpec!BA3))),0)</f>
        <v>9.0143481925428208</v>
      </c>
    </row>
    <row r="4" spans="1:77" x14ac:dyDescent="0.25">
      <c r="A4" s="44" t="s">
        <v>2</v>
      </c>
      <c r="B4" s="42" t="s">
        <v>1057</v>
      </c>
      <c r="C4" s="108">
        <f>IFERROR(IF(d_Bv!C4=0,0,((s_Ir*s_F*d_Bv!C4*(1-EXP(-s_RadSpec!$AZ4*s_t_b)))/(s_P*s_RadSpec!$AZ4))),0)</f>
        <v>39.740144921492814</v>
      </c>
      <c r="D4" s="108">
        <f>IFERROR(IF(d_Bv!D4=0,0,((s_Ir*s_F*d_Bv!D4*(1-EXP(-s_RadSpec!AZ4*s_t_b)))/(s_P*s_RadSpec!AZ4))),0)</f>
        <v>39.740144921492814</v>
      </c>
      <c r="E4" s="108">
        <f>IFERROR(IF(d_Bv!E4=0,0,((s_Ir*s_F*d_Bv!E4*(1-EXP(-s_RadSpec!AZ4*s_t_b)))/(s_P*s_RadSpec!AZ4))),0)</f>
        <v>39.740144921492814</v>
      </c>
      <c r="F4" s="108">
        <f>IFERROR(IF(d_Bv!F4=0,0,((s_Ir*s_F*d_Bv!F4*(1-EXP(-s_RadSpec!AZ4*s_t_b)))/(s_P*s_RadSpec!AZ4))),0)</f>
        <v>39.740144921492814</v>
      </c>
      <c r="G4" s="108">
        <f>IFERROR(IF(d_Bv!G4=0,0,((s_Ir*s_F*d_Bv!G4*(1-EXP(-s_RadSpec!AZ4*s_t_b)))/(s_P*s_RadSpec!AZ4))),0)</f>
        <v>39.740144921492814</v>
      </c>
      <c r="H4" s="108">
        <f>IFERROR(IF(d_Bv!H4=0,0,((s_Ir*s_F*d_Bv!H4*(1-EXP(-s_RadSpec!AZ4*s_t_b)))/(s_P*s_RadSpec!AZ4))),0)</f>
        <v>39.740144921492814</v>
      </c>
      <c r="I4" s="108">
        <f>IFERROR(IF(d_Bv!I4=0,0,((s_Ir*s_F*d_Bv!I4*(1-EXP(-s_RadSpec!AZ4*s_t_b)))/(s_P*s_RadSpec!AZ4))),0)</f>
        <v>39.740144921492814</v>
      </c>
      <c r="J4" s="108">
        <f>IFERROR(IF(d_Bv!J4=0,0,((s_Ir*s_F*d_Bv!J4*(1-EXP(-s_RadSpec!AZ4*s_t_b)))/(s_P*s_RadSpec!AZ4))),0)</f>
        <v>39.740144921492814</v>
      </c>
      <c r="K4" s="108">
        <f>IFERROR(IF(d_Bv!K4=0,0,((s_Ir*s_F*d_Bv!K4*(1-EXP(-s_RadSpec!AZ4*s_t_b)))/(s_P*s_RadSpec!AZ4))),0)</f>
        <v>39.740144921492814</v>
      </c>
      <c r="L4" s="108">
        <f>IFERROR(IF(d_Bv!L4=0,0,((s_Ir*s_F*d_Bv!L4*(1-EXP(-s_RadSpec!AZ4*s_t_b)))/(s_P*s_RadSpec!AZ4))),0)</f>
        <v>39.740144921492814</v>
      </c>
      <c r="M4" s="108">
        <f>IFERROR(IF(d_Bv!M4=0,0,((s_Ir*s_F*d_Bv!M4*(1-EXP(-s_RadSpec!AZ4*s_t_b)))/(s_P*s_RadSpec!AZ4))),0)</f>
        <v>39.740144921492814</v>
      </c>
      <c r="N4" s="108">
        <f>IFERROR(IF(d_Bv!N4=0,0,((s_Ir*s_F*d_Bv!N4*(1-EXP(-s_RadSpec!AZ4*s_t_b)))/(s_P*s_RadSpec!AZ4))),0)</f>
        <v>39.740144921492814</v>
      </c>
      <c r="O4" s="108">
        <f>IFERROR(IF(d_Bv!O4=0,0,((s_Ir*s_F*d_Bv!O4*(1-EXP(-s_RadSpec!AZ4*s_t_b)))/(s_P*s_RadSpec!AZ4))),0)</f>
        <v>39.740144921492814</v>
      </c>
      <c r="P4" s="108">
        <f>IFERROR(IF(d_Bv!P4=0,0,((s_Ir*s_F*d_Bv!P4*(1-EXP(-s_RadSpec!AZ4*s_t_b)))/(s_P*s_RadSpec!AZ4))),0)</f>
        <v>39.740144921492814</v>
      </c>
      <c r="Q4" s="108">
        <f>IFERROR(IF(d_Bv!Q4=0,0,((s_Ir*s_F*d_Bv!Q4*(1-EXP(-s_RadSpec!AZ4*s_t_b)))/(s_P*s_RadSpec!AZ4))),0)</f>
        <v>39.740144921492814</v>
      </c>
      <c r="R4" s="108">
        <f>IFERROR(IF(d_Bv!R4=0,0,((s_Ir*s_F*d_Bv!R4*(1-EXP(-s_RadSpec!AZ4*s_t_b)))/(s_P*s_RadSpec!AZ4))),0)</f>
        <v>39.740144921492814</v>
      </c>
      <c r="S4" s="108">
        <f>IFERROR(IF(d_Bv!S4=0,0,((s_Ir*s_F*d_Bv!S4*(1-EXP(-s_RadSpec!AZ4*s_t_b)))/(s_P*s_RadSpec!AZ4))),0)</f>
        <v>39.740144921492814</v>
      </c>
      <c r="T4" s="108">
        <f>IFERROR(IF(d_Bv!T4=0,0,((s_Ir*s_F*d_Bv!T4*(1-EXP(-s_RadSpec!AZ4*s_t_b)))/(s_P*s_RadSpec!AZ4))),0)</f>
        <v>39.740144921492814</v>
      </c>
      <c r="U4" s="108">
        <f>IFERROR(IF(d_Bv!U4=0,0,((s_Ir*s_F*d_Bv!U4*(1-EXP(-s_RadSpec!AZ4*s_t_b)))/(s_P*s_RadSpec!AZ4))),0)</f>
        <v>39.740144921492814</v>
      </c>
      <c r="V4" s="108">
        <f>IFERROR(IF(d_Bv!V4=0,0,((s_Ir*s_F*d_Bv!V4*(1-EXP(-s_RadSpec!AZ4*s_t_b)))/(s_P*s_RadSpec!AZ4))),0)</f>
        <v>39.740144921492814</v>
      </c>
      <c r="W4" s="108">
        <f>IFERROR(IF(d_Bv!W4=0,0,((s_Ir*s_F*d_Bv!W4*(1-EXP(-s_RadSpec!AZ4*s_t_b)))/(s_P*s_RadSpec!AZ4))),0)</f>
        <v>39.740144921492814</v>
      </c>
      <c r="X4" s="108">
        <f>IFERROR(IF(d_Bv!X4=0,0,((s_Ir*s_F*d_Bv!X4*(1-EXP(-s_RadSpec!AZ4*s_t_b)))/(s_P*s_RadSpec!AZ4))),0)</f>
        <v>39.740144921492814</v>
      </c>
      <c r="Y4" s="108">
        <f>IFERROR(IF(d_Bv!Y4=0,0,((s_Ir*s_F*d_Bv!Y4*(1-EXP(-s_RadSpec!AZ4*s_t_b)))/(s_P*s_RadSpec!AZ4))),0)</f>
        <v>39.740144921492814</v>
      </c>
      <c r="Z4" s="108">
        <f>IFERROR(IF(d_Bv!Z4=0,0,((s_Ir*s_F*d_Bv!Z4*(1-EXP(-s_RadSpec!AZ4*s_t_b)))/(s_P*s_RadSpec!AZ4))),0)</f>
        <v>39.740144921492814</v>
      </c>
      <c r="AA4" s="108">
        <f>IFERROR(IF(d_Bv!AA4=0,0,((s_Ir*s_F*d_Bv!AA4*(1-EXP(-s_RadSpec!AZ4*s_t_b)))/(s_P*s_RadSpec!AZ4))),0)</f>
        <v>39.740144921492814</v>
      </c>
      <c r="AB4" s="108">
        <f>IFERROR(IF(d_Bv!C4=0,0,((s_Ir*s_F*s_MLF_apple*(1-EXP(-s_RadSpec!AZ4*s_t_b)))/(s_P*s_RadSpec!AZ4))),0)</f>
        <v>2.6824597822007652</v>
      </c>
      <c r="AC4" s="108">
        <f>IFERROR(IF(d_Bv!D4=0,0,((s_Ir*s_F*s_MLF_asparagus*(1-EXP(-s_RadSpec!AZ4*s_t_b)))/(s_P*s_RadSpec!AZ4))),0)</f>
        <v>2.6824597822007652</v>
      </c>
      <c r="AD4" s="108">
        <f>IFERROR(IF(d_Bv!E4=0,0,((s_Ir*s_F*s_MLF_beet*(1-EXP(-s_RadSpec!AZ4*s_t_b)))/(s_P*s_RadSpec!AZ4))),0)</f>
        <v>2.6824597822007652</v>
      </c>
      <c r="AE4" s="108">
        <f>IFERROR(IF(d_Bv!F4=0,0,((s_Ir*s_F*s_MLF_berries*(1-EXP(-s_RadSpec!AZ4*s_t_b)))/(s_P*s_RadSpec!AZ4))),0)</f>
        <v>2.6824597822007652</v>
      </c>
      <c r="AF4" s="108">
        <f>IFERROR(IF(d_Bv!G4=0,0,((s_Ir*s_F*s_MLF_broccoli*(1-EXP(-s_RadSpec!AZ4*s_t_b)))/(s_P*s_RadSpec!AZ4))),0)</f>
        <v>2.6824597822007652</v>
      </c>
      <c r="AG4" s="108">
        <f>IFERROR(IF(d_Bv!H4=0,0,((s_Ir*s_F*s_MLF_cabbage*(1-EXP(-s_RadSpec!AZ4*s_t_b)))/(s_P*s_RadSpec!AZ4))),0)</f>
        <v>2.6824597822007652</v>
      </c>
      <c r="AH4" s="108">
        <f>IFERROR(IF(d_Bv!I4=0,0,((s_Ir*s_F*s_MLF_carrot*(1-EXP(-s_RadSpec!AZ4*s_t_b)))/(s_P*s_RadSpec!AZ4))),0)</f>
        <v>2.6824597822007652</v>
      </c>
      <c r="AI4" s="108">
        <f>IFERROR(IF(d_Bv!J4=0,0,((s_Ir*s_F*s_MLF_citrus*(1-EXP(-s_RadSpec!AZ4*s_t_b)))/(s_P*s_RadSpec!AZ4))),0)</f>
        <v>2.6824597822007652</v>
      </c>
      <c r="AJ4" s="108">
        <f>IFERROR(IF(d_Bv!K4=0,0,((s_Ir*s_F*s_MLF_corn*(1-EXP(-s_RadSpec!AZ4*s_t_b)))/(s_P*s_RadSpec!AZ4))),0)</f>
        <v>2.6824597822007652</v>
      </c>
      <c r="AK4" s="108">
        <f>IFERROR(IF(d_Bv!L4=0,0,((s_Ir*s_F*s_MLF_cucumber*(1-EXP(-s_RadSpec!AZ4*s_t_b)))/(s_P*s_RadSpec!AZ4))),0)</f>
        <v>2.6824597822007652</v>
      </c>
      <c r="AL4" s="108">
        <f>IFERROR(IF(d_Bv!M4=0,0,((s_Ir*s_F*s_MLF_lettuce*(1-EXP(-s_RadSpec!AZ4*s_t_b)))/(s_P*s_RadSpec!AZ4))),0)</f>
        <v>2.6824597822007652</v>
      </c>
      <c r="AM4" s="108">
        <f>IFERROR(IF(d_Bv!N4=0,0,((s_Ir*s_F*s_MLF_lima_bean*(1-EXP(-s_RadSpec!AZ4*s_t_b)))/(s_P*s_RadSpec!AZ4))),0)</f>
        <v>2.6824597822007652</v>
      </c>
      <c r="AN4" s="108">
        <f>IFERROR(IF(d_Bv!O4=0,0,((s_Ir*s_F*s_MLF_okra*(1-EXP(-s_RadSpec!AZ4*s_t_b)))/(s_P*s_RadSpec!AZ4))),0)</f>
        <v>2.6824597822007652</v>
      </c>
      <c r="AO4" s="108">
        <f>IFERROR(IF(d_Bv!P4=0,0,((s_Ir*s_F*s_MLF_onion*(1-EXP(-s_RadSpec!AZ4*s_t_b)))/(s_P*s_RadSpec!AZ4))),0)</f>
        <v>2.6824597822007652</v>
      </c>
      <c r="AP4" s="108">
        <f>IFERROR(IF(d_Bv!Q4=0,0,((s_Ir*s_F*s_MLF_peach*(1-EXP(-s_RadSpec!AZ4*s_t_b)))/(s_P*s_RadSpec!AZ4))),0)</f>
        <v>2.6824597822007652</v>
      </c>
      <c r="AQ4" s="108">
        <f>IFERROR(IF(d_Bv!R4=0,0,((s_Ir*s_F*s_MLF_pear*(1-EXP(-s_RadSpec!AZ4*s_t_b)))/(s_P*s_RadSpec!AZ4))),0)</f>
        <v>2.6824597822007652</v>
      </c>
      <c r="AR4" s="108">
        <f>IFERROR(IF(d_Bv!S4=0,0,((s_Ir*s_F*s_MLF_peas*(1-EXP(-s_RadSpec!AZ4*s_t_b)))/(s_P*s_RadSpec!AZ4))),0)</f>
        <v>2.6824597822007652</v>
      </c>
      <c r="AS4" s="108">
        <f>IFERROR(IF(d_Bv!T4=0,0,((s_Ir*s_F*s_MLF_peppers*(1-EXP(-s_RadSpec!AZ4*s_t_b)))/(s_P*s_RadSpec!AZ4))),0)</f>
        <v>2.6824597822007652</v>
      </c>
      <c r="AT4" s="108">
        <f>IFERROR(IF(d_Bv!U4=0,0,((s_Ir*s_F*s_MLF_potato*(1-EXP(-s_RadSpec!AZ4*s_t_b)))/(s_P*s_RadSpec!AZ4))),0)</f>
        <v>2.6824597822007652</v>
      </c>
      <c r="AU4" s="108">
        <f>IFERROR(IF(d_Bv!V4=0,0,((s_Ir*s_F*s_MLF_pumpkin*(1-EXP(-s_RadSpec!AZ4*s_t_b)))/(s_P*s_RadSpec!AZ4))),0)</f>
        <v>2.6824597822007652</v>
      </c>
      <c r="AV4" s="108">
        <f>IFERROR(IF(d_Bv!W4=0,0,((s_Ir*s_F*s_MLF_snap_bean*(1-EXP(-s_RadSpec!AZ4*s_t_b)))/(s_P*s_RadSpec!AZ4))),0)</f>
        <v>2.6824597822007652</v>
      </c>
      <c r="AW4" s="108">
        <f>IFERROR(IF(d_Bv!X4=0,0,((s_Ir*s_F*s_MLF_strawberry*(1-EXP(-s_RadSpec!AZ4*s_t_b)))/(s_P*s_RadSpec!AZ4))),0)</f>
        <v>2.6824597822007652</v>
      </c>
      <c r="AX4" s="108">
        <f>IFERROR(IF(d_Bv!Y4=0,0,((s_Ir*s_F*s_MLF_tomato*(1-EXP(-s_RadSpec!AZ4*s_t_b)))/(s_P*s_RadSpec!AZ4))),0)</f>
        <v>2.6824597822007652</v>
      </c>
      <c r="AY4" s="108">
        <f>IFERROR(IF(d_Bv!Z4=0,0,((s_Ir*s_F*s_MLF_rice*(1-EXP(-s_RadSpec!AZ4*s_t_b)))/(s_P*s_RadSpec!AZ4))),0)</f>
        <v>2.6824597822007652</v>
      </c>
      <c r="AZ4" s="108">
        <f>IFERROR(IF(d_Bv!AA4=0,0,((s_Ir*s_F*s_MLF_cereal*(1-EXP(-s_RadSpec!AZ4*s_t_b)))/(s_P*s_RadSpec!AZ4))),0)</f>
        <v>2.6824597822007652</v>
      </c>
      <c r="BA4" s="108">
        <f>IFERROR(IF(d_Bv!C4=0,0,((s_Ir*s_F*s_I_f*s_T*(1-EXP(-s_RadSpec!BA4*s_t_v)))/(s_Y_v*s_RadSpec!BA4))),0)</f>
        <v>9.0143481925428208</v>
      </c>
      <c r="BB4" s="108">
        <f>IFERROR(IF(d_Bv!D4=0,0,((s_Ir*s_F*s_I_f*s_T*(1-EXP(-s_RadSpec!BA4*s_t_v)))/(s_Y_v*s_RadSpec!BA4))),0)</f>
        <v>9.0143481925428208</v>
      </c>
      <c r="BC4" s="108">
        <f>IFERROR(IF(d_Bv!E4=0,0,((s_Ir*s_F*s_I_f*s_T*(1-EXP(-s_RadSpec!BA4*s_t_v)))/(s_Y_v*s_RadSpec!BA4))),0)</f>
        <v>9.0143481925428208</v>
      </c>
      <c r="BD4" s="108">
        <f>IFERROR(IF(d_Bv!F4=0,0,((s_Ir*s_F*s_I_f*s_T*(1-EXP(-s_RadSpec!BA4*s_t_v)))/(s_Y_v*s_RadSpec!BA4))),0)</f>
        <v>9.0143481925428208</v>
      </c>
      <c r="BE4" s="108">
        <f>IFERROR(IF(d_Bv!G4=0,0,((s_Ir*s_F*s_I_f*s_T*(1-EXP(-s_RadSpec!BA4*s_t_v)))/(s_Y_v*s_RadSpec!BA4))),0)</f>
        <v>9.0143481925428208</v>
      </c>
      <c r="BF4" s="108">
        <f>IFERROR(IF(d_Bv!H4=0,0,((s_Ir*s_F*s_I_f*s_T*(1-EXP(-s_RadSpec!BA4*s_t_v)))/(s_Y_v*s_RadSpec!BA4))),0)</f>
        <v>9.0143481925428208</v>
      </c>
      <c r="BG4" s="108">
        <f>IFERROR(IF(d_Bv!I4=0,0,((s_Ir*s_F*s_I_f*s_T*(1-EXP(-s_RadSpec!BA4*s_t_v)))/(s_Y_v*s_RadSpec!BA4))),0)</f>
        <v>9.0143481925428208</v>
      </c>
      <c r="BH4" s="108">
        <f>IFERROR(IF(d_Bv!J4=0,0,((s_Ir*s_F*s_I_f*s_T*(1-EXP(-s_RadSpec!BA4*s_t_v)))/(s_Y_v*s_RadSpec!BA4))),0)</f>
        <v>9.0143481925428208</v>
      </c>
      <c r="BI4" s="108">
        <f>IFERROR(IF(d_Bv!K4=0,0,((s_Ir*s_F*s_I_f*s_T*(1-EXP(-s_RadSpec!BA4*s_t_v)))/(s_Y_v*s_RadSpec!BA4))),0)</f>
        <v>9.0143481925428208</v>
      </c>
      <c r="BJ4" s="108">
        <f>IFERROR(IF(d_Bv!L4=0,0,((s_Ir*s_F*s_I_f*s_T*(1-EXP(-s_RadSpec!BA4*s_t_v)))/(s_Y_v*s_RadSpec!BA4))),0)</f>
        <v>9.0143481925428208</v>
      </c>
      <c r="BK4" s="108">
        <f>IFERROR(IF(d_Bv!M4=0,0,((s_Ir*s_F*s_I_f*s_T*(1-EXP(-s_RadSpec!BA4*s_t_v)))/(s_Y_v*s_RadSpec!BA4))),0)</f>
        <v>9.0143481925428208</v>
      </c>
      <c r="BL4" s="108">
        <f>IFERROR(IF(d_Bv!N4=0,0,((s_Ir*s_F*s_I_f*s_T*(1-EXP(-s_RadSpec!BA4*s_t_v)))/(s_Y_v*s_RadSpec!BA4))),0)</f>
        <v>9.0143481925428208</v>
      </c>
      <c r="BM4" s="108">
        <f>IFERROR(IF(d_Bv!O4=0,0,((s_Ir*s_F*s_I_f*s_T*(1-EXP(-s_RadSpec!BA4*s_t_v)))/(s_Y_v*s_RadSpec!BA4))),0)</f>
        <v>9.0143481925428208</v>
      </c>
      <c r="BN4" s="108">
        <f>IFERROR(IF(d_Bv!P4=0,0,((s_Ir*s_F*s_I_f*s_T*(1-EXP(-s_RadSpec!BA4*s_t_v)))/(s_Y_v*s_RadSpec!BA4))),0)</f>
        <v>9.0143481925428208</v>
      </c>
      <c r="BO4" s="108">
        <f>IFERROR(IF(d_Bv!Q4=0,0,((s_Ir*s_F*s_I_f*s_T*(1-EXP(-s_RadSpec!BA4*s_t_v)))/(s_Y_v*s_RadSpec!BA4))),0)</f>
        <v>9.0143481925428208</v>
      </c>
      <c r="BP4" s="108">
        <f>IFERROR(IF(d_Bv!R4=0,0,((s_Ir*s_F*s_I_f*s_T*(1-EXP(-s_RadSpec!BA4*s_t_v)))/(s_Y_v*s_RadSpec!BA4))),0)</f>
        <v>9.0143481925428208</v>
      </c>
      <c r="BQ4" s="108">
        <f>IFERROR(IF(d_Bv!S4=0,0,((s_Ir*s_F*s_I_f*s_T*(1-EXP(-s_RadSpec!BA4*s_t_v)))/(s_Y_v*s_RadSpec!BA4))),0)</f>
        <v>9.0143481925428208</v>
      </c>
      <c r="BR4" s="108">
        <f>IFERROR(IF(d_Bv!T4=0,0,((s_Ir*s_F*s_I_f*s_T*(1-EXP(-s_RadSpec!BA4*s_t_v)))/(s_Y_v*s_RadSpec!BA4))),0)</f>
        <v>9.0143481925428208</v>
      </c>
      <c r="BS4" s="108">
        <f>IFERROR(IF(d_Bv!U4=0,0,((s_Ir*s_F*s_I_f*s_T*(1-EXP(-s_RadSpec!BA4*s_t_v)))/(s_Y_v*s_RadSpec!BA4))),0)</f>
        <v>9.0143481925428208</v>
      </c>
      <c r="BT4" s="108">
        <f>IFERROR(IF(d_Bv!V4=0,0,((s_Ir*s_F*s_I_f*s_T*(1-EXP(-s_RadSpec!BA4*s_t_v)))/(s_Y_v*s_RadSpec!BA4))),0)</f>
        <v>9.0143481925428208</v>
      </c>
      <c r="BU4" s="108">
        <f>IFERROR(IF(d_Bv!W4=0,0,((s_Ir*s_F*s_I_f*s_T*(1-EXP(-s_RadSpec!BA4*s_t_v)))/(s_Y_v*s_RadSpec!BA4))),0)</f>
        <v>9.0143481925428208</v>
      </c>
      <c r="BV4" s="108">
        <f>IFERROR(IF(d_Bv!X4=0,0,((s_Ir*s_F*s_I_f*s_T*(1-EXP(-s_RadSpec!BA4*s_t_v)))/(s_Y_v*s_RadSpec!BA4))),0)</f>
        <v>9.0143481925428208</v>
      </c>
      <c r="BW4" s="108">
        <f>IFERROR(IF(d_Bv!Y4=0,0,((s_Ir*s_F*s_I_f*s_T*(1-EXP(-s_RadSpec!BA4*s_t_v)))/(s_Y_v*s_RadSpec!BA4))),0)</f>
        <v>9.0143481925428208</v>
      </c>
      <c r="BX4" s="108">
        <f>IFERROR(IF(d_Bv!Z4=0,0,((s_Ir*s_F*s_I_f*s_T*(1-EXP(-s_RadSpec!BA4*s_t_v)))/(s_Y_v*s_RadSpec!BA4))),0)</f>
        <v>9.0143481925428208</v>
      </c>
      <c r="BY4" s="108">
        <f>IFERROR(IF(d_Bv!AA4=0,0,((s_Ir*s_F*s_I_f*s_T*(1-EXP(-s_RadSpec!BA4*s_t_v)))/(s_Y_v*s_RadSpec!BA4))),0)</f>
        <v>9.0143481925428208</v>
      </c>
    </row>
    <row r="5" spans="1:77" x14ac:dyDescent="0.25">
      <c r="A5" s="44" t="s">
        <v>3</v>
      </c>
      <c r="B5" s="42" t="s">
        <v>1057</v>
      </c>
      <c r="C5" s="108">
        <f>IFERROR(IF(d_Bv!C5=0,0,((s_Ir*s_F*d_Bv!C5*(1-EXP(-s_RadSpec!$AZ5*s_t_b)))/(s_P*s_RadSpec!$AZ5))),0)</f>
        <v>39.740144921492814</v>
      </c>
      <c r="D5" s="108">
        <f>IFERROR(IF(d_Bv!D5=0,0,((s_Ir*s_F*d_Bv!D5*(1-EXP(-s_RadSpec!AZ5*s_t_b)))/(s_P*s_RadSpec!AZ5))),0)</f>
        <v>39.740144921492814</v>
      </c>
      <c r="E5" s="108">
        <f>IFERROR(IF(d_Bv!E5=0,0,((s_Ir*s_F*d_Bv!E5*(1-EXP(-s_RadSpec!AZ5*s_t_b)))/(s_P*s_RadSpec!AZ5))),0)</f>
        <v>39.740144921492814</v>
      </c>
      <c r="F5" s="108">
        <f>IFERROR(IF(d_Bv!F5=0,0,((s_Ir*s_F*d_Bv!F5*(1-EXP(-s_RadSpec!AZ5*s_t_b)))/(s_P*s_RadSpec!AZ5))),0)</f>
        <v>39.740144921492814</v>
      </c>
      <c r="G5" s="108">
        <f>IFERROR(IF(d_Bv!G5=0,0,((s_Ir*s_F*d_Bv!G5*(1-EXP(-s_RadSpec!AZ5*s_t_b)))/(s_P*s_RadSpec!AZ5))),0)</f>
        <v>39.740144921492814</v>
      </c>
      <c r="H5" s="108">
        <f>IFERROR(IF(d_Bv!H5=0,0,((s_Ir*s_F*d_Bv!H5*(1-EXP(-s_RadSpec!AZ5*s_t_b)))/(s_P*s_RadSpec!AZ5))),0)</f>
        <v>39.740144921492814</v>
      </c>
      <c r="I5" s="108">
        <f>IFERROR(IF(d_Bv!I5=0,0,((s_Ir*s_F*d_Bv!I5*(1-EXP(-s_RadSpec!AZ5*s_t_b)))/(s_P*s_RadSpec!AZ5))),0)</f>
        <v>39.740144921492814</v>
      </c>
      <c r="J5" s="108">
        <f>IFERROR(IF(d_Bv!J5=0,0,((s_Ir*s_F*d_Bv!J5*(1-EXP(-s_RadSpec!AZ5*s_t_b)))/(s_P*s_RadSpec!AZ5))),0)</f>
        <v>39.740144921492814</v>
      </c>
      <c r="K5" s="108">
        <f>IFERROR(IF(d_Bv!K5=0,0,((s_Ir*s_F*d_Bv!K5*(1-EXP(-s_RadSpec!AZ5*s_t_b)))/(s_P*s_RadSpec!AZ5))),0)</f>
        <v>39.740144921492814</v>
      </c>
      <c r="L5" s="108">
        <f>IFERROR(IF(d_Bv!L5=0,0,((s_Ir*s_F*d_Bv!L5*(1-EXP(-s_RadSpec!AZ5*s_t_b)))/(s_P*s_RadSpec!AZ5))),0)</f>
        <v>39.740144921492814</v>
      </c>
      <c r="M5" s="108">
        <f>IFERROR(IF(d_Bv!M5=0,0,((s_Ir*s_F*d_Bv!M5*(1-EXP(-s_RadSpec!AZ5*s_t_b)))/(s_P*s_RadSpec!AZ5))),0)</f>
        <v>39.740144921492814</v>
      </c>
      <c r="N5" s="108">
        <f>IFERROR(IF(d_Bv!N5=0,0,((s_Ir*s_F*d_Bv!N5*(1-EXP(-s_RadSpec!AZ5*s_t_b)))/(s_P*s_RadSpec!AZ5))),0)</f>
        <v>39.740144921492814</v>
      </c>
      <c r="O5" s="108">
        <f>IFERROR(IF(d_Bv!O5=0,0,((s_Ir*s_F*d_Bv!O5*(1-EXP(-s_RadSpec!AZ5*s_t_b)))/(s_P*s_RadSpec!AZ5))),0)</f>
        <v>39.740144921492814</v>
      </c>
      <c r="P5" s="108">
        <f>IFERROR(IF(d_Bv!P5=0,0,((s_Ir*s_F*d_Bv!P5*(1-EXP(-s_RadSpec!AZ5*s_t_b)))/(s_P*s_RadSpec!AZ5))),0)</f>
        <v>39.740144921492814</v>
      </c>
      <c r="Q5" s="108">
        <f>IFERROR(IF(d_Bv!Q5=0,0,((s_Ir*s_F*d_Bv!Q5*(1-EXP(-s_RadSpec!AZ5*s_t_b)))/(s_P*s_RadSpec!AZ5))),0)</f>
        <v>39.740144921492814</v>
      </c>
      <c r="R5" s="108">
        <f>IFERROR(IF(d_Bv!R5=0,0,((s_Ir*s_F*d_Bv!R5*(1-EXP(-s_RadSpec!AZ5*s_t_b)))/(s_P*s_RadSpec!AZ5))),0)</f>
        <v>39.740144921492814</v>
      </c>
      <c r="S5" s="108">
        <f>IFERROR(IF(d_Bv!S5=0,0,((s_Ir*s_F*d_Bv!S5*(1-EXP(-s_RadSpec!AZ5*s_t_b)))/(s_P*s_RadSpec!AZ5))),0)</f>
        <v>39.740144921492814</v>
      </c>
      <c r="T5" s="108">
        <f>IFERROR(IF(d_Bv!T5=0,0,((s_Ir*s_F*d_Bv!T5*(1-EXP(-s_RadSpec!AZ5*s_t_b)))/(s_P*s_RadSpec!AZ5))),0)</f>
        <v>39.740144921492814</v>
      </c>
      <c r="U5" s="108">
        <f>IFERROR(IF(d_Bv!U5=0,0,((s_Ir*s_F*d_Bv!U5*(1-EXP(-s_RadSpec!AZ5*s_t_b)))/(s_P*s_RadSpec!AZ5))),0)</f>
        <v>39.740144921492814</v>
      </c>
      <c r="V5" s="108">
        <f>IFERROR(IF(d_Bv!V5=0,0,((s_Ir*s_F*d_Bv!V5*(1-EXP(-s_RadSpec!AZ5*s_t_b)))/(s_P*s_RadSpec!AZ5))),0)</f>
        <v>39.740144921492814</v>
      </c>
      <c r="W5" s="108">
        <f>IFERROR(IF(d_Bv!W5=0,0,((s_Ir*s_F*d_Bv!W5*(1-EXP(-s_RadSpec!AZ5*s_t_b)))/(s_P*s_RadSpec!AZ5))),0)</f>
        <v>39.740144921492814</v>
      </c>
      <c r="X5" s="108">
        <f>IFERROR(IF(d_Bv!X5=0,0,((s_Ir*s_F*d_Bv!X5*(1-EXP(-s_RadSpec!AZ5*s_t_b)))/(s_P*s_RadSpec!AZ5))),0)</f>
        <v>39.740144921492814</v>
      </c>
      <c r="Y5" s="108">
        <f>IFERROR(IF(d_Bv!Y5=0,0,((s_Ir*s_F*d_Bv!Y5*(1-EXP(-s_RadSpec!AZ5*s_t_b)))/(s_P*s_RadSpec!AZ5))),0)</f>
        <v>39.740144921492814</v>
      </c>
      <c r="Z5" s="108">
        <f>IFERROR(IF(d_Bv!Z5=0,0,((s_Ir*s_F*d_Bv!Z5*(1-EXP(-s_RadSpec!AZ5*s_t_b)))/(s_P*s_RadSpec!AZ5))),0)</f>
        <v>39.740144921492814</v>
      </c>
      <c r="AA5" s="108">
        <f>IFERROR(IF(d_Bv!AA5=0,0,((s_Ir*s_F*d_Bv!AA5*(1-EXP(-s_RadSpec!AZ5*s_t_b)))/(s_P*s_RadSpec!AZ5))),0)</f>
        <v>39.740144921492814</v>
      </c>
      <c r="AB5" s="108">
        <f>IFERROR(IF(d_Bv!C5=0,0,((s_Ir*s_F*s_MLF_apple*(1-EXP(-s_RadSpec!AZ5*s_t_b)))/(s_P*s_RadSpec!AZ5))),0)</f>
        <v>2.6824597822007652</v>
      </c>
      <c r="AC5" s="108">
        <f>IFERROR(IF(d_Bv!D5=0,0,((s_Ir*s_F*s_MLF_asparagus*(1-EXP(-s_RadSpec!AZ5*s_t_b)))/(s_P*s_RadSpec!AZ5))),0)</f>
        <v>2.6824597822007652</v>
      </c>
      <c r="AD5" s="108">
        <f>IFERROR(IF(d_Bv!E5=0,0,((s_Ir*s_F*s_MLF_beet*(1-EXP(-s_RadSpec!AZ5*s_t_b)))/(s_P*s_RadSpec!AZ5))),0)</f>
        <v>2.6824597822007652</v>
      </c>
      <c r="AE5" s="108">
        <f>IFERROR(IF(d_Bv!F5=0,0,((s_Ir*s_F*s_MLF_berries*(1-EXP(-s_RadSpec!AZ5*s_t_b)))/(s_P*s_RadSpec!AZ5))),0)</f>
        <v>2.6824597822007652</v>
      </c>
      <c r="AF5" s="108">
        <f>IFERROR(IF(d_Bv!G5=0,0,((s_Ir*s_F*s_MLF_broccoli*(1-EXP(-s_RadSpec!AZ5*s_t_b)))/(s_P*s_RadSpec!AZ5))),0)</f>
        <v>2.6824597822007652</v>
      </c>
      <c r="AG5" s="108">
        <f>IFERROR(IF(d_Bv!H5=0,0,((s_Ir*s_F*s_MLF_cabbage*(1-EXP(-s_RadSpec!AZ5*s_t_b)))/(s_P*s_RadSpec!AZ5))),0)</f>
        <v>2.6824597822007652</v>
      </c>
      <c r="AH5" s="108">
        <f>IFERROR(IF(d_Bv!I5=0,0,((s_Ir*s_F*s_MLF_carrot*(1-EXP(-s_RadSpec!AZ5*s_t_b)))/(s_P*s_RadSpec!AZ5))),0)</f>
        <v>2.6824597822007652</v>
      </c>
      <c r="AI5" s="108">
        <f>IFERROR(IF(d_Bv!J5=0,0,((s_Ir*s_F*s_MLF_citrus*(1-EXP(-s_RadSpec!AZ5*s_t_b)))/(s_P*s_RadSpec!AZ5))),0)</f>
        <v>2.6824597822007652</v>
      </c>
      <c r="AJ5" s="108">
        <f>IFERROR(IF(d_Bv!K5=0,0,((s_Ir*s_F*s_MLF_corn*(1-EXP(-s_RadSpec!AZ5*s_t_b)))/(s_P*s_RadSpec!AZ5))),0)</f>
        <v>2.6824597822007652</v>
      </c>
      <c r="AK5" s="108">
        <f>IFERROR(IF(d_Bv!L5=0,0,((s_Ir*s_F*s_MLF_cucumber*(1-EXP(-s_RadSpec!AZ5*s_t_b)))/(s_P*s_RadSpec!AZ5))),0)</f>
        <v>2.6824597822007652</v>
      </c>
      <c r="AL5" s="108">
        <f>IFERROR(IF(d_Bv!M5=0,0,((s_Ir*s_F*s_MLF_lettuce*(1-EXP(-s_RadSpec!AZ5*s_t_b)))/(s_P*s_RadSpec!AZ5))),0)</f>
        <v>2.6824597822007652</v>
      </c>
      <c r="AM5" s="108">
        <f>IFERROR(IF(d_Bv!N5=0,0,((s_Ir*s_F*s_MLF_lima_bean*(1-EXP(-s_RadSpec!AZ5*s_t_b)))/(s_P*s_RadSpec!AZ5))),0)</f>
        <v>2.6824597822007652</v>
      </c>
      <c r="AN5" s="108">
        <f>IFERROR(IF(d_Bv!O5=0,0,((s_Ir*s_F*s_MLF_okra*(1-EXP(-s_RadSpec!AZ5*s_t_b)))/(s_P*s_RadSpec!AZ5))),0)</f>
        <v>2.6824597822007652</v>
      </c>
      <c r="AO5" s="108">
        <f>IFERROR(IF(d_Bv!P5=0,0,((s_Ir*s_F*s_MLF_onion*(1-EXP(-s_RadSpec!AZ5*s_t_b)))/(s_P*s_RadSpec!AZ5))),0)</f>
        <v>2.6824597822007652</v>
      </c>
      <c r="AP5" s="108">
        <f>IFERROR(IF(d_Bv!Q5=0,0,((s_Ir*s_F*s_MLF_peach*(1-EXP(-s_RadSpec!AZ5*s_t_b)))/(s_P*s_RadSpec!AZ5))),0)</f>
        <v>2.6824597822007652</v>
      </c>
      <c r="AQ5" s="108">
        <f>IFERROR(IF(d_Bv!R5=0,0,((s_Ir*s_F*s_MLF_pear*(1-EXP(-s_RadSpec!AZ5*s_t_b)))/(s_P*s_RadSpec!AZ5))),0)</f>
        <v>2.6824597822007652</v>
      </c>
      <c r="AR5" s="108">
        <f>IFERROR(IF(d_Bv!S5=0,0,((s_Ir*s_F*s_MLF_peas*(1-EXP(-s_RadSpec!AZ5*s_t_b)))/(s_P*s_RadSpec!AZ5))),0)</f>
        <v>2.6824597822007652</v>
      </c>
      <c r="AS5" s="108">
        <f>IFERROR(IF(d_Bv!T5=0,0,((s_Ir*s_F*s_MLF_peppers*(1-EXP(-s_RadSpec!AZ5*s_t_b)))/(s_P*s_RadSpec!AZ5))),0)</f>
        <v>2.6824597822007652</v>
      </c>
      <c r="AT5" s="108">
        <f>IFERROR(IF(d_Bv!U5=0,0,((s_Ir*s_F*s_MLF_potato*(1-EXP(-s_RadSpec!AZ5*s_t_b)))/(s_P*s_RadSpec!AZ5))),0)</f>
        <v>2.6824597822007652</v>
      </c>
      <c r="AU5" s="108">
        <f>IFERROR(IF(d_Bv!V5=0,0,((s_Ir*s_F*s_MLF_pumpkin*(1-EXP(-s_RadSpec!AZ5*s_t_b)))/(s_P*s_RadSpec!AZ5))),0)</f>
        <v>2.6824597822007652</v>
      </c>
      <c r="AV5" s="108">
        <f>IFERROR(IF(d_Bv!W5=0,0,((s_Ir*s_F*s_MLF_snap_bean*(1-EXP(-s_RadSpec!AZ5*s_t_b)))/(s_P*s_RadSpec!AZ5))),0)</f>
        <v>2.6824597822007652</v>
      </c>
      <c r="AW5" s="108">
        <f>IFERROR(IF(d_Bv!X5=0,0,((s_Ir*s_F*s_MLF_strawberry*(1-EXP(-s_RadSpec!AZ5*s_t_b)))/(s_P*s_RadSpec!AZ5))),0)</f>
        <v>2.6824597822007652</v>
      </c>
      <c r="AX5" s="108">
        <f>IFERROR(IF(d_Bv!Y5=0,0,((s_Ir*s_F*s_MLF_tomato*(1-EXP(-s_RadSpec!AZ5*s_t_b)))/(s_P*s_RadSpec!AZ5))),0)</f>
        <v>2.6824597822007652</v>
      </c>
      <c r="AY5" s="108">
        <f>IFERROR(IF(d_Bv!Z5=0,0,((s_Ir*s_F*s_MLF_rice*(1-EXP(-s_RadSpec!AZ5*s_t_b)))/(s_P*s_RadSpec!AZ5))),0)</f>
        <v>2.6824597822007652</v>
      </c>
      <c r="AZ5" s="108">
        <f>IFERROR(IF(d_Bv!AA5=0,0,((s_Ir*s_F*s_MLF_cereal*(1-EXP(-s_RadSpec!AZ5*s_t_b)))/(s_P*s_RadSpec!AZ5))),0)</f>
        <v>2.6824597822007652</v>
      </c>
      <c r="BA5" s="108">
        <f>IFERROR(IF(d_Bv!C5=0,0,((s_Ir*s_F*s_I_f*s_T*(1-EXP(-s_RadSpec!BA5*s_t_v)))/(s_Y_v*s_RadSpec!BA5))),0)</f>
        <v>9.0143481925428208</v>
      </c>
      <c r="BB5" s="108">
        <f>IFERROR(IF(d_Bv!D5=0,0,((s_Ir*s_F*s_I_f*s_T*(1-EXP(-s_RadSpec!BA5*s_t_v)))/(s_Y_v*s_RadSpec!BA5))),0)</f>
        <v>9.0143481925428208</v>
      </c>
      <c r="BC5" s="108">
        <f>IFERROR(IF(d_Bv!E5=0,0,((s_Ir*s_F*s_I_f*s_T*(1-EXP(-s_RadSpec!BA5*s_t_v)))/(s_Y_v*s_RadSpec!BA5))),0)</f>
        <v>9.0143481925428208</v>
      </c>
      <c r="BD5" s="108">
        <f>IFERROR(IF(d_Bv!F5=0,0,((s_Ir*s_F*s_I_f*s_T*(1-EXP(-s_RadSpec!BA5*s_t_v)))/(s_Y_v*s_RadSpec!BA5))),0)</f>
        <v>9.0143481925428208</v>
      </c>
      <c r="BE5" s="108">
        <f>IFERROR(IF(d_Bv!G5=0,0,((s_Ir*s_F*s_I_f*s_T*(1-EXP(-s_RadSpec!BA5*s_t_v)))/(s_Y_v*s_RadSpec!BA5))),0)</f>
        <v>9.0143481925428208</v>
      </c>
      <c r="BF5" s="108">
        <f>IFERROR(IF(d_Bv!H5=0,0,((s_Ir*s_F*s_I_f*s_T*(1-EXP(-s_RadSpec!BA5*s_t_v)))/(s_Y_v*s_RadSpec!BA5))),0)</f>
        <v>9.0143481925428208</v>
      </c>
      <c r="BG5" s="108">
        <f>IFERROR(IF(d_Bv!I5=0,0,((s_Ir*s_F*s_I_f*s_T*(1-EXP(-s_RadSpec!BA5*s_t_v)))/(s_Y_v*s_RadSpec!BA5))),0)</f>
        <v>9.0143481925428208</v>
      </c>
      <c r="BH5" s="108">
        <f>IFERROR(IF(d_Bv!J5=0,0,((s_Ir*s_F*s_I_f*s_T*(1-EXP(-s_RadSpec!BA5*s_t_v)))/(s_Y_v*s_RadSpec!BA5))),0)</f>
        <v>9.0143481925428208</v>
      </c>
      <c r="BI5" s="108">
        <f>IFERROR(IF(d_Bv!K5=0,0,((s_Ir*s_F*s_I_f*s_T*(1-EXP(-s_RadSpec!BA5*s_t_v)))/(s_Y_v*s_RadSpec!BA5))),0)</f>
        <v>9.0143481925428208</v>
      </c>
      <c r="BJ5" s="108">
        <f>IFERROR(IF(d_Bv!L5=0,0,((s_Ir*s_F*s_I_f*s_T*(1-EXP(-s_RadSpec!BA5*s_t_v)))/(s_Y_v*s_RadSpec!BA5))),0)</f>
        <v>9.0143481925428208</v>
      </c>
      <c r="BK5" s="108">
        <f>IFERROR(IF(d_Bv!M5=0,0,((s_Ir*s_F*s_I_f*s_T*(1-EXP(-s_RadSpec!BA5*s_t_v)))/(s_Y_v*s_RadSpec!BA5))),0)</f>
        <v>9.0143481925428208</v>
      </c>
      <c r="BL5" s="108">
        <f>IFERROR(IF(d_Bv!N5=0,0,((s_Ir*s_F*s_I_f*s_T*(1-EXP(-s_RadSpec!BA5*s_t_v)))/(s_Y_v*s_RadSpec!BA5))),0)</f>
        <v>9.0143481925428208</v>
      </c>
      <c r="BM5" s="108">
        <f>IFERROR(IF(d_Bv!O5=0,0,((s_Ir*s_F*s_I_f*s_T*(1-EXP(-s_RadSpec!BA5*s_t_v)))/(s_Y_v*s_RadSpec!BA5))),0)</f>
        <v>9.0143481925428208</v>
      </c>
      <c r="BN5" s="108">
        <f>IFERROR(IF(d_Bv!P5=0,0,((s_Ir*s_F*s_I_f*s_T*(1-EXP(-s_RadSpec!BA5*s_t_v)))/(s_Y_v*s_RadSpec!BA5))),0)</f>
        <v>9.0143481925428208</v>
      </c>
      <c r="BO5" s="108">
        <f>IFERROR(IF(d_Bv!Q5=0,0,((s_Ir*s_F*s_I_f*s_T*(1-EXP(-s_RadSpec!BA5*s_t_v)))/(s_Y_v*s_RadSpec!BA5))),0)</f>
        <v>9.0143481925428208</v>
      </c>
      <c r="BP5" s="108">
        <f>IFERROR(IF(d_Bv!R5=0,0,((s_Ir*s_F*s_I_f*s_T*(1-EXP(-s_RadSpec!BA5*s_t_v)))/(s_Y_v*s_RadSpec!BA5))),0)</f>
        <v>9.0143481925428208</v>
      </c>
      <c r="BQ5" s="108">
        <f>IFERROR(IF(d_Bv!S5=0,0,((s_Ir*s_F*s_I_f*s_T*(1-EXP(-s_RadSpec!BA5*s_t_v)))/(s_Y_v*s_RadSpec!BA5))),0)</f>
        <v>9.0143481925428208</v>
      </c>
      <c r="BR5" s="108">
        <f>IFERROR(IF(d_Bv!T5=0,0,((s_Ir*s_F*s_I_f*s_T*(1-EXP(-s_RadSpec!BA5*s_t_v)))/(s_Y_v*s_RadSpec!BA5))),0)</f>
        <v>9.0143481925428208</v>
      </c>
      <c r="BS5" s="108">
        <f>IFERROR(IF(d_Bv!U5=0,0,((s_Ir*s_F*s_I_f*s_T*(1-EXP(-s_RadSpec!BA5*s_t_v)))/(s_Y_v*s_RadSpec!BA5))),0)</f>
        <v>9.0143481925428208</v>
      </c>
      <c r="BT5" s="108">
        <f>IFERROR(IF(d_Bv!V5=0,0,((s_Ir*s_F*s_I_f*s_T*(1-EXP(-s_RadSpec!BA5*s_t_v)))/(s_Y_v*s_RadSpec!BA5))),0)</f>
        <v>9.0143481925428208</v>
      </c>
      <c r="BU5" s="108">
        <f>IFERROR(IF(d_Bv!W5=0,0,((s_Ir*s_F*s_I_f*s_T*(1-EXP(-s_RadSpec!BA5*s_t_v)))/(s_Y_v*s_RadSpec!BA5))),0)</f>
        <v>9.0143481925428208</v>
      </c>
      <c r="BV5" s="108">
        <f>IFERROR(IF(d_Bv!X5=0,0,((s_Ir*s_F*s_I_f*s_T*(1-EXP(-s_RadSpec!BA5*s_t_v)))/(s_Y_v*s_RadSpec!BA5))),0)</f>
        <v>9.0143481925428208</v>
      </c>
      <c r="BW5" s="108">
        <f>IFERROR(IF(d_Bv!Y5=0,0,((s_Ir*s_F*s_I_f*s_T*(1-EXP(-s_RadSpec!BA5*s_t_v)))/(s_Y_v*s_RadSpec!BA5))),0)</f>
        <v>9.0143481925428208</v>
      </c>
      <c r="BX5" s="108">
        <f>IFERROR(IF(d_Bv!Z5=0,0,((s_Ir*s_F*s_I_f*s_T*(1-EXP(-s_RadSpec!BA5*s_t_v)))/(s_Y_v*s_RadSpec!BA5))),0)</f>
        <v>9.0143481925428208</v>
      </c>
      <c r="BY5" s="108">
        <f>IFERROR(IF(d_Bv!AA5=0,0,((s_Ir*s_F*s_I_f*s_T*(1-EXP(-s_RadSpec!BA5*s_t_v)))/(s_Y_v*s_RadSpec!BA5))),0)</f>
        <v>9.0143481925428208</v>
      </c>
    </row>
    <row r="6" spans="1:77" x14ac:dyDescent="0.25">
      <c r="A6" s="44" t="s">
        <v>4</v>
      </c>
      <c r="B6" s="42" t="s">
        <v>1057</v>
      </c>
      <c r="C6" s="108">
        <f>IFERROR(IF(d_Bv!C6=0,0,((s_Ir*s_F*d_Bv!C6*(1-EXP(-s_RadSpec!$AZ6*s_t_b)))/(s_P*s_RadSpec!$AZ6))),0)</f>
        <v>1.9870072460746409</v>
      </c>
      <c r="D6" s="108">
        <f>IFERROR(IF(d_Bv!D6=0,0,((s_Ir*s_F*d_Bv!D6*(1-EXP(-s_RadSpec!AZ6*s_t_b)))/(s_P*s_RadSpec!AZ6))),0)</f>
        <v>0.99350362303732043</v>
      </c>
      <c r="E6" s="108">
        <f>IFERROR(IF(d_Bv!E6=0,0,((s_Ir*s_F*d_Bv!E6*(1-EXP(-s_RadSpec!AZ6*s_t_b)))/(s_P*s_RadSpec!AZ6))),0)</f>
        <v>0.99350362303732043</v>
      </c>
      <c r="F6" s="108">
        <f>IFERROR(IF(d_Bv!F6=0,0,((s_Ir*s_F*d_Bv!F6*(1-EXP(-s_RadSpec!AZ6*s_t_b)))/(s_P*s_RadSpec!AZ6))),0)</f>
        <v>1.9870072460746409</v>
      </c>
      <c r="G6" s="108">
        <f>IFERROR(IF(d_Bv!G6=0,0,((s_Ir*s_F*d_Bv!G6*(1-EXP(-s_RadSpec!AZ6*s_t_b)))/(s_P*s_RadSpec!AZ6))),0)</f>
        <v>1.9870072460746409</v>
      </c>
      <c r="H6" s="108">
        <f>IFERROR(IF(d_Bv!H6=0,0,((s_Ir*s_F*d_Bv!H6*(1-EXP(-s_RadSpec!AZ6*s_t_b)))/(s_P*s_RadSpec!AZ6))),0)</f>
        <v>0.99350362303732043</v>
      </c>
      <c r="I6" s="108">
        <f>IFERROR(IF(d_Bv!I6=0,0,((s_Ir*s_F*d_Bv!I6*(1-EXP(-s_RadSpec!AZ6*s_t_b)))/(s_P*s_RadSpec!AZ6))),0)</f>
        <v>0.99350362303732043</v>
      </c>
      <c r="J6" s="108">
        <f>IFERROR(IF(d_Bv!J6=0,0,((s_Ir*s_F*d_Bv!J6*(1-EXP(-s_RadSpec!AZ6*s_t_b)))/(s_P*s_RadSpec!AZ6))),0)</f>
        <v>1.9870072460746409</v>
      </c>
      <c r="K6" s="108">
        <f>IFERROR(IF(d_Bv!K6=0,0,((s_Ir*s_F*d_Bv!K6*(1-EXP(-s_RadSpec!AZ6*s_t_b)))/(s_P*s_RadSpec!AZ6))),0)</f>
        <v>1.9870072460746409</v>
      </c>
      <c r="L6" s="108">
        <f>IFERROR(IF(d_Bv!L6=0,0,((s_Ir*s_F*d_Bv!L6*(1-EXP(-s_RadSpec!AZ6*s_t_b)))/(s_P*s_RadSpec!AZ6))),0)</f>
        <v>1.9870072460746409</v>
      </c>
      <c r="M6" s="108">
        <f>IFERROR(IF(d_Bv!M6=0,0,((s_Ir*s_F*d_Bv!M6*(1-EXP(-s_RadSpec!AZ6*s_t_b)))/(s_P*s_RadSpec!AZ6))),0)</f>
        <v>0.99350362303732043</v>
      </c>
      <c r="N6" s="108">
        <f>IFERROR(IF(d_Bv!N6=0,0,((s_Ir*s_F*d_Bv!N6*(1-EXP(-s_RadSpec!AZ6*s_t_b)))/(s_P*s_RadSpec!AZ6))),0)</f>
        <v>1.9870072460746409</v>
      </c>
      <c r="O6" s="108">
        <f>IFERROR(IF(d_Bv!O6=0,0,((s_Ir*s_F*d_Bv!O6*(1-EXP(-s_RadSpec!AZ6*s_t_b)))/(s_P*s_RadSpec!AZ6))),0)</f>
        <v>1.9870072460746409</v>
      </c>
      <c r="P6" s="108">
        <f>IFERROR(IF(d_Bv!P6=0,0,((s_Ir*s_F*d_Bv!P6*(1-EXP(-s_RadSpec!AZ6*s_t_b)))/(s_P*s_RadSpec!AZ6))),0)</f>
        <v>0.99350362303732043</v>
      </c>
      <c r="Q6" s="108">
        <f>IFERROR(IF(d_Bv!Q6=0,0,((s_Ir*s_F*d_Bv!Q6*(1-EXP(-s_RadSpec!AZ6*s_t_b)))/(s_P*s_RadSpec!AZ6))),0)</f>
        <v>1.9870072460746409</v>
      </c>
      <c r="R6" s="108">
        <f>IFERROR(IF(d_Bv!R6=0,0,((s_Ir*s_F*d_Bv!R6*(1-EXP(-s_RadSpec!AZ6*s_t_b)))/(s_P*s_RadSpec!AZ6))),0)</f>
        <v>1.9870072460746409</v>
      </c>
      <c r="S6" s="108">
        <f>IFERROR(IF(d_Bv!S6=0,0,((s_Ir*s_F*d_Bv!S6*(1-EXP(-s_RadSpec!AZ6*s_t_b)))/(s_P*s_RadSpec!AZ6))),0)</f>
        <v>1.9870072460746409</v>
      </c>
      <c r="T6" s="108">
        <f>IFERROR(IF(d_Bv!T6=0,0,((s_Ir*s_F*d_Bv!T6*(1-EXP(-s_RadSpec!AZ6*s_t_b)))/(s_P*s_RadSpec!AZ6))),0)</f>
        <v>1.9870072460746409</v>
      </c>
      <c r="U6" s="108">
        <f>IFERROR(IF(d_Bv!U6=0,0,((s_Ir*s_F*d_Bv!U6*(1-EXP(-s_RadSpec!AZ6*s_t_b)))/(s_P*s_RadSpec!AZ6))),0)</f>
        <v>0.99350362303732043</v>
      </c>
      <c r="V6" s="108">
        <f>IFERROR(IF(d_Bv!V6=0,0,((s_Ir*s_F*d_Bv!V6*(1-EXP(-s_RadSpec!AZ6*s_t_b)))/(s_P*s_RadSpec!AZ6))),0)</f>
        <v>1.9870072460746409</v>
      </c>
      <c r="W6" s="108">
        <f>IFERROR(IF(d_Bv!W6=0,0,((s_Ir*s_F*d_Bv!W6*(1-EXP(-s_RadSpec!AZ6*s_t_b)))/(s_P*s_RadSpec!AZ6))),0)</f>
        <v>1.9870072460746409</v>
      </c>
      <c r="X6" s="108">
        <f>IFERROR(IF(d_Bv!X6=0,0,((s_Ir*s_F*d_Bv!X6*(1-EXP(-s_RadSpec!AZ6*s_t_b)))/(s_P*s_RadSpec!AZ6))),0)</f>
        <v>1.9870072460746409</v>
      </c>
      <c r="Y6" s="108">
        <f>IFERROR(IF(d_Bv!Y6=0,0,((s_Ir*s_F*d_Bv!Y6*(1-EXP(-s_RadSpec!AZ6*s_t_b)))/(s_P*s_RadSpec!AZ6))),0)</f>
        <v>1.9870072460746409</v>
      </c>
      <c r="Z6" s="108">
        <f>IFERROR(IF(d_Bv!Z6=0,0,((s_Ir*s_F*d_Bv!Z6*(1-EXP(-s_RadSpec!AZ6*s_t_b)))/(s_P*s_RadSpec!AZ6))),0)</f>
        <v>0.18677868113101623</v>
      </c>
      <c r="AA6" s="108">
        <f>IFERROR(IF(d_Bv!AA6=0,0,((s_Ir*s_F*d_Bv!AA6*(1-EXP(-s_RadSpec!AZ6*s_t_b)))/(s_P*s_RadSpec!AZ6))),0)</f>
        <v>0.19870072460746407</v>
      </c>
      <c r="AB6" s="108">
        <f>IFERROR(IF(d_Bv!C6=0,0,((s_Ir*s_F*s_MLF_apple*(1-EXP(-s_RadSpec!AZ6*s_t_b)))/(s_P*s_RadSpec!AZ6))),0)</f>
        <v>2.6824597822007652</v>
      </c>
      <c r="AC6" s="108">
        <f>IFERROR(IF(d_Bv!D6=0,0,((s_Ir*s_F*s_MLF_asparagus*(1-EXP(-s_RadSpec!AZ6*s_t_b)))/(s_P*s_RadSpec!AZ6))),0)</f>
        <v>2.6824597822007652</v>
      </c>
      <c r="AD6" s="108">
        <f>IFERROR(IF(d_Bv!E6=0,0,((s_Ir*s_F*s_MLF_beet*(1-EXP(-s_RadSpec!AZ6*s_t_b)))/(s_P*s_RadSpec!AZ6))),0)</f>
        <v>2.6824597822007652</v>
      </c>
      <c r="AE6" s="108">
        <f>IFERROR(IF(d_Bv!F6=0,0,((s_Ir*s_F*s_MLF_berries*(1-EXP(-s_RadSpec!AZ6*s_t_b)))/(s_P*s_RadSpec!AZ6))),0)</f>
        <v>2.6824597822007652</v>
      </c>
      <c r="AF6" s="108">
        <f>IFERROR(IF(d_Bv!G6=0,0,((s_Ir*s_F*s_MLF_broccoli*(1-EXP(-s_RadSpec!AZ6*s_t_b)))/(s_P*s_RadSpec!AZ6))),0)</f>
        <v>2.6824597822007652</v>
      </c>
      <c r="AG6" s="108">
        <f>IFERROR(IF(d_Bv!H6=0,0,((s_Ir*s_F*s_MLF_cabbage*(1-EXP(-s_RadSpec!AZ6*s_t_b)))/(s_P*s_RadSpec!AZ6))),0)</f>
        <v>2.6824597822007652</v>
      </c>
      <c r="AH6" s="108">
        <f>IFERROR(IF(d_Bv!I6=0,0,((s_Ir*s_F*s_MLF_carrot*(1-EXP(-s_RadSpec!AZ6*s_t_b)))/(s_P*s_RadSpec!AZ6))),0)</f>
        <v>2.6824597822007652</v>
      </c>
      <c r="AI6" s="108">
        <f>IFERROR(IF(d_Bv!J6=0,0,((s_Ir*s_F*s_MLF_citrus*(1-EXP(-s_RadSpec!AZ6*s_t_b)))/(s_P*s_RadSpec!AZ6))),0)</f>
        <v>2.6824597822007652</v>
      </c>
      <c r="AJ6" s="108">
        <f>IFERROR(IF(d_Bv!K6=0,0,((s_Ir*s_F*s_MLF_corn*(1-EXP(-s_RadSpec!AZ6*s_t_b)))/(s_P*s_RadSpec!AZ6))),0)</f>
        <v>2.6824597822007652</v>
      </c>
      <c r="AK6" s="108">
        <f>IFERROR(IF(d_Bv!L6=0,0,((s_Ir*s_F*s_MLF_cucumber*(1-EXP(-s_RadSpec!AZ6*s_t_b)))/(s_P*s_RadSpec!AZ6))),0)</f>
        <v>2.6824597822007652</v>
      </c>
      <c r="AL6" s="108">
        <f>IFERROR(IF(d_Bv!M6=0,0,((s_Ir*s_F*s_MLF_lettuce*(1-EXP(-s_RadSpec!AZ6*s_t_b)))/(s_P*s_RadSpec!AZ6))),0)</f>
        <v>2.6824597822007652</v>
      </c>
      <c r="AM6" s="108">
        <f>IFERROR(IF(d_Bv!N6=0,0,((s_Ir*s_F*s_MLF_lima_bean*(1-EXP(-s_RadSpec!AZ6*s_t_b)))/(s_P*s_RadSpec!AZ6))),0)</f>
        <v>2.6824597822007652</v>
      </c>
      <c r="AN6" s="108">
        <f>IFERROR(IF(d_Bv!O6=0,0,((s_Ir*s_F*s_MLF_okra*(1-EXP(-s_RadSpec!AZ6*s_t_b)))/(s_P*s_RadSpec!AZ6))),0)</f>
        <v>2.6824597822007652</v>
      </c>
      <c r="AO6" s="108">
        <f>IFERROR(IF(d_Bv!P6=0,0,((s_Ir*s_F*s_MLF_onion*(1-EXP(-s_RadSpec!AZ6*s_t_b)))/(s_P*s_RadSpec!AZ6))),0)</f>
        <v>2.6824597822007652</v>
      </c>
      <c r="AP6" s="108">
        <f>IFERROR(IF(d_Bv!Q6=0,0,((s_Ir*s_F*s_MLF_peach*(1-EXP(-s_RadSpec!AZ6*s_t_b)))/(s_P*s_RadSpec!AZ6))),0)</f>
        <v>2.6824597822007652</v>
      </c>
      <c r="AQ6" s="108">
        <f>IFERROR(IF(d_Bv!R6=0,0,((s_Ir*s_F*s_MLF_pear*(1-EXP(-s_RadSpec!AZ6*s_t_b)))/(s_P*s_RadSpec!AZ6))),0)</f>
        <v>2.6824597822007652</v>
      </c>
      <c r="AR6" s="108">
        <f>IFERROR(IF(d_Bv!S6=0,0,((s_Ir*s_F*s_MLF_peas*(1-EXP(-s_RadSpec!AZ6*s_t_b)))/(s_P*s_RadSpec!AZ6))),0)</f>
        <v>2.6824597822007652</v>
      </c>
      <c r="AS6" s="108">
        <f>IFERROR(IF(d_Bv!T6=0,0,((s_Ir*s_F*s_MLF_peppers*(1-EXP(-s_RadSpec!AZ6*s_t_b)))/(s_P*s_RadSpec!AZ6))),0)</f>
        <v>2.6824597822007652</v>
      </c>
      <c r="AT6" s="108">
        <f>IFERROR(IF(d_Bv!U6=0,0,((s_Ir*s_F*s_MLF_potato*(1-EXP(-s_RadSpec!AZ6*s_t_b)))/(s_P*s_RadSpec!AZ6))),0)</f>
        <v>2.6824597822007652</v>
      </c>
      <c r="AU6" s="108">
        <f>IFERROR(IF(d_Bv!V6=0,0,((s_Ir*s_F*s_MLF_pumpkin*(1-EXP(-s_RadSpec!AZ6*s_t_b)))/(s_P*s_RadSpec!AZ6))),0)</f>
        <v>2.6824597822007652</v>
      </c>
      <c r="AV6" s="108">
        <f>IFERROR(IF(d_Bv!W6=0,0,((s_Ir*s_F*s_MLF_snap_bean*(1-EXP(-s_RadSpec!AZ6*s_t_b)))/(s_P*s_RadSpec!AZ6))),0)</f>
        <v>2.6824597822007652</v>
      </c>
      <c r="AW6" s="108">
        <f>IFERROR(IF(d_Bv!X6=0,0,((s_Ir*s_F*s_MLF_strawberry*(1-EXP(-s_RadSpec!AZ6*s_t_b)))/(s_P*s_RadSpec!AZ6))),0)</f>
        <v>2.6824597822007652</v>
      </c>
      <c r="AX6" s="108">
        <f>IFERROR(IF(d_Bv!Y6=0,0,((s_Ir*s_F*s_MLF_tomato*(1-EXP(-s_RadSpec!AZ6*s_t_b)))/(s_P*s_RadSpec!AZ6))),0)</f>
        <v>2.6824597822007652</v>
      </c>
      <c r="AY6" s="108">
        <f>IFERROR(IF(d_Bv!Z6=0,0,((s_Ir*s_F*s_MLF_rice*(1-EXP(-s_RadSpec!AZ6*s_t_b)))/(s_P*s_RadSpec!AZ6))),0)</f>
        <v>2.6824597822007652</v>
      </c>
      <c r="AZ6" s="108">
        <f>IFERROR(IF(d_Bv!AA6=0,0,((s_Ir*s_F*s_MLF_cereal*(1-EXP(-s_RadSpec!AZ6*s_t_b)))/(s_P*s_RadSpec!AZ6))),0)</f>
        <v>2.6824597822007652</v>
      </c>
      <c r="BA6" s="108">
        <f>IFERROR(IF(d_Bv!C6=0,0,((s_Ir*s_F*s_I_f*s_T*(1-EXP(-s_RadSpec!BA6*s_t_v)))/(s_Y_v*s_RadSpec!BA6))),0)</f>
        <v>9.0143481925428208</v>
      </c>
      <c r="BB6" s="108">
        <f>IFERROR(IF(d_Bv!D6=0,0,((s_Ir*s_F*s_I_f*s_T*(1-EXP(-s_RadSpec!BA6*s_t_v)))/(s_Y_v*s_RadSpec!BA6))),0)</f>
        <v>9.0143481925428208</v>
      </c>
      <c r="BC6" s="108">
        <f>IFERROR(IF(d_Bv!E6=0,0,((s_Ir*s_F*s_I_f*s_T*(1-EXP(-s_RadSpec!BA6*s_t_v)))/(s_Y_v*s_RadSpec!BA6))),0)</f>
        <v>9.0143481925428208</v>
      </c>
      <c r="BD6" s="108">
        <f>IFERROR(IF(d_Bv!F6=0,0,((s_Ir*s_F*s_I_f*s_T*(1-EXP(-s_RadSpec!BA6*s_t_v)))/(s_Y_v*s_RadSpec!BA6))),0)</f>
        <v>9.0143481925428208</v>
      </c>
      <c r="BE6" s="108">
        <f>IFERROR(IF(d_Bv!G6=0,0,((s_Ir*s_F*s_I_f*s_T*(1-EXP(-s_RadSpec!BA6*s_t_v)))/(s_Y_v*s_RadSpec!BA6))),0)</f>
        <v>9.0143481925428208</v>
      </c>
      <c r="BF6" s="108">
        <f>IFERROR(IF(d_Bv!H6=0,0,((s_Ir*s_F*s_I_f*s_T*(1-EXP(-s_RadSpec!BA6*s_t_v)))/(s_Y_v*s_RadSpec!BA6))),0)</f>
        <v>9.0143481925428208</v>
      </c>
      <c r="BG6" s="108">
        <f>IFERROR(IF(d_Bv!I6=0,0,((s_Ir*s_F*s_I_f*s_T*(1-EXP(-s_RadSpec!BA6*s_t_v)))/(s_Y_v*s_RadSpec!BA6))),0)</f>
        <v>9.0143481925428208</v>
      </c>
      <c r="BH6" s="108">
        <f>IFERROR(IF(d_Bv!J6=0,0,((s_Ir*s_F*s_I_f*s_T*(1-EXP(-s_RadSpec!BA6*s_t_v)))/(s_Y_v*s_RadSpec!BA6))),0)</f>
        <v>9.0143481925428208</v>
      </c>
      <c r="BI6" s="108">
        <f>IFERROR(IF(d_Bv!K6=0,0,((s_Ir*s_F*s_I_f*s_T*(1-EXP(-s_RadSpec!BA6*s_t_v)))/(s_Y_v*s_RadSpec!BA6))),0)</f>
        <v>9.0143481925428208</v>
      </c>
      <c r="BJ6" s="108">
        <f>IFERROR(IF(d_Bv!L6=0,0,((s_Ir*s_F*s_I_f*s_T*(1-EXP(-s_RadSpec!BA6*s_t_v)))/(s_Y_v*s_RadSpec!BA6))),0)</f>
        <v>9.0143481925428208</v>
      </c>
      <c r="BK6" s="108">
        <f>IFERROR(IF(d_Bv!M6=0,0,((s_Ir*s_F*s_I_f*s_T*(1-EXP(-s_RadSpec!BA6*s_t_v)))/(s_Y_v*s_RadSpec!BA6))),0)</f>
        <v>9.0143481925428208</v>
      </c>
      <c r="BL6" s="108">
        <f>IFERROR(IF(d_Bv!N6=0,0,((s_Ir*s_F*s_I_f*s_T*(1-EXP(-s_RadSpec!BA6*s_t_v)))/(s_Y_v*s_RadSpec!BA6))),0)</f>
        <v>9.0143481925428208</v>
      </c>
      <c r="BM6" s="108">
        <f>IFERROR(IF(d_Bv!O6=0,0,((s_Ir*s_F*s_I_f*s_T*(1-EXP(-s_RadSpec!BA6*s_t_v)))/(s_Y_v*s_RadSpec!BA6))),0)</f>
        <v>9.0143481925428208</v>
      </c>
      <c r="BN6" s="108">
        <f>IFERROR(IF(d_Bv!P6=0,0,((s_Ir*s_F*s_I_f*s_T*(1-EXP(-s_RadSpec!BA6*s_t_v)))/(s_Y_v*s_RadSpec!BA6))),0)</f>
        <v>9.0143481925428208</v>
      </c>
      <c r="BO6" s="108">
        <f>IFERROR(IF(d_Bv!Q6=0,0,((s_Ir*s_F*s_I_f*s_T*(1-EXP(-s_RadSpec!BA6*s_t_v)))/(s_Y_v*s_RadSpec!BA6))),0)</f>
        <v>9.0143481925428208</v>
      </c>
      <c r="BP6" s="108">
        <f>IFERROR(IF(d_Bv!R6=0,0,((s_Ir*s_F*s_I_f*s_T*(1-EXP(-s_RadSpec!BA6*s_t_v)))/(s_Y_v*s_RadSpec!BA6))),0)</f>
        <v>9.0143481925428208</v>
      </c>
      <c r="BQ6" s="108">
        <f>IFERROR(IF(d_Bv!S6=0,0,((s_Ir*s_F*s_I_f*s_T*(1-EXP(-s_RadSpec!BA6*s_t_v)))/(s_Y_v*s_RadSpec!BA6))),0)</f>
        <v>9.0143481925428208</v>
      </c>
      <c r="BR6" s="108">
        <f>IFERROR(IF(d_Bv!T6=0,0,((s_Ir*s_F*s_I_f*s_T*(1-EXP(-s_RadSpec!BA6*s_t_v)))/(s_Y_v*s_RadSpec!BA6))),0)</f>
        <v>9.0143481925428208</v>
      </c>
      <c r="BS6" s="108">
        <f>IFERROR(IF(d_Bv!U6=0,0,((s_Ir*s_F*s_I_f*s_T*(1-EXP(-s_RadSpec!BA6*s_t_v)))/(s_Y_v*s_RadSpec!BA6))),0)</f>
        <v>9.0143481925428208</v>
      </c>
      <c r="BT6" s="108">
        <f>IFERROR(IF(d_Bv!V6=0,0,((s_Ir*s_F*s_I_f*s_T*(1-EXP(-s_RadSpec!BA6*s_t_v)))/(s_Y_v*s_RadSpec!BA6))),0)</f>
        <v>9.0143481925428208</v>
      </c>
      <c r="BU6" s="108">
        <f>IFERROR(IF(d_Bv!W6=0,0,((s_Ir*s_F*s_I_f*s_T*(1-EXP(-s_RadSpec!BA6*s_t_v)))/(s_Y_v*s_RadSpec!BA6))),0)</f>
        <v>9.0143481925428208</v>
      </c>
      <c r="BV6" s="108">
        <f>IFERROR(IF(d_Bv!X6=0,0,((s_Ir*s_F*s_I_f*s_T*(1-EXP(-s_RadSpec!BA6*s_t_v)))/(s_Y_v*s_RadSpec!BA6))),0)</f>
        <v>9.0143481925428208</v>
      </c>
      <c r="BW6" s="108">
        <f>IFERROR(IF(d_Bv!Y6=0,0,((s_Ir*s_F*s_I_f*s_T*(1-EXP(-s_RadSpec!BA6*s_t_v)))/(s_Y_v*s_RadSpec!BA6))),0)</f>
        <v>9.0143481925428208</v>
      </c>
      <c r="BX6" s="108">
        <f>IFERROR(IF(d_Bv!Z6=0,0,((s_Ir*s_F*s_I_f*s_T*(1-EXP(-s_RadSpec!BA6*s_t_v)))/(s_Y_v*s_RadSpec!BA6))),0)</f>
        <v>9.0143481925428208</v>
      </c>
      <c r="BY6" s="108">
        <f>IFERROR(IF(d_Bv!AA6=0,0,((s_Ir*s_F*s_I_f*s_T*(1-EXP(-s_RadSpec!BA6*s_t_v)))/(s_Y_v*s_RadSpec!BA6))),0)</f>
        <v>9.0143481925428208</v>
      </c>
    </row>
    <row r="7" spans="1:77" x14ac:dyDescent="0.25">
      <c r="A7" s="44" t="s">
        <v>5</v>
      </c>
      <c r="B7" s="42" t="s">
        <v>1057</v>
      </c>
      <c r="C7" s="108">
        <f>IFERROR(IF(d_Bv!C7=0,0,((s_Ir*s_F*d_Bv!C7*(1-EXP(-s_RadSpec!$AZ7*s_t_b)))/(s_P*s_RadSpec!$AZ7))),0)</f>
        <v>19.870072460746407</v>
      </c>
      <c r="D7" s="108">
        <f>IFERROR(IF(d_Bv!D7=0,0,((s_Ir*s_F*d_Bv!D7*(1-EXP(-s_RadSpec!AZ7*s_t_b)))/(s_P*s_RadSpec!AZ7))),0)</f>
        <v>19.870072460746407</v>
      </c>
      <c r="E7" s="108">
        <f>IFERROR(IF(d_Bv!E7=0,0,((s_Ir*s_F*d_Bv!E7*(1-EXP(-s_RadSpec!AZ7*s_t_b)))/(s_P*s_RadSpec!AZ7))),0)</f>
        <v>19.870072460746407</v>
      </c>
      <c r="F7" s="108">
        <f>IFERROR(IF(d_Bv!F7=0,0,((s_Ir*s_F*d_Bv!F7*(1-EXP(-s_RadSpec!AZ7*s_t_b)))/(s_P*s_RadSpec!AZ7))),0)</f>
        <v>19.870072460746407</v>
      </c>
      <c r="G7" s="108">
        <f>IFERROR(IF(d_Bv!G7=0,0,((s_Ir*s_F*d_Bv!G7*(1-EXP(-s_RadSpec!AZ7*s_t_b)))/(s_P*s_RadSpec!AZ7))),0)</f>
        <v>19.870072460746407</v>
      </c>
      <c r="H7" s="108">
        <f>IFERROR(IF(d_Bv!H7=0,0,((s_Ir*s_F*d_Bv!H7*(1-EXP(-s_RadSpec!AZ7*s_t_b)))/(s_P*s_RadSpec!AZ7))),0)</f>
        <v>19.870072460746407</v>
      </c>
      <c r="I7" s="108">
        <f>IFERROR(IF(d_Bv!I7=0,0,((s_Ir*s_F*d_Bv!I7*(1-EXP(-s_RadSpec!AZ7*s_t_b)))/(s_P*s_RadSpec!AZ7))),0)</f>
        <v>19.870072460746407</v>
      </c>
      <c r="J7" s="108">
        <f>IFERROR(IF(d_Bv!J7=0,0,((s_Ir*s_F*d_Bv!J7*(1-EXP(-s_RadSpec!AZ7*s_t_b)))/(s_P*s_RadSpec!AZ7))),0)</f>
        <v>19.870072460746407</v>
      </c>
      <c r="K7" s="108">
        <f>IFERROR(IF(d_Bv!K7=0,0,((s_Ir*s_F*d_Bv!K7*(1-EXP(-s_RadSpec!AZ7*s_t_b)))/(s_P*s_RadSpec!AZ7))),0)</f>
        <v>19.870072460746407</v>
      </c>
      <c r="L7" s="108">
        <f>IFERROR(IF(d_Bv!L7=0,0,((s_Ir*s_F*d_Bv!L7*(1-EXP(-s_RadSpec!AZ7*s_t_b)))/(s_P*s_RadSpec!AZ7))),0)</f>
        <v>19.870072460746407</v>
      </c>
      <c r="M7" s="108">
        <f>IFERROR(IF(d_Bv!M7=0,0,((s_Ir*s_F*d_Bv!M7*(1-EXP(-s_RadSpec!AZ7*s_t_b)))/(s_P*s_RadSpec!AZ7))),0)</f>
        <v>19.870072460746407</v>
      </c>
      <c r="N7" s="108">
        <f>IFERROR(IF(d_Bv!N7=0,0,((s_Ir*s_F*d_Bv!N7*(1-EXP(-s_RadSpec!AZ7*s_t_b)))/(s_P*s_RadSpec!AZ7))),0)</f>
        <v>19.870072460746407</v>
      </c>
      <c r="O7" s="108">
        <f>IFERROR(IF(d_Bv!O7=0,0,((s_Ir*s_F*d_Bv!O7*(1-EXP(-s_RadSpec!AZ7*s_t_b)))/(s_P*s_RadSpec!AZ7))),0)</f>
        <v>19.870072460746407</v>
      </c>
      <c r="P7" s="108">
        <f>IFERROR(IF(d_Bv!P7=0,0,((s_Ir*s_F*d_Bv!P7*(1-EXP(-s_RadSpec!AZ7*s_t_b)))/(s_P*s_RadSpec!AZ7))),0)</f>
        <v>19.870072460746407</v>
      </c>
      <c r="Q7" s="108">
        <f>IFERROR(IF(d_Bv!Q7=0,0,((s_Ir*s_F*d_Bv!Q7*(1-EXP(-s_RadSpec!AZ7*s_t_b)))/(s_P*s_RadSpec!AZ7))),0)</f>
        <v>19.870072460746407</v>
      </c>
      <c r="R7" s="108">
        <f>IFERROR(IF(d_Bv!R7=0,0,((s_Ir*s_F*d_Bv!R7*(1-EXP(-s_RadSpec!AZ7*s_t_b)))/(s_P*s_RadSpec!AZ7))),0)</f>
        <v>19.870072460746407</v>
      </c>
      <c r="S7" s="108">
        <f>IFERROR(IF(d_Bv!S7=0,0,((s_Ir*s_F*d_Bv!S7*(1-EXP(-s_RadSpec!AZ7*s_t_b)))/(s_P*s_RadSpec!AZ7))),0)</f>
        <v>19.870072460746407</v>
      </c>
      <c r="T7" s="108">
        <f>IFERROR(IF(d_Bv!T7=0,0,((s_Ir*s_F*d_Bv!T7*(1-EXP(-s_RadSpec!AZ7*s_t_b)))/(s_P*s_RadSpec!AZ7))),0)</f>
        <v>19.870072460746407</v>
      </c>
      <c r="U7" s="108">
        <f>IFERROR(IF(d_Bv!U7=0,0,((s_Ir*s_F*d_Bv!U7*(1-EXP(-s_RadSpec!AZ7*s_t_b)))/(s_P*s_RadSpec!AZ7))),0)</f>
        <v>19.870072460746407</v>
      </c>
      <c r="V7" s="108">
        <f>IFERROR(IF(d_Bv!V7=0,0,((s_Ir*s_F*d_Bv!V7*(1-EXP(-s_RadSpec!AZ7*s_t_b)))/(s_P*s_RadSpec!AZ7))),0)</f>
        <v>19.870072460746407</v>
      </c>
      <c r="W7" s="108">
        <f>IFERROR(IF(d_Bv!W7=0,0,((s_Ir*s_F*d_Bv!W7*(1-EXP(-s_RadSpec!AZ7*s_t_b)))/(s_P*s_RadSpec!AZ7))),0)</f>
        <v>19.870072460746407</v>
      </c>
      <c r="X7" s="108">
        <f>IFERROR(IF(d_Bv!X7=0,0,((s_Ir*s_F*d_Bv!X7*(1-EXP(-s_RadSpec!AZ7*s_t_b)))/(s_P*s_RadSpec!AZ7))),0)</f>
        <v>19.870072460746407</v>
      </c>
      <c r="Y7" s="108">
        <f>IFERROR(IF(d_Bv!Y7=0,0,((s_Ir*s_F*d_Bv!Y7*(1-EXP(-s_RadSpec!AZ7*s_t_b)))/(s_P*s_RadSpec!AZ7))),0)</f>
        <v>19.870072460746407</v>
      </c>
      <c r="Z7" s="108">
        <f>IFERROR(IF(d_Bv!Z7=0,0,((s_Ir*s_F*d_Bv!Z7*(1-EXP(-s_RadSpec!AZ7*s_t_b)))/(s_P*s_RadSpec!AZ7))),0)</f>
        <v>19.870072460746407</v>
      </c>
      <c r="AA7" s="108">
        <f>IFERROR(IF(d_Bv!AA7=0,0,((s_Ir*s_F*d_Bv!AA7*(1-EXP(-s_RadSpec!AZ7*s_t_b)))/(s_P*s_RadSpec!AZ7))),0)</f>
        <v>19.870072460746407</v>
      </c>
      <c r="AB7" s="108">
        <f>IFERROR(IF(d_Bv!C7=0,0,((s_Ir*s_F*s_MLF_apple*(1-EXP(-s_RadSpec!AZ7*s_t_b)))/(s_P*s_RadSpec!AZ7))),0)</f>
        <v>2.6824597822007652</v>
      </c>
      <c r="AC7" s="108">
        <f>IFERROR(IF(d_Bv!D7=0,0,((s_Ir*s_F*s_MLF_asparagus*(1-EXP(-s_RadSpec!AZ7*s_t_b)))/(s_P*s_RadSpec!AZ7))),0)</f>
        <v>2.6824597822007652</v>
      </c>
      <c r="AD7" s="108">
        <f>IFERROR(IF(d_Bv!E7=0,0,((s_Ir*s_F*s_MLF_beet*(1-EXP(-s_RadSpec!AZ7*s_t_b)))/(s_P*s_RadSpec!AZ7))),0)</f>
        <v>2.6824597822007652</v>
      </c>
      <c r="AE7" s="108">
        <f>IFERROR(IF(d_Bv!F7=0,0,((s_Ir*s_F*s_MLF_berries*(1-EXP(-s_RadSpec!AZ7*s_t_b)))/(s_P*s_RadSpec!AZ7))),0)</f>
        <v>2.6824597822007652</v>
      </c>
      <c r="AF7" s="108">
        <f>IFERROR(IF(d_Bv!G7=0,0,((s_Ir*s_F*s_MLF_broccoli*(1-EXP(-s_RadSpec!AZ7*s_t_b)))/(s_P*s_RadSpec!AZ7))),0)</f>
        <v>2.6824597822007652</v>
      </c>
      <c r="AG7" s="108">
        <f>IFERROR(IF(d_Bv!H7=0,0,((s_Ir*s_F*s_MLF_cabbage*(1-EXP(-s_RadSpec!AZ7*s_t_b)))/(s_P*s_RadSpec!AZ7))),0)</f>
        <v>2.6824597822007652</v>
      </c>
      <c r="AH7" s="108">
        <f>IFERROR(IF(d_Bv!I7=0,0,((s_Ir*s_F*s_MLF_carrot*(1-EXP(-s_RadSpec!AZ7*s_t_b)))/(s_P*s_RadSpec!AZ7))),0)</f>
        <v>2.6824597822007652</v>
      </c>
      <c r="AI7" s="108">
        <f>IFERROR(IF(d_Bv!J7=0,0,((s_Ir*s_F*s_MLF_citrus*(1-EXP(-s_RadSpec!AZ7*s_t_b)))/(s_P*s_RadSpec!AZ7))),0)</f>
        <v>2.6824597822007652</v>
      </c>
      <c r="AJ7" s="108">
        <f>IFERROR(IF(d_Bv!K7=0,0,((s_Ir*s_F*s_MLF_corn*(1-EXP(-s_RadSpec!AZ7*s_t_b)))/(s_P*s_RadSpec!AZ7))),0)</f>
        <v>2.6824597822007652</v>
      </c>
      <c r="AK7" s="108">
        <f>IFERROR(IF(d_Bv!L7=0,0,((s_Ir*s_F*s_MLF_cucumber*(1-EXP(-s_RadSpec!AZ7*s_t_b)))/(s_P*s_RadSpec!AZ7))),0)</f>
        <v>2.6824597822007652</v>
      </c>
      <c r="AL7" s="108">
        <f>IFERROR(IF(d_Bv!M7=0,0,((s_Ir*s_F*s_MLF_lettuce*(1-EXP(-s_RadSpec!AZ7*s_t_b)))/(s_P*s_RadSpec!AZ7))),0)</f>
        <v>2.6824597822007652</v>
      </c>
      <c r="AM7" s="108">
        <f>IFERROR(IF(d_Bv!N7=0,0,((s_Ir*s_F*s_MLF_lima_bean*(1-EXP(-s_RadSpec!AZ7*s_t_b)))/(s_P*s_RadSpec!AZ7))),0)</f>
        <v>2.6824597822007652</v>
      </c>
      <c r="AN7" s="108">
        <f>IFERROR(IF(d_Bv!O7=0,0,((s_Ir*s_F*s_MLF_okra*(1-EXP(-s_RadSpec!AZ7*s_t_b)))/(s_P*s_RadSpec!AZ7))),0)</f>
        <v>2.6824597822007652</v>
      </c>
      <c r="AO7" s="108">
        <f>IFERROR(IF(d_Bv!P7=0,0,((s_Ir*s_F*s_MLF_onion*(1-EXP(-s_RadSpec!AZ7*s_t_b)))/(s_P*s_RadSpec!AZ7))),0)</f>
        <v>2.6824597822007652</v>
      </c>
      <c r="AP7" s="108">
        <f>IFERROR(IF(d_Bv!Q7=0,0,((s_Ir*s_F*s_MLF_peach*(1-EXP(-s_RadSpec!AZ7*s_t_b)))/(s_P*s_RadSpec!AZ7))),0)</f>
        <v>2.6824597822007652</v>
      </c>
      <c r="AQ7" s="108">
        <f>IFERROR(IF(d_Bv!R7=0,0,((s_Ir*s_F*s_MLF_pear*(1-EXP(-s_RadSpec!AZ7*s_t_b)))/(s_P*s_RadSpec!AZ7))),0)</f>
        <v>2.6824597822007652</v>
      </c>
      <c r="AR7" s="108">
        <f>IFERROR(IF(d_Bv!S7=0,0,((s_Ir*s_F*s_MLF_peas*(1-EXP(-s_RadSpec!AZ7*s_t_b)))/(s_P*s_RadSpec!AZ7))),0)</f>
        <v>2.6824597822007652</v>
      </c>
      <c r="AS7" s="108">
        <f>IFERROR(IF(d_Bv!T7=0,0,((s_Ir*s_F*s_MLF_peppers*(1-EXP(-s_RadSpec!AZ7*s_t_b)))/(s_P*s_RadSpec!AZ7))),0)</f>
        <v>2.6824597822007652</v>
      </c>
      <c r="AT7" s="108">
        <f>IFERROR(IF(d_Bv!U7=0,0,((s_Ir*s_F*s_MLF_potato*(1-EXP(-s_RadSpec!AZ7*s_t_b)))/(s_P*s_RadSpec!AZ7))),0)</f>
        <v>2.6824597822007652</v>
      </c>
      <c r="AU7" s="108">
        <f>IFERROR(IF(d_Bv!V7=0,0,((s_Ir*s_F*s_MLF_pumpkin*(1-EXP(-s_RadSpec!AZ7*s_t_b)))/(s_P*s_RadSpec!AZ7))),0)</f>
        <v>2.6824597822007652</v>
      </c>
      <c r="AV7" s="108">
        <f>IFERROR(IF(d_Bv!W7=0,0,((s_Ir*s_F*s_MLF_snap_bean*(1-EXP(-s_RadSpec!AZ7*s_t_b)))/(s_P*s_RadSpec!AZ7))),0)</f>
        <v>2.6824597822007652</v>
      </c>
      <c r="AW7" s="108">
        <f>IFERROR(IF(d_Bv!X7=0,0,((s_Ir*s_F*s_MLF_strawberry*(1-EXP(-s_RadSpec!AZ7*s_t_b)))/(s_P*s_RadSpec!AZ7))),0)</f>
        <v>2.6824597822007652</v>
      </c>
      <c r="AX7" s="108">
        <f>IFERROR(IF(d_Bv!Y7=0,0,((s_Ir*s_F*s_MLF_tomato*(1-EXP(-s_RadSpec!AZ7*s_t_b)))/(s_P*s_RadSpec!AZ7))),0)</f>
        <v>2.6824597822007652</v>
      </c>
      <c r="AY7" s="108">
        <f>IFERROR(IF(d_Bv!Z7=0,0,((s_Ir*s_F*s_MLF_rice*(1-EXP(-s_RadSpec!AZ7*s_t_b)))/(s_P*s_RadSpec!AZ7))),0)</f>
        <v>2.6824597822007652</v>
      </c>
      <c r="AZ7" s="108">
        <f>IFERROR(IF(d_Bv!AA7=0,0,((s_Ir*s_F*s_MLF_cereal*(1-EXP(-s_RadSpec!AZ7*s_t_b)))/(s_P*s_RadSpec!AZ7))),0)</f>
        <v>2.6824597822007652</v>
      </c>
      <c r="BA7" s="108">
        <f>IFERROR(IF(d_Bv!C7=0,0,((s_Ir*s_F*s_I_f*s_T*(1-EXP(-s_RadSpec!BA7*s_t_v)))/(s_Y_v*s_RadSpec!BA7))),0)</f>
        <v>9.0143481925428208</v>
      </c>
      <c r="BB7" s="108">
        <f>IFERROR(IF(d_Bv!D7=0,0,((s_Ir*s_F*s_I_f*s_T*(1-EXP(-s_RadSpec!BA7*s_t_v)))/(s_Y_v*s_RadSpec!BA7))),0)</f>
        <v>9.0143481925428208</v>
      </c>
      <c r="BC7" s="108">
        <f>IFERROR(IF(d_Bv!E7=0,0,((s_Ir*s_F*s_I_f*s_T*(1-EXP(-s_RadSpec!BA7*s_t_v)))/(s_Y_v*s_RadSpec!BA7))),0)</f>
        <v>9.0143481925428208</v>
      </c>
      <c r="BD7" s="108">
        <f>IFERROR(IF(d_Bv!F7=0,0,((s_Ir*s_F*s_I_f*s_T*(1-EXP(-s_RadSpec!BA7*s_t_v)))/(s_Y_v*s_RadSpec!BA7))),0)</f>
        <v>9.0143481925428208</v>
      </c>
      <c r="BE7" s="108">
        <f>IFERROR(IF(d_Bv!G7=0,0,((s_Ir*s_F*s_I_f*s_T*(1-EXP(-s_RadSpec!BA7*s_t_v)))/(s_Y_v*s_RadSpec!BA7))),0)</f>
        <v>9.0143481925428208</v>
      </c>
      <c r="BF7" s="108">
        <f>IFERROR(IF(d_Bv!H7=0,0,((s_Ir*s_F*s_I_f*s_T*(1-EXP(-s_RadSpec!BA7*s_t_v)))/(s_Y_v*s_RadSpec!BA7))),0)</f>
        <v>9.0143481925428208</v>
      </c>
      <c r="BG7" s="108">
        <f>IFERROR(IF(d_Bv!I7=0,0,((s_Ir*s_F*s_I_f*s_T*(1-EXP(-s_RadSpec!BA7*s_t_v)))/(s_Y_v*s_RadSpec!BA7))),0)</f>
        <v>9.0143481925428208</v>
      </c>
      <c r="BH7" s="108">
        <f>IFERROR(IF(d_Bv!J7=0,0,((s_Ir*s_F*s_I_f*s_T*(1-EXP(-s_RadSpec!BA7*s_t_v)))/(s_Y_v*s_RadSpec!BA7))),0)</f>
        <v>9.0143481925428208</v>
      </c>
      <c r="BI7" s="108">
        <f>IFERROR(IF(d_Bv!K7=0,0,((s_Ir*s_F*s_I_f*s_T*(1-EXP(-s_RadSpec!BA7*s_t_v)))/(s_Y_v*s_RadSpec!BA7))),0)</f>
        <v>9.0143481925428208</v>
      </c>
      <c r="BJ7" s="108">
        <f>IFERROR(IF(d_Bv!L7=0,0,((s_Ir*s_F*s_I_f*s_T*(1-EXP(-s_RadSpec!BA7*s_t_v)))/(s_Y_v*s_RadSpec!BA7))),0)</f>
        <v>9.0143481925428208</v>
      </c>
      <c r="BK7" s="108">
        <f>IFERROR(IF(d_Bv!M7=0,0,((s_Ir*s_F*s_I_f*s_T*(1-EXP(-s_RadSpec!BA7*s_t_v)))/(s_Y_v*s_RadSpec!BA7))),0)</f>
        <v>9.0143481925428208</v>
      </c>
      <c r="BL7" s="108">
        <f>IFERROR(IF(d_Bv!N7=0,0,((s_Ir*s_F*s_I_f*s_T*(1-EXP(-s_RadSpec!BA7*s_t_v)))/(s_Y_v*s_RadSpec!BA7))),0)</f>
        <v>9.0143481925428208</v>
      </c>
      <c r="BM7" s="108">
        <f>IFERROR(IF(d_Bv!O7=0,0,((s_Ir*s_F*s_I_f*s_T*(1-EXP(-s_RadSpec!BA7*s_t_v)))/(s_Y_v*s_RadSpec!BA7))),0)</f>
        <v>9.0143481925428208</v>
      </c>
      <c r="BN7" s="108">
        <f>IFERROR(IF(d_Bv!P7=0,0,((s_Ir*s_F*s_I_f*s_T*(1-EXP(-s_RadSpec!BA7*s_t_v)))/(s_Y_v*s_RadSpec!BA7))),0)</f>
        <v>9.0143481925428208</v>
      </c>
      <c r="BO7" s="108">
        <f>IFERROR(IF(d_Bv!Q7=0,0,((s_Ir*s_F*s_I_f*s_T*(1-EXP(-s_RadSpec!BA7*s_t_v)))/(s_Y_v*s_RadSpec!BA7))),0)</f>
        <v>9.0143481925428208</v>
      </c>
      <c r="BP7" s="108">
        <f>IFERROR(IF(d_Bv!R7=0,0,((s_Ir*s_F*s_I_f*s_T*(1-EXP(-s_RadSpec!BA7*s_t_v)))/(s_Y_v*s_RadSpec!BA7))),0)</f>
        <v>9.0143481925428208</v>
      </c>
      <c r="BQ7" s="108">
        <f>IFERROR(IF(d_Bv!S7=0,0,((s_Ir*s_F*s_I_f*s_T*(1-EXP(-s_RadSpec!BA7*s_t_v)))/(s_Y_v*s_RadSpec!BA7))),0)</f>
        <v>9.0143481925428208</v>
      </c>
      <c r="BR7" s="108">
        <f>IFERROR(IF(d_Bv!T7=0,0,((s_Ir*s_F*s_I_f*s_T*(1-EXP(-s_RadSpec!BA7*s_t_v)))/(s_Y_v*s_RadSpec!BA7))),0)</f>
        <v>9.0143481925428208</v>
      </c>
      <c r="BS7" s="108">
        <f>IFERROR(IF(d_Bv!U7=0,0,((s_Ir*s_F*s_I_f*s_T*(1-EXP(-s_RadSpec!BA7*s_t_v)))/(s_Y_v*s_RadSpec!BA7))),0)</f>
        <v>9.0143481925428208</v>
      </c>
      <c r="BT7" s="108">
        <f>IFERROR(IF(d_Bv!V7=0,0,((s_Ir*s_F*s_I_f*s_T*(1-EXP(-s_RadSpec!BA7*s_t_v)))/(s_Y_v*s_RadSpec!BA7))),0)</f>
        <v>9.0143481925428208</v>
      </c>
      <c r="BU7" s="108">
        <f>IFERROR(IF(d_Bv!W7=0,0,((s_Ir*s_F*s_I_f*s_T*(1-EXP(-s_RadSpec!BA7*s_t_v)))/(s_Y_v*s_RadSpec!BA7))),0)</f>
        <v>9.0143481925428208</v>
      </c>
      <c r="BV7" s="108">
        <f>IFERROR(IF(d_Bv!X7=0,0,((s_Ir*s_F*s_I_f*s_T*(1-EXP(-s_RadSpec!BA7*s_t_v)))/(s_Y_v*s_RadSpec!BA7))),0)</f>
        <v>9.0143481925428208</v>
      </c>
      <c r="BW7" s="108">
        <f>IFERROR(IF(d_Bv!Y7=0,0,((s_Ir*s_F*s_I_f*s_T*(1-EXP(-s_RadSpec!BA7*s_t_v)))/(s_Y_v*s_RadSpec!BA7))),0)</f>
        <v>9.0143481925428208</v>
      </c>
      <c r="BX7" s="108">
        <f>IFERROR(IF(d_Bv!Z7=0,0,((s_Ir*s_F*s_I_f*s_T*(1-EXP(-s_RadSpec!BA7*s_t_v)))/(s_Y_v*s_RadSpec!BA7))),0)</f>
        <v>9.0143481925428208</v>
      </c>
      <c r="BY7" s="108">
        <f>IFERROR(IF(d_Bv!AA7=0,0,((s_Ir*s_F*s_I_f*s_T*(1-EXP(-s_RadSpec!BA7*s_t_v)))/(s_Y_v*s_RadSpec!BA7))),0)</f>
        <v>9.0143481925428208</v>
      </c>
    </row>
    <row r="8" spans="1:77" x14ac:dyDescent="0.25">
      <c r="A8" s="44" t="s">
        <v>6</v>
      </c>
      <c r="B8" s="42" t="s">
        <v>1057</v>
      </c>
      <c r="C8" s="108">
        <f>IFERROR(IF(d_Bv!C8=0,0,((s_Ir*s_F*d_Bv!C8*(1-EXP(-s_RadSpec!$AZ8*s_t_b)))/(s_P*s_RadSpec!$AZ8))),0)</f>
        <v>19.870072460746407</v>
      </c>
      <c r="D8" s="108">
        <f>IFERROR(IF(d_Bv!D8=0,0,((s_Ir*s_F*d_Bv!D8*(1-EXP(-s_RadSpec!AZ8*s_t_b)))/(s_P*s_RadSpec!AZ8))),0)</f>
        <v>19.870072460746407</v>
      </c>
      <c r="E8" s="108">
        <f>IFERROR(IF(d_Bv!E8=0,0,((s_Ir*s_F*d_Bv!E8*(1-EXP(-s_RadSpec!AZ8*s_t_b)))/(s_P*s_RadSpec!AZ8))),0)</f>
        <v>19.870072460746407</v>
      </c>
      <c r="F8" s="108">
        <f>IFERROR(IF(d_Bv!F8=0,0,((s_Ir*s_F*d_Bv!F8*(1-EXP(-s_RadSpec!AZ8*s_t_b)))/(s_P*s_RadSpec!AZ8))),0)</f>
        <v>19.870072460746407</v>
      </c>
      <c r="G8" s="108">
        <f>IFERROR(IF(d_Bv!G8=0,0,((s_Ir*s_F*d_Bv!G8*(1-EXP(-s_RadSpec!AZ8*s_t_b)))/(s_P*s_RadSpec!AZ8))),0)</f>
        <v>19.870072460746407</v>
      </c>
      <c r="H8" s="108">
        <f>IFERROR(IF(d_Bv!H8=0,0,((s_Ir*s_F*d_Bv!H8*(1-EXP(-s_RadSpec!AZ8*s_t_b)))/(s_P*s_RadSpec!AZ8))),0)</f>
        <v>19.870072460746407</v>
      </c>
      <c r="I8" s="108">
        <f>IFERROR(IF(d_Bv!I8=0,0,((s_Ir*s_F*d_Bv!I8*(1-EXP(-s_RadSpec!AZ8*s_t_b)))/(s_P*s_RadSpec!AZ8))),0)</f>
        <v>19.870072460746407</v>
      </c>
      <c r="J8" s="108">
        <f>IFERROR(IF(d_Bv!J8=0,0,((s_Ir*s_F*d_Bv!J8*(1-EXP(-s_RadSpec!AZ8*s_t_b)))/(s_P*s_RadSpec!AZ8))),0)</f>
        <v>19.870072460746407</v>
      </c>
      <c r="K8" s="108">
        <f>IFERROR(IF(d_Bv!K8=0,0,((s_Ir*s_F*d_Bv!K8*(1-EXP(-s_RadSpec!AZ8*s_t_b)))/(s_P*s_RadSpec!AZ8))),0)</f>
        <v>19.870072460746407</v>
      </c>
      <c r="L8" s="108">
        <f>IFERROR(IF(d_Bv!L8=0,0,((s_Ir*s_F*d_Bv!L8*(1-EXP(-s_RadSpec!AZ8*s_t_b)))/(s_P*s_RadSpec!AZ8))),0)</f>
        <v>19.870072460746407</v>
      </c>
      <c r="M8" s="108">
        <f>IFERROR(IF(d_Bv!M8=0,0,((s_Ir*s_F*d_Bv!M8*(1-EXP(-s_RadSpec!AZ8*s_t_b)))/(s_P*s_RadSpec!AZ8))),0)</f>
        <v>19.870072460746407</v>
      </c>
      <c r="N8" s="108">
        <f>IFERROR(IF(d_Bv!N8=0,0,((s_Ir*s_F*d_Bv!N8*(1-EXP(-s_RadSpec!AZ8*s_t_b)))/(s_P*s_RadSpec!AZ8))),0)</f>
        <v>19.870072460746407</v>
      </c>
      <c r="O8" s="108">
        <f>IFERROR(IF(d_Bv!O8=0,0,((s_Ir*s_F*d_Bv!O8*(1-EXP(-s_RadSpec!AZ8*s_t_b)))/(s_P*s_RadSpec!AZ8))),0)</f>
        <v>19.870072460746407</v>
      </c>
      <c r="P8" s="108">
        <f>IFERROR(IF(d_Bv!P8=0,0,((s_Ir*s_F*d_Bv!P8*(1-EXP(-s_RadSpec!AZ8*s_t_b)))/(s_P*s_RadSpec!AZ8))),0)</f>
        <v>19.870072460746407</v>
      </c>
      <c r="Q8" s="108">
        <f>IFERROR(IF(d_Bv!Q8=0,0,((s_Ir*s_F*d_Bv!Q8*(1-EXP(-s_RadSpec!AZ8*s_t_b)))/(s_P*s_RadSpec!AZ8))),0)</f>
        <v>19.870072460746407</v>
      </c>
      <c r="R8" s="108">
        <f>IFERROR(IF(d_Bv!R8=0,0,((s_Ir*s_F*d_Bv!R8*(1-EXP(-s_RadSpec!AZ8*s_t_b)))/(s_P*s_RadSpec!AZ8))),0)</f>
        <v>19.870072460746407</v>
      </c>
      <c r="S8" s="108">
        <f>IFERROR(IF(d_Bv!S8=0,0,((s_Ir*s_F*d_Bv!S8*(1-EXP(-s_RadSpec!AZ8*s_t_b)))/(s_P*s_RadSpec!AZ8))),0)</f>
        <v>19.870072460746407</v>
      </c>
      <c r="T8" s="108">
        <f>IFERROR(IF(d_Bv!T8=0,0,((s_Ir*s_F*d_Bv!T8*(1-EXP(-s_RadSpec!AZ8*s_t_b)))/(s_P*s_RadSpec!AZ8))),0)</f>
        <v>19.870072460746407</v>
      </c>
      <c r="U8" s="108">
        <f>IFERROR(IF(d_Bv!U8=0,0,((s_Ir*s_F*d_Bv!U8*(1-EXP(-s_RadSpec!AZ8*s_t_b)))/(s_P*s_RadSpec!AZ8))),0)</f>
        <v>19.870072460746407</v>
      </c>
      <c r="V8" s="108">
        <f>IFERROR(IF(d_Bv!V8=0,0,((s_Ir*s_F*d_Bv!V8*(1-EXP(-s_RadSpec!AZ8*s_t_b)))/(s_P*s_RadSpec!AZ8))),0)</f>
        <v>19.870072460746407</v>
      </c>
      <c r="W8" s="108">
        <f>IFERROR(IF(d_Bv!W8=0,0,((s_Ir*s_F*d_Bv!W8*(1-EXP(-s_RadSpec!AZ8*s_t_b)))/(s_P*s_RadSpec!AZ8))),0)</f>
        <v>19.870072460746407</v>
      </c>
      <c r="X8" s="108">
        <f>IFERROR(IF(d_Bv!X8=0,0,((s_Ir*s_F*d_Bv!X8*(1-EXP(-s_RadSpec!AZ8*s_t_b)))/(s_P*s_RadSpec!AZ8))),0)</f>
        <v>19.870072460746407</v>
      </c>
      <c r="Y8" s="108">
        <f>IFERROR(IF(d_Bv!Y8=0,0,((s_Ir*s_F*d_Bv!Y8*(1-EXP(-s_RadSpec!AZ8*s_t_b)))/(s_P*s_RadSpec!AZ8))),0)</f>
        <v>19.870072460746407</v>
      </c>
      <c r="Z8" s="108">
        <f>IFERROR(IF(d_Bv!Z8=0,0,((s_Ir*s_F*d_Bv!Z8*(1-EXP(-s_RadSpec!AZ8*s_t_b)))/(s_P*s_RadSpec!AZ8))),0)</f>
        <v>19.870072460746407</v>
      </c>
      <c r="AA8" s="108">
        <f>IFERROR(IF(d_Bv!AA8=0,0,((s_Ir*s_F*d_Bv!AA8*(1-EXP(-s_RadSpec!AZ8*s_t_b)))/(s_P*s_RadSpec!AZ8))),0)</f>
        <v>19.870072460746407</v>
      </c>
      <c r="AB8" s="108">
        <f>IFERROR(IF(d_Bv!C8=0,0,((s_Ir*s_F*s_MLF_apple*(1-EXP(-s_RadSpec!AZ8*s_t_b)))/(s_P*s_RadSpec!AZ8))),0)</f>
        <v>2.6824597822007652</v>
      </c>
      <c r="AC8" s="108">
        <f>IFERROR(IF(d_Bv!D8=0,0,((s_Ir*s_F*s_MLF_asparagus*(1-EXP(-s_RadSpec!AZ8*s_t_b)))/(s_P*s_RadSpec!AZ8))),0)</f>
        <v>2.6824597822007652</v>
      </c>
      <c r="AD8" s="108">
        <f>IFERROR(IF(d_Bv!E8=0,0,((s_Ir*s_F*s_MLF_beet*(1-EXP(-s_RadSpec!AZ8*s_t_b)))/(s_P*s_RadSpec!AZ8))),0)</f>
        <v>2.6824597822007652</v>
      </c>
      <c r="AE8" s="108">
        <f>IFERROR(IF(d_Bv!F8=0,0,((s_Ir*s_F*s_MLF_berries*(1-EXP(-s_RadSpec!AZ8*s_t_b)))/(s_P*s_RadSpec!AZ8))),0)</f>
        <v>2.6824597822007652</v>
      </c>
      <c r="AF8" s="108">
        <f>IFERROR(IF(d_Bv!G8=0,0,((s_Ir*s_F*s_MLF_broccoli*(1-EXP(-s_RadSpec!AZ8*s_t_b)))/(s_P*s_RadSpec!AZ8))),0)</f>
        <v>2.6824597822007652</v>
      </c>
      <c r="AG8" s="108">
        <f>IFERROR(IF(d_Bv!H8=0,0,((s_Ir*s_F*s_MLF_cabbage*(1-EXP(-s_RadSpec!AZ8*s_t_b)))/(s_P*s_RadSpec!AZ8))),0)</f>
        <v>2.6824597822007652</v>
      </c>
      <c r="AH8" s="108">
        <f>IFERROR(IF(d_Bv!I8=0,0,((s_Ir*s_F*s_MLF_carrot*(1-EXP(-s_RadSpec!AZ8*s_t_b)))/(s_P*s_RadSpec!AZ8))),0)</f>
        <v>2.6824597822007652</v>
      </c>
      <c r="AI8" s="108">
        <f>IFERROR(IF(d_Bv!J8=0,0,((s_Ir*s_F*s_MLF_citrus*(1-EXP(-s_RadSpec!AZ8*s_t_b)))/(s_P*s_RadSpec!AZ8))),0)</f>
        <v>2.6824597822007652</v>
      </c>
      <c r="AJ8" s="108">
        <f>IFERROR(IF(d_Bv!K8=0,0,((s_Ir*s_F*s_MLF_corn*(1-EXP(-s_RadSpec!AZ8*s_t_b)))/(s_P*s_RadSpec!AZ8))),0)</f>
        <v>2.6824597822007652</v>
      </c>
      <c r="AK8" s="108">
        <f>IFERROR(IF(d_Bv!L8=0,0,((s_Ir*s_F*s_MLF_cucumber*(1-EXP(-s_RadSpec!AZ8*s_t_b)))/(s_P*s_RadSpec!AZ8))),0)</f>
        <v>2.6824597822007652</v>
      </c>
      <c r="AL8" s="108">
        <f>IFERROR(IF(d_Bv!M8=0,0,((s_Ir*s_F*s_MLF_lettuce*(1-EXP(-s_RadSpec!AZ8*s_t_b)))/(s_P*s_RadSpec!AZ8))),0)</f>
        <v>2.6824597822007652</v>
      </c>
      <c r="AM8" s="108">
        <f>IFERROR(IF(d_Bv!N8=0,0,((s_Ir*s_F*s_MLF_lima_bean*(1-EXP(-s_RadSpec!AZ8*s_t_b)))/(s_P*s_RadSpec!AZ8))),0)</f>
        <v>2.6824597822007652</v>
      </c>
      <c r="AN8" s="108">
        <f>IFERROR(IF(d_Bv!O8=0,0,((s_Ir*s_F*s_MLF_okra*(1-EXP(-s_RadSpec!AZ8*s_t_b)))/(s_P*s_RadSpec!AZ8))),0)</f>
        <v>2.6824597822007652</v>
      </c>
      <c r="AO8" s="108">
        <f>IFERROR(IF(d_Bv!P8=0,0,((s_Ir*s_F*s_MLF_onion*(1-EXP(-s_RadSpec!AZ8*s_t_b)))/(s_P*s_RadSpec!AZ8))),0)</f>
        <v>2.6824597822007652</v>
      </c>
      <c r="AP8" s="108">
        <f>IFERROR(IF(d_Bv!Q8=0,0,((s_Ir*s_F*s_MLF_peach*(1-EXP(-s_RadSpec!AZ8*s_t_b)))/(s_P*s_RadSpec!AZ8))),0)</f>
        <v>2.6824597822007652</v>
      </c>
      <c r="AQ8" s="108">
        <f>IFERROR(IF(d_Bv!R8=0,0,((s_Ir*s_F*s_MLF_pear*(1-EXP(-s_RadSpec!AZ8*s_t_b)))/(s_P*s_RadSpec!AZ8))),0)</f>
        <v>2.6824597822007652</v>
      </c>
      <c r="AR8" s="108">
        <f>IFERROR(IF(d_Bv!S8=0,0,((s_Ir*s_F*s_MLF_peas*(1-EXP(-s_RadSpec!AZ8*s_t_b)))/(s_P*s_RadSpec!AZ8))),0)</f>
        <v>2.6824597822007652</v>
      </c>
      <c r="AS8" s="108">
        <f>IFERROR(IF(d_Bv!T8=0,0,((s_Ir*s_F*s_MLF_peppers*(1-EXP(-s_RadSpec!AZ8*s_t_b)))/(s_P*s_RadSpec!AZ8))),0)</f>
        <v>2.6824597822007652</v>
      </c>
      <c r="AT8" s="108">
        <f>IFERROR(IF(d_Bv!U8=0,0,((s_Ir*s_F*s_MLF_potato*(1-EXP(-s_RadSpec!AZ8*s_t_b)))/(s_P*s_RadSpec!AZ8))),0)</f>
        <v>2.6824597822007652</v>
      </c>
      <c r="AU8" s="108">
        <f>IFERROR(IF(d_Bv!V8=0,0,((s_Ir*s_F*s_MLF_pumpkin*(1-EXP(-s_RadSpec!AZ8*s_t_b)))/(s_P*s_RadSpec!AZ8))),0)</f>
        <v>2.6824597822007652</v>
      </c>
      <c r="AV8" s="108">
        <f>IFERROR(IF(d_Bv!W8=0,0,((s_Ir*s_F*s_MLF_snap_bean*(1-EXP(-s_RadSpec!AZ8*s_t_b)))/(s_P*s_RadSpec!AZ8))),0)</f>
        <v>2.6824597822007652</v>
      </c>
      <c r="AW8" s="108">
        <f>IFERROR(IF(d_Bv!X8=0,0,((s_Ir*s_F*s_MLF_strawberry*(1-EXP(-s_RadSpec!AZ8*s_t_b)))/(s_P*s_RadSpec!AZ8))),0)</f>
        <v>2.6824597822007652</v>
      </c>
      <c r="AX8" s="108">
        <f>IFERROR(IF(d_Bv!Y8=0,0,((s_Ir*s_F*s_MLF_tomato*(1-EXP(-s_RadSpec!AZ8*s_t_b)))/(s_P*s_RadSpec!AZ8))),0)</f>
        <v>2.6824597822007652</v>
      </c>
      <c r="AY8" s="108">
        <f>IFERROR(IF(d_Bv!Z8=0,0,((s_Ir*s_F*s_MLF_rice*(1-EXP(-s_RadSpec!AZ8*s_t_b)))/(s_P*s_RadSpec!AZ8))),0)</f>
        <v>2.6824597822007652</v>
      </c>
      <c r="AZ8" s="108">
        <f>IFERROR(IF(d_Bv!AA8=0,0,((s_Ir*s_F*s_MLF_cereal*(1-EXP(-s_RadSpec!AZ8*s_t_b)))/(s_P*s_RadSpec!AZ8))),0)</f>
        <v>2.6824597822007652</v>
      </c>
      <c r="BA8" s="108">
        <f>IFERROR(IF(d_Bv!C8=0,0,((s_Ir*s_F*s_I_f*s_T*(1-EXP(-s_RadSpec!BA8*s_t_v)))/(s_Y_v*s_RadSpec!BA8))),0)</f>
        <v>9.0143481925428208</v>
      </c>
      <c r="BB8" s="108">
        <f>IFERROR(IF(d_Bv!D8=0,0,((s_Ir*s_F*s_I_f*s_T*(1-EXP(-s_RadSpec!BA8*s_t_v)))/(s_Y_v*s_RadSpec!BA8))),0)</f>
        <v>9.0143481925428208</v>
      </c>
      <c r="BC8" s="108">
        <f>IFERROR(IF(d_Bv!E8=0,0,((s_Ir*s_F*s_I_f*s_T*(1-EXP(-s_RadSpec!BA8*s_t_v)))/(s_Y_v*s_RadSpec!BA8))),0)</f>
        <v>9.0143481925428208</v>
      </c>
      <c r="BD8" s="108">
        <f>IFERROR(IF(d_Bv!F8=0,0,((s_Ir*s_F*s_I_f*s_T*(1-EXP(-s_RadSpec!BA8*s_t_v)))/(s_Y_v*s_RadSpec!BA8))),0)</f>
        <v>9.0143481925428208</v>
      </c>
      <c r="BE8" s="108">
        <f>IFERROR(IF(d_Bv!G8=0,0,((s_Ir*s_F*s_I_f*s_T*(1-EXP(-s_RadSpec!BA8*s_t_v)))/(s_Y_v*s_RadSpec!BA8))),0)</f>
        <v>9.0143481925428208</v>
      </c>
      <c r="BF8" s="108">
        <f>IFERROR(IF(d_Bv!H8=0,0,((s_Ir*s_F*s_I_f*s_T*(1-EXP(-s_RadSpec!BA8*s_t_v)))/(s_Y_v*s_RadSpec!BA8))),0)</f>
        <v>9.0143481925428208</v>
      </c>
      <c r="BG8" s="108">
        <f>IFERROR(IF(d_Bv!I8=0,0,((s_Ir*s_F*s_I_f*s_T*(1-EXP(-s_RadSpec!BA8*s_t_v)))/(s_Y_v*s_RadSpec!BA8))),0)</f>
        <v>9.0143481925428208</v>
      </c>
      <c r="BH8" s="108">
        <f>IFERROR(IF(d_Bv!J8=0,0,((s_Ir*s_F*s_I_f*s_T*(1-EXP(-s_RadSpec!BA8*s_t_v)))/(s_Y_v*s_RadSpec!BA8))),0)</f>
        <v>9.0143481925428208</v>
      </c>
      <c r="BI8" s="108">
        <f>IFERROR(IF(d_Bv!K8=0,0,((s_Ir*s_F*s_I_f*s_T*(1-EXP(-s_RadSpec!BA8*s_t_v)))/(s_Y_v*s_RadSpec!BA8))),0)</f>
        <v>9.0143481925428208</v>
      </c>
      <c r="BJ8" s="108">
        <f>IFERROR(IF(d_Bv!L8=0,0,((s_Ir*s_F*s_I_f*s_T*(1-EXP(-s_RadSpec!BA8*s_t_v)))/(s_Y_v*s_RadSpec!BA8))),0)</f>
        <v>9.0143481925428208</v>
      </c>
      <c r="BK8" s="108">
        <f>IFERROR(IF(d_Bv!M8=0,0,((s_Ir*s_F*s_I_f*s_T*(1-EXP(-s_RadSpec!BA8*s_t_v)))/(s_Y_v*s_RadSpec!BA8))),0)</f>
        <v>9.0143481925428208</v>
      </c>
      <c r="BL8" s="108">
        <f>IFERROR(IF(d_Bv!N8=0,0,((s_Ir*s_F*s_I_f*s_T*(1-EXP(-s_RadSpec!BA8*s_t_v)))/(s_Y_v*s_RadSpec!BA8))),0)</f>
        <v>9.0143481925428208</v>
      </c>
      <c r="BM8" s="108">
        <f>IFERROR(IF(d_Bv!O8=0,0,((s_Ir*s_F*s_I_f*s_T*(1-EXP(-s_RadSpec!BA8*s_t_v)))/(s_Y_v*s_RadSpec!BA8))),0)</f>
        <v>9.0143481925428208</v>
      </c>
      <c r="BN8" s="108">
        <f>IFERROR(IF(d_Bv!P8=0,0,((s_Ir*s_F*s_I_f*s_T*(1-EXP(-s_RadSpec!BA8*s_t_v)))/(s_Y_v*s_RadSpec!BA8))),0)</f>
        <v>9.0143481925428208</v>
      </c>
      <c r="BO8" s="108">
        <f>IFERROR(IF(d_Bv!Q8=0,0,((s_Ir*s_F*s_I_f*s_T*(1-EXP(-s_RadSpec!BA8*s_t_v)))/(s_Y_v*s_RadSpec!BA8))),0)</f>
        <v>9.0143481925428208</v>
      </c>
      <c r="BP8" s="108">
        <f>IFERROR(IF(d_Bv!R8=0,0,((s_Ir*s_F*s_I_f*s_T*(1-EXP(-s_RadSpec!BA8*s_t_v)))/(s_Y_v*s_RadSpec!BA8))),0)</f>
        <v>9.0143481925428208</v>
      </c>
      <c r="BQ8" s="108">
        <f>IFERROR(IF(d_Bv!S8=0,0,((s_Ir*s_F*s_I_f*s_T*(1-EXP(-s_RadSpec!BA8*s_t_v)))/(s_Y_v*s_RadSpec!BA8))),0)</f>
        <v>9.0143481925428208</v>
      </c>
      <c r="BR8" s="108">
        <f>IFERROR(IF(d_Bv!T8=0,0,((s_Ir*s_F*s_I_f*s_T*(1-EXP(-s_RadSpec!BA8*s_t_v)))/(s_Y_v*s_RadSpec!BA8))),0)</f>
        <v>9.0143481925428208</v>
      </c>
      <c r="BS8" s="108">
        <f>IFERROR(IF(d_Bv!U8=0,0,((s_Ir*s_F*s_I_f*s_T*(1-EXP(-s_RadSpec!BA8*s_t_v)))/(s_Y_v*s_RadSpec!BA8))),0)</f>
        <v>9.0143481925428208</v>
      </c>
      <c r="BT8" s="108">
        <f>IFERROR(IF(d_Bv!V8=0,0,((s_Ir*s_F*s_I_f*s_T*(1-EXP(-s_RadSpec!BA8*s_t_v)))/(s_Y_v*s_RadSpec!BA8))),0)</f>
        <v>9.0143481925428208</v>
      </c>
      <c r="BU8" s="108">
        <f>IFERROR(IF(d_Bv!W8=0,0,((s_Ir*s_F*s_I_f*s_T*(1-EXP(-s_RadSpec!BA8*s_t_v)))/(s_Y_v*s_RadSpec!BA8))),0)</f>
        <v>9.0143481925428208</v>
      </c>
      <c r="BV8" s="108">
        <f>IFERROR(IF(d_Bv!X8=0,0,((s_Ir*s_F*s_I_f*s_T*(1-EXP(-s_RadSpec!BA8*s_t_v)))/(s_Y_v*s_RadSpec!BA8))),0)</f>
        <v>9.0143481925428208</v>
      </c>
      <c r="BW8" s="108">
        <f>IFERROR(IF(d_Bv!Y8=0,0,((s_Ir*s_F*s_I_f*s_T*(1-EXP(-s_RadSpec!BA8*s_t_v)))/(s_Y_v*s_RadSpec!BA8))),0)</f>
        <v>9.0143481925428208</v>
      </c>
      <c r="BX8" s="108">
        <f>IFERROR(IF(d_Bv!Z8=0,0,((s_Ir*s_F*s_I_f*s_T*(1-EXP(-s_RadSpec!BA8*s_t_v)))/(s_Y_v*s_RadSpec!BA8))),0)</f>
        <v>9.0143481925428208</v>
      </c>
      <c r="BY8" s="108">
        <f>IFERROR(IF(d_Bv!AA8=0,0,((s_Ir*s_F*s_I_f*s_T*(1-EXP(-s_RadSpec!BA8*s_t_v)))/(s_Y_v*s_RadSpec!BA8))),0)</f>
        <v>9.0143481925428208</v>
      </c>
    </row>
    <row r="9" spans="1:77" x14ac:dyDescent="0.25">
      <c r="A9" s="44" t="s">
        <v>7</v>
      </c>
      <c r="B9" s="42" t="s">
        <v>1057</v>
      </c>
      <c r="C9" s="108">
        <f>IFERROR(IF(d_Bv!C9=0,0,((s_Ir*s_F*d_Bv!C9*(1-EXP(-s_RadSpec!$AZ9*s_t_b)))/(s_P*s_RadSpec!$AZ9))),0)</f>
        <v>19.870072460746407</v>
      </c>
      <c r="D9" s="108">
        <f>IFERROR(IF(d_Bv!D9=0,0,((s_Ir*s_F*d_Bv!D9*(1-EXP(-s_RadSpec!AZ9*s_t_b)))/(s_P*s_RadSpec!AZ9))),0)</f>
        <v>19.870072460746407</v>
      </c>
      <c r="E9" s="108">
        <f>IFERROR(IF(d_Bv!E9=0,0,((s_Ir*s_F*d_Bv!E9*(1-EXP(-s_RadSpec!AZ9*s_t_b)))/(s_P*s_RadSpec!AZ9))),0)</f>
        <v>19.870072460746407</v>
      </c>
      <c r="F9" s="108">
        <f>IFERROR(IF(d_Bv!F9=0,0,((s_Ir*s_F*d_Bv!F9*(1-EXP(-s_RadSpec!AZ9*s_t_b)))/(s_P*s_RadSpec!AZ9))),0)</f>
        <v>19.870072460746407</v>
      </c>
      <c r="G9" s="108">
        <f>IFERROR(IF(d_Bv!G9=0,0,((s_Ir*s_F*d_Bv!G9*(1-EXP(-s_RadSpec!AZ9*s_t_b)))/(s_P*s_RadSpec!AZ9))),0)</f>
        <v>19.870072460746407</v>
      </c>
      <c r="H9" s="108">
        <f>IFERROR(IF(d_Bv!H9=0,0,((s_Ir*s_F*d_Bv!H9*(1-EXP(-s_RadSpec!AZ9*s_t_b)))/(s_P*s_RadSpec!AZ9))),0)</f>
        <v>19.870072460746407</v>
      </c>
      <c r="I9" s="108">
        <f>IFERROR(IF(d_Bv!I9=0,0,((s_Ir*s_F*d_Bv!I9*(1-EXP(-s_RadSpec!AZ9*s_t_b)))/(s_P*s_RadSpec!AZ9))),0)</f>
        <v>19.870072460746407</v>
      </c>
      <c r="J9" s="108">
        <f>IFERROR(IF(d_Bv!J9=0,0,((s_Ir*s_F*d_Bv!J9*(1-EXP(-s_RadSpec!AZ9*s_t_b)))/(s_P*s_RadSpec!AZ9))),0)</f>
        <v>19.870072460746407</v>
      </c>
      <c r="K9" s="108">
        <f>IFERROR(IF(d_Bv!K9=0,0,((s_Ir*s_F*d_Bv!K9*(1-EXP(-s_RadSpec!AZ9*s_t_b)))/(s_P*s_RadSpec!AZ9))),0)</f>
        <v>19.870072460746407</v>
      </c>
      <c r="L9" s="108">
        <f>IFERROR(IF(d_Bv!L9=0,0,((s_Ir*s_F*d_Bv!L9*(1-EXP(-s_RadSpec!AZ9*s_t_b)))/(s_P*s_RadSpec!AZ9))),0)</f>
        <v>19.870072460746407</v>
      </c>
      <c r="M9" s="108">
        <f>IFERROR(IF(d_Bv!M9=0,0,((s_Ir*s_F*d_Bv!M9*(1-EXP(-s_RadSpec!AZ9*s_t_b)))/(s_P*s_RadSpec!AZ9))),0)</f>
        <v>19.870072460746407</v>
      </c>
      <c r="N9" s="108">
        <f>IFERROR(IF(d_Bv!N9=0,0,((s_Ir*s_F*d_Bv!N9*(1-EXP(-s_RadSpec!AZ9*s_t_b)))/(s_P*s_RadSpec!AZ9))),0)</f>
        <v>19.870072460746407</v>
      </c>
      <c r="O9" s="108">
        <f>IFERROR(IF(d_Bv!O9=0,0,((s_Ir*s_F*d_Bv!O9*(1-EXP(-s_RadSpec!AZ9*s_t_b)))/(s_P*s_RadSpec!AZ9))),0)</f>
        <v>19.870072460746407</v>
      </c>
      <c r="P9" s="108">
        <f>IFERROR(IF(d_Bv!P9=0,0,((s_Ir*s_F*d_Bv!P9*(1-EXP(-s_RadSpec!AZ9*s_t_b)))/(s_P*s_RadSpec!AZ9))),0)</f>
        <v>19.870072460746407</v>
      </c>
      <c r="Q9" s="108">
        <f>IFERROR(IF(d_Bv!Q9=0,0,((s_Ir*s_F*d_Bv!Q9*(1-EXP(-s_RadSpec!AZ9*s_t_b)))/(s_P*s_RadSpec!AZ9))),0)</f>
        <v>19.870072460746407</v>
      </c>
      <c r="R9" s="108">
        <f>IFERROR(IF(d_Bv!R9=0,0,((s_Ir*s_F*d_Bv!R9*(1-EXP(-s_RadSpec!AZ9*s_t_b)))/(s_P*s_RadSpec!AZ9))),0)</f>
        <v>19.870072460746407</v>
      </c>
      <c r="S9" s="108">
        <f>IFERROR(IF(d_Bv!S9=0,0,((s_Ir*s_F*d_Bv!S9*(1-EXP(-s_RadSpec!AZ9*s_t_b)))/(s_P*s_RadSpec!AZ9))),0)</f>
        <v>19.870072460746407</v>
      </c>
      <c r="T9" s="108">
        <f>IFERROR(IF(d_Bv!T9=0,0,((s_Ir*s_F*d_Bv!T9*(1-EXP(-s_RadSpec!AZ9*s_t_b)))/(s_P*s_RadSpec!AZ9))),0)</f>
        <v>19.870072460746407</v>
      </c>
      <c r="U9" s="108">
        <f>IFERROR(IF(d_Bv!U9=0,0,((s_Ir*s_F*d_Bv!U9*(1-EXP(-s_RadSpec!AZ9*s_t_b)))/(s_P*s_RadSpec!AZ9))),0)</f>
        <v>19.870072460746407</v>
      </c>
      <c r="V9" s="108">
        <f>IFERROR(IF(d_Bv!V9=0,0,((s_Ir*s_F*d_Bv!V9*(1-EXP(-s_RadSpec!AZ9*s_t_b)))/(s_P*s_RadSpec!AZ9))),0)</f>
        <v>19.870072460746407</v>
      </c>
      <c r="W9" s="108">
        <f>IFERROR(IF(d_Bv!W9=0,0,((s_Ir*s_F*d_Bv!W9*(1-EXP(-s_RadSpec!AZ9*s_t_b)))/(s_P*s_RadSpec!AZ9))),0)</f>
        <v>19.870072460746407</v>
      </c>
      <c r="X9" s="108">
        <f>IFERROR(IF(d_Bv!X9=0,0,((s_Ir*s_F*d_Bv!X9*(1-EXP(-s_RadSpec!AZ9*s_t_b)))/(s_P*s_RadSpec!AZ9))),0)</f>
        <v>19.870072460746407</v>
      </c>
      <c r="Y9" s="108">
        <f>IFERROR(IF(d_Bv!Y9=0,0,((s_Ir*s_F*d_Bv!Y9*(1-EXP(-s_RadSpec!AZ9*s_t_b)))/(s_P*s_RadSpec!AZ9))),0)</f>
        <v>19.870072460746407</v>
      </c>
      <c r="Z9" s="108">
        <f>IFERROR(IF(d_Bv!Z9=0,0,((s_Ir*s_F*d_Bv!Z9*(1-EXP(-s_RadSpec!AZ9*s_t_b)))/(s_P*s_RadSpec!AZ9))),0)</f>
        <v>19.870072460746407</v>
      </c>
      <c r="AA9" s="108">
        <f>IFERROR(IF(d_Bv!AA9=0,0,((s_Ir*s_F*d_Bv!AA9*(1-EXP(-s_RadSpec!AZ9*s_t_b)))/(s_P*s_RadSpec!AZ9))),0)</f>
        <v>19.870072460746407</v>
      </c>
      <c r="AB9" s="108">
        <f>IFERROR(IF(d_Bv!C9=0,0,((s_Ir*s_F*s_MLF_apple*(1-EXP(-s_RadSpec!AZ9*s_t_b)))/(s_P*s_RadSpec!AZ9))),0)</f>
        <v>2.6824597822007652</v>
      </c>
      <c r="AC9" s="108">
        <f>IFERROR(IF(d_Bv!D9=0,0,((s_Ir*s_F*s_MLF_asparagus*(1-EXP(-s_RadSpec!AZ9*s_t_b)))/(s_P*s_RadSpec!AZ9))),0)</f>
        <v>2.6824597822007652</v>
      </c>
      <c r="AD9" s="108">
        <f>IFERROR(IF(d_Bv!E9=0,0,((s_Ir*s_F*s_MLF_beet*(1-EXP(-s_RadSpec!AZ9*s_t_b)))/(s_P*s_RadSpec!AZ9))),0)</f>
        <v>2.6824597822007652</v>
      </c>
      <c r="AE9" s="108">
        <f>IFERROR(IF(d_Bv!F9=0,0,((s_Ir*s_F*s_MLF_berries*(1-EXP(-s_RadSpec!AZ9*s_t_b)))/(s_P*s_RadSpec!AZ9))),0)</f>
        <v>2.6824597822007652</v>
      </c>
      <c r="AF9" s="108">
        <f>IFERROR(IF(d_Bv!G9=0,0,((s_Ir*s_F*s_MLF_broccoli*(1-EXP(-s_RadSpec!AZ9*s_t_b)))/(s_P*s_RadSpec!AZ9))),0)</f>
        <v>2.6824597822007652</v>
      </c>
      <c r="AG9" s="108">
        <f>IFERROR(IF(d_Bv!H9=0,0,((s_Ir*s_F*s_MLF_cabbage*(1-EXP(-s_RadSpec!AZ9*s_t_b)))/(s_P*s_RadSpec!AZ9))),0)</f>
        <v>2.6824597822007652</v>
      </c>
      <c r="AH9" s="108">
        <f>IFERROR(IF(d_Bv!I9=0,0,((s_Ir*s_F*s_MLF_carrot*(1-EXP(-s_RadSpec!AZ9*s_t_b)))/(s_P*s_RadSpec!AZ9))),0)</f>
        <v>2.6824597822007652</v>
      </c>
      <c r="AI9" s="108">
        <f>IFERROR(IF(d_Bv!J9=0,0,((s_Ir*s_F*s_MLF_citrus*(1-EXP(-s_RadSpec!AZ9*s_t_b)))/(s_P*s_RadSpec!AZ9))),0)</f>
        <v>2.6824597822007652</v>
      </c>
      <c r="AJ9" s="108">
        <f>IFERROR(IF(d_Bv!K9=0,0,((s_Ir*s_F*s_MLF_corn*(1-EXP(-s_RadSpec!AZ9*s_t_b)))/(s_P*s_RadSpec!AZ9))),0)</f>
        <v>2.6824597822007652</v>
      </c>
      <c r="AK9" s="108">
        <f>IFERROR(IF(d_Bv!L9=0,0,((s_Ir*s_F*s_MLF_cucumber*(1-EXP(-s_RadSpec!AZ9*s_t_b)))/(s_P*s_RadSpec!AZ9))),0)</f>
        <v>2.6824597822007652</v>
      </c>
      <c r="AL9" s="108">
        <f>IFERROR(IF(d_Bv!M9=0,0,((s_Ir*s_F*s_MLF_lettuce*(1-EXP(-s_RadSpec!AZ9*s_t_b)))/(s_P*s_RadSpec!AZ9))),0)</f>
        <v>2.6824597822007652</v>
      </c>
      <c r="AM9" s="108">
        <f>IFERROR(IF(d_Bv!N9=0,0,((s_Ir*s_F*s_MLF_lima_bean*(1-EXP(-s_RadSpec!AZ9*s_t_b)))/(s_P*s_RadSpec!AZ9))),0)</f>
        <v>2.6824597822007652</v>
      </c>
      <c r="AN9" s="108">
        <f>IFERROR(IF(d_Bv!O9=0,0,((s_Ir*s_F*s_MLF_okra*(1-EXP(-s_RadSpec!AZ9*s_t_b)))/(s_P*s_RadSpec!AZ9))),0)</f>
        <v>2.6824597822007652</v>
      </c>
      <c r="AO9" s="108">
        <f>IFERROR(IF(d_Bv!P9=0,0,((s_Ir*s_F*s_MLF_onion*(1-EXP(-s_RadSpec!AZ9*s_t_b)))/(s_P*s_RadSpec!AZ9))),0)</f>
        <v>2.6824597822007652</v>
      </c>
      <c r="AP9" s="108">
        <f>IFERROR(IF(d_Bv!Q9=0,0,((s_Ir*s_F*s_MLF_peach*(1-EXP(-s_RadSpec!AZ9*s_t_b)))/(s_P*s_RadSpec!AZ9))),0)</f>
        <v>2.6824597822007652</v>
      </c>
      <c r="AQ9" s="108">
        <f>IFERROR(IF(d_Bv!R9=0,0,((s_Ir*s_F*s_MLF_pear*(1-EXP(-s_RadSpec!AZ9*s_t_b)))/(s_P*s_RadSpec!AZ9))),0)</f>
        <v>2.6824597822007652</v>
      </c>
      <c r="AR9" s="108">
        <f>IFERROR(IF(d_Bv!S9=0,0,((s_Ir*s_F*s_MLF_peas*(1-EXP(-s_RadSpec!AZ9*s_t_b)))/(s_P*s_RadSpec!AZ9))),0)</f>
        <v>2.6824597822007652</v>
      </c>
      <c r="AS9" s="108">
        <f>IFERROR(IF(d_Bv!T9=0,0,((s_Ir*s_F*s_MLF_peppers*(1-EXP(-s_RadSpec!AZ9*s_t_b)))/(s_P*s_RadSpec!AZ9))),0)</f>
        <v>2.6824597822007652</v>
      </c>
      <c r="AT9" s="108">
        <f>IFERROR(IF(d_Bv!U9=0,0,((s_Ir*s_F*s_MLF_potato*(1-EXP(-s_RadSpec!AZ9*s_t_b)))/(s_P*s_RadSpec!AZ9))),0)</f>
        <v>2.6824597822007652</v>
      </c>
      <c r="AU9" s="108">
        <f>IFERROR(IF(d_Bv!V9=0,0,((s_Ir*s_F*s_MLF_pumpkin*(1-EXP(-s_RadSpec!AZ9*s_t_b)))/(s_P*s_RadSpec!AZ9))),0)</f>
        <v>2.6824597822007652</v>
      </c>
      <c r="AV9" s="108">
        <f>IFERROR(IF(d_Bv!W9=0,0,((s_Ir*s_F*s_MLF_snap_bean*(1-EXP(-s_RadSpec!AZ9*s_t_b)))/(s_P*s_RadSpec!AZ9))),0)</f>
        <v>2.6824597822007652</v>
      </c>
      <c r="AW9" s="108">
        <f>IFERROR(IF(d_Bv!X9=0,0,((s_Ir*s_F*s_MLF_strawberry*(1-EXP(-s_RadSpec!AZ9*s_t_b)))/(s_P*s_RadSpec!AZ9))),0)</f>
        <v>2.6824597822007652</v>
      </c>
      <c r="AX9" s="108">
        <f>IFERROR(IF(d_Bv!Y9=0,0,((s_Ir*s_F*s_MLF_tomato*(1-EXP(-s_RadSpec!AZ9*s_t_b)))/(s_P*s_RadSpec!AZ9))),0)</f>
        <v>2.6824597822007652</v>
      </c>
      <c r="AY9" s="108">
        <f>IFERROR(IF(d_Bv!Z9=0,0,((s_Ir*s_F*s_MLF_rice*(1-EXP(-s_RadSpec!AZ9*s_t_b)))/(s_P*s_RadSpec!AZ9))),0)</f>
        <v>2.6824597822007652</v>
      </c>
      <c r="AZ9" s="108">
        <f>IFERROR(IF(d_Bv!AA9=0,0,((s_Ir*s_F*s_MLF_cereal*(1-EXP(-s_RadSpec!AZ9*s_t_b)))/(s_P*s_RadSpec!AZ9))),0)</f>
        <v>2.6824597822007652</v>
      </c>
      <c r="BA9" s="108">
        <f>IFERROR(IF(d_Bv!C9=0,0,((s_Ir*s_F*s_I_f*s_T*(1-EXP(-s_RadSpec!BA9*s_t_v)))/(s_Y_v*s_RadSpec!BA9))),0)</f>
        <v>9.0143481925428208</v>
      </c>
      <c r="BB9" s="108">
        <f>IFERROR(IF(d_Bv!D9=0,0,((s_Ir*s_F*s_I_f*s_T*(1-EXP(-s_RadSpec!BA9*s_t_v)))/(s_Y_v*s_RadSpec!BA9))),0)</f>
        <v>9.0143481925428208</v>
      </c>
      <c r="BC9" s="108">
        <f>IFERROR(IF(d_Bv!E9=0,0,((s_Ir*s_F*s_I_f*s_T*(1-EXP(-s_RadSpec!BA9*s_t_v)))/(s_Y_v*s_RadSpec!BA9))),0)</f>
        <v>9.0143481925428208</v>
      </c>
      <c r="BD9" s="108">
        <f>IFERROR(IF(d_Bv!F9=0,0,((s_Ir*s_F*s_I_f*s_T*(1-EXP(-s_RadSpec!BA9*s_t_v)))/(s_Y_v*s_RadSpec!BA9))),0)</f>
        <v>9.0143481925428208</v>
      </c>
      <c r="BE9" s="108">
        <f>IFERROR(IF(d_Bv!G9=0,0,((s_Ir*s_F*s_I_f*s_T*(1-EXP(-s_RadSpec!BA9*s_t_v)))/(s_Y_v*s_RadSpec!BA9))),0)</f>
        <v>9.0143481925428208</v>
      </c>
      <c r="BF9" s="108">
        <f>IFERROR(IF(d_Bv!H9=0,0,((s_Ir*s_F*s_I_f*s_T*(1-EXP(-s_RadSpec!BA9*s_t_v)))/(s_Y_v*s_RadSpec!BA9))),0)</f>
        <v>9.0143481925428208</v>
      </c>
      <c r="BG9" s="108">
        <f>IFERROR(IF(d_Bv!I9=0,0,((s_Ir*s_F*s_I_f*s_T*(1-EXP(-s_RadSpec!BA9*s_t_v)))/(s_Y_v*s_RadSpec!BA9))),0)</f>
        <v>9.0143481925428208</v>
      </c>
      <c r="BH9" s="108">
        <f>IFERROR(IF(d_Bv!J9=0,0,((s_Ir*s_F*s_I_f*s_T*(1-EXP(-s_RadSpec!BA9*s_t_v)))/(s_Y_v*s_RadSpec!BA9))),0)</f>
        <v>9.0143481925428208</v>
      </c>
      <c r="BI9" s="108">
        <f>IFERROR(IF(d_Bv!K9=0,0,((s_Ir*s_F*s_I_f*s_T*(1-EXP(-s_RadSpec!BA9*s_t_v)))/(s_Y_v*s_RadSpec!BA9))),0)</f>
        <v>9.0143481925428208</v>
      </c>
      <c r="BJ9" s="108">
        <f>IFERROR(IF(d_Bv!L9=0,0,((s_Ir*s_F*s_I_f*s_T*(1-EXP(-s_RadSpec!BA9*s_t_v)))/(s_Y_v*s_RadSpec!BA9))),0)</f>
        <v>9.0143481925428208</v>
      </c>
      <c r="BK9" s="108">
        <f>IFERROR(IF(d_Bv!M9=0,0,((s_Ir*s_F*s_I_f*s_T*(1-EXP(-s_RadSpec!BA9*s_t_v)))/(s_Y_v*s_RadSpec!BA9))),0)</f>
        <v>9.0143481925428208</v>
      </c>
      <c r="BL9" s="108">
        <f>IFERROR(IF(d_Bv!N9=0,0,((s_Ir*s_F*s_I_f*s_T*(1-EXP(-s_RadSpec!BA9*s_t_v)))/(s_Y_v*s_RadSpec!BA9))),0)</f>
        <v>9.0143481925428208</v>
      </c>
      <c r="BM9" s="108">
        <f>IFERROR(IF(d_Bv!O9=0,0,((s_Ir*s_F*s_I_f*s_T*(1-EXP(-s_RadSpec!BA9*s_t_v)))/(s_Y_v*s_RadSpec!BA9))),0)</f>
        <v>9.0143481925428208</v>
      </c>
      <c r="BN9" s="108">
        <f>IFERROR(IF(d_Bv!P9=0,0,((s_Ir*s_F*s_I_f*s_T*(1-EXP(-s_RadSpec!BA9*s_t_v)))/(s_Y_v*s_RadSpec!BA9))),0)</f>
        <v>9.0143481925428208</v>
      </c>
      <c r="BO9" s="108">
        <f>IFERROR(IF(d_Bv!Q9=0,0,((s_Ir*s_F*s_I_f*s_T*(1-EXP(-s_RadSpec!BA9*s_t_v)))/(s_Y_v*s_RadSpec!BA9))),0)</f>
        <v>9.0143481925428208</v>
      </c>
      <c r="BP9" s="108">
        <f>IFERROR(IF(d_Bv!R9=0,0,((s_Ir*s_F*s_I_f*s_T*(1-EXP(-s_RadSpec!BA9*s_t_v)))/(s_Y_v*s_RadSpec!BA9))),0)</f>
        <v>9.0143481925428208</v>
      </c>
      <c r="BQ9" s="108">
        <f>IFERROR(IF(d_Bv!S9=0,0,((s_Ir*s_F*s_I_f*s_T*(1-EXP(-s_RadSpec!BA9*s_t_v)))/(s_Y_v*s_RadSpec!BA9))),0)</f>
        <v>9.0143481925428208</v>
      </c>
      <c r="BR9" s="108">
        <f>IFERROR(IF(d_Bv!T9=0,0,((s_Ir*s_F*s_I_f*s_T*(1-EXP(-s_RadSpec!BA9*s_t_v)))/(s_Y_v*s_RadSpec!BA9))),0)</f>
        <v>9.0143481925428208</v>
      </c>
      <c r="BS9" s="108">
        <f>IFERROR(IF(d_Bv!U9=0,0,((s_Ir*s_F*s_I_f*s_T*(1-EXP(-s_RadSpec!BA9*s_t_v)))/(s_Y_v*s_RadSpec!BA9))),0)</f>
        <v>9.0143481925428208</v>
      </c>
      <c r="BT9" s="108">
        <f>IFERROR(IF(d_Bv!V9=0,0,((s_Ir*s_F*s_I_f*s_T*(1-EXP(-s_RadSpec!BA9*s_t_v)))/(s_Y_v*s_RadSpec!BA9))),0)</f>
        <v>9.0143481925428208</v>
      </c>
      <c r="BU9" s="108">
        <f>IFERROR(IF(d_Bv!W9=0,0,((s_Ir*s_F*s_I_f*s_T*(1-EXP(-s_RadSpec!BA9*s_t_v)))/(s_Y_v*s_RadSpec!BA9))),0)</f>
        <v>9.0143481925428208</v>
      </c>
      <c r="BV9" s="108">
        <f>IFERROR(IF(d_Bv!X9=0,0,((s_Ir*s_F*s_I_f*s_T*(1-EXP(-s_RadSpec!BA9*s_t_v)))/(s_Y_v*s_RadSpec!BA9))),0)</f>
        <v>9.0143481925428208</v>
      </c>
      <c r="BW9" s="108">
        <f>IFERROR(IF(d_Bv!Y9=0,0,((s_Ir*s_F*s_I_f*s_T*(1-EXP(-s_RadSpec!BA9*s_t_v)))/(s_Y_v*s_RadSpec!BA9))),0)</f>
        <v>9.0143481925428208</v>
      </c>
      <c r="BX9" s="108">
        <f>IFERROR(IF(d_Bv!Z9=0,0,((s_Ir*s_F*s_I_f*s_T*(1-EXP(-s_RadSpec!BA9*s_t_v)))/(s_Y_v*s_RadSpec!BA9))),0)</f>
        <v>9.0143481925428208</v>
      </c>
      <c r="BY9" s="108">
        <f>IFERROR(IF(d_Bv!AA9=0,0,((s_Ir*s_F*s_I_f*s_T*(1-EXP(-s_RadSpec!BA9*s_t_v)))/(s_Y_v*s_RadSpec!BA9))),0)</f>
        <v>9.0143481925428208</v>
      </c>
    </row>
    <row r="10" spans="1:77" x14ac:dyDescent="0.25">
      <c r="A10" s="46" t="s">
        <v>8</v>
      </c>
      <c r="B10" s="42" t="s">
        <v>335</v>
      </c>
      <c r="C10" s="108">
        <f>IFERROR(IF(d_Bv!C10=0,0,((s_Ir*s_F*d_Bv!C10*(1-EXP(-s_RadSpec!$AZ10*s_t_b)))/(s_P*s_RadSpec!$AZ10))),0)</f>
        <v>1.1524642027232916</v>
      </c>
      <c r="D10" s="108">
        <f>IFERROR(IF(d_Bv!D10=0,0,((s_Ir*s_F*d_Bv!D10*(1-EXP(-s_RadSpec!AZ10*s_t_b)))/(s_P*s_RadSpec!AZ10))),0)</f>
        <v>11.922043476447843</v>
      </c>
      <c r="E10" s="108">
        <f>IFERROR(IF(d_Bv!E10=0,0,((s_Ir*s_F*d_Bv!E10*(1-EXP(-s_RadSpec!AZ10*s_t_b)))/(s_P*s_RadSpec!AZ10))),0)</f>
        <v>8.3454304335134921</v>
      </c>
      <c r="F10" s="108">
        <f>IFERROR(IF(d_Bv!F10=0,0,((s_Ir*s_F*d_Bv!F10*(1-EXP(-s_RadSpec!AZ10*s_t_b)))/(s_P*s_RadSpec!AZ10))),0)</f>
        <v>0.41727152167567449</v>
      </c>
      <c r="G10" s="108">
        <f>IFERROR(IF(d_Bv!G10=0,0,((s_Ir*s_F*d_Bv!G10*(1-EXP(-s_RadSpec!AZ10*s_t_b)))/(s_P*s_RadSpec!AZ10))),0)</f>
        <v>4.1727152167567461</v>
      </c>
      <c r="H10" s="108">
        <f>IFERROR(IF(d_Bv!H10=0,0,((s_Ir*s_F*d_Bv!H10*(1-EXP(-s_RadSpec!AZ10*s_t_b)))/(s_P*s_RadSpec!AZ10))),0)</f>
        <v>11.922043476447843</v>
      </c>
      <c r="I10" s="108">
        <f>IFERROR(IF(d_Bv!I10=0,0,((s_Ir*s_F*d_Bv!I10*(1-EXP(-s_RadSpec!AZ10*s_t_b)))/(s_P*s_RadSpec!AZ10))),0)</f>
        <v>8.3454304335134921</v>
      </c>
      <c r="J10" s="108">
        <f>IFERROR(IF(d_Bv!J10=0,0,((s_Ir*s_F*d_Bv!J10*(1-EXP(-s_RadSpec!AZ10*s_t_b)))/(s_P*s_RadSpec!AZ10))),0)</f>
        <v>1.1524642027232916</v>
      </c>
      <c r="K10" s="108">
        <f>IFERROR(IF(d_Bv!K10=0,0,((s_Ir*s_F*d_Bv!K10*(1-EXP(-s_RadSpec!AZ10*s_t_b)))/(s_P*s_RadSpec!AZ10))),0)</f>
        <v>6.5571239120463147</v>
      </c>
      <c r="L10" s="108">
        <f>IFERROR(IF(d_Bv!L10=0,0,((s_Ir*s_F*d_Bv!L10*(1-EXP(-s_RadSpec!AZ10*s_t_b)))/(s_P*s_RadSpec!AZ10))),0)</f>
        <v>4.1727152167567461</v>
      </c>
      <c r="M10" s="108">
        <f>IFERROR(IF(d_Bv!M10=0,0,((s_Ir*s_F*d_Bv!M10*(1-EXP(-s_RadSpec!AZ10*s_t_b)))/(s_P*s_RadSpec!AZ10))),0)</f>
        <v>11.922043476447843</v>
      </c>
      <c r="N10" s="108">
        <f>IFERROR(IF(d_Bv!N10=0,0,((s_Ir*s_F*d_Bv!N10*(1-EXP(-s_RadSpec!AZ10*s_t_b)))/(s_P*s_RadSpec!AZ10))),0)</f>
        <v>7.9480289842985634</v>
      </c>
      <c r="O10" s="108">
        <f>IFERROR(IF(d_Bv!O10=0,0,((s_Ir*s_F*d_Bv!O10*(1-EXP(-s_RadSpec!AZ10*s_t_b)))/(s_P*s_RadSpec!AZ10))),0)</f>
        <v>4.1727152167567461</v>
      </c>
      <c r="P10" s="108">
        <f>IFERROR(IF(d_Bv!P10=0,0,((s_Ir*s_F*d_Bv!P10*(1-EXP(-s_RadSpec!AZ10*s_t_b)))/(s_P*s_RadSpec!AZ10))),0)</f>
        <v>8.3454304335134921</v>
      </c>
      <c r="Q10" s="108">
        <f>IFERROR(IF(d_Bv!Q10=0,0,((s_Ir*s_F*d_Bv!Q10*(1-EXP(-s_RadSpec!AZ10*s_t_b)))/(s_P*s_RadSpec!AZ10))),0)</f>
        <v>1.1524642027232916</v>
      </c>
      <c r="R10" s="108">
        <f>IFERROR(IF(d_Bv!R10=0,0,((s_Ir*s_F*d_Bv!R10*(1-EXP(-s_RadSpec!AZ10*s_t_b)))/(s_P*s_RadSpec!AZ10))),0)</f>
        <v>1.1524642027232916</v>
      </c>
      <c r="S10" s="108">
        <f>IFERROR(IF(d_Bv!S10=0,0,((s_Ir*s_F*d_Bv!S10*(1-EXP(-s_RadSpec!AZ10*s_t_b)))/(s_P*s_RadSpec!AZ10))),0)</f>
        <v>7.9480289842985634</v>
      </c>
      <c r="T10" s="108">
        <f>IFERROR(IF(d_Bv!T10=0,0,((s_Ir*s_F*d_Bv!T10*(1-EXP(-s_RadSpec!AZ10*s_t_b)))/(s_P*s_RadSpec!AZ10))),0)</f>
        <v>4.1727152167567461</v>
      </c>
      <c r="U10" s="108">
        <f>IFERROR(IF(d_Bv!U10=0,0,((s_Ir*s_F*d_Bv!U10*(1-EXP(-s_RadSpec!AZ10*s_t_b)))/(s_P*s_RadSpec!AZ10))),0)</f>
        <v>11.127240578017989</v>
      </c>
      <c r="V10" s="108">
        <f>IFERROR(IF(d_Bv!V10=0,0,((s_Ir*s_F*d_Bv!V10*(1-EXP(-s_RadSpec!AZ10*s_t_b)))/(s_P*s_RadSpec!AZ10))),0)</f>
        <v>4.1727152167567461</v>
      </c>
      <c r="W10" s="108">
        <f>IFERROR(IF(d_Bv!W10=0,0,((s_Ir*s_F*d_Bv!W10*(1-EXP(-s_RadSpec!AZ10*s_t_b)))/(s_P*s_RadSpec!AZ10))),0)</f>
        <v>7.9480289842985634</v>
      </c>
      <c r="X10" s="108">
        <f>IFERROR(IF(d_Bv!X10=0,0,((s_Ir*s_F*d_Bv!X10*(1-EXP(-s_RadSpec!AZ10*s_t_b)))/(s_P*s_RadSpec!AZ10))),0)</f>
        <v>0.57623210136164582</v>
      </c>
      <c r="Y10" s="108">
        <f>IFERROR(IF(d_Bv!Y10=0,0,((s_Ir*s_F*d_Bv!Y10*(1-EXP(-s_RadSpec!AZ10*s_t_b)))/(s_P*s_RadSpec!AZ10))),0)</f>
        <v>4.1727152167567461</v>
      </c>
      <c r="Z10" s="108">
        <f>IFERROR(IF(d_Bv!Z10=0,0,((s_Ir*s_F*d_Bv!Z10*(1-EXP(-s_RadSpec!AZ10*s_t_b)))/(s_P*s_RadSpec!AZ10))),0)</f>
        <v>0.14505152896344875</v>
      </c>
      <c r="AA10" s="108">
        <f>IFERROR(IF(d_Bv!AA10=0,0,((s_Ir*s_F*d_Bv!AA10*(1-EXP(-s_RadSpec!AZ10*s_t_b)))/(s_P*s_RadSpec!AZ10))),0)</f>
        <v>5.7623210136164591</v>
      </c>
      <c r="AB10" s="108">
        <f>IFERROR(IF(d_Bv!C10=0,0,((s_Ir*s_F*s_MLF_apple*(1-EXP(-s_RadSpec!AZ10*s_t_b)))/(s_P*s_RadSpec!AZ10))),0)</f>
        <v>2.6824597822007652</v>
      </c>
      <c r="AC10" s="108">
        <f>IFERROR(IF(d_Bv!D10=0,0,((s_Ir*s_F*s_MLF_asparagus*(1-EXP(-s_RadSpec!AZ10*s_t_b)))/(s_P*s_RadSpec!AZ10))),0)</f>
        <v>2.6824597822007652</v>
      </c>
      <c r="AD10" s="108">
        <f>IFERROR(IF(d_Bv!E10=0,0,((s_Ir*s_F*s_MLF_beet*(1-EXP(-s_RadSpec!AZ10*s_t_b)))/(s_P*s_RadSpec!AZ10))),0)</f>
        <v>2.6824597822007652</v>
      </c>
      <c r="AE10" s="108">
        <f>IFERROR(IF(d_Bv!F10=0,0,((s_Ir*s_F*s_MLF_berries*(1-EXP(-s_RadSpec!AZ10*s_t_b)))/(s_P*s_RadSpec!AZ10))),0)</f>
        <v>2.6824597822007652</v>
      </c>
      <c r="AF10" s="108">
        <f>IFERROR(IF(d_Bv!G10=0,0,((s_Ir*s_F*s_MLF_broccoli*(1-EXP(-s_RadSpec!AZ10*s_t_b)))/(s_P*s_RadSpec!AZ10))),0)</f>
        <v>2.6824597822007652</v>
      </c>
      <c r="AG10" s="108">
        <f>IFERROR(IF(d_Bv!H10=0,0,((s_Ir*s_F*s_MLF_cabbage*(1-EXP(-s_RadSpec!AZ10*s_t_b)))/(s_P*s_RadSpec!AZ10))),0)</f>
        <v>2.6824597822007652</v>
      </c>
      <c r="AH10" s="108">
        <f>IFERROR(IF(d_Bv!I10=0,0,((s_Ir*s_F*s_MLF_carrot*(1-EXP(-s_RadSpec!AZ10*s_t_b)))/(s_P*s_RadSpec!AZ10))),0)</f>
        <v>2.6824597822007652</v>
      </c>
      <c r="AI10" s="108">
        <f>IFERROR(IF(d_Bv!J10=0,0,((s_Ir*s_F*s_MLF_citrus*(1-EXP(-s_RadSpec!AZ10*s_t_b)))/(s_P*s_RadSpec!AZ10))),0)</f>
        <v>2.6824597822007652</v>
      </c>
      <c r="AJ10" s="108">
        <f>IFERROR(IF(d_Bv!K10=0,0,((s_Ir*s_F*s_MLF_corn*(1-EXP(-s_RadSpec!AZ10*s_t_b)))/(s_P*s_RadSpec!AZ10))),0)</f>
        <v>2.6824597822007652</v>
      </c>
      <c r="AK10" s="108">
        <f>IFERROR(IF(d_Bv!L10=0,0,((s_Ir*s_F*s_MLF_cucumber*(1-EXP(-s_RadSpec!AZ10*s_t_b)))/(s_P*s_RadSpec!AZ10))),0)</f>
        <v>2.6824597822007652</v>
      </c>
      <c r="AL10" s="108">
        <f>IFERROR(IF(d_Bv!M10=0,0,((s_Ir*s_F*s_MLF_lettuce*(1-EXP(-s_RadSpec!AZ10*s_t_b)))/(s_P*s_RadSpec!AZ10))),0)</f>
        <v>2.6824597822007652</v>
      </c>
      <c r="AM10" s="108">
        <f>IFERROR(IF(d_Bv!N10=0,0,((s_Ir*s_F*s_MLF_lima_bean*(1-EXP(-s_RadSpec!AZ10*s_t_b)))/(s_P*s_RadSpec!AZ10))),0)</f>
        <v>2.6824597822007652</v>
      </c>
      <c r="AN10" s="108">
        <f>IFERROR(IF(d_Bv!O10=0,0,((s_Ir*s_F*s_MLF_okra*(1-EXP(-s_RadSpec!AZ10*s_t_b)))/(s_P*s_RadSpec!AZ10))),0)</f>
        <v>2.6824597822007652</v>
      </c>
      <c r="AO10" s="108">
        <f>IFERROR(IF(d_Bv!P10=0,0,((s_Ir*s_F*s_MLF_onion*(1-EXP(-s_RadSpec!AZ10*s_t_b)))/(s_P*s_RadSpec!AZ10))),0)</f>
        <v>2.6824597822007652</v>
      </c>
      <c r="AP10" s="108">
        <f>IFERROR(IF(d_Bv!Q10=0,0,((s_Ir*s_F*s_MLF_peach*(1-EXP(-s_RadSpec!AZ10*s_t_b)))/(s_P*s_RadSpec!AZ10))),0)</f>
        <v>2.6824597822007652</v>
      </c>
      <c r="AQ10" s="108">
        <f>IFERROR(IF(d_Bv!R10=0,0,((s_Ir*s_F*s_MLF_pear*(1-EXP(-s_RadSpec!AZ10*s_t_b)))/(s_P*s_RadSpec!AZ10))),0)</f>
        <v>2.6824597822007652</v>
      </c>
      <c r="AR10" s="108">
        <f>IFERROR(IF(d_Bv!S10=0,0,((s_Ir*s_F*s_MLF_peas*(1-EXP(-s_RadSpec!AZ10*s_t_b)))/(s_P*s_RadSpec!AZ10))),0)</f>
        <v>2.6824597822007652</v>
      </c>
      <c r="AS10" s="108">
        <f>IFERROR(IF(d_Bv!T10=0,0,((s_Ir*s_F*s_MLF_peppers*(1-EXP(-s_RadSpec!AZ10*s_t_b)))/(s_P*s_RadSpec!AZ10))),0)</f>
        <v>2.6824597822007652</v>
      </c>
      <c r="AT10" s="108">
        <f>IFERROR(IF(d_Bv!U10=0,0,((s_Ir*s_F*s_MLF_potato*(1-EXP(-s_RadSpec!AZ10*s_t_b)))/(s_P*s_RadSpec!AZ10))),0)</f>
        <v>2.6824597822007652</v>
      </c>
      <c r="AU10" s="108">
        <f>IFERROR(IF(d_Bv!V10=0,0,((s_Ir*s_F*s_MLF_pumpkin*(1-EXP(-s_RadSpec!AZ10*s_t_b)))/(s_P*s_RadSpec!AZ10))),0)</f>
        <v>2.6824597822007652</v>
      </c>
      <c r="AV10" s="108">
        <f>IFERROR(IF(d_Bv!W10=0,0,((s_Ir*s_F*s_MLF_snap_bean*(1-EXP(-s_RadSpec!AZ10*s_t_b)))/(s_P*s_RadSpec!AZ10))),0)</f>
        <v>2.6824597822007652</v>
      </c>
      <c r="AW10" s="108">
        <f>IFERROR(IF(d_Bv!X10=0,0,((s_Ir*s_F*s_MLF_strawberry*(1-EXP(-s_RadSpec!AZ10*s_t_b)))/(s_P*s_RadSpec!AZ10))),0)</f>
        <v>2.6824597822007652</v>
      </c>
      <c r="AX10" s="108">
        <f>IFERROR(IF(d_Bv!Y10=0,0,((s_Ir*s_F*s_MLF_tomato*(1-EXP(-s_RadSpec!AZ10*s_t_b)))/(s_P*s_RadSpec!AZ10))),0)</f>
        <v>2.6824597822007652</v>
      </c>
      <c r="AY10" s="108">
        <f>IFERROR(IF(d_Bv!Z10=0,0,((s_Ir*s_F*s_MLF_rice*(1-EXP(-s_RadSpec!AZ10*s_t_b)))/(s_P*s_RadSpec!AZ10))),0)</f>
        <v>2.6824597822007652</v>
      </c>
      <c r="AZ10" s="108">
        <f>IFERROR(IF(d_Bv!AA10=0,0,((s_Ir*s_F*s_MLF_cereal*(1-EXP(-s_RadSpec!AZ10*s_t_b)))/(s_P*s_RadSpec!AZ10))),0)</f>
        <v>2.6824597822007652</v>
      </c>
      <c r="BA10" s="108">
        <f>IFERROR(IF(d_Bv!C10=0,0,((s_Ir*s_F*s_I_f*s_T*(1-EXP(-s_RadSpec!BA10*s_t_v)))/(s_Y_v*s_RadSpec!BA10))),0)</f>
        <v>9.0143481925428208</v>
      </c>
      <c r="BB10" s="108">
        <f>IFERROR(IF(d_Bv!D10=0,0,((s_Ir*s_F*s_I_f*s_T*(1-EXP(-s_RadSpec!BA10*s_t_v)))/(s_Y_v*s_RadSpec!BA10))),0)</f>
        <v>9.0143481925428208</v>
      </c>
      <c r="BC10" s="108">
        <f>IFERROR(IF(d_Bv!E10=0,0,((s_Ir*s_F*s_I_f*s_T*(1-EXP(-s_RadSpec!BA10*s_t_v)))/(s_Y_v*s_RadSpec!BA10))),0)</f>
        <v>9.0143481925428208</v>
      </c>
      <c r="BD10" s="108">
        <f>IFERROR(IF(d_Bv!F10=0,0,((s_Ir*s_F*s_I_f*s_T*(1-EXP(-s_RadSpec!BA10*s_t_v)))/(s_Y_v*s_RadSpec!BA10))),0)</f>
        <v>9.0143481925428208</v>
      </c>
      <c r="BE10" s="108">
        <f>IFERROR(IF(d_Bv!G10=0,0,((s_Ir*s_F*s_I_f*s_T*(1-EXP(-s_RadSpec!BA10*s_t_v)))/(s_Y_v*s_RadSpec!BA10))),0)</f>
        <v>9.0143481925428208</v>
      </c>
      <c r="BF10" s="108">
        <f>IFERROR(IF(d_Bv!H10=0,0,((s_Ir*s_F*s_I_f*s_T*(1-EXP(-s_RadSpec!BA10*s_t_v)))/(s_Y_v*s_RadSpec!BA10))),0)</f>
        <v>9.0143481925428208</v>
      </c>
      <c r="BG10" s="108">
        <f>IFERROR(IF(d_Bv!I10=0,0,((s_Ir*s_F*s_I_f*s_T*(1-EXP(-s_RadSpec!BA10*s_t_v)))/(s_Y_v*s_RadSpec!BA10))),0)</f>
        <v>9.0143481925428208</v>
      </c>
      <c r="BH10" s="108">
        <f>IFERROR(IF(d_Bv!J10=0,0,((s_Ir*s_F*s_I_f*s_T*(1-EXP(-s_RadSpec!BA10*s_t_v)))/(s_Y_v*s_RadSpec!BA10))),0)</f>
        <v>9.0143481925428208</v>
      </c>
      <c r="BI10" s="108">
        <f>IFERROR(IF(d_Bv!K10=0,0,((s_Ir*s_F*s_I_f*s_T*(1-EXP(-s_RadSpec!BA10*s_t_v)))/(s_Y_v*s_RadSpec!BA10))),0)</f>
        <v>9.0143481925428208</v>
      </c>
      <c r="BJ10" s="108">
        <f>IFERROR(IF(d_Bv!L10=0,0,((s_Ir*s_F*s_I_f*s_T*(1-EXP(-s_RadSpec!BA10*s_t_v)))/(s_Y_v*s_RadSpec!BA10))),0)</f>
        <v>9.0143481925428208</v>
      </c>
      <c r="BK10" s="108">
        <f>IFERROR(IF(d_Bv!M10=0,0,((s_Ir*s_F*s_I_f*s_T*(1-EXP(-s_RadSpec!BA10*s_t_v)))/(s_Y_v*s_RadSpec!BA10))),0)</f>
        <v>9.0143481925428208</v>
      </c>
      <c r="BL10" s="108">
        <f>IFERROR(IF(d_Bv!N10=0,0,((s_Ir*s_F*s_I_f*s_T*(1-EXP(-s_RadSpec!BA10*s_t_v)))/(s_Y_v*s_RadSpec!BA10))),0)</f>
        <v>9.0143481925428208</v>
      </c>
      <c r="BM10" s="108">
        <f>IFERROR(IF(d_Bv!O10=0,0,((s_Ir*s_F*s_I_f*s_T*(1-EXP(-s_RadSpec!BA10*s_t_v)))/(s_Y_v*s_RadSpec!BA10))),0)</f>
        <v>9.0143481925428208</v>
      </c>
      <c r="BN10" s="108">
        <f>IFERROR(IF(d_Bv!P10=0,0,((s_Ir*s_F*s_I_f*s_T*(1-EXP(-s_RadSpec!BA10*s_t_v)))/(s_Y_v*s_RadSpec!BA10))),0)</f>
        <v>9.0143481925428208</v>
      </c>
      <c r="BO10" s="108">
        <f>IFERROR(IF(d_Bv!Q10=0,0,((s_Ir*s_F*s_I_f*s_T*(1-EXP(-s_RadSpec!BA10*s_t_v)))/(s_Y_v*s_RadSpec!BA10))),0)</f>
        <v>9.0143481925428208</v>
      </c>
      <c r="BP10" s="108">
        <f>IFERROR(IF(d_Bv!R10=0,0,((s_Ir*s_F*s_I_f*s_T*(1-EXP(-s_RadSpec!BA10*s_t_v)))/(s_Y_v*s_RadSpec!BA10))),0)</f>
        <v>9.0143481925428208</v>
      </c>
      <c r="BQ10" s="108">
        <f>IFERROR(IF(d_Bv!S10=0,0,((s_Ir*s_F*s_I_f*s_T*(1-EXP(-s_RadSpec!BA10*s_t_v)))/(s_Y_v*s_RadSpec!BA10))),0)</f>
        <v>9.0143481925428208</v>
      </c>
      <c r="BR10" s="108">
        <f>IFERROR(IF(d_Bv!T10=0,0,((s_Ir*s_F*s_I_f*s_T*(1-EXP(-s_RadSpec!BA10*s_t_v)))/(s_Y_v*s_RadSpec!BA10))),0)</f>
        <v>9.0143481925428208</v>
      </c>
      <c r="BS10" s="108">
        <f>IFERROR(IF(d_Bv!U10=0,0,((s_Ir*s_F*s_I_f*s_T*(1-EXP(-s_RadSpec!BA10*s_t_v)))/(s_Y_v*s_RadSpec!BA10))),0)</f>
        <v>9.0143481925428208</v>
      </c>
      <c r="BT10" s="108">
        <f>IFERROR(IF(d_Bv!V10=0,0,((s_Ir*s_F*s_I_f*s_T*(1-EXP(-s_RadSpec!BA10*s_t_v)))/(s_Y_v*s_RadSpec!BA10))),0)</f>
        <v>9.0143481925428208</v>
      </c>
      <c r="BU10" s="108">
        <f>IFERROR(IF(d_Bv!W10=0,0,((s_Ir*s_F*s_I_f*s_T*(1-EXP(-s_RadSpec!BA10*s_t_v)))/(s_Y_v*s_RadSpec!BA10))),0)</f>
        <v>9.0143481925428208</v>
      </c>
      <c r="BV10" s="108">
        <f>IFERROR(IF(d_Bv!X10=0,0,((s_Ir*s_F*s_I_f*s_T*(1-EXP(-s_RadSpec!BA10*s_t_v)))/(s_Y_v*s_RadSpec!BA10))),0)</f>
        <v>9.0143481925428208</v>
      </c>
      <c r="BW10" s="108">
        <f>IFERROR(IF(d_Bv!Y10=0,0,((s_Ir*s_F*s_I_f*s_T*(1-EXP(-s_RadSpec!BA10*s_t_v)))/(s_Y_v*s_RadSpec!BA10))),0)</f>
        <v>9.0143481925428208</v>
      </c>
      <c r="BX10" s="108">
        <f>IFERROR(IF(d_Bv!Z10=0,0,((s_Ir*s_F*s_I_f*s_T*(1-EXP(-s_RadSpec!BA10*s_t_v)))/(s_Y_v*s_RadSpec!BA10))),0)</f>
        <v>9.0143481925428208</v>
      </c>
      <c r="BY10" s="108">
        <f>IFERROR(IF(d_Bv!AA10=0,0,((s_Ir*s_F*s_I_f*s_T*(1-EXP(-s_RadSpec!BA10*s_t_v)))/(s_Y_v*s_RadSpec!BA10))),0)</f>
        <v>9.0143481925428208</v>
      </c>
    </row>
    <row r="11" spans="1:77" x14ac:dyDescent="0.25">
      <c r="A11" s="44" t="s">
        <v>9</v>
      </c>
      <c r="B11" s="42" t="s">
        <v>1057</v>
      </c>
      <c r="C11" s="108">
        <f>IFERROR(IF(d_Bv!C11=0,0,((s_Ir*s_F*d_Bv!C11*(1-EXP(-s_RadSpec!$AZ11*s_t_b)))/(s_P*s_RadSpec!$AZ11))),0)</f>
        <v>5.9610217382239217</v>
      </c>
      <c r="D11" s="108">
        <f>IFERROR(IF(d_Bv!D11=0,0,((s_Ir*s_F*d_Bv!D11*(1-EXP(-s_RadSpec!AZ11*s_t_b)))/(s_P*s_RadSpec!AZ11))),0)</f>
        <v>5.9610217382239217</v>
      </c>
      <c r="E11" s="108">
        <f>IFERROR(IF(d_Bv!E11=0,0,((s_Ir*s_F*d_Bv!E11*(1-EXP(-s_RadSpec!AZ11*s_t_b)))/(s_P*s_RadSpec!AZ11))),0)</f>
        <v>5.9610217382239217</v>
      </c>
      <c r="F11" s="108">
        <f>IFERROR(IF(d_Bv!F11=0,0,((s_Ir*s_F*d_Bv!F11*(1-EXP(-s_RadSpec!AZ11*s_t_b)))/(s_P*s_RadSpec!AZ11))),0)</f>
        <v>5.9610217382239217</v>
      </c>
      <c r="G11" s="108">
        <f>IFERROR(IF(d_Bv!G11=0,0,((s_Ir*s_F*d_Bv!G11*(1-EXP(-s_RadSpec!AZ11*s_t_b)))/(s_P*s_RadSpec!AZ11))),0)</f>
        <v>5.9610217382239217</v>
      </c>
      <c r="H11" s="108">
        <f>IFERROR(IF(d_Bv!H11=0,0,((s_Ir*s_F*d_Bv!H11*(1-EXP(-s_RadSpec!AZ11*s_t_b)))/(s_P*s_RadSpec!AZ11))),0)</f>
        <v>5.9610217382239217</v>
      </c>
      <c r="I11" s="108">
        <f>IFERROR(IF(d_Bv!I11=0,0,((s_Ir*s_F*d_Bv!I11*(1-EXP(-s_RadSpec!AZ11*s_t_b)))/(s_P*s_RadSpec!AZ11))),0)</f>
        <v>5.9610217382239217</v>
      </c>
      <c r="J11" s="108">
        <f>IFERROR(IF(d_Bv!J11=0,0,((s_Ir*s_F*d_Bv!J11*(1-EXP(-s_RadSpec!AZ11*s_t_b)))/(s_P*s_RadSpec!AZ11))),0)</f>
        <v>5.9610217382239217</v>
      </c>
      <c r="K11" s="108">
        <f>IFERROR(IF(d_Bv!K11=0,0,((s_Ir*s_F*d_Bv!K11*(1-EXP(-s_RadSpec!AZ11*s_t_b)))/(s_P*s_RadSpec!AZ11))),0)</f>
        <v>5.9610217382239217</v>
      </c>
      <c r="L11" s="108">
        <f>IFERROR(IF(d_Bv!L11=0,0,((s_Ir*s_F*d_Bv!L11*(1-EXP(-s_RadSpec!AZ11*s_t_b)))/(s_P*s_RadSpec!AZ11))),0)</f>
        <v>5.9610217382239217</v>
      </c>
      <c r="M11" s="108">
        <f>IFERROR(IF(d_Bv!M11=0,0,((s_Ir*s_F*d_Bv!M11*(1-EXP(-s_RadSpec!AZ11*s_t_b)))/(s_P*s_RadSpec!AZ11))),0)</f>
        <v>5.9610217382239217</v>
      </c>
      <c r="N11" s="108">
        <f>IFERROR(IF(d_Bv!N11=0,0,((s_Ir*s_F*d_Bv!N11*(1-EXP(-s_RadSpec!AZ11*s_t_b)))/(s_P*s_RadSpec!AZ11))),0)</f>
        <v>5.9610217382239217</v>
      </c>
      <c r="O11" s="108">
        <f>IFERROR(IF(d_Bv!O11=0,0,((s_Ir*s_F*d_Bv!O11*(1-EXP(-s_RadSpec!AZ11*s_t_b)))/(s_P*s_RadSpec!AZ11))),0)</f>
        <v>5.9610217382239217</v>
      </c>
      <c r="P11" s="108">
        <f>IFERROR(IF(d_Bv!P11=0,0,((s_Ir*s_F*d_Bv!P11*(1-EXP(-s_RadSpec!AZ11*s_t_b)))/(s_P*s_RadSpec!AZ11))),0)</f>
        <v>5.9610217382239217</v>
      </c>
      <c r="Q11" s="108">
        <f>IFERROR(IF(d_Bv!Q11=0,0,((s_Ir*s_F*d_Bv!Q11*(1-EXP(-s_RadSpec!AZ11*s_t_b)))/(s_P*s_RadSpec!AZ11))),0)</f>
        <v>5.9610217382239217</v>
      </c>
      <c r="R11" s="108">
        <f>IFERROR(IF(d_Bv!R11=0,0,((s_Ir*s_F*d_Bv!R11*(1-EXP(-s_RadSpec!AZ11*s_t_b)))/(s_P*s_RadSpec!AZ11))),0)</f>
        <v>5.9610217382239217</v>
      </c>
      <c r="S11" s="108">
        <f>IFERROR(IF(d_Bv!S11=0,0,((s_Ir*s_F*d_Bv!S11*(1-EXP(-s_RadSpec!AZ11*s_t_b)))/(s_P*s_RadSpec!AZ11))),0)</f>
        <v>5.9610217382239217</v>
      </c>
      <c r="T11" s="108">
        <f>IFERROR(IF(d_Bv!T11=0,0,((s_Ir*s_F*d_Bv!T11*(1-EXP(-s_RadSpec!AZ11*s_t_b)))/(s_P*s_RadSpec!AZ11))),0)</f>
        <v>5.9610217382239217</v>
      </c>
      <c r="U11" s="108">
        <f>IFERROR(IF(d_Bv!U11=0,0,((s_Ir*s_F*d_Bv!U11*(1-EXP(-s_RadSpec!AZ11*s_t_b)))/(s_P*s_RadSpec!AZ11))),0)</f>
        <v>5.9610217382239217</v>
      </c>
      <c r="V11" s="108">
        <f>IFERROR(IF(d_Bv!V11=0,0,((s_Ir*s_F*d_Bv!V11*(1-EXP(-s_RadSpec!AZ11*s_t_b)))/(s_P*s_RadSpec!AZ11))),0)</f>
        <v>5.9610217382239217</v>
      </c>
      <c r="W11" s="108">
        <f>IFERROR(IF(d_Bv!W11=0,0,((s_Ir*s_F*d_Bv!W11*(1-EXP(-s_RadSpec!AZ11*s_t_b)))/(s_P*s_RadSpec!AZ11))),0)</f>
        <v>5.9610217382239217</v>
      </c>
      <c r="X11" s="108">
        <f>IFERROR(IF(d_Bv!X11=0,0,((s_Ir*s_F*d_Bv!X11*(1-EXP(-s_RadSpec!AZ11*s_t_b)))/(s_P*s_RadSpec!AZ11))),0)</f>
        <v>5.9610217382239217</v>
      </c>
      <c r="Y11" s="108">
        <f>IFERROR(IF(d_Bv!Y11=0,0,((s_Ir*s_F*d_Bv!Y11*(1-EXP(-s_RadSpec!AZ11*s_t_b)))/(s_P*s_RadSpec!AZ11))),0)</f>
        <v>5.9610217382239217</v>
      </c>
      <c r="Z11" s="108">
        <f>IFERROR(IF(d_Bv!Z11=0,0,((s_Ir*s_F*d_Bv!Z11*(1-EXP(-s_RadSpec!AZ11*s_t_b)))/(s_P*s_RadSpec!AZ11))),0)</f>
        <v>5.9610217382239217</v>
      </c>
      <c r="AA11" s="108">
        <f>IFERROR(IF(d_Bv!AA11=0,0,((s_Ir*s_F*d_Bv!AA11*(1-EXP(-s_RadSpec!AZ11*s_t_b)))/(s_P*s_RadSpec!AZ11))),0)</f>
        <v>5.9610217382239217</v>
      </c>
      <c r="AB11" s="108">
        <f>IFERROR(IF(d_Bv!C11=0,0,((s_Ir*s_F*s_MLF_apple*(1-EXP(-s_RadSpec!AZ11*s_t_b)))/(s_P*s_RadSpec!AZ11))),0)</f>
        <v>2.6824597822007652</v>
      </c>
      <c r="AC11" s="108">
        <f>IFERROR(IF(d_Bv!D11=0,0,((s_Ir*s_F*s_MLF_asparagus*(1-EXP(-s_RadSpec!AZ11*s_t_b)))/(s_P*s_RadSpec!AZ11))),0)</f>
        <v>2.6824597822007652</v>
      </c>
      <c r="AD11" s="108">
        <f>IFERROR(IF(d_Bv!E11=0,0,((s_Ir*s_F*s_MLF_beet*(1-EXP(-s_RadSpec!AZ11*s_t_b)))/(s_P*s_RadSpec!AZ11))),0)</f>
        <v>2.6824597822007652</v>
      </c>
      <c r="AE11" s="108">
        <f>IFERROR(IF(d_Bv!F11=0,0,((s_Ir*s_F*s_MLF_berries*(1-EXP(-s_RadSpec!AZ11*s_t_b)))/(s_P*s_RadSpec!AZ11))),0)</f>
        <v>2.6824597822007652</v>
      </c>
      <c r="AF11" s="108">
        <f>IFERROR(IF(d_Bv!G11=0,0,((s_Ir*s_F*s_MLF_broccoli*(1-EXP(-s_RadSpec!AZ11*s_t_b)))/(s_P*s_RadSpec!AZ11))),0)</f>
        <v>2.6824597822007652</v>
      </c>
      <c r="AG11" s="108">
        <f>IFERROR(IF(d_Bv!H11=0,0,((s_Ir*s_F*s_MLF_cabbage*(1-EXP(-s_RadSpec!AZ11*s_t_b)))/(s_P*s_RadSpec!AZ11))),0)</f>
        <v>2.6824597822007652</v>
      </c>
      <c r="AH11" s="108">
        <f>IFERROR(IF(d_Bv!I11=0,0,((s_Ir*s_F*s_MLF_carrot*(1-EXP(-s_RadSpec!AZ11*s_t_b)))/(s_P*s_RadSpec!AZ11))),0)</f>
        <v>2.6824597822007652</v>
      </c>
      <c r="AI11" s="108">
        <f>IFERROR(IF(d_Bv!J11=0,0,((s_Ir*s_F*s_MLF_citrus*(1-EXP(-s_RadSpec!AZ11*s_t_b)))/(s_P*s_RadSpec!AZ11))),0)</f>
        <v>2.6824597822007652</v>
      </c>
      <c r="AJ11" s="108">
        <f>IFERROR(IF(d_Bv!K11=0,0,((s_Ir*s_F*s_MLF_corn*(1-EXP(-s_RadSpec!AZ11*s_t_b)))/(s_P*s_RadSpec!AZ11))),0)</f>
        <v>2.6824597822007652</v>
      </c>
      <c r="AK11" s="108">
        <f>IFERROR(IF(d_Bv!L11=0,0,((s_Ir*s_F*s_MLF_cucumber*(1-EXP(-s_RadSpec!AZ11*s_t_b)))/(s_P*s_RadSpec!AZ11))),0)</f>
        <v>2.6824597822007652</v>
      </c>
      <c r="AL11" s="108">
        <f>IFERROR(IF(d_Bv!M11=0,0,((s_Ir*s_F*s_MLF_lettuce*(1-EXP(-s_RadSpec!AZ11*s_t_b)))/(s_P*s_RadSpec!AZ11))),0)</f>
        <v>2.6824597822007652</v>
      </c>
      <c r="AM11" s="108">
        <f>IFERROR(IF(d_Bv!N11=0,0,((s_Ir*s_F*s_MLF_lima_bean*(1-EXP(-s_RadSpec!AZ11*s_t_b)))/(s_P*s_RadSpec!AZ11))),0)</f>
        <v>2.6824597822007652</v>
      </c>
      <c r="AN11" s="108">
        <f>IFERROR(IF(d_Bv!O11=0,0,((s_Ir*s_F*s_MLF_okra*(1-EXP(-s_RadSpec!AZ11*s_t_b)))/(s_P*s_RadSpec!AZ11))),0)</f>
        <v>2.6824597822007652</v>
      </c>
      <c r="AO11" s="108">
        <f>IFERROR(IF(d_Bv!P11=0,0,((s_Ir*s_F*s_MLF_onion*(1-EXP(-s_RadSpec!AZ11*s_t_b)))/(s_P*s_RadSpec!AZ11))),0)</f>
        <v>2.6824597822007652</v>
      </c>
      <c r="AP11" s="108">
        <f>IFERROR(IF(d_Bv!Q11=0,0,((s_Ir*s_F*s_MLF_peach*(1-EXP(-s_RadSpec!AZ11*s_t_b)))/(s_P*s_RadSpec!AZ11))),0)</f>
        <v>2.6824597822007652</v>
      </c>
      <c r="AQ11" s="108">
        <f>IFERROR(IF(d_Bv!R11=0,0,((s_Ir*s_F*s_MLF_pear*(1-EXP(-s_RadSpec!AZ11*s_t_b)))/(s_P*s_RadSpec!AZ11))),0)</f>
        <v>2.6824597822007652</v>
      </c>
      <c r="AR11" s="108">
        <f>IFERROR(IF(d_Bv!S11=0,0,((s_Ir*s_F*s_MLF_peas*(1-EXP(-s_RadSpec!AZ11*s_t_b)))/(s_P*s_RadSpec!AZ11))),0)</f>
        <v>2.6824597822007652</v>
      </c>
      <c r="AS11" s="108">
        <f>IFERROR(IF(d_Bv!T11=0,0,((s_Ir*s_F*s_MLF_peppers*(1-EXP(-s_RadSpec!AZ11*s_t_b)))/(s_P*s_RadSpec!AZ11))),0)</f>
        <v>2.6824597822007652</v>
      </c>
      <c r="AT11" s="108">
        <f>IFERROR(IF(d_Bv!U11=0,0,((s_Ir*s_F*s_MLF_potato*(1-EXP(-s_RadSpec!AZ11*s_t_b)))/(s_P*s_RadSpec!AZ11))),0)</f>
        <v>2.6824597822007652</v>
      </c>
      <c r="AU11" s="108">
        <f>IFERROR(IF(d_Bv!V11=0,0,((s_Ir*s_F*s_MLF_pumpkin*(1-EXP(-s_RadSpec!AZ11*s_t_b)))/(s_P*s_RadSpec!AZ11))),0)</f>
        <v>2.6824597822007652</v>
      </c>
      <c r="AV11" s="108">
        <f>IFERROR(IF(d_Bv!W11=0,0,((s_Ir*s_F*s_MLF_snap_bean*(1-EXP(-s_RadSpec!AZ11*s_t_b)))/(s_P*s_RadSpec!AZ11))),0)</f>
        <v>2.6824597822007652</v>
      </c>
      <c r="AW11" s="108">
        <f>IFERROR(IF(d_Bv!X11=0,0,((s_Ir*s_F*s_MLF_strawberry*(1-EXP(-s_RadSpec!AZ11*s_t_b)))/(s_P*s_RadSpec!AZ11))),0)</f>
        <v>2.6824597822007652</v>
      </c>
      <c r="AX11" s="108">
        <f>IFERROR(IF(d_Bv!Y11=0,0,((s_Ir*s_F*s_MLF_tomato*(1-EXP(-s_RadSpec!AZ11*s_t_b)))/(s_P*s_RadSpec!AZ11))),0)</f>
        <v>2.6824597822007652</v>
      </c>
      <c r="AY11" s="108">
        <f>IFERROR(IF(d_Bv!Z11=0,0,((s_Ir*s_F*s_MLF_rice*(1-EXP(-s_RadSpec!AZ11*s_t_b)))/(s_P*s_RadSpec!AZ11))),0)</f>
        <v>2.6824597822007652</v>
      </c>
      <c r="AZ11" s="108">
        <f>IFERROR(IF(d_Bv!AA11=0,0,((s_Ir*s_F*s_MLF_cereal*(1-EXP(-s_RadSpec!AZ11*s_t_b)))/(s_P*s_RadSpec!AZ11))),0)</f>
        <v>2.6824597822007652</v>
      </c>
      <c r="BA11" s="108">
        <f>IFERROR(IF(d_Bv!C11=0,0,((s_Ir*s_F*s_I_f*s_T*(1-EXP(-s_RadSpec!BA11*s_t_v)))/(s_Y_v*s_RadSpec!BA11))),0)</f>
        <v>9.0143481925428208</v>
      </c>
      <c r="BB11" s="108">
        <f>IFERROR(IF(d_Bv!D11=0,0,((s_Ir*s_F*s_I_f*s_T*(1-EXP(-s_RadSpec!BA11*s_t_v)))/(s_Y_v*s_RadSpec!BA11))),0)</f>
        <v>9.0143481925428208</v>
      </c>
      <c r="BC11" s="108">
        <f>IFERROR(IF(d_Bv!E11=0,0,((s_Ir*s_F*s_I_f*s_T*(1-EXP(-s_RadSpec!BA11*s_t_v)))/(s_Y_v*s_RadSpec!BA11))),0)</f>
        <v>9.0143481925428208</v>
      </c>
      <c r="BD11" s="108">
        <f>IFERROR(IF(d_Bv!F11=0,0,((s_Ir*s_F*s_I_f*s_T*(1-EXP(-s_RadSpec!BA11*s_t_v)))/(s_Y_v*s_RadSpec!BA11))),0)</f>
        <v>9.0143481925428208</v>
      </c>
      <c r="BE11" s="108">
        <f>IFERROR(IF(d_Bv!G11=0,0,((s_Ir*s_F*s_I_f*s_T*(1-EXP(-s_RadSpec!BA11*s_t_v)))/(s_Y_v*s_RadSpec!BA11))),0)</f>
        <v>9.0143481925428208</v>
      </c>
      <c r="BF11" s="108">
        <f>IFERROR(IF(d_Bv!H11=0,0,((s_Ir*s_F*s_I_f*s_T*(1-EXP(-s_RadSpec!BA11*s_t_v)))/(s_Y_v*s_RadSpec!BA11))),0)</f>
        <v>9.0143481925428208</v>
      </c>
      <c r="BG11" s="108">
        <f>IFERROR(IF(d_Bv!I11=0,0,((s_Ir*s_F*s_I_f*s_T*(1-EXP(-s_RadSpec!BA11*s_t_v)))/(s_Y_v*s_RadSpec!BA11))),0)</f>
        <v>9.0143481925428208</v>
      </c>
      <c r="BH11" s="108">
        <f>IFERROR(IF(d_Bv!J11=0,0,((s_Ir*s_F*s_I_f*s_T*(1-EXP(-s_RadSpec!BA11*s_t_v)))/(s_Y_v*s_RadSpec!BA11))),0)</f>
        <v>9.0143481925428208</v>
      </c>
      <c r="BI11" s="108">
        <f>IFERROR(IF(d_Bv!K11=0,0,((s_Ir*s_F*s_I_f*s_T*(1-EXP(-s_RadSpec!BA11*s_t_v)))/(s_Y_v*s_RadSpec!BA11))),0)</f>
        <v>9.0143481925428208</v>
      </c>
      <c r="BJ11" s="108">
        <f>IFERROR(IF(d_Bv!L11=0,0,((s_Ir*s_F*s_I_f*s_T*(1-EXP(-s_RadSpec!BA11*s_t_v)))/(s_Y_v*s_RadSpec!BA11))),0)</f>
        <v>9.0143481925428208</v>
      </c>
      <c r="BK11" s="108">
        <f>IFERROR(IF(d_Bv!M11=0,0,((s_Ir*s_F*s_I_f*s_T*(1-EXP(-s_RadSpec!BA11*s_t_v)))/(s_Y_v*s_RadSpec!BA11))),0)</f>
        <v>9.0143481925428208</v>
      </c>
      <c r="BL11" s="108">
        <f>IFERROR(IF(d_Bv!N11=0,0,((s_Ir*s_F*s_I_f*s_T*(1-EXP(-s_RadSpec!BA11*s_t_v)))/(s_Y_v*s_RadSpec!BA11))),0)</f>
        <v>9.0143481925428208</v>
      </c>
      <c r="BM11" s="108">
        <f>IFERROR(IF(d_Bv!O11=0,0,((s_Ir*s_F*s_I_f*s_T*(1-EXP(-s_RadSpec!BA11*s_t_v)))/(s_Y_v*s_RadSpec!BA11))),0)</f>
        <v>9.0143481925428208</v>
      </c>
      <c r="BN11" s="108">
        <f>IFERROR(IF(d_Bv!P11=0,0,((s_Ir*s_F*s_I_f*s_T*(1-EXP(-s_RadSpec!BA11*s_t_v)))/(s_Y_v*s_RadSpec!BA11))),0)</f>
        <v>9.0143481925428208</v>
      </c>
      <c r="BO11" s="108">
        <f>IFERROR(IF(d_Bv!Q11=0,0,((s_Ir*s_F*s_I_f*s_T*(1-EXP(-s_RadSpec!BA11*s_t_v)))/(s_Y_v*s_RadSpec!BA11))),0)</f>
        <v>9.0143481925428208</v>
      </c>
      <c r="BP11" s="108">
        <f>IFERROR(IF(d_Bv!R11=0,0,((s_Ir*s_F*s_I_f*s_T*(1-EXP(-s_RadSpec!BA11*s_t_v)))/(s_Y_v*s_RadSpec!BA11))),0)</f>
        <v>9.0143481925428208</v>
      </c>
      <c r="BQ11" s="108">
        <f>IFERROR(IF(d_Bv!S11=0,0,((s_Ir*s_F*s_I_f*s_T*(1-EXP(-s_RadSpec!BA11*s_t_v)))/(s_Y_v*s_RadSpec!BA11))),0)</f>
        <v>9.0143481925428208</v>
      </c>
      <c r="BR11" s="108">
        <f>IFERROR(IF(d_Bv!T11=0,0,((s_Ir*s_F*s_I_f*s_T*(1-EXP(-s_RadSpec!BA11*s_t_v)))/(s_Y_v*s_RadSpec!BA11))),0)</f>
        <v>9.0143481925428208</v>
      </c>
      <c r="BS11" s="108">
        <f>IFERROR(IF(d_Bv!U11=0,0,((s_Ir*s_F*s_I_f*s_T*(1-EXP(-s_RadSpec!BA11*s_t_v)))/(s_Y_v*s_RadSpec!BA11))),0)</f>
        <v>9.0143481925428208</v>
      </c>
      <c r="BT11" s="108">
        <f>IFERROR(IF(d_Bv!V11=0,0,((s_Ir*s_F*s_I_f*s_T*(1-EXP(-s_RadSpec!BA11*s_t_v)))/(s_Y_v*s_RadSpec!BA11))),0)</f>
        <v>9.0143481925428208</v>
      </c>
      <c r="BU11" s="108">
        <f>IFERROR(IF(d_Bv!W11=0,0,((s_Ir*s_F*s_I_f*s_T*(1-EXP(-s_RadSpec!BA11*s_t_v)))/(s_Y_v*s_RadSpec!BA11))),0)</f>
        <v>9.0143481925428208</v>
      </c>
      <c r="BV11" s="108">
        <f>IFERROR(IF(d_Bv!X11=0,0,((s_Ir*s_F*s_I_f*s_T*(1-EXP(-s_RadSpec!BA11*s_t_v)))/(s_Y_v*s_RadSpec!BA11))),0)</f>
        <v>9.0143481925428208</v>
      </c>
      <c r="BW11" s="108">
        <f>IFERROR(IF(d_Bv!Y11=0,0,((s_Ir*s_F*s_I_f*s_T*(1-EXP(-s_RadSpec!BA11*s_t_v)))/(s_Y_v*s_RadSpec!BA11))),0)</f>
        <v>9.0143481925428208</v>
      </c>
      <c r="BX11" s="108">
        <f>IFERROR(IF(d_Bv!Z11=0,0,((s_Ir*s_F*s_I_f*s_T*(1-EXP(-s_RadSpec!BA11*s_t_v)))/(s_Y_v*s_RadSpec!BA11))),0)</f>
        <v>9.0143481925428208</v>
      </c>
      <c r="BY11" s="108">
        <f>IFERROR(IF(d_Bv!AA11=0,0,((s_Ir*s_F*s_I_f*s_T*(1-EXP(-s_RadSpec!BA11*s_t_v)))/(s_Y_v*s_RadSpec!BA11))),0)</f>
        <v>9.0143481925428208</v>
      </c>
    </row>
    <row r="12" spans="1:77" x14ac:dyDescent="0.25">
      <c r="A12" s="44" t="s">
        <v>10</v>
      </c>
      <c r="B12" s="42" t="s">
        <v>1057</v>
      </c>
      <c r="C12" s="108">
        <f>IFERROR(IF(d_Bv!C12=0,0,((s_Ir*s_F*d_Bv!C12*(1-EXP(-s_RadSpec!$AZ12*s_t_b)))/(s_P*s_RadSpec!$AZ12))),0)</f>
        <v>59.61021738223922</v>
      </c>
      <c r="D12" s="108">
        <f>IFERROR(IF(d_Bv!D12=0,0,((s_Ir*s_F*d_Bv!D12*(1-EXP(-s_RadSpec!AZ12*s_t_b)))/(s_P*s_RadSpec!AZ12))),0)</f>
        <v>59.61021738223922</v>
      </c>
      <c r="E12" s="108">
        <f>IFERROR(IF(d_Bv!E12=0,0,((s_Ir*s_F*d_Bv!E12*(1-EXP(-s_RadSpec!AZ12*s_t_b)))/(s_P*s_RadSpec!AZ12))),0)</f>
        <v>59.61021738223922</v>
      </c>
      <c r="F12" s="108">
        <f>IFERROR(IF(d_Bv!F12=0,0,((s_Ir*s_F*d_Bv!F12*(1-EXP(-s_RadSpec!AZ12*s_t_b)))/(s_P*s_RadSpec!AZ12))),0)</f>
        <v>59.61021738223922</v>
      </c>
      <c r="G12" s="108">
        <f>IFERROR(IF(d_Bv!G12=0,0,((s_Ir*s_F*d_Bv!G12*(1-EXP(-s_RadSpec!AZ12*s_t_b)))/(s_P*s_RadSpec!AZ12))),0)</f>
        <v>59.61021738223922</v>
      </c>
      <c r="H12" s="108">
        <f>IFERROR(IF(d_Bv!H12=0,0,((s_Ir*s_F*d_Bv!H12*(1-EXP(-s_RadSpec!AZ12*s_t_b)))/(s_P*s_RadSpec!AZ12))),0)</f>
        <v>59.61021738223922</v>
      </c>
      <c r="I12" s="108">
        <f>IFERROR(IF(d_Bv!I12=0,0,((s_Ir*s_F*d_Bv!I12*(1-EXP(-s_RadSpec!AZ12*s_t_b)))/(s_P*s_RadSpec!AZ12))),0)</f>
        <v>59.61021738223922</v>
      </c>
      <c r="J12" s="108">
        <f>IFERROR(IF(d_Bv!J12=0,0,((s_Ir*s_F*d_Bv!J12*(1-EXP(-s_RadSpec!AZ12*s_t_b)))/(s_P*s_RadSpec!AZ12))),0)</f>
        <v>59.61021738223922</v>
      </c>
      <c r="K12" s="108">
        <f>IFERROR(IF(d_Bv!K12=0,0,((s_Ir*s_F*d_Bv!K12*(1-EXP(-s_RadSpec!AZ12*s_t_b)))/(s_P*s_RadSpec!AZ12))),0)</f>
        <v>59.61021738223922</v>
      </c>
      <c r="L12" s="108">
        <f>IFERROR(IF(d_Bv!L12=0,0,((s_Ir*s_F*d_Bv!L12*(1-EXP(-s_RadSpec!AZ12*s_t_b)))/(s_P*s_RadSpec!AZ12))),0)</f>
        <v>59.61021738223922</v>
      </c>
      <c r="M12" s="108">
        <f>IFERROR(IF(d_Bv!M12=0,0,((s_Ir*s_F*d_Bv!M12*(1-EXP(-s_RadSpec!AZ12*s_t_b)))/(s_P*s_RadSpec!AZ12))),0)</f>
        <v>59.61021738223922</v>
      </c>
      <c r="N12" s="108">
        <f>IFERROR(IF(d_Bv!N12=0,0,((s_Ir*s_F*d_Bv!N12*(1-EXP(-s_RadSpec!AZ12*s_t_b)))/(s_P*s_RadSpec!AZ12))),0)</f>
        <v>59.61021738223922</v>
      </c>
      <c r="O12" s="108">
        <f>IFERROR(IF(d_Bv!O12=0,0,((s_Ir*s_F*d_Bv!O12*(1-EXP(-s_RadSpec!AZ12*s_t_b)))/(s_P*s_RadSpec!AZ12))),0)</f>
        <v>59.61021738223922</v>
      </c>
      <c r="P12" s="108">
        <f>IFERROR(IF(d_Bv!P12=0,0,((s_Ir*s_F*d_Bv!P12*(1-EXP(-s_RadSpec!AZ12*s_t_b)))/(s_P*s_RadSpec!AZ12))),0)</f>
        <v>59.61021738223922</v>
      </c>
      <c r="Q12" s="108">
        <f>IFERROR(IF(d_Bv!Q12=0,0,((s_Ir*s_F*d_Bv!Q12*(1-EXP(-s_RadSpec!AZ12*s_t_b)))/(s_P*s_RadSpec!AZ12))),0)</f>
        <v>59.61021738223922</v>
      </c>
      <c r="R12" s="108">
        <f>IFERROR(IF(d_Bv!R12=0,0,((s_Ir*s_F*d_Bv!R12*(1-EXP(-s_RadSpec!AZ12*s_t_b)))/(s_P*s_RadSpec!AZ12))),0)</f>
        <v>59.61021738223922</v>
      </c>
      <c r="S12" s="108">
        <f>IFERROR(IF(d_Bv!S12=0,0,((s_Ir*s_F*d_Bv!S12*(1-EXP(-s_RadSpec!AZ12*s_t_b)))/(s_P*s_RadSpec!AZ12))),0)</f>
        <v>59.61021738223922</v>
      </c>
      <c r="T12" s="108">
        <f>IFERROR(IF(d_Bv!T12=0,0,((s_Ir*s_F*d_Bv!T12*(1-EXP(-s_RadSpec!AZ12*s_t_b)))/(s_P*s_RadSpec!AZ12))),0)</f>
        <v>59.61021738223922</v>
      </c>
      <c r="U12" s="108">
        <f>IFERROR(IF(d_Bv!U12=0,0,((s_Ir*s_F*d_Bv!U12*(1-EXP(-s_RadSpec!AZ12*s_t_b)))/(s_P*s_RadSpec!AZ12))),0)</f>
        <v>59.61021738223922</v>
      </c>
      <c r="V12" s="108">
        <f>IFERROR(IF(d_Bv!V12=0,0,((s_Ir*s_F*d_Bv!V12*(1-EXP(-s_RadSpec!AZ12*s_t_b)))/(s_P*s_RadSpec!AZ12))),0)</f>
        <v>59.61021738223922</v>
      </c>
      <c r="W12" s="108">
        <f>IFERROR(IF(d_Bv!W12=0,0,((s_Ir*s_F*d_Bv!W12*(1-EXP(-s_RadSpec!AZ12*s_t_b)))/(s_P*s_RadSpec!AZ12))),0)</f>
        <v>59.61021738223922</v>
      </c>
      <c r="X12" s="108">
        <f>IFERROR(IF(d_Bv!X12=0,0,((s_Ir*s_F*d_Bv!X12*(1-EXP(-s_RadSpec!AZ12*s_t_b)))/(s_P*s_RadSpec!AZ12))),0)</f>
        <v>59.61021738223922</v>
      </c>
      <c r="Y12" s="108">
        <f>IFERROR(IF(d_Bv!Y12=0,0,((s_Ir*s_F*d_Bv!Y12*(1-EXP(-s_RadSpec!AZ12*s_t_b)))/(s_P*s_RadSpec!AZ12))),0)</f>
        <v>59.61021738223922</v>
      </c>
      <c r="Z12" s="108">
        <f>IFERROR(IF(d_Bv!Z12=0,0,((s_Ir*s_F*d_Bv!Z12*(1-EXP(-s_RadSpec!AZ12*s_t_b)))/(s_P*s_RadSpec!AZ12))),0)</f>
        <v>59.61021738223922</v>
      </c>
      <c r="AA12" s="108">
        <f>IFERROR(IF(d_Bv!AA12=0,0,((s_Ir*s_F*d_Bv!AA12*(1-EXP(-s_RadSpec!AZ12*s_t_b)))/(s_P*s_RadSpec!AZ12))),0)</f>
        <v>59.61021738223922</v>
      </c>
      <c r="AB12" s="108">
        <f>IFERROR(IF(d_Bv!C12=0,0,((s_Ir*s_F*s_MLF_apple*(1-EXP(-s_RadSpec!AZ12*s_t_b)))/(s_P*s_RadSpec!AZ12))),0)</f>
        <v>2.6824597822007652</v>
      </c>
      <c r="AC12" s="108">
        <f>IFERROR(IF(d_Bv!D12=0,0,((s_Ir*s_F*s_MLF_asparagus*(1-EXP(-s_RadSpec!AZ12*s_t_b)))/(s_P*s_RadSpec!AZ12))),0)</f>
        <v>2.6824597822007652</v>
      </c>
      <c r="AD12" s="108">
        <f>IFERROR(IF(d_Bv!E12=0,0,((s_Ir*s_F*s_MLF_beet*(1-EXP(-s_RadSpec!AZ12*s_t_b)))/(s_P*s_RadSpec!AZ12))),0)</f>
        <v>2.6824597822007652</v>
      </c>
      <c r="AE12" s="108">
        <f>IFERROR(IF(d_Bv!F12=0,0,((s_Ir*s_F*s_MLF_berries*(1-EXP(-s_RadSpec!AZ12*s_t_b)))/(s_P*s_RadSpec!AZ12))),0)</f>
        <v>2.6824597822007652</v>
      </c>
      <c r="AF12" s="108">
        <f>IFERROR(IF(d_Bv!G12=0,0,((s_Ir*s_F*s_MLF_broccoli*(1-EXP(-s_RadSpec!AZ12*s_t_b)))/(s_P*s_RadSpec!AZ12))),0)</f>
        <v>2.6824597822007652</v>
      </c>
      <c r="AG12" s="108">
        <f>IFERROR(IF(d_Bv!H12=0,0,((s_Ir*s_F*s_MLF_cabbage*(1-EXP(-s_RadSpec!AZ12*s_t_b)))/(s_P*s_RadSpec!AZ12))),0)</f>
        <v>2.6824597822007652</v>
      </c>
      <c r="AH12" s="108">
        <f>IFERROR(IF(d_Bv!I12=0,0,((s_Ir*s_F*s_MLF_carrot*(1-EXP(-s_RadSpec!AZ12*s_t_b)))/(s_P*s_RadSpec!AZ12))),0)</f>
        <v>2.6824597822007652</v>
      </c>
      <c r="AI12" s="108">
        <f>IFERROR(IF(d_Bv!J12=0,0,((s_Ir*s_F*s_MLF_citrus*(1-EXP(-s_RadSpec!AZ12*s_t_b)))/(s_P*s_RadSpec!AZ12))),0)</f>
        <v>2.6824597822007652</v>
      </c>
      <c r="AJ12" s="108">
        <f>IFERROR(IF(d_Bv!K12=0,0,((s_Ir*s_F*s_MLF_corn*(1-EXP(-s_RadSpec!AZ12*s_t_b)))/(s_P*s_RadSpec!AZ12))),0)</f>
        <v>2.6824597822007652</v>
      </c>
      <c r="AK12" s="108">
        <f>IFERROR(IF(d_Bv!L12=0,0,((s_Ir*s_F*s_MLF_cucumber*(1-EXP(-s_RadSpec!AZ12*s_t_b)))/(s_P*s_RadSpec!AZ12))),0)</f>
        <v>2.6824597822007652</v>
      </c>
      <c r="AL12" s="108">
        <f>IFERROR(IF(d_Bv!M12=0,0,((s_Ir*s_F*s_MLF_lettuce*(1-EXP(-s_RadSpec!AZ12*s_t_b)))/(s_P*s_RadSpec!AZ12))),0)</f>
        <v>2.6824597822007652</v>
      </c>
      <c r="AM12" s="108">
        <f>IFERROR(IF(d_Bv!N12=0,0,((s_Ir*s_F*s_MLF_lima_bean*(1-EXP(-s_RadSpec!AZ12*s_t_b)))/(s_P*s_RadSpec!AZ12))),0)</f>
        <v>2.6824597822007652</v>
      </c>
      <c r="AN12" s="108">
        <f>IFERROR(IF(d_Bv!O12=0,0,((s_Ir*s_F*s_MLF_okra*(1-EXP(-s_RadSpec!AZ12*s_t_b)))/(s_P*s_RadSpec!AZ12))),0)</f>
        <v>2.6824597822007652</v>
      </c>
      <c r="AO12" s="108">
        <f>IFERROR(IF(d_Bv!P12=0,0,((s_Ir*s_F*s_MLF_onion*(1-EXP(-s_RadSpec!AZ12*s_t_b)))/(s_P*s_RadSpec!AZ12))),0)</f>
        <v>2.6824597822007652</v>
      </c>
      <c r="AP12" s="108">
        <f>IFERROR(IF(d_Bv!Q12=0,0,((s_Ir*s_F*s_MLF_peach*(1-EXP(-s_RadSpec!AZ12*s_t_b)))/(s_P*s_RadSpec!AZ12))),0)</f>
        <v>2.6824597822007652</v>
      </c>
      <c r="AQ12" s="108">
        <f>IFERROR(IF(d_Bv!R12=0,0,((s_Ir*s_F*s_MLF_pear*(1-EXP(-s_RadSpec!AZ12*s_t_b)))/(s_P*s_RadSpec!AZ12))),0)</f>
        <v>2.6824597822007652</v>
      </c>
      <c r="AR12" s="108">
        <f>IFERROR(IF(d_Bv!S12=0,0,((s_Ir*s_F*s_MLF_peas*(1-EXP(-s_RadSpec!AZ12*s_t_b)))/(s_P*s_RadSpec!AZ12))),0)</f>
        <v>2.6824597822007652</v>
      </c>
      <c r="AS12" s="108">
        <f>IFERROR(IF(d_Bv!T12=0,0,((s_Ir*s_F*s_MLF_peppers*(1-EXP(-s_RadSpec!AZ12*s_t_b)))/(s_P*s_RadSpec!AZ12))),0)</f>
        <v>2.6824597822007652</v>
      </c>
      <c r="AT12" s="108">
        <f>IFERROR(IF(d_Bv!U12=0,0,((s_Ir*s_F*s_MLF_potato*(1-EXP(-s_RadSpec!AZ12*s_t_b)))/(s_P*s_RadSpec!AZ12))),0)</f>
        <v>2.6824597822007652</v>
      </c>
      <c r="AU12" s="108">
        <f>IFERROR(IF(d_Bv!V12=0,0,((s_Ir*s_F*s_MLF_pumpkin*(1-EXP(-s_RadSpec!AZ12*s_t_b)))/(s_P*s_RadSpec!AZ12))),0)</f>
        <v>2.6824597822007652</v>
      </c>
      <c r="AV12" s="108">
        <f>IFERROR(IF(d_Bv!W12=0,0,((s_Ir*s_F*s_MLF_snap_bean*(1-EXP(-s_RadSpec!AZ12*s_t_b)))/(s_P*s_RadSpec!AZ12))),0)</f>
        <v>2.6824597822007652</v>
      </c>
      <c r="AW12" s="108">
        <f>IFERROR(IF(d_Bv!X12=0,0,((s_Ir*s_F*s_MLF_strawberry*(1-EXP(-s_RadSpec!AZ12*s_t_b)))/(s_P*s_RadSpec!AZ12))),0)</f>
        <v>2.6824597822007652</v>
      </c>
      <c r="AX12" s="108">
        <f>IFERROR(IF(d_Bv!Y12=0,0,((s_Ir*s_F*s_MLF_tomato*(1-EXP(-s_RadSpec!AZ12*s_t_b)))/(s_P*s_RadSpec!AZ12))),0)</f>
        <v>2.6824597822007652</v>
      </c>
      <c r="AY12" s="108">
        <f>IFERROR(IF(d_Bv!Z12=0,0,((s_Ir*s_F*s_MLF_rice*(1-EXP(-s_RadSpec!AZ12*s_t_b)))/(s_P*s_RadSpec!AZ12))),0)</f>
        <v>2.6824597822007652</v>
      </c>
      <c r="AZ12" s="108">
        <f>IFERROR(IF(d_Bv!AA12=0,0,((s_Ir*s_F*s_MLF_cereal*(1-EXP(-s_RadSpec!AZ12*s_t_b)))/(s_P*s_RadSpec!AZ12))),0)</f>
        <v>2.6824597822007652</v>
      </c>
      <c r="BA12" s="108">
        <f>IFERROR(IF(d_Bv!C12=0,0,((s_Ir*s_F*s_I_f*s_T*(1-EXP(-s_RadSpec!BA12*s_t_v)))/(s_Y_v*s_RadSpec!BA12))),0)</f>
        <v>9.0143481925428208</v>
      </c>
      <c r="BB12" s="108">
        <f>IFERROR(IF(d_Bv!D12=0,0,((s_Ir*s_F*s_I_f*s_T*(1-EXP(-s_RadSpec!BA12*s_t_v)))/(s_Y_v*s_RadSpec!BA12))),0)</f>
        <v>9.0143481925428208</v>
      </c>
      <c r="BC12" s="108">
        <f>IFERROR(IF(d_Bv!E12=0,0,((s_Ir*s_F*s_I_f*s_T*(1-EXP(-s_RadSpec!BA12*s_t_v)))/(s_Y_v*s_RadSpec!BA12))),0)</f>
        <v>9.0143481925428208</v>
      </c>
      <c r="BD12" s="108">
        <f>IFERROR(IF(d_Bv!F12=0,0,((s_Ir*s_F*s_I_f*s_T*(1-EXP(-s_RadSpec!BA12*s_t_v)))/(s_Y_v*s_RadSpec!BA12))),0)</f>
        <v>9.0143481925428208</v>
      </c>
      <c r="BE12" s="108">
        <f>IFERROR(IF(d_Bv!G12=0,0,((s_Ir*s_F*s_I_f*s_T*(1-EXP(-s_RadSpec!BA12*s_t_v)))/(s_Y_v*s_RadSpec!BA12))),0)</f>
        <v>9.0143481925428208</v>
      </c>
      <c r="BF12" s="108">
        <f>IFERROR(IF(d_Bv!H12=0,0,((s_Ir*s_F*s_I_f*s_T*(1-EXP(-s_RadSpec!BA12*s_t_v)))/(s_Y_v*s_RadSpec!BA12))),0)</f>
        <v>9.0143481925428208</v>
      </c>
      <c r="BG12" s="108">
        <f>IFERROR(IF(d_Bv!I12=0,0,((s_Ir*s_F*s_I_f*s_T*(1-EXP(-s_RadSpec!BA12*s_t_v)))/(s_Y_v*s_RadSpec!BA12))),0)</f>
        <v>9.0143481925428208</v>
      </c>
      <c r="BH12" s="108">
        <f>IFERROR(IF(d_Bv!J12=0,0,((s_Ir*s_F*s_I_f*s_T*(1-EXP(-s_RadSpec!BA12*s_t_v)))/(s_Y_v*s_RadSpec!BA12))),0)</f>
        <v>9.0143481925428208</v>
      </c>
      <c r="BI12" s="108">
        <f>IFERROR(IF(d_Bv!K12=0,0,((s_Ir*s_F*s_I_f*s_T*(1-EXP(-s_RadSpec!BA12*s_t_v)))/(s_Y_v*s_RadSpec!BA12))),0)</f>
        <v>9.0143481925428208</v>
      </c>
      <c r="BJ12" s="108">
        <f>IFERROR(IF(d_Bv!L12=0,0,((s_Ir*s_F*s_I_f*s_T*(1-EXP(-s_RadSpec!BA12*s_t_v)))/(s_Y_v*s_RadSpec!BA12))),0)</f>
        <v>9.0143481925428208</v>
      </c>
      <c r="BK12" s="108">
        <f>IFERROR(IF(d_Bv!M12=0,0,((s_Ir*s_F*s_I_f*s_T*(1-EXP(-s_RadSpec!BA12*s_t_v)))/(s_Y_v*s_RadSpec!BA12))),0)</f>
        <v>9.0143481925428208</v>
      </c>
      <c r="BL12" s="108">
        <f>IFERROR(IF(d_Bv!N12=0,0,((s_Ir*s_F*s_I_f*s_T*(1-EXP(-s_RadSpec!BA12*s_t_v)))/(s_Y_v*s_RadSpec!BA12))),0)</f>
        <v>9.0143481925428208</v>
      </c>
      <c r="BM12" s="108">
        <f>IFERROR(IF(d_Bv!O12=0,0,((s_Ir*s_F*s_I_f*s_T*(1-EXP(-s_RadSpec!BA12*s_t_v)))/(s_Y_v*s_RadSpec!BA12))),0)</f>
        <v>9.0143481925428208</v>
      </c>
      <c r="BN12" s="108">
        <f>IFERROR(IF(d_Bv!P12=0,0,((s_Ir*s_F*s_I_f*s_T*(1-EXP(-s_RadSpec!BA12*s_t_v)))/(s_Y_v*s_RadSpec!BA12))),0)</f>
        <v>9.0143481925428208</v>
      </c>
      <c r="BO12" s="108">
        <f>IFERROR(IF(d_Bv!Q12=0,0,((s_Ir*s_F*s_I_f*s_T*(1-EXP(-s_RadSpec!BA12*s_t_v)))/(s_Y_v*s_RadSpec!BA12))),0)</f>
        <v>9.0143481925428208</v>
      </c>
      <c r="BP12" s="108">
        <f>IFERROR(IF(d_Bv!R12=0,0,((s_Ir*s_F*s_I_f*s_T*(1-EXP(-s_RadSpec!BA12*s_t_v)))/(s_Y_v*s_RadSpec!BA12))),0)</f>
        <v>9.0143481925428208</v>
      </c>
      <c r="BQ12" s="108">
        <f>IFERROR(IF(d_Bv!S12=0,0,((s_Ir*s_F*s_I_f*s_T*(1-EXP(-s_RadSpec!BA12*s_t_v)))/(s_Y_v*s_RadSpec!BA12))),0)</f>
        <v>9.0143481925428208</v>
      </c>
      <c r="BR12" s="108">
        <f>IFERROR(IF(d_Bv!T12=0,0,((s_Ir*s_F*s_I_f*s_T*(1-EXP(-s_RadSpec!BA12*s_t_v)))/(s_Y_v*s_RadSpec!BA12))),0)</f>
        <v>9.0143481925428208</v>
      </c>
      <c r="BS12" s="108">
        <f>IFERROR(IF(d_Bv!U12=0,0,((s_Ir*s_F*s_I_f*s_T*(1-EXP(-s_RadSpec!BA12*s_t_v)))/(s_Y_v*s_RadSpec!BA12))),0)</f>
        <v>9.0143481925428208</v>
      </c>
      <c r="BT12" s="108">
        <f>IFERROR(IF(d_Bv!V12=0,0,((s_Ir*s_F*s_I_f*s_T*(1-EXP(-s_RadSpec!BA12*s_t_v)))/(s_Y_v*s_RadSpec!BA12))),0)</f>
        <v>9.0143481925428208</v>
      </c>
      <c r="BU12" s="108">
        <f>IFERROR(IF(d_Bv!W12=0,0,((s_Ir*s_F*s_I_f*s_T*(1-EXP(-s_RadSpec!BA12*s_t_v)))/(s_Y_v*s_RadSpec!BA12))),0)</f>
        <v>9.0143481925428208</v>
      </c>
      <c r="BV12" s="108">
        <f>IFERROR(IF(d_Bv!X12=0,0,((s_Ir*s_F*s_I_f*s_T*(1-EXP(-s_RadSpec!BA12*s_t_v)))/(s_Y_v*s_RadSpec!BA12))),0)</f>
        <v>9.0143481925428208</v>
      </c>
      <c r="BW12" s="108">
        <f>IFERROR(IF(d_Bv!Y12=0,0,((s_Ir*s_F*s_I_f*s_T*(1-EXP(-s_RadSpec!BA12*s_t_v)))/(s_Y_v*s_RadSpec!BA12))),0)</f>
        <v>9.0143481925428208</v>
      </c>
      <c r="BX12" s="108">
        <f>IFERROR(IF(d_Bv!Z12=0,0,((s_Ir*s_F*s_I_f*s_T*(1-EXP(-s_RadSpec!BA12*s_t_v)))/(s_Y_v*s_RadSpec!BA12))),0)</f>
        <v>9.0143481925428208</v>
      </c>
      <c r="BY12" s="108">
        <f>IFERROR(IF(d_Bv!AA12=0,0,((s_Ir*s_F*s_I_f*s_T*(1-EXP(-s_RadSpec!BA12*s_t_v)))/(s_Y_v*s_RadSpec!BA12))),0)</f>
        <v>9.0143481925428208</v>
      </c>
    </row>
    <row r="13" spans="1:77" x14ac:dyDescent="0.25">
      <c r="A13" s="44" t="s">
        <v>11</v>
      </c>
      <c r="B13" s="42" t="s">
        <v>1057</v>
      </c>
      <c r="C13" s="108">
        <f>IFERROR(IF(d_Bv!C13=0,0,((s_Ir*s_F*d_Bv!C13*(1-EXP(-s_RadSpec!$AZ13*s_t_b)))/(s_P*s_RadSpec!$AZ13))),0)</f>
        <v>5.961021738223922E-2</v>
      </c>
      <c r="D13" s="108">
        <f>IFERROR(IF(d_Bv!D13=0,0,((s_Ir*s_F*d_Bv!D13*(1-EXP(-s_RadSpec!AZ13*s_t_b)))/(s_P*s_RadSpec!AZ13))),0)</f>
        <v>5.3649195644015304</v>
      </c>
      <c r="E13" s="108">
        <f>IFERROR(IF(d_Bv!E13=0,0,((s_Ir*s_F*d_Bv!E13*(1-EXP(-s_RadSpec!AZ13*s_t_b)))/(s_P*s_RadSpec!AZ13))),0)</f>
        <v>4.3714159413642095</v>
      </c>
      <c r="F13" s="108">
        <f>IFERROR(IF(d_Bv!F13=0,0,((s_Ir*s_F*d_Bv!F13*(1-EXP(-s_RadSpec!AZ13*s_t_b)))/(s_P*s_RadSpec!AZ13))),0)</f>
        <v>5.961021738223922E-2</v>
      </c>
      <c r="G13" s="108">
        <f>IFERROR(IF(d_Bv!G13=0,0,((s_Ir*s_F*d_Bv!G13*(1-EXP(-s_RadSpec!AZ13*s_t_b)))/(s_P*s_RadSpec!AZ13))),0)</f>
        <v>3.576613042934353</v>
      </c>
      <c r="H13" s="108">
        <f>IFERROR(IF(d_Bv!H13=0,0,((s_Ir*s_F*d_Bv!H13*(1-EXP(-s_RadSpec!AZ13*s_t_b)))/(s_P*s_RadSpec!AZ13))),0)</f>
        <v>5.3649195644015304</v>
      </c>
      <c r="I13" s="108">
        <f>IFERROR(IF(d_Bv!I13=0,0,((s_Ir*s_F*d_Bv!I13*(1-EXP(-s_RadSpec!AZ13*s_t_b)))/(s_P*s_RadSpec!AZ13))),0)</f>
        <v>4.3714159413642095</v>
      </c>
      <c r="J13" s="108">
        <f>IFERROR(IF(d_Bv!J13=0,0,((s_Ir*s_F*d_Bv!J13*(1-EXP(-s_RadSpec!AZ13*s_t_b)))/(s_P*s_RadSpec!AZ13))),0)</f>
        <v>5.961021738223922E-2</v>
      </c>
      <c r="K13" s="108">
        <f>IFERROR(IF(d_Bv!K13=0,0,((s_Ir*s_F*d_Bv!K13*(1-EXP(-s_RadSpec!AZ13*s_t_b)))/(s_P*s_RadSpec!AZ13))),0)</f>
        <v>0.95376347811582751</v>
      </c>
      <c r="L13" s="108">
        <f>IFERROR(IF(d_Bv!L13=0,0,((s_Ir*s_F*d_Bv!L13*(1-EXP(-s_RadSpec!AZ13*s_t_b)))/(s_P*s_RadSpec!AZ13))),0)</f>
        <v>3.576613042934353</v>
      </c>
      <c r="M13" s="108">
        <f>IFERROR(IF(d_Bv!M13=0,0,((s_Ir*s_F*d_Bv!M13*(1-EXP(-s_RadSpec!AZ13*s_t_b)))/(s_P*s_RadSpec!AZ13))),0)</f>
        <v>5.3649195644015304</v>
      </c>
      <c r="N13" s="108">
        <f>IFERROR(IF(d_Bv!N13=0,0,((s_Ir*s_F*d_Bv!N13*(1-EXP(-s_RadSpec!AZ13*s_t_b)))/(s_P*s_RadSpec!AZ13))),0)</f>
        <v>3.3779123183268895</v>
      </c>
      <c r="O13" s="108">
        <f>IFERROR(IF(d_Bv!O13=0,0,((s_Ir*s_F*d_Bv!O13*(1-EXP(-s_RadSpec!AZ13*s_t_b)))/(s_P*s_RadSpec!AZ13))),0)</f>
        <v>3.576613042934353</v>
      </c>
      <c r="P13" s="108">
        <f>IFERROR(IF(d_Bv!P13=0,0,((s_Ir*s_F*d_Bv!P13*(1-EXP(-s_RadSpec!AZ13*s_t_b)))/(s_P*s_RadSpec!AZ13))),0)</f>
        <v>4.3714159413642095</v>
      </c>
      <c r="Q13" s="108">
        <f>IFERROR(IF(d_Bv!Q13=0,0,((s_Ir*s_F*d_Bv!Q13*(1-EXP(-s_RadSpec!AZ13*s_t_b)))/(s_P*s_RadSpec!AZ13))),0)</f>
        <v>5.961021738223922E-2</v>
      </c>
      <c r="R13" s="108">
        <f>IFERROR(IF(d_Bv!R13=0,0,((s_Ir*s_F*d_Bv!R13*(1-EXP(-s_RadSpec!AZ13*s_t_b)))/(s_P*s_RadSpec!AZ13))),0)</f>
        <v>5.961021738223922E-2</v>
      </c>
      <c r="S13" s="108">
        <f>IFERROR(IF(d_Bv!S13=0,0,((s_Ir*s_F*d_Bv!S13*(1-EXP(-s_RadSpec!AZ13*s_t_b)))/(s_P*s_RadSpec!AZ13))),0)</f>
        <v>3.3779123183268895</v>
      </c>
      <c r="T13" s="108">
        <f>IFERROR(IF(d_Bv!T13=0,0,((s_Ir*s_F*d_Bv!T13*(1-EXP(-s_RadSpec!AZ13*s_t_b)))/(s_P*s_RadSpec!AZ13))),0)</f>
        <v>3.576613042934353</v>
      </c>
      <c r="U13" s="108">
        <f>IFERROR(IF(d_Bv!U13=0,0,((s_Ir*s_F*d_Bv!U13*(1-EXP(-s_RadSpec!AZ13*s_t_b)))/(s_P*s_RadSpec!AZ13))),0)</f>
        <v>1.1325941302625453</v>
      </c>
      <c r="V13" s="108">
        <f>IFERROR(IF(d_Bv!V13=0,0,((s_Ir*s_F*d_Bv!V13*(1-EXP(-s_RadSpec!AZ13*s_t_b)))/(s_P*s_RadSpec!AZ13))),0)</f>
        <v>3.576613042934353</v>
      </c>
      <c r="W13" s="108">
        <f>IFERROR(IF(d_Bv!W13=0,0,((s_Ir*s_F*d_Bv!W13*(1-EXP(-s_RadSpec!AZ13*s_t_b)))/(s_P*s_RadSpec!AZ13))),0)</f>
        <v>3.3779123183268895</v>
      </c>
      <c r="X13" s="108">
        <f>IFERROR(IF(d_Bv!X13=0,0,((s_Ir*s_F*d_Bv!X13*(1-EXP(-s_RadSpec!AZ13*s_t_b)))/(s_P*s_RadSpec!AZ13))),0)</f>
        <v>5.961021738223922E-2</v>
      </c>
      <c r="Y13" s="108">
        <f>IFERROR(IF(d_Bv!Y13=0,0,((s_Ir*s_F*d_Bv!Y13*(1-EXP(-s_RadSpec!AZ13*s_t_b)))/(s_P*s_RadSpec!AZ13))),0)</f>
        <v>3.576613042934353</v>
      </c>
      <c r="Z13" s="108">
        <f>IFERROR(IF(d_Bv!Z13=0,0,((s_Ir*s_F*d_Bv!Z13*(1-EXP(-s_RadSpec!AZ13*s_t_b)))/(s_P*s_RadSpec!AZ13))),0)</f>
        <v>3.9740144921492817</v>
      </c>
      <c r="AA13" s="108">
        <f>IFERROR(IF(d_Bv!AA13=0,0,((s_Ir*s_F*d_Bv!AA13*(1-EXP(-s_RadSpec!AZ13*s_t_b)))/(s_P*s_RadSpec!AZ13))),0)</f>
        <v>0.57623210136164582</v>
      </c>
      <c r="AB13" s="108">
        <f>IFERROR(IF(d_Bv!C13=0,0,((s_Ir*s_F*s_MLF_apple*(1-EXP(-s_RadSpec!AZ13*s_t_b)))/(s_P*s_RadSpec!AZ13))),0)</f>
        <v>2.6824597822007652</v>
      </c>
      <c r="AC13" s="108">
        <f>IFERROR(IF(d_Bv!D13=0,0,((s_Ir*s_F*s_MLF_asparagus*(1-EXP(-s_RadSpec!AZ13*s_t_b)))/(s_P*s_RadSpec!AZ13))),0)</f>
        <v>2.6824597822007652</v>
      </c>
      <c r="AD13" s="108">
        <f>IFERROR(IF(d_Bv!E13=0,0,((s_Ir*s_F*s_MLF_beet*(1-EXP(-s_RadSpec!AZ13*s_t_b)))/(s_P*s_RadSpec!AZ13))),0)</f>
        <v>2.6824597822007652</v>
      </c>
      <c r="AE13" s="108">
        <f>IFERROR(IF(d_Bv!F13=0,0,((s_Ir*s_F*s_MLF_berries*(1-EXP(-s_RadSpec!AZ13*s_t_b)))/(s_P*s_RadSpec!AZ13))),0)</f>
        <v>2.6824597822007652</v>
      </c>
      <c r="AF13" s="108">
        <f>IFERROR(IF(d_Bv!G13=0,0,((s_Ir*s_F*s_MLF_broccoli*(1-EXP(-s_RadSpec!AZ13*s_t_b)))/(s_P*s_RadSpec!AZ13))),0)</f>
        <v>2.6824597822007652</v>
      </c>
      <c r="AG13" s="108">
        <f>IFERROR(IF(d_Bv!H13=0,0,((s_Ir*s_F*s_MLF_cabbage*(1-EXP(-s_RadSpec!AZ13*s_t_b)))/(s_P*s_RadSpec!AZ13))),0)</f>
        <v>2.6824597822007652</v>
      </c>
      <c r="AH13" s="108">
        <f>IFERROR(IF(d_Bv!I13=0,0,((s_Ir*s_F*s_MLF_carrot*(1-EXP(-s_RadSpec!AZ13*s_t_b)))/(s_P*s_RadSpec!AZ13))),0)</f>
        <v>2.6824597822007652</v>
      </c>
      <c r="AI13" s="108">
        <f>IFERROR(IF(d_Bv!J13=0,0,((s_Ir*s_F*s_MLF_citrus*(1-EXP(-s_RadSpec!AZ13*s_t_b)))/(s_P*s_RadSpec!AZ13))),0)</f>
        <v>2.6824597822007652</v>
      </c>
      <c r="AJ13" s="108">
        <f>IFERROR(IF(d_Bv!K13=0,0,((s_Ir*s_F*s_MLF_corn*(1-EXP(-s_RadSpec!AZ13*s_t_b)))/(s_P*s_RadSpec!AZ13))),0)</f>
        <v>2.6824597822007652</v>
      </c>
      <c r="AK13" s="108">
        <f>IFERROR(IF(d_Bv!L13=0,0,((s_Ir*s_F*s_MLF_cucumber*(1-EXP(-s_RadSpec!AZ13*s_t_b)))/(s_P*s_RadSpec!AZ13))),0)</f>
        <v>2.6824597822007652</v>
      </c>
      <c r="AL13" s="108">
        <f>IFERROR(IF(d_Bv!M13=0,0,((s_Ir*s_F*s_MLF_lettuce*(1-EXP(-s_RadSpec!AZ13*s_t_b)))/(s_P*s_RadSpec!AZ13))),0)</f>
        <v>2.6824597822007652</v>
      </c>
      <c r="AM13" s="108">
        <f>IFERROR(IF(d_Bv!N13=0,0,((s_Ir*s_F*s_MLF_lima_bean*(1-EXP(-s_RadSpec!AZ13*s_t_b)))/(s_P*s_RadSpec!AZ13))),0)</f>
        <v>2.6824597822007652</v>
      </c>
      <c r="AN13" s="108">
        <f>IFERROR(IF(d_Bv!O13=0,0,((s_Ir*s_F*s_MLF_okra*(1-EXP(-s_RadSpec!AZ13*s_t_b)))/(s_P*s_RadSpec!AZ13))),0)</f>
        <v>2.6824597822007652</v>
      </c>
      <c r="AO13" s="108">
        <f>IFERROR(IF(d_Bv!P13=0,0,((s_Ir*s_F*s_MLF_onion*(1-EXP(-s_RadSpec!AZ13*s_t_b)))/(s_P*s_RadSpec!AZ13))),0)</f>
        <v>2.6824597822007652</v>
      </c>
      <c r="AP13" s="108">
        <f>IFERROR(IF(d_Bv!Q13=0,0,((s_Ir*s_F*s_MLF_peach*(1-EXP(-s_RadSpec!AZ13*s_t_b)))/(s_P*s_RadSpec!AZ13))),0)</f>
        <v>2.6824597822007652</v>
      </c>
      <c r="AQ13" s="108">
        <f>IFERROR(IF(d_Bv!R13=0,0,((s_Ir*s_F*s_MLF_pear*(1-EXP(-s_RadSpec!AZ13*s_t_b)))/(s_P*s_RadSpec!AZ13))),0)</f>
        <v>2.6824597822007652</v>
      </c>
      <c r="AR13" s="108">
        <f>IFERROR(IF(d_Bv!S13=0,0,((s_Ir*s_F*s_MLF_peas*(1-EXP(-s_RadSpec!AZ13*s_t_b)))/(s_P*s_RadSpec!AZ13))),0)</f>
        <v>2.6824597822007652</v>
      </c>
      <c r="AS13" s="108">
        <f>IFERROR(IF(d_Bv!T13=0,0,((s_Ir*s_F*s_MLF_peppers*(1-EXP(-s_RadSpec!AZ13*s_t_b)))/(s_P*s_RadSpec!AZ13))),0)</f>
        <v>2.6824597822007652</v>
      </c>
      <c r="AT13" s="108">
        <f>IFERROR(IF(d_Bv!U13=0,0,((s_Ir*s_F*s_MLF_potato*(1-EXP(-s_RadSpec!AZ13*s_t_b)))/(s_P*s_RadSpec!AZ13))),0)</f>
        <v>2.6824597822007652</v>
      </c>
      <c r="AU13" s="108">
        <f>IFERROR(IF(d_Bv!V13=0,0,((s_Ir*s_F*s_MLF_pumpkin*(1-EXP(-s_RadSpec!AZ13*s_t_b)))/(s_P*s_RadSpec!AZ13))),0)</f>
        <v>2.6824597822007652</v>
      </c>
      <c r="AV13" s="108">
        <f>IFERROR(IF(d_Bv!W13=0,0,((s_Ir*s_F*s_MLF_snap_bean*(1-EXP(-s_RadSpec!AZ13*s_t_b)))/(s_P*s_RadSpec!AZ13))),0)</f>
        <v>2.6824597822007652</v>
      </c>
      <c r="AW13" s="108">
        <f>IFERROR(IF(d_Bv!X13=0,0,((s_Ir*s_F*s_MLF_strawberry*(1-EXP(-s_RadSpec!AZ13*s_t_b)))/(s_P*s_RadSpec!AZ13))),0)</f>
        <v>2.6824597822007652</v>
      </c>
      <c r="AX13" s="108">
        <f>IFERROR(IF(d_Bv!Y13=0,0,((s_Ir*s_F*s_MLF_tomato*(1-EXP(-s_RadSpec!AZ13*s_t_b)))/(s_P*s_RadSpec!AZ13))),0)</f>
        <v>2.6824597822007652</v>
      </c>
      <c r="AY13" s="108">
        <f>IFERROR(IF(d_Bv!Z13=0,0,((s_Ir*s_F*s_MLF_rice*(1-EXP(-s_RadSpec!AZ13*s_t_b)))/(s_P*s_RadSpec!AZ13))),0)</f>
        <v>2.6824597822007652</v>
      </c>
      <c r="AZ13" s="108">
        <f>IFERROR(IF(d_Bv!AA13=0,0,((s_Ir*s_F*s_MLF_cereal*(1-EXP(-s_RadSpec!AZ13*s_t_b)))/(s_P*s_RadSpec!AZ13))),0)</f>
        <v>2.6824597822007652</v>
      </c>
      <c r="BA13" s="108">
        <f>IFERROR(IF(d_Bv!C13=0,0,((s_Ir*s_F*s_I_f*s_T*(1-EXP(-s_RadSpec!BA13*s_t_v)))/(s_Y_v*s_RadSpec!BA13))),0)</f>
        <v>9.0143481925428208</v>
      </c>
      <c r="BB13" s="108">
        <f>IFERROR(IF(d_Bv!D13=0,0,((s_Ir*s_F*s_I_f*s_T*(1-EXP(-s_RadSpec!BA13*s_t_v)))/(s_Y_v*s_RadSpec!BA13))),0)</f>
        <v>9.0143481925428208</v>
      </c>
      <c r="BC13" s="108">
        <f>IFERROR(IF(d_Bv!E13=0,0,((s_Ir*s_F*s_I_f*s_T*(1-EXP(-s_RadSpec!BA13*s_t_v)))/(s_Y_v*s_RadSpec!BA13))),0)</f>
        <v>9.0143481925428208</v>
      </c>
      <c r="BD13" s="108">
        <f>IFERROR(IF(d_Bv!F13=0,0,((s_Ir*s_F*s_I_f*s_T*(1-EXP(-s_RadSpec!BA13*s_t_v)))/(s_Y_v*s_RadSpec!BA13))),0)</f>
        <v>9.0143481925428208</v>
      </c>
      <c r="BE13" s="108">
        <f>IFERROR(IF(d_Bv!G13=0,0,((s_Ir*s_F*s_I_f*s_T*(1-EXP(-s_RadSpec!BA13*s_t_v)))/(s_Y_v*s_RadSpec!BA13))),0)</f>
        <v>9.0143481925428208</v>
      </c>
      <c r="BF13" s="108">
        <f>IFERROR(IF(d_Bv!H13=0,0,((s_Ir*s_F*s_I_f*s_T*(1-EXP(-s_RadSpec!BA13*s_t_v)))/(s_Y_v*s_RadSpec!BA13))),0)</f>
        <v>9.0143481925428208</v>
      </c>
      <c r="BG13" s="108">
        <f>IFERROR(IF(d_Bv!I13=0,0,((s_Ir*s_F*s_I_f*s_T*(1-EXP(-s_RadSpec!BA13*s_t_v)))/(s_Y_v*s_RadSpec!BA13))),0)</f>
        <v>9.0143481925428208</v>
      </c>
      <c r="BH13" s="108">
        <f>IFERROR(IF(d_Bv!J13=0,0,((s_Ir*s_F*s_I_f*s_T*(1-EXP(-s_RadSpec!BA13*s_t_v)))/(s_Y_v*s_RadSpec!BA13))),0)</f>
        <v>9.0143481925428208</v>
      </c>
      <c r="BI13" s="108">
        <f>IFERROR(IF(d_Bv!K13=0,0,((s_Ir*s_F*s_I_f*s_T*(1-EXP(-s_RadSpec!BA13*s_t_v)))/(s_Y_v*s_RadSpec!BA13))),0)</f>
        <v>9.0143481925428208</v>
      </c>
      <c r="BJ13" s="108">
        <f>IFERROR(IF(d_Bv!L13=0,0,((s_Ir*s_F*s_I_f*s_T*(1-EXP(-s_RadSpec!BA13*s_t_v)))/(s_Y_v*s_RadSpec!BA13))),0)</f>
        <v>9.0143481925428208</v>
      </c>
      <c r="BK13" s="108">
        <f>IFERROR(IF(d_Bv!M13=0,0,((s_Ir*s_F*s_I_f*s_T*(1-EXP(-s_RadSpec!BA13*s_t_v)))/(s_Y_v*s_RadSpec!BA13))),0)</f>
        <v>9.0143481925428208</v>
      </c>
      <c r="BL13" s="108">
        <f>IFERROR(IF(d_Bv!N13=0,0,((s_Ir*s_F*s_I_f*s_T*(1-EXP(-s_RadSpec!BA13*s_t_v)))/(s_Y_v*s_RadSpec!BA13))),0)</f>
        <v>9.0143481925428208</v>
      </c>
      <c r="BM13" s="108">
        <f>IFERROR(IF(d_Bv!O13=0,0,((s_Ir*s_F*s_I_f*s_T*(1-EXP(-s_RadSpec!BA13*s_t_v)))/(s_Y_v*s_RadSpec!BA13))),0)</f>
        <v>9.0143481925428208</v>
      </c>
      <c r="BN13" s="108">
        <f>IFERROR(IF(d_Bv!P13=0,0,((s_Ir*s_F*s_I_f*s_T*(1-EXP(-s_RadSpec!BA13*s_t_v)))/(s_Y_v*s_RadSpec!BA13))),0)</f>
        <v>9.0143481925428208</v>
      </c>
      <c r="BO13" s="108">
        <f>IFERROR(IF(d_Bv!Q13=0,0,((s_Ir*s_F*s_I_f*s_T*(1-EXP(-s_RadSpec!BA13*s_t_v)))/(s_Y_v*s_RadSpec!BA13))),0)</f>
        <v>9.0143481925428208</v>
      </c>
      <c r="BP13" s="108">
        <f>IFERROR(IF(d_Bv!R13=0,0,((s_Ir*s_F*s_I_f*s_T*(1-EXP(-s_RadSpec!BA13*s_t_v)))/(s_Y_v*s_RadSpec!BA13))),0)</f>
        <v>9.0143481925428208</v>
      </c>
      <c r="BQ13" s="108">
        <f>IFERROR(IF(d_Bv!S13=0,0,((s_Ir*s_F*s_I_f*s_T*(1-EXP(-s_RadSpec!BA13*s_t_v)))/(s_Y_v*s_RadSpec!BA13))),0)</f>
        <v>9.0143481925428208</v>
      </c>
      <c r="BR13" s="108">
        <f>IFERROR(IF(d_Bv!T13=0,0,((s_Ir*s_F*s_I_f*s_T*(1-EXP(-s_RadSpec!BA13*s_t_v)))/(s_Y_v*s_RadSpec!BA13))),0)</f>
        <v>9.0143481925428208</v>
      </c>
      <c r="BS13" s="108">
        <f>IFERROR(IF(d_Bv!U13=0,0,((s_Ir*s_F*s_I_f*s_T*(1-EXP(-s_RadSpec!BA13*s_t_v)))/(s_Y_v*s_RadSpec!BA13))),0)</f>
        <v>9.0143481925428208</v>
      </c>
      <c r="BT13" s="108">
        <f>IFERROR(IF(d_Bv!V13=0,0,((s_Ir*s_F*s_I_f*s_T*(1-EXP(-s_RadSpec!BA13*s_t_v)))/(s_Y_v*s_RadSpec!BA13))),0)</f>
        <v>9.0143481925428208</v>
      </c>
      <c r="BU13" s="108">
        <f>IFERROR(IF(d_Bv!W13=0,0,((s_Ir*s_F*s_I_f*s_T*(1-EXP(-s_RadSpec!BA13*s_t_v)))/(s_Y_v*s_RadSpec!BA13))),0)</f>
        <v>9.0143481925428208</v>
      </c>
      <c r="BV13" s="108">
        <f>IFERROR(IF(d_Bv!X13=0,0,((s_Ir*s_F*s_I_f*s_T*(1-EXP(-s_RadSpec!BA13*s_t_v)))/(s_Y_v*s_RadSpec!BA13))),0)</f>
        <v>9.0143481925428208</v>
      </c>
      <c r="BW13" s="108">
        <f>IFERROR(IF(d_Bv!Y13=0,0,((s_Ir*s_F*s_I_f*s_T*(1-EXP(-s_RadSpec!BA13*s_t_v)))/(s_Y_v*s_RadSpec!BA13))),0)</f>
        <v>9.0143481925428208</v>
      </c>
      <c r="BX13" s="108">
        <f>IFERROR(IF(d_Bv!Z13=0,0,((s_Ir*s_F*s_I_f*s_T*(1-EXP(-s_RadSpec!BA13*s_t_v)))/(s_Y_v*s_RadSpec!BA13))),0)</f>
        <v>9.0143481925428208</v>
      </c>
      <c r="BY13" s="108">
        <f>IFERROR(IF(d_Bv!AA13=0,0,((s_Ir*s_F*s_I_f*s_T*(1-EXP(-s_RadSpec!BA13*s_t_v)))/(s_Y_v*s_RadSpec!BA13))),0)</f>
        <v>9.0143481925428208</v>
      </c>
    </row>
    <row r="14" spans="1:77" x14ac:dyDescent="0.25">
      <c r="A14" s="44" t="s">
        <v>12</v>
      </c>
      <c r="B14" s="42" t="s">
        <v>1057</v>
      </c>
      <c r="C14" s="108">
        <f>IFERROR(IF(d_Bv!C14=0,0,((s_Ir*s_F*d_Bv!C14*(1-EXP(-s_RadSpec!$AZ14*s_t_b)))/(s_P*s_RadSpec!$AZ14))),0)</f>
        <v>1.9870072460746409</v>
      </c>
      <c r="D14" s="108">
        <f>IFERROR(IF(d_Bv!D14=0,0,((s_Ir*s_F*d_Bv!D14*(1-EXP(-s_RadSpec!AZ14*s_t_b)))/(s_P*s_RadSpec!AZ14))),0)</f>
        <v>1.9870072460746409</v>
      </c>
      <c r="E14" s="108">
        <f>IFERROR(IF(d_Bv!E14=0,0,((s_Ir*s_F*d_Bv!E14*(1-EXP(-s_RadSpec!AZ14*s_t_b)))/(s_P*s_RadSpec!AZ14))),0)</f>
        <v>1.9870072460746409</v>
      </c>
      <c r="F14" s="108">
        <f>IFERROR(IF(d_Bv!F14=0,0,((s_Ir*s_F*d_Bv!F14*(1-EXP(-s_RadSpec!AZ14*s_t_b)))/(s_P*s_RadSpec!AZ14))),0)</f>
        <v>1.9870072460746409</v>
      </c>
      <c r="G14" s="108">
        <f>IFERROR(IF(d_Bv!G14=0,0,((s_Ir*s_F*d_Bv!G14*(1-EXP(-s_RadSpec!AZ14*s_t_b)))/(s_P*s_RadSpec!AZ14))),0)</f>
        <v>1.9870072460746409</v>
      </c>
      <c r="H14" s="108">
        <f>IFERROR(IF(d_Bv!H14=0,0,((s_Ir*s_F*d_Bv!H14*(1-EXP(-s_RadSpec!AZ14*s_t_b)))/(s_P*s_RadSpec!AZ14))),0)</f>
        <v>1.9870072460746409</v>
      </c>
      <c r="I14" s="108">
        <f>IFERROR(IF(d_Bv!I14=0,0,((s_Ir*s_F*d_Bv!I14*(1-EXP(-s_RadSpec!AZ14*s_t_b)))/(s_P*s_RadSpec!AZ14))),0)</f>
        <v>1.9870072460746409</v>
      </c>
      <c r="J14" s="108">
        <f>IFERROR(IF(d_Bv!J14=0,0,((s_Ir*s_F*d_Bv!J14*(1-EXP(-s_RadSpec!AZ14*s_t_b)))/(s_P*s_RadSpec!AZ14))),0)</f>
        <v>1.9870072460746409</v>
      </c>
      <c r="K14" s="108">
        <f>IFERROR(IF(d_Bv!K14=0,0,((s_Ir*s_F*d_Bv!K14*(1-EXP(-s_RadSpec!AZ14*s_t_b)))/(s_P*s_RadSpec!AZ14))),0)</f>
        <v>1.9870072460746409</v>
      </c>
      <c r="L14" s="108">
        <f>IFERROR(IF(d_Bv!L14=0,0,((s_Ir*s_F*d_Bv!L14*(1-EXP(-s_RadSpec!AZ14*s_t_b)))/(s_P*s_RadSpec!AZ14))),0)</f>
        <v>1.9870072460746409</v>
      </c>
      <c r="M14" s="108">
        <f>IFERROR(IF(d_Bv!M14=0,0,((s_Ir*s_F*d_Bv!M14*(1-EXP(-s_RadSpec!AZ14*s_t_b)))/(s_P*s_RadSpec!AZ14))),0)</f>
        <v>1.9870072460746409</v>
      </c>
      <c r="N14" s="108">
        <f>IFERROR(IF(d_Bv!N14=0,0,((s_Ir*s_F*d_Bv!N14*(1-EXP(-s_RadSpec!AZ14*s_t_b)))/(s_P*s_RadSpec!AZ14))),0)</f>
        <v>1.9870072460746409</v>
      </c>
      <c r="O14" s="108">
        <f>IFERROR(IF(d_Bv!O14=0,0,((s_Ir*s_F*d_Bv!O14*(1-EXP(-s_RadSpec!AZ14*s_t_b)))/(s_P*s_RadSpec!AZ14))),0)</f>
        <v>1.9870072460746409</v>
      </c>
      <c r="P14" s="108">
        <f>IFERROR(IF(d_Bv!P14=0,0,((s_Ir*s_F*d_Bv!P14*(1-EXP(-s_RadSpec!AZ14*s_t_b)))/(s_P*s_RadSpec!AZ14))),0)</f>
        <v>1.9870072460746409</v>
      </c>
      <c r="Q14" s="108">
        <f>IFERROR(IF(d_Bv!Q14=0,0,((s_Ir*s_F*d_Bv!Q14*(1-EXP(-s_RadSpec!AZ14*s_t_b)))/(s_P*s_RadSpec!AZ14))),0)</f>
        <v>1.9870072460746409</v>
      </c>
      <c r="R14" s="108">
        <f>IFERROR(IF(d_Bv!R14=0,0,((s_Ir*s_F*d_Bv!R14*(1-EXP(-s_RadSpec!AZ14*s_t_b)))/(s_P*s_RadSpec!AZ14))),0)</f>
        <v>1.9870072460746409</v>
      </c>
      <c r="S14" s="108">
        <f>IFERROR(IF(d_Bv!S14=0,0,((s_Ir*s_F*d_Bv!S14*(1-EXP(-s_RadSpec!AZ14*s_t_b)))/(s_P*s_RadSpec!AZ14))),0)</f>
        <v>1.9870072460746409</v>
      </c>
      <c r="T14" s="108">
        <f>IFERROR(IF(d_Bv!T14=0,0,((s_Ir*s_F*d_Bv!T14*(1-EXP(-s_RadSpec!AZ14*s_t_b)))/(s_P*s_RadSpec!AZ14))),0)</f>
        <v>1.9870072460746409</v>
      </c>
      <c r="U14" s="108">
        <f>IFERROR(IF(d_Bv!U14=0,0,((s_Ir*s_F*d_Bv!U14*(1-EXP(-s_RadSpec!AZ14*s_t_b)))/(s_P*s_RadSpec!AZ14))),0)</f>
        <v>1.9870072460746409</v>
      </c>
      <c r="V14" s="108">
        <f>IFERROR(IF(d_Bv!V14=0,0,((s_Ir*s_F*d_Bv!V14*(1-EXP(-s_RadSpec!AZ14*s_t_b)))/(s_P*s_RadSpec!AZ14))),0)</f>
        <v>1.9870072460746409</v>
      </c>
      <c r="W14" s="108">
        <f>IFERROR(IF(d_Bv!W14=0,0,((s_Ir*s_F*d_Bv!W14*(1-EXP(-s_RadSpec!AZ14*s_t_b)))/(s_P*s_RadSpec!AZ14))),0)</f>
        <v>1.9870072460746409</v>
      </c>
      <c r="X14" s="108">
        <f>IFERROR(IF(d_Bv!X14=0,0,((s_Ir*s_F*d_Bv!X14*(1-EXP(-s_RadSpec!AZ14*s_t_b)))/(s_P*s_RadSpec!AZ14))),0)</f>
        <v>1.9870072460746409</v>
      </c>
      <c r="Y14" s="108">
        <f>IFERROR(IF(d_Bv!Y14=0,0,((s_Ir*s_F*d_Bv!Y14*(1-EXP(-s_RadSpec!AZ14*s_t_b)))/(s_P*s_RadSpec!AZ14))),0)</f>
        <v>1.9870072460746409</v>
      </c>
      <c r="Z14" s="108">
        <f>IFERROR(IF(d_Bv!Z14=0,0,((s_Ir*s_F*d_Bv!Z14*(1-EXP(-s_RadSpec!AZ14*s_t_b)))/(s_P*s_RadSpec!AZ14))),0)</f>
        <v>1.9870072460746409</v>
      </c>
      <c r="AA14" s="108">
        <f>IFERROR(IF(d_Bv!AA14=0,0,((s_Ir*s_F*d_Bv!AA14*(1-EXP(-s_RadSpec!AZ14*s_t_b)))/(s_P*s_RadSpec!AZ14))),0)</f>
        <v>1.9870072460746409</v>
      </c>
      <c r="AB14" s="108">
        <f>IFERROR(IF(d_Bv!C14=0,0,((s_Ir*s_F*s_MLF_apple*(1-EXP(-s_RadSpec!AZ14*s_t_b)))/(s_P*s_RadSpec!AZ14))),0)</f>
        <v>2.6824597822007652</v>
      </c>
      <c r="AC14" s="108">
        <f>IFERROR(IF(d_Bv!D14=0,0,((s_Ir*s_F*s_MLF_asparagus*(1-EXP(-s_RadSpec!AZ14*s_t_b)))/(s_P*s_RadSpec!AZ14))),0)</f>
        <v>2.6824597822007652</v>
      </c>
      <c r="AD14" s="108">
        <f>IFERROR(IF(d_Bv!E14=0,0,((s_Ir*s_F*s_MLF_beet*(1-EXP(-s_RadSpec!AZ14*s_t_b)))/(s_P*s_RadSpec!AZ14))),0)</f>
        <v>2.6824597822007652</v>
      </c>
      <c r="AE14" s="108">
        <f>IFERROR(IF(d_Bv!F14=0,0,((s_Ir*s_F*s_MLF_berries*(1-EXP(-s_RadSpec!AZ14*s_t_b)))/(s_P*s_RadSpec!AZ14))),0)</f>
        <v>2.6824597822007652</v>
      </c>
      <c r="AF14" s="108">
        <f>IFERROR(IF(d_Bv!G14=0,0,((s_Ir*s_F*s_MLF_broccoli*(1-EXP(-s_RadSpec!AZ14*s_t_b)))/(s_P*s_RadSpec!AZ14))),0)</f>
        <v>2.6824597822007652</v>
      </c>
      <c r="AG14" s="108">
        <f>IFERROR(IF(d_Bv!H14=0,0,((s_Ir*s_F*s_MLF_cabbage*(1-EXP(-s_RadSpec!AZ14*s_t_b)))/(s_P*s_RadSpec!AZ14))),0)</f>
        <v>2.6824597822007652</v>
      </c>
      <c r="AH14" s="108">
        <f>IFERROR(IF(d_Bv!I14=0,0,((s_Ir*s_F*s_MLF_carrot*(1-EXP(-s_RadSpec!AZ14*s_t_b)))/(s_P*s_RadSpec!AZ14))),0)</f>
        <v>2.6824597822007652</v>
      </c>
      <c r="AI14" s="108">
        <f>IFERROR(IF(d_Bv!J14=0,0,((s_Ir*s_F*s_MLF_citrus*(1-EXP(-s_RadSpec!AZ14*s_t_b)))/(s_P*s_RadSpec!AZ14))),0)</f>
        <v>2.6824597822007652</v>
      </c>
      <c r="AJ14" s="108">
        <f>IFERROR(IF(d_Bv!K14=0,0,((s_Ir*s_F*s_MLF_corn*(1-EXP(-s_RadSpec!AZ14*s_t_b)))/(s_P*s_RadSpec!AZ14))),0)</f>
        <v>2.6824597822007652</v>
      </c>
      <c r="AK14" s="108">
        <f>IFERROR(IF(d_Bv!L14=0,0,((s_Ir*s_F*s_MLF_cucumber*(1-EXP(-s_RadSpec!AZ14*s_t_b)))/(s_P*s_RadSpec!AZ14))),0)</f>
        <v>2.6824597822007652</v>
      </c>
      <c r="AL14" s="108">
        <f>IFERROR(IF(d_Bv!M14=0,0,((s_Ir*s_F*s_MLF_lettuce*(1-EXP(-s_RadSpec!AZ14*s_t_b)))/(s_P*s_RadSpec!AZ14))),0)</f>
        <v>2.6824597822007652</v>
      </c>
      <c r="AM14" s="108">
        <f>IFERROR(IF(d_Bv!N14=0,0,((s_Ir*s_F*s_MLF_lima_bean*(1-EXP(-s_RadSpec!AZ14*s_t_b)))/(s_P*s_RadSpec!AZ14))),0)</f>
        <v>2.6824597822007652</v>
      </c>
      <c r="AN14" s="108">
        <f>IFERROR(IF(d_Bv!O14=0,0,((s_Ir*s_F*s_MLF_okra*(1-EXP(-s_RadSpec!AZ14*s_t_b)))/(s_P*s_RadSpec!AZ14))),0)</f>
        <v>2.6824597822007652</v>
      </c>
      <c r="AO14" s="108">
        <f>IFERROR(IF(d_Bv!P14=0,0,((s_Ir*s_F*s_MLF_onion*(1-EXP(-s_RadSpec!AZ14*s_t_b)))/(s_P*s_RadSpec!AZ14))),0)</f>
        <v>2.6824597822007652</v>
      </c>
      <c r="AP14" s="108">
        <f>IFERROR(IF(d_Bv!Q14=0,0,((s_Ir*s_F*s_MLF_peach*(1-EXP(-s_RadSpec!AZ14*s_t_b)))/(s_P*s_RadSpec!AZ14))),0)</f>
        <v>2.6824597822007652</v>
      </c>
      <c r="AQ14" s="108">
        <f>IFERROR(IF(d_Bv!R14=0,0,((s_Ir*s_F*s_MLF_pear*(1-EXP(-s_RadSpec!AZ14*s_t_b)))/(s_P*s_RadSpec!AZ14))),0)</f>
        <v>2.6824597822007652</v>
      </c>
      <c r="AR14" s="108">
        <f>IFERROR(IF(d_Bv!S14=0,0,((s_Ir*s_F*s_MLF_peas*(1-EXP(-s_RadSpec!AZ14*s_t_b)))/(s_P*s_RadSpec!AZ14))),0)</f>
        <v>2.6824597822007652</v>
      </c>
      <c r="AS14" s="108">
        <f>IFERROR(IF(d_Bv!T14=0,0,((s_Ir*s_F*s_MLF_peppers*(1-EXP(-s_RadSpec!AZ14*s_t_b)))/(s_P*s_RadSpec!AZ14))),0)</f>
        <v>2.6824597822007652</v>
      </c>
      <c r="AT14" s="108">
        <f>IFERROR(IF(d_Bv!U14=0,0,((s_Ir*s_F*s_MLF_potato*(1-EXP(-s_RadSpec!AZ14*s_t_b)))/(s_P*s_RadSpec!AZ14))),0)</f>
        <v>2.6824597822007652</v>
      </c>
      <c r="AU14" s="108">
        <f>IFERROR(IF(d_Bv!V14=0,0,((s_Ir*s_F*s_MLF_pumpkin*(1-EXP(-s_RadSpec!AZ14*s_t_b)))/(s_P*s_RadSpec!AZ14))),0)</f>
        <v>2.6824597822007652</v>
      </c>
      <c r="AV14" s="108">
        <f>IFERROR(IF(d_Bv!W14=0,0,((s_Ir*s_F*s_MLF_snap_bean*(1-EXP(-s_RadSpec!AZ14*s_t_b)))/(s_P*s_RadSpec!AZ14))),0)</f>
        <v>2.6824597822007652</v>
      </c>
      <c r="AW14" s="108">
        <f>IFERROR(IF(d_Bv!X14=0,0,((s_Ir*s_F*s_MLF_strawberry*(1-EXP(-s_RadSpec!AZ14*s_t_b)))/(s_P*s_RadSpec!AZ14))),0)</f>
        <v>2.6824597822007652</v>
      </c>
      <c r="AX14" s="108">
        <f>IFERROR(IF(d_Bv!Y14=0,0,((s_Ir*s_F*s_MLF_tomato*(1-EXP(-s_RadSpec!AZ14*s_t_b)))/(s_P*s_RadSpec!AZ14))),0)</f>
        <v>2.6824597822007652</v>
      </c>
      <c r="AY14" s="108">
        <f>IFERROR(IF(d_Bv!Z14=0,0,((s_Ir*s_F*s_MLF_rice*(1-EXP(-s_RadSpec!AZ14*s_t_b)))/(s_P*s_RadSpec!AZ14))),0)</f>
        <v>2.6824597822007652</v>
      </c>
      <c r="AZ14" s="108">
        <f>IFERROR(IF(d_Bv!AA14=0,0,((s_Ir*s_F*s_MLF_cereal*(1-EXP(-s_RadSpec!AZ14*s_t_b)))/(s_P*s_RadSpec!AZ14))),0)</f>
        <v>2.6824597822007652</v>
      </c>
      <c r="BA14" s="108">
        <f>IFERROR(IF(d_Bv!C14=0,0,((s_Ir*s_F*s_I_f*s_T*(1-EXP(-s_RadSpec!BA14*s_t_v)))/(s_Y_v*s_RadSpec!BA14))),0)</f>
        <v>9.0143481925428208</v>
      </c>
      <c r="BB14" s="108">
        <f>IFERROR(IF(d_Bv!D14=0,0,((s_Ir*s_F*s_I_f*s_T*(1-EXP(-s_RadSpec!BA14*s_t_v)))/(s_Y_v*s_RadSpec!BA14))),0)</f>
        <v>9.0143481925428208</v>
      </c>
      <c r="BC14" s="108">
        <f>IFERROR(IF(d_Bv!E14=0,0,((s_Ir*s_F*s_I_f*s_T*(1-EXP(-s_RadSpec!BA14*s_t_v)))/(s_Y_v*s_RadSpec!BA14))),0)</f>
        <v>9.0143481925428208</v>
      </c>
      <c r="BD14" s="108">
        <f>IFERROR(IF(d_Bv!F14=0,0,((s_Ir*s_F*s_I_f*s_T*(1-EXP(-s_RadSpec!BA14*s_t_v)))/(s_Y_v*s_RadSpec!BA14))),0)</f>
        <v>9.0143481925428208</v>
      </c>
      <c r="BE14" s="108">
        <f>IFERROR(IF(d_Bv!G14=0,0,((s_Ir*s_F*s_I_f*s_T*(1-EXP(-s_RadSpec!BA14*s_t_v)))/(s_Y_v*s_RadSpec!BA14))),0)</f>
        <v>9.0143481925428208</v>
      </c>
      <c r="BF14" s="108">
        <f>IFERROR(IF(d_Bv!H14=0,0,((s_Ir*s_F*s_I_f*s_T*(1-EXP(-s_RadSpec!BA14*s_t_v)))/(s_Y_v*s_RadSpec!BA14))),0)</f>
        <v>9.0143481925428208</v>
      </c>
      <c r="BG14" s="108">
        <f>IFERROR(IF(d_Bv!I14=0,0,((s_Ir*s_F*s_I_f*s_T*(1-EXP(-s_RadSpec!BA14*s_t_v)))/(s_Y_v*s_RadSpec!BA14))),0)</f>
        <v>9.0143481925428208</v>
      </c>
      <c r="BH14" s="108">
        <f>IFERROR(IF(d_Bv!J14=0,0,((s_Ir*s_F*s_I_f*s_T*(1-EXP(-s_RadSpec!BA14*s_t_v)))/(s_Y_v*s_RadSpec!BA14))),0)</f>
        <v>9.0143481925428208</v>
      </c>
      <c r="BI14" s="108">
        <f>IFERROR(IF(d_Bv!K14=0,0,((s_Ir*s_F*s_I_f*s_T*(1-EXP(-s_RadSpec!BA14*s_t_v)))/(s_Y_v*s_RadSpec!BA14))),0)</f>
        <v>9.0143481925428208</v>
      </c>
      <c r="BJ14" s="108">
        <f>IFERROR(IF(d_Bv!L14=0,0,((s_Ir*s_F*s_I_f*s_T*(1-EXP(-s_RadSpec!BA14*s_t_v)))/(s_Y_v*s_RadSpec!BA14))),0)</f>
        <v>9.0143481925428208</v>
      </c>
      <c r="BK14" s="108">
        <f>IFERROR(IF(d_Bv!M14=0,0,((s_Ir*s_F*s_I_f*s_T*(1-EXP(-s_RadSpec!BA14*s_t_v)))/(s_Y_v*s_RadSpec!BA14))),0)</f>
        <v>9.0143481925428208</v>
      </c>
      <c r="BL14" s="108">
        <f>IFERROR(IF(d_Bv!N14=0,0,((s_Ir*s_F*s_I_f*s_T*(1-EXP(-s_RadSpec!BA14*s_t_v)))/(s_Y_v*s_RadSpec!BA14))),0)</f>
        <v>9.0143481925428208</v>
      </c>
      <c r="BM14" s="108">
        <f>IFERROR(IF(d_Bv!O14=0,0,((s_Ir*s_F*s_I_f*s_T*(1-EXP(-s_RadSpec!BA14*s_t_v)))/(s_Y_v*s_RadSpec!BA14))),0)</f>
        <v>9.0143481925428208</v>
      </c>
      <c r="BN14" s="108">
        <f>IFERROR(IF(d_Bv!P14=0,0,((s_Ir*s_F*s_I_f*s_T*(1-EXP(-s_RadSpec!BA14*s_t_v)))/(s_Y_v*s_RadSpec!BA14))),0)</f>
        <v>9.0143481925428208</v>
      </c>
      <c r="BO14" s="108">
        <f>IFERROR(IF(d_Bv!Q14=0,0,((s_Ir*s_F*s_I_f*s_T*(1-EXP(-s_RadSpec!BA14*s_t_v)))/(s_Y_v*s_RadSpec!BA14))),0)</f>
        <v>9.0143481925428208</v>
      </c>
      <c r="BP14" s="108">
        <f>IFERROR(IF(d_Bv!R14=0,0,((s_Ir*s_F*s_I_f*s_T*(1-EXP(-s_RadSpec!BA14*s_t_v)))/(s_Y_v*s_RadSpec!BA14))),0)</f>
        <v>9.0143481925428208</v>
      </c>
      <c r="BQ14" s="108">
        <f>IFERROR(IF(d_Bv!S14=0,0,((s_Ir*s_F*s_I_f*s_T*(1-EXP(-s_RadSpec!BA14*s_t_v)))/(s_Y_v*s_RadSpec!BA14))),0)</f>
        <v>9.0143481925428208</v>
      </c>
      <c r="BR14" s="108">
        <f>IFERROR(IF(d_Bv!T14=0,0,((s_Ir*s_F*s_I_f*s_T*(1-EXP(-s_RadSpec!BA14*s_t_v)))/(s_Y_v*s_RadSpec!BA14))),0)</f>
        <v>9.0143481925428208</v>
      </c>
      <c r="BS14" s="108">
        <f>IFERROR(IF(d_Bv!U14=0,0,((s_Ir*s_F*s_I_f*s_T*(1-EXP(-s_RadSpec!BA14*s_t_v)))/(s_Y_v*s_RadSpec!BA14))),0)</f>
        <v>9.0143481925428208</v>
      </c>
      <c r="BT14" s="108">
        <f>IFERROR(IF(d_Bv!V14=0,0,((s_Ir*s_F*s_I_f*s_T*(1-EXP(-s_RadSpec!BA14*s_t_v)))/(s_Y_v*s_RadSpec!BA14))),0)</f>
        <v>9.0143481925428208</v>
      </c>
      <c r="BU14" s="108">
        <f>IFERROR(IF(d_Bv!W14=0,0,((s_Ir*s_F*s_I_f*s_T*(1-EXP(-s_RadSpec!BA14*s_t_v)))/(s_Y_v*s_RadSpec!BA14))),0)</f>
        <v>9.0143481925428208</v>
      </c>
      <c r="BV14" s="108">
        <f>IFERROR(IF(d_Bv!X14=0,0,((s_Ir*s_F*s_I_f*s_T*(1-EXP(-s_RadSpec!BA14*s_t_v)))/(s_Y_v*s_RadSpec!BA14))),0)</f>
        <v>9.0143481925428208</v>
      </c>
      <c r="BW14" s="108">
        <f>IFERROR(IF(d_Bv!Y14=0,0,((s_Ir*s_F*s_I_f*s_T*(1-EXP(-s_RadSpec!BA14*s_t_v)))/(s_Y_v*s_RadSpec!BA14))),0)</f>
        <v>9.0143481925428208</v>
      </c>
      <c r="BX14" s="108">
        <f>IFERROR(IF(d_Bv!Z14=0,0,((s_Ir*s_F*s_I_f*s_T*(1-EXP(-s_RadSpec!BA14*s_t_v)))/(s_Y_v*s_RadSpec!BA14))),0)</f>
        <v>9.0143481925428208</v>
      </c>
      <c r="BY14" s="108">
        <f>IFERROR(IF(d_Bv!AA14=0,0,((s_Ir*s_F*s_I_f*s_T*(1-EXP(-s_RadSpec!BA14*s_t_v)))/(s_Y_v*s_RadSpec!BA14))),0)</f>
        <v>9.0143481925428208</v>
      </c>
    </row>
    <row r="15" spans="1:77" x14ac:dyDescent="0.25">
      <c r="A15" s="44" t="s">
        <v>13</v>
      </c>
      <c r="B15" s="42" t="s">
        <v>1057</v>
      </c>
      <c r="C15" s="108">
        <f>IFERROR(IF(d_Bv!C15=0,0,((s_Ir*s_F*d_Bv!C15*(1-EXP(-s_RadSpec!$AZ15*s_t_b)))/(s_P*s_RadSpec!$AZ15))),0)</f>
        <v>1.9870072460746409</v>
      </c>
      <c r="D15" s="108">
        <f>IFERROR(IF(d_Bv!D15=0,0,((s_Ir*s_F*d_Bv!D15*(1-EXP(-s_RadSpec!AZ15*s_t_b)))/(s_P*s_RadSpec!AZ15))),0)</f>
        <v>15.896057968597127</v>
      </c>
      <c r="E15" s="108">
        <f>IFERROR(IF(d_Bv!E15=0,0,((s_Ir*s_F*d_Bv!E15*(1-EXP(-s_RadSpec!AZ15*s_t_b)))/(s_P*s_RadSpec!AZ15))),0)</f>
        <v>2.9805108691119608</v>
      </c>
      <c r="F15" s="108">
        <f>IFERROR(IF(d_Bv!F15=0,0,((s_Ir*s_F*d_Bv!F15*(1-EXP(-s_RadSpec!AZ15*s_t_b)))/(s_P*s_RadSpec!AZ15))),0)</f>
        <v>1.9870072460746409</v>
      </c>
      <c r="G15" s="108">
        <f>IFERROR(IF(d_Bv!G15=0,0,((s_Ir*s_F*d_Bv!G15*(1-EXP(-s_RadSpec!AZ15*s_t_b)))/(s_P*s_RadSpec!AZ15))),0)</f>
        <v>2.9805108691119608</v>
      </c>
      <c r="H15" s="108">
        <f>IFERROR(IF(d_Bv!H15=0,0,((s_Ir*s_F*d_Bv!H15*(1-EXP(-s_RadSpec!AZ15*s_t_b)))/(s_P*s_RadSpec!AZ15))),0)</f>
        <v>15.896057968597127</v>
      </c>
      <c r="I15" s="108">
        <f>IFERROR(IF(d_Bv!I15=0,0,((s_Ir*s_F*d_Bv!I15*(1-EXP(-s_RadSpec!AZ15*s_t_b)))/(s_P*s_RadSpec!AZ15))),0)</f>
        <v>2.9805108691119608</v>
      </c>
      <c r="J15" s="108">
        <f>IFERROR(IF(d_Bv!J15=0,0,((s_Ir*s_F*d_Bv!J15*(1-EXP(-s_RadSpec!AZ15*s_t_b)))/(s_P*s_RadSpec!AZ15))),0)</f>
        <v>1.9870072460746409</v>
      </c>
      <c r="K15" s="108">
        <f>IFERROR(IF(d_Bv!K15=0,0,((s_Ir*s_F*d_Bv!K15*(1-EXP(-s_RadSpec!AZ15*s_t_b)))/(s_P*s_RadSpec!AZ15))),0)</f>
        <v>0.23844086952895688</v>
      </c>
      <c r="L15" s="108">
        <f>IFERROR(IF(d_Bv!L15=0,0,((s_Ir*s_F*d_Bv!L15*(1-EXP(-s_RadSpec!AZ15*s_t_b)))/(s_P*s_RadSpec!AZ15))),0)</f>
        <v>2.9805108691119608</v>
      </c>
      <c r="M15" s="108">
        <f>IFERROR(IF(d_Bv!M15=0,0,((s_Ir*s_F*d_Bv!M15*(1-EXP(-s_RadSpec!AZ15*s_t_b)))/(s_P*s_RadSpec!AZ15))),0)</f>
        <v>15.896057968597127</v>
      </c>
      <c r="N15" s="108">
        <f>IFERROR(IF(d_Bv!N15=0,0,((s_Ir*s_F*d_Bv!N15*(1-EXP(-s_RadSpec!AZ15*s_t_b)))/(s_P*s_RadSpec!AZ15))),0)</f>
        <v>1.0531138404195597</v>
      </c>
      <c r="O15" s="108">
        <f>IFERROR(IF(d_Bv!O15=0,0,((s_Ir*s_F*d_Bv!O15*(1-EXP(-s_RadSpec!AZ15*s_t_b)))/(s_P*s_RadSpec!AZ15))),0)</f>
        <v>2.9805108691119608</v>
      </c>
      <c r="P15" s="108">
        <f>IFERROR(IF(d_Bv!P15=0,0,((s_Ir*s_F*d_Bv!P15*(1-EXP(-s_RadSpec!AZ15*s_t_b)))/(s_P*s_RadSpec!AZ15))),0)</f>
        <v>2.9805108691119608</v>
      </c>
      <c r="Q15" s="108">
        <f>IFERROR(IF(d_Bv!Q15=0,0,((s_Ir*s_F*d_Bv!Q15*(1-EXP(-s_RadSpec!AZ15*s_t_b)))/(s_P*s_RadSpec!AZ15))),0)</f>
        <v>1.9870072460746409</v>
      </c>
      <c r="R15" s="108">
        <f>IFERROR(IF(d_Bv!R15=0,0,((s_Ir*s_F*d_Bv!R15*(1-EXP(-s_RadSpec!AZ15*s_t_b)))/(s_P*s_RadSpec!AZ15))),0)</f>
        <v>1.9870072460746409</v>
      </c>
      <c r="S15" s="108">
        <f>IFERROR(IF(d_Bv!S15=0,0,((s_Ir*s_F*d_Bv!S15*(1-EXP(-s_RadSpec!AZ15*s_t_b)))/(s_P*s_RadSpec!AZ15))),0)</f>
        <v>1.0531138404195597</v>
      </c>
      <c r="T15" s="108">
        <f>IFERROR(IF(d_Bv!T15=0,0,((s_Ir*s_F*d_Bv!T15*(1-EXP(-s_RadSpec!AZ15*s_t_b)))/(s_P*s_RadSpec!AZ15))),0)</f>
        <v>2.9805108691119608</v>
      </c>
      <c r="U15" s="108">
        <f>IFERROR(IF(d_Bv!U15=0,0,((s_Ir*s_F*d_Bv!U15*(1-EXP(-s_RadSpec!AZ15*s_t_b)))/(s_P*s_RadSpec!AZ15))),0)</f>
        <v>0.29805108691119608</v>
      </c>
      <c r="V15" s="108">
        <f>IFERROR(IF(d_Bv!V15=0,0,((s_Ir*s_F*d_Bv!V15*(1-EXP(-s_RadSpec!AZ15*s_t_b)))/(s_P*s_RadSpec!AZ15))),0)</f>
        <v>2.9805108691119608</v>
      </c>
      <c r="W15" s="108">
        <f>IFERROR(IF(d_Bv!W15=0,0,((s_Ir*s_F*d_Bv!W15*(1-EXP(-s_RadSpec!AZ15*s_t_b)))/(s_P*s_RadSpec!AZ15))),0)</f>
        <v>1.0531138404195597</v>
      </c>
      <c r="X15" s="108">
        <f>IFERROR(IF(d_Bv!X15=0,0,((s_Ir*s_F*d_Bv!X15*(1-EXP(-s_RadSpec!AZ15*s_t_b)))/(s_P*s_RadSpec!AZ15))),0)</f>
        <v>1.9870072460746409</v>
      </c>
      <c r="Y15" s="108">
        <f>IFERROR(IF(d_Bv!Y15=0,0,((s_Ir*s_F*d_Bv!Y15*(1-EXP(-s_RadSpec!AZ15*s_t_b)))/(s_P*s_RadSpec!AZ15))),0)</f>
        <v>2.9805108691119608</v>
      </c>
      <c r="Z15" s="108">
        <f>IFERROR(IF(d_Bv!Z15=0,0,((s_Ir*s_F*d_Bv!Z15*(1-EXP(-s_RadSpec!AZ15*s_t_b)))/(s_P*s_RadSpec!AZ15))),0)</f>
        <v>5.7623210136164581E-2</v>
      </c>
      <c r="AA15" s="108">
        <f>IFERROR(IF(d_Bv!AA15=0,0,((s_Ir*s_F*d_Bv!AA15*(1-EXP(-s_RadSpec!AZ15*s_t_b)))/(s_P*s_RadSpec!AZ15))),0)</f>
        <v>2.1857079706821048</v>
      </c>
      <c r="AB15" s="108">
        <f>IFERROR(IF(d_Bv!C15=0,0,((s_Ir*s_F*s_MLF_apple*(1-EXP(-s_RadSpec!AZ15*s_t_b)))/(s_P*s_RadSpec!AZ15))),0)</f>
        <v>2.6824597822007652</v>
      </c>
      <c r="AC15" s="108">
        <f>IFERROR(IF(d_Bv!D15=0,0,((s_Ir*s_F*s_MLF_asparagus*(1-EXP(-s_RadSpec!AZ15*s_t_b)))/(s_P*s_RadSpec!AZ15))),0)</f>
        <v>2.6824597822007652</v>
      </c>
      <c r="AD15" s="108">
        <f>IFERROR(IF(d_Bv!E15=0,0,((s_Ir*s_F*s_MLF_beet*(1-EXP(-s_RadSpec!AZ15*s_t_b)))/(s_P*s_RadSpec!AZ15))),0)</f>
        <v>2.6824597822007652</v>
      </c>
      <c r="AE15" s="108">
        <f>IFERROR(IF(d_Bv!F15=0,0,((s_Ir*s_F*s_MLF_berries*(1-EXP(-s_RadSpec!AZ15*s_t_b)))/(s_P*s_RadSpec!AZ15))),0)</f>
        <v>2.6824597822007652</v>
      </c>
      <c r="AF15" s="108">
        <f>IFERROR(IF(d_Bv!G15=0,0,((s_Ir*s_F*s_MLF_broccoli*(1-EXP(-s_RadSpec!AZ15*s_t_b)))/(s_P*s_RadSpec!AZ15))),0)</f>
        <v>2.6824597822007652</v>
      </c>
      <c r="AG15" s="108">
        <f>IFERROR(IF(d_Bv!H15=0,0,((s_Ir*s_F*s_MLF_cabbage*(1-EXP(-s_RadSpec!AZ15*s_t_b)))/(s_P*s_RadSpec!AZ15))),0)</f>
        <v>2.6824597822007652</v>
      </c>
      <c r="AH15" s="108">
        <f>IFERROR(IF(d_Bv!I15=0,0,((s_Ir*s_F*s_MLF_carrot*(1-EXP(-s_RadSpec!AZ15*s_t_b)))/(s_P*s_RadSpec!AZ15))),0)</f>
        <v>2.6824597822007652</v>
      </c>
      <c r="AI15" s="108">
        <f>IFERROR(IF(d_Bv!J15=0,0,((s_Ir*s_F*s_MLF_citrus*(1-EXP(-s_RadSpec!AZ15*s_t_b)))/(s_P*s_RadSpec!AZ15))),0)</f>
        <v>2.6824597822007652</v>
      </c>
      <c r="AJ15" s="108">
        <f>IFERROR(IF(d_Bv!K15=0,0,((s_Ir*s_F*s_MLF_corn*(1-EXP(-s_RadSpec!AZ15*s_t_b)))/(s_P*s_RadSpec!AZ15))),0)</f>
        <v>2.6824597822007652</v>
      </c>
      <c r="AK15" s="108">
        <f>IFERROR(IF(d_Bv!L15=0,0,((s_Ir*s_F*s_MLF_cucumber*(1-EXP(-s_RadSpec!AZ15*s_t_b)))/(s_P*s_RadSpec!AZ15))),0)</f>
        <v>2.6824597822007652</v>
      </c>
      <c r="AL15" s="108">
        <f>IFERROR(IF(d_Bv!M15=0,0,((s_Ir*s_F*s_MLF_lettuce*(1-EXP(-s_RadSpec!AZ15*s_t_b)))/(s_P*s_RadSpec!AZ15))),0)</f>
        <v>2.6824597822007652</v>
      </c>
      <c r="AM15" s="108">
        <f>IFERROR(IF(d_Bv!N15=0,0,((s_Ir*s_F*s_MLF_lima_bean*(1-EXP(-s_RadSpec!AZ15*s_t_b)))/(s_P*s_RadSpec!AZ15))),0)</f>
        <v>2.6824597822007652</v>
      </c>
      <c r="AN15" s="108">
        <f>IFERROR(IF(d_Bv!O15=0,0,((s_Ir*s_F*s_MLF_okra*(1-EXP(-s_RadSpec!AZ15*s_t_b)))/(s_P*s_RadSpec!AZ15))),0)</f>
        <v>2.6824597822007652</v>
      </c>
      <c r="AO15" s="108">
        <f>IFERROR(IF(d_Bv!P15=0,0,((s_Ir*s_F*s_MLF_onion*(1-EXP(-s_RadSpec!AZ15*s_t_b)))/(s_P*s_RadSpec!AZ15))),0)</f>
        <v>2.6824597822007652</v>
      </c>
      <c r="AP15" s="108">
        <f>IFERROR(IF(d_Bv!Q15=0,0,((s_Ir*s_F*s_MLF_peach*(1-EXP(-s_RadSpec!AZ15*s_t_b)))/(s_P*s_RadSpec!AZ15))),0)</f>
        <v>2.6824597822007652</v>
      </c>
      <c r="AQ15" s="108">
        <f>IFERROR(IF(d_Bv!R15=0,0,((s_Ir*s_F*s_MLF_pear*(1-EXP(-s_RadSpec!AZ15*s_t_b)))/(s_P*s_RadSpec!AZ15))),0)</f>
        <v>2.6824597822007652</v>
      </c>
      <c r="AR15" s="108">
        <f>IFERROR(IF(d_Bv!S15=0,0,((s_Ir*s_F*s_MLF_peas*(1-EXP(-s_RadSpec!AZ15*s_t_b)))/(s_P*s_RadSpec!AZ15))),0)</f>
        <v>2.6824597822007652</v>
      </c>
      <c r="AS15" s="108">
        <f>IFERROR(IF(d_Bv!T15=0,0,((s_Ir*s_F*s_MLF_peppers*(1-EXP(-s_RadSpec!AZ15*s_t_b)))/(s_P*s_RadSpec!AZ15))),0)</f>
        <v>2.6824597822007652</v>
      </c>
      <c r="AT15" s="108">
        <f>IFERROR(IF(d_Bv!U15=0,0,((s_Ir*s_F*s_MLF_potato*(1-EXP(-s_RadSpec!AZ15*s_t_b)))/(s_P*s_RadSpec!AZ15))),0)</f>
        <v>2.6824597822007652</v>
      </c>
      <c r="AU15" s="108">
        <f>IFERROR(IF(d_Bv!V15=0,0,((s_Ir*s_F*s_MLF_pumpkin*(1-EXP(-s_RadSpec!AZ15*s_t_b)))/(s_P*s_RadSpec!AZ15))),0)</f>
        <v>2.6824597822007652</v>
      </c>
      <c r="AV15" s="108">
        <f>IFERROR(IF(d_Bv!W15=0,0,((s_Ir*s_F*s_MLF_snap_bean*(1-EXP(-s_RadSpec!AZ15*s_t_b)))/(s_P*s_RadSpec!AZ15))),0)</f>
        <v>2.6824597822007652</v>
      </c>
      <c r="AW15" s="108">
        <f>IFERROR(IF(d_Bv!X15=0,0,((s_Ir*s_F*s_MLF_strawberry*(1-EXP(-s_RadSpec!AZ15*s_t_b)))/(s_P*s_RadSpec!AZ15))),0)</f>
        <v>2.6824597822007652</v>
      </c>
      <c r="AX15" s="108">
        <f>IFERROR(IF(d_Bv!Y15=0,0,((s_Ir*s_F*s_MLF_tomato*(1-EXP(-s_RadSpec!AZ15*s_t_b)))/(s_P*s_RadSpec!AZ15))),0)</f>
        <v>2.6824597822007652</v>
      </c>
      <c r="AY15" s="108">
        <f>IFERROR(IF(d_Bv!Z15=0,0,((s_Ir*s_F*s_MLF_rice*(1-EXP(-s_RadSpec!AZ15*s_t_b)))/(s_P*s_RadSpec!AZ15))),0)</f>
        <v>2.6824597822007652</v>
      </c>
      <c r="AZ15" s="108">
        <f>IFERROR(IF(d_Bv!AA15=0,0,((s_Ir*s_F*s_MLF_cereal*(1-EXP(-s_RadSpec!AZ15*s_t_b)))/(s_P*s_RadSpec!AZ15))),0)</f>
        <v>2.6824597822007652</v>
      </c>
      <c r="BA15" s="108">
        <f>IFERROR(IF(d_Bv!C15=0,0,((s_Ir*s_F*s_I_f*s_T*(1-EXP(-s_RadSpec!BA15*s_t_v)))/(s_Y_v*s_RadSpec!BA15))),0)</f>
        <v>9.0143481925428208</v>
      </c>
      <c r="BB15" s="108">
        <f>IFERROR(IF(d_Bv!D15=0,0,((s_Ir*s_F*s_I_f*s_T*(1-EXP(-s_RadSpec!BA15*s_t_v)))/(s_Y_v*s_RadSpec!BA15))),0)</f>
        <v>9.0143481925428208</v>
      </c>
      <c r="BC15" s="108">
        <f>IFERROR(IF(d_Bv!E15=0,0,((s_Ir*s_F*s_I_f*s_T*(1-EXP(-s_RadSpec!BA15*s_t_v)))/(s_Y_v*s_RadSpec!BA15))),0)</f>
        <v>9.0143481925428208</v>
      </c>
      <c r="BD15" s="108">
        <f>IFERROR(IF(d_Bv!F15=0,0,((s_Ir*s_F*s_I_f*s_T*(1-EXP(-s_RadSpec!BA15*s_t_v)))/(s_Y_v*s_RadSpec!BA15))),0)</f>
        <v>9.0143481925428208</v>
      </c>
      <c r="BE15" s="108">
        <f>IFERROR(IF(d_Bv!G15=0,0,((s_Ir*s_F*s_I_f*s_T*(1-EXP(-s_RadSpec!BA15*s_t_v)))/(s_Y_v*s_RadSpec!BA15))),0)</f>
        <v>9.0143481925428208</v>
      </c>
      <c r="BF15" s="108">
        <f>IFERROR(IF(d_Bv!H15=0,0,((s_Ir*s_F*s_I_f*s_T*(1-EXP(-s_RadSpec!BA15*s_t_v)))/(s_Y_v*s_RadSpec!BA15))),0)</f>
        <v>9.0143481925428208</v>
      </c>
      <c r="BG15" s="108">
        <f>IFERROR(IF(d_Bv!I15=0,0,((s_Ir*s_F*s_I_f*s_T*(1-EXP(-s_RadSpec!BA15*s_t_v)))/(s_Y_v*s_RadSpec!BA15))),0)</f>
        <v>9.0143481925428208</v>
      </c>
      <c r="BH15" s="108">
        <f>IFERROR(IF(d_Bv!J15=0,0,((s_Ir*s_F*s_I_f*s_T*(1-EXP(-s_RadSpec!BA15*s_t_v)))/(s_Y_v*s_RadSpec!BA15))),0)</f>
        <v>9.0143481925428208</v>
      </c>
      <c r="BI15" s="108">
        <f>IFERROR(IF(d_Bv!K15=0,0,((s_Ir*s_F*s_I_f*s_T*(1-EXP(-s_RadSpec!BA15*s_t_v)))/(s_Y_v*s_RadSpec!BA15))),0)</f>
        <v>9.0143481925428208</v>
      </c>
      <c r="BJ15" s="108">
        <f>IFERROR(IF(d_Bv!L15=0,0,((s_Ir*s_F*s_I_f*s_T*(1-EXP(-s_RadSpec!BA15*s_t_v)))/(s_Y_v*s_RadSpec!BA15))),0)</f>
        <v>9.0143481925428208</v>
      </c>
      <c r="BK15" s="108">
        <f>IFERROR(IF(d_Bv!M15=0,0,((s_Ir*s_F*s_I_f*s_T*(1-EXP(-s_RadSpec!BA15*s_t_v)))/(s_Y_v*s_RadSpec!BA15))),0)</f>
        <v>9.0143481925428208</v>
      </c>
      <c r="BL15" s="108">
        <f>IFERROR(IF(d_Bv!N15=0,0,((s_Ir*s_F*s_I_f*s_T*(1-EXP(-s_RadSpec!BA15*s_t_v)))/(s_Y_v*s_RadSpec!BA15))),0)</f>
        <v>9.0143481925428208</v>
      </c>
      <c r="BM15" s="108">
        <f>IFERROR(IF(d_Bv!O15=0,0,((s_Ir*s_F*s_I_f*s_T*(1-EXP(-s_RadSpec!BA15*s_t_v)))/(s_Y_v*s_RadSpec!BA15))),0)</f>
        <v>9.0143481925428208</v>
      </c>
      <c r="BN15" s="108">
        <f>IFERROR(IF(d_Bv!P15=0,0,((s_Ir*s_F*s_I_f*s_T*(1-EXP(-s_RadSpec!BA15*s_t_v)))/(s_Y_v*s_RadSpec!BA15))),0)</f>
        <v>9.0143481925428208</v>
      </c>
      <c r="BO15" s="108">
        <f>IFERROR(IF(d_Bv!Q15=0,0,((s_Ir*s_F*s_I_f*s_T*(1-EXP(-s_RadSpec!BA15*s_t_v)))/(s_Y_v*s_RadSpec!BA15))),0)</f>
        <v>9.0143481925428208</v>
      </c>
      <c r="BP15" s="108">
        <f>IFERROR(IF(d_Bv!R15=0,0,((s_Ir*s_F*s_I_f*s_T*(1-EXP(-s_RadSpec!BA15*s_t_v)))/(s_Y_v*s_RadSpec!BA15))),0)</f>
        <v>9.0143481925428208</v>
      </c>
      <c r="BQ15" s="108">
        <f>IFERROR(IF(d_Bv!S15=0,0,((s_Ir*s_F*s_I_f*s_T*(1-EXP(-s_RadSpec!BA15*s_t_v)))/(s_Y_v*s_RadSpec!BA15))),0)</f>
        <v>9.0143481925428208</v>
      </c>
      <c r="BR15" s="108">
        <f>IFERROR(IF(d_Bv!T15=0,0,((s_Ir*s_F*s_I_f*s_T*(1-EXP(-s_RadSpec!BA15*s_t_v)))/(s_Y_v*s_RadSpec!BA15))),0)</f>
        <v>9.0143481925428208</v>
      </c>
      <c r="BS15" s="108">
        <f>IFERROR(IF(d_Bv!U15=0,0,((s_Ir*s_F*s_I_f*s_T*(1-EXP(-s_RadSpec!BA15*s_t_v)))/(s_Y_v*s_RadSpec!BA15))),0)</f>
        <v>9.0143481925428208</v>
      </c>
      <c r="BT15" s="108">
        <f>IFERROR(IF(d_Bv!V15=0,0,((s_Ir*s_F*s_I_f*s_T*(1-EXP(-s_RadSpec!BA15*s_t_v)))/(s_Y_v*s_RadSpec!BA15))),0)</f>
        <v>9.0143481925428208</v>
      </c>
      <c r="BU15" s="108">
        <f>IFERROR(IF(d_Bv!W15=0,0,((s_Ir*s_F*s_I_f*s_T*(1-EXP(-s_RadSpec!BA15*s_t_v)))/(s_Y_v*s_RadSpec!BA15))),0)</f>
        <v>9.0143481925428208</v>
      </c>
      <c r="BV15" s="108">
        <f>IFERROR(IF(d_Bv!X15=0,0,((s_Ir*s_F*s_I_f*s_T*(1-EXP(-s_RadSpec!BA15*s_t_v)))/(s_Y_v*s_RadSpec!BA15))),0)</f>
        <v>9.0143481925428208</v>
      </c>
      <c r="BW15" s="108">
        <f>IFERROR(IF(d_Bv!Y15=0,0,((s_Ir*s_F*s_I_f*s_T*(1-EXP(-s_RadSpec!BA15*s_t_v)))/(s_Y_v*s_RadSpec!BA15))),0)</f>
        <v>9.0143481925428208</v>
      </c>
      <c r="BX15" s="108">
        <f>IFERROR(IF(d_Bv!Z15=0,0,((s_Ir*s_F*s_I_f*s_T*(1-EXP(-s_RadSpec!BA15*s_t_v)))/(s_Y_v*s_RadSpec!BA15))),0)</f>
        <v>9.0143481925428208</v>
      </c>
      <c r="BY15" s="108">
        <f>IFERROR(IF(d_Bv!AA15=0,0,((s_Ir*s_F*s_I_f*s_T*(1-EXP(-s_RadSpec!BA15*s_t_v)))/(s_Y_v*s_RadSpec!BA15))),0)</f>
        <v>9.0143481925428208</v>
      </c>
    </row>
    <row r="16" spans="1:77" x14ac:dyDescent="0.25">
      <c r="A16" s="44" t="s">
        <v>14</v>
      </c>
      <c r="B16" s="42" t="s">
        <v>1057</v>
      </c>
      <c r="C16" s="108">
        <f>IFERROR(IF(d_Bv!C16=0,0,((s_Ir*s_F*d_Bv!C16*(1-EXP(-s_RadSpec!$AZ16*s_t_b)))/(s_P*s_RadSpec!$AZ16))),0)</f>
        <v>1.9870072460746409</v>
      </c>
      <c r="D16" s="108">
        <f>IFERROR(IF(d_Bv!D16=0,0,((s_Ir*s_F*d_Bv!D16*(1-EXP(-s_RadSpec!AZ16*s_t_b)))/(s_P*s_RadSpec!AZ16))),0)</f>
        <v>15.896057968597127</v>
      </c>
      <c r="E16" s="108">
        <f>IFERROR(IF(d_Bv!E16=0,0,((s_Ir*s_F*d_Bv!E16*(1-EXP(-s_RadSpec!AZ16*s_t_b)))/(s_P*s_RadSpec!AZ16))),0)</f>
        <v>2.9805108691119608</v>
      </c>
      <c r="F16" s="108">
        <f>IFERROR(IF(d_Bv!F16=0,0,((s_Ir*s_F*d_Bv!F16*(1-EXP(-s_RadSpec!AZ16*s_t_b)))/(s_P*s_RadSpec!AZ16))),0)</f>
        <v>1.9870072460746409</v>
      </c>
      <c r="G16" s="108">
        <f>IFERROR(IF(d_Bv!G16=0,0,((s_Ir*s_F*d_Bv!G16*(1-EXP(-s_RadSpec!AZ16*s_t_b)))/(s_P*s_RadSpec!AZ16))),0)</f>
        <v>2.9805108691119608</v>
      </c>
      <c r="H16" s="108">
        <f>IFERROR(IF(d_Bv!H16=0,0,((s_Ir*s_F*d_Bv!H16*(1-EXP(-s_RadSpec!AZ16*s_t_b)))/(s_P*s_RadSpec!AZ16))),0)</f>
        <v>15.896057968597127</v>
      </c>
      <c r="I16" s="108">
        <f>IFERROR(IF(d_Bv!I16=0,0,((s_Ir*s_F*d_Bv!I16*(1-EXP(-s_RadSpec!AZ16*s_t_b)))/(s_P*s_RadSpec!AZ16))),0)</f>
        <v>2.9805108691119608</v>
      </c>
      <c r="J16" s="108">
        <f>IFERROR(IF(d_Bv!J16=0,0,((s_Ir*s_F*d_Bv!J16*(1-EXP(-s_RadSpec!AZ16*s_t_b)))/(s_P*s_RadSpec!AZ16))),0)</f>
        <v>1.9870072460746409</v>
      </c>
      <c r="K16" s="108">
        <f>IFERROR(IF(d_Bv!K16=0,0,((s_Ir*s_F*d_Bv!K16*(1-EXP(-s_RadSpec!AZ16*s_t_b)))/(s_P*s_RadSpec!AZ16))),0)</f>
        <v>0.23844086952895688</v>
      </c>
      <c r="L16" s="108">
        <f>IFERROR(IF(d_Bv!L16=0,0,((s_Ir*s_F*d_Bv!L16*(1-EXP(-s_RadSpec!AZ16*s_t_b)))/(s_P*s_RadSpec!AZ16))),0)</f>
        <v>2.9805108691119608</v>
      </c>
      <c r="M16" s="108">
        <f>IFERROR(IF(d_Bv!M16=0,0,((s_Ir*s_F*d_Bv!M16*(1-EXP(-s_RadSpec!AZ16*s_t_b)))/(s_P*s_RadSpec!AZ16))),0)</f>
        <v>15.896057968597127</v>
      </c>
      <c r="N16" s="108">
        <f>IFERROR(IF(d_Bv!N16=0,0,((s_Ir*s_F*d_Bv!N16*(1-EXP(-s_RadSpec!AZ16*s_t_b)))/(s_P*s_RadSpec!AZ16))),0)</f>
        <v>1.0531138404195597</v>
      </c>
      <c r="O16" s="108">
        <f>IFERROR(IF(d_Bv!O16=0,0,((s_Ir*s_F*d_Bv!O16*(1-EXP(-s_RadSpec!AZ16*s_t_b)))/(s_P*s_RadSpec!AZ16))),0)</f>
        <v>2.9805108691119608</v>
      </c>
      <c r="P16" s="108">
        <f>IFERROR(IF(d_Bv!P16=0,0,((s_Ir*s_F*d_Bv!P16*(1-EXP(-s_RadSpec!AZ16*s_t_b)))/(s_P*s_RadSpec!AZ16))),0)</f>
        <v>2.9805108691119608</v>
      </c>
      <c r="Q16" s="108">
        <f>IFERROR(IF(d_Bv!Q16=0,0,((s_Ir*s_F*d_Bv!Q16*(1-EXP(-s_RadSpec!AZ16*s_t_b)))/(s_P*s_RadSpec!AZ16))),0)</f>
        <v>1.9870072460746409</v>
      </c>
      <c r="R16" s="108">
        <f>IFERROR(IF(d_Bv!R16=0,0,((s_Ir*s_F*d_Bv!R16*(1-EXP(-s_RadSpec!AZ16*s_t_b)))/(s_P*s_RadSpec!AZ16))),0)</f>
        <v>1.9870072460746409</v>
      </c>
      <c r="S16" s="108">
        <f>IFERROR(IF(d_Bv!S16=0,0,((s_Ir*s_F*d_Bv!S16*(1-EXP(-s_RadSpec!AZ16*s_t_b)))/(s_P*s_RadSpec!AZ16))),0)</f>
        <v>1.0531138404195597</v>
      </c>
      <c r="T16" s="108">
        <f>IFERROR(IF(d_Bv!T16=0,0,((s_Ir*s_F*d_Bv!T16*(1-EXP(-s_RadSpec!AZ16*s_t_b)))/(s_P*s_RadSpec!AZ16))),0)</f>
        <v>2.9805108691119608</v>
      </c>
      <c r="U16" s="108">
        <f>IFERROR(IF(d_Bv!U16=0,0,((s_Ir*s_F*d_Bv!U16*(1-EXP(-s_RadSpec!AZ16*s_t_b)))/(s_P*s_RadSpec!AZ16))),0)</f>
        <v>0.29805108691119608</v>
      </c>
      <c r="V16" s="108">
        <f>IFERROR(IF(d_Bv!V16=0,0,((s_Ir*s_F*d_Bv!V16*(1-EXP(-s_RadSpec!AZ16*s_t_b)))/(s_P*s_RadSpec!AZ16))),0)</f>
        <v>2.9805108691119608</v>
      </c>
      <c r="W16" s="108">
        <f>IFERROR(IF(d_Bv!W16=0,0,((s_Ir*s_F*d_Bv!W16*(1-EXP(-s_RadSpec!AZ16*s_t_b)))/(s_P*s_RadSpec!AZ16))),0)</f>
        <v>1.0531138404195597</v>
      </c>
      <c r="X16" s="108">
        <f>IFERROR(IF(d_Bv!X16=0,0,((s_Ir*s_F*d_Bv!X16*(1-EXP(-s_RadSpec!AZ16*s_t_b)))/(s_P*s_RadSpec!AZ16))),0)</f>
        <v>1.9870072460746409</v>
      </c>
      <c r="Y16" s="108">
        <f>IFERROR(IF(d_Bv!Y16=0,0,((s_Ir*s_F*d_Bv!Y16*(1-EXP(-s_RadSpec!AZ16*s_t_b)))/(s_P*s_RadSpec!AZ16))),0)</f>
        <v>2.9805108691119608</v>
      </c>
      <c r="Z16" s="108">
        <f>IFERROR(IF(d_Bv!Z16=0,0,((s_Ir*s_F*d_Bv!Z16*(1-EXP(-s_RadSpec!AZ16*s_t_b)))/(s_P*s_RadSpec!AZ16))),0)</f>
        <v>5.7623210136164581E-2</v>
      </c>
      <c r="AA16" s="108">
        <f>IFERROR(IF(d_Bv!AA16=0,0,((s_Ir*s_F*d_Bv!AA16*(1-EXP(-s_RadSpec!AZ16*s_t_b)))/(s_P*s_RadSpec!AZ16))),0)</f>
        <v>2.1857079706821048</v>
      </c>
      <c r="AB16" s="108">
        <f>IFERROR(IF(d_Bv!C16=0,0,((s_Ir*s_F*s_MLF_apple*(1-EXP(-s_RadSpec!AZ16*s_t_b)))/(s_P*s_RadSpec!AZ16))),0)</f>
        <v>2.6824597822007652</v>
      </c>
      <c r="AC16" s="108">
        <f>IFERROR(IF(d_Bv!D16=0,0,((s_Ir*s_F*s_MLF_asparagus*(1-EXP(-s_RadSpec!AZ16*s_t_b)))/(s_P*s_RadSpec!AZ16))),0)</f>
        <v>2.6824597822007652</v>
      </c>
      <c r="AD16" s="108">
        <f>IFERROR(IF(d_Bv!E16=0,0,((s_Ir*s_F*s_MLF_beet*(1-EXP(-s_RadSpec!AZ16*s_t_b)))/(s_P*s_RadSpec!AZ16))),0)</f>
        <v>2.6824597822007652</v>
      </c>
      <c r="AE16" s="108">
        <f>IFERROR(IF(d_Bv!F16=0,0,((s_Ir*s_F*s_MLF_berries*(1-EXP(-s_RadSpec!AZ16*s_t_b)))/(s_P*s_RadSpec!AZ16))),0)</f>
        <v>2.6824597822007652</v>
      </c>
      <c r="AF16" s="108">
        <f>IFERROR(IF(d_Bv!G16=0,0,((s_Ir*s_F*s_MLF_broccoli*(1-EXP(-s_RadSpec!AZ16*s_t_b)))/(s_P*s_RadSpec!AZ16))),0)</f>
        <v>2.6824597822007652</v>
      </c>
      <c r="AG16" s="108">
        <f>IFERROR(IF(d_Bv!H16=0,0,((s_Ir*s_F*s_MLF_cabbage*(1-EXP(-s_RadSpec!AZ16*s_t_b)))/(s_P*s_RadSpec!AZ16))),0)</f>
        <v>2.6824597822007652</v>
      </c>
      <c r="AH16" s="108">
        <f>IFERROR(IF(d_Bv!I16=0,0,((s_Ir*s_F*s_MLF_carrot*(1-EXP(-s_RadSpec!AZ16*s_t_b)))/(s_P*s_RadSpec!AZ16))),0)</f>
        <v>2.6824597822007652</v>
      </c>
      <c r="AI16" s="108">
        <f>IFERROR(IF(d_Bv!J16=0,0,((s_Ir*s_F*s_MLF_citrus*(1-EXP(-s_RadSpec!AZ16*s_t_b)))/(s_P*s_RadSpec!AZ16))),0)</f>
        <v>2.6824597822007652</v>
      </c>
      <c r="AJ16" s="108">
        <f>IFERROR(IF(d_Bv!K16=0,0,((s_Ir*s_F*s_MLF_corn*(1-EXP(-s_RadSpec!AZ16*s_t_b)))/(s_P*s_RadSpec!AZ16))),0)</f>
        <v>2.6824597822007652</v>
      </c>
      <c r="AK16" s="108">
        <f>IFERROR(IF(d_Bv!L16=0,0,((s_Ir*s_F*s_MLF_cucumber*(1-EXP(-s_RadSpec!AZ16*s_t_b)))/(s_P*s_RadSpec!AZ16))),0)</f>
        <v>2.6824597822007652</v>
      </c>
      <c r="AL16" s="108">
        <f>IFERROR(IF(d_Bv!M16=0,0,((s_Ir*s_F*s_MLF_lettuce*(1-EXP(-s_RadSpec!AZ16*s_t_b)))/(s_P*s_RadSpec!AZ16))),0)</f>
        <v>2.6824597822007652</v>
      </c>
      <c r="AM16" s="108">
        <f>IFERROR(IF(d_Bv!N16=0,0,((s_Ir*s_F*s_MLF_lima_bean*(1-EXP(-s_RadSpec!AZ16*s_t_b)))/(s_P*s_RadSpec!AZ16))),0)</f>
        <v>2.6824597822007652</v>
      </c>
      <c r="AN16" s="108">
        <f>IFERROR(IF(d_Bv!O16=0,0,((s_Ir*s_F*s_MLF_okra*(1-EXP(-s_RadSpec!AZ16*s_t_b)))/(s_P*s_RadSpec!AZ16))),0)</f>
        <v>2.6824597822007652</v>
      </c>
      <c r="AO16" s="108">
        <f>IFERROR(IF(d_Bv!P16=0,0,((s_Ir*s_F*s_MLF_onion*(1-EXP(-s_RadSpec!AZ16*s_t_b)))/(s_P*s_RadSpec!AZ16))),0)</f>
        <v>2.6824597822007652</v>
      </c>
      <c r="AP16" s="108">
        <f>IFERROR(IF(d_Bv!Q16=0,0,((s_Ir*s_F*s_MLF_peach*(1-EXP(-s_RadSpec!AZ16*s_t_b)))/(s_P*s_RadSpec!AZ16))),0)</f>
        <v>2.6824597822007652</v>
      </c>
      <c r="AQ16" s="108">
        <f>IFERROR(IF(d_Bv!R16=0,0,((s_Ir*s_F*s_MLF_pear*(1-EXP(-s_RadSpec!AZ16*s_t_b)))/(s_P*s_RadSpec!AZ16))),0)</f>
        <v>2.6824597822007652</v>
      </c>
      <c r="AR16" s="108">
        <f>IFERROR(IF(d_Bv!S16=0,0,((s_Ir*s_F*s_MLF_peas*(1-EXP(-s_RadSpec!AZ16*s_t_b)))/(s_P*s_RadSpec!AZ16))),0)</f>
        <v>2.6824597822007652</v>
      </c>
      <c r="AS16" s="108">
        <f>IFERROR(IF(d_Bv!T16=0,0,((s_Ir*s_F*s_MLF_peppers*(1-EXP(-s_RadSpec!AZ16*s_t_b)))/(s_P*s_RadSpec!AZ16))),0)</f>
        <v>2.6824597822007652</v>
      </c>
      <c r="AT16" s="108">
        <f>IFERROR(IF(d_Bv!U16=0,0,((s_Ir*s_F*s_MLF_potato*(1-EXP(-s_RadSpec!AZ16*s_t_b)))/(s_P*s_RadSpec!AZ16))),0)</f>
        <v>2.6824597822007652</v>
      </c>
      <c r="AU16" s="108">
        <f>IFERROR(IF(d_Bv!V16=0,0,((s_Ir*s_F*s_MLF_pumpkin*(1-EXP(-s_RadSpec!AZ16*s_t_b)))/(s_P*s_RadSpec!AZ16))),0)</f>
        <v>2.6824597822007652</v>
      </c>
      <c r="AV16" s="108">
        <f>IFERROR(IF(d_Bv!W16=0,0,((s_Ir*s_F*s_MLF_snap_bean*(1-EXP(-s_RadSpec!AZ16*s_t_b)))/(s_P*s_RadSpec!AZ16))),0)</f>
        <v>2.6824597822007652</v>
      </c>
      <c r="AW16" s="108">
        <f>IFERROR(IF(d_Bv!X16=0,0,((s_Ir*s_F*s_MLF_strawberry*(1-EXP(-s_RadSpec!AZ16*s_t_b)))/(s_P*s_RadSpec!AZ16))),0)</f>
        <v>2.6824597822007652</v>
      </c>
      <c r="AX16" s="108">
        <f>IFERROR(IF(d_Bv!Y16=0,0,((s_Ir*s_F*s_MLF_tomato*(1-EXP(-s_RadSpec!AZ16*s_t_b)))/(s_P*s_RadSpec!AZ16))),0)</f>
        <v>2.6824597822007652</v>
      </c>
      <c r="AY16" s="108">
        <f>IFERROR(IF(d_Bv!Z16=0,0,((s_Ir*s_F*s_MLF_rice*(1-EXP(-s_RadSpec!AZ16*s_t_b)))/(s_P*s_RadSpec!AZ16))),0)</f>
        <v>2.6824597822007652</v>
      </c>
      <c r="AZ16" s="108">
        <f>IFERROR(IF(d_Bv!AA16=0,0,((s_Ir*s_F*s_MLF_cereal*(1-EXP(-s_RadSpec!AZ16*s_t_b)))/(s_P*s_RadSpec!AZ16))),0)</f>
        <v>2.6824597822007652</v>
      </c>
      <c r="BA16" s="108">
        <f>IFERROR(IF(d_Bv!C16=0,0,((s_Ir*s_F*s_I_f*s_T*(1-EXP(-s_RadSpec!BA16*s_t_v)))/(s_Y_v*s_RadSpec!BA16))),0)</f>
        <v>9.0143481925428208</v>
      </c>
      <c r="BB16" s="108">
        <f>IFERROR(IF(d_Bv!D16=0,0,((s_Ir*s_F*s_I_f*s_T*(1-EXP(-s_RadSpec!BA16*s_t_v)))/(s_Y_v*s_RadSpec!BA16))),0)</f>
        <v>9.0143481925428208</v>
      </c>
      <c r="BC16" s="108">
        <f>IFERROR(IF(d_Bv!E16=0,0,((s_Ir*s_F*s_I_f*s_T*(1-EXP(-s_RadSpec!BA16*s_t_v)))/(s_Y_v*s_RadSpec!BA16))),0)</f>
        <v>9.0143481925428208</v>
      </c>
      <c r="BD16" s="108">
        <f>IFERROR(IF(d_Bv!F16=0,0,((s_Ir*s_F*s_I_f*s_T*(1-EXP(-s_RadSpec!BA16*s_t_v)))/(s_Y_v*s_RadSpec!BA16))),0)</f>
        <v>9.0143481925428208</v>
      </c>
      <c r="BE16" s="108">
        <f>IFERROR(IF(d_Bv!G16=0,0,((s_Ir*s_F*s_I_f*s_T*(1-EXP(-s_RadSpec!BA16*s_t_v)))/(s_Y_v*s_RadSpec!BA16))),0)</f>
        <v>9.0143481925428208</v>
      </c>
      <c r="BF16" s="108">
        <f>IFERROR(IF(d_Bv!H16=0,0,((s_Ir*s_F*s_I_f*s_T*(1-EXP(-s_RadSpec!BA16*s_t_v)))/(s_Y_v*s_RadSpec!BA16))),0)</f>
        <v>9.0143481925428208</v>
      </c>
      <c r="BG16" s="108">
        <f>IFERROR(IF(d_Bv!I16=0,0,((s_Ir*s_F*s_I_f*s_T*(1-EXP(-s_RadSpec!BA16*s_t_v)))/(s_Y_v*s_RadSpec!BA16))),0)</f>
        <v>9.0143481925428208</v>
      </c>
      <c r="BH16" s="108">
        <f>IFERROR(IF(d_Bv!J16=0,0,((s_Ir*s_F*s_I_f*s_T*(1-EXP(-s_RadSpec!BA16*s_t_v)))/(s_Y_v*s_RadSpec!BA16))),0)</f>
        <v>9.0143481925428208</v>
      </c>
      <c r="BI16" s="108">
        <f>IFERROR(IF(d_Bv!K16=0,0,((s_Ir*s_F*s_I_f*s_T*(1-EXP(-s_RadSpec!BA16*s_t_v)))/(s_Y_v*s_RadSpec!BA16))),0)</f>
        <v>9.0143481925428208</v>
      </c>
      <c r="BJ16" s="108">
        <f>IFERROR(IF(d_Bv!L16=0,0,((s_Ir*s_F*s_I_f*s_T*(1-EXP(-s_RadSpec!BA16*s_t_v)))/(s_Y_v*s_RadSpec!BA16))),0)</f>
        <v>9.0143481925428208</v>
      </c>
      <c r="BK16" s="108">
        <f>IFERROR(IF(d_Bv!M16=0,0,((s_Ir*s_F*s_I_f*s_T*(1-EXP(-s_RadSpec!BA16*s_t_v)))/(s_Y_v*s_RadSpec!BA16))),0)</f>
        <v>9.0143481925428208</v>
      </c>
      <c r="BL16" s="108">
        <f>IFERROR(IF(d_Bv!N16=0,0,((s_Ir*s_F*s_I_f*s_T*(1-EXP(-s_RadSpec!BA16*s_t_v)))/(s_Y_v*s_RadSpec!BA16))),0)</f>
        <v>9.0143481925428208</v>
      </c>
      <c r="BM16" s="108">
        <f>IFERROR(IF(d_Bv!O16=0,0,((s_Ir*s_F*s_I_f*s_T*(1-EXP(-s_RadSpec!BA16*s_t_v)))/(s_Y_v*s_RadSpec!BA16))),0)</f>
        <v>9.0143481925428208</v>
      </c>
      <c r="BN16" s="108">
        <f>IFERROR(IF(d_Bv!P16=0,0,((s_Ir*s_F*s_I_f*s_T*(1-EXP(-s_RadSpec!BA16*s_t_v)))/(s_Y_v*s_RadSpec!BA16))),0)</f>
        <v>9.0143481925428208</v>
      </c>
      <c r="BO16" s="108">
        <f>IFERROR(IF(d_Bv!Q16=0,0,((s_Ir*s_F*s_I_f*s_T*(1-EXP(-s_RadSpec!BA16*s_t_v)))/(s_Y_v*s_RadSpec!BA16))),0)</f>
        <v>9.0143481925428208</v>
      </c>
      <c r="BP16" s="108">
        <f>IFERROR(IF(d_Bv!R16=0,0,((s_Ir*s_F*s_I_f*s_T*(1-EXP(-s_RadSpec!BA16*s_t_v)))/(s_Y_v*s_RadSpec!BA16))),0)</f>
        <v>9.0143481925428208</v>
      </c>
      <c r="BQ16" s="108">
        <f>IFERROR(IF(d_Bv!S16=0,0,((s_Ir*s_F*s_I_f*s_T*(1-EXP(-s_RadSpec!BA16*s_t_v)))/(s_Y_v*s_RadSpec!BA16))),0)</f>
        <v>9.0143481925428208</v>
      </c>
      <c r="BR16" s="108">
        <f>IFERROR(IF(d_Bv!T16=0,0,((s_Ir*s_F*s_I_f*s_T*(1-EXP(-s_RadSpec!BA16*s_t_v)))/(s_Y_v*s_RadSpec!BA16))),0)</f>
        <v>9.0143481925428208</v>
      </c>
      <c r="BS16" s="108">
        <f>IFERROR(IF(d_Bv!U16=0,0,((s_Ir*s_F*s_I_f*s_T*(1-EXP(-s_RadSpec!BA16*s_t_v)))/(s_Y_v*s_RadSpec!BA16))),0)</f>
        <v>9.0143481925428208</v>
      </c>
      <c r="BT16" s="108">
        <f>IFERROR(IF(d_Bv!V16=0,0,((s_Ir*s_F*s_I_f*s_T*(1-EXP(-s_RadSpec!BA16*s_t_v)))/(s_Y_v*s_RadSpec!BA16))),0)</f>
        <v>9.0143481925428208</v>
      </c>
      <c r="BU16" s="108">
        <f>IFERROR(IF(d_Bv!W16=0,0,((s_Ir*s_F*s_I_f*s_T*(1-EXP(-s_RadSpec!BA16*s_t_v)))/(s_Y_v*s_RadSpec!BA16))),0)</f>
        <v>9.0143481925428208</v>
      </c>
      <c r="BV16" s="108">
        <f>IFERROR(IF(d_Bv!X16=0,0,((s_Ir*s_F*s_I_f*s_T*(1-EXP(-s_RadSpec!BA16*s_t_v)))/(s_Y_v*s_RadSpec!BA16))),0)</f>
        <v>9.0143481925428208</v>
      </c>
      <c r="BW16" s="108">
        <f>IFERROR(IF(d_Bv!Y16=0,0,((s_Ir*s_F*s_I_f*s_T*(1-EXP(-s_RadSpec!BA16*s_t_v)))/(s_Y_v*s_RadSpec!BA16))),0)</f>
        <v>9.0143481925428208</v>
      </c>
      <c r="BX16" s="108">
        <f>IFERROR(IF(d_Bv!Z16=0,0,((s_Ir*s_F*s_I_f*s_T*(1-EXP(-s_RadSpec!BA16*s_t_v)))/(s_Y_v*s_RadSpec!BA16))),0)</f>
        <v>9.0143481925428208</v>
      </c>
      <c r="BY16" s="108">
        <f>IFERROR(IF(d_Bv!AA16=0,0,((s_Ir*s_F*s_I_f*s_T*(1-EXP(-s_RadSpec!BA16*s_t_v)))/(s_Y_v*s_RadSpec!BA16))),0)</f>
        <v>9.0143481925428208</v>
      </c>
    </row>
    <row r="17" spans="1:77" x14ac:dyDescent="0.25">
      <c r="A17" s="44" t="s">
        <v>15</v>
      </c>
      <c r="B17" s="42" t="s">
        <v>1057</v>
      </c>
      <c r="C17" s="108">
        <f>IFERROR(IF(d_Bv!C17=0,0,((s_Ir*s_F*d_Bv!C17*(1-EXP(-s_RadSpec!$AZ17*s_t_b)))/(s_P*s_RadSpec!$AZ17))),0)</f>
        <v>1.9870072460746409</v>
      </c>
      <c r="D17" s="108">
        <f>IFERROR(IF(d_Bv!D17=0,0,((s_Ir*s_F*d_Bv!D17*(1-EXP(-s_RadSpec!AZ17*s_t_b)))/(s_P*s_RadSpec!AZ17))),0)</f>
        <v>15.896057968597127</v>
      </c>
      <c r="E17" s="108">
        <f>IFERROR(IF(d_Bv!E17=0,0,((s_Ir*s_F*d_Bv!E17*(1-EXP(-s_RadSpec!AZ17*s_t_b)))/(s_P*s_RadSpec!AZ17))),0)</f>
        <v>2.9805108691119608</v>
      </c>
      <c r="F17" s="108">
        <f>IFERROR(IF(d_Bv!F17=0,0,((s_Ir*s_F*d_Bv!F17*(1-EXP(-s_RadSpec!AZ17*s_t_b)))/(s_P*s_RadSpec!AZ17))),0)</f>
        <v>1.9870072460746409</v>
      </c>
      <c r="G17" s="108">
        <f>IFERROR(IF(d_Bv!G17=0,0,((s_Ir*s_F*d_Bv!G17*(1-EXP(-s_RadSpec!AZ17*s_t_b)))/(s_P*s_RadSpec!AZ17))),0)</f>
        <v>2.9805108691119608</v>
      </c>
      <c r="H17" s="108">
        <f>IFERROR(IF(d_Bv!H17=0,0,((s_Ir*s_F*d_Bv!H17*(1-EXP(-s_RadSpec!AZ17*s_t_b)))/(s_P*s_RadSpec!AZ17))),0)</f>
        <v>15.896057968597127</v>
      </c>
      <c r="I17" s="108">
        <f>IFERROR(IF(d_Bv!I17=0,0,((s_Ir*s_F*d_Bv!I17*(1-EXP(-s_RadSpec!AZ17*s_t_b)))/(s_P*s_RadSpec!AZ17))),0)</f>
        <v>2.9805108691119608</v>
      </c>
      <c r="J17" s="108">
        <f>IFERROR(IF(d_Bv!J17=0,0,((s_Ir*s_F*d_Bv!J17*(1-EXP(-s_RadSpec!AZ17*s_t_b)))/(s_P*s_RadSpec!AZ17))),0)</f>
        <v>1.9870072460746409</v>
      </c>
      <c r="K17" s="108">
        <f>IFERROR(IF(d_Bv!K17=0,0,((s_Ir*s_F*d_Bv!K17*(1-EXP(-s_RadSpec!AZ17*s_t_b)))/(s_P*s_RadSpec!AZ17))),0)</f>
        <v>0.23844086952895688</v>
      </c>
      <c r="L17" s="108">
        <f>IFERROR(IF(d_Bv!L17=0,0,((s_Ir*s_F*d_Bv!L17*(1-EXP(-s_RadSpec!AZ17*s_t_b)))/(s_P*s_RadSpec!AZ17))),0)</f>
        <v>2.9805108691119608</v>
      </c>
      <c r="M17" s="108">
        <f>IFERROR(IF(d_Bv!M17=0,0,((s_Ir*s_F*d_Bv!M17*(1-EXP(-s_RadSpec!AZ17*s_t_b)))/(s_P*s_RadSpec!AZ17))),0)</f>
        <v>15.896057968597127</v>
      </c>
      <c r="N17" s="108">
        <f>IFERROR(IF(d_Bv!N17=0,0,((s_Ir*s_F*d_Bv!N17*(1-EXP(-s_RadSpec!AZ17*s_t_b)))/(s_P*s_RadSpec!AZ17))),0)</f>
        <v>1.0531138404195597</v>
      </c>
      <c r="O17" s="108">
        <f>IFERROR(IF(d_Bv!O17=0,0,((s_Ir*s_F*d_Bv!O17*(1-EXP(-s_RadSpec!AZ17*s_t_b)))/(s_P*s_RadSpec!AZ17))),0)</f>
        <v>2.9805108691119608</v>
      </c>
      <c r="P17" s="108">
        <f>IFERROR(IF(d_Bv!P17=0,0,((s_Ir*s_F*d_Bv!P17*(1-EXP(-s_RadSpec!AZ17*s_t_b)))/(s_P*s_RadSpec!AZ17))),0)</f>
        <v>2.9805108691119608</v>
      </c>
      <c r="Q17" s="108">
        <f>IFERROR(IF(d_Bv!Q17=0,0,((s_Ir*s_F*d_Bv!Q17*(1-EXP(-s_RadSpec!AZ17*s_t_b)))/(s_P*s_RadSpec!AZ17))),0)</f>
        <v>1.9870072460746409</v>
      </c>
      <c r="R17" s="108">
        <f>IFERROR(IF(d_Bv!R17=0,0,((s_Ir*s_F*d_Bv!R17*(1-EXP(-s_RadSpec!AZ17*s_t_b)))/(s_P*s_RadSpec!AZ17))),0)</f>
        <v>1.9870072460746409</v>
      </c>
      <c r="S17" s="108">
        <f>IFERROR(IF(d_Bv!S17=0,0,((s_Ir*s_F*d_Bv!S17*(1-EXP(-s_RadSpec!AZ17*s_t_b)))/(s_P*s_RadSpec!AZ17))),0)</f>
        <v>1.0531138404195597</v>
      </c>
      <c r="T17" s="108">
        <f>IFERROR(IF(d_Bv!T17=0,0,((s_Ir*s_F*d_Bv!T17*(1-EXP(-s_RadSpec!AZ17*s_t_b)))/(s_P*s_RadSpec!AZ17))),0)</f>
        <v>2.9805108691119608</v>
      </c>
      <c r="U17" s="108">
        <f>IFERROR(IF(d_Bv!U17=0,0,((s_Ir*s_F*d_Bv!U17*(1-EXP(-s_RadSpec!AZ17*s_t_b)))/(s_P*s_RadSpec!AZ17))),0)</f>
        <v>0.29805108691119608</v>
      </c>
      <c r="V17" s="108">
        <f>IFERROR(IF(d_Bv!V17=0,0,((s_Ir*s_F*d_Bv!V17*(1-EXP(-s_RadSpec!AZ17*s_t_b)))/(s_P*s_RadSpec!AZ17))),0)</f>
        <v>2.9805108691119608</v>
      </c>
      <c r="W17" s="108">
        <f>IFERROR(IF(d_Bv!W17=0,0,((s_Ir*s_F*d_Bv!W17*(1-EXP(-s_RadSpec!AZ17*s_t_b)))/(s_P*s_RadSpec!AZ17))),0)</f>
        <v>1.0531138404195597</v>
      </c>
      <c r="X17" s="108">
        <f>IFERROR(IF(d_Bv!X17=0,0,((s_Ir*s_F*d_Bv!X17*(1-EXP(-s_RadSpec!AZ17*s_t_b)))/(s_P*s_RadSpec!AZ17))),0)</f>
        <v>1.9870072460746409</v>
      </c>
      <c r="Y17" s="108">
        <f>IFERROR(IF(d_Bv!Y17=0,0,((s_Ir*s_F*d_Bv!Y17*(1-EXP(-s_RadSpec!AZ17*s_t_b)))/(s_P*s_RadSpec!AZ17))),0)</f>
        <v>2.9805108691119608</v>
      </c>
      <c r="Z17" s="108">
        <f>IFERROR(IF(d_Bv!Z17=0,0,((s_Ir*s_F*d_Bv!Z17*(1-EXP(-s_RadSpec!AZ17*s_t_b)))/(s_P*s_RadSpec!AZ17))),0)</f>
        <v>5.7623210136164581E-2</v>
      </c>
      <c r="AA17" s="108">
        <f>IFERROR(IF(d_Bv!AA17=0,0,((s_Ir*s_F*d_Bv!AA17*(1-EXP(-s_RadSpec!AZ17*s_t_b)))/(s_P*s_RadSpec!AZ17))),0)</f>
        <v>2.1857079706821048</v>
      </c>
      <c r="AB17" s="108">
        <f>IFERROR(IF(d_Bv!C17=0,0,((s_Ir*s_F*s_MLF_apple*(1-EXP(-s_RadSpec!AZ17*s_t_b)))/(s_P*s_RadSpec!AZ17))),0)</f>
        <v>2.6824597822007652</v>
      </c>
      <c r="AC17" s="108">
        <f>IFERROR(IF(d_Bv!D17=0,0,((s_Ir*s_F*s_MLF_asparagus*(1-EXP(-s_RadSpec!AZ17*s_t_b)))/(s_P*s_RadSpec!AZ17))),0)</f>
        <v>2.6824597822007652</v>
      </c>
      <c r="AD17" s="108">
        <f>IFERROR(IF(d_Bv!E17=0,0,((s_Ir*s_F*s_MLF_beet*(1-EXP(-s_RadSpec!AZ17*s_t_b)))/(s_P*s_RadSpec!AZ17))),0)</f>
        <v>2.6824597822007652</v>
      </c>
      <c r="AE17" s="108">
        <f>IFERROR(IF(d_Bv!F17=0,0,((s_Ir*s_F*s_MLF_berries*(1-EXP(-s_RadSpec!AZ17*s_t_b)))/(s_P*s_RadSpec!AZ17))),0)</f>
        <v>2.6824597822007652</v>
      </c>
      <c r="AF17" s="108">
        <f>IFERROR(IF(d_Bv!G17=0,0,((s_Ir*s_F*s_MLF_broccoli*(1-EXP(-s_RadSpec!AZ17*s_t_b)))/(s_P*s_RadSpec!AZ17))),0)</f>
        <v>2.6824597822007652</v>
      </c>
      <c r="AG17" s="108">
        <f>IFERROR(IF(d_Bv!H17=0,0,((s_Ir*s_F*s_MLF_cabbage*(1-EXP(-s_RadSpec!AZ17*s_t_b)))/(s_P*s_RadSpec!AZ17))),0)</f>
        <v>2.6824597822007652</v>
      </c>
      <c r="AH17" s="108">
        <f>IFERROR(IF(d_Bv!I17=0,0,((s_Ir*s_F*s_MLF_carrot*(1-EXP(-s_RadSpec!AZ17*s_t_b)))/(s_P*s_RadSpec!AZ17))),0)</f>
        <v>2.6824597822007652</v>
      </c>
      <c r="AI17" s="108">
        <f>IFERROR(IF(d_Bv!J17=0,0,((s_Ir*s_F*s_MLF_citrus*(1-EXP(-s_RadSpec!AZ17*s_t_b)))/(s_P*s_RadSpec!AZ17))),0)</f>
        <v>2.6824597822007652</v>
      </c>
      <c r="AJ17" s="108">
        <f>IFERROR(IF(d_Bv!K17=0,0,((s_Ir*s_F*s_MLF_corn*(1-EXP(-s_RadSpec!AZ17*s_t_b)))/(s_P*s_RadSpec!AZ17))),0)</f>
        <v>2.6824597822007652</v>
      </c>
      <c r="AK17" s="108">
        <f>IFERROR(IF(d_Bv!L17=0,0,((s_Ir*s_F*s_MLF_cucumber*(1-EXP(-s_RadSpec!AZ17*s_t_b)))/(s_P*s_RadSpec!AZ17))),0)</f>
        <v>2.6824597822007652</v>
      </c>
      <c r="AL17" s="108">
        <f>IFERROR(IF(d_Bv!M17=0,0,((s_Ir*s_F*s_MLF_lettuce*(1-EXP(-s_RadSpec!AZ17*s_t_b)))/(s_P*s_RadSpec!AZ17))),0)</f>
        <v>2.6824597822007652</v>
      </c>
      <c r="AM17" s="108">
        <f>IFERROR(IF(d_Bv!N17=0,0,((s_Ir*s_F*s_MLF_lima_bean*(1-EXP(-s_RadSpec!AZ17*s_t_b)))/(s_P*s_RadSpec!AZ17))),0)</f>
        <v>2.6824597822007652</v>
      </c>
      <c r="AN17" s="108">
        <f>IFERROR(IF(d_Bv!O17=0,0,((s_Ir*s_F*s_MLF_okra*(1-EXP(-s_RadSpec!AZ17*s_t_b)))/(s_P*s_RadSpec!AZ17))),0)</f>
        <v>2.6824597822007652</v>
      </c>
      <c r="AO17" s="108">
        <f>IFERROR(IF(d_Bv!P17=0,0,((s_Ir*s_F*s_MLF_onion*(1-EXP(-s_RadSpec!AZ17*s_t_b)))/(s_P*s_RadSpec!AZ17))),0)</f>
        <v>2.6824597822007652</v>
      </c>
      <c r="AP17" s="108">
        <f>IFERROR(IF(d_Bv!Q17=0,0,((s_Ir*s_F*s_MLF_peach*(1-EXP(-s_RadSpec!AZ17*s_t_b)))/(s_P*s_RadSpec!AZ17))),0)</f>
        <v>2.6824597822007652</v>
      </c>
      <c r="AQ17" s="108">
        <f>IFERROR(IF(d_Bv!R17=0,0,((s_Ir*s_F*s_MLF_pear*(1-EXP(-s_RadSpec!AZ17*s_t_b)))/(s_P*s_RadSpec!AZ17))),0)</f>
        <v>2.6824597822007652</v>
      </c>
      <c r="AR17" s="108">
        <f>IFERROR(IF(d_Bv!S17=0,0,((s_Ir*s_F*s_MLF_peas*(1-EXP(-s_RadSpec!AZ17*s_t_b)))/(s_P*s_RadSpec!AZ17))),0)</f>
        <v>2.6824597822007652</v>
      </c>
      <c r="AS17" s="108">
        <f>IFERROR(IF(d_Bv!T17=0,0,((s_Ir*s_F*s_MLF_peppers*(1-EXP(-s_RadSpec!AZ17*s_t_b)))/(s_P*s_RadSpec!AZ17))),0)</f>
        <v>2.6824597822007652</v>
      </c>
      <c r="AT17" s="108">
        <f>IFERROR(IF(d_Bv!U17=0,0,((s_Ir*s_F*s_MLF_potato*(1-EXP(-s_RadSpec!AZ17*s_t_b)))/(s_P*s_RadSpec!AZ17))),0)</f>
        <v>2.6824597822007652</v>
      </c>
      <c r="AU17" s="108">
        <f>IFERROR(IF(d_Bv!V17=0,0,((s_Ir*s_F*s_MLF_pumpkin*(1-EXP(-s_RadSpec!AZ17*s_t_b)))/(s_P*s_RadSpec!AZ17))),0)</f>
        <v>2.6824597822007652</v>
      </c>
      <c r="AV17" s="108">
        <f>IFERROR(IF(d_Bv!W17=0,0,((s_Ir*s_F*s_MLF_snap_bean*(1-EXP(-s_RadSpec!AZ17*s_t_b)))/(s_P*s_RadSpec!AZ17))),0)</f>
        <v>2.6824597822007652</v>
      </c>
      <c r="AW17" s="108">
        <f>IFERROR(IF(d_Bv!X17=0,0,((s_Ir*s_F*s_MLF_strawberry*(1-EXP(-s_RadSpec!AZ17*s_t_b)))/(s_P*s_RadSpec!AZ17))),0)</f>
        <v>2.6824597822007652</v>
      </c>
      <c r="AX17" s="108">
        <f>IFERROR(IF(d_Bv!Y17=0,0,((s_Ir*s_F*s_MLF_tomato*(1-EXP(-s_RadSpec!AZ17*s_t_b)))/(s_P*s_RadSpec!AZ17))),0)</f>
        <v>2.6824597822007652</v>
      </c>
      <c r="AY17" s="108">
        <f>IFERROR(IF(d_Bv!Z17=0,0,((s_Ir*s_F*s_MLF_rice*(1-EXP(-s_RadSpec!AZ17*s_t_b)))/(s_P*s_RadSpec!AZ17))),0)</f>
        <v>2.6824597822007652</v>
      </c>
      <c r="AZ17" s="108">
        <f>IFERROR(IF(d_Bv!AA17=0,0,((s_Ir*s_F*s_MLF_cereal*(1-EXP(-s_RadSpec!AZ17*s_t_b)))/(s_P*s_RadSpec!AZ17))),0)</f>
        <v>2.6824597822007652</v>
      </c>
      <c r="BA17" s="108">
        <f>IFERROR(IF(d_Bv!C17=0,0,((s_Ir*s_F*s_I_f*s_T*(1-EXP(-s_RadSpec!BA17*s_t_v)))/(s_Y_v*s_RadSpec!BA17))),0)</f>
        <v>9.0143481925428208</v>
      </c>
      <c r="BB17" s="108">
        <f>IFERROR(IF(d_Bv!D17=0,0,((s_Ir*s_F*s_I_f*s_T*(1-EXP(-s_RadSpec!BA17*s_t_v)))/(s_Y_v*s_RadSpec!BA17))),0)</f>
        <v>9.0143481925428208</v>
      </c>
      <c r="BC17" s="108">
        <f>IFERROR(IF(d_Bv!E17=0,0,((s_Ir*s_F*s_I_f*s_T*(1-EXP(-s_RadSpec!BA17*s_t_v)))/(s_Y_v*s_RadSpec!BA17))),0)</f>
        <v>9.0143481925428208</v>
      </c>
      <c r="BD17" s="108">
        <f>IFERROR(IF(d_Bv!F17=0,0,((s_Ir*s_F*s_I_f*s_T*(1-EXP(-s_RadSpec!BA17*s_t_v)))/(s_Y_v*s_RadSpec!BA17))),0)</f>
        <v>9.0143481925428208</v>
      </c>
      <c r="BE17" s="108">
        <f>IFERROR(IF(d_Bv!G17=0,0,((s_Ir*s_F*s_I_f*s_T*(1-EXP(-s_RadSpec!BA17*s_t_v)))/(s_Y_v*s_RadSpec!BA17))),0)</f>
        <v>9.0143481925428208</v>
      </c>
      <c r="BF17" s="108">
        <f>IFERROR(IF(d_Bv!H17=0,0,((s_Ir*s_F*s_I_f*s_T*(1-EXP(-s_RadSpec!BA17*s_t_v)))/(s_Y_v*s_RadSpec!BA17))),0)</f>
        <v>9.0143481925428208</v>
      </c>
      <c r="BG17" s="108">
        <f>IFERROR(IF(d_Bv!I17=0,0,((s_Ir*s_F*s_I_f*s_T*(1-EXP(-s_RadSpec!BA17*s_t_v)))/(s_Y_v*s_RadSpec!BA17))),0)</f>
        <v>9.0143481925428208</v>
      </c>
      <c r="BH17" s="108">
        <f>IFERROR(IF(d_Bv!J17=0,0,((s_Ir*s_F*s_I_f*s_T*(1-EXP(-s_RadSpec!BA17*s_t_v)))/(s_Y_v*s_RadSpec!BA17))),0)</f>
        <v>9.0143481925428208</v>
      </c>
      <c r="BI17" s="108">
        <f>IFERROR(IF(d_Bv!K17=0,0,((s_Ir*s_F*s_I_f*s_T*(1-EXP(-s_RadSpec!BA17*s_t_v)))/(s_Y_v*s_RadSpec!BA17))),0)</f>
        <v>9.0143481925428208</v>
      </c>
      <c r="BJ17" s="108">
        <f>IFERROR(IF(d_Bv!L17=0,0,((s_Ir*s_F*s_I_f*s_T*(1-EXP(-s_RadSpec!BA17*s_t_v)))/(s_Y_v*s_RadSpec!BA17))),0)</f>
        <v>9.0143481925428208</v>
      </c>
      <c r="BK17" s="108">
        <f>IFERROR(IF(d_Bv!M17=0,0,((s_Ir*s_F*s_I_f*s_T*(1-EXP(-s_RadSpec!BA17*s_t_v)))/(s_Y_v*s_RadSpec!BA17))),0)</f>
        <v>9.0143481925428208</v>
      </c>
      <c r="BL17" s="108">
        <f>IFERROR(IF(d_Bv!N17=0,0,((s_Ir*s_F*s_I_f*s_T*(1-EXP(-s_RadSpec!BA17*s_t_v)))/(s_Y_v*s_RadSpec!BA17))),0)</f>
        <v>9.0143481925428208</v>
      </c>
      <c r="BM17" s="108">
        <f>IFERROR(IF(d_Bv!O17=0,0,((s_Ir*s_F*s_I_f*s_T*(1-EXP(-s_RadSpec!BA17*s_t_v)))/(s_Y_v*s_RadSpec!BA17))),0)</f>
        <v>9.0143481925428208</v>
      </c>
      <c r="BN17" s="108">
        <f>IFERROR(IF(d_Bv!P17=0,0,((s_Ir*s_F*s_I_f*s_T*(1-EXP(-s_RadSpec!BA17*s_t_v)))/(s_Y_v*s_RadSpec!BA17))),0)</f>
        <v>9.0143481925428208</v>
      </c>
      <c r="BO17" s="108">
        <f>IFERROR(IF(d_Bv!Q17=0,0,((s_Ir*s_F*s_I_f*s_T*(1-EXP(-s_RadSpec!BA17*s_t_v)))/(s_Y_v*s_RadSpec!BA17))),0)</f>
        <v>9.0143481925428208</v>
      </c>
      <c r="BP17" s="108">
        <f>IFERROR(IF(d_Bv!R17=0,0,((s_Ir*s_F*s_I_f*s_T*(1-EXP(-s_RadSpec!BA17*s_t_v)))/(s_Y_v*s_RadSpec!BA17))),0)</f>
        <v>9.0143481925428208</v>
      </c>
      <c r="BQ17" s="108">
        <f>IFERROR(IF(d_Bv!S17=0,0,((s_Ir*s_F*s_I_f*s_T*(1-EXP(-s_RadSpec!BA17*s_t_v)))/(s_Y_v*s_RadSpec!BA17))),0)</f>
        <v>9.0143481925428208</v>
      </c>
      <c r="BR17" s="108">
        <f>IFERROR(IF(d_Bv!T17=0,0,((s_Ir*s_F*s_I_f*s_T*(1-EXP(-s_RadSpec!BA17*s_t_v)))/(s_Y_v*s_RadSpec!BA17))),0)</f>
        <v>9.0143481925428208</v>
      </c>
      <c r="BS17" s="108">
        <f>IFERROR(IF(d_Bv!U17=0,0,((s_Ir*s_F*s_I_f*s_T*(1-EXP(-s_RadSpec!BA17*s_t_v)))/(s_Y_v*s_RadSpec!BA17))),0)</f>
        <v>9.0143481925428208</v>
      </c>
      <c r="BT17" s="108">
        <f>IFERROR(IF(d_Bv!V17=0,0,((s_Ir*s_F*s_I_f*s_T*(1-EXP(-s_RadSpec!BA17*s_t_v)))/(s_Y_v*s_RadSpec!BA17))),0)</f>
        <v>9.0143481925428208</v>
      </c>
      <c r="BU17" s="108">
        <f>IFERROR(IF(d_Bv!W17=0,0,((s_Ir*s_F*s_I_f*s_T*(1-EXP(-s_RadSpec!BA17*s_t_v)))/(s_Y_v*s_RadSpec!BA17))),0)</f>
        <v>9.0143481925428208</v>
      </c>
      <c r="BV17" s="108">
        <f>IFERROR(IF(d_Bv!X17=0,0,((s_Ir*s_F*s_I_f*s_T*(1-EXP(-s_RadSpec!BA17*s_t_v)))/(s_Y_v*s_RadSpec!BA17))),0)</f>
        <v>9.0143481925428208</v>
      </c>
      <c r="BW17" s="108">
        <f>IFERROR(IF(d_Bv!Y17=0,0,((s_Ir*s_F*s_I_f*s_T*(1-EXP(-s_RadSpec!BA17*s_t_v)))/(s_Y_v*s_RadSpec!BA17))),0)</f>
        <v>9.0143481925428208</v>
      </c>
      <c r="BX17" s="108">
        <f>IFERROR(IF(d_Bv!Z17=0,0,((s_Ir*s_F*s_I_f*s_T*(1-EXP(-s_RadSpec!BA17*s_t_v)))/(s_Y_v*s_RadSpec!BA17))),0)</f>
        <v>9.0143481925428208</v>
      </c>
      <c r="BY17" s="108">
        <f>IFERROR(IF(d_Bv!AA17=0,0,((s_Ir*s_F*s_I_f*s_T*(1-EXP(-s_RadSpec!BA17*s_t_v)))/(s_Y_v*s_RadSpec!BA17))),0)</f>
        <v>9.0143481925428208</v>
      </c>
    </row>
    <row r="18" spans="1:77" x14ac:dyDescent="0.25">
      <c r="A18" s="44" t="s">
        <v>16</v>
      </c>
      <c r="B18" s="42" t="s">
        <v>1057</v>
      </c>
      <c r="C18" s="108">
        <f>IFERROR(IF(d_Bv!C18=0,0,((s_Ir*s_F*d_Bv!C18*(1-EXP(-s_RadSpec!$AZ18*s_t_b)))/(s_P*s_RadSpec!$AZ18))),0)</f>
        <v>3.9740144921492811E-2</v>
      </c>
      <c r="D18" s="108">
        <f>IFERROR(IF(d_Bv!D18=0,0,((s_Ir*s_F*d_Bv!D18*(1-EXP(-s_RadSpec!AZ18*s_t_b)))/(s_P*s_RadSpec!AZ18))),0)</f>
        <v>1.4703853620952343</v>
      </c>
      <c r="E18" s="108">
        <f>IFERROR(IF(d_Bv!E18=0,0,((s_Ir*s_F*d_Bv!E18*(1-EXP(-s_RadSpec!AZ18*s_t_b)))/(s_P*s_RadSpec!AZ18))),0)</f>
        <v>1.1524642027232916</v>
      </c>
      <c r="F18" s="108">
        <f>IFERROR(IF(d_Bv!F18=0,0,((s_Ir*s_F*d_Bv!F18*(1-EXP(-s_RadSpec!AZ18*s_t_b)))/(s_P*s_RadSpec!AZ18))),0)</f>
        <v>3.9740144921492811E-2</v>
      </c>
      <c r="G18" s="108">
        <f>IFERROR(IF(d_Bv!G18=0,0,((s_Ir*s_F*d_Bv!G18*(1-EXP(-s_RadSpec!AZ18*s_t_b)))/(s_P*s_RadSpec!AZ18))),0)</f>
        <v>3.9740144921492811E-2</v>
      </c>
      <c r="H18" s="108">
        <f>IFERROR(IF(d_Bv!H18=0,0,((s_Ir*s_F*d_Bv!H18*(1-EXP(-s_RadSpec!AZ18*s_t_b)))/(s_P*s_RadSpec!AZ18))),0)</f>
        <v>1.4703853620952343</v>
      </c>
      <c r="I18" s="108">
        <f>IFERROR(IF(d_Bv!I18=0,0,((s_Ir*s_F*d_Bv!I18*(1-EXP(-s_RadSpec!AZ18*s_t_b)))/(s_P*s_RadSpec!AZ18))),0)</f>
        <v>1.1524642027232916</v>
      </c>
      <c r="J18" s="108">
        <f>IFERROR(IF(d_Bv!J18=0,0,((s_Ir*s_F*d_Bv!J18*(1-EXP(-s_RadSpec!AZ18*s_t_b)))/(s_P*s_RadSpec!AZ18))),0)</f>
        <v>3.9740144921492811E-2</v>
      </c>
      <c r="K18" s="108">
        <f>IFERROR(IF(d_Bv!K18=0,0,((s_Ir*s_F*d_Bv!K18*(1-EXP(-s_RadSpec!AZ18*s_t_b)))/(s_P*s_RadSpec!AZ18))),0)</f>
        <v>4.768817390579138E-2</v>
      </c>
      <c r="L18" s="108">
        <f>IFERROR(IF(d_Bv!L18=0,0,((s_Ir*s_F*d_Bv!L18*(1-EXP(-s_RadSpec!AZ18*s_t_b)))/(s_P*s_RadSpec!AZ18))),0)</f>
        <v>3.9740144921492811E-2</v>
      </c>
      <c r="M18" s="108">
        <f>IFERROR(IF(d_Bv!M18=0,0,((s_Ir*s_F*d_Bv!M18*(1-EXP(-s_RadSpec!AZ18*s_t_b)))/(s_P*s_RadSpec!AZ18))),0)</f>
        <v>1.4703853620952343</v>
      </c>
      <c r="N18" s="108">
        <f>IFERROR(IF(d_Bv!N18=0,0,((s_Ir*s_F*d_Bv!N18*(1-EXP(-s_RadSpec!AZ18*s_t_b)))/(s_P*s_RadSpec!AZ18))),0)</f>
        <v>5.364919564401531E-2</v>
      </c>
      <c r="O18" s="108">
        <f>IFERROR(IF(d_Bv!O18=0,0,((s_Ir*s_F*d_Bv!O18*(1-EXP(-s_RadSpec!AZ18*s_t_b)))/(s_P*s_RadSpec!AZ18))),0)</f>
        <v>3.9740144921492811E-2</v>
      </c>
      <c r="P18" s="108">
        <f>IFERROR(IF(d_Bv!P18=0,0,((s_Ir*s_F*d_Bv!P18*(1-EXP(-s_RadSpec!AZ18*s_t_b)))/(s_P*s_RadSpec!AZ18))),0)</f>
        <v>1.1524642027232916</v>
      </c>
      <c r="Q18" s="108">
        <f>IFERROR(IF(d_Bv!Q18=0,0,((s_Ir*s_F*d_Bv!Q18*(1-EXP(-s_RadSpec!AZ18*s_t_b)))/(s_P*s_RadSpec!AZ18))),0)</f>
        <v>3.9740144921492811E-2</v>
      </c>
      <c r="R18" s="108">
        <f>IFERROR(IF(d_Bv!R18=0,0,((s_Ir*s_F*d_Bv!R18*(1-EXP(-s_RadSpec!AZ18*s_t_b)))/(s_P*s_RadSpec!AZ18))),0)</f>
        <v>3.9740144921492811E-2</v>
      </c>
      <c r="S18" s="108">
        <f>IFERROR(IF(d_Bv!S18=0,0,((s_Ir*s_F*d_Bv!S18*(1-EXP(-s_RadSpec!AZ18*s_t_b)))/(s_P*s_RadSpec!AZ18))),0)</f>
        <v>5.364919564401531E-2</v>
      </c>
      <c r="T18" s="108">
        <f>IFERROR(IF(d_Bv!T18=0,0,((s_Ir*s_F*d_Bv!T18*(1-EXP(-s_RadSpec!AZ18*s_t_b)))/(s_P*s_RadSpec!AZ18))),0)</f>
        <v>3.9740144921492811E-2</v>
      </c>
      <c r="U18" s="108">
        <f>IFERROR(IF(d_Bv!U18=0,0,((s_Ir*s_F*d_Bv!U18*(1-EXP(-s_RadSpec!AZ18*s_t_b)))/(s_P*s_RadSpec!AZ18))),0)</f>
        <v>0.53649195644015302</v>
      </c>
      <c r="V18" s="108">
        <f>IFERROR(IF(d_Bv!V18=0,0,((s_Ir*s_F*d_Bv!V18*(1-EXP(-s_RadSpec!AZ18*s_t_b)))/(s_P*s_RadSpec!AZ18))),0)</f>
        <v>3.9740144921492811E-2</v>
      </c>
      <c r="W18" s="108">
        <f>IFERROR(IF(d_Bv!W18=0,0,((s_Ir*s_F*d_Bv!W18*(1-EXP(-s_RadSpec!AZ18*s_t_b)))/(s_P*s_RadSpec!AZ18))),0)</f>
        <v>5.364919564401531E-2</v>
      </c>
      <c r="X18" s="108">
        <f>IFERROR(IF(d_Bv!X18=0,0,((s_Ir*s_F*d_Bv!X18*(1-EXP(-s_RadSpec!AZ18*s_t_b)))/(s_P*s_RadSpec!AZ18))),0)</f>
        <v>3.9740144921492811E-2</v>
      </c>
      <c r="Y18" s="108">
        <f>IFERROR(IF(d_Bv!Y18=0,0,((s_Ir*s_F*d_Bv!Y18*(1-EXP(-s_RadSpec!AZ18*s_t_b)))/(s_P*s_RadSpec!AZ18))),0)</f>
        <v>3.9740144921492811E-2</v>
      </c>
      <c r="Z18" s="108">
        <f>IFERROR(IF(d_Bv!Z18=0,0,((s_Ir*s_F*d_Bv!Z18*(1-EXP(-s_RadSpec!AZ18*s_t_b)))/(s_P*s_RadSpec!AZ18))),0)</f>
        <v>2.583109419897033</v>
      </c>
      <c r="AA18" s="108">
        <f>IFERROR(IF(d_Bv!AA18=0,0,((s_Ir*s_F*d_Bv!AA18*(1-EXP(-s_RadSpec!AZ18*s_t_b)))/(s_P*s_RadSpec!AZ18))),0)</f>
        <v>4.768817390579138E-2</v>
      </c>
      <c r="AB18" s="108">
        <f>IFERROR(IF(d_Bv!C18=0,0,((s_Ir*s_F*s_MLF_apple*(1-EXP(-s_RadSpec!AZ18*s_t_b)))/(s_P*s_RadSpec!AZ18))),0)</f>
        <v>2.6824597822007652</v>
      </c>
      <c r="AC18" s="108">
        <f>IFERROR(IF(d_Bv!D18=0,0,((s_Ir*s_F*s_MLF_asparagus*(1-EXP(-s_RadSpec!AZ18*s_t_b)))/(s_P*s_RadSpec!AZ18))),0)</f>
        <v>2.6824597822007652</v>
      </c>
      <c r="AD18" s="108">
        <f>IFERROR(IF(d_Bv!E18=0,0,((s_Ir*s_F*s_MLF_beet*(1-EXP(-s_RadSpec!AZ18*s_t_b)))/(s_P*s_RadSpec!AZ18))),0)</f>
        <v>2.6824597822007652</v>
      </c>
      <c r="AE18" s="108">
        <f>IFERROR(IF(d_Bv!F18=0,0,((s_Ir*s_F*s_MLF_berries*(1-EXP(-s_RadSpec!AZ18*s_t_b)))/(s_P*s_RadSpec!AZ18))),0)</f>
        <v>2.6824597822007652</v>
      </c>
      <c r="AF18" s="108">
        <f>IFERROR(IF(d_Bv!G18=0,0,((s_Ir*s_F*s_MLF_broccoli*(1-EXP(-s_RadSpec!AZ18*s_t_b)))/(s_P*s_RadSpec!AZ18))),0)</f>
        <v>2.6824597822007652</v>
      </c>
      <c r="AG18" s="108">
        <f>IFERROR(IF(d_Bv!H18=0,0,((s_Ir*s_F*s_MLF_cabbage*(1-EXP(-s_RadSpec!AZ18*s_t_b)))/(s_P*s_RadSpec!AZ18))),0)</f>
        <v>2.6824597822007652</v>
      </c>
      <c r="AH18" s="108">
        <f>IFERROR(IF(d_Bv!I18=0,0,((s_Ir*s_F*s_MLF_carrot*(1-EXP(-s_RadSpec!AZ18*s_t_b)))/(s_P*s_RadSpec!AZ18))),0)</f>
        <v>2.6824597822007652</v>
      </c>
      <c r="AI18" s="108">
        <f>IFERROR(IF(d_Bv!J18=0,0,((s_Ir*s_F*s_MLF_citrus*(1-EXP(-s_RadSpec!AZ18*s_t_b)))/(s_P*s_RadSpec!AZ18))),0)</f>
        <v>2.6824597822007652</v>
      </c>
      <c r="AJ18" s="108">
        <f>IFERROR(IF(d_Bv!K18=0,0,((s_Ir*s_F*s_MLF_corn*(1-EXP(-s_RadSpec!AZ18*s_t_b)))/(s_P*s_RadSpec!AZ18))),0)</f>
        <v>2.6824597822007652</v>
      </c>
      <c r="AK18" s="108">
        <f>IFERROR(IF(d_Bv!L18=0,0,((s_Ir*s_F*s_MLF_cucumber*(1-EXP(-s_RadSpec!AZ18*s_t_b)))/(s_P*s_RadSpec!AZ18))),0)</f>
        <v>2.6824597822007652</v>
      </c>
      <c r="AL18" s="108">
        <f>IFERROR(IF(d_Bv!M18=0,0,((s_Ir*s_F*s_MLF_lettuce*(1-EXP(-s_RadSpec!AZ18*s_t_b)))/(s_P*s_RadSpec!AZ18))),0)</f>
        <v>2.6824597822007652</v>
      </c>
      <c r="AM18" s="108">
        <f>IFERROR(IF(d_Bv!N18=0,0,((s_Ir*s_F*s_MLF_lima_bean*(1-EXP(-s_RadSpec!AZ18*s_t_b)))/(s_P*s_RadSpec!AZ18))),0)</f>
        <v>2.6824597822007652</v>
      </c>
      <c r="AN18" s="108">
        <f>IFERROR(IF(d_Bv!O18=0,0,((s_Ir*s_F*s_MLF_okra*(1-EXP(-s_RadSpec!AZ18*s_t_b)))/(s_P*s_RadSpec!AZ18))),0)</f>
        <v>2.6824597822007652</v>
      </c>
      <c r="AO18" s="108">
        <f>IFERROR(IF(d_Bv!P18=0,0,((s_Ir*s_F*s_MLF_onion*(1-EXP(-s_RadSpec!AZ18*s_t_b)))/(s_P*s_RadSpec!AZ18))),0)</f>
        <v>2.6824597822007652</v>
      </c>
      <c r="AP18" s="108">
        <f>IFERROR(IF(d_Bv!Q18=0,0,((s_Ir*s_F*s_MLF_peach*(1-EXP(-s_RadSpec!AZ18*s_t_b)))/(s_P*s_RadSpec!AZ18))),0)</f>
        <v>2.6824597822007652</v>
      </c>
      <c r="AQ18" s="108">
        <f>IFERROR(IF(d_Bv!R18=0,0,((s_Ir*s_F*s_MLF_pear*(1-EXP(-s_RadSpec!AZ18*s_t_b)))/(s_P*s_RadSpec!AZ18))),0)</f>
        <v>2.6824597822007652</v>
      </c>
      <c r="AR18" s="108">
        <f>IFERROR(IF(d_Bv!S18=0,0,((s_Ir*s_F*s_MLF_peas*(1-EXP(-s_RadSpec!AZ18*s_t_b)))/(s_P*s_RadSpec!AZ18))),0)</f>
        <v>2.6824597822007652</v>
      </c>
      <c r="AS18" s="108">
        <f>IFERROR(IF(d_Bv!T18=0,0,((s_Ir*s_F*s_MLF_peppers*(1-EXP(-s_RadSpec!AZ18*s_t_b)))/(s_P*s_RadSpec!AZ18))),0)</f>
        <v>2.6824597822007652</v>
      </c>
      <c r="AT18" s="108">
        <f>IFERROR(IF(d_Bv!U18=0,0,((s_Ir*s_F*s_MLF_potato*(1-EXP(-s_RadSpec!AZ18*s_t_b)))/(s_P*s_RadSpec!AZ18))),0)</f>
        <v>2.6824597822007652</v>
      </c>
      <c r="AU18" s="108">
        <f>IFERROR(IF(d_Bv!V18=0,0,((s_Ir*s_F*s_MLF_pumpkin*(1-EXP(-s_RadSpec!AZ18*s_t_b)))/(s_P*s_RadSpec!AZ18))),0)</f>
        <v>2.6824597822007652</v>
      </c>
      <c r="AV18" s="108">
        <f>IFERROR(IF(d_Bv!W18=0,0,((s_Ir*s_F*s_MLF_snap_bean*(1-EXP(-s_RadSpec!AZ18*s_t_b)))/(s_P*s_RadSpec!AZ18))),0)</f>
        <v>2.6824597822007652</v>
      </c>
      <c r="AW18" s="108">
        <f>IFERROR(IF(d_Bv!X18=0,0,((s_Ir*s_F*s_MLF_strawberry*(1-EXP(-s_RadSpec!AZ18*s_t_b)))/(s_P*s_RadSpec!AZ18))),0)</f>
        <v>2.6824597822007652</v>
      </c>
      <c r="AX18" s="108">
        <f>IFERROR(IF(d_Bv!Y18=0,0,((s_Ir*s_F*s_MLF_tomato*(1-EXP(-s_RadSpec!AZ18*s_t_b)))/(s_P*s_RadSpec!AZ18))),0)</f>
        <v>2.6824597822007652</v>
      </c>
      <c r="AY18" s="108">
        <f>IFERROR(IF(d_Bv!Z18=0,0,((s_Ir*s_F*s_MLF_rice*(1-EXP(-s_RadSpec!AZ18*s_t_b)))/(s_P*s_RadSpec!AZ18))),0)</f>
        <v>2.6824597822007652</v>
      </c>
      <c r="AZ18" s="108">
        <f>IFERROR(IF(d_Bv!AA18=0,0,((s_Ir*s_F*s_MLF_cereal*(1-EXP(-s_RadSpec!AZ18*s_t_b)))/(s_P*s_RadSpec!AZ18))),0)</f>
        <v>2.6824597822007652</v>
      </c>
      <c r="BA18" s="108">
        <f>IFERROR(IF(d_Bv!C18=0,0,((s_Ir*s_F*s_I_f*s_T*(1-EXP(-s_RadSpec!BA18*s_t_v)))/(s_Y_v*s_RadSpec!BA18))),0)</f>
        <v>9.0143481925428208</v>
      </c>
      <c r="BB18" s="108">
        <f>IFERROR(IF(d_Bv!D18=0,0,((s_Ir*s_F*s_I_f*s_T*(1-EXP(-s_RadSpec!BA18*s_t_v)))/(s_Y_v*s_RadSpec!BA18))),0)</f>
        <v>9.0143481925428208</v>
      </c>
      <c r="BC18" s="108">
        <f>IFERROR(IF(d_Bv!E18=0,0,((s_Ir*s_F*s_I_f*s_T*(1-EXP(-s_RadSpec!BA18*s_t_v)))/(s_Y_v*s_RadSpec!BA18))),0)</f>
        <v>9.0143481925428208</v>
      </c>
      <c r="BD18" s="108">
        <f>IFERROR(IF(d_Bv!F18=0,0,((s_Ir*s_F*s_I_f*s_T*(1-EXP(-s_RadSpec!BA18*s_t_v)))/(s_Y_v*s_RadSpec!BA18))),0)</f>
        <v>9.0143481925428208</v>
      </c>
      <c r="BE18" s="108">
        <f>IFERROR(IF(d_Bv!G18=0,0,((s_Ir*s_F*s_I_f*s_T*(1-EXP(-s_RadSpec!BA18*s_t_v)))/(s_Y_v*s_RadSpec!BA18))),0)</f>
        <v>9.0143481925428208</v>
      </c>
      <c r="BF18" s="108">
        <f>IFERROR(IF(d_Bv!H18=0,0,((s_Ir*s_F*s_I_f*s_T*(1-EXP(-s_RadSpec!BA18*s_t_v)))/(s_Y_v*s_RadSpec!BA18))),0)</f>
        <v>9.0143481925428208</v>
      </c>
      <c r="BG18" s="108">
        <f>IFERROR(IF(d_Bv!I18=0,0,((s_Ir*s_F*s_I_f*s_T*(1-EXP(-s_RadSpec!BA18*s_t_v)))/(s_Y_v*s_RadSpec!BA18))),0)</f>
        <v>9.0143481925428208</v>
      </c>
      <c r="BH18" s="108">
        <f>IFERROR(IF(d_Bv!J18=0,0,((s_Ir*s_F*s_I_f*s_T*(1-EXP(-s_RadSpec!BA18*s_t_v)))/(s_Y_v*s_RadSpec!BA18))),0)</f>
        <v>9.0143481925428208</v>
      </c>
      <c r="BI18" s="108">
        <f>IFERROR(IF(d_Bv!K18=0,0,((s_Ir*s_F*s_I_f*s_T*(1-EXP(-s_RadSpec!BA18*s_t_v)))/(s_Y_v*s_RadSpec!BA18))),0)</f>
        <v>9.0143481925428208</v>
      </c>
      <c r="BJ18" s="108">
        <f>IFERROR(IF(d_Bv!L18=0,0,((s_Ir*s_F*s_I_f*s_T*(1-EXP(-s_RadSpec!BA18*s_t_v)))/(s_Y_v*s_RadSpec!BA18))),0)</f>
        <v>9.0143481925428208</v>
      </c>
      <c r="BK18" s="108">
        <f>IFERROR(IF(d_Bv!M18=0,0,((s_Ir*s_F*s_I_f*s_T*(1-EXP(-s_RadSpec!BA18*s_t_v)))/(s_Y_v*s_RadSpec!BA18))),0)</f>
        <v>9.0143481925428208</v>
      </c>
      <c r="BL18" s="108">
        <f>IFERROR(IF(d_Bv!N18=0,0,((s_Ir*s_F*s_I_f*s_T*(1-EXP(-s_RadSpec!BA18*s_t_v)))/(s_Y_v*s_RadSpec!BA18))),0)</f>
        <v>9.0143481925428208</v>
      </c>
      <c r="BM18" s="108">
        <f>IFERROR(IF(d_Bv!O18=0,0,((s_Ir*s_F*s_I_f*s_T*(1-EXP(-s_RadSpec!BA18*s_t_v)))/(s_Y_v*s_RadSpec!BA18))),0)</f>
        <v>9.0143481925428208</v>
      </c>
      <c r="BN18" s="108">
        <f>IFERROR(IF(d_Bv!P18=0,0,((s_Ir*s_F*s_I_f*s_T*(1-EXP(-s_RadSpec!BA18*s_t_v)))/(s_Y_v*s_RadSpec!BA18))),0)</f>
        <v>9.0143481925428208</v>
      </c>
      <c r="BO18" s="108">
        <f>IFERROR(IF(d_Bv!Q18=0,0,((s_Ir*s_F*s_I_f*s_T*(1-EXP(-s_RadSpec!BA18*s_t_v)))/(s_Y_v*s_RadSpec!BA18))),0)</f>
        <v>9.0143481925428208</v>
      </c>
      <c r="BP18" s="108">
        <f>IFERROR(IF(d_Bv!R18=0,0,((s_Ir*s_F*s_I_f*s_T*(1-EXP(-s_RadSpec!BA18*s_t_v)))/(s_Y_v*s_RadSpec!BA18))),0)</f>
        <v>9.0143481925428208</v>
      </c>
      <c r="BQ18" s="108">
        <f>IFERROR(IF(d_Bv!S18=0,0,((s_Ir*s_F*s_I_f*s_T*(1-EXP(-s_RadSpec!BA18*s_t_v)))/(s_Y_v*s_RadSpec!BA18))),0)</f>
        <v>9.0143481925428208</v>
      </c>
      <c r="BR18" s="108">
        <f>IFERROR(IF(d_Bv!T18=0,0,((s_Ir*s_F*s_I_f*s_T*(1-EXP(-s_RadSpec!BA18*s_t_v)))/(s_Y_v*s_RadSpec!BA18))),0)</f>
        <v>9.0143481925428208</v>
      </c>
      <c r="BS18" s="108">
        <f>IFERROR(IF(d_Bv!U18=0,0,((s_Ir*s_F*s_I_f*s_T*(1-EXP(-s_RadSpec!BA18*s_t_v)))/(s_Y_v*s_RadSpec!BA18))),0)</f>
        <v>9.0143481925428208</v>
      </c>
      <c r="BT18" s="108">
        <f>IFERROR(IF(d_Bv!V18=0,0,((s_Ir*s_F*s_I_f*s_T*(1-EXP(-s_RadSpec!BA18*s_t_v)))/(s_Y_v*s_RadSpec!BA18))),0)</f>
        <v>9.0143481925428208</v>
      </c>
      <c r="BU18" s="108">
        <f>IFERROR(IF(d_Bv!W18=0,0,((s_Ir*s_F*s_I_f*s_T*(1-EXP(-s_RadSpec!BA18*s_t_v)))/(s_Y_v*s_RadSpec!BA18))),0)</f>
        <v>9.0143481925428208</v>
      </c>
      <c r="BV18" s="108">
        <f>IFERROR(IF(d_Bv!X18=0,0,((s_Ir*s_F*s_I_f*s_T*(1-EXP(-s_RadSpec!BA18*s_t_v)))/(s_Y_v*s_RadSpec!BA18))),0)</f>
        <v>9.0143481925428208</v>
      </c>
      <c r="BW18" s="108">
        <f>IFERROR(IF(d_Bv!Y18=0,0,((s_Ir*s_F*s_I_f*s_T*(1-EXP(-s_RadSpec!BA18*s_t_v)))/(s_Y_v*s_RadSpec!BA18))),0)</f>
        <v>9.0143481925428208</v>
      </c>
      <c r="BX18" s="108">
        <f>IFERROR(IF(d_Bv!Z18=0,0,((s_Ir*s_F*s_I_f*s_T*(1-EXP(-s_RadSpec!BA18*s_t_v)))/(s_Y_v*s_RadSpec!BA18))),0)</f>
        <v>9.0143481925428208</v>
      </c>
      <c r="BY18" s="108">
        <f>IFERROR(IF(d_Bv!AA18=0,0,((s_Ir*s_F*s_I_f*s_T*(1-EXP(-s_RadSpec!BA18*s_t_v)))/(s_Y_v*s_RadSpec!BA18))),0)</f>
        <v>9.0143481925428208</v>
      </c>
    </row>
    <row r="19" spans="1:77" x14ac:dyDescent="0.25">
      <c r="A19" s="44" t="s">
        <v>17</v>
      </c>
      <c r="B19" s="42" t="s">
        <v>1057</v>
      </c>
      <c r="C19" s="108">
        <f>IFERROR(IF(d_Bv!C19=0,0,((s_Ir*s_F*d_Bv!C19*(1-EXP(-s_RadSpec!$AZ19*s_t_b)))/(s_P*s_RadSpec!$AZ19))),0)</f>
        <v>3.9740144921492811E-2</v>
      </c>
      <c r="D19" s="108">
        <f>IFERROR(IF(d_Bv!D19=0,0,((s_Ir*s_F*d_Bv!D19*(1-EXP(-s_RadSpec!AZ19*s_t_b)))/(s_P*s_RadSpec!AZ19))),0)</f>
        <v>1.4703853620952343</v>
      </c>
      <c r="E19" s="108">
        <f>IFERROR(IF(d_Bv!E19=0,0,((s_Ir*s_F*d_Bv!E19*(1-EXP(-s_RadSpec!AZ19*s_t_b)))/(s_P*s_RadSpec!AZ19))),0)</f>
        <v>1.1524642027232916</v>
      </c>
      <c r="F19" s="108">
        <f>IFERROR(IF(d_Bv!F19=0,0,((s_Ir*s_F*d_Bv!F19*(1-EXP(-s_RadSpec!AZ19*s_t_b)))/(s_P*s_RadSpec!AZ19))),0)</f>
        <v>3.9740144921492811E-2</v>
      </c>
      <c r="G19" s="108">
        <f>IFERROR(IF(d_Bv!G19=0,0,((s_Ir*s_F*d_Bv!G19*(1-EXP(-s_RadSpec!AZ19*s_t_b)))/(s_P*s_RadSpec!AZ19))),0)</f>
        <v>3.9740144921492811E-2</v>
      </c>
      <c r="H19" s="108">
        <f>IFERROR(IF(d_Bv!H19=0,0,((s_Ir*s_F*d_Bv!H19*(1-EXP(-s_RadSpec!AZ19*s_t_b)))/(s_P*s_RadSpec!AZ19))),0)</f>
        <v>1.4703853620952343</v>
      </c>
      <c r="I19" s="108">
        <f>IFERROR(IF(d_Bv!I19=0,0,((s_Ir*s_F*d_Bv!I19*(1-EXP(-s_RadSpec!AZ19*s_t_b)))/(s_P*s_RadSpec!AZ19))),0)</f>
        <v>1.1524642027232916</v>
      </c>
      <c r="J19" s="108">
        <f>IFERROR(IF(d_Bv!J19=0,0,((s_Ir*s_F*d_Bv!J19*(1-EXP(-s_RadSpec!AZ19*s_t_b)))/(s_P*s_RadSpec!AZ19))),0)</f>
        <v>3.9740144921492811E-2</v>
      </c>
      <c r="K19" s="108">
        <f>IFERROR(IF(d_Bv!K19=0,0,((s_Ir*s_F*d_Bv!K19*(1-EXP(-s_RadSpec!AZ19*s_t_b)))/(s_P*s_RadSpec!AZ19))),0)</f>
        <v>4.768817390579138E-2</v>
      </c>
      <c r="L19" s="108">
        <f>IFERROR(IF(d_Bv!L19=0,0,((s_Ir*s_F*d_Bv!L19*(1-EXP(-s_RadSpec!AZ19*s_t_b)))/(s_P*s_RadSpec!AZ19))),0)</f>
        <v>3.9740144921492811E-2</v>
      </c>
      <c r="M19" s="108">
        <f>IFERROR(IF(d_Bv!M19=0,0,((s_Ir*s_F*d_Bv!M19*(1-EXP(-s_RadSpec!AZ19*s_t_b)))/(s_P*s_RadSpec!AZ19))),0)</f>
        <v>1.4703853620952343</v>
      </c>
      <c r="N19" s="108">
        <f>IFERROR(IF(d_Bv!N19=0,0,((s_Ir*s_F*d_Bv!N19*(1-EXP(-s_RadSpec!AZ19*s_t_b)))/(s_P*s_RadSpec!AZ19))),0)</f>
        <v>5.364919564401531E-2</v>
      </c>
      <c r="O19" s="108">
        <f>IFERROR(IF(d_Bv!O19=0,0,((s_Ir*s_F*d_Bv!O19*(1-EXP(-s_RadSpec!AZ19*s_t_b)))/(s_P*s_RadSpec!AZ19))),0)</f>
        <v>3.9740144921492811E-2</v>
      </c>
      <c r="P19" s="108">
        <f>IFERROR(IF(d_Bv!P19=0,0,((s_Ir*s_F*d_Bv!P19*(1-EXP(-s_RadSpec!AZ19*s_t_b)))/(s_P*s_RadSpec!AZ19))),0)</f>
        <v>1.1524642027232916</v>
      </c>
      <c r="Q19" s="108">
        <f>IFERROR(IF(d_Bv!Q19=0,0,((s_Ir*s_F*d_Bv!Q19*(1-EXP(-s_RadSpec!AZ19*s_t_b)))/(s_P*s_RadSpec!AZ19))),0)</f>
        <v>3.9740144921492811E-2</v>
      </c>
      <c r="R19" s="108">
        <f>IFERROR(IF(d_Bv!R19=0,0,((s_Ir*s_F*d_Bv!R19*(1-EXP(-s_RadSpec!AZ19*s_t_b)))/(s_P*s_RadSpec!AZ19))),0)</f>
        <v>3.9740144921492811E-2</v>
      </c>
      <c r="S19" s="108">
        <f>IFERROR(IF(d_Bv!S19=0,0,((s_Ir*s_F*d_Bv!S19*(1-EXP(-s_RadSpec!AZ19*s_t_b)))/(s_P*s_RadSpec!AZ19))),0)</f>
        <v>5.364919564401531E-2</v>
      </c>
      <c r="T19" s="108">
        <f>IFERROR(IF(d_Bv!T19=0,0,((s_Ir*s_F*d_Bv!T19*(1-EXP(-s_RadSpec!AZ19*s_t_b)))/(s_P*s_RadSpec!AZ19))),0)</f>
        <v>3.9740144921492811E-2</v>
      </c>
      <c r="U19" s="108">
        <f>IFERROR(IF(d_Bv!U19=0,0,((s_Ir*s_F*d_Bv!U19*(1-EXP(-s_RadSpec!AZ19*s_t_b)))/(s_P*s_RadSpec!AZ19))),0)</f>
        <v>0.53649195644015302</v>
      </c>
      <c r="V19" s="108">
        <f>IFERROR(IF(d_Bv!V19=0,0,((s_Ir*s_F*d_Bv!V19*(1-EXP(-s_RadSpec!AZ19*s_t_b)))/(s_P*s_RadSpec!AZ19))),0)</f>
        <v>3.9740144921492811E-2</v>
      </c>
      <c r="W19" s="108">
        <f>IFERROR(IF(d_Bv!W19=0,0,((s_Ir*s_F*d_Bv!W19*(1-EXP(-s_RadSpec!AZ19*s_t_b)))/(s_P*s_RadSpec!AZ19))),0)</f>
        <v>5.364919564401531E-2</v>
      </c>
      <c r="X19" s="108">
        <f>IFERROR(IF(d_Bv!X19=0,0,((s_Ir*s_F*d_Bv!X19*(1-EXP(-s_RadSpec!AZ19*s_t_b)))/(s_P*s_RadSpec!AZ19))),0)</f>
        <v>3.9740144921492811E-2</v>
      </c>
      <c r="Y19" s="108">
        <f>IFERROR(IF(d_Bv!Y19=0,0,((s_Ir*s_F*d_Bv!Y19*(1-EXP(-s_RadSpec!AZ19*s_t_b)))/(s_P*s_RadSpec!AZ19))),0)</f>
        <v>3.9740144921492811E-2</v>
      </c>
      <c r="Z19" s="108">
        <f>IFERROR(IF(d_Bv!Z19=0,0,((s_Ir*s_F*d_Bv!Z19*(1-EXP(-s_RadSpec!AZ19*s_t_b)))/(s_P*s_RadSpec!AZ19))),0)</f>
        <v>2.583109419897033</v>
      </c>
      <c r="AA19" s="108">
        <f>IFERROR(IF(d_Bv!AA19=0,0,((s_Ir*s_F*d_Bv!AA19*(1-EXP(-s_RadSpec!AZ19*s_t_b)))/(s_P*s_RadSpec!AZ19))),0)</f>
        <v>4.768817390579138E-2</v>
      </c>
      <c r="AB19" s="108">
        <f>IFERROR(IF(d_Bv!C19=0,0,((s_Ir*s_F*s_MLF_apple*(1-EXP(-s_RadSpec!AZ19*s_t_b)))/(s_P*s_RadSpec!AZ19))),0)</f>
        <v>2.6824597822007652</v>
      </c>
      <c r="AC19" s="108">
        <f>IFERROR(IF(d_Bv!D19=0,0,((s_Ir*s_F*s_MLF_asparagus*(1-EXP(-s_RadSpec!AZ19*s_t_b)))/(s_P*s_RadSpec!AZ19))),0)</f>
        <v>2.6824597822007652</v>
      </c>
      <c r="AD19" s="108">
        <f>IFERROR(IF(d_Bv!E19=0,0,((s_Ir*s_F*s_MLF_beet*(1-EXP(-s_RadSpec!AZ19*s_t_b)))/(s_P*s_RadSpec!AZ19))),0)</f>
        <v>2.6824597822007652</v>
      </c>
      <c r="AE19" s="108">
        <f>IFERROR(IF(d_Bv!F19=0,0,((s_Ir*s_F*s_MLF_berries*(1-EXP(-s_RadSpec!AZ19*s_t_b)))/(s_P*s_RadSpec!AZ19))),0)</f>
        <v>2.6824597822007652</v>
      </c>
      <c r="AF19" s="108">
        <f>IFERROR(IF(d_Bv!G19=0,0,((s_Ir*s_F*s_MLF_broccoli*(1-EXP(-s_RadSpec!AZ19*s_t_b)))/(s_P*s_RadSpec!AZ19))),0)</f>
        <v>2.6824597822007652</v>
      </c>
      <c r="AG19" s="108">
        <f>IFERROR(IF(d_Bv!H19=0,0,((s_Ir*s_F*s_MLF_cabbage*(1-EXP(-s_RadSpec!AZ19*s_t_b)))/(s_P*s_RadSpec!AZ19))),0)</f>
        <v>2.6824597822007652</v>
      </c>
      <c r="AH19" s="108">
        <f>IFERROR(IF(d_Bv!I19=0,0,((s_Ir*s_F*s_MLF_carrot*(1-EXP(-s_RadSpec!AZ19*s_t_b)))/(s_P*s_RadSpec!AZ19))),0)</f>
        <v>2.6824597822007652</v>
      </c>
      <c r="AI19" s="108">
        <f>IFERROR(IF(d_Bv!J19=0,0,((s_Ir*s_F*s_MLF_citrus*(1-EXP(-s_RadSpec!AZ19*s_t_b)))/(s_P*s_RadSpec!AZ19))),0)</f>
        <v>2.6824597822007652</v>
      </c>
      <c r="AJ19" s="108">
        <f>IFERROR(IF(d_Bv!K19=0,0,((s_Ir*s_F*s_MLF_corn*(1-EXP(-s_RadSpec!AZ19*s_t_b)))/(s_P*s_RadSpec!AZ19))),0)</f>
        <v>2.6824597822007652</v>
      </c>
      <c r="AK19" s="108">
        <f>IFERROR(IF(d_Bv!L19=0,0,((s_Ir*s_F*s_MLF_cucumber*(1-EXP(-s_RadSpec!AZ19*s_t_b)))/(s_P*s_RadSpec!AZ19))),0)</f>
        <v>2.6824597822007652</v>
      </c>
      <c r="AL19" s="108">
        <f>IFERROR(IF(d_Bv!M19=0,0,((s_Ir*s_F*s_MLF_lettuce*(1-EXP(-s_RadSpec!AZ19*s_t_b)))/(s_P*s_RadSpec!AZ19))),0)</f>
        <v>2.6824597822007652</v>
      </c>
      <c r="AM19" s="108">
        <f>IFERROR(IF(d_Bv!N19=0,0,((s_Ir*s_F*s_MLF_lima_bean*(1-EXP(-s_RadSpec!AZ19*s_t_b)))/(s_P*s_RadSpec!AZ19))),0)</f>
        <v>2.6824597822007652</v>
      </c>
      <c r="AN19" s="108">
        <f>IFERROR(IF(d_Bv!O19=0,0,((s_Ir*s_F*s_MLF_okra*(1-EXP(-s_RadSpec!AZ19*s_t_b)))/(s_P*s_RadSpec!AZ19))),0)</f>
        <v>2.6824597822007652</v>
      </c>
      <c r="AO19" s="108">
        <f>IFERROR(IF(d_Bv!P19=0,0,((s_Ir*s_F*s_MLF_onion*(1-EXP(-s_RadSpec!AZ19*s_t_b)))/(s_P*s_RadSpec!AZ19))),0)</f>
        <v>2.6824597822007652</v>
      </c>
      <c r="AP19" s="108">
        <f>IFERROR(IF(d_Bv!Q19=0,0,((s_Ir*s_F*s_MLF_peach*(1-EXP(-s_RadSpec!AZ19*s_t_b)))/(s_P*s_RadSpec!AZ19))),0)</f>
        <v>2.6824597822007652</v>
      </c>
      <c r="AQ19" s="108">
        <f>IFERROR(IF(d_Bv!R19=0,0,((s_Ir*s_F*s_MLF_pear*(1-EXP(-s_RadSpec!AZ19*s_t_b)))/(s_P*s_RadSpec!AZ19))),0)</f>
        <v>2.6824597822007652</v>
      </c>
      <c r="AR19" s="108">
        <f>IFERROR(IF(d_Bv!S19=0,0,((s_Ir*s_F*s_MLF_peas*(1-EXP(-s_RadSpec!AZ19*s_t_b)))/(s_P*s_RadSpec!AZ19))),0)</f>
        <v>2.6824597822007652</v>
      </c>
      <c r="AS19" s="108">
        <f>IFERROR(IF(d_Bv!T19=0,0,((s_Ir*s_F*s_MLF_peppers*(1-EXP(-s_RadSpec!AZ19*s_t_b)))/(s_P*s_RadSpec!AZ19))),0)</f>
        <v>2.6824597822007652</v>
      </c>
      <c r="AT19" s="108">
        <f>IFERROR(IF(d_Bv!U19=0,0,((s_Ir*s_F*s_MLF_potato*(1-EXP(-s_RadSpec!AZ19*s_t_b)))/(s_P*s_RadSpec!AZ19))),0)</f>
        <v>2.6824597822007652</v>
      </c>
      <c r="AU19" s="108">
        <f>IFERROR(IF(d_Bv!V19=0,0,((s_Ir*s_F*s_MLF_pumpkin*(1-EXP(-s_RadSpec!AZ19*s_t_b)))/(s_P*s_RadSpec!AZ19))),0)</f>
        <v>2.6824597822007652</v>
      </c>
      <c r="AV19" s="108">
        <f>IFERROR(IF(d_Bv!W19=0,0,((s_Ir*s_F*s_MLF_snap_bean*(1-EXP(-s_RadSpec!AZ19*s_t_b)))/(s_P*s_RadSpec!AZ19))),0)</f>
        <v>2.6824597822007652</v>
      </c>
      <c r="AW19" s="108">
        <f>IFERROR(IF(d_Bv!X19=0,0,((s_Ir*s_F*s_MLF_strawberry*(1-EXP(-s_RadSpec!AZ19*s_t_b)))/(s_P*s_RadSpec!AZ19))),0)</f>
        <v>2.6824597822007652</v>
      </c>
      <c r="AX19" s="108">
        <f>IFERROR(IF(d_Bv!Y19=0,0,((s_Ir*s_F*s_MLF_tomato*(1-EXP(-s_RadSpec!AZ19*s_t_b)))/(s_P*s_RadSpec!AZ19))),0)</f>
        <v>2.6824597822007652</v>
      </c>
      <c r="AY19" s="108">
        <f>IFERROR(IF(d_Bv!Z19=0,0,((s_Ir*s_F*s_MLF_rice*(1-EXP(-s_RadSpec!AZ19*s_t_b)))/(s_P*s_RadSpec!AZ19))),0)</f>
        <v>2.6824597822007652</v>
      </c>
      <c r="AZ19" s="108">
        <f>IFERROR(IF(d_Bv!AA19=0,0,((s_Ir*s_F*s_MLF_cereal*(1-EXP(-s_RadSpec!AZ19*s_t_b)))/(s_P*s_RadSpec!AZ19))),0)</f>
        <v>2.6824597822007652</v>
      </c>
      <c r="BA19" s="108">
        <f>IFERROR(IF(d_Bv!C19=0,0,((s_Ir*s_F*s_I_f*s_T*(1-EXP(-s_RadSpec!BA19*s_t_v)))/(s_Y_v*s_RadSpec!BA19))),0)</f>
        <v>9.0143481925428208</v>
      </c>
      <c r="BB19" s="108">
        <f>IFERROR(IF(d_Bv!D19=0,0,((s_Ir*s_F*s_I_f*s_T*(1-EXP(-s_RadSpec!BA19*s_t_v)))/(s_Y_v*s_RadSpec!BA19))),0)</f>
        <v>9.0143481925428208</v>
      </c>
      <c r="BC19" s="108">
        <f>IFERROR(IF(d_Bv!E19=0,0,((s_Ir*s_F*s_I_f*s_T*(1-EXP(-s_RadSpec!BA19*s_t_v)))/(s_Y_v*s_RadSpec!BA19))),0)</f>
        <v>9.0143481925428208</v>
      </c>
      <c r="BD19" s="108">
        <f>IFERROR(IF(d_Bv!F19=0,0,((s_Ir*s_F*s_I_f*s_T*(1-EXP(-s_RadSpec!BA19*s_t_v)))/(s_Y_v*s_RadSpec!BA19))),0)</f>
        <v>9.0143481925428208</v>
      </c>
      <c r="BE19" s="108">
        <f>IFERROR(IF(d_Bv!G19=0,0,((s_Ir*s_F*s_I_f*s_T*(1-EXP(-s_RadSpec!BA19*s_t_v)))/(s_Y_v*s_RadSpec!BA19))),0)</f>
        <v>9.0143481925428208</v>
      </c>
      <c r="BF19" s="108">
        <f>IFERROR(IF(d_Bv!H19=0,0,((s_Ir*s_F*s_I_f*s_T*(1-EXP(-s_RadSpec!BA19*s_t_v)))/(s_Y_v*s_RadSpec!BA19))),0)</f>
        <v>9.0143481925428208</v>
      </c>
      <c r="BG19" s="108">
        <f>IFERROR(IF(d_Bv!I19=0,0,((s_Ir*s_F*s_I_f*s_T*(1-EXP(-s_RadSpec!BA19*s_t_v)))/(s_Y_v*s_RadSpec!BA19))),0)</f>
        <v>9.0143481925428208</v>
      </c>
      <c r="BH19" s="108">
        <f>IFERROR(IF(d_Bv!J19=0,0,((s_Ir*s_F*s_I_f*s_T*(1-EXP(-s_RadSpec!BA19*s_t_v)))/(s_Y_v*s_RadSpec!BA19))),0)</f>
        <v>9.0143481925428208</v>
      </c>
      <c r="BI19" s="108">
        <f>IFERROR(IF(d_Bv!K19=0,0,((s_Ir*s_F*s_I_f*s_T*(1-EXP(-s_RadSpec!BA19*s_t_v)))/(s_Y_v*s_RadSpec!BA19))),0)</f>
        <v>9.0143481925428208</v>
      </c>
      <c r="BJ19" s="108">
        <f>IFERROR(IF(d_Bv!L19=0,0,((s_Ir*s_F*s_I_f*s_T*(1-EXP(-s_RadSpec!BA19*s_t_v)))/(s_Y_v*s_RadSpec!BA19))),0)</f>
        <v>9.0143481925428208</v>
      </c>
      <c r="BK19" s="108">
        <f>IFERROR(IF(d_Bv!M19=0,0,((s_Ir*s_F*s_I_f*s_T*(1-EXP(-s_RadSpec!BA19*s_t_v)))/(s_Y_v*s_RadSpec!BA19))),0)</f>
        <v>9.0143481925428208</v>
      </c>
      <c r="BL19" s="108">
        <f>IFERROR(IF(d_Bv!N19=0,0,((s_Ir*s_F*s_I_f*s_T*(1-EXP(-s_RadSpec!BA19*s_t_v)))/(s_Y_v*s_RadSpec!BA19))),0)</f>
        <v>9.0143481925428208</v>
      </c>
      <c r="BM19" s="108">
        <f>IFERROR(IF(d_Bv!O19=0,0,((s_Ir*s_F*s_I_f*s_T*(1-EXP(-s_RadSpec!BA19*s_t_v)))/(s_Y_v*s_RadSpec!BA19))),0)</f>
        <v>9.0143481925428208</v>
      </c>
      <c r="BN19" s="108">
        <f>IFERROR(IF(d_Bv!P19=0,0,((s_Ir*s_F*s_I_f*s_T*(1-EXP(-s_RadSpec!BA19*s_t_v)))/(s_Y_v*s_RadSpec!BA19))),0)</f>
        <v>9.0143481925428208</v>
      </c>
      <c r="BO19" s="108">
        <f>IFERROR(IF(d_Bv!Q19=0,0,((s_Ir*s_F*s_I_f*s_T*(1-EXP(-s_RadSpec!BA19*s_t_v)))/(s_Y_v*s_RadSpec!BA19))),0)</f>
        <v>9.0143481925428208</v>
      </c>
      <c r="BP19" s="108">
        <f>IFERROR(IF(d_Bv!R19=0,0,((s_Ir*s_F*s_I_f*s_T*(1-EXP(-s_RadSpec!BA19*s_t_v)))/(s_Y_v*s_RadSpec!BA19))),0)</f>
        <v>9.0143481925428208</v>
      </c>
      <c r="BQ19" s="108">
        <f>IFERROR(IF(d_Bv!S19=0,0,((s_Ir*s_F*s_I_f*s_T*(1-EXP(-s_RadSpec!BA19*s_t_v)))/(s_Y_v*s_RadSpec!BA19))),0)</f>
        <v>9.0143481925428208</v>
      </c>
      <c r="BR19" s="108">
        <f>IFERROR(IF(d_Bv!T19=0,0,((s_Ir*s_F*s_I_f*s_T*(1-EXP(-s_RadSpec!BA19*s_t_v)))/(s_Y_v*s_RadSpec!BA19))),0)</f>
        <v>9.0143481925428208</v>
      </c>
      <c r="BS19" s="108">
        <f>IFERROR(IF(d_Bv!U19=0,0,((s_Ir*s_F*s_I_f*s_T*(1-EXP(-s_RadSpec!BA19*s_t_v)))/(s_Y_v*s_RadSpec!BA19))),0)</f>
        <v>9.0143481925428208</v>
      </c>
      <c r="BT19" s="108">
        <f>IFERROR(IF(d_Bv!V19=0,0,((s_Ir*s_F*s_I_f*s_T*(1-EXP(-s_RadSpec!BA19*s_t_v)))/(s_Y_v*s_RadSpec!BA19))),0)</f>
        <v>9.0143481925428208</v>
      </c>
      <c r="BU19" s="108">
        <f>IFERROR(IF(d_Bv!W19=0,0,((s_Ir*s_F*s_I_f*s_T*(1-EXP(-s_RadSpec!BA19*s_t_v)))/(s_Y_v*s_RadSpec!BA19))),0)</f>
        <v>9.0143481925428208</v>
      </c>
      <c r="BV19" s="108">
        <f>IFERROR(IF(d_Bv!X19=0,0,((s_Ir*s_F*s_I_f*s_T*(1-EXP(-s_RadSpec!BA19*s_t_v)))/(s_Y_v*s_RadSpec!BA19))),0)</f>
        <v>9.0143481925428208</v>
      </c>
      <c r="BW19" s="108">
        <f>IFERROR(IF(d_Bv!Y19=0,0,((s_Ir*s_F*s_I_f*s_T*(1-EXP(-s_RadSpec!BA19*s_t_v)))/(s_Y_v*s_RadSpec!BA19))),0)</f>
        <v>9.0143481925428208</v>
      </c>
      <c r="BX19" s="108">
        <f>IFERROR(IF(d_Bv!Z19=0,0,((s_Ir*s_F*s_I_f*s_T*(1-EXP(-s_RadSpec!BA19*s_t_v)))/(s_Y_v*s_RadSpec!BA19))),0)</f>
        <v>9.0143481925428208</v>
      </c>
      <c r="BY19" s="108">
        <f>IFERROR(IF(d_Bv!AA19=0,0,((s_Ir*s_F*s_I_f*s_T*(1-EXP(-s_RadSpec!BA19*s_t_v)))/(s_Y_v*s_RadSpec!BA19))),0)</f>
        <v>9.0143481925428208</v>
      </c>
    </row>
    <row r="20" spans="1:77" x14ac:dyDescent="0.25">
      <c r="A20" s="44" t="s">
        <v>18</v>
      </c>
      <c r="B20" s="42" t="s">
        <v>1057</v>
      </c>
      <c r="C20" s="108">
        <f>IFERROR(IF(d_Bv!C20=0,0,((s_Ir*s_F*d_Bv!C20*(1-EXP(-s_RadSpec!$AZ20*s_t_b)))/(s_P*s_RadSpec!$AZ20))),0)</f>
        <v>3.9740144921492811E-2</v>
      </c>
      <c r="D20" s="108">
        <f>IFERROR(IF(d_Bv!D20=0,0,((s_Ir*s_F*d_Bv!D20*(1-EXP(-s_RadSpec!AZ20*s_t_b)))/(s_P*s_RadSpec!AZ20))),0)</f>
        <v>1.4703853620952343</v>
      </c>
      <c r="E20" s="108">
        <f>IFERROR(IF(d_Bv!E20=0,0,((s_Ir*s_F*d_Bv!E20*(1-EXP(-s_RadSpec!AZ20*s_t_b)))/(s_P*s_RadSpec!AZ20))),0)</f>
        <v>1.1524642027232916</v>
      </c>
      <c r="F20" s="108">
        <f>IFERROR(IF(d_Bv!F20=0,0,((s_Ir*s_F*d_Bv!F20*(1-EXP(-s_RadSpec!AZ20*s_t_b)))/(s_P*s_RadSpec!AZ20))),0)</f>
        <v>3.9740144921492811E-2</v>
      </c>
      <c r="G20" s="108">
        <f>IFERROR(IF(d_Bv!G20=0,0,((s_Ir*s_F*d_Bv!G20*(1-EXP(-s_RadSpec!AZ20*s_t_b)))/(s_P*s_RadSpec!AZ20))),0)</f>
        <v>3.9740144921492811E-2</v>
      </c>
      <c r="H20" s="108">
        <f>IFERROR(IF(d_Bv!H20=0,0,((s_Ir*s_F*d_Bv!H20*(1-EXP(-s_RadSpec!AZ20*s_t_b)))/(s_P*s_RadSpec!AZ20))),0)</f>
        <v>1.4703853620952343</v>
      </c>
      <c r="I20" s="108">
        <f>IFERROR(IF(d_Bv!I20=0,0,((s_Ir*s_F*d_Bv!I20*(1-EXP(-s_RadSpec!AZ20*s_t_b)))/(s_P*s_RadSpec!AZ20))),0)</f>
        <v>1.1524642027232916</v>
      </c>
      <c r="J20" s="108">
        <f>IFERROR(IF(d_Bv!J20=0,0,((s_Ir*s_F*d_Bv!J20*(1-EXP(-s_RadSpec!AZ20*s_t_b)))/(s_P*s_RadSpec!AZ20))),0)</f>
        <v>3.9740144921492811E-2</v>
      </c>
      <c r="K20" s="108">
        <f>IFERROR(IF(d_Bv!K20=0,0,((s_Ir*s_F*d_Bv!K20*(1-EXP(-s_RadSpec!AZ20*s_t_b)))/(s_P*s_RadSpec!AZ20))),0)</f>
        <v>4.768817390579138E-2</v>
      </c>
      <c r="L20" s="108">
        <f>IFERROR(IF(d_Bv!L20=0,0,((s_Ir*s_F*d_Bv!L20*(1-EXP(-s_RadSpec!AZ20*s_t_b)))/(s_P*s_RadSpec!AZ20))),0)</f>
        <v>3.9740144921492811E-2</v>
      </c>
      <c r="M20" s="108">
        <f>IFERROR(IF(d_Bv!M20=0,0,((s_Ir*s_F*d_Bv!M20*(1-EXP(-s_RadSpec!AZ20*s_t_b)))/(s_P*s_RadSpec!AZ20))),0)</f>
        <v>1.4703853620952343</v>
      </c>
      <c r="N20" s="108">
        <f>IFERROR(IF(d_Bv!N20=0,0,((s_Ir*s_F*d_Bv!N20*(1-EXP(-s_RadSpec!AZ20*s_t_b)))/(s_P*s_RadSpec!AZ20))),0)</f>
        <v>5.364919564401531E-2</v>
      </c>
      <c r="O20" s="108">
        <f>IFERROR(IF(d_Bv!O20=0,0,((s_Ir*s_F*d_Bv!O20*(1-EXP(-s_RadSpec!AZ20*s_t_b)))/(s_P*s_RadSpec!AZ20))),0)</f>
        <v>3.9740144921492811E-2</v>
      </c>
      <c r="P20" s="108">
        <f>IFERROR(IF(d_Bv!P20=0,0,((s_Ir*s_F*d_Bv!P20*(1-EXP(-s_RadSpec!AZ20*s_t_b)))/(s_P*s_RadSpec!AZ20))),0)</f>
        <v>1.1524642027232916</v>
      </c>
      <c r="Q20" s="108">
        <f>IFERROR(IF(d_Bv!Q20=0,0,((s_Ir*s_F*d_Bv!Q20*(1-EXP(-s_RadSpec!AZ20*s_t_b)))/(s_P*s_RadSpec!AZ20))),0)</f>
        <v>3.9740144921492811E-2</v>
      </c>
      <c r="R20" s="108">
        <f>IFERROR(IF(d_Bv!R20=0,0,((s_Ir*s_F*d_Bv!R20*(1-EXP(-s_RadSpec!AZ20*s_t_b)))/(s_P*s_RadSpec!AZ20))),0)</f>
        <v>3.9740144921492811E-2</v>
      </c>
      <c r="S20" s="108">
        <f>IFERROR(IF(d_Bv!S20=0,0,((s_Ir*s_F*d_Bv!S20*(1-EXP(-s_RadSpec!AZ20*s_t_b)))/(s_P*s_RadSpec!AZ20))),0)</f>
        <v>5.364919564401531E-2</v>
      </c>
      <c r="T20" s="108">
        <f>IFERROR(IF(d_Bv!T20=0,0,((s_Ir*s_F*d_Bv!T20*(1-EXP(-s_RadSpec!AZ20*s_t_b)))/(s_P*s_RadSpec!AZ20))),0)</f>
        <v>3.9740144921492811E-2</v>
      </c>
      <c r="U20" s="108">
        <f>IFERROR(IF(d_Bv!U20=0,0,((s_Ir*s_F*d_Bv!U20*(1-EXP(-s_RadSpec!AZ20*s_t_b)))/(s_P*s_RadSpec!AZ20))),0)</f>
        <v>0.53649195644015302</v>
      </c>
      <c r="V20" s="108">
        <f>IFERROR(IF(d_Bv!V20=0,0,((s_Ir*s_F*d_Bv!V20*(1-EXP(-s_RadSpec!AZ20*s_t_b)))/(s_P*s_RadSpec!AZ20))),0)</f>
        <v>3.9740144921492811E-2</v>
      </c>
      <c r="W20" s="108">
        <f>IFERROR(IF(d_Bv!W20=0,0,((s_Ir*s_F*d_Bv!W20*(1-EXP(-s_RadSpec!AZ20*s_t_b)))/(s_P*s_RadSpec!AZ20))),0)</f>
        <v>5.364919564401531E-2</v>
      </c>
      <c r="X20" s="108">
        <f>IFERROR(IF(d_Bv!X20=0,0,((s_Ir*s_F*d_Bv!X20*(1-EXP(-s_RadSpec!AZ20*s_t_b)))/(s_P*s_RadSpec!AZ20))),0)</f>
        <v>3.9740144921492811E-2</v>
      </c>
      <c r="Y20" s="108">
        <f>IFERROR(IF(d_Bv!Y20=0,0,((s_Ir*s_F*d_Bv!Y20*(1-EXP(-s_RadSpec!AZ20*s_t_b)))/(s_P*s_RadSpec!AZ20))),0)</f>
        <v>3.9740144921492811E-2</v>
      </c>
      <c r="Z20" s="108">
        <f>IFERROR(IF(d_Bv!Z20=0,0,((s_Ir*s_F*d_Bv!Z20*(1-EXP(-s_RadSpec!AZ20*s_t_b)))/(s_P*s_RadSpec!AZ20))),0)</f>
        <v>2.583109419897033</v>
      </c>
      <c r="AA20" s="108">
        <f>IFERROR(IF(d_Bv!AA20=0,0,((s_Ir*s_F*d_Bv!AA20*(1-EXP(-s_RadSpec!AZ20*s_t_b)))/(s_P*s_RadSpec!AZ20))),0)</f>
        <v>4.768817390579138E-2</v>
      </c>
      <c r="AB20" s="108">
        <f>IFERROR(IF(d_Bv!C20=0,0,((s_Ir*s_F*s_MLF_apple*(1-EXP(-s_RadSpec!AZ20*s_t_b)))/(s_P*s_RadSpec!AZ20))),0)</f>
        <v>2.6824597822007652</v>
      </c>
      <c r="AC20" s="108">
        <f>IFERROR(IF(d_Bv!D20=0,0,((s_Ir*s_F*s_MLF_asparagus*(1-EXP(-s_RadSpec!AZ20*s_t_b)))/(s_P*s_RadSpec!AZ20))),0)</f>
        <v>2.6824597822007652</v>
      </c>
      <c r="AD20" s="108">
        <f>IFERROR(IF(d_Bv!E20=0,0,((s_Ir*s_F*s_MLF_beet*(1-EXP(-s_RadSpec!AZ20*s_t_b)))/(s_P*s_RadSpec!AZ20))),0)</f>
        <v>2.6824597822007652</v>
      </c>
      <c r="AE20" s="108">
        <f>IFERROR(IF(d_Bv!F20=0,0,((s_Ir*s_F*s_MLF_berries*(1-EXP(-s_RadSpec!AZ20*s_t_b)))/(s_P*s_RadSpec!AZ20))),0)</f>
        <v>2.6824597822007652</v>
      </c>
      <c r="AF20" s="108">
        <f>IFERROR(IF(d_Bv!G20=0,0,((s_Ir*s_F*s_MLF_broccoli*(1-EXP(-s_RadSpec!AZ20*s_t_b)))/(s_P*s_RadSpec!AZ20))),0)</f>
        <v>2.6824597822007652</v>
      </c>
      <c r="AG20" s="108">
        <f>IFERROR(IF(d_Bv!H20=0,0,((s_Ir*s_F*s_MLF_cabbage*(1-EXP(-s_RadSpec!AZ20*s_t_b)))/(s_P*s_RadSpec!AZ20))),0)</f>
        <v>2.6824597822007652</v>
      </c>
      <c r="AH20" s="108">
        <f>IFERROR(IF(d_Bv!I20=0,0,((s_Ir*s_F*s_MLF_carrot*(1-EXP(-s_RadSpec!AZ20*s_t_b)))/(s_P*s_RadSpec!AZ20))),0)</f>
        <v>2.6824597822007652</v>
      </c>
      <c r="AI20" s="108">
        <f>IFERROR(IF(d_Bv!J20=0,0,((s_Ir*s_F*s_MLF_citrus*(1-EXP(-s_RadSpec!AZ20*s_t_b)))/(s_P*s_RadSpec!AZ20))),0)</f>
        <v>2.6824597822007652</v>
      </c>
      <c r="AJ20" s="108">
        <f>IFERROR(IF(d_Bv!K20=0,0,((s_Ir*s_F*s_MLF_corn*(1-EXP(-s_RadSpec!AZ20*s_t_b)))/(s_P*s_RadSpec!AZ20))),0)</f>
        <v>2.6824597822007652</v>
      </c>
      <c r="AK20" s="108">
        <f>IFERROR(IF(d_Bv!L20=0,0,((s_Ir*s_F*s_MLF_cucumber*(1-EXP(-s_RadSpec!AZ20*s_t_b)))/(s_P*s_RadSpec!AZ20))),0)</f>
        <v>2.6824597822007652</v>
      </c>
      <c r="AL20" s="108">
        <f>IFERROR(IF(d_Bv!M20=0,0,((s_Ir*s_F*s_MLF_lettuce*(1-EXP(-s_RadSpec!AZ20*s_t_b)))/(s_P*s_RadSpec!AZ20))),0)</f>
        <v>2.6824597822007652</v>
      </c>
      <c r="AM20" s="108">
        <f>IFERROR(IF(d_Bv!N20=0,0,((s_Ir*s_F*s_MLF_lima_bean*(1-EXP(-s_RadSpec!AZ20*s_t_b)))/(s_P*s_RadSpec!AZ20))),0)</f>
        <v>2.6824597822007652</v>
      </c>
      <c r="AN20" s="108">
        <f>IFERROR(IF(d_Bv!O20=0,0,((s_Ir*s_F*s_MLF_okra*(1-EXP(-s_RadSpec!AZ20*s_t_b)))/(s_P*s_RadSpec!AZ20))),0)</f>
        <v>2.6824597822007652</v>
      </c>
      <c r="AO20" s="108">
        <f>IFERROR(IF(d_Bv!P20=0,0,((s_Ir*s_F*s_MLF_onion*(1-EXP(-s_RadSpec!AZ20*s_t_b)))/(s_P*s_RadSpec!AZ20))),0)</f>
        <v>2.6824597822007652</v>
      </c>
      <c r="AP20" s="108">
        <f>IFERROR(IF(d_Bv!Q20=0,0,((s_Ir*s_F*s_MLF_peach*(1-EXP(-s_RadSpec!AZ20*s_t_b)))/(s_P*s_RadSpec!AZ20))),0)</f>
        <v>2.6824597822007652</v>
      </c>
      <c r="AQ20" s="108">
        <f>IFERROR(IF(d_Bv!R20=0,0,((s_Ir*s_F*s_MLF_pear*(1-EXP(-s_RadSpec!AZ20*s_t_b)))/(s_P*s_RadSpec!AZ20))),0)</f>
        <v>2.6824597822007652</v>
      </c>
      <c r="AR20" s="108">
        <f>IFERROR(IF(d_Bv!S20=0,0,((s_Ir*s_F*s_MLF_peas*(1-EXP(-s_RadSpec!AZ20*s_t_b)))/(s_P*s_RadSpec!AZ20))),0)</f>
        <v>2.6824597822007652</v>
      </c>
      <c r="AS20" s="108">
        <f>IFERROR(IF(d_Bv!T20=0,0,((s_Ir*s_F*s_MLF_peppers*(1-EXP(-s_RadSpec!AZ20*s_t_b)))/(s_P*s_RadSpec!AZ20))),0)</f>
        <v>2.6824597822007652</v>
      </c>
      <c r="AT20" s="108">
        <f>IFERROR(IF(d_Bv!U20=0,0,((s_Ir*s_F*s_MLF_potato*(1-EXP(-s_RadSpec!AZ20*s_t_b)))/(s_P*s_RadSpec!AZ20))),0)</f>
        <v>2.6824597822007652</v>
      </c>
      <c r="AU20" s="108">
        <f>IFERROR(IF(d_Bv!V20=0,0,((s_Ir*s_F*s_MLF_pumpkin*(1-EXP(-s_RadSpec!AZ20*s_t_b)))/(s_P*s_RadSpec!AZ20))),0)</f>
        <v>2.6824597822007652</v>
      </c>
      <c r="AV20" s="108">
        <f>IFERROR(IF(d_Bv!W20=0,0,((s_Ir*s_F*s_MLF_snap_bean*(1-EXP(-s_RadSpec!AZ20*s_t_b)))/(s_P*s_RadSpec!AZ20))),0)</f>
        <v>2.6824597822007652</v>
      </c>
      <c r="AW20" s="108">
        <f>IFERROR(IF(d_Bv!X20=0,0,((s_Ir*s_F*s_MLF_strawberry*(1-EXP(-s_RadSpec!AZ20*s_t_b)))/(s_P*s_RadSpec!AZ20))),0)</f>
        <v>2.6824597822007652</v>
      </c>
      <c r="AX20" s="108">
        <f>IFERROR(IF(d_Bv!Y20=0,0,((s_Ir*s_F*s_MLF_tomato*(1-EXP(-s_RadSpec!AZ20*s_t_b)))/(s_P*s_RadSpec!AZ20))),0)</f>
        <v>2.6824597822007652</v>
      </c>
      <c r="AY20" s="108">
        <f>IFERROR(IF(d_Bv!Z20=0,0,((s_Ir*s_F*s_MLF_rice*(1-EXP(-s_RadSpec!AZ20*s_t_b)))/(s_P*s_RadSpec!AZ20))),0)</f>
        <v>2.6824597822007652</v>
      </c>
      <c r="AZ20" s="108">
        <f>IFERROR(IF(d_Bv!AA20=0,0,((s_Ir*s_F*s_MLF_cereal*(1-EXP(-s_RadSpec!AZ20*s_t_b)))/(s_P*s_RadSpec!AZ20))),0)</f>
        <v>2.6824597822007652</v>
      </c>
      <c r="BA20" s="108">
        <f>IFERROR(IF(d_Bv!C20=0,0,((s_Ir*s_F*s_I_f*s_T*(1-EXP(-s_RadSpec!BA20*s_t_v)))/(s_Y_v*s_RadSpec!BA20))),0)</f>
        <v>9.0143481925428208</v>
      </c>
      <c r="BB20" s="108">
        <f>IFERROR(IF(d_Bv!D20=0,0,((s_Ir*s_F*s_I_f*s_T*(1-EXP(-s_RadSpec!BA20*s_t_v)))/(s_Y_v*s_RadSpec!BA20))),0)</f>
        <v>9.0143481925428208</v>
      </c>
      <c r="BC20" s="108">
        <f>IFERROR(IF(d_Bv!E20=0,0,((s_Ir*s_F*s_I_f*s_T*(1-EXP(-s_RadSpec!BA20*s_t_v)))/(s_Y_v*s_RadSpec!BA20))),0)</f>
        <v>9.0143481925428208</v>
      </c>
      <c r="BD20" s="108">
        <f>IFERROR(IF(d_Bv!F20=0,0,((s_Ir*s_F*s_I_f*s_T*(1-EXP(-s_RadSpec!BA20*s_t_v)))/(s_Y_v*s_RadSpec!BA20))),0)</f>
        <v>9.0143481925428208</v>
      </c>
      <c r="BE20" s="108">
        <f>IFERROR(IF(d_Bv!G20=0,0,((s_Ir*s_F*s_I_f*s_T*(1-EXP(-s_RadSpec!BA20*s_t_v)))/(s_Y_v*s_RadSpec!BA20))),0)</f>
        <v>9.0143481925428208</v>
      </c>
      <c r="BF20" s="108">
        <f>IFERROR(IF(d_Bv!H20=0,0,((s_Ir*s_F*s_I_f*s_T*(1-EXP(-s_RadSpec!BA20*s_t_v)))/(s_Y_v*s_RadSpec!BA20))),0)</f>
        <v>9.0143481925428208</v>
      </c>
      <c r="BG20" s="108">
        <f>IFERROR(IF(d_Bv!I20=0,0,((s_Ir*s_F*s_I_f*s_T*(1-EXP(-s_RadSpec!BA20*s_t_v)))/(s_Y_v*s_RadSpec!BA20))),0)</f>
        <v>9.0143481925428208</v>
      </c>
      <c r="BH20" s="108">
        <f>IFERROR(IF(d_Bv!J20=0,0,((s_Ir*s_F*s_I_f*s_T*(1-EXP(-s_RadSpec!BA20*s_t_v)))/(s_Y_v*s_RadSpec!BA20))),0)</f>
        <v>9.0143481925428208</v>
      </c>
      <c r="BI20" s="108">
        <f>IFERROR(IF(d_Bv!K20=0,0,((s_Ir*s_F*s_I_f*s_T*(1-EXP(-s_RadSpec!BA20*s_t_v)))/(s_Y_v*s_RadSpec!BA20))),0)</f>
        <v>9.0143481925428208</v>
      </c>
      <c r="BJ20" s="108">
        <f>IFERROR(IF(d_Bv!L20=0,0,((s_Ir*s_F*s_I_f*s_T*(1-EXP(-s_RadSpec!BA20*s_t_v)))/(s_Y_v*s_RadSpec!BA20))),0)</f>
        <v>9.0143481925428208</v>
      </c>
      <c r="BK20" s="108">
        <f>IFERROR(IF(d_Bv!M20=0,0,((s_Ir*s_F*s_I_f*s_T*(1-EXP(-s_RadSpec!BA20*s_t_v)))/(s_Y_v*s_RadSpec!BA20))),0)</f>
        <v>9.0143481925428208</v>
      </c>
      <c r="BL20" s="108">
        <f>IFERROR(IF(d_Bv!N20=0,0,((s_Ir*s_F*s_I_f*s_T*(1-EXP(-s_RadSpec!BA20*s_t_v)))/(s_Y_v*s_RadSpec!BA20))),0)</f>
        <v>9.0143481925428208</v>
      </c>
      <c r="BM20" s="108">
        <f>IFERROR(IF(d_Bv!O20=0,0,((s_Ir*s_F*s_I_f*s_T*(1-EXP(-s_RadSpec!BA20*s_t_v)))/(s_Y_v*s_RadSpec!BA20))),0)</f>
        <v>9.0143481925428208</v>
      </c>
      <c r="BN20" s="108">
        <f>IFERROR(IF(d_Bv!P20=0,0,((s_Ir*s_F*s_I_f*s_T*(1-EXP(-s_RadSpec!BA20*s_t_v)))/(s_Y_v*s_RadSpec!BA20))),0)</f>
        <v>9.0143481925428208</v>
      </c>
      <c r="BO20" s="108">
        <f>IFERROR(IF(d_Bv!Q20=0,0,((s_Ir*s_F*s_I_f*s_T*(1-EXP(-s_RadSpec!BA20*s_t_v)))/(s_Y_v*s_RadSpec!BA20))),0)</f>
        <v>9.0143481925428208</v>
      </c>
      <c r="BP20" s="108">
        <f>IFERROR(IF(d_Bv!R20=0,0,((s_Ir*s_F*s_I_f*s_T*(1-EXP(-s_RadSpec!BA20*s_t_v)))/(s_Y_v*s_RadSpec!BA20))),0)</f>
        <v>9.0143481925428208</v>
      </c>
      <c r="BQ20" s="108">
        <f>IFERROR(IF(d_Bv!S20=0,0,((s_Ir*s_F*s_I_f*s_T*(1-EXP(-s_RadSpec!BA20*s_t_v)))/(s_Y_v*s_RadSpec!BA20))),0)</f>
        <v>9.0143481925428208</v>
      </c>
      <c r="BR20" s="108">
        <f>IFERROR(IF(d_Bv!T20=0,0,((s_Ir*s_F*s_I_f*s_T*(1-EXP(-s_RadSpec!BA20*s_t_v)))/(s_Y_v*s_RadSpec!BA20))),0)</f>
        <v>9.0143481925428208</v>
      </c>
      <c r="BS20" s="108">
        <f>IFERROR(IF(d_Bv!U20=0,0,((s_Ir*s_F*s_I_f*s_T*(1-EXP(-s_RadSpec!BA20*s_t_v)))/(s_Y_v*s_RadSpec!BA20))),0)</f>
        <v>9.0143481925428208</v>
      </c>
      <c r="BT20" s="108">
        <f>IFERROR(IF(d_Bv!V20=0,0,((s_Ir*s_F*s_I_f*s_T*(1-EXP(-s_RadSpec!BA20*s_t_v)))/(s_Y_v*s_RadSpec!BA20))),0)</f>
        <v>9.0143481925428208</v>
      </c>
      <c r="BU20" s="108">
        <f>IFERROR(IF(d_Bv!W20=0,0,((s_Ir*s_F*s_I_f*s_T*(1-EXP(-s_RadSpec!BA20*s_t_v)))/(s_Y_v*s_RadSpec!BA20))),0)</f>
        <v>9.0143481925428208</v>
      </c>
      <c r="BV20" s="108">
        <f>IFERROR(IF(d_Bv!X20=0,0,((s_Ir*s_F*s_I_f*s_T*(1-EXP(-s_RadSpec!BA20*s_t_v)))/(s_Y_v*s_RadSpec!BA20))),0)</f>
        <v>9.0143481925428208</v>
      </c>
      <c r="BW20" s="108">
        <f>IFERROR(IF(d_Bv!Y20=0,0,((s_Ir*s_F*s_I_f*s_T*(1-EXP(-s_RadSpec!BA20*s_t_v)))/(s_Y_v*s_RadSpec!BA20))),0)</f>
        <v>9.0143481925428208</v>
      </c>
      <c r="BX20" s="108">
        <f>IFERROR(IF(d_Bv!Z20=0,0,((s_Ir*s_F*s_I_f*s_T*(1-EXP(-s_RadSpec!BA20*s_t_v)))/(s_Y_v*s_RadSpec!BA20))),0)</f>
        <v>9.0143481925428208</v>
      </c>
      <c r="BY20" s="108">
        <f>IFERROR(IF(d_Bv!AA20=0,0,((s_Ir*s_F*s_I_f*s_T*(1-EXP(-s_RadSpec!BA20*s_t_v)))/(s_Y_v*s_RadSpec!BA20))),0)</f>
        <v>9.0143481925428208</v>
      </c>
    </row>
    <row r="21" spans="1:77" x14ac:dyDescent="0.25">
      <c r="A21" s="44" t="s">
        <v>19</v>
      </c>
      <c r="B21" s="42" t="s">
        <v>1057</v>
      </c>
      <c r="C21" s="108">
        <f>IFERROR(IF(d_Bv!C21=0,0,((s_Ir*s_F*d_Bv!C21*(1-EXP(-s_RadSpec!$AZ21*s_t_b)))/(s_P*s_RadSpec!$AZ21))),0)</f>
        <v>3.9740144921492811E-2</v>
      </c>
      <c r="D21" s="108">
        <f>IFERROR(IF(d_Bv!D21=0,0,((s_Ir*s_F*d_Bv!D21*(1-EXP(-s_RadSpec!AZ21*s_t_b)))/(s_P*s_RadSpec!AZ21))),0)</f>
        <v>1.4703853620952343</v>
      </c>
      <c r="E21" s="108">
        <f>IFERROR(IF(d_Bv!E21=0,0,((s_Ir*s_F*d_Bv!E21*(1-EXP(-s_RadSpec!AZ21*s_t_b)))/(s_P*s_RadSpec!AZ21))),0)</f>
        <v>1.1524642027232916</v>
      </c>
      <c r="F21" s="108">
        <f>IFERROR(IF(d_Bv!F21=0,0,((s_Ir*s_F*d_Bv!F21*(1-EXP(-s_RadSpec!AZ21*s_t_b)))/(s_P*s_RadSpec!AZ21))),0)</f>
        <v>3.9740144921492811E-2</v>
      </c>
      <c r="G21" s="108">
        <f>IFERROR(IF(d_Bv!G21=0,0,((s_Ir*s_F*d_Bv!G21*(1-EXP(-s_RadSpec!AZ21*s_t_b)))/(s_P*s_RadSpec!AZ21))),0)</f>
        <v>3.9740144921492811E-2</v>
      </c>
      <c r="H21" s="108">
        <f>IFERROR(IF(d_Bv!H21=0,0,((s_Ir*s_F*d_Bv!H21*(1-EXP(-s_RadSpec!AZ21*s_t_b)))/(s_P*s_RadSpec!AZ21))),0)</f>
        <v>1.4703853620952343</v>
      </c>
      <c r="I21" s="108">
        <f>IFERROR(IF(d_Bv!I21=0,0,((s_Ir*s_F*d_Bv!I21*(1-EXP(-s_RadSpec!AZ21*s_t_b)))/(s_P*s_RadSpec!AZ21))),0)</f>
        <v>1.1524642027232916</v>
      </c>
      <c r="J21" s="108">
        <f>IFERROR(IF(d_Bv!J21=0,0,((s_Ir*s_F*d_Bv!J21*(1-EXP(-s_RadSpec!AZ21*s_t_b)))/(s_P*s_RadSpec!AZ21))),0)</f>
        <v>3.9740144921492811E-2</v>
      </c>
      <c r="K21" s="108">
        <f>IFERROR(IF(d_Bv!K21=0,0,((s_Ir*s_F*d_Bv!K21*(1-EXP(-s_RadSpec!AZ21*s_t_b)))/(s_P*s_RadSpec!AZ21))),0)</f>
        <v>4.768817390579138E-2</v>
      </c>
      <c r="L21" s="108">
        <f>IFERROR(IF(d_Bv!L21=0,0,((s_Ir*s_F*d_Bv!L21*(1-EXP(-s_RadSpec!AZ21*s_t_b)))/(s_P*s_RadSpec!AZ21))),0)</f>
        <v>3.9740144921492811E-2</v>
      </c>
      <c r="M21" s="108">
        <f>IFERROR(IF(d_Bv!M21=0,0,((s_Ir*s_F*d_Bv!M21*(1-EXP(-s_RadSpec!AZ21*s_t_b)))/(s_P*s_RadSpec!AZ21))),0)</f>
        <v>1.4703853620952343</v>
      </c>
      <c r="N21" s="108">
        <f>IFERROR(IF(d_Bv!N21=0,0,((s_Ir*s_F*d_Bv!N21*(1-EXP(-s_RadSpec!AZ21*s_t_b)))/(s_P*s_RadSpec!AZ21))),0)</f>
        <v>5.364919564401531E-2</v>
      </c>
      <c r="O21" s="108">
        <f>IFERROR(IF(d_Bv!O21=0,0,((s_Ir*s_F*d_Bv!O21*(1-EXP(-s_RadSpec!AZ21*s_t_b)))/(s_P*s_RadSpec!AZ21))),0)</f>
        <v>3.9740144921492811E-2</v>
      </c>
      <c r="P21" s="108">
        <f>IFERROR(IF(d_Bv!P21=0,0,((s_Ir*s_F*d_Bv!P21*(1-EXP(-s_RadSpec!AZ21*s_t_b)))/(s_P*s_RadSpec!AZ21))),0)</f>
        <v>1.1524642027232916</v>
      </c>
      <c r="Q21" s="108">
        <f>IFERROR(IF(d_Bv!Q21=0,0,((s_Ir*s_F*d_Bv!Q21*(1-EXP(-s_RadSpec!AZ21*s_t_b)))/(s_P*s_RadSpec!AZ21))),0)</f>
        <v>3.9740144921492811E-2</v>
      </c>
      <c r="R21" s="108">
        <f>IFERROR(IF(d_Bv!R21=0,0,((s_Ir*s_F*d_Bv!R21*(1-EXP(-s_RadSpec!AZ21*s_t_b)))/(s_P*s_RadSpec!AZ21))),0)</f>
        <v>3.9740144921492811E-2</v>
      </c>
      <c r="S21" s="108">
        <f>IFERROR(IF(d_Bv!S21=0,0,((s_Ir*s_F*d_Bv!S21*(1-EXP(-s_RadSpec!AZ21*s_t_b)))/(s_P*s_RadSpec!AZ21))),0)</f>
        <v>5.364919564401531E-2</v>
      </c>
      <c r="T21" s="108">
        <f>IFERROR(IF(d_Bv!T21=0,0,((s_Ir*s_F*d_Bv!T21*(1-EXP(-s_RadSpec!AZ21*s_t_b)))/(s_P*s_RadSpec!AZ21))),0)</f>
        <v>3.9740144921492811E-2</v>
      </c>
      <c r="U21" s="108">
        <f>IFERROR(IF(d_Bv!U21=0,0,((s_Ir*s_F*d_Bv!U21*(1-EXP(-s_RadSpec!AZ21*s_t_b)))/(s_P*s_RadSpec!AZ21))),0)</f>
        <v>0.53649195644015302</v>
      </c>
      <c r="V21" s="108">
        <f>IFERROR(IF(d_Bv!V21=0,0,((s_Ir*s_F*d_Bv!V21*(1-EXP(-s_RadSpec!AZ21*s_t_b)))/(s_P*s_RadSpec!AZ21))),0)</f>
        <v>3.9740144921492811E-2</v>
      </c>
      <c r="W21" s="108">
        <f>IFERROR(IF(d_Bv!W21=0,0,((s_Ir*s_F*d_Bv!W21*(1-EXP(-s_RadSpec!AZ21*s_t_b)))/(s_P*s_RadSpec!AZ21))),0)</f>
        <v>5.364919564401531E-2</v>
      </c>
      <c r="X21" s="108">
        <f>IFERROR(IF(d_Bv!X21=0,0,((s_Ir*s_F*d_Bv!X21*(1-EXP(-s_RadSpec!AZ21*s_t_b)))/(s_P*s_RadSpec!AZ21))),0)</f>
        <v>3.9740144921492811E-2</v>
      </c>
      <c r="Y21" s="108">
        <f>IFERROR(IF(d_Bv!Y21=0,0,((s_Ir*s_F*d_Bv!Y21*(1-EXP(-s_RadSpec!AZ21*s_t_b)))/(s_P*s_RadSpec!AZ21))),0)</f>
        <v>3.9740144921492811E-2</v>
      </c>
      <c r="Z21" s="108">
        <f>IFERROR(IF(d_Bv!Z21=0,0,((s_Ir*s_F*d_Bv!Z21*(1-EXP(-s_RadSpec!AZ21*s_t_b)))/(s_P*s_RadSpec!AZ21))),0)</f>
        <v>2.583109419897033</v>
      </c>
      <c r="AA21" s="108">
        <f>IFERROR(IF(d_Bv!AA21=0,0,((s_Ir*s_F*d_Bv!AA21*(1-EXP(-s_RadSpec!AZ21*s_t_b)))/(s_P*s_RadSpec!AZ21))),0)</f>
        <v>4.768817390579138E-2</v>
      </c>
      <c r="AB21" s="108">
        <f>IFERROR(IF(d_Bv!C21=0,0,((s_Ir*s_F*s_MLF_apple*(1-EXP(-s_RadSpec!AZ21*s_t_b)))/(s_P*s_RadSpec!AZ21))),0)</f>
        <v>2.6824597822007652</v>
      </c>
      <c r="AC21" s="108">
        <f>IFERROR(IF(d_Bv!D21=0,0,((s_Ir*s_F*s_MLF_asparagus*(1-EXP(-s_RadSpec!AZ21*s_t_b)))/(s_P*s_RadSpec!AZ21))),0)</f>
        <v>2.6824597822007652</v>
      </c>
      <c r="AD21" s="108">
        <f>IFERROR(IF(d_Bv!E21=0,0,((s_Ir*s_F*s_MLF_beet*(1-EXP(-s_RadSpec!AZ21*s_t_b)))/(s_P*s_RadSpec!AZ21))),0)</f>
        <v>2.6824597822007652</v>
      </c>
      <c r="AE21" s="108">
        <f>IFERROR(IF(d_Bv!F21=0,0,((s_Ir*s_F*s_MLF_berries*(1-EXP(-s_RadSpec!AZ21*s_t_b)))/(s_P*s_RadSpec!AZ21))),0)</f>
        <v>2.6824597822007652</v>
      </c>
      <c r="AF21" s="108">
        <f>IFERROR(IF(d_Bv!G21=0,0,((s_Ir*s_F*s_MLF_broccoli*(1-EXP(-s_RadSpec!AZ21*s_t_b)))/(s_P*s_RadSpec!AZ21))),0)</f>
        <v>2.6824597822007652</v>
      </c>
      <c r="AG21" s="108">
        <f>IFERROR(IF(d_Bv!H21=0,0,((s_Ir*s_F*s_MLF_cabbage*(1-EXP(-s_RadSpec!AZ21*s_t_b)))/(s_P*s_RadSpec!AZ21))),0)</f>
        <v>2.6824597822007652</v>
      </c>
      <c r="AH21" s="108">
        <f>IFERROR(IF(d_Bv!I21=0,0,((s_Ir*s_F*s_MLF_carrot*(1-EXP(-s_RadSpec!AZ21*s_t_b)))/(s_P*s_RadSpec!AZ21))),0)</f>
        <v>2.6824597822007652</v>
      </c>
      <c r="AI21" s="108">
        <f>IFERROR(IF(d_Bv!J21=0,0,((s_Ir*s_F*s_MLF_citrus*(1-EXP(-s_RadSpec!AZ21*s_t_b)))/(s_P*s_RadSpec!AZ21))),0)</f>
        <v>2.6824597822007652</v>
      </c>
      <c r="AJ21" s="108">
        <f>IFERROR(IF(d_Bv!K21=0,0,((s_Ir*s_F*s_MLF_corn*(1-EXP(-s_RadSpec!AZ21*s_t_b)))/(s_P*s_RadSpec!AZ21))),0)</f>
        <v>2.6824597822007652</v>
      </c>
      <c r="AK21" s="108">
        <f>IFERROR(IF(d_Bv!L21=0,0,((s_Ir*s_F*s_MLF_cucumber*(1-EXP(-s_RadSpec!AZ21*s_t_b)))/(s_P*s_RadSpec!AZ21))),0)</f>
        <v>2.6824597822007652</v>
      </c>
      <c r="AL21" s="108">
        <f>IFERROR(IF(d_Bv!M21=0,0,((s_Ir*s_F*s_MLF_lettuce*(1-EXP(-s_RadSpec!AZ21*s_t_b)))/(s_P*s_RadSpec!AZ21))),0)</f>
        <v>2.6824597822007652</v>
      </c>
      <c r="AM21" s="108">
        <f>IFERROR(IF(d_Bv!N21=0,0,((s_Ir*s_F*s_MLF_lima_bean*(1-EXP(-s_RadSpec!AZ21*s_t_b)))/(s_P*s_RadSpec!AZ21))),0)</f>
        <v>2.6824597822007652</v>
      </c>
      <c r="AN21" s="108">
        <f>IFERROR(IF(d_Bv!O21=0,0,((s_Ir*s_F*s_MLF_okra*(1-EXP(-s_RadSpec!AZ21*s_t_b)))/(s_P*s_RadSpec!AZ21))),0)</f>
        <v>2.6824597822007652</v>
      </c>
      <c r="AO21" s="108">
        <f>IFERROR(IF(d_Bv!P21=0,0,((s_Ir*s_F*s_MLF_onion*(1-EXP(-s_RadSpec!AZ21*s_t_b)))/(s_P*s_RadSpec!AZ21))),0)</f>
        <v>2.6824597822007652</v>
      </c>
      <c r="AP21" s="108">
        <f>IFERROR(IF(d_Bv!Q21=0,0,((s_Ir*s_F*s_MLF_peach*(1-EXP(-s_RadSpec!AZ21*s_t_b)))/(s_P*s_RadSpec!AZ21))),0)</f>
        <v>2.6824597822007652</v>
      </c>
      <c r="AQ21" s="108">
        <f>IFERROR(IF(d_Bv!R21=0,0,((s_Ir*s_F*s_MLF_pear*(1-EXP(-s_RadSpec!AZ21*s_t_b)))/(s_P*s_RadSpec!AZ21))),0)</f>
        <v>2.6824597822007652</v>
      </c>
      <c r="AR21" s="108">
        <f>IFERROR(IF(d_Bv!S21=0,0,((s_Ir*s_F*s_MLF_peas*(1-EXP(-s_RadSpec!AZ21*s_t_b)))/(s_P*s_RadSpec!AZ21))),0)</f>
        <v>2.6824597822007652</v>
      </c>
      <c r="AS21" s="108">
        <f>IFERROR(IF(d_Bv!T21=0,0,((s_Ir*s_F*s_MLF_peppers*(1-EXP(-s_RadSpec!AZ21*s_t_b)))/(s_P*s_RadSpec!AZ21))),0)</f>
        <v>2.6824597822007652</v>
      </c>
      <c r="AT21" s="108">
        <f>IFERROR(IF(d_Bv!U21=0,0,((s_Ir*s_F*s_MLF_potato*(1-EXP(-s_RadSpec!AZ21*s_t_b)))/(s_P*s_RadSpec!AZ21))),0)</f>
        <v>2.6824597822007652</v>
      </c>
      <c r="AU21" s="108">
        <f>IFERROR(IF(d_Bv!V21=0,0,((s_Ir*s_F*s_MLF_pumpkin*(1-EXP(-s_RadSpec!AZ21*s_t_b)))/(s_P*s_RadSpec!AZ21))),0)</f>
        <v>2.6824597822007652</v>
      </c>
      <c r="AV21" s="108">
        <f>IFERROR(IF(d_Bv!W21=0,0,((s_Ir*s_F*s_MLF_snap_bean*(1-EXP(-s_RadSpec!AZ21*s_t_b)))/(s_P*s_RadSpec!AZ21))),0)</f>
        <v>2.6824597822007652</v>
      </c>
      <c r="AW21" s="108">
        <f>IFERROR(IF(d_Bv!X21=0,0,((s_Ir*s_F*s_MLF_strawberry*(1-EXP(-s_RadSpec!AZ21*s_t_b)))/(s_P*s_RadSpec!AZ21))),0)</f>
        <v>2.6824597822007652</v>
      </c>
      <c r="AX21" s="108">
        <f>IFERROR(IF(d_Bv!Y21=0,0,((s_Ir*s_F*s_MLF_tomato*(1-EXP(-s_RadSpec!AZ21*s_t_b)))/(s_P*s_RadSpec!AZ21))),0)</f>
        <v>2.6824597822007652</v>
      </c>
      <c r="AY21" s="108">
        <f>IFERROR(IF(d_Bv!Z21=0,0,((s_Ir*s_F*s_MLF_rice*(1-EXP(-s_RadSpec!AZ21*s_t_b)))/(s_P*s_RadSpec!AZ21))),0)</f>
        <v>2.6824597822007652</v>
      </c>
      <c r="AZ21" s="108">
        <f>IFERROR(IF(d_Bv!AA21=0,0,((s_Ir*s_F*s_MLF_cereal*(1-EXP(-s_RadSpec!AZ21*s_t_b)))/(s_P*s_RadSpec!AZ21))),0)</f>
        <v>2.6824597822007652</v>
      </c>
      <c r="BA21" s="108">
        <f>IFERROR(IF(d_Bv!C21=0,0,((s_Ir*s_F*s_I_f*s_T*(1-EXP(-s_RadSpec!BA21*s_t_v)))/(s_Y_v*s_RadSpec!BA21))),0)</f>
        <v>9.0143481925428208</v>
      </c>
      <c r="BB21" s="108">
        <f>IFERROR(IF(d_Bv!D21=0,0,((s_Ir*s_F*s_I_f*s_T*(1-EXP(-s_RadSpec!BA21*s_t_v)))/(s_Y_v*s_RadSpec!BA21))),0)</f>
        <v>9.0143481925428208</v>
      </c>
      <c r="BC21" s="108">
        <f>IFERROR(IF(d_Bv!E21=0,0,((s_Ir*s_F*s_I_f*s_T*(1-EXP(-s_RadSpec!BA21*s_t_v)))/(s_Y_v*s_RadSpec!BA21))),0)</f>
        <v>9.0143481925428208</v>
      </c>
      <c r="BD21" s="108">
        <f>IFERROR(IF(d_Bv!F21=0,0,((s_Ir*s_F*s_I_f*s_T*(1-EXP(-s_RadSpec!BA21*s_t_v)))/(s_Y_v*s_RadSpec!BA21))),0)</f>
        <v>9.0143481925428208</v>
      </c>
      <c r="BE21" s="108">
        <f>IFERROR(IF(d_Bv!G21=0,0,((s_Ir*s_F*s_I_f*s_T*(1-EXP(-s_RadSpec!BA21*s_t_v)))/(s_Y_v*s_RadSpec!BA21))),0)</f>
        <v>9.0143481925428208</v>
      </c>
      <c r="BF21" s="108">
        <f>IFERROR(IF(d_Bv!H21=0,0,((s_Ir*s_F*s_I_f*s_T*(1-EXP(-s_RadSpec!BA21*s_t_v)))/(s_Y_v*s_RadSpec!BA21))),0)</f>
        <v>9.0143481925428208</v>
      </c>
      <c r="BG21" s="108">
        <f>IFERROR(IF(d_Bv!I21=0,0,((s_Ir*s_F*s_I_f*s_T*(1-EXP(-s_RadSpec!BA21*s_t_v)))/(s_Y_v*s_RadSpec!BA21))),0)</f>
        <v>9.0143481925428208</v>
      </c>
      <c r="BH21" s="108">
        <f>IFERROR(IF(d_Bv!J21=0,0,((s_Ir*s_F*s_I_f*s_T*(1-EXP(-s_RadSpec!BA21*s_t_v)))/(s_Y_v*s_RadSpec!BA21))),0)</f>
        <v>9.0143481925428208</v>
      </c>
      <c r="BI21" s="108">
        <f>IFERROR(IF(d_Bv!K21=0,0,((s_Ir*s_F*s_I_f*s_T*(1-EXP(-s_RadSpec!BA21*s_t_v)))/(s_Y_v*s_RadSpec!BA21))),0)</f>
        <v>9.0143481925428208</v>
      </c>
      <c r="BJ21" s="108">
        <f>IFERROR(IF(d_Bv!L21=0,0,((s_Ir*s_F*s_I_f*s_T*(1-EXP(-s_RadSpec!BA21*s_t_v)))/(s_Y_v*s_RadSpec!BA21))),0)</f>
        <v>9.0143481925428208</v>
      </c>
      <c r="BK21" s="108">
        <f>IFERROR(IF(d_Bv!M21=0,0,((s_Ir*s_F*s_I_f*s_T*(1-EXP(-s_RadSpec!BA21*s_t_v)))/(s_Y_v*s_RadSpec!BA21))),0)</f>
        <v>9.0143481925428208</v>
      </c>
      <c r="BL21" s="108">
        <f>IFERROR(IF(d_Bv!N21=0,0,((s_Ir*s_F*s_I_f*s_T*(1-EXP(-s_RadSpec!BA21*s_t_v)))/(s_Y_v*s_RadSpec!BA21))),0)</f>
        <v>9.0143481925428208</v>
      </c>
      <c r="BM21" s="108">
        <f>IFERROR(IF(d_Bv!O21=0,0,((s_Ir*s_F*s_I_f*s_T*(1-EXP(-s_RadSpec!BA21*s_t_v)))/(s_Y_v*s_RadSpec!BA21))),0)</f>
        <v>9.0143481925428208</v>
      </c>
      <c r="BN21" s="108">
        <f>IFERROR(IF(d_Bv!P21=0,0,((s_Ir*s_F*s_I_f*s_T*(1-EXP(-s_RadSpec!BA21*s_t_v)))/(s_Y_v*s_RadSpec!BA21))),0)</f>
        <v>9.0143481925428208</v>
      </c>
      <c r="BO21" s="108">
        <f>IFERROR(IF(d_Bv!Q21=0,0,((s_Ir*s_F*s_I_f*s_T*(1-EXP(-s_RadSpec!BA21*s_t_v)))/(s_Y_v*s_RadSpec!BA21))),0)</f>
        <v>9.0143481925428208</v>
      </c>
      <c r="BP21" s="108">
        <f>IFERROR(IF(d_Bv!R21=0,0,((s_Ir*s_F*s_I_f*s_T*(1-EXP(-s_RadSpec!BA21*s_t_v)))/(s_Y_v*s_RadSpec!BA21))),0)</f>
        <v>9.0143481925428208</v>
      </c>
      <c r="BQ21" s="108">
        <f>IFERROR(IF(d_Bv!S21=0,0,((s_Ir*s_F*s_I_f*s_T*(1-EXP(-s_RadSpec!BA21*s_t_v)))/(s_Y_v*s_RadSpec!BA21))),0)</f>
        <v>9.0143481925428208</v>
      </c>
      <c r="BR21" s="108">
        <f>IFERROR(IF(d_Bv!T21=0,0,((s_Ir*s_F*s_I_f*s_T*(1-EXP(-s_RadSpec!BA21*s_t_v)))/(s_Y_v*s_RadSpec!BA21))),0)</f>
        <v>9.0143481925428208</v>
      </c>
      <c r="BS21" s="108">
        <f>IFERROR(IF(d_Bv!U21=0,0,((s_Ir*s_F*s_I_f*s_T*(1-EXP(-s_RadSpec!BA21*s_t_v)))/(s_Y_v*s_RadSpec!BA21))),0)</f>
        <v>9.0143481925428208</v>
      </c>
      <c r="BT21" s="108">
        <f>IFERROR(IF(d_Bv!V21=0,0,((s_Ir*s_F*s_I_f*s_T*(1-EXP(-s_RadSpec!BA21*s_t_v)))/(s_Y_v*s_RadSpec!BA21))),0)</f>
        <v>9.0143481925428208</v>
      </c>
      <c r="BU21" s="108">
        <f>IFERROR(IF(d_Bv!W21=0,0,((s_Ir*s_F*s_I_f*s_T*(1-EXP(-s_RadSpec!BA21*s_t_v)))/(s_Y_v*s_RadSpec!BA21))),0)</f>
        <v>9.0143481925428208</v>
      </c>
      <c r="BV21" s="108">
        <f>IFERROR(IF(d_Bv!X21=0,0,((s_Ir*s_F*s_I_f*s_T*(1-EXP(-s_RadSpec!BA21*s_t_v)))/(s_Y_v*s_RadSpec!BA21))),0)</f>
        <v>9.0143481925428208</v>
      </c>
      <c r="BW21" s="108">
        <f>IFERROR(IF(d_Bv!Y21=0,0,((s_Ir*s_F*s_I_f*s_T*(1-EXP(-s_RadSpec!BA21*s_t_v)))/(s_Y_v*s_RadSpec!BA21))),0)</f>
        <v>9.0143481925428208</v>
      </c>
      <c r="BX21" s="108">
        <f>IFERROR(IF(d_Bv!Z21=0,0,((s_Ir*s_F*s_I_f*s_T*(1-EXP(-s_RadSpec!BA21*s_t_v)))/(s_Y_v*s_RadSpec!BA21))),0)</f>
        <v>9.0143481925428208</v>
      </c>
      <c r="BY21" s="108">
        <f>IFERROR(IF(d_Bv!AA21=0,0,((s_Ir*s_F*s_I_f*s_T*(1-EXP(-s_RadSpec!BA21*s_t_v)))/(s_Y_v*s_RadSpec!BA21))),0)</f>
        <v>9.0143481925428208</v>
      </c>
    </row>
    <row r="22" spans="1:77" x14ac:dyDescent="0.25">
      <c r="A22" s="44" t="s">
        <v>20</v>
      </c>
      <c r="B22" s="42" t="s">
        <v>1057</v>
      </c>
      <c r="C22" s="108">
        <f>IFERROR(IF(d_Bv!C22=0,0,((s_Ir*s_F*d_Bv!C22*(1-EXP(-s_RadSpec!$AZ22*s_t_b)))/(s_P*s_RadSpec!$AZ22))),0)</f>
        <v>1.9870072460746409</v>
      </c>
      <c r="D22" s="108">
        <f>IFERROR(IF(d_Bv!D22=0,0,((s_Ir*s_F*d_Bv!D22*(1-EXP(-s_RadSpec!AZ22*s_t_b)))/(s_P*s_RadSpec!AZ22))),0)</f>
        <v>18.081765939279229</v>
      </c>
      <c r="E22" s="108">
        <f>IFERROR(IF(d_Bv!E22=0,0,((s_Ir*s_F*d_Bv!E22*(1-EXP(-s_RadSpec!AZ22*s_t_b)))/(s_P*s_RadSpec!AZ22))),0)</f>
        <v>13.909050722522487</v>
      </c>
      <c r="F22" s="108">
        <f>IFERROR(IF(d_Bv!F22=0,0,((s_Ir*s_F*d_Bv!F22*(1-EXP(-s_RadSpec!AZ22*s_t_b)))/(s_P*s_RadSpec!AZ22))),0)</f>
        <v>1.9870072460746409</v>
      </c>
      <c r="G22" s="108">
        <f>IFERROR(IF(d_Bv!G22=0,0,((s_Ir*s_F*d_Bv!G22*(1-EXP(-s_RadSpec!AZ22*s_t_b)))/(s_P*s_RadSpec!AZ22))),0)</f>
        <v>3.3779123183268895</v>
      </c>
      <c r="H22" s="108">
        <f>IFERROR(IF(d_Bv!H22=0,0,((s_Ir*s_F*d_Bv!H22*(1-EXP(-s_RadSpec!AZ22*s_t_b)))/(s_P*s_RadSpec!AZ22))),0)</f>
        <v>18.081765939279229</v>
      </c>
      <c r="I22" s="108">
        <f>IFERROR(IF(d_Bv!I22=0,0,((s_Ir*s_F*d_Bv!I22*(1-EXP(-s_RadSpec!AZ22*s_t_b)))/(s_P*s_RadSpec!AZ22))),0)</f>
        <v>13.909050722522487</v>
      </c>
      <c r="J22" s="108">
        <f>IFERROR(IF(d_Bv!J22=0,0,((s_Ir*s_F*d_Bv!J22*(1-EXP(-s_RadSpec!AZ22*s_t_b)))/(s_P*s_RadSpec!AZ22))),0)</f>
        <v>1.9870072460746409</v>
      </c>
      <c r="K22" s="108">
        <f>IFERROR(IF(d_Bv!K22=0,0,((s_Ir*s_F*d_Bv!K22*(1-EXP(-s_RadSpec!AZ22*s_t_b)))/(s_P*s_RadSpec!AZ22))),0)</f>
        <v>0.47688173905791376</v>
      </c>
      <c r="L22" s="108">
        <f>IFERROR(IF(d_Bv!L22=0,0,((s_Ir*s_F*d_Bv!L22*(1-EXP(-s_RadSpec!AZ22*s_t_b)))/(s_P*s_RadSpec!AZ22))),0)</f>
        <v>3.3779123183268895</v>
      </c>
      <c r="M22" s="108">
        <f>IFERROR(IF(d_Bv!M22=0,0,((s_Ir*s_F*d_Bv!M22*(1-EXP(-s_RadSpec!AZ22*s_t_b)))/(s_P*s_RadSpec!AZ22))),0)</f>
        <v>18.081765939279229</v>
      </c>
      <c r="N22" s="108">
        <f>IFERROR(IF(d_Bv!N22=0,0,((s_Ir*s_F*d_Bv!N22*(1-EXP(-s_RadSpec!AZ22*s_t_b)))/(s_P*s_RadSpec!AZ22))),0)</f>
        <v>2.7818101445044974</v>
      </c>
      <c r="O22" s="108">
        <f>IFERROR(IF(d_Bv!O22=0,0,((s_Ir*s_F*d_Bv!O22*(1-EXP(-s_RadSpec!AZ22*s_t_b)))/(s_P*s_RadSpec!AZ22))),0)</f>
        <v>3.3779123183268895</v>
      </c>
      <c r="P22" s="108">
        <f>IFERROR(IF(d_Bv!P22=0,0,((s_Ir*s_F*d_Bv!P22*(1-EXP(-s_RadSpec!AZ22*s_t_b)))/(s_P*s_RadSpec!AZ22))),0)</f>
        <v>13.909050722522487</v>
      </c>
      <c r="Q22" s="108">
        <f>IFERROR(IF(d_Bv!Q22=0,0,((s_Ir*s_F*d_Bv!Q22*(1-EXP(-s_RadSpec!AZ22*s_t_b)))/(s_P*s_RadSpec!AZ22))),0)</f>
        <v>1.9870072460746409</v>
      </c>
      <c r="R22" s="108">
        <f>IFERROR(IF(d_Bv!R22=0,0,((s_Ir*s_F*d_Bv!R22*(1-EXP(-s_RadSpec!AZ22*s_t_b)))/(s_P*s_RadSpec!AZ22))),0)</f>
        <v>1.9870072460746409</v>
      </c>
      <c r="S22" s="108">
        <f>IFERROR(IF(d_Bv!S22=0,0,((s_Ir*s_F*d_Bv!S22*(1-EXP(-s_RadSpec!AZ22*s_t_b)))/(s_P*s_RadSpec!AZ22))),0)</f>
        <v>2.7818101445044974</v>
      </c>
      <c r="T22" s="108">
        <f>IFERROR(IF(d_Bv!T22=0,0,((s_Ir*s_F*d_Bv!T22*(1-EXP(-s_RadSpec!AZ22*s_t_b)))/(s_P*s_RadSpec!AZ22))),0)</f>
        <v>3.3779123183268895</v>
      </c>
      <c r="U22" s="108">
        <f>IFERROR(IF(d_Bv!U22=0,0,((s_Ir*s_F*d_Bv!U22*(1-EXP(-s_RadSpec!AZ22*s_t_b)))/(s_P*s_RadSpec!AZ22))),0)</f>
        <v>2.1857079706821048</v>
      </c>
      <c r="V22" s="108">
        <f>IFERROR(IF(d_Bv!V22=0,0,((s_Ir*s_F*d_Bv!V22*(1-EXP(-s_RadSpec!AZ22*s_t_b)))/(s_P*s_RadSpec!AZ22))),0)</f>
        <v>3.3779123183268895</v>
      </c>
      <c r="W22" s="108">
        <f>IFERROR(IF(d_Bv!W22=0,0,((s_Ir*s_F*d_Bv!W22*(1-EXP(-s_RadSpec!AZ22*s_t_b)))/(s_P*s_RadSpec!AZ22))),0)</f>
        <v>2.7818101445044974</v>
      </c>
      <c r="X22" s="108">
        <f>IFERROR(IF(d_Bv!X22=0,0,((s_Ir*s_F*d_Bv!X22*(1-EXP(-s_RadSpec!AZ22*s_t_b)))/(s_P*s_RadSpec!AZ22))),0)</f>
        <v>1.9870072460746409</v>
      </c>
      <c r="Y22" s="108">
        <f>IFERROR(IF(d_Bv!Y22=0,0,((s_Ir*s_F*d_Bv!Y22*(1-EXP(-s_RadSpec!AZ22*s_t_b)))/(s_P*s_RadSpec!AZ22))),0)</f>
        <v>3.3779123183268895</v>
      </c>
      <c r="Z22" s="108">
        <f>IFERROR(IF(d_Bv!Z22=0,0,((s_Ir*s_F*d_Bv!Z22*(1-EXP(-s_RadSpec!AZ22*s_t_b)))/(s_P*s_RadSpec!AZ22))),0)</f>
        <v>0.17286963040849374</v>
      </c>
      <c r="AA22" s="108">
        <f>IFERROR(IF(d_Bv!AA22=0,0,((s_Ir*s_F*d_Bv!AA22*(1-EXP(-s_RadSpec!AZ22*s_t_b)))/(s_P*s_RadSpec!AZ22))),0)</f>
        <v>3.3779123183268895</v>
      </c>
      <c r="AB22" s="108">
        <f>IFERROR(IF(d_Bv!C22=0,0,((s_Ir*s_F*s_MLF_apple*(1-EXP(-s_RadSpec!AZ22*s_t_b)))/(s_P*s_RadSpec!AZ22))),0)</f>
        <v>2.6824597822007652</v>
      </c>
      <c r="AC22" s="108">
        <f>IFERROR(IF(d_Bv!D22=0,0,((s_Ir*s_F*s_MLF_asparagus*(1-EXP(-s_RadSpec!AZ22*s_t_b)))/(s_P*s_RadSpec!AZ22))),0)</f>
        <v>2.6824597822007652</v>
      </c>
      <c r="AD22" s="108">
        <f>IFERROR(IF(d_Bv!E22=0,0,((s_Ir*s_F*s_MLF_beet*(1-EXP(-s_RadSpec!AZ22*s_t_b)))/(s_P*s_RadSpec!AZ22))),0)</f>
        <v>2.6824597822007652</v>
      </c>
      <c r="AE22" s="108">
        <f>IFERROR(IF(d_Bv!F22=0,0,((s_Ir*s_F*s_MLF_berries*(1-EXP(-s_RadSpec!AZ22*s_t_b)))/(s_P*s_RadSpec!AZ22))),0)</f>
        <v>2.6824597822007652</v>
      </c>
      <c r="AF22" s="108">
        <f>IFERROR(IF(d_Bv!G22=0,0,((s_Ir*s_F*s_MLF_broccoli*(1-EXP(-s_RadSpec!AZ22*s_t_b)))/(s_P*s_RadSpec!AZ22))),0)</f>
        <v>2.6824597822007652</v>
      </c>
      <c r="AG22" s="108">
        <f>IFERROR(IF(d_Bv!H22=0,0,((s_Ir*s_F*s_MLF_cabbage*(1-EXP(-s_RadSpec!AZ22*s_t_b)))/(s_P*s_RadSpec!AZ22))),0)</f>
        <v>2.6824597822007652</v>
      </c>
      <c r="AH22" s="108">
        <f>IFERROR(IF(d_Bv!I22=0,0,((s_Ir*s_F*s_MLF_carrot*(1-EXP(-s_RadSpec!AZ22*s_t_b)))/(s_P*s_RadSpec!AZ22))),0)</f>
        <v>2.6824597822007652</v>
      </c>
      <c r="AI22" s="108">
        <f>IFERROR(IF(d_Bv!J22=0,0,((s_Ir*s_F*s_MLF_citrus*(1-EXP(-s_RadSpec!AZ22*s_t_b)))/(s_P*s_RadSpec!AZ22))),0)</f>
        <v>2.6824597822007652</v>
      </c>
      <c r="AJ22" s="108">
        <f>IFERROR(IF(d_Bv!K22=0,0,((s_Ir*s_F*s_MLF_corn*(1-EXP(-s_RadSpec!AZ22*s_t_b)))/(s_P*s_RadSpec!AZ22))),0)</f>
        <v>2.6824597822007652</v>
      </c>
      <c r="AK22" s="108">
        <f>IFERROR(IF(d_Bv!L22=0,0,((s_Ir*s_F*s_MLF_cucumber*(1-EXP(-s_RadSpec!AZ22*s_t_b)))/(s_P*s_RadSpec!AZ22))),0)</f>
        <v>2.6824597822007652</v>
      </c>
      <c r="AL22" s="108">
        <f>IFERROR(IF(d_Bv!M22=0,0,((s_Ir*s_F*s_MLF_lettuce*(1-EXP(-s_RadSpec!AZ22*s_t_b)))/(s_P*s_RadSpec!AZ22))),0)</f>
        <v>2.6824597822007652</v>
      </c>
      <c r="AM22" s="108">
        <f>IFERROR(IF(d_Bv!N22=0,0,((s_Ir*s_F*s_MLF_lima_bean*(1-EXP(-s_RadSpec!AZ22*s_t_b)))/(s_P*s_RadSpec!AZ22))),0)</f>
        <v>2.6824597822007652</v>
      </c>
      <c r="AN22" s="108">
        <f>IFERROR(IF(d_Bv!O22=0,0,((s_Ir*s_F*s_MLF_okra*(1-EXP(-s_RadSpec!AZ22*s_t_b)))/(s_P*s_RadSpec!AZ22))),0)</f>
        <v>2.6824597822007652</v>
      </c>
      <c r="AO22" s="108">
        <f>IFERROR(IF(d_Bv!P22=0,0,((s_Ir*s_F*s_MLF_onion*(1-EXP(-s_RadSpec!AZ22*s_t_b)))/(s_P*s_RadSpec!AZ22))),0)</f>
        <v>2.6824597822007652</v>
      </c>
      <c r="AP22" s="108">
        <f>IFERROR(IF(d_Bv!Q22=0,0,((s_Ir*s_F*s_MLF_peach*(1-EXP(-s_RadSpec!AZ22*s_t_b)))/(s_P*s_RadSpec!AZ22))),0)</f>
        <v>2.6824597822007652</v>
      </c>
      <c r="AQ22" s="108">
        <f>IFERROR(IF(d_Bv!R22=0,0,((s_Ir*s_F*s_MLF_pear*(1-EXP(-s_RadSpec!AZ22*s_t_b)))/(s_P*s_RadSpec!AZ22))),0)</f>
        <v>2.6824597822007652</v>
      </c>
      <c r="AR22" s="108">
        <f>IFERROR(IF(d_Bv!S22=0,0,((s_Ir*s_F*s_MLF_peas*(1-EXP(-s_RadSpec!AZ22*s_t_b)))/(s_P*s_RadSpec!AZ22))),0)</f>
        <v>2.6824597822007652</v>
      </c>
      <c r="AS22" s="108">
        <f>IFERROR(IF(d_Bv!T22=0,0,((s_Ir*s_F*s_MLF_peppers*(1-EXP(-s_RadSpec!AZ22*s_t_b)))/(s_P*s_RadSpec!AZ22))),0)</f>
        <v>2.6824597822007652</v>
      </c>
      <c r="AT22" s="108">
        <f>IFERROR(IF(d_Bv!U22=0,0,((s_Ir*s_F*s_MLF_potato*(1-EXP(-s_RadSpec!AZ22*s_t_b)))/(s_P*s_RadSpec!AZ22))),0)</f>
        <v>2.6824597822007652</v>
      </c>
      <c r="AU22" s="108">
        <f>IFERROR(IF(d_Bv!V22=0,0,((s_Ir*s_F*s_MLF_pumpkin*(1-EXP(-s_RadSpec!AZ22*s_t_b)))/(s_P*s_RadSpec!AZ22))),0)</f>
        <v>2.6824597822007652</v>
      </c>
      <c r="AV22" s="108">
        <f>IFERROR(IF(d_Bv!W22=0,0,((s_Ir*s_F*s_MLF_snap_bean*(1-EXP(-s_RadSpec!AZ22*s_t_b)))/(s_P*s_RadSpec!AZ22))),0)</f>
        <v>2.6824597822007652</v>
      </c>
      <c r="AW22" s="108">
        <f>IFERROR(IF(d_Bv!X22=0,0,((s_Ir*s_F*s_MLF_strawberry*(1-EXP(-s_RadSpec!AZ22*s_t_b)))/(s_P*s_RadSpec!AZ22))),0)</f>
        <v>2.6824597822007652</v>
      </c>
      <c r="AX22" s="108">
        <f>IFERROR(IF(d_Bv!Y22=0,0,((s_Ir*s_F*s_MLF_tomato*(1-EXP(-s_RadSpec!AZ22*s_t_b)))/(s_P*s_RadSpec!AZ22))),0)</f>
        <v>2.6824597822007652</v>
      </c>
      <c r="AY22" s="108">
        <f>IFERROR(IF(d_Bv!Z22=0,0,((s_Ir*s_F*s_MLF_rice*(1-EXP(-s_RadSpec!AZ22*s_t_b)))/(s_P*s_RadSpec!AZ22))),0)</f>
        <v>2.6824597822007652</v>
      </c>
      <c r="AZ22" s="108">
        <f>IFERROR(IF(d_Bv!AA22=0,0,((s_Ir*s_F*s_MLF_cereal*(1-EXP(-s_RadSpec!AZ22*s_t_b)))/(s_P*s_RadSpec!AZ22))),0)</f>
        <v>2.6824597822007652</v>
      </c>
      <c r="BA22" s="108">
        <f>IFERROR(IF(d_Bv!C22=0,0,((s_Ir*s_F*s_I_f*s_T*(1-EXP(-s_RadSpec!BA22*s_t_v)))/(s_Y_v*s_RadSpec!BA22))),0)</f>
        <v>9.0143481925428208</v>
      </c>
      <c r="BB22" s="108">
        <f>IFERROR(IF(d_Bv!D22=0,0,((s_Ir*s_F*s_I_f*s_T*(1-EXP(-s_RadSpec!BA22*s_t_v)))/(s_Y_v*s_RadSpec!BA22))),0)</f>
        <v>9.0143481925428208</v>
      </c>
      <c r="BC22" s="108">
        <f>IFERROR(IF(d_Bv!E22=0,0,((s_Ir*s_F*s_I_f*s_T*(1-EXP(-s_RadSpec!BA22*s_t_v)))/(s_Y_v*s_RadSpec!BA22))),0)</f>
        <v>9.0143481925428208</v>
      </c>
      <c r="BD22" s="108">
        <f>IFERROR(IF(d_Bv!F22=0,0,((s_Ir*s_F*s_I_f*s_T*(1-EXP(-s_RadSpec!BA22*s_t_v)))/(s_Y_v*s_RadSpec!BA22))),0)</f>
        <v>9.0143481925428208</v>
      </c>
      <c r="BE22" s="108">
        <f>IFERROR(IF(d_Bv!G22=0,0,((s_Ir*s_F*s_I_f*s_T*(1-EXP(-s_RadSpec!BA22*s_t_v)))/(s_Y_v*s_RadSpec!BA22))),0)</f>
        <v>9.0143481925428208</v>
      </c>
      <c r="BF22" s="108">
        <f>IFERROR(IF(d_Bv!H22=0,0,((s_Ir*s_F*s_I_f*s_T*(1-EXP(-s_RadSpec!BA22*s_t_v)))/(s_Y_v*s_RadSpec!BA22))),0)</f>
        <v>9.0143481925428208</v>
      </c>
      <c r="BG22" s="108">
        <f>IFERROR(IF(d_Bv!I22=0,0,((s_Ir*s_F*s_I_f*s_T*(1-EXP(-s_RadSpec!BA22*s_t_v)))/(s_Y_v*s_RadSpec!BA22))),0)</f>
        <v>9.0143481925428208</v>
      </c>
      <c r="BH22" s="108">
        <f>IFERROR(IF(d_Bv!J22=0,0,((s_Ir*s_F*s_I_f*s_T*(1-EXP(-s_RadSpec!BA22*s_t_v)))/(s_Y_v*s_RadSpec!BA22))),0)</f>
        <v>9.0143481925428208</v>
      </c>
      <c r="BI22" s="108">
        <f>IFERROR(IF(d_Bv!K22=0,0,((s_Ir*s_F*s_I_f*s_T*(1-EXP(-s_RadSpec!BA22*s_t_v)))/(s_Y_v*s_RadSpec!BA22))),0)</f>
        <v>9.0143481925428208</v>
      </c>
      <c r="BJ22" s="108">
        <f>IFERROR(IF(d_Bv!L22=0,0,((s_Ir*s_F*s_I_f*s_T*(1-EXP(-s_RadSpec!BA22*s_t_v)))/(s_Y_v*s_RadSpec!BA22))),0)</f>
        <v>9.0143481925428208</v>
      </c>
      <c r="BK22" s="108">
        <f>IFERROR(IF(d_Bv!M22=0,0,((s_Ir*s_F*s_I_f*s_T*(1-EXP(-s_RadSpec!BA22*s_t_v)))/(s_Y_v*s_RadSpec!BA22))),0)</f>
        <v>9.0143481925428208</v>
      </c>
      <c r="BL22" s="108">
        <f>IFERROR(IF(d_Bv!N22=0,0,((s_Ir*s_F*s_I_f*s_T*(1-EXP(-s_RadSpec!BA22*s_t_v)))/(s_Y_v*s_RadSpec!BA22))),0)</f>
        <v>9.0143481925428208</v>
      </c>
      <c r="BM22" s="108">
        <f>IFERROR(IF(d_Bv!O22=0,0,((s_Ir*s_F*s_I_f*s_T*(1-EXP(-s_RadSpec!BA22*s_t_v)))/(s_Y_v*s_RadSpec!BA22))),0)</f>
        <v>9.0143481925428208</v>
      </c>
      <c r="BN22" s="108">
        <f>IFERROR(IF(d_Bv!P22=0,0,((s_Ir*s_F*s_I_f*s_T*(1-EXP(-s_RadSpec!BA22*s_t_v)))/(s_Y_v*s_RadSpec!BA22))),0)</f>
        <v>9.0143481925428208</v>
      </c>
      <c r="BO22" s="108">
        <f>IFERROR(IF(d_Bv!Q22=0,0,((s_Ir*s_F*s_I_f*s_T*(1-EXP(-s_RadSpec!BA22*s_t_v)))/(s_Y_v*s_RadSpec!BA22))),0)</f>
        <v>9.0143481925428208</v>
      </c>
      <c r="BP22" s="108">
        <f>IFERROR(IF(d_Bv!R22=0,0,((s_Ir*s_F*s_I_f*s_T*(1-EXP(-s_RadSpec!BA22*s_t_v)))/(s_Y_v*s_RadSpec!BA22))),0)</f>
        <v>9.0143481925428208</v>
      </c>
      <c r="BQ22" s="108">
        <f>IFERROR(IF(d_Bv!S22=0,0,((s_Ir*s_F*s_I_f*s_T*(1-EXP(-s_RadSpec!BA22*s_t_v)))/(s_Y_v*s_RadSpec!BA22))),0)</f>
        <v>9.0143481925428208</v>
      </c>
      <c r="BR22" s="108">
        <f>IFERROR(IF(d_Bv!T22=0,0,((s_Ir*s_F*s_I_f*s_T*(1-EXP(-s_RadSpec!BA22*s_t_v)))/(s_Y_v*s_RadSpec!BA22))),0)</f>
        <v>9.0143481925428208</v>
      </c>
      <c r="BS22" s="108">
        <f>IFERROR(IF(d_Bv!U22=0,0,((s_Ir*s_F*s_I_f*s_T*(1-EXP(-s_RadSpec!BA22*s_t_v)))/(s_Y_v*s_RadSpec!BA22))),0)</f>
        <v>9.0143481925428208</v>
      </c>
      <c r="BT22" s="108">
        <f>IFERROR(IF(d_Bv!V22=0,0,((s_Ir*s_F*s_I_f*s_T*(1-EXP(-s_RadSpec!BA22*s_t_v)))/(s_Y_v*s_RadSpec!BA22))),0)</f>
        <v>9.0143481925428208</v>
      </c>
      <c r="BU22" s="108">
        <f>IFERROR(IF(d_Bv!W22=0,0,((s_Ir*s_F*s_I_f*s_T*(1-EXP(-s_RadSpec!BA22*s_t_v)))/(s_Y_v*s_RadSpec!BA22))),0)</f>
        <v>9.0143481925428208</v>
      </c>
      <c r="BV22" s="108">
        <f>IFERROR(IF(d_Bv!X22=0,0,((s_Ir*s_F*s_I_f*s_T*(1-EXP(-s_RadSpec!BA22*s_t_v)))/(s_Y_v*s_RadSpec!BA22))),0)</f>
        <v>9.0143481925428208</v>
      </c>
      <c r="BW22" s="108">
        <f>IFERROR(IF(d_Bv!Y22=0,0,((s_Ir*s_F*s_I_f*s_T*(1-EXP(-s_RadSpec!BA22*s_t_v)))/(s_Y_v*s_RadSpec!BA22))),0)</f>
        <v>9.0143481925428208</v>
      </c>
      <c r="BX22" s="108">
        <f>IFERROR(IF(d_Bv!Z22=0,0,((s_Ir*s_F*s_I_f*s_T*(1-EXP(-s_RadSpec!BA22*s_t_v)))/(s_Y_v*s_RadSpec!BA22))),0)</f>
        <v>9.0143481925428208</v>
      </c>
      <c r="BY22" s="108">
        <f>IFERROR(IF(d_Bv!AA22=0,0,((s_Ir*s_F*s_I_f*s_T*(1-EXP(-s_RadSpec!BA22*s_t_v)))/(s_Y_v*s_RadSpec!BA22))),0)</f>
        <v>9.0143481925428208</v>
      </c>
    </row>
    <row r="23" spans="1:77" x14ac:dyDescent="0.25">
      <c r="A23" s="46" t="s">
        <v>21</v>
      </c>
      <c r="B23" s="42" t="s">
        <v>335</v>
      </c>
      <c r="C23" s="108">
        <f>IFERROR(IF(d_Bv!C23=0,0,((s_Ir*s_F*d_Bv!C23*(1-EXP(-s_RadSpec!$AZ23*s_t_b)))/(s_P*s_RadSpec!$AZ23))),0)</f>
        <v>1.9870072460746409</v>
      </c>
      <c r="D23" s="108">
        <f>IFERROR(IF(d_Bv!D23=0,0,((s_Ir*s_F*d_Bv!D23*(1-EXP(-s_RadSpec!AZ23*s_t_b)))/(s_P*s_RadSpec!AZ23))),0)</f>
        <v>18.081765939279229</v>
      </c>
      <c r="E23" s="108">
        <f>IFERROR(IF(d_Bv!E23=0,0,((s_Ir*s_F*d_Bv!E23*(1-EXP(-s_RadSpec!AZ23*s_t_b)))/(s_P*s_RadSpec!AZ23))),0)</f>
        <v>13.909050722522487</v>
      </c>
      <c r="F23" s="108">
        <f>IFERROR(IF(d_Bv!F23=0,0,((s_Ir*s_F*d_Bv!F23*(1-EXP(-s_RadSpec!AZ23*s_t_b)))/(s_P*s_RadSpec!AZ23))),0)</f>
        <v>1.9870072460746409</v>
      </c>
      <c r="G23" s="108">
        <f>IFERROR(IF(d_Bv!G23=0,0,((s_Ir*s_F*d_Bv!G23*(1-EXP(-s_RadSpec!AZ23*s_t_b)))/(s_P*s_RadSpec!AZ23))),0)</f>
        <v>3.3779123183268895</v>
      </c>
      <c r="H23" s="108">
        <f>IFERROR(IF(d_Bv!H23=0,0,((s_Ir*s_F*d_Bv!H23*(1-EXP(-s_RadSpec!AZ23*s_t_b)))/(s_P*s_RadSpec!AZ23))),0)</f>
        <v>18.081765939279229</v>
      </c>
      <c r="I23" s="108">
        <f>IFERROR(IF(d_Bv!I23=0,0,((s_Ir*s_F*d_Bv!I23*(1-EXP(-s_RadSpec!AZ23*s_t_b)))/(s_P*s_RadSpec!AZ23))),0)</f>
        <v>13.909050722522487</v>
      </c>
      <c r="J23" s="108">
        <f>IFERROR(IF(d_Bv!J23=0,0,((s_Ir*s_F*d_Bv!J23*(1-EXP(-s_RadSpec!AZ23*s_t_b)))/(s_P*s_RadSpec!AZ23))),0)</f>
        <v>1.9870072460746409</v>
      </c>
      <c r="K23" s="108">
        <f>IFERROR(IF(d_Bv!K23=0,0,((s_Ir*s_F*d_Bv!K23*(1-EXP(-s_RadSpec!AZ23*s_t_b)))/(s_P*s_RadSpec!AZ23))),0)</f>
        <v>0.47688173905791376</v>
      </c>
      <c r="L23" s="108">
        <f>IFERROR(IF(d_Bv!L23=0,0,((s_Ir*s_F*d_Bv!L23*(1-EXP(-s_RadSpec!AZ23*s_t_b)))/(s_P*s_RadSpec!AZ23))),0)</f>
        <v>3.3779123183268895</v>
      </c>
      <c r="M23" s="108">
        <f>IFERROR(IF(d_Bv!M23=0,0,((s_Ir*s_F*d_Bv!M23*(1-EXP(-s_RadSpec!AZ23*s_t_b)))/(s_P*s_RadSpec!AZ23))),0)</f>
        <v>18.081765939279229</v>
      </c>
      <c r="N23" s="108">
        <f>IFERROR(IF(d_Bv!N23=0,0,((s_Ir*s_F*d_Bv!N23*(1-EXP(-s_RadSpec!AZ23*s_t_b)))/(s_P*s_RadSpec!AZ23))),0)</f>
        <v>2.7818101445044974</v>
      </c>
      <c r="O23" s="108">
        <f>IFERROR(IF(d_Bv!O23=0,0,((s_Ir*s_F*d_Bv!O23*(1-EXP(-s_RadSpec!AZ23*s_t_b)))/(s_P*s_RadSpec!AZ23))),0)</f>
        <v>3.3779123183268895</v>
      </c>
      <c r="P23" s="108">
        <f>IFERROR(IF(d_Bv!P23=0,0,((s_Ir*s_F*d_Bv!P23*(1-EXP(-s_RadSpec!AZ23*s_t_b)))/(s_P*s_RadSpec!AZ23))),0)</f>
        <v>13.909050722522487</v>
      </c>
      <c r="Q23" s="108">
        <f>IFERROR(IF(d_Bv!Q23=0,0,((s_Ir*s_F*d_Bv!Q23*(1-EXP(-s_RadSpec!AZ23*s_t_b)))/(s_P*s_RadSpec!AZ23))),0)</f>
        <v>1.9870072460746409</v>
      </c>
      <c r="R23" s="108">
        <f>IFERROR(IF(d_Bv!R23=0,0,((s_Ir*s_F*d_Bv!R23*(1-EXP(-s_RadSpec!AZ23*s_t_b)))/(s_P*s_RadSpec!AZ23))),0)</f>
        <v>1.9870072460746409</v>
      </c>
      <c r="S23" s="108">
        <f>IFERROR(IF(d_Bv!S23=0,0,((s_Ir*s_F*d_Bv!S23*(1-EXP(-s_RadSpec!AZ23*s_t_b)))/(s_P*s_RadSpec!AZ23))),0)</f>
        <v>2.7818101445044974</v>
      </c>
      <c r="T23" s="108">
        <f>IFERROR(IF(d_Bv!T23=0,0,((s_Ir*s_F*d_Bv!T23*(1-EXP(-s_RadSpec!AZ23*s_t_b)))/(s_P*s_RadSpec!AZ23))),0)</f>
        <v>3.3779123183268895</v>
      </c>
      <c r="U23" s="108">
        <f>IFERROR(IF(d_Bv!U23=0,0,((s_Ir*s_F*d_Bv!U23*(1-EXP(-s_RadSpec!AZ23*s_t_b)))/(s_P*s_RadSpec!AZ23))),0)</f>
        <v>2.1857079706821048</v>
      </c>
      <c r="V23" s="108">
        <f>IFERROR(IF(d_Bv!V23=0,0,((s_Ir*s_F*d_Bv!V23*(1-EXP(-s_RadSpec!AZ23*s_t_b)))/(s_P*s_RadSpec!AZ23))),0)</f>
        <v>3.3779123183268895</v>
      </c>
      <c r="W23" s="108">
        <f>IFERROR(IF(d_Bv!W23=0,0,((s_Ir*s_F*d_Bv!W23*(1-EXP(-s_RadSpec!AZ23*s_t_b)))/(s_P*s_RadSpec!AZ23))),0)</f>
        <v>2.7818101445044974</v>
      </c>
      <c r="X23" s="108">
        <f>IFERROR(IF(d_Bv!X23=0,0,((s_Ir*s_F*d_Bv!X23*(1-EXP(-s_RadSpec!AZ23*s_t_b)))/(s_P*s_RadSpec!AZ23))),0)</f>
        <v>1.9870072460746409</v>
      </c>
      <c r="Y23" s="108">
        <f>IFERROR(IF(d_Bv!Y23=0,0,((s_Ir*s_F*d_Bv!Y23*(1-EXP(-s_RadSpec!AZ23*s_t_b)))/(s_P*s_RadSpec!AZ23))),0)</f>
        <v>3.3779123183268895</v>
      </c>
      <c r="Z23" s="108">
        <f>IFERROR(IF(d_Bv!Z23=0,0,((s_Ir*s_F*d_Bv!Z23*(1-EXP(-s_RadSpec!AZ23*s_t_b)))/(s_P*s_RadSpec!AZ23))),0)</f>
        <v>0.17286963040849374</v>
      </c>
      <c r="AA23" s="108">
        <f>IFERROR(IF(d_Bv!AA23=0,0,((s_Ir*s_F*d_Bv!AA23*(1-EXP(-s_RadSpec!AZ23*s_t_b)))/(s_P*s_RadSpec!AZ23))),0)</f>
        <v>3.3779123183268895</v>
      </c>
      <c r="AB23" s="108">
        <f>IFERROR(IF(d_Bv!C23=0,0,((s_Ir*s_F*s_MLF_apple*(1-EXP(-s_RadSpec!AZ23*s_t_b)))/(s_P*s_RadSpec!AZ23))),0)</f>
        <v>2.6824597822007652</v>
      </c>
      <c r="AC23" s="108">
        <f>IFERROR(IF(d_Bv!D23=0,0,((s_Ir*s_F*s_MLF_asparagus*(1-EXP(-s_RadSpec!AZ23*s_t_b)))/(s_P*s_RadSpec!AZ23))),0)</f>
        <v>2.6824597822007652</v>
      </c>
      <c r="AD23" s="108">
        <f>IFERROR(IF(d_Bv!E23=0,0,((s_Ir*s_F*s_MLF_beet*(1-EXP(-s_RadSpec!AZ23*s_t_b)))/(s_P*s_RadSpec!AZ23))),0)</f>
        <v>2.6824597822007652</v>
      </c>
      <c r="AE23" s="108">
        <f>IFERROR(IF(d_Bv!F23=0,0,((s_Ir*s_F*s_MLF_berries*(1-EXP(-s_RadSpec!AZ23*s_t_b)))/(s_P*s_RadSpec!AZ23))),0)</f>
        <v>2.6824597822007652</v>
      </c>
      <c r="AF23" s="108">
        <f>IFERROR(IF(d_Bv!G23=0,0,((s_Ir*s_F*s_MLF_broccoli*(1-EXP(-s_RadSpec!AZ23*s_t_b)))/(s_P*s_RadSpec!AZ23))),0)</f>
        <v>2.6824597822007652</v>
      </c>
      <c r="AG23" s="108">
        <f>IFERROR(IF(d_Bv!H23=0,0,((s_Ir*s_F*s_MLF_cabbage*(1-EXP(-s_RadSpec!AZ23*s_t_b)))/(s_P*s_RadSpec!AZ23))),0)</f>
        <v>2.6824597822007652</v>
      </c>
      <c r="AH23" s="108">
        <f>IFERROR(IF(d_Bv!I23=0,0,((s_Ir*s_F*s_MLF_carrot*(1-EXP(-s_RadSpec!AZ23*s_t_b)))/(s_P*s_RadSpec!AZ23))),0)</f>
        <v>2.6824597822007652</v>
      </c>
      <c r="AI23" s="108">
        <f>IFERROR(IF(d_Bv!J23=0,0,((s_Ir*s_F*s_MLF_citrus*(1-EXP(-s_RadSpec!AZ23*s_t_b)))/(s_P*s_RadSpec!AZ23))),0)</f>
        <v>2.6824597822007652</v>
      </c>
      <c r="AJ23" s="108">
        <f>IFERROR(IF(d_Bv!K23=0,0,((s_Ir*s_F*s_MLF_corn*(1-EXP(-s_RadSpec!AZ23*s_t_b)))/(s_P*s_RadSpec!AZ23))),0)</f>
        <v>2.6824597822007652</v>
      </c>
      <c r="AK23" s="108">
        <f>IFERROR(IF(d_Bv!L23=0,0,((s_Ir*s_F*s_MLF_cucumber*(1-EXP(-s_RadSpec!AZ23*s_t_b)))/(s_P*s_RadSpec!AZ23))),0)</f>
        <v>2.6824597822007652</v>
      </c>
      <c r="AL23" s="108">
        <f>IFERROR(IF(d_Bv!M23=0,0,((s_Ir*s_F*s_MLF_lettuce*(1-EXP(-s_RadSpec!AZ23*s_t_b)))/(s_P*s_RadSpec!AZ23))),0)</f>
        <v>2.6824597822007652</v>
      </c>
      <c r="AM23" s="108">
        <f>IFERROR(IF(d_Bv!N23=0,0,((s_Ir*s_F*s_MLF_lima_bean*(1-EXP(-s_RadSpec!AZ23*s_t_b)))/(s_P*s_RadSpec!AZ23))),0)</f>
        <v>2.6824597822007652</v>
      </c>
      <c r="AN23" s="108">
        <f>IFERROR(IF(d_Bv!O23=0,0,((s_Ir*s_F*s_MLF_okra*(1-EXP(-s_RadSpec!AZ23*s_t_b)))/(s_P*s_RadSpec!AZ23))),0)</f>
        <v>2.6824597822007652</v>
      </c>
      <c r="AO23" s="108">
        <f>IFERROR(IF(d_Bv!P23=0,0,((s_Ir*s_F*s_MLF_onion*(1-EXP(-s_RadSpec!AZ23*s_t_b)))/(s_P*s_RadSpec!AZ23))),0)</f>
        <v>2.6824597822007652</v>
      </c>
      <c r="AP23" s="108">
        <f>IFERROR(IF(d_Bv!Q23=0,0,((s_Ir*s_F*s_MLF_peach*(1-EXP(-s_RadSpec!AZ23*s_t_b)))/(s_P*s_RadSpec!AZ23))),0)</f>
        <v>2.6824597822007652</v>
      </c>
      <c r="AQ23" s="108">
        <f>IFERROR(IF(d_Bv!R23=0,0,((s_Ir*s_F*s_MLF_pear*(1-EXP(-s_RadSpec!AZ23*s_t_b)))/(s_P*s_RadSpec!AZ23))),0)</f>
        <v>2.6824597822007652</v>
      </c>
      <c r="AR23" s="108">
        <f>IFERROR(IF(d_Bv!S23=0,0,((s_Ir*s_F*s_MLF_peas*(1-EXP(-s_RadSpec!AZ23*s_t_b)))/(s_P*s_RadSpec!AZ23))),0)</f>
        <v>2.6824597822007652</v>
      </c>
      <c r="AS23" s="108">
        <f>IFERROR(IF(d_Bv!T23=0,0,((s_Ir*s_F*s_MLF_peppers*(1-EXP(-s_RadSpec!AZ23*s_t_b)))/(s_P*s_RadSpec!AZ23))),0)</f>
        <v>2.6824597822007652</v>
      </c>
      <c r="AT23" s="108">
        <f>IFERROR(IF(d_Bv!U23=0,0,((s_Ir*s_F*s_MLF_potato*(1-EXP(-s_RadSpec!AZ23*s_t_b)))/(s_P*s_RadSpec!AZ23))),0)</f>
        <v>2.6824597822007652</v>
      </c>
      <c r="AU23" s="108">
        <f>IFERROR(IF(d_Bv!V23=0,0,((s_Ir*s_F*s_MLF_pumpkin*(1-EXP(-s_RadSpec!AZ23*s_t_b)))/(s_P*s_RadSpec!AZ23))),0)</f>
        <v>2.6824597822007652</v>
      </c>
      <c r="AV23" s="108">
        <f>IFERROR(IF(d_Bv!W23=0,0,((s_Ir*s_F*s_MLF_snap_bean*(1-EXP(-s_RadSpec!AZ23*s_t_b)))/(s_P*s_RadSpec!AZ23))),0)</f>
        <v>2.6824597822007652</v>
      </c>
      <c r="AW23" s="108">
        <f>IFERROR(IF(d_Bv!X23=0,0,((s_Ir*s_F*s_MLF_strawberry*(1-EXP(-s_RadSpec!AZ23*s_t_b)))/(s_P*s_RadSpec!AZ23))),0)</f>
        <v>2.6824597822007652</v>
      </c>
      <c r="AX23" s="108">
        <f>IFERROR(IF(d_Bv!Y23=0,0,((s_Ir*s_F*s_MLF_tomato*(1-EXP(-s_RadSpec!AZ23*s_t_b)))/(s_P*s_RadSpec!AZ23))),0)</f>
        <v>2.6824597822007652</v>
      </c>
      <c r="AY23" s="108">
        <f>IFERROR(IF(d_Bv!Z23=0,0,((s_Ir*s_F*s_MLF_rice*(1-EXP(-s_RadSpec!AZ23*s_t_b)))/(s_P*s_RadSpec!AZ23))),0)</f>
        <v>2.6824597822007652</v>
      </c>
      <c r="AZ23" s="108">
        <f>IFERROR(IF(d_Bv!AA23=0,0,((s_Ir*s_F*s_MLF_cereal*(1-EXP(-s_RadSpec!AZ23*s_t_b)))/(s_P*s_RadSpec!AZ23))),0)</f>
        <v>2.6824597822007652</v>
      </c>
      <c r="BA23" s="108">
        <f>IFERROR(IF(d_Bv!C23=0,0,((s_Ir*s_F*s_I_f*s_T*(1-EXP(-s_RadSpec!BA23*s_t_v)))/(s_Y_v*s_RadSpec!BA23))),0)</f>
        <v>9.0143481925428208</v>
      </c>
      <c r="BB23" s="108">
        <f>IFERROR(IF(d_Bv!D23=0,0,((s_Ir*s_F*s_I_f*s_T*(1-EXP(-s_RadSpec!BA23*s_t_v)))/(s_Y_v*s_RadSpec!BA23))),0)</f>
        <v>9.0143481925428208</v>
      </c>
      <c r="BC23" s="108">
        <f>IFERROR(IF(d_Bv!E23=0,0,((s_Ir*s_F*s_I_f*s_T*(1-EXP(-s_RadSpec!BA23*s_t_v)))/(s_Y_v*s_RadSpec!BA23))),0)</f>
        <v>9.0143481925428208</v>
      </c>
      <c r="BD23" s="108">
        <f>IFERROR(IF(d_Bv!F23=0,0,((s_Ir*s_F*s_I_f*s_T*(1-EXP(-s_RadSpec!BA23*s_t_v)))/(s_Y_v*s_RadSpec!BA23))),0)</f>
        <v>9.0143481925428208</v>
      </c>
      <c r="BE23" s="108">
        <f>IFERROR(IF(d_Bv!G23=0,0,((s_Ir*s_F*s_I_f*s_T*(1-EXP(-s_RadSpec!BA23*s_t_v)))/(s_Y_v*s_RadSpec!BA23))),0)</f>
        <v>9.0143481925428208</v>
      </c>
      <c r="BF23" s="108">
        <f>IFERROR(IF(d_Bv!H23=0,0,((s_Ir*s_F*s_I_f*s_T*(1-EXP(-s_RadSpec!BA23*s_t_v)))/(s_Y_v*s_RadSpec!BA23))),0)</f>
        <v>9.0143481925428208</v>
      </c>
      <c r="BG23" s="108">
        <f>IFERROR(IF(d_Bv!I23=0,0,((s_Ir*s_F*s_I_f*s_T*(1-EXP(-s_RadSpec!BA23*s_t_v)))/(s_Y_v*s_RadSpec!BA23))),0)</f>
        <v>9.0143481925428208</v>
      </c>
      <c r="BH23" s="108">
        <f>IFERROR(IF(d_Bv!J23=0,0,((s_Ir*s_F*s_I_f*s_T*(1-EXP(-s_RadSpec!BA23*s_t_v)))/(s_Y_v*s_RadSpec!BA23))),0)</f>
        <v>9.0143481925428208</v>
      </c>
      <c r="BI23" s="108">
        <f>IFERROR(IF(d_Bv!K23=0,0,((s_Ir*s_F*s_I_f*s_T*(1-EXP(-s_RadSpec!BA23*s_t_v)))/(s_Y_v*s_RadSpec!BA23))),0)</f>
        <v>9.0143481925428208</v>
      </c>
      <c r="BJ23" s="108">
        <f>IFERROR(IF(d_Bv!L23=0,0,((s_Ir*s_F*s_I_f*s_T*(1-EXP(-s_RadSpec!BA23*s_t_v)))/(s_Y_v*s_RadSpec!BA23))),0)</f>
        <v>9.0143481925428208</v>
      </c>
      <c r="BK23" s="108">
        <f>IFERROR(IF(d_Bv!M23=0,0,((s_Ir*s_F*s_I_f*s_T*(1-EXP(-s_RadSpec!BA23*s_t_v)))/(s_Y_v*s_RadSpec!BA23))),0)</f>
        <v>9.0143481925428208</v>
      </c>
      <c r="BL23" s="108">
        <f>IFERROR(IF(d_Bv!N23=0,0,((s_Ir*s_F*s_I_f*s_T*(1-EXP(-s_RadSpec!BA23*s_t_v)))/(s_Y_v*s_RadSpec!BA23))),0)</f>
        <v>9.0143481925428208</v>
      </c>
      <c r="BM23" s="108">
        <f>IFERROR(IF(d_Bv!O23=0,0,((s_Ir*s_F*s_I_f*s_T*(1-EXP(-s_RadSpec!BA23*s_t_v)))/(s_Y_v*s_RadSpec!BA23))),0)</f>
        <v>9.0143481925428208</v>
      </c>
      <c r="BN23" s="108">
        <f>IFERROR(IF(d_Bv!P23=0,0,((s_Ir*s_F*s_I_f*s_T*(1-EXP(-s_RadSpec!BA23*s_t_v)))/(s_Y_v*s_RadSpec!BA23))),0)</f>
        <v>9.0143481925428208</v>
      </c>
      <c r="BO23" s="108">
        <f>IFERROR(IF(d_Bv!Q23=0,0,((s_Ir*s_F*s_I_f*s_T*(1-EXP(-s_RadSpec!BA23*s_t_v)))/(s_Y_v*s_RadSpec!BA23))),0)</f>
        <v>9.0143481925428208</v>
      </c>
      <c r="BP23" s="108">
        <f>IFERROR(IF(d_Bv!R23=0,0,((s_Ir*s_F*s_I_f*s_T*(1-EXP(-s_RadSpec!BA23*s_t_v)))/(s_Y_v*s_RadSpec!BA23))),0)</f>
        <v>9.0143481925428208</v>
      </c>
      <c r="BQ23" s="108">
        <f>IFERROR(IF(d_Bv!S23=0,0,((s_Ir*s_F*s_I_f*s_T*(1-EXP(-s_RadSpec!BA23*s_t_v)))/(s_Y_v*s_RadSpec!BA23))),0)</f>
        <v>9.0143481925428208</v>
      </c>
      <c r="BR23" s="108">
        <f>IFERROR(IF(d_Bv!T23=0,0,((s_Ir*s_F*s_I_f*s_T*(1-EXP(-s_RadSpec!BA23*s_t_v)))/(s_Y_v*s_RadSpec!BA23))),0)</f>
        <v>9.0143481925428208</v>
      </c>
      <c r="BS23" s="108">
        <f>IFERROR(IF(d_Bv!U23=0,0,((s_Ir*s_F*s_I_f*s_T*(1-EXP(-s_RadSpec!BA23*s_t_v)))/(s_Y_v*s_RadSpec!BA23))),0)</f>
        <v>9.0143481925428208</v>
      </c>
      <c r="BT23" s="108">
        <f>IFERROR(IF(d_Bv!V23=0,0,((s_Ir*s_F*s_I_f*s_T*(1-EXP(-s_RadSpec!BA23*s_t_v)))/(s_Y_v*s_RadSpec!BA23))),0)</f>
        <v>9.0143481925428208</v>
      </c>
      <c r="BU23" s="108">
        <f>IFERROR(IF(d_Bv!W23=0,0,((s_Ir*s_F*s_I_f*s_T*(1-EXP(-s_RadSpec!BA23*s_t_v)))/(s_Y_v*s_RadSpec!BA23))),0)</f>
        <v>9.0143481925428208</v>
      </c>
      <c r="BV23" s="108">
        <f>IFERROR(IF(d_Bv!X23=0,0,((s_Ir*s_F*s_I_f*s_T*(1-EXP(-s_RadSpec!BA23*s_t_v)))/(s_Y_v*s_RadSpec!BA23))),0)</f>
        <v>9.0143481925428208</v>
      </c>
      <c r="BW23" s="108">
        <f>IFERROR(IF(d_Bv!Y23=0,0,((s_Ir*s_F*s_I_f*s_T*(1-EXP(-s_RadSpec!BA23*s_t_v)))/(s_Y_v*s_RadSpec!BA23))),0)</f>
        <v>9.0143481925428208</v>
      </c>
      <c r="BX23" s="108">
        <f>IFERROR(IF(d_Bv!Z23=0,0,((s_Ir*s_F*s_I_f*s_T*(1-EXP(-s_RadSpec!BA23*s_t_v)))/(s_Y_v*s_RadSpec!BA23))),0)</f>
        <v>9.0143481925428208</v>
      </c>
      <c r="BY23" s="108">
        <f>IFERROR(IF(d_Bv!AA23=0,0,((s_Ir*s_F*s_I_f*s_T*(1-EXP(-s_RadSpec!BA23*s_t_v)))/(s_Y_v*s_RadSpec!BA23))),0)</f>
        <v>9.0143481925428208</v>
      </c>
    </row>
    <row r="24" spans="1:77" x14ac:dyDescent="0.25">
      <c r="A24" s="44" t="s">
        <v>22</v>
      </c>
      <c r="B24" s="42" t="s">
        <v>1057</v>
      </c>
      <c r="C24" s="108">
        <f>IFERROR(IF(d_Bv!C24=0,0,((s_Ir*s_F*d_Bv!C24*(1-EXP(-s_RadSpec!$AZ24*s_t_b)))/(s_P*s_RadSpec!$AZ24))),0)</f>
        <v>0</v>
      </c>
      <c r="D24" s="108">
        <f>IFERROR(IF(d_Bv!D24=0,0,((s_Ir*s_F*d_Bv!D24*(1-EXP(-s_RadSpec!AZ24*s_t_b)))/(s_P*s_RadSpec!AZ24))),0)</f>
        <v>0</v>
      </c>
      <c r="E24" s="108">
        <f>IFERROR(IF(d_Bv!E24=0,0,((s_Ir*s_F*d_Bv!E24*(1-EXP(-s_RadSpec!AZ24*s_t_b)))/(s_P*s_RadSpec!AZ24))),0)</f>
        <v>0</v>
      </c>
      <c r="F24" s="108">
        <f>IFERROR(IF(d_Bv!F24=0,0,((s_Ir*s_F*d_Bv!F24*(1-EXP(-s_RadSpec!AZ24*s_t_b)))/(s_P*s_RadSpec!AZ24))),0)</f>
        <v>0</v>
      </c>
      <c r="G24" s="108">
        <f>IFERROR(IF(d_Bv!G24=0,0,((s_Ir*s_F*d_Bv!G24*(1-EXP(-s_RadSpec!AZ24*s_t_b)))/(s_P*s_RadSpec!AZ24))),0)</f>
        <v>0</v>
      </c>
      <c r="H24" s="108">
        <f>IFERROR(IF(d_Bv!H24=0,0,((s_Ir*s_F*d_Bv!H24*(1-EXP(-s_RadSpec!AZ24*s_t_b)))/(s_P*s_RadSpec!AZ24))),0)</f>
        <v>0</v>
      </c>
      <c r="I24" s="108">
        <f>IFERROR(IF(d_Bv!I24=0,0,((s_Ir*s_F*d_Bv!I24*(1-EXP(-s_RadSpec!AZ24*s_t_b)))/(s_P*s_RadSpec!AZ24))),0)</f>
        <v>0</v>
      </c>
      <c r="J24" s="108">
        <f>IFERROR(IF(d_Bv!J24=0,0,((s_Ir*s_F*d_Bv!J24*(1-EXP(-s_RadSpec!AZ24*s_t_b)))/(s_P*s_RadSpec!AZ24))),0)</f>
        <v>0</v>
      </c>
      <c r="K24" s="108">
        <f>IFERROR(IF(d_Bv!K24=0,0,((s_Ir*s_F*d_Bv!K24*(1-EXP(-s_RadSpec!AZ24*s_t_b)))/(s_P*s_RadSpec!AZ24))),0)</f>
        <v>0</v>
      </c>
      <c r="L24" s="108">
        <f>IFERROR(IF(d_Bv!L24=0,0,((s_Ir*s_F*d_Bv!L24*(1-EXP(-s_RadSpec!AZ24*s_t_b)))/(s_P*s_RadSpec!AZ24))),0)</f>
        <v>0</v>
      </c>
      <c r="M24" s="108">
        <f>IFERROR(IF(d_Bv!M24=0,0,((s_Ir*s_F*d_Bv!M24*(1-EXP(-s_RadSpec!AZ24*s_t_b)))/(s_P*s_RadSpec!AZ24))),0)</f>
        <v>0</v>
      </c>
      <c r="N24" s="108">
        <f>IFERROR(IF(d_Bv!N24=0,0,((s_Ir*s_F*d_Bv!N24*(1-EXP(-s_RadSpec!AZ24*s_t_b)))/(s_P*s_RadSpec!AZ24))),0)</f>
        <v>0</v>
      </c>
      <c r="O24" s="108">
        <f>IFERROR(IF(d_Bv!O24=0,0,((s_Ir*s_F*d_Bv!O24*(1-EXP(-s_RadSpec!AZ24*s_t_b)))/(s_P*s_RadSpec!AZ24))),0)</f>
        <v>0</v>
      </c>
      <c r="P24" s="108">
        <f>IFERROR(IF(d_Bv!P24=0,0,((s_Ir*s_F*d_Bv!P24*(1-EXP(-s_RadSpec!AZ24*s_t_b)))/(s_P*s_RadSpec!AZ24))),0)</f>
        <v>0</v>
      </c>
      <c r="Q24" s="108">
        <f>IFERROR(IF(d_Bv!Q24=0,0,((s_Ir*s_F*d_Bv!Q24*(1-EXP(-s_RadSpec!AZ24*s_t_b)))/(s_P*s_RadSpec!AZ24))),0)</f>
        <v>0</v>
      </c>
      <c r="R24" s="108">
        <f>IFERROR(IF(d_Bv!R24=0,0,((s_Ir*s_F*d_Bv!R24*(1-EXP(-s_RadSpec!AZ24*s_t_b)))/(s_P*s_RadSpec!AZ24))),0)</f>
        <v>0</v>
      </c>
      <c r="S24" s="108">
        <f>IFERROR(IF(d_Bv!S24=0,0,((s_Ir*s_F*d_Bv!S24*(1-EXP(-s_RadSpec!AZ24*s_t_b)))/(s_P*s_RadSpec!AZ24))),0)</f>
        <v>0</v>
      </c>
      <c r="T24" s="108">
        <f>IFERROR(IF(d_Bv!T24=0,0,((s_Ir*s_F*d_Bv!T24*(1-EXP(-s_RadSpec!AZ24*s_t_b)))/(s_P*s_RadSpec!AZ24))),0)</f>
        <v>0</v>
      </c>
      <c r="U24" s="108">
        <f>IFERROR(IF(d_Bv!U24=0,0,((s_Ir*s_F*d_Bv!U24*(1-EXP(-s_RadSpec!AZ24*s_t_b)))/(s_P*s_RadSpec!AZ24))),0)</f>
        <v>0</v>
      </c>
      <c r="V24" s="108">
        <f>IFERROR(IF(d_Bv!V24=0,0,((s_Ir*s_F*d_Bv!V24*(1-EXP(-s_RadSpec!AZ24*s_t_b)))/(s_P*s_RadSpec!AZ24))),0)</f>
        <v>0</v>
      </c>
      <c r="W24" s="108">
        <f>IFERROR(IF(d_Bv!W24=0,0,((s_Ir*s_F*d_Bv!W24*(1-EXP(-s_RadSpec!AZ24*s_t_b)))/(s_P*s_RadSpec!AZ24))),0)</f>
        <v>0</v>
      </c>
      <c r="X24" s="108">
        <f>IFERROR(IF(d_Bv!X24=0,0,((s_Ir*s_F*d_Bv!X24*(1-EXP(-s_RadSpec!AZ24*s_t_b)))/(s_P*s_RadSpec!AZ24))),0)</f>
        <v>0</v>
      </c>
      <c r="Y24" s="108">
        <f>IFERROR(IF(d_Bv!Y24=0,0,((s_Ir*s_F*d_Bv!Y24*(1-EXP(-s_RadSpec!AZ24*s_t_b)))/(s_P*s_RadSpec!AZ24))),0)</f>
        <v>0</v>
      </c>
      <c r="Z24" s="108">
        <f>IFERROR(IF(d_Bv!Z24=0,0,((s_Ir*s_F*d_Bv!Z24*(1-EXP(-s_RadSpec!AZ24*s_t_b)))/(s_P*s_RadSpec!AZ24))),0)</f>
        <v>0</v>
      </c>
      <c r="AA24" s="108">
        <f>IFERROR(IF(d_Bv!AA24=0,0,((s_Ir*s_F*d_Bv!AA24*(1-EXP(-s_RadSpec!AZ24*s_t_b)))/(s_P*s_RadSpec!AZ24))),0)</f>
        <v>0</v>
      </c>
      <c r="AB24" s="108">
        <f>IFERROR(IF(d_Bv!C24=0,0,((s_Ir*s_F*s_MLF_apple*(1-EXP(-s_RadSpec!AZ24*s_t_b)))/(s_P*s_RadSpec!AZ24))),0)</f>
        <v>0</v>
      </c>
      <c r="AC24" s="108">
        <f>IFERROR(IF(d_Bv!D24=0,0,((s_Ir*s_F*s_MLF_asparagus*(1-EXP(-s_RadSpec!AZ24*s_t_b)))/(s_P*s_RadSpec!AZ24))),0)</f>
        <v>0</v>
      </c>
      <c r="AD24" s="108">
        <f>IFERROR(IF(d_Bv!E24=0,0,((s_Ir*s_F*s_MLF_beet*(1-EXP(-s_RadSpec!AZ24*s_t_b)))/(s_P*s_RadSpec!AZ24))),0)</f>
        <v>0</v>
      </c>
      <c r="AE24" s="108">
        <f>IFERROR(IF(d_Bv!F24=0,0,((s_Ir*s_F*s_MLF_berries*(1-EXP(-s_RadSpec!AZ24*s_t_b)))/(s_P*s_RadSpec!AZ24))),0)</f>
        <v>0</v>
      </c>
      <c r="AF24" s="108">
        <f>IFERROR(IF(d_Bv!G24=0,0,((s_Ir*s_F*s_MLF_broccoli*(1-EXP(-s_RadSpec!AZ24*s_t_b)))/(s_P*s_RadSpec!AZ24))),0)</f>
        <v>0</v>
      </c>
      <c r="AG24" s="108">
        <f>IFERROR(IF(d_Bv!H24=0,0,((s_Ir*s_F*s_MLF_cabbage*(1-EXP(-s_RadSpec!AZ24*s_t_b)))/(s_P*s_RadSpec!AZ24))),0)</f>
        <v>0</v>
      </c>
      <c r="AH24" s="108">
        <f>IFERROR(IF(d_Bv!I24=0,0,((s_Ir*s_F*s_MLF_carrot*(1-EXP(-s_RadSpec!AZ24*s_t_b)))/(s_P*s_RadSpec!AZ24))),0)</f>
        <v>0</v>
      </c>
      <c r="AI24" s="108">
        <f>IFERROR(IF(d_Bv!J24=0,0,((s_Ir*s_F*s_MLF_citrus*(1-EXP(-s_RadSpec!AZ24*s_t_b)))/(s_P*s_RadSpec!AZ24))),0)</f>
        <v>0</v>
      </c>
      <c r="AJ24" s="108">
        <f>IFERROR(IF(d_Bv!K24=0,0,((s_Ir*s_F*s_MLF_corn*(1-EXP(-s_RadSpec!AZ24*s_t_b)))/(s_P*s_RadSpec!AZ24))),0)</f>
        <v>0</v>
      </c>
      <c r="AK24" s="108">
        <f>IFERROR(IF(d_Bv!L24=0,0,((s_Ir*s_F*s_MLF_cucumber*(1-EXP(-s_RadSpec!AZ24*s_t_b)))/(s_P*s_RadSpec!AZ24))),0)</f>
        <v>0</v>
      </c>
      <c r="AL24" s="108">
        <f>IFERROR(IF(d_Bv!M24=0,0,((s_Ir*s_F*s_MLF_lettuce*(1-EXP(-s_RadSpec!AZ24*s_t_b)))/(s_P*s_RadSpec!AZ24))),0)</f>
        <v>0</v>
      </c>
      <c r="AM24" s="108">
        <f>IFERROR(IF(d_Bv!N24=0,0,((s_Ir*s_F*s_MLF_lima_bean*(1-EXP(-s_RadSpec!AZ24*s_t_b)))/(s_P*s_RadSpec!AZ24))),0)</f>
        <v>0</v>
      </c>
      <c r="AN24" s="108">
        <f>IFERROR(IF(d_Bv!O24=0,0,((s_Ir*s_F*s_MLF_okra*(1-EXP(-s_RadSpec!AZ24*s_t_b)))/(s_P*s_RadSpec!AZ24))),0)</f>
        <v>0</v>
      </c>
      <c r="AO24" s="108">
        <f>IFERROR(IF(d_Bv!P24=0,0,((s_Ir*s_F*s_MLF_onion*(1-EXP(-s_RadSpec!AZ24*s_t_b)))/(s_P*s_RadSpec!AZ24))),0)</f>
        <v>0</v>
      </c>
      <c r="AP24" s="108">
        <f>IFERROR(IF(d_Bv!Q24=0,0,((s_Ir*s_F*s_MLF_peach*(1-EXP(-s_RadSpec!AZ24*s_t_b)))/(s_P*s_RadSpec!AZ24))),0)</f>
        <v>0</v>
      </c>
      <c r="AQ24" s="108">
        <f>IFERROR(IF(d_Bv!R24=0,0,((s_Ir*s_F*s_MLF_pear*(1-EXP(-s_RadSpec!AZ24*s_t_b)))/(s_P*s_RadSpec!AZ24))),0)</f>
        <v>0</v>
      </c>
      <c r="AR24" s="108">
        <f>IFERROR(IF(d_Bv!S24=0,0,((s_Ir*s_F*s_MLF_peas*(1-EXP(-s_RadSpec!AZ24*s_t_b)))/(s_P*s_RadSpec!AZ24))),0)</f>
        <v>0</v>
      </c>
      <c r="AS24" s="108">
        <f>IFERROR(IF(d_Bv!T24=0,0,((s_Ir*s_F*s_MLF_peppers*(1-EXP(-s_RadSpec!AZ24*s_t_b)))/(s_P*s_RadSpec!AZ24))),0)</f>
        <v>0</v>
      </c>
      <c r="AT24" s="108">
        <f>IFERROR(IF(d_Bv!U24=0,0,((s_Ir*s_F*s_MLF_potato*(1-EXP(-s_RadSpec!AZ24*s_t_b)))/(s_P*s_RadSpec!AZ24))),0)</f>
        <v>0</v>
      </c>
      <c r="AU24" s="108">
        <f>IFERROR(IF(d_Bv!V24=0,0,((s_Ir*s_F*s_MLF_pumpkin*(1-EXP(-s_RadSpec!AZ24*s_t_b)))/(s_P*s_RadSpec!AZ24))),0)</f>
        <v>0</v>
      </c>
      <c r="AV24" s="108">
        <f>IFERROR(IF(d_Bv!W24=0,0,((s_Ir*s_F*s_MLF_snap_bean*(1-EXP(-s_RadSpec!AZ24*s_t_b)))/(s_P*s_RadSpec!AZ24))),0)</f>
        <v>0</v>
      </c>
      <c r="AW24" s="108">
        <f>IFERROR(IF(d_Bv!X24=0,0,((s_Ir*s_F*s_MLF_strawberry*(1-EXP(-s_RadSpec!AZ24*s_t_b)))/(s_P*s_RadSpec!AZ24))),0)</f>
        <v>0</v>
      </c>
      <c r="AX24" s="108">
        <f>IFERROR(IF(d_Bv!Y24=0,0,((s_Ir*s_F*s_MLF_tomato*(1-EXP(-s_RadSpec!AZ24*s_t_b)))/(s_P*s_RadSpec!AZ24))),0)</f>
        <v>0</v>
      </c>
      <c r="AY24" s="108">
        <f>IFERROR(IF(d_Bv!Z24=0,0,((s_Ir*s_F*s_MLF_rice*(1-EXP(-s_RadSpec!AZ24*s_t_b)))/(s_P*s_RadSpec!AZ24))),0)</f>
        <v>0</v>
      </c>
      <c r="AZ24" s="108">
        <f>IFERROR(IF(d_Bv!AA24=0,0,((s_Ir*s_F*s_MLF_cereal*(1-EXP(-s_RadSpec!AZ24*s_t_b)))/(s_P*s_RadSpec!AZ24))),0)</f>
        <v>0</v>
      </c>
      <c r="BA24" s="108">
        <f>IFERROR(IF(d_Bv!C24=0,0,((s_Ir*s_F*s_I_f*s_T*(1-EXP(-s_RadSpec!BA24*s_t_v)))/(s_Y_v*s_RadSpec!BA24))),0)</f>
        <v>0</v>
      </c>
      <c r="BB24" s="108">
        <f>IFERROR(IF(d_Bv!D24=0,0,((s_Ir*s_F*s_I_f*s_T*(1-EXP(-s_RadSpec!BA24*s_t_v)))/(s_Y_v*s_RadSpec!BA24))),0)</f>
        <v>0</v>
      </c>
      <c r="BC24" s="108">
        <f>IFERROR(IF(d_Bv!E24=0,0,((s_Ir*s_F*s_I_f*s_T*(1-EXP(-s_RadSpec!BA24*s_t_v)))/(s_Y_v*s_RadSpec!BA24))),0)</f>
        <v>0</v>
      </c>
      <c r="BD24" s="108">
        <f>IFERROR(IF(d_Bv!F24=0,0,((s_Ir*s_F*s_I_f*s_T*(1-EXP(-s_RadSpec!BA24*s_t_v)))/(s_Y_v*s_RadSpec!BA24))),0)</f>
        <v>0</v>
      </c>
      <c r="BE24" s="108">
        <f>IFERROR(IF(d_Bv!G24=0,0,((s_Ir*s_F*s_I_f*s_T*(1-EXP(-s_RadSpec!BA24*s_t_v)))/(s_Y_v*s_RadSpec!BA24))),0)</f>
        <v>0</v>
      </c>
      <c r="BF24" s="108">
        <f>IFERROR(IF(d_Bv!H24=0,0,((s_Ir*s_F*s_I_f*s_T*(1-EXP(-s_RadSpec!BA24*s_t_v)))/(s_Y_v*s_RadSpec!BA24))),0)</f>
        <v>0</v>
      </c>
      <c r="BG24" s="108">
        <f>IFERROR(IF(d_Bv!I24=0,0,((s_Ir*s_F*s_I_f*s_T*(1-EXP(-s_RadSpec!BA24*s_t_v)))/(s_Y_v*s_RadSpec!BA24))),0)</f>
        <v>0</v>
      </c>
      <c r="BH24" s="108">
        <f>IFERROR(IF(d_Bv!J24=0,0,((s_Ir*s_F*s_I_f*s_T*(1-EXP(-s_RadSpec!BA24*s_t_v)))/(s_Y_v*s_RadSpec!BA24))),0)</f>
        <v>0</v>
      </c>
      <c r="BI24" s="108">
        <f>IFERROR(IF(d_Bv!K24=0,0,((s_Ir*s_F*s_I_f*s_T*(1-EXP(-s_RadSpec!BA24*s_t_v)))/(s_Y_v*s_RadSpec!BA24))),0)</f>
        <v>0</v>
      </c>
      <c r="BJ24" s="108">
        <f>IFERROR(IF(d_Bv!L24=0,0,((s_Ir*s_F*s_I_f*s_T*(1-EXP(-s_RadSpec!BA24*s_t_v)))/(s_Y_v*s_RadSpec!BA24))),0)</f>
        <v>0</v>
      </c>
      <c r="BK24" s="108">
        <f>IFERROR(IF(d_Bv!M24=0,0,((s_Ir*s_F*s_I_f*s_T*(1-EXP(-s_RadSpec!BA24*s_t_v)))/(s_Y_v*s_RadSpec!BA24))),0)</f>
        <v>0</v>
      </c>
      <c r="BL24" s="108">
        <f>IFERROR(IF(d_Bv!N24=0,0,((s_Ir*s_F*s_I_f*s_T*(1-EXP(-s_RadSpec!BA24*s_t_v)))/(s_Y_v*s_RadSpec!BA24))),0)</f>
        <v>0</v>
      </c>
      <c r="BM24" s="108">
        <f>IFERROR(IF(d_Bv!O24=0,0,((s_Ir*s_F*s_I_f*s_T*(1-EXP(-s_RadSpec!BA24*s_t_v)))/(s_Y_v*s_RadSpec!BA24))),0)</f>
        <v>0</v>
      </c>
      <c r="BN24" s="108">
        <f>IFERROR(IF(d_Bv!P24=0,0,((s_Ir*s_F*s_I_f*s_T*(1-EXP(-s_RadSpec!BA24*s_t_v)))/(s_Y_v*s_RadSpec!BA24))),0)</f>
        <v>0</v>
      </c>
      <c r="BO24" s="108">
        <f>IFERROR(IF(d_Bv!Q24=0,0,((s_Ir*s_F*s_I_f*s_T*(1-EXP(-s_RadSpec!BA24*s_t_v)))/(s_Y_v*s_RadSpec!BA24))),0)</f>
        <v>0</v>
      </c>
      <c r="BP24" s="108">
        <f>IFERROR(IF(d_Bv!R24=0,0,((s_Ir*s_F*s_I_f*s_T*(1-EXP(-s_RadSpec!BA24*s_t_v)))/(s_Y_v*s_RadSpec!BA24))),0)</f>
        <v>0</v>
      </c>
      <c r="BQ24" s="108">
        <f>IFERROR(IF(d_Bv!S24=0,0,((s_Ir*s_F*s_I_f*s_T*(1-EXP(-s_RadSpec!BA24*s_t_v)))/(s_Y_v*s_RadSpec!BA24))),0)</f>
        <v>0</v>
      </c>
      <c r="BR24" s="108">
        <f>IFERROR(IF(d_Bv!T24=0,0,((s_Ir*s_F*s_I_f*s_T*(1-EXP(-s_RadSpec!BA24*s_t_v)))/(s_Y_v*s_RadSpec!BA24))),0)</f>
        <v>0</v>
      </c>
      <c r="BS24" s="108">
        <f>IFERROR(IF(d_Bv!U24=0,0,((s_Ir*s_F*s_I_f*s_T*(1-EXP(-s_RadSpec!BA24*s_t_v)))/(s_Y_v*s_RadSpec!BA24))),0)</f>
        <v>0</v>
      </c>
      <c r="BT24" s="108">
        <f>IFERROR(IF(d_Bv!V24=0,0,((s_Ir*s_F*s_I_f*s_T*(1-EXP(-s_RadSpec!BA24*s_t_v)))/(s_Y_v*s_RadSpec!BA24))),0)</f>
        <v>0</v>
      </c>
      <c r="BU24" s="108">
        <f>IFERROR(IF(d_Bv!W24=0,0,((s_Ir*s_F*s_I_f*s_T*(1-EXP(-s_RadSpec!BA24*s_t_v)))/(s_Y_v*s_RadSpec!BA24))),0)</f>
        <v>0</v>
      </c>
      <c r="BV24" s="108">
        <f>IFERROR(IF(d_Bv!X24=0,0,((s_Ir*s_F*s_I_f*s_T*(1-EXP(-s_RadSpec!BA24*s_t_v)))/(s_Y_v*s_RadSpec!BA24))),0)</f>
        <v>0</v>
      </c>
      <c r="BW24" s="108">
        <f>IFERROR(IF(d_Bv!Y24=0,0,((s_Ir*s_F*s_I_f*s_T*(1-EXP(-s_RadSpec!BA24*s_t_v)))/(s_Y_v*s_RadSpec!BA24))),0)</f>
        <v>0</v>
      </c>
      <c r="BX24" s="108">
        <f>IFERROR(IF(d_Bv!Z24=0,0,((s_Ir*s_F*s_I_f*s_T*(1-EXP(-s_RadSpec!BA24*s_t_v)))/(s_Y_v*s_RadSpec!BA24))),0)</f>
        <v>0</v>
      </c>
      <c r="BY24" s="108">
        <f>IFERROR(IF(d_Bv!AA24=0,0,((s_Ir*s_F*s_I_f*s_T*(1-EXP(-s_RadSpec!BA24*s_t_v)))/(s_Y_v*s_RadSpec!BA24))),0)</f>
        <v>0</v>
      </c>
    </row>
    <row r="25" spans="1:77" x14ac:dyDescent="0.25">
      <c r="A25" s="46" t="s">
        <v>23</v>
      </c>
      <c r="B25" s="42" t="s">
        <v>335</v>
      </c>
      <c r="C25" s="108">
        <f>IFERROR(IF(d_Bv!C25=0,0,((s_Ir*s_F*d_Bv!C25*(1-EXP(-s_RadSpec!$AZ25*s_t_b)))/(s_P*s_RadSpec!$AZ25))),0)</f>
        <v>0</v>
      </c>
      <c r="D25" s="108">
        <f>IFERROR(IF(d_Bv!D25=0,0,((s_Ir*s_F*d_Bv!D25*(1-EXP(-s_RadSpec!AZ25*s_t_b)))/(s_P*s_RadSpec!AZ25))),0)</f>
        <v>0</v>
      </c>
      <c r="E25" s="108">
        <f>IFERROR(IF(d_Bv!E25=0,0,((s_Ir*s_F*d_Bv!E25*(1-EXP(-s_RadSpec!AZ25*s_t_b)))/(s_P*s_RadSpec!AZ25))),0)</f>
        <v>0</v>
      </c>
      <c r="F25" s="108">
        <f>IFERROR(IF(d_Bv!F25=0,0,((s_Ir*s_F*d_Bv!F25*(1-EXP(-s_RadSpec!AZ25*s_t_b)))/(s_P*s_RadSpec!AZ25))),0)</f>
        <v>0</v>
      </c>
      <c r="G25" s="108">
        <f>IFERROR(IF(d_Bv!G25=0,0,((s_Ir*s_F*d_Bv!G25*(1-EXP(-s_RadSpec!AZ25*s_t_b)))/(s_P*s_RadSpec!AZ25))),0)</f>
        <v>0</v>
      </c>
      <c r="H25" s="108">
        <f>IFERROR(IF(d_Bv!H25=0,0,((s_Ir*s_F*d_Bv!H25*(1-EXP(-s_RadSpec!AZ25*s_t_b)))/(s_P*s_RadSpec!AZ25))),0)</f>
        <v>0</v>
      </c>
      <c r="I25" s="108">
        <f>IFERROR(IF(d_Bv!I25=0,0,((s_Ir*s_F*d_Bv!I25*(1-EXP(-s_RadSpec!AZ25*s_t_b)))/(s_P*s_RadSpec!AZ25))),0)</f>
        <v>0</v>
      </c>
      <c r="J25" s="108">
        <f>IFERROR(IF(d_Bv!J25=0,0,((s_Ir*s_F*d_Bv!J25*(1-EXP(-s_RadSpec!AZ25*s_t_b)))/(s_P*s_RadSpec!AZ25))),0)</f>
        <v>0</v>
      </c>
      <c r="K25" s="108">
        <f>IFERROR(IF(d_Bv!K25=0,0,((s_Ir*s_F*d_Bv!K25*(1-EXP(-s_RadSpec!AZ25*s_t_b)))/(s_P*s_RadSpec!AZ25))),0)</f>
        <v>0</v>
      </c>
      <c r="L25" s="108">
        <f>IFERROR(IF(d_Bv!L25=0,0,((s_Ir*s_F*d_Bv!L25*(1-EXP(-s_RadSpec!AZ25*s_t_b)))/(s_P*s_RadSpec!AZ25))),0)</f>
        <v>0</v>
      </c>
      <c r="M25" s="108">
        <f>IFERROR(IF(d_Bv!M25=0,0,((s_Ir*s_F*d_Bv!M25*(1-EXP(-s_RadSpec!AZ25*s_t_b)))/(s_P*s_RadSpec!AZ25))),0)</f>
        <v>0</v>
      </c>
      <c r="N25" s="108">
        <f>IFERROR(IF(d_Bv!N25=0,0,((s_Ir*s_F*d_Bv!N25*(1-EXP(-s_RadSpec!AZ25*s_t_b)))/(s_P*s_RadSpec!AZ25))),0)</f>
        <v>0</v>
      </c>
      <c r="O25" s="108">
        <f>IFERROR(IF(d_Bv!O25=0,0,((s_Ir*s_F*d_Bv!O25*(1-EXP(-s_RadSpec!AZ25*s_t_b)))/(s_P*s_RadSpec!AZ25))),0)</f>
        <v>0</v>
      </c>
      <c r="P25" s="108">
        <f>IFERROR(IF(d_Bv!P25=0,0,((s_Ir*s_F*d_Bv!P25*(1-EXP(-s_RadSpec!AZ25*s_t_b)))/(s_P*s_RadSpec!AZ25))),0)</f>
        <v>0</v>
      </c>
      <c r="Q25" s="108">
        <f>IFERROR(IF(d_Bv!Q25=0,0,((s_Ir*s_F*d_Bv!Q25*(1-EXP(-s_RadSpec!AZ25*s_t_b)))/(s_P*s_RadSpec!AZ25))),0)</f>
        <v>0</v>
      </c>
      <c r="R25" s="108">
        <f>IFERROR(IF(d_Bv!R25=0,0,((s_Ir*s_F*d_Bv!R25*(1-EXP(-s_RadSpec!AZ25*s_t_b)))/(s_P*s_RadSpec!AZ25))),0)</f>
        <v>0</v>
      </c>
      <c r="S25" s="108">
        <f>IFERROR(IF(d_Bv!S25=0,0,((s_Ir*s_F*d_Bv!S25*(1-EXP(-s_RadSpec!AZ25*s_t_b)))/(s_P*s_RadSpec!AZ25))),0)</f>
        <v>0</v>
      </c>
      <c r="T25" s="108">
        <f>IFERROR(IF(d_Bv!T25=0,0,((s_Ir*s_F*d_Bv!T25*(1-EXP(-s_RadSpec!AZ25*s_t_b)))/(s_P*s_RadSpec!AZ25))),0)</f>
        <v>0</v>
      </c>
      <c r="U25" s="108">
        <f>IFERROR(IF(d_Bv!U25=0,0,((s_Ir*s_F*d_Bv!U25*(1-EXP(-s_RadSpec!AZ25*s_t_b)))/(s_P*s_RadSpec!AZ25))),0)</f>
        <v>0</v>
      </c>
      <c r="V25" s="108">
        <f>IFERROR(IF(d_Bv!V25=0,0,((s_Ir*s_F*d_Bv!V25*(1-EXP(-s_RadSpec!AZ25*s_t_b)))/(s_P*s_RadSpec!AZ25))),0)</f>
        <v>0</v>
      </c>
      <c r="W25" s="108">
        <f>IFERROR(IF(d_Bv!W25=0,0,((s_Ir*s_F*d_Bv!W25*(1-EXP(-s_RadSpec!AZ25*s_t_b)))/(s_P*s_RadSpec!AZ25))),0)</f>
        <v>0</v>
      </c>
      <c r="X25" s="108">
        <f>IFERROR(IF(d_Bv!X25=0,0,((s_Ir*s_F*d_Bv!X25*(1-EXP(-s_RadSpec!AZ25*s_t_b)))/(s_P*s_RadSpec!AZ25))),0)</f>
        <v>0</v>
      </c>
      <c r="Y25" s="108">
        <f>IFERROR(IF(d_Bv!Y25=0,0,((s_Ir*s_F*d_Bv!Y25*(1-EXP(-s_RadSpec!AZ25*s_t_b)))/(s_P*s_RadSpec!AZ25))),0)</f>
        <v>0</v>
      </c>
      <c r="Z25" s="108">
        <f>IFERROR(IF(d_Bv!Z25=0,0,((s_Ir*s_F*d_Bv!Z25*(1-EXP(-s_RadSpec!AZ25*s_t_b)))/(s_P*s_RadSpec!AZ25))),0)</f>
        <v>0</v>
      </c>
      <c r="AA25" s="108">
        <f>IFERROR(IF(d_Bv!AA25=0,0,((s_Ir*s_F*d_Bv!AA25*(1-EXP(-s_RadSpec!AZ25*s_t_b)))/(s_P*s_RadSpec!AZ25))),0)</f>
        <v>0</v>
      </c>
      <c r="AB25" s="108">
        <f>IFERROR(IF(d_Bv!C25=0,0,((s_Ir*s_F*s_MLF_apple*(1-EXP(-s_RadSpec!AZ25*s_t_b)))/(s_P*s_RadSpec!AZ25))),0)</f>
        <v>0</v>
      </c>
      <c r="AC25" s="108">
        <f>IFERROR(IF(d_Bv!D25=0,0,((s_Ir*s_F*s_MLF_asparagus*(1-EXP(-s_RadSpec!AZ25*s_t_b)))/(s_P*s_RadSpec!AZ25))),0)</f>
        <v>0</v>
      </c>
      <c r="AD25" s="108">
        <f>IFERROR(IF(d_Bv!E25=0,0,((s_Ir*s_F*s_MLF_beet*(1-EXP(-s_RadSpec!AZ25*s_t_b)))/(s_P*s_RadSpec!AZ25))),0)</f>
        <v>0</v>
      </c>
      <c r="AE25" s="108">
        <f>IFERROR(IF(d_Bv!F25=0,0,((s_Ir*s_F*s_MLF_berries*(1-EXP(-s_RadSpec!AZ25*s_t_b)))/(s_P*s_RadSpec!AZ25))),0)</f>
        <v>0</v>
      </c>
      <c r="AF25" s="108">
        <f>IFERROR(IF(d_Bv!G25=0,0,((s_Ir*s_F*s_MLF_broccoli*(1-EXP(-s_RadSpec!AZ25*s_t_b)))/(s_P*s_RadSpec!AZ25))),0)</f>
        <v>0</v>
      </c>
      <c r="AG25" s="108">
        <f>IFERROR(IF(d_Bv!H25=0,0,((s_Ir*s_F*s_MLF_cabbage*(1-EXP(-s_RadSpec!AZ25*s_t_b)))/(s_P*s_RadSpec!AZ25))),0)</f>
        <v>0</v>
      </c>
      <c r="AH25" s="108">
        <f>IFERROR(IF(d_Bv!I25=0,0,((s_Ir*s_F*s_MLF_carrot*(1-EXP(-s_RadSpec!AZ25*s_t_b)))/(s_P*s_RadSpec!AZ25))),0)</f>
        <v>0</v>
      </c>
      <c r="AI25" s="108">
        <f>IFERROR(IF(d_Bv!J25=0,0,((s_Ir*s_F*s_MLF_citrus*(1-EXP(-s_RadSpec!AZ25*s_t_b)))/(s_P*s_RadSpec!AZ25))),0)</f>
        <v>0</v>
      </c>
      <c r="AJ25" s="108">
        <f>IFERROR(IF(d_Bv!K25=0,0,((s_Ir*s_F*s_MLF_corn*(1-EXP(-s_RadSpec!AZ25*s_t_b)))/(s_P*s_RadSpec!AZ25))),0)</f>
        <v>0</v>
      </c>
      <c r="AK25" s="108">
        <f>IFERROR(IF(d_Bv!L25=0,0,((s_Ir*s_F*s_MLF_cucumber*(1-EXP(-s_RadSpec!AZ25*s_t_b)))/(s_P*s_RadSpec!AZ25))),0)</f>
        <v>0</v>
      </c>
      <c r="AL25" s="108">
        <f>IFERROR(IF(d_Bv!M25=0,0,((s_Ir*s_F*s_MLF_lettuce*(1-EXP(-s_RadSpec!AZ25*s_t_b)))/(s_P*s_RadSpec!AZ25))),0)</f>
        <v>0</v>
      </c>
      <c r="AM25" s="108">
        <f>IFERROR(IF(d_Bv!N25=0,0,((s_Ir*s_F*s_MLF_lima_bean*(1-EXP(-s_RadSpec!AZ25*s_t_b)))/(s_P*s_RadSpec!AZ25))),0)</f>
        <v>0</v>
      </c>
      <c r="AN25" s="108">
        <f>IFERROR(IF(d_Bv!O25=0,0,((s_Ir*s_F*s_MLF_okra*(1-EXP(-s_RadSpec!AZ25*s_t_b)))/(s_P*s_RadSpec!AZ25))),0)</f>
        <v>0</v>
      </c>
      <c r="AO25" s="108">
        <f>IFERROR(IF(d_Bv!P25=0,0,((s_Ir*s_F*s_MLF_onion*(1-EXP(-s_RadSpec!AZ25*s_t_b)))/(s_P*s_RadSpec!AZ25))),0)</f>
        <v>0</v>
      </c>
      <c r="AP25" s="108">
        <f>IFERROR(IF(d_Bv!Q25=0,0,((s_Ir*s_F*s_MLF_peach*(1-EXP(-s_RadSpec!AZ25*s_t_b)))/(s_P*s_RadSpec!AZ25))),0)</f>
        <v>0</v>
      </c>
      <c r="AQ25" s="108">
        <f>IFERROR(IF(d_Bv!R25=0,0,((s_Ir*s_F*s_MLF_pear*(1-EXP(-s_RadSpec!AZ25*s_t_b)))/(s_P*s_RadSpec!AZ25))),0)</f>
        <v>0</v>
      </c>
      <c r="AR25" s="108">
        <f>IFERROR(IF(d_Bv!S25=0,0,((s_Ir*s_F*s_MLF_peas*(1-EXP(-s_RadSpec!AZ25*s_t_b)))/(s_P*s_RadSpec!AZ25))),0)</f>
        <v>0</v>
      </c>
      <c r="AS25" s="108">
        <f>IFERROR(IF(d_Bv!T25=0,0,((s_Ir*s_F*s_MLF_peppers*(1-EXP(-s_RadSpec!AZ25*s_t_b)))/(s_P*s_RadSpec!AZ25))),0)</f>
        <v>0</v>
      </c>
      <c r="AT25" s="108">
        <f>IFERROR(IF(d_Bv!U25=0,0,((s_Ir*s_F*s_MLF_potato*(1-EXP(-s_RadSpec!AZ25*s_t_b)))/(s_P*s_RadSpec!AZ25))),0)</f>
        <v>0</v>
      </c>
      <c r="AU25" s="108">
        <f>IFERROR(IF(d_Bv!V25=0,0,((s_Ir*s_F*s_MLF_pumpkin*(1-EXP(-s_RadSpec!AZ25*s_t_b)))/(s_P*s_RadSpec!AZ25))),0)</f>
        <v>0</v>
      </c>
      <c r="AV25" s="108">
        <f>IFERROR(IF(d_Bv!W25=0,0,((s_Ir*s_F*s_MLF_snap_bean*(1-EXP(-s_RadSpec!AZ25*s_t_b)))/(s_P*s_RadSpec!AZ25))),0)</f>
        <v>0</v>
      </c>
      <c r="AW25" s="108">
        <f>IFERROR(IF(d_Bv!X25=0,0,((s_Ir*s_F*s_MLF_strawberry*(1-EXP(-s_RadSpec!AZ25*s_t_b)))/(s_P*s_RadSpec!AZ25))),0)</f>
        <v>0</v>
      </c>
      <c r="AX25" s="108">
        <f>IFERROR(IF(d_Bv!Y25=0,0,((s_Ir*s_F*s_MLF_tomato*(1-EXP(-s_RadSpec!AZ25*s_t_b)))/(s_P*s_RadSpec!AZ25))),0)</f>
        <v>0</v>
      </c>
      <c r="AY25" s="108">
        <f>IFERROR(IF(d_Bv!Z25=0,0,((s_Ir*s_F*s_MLF_rice*(1-EXP(-s_RadSpec!AZ25*s_t_b)))/(s_P*s_RadSpec!AZ25))),0)</f>
        <v>0</v>
      </c>
      <c r="AZ25" s="108">
        <f>IFERROR(IF(d_Bv!AA25=0,0,((s_Ir*s_F*s_MLF_cereal*(1-EXP(-s_RadSpec!AZ25*s_t_b)))/(s_P*s_RadSpec!AZ25))),0)</f>
        <v>0</v>
      </c>
      <c r="BA25" s="108">
        <f>IFERROR(IF(d_Bv!C25=0,0,((s_Ir*s_F*s_I_f*s_T*(1-EXP(-s_RadSpec!BA25*s_t_v)))/(s_Y_v*s_RadSpec!BA25))),0)</f>
        <v>0</v>
      </c>
      <c r="BB25" s="108">
        <f>IFERROR(IF(d_Bv!D25=0,0,((s_Ir*s_F*s_I_f*s_T*(1-EXP(-s_RadSpec!BA25*s_t_v)))/(s_Y_v*s_RadSpec!BA25))),0)</f>
        <v>0</v>
      </c>
      <c r="BC25" s="108">
        <f>IFERROR(IF(d_Bv!E25=0,0,((s_Ir*s_F*s_I_f*s_T*(1-EXP(-s_RadSpec!BA25*s_t_v)))/(s_Y_v*s_RadSpec!BA25))),0)</f>
        <v>0</v>
      </c>
      <c r="BD25" s="108">
        <f>IFERROR(IF(d_Bv!F25=0,0,((s_Ir*s_F*s_I_f*s_T*(1-EXP(-s_RadSpec!BA25*s_t_v)))/(s_Y_v*s_RadSpec!BA25))),0)</f>
        <v>0</v>
      </c>
      <c r="BE25" s="108">
        <f>IFERROR(IF(d_Bv!G25=0,0,((s_Ir*s_F*s_I_f*s_T*(1-EXP(-s_RadSpec!BA25*s_t_v)))/(s_Y_v*s_RadSpec!BA25))),0)</f>
        <v>0</v>
      </c>
      <c r="BF25" s="108">
        <f>IFERROR(IF(d_Bv!H25=0,0,((s_Ir*s_F*s_I_f*s_T*(1-EXP(-s_RadSpec!BA25*s_t_v)))/(s_Y_v*s_RadSpec!BA25))),0)</f>
        <v>0</v>
      </c>
      <c r="BG25" s="108">
        <f>IFERROR(IF(d_Bv!I25=0,0,((s_Ir*s_F*s_I_f*s_T*(1-EXP(-s_RadSpec!BA25*s_t_v)))/(s_Y_v*s_RadSpec!BA25))),0)</f>
        <v>0</v>
      </c>
      <c r="BH25" s="108">
        <f>IFERROR(IF(d_Bv!J25=0,0,((s_Ir*s_F*s_I_f*s_T*(1-EXP(-s_RadSpec!BA25*s_t_v)))/(s_Y_v*s_RadSpec!BA25))),0)</f>
        <v>0</v>
      </c>
      <c r="BI25" s="108">
        <f>IFERROR(IF(d_Bv!K25=0,0,((s_Ir*s_F*s_I_f*s_T*(1-EXP(-s_RadSpec!BA25*s_t_v)))/(s_Y_v*s_RadSpec!BA25))),0)</f>
        <v>0</v>
      </c>
      <c r="BJ25" s="108">
        <f>IFERROR(IF(d_Bv!L25=0,0,((s_Ir*s_F*s_I_f*s_T*(1-EXP(-s_RadSpec!BA25*s_t_v)))/(s_Y_v*s_RadSpec!BA25))),0)</f>
        <v>0</v>
      </c>
      <c r="BK25" s="108">
        <f>IFERROR(IF(d_Bv!M25=0,0,((s_Ir*s_F*s_I_f*s_T*(1-EXP(-s_RadSpec!BA25*s_t_v)))/(s_Y_v*s_RadSpec!BA25))),0)</f>
        <v>0</v>
      </c>
      <c r="BL25" s="108">
        <f>IFERROR(IF(d_Bv!N25=0,0,((s_Ir*s_F*s_I_f*s_T*(1-EXP(-s_RadSpec!BA25*s_t_v)))/(s_Y_v*s_RadSpec!BA25))),0)</f>
        <v>0</v>
      </c>
      <c r="BM25" s="108">
        <f>IFERROR(IF(d_Bv!O25=0,0,((s_Ir*s_F*s_I_f*s_T*(1-EXP(-s_RadSpec!BA25*s_t_v)))/(s_Y_v*s_RadSpec!BA25))),0)</f>
        <v>0</v>
      </c>
      <c r="BN25" s="108">
        <f>IFERROR(IF(d_Bv!P25=0,0,((s_Ir*s_F*s_I_f*s_T*(1-EXP(-s_RadSpec!BA25*s_t_v)))/(s_Y_v*s_RadSpec!BA25))),0)</f>
        <v>0</v>
      </c>
      <c r="BO25" s="108">
        <f>IFERROR(IF(d_Bv!Q25=0,0,((s_Ir*s_F*s_I_f*s_T*(1-EXP(-s_RadSpec!BA25*s_t_v)))/(s_Y_v*s_RadSpec!BA25))),0)</f>
        <v>0</v>
      </c>
      <c r="BP25" s="108">
        <f>IFERROR(IF(d_Bv!R25=0,0,((s_Ir*s_F*s_I_f*s_T*(1-EXP(-s_RadSpec!BA25*s_t_v)))/(s_Y_v*s_RadSpec!BA25))),0)</f>
        <v>0</v>
      </c>
      <c r="BQ25" s="108">
        <f>IFERROR(IF(d_Bv!S25=0,0,((s_Ir*s_F*s_I_f*s_T*(1-EXP(-s_RadSpec!BA25*s_t_v)))/(s_Y_v*s_RadSpec!BA25))),0)</f>
        <v>0</v>
      </c>
      <c r="BR25" s="108">
        <f>IFERROR(IF(d_Bv!T25=0,0,((s_Ir*s_F*s_I_f*s_T*(1-EXP(-s_RadSpec!BA25*s_t_v)))/(s_Y_v*s_RadSpec!BA25))),0)</f>
        <v>0</v>
      </c>
      <c r="BS25" s="108">
        <f>IFERROR(IF(d_Bv!U25=0,0,((s_Ir*s_F*s_I_f*s_T*(1-EXP(-s_RadSpec!BA25*s_t_v)))/(s_Y_v*s_RadSpec!BA25))),0)</f>
        <v>0</v>
      </c>
      <c r="BT25" s="108">
        <f>IFERROR(IF(d_Bv!V25=0,0,((s_Ir*s_F*s_I_f*s_T*(1-EXP(-s_RadSpec!BA25*s_t_v)))/(s_Y_v*s_RadSpec!BA25))),0)</f>
        <v>0</v>
      </c>
      <c r="BU25" s="108">
        <f>IFERROR(IF(d_Bv!W25=0,0,((s_Ir*s_F*s_I_f*s_T*(1-EXP(-s_RadSpec!BA25*s_t_v)))/(s_Y_v*s_RadSpec!BA25))),0)</f>
        <v>0</v>
      </c>
      <c r="BV25" s="108">
        <f>IFERROR(IF(d_Bv!X25=0,0,((s_Ir*s_F*s_I_f*s_T*(1-EXP(-s_RadSpec!BA25*s_t_v)))/(s_Y_v*s_RadSpec!BA25))),0)</f>
        <v>0</v>
      </c>
      <c r="BW25" s="108">
        <f>IFERROR(IF(d_Bv!Y25=0,0,((s_Ir*s_F*s_I_f*s_T*(1-EXP(-s_RadSpec!BA25*s_t_v)))/(s_Y_v*s_RadSpec!BA25))),0)</f>
        <v>0</v>
      </c>
      <c r="BX25" s="108">
        <f>IFERROR(IF(d_Bv!Z25=0,0,((s_Ir*s_F*s_I_f*s_T*(1-EXP(-s_RadSpec!BA25*s_t_v)))/(s_Y_v*s_RadSpec!BA25))),0)</f>
        <v>0</v>
      </c>
      <c r="BY25" s="108">
        <f>IFERROR(IF(d_Bv!AA25=0,0,((s_Ir*s_F*s_I_f*s_T*(1-EXP(-s_RadSpec!BA25*s_t_v)))/(s_Y_v*s_RadSpec!BA25))),0)</f>
        <v>0</v>
      </c>
    </row>
    <row r="26" spans="1:77" x14ac:dyDescent="0.25">
      <c r="A26" s="44" t="s">
        <v>24</v>
      </c>
      <c r="B26" s="42" t="s">
        <v>1057</v>
      </c>
      <c r="C26" s="108">
        <f>IFERROR(IF(d_Bv!C26=0,0,((s_Ir*s_F*d_Bv!C26*(1-EXP(-s_RadSpec!$AZ26*s_t_b)))/(s_P*s_RadSpec!$AZ26))),0)</f>
        <v>9.9350362303732037E-2</v>
      </c>
      <c r="D26" s="108">
        <f>IFERROR(IF(d_Bv!D26=0,0,((s_Ir*s_F*d_Bv!D26*(1-EXP(-s_RadSpec!AZ26*s_t_b)))/(s_P*s_RadSpec!AZ26))),0)</f>
        <v>0.23844086952895688</v>
      </c>
      <c r="E26" s="108">
        <f>IFERROR(IF(d_Bv!E26=0,0,((s_Ir*s_F*d_Bv!E26*(1-EXP(-s_RadSpec!AZ26*s_t_b)))/(s_P*s_RadSpec!AZ26))),0)</f>
        <v>0.15896057968597124</v>
      </c>
      <c r="F26" s="108">
        <f>IFERROR(IF(d_Bv!F26=0,0,((s_Ir*s_F*d_Bv!F26*(1-EXP(-s_RadSpec!AZ26*s_t_b)))/(s_P*s_RadSpec!AZ26))),0)</f>
        <v>9.9350362303732037E-2</v>
      </c>
      <c r="G26" s="108">
        <f>IFERROR(IF(d_Bv!G26=0,0,((s_Ir*s_F*d_Bv!G26*(1-EXP(-s_RadSpec!AZ26*s_t_b)))/(s_P*s_RadSpec!AZ26))),0)</f>
        <v>0.15498656519382198</v>
      </c>
      <c r="H26" s="108">
        <f>IFERROR(IF(d_Bv!H26=0,0,((s_Ir*s_F*d_Bv!H26*(1-EXP(-s_RadSpec!AZ26*s_t_b)))/(s_P*s_RadSpec!AZ26))),0)</f>
        <v>0.23844086952895688</v>
      </c>
      <c r="I26" s="108">
        <f>IFERROR(IF(d_Bv!I26=0,0,((s_Ir*s_F*d_Bv!I26*(1-EXP(-s_RadSpec!AZ26*s_t_b)))/(s_P*s_RadSpec!AZ26))),0)</f>
        <v>0.15896057968597124</v>
      </c>
      <c r="J26" s="108">
        <f>IFERROR(IF(d_Bv!J26=0,0,((s_Ir*s_F*d_Bv!J26*(1-EXP(-s_RadSpec!AZ26*s_t_b)))/(s_P*s_RadSpec!AZ26))),0)</f>
        <v>9.9350362303732037E-2</v>
      </c>
      <c r="K26" s="108">
        <f>IFERROR(IF(d_Bv!K26=0,0,((s_Ir*s_F*d_Bv!K26*(1-EXP(-s_RadSpec!AZ26*s_t_b)))/(s_P*s_RadSpec!AZ26))),0)</f>
        <v>0.12716846374877702</v>
      </c>
      <c r="L26" s="108">
        <f>IFERROR(IF(d_Bv!L26=0,0,((s_Ir*s_F*d_Bv!L26*(1-EXP(-s_RadSpec!AZ26*s_t_b)))/(s_P*s_RadSpec!AZ26))),0)</f>
        <v>0.15498656519382198</v>
      </c>
      <c r="M26" s="108">
        <f>IFERROR(IF(d_Bv!M26=0,0,((s_Ir*s_F*d_Bv!M26*(1-EXP(-s_RadSpec!AZ26*s_t_b)))/(s_P*s_RadSpec!AZ26))),0)</f>
        <v>0.23844086952895688</v>
      </c>
      <c r="N26" s="108">
        <f>IFERROR(IF(d_Bv!N26=0,0,((s_Ir*s_F*d_Bv!N26*(1-EXP(-s_RadSpec!AZ26*s_t_b)))/(s_P*s_RadSpec!AZ26))),0)</f>
        <v>0.10531138404195596</v>
      </c>
      <c r="O26" s="108">
        <f>IFERROR(IF(d_Bv!O26=0,0,((s_Ir*s_F*d_Bv!O26*(1-EXP(-s_RadSpec!AZ26*s_t_b)))/(s_P*s_RadSpec!AZ26))),0)</f>
        <v>0.15498656519382198</v>
      </c>
      <c r="P26" s="108">
        <f>IFERROR(IF(d_Bv!P26=0,0,((s_Ir*s_F*d_Bv!P26*(1-EXP(-s_RadSpec!AZ26*s_t_b)))/(s_P*s_RadSpec!AZ26))),0)</f>
        <v>0.15896057968597124</v>
      </c>
      <c r="Q26" s="108">
        <f>IFERROR(IF(d_Bv!Q26=0,0,((s_Ir*s_F*d_Bv!Q26*(1-EXP(-s_RadSpec!AZ26*s_t_b)))/(s_P*s_RadSpec!AZ26))),0)</f>
        <v>9.9350362303732037E-2</v>
      </c>
      <c r="R26" s="108">
        <f>IFERROR(IF(d_Bv!R26=0,0,((s_Ir*s_F*d_Bv!R26*(1-EXP(-s_RadSpec!AZ26*s_t_b)))/(s_P*s_RadSpec!AZ26))),0)</f>
        <v>9.9350362303732037E-2</v>
      </c>
      <c r="S26" s="108">
        <f>IFERROR(IF(d_Bv!S26=0,0,((s_Ir*s_F*d_Bv!S26*(1-EXP(-s_RadSpec!AZ26*s_t_b)))/(s_P*s_RadSpec!AZ26))),0)</f>
        <v>0.10531138404195596</v>
      </c>
      <c r="T26" s="108">
        <f>IFERROR(IF(d_Bv!T26=0,0,((s_Ir*s_F*d_Bv!T26*(1-EXP(-s_RadSpec!AZ26*s_t_b)))/(s_P*s_RadSpec!AZ26))),0)</f>
        <v>0.15498656519382198</v>
      </c>
      <c r="U26" s="108">
        <f>IFERROR(IF(d_Bv!U26=0,0,((s_Ir*s_F*d_Bv!U26*(1-EXP(-s_RadSpec!AZ26*s_t_b)))/(s_P*s_RadSpec!AZ26))),0)</f>
        <v>3.9740144921492811E-2</v>
      </c>
      <c r="V26" s="108">
        <f>IFERROR(IF(d_Bv!V26=0,0,((s_Ir*s_F*d_Bv!V26*(1-EXP(-s_RadSpec!AZ26*s_t_b)))/(s_P*s_RadSpec!AZ26))),0)</f>
        <v>0.15498656519382198</v>
      </c>
      <c r="W26" s="108">
        <f>IFERROR(IF(d_Bv!W26=0,0,((s_Ir*s_F*d_Bv!W26*(1-EXP(-s_RadSpec!AZ26*s_t_b)))/(s_P*s_RadSpec!AZ26))),0)</f>
        <v>0.10531138404195596</v>
      </c>
      <c r="X26" s="108">
        <f>IFERROR(IF(d_Bv!X26=0,0,((s_Ir*s_F*d_Bv!X26*(1-EXP(-s_RadSpec!AZ26*s_t_b)))/(s_P*s_RadSpec!AZ26))),0)</f>
        <v>9.9350362303732037E-2</v>
      </c>
      <c r="Y26" s="108">
        <f>IFERROR(IF(d_Bv!Y26=0,0,((s_Ir*s_F*d_Bv!Y26*(1-EXP(-s_RadSpec!AZ26*s_t_b)))/(s_P*s_RadSpec!AZ26))),0)</f>
        <v>0.15498656519382198</v>
      </c>
      <c r="Z26" s="108">
        <f>IFERROR(IF(d_Bv!Z26=0,0,((s_Ir*s_F*d_Bv!Z26*(1-EXP(-s_RadSpec!AZ26*s_t_b)))/(s_P*s_RadSpec!AZ26))),0)</f>
        <v>3.1792115937194255E-2</v>
      </c>
      <c r="AA26" s="108">
        <f>IFERROR(IF(d_Bv!AA26=0,0,((s_Ir*s_F*d_Bv!AA26*(1-EXP(-s_RadSpec!AZ26*s_t_b)))/(s_P*s_RadSpec!AZ26))),0)</f>
        <v>0.41727152167567449</v>
      </c>
      <c r="AB26" s="108">
        <f>IFERROR(IF(d_Bv!C26=0,0,((s_Ir*s_F*s_MLF_apple*(1-EXP(-s_RadSpec!AZ26*s_t_b)))/(s_P*s_RadSpec!AZ26))),0)</f>
        <v>2.6824597822007652</v>
      </c>
      <c r="AC26" s="108">
        <f>IFERROR(IF(d_Bv!D26=0,0,((s_Ir*s_F*s_MLF_asparagus*(1-EXP(-s_RadSpec!AZ26*s_t_b)))/(s_P*s_RadSpec!AZ26))),0)</f>
        <v>2.6824597822007652</v>
      </c>
      <c r="AD26" s="108">
        <f>IFERROR(IF(d_Bv!E26=0,0,((s_Ir*s_F*s_MLF_beet*(1-EXP(-s_RadSpec!AZ26*s_t_b)))/(s_P*s_RadSpec!AZ26))),0)</f>
        <v>2.6824597822007652</v>
      </c>
      <c r="AE26" s="108">
        <f>IFERROR(IF(d_Bv!F26=0,0,((s_Ir*s_F*s_MLF_berries*(1-EXP(-s_RadSpec!AZ26*s_t_b)))/(s_P*s_RadSpec!AZ26))),0)</f>
        <v>2.6824597822007652</v>
      </c>
      <c r="AF26" s="108">
        <f>IFERROR(IF(d_Bv!G26=0,0,((s_Ir*s_F*s_MLF_broccoli*(1-EXP(-s_RadSpec!AZ26*s_t_b)))/(s_P*s_RadSpec!AZ26))),0)</f>
        <v>2.6824597822007652</v>
      </c>
      <c r="AG26" s="108">
        <f>IFERROR(IF(d_Bv!H26=0,0,((s_Ir*s_F*s_MLF_cabbage*(1-EXP(-s_RadSpec!AZ26*s_t_b)))/(s_P*s_RadSpec!AZ26))),0)</f>
        <v>2.6824597822007652</v>
      </c>
      <c r="AH26" s="108">
        <f>IFERROR(IF(d_Bv!I26=0,0,((s_Ir*s_F*s_MLF_carrot*(1-EXP(-s_RadSpec!AZ26*s_t_b)))/(s_P*s_RadSpec!AZ26))),0)</f>
        <v>2.6824597822007652</v>
      </c>
      <c r="AI26" s="108">
        <f>IFERROR(IF(d_Bv!J26=0,0,((s_Ir*s_F*s_MLF_citrus*(1-EXP(-s_RadSpec!AZ26*s_t_b)))/(s_P*s_RadSpec!AZ26))),0)</f>
        <v>2.6824597822007652</v>
      </c>
      <c r="AJ26" s="108">
        <f>IFERROR(IF(d_Bv!K26=0,0,((s_Ir*s_F*s_MLF_corn*(1-EXP(-s_RadSpec!AZ26*s_t_b)))/(s_P*s_RadSpec!AZ26))),0)</f>
        <v>2.6824597822007652</v>
      </c>
      <c r="AK26" s="108">
        <f>IFERROR(IF(d_Bv!L26=0,0,((s_Ir*s_F*s_MLF_cucumber*(1-EXP(-s_RadSpec!AZ26*s_t_b)))/(s_P*s_RadSpec!AZ26))),0)</f>
        <v>2.6824597822007652</v>
      </c>
      <c r="AL26" s="108">
        <f>IFERROR(IF(d_Bv!M26=0,0,((s_Ir*s_F*s_MLF_lettuce*(1-EXP(-s_RadSpec!AZ26*s_t_b)))/(s_P*s_RadSpec!AZ26))),0)</f>
        <v>2.6824597822007652</v>
      </c>
      <c r="AM26" s="108">
        <f>IFERROR(IF(d_Bv!N26=0,0,((s_Ir*s_F*s_MLF_lima_bean*(1-EXP(-s_RadSpec!AZ26*s_t_b)))/(s_P*s_RadSpec!AZ26))),0)</f>
        <v>2.6824597822007652</v>
      </c>
      <c r="AN26" s="108">
        <f>IFERROR(IF(d_Bv!O26=0,0,((s_Ir*s_F*s_MLF_okra*(1-EXP(-s_RadSpec!AZ26*s_t_b)))/(s_P*s_RadSpec!AZ26))),0)</f>
        <v>2.6824597822007652</v>
      </c>
      <c r="AO26" s="108">
        <f>IFERROR(IF(d_Bv!P26=0,0,((s_Ir*s_F*s_MLF_onion*(1-EXP(-s_RadSpec!AZ26*s_t_b)))/(s_P*s_RadSpec!AZ26))),0)</f>
        <v>2.6824597822007652</v>
      </c>
      <c r="AP26" s="108">
        <f>IFERROR(IF(d_Bv!Q26=0,0,((s_Ir*s_F*s_MLF_peach*(1-EXP(-s_RadSpec!AZ26*s_t_b)))/(s_P*s_RadSpec!AZ26))),0)</f>
        <v>2.6824597822007652</v>
      </c>
      <c r="AQ26" s="108">
        <f>IFERROR(IF(d_Bv!R26=0,0,((s_Ir*s_F*s_MLF_pear*(1-EXP(-s_RadSpec!AZ26*s_t_b)))/(s_P*s_RadSpec!AZ26))),0)</f>
        <v>2.6824597822007652</v>
      </c>
      <c r="AR26" s="108">
        <f>IFERROR(IF(d_Bv!S26=0,0,((s_Ir*s_F*s_MLF_peas*(1-EXP(-s_RadSpec!AZ26*s_t_b)))/(s_P*s_RadSpec!AZ26))),0)</f>
        <v>2.6824597822007652</v>
      </c>
      <c r="AS26" s="108">
        <f>IFERROR(IF(d_Bv!T26=0,0,((s_Ir*s_F*s_MLF_peppers*(1-EXP(-s_RadSpec!AZ26*s_t_b)))/(s_P*s_RadSpec!AZ26))),0)</f>
        <v>2.6824597822007652</v>
      </c>
      <c r="AT26" s="108">
        <f>IFERROR(IF(d_Bv!U26=0,0,((s_Ir*s_F*s_MLF_potato*(1-EXP(-s_RadSpec!AZ26*s_t_b)))/(s_P*s_RadSpec!AZ26))),0)</f>
        <v>2.6824597822007652</v>
      </c>
      <c r="AU26" s="108">
        <f>IFERROR(IF(d_Bv!V26=0,0,((s_Ir*s_F*s_MLF_pumpkin*(1-EXP(-s_RadSpec!AZ26*s_t_b)))/(s_P*s_RadSpec!AZ26))),0)</f>
        <v>2.6824597822007652</v>
      </c>
      <c r="AV26" s="108">
        <f>IFERROR(IF(d_Bv!W26=0,0,((s_Ir*s_F*s_MLF_snap_bean*(1-EXP(-s_RadSpec!AZ26*s_t_b)))/(s_P*s_RadSpec!AZ26))),0)</f>
        <v>2.6824597822007652</v>
      </c>
      <c r="AW26" s="108">
        <f>IFERROR(IF(d_Bv!X26=0,0,((s_Ir*s_F*s_MLF_strawberry*(1-EXP(-s_RadSpec!AZ26*s_t_b)))/(s_P*s_RadSpec!AZ26))),0)</f>
        <v>2.6824597822007652</v>
      </c>
      <c r="AX26" s="108">
        <f>IFERROR(IF(d_Bv!Y26=0,0,((s_Ir*s_F*s_MLF_tomato*(1-EXP(-s_RadSpec!AZ26*s_t_b)))/(s_P*s_RadSpec!AZ26))),0)</f>
        <v>2.6824597822007652</v>
      </c>
      <c r="AY26" s="108">
        <f>IFERROR(IF(d_Bv!Z26=0,0,((s_Ir*s_F*s_MLF_rice*(1-EXP(-s_RadSpec!AZ26*s_t_b)))/(s_P*s_RadSpec!AZ26))),0)</f>
        <v>2.6824597822007652</v>
      </c>
      <c r="AZ26" s="108">
        <f>IFERROR(IF(d_Bv!AA26=0,0,((s_Ir*s_F*s_MLF_cereal*(1-EXP(-s_RadSpec!AZ26*s_t_b)))/(s_P*s_RadSpec!AZ26))),0)</f>
        <v>2.6824597822007652</v>
      </c>
      <c r="BA26" s="108">
        <f>IFERROR(IF(d_Bv!C26=0,0,((s_Ir*s_F*s_I_f*s_T*(1-EXP(-s_RadSpec!BA26*s_t_v)))/(s_Y_v*s_RadSpec!BA26))),0)</f>
        <v>9.0143481925428208</v>
      </c>
      <c r="BB26" s="108">
        <f>IFERROR(IF(d_Bv!D26=0,0,((s_Ir*s_F*s_I_f*s_T*(1-EXP(-s_RadSpec!BA26*s_t_v)))/(s_Y_v*s_RadSpec!BA26))),0)</f>
        <v>9.0143481925428208</v>
      </c>
      <c r="BC26" s="108">
        <f>IFERROR(IF(d_Bv!E26=0,0,((s_Ir*s_F*s_I_f*s_T*(1-EXP(-s_RadSpec!BA26*s_t_v)))/(s_Y_v*s_RadSpec!BA26))),0)</f>
        <v>9.0143481925428208</v>
      </c>
      <c r="BD26" s="108">
        <f>IFERROR(IF(d_Bv!F26=0,0,((s_Ir*s_F*s_I_f*s_T*(1-EXP(-s_RadSpec!BA26*s_t_v)))/(s_Y_v*s_RadSpec!BA26))),0)</f>
        <v>9.0143481925428208</v>
      </c>
      <c r="BE26" s="108">
        <f>IFERROR(IF(d_Bv!G26=0,0,((s_Ir*s_F*s_I_f*s_T*(1-EXP(-s_RadSpec!BA26*s_t_v)))/(s_Y_v*s_RadSpec!BA26))),0)</f>
        <v>9.0143481925428208</v>
      </c>
      <c r="BF26" s="108">
        <f>IFERROR(IF(d_Bv!H26=0,0,((s_Ir*s_F*s_I_f*s_T*(1-EXP(-s_RadSpec!BA26*s_t_v)))/(s_Y_v*s_RadSpec!BA26))),0)</f>
        <v>9.0143481925428208</v>
      </c>
      <c r="BG26" s="108">
        <f>IFERROR(IF(d_Bv!I26=0,0,((s_Ir*s_F*s_I_f*s_T*(1-EXP(-s_RadSpec!BA26*s_t_v)))/(s_Y_v*s_RadSpec!BA26))),0)</f>
        <v>9.0143481925428208</v>
      </c>
      <c r="BH26" s="108">
        <f>IFERROR(IF(d_Bv!J26=0,0,((s_Ir*s_F*s_I_f*s_T*(1-EXP(-s_RadSpec!BA26*s_t_v)))/(s_Y_v*s_RadSpec!BA26))),0)</f>
        <v>9.0143481925428208</v>
      </c>
      <c r="BI26" s="108">
        <f>IFERROR(IF(d_Bv!K26=0,0,((s_Ir*s_F*s_I_f*s_T*(1-EXP(-s_RadSpec!BA26*s_t_v)))/(s_Y_v*s_RadSpec!BA26))),0)</f>
        <v>9.0143481925428208</v>
      </c>
      <c r="BJ26" s="108">
        <f>IFERROR(IF(d_Bv!L26=0,0,((s_Ir*s_F*s_I_f*s_T*(1-EXP(-s_RadSpec!BA26*s_t_v)))/(s_Y_v*s_RadSpec!BA26))),0)</f>
        <v>9.0143481925428208</v>
      </c>
      <c r="BK26" s="108">
        <f>IFERROR(IF(d_Bv!M26=0,0,((s_Ir*s_F*s_I_f*s_T*(1-EXP(-s_RadSpec!BA26*s_t_v)))/(s_Y_v*s_RadSpec!BA26))),0)</f>
        <v>9.0143481925428208</v>
      </c>
      <c r="BL26" s="108">
        <f>IFERROR(IF(d_Bv!N26=0,0,((s_Ir*s_F*s_I_f*s_T*(1-EXP(-s_RadSpec!BA26*s_t_v)))/(s_Y_v*s_RadSpec!BA26))),0)</f>
        <v>9.0143481925428208</v>
      </c>
      <c r="BM26" s="108">
        <f>IFERROR(IF(d_Bv!O26=0,0,((s_Ir*s_F*s_I_f*s_T*(1-EXP(-s_RadSpec!BA26*s_t_v)))/(s_Y_v*s_RadSpec!BA26))),0)</f>
        <v>9.0143481925428208</v>
      </c>
      <c r="BN26" s="108">
        <f>IFERROR(IF(d_Bv!P26=0,0,((s_Ir*s_F*s_I_f*s_T*(1-EXP(-s_RadSpec!BA26*s_t_v)))/(s_Y_v*s_RadSpec!BA26))),0)</f>
        <v>9.0143481925428208</v>
      </c>
      <c r="BO26" s="108">
        <f>IFERROR(IF(d_Bv!Q26=0,0,((s_Ir*s_F*s_I_f*s_T*(1-EXP(-s_RadSpec!BA26*s_t_v)))/(s_Y_v*s_RadSpec!BA26))),0)</f>
        <v>9.0143481925428208</v>
      </c>
      <c r="BP26" s="108">
        <f>IFERROR(IF(d_Bv!R26=0,0,((s_Ir*s_F*s_I_f*s_T*(1-EXP(-s_RadSpec!BA26*s_t_v)))/(s_Y_v*s_RadSpec!BA26))),0)</f>
        <v>9.0143481925428208</v>
      </c>
      <c r="BQ26" s="108">
        <f>IFERROR(IF(d_Bv!S26=0,0,((s_Ir*s_F*s_I_f*s_T*(1-EXP(-s_RadSpec!BA26*s_t_v)))/(s_Y_v*s_RadSpec!BA26))),0)</f>
        <v>9.0143481925428208</v>
      </c>
      <c r="BR26" s="108">
        <f>IFERROR(IF(d_Bv!T26=0,0,((s_Ir*s_F*s_I_f*s_T*(1-EXP(-s_RadSpec!BA26*s_t_v)))/(s_Y_v*s_RadSpec!BA26))),0)</f>
        <v>9.0143481925428208</v>
      </c>
      <c r="BS26" s="108">
        <f>IFERROR(IF(d_Bv!U26=0,0,((s_Ir*s_F*s_I_f*s_T*(1-EXP(-s_RadSpec!BA26*s_t_v)))/(s_Y_v*s_RadSpec!BA26))),0)</f>
        <v>9.0143481925428208</v>
      </c>
      <c r="BT26" s="108">
        <f>IFERROR(IF(d_Bv!V26=0,0,((s_Ir*s_F*s_I_f*s_T*(1-EXP(-s_RadSpec!BA26*s_t_v)))/(s_Y_v*s_RadSpec!BA26))),0)</f>
        <v>9.0143481925428208</v>
      </c>
      <c r="BU26" s="108">
        <f>IFERROR(IF(d_Bv!W26=0,0,((s_Ir*s_F*s_I_f*s_T*(1-EXP(-s_RadSpec!BA26*s_t_v)))/(s_Y_v*s_RadSpec!BA26))),0)</f>
        <v>9.0143481925428208</v>
      </c>
      <c r="BV26" s="108">
        <f>IFERROR(IF(d_Bv!X26=0,0,((s_Ir*s_F*s_I_f*s_T*(1-EXP(-s_RadSpec!BA26*s_t_v)))/(s_Y_v*s_RadSpec!BA26))),0)</f>
        <v>9.0143481925428208</v>
      </c>
      <c r="BW26" s="108">
        <f>IFERROR(IF(d_Bv!Y26=0,0,((s_Ir*s_F*s_I_f*s_T*(1-EXP(-s_RadSpec!BA26*s_t_v)))/(s_Y_v*s_RadSpec!BA26))),0)</f>
        <v>9.0143481925428208</v>
      </c>
      <c r="BX26" s="108">
        <f>IFERROR(IF(d_Bv!Z26=0,0,((s_Ir*s_F*s_I_f*s_T*(1-EXP(-s_RadSpec!BA26*s_t_v)))/(s_Y_v*s_RadSpec!BA26))),0)</f>
        <v>9.0143481925428208</v>
      </c>
      <c r="BY26" s="108">
        <f>IFERROR(IF(d_Bv!AA26=0,0,((s_Ir*s_F*s_I_f*s_T*(1-EXP(-s_RadSpec!BA26*s_t_v)))/(s_Y_v*s_RadSpec!BA26))),0)</f>
        <v>9.0143481925428208</v>
      </c>
    </row>
    <row r="27" spans="1:77" x14ac:dyDescent="0.25">
      <c r="A27" s="44" t="s">
        <v>25</v>
      </c>
      <c r="B27" s="42" t="s">
        <v>1057</v>
      </c>
      <c r="C27" s="108">
        <f>IFERROR(IF(d_Bv!C27=0,0,((s_Ir*s_F*d_Bv!C27*(1-EXP(-s_RadSpec!$AZ27*s_t_b)))/(s_P*s_RadSpec!$AZ27))),0)</f>
        <v>1.5896057968597128E-2</v>
      </c>
      <c r="D27" s="108">
        <f>IFERROR(IF(d_Bv!D27=0,0,((s_Ir*s_F*d_Bv!D27*(1-EXP(-s_RadSpec!AZ27*s_t_b)))/(s_P*s_RadSpec!AZ27))),0)</f>
        <v>0.15896057968597124</v>
      </c>
      <c r="E27" s="108">
        <f>IFERROR(IF(d_Bv!E27=0,0,((s_Ir*s_F*d_Bv!E27*(1-EXP(-s_RadSpec!AZ27*s_t_b)))/(s_P*s_RadSpec!AZ27))),0)</f>
        <v>1.5896057968597128E-2</v>
      </c>
      <c r="F27" s="108">
        <f>IFERROR(IF(d_Bv!F27=0,0,((s_Ir*s_F*d_Bv!F27*(1-EXP(-s_RadSpec!AZ27*s_t_b)))/(s_P*s_RadSpec!AZ27))),0)</f>
        <v>1.5896057968597128E-2</v>
      </c>
      <c r="G27" s="108">
        <f>IFERROR(IF(d_Bv!G27=0,0,((s_Ir*s_F*d_Bv!G27*(1-EXP(-s_RadSpec!AZ27*s_t_b)))/(s_P*s_RadSpec!AZ27))),0)</f>
        <v>0.15896057968597124</v>
      </c>
      <c r="H27" s="108">
        <f>IFERROR(IF(d_Bv!H27=0,0,((s_Ir*s_F*d_Bv!H27*(1-EXP(-s_RadSpec!AZ27*s_t_b)))/(s_P*s_RadSpec!AZ27))),0)</f>
        <v>0.15896057968597124</v>
      </c>
      <c r="I27" s="108">
        <f>IFERROR(IF(d_Bv!I27=0,0,((s_Ir*s_F*d_Bv!I27*(1-EXP(-s_RadSpec!AZ27*s_t_b)))/(s_P*s_RadSpec!AZ27))),0)</f>
        <v>1.5896057968597128E-2</v>
      </c>
      <c r="J27" s="108">
        <f>IFERROR(IF(d_Bv!J27=0,0,((s_Ir*s_F*d_Bv!J27*(1-EXP(-s_RadSpec!AZ27*s_t_b)))/(s_P*s_RadSpec!AZ27))),0)</f>
        <v>1.5896057968597128E-2</v>
      </c>
      <c r="K27" s="108">
        <f>IFERROR(IF(d_Bv!K27=0,0,((s_Ir*s_F*d_Bv!K27*(1-EXP(-s_RadSpec!AZ27*s_t_b)))/(s_P*s_RadSpec!AZ27))),0)</f>
        <v>0.15896057968597124</v>
      </c>
      <c r="L27" s="108">
        <f>IFERROR(IF(d_Bv!L27=0,0,((s_Ir*s_F*d_Bv!L27*(1-EXP(-s_RadSpec!AZ27*s_t_b)))/(s_P*s_RadSpec!AZ27))),0)</f>
        <v>0.15896057968597124</v>
      </c>
      <c r="M27" s="108">
        <f>IFERROR(IF(d_Bv!M27=0,0,((s_Ir*s_F*d_Bv!M27*(1-EXP(-s_RadSpec!AZ27*s_t_b)))/(s_P*s_RadSpec!AZ27))),0)</f>
        <v>0.15896057968597124</v>
      </c>
      <c r="N27" s="108">
        <f>IFERROR(IF(d_Bv!N27=0,0,((s_Ir*s_F*d_Bv!N27*(1-EXP(-s_RadSpec!AZ27*s_t_b)))/(s_P*s_RadSpec!AZ27))),0)</f>
        <v>0.15896057968597124</v>
      </c>
      <c r="O27" s="108">
        <f>IFERROR(IF(d_Bv!O27=0,0,((s_Ir*s_F*d_Bv!O27*(1-EXP(-s_RadSpec!AZ27*s_t_b)))/(s_P*s_RadSpec!AZ27))),0)</f>
        <v>0.15896057968597124</v>
      </c>
      <c r="P27" s="108">
        <f>IFERROR(IF(d_Bv!P27=0,0,((s_Ir*s_F*d_Bv!P27*(1-EXP(-s_RadSpec!AZ27*s_t_b)))/(s_P*s_RadSpec!AZ27))),0)</f>
        <v>1.5896057968597128E-2</v>
      </c>
      <c r="Q27" s="108">
        <f>IFERROR(IF(d_Bv!Q27=0,0,((s_Ir*s_F*d_Bv!Q27*(1-EXP(-s_RadSpec!AZ27*s_t_b)))/(s_P*s_RadSpec!AZ27))),0)</f>
        <v>1.5896057968597128E-2</v>
      </c>
      <c r="R27" s="108">
        <f>IFERROR(IF(d_Bv!R27=0,0,((s_Ir*s_F*d_Bv!R27*(1-EXP(-s_RadSpec!AZ27*s_t_b)))/(s_P*s_RadSpec!AZ27))),0)</f>
        <v>1.5896057968597128E-2</v>
      </c>
      <c r="S27" s="108">
        <f>IFERROR(IF(d_Bv!S27=0,0,((s_Ir*s_F*d_Bv!S27*(1-EXP(-s_RadSpec!AZ27*s_t_b)))/(s_P*s_RadSpec!AZ27))),0)</f>
        <v>0.15896057968597124</v>
      </c>
      <c r="T27" s="108">
        <f>IFERROR(IF(d_Bv!T27=0,0,((s_Ir*s_F*d_Bv!T27*(1-EXP(-s_RadSpec!AZ27*s_t_b)))/(s_P*s_RadSpec!AZ27))),0)</f>
        <v>0.15896057968597124</v>
      </c>
      <c r="U27" s="108">
        <f>IFERROR(IF(d_Bv!U27=0,0,((s_Ir*s_F*d_Bv!U27*(1-EXP(-s_RadSpec!AZ27*s_t_b)))/(s_P*s_RadSpec!AZ27))),0)</f>
        <v>1.5896057968597128E-2</v>
      </c>
      <c r="V27" s="108">
        <f>IFERROR(IF(d_Bv!V27=0,0,((s_Ir*s_F*d_Bv!V27*(1-EXP(-s_RadSpec!AZ27*s_t_b)))/(s_P*s_RadSpec!AZ27))),0)</f>
        <v>0.15896057968597124</v>
      </c>
      <c r="W27" s="108">
        <f>IFERROR(IF(d_Bv!W27=0,0,((s_Ir*s_F*d_Bv!W27*(1-EXP(-s_RadSpec!AZ27*s_t_b)))/(s_P*s_RadSpec!AZ27))),0)</f>
        <v>0.15896057968597124</v>
      </c>
      <c r="X27" s="108">
        <f>IFERROR(IF(d_Bv!X27=0,0,((s_Ir*s_F*d_Bv!X27*(1-EXP(-s_RadSpec!AZ27*s_t_b)))/(s_P*s_RadSpec!AZ27))),0)</f>
        <v>1.5896057968597128E-2</v>
      </c>
      <c r="Y27" s="108">
        <f>IFERROR(IF(d_Bv!Y27=0,0,((s_Ir*s_F*d_Bv!Y27*(1-EXP(-s_RadSpec!AZ27*s_t_b)))/(s_P*s_RadSpec!AZ27))),0)</f>
        <v>0.15896057968597124</v>
      </c>
      <c r="Z27" s="108">
        <f>IFERROR(IF(d_Bv!Z27=0,0,((s_Ir*s_F*d_Bv!Z27*(1-EXP(-s_RadSpec!AZ27*s_t_b)))/(s_P*s_RadSpec!AZ27))),0)</f>
        <v>39.740144921492814</v>
      </c>
      <c r="AA27" s="108">
        <f>IFERROR(IF(d_Bv!AA27=0,0,((s_Ir*s_F*d_Bv!AA27*(1-EXP(-s_RadSpec!AZ27*s_t_b)))/(s_P*s_RadSpec!AZ27))),0)</f>
        <v>0.15896057968597124</v>
      </c>
      <c r="AB27" s="108">
        <f>IFERROR(IF(d_Bv!C27=0,0,((s_Ir*s_F*s_MLF_apple*(1-EXP(-s_RadSpec!AZ27*s_t_b)))/(s_P*s_RadSpec!AZ27))),0)</f>
        <v>2.6824597822007652</v>
      </c>
      <c r="AC27" s="108">
        <f>IFERROR(IF(d_Bv!D27=0,0,((s_Ir*s_F*s_MLF_asparagus*(1-EXP(-s_RadSpec!AZ27*s_t_b)))/(s_P*s_RadSpec!AZ27))),0)</f>
        <v>2.6824597822007652</v>
      </c>
      <c r="AD27" s="108">
        <f>IFERROR(IF(d_Bv!E27=0,0,((s_Ir*s_F*s_MLF_beet*(1-EXP(-s_RadSpec!AZ27*s_t_b)))/(s_P*s_RadSpec!AZ27))),0)</f>
        <v>2.6824597822007652</v>
      </c>
      <c r="AE27" s="108">
        <f>IFERROR(IF(d_Bv!F27=0,0,((s_Ir*s_F*s_MLF_berries*(1-EXP(-s_RadSpec!AZ27*s_t_b)))/(s_P*s_RadSpec!AZ27))),0)</f>
        <v>2.6824597822007652</v>
      </c>
      <c r="AF27" s="108">
        <f>IFERROR(IF(d_Bv!G27=0,0,((s_Ir*s_F*s_MLF_broccoli*(1-EXP(-s_RadSpec!AZ27*s_t_b)))/(s_P*s_RadSpec!AZ27))),0)</f>
        <v>2.6824597822007652</v>
      </c>
      <c r="AG27" s="108">
        <f>IFERROR(IF(d_Bv!H27=0,0,((s_Ir*s_F*s_MLF_cabbage*(1-EXP(-s_RadSpec!AZ27*s_t_b)))/(s_P*s_RadSpec!AZ27))),0)</f>
        <v>2.6824597822007652</v>
      </c>
      <c r="AH27" s="108">
        <f>IFERROR(IF(d_Bv!I27=0,0,((s_Ir*s_F*s_MLF_carrot*(1-EXP(-s_RadSpec!AZ27*s_t_b)))/(s_P*s_RadSpec!AZ27))),0)</f>
        <v>2.6824597822007652</v>
      </c>
      <c r="AI27" s="108">
        <f>IFERROR(IF(d_Bv!J27=0,0,((s_Ir*s_F*s_MLF_citrus*(1-EXP(-s_RadSpec!AZ27*s_t_b)))/(s_P*s_RadSpec!AZ27))),0)</f>
        <v>2.6824597822007652</v>
      </c>
      <c r="AJ27" s="108">
        <f>IFERROR(IF(d_Bv!K27=0,0,((s_Ir*s_F*s_MLF_corn*(1-EXP(-s_RadSpec!AZ27*s_t_b)))/(s_P*s_RadSpec!AZ27))),0)</f>
        <v>2.6824597822007652</v>
      </c>
      <c r="AK27" s="108">
        <f>IFERROR(IF(d_Bv!L27=0,0,((s_Ir*s_F*s_MLF_cucumber*(1-EXP(-s_RadSpec!AZ27*s_t_b)))/(s_P*s_RadSpec!AZ27))),0)</f>
        <v>2.6824597822007652</v>
      </c>
      <c r="AL27" s="108">
        <f>IFERROR(IF(d_Bv!M27=0,0,((s_Ir*s_F*s_MLF_lettuce*(1-EXP(-s_RadSpec!AZ27*s_t_b)))/(s_P*s_RadSpec!AZ27))),0)</f>
        <v>2.6824597822007652</v>
      </c>
      <c r="AM27" s="108">
        <f>IFERROR(IF(d_Bv!N27=0,0,((s_Ir*s_F*s_MLF_lima_bean*(1-EXP(-s_RadSpec!AZ27*s_t_b)))/(s_P*s_RadSpec!AZ27))),0)</f>
        <v>2.6824597822007652</v>
      </c>
      <c r="AN27" s="108">
        <f>IFERROR(IF(d_Bv!O27=0,0,((s_Ir*s_F*s_MLF_okra*(1-EXP(-s_RadSpec!AZ27*s_t_b)))/(s_P*s_RadSpec!AZ27))),0)</f>
        <v>2.6824597822007652</v>
      </c>
      <c r="AO27" s="108">
        <f>IFERROR(IF(d_Bv!P27=0,0,((s_Ir*s_F*s_MLF_onion*(1-EXP(-s_RadSpec!AZ27*s_t_b)))/(s_P*s_RadSpec!AZ27))),0)</f>
        <v>2.6824597822007652</v>
      </c>
      <c r="AP27" s="108">
        <f>IFERROR(IF(d_Bv!Q27=0,0,((s_Ir*s_F*s_MLF_peach*(1-EXP(-s_RadSpec!AZ27*s_t_b)))/(s_P*s_RadSpec!AZ27))),0)</f>
        <v>2.6824597822007652</v>
      </c>
      <c r="AQ27" s="108">
        <f>IFERROR(IF(d_Bv!R27=0,0,((s_Ir*s_F*s_MLF_pear*(1-EXP(-s_RadSpec!AZ27*s_t_b)))/(s_P*s_RadSpec!AZ27))),0)</f>
        <v>2.6824597822007652</v>
      </c>
      <c r="AR27" s="108">
        <f>IFERROR(IF(d_Bv!S27=0,0,((s_Ir*s_F*s_MLF_peas*(1-EXP(-s_RadSpec!AZ27*s_t_b)))/(s_P*s_RadSpec!AZ27))),0)</f>
        <v>2.6824597822007652</v>
      </c>
      <c r="AS27" s="108">
        <f>IFERROR(IF(d_Bv!T27=0,0,((s_Ir*s_F*s_MLF_peppers*(1-EXP(-s_RadSpec!AZ27*s_t_b)))/(s_P*s_RadSpec!AZ27))),0)</f>
        <v>2.6824597822007652</v>
      </c>
      <c r="AT27" s="108">
        <f>IFERROR(IF(d_Bv!U27=0,0,((s_Ir*s_F*s_MLF_potato*(1-EXP(-s_RadSpec!AZ27*s_t_b)))/(s_P*s_RadSpec!AZ27))),0)</f>
        <v>2.6824597822007652</v>
      </c>
      <c r="AU27" s="108">
        <f>IFERROR(IF(d_Bv!V27=0,0,((s_Ir*s_F*s_MLF_pumpkin*(1-EXP(-s_RadSpec!AZ27*s_t_b)))/(s_P*s_RadSpec!AZ27))),0)</f>
        <v>2.6824597822007652</v>
      </c>
      <c r="AV27" s="108">
        <f>IFERROR(IF(d_Bv!W27=0,0,((s_Ir*s_F*s_MLF_snap_bean*(1-EXP(-s_RadSpec!AZ27*s_t_b)))/(s_P*s_RadSpec!AZ27))),0)</f>
        <v>2.6824597822007652</v>
      </c>
      <c r="AW27" s="108">
        <f>IFERROR(IF(d_Bv!X27=0,0,((s_Ir*s_F*s_MLF_strawberry*(1-EXP(-s_RadSpec!AZ27*s_t_b)))/(s_P*s_RadSpec!AZ27))),0)</f>
        <v>2.6824597822007652</v>
      </c>
      <c r="AX27" s="108">
        <f>IFERROR(IF(d_Bv!Y27=0,0,((s_Ir*s_F*s_MLF_tomato*(1-EXP(-s_RadSpec!AZ27*s_t_b)))/(s_P*s_RadSpec!AZ27))),0)</f>
        <v>2.6824597822007652</v>
      </c>
      <c r="AY27" s="108">
        <f>IFERROR(IF(d_Bv!Z27=0,0,((s_Ir*s_F*s_MLF_rice*(1-EXP(-s_RadSpec!AZ27*s_t_b)))/(s_P*s_RadSpec!AZ27))),0)</f>
        <v>2.6824597822007652</v>
      </c>
      <c r="AZ27" s="108">
        <f>IFERROR(IF(d_Bv!AA27=0,0,((s_Ir*s_F*s_MLF_cereal*(1-EXP(-s_RadSpec!AZ27*s_t_b)))/(s_P*s_RadSpec!AZ27))),0)</f>
        <v>2.6824597822007652</v>
      </c>
      <c r="BA27" s="108">
        <f>IFERROR(IF(d_Bv!C27=0,0,((s_Ir*s_F*s_I_f*s_T*(1-EXP(-s_RadSpec!BA27*s_t_v)))/(s_Y_v*s_RadSpec!BA27))),0)</f>
        <v>9.0143481925428208</v>
      </c>
      <c r="BB27" s="108">
        <f>IFERROR(IF(d_Bv!D27=0,0,((s_Ir*s_F*s_I_f*s_T*(1-EXP(-s_RadSpec!BA27*s_t_v)))/(s_Y_v*s_RadSpec!BA27))),0)</f>
        <v>9.0143481925428208</v>
      </c>
      <c r="BC27" s="108">
        <f>IFERROR(IF(d_Bv!E27=0,0,((s_Ir*s_F*s_I_f*s_T*(1-EXP(-s_RadSpec!BA27*s_t_v)))/(s_Y_v*s_RadSpec!BA27))),0)</f>
        <v>9.0143481925428208</v>
      </c>
      <c r="BD27" s="108">
        <f>IFERROR(IF(d_Bv!F27=0,0,((s_Ir*s_F*s_I_f*s_T*(1-EXP(-s_RadSpec!BA27*s_t_v)))/(s_Y_v*s_RadSpec!BA27))),0)</f>
        <v>9.0143481925428208</v>
      </c>
      <c r="BE27" s="108">
        <f>IFERROR(IF(d_Bv!G27=0,0,((s_Ir*s_F*s_I_f*s_T*(1-EXP(-s_RadSpec!BA27*s_t_v)))/(s_Y_v*s_RadSpec!BA27))),0)</f>
        <v>9.0143481925428208</v>
      </c>
      <c r="BF27" s="108">
        <f>IFERROR(IF(d_Bv!H27=0,0,((s_Ir*s_F*s_I_f*s_T*(1-EXP(-s_RadSpec!BA27*s_t_v)))/(s_Y_v*s_RadSpec!BA27))),0)</f>
        <v>9.0143481925428208</v>
      </c>
      <c r="BG27" s="108">
        <f>IFERROR(IF(d_Bv!I27=0,0,((s_Ir*s_F*s_I_f*s_T*(1-EXP(-s_RadSpec!BA27*s_t_v)))/(s_Y_v*s_RadSpec!BA27))),0)</f>
        <v>9.0143481925428208</v>
      </c>
      <c r="BH27" s="108">
        <f>IFERROR(IF(d_Bv!J27=0,0,((s_Ir*s_F*s_I_f*s_T*(1-EXP(-s_RadSpec!BA27*s_t_v)))/(s_Y_v*s_RadSpec!BA27))),0)</f>
        <v>9.0143481925428208</v>
      </c>
      <c r="BI27" s="108">
        <f>IFERROR(IF(d_Bv!K27=0,0,((s_Ir*s_F*s_I_f*s_T*(1-EXP(-s_RadSpec!BA27*s_t_v)))/(s_Y_v*s_RadSpec!BA27))),0)</f>
        <v>9.0143481925428208</v>
      </c>
      <c r="BJ27" s="108">
        <f>IFERROR(IF(d_Bv!L27=0,0,((s_Ir*s_F*s_I_f*s_T*(1-EXP(-s_RadSpec!BA27*s_t_v)))/(s_Y_v*s_RadSpec!BA27))),0)</f>
        <v>9.0143481925428208</v>
      </c>
      <c r="BK27" s="108">
        <f>IFERROR(IF(d_Bv!M27=0,0,((s_Ir*s_F*s_I_f*s_T*(1-EXP(-s_RadSpec!BA27*s_t_v)))/(s_Y_v*s_RadSpec!BA27))),0)</f>
        <v>9.0143481925428208</v>
      </c>
      <c r="BL27" s="108">
        <f>IFERROR(IF(d_Bv!N27=0,0,((s_Ir*s_F*s_I_f*s_T*(1-EXP(-s_RadSpec!BA27*s_t_v)))/(s_Y_v*s_RadSpec!BA27))),0)</f>
        <v>9.0143481925428208</v>
      </c>
      <c r="BM27" s="108">
        <f>IFERROR(IF(d_Bv!O27=0,0,((s_Ir*s_F*s_I_f*s_T*(1-EXP(-s_RadSpec!BA27*s_t_v)))/(s_Y_v*s_RadSpec!BA27))),0)</f>
        <v>9.0143481925428208</v>
      </c>
      <c r="BN27" s="108">
        <f>IFERROR(IF(d_Bv!P27=0,0,((s_Ir*s_F*s_I_f*s_T*(1-EXP(-s_RadSpec!BA27*s_t_v)))/(s_Y_v*s_RadSpec!BA27))),0)</f>
        <v>9.0143481925428208</v>
      </c>
      <c r="BO27" s="108">
        <f>IFERROR(IF(d_Bv!Q27=0,0,((s_Ir*s_F*s_I_f*s_T*(1-EXP(-s_RadSpec!BA27*s_t_v)))/(s_Y_v*s_RadSpec!BA27))),0)</f>
        <v>9.0143481925428208</v>
      </c>
      <c r="BP27" s="108">
        <f>IFERROR(IF(d_Bv!R27=0,0,((s_Ir*s_F*s_I_f*s_T*(1-EXP(-s_RadSpec!BA27*s_t_v)))/(s_Y_v*s_RadSpec!BA27))),0)</f>
        <v>9.0143481925428208</v>
      </c>
      <c r="BQ27" s="108">
        <f>IFERROR(IF(d_Bv!S27=0,0,((s_Ir*s_F*s_I_f*s_T*(1-EXP(-s_RadSpec!BA27*s_t_v)))/(s_Y_v*s_RadSpec!BA27))),0)</f>
        <v>9.0143481925428208</v>
      </c>
      <c r="BR27" s="108">
        <f>IFERROR(IF(d_Bv!T27=0,0,((s_Ir*s_F*s_I_f*s_T*(1-EXP(-s_RadSpec!BA27*s_t_v)))/(s_Y_v*s_RadSpec!BA27))),0)</f>
        <v>9.0143481925428208</v>
      </c>
      <c r="BS27" s="108">
        <f>IFERROR(IF(d_Bv!U27=0,0,((s_Ir*s_F*s_I_f*s_T*(1-EXP(-s_RadSpec!BA27*s_t_v)))/(s_Y_v*s_RadSpec!BA27))),0)</f>
        <v>9.0143481925428208</v>
      </c>
      <c r="BT27" s="108">
        <f>IFERROR(IF(d_Bv!V27=0,0,((s_Ir*s_F*s_I_f*s_T*(1-EXP(-s_RadSpec!BA27*s_t_v)))/(s_Y_v*s_RadSpec!BA27))),0)</f>
        <v>9.0143481925428208</v>
      </c>
      <c r="BU27" s="108">
        <f>IFERROR(IF(d_Bv!W27=0,0,((s_Ir*s_F*s_I_f*s_T*(1-EXP(-s_RadSpec!BA27*s_t_v)))/(s_Y_v*s_RadSpec!BA27))),0)</f>
        <v>9.0143481925428208</v>
      </c>
      <c r="BV27" s="108">
        <f>IFERROR(IF(d_Bv!X27=0,0,((s_Ir*s_F*s_I_f*s_T*(1-EXP(-s_RadSpec!BA27*s_t_v)))/(s_Y_v*s_RadSpec!BA27))),0)</f>
        <v>9.0143481925428208</v>
      </c>
      <c r="BW27" s="108">
        <f>IFERROR(IF(d_Bv!Y27=0,0,((s_Ir*s_F*s_I_f*s_T*(1-EXP(-s_RadSpec!BA27*s_t_v)))/(s_Y_v*s_RadSpec!BA27))),0)</f>
        <v>9.0143481925428208</v>
      </c>
      <c r="BX27" s="108">
        <f>IFERROR(IF(d_Bv!Z27=0,0,((s_Ir*s_F*s_I_f*s_T*(1-EXP(-s_RadSpec!BA27*s_t_v)))/(s_Y_v*s_RadSpec!BA27))),0)</f>
        <v>9.0143481925428208</v>
      </c>
      <c r="BY27" s="108">
        <f>IFERROR(IF(d_Bv!AA27=0,0,((s_Ir*s_F*s_I_f*s_T*(1-EXP(-s_RadSpec!BA27*s_t_v)))/(s_Y_v*s_RadSpec!BA27))),0)</f>
        <v>9.0143481925428208</v>
      </c>
    </row>
    <row r="28" spans="1:77" x14ac:dyDescent="0.25">
      <c r="A28" s="44" t="s">
        <v>26</v>
      </c>
      <c r="B28" s="42" t="s">
        <v>1057</v>
      </c>
      <c r="C28" s="108">
        <f>IFERROR(IF(d_Bv!C28=0,0,((s_Ir*s_F*d_Bv!C28*(1-EXP(-s_RadSpec!$AZ28*s_t_b)))/(s_P*s_RadSpec!$AZ28))),0)</f>
        <v>1.5896057968597128E-2</v>
      </c>
      <c r="D28" s="108">
        <f>IFERROR(IF(d_Bv!D28=0,0,((s_Ir*s_F*d_Bv!D28*(1-EXP(-s_RadSpec!AZ28*s_t_b)))/(s_P*s_RadSpec!AZ28))),0)</f>
        <v>0.15896057968597124</v>
      </c>
      <c r="E28" s="108">
        <f>IFERROR(IF(d_Bv!E28=0,0,((s_Ir*s_F*d_Bv!E28*(1-EXP(-s_RadSpec!AZ28*s_t_b)))/(s_P*s_RadSpec!AZ28))),0)</f>
        <v>1.5896057968597128E-2</v>
      </c>
      <c r="F28" s="108">
        <f>IFERROR(IF(d_Bv!F28=0,0,((s_Ir*s_F*d_Bv!F28*(1-EXP(-s_RadSpec!AZ28*s_t_b)))/(s_P*s_RadSpec!AZ28))),0)</f>
        <v>1.5896057968597128E-2</v>
      </c>
      <c r="G28" s="108">
        <f>IFERROR(IF(d_Bv!G28=0,0,((s_Ir*s_F*d_Bv!G28*(1-EXP(-s_RadSpec!AZ28*s_t_b)))/(s_P*s_RadSpec!AZ28))),0)</f>
        <v>0.15896057968597124</v>
      </c>
      <c r="H28" s="108">
        <f>IFERROR(IF(d_Bv!H28=0,0,((s_Ir*s_F*d_Bv!H28*(1-EXP(-s_RadSpec!AZ28*s_t_b)))/(s_P*s_RadSpec!AZ28))),0)</f>
        <v>0.15896057968597124</v>
      </c>
      <c r="I28" s="108">
        <f>IFERROR(IF(d_Bv!I28=0,0,((s_Ir*s_F*d_Bv!I28*(1-EXP(-s_RadSpec!AZ28*s_t_b)))/(s_P*s_RadSpec!AZ28))),0)</f>
        <v>1.5896057968597128E-2</v>
      </c>
      <c r="J28" s="108">
        <f>IFERROR(IF(d_Bv!J28=0,0,((s_Ir*s_F*d_Bv!J28*(1-EXP(-s_RadSpec!AZ28*s_t_b)))/(s_P*s_RadSpec!AZ28))),0)</f>
        <v>1.5896057968597128E-2</v>
      </c>
      <c r="K28" s="108">
        <f>IFERROR(IF(d_Bv!K28=0,0,((s_Ir*s_F*d_Bv!K28*(1-EXP(-s_RadSpec!AZ28*s_t_b)))/(s_P*s_RadSpec!AZ28))),0)</f>
        <v>0.15896057968597124</v>
      </c>
      <c r="L28" s="108">
        <f>IFERROR(IF(d_Bv!L28=0,0,((s_Ir*s_F*d_Bv!L28*(1-EXP(-s_RadSpec!AZ28*s_t_b)))/(s_P*s_RadSpec!AZ28))),0)</f>
        <v>0.15896057968597124</v>
      </c>
      <c r="M28" s="108">
        <f>IFERROR(IF(d_Bv!M28=0,0,((s_Ir*s_F*d_Bv!M28*(1-EXP(-s_RadSpec!AZ28*s_t_b)))/(s_P*s_RadSpec!AZ28))),0)</f>
        <v>0.15896057968597124</v>
      </c>
      <c r="N28" s="108">
        <f>IFERROR(IF(d_Bv!N28=0,0,((s_Ir*s_F*d_Bv!N28*(1-EXP(-s_RadSpec!AZ28*s_t_b)))/(s_P*s_RadSpec!AZ28))),0)</f>
        <v>0.15896057968597124</v>
      </c>
      <c r="O28" s="108">
        <f>IFERROR(IF(d_Bv!O28=0,0,((s_Ir*s_F*d_Bv!O28*(1-EXP(-s_RadSpec!AZ28*s_t_b)))/(s_P*s_RadSpec!AZ28))),0)</f>
        <v>0.15896057968597124</v>
      </c>
      <c r="P28" s="108">
        <f>IFERROR(IF(d_Bv!P28=0,0,((s_Ir*s_F*d_Bv!P28*(1-EXP(-s_RadSpec!AZ28*s_t_b)))/(s_P*s_RadSpec!AZ28))),0)</f>
        <v>1.5896057968597128E-2</v>
      </c>
      <c r="Q28" s="108">
        <f>IFERROR(IF(d_Bv!Q28=0,0,((s_Ir*s_F*d_Bv!Q28*(1-EXP(-s_RadSpec!AZ28*s_t_b)))/(s_P*s_RadSpec!AZ28))),0)</f>
        <v>1.5896057968597128E-2</v>
      </c>
      <c r="R28" s="108">
        <f>IFERROR(IF(d_Bv!R28=0,0,((s_Ir*s_F*d_Bv!R28*(1-EXP(-s_RadSpec!AZ28*s_t_b)))/(s_P*s_RadSpec!AZ28))),0)</f>
        <v>1.5896057968597128E-2</v>
      </c>
      <c r="S28" s="108">
        <f>IFERROR(IF(d_Bv!S28=0,0,((s_Ir*s_F*d_Bv!S28*(1-EXP(-s_RadSpec!AZ28*s_t_b)))/(s_P*s_RadSpec!AZ28))),0)</f>
        <v>0.15896057968597124</v>
      </c>
      <c r="T28" s="108">
        <f>IFERROR(IF(d_Bv!T28=0,0,((s_Ir*s_F*d_Bv!T28*(1-EXP(-s_RadSpec!AZ28*s_t_b)))/(s_P*s_RadSpec!AZ28))),0)</f>
        <v>0.15896057968597124</v>
      </c>
      <c r="U28" s="108">
        <f>IFERROR(IF(d_Bv!U28=0,0,((s_Ir*s_F*d_Bv!U28*(1-EXP(-s_RadSpec!AZ28*s_t_b)))/(s_P*s_RadSpec!AZ28))),0)</f>
        <v>1.5896057968597128E-2</v>
      </c>
      <c r="V28" s="108">
        <f>IFERROR(IF(d_Bv!V28=0,0,((s_Ir*s_F*d_Bv!V28*(1-EXP(-s_RadSpec!AZ28*s_t_b)))/(s_P*s_RadSpec!AZ28))),0)</f>
        <v>0.15896057968597124</v>
      </c>
      <c r="W28" s="108">
        <f>IFERROR(IF(d_Bv!W28=0,0,((s_Ir*s_F*d_Bv!W28*(1-EXP(-s_RadSpec!AZ28*s_t_b)))/(s_P*s_RadSpec!AZ28))),0)</f>
        <v>0.15896057968597124</v>
      </c>
      <c r="X28" s="108">
        <f>IFERROR(IF(d_Bv!X28=0,0,((s_Ir*s_F*d_Bv!X28*(1-EXP(-s_RadSpec!AZ28*s_t_b)))/(s_P*s_RadSpec!AZ28))),0)</f>
        <v>1.5896057968597128E-2</v>
      </c>
      <c r="Y28" s="108">
        <f>IFERROR(IF(d_Bv!Y28=0,0,((s_Ir*s_F*d_Bv!Y28*(1-EXP(-s_RadSpec!AZ28*s_t_b)))/(s_P*s_RadSpec!AZ28))),0)</f>
        <v>0.15896057968597124</v>
      </c>
      <c r="Z28" s="108">
        <f>IFERROR(IF(d_Bv!Z28=0,0,((s_Ir*s_F*d_Bv!Z28*(1-EXP(-s_RadSpec!AZ28*s_t_b)))/(s_P*s_RadSpec!AZ28))),0)</f>
        <v>39.740144921492814</v>
      </c>
      <c r="AA28" s="108">
        <f>IFERROR(IF(d_Bv!AA28=0,0,((s_Ir*s_F*d_Bv!AA28*(1-EXP(-s_RadSpec!AZ28*s_t_b)))/(s_P*s_RadSpec!AZ28))),0)</f>
        <v>0.15896057968597124</v>
      </c>
      <c r="AB28" s="108">
        <f>IFERROR(IF(d_Bv!C28=0,0,((s_Ir*s_F*s_MLF_apple*(1-EXP(-s_RadSpec!AZ28*s_t_b)))/(s_P*s_RadSpec!AZ28))),0)</f>
        <v>2.6824597822007652</v>
      </c>
      <c r="AC28" s="108">
        <f>IFERROR(IF(d_Bv!D28=0,0,((s_Ir*s_F*s_MLF_asparagus*(1-EXP(-s_RadSpec!AZ28*s_t_b)))/(s_P*s_RadSpec!AZ28))),0)</f>
        <v>2.6824597822007652</v>
      </c>
      <c r="AD28" s="108">
        <f>IFERROR(IF(d_Bv!E28=0,0,((s_Ir*s_F*s_MLF_beet*(1-EXP(-s_RadSpec!AZ28*s_t_b)))/(s_P*s_RadSpec!AZ28))),0)</f>
        <v>2.6824597822007652</v>
      </c>
      <c r="AE28" s="108">
        <f>IFERROR(IF(d_Bv!F28=0,0,((s_Ir*s_F*s_MLF_berries*(1-EXP(-s_RadSpec!AZ28*s_t_b)))/(s_P*s_RadSpec!AZ28))),0)</f>
        <v>2.6824597822007652</v>
      </c>
      <c r="AF28" s="108">
        <f>IFERROR(IF(d_Bv!G28=0,0,((s_Ir*s_F*s_MLF_broccoli*(1-EXP(-s_RadSpec!AZ28*s_t_b)))/(s_P*s_RadSpec!AZ28))),0)</f>
        <v>2.6824597822007652</v>
      </c>
      <c r="AG28" s="108">
        <f>IFERROR(IF(d_Bv!H28=0,0,((s_Ir*s_F*s_MLF_cabbage*(1-EXP(-s_RadSpec!AZ28*s_t_b)))/(s_P*s_RadSpec!AZ28))),0)</f>
        <v>2.6824597822007652</v>
      </c>
      <c r="AH28" s="108">
        <f>IFERROR(IF(d_Bv!I28=0,0,((s_Ir*s_F*s_MLF_carrot*(1-EXP(-s_RadSpec!AZ28*s_t_b)))/(s_P*s_RadSpec!AZ28))),0)</f>
        <v>2.6824597822007652</v>
      </c>
      <c r="AI28" s="108">
        <f>IFERROR(IF(d_Bv!J28=0,0,((s_Ir*s_F*s_MLF_citrus*(1-EXP(-s_RadSpec!AZ28*s_t_b)))/(s_P*s_RadSpec!AZ28))),0)</f>
        <v>2.6824597822007652</v>
      </c>
      <c r="AJ28" s="108">
        <f>IFERROR(IF(d_Bv!K28=0,0,((s_Ir*s_F*s_MLF_corn*(1-EXP(-s_RadSpec!AZ28*s_t_b)))/(s_P*s_RadSpec!AZ28))),0)</f>
        <v>2.6824597822007652</v>
      </c>
      <c r="AK28" s="108">
        <f>IFERROR(IF(d_Bv!L28=0,0,((s_Ir*s_F*s_MLF_cucumber*(1-EXP(-s_RadSpec!AZ28*s_t_b)))/(s_P*s_RadSpec!AZ28))),0)</f>
        <v>2.6824597822007652</v>
      </c>
      <c r="AL28" s="108">
        <f>IFERROR(IF(d_Bv!M28=0,0,((s_Ir*s_F*s_MLF_lettuce*(1-EXP(-s_RadSpec!AZ28*s_t_b)))/(s_P*s_RadSpec!AZ28))),0)</f>
        <v>2.6824597822007652</v>
      </c>
      <c r="AM28" s="108">
        <f>IFERROR(IF(d_Bv!N28=0,0,((s_Ir*s_F*s_MLF_lima_bean*(1-EXP(-s_RadSpec!AZ28*s_t_b)))/(s_P*s_RadSpec!AZ28))),0)</f>
        <v>2.6824597822007652</v>
      </c>
      <c r="AN28" s="108">
        <f>IFERROR(IF(d_Bv!O28=0,0,((s_Ir*s_F*s_MLF_okra*(1-EXP(-s_RadSpec!AZ28*s_t_b)))/(s_P*s_RadSpec!AZ28))),0)</f>
        <v>2.6824597822007652</v>
      </c>
      <c r="AO28" s="108">
        <f>IFERROR(IF(d_Bv!P28=0,0,((s_Ir*s_F*s_MLF_onion*(1-EXP(-s_RadSpec!AZ28*s_t_b)))/(s_P*s_RadSpec!AZ28))),0)</f>
        <v>2.6824597822007652</v>
      </c>
      <c r="AP28" s="108">
        <f>IFERROR(IF(d_Bv!Q28=0,0,((s_Ir*s_F*s_MLF_peach*(1-EXP(-s_RadSpec!AZ28*s_t_b)))/(s_P*s_RadSpec!AZ28))),0)</f>
        <v>2.6824597822007652</v>
      </c>
      <c r="AQ28" s="108">
        <f>IFERROR(IF(d_Bv!R28=0,0,((s_Ir*s_F*s_MLF_pear*(1-EXP(-s_RadSpec!AZ28*s_t_b)))/(s_P*s_RadSpec!AZ28))),0)</f>
        <v>2.6824597822007652</v>
      </c>
      <c r="AR28" s="108">
        <f>IFERROR(IF(d_Bv!S28=0,0,((s_Ir*s_F*s_MLF_peas*(1-EXP(-s_RadSpec!AZ28*s_t_b)))/(s_P*s_RadSpec!AZ28))),0)</f>
        <v>2.6824597822007652</v>
      </c>
      <c r="AS28" s="108">
        <f>IFERROR(IF(d_Bv!T28=0,0,((s_Ir*s_F*s_MLF_peppers*(1-EXP(-s_RadSpec!AZ28*s_t_b)))/(s_P*s_RadSpec!AZ28))),0)</f>
        <v>2.6824597822007652</v>
      </c>
      <c r="AT28" s="108">
        <f>IFERROR(IF(d_Bv!U28=0,0,((s_Ir*s_F*s_MLF_potato*(1-EXP(-s_RadSpec!AZ28*s_t_b)))/(s_P*s_RadSpec!AZ28))),0)</f>
        <v>2.6824597822007652</v>
      </c>
      <c r="AU28" s="108">
        <f>IFERROR(IF(d_Bv!V28=0,0,((s_Ir*s_F*s_MLF_pumpkin*(1-EXP(-s_RadSpec!AZ28*s_t_b)))/(s_P*s_RadSpec!AZ28))),0)</f>
        <v>2.6824597822007652</v>
      </c>
      <c r="AV28" s="108">
        <f>IFERROR(IF(d_Bv!W28=0,0,((s_Ir*s_F*s_MLF_snap_bean*(1-EXP(-s_RadSpec!AZ28*s_t_b)))/(s_P*s_RadSpec!AZ28))),0)</f>
        <v>2.6824597822007652</v>
      </c>
      <c r="AW28" s="108">
        <f>IFERROR(IF(d_Bv!X28=0,0,((s_Ir*s_F*s_MLF_strawberry*(1-EXP(-s_RadSpec!AZ28*s_t_b)))/(s_P*s_RadSpec!AZ28))),0)</f>
        <v>2.6824597822007652</v>
      </c>
      <c r="AX28" s="108">
        <f>IFERROR(IF(d_Bv!Y28=0,0,((s_Ir*s_F*s_MLF_tomato*(1-EXP(-s_RadSpec!AZ28*s_t_b)))/(s_P*s_RadSpec!AZ28))),0)</f>
        <v>2.6824597822007652</v>
      </c>
      <c r="AY28" s="108">
        <f>IFERROR(IF(d_Bv!Z28=0,0,((s_Ir*s_F*s_MLF_rice*(1-EXP(-s_RadSpec!AZ28*s_t_b)))/(s_P*s_RadSpec!AZ28))),0)</f>
        <v>2.6824597822007652</v>
      </c>
      <c r="AZ28" s="108">
        <f>IFERROR(IF(d_Bv!AA28=0,0,((s_Ir*s_F*s_MLF_cereal*(1-EXP(-s_RadSpec!AZ28*s_t_b)))/(s_P*s_RadSpec!AZ28))),0)</f>
        <v>2.6824597822007652</v>
      </c>
      <c r="BA28" s="108">
        <f>IFERROR(IF(d_Bv!C28=0,0,((s_Ir*s_F*s_I_f*s_T*(1-EXP(-s_RadSpec!BA28*s_t_v)))/(s_Y_v*s_RadSpec!BA28))),0)</f>
        <v>9.0143481925428208</v>
      </c>
      <c r="BB28" s="108">
        <f>IFERROR(IF(d_Bv!D28=0,0,((s_Ir*s_F*s_I_f*s_T*(1-EXP(-s_RadSpec!BA28*s_t_v)))/(s_Y_v*s_RadSpec!BA28))),0)</f>
        <v>9.0143481925428208</v>
      </c>
      <c r="BC28" s="108">
        <f>IFERROR(IF(d_Bv!E28=0,0,((s_Ir*s_F*s_I_f*s_T*(1-EXP(-s_RadSpec!BA28*s_t_v)))/(s_Y_v*s_RadSpec!BA28))),0)</f>
        <v>9.0143481925428208</v>
      </c>
      <c r="BD28" s="108">
        <f>IFERROR(IF(d_Bv!F28=0,0,((s_Ir*s_F*s_I_f*s_T*(1-EXP(-s_RadSpec!BA28*s_t_v)))/(s_Y_v*s_RadSpec!BA28))),0)</f>
        <v>9.0143481925428208</v>
      </c>
      <c r="BE28" s="108">
        <f>IFERROR(IF(d_Bv!G28=0,0,((s_Ir*s_F*s_I_f*s_T*(1-EXP(-s_RadSpec!BA28*s_t_v)))/(s_Y_v*s_RadSpec!BA28))),0)</f>
        <v>9.0143481925428208</v>
      </c>
      <c r="BF28" s="108">
        <f>IFERROR(IF(d_Bv!H28=0,0,((s_Ir*s_F*s_I_f*s_T*(1-EXP(-s_RadSpec!BA28*s_t_v)))/(s_Y_v*s_RadSpec!BA28))),0)</f>
        <v>9.0143481925428208</v>
      </c>
      <c r="BG28" s="108">
        <f>IFERROR(IF(d_Bv!I28=0,0,((s_Ir*s_F*s_I_f*s_T*(1-EXP(-s_RadSpec!BA28*s_t_v)))/(s_Y_v*s_RadSpec!BA28))),0)</f>
        <v>9.0143481925428208</v>
      </c>
      <c r="BH28" s="108">
        <f>IFERROR(IF(d_Bv!J28=0,0,((s_Ir*s_F*s_I_f*s_T*(1-EXP(-s_RadSpec!BA28*s_t_v)))/(s_Y_v*s_RadSpec!BA28))),0)</f>
        <v>9.0143481925428208</v>
      </c>
      <c r="BI28" s="108">
        <f>IFERROR(IF(d_Bv!K28=0,0,((s_Ir*s_F*s_I_f*s_T*(1-EXP(-s_RadSpec!BA28*s_t_v)))/(s_Y_v*s_RadSpec!BA28))),0)</f>
        <v>9.0143481925428208</v>
      </c>
      <c r="BJ28" s="108">
        <f>IFERROR(IF(d_Bv!L28=0,0,((s_Ir*s_F*s_I_f*s_T*(1-EXP(-s_RadSpec!BA28*s_t_v)))/(s_Y_v*s_RadSpec!BA28))),0)</f>
        <v>9.0143481925428208</v>
      </c>
      <c r="BK28" s="108">
        <f>IFERROR(IF(d_Bv!M28=0,0,((s_Ir*s_F*s_I_f*s_T*(1-EXP(-s_RadSpec!BA28*s_t_v)))/(s_Y_v*s_RadSpec!BA28))),0)</f>
        <v>9.0143481925428208</v>
      </c>
      <c r="BL28" s="108">
        <f>IFERROR(IF(d_Bv!N28=0,0,((s_Ir*s_F*s_I_f*s_T*(1-EXP(-s_RadSpec!BA28*s_t_v)))/(s_Y_v*s_RadSpec!BA28))),0)</f>
        <v>9.0143481925428208</v>
      </c>
      <c r="BM28" s="108">
        <f>IFERROR(IF(d_Bv!O28=0,0,((s_Ir*s_F*s_I_f*s_T*(1-EXP(-s_RadSpec!BA28*s_t_v)))/(s_Y_v*s_RadSpec!BA28))),0)</f>
        <v>9.0143481925428208</v>
      </c>
      <c r="BN28" s="108">
        <f>IFERROR(IF(d_Bv!P28=0,0,((s_Ir*s_F*s_I_f*s_T*(1-EXP(-s_RadSpec!BA28*s_t_v)))/(s_Y_v*s_RadSpec!BA28))),0)</f>
        <v>9.0143481925428208</v>
      </c>
      <c r="BO28" s="108">
        <f>IFERROR(IF(d_Bv!Q28=0,0,((s_Ir*s_F*s_I_f*s_T*(1-EXP(-s_RadSpec!BA28*s_t_v)))/(s_Y_v*s_RadSpec!BA28))),0)</f>
        <v>9.0143481925428208</v>
      </c>
      <c r="BP28" s="108">
        <f>IFERROR(IF(d_Bv!R28=0,0,((s_Ir*s_F*s_I_f*s_T*(1-EXP(-s_RadSpec!BA28*s_t_v)))/(s_Y_v*s_RadSpec!BA28))),0)</f>
        <v>9.0143481925428208</v>
      </c>
      <c r="BQ28" s="108">
        <f>IFERROR(IF(d_Bv!S28=0,0,((s_Ir*s_F*s_I_f*s_T*(1-EXP(-s_RadSpec!BA28*s_t_v)))/(s_Y_v*s_RadSpec!BA28))),0)</f>
        <v>9.0143481925428208</v>
      </c>
      <c r="BR28" s="108">
        <f>IFERROR(IF(d_Bv!T28=0,0,((s_Ir*s_F*s_I_f*s_T*(1-EXP(-s_RadSpec!BA28*s_t_v)))/(s_Y_v*s_RadSpec!BA28))),0)</f>
        <v>9.0143481925428208</v>
      </c>
      <c r="BS28" s="108">
        <f>IFERROR(IF(d_Bv!U28=0,0,((s_Ir*s_F*s_I_f*s_T*(1-EXP(-s_RadSpec!BA28*s_t_v)))/(s_Y_v*s_RadSpec!BA28))),0)</f>
        <v>9.0143481925428208</v>
      </c>
      <c r="BT28" s="108">
        <f>IFERROR(IF(d_Bv!V28=0,0,((s_Ir*s_F*s_I_f*s_T*(1-EXP(-s_RadSpec!BA28*s_t_v)))/(s_Y_v*s_RadSpec!BA28))),0)</f>
        <v>9.0143481925428208</v>
      </c>
      <c r="BU28" s="108">
        <f>IFERROR(IF(d_Bv!W28=0,0,((s_Ir*s_F*s_I_f*s_T*(1-EXP(-s_RadSpec!BA28*s_t_v)))/(s_Y_v*s_RadSpec!BA28))),0)</f>
        <v>9.0143481925428208</v>
      </c>
      <c r="BV28" s="108">
        <f>IFERROR(IF(d_Bv!X28=0,0,((s_Ir*s_F*s_I_f*s_T*(1-EXP(-s_RadSpec!BA28*s_t_v)))/(s_Y_v*s_RadSpec!BA28))),0)</f>
        <v>9.0143481925428208</v>
      </c>
      <c r="BW28" s="108">
        <f>IFERROR(IF(d_Bv!Y28=0,0,((s_Ir*s_F*s_I_f*s_T*(1-EXP(-s_RadSpec!BA28*s_t_v)))/(s_Y_v*s_RadSpec!BA28))),0)</f>
        <v>9.0143481925428208</v>
      </c>
      <c r="BX28" s="108">
        <f>IFERROR(IF(d_Bv!Z28=0,0,((s_Ir*s_F*s_I_f*s_T*(1-EXP(-s_RadSpec!BA28*s_t_v)))/(s_Y_v*s_RadSpec!BA28))),0)</f>
        <v>9.0143481925428208</v>
      </c>
      <c r="BY28" s="108">
        <f>IFERROR(IF(d_Bv!AA28=0,0,((s_Ir*s_F*s_I_f*s_T*(1-EXP(-s_RadSpec!BA28*s_t_v)))/(s_Y_v*s_RadSpec!BA28))),0)</f>
        <v>9.0143481925428208</v>
      </c>
    </row>
    <row r="29" spans="1:77" x14ac:dyDescent="0.25">
      <c r="A29" s="44" t="s">
        <v>27</v>
      </c>
      <c r="B29" s="42" t="s">
        <v>1057</v>
      </c>
      <c r="C29" s="108">
        <f>IFERROR(IF(d_Bv!C29=0,0,((s_Ir*s_F*d_Bv!C29*(1-EXP(-s_RadSpec!$AZ29*s_t_b)))/(s_P*s_RadSpec!$AZ29))),0)</f>
        <v>1.5896057968597128E-2</v>
      </c>
      <c r="D29" s="108">
        <f>IFERROR(IF(d_Bv!D29=0,0,((s_Ir*s_F*d_Bv!D29*(1-EXP(-s_RadSpec!AZ29*s_t_b)))/(s_P*s_RadSpec!AZ29))),0)</f>
        <v>0.15896057968597124</v>
      </c>
      <c r="E29" s="108">
        <f>IFERROR(IF(d_Bv!E29=0,0,((s_Ir*s_F*d_Bv!E29*(1-EXP(-s_RadSpec!AZ29*s_t_b)))/(s_P*s_RadSpec!AZ29))),0)</f>
        <v>1.5896057968597128E-2</v>
      </c>
      <c r="F29" s="108">
        <f>IFERROR(IF(d_Bv!F29=0,0,((s_Ir*s_F*d_Bv!F29*(1-EXP(-s_RadSpec!AZ29*s_t_b)))/(s_P*s_RadSpec!AZ29))),0)</f>
        <v>1.5896057968597128E-2</v>
      </c>
      <c r="G29" s="108">
        <f>IFERROR(IF(d_Bv!G29=0,0,((s_Ir*s_F*d_Bv!G29*(1-EXP(-s_RadSpec!AZ29*s_t_b)))/(s_P*s_RadSpec!AZ29))),0)</f>
        <v>0.15896057968597124</v>
      </c>
      <c r="H29" s="108">
        <f>IFERROR(IF(d_Bv!H29=0,0,((s_Ir*s_F*d_Bv!H29*(1-EXP(-s_RadSpec!AZ29*s_t_b)))/(s_P*s_RadSpec!AZ29))),0)</f>
        <v>0.15896057968597124</v>
      </c>
      <c r="I29" s="108">
        <f>IFERROR(IF(d_Bv!I29=0,0,((s_Ir*s_F*d_Bv!I29*(1-EXP(-s_RadSpec!AZ29*s_t_b)))/(s_P*s_RadSpec!AZ29))),0)</f>
        <v>1.5896057968597128E-2</v>
      </c>
      <c r="J29" s="108">
        <f>IFERROR(IF(d_Bv!J29=0,0,((s_Ir*s_F*d_Bv!J29*(1-EXP(-s_RadSpec!AZ29*s_t_b)))/(s_P*s_RadSpec!AZ29))),0)</f>
        <v>1.5896057968597128E-2</v>
      </c>
      <c r="K29" s="108">
        <f>IFERROR(IF(d_Bv!K29=0,0,((s_Ir*s_F*d_Bv!K29*(1-EXP(-s_RadSpec!AZ29*s_t_b)))/(s_P*s_RadSpec!AZ29))),0)</f>
        <v>0.15896057968597124</v>
      </c>
      <c r="L29" s="108">
        <f>IFERROR(IF(d_Bv!L29=0,0,((s_Ir*s_F*d_Bv!L29*(1-EXP(-s_RadSpec!AZ29*s_t_b)))/(s_P*s_RadSpec!AZ29))),0)</f>
        <v>0.15896057968597124</v>
      </c>
      <c r="M29" s="108">
        <f>IFERROR(IF(d_Bv!M29=0,0,((s_Ir*s_F*d_Bv!M29*(1-EXP(-s_RadSpec!AZ29*s_t_b)))/(s_P*s_RadSpec!AZ29))),0)</f>
        <v>0.15896057968597124</v>
      </c>
      <c r="N29" s="108">
        <f>IFERROR(IF(d_Bv!N29=0,0,((s_Ir*s_F*d_Bv!N29*(1-EXP(-s_RadSpec!AZ29*s_t_b)))/(s_P*s_RadSpec!AZ29))),0)</f>
        <v>0.15896057968597124</v>
      </c>
      <c r="O29" s="108">
        <f>IFERROR(IF(d_Bv!O29=0,0,((s_Ir*s_F*d_Bv!O29*(1-EXP(-s_RadSpec!AZ29*s_t_b)))/(s_P*s_RadSpec!AZ29))),0)</f>
        <v>0.15896057968597124</v>
      </c>
      <c r="P29" s="108">
        <f>IFERROR(IF(d_Bv!P29=0,0,((s_Ir*s_F*d_Bv!P29*(1-EXP(-s_RadSpec!AZ29*s_t_b)))/(s_P*s_RadSpec!AZ29))),0)</f>
        <v>1.5896057968597128E-2</v>
      </c>
      <c r="Q29" s="108">
        <f>IFERROR(IF(d_Bv!Q29=0,0,((s_Ir*s_F*d_Bv!Q29*(1-EXP(-s_RadSpec!AZ29*s_t_b)))/(s_P*s_RadSpec!AZ29))),0)</f>
        <v>1.5896057968597128E-2</v>
      </c>
      <c r="R29" s="108">
        <f>IFERROR(IF(d_Bv!R29=0,0,((s_Ir*s_F*d_Bv!R29*(1-EXP(-s_RadSpec!AZ29*s_t_b)))/(s_P*s_RadSpec!AZ29))),0)</f>
        <v>1.5896057968597128E-2</v>
      </c>
      <c r="S29" s="108">
        <f>IFERROR(IF(d_Bv!S29=0,0,((s_Ir*s_F*d_Bv!S29*(1-EXP(-s_RadSpec!AZ29*s_t_b)))/(s_P*s_RadSpec!AZ29))),0)</f>
        <v>0.15896057968597124</v>
      </c>
      <c r="T29" s="108">
        <f>IFERROR(IF(d_Bv!T29=0,0,((s_Ir*s_F*d_Bv!T29*(1-EXP(-s_RadSpec!AZ29*s_t_b)))/(s_P*s_RadSpec!AZ29))),0)</f>
        <v>0.15896057968597124</v>
      </c>
      <c r="U29" s="108">
        <f>IFERROR(IF(d_Bv!U29=0,0,((s_Ir*s_F*d_Bv!U29*(1-EXP(-s_RadSpec!AZ29*s_t_b)))/(s_P*s_RadSpec!AZ29))),0)</f>
        <v>1.5896057968597128E-2</v>
      </c>
      <c r="V29" s="108">
        <f>IFERROR(IF(d_Bv!V29=0,0,((s_Ir*s_F*d_Bv!V29*(1-EXP(-s_RadSpec!AZ29*s_t_b)))/(s_P*s_RadSpec!AZ29))),0)</f>
        <v>0.15896057968597124</v>
      </c>
      <c r="W29" s="108">
        <f>IFERROR(IF(d_Bv!W29=0,0,((s_Ir*s_F*d_Bv!W29*(1-EXP(-s_RadSpec!AZ29*s_t_b)))/(s_P*s_RadSpec!AZ29))),0)</f>
        <v>0.15896057968597124</v>
      </c>
      <c r="X29" s="108">
        <f>IFERROR(IF(d_Bv!X29=0,0,((s_Ir*s_F*d_Bv!X29*(1-EXP(-s_RadSpec!AZ29*s_t_b)))/(s_P*s_RadSpec!AZ29))),0)</f>
        <v>1.5896057968597128E-2</v>
      </c>
      <c r="Y29" s="108">
        <f>IFERROR(IF(d_Bv!Y29=0,0,((s_Ir*s_F*d_Bv!Y29*(1-EXP(-s_RadSpec!AZ29*s_t_b)))/(s_P*s_RadSpec!AZ29))),0)</f>
        <v>0.15896057968597124</v>
      </c>
      <c r="Z29" s="108">
        <f>IFERROR(IF(d_Bv!Z29=0,0,((s_Ir*s_F*d_Bv!Z29*(1-EXP(-s_RadSpec!AZ29*s_t_b)))/(s_P*s_RadSpec!AZ29))),0)</f>
        <v>39.740144921492814</v>
      </c>
      <c r="AA29" s="108">
        <f>IFERROR(IF(d_Bv!AA29=0,0,((s_Ir*s_F*d_Bv!AA29*(1-EXP(-s_RadSpec!AZ29*s_t_b)))/(s_P*s_RadSpec!AZ29))),0)</f>
        <v>0.15896057968597124</v>
      </c>
      <c r="AB29" s="108">
        <f>IFERROR(IF(d_Bv!C29=0,0,((s_Ir*s_F*s_MLF_apple*(1-EXP(-s_RadSpec!AZ29*s_t_b)))/(s_P*s_RadSpec!AZ29))),0)</f>
        <v>2.6824597822007652</v>
      </c>
      <c r="AC29" s="108">
        <f>IFERROR(IF(d_Bv!D29=0,0,((s_Ir*s_F*s_MLF_asparagus*(1-EXP(-s_RadSpec!AZ29*s_t_b)))/(s_P*s_RadSpec!AZ29))),0)</f>
        <v>2.6824597822007652</v>
      </c>
      <c r="AD29" s="108">
        <f>IFERROR(IF(d_Bv!E29=0,0,((s_Ir*s_F*s_MLF_beet*(1-EXP(-s_RadSpec!AZ29*s_t_b)))/(s_P*s_RadSpec!AZ29))),0)</f>
        <v>2.6824597822007652</v>
      </c>
      <c r="AE29" s="108">
        <f>IFERROR(IF(d_Bv!F29=0,0,((s_Ir*s_F*s_MLF_berries*(1-EXP(-s_RadSpec!AZ29*s_t_b)))/(s_P*s_RadSpec!AZ29))),0)</f>
        <v>2.6824597822007652</v>
      </c>
      <c r="AF29" s="108">
        <f>IFERROR(IF(d_Bv!G29=0,0,((s_Ir*s_F*s_MLF_broccoli*(1-EXP(-s_RadSpec!AZ29*s_t_b)))/(s_P*s_RadSpec!AZ29))),0)</f>
        <v>2.6824597822007652</v>
      </c>
      <c r="AG29" s="108">
        <f>IFERROR(IF(d_Bv!H29=0,0,((s_Ir*s_F*s_MLF_cabbage*(1-EXP(-s_RadSpec!AZ29*s_t_b)))/(s_P*s_RadSpec!AZ29))),0)</f>
        <v>2.6824597822007652</v>
      </c>
      <c r="AH29" s="108">
        <f>IFERROR(IF(d_Bv!I29=0,0,((s_Ir*s_F*s_MLF_carrot*(1-EXP(-s_RadSpec!AZ29*s_t_b)))/(s_P*s_RadSpec!AZ29))),0)</f>
        <v>2.6824597822007652</v>
      </c>
      <c r="AI29" s="108">
        <f>IFERROR(IF(d_Bv!J29=0,0,((s_Ir*s_F*s_MLF_citrus*(1-EXP(-s_RadSpec!AZ29*s_t_b)))/(s_P*s_RadSpec!AZ29))),0)</f>
        <v>2.6824597822007652</v>
      </c>
      <c r="AJ29" s="108">
        <f>IFERROR(IF(d_Bv!K29=0,0,((s_Ir*s_F*s_MLF_corn*(1-EXP(-s_RadSpec!AZ29*s_t_b)))/(s_P*s_RadSpec!AZ29))),0)</f>
        <v>2.6824597822007652</v>
      </c>
      <c r="AK29" s="108">
        <f>IFERROR(IF(d_Bv!L29=0,0,((s_Ir*s_F*s_MLF_cucumber*(1-EXP(-s_RadSpec!AZ29*s_t_b)))/(s_P*s_RadSpec!AZ29))),0)</f>
        <v>2.6824597822007652</v>
      </c>
      <c r="AL29" s="108">
        <f>IFERROR(IF(d_Bv!M29=0,0,((s_Ir*s_F*s_MLF_lettuce*(1-EXP(-s_RadSpec!AZ29*s_t_b)))/(s_P*s_RadSpec!AZ29))),0)</f>
        <v>2.6824597822007652</v>
      </c>
      <c r="AM29" s="108">
        <f>IFERROR(IF(d_Bv!N29=0,0,((s_Ir*s_F*s_MLF_lima_bean*(1-EXP(-s_RadSpec!AZ29*s_t_b)))/(s_P*s_RadSpec!AZ29))),0)</f>
        <v>2.6824597822007652</v>
      </c>
      <c r="AN29" s="108">
        <f>IFERROR(IF(d_Bv!O29=0,0,((s_Ir*s_F*s_MLF_okra*(1-EXP(-s_RadSpec!AZ29*s_t_b)))/(s_P*s_RadSpec!AZ29))),0)</f>
        <v>2.6824597822007652</v>
      </c>
      <c r="AO29" s="108">
        <f>IFERROR(IF(d_Bv!P29=0,0,((s_Ir*s_F*s_MLF_onion*(1-EXP(-s_RadSpec!AZ29*s_t_b)))/(s_P*s_RadSpec!AZ29))),0)</f>
        <v>2.6824597822007652</v>
      </c>
      <c r="AP29" s="108">
        <f>IFERROR(IF(d_Bv!Q29=0,0,((s_Ir*s_F*s_MLF_peach*(1-EXP(-s_RadSpec!AZ29*s_t_b)))/(s_P*s_RadSpec!AZ29))),0)</f>
        <v>2.6824597822007652</v>
      </c>
      <c r="AQ29" s="108">
        <f>IFERROR(IF(d_Bv!R29=0,0,((s_Ir*s_F*s_MLF_pear*(1-EXP(-s_RadSpec!AZ29*s_t_b)))/(s_P*s_RadSpec!AZ29))),0)</f>
        <v>2.6824597822007652</v>
      </c>
      <c r="AR29" s="108">
        <f>IFERROR(IF(d_Bv!S29=0,0,((s_Ir*s_F*s_MLF_peas*(1-EXP(-s_RadSpec!AZ29*s_t_b)))/(s_P*s_RadSpec!AZ29))),0)</f>
        <v>2.6824597822007652</v>
      </c>
      <c r="AS29" s="108">
        <f>IFERROR(IF(d_Bv!T29=0,0,((s_Ir*s_F*s_MLF_peppers*(1-EXP(-s_RadSpec!AZ29*s_t_b)))/(s_P*s_RadSpec!AZ29))),0)</f>
        <v>2.6824597822007652</v>
      </c>
      <c r="AT29" s="108">
        <f>IFERROR(IF(d_Bv!U29=0,0,((s_Ir*s_F*s_MLF_potato*(1-EXP(-s_RadSpec!AZ29*s_t_b)))/(s_P*s_RadSpec!AZ29))),0)</f>
        <v>2.6824597822007652</v>
      </c>
      <c r="AU29" s="108">
        <f>IFERROR(IF(d_Bv!V29=0,0,((s_Ir*s_F*s_MLF_pumpkin*(1-EXP(-s_RadSpec!AZ29*s_t_b)))/(s_P*s_RadSpec!AZ29))),0)</f>
        <v>2.6824597822007652</v>
      </c>
      <c r="AV29" s="108">
        <f>IFERROR(IF(d_Bv!W29=0,0,((s_Ir*s_F*s_MLF_snap_bean*(1-EXP(-s_RadSpec!AZ29*s_t_b)))/(s_P*s_RadSpec!AZ29))),0)</f>
        <v>2.6824597822007652</v>
      </c>
      <c r="AW29" s="108">
        <f>IFERROR(IF(d_Bv!X29=0,0,((s_Ir*s_F*s_MLF_strawberry*(1-EXP(-s_RadSpec!AZ29*s_t_b)))/(s_P*s_RadSpec!AZ29))),0)</f>
        <v>2.6824597822007652</v>
      </c>
      <c r="AX29" s="108">
        <f>IFERROR(IF(d_Bv!Y29=0,0,((s_Ir*s_F*s_MLF_tomato*(1-EXP(-s_RadSpec!AZ29*s_t_b)))/(s_P*s_RadSpec!AZ29))),0)</f>
        <v>2.6824597822007652</v>
      </c>
      <c r="AY29" s="108">
        <f>IFERROR(IF(d_Bv!Z29=0,0,((s_Ir*s_F*s_MLF_rice*(1-EXP(-s_RadSpec!AZ29*s_t_b)))/(s_P*s_RadSpec!AZ29))),0)</f>
        <v>2.6824597822007652</v>
      </c>
      <c r="AZ29" s="108">
        <f>IFERROR(IF(d_Bv!AA29=0,0,((s_Ir*s_F*s_MLF_cereal*(1-EXP(-s_RadSpec!AZ29*s_t_b)))/(s_P*s_RadSpec!AZ29))),0)</f>
        <v>2.6824597822007652</v>
      </c>
      <c r="BA29" s="108">
        <f>IFERROR(IF(d_Bv!C29=0,0,((s_Ir*s_F*s_I_f*s_T*(1-EXP(-s_RadSpec!BA29*s_t_v)))/(s_Y_v*s_RadSpec!BA29))),0)</f>
        <v>9.0143481925428208</v>
      </c>
      <c r="BB29" s="108">
        <f>IFERROR(IF(d_Bv!D29=0,0,((s_Ir*s_F*s_I_f*s_T*(1-EXP(-s_RadSpec!BA29*s_t_v)))/(s_Y_v*s_RadSpec!BA29))),0)</f>
        <v>9.0143481925428208</v>
      </c>
      <c r="BC29" s="108">
        <f>IFERROR(IF(d_Bv!E29=0,0,((s_Ir*s_F*s_I_f*s_T*(1-EXP(-s_RadSpec!BA29*s_t_v)))/(s_Y_v*s_RadSpec!BA29))),0)</f>
        <v>9.0143481925428208</v>
      </c>
      <c r="BD29" s="108">
        <f>IFERROR(IF(d_Bv!F29=0,0,((s_Ir*s_F*s_I_f*s_T*(1-EXP(-s_RadSpec!BA29*s_t_v)))/(s_Y_v*s_RadSpec!BA29))),0)</f>
        <v>9.0143481925428208</v>
      </c>
      <c r="BE29" s="108">
        <f>IFERROR(IF(d_Bv!G29=0,0,((s_Ir*s_F*s_I_f*s_T*(1-EXP(-s_RadSpec!BA29*s_t_v)))/(s_Y_v*s_RadSpec!BA29))),0)</f>
        <v>9.0143481925428208</v>
      </c>
      <c r="BF29" s="108">
        <f>IFERROR(IF(d_Bv!H29=0,0,((s_Ir*s_F*s_I_f*s_T*(1-EXP(-s_RadSpec!BA29*s_t_v)))/(s_Y_v*s_RadSpec!BA29))),0)</f>
        <v>9.0143481925428208</v>
      </c>
      <c r="BG29" s="108">
        <f>IFERROR(IF(d_Bv!I29=0,0,((s_Ir*s_F*s_I_f*s_T*(1-EXP(-s_RadSpec!BA29*s_t_v)))/(s_Y_v*s_RadSpec!BA29))),0)</f>
        <v>9.0143481925428208</v>
      </c>
      <c r="BH29" s="108">
        <f>IFERROR(IF(d_Bv!J29=0,0,((s_Ir*s_F*s_I_f*s_T*(1-EXP(-s_RadSpec!BA29*s_t_v)))/(s_Y_v*s_RadSpec!BA29))),0)</f>
        <v>9.0143481925428208</v>
      </c>
      <c r="BI29" s="108">
        <f>IFERROR(IF(d_Bv!K29=0,0,((s_Ir*s_F*s_I_f*s_T*(1-EXP(-s_RadSpec!BA29*s_t_v)))/(s_Y_v*s_RadSpec!BA29))),0)</f>
        <v>9.0143481925428208</v>
      </c>
      <c r="BJ29" s="108">
        <f>IFERROR(IF(d_Bv!L29=0,0,((s_Ir*s_F*s_I_f*s_T*(1-EXP(-s_RadSpec!BA29*s_t_v)))/(s_Y_v*s_RadSpec!BA29))),0)</f>
        <v>9.0143481925428208</v>
      </c>
      <c r="BK29" s="108">
        <f>IFERROR(IF(d_Bv!M29=0,0,((s_Ir*s_F*s_I_f*s_T*(1-EXP(-s_RadSpec!BA29*s_t_v)))/(s_Y_v*s_RadSpec!BA29))),0)</f>
        <v>9.0143481925428208</v>
      </c>
      <c r="BL29" s="108">
        <f>IFERROR(IF(d_Bv!N29=0,0,((s_Ir*s_F*s_I_f*s_T*(1-EXP(-s_RadSpec!BA29*s_t_v)))/(s_Y_v*s_RadSpec!BA29))),0)</f>
        <v>9.0143481925428208</v>
      </c>
      <c r="BM29" s="108">
        <f>IFERROR(IF(d_Bv!O29=0,0,((s_Ir*s_F*s_I_f*s_T*(1-EXP(-s_RadSpec!BA29*s_t_v)))/(s_Y_v*s_RadSpec!BA29))),0)</f>
        <v>9.0143481925428208</v>
      </c>
      <c r="BN29" s="108">
        <f>IFERROR(IF(d_Bv!P29=0,0,((s_Ir*s_F*s_I_f*s_T*(1-EXP(-s_RadSpec!BA29*s_t_v)))/(s_Y_v*s_RadSpec!BA29))),0)</f>
        <v>9.0143481925428208</v>
      </c>
      <c r="BO29" s="108">
        <f>IFERROR(IF(d_Bv!Q29=0,0,((s_Ir*s_F*s_I_f*s_T*(1-EXP(-s_RadSpec!BA29*s_t_v)))/(s_Y_v*s_RadSpec!BA29))),0)</f>
        <v>9.0143481925428208</v>
      </c>
      <c r="BP29" s="108">
        <f>IFERROR(IF(d_Bv!R29=0,0,((s_Ir*s_F*s_I_f*s_T*(1-EXP(-s_RadSpec!BA29*s_t_v)))/(s_Y_v*s_RadSpec!BA29))),0)</f>
        <v>9.0143481925428208</v>
      </c>
      <c r="BQ29" s="108">
        <f>IFERROR(IF(d_Bv!S29=0,0,((s_Ir*s_F*s_I_f*s_T*(1-EXP(-s_RadSpec!BA29*s_t_v)))/(s_Y_v*s_RadSpec!BA29))),0)</f>
        <v>9.0143481925428208</v>
      </c>
      <c r="BR29" s="108">
        <f>IFERROR(IF(d_Bv!T29=0,0,((s_Ir*s_F*s_I_f*s_T*(1-EXP(-s_RadSpec!BA29*s_t_v)))/(s_Y_v*s_RadSpec!BA29))),0)</f>
        <v>9.0143481925428208</v>
      </c>
      <c r="BS29" s="108">
        <f>IFERROR(IF(d_Bv!U29=0,0,((s_Ir*s_F*s_I_f*s_T*(1-EXP(-s_RadSpec!BA29*s_t_v)))/(s_Y_v*s_RadSpec!BA29))),0)</f>
        <v>9.0143481925428208</v>
      </c>
      <c r="BT29" s="108">
        <f>IFERROR(IF(d_Bv!V29=0,0,((s_Ir*s_F*s_I_f*s_T*(1-EXP(-s_RadSpec!BA29*s_t_v)))/(s_Y_v*s_RadSpec!BA29))),0)</f>
        <v>9.0143481925428208</v>
      </c>
      <c r="BU29" s="108">
        <f>IFERROR(IF(d_Bv!W29=0,0,((s_Ir*s_F*s_I_f*s_T*(1-EXP(-s_RadSpec!BA29*s_t_v)))/(s_Y_v*s_RadSpec!BA29))),0)</f>
        <v>9.0143481925428208</v>
      </c>
      <c r="BV29" s="108">
        <f>IFERROR(IF(d_Bv!X29=0,0,((s_Ir*s_F*s_I_f*s_T*(1-EXP(-s_RadSpec!BA29*s_t_v)))/(s_Y_v*s_RadSpec!BA29))),0)</f>
        <v>9.0143481925428208</v>
      </c>
      <c r="BW29" s="108">
        <f>IFERROR(IF(d_Bv!Y29=0,0,((s_Ir*s_F*s_I_f*s_T*(1-EXP(-s_RadSpec!BA29*s_t_v)))/(s_Y_v*s_RadSpec!BA29))),0)</f>
        <v>9.0143481925428208</v>
      </c>
      <c r="BX29" s="108">
        <f>IFERROR(IF(d_Bv!Z29=0,0,((s_Ir*s_F*s_I_f*s_T*(1-EXP(-s_RadSpec!BA29*s_t_v)))/(s_Y_v*s_RadSpec!BA29))),0)</f>
        <v>9.0143481925428208</v>
      </c>
      <c r="BY29" s="108">
        <f>IFERROR(IF(d_Bv!AA29=0,0,((s_Ir*s_F*s_I_f*s_T*(1-EXP(-s_RadSpec!BA29*s_t_v)))/(s_Y_v*s_RadSpec!BA29))),0)</f>
        <v>9.0143481925428208</v>
      </c>
    </row>
    <row r="30" spans="1:77" x14ac:dyDescent="0.25">
      <c r="A30" s="44" t="s">
        <v>28</v>
      </c>
      <c r="B30" s="42" t="s">
        <v>1057</v>
      </c>
      <c r="C30" s="108">
        <f>IFERROR(IF(d_Bv!C30=0,0,((s_Ir*s_F*d_Bv!C30*(1-EXP(-s_RadSpec!$AZ30*s_t_b)))/(s_P*s_RadSpec!$AZ30))),0)</f>
        <v>0.19870072460746407</v>
      </c>
      <c r="D30" s="108">
        <f>IFERROR(IF(d_Bv!D30=0,0,((s_Ir*s_F*d_Bv!D30*(1-EXP(-s_RadSpec!AZ30*s_t_b)))/(s_P*s_RadSpec!AZ30))),0)</f>
        <v>3.9740144921492817</v>
      </c>
      <c r="E30" s="108">
        <f>IFERROR(IF(d_Bv!E30=0,0,((s_Ir*s_F*d_Bv!E30*(1-EXP(-s_RadSpec!AZ30*s_t_b)))/(s_P*s_RadSpec!AZ30))),0)</f>
        <v>1.669086086702698</v>
      </c>
      <c r="F30" s="108">
        <f>IFERROR(IF(d_Bv!F30=0,0,((s_Ir*s_F*d_Bv!F30*(1-EXP(-s_RadSpec!AZ30*s_t_b)))/(s_P*s_RadSpec!AZ30))),0)</f>
        <v>0.19870072460746407</v>
      </c>
      <c r="G30" s="108">
        <f>IFERROR(IF(d_Bv!G30=0,0,((s_Ir*s_F*d_Bv!G30*(1-EXP(-s_RadSpec!AZ30*s_t_b)))/(s_P*s_RadSpec!AZ30))),0)</f>
        <v>2.9805108691119608</v>
      </c>
      <c r="H30" s="108">
        <f>IFERROR(IF(d_Bv!H30=0,0,((s_Ir*s_F*d_Bv!H30*(1-EXP(-s_RadSpec!AZ30*s_t_b)))/(s_P*s_RadSpec!AZ30))),0)</f>
        <v>3.9740144921492817</v>
      </c>
      <c r="I30" s="108">
        <f>IFERROR(IF(d_Bv!I30=0,0,((s_Ir*s_F*d_Bv!I30*(1-EXP(-s_RadSpec!AZ30*s_t_b)))/(s_P*s_RadSpec!AZ30))),0)</f>
        <v>1.669086086702698</v>
      </c>
      <c r="J30" s="108">
        <f>IFERROR(IF(d_Bv!J30=0,0,((s_Ir*s_F*d_Bv!J30*(1-EXP(-s_RadSpec!AZ30*s_t_b)))/(s_P*s_RadSpec!AZ30))),0)</f>
        <v>0.19870072460746407</v>
      </c>
      <c r="K30" s="108">
        <f>IFERROR(IF(d_Bv!K30=0,0,((s_Ir*s_F*d_Bv!K30*(1-EXP(-s_RadSpec!AZ30*s_t_b)))/(s_P*s_RadSpec!AZ30))),0)</f>
        <v>2.9805108691119608</v>
      </c>
      <c r="L30" s="108">
        <f>IFERROR(IF(d_Bv!L30=0,0,((s_Ir*s_F*d_Bv!L30*(1-EXP(-s_RadSpec!AZ30*s_t_b)))/(s_P*s_RadSpec!AZ30))),0)</f>
        <v>2.9805108691119608</v>
      </c>
      <c r="M30" s="108">
        <f>IFERROR(IF(d_Bv!M30=0,0,((s_Ir*s_F*d_Bv!M30*(1-EXP(-s_RadSpec!AZ30*s_t_b)))/(s_P*s_RadSpec!AZ30))),0)</f>
        <v>3.9740144921492817</v>
      </c>
      <c r="N30" s="108">
        <f>IFERROR(IF(d_Bv!N30=0,0,((s_Ir*s_F*d_Bv!N30*(1-EXP(-s_RadSpec!AZ30*s_t_b)))/(s_P*s_RadSpec!AZ30))),0)</f>
        <v>0.43714159413642101</v>
      </c>
      <c r="O30" s="108">
        <f>IFERROR(IF(d_Bv!O30=0,0,((s_Ir*s_F*d_Bv!O30*(1-EXP(-s_RadSpec!AZ30*s_t_b)))/(s_P*s_RadSpec!AZ30))),0)</f>
        <v>2.9805108691119608</v>
      </c>
      <c r="P30" s="108">
        <f>IFERROR(IF(d_Bv!P30=0,0,((s_Ir*s_F*d_Bv!P30*(1-EXP(-s_RadSpec!AZ30*s_t_b)))/(s_P*s_RadSpec!AZ30))),0)</f>
        <v>1.669086086702698</v>
      </c>
      <c r="Q30" s="108">
        <f>IFERROR(IF(d_Bv!Q30=0,0,((s_Ir*s_F*d_Bv!Q30*(1-EXP(-s_RadSpec!AZ30*s_t_b)))/(s_P*s_RadSpec!AZ30))),0)</f>
        <v>0.19870072460746407</v>
      </c>
      <c r="R30" s="108">
        <f>IFERROR(IF(d_Bv!R30=0,0,((s_Ir*s_F*d_Bv!R30*(1-EXP(-s_RadSpec!AZ30*s_t_b)))/(s_P*s_RadSpec!AZ30))),0)</f>
        <v>0.19870072460746407</v>
      </c>
      <c r="S30" s="108">
        <f>IFERROR(IF(d_Bv!S30=0,0,((s_Ir*s_F*d_Bv!S30*(1-EXP(-s_RadSpec!AZ30*s_t_b)))/(s_P*s_RadSpec!AZ30))),0)</f>
        <v>0.43714159413642101</v>
      </c>
      <c r="T30" s="108">
        <f>IFERROR(IF(d_Bv!T30=0,0,((s_Ir*s_F*d_Bv!T30*(1-EXP(-s_RadSpec!AZ30*s_t_b)))/(s_P*s_RadSpec!AZ30))),0)</f>
        <v>2.9805108691119608</v>
      </c>
      <c r="U30" s="108">
        <f>IFERROR(IF(d_Bv!U30=0,0,((s_Ir*s_F*d_Bv!U30*(1-EXP(-s_RadSpec!AZ30*s_t_b)))/(s_P*s_RadSpec!AZ30))),0)</f>
        <v>0.99350362303732043</v>
      </c>
      <c r="V30" s="108">
        <f>IFERROR(IF(d_Bv!V30=0,0,((s_Ir*s_F*d_Bv!V30*(1-EXP(-s_RadSpec!AZ30*s_t_b)))/(s_P*s_RadSpec!AZ30))),0)</f>
        <v>2.9805108691119608</v>
      </c>
      <c r="W30" s="108">
        <f>IFERROR(IF(d_Bv!W30=0,0,((s_Ir*s_F*d_Bv!W30*(1-EXP(-s_RadSpec!AZ30*s_t_b)))/(s_P*s_RadSpec!AZ30))),0)</f>
        <v>0.43714159413642101</v>
      </c>
      <c r="X30" s="108">
        <f>IFERROR(IF(d_Bv!X30=0,0,((s_Ir*s_F*d_Bv!X30*(1-EXP(-s_RadSpec!AZ30*s_t_b)))/(s_P*s_RadSpec!AZ30))),0)</f>
        <v>0.19870072460746407</v>
      </c>
      <c r="Y30" s="108">
        <f>IFERROR(IF(d_Bv!Y30=0,0,((s_Ir*s_F*d_Bv!Y30*(1-EXP(-s_RadSpec!AZ30*s_t_b)))/(s_P*s_RadSpec!AZ30))),0)</f>
        <v>2.9805108691119608</v>
      </c>
      <c r="Z30" s="108">
        <f>IFERROR(IF(d_Bv!Z30=0,0,((s_Ir*s_F*d_Bv!Z30*(1-EXP(-s_RadSpec!AZ30*s_t_b)))/(s_P*s_RadSpec!AZ30))),0)</f>
        <v>4.8284276079613768E-2</v>
      </c>
      <c r="AA30" s="108">
        <f>IFERROR(IF(d_Bv!AA30=0,0,((s_Ir*s_F*d_Bv!AA30*(1-EXP(-s_RadSpec!AZ30*s_t_b)))/(s_P*s_RadSpec!AZ30))),0)</f>
        <v>1.2319444925662772</v>
      </c>
      <c r="AB30" s="108">
        <f>IFERROR(IF(d_Bv!C30=0,0,((s_Ir*s_F*s_MLF_apple*(1-EXP(-s_RadSpec!AZ30*s_t_b)))/(s_P*s_RadSpec!AZ30))),0)</f>
        <v>2.6824597822007652</v>
      </c>
      <c r="AC30" s="108">
        <f>IFERROR(IF(d_Bv!D30=0,0,((s_Ir*s_F*s_MLF_asparagus*(1-EXP(-s_RadSpec!AZ30*s_t_b)))/(s_P*s_RadSpec!AZ30))),0)</f>
        <v>2.6824597822007652</v>
      </c>
      <c r="AD30" s="108">
        <f>IFERROR(IF(d_Bv!E30=0,0,((s_Ir*s_F*s_MLF_beet*(1-EXP(-s_RadSpec!AZ30*s_t_b)))/(s_P*s_RadSpec!AZ30))),0)</f>
        <v>2.6824597822007652</v>
      </c>
      <c r="AE30" s="108">
        <f>IFERROR(IF(d_Bv!F30=0,0,((s_Ir*s_F*s_MLF_berries*(1-EXP(-s_RadSpec!AZ30*s_t_b)))/(s_P*s_RadSpec!AZ30))),0)</f>
        <v>2.6824597822007652</v>
      </c>
      <c r="AF30" s="108">
        <f>IFERROR(IF(d_Bv!G30=0,0,((s_Ir*s_F*s_MLF_broccoli*(1-EXP(-s_RadSpec!AZ30*s_t_b)))/(s_P*s_RadSpec!AZ30))),0)</f>
        <v>2.6824597822007652</v>
      </c>
      <c r="AG30" s="108">
        <f>IFERROR(IF(d_Bv!H30=0,0,((s_Ir*s_F*s_MLF_cabbage*(1-EXP(-s_RadSpec!AZ30*s_t_b)))/(s_P*s_RadSpec!AZ30))),0)</f>
        <v>2.6824597822007652</v>
      </c>
      <c r="AH30" s="108">
        <f>IFERROR(IF(d_Bv!I30=0,0,((s_Ir*s_F*s_MLF_carrot*(1-EXP(-s_RadSpec!AZ30*s_t_b)))/(s_P*s_RadSpec!AZ30))),0)</f>
        <v>2.6824597822007652</v>
      </c>
      <c r="AI30" s="108">
        <f>IFERROR(IF(d_Bv!J30=0,0,((s_Ir*s_F*s_MLF_citrus*(1-EXP(-s_RadSpec!AZ30*s_t_b)))/(s_P*s_RadSpec!AZ30))),0)</f>
        <v>2.6824597822007652</v>
      </c>
      <c r="AJ30" s="108">
        <f>IFERROR(IF(d_Bv!K30=0,0,((s_Ir*s_F*s_MLF_corn*(1-EXP(-s_RadSpec!AZ30*s_t_b)))/(s_P*s_RadSpec!AZ30))),0)</f>
        <v>2.6824597822007652</v>
      </c>
      <c r="AK30" s="108">
        <f>IFERROR(IF(d_Bv!L30=0,0,((s_Ir*s_F*s_MLF_cucumber*(1-EXP(-s_RadSpec!AZ30*s_t_b)))/(s_P*s_RadSpec!AZ30))),0)</f>
        <v>2.6824597822007652</v>
      </c>
      <c r="AL30" s="108">
        <f>IFERROR(IF(d_Bv!M30=0,0,((s_Ir*s_F*s_MLF_lettuce*(1-EXP(-s_RadSpec!AZ30*s_t_b)))/(s_P*s_RadSpec!AZ30))),0)</f>
        <v>2.6824597822007652</v>
      </c>
      <c r="AM30" s="108">
        <f>IFERROR(IF(d_Bv!N30=0,0,((s_Ir*s_F*s_MLF_lima_bean*(1-EXP(-s_RadSpec!AZ30*s_t_b)))/(s_P*s_RadSpec!AZ30))),0)</f>
        <v>2.6824597822007652</v>
      </c>
      <c r="AN30" s="108">
        <f>IFERROR(IF(d_Bv!O30=0,0,((s_Ir*s_F*s_MLF_okra*(1-EXP(-s_RadSpec!AZ30*s_t_b)))/(s_P*s_RadSpec!AZ30))),0)</f>
        <v>2.6824597822007652</v>
      </c>
      <c r="AO30" s="108">
        <f>IFERROR(IF(d_Bv!P30=0,0,((s_Ir*s_F*s_MLF_onion*(1-EXP(-s_RadSpec!AZ30*s_t_b)))/(s_P*s_RadSpec!AZ30))),0)</f>
        <v>2.6824597822007652</v>
      </c>
      <c r="AP30" s="108">
        <f>IFERROR(IF(d_Bv!Q30=0,0,((s_Ir*s_F*s_MLF_peach*(1-EXP(-s_RadSpec!AZ30*s_t_b)))/(s_P*s_RadSpec!AZ30))),0)</f>
        <v>2.6824597822007652</v>
      </c>
      <c r="AQ30" s="108">
        <f>IFERROR(IF(d_Bv!R30=0,0,((s_Ir*s_F*s_MLF_pear*(1-EXP(-s_RadSpec!AZ30*s_t_b)))/(s_P*s_RadSpec!AZ30))),0)</f>
        <v>2.6824597822007652</v>
      </c>
      <c r="AR30" s="108">
        <f>IFERROR(IF(d_Bv!S30=0,0,((s_Ir*s_F*s_MLF_peas*(1-EXP(-s_RadSpec!AZ30*s_t_b)))/(s_P*s_RadSpec!AZ30))),0)</f>
        <v>2.6824597822007652</v>
      </c>
      <c r="AS30" s="108">
        <f>IFERROR(IF(d_Bv!T30=0,0,((s_Ir*s_F*s_MLF_peppers*(1-EXP(-s_RadSpec!AZ30*s_t_b)))/(s_P*s_RadSpec!AZ30))),0)</f>
        <v>2.6824597822007652</v>
      </c>
      <c r="AT30" s="108">
        <f>IFERROR(IF(d_Bv!U30=0,0,((s_Ir*s_F*s_MLF_potato*(1-EXP(-s_RadSpec!AZ30*s_t_b)))/(s_P*s_RadSpec!AZ30))),0)</f>
        <v>2.6824597822007652</v>
      </c>
      <c r="AU30" s="108">
        <f>IFERROR(IF(d_Bv!V30=0,0,((s_Ir*s_F*s_MLF_pumpkin*(1-EXP(-s_RadSpec!AZ30*s_t_b)))/(s_P*s_RadSpec!AZ30))),0)</f>
        <v>2.6824597822007652</v>
      </c>
      <c r="AV30" s="108">
        <f>IFERROR(IF(d_Bv!W30=0,0,((s_Ir*s_F*s_MLF_snap_bean*(1-EXP(-s_RadSpec!AZ30*s_t_b)))/(s_P*s_RadSpec!AZ30))),0)</f>
        <v>2.6824597822007652</v>
      </c>
      <c r="AW30" s="108">
        <f>IFERROR(IF(d_Bv!X30=0,0,((s_Ir*s_F*s_MLF_strawberry*(1-EXP(-s_RadSpec!AZ30*s_t_b)))/(s_P*s_RadSpec!AZ30))),0)</f>
        <v>2.6824597822007652</v>
      </c>
      <c r="AX30" s="108">
        <f>IFERROR(IF(d_Bv!Y30=0,0,((s_Ir*s_F*s_MLF_tomato*(1-EXP(-s_RadSpec!AZ30*s_t_b)))/(s_P*s_RadSpec!AZ30))),0)</f>
        <v>2.6824597822007652</v>
      </c>
      <c r="AY30" s="108">
        <f>IFERROR(IF(d_Bv!Z30=0,0,((s_Ir*s_F*s_MLF_rice*(1-EXP(-s_RadSpec!AZ30*s_t_b)))/(s_P*s_RadSpec!AZ30))),0)</f>
        <v>2.6824597822007652</v>
      </c>
      <c r="AZ30" s="108">
        <f>IFERROR(IF(d_Bv!AA30=0,0,((s_Ir*s_F*s_MLF_cereal*(1-EXP(-s_RadSpec!AZ30*s_t_b)))/(s_P*s_RadSpec!AZ30))),0)</f>
        <v>2.6824597822007652</v>
      </c>
      <c r="BA30" s="108">
        <f>IFERROR(IF(d_Bv!C30=0,0,((s_Ir*s_F*s_I_f*s_T*(1-EXP(-s_RadSpec!BA30*s_t_v)))/(s_Y_v*s_RadSpec!BA30))),0)</f>
        <v>9.0143481925428208</v>
      </c>
      <c r="BB30" s="108">
        <f>IFERROR(IF(d_Bv!D30=0,0,((s_Ir*s_F*s_I_f*s_T*(1-EXP(-s_RadSpec!BA30*s_t_v)))/(s_Y_v*s_RadSpec!BA30))),0)</f>
        <v>9.0143481925428208</v>
      </c>
      <c r="BC30" s="108">
        <f>IFERROR(IF(d_Bv!E30=0,0,((s_Ir*s_F*s_I_f*s_T*(1-EXP(-s_RadSpec!BA30*s_t_v)))/(s_Y_v*s_RadSpec!BA30))),0)</f>
        <v>9.0143481925428208</v>
      </c>
      <c r="BD30" s="108">
        <f>IFERROR(IF(d_Bv!F30=0,0,((s_Ir*s_F*s_I_f*s_T*(1-EXP(-s_RadSpec!BA30*s_t_v)))/(s_Y_v*s_RadSpec!BA30))),0)</f>
        <v>9.0143481925428208</v>
      </c>
      <c r="BE30" s="108">
        <f>IFERROR(IF(d_Bv!G30=0,0,((s_Ir*s_F*s_I_f*s_T*(1-EXP(-s_RadSpec!BA30*s_t_v)))/(s_Y_v*s_RadSpec!BA30))),0)</f>
        <v>9.0143481925428208</v>
      </c>
      <c r="BF30" s="108">
        <f>IFERROR(IF(d_Bv!H30=0,0,((s_Ir*s_F*s_I_f*s_T*(1-EXP(-s_RadSpec!BA30*s_t_v)))/(s_Y_v*s_RadSpec!BA30))),0)</f>
        <v>9.0143481925428208</v>
      </c>
      <c r="BG30" s="108">
        <f>IFERROR(IF(d_Bv!I30=0,0,((s_Ir*s_F*s_I_f*s_T*(1-EXP(-s_RadSpec!BA30*s_t_v)))/(s_Y_v*s_RadSpec!BA30))),0)</f>
        <v>9.0143481925428208</v>
      </c>
      <c r="BH30" s="108">
        <f>IFERROR(IF(d_Bv!J30=0,0,((s_Ir*s_F*s_I_f*s_T*(1-EXP(-s_RadSpec!BA30*s_t_v)))/(s_Y_v*s_RadSpec!BA30))),0)</f>
        <v>9.0143481925428208</v>
      </c>
      <c r="BI30" s="108">
        <f>IFERROR(IF(d_Bv!K30=0,0,((s_Ir*s_F*s_I_f*s_T*(1-EXP(-s_RadSpec!BA30*s_t_v)))/(s_Y_v*s_RadSpec!BA30))),0)</f>
        <v>9.0143481925428208</v>
      </c>
      <c r="BJ30" s="108">
        <f>IFERROR(IF(d_Bv!L30=0,0,((s_Ir*s_F*s_I_f*s_T*(1-EXP(-s_RadSpec!BA30*s_t_v)))/(s_Y_v*s_RadSpec!BA30))),0)</f>
        <v>9.0143481925428208</v>
      </c>
      <c r="BK30" s="108">
        <f>IFERROR(IF(d_Bv!M30=0,0,((s_Ir*s_F*s_I_f*s_T*(1-EXP(-s_RadSpec!BA30*s_t_v)))/(s_Y_v*s_RadSpec!BA30))),0)</f>
        <v>9.0143481925428208</v>
      </c>
      <c r="BL30" s="108">
        <f>IFERROR(IF(d_Bv!N30=0,0,((s_Ir*s_F*s_I_f*s_T*(1-EXP(-s_RadSpec!BA30*s_t_v)))/(s_Y_v*s_RadSpec!BA30))),0)</f>
        <v>9.0143481925428208</v>
      </c>
      <c r="BM30" s="108">
        <f>IFERROR(IF(d_Bv!O30=0,0,((s_Ir*s_F*s_I_f*s_T*(1-EXP(-s_RadSpec!BA30*s_t_v)))/(s_Y_v*s_RadSpec!BA30))),0)</f>
        <v>9.0143481925428208</v>
      </c>
      <c r="BN30" s="108">
        <f>IFERROR(IF(d_Bv!P30=0,0,((s_Ir*s_F*s_I_f*s_T*(1-EXP(-s_RadSpec!BA30*s_t_v)))/(s_Y_v*s_RadSpec!BA30))),0)</f>
        <v>9.0143481925428208</v>
      </c>
      <c r="BO30" s="108">
        <f>IFERROR(IF(d_Bv!Q30=0,0,((s_Ir*s_F*s_I_f*s_T*(1-EXP(-s_RadSpec!BA30*s_t_v)))/(s_Y_v*s_RadSpec!BA30))),0)</f>
        <v>9.0143481925428208</v>
      </c>
      <c r="BP30" s="108">
        <f>IFERROR(IF(d_Bv!R30=0,0,((s_Ir*s_F*s_I_f*s_T*(1-EXP(-s_RadSpec!BA30*s_t_v)))/(s_Y_v*s_RadSpec!BA30))),0)</f>
        <v>9.0143481925428208</v>
      </c>
      <c r="BQ30" s="108">
        <f>IFERROR(IF(d_Bv!S30=0,0,((s_Ir*s_F*s_I_f*s_T*(1-EXP(-s_RadSpec!BA30*s_t_v)))/(s_Y_v*s_RadSpec!BA30))),0)</f>
        <v>9.0143481925428208</v>
      </c>
      <c r="BR30" s="108">
        <f>IFERROR(IF(d_Bv!T30=0,0,((s_Ir*s_F*s_I_f*s_T*(1-EXP(-s_RadSpec!BA30*s_t_v)))/(s_Y_v*s_RadSpec!BA30))),0)</f>
        <v>9.0143481925428208</v>
      </c>
      <c r="BS30" s="108">
        <f>IFERROR(IF(d_Bv!U30=0,0,((s_Ir*s_F*s_I_f*s_T*(1-EXP(-s_RadSpec!BA30*s_t_v)))/(s_Y_v*s_RadSpec!BA30))),0)</f>
        <v>9.0143481925428208</v>
      </c>
      <c r="BT30" s="108">
        <f>IFERROR(IF(d_Bv!V30=0,0,((s_Ir*s_F*s_I_f*s_T*(1-EXP(-s_RadSpec!BA30*s_t_v)))/(s_Y_v*s_RadSpec!BA30))),0)</f>
        <v>9.0143481925428208</v>
      </c>
      <c r="BU30" s="108">
        <f>IFERROR(IF(d_Bv!W30=0,0,((s_Ir*s_F*s_I_f*s_T*(1-EXP(-s_RadSpec!BA30*s_t_v)))/(s_Y_v*s_RadSpec!BA30))),0)</f>
        <v>9.0143481925428208</v>
      </c>
      <c r="BV30" s="108">
        <f>IFERROR(IF(d_Bv!X30=0,0,((s_Ir*s_F*s_I_f*s_T*(1-EXP(-s_RadSpec!BA30*s_t_v)))/(s_Y_v*s_RadSpec!BA30))),0)</f>
        <v>9.0143481925428208</v>
      </c>
      <c r="BW30" s="108">
        <f>IFERROR(IF(d_Bv!Y30=0,0,((s_Ir*s_F*s_I_f*s_T*(1-EXP(-s_RadSpec!BA30*s_t_v)))/(s_Y_v*s_RadSpec!BA30))),0)</f>
        <v>9.0143481925428208</v>
      </c>
      <c r="BX30" s="108">
        <f>IFERROR(IF(d_Bv!Z30=0,0,((s_Ir*s_F*s_I_f*s_T*(1-EXP(-s_RadSpec!BA30*s_t_v)))/(s_Y_v*s_RadSpec!BA30))),0)</f>
        <v>9.0143481925428208</v>
      </c>
      <c r="BY30" s="108">
        <f>IFERROR(IF(d_Bv!AA30=0,0,((s_Ir*s_F*s_I_f*s_T*(1-EXP(-s_RadSpec!BA30*s_t_v)))/(s_Y_v*s_RadSpec!BA30))),0)</f>
        <v>9.0143481925428208</v>
      </c>
    </row>
  </sheetData>
  <sheetProtection algorithmName="SHA-512" hashValue="XTMYTb3s7CoyAwlDSqhl2wC0/tMVA/EqZsNxBp/9l2nocEYKRcDpE1Orn50c8pc7sNrGp9gf+/xHTPQvauf+lw==" saltValue="JDZpVGLOOwf7V79U6nf/Rw==" spinCount="100000" sheet="1" formatColumns="0" formatRows="0" autoFilter="0"/>
  <autoFilter ref="A1:BY30" xr:uid="{C3AB649A-492F-4EA0-A2A7-E9BEDA75EC0D}"/>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C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69" bestFit="1" customWidth="1"/>
    <col min="2" max="2" width="13.28515625" style="69" bestFit="1" customWidth="1"/>
    <col min="3" max="3" width="22.5703125" style="69" bestFit="1" customWidth="1"/>
    <col min="4" max="4" width="16" style="71" bestFit="1" customWidth="1"/>
    <col min="5" max="5" width="16.140625" style="71" bestFit="1" customWidth="1"/>
    <col min="6" max="6" width="15" style="71" bestFit="1" customWidth="1"/>
    <col min="7" max="7" width="15.7109375" style="71" bestFit="1" customWidth="1"/>
    <col min="8" max="8" width="15" style="71" bestFit="1" customWidth="1"/>
    <col min="9" max="9" width="15.42578125" style="71" bestFit="1" customWidth="1"/>
    <col min="10" max="10" width="14.7109375" style="71" bestFit="1" customWidth="1"/>
    <col min="11" max="11" width="16.140625" style="71" bestFit="1" customWidth="1"/>
    <col min="12" max="12" width="15" style="71" bestFit="1" customWidth="1"/>
    <col min="13" max="13" width="16.85546875" style="71" bestFit="1" customWidth="1"/>
    <col min="14" max="14" width="14" style="71" bestFit="1" customWidth="1"/>
    <col min="15" max="16" width="15" style="71" bestFit="1" customWidth="1"/>
    <col min="17" max="17" width="16.140625" style="71" bestFit="1" customWidth="1"/>
    <col min="18" max="18" width="16.28515625" style="71" bestFit="1" customWidth="1"/>
    <col min="19" max="19" width="15" style="71" bestFit="1" customWidth="1"/>
    <col min="20" max="20" width="14.28515625" style="71" bestFit="1" customWidth="1"/>
    <col min="21" max="21" width="15.5703125" style="71" bestFit="1" customWidth="1"/>
    <col min="22" max="22" width="15.7109375" style="71" bestFit="1" customWidth="1"/>
    <col min="23" max="23" width="16.140625" style="71" bestFit="1" customWidth="1"/>
    <col min="24" max="24" width="15.42578125" style="71" bestFit="1" customWidth="1"/>
    <col min="25" max="25" width="16" style="71" bestFit="1" customWidth="1"/>
    <col min="26" max="27" width="14.42578125" style="71" bestFit="1" customWidth="1"/>
    <col min="28" max="28" width="16.42578125" style="71" bestFit="1" customWidth="1"/>
    <col min="29" max="29" width="22.42578125" style="71" bestFit="1" customWidth="1"/>
    <col min="30" max="30" width="15.85546875" style="71" bestFit="1" customWidth="1"/>
    <col min="31" max="31" width="16" style="71" customWidth="1"/>
    <col min="32" max="32" width="14.7109375" style="71" customWidth="1"/>
    <col min="33" max="33" width="15.5703125" style="71" customWidth="1"/>
    <col min="34" max="34" width="14.85546875" style="71" customWidth="1"/>
    <col min="35" max="35" width="15.28515625" style="71" customWidth="1"/>
    <col min="36" max="36" width="14.5703125" style="71" customWidth="1"/>
    <col min="37" max="37" width="16" style="71" customWidth="1"/>
    <col min="38" max="38" width="14.85546875" style="71" customWidth="1"/>
    <col min="39" max="39" width="16.7109375" style="71" customWidth="1"/>
    <col min="40" max="40" width="13.85546875" style="71" customWidth="1"/>
    <col min="41" max="42" width="14.85546875" style="71" customWidth="1"/>
    <col min="43" max="43" width="16" style="71" customWidth="1"/>
    <col min="44" max="44" width="16.140625" style="71" customWidth="1"/>
    <col min="45" max="45" width="14.85546875" style="71" customWidth="1"/>
    <col min="46" max="46" width="14.140625" style="71" customWidth="1"/>
    <col min="47" max="47" width="15.28515625" style="71" customWidth="1"/>
    <col min="48" max="48" width="15.5703125" style="71" customWidth="1"/>
    <col min="49" max="49" width="15.85546875" style="71" customWidth="1"/>
    <col min="50" max="50" width="15.28515625" style="71" customWidth="1"/>
    <col min="51" max="51" width="15.85546875" style="71" customWidth="1"/>
    <col min="52" max="53" width="14.28515625" style="71" customWidth="1"/>
    <col min="54" max="54" width="15.5703125" style="71" customWidth="1"/>
    <col min="55" max="55" width="22.5703125" style="71" bestFit="1" customWidth="1"/>
    <col min="56" max="56" width="15.85546875" style="71" bestFit="1" customWidth="1"/>
    <col min="57" max="57" width="16" style="71" bestFit="1" customWidth="1"/>
    <col min="58" max="58" width="14.7109375" style="71" bestFit="1" customWidth="1"/>
    <col min="59" max="59" width="15.42578125" style="71" bestFit="1" customWidth="1"/>
    <col min="60" max="60" width="14.7109375" style="71" bestFit="1" customWidth="1"/>
    <col min="61" max="61" width="15.140625" style="71" bestFit="1" customWidth="1"/>
    <col min="62" max="62" width="14.28515625" style="71" bestFit="1" customWidth="1"/>
    <col min="63" max="63" width="15.7109375" style="71" bestFit="1" customWidth="1"/>
    <col min="64" max="64" width="14.7109375" style="71" bestFit="1" customWidth="1"/>
    <col min="65" max="65" width="16.7109375" style="71" bestFit="1" customWidth="1"/>
    <col min="66" max="66" width="13.7109375" style="71" bestFit="1" customWidth="1"/>
    <col min="67" max="67" width="14.5703125" style="71" bestFit="1" customWidth="1"/>
    <col min="68" max="68" width="14.85546875" style="71" bestFit="1" customWidth="1"/>
    <col min="69" max="69" width="16" style="71" bestFit="1" customWidth="1"/>
    <col min="70" max="70" width="16.28515625" style="71" bestFit="1" customWidth="1"/>
    <col min="71" max="71" width="14.85546875" style="71" bestFit="1" customWidth="1"/>
    <col min="72" max="72" width="14.140625" style="71" bestFit="1" customWidth="1"/>
    <col min="73" max="73" width="15.28515625" style="71" bestFit="1" customWidth="1"/>
    <col min="74" max="74" width="15.85546875" style="71" bestFit="1" customWidth="1"/>
    <col min="75" max="75" width="16.140625" style="71" bestFit="1" customWidth="1"/>
    <col min="76" max="76" width="15.140625" style="71" bestFit="1" customWidth="1"/>
    <col min="77" max="77" width="16" style="71" bestFit="1" customWidth="1"/>
    <col min="78" max="78" width="14.42578125" style="71" bestFit="1" customWidth="1"/>
    <col min="79" max="79" width="13.85546875" style="71" bestFit="1" customWidth="1"/>
    <col min="80" max="80" width="15.42578125" style="71" bestFit="1" customWidth="1"/>
    <col min="81" max="16384" width="9.140625" style="71"/>
  </cols>
  <sheetData>
    <row r="1" spans="1:80" x14ac:dyDescent="0.25">
      <c r="A1" s="81" t="s">
        <v>39</v>
      </c>
      <c r="B1" s="82" t="s">
        <v>334</v>
      </c>
      <c r="C1" s="84" t="s">
        <v>1429</v>
      </c>
      <c r="D1" s="84" t="s">
        <v>1430</v>
      </c>
      <c r="E1" s="84" t="s">
        <v>1431</v>
      </c>
      <c r="F1" s="84" t="s">
        <v>1432</v>
      </c>
      <c r="G1" s="84" t="s">
        <v>1433</v>
      </c>
      <c r="H1" s="84" t="s">
        <v>1434</v>
      </c>
      <c r="I1" s="84" t="s">
        <v>1435</v>
      </c>
      <c r="J1" s="84" t="s">
        <v>1436</v>
      </c>
      <c r="K1" s="84" t="s">
        <v>1437</v>
      </c>
      <c r="L1" s="84" t="s">
        <v>1438</v>
      </c>
      <c r="M1" s="84" t="s">
        <v>1439</v>
      </c>
      <c r="N1" s="84" t="s">
        <v>1440</v>
      </c>
      <c r="O1" s="84" t="s">
        <v>1441</v>
      </c>
      <c r="P1" s="84" t="s">
        <v>1442</v>
      </c>
      <c r="Q1" s="84" t="s">
        <v>1443</v>
      </c>
      <c r="R1" s="84" t="s">
        <v>1444</v>
      </c>
      <c r="S1" s="84" t="s">
        <v>1445</v>
      </c>
      <c r="T1" s="84" t="s">
        <v>1446</v>
      </c>
      <c r="U1" s="84" t="s">
        <v>1447</v>
      </c>
      <c r="V1" s="84" t="s">
        <v>1448</v>
      </c>
      <c r="W1" s="84" t="s">
        <v>1449</v>
      </c>
      <c r="X1" s="84" t="s">
        <v>1450</v>
      </c>
      <c r="Y1" s="84" t="s">
        <v>1451</v>
      </c>
      <c r="Z1" s="84" t="s">
        <v>1452</v>
      </c>
      <c r="AA1" s="84" t="s">
        <v>1453</v>
      </c>
      <c r="AB1" s="84" t="s">
        <v>1454</v>
      </c>
      <c r="AC1" s="84" t="s">
        <v>1455</v>
      </c>
      <c r="AD1" s="84" t="s">
        <v>1456</v>
      </c>
      <c r="AE1" s="84" t="s">
        <v>1457</v>
      </c>
      <c r="AF1" s="84" t="s">
        <v>1458</v>
      </c>
      <c r="AG1" s="84" t="s">
        <v>1459</v>
      </c>
      <c r="AH1" s="84" t="s">
        <v>1460</v>
      </c>
      <c r="AI1" s="84" t="s">
        <v>1461</v>
      </c>
      <c r="AJ1" s="84" t="s">
        <v>1462</v>
      </c>
      <c r="AK1" s="84" t="s">
        <v>1463</v>
      </c>
      <c r="AL1" s="84" t="s">
        <v>1464</v>
      </c>
      <c r="AM1" s="84" t="s">
        <v>1465</v>
      </c>
      <c r="AN1" s="84" t="s">
        <v>1466</v>
      </c>
      <c r="AO1" s="84" t="s">
        <v>1467</v>
      </c>
      <c r="AP1" s="84" t="s">
        <v>1468</v>
      </c>
      <c r="AQ1" s="84" t="s">
        <v>1469</v>
      </c>
      <c r="AR1" s="84" t="s">
        <v>1470</v>
      </c>
      <c r="AS1" s="84" t="s">
        <v>1471</v>
      </c>
      <c r="AT1" s="84" t="s">
        <v>1472</v>
      </c>
      <c r="AU1" s="84" t="s">
        <v>1473</v>
      </c>
      <c r="AV1" s="84" t="s">
        <v>1474</v>
      </c>
      <c r="AW1" s="84" t="s">
        <v>1475</v>
      </c>
      <c r="AX1" s="84" t="s">
        <v>1476</v>
      </c>
      <c r="AY1" s="84" t="s">
        <v>1477</v>
      </c>
      <c r="AZ1" s="84" t="s">
        <v>1478</v>
      </c>
      <c r="BA1" s="84" t="s">
        <v>1479</v>
      </c>
      <c r="BB1" s="84" t="s">
        <v>1480</v>
      </c>
      <c r="BC1" s="85" t="s">
        <v>1130</v>
      </c>
      <c r="BD1" s="85" t="s">
        <v>1223</v>
      </c>
      <c r="BE1" s="85" t="s">
        <v>1224</v>
      </c>
      <c r="BF1" s="85" t="s">
        <v>1225</v>
      </c>
      <c r="BG1" s="85" t="s">
        <v>1226</v>
      </c>
      <c r="BH1" s="85" t="s">
        <v>1227</v>
      </c>
      <c r="BI1" s="85" t="s">
        <v>1228</v>
      </c>
      <c r="BJ1" s="85" t="s">
        <v>1229</v>
      </c>
      <c r="BK1" s="85" t="s">
        <v>1230</v>
      </c>
      <c r="BL1" s="85" t="s">
        <v>1231</v>
      </c>
      <c r="BM1" s="85" t="s">
        <v>1232</v>
      </c>
      <c r="BN1" s="85" t="s">
        <v>1233</v>
      </c>
      <c r="BO1" s="85" t="s">
        <v>1234</v>
      </c>
      <c r="BP1" s="85" t="s">
        <v>1235</v>
      </c>
      <c r="BQ1" s="85" t="s">
        <v>1236</v>
      </c>
      <c r="BR1" s="85" t="s">
        <v>1237</v>
      </c>
      <c r="BS1" s="85" t="s">
        <v>1238</v>
      </c>
      <c r="BT1" s="85" t="s">
        <v>1239</v>
      </c>
      <c r="BU1" s="85" t="s">
        <v>1305</v>
      </c>
      <c r="BV1" s="85" t="s">
        <v>1240</v>
      </c>
      <c r="BW1" s="85" t="s">
        <v>1241</v>
      </c>
      <c r="BX1" s="85" t="s">
        <v>1242</v>
      </c>
      <c r="BY1" s="85" t="s">
        <v>1243</v>
      </c>
      <c r="BZ1" s="85" t="s">
        <v>1244</v>
      </c>
      <c r="CA1" s="85" t="s">
        <v>1245</v>
      </c>
      <c r="CB1" s="85" t="s">
        <v>1246</v>
      </c>
    </row>
    <row r="2" spans="1:80" x14ac:dyDescent="0.25">
      <c r="A2" s="86" t="s">
        <v>0</v>
      </c>
      <c r="B2" s="84" t="s">
        <v>1057</v>
      </c>
      <c r="C2" s="70">
        <f>IFERROR(1/SUM(1/D2,1/U2,1/AA2,1/AB2),".")</f>
        <v>4.2708194976576683</v>
      </c>
      <c r="D2" s="70">
        <f>IFERROR(s_DL/(s_RadSpec!$F2*s_IFAP_res_adj*s_CF_apple),".")</f>
        <v>17.083277990630673</v>
      </c>
      <c r="E2" s="70">
        <f>IFERROR(s_DL/(s_RadSpec!$F2*s_IFAS_res_adj*s_CF_asparagus),".")</f>
        <v>17.083277990630673</v>
      </c>
      <c r="F2" s="70">
        <f>IFERROR(s_DL/(s_RadSpec!$F2*s_IFBT_res_adj*s_CF_beet),".")</f>
        <v>17.083277990630673</v>
      </c>
      <c r="G2" s="70">
        <f>IFERROR(s_DL/(s_RadSpec!$F2*s_IFBE_res_adj*s_CF_berries),".")</f>
        <v>17.083277990630673</v>
      </c>
      <c r="H2" s="70">
        <f>IFERROR(s_DL/(s_RadSpec!$F2*s_IFBR_res_adj*s_CF_broccoli),".")</f>
        <v>17.083277990630673</v>
      </c>
      <c r="I2" s="70">
        <f>IFERROR(s_DL/(s_RadSpec!$F2*s_IFCB_res_adj*s_CF_cabbage),".")</f>
        <v>17.083277990630673</v>
      </c>
      <c r="J2" s="70">
        <f>IFERROR(s_DL/(s_RadSpec!$F2*s_IFCR_res_adj*s_CF_carrot),".")</f>
        <v>17.083277990630673</v>
      </c>
      <c r="K2" s="70">
        <f>IFERROR(s_DL/(s_RadSpec!$F2*s_IFCI_res_adj*s_CF_citrus),".")</f>
        <v>17.083277990630673</v>
      </c>
      <c r="L2" s="70">
        <f>IFERROR(s_DL/(s_RadSpec!$F2*s_IFCO_res_adj*s_CF_corn),".")</f>
        <v>17.083277990630673</v>
      </c>
      <c r="M2" s="70">
        <f>IFERROR(s_DL/(s_RadSpec!$F2*s_IFCU_res_adj*s_CF_cucumber),".")</f>
        <v>17.083277990630673</v>
      </c>
      <c r="N2" s="70">
        <f>IFERROR(s_DL/(s_RadSpec!$F2*s_IFLE_res_adj*s_CF_lettuce),".")</f>
        <v>17.083277990630673</v>
      </c>
      <c r="O2" s="70">
        <f>IFERROR(s_DL/(s_RadSpec!$F2*s_IFLI_res_adj*s_CF_lima_bean),".")</f>
        <v>17.083277990630673</v>
      </c>
      <c r="P2" s="70">
        <f>IFERROR(s_DL/(s_RadSpec!$F2*s_IFOK_res_adj*s_CF_okra),".")</f>
        <v>17.083277990630673</v>
      </c>
      <c r="Q2" s="70">
        <f>IFERROR(s_DL/(s_RadSpec!$F2*s_IFON_res_adj*s_CF_onion),".")</f>
        <v>17.083277990630673</v>
      </c>
      <c r="R2" s="70">
        <f>IFERROR(s_DL/(s_RadSpec!$F2*s_IFPC_res_adj*s_CF_peach),".")</f>
        <v>17.083277990630673</v>
      </c>
      <c r="S2" s="70">
        <f>IFERROR(s_DL/(s_RadSpec!$F2*s_IFPR_res_adj*s_CF_pear),".")</f>
        <v>17.083277990630673</v>
      </c>
      <c r="T2" s="70">
        <f>IFERROR(s_DL/(s_RadSpec!$F2*s_IFPE_res_adj*s_CF_peas),".")</f>
        <v>17.083277990630673</v>
      </c>
      <c r="U2" s="70">
        <f>IFERROR(s_DL/(s_RadSpec!$F2*s_IFPP_res_adj*s_CF_peppers),".")</f>
        <v>17.083277990630673</v>
      </c>
      <c r="V2" s="70">
        <f>IFERROR(s_DL/(s_RadSpec!$F2*s_IFPT_res_adj*s_CF_potato),".")</f>
        <v>17.083277990630673</v>
      </c>
      <c r="W2" s="70">
        <f>IFERROR(s_DL/(s_RadSpec!$F2*s_IFPU_res_adj*s_CF_pumpkin),".")</f>
        <v>17.083277990630673</v>
      </c>
      <c r="X2" s="70">
        <f>IFERROR(s_DL/(s_RadSpec!$F2*s_IFSN_res_adj*s_CF_snap_bean),".")</f>
        <v>17.083277990630673</v>
      </c>
      <c r="Y2" s="70">
        <f>IFERROR(s_DL/(s_RadSpec!$F2*s_IFST_res_adj*s_CF_strawberry),".")</f>
        <v>17.083277990630673</v>
      </c>
      <c r="Z2" s="70">
        <f>IFERROR(s_DL/(s_RadSpec!$F2*s_IFTO_res_adj*s_CF_tomato),".")</f>
        <v>17.083277990630673</v>
      </c>
      <c r="AA2" s="70">
        <f>IFERROR(s_DL/(s_RadSpec!$F2*s_IFRI_res_adj*s_CF_rice),".")</f>
        <v>17.083277990630673</v>
      </c>
      <c r="AB2" s="70">
        <f>IFERROR(s_DL/(s_RadSpec!$F2*s_IFCG_res_adj*s_CF_cereal),".")</f>
        <v>17.083277990630673</v>
      </c>
      <c r="AC2" s="70">
        <f>IFERROR(1/SUM(1/AD2,1/AU2,1/BA2,1/BB2),".")</f>
        <v>4.2708194976576683</v>
      </c>
      <c r="AD2" s="70">
        <f>IFERROR(s_DL/(s_RadSpec!$F2*s_IFAP_far_adj*s_CF_apple),".")</f>
        <v>17.083277990630673</v>
      </c>
      <c r="AE2" s="70">
        <f>IFERROR(s_DL/(s_RadSpec!$F2*s_IFAS_far_adj*s_CF_asparagus),".")</f>
        <v>17.083277990630673</v>
      </c>
      <c r="AF2" s="70">
        <f>IFERROR(s_DL/(s_RadSpec!$F2*s_IFBT_far_adj*s_CF_beet),".")</f>
        <v>17.083277990630673</v>
      </c>
      <c r="AG2" s="70">
        <f>IFERROR(s_DL/(s_RadSpec!$F2*s_IFBE_far_adj*s_CF_berries),".")</f>
        <v>17.083277990630673</v>
      </c>
      <c r="AH2" s="70">
        <f>IFERROR(s_DL/(s_RadSpec!$F2*s_IFBR_far_adj*s_CF_broccoli),".")</f>
        <v>17.083277990630673</v>
      </c>
      <c r="AI2" s="70">
        <f>IFERROR(s_DL/(s_RadSpec!$F2*s_IFCB_far_adj*s_CF_cabbage),".")</f>
        <v>17.083277990630673</v>
      </c>
      <c r="AJ2" s="70">
        <f>IFERROR(s_DL/(s_RadSpec!$F2*s_IFCR_far_adj*s_CF_carrot),".")</f>
        <v>17.083277990630673</v>
      </c>
      <c r="AK2" s="70">
        <f>IFERROR(s_DL/(s_RadSpec!$F2*s_IFCI_far_adj*s_CF_citrus),".")</f>
        <v>17.083277990630673</v>
      </c>
      <c r="AL2" s="70">
        <f>IFERROR(s_DL/(s_RadSpec!$F2*s_IFCO_far_adj*s_CF_corn),".")</f>
        <v>17.083277990630673</v>
      </c>
      <c r="AM2" s="70">
        <f>IFERROR(s_DL/(s_RadSpec!$F2*s_IFCU_far_adj*s_CF_cucumber),".")</f>
        <v>17.083277990630673</v>
      </c>
      <c r="AN2" s="70">
        <f>IFERROR(s_DL/(s_RadSpec!$F2*s_IFLE_far_adj*s_CF_lettuce),".")</f>
        <v>17.083277990630673</v>
      </c>
      <c r="AO2" s="70">
        <f>IFERROR(s_DL/(s_RadSpec!$F2*s_IFLI_far_adj*s_CF_lima_bean),".")</f>
        <v>17.083277990630673</v>
      </c>
      <c r="AP2" s="70">
        <f>IFERROR(s_DL/(s_RadSpec!$F2*s_IFOK_far_adj*s_CF_okra),".")</f>
        <v>17.083277990630673</v>
      </c>
      <c r="AQ2" s="70">
        <f>IFERROR(s_DL/(s_RadSpec!$F2*s_IFON_far_adj*s_CF_onion),".")</f>
        <v>17.083277990630673</v>
      </c>
      <c r="AR2" s="70">
        <f>IFERROR(s_DL/(s_RadSpec!$F2*s_IFPC_far_adj*s_CF_peach),".")</f>
        <v>17.083277990630673</v>
      </c>
      <c r="AS2" s="70">
        <f>IFERROR(s_DL/(s_RadSpec!$F2*s_IFPR_far_adj*s_CF_pear),".")</f>
        <v>17.083277990630673</v>
      </c>
      <c r="AT2" s="70">
        <f>IFERROR(s_DL/(s_RadSpec!$F2*s_IFPE_far_adj*s_CF_peas),".")</f>
        <v>17.083277990630673</v>
      </c>
      <c r="AU2" s="70">
        <f>IFERROR(s_DL/(s_RadSpec!$F2*s_IFPP_far_adj*s_CF_peppers),".")</f>
        <v>17.083277990630673</v>
      </c>
      <c r="AV2" s="70">
        <f>IFERROR(s_DL/(s_RadSpec!$F2*s_IFPT_far_adj*s_CF_potato),".")</f>
        <v>17.083277990630673</v>
      </c>
      <c r="AW2" s="70">
        <f>IFERROR(s_DL/(s_RadSpec!$F2*s_IFPU_far_adj*s_CF_pumpkin),".")</f>
        <v>17.083277990630673</v>
      </c>
      <c r="AX2" s="70">
        <f>IFERROR(s_DL/(s_RadSpec!$F2*s_IFSN_far_adj*s_CF_snap_bean),".")</f>
        <v>17.083277990630673</v>
      </c>
      <c r="AY2" s="70">
        <f>IFERROR(s_DL/(s_RadSpec!$F2*s_IFST_far_adj*s_CF_strawberry),".")</f>
        <v>17.083277990630673</v>
      </c>
      <c r="AZ2" s="70">
        <f>IFERROR(s_DL/(s_RadSpec!$F2*s_IFTO_far_adj*s_CF_tomato),".")</f>
        <v>17.083277990630673</v>
      </c>
      <c r="BA2" s="70">
        <f>IFERROR(s_DL/(s_RadSpec!$F2*s_IFRI_far_adj*s_CF_rice),".")</f>
        <v>17.083277990630673</v>
      </c>
      <c r="BB2" s="70">
        <f>IFERROR(s_DL/(s_RadSpec!$F2*s_IFCG_far_adj*s_CF_cereal),".")</f>
        <v>17.083277990630673</v>
      </c>
      <c r="BC2" s="87">
        <f>SUM(BD2,BU2,CA2:CB2)</f>
        <v>30250</v>
      </c>
      <c r="BD2" s="87">
        <f t="shared" ref="BD2:BD30" si="0">IFERROR(s_C*s_IFAP_far_adj*s_CF_apple,".")</f>
        <v>7562.5</v>
      </c>
      <c r="BE2" s="87">
        <f t="shared" ref="BE2:BE30" si="1">IFERROR(s_C*s_IFAS_far_adj*s_CF_asparagus,".")</f>
        <v>7562.5</v>
      </c>
      <c r="BF2" s="87">
        <f t="shared" ref="BF2:BF30" si="2">IFERROR(s_C*s_IFBT_far_adj*s_CF_beet,".")</f>
        <v>7562.5</v>
      </c>
      <c r="BG2" s="87">
        <f t="shared" ref="BG2:BG30" si="3">IFERROR(s_C*s_IFBR_far_adj*s_CF_berries,".")</f>
        <v>7562.5</v>
      </c>
      <c r="BH2" s="87">
        <f t="shared" ref="BH2:BH30" si="4">IFERROR(s_C*s_IFBR_far_adj*s_CF_broccoli,".")</f>
        <v>7562.5</v>
      </c>
      <c r="BI2" s="87">
        <f t="shared" ref="BI2:BI30" si="5">IFERROR(s_C*s_IFCB_far_adj*s_CF_cabbage,".")</f>
        <v>7562.5</v>
      </c>
      <c r="BJ2" s="87">
        <f t="shared" ref="BJ2:BJ30" si="6">IFERROR(s_C*s_IFCR_far_adj*s_CF_carrot,".")</f>
        <v>7562.5</v>
      </c>
      <c r="BK2" s="87">
        <f t="shared" ref="BK2:BK30" si="7">IFERROR(s_C*s_IFCI_far_adj*s_CF_citrus,".")</f>
        <v>7562.5</v>
      </c>
      <c r="BL2" s="87">
        <f t="shared" ref="BL2:BL30" si="8">IFERROR(s_C*s_IFCO_far_adj*s_CF_corn,".")</f>
        <v>7562.5</v>
      </c>
      <c r="BM2" s="87">
        <f t="shared" ref="BM2:BM30" si="9">IFERROR(s_C*s_IFCU_far_adj*s_CF_cucumber,".")</f>
        <v>7562.5</v>
      </c>
      <c r="BN2" s="87">
        <f t="shared" ref="BN2:BN30" si="10">IFERROR(s_C*s_IFLE_far_adj*s_CF_lettuce,".")</f>
        <v>7562.5</v>
      </c>
      <c r="BO2" s="87">
        <f t="shared" ref="BO2:BO30" si="11">IFERROR(s_C*s_IFLI_far_adj*s_CF_lima_bean,".")</f>
        <v>7562.5</v>
      </c>
      <c r="BP2" s="87">
        <f t="shared" ref="BP2:BP30" si="12">IFERROR(s_C*s_IFOK_far_adj*s_CF_okra,".")</f>
        <v>7562.5</v>
      </c>
      <c r="BQ2" s="87">
        <f t="shared" ref="BQ2:BQ30" si="13">IFERROR(s_C*s_IFON_far_adj*s_CF_onion,".")</f>
        <v>7562.5</v>
      </c>
      <c r="BR2" s="87">
        <f t="shared" ref="BR2:BR30" si="14">IFERROR(s_C*s_IFPC_far_adj*s_CF_peach,".")</f>
        <v>7562.5</v>
      </c>
      <c r="BS2" s="87">
        <f t="shared" ref="BS2:BS30" si="15">IFERROR(s_C*s_IFPR_far_adj*s_CF_pear,".")</f>
        <v>7562.5</v>
      </c>
      <c r="BT2" s="87">
        <f>IFERROR(s_C*s_IFPE_far_adj*s_CF_peas,".")</f>
        <v>7562.5</v>
      </c>
      <c r="BU2" s="87">
        <f t="shared" ref="BU2:BU30" si="16">IFERROR(s_C*s_IFPP_far_adj*s_CF_peppers,".")</f>
        <v>7562.5</v>
      </c>
      <c r="BV2" s="87">
        <f t="shared" ref="BV2:BV30" si="17">IFERROR(s_C*s_IFPT_far_adj*s_CF_potato,".")</f>
        <v>7562.5</v>
      </c>
      <c r="BW2" s="87">
        <f t="shared" ref="BW2:BW30" si="18">IFERROR(s_C*s_IFPU_far_adj*s_CF_pumpkin,".")</f>
        <v>7562.5</v>
      </c>
      <c r="BX2" s="87">
        <f t="shared" ref="BX2:BX30" si="19">IFERROR(s_C*s_IFSN_far_adj*s_CF_snap_bean,".")</f>
        <v>7562.5</v>
      </c>
      <c r="BY2" s="87">
        <f t="shared" ref="BY2:BY30" si="20">IFERROR(s_C*s_IFST_far_adj*s_CF_strawberry,".")</f>
        <v>7562.5</v>
      </c>
      <c r="BZ2" s="87">
        <f t="shared" ref="BZ2:BZ30" si="21">IFERROR(s_C*s_IFTO_far_adj*s_CF_tomato,".")</f>
        <v>7562.5</v>
      </c>
      <c r="CA2" s="87">
        <f t="shared" ref="CA2:CA30" si="22">IFERROR(s_C*s_IFRI_far_adj*s_CF_rice,".")</f>
        <v>7562.5</v>
      </c>
      <c r="CB2" s="87">
        <f t="shared" ref="CB2:CB30" si="23">IFERROR(s_C*s_IFCG_far_adj*s_CF_cereal,".")</f>
        <v>7562.5</v>
      </c>
    </row>
    <row r="3" spans="1:80" x14ac:dyDescent="0.25">
      <c r="A3" s="88" t="s">
        <v>1</v>
      </c>
      <c r="B3" s="84" t="s">
        <v>335</v>
      </c>
      <c r="C3" s="70">
        <f t="shared" ref="C3:C30" si="24">IFERROR(1/SUM(1/D3,1/U3,1/AA3,1/AB3),".")</f>
        <v>0.9385036123004038</v>
      </c>
      <c r="D3" s="70">
        <f>IFERROR(s_DL/(s_RadSpec!$F3*s_IFAP_res_adj*s_CF_apple),".")</f>
        <v>3.7540144492016148</v>
      </c>
      <c r="E3" s="70">
        <f>IFERROR(s_DL/(s_RadSpec!$F3*s_IFAS_res_adj*s_CF_asparagus),".")</f>
        <v>3.7540144492016148</v>
      </c>
      <c r="F3" s="70">
        <f>IFERROR(s_DL/(s_RadSpec!$F3*s_IFBT_res_adj*s_CF_beet),".")</f>
        <v>3.7540144492016148</v>
      </c>
      <c r="G3" s="70">
        <f>IFERROR(s_DL/(s_RadSpec!$F3*s_IFBE_res_adj*s_CF_berries),".")</f>
        <v>3.7540144492016148</v>
      </c>
      <c r="H3" s="70">
        <f>IFERROR(s_DL/(s_RadSpec!$F3*s_IFBR_res_adj*s_CF_broccoli),".")</f>
        <v>3.7540144492016148</v>
      </c>
      <c r="I3" s="70">
        <f>IFERROR(s_DL/(s_RadSpec!$F3*s_IFCB_res_adj*s_CF_cabbage),".")</f>
        <v>3.7540144492016148</v>
      </c>
      <c r="J3" s="70">
        <f>IFERROR(s_DL/(s_RadSpec!$F3*s_IFCR_res_adj*s_CF_carrot),".")</f>
        <v>3.7540144492016148</v>
      </c>
      <c r="K3" s="70">
        <f>IFERROR(s_DL/(s_RadSpec!$F3*s_IFCI_res_adj*s_CF_citrus),".")</f>
        <v>3.7540144492016148</v>
      </c>
      <c r="L3" s="70">
        <f>IFERROR(s_DL/(s_RadSpec!$F3*s_IFCO_res_adj*s_CF_corn),".")</f>
        <v>3.7540144492016148</v>
      </c>
      <c r="M3" s="70">
        <f>IFERROR(s_DL/(s_RadSpec!$F3*s_IFCU_res_adj*s_CF_cucumber),".")</f>
        <v>3.7540144492016148</v>
      </c>
      <c r="N3" s="70">
        <f>IFERROR(s_DL/(s_RadSpec!$F3*s_IFLE_res_adj*s_CF_lettuce),".")</f>
        <v>3.7540144492016148</v>
      </c>
      <c r="O3" s="70">
        <f>IFERROR(s_DL/(s_RadSpec!$F3*s_IFLI_res_adj*s_CF_lima_bean),".")</f>
        <v>3.7540144492016148</v>
      </c>
      <c r="P3" s="70">
        <f>IFERROR(s_DL/(s_RadSpec!$F3*s_IFOK_res_adj*s_CF_okra),".")</f>
        <v>3.7540144492016148</v>
      </c>
      <c r="Q3" s="70">
        <f>IFERROR(s_DL/(s_RadSpec!$F3*s_IFON_res_adj*s_CF_onion),".")</f>
        <v>3.7540144492016148</v>
      </c>
      <c r="R3" s="70">
        <f>IFERROR(s_DL/(s_RadSpec!$F3*s_IFPC_res_adj*s_CF_peach),".")</f>
        <v>3.7540144492016148</v>
      </c>
      <c r="S3" s="70">
        <f>IFERROR(s_DL/(s_RadSpec!$F3*s_IFPR_res_adj*s_CF_pear),".")</f>
        <v>3.7540144492016148</v>
      </c>
      <c r="T3" s="70">
        <f>IFERROR(s_DL/(s_RadSpec!$F3*s_IFPE_res_adj*s_CF_peas),".")</f>
        <v>3.7540144492016148</v>
      </c>
      <c r="U3" s="70">
        <f>IFERROR(s_DL/(s_RadSpec!$F3*s_IFPP_res_adj*s_CF_peppers),".")</f>
        <v>3.7540144492016148</v>
      </c>
      <c r="V3" s="70">
        <f>IFERROR(s_DL/(s_RadSpec!$F3*s_IFPT_res_adj*s_CF_potato),".")</f>
        <v>3.7540144492016148</v>
      </c>
      <c r="W3" s="70">
        <f>IFERROR(s_DL/(s_RadSpec!$F3*s_IFPU_res_adj*s_CF_pumpkin),".")</f>
        <v>3.7540144492016148</v>
      </c>
      <c r="X3" s="70">
        <f>IFERROR(s_DL/(s_RadSpec!$F3*s_IFSN_res_adj*s_CF_snap_bean),".")</f>
        <v>3.7540144492016148</v>
      </c>
      <c r="Y3" s="70">
        <f>IFERROR(s_DL/(s_RadSpec!$F3*s_IFST_res_adj*s_CF_strawberry),".")</f>
        <v>3.7540144492016148</v>
      </c>
      <c r="Z3" s="70">
        <f>IFERROR(s_DL/(s_RadSpec!$F3*s_IFTO_res_adj*s_CF_tomato),".")</f>
        <v>3.7540144492016148</v>
      </c>
      <c r="AA3" s="70">
        <f>IFERROR(s_DL/(s_RadSpec!$F3*s_IFRI_res_adj*s_CF_rice),".")</f>
        <v>3.7540144492016148</v>
      </c>
      <c r="AB3" s="70">
        <f>IFERROR(s_DL/(s_RadSpec!$F3*s_IFCG_res_adj*s_CF_cereal),".")</f>
        <v>3.7540144492016148</v>
      </c>
      <c r="AC3" s="70">
        <f t="shared" ref="AC3:AC30" si="25">IFERROR(1/SUM(1/AD3,1/AU3,1/BA3,1/BB3),".")</f>
        <v>0.9385036123004038</v>
      </c>
      <c r="AD3" s="70">
        <f>IFERROR(s_DL/(s_RadSpec!$F3*s_IFAP_far_adj*s_CF_apple),".")</f>
        <v>3.7540144492016148</v>
      </c>
      <c r="AE3" s="70">
        <f>IFERROR(s_DL/(s_RadSpec!$F3*s_IFAS_far_adj*s_CF_asparagus),".")</f>
        <v>3.7540144492016148</v>
      </c>
      <c r="AF3" s="70">
        <f>IFERROR(s_DL/(s_RadSpec!$F3*s_IFBT_far_adj*s_CF_beet),".")</f>
        <v>3.7540144492016148</v>
      </c>
      <c r="AG3" s="70">
        <f>IFERROR(s_DL/(s_RadSpec!$F3*s_IFBE_far_adj*s_CF_berries),".")</f>
        <v>3.7540144492016148</v>
      </c>
      <c r="AH3" s="70">
        <f>IFERROR(s_DL/(s_RadSpec!$F3*s_IFBR_far_adj*s_CF_broccoli),".")</f>
        <v>3.7540144492016148</v>
      </c>
      <c r="AI3" s="70">
        <f>IFERROR(s_DL/(s_RadSpec!$F3*s_IFCB_far_adj*s_CF_cabbage),".")</f>
        <v>3.7540144492016148</v>
      </c>
      <c r="AJ3" s="70">
        <f>IFERROR(s_DL/(s_RadSpec!$F3*s_IFCR_far_adj*s_CF_carrot),".")</f>
        <v>3.7540144492016148</v>
      </c>
      <c r="AK3" s="70">
        <f>IFERROR(s_DL/(s_RadSpec!$F3*s_IFCI_far_adj*s_CF_citrus),".")</f>
        <v>3.7540144492016148</v>
      </c>
      <c r="AL3" s="70">
        <f>IFERROR(s_DL/(s_RadSpec!$F3*s_IFCO_far_adj*s_CF_corn),".")</f>
        <v>3.7540144492016148</v>
      </c>
      <c r="AM3" s="70">
        <f>IFERROR(s_DL/(s_RadSpec!$F3*s_IFCU_far_adj*s_CF_cucumber),".")</f>
        <v>3.7540144492016148</v>
      </c>
      <c r="AN3" s="70">
        <f>IFERROR(s_DL/(s_RadSpec!$F3*s_IFLE_far_adj*s_CF_lettuce),".")</f>
        <v>3.7540144492016148</v>
      </c>
      <c r="AO3" s="70">
        <f>IFERROR(s_DL/(s_RadSpec!$F3*s_IFLI_far_adj*s_CF_lima_bean),".")</f>
        <v>3.7540144492016148</v>
      </c>
      <c r="AP3" s="70">
        <f>IFERROR(s_DL/(s_RadSpec!$F3*s_IFOK_far_adj*s_CF_okra),".")</f>
        <v>3.7540144492016148</v>
      </c>
      <c r="AQ3" s="70">
        <f>IFERROR(s_DL/(s_RadSpec!$F3*s_IFON_far_adj*s_CF_onion),".")</f>
        <v>3.7540144492016148</v>
      </c>
      <c r="AR3" s="70">
        <f>IFERROR(s_DL/(s_RadSpec!$F3*s_IFPC_far_adj*s_CF_peach),".")</f>
        <v>3.7540144492016148</v>
      </c>
      <c r="AS3" s="70">
        <f>IFERROR(s_DL/(s_RadSpec!$F3*s_IFPR_far_adj*s_CF_pear),".")</f>
        <v>3.7540144492016148</v>
      </c>
      <c r="AT3" s="70">
        <f>IFERROR(s_DL/(s_RadSpec!$F3*s_IFPE_far_adj*s_CF_peas),".")</f>
        <v>3.7540144492016148</v>
      </c>
      <c r="AU3" s="70">
        <f>IFERROR(s_DL/(s_RadSpec!$F3*s_IFPP_far_adj*s_CF_peppers),".")</f>
        <v>3.7540144492016148</v>
      </c>
      <c r="AV3" s="70">
        <f>IFERROR(s_DL/(s_RadSpec!$F3*s_IFPT_far_adj*s_CF_potato),".")</f>
        <v>3.7540144492016148</v>
      </c>
      <c r="AW3" s="70">
        <f>IFERROR(s_DL/(s_RadSpec!$F3*s_IFPU_far_adj*s_CF_pumpkin),".")</f>
        <v>3.7540144492016148</v>
      </c>
      <c r="AX3" s="70">
        <f>IFERROR(s_DL/(s_RadSpec!$F3*s_IFSN_far_adj*s_CF_snap_bean),".")</f>
        <v>3.7540144492016148</v>
      </c>
      <c r="AY3" s="70">
        <f>IFERROR(s_DL/(s_RadSpec!$F3*s_IFST_far_adj*s_CF_strawberry),".")</f>
        <v>3.7540144492016148</v>
      </c>
      <c r="AZ3" s="70">
        <f>IFERROR(s_DL/(s_RadSpec!$F3*s_IFTO_far_adj*s_CF_tomato),".")</f>
        <v>3.7540144492016148</v>
      </c>
      <c r="BA3" s="70">
        <f>IFERROR(s_DL/(s_RadSpec!$F3*s_IFRI_far_adj*s_CF_rice),".")</f>
        <v>3.7540144492016148</v>
      </c>
      <c r="BB3" s="70">
        <f>IFERROR(s_DL/(s_RadSpec!$F3*s_IFCG_far_adj*s_CF_cereal),".")</f>
        <v>3.7540144492016148</v>
      </c>
      <c r="BC3" s="87">
        <f t="shared" ref="BC3:BC30" si="26">SUM(BD3,BU3,CA3:CB3)</f>
        <v>30250</v>
      </c>
      <c r="BD3" s="87">
        <f t="shared" si="0"/>
        <v>7562.5</v>
      </c>
      <c r="BE3" s="87">
        <f t="shared" si="1"/>
        <v>7562.5</v>
      </c>
      <c r="BF3" s="87">
        <f t="shared" si="2"/>
        <v>7562.5</v>
      </c>
      <c r="BG3" s="87">
        <f t="shared" si="3"/>
        <v>7562.5</v>
      </c>
      <c r="BH3" s="87">
        <f t="shared" si="4"/>
        <v>7562.5</v>
      </c>
      <c r="BI3" s="87">
        <f t="shared" si="5"/>
        <v>7562.5</v>
      </c>
      <c r="BJ3" s="87">
        <f t="shared" si="6"/>
        <v>7562.5</v>
      </c>
      <c r="BK3" s="87">
        <f t="shared" si="7"/>
        <v>7562.5</v>
      </c>
      <c r="BL3" s="87">
        <f t="shared" si="8"/>
        <v>7562.5</v>
      </c>
      <c r="BM3" s="87">
        <f t="shared" si="9"/>
        <v>7562.5</v>
      </c>
      <c r="BN3" s="87">
        <f t="shared" si="10"/>
        <v>7562.5</v>
      </c>
      <c r="BO3" s="87">
        <f t="shared" si="11"/>
        <v>7562.5</v>
      </c>
      <c r="BP3" s="87">
        <f t="shared" si="12"/>
        <v>7562.5</v>
      </c>
      <c r="BQ3" s="87">
        <f t="shared" si="13"/>
        <v>7562.5</v>
      </c>
      <c r="BR3" s="87">
        <f t="shared" si="14"/>
        <v>7562.5</v>
      </c>
      <c r="BS3" s="87">
        <f t="shared" si="15"/>
        <v>7562.5</v>
      </c>
      <c r="BT3" s="87">
        <f t="shared" ref="BT3:BT30" si="27">IFERROR(s_C*s_IFPE_far_adj*s_CF_peas,".")</f>
        <v>7562.5</v>
      </c>
      <c r="BU3" s="87">
        <f t="shared" si="16"/>
        <v>7562.5</v>
      </c>
      <c r="BV3" s="87">
        <f t="shared" si="17"/>
        <v>7562.5</v>
      </c>
      <c r="BW3" s="87">
        <f t="shared" si="18"/>
        <v>7562.5</v>
      </c>
      <c r="BX3" s="87">
        <f t="shared" si="19"/>
        <v>7562.5</v>
      </c>
      <c r="BY3" s="87">
        <f t="shared" si="20"/>
        <v>7562.5</v>
      </c>
      <c r="BZ3" s="87">
        <f t="shared" si="21"/>
        <v>7562.5</v>
      </c>
      <c r="CA3" s="87">
        <f t="shared" si="22"/>
        <v>7562.5</v>
      </c>
      <c r="CB3" s="87">
        <f t="shared" si="23"/>
        <v>7562.5</v>
      </c>
    </row>
    <row r="4" spans="1:80" x14ac:dyDescent="0.25">
      <c r="A4" s="86" t="s">
        <v>2</v>
      </c>
      <c r="B4" s="84" t="s">
        <v>1057</v>
      </c>
      <c r="C4" s="70" t="str">
        <f t="shared" si="24"/>
        <v>.</v>
      </c>
      <c r="D4" s="70" t="str">
        <f>IFERROR(s_DL/(s_RadSpec!$F4*s_IFAP_res_adj*s_CF_apple),".")</f>
        <v>.</v>
      </c>
      <c r="E4" s="70" t="str">
        <f>IFERROR(s_DL/(s_RadSpec!$F4*s_IFAS_res_adj*s_CF_asparagus),".")</f>
        <v>.</v>
      </c>
      <c r="F4" s="70" t="str">
        <f>IFERROR(s_DL/(s_RadSpec!$F4*s_IFBT_res_adj*s_CF_beet),".")</f>
        <v>.</v>
      </c>
      <c r="G4" s="70" t="str">
        <f>IFERROR(s_DL/(s_RadSpec!$F4*s_IFBE_res_adj*s_CF_berries),".")</f>
        <v>.</v>
      </c>
      <c r="H4" s="70" t="str">
        <f>IFERROR(s_DL/(s_RadSpec!$F4*s_IFBR_res_adj*s_CF_broccoli),".")</f>
        <v>.</v>
      </c>
      <c r="I4" s="70" t="str">
        <f>IFERROR(s_DL/(s_RadSpec!$F4*s_IFCB_res_adj*s_CF_cabbage),".")</f>
        <v>.</v>
      </c>
      <c r="J4" s="70" t="str">
        <f>IFERROR(s_DL/(s_RadSpec!$F4*s_IFCR_res_adj*s_CF_carrot),".")</f>
        <v>.</v>
      </c>
      <c r="K4" s="70" t="str">
        <f>IFERROR(s_DL/(s_RadSpec!$F4*s_IFCI_res_adj*s_CF_citrus),".")</f>
        <v>.</v>
      </c>
      <c r="L4" s="70" t="str">
        <f>IFERROR(s_DL/(s_RadSpec!$F4*s_IFCO_res_adj*s_CF_corn),".")</f>
        <v>.</v>
      </c>
      <c r="M4" s="70" t="str">
        <f>IFERROR(s_DL/(s_RadSpec!$F4*s_IFCU_res_adj*s_CF_cucumber),".")</f>
        <v>.</v>
      </c>
      <c r="N4" s="70" t="str">
        <f>IFERROR(s_DL/(s_RadSpec!$F4*s_IFLE_res_adj*s_CF_lettuce),".")</f>
        <v>.</v>
      </c>
      <c r="O4" s="70" t="str">
        <f>IFERROR(s_DL/(s_RadSpec!$F4*s_IFLI_res_adj*s_CF_lima_bean),".")</f>
        <v>.</v>
      </c>
      <c r="P4" s="70" t="str">
        <f>IFERROR(s_DL/(s_RadSpec!$F4*s_IFOK_res_adj*s_CF_okra),".")</f>
        <v>.</v>
      </c>
      <c r="Q4" s="70" t="str">
        <f>IFERROR(s_DL/(s_RadSpec!$F4*s_IFON_res_adj*s_CF_onion),".")</f>
        <v>.</v>
      </c>
      <c r="R4" s="70" t="str">
        <f>IFERROR(s_DL/(s_RadSpec!$F4*s_IFPC_res_adj*s_CF_peach),".")</f>
        <v>.</v>
      </c>
      <c r="S4" s="70" t="str">
        <f>IFERROR(s_DL/(s_RadSpec!$F4*s_IFPR_res_adj*s_CF_pear),".")</f>
        <v>.</v>
      </c>
      <c r="T4" s="70" t="str">
        <f>IFERROR(s_DL/(s_RadSpec!$F4*s_IFPE_res_adj*s_CF_peas),".")</f>
        <v>.</v>
      </c>
      <c r="U4" s="70" t="str">
        <f>IFERROR(s_DL/(s_RadSpec!$F4*s_IFPP_res_adj*s_CF_peppers),".")</f>
        <v>.</v>
      </c>
      <c r="V4" s="70" t="str">
        <f>IFERROR(s_DL/(s_RadSpec!$F4*s_IFPT_res_adj*s_CF_potato),".")</f>
        <v>.</v>
      </c>
      <c r="W4" s="70" t="str">
        <f>IFERROR(s_DL/(s_RadSpec!$F4*s_IFPU_res_adj*s_CF_pumpkin),".")</f>
        <v>.</v>
      </c>
      <c r="X4" s="70" t="str">
        <f>IFERROR(s_DL/(s_RadSpec!$F4*s_IFSN_res_adj*s_CF_snap_bean),".")</f>
        <v>.</v>
      </c>
      <c r="Y4" s="70" t="str">
        <f>IFERROR(s_DL/(s_RadSpec!$F4*s_IFST_res_adj*s_CF_strawberry),".")</f>
        <v>.</v>
      </c>
      <c r="Z4" s="70" t="str">
        <f>IFERROR(s_DL/(s_RadSpec!$F4*s_IFTO_res_adj*s_CF_tomato),".")</f>
        <v>.</v>
      </c>
      <c r="AA4" s="70" t="str">
        <f>IFERROR(s_DL/(s_RadSpec!$F4*s_IFRI_res_adj*s_CF_rice),".")</f>
        <v>.</v>
      </c>
      <c r="AB4" s="70" t="str">
        <f>IFERROR(s_DL/(s_RadSpec!$F4*s_IFCG_res_adj*s_CF_cereal),".")</f>
        <v>.</v>
      </c>
      <c r="AC4" s="70" t="str">
        <f t="shared" si="25"/>
        <v>.</v>
      </c>
      <c r="AD4" s="70" t="str">
        <f>IFERROR(s_DL/(s_RadSpec!$F4*s_IFAP_far_adj*s_CF_apple),".")</f>
        <v>.</v>
      </c>
      <c r="AE4" s="70" t="str">
        <f>IFERROR(s_DL/(s_RadSpec!$F4*s_IFAS_far_adj*s_CF_asparagus),".")</f>
        <v>.</v>
      </c>
      <c r="AF4" s="70" t="str">
        <f>IFERROR(s_DL/(s_RadSpec!$F4*s_IFBT_far_adj*s_CF_beet),".")</f>
        <v>.</v>
      </c>
      <c r="AG4" s="70" t="str">
        <f>IFERROR(s_DL/(s_RadSpec!$F4*s_IFBE_far_adj*s_CF_berries),".")</f>
        <v>.</v>
      </c>
      <c r="AH4" s="70" t="str">
        <f>IFERROR(s_DL/(s_RadSpec!$F4*s_IFBR_far_adj*s_CF_broccoli),".")</f>
        <v>.</v>
      </c>
      <c r="AI4" s="70" t="str">
        <f>IFERROR(s_DL/(s_RadSpec!$F4*s_IFCB_far_adj*s_CF_cabbage),".")</f>
        <v>.</v>
      </c>
      <c r="AJ4" s="70" t="str">
        <f>IFERROR(s_DL/(s_RadSpec!$F4*s_IFCR_far_adj*s_CF_carrot),".")</f>
        <v>.</v>
      </c>
      <c r="AK4" s="70" t="str">
        <f>IFERROR(s_DL/(s_RadSpec!$F4*s_IFCI_far_adj*s_CF_citrus),".")</f>
        <v>.</v>
      </c>
      <c r="AL4" s="70" t="str">
        <f>IFERROR(s_DL/(s_RadSpec!$F4*s_IFCO_far_adj*s_CF_corn),".")</f>
        <v>.</v>
      </c>
      <c r="AM4" s="70" t="str">
        <f>IFERROR(s_DL/(s_RadSpec!$F4*s_IFCU_far_adj*s_CF_cucumber),".")</f>
        <v>.</v>
      </c>
      <c r="AN4" s="70" t="str">
        <f>IFERROR(s_DL/(s_RadSpec!$F4*s_IFLE_far_adj*s_CF_lettuce),".")</f>
        <v>.</v>
      </c>
      <c r="AO4" s="70" t="str">
        <f>IFERROR(s_DL/(s_RadSpec!$F4*s_IFLI_far_adj*s_CF_lima_bean),".")</f>
        <v>.</v>
      </c>
      <c r="AP4" s="70" t="str">
        <f>IFERROR(s_DL/(s_RadSpec!$F4*s_IFOK_far_adj*s_CF_okra),".")</f>
        <v>.</v>
      </c>
      <c r="AQ4" s="70" t="str">
        <f>IFERROR(s_DL/(s_RadSpec!$F4*s_IFON_far_adj*s_CF_onion),".")</f>
        <v>.</v>
      </c>
      <c r="AR4" s="70" t="str">
        <f>IFERROR(s_DL/(s_RadSpec!$F4*s_IFPC_far_adj*s_CF_peach),".")</f>
        <v>.</v>
      </c>
      <c r="AS4" s="70" t="str">
        <f>IFERROR(s_DL/(s_RadSpec!$F4*s_IFPR_far_adj*s_CF_pear),".")</f>
        <v>.</v>
      </c>
      <c r="AT4" s="70" t="str">
        <f>IFERROR(s_DL/(s_RadSpec!$F4*s_IFPE_far_adj*s_CF_peas),".")</f>
        <v>.</v>
      </c>
      <c r="AU4" s="70" t="str">
        <f>IFERROR(s_DL/(s_RadSpec!$F4*s_IFPP_far_adj*s_CF_peppers),".")</f>
        <v>.</v>
      </c>
      <c r="AV4" s="70" t="str">
        <f>IFERROR(s_DL/(s_RadSpec!$F4*s_IFPT_far_adj*s_CF_potato),".")</f>
        <v>.</v>
      </c>
      <c r="AW4" s="70" t="str">
        <f>IFERROR(s_DL/(s_RadSpec!$F4*s_IFPU_far_adj*s_CF_pumpkin),".")</f>
        <v>.</v>
      </c>
      <c r="AX4" s="70" t="str">
        <f>IFERROR(s_DL/(s_RadSpec!$F4*s_IFSN_far_adj*s_CF_snap_bean),".")</f>
        <v>.</v>
      </c>
      <c r="AY4" s="70" t="str">
        <f>IFERROR(s_DL/(s_RadSpec!$F4*s_IFST_far_adj*s_CF_strawberry),".")</f>
        <v>.</v>
      </c>
      <c r="AZ4" s="70" t="str">
        <f>IFERROR(s_DL/(s_RadSpec!$F4*s_IFTO_far_adj*s_CF_tomato),".")</f>
        <v>.</v>
      </c>
      <c r="BA4" s="70" t="str">
        <f>IFERROR(s_DL/(s_RadSpec!$F4*s_IFRI_far_adj*s_CF_rice),".")</f>
        <v>.</v>
      </c>
      <c r="BB4" s="70" t="str">
        <f>IFERROR(s_DL/(s_RadSpec!$F4*s_IFCG_far_adj*s_CF_cereal),".")</f>
        <v>.</v>
      </c>
      <c r="BC4" s="87">
        <f t="shared" si="26"/>
        <v>30250</v>
      </c>
      <c r="BD4" s="87">
        <f t="shared" si="0"/>
        <v>7562.5</v>
      </c>
      <c r="BE4" s="87">
        <f t="shared" si="1"/>
        <v>7562.5</v>
      </c>
      <c r="BF4" s="87">
        <f t="shared" si="2"/>
        <v>7562.5</v>
      </c>
      <c r="BG4" s="87">
        <f t="shared" si="3"/>
        <v>7562.5</v>
      </c>
      <c r="BH4" s="87">
        <f t="shared" si="4"/>
        <v>7562.5</v>
      </c>
      <c r="BI4" s="87">
        <f t="shared" si="5"/>
        <v>7562.5</v>
      </c>
      <c r="BJ4" s="87">
        <f t="shared" si="6"/>
        <v>7562.5</v>
      </c>
      <c r="BK4" s="87">
        <f t="shared" si="7"/>
        <v>7562.5</v>
      </c>
      <c r="BL4" s="87">
        <f t="shared" si="8"/>
        <v>7562.5</v>
      </c>
      <c r="BM4" s="87">
        <f t="shared" si="9"/>
        <v>7562.5</v>
      </c>
      <c r="BN4" s="87">
        <f t="shared" si="10"/>
        <v>7562.5</v>
      </c>
      <c r="BO4" s="87">
        <f t="shared" si="11"/>
        <v>7562.5</v>
      </c>
      <c r="BP4" s="87">
        <f t="shared" si="12"/>
        <v>7562.5</v>
      </c>
      <c r="BQ4" s="87">
        <f t="shared" si="13"/>
        <v>7562.5</v>
      </c>
      <c r="BR4" s="87">
        <f t="shared" si="14"/>
        <v>7562.5</v>
      </c>
      <c r="BS4" s="87">
        <f t="shared" si="15"/>
        <v>7562.5</v>
      </c>
      <c r="BT4" s="87">
        <f t="shared" si="27"/>
        <v>7562.5</v>
      </c>
      <c r="BU4" s="87">
        <f t="shared" si="16"/>
        <v>7562.5</v>
      </c>
      <c r="BV4" s="87">
        <f t="shared" si="17"/>
        <v>7562.5</v>
      </c>
      <c r="BW4" s="87">
        <f t="shared" si="18"/>
        <v>7562.5</v>
      </c>
      <c r="BX4" s="87">
        <f t="shared" si="19"/>
        <v>7562.5</v>
      </c>
      <c r="BY4" s="87">
        <f t="shared" si="20"/>
        <v>7562.5</v>
      </c>
      <c r="BZ4" s="87">
        <f t="shared" si="21"/>
        <v>7562.5</v>
      </c>
      <c r="CA4" s="87">
        <f t="shared" si="22"/>
        <v>7562.5</v>
      </c>
      <c r="CB4" s="87">
        <f t="shared" si="23"/>
        <v>7562.5</v>
      </c>
    </row>
    <row r="5" spans="1:80" x14ac:dyDescent="0.25">
      <c r="A5" s="86" t="s">
        <v>3</v>
      </c>
      <c r="B5" s="84" t="s">
        <v>1057</v>
      </c>
      <c r="C5" s="70" t="str">
        <f t="shared" si="24"/>
        <v>.</v>
      </c>
      <c r="D5" s="70" t="str">
        <f>IFERROR(s_DL/(s_RadSpec!$F5*s_IFAP_res_adj*s_CF_apple),".")</f>
        <v>.</v>
      </c>
      <c r="E5" s="70" t="str">
        <f>IFERROR(s_DL/(s_RadSpec!$F5*s_IFAS_res_adj*s_CF_asparagus),".")</f>
        <v>.</v>
      </c>
      <c r="F5" s="70" t="str">
        <f>IFERROR(s_DL/(s_RadSpec!$F5*s_IFBT_res_adj*s_CF_beet),".")</f>
        <v>.</v>
      </c>
      <c r="G5" s="70" t="str">
        <f>IFERROR(s_DL/(s_RadSpec!$F5*s_IFBE_res_adj*s_CF_berries),".")</f>
        <v>.</v>
      </c>
      <c r="H5" s="70" t="str">
        <f>IFERROR(s_DL/(s_RadSpec!$F5*s_IFBR_res_adj*s_CF_broccoli),".")</f>
        <v>.</v>
      </c>
      <c r="I5" s="70" t="str">
        <f>IFERROR(s_DL/(s_RadSpec!$F5*s_IFCB_res_adj*s_CF_cabbage),".")</f>
        <v>.</v>
      </c>
      <c r="J5" s="70" t="str">
        <f>IFERROR(s_DL/(s_RadSpec!$F5*s_IFCR_res_adj*s_CF_carrot),".")</f>
        <v>.</v>
      </c>
      <c r="K5" s="70" t="str">
        <f>IFERROR(s_DL/(s_RadSpec!$F5*s_IFCI_res_adj*s_CF_citrus),".")</f>
        <v>.</v>
      </c>
      <c r="L5" s="70" t="str">
        <f>IFERROR(s_DL/(s_RadSpec!$F5*s_IFCO_res_adj*s_CF_corn),".")</f>
        <v>.</v>
      </c>
      <c r="M5" s="70" t="str">
        <f>IFERROR(s_DL/(s_RadSpec!$F5*s_IFCU_res_adj*s_CF_cucumber),".")</f>
        <v>.</v>
      </c>
      <c r="N5" s="70" t="str">
        <f>IFERROR(s_DL/(s_RadSpec!$F5*s_IFLE_res_adj*s_CF_lettuce),".")</f>
        <v>.</v>
      </c>
      <c r="O5" s="70" t="str">
        <f>IFERROR(s_DL/(s_RadSpec!$F5*s_IFLI_res_adj*s_CF_lima_bean),".")</f>
        <v>.</v>
      </c>
      <c r="P5" s="70" t="str">
        <f>IFERROR(s_DL/(s_RadSpec!$F5*s_IFOK_res_adj*s_CF_okra),".")</f>
        <v>.</v>
      </c>
      <c r="Q5" s="70" t="str">
        <f>IFERROR(s_DL/(s_RadSpec!$F5*s_IFON_res_adj*s_CF_onion),".")</f>
        <v>.</v>
      </c>
      <c r="R5" s="70" t="str">
        <f>IFERROR(s_DL/(s_RadSpec!$F5*s_IFPC_res_adj*s_CF_peach),".")</f>
        <v>.</v>
      </c>
      <c r="S5" s="70" t="str">
        <f>IFERROR(s_DL/(s_RadSpec!$F5*s_IFPR_res_adj*s_CF_pear),".")</f>
        <v>.</v>
      </c>
      <c r="T5" s="70" t="str">
        <f>IFERROR(s_DL/(s_RadSpec!$F5*s_IFPE_res_adj*s_CF_peas),".")</f>
        <v>.</v>
      </c>
      <c r="U5" s="70" t="str">
        <f>IFERROR(s_DL/(s_RadSpec!$F5*s_IFPP_res_adj*s_CF_peppers),".")</f>
        <v>.</v>
      </c>
      <c r="V5" s="70" t="str">
        <f>IFERROR(s_DL/(s_RadSpec!$F5*s_IFPT_res_adj*s_CF_potato),".")</f>
        <v>.</v>
      </c>
      <c r="W5" s="70" t="str">
        <f>IFERROR(s_DL/(s_RadSpec!$F5*s_IFPU_res_adj*s_CF_pumpkin),".")</f>
        <v>.</v>
      </c>
      <c r="X5" s="70" t="str">
        <f>IFERROR(s_DL/(s_RadSpec!$F5*s_IFSN_res_adj*s_CF_snap_bean),".")</f>
        <v>.</v>
      </c>
      <c r="Y5" s="70" t="str">
        <f>IFERROR(s_DL/(s_RadSpec!$F5*s_IFST_res_adj*s_CF_strawberry),".")</f>
        <v>.</v>
      </c>
      <c r="Z5" s="70" t="str">
        <f>IFERROR(s_DL/(s_RadSpec!$F5*s_IFTO_res_adj*s_CF_tomato),".")</f>
        <v>.</v>
      </c>
      <c r="AA5" s="70" t="str">
        <f>IFERROR(s_DL/(s_RadSpec!$F5*s_IFRI_res_adj*s_CF_rice),".")</f>
        <v>.</v>
      </c>
      <c r="AB5" s="70" t="str">
        <f>IFERROR(s_DL/(s_RadSpec!$F5*s_IFCG_res_adj*s_CF_cereal),".")</f>
        <v>.</v>
      </c>
      <c r="AC5" s="70" t="str">
        <f t="shared" si="25"/>
        <v>.</v>
      </c>
      <c r="AD5" s="70" t="str">
        <f>IFERROR(s_DL/(s_RadSpec!$F5*s_IFAP_far_adj*s_CF_apple),".")</f>
        <v>.</v>
      </c>
      <c r="AE5" s="70" t="str">
        <f>IFERROR(s_DL/(s_RadSpec!$F5*s_IFAS_far_adj*s_CF_asparagus),".")</f>
        <v>.</v>
      </c>
      <c r="AF5" s="70" t="str">
        <f>IFERROR(s_DL/(s_RadSpec!$F5*s_IFBT_far_adj*s_CF_beet),".")</f>
        <v>.</v>
      </c>
      <c r="AG5" s="70" t="str">
        <f>IFERROR(s_DL/(s_RadSpec!$F5*s_IFBE_far_adj*s_CF_berries),".")</f>
        <v>.</v>
      </c>
      <c r="AH5" s="70" t="str">
        <f>IFERROR(s_DL/(s_RadSpec!$F5*s_IFBR_far_adj*s_CF_broccoli),".")</f>
        <v>.</v>
      </c>
      <c r="AI5" s="70" t="str">
        <f>IFERROR(s_DL/(s_RadSpec!$F5*s_IFCB_far_adj*s_CF_cabbage),".")</f>
        <v>.</v>
      </c>
      <c r="AJ5" s="70" t="str">
        <f>IFERROR(s_DL/(s_RadSpec!$F5*s_IFCR_far_adj*s_CF_carrot),".")</f>
        <v>.</v>
      </c>
      <c r="AK5" s="70" t="str">
        <f>IFERROR(s_DL/(s_RadSpec!$F5*s_IFCI_far_adj*s_CF_citrus),".")</f>
        <v>.</v>
      </c>
      <c r="AL5" s="70" t="str">
        <f>IFERROR(s_DL/(s_RadSpec!$F5*s_IFCO_far_adj*s_CF_corn),".")</f>
        <v>.</v>
      </c>
      <c r="AM5" s="70" t="str">
        <f>IFERROR(s_DL/(s_RadSpec!$F5*s_IFCU_far_adj*s_CF_cucumber),".")</f>
        <v>.</v>
      </c>
      <c r="AN5" s="70" t="str">
        <f>IFERROR(s_DL/(s_RadSpec!$F5*s_IFLE_far_adj*s_CF_lettuce),".")</f>
        <v>.</v>
      </c>
      <c r="AO5" s="70" t="str">
        <f>IFERROR(s_DL/(s_RadSpec!$F5*s_IFLI_far_adj*s_CF_lima_bean),".")</f>
        <v>.</v>
      </c>
      <c r="AP5" s="70" t="str">
        <f>IFERROR(s_DL/(s_RadSpec!$F5*s_IFOK_far_adj*s_CF_okra),".")</f>
        <v>.</v>
      </c>
      <c r="AQ5" s="70" t="str">
        <f>IFERROR(s_DL/(s_RadSpec!$F5*s_IFON_far_adj*s_CF_onion),".")</f>
        <v>.</v>
      </c>
      <c r="AR5" s="70" t="str">
        <f>IFERROR(s_DL/(s_RadSpec!$F5*s_IFPC_far_adj*s_CF_peach),".")</f>
        <v>.</v>
      </c>
      <c r="AS5" s="70" t="str">
        <f>IFERROR(s_DL/(s_RadSpec!$F5*s_IFPR_far_adj*s_CF_pear),".")</f>
        <v>.</v>
      </c>
      <c r="AT5" s="70" t="str">
        <f>IFERROR(s_DL/(s_RadSpec!$F5*s_IFPE_far_adj*s_CF_peas),".")</f>
        <v>.</v>
      </c>
      <c r="AU5" s="70" t="str">
        <f>IFERROR(s_DL/(s_RadSpec!$F5*s_IFPP_far_adj*s_CF_peppers),".")</f>
        <v>.</v>
      </c>
      <c r="AV5" s="70" t="str">
        <f>IFERROR(s_DL/(s_RadSpec!$F5*s_IFPT_far_adj*s_CF_potato),".")</f>
        <v>.</v>
      </c>
      <c r="AW5" s="70" t="str">
        <f>IFERROR(s_DL/(s_RadSpec!$F5*s_IFPU_far_adj*s_CF_pumpkin),".")</f>
        <v>.</v>
      </c>
      <c r="AX5" s="70" t="str">
        <f>IFERROR(s_DL/(s_RadSpec!$F5*s_IFSN_far_adj*s_CF_snap_bean),".")</f>
        <v>.</v>
      </c>
      <c r="AY5" s="70" t="str">
        <f>IFERROR(s_DL/(s_RadSpec!$F5*s_IFST_far_adj*s_CF_strawberry),".")</f>
        <v>.</v>
      </c>
      <c r="AZ5" s="70" t="str">
        <f>IFERROR(s_DL/(s_RadSpec!$F5*s_IFTO_far_adj*s_CF_tomato),".")</f>
        <v>.</v>
      </c>
      <c r="BA5" s="70" t="str">
        <f>IFERROR(s_DL/(s_RadSpec!$F5*s_IFRI_far_adj*s_CF_rice),".")</f>
        <v>.</v>
      </c>
      <c r="BB5" s="70" t="str">
        <f>IFERROR(s_DL/(s_RadSpec!$F5*s_IFCG_far_adj*s_CF_cereal),".")</f>
        <v>.</v>
      </c>
      <c r="BC5" s="87">
        <f t="shared" si="26"/>
        <v>30250</v>
      </c>
      <c r="BD5" s="87">
        <f t="shared" si="0"/>
        <v>7562.5</v>
      </c>
      <c r="BE5" s="87">
        <f t="shared" si="1"/>
        <v>7562.5</v>
      </c>
      <c r="BF5" s="87">
        <f t="shared" si="2"/>
        <v>7562.5</v>
      </c>
      <c r="BG5" s="87">
        <f t="shared" si="3"/>
        <v>7562.5</v>
      </c>
      <c r="BH5" s="87">
        <f t="shared" si="4"/>
        <v>7562.5</v>
      </c>
      <c r="BI5" s="87">
        <f t="shared" si="5"/>
        <v>7562.5</v>
      </c>
      <c r="BJ5" s="87">
        <f t="shared" si="6"/>
        <v>7562.5</v>
      </c>
      <c r="BK5" s="87">
        <f t="shared" si="7"/>
        <v>7562.5</v>
      </c>
      <c r="BL5" s="87">
        <f t="shared" si="8"/>
        <v>7562.5</v>
      </c>
      <c r="BM5" s="87">
        <f t="shared" si="9"/>
        <v>7562.5</v>
      </c>
      <c r="BN5" s="87">
        <f t="shared" si="10"/>
        <v>7562.5</v>
      </c>
      <c r="BO5" s="87">
        <f t="shared" si="11"/>
        <v>7562.5</v>
      </c>
      <c r="BP5" s="87">
        <f t="shared" si="12"/>
        <v>7562.5</v>
      </c>
      <c r="BQ5" s="87">
        <f t="shared" si="13"/>
        <v>7562.5</v>
      </c>
      <c r="BR5" s="87">
        <f t="shared" si="14"/>
        <v>7562.5</v>
      </c>
      <c r="BS5" s="87">
        <f t="shared" si="15"/>
        <v>7562.5</v>
      </c>
      <c r="BT5" s="87">
        <f t="shared" si="27"/>
        <v>7562.5</v>
      </c>
      <c r="BU5" s="87">
        <f t="shared" si="16"/>
        <v>7562.5</v>
      </c>
      <c r="BV5" s="87">
        <f t="shared" si="17"/>
        <v>7562.5</v>
      </c>
      <c r="BW5" s="87">
        <f t="shared" si="18"/>
        <v>7562.5</v>
      </c>
      <c r="BX5" s="87">
        <f t="shared" si="19"/>
        <v>7562.5</v>
      </c>
      <c r="BY5" s="87">
        <f t="shared" si="20"/>
        <v>7562.5</v>
      </c>
      <c r="BZ5" s="87">
        <f t="shared" si="21"/>
        <v>7562.5</v>
      </c>
      <c r="CA5" s="87">
        <f t="shared" si="22"/>
        <v>7562.5</v>
      </c>
      <c r="CB5" s="87">
        <f t="shared" si="23"/>
        <v>7562.5</v>
      </c>
    </row>
    <row r="6" spans="1:80" x14ac:dyDescent="0.25">
      <c r="A6" s="86" t="s">
        <v>4</v>
      </c>
      <c r="B6" s="84" t="s">
        <v>1057</v>
      </c>
      <c r="C6" s="70" t="str">
        <f t="shared" si="24"/>
        <v>.</v>
      </c>
      <c r="D6" s="70" t="str">
        <f>IFERROR(s_DL/(s_RadSpec!$F6*s_IFAP_res_adj*s_CF_apple),".")</f>
        <v>.</v>
      </c>
      <c r="E6" s="70" t="str">
        <f>IFERROR(s_DL/(s_RadSpec!$F6*s_IFAS_res_adj*s_CF_asparagus),".")</f>
        <v>.</v>
      </c>
      <c r="F6" s="70" t="str">
        <f>IFERROR(s_DL/(s_RadSpec!$F6*s_IFBT_res_adj*s_CF_beet),".")</f>
        <v>.</v>
      </c>
      <c r="G6" s="70" t="str">
        <f>IFERROR(s_DL/(s_RadSpec!$F6*s_IFBE_res_adj*s_CF_berries),".")</f>
        <v>.</v>
      </c>
      <c r="H6" s="70" t="str">
        <f>IFERROR(s_DL/(s_RadSpec!$F6*s_IFBR_res_adj*s_CF_broccoli),".")</f>
        <v>.</v>
      </c>
      <c r="I6" s="70" t="str">
        <f>IFERROR(s_DL/(s_RadSpec!$F6*s_IFCB_res_adj*s_CF_cabbage),".")</f>
        <v>.</v>
      </c>
      <c r="J6" s="70" t="str">
        <f>IFERROR(s_DL/(s_RadSpec!$F6*s_IFCR_res_adj*s_CF_carrot),".")</f>
        <v>.</v>
      </c>
      <c r="K6" s="70" t="str">
        <f>IFERROR(s_DL/(s_RadSpec!$F6*s_IFCI_res_adj*s_CF_citrus),".")</f>
        <v>.</v>
      </c>
      <c r="L6" s="70" t="str">
        <f>IFERROR(s_DL/(s_RadSpec!$F6*s_IFCO_res_adj*s_CF_corn),".")</f>
        <v>.</v>
      </c>
      <c r="M6" s="70" t="str">
        <f>IFERROR(s_DL/(s_RadSpec!$F6*s_IFCU_res_adj*s_CF_cucumber),".")</f>
        <v>.</v>
      </c>
      <c r="N6" s="70" t="str">
        <f>IFERROR(s_DL/(s_RadSpec!$F6*s_IFLE_res_adj*s_CF_lettuce),".")</f>
        <v>.</v>
      </c>
      <c r="O6" s="70" t="str">
        <f>IFERROR(s_DL/(s_RadSpec!$F6*s_IFLI_res_adj*s_CF_lima_bean),".")</f>
        <v>.</v>
      </c>
      <c r="P6" s="70" t="str">
        <f>IFERROR(s_DL/(s_RadSpec!$F6*s_IFOK_res_adj*s_CF_okra),".")</f>
        <v>.</v>
      </c>
      <c r="Q6" s="70" t="str">
        <f>IFERROR(s_DL/(s_RadSpec!$F6*s_IFON_res_adj*s_CF_onion),".")</f>
        <v>.</v>
      </c>
      <c r="R6" s="70" t="str">
        <f>IFERROR(s_DL/(s_RadSpec!$F6*s_IFPC_res_adj*s_CF_peach),".")</f>
        <v>.</v>
      </c>
      <c r="S6" s="70" t="str">
        <f>IFERROR(s_DL/(s_RadSpec!$F6*s_IFPR_res_adj*s_CF_pear),".")</f>
        <v>.</v>
      </c>
      <c r="T6" s="70" t="str">
        <f>IFERROR(s_DL/(s_RadSpec!$F6*s_IFPE_res_adj*s_CF_peas),".")</f>
        <v>.</v>
      </c>
      <c r="U6" s="70" t="str">
        <f>IFERROR(s_DL/(s_RadSpec!$F6*s_IFPP_res_adj*s_CF_peppers),".")</f>
        <v>.</v>
      </c>
      <c r="V6" s="70" t="str">
        <f>IFERROR(s_DL/(s_RadSpec!$F6*s_IFPT_res_adj*s_CF_potato),".")</f>
        <v>.</v>
      </c>
      <c r="W6" s="70" t="str">
        <f>IFERROR(s_DL/(s_RadSpec!$F6*s_IFPU_res_adj*s_CF_pumpkin),".")</f>
        <v>.</v>
      </c>
      <c r="X6" s="70" t="str">
        <f>IFERROR(s_DL/(s_RadSpec!$F6*s_IFSN_res_adj*s_CF_snap_bean),".")</f>
        <v>.</v>
      </c>
      <c r="Y6" s="70" t="str">
        <f>IFERROR(s_DL/(s_RadSpec!$F6*s_IFST_res_adj*s_CF_strawberry),".")</f>
        <v>.</v>
      </c>
      <c r="Z6" s="70" t="str">
        <f>IFERROR(s_DL/(s_RadSpec!$F6*s_IFTO_res_adj*s_CF_tomato),".")</f>
        <v>.</v>
      </c>
      <c r="AA6" s="70" t="str">
        <f>IFERROR(s_DL/(s_RadSpec!$F6*s_IFRI_res_adj*s_CF_rice),".")</f>
        <v>.</v>
      </c>
      <c r="AB6" s="70" t="str">
        <f>IFERROR(s_DL/(s_RadSpec!$F6*s_IFCG_res_adj*s_CF_cereal),".")</f>
        <v>.</v>
      </c>
      <c r="AC6" s="70" t="str">
        <f t="shared" si="25"/>
        <v>.</v>
      </c>
      <c r="AD6" s="70" t="str">
        <f>IFERROR(s_DL/(s_RadSpec!$F6*s_IFAP_far_adj*s_CF_apple),".")</f>
        <v>.</v>
      </c>
      <c r="AE6" s="70" t="str">
        <f>IFERROR(s_DL/(s_RadSpec!$F6*s_IFAS_far_adj*s_CF_asparagus),".")</f>
        <v>.</v>
      </c>
      <c r="AF6" s="70" t="str">
        <f>IFERROR(s_DL/(s_RadSpec!$F6*s_IFBT_far_adj*s_CF_beet),".")</f>
        <v>.</v>
      </c>
      <c r="AG6" s="70" t="str">
        <f>IFERROR(s_DL/(s_RadSpec!$F6*s_IFBE_far_adj*s_CF_berries),".")</f>
        <v>.</v>
      </c>
      <c r="AH6" s="70" t="str">
        <f>IFERROR(s_DL/(s_RadSpec!$F6*s_IFBR_far_adj*s_CF_broccoli),".")</f>
        <v>.</v>
      </c>
      <c r="AI6" s="70" t="str">
        <f>IFERROR(s_DL/(s_RadSpec!$F6*s_IFCB_far_adj*s_CF_cabbage),".")</f>
        <v>.</v>
      </c>
      <c r="AJ6" s="70" t="str">
        <f>IFERROR(s_DL/(s_RadSpec!$F6*s_IFCR_far_adj*s_CF_carrot),".")</f>
        <v>.</v>
      </c>
      <c r="AK6" s="70" t="str">
        <f>IFERROR(s_DL/(s_RadSpec!$F6*s_IFCI_far_adj*s_CF_citrus),".")</f>
        <v>.</v>
      </c>
      <c r="AL6" s="70" t="str">
        <f>IFERROR(s_DL/(s_RadSpec!$F6*s_IFCO_far_adj*s_CF_corn),".")</f>
        <v>.</v>
      </c>
      <c r="AM6" s="70" t="str">
        <f>IFERROR(s_DL/(s_RadSpec!$F6*s_IFCU_far_adj*s_CF_cucumber),".")</f>
        <v>.</v>
      </c>
      <c r="AN6" s="70" t="str">
        <f>IFERROR(s_DL/(s_RadSpec!$F6*s_IFLE_far_adj*s_CF_lettuce),".")</f>
        <v>.</v>
      </c>
      <c r="AO6" s="70" t="str">
        <f>IFERROR(s_DL/(s_RadSpec!$F6*s_IFLI_far_adj*s_CF_lima_bean),".")</f>
        <v>.</v>
      </c>
      <c r="AP6" s="70" t="str">
        <f>IFERROR(s_DL/(s_RadSpec!$F6*s_IFOK_far_adj*s_CF_okra),".")</f>
        <v>.</v>
      </c>
      <c r="AQ6" s="70" t="str">
        <f>IFERROR(s_DL/(s_RadSpec!$F6*s_IFON_far_adj*s_CF_onion),".")</f>
        <v>.</v>
      </c>
      <c r="AR6" s="70" t="str">
        <f>IFERROR(s_DL/(s_RadSpec!$F6*s_IFPC_far_adj*s_CF_peach),".")</f>
        <v>.</v>
      </c>
      <c r="AS6" s="70" t="str">
        <f>IFERROR(s_DL/(s_RadSpec!$F6*s_IFPR_far_adj*s_CF_pear),".")</f>
        <v>.</v>
      </c>
      <c r="AT6" s="70" t="str">
        <f>IFERROR(s_DL/(s_RadSpec!$F6*s_IFPE_far_adj*s_CF_peas),".")</f>
        <v>.</v>
      </c>
      <c r="AU6" s="70" t="str">
        <f>IFERROR(s_DL/(s_RadSpec!$F6*s_IFPP_far_adj*s_CF_peppers),".")</f>
        <v>.</v>
      </c>
      <c r="AV6" s="70" t="str">
        <f>IFERROR(s_DL/(s_RadSpec!$F6*s_IFPT_far_adj*s_CF_potato),".")</f>
        <v>.</v>
      </c>
      <c r="AW6" s="70" t="str">
        <f>IFERROR(s_DL/(s_RadSpec!$F6*s_IFPU_far_adj*s_CF_pumpkin),".")</f>
        <v>.</v>
      </c>
      <c r="AX6" s="70" t="str">
        <f>IFERROR(s_DL/(s_RadSpec!$F6*s_IFSN_far_adj*s_CF_snap_bean),".")</f>
        <v>.</v>
      </c>
      <c r="AY6" s="70" t="str">
        <f>IFERROR(s_DL/(s_RadSpec!$F6*s_IFST_far_adj*s_CF_strawberry),".")</f>
        <v>.</v>
      </c>
      <c r="AZ6" s="70" t="str">
        <f>IFERROR(s_DL/(s_RadSpec!$F6*s_IFTO_far_adj*s_CF_tomato),".")</f>
        <v>.</v>
      </c>
      <c r="BA6" s="70" t="str">
        <f>IFERROR(s_DL/(s_RadSpec!$F6*s_IFRI_far_adj*s_CF_rice),".")</f>
        <v>.</v>
      </c>
      <c r="BB6" s="70" t="str">
        <f>IFERROR(s_DL/(s_RadSpec!$F6*s_IFCG_far_adj*s_CF_cereal),".")</f>
        <v>.</v>
      </c>
      <c r="BC6" s="87">
        <f t="shared" si="26"/>
        <v>30250</v>
      </c>
      <c r="BD6" s="87">
        <f t="shared" si="0"/>
        <v>7562.5</v>
      </c>
      <c r="BE6" s="87">
        <f t="shared" si="1"/>
        <v>7562.5</v>
      </c>
      <c r="BF6" s="87">
        <f t="shared" si="2"/>
        <v>7562.5</v>
      </c>
      <c r="BG6" s="87">
        <f t="shared" si="3"/>
        <v>7562.5</v>
      </c>
      <c r="BH6" s="87">
        <f t="shared" si="4"/>
        <v>7562.5</v>
      </c>
      <c r="BI6" s="87">
        <f t="shared" si="5"/>
        <v>7562.5</v>
      </c>
      <c r="BJ6" s="87">
        <f t="shared" si="6"/>
        <v>7562.5</v>
      </c>
      <c r="BK6" s="87">
        <f t="shared" si="7"/>
        <v>7562.5</v>
      </c>
      <c r="BL6" s="87">
        <f t="shared" si="8"/>
        <v>7562.5</v>
      </c>
      <c r="BM6" s="87">
        <f t="shared" si="9"/>
        <v>7562.5</v>
      </c>
      <c r="BN6" s="87">
        <f t="shared" si="10"/>
        <v>7562.5</v>
      </c>
      <c r="BO6" s="87">
        <f t="shared" si="11"/>
        <v>7562.5</v>
      </c>
      <c r="BP6" s="87">
        <f t="shared" si="12"/>
        <v>7562.5</v>
      </c>
      <c r="BQ6" s="87">
        <f t="shared" si="13"/>
        <v>7562.5</v>
      </c>
      <c r="BR6" s="87">
        <f t="shared" si="14"/>
        <v>7562.5</v>
      </c>
      <c r="BS6" s="87">
        <f t="shared" si="15"/>
        <v>7562.5</v>
      </c>
      <c r="BT6" s="87">
        <f t="shared" si="27"/>
        <v>7562.5</v>
      </c>
      <c r="BU6" s="87">
        <f t="shared" si="16"/>
        <v>7562.5</v>
      </c>
      <c r="BV6" s="87">
        <f t="shared" si="17"/>
        <v>7562.5</v>
      </c>
      <c r="BW6" s="87">
        <f t="shared" si="18"/>
        <v>7562.5</v>
      </c>
      <c r="BX6" s="87">
        <f t="shared" si="19"/>
        <v>7562.5</v>
      </c>
      <c r="BY6" s="87">
        <f t="shared" si="20"/>
        <v>7562.5</v>
      </c>
      <c r="BZ6" s="87">
        <f t="shared" si="21"/>
        <v>7562.5</v>
      </c>
      <c r="CA6" s="87">
        <f t="shared" si="22"/>
        <v>7562.5</v>
      </c>
      <c r="CB6" s="87">
        <f t="shared" si="23"/>
        <v>7562.5</v>
      </c>
    </row>
    <row r="7" spans="1:80" x14ac:dyDescent="0.25">
      <c r="A7" s="86" t="s">
        <v>5</v>
      </c>
      <c r="B7" s="84" t="s">
        <v>1057</v>
      </c>
      <c r="C7" s="70">
        <f t="shared" si="24"/>
        <v>124.09103318194229</v>
      </c>
      <c r="D7" s="70">
        <f>IFERROR(s_DL/(s_RadSpec!$F7*s_IFAP_res_adj*s_CF_apple),".")</f>
        <v>496.36413272776917</v>
      </c>
      <c r="E7" s="70">
        <f>IFERROR(s_DL/(s_RadSpec!$F7*s_IFAS_res_adj*s_CF_asparagus),".")</f>
        <v>496.36413272776917</v>
      </c>
      <c r="F7" s="70">
        <f>IFERROR(s_DL/(s_RadSpec!$F7*s_IFBT_res_adj*s_CF_beet),".")</f>
        <v>496.36413272776917</v>
      </c>
      <c r="G7" s="70">
        <f>IFERROR(s_DL/(s_RadSpec!$F7*s_IFBE_res_adj*s_CF_berries),".")</f>
        <v>496.36413272776917</v>
      </c>
      <c r="H7" s="70">
        <f>IFERROR(s_DL/(s_RadSpec!$F7*s_IFBR_res_adj*s_CF_broccoli),".")</f>
        <v>496.36413272776917</v>
      </c>
      <c r="I7" s="70">
        <f>IFERROR(s_DL/(s_RadSpec!$F7*s_IFCB_res_adj*s_CF_cabbage),".")</f>
        <v>496.36413272776917</v>
      </c>
      <c r="J7" s="70">
        <f>IFERROR(s_DL/(s_RadSpec!$F7*s_IFCR_res_adj*s_CF_carrot),".")</f>
        <v>496.36413272776917</v>
      </c>
      <c r="K7" s="70">
        <f>IFERROR(s_DL/(s_RadSpec!$F7*s_IFCI_res_adj*s_CF_citrus),".")</f>
        <v>496.36413272776917</v>
      </c>
      <c r="L7" s="70">
        <f>IFERROR(s_DL/(s_RadSpec!$F7*s_IFCO_res_adj*s_CF_corn),".")</f>
        <v>496.36413272776917</v>
      </c>
      <c r="M7" s="70">
        <f>IFERROR(s_DL/(s_RadSpec!$F7*s_IFCU_res_adj*s_CF_cucumber),".")</f>
        <v>496.36413272776917</v>
      </c>
      <c r="N7" s="70">
        <f>IFERROR(s_DL/(s_RadSpec!$F7*s_IFLE_res_adj*s_CF_lettuce),".")</f>
        <v>496.36413272776917</v>
      </c>
      <c r="O7" s="70">
        <f>IFERROR(s_DL/(s_RadSpec!$F7*s_IFLI_res_adj*s_CF_lima_bean),".")</f>
        <v>496.36413272776917</v>
      </c>
      <c r="P7" s="70">
        <f>IFERROR(s_DL/(s_RadSpec!$F7*s_IFOK_res_adj*s_CF_okra),".")</f>
        <v>496.36413272776917</v>
      </c>
      <c r="Q7" s="70">
        <f>IFERROR(s_DL/(s_RadSpec!$F7*s_IFON_res_adj*s_CF_onion),".")</f>
        <v>496.36413272776917</v>
      </c>
      <c r="R7" s="70">
        <f>IFERROR(s_DL/(s_RadSpec!$F7*s_IFPC_res_adj*s_CF_peach),".")</f>
        <v>496.36413272776917</v>
      </c>
      <c r="S7" s="70">
        <f>IFERROR(s_DL/(s_RadSpec!$F7*s_IFPR_res_adj*s_CF_pear),".")</f>
        <v>496.36413272776917</v>
      </c>
      <c r="T7" s="70">
        <f>IFERROR(s_DL/(s_RadSpec!$F7*s_IFPE_res_adj*s_CF_peas),".")</f>
        <v>496.36413272776917</v>
      </c>
      <c r="U7" s="70">
        <f>IFERROR(s_DL/(s_RadSpec!$F7*s_IFPP_res_adj*s_CF_peppers),".")</f>
        <v>496.36413272776917</v>
      </c>
      <c r="V7" s="70">
        <f>IFERROR(s_DL/(s_RadSpec!$F7*s_IFPT_res_adj*s_CF_potato),".")</f>
        <v>496.36413272776917</v>
      </c>
      <c r="W7" s="70">
        <f>IFERROR(s_DL/(s_RadSpec!$F7*s_IFPU_res_adj*s_CF_pumpkin),".")</f>
        <v>496.36413272776917</v>
      </c>
      <c r="X7" s="70">
        <f>IFERROR(s_DL/(s_RadSpec!$F7*s_IFSN_res_adj*s_CF_snap_bean),".")</f>
        <v>496.36413272776917</v>
      </c>
      <c r="Y7" s="70">
        <f>IFERROR(s_DL/(s_RadSpec!$F7*s_IFST_res_adj*s_CF_strawberry),".")</f>
        <v>496.36413272776917</v>
      </c>
      <c r="Z7" s="70">
        <f>IFERROR(s_DL/(s_RadSpec!$F7*s_IFTO_res_adj*s_CF_tomato),".")</f>
        <v>496.36413272776917</v>
      </c>
      <c r="AA7" s="70">
        <f>IFERROR(s_DL/(s_RadSpec!$F7*s_IFRI_res_adj*s_CF_rice),".")</f>
        <v>496.36413272776917</v>
      </c>
      <c r="AB7" s="70">
        <f>IFERROR(s_DL/(s_RadSpec!$F7*s_IFCG_res_adj*s_CF_cereal),".")</f>
        <v>496.36413272776917</v>
      </c>
      <c r="AC7" s="70">
        <f t="shared" si="25"/>
        <v>124.09103318194229</v>
      </c>
      <c r="AD7" s="70">
        <f>IFERROR(s_DL/(s_RadSpec!$F7*s_IFAP_far_adj*s_CF_apple),".")</f>
        <v>496.36413272776917</v>
      </c>
      <c r="AE7" s="70">
        <f>IFERROR(s_DL/(s_RadSpec!$F7*s_IFAS_far_adj*s_CF_asparagus),".")</f>
        <v>496.36413272776917</v>
      </c>
      <c r="AF7" s="70">
        <f>IFERROR(s_DL/(s_RadSpec!$F7*s_IFBT_far_adj*s_CF_beet),".")</f>
        <v>496.36413272776917</v>
      </c>
      <c r="AG7" s="70">
        <f>IFERROR(s_DL/(s_RadSpec!$F7*s_IFBE_far_adj*s_CF_berries),".")</f>
        <v>496.36413272776917</v>
      </c>
      <c r="AH7" s="70">
        <f>IFERROR(s_DL/(s_RadSpec!$F7*s_IFBR_far_adj*s_CF_broccoli),".")</f>
        <v>496.36413272776917</v>
      </c>
      <c r="AI7" s="70">
        <f>IFERROR(s_DL/(s_RadSpec!$F7*s_IFCB_far_adj*s_CF_cabbage),".")</f>
        <v>496.36413272776917</v>
      </c>
      <c r="AJ7" s="70">
        <f>IFERROR(s_DL/(s_RadSpec!$F7*s_IFCR_far_adj*s_CF_carrot),".")</f>
        <v>496.36413272776917</v>
      </c>
      <c r="AK7" s="70">
        <f>IFERROR(s_DL/(s_RadSpec!$F7*s_IFCI_far_adj*s_CF_citrus),".")</f>
        <v>496.36413272776917</v>
      </c>
      <c r="AL7" s="70">
        <f>IFERROR(s_DL/(s_RadSpec!$F7*s_IFCO_far_adj*s_CF_corn),".")</f>
        <v>496.36413272776917</v>
      </c>
      <c r="AM7" s="70">
        <f>IFERROR(s_DL/(s_RadSpec!$F7*s_IFCU_far_adj*s_CF_cucumber),".")</f>
        <v>496.36413272776917</v>
      </c>
      <c r="AN7" s="70">
        <f>IFERROR(s_DL/(s_RadSpec!$F7*s_IFLE_far_adj*s_CF_lettuce),".")</f>
        <v>496.36413272776917</v>
      </c>
      <c r="AO7" s="70">
        <f>IFERROR(s_DL/(s_RadSpec!$F7*s_IFLI_far_adj*s_CF_lima_bean),".")</f>
        <v>496.36413272776917</v>
      </c>
      <c r="AP7" s="70">
        <f>IFERROR(s_DL/(s_RadSpec!$F7*s_IFOK_far_adj*s_CF_okra),".")</f>
        <v>496.36413272776917</v>
      </c>
      <c r="AQ7" s="70">
        <f>IFERROR(s_DL/(s_RadSpec!$F7*s_IFON_far_adj*s_CF_onion),".")</f>
        <v>496.36413272776917</v>
      </c>
      <c r="AR7" s="70">
        <f>IFERROR(s_DL/(s_RadSpec!$F7*s_IFPC_far_adj*s_CF_peach),".")</f>
        <v>496.36413272776917</v>
      </c>
      <c r="AS7" s="70">
        <f>IFERROR(s_DL/(s_RadSpec!$F7*s_IFPR_far_adj*s_CF_pear),".")</f>
        <v>496.36413272776917</v>
      </c>
      <c r="AT7" s="70">
        <f>IFERROR(s_DL/(s_RadSpec!$F7*s_IFPE_far_adj*s_CF_peas),".")</f>
        <v>496.36413272776917</v>
      </c>
      <c r="AU7" s="70">
        <f>IFERROR(s_DL/(s_RadSpec!$F7*s_IFPP_far_adj*s_CF_peppers),".")</f>
        <v>496.36413272776917</v>
      </c>
      <c r="AV7" s="70">
        <f>IFERROR(s_DL/(s_RadSpec!$F7*s_IFPT_far_adj*s_CF_potato),".")</f>
        <v>496.36413272776917</v>
      </c>
      <c r="AW7" s="70">
        <f>IFERROR(s_DL/(s_RadSpec!$F7*s_IFPU_far_adj*s_CF_pumpkin),".")</f>
        <v>496.36413272776917</v>
      </c>
      <c r="AX7" s="70">
        <f>IFERROR(s_DL/(s_RadSpec!$F7*s_IFSN_far_adj*s_CF_snap_bean),".")</f>
        <v>496.36413272776917</v>
      </c>
      <c r="AY7" s="70">
        <f>IFERROR(s_DL/(s_RadSpec!$F7*s_IFST_far_adj*s_CF_strawberry),".")</f>
        <v>496.36413272776917</v>
      </c>
      <c r="AZ7" s="70">
        <f>IFERROR(s_DL/(s_RadSpec!$F7*s_IFTO_far_adj*s_CF_tomato),".")</f>
        <v>496.36413272776917</v>
      </c>
      <c r="BA7" s="70">
        <f>IFERROR(s_DL/(s_RadSpec!$F7*s_IFRI_far_adj*s_CF_rice),".")</f>
        <v>496.36413272776917</v>
      </c>
      <c r="BB7" s="70">
        <f>IFERROR(s_DL/(s_RadSpec!$F7*s_IFCG_far_adj*s_CF_cereal),".")</f>
        <v>496.36413272776917</v>
      </c>
      <c r="BC7" s="87">
        <f t="shared" si="26"/>
        <v>30250</v>
      </c>
      <c r="BD7" s="87">
        <f t="shared" si="0"/>
        <v>7562.5</v>
      </c>
      <c r="BE7" s="87">
        <f t="shared" si="1"/>
        <v>7562.5</v>
      </c>
      <c r="BF7" s="87">
        <f t="shared" si="2"/>
        <v>7562.5</v>
      </c>
      <c r="BG7" s="87">
        <f t="shared" si="3"/>
        <v>7562.5</v>
      </c>
      <c r="BH7" s="87">
        <f t="shared" si="4"/>
        <v>7562.5</v>
      </c>
      <c r="BI7" s="87">
        <f t="shared" si="5"/>
        <v>7562.5</v>
      </c>
      <c r="BJ7" s="87">
        <f t="shared" si="6"/>
        <v>7562.5</v>
      </c>
      <c r="BK7" s="87">
        <f t="shared" si="7"/>
        <v>7562.5</v>
      </c>
      <c r="BL7" s="87">
        <f t="shared" si="8"/>
        <v>7562.5</v>
      </c>
      <c r="BM7" s="87">
        <f t="shared" si="9"/>
        <v>7562.5</v>
      </c>
      <c r="BN7" s="87">
        <f t="shared" si="10"/>
        <v>7562.5</v>
      </c>
      <c r="BO7" s="87">
        <f t="shared" si="11"/>
        <v>7562.5</v>
      </c>
      <c r="BP7" s="87">
        <f t="shared" si="12"/>
        <v>7562.5</v>
      </c>
      <c r="BQ7" s="87">
        <f t="shared" si="13"/>
        <v>7562.5</v>
      </c>
      <c r="BR7" s="87">
        <f t="shared" si="14"/>
        <v>7562.5</v>
      </c>
      <c r="BS7" s="87">
        <f t="shared" si="15"/>
        <v>7562.5</v>
      </c>
      <c r="BT7" s="87">
        <f t="shared" si="27"/>
        <v>7562.5</v>
      </c>
      <c r="BU7" s="87">
        <f t="shared" si="16"/>
        <v>7562.5</v>
      </c>
      <c r="BV7" s="87">
        <f t="shared" si="17"/>
        <v>7562.5</v>
      </c>
      <c r="BW7" s="87">
        <f t="shared" si="18"/>
        <v>7562.5</v>
      </c>
      <c r="BX7" s="87">
        <f t="shared" si="19"/>
        <v>7562.5</v>
      </c>
      <c r="BY7" s="87">
        <f t="shared" si="20"/>
        <v>7562.5</v>
      </c>
      <c r="BZ7" s="87">
        <f t="shared" si="21"/>
        <v>7562.5</v>
      </c>
      <c r="CA7" s="87">
        <f t="shared" si="22"/>
        <v>7562.5</v>
      </c>
      <c r="CB7" s="87">
        <f t="shared" si="23"/>
        <v>7562.5</v>
      </c>
    </row>
    <row r="8" spans="1:80" x14ac:dyDescent="0.25">
      <c r="A8" s="86" t="s">
        <v>6</v>
      </c>
      <c r="B8" s="84" t="s">
        <v>1057</v>
      </c>
      <c r="C8" s="70">
        <f t="shared" si="24"/>
        <v>833.44723778916455</v>
      </c>
      <c r="D8" s="70">
        <f>IFERROR(s_DL/(s_RadSpec!$F8*s_IFAP_res_adj*s_CF_apple),".")</f>
        <v>3333.7889511566582</v>
      </c>
      <c r="E8" s="70">
        <f>IFERROR(s_DL/(s_RadSpec!$F8*s_IFAS_res_adj*s_CF_asparagus),".")</f>
        <v>3333.7889511566582</v>
      </c>
      <c r="F8" s="70">
        <f>IFERROR(s_DL/(s_RadSpec!$F8*s_IFBT_res_adj*s_CF_beet),".")</f>
        <v>3333.7889511566582</v>
      </c>
      <c r="G8" s="70">
        <f>IFERROR(s_DL/(s_RadSpec!$F8*s_IFBE_res_adj*s_CF_berries),".")</f>
        <v>3333.7889511566582</v>
      </c>
      <c r="H8" s="70">
        <f>IFERROR(s_DL/(s_RadSpec!$F8*s_IFBR_res_adj*s_CF_broccoli),".")</f>
        <v>3333.7889511566582</v>
      </c>
      <c r="I8" s="70">
        <f>IFERROR(s_DL/(s_RadSpec!$F8*s_IFCB_res_adj*s_CF_cabbage),".")</f>
        <v>3333.7889511566582</v>
      </c>
      <c r="J8" s="70">
        <f>IFERROR(s_DL/(s_RadSpec!$F8*s_IFCR_res_adj*s_CF_carrot),".")</f>
        <v>3333.7889511566582</v>
      </c>
      <c r="K8" s="70">
        <f>IFERROR(s_DL/(s_RadSpec!$F8*s_IFCI_res_adj*s_CF_citrus),".")</f>
        <v>3333.7889511566582</v>
      </c>
      <c r="L8" s="70">
        <f>IFERROR(s_DL/(s_RadSpec!$F8*s_IFCO_res_adj*s_CF_corn),".")</f>
        <v>3333.7889511566582</v>
      </c>
      <c r="M8" s="70">
        <f>IFERROR(s_DL/(s_RadSpec!$F8*s_IFCU_res_adj*s_CF_cucumber),".")</f>
        <v>3333.7889511566582</v>
      </c>
      <c r="N8" s="70">
        <f>IFERROR(s_DL/(s_RadSpec!$F8*s_IFLE_res_adj*s_CF_lettuce),".")</f>
        <v>3333.7889511566582</v>
      </c>
      <c r="O8" s="70">
        <f>IFERROR(s_DL/(s_RadSpec!$F8*s_IFLI_res_adj*s_CF_lima_bean),".")</f>
        <v>3333.7889511566582</v>
      </c>
      <c r="P8" s="70">
        <f>IFERROR(s_DL/(s_RadSpec!$F8*s_IFOK_res_adj*s_CF_okra),".")</f>
        <v>3333.7889511566582</v>
      </c>
      <c r="Q8" s="70">
        <f>IFERROR(s_DL/(s_RadSpec!$F8*s_IFON_res_adj*s_CF_onion),".")</f>
        <v>3333.7889511566582</v>
      </c>
      <c r="R8" s="70">
        <f>IFERROR(s_DL/(s_RadSpec!$F8*s_IFPC_res_adj*s_CF_peach),".")</f>
        <v>3333.7889511566582</v>
      </c>
      <c r="S8" s="70">
        <f>IFERROR(s_DL/(s_RadSpec!$F8*s_IFPR_res_adj*s_CF_pear),".")</f>
        <v>3333.7889511566582</v>
      </c>
      <c r="T8" s="70">
        <f>IFERROR(s_DL/(s_RadSpec!$F8*s_IFPE_res_adj*s_CF_peas),".")</f>
        <v>3333.7889511566582</v>
      </c>
      <c r="U8" s="70">
        <f>IFERROR(s_DL/(s_RadSpec!$F8*s_IFPP_res_adj*s_CF_peppers),".")</f>
        <v>3333.7889511566582</v>
      </c>
      <c r="V8" s="70">
        <f>IFERROR(s_DL/(s_RadSpec!$F8*s_IFPT_res_adj*s_CF_potato),".")</f>
        <v>3333.7889511566582</v>
      </c>
      <c r="W8" s="70">
        <f>IFERROR(s_DL/(s_RadSpec!$F8*s_IFPU_res_adj*s_CF_pumpkin),".")</f>
        <v>3333.7889511566582</v>
      </c>
      <c r="X8" s="70">
        <f>IFERROR(s_DL/(s_RadSpec!$F8*s_IFSN_res_adj*s_CF_snap_bean),".")</f>
        <v>3333.7889511566582</v>
      </c>
      <c r="Y8" s="70">
        <f>IFERROR(s_DL/(s_RadSpec!$F8*s_IFST_res_adj*s_CF_strawberry),".")</f>
        <v>3333.7889511566582</v>
      </c>
      <c r="Z8" s="70">
        <f>IFERROR(s_DL/(s_RadSpec!$F8*s_IFTO_res_adj*s_CF_tomato),".")</f>
        <v>3333.7889511566582</v>
      </c>
      <c r="AA8" s="70">
        <f>IFERROR(s_DL/(s_RadSpec!$F8*s_IFRI_res_adj*s_CF_rice),".")</f>
        <v>3333.7889511566582</v>
      </c>
      <c r="AB8" s="70">
        <f>IFERROR(s_DL/(s_RadSpec!$F8*s_IFCG_res_adj*s_CF_cereal),".")</f>
        <v>3333.7889511566582</v>
      </c>
      <c r="AC8" s="70">
        <f t="shared" si="25"/>
        <v>833.44723778916455</v>
      </c>
      <c r="AD8" s="70">
        <f>IFERROR(s_DL/(s_RadSpec!$F8*s_IFAP_far_adj*s_CF_apple),".")</f>
        <v>3333.7889511566582</v>
      </c>
      <c r="AE8" s="70">
        <f>IFERROR(s_DL/(s_RadSpec!$F8*s_IFAS_far_adj*s_CF_asparagus),".")</f>
        <v>3333.7889511566582</v>
      </c>
      <c r="AF8" s="70">
        <f>IFERROR(s_DL/(s_RadSpec!$F8*s_IFBT_far_adj*s_CF_beet),".")</f>
        <v>3333.7889511566582</v>
      </c>
      <c r="AG8" s="70">
        <f>IFERROR(s_DL/(s_RadSpec!$F8*s_IFBE_far_adj*s_CF_berries),".")</f>
        <v>3333.7889511566582</v>
      </c>
      <c r="AH8" s="70">
        <f>IFERROR(s_DL/(s_RadSpec!$F8*s_IFBR_far_adj*s_CF_broccoli),".")</f>
        <v>3333.7889511566582</v>
      </c>
      <c r="AI8" s="70">
        <f>IFERROR(s_DL/(s_RadSpec!$F8*s_IFCB_far_adj*s_CF_cabbage),".")</f>
        <v>3333.7889511566582</v>
      </c>
      <c r="AJ8" s="70">
        <f>IFERROR(s_DL/(s_RadSpec!$F8*s_IFCR_far_adj*s_CF_carrot),".")</f>
        <v>3333.7889511566582</v>
      </c>
      <c r="AK8" s="70">
        <f>IFERROR(s_DL/(s_RadSpec!$F8*s_IFCI_far_adj*s_CF_citrus),".")</f>
        <v>3333.7889511566582</v>
      </c>
      <c r="AL8" s="70">
        <f>IFERROR(s_DL/(s_RadSpec!$F8*s_IFCO_far_adj*s_CF_corn),".")</f>
        <v>3333.7889511566582</v>
      </c>
      <c r="AM8" s="70">
        <f>IFERROR(s_DL/(s_RadSpec!$F8*s_IFCU_far_adj*s_CF_cucumber),".")</f>
        <v>3333.7889511566582</v>
      </c>
      <c r="AN8" s="70">
        <f>IFERROR(s_DL/(s_RadSpec!$F8*s_IFLE_far_adj*s_CF_lettuce),".")</f>
        <v>3333.7889511566582</v>
      </c>
      <c r="AO8" s="70">
        <f>IFERROR(s_DL/(s_RadSpec!$F8*s_IFLI_far_adj*s_CF_lima_bean),".")</f>
        <v>3333.7889511566582</v>
      </c>
      <c r="AP8" s="70">
        <f>IFERROR(s_DL/(s_RadSpec!$F8*s_IFOK_far_adj*s_CF_okra),".")</f>
        <v>3333.7889511566582</v>
      </c>
      <c r="AQ8" s="70">
        <f>IFERROR(s_DL/(s_RadSpec!$F8*s_IFON_far_adj*s_CF_onion),".")</f>
        <v>3333.7889511566582</v>
      </c>
      <c r="AR8" s="70">
        <f>IFERROR(s_DL/(s_RadSpec!$F8*s_IFPC_far_adj*s_CF_peach),".")</f>
        <v>3333.7889511566582</v>
      </c>
      <c r="AS8" s="70">
        <f>IFERROR(s_DL/(s_RadSpec!$F8*s_IFPR_far_adj*s_CF_pear),".")</f>
        <v>3333.7889511566582</v>
      </c>
      <c r="AT8" s="70">
        <f>IFERROR(s_DL/(s_RadSpec!$F8*s_IFPE_far_adj*s_CF_peas),".")</f>
        <v>3333.7889511566582</v>
      </c>
      <c r="AU8" s="70">
        <f>IFERROR(s_DL/(s_RadSpec!$F8*s_IFPP_far_adj*s_CF_peppers),".")</f>
        <v>3333.7889511566582</v>
      </c>
      <c r="AV8" s="70">
        <f>IFERROR(s_DL/(s_RadSpec!$F8*s_IFPT_far_adj*s_CF_potato),".")</f>
        <v>3333.7889511566582</v>
      </c>
      <c r="AW8" s="70">
        <f>IFERROR(s_DL/(s_RadSpec!$F8*s_IFPU_far_adj*s_CF_pumpkin),".")</f>
        <v>3333.7889511566582</v>
      </c>
      <c r="AX8" s="70">
        <f>IFERROR(s_DL/(s_RadSpec!$F8*s_IFSN_far_adj*s_CF_snap_bean),".")</f>
        <v>3333.7889511566582</v>
      </c>
      <c r="AY8" s="70">
        <f>IFERROR(s_DL/(s_RadSpec!$F8*s_IFST_far_adj*s_CF_strawberry),".")</f>
        <v>3333.7889511566582</v>
      </c>
      <c r="AZ8" s="70">
        <f>IFERROR(s_DL/(s_RadSpec!$F8*s_IFTO_far_adj*s_CF_tomato),".")</f>
        <v>3333.7889511566582</v>
      </c>
      <c r="BA8" s="70">
        <f>IFERROR(s_DL/(s_RadSpec!$F8*s_IFRI_far_adj*s_CF_rice),".")</f>
        <v>3333.7889511566582</v>
      </c>
      <c r="BB8" s="70">
        <f>IFERROR(s_DL/(s_RadSpec!$F8*s_IFCG_far_adj*s_CF_cereal),".")</f>
        <v>3333.7889511566582</v>
      </c>
      <c r="BC8" s="87">
        <f t="shared" si="26"/>
        <v>30250</v>
      </c>
      <c r="BD8" s="87">
        <f t="shared" si="0"/>
        <v>7562.5</v>
      </c>
      <c r="BE8" s="87">
        <f t="shared" si="1"/>
        <v>7562.5</v>
      </c>
      <c r="BF8" s="87">
        <f t="shared" si="2"/>
        <v>7562.5</v>
      </c>
      <c r="BG8" s="87">
        <f t="shared" si="3"/>
        <v>7562.5</v>
      </c>
      <c r="BH8" s="87">
        <f t="shared" si="4"/>
        <v>7562.5</v>
      </c>
      <c r="BI8" s="87">
        <f t="shared" si="5"/>
        <v>7562.5</v>
      </c>
      <c r="BJ8" s="87">
        <f t="shared" si="6"/>
        <v>7562.5</v>
      </c>
      <c r="BK8" s="87">
        <f t="shared" si="7"/>
        <v>7562.5</v>
      </c>
      <c r="BL8" s="87">
        <f t="shared" si="8"/>
        <v>7562.5</v>
      </c>
      <c r="BM8" s="87">
        <f t="shared" si="9"/>
        <v>7562.5</v>
      </c>
      <c r="BN8" s="87">
        <f t="shared" si="10"/>
        <v>7562.5</v>
      </c>
      <c r="BO8" s="87">
        <f t="shared" si="11"/>
        <v>7562.5</v>
      </c>
      <c r="BP8" s="87">
        <f t="shared" si="12"/>
        <v>7562.5</v>
      </c>
      <c r="BQ8" s="87">
        <f t="shared" si="13"/>
        <v>7562.5</v>
      </c>
      <c r="BR8" s="87">
        <f t="shared" si="14"/>
        <v>7562.5</v>
      </c>
      <c r="BS8" s="87">
        <f t="shared" si="15"/>
        <v>7562.5</v>
      </c>
      <c r="BT8" s="87">
        <f t="shared" si="27"/>
        <v>7562.5</v>
      </c>
      <c r="BU8" s="87">
        <f t="shared" si="16"/>
        <v>7562.5</v>
      </c>
      <c r="BV8" s="87">
        <f t="shared" si="17"/>
        <v>7562.5</v>
      </c>
      <c r="BW8" s="87">
        <f t="shared" si="18"/>
        <v>7562.5</v>
      </c>
      <c r="BX8" s="87">
        <f t="shared" si="19"/>
        <v>7562.5</v>
      </c>
      <c r="BY8" s="87">
        <f t="shared" si="20"/>
        <v>7562.5</v>
      </c>
      <c r="BZ8" s="87">
        <f t="shared" si="21"/>
        <v>7562.5</v>
      </c>
      <c r="CA8" s="87">
        <f t="shared" si="22"/>
        <v>7562.5</v>
      </c>
      <c r="CB8" s="87">
        <f t="shared" si="23"/>
        <v>7562.5</v>
      </c>
    </row>
    <row r="9" spans="1:80" x14ac:dyDescent="0.25">
      <c r="A9" s="86" t="s">
        <v>7</v>
      </c>
      <c r="B9" s="84" t="s">
        <v>1057</v>
      </c>
      <c r="C9" s="70">
        <f t="shared" si="24"/>
        <v>1499.0863068959468</v>
      </c>
      <c r="D9" s="70">
        <f>IFERROR(s_DL/(s_RadSpec!$F9*s_IFAP_res_adj*s_CF_apple),".")</f>
        <v>5996.3452275837872</v>
      </c>
      <c r="E9" s="70">
        <f>IFERROR(s_DL/(s_RadSpec!$F9*s_IFAS_res_adj*s_CF_asparagus),".")</f>
        <v>5996.3452275837872</v>
      </c>
      <c r="F9" s="70">
        <f>IFERROR(s_DL/(s_RadSpec!$F9*s_IFBT_res_adj*s_CF_beet),".")</f>
        <v>5996.3452275837872</v>
      </c>
      <c r="G9" s="70">
        <f>IFERROR(s_DL/(s_RadSpec!$F9*s_IFBE_res_adj*s_CF_berries),".")</f>
        <v>5996.3452275837872</v>
      </c>
      <c r="H9" s="70">
        <f>IFERROR(s_DL/(s_RadSpec!$F9*s_IFBR_res_adj*s_CF_broccoli),".")</f>
        <v>5996.3452275837872</v>
      </c>
      <c r="I9" s="70">
        <f>IFERROR(s_DL/(s_RadSpec!$F9*s_IFCB_res_adj*s_CF_cabbage),".")</f>
        <v>5996.3452275837872</v>
      </c>
      <c r="J9" s="70">
        <f>IFERROR(s_DL/(s_RadSpec!$F9*s_IFCR_res_adj*s_CF_carrot),".")</f>
        <v>5996.3452275837872</v>
      </c>
      <c r="K9" s="70">
        <f>IFERROR(s_DL/(s_RadSpec!$F9*s_IFCI_res_adj*s_CF_citrus),".")</f>
        <v>5996.3452275837872</v>
      </c>
      <c r="L9" s="70">
        <f>IFERROR(s_DL/(s_RadSpec!$F9*s_IFCO_res_adj*s_CF_corn),".")</f>
        <v>5996.3452275837872</v>
      </c>
      <c r="M9" s="70">
        <f>IFERROR(s_DL/(s_RadSpec!$F9*s_IFCU_res_adj*s_CF_cucumber),".")</f>
        <v>5996.3452275837872</v>
      </c>
      <c r="N9" s="70">
        <f>IFERROR(s_DL/(s_RadSpec!$F9*s_IFLE_res_adj*s_CF_lettuce),".")</f>
        <v>5996.3452275837872</v>
      </c>
      <c r="O9" s="70">
        <f>IFERROR(s_DL/(s_RadSpec!$F9*s_IFLI_res_adj*s_CF_lima_bean),".")</f>
        <v>5996.3452275837872</v>
      </c>
      <c r="P9" s="70">
        <f>IFERROR(s_DL/(s_RadSpec!$F9*s_IFOK_res_adj*s_CF_okra),".")</f>
        <v>5996.3452275837872</v>
      </c>
      <c r="Q9" s="70">
        <f>IFERROR(s_DL/(s_RadSpec!$F9*s_IFON_res_adj*s_CF_onion),".")</f>
        <v>5996.3452275837872</v>
      </c>
      <c r="R9" s="70">
        <f>IFERROR(s_DL/(s_RadSpec!$F9*s_IFPC_res_adj*s_CF_peach),".")</f>
        <v>5996.3452275837872</v>
      </c>
      <c r="S9" s="70">
        <f>IFERROR(s_DL/(s_RadSpec!$F9*s_IFPR_res_adj*s_CF_pear),".")</f>
        <v>5996.3452275837872</v>
      </c>
      <c r="T9" s="70">
        <f>IFERROR(s_DL/(s_RadSpec!$F9*s_IFPE_res_adj*s_CF_peas),".")</f>
        <v>5996.3452275837872</v>
      </c>
      <c r="U9" s="70">
        <f>IFERROR(s_DL/(s_RadSpec!$F9*s_IFPP_res_adj*s_CF_peppers),".")</f>
        <v>5996.3452275837872</v>
      </c>
      <c r="V9" s="70">
        <f>IFERROR(s_DL/(s_RadSpec!$F9*s_IFPT_res_adj*s_CF_potato),".")</f>
        <v>5996.3452275837872</v>
      </c>
      <c r="W9" s="70">
        <f>IFERROR(s_DL/(s_RadSpec!$F9*s_IFPU_res_adj*s_CF_pumpkin),".")</f>
        <v>5996.3452275837872</v>
      </c>
      <c r="X9" s="70">
        <f>IFERROR(s_DL/(s_RadSpec!$F9*s_IFSN_res_adj*s_CF_snap_bean),".")</f>
        <v>5996.3452275837872</v>
      </c>
      <c r="Y9" s="70">
        <f>IFERROR(s_DL/(s_RadSpec!$F9*s_IFST_res_adj*s_CF_strawberry),".")</f>
        <v>5996.3452275837872</v>
      </c>
      <c r="Z9" s="70">
        <f>IFERROR(s_DL/(s_RadSpec!$F9*s_IFTO_res_adj*s_CF_tomato),".")</f>
        <v>5996.3452275837872</v>
      </c>
      <c r="AA9" s="70">
        <f>IFERROR(s_DL/(s_RadSpec!$F9*s_IFRI_res_adj*s_CF_rice),".")</f>
        <v>5996.3452275837872</v>
      </c>
      <c r="AB9" s="70">
        <f>IFERROR(s_DL/(s_RadSpec!$F9*s_IFCG_res_adj*s_CF_cereal),".")</f>
        <v>5996.3452275837872</v>
      </c>
      <c r="AC9" s="70">
        <f t="shared" si="25"/>
        <v>1499.0863068959468</v>
      </c>
      <c r="AD9" s="70">
        <f>IFERROR(s_DL/(s_RadSpec!$F9*s_IFAP_far_adj*s_CF_apple),".")</f>
        <v>5996.3452275837872</v>
      </c>
      <c r="AE9" s="70">
        <f>IFERROR(s_DL/(s_RadSpec!$F9*s_IFAS_far_adj*s_CF_asparagus),".")</f>
        <v>5996.3452275837872</v>
      </c>
      <c r="AF9" s="70">
        <f>IFERROR(s_DL/(s_RadSpec!$F9*s_IFBT_far_adj*s_CF_beet),".")</f>
        <v>5996.3452275837872</v>
      </c>
      <c r="AG9" s="70">
        <f>IFERROR(s_DL/(s_RadSpec!$F9*s_IFBE_far_adj*s_CF_berries),".")</f>
        <v>5996.3452275837872</v>
      </c>
      <c r="AH9" s="70">
        <f>IFERROR(s_DL/(s_RadSpec!$F9*s_IFBR_far_adj*s_CF_broccoli),".")</f>
        <v>5996.3452275837872</v>
      </c>
      <c r="AI9" s="70">
        <f>IFERROR(s_DL/(s_RadSpec!$F9*s_IFCB_far_adj*s_CF_cabbage),".")</f>
        <v>5996.3452275837872</v>
      </c>
      <c r="AJ9" s="70">
        <f>IFERROR(s_DL/(s_RadSpec!$F9*s_IFCR_far_adj*s_CF_carrot),".")</f>
        <v>5996.3452275837872</v>
      </c>
      <c r="AK9" s="70">
        <f>IFERROR(s_DL/(s_RadSpec!$F9*s_IFCI_far_adj*s_CF_citrus),".")</f>
        <v>5996.3452275837872</v>
      </c>
      <c r="AL9" s="70">
        <f>IFERROR(s_DL/(s_RadSpec!$F9*s_IFCO_far_adj*s_CF_corn),".")</f>
        <v>5996.3452275837872</v>
      </c>
      <c r="AM9" s="70">
        <f>IFERROR(s_DL/(s_RadSpec!$F9*s_IFCU_far_adj*s_CF_cucumber),".")</f>
        <v>5996.3452275837872</v>
      </c>
      <c r="AN9" s="70">
        <f>IFERROR(s_DL/(s_RadSpec!$F9*s_IFLE_far_adj*s_CF_lettuce),".")</f>
        <v>5996.3452275837872</v>
      </c>
      <c r="AO9" s="70">
        <f>IFERROR(s_DL/(s_RadSpec!$F9*s_IFLI_far_adj*s_CF_lima_bean),".")</f>
        <v>5996.3452275837872</v>
      </c>
      <c r="AP9" s="70">
        <f>IFERROR(s_DL/(s_RadSpec!$F9*s_IFOK_far_adj*s_CF_okra),".")</f>
        <v>5996.3452275837872</v>
      </c>
      <c r="AQ9" s="70">
        <f>IFERROR(s_DL/(s_RadSpec!$F9*s_IFON_far_adj*s_CF_onion),".")</f>
        <v>5996.3452275837872</v>
      </c>
      <c r="AR9" s="70">
        <f>IFERROR(s_DL/(s_RadSpec!$F9*s_IFPC_far_adj*s_CF_peach),".")</f>
        <v>5996.3452275837872</v>
      </c>
      <c r="AS9" s="70">
        <f>IFERROR(s_DL/(s_RadSpec!$F9*s_IFPR_far_adj*s_CF_pear),".")</f>
        <v>5996.3452275837872</v>
      </c>
      <c r="AT9" s="70">
        <f>IFERROR(s_DL/(s_RadSpec!$F9*s_IFPE_far_adj*s_CF_peas),".")</f>
        <v>5996.3452275837872</v>
      </c>
      <c r="AU9" s="70">
        <f>IFERROR(s_DL/(s_RadSpec!$F9*s_IFPP_far_adj*s_CF_peppers),".")</f>
        <v>5996.3452275837872</v>
      </c>
      <c r="AV9" s="70">
        <f>IFERROR(s_DL/(s_RadSpec!$F9*s_IFPT_far_adj*s_CF_potato),".")</f>
        <v>5996.3452275837872</v>
      </c>
      <c r="AW9" s="70">
        <f>IFERROR(s_DL/(s_RadSpec!$F9*s_IFPU_far_adj*s_CF_pumpkin),".")</f>
        <v>5996.3452275837872</v>
      </c>
      <c r="AX9" s="70">
        <f>IFERROR(s_DL/(s_RadSpec!$F9*s_IFSN_far_adj*s_CF_snap_bean),".")</f>
        <v>5996.3452275837872</v>
      </c>
      <c r="AY9" s="70">
        <f>IFERROR(s_DL/(s_RadSpec!$F9*s_IFST_far_adj*s_CF_strawberry),".")</f>
        <v>5996.3452275837872</v>
      </c>
      <c r="AZ9" s="70">
        <f>IFERROR(s_DL/(s_RadSpec!$F9*s_IFTO_far_adj*s_CF_tomato),".")</f>
        <v>5996.3452275837872</v>
      </c>
      <c r="BA9" s="70">
        <f>IFERROR(s_DL/(s_RadSpec!$F9*s_IFRI_far_adj*s_CF_rice),".")</f>
        <v>5996.3452275837872</v>
      </c>
      <c r="BB9" s="70">
        <f>IFERROR(s_DL/(s_RadSpec!$F9*s_IFCG_far_adj*s_CF_cereal),".")</f>
        <v>5996.3452275837872</v>
      </c>
      <c r="BC9" s="87">
        <f t="shared" si="26"/>
        <v>30250</v>
      </c>
      <c r="BD9" s="87">
        <f t="shared" si="0"/>
        <v>7562.5</v>
      </c>
      <c r="BE9" s="87">
        <f t="shared" si="1"/>
        <v>7562.5</v>
      </c>
      <c r="BF9" s="87">
        <f t="shared" si="2"/>
        <v>7562.5</v>
      </c>
      <c r="BG9" s="87">
        <f t="shared" si="3"/>
        <v>7562.5</v>
      </c>
      <c r="BH9" s="87">
        <f t="shared" si="4"/>
        <v>7562.5</v>
      </c>
      <c r="BI9" s="87">
        <f t="shared" si="5"/>
        <v>7562.5</v>
      </c>
      <c r="BJ9" s="87">
        <f t="shared" si="6"/>
        <v>7562.5</v>
      </c>
      <c r="BK9" s="87">
        <f t="shared" si="7"/>
        <v>7562.5</v>
      </c>
      <c r="BL9" s="87">
        <f t="shared" si="8"/>
        <v>7562.5</v>
      </c>
      <c r="BM9" s="87">
        <f t="shared" si="9"/>
        <v>7562.5</v>
      </c>
      <c r="BN9" s="87">
        <f t="shared" si="10"/>
        <v>7562.5</v>
      </c>
      <c r="BO9" s="87">
        <f t="shared" si="11"/>
        <v>7562.5</v>
      </c>
      <c r="BP9" s="87">
        <f t="shared" si="12"/>
        <v>7562.5</v>
      </c>
      <c r="BQ9" s="87">
        <f t="shared" si="13"/>
        <v>7562.5</v>
      </c>
      <c r="BR9" s="87">
        <f t="shared" si="14"/>
        <v>7562.5</v>
      </c>
      <c r="BS9" s="87">
        <f t="shared" si="15"/>
        <v>7562.5</v>
      </c>
      <c r="BT9" s="87">
        <f t="shared" si="27"/>
        <v>7562.5</v>
      </c>
      <c r="BU9" s="87">
        <f t="shared" si="16"/>
        <v>7562.5</v>
      </c>
      <c r="BV9" s="87">
        <f t="shared" si="17"/>
        <v>7562.5</v>
      </c>
      <c r="BW9" s="87">
        <f t="shared" si="18"/>
        <v>7562.5</v>
      </c>
      <c r="BX9" s="87">
        <f t="shared" si="19"/>
        <v>7562.5</v>
      </c>
      <c r="BY9" s="87">
        <f t="shared" si="20"/>
        <v>7562.5</v>
      </c>
      <c r="BZ9" s="87">
        <f t="shared" si="21"/>
        <v>7562.5</v>
      </c>
      <c r="CA9" s="87">
        <f t="shared" si="22"/>
        <v>7562.5</v>
      </c>
      <c r="CB9" s="87">
        <f t="shared" si="23"/>
        <v>7562.5</v>
      </c>
    </row>
    <row r="10" spans="1:80" x14ac:dyDescent="0.25">
      <c r="A10" s="88" t="s">
        <v>8</v>
      </c>
      <c r="B10" s="84" t="s">
        <v>335</v>
      </c>
      <c r="C10" s="70">
        <f t="shared" si="24"/>
        <v>16.794275167480908</v>
      </c>
      <c r="D10" s="70">
        <f>IFERROR(s_DL/(s_RadSpec!$F10*s_IFAP_res_adj*s_CF_apple),".")</f>
        <v>67.177100669923632</v>
      </c>
      <c r="E10" s="70">
        <f>IFERROR(s_DL/(s_RadSpec!$F10*s_IFAS_res_adj*s_CF_asparagus),".")</f>
        <v>67.177100669923632</v>
      </c>
      <c r="F10" s="70">
        <f>IFERROR(s_DL/(s_RadSpec!$F10*s_IFBT_res_adj*s_CF_beet),".")</f>
        <v>67.177100669923632</v>
      </c>
      <c r="G10" s="70">
        <f>IFERROR(s_DL/(s_RadSpec!$F10*s_IFBE_res_adj*s_CF_berries),".")</f>
        <v>67.177100669923632</v>
      </c>
      <c r="H10" s="70">
        <f>IFERROR(s_DL/(s_RadSpec!$F10*s_IFBR_res_adj*s_CF_broccoli),".")</f>
        <v>67.177100669923632</v>
      </c>
      <c r="I10" s="70">
        <f>IFERROR(s_DL/(s_RadSpec!$F10*s_IFCB_res_adj*s_CF_cabbage),".")</f>
        <v>67.177100669923632</v>
      </c>
      <c r="J10" s="70">
        <f>IFERROR(s_DL/(s_RadSpec!$F10*s_IFCR_res_adj*s_CF_carrot),".")</f>
        <v>67.177100669923632</v>
      </c>
      <c r="K10" s="70">
        <f>IFERROR(s_DL/(s_RadSpec!$F10*s_IFCI_res_adj*s_CF_citrus),".")</f>
        <v>67.177100669923632</v>
      </c>
      <c r="L10" s="70">
        <f>IFERROR(s_DL/(s_RadSpec!$F10*s_IFCO_res_adj*s_CF_corn),".")</f>
        <v>67.177100669923632</v>
      </c>
      <c r="M10" s="70">
        <f>IFERROR(s_DL/(s_RadSpec!$F10*s_IFCU_res_adj*s_CF_cucumber),".")</f>
        <v>67.177100669923632</v>
      </c>
      <c r="N10" s="70">
        <f>IFERROR(s_DL/(s_RadSpec!$F10*s_IFLE_res_adj*s_CF_lettuce),".")</f>
        <v>67.177100669923632</v>
      </c>
      <c r="O10" s="70">
        <f>IFERROR(s_DL/(s_RadSpec!$F10*s_IFLI_res_adj*s_CF_lima_bean),".")</f>
        <v>67.177100669923632</v>
      </c>
      <c r="P10" s="70">
        <f>IFERROR(s_DL/(s_RadSpec!$F10*s_IFOK_res_adj*s_CF_okra),".")</f>
        <v>67.177100669923632</v>
      </c>
      <c r="Q10" s="70">
        <f>IFERROR(s_DL/(s_RadSpec!$F10*s_IFON_res_adj*s_CF_onion),".")</f>
        <v>67.177100669923632</v>
      </c>
      <c r="R10" s="70">
        <f>IFERROR(s_DL/(s_RadSpec!$F10*s_IFPC_res_adj*s_CF_peach),".")</f>
        <v>67.177100669923632</v>
      </c>
      <c r="S10" s="70">
        <f>IFERROR(s_DL/(s_RadSpec!$F10*s_IFPR_res_adj*s_CF_pear),".")</f>
        <v>67.177100669923632</v>
      </c>
      <c r="T10" s="70">
        <f>IFERROR(s_DL/(s_RadSpec!$F10*s_IFPE_res_adj*s_CF_peas),".")</f>
        <v>67.177100669923632</v>
      </c>
      <c r="U10" s="70">
        <f>IFERROR(s_DL/(s_RadSpec!$F10*s_IFPP_res_adj*s_CF_peppers),".")</f>
        <v>67.177100669923632</v>
      </c>
      <c r="V10" s="70">
        <f>IFERROR(s_DL/(s_RadSpec!$F10*s_IFPT_res_adj*s_CF_potato),".")</f>
        <v>67.177100669923632</v>
      </c>
      <c r="W10" s="70">
        <f>IFERROR(s_DL/(s_RadSpec!$F10*s_IFPU_res_adj*s_CF_pumpkin),".")</f>
        <v>67.177100669923632</v>
      </c>
      <c r="X10" s="70">
        <f>IFERROR(s_DL/(s_RadSpec!$F10*s_IFSN_res_adj*s_CF_snap_bean),".")</f>
        <v>67.177100669923632</v>
      </c>
      <c r="Y10" s="70">
        <f>IFERROR(s_DL/(s_RadSpec!$F10*s_IFST_res_adj*s_CF_strawberry),".")</f>
        <v>67.177100669923632</v>
      </c>
      <c r="Z10" s="70">
        <f>IFERROR(s_DL/(s_RadSpec!$F10*s_IFTO_res_adj*s_CF_tomato),".")</f>
        <v>67.177100669923632</v>
      </c>
      <c r="AA10" s="70">
        <f>IFERROR(s_DL/(s_RadSpec!$F10*s_IFRI_res_adj*s_CF_rice),".")</f>
        <v>67.177100669923632</v>
      </c>
      <c r="AB10" s="70">
        <f>IFERROR(s_DL/(s_RadSpec!$F10*s_IFCG_res_adj*s_CF_cereal),".")</f>
        <v>67.177100669923632</v>
      </c>
      <c r="AC10" s="70">
        <f t="shared" si="25"/>
        <v>16.794275167480908</v>
      </c>
      <c r="AD10" s="70">
        <f>IFERROR(s_DL/(s_RadSpec!$F10*s_IFAP_far_adj*s_CF_apple),".")</f>
        <v>67.177100669923632</v>
      </c>
      <c r="AE10" s="70">
        <f>IFERROR(s_DL/(s_RadSpec!$F10*s_IFAS_far_adj*s_CF_asparagus),".")</f>
        <v>67.177100669923632</v>
      </c>
      <c r="AF10" s="70">
        <f>IFERROR(s_DL/(s_RadSpec!$F10*s_IFBT_far_adj*s_CF_beet),".")</f>
        <v>67.177100669923632</v>
      </c>
      <c r="AG10" s="70">
        <f>IFERROR(s_DL/(s_RadSpec!$F10*s_IFBE_far_adj*s_CF_berries),".")</f>
        <v>67.177100669923632</v>
      </c>
      <c r="AH10" s="70">
        <f>IFERROR(s_DL/(s_RadSpec!$F10*s_IFBR_far_adj*s_CF_broccoli),".")</f>
        <v>67.177100669923632</v>
      </c>
      <c r="AI10" s="70">
        <f>IFERROR(s_DL/(s_RadSpec!$F10*s_IFCB_far_adj*s_CF_cabbage),".")</f>
        <v>67.177100669923632</v>
      </c>
      <c r="AJ10" s="70">
        <f>IFERROR(s_DL/(s_RadSpec!$F10*s_IFCR_far_adj*s_CF_carrot),".")</f>
        <v>67.177100669923632</v>
      </c>
      <c r="AK10" s="70">
        <f>IFERROR(s_DL/(s_RadSpec!$F10*s_IFCI_far_adj*s_CF_citrus),".")</f>
        <v>67.177100669923632</v>
      </c>
      <c r="AL10" s="70">
        <f>IFERROR(s_DL/(s_RadSpec!$F10*s_IFCO_far_adj*s_CF_corn),".")</f>
        <v>67.177100669923632</v>
      </c>
      <c r="AM10" s="70">
        <f>IFERROR(s_DL/(s_RadSpec!$F10*s_IFCU_far_adj*s_CF_cucumber),".")</f>
        <v>67.177100669923632</v>
      </c>
      <c r="AN10" s="70">
        <f>IFERROR(s_DL/(s_RadSpec!$F10*s_IFLE_far_adj*s_CF_lettuce),".")</f>
        <v>67.177100669923632</v>
      </c>
      <c r="AO10" s="70">
        <f>IFERROR(s_DL/(s_RadSpec!$F10*s_IFLI_far_adj*s_CF_lima_bean),".")</f>
        <v>67.177100669923632</v>
      </c>
      <c r="AP10" s="70">
        <f>IFERROR(s_DL/(s_RadSpec!$F10*s_IFOK_far_adj*s_CF_okra),".")</f>
        <v>67.177100669923632</v>
      </c>
      <c r="AQ10" s="70">
        <f>IFERROR(s_DL/(s_RadSpec!$F10*s_IFON_far_adj*s_CF_onion),".")</f>
        <v>67.177100669923632</v>
      </c>
      <c r="AR10" s="70">
        <f>IFERROR(s_DL/(s_RadSpec!$F10*s_IFPC_far_adj*s_CF_peach),".")</f>
        <v>67.177100669923632</v>
      </c>
      <c r="AS10" s="70">
        <f>IFERROR(s_DL/(s_RadSpec!$F10*s_IFPR_far_adj*s_CF_pear),".")</f>
        <v>67.177100669923632</v>
      </c>
      <c r="AT10" s="70">
        <f>IFERROR(s_DL/(s_RadSpec!$F10*s_IFPE_far_adj*s_CF_peas),".")</f>
        <v>67.177100669923632</v>
      </c>
      <c r="AU10" s="70">
        <f>IFERROR(s_DL/(s_RadSpec!$F10*s_IFPP_far_adj*s_CF_peppers),".")</f>
        <v>67.177100669923632</v>
      </c>
      <c r="AV10" s="70">
        <f>IFERROR(s_DL/(s_RadSpec!$F10*s_IFPT_far_adj*s_CF_potato),".")</f>
        <v>67.177100669923632</v>
      </c>
      <c r="AW10" s="70">
        <f>IFERROR(s_DL/(s_RadSpec!$F10*s_IFPU_far_adj*s_CF_pumpkin),".")</f>
        <v>67.177100669923632</v>
      </c>
      <c r="AX10" s="70">
        <f>IFERROR(s_DL/(s_RadSpec!$F10*s_IFSN_far_adj*s_CF_snap_bean),".")</f>
        <v>67.177100669923632</v>
      </c>
      <c r="AY10" s="70">
        <f>IFERROR(s_DL/(s_RadSpec!$F10*s_IFST_far_adj*s_CF_strawberry),".")</f>
        <v>67.177100669923632</v>
      </c>
      <c r="AZ10" s="70">
        <f>IFERROR(s_DL/(s_RadSpec!$F10*s_IFTO_far_adj*s_CF_tomato),".")</f>
        <v>67.177100669923632</v>
      </c>
      <c r="BA10" s="70">
        <f>IFERROR(s_DL/(s_RadSpec!$F10*s_IFRI_far_adj*s_CF_rice),".")</f>
        <v>67.177100669923632</v>
      </c>
      <c r="BB10" s="70">
        <f>IFERROR(s_DL/(s_RadSpec!$F10*s_IFCG_far_adj*s_CF_cereal),".")</f>
        <v>67.177100669923632</v>
      </c>
      <c r="BC10" s="87">
        <f t="shared" si="26"/>
        <v>30250</v>
      </c>
      <c r="BD10" s="87">
        <f t="shared" si="0"/>
        <v>7562.5</v>
      </c>
      <c r="BE10" s="87">
        <f t="shared" si="1"/>
        <v>7562.5</v>
      </c>
      <c r="BF10" s="87">
        <f t="shared" si="2"/>
        <v>7562.5</v>
      </c>
      <c r="BG10" s="87">
        <f t="shared" si="3"/>
        <v>7562.5</v>
      </c>
      <c r="BH10" s="87">
        <f t="shared" si="4"/>
        <v>7562.5</v>
      </c>
      <c r="BI10" s="87">
        <f t="shared" si="5"/>
        <v>7562.5</v>
      </c>
      <c r="BJ10" s="87">
        <f t="shared" si="6"/>
        <v>7562.5</v>
      </c>
      <c r="BK10" s="87">
        <f t="shared" si="7"/>
        <v>7562.5</v>
      </c>
      <c r="BL10" s="87">
        <f t="shared" si="8"/>
        <v>7562.5</v>
      </c>
      <c r="BM10" s="87">
        <f t="shared" si="9"/>
        <v>7562.5</v>
      </c>
      <c r="BN10" s="87">
        <f t="shared" si="10"/>
        <v>7562.5</v>
      </c>
      <c r="BO10" s="87">
        <f t="shared" si="11"/>
        <v>7562.5</v>
      </c>
      <c r="BP10" s="87">
        <f t="shared" si="12"/>
        <v>7562.5</v>
      </c>
      <c r="BQ10" s="87">
        <f t="shared" si="13"/>
        <v>7562.5</v>
      </c>
      <c r="BR10" s="87">
        <f t="shared" si="14"/>
        <v>7562.5</v>
      </c>
      <c r="BS10" s="87">
        <f t="shared" si="15"/>
        <v>7562.5</v>
      </c>
      <c r="BT10" s="87">
        <f t="shared" si="27"/>
        <v>7562.5</v>
      </c>
      <c r="BU10" s="87">
        <f t="shared" si="16"/>
        <v>7562.5</v>
      </c>
      <c r="BV10" s="87">
        <f t="shared" si="17"/>
        <v>7562.5</v>
      </c>
      <c r="BW10" s="87">
        <f t="shared" si="18"/>
        <v>7562.5</v>
      </c>
      <c r="BX10" s="87">
        <f t="shared" si="19"/>
        <v>7562.5</v>
      </c>
      <c r="BY10" s="87">
        <f t="shared" si="20"/>
        <v>7562.5</v>
      </c>
      <c r="BZ10" s="87">
        <f t="shared" si="21"/>
        <v>7562.5</v>
      </c>
      <c r="CA10" s="87">
        <f t="shared" si="22"/>
        <v>7562.5</v>
      </c>
      <c r="CB10" s="87">
        <f t="shared" si="23"/>
        <v>7562.5</v>
      </c>
    </row>
    <row r="11" spans="1:80" x14ac:dyDescent="0.25">
      <c r="A11" s="86" t="s">
        <v>9</v>
      </c>
      <c r="B11" s="84" t="s">
        <v>1057</v>
      </c>
      <c r="C11" s="70" t="str">
        <f t="shared" si="24"/>
        <v>.</v>
      </c>
      <c r="D11" s="70" t="str">
        <f>IFERROR(s_DL/(s_RadSpec!$F11*s_IFAP_res_adj*s_CF_apple),".")</f>
        <v>.</v>
      </c>
      <c r="E11" s="70" t="str">
        <f>IFERROR(s_DL/(s_RadSpec!$F11*s_IFAS_res_adj*s_CF_asparagus),".")</f>
        <v>.</v>
      </c>
      <c r="F11" s="70" t="str">
        <f>IFERROR(s_DL/(s_RadSpec!$F11*s_IFBT_res_adj*s_CF_beet),".")</f>
        <v>.</v>
      </c>
      <c r="G11" s="70" t="str">
        <f>IFERROR(s_DL/(s_RadSpec!$F11*s_IFBE_res_adj*s_CF_berries),".")</f>
        <v>.</v>
      </c>
      <c r="H11" s="70" t="str">
        <f>IFERROR(s_DL/(s_RadSpec!$F11*s_IFBR_res_adj*s_CF_broccoli),".")</f>
        <v>.</v>
      </c>
      <c r="I11" s="70" t="str">
        <f>IFERROR(s_DL/(s_RadSpec!$F11*s_IFCB_res_adj*s_CF_cabbage),".")</f>
        <v>.</v>
      </c>
      <c r="J11" s="70" t="str">
        <f>IFERROR(s_DL/(s_RadSpec!$F11*s_IFCR_res_adj*s_CF_carrot),".")</f>
        <v>.</v>
      </c>
      <c r="K11" s="70" t="str">
        <f>IFERROR(s_DL/(s_RadSpec!$F11*s_IFCI_res_adj*s_CF_citrus),".")</f>
        <v>.</v>
      </c>
      <c r="L11" s="70" t="str">
        <f>IFERROR(s_DL/(s_RadSpec!$F11*s_IFCO_res_adj*s_CF_corn),".")</f>
        <v>.</v>
      </c>
      <c r="M11" s="70" t="str">
        <f>IFERROR(s_DL/(s_RadSpec!$F11*s_IFCU_res_adj*s_CF_cucumber),".")</f>
        <v>.</v>
      </c>
      <c r="N11" s="70" t="str">
        <f>IFERROR(s_DL/(s_RadSpec!$F11*s_IFLE_res_adj*s_CF_lettuce),".")</f>
        <v>.</v>
      </c>
      <c r="O11" s="70" t="str">
        <f>IFERROR(s_DL/(s_RadSpec!$F11*s_IFLI_res_adj*s_CF_lima_bean),".")</f>
        <v>.</v>
      </c>
      <c r="P11" s="70" t="str">
        <f>IFERROR(s_DL/(s_RadSpec!$F11*s_IFOK_res_adj*s_CF_okra),".")</f>
        <v>.</v>
      </c>
      <c r="Q11" s="70" t="str">
        <f>IFERROR(s_DL/(s_RadSpec!$F11*s_IFON_res_adj*s_CF_onion),".")</f>
        <v>.</v>
      </c>
      <c r="R11" s="70" t="str">
        <f>IFERROR(s_DL/(s_RadSpec!$F11*s_IFPC_res_adj*s_CF_peach),".")</f>
        <v>.</v>
      </c>
      <c r="S11" s="70" t="str">
        <f>IFERROR(s_DL/(s_RadSpec!$F11*s_IFPR_res_adj*s_CF_pear),".")</f>
        <v>.</v>
      </c>
      <c r="T11" s="70" t="str">
        <f>IFERROR(s_DL/(s_RadSpec!$F11*s_IFPE_res_adj*s_CF_peas),".")</f>
        <v>.</v>
      </c>
      <c r="U11" s="70" t="str">
        <f>IFERROR(s_DL/(s_RadSpec!$F11*s_IFPP_res_adj*s_CF_peppers),".")</f>
        <v>.</v>
      </c>
      <c r="V11" s="70" t="str">
        <f>IFERROR(s_DL/(s_RadSpec!$F11*s_IFPT_res_adj*s_CF_potato),".")</f>
        <v>.</v>
      </c>
      <c r="W11" s="70" t="str">
        <f>IFERROR(s_DL/(s_RadSpec!$F11*s_IFPU_res_adj*s_CF_pumpkin),".")</f>
        <v>.</v>
      </c>
      <c r="X11" s="70" t="str">
        <f>IFERROR(s_DL/(s_RadSpec!$F11*s_IFSN_res_adj*s_CF_snap_bean),".")</f>
        <v>.</v>
      </c>
      <c r="Y11" s="70" t="str">
        <f>IFERROR(s_DL/(s_RadSpec!$F11*s_IFST_res_adj*s_CF_strawberry),".")</f>
        <v>.</v>
      </c>
      <c r="Z11" s="70" t="str">
        <f>IFERROR(s_DL/(s_RadSpec!$F11*s_IFTO_res_adj*s_CF_tomato),".")</f>
        <v>.</v>
      </c>
      <c r="AA11" s="70" t="str">
        <f>IFERROR(s_DL/(s_RadSpec!$F11*s_IFRI_res_adj*s_CF_rice),".")</f>
        <v>.</v>
      </c>
      <c r="AB11" s="70" t="str">
        <f>IFERROR(s_DL/(s_RadSpec!$F11*s_IFCG_res_adj*s_CF_cereal),".")</f>
        <v>.</v>
      </c>
      <c r="AC11" s="70" t="str">
        <f t="shared" si="25"/>
        <v>.</v>
      </c>
      <c r="AD11" s="70" t="str">
        <f>IFERROR(s_DL/(s_RadSpec!$F11*s_IFAP_far_adj*s_CF_apple),".")</f>
        <v>.</v>
      </c>
      <c r="AE11" s="70" t="str">
        <f>IFERROR(s_DL/(s_RadSpec!$F11*s_IFAS_far_adj*s_CF_asparagus),".")</f>
        <v>.</v>
      </c>
      <c r="AF11" s="70" t="str">
        <f>IFERROR(s_DL/(s_RadSpec!$F11*s_IFBT_far_adj*s_CF_beet),".")</f>
        <v>.</v>
      </c>
      <c r="AG11" s="70" t="str">
        <f>IFERROR(s_DL/(s_RadSpec!$F11*s_IFBE_far_adj*s_CF_berries),".")</f>
        <v>.</v>
      </c>
      <c r="AH11" s="70" t="str">
        <f>IFERROR(s_DL/(s_RadSpec!$F11*s_IFBR_far_adj*s_CF_broccoli),".")</f>
        <v>.</v>
      </c>
      <c r="AI11" s="70" t="str">
        <f>IFERROR(s_DL/(s_RadSpec!$F11*s_IFCB_far_adj*s_CF_cabbage),".")</f>
        <v>.</v>
      </c>
      <c r="AJ11" s="70" t="str">
        <f>IFERROR(s_DL/(s_RadSpec!$F11*s_IFCR_far_adj*s_CF_carrot),".")</f>
        <v>.</v>
      </c>
      <c r="AK11" s="70" t="str">
        <f>IFERROR(s_DL/(s_RadSpec!$F11*s_IFCI_far_adj*s_CF_citrus),".")</f>
        <v>.</v>
      </c>
      <c r="AL11" s="70" t="str">
        <f>IFERROR(s_DL/(s_RadSpec!$F11*s_IFCO_far_adj*s_CF_corn),".")</f>
        <v>.</v>
      </c>
      <c r="AM11" s="70" t="str">
        <f>IFERROR(s_DL/(s_RadSpec!$F11*s_IFCU_far_adj*s_CF_cucumber),".")</f>
        <v>.</v>
      </c>
      <c r="AN11" s="70" t="str">
        <f>IFERROR(s_DL/(s_RadSpec!$F11*s_IFLE_far_adj*s_CF_lettuce),".")</f>
        <v>.</v>
      </c>
      <c r="AO11" s="70" t="str">
        <f>IFERROR(s_DL/(s_RadSpec!$F11*s_IFLI_far_adj*s_CF_lima_bean),".")</f>
        <v>.</v>
      </c>
      <c r="AP11" s="70" t="str">
        <f>IFERROR(s_DL/(s_RadSpec!$F11*s_IFOK_far_adj*s_CF_okra),".")</f>
        <v>.</v>
      </c>
      <c r="AQ11" s="70" t="str">
        <f>IFERROR(s_DL/(s_RadSpec!$F11*s_IFON_far_adj*s_CF_onion),".")</f>
        <v>.</v>
      </c>
      <c r="AR11" s="70" t="str">
        <f>IFERROR(s_DL/(s_RadSpec!$F11*s_IFPC_far_adj*s_CF_peach),".")</f>
        <v>.</v>
      </c>
      <c r="AS11" s="70" t="str">
        <f>IFERROR(s_DL/(s_RadSpec!$F11*s_IFPR_far_adj*s_CF_pear),".")</f>
        <v>.</v>
      </c>
      <c r="AT11" s="70" t="str">
        <f>IFERROR(s_DL/(s_RadSpec!$F11*s_IFPE_far_adj*s_CF_peas),".")</f>
        <v>.</v>
      </c>
      <c r="AU11" s="70" t="str">
        <f>IFERROR(s_DL/(s_RadSpec!$F11*s_IFPP_far_adj*s_CF_peppers),".")</f>
        <v>.</v>
      </c>
      <c r="AV11" s="70" t="str">
        <f>IFERROR(s_DL/(s_RadSpec!$F11*s_IFPT_far_adj*s_CF_potato),".")</f>
        <v>.</v>
      </c>
      <c r="AW11" s="70" t="str">
        <f>IFERROR(s_DL/(s_RadSpec!$F11*s_IFPU_far_adj*s_CF_pumpkin),".")</f>
        <v>.</v>
      </c>
      <c r="AX11" s="70" t="str">
        <f>IFERROR(s_DL/(s_RadSpec!$F11*s_IFSN_far_adj*s_CF_snap_bean),".")</f>
        <v>.</v>
      </c>
      <c r="AY11" s="70" t="str">
        <f>IFERROR(s_DL/(s_RadSpec!$F11*s_IFST_far_adj*s_CF_strawberry),".")</f>
        <v>.</v>
      </c>
      <c r="AZ11" s="70" t="str">
        <f>IFERROR(s_DL/(s_RadSpec!$F11*s_IFTO_far_adj*s_CF_tomato),".")</f>
        <v>.</v>
      </c>
      <c r="BA11" s="70" t="str">
        <f>IFERROR(s_DL/(s_RadSpec!$F11*s_IFRI_far_adj*s_CF_rice),".")</f>
        <v>.</v>
      </c>
      <c r="BB11" s="70" t="str">
        <f>IFERROR(s_DL/(s_RadSpec!$F11*s_IFCG_far_adj*s_CF_cereal),".")</f>
        <v>.</v>
      </c>
      <c r="BC11" s="87">
        <f t="shared" si="26"/>
        <v>30250</v>
      </c>
      <c r="BD11" s="87">
        <f t="shared" si="0"/>
        <v>7562.5</v>
      </c>
      <c r="BE11" s="87">
        <f t="shared" si="1"/>
        <v>7562.5</v>
      </c>
      <c r="BF11" s="87">
        <f t="shared" si="2"/>
        <v>7562.5</v>
      </c>
      <c r="BG11" s="87">
        <f t="shared" si="3"/>
        <v>7562.5</v>
      </c>
      <c r="BH11" s="87">
        <f t="shared" si="4"/>
        <v>7562.5</v>
      </c>
      <c r="BI11" s="87">
        <f t="shared" si="5"/>
        <v>7562.5</v>
      </c>
      <c r="BJ11" s="87">
        <f t="shared" si="6"/>
        <v>7562.5</v>
      </c>
      <c r="BK11" s="87">
        <f t="shared" si="7"/>
        <v>7562.5</v>
      </c>
      <c r="BL11" s="87">
        <f t="shared" si="8"/>
        <v>7562.5</v>
      </c>
      <c r="BM11" s="87">
        <f t="shared" si="9"/>
        <v>7562.5</v>
      </c>
      <c r="BN11" s="87">
        <f t="shared" si="10"/>
        <v>7562.5</v>
      </c>
      <c r="BO11" s="87">
        <f t="shared" si="11"/>
        <v>7562.5</v>
      </c>
      <c r="BP11" s="87">
        <f t="shared" si="12"/>
        <v>7562.5</v>
      </c>
      <c r="BQ11" s="87">
        <f t="shared" si="13"/>
        <v>7562.5</v>
      </c>
      <c r="BR11" s="87">
        <f t="shared" si="14"/>
        <v>7562.5</v>
      </c>
      <c r="BS11" s="87">
        <f t="shared" si="15"/>
        <v>7562.5</v>
      </c>
      <c r="BT11" s="87">
        <f t="shared" si="27"/>
        <v>7562.5</v>
      </c>
      <c r="BU11" s="87">
        <f t="shared" si="16"/>
        <v>7562.5</v>
      </c>
      <c r="BV11" s="87">
        <f t="shared" si="17"/>
        <v>7562.5</v>
      </c>
      <c r="BW11" s="87">
        <f t="shared" si="18"/>
        <v>7562.5</v>
      </c>
      <c r="BX11" s="87">
        <f t="shared" si="19"/>
        <v>7562.5</v>
      </c>
      <c r="BY11" s="87">
        <f t="shared" si="20"/>
        <v>7562.5</v>
      </c>
      <c r="BZ11" s="87">
        <f t="shared" si="21"/>
        <v>7562.5</v>
      </c>
      <c r="CA11" s="87">
        <f t="shared" si="22"/>
        <v>7562.5</v>
      </c>
      <c r="CB11" s="87">
        <f t="shared" si="23"/>
        <v>7562.5</v>
      </c>
    </row>
    <row r="12" spans="1:80" x14ac:dyDescent="0.25">
      <c r="A12" s="86" t="s">
        <v>10</v>
      </c>
      <c r="B12" s="84" t="s">
        <v>1057</v>
      </c>
      <c r="C12" s="70" t="str">
        <f t="shared" si="24"/>
        <v>.</v>
      </c>
      <c r="D12" s="70" t="str">
        <f>IFERROR(s_DL/(s_RadSpec!$F12*s_IFAP_res_adj*s_CF_apple),".")</f>
        <v>.</v>
      </c>
      <c r="E12" s="70" t="str">
        <f>IFERROR(s_DL/(s_RadSpec!$F12*s_IFAS_res_adj*s_CF_asparagus),".")</f>
        <v>.</v>
      </c>
      <c r="F12" s="70" t="str">
        <f>IFERROR(s_DL/(s_RadSpec!$F12*s_IFBT_res_adj*s_CF_beet),".")</f>
        <v>.</v>
      </c>
      <c r="G12" s="70" t="str">
        <f>IFERROR(s_DL/(s_RadSpec!$F12*s_IFBE_res_adj*s_CF_berries),".")</f>
        <v>.</v>
      </c>
      <c r="H12" s="70" t="str">
        <f>IFERROR(s_DL/(s_RadSpec!$F12*s_IFBR_res_adj*s_CF_broccoli),".")</f>
        <v>.</v>
      </c>
      <c r="I12" s="70" t="str">
        <f>IFERROR(s_DL/(s_RadSpec!$F12*s_IFCB_res_adj*s_CF_cabbage),".")</f>
        <v>.</v>
      </c>
      <c r="J12" s="70" t="str">
        <f>IFERROR(s_DL/(s_RadSpec!$F12*s_IFCR_res_adj*s_CF_carrot),".")</f>
        <v>.</v>
      </c>
      <c r="K12" s="70" t="str">
        <f>IFERROR(s_DL/(s_RadSpec!$F12*s_IFCI_res_adj*s_CF_citrus),".")</f>
        <v>.</v>
      </c>
      <c r="L12" s="70" t="str">
        <f>IFERROR(s_DL/(s_RadSpec!$F12*s_IFCO_res_adj*s_CF_corn),".")</f>
        <v>.</v>
      </c>
      <c r="M12" s="70" t="str">
        <f>IFERROR(s_DL/(s_RadSpec!$F12*s_IFCU_res_adj*s_CF_cucumber),".")</f>
        <v>.</v>
      </c>
      <c r="N12" s="70" t="str">
        <f>IFERROR(s_DL/(s_RadSpec!$F12*s_IFLE_res_adj*s_CF_lettuce),".")</f>
        <v>.</v>
      </c>
      <c r="O12" s="70" t="str">
        <f>IFERROR(s_DL/(s_RadSpec!$F12*s_IFLI_res_adj*s_CF_lima_bean),".")</f>
        <v>.</v>
      </c>
      <c r="P12" s="70" t="str">
        <f>IFERROR(s_DL/(s_RadSpec!$F12*s_IFOK_res_adj*s_CF_okra),".")</f>
        <v>.</v>
      </c>
      <c r="Q12" s="70" t="str">
        <f>IFERROR(s_DL/(s_RadSpec!$F12*s_IFON_res_adj*s_CF_onion),".")</f>
        <v>.</v>
      </c>
      <c r="R12" s="70" t="str">
        <f>IFERROR(s_DL/(s_RadSpec!$F12*s_IFPC_res_adj*s_CF_peach),".")</f>
        <v>.</v>
      </c>
      <c r="S12" s="70" t="str">
        <f>IFERROR(s_DL/(s_RadSpec!$F12*s_IFPR_res_adj*s_CF_pear),".")</f>
        <v>.</v>
      </c>
      <c r="T12" s="70" t="str">
        <f>IFERROR(s_DL/(s_RadSpec!$F12*s_IFPE_res_adj*s_CF_peas),".")</f>
        <v>.</v>
      </c>
      <c r="U12" s="70" t="str">
        <f>IFERROR(s_DL/(s_RadSpec!$F12*s_IFPP_res_adj*s_CF_peppers),".")</f>
        <v>.</v>
      </c>
      <c r="V12" s="70" t="str">
        <f>IFERROR(s_DL/(s_RadSpec!$F12*s_IFPT_res_adj*s_CF_potato),".")</f>
        <v>.</v>
      </c>
      <c r="W12" s="70" t="str">
        <f>IFERROR(s_DL/(s_RadSpec!$F12*s_IFPU_res_adj*s_CF_pumpkin),".")</f>
        <v>.</v>
      </c>
      <c r="X12" s="70" t="str">
        <f>IFERROR(s_DL/(s_RadSpec!$F12*s_IFSN_res_adj*s_CF_snap_bean),".")</f>
        <v>.</v>
      </c>
      <c r="Y12" s="70" t="str">
        <f>IFERROR(s_DL/(s_RadSpec!$F12*s_IFST_res_adj*s_CF_strawberry),".")</f>
        <v>.</v>
      </c>
      <c r="Z12" s="70" t="str">
        <f>IFERROR(s_DL/(s_RadSpec!$F12*s_IFTO_res_adj*s_CF_tomato),".")</f>
        <v>.</v>
      </c>
      <c r="AA12" s="70" t="str">
        <f>IFERROR(s_DL/(s_RadSpec!$F12*s_IFRI_res_adj*s_CF_rice),".")</f>
        <v>.</v>
      </c>
      <c r="AB12" s="70" t="str">
        <f>IFERROR(s_DL/(s_RadSpec!$F12*s_IFCG_res_adj*s_CF_cereal),".")</f>
        <v>.</v>
      </c>
      <c r="AC12" s="70" t="str">
        <f t="shared" si="25"/>
        <v>.</v>
      </c>
      <c r="AD12" s="70" t="str">
        <f>IFERROR(s_DL/(s_RadSpec!$F12*s_IFAP_far_adj*s_CF_apple),".")</f>
        <v>.</v>
      </c>
      <c r="AE12" s="70" t="str">
        <f>IFERROR(s_DL/(s_RadSpec!$F12*s_IFAS_far_adj*s_CF_asparagus),".")</f>
        <v>.</v>
      </c>
      <c r="AF12" s="70" t="str">
        <f>IFERROR(s_DL/(s_RadSpec!$F12*s_IFBT_far_adj*s_CF_beet),".")</f>
        <v>.</v>
      </c>
      <c r="AG12" s="70" t="str">
        <f>IFERROR(s_DL/(s_RadSpec!$F12*s_IFBE_far_adj*s_CF_berries),".")</f>
        <v>.</v>
      </c>
      <c r="AH12" s="70" t="str">
        <f>IFERROR(s_DL/(s_RadSpec!$F12*s_IFBR_far_adj*s_CF_broccoli),".")</f>
        <v>.</v>
      </c>
      <c r="AI12" s="70" t="str">
        <f>IFERROR(s_DL/(s_RadSpec!$F12*s_IFCB_far_adj*s_CF_cabbage),".")</f>
        <v>.</v>
      </c>
      <c r="AJ12" s="70" t="str">
        <f>IFERROR(s_DL/(s_RadSpec!$F12*s_IFCR_far_adj*s_CF_carrot),".")</f>
        <v>.</v>
      </c>
      <c r="AK12" s="70" t="str">
        <f>IFERROR(s_DL/(s_RadSpec!$F12*s_IFCI_far_adj*s_CF_citrus),".")</f>
        <v>.</v>
      </c>
      <c r="AL12" s="70" t="str">
        <f>IFERROR(s_DL/(s_RadSpec!$F12*s_IFCO_far_adj*s_CF_corn),".")</f>
        <v>.</v>
      </c>
      <c r="AM12" s="70" t="str">
        <f>IFERROR(s_DL/(s_RadSpec!$F12*s_IFCU_far_adj*s_CF_cucumber),".")</f>
        <v>.</v>
      </c>
      <c r="AN12" s="70" t="str">
        <f>IFERROR(s_DL/(s_RadSpec!$F12*s_IFLE_far_adj*s_CF_lettuce),".")</f>
        <v>.</v>
      </c>
      <c r="AO12" s="70" t="str">
        <f>IFERROR(s_DL/(s_RadSpec!$F12*s_IFLI_far_adj*s_CF_lima_bean),".")</f>
        <v>.</v>
      </c>
      <c r="AP12" s="70" t="str">
        <f>IFERROR(s_DL/(s_RadSpec!$F12*s_IFOK_far_adj*s_CF_okra),".")</f>
        <v>.</v>
      </c>
      <c r="AQ12" s="70" t="str">
        <f>IFERROR(s_DL/(s_RadSpec!$F12*s_IFON_far_adj*s_CF_onion),".")</f>
        <v>.</v>
      </c>
      <c r="AR12" s="70" t="str">
        <f>IFERROR(s_DL/(s_RadSpec!$F12*s_IFPC_far_adj*s_CF_peach),".")</f>
        <v>.</v>
      </c>
      <c r="AS12" s="70" t="str">
        <f>IFERROR(s_DL/(s_RadSpec!$F12*s_IFPR_far_adj*s_CF_pear),".")</f>
        <v>.</v>
      </c>
      <c r="AT12" s="70" t="str">
        <f>IFERROR(s_DL/(s_RadSpec!$F12*s_IFPE_far_adj*s_CF_peas),".")</f>
        <v>.</v>
      </c>
      <c r="AU12" s="70" t="str">
        <f>IFERROR(s_DL/(s_RadSpec!$F12*s_IFPP_far_adj*s_CF_peppers),".")</f>
        <v>.</v>
      </c>
      <c r="AV12" s="70" t="str">
        <f>IFERROR(s_DL/(s_RadSpec!$F12*s_IFPT_far_adj*s_CF_potato),".")</f>
        <v>.</v>
      </c>
      <c r="AW12" s="70" t="str">
        <f>IFERROR(s_DL/(s_RadSpec!$F12*s_IFPU_far_adj*s_CF_pumpkin),".")</f>
        <v>.</v>
      </c>
      <c r="AX12" s="70" t="str">
        <f>IFERROR(s_DL/(s_RadSpec!$F12*s_IFSN_far_adj*s_CF_snap_bean),".")</f>
        <v>.</v>
      </c>
      <c r="AY12" s="70" t="str">
        <f>IFERROR(s_DL/(s_RadSpec!$F12*s_IFST_far_adj*s_CF_strawberry),".")</f>
        <v>.</v>
      </c>
      <c r="AZ12" s="70" t="str">
        <f>IFERROR(s_DL/(s_RadSpec!$F12*s_IFTO_far_adj*s_CF_tomato),".")</f>
        <v>.</v>
      </c>
      <c r="BA12" s="70" t="str">
        <f>IFERROR(s_DL/(s_RadSpec!$F12*s_IFRI_far_adj*s_CF_rice),".")</f>
        <v>.</v>
      </c>
      <c r="BB12" s="70" t="str">
        <f>IFERROR(s_DL/(s_RadSpec!$F12*s_IFCG_far_adj*s_CF_cereal),".")</f>
        <v>.</v>
      </c>
      <c r="BC12" s="87">
        <f t="shared" si="26"/>
        <v>30250</v>
      </c>
      <c r="BD12" s="87">
        <f t="shared" si="0"/>
        <v>7562.5</v>
      </c>
      <c r="BE12" s="87">
        <f t="shared" si="1"/>
        <v>7562.5</v>
      </c>
      <c r="BF12" s="87">
        <f t="shared" si="2"/>
        <v>7562.5</v>
      </c>
      <c r="BG12" s="87">
        <f t="shared" si="3"/>
        <v>7562.5</v>
      </c>
      <c r="BH12" s="87">
        <f t="shared" si="4"/>
        <v>7562.5</v>
      </c>
      <c r="BI12" s="87">
        <f t="shared" si="5"/>
        <v>7562.5</v>
      </c>
      <c r="BJ12" s="87">
        <f t="shared" si="6"/>
        <v>7562.5</v>
      </c>
      <c r="BK12" s="87">
        <f t="shared" si="7"/>
        <v>7562.5</v>
      </c>
      <c r="BL12" s="87">
        <f t="shared" si="8"/>
        <v>7562.5</v>
      </c>
      <c r="BM12" s="87">
        <f t="shared" si="9"/>
        <v>7562.5</v>
      </c>
      <c r="BN12" s="87">
        <f t="shared" si="10"/>
        <v>7562.5</v>
      </c>
      <c r="BO12" s="87">
        <f t="shared" si="11"/>
        <v>7562.5</v>
      </c>
      <c r="BP12" s="87">
        <f t="shared" si="12"/>
        <v>7562.5</v>
      </c>
      <c r="BQ12" s="87">
        <f t="shared" si="13"/>
        <v>7562.5</v>
      </c>
      <c r="BR12" s="87">
        <f t="shared" si="14"/>
        <v>7562.5</v>
      </c>
      <c r="BS12" s="87">
        <f t="shared" si="15"/>
        <v>7562.5</v>
      </c>
      <c r="BT12" s="87">
        <f t="shared" si="27"/>
        <v>7562.5</v>
      </c>
      <c r="BU12" s="87">
        <f t="shared" si="16"/>
        <v>7562.5</v>
      </c>
      <c r="BV12" s="87">
        <f t="shared" si="17"/>
        <v>7562.5</v>
      </c>
      <c r="BW12" s="87">
        <f t="shared" si="18"/>
        <v>7562.5</v>
      </c>
      <c r="BX12" s="87">
        <f t="shared" si="19"/>
        <v>7562.5</v>
      </c>
      <c r="BY12" s="87">
        <f t="shared" si="20"/>
        <v>7562.5</v>
      </c>
      <c r="BZ12" s="87">
        <f t="shared" si="21"/>
        <v>7562.5</v>
      </c>
      <c r="CA12" s="87">
        <f t="shared" si="22"/>
        <v>7562.5</v>
      </c>
      <c r="CB12" s="87">
        <f t="shared" si="23"/>
        <v>7562.5</v>
      </c>
    </row>
    <row r="13" spans="1:80" x14ac:dyDescent="0.25">
      <c r="A13" s="86" t="s">
        <v>11</v>
      </c>
      <c r="B13" s="84" t="s">
        <v>1057</v>
      </c>
      <c r="C13" s="70">
        <f t="shared" si="24"/>
        <v>1.7869108778199687</v>
      </c>
      <c r="D13" s="70">
        <f>IFERROR(s_DL/(s_RadSpec!$F13*s_IFAP_res_adj*s_CF_apple),".")</f>
        <v>7.1476435112798749</v>
      </c>
      <c r="E13" s="70">
        <f>IFERROR(s_DL/(s_RadSpec!$F13*s_IFAS_res_adj*s_CF_asparagus),".")</f>
        <v>7.1476435112798749</v>
      </c>
      <c r="F13" s="70">
        <f>IFERROR(s_DL/(s_RadSpec!$F13*s_IFBT_res_adj*s_CF_beet),".")</f>
        <v>7.1476435112798749</v>
      </c>
      <c r="G13" s="70">
        <f>IFERROR(s_DL/(s_RadSpec!$F13*s_IFBE_res_adj*s_CF_berries),".")</f>
        <v>7.1476435112798749</v>
      </c>
      <c r="H13" s="70">
        <f>IFERROR(s_DL/(s_RadSpec!$F13*s_IFBR_res_adj*s_CF_broccoli),".")</f>
        <v>7.1476435112798749</v>
      </c>
      <c r="I13" s="70">
        <f>IFERROR(s_DL/(s_RadSpec!$F13*s_IFCB_res_adj*s_CF_cabbage),".")</f>
        <v>7.1476435112798749</v>
      </c>
      <c r="J13" s="70">
        <f>IFERROR(s_DL/(s_RadSpec!$F13*s_IFCR_res_adj*s_CF_carrot),".")</f>
        <v>7.1476435112798749</v>
      </c>
      <c r="K13" s="70">
        <f>IFERROR(s_DL/(s_RadSpec!$F13*s_IFCI_res_adj*s_CF_citrus),".")</f>
        <v>7.1476435112798749</v>
      </c>
      <c r="L13" s="70">
        <f>IFERROR(s_DL/(s_RadSpec!$F13*s_IFCO_res_adj*s_CF_corn),".")</f>
        <v>7.1476435112798749</v>
      </c>
      <c r="M13" s="70">
        <f>IFERROR(s_DL/(s_RadSpec!$F13*s_IFCU_res_adj*s_CF_cucumber),".")</f>
        <v>7.1476435112798749</v>
      </c>
      <c r="N13" s="70">
        <f>IFERROR(s_DL/(s_RadSpec!$F13*s_IFLE_res_adj*s_CF_lettuce),".")</f>
        <v>7.1476435112798749</v>
      </c>
      <c r="O13" s="70">
        <f>IFERROR(s_DL/(s_RadSpec!$F13*s_IFLI_res_adj*s_CF_lima_bean),".")</f>
        <v>7.1476435112798749</v>
      </c>
      <c r="P13" s="70">
        <f>IFERROR(s_DL/(s_RadSpec!$F13*s_IFOK_res_adj*s_CF_okra),".")</f>
        <v>7.1476435112798749</v>
      </c>
      <c r="Q13" s="70">
        <f>IFERROR(s_DL/(s_RadSpec!$F13*s_IFON_res_adj*s_CF_onion),".")</f>
        <v>7.1476435112798749</v>
      </c>
      <c r="R13" s="70">
        <f>IFERROR(s_DL/(s_RadSpec!$F13*s_IFPC_res_adj*s_CF_peach),".")</f>
        <v>7.1476435112798749</v>
      </c>
      <c r="S13" s="70">
        <f>IFERROR(s_DL/(s_RadSpec!$F13*s_IFPR_res_adj*s_CF_pear),".")</f>
        <v>7.1476435112798749</v>
      </c>
      <c r="T13" s="70">
        <f>IFERROR(s_DL/(s_RadSpec!$F13*s_IFPE_res_adj*s_CF_peas),".")</f>
        <v>7.1476435112798749</v>
      </c>
      <c r="U13" s="70">
        <f>IFERROR(s_DL/(s_RadSpec!$F13*s_IFPP_res_adj*s_CF_peppers),".")</f>
        <v>7.1476435112798749</v>
      </c>
      <c r="V13" s="70">
        <f>IFERROR(s_DL/(s_RadSpec!$F13*s_IFPT_res_adj*s_CF_potato),".")</f>
        <v>7.1476435112798749</v>
      </c>
      <c r="W13" s="70">
        <f>IFERROR(s_DL/(s_RadSpec!$F13*s_IFPU_res_adj*s_CF_pumpkin),".")</f>
        <v>7.1476435112798749</v>
      </c>
      <c r="X13" s="70">
        <f>IFERROR(s_DL/(s_RadSpec!$F13*s_IFSN_res_adj*s_CF_snap_bean),".")</f>
        <v>7.1476435112798749</v>
      </c>
      <c r="Y13" s="70">
        <f>IFERROR(s_DL/(s_RadSpec!$F13*s_IFST_res_adj*s_CF_strawberry),".")</f>
        <v>7.1476435112798749</v>
      </c>
      <c r="Z13" s="70">
        <f>IFERROR(s_DL/(s_RadSpec!$F13*s_IFTO_res_adj*s_CF_tomato),".")</f>
        <v>7.1476435112798749</v>
      </c>
      <c r="AA13" s="70">
        <f>IFERROR(s_DL/(s_RadSpec!$F13*s_IFRI_res_adj*s_CF_rice),".")</f>
        <v>7.1476435112798749</v>
      </c>
      <c r="AB13" s="70">
        <f>IFERROR(s_DL/(s_RadSpec!$F13*s_IFCG_res_adj*s_CF_cereal),".")</f>
        <v>7.1476435112798749</v>
      </c>
      <c r="AC13" s="70">
        <f t="shared" si="25"/>
        <v>1.7869108778199687</v>
      </c>
      <c r="AD13" s="70">
        <f>IFERROR(s_DL/(s_RadSpec!$F13*s_IFAP_far_adj*s_CF_apple),".")</f>
        <v>7.1476435112798749</v>
      </c>
      <c r="AE13" s="70">
        <f>IFERROR(s_DL/(s_RadSpec!$F13*s_IFAS_far_adj*s_CF_asparagus),".")</f>
        <v>7.1476435112798749</v>
      </c>
      <c r="AF13" s="70">
        <f>IFERROR(s_DL/(s_RadSpec!$F13*s_IFBT_far_adj*s_CF_beet),".")</f>
        <v>7.1476435112798749</v>
      </c>
      <c r="AG13" s="70">
        <f>IFERROR(s_DL/(s_RadSpec!$F13*s_IFBE_far_adj*s_CF_berries),".")</f>
        <v>7.1476435112798749</v>
      </c>
      <c r="AH13" s="70">
        <f>IFERROR(s_DL/(s_RadSpec!$F13*s_IFBR_far_adj*s_CF_broccoli),".")</f>
        <v>7.1476435112798749</v>
      </c>
      <c r="AI13" s="70">
        <f>IFERROR(s_DL/(s_RadSpec!$F13*s_IFCB_far_adj*s_CF_cabbage),".")</f>
        <v>7.1476435112798749</v>
      </c>
      <c r="AJ13" s="70">
        <f>IFERROR(s_DL/(s_RadSpec!$F13*s_IFCR_far_adj*s_CF_carrot),".")</f>
        <v>7.1476435112798749</v>
      </c>
      <c r="AK13" s="70">
        <f>IFERROR(s_DL/(s_RadSpec!$F13*s_IFCI_far_adj*s_CF_citrus),".")</f>
        <v>7.1476435112798749</v>
      </c>
      <c r="AL13" s="70">
        <f>IFERROR(s_DL/(s_RadSpec!$F13*s_IFCO_far_adj*s_CF_corn),".")</f>
        <v>7.1476435112798749</v>
      </c>
      <c r="AM13" s="70">
        <f>IFERROR(s_DL/(s_RadSpec!$F13*s_IFCU_far_adj*s_CF_cucumber),".")</f>
        <v>7.1476435112798749</v>
      </c>
      <c r="AN13" s="70">
        <f>IFERROR(s_DL/(s_RadSpec!$F13*s_IFLE_far_adj*s_CF_lettuce),".")</f>
        <v>7.1476435112798749</v>
      </c>
      <c r="AO13" s="70">
        <f>IFERROR(s_DL/(s_RadSpec!$F13*s_IFLI_far_adj*s_CF_lima_bean),".")</f>
        <v>7.1476435112798749</v>
      </c>
      <c r="AP13" s="70">
        <f>IFERROR(s_DL/(s_RadSpec!$F13*s_IFOK_far_adj*s_CF_okra),".")</f>
        <v>7.1476435112798749</v>
      </c>
      <c r="AQ13" s="70">
        <f>IFERROR(s_DL/(s_RadSpec!$F13*s_IFON_far_adj*s_CF_onion),".")</f>
        <v>7.1476435112798749</v>
      </c>
      <c r="AR13" s="70">
        <f>IFERROR(s_DL/(s_RadSpec!$F13*s_IFPC_far_adj*s_CF_peach),".")</f>
        <v>7.1476435112798749</v>
      </c>
      <c r="AS13" s="70">
        <f>IFERROR(s_DL/(s_RadSpec!$F13*s_IFPR_far_adj*s_CF_pear),".")</f>
        <v>7.1476435112798749</v>
      </c>
      <c r="AT13" s="70">
        <f>IFERROR(s_DL/(s_RadSpec!$F13*s_IFPE_far_adj*s_CF_peas),".")</f>
        <v>7.1476435112798749</v>
      </c>
      <c r="AU13" s="70">
        <f>IFERROR(s_DL/(s_RadSpec!$F13*s_IFPP_far_adj*s_CF_peppers),".")</f>
        <v>7.1476435112798749</v>
      </c>
      <c r="AV13" s="70">
        <f>IFERROR(s_DL/(s_RadSpec!$F13*s_IFPT_far_adj*s_CF_potato),".")</f>
        <v>7.1476435112798749</v>
      </c>
      <c r="AW13" s="70">
        <f>IFERROR(s_DL/(s_RadSpec!$F13*s_IFPU_far_adj*s_CF_pumpkin),".")</f>
        <v>7.1476435112798749</v>
      </c>
      <c r="AX13" s="70">
        <f>IFERROR(s_DL/(s_RadSpec!$F13*s_IFSN_far_adj*s_CF_snap_bean),".")</f>
        <v>7.1476435112798749</v>
      </c>
      <c r="AY13" s="70">
        <f>IFERROR(s_DL/(s_RadSpec!$F13*s_IFST_far_adj*s_CF_strawberry),".")</f>
        <v>7.1476435112798749</v>
      </c>
      <c r="AZ13" s="70">
        <f>IFERROR(s_DL/(s_RadSpec!$F13*s_IFTO_far_adj*s_CF_tomato),".")</f>
        <v>7.1476435112798749</v>
      </c>
      <c r="BA13" s="70">
        <f>IFERROR(s_DL/(s_RadSpec!$F13*s_IFRI_far_adj*s_CF_rice),".")</f>
        <v>7.1476435112798749</v>
      </c>
      <c r="BB13" s="70">
        <f>IFERROR(s_DL/(s_RadSpec!$F13*s_IFCG_far_adj*s_CF_cereal),".")</f>
        <v>7.1476435112798749</v>
      </c>
      <c r="BC13" s="87">
        <f t="shared" si="26"/>
        <v>30250</v>
      </c>
      <c r="BD13" s="87">
        <f t="shared" si="0"/>
        <v>7562.5</v>
      </c>
      <c r="BE13" s="87">
        <f t="shared" si="1"/>
        <v>7562.5</v>
      </c>
      <c r="BF13" s="87">
        <f t="shared" si="2"/>
        <v>7562.5</v>
      </c>
      <c r="BG13" s="87">
        <f t="shared" si="3"/>
        <v>7562.5</v>
      </c>
      <c r="BH13" s="87">
        <f t="shared" si="4"/>
        <v>7562.5</v>
      </c>
      <c r="BI13" s="87">
        <f t="shared" si="5"/>
        <v>7562.5</v>
      </c>
      <c r="BJ13" s="87">
        <f t="shared" si="6"/>
        <v>7562.5</v>
      </c>
      <c r="BK13" s="87">
        <f t="shared" si="7"/>
        <v>7562.5</v>
      </c>
      <c r="BL13" s="87">
        <f t="shared" si="8"/>
        <v>7562.5</v>
      </c>
      <c r="BM13" s="87">
        <f t="shared" si="9"/>
        <v>7562.5</v>
      </c>
      <c r="BN13" s="87">
        <f t="shared" si="10"/>
        <v>7562.5</v>
      </c>
      <c r="BO13" s="87">
        <f t="shared" si="11"/>
        <v>7562.5</v>
      </c>
      <c r="BP13" s="87">
        <f t="shared" si="12"/>
        <v>7562.5</v>
      </c>
      <c r="BQ13" s="87">
        <f t="shared" si="13"/>
        <v>7562.5</v>
      </c>
      <c r="BR13" s="87">
        <f t="shared" si="14"/>
        <v>7562.5</v>
      </c>
      <c r="BS13" s="87">
        <f t="shared" si="15"/>
        <v>7562.5</v>
      </c>
      <c r="BT13" s="87">
        <f t="shared" si="27"/>
        <v>7562.5</v>
      </c>
      <c r="BU13" s="87">
        <f t="shared" si="16"/>
        <v>7562.5</v>
      </c>
      <c r="BV13" s="87">
        <f t="shared" si="17"/>
        <v>7562.5</v>
      </c>
      <c r="BW13" s="87">
        <f t="shared" si="18"/>
        <v>7562.5</v>
      </c>
      <c r="BX13" s="87">
        <f t="shared" si="19"/>
        <v>7562.5</v>
      </c>
      <c r="BY13" s="87">
        <f t="shared" si="20"/>
        <v>7562.5</v>
      </c>
      <c r="BZ13" s="87">
        <f t="shared" si="21"/>
        <v>7562.5</v>
      </c>
      <c r="CA13" s="87">
        <f t="shared" si="22"/>
        <v>7562.5</v>
      </c>
      <c r="CB13" s="87">
        <f t="shared" si="23"/>
        <v>7562.5</v>
      </c>
    </row>
    <row r="14" spans="1:80" x14ac:dyDescent="0.25">
      <c r="A14" s="86" t="s">
        <v>12</v>
      </c>
      <c r="B14" s="84" t="s">
        <v>1057</v>
      </c>
      <c r="C14" s="70">
        <f t="shared" si="24"/>
        <v>169.21504524810311</v>
      </c>
      <c r="D14" s="70">
        <f>IFERROR(s_DL/(s_RadSpec!$F14*s_IFAP_res_adj*s_CF_apple),".")</f>
        <v>676.86018099241244</v>
      </c>
      <c r="E14" s="70">
        <f>IFERROR(s_DL/(s_RadSpec!$F14*s_IFAS_res_adj*s_CF_asparagus),".")</f>
        <v>676.86018099241244</v>
      </c>
      <c r="F14" s="70">
        <f>IFERROR(s_DL/(s_RadSpec!$F14*s_IFBT_res_adj*s_CF_beet),".")</f>
        <v>676.86018099241244</v>
      </c>
      <c r="G14" s="70">
        <f>IFERROR(s_DL/(s_RadSpec!$F14*s_IFBE_res_adj*s_CF_berries),".")</f>
        <v>676.86018099241244</v>
      </c>
      <c r="H14" s="70">
        <f>IFERROR(s_DL/(s_RadSpec!$F14*s_IFBR_res_adj*s_CF_broccoli),".")</f>
        <v>676.86018099241244</v>
      </c>
      <c r="I14" s="70">
        <f>IFERROR(s_DL/(s_RadSpec!$F14*s_IFCB_res_adj*s_CF_cabbage),".")</f>
        <v>676.86018099241244</v>
      </c>
      <c r="J14" s="70">
        <f>IFERROR(s_DL/(s_RadSpec!$F14*s_IFCR_res_adj*s_CF_carrot),".")</f>
        <v>676.86018099241244</v>
      </c>
      <c r="K14" s="70">
        <f>IFERROR(s_DL/(s_RadSpec!$F14*s_IFCI_res_adj*s_CF_citrus),".")</f>
        <v>676.86018099241244</v>
      </c>
      <c r="L14" s="70">
        <f>IFERROR(s_DL/(s_RadSpec!$F14*s_IFCO_res_adj*s_CF_corn),".")</f>
        <v>676.86018099241244</v>
      </c>
      <c r="M14" s="70">
        <f>IFERROR(s_DL/(s_RadSpec!$F14*s_IFCU_res_adj*s_CF_cucumber),".")</f>
        <v>676.86018099241244</v>
      </c>
      <c r="N14" s="70">
        <f>IFERROR(s_DL/(s_RadSpec!$F14*s_IFLE_res_adj*s_CF_lettuce),".")</f>
        <v>676.86018099241244</v>
      </c>
      <c r="O14" s="70">
        <f>IFERROR(s_DL/(s_RadSpec!$F14*s_IFLI_res_adj*s_CF_lima_bean),".")</f>
        <v>676.86018099241244</v>
      </c>
      <c r="P14" s="70">
        <f>IFERROR(s_DL/(s_RadSpec!$F14*s_IFOK_res_adj*s_CF_okra),".")</f>
        <v>676.86018099241244</v>
      </c>
      <c r="Q14" s="70">
        <f>IFERROR(s_DL/(s_RadSpec!$F14*s_IFON_res_adj*s_CF_onion),".")</f>
        <v>676.86018099241244</v>
      </c>
      <c r="R14" s="70">
        <f>IFERROR(s_DL/(s_RadSpec!$F14*s_IFPC_res_adj*s_CF_peach),".")</f>
        <v>676.86018099241244</v>
      </c>
      <c r="S14" s="70">
        <f>IFERROR(s_DL/(s_RadSpec!$F14*s_IFPR_res_adj*s_CF_pear),".")</f>
        <v>676.86018099241244</v>
      </c>
      <c r="T14" s="70">
        <f>IFERROR(s_DL/(s_RadSpec!$F14*s_IFPE_res_adj*s_CF_peas),".")</f>
        <v>676.86018099241244</v>
      </c>
      <c r="U14" s="70">
        <f>IFERROR(s_DL/(s_RadSpec!$F14*s_IFPP_res_adj*s_CF_peppers),".")</f>
        <v>676.86018099241244</v>
      </c>
      <c r="V14" s="70">
        <f>IFERROR(s_DL/(s_RadSpec!$F14*s_IFPT_res_adj*s_CF_potato),".")</f>
        <v>676.86018099241244</v>
      </c>
      <c r="W14" s="70">
        <f>IFERROR(s_DL/(s_RadSpec!$F14*s_IFPU_res_adj*s_CF_pumpkin),".")</f>
        <v>676.86018099241244</v>
      </c>
      <c r="X14" s="70">
        <f>IFERROR(s_DL/(s_RadSpec!$F14*s_IFSN_res_adj*s_CF_snap_bean),".")</f>
        <v>676.86018099241244</v>
      </c>
      <c r="Y14" s="70">
        <f>IFERROR(s_DL/(s_RadSpec!$F14*s_IFST_res_adj*s_CF_strawberry),".")</f>
        <v>676.86018099241244</v>
      </c>
      <c r="Z14" s="70">
        <f>IFERROR(s_DL/(s_RadSpec!$F14*s_IFTO_res_adj*s_CF_tomato),".")</f>
        <v>676.86018099241244</v>
      </c>
      <c r="AA14" s="70">
        <f>IFERROR(s_DL/(s_RadSpec!$F14*s_IFRI_res_adj*s_CF_rice),".")</f>
        <v>676.86018099241244</v>
      </c>
      <c r="AB14" s="70">
        <f>IFERROR(s_DL/(s_RadSpec!$F14*s_IFCG_res_adj*s_CF_cereal),".")</f>
        <v>676.86018099241244</v>
      </c>
      <c r="AC14" s="70">
        <f t="shared" si="25"/>
        <v>169.21504524810311</v>
      </c>
      <c r="AD14" s="70">
        <f>IFERROR(s_DL/(s_RadSpec!$F14*s_IFAP_far_adj*s_CF_apple),".")</f>
        <v>676.86018099241244</v>
      </c>
      <c r="AE14" s="70">
        <f>IFERROR(s_DL/(s_RadSpec!$F14*s_IFAS_far_adj*s_CF_asparagus),".")</f>
        <v>676.86018099241244</v>
      </c>
      <c r="AF14" s="70">
        <f>IFERROR(s_DL/(s_RadSpec!$F14*s_IFBT_far_adj*s_CF_beet),".")</f>
        <v>676.86018099241244</v>
      </c>
      <c r="AG14" s="70">
        <f>IFERROR(s_DL/(s_RadSpec!$F14*s_IFBE_far_adj*s_CF_berries),".")</f>
        <v>676.86018099241244</v>
      </c>
      <c r="AH14" s="70">
        <f>IFERROR(s_DL/(s_RadSpec!$F14*s_IFBR_far_adj*s_CF_broccoli),".")</f>
        <v>676.86018099241244</v>
      </c>
      <c r="AI14" s="70">
        <f>IFERROR(s_DL/(s_RadSpec!$F14*s_IFCB_far_adj*s_CF_cabbage),".")</f>
        <v>676.86018099241244</v>
      </c>
      <c r="AJ14" s="70">
        <f>IFERROR(s_DL/(s_RadSpec!$F14*s_IFCR_far_adj*s_CF_carrot),".")</f>
        <v>676.86018099241244</v>
      </c>
      <c r="AK14" s="70">
        <f>IFERROR(s_DL/(s_RadSpec!$F14*s_IFCI_far_adj*s_CF_citrus),".")</f>
        <v>676.86018099241244</v>
      </c>
      <c r="AL14" s="70">
        <f>IFERROR(s_DL/(s_RadSpec!$F14*s_IFCO_far_adj*s_CF_corn),".")</f>
        <v>676.86018099241244</v>
      </c>
      <c r="AM14" s="70">
        <f>IFERROR(s_DL/(s_RadSpec!$F14*s_IFCU_far_adj*s_CF_cucumber),".")</f>
        <v>676.86018099241244</v>
      </c>
      <c r="AN14" s="70">
        <f>IFERROR(s_DL/(s_RadSpec!$F14*s_IFLE_far_adj*s_CF_lettuce),".")</f>
        <v>676.86018099241244</v>
      </c>
      <c r="AO14" s="70">
        <f>IFERROR(s_DL/(s_RadSpec!$F14*s_IFLI_far_adj*s_CF_lima_bean),".")</f>
        <v>676.86018099241244</v>
      </c>
      <c r="AP14" s="70">
        <f>IFERROR(s_DL/(s_RadSpec!$F14*s_IFOK_far_adj*s_CF_okra),".")</f>
        <v>676.86018099241244</v>
      </c>
      <c r="AQ14" s="70">
        <f>IFERROR(s_DL/(s_RadSpec!$F14*s_IFON_far_adj*s_CF_onion),".")</f>
        <v>676.86018099241244</v>
      </c>
      <c r="AR14" s="70">
        <f>IFERROR(s_DL/(s_RadSpec!$F14*s_IFPC_far_adj*s_CF_peach),".")</f>
        <v>676.86018099241244</v>
      </c>
      <c r="AS14" s="70">
        <f>IFERROR(s_DL/(s_RadSpec!$F14*s_IFPR_far_adj*s_CF_pear),".")</f>
        <v>676.86018099241244</v>
      </c>
      <c r="AT14" s="70">
        <f>IFERROR(s_DL/(s_RadSpec!$F14*s_IFPE_far_adj*s_CF_peas),".")</f>
        <v>676.86018099241244</v>
      </c>
      <c r="AU14" s="70">
        <f>IFERROR(s_DL/(s_RadSpec!$F14*s_IFPP_far_adj*s_CF_peppers),".")</f>
        <v>676.86018099241244</v>
      </c>
      <c r="AV14" s="70">
        <f>IFERROR(s_DL/(s_RadSpec!$F14*s_IFPT_far_adj*s_CF_potato),".")</f>
        <v>676.86018099241244</v>
      </c>
      <c r="AW14" s="70">
        <f>IFERROR(s_DL/(s_RadSpec!$F14*s_IFPU_far_adj*s_CF_pumpkin),".")</f>
        <v>676.86018099241244</v>
      </c>
      <c r="AX14" s="70">
        <f>IFERROR(s_DL/(s_RadSpec!$F14*s_IFSN_far_adj*s_CF_snap_bean),".")</f>
        <v>676.86018099241244</v>
      </c>
      <c r="AY14" s="70">
        <f>IFERROR(s_DL/(s_RadSpec!$F14*s_IFST_far_adj*s_CF_strawberry),".")</f>
        <v>676.86018099241244</v>
      </c>
      <c r="AZ14" s="70">
        <f>IFERROR(s_DL/(s_RadSpec!$F14*s_IFTO_far_adj*s_CF_tomato),".")</f>
        <v>676.86018099241244</v>
      </c>
      <c r="BA14" s="70">
        <f>IFERROR(s_DL/(s_RadSpec!$F14*s_IFRI_far_adj*s_CF_rice),".")</f>
        <v>676.86018099241244</v>
      </c>
      <c r="BB14" s="70">
        <f>IFERROR(s_DL/(s_RadSpec!$F14*s_IFCG_far_adj*s_CF_cereal),".")</f>
        <v>676.86018099241244</v>
      </c>
      <c r="BC14" s="87">
        <f t="shared" si="26"/>
        <v>30250</v>
      </c>
      <c r="BD14" s="87">
        <f t="shared" si="0"/>
        <v>7562.5</v>
      </c>
      <c r="BE14" s="87">
        <f t="shared" si="1"/>
        <v>7562.5</v>
      </c>
      <c r="BF14" s="87">
        <f t="shared" si="2"/>
        <v>7562.5</v>
      </c>
      <c r="BG14" s="87">
        <f t="shared" si="3"/>
        <v>7562.5</v>
      </c>
      <c r="BH14" s="87">
        <f t="shared" si="4"/>
        <v>7562.5</v>
      </c>
      <c r="BI14" s="87">
        <f t="shared" si="5"/>
        <v>7562.5</v>
      </c>
      <c r="BJ14" s="87">
        <f t="shared" si="6"/>
        <v>7562.5</v>
      </c>
      <c r="BK14" s="87">
        <f t="shared" si="7"/>
        <v>7562.5</v>
      </c>
      <c r="BL14" s="87">
        <f t="shared" si="8"/>
        <v>7562.5</v>
      </c>
      <c r="BM14" s="87">
        <f t="shared" si="9"/>
        <v>7562.5</v>
      </c>
      <c r="BN14" s="87">
        <f t="shared" si="10"/>
        <v>7562.5</v>
      </c>
      <c r="BO14" s="87">
        <f t="shared" si="11"/>
        <v>7562.5</v>
      </c>
      <c r="BP14" s="87">
        <f t="shared" si="12"/>
        <v>7562.5</v>
      </c>
      <c r="BQ14" s="87">
        <f t="shared" si="13"/>
        <v>7562.5</v>
      </c>
      <c r="BR14" s="87">
        <f t="shared" si="14"/>
        <v>7562.5</v>
      </c>
      <c r="BS14" s="87">
        <f t="shared" si="15"/>
        <v>7562.5</v>
      </c>
      <c r="BT14" s="87">
        <f t="shared" si="27"/>
        <v>7562.5</v>
      </c>
      <c r="BU14" s="87">
        <f t="shared" si="16"/>
        <v>7562.5</v>
      </c>
      <c r="BV14" s="87">
        <f t="shared" si="17"/>
        <v>7562.5</v>
      </c>
      <c r="BW14" s="87">
        <f t="shared" si="18"/>
        <v>7562.5</v>
      </c>
      <c r="BX14" s="87">
        <f t="shared" si="19"/>
        <v>7562.5</v>
      </c>
      <c r="BY14" s="87">
        <f t="shared" si="20"/>
        <v>7562.5</v>
      </c>
      <c r="BZ14" s="87">
        <f t="shared" si="21"/>
        <v>7562.5</v>
      </c>
      <c r="CA14" s="87">
        <f t="shared" si="22"/>
        <v>7562.5</v>
      </c>
      <c r="CB14" s="87">
        <f t="shared" si="23"/>
        <v>7562.5</v>
      </c>
    </row>
    <row r="15" spans="1:80" x14ac:dyDescent="0.25">
      <c r="A15" s="86" t="s">
        <v>13</v>
      </c>
      <c r="B15" s="84" t="s">
        <v>1057</v>
      </c>
      <c r="C15" s="70">
        <f t="shared" si="24"/>
        <v>2990.145377878127</v>
      </c>
      <c r="D15" s="70">
        <f>IFERROR(s_DL/(s_RadSpec!$F15*s_IFAP_res_adj*s_CF_apple),".")</f>
        <v>11960.581511512508</v>
      </c>
      <c r="E15" s="70">
        <f>IFERROR(s_DL/(s_RadSpec!$F15*s_IFAS_res_adj*s_CF_asparagus),".")</f>
        <v>11960.581511512508</v>
      </c>
      <c r="F15" s="70">
        <f>IFERROR(s_DL/(s_RadSpec!$F15*s_IFBT_res_adj*s_CF_beet),".")</f>
        <v>11960.581511512508</v>
      </c>
      <c r="G15" s="70">
        <f>IFERROR(s_DL/(s_RadSpec!$F15*s_IFBE_res_adj*s_CF_berries),".")</f>
        <v>11960.581511512508</v>
      </c>
      <c r="H15" s="70">
        <f>IFERROR(s_DL/(s_RadSpec!$F15*s_IFBR_res_adj*s_CF_broccoli),".")</f>
        <v>11960.581511512508</v>
      </c>
      <c r="I15" s="70">
        <f>IFERROR(s_DL/(s_RadSpec!$F15*s_IFCB_res_adj*s_CF_cabbage),".")</f>
        <v>11960.581511512508</v>
      </c>
      <c r="J15" s="70">
        <f>IFERROR(s_DL/(s_RadSpec!$F15*s_IFCR_res_adj*s_CF_carrot),".")</f>
        <v>11960.581511512508</v>
      </c>
      <c r="K15" s="70">
        <f>IFERROR(s_DL/(s_RadSpec!$F15*s_IFCI_res_adj*s_CF_citrus),".")</f>
        <v>11960.581511512508</v>
      </c>
      <c r="L15" s="70">
        <f>IFERROR(s_DL/(s_RadSpec!$F15*s_IFCO_res_adj*s_CF_corn),".")</f>
        <v>11960.581511512508</v>
      </c>
      <c r="M15" s="70">
        <f>IFERROR(s_DL/(s_RadSpec!$F15*s_IFCU_res_adj*s_CF_cucumber),".")</f>
        <v>11960.581511512508</v>
      </c>
      <c r="N15" s="70">
        <f>IFERROR(s_DL/(s_RadSpec!$F15*s_IFLE_res_adj*s_CF_lettuce),".")</f>
        <v>11960.581511512508</v>
      </c>
      <c r="O15" s="70">
        <f>IFERROR(s_DL/(s_RadSpec!$F15*s_IFLI_res_adj*s_CF_lima_bean),".")</f>
        <v>11960.581511512508</v>
      </c>
      <c r="P15" s="70">
        <f>IFERROR(s_DL/(s_RadSpec!$F15*s_IFOK_res_adj*s_CF_okra),".")</f>
        <v>11960.581511512508</v>
      </c>
      <c r="Q15" s="70">
        <f>IFERROR(s_DL/(s_RadSpec!$F15*s_IFON_res_adj*s_CF_onion),".")</f>
        <v>11960.581511512508</v>
      </c>
      <c r="R15" s="70">
        <f>IFERROR(s_DL/(s_RadSpec!$F15*s_IFPC_res_adj*s_CF_peach),".")</f>
        <v>11960.581511512508</v>
      </c>
      <c r="S15" s="70">
        <f>IFERROR(s_DL/(s_RadSpec!$F15*s_IFPR_res_adj*s_CF_pear),".")</f>
        <v>11960.581511512508</v>
      </c>
      <c r="T15" s="70">
        <f>IFERROR(s_DL/(s_RadSpec!$F15*s_IFPE_res_adj*s_CF_peas),".")</f>
        <v>11960.581511512508</v>
      </c>
      <c r="U15" s="70">
        <f>IFERROR(s_DL/(s_RadSpec!$F15*s_IFPP_res_adj*s_CF_peppers),".")</f>
        <v>11960.581511512508</v>
      </c>
      <c r="V15" s="70">
        <f>IFERROR(s_DL/(s_RadSpec!$F15*s_IFPT_res_adj*s_CF_potato),".")</f>
        <v>11960.581511512508</v>
      </c>
      <c r="W15" s="70">
        <f>IFERROR(s_DL/(s_RadSpec!$F15*s_IFPU_res_adj*s_CF_pumpkin),".")</f>
        <v>11960.581511512508</v>
      </c>
      <c r="X15" s="70">
        <f>IFERROR(s_DL/(s_RadSpec!$F15*s_IFSN_res_adj*s_CF_snap_bean),".")</f>
        <v>11960.581511512508</v>
      </c>
      <c r="Y15" s="70">
        <f>IFERROR(s_DL/(s_RadSpec!$F15*s_IFST_res_adj*s_CF_strawberry),".")</f>
        <v>11960.581511512508</v>
      </c>
      <c r="Z15" s="70">
        <f>IFERROR(s_DL/(s_RadSpec!$F15*s_IFTO_res_adj*s_CF_tomato),".")</f>
        <v>11960.581511512508</v>
      </c>
      <c r="AA15" s="70">
        <f>IFERROR(s_DL/(s_RadSpec!$F15*s_IFRI_res_adj*s_CF_rice),".")</f>
        <v>11960.581511512508</v>
      </c>
      <c r="AB15" s="70">
        <f>IFERROR(s_DL/(s_RadSpec!$F15*s_IFCG_res_adj*s_CF_cereal),".")</f>
        <v>11960.581511512508</v>
      </c>
      <c r="AC15" s="70">
        <f t="shared" si="25"/>
        <v>2990.145377878127</v>
      </c>
      <c r="AD15" s="70">
        <f>IFERROR(s_DL/(s_RadSpec!$F15*s_IFAP_far_adj*s_CF_apple),".")</f>
        <v>11960.581511512508</v>
      </c>
      <c r="AE15" s="70">
        <f>IFERROR(s_DL/(s_RadSpec!$F15*s_IFAS_far_adj*s_CF_asparagus),".")</f>
        <v>11960.581511512508</v>
      </c>
      <c r="AF15" s="70">
        <f>IFERROR(s_DL/(s_RadSpec!$F15*s_IFBT_far_adj*s_CF_beet),".")</f>
        <v>11960.581511512508</v>
      </c>
      <c r="AG15" s="70">
        <f>IFERROR(s_DL/(s_RadSpec!$F15*s_IFBE_far_adj*s_CF_berries),".")</f>
        <v>11960.581511512508</v>
      </c>
      <c r="AH15" s="70">
        <f>IFERROR(s_DL/(s_RadSpec!$F15*s_IFBR_far_adj*s_CF_broccoli),".")</f>
        <v>11960.581511512508</v>
      </c>
      <c r="AI15" s="70">
        <f>IFERROR(s_DL/(s_RadSpec!$F15*s_IFCB_far_adj*s_CF_cabbage),".")</f>
        <v>11960.581511512508</v>
      </c>
      <c r="AJ15" s="70">
        <f>IFERROR(s_DL/(s_RadSpec!$F15*s_IFCR_far_adj*s_CF_carrot),".")</f>
        <v>11960.581511512508</v>
      </c>
      <c r="AK15" s="70">
        <f>IFERROR(s_DL/(s_RadSpec!$F15*s_IFCI_far_adj*s_CF_citrus),".")</f>
        <v>11960.581511512508</v>
      </c>
      <c r="AL15" s="70">
        <f>IFERROR(s_DL/(s_RadSpec!$F15*s_IFCO_far_adj*s_CF_corn),".")</f>
        <v>11960.581511512508</v>
      </c>
      <c r="AM15" s="70">
        <f>IFERROR(s_DL/(s_RadSpec!$F15*s_IFCU_far_adj*s_CF_cucumber),".")</f>
        <v>11960.581511512508</v>
      </c>
      <c r="AN15" s="70">
        <f>IFERROR(s_DL/(s_RadSpec!$F15*s_IFLE_far_adj*s_CF_lettuce),".")</f>
        <v>11960.581511512508</v>
      </c>
      <c r="AO15" s="70">
        <f>IFERROR(s_DL/(s_RadSpec!$F15*s_IFLI_far_adj*s_CF_lima_bean),".")</f>
        <v>11960.581511512508</v>
      </c>
      <c r="AP15" s="70">
        <f>IFERROR(s_DL/(s_RadSpec!$F15*s_IFOK_far_adj*s_CF_okra),".")</f>
        <v>11960.581511512508</v>
      </c>
      <c r="AQ15" s="70">
        <f>IFERROR(s_DL/(s_RadSpec!$F15*s_IFON_far_adj*s_CF_onion),".")</f>
        <v>11960.581511512508</v>
      </c>
      <c r="AR15" s="70">
        <f>IFERROR(s_DL/(s_RadSpec!$F15*s_IFPC_far_adj*s_CF_peach),".")</f>
        <v>11960.581511512508</v>
      </c>
      <c r="AS15" s="70">
        <f>IFERROR(s_DL/(s_RadSpec!$F15*s_IFPR_far_adj*s_CF_pear),".")</f>
        <v>11960.581511512508</v>
      </c>
      <c r="AT15" s="70">
        <f>IFERROR(s_DL/(s_RadSpec!$F15*s_IFPE_far_adj*s_CF_peas),".")</f>
        <v>11960.581511512508</v>
      </c>
      <c r="AU15" s="70">
        <f>IFERROR(s_DL/(s_RadSpec!$F15*s_IFPP_far_adj*s_CF_peppers),".")</f>
        <v>11960.581511512508</v>
      </c>
      <c r="AV15" s="70">
        <f>IFERROR(s_DL/(s_RadSpec!$F15*s_IFPT_far_adj*s_CF_potato),".")</f>
        <v>11960.581511512508</v>
      </c>
      <c r="AW15" s="70">
        <f>IFERROR(s_DL/(s_RadSpec!$F15*s_IFPU_far_adj*s_CF_pumpkin),".")</f>
        <v>11960.581511512508</v>
      </c>
      <c r="AX15" s="70">
        <f>IFERROR(s_DL/(s_RadSpec!$F15*s_IFSN_far_adj*s_CF_snap_bean),".")</f>
        <v>11960.581511512508</v>
      </c>
      <c r="AY15" s="70">
        <f>IFERROR(s_DL/(s_RadSpec!$F15*s_IFST_far_adj*s_CF_strawberry),".")</f>
        <v>11960.581511512508</v>
      </c>
      <c r="AZ15" s="70">
        <f>IFERROR(s_DL/(s_RadSpec!$F15*s_IFTO_far_adj*s_CF_tomato),".")</f>
        <v>11960.581511512508</v>
      </c>
      <c r="BA15" s="70">
        <f>IFERROR(s_DL/(s_RadSpec!$F15*s_IFRI_far_adj*s_CF_rice),".")</f>
        <v>11960.581511512508</v>
      </c>
      <c r="BB15" s="70">
        <f>IFERROR(s_DL/(s_RadSpec!$F15*s_IFCG_far_adj*s_CF_cereal),".")</f>
        <v>11960.581511512508</v>
      </c>
      <c r="BC15" s="87">
        <f t="shared" si="26"/>
        <v>30250</v>
      </c>
      <c r="BD15" s="87">
        <f t="shared" si="0"/>
        <v>7562.5</v>
      </c>
      <c r="BE15" s="87">
        <f t="shared" si="1"/>
        <v>7562.5</v>
      </c>
      <c r="BF15" s="87">
        <f t="shared" si="2"/>
        <v>7562.5</v>
      </c>
      <c r="BG15" s="87">
        <f t="shared" si="3"/>
        <v>7562.5</v>
      </c>
      <c r="BH15" s="87">
        <f t="shared" si="4"/>
        <v>7562.5</v>
      </c>
      <c r="BI15" s="87">
        <f t="shared" si="5"/>
        <v>7562.5</v>
      </c>
      <c r="BJ15" s="87">
        <f t="shared" si="6"/>
        <v>7562.5</v>
      </c>
      <c r="BK15" s="87">
        <f t="shared" si="7"/>
        <v>7562.5</v>
      </c>
      <c r="BL15" s="87">
        <f t="shared" si="8"/>
        <v>7562.5</v>
      </c>
      <c r="BM15" s="87">
        <f t="shared" si="9"/>
        <v>7562.5</v>
      </c>
      <c r="BN15" s="87">
        <f t="shared" si="10"/>
        <v>7562.5</v>
      </c>
      <c r="BO15" s="87">
        <f t="shared" si="11"/>
        <v>7562.5</v>
      </c>
      <c r="BP15" s="87">
        <f t="shared" si="12"/>
        <v>7562.5</v>
      </c>
      <c r="BQ15" s="87">
        <f t="shared" si="13"/>
        <v>7562.5</v>
      </c>
      <c r="BR15" s="87">
        <f t="shared" si="14"/>
        <v>7562.5</v>
      </c>
      <c r="BS15" s="87">
        <f t="shared" si="15"/>
        <v>7562.5</v>
      </c>
      <c r="BT15" s="87">
        <f t="shared" si="27"/>
        <v>7562.5</v>
      </c>
      <c r="BU15" s="87">
        <f t="shared" si="16"/>
        <v>7562.5</v>
      </c>
      <c r="BV15" s="87">
        <f t="shared" si="17"/>
        <v>7562.5</v>
      </c>
      <c r="BW15" s="87">
        <f t="shared" si="18"/>
        <v>7562.5</v>
      </c>
      <c r="BX15" s="87">
        <f t="shared" si="19"/>
        <v>7562.5</v>
      </c>
      <c r="BY15" s="87">
        <f t="shared" si="20"/>
        <v>7562.5</v>
      </c>
      <c r="BZ15" s="87">
        <f t="shared" si="21"/>
        <v>7562.5</v>
      </c>
      <c r="CA15" s="87">
        <f t="shared" si="22"/>
        <v>7562.5</v>
      </c>
      <c r="CB15" s="87">
        <f t="shared" si="23"/>
        <v>7562.5</v>
      </c>
    </row>
    <row r="16" spans="1:80" x14ac:dyDescent="0.25">
      <c r="A16" s="86" t="s">
        <v>14</v>
      </c>
      <c r="B16" s="84" t="s">
        <v>1057</v>
      </c>
      <c r="C16" s="70">
        <f t="shared" si="24"/>
        <v>0.21898417620342756</v>
      </c>
      <c r="D16" s="70">
        <f>IFERROR(s_DL/(s_RadSpec!$F16*s_IFAP_res_adj*s_CF_apple),".")</f>
        <v>0.87593670481371022</v>
      </c>
      <c r="E16" s="70">
        <f>IFERROR(s_DL/(s_RadSpec!$F16*s_IFAS_res_adj*s_CF_asparagus),".")</f>
        <v>0.87593670481371022</v>
      </c>
      <c r="F16" s="70">
        <f>IFERROR(s_DL/(s_RadSpec!$F16*s_IFBT_res_adj*s_CF_beet),".")</f>
        <v>0.87593670481371022</v>
      </c>
      <c r="G16" s="70">
        <f>IFERROR(s_DL/(s_RadSpec!$F16*s_IFBE_res_adj*s_CF_berries),".")</f>
        <v>0.87593670481371022</v>
      </c>
      <c r="H16" s="70">
        <f>IFERROR(s_DL/(s_RadSpec!$F16*s_IFBR_res_adj*s_CF_broccoli),".")</f>
        <v>0.87593670481371022</v>
      </c>
      <c r="I16" s="70">
        <f>IFERROR(s_DL/(s_RadSpec!$F16*s_IFCB_res_adj*s_CF_cabbage),".")</f>
        <v>0.87593670481371022</v>
      </c>
      <c r="J16" s="70">
        <f>IFERROR(s_DL/(s_RadSpec!$F16*s_IFCR_res_adj*s_CF_carrot),".")</f>
        <v>0.87593670481371022</v>
      </c>
      <c r="K16" s="70">
        <f>IFERROR(s_DL/(s_RadSpec!$F16*s_IFCI_res_adj*s_CF_citrus),".")</f>
        <v>0.87593670481371022</v>
      </c>
      <c r="L16" s="70">
        <f>IFERROR(s_DL/(s_RadSpec!$F16*s_IFCO_res_adj*s_CF_corn),".")</f>
        <v>0.87593670481371022</v>
      </c>
      <c r="M16" s="70">
        <f>IFERROR(s_DL/(s_RadSpec!$F16*s_IFCU_res_adj*s_CF_cucumber),".")</f>
        <v>0.87593670481371022</v>
      </c>
      <c r="N16" s="70">
        <f>IFERROR(s_DL/(s_RadSpec!$F16*s_IFLE_res_adj*s_CF_lettuce),".")</f>
        <v>0.87593670481371022</v>
      </c>
      <c r="O16" s="70">
        <f>IFERROR(s_DL/(s_RadSpec!$F16*s_IFLI_res_adj*s_CF_lima_bean),".")</f>
        <v>0.87593670481371022</v>
      </c>
      <c r="P16" s="70">
        <f>IFERROR(s_DL/(s_RadSpec!$F16*s_IFOK_res_adj*s_CF_okra),".")</f>
        <v>0.87593670481371022</v>
      </c>
      <c r="Q16" s="70">
        <f>IFERROR(s_DL/(s_RadSpec!$F16*s_IFON_res_adj*s_CF_onion),".")</f>
        <v>0.87593670481371022</v>
      </c>
      <c r="R16" s="70">
        <f>IFERROR(s_DL/(s_RadSpec!$F16*s_IFPC_res_adj*s_CF_peach),".")</f>
        <v>0.87593670481371022</v>
      </c>
      <c r="S16" s="70">
        <f>IFERROR(s_DL/(s_RadSpec!$F16*s_IFPR_res_adj*s_CF_pear),".")</f>
        <v>0.87593670481371022</v>
      </c>
      <c r="T16" s="70">
        <f>IFERROR(s_DL/(s_RadSpec!$F16*s_IFPE_res_adj*s_CF_peas),".")</f>
        <v>0.87593670481371022</v>
      </c>
      <c r="U16" s="70">
        <f>IFERROR(s_DL/(s_RadSpec!$F16*s_IFPP_res_adj*s_CF_peppers),".")</f>
        <v>0.87593670481371022</v>
      </c>
      <c r="V16" s="70">
        <f>IFERROR(s_DL/(s_RadSpec!$F16*s_IFPT_res_adj*s_CF_potato),".")</f>
        <v>0.87593670481371022</v>
      </c>
      <c r="W16" s="70">
        <f>IFERROR(s_DL/(s_RadSpec!$F16*s_IFPU_res_adj*s_CF_pumpkin),".")</f>
        <v>0.87593670481371022</v>
      </c>
      <c r="X16" s="70">
        <f>IFERROR(s_DL/(s_RadSpec!$F16*s_IFSN_res_adj*s_CF_snap_bean),".")</f>
        <v>0.87593670481371022</v>
      </c>
      <c r="Y16" s="70">
        <f>IFERROR(s_DL/(s_RadSpec!$F16*s_IFST_res_adj*s_CF_strawberry),".")</f>
        <v>0.87593670481371022</v>
      </c>
      <c r="Z16" s="70">
        <f>IFERROR(s_DL/(s_RadSpec!$F16*s_IFTO_res_adj*s_CF_tomato),".")</f>
        <v>0.87593670481371022</v>
      </c>
      <c r="AA16" s="70">
        <f>IFERROR(s_DL/(s_RadSpec!$F16*s_IFRI_res_adj*s_CF_rice),".")</f>
        <v>0.87593670481371022</v>
      </c>
      <c r="AB16" s="70">
        <f>IFERROR(s_DL/(s_RadSpec!$F16*s_IFCG_res_adj*s_CF_cereal),".")</f>
        <v>0.87593670481371022</v>
      </c>
      <c r="AC16" s="70">
        <f t="shared" si="25"/>
        <v>0.21898417620342756</v>
      </c>
      <c r="AD16" s="70">
        <f>IFERROR(s_DL/(s_RadSpec!$F16*s_IFAP_far_adj*s_CF_apple),".")</f>
        <v>0.87593670481371022</v>
      </c>
      <c r="AE16" s="70">
        <f>IFERROR(s_DL/(s_RadSpec!$F16*s_IFAS_far_adj*s_CF_asparagus),".")</f>
        <v>0.87593670481371022</v>
      </c>
      <c r="AF16" s="70">
        <f>IFERROR(s_DL/(s_RadSpec!$F16*s_IFBT_far_adj*s_CF_beet),".")</f>
        <v>0.87593670481371022</v>
      </c>
      <c r="AG16" s="70">
        <f>IFERROR(s_DL/(s_RadSpec!$F16*s_IFBE_far_adj*s_CF_berries),".")</f>
        <v>0.87593670481371022</v>
      </c>
      <c r="AH16" s="70">
        <f>IFERROR(s_DL/(s_RadSpec!$F16*s_IFBR_far_adj*s_CF_broccoli),".")</f>
        <v>0.87593670481371022</v>
      </c>
      <c r="AI16" s="70">
        <f>IFERROR(s_DL/(s_RadSpec!$F16*s_IFCB_far_adj*s_CF_cabbage),".")</f>
        <v>0.87593670481371022</v>
      </c>
      <c r="AJ16" s="70">
        <f>IFERROR(s_DL/(s_RadSpec!$F16*s_IFCR_far_adj*s_CF_carrot),".")</f>
        <v>0.87593670481371022</v>
      </c>
      <c r="AK16" s="70">
        <f>IFERROR(s_DL/(s_RadSpec!$F16*s_IFCI_far_adj*s_CF_citrus),".")</f>
        <v>0.87593670481371022</v>
      </c>
      <c r="AL16" s="70">
        <f>IFERROR(s_DL/(s_RadSpec!$F16*s_IFCO_far_adj*s_CF_corn),".")</f>
        <v>0.87593670481371022</v>
      </c>
      <c r="AM16" s="70">
        <f>IFERROR(s_DL/(s_RadSpec!$F16*s_IFCU_far_adj*s_CF_cucumber),".")</f>
        <v>0.87593670481371022</v>
      </c>
      <c r="AN16" s="70">
        <f>IFERROR(s_DL/(s_RadSpec!$F16*s_IFLE_far_adj*s_CF_lettuce),".")</f>
        <v>0.87593670481371022</v>
      </c>
      <c r="AO16" s="70">
        <f>IFERROR(s_DL/(s_RadSpec!$F16*s_IFLI_far_adj*s_CF_lima_bean),".")</f>
        <v>0.87593670481371022</v>
      </c>
      <c r="AP16" s="70">
        <f>IFERROR(s_DL/(s_RadSpec!$F16*s_IFOK_far_adj*s_CF_okra),".")</f>
        <v>0.87593670481371022</v>
      </c>
      <c r="AQ16" s="70">
        <f>IFERROR(s_DL/(s_RadSpec!$F16*s_IFON_far_adj*s_CF_onion),".")</f>
        <v>0.87593670481371022</v>
      </c>
      <c r="AR16" s="70">
        <f>IFERROR(s_DL/(s_RadSpec!$F16*s_IFPC_far_adj*s_CF_peach),".")</f>
        <v>0.87593670481371022</v>
      </c>
      <c r="AS16" s="70">
        <f>IFERROR(s_DL/(s_RadSpec!$F16*s_IFPR_far_adj*s_CF_pear),".")</f>
        <v>0.87593670481371022</v>
      </c>
      <c r="AT16" s="70">
        <f>IFERROR(s_DL/(s_RadSpec!$F16*s_IFPE_far_adj*s_CF_peas),".")</f>
        <v>0.87593670481371022</v>
      </c>
      <c r="AU16" s="70">
        <f>IFERROR(s_DL/(s_RadSpec!$F16*s_IFPP_far_adj*s_CF_peppers),".")</f>
        <v>0.87593670481371022</v>
      </c>
      <c r="AV16" s="70">
        <f>IFERROR(s_DL/(s_RadSpec!$F16*s_IFPT_far_adj*s_CF_potato),".")</f>
        <v>0.87593670481371022</v>
      </c>
      <c r="AW16" s="70">
        <f>IFERROR(s_DL/(s_RadSpec!$F16*s_IFPU_far_adj*s_CF_pumpkin),".")</f>
        <v>0.87593670481371022</v>
      </c>
      <c r="AX16" s="70">
        <f>IFERROR(s_DL/(s_RadSpec!$F16*s_IFSN_far_adj*s_CF_snap_bean),".")</f>
        <v>0.87593670481371022</v>
      </c>
      <c r="AY16" s="70">
        <f>IFERROR(s_DL/(s_RadSpec!$F16*s_IFST_far_adj*s_CF_strawberry),".")</f>
        <v>0.87593670481371022</v>
      </c>
      <c r="AZ16" s="70">
        <f>IFERROR(s_DL/(s_RadSpec!$F16*s_IFTO_far_adj*s_CF_tomato),".")</f>
        <v>0.87593670481371022</v>
      </c>
      <c r="BA16" s="70">
        <f>IFERROR(s_DL/(s_RadSpec!$F16*s_IFRI_far_adj*s_CF_rice),".")</f>
        <v>0.87593670481371022</v>
      </c>
      <c r="BB16" s="70">
        <f>IFERROR(s_DL/(s_RadSpec!$F16*s_IFCG_far_adj*s_CF_cereal),".")</f>
        <v>0.87593670481371022</v>
      </c>
      <c r="BC16" s="87">
        <f t="shared" si="26"/>
        <v>30250</v>
      </c>
      <c r="BD16" s="87">
        <f t="shared" si="0"/>
        <v>7562.5</v>
      </c>
      <c r="BE16" s="87">
        <f t="shared" si="1"/>
        <v>7562.5</v>
      </c>
      <c r="BF16" s="87">
        <f t="shared" si="2"/>
        <v>7562.5</v>
      </c>
      <c r="BG16" s="87">
        <f t="shared" si="3"/>
        <v>7562.5</v>
      </c>
      <c r="BH16" s="87">
        <f t="shared" si="4"/>
        <v>7562.5</v>
      </c>
      <c r="BI16" s="87">
        <f t="shared" si="5"/>
        <v>7562.5</v>
      </c>
      <c r="BJ16" s="87">
        <f t="shared" si="6"/>
        <v>7562.5</v>
      </c>
      <c r="BK16" s="87">
        <f t="shared" si="7"/>
        <v>7562.5</v>
      </c>
      <c r="BL16" s="87">
        <f t="shared" si="8"/>
        <v>7562.5</v>
      </c>
      <c r="BM16" s="87">
        <f t="shared" si="9"/>
        <v>7562.5</v>
      </c>
      <c r="BN16" s="87">
        <f t="shared" si="10"/>
        <v>7562.5</v>
      </c>
      <c r="BO16" s="87">
        <f t="shared" si="11"/>
        <v>7562.5</v>
      </c>
      <c r="BP16" s="87">
        <f t="shared" si="12"/>
        <v>7562.5</v>
      </c>
      <c r="BQ16" s="87">
        <f t="shared" si="13"/>
        <v>7562.5</v>
      </c>
      <c r="BR16" s="87">
        <f t="shared" si="14"/>
        <v>7562.5</v>
      </c>
      <c r="BS16" s="87">
        <f t="shared" si="15"/>
        <v>7562.5</v>
      </c>
      <c r="BT16" s="87">
        <f t="shared" si="27"/>
        <v>7562.5</v>
      </c>
      <c r="BU16" s="87">
        <f t="shared" si="16"/>
        <v>7562.5</v>
      </c>
      <c r="BV16" s="87">
        <f t="shared" si="17"/>
        <v>7562.5</v>
      </c>
      <c r="BW16" s="87">
        <f t="shared" si="18"/>
        <v>7562.5</v>
      </c>
      <c r="BX16" s="87">
        <f t="shared" si="19"/>
        <v>7562.5</v>
      </c>
      <c r="BY16" s="87">
        <f t="shared" si="20"/>
        <v>7562.5</v>
      </c>
      <c r="BZ16" s="87">
        <f t="shared" si="21"/>
        <v>7562.5</v>
      </c>
      <c r="CA16" s="87">
        <f t="shared" si="22"/>
        <v>7562.5</v>
      </c>
      <c r="CB16" s="87">
        <f t="shared" si="23"/>
        <v>7562.5</v>
      </c>
    </row>
    <row r="17" spans="1:80" x14ac:dyDescent="0.25">
      <c r="A17" s="86" t="s">
        <v>15</v>
      </c>
      <c r="B17" s="84" t="s">
        <v>1057</v>
      </c>
      <c r="C17" s="70">
        <f t="shared" si="24"/>
        <v>1122.4314559170657</v>
      </c>
      <c r="D17" s="70">
        <f>IFERROR(s_DL/(s_RadSpec!$F17*s_IFAP_res_adj*s_CF_apple),".")</f>
        <v>4489.7258236682628</v>
      </c>
      <c r="E17" s="70">
        <f>IFERROR(s_DL/(s_RadSpec!$F17*s_IFAS_res_adj*s_CF_asparagus),".")</f>
        <v>4489.7258236682628</v>
      </c>
      <c r="F17" s="70">
        <f>IFERROR(s_DL/(s_RadSpec!$F17*s_IFBT_res_adj*s_CF_beet),".")</f>
        <v>4489.7258236682628</v>
      </c>
      <c r="G17" s="70">
        <f>IFERROR(s_DL/(s_RadSpec!$F17*s_IFBE_res_adj*s_CF_berries),".")</f>
        <v>4489.7258236682628</v>
      </c>
      <c r="H17" s="70">
        <f>IFERROR(s_DL/(s_RadSpec!$F17*s_IFBR_res_adj*s_CF_broccoli),".")</f>
        <v>4489.7258236682628</v>
      </c>
      <c r="I17" s="70">
        <f>IFERROR(s_DL/(s_RadSpec!$F17*s_IFCB_res_adj*s_CF_cabbage),".")</f>
        <v>4489.7258236682628</v>
      </c>
      <c r="J17" s="70">
        <f>IFERROR(s_DL/(s_RadSpec!$F17*s_IFCR_res_adj*s_CF_carrot),".")</f>
        <v>4489.7258236682628</v>
      </c>
      <c r="K17" s="70">
        <f>IFERROR(s_DL/(s_RadSpec!$F17*s_IFCI_res_adj*s_CF_citrus),".")</f>
        <v>4489.7258236682628</v>
      </c>
      <c r="L17" s="70">
        <f>IFERROR(s_DL/(s_RadSpec!$F17*s_IFCO_res_adj*s_CF_corn),".")</f>
        <v>4489.7258236682628</v>
      </c>
      <c r="M17" s="70">
        <f>IFERROR(s_DL/(s_RadSpec!$F17*s_IFCU_res_adj*s_CF_cucumber),".")</f>
        <v>4489.7258236682628</v>
      </c>
      <c r="N17" s="70">
        <f>IFERROR(s_DL/(s_RadSpec!$F17*s_IFLE_res_adj*s_CF_lettuce),".")</f>
        <v>4489.7258236682628</v>
      </c>
      <c r="O17" s="70">
        <f>IFERROR(s_DL/(s_RadSpec!$F17*s_IFLI_res_adj*s_CF_lima_bean),".")</f>
        <v>4489.7258236682628</v>
      </c>
      <c r="P17" s="70">
        <f>IFERROR(s_DL/(s_RadSpec!$F17*s_IFOK_res_adj*s_CF_okra),".")</f>
        <v>4489.7258236682628</v>
      </c>
      <c r="Q17" s="70">
        <f>IFERROR(s_DL/(s_RadSpec!$F17*s_IFON_res_adj*s_CF_onion),".")</f>
        <v>4489.7258236682628</v>
      </c>
      <c r="R17" s="70">
        <f>IFERROR(s_DL/(s_RadSpec!$F17*s_IFPC_res_adj*s_CF_peach),".")</f>
        <v>4489.7258236682628</v>
      </c>
      <c r="S17" s="70">
        <f>IFERROR(s_DL/(s_RadSpec!$F17*s_IFPR_res_adj*s_CF_pear),".")</f>
        <v>4489.7258236682628</v>
      </c>
      <c r="T17" s="70">
        <f>IFERROR(s_DL/(s_RadSpec!$F17*s_IFPE_res_adj*s_CF_peas),".")</f>
        <v>4489.7258236682628</v>
      </c>
      <c r="U17" s="70">
        <f>IFERROR(s_DL/(s_RadSpec!$F17*s_IFPP_res_adj*s_CF_peppers),".")</f>
        <v>4489.7258236682628</v>
      </c>
      <c r="V17" s="70">
        <f>IFERROR(s_DL/(s_RadSpec!$F17*s_IFPT_res_adj*s_CF_potato),".")</f>
        <v>4489.7258236682628</v>
      </c>
      <c r="W17" s="70">
        <f>IFERROR(s_DL/(s_RadSpec!$F17*s_IFPU_res_adj*s_CF_pumpkin),".")</f>
        <v>4489.7258236682628</v>
      </c>
      <c r="X17" s="70">
        <f>IFERROR(s_DL/(s_RadSpec!$F17*s_IFSN_res_adj*s_CF_snap_bean),".")</f>
        <v>4489.7258236682628</v>
      </c>
      <c r="Y17" s="70">
        <f>IFERROR(s_DL/(s_RadSpec!$F17*s_IFST_res_adj*s_CF_strawberry),".")</f>
        <v>4489.7258236682628</v>
      </c>
      <c r="Z17" s="70">
        <f>IFERROR(s_DL/(s_RadSpec!$F17*s_IFTO_res_adj*s_CF_tomato),".")</f>
        <v>4489.7258236682628</v>
      </c>
      <c r="AA17" s="70">
        <f>IFERROR(s_DL/(s_RadSpec!$F17*s_IFRI_res_adj*s_CF_rice),".")</f>
        <v>4489.7258236682628</v>
      </c>
      <c r="AB17" s="70">
        <f>IFERROR(s_DL/(s_RadSpec!$F17*s_IFCG_res_adj*s_CF_cereal),".")</f>
        <v>4489.7258236682628</v>
      </c>
      <c r="AC17" s="70">
        <f t="shared" si="25"/>
        <v>1122.4314559170657</v>
      </c>
      <c r="AD17" s="70">
        <f>IFERROR(s_DL/(s_RadSpec!$F17*s_IFAP_far_adj*s_CF_apple),".")</f>
        <v>4489.7258236682628</v>
      </c>
      <c r="AE17" s="70">
        <f>IFERROR(s_DL/(s_RadSpec!$F17*s_IFAS_far_adj*s_CF_asparagus),".")</f>
        <v>4489.7258236682628</v>
      </c>
      <c r="AF17" s="70">
        <f>IFERROR(s_DL/(s_RadSpec!$F17*s_IFBT_far_adj*s_CF_beet),".")</f>
        <v>4489.7258236682628</v>
      </c>
      <c r="AG17" s="70">
        <f>IFERROR(s_DL/(s_RadSpec!$F17*s_IFBE_far_adj*s_CF_berries),".")</f>
        <v>4489.7258236682628</v>
      </c>
      <c r="AH17" s="70">
        <f>IFERROR(s_DL/(s_RadSpec!$F17*s_IFBR_far_adj*s_CF_broccoli),".")</f>
        <v>4489.7258236682628</v>
      </c>
      <c r="AI17" s="70">
        <f>IFERROR(s_DL/(s_RadSpec!$F17*s_IFCB_far_adj*s_CF_cabbage),".")</f>
        <v>4489.7258236682628</v>
      </c>
      <c r="AJ17" s="70">
        <f>IFERROR(s_DL/(s_RadSpec!$F17*s_IFCR_far_adj*s_CF_carrot),".")</f>
        <v>4489.7258236682628</v>
      </c>
      <c r="AK17" s="70">
        <f>IFERROR(s_DL/(s_RadSpec!$F17*s_IFCI_far_adj*s_CF_citrus),".")</f>
        <v>4489.7258236682628</v>
      </c>
      <c r="AL17" s="70">
        <f>IFERROR(s_DL/(s_RadSpec!$F17*s_IFCO_far_adj*s_CF_corn),".")</f>
        <v>4489.7258236682628</v>
      </c>
      <c r="AM17" s="70">
        <f>IFERROR(s_DL/(s_RadSpec!$F17*s_IFCU_far_adj*s_CF_cucumber),".")</f>
        <v>4489.7258236682628</v>
      </c>
      <c r="AN17" s="70">
        <f>IFERROR(s_DL/(s_RadSpec!$F17*s_IFLE_far_adj*s_CF_lettuce),".")</f>
        <v>4489.7258236682628</v>
      </c>
      <c r="AO17" s="70">
        <f>IFERROR(s_DL/(s_RadSpec!$F17*s_IFLI_far_adj*s_CF_lima_bean),".")</f>
        <v>4489.7258236682628</v>
      </c>
      <c r="AP17" s="70">
        <f>IFERROR(s_DL/(s_RadSpec!$F17*s_IFOK_far_adj*s_CF_okra),".")</f>
        <v>4489.7258236682628</v>
      </c>
      <c r="AQ17" s="70">
        <f>IFERROR(s_DL/(s_RadSpec!$F17*s_IFON_far_adj*s_CF_onion),".")</f>
        <v>4489.7258236682628</v>
      </c>
      <c r="AR17" s="70">
        <f>IFERROR(s_DL/(s_RadSpec!$F17*s_IFPC_far_adj*s_CF_peach),".")</f>
        <v>4489.7258236682628</v>
      </c>
      <c r="AS17" s="70">
        <f>IFERROR(s_DL/(s_RadSpec!$F17*s_IFPR_far_adj*s_CF_pear),".")</f>
        <v>4489.7258236682628</v>
      </c>
      <c r="AT17" s="70">
        <f>IFERROR(s_DL/(s_RadSpec!$F17*s_IFPE_far_adj*s_CF_peas),".")</f>
        <v>4489.7258236682628</v>
      </c>
      <c r="AU17" s="70">
        <f>IFERROR(s_DL/(s_RadSpec!$F17*s_IFPP_far_adj*s_CF_peppers),".")</f>
        <v>4489.7258236682628</v>
      </c>
      <c r="AV17" s="70">
        <f>IFERROR(s_DL/(s_RadSpec!$F17*s_IFPT_far_adj*s_CF_potato),".")</f>
        <v>4489.7258236682628</v>
      </c>
      <c r="AW17" s="70">
        <f>IFERROR(s_DL/(s_RadSpec!$F17*s_IFPU_far_adj*s_CF_pumpkin),".")</f>
        <v>4489.7258236682628</v>
      </c>
      <c r="AX17" s="70">
        <f>IFERROR(s_DL/(s_RadSpec!$F17*s_IFSN_far_adj*s_CF_snap_bean),".")</f>
        <v>4489.7258236682628</v>
      </c>
      <c r="AY17" s="70">
        <f>IFERROR(s_DL/(s_RadSpec!$F17*s_IFST_far_adj*s_CF_strawberry),".")</f>
        <v>4489.7258236682628</v>
      </c>
      <c r="AZ17" s="70">
        <f>IFERROR(s_DL/(s_RadSpec!$F17*s_IFTO_far_adj*s_CF_tomato),".")</f>
        <v>4489.7258236682628</v>
      </c>
      <c r="BA17" s="70">
        <f>IFERROR(s_DL/(s_RadSpec!$F17*s_IFRI_far_adj*s_CF_rice),".")</f>
        <v>4489.7258236682628</v>
      </c>
      <c r="BB17" s="70">
        <f>IFERROR(s_DL/(s_RadSpec!$F17*s_IFCG_far_adj*s_CF_cereal),".")</f>
        <v>4489.7258236682628</v>
      </c>
      <c r="BC17" s="87">
        <f t="shared" si="26"/>
        <v>30250</v>
      </c>
      <c r="BD17" s="87">
        <f t="shared" si="0"/>
        <v>7562.5</v>
      </c>
      <c r="BE17" s="87">
        <f t="shared" si="1"/>
        <v>7562.5</v>
      </c>
      <c r="BF17" s="87">
        <f t="shared" si="2"/>
        <v>7562.5</v>
      </c>
      <c r="BG17" s="87">
        <f t="shared" si="3"/>
        <v>7562.5</v>
      </c>
      <c r="BH17" s="87">
        <f t="shared" si="4"/>
        <v>7562.5</v>
      </c>
      <c r="BI17" s="87">
        <f t="shared" si="5"/>
        <v>7562.5</v>
      </c>
      <c r="BJ17" s="87">
        <f t="shared" si="6"/>
        <v>7562.5</v>
      </c>
      <c r="BK17" s="87">
        <f t="shared" si="7"/>
        <v>7562.5</v>
      </c>
      <c r="BL17" s="87">
        <f t="shared" si="8"/>
        <v>7562.5</v>
      </c>
      <c r="BM17" s="87">
        <f t="shared" si="9"/>
        <v>7562.5</v>
      </c>
      <c r="BN17" s="87">
        <f t="shared" si="10"/>
        <v>7562.5</v>
      </c>
      <c r="BO17" s="87">
        <f t="shared" si="11"/>
        <v>7562.5</v>
      </c>
      <c r="BP17" s="87">
        <f t="shared" si="12"/>
        <v>7562.5</v>
      </c>
      <c r="BQ17" s="87">
        <f t="shared" si="13"/>
        <v>7562.5</v>
      </c>
      <c r="BR17" s="87">
        <f t="shared" si="14"/>
        <v>7562.5</v>
      </c>
      <c r="BS17" s="87">
        <f t="shared" si="15"/>
        <v>7562.5</v>
      </c>
      <c r="BT17" s="87">
        <f t="shared" si="27"/>
        <v>7562.5</v>
      </c>
      <c r="BU17" s="87">
        <f t="shared" si="16"/>
        <v>7562.5</v>
      </c>
      <c r="BV17" s="87">
        <f t="shared" si="17"/>
        <v>7562.5</v>
      </c>
      <c r="BW17" s="87">
        <f t="shared" si="18"/>
        <v>7562.5</v>
      </c>
      <c r="BX17" s="87">
        <f t="shared" si="19"/>
        <v>7562.5</v>
      </c>
      <c r="BY17" s="87">
        <f t="shared" si="20"/>
        <v>7562.5</v>
      </c>
      <c r="BZ17" s="87">
        <f t="shared" si="21"/>
        <v>7562.5</v>
      </c>
      <c r="CA17" s="87">
        <f t="shared" si="22"/>
        <v>7562.5</v>
      </c>
      <c r="CB17" s="87">
        <f t="shared" si="23"/>
        <v>7562.5</v>
      </c>
    </row>
    <row r="18" spans="1:80" x14ac:dyDescent="0.25">
      <c r="A18" s="86" t="s">
        <v>16</v>
      </c>
      <c r="B18" s="84" t="s">
        <v>1057</v>
      </c>
      <c r="C18" s="70">
        <f t="shared" si="24"/>
        <v>0.12763649127285492</v>
      </c>
      <c r="D18" s="70">
        <f>IFERROR(s_DL/(s_RadSpec!$F18*s_IFAP_res_adj*s_CF_apple),".")</f>
        <v>0.5105459650914197</v>
      </c>
      <c r="E18" s="70">
        <f>IFERROR(s_DL/(s_RadSpec!$F18*s_IFAS_res_adj*s_CF_asparagus),".")</f>
        <v>0.5105459650914197</v>
      </c>
      <c r="F18" s="70">
        <f>IFERROR(s_DL/(s_RadSpec!$F18*s_IFBT_res_adj*s_CF_beet),".")</f>
        <v>0.5105459650914197</v>
      </c>
      <c r="G18" s="70">
        <f>IFERROR(s_DL/(s_RadSpec!$F18*s_IFBE_res_adj*s_CF_berries),".")</f>
        <v>0.5105459650914197</v>
      </c>
      <c r="H18" s="70">
        <f>IFERROR(s_DL/(s_RadSpec!$F18*s_IFBR_res_adj*s_CF_broccoli),".")</f>
        <v>0.5105459650914197</v>
      </c>
      <c r="I18" s="70">
        <f>IFERROR(s_DL/(s_RadSpec!$F18*s_IFCB_res_adj*s_CF_cabbage),".")</f>
        <v>0.5105459650914197</v>
      </c>
      <c r="J18" s="70">
        <f>IFERROR(s_DL/(s_RadSpec!$F18*s_IFCR_res_adj*s_CF_carrot),".")</f>
        <v>0.5105459650914197</v>
      </c>
      <c r="K18" s="70">
        <f>IFERROR(s_DL/(s_RadSpec!$F18*s_IFCI_res_adj*s_CF_citrus),".")</f>
        <v>0.5105459650914197</v>
      </c>
      <c r="L18" s="70">
        <f>IFERROR(s_DL/(s_RadSpec!$F18*s_IFCO_res_adj*s_CF_corn),".")</f>
        <v>0.5105459650914197</v>
      </c>
      <c r="M18" s="70">
        <f>IFERROR(s_DL/(s_RadSpec!$F18*s_IFCU_res_adj*s_CF_cucumber),".")</f>
        <v>0.5105459650914197</v>
      </c>
      <c r="N18" s="70">
        <f>IFERROR(s_DL/(s_RadSpec!$F18*s_IFLE_res_adj*s_CF_lettuce),".")</f>
        <v>0.5105459650914197</v>
      </c>
      <c r="O18" s="70">
        <f>IFERROR(s_DL/(s_RadSpec!$F18*s_IFLI_res_adj*s_CF_lima_bean),".")</f>
        <v>0.5105459650914197</v>
      </c>
      <c r="P18" s="70">
        <f>IFERROR(s_DL/(s_RadSpec!$F18*s_IFOK_res_adj*s_CF_okra),".")</f>
        <v>0.5105459650914197</v>
      </c>
      <c r="Q18" s="70">
        <f>IFERROR(s_DL/(s_RadSpec!$F18*s_IFON_res_adj*s_CF_onion),".")</f>
        <v>0.5105459650914197</v>
      </c>
      <c r="R18" s="70">
        <f>IFERROR(s_DL/(s_RadSpec!$F18*s_IFPC_res_adj*s_CF_peach),".")</f>
        <v>0.5105459650914197</v>
      </c>
      <c r="S18" s="70">
        <f>IFERROR(s_DL/(s_RadSpec!$F18*s_IFPR_res_adj*s_CF_pear),".")</f>
        <v>0.5105459650914197</v>
      </c>
      <c r="T18" s="70">
        <f>IFERROR(s_DL/(s_RadSpec!$F18*s_IFPE_res_adj*s_CF_peas),".")</f>
        <v>0.5105459650914197</v>
      </c>
      <c r="U18" s="70">
        <f>IFERROR(s_DL/(s_RadSpec!$F18*s_IFPP_res_adj*s_CF_peppers),".")</f>
        <v>0.5105459650914197</v>
      </c>
      <c r="V18" s="70">
        <f>IFERROR(s_DL/(s_RadSpec!$F18*s_IFPT_res_adj*s_CF_potato),".")</f>
        <v>0.5105459650914197</v>
      </c>
      <c r="W18" s="70">
        <f>IFERROR(s_DL/(s_RadSpec!$F18*s_IFPU_res_adj*s_CF_pumpkin),".")</f>
        <v>0.5105459650914197</v>
      </c>
      <c r="X18" s="70">
        <f>IFERROR(s_DL/(s_RadSpec!$F18*s_IFSN_res_adj*s_CF_snap_bean),".")</f>
        <v>0.5105459650914197</v>
      </c>
      <c r="Y18" s="70">
        <f>IFERROR(s_DL/(s_RadSpec!$F18*s_IFST_res_adj*s_CF_strawberry),".")</f>
        <v>0.5105459650914197</v>
      </c>
      <c r="Z18" s="70">
        <f>IFERROR(s_DL/(s_RadSpec!$F18*s_IFTO_res_adj*s_CF_tomato),".")</f>
        <v>0.5105459650914197</v>
      </c>
      <c r="AA18" s="70">
        <f>IFERROR(s_DL/(s_RadSpec!$F18*s_IFRI_res_adj*s_CF_rice),".")</f>
        <v>0.5105459650914197</v>
      </c>
      <c r="AB18" s="70">
        <f>IFERROR(s_DL/(s_RadSpec!$F18*s_IFCG_res_adj*s_CF_cereal),".")</f>
        <v>0.5105459650914197</v>
      </c>
      <c r="AC18" s="70">
        <f t="shared" si="25"/>
        <v>0.12763649127285492</v>
      </c>
      <c r="AD18" s="70">
        <f>IFERROR(s_DL/(s_RadSpec!$F18*s_IFAP_far_adj*s_CF_apple),".")</f>
        <v>0.5105459650914197</v>
      </c>
      <c r="AE18" s="70">
        <f>IFERROR(s_DL/(s_RadSpec!$F18*s_IFAS_far_adj*s_CF_asparagus),".")</f>
        <v>0.5105459650914197</v>
      </c>
      <c r="AF18" s="70">
        <f>IFERROR(s_DL/(s_RadSpec!$F18*s_IFBT_far_adj*s_CF_beet),".")</f>
        <v>0.5105459650914197</v>
      </c>
      <c r="AG18" s="70">
        <f>IFERROR(s_DL/(s_RadSpec!$F18*s_IFBE_far_adj*s_CF_berries),".")</f>
        <v>0.5105459650914197</v>
      </c>
      <c r="AH18" s="70">
        <f>IFERROR(s_DL/(s_RadSpec!$F18*s_IFBR_far_adj*s_CF_broccoli),".")</f>
        <v>0.5105459650914197</v>
      </c>
      <c r="AI18" s="70">
        <f>IFERROR(s_DL/(s_RadSpec!$F18*s_IFCB_far_adj*s_CF_cabbage),".")</f>
        <v>0.5105459650914197</v>
      </c>
      <c r="AJ18" s="70">
        <f>IFERROR(s_DL/(s_RadSpec!$F18*s_IFCR_far_adj*s_CF_carrot),".")</f>
        <v>0.5105459650914197</v>
      </c>
      <c r="AK18" s="70">
        <f>IFERROR(s_DL/(s_RadSpec!$F18*s_IFCI_far_adj*s_CF_citrus),".")</f>
        <v>0.5105459650914197</v>
      </c>
      <c r="AL18" s="70">
        <f>IFERROR(s_DL/(s_RadSpec!$F18*s_IFCO_far_adj*s_CF_corn),".")</f>
        <v>0.5105459650914197</v>
      </c>
      <c r="AM18" s="70">
        <f>IFERROR(s_DL/(s_RadSpec!$F18*s_IFCU_far_adj*s_CF_cucumber),".")</f>
        <v>0.5105459650914197</v>
      </c>
      <c r="AN18" s="70">
        <f>IFERROR(s_DL/(s_RadSpec!$F18*s_IFLE_far_adj*s_CF_lettuce),".")</f>
        <v>0.5105459650914197</v>
      </c>
      <c r="AO18" s="70">
        <f>IFERROR(s_DL/(s_RadSpec!$F18*s_IFLI_far_adj*s_CF_lima_bean),".")</f>
        <v>0.5105459650914197</v>
      </c>
      <c r="AP18" s="70">
        <f>IFERROR(s_DL/(s_RadSpec!$F18*s_IFOK_far_adj*s_CF_okra),".")</f>
        <v>0.5105459650914197</v>
      </c>
      <c r="AQ18" s="70">
        <f>IFERROR(s_DL/(s_RadSpec!$F18*s_IFON_far_adj*s_CF_onion),".")</f>
        <v>0.5105459650914197</v>
      </c>
      <c r="AR18" s="70">
        <f>IFERROR(s_DL/(s_RadSpec!$F18*s_IFPC_far_adj*s_CF_peach),".")</f>
        <v>0.5105459650914197</v>
      </c>
      <c r="AS18" s="70">
        <f>IFERROR(s_DL/(s_RadSpec!$F18*s_IFPR_far_adj*s_CF_pear),".")</f>
        <v>0.5105459650914197</v>
      </c>
      <c r="AT18" s="70">
        <f>IFERROR(s_DL/(s_RadSpec!$F18*s_IFPE_far_adj*s_CF_peas),".")</f>
        <v>0.5105459650914197</v>
      </c>
      <c r="AU18" s="70">
        <f>IFERROR(s_DL/(s_RadSpec!$F18*s_IFPP_far_adj*s_CF_peppers),".")</f>
        <v>0.5105459650914197</v>
      </c>
      <c r="AV18" s="70">
        <f>IFERROR(s_DL/(s_RadSpec!$F18*s_IFPT_far_adj*s_CF_potato),".")</f>
        <v>0.5105459650914197</v>
      </c>
      <c r="AW18" s="70">
        <f>IFERROR(s_DL/(s_RadSpec!$F18*s_IFPU_far_adj*s_CF_pumpkin),".")</f>
        <v>0.5105459650914197</v>
      </c>
      <c r="AX18" s="70">
        <f>IFERROR(s_DL/(s_RadSpec!$F18*s_IFSN_far_adj*s_CF_snap_bean),".")</f>
        <v>0.5105459650914197</v>
      </c>
      <c r="AY18" s="70">
        <f>IFERROR(s_DL/(s_RadSpec!$F18*s_IFST_far_adj*s_CF_strawberry),".")</f>
        <v>0.5105459650914197</v>
      </c>
      <c r="AZ18" s="70">
        <f>IFERROR(s_DL/(s_RadSpec!$F18*s_IFTO_far_adj*s_CF_tomato),".")</f>
        <v>0.5105459650914197</v>
      </c>
      <c r="BA18" s="70">
        <f>IFERROR(s_DL/(s_RadSpec!$F18*s_IFRI_far_adj*s_CF_rice),".")</f>
        <v>0.5105459650914197</v>
      </c>
      <c r="BB18" s="70">
        <f>IFERROR(s_DL/(s_RadSpec!$F18*s_IFCG_far_adj*s_CF_cereal),".")</f>
        <v>0.5105459650914197</v>
      </c>
      <c r="BC18" s="87">
        <f t="shared" si="26"/>
        <v>30250</v>
      </c>
      <c r="BD18" s="87">
        <f t="shared" si="0"/>
        <v>7562.5</v>
      </c>
      <c r="BE18" s="87">
        <f t="shared" si="1"/>
        <v>7562.5</v>
      </c>
      <c r="BF18" s="87">
        <f t="shared" si="2"/>
        <v>7562.5</v>
      </c>
      <c r="BG18" s="87">
        <f t="shared" si="3"/>
        <v>7562.5</v>
      </c>
      <c r="BH18" s="87">
        <f t="shared" si="4"/>
        <v>7562.5</v>
      </c>
      <c r="BI18" s="87">
        <f t="shared" si="5"/>
        <v>7562.5</v>
      </c>
      <c r="BJ18" s="87">
        <f t="shared" si="6"/>
        <v>7562.5</v>
      </c>
      <c r="BK18" s="87">
        <f t="shared" si="7"/>
        <v>7562.5</v>
      </c>
      <c r="BL18" s="87">
        <f t="shared" si="8"/>
        <v>7562.5</v>
      </c>
      <c r="BM18" s="87">
        <f t="shared" si="9"/>
        <v>7562.5</v>
      </c>
      <c r="BN18" s="87">
        <f t="shared" si="10"/>
        <v>7562.5</v>
      </c>
      <c r="BO18" s="87">
        <f t="shared" si="11"/>
        <v>7562.5</v>
      </c>
      <c r="BP18" s="87">
        <f t="shared" si="12"/>
        <v>7562.5</v>
      </c>
      <c r="BQ18" s="87">
        <f t="shared" si="13"/>
        <v>7562.5</v>
      </c>
      <c r="BR18" s="87">
        <f t="shared" si="14"/>
        <v>7562.5</v>
      </c>
      <c r="BS18" s="87">
        <f t="shared" si="15"/>
        <v>7562.5</v>
      </c>
      <c r="BT18" s="87">
        <f t="shared" si="27"/>
        <v>7562.5</v>
      </c>
      <c r="BU18" s="87">
        <f t="shared" si="16"/>
        <v>7562.5</v>
      </c>
      <c r="BV18" s="87">
        <f t="shared" si="17"/>
        <v>7562.5</v>
      </c>
      <c r="BW18" s="87">
        <f t="shared" si="18"/>
        <v>7562.5</v>
      </c>
      <c r="BX18" s="87">
        <f t="shared" si="19"/>
        <v>7562.5</v>
      </c>
      <c r="BY18" s="87">
        <f t="shared" si="20"/>
        <v>7562.5</v>
      </c>
      <c r="BZ18" s="87">
        <f t="shared" si="21"/>
        <v>7562.5</v>
      </c>
      <c r="CA18" s="87">
        <f t="shared" si="22"/>
        <v>7562.5</v>
      </c>
      <c r="CB18" s="87">
        <f t="shared" si="23"/>
        <v>7562.5</v>
      </c>
    </row>
    <row r="19" spans="1:80" x14ac:dyDescent="0.25">
      <c r="A19" s="86" t="s">
        <v>17</v>
      </c>
      <c r="B19" s="84" t="s">
        <v>1057</v>
      </c>
      <c r="C19" s="70" t="str">
        <f t="shared" si="24"/>
        <v>.</v>
      </c>
      <c r="D19" s="70" t="str">
        <f>IFERROR(s_DL/(s_RadSpec!$F19*s_IFAP_res_adj*s_CF_apple),".")</f>
        <v>.</v>
      </c>
      <c r="E19" s="70" t="str">
        <f>IFERROR(s_DL/(s_RadSpec!$F19*s_IFAS_res_adj*s_CF_asparagus),".")</f>
        <v>.</v>
      </c>
      <c r="F19" s="70" t="str">
        <f>IFERROR(s_DL/(s_RadSpec!$F19*s_IFBT_res_adj*s_CF_beet),".")</f>
        <v>.</v>
      </c>
      <c r="G19" s="70" t="str">
        <f>IFERROR(s_DL/(s_RadSpec!$F19*s_IFBE_res_adj*s_CF_berries),".")</f>
        <v>.</v>
      </c>
      <c r="H19" s="70" t="str">
        <f>IFERROR(s_DL/(s_RadSpec!$F19*s_IFBR_res_adj*s_CF_broccoli),".")</f>
        <v>.</v>
      </c>
      <c r="I19" s="70" t="str">
        <f>IFERROR(s_DL/(s_RadSpec!$F19*s_IFCB_res_adj*s_CF_cabbage),".")</f>
        <v>.</v>
      </c>
      <c r="J19" s="70" t="str">
        <f>IFERROR(s_DL/(s_RadSpec!$F19*s_IFCR_res_adj*s_CF_carrot),".")</f>
        <v>.</v>
      </c>
      <c r="K19" s="70" t="str">
        <f>IFERROR(s_DL/(s_RadSpec!$F19*s_IFCI_res_adj*s_CF_citrus),".")</f>
        <v>.</v>
      </c>
      <c r="L19" s="70" t="str">
        <f>IFERROR(s_DL/(s_RadSpec!$F19*s_IFCO_res_adj*s_CF_corn),".")</f>
        <v>.</v>
      </c>
      <c r="M19" s="70" t="str">
        <f>IFERROR(s_DL/(s_RadSpec!$F19*s_IFCU_res_adj*s_CF_cucumber),".")</f>
        <v>.</v>
      </c>
      <c r="N19" s="70" t="str">
        <f>IFERROR(s_DL/(s_RadSpec!$F19*s_IFLE_res_adj*s_CF_lettuce),".")</f>
        <v>.</v>
      </c>
      <c r="O19" s="70" t="str">
        <f>IFERROR(s_DL/(s_RadSpec!$F19*s_IFLI_res_adj*s_CF_lima_bean),".")</f>
        <v>.</v>
      </c>
      <c r="P19" s="70" t="str">
        <f>IFERROR(s_DL/(s_RadSpec!$F19*s_IFOK_res_adj*s_CF_okra),".")</f>
        <v>.</v>
      </c>
      <c r="Q19" s="70" t="str">
        <f>IFERROR(s_DL/(s_RadSpec!$F19*s_IFON_res_adj*s_CF_onion),".")</f>
        <v>.</v>
      </c>
      <c r="R19" s="70" t="str">
        <f>IFERROR(s_DL/(s_RadSpec!$F19*s_IFPC_res_adj*s_CF_peach),".")</f>
        <v>.</v>
      </c>
      <c r="S19" s="70" t="str">
        <f>IFERROR(s_DL/(s_RadSpec!$F19*s_IFPR_res_adj*s_CF_pear),".")</f>
        <v>.</v>
      </c>
      <c r="T19" s="70" t="str">
        <f>IFERROR(s_DL/(s_RadSpec!$F19*s_IFPE_res_adj*s_CF_peas),".")</f>
        <v>.</v>
      </c>
      <c r="U19" s="70" t="str">
        <f>IFERROR(s_DL/(s_RadSpec!$F19*s_IFPP_res_adj*s_CF_peppers),".")</f>
        <v>.</v>
      </c>
      <c r="V19" s="70" t="str">
        <f>IFERROR(s_DL/(s_RadSpec!$F19*s_IFPT_res_adj*s_CF_potato),".")</f>
        <v>.</v>
      </c>
      <c r="W19" s="70" t="str">
        <f>IFERROR(s_DL/(s_RadSpec!$F19*s_IFPU_res_adj*s_CF_pumpkin),".")</f>
        <v>.</v>
      </c>
      <c r="X19" s="70" t="str">
        <f>IFERROR(s_DL/(s_RadSpec!$F19*s_IFSN_res_adj*s_CF_snap_bean),".")</f>
        <v>.</v>
      </c>
      <c r="Y19" s="70" t="str">
        <f>IFERROR(s_DL/(s_RadSpec!$F19*s_IFST_res_adj*s_CF_strawberry),".")</f>
        <v>.</v>
      </c>
      <c r="Z19" s="70" t="str">
        <f>IFERROR(s_DL/(s_RadSpec!$F19*s_IFTO_res_adj*s_CF_tomato),".")</f>
        <v>.</v>
      </c>
      <c r="AA19" s="70" t="str">
        <f>IFERROR(s_DL/(s_RadSpec!$F19*s_IFRI_res_adj*s_CF_rice),".")</f>
        <v>.</v>
      </c>
      <c r="AB19" s="70" t="str">
        <f>IFERROR(s_DL/(s_RadSpec!$F19*s_IFCG_res_adj*s_CF_cereal),".")</f>
        <v>.</v>
      </c>
      <c r="AC19" s="70" t="str">
        <f t="shared" si="25"/>
        <v>.</v>
      </c>
      <c r="AD19" s="70" t="str">
        <f>IFERROR(s_DL/(s_RadSpec!$F19*s_IFAP_far_adj*s_CF_apple),".")</f>
        <v>.</v>
      </c>
      <c r="AE19" s="70" t="str">
        <f>IFERROR(s_DL/(s_RadSpec!$F19*s_IFAS_far_adj*s_CF_asparagus),".")</f>
        <v>.</v>
      </c>
      <c r="AF19" s="70" t="str">
        <f>IFERROR(s_DL/(s_RadSpec!$F19*s_IFBT_far_adj*s_CF_beet),".")</f>
        <v>.</v>
      </c>
      <c r="AG19" s="70" t="str">
        <f>IFERROR(s_DL/(s_RadSpec!$F19*s_IFBE_far_adj*s_CF_berries),".")</f>
        <v>.</v>
      </c>
      <c r="AH19" s="70" t="str">
        <f>IFERROR(s_DL/(s_RadSpec!$F19*s_IFBR_far_adj*s_CF_broccoli),".")</f>
        <v>.</v>
      </c>
      <c r="AI19" s="70" t="str">
        <f>IFERROR(s_DL/(s_RadSpec!$F19*s_IFCB_far_adj*s_CF_cabbage),".")</f>
        <v>.</v>
      </c>
      <c r="AJ19" s="70" t="str">
        <f>IFERROR(s_DL/(s_RadSpec!$F19*s_IFCR_far_adj*s_CF_carrot),".")</f>
        <v>.</v>
      </c>
      <c r="AK19" s="70" t="str">
        <f>IFERROR(s_DL/(s_RadSpec!$F19*s_IFCI_far_adj*s_CF_citrus),".")</f>
        <v>.</v>
      </c>
      <c r="AL19" s="70" t="str">
        <f>IFERROR(s_DL/(s_RadSpec!$F19*s_IFCO_far_adj*s_CF_corn),".")</f>
        <v>.</v>
      </c>
      <c r="AM19" s="70" t="str">
        <f>IFERROR(s_DL/(s_RadSpec!$F19*s_IFCU_far_adj*s_CF_cucumber),".")</f>
        <v>.</v>
      </c>
      <c r="AN19" s="70" t="str">
        <f>IFERROR(s_DL/(s_RadSpec!$F19*s_IFLE_far_adj*s_CF_lettuce),".")</f>
        <v>.</v>
      </c>
      <c r="AO19" s="70" t="str">
        <f>IFERROR(s_DL/(s_RadSpec!$F19*s_IFLI_far_adj*s_CF_lima_bean),".")</f>
        <v>.</v>
      </c>
      <c r="AP19" s="70" t="str">
        <f>IFERROR(s_DL/(s_RadSpec!$F19*s_IFOK_far_adj*s_CF_okra),".")</f>
        <v>.</v>
      </c>
      <c r="AQ19" s="70" t="str">
        <f>IFERROR(s_DL/(s_RadSpec!$F19*s_IFON_far_adj*s_CF_onion),".")</f>
        <v>.</v>
      </c>
      <c r="AR19" s="70" t="str">
        <f>IFERROR(s_DL/(s_RadSpec!$F19*s_IFPC_far_adj*s_CF_peach),".")</f>
        <v>.</v>
      </c>
      <c r="AS19" s="70" t="str">
        <f>IFERROR(s_DL/(s_RadSpec!$F19*s_IFPR_far_adj*s_CF_pear),".")</f>
        <v>.</v>
      </c>
      <c r="AT19" s="70" t="str">
        <f>IFERROR(s_DL/(s_RadSpec!$F19*s_IFPE_far_adj*s_CF_peas),".")</f>
        <v>.</v>
      </c>
      <c r="AU19" s="70" t="str">
        <f>IFERROR(s_DL/(s_RadSpec!$F19*s_IFPP_far_adj*s_CF_peppers),".")</f>
        <v>.</v>
      </c>
      <c r="AV19" s="70" t="str">
        <f>IFERROR(s_DL/(s_RadSpec!$F19*s_IFPT_far_adj*s_CF_potato),".")</f>
        <v>.</v>
      </c>
      <c r="AW19" s="70" t="str">
        <f>IFERROR(s_DL/(s_RadSpec!$F19*s_IFPU_far_adj*s_CF_pumpkin),".")</f>
        <v>.</v>
      </c>
      <c r="AX19" s="70" t="str">
        <f>IFERROR(s_DL/(s_RadSpec!$F19*s_IFSN_far_adj*s_CF_snap_bean),".")</f>
        <v>.</v>
      </c>
      <c r="AY19" s="70" t="str">
        <f>IFERROR(s_DL/(s_RadSpec!$F19*s_IFST_far_adj*s_CF_strawberry),".")</f>
        <v>.</v>
      </c>
      <c r="AZ19" s="70" t="str">
        <f>IFERROR(s_DL/(s_RadSpec!$F19*s_IFTO_far_adj*s_CF_tomato),".")</f>
        <v>.</v>
      </c>
      <c r="BA19" s="70" t="str">
        <f>IFERROR(s_DL/(s_RadSpec!$F19*s_IFRI_far_adj*s_CF_rice),".")</f>
        <v>.</v>
      </c>
      <c r="BB19" s="70" t="str">
        <f>IFERROR(s_DL/(s_RadSpec!$F19*s_IFCG_far_adj*s_CF_cereal),".")</f>
        <v>.</v>
      </c>
      <c r="BC19" s="87">
        <f t="shared" si="26"/>
        <v>30250</v>
      </c>
      <c r="BD19" s="87">
        <f t="shared" si="0"/>
        <v>7562.5</v>
      </c>
      <c r="BE19" s="87">
        <f t="shared" si="1"/>
        <v>7562.5</v>
      </c>
      <c r="BF19" s="87">
        <f t="shared" si="2"/>
        <v>7562.5</v>
      </c>
      <c r="BG19" s="87">
        <f t="shared" si="3"/>
        <v>7562.5</v>
      </c>
      <c r="BH19" s="87">
        <f t="shared" si="4"/>
        <v>7562.5</v>
      </c>
      <c r="BI19" s="87">
        <f t="shared" si="5"/>
        <v>7562.5</v>
      </c>
      <c r="BJ19" s="87">
        <f t="shared" si="6"/>
        <v>7562.5</v>
      </c>
      <c r="BK19" s="87">
        <f t="shared" si="7"/>
        <v>7562.5</v>
      </c>
      <c r="BL19" s="87">
        <f t="shared" si="8"/>
        <v>7562.5</v>
      </c>
      <c r="BM19" s="87">
        <f t="shared" si="9"/>
        <v>7562.5</v>
      </c>
      <c r="BN19" s="87">
        <f t="shared" si="10"/>
        <v>7562.5</v>
      </c>
      <c r="BO19" s="87">
        <f t="shared" si="11"/>
        <v>7562.5</v>
      </c>
      <c r="BP19" s="87">
        <f t="shared" si="12"/>
        <v>7562.5</v>
      </c>
      <c r="BQ19" s="87">
        <f t="shared" si="13"/>
        <v>7562.5</v>
      </c>
      <c r="BR19" s="87">
        <f t="shared" si="14"/>
        <v>7562.5</v>
      </c>
      <c r="BS19" s="87">
        <f t="shared" si="15"/>
        <v>7562.5</v>
      </c>
      <c r="BT19" s="87">
        <f t="shared" si="27"/>
        <v>7562.5</v>
      </c>
      <c r="BU19" s="87">
        <f t="shared" si="16"/>
        <v>7562.5</v>
      </c>
      <c r="BV19" s="87">
        <f t="shared" si="17"/>
        <v>7562.5</v>
      </c>
      <c r="BW19" s="87">
        <f t="shared" si="18"/>
        <v>7562.5</v>
      </c>
      <c r="BX19" s="87">
        <f t="shared" si="19"/>
        <v>7562.5</v>
      </c>
      <c r="BY19" s="87">
        <f t="shared" si="20"/>
        <v>7562.5</v>
      </c>
      <c r="BZ19" s="87">
        <f t="shared" si="21"/>
        <v>7562.5</v>
      </c>
      <c r="CA19" s="87">
        <f t="shared" si="22"/>
        <v>7562.5</v>
      </c>
      <c r="CB19" s="87">
        <f t="shared" si="23"/>
        <v>7562.5</v>
      </c>
    </row>
    <row r="20" spans="1:80" x14ac:dyDescent="0.25">
      <c r="A20" s="86" t="s">
        <v>18</v>
      </c>
      <c r="B20" s="84" t="s">
        <v>1057</v>
      </c>
      <c r="C20" s="70" t="str">
        <f t="shared" si="24"/>
        <v>.</v>
      </c>
      <c r="D20" s="70" t="str">
        <f>IFERROR(s_DL/(s_RadSpec!$F20*s_IFAP_res_adj*s_CF_apple),".")</f>
        <v>.</v>
      </c>
      <c r="E20" s="70" t="str">
        <f>IFERROR(s_DL/(s_RadSpec!$F20*s_IFAS_res_adj*s_CF_asparagus),".")</f>
        <v>.</v>
      </c>
      <c r="F20" s="70" t="str">
        <f>IFERROR(s_DL/(s_RadSpec!$F20*s_IFBT_res_adj*s_CF_beet),".")</f>
        <v>.</v>
      </c>
      <c r="G20" s="70" t="str">
        <f>IFERROR(s_DL/(s_RadSpec!$F20*s_IFBE_res_adj*s_CF_berries),".")</f>
        <v>.</v>
      </c>
      <c r="H20" s="70" t="str">
        <f>IFERROR(s_DL/(s_RadSpec!$F20*s_IFBR_res_adj*s_CF_broccoli),".")</f>
        <v>.</v>
      </c>
      <c r="I20" s="70" t="str">
        <f>IFERROR(s_DL/(s_RadSpec!$F20*s_IFCB_res_adj*s_CF_cabbage),".")</f>
        <v>.</v>
      </c>
      <c r="J20" s="70" t="str">
        <f>IFERROR(s_DL/(s_RadSpec!$F20*s_IFCR_res_adj*s_CF_carrot),".")</f>
        <v>.</v>
      </c>
      <c r="K20" s="70" t="str">
        <f>IFERROR(s_DL/(s_RadSpec!$F20*s_IFCI_res_adj*s_CF_citrus),".")</f>
        <v>.</v>
      </c>
      <c r="L20" s="70" t="str">
        <f>IFERROR(s_DL/(s_RadSpec!$F20*s_IFCO_res_adj*s_CF_corn),".")</f>
        <v>.</v>
      </c>
      <c r="M20" s="70" t="str">
        <f>IFERROR(s_DL/(s_RadSpec!$F20*s_IFCU_res_adj*s_CF_cucumber),".")</f>
        <v>.</v>
      </c>
      <c r="N20" s="70" t="str">
        <f>IFERROR(s_DL/(s_RadSpec!$F20*s_IFLE_res_adj*s_CF_lettuce),".")</f>
        <v>.</v>
      </c>
      <c r="O20" s="70" t="str">
        <f>IFERROR(s_DL/(s_RadSpec!$F20*s_IFLI_res_adj*s_CF_lima_bean),".")</f>
        <v>.</v>
      </c>
      <c r="P20" s="70" t="str">
        <f>IFERROR(s_DL/(s_RadSpec!$F20*s_IFOK_res_adj*s_CF_okra),".")</f>
        <v>.</v>
      </c>
      <c r="Q20" s="70" t="str">
        <f>IFERROR(s_DL/(s_RadSpec!$F20*s_IFON_res_adj*s_CF_onion),".")</f>
        <v>.</v>
      </c>
      <c r="R20" s="70" t="str">
        <f>IFERROR(s_DL/(s_RadSpec!$F20*s_IFPC_res_adj*s_CF_peach),".")</f>
        <v>.</v>
      </c>
      <c r="S20" s="70" t="str">
        <f>IFERROR(s_DL/(s_RadSpec!$F20*s_IFPR_res_adj*s_CF_pear),".")</f>
        <v>.</v>
      </c>
      <c r="T20" s="70" t="str">
        <f>IFERROR(s_DL/(s_RadSpec!$F20*s_IFPE_res_adj*s_CF_peas),".")</f>
        <v>.</v>
      </c>
      <c r="U20" s="70" t="str">
        <f>IFERROR(s_DL/(s_RadSpec!$F20*s_IFPP_res_adj*s_CF_peppers),".")</f>
        <v>.</v>
      </c>
      <c r="V20" s="70" t="str">
        <f>IFERROR(s_DL/(s_RadSpec!$F20*s_IFPT_res_adj*s_CF_potato),".")</f>
        <v>.</v>
      </c>
      <c r="W20" s="70" t="str">
        <f>IFERROR(s_DL/(s_RadSpec!$F20*s_IFPU_res_adj*s_CF_pumpkin),".")</f>
        <v>.</v>
      </c>
      <c r="X20" s="70" t="str">
        <f>IFERROR(s_DL/(s_RadSpec!$F20*s_IFSN_res_adj*s_CF_snap_bean),".")</f>
        <v>.</v>
      </c>
      <c r="Y20" s="70" t="str">
        <f>IFERROR(s_DL/(s_RadSpec!$F20*s_IFST_res_adj*s_CF_strawberry),".")</f>
        <v>.</v>
      </c>
      <c r="Z20" s="70" t="str">
        <f>IFERROR(s_DL/(s_RadSpec!$F20*s_IFTO_res_adj*s_CF_tomato),".")</f>
        <v>.</v>
      </c>
      <c r="AA20" s="70" t="str">
        <f>IFERROR(s_DL/(s_RadSpec!$F20*s_IFRI_res_adj*s_CF_rice),".")</f>
        <v>.</v>
      </c>
      <c r="AB20" s="70" t="str">
        <f>IFERROR(s_DL/(s_RadSpec!$F20*s_IFCG_res_adj*s_CF_cereal),".")</f>
        <v>.</v>
      </c>
      <c r="AC20" s="70" t="str">
        <f t="shared" si="25"/>
        <v>.</v>
      </c>
      <c r="AD20" s="70" t="str">
        <f>IFERROR(s_DL/(s_RadSpec!$F20*s_IFAP_far_adj*s_CF_apple),".")</f>
        <v>.</v>
      </c>
      <c r="AE20" s="70" t="str">
        <f>IFERROR(s_DL/(s_RadSpec!$F20*s_IFAS_far_adj*s_CF_asparagus),".")</f>
        <v>.</v>
      </c>
      <c r="AF20" s="70" t="str">
        <f>IFERROR(s_DL/(s_RadSpec!$F20*s_IFBT_far_adj*s_CF_beet),".")</f>
        <v>.</v>
      </c>
      <c r="AG20" s="70" t="str">
        <f>IFERROR(s_DL/(s_RadSpec!$F20*s_IFBE_far_adj*s_CF_berries),".")</f>
        <v>.</v>
      </c>
      <c r="AH20" s="70" t="str">
        <f>IFERROR(s_DL/(s_RadSpec!$F20*s_IFBR_far_adj*s_CF_broccoli),".")</f>
        <v>.</v>
      </c>
      <c r="AI20" s="70" t="str">
        <f>IFERROR(s_DL/(s_RadSpec!$F20*s_IFCB_far_adj*s_CF_cabbage),".")</f>
        <v>.</v>
      </c>
      <c r="AJ20" s="70" t="str">
        <f>IFERROR(s_DL/(s_RadSpec!$F20*s_IFCR_far_adj*s_CF_carrot),".")</f>
        <v>.</v>
      </c>
      <c r="AK20" s="70" t="str">
        <f>IFERROR(s_DL/(s_RadSpec!$F20*s_IFCI_far_adj*s_CF_citrus),".")</f>
        <v>.</v>
      </c>
      <c r="AL20" s="70" t="str">
        <f>IFERROR(s_DL/(s_RadSpec!$F20*s_IFCO_far_adj*s_CF_corn),".")</f>
        <v>.</v>
      </c>
      <c r="AM20" s="70" t="str">
        <f>IFERROR(s_DL/(s_RadSpec!$F20*s_IFCU_far_adj*s_CF_cucumber),".")</f>
        <v>.</v>
      </c>
      <c r="AN20" s="70" t="str">
        <f>IFERROR(s_DL/(s_RadSpec!$F20*s_IFLE_far_adj*s_CF_lettuce),".")</f>
        <v>.</v>
      </c>
      <c r="AO20" s="70" t="str">
        <f>IFERROR(s_DL/(s_RadSpec!$F20*s_IFLI_far_adj*s_CF_lima_bean),".")</f>
        <v>.</v>
      </c>
      <c r="AP20" s="70" t="str">
        <f>IFERROR(s_DL/(s_RadSpec!$F20*s_IFOK_far_adj*s_CF_okra),".")</f>
        <v>.</v>
      </c>
      <c r="AQ20" s="70" t="str">
        <f>IFERROR(s_DL/(s_RadSpec!$F20*s_IFON_far_adj*s_CF_onion),".")</f>
        <v>.</v>
      </c>
      <c r="AR20" s="70" t="str">
        <f>IFERROR(s_DL/(s_RadSpec!$F20*s_IFPC_far_adj*s_CF_peach),".")</f>
        <v>.</v>
      </c>
      <c r="AS20" s="70" t="str">
        <f>IFERROR(s_DL/(s_RadSpec!$F20*s_IFPR_far_adj*s_CF_pear),".")</f>
        <v>.</v>
      </c>
      <c r="AT20" s="70" t="str">
        <f>IFERROR(s_DL/(s_RadSpec!$F20*s_IFPE_far_adj*s_CF_peas),".")</f>
        <v>.</v>
      </c>
      <c r="AU20" s="70" t="str">
        <f>IFERROR(s_DL/(s_RadSpec!$F20*s_IFPP_far_adj*s_CF_peppers),".")</f>
        <v>.</v>
      </c>
      <c r="AV20" s="70" t="str">
        <f>IFERROR(s_DL/(s_RadSpec!$F20*s_IFPT_far_adj*s_CF_potato),".")</f>
        <v>.</v>
      </c>
      <c r="AW20" s="70" t="str">
        <f>IFERROR(s_DL/(s_RadSpec!$F20*s_IFPU_far_adj*s_CF_pumpkin),".")</f>
        <v>.</v>
      </c>
      <c r="AX20" s="70" t="str">
        <f>IFERROR(s_DL/(s_RadSpec!$F20*s_IFSN_far_adj*s_CF_snap_bean),".")</f>
        <v>.</v>
      </c>
      <c r="AY20" s="70" t="str">
        <f>IFERROR(s_DL/(s_RadSpec!$F20*s_IFST_far_adj*s_CF_strawberry),".")</f>
        <v>.</v>
      </c>
      <c r="AZ20" s="70" t="str">
        <f>IFERROR(s_DL/(s_RadSpec!$F20*s_IFTO_far_adj*s_CF_tomato),".")</f>
        <v>.</v>
      </c>
      <c r="BA20" s="70" t="str">
        <f>IFERROR(s_DL/(s_RadSpec!$F20*s_IFRI_far_adj*s_CF_rice),".")</f>
        <v>.</v>
      </c>
      <c r="BB20" s="70" t="str">
        <f>IFERROR(s_DL/(s_RadSpec!$F20*s_IFCG_far_adj*s_CF_cereal),".")</f>
        <v>.</v>
      </c>
      <c r="BC20" s="87">
        <f t="shared" si="26"/>
        <v>30250</v>
      </c>
      <c r="BD20" s="87">
        <f t="shared" si="0"/>
        <v>7562.5</v>
      </c>
      <c r="BE20" s="87">
        <f t="shared" si="1"/>
        <v>7562.5</v>
      </c>
      <c r="BF20" s="87">
        <f t="shared" si="2"/>
        <v>7562.5</v>
      </c>
      <c r="BG20" s="87">
        <f t="shared" si="3"/>
        <v>7562.5</v>
      </c>
      <c r="BH20" s="87">
        <f t="shared" si="4"/>
        <v>7562.5</v>
      </c>
      <c r="BI20" s="87">
        <f t="shared" si="5"/>
        <v>7562.5</v>
      </c>
      <c r="BJ20" s="87">
        <f t="shared" si="6"/>
        <v>7562.5</v>
      </c>
      <c r="BK20" s="87">
        <f t="shared" si="7"/>
        <v>7562.5</v>
      </c>
      <c r="BL20" s="87">
        <f t="shared" si="8"/>
        <v>7562.5</v>
      </c>
      <c r="BM20" s="87">
        <f t="shared" si="9"/>
        <v>7562.5</v>
      </c>
      <c r="BN20" s="87">
        <f t="shared" si="10"/>
        <v>7562.5</v>
      </c>
      <c r="BO20" s="87">
        <f t="shared" si="11"/>
        <v>7562.5</v>
      </c>
      <c r="BP20" s="87">
        <f t="shared" si="12"/>
        <v>7562.5</v>
      </c>
      <c r="BQ20" s="87">
        <f t="shared" si="13"/>
        <v>7562.5</v>
      </c>
      <c r="BR20" s="87">
        <f t="shared" si="14"/>
        <v>7562.5</v>
      </c>
      <c r="BS20" s="87">
        <f t="shared" si="15"/>
        <v>7562.5</v>
      </c>
      <c r="BT20" s="87">
        <f t="shared" si="27"/>
        <v>7562.5</v>
      </c>
      <c r="BU20" s="87">
        <f t="shared" si="16"/>
        <v>7562.5</v>
      </c>
      <c r="BV20" s="87">
        <f t="shared" si="17"/>
        <v>7562.5</v>
      </c>
      <c r="BW20" s="87">
        <f t="shared" si="18"/>
        <v>7562.5</v>
      </c>
      <c r="BX20" s="87">
        <f t="shared" si="19"/>
        <v>7562.5</v>
      </c>
      <c r="BY20" s="87">
        <f t="shared" si="20"/>
        <v>7562.5</v>
      </c>
      <c r="BZ20" s="87">
        <f t="shared" si="21"/>
        <v>7562.5</v>
      </c>
      <c r="CA20" s="87">
        <f t="shared" si="22"/>
        <v>7562.5</v>
      </c>
      <c r="CB20" s="87">
        <f t="shared" si="23"/>
        <v>7562.5</v>
      </c>
    </row>
    <row r="21" spans="1:80" x14ac:dyDescent="0.25">
      <c r="A21" s="86" t="s">
        <v>19</v>
      </c>
      <c r="B21" s="84" t="s">
        <v>1057</v>
      </c>
      <c r="C21" s="70" t="str">
        <f t="shared" si="24"/>
        <v>.</v>
      </c>
      <c r="D21" s="70" t="str">
        <f>IFERROR(s_DL/(s_RadSpec!$F21*s_IFAP_res_adj*s_CF_apple),".")</f>
        <v>.</v>
      </c>
      <c r="E21" s="70" t="str">
        <f>IFERROR(s_DL/(s_RadSpec!$F21*s_IFAS_res_adj*s_CF_asparagus),".")</f>
        <v>.</v>
      </c>
      <c r="F21" s="70" t="str">
        <f>IFERROR(s_DL/(s_RadSpec!$F21*s_IFBT_res_adj*s_CF_beet),".")</f>
        <v>.</v>
      </c>
      <c r="G21" s="70" t="str">
        <f>IFERROR(s_DL/(s_RadSpec!$F21*s_IFBE_res_adj*s_CF_berries),".")</f>
        <v>.</v>
      </c>
      <c r="H21" s="70" t="str">
        <f>IFERROR(s_DL/(s_RadSpec!$F21*s_IFBR_res_adj*s_CF_broccoli),".")</f>
        <v>.</v>
      </c>
      <c r="I21" s="70" t="str">
        <f>IFERROR(s_DL/(s_RadSpec!$F21*s_IFCB_res_adj*s_CF_cabbage),".")</f>
        <v>.</v>
      </c>
      <c r="J21" s="70" t="str">
        <f>IFERROR(s_DL/(s_RadSpec!$F21*s_IFCR_res_adj*s_CF_carrot),".")</f>
        <v>.</v>
      </c>
      <c r="K21" s="70" t="str">
        <f>IFERROR(s_DL/(s_RadSpec!$F21*s_IFCI_res_adj*s_CF_citrus),".")</f>
        <v>.</v>
      </c>
      <c r="L21" s="70" t="str">
        <f>IFERROR(s_DL/(s_RadSpec!$F21*s_IFCO_res_adj*s_CF_corn),".")</f>
        <v>.</v>
      </c>
      <c r="M21" s="70" t="str">
        <f>IFERROR(s_DL/(s_RadSpec!$F21*s_IFCU_res_adj*s_CF_cucumber),".")</f>
        <v>.</v>
      </c>
      <c r="N21" s="70" t="str">
        <f>IFERROR(s_DL/(s_RadSpec!$F21*s_IFLE_res_adj*s_CF_lettuce),".")</f>
        <v>.</v>
      </c>
      <c r="O21" s="70" t="str">
        <f>IFERROR(s_DL/(s_RadSpec!$F21*s_IFLI_res_adj*s_CF_lima_bean),".")</f>
        <v>.</v>
      </c>
      <c r="P21" s="70" t="str">
        <f>IFERROR(s_DL/(s_RadSpec!$F21*s_IFOK_res_adj*s_CF_okra),".")</f>
        <v>.</v>
      </c>
      <c r="Q21" s="70" t="str">
        <f>IFERROR(s_DL/(s_RadSpec!$F21*s_IFON_res_adj*s_CF_onion),".")</f>
        <v>.</v>
      </c>
      <c r="R21" s="70" t="str">
        <f>IFERROR(s_DL/(s_RadSpec!$F21*s_IFPC_res_adj*s_CF_peach),".")</f>
        <v>.</v>
      </c>
      <c r="S21" s="70" t="str">
        <f>IFERROR(s_DL/(s_RadSpec!$F21*s_IFPR_res_adj*s_CF_pear),".")</f>
        <v>.</v>
      </c>
      <c r="T21" s="70" t="str">
        <f>IFERROR(s_DL/(s_RadSpec!$F21*s_IFPE_res_adj*s_CF_peas),".")</f>
        <v>.</v>
      </c>
      <c r="U21" s="70" t="str">
        <f>IFERROR(s_DL/(s_RadSpec!$F21*s_IFPP_res_adj*s_CF_peppers),".")</f>
        <v>.</v>
      </c>
      <c r="V21" s="70" t="str">
        <f>IFERROR(s_DL/(s_RadSpec!$F21*s_IFPT_res_adj*s_CF_potato),".")</f>
        <v>.</v>
      </c>
      <c r="W21" s="70" t="str">
        <f>IFERROR(s_DL/(s_RadSpec!$F21*s_IFPU_res_adj*s_CF_pumpkin),".")</f>
        <v>.</v>
      </c>
      <c r="X21" s="70" t="str">
        <f>IFERROR(s_DL/(s_RadSpec!$F21*s_IFSN_res_adj*s_CF_snap_bean),".")</f>
        <v>.</v>
      </c>
      <c r="Y21" s="70" t="str">
        <f>IFERROR(s_DL/(s_RadSpec!$F21*s_IFST_res_adj*s_CF_strawberry),".")</f>
        <v>.</v>
      </c>
      <c r="Z21" s="70" t="str">
        <f>IFERROR(s_DL/(s_RadSpec!$F21*s_IFTO_res_adj*s_CF_tomato),".")</f>
        <v>.</v>
      </c>
      <c r="AA21" s="70" t="str">
        <f>IFERROR(s_DL/(s_RadSpec!$F21*s_IFRI_res_adj*s_CF_rice),".")</f>
        <v>.</v>
      </c>
      <c r="AB21" s="70" t="str">
        <f>IFERROR(s_DL/(s_RadSpec!$F21*s_IFCG_res_adj*s_CF_cereal),".")</f>
        <v>.</v>
      </c>
      <c r="AC21" s="70" t="str">
        <f t="shared" si="25"/>
        <v>.</v>
      </c>
      <c r="AD21" s="70" t="str">
        <f>IFERROR(s_DL/(s_RadSpec!$F21*s_IFAP_far_adj*s_CF_apple),".")</f>
        <v>.</v>
      </c>
      <c r="AE21" s="70" t="str">
        <f>IFERROR(s_DL/(s_RadSpec!$F21*s_IFAS_far_adj*s_CF_asparagus),".")</f>
        <v>.</v>
      </c>
      <c r="AF21" s="70" t="str">
        <f>IFERROR(s_DL/(s_RadSpec!$F21*s_IFBT_far_adj*s_CF_beet),".")</f>
        <v>.</v>
      </c>
      <c r="AG21" s="70" t="str">
        <f>IFERROR(s_DL/(s_RadSpec!$F21*s_IFBE_far_adj*s_CF_berries),".")</f>
        <v>.</v>
      </c>
      <c r="AH21" s="70" t="str">
        <f>IFERROR(s_DL/(s_RadSpec!$F21*s_IFBR_far_adj*s_CF_broccoli),".")</f>
        <v>.</v>
      </c>
      <c r="AI21" s="70" t="str">
        <f>IFERROR(s_DL/(s_RadSpec!$F21*s_IFCB_far_adj*s_CF_cabbage),".")</f>
        <v>.</v>
      </c>
      <c r="AJ21" s="70" t="str">
        <f>IFERROR(s_DL/(s_RadSpec!$F21*s_IFCR_far_adj*s_CF_carrot),".")</f>
        <v>.</v>
      </c>
      <c r="AK21" s="70" t="str">
        <f>IFERROR(s_DL/(s_RadSpec!$F21*s_IFCI_far_adj*s_CF_citrus),".")</f>
        <v>.</v>
      </c>
      <c r="AL21" s="70" t="str">
        <f>IFERROR(s_DL/(s_RadSpec!$F21*s_IFCO_far_adj*s_CF_corn),".")</f>
        <v>.</v>
      </c>
      <c r="AM21" s="70" t="str">
        <f>IFERROR(s_DL/(s_RadSpec!$F21*s_IFCU_far_adj*s_CF_cucumber),".")</f>
        <v>.</v>
      </c>
      <c r="AN21" s="70" t="str">
        <f>IFERROR(s_DL/(s_RadSpec!$F21*s_IFLE_far_adj*s_CF_lettuce),".")</f>
        <v>.</v>
      </c>
      <c r="AO21" s="70" t="str">
        <f>IFERROR(s_DL/(s_RadSpec!$F21*s_IFLI_far_adj*s_CF_lima_bean),".")</f>
        <v>.</v>
      </c>
      <c r="AP21" s="70" t="str">
        <f>IFERROR(s_DL/(s_RadSpec!$F21*s_IFOK_far_adj*s_CF_okra),".")</f>
        <v>.</v>
      </c>
      <c r="AQ21" s="70" t="str">
        <f>IFERROR(s_DL/(s_RadSpec!$F21*s_IFON_far_adj*s_CF_onion),".")</f>
        <v>.</v>
      </c>
      <c r="AR21" s="70" t="str">
        <f>IFERROR(s_DL/(s_RadSpec!$F21*s_IFPC_far_adj*s_CF_peach),".")</f>
        <v>.</v>
      </c>
      <c r="AS21" s="70" t="str">
        <f>IFERROR(s_DL/(s_RadSpec!$F21*s_IFPR_far_adj*s_CF_pear),".")</f>
        <v>.</v>
      </c>
      <c r="AT21" s="70" t="str">
        <f>IFERROR(s_DL/(s_RadSpec!$F21*s_IFPE_far_adj*s_CF_peas),".")</f>
        <v>.</v>
      </c>
      <c r="AU21" s="70" t="str">
        <f>IFERROR(s_DL/(s_RadSpec!$F21*s_IFPP_far_adj*s_CF_peppers),".")</f>
        <v>.</v>
      </c>
      <c r="AV21" s="70" t="str">
        <f>IFERROR(s_DL/(s_RadSpec!$F21*s_IFPT_far_adj*s_CF_potato),".")</f>
        <v>.</v>
      </c>
      <c r="AW21" s="70" t="str">
        <f>IFERROR(s_DL/(s_RadSpec!$F21*s_IFPU_far_adj*s_CF_pumpkin),".")</f>
        <v>.</v>
      </c>
      <c r="AX21" s="70" t="str">
        <f>IFERROR(s_DL/(s_RadSpec!$F21*s_IFSN_far_adj*s_CF_snap_bean),".")</f>
        <v>.</v>
      </c>
      <c r="AY21" s="70" t="str">
        <f>IFERROR(s_DL/(s_RadSpec!$F21*s_IFST_far_adj*s_CF_strawberry),".")</f>
        <v>.</v>
      </c>
      <c r="AZ21" s="70" t="str">
        <f>IFERROR(s_DL/(s_RadSpec!$F21*s_IFTO_far_adj*s_CF_tomato),".")</f>
        <v>.</v>
      </c>
      <c r="BA21" s="70" t="str">
        <f>IFERROR(s_DL/(s_RadSpec!$F21*s_IFRI_far_adj*s_CF_rice),".")</f>
        <v>.</v>
      </c>
      <c r="BB21" s="70" t="str">
        <f>IFERROR(s_DL/(s_RadSpec!$F21*s_IFCG_far_adj*s_CF_cereal),".")</f>
        <v>.</v>
      </c>
      <c r="BC21" s="87">
        <f t="shared" si="26"/>
        <v>30250</v>
      </c>
      <c r="BD21" s="87">
        <f t="shared" si="0"/>
        <v>7562.5</v>
      </c>
      <c r="BE21" s="87">
        <f t="shared" si="1"/>
        <v>7562.5</v>
      </c>
      <c r="BF21" s="87">
        <f t="shared" si="2"/>
        <v>7562.5</v>
      </c>
      <c r="BG21" s="87">
        <f t="shared" si="3"/>
        <v>7562.5</v>
      </c>
      <c r="BH21" s="87">
        <f t="shared" si="4"/>
        <v>7562.5</v>
      </c>
      <c r="BI21" s="87">
        <f t="shared" si="5"/>
        <v>7562.5</v>
      </c>
      <c r="BJ21" s="87">
        <f t="shared" si="6"/>
        <v>7562.5</v>
      </c>
      <c r="BK21" s="87">
        <f t="shared" si="7"/>
        <v>7562.5</v>
      </c>
      <c r="BL21" s="87">
        <f t="shared" si="8"/>
        <v>7562.5</v>
      </c>
      <c r="BM21" s="87">
        <f t="shared" si="9"/>
        <v>7562.5</v>
      </c>
      <c r="BN21" s="87">
        <f t="shared" si="10"/>
        <v>7562.5</v>
      </c>
      <c r="BO21" s="87">
        <f t="shared" si="11"/>
        <v>7562.5</v>
      </c>
      <c r="BP21" s="87">
        <f t="shared" si="12"/>
        <v>7562.5</v>
      </c>
      <c r="BQ21" s="87">
        <f t="shared" si="13"/>
        <v>7562.5</v>
      </c>
      <c r="BR21" s="87">
        <f t="shared" si="14"/>
        <v>7562.5</v>
      </c>
      <c r="BS21" s="87">
        <f t="shared" si="15"/>
        <v>7562.5</v>
      </c>
      <c r="BT21" s="87">
        <f t="shared" si="27"/>
        <v>7562.5</v>
      </c>
      <c r="BU21" s="87">
        <f t="shared" si="16"/>
        <v>7562.5</v>
      </c>
      <c r="BV21" s="87">
        <f t="shared" si="17"/>
        <v>7562.5</v>
      </c>
      <c r="BW21" s="87">
        <f t="shared" si="18"/>
        <v>7562.5</v>
      </c>
      <c r="BX21" s="87">
        <f t="shared" si="19"/>
        <v>7562.5</v>
      </c>
      <c r="BY21" s="87">
        <f t="shared" si="20"/>
        <v>7562.5</v>
      </c>
      <c r="BZ21" s="87">
        <f t="shared" si="21"/>
        <v>7562.5</v>
      </c>
      <c r="CA21" s="87">
        <f t="shared" si="22"/>
        <v>7562.5</v>
      </c>
      <c r="CB21" s="87">
        <f t="shared" si="23"/>
        <v>7562.5</v>
      </c>
    </row>
    <row r="22" spans="1:80" x14ac:dyDescent="0.25">
      <c r="A22" s="86" t="s">
        <v>20</v>
      </c>
      <c r="B22" s="84" t="s">
        <v>1057</v>
      </c>
      <c r="C22" s="70">
        <f t="shared" si="24"/>
        <v>0.9385036123004038</v>
      </c>
      <c r="D22" s="70">
        <f>IFERROR(s_DL/(s_RadSpec!$F22*s_IFAP_res_adj*s_CF_apple),".")</f>
        <v>3.7540144492016148</v>
      </c>
      <c r="E22" s="70">
        <f>IFERROR(s_DL/(s_RadSpec!$F22*s_IFAS_res_adj*s_CF_asparagus),".")</f>
        <v>3.7540144492016148</v>
      </c>
      <c r="F22" s="70">
        <f>IFERROR(s_DL/(s_RadSpec!$F22*s_IFBT_res_adj*s_CF_beet),".")</f>
        <v>3.7540144492016148</v>
      </c>
      <c r="G22" s="70">
        <f>IFERROR(s_DL/(s_RadSpec!$F22*s_IFBE_res_adj*s_CF_berries),".")</f>
        <v>3.7540144492016148</v>
      </c>
      <c r="H22" s="70">
        <f>IFERROR(s_DL/(s_RadSpec!$F22*s_IFBR_res_adj*s_CF_broccoli),".")</f>
        <v>3.7540144492016148</v>
      </c>
      <c r="I22" s="70">
        <f>IFERROR(s_DL/(s_RadSpec!$F22*s_IFCB_res_adj*s_CF_cabbage),".")</f>
        <v>3.7540144492016148</v>
      </c>
      <c r="J22" s="70">
        <f>IFERROR(s_DL/(s_RadSpec!$F22*s_IFCR_res_adj*s_CF_carrot),".")</f>
        <v>3.7540144492016148</v>
      </c>
      <c r="K22" s="70">
        <f>IFERROR(s_DL/(s_RadSpec!$F22*s_IFCI_res_adj*s_CF_citrus),".")</f>
        <v>3.7540144492016148</v>
      </c>
      <c r="L22" s="70">
        <f>IFERROR(s_DL/(s_RadSpec!$F22*s_IFCO_res_adj*s_CF_corn),".")</f>
        <v>3.7540144492016148</v>
      </c>
      <c r="M22" s="70">
        <f>IFERROR(s_DL/(s_RadSpec!$F22*s_IFCU_res_adj*s_CF_cucumber),".")</f>
        <v>3.7540144492016148</v>
      </c>
      <c r="N22" s="70">
        <f>IFERROR(s_DL/(s_RadSpec!$F22*s_IFLE_res_adj*s_CF_lettuce),".")</f>
        <v>3.7540144492016148</v>
      </c>
      <c r="O22" s="70">
        <f>IFERROR(s_DL/(s_RadSpec!$F22*s_IFLI_res_adj*s_CF_lima_bean),".")</f>
        <v>3.7540144492016148</v>
      </c>
      <c r="P22" s="70">
        <f>IFERROR(s_DL/(s_RadSpec!$F22*s_IFOK_res_adj*s_CF_okra),".")</f>
        <v>3.7540144492016148</v>
      </c>
      <c r="Q22" s="70">
        <f>IFERROR(s_DL/(s_RadSpec!$F22*s_IFON_res_adj*s_CF_onion),".")</f>
        <v>3.7540144492016148</v>
      </c>
      <c r="R22" s="70">
        <f>IFERROR(s_DL/(s_RadSpec!$F22*s_IFPC_res_adj*s_CF_peach),".")</f>
        <v>3.7540144492016148</v>
      </c>
      <c r="S22" s="70">
        <f>IFERROR(s_DL/(s_RadSpec!$F22*s_IFPR_res_adj*s_CF_pear),".")</f>
        <v>3.7540144492016148</v>
      </c>
      <c r="T22" s="70">
        <f>IFERROR(s_DL/(s_RadSpec!$F22*s_IFPE_res_adj*s_CF_peas),".")</f>
        <v>3.7540144492016148</v>
      </c>
      <c r="U22" s="70">
        <f>IFERROR(s_DL/(s_RadSpec!$F22*s_IFPP_res_adj*s_CF_peppers),".")</f>
        <v>3.7540144492016148</v>
      </c>
      <c r="V22" s="70">
        <f>IFERROR(s_DL/(s_RadSpec!$F22*s_IFPT_res_adj*s_CF_potato),".")</f>
        <v>3.7540144492016148</v>
      </c>
      <c r="W22" s="70">
        <f>IFERROR(s_DL/(s_RadSpec!$F22*s_IFPU_res_adj*s_CF_pumpkin),".")</f>
        <v>3.7540144492016148</v>
      </c>
      <c r="X22" s="70">
        <f>IFERROR(s_DL/(s_RadSpec!$F22*s_IFSN_res_adj*s_CF_snap_bean),".")</f>
        <v>3.7540144492016148</v>
      </c>
      <c r="Y22" s="70">
        <f>IFERROR(s_DL/(s_RadSpec!$F22*s_IFST_res_adj*s_CF_strawberry),".")</f>
        <v>3.7540144492016148</v>
      </c>
      <c r="Z22" s="70">
        <f>IFERROR(s_DL/(s_RadSpec!$F22*s_IFTO_res_adj*s_CF_tomato),".")</f>
        <v>3.7540144492016148</v>
      </c>
      <c r="AA22" s="70">
        <f>IFERROR(s_DL/(s_RadSpec!$F22*s_IFRI_res_adj*s_CF_rice),".")</f>
        <v>3.7540144492016148</v>
      </c>
      <c r="AB22" s="70">
        <f>IFERROR(s_DL/(s_RadSpec!$F22*s_IFCG_res_adj*s_CF_cereal),".")</f>
        <v>3.7540144492016148</v>
      </c>
      <c r="AC22" s="70">
        <f t="shared" si="25"/>
        <v>0.9385036123004038</v>
      </c>
      <c r="AD22" s="70">
        <f>IFERROR(s_DL/(s_RadSpec!$F22*s_IFAP_far_adj*s_CF_apple),".")</f>
        <v>3.7540144492016148</v>
      </c>
      <c r="AE22" s="70">
        <f>IFERROR(s_DL/(s_RadSpec!$F22*s_IFAS_far_adj*s_CF_asparagus),".")</f>
        <v>3.7540144492016148</v>
      </c>
      <c r="AF22" s="70">
        <f>IFERROR(s_DL/(s_RadSpec!$F22*s_IFBT_far_adj*s_CF_beet),".")</f>
        <v>3.7540144492016148</v>
      </c>
      <c r="AG22" s="70">
        <f>IFERROR(s_DL/(s_RadSpec!$F22*s_IFBE_far_adj*s_CF_berries),".")</f>
        <v>3.7540144492016148</v>
      </c>
      <c r="AH22" s="70">
        <f>IFERROR(s_DL/(s_RadSpec!$F22*s_IFBR_far_adj*s_CF_broccoli),".")</f>
        <v>3.7540144492016148</v>
      </c>
      <c r="AI22" s="70">
        <f>IFERROR(s_DL/(s_RadSpec!$F22*s_IFCB_far_adj*s_CF_cabbage),".")</f>
        <v>3.7540144492016148</v>
      </c>
      <c r="AJ22" s="70">
        <f>IFERROR(s_DL/(s_RadSpec!$F22*s_IFCR_far_adj*s_CF_carrot),".")</f>
        <v>3.7540144492016148</v>
      </c>
      <c r="AK22" s="70">
        <f>IFERROR(s_DL/(s_RadSpec!$F22*s_IFCI_far_adj*s_CF_citrus),".")</f>
        <v>3.7540144492016148</v>
      </c>
      <c r="AL22" s="70">
        <f>IFERROR(s_DL/(s_RadSpec!$F22*s_IFCO_far_adj*s_CF_corn),".")</f>
        <v>3.7540144492016148</v>
      </c>
      <c r="AM22" s="70">
        <f>IFERROR(s_DL/(s_RadSpec!$F22*s_IFCU_far_adj*s_CF_cucumber),".")</f>
        <v>3.7540144492016148</v>
      </c>
      <c r="AN22" s="70">
        <f>IFERROR(s_DL/(s_RadSpec!$F22*s_IFLE_far_adj*s_CF_lettuce),".")</f>
        <v>3.7540144492016148</v>
      </c>
      <c r="AO22" s="70">
        <f>IFERROR(s_DL/(s_RadSpec!$F22*s_IFLI_far_adj*s_CF_lima_bean),".")</f>
        <v>3.7540144492016148</v>
      </c>
      <c r="AP22" s="70">
        <f>IFERROR(s_DL/(s_RadSpec!$F22*s_IFOK_far_adj*s_CF_okra),".")</f>
        <v>3.7540144492016148</v>
      </c>
      <c r="AQ22" s="70">
        <f>IFERROR(s_DL/(s_RadSpec!$F22*s_IFON_far_adj*s_CF_onion),".")</f>
        <v>3.7540144492016148</v>
      </c>
      <c r="AR22" s="70">
        <f>IFERROR(s_DL/(s_RadSpec!$F22*s_IFPC_far_adj*s_CF_peach),".")</f>
        <v>3.7540144492016148</v>
      </c>
      <c r="AS22" s="70">
        <f>IFERROR(s_DL/(s_RadSpec!$F22*s_IFPR_far_adj*s_CF_pear),".")</f>
        <v>3.7540144492016148</v>
      </c>
      <c r="AT22" s="70">
        <f>IFERROR(s_DL/(s_RadSpec!$F22*s_IFPE_far_adj*s_CF_peas),".")</f>
        <v>3.7540144492016148</v>
      </c>
      <c r="AU22" s="70">
        <f>IFERROR(s_DL/(s_RadSpec!$F22*s_IFPP_far_adj*s_CF_peppers),".")</f>
        <v>3.7540144492016148</v>
      </c>
      <c r="AV22" s="70">
        <f>IFERROR(s_DL/(s_RadSpec!$F22*s_IFPT_far_adj*s_CF_potato),".")</f>
        <v>3.7540144492016148</v>
      </c>
      <c r="AW22" s="70">
        <f>IFERROR(s_DL/(s_RadSpec!$F22*s_IFPU_far_adj*s_CF_pumpkin),".")</f>
        <v>3.7540144492016148</v>
      </c>
      <c r="AX22" s="70">
        <f>IFERROR(s_DL/(s_RadSpec!$F22*s_IFSN_far_adj*s_CF_snap_bean),".")</f>
        <v>3.7540144492016148</v>
      </c>
      <c r="AY22" s="70">
        <f>IFERROR(s_DL/(s_RadSpec!$F22*s_IFST_far_adj*s_CF_strawberry),".")</f>
        <v>3.7540144492016148</v>
      </c>
      <c r="AZ22" s="70">
        <f>IFERROR(s_DL/(s_RadSpec!$F22*s_IFTO_far_adj*s_CF_tomato),".")</f>
        <v>3.7540144492016148</v>
      </c>
      <c r="BA22" s="70">
        <f>IFERROR(s_DL/(s_RadSpec!$F22*s_IFRI_far_adj*s_CF_rice),".")</f>
        <v>3.7540144492016148</v>
      </c>
      <c r="BB22" s="70">
        <f>IFERROR(s_DL/(s_RadSpec!$F22*s_IFCG_far_adj*s_CF_cereal),".")</f>
        <v>3.7540144492016148</v>
      </c>
      <c r="BC22" s="87">
        <f t="shared" si="26"/>
        <v>30250</v>
      </c>
      <c r="BD22" s="87">
        <f t="shared" si="0"/>
        <v>7562.5</v>
      </c>
      <c r="BE22" s="87">
        <f t="shared" si="1"/>
        <v>7562.5</v>
      </c>
      <c r="BF22" s="87">
        <f t="shared" si="2"/>
        <v>7562.5</v>
      </c>
      <c r="BG22" s="87">
        <f t="shared" si="3"/>
        <v>7562.5</v>
      </c>
      <c r="BH22" s="87">
        <f t="shared" si="4"/>
        <v>7562.5</v>
      </c>
      <c r="BI22" s="87">
        <f t="shared" si="5"/>
        <v>7562.5</v>
      </c>
      <c r="BJ22" s="87">
        <f t="shared" si="6"/>
        <v>7562.5</v>
      </c>
      <c r="BK22" s="87">
        <f t="shared" si="7"/>
        <v>7562.5</v>
      </c>
      <c r="BL22" s="87">
        <f t="shared" si="8"/>
        <v>7562.5</v>
      </c>
      <c r="BM22" s="87">
        <f t="shared" si="9"/>
        <v>7562.5</v>
      </c>
      <c r="BN22" s="87">
        <f t="shared" si="10"/>
        <v>7562.5</v>
      </c>
      <c r="BO22" s="87">
        <f t="shared" si="11"/>
        <v>7562.5</v>
      </c>
      <c r="BP22" s="87">
        <f t="shared" si="12"/>
        <v>7562.5</v>
      </c>
      <c r="BQ22" s="87">
        <f t="shared" si="13"/>
        <v>7562.5</v>
      </c>
      <c r="BR22" s="87">
        <f t="shared" si="14"/>
        <v>7562.5</v>
      </c>
      <c r="BS22" s="87">
        <f t="shared" si="15"/>
        <v>7562.5</v>
      </c>
      <c r="BT22" s="87">
        <f t="shared" si="27"/>
        <v>7562.5</v>
      </c>
      <c r="BU22" s="87">
        <f t="shared" si="16"/>
        <v>7562.5</v>
      </c>
      <c r="BV22" s="87">
        <f t="shared" si="17"/>
        <v>7562.5</v>
      </c>
      <c r="BW22" s="87">
        <f t="shared" si="18"/>
        <v>7562.5</v>
      </c>
      <c r="BX22" s="87">
        <f t="shared" si="19"/>
        <v>7562.5</v>
      </c>
      <c r="BY22" s="87">
        <f t="shared" si="20"/>
        <v>7562.5</v>
      </c>
      <c r="BZ22" s="87">
        <f t="shared" si="21"/>
        <v>7562.5</v>
      </c>
      <c r="CA22" s="87">
        <f t="shared" si="22"/>
        <v>7562.5</v>
      </c>
      <c r="CB22" s="87">
        <f t="shared" si="23"/>
        <v>7562.5</v>
      </c>
    </row>
    <row r="23" spans="1:80" x14ac:dyDescent="0.25">
      <c r="A23" s="88" t="s">
        <v>21</v>
      </c>
      <c r="B23" s="84" t="s">
        <v>335</v>
      </c>
      <c r="C23" s="70">
        <f t="shared" si="24"/>
        <v>0.49307695304083027</v>
      </c>
      <c r="D23" s="70">
        <f>IFERROR(s_DL/(s_RadSpec!$F23*s_IFAP_res_adj*s_CF_apple),".")</f>
        <v>1.9723078121633211</v>
      </c>
      <c r="E23" s="70">
        <f>IFERROR(s_DL/(s_RadSpec!$F23*s_IFAS_res_adj*s_CF_asparagus),".")</f>
        <v>1.9723078121633211</v>
      </c>
      <c r="F23" s="70">
        <f>IFERROR(s_DL/(s_RadSpec!$F23*s_IFBT_res_adj*s_CF_beet),".")</f>
        <v>1.9723078121633211</v>
      </c>
      <c r="G23" s="70">
        <f>IFERROR(s_DL/(s_RadSpec!$F23*s_IFBE_res_adj*s_CF_berries),".")</f>
        <v>1.9723078121633211</v>
      </c>
      <c r="H23" s="70">
        <f>IFERROR(s_DL/(s_RadSpec!$F23*s_IFBR_res_adj*s_CF_broccoli),".")</f>
        <v>1.9723078121633211</v>
      </c>
      <c r="I23" s="70">
        <f>IFERROR(s_DL/(s_RadSpec!$F23*s_IFCB_res_adj*s_CF_cabbage),".")</f>
        <v>1.9723078121633211</v>
      </c>
      <c r="J23" s="70">
        <f>IFERROR(s_DL/(s_RadSpec!$F23*s_IFCR_res_adj*s_CF_carrot),".")</f>
        <v>1.9723078121633211</v>
      </c>
      <c r="K23" s="70">
        <f>IFERROR(s_DL/(s_RadSpec!$F23*s_IFCI_res_adj*s_CF_citrus),".")</f>
        <v>1.9723078121633211</v>
      </c>
      <c r="L23" s="70">
        <f>IFERROR(s_DL/(s_RadSpec!$F23*s_IFCO_res_adj*s_CF_corn),".")</f>
        <v>1.9723078121633211</v>
      </c>
      <c r="M23" s="70">
        <f>IFERROR(s_DL/(s_RadSpec!$F23*s_IFCU_res_adj*s_CF_cucumber),".")</f>
        <v>1.9723078121633211</v>
      </c>
      <c r="N23" s="70">
        <f>IFERROR(s_DL/(s_RadSpec!$F23*s_IFLE_res_adj*s_CF_lettuce),".")</f>
        <v>1.9723078121633211</v>
      </c>
      <c r="O23" s="70">
        <f>IFERROR(s_DL/(s_RadSpec!$F23*s_IFLI_res_adj*s_CF_lima_bean),".")</f>
        <v>1.9723078121633211</v>
      </c>
      <c r="P23" s="70">
        <f>IFERROR(s_DL/(s_RadSpec!$F23*s_IFOK_res_adj*s_CF_okra),".")</f>
        <v>1.9723078121633211</v>
      </c>
      <c r="Q23" s="70">
        <f>IFERROR(s_DL/(s_RadSpec!$F23*s_IFON_res_adj*s_CF_onion),".")</f>
        <v>1.9723078121633211</v>
      </c>
      <c r="R23" s="70">
        <f>IFERROR(s_DL/(s_RadSpec!$F23*s_IFPC_res_adj*s_CF_peach),".")</f>
        <v>1.9723078121633211</v>
      </c>
      <c r="S23" s="70">
        <f>IFERROR(s_DL/(s_RadSpec!$F23*s_IFPR_res_adj*s_CF_pear),".")</f>
        <v>1.9723078121633211</v>
      </c>
      <c r="T23" s="70">
        <f>IFERROR(s_DL/(s_RadSpec!$F23*s_IFPE_res_adj*s_CF_peas),".")</f>
        <v>1.9723078121633211</v>
      </c>
      <c r="U23" s="70">
        <f>IFERROR(s_DL/(s_RadSpec!$F23*s_IFPP_res_adj*s_CF_peppers),".")</f>
        <v>1.9723078121633211</v>
      </c>
      <c r="V23" s="70">
        <f>IFERROR(s_DL/(s_RadSpec!$F23*s_IFPT_res_adj*s_CF_potato),".")</f>
        <v>1.9723078121633211</v>
      </c>
      <c r="W23" s="70">
        <f>IFERROR(s_DL/(s_RadSpec!$F23*s_IFPU_res_adj*s_CF_pumpkin),".")</f>
        <v>1.9723078121633211</v>
      </c>
      <c r="X23" s="70">
        <f>IFERROR(s_DL/(s_RadSpec!$F23*s_IFSN_res_adj*s_CF_snap_bean),".")</f>
        <v>1.9723078121633211</v>
      </c>
      <c r="Y23" s="70">
        <f>IFERROR(s_DL/(s_RadSpec!$F23*s_IFST_res_adj*s_CF_strawberry),".")</f>
        <v>1.9723078121633211</v>
      </c>
      <c r="Z23" s="70">
        <f>IFERROR(s_DL/(s_RadSpec!$F23*s_IFTO_res_adj*s_CF_tomato),".")</f>
        <v>1.9723078121633211</v>
      </c>
      <c r="AA23" s="70">
        <f>IFERROR(s_DL/(s_RadSpec!$F23*s_IFRI_res_adj*s_CF_rice),".")</f>
        <v>1.9723078121633211</v>
      </c>
      <c r="AB23" s="70">
        <f>IFERROR(s_DL/(s_RadSpec!$F23*s_IFCG_res_adj*s_CF_cereal),".")</f>
        <v>1.9723078121633211</v>
      </c>
      <c r="AC23" s="70">
        <f t="shared" si="25"/>
        <v>0.49307695304083027</v>
      </c>
      <c r="AD23" s="70">
        <f>IFERROR(s_DL/(s_RadSpec!$F23*s_IFAP_far_adj*s_CF_apple),".")</f>
        <v>1.9723078121633211</v>
      </c>
      <c r="AE23" s="70">
        <f>IFERROR(s_DL/(s_RadSpec!$F23*s_IFAS_far_adj*s_CF_asparagus),".")</f>
        <v>1.9723078121633211</v>
      </c>
      <c r="AF23" s="70">
        <f>IFERROR(s_DL/(s_RadSpec!$F23*s_IFBT_far_adj*s_CF_beet),".")</f>
        <v>1.9723078121633211</v>
      </c>
      <c r="AG23" s="70">
        <f>IFERROR(s_DL/(s_RadSpec!$F23*s_IFBE_far_adj*s_CF_berries),".")</f>
        <v>1.9723078121633211</v>
      </c>
      <c r="AH23" s="70">
        <f>IFERROR(s_DL/(s_RadSpec!$F23*s_IFBR_far_adj*s_CF_broccoli),".")</f>
        <v>1.9723078121633211</v>
      </c>
      <c r="AI23" s="70">
        <f>IFERROR(s_DL/(s_RadSpec!$F23*s_IFCB_far_adj*s_CF_cabbage),".")</f>
        <v>1.9723078121633211</v>
      </c>
      <c r="AJ23" s="70">
        <f>IFERROR(s_DL/(s_RadSpec!$F23*s_IFCR_far_adj*s_CF_carrot),".")</f>
        <v>1.9723078121633211</v>
      </c>
      <c r="AK23" s="70">
        <f>IFERROR(s_DL/(s_RadSpec!$F23*s_IFCI_far_adj*s_CF_citrus),".")</f>
        <v>1.9723078121633211</v>
      </c>
      <c r="AL23" s="70">
        <f>IFERROR(s_DL/(s_RadSpec!$F23*s_IFCO_far_adj*s_CF_corn),".")</f>
        <v>1.9723078121633211</v>
      </c>
      <c r="AM23" s="70">
        <f>IFERROR(s_DL/(s_RadSpec!$F23*s_IFCU_far_adj*s_CF_cucumber),".")</f>
        <v>1.9723078121633211</v>
      </c>
      <c r="AN23" s="70">
        <f>IFERROR(s_DL/(s_RadSpec!$F23*s_IFLE_far_adj*s_CF_lettuce),".")</f>
        <v>1.9723078121633211</v>
      </c>
      <c r="AO23" s="70">
        <f>IFERROR(s_DL/(s_RadSpec!$F23*s_IFLI_far_adj*s_CF_lima_bean),".")</f>
        <v>1.9723078121633211</v>
      </c>
      <c r="AP23" s="70">
        <f>IFERROR(s_DL/(s_RadSpec!$F23*s_IFOK_far_adj*s_CF_okra),".")</f>
        <v>1.9723078121633211</v>
      </c>
      <c r="AQ23" s="70">
        <f>IFERROR(s_DL/(s_RadSpec!$F23*s_IFON_far_adj*s_CF_onion),".")</f>
        <v>1.9723078121633211</v>
      </c>
      <c r="AR23" s="70">
        <f>IFERROR(s_DL/(s_RadSpec!$F23*s_IFPC_far_adj*s_CF_peach),".")</f>
        <v>1.9723078121633211</v>
      </c>
      <c r="AS23" s="70">
        <f>IFERROR(s_DL/(s_RadSpec!$F23*s_IFPR_far_adj*s_CF_pear),".")</f>
        <v>1.9723078121633211</v>
      </c>
      <c r="AT23" s="70">
        <f>IFERROR(s_DL/(s_RadSpec!$F23*s_IFPE_far_adj*s_CF_peas),".")</f>
        <v>1.9723078121633211</v>
      </c>
      <c r="AU23" s="70">
        <f>IFERROR(s_DL/(s_RadSpec!$F23*s_IFPP_far_adj*s_CF_peppers),".")</f>
        <v>1.9723078121633211</v>
      </c>
      <c r="AV23" s="70">
        <f>IFERROR(s_DL/(s_RadSpec!$F23*s_IFPT_far_adj*s_CF_potato),".")</f>
        <v>1.9723078121633211</v>
      </c>
      <c r="AW23" s="70">
        <f>IFERROR(s_DL/(s_RadSpec!$F23*s_IFPU_far_adj*s_CF_pumpkin),".")</f>
        <v>1.9723078121633211</v>
      </c>
      <c r="AX23" s="70">
        <f>IFERROR(s_DL/(s_RadSpec!$F23*s_IFSN_far_adj*s_CF_snap_bean),".")</f>
        <v>1.9723078121633211</v>
      </c>
      <c r="AY23" s="70">
        <f>IFERROR(s_DL/(s_RadSpec!$F23*s_IFST_far_adj*s_CF_strawberry),".")</f>
        <v>1.9723078121633211</v>
      </c>
      <c r="AZ23" s="70">
        <f>IFERROR(s_DL/(s_RadSpec!$F23*s_IFTO_far_adj*s_CF_tomato),".")</f>
        <v>1.9723078121633211</v>
      </c>
      <c r="BA23" s="70">
        <f>IFERROR(s_DL/(s_RadSpec!$F23*s_IFRI_far_adj*s_CF_rice),".")</f>
        <v>1.9723078121633211</v>
      </c>
      <c r="BB23" s="70">
        <f>IFERROR(s_DL/(s_RadSpec!$F23*s_IFCG_far_adj*s_CF_cereal),".")</f>
        <v>1.9723078121633211</v>
      </c>
      <c r="BC23" s="87">
        <f t="shared" si="26"/>
        <v>30250</v>
      </c>
      <c r="BD23" s="87">
        <f t="shared" si="0"/>
        <v>7562.5</v>
      </c>
      <c r="BE23" s="87">
        <f t="shared" si="1"/>
        <v>7562.5</v>
      </c>
      <c r="BF23" s="87">
        <f t="shared" si="2"/>
        <v>7562.5</v>
      </c>
      <c r="BG23" s="87">
        <f t="shared" si="3"/>
        <v>7562.5</v>
      </c>
      <c r="BH23" s="87">
        <f t="shared" si="4"/>
        <v>7562.5</v>
      </c>
      <c r="BI23" s="87">
        <f t="shared" si="5"/>
        <v>7562.5</v>
      </c>
      <c r="BJ23" s="87">
        <f t="shared" si="6"/>
        <v>7562.5</v>
      </c>
      <c r="BK23" s="87">
        <f t="shared" si="7"/>
        <v>7562.5</v>
      </c>
      <c r="BL23" s="87">
        <f t="shared" si="8"/>
        <v>7562.5</v>
      </c>
      <c r="BM23" s="87">
        <f t="shared" si="9"/>
        <v>7562.5</v>
      </c>
      <c r="BN23" s="87">
        <f t="shared" si="10"/>
        <v>7562.5</v>
      </c>
      <c r="BO23" s="87">
        <f t="shared" si="11"/>
        <v>7562.5</v>
      </c>
      <c r="BP23" s="87">
        <f t="shared" si="12"/>
        <v>7562.5</v>
      </c>
      <c r="BQ23" s="87">
        <f t="shared" si="13"/>
        <v>7562.5</v>
      </c>
      <c r="BR23" s="87">
        <f t="shared" si="14"/>
        <v>7562.5</v>
      </c>
      <c r="BS23" s="87">
        <f t="shared" si="15"/>
        <v>7562.5</v>
      </c>
      <c r="BT23" s="87">
        <f t="shared" si="27"/>
        <v>7562.5</v>
      </c>
      <c r="BU23" s="87">
        <f t="shared" si="16"/>
        <v>7562.5</v>
      </c>
      <c r="BV23" s="87">
        <f t="shared" si="17"/>
        <v>7562.5</v>
      </c>
      <c r="BW23" s="87">
        <f t="shared" si="18"/>
        <v>7562.5</v>
      </c>
      <c r="BX23" s="87">
        <f t="shared" si="19"/>
        <v>7562.5</v>
      </c>
      <c r="BY23" s="87">
        <f t="shared" si="20"/>
        <v>7562.5</v>
      </c>
      <c r="BZ23" s="87">
        <f t="shared" si="21"/>
        <v>7562.5</v>
      </c>
      <c r="CA23" s="87">
        <f t="shared" si="22"/>
        <v>7562.5</v>
      </c>
      <c r="CB23" s="87">
        <f t="shared" si="23"/>
        <v>7562.5</v>
      </c>
    </row>
    <row r="24" spans="1:80" x14ac:dyDescent="0.25">
      <c r="A24" s="86" t="s">
        <v>22</v>
      </c>
      <c r="B24" s="84" t="s">
        <v>1057</v>
      </c>
      <c r="C24" s="70" t="str">
        <f t="shared" si="24"/>
        <v>.</v>
      </c>
      <c r="D24" s="70" t="str">
        <f>IFERROR(s_DL/(s_RadSpec!$F24*s_IFAP_res_adj*s_CF_apple),".")</f>
        <v>.</v>
      </c>
      <c r="E24" s="70" t="str">
        <f>IFERROR(s_DL/(s_RadSpec!$F24*s_IFAS_res_adj*s_CF_asparagus),".")</f>
        <v>.</v>
      </c>
      <c r="F24" s="70" t="str">
        <f>IFERROR(s_DL/(s_RadSpec!$F24*s_IFBT_res_adj*s_CF_beet),".")</f>
        <v>.</v>
      </c>
      <c r="G24" s="70" t="str">
        <f>IFERROR(s_DL/(s_RadSpec!$F24*s_IFBE_res_adj*s_CF_berries),".")</f>
        <v>.</v>
      </c>
      <c r="H24" s="70" t="str">
        <f>IFERROR(s_DL/(s_RadSpec!$F24*s_IFBR_res_adj*s_CF_broccoli),".")</f>
        <v>.</v>
      </c>
      <c r="I24" s="70" t="str">
        <f>IFERROR(s_DL/(s_RadSpec!$F24*s_IFCB_res_adj*s_CF_cabbage),".")</f>
        <v>.</v>
      </c>
      <c r="J24" s="70" t="str">
        <f>IFERROR(s_DL/(s_RadSpec!$F24*s_IFCR_res_adj*s_CF_carrot),".")</f>
        <v>.</v>
      </c>
      <c r="K24" s="70" t="str">
        <f>IFERROR(s_DL/(s_RadSpec!$F24*s_IFCI_res_adj*s_CF_citrus),".")</f>
        <v>.</v>
      </c>
      <c r="L24" s="70" t="str">
        <f>IFERROR(s_DL/(s_RadSpec!$F24*s_IFCO_res_adj*s_CF_corn),".")</f>
        <v>.</v>
      </c>
      <c r="M24" s="70" t="str">
        <f>IFERROR(s_DL/(s_RadSpec!$F24*s_IFCU_res_adj*s_CF_cucumber),".")</f>
        <v>.</v>
      </c>
      <c r="N24" s="70" t="str">
        <f>IFERROR(s_DL/(s_RadSpec!$F24*s_IFLE_res_adj*s_CF_lettuce),".")</f>
        <v>.</v>
      </c>
      <c r="O24" s="70" t="str">
        <f>IFERROR(s_DL/(s_RadSpec!$F24*s_IFLI_res_adj*s_CF_lima_bean),".")</f>
        <v>.</v>
      </c>
      <c r="P24" s="70" t="str">
        <f>IFERROR(s_DL/(s_RadSpec!$F24*s_IFOK_res_adj*s_CF_okra),".")</f>
        <v>.</v>
      </c>
      <c r="Q24" s="70" t="str">
        <f>IFERROR(s_DL/(s_RadSpec!$F24*s_IFON_res_adj*s_CF_onion),".")</f>
        <v>.</v>
      </c>
      <c r="R24" s="70" t="str">
        <f>IFERROR(s_DL/(s_RadSpec!$F24*s_IFPC_res_adj*s_CF_peach),".")</f>
        <v>.</v>
      </c>
      <c r="S24" s="70" t="str">
        <f>IFERROR(s_DL/(s_RadSpec!$F24*s_IFPR_res_adj*s_CF_pear),".")</f>
        <v>.</v>
      </c>
      <c r="T24" s="70" t="str">
        <f>IFERROR(s_DL/(s_RadSpec!$F24*s_IFPE_res_adj*s_CF_peas),".")</f>
        <v>.</v>
      </c>
      <c r="U24" s="70" t="str">
        <f>IFERROR(s_DL/(s_RadSpec!$F24*s_IFPP_res_adj*s_CF_peppers),".")</f>
        <v>.</v>
      </c>
      <c r="V24" s="70" t="str">
        <f>IFERROR(s_DL/(s_RadSpec!$F24*s_IFPT_res_adj*s_CF_potato),".")</f>
        <v>.</v>
      </c>
      <c r="W24" s="70" t="str">
        <f>IFERROR(s_DL/(s_RadSpec!$F24*s_IFPU_res_adj*s_CF_pumpkin),".")</f>
        <v>.</v>
      </c>
      <c r="X24" s="70" t="str">
        <f>IFERROR(s_DL/(s_RadSpec!$F24*s_IFSN_res_adj*s_CF_snap_bean),".")</f>
        <v>.</v>
      </c>
      <c r="Y24" s="70" t="str">
        <f>IFERROR(s_DL/(s_RadSpec!$F24*s_IFST_res_adj*s_CF_strawberry),".")</f>
        <v>.</v>
      </c>
      <c r="Z24" s="70" t="str">
        <f>IFERROR(s_DL/(s_RadSpec!$F24*s_IFTO_res_adj*s_CF_tomato),".")</f>
        <v>.</v>
      </c>
      <c r="AA24" s="70" t="str">
        <f>IFERROR(s_DL/(s_RadSpec!$F24*s_IFRI_res_adj*s_CF_rice),".")</f>
        <v>.</v>
      </c>
      <c r="AB24" s="70" t="str">
        <f>IFERROR(s_DL/(s_RadSpec!$F24*s_IFCG_res_adj*s_CF_cereal),".")</f>
        <v>.</v>
      </c>
      <c r="AC24" s="70" t="str">
        <f t="shared" si="25"/>
        <v>.</v>
      </c>
      <c r="AD24" s="70" t="str">
        <f>IFERROR(s_DL/(s_RadSpec!$F24*s_IFAP_far_adj*s_CF_apple),".")</f>
        <v>.</v>
      </c>
      <c r="AE24" s="70" t="str">
        <f>IFERROR(s_DL/(s_RadSpec!$F24*s_IFAS_far_adj*s_CF_asparagus),".")</f>
        <v>.</v>
      </c>
      <c r="AF24" s="70" t="str">
        <f>IFERROR(s_DL/(s_RadSpec!$F24*s_IFBT_far_adj*s_CF_beet),".")</f>
        <v>.</v>
      </c>
      <c r="AG24" s="70" t="str">
        <f>IFERROR(s_DL/(s_RadSpec!$F24*s_IFBE_far_adj*s_CF_berries),".")</f>
        <v>.</v>
      </c>
      <c r="AH24" s="70" t="str">
        <f>IFERROR(s_DL/(s_RadSpec!$F24*s_IFBR_far_adj*s_CF_broccoli),".")</f>
        <v>.</v>
      </c>
      <c r="AI24" s="70" t="str">
        <f>IFERROR(s_DL/(s_RadSpec!$F24*s_IFCB_far_adj*s_CF_cabbage),".")</f>
        <v>.</v>
      </c>
      <c r="AJ24" s="70" t="str">
        <f>IFERROR(s_DL/(s_RadSpec!$F24*s_IFCR_far_adj*s_CF_carrot),".")</f>
        <v>.</v>
      </c>
      <c r="AK24" s="70" t="str">
        <f>IFERROR(s_DL/(s_RadSpec!$F24*s_IFCI_far_adj*s_CF_citrus),".")</f>
        <v>.</v>
      </c>
      <c r="AL24" s="70" t="str">
        <f>IFERROR(s_DL/(s_RadSpec!$F24*s_IFCO_far_adj*s_CF_corn),".")</f>
        <v>.</v>
      </c>
      <c r="AM24" s="70" t="str">
        <f>IFERROR(s_DL/(s_RadSpec!$F24*s_IFCU_far_adj*s_CF_cucumber),".")</f>
        <v>.</v>
      </c>
      <c r="AN24" s="70" t="str">
        <f>IFERROR(s_DL/(s_RadSpec!$F24*s_IFLE_far_adj*s_CF_lettuce),".")</f>
        <v>.</v>
      </c>
      <c r="AO24" s="70" t="str">
        <f>IFERROR(s_DL/(s_RadSpec!$F24*s_IFLI_far_adj*s_CF_lima_bean),".")</f>
        <v>.</v>
      </c>
      <c r="AP24" s="70" t="str">
        <f>IFERROR(s_DL/(s_RadSpec!$F24*s_IFOK_far_adj*s_CF_okra),".")</f>
        <v>.</v>
      </c>
      <c r="AQ24" s="70" t="str">
        <f>IFERROR(s_DL/(s_RadSpec!$F24*s_IFON_far_adj*s_CF_onion),".")</f>
        <v>.</v>
      </c>
      <c r="AR24" s="70" t="str">
        <f>IFERROR(s_DL/(s_RadSpec!$F24*s_IFPC_far_adj*s_CF_peach),".")</f>
        <v>.</v>
      </c>
      <c r="AS24" s="70" t="str">
        <f>IFERROR(s_DL/(s_RadSpec!$F24*s_IFPR_far_adj*s_CF_pear),".")</f>
        <v>.</v>
      </c>
      <c r="AT24" s="70" t="str">
        <f>IFERROR(s_DL/(s_RadSpec!$F24*s_IFPE_far_adj*s_CF_peas),".")</f>
        <v>.</v>
      </c>
      <c r="AU24" s="70" t="str">
        <f>IFERROR(s_DL/(s_RadSpec!$F24*s_IFPP_far_adj*s_CF_peppers),".")</f>
        <v>.</v>
      </c>
      <c r="AV24" s="70" t="str">
        <f>IFERROR(s_DL/(s_RadSpec!$F24*s_IFPT_far_adj*s_CF_potato),".")</f>
        <v>.</v>
      </c>
      <c r="AW24" s="70" t="str">
        <f>IFERROR(s_DL/(s_RadSpec!$F24*s_IFPU_far_adj*s_CF_pumpkin),".")</f>
        <v>.</v>
      </c>
      <c r="AX24" s="70" t="str">
        <f>IFERROR(s_DL/(s_RadSpec!$F24*s_IFSN_far_adj*s_CF_snap_bean),".")</f>
        <v>.</v>
      </c>
      <c r="AY24" s="70" t="str">
        <f>IFERROR(s_DL/(s_RadSpec!$F24*s_IFST_far_adj*s_CF_strawberry),".")</f>
        <v>.</v>
      </c>
      <c r="AZ24" s="70" t="str">
        <f>IFERROR(s_DL/(s_RadSpec!$F24*s_IFTO_far_adj*s_CF_tomato),".")</f>
        <v>.</v>
      </c>
      <c r="BA24" s="70" t="str">
        <f>IFERROR(s_DL/(s_RadSpec!$F24*s_IFRI_far_adj*s_CF_rice),".")</f>
        <v>.</v>
      </c>
      <c r="BB24" s="70" t="str">
        <f>IFERROR(s_DL/(s_RadSpec!$F24*s_IFCG_far_adj*s_CF_cereal),".")</f>
        <v>.</v>
      </c>
      <c r="BC24" s="87">
        <f t="shared" si="26"/>
        <v>30250</v>
      </c>
      <c r="BD24" s="87">
        <f t="shared" si="0"/>
        <v>7562.5</v>
      </c>
      <c r="BE24" s="87">
        <f t="shared" si="1"/>
        <v>7562.5</v>
      </c>
      <c r="BF24" s="87">
        <f t="shared" si="2"/>
        <v>7562.5</v>
      </c>
      <c r="BG24" s="87">
        <f t="shared" si="3"/>
        <v>7562.5</v>
      </c>
      <c r="BH24" s="87">
        <f t="shared" si="4"/>
        <v>7562.5</v>
      </c>
      <c r="BI24" s="87">
        <f t="shared" si="5"/>
        <v>7562.5</v>
      </c>
      <c r="BJ24" s="87">
        <f t="shared" si="6"/>
        <v>7562.5</v>
      </c>
      <c r="BK24" s="87">
        <f t="shared" si="7"/>
        <v>7562.5</v>
      </c>
      <c r="BL24" s="87">
        <f t="shared" si="8"/>
        <v>7562.5</v>
      </c>
      <c r="BM24" s="87">
        <f t="shared" si="9"/>
        <v>7562.5</v>
      </c>
      <c r="BN24" s="87">
        <f t="shared" si="10"/>
        <v>7562.5</v>
      </c>
      <c r="BO24" s="87">
        <f t="shared" si="11"/>
        <v>7562.5</v>
      </c>
      <c r="BP24" s="87">
        <f t="shared" si="12"/>
        <v>7562.5</v>
      </c>
      <c r="BQ24" s="87">
        <f t="shared" si="13"/>
        <v>7562.5</v>
      </c>
      <c r="BR24" s="87">
        <f t="shared" si="14"/>
        <v>7562.5</v>
      </c>
      <c r="BS24" s="87">
        <f t="shared" si="15"/>
        <v>7562.5</v>
      </c>
      <c r="BT24" s="87">
        <f t="shared" si="27"/>
        <v>7562.5</v>
      </c>
      <c r="BU24" s="87">
        <f t="shared" si="16"/>
        <v>7562.5</v>
      </c>
      <c r="BV24" s="87">
        <f t="shared" si="17"/>
        <v>7562.5</v>
      </c>
      <c r="BW24" s="87">
        <f t="shared" si="18"/>
        <v>7562.5</v>
      </c>
      <c r="BX24" s="87">
        <f t="shared" si="19"/>
        <v>7562.5</v>
      </c>
      <c r="BY24" s="87">
        <f t="shared" si="20"/>
        <v>7562.5</v>
      </c>
      <c r="BZ24" s="87">
        <f t="shared" si="21"/>
        <v>7562.5</v>
      </c>
      <c r="CA24" s="87">
        <f t="shared" si="22"/>
        <v>7562.5</v>
      </c>
      <c r="CB24" s="87">
        <f t="shared" si="23"/>
        <v>7562.5</v>
      </c>
    </row>
    <row r="25" spans="1:80" x14ac:dyDescent="0.25">
      <c r="A25" s="88" t="s">
        <v>23</v>
      </c>
      <c r="B25" s="84" t="s">
        <v>335</v>
      </c>
      <c r="C25" s="70" t="str">
        <f t="shared" si="24"/>
        <v>.</v>
      </c>
      <c r="D25" s="70" t="str">
        <f>IFERROR(s_DL/(s_RadSpec!$F25*s_IFAP_res_adj*s_CF_apple),".")</f>
        <v>.</v>
      </c>
      <c r="E25" s="70" t="str">
        <f>IFERROR(s_DL/(s_RadSpec!$F25*s_IFAS_res_adj*s_CF_asparagus),".")</f>
        <v>.</v>
      </c>
      <c r="F25" s="70" t="str">
        <f>IFERROR(s_DL/(s_RadSpec!$F25*s_IFBT_res_adj*s_CF_beet),".")</f>
        <v>.</v>
      </c>
      <c r="G25" s="70" t="str">
        <f>IFERROR(s_DL/(s_RadSpec!$F25*s_IFBE_res_adj*s_CF_berries),".")</f>
        <v>.</v>
      </c>
      <c r="H25" s="70" t="str">
        <f>IFERROR(s_DL/(s_RadSpec!$F25*s_IFBR_res_adj*s_CF_broccoli),".")</f>
        <v>.</v>
      </c>
      <c r="I25" s="70" t="str">
        <f>IFERROR(s_DL/(s_RadSpec!$F25*s_IFCB_res_adj*s_CF_cabbage),".")</f>
        <v>.</v>
      </c>
      <c r="J25" s="70" t="str">
        <f>IFERROR(s_DL/(s_RadSpec!$F25*s_IFCR_res_adj*s_CF_carrot),".")</f>
        <v>.</v>
      </c>
      <c r="K25" s="70" t="str">
        <f>IFERROR(s_DL/(s_RadSpec!$F25*s_IFCI_res_adj*s_CF_citrus),".")</f>
        <v>.</v>
      </c>
      <c r="L25" s="70" t="str">
        <f>IFERROR(s_DL/(s_RadSpec!$F25*s_IFCO_res_adj*s_CF_corn),".")</f>
        <v>.</v>
      </c>
      <c r="M25" s="70" t="str">
        <f>IFERROR(s_DL/(s_RadSpec!$F25*s_IFCU_res_adj*s_CF_cucumber),".")</f>
        <v>.</v>
      </c>
      <c r="N25" s="70" t="str">
        <f>IFERROR(s_DL/(s_RadSpec!$F25*s_IFLE_res_adj*s_CF_lettuce),".")</f>
        <v>.</v>
      </c>
      <c r="O25" s="70" t="str">
        <f>IFERROR(s_DL/(s_RadSpec!$F25*s_IFLI_res_adj*s_CF_lima_bean),".")</f>
        <v>.</v>
      </c>
      <c r="P25" s="70" t="str">
        <f>IFERROR(s_DL/(s_RadSpec!$F25*s_IFOK_res_adj*s_CF_okra),".")</f>
        <v>.</v>
      </c>
      <c r="Q25" s="70" t="str">
        <f>IFERROR(s_DL/(s_RadSpec!$F25*s_IFON_res_adj*s_CF_onion),".")</f>
        <v>.</v>
      </c>
      <c r="R25" s="70" t="str">
        <f>IFERROR(s_DL/(s_RadSpec!$F25*s_IFPC_res_adj*s_CF_peach),".")</f>
        <v>.</v>
      </c>
      <c r="S25" s="70" t="str">
        <f>IFERROR(s_DL/(s_RadSpec!$F25*s_IFPR_res_adj*s_CF_pear),".")</f>
        <v>.</v>
      </c>
      <c r="T25" s="70" t="str">
        <f>IFERROR(s_DL/(s_RadSpec!$F25*s_IFPE_res_adj*s_CF_peas),".")</f>
        <v>.</v>
      </c>
      <c r="U25" s="70" t="str">
        <f>IFERROR(s_DL/(s_RadSpec!$F25*s_IFPP_res_adj*s_CF_peppers),".")</f>
        <v>.</v>
      </c>
      <c r="V25" s="70" t="str">
        <f>IFERROR(s_DL/(s_RadSpec!$F25*s_IFPT_res_adj*s_CF_potato),".")</f>
        <v>.</v>
      </c>
      <c r="W25" s="70" t="str">
        <f>IFERROR(s_DL/(s_RadSpec!$F25*s_IFPU_res_adj*s_CF_pumpkin),".")</f>
        <v>.</v>
      </c>
      <c r="X25" s="70" t="str">
        <f>IFERROR(s_DL/(s_RadSpec!$F25*s_IFSN_res_adj*s_CF_snap_bean),".")</f>
        <v>.</v>
      </c>
      <c r="Y25" s="70" t="str">
        <f>IFERROR(s_DL/(s_RadSpec!$F25*s_IFST_res_adj*s_CF_strawberry),".")</f>
        <v>.</v>
      </c>
      <c r="Z25" s="70" t="str">
        <f>IFERROR(s_DL/(s_RadSpec!$F25*s_IFTO_res_adj*s_CF_tomato),".")</f>
        <v>.</v>
      </c>
      <c r="AA25" s="70" t="str">
        <f>IFERROR(s_DL/(s_RadSpec!$F25*s_IFRI_res_adj*s_CF_rice),".")</f>
        <v>.</v>
      </c>
      <c r="AB25" s="70" t="str">
        <f>IFERROR(s_DL/(s_RadSpec!$F25*s_IFCG_res_adj*s_CF_cereal),".")</f>
        <v>.</v>
      </c>
      <c r="AC25" s="70" t="str">
        <f t="shared" si="25"/>
        <v>.</v>
      </c>
      <c r="AD25" s="70" t="str">
        <f>IFERROR(s_DL/(s_RadSpec!$F25*s_IFAP_far_adj*s_CF_apple),".")</f>
        <v>.</v>
      </c>
      <c r="AE25" s="70" t="str">
        <f>IFERROR(s_DL/(s_RadSpec!$F25*s_IFAS_far_adj*s_CF_asparagus),".")</f>
        <v>.</v>
      </c>
      <c r="AF25" s="70" t="str">
        <f>IFERROR(s_DL/(s_RadSpec!$F25*s_IFBT_far_adj*s_CF_beet),".")</f>
        <v>.</v>
      </c>
      <c r="AG25" s="70" t="str">
        <f>IFERROR(s_DL/(s_RadSpec!$F25*s_IFBE_far_adj*s_CF_berries),".")</f>
        <v>.</v>
      </c>
      <c r="AH25" s="70" t="str">
        <f>IFERROR(s_DL/(s_RadSpec!$F25*s_IFBR_far_adj*s_CF_broccoli),".")</f>
        <v>.</v>
      </c>
      <c r="AI25" s="70" t="str">
        <f>IFERROR(s_DL/(s_RadSpec!$F25*s_IFCB_far_adj*s_CF_cabbage),".")</f>
        <v>.</v>
      </c>
      <c r="AJ25" s="70" t="str">
        <f>IFERROR(s_DL/(s_RadSpec!$F25*s_IFCR_far_adj*s_CF_carrot),".")</f>
        <v>.</v>
      </c>
      <c r="AK25" s="70" t="str">
        <f>IFERROR(s_DL/(s_RadSpec!$F25*s_IFCI_far_adj*s_CF_citrus),".")</f>
        <v>.</v>
      </c>
      <c r="AL25" s="70" t="str">
        <f>IFERROR(s_DL/(s_RadSpec!$F25*s_IFCO_far_adj*s_CF_corn),".")</f>
        <v>.</v>
      </c>
      <c r="AM25" s="70" t="str">
        <f>IFERROR(s_DL/(s_RadSpec!$F25*s_IFCU_far_adj*s_CF_cucumber),".")</f>
        <v>.</v>
      </c>
      <c r="AN25" s="70" t="str">
        <f>IFERROR(s_DL/(s_RadSpec!$F25*s_IFLE_far_adj*s_CF_lettuce),".")</f>
        <v>.</v>
      </c>
      <c r="AO25" s="70" t="str">
        <f>IFERROR(s_DL/(s_RadSpec!$F25*s_IFLI_far_adj*s_CF_lima_bean),".")</f>
        <v>.</v>
      </c>
      <c r="AP25" s="70" t="str">
        <f>IFERROR(s_DL/(s_RadSpec!$F25*s_IFOK_far_adj*s_CF_okra),".")</f>
        <v>.</v>
      </c>
      <c r="AQ25" s="70" t="str">
        <f>IFERROR(s_DL/(s_RadSpec!$F25*s_IFON_far_adj*s_CF_onion),".")</f>
        <v>.</v>
      </c>
      <c r="AR25" s="70" t="str">
        <f>IFERROR(s_DL/(s_RadSpec!$F25*s_IFPC_far_adj*s_CF_peach),".")</f>
        <v>.</v>
      </c>
      <c r="AS25" s="70" t="str">
        <f>IFERROR(s_DL/(s_RadSpec!$F25*s_IFPR_far_adj*s_CF_pear),".")</f>
        <v>.</v>
      </c>
      <c r="AT25" s="70" t="str">
        <f>IFERROR(s_DL/(s_RadSpec!$F25*s_IFPE_far_adj*s_CF_peas),".")</f>
        <v>.</v>
      </c>
      <c r="AU25" s="70" t="str">
        <f>IFERROR(s_DL/(s_RadSpec!$F25*s_IFPP_far_adj*s_CF_peppers),".")</f>
        <v>.</v>
      </c>
      <c r="AV25" s="70" t="str">
        <f>IFERROR(s_DL/(s_RadSpec!$F25*s_IFPT_far_adj*s_CF_potato),".")</f>
        <v>.</v>
      </c>
      <c r="AW25" s="70" t="str">
        <f>IFERROR(s_DL/(s_RadSpec!$F25*s_IFPU_far_adj*s_CF_pumpkin),".")</f>
        <v>.</v>
      </c>
      <c r="AX25" s="70" t="str">
        <f>IFERROR(s_DL/(s_RadSpec!$F25*s_IFSN_far_adj*s_CF_snap_bean),".")</f>
        <v>.</v>
      </c>
      <c r="AY25" s="70" t="str">
        <f>IFERROR(s_DL/(s_RadSpec!$F25*s_IFST_far_adj*s_CF_strawberry),".")</f>
        <v>.</v>
      </c>
      <c r="AZ25" s="70" t="str">
        <f>IFERROR(s_DL/(s_RadSpec!$F25*s_IFTO_far_adj*s_CF_tomato),".")</f>
        <v>.</v>
      </c>
      <c r="BA25" s="70" t="str">
        <f>IFERROR(s_DL/(s_RadSpec!$F25*s_IFRI_far_adj*s_CF_rice),".")</f>
        <v>.</v>
      </c>
      <c r="BB25" s="70" t="str">
        <f>IFERROR(s_DL/(s_RadSpec!$F25*s_IFCG_far_adj*s_CF_cereal),".")</f>
        <v>.</v>
      </c>
      <c r="BC25" s="87">
        <f t="shared" si="26"/>
        <v>30250</v>
      </c>
      <c r="BD25" s="87">
        <f t="shared" si="0"/>
        <v>7562.5</v>
      </c>
      <c r="BE25" s="87">
        <f t="shared" si="1"/>
        <v>7562.5</v>
      </c>
      <c r="BF25" s="87">
        <f t="shared" si="2"/>
        <v>7562.5</v>
      </c>
      <c r="BG25" s="87">
        <f t="shared" si="3"/>
        <v>7562.5</v>
      </c>
      <c r="BH25" s="87">
        <f t="shared" si="4"/>
        <v>7562.5</v>
      </c>
      <c r="BI25" s="87">
        <f t="shared" si="5"/>
        <v>7562.5</v>
      </c>
      <c r="BJ25" s="87">
        <f t="shared" si="6"/>
        <v>7562.5</v>
      </c>
      <c r="BK25" s="87">
        <f t="shared" si="7"/>
        <v>7562.5</v>
      </c>
      <c r="BL25" s="87">
        <f t="shared" si="8"/>
        <v>7562.5</v>
      </c>
      <c r="BM25" s="87">
        <f t="shared" si="9"/>
        <v>7562.5</v>
      </c>
      <c r="BN25" s="87">
        <f t="shared" si="10"/>
        <v>7562.5</v>
      </c>
      <c r="BO25" s="87">
        <f t="shared" si="11"/>
        <v>7562.5</v>
      </c>
      <c r="BP25" s="87">
        <f t="shared" si="12"/>
        <v>7562.5</v>
      </c>
      <c r="BQ25" s="87">
        <f t="shared" si="13"/>
        <v>7562.5</v>
      </c>
      <c r="BR25" s="87">
        <f t="shared" si="14"/>
        <v>7562.5</v>
      </c>
      <c r="BS25" s="87">
        <f t="shared" si="15"/>
        <v>7562.5</v>
      </c>
      <c r="BT25" s="87">
        <f t="shared" si="27"/>
        <v>7562.5</v>
      </c>
      <c r="BU25" s="87">
        <f t="shared" si="16"/>
        <v>7562.5</v>
      </c>
      <c r="BV25" s="87">
        <f t="shared" si="17"/>
        <v>7562.5</v>
      </c>
      <c r="BW25" s="87">
        <f t="shared" si="18"/>
        <v>7562.5</v>
      </c>
      <c r="BX25" s="87">
        <f t="shared" si="19"/>
        <v>7562.5</v>
      </c>
      <c r="BY25" s="87">
        <f t="shared" si="20"/>
        <v>7562.5</v>
      </c>
      <c r="BZ25" s="87">
        <f t="shared" si="21"/>
        <v>7562.5</v>
      </c>
      <c r="CA25" s="87">
        <f t="shared" si="22"/>
        <v>7562.5</v>
      </c>
      <c r="CB25" s="87">
        <f t="shared" si="23"/>
        <v>7562.5</v>
      </c>
    </row>
    <row r="26" spans="1:80" x14ac:dyDescent="0.25">
      <c r="A26" s="86" t="s">
        <v>24</v>
      </c>
      <c r="B26" s="84" t="s">
        <v>1057</v>
      </c>
      <c r="C26" s="70">
        <f t="shared" si="24"/>
        <v>0.36677152664613477</v>
      </c>
      <c r="D26" s="70">
        <f>IFERROR(s_DL/(s_RadSpec!$F26*s_IFAP_res_adj*s_CF_apple),".")</f>
        <v>1.4670861065845391</v>
      </c>
      <c r="E26" s="70">
        <f>IFERROR(s_DL/(s_RadSpec!$F26*s_IFAS_res_adj*s_CF_asparagus),".")</f>
        <v>1.4670861065845391</v>
      </c>
      <c r="F26" s="70">
        <f>IFERROR(s_DL/(s_RadSpec!$F26*s_IFBT_res_adj*s_CF_beet),".")</f>
        <v>1.4670861065845391</v>
      </c>
      <c r="G26" s="70">
        <f>IFERROR(s_DL/(s_RadSpec!$F26*s_IFBE_res_adj*s_CF_berries),".")</f>
        <v>1.4670861065845391</v>
      </c>
      <c r="H26" s="70">
        <f>IFERROR(s_DL/(s_RadSpec!$F26*s_IFBR_res_adj*s_CF_broccoli),".")</f>
        <v>1.4670861065845391</v>
      </c>
      <c r="I26" s="70">
        <f>IFERROR(s_DL/(s_RadSpec!$F26*s_IFCB_res_adj*s_CF_cabbage),".")</f>
        <v>1.4670861065845391</v>
      </c>
      <c r="J26" s="70">
        <f>IFERROR(s_DL/(s_RadSpec!$F26*s_IFCR_res_adj*s_CF_carrot),".")</f>
        <v>1.4670861065845391</v>
      </c>
      <c r="K26" s="70">
        <f>IFERROR(s_DL/(s_RadSpec!$F26*s_IFCI_res_adj*s_CF_citrus),".")</f>
        <v>1.4670861065845391</v>
      </c>
      <c r="L26" s="70">
        <f>IFERROR(s_DL/(s_RadSpec!$F26*s_IFCO_res_adj*s_CF_corn),".")</f>
        <v>1.4670861065845391</v>
      </c>
      <c r="M26" s="70">
        <f>IFERROR(s_DL/(s_RadSpec!$F26*s_IFCU_res_adj*s_CF_cucumber),".")</f>
        <v>1.4670861065845391</v>
      </c>
      <c r="N26" s="70">
        <f>IFERROR(s_DL/(s_RadSpec!$F26*s_IFLE_res_adj*s_CF_lettuce),".")</f>
        <v>1.4670861065845391</v>
      </c>
      <c r="O26" s="70">
        <f>IFERROR(s_DL/(s_RadSpec!$F26*s_IFLI_res_adj*s_CF_lima_bean),".")</f>
        <v>1.4670861065845391</v>
      </c>
      <c r="P26" s="70">
        <f>IFERROR(s_DL/(s_RadSpec!$F26*s_IFOK_res_adj*s_CF_okra),".")</f>
        <v>1.4670861065845391</v>
      </c>
      <c r="Q26" s="70">
        <f>IFERROR(s_DL/(s_RadSpec!$F26*s_IFON_res_adj*s_CF_onion),".")</f>
        <v>1.4670861065845391</v>
      </c>
      <c r="R26" s="70">
        <f>IFERROR(s_DL/(s_RadSpec!$F26*s_IFPC_res_adj*s_CF_peach),".")</f>
        <v>1.4670861065845391</v>
      </c>
      <c r="S26" s="70">
        <f>IFERROR(s_DL/(s_RadSpec!$F26*s_IFPR_res_adj*s_CF_pear),".")</f>
        <v>1.4670861065845391</v>
      </c>
      <c r="T26" s="70">
        <f>IFERROR(s_DL/(s_RadSpec!$F26*s_IFPE_res_adj*s_CF_peas),".")</f>
        <v>1.4670861065845391</v>
      </c>
      <c r="U26" s="70">
        <f>IFERROR(s_DL/(s_RadSpec!$F26*s_IFPP_res_adj*s_CF_peppers),".")</f>
        <v>1.4670861065845391</v>
      </c>
      <c r="V26" s="70">
        <f>IFERROR(s_DL/(s_RadSpec!$F26*s_IFPT_res_adj*s_CF_potato),".")</f>
        <v>1.4670861065845391</v>
      </c>
      <c r="W26" s="70">
        <f>IFERROR(s_DL/(s_RadSpec!$F26*s_IFPU_res_adj*s_CF_pumpkin),".")</f>
        <v>1.4670861065845391</v>
      </c>
      <c r="X26" s="70">
        <f>IFERROR(s_DL/(s_RadSpec!$F26*s_IFSN_res_adj*s_CF_snap_bean),".")</f>
        <v>1.4670861065845391</v>
      </c>
      <c r="Y26" s="70">
        <f>IFERROR(s_DL/(s_RadSpec!$F26*s_IFST_res_adj*s_CF_strawberry),".")</f>
        <v>1.4670861065845391</v>
      </c>
      <c r="Z26" s="70">
        <f>IFERROR(s_DL/(s_RadSpec!$F26*s_IFTO_res_adj*s_CF_tomato),".")</f>
        <v>1.4670861065845391</v>
      </c>
      <c r="AA26" s="70">
        <f>IFERROR(s_DL/(s_RadSpec!$F26*s_IFRI_res_adj*s_CF_rice),".")</f>
        <v>1.4670861065845391</v>
      </c>
      <c r="AB26" s="70">
        <f>IFERROR(s_DL/(s_RadSpec!$F26*s_IFCG_res_adj*s_CF_cereal),".")</f>
        <v>1.4670861065845391</v>
      </c>
      <c r="AC26" s="70">
        <f t="shared" si="25"/>
        <v>0.36677152664613477</v>
      </c>
      <c r="AD26" s="70">
        <f>IFERROR(s_DL/(s_RadSpec!$F26*s_IFAP_far_adj*s_CF_apple),".")</f>
        <v>1.4670861065845391</v>
      </c>
      <c r="AE26" s="70">
        <f>IFERROR(s_DL/(s_RadSpec!$F26*s_IFAS_far_adj*s_CF_asparagus),".")</f>
        <v>1.4670861065845391</v>
      </c>
      <c r="AF26" s="70">
        <f>IFERROR(s_DL/(s_RadSpec!$F26*s_IFBT_far_adj*s_CF_beet),".")</f>
        <v>1.4670861065845391</v>
      </c>
      <c r="AG26" s="70">
        <f>IFERROR(s_DL/(s_RadSpec!$F26*s_IFBE_far_adj*s_CF_berries),".")</f>
        <v>1.4670861065845391</v>
      </c>
      <c r="AH26" s="70">
        <f>IFERROR(s_DL/(s_RadSpec!$F26*s_IFBR_far_adj*s_CF_broccoli),".")</f>
        <v>1.4670861065845391</v>
      </c>
      <c r="AI26" s="70">
        <f>IFERROR(s_DL/(s_RadSpec!$F26*s_IFCB_far_adj*s_CF_cabbage),".")</f>
        <v>1.4670861065845391</v>
      </c>
      <c r="AJ26" s="70">
        <f>IFERROR(s_DL/(s_RadSpec!$F26*s_IFCR_far_adj*s_CF_carrot),".")</f>
        <v>1.4670861065845391</v>
      </c>
      <c r="AK26" s="70">
        <f>IFERROR(s_DL/(s_RadSpec!$F26*s_IFCI_far_adj*s_CF_citrus),".")</f>
        <v>1.4670861065845391</v>
      </c>
      <c r="AL26" s="70">
        <f>IFERROR(s_DL/(s_RadSpec!$F26*s_IFCO_far_adj*s_CF_corn),".")</f>
        <v>1.4670861065845391</v>
      </c>
      <c r="AM26" s="70">
        <f>IFERROR(s_DL/(s_RadSpec!$F26*s_IFCU_far_adj*s_CF_cucumber),".")</f>
        <v>1.4670861065845391</v>
      </c>
      <c r="AN26" s="70">
        <f>IFERROR(s_DL/(s_RadSpec!$F26*s_IFLE_far_adj*s_CF_lettuce),".")</f>
        <v>1.4670861065845391</v>
      </c>
      <c r="AO26" s="70">
        <f>IFERROR(s_DL/(s_RadSpec!$F26*s_IFLI_far_adj*s_CF_lima_bean),".")</f>
        <v>1.4670861065845391</v>
      </c>
      <c r="AP26" s="70">
        <f>IFERROR(s_DL/(s_RadSpec!$F26*s_IFOK_far_adj*s_CF_okra),".")</f>
        <v>1.4670861065845391</v>
      </c>
      <c r="AQ26" s="70">
        <f>IFERROR(s_DL/(s_RadSpec!$F26*s_IFON_far_adj*s_CF_onion),".")</f>
        <v>1.4670861065845391</v>
      </c>
      <c r="AR26" s="70">
        <f>IFERROR(s_DL/(s_RadSpec!$F26*s_IFPC_far_adj*s_CF_peach),".")</f>
        <v>1.4670861065845391</v>
      </c>
      <c r="AS26" s="70">
        <f>IFERROR(s_DL/(s_RadSpec!$F26*s_IFPR_far_adj*s_CF_pear),".")</f>
        <v>1.4670861065845391</v>
      </c>
      <c r="AT26" s="70">
        <f>IFERROR(s_DL/(s_RadSpec!$F26*s_IFPE_far_adj*s_CF_peas),".")</f>
        <v>1.4670861065845391</v>
      </c>
      <c r="AU26" s="70">
        <f>IFERROR(s_DL/(s_RadSpec!$F26*s_IFPP_far_adj*s_CF_peppers),".")</f>
        <v>1.4670861065845391</v>
      </c>
      <c r="AV26" s="70">
        <f>IFERROR(s_DL/(s_RadSpec!$F26*s_IFPT_far_adj*s_CF_potato),".")</f>
        <v>1.4670861065845391</v>
      </c>
      <c r="AW26" s="70">
        <f>IFERROR(s_DL/(s_RadSpec!$F26*s_IFPU_far_adj*s_CF_pumpkin),".")</f>
        <v>1.4670861065845391</v>
      </c>
      <c r="AX26" s="70">
        <f>IFERROR(s_DL/(s_RadSpec!$F26*s_IFSN_far_adj*s_CF_snap_bean),".")</f>
        <v>1.4670861065845391</v>
      </c>
      <c r="AY26" s="70">
        <f>IFERROR(s_DL/(s_RadSpec!$F26*s_IFST_far_adj*s_CF_strawberry),".")</f>
        <v>1.4670861065845391</v>
      </c>
      <c r="AZ26" s="70">
        <f>IFERROR(s_DL/(s_RadSpec!$F26*s_IFTO_far_adj*s_CF_tomato),".")</f>
        <v>1.4670861065845391</v>
      </c>
      <c r="BA26" s="70">
        <f>IFERROR(s_DL/(s_RadSpec!$F26*s_IFRI_far_adj*s_CF_rice),".")</f>
        <v>1.4670861065845391</v>
      </c>
      <c r="BB26" s="70">
        <f>IFERROR(s_DL/(s_RadSpec!$F26*s_IFCG_far_adj*s_CF_cereal),".")</f>
        <v>1.4670861065845391</v>
      </c>
      <c r="BC26" s="87">
        <f t="shared" si="26"/>
        <v>30250</v>
      </c>
      <c r="BD26" s="87">
        <f t="shared" si="0"/>
        <v>7562.5</v>
      </c>
      <c r="BE26" s="87">
        <f t="shared" si="1"/>
        <v>7562.5</v>
      </c>
      <c r="BF26" s="87">
        <f t="shared" si="2"/>
        <v>7562.5</v>
      </c>
      <c r="BG26" s="87">
        <f t="shared" si="3"/>
        <v>7562.5</v>
      </c>
      <c r="BH26" s="87">
        <f t="shared" si="4"/>
        <v>7562.5</v>
      </c>
      <c r="BI26" s="87">
        <f t="shared" si="5"/>
        <v>7562.5</v>
      </c>
      <c r="BJ26" s="87">
        <f t="shared" si="6"/>
        <v>7562.5</v>
      </c>
      <c r="BK26" s="87">
        <f t="shared" si="7"/>
        <v>7562.5</v>
      </c>
      <c r="BL26" s="87">
        <f t="shared" si="8"/>
        <v>7562.5</v>
      </c>
      <c r="BM26" s="87">
        <f t="shared" si="9"/>
        <v>7562.5</v>
      </c>
      <c r="BN26" s="87">
        <f t="shared" si="10"/>
        <v>7562.5</v>
      </c>
      <c r="BO26" s="87">
        <f t="shared" si="11"/>
        <v>7562.5</v>
      </c>
      <c r="BP26" s="87">
        <f t="shared" si="12"/>
        <v>7562.5</v>
      </c>
      <c r="BQ26" s="87">
        <f t="shared" si="13"/>
        <v>7562.5</v>
      </c>
      <c r="BR26" s="87">
        <f t="shared" si="14"/>
        <v>7562.5</v>
      </c>
      <c r="BS26" s="87">
        <f t="shared" si="15"/>
        <v>7562.5</v>
      </c>
      <c r="BT26" s="87">
        <f t="shared" si="27"/>
        <v>7562.5</v>
      </c>
      <c r="BU26" s="87">
        <f t="shared" si="16"/>
        <v>7562.5</v>
      </c>
      <c r="BV26" s="87">
        <f t="shared" si="17"/>
        <v>7562.5</v>
      </c>
      <c r="BW26" s="87">
        <f t="shared" si="18"/>
        <v>7562.5</v>
      </c>
      <c r="BX26" s="87">
        <f t="shared" si="19"/>
        <v>7562.5</v>
      </c>
      <c r="BY26" s="87">
        <f t="shared" si="20"/>
        <v>7562.5</v>
      </c>
      <c r="BZ26" s="87">
        <f t="shared" si="21"/>
        <v>7562.5</v>
      </c>
      <c r="CA26" s="87">
        <f t="shared" si="22"/>
        <v>7562.5</v>
      </c>
      <c r="CB26" s="87">
        <f t="shared" si="23"/>
        <v>7562.5</v>
      </c>
    </row>
    <row r="27" spans="1:80" x14ac:dyDescent="0.25">
      <c r="A27" s="86" t="s">
        <v>25</v>
      </c>
      <c r="B27" s="84" t="s">
        <v>1057</v>
      </c>
      <c r="C27" s="70" t="str">
        <f t="shared" si="24"/>
        <v>.</v>
      </c>
      <c r="D27" s="70" t="str">
        <f>IFERROR(s_DL/(s_RadSpec!$F27*s_IFAP_res_adj*s_CF_apple),".")</f>
        <v>.</v>
      </c>
      <c r="E27" s="70" t="str">
        <f>IFERROR(s_DL/(s_RadSpec!$F27*s_IFAS_res_adj*s_CF_asparagus),".")</f>
        <v>.</v>
      </c>
      <c r="F27" s="70" t="str">
        <f>IFERROR(s_DL/(s_RadSpec!$F27*s_IFBT_res_adj*s_CF_beet),".")</f>
        <v>.</v>
      </c>
      <c r="G27" s="70" t="str">
        <f>IFERROR(s_DL/(s_RadSpec!$F27*s_IFBE_res_adj*s_CF_berries),".")</f>
        <v>.</v>
      </c>
      <c r="H27" s="70" t="str">
        <f>IFERROR(s_DL/(s_RadSpec!$F27*s_IFBR_res_adj*s_CF_broccoli),".")</f>
        <v>.</v>
      </c>
      <c r="I27" s="70" t="str">
        <f>IFERROR(s_DL/(s_RadSpec!$F27*s_IFCB_res_adj*s_CF_cabbage),".")</f>
        <v>.</v>
      </c>
      <c r="J27" s="70" t="str">
        <f>IFERROR(s_DL/(s_RadSpec!$F27*s_IFCR_res_adj*s_CF_carrot),".")</f>
        <v>.</v>
      </c>
      <c r="K27" s="70" t="str">
        <f>IFERROR(s_DL/(s_RadSpec!$F27*s_IFCI_res_adj*s_CF_citrus),".")</f>
        <v>.</v>
      </c>
      <c r="L27" s="70" t="str">
        <f>IFERROR(s_DL/(s_RadSpec!$F27*s_IFCO_res_adj*s_CF_corn),".")</f>
        <v>.</v>
      </c>
      <c r="M27" s="70" t="str">
        <f>IFERROR(s_DL/(s_RadSpec!$F27*s_IFCU_res_adj*s_CF_cucumber),".")</f>
        <v>.</v>
      </c>
      <c r="N27" s="70" t="str">
        <f>IFERROR(s_DL/(s_RadSpec!$F27*s_IFLE_res_adj*s_CF_lettuce),".")</f>
        <v>.</v>
      </c>
      <c r="O27" s="70" t="str">
        <f>IFERROR(s_DL/(s_RadSpec!$F27*s_IFLI_res_adj*s_CF_lima_bean),".")</f>
        <v>.</v>
      </c>
      <c r="P27" s="70" t="str">
        <f>IFERROR(s_DL/(s_RadSpec!$F27*s_IFOK_res_adj*s_CF_okra),".")</f>
        <v>.</v>
      </c>
      <c r="Q27" s="70" t="str">
        <f>IFERROR(s_DL/(s_RadSpec!$F27*s_IFON_res_adj*s_CF_onion),".")</f>
        <v>.</v>
      </c>
      <c r="R27" s="70" t="str">
        <f>IFERROR(s_DL/(s_RadSpec!$F27*s_IFPC_res_adj*s_CF_peach),".")</f>
        <v>.</v>
      </c>
      <c r="S27" s="70" t="str">
        <f>IFERROR(s_DL/(s_RadSpec!$F27*s_IFPR_res_adj*s_CF_pear),".")</f>
        <v>.</v>
      </c>
      <c r="T27" s="70" t="str">
        <f>IFERROR(s_DL/(s_RadSpec!$F27*s_IFPE_res_adj*s_CF_peas),".")</f>
        <v>.</v>
      </c>
      <c r="U27" s="70" t="str">
        <f>IFERROR(s_DL/(s_RadSpec!$F27*s_IFPP_res_adj*s_CF_peppers),".")</f>
        <v>.</v>
      </c>
      <c r="V27" s="70" t="str">
        <f>IFERROR(s_DL/(s_RadSpec!$F27*s_IFPT_res_adj*s_CF_potato),".")</f>
        <v>.</v>
      </c>
      <c r="W27" s="70" t="str">
        <f>IFERROR(s_DL/(s_RadSpec!$F27*s_IFPU_res_adj*s_CF_pumpkin),".")</f>
        <v>.</v>
      </c>
      <c r="X27" s="70" t="str">
        <f>IFERROR(s_DL/(s_RadSpec!$F27*s_IFSN_res_adj*s_CF_snap_bean),".")</f>
        <v>.</v>
      </c>
      <c r="Y27" s="70" t="str">
        <f>IFERROR(s_DL/(s_RadSpec!$F27*s_IFST_res_adj*s_CF_strawberry),".")</f>
        <v>.</v>
      </c>
      <c r="Z27" s="70" t="str">
        <f>IFERROR(s_DL/(s_RadSpec!$F27*s_IFTO_res_adj*s_CF_tomato),".")</f>
        <v>.</v>
      </c>
      <c r="AA27" s="70" t="str">
        <f>IFERROR(s_DL/(s_RadSpec!$F27*s_IFRI_res_adj*s_CF_rice),".")</f>
        <v>.</v>
      </c>
      <c r="AB27" s="70" t="str">
        <f>IFERROR(s_DL/(s_RadSpec!$F27*s_IFCG_res_adj*s_CF_cereal),".")</f>
        <v>.</v>
      </c>
      <c r="AC27" s="70" t="str">
        <f t="shared" si="25"/>
        <v>.</v>
      </c>
      <c r="AD27" s="70" t="str">
        <f>IFERROR(s_DL/(s_RadSpec!$F27*s_IFAP_far_adj*s_CF_apple),".")</f>
        <v>.</v>
      </c>
      <c r="AE27" s="70" t="str">
        <f>IFERROR(s_DL/(s_RadSpec!$F27*s_IFAS_far_adj*s_CF_asparagus),".")</f>
        <v>.</v>
      </c>
      <c r="AF27" s="70" t="str">
        <f>IFERROR(s_DL/(s_RadSpec!$F27*s_IFBT_far_adj*s_CF_beet),".")</f>
        <v>.</v>
      </c>
      <c r="AG27" s="70" t="str">
        <f>IFERROR(s_DL/(s_RadSpec!$F27*s_IFBE_far_adj*s_CF_berries),".")</f>
        <v>.</v>
      </c>
      <c r="AH27" s="70" t="str">
        <f>IFERROR(s_DL/(s_RadSpec!$F27*s_IFBR_far_adj*s_CF_broccoli),".")</f>
        <v>.</v>
      </c>
      <c r="AI27" s="70" t="str">
        <f>IFERROR(s_DL/(s_RadSpec!$F27*s_IFCB_far_adj*s_CF_cabbage),".")</f>
        <v>.</v>
      </c>
      <c r="AJ27" s="70" t="str">
        <f>IFERROR(s_DL/(s_RadSpec!$F27*s_IFCR_far_adj*s_CF_carrot),".")</f>
        <v>.</v>
      </c>
      <c r="AK27" s="70" t="str">
        <f>IFERROR(s_DL/(s_RadSpec!$F27*s_IFCI_far_adj*s_CF_citrus),".")</f>
        <v>.</v>
      </c>
      <c r="AL27" s="70" t="str">
        <f>IFERROR(s_DL/(s_RadSpec!$F27*s_IFCO_far_adj*s_CF_corn),".")</f>
        <v>.</v>
      </c>
      <c r="AM27" s="70" t="str">
        <f>IFERROR(s_DL/(s_RadSpec!$F27*s_IFCU_far_adj*s_CF_cucumber),".")</f>
        <v>.</v>
      </c>
      <c r="AN27" s="70" t="str">
        <f>IFERROR(s_DL/(s_RadSpec!$F27*s_IFLE_far_adj*s_CF_lettuce),".")</f>
        <v>.</v>
      </c>
      <c r="AO27" s="70" t="str">
        <f>IFERROR(s_DL/(s_RadSpec!$F27*s_IFLI_far_adj*s_CF_lima_bean),".")</f>
        <v>.</v>
      </c>
      <c r="AP27" s="70" t="str">
        <f>IFERROR(s_DL/(s_RadSpec!$F27*s_IFOK_far_adj*s_CF_okra),".")</f>
        <v>.</v>
      </c>
      <c r="AQ27" s="70" t="str">
        <f>IFERROR(s_DL/(s_RadSpec!$F27*s_IFON_far_adj*s_CF_onion),".")</f>
        <v>.</v>
      </c>
      <c r="AR27" s="70" t="str">
        <f>IFERROR(s_DL/(s_RadSpec!$F27*s_IFPC_far_adj*s_CF_peach),".")</f>
        <v>.</v>
      </c>
      <c r="AS27" s="70" t="str">
        <f>IFERROR(s_DL/(s_RadSpec!$F27*s_IFPR_far_adj*s_CF_pear),".")</f>
        <v>.</v>
      </c>
      <c r="AT27" s="70" t="str">
        <f>IFERROR(s_DL/(s_RadSpec!$F27*s_IFPE_far_adj*s_CF_peas),".")</f>
        <v>.</v>
      </c>
      <c r="AU27" s="70" t="str">
        <f>IFERROR(s_DL/(s_RadSpec!$F27*s_IFPP_far_adj*s_CF_peppers),".")</f>
        <v>.</v>
      </c>
      <c r="AV27" s="70" t="str">
        <f>IFERROR(s_DL/(s_RadSpec!$F27*s_IFPT_far_adj*s_CF_potato),".")</f>
        <v>.</v>
      </c>
      <c r="AW27" s="70" t="str">
        <f>IFERROR(s_DL/(s_RadSpec!$F27*s_IFPU_far_adj*s_CF_pumpkin),".")</f>
        <v>.</v>
      </c>
      <c r="AX27" s="70" t="str">
        <f>IFERROR(s_DL/(s_RadSpec!$F27*s_IFSN_far_adj*s_CF_snap_bean),".")</f>
        <v>.</v>
      </c>
      <c r="AY27" s="70" t="str">
        <f>IFERROR(s_DL/(s_RadSpec!$F27*s_IFST_far_adj*s_CF_strawberry),".")</f>
        <v>.</v>
      </c>
      <c r="AZ27" s="70" t="str">
        <f>IFERROR(s_DL/(s_RadSpec!$F27*s_IFTO_far_adj*s_CF_tomato),".")</f>
        <v>.</v>
      </c>
      <c r="BA27" s="70" t="str">
        <f>IFERROR(s_DL/(s_RadSpec!$F27*s_IFRI_far_adj*s_CF_rice),".")</f>
        <v>.</v>
      </c>
      <c r="BB27" s="70" t="str">
        <f>IFERROR(s_DL/(s_RadSpec!$F27*s_IFCG_far_adj*s_CF_cereal),".")</f>
        <v>.</v>
      </c>
      <c r="BC27" s="87">
        <f t="shared" si="26"/>
        <v>30250</v>
      </c>
      <c r="BD27" s="87">
        <f t="shared" si="0"/>
        <v>7562.5</v>
      </c>
      <c r="BE27" s="87">
        <f t="shared" si="1"/>
        <v>7562.5</v>
      </c>
      <c r="BF27" s="87">
        <f t="shared" si="2"/>
        <v>7562.5</v>
      </c>
      <c r="BG27" s="87">
        <f t="shared" si="3"/>
        <v>7562.5</v>
      </c>
      <c r="BH27" s="87">
        <f t="shared" si="4"/>
        <v>7562.5</v>
      </c>
      <c r="BI27" s="87">
        <f t="shared" si="5"/>
        <v>7562.5</v>
      </c>
      <c r="BJ27" s="87">
        <f t="shared" si="6"/>
        <v>7562.5</v>
      </c>
      <c r="BK27" s="87">
        <f t="shared" si="7"/>
        <v>7562.5</v>
      </c>
      <c r="BL27" s="87">
        <f t="shared" si="8"/>
        <v>7562.5</v>
      </c>
      <c r="BM27" s="87">
        <f t="shared" si="9"/>
        <v>7562.5</v>
      </c>
      <c r="BN27" s="87">
        <f t="shared" si="10"/>
        <v>7562.5</v>
      </c>
      <c r="BO27" s="87">
        <f t="shared" si="11"/>
        <v>7562.5</v>
      </c>
      <c r="BP27" s="87">
        <f t="shared" si="12"/>
        <v>7562.5</v>
      </c>
      <c r="BQ27" s="87">
        <f t="shared" si="13"/>
        <v>7562.5</v>
      </c>
      <c r="BR27" s="87">
        <f t="shared" si="14"/>
        <v>7562.5</v>
      </c>
      <c r="BS27" s="87">
        <f t="shared" si="15"/>
        <v>7562.5</v>
      </c>
      <c r="BT27" s="87">
        <f t="shared" si="27"/>
        <v>7562.5</v>
      </c>
      <c r="BU27" s="87">
        <f t="shared" si="16"/>
        <v>7562.5</v>
      </c>
      <c r="BV27" s="87">
        <f t="shared" si="17"/>
        <v>7562.5</v>
      </c>
      <c r="BW27" s="87">
        <f t="shared" si="18"/>
        <v>7562.5</v>
      </c>
      <c r="BX27" s="87">
        <f t="shared" si="19"/>
        <v>7562.5</v>
      </c>
      <c r="BY27" s="87">
        <f t="shared" si="20"/>
        <v>7562.5</v>
      </c>
      <c r="BZ27" s="87">
        <f t="shared" si="21"/>
        <v>7562.5</v>
      </c>
      <c r="CA27" s="87">
        <f t="shared" si="22"/>
        <v>7562.5</v>
      </c>
      <c r="CB27" s="87">
        <f t="shared" si="23"/>
        <v>7562.5</v>
      </c>
    </row>
    <row r="28" spans="1:80" x14ac:dyDescent="0.25">
      <c r="A28" s="86" t="s">
        <v>26</v>
      </c>
      <c r="B28" s="84" t="s">
        <v>1057</v>
      </c>
      <c r="C28" s="70" t="str">
        <f t="shared" si="24"/>
        <v>.</v>
      </c>
      <c r="D28" s="70" t="str">
        <f>IFERROR(s_DL/(s_RadSpec!$F28*s_IFAP_res_adj*s_CF_apple),".")</f>
        <v>.</v>
      </c>
      <c r="E28" s="70" t="str">
        <f>IFERROR(s_DL/(s_RadSpec!$F28*s_IFAS_res_adj*s_CF_asparagus),".")</f>
        <v>.</v>
      </c>
      <c r="F28" s="70" t="str">
        <f>IFERROR(s_DL/(s_RadSpec!$F28*s_IFBT_res_adj*s_CF_beet),".")</f>
        <v>.</v>
      </c>
      <c r="G28" s="70" t="str">
        <f>IFERROR(s_DL/(s_RadSpec!$F28*s_IFBE_res_adj*s_CF_berries),".")</f>
        <v>.</v>
      </c>
      <c r="H28" s="70" t="str">
        <f>IFERROR(s_DL/(s_RadSpec!$F28*s_IFBR_res_adj*s_CF_broccoli),".")</f>
        <v>.</v>
      </c>
      <c r="I28" s="70" t="str">
        <f>IFERROR(s_DL/(s_RadSpec!$F28*s_IFCB_res_adj*s_CF_cabbage),".")</f>
        <v>.</v>
      </c>
      <c r="J28" s="70" t="str">
        <f>IFERROR(s_DL/(s_RadSpec!$F28*s_IFCR_res_adj*s_CF_carrot),".")</f>
        <v>.</v>
      </c>
      <c r="K28" s="70" t="str">
        <f>IFERROR(s_DL/(s_RadSpec!$F28*s_IFCI_res_adj*s_CF_citrus),".")</f>
        <v>.</v>
      </c>
      <c r="L28" s="70" t="str">
        <f>IFERROR(s_DL/(s_RadSpec!$F28*s_IFCO_res_adj*s_CF_corn),".")</f>
        <v>.</v>
      </c>
      <c r="M28" s="70" t="str">
        <f>IFERROR(s_DL/(s_RadSpec!$F28*s_IFCU_res_adj*s_CF_cucumber),".")</f>
        <v>.</v>
      </c>
      <c r="N28" s="70" t="str">
        <f>IFERROR(s_DL/(s_RadSpec!$F28*s_IFLE_res_adj*s_CF_lettuce),".")</f>
        <v>.</v>
      </c>
      <c r="O28" s="70" t="str">
        <f>IFERROR(s_DL/(s_RadSpec!$F28*s_IFLI_res_adj*s_CF_lima_bean),".")</f>
        <v>.</v>
      </c>
      <c r="P28" s="70" t="str">
        <f>IFERROR(s_DL/(s_RadSpec!$F28*s_IFOK_res_adj*s_CF_okra),".")</f>
        <v>.</v>
      </c>
      <c r="Q28" s="70" t="str">
        <f>IFERROR(s_DL/(s_RadSpec!$F28*s_IFON_res_adj*s_CF_onion),".")</f>
        <v>.</v>
      </c>
      <c r="R28" s="70" t="str">
        <f>IFERROR(s_DL/(s_RadSpec!$F28*s_IFPC_res_adj*s_CF_peach),".")</f>
        <v>.</v>
      </c>
      <c r="S28" s="70" t="str">
        <f>IFERROR(s_DL/(s_RadSpec!$F28*s_IFPR_res_adj*s_CF_pear),".")</f>
        <v>.</v>
      </c>
      <c r="T28" s="70" t="str">
        <f>IFERROR(s_DL/(s_RadSpec!$F28*s_IFPE_res_adj*s_CF_peas),".")</f>
        <v>.</v>
      </c>
      <c r="U28" s="70" t="str">
        <f>IFERROR(s_DL/(s_RadSpec!$F28*s_IFPP_res_adj*s_CF_peppers),".")</f>
        <v>.</v>
      </c>
      <c r="V28" s="70" t="str">
        <f>IFERROR(s_DL/(s_RadSpec!$F28*s_IFPT_res_adj*s_CF_potato),".")</f>
        <v>.</v>
      </c>
      <c r="W28" s="70" t="str">
        <f>IFERROR(s_DL/(s_RadSpec!$F28*s_IFPU_res_adj*s_CF_pumpkin),".")</f>
        <v>.</v>
      </c>
      <c r="X28" s="70" t="str">
        <f>IFERROR(s_DL/(s_RadSpec!$F28*s_IFSN_res_adj*s_CF_snap_bean),".")</f>
        <v>.</v>
      </c>
      <c r="Y28" s="70" t="str">
        <f>IFERROR(s_DL/(s_RadSpec!$F28*s_IFST_res_adj*s_CF_strawberry),".")</f>
        <v>.</v>
      </c>
      <c r="Z28" s="70" t="str">
        <f>IFERROR(s_DL/(s_RadSpec!$F28*s_IFTO_res_adj*s_CF_tomato),".")</f>
        <v>.</v>
      </c>
      <c r="AA28" s="70" t="str">
        <f>IFERROR(s_DL/(s_RadSpec!$F28*s_IFRI_res_adj*s_CF_rice),".")</f>
        <v>.</v>
      </c>
      <c r="AB28" s="70" t="str">
        <f>IFERROR(s_DL/(s_RadSpec!$F28*s_IFCG_res_adj*s_CF_cereal),".")</f>
        <v>.</v>
      </c>
      <c r="AC28" s="70" t="str">
        <f t="shared" si="25"/>
        <v>.</v>
      </c>
      <c r="AD28" s="70" t="str">
        <f>IFERROR(s_DL/(s_RadSpec!$F28*s_IFAP_far_adj*s_CF_apple),".")</f>
        <v>.</v>
      </c>
      <c r="AE28" s="70" t="str">
        <f>IFERROR(s_DL/(s_RadSpec!$F28*s_IFAS_far_adj*s_CF_asparagus),".")</f>
        <v>.</v>
      </c>
      <c r="AF28" s="70" t="str">
        <f>IFERROR(s_DL/(s_RadSpec!$F28*s_IFBT_far_adj*s_CF_beet),".")</f>
        <v>.</v>
      </c>
      <c r="AG28" s="70" t="str">
        <f>IFERROR(s_DL/(s_RadSpec!$F28*s_IFBE_far_adj*s_CF_berries),".")</f>
        <v>.</v>
      </c>
      <c r="AH28" s="70" t="str">
        <f>IFERROR(s_DL/(s_RadSpec!$F28*s_IFBR_far_adj*s_CF_broccoli),".")</f>
        <v>.</v>
      </c>
      <c r="AI28" s="70" t="str">
        <f>IFERROR(s_DL/(s_RadSpec!$F28*s_IFCB_far_adj*s_CF_cabbage),".")</f>
        <v>.</v>
      </c>
      <c r="AJ28" s="70" t="str">
        <f>IFERROR(s_DL/(s_RadSpec!$F28*s_IFCR_far_adj*s_CF_carrot),".")</f>
        <v>.</v>
      </c>
      <c r="AK28" s="70" t="str">
        <f>IFERROR(s_DL/(s_RadSpec!$F28*s_IFCI_far_adj*s_CF_citrus),".")</f>
        <v>.</v>
      </c>
      <c r="AL28" s="70" t="str">
        <f>IFERROR(s_DL/(s_RadSpec!$F28*s_IFCO_far_adj*s_CF_corn),".")</f>
        <v>.</v>
      </c>
      <c r="AM28" s="70" t="str">
        <f>IFERROR(s_DL/(s_RadSpec!$F28*s_IFCU_far_adj*s_CF_cucumber),".")</f>
        <v>.</v>
      </c>
      <c r="AN28" s="70" t="str">
        <f>IFERROR(s_DL/(s_RadSpec!$F28*s_IFLE_far_adj*s_CF_lettuce),".")</f>
        <v>.</v>
      </c>
      <c r="AO28" s="70" t="str">
        <f>IFERROR(s_DL/(s_RadSpec!$F28*s_IFLI_far_adj*s_CF_lima_bean),".")</f>
        <v>.</v>
      </c>
      <c r="AP28" s="70" t="str">
        <f>IFERROR(s_DL/(s_RadSpec!$F28*s_IFOK_far_adj*s_CF_okra),".")</f>
        <v>.</v>
      </c>
      <c r="AQ28" s="70" t="str">
        <f>IFERROR(s_DL/(s_RadSpec!$F28*s_IFON_far_adj*s_CF_onion),".")</f>
        <v>.</v>
      </c>
      <c r="AR28" s="70" t="str">
        <f>IFERROR(s_DL/(s_RadSpec!$F28*s_IFPC_far_adj*s_CF_peach),".")</f>
        <v>.</v>
      </c>
      <c r="AS28" s="70" t="str">
        <f>IFERROR(s_DL/(s_RadSpec!$F28*s_IFPR_far_adj*s_CF_pear),".")</f>
        <v>.</v>
      </c>
      <c r="AT28" s="70" t="str">
        <f>IFERROR(s_DL/(s_RadSpec!$F28*s_IFPE_far_adj*s_CF_peas),".")</f>
        <v>.</v>
      </c>
      <c r="AU28" s="70" t="str">
        <f>IFERROR(s_DL/(s_RadSpec!$F28*s_IFPP_far_adj*s_CF_peppers),".")</f>
        <v>.</v>
      </c>
      <c r="AV28" s="70" t="str">
        <f>IFERROR(s_DL/(s_RadSpec!$F28*s_IFPT_far_adj*s_CF_potato),".")</f>
        <v>.</v>
      </c>
      <c r="AW28" s="70" t="str">
        <f>IFERROR(s_DL/(s_RadSpec!$F28*s_IFPU_far_adj*s_CF_pumpkin),".")</f>
        <v>.</v>
      </c>
      <c r="AX28" s="70" t="str">
        <f>IFERROR(s_DL/(s_RadSpec!$F28*s_IFSN_far_adj*s_CF_snap_bean),".")</f>
        <v>.</v>
      </c>
      <c r="AY28" s="70" t="str">
        <f>IFERROR(s_DL/(s_RadSpec!$F28*s_IFST_far_adj*s_CF_strawberry),".")</f>
        <v>.</v>
      </c>
      <c r="AZ28" s="70" t="str">
        <f>IFERROR(s_DL/(s_RadSpec!$F28*s_IFTO_far_adj*s_CF_tomato),".")</f>
        <v>.</v>
      </c>
      <c r="BA28" s="70" t="str">
        <f>IFERROR(s_DL/(s_RadSpec!$F28*s_IFRI_far_adj*s_CF_rice),".")</f>
        <v>.</v>
      </c>
      <c r="BB28" s="70" t="str">
        <f>IFERROR(s_DL/(s_RadSpec!$F28*s_IFCG_far_adj*s_CF_cereal),".")</f>
        <v>.</v>
      </c>
      <c r="BC28" s="87">
        <f t="shared" si="26"/>
        <v>30250</v>
      </c>
      <c r="BD28" s="87">
        <f t="shared" si="0"/>
        <v>7562.5</v>
      </c>
      <c r="BE28" s="87">
        <f t="shared" si="1"/>
        <v>7562.5</v>
      </c>
      <c r="BF28" s="87">
        <f t="shared" si="2"/>
        <v>7562.5</v>
      </c>
      <c r="BG28" s="87">
        <f t="shared" si="3"/>
        <v>7562.5</v>
      </c>
      <c r="BH28" s="87">
        <f t="shared" si="4"/>
        <v>7562.5</v>
      </c>
      <c r="BI28" s="87">
        <f t="shared" si="5"/>
        <v>7562.5</v>
      </c>
      <c r="BJ28" s="87">
        <f t="shared" si="6"/>
        <v>7562.5</v>
      </c>
      <c r="BK28" s="87">
        <f t="shared" si="7"/>
        <v>7562.5</v>
      </c>
      <c r="BL28" s="87">
        <f t="shared" si="8"/>
        <v>7562.5</v>
      </c>
      <c r="BM28" s="87">
        <f t="shared" si="9"/>
        <v>7562.5</v>
      </c>
      <c r="BN28" s="87">
        <f t="shared" si="10"/>
        <v>7562.5</v>
      </c>
      <c r="BO28" s="87">
        <f t="shared" si="11"/>
        <v>7562.5</v>
      </c>
      <c r="BP28" s="87">
        <f t="shared" si="12"/>
        <v>7562.5</v>
      </c>
      <c r="BQ28" s="87">
        <f t="shared" si="13"/>
        <v>7562.5</v>
      </c>
      <c r="BR28" s="87">
        <f t="shared" si="14"/>
        <v>7562.5</v>
      </c>
      <c r="BS28" s="87">
        <f t="shared" si="15"/>
        <v>7562.5</v>
      </c>
      <c r="BT28" s="87">
        <f t="shared" si="27"/>
        <v>7562.5</v>
      </c>
      <c r="BU28" s="87">
        <f t="shared" si="16"/>
        <v>7562.5</v>
      </c>
      <c r="BV28" s="87">
        <f t="shared" si="17"/>
        <v>7562.5</v>
      </c>
      <c r="BW28" s="87">
        <f t="shared" si="18"/>
        <v>7562.5</v>
      </c>
      <c r="BX28" s="87">
        <f t="shared" si="19"/>
        <v>7562.5</v>
      </c>
      <c r="BY28" s="87">
        <f t="shared" si="20"/>
        <v>7562.5</v>
      </c>
      <c r="BZ28" s="87">
        <f t="shared" si="21"/>
        <v>7562.5</v>
      </c>
      <c r="CA28" s="87">
        <f t="shared" si="22"/>
        <v>7562.5</v>
      </c>
      <c r="CB28" s="87">
        <f t="shared" si="23"/>
        <v>7562.5</v>
      </c>
    </row>
    <row r="29" spans="1:80" x14ac:dyDescent="0.25">
      <c r="A29" s="86" t="s">
        <v>27</v>
      </c>
      <c r="B29" s="84" t="s">
        <v>1057</v>
      </c>
      <c r="C29" s="70" t="str">
        <f t="shared" si="24"/>
        <v>.</v>
      </c>
      <c r="D29" s="70" t="str">
        <f>IFERROR(s_DL/(s_RadSpec!$F29*s_IFAP_res_adj*s_CF_apple),".")</f>
        <v>.</v>
      </c>
      <c r="E29" s="70" t="str">
        <f>IFERROR(s_DL/(s_RadSpec!$F29*s_IFAS_res_adj*s_CF_asparagus),".")</f>
        <v>.</v>
      </c>
      <c r="F29" s="70" t="str">
        <f>IFERROR(s_DL/(s_RadSpec!$F29*s_IFBT_res_adj*s_CF_beet),".")</f>
        <v>.</v>
      </c>
      <c r="G29" s="70" t="str">
        <f>IFERROR(s_DL/(s_RadSpec!$F29*s_IFBE_res_adj*s_CF_berries),".")</f>
        <v>.</v>
      </c>
      <c r="H29" s="70" t="str">
        <f>IFERROR(s_DL/(s_RadSpec!$F29*s_IFBR_res_adj*s_CF_broccoli),".")</f>
        <v>.</v>
      </c>
      <c r="I29" s="70" t="str">
        <f>IFERROR(s_DL/(s_RadSpec!$F29*s_IFCB_res_adj*s_CF_cabbage),".")</f>
        <v>.</v>
      </c>
      <c r="J29" s="70" t="str">
        <f>IFERROR(s_DL/(s_RadSpec!$F29*s_IFCR_res_adj*s_CF_carrot),".")</f>
        <v>.</v>
      </c>
      <c r="K29" s="70" t="str">
        <f>IFERROR(s_DL/(s_RadSpec!$F29*s_IFCI_res_adj*s_CF_citrus),".")</f>
        <v>.</v>
      </c>
      <c r="L29" s="70" t="str">
        <f>IFERROR(s_DL/(s_RadSpec!$F29*s_IFCO_res_adj*s_CF_corn),".")</f>
        <v>.</v>
      </c>
      <c r="M29" s="70" t="str">
        <f>IFERROR(s_DL/(s_RadSpec!$F29*s_IFCU_res_adj*s_CF_cucumber),".")</f>
        <v>.</v>
      </c>
      <c r="N29" s="70" t="str">
        <f>IFERROR(s_DL/(s_RadSpec!$F29*s_IFLE_res_adj*s_CF_lettuce),".")</f>
        <v>.</v>
      </c>
      <c r="O29" s="70" t="str">
        <f>IFERROR(s_DL/(s_RadSpec!$F29*s_IFLI_res_adj*s_CF_lima_bean),".")</f>
        <v>.</v>
      </c>
      <c r="P29" s="70" t="str">
        <f>IFERROR(s_DL/(s_RadSpec!$F29*s_IFOK_res_adj*s_CF_okra),".")</f>
        <v>.</v>
      </c>
      <c r="Q29" s="70" t="str">
        <f>IFERROR(s_DL/(s_RadSpec!$F29*s_IFON_res_adj*s_CF_onion),".")</f>
        <v>.</v>
      </c>
      <c r="R29" s="70" t="str">
        <f>IFERROR(s_DL/(s_RadSpec!$F29*s_IFPC_res_adj*s_CF_peach),".")</f>
        <v>.</v>
      </c>
      <c r="S29" s="70" t="str">
        <f>IFERROR(s_DL/(s_RadSpec!$F29*s_IFPR_res_adj*s_CF_pear),".")</f>
        <v>.</v>
      </c>
      <c r="T29" s="70" t="str">
        <f>IFERROR(s_DL/(s_RadSpec!$F29*s_IFPE_res_adj*s_CF_peas),".")</f>
        <v>.</v>
      </c>
      <c r="U29" s="70" t="str">
        <f>IFERROR(s_DL/(s_RadSpec!$F29*s_IFPP_res_adj*s_CF_peppers),".")</f>
        <v>.</v>
      </c>
      <c r="V29" s="70" t="str">
        <f>IFERROR(s_DL/(s_RadSpec!$F29*s_IFPT_res_adj*s_CF_potato),".")</f>
        <v>.</v>
      </c>
      <c r="W29" s="70" t="str">
        <f>IFERROR(s_DL/(s_RadSpec!$F29*s_IFPU_res_adj*s_CF_pumpkin),".")</f>
        <v>.</v>
      </c>
      <c r="X29" s="70" t="str">
        <f>IFERROR(s_DL/(s_RadSpec!$F29*s_IFSN_res_adj*s_CF_snap_bean),".")</f>
        <v>.</v>
      </c>
      <c r="Y29" s="70" t="str">
        <f>IFERROR(s_DL/(s_RadSpec!$F29*s_IFST_res_adj*s_CF_strawberry),".")</f>
        <v>.</v>
      </c>
      <c r="Z29" s="70" t="str">
        <f>IFERROR(s_DL/(s_RadSpec!$F29*s_IFTO_res_adj*s_CF_tomato),".")</f>
        <v>.</v>
      </c>
      <c r="AA29" s="70" t="str">
        <f>IFERROR(s_DL/(s_RadSpec!$F29*s_IFRI_res_adj*s_CF_rice),".")</f>
        <v>.</v>
      </c>
      <c r="AB29" s="70" t="str">
        <f>IFERROR(s_DL/(s_RadSpec!$F29*s_IFCG_res_adj*s_CF_cereal),".")</f>
        <v>.</v>
      </c>
      <c r="AC29" s="70" t="str">
        <f t="shared" si="25"/>
        <v>.</v>
      </c>
      <c r="AD29" s="70" t="str">
        <f>IFERROR(s_DL/(s_RadSpec!$F29*s_IFAP_far_adj*s_CF_apple),".")</f>
        <v>.</v>
      </c>
      <c r="AE29" s="70" t="str">
        <f>IFERROR(s_DL/(s_RadSpec!$F29*s_IFAS_far_adj*s_CF_asparagus),".")</f>
        <v>.</v>
      </c>
      <c r="AF29" s="70" t="str">
        <f>IFERROR(s_DL/(s_RadSpec!$F29*s_IFBT_far_adj*s_CF_beet),".")</f>
        <v>.</v>
      </c>
      <c r="AG29" s="70" t="str">
        <f>IFERROR(s_DL/(s_RadSpec!$F29*s_IFBE_far_adj*s_CF_berries),".")</f>
        <v>.</v>
      </c>
      <c r="AH29" s="70" t="str">
        <f>IFERROR(s_DL/(s_RadSpec!$F29*s_IFBR_far_adj*s_CF_broccoli),".")</f>
        <v>.</v>
      </c>
      <c r="AI29" s="70" t="str">
        <f>IFERROR(s_DL/(s_RadSpec!$F29*s_IFCB_far_adj*s_CF_cabbage),".")</f>
        <v>.</v>
      </c>
      <c r="AJ29" s="70" t="str">
        <f>IFERROR(s_DL/(s_RadSpec!$F29*s_IFCR_far_adj*s_CF_carrot),".")</f>
        <v>.</v>
      </c>
      <c r="AK29" s="70" t="str">
        <f>IFERROR(s_DL/(s_RadSpec!$F29*s_IFCI_far_adj*s_CF_citrus),".")</f>
        <v>.</v>
      </c>
      <c r="AL29" s="70" t="str">
        <f>IFERROR(s_DL/(s_RadSpec!$F29*s_IFCO_far_adj*s_CF_corn),".")</f>
        <v>.</v>
      </c>
      <c r="AM29" s="70" t="str">
        <f>IFERROR(s_DL/(s_RadSpec!$F29*s_IFCU_far_adj*s_CF_cucumber),".")</f>
        <v>.</v>
      </c>
      <c r="AN29" s="70" t="str">
        <f>IFERROR(s_DL/(s_RadSpec!$F29*s_IFLE_far_adj*s_CF_lettuce),".")</f>
        <v>.</v>
      </c>
      <c r="AO29" s="70" t="str">
        <f>IFERROR(s_DL/(s_RadSpec!$F29*s_IFLI_far_adj*s_CF_lima_bean),".")</f>
        <v>.</v>
      </c>
      <c r="AP29" s="70" t="str">
        <f>IFERROR(s_DL/(s_RadSpec!$F29*s_IFOK_far_adj*s_CF_okra),".")</f>
        <v>.</v>
      </c>
      <c r="AQ29" s="70" t="str">
        <f>IFERROR(s_DL/(s_RadSpec!$F29*s_IFON_far_adj*s_CF_onion),".")</f>
        <v>.</v>
      </c>
      <c r="AR29" s="70" t="str">
        <f>IFERROR(s_DL/(s_RadSpec!$F29*s_IFPC_far_adj*s_CF_peach),".")</f>
        <v>.</v>
      </c>
      <c r="AS29" s="70" t="str">
        <f>IFERROR(s_DL/(s_RadSpec!$F29*s_IFPR_far_adj*s_CF_pear),".")</f>
        <v>.</v>
      </c>
      <c r="AT29" s="70" t="str">
        <f>IFERROR(s_DL/(s_RadSpec!$F29*s_IFPE_far_adj*s_CF_peas),".")</f>
        <v>.</v>
      </c>
      <c r="AU29" s="70" t="str">
        <f>IFERROR(s_DL/(s_RadSpec!$F29*s_IFPP_far_adj*s_CF_peppers),".")</f>
        <v>.</v>
      </c>
      <c r="AV29" s="70" t="str">
        <f>IFERROR(s_DL/(s_RadSpec!$F29*s_IFPT_far_adj*s_CF_potato),".")</f>
        <v>.</v>
      </c>
      <c r="AW29" s="70" t="str">
        <f>IFERROR(s_DL/(s_RadSpec!$F29*s_IFPU_far_adj*s_CF_pumpkin),".")</f>
        <v>.</v>
      </c>
      <c r="AX29" s="70" t="str">
        <f>IFERROR(s_DL/(s_RadSpec!$F29*s_IFSN_far_adj*s_CF_snap_bean),".")</f>
        <v>.</v>
      </c>
      <c r="AY29" s="70" t="str">
        <f>IFERROR(s_DL/(s_RadSpec!$F29*s_IFST_far_adj*s_CF_strawberry),".")</f>
        <v>.</v>
      </c>
      <c r="AZ29" s="70" t="str">
        <f>IFERROR(s_DL/(s_RadSpec!$F29*s_IFTO_far_adj*s_CF_tomato),".")</f>
        <v>.</v>
      </c>
      <c r="BA29" s="70" t="str">
        <f>IFERROR(s_DL/(s_RadSpec!$F29*s_IFRI_far_adj*s_CF_rice),".")</f>
        <v>.</v>
      </c>
      <c r="BB29" s="70" t="str">
        <f>IFERROR(s_DL/(s_RadSpec!$F29*s_IFCG_far_adj*s_CF_cereal),".")</f>
        <v>.</v>
      </c>
      <c r="BC29" s="87">
        <f t="shared" si="26"/>
        <v>30250</v>
      </c>
      <c r="BD29" s="87">
        <f t="shared" si="0"/>
        <v>7562.5</v>
      </c>
      <c r="BE29" s="87">
        <f t="shared" si="1"/>
        <v>7562.5</v>
      </c>
      <c r="BF29" s="87">
        <f t="shared" si="2"/>
        <v>7562.5</v>
      </c>
      <c r="BG29" s="87">
        <f t="shared" si="3"/>
        <v>7562.5</v>
      </c>
      <c r="BH29" s="87">
        <f t="shared" si="4"/>
        <v>7562.5</v>
      </c>
      <c r="BI29" s="87">
        <f t="shared" si="5"/>
        <v>7562.5</v>
      </c>
      <c r="BJ29" s="87">
        <f t="shared" si="6"/>
        <v>7562.5</v>
      </c>
      <c r="BK29" s="87">
        <f t="shared" si="7"/>
        <v>7562.5</v>
      </c>
      <c r="BL29" s="87">
        <f t="shared" si="8"/>
        <v>7562.5</v>
      </c>
      <c r="BM29" s="87">
        <f t="shared" si="9"/>
        <v>7562.5</v>
      </c>
      <c r="BN29" s="87">
        <f t="shared" si="10"/>
        <v>7562.5</v>
      </c>
      <c r="BO29" s="87">
        <f t="shared" si="11"/>
        <v>7562.5</v>
      </c>
      <c r="BP29" s="87">
        <f t="shared" si="12"/>
        <v>7562.5</v>
      </c>
      <c r="BQ29" s="87">
        <f t="shared" si="13"/>
        <v>7562.5</v>
      </c>
      <c r="BR29" s="87">
        <f t="shared" si="14"/>
        <v>7562.5</v>
      </c>
      <c r="BS29" s="87">
        <f t="shared" si="15"/>
        <v>7562.5</v>
      </c>
      <c r="BT29" s="87">
        <f t="shared" si="27"/>
        <v>7562.5</v>
      </c>
      <c r="BU29" s="87">
        <f t="shared" si="16"/>
        <v>7562.5</v>
      </c>
      <c r="BV29" s="87">
        <f t="shared" si="17"/>
        <v>7562.5</v>
      </c>
      <c r="BW29" s="87">
        <f t="shared" si="18"/>
        <v>7562.5</v>
      </c>
      <c r="BX29" s="87">
        <f t="shared" si="19"/>
        <v>7562.5</v>
      </c>
      <c r="BY29" s="87">
        <f t="shared" si="20"/>
        <v>7562.5</v>
      </c>
      <c r="BZ29" s="87">
        <f t="shared" si="21"/>
        <v>7562.5</v>
      </c>
      <c r="CA29" s="87">
        <f t="shared" si="22"/>
        <v>7562.5</v>
      </c>
      <c r="CB29" s="87">
        <f t="shared" si="23"/>
        <v>7562.5</v>
      </c>
    </row>
    <row r="30" spans="1:80" x14ac:dyDescent="0.25">
      <c r="A30" s="86" t="s">
        <v>28</v>
      </c>
      <c r="B30" s="84" t="s">
        <v>1057</v>
      </c>
      <c r="C30" s="70">
        <f t="shared" si="24"/>
        <v>3.7103631183969448</v>
      </c>
      <c r="D30" s="70">
        <f>IFERROR(s_DL/(s_RadSpec!$F30*s_IFAP_res_adj*s_CF_apple),".")</f>
        <v>14.841452473587779</v>
      </c>
      <c r="E30" s="70">
        <f>IFERROR(s_DL/(s_RadSpec!$F30*s_IFAS_res_adj*s_CF_asparagus),".")</f>
        <v>14.841452473587779</v>
      </c>
      <c r="F30" s="70">
        <f>IFERROR(s_DL/(s_RadSpec!$F30*s_IFBT_res_adj*s_CF_beet),".")</f>
        <v>14.841452473587779</v>
      </c>
      <c r="G30" s="70">
        <f>IFERROR(s_DL/(s_RadSpec!$F30*s_IFBE_res_adj*s_CF_berries),".")</f>
        <v>14.841452473587779</v>
      </c>
      <c r="H30" s="70">
        <f>IFERROR(s_DL/(s_RadSpec!$F30*s_IFBR_res_adj*s_CF_broccoli),".")</f>
        <v>14.841452473587779</v>
      </c>
      <c r="I30" s="70">
        <f>IFERROR(s_DL/(s_RadSpec!$F30*s_IFCB_res_adj*s_CF_cabbage),".")</f>
        <v>14.841452473587779</v>
      </c>
      <c r="J30" s="70">
        <f>IFERROR(s_DL/(s_RadSpec!$F30*s_IFCR_res_adj*s_CF_carrot),".")</f>
        <v>14.841452473587779</v>
      </c>
      <c r="K30" s="70">
        <f>IFERROR(s_DL/(s_RadSpec!$F30*s_IFCI_res_adj*s_CF_citrus),".")</f>
        <v>14.841452473587779</v>
      </c>
      <c r="L30" s="70">
        <f>IFERROR(s_DL/(s_RadSpec!$F30*s_IFCO_res_adj*s_CF_corn),".")</f>
        <v>14.841452473587779</v>
      </c>
      <c r="M30" s="70">
        <f>IFERROR(s_DL/(s_RadSpec!$F30*s_IFCU_res_adj*s_CF_cucumber),".")</f>
        <v>14.841452473587779</v>
      </c>
      <c r="N30" s="70">
        <f>IFERROR(s_DL/(s_RadSpec!$F30*s_IFLE_res_adj*s_CF_lettuce),".")</f>
        <v>14.841452473587779</v>
      </c>
      <c r="O30" s="70">
        <f>IFERROR(s_DL/(s_RadSpec!$F30*s_IFLI_res_adj*s_CF_lima_bean),".")</f>
        <v>14.841452473587779</v>
      </c>
      <c r="P30" s="70">
        <f>IFERROR(s_DL/(s_RadSpec!$F30*s_IFOK_res_adj*s_CF_okra),".")</f>
        <v>14.841452473587779</v>
      </c>
      <c r="Q30" s="70">
        <f>IFERROR(s_DL/(s_RadSpec!$F30*s_IFON_res_adj*s_CF_onion),".")</f>
        <v>14.841452473587779</v>
      </c>
      <c r="R30" s="70">
        <f>IFERROR(s_DL/(s_RadSpec!$F30*s_IFPC_res_adj*s_CF_peach),".")</f>
        <v>14.841452473587779</v>
      </c>
      <c r="S30" s="70">
        <f>IFERROR(s_DL/(s_RadSpec!$F30*s_IFPR_res_adj*s_CF_pear),".")</f>
        <v>14.841452473587779</v>
      </c>
      <c r="T30" s="70">
        <f>IFERROR(s_DL/(s_RadSpec!$F30*s_IFPE_res_adj*s_CF_peas),".")</f>
        <v>14.841452473587779</v>
      </c>
      <c r="U30" s="70">
        <f>IFERROR(s_DL/(s_RadSpec!$F30*s_IFPP_res_adj*s_CF_peppers),".")</f>
        <v>14.841452473587779</v>
      </c>
      <c r="V30" s="70">
        <f>IFERROR(s_DL/(s_RadSpec!$F30*s_IFPT_res_adj*s_CF_potato),".")</f>
        <v>14.841452473587779</v>
      </c>
      <c r="W30" s="70">
        <f>IFERROR(s_DL/(s_RadSpec!$F30*s_IFPU_res_adj*s_CF_pumpkin),".")</f>
        <v>14.841452473587779</v>
      </c>
      <c r="X30" s="70">
        <f>IFERROR(s_DL/(s_RadSpec!$F30*s_IFSN_res_adj*s_CF_snap_bean),".")</f>
        <v>14.841452473587779</v>
      </c>
      <c r="Y30" s="70">
        <f>IFERROR(s_DL/(s_RadSpec!$F30*s_IFST_res_adj*s_CF_strawberry),".")</f>
        <v>14.841452473587779</v>
      </c>
      <c r="Z30" s="70">
        <f>IFERROR(s_DL/(s_RadSpec!$F30*s_IFTO_res_adj*s_CF_tomato),".")</f>
        <v>14.841452473587779</v>
      </c>
      <c r="AA30" s="70">
        <f>IFERROR(s_DL/(s_RadSpec!$F30*s_IFRI_res_adj*s_CF_rice),".")</f>
        <v>14.841452473587779</v>
      </c>
      <c r="AB30" s="70">
        <f>IFERROR(s_DL/(s_RadSpec!$F30*s_IFCG_res_adj*s_CF_cereal),".")</f>
        <v>14.841452473587779</v>
      </c>
      <c r="AC30" s="70">
        <f t="shared" si="25"/>
        <v>3.7103631183969448</v>
      </c>
      <c r="AD30" s="70">
        <f>IFERROR(s_DL/(s_RadSpec!$F30*s_IFAP_far_adj*s_CF_apple),".")</f>
        <v>14.841452473587779</v>
      </c>
      <c r="AE30" s="70">
        <f>IFERROR(s_DL/(s_RadSpec!$F30*s_IFAS_far_adj*s_CF_asparagus),".")</f>
        <v>14.841452473587779</v>
      </c>
      <c r="AF30" s="70">
        <f>IFERROR(s_DL/(s_RadSpec!$F30*s_IFBT_far_adj*s_CF_beet),".")</f>
        <v>14.841452473587779</v>
      </c>
      <c r="AG30" s="70">
        <f>IFERROR(s_DL/(s_RadSpec!$F30*s_IFBE_far_adj*s_CF_berries),".")</f>
        <v>14.841452473587779</v>
      </c>
      <c r="AH30" s="70">
        <f>IFERROR(s_DL/(s_RadSpec!$F30*s_IFBR_far_adj*s_CF_broccoli),".")</f>
        <v>14.841452473587779</v>
      </c>
      <c r="AI30" s="70">
        <f>IFERROR(s_DL/(s_RadSpec!$F30*s_IFCB_far_adj*s_CF_cabbage),".")</f>
        <v>14.841452473587779</v>
      </c>
      <c r="AJ30" s="70">
        <f>IFERROR(s_DL/(s_RadSpec!$F30*s_IFCR_far_adj*s_CF_carrot),".")</f>
        <v>14.841452473587779</v>
      </c>
      <c r="AK30" s="70">
        <f>IFERROR(s_DL/(s_RadSpec!$F30*s_IFCI_far_adj*s_CF_citrus),".")</f>
        <v>14.841452473587779</v>
      </c>
      <c r="AL30" s="70">
        <f>IFERROR(s_DL/(s_RadSpec!$F30*s_IFCO_far_adj*s_CF_corn),".")</f>
        <v>14.841452473587779</v>
      </c>
      <c r="AM30" s="70">
        <f>IFERROR(s_DL/(s_RadSpec!$F30*s_IFCU_far_adj*s_CF_cucumber),".")</f>
        <v>14.841452473587779</v>
      </c>
      <c r="AN30" s="70">
        <f>IFERROR(s_DL/(s_RadSpec!$F30*s_IFLE_far_adj*s_CF_lettuce),".")</f>
        <v>14.841452473587779</v>
      </c>
      <c r="AO30" s="70">
        <f>IFERROR(s_DL/(s_RadSpec!$F30*s_IFLI_far_adj*s_CF_lima_bean),".")</f>
        <v>14.841452473587779</v>
      </c>
      <c r="AP30" s="70">
        <f>IFERROR(s_DL/(s_RadSpec!$F30*s_IFOK_far_adj*s_CF_okra),".")</f>
        <v>14.841452473587779</v>
      </c>
      <c r="AQ30" s="70">
        <f>IFERROR(s_DL/(s_RadSpec!$F30*s_IFON_far_adj*s_CF_onion),".")</f>
        <v>14.841452473587779</v>
      </c>
      <c r="AR30" s="70">
        <f>IFERROR(s_DL/(s_RadSpec!$F30*s_IFPC_far_adj*s_CF_peach),".")</f>
        <v>14.841452473587779</v>
      </c>
      <c r="AS30" s="70">
        <f>IFERROR(s_DL/(s_RadSpec!$F30*s_IFPR_far_adj*s_CF_pear),".")</f>
        <v>14.841452473587779</v>
      </c>
      <c r="AT30" s="70">
        <f>IFERROR(s_DL/(s_RadSpec!$F30*s_IFPE_far_adj*s_CF_peas),".")</f>
        <v>14.841452473587779</v>
      </c>
      <c r="AU30" s="70">
        <f>IFERROR(s_DL/(s_RadSpec!$F30*s_IFPP_far_adj*s_CF_peppers),".")</f>
        <v>14.841452473587779</v>
      </c>
      <c r="AV30" s="70">
        <f>IFERROR(s_DL/(s_RadSpec!$F30*s_IFPT_far_adj*s_CF_potato),".")</f>
        <v>14.841452473587779</v>
      </c>
      <c r="AW30" s="70">
        <f>IFERROR(s_DL/(s_RadSpec!$F30*s_IFPU_far_adj*s_CF_pumpkin),".")</f>
        <v>14.841452473587779</v>
      </c>
      <c r="AX30" s="70">
        <f>IFERROR(s_DL/(s_RadSpec!$F30*s_IFSN_far_adj*s_CF_snap_bean),".")</f>
        <v>14.841452473587779</v>
      </c>
      <c r="AY30" s="70">
        <f>IFERROR(s_DL/(s_RadSpec!$F30*s_IFST_far_adj*s_CF_strawberry),".")</f>
        <v>14.841452473587779</v>
      </c>
      <c r="AZ30" s="70">
        <f>IFERROR(s_DL/(s_RadSpec!$F30*s_IFTO_far_adj*s_CF_tomato),".")</f>
        <v>14.841452473587779</v>
      </c>
      <c r="BA30" s="70">
        <f>IFERROR(s_DL/(s_RadSpec!$F30*s_IFRI_far_adj*s_CF_rice),".")</f>
        <v>14.841452473587779</v>
      </c>
      <c r="BB30" s="70">
        <f>IFERROR(s_DL/(s_RadSpec!$F30*s_IFCG_far_adj*s_CF_cereal),".")</f>
        <v>14.841452473587779</v>
      </c>
      <c r="BC30" s="87">
        <f t="shared" si="26"/>
        <v>30250</v>
      </c>
      <c r="BD30" s="87">
        <f t="shared" si="0"/>
        <v>7562.5</v>
      </c>
      <c r="BE30" s="87">
        <f t="shared" si="1"/>
        <v>7562.5</v>
      </c>
      <c r="BF30" s="87">
        <f t="shared" si="2"/>
        <v>7562.5</v>
      </c>
      <c r="BG30" s="87">
        <f t="shared" si="3"/>
        <v>7562.5</v>
      </c>
      <c r="BH30" s="87">
        <f t="shared" si="4"/>
        <v>7562.5</v>
      </c>
      <c r="BI30" s="87">
        <f t="shared" si="5"/>
        <v>7562.5</v>
      </c>
      <c r="BJ30" s="87">
        <f t="shared" si="6"/>
        <v>7562.5</v>
      </c>
      <c r="BK30" s="87">
        <f t="shared" si="7"/>
        <v>7562.5</v>
      </c>
      <c r="BL30" s="87">
        <f t="shared" si="8"/>
        <v>7562.5</v>
      </c>
      <c r="BM30" s="87">
        <f t="shared" si="9"/>
        <v>7562.5</v>
      </c>
      <c r="BN30" s="87">
        <f t="shared" si="10"/>
        <v>7562.5</v>
      </c>
      <c r="BO30" s="87">
        <f t="shared" si="11"/>
        <v>7562.5</v>
      </c>
      <c r="BP30" s="87">
        <f t="shared" si="12"/>
        <v>7562.5</v>
      </c>
      <c r="BQ30" s="87">
        <f t="shared" si="13"/>
        <v>7562.5</v>
      </c>
      <c r="BR30" s="87">
        <f t="shared" si="14"/>
        <v>7562.5</v>
      </c>
      <c r="BS30" s="87">
        <f t="shared" si="15"/>
        <v>7562.5</v>
      </c>
      <c r="BT30" s="87">
        <f t="shared" si="27"/>
        <v>7562.5</v>
      </c>
      <c r="BU30" s="87">
        <f t="shared" si="16"/>
        <v>7562.5</v>
      </c>
      <c r="BV30" s="87">
        <f t="shared" si="17"/>
        <v>7562.5</v>
      </c>
      <c r="BW30" s="87">
        <f t="shared" si="18"/>
        <v>7562.5</v>
      </c>
      <c r="BX30" s="87">
        <f t="shared" si="19"/>
        <v>7562.5</v>
      </c>
      <c r="BY30" s="87">
        <f t="shared" si="20"/>
        <v>7562.5</v>
      </c>
      <c r="BZ30" s="87">
        <f t="shared" si="21"/>
        <v>7562.5</v>
      </c>
      <c r="CA30" s="87">
        <f t="shared" si="22"/>
        <v>7562.5</v>
      </c>
      <c r="CB30" s="87">
        <f t="shared" si="23"/>
        <v>7562.5</v>
      </c>
    </row>
    <row r="31" spans="1:80" x14ac:dyDescent="0.25">
      <c r="A31" s="89" t="s">
        <v>1</v>
      </c>
      <c r="B31" s="89" t="s">
        <v>1057</v>
      </c>
      <c r="C31" s="90">
        <f>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0.16868309813017673</v>
      </c>
      <c r="D31" s="90">
        <f t="shared" ref="D31:AH31" si="28">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0.67473239252070694</v>
      </c>
      <c r="E31" s="90">
        <f t="shared" si="28"/>
        <v>0.67473239252070694</v>
      </c>
      <c r="F31" s="90">
        <f t="shared" si="28"/>
        <v>0.67473239252070694</v>
      </c>
      <c r="G31" s="90">
        <f t="shared" si="28"/>
        <v>0.67473239252070694</v>
      </c>
      <c r="H31" s="90">
        <f t="shared" si="28"/>
        <v>0.67473239252070694</v>
      </c>
      <c r="I31" s="90">
        <f t="shared" si="28"/>
        <v>0.67473239252070694</v>
      </c>
      <c r="J31" s="90">
        <f t="shared" si="28"/>
        <v>0.67473239252070694</v>
      </c>
      <c r="K31" s="90">
        <f t="shared" si="28"/>
        <v>0.67473239252070694</v>
      </c>
      <c r="L31" s="90">
        <f t="shared" si="28"/>
        <v>0.67473239252070694</v>
      </c>
      <c r="M31" s="90">
        <f t="shared" si="28"/>
        <v>0.67473239252070694</v>
      </c>
      <c r="N31" s="90">
        <f t="shared" si="28"/>
        <v>0.67473239252070694</v>
      </c>
      <c r="O31" s="90">
        <f t="shared" si="28"/>
        <v>0.67473239252070694</v>
      </c>
      <c r="P31" s="90">
        <f t="shared" si="28"/>
        <v>0.67473239252070694</v>
      </c>
      <c r="Q31" s="90">
        <f t="shared" si="28"/>
        <v>0.67473239252070694</v>
      </c>
      <c r="R31" s="90">
        <f t="shared" si="28"/>
        <v>0.67473239252070694</v>
      </c>
      <c r="S31" s="90">
        <f t="shared" si="28"/>
        <v>0.67473239252070694</v>
      </c>
      <c r="T31" s="90">
        <f t="shared" si="28"/>
        <v>0.67473239252070694</v>
      </c>
      <c r="U31" s="90">
        <f t="shared" si="28"/>
        <v>0.67473239252070694</v>
      </c>
      <c r="V31" s="90">
        <f t="shared" si="28"/>
        <v>0.67473239252070694</v>
      </c>
      <c r="W31" s="90">
        <f t="shared" si="28"/>
        <v>0.67473239252070694</v>
      </c>
      <c r="X31" s="90">
        <f t="shared" si="28"/>
        <v>0.67473239252070694</v>
      </c>
      <c r="Y31" s="90">
        <f t="shared" si="28"/>
        <v>0.67473239252070694</v>
      </c>
      <c r="Z31" s="90">
        <f t="shared" si="28"/>
        <v>0.67473239252070694</v>
      </c>
      <c r="AA31" s="90">
        <f t="shared" si="28"/>
        <v>0.67473239252070694</v>
      </c>
      <c r="AB31" s="90">
        <f t="shared" si="28"/>
        <v>0.67473239252070694</v>
      </c>
      <c r="AC31" s="90">
        <f t="shared" si="28"/>
        <v>0.16868309813017673</v>
      </c>
      <c r="AD31" s="90">
        <f t="shared" si="28"/>
        <v>0.67473239252070694</v>
      </c>
      <c r="AE31" s="90">
        <f t="shared" si="28"/>
        <v>0.67473239252070694</v>
      </c>
      <c r="AF31" s="90">
        <f t="shared" si="28"/>
        <v>0.67473239252070694</v>
      </c>
      <c r="AG31" s="90">
        <f t="shared" si="28"/>
        <v>0.67473239252070694</v>
      </c>
      <c r="AH31" s="90">
        <f t="shared" si="28"/>
        <v>0.67473239252070694</v>
      </c>
      <c r="AI31" s="90">
        <f t="shared" ref="AI31:BB31" si="29">IFERROR(1/SUM(IFERROR(1/SUMIF(AI32,"&lt;&gt;.",AI32),0),IFERROR(1/SUMIF(AI33,"&lt;&gt;.",AI33),0),IFERROR(1/SUMIF(AI34,"&lt;&gt;.",AI34),0),IFERROR(1/SUMIF(AI35,"&lt;&gt;.",AI35),0),IFERROR(1/SUMIF(AI36,"&lt;&gt;.",AI36),0),IFERROR(1/SUMIF(AI37,"&lt;&gt;.",AI37),0),IFERROR(1/SUMIF(AI38,"&lt;&gt;.",AI38),0),IFERROR(1/SUMIF(AI39,"&lt;&gt;.",AI39),0),IFERROR(1/SUMIF(AI40,"&lt;&gt;.",AI40),0),IFERROR(1/SUMIF(AI41,"&lt;&gt;.",AI41),0),IFERROR(1/SUMIF(AI42,"&lt;&gt;.",AI42),0),IFERROR(1/SUMIF(AI43,"&lt;&gt;.",AI43),0),IFERROR(1/SUMIF(AI44,"&lt;&gt;.",AI44),0)),".")</f>
        <v>0.67473239252070694</v>
      </c>
      <c r="AJ31" s="90">
        <f t="shared" si="29"/>
        <v>0.67473239252070694</v>
      </c>
      <c r="AK31" s="90">
        <f t="shared" si="29"/>
        <v>0.67473239252070694</v>
      </c>
      <c r="AL31" s="90">
        <f t="shared" si="29"/>
        <v>0.67473239252070694</v>
      </c>
      <c r="AM31" s="90">
        <f t="shared" si="29"/>
        <v>0.67473239252070694</v>
      </c>
      <c r="AN31" s="90">
        <f t="shared" si="29"/>
        <v>0.67473239252070694</v>
      </c>
      <c r="AO31" s="90">
        <f t="shared" si="29"/>
        <v>0.67473239252070694</v>
      </c>
      <c r="AP31" s="90">
        <f t="shared" si="29"/>
        <v>0.67473239252070694</v>
      </c>
      <c r="AQ31" s="90">
        <f t="shared" si="29"/>
        <v>0.67473239252070694</v>
      </c>
      <c r="AR31" s="90">
        <f t="shared" si="29"/>
        <v>0.67473239252070694</v>
      </c>
      <c r="AS31" s="90">
        <f t="shared" si="29"/>
        <v>0.67473239252070694</v>
      </c>
      <c r="AT31" s="90">
        <f t="shared" si="29"/>
        <v>0.67473239252070694</v>
      </c>
      <c r="AU31" s="90">
        <f t="shared" si="29"/>
        <v>0.67473239252070694</v>
      </c>
      <c r="AV31" s="90">
        <f t="shared" si="29"/>
        <v>0.67473239252070694</v>
      </c>
      <c r="AW31" s="90">
        <f t="shared" si="29"/>
        <v>0.67473239252070694</v>
      </c>
      <c r="AX31" s="90">
        <f t="shared" si="29"/>
        <v>0.67473239252070694</v>
      </c>
      <c r="AY31" s="90">
        <f t="shared" si="29"/>
        <v>0.67473239252070694</v>
      </c>
      <c r="AZ31" s="90">
        <f t="shared" si="29"/>
        <v>0.67473239252070694</v>
      </c>
      <c r="BA31" s="90">
        <f t="shared" si="29"/>
        <v>0.67473239252070694</v>
      </c>
      <c r="BB31" s="90">
        <f t="shared" si="29"/>
        <v>0.67473239252070694</v>
      </c>
      <c r="BC31" s="91">
        <f>IFERROR(SUM(BD32:BD44,BU32:BU44,CA32:CA44,CB32:CB44),".")</f>
        <v>148.20690559469634</v>
      </c>
      <c r="BD31" s="91">
        <f>IFERROR(SUM(BD32:BD44),".")</f>
        <v>37.051726398674084</v>
      </c>
      <c r="BE31" s="91">
        <f t="shared" ref="BE31:CB31" si="30">IFERROR(SUM(BE32:BE44),".")</f>
        <v>37.051726398674084</v>
      </c>
      <c r="BF31" s="91">
        <f t="shared" si="30"/>
        <v>37.051726398674084</v>
      </c>
      <c r="BG31" s="91">
        <f t="shared" si="30"/>
        <v>37.051726398674084</v>
      </c>
      <c r="BH31" s="91">
        <f t="shared" si="30"/>
        <v>37.051726398674084</v>
      </c>
      <c r="BI31" s="91">
        <f t="shared" si="30"/>
        <v>37.051726398674084</v>
      </c>
      <c r="BJ31" s="91">
        <f t="shared" si="30"/>
        <v>37.051726398674084</v>
      </c>
      <c r="BK31" s="91">
        <f t="shared" si="30"/>
        <v>37.051726398674084</v>
      </c>
      <c r="BL31" s="91">
        <f t="shared" si="30"/>
        <v>37.051726398674084</v>
      </c>
      <c r="BM31" s="91">
        <f t="shared" si="30"/>
        <v>37.051726398674084</v>
      </c>
      <c r="BN31" s="91">
        <f t="shared" si="30"/>
        <v>37.051726398674084</v>
      </c>
      <c r="BO31" s="91">
        <f t="shared" si="30"/>
        <v>37.051726398674084</v>
      </c>
      <c r="BP31" s="91">
        <f t="shared" si="30"/>
        <v>37.051726398674084</v>
      </c>
      <c r="BQ31" s="91">
        <f t="shared" si="30"/>
        <v>37.051726398674084</v>
      </c>
      <c r="BR31" s="91">
        <f t="shared" si="30"/>
        <v>37.051726398674084</v>
      </c>
      <c r="BS31" s="91">
        <f t="shared" si="30"/>
        <v>37.051726398674084</v>
      </c>
      <c r="BT31" s="91">
        <f t="shared" si="30"/>
        <v>37.051726398674084</v>
      </c>
      <c r="BU31" s="91">
        <f t="shared" si="30"/>
        <v>37.051726398674084</v>
      </c>
      <c r="BV31" s="91">
        <f t="shared" si="30"/>
        <v>37.051726398674084</v>
      </c>
      <c r="BW31" s="91">
        <f t="shared" si="30"/>
        <v>37.051726398674084</v>
      </c>
      <c r="BX31" s="91">
        <f t="shared" si="30"/>
        <v>37.051726398674084</v>
      </c>
      <c r="BY31" s="91">
        <f t="shared" si="30"/>
        <v>37.051726398674084</v>
      </c>
      <c r="BZ31" s="91">
        <f t="shared" si="30"/>
        <v>37.051726398674084</v>
      </c>
      <c r="CA31" s="91">
        <f t="shared" si="30"/>
        <v>37.051726398674084</v>
      </c>
      <c r="CB31" s="91">
        <f t="shared" si="30"/>
        <v>37.051726398674084</v>
      </c>
    </row>
    <row r="32" spans="1:80" x14ac:dyDescent="0.25">
      <c r="A32" s="92" t="s">
        <v>1085</v>
      </c>
      <c r="B32" s="84">
        <v>1</v>
      </c>
      <c r="C32" s="93">
        <f t="shared" ref="C32:AH32" si="31">IFERROR(C3/$B32,".")</f>
        <v>0.9385036123004038</v>
      </c>
      <c r="D32" s="93">
        <f t="shared" si="31"/>
        <v>3.7540144492016148</v>
      </c>
      <c r="E32" s="93">
        <f t="shared" si="31"/>
        <v>3.7540144492016148</v>
      </c>
      <c r="F32" s="93">
        <f t="shared" si="31"/>
        <v>3.7540144492016148</v>
      </c>
      <c r="G32" s="93">
        <f t="shared" si="31"/>
        <v>3.7540144492016148</v>
      </c>
      <c r="H32" s="93">
        <f t="shared" si="31"/>
        <v>3.7540144492016148</v>
      </c>
      <c r="I32" s="93">
        <f t="shared" si="31"/>
        <v>3.7540144492016148</v>
      </c>
      <c r="J32" s="93">
        <f t="shared" si="31"/>
        <v>3.7540144492016148</v>
      </c>
      <c r="K32" s="93">
        <f t="shared" si="31"/>
        <v>3.7540144492016148</v>
      </c>
      <c r="L32" s="93">
        <f t="shared" si="31"/>
        <v>3.7540144492016148</v>
      </c>
      <c r="M32" s="93">
        <f t="shared" si="31"/>
        <v>3.7540144492016148</v>
      </c>
      <c r="N32" s="93">
        <f t="shared" si="31"/>
        <v>3.7540144492016148</v>
      </c>
      <c r="O32" s="93">
        <f t="shared" si="31"/>
        <v>3.7540144492016148</v>
      </c>
      <c r="P32" s="93">
        <f t="shared" si="31"/>
        <v>3.7540144492016148</v>
      </c>
      <c r="Q32" s="93">
        <f t="shared" si="31"/>
        <v>3.7540144492016148</v>
      </c>
      <c r="R32" s="93">
        <f t="shared" si="31"/>
        <v>3.7540144492016148</v>
      </c>
      <c r="S32" s="93">
        <f t="shared" si="31"/>
        <v>3.7540144492016148</v>
      </c>
      <c r="T32" s="93">
        <f t="shared" si="31"/>
        <v>3.7540144492016148</v>
      </c>
      <c r="U32" s="93">
        <f t="shared" si="31"/>
        <v>3.7540144492016148</v>
      </c>
      <c r="V32" s="93">
        <f t="shared" si="31"/>
        <v>3.7540144492016148</v>
      </c>
      <c r="W32" s="93">
        <f t="shared" si="31"/>
        <v>3.7540144492016148</v>
      </c>
      <c r="X32" s="93">
        <f t="shared" si="31"/>
        <v>3.7540144492016148</v>
      </c>
      <c r="Y32" s="93">
        <f t="shared" si="31"/>
        <v>3.7540144492016148</v>
      </c>
      <c r="Z32" s="93">
        <f t="shared" si="31"/>
        <v>3.7540144492016148</v>
      </c>
      <c r="AA32" s="93">
        <f t="shared" si="31"/>
        <v>3.7540144492016148</v>
      </c>
      <c r="AB32" s="93">
        <f t="shared" si="31"/>
        <v>3.7540144492016148</v>
      </c>
      <c r="AC32" s="93">
        <f t="shared" si="31"/>
        <v>0.9385036123004038</v>
      </c>
      <c r="AD32" s="93">
        <f t="shared" si="31"/>
        <v>3.7540144492016148</v>
      </c>
      <c r="AE32" s="93">
        <f t="shared" si="31"/>
        <v>3.7540144492016148</v>
      </c>
      <c r="AF32" s="93">
        <f t="shared" si="31"/>
        <v>3.7540144492016148</v>
      </c>
      <c r="AG32" s="93">
        <f t="shared" si="31"/>
        <v>3.7540144492016148</v>
      </c>
      <c r="AH32" s="93">
        <f t="shared" si="31"/>
        <v>3.7540144492016148</v>
      </c>
      <c r="AI32" s="93">
        <f t="shared" ref="AI32:BB32" si="32">IFERROR(AI3/$B32,".")</f>
        <v>3.7540144492016148</v>
      </c>
      <c r="AJ32" s="93">
        <f t="shared" si="32"/>
        <v>3.7540144492016148</v>
      </c>
      <c r="AK32" s="93">
        <f t="shared" si="32"/>
        <v>3.7540144492016148</v>
      </c>
      <c r="AL32" s="93">
        <f t="shared" si="32"/>
        <v>3.7540144492016148</v>
      </c>
      <c r="AM32" s="93">
        <f t="shared" si="32"/>
        <v>3.7540144492016148</v>
      </c>
      <c r="AN32" s="93">
        <f t="shared" si="32"/>
        <v>3.7540144492016148</v>
      </c>
      <c r="AO32" s="93">
        <f t="shared" si="32"/>
        <v>3.7540144492016148</v>
      </c>
      <c r="AP32" s="93">
        <f t="shared" si="32"/>
        <v>3.7540144492016148</v>
      </c>
      <c r="AQ32" s="93">
        <f t="shared" si="32"/>
        <v>3.7540144492016148</v>
      </c>
      <c r="AR32" s="93">
        <f t="shared" si="32"/>
        <v>3.7540144492016148</v>
      </c>
      <c r="AS32" s="93">
        <f t="shared" si="32"/>
        <v>3.7540144492016148</v>
      </c>
      <c r="AT32" s="93">
        <f t="shared" si="32"/>
        <v>3.7540144492016148</v>
      </c>
      <c r="AU32" s="93">
        <f t="shared" si="32"/>
        <v>3.7540144492016148</v>
      </c>
      <c r="AV32" s="93">
        <f t="shared" si="32"/>
        <v>3.7540144492016148</v>
      </c>
      <c r="AW32" s="93">
        <f t="shared" si="32"/>
        <v>3.7540144492016148</v>
      </c>
      <c r="AX32" s="93">
        <f t="shared" si="32"/>
        <v>3.7540144492016148</v>
      </c>
      <c r="AY32" s="93">
        <f t="shared" si="32"/>
        <v>3.7540144492016148</v>
      </c>
      <c r="AZ32" s="93">
        <f t="shared" si="32"/>
        <v>3.7540144492016148</v>
      </c>
      <c r="BA32" s="93">
        <f t="shared" si="32"/>
        <v>3.7540144492016148</v>
      </c>
      <c r="BB32" s="93">
        <f t="shared" si="32"/>
        <v>3.7540144492016148</v>
      </c>
      <c r="BC32" s="94">
        <f t="shared" ref="BC32:BC44" si="33">IF(AND(BD32&lt;&gt;".",BU32&lt;&gt;".",CA32&lt;&gt;".",CB32&lt;&gt;"."),SUM(BD32,BU32,CA32:CB32),".")</f>
        <v>26.638150000000003</v>
      </c>
      <c r="BD32" s="94">
        <f>IF(AD32=".",".",s_RadSpec!$F$3*(BD3*$B32))</f>
        <v>6.6595375000000008</v>
      </c>
      <c r="BE32" s="94">
        <f>IF(AE32=".",".",s_RadSpec!$F$3*(BE3*$B32))</f>
        <v>6.6595375000000008</v>
      </c>
      <c r="BF32" s="94">
        <f>IF(AF32=".",".",s_RadSpec!$F$3*(BF3*$B32))</f>
        <v>6.6595375000000008</v>
      </c>
      <c r="BG32" s="94">
        <f>IF(AG32=".",".",s_RadSpec!$F$3*(BG3*$B32))</f>
        <v>6.6595375000000008</v>
      </c>
      <c r="BH32" s="94">
        <f>IF(AH32=".",".",s_RadSpec!$F$3*(BH3*$B32))</f>
        <v>6.6595375000000008</v>
      </c>
      <c r="BI32" s="94">
        <f>IF(AI32=".",".",s_RadSpec!$F$3*(BI3*$B32))</f>
        <v>6.6595375000000008</v>
      </c>
      <c r="BJ32" s="94">
        <f>IF(AJ32=".",".",s_RadSpec!$F$3*(BJ3*$B32))</f>
        <v>6.6595375000000008</v>
      </c>
      <c r="BK32" s="94">
        <f>IF(AK32=".",".",s_RadSpec!$F$3*(BK3*$B32))</f>
        <v>6.6595375000000008</v>
      </c>
      <c r="BL32" s="94">
        <f>IF(AL32=".",".",s_RadSpec!$F$3*(BL3*$B32))</f>
        <v>6.6595375000000008</v>
      </c>
      <c r="BM32" s="94">
        <f>IF(AM32=".",".",s_RadSpec!$F$3*(BM3*$B32))</f>
        <v>6.6595375000000008</v>
      </c>
      <c r="BN32" s="94">
        <f>IF(AN32=".",".",s_RadSpec!$F$3*(BN3*$B32))</f>
        <v>6.6595375000000008</v>
      </c>
      <c r="BO32" s="94">
        <f>IF(AO32=".",".",s_RadSpec!$F$3*(BO3*$B32))</f>
        <v>6.6595375000000008</v>
      </c>
      <c r="BP32" s="94">
        <f>IF(AP32=".",".",s_RadSpec!$F$3*(BP3*$B32))</f>
        <v>6.6595375000000008</v>
      </c>
      <c r="BQ32" s="94">
        <f>IF(AQ32=".",".",s_RadSpec!$F$3*(BQ3*$B32))</f>
        <v>6.6595375000000008</v>
      </c>
      <c r="BR32" s="94">
        <f>IF(AR32=".",".",s_RadSpec!$F$3*(BR3*$B32))</f>
        <v>6.6595375000000008</v>
      </c>
      <c r="BS32" s="94">
        <f>IF(AS32=".",".",s_RadSpec!$F$3*(BS3*$B32))</f>
        <v>6.6595375000000008</v>
      </c>
      <c r="BT32" s="94">
        <f>IF(AT32=".",".",s_RadSpec!$F$3*(BT3*$B32))</f>
        <v>6.6595375000000008</v>
      </c>
      <c r="BU32" s="94">
        <f>IF(AU32=".",".",s_RadSpec!$F$3*(BU3*$B32))</f>
        <v>6.6595375000000008</v>
      </c>
      <c r="BV32" s="94">
        <f>IF(AV32=".",".",s_RadSpec!$F$3*(BV3*$B32))</f>
        <v>6.6595375000000008</v>
      </c>
      <c r="BW32" s="94">
        <f>IF(AW32=".",".",s_RadSpec!$F$3*(BW3*$B32))</f>
        <v>6.6595375000000008</v>
      </c>
      <c r="BX32" s="94">
        <f>IF(AX32=".",".",s_RadSpec!$F$3*(BX3*$B32))</f>
        <v>6.6595375000000008</v>
      </c>
      <c r="BY32" s="94">
        <f>IF(AY32=".",".",s_RadSpec!$F$3*(BY3*$B32))</f>
        <v>6.6595375000000008</v>
      </c>
      <c r="BZ32" s="94">
        <f>IF(AZ32=".",".",s_RadSpec!$F$3*(BZ3*$B32))</f>
        <v>6.6595375000000008</v>
      </c>
      <c r="CA32" s="94">
        <f>IF(BA32=".",".",s_RadSpec!$F$3*(CA3*$B32))</f>
        <v>6.6595375000000008</v>
      </c>
      <c r="CB32" s="94">
        <f>IF(BB32=".",".",s_RadSpec!$F$3*(CB3*$B32))</f>
        <v>6.6595375000000008</v>
      </c>
    </row>
    <row r="33" spans="1:80" x14ac:dyDescent="0.25">
      <c r="A33" s="92" t="s">
        <v>1061</v>
      </c>
      <c r="B33" s="84">
        <v>1</v>
      </c>
      <c r="C33" s="93">
        <f t="shared" ref="C33:BB34" si="34">IFERROR(C13/$B33,".")</f>
        <v>1.7869108778199687</v>
      </c>
      <c r="D33" s="93">
        <f t="shared" si="34"/>
        <v>7.1476435112798749</v>
      </c>
      <c r="E33" s="93">
        <f t="shared" si="34"/>
        <v>7.1476435112798749</v>
      </c>
      <c r="F33" s="93">
        <f t="shared" si="34"/>
        <v>7.1476435112798749</v>
      </c>
      <c r="G33" s="93">
        <f t="shared" si="34"/>
        <v>7.1476435112798749</v>
      </c>
      <c r="H33" s="93">
        <f t="shared" si="34"/>
        <v>7.1476435112798749</v>
      </c>
      <c r="I33" s="93">
        <f t="shared" si="34"/>
        <v>7.1476435112798749</v>
      </c>
      <c r="J33" s="93">
        <f t="shared" si="34"/>
        <v>7.1476435112798749</v>
      </c>
      <c r="K33" s="93">
        <f t="shared" si="34"/>
        <v>7.1476435112798749</v>
      </c>
      <c r="L33" s="93">
        <f t="shared" si="34"/>
        <v>7.1476435112798749</v>
      </c>
      <c r="M33" s="93">
        <f t="shared" si="34"/>
        <v>7.1476435112798749</v>
      </c>
      <c r="N33" s="93">
        <f t="shared" si="34"/>
        <v>7.1476435112798749</v>
      </c>
      <c r="O33" s="93">
        <f t="shared" si="34"/>
        <v>7.1476435112798749</v>
      </c>
      <c r="P33" s="93">
        <f t="shared" si="34"/>
        <v>7.1476435112798749</v>
      </c>
      <c r="Q33" s="93">
        <f t="shared" si="34"/>
        <v>7.1476435112798749</v>
      </c>
      <c r="R33" s="93">
        <f t="shared" si="34"/>
        <v>7.1476435112798749</v>
      </c>
      <c r="S33" s="93">
        <f t="shared" si="34"/>
        <v>7.1476435112798749</v>
      </c>
      <c r="T33" s="93">
        <f t="shared" si="34"/>
        <v>7.1476435112798749</v>
      </c>
      <c r="U33" s="93">
        <f t="shared" si="34"/>
        <v>7.1476435112798749</v>
      </c>
      <c r="V33" s="93">
        <f t="shared" si="34"/>
        <v>7.1476435112798749</v>
      </c>
      <c r="W33" s="93">
        <f t="shared" si="34"/>
        <v>7.1476435112798749</v>
      </c>
      <c r="X33" s="93">
        <f t="shared" si="34"/>
        <v>7.1476435112798749</v>
      </c>
      <c r="Y33" s="93">
        <f t="shared" si="34"/>
        <v>7.1476435112798749</v>
      </c>
      <c r="Z33" s="93">
        <f t="shared" si="34"/>
        <v>7.1476435112798749</v>
      </c>
      <c r="AA33" s="93">
        <f t="shared" si="34"/>
        <v>7.1476435112798749</v>
      </c>
      <c r="AB33" s="93">
        <f t="shared" si="34"/>
        <v>7.1476435112798749</v>
      </c>
      <c r="AC33" s="93">
        <f t="shared" si="34"/>
        <v>1.7869108778199687</v>
      </c>
      <c r="AD33" s="93">
        <f t="shared" si="34"/>
        <v>7.1476435112798749</v>
      </c>
      <c r="AE33" s="93">
        <f t="shared" si="34"/>
        <v>7.1476435112798749</v>
      </c>
      <c r="AF33" s="93">
        <f t="shared" si="34"/>
        <v>7.1476435112798749</v>
      </c>
      <c r="AG33" s="93">
        <f t="shared" si="34"/>
        <v>7.1476435112798749</v>
      </c>
      <c r="AH33" s="93">
        <f t="shared" si="34"/>
        <v>7.1476435112798749</v>
      </c>
      <c r="AI33" s="93">
        <f t="shared" si="34"/>
        <v>7.1476435112798749</v>
      </c>
      <c r="AJ33" s="93">
        <f t="shared" si="34"/>
        <v>7.1476435112798749</v>
      </c>
      <c r="AK33" s="93">
        <f t="shared" si="34"/>
        <v>7.1476435112798749</v>
      </c>
      <c r="AL33" s="93">
        <f t="shared" si="34"/>
        <v>7.1476435112798749</v>
      </c>
      <c r="AM33" s="93">
        <f t="shared" si="34"/>
        <v>7.1476435112798749</v>
      </c>
      <c r="AN33" s="93">
        <f t="shared" si="34"/>
        <v>7.1476435112798749</v>
      </c>
      <c r="AO33" s="93">
        <f t="shared" si="34"/>
        <v>7.1476435112798749</v>
      </c>
      <c r="AP33" s="93">
        <f t="shared" si="34"/>
        <v>7.1476435112798749</v>
      </c>
      <c r="AQ33" s="93">
        <f t="shared" si="34"/>
        <v>7.1476435112798749</v>
      </c>
      <c r="AR33" s="93">
        <f t="shared" si="34"/>
        <v>7.1476435112798749</v>
      </c>
      <c r="AS33" s="93">
        <f t="shared" si="34"/>
        <v>7.1476435112798749</v>
      </c>
      <c r="AT33" s="93">
        <f t="shared" si="34"/>
        <v>7.1476435112798749</v>
      </c>
      <c r="AU33" s="93">
        <f t="shared" si="34"/>
        <v>7.1476435112798749</v>
      </c>
      <c r="AV33" s="93">
        <f t="shared" si="34"/>
        <v>7.1476435112798749</v>
      </c>
      <c r="AW33" s="93">
        <f t="shared" si="34"/>
        <v>7.1476435112798749</v>
      </c>
      <c r="AX33" s="93">
        <f t="shared" si="34"/>
        <v>7.1476435112798749</v>
      </c>
      <c r="AY33" s="93">
        <f t="shared" si="34"/>
        <v>7.1476435112798749</v>
      </c>
      <c r="AZ33" s="93">
        <f t="shared" si="34"/>
        <v>7.1476435112798749</v>
      </c>
      <c r="BA33" s="93">
        <f t="shared" si="34"/>
        <v>7.1476435112798749</v>
      </c>
      <c r="BB33" s="93">
        <f t="shared" si="34"/>
        <v>7.1476435112798749</v>
      </c>
      <c r="BC33" s="94">
        <f t="shared" si="33"/>
        <v>13.990625000000001</v>
      </c>
      <c r="BD33" s="94">
        <f>IF(AD33=".",".",s_RadSpec!$F$13*(BD13*$B33))</f>
        <v>3.4976562500000004</v>
      </c>
      <c r="BE33" s="94">
        <f>IF(AE33=".",".",s_RadSpec!$F$13*(BE13*$B33))</f>
        <v>3.4976562500000004</v>
      </c>
      <c r="BF33" s="94">
        <f>IF(AF33=".",".",s_RadSpec!$F$13*(BF13*$B33))</f>
        <v>3.4976562500000004</v>
      </c>
      <c r="BG33" s="94">
        <f>IF(AG33=".",".",s_RadSpec!$F$13*(BG13*$B33))</f>
        <v>3.4976562500000004</v>
      </c>
      <c r="BH33" s="94">
        <f>IF(AH33=".",".",s_RadSpec!$F$13*(BH13*$B33))</f>
        <v>3.4976562500000004</v>
      </c>
      <c r="BI33" s="94">
        <f>IF(AI33=".",".",s_RadSpec!$F$13*(BI13*$B33))</f>
        <v>3.4976562500000004</v>
      </c>
      <c r="BJ33" s="94">
        <f>IF(AJ33=".",".",s_RadSpec!$F$13*(BJ13*$B33))</f>
        <v>3.4976562500000004</v>
      </c>
      <c r="BK33" s="94">
        <f>IF(AK33=".",".",s_RadSpec!$F$13*(BK13*$B33))</f>
        <v>3.4976562500000004</v>
      </c>
      <c r="BL33" s="94">
        <f>IF(AL33=".",".",s_RadSpec!$F$13*(BL13*$B33))</f>
        <v>3.4976562500000004</v>
      </c>
      <c r="BM33" s="94">
        <f>IF(AM33=".",".",s_RadSpec!$F$13*(BM13*$B33))</f>
        <v>3.4976562500000004</v>
      </c>
      <c r="BN33" s="94">
        <f>IF(AN33=".",".",s_RadSpec!$F$13*(BN13*$B33))</f>
        <v>3.4976562500000004</v>
      </c>
      <c r="BO33" s="94">
        <f>IF(AO33=".",".",s_RadSpec!$F$13*(BO13*$B33))</f>
        <v>3.4976562500000004</v>
      </c>
      <c r="BP33" s="94">
        <f>IF(AP33=".",".",s_RadSpec!$F$13*(BP13*$B33))</f>
        <v>3.4976562500000004</v>
      </c>
      <c r="BQ33" s="94">
        <f>IF(AQ33=".",".",s_RadSpec!$F$13*(BQ13*$B33))</f>
        <v>3.4976562500000004</v>
      </c>
      <c r="BR33" s="94">
        <f>IF(AR33=".",".",s_RadSpec!$F$13*(BR13*$B33))</f>
        <v>3.4976562500000004</v>
      </c>
      <c r="BS33" s="94">
        <f>IF(AS33=".",".",s_RadSpec!$F$13*(BS13*$B33))</f>
        <v>3.4976562500000004</v>
      </c>
      <c r="BT33" s="94">
        <f>IF(AT33=".",".",s_RadSpec!$F$13*(BT13*$B33))</f>
        <v>3.4976562500000004</v>
      </c>
      <c r="BU33" s="94">
        <f>IF(AU33=".",".",s_RadSpec!$F$13*(BU13*$B33))</f>
        <v>3.4976562500000004</v>
      </c>
      <c r="BV33" s="94">
        <f>IF(AV33=".",".",s_RadSpec!$F$13*(BV13*$B33))</f>
        <v>3.4976562500000004</v>
      </c>
      <c r="BW33" s="94">
        <f>IF(AW33=".",".",s_RadSpec!$F$13*(BW13*$B33))</f>
        <v>3.4976562500000004</v>
      </c>
      <c r="BX33" s="94">
        <f>IF(AX33=".",".",s_RadSpec!$F$13*(BX13*$B33))</f>
        <v>3.4976562500000004</v>
      </c>
      <c r="BY33" s="94">
        <f>IF(AY33=".",".",s_RadSpec!$F$13*(BY13*$B33))</f>
        <v>3.4976562500000004</v>
      </c>
      <c r="BZ33" s="94">
        <f>IF(AZ33=".",".",s_RadSpec!$F$13*(BZ13*$B33))</f>
        <v>3.4976562500000004</v>
      </c>
      <c r="CA33" s="94">
        <f>IF(BA33=".",".",s_RadSpec!$F$13*(CA13*$B33))</f>
        <v>3.4976562500000004</v>
      </c>
      <c r="CB33" s="94">
        <f>IF(BB33=".",".",s_RadSpec!$F$13*(CB13*$B33))</f>
        <v>3.4976562500000004</v>
      </c>
    </row>
    <row r="34" spans="1:80" x14ac:dyDescent="0.25">
      <c r="A34" s="92" t="s">
        <v>1062</v>
      </c>
      <c r="B34" s="84">
        <v>1</v>
      </c>
      <c r="C34" s="93">
        <f t="shared" si="34"/>
        <v>169.21504524810311</v>
      </c>
      <c r="D34" s="93">
        <f t="shared" si="34"/>
        <v>676.86018099241244</v>
      </c>
      <c r="E34" s="93">
        <f t="shared" si="34"/>
        <v>676.86018099241244</v>
      </c>
      <c r="F34" s="93">
        <f t="shared" si="34"/>
        <v>676.86018099241244</v>
      </c>
      <c r="G34" s="93">
        <f t="shared" si="34"/>
        <v>676.86018099241244</v>
      </c>
      <c r="H34" s="93">
        <f t="shared" si="34"/>
        <v>676.86018099241244</v>
      </c>
      <c r="I34" s="93">
        <f t="shared" si="34"/>
        <v>676.86018099241244</v>
      </c>
      <c r="J34" s="93">
        <f t="shared" si="34"/>
        <v>676.86018099241244</v>
      </c>
      <c r="K34" s="93">
        <f t="shared" si="34"/>
        <v>676.86018099241244</v>
      </c>
      <c r="L34" s="93">
        <f t="shared" si="34"/>
        <v>676.86018099241244</v>
      </c>
      <c r="M34" s="93">
        <f t="shared" si="34"/>
        <v>676.86018099241244</v>
      </c>
      <c r="N34" s="93">
        <f t="shared" si="34"/>
        <v>676.86018099241244</v>
      </c>
      <c r="O34" s="93">
        <f t="shared" si="34"/>
        <v>676.86018099241244</v>
      </c>
      <c r="P34" s="93">
        <f t="shared" si="34"/>
        <v>676.86018099241244</v>
      </c>
      <c r="Q34" s="93">
        <f t="shared" si="34"/>
        <v>676.86018099241244</v>
      </c>
      <c r="R34" s="93">
        <f t="shared" si="34"/>
        <v>676.86018099241244</v>
      </c>
      <c r="S34" s="93">
        <f t="shared" si="34"/>
        <v>676.86018099241244</v>
      </c>
      <c r="T34" s="93">
        <f t="shared" si="34"/>
        <v>676.86018099241244</v>
      </c>
      <c r="U34" s="93">
        <f t="shared" si="34"/>
        <v>676.86018099241244</v>
      </c>
      <c r="V34" s="93">
        <f t="shared" si="34"/>
        <v>676.86018099241244</v>
      </c>
      <c r="W34" s="93">
        <f t="shared" si="34"/>
        <v>676.86018099241244</v>
      </c>
      <c r="X34" s="93">
        <f t="shared" si="34"/>
        <v>676.86018099241244</v>
      </c>
      <c r="Y34" s="93">
        <f t="shared" si="34"/>
        <v>676.86018099241244</v>
      </c>
      <c r="Z34" s="93">
        <f t="shared" si="34"/>
        <v>676.86018099241244</v>
      </c>
      <c r="AA34" s="93">
        <f t="shared" si="34"/>
        <v>676.86018099241244</v>
      </c>
      <c r="AB34" s="93">
        <f t="shared" si="34"/>
        <v>676.86018099241244</v>
      </c>
      <c r="AC34" s="93">
        <f t="shared" si="34"/>
        <v>169.21504524810311</v>
      </c>
      <c r="AD34" s="93">
        <f t="shared" si="34"/>
        <v>676.86018099241244</v>
      </c>
      <c r="AE34" s="93">
        <f t="shared" si="34"/>
        <v>676.86018099241244</v>
      </c>
      <c r="AF34" s="93">
        <f t="shared" si="34"/>
        <v>676.86018099241244</v>
      </c>
      <c r="AG34" s="93">
        <f t="shared" si="34"/>
        <v>676.86018099241244</v>
      </c>
      <c r="AH34" s="93">
        <f t="shared" si="34"/>
        <v>676.86018099241244</v>
      </c>
      <c r="AI34" s="93">
        <f t="shared" si="34"/>
        <v>676.86018099241244</v>
      </c>
      <c r="AJ34" s="93">
        <f t="shared" si="34"/>
        <v>676.86018099241244</v>
      </c>
      <c r="AK34" s="93">
        <f t="shared" si="34"/>
        <v>676.86018099241244</v>
      </c>
      <c r="AL34" s="93">
        <f t="shared" si="34"/>
        <v>676.86018099241244</v>
      </c>
      <c r="AM34" s="93">
        <f t="shared" si="34"/>
        <v>676.86018099241244</v>
      </c>
      <c r="AN34" s="93">
        <f t="shared" si="34"/>
        <v>676.86018099241244</v>
      </c>
      <c r="AO34" s="93">
        <f t="shared" si="34"/>
        <v>676.86018099241244</v>
      </c>
      <c r="AP34" s="93">
        <f t="shared" si="34"/>
        <v>676.86018099241244</v>
      </c>
      <c r="AQ34" s="93">
        <f t="shared" si="34"/>
        <v>676.86018099241244</v>
      </c>
      <c r="AR34" s="93">
        <f t="shared" si="34"/>
        <v>676.86018099241244</v>
      </c>
      <c r="AS34" s="93">
        <f t="shared" si="34"/>
        <v>676.86018099241244</v>
      </c>
      <c r="AT34" s="93">
        <f t="shared" si="34"/>
        <v>676.86018099241244</v>
      </c>
      <c r="AU34" s="93">
        <f t="shared" si="34"/>
        <v>676.86018099241244</v>
      </c>
      <c r="AV34" s="93">
        <f t="shared" si="34"/>
        <v>676.86018099241244</v>
      </c>
      <c r="AW34" s="93">
        <f t="shared" si="34"/>
        <v>676.86018099241244</v>
      </c>
      <c r="AX34" s="93">
        <f t="shared" si="34"/>
        <v>676.86018099241244</v>
      </c>
      <c r="AY34" s="93">
        <f t="shared" si="34"/>
        <v>676.86018099241244</v>
      </c>
      <c r="AZ34" s="93">
        <f t="shared" si="34"/>
        <v>676.86018099241244</v>
      </c>
      <c r="BA34" s="93">
        <f t="shared" si="34"/>
        <v>676.86018099241244</v>
      </c>
      <c r="BB34" s="93">
        <f t="shared" si="34"/>
        <v>676.86018099241244</v>
      </c>
      <c r="BC34" s="94">
        <f t="shared" si="33"/>
        <v>0.14774100000000001</v>
      </c>
      <c r="BD34" s="94">
        <f>IF(AD34=".",".",s_RadSpec!$F$14*(BD14*$B34))</f>
        <v>3.6935250000000003E-2</v>
      </c>
      <c r="BE34" s="94">
        <f>IF(AE34=".",".",s_RadSpec!$F$14*(BE14*$B34))</f>
        <v>3.6935250000000003E-2</v>
      </c>
      <c r="BF34" s="94">
        <f>IF(AF34=".",".",s_RadSpec!$F$14*(BF14*$B34))</f>
        <v>3.6935250000000003E-2</v>
      </c>
      <c r="BG34" s="94">
        <f>IF(AG34=".",".",s_RadSpec!$F$14*(BG14*$B34))</f>
        <v>3.6935250000000003E-2</v>
      </c>
      <c r="BH34" s="94">
        <f>IF(AH34=".",".",s_RadSpec!$F$14*(BH14*$B34))</f>
        <v>3.6935250000000003E-2</v>
      </c>
      <c r="BI34" s="94">
        <f>IF(AI34=".",".",s_RadSpec!$F$14*(BI14*$B34))</f>
        <v>3.6935250000000003E-2</v>
      </c>
      <c r="BJ34" s="94">
        <f>IF(AJ34=".",".",s_RadSpec!$F$14*(BJ14*$B34))</f>
        <v>3.6935250000000003E-2</v>
      </c>
      <c r="BK34" s="94">
        <f>IF(AK34=".",".",s_RadSpec!$F$14*(BK14*$B34))</f>
        <v>3.6935250000000003E-2</v>
      </c>
      <c r="BL34" s="94">
        <f>IF(AL34=".",".",s_RadSpec!$F$14*(BL14*$B34))</f>
        <v>3.6935250000000003E-2</v>
      </c>
      <c r="BM34" s="94">
        <f>IF(AM34=".",".",s_RadSpec!$F$14*(BM14*$B34))</f>
        <v>3.6935250000000003E-2</v>
      </c>
      <c r="BN34" s="94">
        <f>IF(AN34=".",".",s_RadSpec!$F$14*(BN14*$B34))</f>
        <v>3.6935250000000003E-2</v>
      </c>
      <c r="BO34" s="94">
        <f>IF(AO34=".",".",s_RadSpec!$F$14*(BO14*$B34))</f>
        <v>3.6935250000000003E-2</v>
      </c>
      <c r="BP34" s="94">
        <f>IF(AP34=".",".",s_RadSpec!$F$14*(BP14*$B34))</f>
        <v>3.6935250000000003E-2</v>
      </c>
      <c r="BQ34" s="94">
        <f>IF(AQ34=".",".",s_RadSpec!$F$14*(BQ14*$B34))</f>
        <v>3.6935250000000003E-2</v>
      </c>
      <c r="BR34" s="94">
        <f>IF(AR34=".",".",s_RadSpec!$F$14*(BR14*$B34))</f>
        <v>3.6935250000000003E-2</v>
      </c>
      <c r="BS34" s="94">
        <f>IF(AS34=".",".",s_RadSpec!$F$14*(BS14*$B34))</f>
        <v>3.6935250000000003E-2</v>
      </c>
      <c r="BT34" s="94">
        <f>IF(AT34=".",".",s_RadSpec!$F$14*(BT14*$B34))</f>
        <v>3.6935250000000003E-2</v>
      </c>
      <c r="BU34" s="94">
        <f>IF(AU34=".",".",s_RadSpec!$F$14*(BU14*$B34))</f>
        <v>3.6935250000000003E-2</v>
      </c>
      <c r="BV34" s="94">
        <f>IF(AV34=".",".",s_RadSpec!$F$14*(BV14*$B34))</f>
        <v>3.6935250000000003E-2</v>
      </c>
      <c r="BW34" s="94">
        <f>IF(AW34=".",".",s_RadSpec!$F$14*(BW14*$B34))</f>
        <v>3.6935250000000003E-2</v>
      </c>
      <c r="BX34" s="94">
        <f>IF(AX34=".",".",s_RadSpec!$F$14*(BX14*$B34))</f>
        <v>3.6935250000000003E-2</v>
      </c>
      <c r="BY34" s="94">
        <f>IF(AY34=".",".",s_RadSpec!$F$14*(BY14*$B34))</f>
        <v>3.6935250000000003E-2</v>
      </c>
      <c r="BZ34" s="94">
        <f>IF(AZ34=".",".",s_RadSpec!$F$14*(BZ14*$B34))</f>
        <v>3.6935250000000003E-2</v>
      </c>
      <c r="CA34" s="94">
        <f>IF(BA34=".",".",s_RadSpec!$F$14*(CA14*$B34))</f>
        <v>3.6935250000000003E-2</v>
      </c>
      <c r="CB34" s="94">
        <f>IF(BB34=".",".",s_RadSpec!$F$14*(CB14*$B34))</f>
        <v>3.6935250000000003E-2</v>
      </c>
    </row>
    <row r="35" spans="1:80" x14ac:dyDescent="0.25">
      <c r="A35" s="92" t="s">
        <v>1063</v>
      </c>
      <c r="B35" s="84">
        <v>1</v>
      </c>
      <c r="C35" s="93">
        <f t="shared" ref="C35:AH35" si="35">IFERROR(C30/$B35,".")</f>
        <v>3.7103631183969448</v>
      </c>
      <c r="D35" s="93">
        <f t="shared" si="35"/>
        <v>14.841452473587779</v>
      </c>
      <c r="E35" s="93">
        <f t="shared" si="35"/>
        <v>14.841452473587779</v>
      </c>
      <c r="F35" s="93">
        <f t="shared" si="35"/>
        <v>14.841452473587779</v>
      </c>
      <c r="G35" s="93">
        <f t="shared" si="35"/>
        <v>14.841452473587779</v>
      </c>
      <c r="H35" s="93">
        <f t="shared" si="35"/>
        <v>14.841452473587779</v>
      </c>
      <c r="I35" s="93">
        <f t="shared" si="35"/>
        <v>14.841452473587779</v>
      </c>
      <c r="J35" s="93">
        <f t="shared" si="35"/>
        <v>14.841452473587779</v>
      </c>
      <c r="K35" s="93">
        <f t="shared" si="35"/>
        <v>14.841452473587779</v>
      </c>
      <c r="L35" s="93">
        <f t="shared" si="35"/>
        <v>14.841452473587779</v>
      </c>
      <c r="M35" s="93">
        <f t="shared" si="35"/>
        <v>14.841452473587779</v>
      </c>
      <c r="N35" s="93">
        <f t="shared" si="35"/>
        <v>14.841452473587779</v>
      </c>
      <c r="O35" s="93">
        <f t="shared" si="35"/>
        <v>14.841452473587779</v>
      </c>
      <c r="P35" s="93">
        <f t="shared" si="35"/>
        <v>14.841452473587779</v>
      </c>
      <c r="Q35" s="93">
        <f t="shared" si="35"/>
        <v>14.841452473587779</v>
      </c>
      <c r="R35" s="93">
        <f t="shared" si="35"/>
        <v>14.841452473587779</v>
      </c>
      <c r="S35" s="93">
        <f t="shared" si="35"/>
        <v>14.841452473587779</v>
      </c>
      <c r="T35" s="93">
        <f t="shared" si="35"/>
        <v>14.841452473587779</v>
      </c>
      <c r="U35" s="93">
        <f t="shared" si="35"/>
        <v>14.841452473587779</v>
      </c>
      <c r="V35" s="93">
        <f t="shared" si="35"/>
        <v>14.841452473587779</v>
      </c>
      <c r="W35" s="93">
        <f t="shared" si="35"/>
        <v>14.841452473587779</v>
      </c>
      <c r="X35" s="93">
        <f t="shared" si="35"/>
        <v>14.841452473587779</v>
      </c>
      <c r="Y35" s="93">
        <f t="shared" si="35"/>
        <v>14.841452473587779</v>
      </c>
      <c r="Z35" s="93">
        <f t="shared" si="35"/>
        <v>14.841452473587779</v>
      </c>
      <c r="AA35" s="93">
        <f t="shared" si="35"/>
        <v>14.841452473587779</v>
      </c>
      <c r="AB35" s="93">
        <f t="shared" si="35"/>
        <v>14.841452473587779</v>
      </c>
      <c r="AC35" s="93">
        <f t="shared" si="35"/>
        <v>3.7103631183969448</v>
      </c>
      <c r="AD35" s="93">
        <f t="shared" si="35"/>
        <v>14.841452473587779</v>
      </c>
      <c r="AE35" s="93">
        <f t="shared" si="35"/>
        <v>14.841452473587779</v>
      </c>
      <c r="AF35" s="93">
        <f t="shared" si="35"/>
        <v>14.841452473587779</v>
      </c>
      <c r="AG35" s="93">
        <f t="shared" si="35"/>
        <v>14.841452473587779</v>
      </c>
      <c r="AH35" s="93">
        <f t="shared" si="35"/>
        <v>14.841452473587779</v>
      </c>
      <c r="AI35" s="93">
        <f t="shared" ref="AI35:BB35" si="36">IFERROR(AI30/$B35,".")</f>
        <v>14.841452473587779</v>
      </c>
      <c r="AJ35" s="93">
        <f t="shared" si="36"/>
        <v>14.841452473587779</v>
      </c>
      <c r="AK35" s="93">
        <f t="shared" si="36"/>
        <v>14.841452473587779</v>
      </c>
      <c r="AL35" s="93">
        <f t="shared" si="36"/>
        <v>14.841452473587779</v>
      </c>
      <c r="AM35" s="93">
        <f t="shared" si="36"/>
        <v>14.841452473587779</v>
      </c>
      <c r="AN35" s="93">
        <f t="shared" si="36"/>
        <v>14.841452473587779</v>
      </c>
      <c r="AO35" s="93">
        <f t="shared" si="36"/>
        <v>14.841452473587779</v>
      </c>
      <c r="AP35" s="93">
        <f t="shared" si="36"/>
        <v>14.841452473587779</v>
      </c>
      <c r="AQ35" s="93">
        <f t="shared" si="36"/>
        <v>14.841452473587779</v>
      </c>
      <c r="AR35" s="93">
        <f t="shared" si="36"/>
        <v>14.841452473587779</v>
      </c>
      <c r="AS35" s="93">
        <f t="shared" si="36"/>
        <v>14.841452473587779</v>
      </c>
      <c r="AT35" s="93">
        <f t="shared" si="36"/>
        <v>14.841452473587779</v>
      </c>
      <c r="AU35" s="93">
        <f t="shared" si="36"/>
        <v>14.841452473587779</v>
      </c>
      <c r="AV35" s="93">
        <f t="shared" si="36"/>
        <v>14.841452473587779</v>
      </c>
      <c r="AW35" s="93">
        <f t="shared" si="36"/>
        <v>14.841452473587779</v>
      </c>
      <c r="AX35" s="93">
        <f t="shared" si="36"/>
        <v>14.841452473587779</v>
      </c>
      <c r="AY35" s="93">
        <f t="shared" si="36"/>
        <v>14.841452473587779</v>
      </c>
      <c r="AZ35" s="93">
        <f t="shared" si="36"/>
        <v>14.841452473587779</v>
      </c>
      <c r="BA35" s="93">
        <f t="shared" si="36"/>
        <v>14.841452473587779</v>
      </c>
      <c r="BB35" s="93">
        <f t="shared" si="36"/>
        <v>14.841452473587779</v>
      </c>
      <c r="BC35" s="94">
        <f t="shared" si="33"/>
        <v>6.7378850000000003</v>
      </c>
      <c r="BD35" s="94">
        <f>IF(AD35=".",".",s_RadSpec!$F$30*(BD30*$B35))</f>
        <v>1.6844712500000001</v>
      </c>
      <c r="BE35" s="94">
        <f>IF(AE35=".",".",s_RadSpec!$F$30*(BE30*$B35))</f>
        <v>1.6844712500000001</v>
      </c>
      <c r="BF35" s="94">
        <f>IF(AF35=".",".",s_RadSpec!$F$30*(BF30*$B35))</f>
        <v>1.6844712500000001</v>
      </c>
      <c r="BG35" s="94">
        <f>IF(AG35=".",".",s_RadSpec!$F$30*(BG30*$B35))</f>
        <v>1.6844712500000001</v>
      </c>
      <c r="BH35" s="94">
        <f>IF(AH35=".",".",s_RadSpec!$F$30*(BH30*$B35))</f>
        <v>1.6844712500000001</v>
      </c>
      <c r="BI35" s="94">
        <f>IF(AI35=".",".",s_RadSpec!$F$30*(BI30*$B35))</f>
        <v>1.6844712500000001</v>
      </c>
      <c r="BJ35" s="94">
        <f>IF(AJ35=".",".",s_RadSpec!$F$30*(BJ30*$B35))</f>
        <v>1.6844712500000001</v>
      </c>
      <c r="BK35" s="94">
        <f>IF(AK35=".",".",s_RadSpec!$F$30*(BK30*$B35))</f>
        <v>1.6844712500000001</v>
      </c>
      <c r="BL35" s="94">
        <f>IF(AL35=".",".",s_RadSpec!$F$30*(BL30*$B35))</f>
        <v>1.6844712500000001</v>
      </c>
      <c r="BM35" s="94">
        <f>IF(AM35=".",".",s_RadSpec!$F$30*(BM30*$B35))</f>
        <v>1.6844712500000001</v>
      </c>
      <c r="BN35" s="94">
        <f>IF(AN35=".",".",s_RadSpec!$F$30*(BN30*$B35))</f>
        <v>1.6844712500000001</v>
      </c>
      <c r="BO35" s="94">
        <f>IF(AO35=".",".",s_RadSpec!$F$30*(BO30*$B35))</f>
        <v>1.6844712500000001</v>
      </c>
      <c r="BP35" s="94">
        <f>IF(AP35=".",".",s_RadSpec!$F$30*(BP30*$B35))</f>
        <v>1.6844712500000001</v>
      </c>
      <c r="BQ35" s="94">
        <f>IF(AQ35=".",".",s_RadSpec!$F$30*(BQ30*$B35))</f>
        <v>1.6844712500000001</v>
      </c>
      <c r="BR35" s="94">
        <f>IF(AR35=".",".",s_RadSpec!$F$30*(BR30*$B35))</f>
        <v>1.6844712500000001</v>
      </c>
      <c r="BS35" s="94">
        <f>IF(AS35=".",".",s_RadSpec!$F$30*(BS30*$B35))</f>
        <v>1.6844712500000001</v>
      </c>
      <c r="BT35" s="94">
        <f>IF(AT35=".",".",s_RadSpec!$F$30*(BT30*$B35))</f>
        <v>1.6844712500000001</v>
      </c>
      <c r="BU35" s="94">
        <f>IF(AU35=".",".",s_RadSpec!$F$30*(BU30*$B35))</f>
        <v>1.6844712500000001</v>
      </c>
      <c r="BV35" s="94">
        <f>IF(AV35=".",".",s_RadSpec!$F$30*(BV30*$B35))</f>
        <v>1.6844712500000001</v>
      </c>
      <c r="BW35" s="94">
        <f>IF(AW35=".",".",s_RadSpec!$F$30*(BW30*$B35))</f>
        <v>1.6844712500000001</v>
      </c>
      <c r="BX35" s="94">
        <f>IF(AX35=".",".",s_RadSpec!$F$30*(BX30*$B35))</f>
        <v>1.6844712500000001</v>
      </c>
      <c r="BY35" s="94">
        <f>IF(AY35=".",".",s_RadSpec!$F$30*(BY30*$B35))</f>
        <v>1.6844712500000001</v>
      </c>
      <c r="BZ35" s="94">
        <f>IF(AZ35=".",".",s_RadSpec!$F$30*(BZ30*$B35))</f>
        <v>1.6844712500000001</v>
      </c>
      <c r="CA35" s="94">
        <f>IF(BA35=".",".",s_RadSpec!$F$30*(CA30*$B35))</f>
        <v>1.6844712500000001</v>
      </c>
      <c r="CB35" s="94">
        <f>IF(BB35=".",".",s_RadSpec!$F$30*(CB30*$B35))</f>
        <v>1.6844712500000001</v>
      </c>
    </row>
    <row r="36" spans="1:80" x14ac:dyDescent="0.25">
      <c r="A36" s="92" t="s">
        <v>1064</v>
      </c>
      <c r="B36" s="84">
        <v>1</v>
      </c>
      <c r="C36" s="93">
        <f t="shared" ref="C36:AH36" si="37">IFERROR(C26/$B36,".")</f>
        <v>0.36677152664613477</v>
      </c>
      <c r="D36" s="93">
        <f t="shared" si="37"/>
        <v>1.4670861065845391</v>
      </c>
      <c r="E36" s="93">
        <f t="shared" si="37"/>
        <v>1.4670861065845391</v>
      </c>
      <c r="F36" s="93">
        <f t="shared" si="37"/>
        <v>1.4670861065845391</v>
      </c>
      <c r="G36" s="93">
        <f t="shared" si="37"/>
        <v>1.4670861065845391</v>
      </c>
      <c r="H36" s="93">
        <f t="shared" si="37"/>
        <v>1.4670861065845391</v>
      </c>
      <c r="I36" s="93">
        <f t="shared" si="37"/>
        <v>1.4670861065845391</v>
      </c>
      <c r="J36" s="93">
        <f t="shared" si="37"/>
        <v>1.4670861065845391</v>
      </c>
      <c r="K36" s="93">
        <f t="shared" si="37"/>
        <v>1.4670861065845391</v>
      </c>
      <c r="L36" s="93">
        <f t="shared" si="37"/>
        <v>1.4670861065845391</v>
      </c>
      <c r="M36" s="93">
        <f t="shared" si="37"/>
        <v>1.4670861065845391</v>
      </c>
      <c r="N36" s="93">
        <f t="shared" si="37"/>
        <v>1.4670861065845391</v>
      </c>
      <c r="O36" s="93">
        <f t="shared" si="37"/>
        <v>1.4670861065845391</v>
      </c>
      <c r="P36" s="93">
        <f t="shared" si="37"/>
        <v>1.4670861065845391</v>
      </c>
      <c r="Q36" s="93">
        <f t="shared" si="37"/>
        <v>1.4670861065845391</v>
      </c>
      <c r="R36" s="93">
        <f t="shared" si="37"/>
        <v>1.4670861065845391</v>
      </c>
      <c r="S36" s="93">
        <f t="shared" si="37"/>
        <v>1.4670861065845391</v>
      </c>
      <c r="T36" s="93">
        <f t="shared" si="37"/>
        <v>1.4670861065845391</v>
      </c>
      <c r="U36" s="93">
        <f t="shared" si="37"/>
        <v>1.4670861065845391</v>
      </c>
      <c r="V36" s="93">
        <f t="shared" si="37"/>
        <v>1.4670861065845391</v>
      </c>
      <c r="W36" s="93">
        <f t="shared" si="37"/>
        <v>1.4670861065845391</v>
      </c>
      <c r="X36" s="93">
        <f t="shared" si="37"/>
        <v>1.4670861065845391</v>
      </c>
      <c r="Y36" s="93">
        <f t="shared" si="37"/>
        <v>1.4670861065845391</v>
      </c>
      <c r="Z36" s="93">
        <f t="shared" si="37"/>
        <v>1.4670861065845391</v>
      </c>
      <c r="AA36" s="93">
        <f t="shared" si="37"/>
        <v>1.4670861065845391</v>
      </c>
      <c r="AB36" s="93">
        <f t="shared" si="37"/>
        <v>1.4670861065845391</v>
      </c>
      <c r="AC36" s="93">
        <f t="shared" si="37"/>
        <v>0.36677152664613477</v>
      </c>
      <c r="AD36" s="93">
        <f t="shared" si="37"/>
        <v>1.4670861065845391</v>
      </c>
      <c r="AE36" s="93">
        <f t="shared" si="37"/>
        <v>1.4670861065845391</v>
      </c>
      <c r="AF36" s="93">
        <f t="shared" si="37"/>
        <v>1.4670861065845391</v>
      </c>
      <c r="AG36" s="93">
        <f t="shared" si="37"/>
        <v>1.4670861065845391</v>
      </c>
      <c r="AH36" s="93">
        <f t="shared" si="37"/>
        <v>1.4670861065845391</v>
      </c>
      <c r="AI36" s="93">
        <f t="shared" ref="AI36:BB36" si="38">IFERROR(AI26/$B36,".")</f>
        <v>1.4670861065845391</v>
      </c>
      <c r="AJ36" s="93">
        <f t="shared" si="38"/>
        <v>1.4670861065845391</v>
      </c>
      <c r="AK36" s="93">
        <f t="shared" si="38"/>
        <v>1.4670861065845391</v>
      </c>
      <c r="AL36" s="93">
        <f t="shared" si="38"/>
        <v>1.4670861065845391</v>
      </c>
      <c r="AM36" s="93">
        <f t="shared" si="38"/>
        <v>1.4670861065845391</v>
      </c>
      <c r="AN36" s="93">
        <f t="shared" si="38"/>
        <v>1.4670861065845391</v>
      </c>
      <c r="AO36" s="93">
        <f t="shared" si="38"/>
        <v>1.4670861065845391</v>
      </c>
      <c r="AP36" s="93">
        <f t="shared" si="38"/>
        <v>1.4670861065845391</v>
      </c>
      <c r="AQ36" s="93">
        <f t="shared" si="38"/>
        <v>1.4670861065845391</v>
      </c>
      <c r="AR36" s="93">
        <f t="shared" si="38"/>
        <v>1.4670861065845391</v>
      </c>
      <c r="AS36" s="93">
        <f t="shared" si="38"/>
        <v>1.4670861065845391</v>
      </c>
      <c r="AT36" s="93">
        <f t="shared" si="38"/>
        <v>1.4670861065845391</v>
      </c>
      <c r="AU36" s="93">
        <f t="shared" si="38"/>
        <v>1.4670861065845391</v>
      </c>
      <c r="AV36" s="93">
        <f t="shared" si="38"/>
        <v>1.4670861065845391</v>
      </c>
      <c r="AW36" s="93">
        <f t="shared" si="38"/>
        <v>1.4670861065845391</v>
      </c>
      <c r="AX36" s="93">
        <f t="shared" si="38"/>
        <v>1.4670861065845391</v>
      </c>
      <c r="AY36" s="93">
        <f t="shared" si="38"/>
        <v>1.4670861065845391</v>
      </c>
      <c r="AZ36" s="93">
        <f t="shared" si="38"/>
        <v>1.4670861065845391</v>
      </c>
      <c r="BA36" s="93">
        <f t="shared" si="38"/>
        <v>1.4670861065845391</v>
      </c>
      <c r="BB36" s="93">
        <f t="shared" si="38"/>
        <v>1.4670861065845391</v>
      </c>
      <c r="BC36" s="94">
        <f t="shared" si="33"/>
        <v>68.16232500000001</v>
      </c>
      <c r="BD36" s="94">
        <f>IF(AD36=".",".",s_RadSpec!$F$26*(BD26*$B36))</f>
        <v>17.040581250000002</v>
      </c>
      <c r="BE36" s="94">
        <f>IF(AE36=".",".",s_RadSpec!$F$26*(BE26*$B36))</f>
        <v>17.040581250000002</v>
      </c>
      <c r="BF36" s="94">
        <f>IF(AF36=".",".",s_RadSpec!$F$26*(BF26*$B36))</f>
        <v>17.040581250000002</v>
      </c>
      <c r="BG36" s="94">
        <f>IF(AG36=".",".",s_RadSpec!$F$26*(BG26*$B36))</f>
        <v>17.040581250000002</v>
      </c>
      <c r="BH36" s="94">
        <f>IF(AH36=".",".",s_RadSpec!$F$26*(BH26*$B36))</f>
        <v>17.040581250000002</v>
      </c>
      <c r="BI36" s="94">
        <f>IF(AI36=".",".",s_RadSpec!$F$26*(BI26*$B36))</f>
        <v>17.040581250000002</v>
      </c>
      <c r="BJ36" s="94">
        <f>IF(AJ36=".",".",s_RadSpec!$F$26*(BJ26*$B36))</f>
        <v>17.040581250000002</v>
      </c>
      <c r="BK36" s="94">
        <f>IF(AK36=".",".",s_RadSpec!$F$26*(BK26*$B36))</f>
        <v>17.040581250000002</v>
      </c>
      <c r="BL36" s="94">
        <f>IF(AL36=".",".",s_RadSpec!$F$26*(BL26*$B36))</f>
        <v>17.040581250000002</v>
      </c>
      <c r="BM36" s="94">
        <f>IF(AM36=".",".",s_RadSpec!$F$26*(BM26*$B36))</f>
        <v>17.040581250000002</v>
      </c>
      <c r="BN36" s="94">
        <f>IF(AN36=".",".",s_RadSpec!$F$26*(BN26*$B36))</f>
        <v>17.040581250000002</v>
      </c>
      <c r="BO36" s="94">
        <f>IF(AO36=".",".",s_RadSpec!$F$26*(BO26*$B36))</f>
        <v>17.040581250000002</v>
      </c>
      <c r="BP36" s="94">
        <f>IF(AP36=".",".",s_RadSpec!$F$26*(BP26*$B36))</f>
        <v>17.040581250000002</v>
      </c>
      <c r="BQ36" s="94">
        <f>IF(AQ36=".",".",s_RadSpec!$F$26*(BQ26*$B36))</f>
        <v>17.040581250000002</v>
      </c>
      <c r="BR36" s="94">
        <f>IF(AR36=".",".",s_RadSpec!$F$26*(BR26*$B36))</f>
        <v>17.040581250000002</v>
      </c>
      <c r="BS36" s="94">
        <f>IF(AS36=".",".",s_RadSpec!$F$26*(BS26*$B36))</f>
        <v>17.040581250000002</v>
      </c>
      <c r="BT36" s="94">
        <f>IF(AT36=".",".",s_RadSpec!$F$26*(BT26*$B36))</f>
        <v>17.040581250000002</v>
      </c>
      <c r="BU36" s="94">
        <f>IF(AU36=".",".",s_RadSpec!$F$26*(BU26*$B36))</f>
        <v>17.040581250000002</v>
      </c>
      <c r="BV36" s="94">
        <f>IF(AV36=".",".",s_RadSpec!$F$26*(BV26*$B36))</f>
        <v>17.040581250000002</v>
      </c>
      <c r="BW36" s="94">
        <f>IF(AW36=".",".",s_RadSpec!$F$26*(BW26*$B36))</f>
        <v>17.040581250000002</v>
      </c>
      <c r="BX36" s="94">
        <f>IF(AX36=".",".",s_RadSpec!$F$26*(BX26*$B36))</f>
        <v>17.040581250000002</v>
      </c>
      <c r="BY36" s="94">
        <f>IF(AY36=".",".",s_RadSpec!$F$26*(BY26*$B36))</f>
        <v>17.040581250000002</v>
      </c>
      <c r="BZ36" s="94">
        <f>IF(AZ36=".",".",s_RadSpec!$F$26*(BZ26*$B36))</f>
        <v>17.040581250000002</v>
      </c>
      <c r="CA36" s="94">
        <f>IF(BA36=".",".",s_RadSpec!$F$26*(CA26*$B36))</f>
        <v>17.040581250000002</v>
      </c>
      <c r="CB36" s="94">
        <f>IF(BB36=".",".",s_RadSpec!$F$26*(CB26*$B36))</f>
        <v>17.040581250000002</v>
      </c>
    </row>
    <row r="37" spans="1:80" x14ac:dyDescent="0.25">
      <c r="A37" s="92" t="s">
        <v>1065</v>
      </c>
      <c r="B37" s="84">
        <v>1</v>
      </c>
      <c r="C37" s="93">
        <f t="shared" ref="C37:AH37" si="39">IFERROR(C22/$B37,".")</f>
        <v>0.9385036123004038</v>
      </c>
      <c r="D37" s="93">
        <f t="shared" si="39"/>
        <v>3.7540144492016148</v>
      </c>
      <c r="E37" s="93">
        <f t="shared" si="39"/>
        <v>3.7540144492016148</v>
      </c>
      <c r="F37" s="93">
        <f t="shared" si="39"/>
        <v>3.7540144492016148</v>
      </c>
      <c r="G37" s="93">
        <f t="shared" si="39"/>
        <v>3.7540144492016148</v>
      </c>
      <c r="H37" s="93">
        <f t="shared" si="39"/>
        <v>3.7540144492016148</v>
      </c>
      <c r="I37" s="93">
        <f t="shared" si="39"/>
        <v>3.7540144492016148</v>
      </c>
      <c r="J37" s="93">
        <f t="shared" si="39"/>
        <v>3.7540144492016148</v>
      </c>
      <c r="K37" s="93">
        <f t="shared" si="39"/>
        <v>3.7540144492016148</v>
      </c>
      <c r="L37" s="93">
        <f t="shared" si="39"/>
        <v>3.7540144492016148</v>
      </c>
      <c r="M37" s="93">
        <f t="shared" si="39"/>
        <v>3.7540144492016148</v>
      </c>
      <c r="N37" s="93">
        <f t="shared" si="39"/>
        <v>3.7540144492016148</v>
      </c>
      <c r="O37" s="93">
        <f t="shared" si="39"/>
        <v>3.7540144492016148</v>
      </c>
      <c r="P37" s="93">
        <f t="shared" si="39"/>
        <v>3.7540144492016148</v>
      </c>
      <c r="Q37" s="93">
        <f t="shared" si="39"/>
        <v>3.7540144492016148</v>
      </c>
      <c r="R37" s="93">
        <f t="shared" si="39"/>
        <v>3.7540144492016148</v>
      </c>
      <c r="S37" s="93">
        <f t="shared" si="39"/>
        <v>3.7540144492016148</v>
      </c>
      <c r="T37" s="93">
        <f t="shared" si="39"/>
        <v>3.7540144492016148</v>
      </c>
      <c r="U37" s="93">
        <f t="shared" si="39"/>
        <v>3.7540144492016148</v>
      </c>
      <c r="V37" s="93">
        <f t="shared" si="39"/>
        <v>3.7540144492016148</v>
      </c>
      <c r="W37" s="93">
        <f t="shared" si="39"/>
        <v>3.7540144492016148</v>
      </c>
      <c r="X37" s="93">
        <f t="shared" si="39"/>
        <v>3.7540144492016148</v>
      </c>
      <c r="Y37" s="93">
        <f t="shared" si="39"/>
        <v>3.7540144492016148</v>
      </c>
      <c r="Z37" s="93">
        <f t="shared" si="39"/>
        <v>3.7540144492016148</v>
      </c>
      <c r="AA37" s="93">
        <f t="shared" si="39"/>
        <v>3.7540144492016148</v>
      </c>
      <c r="AB37" s="93">
        <f t="shared" si="39"/>
        <v>3.7540144492016148</v>
      </c>
      <c r="AC37" s="93">
        <f t="shared" si="39"/>
        <v>0.9385036123004038</v>
      </c>
      <c r="AD37" s="93">
        <f t="shared" si="39"/>
        <v>3.7540144492016148</v>
      </c>
      <c r="AE37" s="93">
        <f t="shared" si="39"/>
        <v>3.7540144492016148</v>
      </c>
      <c r="AF37" s="93">
        <f t="shared" si="39"/>
        <v>3.7540144492016148</v>
      </c>
      <c r="AG37" s="93">
        <f t="shared" si="39"/>
        <v>3.7540144492016148</v>
      </c>
      <c r="AH37" s="93">
        <f t="shared" si="39"/>
        <v>3.7540144492016148</v>
      </c>
      <c r="AI37" s="93">
        <f t="shared" ref="AI37:BB37" si="40">IFERROR(AI22/$B37,".")</f>
        <v>3.7540144492016148</v>
      </c>
      <c r="AJ37" s="93">
        <f t="shared" si="40"/>
        <v>3.7540144492016148</v>
      </c>
      <c r="AK37" s="93">
        <f t="shared" si="40"/>
        <v>3.7540144492016148</v>
      </c>
      <c r="AL37" s="93">
        <f t="shared" si="40"/>
        <v>3.7540144492016148</v>
      </c>
      <c r="AM37" s="93">
        <f t="shared" si="40"/>
        <v>3.7540144492016148</v>
      </c>
      <c r="AN37" s="93">
        <f t="shared" si="40"/>
        <v>3.7540144492016148</v>
      </c>
      <c r="AO37" s="93">
        <f t="shared" si="40"/>
        <v>3.7540144492016148</v>
      </c>
      <c r="AP37" s="93">
        <f t="shared" si="40"/>
        <v>3.7540144492016148</v>
      </c>
      <c r="AQ37" s="93">
        <f t="shared" si="40"/>
        <v>3.7540144492016148</v>
      </c>
      <c r="AR37" s="93">
        <f t="shared" si="40"/>
        <v>3.7540144492016148</v>
      </c>
      <c r="AS37" s="93">
        <f t="shared" si="40"/>
        <v>3.7540144492016148</v>
      </c>
      <c r="AT37" s="93">
        <f t="shared" si="40"/>
        <v>3.7540144492016148</v>
      </c>
      <c r="AU37" s="93">
        <f t="shared" si="40"/>
        <v>3.7540144492016148</v>
      </c>
      <c r="AV37" s="93">
        <f t="shared" si="40"/>
        <v>3.7540144492016148</v>
      </c>
      <c r="AW37" s="93">
        <f t="shared" si="40"/>
        <v>3.7540144492016148</v>
      </c>
      <c r="AX37" s="93">
        <f t="shared" si="40"/>
        <v>3.7540144492016148</v>
      </c>
      <c r="AY37" s="93">
        <f t="shared" si="40"/>
        <v>3.7540144492016148</v>
      </c>
      <c r="AZ37" s="93">
        <f t="shared" si="40"/>
        <v>3.7540144492016148</v>
      </c>
      <c r="BA37" s="93">
        <f t="shared" si="40"/>
        <v>3.7540144492016148</v>
      </c>
      <c r="BB37" s="93">
        <f t="shared" si="40"/>
        <v>3.7540144492016148</v>
      </c>
      <c r="BC37" s="94">
        <f t="shared" si="33"/>
        <v>26.638150000000003</v>
      </c>
      <c r="BD37" s="94">
        <f>IF(AD37=".",".",s_RadSpec!$F$22*(BD22*$B37))</f>
        <v>6.6595375000000008</v>
      </c>
      <c r="BE37" s="94">
        <f>IF(AE37=".",".",s_RadSpec!$F$22*(BE22*$B37))</f>
        <v>6.6595375000000008</v>
      </c>
      <c r="BF37" s="94">
        <f>IF(AF37=".",".",s_RadSpec!$F$22*(BF22*$B37))</f>
        <v>6.6595375000000008</v>
      </c>
      <c r="BG37" s="94">
        <f>IF(AG37=".",".",s_RadSpec!$F$22*(BG22*$B37))</f>
        <v>6.6595375000000008</v>
      </c>
      <c r="BH37" s="94">
        <f>IF(AH37=".",".",s_RadSpec!$F$22*(BH22*$B37))</f>
        <v>6.6595375000000008</v>
      </c>
      <c r="BI37" s="94">
        <f>IF(AI37=".",".",s_RadSpec!$F$22*(BI22*$B37))</f>
        <v>6.6595375000000008</v>
      </c>
      <c r="BJ37" s="94">
        <f>IF(AJ37=".",".",s_RadSpec!$F$22*(BJ22*$B37))</f>
        <v>6.6595375000000008</v>
      </c>
      <c r="BK37" s="94">
        <f>IF(AK37=".",".",s_RadSpec!$F$22*(BK22*$B37))</f>
        <v>6.6595375000000008</v>
      </c>
      <c r="BL37" s="94">
        <f>IF(AL37=".",".",s_RadSpec!$F$22*(BL22*$B37))</f>
        <v>6.6595375000000008</v>
      </c>
      <c r="BM37" s="94">
        <f>IF(AM37=".",".",s_RadSpec!$F$22*(BM22*$B37))</f>
        <v>6.6595375000000008</v>
      </c>
      <c r="BN37" s="94">
        <f>IF(AN37=".",".",s_RadSpec!$F$22*(BN22*$B37))</f>
        <v>6.6595375000000008</v>
      </c>
      <c r="BO37" s="94">
        <f>IF(AO37=".",".",s_RadSpec!$F$22*(BO22*$B37))</f>
        <v>6.6595375000000008</v>
      </c>
      <c r="BP37" s="94">
        <f>IF(AP37=".",".",s_RadSpec!$F$22*(BP22*$B37))</f>
        <v>6.6595375000000008</v>
      </c>
      <c r="BQ37" s="94">
        <f>IF(AQ37=".",".",s_RadSpec!$F$22*(BQ22*$B37))</f>
        <v>6.6595375000000008</v>
      </c>
      <c r="BR37" s="94">
        <f>IF(AR37=".",".",s_RadSpec!$F$22*(BR22*$B37))</f>
        <v>6.6595375000000008</v>
      </c>
      <c r="BS37" s="94">
        <f>IF(AS37=".",".",s_RadSpec!$F$22*(BS22*$B37))</f>
        <v>6.6595375000000008</v>
      </c>
      <c r="BT37" s="94">
        <f>IF(AT37=".",".",s_RadSpec!$F$22*(BT22*$B37))</f>
        <v>6.6595375000000008</v>
      </c>
      <c r="BU37" s="94">
        <f>IF(AU37=".",".",s_RadSpec!$F$22*(BU22*$B37))</f>
        <v>6.6595375000000008</v>
      </c>
      <c r="BV37" s="94">
        <f>IF(AV37=".",".",s_RadSpec!$F$22*(BV22*$B37))</f>
        <v>6.6595375000000008</v>
      </c>
      <c r="BW37" s="94">
        <f>IF(AW37=".",".",s_RadSpec!$F$22*(BW22*$B37))</f>
        <v>6.6595375000000008</v>
      </c>
      <c r="BX37" s="94">
        <f>IF(AX37=".",".",s_RadSpec!$F$22*(BX22*$B37))</f>
        <v>6.6595375000000008</v>
      </c>
      <c r="BY37" s="94">
        <f>IF(AY37=".",".",s_RadSpec!$F$22*(BY22*$B37))</f>
        <v>6.6595375000000008</v>
      </c>
      <c r="BZ37" s="94">
        <f>IF(AZ37=".",".",s_RadSpec!$F$22*(BZ22*$B37))</f>
        <v>6.6595375000000008</v>
      </c>
      <c r="CA37" s="94">
        <f>IF(BA37=".",".",s_RadSpec!$F$22*(CA22*$B37))</f>
        <v>6.6595375000000008</v>
      </c>
      <c r="CB37" s="94">
        <f>IF(BB37=".",".",s_RadSpec!$F$22*(CB22*$B37))</f>
        <v>6.6595375000000008</v>
      </c>
    </row>
    <row r="38" spans="1:80" x14ac:dyDescent="0.25">
      <c r="A38" s="92" t="s">
        <v>1066</v>
      </c>
      <c r="B38" s="84">
        <v>1</v>
      </c>
      <c r="C38" s="93">
        <f t="shared" ref="C38:AH38" si="41">IFERROR(C2/$B38,".")</f>
        <v>4.2708194976576683</v>
      </c>
      <c r="D38" s="93">
        <f t="shared" si="41"/>
        <v>17.083277990630673</v>
      </c>
      <c r="E38" s="93">
        <f t="shared" si="41"/>
        <v>17.083277990630673</v>
      </c>
      <c r="F38" s="93">
        <f t="shared" si="41"/>
        <v>17.083277990630673</v>
      </c>
      <c r="G38" s="93">
        <f t="shared" si="41"/>
        <v>17.083277990630673</v>
      </c>
      <c r="H38" s="93">
        <f t="shared" si="41"/>
        <v>17.083277990630673</v>
      </c>
      <c r="I38" s="93">
        <f t="shared" si="41"/>
        <v>17.083277990630673</v>
      </c>
      <c r="J38" s="93">
        <f t="shared" si="41"/>
        <v>17.083277990630673</v>
      </c>
      <c r="K38" s="93">
        <f t="shared" si="41"/>
        <v>17.083277990630673</v>
      </c>
      <c r="L38" s="93">
        <f t="shared" si="41"/>
        <v>17.083277990630673</v>
      </c>
      <c r="M38" s="93">
        <f t="shared" si="41"/>
        <v>17.083277990630673</v>
      </c>
      <c r="N38" s="93">
        <f t="shared" si="41"/>
        <v>17.083277990630673</v>
      </c>
      <c r="O38" s="93">
        <f t="shared" si="41"/>
        <v>17.083277990630673</v>
      </c>
      <c r="P38" s="93">
        <f t="shared" si="41"/>
        <v>17.083277990630673</v>
      </c>
      <c r="Q38" s="93">
        <f t="shared" si="41"/>
        <v>17.083277990630673</v>
      </c>
      <c r="R38" s="93">
        <f t="shared" si="41"/>
        <v>17.083277990630673</v>
      </c>
      <c r="S38" s="93">
        <f t="shared" si="41"/>
        <v>17.083277990630673</v>
      </c>
      <c r="T38" s="93">
        <f t="shared" si="41"/>
        <v>17.083277990630673</v>
      </c>
      <c r="U38" s="93">
        <f t="shared" si="41"/>
        <v>17.083277990630673</v>
      </c>
      <c r="V38" s="93">
        <f t="shared" si="41"/>
        <v>17.083277990630673</v>
      </c>
      <c r="W38" s="93">
        <f t="shared" si="41"/>
        <v>17.083277990630673</v>
      </c>
      <c r="X38" s="93">
        <f t="shared" si="41"/>
        <v>17.083277990630673</v>
      </c>
      <c r="Y38" s="93">
        <f t="shared" si="41"/>
        <v>17.083277990630673</v>
      </c>
      <c r="Z38" s="93">
        <f t="shared" si="41"/>
        <v>17.083277990630673</v>
      </c>
      <c r="AA38" s="93">
        <f t="shared" si="41"/>
        <v>17.083277990630673</v>
      </c>
      <c r="AB38" s="93">
        <f t="shared" si="41"/>
        <v>17.083277990630673</v>
      </c>
      <c r="AC38" s="93">
        <f t="shared" si="41"/>
        <v>4.2708194976576683</v>
      </c>
      <c r="AD38" s="93">
        <f t="shared" si="41"/>
        <v>17.083277990630673</v>
      </c>
      <c r="AE38" s="93">
        <f t="shared" si="41"/>
        <v>17.083277990630673</v>
      </c>
      <c r="AF38" s="93">
        <f t="shared" si="41"/>
        <v>17.083277990630673</v>
      </c>
      <c r="AG38" s="93">
        <f t="shared" si="41"/>
        <v>17.083277990630673</v>
      </c>
      <c r="AH38" s="93">
        <f t="shared" si="41"/>
        <v>17.083277990630673</v>
      </c>
      <c r="AI38" s="93">
        <f t="shared" ref="AI38:BB38" si="42">IFERROR(AI2/$B38,".")</f>
        <v>17.083277990630673</v>
      </c>
      <c r="AJ38" s="93">
        <f t="shared" si="42"/>
        <v>17.083277990630673</v>
      </c>
      <c r="AK38" s="93">
        <f t="shared" si="42"/>
        <v>17.083277990630673</v>
      </c>
      <c r="AL38" s="93">
        <f t="shared" si="42"/>
        <v>17.083277990630673</v>
      </c>
      <c r="AM38" s="93">
        <f t="shared" si="42"/>
        <v>17.083277990630673</v>
      </c>
      <c r="AN38" s="93">
        <f t="shared" si="42"/>
        <v>17.083277990630673</v>
      </c>
      <c r="AO38" s="93">
        <f t="shared" si="42"/>
        <v>17.083277990630673</v>
      </c>
      <c r="AP38" s="93">
        <f t="shared" si="42"/>
        <v>17.083277990630673</v>
      </c>
      <c r="AQ38" s="93">
        <f t="shared" si="42"/>
        <v>17.083277990630673</v>
      </c>
      <c r="AR38" s="93">
        <f t="shared" si="42"/>
        <v>17.083277990630673</v>
      </c>
      <c r="AS38" s="93">
        <f t="shared" si="42"/>
        <v>17.083277990630673</v>
      </c>
      <c r="AT38" s="93">
        <f t="shared" si="42"/>
        <v>17.083277990630673</v>
      </c>
      <c r="AU38" s="93">
        <f t="shared" si="42"/>
        <v>17.083277990630673</v>
      </c>
      <c r="AV38" s="93">
        <f t="shared" si="42"/>
        <v>17.083277990630673</v>
      </c>
      <c r="AW38" s="93">
        <f t="shared" si="42"/>
        <v>17.083277990630673</v>
      </c>
      <c r="AX38" s="93">
        <f t="shared" si="42"/>
        <v>17.083277990630673</v>
      </c>
      <c r="AY38" s="93">
        <f t="shared" si="42"/>
        <v>17.083277990630673</v>
      </c>
      <c r="AZ38" s="93">
        <f t="shared" si="42"/>
        <v>17.083277990630673</v>
      </c>
      <c r="BA38" s="93">
        <f t="shared" si="42"/>
        <v>17.083277990630673</v>
      </c>
      <c r="BB38" s="93">
        <f t="shared" si="42"/>
        <v>17.083277990630673</v>
      </c>
      <c r="BC38" s="94">
        <f t="shared" si="33"/>
        <v>5.8536774999999999</v>
      </c>
      <c r="BD38" s="94">
        <f>IF(AD38=".",".",s_RadSpec!$F$2*(BD2*$B38))</f>
        <v>1.463419375</v>
      </c>
      <c r="BE38" s="94">
        <f>IF(AE38=".",".",s_RadSpec!$F$2*(BE2*$B38))</f>
        <v>1.463419375</v>
      </c>
      <c r="BF38" s="94">
        <f>IF(AF38=".",".",s_RadSpec!$F$2*(BF2*$B38))</f>
        <v>1.463419375</v>
      </c>
      <c r="BG38" s="94">
        <f>IF(AG38=".",".",s_RadSpec!$F$2*(BG2*$B38))</f>
        <v>1.463419375</v>
      </c>
      <c r="BH38" s="94">
        <f>IF(AH38=".",".",s_RadSpec!$F$2*(BH2*$B38))</f>
        <v>1.463419375</v>
      </c>
      <c r="BI38" s="94">
        <f>IF(AI38=".",".",s_RadSpec!$F$2*(BI2*$B38))</f>
        <v>1.463419375</v>
      </c>
      <c r="BJ38" s="94">
        <f>IF(AJ38=".",".",s_RadSpec!$F$2*(BJ2*$B38))</f>
        <v>1.463419375</v>
      </c>
      <c r="BK38" s="94">
        <f>IF(AK38=".",".",s_RadSpec!$F$2*(BK2*$B38))</f>
        <v>1.463419375</v>
      </c>
      <c r="BL38" s="94">
        <f>IF(AL38=".",".",s_RadSpec!$F$2*(BL2*$B38))</f>
        <v>1.463419375</v>
      </c>
      <c r="BM38" s="94">
        <f>IF(AM38=".",".",s_RadSpec!$F$2*(BM2*$B38))</f>
        <v>1.463419375</v>
      </c>
      <c r="BN38" s="94">
        <f>IF(AN38=".",".",s_RadSpec!$F$2*(BN2*$B38))</f>
        <v>1.463419375</v>
      </c>
      <c r="BO38" s="94">
        <f>IF(AO38=".",".",s_RadSpec!$F$2*(BO2*$B38))</f>
        <v>1.463419375</v>
      </c>
      <c r="BP38" s="94">
        <f>IF(AP38=".",".",s_RadSpec!$F$2*(BP2*$B38))</f>
        <v>1.463419375</v>
      </c>
      <c r="BQ38" s="94">
        <f>IF(AQ38=".",".",s_RadSpec!$F$2*(BQ2*$B38))</f>
        <v>1.463419375</v>
      </c>
      <c r="BR38" s="94">
        <f>IF(AR38=".",".",s_RadSpec!$F$2*(BR2*$B38))</f>
        <v>1.463419375</v>
      </c>
      <c r="BS38" s="94">
        <f>IF(AS38=".",".",s_RadSpec!$F$2*(BS2*$B38))</f>
        <v>1.463419375</v>
      </c>
      <c r="BT38" s="94">
        <f>IF(AT38=".",".",s_RadSpec!$F$2*(BT2*$B38))</f>
        <v>1.463419375</v>
      </c>
      <c r="BU38" s="94">
        <f>IF(AU38=".",".",s_RadSpec!$F$2*(BU2*$B38))</f>
        <v>1.463419375</v>
      </c>
      <c r="BV38" s="94">
        <f>IF(AV38=".",".",s_RadSpec!$F$2*(BV2*$B38))</f>
        <v>1.463419375</v>
      </c>
      <c r="BW38" s="94">
        <f>IF(AW38=".",".",s_RadSpec!$F$2*(BW2*$B38))</f>
        <v>1.463419375</v>
      </c>
      <c r="BX38" s="94">
        <f>IF(AX38=".",".",s_RadSpec!$F$2*(BX2*$B38))</f>
        <v>1.463419375</v>
      </c>
      <c r="BY38" s="94">
        <f>IF(AY38=".",".",s_RadSpec!$F$2*(BY2*$B38))</f>
        <v>1.463419375</v>
      </c>
      <c r="BZ38" s="94">
        <f>IF(AZ38=".",".",s_RadSpec!$F$2*(BZ2*$B38))</f>
        <v>1.463419375</v>
      </c>
      <c r="CA38" s="94">
        <f>IF(BA38=".",".",s_RadSpec!$F$2*(CA2*$B38))</f>
        <v>1.463419375</v>
      </c>
      <c r="CB38" s="94">
        <f>IF(BB38=".",".",s_RadSpec!$F$2*(CB2*$B38))</f>
        <v>1.463419375</v>
      </c>
    </row>
    <row r="39" spans="1:80" x14ac:dyDescent="0.25">
      <c r="A39" s="92" t="s">
        <v>1067</v>
      </c>
      <c r="B39" s="84">
        <v>1</v>
      </c>
      <c r="C39" s="93" t="str">
        <f t="shared" ref="C39:AH39" si="43">IFERROR(C11/$B39,".")</f>
        <v>.</v>
      </c>
      <c r="D39" s="93" t="str">
        <f t="shared" si="43"/>
        <v>.</v>
      </c>
      <c r="E39" s="93" t="str">
        <f t="shared" si="43"/>
        <v>.</v>
      </c>
      <c r="F39" s="93" t="str">
        <f t="shared" si="43"/>
        <v>.</v>
      </c>
      <c r="G39" s="93" t="str">
        <f t="shared" si="43"/>
        <v>.</v>
      </c>
      <c r="H39" s="93" t="str">
        <f t="shared" si="43"/>
        <v>.</v>
      </c>
      <c r="I39" s="93" t="str">
        <f t="shared" si="43"/>
        <v>.</v>
      </c>
      <c r="J39" s="93" t="str">
        <f t="shared" si="43"/>
        <v>.</v>
      </c>
      <c r="K39" s="93" t="str">
        <f t="shared" si="43"/>
        <v>.</v>
      </c>
      <c r="L39" s="93" t="str">
        <f t="shared" si="43"/>
        <v>.</v>
      </c>
      <c r="M39" s="93" t="str">
        <f t="shared" si="43"/>
        <v>.</v>
      </c>
      <c r="N39" s="93" t="str">
        <f t="shared" si="43"/>
        <v>.</v>
      </c>
      <c r="O39" s="93" t="str">
        <f t="shared" si="43"/>
        <v>.</v>
      </c>
      <c r="P39" s="93" t="str">
        <f t="shared" si="43"/>
        <v>.</v>
      </c>
      <c r="Q39" s="93" t="str">
        <f t="shared" si="43"/>
        <v>.</v>
      </c>
      <c r="R39" s="93" t="str">
        <f t="shared" si="43"/>
        <v>.</v>
      </c>
      <c r="S39" s="93" t="str">
        <f t="shared" si="43"/>
        <v>.</v>
      </c>
      <c r="T39" s="93" t="str">
        <f t="shared" si="43"/>
        <v>.</v>
      </c>
      <c r="U39" s="93" t="str">
        <f t="shared" si="43"/>
        <v>.</v>
      </c>
      <c r="V39" s="93" t="str">
        <f t="shared" si="43"/>
        <v>.</v>
      </c>
      <c r="W39" s="93" t="str">
        <f t="shared" si="43"/>
        <v>.</v>
      </c>
      <c r="X39" s="93" t="str">
        <f t="shared" si="43"/>
        <v>.</v>
      </c>
      <c r="Y39" s="93" t="str">
        <f t="shared" si="43"/>
        <v>.</v>
      </c>
      <c r="Z39" s="93" t="str">
        <f t="shared" si="43"/>
        <v>.</v>
      </c>
      <c r="AA39" s="93" t="str">
        <f t="shared" si="43"/>
        <v>.</v>
      </c>
      <c r="AB39" s="93" t="str">
        <f t="shared" si="43"/>
        <v>.</v>
      </c>
      <c r="AC39" s="93" t="str">
        <f t="shared" si="43"/>
        <v>.</v>
      </c>
      <c r="AD39" s="93" t="str">
        <f t="shared" si="43"/>
        <v>.</v>
      </c>
      <c r="AE39" s="93" t="str">
        <f t="shared" si="43"/>
        <v>.</v>
      </c>
      <c r="AF39" s="93" t="str">
        <f t="shared" si="43"/>
        <v>.</v>
      </c>
      <c r="AG39" s="93" t="str">
        <f t="shared" si="43"/>
        <v>.</v>
      </c>
      <c r="AH39" s="93" t="str">
        <f t="shared" si="43"/>
        <v>.</v>
      </c>
      <c r="AI39" s="93" t="str">
        <f t="shared" ref="AI39:BB39" si="44">IFERROR(AI11/$B39,".")</f>
        <v>.</v>
      </c>
      <c r="AJ39" s="93" t="str">
        <f t="shared" si="44"/>
        <v>.</v>
      </c>
      <c r="AK39" s="93" t="str">
        <f t="shared" si="44"/>
        <v>.</v>
      </c>
      <c r="AL39" s="93" t="str">
        <f t="shared" si="44"/>
        <v>.</v>
      </c>
      <c r="AM39" s="93" t="str">
        <f t="shared" si="44"/>
        <v>.</v>
      </c>
      <c r="AN39" s="93" t="str">
        <f t="shared" si="44"/>
        <v>.</v>
      </c>
      <c r="AO39" s="93" t="str">
        <f t="shared" si="44"/>
        <v>.</v>
      </c>
      <c r="AP39" s="93" t="str">
        <f t="shared" si="44"/>
        <v>.</v>
      </c>
      <c r="AQ39" s="93" t="str">
        <f t="shared" si="44"/>
        <v>.</v>
      </c>
      <c r="AR39" s="93" t="str">
        <f t="shared" si="44"/>
        <v>.</v>
      </c>
      <c r="AS39" s="93" t="str">
        <f t="shared" si="44"/>
        <v>.</v>
      </c>
      <c r="AT39" s="93" t="str">
        <f t="shared" si="44"/>
        <v>.</v>
      </c>
      <c r="AU39" s="93" t="str">
        <f t="shared" si="44"/>
        <v>.</v>
      </c>
      <c r="AV39" s="93" t="str">
        <f t="shared" si="44"/>
        <v>.</v>
      </c>
      <c r="AW39" s="93" t="str">
        <f t="shared" si="44"/>
        <v>.</v>
      </c>
      <c r="AX39" s="93" t="str">
        <f t="shared" si="44"/>
        <v>.</v>
      </c>
      <c r="AY39" s="93" t="str">
        <f t="shared" si="44"/>
        <v>.</v>
      </c>
      <c r="AZ39" s="93" t="str">
        <f t="shared" si="44"/>
        <v>.</v>
      </c>
      <c r="BA39" s="93" t="str">
        <f t="shared" si="44"/>
        <v>.</v>
      </c>
      <c r="BB39" s="93" t="str">
        <f t="shared" si="44"/>
        <v>.</v>
      </c>
      <c r="BC39" s="94" t="str">
        <f t="shared" si="33"/>
        <v>.</v>
      </c>
      <c r="BD39" s="94" t="str">
        <f>IF(AD39=".",".",s_RadSpec!$F$11*(BD11*$B39))</f>
        <v>.</v>
      </c>
      <c r="BE39" s="94" t="str">
        <f>IF(AE39=".",".",s_RadSpec!$F$11*(BE11*$B39))</f>
        <v>.</v>
      </c>
      <c r="BF39" s="94" t="str">
        <f>IF(AF39=".",".",s_RadSpec!$F$11*(BF11*$B39))</f>
        <v>.</v>
      </c>
      <c r="BG39" s="94" t="str">
        <f>IF(AG39=".",".",s_RadSpec!$F$11*(BG11*$B39))</f>
        <v>.</v>
      </c>
      <c r="BH39" s="94" t="str">
        <f>IF(AH39=".",".",s_RadSpec!$F$11*(BH11*$B39))</f>
        <v>.</v>
      </c>
      <c r="BI39" s="94" t="str">
        <f>IF(AI39=".",".",s_RadSpec!$F$11*(BI11*$B39))</f>
        <v>.</v>
      </c>
      <c r="BJ39" s="94" t="str">
        <f>IF(AJ39=".",".",s_RadSpec!$F$11*(BJ11*$B39))</f>
        <v>.</v>
      </c>
      <c r="BK39" s="94" t="str">
        <f>IF(AK39=".",".",s_RadSpec!$F$11*(BK11*$B39))</f>
        <v>.</v>
      </c>
      <c r="BL39" s="94" t="str">
        <f>IF(AL39=".",".",s_RadSpec!$F$11*(BL11*$B39))</f>
        <v>.</v>
      </c>
      <c r="BM39" s="94" t="str">
        <f>IF(AM39=".",".",s_RadSpec!$F$11*(BM11*$B39))</f>
        <v>.</v>
      </c>
      <c r="BN39" s="94" t="str">
        <f>IF(AN39=".",".",s_RadSpec!$F$11*(BN11*$B39))</f>
        <v>.</v>
      </c>
      <c r="BO39" s="94" t="str">
        <f>IF(AO39=".",".",s_RadSpec!$F$11*(BO11*$B39))</f>
        <v>.</v>
      </c>
      <c r="BP39" s="94" t="str">
        <f>IF(AP39=".",".",s_RadSpec!$F$11*(BP11*$B39))</f>
        <v>.</v>
      </c>
      <c r="BQ39" s="94" t="str">
        <f>IF(AQ39=".",".",s_RadSpec!$F$11*(BQ11*$B39))</f>
        <v>.</v>
      </c>
      <c r="BR39" s="94" t="str">
        <f>IF(AR39=".",".",s_RadSpec!$F$11*(BR11*$B39))</f>
        <v>.</v>
      </c>
      <c r="BS39" s="94" t="str">
        <f>IF(AS39=".",".",s_RadSpec!$F$11*(BS11*$B39))</f>
        <v>.</v>
      </c>
      <c r="BT39" s="94" t="str">
        <f>IF(AT39=".",".",s_RadSpec!$F$11*(BT11*$B39))</f>
        <v>.</v>
      </c>
      <c r="BU39" s="94" t="str">
        <f>IF(AU39=".",".",s_RadSpec!$F$11*(BU11*$B39))</f>
        <v>.</v>
      </c>
      <c r="BV39" s="94" t="str">
        <f>IF(AV39=".",".",s_RadSpec!$F$11*(BV11*$B39))</f>
        <v>.</v>
      </c>
      <c r="BW39" s="94" t="str">
        <f>IF(AW39=".",".",s_RadSpec!$F$11*(BW11*$B39))</f>
        <v>.</v>
      </c>
      <c r="BX39" s="94" t="str">
        <f>IF(AX39=".",".",s_RadSpec!$F$11*(BX11*$B39))</f>
        <v>.</v>
      </c>
      <c r="BY39" s="94" t="str">
        <f>IF(AY39=".",".",s_RadSpec!$F$11*(BY11*$B39))</f>
        <v>.</v>
      </c>
      <c r="BZ39" s="94" t="str">
        <f>IF(AZ39=".",".",s_RadSpec!$F$11*(BZ11*$B39))</f>
        <v>.</v>
      </c>
      <c r="CA39" s="94" t="str">
        <f>IF(BA39=".",".",s_RadSpec!$F$11*(CA11*$B39))</f>
        <v>.</v>
      </c>
      <c r="CB39" s="94" t="str">
        <f>IF(BB39=".",".",s_RadSpec!$F$11*(CB11*$B39))</f>
        <v>.</v>
      </c>
    </row>
    <row r="40" spans="1:80" x14ac:dyDescent="0.25">
      <c r="A40" s="92" t="s">
        <v>1068</v>
      </c>
      <c r="B40" s="84">
        <v>1</v>
      </c>
      <c r="C40" s="93" t="str">
        <f t="shared" ref="C40:AH40" si="45">IFERROR(C4/$B40,".")</f>
        <v>.</v>
      </c>
      <c r="D40" s="93" t="str">
        <f t="shared" si="45"/>
        <v>.</v>
      </c>
      <c r="E40" s="93" t="str">
        <f t="shared" si="45"/>
        <v>.</v>
      </c>
      <c r="F40" s="93" t="str">
        <f t="shared" si="45"/>
        <v>.</v>
      </c>
      <c r="G40" s="93" t="str">
        <f t="shared" si="45"/>
        <v>.</v>
      </c>
      <c r="H40" s="93" t="str">
        <f t="shared" si="45"/>
        <v>.</v>
      </c>
      <c r="I40" s="93" t="str">
        <f t="shared" si="45"/>
        <v>.</v>
      </c>
      <c r="J40" s="93" t="str">
        <f t="shared" si="45"/>
        <v>.</v>
      </c>
      <c r="K40" s="93" t="str">
        <f t="shared" si="45"/>
        <v>.</v>
      </c>
      <c r="L40" s="93" t="str">
        <f t="shared" si="45"/>
        <v>.</v>
      </c>
      <c r="M40" s="93" t="str">
        <f t="shared" si="45"/>
        <v>.</v>
      </c>
      <c r="N40" s="93" t="str">
        <f t="shared" si="45"/>
        <v>.</v>
      </c>
      <c r="O40" s="93" t="str">
        <f t="shared" si="45"/>
        <v>.</v>
      </c>
      <c r="P40" s="93" t="str">
        <f t="shared" si="45"/>
        <v>.</v>
      </c>
      <c r="Q40" s="93" t="str">
        <f t="shared" si="45"/>
        <v>.</v>
      </c>
      <c r="R40" s="93" t="str">
        <f t="shared" si="45"/>
        <v>.</v>
      </c>
      <c r="S40" s="93" t="str">
        <f t="shared" si="45"/>
        <v>.</v>
      </c>
      <c r="T40" s="93" t="str">
        <f t="shared" si="45"/>
        <v>.</v>
      </c>
      <c r="U40" s="93" t="str">
        <f t="shared" si="45"/>
        <v>.</v>
      </c>
      <c r="V40" s="93" t="str">
        <f t="shared" si="45"/>
        <v>.</v>
      </c>
      <c r="W40" s="93" t="str">
        <f t="shared" si="45"/>
        <v>.</v>
      </c>
      <c r="X40" s="93" t="str">
        <f t="shared" si="45"/>
        <v>.</v>
      </c>
      <c r="Y40" s="93" t="str">
        <f t="shared" si="45"/>
        <v>.</v>
      </c>
      <c r="Z40" s="93" t="str">
        <f t="shared" si="45"/>
        <v>.</v>
      </c>
      <c r="AA40" s="93" t="str">
        <f t="shared" si="45"/>
        <v>.</v>
      </c>
      <c r="AB40" s="93" t="str">
        <f t="shared" si="45"/>
        <v>.</v>
      </c>
      <c r="AC40" s="93" t="str">
        <f t="shared" si="45"/>
        <v>.</v>
      </c>
      <c r="AD40" s="93" t="str">
        <f t="shared" si="45"/>
        <v>.</v>
      </c>
      <c r="AE40" s="93" t="str">
        <f t="shared" si="45"/>
        <v>.</v>
      </c>
      <c r="AF40" s="93" t="str">
        <f t="shared" si="45"/>
        <v>.</v>
      </c>
      <c r="AG40" s="93" t="str">
        <f t="shared" si="45"/>
        <v>.</v>
      </c>
      <c r="AH40" s="93" t="str">
        <f t="shared" si="45"/>
        <v>.</v>
      </c>
      <c r="AI40" s="93" t="str">
        <f t="shared" ref="AI40:BB40" si="46">IFERROR(AI4/$B40,".")</f>
        <v>.</v>
      </c>
      <c r="AJ40" s="93" t="str">
        <f t="shared" si="46"/>
        <v>.</v>
      </c>
      <c r="AK40" s="93" t="str">
        <f t="shared" si="46"/>
        <v>.</v>
      </c>
      <c r="AL40" s="93" t="str">
        <f t="shared" si="46"/>
        <v>.</v>
      </c>
      <c r="AM40" s="93" t="str">
        <f t="shared" si="46"/>
        <v>.</v>
      </c>
      <c r="AN40" s="93" t="str">
        <f t="shared" si="46"/>
        <v>.</v>
      </c>
      <c r="AO40" s="93" t="str">
        <f t="shared" si="46"/>
        <v>.</v>
      </c>
      <c r="AP40" s="93" t="str">
        <f t="shared" si="46"/>
        <v>.</v>
      </c>
      <c r="AQ40" s="93" t="str">
        <f t="shared" si="46"/>
        <v>.</v>
      </c>
      <c r="AR40" s="93" t="str">
        <f t="shared" si="46"/>
        <v>.</v>
      </c>
      <c r="AS40" s="93" t="str">
        <f t="shared" si="46"/>
        <v>.</v>
      </c>
      <c r="AT40" s="93" t="str">
        <f t="shared" si="46"/>
        <v>.</v>
      </c>
      <c r="AU40" s="93" t="str">
        <f t="shared" si="46"/>
        <v>.</v>
      </c>
      <c r="AV40" s="93" t="str">
        <f t="shared" si="46"/>
        <v>.</v>
      </c>
      <c r="AW40" s="93" t="str">
        <f t="shared" si="46"/>
        <v>.</v>
      </c>
      <c r="AX40" s="93" t="str">
        <f t="shared" si="46"/>
        <v>.</v>
      </c>
      <c r="AY40" s="93" t="str">
        <f t="shared" si="46"/>
        <v>.</v>
      </c>
      <c r="AZ40" s="93" t="str">
        <f t="shared" si="46"/>
        <v>.</v>
      </c>
      <c r="BA40" s="93" t="str">
        <f t="shared" si="46"/>
        <v>.</v>
      </c>
      <c r="BB40" s="93" t="str">
        <f t="shared" si="46"/>
        <v>.</v>
      </c>
      <c r="BC40" s="94" t="str">
        <f t="shared" si="33"/>
        <v>.</v>
      </c>
      <c r="BD40" s="94" t="str">
        <f>IF(AD40=".",".",s_RadSpec!$F$4*(BD4*$B40))</f>
        <v>.</v>
      </c>
      <c r="BE40" s="94" t="str">
        <f>IF(AE40=".",".",s_RadSpec!$F$4*(BE4*$B40))</f>
        <v>.</v>
      </c>
      <c r="BF40" s="94" t="str">
        <f>IF(AF40=".",".",s_RadSpec!$F$4*(BF4*$B40))</f>
        <v>.</v>
      </c>
      <c r="BG40" s="94" t="str">
        <f>IF(AG40=".",".",s_RadSpec!$F$4*(BG4*$B40))</f>
        <v>.</v>
      </c>
      <c r="BH40" s="94" t="str">
        <f>IF(AH40=".",".",s_RadSpec!$F$4*(BH4*$B40))</f>
        <v>.</v>
      </c>
      <c r="BI40" s="94" t="str">
        <f>IF(AI40=".",".",s_RadSpec!$F$4*(BI4*$B40))</f>
        <v>.</v>
      </c>
      <c r="BJ40" s="94" t="str">
        <f>IF(AJ40=".",".",s_RadSpec!$F$4*(BJ4*$B40))</f>
        <v>.</v>
      </c>
      <c r="BK40" s="94" t="str">
        <f>IF(AK40=".",".",s_RadSpec!$F$4*(BK4*$B40))</f>
        <v>.</v>
      </c>
      <c r="BL40" s="94" t="str">
        <f>IF(AL40=".",".",s_RadSpec!$F$4*(BL4*$B40))</f>
        <v>.</v>
      </c>
      <c r="BM40" s="94" t="str">
        <f>IF(AM40=".",".",s_RadSpec!$F$4*(BM4*$B40))</f>
        <v>.</v>
      </c>
      <c r="BN40" s="94" t="str">
        <f>IF(AN40=".",".",s_RadSpec!$F$4*(BN4*$B40))</f>
        <v>.</v>
      </c>
      <c r="BO40" s="94" t="str">
        <f>IF(AO40=".",".",s_RadSpec!$F$4*(BO4*$B40))</f>
        <v>.</v>
      </c>
      <c r="BP40" s="94" t="str">
        <f>IF(AP40=".",".",s_RadSpec!$F$4*(BP4*$B40))</f>
        <v>.</v>
      </c>
      <c r="BQ40" s="94" t="str">
        <f>IF(AQ40=".",".",s_RadSpec!$F$4*(BQ4*$B40))</f>
        <v>.</v>
      </c>
      <c r="BR40" s="94" t="str">
        <f>IF(AR40=".",".",s_RadSpec!$F$4*(BR4*$B40))</f>
        <v>.</v>
      </c>
      <c r="BS40" s="94" t="str">
        <f>IF(AS40=".",".",s_RadSpec!$F$4*(BS4*$B40))</f>
        <v>.</v>
      </c>
      <c r="BT40" s="94" t="str">
        <f>IF(AT40=".",".",s_RadSpec!$F$4*(BT4*$B40))</f>
        <v>.</v>
      </c>
      <c r="BU40" s="94" t="str">
        <f>IF(AU40=".",".",s_RadSpec!$F$4*(BU4*$B40))</f>
        <v>.</v>
      </c>
      <c r="BV40" s="94" t="str">
        <f>IF(AV40=".",".",s_RadSpec!$F$4*(BV4*$B40))</f>
        <v>.</v>
      </c>
      <c r="BW40" s="94" t="str">
        <f>IF(AW40=".",".",s_RadSpec!$F$4*(BW4*$B40))</f>
        <v>.</v>
      </c>
      <c r="BX40" s="94" t="str">
        <f>IF(AX40=".",".",s_RadSpec!$F$4*(BX4*$B40))</f>
        <v>.</v>
      </c>
      <c r="BY40" s="94" t="str">
        <f>IF(AY40=".",".",s_RadSpec!$F$4*(BY4*$B40))</f>
        <v>.</v>
      </c>
      <c r="BZ40" s="94" t="str">
        <f>IF(AZ40=".",".",s_RadSpec!$F$4*(BZ4*$B40))</f>
        <v>.</v>
      </c>
      <c r="CA40" s="94" t="str">
        <f>IF(BA40=".",".",s_RadSpec!$F$4*(CA4*$B40))</f>
        <v>.</v>
      </c>
      <c r="CB40" s="94" t="str">
        <f>IF(BB40=".",".",s_RadSpec!$F$4*(CB4*$B40))</f>
        <v>.</v>
      </c>
    </row>
    <row r="41" spans="1:80" x14ac:dyDescent="0.25">
      <c r="A41" s="92" t="s">
        <v>1069</v>
      </c>
      <c r="B41" s="95">
        <v>0.99987999999999999</v>
      </c>
      <c r="C41" s="93">
        <f t="shared" ref="C41:AH41" si="47">IFERROR(C8/$B41,".")</f>
        <v>833.54726346077985</v>
      </c>
      <c r="D41" s="93">
        <f t="shared" si="47"/>
        <v>3334.1890538431194</v>
      </c>
      <c r="E41" s="93">
        <f t="shared" si="47"/>
        <v>3334.1890538431194</v>
      </c>
      <c r="F41" s="93">
        <f t="shared" si="47"/>
        <v>3334.1890538431194</v>
      </c>
      <c r="G41" s="93">
        <f t="shared" si="47"/>
        <v>3334.1890538431194</v>
      </c>
      <c r="H41" s="93">
        <f t="shared" si="47"/>
        <v>3334.1890538431194</v>
      </c>
      <c r="I41" s="93">
        <f t="shared" si="47"/>
        <v>3334.1890538431194</v>
      </c>
      <c r="J41" s="93">
        <f t="shared" si="47"/>
        <v>3334.1890538431194</v>
      </c>
      <c r="K41" s="93">
        <f t="shared" si="47"/>
        <v>3334.1890538431194</v>
      </c>
      <c r="L41" s="93">
        <f t="shared" si="47"/>
        <v>3334.1890538431194</v>
      </c>
      <c r="M41" s="93">
        <f t="shared" si="47"/>
        <v>3334.1890538431194</v>
      </c>
      <c r="N41" s="93">
        <f t="shared" si="47"/>
        <v>3334.1890538431194</v>
      </c>
      <c r="O41" s="93">
        <f t="shared" si="47"/>
        <v>3334.1890538431194</v>
      </c>
      <c r="P41" s="93">
        <f t="shared" si="47"/>
        <v>3334.1890538431194</v>
      </c>
      <c r="Q41" s="93">
        <f t="shared" si="47"/>
        <v>3334.1890538431194</v>
      </c>
      <c r="R41" s="93">
        <f t="shared" si="47"/>
        <v>3334.1890538431194</v>
      </c>
      <c r="S41" s="93">
        <f t="shared" si="47"/>
        <v>3334.1890538431194</v>
      </c>
      <c r="T41" s="93">
        <f t="shared" si="47"/>
        <v>3334.1890538431194</v>
      </c>
      <c r="U41" s="93">
        <f t="shared" si="47"/>
        <v>3334.1890538431194</v>
      </c>
      <c r="V41" s="93">
        <f t="shared" si="47"/>
        <v>3334.1890538431194</v>
      </c>
      <c r="W41" s="93">
        <f t="shared" si="47"/>
        <v>3334.1890538431194</v>
      </c>
      <c r="X41" s="93">
        <f t="shared" si="47"/>
        <v>3334.1890538431194</v>
      </c>
      <c r="Y41" s="93">
        <f t="shared" si="47"/>
        <v>3334.1890538431194</v>
      </c>
      <c r="Z41" s="93">
        <f t="shared" si="47"/>
        <v>3334.1890538431194</v>
      </c>
      <c r="AA41" s="93">
        <f t="shared" si="47"/>
        <v>3334.1890538431194</v>
      </c>
      <c r="AB41" s="93">
        <f t="shared" si="47"/>
        <v>3334.1890538431194</v>
      </c>
      <c r="AC41" s="93">
        <f t="shared" si="47"/>
        <v>833.54726346077985</v>
      </c>
      <c r="AD41" s="93">
        <f t="shared" si="47"/>
        <v>3334.1890538431194</v>
      </c>
      <c r="AE41" s="93">
        <f t="shared" si="47"/>
        <v>3334.1890538431194</v>
      </c>
      <c r="AF41" s="93">
        <f t="shared" si="47"/>
        <v>3334.1890538431194</v>
      </c>
      <c r="AG41" s="93">
        <f t="shared" si="47"/>
        <v>3334.1890538431194</v>
      </c>
      <c r="AH41" s="93">
        <f t="shared" si="47"/>
        <v>3334.1890538431194</v>
      </c>
      <c r="AI41" s="93">
        <f t="shared" ref="AI41:BB41" si="48">IFERROR(AI8/$B41,".")</f>
        <v>3334.1890538431194</v>
      </c>
      <c r="AJ41" s="93">
        <f t="shared" si="48"/>
        <v>3334.1890538431194</v>
      </c>
      <c r="AK41" s="93">
        <f t="shared" si="48"/>
        <v>3334.1890538431194</v>
      </c>
      <c r="AL41" s="93">
        <f t="shared" si="48"/>
        <v>3334.1890538431194</v>
      </c>
      <c r="AM41" s="93">
        <f t="shared" si="48"/>
        <v>3334.1890538431194</v>
      </c>
      <c r="AN41" s="93">
        <f t="shared" si="48"/>
        <v>3334.1890538431194</v>
      </c>
      <c r="AO41" s="93">
        <f t="shared" si="48"/>
        <v>3334.1890538431194</v>
      </c>
      <c r="AP41" s="93">
        <f t="shared" si="48"/>
        <v>3334.1890538431194</v>
      </c>
      <c r="AQ41" s="93">
        <f t="shared" si="48"/>
        <v>3334.1890538431194</v>
      </c>
      <c r="AR41" s="93">
        <f t="shared" si="48"/>
        <v>3334.1890538431194</v>
      </c>
      <c r="AS41" s="93">
        <f t="shared" si="48"/>
        <v>3334.1890538431194</v>
      </c>
      <c r="AT41" s="93">
        <f t="shared" si="48"/>
        <v>3334.1890538431194</v>
      </c>
      <c r="AU41" s="93">
        <f t="shared" si="48"/>
        <v>3334.1890538431194</v>
      </c>
      <c r="AV41" s="93">
        <f t="shared" si="48"/>
        <v>3334.1890538431194</v>
      </c>
      <c r="AW41" s="93">
        <f t="shared" si="48"/>
        <v>3334.1890538431194</v>
      </c>
      <c r="AX41" s="93">
        <f t="shared" si="48"/>
        <v>3334.1890538431194</v>
      </c>
      <c r="AY41" s="93">
        <f t="shared" si="48"/>
        <v>3334.1890538431194</v>
      </c>
      <c r="AZ41" s="93">
        <f t="shared" si="48"/>
        <v>3334.1890538431194</v>
      </c>
      <c r="BA41" s="93">
        <f t="shared" si="48"/>
        <v>3334.1890538431194</v>
      </c>
      <c r="BB41" s="93">
        <f t="shared" si="48"/>
        <v>3334.1890538431194</v>
      </c>
      <c r="BC41" s="94">
        <f t="shared" si="33"/>
        <v>2.9992300491999999E-2</v>
      </c>
      <c r="BD41" s="94">
        <f>IF(AD41=".",".",s_RadSpec!$F$8*(BD8*$B41))</f>
        <v>7.4980751229999998E-3</v>
      </c>
      <c r="BE41" s="94">
        <f>IF(AE41=".",".",s_RadSpec!$F$8*(BE8*$B41))</f>
        <v>7.4980751229999998E-3</v>
      </c>
      <c r="BF41" s="94">
        <f>IF(AF41=".",".",s_RadSpec!$F$8*(BF8*$B41))</f>
        <v>7.4980751229999998E-3</v>
      </c>
      <c r="BG41" s="94">
        <f>IF(AG41=".",".",s_RadSpec!$F$8*(BG8*$B41))</f>
        <v>7.4980751229999998E-3</v>
      </c>
      <c r="BH41" s="94">
        <f>IF(AH41=".",".",s_RadSpec!$F$8*(BH8*$B41))</f>
        <v>7.4980751229999998E-3</v>
      </c>
      <c r="BI41" s="94">
        <f>IF(AI41=".",".",s_RadSpec!$F$8*(BI8*$B41))</f>
        <v>7.4980751229999998E-3</v>
      </c>
      <c r="BJ41" s="94">
        <f>IF(AJ41=".",".",s_RadSpec!$F$8*(BJ8*$B41))</f>
        <v>7.4980751229999998E-3</v>
      </c>
      <c r="BK41" s="94">
        <f>IF(AK41=".",".",s_RadSpec!$F$8*(BK8*$B41))</f>
        <v>7.4980751229999998E-3</v>
      </c>
      <c r="BL41" s="94">
        <f>IF(AL41=".",".",s_RadSpec!$F$8*(BL8*$B41))</f>
        <v>7.4980751229999998E-3</v>
      </c>
      <c r="BM41" s="94">
        <f>IF(AM41=".",".",s_RadSpec!$F$8*(BM8*$B41))</f>
        <v>7.4980751229999998E-3</v>
      </c>
      <c r="BN41" s="94">
        <f>IF(AN41=".",".",s_RadSpec!$F$8*(BN8*$B41))</f>
        <v>7.4980751229999998E-3</v>
      </c>
      <c r="BO41" s="94">
        <f>IF(AO41=".",".",s_RadSpec!$F$8*(BO8*$B41))</f>
        <v>7.4980751229999998E-3</v>
      </c>
      <c r="BP41" s="94">
        <f>IF(AP41=".",".",s_RadSpec!$F$8*(BP8*$B41))</f>
        <v>7.4980751229999998E-3</v>
      </c>
      <c r="BQ41" s="94">
        <f>IF(AQ41=".",".",s_RadSpec!$F$8*(BQ8*$B41))</f>
        <v>7.4980751229999998E-3</v>
      </c>
      <c r="BR41" s="94">
        <f>IF(AR41=".",".",s_RadSpec!$F$8*(BR8*$B41))</f>
        <v>7.4980751229999998E-3</v>
      </c>
      <c r="BS41" s="94">
        <f>IF(AS41=".",".",s_RadSpec!$F$8*(BS8*$B41))</f>
        <v>7.4980751229999998E-3</v>
      </c>
      <c r="BT41" s="94">
        <f>IF(AT41=".",".",s_RadSpec!$F$8*(BT8*$B41))</f>
        <v>7.4980751229999998E-3</v>
      </c>
      <c r="BU41" s="94">
        <f>IF(AU41=".",".",s_RadSpec!$F$8*(BU8*$B41))</f>
        <v>7.4980751229999998E-3</v>
      </c>
      <c r="BV41" s="94">
        <f>IF(AV41=".",".",s_RadSpec!$F$8*(BV8*$B41))</f>
        <v>7.4980751229999998E-3</v>
      </c>
      <c r="BW41" s="94">
        <f>IF(AW41=".",".",s_RadSpec!$F$8*(BW8*$B41))</f>
        <v>7.4980751229999998E-3</v>
      </c>
      <c r="BX41" s="94">
        <f>IF(AX41=".",".",s_RadSpec!$F$8*(BX8*$B41))</f>
        <v>7.4980751229999998E-3</v>
      </c>
      <c r="BY41" s="94">
        <f>IF(AY41=".",".",s_RadSpec!$F$8*(BY8*$B41))</f>
        <v>7.4980751229999998E-3</v>
      </c>
      <c r="BZ41" s="94">
        <f>IF(AZ41=".",".",s_RadSpec!$F$8*(BZ8*$B41))</f>
        <v>7.4980751229999998E-3</v>
      </c>
      <c r="CA41" s="94">
        <f>IF(BA41=".",".",s_RadSpec!$F$8*(CA8*$B41))</f>
        <v>7.4980751229999998E-3</v>
      </c>
      <c r="CB41" s="94">
        <f>IF(BB41=".",".",s_RadSpec!$F$8*(CB8*$B41))</f>
        <v>7.4980751229999998E-3</v>
      </c>
    </row>
    <row r="42" spans="1:80" x14ac:dyDescent="0.25">
      <c r="A42" s="92" t="s">
        <v>1070</v>
      </c>
      <c r="B42" s="84">
        <v>0.97898250799999997</v>
      </c>
      <c r="C42" s="93" t="str">
        <f t="shared" ref="C42:AH42" si="49">IFERROR(C19/$B42,".")</f>
        <v>.</v>
      </c>
      <c r="D42" s="93" t="str">
        <f t="shared" si="49"/>
        <v>.</v>
      </c>
      <c r="E42" s="93" t="str">
        <f t="shared" si="49"/>
        <v>.</v>
      </c>
      <c r="F42" s="93" t="str">
        <f t="shared" si="49"/>
        <v>.</v>
      </c>
      <c r="G42" s="93" t="str">
        <f t="shared" si="49"/>
        <v>.</v>
      </c>
      <c r="H42" s="93" t="str">
        <f t="shared" si="49"/>
        <v>.</v>
      </c>
      <c r="I42" s="93" t="str">
        <f t="shared" si="49"/>
        <v>.</v>
      </c>
      <c r="J42" s="93" t="str">
        <f t="shared" si="49"/>
        <v>.</v>
      </c>
      <c r="K42" s="93" t="str">
        <f t="shared" si="49"/>
        <v>.</v>
      </c>
      <c r="L42" s="93" t="str">
        <f t="shared" si="49"/>
        <v>.</v>
      </c>
      <c r="M42" s="93" t="str">
        <f t="shared" si="49"/>
        <v>.</v>
      </c>
      <c r="N42" s="93" t="str">
        <f t="shared" si="49"/>
        <v>.</v>
      </c>
      <c r="O42" s="93" t="str">
        <f t="shared" si="49"/>
        <v>.</v>
      </c>
      <c r="P42" s="93" t="str">
        <f t="shared" si="49"/>
        <v>.</v>
      </c>
      <c r="Q42" s="93" t="str">
        <f t="shared" si="49"/>
        <v>.</v>
      </c>
      <c r="R42" s="93" t="str">
        <f t="shared" si="49"/>
        <v>.</v>
      </c>
      <c r="S42" s="93" t="str">
        <f t="shared" si="49"/>
        <v>.</v>
      </c>
      <c r="T42" s="93" t="str">
        <f t="shared" si="49"/>
        <v>.</v>
      </c>
      <c r="U42" s="93" t="str">
        <f t="shared" si="49"/>
        <v>.</v>
      </c>
      <c r="V42" s="93" t="str">
        <f t="shared" si="49"/>
        <v>.</v>
      </c>
      <c r="W42" s="93" t="str">
        <f t="shared" si="49"/>
        <v>.</v>
      </c>
      <c r="X42" s="93" t="str">
        <f t="shared" si="49"/>
        <v>.</v>
      </c>
      <c r="Y42" s="93" t="str">
        <f t="shared" si="49"/>
        <v>.</v>
      </c>
      <c r="Z42" s="93" t="str">
        <f t="shared" si="49"/>
        <v>.</v>
      </c>
      <c r="AA42" s="93" t="str">
        <f t="shared" si="49"/>
        <v>.</v>
      </c>
      <c r="AB42" s="93" t="str">
        <f t="shared" si="49"/>
        <v>.</v>
      </c>
      <c r="AC42" s="93" t="str">
        <f t="shared" si="49"/>
        <v>.</v>
      </c>
      <c r="AD42" s="93" t="str">
        <f t="shared" si="49"/>
        <v>.</v>
      </c>
      <c r="AE42" s="93" t="str">
        <f t="shared" si="49"/>
        <v>.</v>
      </c>
      <c r="AF42" s="93" t="str">
        <f t="shared" si="49"/>
        <v>.</v>
      </c>
      <c r="AG42" s="93" t="str">
        <f t="shared" si="49"/>
        <v>.</v>
      </c>
      <c r="AH42" s="93" t="str">
        <f t="shared" si="49"/>
        <v>.</v>
      </c>
      <c r="AI42" s="93" t="str">
        <f t="shared" ref="AI42:BB42" si="50">IFERROR(AI19/$B42,".")</f>
        <v>.</v>
      </c>
      <c r="AJ42" s="93" t="str">
        <f t="shared" si="50"/>
        <v>.</v>
      </c>
      <c r="AK42" s="93" t="str">
        <f t="shared" si="50"/>
        <v>.</v>
      </c>
      <c r="AL42" s="93" t="str">
        <f t="shared" si="50"/>
        <v>.</v>
      </c>
      <c r="AM42" s="93" t="str">
        <f t="shared" si="50"/>
        <v>.</v>
      </c>
      <c r="AN42" s="93" t="str">
        <f t="shared" si="50"/>
        <v>.</v>
      </c>
      <c r="AO42" s="93" t="str">
        <f t="shared" si="50"/>
        <v>.</v>
      </c>
      <c r="AP42" s="93" t="str">
        <f t="shared" si="50"/>
        <v>.</v>
      </c>
      <c r="AQ42" s="93" t="str">
        <f t="shared" si="50"/>
        <v>.</v>
      </c>
      <c r="AR42" s="93" t="str">
        <f t="shared" si="50"/>
        <v>.</v>
      </c>
      <c r="AS42" s="93" t="str">
        <f t="shared" si="50"/>
        <v>.</v>
      </c>
      <c r="AT42" s="93" t="str">
        <f t="shared" si="50"/>
        <v>.</v>
      </c>
      <c r="AU42" s="93" t="str">
        <f t="shared" si="50"/>
        <v>.</v>
      </c>
      <c r="AV42" s="93" t="str">
        <f t="shared" si="50"/>
        <v>.</v>
      </c>
      <c r="AW42" s="93" t="str">
        <f t="shared" si="50"/>
        <v>.</v>
      </c>
      <c r="AX42" s="93" t="str">
        <f t="shared" si="50"/>
        <v>.</v>
      </c>
      <c r="AY42" s="93" t="str">
        <f t="shared" si="50"/>
        <v>.</v>
      </c>
      <c r="AZ42" s="93" t="str">
        <f t="shared" si="50"/>
        <v>.</v>
      </c>
      <c r="BA42" s="93" t="str">
        <f t="shared" si="50"/>
        <v>.</v>
      </c>
      <c r="BB42" s="93" t="str">
        <f t="shared" si="50"/>
        <v>.</v>
      </c>
      <c r="BC42" s="94" t="str">
        <f t="shared" si="33"/>
        <v>.</v>
      </c>
      <c r="BD42" s="94" t="str">
        <f>IF(AD42=".",".",s_RadSpec!$F$19*(BD19*$B42))</f>
        <v>.</v>
      </c>
      <c r="BE42" s="94" t="str">
        <f>IF(AE42=".",".",s_RadSpec!$F$19*(BE19*$B42))</f>
        <v>.</v>
      </c>
      <c r="BF42" s="94" t="str">
        <f>IF(AF42=".",".",s_RadSpec!$F$19*(BF19*$B42))</f>
        <v>.</v>
      </c>
      <c r="BG42" s="94" t="str">
        <f>IF(AG42=".",".",s_RadSpec!$F$19*(BG19*$B42))</f>
        <v>.</v>
      </c>
      <c r="BH42" s="94" t="str">
        <f>IF(AH42=".",".",s_RadSpec!$F$19*(BH19*$B42))</f>
        <v>.</v>
      </c>
      <c r="BI42" s="94" t="str">
        <f>IF(AI42=".",".",s_RadSpec!$F$19*(BI19*$B42))</f>
        <v>.</v>
      </c>
      <c r="BJ42" s="94" t="str">
        <f>IF(AJ42=".",".",s_RadSpec!$F$19*(BJ19*$B42))</f>
        <v>.</v>
      </c>
      <c r="BK42" s="94" t="str">
        <f>IF(AK42=".",".",s_RadSpec!$F$19*(BK19*$B42))</f>
        <v>.</v>
      </c>
      <c r="BL42" s="94" t="str">
        <f>IF(AL42=".",".",s_RadSpec!$F$19*(BL19*$B42))</f>
        <v>.</v>
      </c>
      <c r="BM42" s="94" t="str">
        <f>IF(AM42=".",".",s_RadSpec!$F$19*(BM19*$B42))</f>
        <v>.</v>
      </c>
      <c r="BN42" s="94" t="str">
        <f>IF(AN42=".",".",s_RadSpec!$F$19*(BN19*$B42))</f>
        <v>.</v>
      </c>
      <c r="BO42" s="94" t="str">
        <f>IF(AO42=".",".",s_RadSpec!$F$19*(BO19*$B42))</f>
        <v>.</v>
      </c>
      <c r="BP42" s="94" t="str">
        <f>IF(AP42=".",".",s_RadSpec!$F$19*(BP19*$B42))</f>
        <v>.</v>
      </c>
      <c r="BQ42" s="94" t="str">
        <f>IF(AQ42=".",".",s_RadSpec!$F$19*(BQ19*$B42))</f>
        <v>.</v>
      </c>
      <c r="BR42" s="94" t="str">
        <f>IF(AR42=".",".",s_RadSpec!$F$19*(BR19*$B42))</f>
        <v>.</v>
      </c>
      <c r="BS42" s="94" t="str">
        <f>IF(AS42=".",".",s_RadSpec!$F$19*(BS19*$B42))</f>
        <v>.</v>
      </c>
      <c r="BT42" s="94" t="str">
        <f>IF(AT42=".",".",s_RadSpec!$F$19*(BT19*$B42))</f>
        <v>.</v>
      </c>
      <c r="BU42" s="94" t="str">
        <f>IF(AU42=".",".",s_RadSpec!$F$19*(BU19*$B42))</f>
        <v>.</v>
      </c>
      <c r="BV42" s="94" t="str">
        <f>IF(AV42=".",".",s_RadSpec!$F$19*(BV19*$B42))</f>
        <v>.</v>
      </c>
      <c r="BW42" s="94" t="str">
        <f>IF(AW42=".",".",s_RadSpec!$F$19*(BW19*$B42))</f>
        <v>.</v>
      </c>
      <c r="BX42" s="94" t="str">
        <f>IF(AX42=".",".",s_RadSpec!$F$19*(BX19*$B42))</f>
        <v>.</v>
      </c>
      <c r="BY42" s="94" t="str">
        <f>IF(AY42=".",".",s_RadSpec!$F$19*(BY19*$B42))</f>
        <v>.</v>
      </c>
      <c r="BZ42" s="94" t="str">
        <f>IF(AZ42=".",".",s_RadSpec!$F$19*(BZ19*$B42))</f>
        <v>.</v>
      </c>
      <c r="CA42" s="94" t="str">
        <f>IF(BA42=".",".",s_RadSpec!$F$19*(CA19*$B42))</f>
        <v>.</v>
      </c>
      <c r="CB42" s="94" t="str">
        <f>IF(BB42=".",".",s_RadSpec!$F$19*(CB19*$B42))</f>
        <v>.</v>
      </c>
    </row>
    <row r="43" spans="1:80" x14ac:dyDescent="0.25">
      <c r="A43" s="92" t="s">
        <v>1071</v>
      </c>
      <c r="B43" s="84">
        <v>2.0897492E-2</v>
      </c>
      <c r="C43" s="93" t="str">
        <f t="shared" ref="C43:AH43" si="51">IFERROR(C28/$B43,".")</f>
        <v>.</v>
      </c>
      <c r="D43" s="93" t="str">
        <f t="shared" si="51"/>
        <v>.</v>
      </c>
      <c r="E43" s="93" t="str">
        <f t="shared" si="51"/>
        <v>.</v>
      </c>
      <c r="F43" s="93" t="str">
        <f t="shared" si="51"/>
        <v>.</v>
      </c>
      <c r="G43" s="93" t="str">
        <f t="shared" si="51"/>
        <v>.</v>
      </c>
      <c r="H43" s="93" t="str">
        <f t="shared" si="51"/>
        <v>.</v>
      </c>
      <c r="I43" s="93" t="str">
        <f t="shared" si="51"/>
        <v>.</v>
      </c>
      <c r="J43" s="93" t="str">
        <f t="shared" si="51"/>
        <v>.</v>
      </c>
      <c r="K43" s="93" t="str">
        <f t="shared" si="51"/>
        <v>.</v>
      </c>
      <c r="L43" s="93" t="str">
        <f t="shared" si="51"/>
        <v>.</v>
      </c>
      <c r="M43" s="93" t="str">
        <f t="shared" si="51"/>
        <v>.</v>
      </c>
      <c r="N43" s="93" t="str">
        <f t="shared" si="51"/>
        <v>.</v>
      </c>
      <c r="O43" s="93" t="str">
        <f t="shared" si="51"/>
        <v>.</v>
      </c>
      <c r="P43" s="93" t="str">
        <f t="shared" si="51"/>
        <v>.</v>
      </c>
      <c r="Q43" s="93" t="str">
        <f t="shared" si="51"/>
        <v>.</v>
      </c>
      <c r="R43" s="93" t="str">
        <f t="shared" si="51"/>
        <v>.</v>
      </c>
      <c r="S43" s="93" t="str">
        <f t="shared" si="51"/>
        <v>.</v>
      </c>
      <c r="T43" s="93" t="str">
        <f t="shared" si="51"/>
        <v>.</v>
      </c>
      <c r="U43" s="93" t="str">
        <f t="shared" si="51"/>
        <v>.</v>
      </c>
      <c r="V43" s="93" t="str">
        <f t="shared" si="51"/>
        <v>.</v>
      </c>
      <c r="W43" s="93" t="str">
        <f t="shared" si="51"/>
        <v>.</v>
      </c>
      <c r="X43" s="93" t="str">
        <f t="shared" si="51"/>
        <v>.</v>
      </c>
      <c r="Y43" s="93" t="str">
        <f t="shared" si="51"/>
        <v>.</v>
      </c>
      <c r="Z43" s="93" t="str">
        <f t="shared" si="51"/>
        <v>.</v>
      </c>
      <c r="AA43" s="93" t="str">
        <f t="shared" si="51"/>
        <v>.</v>
      </c>
      <c r="AB43" s="93" t="str">
        <f t="shared" si="51"/>
        <v>.</v>
      </c>
      <c r="AC43" s="93" t="str">
        <f t="shared" si="51"/>
        <v>.</v>
      </c>
      <c r="AD43" s="93" t="str">
        <f t="shared" si="51"/>
        <v>.</v>
      </c>
      <c r="AE43" s="93" t="str">
        <f t="shared" si="51"/>
        <v>.</v>
      </c>
      <c r="AF43" s="93" t="str">
        <f t="shared" si="51"/>
        <v>.</v>
      </c>
      <c r="AG43" s="93" t="str">
        <f t="shared" si="51"/>
        <v>.</v>
      </c>
      <c r="AH43" s="93" t="str">
        <f t="shared" si="51"/>
        <v>.</v>
      </c>
      <c r="AI43" s="93" t="str">
        <f t="shared" ref="AI43:BB43" si="52">IFERROR(AI28/$B43,".")</f>
        <v>.</v>
      </c>
      <c r="AJ43" s="93" t="str">
        <f t="shared" si="52"/>
        <v>.</v>
      </c>
      <c r="AK43" s="93" t="str">
        <f t="shared" si="52"/>
        <v>.</v>
      </c>
      <c r="AL43" s="93" t="str">
        <f t="shared" si="52"/>
        <v>.</v>
      </c>
      <c r="AM43" s="93" t="str">
        <f t="shared" si="52"/>
        <v>.</v>
      </c>
      <c r="AN43" s="93" t="str">
        <f t="shared" si="52"/>
        <v>.</v>
      </c>
      <c r="AO43" s="93" t="str">
        <f t="shared" si="52"/>
        <v>.</v>
      </c>
      <c r="AP43" s="93" t="str">
        <f t="shared" si="52"/>
        <v>.</v>
      </c>
      <c r="AQ43" s="93" t="str">
        <f t="shared" si="52"/>
        <v>.</v>
      </c>
      <c r="AR43" s="93" t="str">
        <f t="shared" si="52"/>
        <v>.</v>
      </c>
      <c r="AS43" s="93" t="str">
        <f t="shared" si="52"/>
        <v>.</v>
      </c>
      <c r="AT43" s="93" t="str">
        <f t="shared" si="52"/>
        <v>.</v>
      </c>
      <c r="AU43" s="93" t="str">
        <f t="shared" si="52"/>
        <v>.</v>
      </c>
      <c r="AV43" s="93" t="str">
        <f t="shared" si="52"/>
        <v>.</v>
      </c>
      <c r="AW43" s="93" t="str">
        <f t="shared" si="52"/>
        <v>.</v>
      </c>
      <c r="AX43" s="93" t="str">
        <f t="shared" si="52"/>
        <v>.</v>
      </c>
      <c r="AY43" s="93" t="str">
        <f t="shared" si="52"/>
        <v>.</v>
      </c>
      <c r="AZ43" s="93" t="str">
        <f t="shared" si="52"/>
        <v>.</v>
      </c>
      <c r="BA43" s="93" t="str">
        <f t="shared" si="52"/>
        <v>.</v>
      </c>
      <c r="BB43" s="93" t="str">
        <f t="shared" si="52"/>
        <v>.</v>
      </c>
      <c r="BC43" s="94" t="str">
        <f t="shared" si="33"/>
        <v>.</v>
      </c>
      <c r="BD43" s="94" t="str">
        <f>IF(AD43=".",".",s_RadSpec!$F$28*(BD28*$B43))</f>
        <v>.</v>
      </c>
      <c r="BE43" s="94" t="str">
        <f>IF(AE43=".",".",s_RadSpec!$F$28*(BE28*$B43))</f>
        <v>.</v>
      </c>
      <c r="BF43" s="94" t="str">
        <f>IF(AF43=".",".",s_RadSpec!$F$28*(BF28*$B43))</f>
        <v>.</v>
      </c>
      <c r="BG43" s="94" t="str">
        <f>IF(AG43=".",".",s_RadSpec!$F$28*(BG28*$B43))</f>
        <v>.</v>
      </c>
      <c r="BH43" s="94" t="str">
        <f>IF(AH43=".",".",s_RadSpec!$F$28*(BH28*$B43))</f>
        <v>.</v>
      </c>
      <c r="BI43" s="94" t="str">
        <f>IF(AI43=".",".",s_RadSpec!$F$28*(BI28*$B43))</f>
        <v>.</v>
      </c>
      <c r="BJ43" s="94" t="str">
        <f>IF(AJ43=".",".",s_RadSpec!$F$28*(BJ28*$B43))</f>
        <v>.</v>
      </c>
      <c r="BK43" s="94" t="str">
        <f>IF(AK43=".",".",s_RadSpec!$F$28*(BK28*$B43))</f>
        <v>.</v>
      </c>
      <c r="BL43" s="94" t="str">
        <f>IF(AL43=".",".",s_RadSpec!$F$28*(BL28*$B43))</f>
        <v>.</v>
      </c>
      <c r="BM43" s="94" t="str">
        <f>IF(AM43=".",".",s_RadSpec!$F$28*(BM28*$B43))</f>
        <v>.</v>
      </c>
      <c r="BN43" s="94" t="str">
        <f>IF(AN43=".",".",s_RadSpec!$F$28*(BN28*$B43))</f>
        <v>.</v>
      </c>
      <c r="BO43" s="94" t="str">
        <f>IF(AO43=".",".",s_RadSpec!$F$28*(BO28*$B43))</f>
        <v>.</v>
      </c>
      <c r="BP43" s="94" t="str">
        <f>IF(AP43=".",".",s_RadSpec!$F$28*(BP28*$B43))</f>
        <v>.</v>
      </c>
      <c r="BQ43" s="94" t="str">
        <f>IF(AQ43=".",".",s_RadSpec!$F$28*(BQ28*$B43))</f>
        <v>.</v>
      </c>
      <c r="BR43" s="94" t="str">
        <f>IF(AR43=".",".",s_RadSpec!$F$28*(BR28*$B43))</f>
        <v>.</v>
      </c>
      <c r="BS43" s="94" t="str">
        <f>IF(AS43=".",".",s_RadSpec!$F$28*(BS28*$B43))</f>
        <v>.</v>
      </c>
      <c r="BT43" s="94" t="str">
        <f>IF(AT43=".",".",s_RadSpec!$F$28*(BT28*$B43))</f>
        <v>.</v>
      </c>
      <c r="BU43" s="94" t="str">
        <f>IF(AU43=".",".",s_RadSpec!$F$28*(BU28*$B43))</f>
        <v>.</v>
      </c>
      <c r="BV43" s="94" t="str">
        <f>IF(AV43=".",".",s_RadSpec!$F$28*(BV28*$B43))</f>
        <v>.</v>
      </c>
      <c r="BW43" s="94" t="str">
        <f>IF(AW43=".",".",s_RadSpec!$F$28*(BW28*$B43))</f>
        <v>.</v>
      </c>
      <c r="BX43" s="94" t="str">
        <f>IF(AX43=".",".",s_RadSpec!$F$28*(BX28*$B43))</f>
        <v>.</v>
      </c>
      <c r="BY43" s="94" t="str">
        <f>IF(AY43=".",".",s_RadSpec!$F$28*(BY28*$B43))</f>
        <v>.</v>
      </c>
      <c r="BZ43" s="94" t="str">
        <f>IF(AZ43=".",".",s_RadSpec!$F$28*(BZ28*$B43))</f>
        <v>.</v>
      </c>
      <c r="CA43" s="94" t="str">
        <f>IF(BA43=".",".",s_RadSpec!$F$28*(CA28*$B43))</f>
        <v>.</v>
      </c>
      <c r="CB43" s="94" t="str">
        <f>IF(BB43=".",".",s_RadSpec!$F$28*(CB28*$B43))</f>
        <v>.</v>
      </c>
    </row>
    <row r="44" spans="1:80" x14ac:dyDescent="0.25">
      <c r="A44" s="92" t="s">
        <v>1072</v>
      </c>
      <c r="B44" s="84">
        <v>0.99987999999999999</v>
      </c>
      <c r="C44" s="93">
        <f t="shared" ref="C44:AH44" si="53">IFERROR(C15/$B44,".")</f>
        <v>2990.5042383867335</v>
      </c>
      <c r="D44" s="93">
        <f t="shared" si="53"/>
        <v>11962.016953546934</v>
      </c>
      <c r="E44" s="93">
        <f t="shared" si="53"/>
        <v>11962.016953546934</v>
      </c>
      <c r="F44" s="93">
        <f t="shared" si="53"/>
        <v>11962.016953546934</v>
      </c>
      <c r="G44" s="93">
        <f t="shared" si="53"/>
        <v>11962.016953546934</v>
      </c>
      <c r="H44" s="93">
        <f t="shared" si="53"/>
        <v>11962.016953546934</v>
      </c>
      <c r="I44" s="93">
        <f t="shared" si="53"/>
        <v>11962.016953546934</v>
      </c>
      <c r="J44" s="93">
        <f t="shared" si="53"/>
        <v>11962.016953546934</v>
      </c>
      <c r="K44" s="93">
        <f t="shared" si="53"/>
        <v>11962.016953546934</v>
      </c>
      <c r="L44" s="93">
        <f t="shared" si="53"/>
        <v>11962.016953546934</v>
      </c>
      <c r="M44" s="93">
        <f t="shared" si="53"/>
        <v>11962.016953546934</v>
      </c>
      <c r="N44" s="93">
        <f t="shared" si="53"/>
        <v>11962.016953546934</v>
      </c>
      <c r="O44" s="93">
        <f t="shared" si="53"/>
        <v>11962.016953546934</v>
      </c>
      <c r="P44" s="93">
        <f t="shared" si="53"/>
        <v>11962.016953546934</v>
      </c>
      <c r="Q44" s="93">
        <f t="shared" si="53"/>
        <v>11962.016953546934</v>
      </c>
      <c r="R44" s="93">
        <f t="shared" si="53"/>
        <v>11962.016953546934</v>
      </c>
      <c r="S44" s="93">
        <f t="shared" si="53"/>
        <v>11962.016953546934</v>
      </c>
      <c r="T44" s="93">
        <f t="shared" si="53"/>
        <v>11962.016953546934</v>
      </c>
      <c r="U44" s="93">
        <f t="shared" si="53"/>
        <v>11962.016953546934</v>
      </c>
      <c r="V44" s="93">
        <f t="shared" si="53"/>
        <v>11962.016953546934</v>
      </c>
      <c r="W44" s="93">
        <f t="shared" si="53"/>
        <v>11962.016953546934</v>
      </c>
      <c r="X44" s="93">
        <f t="shared" si="53"/>
        <v>11962.016953546934</v>
      </c>
      <c r="Y44" s="93">
        <f t="shared" si="53"/>
        <v>11962.016953546934</v>
      </c>
      <c r="Z44" s="93">
        <f t="shared" si="53"/>
        <v>11962.016953546934</v>
      </c>
      <c r="AA44" s="93">
        <f t="shared" si="53"/>
        <v>11962.016953546934</v>
      </c>
      <c r="AB44" s="93">
        <f t="shared" si="53"/>
        <v>11962.016953546934</v>
      </c>
      <c r="AC44" s="93">
        <f t="shared" si="53"/>
        <v>2990.5042383867335</v>
      </c>
      <c r="AD44" s="93">
        <f t="shared" si="53"/>
        <v>11962.016953546934</v>
      </c>
      <c r="AE44" s="93">
        <f t="shared" si="53"/>
        <v>11962.016953546934</v>
      </c>
      <c r="AF44" s="93">
        <f t="shared" si="53"/>
        <v>11962.016953546934</v>
      </c>
      <c r="AG44" s="93">
        <f t="shared" si="53"/>
        <v>11962.016953546934</v>
      </c>
      <c r="AH44" s="93">
        <f t="shared" si="53"/>
        <v>11962.016953546934</v>
      </c>
      <c r="AI44" s="93">
        <f t="shared" ref="AI44:BB44" si="54">IFERROR(AI15/$B44,".")</f>
        <v>11962.016953546934</v>
      </c>
      <c r="AJ44" s="93">
        <f t="shared" si="54"/>
        <v>11962.016953546934</v>
      </c>
      <c r="AK44" s="93">
        <f t="shared" si="54"/>
        <v>11962.016953546934</v>
      </c>
      <c r="AL44" s="93">
        <f t="shared" si="54"/>
        <v>11962.016953546934</v>
      </c>
      <c r="AM44" s="93">
        <f t="shared" si="54"/>
        <v>11962.016953546934</v>
      </c>
      <c r="AN44" s="93">
        <f t="shared" si="54"/>
        <v>11962.016953546934</v>
      </c>
      <c r="AO44" s="93">
        <f t="shared" si="54"/>
        <v>11962.016953546934</v>
      </c>
      <c r="AP44" s="93">
        <f t="shared" si="54"/>
        <v>11962.016953546934</v>
      </c>
      <c r="AQ44" s="93">
        <f t="shared" si="54"/>
        <v>11962.016953546934</v>
      </c>
      <c r="AR44" s="93">
        <f t="shared" si="54"/>
        <v>11962.016953546934</v>
      </c>
      <c r="AS44" s="93">
        <f t="shared" si="54"/>
        <v>11962.016953546934</v>
      </c>
      <c r="AT44" s="93">
        <f t="shared" si="54"/>
        <v>11962.016953546934</v>
      </c>
      <c r="AU44" s="93">
        <f t="shared" si="54"/>
        <v>11962.016953546934</v>
      </c>
      <c r="AV44" s="93">
        <f t="shared" si="54"/>
        <v>11962.016953546934</v>
      </c>
      <c r="AW44" s="93">
        <f t="shared" si="54"/>
        <v>11962.016953546934</v>
      </c>
      <c r="AX44" s="93">
        <f t="shared" si="54"/>
        <v>11962.016953546934</v>
      </c>
      <c r="AY44" s="93">
        <f t="shared" si="54"/>
        <v>11962.016953546934</v>
      </c>
      <c r="AZ44" s="93">
        <f t="shared" si="54"/>
        <v>11962.016953546934</v>
      </c>
      <c r="BA44" s="93">
        <f t="shared" si="54"/>
        <v>11962.016953546934</v>
      </c>
      <c r="BB44" s="93">
        <f t="shared" si="54"/>
        <v>11962.016953546934</v>
      </c>
      <c r="BC44" s="94">
        <f t="shared" si="33"/>
        <v>8.359794204299999E-3</v>
      </c>
      <c r="BD44" s="94">
        <f>IF(AD44=".",".",s_RadSpec!$F$15*(BD15*$B44))</f>
        <v>2.0899485510749998E-3</v>
      </c>
      <c r="BE44" s="94">
        <f>IF(AE44=".",".",s_RadSpec!$F$15*(BE15*$B44))</f>
        <v>2.0899485510749998E-3</v>
      </c>
      <c r="BF44" s="94">
        <f>IF(AF44=".",".",s_RadSpec!$F$15*(BF15*$B44))</f>
        <v>2.0899485510749998E-3</v>
      </c>
      <c r="BG44" s="94">
        <f>IF(AG44=".",".",s_RadSpec!$F$15*(BG15*$B44))</f>
        <v>2.0899485510749998E-3</v>
      </c>
      <c r="BH44" s="94">
        <f>IF(AH44=".",".",s_RadSpec!$F$15*(BH15*$B44))</f>
        <v>2.0899485510749998E-3</v>
      </c>
      <c r="BI44" s="94">
        <f>IF(AI44=".",".",s_RadSpec!$F$15*(BI15*$B44))</f>
        <v>2.0899485510749998E-3</v>
      </c>
      <c r="BJ44" s="94">
        <f>IF(AJ44=".",".",s_RadSpec!$F$15*(BJ15*$B44))</f>
        <v>2.0899485510749998E-3</v>
      </c>
      <c r="BK44" s="94">
        <f>IF(AK44=".",".",s_RadSpec!$F$15*(BK15*$B44))</f>
        <v>2.0899485510749998E-3</v>
      </c>
      <c r="BL44" s="94">
        <f>IF(AL44=".",".",s_RadSpec!$F$15*(BL15*$B44))</f>
        <v>2.0899485510749998E-3</v>
      </c>
      <c r="BM44" s="94">
        <f>IF(AM44=".",".",s_RadSpec!$F$15*(BM15*$B44))</f>
        <v>2.0899485510749998E-3</v>
      </c>
      <c r="BN44" s="94">
        <f>IF(AN44=".",".",s_RadSpec!$F$15*(BN15*$B44))</f>
        <v>2.0899485510749998E-3</v>
      </c>
      <c r="BO44" s="94">
        <f>IF(AO44=".",".",s_RadSpec!$F$15*(BO15*$B44))</f>
        <v>2.0899485510749998E-3</v>
      </c>
      <c r="BP44" s="94">
        <f>IF(AP44=".",".",s_RadSpec!$F$15*(BP15*$B44))</f>
        <v>2.0899485510749998E-3</v>
      </c>
      <c r="BQ44" s="94">
        <f>IF(AQ44=".",".",s_RadSpec!$F$15*(BQ15*$B44))</f>
        <v>2.0899485510749998E-3</v>
      </c>
      <c r="BR44" s="94">
        <f>IF(AR44=".",".",s_RadSpec!$F$15*(BR15*$B44))</f>
        <v>2.0899485510749998E-3</v>
      </c>
      <c r="BS44" s="94">
        <f>IF(AS44=".",".",s_RadSpec!$F$15*(BS15*$B44))</f>
        <v>2.0899485510749998E-3</v>
      </c>
      <c r="BT44" s="94">
        <f>IF(AT44=".",".",s_RadSpec!$F$15*(BT15*$B44))</f>
        <v>2.0899485510749998E-3</v>
      </c>
      <c r="BU44" s="94">
        <f>IF(AU44=".",".",s_RadSpec!$F$15*(BU15*$B44))</f>
        <v>2.0899485510749998E-3</v>
      </c>
      <c r="BV44" s="94">
        <f>IF(AV44=".",".",s_RadSpec!$F$15*(BV15*$B44))</f>
        <v>2.0899485510749998E-3</v>
      </c>
      <c r="BW44" s="94">
        <f>IF(AW44=".",".",s_RadSpec!$F$15*(BW15*$B44))</f>
        <v>2.0899485510749998E-3</v>
      </c>
      <c r="BX44" s="94">
        <f>IF(AX44=".",".",s_RadSpec!$F$15*(BX15*$B44))</f>
        <v>2.0899485510749998E-3</v>
      </c>
      <c r="BY44" s="94">
        <f>IF(AY44=".",".",s_RadSpec!$F$15*(BY15*$B44))</f>
        <v>2.0899485510749998E-3</v>
      </c>
      <c r="BZ44" s="94">
        <f>IF(AZ44=".",".",s_RadSpec!$F$15*(BZ15*$B44))</f>
        <v>2.0899485510749998E-3</v>
      </c>
      <c r="CA44" s="94">
        <f>IF(BA44=".",".",s_RadSpec!$F$15*(CA15*$B44))</f>
        <v>2.0899485510749998E-3</v>
      </c>
      <c r="CB44" s="94">
        <f>IF(BB44=".",".",s_RadSpec!$F$15*(CB15*$B44))</f>
        <v>2.0899485510749998E-3</v>
      </c>
    </row>
    <row r="45" spans="1:80" x14ac:dyDescent="0.25">
      <c r="A45" s="89" t="s">
        <v>8</v>
      </c>
      <c r="B45" s="89" t="s">
        <v>1057</v>
      </c>
      <c r="C45" s="90">
        <f t="shared" ref="C45:AH45" si="55">IFERROR(1/SUM(IFERROR(1/SUMIF(C46,"&lt;&gt;.",C46),0),IFERROR(1/SUMIF(C47,"&lt;&gt;.",C47),0)),".")</f>
        <v>16.794275167480908</v>
      </c>
      <c r="D45" s="90">
        <f t="shared" si="55"/>
        <v>67.177100669923632</v>
      </c>
      <c r="E45" s="90">
        <f t="shared" si="55"/>
        <v>67.177100669923632</v>
      </c>
      <c r="F45" s="90">
        <f t="shared" si="55"/>
        <v>67.177100669923632</v>
      </c>
      <c r="G45" s="90">
        <f t="shared" si="55"/>
        <v>67.177100669923632</v>
      </c>
      <c r="H45" s="90">
        <f t="shared" si="55"/>
        <v>67.177100669923632</v>
      </c>
      <c r="I45" s="90">
        <f t="shared" si="55"/>
        <v>67.177100669923632</v>
      </c>
      <c r="J45" s="90">
        <f t="shared" si="55"/>
        <v>67.177100669923632</v>
      </c>
      <c r="K45" s="90">
        <f t="shared" si="55"/>
        <v>67.177100669923632</v>
      </c>
      <c r="L45" s="90">
        <f t="shared" si="55"/>
        <v>67.177100669923632</v>
      </c>
      <c r="M45" s="90">
        <f t="shared" si="55"/>
        <v>67.177100669923632</v>
      </c>
      <c r="N45" s="90">
        <f t="shared" si="55"/>
        <v>67.177100669923632</v>
      </c>
      <c r="O45" s="90">
        <f t="shared" si="55"/>
        <v>67.177100669923632</v>
      </c>
      <c r="P45" s="90">
        <f t="shared" si="55"/>
        <v>67.177100669923632</v>
      </c>
      <c r="Q45" s="90">
        <f t="shared" si="55"/>
        <v>67.177100669923632</v>
      </c>
      <c r="R45" s="90">
        <f t="shared" si="55"/>
        <v>67.177100669923632</v>
      </c>
      <c r="S45" s="90">
        <f t="shared" si="55"/>
        <v>67.177100669923632</v>
      </c>
      <c r="T45" s="90">
        <f t="shared" si="55"/>
        <v>67.177100669923632</v>
      </c>
      <c r="U45" s="90">
        <f t="shared" si="55"/>
        <v>67.177100669923632</v>
      </c>
      <c r="V45" s="90">
        <f t="shared" si="55"/>
        <v>67.177100669923632</v>
      </c>
      <c r="W45" s="90">
        <f t="shared" si="55"/>
        <v>67.177100669923632</v>
      </c>
      <c r="X45" s="90">
        <f t="shared" si="55"/>
        <v>67.177100669923632</v>
      </c>
      <c r="Y45" s="90">
        <f t="shared" si="55"/>
        <v>67.177100669923632</v>
      </c>
      <c r="Z45" s="90">
        <f t="shared" si="55"/>
        <v>67.177100669923632</v>
      </c>
      <c r="AA45" s="90">
        <f t="shared" si="55"/>
        <v>67.177100669923632</v>
      </c>
      <c r="AB45" s="90">
        <f t="shared" si="55"/>
        <v>67.177100669923632</v>
      </c>
      <c r="AC45" s="90">
        <f t="shared" si="55"/>
        <v>16.794275167480908</v>
      </c>
      <c r="AD45" s="90">
        <f t="shared" si="55"/>
        <v>67.177100669923632</v>
      </c>
      <c r="AE45" s="90">
        <f t="shared" si="55"/>
        <v>67.177100669923632</v>
      </c>
      <c r="AF45" s="90">
        <f t="shared" si="55"/>
        <v>67.177100669923632</v>
      </c>
      <c r="AG45" s="90">
        <f t="shared" si="55"/>
        <v>67.177100669923632</v>
      </c>
      <c r="AH45" s="90">
        <f t="shared" si="55"/>
        <v>67.177100669923632</v>
      </c>
      <c r="AI45" s="90">
        <f t="shared" ref="AI45:BB45" si="56">IFERROR(1/SUM(IFERROR(1/SUMIF(AI46,"&lt;&gt;.",AI46),0),IFERROR(1/SUMIF(AI47,"&lt;&gt;.",AI47),0)),".")</f>
        <v>67.177100669923632</v>
      </c>
      <c r="AJ45" s="90">
        <f t="shared" si="56"/>
        <v>67.177100669923632</v>
      </c>
      <c r="AK45" s="90">
        <f t="shared" si="56"/>
        <v>67.177100669923632</v>
      </c>
      <c r="AL45" s="90">
        <f t="shared" si="56"/>
        <v>67.177100669923632</v>
      </c>
      <c r="AM45" s="90">
        <f t="shared" si="56"/>
        <v>67.177100669923632</v>
      </c>
      <c r="AN45" s="90">
        <f t="shared" si="56"/>
        <v>67.177100669923632</v>
      </c>
      <c r="AO45" s="90">
        <f t="shared" si="56"/>
        <v>67.177100669923632</v>
      </c>
      <c r="AP45" s="90">
        <f t="shared" si="56"/>
        <v>67.177100669923632</v>
      </c>
      <c r="AQ45" s="90">
        <f t="shared" si="56"/>
        <v>67.177100669923632</v>
      </c>
      <c r="AR45" s="90">
        <f t="shared" si="56"/>
        <v>67.177100669923632</v>
      </c>
      <c r="AS45" s="90">
        <f t="shared" si="56"/>
        <v>67.177100669923632</v>
      </c>
      <c r="AT45" s="90">
        <f t="shared" si="56"/>
        <v>67.177100669923632</v>
      </c>
      <c r="AU45" s="90">
        <f t="shared" si="56"/>
        <v>67.177100669923632</v>
      </c>
      <c r="AV45" s="90">
        <f t="shared" si="56"/>
        <v>67.177100669923632</v>
      </c>
      <c r="AW45" s="90">
        <f t="shared" si="56"/>
        <v>67.177100669923632</v>
      </c>
      <c r="AX45" s="90">
        <f t="shared" si="56"/>
        <v>67.177100669923632</v>
      </c>
      <c r="AY45" s="90">
        <f t="shared" si="56"/>
        <v>67.177100669923632</v>
      </c>
      <c r="AZ45" s="90">
        <f t="shared" si="56"/>
        <v>67.177100669923632</v>
      </c>
      <c r="BA45" s="90">
        <f t="shared" si="56"/>
        <v>67.177100669923632</v>
      </c>
      <c r="BB45" s="90">
        <f t="shared" si="56"/>
        <v>67.177100669923632</v>
      </c>
      <c r="BC45" s="91">
        <f>IFERROR(SUM(BD46:BD47,BU46:BU47,CA46:CA47,CB46:CB47),".")</f>
        <v>1.4886025000000001</v>
      </c>
      <c r="BD45" s="91">
        <f>IFERROR(SUM(BD46:BD47),".")</f>
        <v>0.37215062500000001</v>
      </c>
      <c r="BE45" s="91">
        <f t="shared" ref="BE45:CB45" si="57">IFERROR(SUM(BE46:BE47),".")</f>
        <v>0.37215062500000001</v>
      </c>
      <c r="BF45" s="91">
        <f t="shared" si="57"/>
        <v>0.37215062500000001</v>
      </c>
      <c r="BG45" s="91">
        <f t="shared" si="57"/>
        <v>0.37215062500000001</v>
      </c>
      <c r="BH45" s="91">
        <f t="shared" si="57"/>
        <v>0.37215062500000001</v>
      </c>
      <c r="BI45" s="91">
        <f t="shared" si="57"/>
        <v>0.37215062500000001</v>
      </c>
      <c r="BJ45" s="91">
        <f t="shared" si="57"/>
        <v>0.37215062500000001</v>
      </c>
      <c r="BK45" s="91">
        <f t="shared" si="57"/>
        <v>0.37215062500000001</v>
      </c>
      <c r="BL45" s="91">
        <f t="shared" si="57"/>
        <v>0.37215062500000001</v>
      </c>
      <c r="BM45" s="91">
        <f t="shared" si="57"/>
        <v>0.37215062500000001</v>
      </c>
      <c r="BN45" s="91">
        <f t="shared" si="57"/>
        <v>0.37215062500000001</v>
      </c>
      <c r="BO45" s="91">
        <f t="shared" si="57"/>
        <v>0.37215062500000001</v>
      </c>
      <c r="BP45" s="91">
        <f t="shared" si="57"/>
        <v>0.37215062500000001</v>
      </c>
      <c r="BQ45" s="91">
        <f t="shared" si="57"/>
        <v>0.37215062500000001</v>
      </c>
      <c r="BR45" s="91">
        <f t="shared" si="57"/>
        <v>0.37215062500000001</v>
      </c>
      <c r="BS45" s="91">
        <f t="shared" si="57"/>
        <v>0.37215062500000001</v>
      </c>
      <c r="BT45" s="91">
        <f t="shared" si="57"/>
        <v>0.37215062500000001</v>
      </c>
      <c r="BU45" s="91">
        <f t="shared" si="57"/>
        <v>0.37215062500000001</v>
      </c>
      <c r="BV45" s="91">
        <f t="shared" si="57"/>
        <v>0.37215062500000001</v>
      </c>
      <c r="BW45" s="91">
        <f t="shared" si="57"/>
        <v>0.37215062500000001</v>
      </c>
      <c r="BX45" s="91">
        <f t="shared" si="57"/>
        <v>0.37215062500000001</v>
      </c>
      <c r="BY45" s="91">
        <f t="shared" si="57"/>
        <v>0.37215062500000001</v>
      </c>
      <c r="BZ45" s="91">
        <f t="shared" si="57"/>
        <v>0.37215062500000001</v>
      </c>
      <c r="CA45" s="91">
        <f t="shared" si="57"/>
        <v>0.37215062500000001</v>
      </c>
      <c r="CB45" s="91">
        <f t="shared" si="57"/>
        <v>0.37215062500000001</v>
      </c>
    </row>
    <row r="46" spans="1:80" x14ac:dyDescent="0.25">
      <c r="A46" s="92" t="s">
        <v>1084</v>
      </c>
      <c r="B46" s="84">
        <v>1</v>
      </c>
      <c r="C46" s="93">
        <f t="shared" ref="C46:AH46" si="58">IFERROR(C10/$B46,".")</f>
        <v>16.794275167480908</v>
      </c>
      <c r="D46" s="93">
        <f t="shared" si="58"/>
        <v>67.177100669923632</v>
      </c>
      <c r="E46" s="93">
        <f t="shared" si="58"/>
        <v>67.177100669923632</v>
      </c>
      <c r="F46" s="93">
        <f t="shared" si="58"/>
        <v>67.177100669923632</v>
      </c>
      <c r="G46" s="93">
        <f t="shared" si="58"/>
        <v>67.177100669923632</v>
      </c>
      <c r="H46" s="93">
        <f t="shared" si="58"/>
        <v>67.177100669923632</v>
      </c>
      <c r="I46" s="93">
        <f t="shared" si="58"/>
        <v>67.177100669923632</v>
      </c>
      <c r="J46" s="93">
        <f t="shared" si="58"/>
        <v>67.177100669923632</v>
      </c>
      <c r="K46" s="93">
        <f t="shared" si="58"/>
        <v>67.177100669923632</v>
      </c>
      <c r="L46" s="93">
        <f t="shared" si="58"/>
        <v>67.177100669923632</v>
      </c>
      <c r="M46" s="93">
        <f t="shared" si="58"/>
        <v>67.177100669923632</v>
      </c>
      <c r="N46" s="93">
        <f t="shared" si="58"/>
        <v>67.177100669923632</v>
      </c>
      <c r="O46" s="93">
        <f t="shared" si="58"/>
        <v>67.177100669923632</v>
      </c>
      <c r="P46" s="93">
        <f t="shared" si="58"/>
        <v>67.177100669923632</v>
      </c>
      <c r="Q46" s="93">
        <f t="shared" si="58"/>
        <v>67.177100669923632</v>
      </c>
      <c r="R46" s="93">
        <f t="shared" si="58"/>
        <v>67.177100669923632</v>
      </c>
      <c r="S46" s="93">
        <f t="shared" si="58"/>
        <v>67.177100669923632</v>
      </c>
      <c r="T46" s="93">
        <f t="shared" si="58"/>
        <v>67.177100669923632</v>
      </c>
      <c r="U46" s="93">
        <f t="shared" si="58"/>
        <v>67.177100669923632</v>
      </c>
      <c r="V46" s="93">
        <f t="shared" si="58"/>
        <v>67.177100669923632</v>
      </c>
      <c r="W46" s="93">
        <f t="shared" si="58"/>
        <v>67.177100669923632</v>
      </c>
      <c r="X46" s="93">
        <f t="shared" si="58"/>
        <v>67.177100669923632</v>
      </c>
      <c r="Y46" s="93">
        <f t="shared" si="58"/>
        <v>67.177100669923632</v>
      </c>
      <c r="Z46" s="93">
        <f t="shared" si="58"/>
        <v>67.177100669923632</v>
      </c>
      <c r="AA46" s="93">
        <f t="shared" si="58"/>
        <v>67.177100669923632</v>
      </c>
      <c r="AB46" s="93">
        <f t="shared" si="58"/>
        <v>67.177100669923632</v>
      </c>
      <c r="AC46" s="93">
        <f t="shared" si="58"/>
        <v>16.794275167480908</v>
      </c>
      <c r="AD46" s="93">
        <f t="shared" si="58"/>
        <v>67.177100669923632</v>
      </c>
      <c r="AE46" s="93">
        <f t="shared" si="58"/>
        <v>67.177100669923632</v>
      </c>
      <c r="AF46" s="93">
        <f t="shared" si="58"/>
        <v>67.177100669923632</v>
      </c>
      <c r="AG46" s="93">
        <f t="shared" si="58"/>
        <v>67.177100669923632</v>
      </c>
      <c r="AH46" s="93">
        <f t="shared" si="58"/>
        <v>67.177100669923632</v>
      </c>
      <c r="AI46" s="93">
        <f t="shared" ref="AI46:BB46" si="59">IFERROR(AI10/$B46,".")</f>
        <v>67.177100669923632</v>
      </c>
      <c r="AJ46" s="93">
        <f t="shared" si="59"/>
        <v>67.177100669923632</v>
      </c>
      <c r="AK46" s="93">
        <f t="shared" si="59"/>
        <v>67.177100669923632</v>
      </c>
      <c r="AL46" s="93">
        <f t="shared" si="59"/>
        <v>67.177100669923632</v>
      </c>
      <c r="AM46" s="93">
        <f t="shared" si="59"/>
        <v>67.177100669923632</v>
      </c>
      <c r="AN46" s="93">
        <f t="shared" si="59"/>
        <v>67.177100669923632</v>
      </c>
      <c r="AO46" s="93">
        <f t="shared" si="59"/>
        <v>67.177100669923632</v>
      </c>
      <c r="AP46" s="93">
        <f t="shared" si="59"/>
        <v>67.177100669923632</v>
      </c>
      <c r="AQ46" s="93">
        <f t="shared" si="59"/>
        <v>67.177100669923632</v>
      </c>
      <c r="AR46" s="93">
        <f t="shared" si="59"/>
        <v>67.177100669923632</v>
      </c>
      <c r="AS46" s="93">
        <f t="shared" si="59"/>
        <v>67.177100669923632</v>
      </c>
      <c r="AT46" s="93">
        <f t="shared" si="59"/>
        <v>67.177100669923632</v>
      </c>
      <c r="AU46" s="93">
        <f t="shared" si="59"/>
        <v>67.177100669923632</v>
      </c>
      <c r="AV46" s="93">
        <f t="shared" si="59"/>
        <v>67.177100669923632</v>
      </c>
      <c r="AW46" s="93">
        <f t="shared" si="59"/>
        <v>67.177100669923632</v>
      </c>
      <c r="AX46" s="93">
        <f t="shared" si="59"/>
        <v>67.177100669923632</v>
      </c>
      <c r="AY46" s="93">
        <f t="shared" si="59"/>
        <v>67.177100669923632</v>
      </c>
      <c r="AZ46" s="93">
        <f t="shared" si="59"/>
        <v>67.177100669923632</v>
      </c>
      <c r="BA46" s="93">
        <f t="shared" si="59"/>
        <v>67.177100669923632</v>
      </c>
      <c r="BB46" s="93">
        <f t="shared" si="59"/>
        <v>67.177100669923632</v>
      </c>
      <c r="BC46" s="94">
        <f>IF(AND(BD46&lt;&gt;".",BU46&lt;&gt;".",CA46&lt;&gt;".",CB46&lt;&gt;"."),SUM(BD46,BU46,CA46:CB46),".")</f>
        <v>1.4886025000000001</v>
      </c>
      <c r="BD46" s="94">
        <f>IF(AD46=".",".",s_RadSpec!$F$10*(BD10*$B46))</f>
        <v>0.37215062500000001</v>
      </c>
      <c r="BE46" s="94">
        <f>IF(AE46=".",".",s_RadSpec!$F$10*(BE10*$B46))</f>
        <v>0.37215062500000001</v>
      </c>
      <c r="BF46" s="94">
        <f>IF(AF46=".",".",s_RadSpec!$F$10*(BF10*$B46))</f>
        <v>0.37215062500000001</v>
      </c>
      <c r="BG46" s="94">
        <f>IF(AG46=".",".",s_RadSpec!$F$10*(BG10*$B46))</f>
        <v>0.37215062500000001</v>
      </c>
      <c r="BH46" s="94">
        <f>IF(AH46=".",".",s_RadSpec!$F$10*(BH10*$B46))</f>
        <v>0.37215062500000001</v>
      </c>
      <c r="BI46" s="94">
        <f>IF(AI46=".",".",s_RadSpec!$F$10*(BI10*$B46))</f>
        <v>0.37215062500000001</v>
      </c>
      <c r="BJ46" s="94">
        <f>IF(AJ46=".",".",s_RadSpec!$F$10*(BJ10*$B46))</f>
        <v>0.37215062500000001</v>
      </c>
      <c r="BK46" s="94">
        <f>IF(AK46=".",".",s_RadSpec!$F$10*(BK10*$B46))</f>
        <v>0.37215062500000001</v>
      </c>
      <c r="BL46" s="94">
        <f>IF(AL46=".",".",s_RadSpec!$F$10*(BL10*$B46))</f>
        <v>0.37215062500000001</v>
      </c>
      <c r="BM46" s="94">
        <f>IF(AM46=".",".",s_RadSpec!$F$10*(BM10*$B46))</f>
        <v>0.37215062500000001</v>
      </c>
      <c r="BN46" s="94">
        <f>IF(AN46=".",".",s_RadSpec!$F$10*(BN10*$B46))</f>
        <v>0.37215062500000001</v>
      </c>
      <c r="BO46" s="94">
        <f>IF(AO46=".",".",s_RadSpec!$F$10*(BO10*$B46))</f>
        <v>0.37215062500000001</v>
      </c>
      <c r="BP46" s="94">
        <f>IF(AP46=".",".",s_RadSpec!$F$10*(BP10*$B46))</f>
        <v>0.37215062500000001</v>
      </c>
      <c r="BQ46" s="94">
        <f>IF(AQ46=".",".",s_RadSpec!$F$10*(BQ10*$B46))</f>
        <v>0.37215062500000001</v>
      </c>
      <c r="BR46" s="94">
        <f>IF(AR46=".",".",s_RadSpec!$F$10*(BR10*$B46))</f>
        <v>0.37215062500000001</v>
      </c>
      <c r="BS46" s="94">
        <f>IF(AS46=".",".",s_RadSpec!$F$10*(BS10*$B46))</f>
        <v>0.37215062500000001</v>
      </c>
      <c r="BT46" s="94">
        <f>IF(AT46=".",".",s_RadSpec!$F$10*(BT10*$B46))</f>
        <v>0.37215062500000001</v>
      </c>
      <c r="BU46" s="94">
        <f>IF(AU46=".",".",s_RadSpec!$F$10*(BU10*$B46))</f>
        <v>0.37215062500000001</v>
      </c>
      <c r="BV46" s="94">
        <f>IF(AV46=".",".",s_RadSpec!$F$10*(BV10*$B46))</f>
        <v>0.37215062500000001</v>
      </c>
      <c r="BW46" s="94">
        <f>IF(AW46=".",".",s_RadSpec!$F$10*(BW10*$B46))</f>
        <v>0.37215062500000001</v>
      </c>
      <c r="BX46" s="94">
        <f>IF(AX46=".",".",s_RadSpec!$F$10*(BX10*$B46))</f>
        <v>0.37215062500000001</v>
      </c>
      <c r="BY46" s="94">
        <f>IF(AY46=".",".",s_RadSpec!$F$10*(BY10*$B46))</f>
        <v>0.37215062500000001</v>
      </c>
      <c r="BZ46" s="94">
        <f>IF(AZ46=".",".",s_RadSpec!$F$10*(BZ10*$B46))</f>
        <v>0.37215062500000001</v>
      </c>
      <c r="CA46" s="94">
        <f>IF(BA46=".",".",s_RadSpec!$F$10*(CA10*$B46))</f>
        <v>0.37215062500000001</v>
      </c>
      <c r="CB46" s="94">
        <f>IF(BB46=".",".",s_RadSpec!$F$10*(CB10*$B46))</f>
        <v>0.37215062500000001</v>
      </c>
    </row>
    <row r="47" spans="1:80" x14ac:dyDescent="0.25">
      <c r="A47" s="92" t="s">
        <v>1058</v>
      </c>
      <c r="B47" s="96">
        <v>0.94399</v>
      </c>
      <c r="C47" s="93" t="str">
        <f t="shared" ref="C47:AH47" si="60">IFERROR(C6/$B$47,".")</f>
        <v>.</v>
      </c>
      <c r="D47" s="93" t="str">
        <f t="shared" si="60"/>
        <v>.</v>
      </c>
      <c r="E47" s="93" t="str">
        <f t="shared" si="60"/>
        <v>.</v>
      </c>
      <c r="F47" s="93" t="str">
        <f t="shared" si="60"/>
        <v>.</v>
      </c>
      <c r="G47" s="93" t="str">
        <f t="shared" si="60"/>
        <v>.</v>
      </c>
      <c r="H47" s="93" t="str">
        <f t="shared" si="60"/>
        <v>.</v>
      </c>
      <c r="I47" s="93" t="str">
        <f t="shared" si="60"/>
        <v>.</v>
      </c>
      <c r="J47" s="93" t="str">
        <f t="shared" si="60"/>
        <v>.</v>
      </c>
      <c r="K47" s="93" t="str">
        <f t="shared" si="60"/>
        <v>.</v>
      </c>
      <c r="L47" s="93" t="str">
        <f t="shared" si="60"/>
        <v>.</v>
      </c>
      <c r="M47" s="93" t="str">
        <f t="shared" si="60"/>
        <v>.</v>
      </c>
      <c r="N47" s="93" t="str">
        <f t="shared" si="60"/>
        <v>.</v>
      </c>
      <c r="O47" s="93" t="str">
        <f t="shared" si="60"/>
        <v>.</v>
      </c>
      <c r="P47" s="93" t="str">
        <f t="shared" si="60"/>
        <v>.</v>
      </c>
      <c r="Q47" s="93" t="str">
        <f t="shared" si="60"/>
        <v>.</v>
      </c>
      <c r="R47" s="93" t="str">
        <f t="shared" si="60"/>
        <v>.</v>
      </c>
      <c r="S47" s="93" t="str">
        <f t="shared" si="60"/>
        <v>.</v>
      </c>
      <c r="T47" s="93" t="str">
        <f t="shared" si="60"/>
        <v>.</v>
      </c>
      <c r="U47" s="93" t="str">
        <f t="shared" si="60"/>
        <v>.</v>
      </c>
      <c r="V47" s="93" t="str">
        <f t="shared" si="60"/>
        <v>.</v>
      </c>
      <c r="W47" s="93" t="str">
        <f t="shared" si="60"/>
        <v>.</v>
      </c>
      <c r="X47" s="93" t="str">
        <f t="shared" si="60"/>
        <v>.</v>
      </c>
      <c r="Y47" s="93" t="str">
        <f t="shared" si="60"/>
        <v>.</v>
      </c>
      <c r="Z47" s="93" t="str">
        <f t="shared" si="60"/>
        <v>.</v>
      </c>
      <c r="AA47" s="93" t="str">
        <f t="shared" si="60"/>
        <v>.</v>
      </c>
      <c r="AB47" s="93" t="str">
        <f t="shared" si="60"/>
        <v>.</v>
      </c>
      <c r="AC47" s="93" t="str">
        <f t="shared" si="60"/>
        <v>.</v>
      </c>
      <c r="AD47" s="93" t="str">
        <f t="shared" si="60"/>
        <v>.</v>
      </c>
      <c r="AE47" s="93" t="str">
        <f t="shared" si="60"/>
        <v>.</v>
      </c>
      <c r="AF47" s="93" t="str">
        <f t="shared" si="60"/>
        <v>.</v>
      </c>
      <c r="AG47" s="93" t="str">
        <f t="shared" si="60"/>
        <v>.</v>
      </c>
      <c r="AH47" s="93" t="str">
        <f t="shared" si="60"/>
        <v>.</v>
      </c>
      <c r="AI47" s="93" t="str">
        <f t="shared" ref="AI47:BB47" si="61">IFERROR(AI6/$B$47,".")</f>
        <v>.</v>
      </c>
      <c r="AJ47" s="93" t="str">
        <f t="shared" si="61"/>
        <v>.</v>
      </c>
      <c r="AK47" s="93" t="str">
        <f t="shared" si="61"/>
        <v>.</v>
      </c>
      <c r="AL47" s="93" t="str">
        <f t="shared" si="61"/>
        <v>.</v>
      </c>
      <c r="AM47" s="93" t="str">
        <f t="shared" si="61"/>
        <v>.</v>
      </c>
      <c r="AN47" s="93" t="str">
        <f t="shared" si="61"/>
        <v>.</v>
      </c>
      <c r="AO47" s="93" t="str">
        <f t="shared" si="61"/>
        <v>.</v>
      </c>
      <c r="AP47" s="93" t="str">
        <f t="shared" si="61"/>
        <v>.</v>
      </c>
      <c r="AQ47" s="93" t="str">
        <f t="shared" si="61"/>
        <v>.</v>
      </c>
      <c r="AR47" s="93" t="str">
        <f t="shared" si="61"/>
        <v>.</v>
      </c>
      <c r="AS47" s="93" t="str">
        <f t="shared" si="61"/>
        <v>.</v>
      </c>
      <c r="AT47" s="93" t="str">
        <f t="shared" si="61"/>
        <v>.</v>
      </c>
      <c r="AU47" s="93" t="str">
        <f t="shared" si="61"/>
        <v>.</v>
      </c>
      <c r="AV47" s="93" t="str">
        <f t="shared" si="61"/>
        <v>.</v>
      </c>
      <c r="AW47" s="93" t="str">
        <f t="shared" si="61"/>
        <v>.</v>
      </c>
      <c r="AX47" s="93" t="str">
        <f t="shared" si="61"/>
        <v>.</v>
      </c>
      <c r="AY47" s="93" t="str">
        <f t="shared" si="61"/>
        <v>.</v>
      </c>
      <c r="AZ47" s="93" t="str">
        <f t="shared" si="61"/>
        <v>.</v>
      </c>
      <c r="BA47" s="93" t="str">
        <f t="shared" si="61"/>
        <v>.</v>
      </c>
      <c r="BB47" s="93" t="str">
        <f t="shared" si="61"/>
        <v>.</v>
      </c>
      <c r="BC47" s="94" t="str">
        <f>IF(AND(BD47&lt;&gt;".",BU47&lt;&gt;".",CA47&lt;&gt;".",CB47&lt;&gt;"."),SUM(BD47,BU47,CA47:CB47),".")</f>
        <v>.</v>
      </c>
      <c r="BD47" s="94" t="str">
        <f>IF(AD47=".",".",s_RadSpec!$F$6*(BD6*$B47))</f>
        <v>.</v>
      </c>
      <c r="BE47" s="94" t="str">
        <f>IF(AE47=".",".",s_RadSpec!$F$6*(BE6*$B47))</f>
        <v>.</v>
      </c>
      <c r="BF47" s="94" t="str">
        <f>IF(AF47=".",".",s_RadSpec!$F$6*(BF6*$B47))</f>
        <v>.</v>
      </c>
      <c r="BG47" s="94" t="str">
        <f>IF(AG47=".",".",s_RadSpec!$F$6*(BG6*$B47))</f>
        <v>.</v>
      </c>
      <c r="BH47" s="94" t="str">
        <f>IF(AH47=".",".",s_RadSpec!$F$6*(BH6*$B47))</f>
        <v>.</v>
      </c>
      <c r="BI47" s="94" t="str">
        <f>IF(AI47=".",".",s_RadSpec!$F$6*(BI6*$B47))</f>
        <v>.</v>
      </c>
      <c r="BJ47" s="94" t="str">
        <f>IF(AJ47=".",".",s_RadSpec!$F$6*(BJ6*$B47))</f>
        <v>.</v>
      </c>
      <c r="BK47" s="94" t="str">
        <f>IF(AK47=".",".",s_RadSpec!$F$6*(BK6*$B47))</f>
        <v>.</v>
      </c>
      <c r="BL47" s="94" t="str">
        <f>IF(AL47=".",".",s_RadSpec!$F$6*(BL6*$B47))</f>
        <v>.</v>
      </c>
      <c r="BM47" s="94" t="str">
        <f>IF(AM47=".",".",s_RadSpec!$F$6*(BM6*$B47))</f>
        <v>.</v>
      </c>
      <c r="BN47" s="94" t="str">
        <f>IF(AN47=".",".",s_RadSpec!$F$6*(BN6*$B47))</f>
        <v>.</v>
      </c>
      <c r="BO47" s="94" t="str">
        <f>IF(AO47=".",".",s_RadSpec!$F$6*(BO6*$B47))</f>
        <v>.</v>
      </c>
      <c r="BP47" s="94" t="str">
        <f>IF(AP47=".",".",s_RadSpec!$F$6*(BP6*$B47))</f>
        <v>.</v>
      </c>
      <c r="BQ47" s="94" t="str">
        <f>IF(AQ47=".",".",s_RadSpec!$F$6*(BQ6*$B47))</f>
        <v>.</v>
      </c>
      <c r="BR47" s="94" t="str">
        <f>IF(AR47=".",".",s_RadSpec!$F$6*(BR6*$B47))</f>
        <v>.</v>
      </c>
      <c r="BS47" s="94" t="str">
        <f>IF(AS47=".",".",s_RadSpec!$F$6*(BS6*$B47))</f>
        <v>.</v>
      </c>
      <c r="BT47" s="94" t="str">
        <f>IF(AT47=".",".",s_RadSpec!$F$6*(BT6*$B47))</f>
        <v>.</v>
      </c>
      <c r="BU47" s="94" t="str">
        <f>IF(AU47=".",".",s_RadSpec!$F$6*(BU6*$B47))</f>
        <v>.</v>
      </c>
      <c r="BV47" s="94" t="str">
        <f>IF(AV47=".",".",s_RadSpec!$F$6*(BV6*$B47))</f>
        <v>.</v>
      </c>
      <c r="BW47" s="94" t="str">
        <f>IF(AW47=".",".",s_RadSpec!$F$6*(BW6*$B47))</f>
        <v>.</v>
      </c>
      <c r="BX47" s="94" t="str">
        <f>IF(AX47=".",".",s_RadSpec!$F$6*(BX6*$B47))</f>
        <v>.</v>
      </c>
      <c r="BY47" s="94" t="str">
        <f>IF(AY47=".",".",s_RadSpec!$F$6*(BY6*$B47))</f>
        <v>.</v>
      </c>
      <c r="BZ47" s="94" t="str">
        <f>IF(AZ47=".",".",s_RadSpec!$F$6*(BZ6*$B47))</f>
        <v>.</v>
      </c>
      <c r="CA47" s="94" t="str">
        <f>IF(BA47=".",".",s_RadSpec!$F$6*(CA6*$B47))</f>
        <v>.</v>
      </c>
      <c r="CB47" s="94" t="str">
        <f>IF(BB47=".",".",s_RadSpec!$F$6*(CB6*$B47))</f>
        <v>.</v>
      </c>
    </row>
    <row r="48" spans="1:80" x14ac:dyDescent="0.25">
      <c r="A48" s="89" t="s">
        <v>21</v>
      </c>
      <c r="B48" s="89" t="s">
        <v>1057</v>
      </c>
      <c r="C48" s="90">
        <f t="shared" ref="C48:AH48" si="62">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6.9256934096043332E-2</v>
      </c>
      <c r="D48" s="90">
        <f t="shared" si="62"/>
        <v>0.27702773638417333</v>
      </c>
      <c r="E48" s="90">
        <f t="shared" si="62"/>
        <v>0.27702773638417333</v>
      </c>
      <c r="F48" s="90">
        <f t="shared" si="62"/>
        <v>0.27702773638417333</v>
      </c>
      <c r="G48" s="90">
        <f t="shared" si="62"/>
        <v>0.27702773638417333</v>
      </c>
      <c r="H48" s="90">
        <f t="shared" si="62"/>
        <v>0.27702773638417333</v>
      </c>
      <c r="I48" s="90">
        <f t="shared" si="62"/>
        <v>0.27702773638417333</v>
      </c>
      <c r="J48" s="90">
        <f t="shared" si="62"/>
        <v>0.27702773638417333</v>
      </c>
      <c r="K48" s="90">
        <f t="shared" si="62"/>
        <v>0.27702773638417333</v>
      </c>
      <c r="L48" s="90">
        <f t="shared" si="62"/>
        <v>0.27702773638417333</v>
      </c>
      <c r="M48" s="90">
        <f t="shared" si="62"/>
        <v>0.27702773638417333</v>
      </c>
      <c r="N48" s="90">
        <f t="shared" si="62"/>
        <v>0.27702773638417333</v>
      </c>
      <c r="O48" s="90">
        <f t="shared" si="62"/>
        <v>0.27702773638417333</v>
      </c>
      <c r="P48" s="90">
        <f t="shared" si="62"/>
        <v>0.27702773638417333</v>
      </c>
      <c r="Q48" s="90">
        <f t="shared" si="62"/>
        <v>0.27702773638417333</v>
      </c>
      <c r="R48" s="90">
        <f t="shared" si="62"/>
        <v>0.27702773638417333</v>
      </c>
      <c r="S48" s="90">
        <f t="shared" si="62"/>
        <v>0.27702773638417333</v>
      </c>
      <c r="T48" s="90">
        <f t="shared" si="62"/>
        <v>0.27702773638417333</v>
      </c>
      <c r="U48" s="90">
        <f t="shared" si="62"/>
        <v>0.27702773638417333</v>
      </c>
      <c r="V48" s="90">
        <f t="shared" si="62"/>
        <v>0.27702773638417333</v>
      </c>
      <c r="W48" s="90">
        <f t="shared" si="62"/>
        <v>0.27702773638417333</v>
      </c>
      <c r="X48" s="90">
        <f t="shared" si="62"/>
        <v>0.27702773638417333</v>
      </c>
      <c r="Y48" s="90">
        <f t="shared" si="62"/>
        <v>0.27702773638417333</v>
      </c>
      <c r="Z48" s="90">
        <f t="shared" si="62"/>
        <v>0.27702773638417333</v>
      </c>
      <c r="AA48" s="90">
        <f t="shared" si="62"/>
        <v>0.27702773638417333</v>
      </c>
      <c r="AB48" s="90">
        <f t="shared" si="62"/>
        <v>0.27702773638417333</v>
      </c>
      <c r="AC48" s="90">
        <f t="shared" si="62"/>
        <v>6.9256934096043332E-2</v>
      </c>
      <c r="AD48" s="90">
        <f t="shared" si="62"/>
        <v>0.27702773638417333</v>
      </c>
      <c r="AE48" s="90">
        <f t="shared" si="62"/>
        <v>0.27702773638417333</v>
      </c>
      <c r="AF48" s="90">
        <f t="shared" si="62"/>
        <v>0.27702773638417333</v>
      </c>
      <c r="AG48" s="90">
        <f t="shared" si="62"/>
        <v>0.27702773638417333</v>
      </c>
      <c r="AH48" s="90">
        <f t="shared" si="62"/>
        <v>0.27702773638417333</v>
      </c>
      <c r="AI48" s="90">
        <f t="shared" ref="AI48:BB48" si="63">IFERROR(1/SUM(IFERROR(1/SUMIF(AI49,"&lt;&gt;.",AI49),0),IFERROR(1/SUMIF(AI50,"&lt;&gt;.",AI50),0),IFERROR(1/SUMIF(AI51,"&lt;&gt;.",AI51),0),IFERROR(1/SUMIF(AI52,"&lt;&gt;.",AI52),0),IFERROR(1/SUMIF(AI53,"&lt;&gt;.",AI53),0),IFERROR(1/SUMIF(AI54,"&lt;&gt;.",AI54),0),IFERROR(1/SUMIF(AI55,"&lt;&gt;.",AI55),0),IFERROR(1/SUMIF(AI56,"&lt;&gt;.",AI56),0),IFERROR(1/SUMIF(AI57,"&lt;&gt;.",AI57),0),IFERROR(1/SUMIF(AI58,"&lt;&gt;.",AI58),0),IFERROR(1/SUMIF(AI59,"&lt;&gt;.",AI59),0),IFERROR(1/SUMIF(AI60,"&lt;&gt;.",AI60),0),IFERROR(1/SUMIF(AI61,"&lt;&gt;.",AI61),0),IFERROR(1/SUMIF(AI62,"&lt;&gt;.",AI62),0)),".")</f>
        <v>0.27702773638417333</v>
      </c>
      <c r="AJ48" s="90">
        <f t="shared" si="63"/>
        <v>0.27702773638417333</v>
      </c>
      <c r="AK48" s="90">
        <f t="shared" si="63"/>
        <v>0.27702773638417333</v>
      </c>
      <c r="AL48" s="90">
        <f t="shared" si="63"/>
        <v>0.27702773638417333</v>
      </c>
      <c r="AM48" s="90">
        <f t="shared" si="63"/>
        <v>0.27702773638417333</v>
      </c>
      <c r="AN48" s="90">
        <f t="shared" si="63"/>
        <v>0.27702773638417333</v>
      </c>
      <c r="AO48" s="90">
        <f t="shared" si="63"/>
        <v>0.27702773638417333</v>
      </c>
      <c r="AP48" s="90">
        <f t="shared" si="63"/>
        <v>0.27702773638417333</v>
      </c>
      <c r="AQ48" s="90">
        <f t="shared" si="63"/>
        <v>0.27702773638417333</v>
      </c>
      <c r="AR48" s="90">
        <f t="shared" si="63"/>
        <v>0.27702773638417333</v>
      </c>
      <c r="AS48" s="90">
        <f t="shared" si="63"/>
        <v>0.27702773638417333</v>
      </c>
      <c r="AT48" s="90">
        <f t="shared" si="63"/>
        <v>0.27702773638417333</v>
      </c>
      <c r="AU48" s="90">
        <f t="shared" si="63"/>
        <v>0.27702773638417333</v>
      </c>
      <c r="AV48" s="90">
        <f t="shared" si="63"/>
        <v>0.27702773638417333</v>
      </c>
      <c r="AW48" s="90">
        <f t="shared" si="63"/>
        <v>0.27702773638417333</v>
      </c>
      <c r="AX48" s="90">
        <f t="shared" si="63"/>
        <v>0.27702773638417333</v>
      </c>
      <c r="AY48" s="90">
        <f t="shared" si="63"/>
        <v>0.27702773638417333</v>
      </c>
      <c r="AZ48" s="90">
        <f t="shared" si="63"/>
        <v>0.27702773638417333</v>
      </c>
      <c r="BA48" s="90">
        <f t="shared" si="63"/>
        <v>0.27702773638417333</v>
      </c>
      <c r="BB48" s="90">
        <f t="shared" si="63"/>
        <v>0.27702773638417333</v>
      </c>
      <c r="BC48" s="91">
        <f>IFERROR(SUM(BD49:BD62,BU49:BU62,CA49:CA62,CB49:CB62),".")</f>
        <v>360.97468544204969</v>
      </c>
      <c r="BD48" s="91">
        <f>IFERROR(SUM(BD49:BD62),".")</f>
        <v>90.243671360512408</v>
      </c>
      <c r="BE48" s="91">
        <f t="shared" ref="BE48:CB48" si="64">IFERROR(SUM(BE49:BE62),".")</f>
        <v>90.243671360512408</v>
      </c>
      <c r="BF48" s="91">
        <f t="shared" si="64"/>
        <v>90.243671360512408</v>
      </c>
      <c r="BG48" s="91">
        <f t="shared" si="64"/>
        <v>90.243671360512408</v>
      </c>
      <c r="BH48" s="91">
        <f t="shared" si="64"/>
        <v>90.243671360512408</v>
      </c>
      <c r="BI48" s="91">
        <f t="shared" si="64"/>
        <v>90.243671360512408</v>
      </c>
      <c r="BJ48" s="91">
        <f t="shared" si="64"/>
        <v>90.243671360512408</v>
      </c>
      <c r="BK48" s="91">
        <f t="shared" si="64"/>
        <v>90.243671360512408</v>
      </c>
      <c r="BL48" s="91">
        <f t="shared" si="64"/>
        <v>90.243671360512408</v>
      </c>
      <c r="BM48" s="91">
        <f t="shared" si="64"/>
        <v>90.243671360512408</v>
      </c>
      <c r="BN48" s="91">
        <f t="shared" si="64"/>
        <v>90.243671360512408</v>
      </c>
      <c r="BO48" s="91">
        <f t="shared" si="64"/>
        <v>90.243671360512408</v>
      </c>
      <c r="BP48" s="91">
        <f t="shared" si="64"/>
        <v>90.243671360512408</v>
      </c>
      <c r="BQ48" s="91">
        <f t="shared" si="64"/>
        <v>90.243671360512408</v>
      </c>
      <c r="BR48" s="91">
        <f t="shared" si="64"/>
        <v>90.243671360512408</v>
      </c>
      <c r="BS48" s="91">
        <f t="shared" si="64"/>
        <v>90.243671360512408</v>
      </c>
      <c r="BT48" s="91">
        <f t="shared" si="64"/>
        <v>90.243671360512408</v>
      </c>
      <c r="BU48" s="91">
        <f t="shared" si="64"/>
        <v>90.243671360512408</v>
      </c>
      <c r="BV48" s="91">
        <f t="shared" si="64"/>
        <v>90.243671360512408</v>
      </c>
      <c r="BW48" s="91">
        <f t="shared" si="64"/>
        <v>90.243671360512408</v>
      </c>
      <c r="BX48" s="91">
        <f t="shared" si="64"/>
        <v>90.243671360512408</v>
      </c>
      <c r="BY48" s="91">
        <f t="shared" si="64"/>
        <v>90.243671360512408</v>
      </c>
      <c r="BZ48" s="91">
        <f t="shared" si="64"/>
        <v>90.243671360512408</v>
      </c>
      <c r="CA48" s="91">
        <f t="shared" si="64"/>
        <v>90.243671360512408</v>
      </c>
      <c r="CB48" s="91">
        <f t="shared" si="64"/>
        <v>90.243671360512408</v>
      </c>
    </row>
    <row r="49" spans="1:80" x14ac:dyDescent="0.25">
      <c r="A49" s="92" t="s">
        <v>1086</v>
      </c>
      <c r="B49" s="84">
        <v>1</v>
      </c>
      <c r="C49" s="93">
        <f t="shared" ref="C49:AH49" si="65">IFERROR(C23/$B49,".")</f>
        <v>0.49307695304083027</v>
      </c>
      <c r="D49" s="93">
        <f t="shared" si="65"/>
        <v>1.9723078121633211</v>
      </c>
      <c r="E49" s="93">
        <f t="shared" si="65"/>
        <v>1.9723078121633211</v>
      </c>
      <c r="F49" s="93">
        <f t="shared" si="65"/>
        <v>1.9723078121633211</v>
      </c>
      <c r="G49" s="93">
        <f t="shared" si="65"/>
        <v>1.9723078121633211</v>
      </c>
      <c r="H49" s="93">
        <f t="shared" si="65"/>
        <v>1.9723078121633211</v>
      </c>
      <c r="I49" s="93">
        <f t="shared" si="65"/>
        <v>1.9723078121633211</v>
      </c>
      <c r="J49" s="93">
        <f t="shared" si="65"/>
        <v>1.9723078121633211</v>
      </c>
      <c r="K49" s="93">
        <f t="shared" si="65"/>
        <v>1.9723078121633211</v>
      </c>
      <c r="L49" s="93">
        <f t="shared" si="65"/>
        <v>1.9723078121633211</v>
      </c>
      <c r="M49" s="93">
        <f t="shared" si="65"/>
        <v>1.9723078121633211</v>
      </c>
      <c r="N49" s="93">
        <f t="shared" si="65"/>
        <v>1.9723078121633211</v>
      </c>
      <c r="O49" s="93">
        <f t="shared" si="65"/>
        <v>1.9723078121633211</v>
      </c>
      <c r="P49" s="93">
        <f t="shared" si="65"/>
        <v>1.9723078121633211</v>
      </c>
      <c r="Q49" s="93">
        <f t="shared" si="65"/>
        <v>1.9723078121633211</v>
      </c>
      <c r="R49" s="93">
        <f t="shared" si="65"/>
        <v>1.9723078121633211</v>
      </c>
      <c r="S49" s="93">
        <f t="shared" si="65"/>
        <v>1.9723078121633211</v>
      </c>
      <c r="T49" s="93">
        <f t="shared" si="65"/>
        <v>1.9723078121633211</v>
      </c>
      <c r="U49" s="93">
        <f t="shared" si="65"/>
        <v>1.9723078121633211</v>
      </c>
      <c r="V49" s="93">
        <f t="shared" si="65"/>
        <v>1.9723078121633211</v>
      </c>
      <c r="W49" s="93">
        <f t="shared" si="65"/>
        <v>1.9723078121633211</v>
      </c>
      <c r="X49" s="93">
        <f t="shared" si="65"/>
        <v>1.9723078121633211</v>
      </c>
      <c r="Y49" s="93">
        <f t="shared" si="65"/>
        <v>1.9723078121633211</v>
      </c>
      <c r="Z49" s="93">
        <f t="shared" si="65"/>
        <v>1.9723078121633211</v>
      </c>
      <c r="AA49" s="93">
        <f t="shared" si="65"/>
        <v>1.9723078121633211</v>
      </c>
      <c r="AB49" s="93">
        <f t="shared" si="65"/>
        <v>1.9723078121633211</v>
      </c>
      <c r="AC49" s="93">
        <f t="shared" si="65"/>
        <v>0.49307695304083027</v>
      </c>
      <c r="AD49" s="93">
        <f t="shared" si="65"/>
        <v>1.9723078121633211</v>
      </c>
      <c r="AE49" s="93">
        <f t="shared" si="65"/>
        <v>1.9723078121633211</v>
      </c>
      <c r="AF49" s="93">
        <f t="shared" si="65"/>
        <v>1.9723078121633211</v>
      </c>
      <c r="AG49" s="93">
        <f t="shared" si="65"/>
        <v>1.9723078121633211</v>
      </c>
      <c r="AH49" s="93">
        <f t="shared" si="65"/>
        <v>1.9723078121633211</v>
      </c>
      <c r="AI49" s="93">
        <f t="shared" ref="AI49:BB49" si="66">IFERROR(AI23/$B49,".")</f>
        <v>1.9723078121633211</v>
      </c>
      <c r="AJ49" s="93">
        <f t="shared" si="66"/>
        <v>1.9723078121633211</v>
      </c>
      <c r="AK49" s="93">
        <f t="shared" si="66"/>
        <v>1.9723078121633211</v>
      </c>
      <c r="AL49" s="93">
        <f t="shared" si="66"/>
        <v>1.9723078121633211</v>
      </c>
      <c r="AM49" s="93">
        <f t="shared" si="66"/>
        <v>1.9723078121633211</v>
      </c>
      <c r="AN49" s="93">
        <f t="shared" si="66"/>
        <v>1.9723078121633211</v>
      </c>
      <c r="AO49" s="93">
        <f t="shared" si="66"/>
        <v>1.9723078121633211</v>
      </c>
      <c r="AP49" s="93">
        <f t="shared" si="66"/>
        <v>1.9723078121633211</v>
      </c>
      <c r="AQ49" s="93">
        <f t="shared" si="66"/>
        <v>1.9723078121633211</v>
      </c>
      <c r="AR49" s="93">
        <f t="shared" si="66"/>
        <v>1.9723078121633211</v>
      </c>
      <c r="AS49" s="93">
        <f t="shared" si="66"/>
        <v>1.9723078121633211</v>
      </c>
      <c r="AT49" s="93">
        <f t="shared" si="66"/>
        <v>1.9723078121633211</v>
      </c>
      <c r="AU49" s="93">
        <f t="shared" si="66"/>
        <v>1.9723078121633211</v>
      </c>
      <c r="AV49" s="93">
        <f t="shared" si="66"/>
        <v>1.9723078121633211</v>
      </c>
      <c r="AW49" s="93">
        <f t="shared" si="66"/>
        <v>1.9723078121633211</v>
      </c>
      <c r="AX49" s="93">
        <f t="shared" si="66"/>
        <v>1.9723078121633211</v>
      </c>
      <c r="AY49" s="93">
        <f t="shared" si="66"/>
        <v>1.9723078121633211</v>
      </c>
      <c r="AZ49" s="93">
        <f t="shared" si="66"/>
        <v>1.9723078121633211</v>
      </c>
      <c r="BA49" s="93">
        <f t="shared" si="66"/>
        <v>1.9723078121633211</v>
      </c>
      <c r="BB49" s="93">
        <f t="shared" si="66"/>
        <v>1.9723078121633211</v>
      </c>
      <c r="BC49" s="94">
        <f t="shared" ref="BC49:BC62" si="67">IF(AND(BD49&lt;&gt;".",BU49&lt;&gt;".",CA49&lt;&gt;".",CB49&lt;&gt;"."),SUM(BD49,BU49,CA49:CB49),".")</f>
        <v>50.702024999999999</v>
      </c>
      <c r="BD49" s="94">
        <f>IF(AD49=".",".",s_RadSpec!$F$23*(BD23*$B49))</f>
        <v>12.67550625</v>
      </c>
      <c r="BE49" s="94">
        <f>IF(AE49=".",".",s_RadSpec!$F$23*(BE23*$B49))</f>
        <v>12.67550625</v>
      </c>
      <c r="BF49" s="94">
        <f>IF(AF49=".",".",s_RadSpec!$F$23*(BF23*$B49))</f>
        <v>12.67550625</v>
      </c>
      <c r="BG49" s="94">
        <f>IF(AG49=".",".",s_RadSpec!$F$23*(BG23*$B49))</f>
        <v>12.67550625</v>
      </c>
      <c r="BH49" s="94">
        <f>IF(AH49=".",".",s_RadSpec!$F$23*(BH23*$B49))</f>
        <v>12.67550625</v>
      </c>
      <c r="BI49" s="94">
        <f>IF(AI49=".",".",s_RadSpec!$F$23*(BI23*$B49))</f>
        <v>12.67550625</v>
      </c>
      <c r="BJ49" s="94">
        <f>IF(AJ49=".",".",s_RadSpec!$F$23*(BJ23*$B49))</f>
        <v>12.67550625</v>
      </c>
      <c r="BK49" s="94">
        <f>IF(AK49=".",".",s_RadSpec!$F$23*(BK23*$B49))</f>
        <v>12.67550625</v>
      </c>
      <c r="BL49" s="94">
        <f>IF(AL49=".",".",s_RadSpec!$F$23*(BL23*$B49))</f>
        <v>12.67550625</v>
      </c>
      <c r="BM49" s="94">
        <f>IF(AM49=".",".",s_RadSpec!$F$23*(BM23*$B49))</f>
        <v>12.67550625</v>
      </c>
      <c r="BN49" s="94">
        <f>IF(AN49=".",".",s_RadSpec!$F$23*(BN23*$B49))</f>
        <v>12.67550625</v>
      </c>
      <c r="BO49" s="94">
        <f>IF(AO49=".",".",s_RadSpec!$F$23*(BO23*$B49))</f>
        <v>12.67550625</v>
      </c>
      <c r="BP49" s="94">
        <f>IF(AP49=".",".",s_RadSpec!$F$23*(BP23*$B49))</f>
        <v>12.67550625</v>
      </c>
      <c r="BQ49" s="94">
        <f>IF(AQ49=".",".",s_RadSpec!$F$23*(BQ23*$B49))</f>
        <v>12.67550625</v>
      </c>
      <c r="BR49" s="94">
        <f>IF(AR49=".",".",s_RadSpec!$F$23*(BR23*$B49))</f>
        <v>12.67550625</v>
      </c>
      <c r="BS49" s="94">
        <f>IF(AS49=".",".",s_RadSpec!$F$23*(BS23*$B49))</f>
        <v>12.67550625</v>
      </c>
      <c r="BT49" s="94">
        <f>IF(AT49=".",".",s_RadSpec!$F$23*(BT23*$B49))</f>
        <v>12.67550625</v>
      </c>
      <c r="BU49" s="94">
        <f>IF(AU49=".",".",s_RadSpec!$F$23*(BU23*$B49))</f>
        <v>12.67550625</v>
      </c>
      <c r="BV49" s="94">
        <f>IF(AV49=".",".",s_RadSpec!$F$23*(BV23*$B49))</f>
        <v>12.67550625</v>
      </c>
      <c r="BW49" s="94">
        <f>IF(AW49=".",".",s_RadSpec!$F$23*(BW23*$B49))</f>
        <v>12.67550625</v>
      </c>
      <c r="BX49" s="94">
        <f>IF(AX49=".",".",s_RadSpec!$F$23*(BX23*$B49))</f>
        <v>12.67550625</v>
      </c>
      <c r="BY49" s="94">
        <f>IF(AY49=".",".",s_RadSpec!$F$23*(BY23*$B49))</f>
        <v>12.67550625</v>
      </c>
      <c r="BZ49" s="94">
        <f>IF(AZ49=".",".",s_RadSpec!$F$23*(BZ23*$B49))</f>
        <v>12.67550625</v>
      </c>
      <c r="CA49" s="94">
        <f>IF(BA49=".",".",s_RadSpec!$F$23*(CA23*$B49))</f>
        <v>12.67550625</v>
      </c>
      <c r="CB49" s="94">
        <f>IF(BB49=".",".",s_RadSpec!$F$23*(CB23*$B49))</f>
        <v>12.67550625</v>
      </c>
    </row>
    <row r="50" spans="1:80" x14ac:dyDescent="0.25">
      <c r="A50" s="92" t="s">
        <v>1073</v>
      </c>
      <c r="B50" s="84">
        <v>1</v>
      </c>
      <c r="C50" s="93" t="str">
        <f t="shared" ref="C50:AH50" si="68">IFERROR(C25/$B50,".")</f>
        <v>.</v>
      </c>
      <c r="D50" s="93" t="str">
        <f t="shared" si="68"/>
        <v>.</v>
      </c>
      <c r="E50" s="93" t="str">
        <f t="shared" si="68"/>
        <v>.</v>
      </c>
      <c r="F50" s="93" t="str">
        <f t="shared" si="68"/>
        <v>.</v>
      </c>
      <c r="G50" s="93" t="str">
        <f t="shared" si="68"/>
        <v>.</v>
      </c>
      <c r="H50" s="93" t="str">
        <f t="shared" si="68"/>
        <v>.</v>
      </c>
      <c r="I50" s="93" t="str">
        <f t="shared" si="68"/>
        <v>.</v>
      </c>
      <c r="J50" s="93" t="str">
        <f t="shared" si="68"/>
        <v>.</v>
      </c>
      <c r="K50" s="93" t="str">
        <f t="shared" si="68"/>
        <v>.</v>
      </c>
      <c r="L50" s="93" t="str">
        <f t="shared" si="68"/>
        <v>.</v>
      </c>
      <c r="M50" s="93" t="str">
        <f t="shared" si="68"/>
        <v>.</v>
      </c>
      <c r="N50" s="93" t="str">
        <f t="shared" si="68"/>
        <v>.</v>
      </c>
      <c r="O50" s="93" t="str">
        <f t="shared" si="68"/>
        <v>.</v>
      </c>
      <c r="P50" s="93" t="str">
        <f t="shared" si="68"/>
        <v>.</v>
      </c>
      <c r="Q50" s="93" t="str">
        <f t="shared" si="68"/>
        <v>.</v>
      </c>
      <c r="R50" s="93" t="str">
        <f t="shared" si="68"/>
        <v>.</v>
      </c>
      <c r="S50" s="93" t="str">
        <f t="shared" si="68"/>
        <v>.</v>
      </c>
      <c r="T50" s="93" t="str">
        <f t="shared" si="68"/>
        <v>.</v>
      </c>
      <c r="U50" s="93" t="str">
        <f t="shared" si="68"/>
        <v>.</v>
      </c>
      <c r="V50" s="93" t="str">
        <f t="shared" si="68"/>
        <v>.</v>
      </c>
      <c r="W50" s="93" t="str">
        <f t="shared" si="68"/>
        <v>.</v>
      </c>
      <c r="X50" s="93" t="str">
        <f t="shared" si="68"/>
        <v>.</v>
      </c>
      <c r="Y50" s="93" t="str">
        <f t="shared" si="68"/>
        <v>.</v>
      </c>
      <c r="Z50" s="93" t="str">
        <f t="shared" si="68"/>
        <v>.</v>
      </c>
      <c r="AA50" s="93" t="str">
        <f t="shared" si="68"/>
        <v>.</v>
      </c>
      <c r="AB50" s="93" t="str">
        <f t="shared" si="68"/>
        <v>.</v>
      </c>
      <c r="AC50" s="93" t="str">
        <f t="shared" si="68"/>
        <v>.</v>
      </c>
      <c r="AD50" s="93" t="str">
        <f t="shared" si="68"/>
        <v>.</v>
      </c>
      <c r="AE50" s="93" t="str">
        <f t="shared" si="68"/>
        <v>.</v>
      </c>
      <c r="AF50" s="93" t="str">
        <f t="shared" si="68"/>
        <v>.</v>
      </c>
      <c r="AG50" s="93" t="str">
        <f t="shared" si="68"/>
        <v>.</v>
      </c>
      <c r="AH50" s="93" t="str">
        <f t="shared" si="68"/>
        <v>.</v>
      </c>
      <c r="AI50" s="93" t="str">
        <f t="shared" ref="AI50:BB50" si="69">IFERROR(AI25/$B50,".")</f>
        <v>.</v>
      </c>
      <c r="AJ50" s="93" t="str">
        <f t="shared" si="69"/>
        <v>.</v>
      </c>
      <c r="AK50" s="93" t="str">
        <f t="shared" si="69"/>
        <v>.</v>
      </c>
      <c r="AL50" s="93" t="str">
        <f t="shared" si="69"/>
        <v>.</v>
      </c>
      <c r="AM50" s="93" t="str">
        <f t="shared" si="69"/>
        <v>.</v>
      </c>
      <c r="AN50" s="93" t="str">
        <f t="shared" si="69"/>
        <v>.</v>
      </c>
      <c r="AO50" s="93" t="str">
        <f t="shared" si="69"/>
        <v>.</v>
      </c>
      <c r="AP50" s="93" t="str">
        <f t="shared" si="69"/>
        <v>.</v>
      </c>
      <c r="AQ50" s="93" t="str">
        <f t="shared" si="69"/>
        <v>.</v>
      </c>
      <c r="AR50" s="93" t="str">
        <f t="shared" si="69"/>
        <v>.</v>
      </c>
      <c r="AS50" s="93" t="str">
        <f t="shared" si="69"/>
        <v>.</v>
      </c>
      <c r="AT50" s="93" t="str">
        <f t="shared" si="69"/>
        <v>.</v>
      </c>
      <c r="AU50" s="93" t="str">
        <f t="shared" si="69"/>
        <v>.</v>
      </c>
      <c r="AV50" s="93" t="str">
        <f t="shared" si="69"/>
        <v>.</v>
      </c>
      <c r="AW50" s="93" t="str">
        <f t="shared" si="69"/>
        <v>.</v>
      </c>
      <c r="AX50" s="93" t="str">
        <f t="shared" si="69"/>
        <v>.</v>
      </c>
      <c r="AY50" s="93" t="str">
        <f t="shared" si="69"/>
        <v>.</v>
      </c>
      <c r="AZ50" s="93" t="str">
        <f t="shared" si="69"/>
        <v>.</v>
      </c>
      <c r="BA50" s="93" t="str">
        <f t="shared" si="69"/>
        <v>.</v>
      </c>
      <c r="BB50" s="93" t="str">
        <f t="shared" si="69"/>
        <v>.</v>
      </c>
      <c r="BC50" s="94" t="str">
        <f t="shared" si="67"/>
        <v>.</v>
      </c>
      <c r="BD50" s="94" t="str">
        <f>IF(AD50=".",".",s_RadSpec!$F$25*(BD25*$B50))</f>
        <v>.</v>
      </c>
      <c r="BE50" s="94" t="str">
        <f>IF(AE50=".",".",s_RadSpec!$F$25*(BE25*$B50))</f>
        <v>.</v>
      </c>
      <c r="BF50" s="94" t="str">
        <f>IF(AF50=".",".",s_RadSpec!$F$25*(BF25*$B50))</f>
        <v>.</v>
      </c>
      <c r="BG50" s="94" t="str">
        <f>IF(AG50=".",".",s_RadSpec!$F$25*(BG25*$B50))</f>
        <v>.</v>
      </c>
      <c r="BH50" s="94" t="str">
        <f>IF(AH50=".",".",s_RadSpec!$F$25*(BH25*$B50))</f>
        <v>.</v>
      </c>
      <c r="BI50" s="94" t="str">
        <f>IF(AI50=".",".",s_RadSpec!$F$25*(BI25*$B50))</f>
        <v>.</v>
      </c>
      <c r="BJ50" s="94" t="str">
        <f>IF(AJ50=".",".",s_RadSpec!$F$25*(BJ25*$B50))</f>
        <v>.</v>
      </c>
      <c r="BK50" s="94" t="str">
        <f>IF(AK50=".",".",s_RadSpec!$F$25*(BK25*$B50))</f>
        <v>.</v>
      </c>
      <c r="BL50" s="94" t="str">
        <f>IF(AL50=".",".",s_RadSpec!$F$25*(BL25*$B50))</f>
        <v>.</v>
      </c>
      <c r="BM50" s="94" t="str">
        <f>IF(AM50=".",".",s_RadSpec!$F$25*(BM25*$B50))</f>
        <v>.</v>
      </c>
      <c r="BN50" s="94" t="str">
        <f>IF(AN50=".",".",s_RadSpec!$F$25*(BN25*$B50))</f>
        <v>.</v>
      </c>
      <c r="BO50" s="94" t="str">
        <f>IF(AO50=".",".",s_RadSpec!$F$25*(BO25*$B50))</f>
        <v>.</v>
      </c>
      <c r="BP50" s="94" t="str">
        <f>IF(AP50=".",".",s_RadSpec!$F$25*(BP25*$B50))</f>
        <v>.</v>
      </c>
      <c r="BQ50" s="94" t="str">
        <f>IF(AQ50=".",".",s_RadSpec!$F$25*(BQ25*$B50))</f>
        <v>.</v>
      </c>
      <c r="BR50" s="94" t="str">
        <f>IF(AR50=".",".",s_RadSpec!$F$25*(BR25*$B50))</f>
        <v>.</v>
      </c>
      <c r="BS50" s="94" t="str">
        <f>IF(AS50=".",".",s_RadSpec!$F$25*(BS25*$B50))</f>
        <v>.</v>
      </c>
      <c r="BT50" s="94" t="str">
        <f>IF(AT50=".",".",s_RadSpec!$F$25*(BT25*$B50))</f>
        <v>.</v>
      </c>
      <c r="BU50" s="94" t="str">
        <f>IF(AU50=".",".",s_RadSpec!$F$25*(BU25*$B50))</f>
        <v>.</v>
      </c>
      <c r="BV50" s="94" t="str">
        <f>IF(AV50=".",".",s_RadSpec!$F$25*(BV25*$B50))</f>
        <v>.</v>
      </c>
      <c r="BW50" s="94" t="str">
        <f>IF(AW50=".",".",s_RadSpec!$F$25*(BW25*$B50))</f>
        <v>.</v>
      </c>
      <c r="BX50" s="94" t="str">
        <f>IF(AX50=".",".",s_RadSpec!$F$25*(BX25*$B50))</f>
        <v>.</v>
      </c>
      <c r="BY50" s="94" t="str">
        <f>IF(AY50=".",".",s_RadSpec!$F$25*(BY25*$B50))</f>
        <v>.</v>
      </c>
      <c r="BZ50" s="94" t="str">
        <f>IF(AZ50=".",".",s_RadSpec!$F$25*(BZ25*$B50))</f>
        <v>.</v>
      </c>
      <c r="CA50" s="94" t="str">
        <f>IF(BA50=".",".",s_RadSpec!$F$25*(CA25*$B50))</f>
        <v>.</v>
      </c>
      <c r="CB50" s="94" t="str">
        <f>IF(BB50=".",".",s_RadSpec!$F$25*(CB25*$B50))</f>
        <v>.</v>
      </c>
    </row>
    <row r="51" spans="1:80" x14ac:dyDescent="0.25">
      <c r="A51" s="92" t="s">
        <v>1059</v>
      </c>
      <c r="B51" s="84">
        <v>1</v>
      </c>
      <c r="C51" s="93" t="str">
        <f t="shared" ref="C51:AH51" si="70">IFERROR(C21/$B51,".")</f>
        <v>.</v>
      </c>
      <c r="D51" s="93" t="str">
        <f t="shared" si="70"/>
        <v>.</v>
      </c>
      <c r="E51" s="93" t="str">
        <f t="shared" si="70"/>
        <v>.</v>
      </c>
      <c r="F51" s="93" t="str">
        <f t="shared" si="70"/>
        <v>.</v>
      </c>
      <c r="G51" s="93" t="str">
        <f t="shared" si="70"/>
        <v>.</v>
      </c>
      <c r="H51" s="93" t="str">
        <f t="shared" si="70"/>
        <v>.</v>
      </c>
      <c r="I51" s="93" t="str">
        <f t="shared" si="70"/>
        <v>.</v>
      </c>
      <c r="J51" s="93" t="str">
        <f t="shared" si="70"/>
        <v>.</v>
      </c>
      <c r="K51" s="93" t="str">
        <f t="shared" si="70"/>
        <v>.</v>
      </c>
      <c r="L51" s="93" t="str">
        <f t="shared" si="70"/>
        <v>.</v>
      </c>
      <c r="M51" s="93" t="str">
        <f t="shared" si="70"/>
        <v>.</v>
      </c>
      <c r="N51" s="93" t="str">
        <f t="shared" si="70"/>
        <v>.</v>
      </c>
      <c r="O51" s="93" t="str">
        <f t="shared" si="70"/>
        <v>.</v>
      </c>
      <c r="P51" s="93" t="str">
        <f t="shared" si="70"/>
        <v>.</v>
      </c>
      <c r="Q51" s="93" t="str">
        <f t="shared" si="70"/>
        <v>.</v>
      </c>
      <c r="R51" s="93" t="str">
        <f t="shared" si="70"/>
        <v>.</v>
      </c>
      <c r="S51" s="93" t="str">
        <f t="shared" si="70"/>
        <v>.</v>
      </c>
      <c r="T51" s="93" t="str">
        <f t="shared" si="70"/>
        <v>.</v>
      </c>
      <c r="U51" s="93" t="str">
        <f t="shared" si="70"/>
        <v>.</v>
      </c>
      <c r="V51" s="93" t="str">
        <f t="shared" si="70"/>
        <v>.</v>
      </c>
      <c r="W51" s="93" t="str">
        <f t="shared" si="70"/>
        <v>.</v>
      </c>
      <c r="X51" s="93" t="str">
        <f t="shared" si="70"/>
        <v>.</v>
      </c>
      <c r="Y51" s="93" t="str">
        <f t="shared" si="70"/>
        <v>.</v>
      </c>
      <c r="Z51" s="93" t="str">
        <f t="shared" si="70"/>
        <v>.</v>
      </c>
      <c r="AA51" s="93" t="str">
        <f t="shared" si="70"/>
        <v>.</v>
      </c>
      <c r="AB51" s="93" t="str">
        <f t="shared" si="70"/>
        <v>.</v>
      </c>
      <c r="AC51" s="93" t="str">
        <f t="shared" si="70"/>
        <v>.</v>
      </c>
      <c r="AD51" s="93" t="str">
        <f t="shared" si="70"/>
        <v>.</v>
      </c>
      <c r="AE51" s="93" t="str">
        <f t="shared" si="70"/>
        <v>.</v>
      </c>
      <c r="AF51" s="93" t="str">
        <f t="shared" si="70"/>
        <v>.</v>
      </c>
      <c r="AG51" s="93" t="str">
        <f t="shared" si="70"/>
        <v>.</v>
      </c>
      <c r="AH51" s="93" t="str">
        <f t="shared" si="70"/>
        <v>.</v>
      </c>
      <c r="AI51" s="93" t="str">
        <f t="shared" ref="AI51:BB51" si="71">IFERROR(AI21/$B51,".")</f>
        <v>.</v>
      </c>
      <c r="AJ51" s="93" t="str">
        <f t="shared" si="71"/>
        <v>.</v>
      </c>
      <c r="AK51" s="93" t="str">
        <f t="shared" si="71"/>
        <v>.</v>
      </c>
      <c r="AL51" s="93" t="str">
        <f t="shared" si="71"/>
        <v>.</v>
      </c>
      <c r="AM51" s="93" t="str">
        <f t="shared" si="71"/>
        <v>.</v>
      </c>
      <c r="AN51" s="93" t="str">
        <f t="shared" si="71"/>
        <v>.</v>
      </c>
      <c r="AO51" s="93" t="str">
        <f t="shared" si="71"/>
        <v>.</v>
      </c>
      <c r="AP51" s="93" t="str">
        <f t="shared" si="71"/>
        <v>.</v>
      </c>
      <c r="AQ51" s="93" t="str">
        <f t="shared" si="71"/>
        <v>.</v>
      </c>
      <c r="AR51" s="93" t="str">
        <f t="shared" si="71"/>
        <v>.</v>
      </c>
      <c r="AS51" s="93" t="str">
        <f t="shared" si="71"/>
        <v>.</v>
      </c>
      <c r="AT51" s="93" t="str">
        <f t="shared" si="71"/>
        <v>.</v>
      </c>
      <c r="AU51" s="93" t="str">
        <f t="shared" si="71"/>
        <v>.</v>
      </c>
      <c r="AV51" s="93" t="str">
        <f t="shared" si="71"/>
        <v>.</v>
      </c>
      <c r="AW51" s="93" t="str">
        <f t="shared" si="71"/>
        <v>.</v>
      </c>
      <c r="AX51" s="93" t="str">
        <f t="shared" si="71"/>
        <v>.</v>
      </c>
      <c r="AY51" s="93" t="str">
        <f t="shared" si="71"/>
        <v>.</v>
      </c>
      <c r="AZ51" s="93" t="str">
        <f t="shared" si="71"/>
        <v>.</v>
      </c>
      <c r="BA51" s="93" t="str">
        <f t="shared" si="71"/>
        <v>.</v>
      </c>
      <c r="BB51" s="93" t="str">
        <f t="shared" si="71"/>
        <v>.</v>
      </c>
      <c r="BC51" s="94" t="str">
        <f t="shared" si="67"/>
        <v>.</v>
      </c>
      <c r="BD51" s="94" t="str">
        <f>IF(AD51=".",".",s_RadSpec!$F$21*(BD21*$B51))</f>
        <v>.</v>
      </c>
      <c r="BE51" s="94" t="str">
        <f>IF(AE51=".",".",s_RadSpec!$F$21*(BE21*$B51))</f>
        <v>.</v>
      </c>
      <c r="BF51" s="94" t="str">
        <f>IF(AF51=".",".",s_RadSpec!$F$21*(BF21*$B51))</f>
        <v>.</v>
      </c>
      <c r="BG51" s="94" t="str">
        <f>IF(AG51=".",".",s_RadSpec!$F$21*(BG21*$B51))</f>
        <v>.</v>
      </c>
      <c r="BH51" s="94" t="str">
        <f>IF(AH51=".",".",s_RadSpec!$F$21*(BH21*$B51))</f>
        <v>.</v>
      </c>
      <c r="BI51" s="94" t="str">
        <f>IF(AI51=".",".",s_RadSpec!$F$21*(BI21*$B51))</f>
        <v>.</v>
      </c>
      <c r="BJ51" s="94" t="str">
        <f>IF(AJ51=".",".",s_RadSpec!$F$21*(BJ21*$B51))</f>
        <v>.</v>
      </c>
      <c r="BK51" s="94" t="str">
        <f>IF(AK51=".",".",s_RadSpec!$F$21*(BK21*$B51))</f>
        <v>.</v>
      </c>
      <c r="BL51" s="94" t="str">
        <f>IF(AL51=".",".",s_RadSpec!$F$21*(BL21*$B51))</f>
        <v>.</v>
      </c>
      <c r="BM51" s="94" t="str">
        <f>IF(AM51=".",".",s_RadSpec!$F$21*(BM21*$B51))</f>
        <v>.</v>
      </c>
      <c r="BN51" s="94" t="str">
        <f>IF(AN51=".",".",s_RadSpec!$F$21*(BN21*$B51))</f>
        <v>.</v>
      </c>
      <c r="BO51" s="94" t="str">
        <f>IF(AO51=".",".",s_RadSpec!$F$21*(BO21*$B51))</f>
        <v>.</v>
      </c>
      <c r="BP51" s="94" t="str">
        <f>IF(AP51=".",".",s_RadSpec!$F$21*(BP21*$B51))</f>
        <v>.</v>
      </c>
      <c r="BQ51" s="94" t="str">
        <f>IF(AQ51=".",".",s_RadSpec!$F$21*(BQ21*$B51))</f>
        <v>.</v>
      </c>
      <c r="BR51" s="94" t="str">
        <f>IF(AR51=".",".",s_RadSpec!$F$21*(BR21*$B51))</f>
        <v>.</v>
      </c>
      <c r="BS51" s="94" t="str">
        <f>IF(AS51=".",".",s_RadSpec!$F$21*(BS21*$B51))</f>
        <v>.</v>
      </c>
      <c r="BT51" s="94" t="str">
        <f>IF(AT51=".",".",s_RadSpec!$F$21*(BT21*$B51))</f>
        <v>.</v>
      </c>
      <c r="BU51" s="94" t="str">
        <f>IF(AU51=".",".",s_RadSpec!$F$21*(BU21*$B51))</f>
        <v>.</v>
      </c>
      <c r="BV51" s="94" t="str">
        <f>IF(AV51=".",".",s_RadSpec!$F$21*(BV21*$B51))</f>
        <v>.</v>
      </c>
      <c r="BW51" s="94" t="str">
        <f>IF(AW51=".",".",s_RadSpec!$F$21*(BW21*$B51))</f>
        <v>.</v>
      </c>
      <c r="BX51" s="94" t="str">
        <f>IF(AX51=".",".",s_RadSpec!$F$21*(BX21*$B51))</f>
        <v>.</v>
      </c>
      <c r="BY51" s="94" t="str">
        <f>IF(AY51=".",".",s_RadSpec!$F$21*(BY21*$B51))</f>
        <v>.</v>
      </c>
      <c r="BZ51" s="94" t="str">
        <f>IF(AZ51=".",".",s_RadSpec!$F$21*(BZ21*$B51))</f>
        <v>.</v>
      </c>
      <c r="CA51" s="94" t="str">
        <f>IF(BA51=".",".",s_RadSpec!$F$21*(CA21*$B51))</f>
        <v>.</v>
      </c>
      <c r="CB51" s="94" t="str">
        <f>IF(BB51=".",".",s_RadSpec!$F$21*(CB21*$B51))</f>
        <v>.</v>
      </c>
    </row>
    <row r="52" spans="1:80" x14ac:dyDescent="0.25">
      <c r="A52" s="92" t="s">
        <v>1060</v>
      </c>
      <c r="B52" s="96">
        <v>0.99980000000000002</v>
      </c>
      <c r="C52" s="93">
        <f t="shared" ref="C52:AH52" si="72">IFERROR(C17/$B52,".")</f>
        <v>1122.6559871144887</v>
      </c>
      <c r="D52" s="93">
        <f t="shared" si="72"/>
        <v>4490.6239484579546</v>
      </c>
      <c r="E52" s="93">
        <f t="shared" si="72"/>
        <v>4490.6239484579546</v>
      </c>
      <c r="F52" s="93">
        <f t="shared" si="72"/>
        <v>4490.6239484579546</v>
      </c>
      <c r="G52" s="93">
        <f t="shared" si="72"/>
        <v>4490.6239484579546</v>
      </c>
      <c r="H52" s="93">
        <f t="shared" si="72"/>
        <v>4490.6239484579546</v>
      </c>
      <c r="I52" s="93">
        <f t="shared" si="72"/>
        <v>4490.6239484579546</v>
      </c>
      <c r="J52" s="93">
        <f t="shared" si="72"/>
        <v>4490.6239484579546</v>
      </c>
      <c r="K52" s="93">
        <f t="shared" si="72"/>
        <v>4490.6239484579546</v>
      </c>
      <c r="L52" s="93">
        <f t="shared" si="72"/>
        <v>4490.6239484579546</v>
      </c>
      <c r="M52" s="93">
        <f t="shared" si="72"/>
        <v>4490.6239484579546</v>
      </c>
      <c r="N52" s="93">
        <f t="shared" si="72"/>
        <v>4490.6239484579546</v>
      </c>
      <c r="O52" s="93">
        <f t="shared" si="72"/>
        <v>4490.6239484579546</v>
      </c>
      <c r="P52" s="93">
        <f t="shared" si="72"/>
        <v>4490.6239484579546</v>
      </c>
      <c r="Q52" s="93">
        <f t="shared" si="72"/>
        <v>4490.6239484579546</v>
      </c>
      <c r="R52" s="93">
        <f t="shared" si="72"/>
        <v>4490.6239484579546</v>
      </c>
      <c r="S52" s="93">
        <f t="shared" si="72"/>
        <v>4490.6239484579546</v>
      </c>
      <c r="T52" s="93">
        <f t="shared" si="72"/>
        <v>4490.6239484579546</v>
      </c>
      <c r="U52" s="93">
        <f t="shared" si="72"/>
        <v>4490.6239484579546</v>
      </c>
      <c r="V52" s="93">
        <f t="shared" si="72"/>
        <v>4490.6239484579546</v>
      </c>
      <c r="W52" s="93">
        <f t="shared" si="72"/>
        <v>4490.6239484579546</v>
      </c>
      <c r="X52" s="93">
        <f t="shared" si="72"/>
        <v>4490.6239484579546</v>
      </c>
      <c r="Y52" s="93">
        <f t="shared" si="72"/>
        <v>4490.6239484579546</v>
      </c>
      <c r="Z52" s="93">
        <f t="shared" si="72"/>
        <v>4490.6239484579546</v>
      </c>
      <c r="AA52" s="93">
        <f t="shared" si="72"/>
        <v>4490.6239484579546</v>
      </c>
      <c r="AB52" s="93">
        <f t="shared" si="72"/>
        <v>4490.6239484579546</v>
      </c>
      <c r="AC52" s="93">
        <f t="shared" si="72"/>
        <v>1122.6559871144887</v>
      </c>
      <c r="AD52" s="93">
        <f t="shared" si="72"/>
        <v>4490.6239484579546</v>
      </c>
      <c r="AE52" s="93">
        <f t="shared" si="72"/>
        <v>4490.6239484579546</v>
      </c>
      <c r="AF52" s="93">
        <f t="shared" si="72"/>
        <v>4490.6239484579546</v>
      </c>
      <c r="AG52" s="93">
        <f t="shared" si="72"/>
        <v>4490.6239484579546</v>
      </c>
      <c r="AH52" s="93">
        <f t="shared" si="72"/>
        <v>4490.6239484579546</v>
      </c>
      <c r="AI52" s="93">
        <f t="shared" ref="AI52:BB52" si="73">IFERROR(AI17/$B52,".")</f>
        <v>4490.6239484579546</v>
      </c>
      <c r="AJ52" s="93">
        <f t="shared" si="73"/>
        <v>4490.6239484579546</v>
      </c>
      <c r="AK52" s="93">
        <f t="shared" si="73"/>
        <v>4490.6239484579546</v>
      </c>
      <c r="AL52" s="93">
        <f t="shared" si="73"/>
        <v>4490.6239484579546</v>
      </c>
      <c r="AM52" s="93">
        <f t="shared" si="73"/>
        <v>4490.6239484579546</v>
      </c>
      <c r="AN52" s="93">
        <f t="shared" si="73"/>
        <v>4490.6239484579546</v>
      </c>
      <c r="AO52" s="93">
        <f t="shared" si="73"/>
        <v>4490.6239484579546</v>
      </c>
      <c r="AP52" s="93">
        <f t="shared" si="73"/>
        <v>4490.6239484579546</v>
      </c>
      <c r="AQ52" s="93">
        <f t="shared" si="73"/>
        <v>4490.6239484579546</v>
      </c>
      <c r="AR52" s="93">
        <f t="shared" si="73"/>
        <v>4490.6239484579546</v>
      </c>
      <c r="AS52" s="93">
        <f t="shared" si="73"/>
        <v>4490.6239484579546</v>
      </c>
      <c r="AT52" s="93">
        <f t="shared" si="73"/>
        <v>4490.6239484579546</v>
      </c>
      <c r="AU52" s="93">
        <f t="shared" si="73"/>
        <v>4490.6239484579546</v>
      </c>
      <c r="AV52" s="93">
        <f t="shared" si="73"/>
        <v>4490.6239484579546</v>
      </c>
      <c r="AW52" s="93">
        <f t="shared" si="73"/>
        <v>4490.6239484579546</v>
      </c>
      <c r="AX52" s="93">
        <f t="shared" si="73"/>
        <v>4490.6239484579546</v>
      </c>
      <c r="AY52" s="93">
        <f t="shared" si="73"/>
        <v>4490.6239484579546</v>
      </c>
      <c r="AZ52" s="93">
        <f t="shared" si="73"/>
        <v>4490.6239484579546</v>
      </c>
      <c r="BA52" s="93">
        <f t="shared" si="73"/>
        <v>4490.6239484579546</v>
      </c>
      <c r="BB52" s="93">
        <f t="shared" si="73"/>
        <v>4490.6239484579546</v>
      </c>
      <c r="BC52" s="94">
        <f t="shared" si="67"/>
        <v>2.2268620385000003E-2</v>
      </c>
      <c r="BD52" s="94">
        <f>IF(AD52=".",".",s_RadSpec!$F$17*(BD17*$B52))</f>
        <v>5.5671550962500009E-3</v>
      </c>
      <c r="BE52" s="94">
        <f>IF(AE52=".",".",s_RadSpec!$F$17*(BE17*$B52))</f>
        <v>5.5671550962500009E-3</v>
      </c>
      <c r="BF52" s="94">
        <f>IF(AF52=".",".",s_RadSpec!$F$17*(BF17*$B52))</f>
        <v>5.5671550962500009E-3</v>
      </c>
      <c r="BG52" s="94">
        <f>IF(AG52=".",".",s_RadSpec!$F$17*(BG17*$B52))</f>
        <v>5.5671550962500009E-3</v>
      </c>
      <c r="BH52" s="94">
        <f>IF(AH52=".",".",s_RadSpec!$F$17*(BH17*$B52))</f>
        <v>5.5671550962500009E-3</v>
      </c>
      <c r="BI52" s="94">
        <f>IF(AI52=".",".",s_RadSpec!$F$17*(BI17*$B52))</f>
        <v>5.5671550962500009E-3</v>
      </c>
      <c r="BJ52" s="94">
        <f>IF(AJ52=".",".",s_RadSpec!$F$17*(BJ17*$B52))</f>
        <v>5.5671550962500009E-3</v>
      </c>
      <c r="BK52" s="94">
        <f>IF(AK52=".",".",s_RadSpec!$F$17*(BK17*$B52))</f>
        <v>5.5671550962500009E-3</v>
      </c>
      <c r="BL52" s="94">
        <f>IF(AL52=".",".",s_RadSpec!$F$17*(BL17*$B52))</f>
        <v>5.5671550962500009E-3</v>
      </c>
      <c r="BM52" s="94">
        <f>IF(AM52=".",".",s_RadSpec!$F$17*(BM17*$B52))</f>
        <v>5.5671550962500009E-3</v>
      </c>
      <c r="BN52" s="94">
        <f>IF(AN52=".",".",s_RadSpec!$F$17*(BN17*$B52))</f>
        <v>5.5671550962500009E-3</v>
      </c>
      <c r="BO52" s="94">
        <f>IF(AO52=".",".",s_RadSpec!$F$17*(BO17*$B52))</f>
        <v>5.5671550962500009E-3</v>
      </c>
      <c r="BP52" s="94">
        <f>IF(AP52=".",".",s_RadSpec!$F$17*(BP17*$B52))</f>
        <v>5.5671550962500009E-3</v>
      </c>
      <c r="BQ52" s="94">
        <f>IF(AQ52=".",".",s_RadSpec!$F$17*(BQ17*$B52))</f>
        <v>5.5671550962500009E-3</v>
      </c>
      <c r="BR52" s="94">
        <f>IF(AR52=".",".",s_RadSpec!$F$17*(BR17*$B52))</f>
        <v>5.5671550962500009E-3</v>
      </c>
      <c r="BS52" s="94">
        <f>IF(AS52=".",".",s_RadSpec!$F$17*(BS17*$B52))</f>
        <v>5.5671550962500009E-3</v>
      </c>
      <c r="BT52" s="94">
        <f>IF(AT52=".",".",s_RadSpec!$F$17*(BT17*$B52))</f>
        <v>5.5671550962500009E-3</v>
      </c>
      <c r="BU52" s="94">
        <f>IF(AU52=".",".",s_RadSpec!$F$17*(BU17*$B52))</f>
        <v>5.5671550962500009E-3</v>
      </c>
      <c r="BV52" s="94">
        <f>IF(AV52=".",".",s_RadSpec!$F$17*(BV17*$B52))</f>
        <v>5.5671550962500009E-3</v>
      </c>
      <c r="BW52" s="94">
        <f>IF(AW52=".",".",s_RadSpec!$F$17*(BW17*$B52))</f>
        <v>5.5671550962500009E-3</v>
      </c>
      <c r="BX52" s="94">
        <f>IF(AX52=".",".",s_RadSpec!$F$17*(BX17*$B52))</f>
        <v>5.5671550962500009E-3</v>
      </c>
      <c r="BY52" s="94">
        <f>IF(AY52=".",".",s_RadSpec!$F$17*(BY17*$B52))</f>
        <v>5.5671550962500009E-3</v>
      </c>
      <c r="BZ52" s="94">
        <f>IF(AZ52=".",".",s_RadSpec!$F$17*(BZ17*$B52))</f>
        <v>5.5671550962500009E-3</v>
      </c>
      <c r="CA52" s="94">
        <f>IF(BA52=".",".",s_RadSpec!$F$17*(CA17*$B52))</f>
        <v>5.5671550962500009E-3</v>
      </c>
      <c r="CB52" s="94">
        <f>IF(BB52=".",".",s_RadSpec!$F$17*(CB17*$B52))</f>
        <v>5.5671550962500009E-3</v>
      </c>
    </row>
    <row r="53" spans="1:80" x14ac:dyDescent="0.25">
      <c r="A53" s="92" t="s">
        <v>1074</v>
      </c>
      <c r="B53" s="84">
        <v>2.0000000000000001E-4</v>
      </c>
      <c r="C53" s="93" t="str">
        <f t="shared" ref="C53:AH53" si="74">IFERROR(C5/$B53,".")</f>
        <v>.</v>
      </c>
      <c r="D53" s="93" t="str">
        <f t="shared" si="74"/>
        <v>.</v>
      </c>
      <c r="E53" s="93" t="str">
        <f t="shared" si="74"/>
        <v>.</v>
      </c>
      <c r="F53" s="93" t="str">
        <f t="shared" si="74"/>
        <v>.</v>
      </c>
      <c r="G53" s="93" t="str">
        <f t="shared" si="74"/>
        <v>.</v>
      </c>
      <c r="H53" s="93" t="str">
        <f t="shared" si="74"/>
        <v>.</v>
      </c>
      <c r="I53" s="93" t="str">
        <f t="shared" si="74"/>
        <v>.</v>
      </c>
      <c r="J53" s="93" t="str">
        <f t="shared" si="74"/>
        <v>.</v>
      </c>
      <c r="K53" s="93" t="str">
        <f t="shared" si="74"/>
        <v>.</v>
      </c>
      <c r="L53" s="93" t="str">
        <f t="shared" si="74"/>
        <v>.</v>
      </c>
      <c r="M53" s="93" t="str">
        <f t="shared" si="74"/>
        <v>.</v>
      </c>
      <c r="N53" s="93" t="str">
        <f t="shared" si="74"/>
        <v>.</v>
      </c>
      <c r="O53" s="93" t="str">
        <f t="shared" si="74"/>
        <v>.</v>
      </c>
      <c r="P53" s="93" t="str">
        <f t="shared" si="74"/>
        <v>.</v>
      </c>
      <c r="Q53" s="93" t="str">
        <f t="shared" si="74"/>
        <v>.</v>
      </c>
      <c r="R53" s="93" t="str">
        <f t="shared" si="74"/>
        <v>.</v>
      </c>
      <c r="S53" s="93" t="str">
        <f t="shared" si="74"/>
        <v>.</v>
      </c>
      <c r="T53" s="93" t="str">
        <f t="shared" si="74"/>
        <v>.</v>
      </c>
      <c r="U53" s="93" t="str">
        <f t="shared" si="74"/>
        <v>.</v>
      </c>
      <c r="V53" s="93" t="str">
        <f t="shared" si="74"/>
        <v>.</v>
      </c>
      <c r="W53" s="93" t="str">
        <f t="shared" si="74"/>
        <v>.</v>
      </c>
      <c r="X53" s="93" t="str">
        <f t="shared" si="74"/>
        <v>.</v>
      </c>
      <c r="Y53" s="93" t="str">
        <f t="shared" si="74"/>
        <v>.</v>
      </c>
      <c r="Z53" s="93" t="str">
        <f t="shared" si="74"/>
        <v>.</v>
      </c>
      <c r="AA53" s="93" t="str">
        <f t="shared" si="74"/>
        <v>.</v>
      </c>
      <c r="AB53" s="93" t="str">
        <f t="shared" si="74"/>
        <v>.</v>
      </c>
      <c r="AC53" s="93" t="str">
        <f t="shared" si="74"/>
        <v>.</v>
      </c>
      <c r="AD53" s="93" t="str">
        <f t="shared" si="74"/>
        <v>.</v>
      </c>
      <c r="AE53" s="93" t="str">
        <f t="shared" si="74"/>
        <v>.</v>
      </c>
      <c r="AF53" s="93" t="str">
        <f t="shared" si="74"/>
        <v>.</v>
      </c>
      <c r="AG53" s="93" t="str">
        <f t="shared" si="74"/>
        <v>.</v>
      </c>
      <c r="AH53" s="93" t="str">
        <f t="shared" si="74"/>
        <v>.</v>
      </c>
      <c r="AI53" s="93" t="str">
        <f t="shared" ref="AI53:BB53" si="75">IFERROR(AI5/$B53,".")</f>
        <v>.</v>
      </c>
      <c r="AJ53" s="93" t="str">
        <f t="shared" si="75"/>
        <v>.</v>
      </c>
      <c r="AK53" s="93" t="str">
        <f t="shared" si="75"/>
        <v>.</v>
      </c>
      <c r="AL53" s="93" t="str">
        <f t="shared" si="75"/>
        <v>.</v>
      </c>
      <c r="AM53" s="93" t="str">
        <f t="shared" si="75"/>
        <v>.</v>
      </c>
      <c r="AN53" s="93" t="str">
        <f t="shared" si="75"/>
        <v>.</v>
      </c>
      <c r="AO53" s="93" t="str">
        <f t="shared" si="75"/>
        <v>.</v>
      </c>
      <c r="AP53" s="93" t="str">
        <f t="shared" si="75"/>
        <v>.</v>
      </c>
      <c r="AQ53" s="93" t="str">
        <f t="shared" si="75"/>
        <v>.</v>
      </c>
      <c r="AR53" s="93" t="str">
        <f t="shared" si="75"/>
        <v>.</v>
      </c>
      <c r="AS53" s="93" t="str">
        <f t="shared" si="75"/>
        <v>.</v>
      </c>
      <c r="AT53" s="93" t="str">
        <f t="shared" si="75"/>
        <v>.</v>
      </c>
      <c r="AU53" s="93" t="str">
        <f t="shared" si="75"/>
        <v>.</v>
      </c>
      <c r="AV53" s="93" t="str">
        <f t="shared" si="75"/>
        <v>.</v>
      </c>
      <c r="AW53" s="93" t="str">
        <f t="shared" si="75"/>
        <v>.</v>
      </c>
      <c r="AX53" s="93" t="str">
        <f t="shared" si="75"/>
        <v>.</v>
      </c>
      <c r="AY53" s="93" t="str">
        <f t="shared" si="75"/>
        <v>.</v>
      </c>
      <c r="AZ53" s="93" t="str">
        <f t="shared" si="75"/>
        <v>.</v>
      </c>
      <c r="BA53" s="93" t="str">
        <f t="shared" si="75"/>
        <v>.</v>
      </c>
      <c r="BB53" s="93" t="str">
        <f t="shared" si="75"/>
        <v>.</v>
      </c>
      <c r="BC53" s="94" t="str">
        <f t="shared" si="67"/>
        <v>.</v>
      </c>
      <c r="BD53" s="94" t="str">
        <f>IF(AD53=".",".",s_RadSpec!$F$5*(BD5*$B53))</f>
        <v>.</v>
      </c>
      <c r="BE53" s="94" t="str">
        <f>IF(AE53=".",".",s_RadSpec!$F$5*(BE5*$B53))</f>
        <v>.</v>
      </c>
      <c r="BF53" s="94" t="str">
        <f>IF(AF53=".",".",s_RadSpec!$F$5*(BF5*$B53))</f>
        <v>.</v>
      </c>
      <c r="BG53" s="94" t="str">
        <f>IF(AG53=".",".",s_RadSpec!$F$5*(BG5*$B53))</f>
        <v>.</v>
      </c>
      <c r="BH53" s="94" t="str">
        <f>IF(AH53=".",".",s_RadSpec!$F$5*(BH5*$B53))</f>
        <v>.</v>
      </c>
      <c r="BI53" s="94" t="str">
        <f>IF(AI53=".",".",s_RadSpec!$F$5*(BI5*$B53))</f>
        <v>.</v>
      </c>
      <c r="BJ53" s="94" t="str">
        <f>IF(AJ53=".",".",s_RadSpec!$F$5*(BJ5*$B53))</f>
        <v>.</v>
      </c>
      <c r="BK53" s="94" t="str">
        <f>IF(AK53=".",".",s_RadSpec!$F$5*(BK5*$B53))</f>
        <v>.</v>
      </c>
      <c r="BL53" s="94" t="str">
        <f>IF(AL53=".",".",s_RadSpec!$F$5*(BL5*$B53))</f>
        <v>.</v>
      </c>
      <c r="BM53" s="94" t="str">
        <f>IF(AM53=".",".",s_RadSpec!$F$5*(BM5*$B53))</f>
        <v>.</v>
      </c>
      <c r="BN53" s="94" t="str">
        <f>IF(AN53=".",".",s_RadSpec!$F$5*(BN5*$B53))</f>
        <v>.</v>
      </c>
      <c r="BO53" s="94" t="str">
        <f>IF(AO53=".",".",s_RadSpec!$F$5*(BO5*$B53))</f>
        <v>.</v>
      </c>
      <c r="BP53" s="94" t="str">
        <f>IF(AP53=".",".",s_RadSpec!$F$5*(BP5*$B53))</f>
        <v>.</v>
      </c>
      <c r="BQ53" s="94" t="str">
        <f>IF(AQ53=".",".",s_RadSpec!$F$5*(BQ5*$B53))</f>
        <v>.</v>
      </c>
      <c r="BR53" s="94" t="str">
        <f>IF(AR53=".",".",s_RadSpec!$F$5*(BR5*$B53))</f>
        <v>.</v>
      </c>
      <c r="BS53" s="94" t="str">
        <f>IF(AS53=".",".",s_RadSpec!$F$5*(BS5*$B53))</f>
        <v>.</v>
      </c>
      <c r="BT53" s="94" t="str">
        <f>IF(AT53=".",".",s_RadSpec!$F$5*(BT5*$B53))</f>
        <v>.</v>
      </c>
      <c r="BU53" s="94" t="str">
        <f>IF(AU53=".",".",s_RadSpec!$F$5*(BU5*$B53))</f>
        <v>.</v>
      </c>
      <c r="BV53" s="94" t="str">
        <f>IF(AV53=".",".",s_RadSpec!$F$5*(BV5*$B53))</f>
        <v>.</v>
      </c>
      <c r="BW53" s="94" t="str">
        <f>IF(AW53=".",".",s_RadSpec!$F$5*(BW5*$B53))</f>
        <v>.</v>
      </c>
      <c r="BX53" s="94" t="str">
        <f>IF(AX53=".",".",s_RadSpec!$F$5*(BX5*$B53))</f>
        <v>.</v>
      </c>
      <c r="BY53" s="94" t="str">
        <f>IF(AY53=".",".",s_RadSpec!$F$5*(BY5*$B53))</f>
        <v>.</v>
      </c>
      <c r="BZ53" s="94" t="str">
        <f>IF(AZ53=".",".",s_RadSpec!$F$5*(BZ5*$B53))</f>
        <v>.</v>
      </c>
      <c r="CA53" s="94" t="str">
        <f>IF(BA53=".",".",s_RadSpec!$F$5*(CA5*$B53))</f>
        <v>.</v>
      </c>
      <c r="CB53" s="94" t="str">
        <f>IF(BB53=".",".",s_RadSpec!$F$5*(CB5*$B53))</f>
        <v>.</v>
      </c>
    </row>
    <row r="54" spans="1:80" x14ac:dyDescent="0.25">
      <c r="A54" s="92" t="s">
        <v>1075</v>
      </c>
      <c r="B54" s="84">
        <v>0.99999979999999999</v>
      </c>
      <c r="C54" s="93">
        <f t="shared" ref="C54:AH54" si="76">IFERROR(C9/$B54,".")</f>
        <v>1499.0866067132681</v>
      </c>
      <c r="D54" s="93">
        <f t="shared" si="76"/>
        <v>5996.3464268530724</v>
      </c>
      <c r="E54" s="93">
        <f t="shared" si="76"/>
        <v>5996.3464268530724</v>
      </c>
      <c r="F54" s="93">
        <f t="shared" si="76"/>
        <v>5996.3464268530724</v>
      </c>
      <c r="G54" s="93">
        <f t="shared" si="76"/>
        <v>5996.3464268530724</v>
      </c>
      <c r="H54" s="93">
        <f t="shared" si="76"/>
        <v>5996.3464268530724</v>
      </c>
      <c r="I54" s="93">
        <f t="shared" si="76"/>
        <v>5996.3464268530724</v>
      </c>
      <c r="J54" s="93">
        <f t="shared" si="76"/>
        <v>5996.3464268530724</v>
      </c>
      <c r="K54" s="93">
        <f t="shared" si="76"/>
        <v>5996.3464268530724</v>
      </c>
      <c r="L54" s="93">
        <f t="shared" si="76"/>
        <v>5996.3464268530724</v>
      </c>
      <c r="M54" s="93">
        <f t="shared" si="76"/>
        <v>5996.3464268530724</v>
      </c>
      <c r="N54" s="93">
        <f t="shared" si="76"/>
        <v>5996.3464268530724</v>
      </c>
      <c r="O54" s="93">
        <f t="shared" si="76"/>
        <v>5996.3464268530724</v>
      </c>
      <c r="P54" s="93">
        <f t="shared" si="76"/>
        <v>5996.3464268530724</v>
      </c>
      <c r="Q54" s="93">
        <f t="shared" si="76"/>
        <v>5996.3464268530724</v>
      </c>
      <c r="R54" s="93">
        <f t="shared" si="76"/>
        <v>5996.3464268530724</v>
      </c>
      <c r="S54" s="93">
        <f t="shared" si="76"/>
        <v>5996.3464268530724</v>
      </c>
      <c r="T54" s="93">
        <f t="shared" si="76"/>
        <v>5996.3464268530724</v>
      </c>
      <c r="U54" s="93">
        <f t="shared" si="76"/>
        <v>5996.3464268530724</v>
      </c>
      <c r="V54" s="93">
        <f t="shared" si="76"/>
        <v>5996.3464268530724</v>
      </c>
      <c r="W54" s="93">
        <f t="shared" si="76"/>
        <v>5996.3464268530724</v>
      </c>
      <c r="X54" s="93">
        <f t="shared" si="76"/>
        <v>5996.3464268530724</v>
      </c>
      <c r="Y54" s="93">
        <f t="shared" si="76"/>
        <v>5996.3464268530724</v>
      </c>
      <c r="Z54" s="93">
        <f t="shared" si="76"/>
        <v>5996.3464268530724</v>
      </c>
      <c r="AA54" s="93">
        <f t="shared" si="76"/>
        <v>5996.3464268530724</v>
      </c>
      <c r="AB54" s="93">
        <f t="shared" si="76"/>
        <v>5996.3464268530724</v>
      </c>
      <c r="AC54" s="93">
        <f t="shared" si="76"/>
        <v>1499.0866067132681</v>
      </c>
      <c r="AD54" s="93">
        <f t="shared" si="76"/>
        <v>5996.3464268530724</v>
      </c>
      <c r="AE54" s="93">
        <f t="shared" si="76"/>
        <v>5996.3464268530724</v>
      </c>
      <c r="AF54" s="93">
        <f t="shared" si="76"/>
        <v>5996.3464268530724</v>
      </c>
      <c r="AG54" s="93">
        <f t="shared" si="76"/>
        <v>5996.3464268530724</v>
      </c>
      <c r="AH54" s="93">
        <f t="shared" si="76"/>
        <v>5996.3464268530724</v>
      </c>
      <c r="AI54" s="93">
        <f t="shared" ref="AI54:BB54" si="77">IFERROR(AI9/$B54,".")</f>
        <v>5996.3464268530724</v>
      </c>
      <c r="AJ54" s="93">
        <f t="shared" si="77"/>
        <v>5996.3464268530724</v>
      </c>
      <c r="AK54" s="93">
        <f t="shared" si="77"/>
        <v>5996.3464268530724</v>
      </c>
      <c r="AL54" s="93">
        <f t="shared" si="77"/>
        <v>5996.3464268530724</v>
      </c>
      <c r="AM54" s="93">
        <f t="shared" si="77"/>
        <v>5996.3464268530724</v>
      </c>
      <c r="AN54" s="93">
        <f t="shared" si="77"/>
        <v>5996.3464268530724</v>
      </c>
      <c r="AO54" s="93">
        <f t="shared" si="77"/>
        <v>5996.3464268530724</v>
      </c>
      <c r="AP54" s="93">
        <f t="shared" si="77"/>
        <v>5996.3464268530724</v>
      </c>
      <c r="AQ54" s="93">
        <f t="shared" si="77"/>
        <v>5996.3464268530724</v>
      </c>
      <c r="AR54" s="93">
        <f t="shared" si="77"/>
        <v>5996.3464268530724</v>
      </c>
      <c r="AS54" s="93">
        <f t="shared" si="77"/>
        <v>5996.3464268530724</v>
      </c>
      <c r="AT54" s="93">
        <f t="shared" si="77"/>
        <v>5996.3464268530724</v>
      </c>
      <c r="AU54" s="93">
        <f t="shared" si="77"/>
        <v>5996.3464268530724</v>
      </c>
      <c r="AV54" s="93">
        <f t="shared" si="77"/>
        <v>5996.3464268530724</v>
      </c>
      <c r="AW54" s="93">
        <f t="shared" si="77"/>
        <v>5996.3464268530724</v>
      </c>
      <c r="AX54" s="93">
        <f t="shared" si="77"/>
        <v>5996.3464268530724</v>
      </c>
      <c r="AY54" s="93">
        <f t="shared" si="77"/>
        <v>5996.3464268530724</v>
      </c>
      <c r="AZ54" s="93">
        <f t="shared" si="77"/>
        <v>5996.3464268530724</v>
      </c>
      <c r="BA54" s="93">
        <f t="shared" si="77"/>
        <v>5996.3464268530724</v>
      </c>
      <c r="BB54" s="93">
        <f t="shared" si="77"/>
        <v>5996.3464268530724</v>
      </c>
      <c r="BC54" s="94">
        <f t="shared" si="67"/>
        <v>1.6676821664635001E-2</v>
      </c>
      <c r="BD54" s="94">
        <f>IF(AD54=".",".",s_RadSpec!$F$9*(BD9*$B54))</f>
        <v>4.1692054161587503E-3</v>
      </c>
      <c r="BE54" s="94">
        <f>IF(AE54=".",".",s_RadSpec!$F$9*(BE9*$B54))</f>
        <v>4.1692054161587503E-3</v>
      </c>
      <c r="BF54" s="94">
        <f>IF(AF54=".",".",s_RadSpec!$F$9*(BF9*$B54))</f>
        <v>4.1692054161587503E-3</v>
      </c>
      <c r="BG54" s="94">
        <f>IF(AG54=".",".",s_RadSpec!$F$9*(BG9*$B54))</f>
        <v>4.1692054161587503E-3</v>
      </c>
      <c r="BH54" s="94">
        <f>IF(AH54=".",".",s_RadSpec!$F$9*(BH9*$B54))</f>
        <v>4.1692054161587503E-3</v>
      </c>
      <c r="BI54" s="94">
        <f>IF(AI54=".",".",s_RadSpec!$F$9*(BI9*$B54))</f>
        <v>4.1692054161587503E-3</v>
      </c>
      <c r="BJ54" s="94">
        <f>IF(AJ54=".",".",s_RadSpec!$F$9*(BJ9*$B54))</f>
        <v>4.1692054161587503E-3</v>
      </c>
      <c r="BK54" s="94">
        <f>IF(AK54=".",".",s_RadSpec!$F$9*(BK9*$B54))</f>
        <v>4.1692054161587503E-3</v>
      </c>
      <c r="BL54" s="94">
        <f>IF(AL54=".",".",s_RadSpec!$F$9*(BL9*$B54))</f>
        <v>4.1692054161587503E-3</v>
      </c>
      <c r="BM54" s="94">
        <f>IF(AM54=".",".",s_RadSpec!$F$9*(BM9*$B54))</f>
        <v>4.1692054161587503E-3</v>
      </c>
      <c r="BN54" s="94">
        <f>IF(AN54=".",".",s_RadSpec!$F$9*(BN9*$B54))</f>
        <v>4.1692054161587503E-3</v>
      </c>
      <c r="BO54" s="94">
        <f>IF(AO54=".",".",s_RadSpec!$F$9*(BO9*$B54))</f>
        <v>4.1692054161587503E-3</v>
      </c>
      <c r="BP54" s="94">
        <f>IF(AP54=".",".",s_RadSpec!$F$9*(BP9*$B54))</f>
        <v>4.1692054161587503E-3</v>
      </c>
      <c r="BQ54" s="94">
        <f>IF(AQ54=".",".",s_RadSpec!$F$9*(BQ9*$B54))</f>
        <v>4.1692054161587503E-3</v>
      </c>
      <c r="BR54" s="94">
        <f>IF(AR54=".",".",s_RadSpec!$F$9*(BR9*$B54))</f>
        <v>4.1692054161587503E-3</v>
      </c>
      <c r="BS54" s="94">
        <f>IF(AS54=".",".",s_RadSpec!$F$9*(BS9*$B54))</f>
        <v>4.1692054161587503E-3</v>
      </c>
      <c r="BT54" s="94">
        <f>IF(AT54=".",".",s_RadSpec!$F$9*(BT9*$B54))</f>
        <v>4.1692054161587503E-3</v>
      </c>
      <c r="BU54" s="94">
        <f>IF(AU54=".",".",s_RadSpec!$F$9*(BU9*$B54))</f>
        <v>4.1692054161587503E-3</v>
      </c>
      <c r="BV54" s="94">
        <f>IF(AV54=".",".",s_RadSpec!$F$9*(BV9*$B54))</f>
        <v>4.1692054161587503E-3</v>
      </c>
      <c r="BW54" s="94">
        <f>IF(AW54=".",".",s_RadSpec!$F$9*(BW9*$B54))</f>
        <v>4.1692054161587503E-3</v>
      </c>
      <c r="BX54" s="94">
        <f>IF(AX54=".",".",s_RadSpec!$F$9*(BX9*$B54))</f>
        <v>4.1692054161587503E-3</v>
      </c>
      <c r="BY54" s="94">
        <f>IF(AY54=".",".",s_RadSpec!$F$9*(BY9*$B54))</f>
        <v>4.1692054161587503E-3</v>
      </c>
      <c r="BZ54" s="94">
        <f>IF(AZ54=".",".",s_RadSpec!$F$9*(BZ9*$B54))</f>
        <v>4.1692054161587503E-3</v>
      </c>
      <c r="CA54" s="94">
        <f>IF(BA54=".",".",s_RadSpec!$F$9*(CA9*$B54))</f>
        <v>4.1692054161587503E-3</v>
      </c>
      <c r="CB54" s="94">
        <f>IF(BB54=".",".",s_RadSpec!$F$9*(CB9*$B54))</f>
        <v>4.1692054161587503E-3</v>
      </c>
    </row>
    <row r="55" spans="1:80" x14ac:dyDescent="0.25">
      <c r="A55" s="92" t="s">
        <v>1076</v>
      </c>
      <c r="B55" s="84">
        <v>1.9999999999999999E-7</v>
      </c>
      <c r="C55" s="93" t="str">
        <f t="shared" ref="C55:AH55" si="78">IFERROR(C24/$B55,".")</f>
        <v>.</v>
      </c>
      <c r="D55" s="93" t="str">
        <f t="shared" si="78"/>
        <v>.</v>
      </c>
      <c r="E55" s="93" t="str">
        <f t="shared" si="78"/>
        <v>.</v>
      </c>
      <c r="F55" s="93" t="str">
        <f t="shared" si="78"/>
        <v>.</v>
      </c>
      <c r="G55" s="93" t="str">
        <f t="shared" si="78"/>
        <v>.</v>
      </c>
      <c r="H55" s="93" t="str">
        <f t="shared" si="78"/>
        <v>.</v>
      </c>
      <c r="I55" s="93" t="str">
        <f t="shared" si="78"/>
        <v>.</v>
      </c>
      <c r="J55" s="93" t="str">
        <f t="shared" si="78"/>
        <v>.</v>
      </c>
      <c r="K55" s="93" t="str">
        <f t="shared" si="78"/>
        <v>.</v>
      </c>
      <c r="L55" s="93" t="str">
        <f t="shared" si="78"/>
        <v>.</v>
      </c>
      <c r="M55" s="93" t="str">
        <f t="shared" si="78"/>
        <v>.</v>
      </c>
      <c r="N55" s="93" t="str">
        <f t="shared" si="78"/>
        <v>.</v>
      </c>
      <c r="O55" s="93" t="str">
        <f t="shared" si="78"/>
        <v>.</v>
      </c>
      <c r="P55" s="93" t="str">
        <f t="shared" si="78"/>
        <v>.</v>
      </c>
      <c r="Q55" s="93" t="str">
        <f t="shared" si="78"/>
        <v>.</v>
      </c>
      <c r="R55" s="93" t="str">
        <f t="shared" si="78"/>
        <v>.</v>
      </c>
      <c r="S55" s="93" t="str">
        <f t="shared" si="78"/>
        <v>.</v>
      </c>
      <c r="T55" s="93" t="str">
        <f t="shared" si="78"/>
        <v>.</v>
      </c>
      <c r="U55" s="93" t="str">
        <f t="shared" si="78"/>
        <v>.</v>
      </c>
      <c r="V55" s="93" t="str">
        <f t="shared" si="78"/>
        <v>.</v>
      </c>
      <c r="W55" s="93" t="str">
        <f t="shared" si="78"/>
        <v>.</v>
      </c>
      <c r="X55" s="93" t="str">
        <f t="shared" si="78"/>
        <v>.</v>
      </c>
      <c r="Y55" s="93" t="str">
        <f t="shared" si="78"/>
        <v>.</v>
      </c>
      <c r="Z55" s="93" t="str">
        <f t="shared" si="78"/>
        <v>.</v>
      </c>
      <c r="AA55" s="93" t="str">
        <f t="shared" si="78"/>
        <v>.</v>
      </c>
      <c r="AB55" s="93" t="str">
        <f t="shared" si="78"/>
        <v>.</v>
      </c>
      <c r="AC55" s="93" t="str">
        <f t="shared" si="78"/>
        <v>.</v>
      </c>
      <c r="AD55" s="93" t="str">
        <f t="shared" si="78"/>
        <v>.</v>
      </c>
      <c r="AE55" s="93" t="str">
        <f t="shared" si="78"/>
        <v>.</v>
      </c>
      <c r="AF55" s="93" t="str">
        <f t="shared" si="78"/>
        <v>.</v>
      </c>
      <c r="AG55" s="93" t="str">
        <f t="shared" si="78"/>
        <v>.</v>
      </c>
      <c r="AH55" s="93" t="str">
        <f t="shared" si="78"/>
        <v>.</v>
      </c>
      <c r="AI55" s="93" t="str">
        <f t="shared" ref="AI55:BB55" si="79">IFERROR(AI24/$B55,".")</f>
        <v>.</v>
      </c>
      <c r="AJ55" s="93" t="str">
        <f t="shared" si="79"/>
        <v>.</v>
      </c>
      <c r="AK55" s="93" t="str">
        <f t="shared" si="79"/>
        <v>.</v>
      </c>
      <c r="AL55" s="93" t="str">
        <f t="shared" si="79"/>
        <v>.</v>
      </c>
      <c r="AM55" s="93" t="str">
        <f t="shared" si="79"/>
        <v>.</v>
      </c>
      <c r="AN55" s="93" t="str">
        <f t="shared" si="79"/>
        <v>.</v>
      </c>
      <c r="AO55" s="93" t="str">
        <f t="shared" si="79"/>
        <v>.</v>
      </c>
      <c r="AP55" s="93" t="str">
        <f t="shared" si="79"/>
        <v>.</v>
      </c>
      <c r="AQ55" s="93" t="str">
        <f t="shared" si="79"/>
        <v>.</v>
      </c>
      <c r="AR55" s="93" t="str">
        <f t="shared" si="79"/>
        <v>.</v>
      </c>
      <c r="AS55" s="93" t="str">
        <f t="shared" si="79"/>
        <v>.</v>
      </c>
      <c r="AT55" s="93" t="str">
        <f t="shared" si="79"/>
        <v>.</v>
      </c>
      <c r="AU55" s="93" t="str">
        <f t="shared" si="79"/>
        <v>.</v>
      </c>
      <c r="AV55" s="93" t="str">
        <f t="shared" si="79"/>
        <v>.</v>
      </c>
      <c r="AW55" s="93" t="str">
        <f t="shared" si="79"/>
        <v>.</v>
      </c>
      <c r="AX55" s="93" t="str">
        <f t="shared" si="79"/>
        <v>.</v>
      </c>
      <c r="AY55" s="93" t="str">
        <f t="shared" si="79"/>
        <v>.</v>
      </c>
      <c r="AZ55" s="93" t="str">
        <f t="shared" si="79"/>
        <v>.</v>
      </c>
      <c r="BA55" s="93" t="str">
        <f t="shared" si="79"/>
        <v>.</v>
      </c>
      <c r="BB55" s="93" t="str">
        <f t="shared" si="79"/>
        <v>.</v>
      </c>
      <c r="BC55" s="94" t="str">
        <f t="shared" si="67"/>
        <v>.</v>
      </c>
      <c r="BD55" s="94" t="str">
        <f>IF(AD55=".",".",s_RadSpec!$F$24*(BD24*$B55))</f>
        <v>.</v>
      </c>
      <c r="BE55" s="94" t="str">
        <f>IF(AE55=".",".",s_RadSpec!$F$24*(BE24*$B55))</f>
        <v>.</v>
      </c>
      <c r="BF55" s="94" t="str">
        <f>IF(AF55=".",".",s_RadSpec!$F$24*(BF24*$B55))</f>
        <v>.</v>
      </c>
      <c r="BG55" s="94" t="str">
        <f>IF(AG55=".",".",s_RadSpec!$F$24*(BG24*$B55))</f>
        <v>.</v>
      </c>
      <c r="BH55" s="94" t="str">
        <f>IF(AH55=".",".",s_RadSpec!$F$24*(BH24*$B55))</f>
        <v>.</v>
      </c>
      <c r="BI55" s="94" t="str">
        <f>IF(AI55=".",".",s_RadSpec!$F$24*(BI24*$B55))</f>
        <v>.</v>
      </c>
      <c r="BJ55" s="94" t="str">
        <f>IF(AJ55=".",".",s_RadSpec!$F$24*(BJ24*$B55))</f>
        <v>.</v>
      </c>
      <c r="BK55" s="94" t="str">
        <f>IF(AK55=".",".",s_RadSpec!$F$24*(BK24*$B55))</f>
        <v>.</v>
      </c>
      <c r="BL55" s="94" t="str">
        <f>IF(AL55=".",".",s_RadSpec!$F$24*(BL24*$B55))</f>
        <v>.</v>
      </c>
      <c r="BM55" s="94" t="str">
        <f>IF(AM55=".",".",s_RadSpec!$F$24*(BM24*$B55))</f>
        <v>.</v>
      </c>
      <c r="BN55" s="94" t="str">
        <f>IF(AN55=".",".",s_RadSpec!$F$24*(BN24*$B55))</f>
        <v>.</v>
      </c>
      <c r="BO55" s="94" t="str">
        <f>IF(AO55=".",".",s_RadSpec!$F$24*(BO24*$B55))</f>
        <v>.</v>
      </c>
      <c r="BP55" s="94" t="str">
        <f>IF(AP55=".",".",s_RadSpec!$F$24*(BP24*$B55))</f>
        <v>.</v>
      </c>
      <c r="BQ55" s="94" t="str">
        <f>IF(AQ55=".",".",s_RadSpec!$F$24*(BQ24*$B55))</f>
        <v>.</v>
      </c>
      <c r="BR55" s="94" t="str">
        <f>IF(AR55=".",".",s_RadSpec!$F$24*(BR24*$B55))</f>
        <v>.</v>
      </c>
      <c r="BS55" s="94" t="str">
        <f>IF(AS55=".",".",s_RadSpec!$F$24*(BS24*$B55))</f>
        <v>.</v>
      </c>
      <c r="BT55" s="94" t="str">
        <f>IF(AT55=".",".",s_RadSpec!$F$24*(BT24*$B55))</f>
        <v>.</v>
      </c>
      <c r="BU55" s="94" t="str">
        <f>IF(AU55=".",".",s_RadSpec!$F$24*(BU24*$B55))</f>
        <v>.</v>
      </c>
      <c r="BV55" s="94" t="str">
        <f>IF(AV55=".",".",s_RadSpec!$F$24*(BV24*$B55))</f>
        <v>.</v>
      </c>
      <c r="BW55" s="94" t="str">
        <f>IF(AW55=".",".",s_RadSpec!$F$24*(BW24*$B55))</f>
        <v>.</v>
      </c>
      <c r="BX55" s="94" t="str">
        <f>IF(AX55=".",".",s_RadSpec!$F$24*(BX24*$B55))</f>
        <v>.</v>
      </c>
      <c r="BY55" s="94" t="str">
        <f>IF(AY55=".",".",s_RadSpec!$F$24*(BY24*$B55))</f>
        <v>.</v>
      </c>
      <c r="BZ55" s="94" t="str">
        <f>IF(AZ55=".",".",s_RadSpec!$F$24*(BZ24*$B55))</f>
        <v>.</v>
      </c>
      <c r="CA55" s="94" t="str">
        <f>IF(BA55=".",".",s_RadSpec!$F$24*(CA24*$B55))</f>
        <v>.</v>
      </c>
      <c r="CB55" s="94" t="str">
        <f>IF(BB55=".",".",s_RadSpec!$F$24*(CB24*$B55))</f>
        <v>.</v>
      </c>
    </row>
    <row r="56" spans="1:80" x14ac:dyDescent="0.25">
      <c r="A56" s="92" t="s">
        <v>1077</v>
      </c>
      <c r="B56" s="84">
        <v>0.99979000004200003</v>
      </c>
      <c r="C56" s="93" t="str">
        <f t="shared" ref="C56:AH56" si="80">IFERROR(C20/$B56,".")</f>
        <v>.</v>
      </c>
      <c r="D56" s="93" t="str">
        <f t="shared" si="80"/>
        <v>.</v>
      </c>
      <c r="E56" s="93" t="str">
        <f t="shared" si="80"/>
        <v>.</v>
      </c>
      <c r="F56" s="93" t="str">
        <f t="shared" si="80"/>
        <v>.</v>
      </c>
      <c r="G56" s="93" t="str">
        <f t="shared" si="80"/>
        <v>.</v>
      </c>
      <c r="H56" s="93" t="str">
        <f t="shared" si="80"/>
        <v>.</v>
      </c>
      <c r="I56" s="93" t="str">
        <f t="shared" si="80"/>
        <v>.</v>
      </c>
      <c r="J56" s="93" t="str">
        <f t="shared" si="80"/>
        <v>.</v>
      </c>
      <c r="K56" s="93" t="str">
        <f t="shared" si="80"/>
        <v>.</v>
      </c>
      <c r="L56" s="93" t="str">
        <f t="shared" si="80"/>
        <v>.</v>
      </c>
      <c r="M56" s="93" t="str">
        <f t="shared" si="80"/>
        <v>.</v>
      </c>
      <c r="N56" s="93" t="str">
        <f t="shared" si="80"/>
        <v>.</v>
      </c>
      <c r="O56" s="93" t="str">
        <f t="shared" si="80"/>
        <v>.</v>
      </c>
      <c r="P56" s="93" t="str">
        <f t="shared" si="80"/>
        <v>.</v>
      </c>
      <c r="Q56" s="93" t="str">
        <f t="shared" si="80"/>
        <v>.</v>
      </c>
      <c r="R56" s="93" t="str">
        <f t="shared" si="80"/>
        <v>.</v>
      </c>
      <c r="S56" s="93" t="str">
        <f t="shared" si="80"/>
        <v>.</v>
      </c>
      <c r="T56" s="93" t="str">
        <f t="shared" si="80"/>
        <v>.</v>
      </c>
      <c r="U56" s="93" t="str">
        <f t="shared" si="80"/>
        <v>.</v>
      </c>
      <c r="V56" s="93" t="str">
        <f t="shared" si="80"/>
        <v>.</v>
      </c>
      <c r="W56" s="93" t="str">
        <f t="shared" si="80"/>
        <v>.</v>
      </c>
      <c r="X56" s="93" t="str">
        <f t="shared" si="80"/>
        <v>.</v>
      </c>
      <c r="Y56" s="93" t="str">
        <f t="shared" si="80"/>
        <v>.</v>
      </c>
      <c r="Z56" s="93" t="str">
        <f t="shared" si="80"/>
        <v>.</v>
      </c>
      <c r="AA56" s="93" t="str">
        <f t="shared" si="80"/>
        <v>.</v>
      </c>
      <c r="AB56" s="93" t="str">
        <f t="shared" si="80"/>
        <v>.</v>
      </c>
      <c r="AC56" s="93" t="str">
        <f t="shared" si="80"/>
        <v>.</v>
      </c>
      <c r="AD56" s="93" t="str">
        <f t="shared" si="80"/>
        <v>.</v>
      </c>
      <c r="AE56" s="93" t="str">
        <f t="shared" si="80"/>
        <v>.</v>
      </c>
      <c r="AF56" s="93" t="str">
        <f t="shared" si="80"/>
        <v>.</v>
      </c>
      <c r="AG56" s="93" t="str">
        <f t="shared" si="80"/>
        <v>.</v>
      </c>
      <c r="AH56" s="93" t="str">
        <f t="shared" si="80"/>
        <v>.</v>
      </c>
      <c r="AI56" s="93" t="str">
        <f t="shared" ref="AI56:BB56" si="81">IFERROR(AI20/$B56,".")</f>
        <v>.</v>
      </c>
      <c r="AJ56" s="93" t="str">
        <f t="shared" si="81"/>
        <v>.</v>
      </c>
      <c r="AK56" s="93" t="str">
        <f t="shared" si="81"/>
        <v>.</v>
      </c>
      <c r="AL56" s="93" t="str">
        <f t="shared" si="81"/>
        <v>.</v>
      </c>
      <c r="AM56" s="93" t="str">
        <f t="shared" si="81"/>
        <v>.</v>
      </c>
      <c r="AN56" s="93" t="str">
        <f t="shared" si="81"/>
        <v>.</v>
      </c>
      <c r="AO56" s="93" t="str">
        <f t="shared" si="81"/>
        <v>.</v>
      </c>
      <c r="AP56" s="93" t="str">
        <f t="shared" si="81"/>
        <v>.</v>
      </c>
      <c r="AQ56" s="93" t="str">
        <f t="shared" si="81"/>
        <v>.</v>
      </c>
      <c r="AR56" s="93" t="str">
        <f t="shared" si="81"/>
        <v>.</v>
      </c>
      <c r="AS56" s="93" t="str">
        <f t="shared" si="81"/>
        <v>.</v>
      </c>
      <c r="AT56" s="93" t="str">
        <f t="shared" si="81"/>
        <v>.</v>
      </c>
      <c r="AU56" s="93" t="str">
        <f t="shared" si="81"/>
        <v>.</v>
      </c>
      <c r="AV56" s="93" t="str">
        <f t="shared" si="81"/>
        <v>.</v>
      </c>
      <c r="AW56" s="93" t="str">
        <f t="shared" si="81"/>
        <v>.</v>
      </c>
      <c r="AX56" s="93" t="str">
        <f t="shared" si="81"/>
        <v>.</v>
      </c>
      <c r="AY56" s="93" t="str">
        <f t="shared" si="81"/>
        <v>.</v>
      </c>
      <c r="AZ56" s="93" t="str">
        <f t="shared" si="81"/>
        <v>.</v>
      </c>
      <c r="BA56" s="93" t="str">
        <f t="shared" si="81"/>
        <v>.</v>
      </c>
      <c r="BB56" s="93" t="str">
        <f t="shared" si="81"/>
        <v>.</v>
      </c>
      <c r="BC56" s="94" t="str">
        <f t="shared" si="67"/>
        <v>.</v>
      </c>
      <c r="BD56" s="94" t="str">
        <f>IF(AD56=".",".",s_RadSpec!$F$20*(BD20*$B56))</f>
        <v>.</v>
      </c>
      <c r="BE56" s="94" t="str">
        <f>IF(AE56=".",".",s_RadSpec!$F$20*(BE20*$B56))</f>
        <v>.</v>
      </c>
      <c r="BF56" s="94" t="str">
        <f>IF(AF56=".",".",s_RadSpec!$F$20*(BF20*$B56))</f>
        <v>.</v>
      </c>
      <c r="BG56" s="94" t="str">
        <f>IF(AG56=".",".",s_RadSpec!$F$20*(BG20*$B56))</f>
        <v>.</v>
      </c>
      <c r="BH56" s="94" t="str">
        <f>IF(AH56=".",".",s_RadSpec!$F$20*(BH20*$B56))</f>
        <v>.</v>
      </c>
      <c r="BI56" s="94" t="str">
        <f>IF(AI56=".",".",s_RadSpec!$F$20*(BI20*$B56))</f>
        <v>.</v>
      </c>
      <c r="BJ56" s="94" t="str">
        <f>IF(AJ56=".",".",s_RadSpec!$F$20*(BJ20*$B56))</f>
        <v>.</v>
      </c>
      <c r="BK56" s="94" t="str">
        <f>IF(AK56=".",".",s_RadSpec!$F$20*(BK20*$B56))</f>
        <v>.</v>
      </c>
      <c r="BL56" s="94" t="str">
        <f>IF(AL56=".",".",s_RadSpec!$F$20*(BL20*$B56))</f>
        <v>.</v>
      </c>
      <c r="BM56" s="94" t="str">
        <f>IF(AM56=".",".",s_RadSpec!$F$20*(BM20*$B56))</f>
        <v>.</v>
      </c>
      <c r="BN56" s="94" t="str">
        <f>IF(AN56=".",".",s_RadSpec!$F$20*(BN20*$B56))</f>
        <v>.</v>
      </c>
      <c r="BO56" s="94" t="str">
        <f>IF(AO56=".",".",s_RadSpec!$F$20*(BO20*$B56))</f>
        <v>.</v>
      </c>
      <c r="BP56" s="94" t="str">
        <f>IF(AP56=".",".",s_RadSpec!$F$20*(BP20*$B56))</f>
        <v>.</v>
      </c>
      <c r="BQ56" s="94" t="str">
        <f>IF(AQ56=".",".",s_RadSpec!$F$20*(BQ20*$B56))</f>
        <v>.</v>
      </c>
      <c r="BR56" s="94" t="str">
        <f>IF(AR56=".",".",s_RadSpec!$F$20*(BR20*$B56))</f>
        <v>.</v>
      </c>
      <c r="BS56" s="94" t="str">
        <f>IF(AS56=".",".",s_RadSpec!$F$20*(BS20*$B56))</f>
        <v>.</v>
      </c>
      <c r="BT56" s="94" t="str">
        <f>IF(AT56=".",".",s_RadSpec!$F$20*(BT20*$B56))</f>
        <v>.</v>
      </c>
      <c r="BU56" s="94" t="str">
        <f>IF(AU56=".",".",s_RadSpec!$F$20*(BU20*$B56))</f>
        <v>.</v>
      </c>
      <c r="BV56" s="94" t="str">
        <f>IF(AV56=".",".",s_RadSpec!$F$20*(BV20*$B56))</f>
        <v>.</v>
      </c>
      <c r="BW56" s="94" t="str">
        <f>IF(AW56=".",".",s_RadSpec!$F$20*(BW20*$B56))</f>
        <v>.</v>
      </c>
      <c r="BX56" s="94" t="str">
        <f>IF(AX56=".",".",s_RadSpec!$F$20*(BX20*$B56))</f>
        <v>.</v>
      </c>
      <c r="BY56" s="94" t="str">
        <f>IF(AY56=".",".",s_RadSpec!$F$20*(BY20*$B56))</f>
        <v>.</v>
      </c>
      <c r="BZ56" s="94" t="str">
        <f>IF(AZ56=".",".",s_RadSpec!$F$20*(BZ20*$B56))</f>
        <v>.</v>
      </c>
      <c r="CA56" s="94" t="str">
        <f>IF(BA56=".",".",s_RadSpec!$F$20*(CA20*$B56))</f>
        <v>.</v>
      </c>
      <c r="CB56" s="94" t="str">
        <f>IF(BB56=".",".",s_RadSpec!$F$20*(CB20*$B56))</f>
        <v>.</v>
      </c>
    </row>
    <row r="57" spans="1:80" x14ac:dyDescent="0.25">
      <c r="A57" s="92" t="s">
        <v>1078</v>
      </c>
      <c r="B57" s="84">
        <v>2.0999995799999999E-4</v>
      </c>
      <c r="C57" s="93" t="str">
        <f t="shared" ref="C57:AH57" si="82">IFERROR(C29/$B57,".")</f>
        <v>.</v>
      </c>
      <c r="D57" s="93" t="str">
        <f t="shared" si="82"/>
        <v>.</v>
      </c>
      <c r="E57" s="93" t="str">
        <f t="shared" si="82"/>
        <v>.</v>
      </c>
      <c r="F57" s="93" t="str">
        <f t="shared" si="82"/>
        <v>.</v>
      </c>
      <c r="G57" s="93" t="str">
        <f t="shared" si="82"/>
        <v>.</v>
      </c>
      <c r="H57" s="93" t="str">
        <f t="shared" si="82"/>
        <v>.</v>
      </c>
      <c r="I57" s="93" t="str">
        <f t="shared" si="82"/>
        <v>.</v>
      </c>
      <c r="J57" s="93" t="str">
        <f t="shared" si="82"/>
        <v>.</v>
      </c>
      <c r="K57" s="93" t="str">
        <f t="shared" si="82"/>
        <v>.</v>
      </c>
      <c r="L57" s="93" t="str">
        <f t="shared" si="82"/>
        <v>.</v>
      </c>
      <c r="M57" s="93" t="str">
        <f t="shared" si="82"/>
        <v>.</v>
      </c>
      <c r="N57" s="93" t="str">
        <f t="shared" si="82"/>
        <v>.</v>
      </c>
      <c r="O57" s="93" t="str">
        <f t="shared" si="82"/>
        <v>.</v>
      </c>
      <c r="P57" s="93" t="str">
        <f t="shared" si="82"/>
        <v>.</v>
      </c>
      <c r="Q57" s="93" t="str">
        <f t="shared" si="82"/>
        <v>.</v>
      </c>
      <c r="R57" s="93" t="str">
        <f t="shared" si="82"/>
        <v>.</v>
      </c>
      <c r="S57" s="93" t="str">
        <f t="shared" si="82"/>
        <v>.</v>
      </c>
      <c r="T57" s="93" t="str">
        <f t="shared" si="82"/>
        <v>.</v>
      </c>
      <c r="U57" s="93" t="str">
        <f t="shared" si="82"/>
        <v>.</v>
      </c>
      <c r="V57" s="93" t="str">
        <f t="shared" si="82"/>
        <v>.</v>
      </c>
      <c r="W57" s="93" t="str">
        <f t="shared" si="82"/>
        <v>.</v>
      </c>
      <c r="X57" s="93" t="str">
        <f t="shared" si="82"/>
        <v>.</v>
      </c>
      <c r="Y57" s="93" t="str">
        <f t="shared" si="82"/>
        <v>.</v>
      </c>
      <c r="Z57" s="93" t="str">
        <f t="shared" si="82"/>
        <v>.</v>
      </c>
      <c r="AA57" s="93" t="str">
        <f t="shared" si="82"/>
        <v>.</v>
      </c>
      <c r="AB57" s="93" t="str">
        <f t="shared" si="82"/>
        <v>.</v>
      </c>
      <c r="AC57" s="93" t="str">
        <f t="shared" si="82"/>
        <v>.</v>
      </c>
      <c r="AD57" s="93" t="str">
        <f t="shared" si="82"/>
        <v>.</v>
      </c>
      <c r="AE57" s="93" t="str">
        <f t="shared" si="82"/>
        <v>.</v>
      </c>
      <c r="AF57" s="93" t="str">
        <f t="shared" si="82"/>
        <v>.</v>
      </c>
      <c r="AG57" s="93" t="str">
        <f t="shared" si="82"/>
        <v>.</v>
      </c>
      <c r="AH57" s="93" t="str">
        <f t="shared" si="82"/>
        <v>.</v>
      </c>
      <c r="AI57" s="93" t="str">
        <f t="shared" ref="AI57:BB57" si="83">IFERROR(AI29/$B57,".")</f>
        <v>.</v>
      </c>
      <c r="AJ57" s="93" t="str">
        <f t="shared" si="83"/>
        <v>.</v>
      </c>
      <c r="AK57" s="93" t="str">
        <f t="shared" si="83"/>
        <v>.</v>
      </c>
      <c r="AL57" s="93" t="str">
        <f t="shared" si="83"/>
        <v>.</v>
      </c>
      <c r="AM57" s="93" t="str">
        <f t="shared" si="83"/>
        <v>.</v>
      </c>
      <c r="AN57" s="93" t="str">
        <f t="shared" si="83"/>
        <v>.</v>
      </c>
      <c r="AO57" s="93" t="str">
        <f t="shared" si="83"/>
        <v>.</v>
      </c>
      <c r="AP57" s="93" t="str">
        <f t="shared" si="83"/>
        <v>.</v>
      </c>
      <c r="AQ57" s="93" t="str">
        <f t="shared" si="83"/>
        <v>.</v>
      </c>
      <c r="AR57" s="93" t="str">
        <f t="shared" si="83"/>
        <v>.</v>
      </c>
      <c r="AS57" s="93" t="str">
        <f t="shared" si="83"/>
        <v>.</v>
      </c>
      <c r="AT57" s="93" t="str">
        <f t="shared" si="83"/>
        <v>.</v>
      </c>
      <c r="AU57" s="93" t="str">
        <f t="shared" si="83"/>
        <v>.</v>
      </c>
      <c r="AV57" s="93" t="str">
        <f t="shared" si="83"/>
        <v>.</v>
      </c>
      <c r="AW57" s="93" t="str">
        <f t="shared" si="83"/>
        <v>.</v>
      </c>
      <c r="AX57" s="93" t="str">
        <f t="shared" si="83"/>
        <v>.</v>
      </c>
      <c r="AY57" s="93" t="str">
        <f t="shared" si="83"/>
        <v>.</v>
      </c>
      <c r="AZ57" s="93" t="str">
        <f t="shared" si="83"/>
        <v>.</v>
      </c>
      <c r="BA57" s="93" t="str">
        <f t="shared" si="83"/>
        <v>.</v>
      </c>
      <c r="BB57" s="93" t="str">
        <f t="shared" si="83"/>
        <v>.</v>
      </c>
      <c r="BC57" s="94" t="str">
        <f t="shared" si="67"/>
        <v>.</v>
      </c>
      <c r="BD57" s="94" t="str">
        <f>IF(AD57=".",".",s_RadSpec!$F$29*(BD29*$B57))</f>
        <v>.</v>
      </c>
      <c r="BE57" s="94" t="str">
        <f>IF(AE57=".",".",s_RadSpec!$F$29*(BE29*$B57))</f>
        <v>.</v>
      </c>
      <c r="BF57" s="94" t="str">
        <f>IF(AF57=".",".",s_RadSpec!$F$29*(BF29*$B57))</f>
        <v>.</v>
      </c>
      <c r="BG57" s="94" t="str">
        <f>IF(AG57=".",".",s_RadSpec!$F$29*(BG29*$B57))</f>
        <v>.</v>
      </c>
      <c r="BH57" s="94" t="str">
        <f>IF(AH57=".",".",s_RadSpec!$F$29*(BH29*$B57))</f>
        <v>.</v>
      </c>
      <c r="BI57" s="94" t="str">
        <f>IF(AI57=".",".",s_RadSpec!$F$29*(BI29*$B57))</f>
        <v>.</v>
      </c>
      <c r="BJ57" s="94" t="str">
        <f>IF(AJ57=".",".",s_RadSpec!$F$29*(BJ29*$B57))</f>
        <v>.</v>
      </c>
      <c r="BK57" s="94" t="str">
        <f>IF(AK57=".",".",s_RadSpec!$F$29*(BK29*$B57))</f>
        <v>.</v>
      </c>
      <c r="BL57" s="94" t="str">
        <f>IF(AL57=".",".",s_RadSpec!$F$29*(BL29*$B57))</f>
        <v>.</v>
      </c>
      <c r="BM57" s="94" t="str">
        <f>IF(AM57=".",".",s_RadSpec!$F$29*(BM29*$B57))</f>
        <v>.</v>
      </c>
      <c r="BN57" s="94" t="str">
        <f>IF(AN57=".",".",s_RadSpec!$F$29*(BN29*$B57))</f>
        <v>.</v>
      </c>
      <c r="BO57" s="94" t="str">
        <f>IF(AO57=".",".",s_RadSpec!$F$29*(BO29*$B57))</f>
        <v>.</v>
      </c>
      <c r="BP57" s="94" t="str">
        <f>IF(AP57=".",".",s_RadSpec!$F$29*(BP29*$B57))</f>
        <v>.</v>
      </c>
      <c r="BQ57" s="94" t="str">
        <f>IF(AQ57=".",".",s_RadSpec!$F$29*(BQ29*$B57))</f>
        <v>.</v>
      </c>
      <c r="BR57" s="94" t="str">
        <f>IF(AR57=".",".",s_RadSpec!$F$29*(BR29*$B57))</f>
        <v>.</v>
      </c>
      <c r="BS57" s="94" t="str">
        <f>IF(AS57=".",".",s_RadSpec!$F$29*(BS29*$B57))</f>
        <v>.</v>
      </c>
      <c r="BT57" s="94" t="str">
        <f>IF(AT57=".",".",s_RadSpec!$F$29*(BT29*$B57))</f>
        <v>.</v>
      </c>
      <c r="BU57" s="94" t="str">
        <f>IF(AU57=".",".",s_RadSpec!$F$29*(BU29*$B57))</f>
        <v>.</v>
      </c>
      <c r="BV57" s="94" t="str">
        <f>IF(AV57=".",".",s_RadSpec!$F$29*(BV29*$B57))</f>
        <v>.</v>
      </c>
      <c r="BW57" s="94" t="str">
        <f>IF(AW57=".",".",s_RadSpec!$F$29*(BW29*$B57))</f>
        <v>.</v>
      </c>
      <c r="BX57" s="94" t="str">
        <f>IF(AX57=".",".",s_RadSpec!$F$29*(BX29*$B57))</f>
        <v>.</v>
      </c>
      <c r="BY57" s="94" t="str">
        <f>IF(AY57=".",".",s_RadSpec!$F$29*(BY29*$B57))</f>
        <v>.</v>
      </c>
      <c r="BZ57" s="94" t="str">
        <f>IF(AZ57=".",".",s_RadSpec!$F$29*(BZ29*$B57))</f>
        <v>.</v>
      </c>
      <c r="CA57" s="94" t="str">
        <f>IF(BA57=".",".",s_RadSpec!$F$29*(CA29*$B57))</f>
        <v>.</v>
      </c>
      <c r="CB57" s="94" t="str">
        <f>IF(BB57=".",".",s_RadSpec!$F$29*(CB29*$B57))</f>
        <v>.</v>
      </c>
    </row>
    <row r="58" spans="1:80" x14ac:dyDescent="0.25">
      <c r="A58" s="92" t="s">
        <v>1079</v>
      </c>
      <c r="B58" s="84">
        <v>1</v>
      </c>
      <c r="C58" s="93">
        <f t="shared" ref="C58:AH58" si="84">IFERROR(C16/$B58,".")</f>
        <v>0.21898417620342756</v>
      </c>
      <c r="D58" s="93">
        <f t="shared" si="84"/>
        <v>0.87593670481371022</v>
      </c>
      <c r="E58" s="93">
        <f t="shared" si="84"/>
        <v>0.87593670481371022</v>
      </c>
      <c r="F58" s="93">
        <f t="shared" si="84"/>
        <v>0.87593670481371022</v>
      </c>
      <c r="G58" s="93">
        <f t="shared" si="84"/>
        <v>0.87593670481371022</v>
      </c>
      <c r="H58" s="93">
        <f t="shared" si="84"/>
        <v>0.87593670481371022</v>
      </c>
      <c r="I58" s="93">
        <f t="shared" si="84"/>
        <v>0.87593670481371022</v>
      </c>
      <c r="J58" s="93">
        <f t="shared" si="84"/>
        <v>0.87593670481371022</v>
      </c>
      <c r="K58" s="93">
        <f t="shared" si="84"/>
        <v>0.87593670481371022</v>
      </c>
      <c r="L58" s="93">
        <f t="shared" si="84"/>
        <v>0.87593670481371022</v>
      </c>
      <c r="M58" s="93">
        <f t="shared" si="84"/>
        <v>0.87593670481371022</v>
      </c>
      <c r="N58" s="93">
        <f t="shared" si="84"/>
        <v>0.87593670481371022</v>
      </c>
      <c r="O58" s="93">
        <f t="shared" si="84"/>
        <v>0.87593670481371022</v>
      </c>
      <c r="P58" s="93">
        <f t="shared" si="84"/>
        <v>0.87593670481371022</v>
      </c>
      <c r="Q58" s="93">
        <f t="shared" si="84"/>
        <v>0.87593670481371022</v>
      </c>
      <c r="R58" s="93">
        <f t="shared" si="84"/>
        <v>0.87593670481371022</v>
      </c>
      <c r="S58" s="93">
        <f t="shared" si="84"/>
        <v>0.87593670481371022</v>
      </c>
      <c r="T58" s="93">
        <f t="shared" si="84"/>
        <v>0.87593670481371022</v>
      </c>
      <c r="U58" s="93">
        <f t="shared" si="84"/>
        <v>0.87593670481371022</v>
      </c>
      <c r="V58" s="93">
        <f t="shared" si="84"/>
        <v>0.87593670481371022</v>
      </c>
      <c r="W58" s="93">
        <f t="shared" si="84"/>
        <v>0.87593670481371022</v>
      </c>
      <c r="X58" s="93">
        <f t="shared" si="84"/>
        <v>0.87593670481371022</v>
      </c>
      <c r="Y58" s="93">
        <f t="shared" si="84"/>
        <v>0.87593670481371022</v>
      </c>
      <c r="Z58" s="93">
        <f t="shared" si="84"/>
        <v>0.87593670481371022</v>
      </c>
      <c r="AA58" s="93">
        <f t="shared" si="84"/>
        <v>0.87593670481371022</v>
      </c>
      <c r="AB58" s="93">
        <f t="shared" si="84"/>
        <v>0.87593670481371022</v>
      </c>
      <c r="AC58" s="93">
        <f t="shared" si="84"/>
        <v>0.21898417620342756</v>
      </c>
      <c r="AD58" s="93">
        <f t="shared" si="84"/>
        <v>0.87593670481371022</v>
      </c>
      <c r="AE58" s="93">
        <f t="shared" si="84"/>
        <v>0.87593670481371022</v>
      </c>
      <c r="AF58" s="93">
        <f t="shared" si="84"/>
        <v>0.87593670481371022</v>
      </c>
      <c r="AG58" s="93">
        <f t="shared" si="84"/>
        <v>0.87593670481371022</v>
      </c>
      <c r="AH58" s="93">
        <f t="shared" si="84"/>
        <v>0.87593670481371022</v>
      </c>
      <c r="AI58" s="93">
        <f t="shared" ref="AI58:BB58" si="85">IFERROR(AI16/$B58,".")</f>
        <v>0.87593670481371022</v>
      </c>
      <c r="AJ58" s="93">
        <f t="shared" si="85"/>
        <v>0.87593670481371022</v>
      </c>
      <c r="AK58" s="93">
        <f t="shared" si="85"/>
        <v>0.87593670481371022</v>
      </c>
      <c r="AL58" s="93">
        <f t="shared" si="85"/>
        <v>0.87593670481371022</v>
      </c>
      <c r="AM58" s="93">
        <f t="shared" si="85"/>
        <v>0.87593670481371022</v>
      </c>
      <c r="AN58" s="93">
        <f t="shared" si="85"/>
        <v>0.87593670481371022</v>
      </c>
      <c r="AO58" s="93">
        <f t="shared" si="85"/>
        <v>0.87593670481371022</v>
      </c>
      <c r="AP58" s="93">
        <f t="shared" si="85"/>
        <v>0.87593670481371022</v>
      </c>
      <c r="AQ58" s="93">
        <f t="shared" si="85"/>
        <v>0.87593670481371022</v>
      </c>
      <c r="AR58" s="93">
        <f t="shared" si="85"/>
        <v>0.87593670481371022</v>
      </c>
      <c r="AS58" s="93">
        <f t="shared" si="85"/>
        <v>0.87593670481371022</v>
      </c>
      <c r="AT58" s="93">
        <f t="shared" si="85"/>
        <v>0.87593670481371022</v>
      </c>
      <c r="AU58" s="93">
        <f t="shared" si="85"/>
        <v>0.87593670481371022</v>
      </c>
      <c r="AV58" s="93">
        <f t="shared" si="85"/>
        <v>0.87593670481371022</v>
      </c>
      <c r="AW58" s="93">
        <f t="shared" si="85"/>
        <v>0.87593670481371022</v>
      </c>
      <c r="AX58" s="93">
        <f t="shared" si="85"/>
        <v>0.87593670481371022</v>
      </c>
      <c r="AY58" s="93">
        <f t="shared" si="85"/>
        <v>0.87593670481371022</v>
      </c>
      <c r="AZ58" s="93">
        <f t="shared" si="85"/>
        <v>0.87593670481371022</v>
      </c>
      <c r="BA58" s="93">
        <f t="shared" si="85"/>
        <v>0.87593670481371022</v>
      </c>
      <c r="BB58" s="93">
        <f t="shared" si="85"/>
        <v>0.87593670481371022</v>
      </c>
      <c r="BC58" s="94">
        <f t="shared" si="67"/>
        <v>114.1635</v>
      </c>
      <c r="BD58" s="94">
        <f>IF(AD58=".",".",s_RadSpec!$F$16*(BD16*$B58))</f>
        <v>28.540875</v>
      </c>
      <c r="BE58" s="94">
        <f>IF(AE58=".",".",s_RadSpec!$F$16*(BE16*$B58))</f>
        <v>28.540875</v>
      </c>
      <c r="BF58" s="94">
        <f>IF(AF58=".",".",s_RadSpec!$F$16*(BF16*$B58))</f>
        <v>28.540875</v>
      </c>
      <c r="BG58" s="94">
        <f>IF(AG58=".",".",s_RadSpec!$F$16*(BG16*$B58))</f>
        <v>28.540875</v>
      </c>
      <c r="BH58" s="94">
        <f>IF(AH58=".",".",s_RadSpec!$F$16*(BH16*$B58))</f>
        <v>28.540875</v>
      </c>
      <c r="BI58" s="94">
        <f>IF(AI58=".",".",s_RadSpec!$F$16*(BI16*$B58))</f>
        <v>28.540875</v>
      </c>
      <c r="BJ58" s="94">
        <f>IF(AJ58=".",".",s_RadSpec!$F$16*(BJ16*$B58))</f>
        <v>28.540875</v>
      </c>
      <c r="BK58" s="94">
        <f>IF(AK58=".",".",s_RadSpec!$F$16*(BK16*$B58))</f>
        <v>28.540875</v>
      </c>
      <c r="BL58" s="94">
        <f>IF(AL58=".",".",s_RadSpec!$F$16*(BL16*$B58))</f>
        <v>28.540875</v>
      </c>
      <c r="BM58" s="94">
        <f>IF(AM58=".",".",s_RadSpec!$F$16*(BM16*$B58))</f>
        <v>28.540875</v>
      </c>
      <c r="BN58" s="94">
        <f>IF(AN58=".",".",s_RadSpec!$F$16*(BN16*$B58))</f>
        <v>28.540875</v>
      </c>
      <c r="BO58" s="94">
        <f>IF(AO58=".",".",s_RadSpec!$F$16*(BO16*$B58))</f>
        <v>28.540875</v>
      </c>
      <c r="BP58" s="94">
        <f>IF(AP58=".",".",s_RadSpec!$F$16*(BP16*$B58))</f>
        <v>28.540875</v>
      </c>
      <c r="BQ58" s="94">
        <f>IF(AQ58=".",".",s_RadSpec!$F$16*(BQ16*$B58))</f>
        <v>28.540875</v>
      </c>
      <c r="BR58" s="94">
        <f>IF(AR58=".",".",s_RadSpec!$F$16*(BR16*$B58))</f>
        <v>28.540875</v>
      </c>
      <c r="BS58" s="94">
        <f>IF(AS58=".",".",s_RadSpec!$F$16*(BS16*$B58))</f>
        <v>28.540875</v>
      </c>
      <c r="BT58" s="94">
        <f>IF(AT58=".",".",s_RadSpec!$F$16*(BT16*$B58))</f>
        <v>28.540875</v>
      </c>
      <c r="BU58" s="94">
        <f>IF(AU58=".",".",s_RadSpec!$F$16*(BU16*$B58))</f>
        <v>28.540875</v>
      </c>
      <c r="BV58" s="94">
        <f>IF(AV58=".",".",s_RadSpec!$F$16*(BV16*$B58))</f>
        <v>28.540875</v>
      </c>
      <c r="BW58" s="94">
        <f>IF(AW58=".",".",s_RadSpec!$F$16*(BW16*$B58))</f>
        <v>28.540875</v>
      </c>
      <c r="BX58" s="94">
        <f>IF(AX58=".",".",s_RadSpec!$F$16*(BX16*$B58))</f>
        <v>28.540875</v>
      </c>
      <c r="BY58" s="94">
        <f>IF(AY58=".",".",s_RadSpec!$F$16*(BY16*$B58))</f>
        <v>28.540875</v>
      </c>
      <c r="BZ58" s="94">
        <f>IF(AZ58=".",".",s_RadSpec!$F$16*(BZ16*$B58))</f>
        <v>28.540875</v>
      </c>
      <c r="CA58" s="94">
        <f>IF(BA58=".",".",s_RadSpec!$F$16*(CA16*$B58))</f>
        <v>28.540875</v>
      </c>
      <c r="CB58" s="94">
        <f>IF(BB58=".",".",s_RadSpec!$F$16*(CB16*$B58))</f>
        <v>28.540875</v>
      </c>
    </row>
    <row r="59" spans="1:80" x14ac:dyDescent="0.25">
      <c r="A59" s="92" t="s">
        <v>1080</v>
      </c>
      <c r="B59" s="84">
        <v>1</v>
      </c>
      <c r="C59" s="93">
        <f t="shared" ref="C59:AH59" si="86">IFERROR(C7/$B59,".")</f>
        <v>124.09103318194229</v>
      </c>
      <c r="D59" s="93">
        <f t="shared" si="86"/>
        <v>496.36413272776917</v>
      </c>
      <c r="E59" s="93">
        <f t="shared" si="86"/>
        <v>496.36413272776917</v>
      </c>
      <c r="F59" s="93">
        <f t="shared" si="86"/>
        <v>496.36413272776917</v>
      </c>
      <c r="G59" s="93">
        <f t="shared" si="86"/>
        <v>496.36413272776917</v>
      </c>
      <c r="H59" s="93">
        <f t="shared" si="86"/>
        <v>496.36413272776917</v>
      </c>
      <c r="I59" s="93">
        <f t="shared" si="86"/>
        <v>496.36413272776917</v>
      </c>
      <c r="J59" s="93">
        <f t="shared" si="86"/>
        <v>496.36413272776917</v>
      </c>
      <c r="K59" s="93">
        <f t="shared" si="86"/>
        <v>496.36413272776917</v>
      </c>
      <c r="L59" s="93">
        <f t="shared" si="86"/>
        <v>496.36413272776917</v>
      </c>
      <c r="M59" s="93">
        <f t="shared" si="86"/>
        <v>496.36413272776917</v>
      </c>
      <c r="N59" s="93">
        <f t="shared" si="86"/>
        <v>496.36413272776917</v>
      </c>
      <c r="O59" s="93">
        <f t="shared" si="86"/>
        <v>496.36413272776917</v>
      </c>
      <c r="P59" s="93">
        <f t="shared" si="86"/>
        <v>496.36413272776917</v>
      </c>
      <c r="Q59" s="93">
        <f t="shared" si="86"/>
        <v>496.36413272776917</v>
      </c>
      <c r="R59" s="93">
        <f t="shared" si="86"/>
        <v>496.36413272776917</v>
      </c>
      <c r="S59" s="93">
        <f t="shared" si="86"/>
        <v>496.36413272776917</v>
      </c>
      <c r="T59" s="93">
        <f t="shared" si="86"/>
        <v>496.36413272776917</v>
      </c>
      <c r="U59" s="93">
        <f t="shared" si="86"/>
        <v>496.36413272776917</v>
      </c>
      <c r="V59" s="93">
        <f t="shared" si="86"/>
        <v>496.36413272776917</v>
      </c>
      <c r="W59" s="93">
        <f t="shared" si="86"/>
        <v>496.36413272776917</v>
      </c>
      <c r="X59" s="93">
        <f t="shared" si="86"/>
        <v>496.36413272776917</v>
      </c>
      <c r="Y59" s="93">
        <f t="shared" si="86"/>
        <v>496.36413272776917</v>
      </c>
      <c r="Z59" s="93">
        <f t="shared" si="86"/>
        <v>496.36413272776917</v>
      </c>
      <c r="AA59" s="93">
        <f t="shared" si="86"/>
        <v>496.36413272776917</v>
      </c>
      <c r="AB59" s="93">
        <f t="shared" si="86"/>
        <v>496.36413272776917</v>
      </c>
      <c r="AC59" s="93">
        <f t="shared" si="86"/>
        <v>124.09103318194229</v>
      </c>
      <c r="AD59" s="93">
        <f t="shared" si="86"/>
        <v>496.36413272776917</v>
      </c>
      <c r="AE59" s="93">
        <f t="shared" si="86"/>
        <v>496.36413272776917</v>
      </c>
      <c r="AF59" s="93">
        <f t="shared" si="86"/>
        <v>496.36413272776917</v>
      </c>
      <c r="AG59" s="93">
        <f t="shared" si="86"/>
        <v>496.36413272776917</v>
      </c>
      <c r="AH59" s="93">
        <f t="shared" si="86"/>
        <v>496.36413272776917</v>
      </c>
      <c r="AI59" s="93">
        <f t="shared" ref="AI59:BB59" si="87">IFERROR(AI7/$B59,".")</f>
        <v>496.36413272776917</v>
      </c>
      <c r="AJ59" s="93">
        <f t="shared" si="87"/>
        <v>496.36413272776917</v>
      </c>
      <c r="AK59" s="93">
        <f t="shared" si="87"/>
        <v>496.36413272776917</v>
      </c>
      <c r="AL59" s="93">
        <f t="shared" si="87"/>
        <v>496.36413272776917</v>
      </c>
      <c r="AM59" s="93">
        <f t="shared" si="87"/>
        <v>496.36413272776917</v>
      </c>
      <c r="AN59" s="93">
        <f t="shared" si="87"/>
        <v>496.36413272776917</v>
      </c>
      <c r="AO59" s="93">
        <f t="shared" si="87"/>
        <v>496.36413272776917</v>
      </c>
      <c r="AP59" s="93">
        <f t="shared" si="87"/>
        <v>496.36413272776917</v>
      </c>
      <c r="AQ59" s="93">
        <f t="shared" si="87"/>
        <v>496.36413272776917</v>
      </c>
      <c r="AR59" s="93">
        <f t="shared" si="87"/>
        <v>496.36413272776917</v>
      </c>
      <c r="AS59" s="93">
        <f t="shared" si="87"/>
        <v>496.36413272776917</v>
      </c>
      <c r="AT59" s="93">
        <f t="shared" si="87"/>
        <v>496.36413272776917</v>
      </c>
      <c r="AU59" s="93">
        <f t="shared" si="87"/>
        <v>496.36413272776917</v>
      </c>
      <c r="AV59" s="93">
        <f t="shared" si="87"/>
        <v>496.36413272776917</v>
      </c>
      <c r="AW59" s="93">
        <f t="shared" si="87"/>
        <v>496.36413272776917</v>
      </c>
      <c r="AX59" s="93">
        <f t="shared" si="87"/>
        <v>496.36413272776917</v>
      </c>
      <c r="AY59" s="93">
        <f t="shared" si="87"/>
        <v>496.36413272776917</v>
      </c>
      <c r="AZ59" s="93">
        <f t="shared" si="87"/>
        <v>496.36413272776917</v>
      </c>
      <c r="BA59" s="93">
        <f t="shared" si="87"/>
        <v>496.36413272776917</v>
      </c>
      <c r="BB59" s="93">
        <f t="shared" si="87"/>
        <v>496.36413272776917</v>
      </c>
      <c r="BC59" s="94">
        <f t="shared" si="67"/>
        <v>0.20146500000000001</v>
      </c>
      <c r="BD59" s="94">
        <f>IF(AD59=".",".",s_RadSpec!$F$7*(BD7*$B59))</f>
        <v>5.0366250000000001E-2</v>
      </c>
      <c r="BE59" s="94">
        <f>IF(AE59=".",".",s_RadSpec!$F$7*(BE7*$B59))</f>
        <v>5.0366250000000001E-2</v>
      </c>
      <c r="BF59" s="94">
        <f>IF(AF59=".",".",s_RadSpec!$F$7*(BF7*$B59))</f>
        <v>5.0366250000000001E-2</v>
      </c>
      <c r="BG59" s="94">
        <f>IF(AG59=".",".",s_RadSpec!$F$7*(BG7*$B59))</f>
        <v>5.0366250000000001E-2</v>
      </c>
      <c r="BH59" s="94">
        <f>IF(AH59=".",".",s_RadSpec!$F$7*(BH7*$B59))</f>
        <v>5.0366250000000001E-2</v>
      </c>
      <c r="BI59" s="94">
        <f>IF(AI59=".",".",s_RadSpec!$F$7*(BI7*$B59))</f>
        <v>5.0366250000000001E-2</v>
      </c>
      <c r="BJ59" s="94">
        <f>IF(AJ59=".",".",s_RadSpec!$F$7*(BJ7*$B59))</f>
        <v>5.0366250000000001E-2</v>
      </c>
      <c r="BK59" s="94">
        <f>IF(AK59=".",".",s_RadSpec!$F$7*(BK7*$B59))</f>
        <v>5.0366250000000001E-2</v>
      </c>
      <c r="BL59" s="94">
        <f>IF(AL59=".",".",s_RadSpec!$F$7*(BL7*$B59))</f>
        <v>5.0366250000000001E-2</v>
      </c>
      <c r="BM59" s="94">
        <f>IF(AM59=".",".",s_RadSpec!$F$7*(BM7*$B59))</f>
        <v>5.0366250000000001E-2</v>
      </c>
      <c r="BN59" s="94">
        <f>IF(AN59=".",".",s_RadSpec!$F$7*(BN7*$B59))</f>
        <v>5.0366250000000001E-2</v>
      </c>
      <c r="BO59" s="94">
        <f>IF(AO59=".",".",s_RadSpec!$F$7*(BO7*$B59))</f>
        <v>5.0366250000000001E-2</v>
      </c>
      <c r="BP59" s="94">
        <f>IF(AP59=".",".",s_RadSpec!$F$7*(BP7*$B59))</f>
        <v>5.0366250000000001E-2</v>
      </c>
      <c r="BQ59" s="94">
        <f>IF(AQ59=".",".",s_RadSpec!$F$7*(BQ7*$B59))</f>
        <v>5.0366250000000001E-2</v>
      </c>
      <c r="BR59" s="94">
        <f>IF(AR59=".",".",s_RadSpec!$F$7*(BR7*$B59))</f>
        <v>5.0366250000000001E-2</v>
      </c>
      <c r="BS59" s="94">
        <f>IF(AS59=".",".",s_RadSpec!$F$7*(BS7*$B59))</f>
        <v>5.0366250000000001E-2</v>
      </c>
      <c r="BT59" s="94">
        <f>IF(AT59=".",".",s_RadSpec!$F$7*(BT7*$B59))</f>
        <v>5.0366250000000001E-2</v>
      </c>
      <c r="BU59" s="94">
        <f>IF(AU59=".",".",s_RadSpec!$F$7*(BU7*$B59))</f>
        <v>5.0366250000000001E-2</v>
      </c>
      <c r="BV59" s="94">
        <f>IF(AV59=".",".",s_RadSpec!$F$7*(BV7*$B59))</f>
        <v>5.0366250000000001E-2</v>
      </c>
      <c r="BW59" s="94">
        <f>IF(AW59=".",".",s_RadSpec!$F$7*(BW7*$B59))</f>
        <v>5.0366250000000001E-2</v>
      </c>
      <c r="BX59" s="94">
        <f>IF(AX59=".",".",s_RadSpec!$F$7*(BX7*$B59))</f>
        <v>5.0366250000000001E-2</v>
      </c>
      <c r="BY59" s="94">
        <f>IF(AY59=".",".",s_RadSpec!$F$7*(BY7*$B59))</f>
        <v>5.0366250000000001E-2</v>
      </c>
      <c r="BZ59" s="94">
        <f>IF(AZ59=".",".",s_RadSpec!$F$7*(BZ7*$B59))</f>
        <v>5.0366250000000001E-2</v>
      </c>
      <c r="CA59" s="94">
        <f>IF(BA59=".",".",s_RadSpec!$F$7*(CA7*$B59))</f>
        <v>5.0366250000000001E-2</v>
      </c>
      <c r="CB59" s="94">
        <f>IF(BB59=".",".",s_RadSpec!$F$7*(CB7*$B59))</f>
        <v>5.0366250000000001E-2</v>
      </c>
    </row>
    <row r="60" spans="1:80" x14ac:dyDescent="0.25">
      <c r="A60" s="92" t="s">
        <v>1081</v>
      </c>
      <c r="B60" s="97">
        <v>1.9000000000000001E-8</v>
      </c>
      <c r="C60" s="93" t="str">
        <f t="shared" ref="C60:AH60" si="88">IFERROR(C12/$B60,".")</f>
        <v>.</v>
      </c>
      <c r="D60" s="93" t="str">
        <f t="shared" si="88"/>
        <v>.</v>
      </c>
      <c r="E60" s="93" t="str">
        <f t="shared" si="88"/>
        <v>.</v>
      </c>
      <c r="F60" s="93" t="str">
        <f t="shared" si="88"/>
        <v>.</v>
      </c>
      <c r="G60" s="93" t="str">
        <f t="shared" si="88"/>
        <v>.</v>
      </c>
      <c r="H60" s="93" t="str">
        <f t="shared" si="88"/>
        <v>.</v>
      </c>
      <c r="I60" s="93" t="str">
        <f t="shared" si="88"/>
        <v>.</v>
      </c>
      <c r="J60" s="93" t="str">
        <f t="shared" si="88"/>
        <v>.</v>
      </c>
      <c r="K60" s="93" t="str">
        <f t="shared" si="88"/>
        <v>.</v>
      </c>
      <c r="L60" s="93" t="str">
        <f t="shared" si="88"/>
        <v>.</v>
      </c>
      <c r="M60" s="93" t="str">
        <f t="shared" si="88"/>
        <v>.</v>
      </c>
      <c r="N60" s="93" t="str">
        <f t="shared" si="88"/>
        <v>.</v>
      </c>
      <c r="O60" s="93" t="str">
        <f t="shared" si="88"/>
        <v>.</v>
      </c>
      <c r="P60" s="93" t="str">
        <f t="shared" si="88"/>
        <v>.</v>
      </c>
      <c r="Q60" s="93" t="str">
        <f t="shared" si="88"/>
        <v>.</v>
      </c>
      <c r="R60" s="93" t="str">
        <f t="shared" si="88"/>
        <v>.</v>
      </c>
      <c r="S60" s="93" t="str">
        <f t="shared" si="88"/>
        <v>.</v>
      </c>
      <c r="T60" s="93" t="str">
        <f t="shared" si="88"/>
        <v>.</v>
      </c>
      <c r="U60" s="93" t="str">
        <f t="shared" si="88"/>
        <v>.</v>
      </c>
      <c r="V60" s="93" t="str">
        <f t="shared" si="88"/>
        <v>.</v>
      </c>
      <c r="W60" s="93" t="str">
        <f t="shared" si="88"/>
        <v>.</v>
      </c>
      <c r="X60" s="93" t="str">
        <f t="shared" si="88"/>
        <v>.</v>
      </c>
      <c r="Y60" s="93" t="str">
        <f t="shared" si="88"/>
        <v>.</v>
      </c>
      <c r="Z60" s="93" t="str">
        <f t="shared" si="88"/>
        <v>.</v>
      </c>
      <c r="AA60" s="93" t="str">
        <f t="shared" si="88"/>
        <v>.</v>
      </c>
      <c r="AB60" s="93" t="str">
        <f t="shared" si="88"/>
        <v>.</v>
      </c>
      <c r="AC60" s="93" t="str">
        <f t="shared" si="88"/>
        <v>.</v>
      </c>
      <c r="AD60" s="93" t="str">
        <f t="shared" si="88"/>
        <v>.</v>
      </c>
      <c r="AE60" s="93" t="str">
        <f t="shared" si="88"/>
        <v>.</v>
      </c>
      <c r="AF60" s="93" t="str">
        <f t="shared" si="88"/>
        <v>.</v>
      </c>
      <c r="AG60" s="93" t="str">
        <f t="shared" si="88"/>
        <v>.</v>
      </c>
      <c r="AH60" s="93" t="str">
        <f t="shared" si="88"/>
        <v>.</v>
      </c>
      <c r="AI60" s="93" t="str">
        <f t="shared" ref="AI60:BB60" si="89">IFERROR(AI12/$B60,".")</f>
        <v>.</v>
      </c>
      <c r="AJ60" s="93" t="str">
        <f t="shared" si="89"/>
        <v>.</v>
      </c>
      <c r="AK60" s="93" t="str">
        <f t="shared" si="89"/>
        <v>.</v>
      </c>
      <c r="AL60" s="93" t="str">
        <f t="shared" si="89"/>
        <v>.</v>
      </c>
      <c r="AM60" s="93" t="str">
        <f t="shared" si="89"/>
        <v>.</v>
      </c>
      <c r="AN60" s="93" t="str">
        <f t="shared" si="89"/>
        <v>.</v>
      </c>
      <c r="AO60" s="93" t="str">
        <f t="shared" si="89"/>
        <v>.</v>
      </c>
      <c r="AP60" s="93" t="str">
        <f t="shared" si="89"/>
        <v>.</v>
      </c>
      <c r="AQ60" s="93" t="str">
        <f t="shared" si="89"/>
        <v>.</v>
      </c>
      <c r="AR60" s="93" t="str">
        <f t="shared" si="89"/>
        <v>.</v>
      </c>
      <c r="AS60" s="93" t="str">
        <f t="shared" si="89"/>
        <v>.</v>
      </c>
      <c r="AT60" s="93" t="str">
        <f t="shared" si="89"/>
        <v>.</v>
      </c>
      <c r="AU60" s="93" t="str">
        <f t="shared" si="89"/>
        <v>.</v>
      </c>
      <c r="AV60" s="93" t="str">
        <f t="shared" si="89"/>
        <v>.</v>
      </c>
      <c r="AW60" s="93" t="str">
        <f t="shared" si="89"/>
        <v>.</v>
      </c>
      <c r="AX60" s="93" t="str">
        <f t="shared" si="89"/>
        <v>.</v>
      </c>
      <c r="AY60" s="93" t="str">
        <f t="shared" si="89"/>
        <v>.</v>
      </c>
      <c r="AZ60" s="93" t="str">
        <f t="shared" si="89"/>
        <v>.</v>
      </c>
      <c r="BA60" s="93" t="str">
        <f t="shared" si="89"/>
        <v>.</v>
      </c>
      <c r="BB60" s="93" t="str">
        <f t="shared" si="89"/>
        <v>.</v>
      </c>
      <c r="BC60" s="94" t="str">
        <f t="shared" si="67"/>
        <v>.</v>
      </c>
      <c r="BD60" s="94" t="str">
        <f>IF(AD60=".",".",s_RadSpec!$F$12*(BD12*$B60))</f>
        <v>.</v>
      </c>
      <c r="BE60" s="94" t="str">
        <f>IF(AE60=".",".",s_RadSpec!$F$12*(BE12*$B60))</f>
        <v>.</v>
      </c>
      <c r="BF60" s="94" t="str">
        <f>IF(AF60=".",".",s_RadSpec!$F$12*(BF12*$B60))</f>
        <v>.</v>
      </c>
      <c r="BG60" s="94" t="str">
        <f>IF(AG60=".",".",s_RadSpec!$F$12*(BG12*$B60))</f>
        <v>.</v>
      </c>
      <c r="BH60" s="94" t="str">
        <f>IF(AH60=".",".",s_RadSpec!$F$12*(BH12*$B60))</f>
        <v>.</v>
      </c>
      <c r="BI60" s="94" t="str">
        <f>IF(AI60=".",".",s_RadSpec!$F$12*(BI12*$B60))</f>
        <v>.</v>
      </c>
      <c r="BJ60" s="94" t="str">
        <f>IF(AJ60=".",".",s_RadSpec!$F$12*(BJ12*$B60))</f>
        <v>.</v>
      </c>
      <c r="BK60" s="94" t="str">
        <f>IF(AK60=".",".",s_RadSpec!$F$12*(BK12*$B60))</f>
        <v>.</v>
      </c>
      <c r="BL60" s="94" t="str">
        <f>IF(AL60=".",".",s_RadSpec!$F$12*(BL12*$B60))</f>
        <v>.</v>
      </c>
      <c r="BM60" s="94" t="str">
        <f>IF(AM60=".",".",s_RadSpec!$F$12*(BM12*$B60))</f>
        <v>.</v>
      </c>
      <c r="BN60" s="94" t="str">
        <f>IF(AN60=".",".",s_RadSpec!$F$12*(BN12*$B60))</f>
        <v>.</v>
      </c>
      <c r="BO60" s="94" t="str">
        <f>IF(AO60=".",".",s_RadSpec!$F$12*(BO12*$B60))</f>
        <v>.</v>
      </c>
      <c r="BP60" s="94" t="str">
        <f>IF(AP60=".",".",s_RadSpec!$F$12*(BP12*$B60))</f>
        <v>.</v>
      </c>
      <c r="BQ60" s="94" t="str">
        <f>IF(AQ60=".",".",s_RadSpec!$F$12*(BQ12*$B60))</f>
        <v>.</v>
      </c>
      <c r="BR60" s="94" t="str">
        <f>IF(AR60=".",".",s_RadSpec!$F$12*(BR12*$B60))</f>
        <v>.</v>
      </c>
      <c r="BS60" s="94" t="str">
        <f>IF(AS60=".",".",s_RadSpec!$F$12*(BS12*$B60))</f>
        <v>.</v>
      </c>
      <c r="BT60" s="94" t="str">
        <f>IF(AT60=".",".",s_RadSpec!$F$12*(BT12*$B60))</f>
        <v>.</v>
      </c>
      <c r="BU60" s="94" t="str">
        <f>IF(AU60=".",".",s_RadSpec!$F$12*(BU12*$B60))</f>
        <v>.</v>
      </c>
      <c r="BV60" s="94" t="str">
        <f>IF(AV60=".",".",s_RadSpec!$F$12*(BV12*$B60))</f>
        <v>.</v>
      </c>
      <c r="BW60" s="94" t="str">
        <f>IF(AW60=".",".",s_RadSpec!$F$12*(BW12*$B60))</f>
        <v>.</v>
      </c>
      <c r="BX60" s="94" t="str">
        <f>IF(AX60=".",".",s_RadSpec!$F$12*(BX12*$B60))</f>
        <v>.</v>
      </c>
      <c r="BY60" s="94" t="str">
        <f>IF(AY60=".",".",s_RadSpec!$F$12*(BY12*$B60))</f>
        <v>.</v>
      </c>
      <c r="BZ60" s="94" t="str">
        <f>IF(AZ60=".",".",s_RadSpec!$F$12*(BZ12*$B60))</f>
        <v>.</v>
      </c>
      <c r="CA60" s="94" t="str">
        <f>IF(BA60=".",".",s_RadSpec!$F$12*(CA12*$B60))</f>
        <v>.</v>
      </c>
      <c r="CB60" s="94" t="str">
        <f>IF(BB60=".",".",s_RadSpec!$F$12*(CB12*$B60))</f>
        <v>.</v>
      </c>
    </row>
    <row r="61" spans="1:80" x14ac:dyDescent="0.25">
      <c r="A61" s="92" t="s">
        <v>1082</v>
      </c>
      <c r="B61" s="84">
        <v>1</v>
      </c>
      <c r="C61" s="93">
        <f t="shared" ref="C61:AH61" si="90">IFERROR(C18/$B61,".")</f>
        <v>0.12763649127285492</v>
      </c>
      <c r="D61" s="93">
        <f t="shared" si="90"/>
        <v>0.5105459650914197</v>
      </c>
      <c r="E61" s="93">
        <f t="shared" si="90"/>
        <v>0.5105459650914197</v>
      </c>
      <c r="F61" s="93">
        <f t="shared" si="90"/>
        <v>0.5105459650914197</v>
      </c>
      <c r="G61" s="93">
        <f t="shared" si="90"/>
        <v>0.5105459650914197</v>
      </c>
      <c r="H61" s="93">
        <f t="shared" si="90"/>
        <v>0.5105459650914197</v>
      </c>
      <c r="I61" s="93">
        <f t="shared" si="90"/>
        <v>0.5105459650914197</v>
      </c>
      <c r="J61" s="93">
        <f t="shared" si="90"/>
        <v>0.5105459650914197</v>
      </c>
      <c r="K61" s="93">
        <f t="shared" si="90"/>
        <v>0.5105459650914197</v>
      </c>
      <c r="L61" s="93">
        <f t="shared" si="90"/>
        <v>0.5105459650914197</v>
      </c>
      <c r="M61" s="93">
        <f t="shared" si="90"/>
        <v>0.5105459650914197</v>
      </c>
      <c r="N61" s="93">
        <f t="shared" si="90"/>
        <v>0.5105459650914197</v>
      </c>
      <c r="O61" s="93">
        <f t="shared" si="90"/>
        <v>0.5105459650914197</v>
      </c>
      <c r="P61" s="93">
        <f t="shared" si="90"/>
        <v>0.5105459650914197</v>
      </c>
      <c r="Q61" s="93">
        <f t="shared" si="90"/>
        <v>0.5105459650914197</v>
      </c>
      <c r="R61" s="93">
        <f t="shared" si="90"/>
        <v>0.5105459650914197</v>
      </c>
      <c r="S61" s="93">
        <f t="shared" si="90"/>
        <v>0.5105459650914197</v>
      </c>
      <c r="T61" s="93">
        <f t="shared" si="90"/>
        <v>0.5105459650914197</v>
      </c>
      <c r="U61" s="93">
        <f t="shared" si="90"/>
        <v>0.5105459650914197</v>
      </c>
      <c r="V61" s="93">
        <f t="shared" si="90"/>
        <v>0.5105459650914197</v>
      </c>
      <c r="W61" s="93">
        <f t="shared" si="90"/>
        <v>0.5105459650914197</v>
      </c>
      <c r="X61" s="93">
        <f t="shared" si="90"/>
        <v>0.5105459650914197</v>
      </c>
      <c r="Y61" s="93">
        <f t="shared" si="90"/>
        <v>0.5105459650914197</v>
      </c>
      <c r="Z61" s="93">
        <f t="shared" si="90"/>
        <v>0.5105459650914197</v>
      </c>
      <c r="AA61" s="93">
        <f t="shared" si="90"/>
        <v>0.5105459650914197</v>
      </c>
      <c r="AB61" s="93">
        <f t="shared" si="90"/>
        <v>0.5105459650914197</v>
      </c>
      <c r="AC61" s="93">
        <f t="shared" si="90"/>
        <v>0.12763649127285492</v>
      </c>
      <c r="AD61" s="93">
        <f t="shared" si="90"/>
        <v>0.5105459650914197</v>
      </c>
      <c r="AE61" s="93">
        <f t="shared" si="90"/>
        <v>0.5105459650914197</v>
      </c>
      <c r="AF61" s="93">
        <f t="shared" si="90"/>
        <v>0.5105459650914197</v>
      </c>
      <c r="AG61" s="93">
        <f t="shared" si="90"/>
        <v>0.5105459650914197</v>
      </c>
      <c r="AH61" s="93">
        <f t="shared" si="90"/>
        <v>0.5105459650914197</v>
      </c>
      <c r="AI61" s="93">
        <f t="shared" ref="AI61:BB61" si="91">IFERROR(AI18/$B61,".")</f>
        <v>0.5105459650914197</v>
      </c>
      <c r="AJ61" s="93">
        <f t="shared" si="91"/>
        <v>0.5105459650914197</v>
      </c>
      <c r="AK61" s="93">
        <f t="shared" si="91"/>
        <v>0.5105459650914197</v>
      </c>
      <c r="AL61" s="93">
        <f t="shared" si="91"/>
        <v>0.5105459650914197</v>
      </c>
      <c r="AM61" s="93">
        <f t="shared" si="91"/>
        <v>0.5105459650914197</v>
      </c>
      <c r="AN61" s="93">
        <f t="shared" si="91"/>
        <v>0.5105459650914197</v>
      </c>
      <c r="AO61" s="93">
        <f t="shared" si="91"/>
        <v>0.5105459650914197</v>
      </c>
      <c r="AP61" s="93">
        <f t="shared" si="91"/>
        <v>0.5105459650914197</v>
      </c>
      <c r="AQ61" s="93">
        <f t="shared" si="91"/>
        <v>0.5105459650914197</v>
      </c>
      <c r="AR61" s="93">
        <f t="shared" si="91"/>
        <v>0.5105459650914197</v>
      </c>
      <c r="AS61" s="93">
        <f t="shared" si="91"/>
        <v>0.5105459650914197</v>
      </c>
      <c r="AT61" s="93">
        <f t="shared" si="91"/>
        <v>0.5105459650914197</v>
      </c>
      <c r="AU61" s="93">
        <f t="shared" si="91"/>
        <v>0.5105459650914197</v>
      </c>
      <c r="AV61" s="93">
        <f t="shared" si="91"/>
        <v>0.5105459650914197</v>
      </c>
      <c r="AW61" s="93">
        <f t="shared" si="91"/>
        <v>0.5105459650914197</v>
      </c>
      <c r="AX61" s="93">
        <f t="shared" si="91"/>
        <v>0.5105459650914197</v>
      </c>
      <c r="AY61" s="93">
        <f t="shared" si="91"/>
        <v>0.5105459650914197</v>
      </c>
      <c r="AZ61" s="93">
        <f t="shared" si="91"/>
        <v>0.5105459650914197</v>
      </c>
      <c r="BA61" s="93">
        <f t="shared" si="91"/>
        <v>0.5105459650914197</v>
      </c>
      <c r="BB61" s="93">
        <f t="shared" si="91"/>
        <v>0.5105459650914197</v>
      </c>
      <c r="BC61" s="94">
        <f t="shared" si="67"/>
        <v>195.86875000000001</v>
      </c>
      <c r="BD61" s="94">
        <f>IF(AD61=".",".",s_RadSpec!$F$18*(BD18*$B61))</f>
        <v>48.967187500000001</v>
      </c>
      <c r="BE61" s="94">
        <f>IF(AE61=".",".",s_RadSpec!$F$18*(BE18*$B61))</f>
        <v>48.967187500000001</v>
      </c>
      <c r="BF61" s="94">
        <f>IF(AF61=".",".",s_RadSpec!$F$18*(BF18*$B61))</f>
        <v>48.967187500000001</v>
      </c>
      <c r="BG61" s="94">
        <f>IF(AG61=".",".",s_RadSpec!$F$18*(BG18*$B61))</f>
        <v>48.967187500000001</v>
      </c>
      <c r="BH61" s="94">
        <f>IF(AH61=".",".",s_RadSpec!$F$18*(BH18*$B61))</f>
        <v>48.967187500000001</v>
      </c>
      <c r="BI61" s="94">
        <f>IF(AI61=".",".",s_RadSpec!$F$18*(BI18*$B61))</f>
        <v>48.967187500000001</v>
      </c>
      <c r="BJ61" s="94">
        <f>IF(AJ61=".",".",s_RadSpec!$F$18*(BJ18*$B61))</f>
        <v>48.967187500000001</v>
      </c>
      <c r="BK61" s="94">
        <f>IF(AK61=".",".",s_RadSpec!$F$18*(BK18*$B61))</f>
        <v>48.967187500000001</v>
      </c>
      <c r="BL61" s="94">
        <f>IF(AL61=".",".",s_RadSpec!$F$18*(BL18*$B61))</f>
        <v>48.967187500000001</v>
      </c>
      <c r="BM61" s="94">
        <f>IF(AM61=".",".",s_RadSpec!$F$18*(BM18*$B61))</f>
        <v>48.967187500000001</v>
      </c>
      <c r="BN61" s="94">
        <f>IF(AN61=".",".",s_RadSpec!$F$18*(BN18*$B61))</f>
        <v>48.967187500000001</v>
      </c>
      <c r="BO61" s="94">
        <f>IF(AO61=".",".",s_RadSpec!$F$18*(BO18*$B61))</f>
        <v>48.967187500000001</v>
      </c>
      <c r="BP61" s="94">
        <f>IF(AP61=".",".",s_RadSpec!$F$18*(BP18*$B61))</f>
        <v>48.967187500000001</v>
      </c>
      <c r="BQ61" s="94">
        <f>IF(AQ61=".",".",s_RadSpec!$F$18*(BQ18*$B61))</f>
        <v>48.967187500000001</v>
      </c>
      <c r="BR61" s="94">
        <f>IF(AR61=".",".",s_RadSpec!$F$18*(BR18*$B61))</f>
        <v>48.967187500000001</v>
      </c>
      <c r="BS61" s="94">
        <f>IF(AS61=".",".",s_RadSpec!$F$18*(BS18*$B61))</f>
        <v>48.967187500000001</v>
      </c>
      <c r="BT61" s="94">
        <f>IF(AT61=".",".",s_RadSpec!$F$18*(BT18*$B61))</f>
        <v>48.967187500000001</v>
      </c>
      <c r="BU61" s="94">
        <f>IF(AU61=".",".",s_RadSpec!$F$18*(BU18*$B61))</f>
        <v>48.967187500000001</v>
      </c>
      <c r="BV61" s="94">
        <f>IF(AV61=".",".",s_RadSpec!$F$18*(BV18*$B61))</f>
        <v>48.967187500000001</v>
      </c>
      <c r="BW61" s="94">
        <f>IF(AW61=".",".",s_RadSpec!$F$18*(BW18*$B61))</f>
        <v>48.967187500000001</v>
      </c>
      <c r="BX61" s="94">
        <f>IF(AX61=".",".",s_RadSpec!$F$18*(BX18*$B61))</f>
        <v>48.967187500000001</v>
      </c>
      <c r="BY61" s="94">
        <f>IF(AY61=".",".",s_RadSpec!$F$18*(BY18*$B61))</f>
        <v>48.967187500000001</v>
      </c>
      <c r="BZ61" s="94">
        <f>IF(AZ61=".",".",s_RadSpec!$F$18*(BZ18*$B61))</f>
        <v>48.967187500000001</v>
      </c>
      <c r="CA61" s="94">
        <f>IF(BA61=".",".",s_RadSpec!$F$18*(CA18*$B61))</f>
        <v>48.967187500000001</v>
      </c>
      <c r="CB61" s="94">
        <f>IF(BB61=".",".",s_RadSpec!$F$18*(CB18*$B61))</f>
        <v>48.967187500000001</v>
      </c>
    </row>
    <row r="62" spans="1:80" x14ac:dyDescent="0.25">
      <c r="A62" s="92" t="s">
        <v>1083</v>
      </c>
      <c r="B62" s="84">
        <v>1.339E-6</v>
      </c>
      <c r="C62" s="93" t="str">
        <f t="shared" ref="C62:AH62" si="92">IFERROR(C27/$B62,".")</f>
        <v>.</v>
      </c>
      <c r="D62" s="93" t="str">
        <f t="shared" si="92"/>
        <v>.</v>
      </c>
      <c r="E62" s="93" t="str">
        <f t="shared" si="92"/>
        <v>.</v>
      </c>
      <c r="F62" s="93" t="str">
        <f t="shared" si="92"/>
        <v>.</v>
      </c>
      <c r="G62" s="93" t="str">
        <f t="shared" si="92"/>
        <v>.</v>
      </c>
      <c r="H62" s="93" t="str">
        <f t="shared" si="92"/>
        <v>.</v>
      </c>
      <c r="I62" s="93" t="str">
        <f t="shared" si="92"/>
        <v>.</v>
      </c>
      <c r="J62" s="93" t="str">
        <f t="shared" si="92"/>
        <v>.</v>
      </c>
      <c r="K62" s="93" t="str">
        <f t="shared" si="92"/>
        <v>.</v>
      </c>
      <c r="L62" s="93" t="str">
        <f t="shared" si="92"/>
        <v>.</v>
      </c>
      <c r="M62" s="93" t="str">
        <f t="shared" si="92"/>
        <v>.</v>
      </c>
      <c r="N62" s="93" t="str">
        <f t="shared" si="92"/>
        <v>.</v>
      </c>
      <c r="O62" s="93" t="str">
        <f t="shared" si="92"/>
        <v>.</v>
      </c>
      <c r="P62" s="93" t="str">
        <f t="shared" si="92"/>
        <v>.</v>
      </c>
      <c r="Q62" s="93" t="str">
        <f t="shared" si="92"/>
        <v>.</v>
      </c>
      <c r="R62" s="93" t="str">
        <f t="shared" si="92"/>
        <v>.</v>
      </c>
      <c r="S62" s="93" t="str">
        <f t="shared" si="92"/>
        <v>.</v>
      </c>
      <c r="T62" s="93" t="str">
        <f t="shared" si="92"/>
        <v>.</v>
      </c>
      <c r="U62" s="93" t="str">
        <f t="shared" si="92"/>
        <v>.</v>
      </c>
      <c r="V62" s="93" t="str">
        <f t="shared" si="92"/>
        <v>.</v>
      </c>
      <c r="W62" s="93" t="str">
        <f t="shared" si="92"/>
        <v>.</v>
      </c>
      <c r="X62" s="93" t="str">
        <f t="shared" si="92"/>
        <v>.</v>
      </c>
      <c r="Y62" s="93" t="str">
        <f t="shared" si="92"/>
        <v>.</v>
      </c>
      <c r="Z62" s="93" t="str">
        <f t="shared" si="92"/>
        <v>.</v>
      </c>
      <c r="AA62" s="93" t="str">
        <f t="shared" si="92"/>
        <v>.</v>
      </c>
      <c r="AB62" s="93" t="str">
        <f t="shared" si="92"/>
        <v>.</v>
      </c>
      <c r="AC62" s="93" t="str">
        <f t="shared" si="92"/>
        <v>.</v>
      </c>
      <c r="AD62" s="93" t="str">
        <f t="shared" si="92"/>
        <v>.</v>
      </c>
      <c r="AE62" s="93" t="str">
        <f t="shared" si="92"/>
        <v>.</v>
      </c>
      <c r="AF62" s="93" t="str">
        <f t="shared" si="92"/>
        <v>.</v>
      </c>
      <c r="AG62" s="93" t="str">
        <f t="shared" si="92"/>
        <v>.</v>
      </c>
      <c r="AH62" s="93" t="str">
        <f t="shared" si="92"/>
        <v>.</v>
      </c>
      <c r="AI62" s="93" t="str">
        <f t="shared" ref="AI62:BB62" si="93">IFERROR(AI27/$B62,".")</f>
        <v>.</v>
      </c>
      <c r="AJ62" s="93" t="str">
        <f t="shared" si="93"/>
        <v>.</v>
      </c>
      <c r="AK62" s="93" t="str">
        <f t="shared" si="93"/>
        <v>.</v>
      </c>
      <c r="AL62" s="93" t="str">
        <f t="shared" si="93"/>
        <v>.</v>
      </c>
      <c r="AM62" s="93" t="str">
        <f t="shared" si="93"/>
        <v>.</v>
      </c>
      <c r="AN62" s="93" t="str">
        <f t="shared" si="93"/>
        <v>.</v>
      </c>
      <c r="AO62" s="93" t="str">
        <f t="shared" si="93"/>
        <v>.</v>
      </c>
      <c r="AP62" s="93" t="str">
        <f t="shared" si="93"/>
        <v>.</v>
      </c>
      <c r="AQ62" s="93" t="str">
        <f t="shared" si="93"/>
        <v>.</v>
      </c>
      <c r="AR62" s="93" t="str">
        <f t="shared" si="93"/>
        <v>.</v>
      </c>
      <c r="AS62" s="93" t="str">
        <f t="shared" si="93"/>
        <v>.</v>
      </c>
      <c r="AT62" s="93" t="str">
        <f t="shared" si="93"/>
        <v>.</v>
      </c>
      <c r="AU62" s="93" t="str">
        <f t="shared" si="93"/>
        <v>.</v>
      </c>
      <c r="AV62" s="93" t="str">
        <f t="shared" si="93"/>
        <v>.</v>
      </c>
      <c r="AW62" s="93" t="str">
        <f t="shared" si="93"/>
        <v>.</v>
      </c>
      <c r="AX62" s="93" t="str">
        <f t="shared" si="93"/>
        <v>.</v>
      </c>
      <c r="AY62" s="93" t="str">
        <f t="shared" si="93"/>
        <v>.</v>
      </c>
      <c r="AZ62" s="93" t="str">
        <f t="shared" si="93"/>
        <v>.</v>
      </c>
      <c r="BA62" s="93" t="str">
        <f t="shared" si="93"/>
        <v>.</v>
      </c>
      <c r="BB62" s="93" t="str">
        <f t="shared" si="93"/>
        <v>.</v>
      </c>
      <c r="BC62" s="94" t="str">
        <f t="shared" si="67"/>
        <v>.</v>
      </c>
      <c r="BD62" s="94" t="str">
        <f>IF(AD62=".",".",s_RadSpec!$F$27*(BD27*$B62))</f>
        <v>.</v>
      </c>
      <c r="BE62" s="94" t="str">
        <f>IF(AE62=".",".",s_RadSpec!$F$27*(BE27*$B62))</f>
        <v>.</v>
      </c>
      <c r="BF62" s="94" t="str">
        <f>IF(AF62=".",".",s_RadSpec!$F$27*(BF27*$B62))</f>
        <v>.</v>
      </c>
      <c r="BG62" s="94" t="str">
        <f>IF(AG62=".",".",s_RadSpec!$F$27*(BG27*$B62))</f>
        <v>.</v>
      </c>
      <c r="BH62" s="94" t="str">
        <f>IF(AH62=".",".",s_RadSpec!$F$27*(BH27*$B62))</f>
        <v>.</v>
      </c>
      <c r="BI62" s="94" t="str">
        <f>IF(AI62=".",".",s_RadSpec!$F$27*(BI27*$B62))</f>
        <v>.</v>
      </c>
      <c r="BJ62" s="94" t="str">
        <f>IF(AJ62=".",".",s_RadSpec!$F$27*(BJ27*$B62))</f>
        <v>.</v>
      </c>
      <c r="BK62" s="94" t="str">
        <f>IF(AK62=".",".",s_RadSpec!$F$27*(BK27*$B62))</f>
        <v>.</v>
      </c>
      <c r="BL62" s="94" t="str">
        <f>IF(AL62=".",".",s_RadSpec!$F$27*(BL27*$B62))</f>
        <v>.</v>
      </c>
      <c r="BM62" s="94" t="str">
        <f>IF(AM62=".",".",s_RadSpec!$F$27*(BM27*$B62))</f>
        <v>.</v>
      </c>
      <c r="BN62" s="94" t="str">
        <f>IF(AN62=".",".",s_RadSpec!$F$27*(BN27*$B62))</f>
        <v>.</v>
      </c>
      <c r="BO62" s="94" t="str">
        <f>IF(AO62=".",".",s_RadSpec!$F$27*(BO27*$B62))</f>
        <v>.</v>
      </c>
      <c r="BP62" s="94" t="str">
        <f>IF(AP62=".",".",s_RadSpec!$F$27*(BP27*$B62))</f>
        <v>.</v>
      </c>
      <c r="BQ62" s="94" t="str">
        <f>IF(AQ62=".",".",s_RadSpec!$F$27*(BQ27*$B62))</f>
        <v>.</v>
      </c>
      <c r="BR62" s="94" t="str">
        <f>IF(AR62=".",".",s_RadSpec!$F$27*(BR27*$B62))</f>
        <v>.</v>
      </c>
      <c r="BS62" s="94" t="str">
        <f>IF(AS62=".",".",s_RadSpec!$F$27*(BS27*$B62))</f>
        <v>.</v>
      </c>
      <c r="BT62" s="94" t="str">
        <f>IF(AT62=".",".",s_RadSpec!$F$27*(BT27*$B62))</f>
        <v>.</v>
      </c>
      <c r="BU62" s="94" t="str">
        <f>IF(AU62=".",".",s_RadSpec!$F$27*(BU27*$B62))</f>
        <v>.</v>
      </c>
      <c r="BV62" s="94" t="str">
        <f>IF(AV62=".",".",s_RadSpec!$F$27*(BV27*$B62))</f>
        <v>.</v>
      </c>
      <c r="BW62" s="94" t="str">
        <f>IF(AW62=".",".",s_RadSpec!$F$27*(BW27*$B62))</f>
        <v>.</v>
      </c>
      <c r="BX62" s="94" t="str">
        <f>IF(AX62=".",".",s_RadSpec!$F$27*(BX27*$B62))</f>
        <v>.</v>
      </c>
      <c r="BY62" s="94" t="str">
        <f>IF(AY62=".",".",s_RadSpec!$F$27*(BY27*$B62))</f>
        <v>.</v>
      </c>
      <c r="BZ62" s="94" t="str">
        <f>IF(AZ62=".",".",s_RadSpec!$F$27*(BZ27*$B62))</f>
        <v>.</v>
      </c>
      <c r="CA62" s="94" t="str">
        <f>IF(BA62=".",".",s_RadSpec!$F$27*(CA27*$B62))</f>
        <v>.</v>
      </c>
      <c r="CB62" s="94" t="str">
        <f>IF(BB62=".",".",s_RadSpec!$F$27*(CB27*$B62))</f>
        <v>.</v>
      </c>
    </row>
    <row r="63" spans="1:80" x14ac:dyDescent="0.25">
      <c r="A63" s="89" t="s">
        <v>23</v>
      </c>
      <c r="B63" s="89" t="s">
        <v>1057</v>
      </c>
      <c r="C63" s="90">
        <f t="shared" ref="C63:AH63" si="94">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8.057429218669207E-2</v>
      </c>
      <c r="D63" s="90">
        <f t="shared" si="94"/>
        <v>0.32229716874676828</v>
      </c>
      <c r="E63" s="90">
        <f t="shared" si="94"/>
        <v>0.32229716874676828</v>
      </c>
      <c r="F63" s="90">
        <f t="shared" si="94"/>
        <v>0.32229716874676828</v>
      </c>
      <c r="G63" s="90">
        <f t="shared" si="94"/>
        <v>0.32229716874676828</v>
      </c>
      <c r="H63" s="90">
        <f t="shared" si="94"/>
        <v>0.32229716874676828</v>
      </c>
      <c r="I63" s="90">
        <f t="shared" si="94"/>
        <v>0.32229716874676828</v>
      </c>
      <c r="J63" s="90">
        <f t="shared" si="94"/>
        <v>0.32229716874676828</v>
      </c>
      <c r="K63" s="90">
        <f t="shared" si="94"/>
        <v>0.32229716874676828</v>
      </c>
      <c r="L63" s="90">
        <f t="shared" si="94"/>
        <v>0.32229716874676828</v>
      </c>
      <c r="M63" s="90">
        <f t="shared" si="94"/>
        <v>0.32229716874676828</v>
      </c>
      <c r="N63" s="90">
        <f t="shared" si="94"/>
        <v>0.32229716874676828</v>
      </c>
      <c r="O63" s="90">
        <f t="shared" si="94"/>
        <v>0.32229716874676828</v>
      </c>
      <c r="P63" s="90">
        <f t="shared" si="94"/>
        <v>0.32229716874676828</v>
      </c>
      <c r="Q63" s="90">
        <f t="shared" si="94"/>
        <v>0.32229716874676828</v>
      </c>
      <c r="R63" s="90">
        <f t="shared" si="94"/>
        <v>0.32229716874676828</v>
      </c>
      <c r="S63" s="90">
        <f t="shared" si="94"/>
        <v>0.32229716874676828</v>
      </c>
      <c r="T63" s="90">
        <f t="shared" si="94"/>
        <v>0.32229716874676828</v>
      </c>
      <c r="U63" s="90">
        <f t="shared" si="94"/>
        <v>0.32229716874676828</v>
      </c>
      <c r="V63" s="90">
        <f t="shared" si="94"/>
        <v>0.32229716874676828</v>
      </c>
      <c r="W63" s="90">
        <f t="shared" si="94"/>
        <v>0.32229716874676828</v>
      </c>
      <c r="X63" s="90">
        <f t="shared" si="94"/>
        <v>0.32229716874676828</v>
      </c>
      <c r="Y63" s="90">
        <f t="shared" si="94"/>
        <v>0.32229716874676828</v>
      </c>
      <c r="Z63" s="90">
        <f t="shared" si="94"/>
        <v>0.32229716874676828</v>
      </c>
      <c r="AA63" s="90">
        <f t="shared" si="94"/>
        <v>0.32229716874676828</v>
      </c>
      <c r="AB63" s="90">
        <f t="shared" si="94"/>
        <v>0.32229716874676828</v>
      </c>
      <c r="AC63" s="90">
        <f t="shared" si="94"/>
        <v>8.057429218669207E-2</v>
      </c>
      <c r="AD63" s="90">
        <f t="shared" si="94"/>
        <v>0.32229716874676828</v>
      </c>
      <c r="AE63" s="90">
        <f t="shared" si="94"/>
        <v>0.32229716874676828</v>
      </c>
      <c r="AF63" s="90">
        <f t="shared" si="94"/>
        <v>0.32229716874676828</v>
      </c>
      <c r="AG63" s="90">
        <f t="shared" si="94"/>
        <v>0.32229716874676828</v>
      </c>
      <c r="AH63" s="90">
        <f t="shared" si="94"/>
        <v>0.32229716874676828</v>
      </c>
      <c r="AI63" s="90">
        <f t="shared" ref="AI63:BB63" si="95">IFERROR(1/SUM(IFERROR(1/SUMIF(AI64,"&lt;&gt;.",AI64),0),IFERROR(1/SUMIF(AI65,"&lt;&gt;.",AI65),0),IFERROR(1/SUMIF(AI66,"&lt;&gt;.",AI66),0),IFERROR(1/SUMIF(AI67,"&lt;&gt;.",AI67),0),IFERROR(1/SUMIF(AI68,"&lt;&gt;.",AI68),0),IFERROR(1/SUMIF(AI69,"&lt;&gt;.",AI69),0),IFERROR(1/SUMIF(AI70,"&lt;&gt;.",AI70),0),IFERROR(1/SUMIF(AI71,"&lt;&gt;.",AI71),0),IFERROR(1/SUMIF(AI72,"&lt;&gt;.",AI72),0),IFERROR(1/SUMIF(AI73,"&lt;&gt;.",AI73),0),IFERROR(1/SUMIF(AI74,"&lt;&gt;.",AI74),0),IFERROR(1/SUMIF(AI75,"&lt;&gt;.",AI75),0),IFERROR(1/SUMIF(AI76,"&lt;&gt;.",AI76),0)),".")</f>
        <v>0.32229716874676828</v>
      </c>
      <c r="AJ63" s="90">
        <f t="shared" si="95"/>
        <v>0.32229716874676828</v>
      </c>
      <c r="AK63" s="90">
        <f t="shared" si="95"/>
        <v>0.32229716874676828</v>
      </c>
      <c r="AL63" s="90">
        <f t="shared" si="95"/>
        <v>0.32229716874676828</v>
      </c>
      <c r="AM63" s="90">
        <f t="shared" si="95"/>
        <v>0.32229716874676828</v>
      </c>
      <c r="AN63" s="90">
        <f t="shared" si="95"/>
        <v>0.32229716874676828</v>
      </c>
      <c r="AO63" s="90">
        <f t="shared" si="95"/>
        <v>0.32229716874676828</v>
      </c>
      <c r="AP63" s="90">
        <f t="shared" si="95"/>
        <v>0.32229716874676828</v>
      </c>
      <c r="AQ63" s="90">
        <f t="shared" si="95"/>
        <v>0.32229716874676828</v>
      </c>
      <c r="AR63" s="90">
        <f t="shared" si="95"/>
        <v>0.32229716874676828</v>
      </c>
      <c r="AS63" s="90">
        <f t="shared" si="95"/>
        <v>0.32229716874676828</v>
      </c>
      <c r="AT63" s="90">
        <f t="shared" si="95"/>
        <v>0.32229716874676828</v>
      </c>
      <c r="AU63" s="90">
        <f t="shared" si="95"/>
        <v>0.32229716874676828</v>
      </c>
      <c r="AV63" s="90">
        <f t="shared" si="95"/>
        <v>0.32229716874676828</v>
      </c>
      <c r="AW63" s="90">
        <f t="shared" si="95"/>
        <v>0.32229716874676828</v>
      </c>
      <c r="AX63" s="90">
        <f t="shared" si="95"/>
        <v>0.32229716874676828</v>
      </c>
      <c r="AY63" s="90">
        <f t="shared" si="95"/>
        <v>0.32229716874676828</v>
      </c>
      <c r="AZ63" s="90">
        <f t="shared" si="95"/>
        <v>0.32229716874676828</v>
      </c>
      <c r="BA63" s="90">
        <f t="shared" si="95"/>
        <v>0.32229716874676828</v>
      </c>
      <c r="BB63" s="90">
        <f t="shared" si="95"/>
        <v>0.32229716874676828</v>
      </c>
      <c r="BC63" s="91">
        <f>IFERROR(SUM(BD64:BD76,BU64:BU76,CA64:CA76,CB64:CB76),".")</f>
        <v>310.2726604420497</v>
      </c>
      <c r="BD63" s="91">
        <f>IFERROR(SUM(BD64:BD76),".")</f>
        <v>77.56816511051241</v>
      </c>
      <c r="BE63" s="91">
        <f t="shared" ref="BE63:CB63" si="96">IFERROR(SUM(BE64:BE76),".")</f>
        <v>77.56816511051241</v>
      </c>
      <c r="BF63" s="91">
        <f t="shared" si="96"/>
        <v>77.56816511051241</v>
      </c>
      <c r="BG63" s="91">
        <f t="shared" si="96"/>
        <v>77.56816511051241</v>
      </c>
      <c r="BH63" s="91">
        <f t="shared" si="96"/>
        <v>77.56816511051241</v>
      </c>
      <c r="BI63" s="91">
        <f t="shared" si="96"/>
        <v>77.56816511051241</v>
      </c>
      <c r="BJ63" s="91">
        <f t="shared" si="96"/>
        <v>77.56816511051241</v>
      </c>
      <c r="BK63" s="91">
        <f t="shared" si="96"/>
        <v>77.56816511051241</v>
      </c>
      <c r="BL63" s="91">
        <f t="shared" si="96"/>
        <v>77.56816511051241</v>
      </c>
      <c r="BM63" s="91">
        <f t="shared" si="96"/>
        <v>77.56816511051241</v>
      </c>
      <c r="BN63" s="91">
        <f t="shared" si="96"/>
        <v>77.56816511051241</v>
      </c>
      <c r="BO63" s="91">
        <f t="shared" si="96"/>
        <v>77.56816511051241</v>
      </c>
      <c r="BP63" s="91">
        <f t="shared" si="96"/>
        <v>77.56816511051241</v>
      </c>
      <c r="BQ63" s="91">
        <f t="shared" si="96"/>
        <v>77.56816511051241</v>
      </c>
      <c r="BR63" s="91">
        <f t="shared" si="96"/>
        <v>77.56816511051241</v>
      </c>
      <c r="BS63" s="91">
        <f t="shared" si="96"/>
        <v>77.56816511051241</v>
      </c>
      <c r="BT63" s="91">
        <f t="shared" si="96"/>
        <v>77.56816511051241</v>
      </c>
      <c r="BU63" s="91">
        <f t="shared" si="96"/>
        <v>77.56816511051241</v>
      </c>
      <c r="BV63" s="91">
        <f t="shared" si="96"/>
        <v>77.56816511051241</v>
      </c>
      <c r="BW63" s="91">
        <f t="shared" si="96"/>
        <v>77.56816511051241</v>
      </c>
      <c r="BX63" s="91">
        <f t="shared" si="96"/>
        <v>77.56816511051241</v>
      </c>
      <c r="BY63" s="91">
        <f t="shared" si="96"/>
        <v>77.56816511051241</v>
      </c>
      <c r="BZ63" s="91">
        <f t="shared" si="96"/>
        <v>77.56816511051241</v>
      </c>
      <c r="CA63" s="91">
        <f t="shared" si="96"/>
        <v>77.56816511051241</v>
      </c>
      <c r="CB63" s="91">
        <f t="shared" si="96"/>
        <v>77.56816511051241</v>
      </c>
    </row>
    <row r="64" spans="1:80" x14ac:dyDescent="0.25">
      <c r="A64" s="92" t="s">
        <v>1073</v>
      </c>
      <c r="B64" s="84">
        <v>1</v>
      </c>
      <c r="C64" s="93" t="str">
        <f t="shared" ref="C64:AH64" si="97">IFERROR(C25/$B50,".")</f>
        <v>.</v>
      </c>
      <c r="D64" s="93" t="str">
        <f t="shared" si="97"/>
        <v>.</v>
      </c>
      <c r="E64" s="93" t="str">
        <f t="shared" si="97"/>
        <v>.</v>
      </c>
      <c r="F64" s="93" t="str">
        <f t="shared" si="97"/>
        <v>.</v>
      </c>
      <c r="G64" s="93" t="str">
        <f t="shared" si="97"/>
        <v>.</v>
      </c>
      <c r="H64" s="93" t="str">
        <f t="shared" si="97"/>
        <v>.</v>
      </c>
      <c r="I64" s="93" t="str">
        <f t="shared" si="97"/>
        <v>.</v>
      </c>
      <c r="J64" s="93" t="str">
        <f t="shared" si="97"/>
        <v>.</v>
      </c>
      <c r="K64" s="93" t="str">
        <f t="shared" si="97"/>
        <v>.</v>
      </c>
      <c r="L64" s="93" t="str">
        <f t="shared" si="97"/>
        <v>.</v>
      </c>
      <c r="M64" s="93" t="str">
        <f t="shared" si="97"/>
        <v>.</v>
      </c>
      <c r="N64" s="93" t="str">
        <f t="shared" si="97"/>
        <v>.</v>
      </c>
      <c r="O64" s="93" t="str">
        <f t="shared" si="97"/>
        <v>.</v>
      </c>
      <c r="P64" s="93" t="str">
        <f t="shared" si="97"/>
        <v>.</v>
      </c>
      <c r="Q64" s="93" t="str">
        <f t="shared" si="97"/>
        <v>.</v>
      </c>
      <c r="R64" s="93" t="str">
        <f t="shared" si="97"/>
        <v>.</v>
      </c>
      <c r="S64" s="93" t="str">
        <f t="shared" si="97"/>
        <v>.</v>
      </c>
      <c r="T64" s="93" t="str">
        <f t="shared" si="97"/>
        <v>.</v>
      </c>
      <c r="U64" s="93" t="str">
        <f t="shared" si="97"/>
        <v>.</v>
      </c>
      <c r="V64" s="93" t="str">
        <f t="shared" si="97"/>
        <v>.</v>
      </c>
      <c r="W64" s="93" t="str">
        <f t="shared" si="97"/>
        <v>.</v>
      </c>
      <c r="X64" s="93" t="str">
        <f t="shared" si="97"/>
        <v>.</v>
      </c>
      <c r="Y64" s="93" t="str">
        <f t="shared" si="97"/>
        <v>.</v>
      </c>
      <c r="Z64" s="93" t="str">
        <f t="shared" si="97"/>
        <v>.</v>
      </c>
      <c r="AA64" s="93" t="str">
        <f t="shared" si="97"/>
        <v>.</v>
      </c>
      <c r="AB64" s="93" t="str">
        <f t="shared" si="97"/>
        <v>.</v>
      </c>
      <c r="AC64" s="93" t="str">
        <f t="shared" si="97"/>
        <v>.</v>
      </c>
      <c r="AD64" s="93" t="str">
        <f t="shared" si="97"/>
        <v>.</v>
      </c>
      <c r="AE64" s="93" t="str">
        <f t="shared" si="97"/>
        <v>.</v>
      </c>
      <c r="AF64" s="93" t="str">
        <f t="shared" si="97"/>
        <v>.</v>
      </c>
      <c r="AG64" s="93" t="str">
        <f t="shared" si="97"/>
        <v>.</v>
      </c>
      <c r="AH64" s="93" t="str">
        <f t="shared" si="97"/>
        <v>.</v>
      </c>
      <c r="AI64" s="93" t="str">
        <f t="shared" ref="AI64:BB64" si="98">IFERROR(AI25/$B50,".")</f>
        <v>.</v>
      </c>
      <c r="AJ64" s="93" t="str">
        <f t="shared" si="98"/>
        <v>.</v>
      </c>
      <c r="AK64" s="93" t="str">
        <f t="shared" si="98"/>
        <v>.</v>
      </c>
      <c r="AL64" s="93" t="str">
        <f t="shared" si="98"/>
        <v>.</v>
      </c>
      <c r="AM64" s="93" t="str">
        <f t="shared" si="98"/>
        <v>.</v>
      </c>
      <c r="AN64" s="93" t="str">
        <f t="shared" si="98"/>
        <v>.</v>
      </c>
      <c r="AO64" s="93" t="str">
        <f t="shared" si="98"/>
        <v>.</v>
      </c>
      <c r="AP64" s="93" t="str">
        <f t="shared" si="98"/>
        <v>.</v>
      </c>
      <c r="AQ64" s="93" t="str">
        <f t="shared" si="98"/>
        <v>.</v>
      </c>
      <c r="AR64" s="93" t="str">
        <f t="shared" si="98"/>
        <v>.</v>
      </c>
      <c r="AS64" s="93" t="str">
        <f t="shared" si="98"/>
        <v>.</v>
      </c>
      <c r="AT64" s="93" t="str">
        <f t="shared" si="98"/>
        <v>.</v>
      </c>
      <c r="AU64" s="93" t="str">
        <f t="shared" si="98"/>
        <v>.</v>
      </c>
      <c r="AV64" s="93" t="str">
        <f t="shared" si="98"/>
        <v>.</v>
      </c>
      <c r="AW64" s="93" t="str">
        <f t="shared" si="98"/>
        <v>.</v>
      </c>
      <c r="AX64" s="93" t="str">
        <f t="shared" si="98"/>
        <v>.</v>
      </c>
      <c r="AY64" s="93" t="str">
        <f t="shared" si="98"/>
        <v>.</v>
      </c>
      <c r="AZ64" s="93" t="str">
        <f t="shared" si="98"/>
        <v>.</v>
      </c>
      <c r="BA64" s="93" t="str">
        <f t="shared" si="98"/>
        <v>.</v>
      </c>
      <c r="BB64" s="93" t="str">
        <f t="shared" si="98"/>
        <v>.</v>
      </c>
      <c r="BC64" s="94" t="str">
        <f t="shared" ref="BC64:BC76" si="99">IF(AND(BD64&lt;&gt;".",BU64&lt;&gt;".",CA64&lt;&gt;".",CB64&lt;&gt;"."),SUM(BD64,BU64,CA64:CB64),".")</f>
        <v>.</v>
      </c>
      <c r="BD64" s="94" t="str">
        <f>IF(AD64=".",".",s_RadSpec!$F$25*(BD25*$B64))</f>
        <v>.</v>
      </c>
      <c r="BE64" s="94" t="str">
        <f>IF(AE64=".",".",s_RadSpec!$F$25*(BE25*$B64))</f>
        <v>.</v>
      </c>
      <c r="BF64" s="94" t="str">
        <f>IF(AF64=".",".",s_RadSpec!$F$25*(BF25*$B64))</f>
        <v>.</v>
      </c>
      <c r="BG64" s="94" t="str">
        <f>IF(AG64=".",".",s_RadSpec!$F$25*(BG25*$B64))</f>
        <v>.</v>
      </c>
      <c r="BH64" s="94" t="str">
        <f>IF(AH64=".",".",s_RadSpec!$F$25*(BH25*$B64))</f>
        <v>.</v>
      </c>
      <c r="BI64" s="94" t="str">
        <f>IF(AI64=".",".",s_RadSpec!$F$25*(BI25*$B64))</f>
        <v>.</v>
      </c>
      <c r="BJ64" s="94" t="str">
        <f>IF(AJ64=".",".",s_RadSpec!$F$25*(BJ25*$B64))</f>
        <v>.</v>
      </c>
      <c r="BK64" s="94" t="str">
        <f>IF(AK64=".",".",s_RadSpec!$F$25*(BK25*$B64))</f>
        <v>.</v>
      </c>
      <c r="BL64" s="94" t="str">
        <f>IF(AL64=".",".",s_RadSpec!$F$25*(BL25*$B64))</f>
        <v>.</v>
      </c>
      <c r="BM64" s="94" t="str">
        <f>IF(AM64=".",".",s_RadSpec!$F$25*(BM25*$B64))</f>
        <v>.</v>
      </c>
      <c r="BN64" s="94" t="str">
        <f>IF(AN64=".",".",s_RadSpec!$F$25*(BN25*$B64))</f>
        <v>.</v>
      </c>
      <c r="BO64" s="94" t="str">
        <f>IF(AO64=".",".",s_RadSpec!$F$25*(BO25*$B64))</f>
        <v>.</v>
      </c>
      <c r="BP64" s="94" t="str">
        <f>IF(AP64=".",".",s_RadSpec!$F$25*(BP25*$B64))</f>
        <v>.</v>
      </c>
      <c r="BQ64" s="94" t="str">
        <f>IF(AQ64=".",".",s_RadSpec!$F$25*(BQ25*$B64))</f>
        <v>.</v>
      </c>
      <c r="BR64" s="94" t="str">
        <f>IF(AR64=".",".",s_RadSpec!$F$25*(BR25*$B64))</f>
        <v>.</v>
      </c>
      <c r="BS64" s="94" t="str">
        <f>IF(AS64=".",".",s_RadSpec!$F$25*(BS25*$B64))</f>
        <v>.</v>
      </c>
      <c r="BT64" s="94" t="str">
        <f>IF(AT64=".",".",s_RadSpec!$F$25*(BT25*$B64))</f>
        <v>.</v>
      </c>
      <c r="BU64" s="94" t="str">
        <f>IF(AU64=".",".",s_RadSpec!$F$25*(BU25*$B64))</f>
        <v>.</v>
      </c>
      <c r="BV64" s="94" t="str">
        <f>IF(AV64=".",".",s_RadSpec!$F$25*(BV25*$B64))</f>
        <v>.</v>
      </c>
      <c r="BW64" s="94" t="str">
        <f>IF(AW64=".",".",s_RadSpec!$F$25*(BW25*$B64))</f>
        <v>.</v>
      </c>
      <c r="BX64" s="94" t="str">
        <f>IF(AX64=".",".",s_RadSpec!$F$25*(BX25*$B64))</f>
        <v>.</v>
      </c>
      <c r="BY64" s="94" t="str">
        <f>IF(AY64=".",".",s_RadSpec!$F$25*(BY25*$B64))</f>
        <v>.</v>
      </c>
      <c r="BZ64" s="94" t="str">
        <f>IF(AZ64=".",".",s_RadSpec!$F$25*(BZ25*$B64))</f>
        <v>.</v>
      </c>
      <c r="CA64" s="94" t="str">
        <f>IF(BA64=".",".",s_RadSpec!$F$25*(CA25*$B64))</f>
        <v>.</v>
      </c>
      <c r="CB64" s="94" t="str">
        <f>IF(BB64=".",".",s_RadSpec!$F$25*(CB25*$B64))</f>
        <v>.</v>
      </c>
    </row>
    <row r="65" spans="1:80" x14ac:dyDescent="0.25">
      <c r="A65" s="92" t="s">
        <v>1059</v>
      </c>
      <c r="B65" s="84">
        <v>1</v>
      </c>
      <c r="C65" s="93" t="str">
        <f t="shared" ref="C65:AH65" si="100">IFERROR(C21/$B51,".")</f>
        <v>.</v>
      </c>
      <c r="D65" s="93" t="str">
        <f t="shared" si="100"/>
        <v>.</v>
      </c>
      <c r="E65" s="93" t="str">
        <f t="shared" si="100"/>
        <v>.</v>
      </c>
      <c r="F65" s="93" t="str">
        <f t="shared" si="100"/>
        <v>.</v>
      </c>
      <c r="G65" s="93" t="str">
        <f t="shared" si="100"/>
        <v>.</v>
      </c>
      <c r="H65" s="93" t="str">
        <f t="shared" si="100"/>
        <v>.</v>
      </c>
      <c r="I65" s="93" t="str">
        <f t="shared" si="100"/>
        <v>.</v>
      </c>
      <c r="J65" s="93" t="str">
        <f t="shared" si="100"/>
        <v>.</v>
      </c>
      <c r="K65" s="93" t="str">
        <f t="shared" si="100"/>
        <v>.</v>
      </c>
      <c r="L65" s="93" t="str">
        <f t="shared" si="100"/>
        <v>.</v>
      </c>
      <c r="M65" s="93" t="str">
        <f t="shared" si="100"/>
        <v>.</v>
      </c>
      <c r="N65" s="93" t="str">
        <f t="shared" si="100"/>
        <v>.</v>
      </c>
      <c r="O65" s="93" t="str">
        <f t="shared" si="100"/>
        <v>.</v>
      </c>
      <c r="P65" s="93" t="str">
        <f t="shared" si="100"/>
        <v>.</v>
      </c>
      <c r="Q65" s="93" t="str">
        <f t="shared" si="100"/>
        <v>.</v>
      </c>
      <c r="R65" s="93" t="str">
        <f t="shared" si="100"/>
        <v>.</v>
      </c>
      <c r="S65" s="93" t="str">
        <f t="shared" si="100"/>
        <v>.</v>
      </c>
      <c r="T65" s="93" t="str">
        <f t="shared" si="100"/>
        <v>.</v>
      </c>
      <c r="U65" s="93" t="str">
        <f t="shared" si="100"/>
        <v>.</v>
      </c>
      <c r="V65" s="93" t="str">
        <f t="shared" si="100"/>
        <v>.</v>
      </c>
      <c r="W65" s="93" t="str">
        <f t="shared" si="100"/>
        <v>.</v>
      </c>
      <c r="X65" s="93" t="str">
        <f t="shared" si="100"/>
        <v>.</v>
      </c>
      <c r="Y65" s="93" t="str">
        <f t="shared" si="100"/>
        <v>.</v>
      </c>
      <c r="Z65" s="93" t="str">
        <f t="shared" si="100"/>
        <v>.</v>
      </c>
      <c r="AA65" s="93" t="str">
        <f t="shared" si="100"/>
        <v>.</v>
      </c>
      <c r="AB65" s="93" t="str">
        <f t="shared" si="100"/>
        <v>.</v>
      </c>
      <c r="AC65" s="93" t="str">
        <f t="shared" si="100"/>
        <v>.</v>
      </c>
      <c r="AD65" s="93" t="str">
        <f t="shared" si="100"/>
        <v>.</v>
      </c>
      <c r="AE65" s="93" t="str">
        <f t="shared" si="100"/>
        <v>.</v>
      </c>
      <c r="AF65" s="93" t="str">
        <f t="shared" si="100"/>
        <v>.</v>
      </c>
      <c r="AG65" s="93" t="str">
        <f t="shared" si="100"/>
        <v>.</v>
      </c>
      <c r="AH65" s="93" t="str">
        <f t="shared" si="100"/>
        <v>.</v>
      </c>
      <c r="AI65" s="93" t="str">
        <f t="shared" ref="AI65:BB65" si="101">IFERROR(AI21/$B51,".")</f>
        <v>.</v>
      </c>
      <c r="AJ65" s="93" t="str">
        <f t="shared" si="101"/>
        <v>.</v>
      </c>
      <c r="AK65" s="93" t="str">
        <f t="shared" si="101"/>
        <v>.</v>
      </c>
      <c r="AL65" s="93" t="str">
        <f t="shared" si="101"/>
        <v>.</v>
      </c>
      <c r="AM65" s="93" t="str">
        <f t="shared" si="101"/>
        <v>.</v>
      </c>
      <c r="AN65" s="93" t="str">
        <f t="shared" si="101"/>
        <v>.</v>
      </c>
      <c r="AO65" s="93" t="str">
        <f t="shared" si="101"/>
        <v>.</v>
      </c>
      <c r="AP65" s="93" t="str">
        <f t="shared" si="101"/>
        <v>.</v>
      </c>
      <c r="AQ65" s="93" t="str">
        <f t="shared" si="101"/>
        <v>.</v>
      </c>
      <c r="AR65" s="93" t="str">
        <f t="shared" si="101"/>
        <v>.</v>
      </c>
      <c r="AS65" s="93" t="str">
        <f t="shared" si="101"/>
        <v>.</v>
      </c>
      <c r="AT65" s="93" t="str">
        <f t="shared" si="101"/>
        <v>.</v>
      </c>
      <c r="AU65" s="93" t="str">
        <f t="shared" si="101"/>
        <v>.</v>
      </c>
      <c r="AV65" s="93" t="str">
        <f t="shared" si="101"/>
        <v>.</v>
      </c>
      <c r="AW65" s="93" t="str">
        <f t="shared" si="101"/>
        <v>.</v>
      </c>
      <c r="AX65" s="93" t="str">
        <f t="shared" si="101"/>
        <v>.</v>
      </c>
      <c r="AY65" s="93" t="str">
        <f t="shared" si="101"/>
        <v>.</v>
      </c>
      <c r="AZ65" s="93" t="str">
        <f t="shared" si="101"/>
        <v>.</v>
      </c>
      <c r="BA65" s="93" t="str">
        <f t="shared" si="101"/>
        <v>.</v>
      </c>
      <c r="BB65" s="93" t="str">
        <f t="shared" si="101"/>
        <v>.</v>
      </c>
      <c r="BC65" s="94" t="str">
        <f t="shared" si="99"/>
        <v>.</v>
      </c>
      <c r="BD65" s="94" t="str">
        <f>IF(AD65=".",".",s_RadSpec!$F$21*(BD21*$B65))</f>
        <v>.</v>
      </c>
      <c r="BE65" s="94" t="str">
        <f>IF(AE65=".",".",s_RadSpec!$F$21*(BE21*$B65))</f>
        <v>.</v>
      </c>
      <c r="BF65" s="94" t="str">
        <f>IF(AF65=".",".",s_RadSpec!$F$21*(BF21*$B65))</f>
        <v>.</v>
      </c>
      <c r="BG65" s="94" t="str">
        <f>IF(AG65=".",".",s_RadSpec!$F$21*(BG21*$B65))</f>
        <v>.</v>
      </c>
      <c r="BH65" s="94" t="str">
        <f>IF(AH65=".",".",s_RadSpec!$F$21*(BH21*$B65))</f>
        <v>.</v>
      </c>
      <c r="BI65" s="94" t="str">
        <f>IF(AI65=".",".",s_RadSpec!$F$21*(BI21*$B65))</f>
        <v>.</v>
      </c>
      <c r="BJ65" s="94" t="str">
        <f>IF(AJ65=".",".",s_RadSpec!$F$21*(BJ21*$B65))</f>
        <v>.</v>
      </c>
      <c r="BK65" s="94" t="str">
        <f>IF(AK65=".",".",s_RadSpec!$F$21*(BK21*$B65))</f>
        <v>.</v>
      </c>
      <c r="BL65" s="94" t="str">
        <f>IF(AL65=".",".",s_RadSpec!$F$21*(BL21*$B65))</f>
        <v>.</v>
      </c>
      <c r="BM65" s="94" t="str">
        <f>IF(AM65=".",".",s_RadSpec!$F$21*(BM21*$B65))</f>
        <v>.</v>
      </c>
      <c r="BN65" s="94" t="str">
        <f>IF(AN65=".",".",s_RadSpec!$F$21*(BN21*$B65))</f>
        <v>.</v>
      </c>
      <c r="BO65" s="94" t="str">
        <f>IF(AO65=".",".",s_RadSpec!$F$21*(BO21*$B65))</f>
        <v>.</v>
      </c>
      <c r="BP65" s="94" t="str">
        <f>IF(AP65=".",".",s_RadSpec!$F$21*(BP21*$B65))</f>
        <v>.</v>
      </c>
      <c r="BQ65" s="94" t="str">
        <f>IF(AQ65=".",".",s_RadSpec!$F$21*(BQ21*$B65))</f>
        <v>.</v>
      </c>
      <c r="BR65" s="94" t="str">
        <f>IF(AR65=".",".",s_RadSpec!$F$21*(BR21*$B65))</f>
        <v>.</v>
      </c>
      <c r="BS65" s="94" t="str">
        <f>IF(AS65=".",".",s_RadSpec!$F$21*(BS21*$B65))</f>
        <v>.</v>
      </c>
      <c r="BT65" s="94" t="str">
        <f>IF(AT65=".",".",s_RadSpec!$F$21*(BT21*$B65))</f>
        <v>.</v>
      </c>
      <c r="BU65" s="94" t="str">
        <f>IF(AU65=".",".",s_RadSpec!$F$21*(BU21*$B65))</f>
        <v>.</v>
      </c>
      <c r="BV65" s="94" t="str">
        <f>IF(AV65=".",".",s_RadSpec!$F$21*(BV21*$B65))</f>
        <v>.</v>
      </c>
      <c r="BW65" s="94" t="str">
        <f>IF(AW65=".",".",s_RadSpec!$F$21*(BW21*$B65))</f>
        <v>.</v>
      </c>
      <c r="BX65" s="94" t="str">
        <f>IF(AX65=".",".",s_RadSpec!$F$21*(BX21*$B65))</f>
        <v>.</v>
      </c>
      <c r="BY65" s="94" t="str">
        <f>IF(AY65=".",".",s_RadSpec!$F$21*(BY21*$B65))</f>
        <v>.</v>
      </c>
      <c r="BZ65" s="94" t="str">
        <f>IF(AZ65=".",".",s_RadSpec!$F$21*(BZ21*$B65))</f>
        <v>.</v>
      </c>
      <c r="CA65" s="94" t="str">
        <f>IF(BA65=".",".",s_RadSpec!$F$21*(CA21*$B65))</f>
        <v>.</v>
      </c>
      <c r="CB65" s="94" t="str">
        <f>IF(BB65=".",".",s_RadSpec!$F$21*(CB21*$B65))</f>
        <v>.</v>
      </c>
    </row>
    <row r="66" spans="1:80" x14ac:dyDescent="0.25">
      <c r="A66" s="92" t="s">
        <v>1060</v>
      </c>
      <c r="B66" s="96">
        <v>0.99980000000000002</v>
      </c>
      <c r="C66" s="93">
        <f t="shared" ref="C66:AH66" si="102">IFERROR(C17/$B52,".")</f>
        <v>1122.6559871144887</v>
      </c>
      <c r="D66" s="93">
        <f t="shared" si="102"/>
        <v>4490.6239484579546</v>
      </c>
      <c r="E66" s="93">
        <f t="shared" si="102"/>
        <v>4490.6239484579546</v>
      </c>
      <c r="F66" s="93">
        <f t="shared" si="102"/>
        <v>4490.6239484579546</v>
      </c>
      <c r="G66" s="93">
        <f t="shared" si="102"/>
        <v>4490.6239484579546</v>
      </c>
      <c r="H66" s="93">
        <f t="shared" si="102"/>
        <v>4490.6239484579546</v>
      </c>
      <c r="I66" s="93">
        <f t="shared" si="102"/>
        <v>4490.6239484579546</v>
      </c>
      <c r="J66" s="93">
        <f t="shared" si="102"/>
        <v>4490.6239484579546</v>
      </c>
      <c r="K66" s="93">
        <f t="shared" si="102"/>
        <v>4490.6239484579546</v>
      </c>
      <c r="L66" s="93">
        <f t="shared" si="102"/>
        <v>4490.6239484579546</v>
      </c>
      <c r="M66" s="93">
        <f t="shared" si="102"/>
        <v>4490.6239484579546</v>
      </c>
      <c r="N66" s="93">
        <f t="shared" si="102"/>
        <v>4490.6239484579546</v>
      </c>
      <c r="O66" s="93">
        <f t="shared" si="102"/>
        <v>4490.6239484579546</v>
      </c>
      <c r="P66" s="93">
        <f t="shared" si="102"/>
        <v>4490.6239484579546</v>
      </c>
      <c r="Q66" s="93">
        <f t="shared" si="102"/>
        <v>4490.6239484579546</v>
      </c>
      <c r="R66" s="93">
        <f t="shared" si="102"/>
        <v>4490.6239484579546</v>
      </c>
      <c r="S66" s="93">
        <f t="shared" si="102"/>
        <v>4490.6239484579546</v>
      </c>
      <c r="T66" s="93">
        <f t="shared" si="102"/>
        <v>4490.6239484579546</v>
      </c>
      <c r="U66" s="93">
        <f t="shared" si="102"/>
        <v>4490.6239484579546</v>
      </c>
      <c r="V66" s="93">
        <f t="shared" si="102"/>
        <v>4490.6239484579546</v>
      </c>
      <c r="W66" s="93">
        <f t="shared" si="102"/>
        <v>4490.6239484579546</v>
      </c>
      <c r="X66" s="93">
        <f t="shared" si="102"/>
        <v>4490.6239484579546</v>
      </c>
      <c r="Y66" s="93">
        <f t="shared" si="102"/>
        <v>4490.6239484579546</v>
      </c>
      <c r="Z66" s="93">
        <f t="shared" si="102"/>
        <v>4490.6239484579546</v>
      </c>
      <c r="AA66" s="93">
        <f t="shared" si="102"/>
        <v>4490.6239484579546</v>
      </c>
      <c r="AB66" s="93">
        <f t="shared" si="102"/>
        <v>4490.6239484579546</v>
      </c>
      <c r="AC66" s="93">
        <f t="shared" si="102"/>
        <v>1122.6559871144887</v>
      </c>
      <c r="AD66" s="93">
        <f t="shared" si="102"/>
        <v>4490.6239484579546</v>
      </c>
      <c r="AE66" s="93">
        <f t="shared" si="102"/>
        <v>4490.6239484579546</v>
      </c>
      <c r="AF66" s="93">
        <f t="shared" si="102"/>
        <v>4490.6239484579546</v>
      </c>
      <c r="AG66" s="93">
        <f t="shared" si="102"/>
        <v>4490.6239484579546</v>
      </c>
      <c r="AH66" s="93">
        <f t="shared" si="102"/>
        <v>4490.6239484579546</v>
      </c>
      <c r="AI66" s="93">
        <f t="shared" ref="AI66:BB66" si="103">IFERROR(AI17/$B52,".")</f>
        <v>4490.6239484579546</v>
      </c>
      <c r="AJ66" s="93">
        <f t="shared" si="103"/>
        <v>4490.6239484579546</v>
      </c>
      <c r="AK66" s="93">
        <f t="shared" si="103"/>
        <v>4490.6239484579546</v>
      </c>
      <c r="AL66" s="93">
        <f t="shared" si="103"/>
        <v>4490.6239484579546</v>
      </c>
      <c r="AM66" s="93">
        <f t="shared" si="103"/>
        <v>4490.6239484579546</v>
      </c>
      <c r="AN66" s="93">
        <f t="shared" si="103"/>
        <v>4490.6239484579546</v>
      </c>
      <c r="AO66" s="93">
        <f t="shared" si="103"/>
        <v>4490.6239484579546</v>
      </c>
      <c r="AP66" s="93">
        <f t="shared" si="103"/>
        <v>4490.6239484579546</v>
      </c>
      <c r="AQ66" s="93">
        <f t="shared" si="103"/>
        <v>4490.6239484579546</v>
      </c>
      <c r="AR66" s="93">
        <f t="shared" si="103"/>
        <v>4490.6239484579546</v>
      </c>
      <c r="AS66" s="93">
        <f t="shared" si="103"/>
        <v>4490.6239484579546</v>
      </c>
      <c r="AT66" s="93">
        <f t="shared" si="103"/>
        <v>4490.6239484579546</v>
      </c>
      <c r="AU66" s="93">
        <f t="shared" si="103"/>
        <v>4490.6239484579546</v>
      </c>
      <c r="AV66" s="93">
        <f t="shared" si="103"/>
        <v>4490.6239484579546</v>
      </c>
      <c r="AW66" s="93">
        <f t="shared" si="103"/>
        <v>4490.6239484579546</v>
      </c>
      <c r="AX66" s="93">
        <f t="shared" si="103"/>
        <v>4490.6239484579546</v>
      </c>
      <c r="AY66" s="93">
        <f t="shared" si="103"/>
        <v>4490.6239484579546</v>
      </c>
      <c r="AZ66" s="93">
        <f t="shared" si="103"/>
        <v>4490.6239484579546</v>
      </c>
      <c r="BA66" s="93">
        <f t="shared" si="103"/>
        <v>4490.6239484579546</v>
      </c>
      <c r="BB66" s="93">
        <f t="shared" si="103"/>
        <v>4490.6239484579546</v>
      </c>
      <c r="BC66" s="94">
        <f t="shared" si="99"/>
        <v>2.2268620385000003E-2</v>
      </c>
      <c r="BD66" s="94">
        <f>IF(AD66=".",".",s_RadSpec!$F$17*(BD17*$B66))</f>
        <v>5.5671550962500009E-3</v>
      </c>
      <c r="BE66" s="94">
        <f>IF(AE66=".",".",s_RadSpec!$F$17*(BE17*$B66))</f>
        <v>5.5671550962500009E-3</v>
      </c>
      <c r="BF66" s="94">
        <f>IF(AF66=".",".",s_RadSpec!$F$17*(BF17*$B66))</f>
        <v>5.5671550962500009E-3</v>
      </c>
      <c r="BG66" s="94">
        <f>IF(AG66=".",".",s_RadSpec!$F$17*(BG17*$B66))</f>
        <v>5.5671550962500009E-3</v>
      </c>
      <c r="BH66" s="94">
        <f>IF(AH66=".",".",s_RadSpec!$F$17*(BH17*$B66))</f>
        <v>5.5671550962500009E-3</v>
      </c>
      <c r="BI66" s="94">
        <f>IF(AI66=".",".",s_RadSpec!$F$17*(BI17*$B66))</f>
        <v>5.5671550962500009E-3</v>
      </c>
      <c r="BJ66" s="94">
        <f>IF(AJ66=".",".",s_RadSpec!$F$17*(BJ17*$B66))</f>
        <v>5.5671550962500009E-3</v>
      </c>
      <c r="BK66" s="94">
        <f>IF(AK66=".",".",s_RadSpec!$F$17*(BK17*$B66))</f>
        <v>5.5671550962500009E-3</v>
      </c>
      <c r="BL66" s="94">
        <f>IF(AL66=".",".",s_RadSpec!$F$17*(BL17*$B66))</f>
        <v>5.5671550962500009E-3</v>
      </c>
      <c r="BM66" s="94">
        <f>IF(AM66=".",".",s_RadSpec!$F$17*(BM17*$B66))</f>
        <v>5.5671550962500009E-3</v>
      </c>
      <c r="BN66" s="94">
        <f>IF(AN66=".",".",s_RadSpec!$F$17*(BN17*$B66))</f>
        <v>5.5671550962500009E-3</v>
      </c>
      <c r="BO66" s="94">
        <f>IF(AO66=".",".",s_RadSpec!$F$17*(BO17*$B66))</f>
        <v>5.5671550962500009E-3</v>
      </c>
      <c r="BP66" s="94">
        <f>IF(AP66=".",".",s_RadSpec!$F$17*(BP17*$B66))</f>
        <v>5.5671550962500009E-3</v>
      </c>
      <c r="BQ66" s="94">
        <f>IF(AQ66=".",".",s_RadSpec!$F$17*(BQ17*$B66))</f>
        <v>5.5671550962500009E-3</v>
      </c>
      <c r="BR66" s="94">
        <f>IF(AR66=".",".",s_RadSpec!$F$17*(BR17*$B66))</f>
        <v>5.5671550962500009E-3</v>
      </c>
      <c r="BS66" s="94">
        <f>IF(AS66=".",".",s_RadSpec!$F$17*(BS17*$B66))</f>
        <v>5.5671550962500009E-3</v>
      </c>
      <c r="BT66" s="94">
        <f>IF(AT66=".",".",s_RadSpec!$F$17*(BT17*$B66))</f>
        <v>5.5671550962500009E-3</v>
      </c>
      <c r="BU66" s="94">
        <f>IF(AU66=".",".",s_RadSpec!$F$17*(BU17*$B66))</f>
        <v>5.5671550962500009E-3</v>
      </c>
      <c r="BV66" s="94">
        <f>IF(AV66=".",".",s_RadSpec!$F$17*(BV17*$B66))</f>
        <v>5.5671550962500009E-3</v>
      </c>
      <c r="BW66" s="94">
        <f>IF(AW66=".",".",s_RadSpec!$F$17*(BW17*$B66))</f>
        <v>5.5671550962500009E-3</v>
      </c>
      <c r="BX66" s="94">
        <f>IF(AX66=".",".",s_RadSpec!$F$17*(BX17*$B66))</f>
        <v>5.5671550962500009E-3</v>
      </c>
      <c r="BY66" s="94">
        <f>IF(AY66=".",".",s_RadSpec!$F$17*(BY17*$B66))</f>
        <v>5.5671550962500009E-3</v>
      </c>
      <c r="BZ66" s="94">
        <f>IF(AZ66=".",".",s_RadSpec!$F$17*(BZ17*$B66))</f>
        <v>5.5671550962500009E-3</v>
      </c>
      <c r="CA66" s="94">
        <f>IF(BA66=".",".",s_RadSpec!$F$17*(CA17*$B66))</f>
        <v>5.5671550962500009E-3</v>
      </c>
      <c r="CB66" s="94">
        <f>IF(BB66=".",".",s_RadSpec!$F$17*(CB17*$B66))</f>
        <v>5.5671550962500009E-3</v>
      </c>
    </row>
    <row r="67" spans="1:80" x14ac:dyDescent="0.25">
      <c r="A67" s="92" t="s">
        <v>1074</v>
      </c>
      <c r="B67" s="84">
        <v>2.0000000000000001E-4</v>
      </c>
      <c r="C67" s="93" t="str">
        <f t="shared" ref="C67:AH67" si="104">IFERROR(C5/$B53,".")</f>
        <v>.</v>
      </c>
      <c r="D67" s="93" t="str">
        <f t="shared" si="104"/>
        <v>.</v>
      </c>
      <c r="E67" s="93" t="str">
        <f t="shared" si="104"/>
        <v>.</v>
      </c>
      <c r="F67" s="93" t="str">
        <f t="shared" si="104"/>
        <v>.</v>
      </c>
      <c r="G67" s="93" t="str">
        <f t="shared" si="104"/>
        <v>.</v>
      </c>
      <c r="H67" s="93" t="str">
        <f t="shared" si="104"/>
        <v>.</v>
      </c>
      <c r="I67" s="93" t="str">
        <f t="shared" si="104"/>
        <v>.</v>
      </c>
      <c r="J67" s="93" t="str">
        <f t="shared" si="104"/>
        <v>.</v>
      </c>
      <c r="K67" s="93" t="str">
        <f t="shared" si="104"/>
        <v>.</v>
      </c>
      <c r="L67" s="93" t="str">
        <f t="shared" si="104"/>
        <v>.</v>
      </c>
      <c r="M67" s="93" t="str">
        <f t="shared" si="104"/>
        <v>.</v>
      </c>
      <c r="N67" s="93" t="str">
        <f t="shared" si="104"/>
        <v>.</v>
      </c>
      <c r="O67" s="93" t="str">
        <f t="shared" si="104"/>
        <v>.</v>
      </c>
      <c r="P67" s="93" t="str">
        <f t="shared" si="104"/>
        <v>.</v>
      </c>
      <c r="Q67" s="93" t="str">
        <f t="shared" si="104"/>
        <v>.</v>
      </c>
      <c r="R67" s="93" t="str">
        <f t="shared" si="104"/>
        <v>.</v>
      </c>
      <c r="S67" s="93" t="str">
        <f t="shared" si="104"/>
        <v>.</v>
      </c>
      <c r="T67" s="93" t="str">
        <f t="shared" si="104"/>
        <v>.</v>
      </c>
      <c r="U67" s="93" t="str">
        <f t="shared" si="104"/>
        <v>.</v>
      </c>
      <c r="V67" s="93" t="str">
        <f t="shared" si="104"/>
        <v>.</v>
      </c>
      <c r="W67" s="93" t="str">
        <f t="shared" si="104"/>
        <v>.</v>
      </c>
      <c r="X67" s="93" t="str">
        <f t="shared" si="104"/>
        <v>.</v>
      </c>
      <c r="Y67" s="93" t="str">
        <f t="shared" si="104"/>
        <v>.</v>
      </c>
      <c r="Z67" s="93" t="str">
        <f t="shared" si="104"/>
        <v>.</v>
      </c>
      <c r="AA67" s="93" t="str">
        <f t="shared" si="104"/>
        <v>.</v>
      </c>
      <c r="AB67" s="93" t="str">
        <f t="shared" si="104"/>
        <v>.</v>
      </c>
      <c r="AC67" s="93" t="str">
        <f t="shared" si="104"/>
        <v>.</v>
      </c>
      <c r="AD67" s="93" t="str">
        <f t="shared" si="104"/>
        <v>.</v>
      </c>
      <c r="AE67" s="93" t="str">
        <f t="shared" si="104"/>
        <v>.</v>
      </c>
      <c r="AF67" s="93" t="str">
        <f t="shared" si="104"/>
        <v>.</v>
      </c>
      <c r="AG67" s="93" t="str">
        <f t="shared" si="104"/>
        <v>.</v>
      </c>
      <c r="AH67" s="93" t="str">
        <f t="shared" si="104"/>
        <v>.</v>
      </c>
      <c r="AI67" s="93" t="str">
        <f t="shared" ref="AI67:BB67" si="105">IFERROR(AI5/$B53,".")</f>
        <v>.</v>
      </c>
      <c r="AJ67" s="93" t="str">
        <f t="shared" si="105"/>
        <v>.</v>
      </c>
      <c r="AK67" s="93" t="str">
        <f t="shared" si="105"/>
        <v>.</v>
      </c>
      <c r="AL67" s="93" t="str">
        <f t="shared" si="105"/>
        <v>.</v>
      </c>
      <c r="AM67" s="93" t="str">
        <f t="shared" si="105"/>
        <v>.</v>
      </c>
      <c r="AN67" s="93" t="str">
        <f t="shared" si="105"/>
        <v>.</v>
      </c>
      <c r="AO67" s="93" t="str">
        <f t="shared" si="105"/>
        <v>.</v>
      </c>
      <c r="AP67" s="93" t="str">
        <f t="shared" si="105"/>
        <v>.</v>
      </c>
      <c r="AQ67" s="93" t="str">
        <f t="shared" si="105"/>
        <v>.</v>
      </c>
      <c r="AR67" s="93" t="str">
        <f t="shared" si="105"/>
        <v>.</v>
      </c>
      <c r="AS67" s="93" t="str">
        <f t="shared" si="105"/>
        <v>.</v>
      </c>
      <c r="AT67" s="93" t="str">
        <f t="shared" si="105"/>
        <v>.</v>
      </c>
      <c r="AU67" s="93" t="str">
        <f t="shared" si="105"/>
        <v>.</v>
      </c>
      <c r="AV67" s="93" t="str">
        <f t="shared" si="105"/>
        <v>.</v>
      </c>
      <c r="AW67" s="93" t="str">
        <f t="shared" si="105"/>
        <v>.</v>
      </c>
      <c r="AX67" s="93" t="str">
        <f t="shared" si="105"/>
        <v>.</v>
      </c>
      <c r="AY67" s="93" t="str">
        <f t="shared" si="105"/>
        <v>.</v>
      </c>
      <c r="AZ67" s="93" t="str">
        <f t="shared" si="105"/>
        <v>.</v>
      </c>
      <c r="BA67" s="93" t="str">
        <f t="shared" si="105"/>
        <v>.</v>
      </c>
      <c r="BB67" s="93" t="str">
        <f t="shared" si="105"/>
        <v>.</v>
      </c>
      <c r="BC67" s="94" t="str">
        <f t="shared" si="99"/>
        <v>.</v>
      </c>
      <c r="BD67" s="94" t="str">
        <f>IF(AD67=".",".",s_RadSpec!$F$5*(BD5*$B67))</f>
        <v>.</v>
      </c>
      <c r="BE67" s="94" t="str">
        <f>IF(AE67=".",".",s_RadSpec!$F$5*(BE5*$B67))</f>
        <v>.</v>
      </c>
      <c r="BF67" s="94" t="str">
        <f>IF(AF67=".",".",s_RadSpec!$F$5*(BF5*$B67))</f>
        <v>.</v>
      </c>
      <c r="BG67" s="94" t="str">
        <f>IF(AG67=".",".",s_RadSpec!$F$5*(BG5*$B67))</f>
        <v>.</v>
      </c>
      <c r="BH67" s="94" t="str">
        <f>IF(AH67=".",".",s_RadSpec!$F$5*(BH5*$B67))</f>
        <v>.</v>
      </c>
      <c r="BI67" s="94" t="str">
        <f>IF(AI67=".",".",s_RadSpec!$F$5*(BI5*$B67))</f>
        <v>.</v>
      </c>
      <c r="BJ67" s="94" t="str">
        <f>IF(AJ67=".",".",s_RadSpec!$F$5*(BJ5*$B67))</f>
        <v>.</v>
      </c>
      <c r="BK67" s="94" t="str">
        <f>IF(AK67=".",".",s_RadSpec!$F$5*(BK5*$B67))</f>
        <v>.</v>
      </c>
      <c r="BL67" s="94" t="str">
        <f>IF(AL67=".",".",s_RadSpec!$F$5*(BL5*$B67))</f>
        <v>.</v>
      </c>
      <c r="BM67" s="94" t="str">
        <f>IF(AM67=".",".",s_RadSpec!$F$5*(BM5*$B67))</f>
        <v>.</v>
      </c>
      <c r="BN67" s="94" t="str">
        <f>IF(AN67=".",".",s_RadSpec!$F$5*(BN5*$B67))</f>
        <v>.</v>
      </c>
      <c r="BO67" s="94" t="str">
        <f>IF(AO67=".",".",s_RadSpec!$F$5*(BO5*$B67))</f>
        <v>.</v>
      </c>
      <c r="BP67" s="94" t="str">
        <f>IF(AP67=".",".",s_RadSpec!$F$5*(BP5*$B67))</f>
        <v>.</v>
      </c>
      <c r="BQ67" s="94" t="str">
        <f>IF(AQ67=".",".",s_RadSpec!$F$5*(BQ5*$B67))</f>
        <v>.</v>
      </c>
      <c r="BR67" s="94" t="str">
        <f>IF(AR67=".",".",s_RadSpec!$F$5*(BR5*$B67))</f>
        <v>.</v>
      </c>
      <c r="BS67" s="94" t="str">
        <f>IF(AS67=".",".",s_RadSpec!$F$5*(BS5*$B67))</f>
        <v>.</v>
      </c>
      <c r="BT67" s="94" t="str">
        <f>IF(AT67=".",".",s_RadSpec!$F$5*(BT5*$B67))</f>
        <v>.</v>
      </c>
      <c r="BU67" s="94" t="str">
        <f>IF(AU67=".",".",s_RadSpec!$F$5*(BU5*$B67))</f>
        <v>.</v>
      </c>
      <c r="BV67" s="94" t="str">
        <f>IF(AV67=".",".",s_RadSpec!$F$5*(BV5*$B67))</f>
        <v>.</v>
      </c>
      <c r="BW67" s="94" t="str">
        <f>IF(AW67=".",".",s_RadSpec!$F$5*(BW5*$B67))</f>
        <v>.</v>
      </c>
      <c r="BX67" s="94" t="str">
        <f>IF(AX67=".",".",s_RadSpec!$F$5*(BX5*$B67))</f>
        <v>.</v>
      </c>
      <c r="BY67" s="94" t="str">
        <f>IF(AY67=".",".",s_RadSpec!$F$5*(BY5*$B67))</f>
        <v>.</v>
      </c>
      <c r="BZ67" s="94" t="str">
        <f>IF(AZ67=".",".",s_RadSpec!$F$5*(BZ5*$B67))</f>
        <v>.</v>
      </c>
      <c r="CA67" s="94" t="str">
        <f>IF(BA67=".",".",s_RadSpec!$F$5*(CA5*$B67))</f>
        <v>.</v>
      </c>
      <c r="CB67" s="94" t="str">
        <f>IF(BB67=".",".",s_RadSpec!$F$5*(CB5*$B67))</f>
        <v>.</v>
      </c>
    </row>
    <row r="68" spans="1:80" x14ac:dyDescent="0.25">
      <c r="A68" s="92" t="s">
        <v>1075</v>
      </c>
      <c r="B68" s="84">
        <v>0.99999979999999999</v>
      </c>
      <c r="C68" s="93">
        <f t="shared" ref="C68:AH68" si="106">IFERROR(C9/$B54,".")</f>
        <v>1499.0866067132681</v>
      </c>
      <c r="D68" s="93">
        <f t="shared" si="106"/>
        <v>5996.3464268530724</v>
      </c>
      <c r="E68" s="93">
        <f t="shared" si="106"/>
        <v>5996.3464268530724</v>
      </c>
      <c r="F68" s="93">
        <f t="shared" si="106"/>
        <v>5996.3464268530724</v>
      </c>
      <c r="G68" s="93">
        <f t="shared" si="106"/>
        <v>5996.3464268530724</v>
      </c>
      <c r="H68" s="93">
        <f t="shared" si="106"/>
        <v>5996.3464268530724</v>
      </c>
      <c r="I68" s="93">
        <f t="shared" si="106"/>
        <v>5996.3464268530724</v>
      </c>
      <c r="J68" s="93">
        <f t="shared" si="106"/>
        <v>5996.3464268530724</v>
      </c>
      <c r="K68" s="93">
        <f t="shared" si="106"/>
        <v>5996.3464268530724</v>
      </c>
      <c r="L68" s="93">
        <f t="shared" si="106"/>
        <v>5996.3464268530724</v>
      </c>
      <c r="M68" s="93">
        <f t="shared" si="106"/>
        <v>5996.3464268530724</v>
      </c>
      <c r="N68" s="93">
        <f t="shared" si="106"/>
        <v>5996.3464268530724</v>
      </c>
      <c r="O68" s="93">
        <f t="shared" si="106"/>
        <v>5996.3464268530724</v>
      </c>
      <c r="P68" s="93">
        <f t="shared" si="106"/>
        <v>5996.3464268530724</v>
      </c>
      <c r="Q68" s="93">
        <f t="shared" si="106"/>
        <v>5996.3464268530724</v>
      </c>
      <c r="R68" s="93">
        <f t="shared" si="106"/>
        <v>5996.3464268530724</v>
      </c>
      <c r="S68" s="93">
        <f t="shared" si="106"/>
        <v>5996.3464268530724</v>
      </c>
      <c r="T68" s="93">
        <f t="shared" si="106"/>
        <v>5996.3464268530724</v>
      </c>
      <c r="U68" s="93">
        <f t="shared" si="106"/>
        <v>5996.3464268530724</v>
      </c>
      <c r="V68" s="93">
        <f t="shared" si="106"/>
        <v>5996.3464268530724</v>
      </c>
      <c r="W68" s="93">
        <f t="shared" si="106"/>
        <v>5996.3464268530724</v>
      </c>
      <c r="X68" s="93">
        <f t="shared" si="106"/>
        <v>5996.3464268530724</v>
      </c>
      <c r="Y68" s="93">
        <f t="shared" si="106"/>
        <v>5996.3464268530724</v>
      </c>
      <c r="Z68" s="93">
        <f t="shared" si="106"/>
        <v>5996.3464268530724</v>
      </c>
      <c r="AA68" s="93">
        <f t="shared" si="106"/>
        <v>5996.3464268530724</v>
      </c>
      <c r="AB68" s="93">
        <f t="shared" si="106"/>
        <v>5996.3464268530724</v>
      </c>
      <c r="AC68" s="93">
        <f t="shared" si="106"/>
        <v>1499.0866067132681</v>
      </c>
      <c r="AD68" s="93">
        <f t="shared" si="106"/>
        <v>5996.3464268530724</v>
      </c>
      <c r="AE68" s="93">
        <f t="shared" si="106"/>
        <v>5996.3464268530724</v>
      </c>
      <c r="AF68" s="93">
        <f t="shared" si="106"/>
        <v>5996.3464268530724</v>
      </c>
      <c r="AG68" s="93">
        <f t="shared" si="106"/>
        <v>5996.3464268530724</v>
      </c>
      <c r="AH68" s="93">
        <f t="shared" si="106"/>
        <v>5996.3464268530724</v>
      </c>
      <c r="AI68" s="93">
        <f t="shared" ref="AI68:BB68" si="107">IFERROR(AI9/$B54,".")</f>
        <v>5996.3464268530724</v>
      </c>
      <c r="AJ68" s="93">
        <f t="shared" si="107"/>
        <v>5996.3464268530724</v>
      </c>
      <c r="AK68" s="93">
        <f t="shared" si="107"/>
        <v>5996.3464268530724</v>
      </c>
      <c r="AL68" s="93">
        <f t="shared" si="107"/>
        <v>5996.3464268530724</v>
      </c>
      <c r="AM68" s="93">
        <f t="shared" si="107"/>
        <v>5996.3464268530724</v>
      </c>
      <c r="AN68" s="93">
        <f t="shared" si="107"/>
        <v>5996.3464268530724</v>
      </c>
      <c r="AO68" s="93">
        <f t="shared" si="107"/>
        <v>5996.3464268530724</v>
      </c>
      <c r="AP68" s="93">
        <f t="shared" si="107"/>
        <v>5996.3464268530724</v>
      </c>
      <c r="AQ68" s="93">
        <f t="shared" si="107"/>
        <v>5996.3464268530724</v>
      </c>
      <c r="AR68" s="93">
        <f t="shared" si="107"/>
        <v>5996.3464268530724</v>
      </c>
      <c r="AS68" s="93">
        <f t="shared" si="107"/>
        <v>5996.3464268530724</v>
      </c>
      <c r="AT68" s="93">
        <f t="shared" si="107"/>
        <v>5996.3464268530724</v>
      </c>
      <c r="AU68" s="93">
        <f t="shared" si="107"/>
        <v>5996.3464268530724</v>
      </c>
      <c r="AV68" s="93">
        <f t="shared" si="107"/>
        <v>5996.3464268530724</v>
      </c>
      <c r="AW68" s="93">
        <f t="shared" si="107"/>
        <v>5996.3464268530724</v>
      </c>
      <c r="AX68" s="93">
        <f t="shared" si="107"/>
        <v>5996.3464268530724</v>
      </c>
      <c r="AY68" s="93">
        <f t="shared" si="107"/>
        <v>5996.3464268530724</v>
      </c>
      <c r="AZ68" s="93">
        <f t="shared" si="107"/>
        <v>5996.3464268530724</v>
      </c>
      <c r="BA68" s="93">
        <f t="shared" si="107"/>
        <v>5996.3464268530724</v>
      </c>
      <c r="BB68" s="93">
        <f t="shared" si="107"/>
        <v>5996.3464268530724</v>
      </c>
      <c r="BC68" s="94">
        <f t="shared" si="99"/>
        <v>1.6676821664635001E-2</v>
      </c>
      <c r="BD68" s="94">
        <f>IF(AD68=".",".",s_RadSpec!$F$9*(BD9*$B68))</f>
        <v>4.1692054161587503E-3</v>
      </c>
      <c r="BE68" s="94">
        <f>IF(AE68=".",".",s_RadSpec!$F$9*(BE9*$B68))</f>
        <v>4.1692054161587503E-3</v>
      </c>
      <c r="BF68" s="94">
        <f>IF(AF68=".",".",s_RadSpec!$F$9*(BF9*$B68))</f>
        <v>4.1692054161587503E-3</v>
      </c>
      <c r="BG68" s="94">
        <f>IF(AG68=".",".",s_RadSpec!$F$9*(BG9*$B68))</f>
        <v>4.1692054161587503E-3</v>
      </c>
      <c r="BH68" s="94">
        <f>IF(AH68=".",".",s_RadSpec!$F$9*(BH9*$B68))</f>
        <v>4.1692054161587503E-3</v>
      </c>
      <c r="BI68" s="94">
        <f>IF(AI68=".",".",s_RadSpec!$F$9*(BI9*$B68))</f>
        <v>4.1692054161587503E-3</v>
      </c>
      <c r="BJ68" s="94">
        <f>IF(AJ68=".",".",s_RadSpec!$F$9*(BJ9*$B68))</f>
        <v>4.1692054161587503E-3</v>
      </c>
      <c r="BK68" s="94">
        <f>IF(AK68=".",".",s_RadSpec!$F$9*(BK9*$B68))</f>
        <v>4.1692054161587503E-3</v>
      </c>
      <c r="BL68" s="94">
        <f>IF(AL68=".",".",s_RadSpec!$F$9*(BL9*$B68))</f>
        <v>4.1692054161587503E-3</v>
      </c>
      <c r="BM68" s="94">
        <f>IF(AM68=".",".",s_RadSpec!$F$9*(BM9*$B68))</f>
        <v>4.1692054161587503E-3</v>
      </c>
      <c r="BN68" s="94">
        <f>IF(AN68=".",".",s_RadSpec!$F$9*(BN9*$B68))</f>
        <v>4.1692054161587503E-3</v>
      </c>
      <c r="BO68" s="94">
        <f>IF(AO68=".",".",s_RadSpec!$F$9*(BO9*$B68))</f>
        <v>4.1692054161587503E-3</v>
      </c>
      <c r="BP68" s="94">
        <f>IF(AP68=".",".",s_RadSpec!$F$9*(BP9*$B68))</f>
        <v>4.1692054161587503E-3</v>
      </c>
      <c r="BQ68" s="94">
        <f>IF(AQ68=".",".",s_RadSpec!$F$9*(BQ9*$B68))</f>
        <v>4.1692054161587503E-3</v>
      </c>
      <c r="BR68" s="94">
        <f>IF(AR68=".",".",s_RadSpec!$F$9*(BR9*$B68))</f>
        <v>4.1692054161587503E-3</v>
      </c>
      <c r="BS68" s="94">
        <f>IF(AS68=".",".",s_RadSpec!$F$9*(BS9*$B68))</f>
        <v>4.1692054161587503E-3</v>
      </c>
      <c r="BT68" s="94">
        <f>IF(AT68=".",".",s_RadSpec!$F$9*(BT9*$B68))</f>
        <v>4.1692054161587503E-3</v>
      </c>
      <c r="BU68" s="94">
        <f>IF(AU68=".",".",s_RadSpec!$F$9*(BU9*$B68))</f>
        <v>4.1692054161587503E-3</v>
      </c>
      <c r="BV68" s="94">
        <f>IF(AV68=".",".",s_RadSpec!$F$9*(BV9*$B68))</f>
        <v>4.1692054161587503E-3</v>
      </c>
      <c r="BW68" s="94">
        <f>IF(AW68=".",".",s_RadSpec!$F$9*(BW9*$B68))</f>
        <v>4.1692054161587503E-3</v>
      </c>
      <c r="BX68" s="94">
        <f>IF(AX68=".",".",s_RadSpec!$F$9*(BX9*$B68))</f>
        <v>4.1692054161587503E-3</v>
      </c>
      <c r="BY68" s="94">
        <f>IF(AY68=".",".",s_RadSpec!$F$9*(BY9*$B68))</f>
        <v>4.1692054161587503E-3</v>
      </c>
      <c r="BZ68" s="94">
        <f>IF(AZ68=".",".",s_RadSpec!$F$9*(BZ9*$B68))</f>
        <v>4.1692054161587503E-3</v>
      </c>
      <c r="CA68" s="94">
        <f>IF(BA68=".",".",s_RadSpec!$F$9*(CA9*$B68))</f>
        <v>4.1692054161587503E-3</v>
      </c>
      <c r="CB68" s="94">
        <f>IF(BB68=".",".",s_RadSpec!$F$9*(CB9*$B68))</f>
        <v>4.1692054161587503E-3</v>
      </c>
    </row>
    <row r="69" spans="1:80" x14ac:dyDescent="0.25">
      <c r="A69" s="92" t="s">
        <v>1076</v>
      </c>
      <c r="B69" s="84">
        <v>1.9999999999999999E-7</v>
      </c>
      <c r="C69" s="93" t="str">
        <f t="shared" ref="C69:AH69" si="108">IFERROR(C24/$B55,".")</f>
        <v>.</v>
      </c>
      <c r="D69" s="93" t="str">
        <f t="shared" si="108"/>
        <v>.</v>
      </c>
      <c r="E69" s="93" t="str">
        <f t="shared" si="108"/>
        <v>.</v>
      </c>
      <c r="F69" s="93" t="str">
        <f t="shared" si="108"/>
        <v>.</v>
      </c>
      <c r="G69" s="93" t="str">
        <f t="shared" si="108"/>
        <v>.</v>
      </c>
      <c r="H69" s="93" t="str">
        <f t="shared" si="108"/>
        <v>.</v>
      </c>
      <c r="I69" s="93" t="str">
        <f t="shared" si="108"/>
        <v>.</v>
      </c>
      <c r="J69" s="93" t="str">
        <f t="shared" si="108"/>
        <v>.</v>
      </c>
      <c r="K69" s="93" t="str">
        <f t="shared" si="108"/>
        <v>.</v>
      </c>
      <c r="L69" s="93" t="str">
        <f t="shared" si="108"/>
        <v>.</v>
      </c>
      <c r="M69" s="93" t="str">
        <f t="shared" si="108"/>
        <v>.</v>
      </c>
      <c r="N69" s="93" t="str">
        <f t="shared" si="108"/>
        <v>.</v>
      </c>
      <c r="O69" s="93" t="str">
        <f t="shared" si="108"/>
        <v>.</v>
      </c>
      <c r="P69" s="93" t="str">
        <f t="shared" si="108"/>
        <v>.</v>
      </c>
      <c r="Q69" s="93" t="str">
        <f t="shared" si="108"/>
        <v>.</v>
      </c>
      <c r="R69" s="93" t="str">
        <f t="shared" si="108"/>
        <v>.</v>
      </c>
      <c r="S69" s="93" t="str">
        <f t="shared" si="108"/>
        <v>.</v>
      </c>
      <c r="T69" s="93" t="str">
        <f t="shared" si="108"/>
        <v>.</v>
      </c>
      <c r="U69" s="93" t="str">
        <f t="shared" si="108"/>
        <v>.</v>
      </c>
      <c r="V69" s="93" t="str">
        <f t="shared" si="108"/>
        <v>.</v>
      </c>
      <c r="W69" s="93" t="str">
        <f t="shared" si="108"/>
        <v>.</v>
      </c>
      <c r="X69" s="93" t="str">
        <f t="shared" si="108"/>
        <v>.</v>
      </c>
      <c r="Y69" s="93" t="str">
        <f t="shared" si="108"/>
        <v>.</v>
      </c>
      <c r="Z69" s="93" t="str">
        <f t="shared" si="108"/>
        <v>.</v>
      </c>
      <c r="AA69" s="93" t="str">
        <f t="shared" si="108"/>
        <v>.</v>
      </c>
      <c r="AB69" s="93" t="str">
        <f t="shared" si="108"/>
        <v>.</v>
      </c>
      <c r="AC69" s="93" t="str">
        <f t="shared" si="108"/>
        <v>.</v>
      </c>
      <c r="AD69" s="93" t="str">
        <f t="shared" si="108"/>
        <v>.</v>
      </c>
      <c r="AE69" s="93" t="str">
        <f t="shared" si="108"/>
        <v>.</v>
      </c>
      <c r="AF69" s="93" t="str">
        <f t="shared" si="108"/>
        <v>.</v>
      </c>
      <c r="AG69" s="93" t="str">
        <f t="shared" si="108"/>
        <v>.</v>
      </c>
      <c r="AH69" s="93" t="str">
        <f t="shared" si="108"/>
        <v>.</v>
      </c>
      <c r="AI69" s="93" t="str">
        <f t="shared" ref="AI69:BB69" si="109">IFERROR(AI24/$B55,".")</f>
        <v>.</v>
      </c>
      <c r="AJ69" s="93" t="str">
        <f t="shared" si="109"/>
        <v>.</v>
      </c>
      <c r="AK69" s="93" t="str">
        <f t="shared" si="109"/>
        <v>.</v>
      </c>
      <c r="AL69" s="93" t="str">
        <f t="shared" si="109"/>
        <v>.</v>
      </c>
      <c r="AM69" s="93" t="str">
        <f t="shared" si="109"/>
        <v>.</v>
      </c>
      <c r="AN69" s="93" t="str">
        <f t="shared" si="109"/>
        <v>.</v>
      </c>
      <c r="AO69" s="93" t="str">
        <f t="shared" si="109"/>
        <v>.</v>
      </c>
      <c r="AP69" s="93" t="str">
        <f t="shared" si="109"/>
        <v>.</v>
      </c>
      <c r="AQ69" s="93" t="str">
        <f t="shared" si="109"/>
        <v>.</v>
      </c>
      <c r="AR69" s="93" t="str">
        <f t="shared" si="109"/>
        <v>.</v>
      </c>
      <c r="AS69" s="93" t="str">
        <f t="shared" si="109"/>
        <v>.</v>
      </c>
      <c r="AT69" s="93" t="str">
        <f t="shared" si="109"/>
        <v>.</v>
      </c>
      <c r="AU69" s="93" t="str">
        <f t="shared" si="109"/>
        <v>.</v>
      </c>
      <c r="AV69" s="93" t="str">
        <f t="shared" si="109"/>
        <v>.</v>
      </c>
      <c r="AW69" s="93" t="str">
        <f t="shared" si="109"/>
        <v>.</v>
      </c>
      <c r="AX69" s="93" t="str">
        <f t="shared" si="109"/>
        <v>.</v>
      </c>
      <c r="AY69" s="93" t="str">
        <f t="shared" si="109"/>
        <v>.</v>
      </c>
      <c r="AZ69" s="93" t="str">
        <f t="shared" si="109"/>
        <v>.</v>
      </c>
      <c r="BA69" s="93" t="str">
        <f t="shared" si="109"/>
        <v>.</v>
      </c>
      <c r="BB69" s="93" t="str">
        <f t="shared" si="109"/>
        <v>.</v>
      </c>
      <c r="BC69" s="94" t="str">
        <f t="shared" si="99"/>
        <v>.</v>
      </c>
      <c r="BD69" s="94" t="str">
        <f>IF(AD69=".",".",s_RadSpec!$F$24*(BD24*$B69))</f>
        <v>.</v>
      </c>
      <c r="BE69" s="94" t="str">
        <f>IF(AE69=".",".",s_RadSpec!$F$24*(BE24*$B69))</f>
        <v>.</v>
      </c>
      <c r="BF69" s="94" t="str">
        <f>IF(AF69=".",".",s_RadSpec!$F$24*(BF24*$B69))</f>
        <v>.</v>
      </c>
      <c r="BG69" s="94" t="str">
        <f>IF(AG69=".",".",s_RadSpec!$F$24*(BG24*$B69))</f>
        <v>.</v>
      </c>
      <c r="BH69" s="94" t="str">
        <f>IF(AH69=".",".",s_RadSpec!$F$24*(BH24*$B69))</f>
        <v>.</v>
      </c>
      <c r="BI69" s="94" t="str">
        <f>IF(AI69=".",".",s_RadSpec!$F$24*(BI24*$B69))</f>
        <v>.</v>
      </c>
      <c r="BJ69" s="94" t="str">
        <f>IF(AJ69=".",".",s_RadSpec!$F$24*(BJ24*$B69))</f>
        <v>.</v>
      </c>
      <c r="BK69" s="94" t="str">
        <f>IF(AK69=".",".",s_RadSpec!$F$24*(BK24*$B69))</f>
        <v>.</v>
      </c>
      <c r="BL69" s="94" t="str">
        <f>IF(AL69=".",".",s_RadSpec!$F$24*(BL24*$B69))</f>
        <v>.</v>
      </c>
      <c r="BM69" s="94" t="str">
        <f>IF(AM69=".",".",s_RadSpec!$F$24*(BM24*$B69))</f>
        <v>.</v>
      </c>
      <c r="BN69" s="94" t="str">
        <f>IF(AN69=".",".",s_RadSpec!$F$24*(BN24*$B69))</f>
        <v>.</v>
      </c>
      <c r="BO69" s="94" t="str">
        <f>IF(AO69=".",".",s_RadSpec!$F$24*(BO24*$B69))</f>
        <v>.</v>
      </c>
      <c r="BP69" s="94" t="str">
        <f>IF(AP69=".",".",s_RadSpec!$F$24*(BP24*$B69))</f>
        <v>.</v>
      </c>
      <c r="BQ69" s="94" t="str">
        <f>IF(AQ69=".",".",s_RadSpec!$F$24*(BQ24*$B69))</f>
        <v>.</v>
      </c>
      <c r="BR69" s="94" t="str">
        <f>IF(AR69=".",".",s_RadSpec!$F$24*(BR24*$B69))</f>
        <v>.</v>
      </c>
      <c r="BS69" s="94" t="str">
        <f>IF(AS69=".",".",s_RadSpec!$F$24*(BS24*$B69))</f>
        <v>.</v>
      </c>
      <c r="BT69" s="94" t="str">
        <f>IF(AT69=".",".",s_RadSpec!$F$24*(BT24*$B69))</f>
        <v>.</v>
      </c>
      <c r="BU69" s="94" t="str">
        <f>IF(AU69=".",".",s_RadSpec!$F$24*(BU24*$B69))</f>
        <v>.</v>
      </c>
      <c r="BV69" s="94" t="str">
        <f>IF(AV69=".",".",s_RadSpec!$F$24*(BV24*$B69))</f>
        <v>.</v>
      </c>
      <c r="BW69" s="94" t="str">
        <f>IF(AW69=".",".",s_RadSpec!$F$24*(BW24*$B69))</f>
        <v>.</v>
      </c>
      <c r="BX69" s="94" t="str">
        <f>IF(AX69=".",".",s_RadSpec!$F$24*(BX24*$B69))</f>
        <v>.</v>
      </c>
      <c r="BY69" s="94" t="str">
        <f>IF(AY69=".",".",s_RadSpec!$F$24*(BY24*$B69))</f>
        <v>.</v>
      </c>
      <c r="BZ69" s="94" t="str">
        <f>IF(AZ69=".",".",s_RadSpec!$F$24*(BZ24*$B69))</f>
        <v>.</v>
      </c>
      <c r="CA69" s="94" t="str">
        <f>IF(BA69=".",".",s_RadSpec!$F$24*(CA24*$B69))</f>
        <v>.</v>
      </c>
      <c r="CB69" s="94" t="str">
        <f>IF(BB69=".",".",s_RadSpec!$F$24*(CB24*$B69))</f>
        <v>.</v>
      </c>
    </row>
    <row r="70" spans="1:80" x14ac:dyDescent="0.25">
      <c r="A70" s="92" t="s">
        <v>1077</v>
      </c>
      <c r="B70" s="84">
        <v>0.99979000004200003</v>
      </c>
      <c r="C70" s="93" t="str">
        <f t="shared" ref="C70:AH70" si="110">IFERROR(C20/$B56,".")</f>
        <v>.</v>
      </c>
      <c r="D70" s="93" t="str">
        <f t="shared" si="110"/>
        <v>.</v>
      </c>
      <c r="E70" s="93" t="str">
        <f t="shared" si="110"/>
        <v>.</v>
      </c>
      <c r="F70" s="93" t="str">
        <f t="shared" si="110"/>
        <v>.</v>
      </c>
      <c r="G70" s="93" t="str">
        <f t="shared" si="110"/>
        <v>.</v>
      </c>
      <c r="H70" s="93" t="str">
        <f t="shared" si="110"/>
        <v>.</v>
      </c>
      <c r="I70" s="93" t="str">
        <f t="shared" si="110"/>
        <v>.</v>
      </c>
      <c r="J70" s="93" t="str">
        <f t="shared" si="110"/>
        <v>.</v>
      </c>
      <c r="K70" s="93" t="str">
        <f t="shared" si="110"/>
        <v>.</v>
      </c>
      <c r="L70" s="93" t="str">
        <f t="shared" si="110"/>
        <v>.</v>
      </c>
      <c r="M70" s="93" t="str">
        <f t="shared" si="110"/>
        <v>.</v>
      </c>
      <c r="N70" s="93" t="str">
        <f t="shared" si="110"/>
        <v>.</v>
      </c>
      <c r="O70" s="93" t="str">
        <f t="shared" si="110"/>
        <v>.</v>
      </c>
      <c r="P70" s="93" t="str">
        <f t="shared" si="110"/>
        <v>.</v>
      </c>
      <c r="Q70" s="93" t="str">
        <f t="shared" si="110"/>
        <v>.</v>
      </c>
      <c r="R70" s="93" t="str">
        <f t="shared" si="110"/>
        <v>.</v>
      </c>
      <c r="S70" s="93" t="str">
        <f t="shared" si="110"/>
        <v>.</v>
      </c>
      <c r="T70" s="93" t="str">
        <f t="shared" si="110"/>
        <v>.</v>
      </c>
      <c r="U70" s="93" t="str">
        <f t="shared" si="110"/>
        <v>.</v>
      </c>
      <c r="V70" s="93" t="str">
        <f t="shared" si="110"/>
        <v>.</v>
      </c>
      <c r="W70" s="93" t="str">
        <f t="shared" si="110"/>
        <v>.</v>
      </c>
      <c r="X70" s="93" t="str">
        <f t="shared" si="110"/>
        <v>.</v>
      </c>
      <c r="Y70" s="93" t="str">
        <f t="shared" si="110"/>
        <v>.</v>
      </c>
      <c r="Z70" s="93" t="str">
        <f t="shared" si="110"/>
        <v>.</v>
      </c>
      <c r="AA70" s="93" t="str">
        <f t="shared" si="110"/>
        <v>.</v>
      </c>
      <c r="AB70" s="93" t="str">
        <f t="shared" si="110"/>
        <v>.</v>
      </c>
      <c r="AC70" s="93" t="str">
        <f t="shared" si="110"/>
        <v>.</v>
      </c>
      <c r="AD70" s="93" t="str">
        <f t="shared" si="110"/>
        <v>.</v>
      </c>
      <c r="AE70" s="93" t="str">
        <f t="shared" si="110"/>
        <v>.</v>
      </c>
      <c r="AF70" s="93" t="str">
        <f t="shared" si="110"/>
        <v>.</v>
      </c>
      <c r="AG70" s="93" t="str">
        <f t="shared" si="110"/>
        <v>.</v>
      </c>
      <c r="AH70" s="93" t="str">
        <f t="shared" si="110"/>
        <v>.</v>
      </c>
      <c r="AI70" s="93" t="str">
        <f t="shared" ref="AI70:BB70" si="111">IFERROR(AI20/$B56,".")</f>
        <v>.</v>
      </c>
      <c r="AJ70" s="93" t="str">
        <f t="shared" si="111"/>
        <v>.</v>
      </c>
      <c r="AK70" s="93" t="str">
        <f t="shared" si="111"/>
        <v>.</v>
      </c>
      <c r="AL70" s="93" t="str">
        <f t="shared" si="111"/>
        <v>.</v>
      </c>
      <c r="AM70" s="93" t="str">
        <f t="shared" si="111"/>
        <v>.</v>
      </c>
      <c r="AN70" s="93" t="str">
        <f t="shared" si="111"/>
        <v>.</v>
      </c>
      <c r="AO70" s="93" t="str">
        <f t="shared" si="111"/>
        <v>.</v>
      </c>
      <c r="AP70" s="93" t="str">
        <f t="shared" si="111"/>
        <v>.</v>
      </c>
      <c r="AQ70" s="93" t="str">
        <f t="shared" si="111"/>
        <v>.</v>
      </c>
      <c r="AR70" s="93" t="str">
        <f t="shared" si="111"/>
        <v>.</v>
      </c>
      <c r="AS70" s="93" t="str">
        <f t="shared" si="111"/>
        <v>.</v>
      </c>
      <c r="AT70" s="93" t="str">
        <f t="shared" si="111"/>
        <v>.</v>
      </c>
      <c r="AU70" s="93" t="str">
        <f t="shared" si="111"/>
        <v>.</v>
      </c>
      <c r="AV70" s="93" t="str">
        <f t="shared" si="111"/>
        <v>.</v>
      </c>
      <c r="AW70" s="93" t="str">
        <f t="shared" si="111"/>
        <v>.</v>
      </c>
      <c r="AX70" s="93" t="str">
        <f t="shared" si="111"/>
        <v>.</v>
      </c>
      <c r="AY70" s="93" t="str">
        <f t="shared" si="111"/>
        <v>.</v>
      </c>
      <c r="AZ70" s="93" t="str">
        <f t="shared" si="111"/>
        <v>.</v>
      </c>
      <c r="BA70" s="93" t="str">
        <f t="shared" si="111"/>
        <v>.</v>
      </c>
      <c r="BB70" s="93" t="str">
        <f t="shared" si="111"/>
        <v>.</v>
      </c>
      <c r="BC70" s="94" t="str">
        <f t="shared" si="99"/>
        <v>.</v>
      </c>
      <c r="BD70" s="94" t="str">
        <f>IF(AD70=".",".",s_RadSpec!$F$20*(BD20*$B70))</f>
        <v>.</v>
      </c>
      <c r="BE70" s="94" t="str">
        <f>IF(AE70=".",".",s_RadSpec!$F$20*(BE20*$B70))</f>
        <v>.</v>
      </c>
      <c r="BF70" s="94" t="str">
        <f>IF(AF70=".",".",s_RadSpec!$F$20*(BF20*$B70))</f>
        <v>.</v>
      </c>
      <c r="BG70" s="94" t="str">
        <f>IF(AG70=".",".",s_RadSpec!$F$20*(BG20*$B70))</f>
        <v>.</v>
      </c>
      <c r="BH70" s="94" t="str">
        <f>IF(AH70=".",".",s_RadSpec!$F$20*(BH20*$B70))</f>
        <v>.</v>
      </c>
      <c r="BI70" s="94" t="str">
        <f>IF(AI70=".",".",s_RadSpec!$F$20*(BI20*$B70))</f>
        <v>.</v>
      </c>
      <c r="BJ70" s="94" t="str">
        <f>IF(AJ70=".",".",s_RadSpec!$F$20*(BJ20*$B70))</f>
        <v>.</v>
      </c>
      <c r="BK70" s="94" t="str">
        <f>IF(AK70=".",".",s_RadSpec!$F$20*(BK20*$B70))</f>
        <v>.</v>
      </c>
      <c r="BL70" s="94" t="str">
        <f>IF(AL70=".",".",s_RadSpec!$F$20*(BL20*$B70))</f>
        <v>.</v>
      </c>
      <c r="BM70" s="94" t="str">
        <f>IF(AM70=".",".",s_RadSpec!$F$20*(BM20*$B70))</f>
        <v>.</v>
      </c>
      <c r="BN70" s="94" t="str">
        <f>IF(AN70=".",".",s_RadSpec!$F$20*(BN20*$B70))</f>
        <v>.</v>
      </c>
      <c r="BO70" s="94" t="str">
        <f>IF(AO70=".",".",s_RadSpec!$F$20*(BO20*$B70))</f>
        <v>.</v>
      </c>
      <c r="BP70" s="94" t="str">
        <f>IF(AP70=".",".",s_RadSpec!$F$20*(BP20*$B70))</f>
        <v>.</v>
      </c>
      <c r="BQ70" s="94" t="str">
        <f>IF(AQ70=".",".",s_RadSpec!$F$20*(BQ20*$B70))</f>
        <v>.</v>
      </c>
      <c r="BR70" s="94" t="str">
        <f>IF(AR70=".",".",s_RadSpec!$F$20*(BR20*$B70))</f>
        <v>.</v>
      </c>
      <c r="BS70" s="94" t="str">
        <f>IF(AS70=".",".",s_RadSpec!$F$20*(BS20*$B70))</f>
        <v>.</v>
      </c>
      <c r="BT70" s="94" t="str">
        <f>IF(AT70=".",".",s_RadSpec!$F$20*(BT20*$B70))</f>
        <v>.</v>
      </c>
      <c r="BU70" s="94" t="str">
        <f>IF(AU70=".",".",s_RadSpec!$F$20*(BU20*$B70))</f>
        <v>.</v>
      </c>
      <c r="BV70" s="94" t="str">
        <f>IF(AV70=".",".",s_RadSpec!$F$20*(BV20*$B70))</f>
        <v>.</v>
      </c>
      <c r="BW70" s="94" t="str">
        <f>IF(AW70=".",".",s_RadSpec!$F$20*(BW20*$B70))</f>
        <v>.</v>
      </c>
      <c r="BX70" s="94" t="str">
        <f>IF(AX70=".",".",s_RadSpec!$F$20*(BX20*$B70))</f>
        <v>.</v>
      </c>
      <c r="BY70" s="94" t="str">
        <f>IF(AY70=".",".",s_RadSpec!$F$20*(BY20*$B70))</f>
        <v>.</v>
      </c>
      <c r="BZ70" s="94" t="str">
        <f>IF(AZ70=".",".",s_RadSpec!$F$20*(BZ20*$B70))</f>
        <v>.</v>
      </c>
      <c r="CA70" s="94" t="str">
        <f>IF(BA70=".",".",s_RadSpec!$F$20*(CA20*$B70))</f>
        <v>.</v>
      </c>
      <c r="CB70" s="94" t="str">
        <f>IF(BB70=".",".",s_RadSpec!$F$20*(CB20*$B70))</f>
        <v>.</v>
      </c>
    </row>
    <row r="71" spans="1:80" x14ac:dyDescent="0.25">
      <c r="A71" s="92" t="s">
        <v>1078</v>
      </c>
      <c r="B71" s="84">
        <v>2.0999995799999999E-4</v>
      </c>
      <c r="C71" s="93" t="str">
        <f t="shared" ref="C71:AH71" si="112">IFERROR(C29/$B57,".")</f>
        <v>.</v>
      </c>
      <c r="D71" s="93" t="str">
        <f t="shared" si="112"/>
        <v>.</v>
      </c>
      <c r="E71" s="93" t="str">
        <f t="shared" si="112"/>
        <v>.</v>
      </c>
      <c r="F71" s="93" t="str">
        <f t="shared" si="112"/>
        <v>.</v>
      </c>
      <c r="G71" s="93" t="str">
        <f t="shared" si="112"/>
        <v>.</v>
      </c>
      <c r="H71" s="93" t="str">
        <f t="shared" si="112"/>
        <v>.</v>
      </c>
      <c r="I71" s="93" t="str">
        <f t="shared" si="112"/>
        <v>.</v>
      </c>
      <c r="J71" s="93" t="str">
        <f t="shared" si="112"/>
        <v>.</v>
      </c>
      <c r="K71" s="93" t="str">
        <f t="shared" si="112"/>
        <v>.</v>
      </c>
      <c r="L71" s="93" t="str">
        <f t="shared" si="112"/>
        <v>.</v>
      </c>
      <c r="M71" s="93" t="str">
        <f t="shared" si="112"/>
        <v>.</v>
      </c>
      <c r="N71" s="93" t="str">
        <f t="shared" si="112"/>
        <v>.</v>
      </c>
      <c r="O71" s="93" t="str">
        <f t="shared" si="112"/>
        <v>.</v>
      </c>
      <c r="P71" s="93" t="str">
        <f t="shared" si="112"/>
        <v>.</v>
      </c>
      <c r="Q71" s="93" t="str">
        <f t="shared" si="112"/>
        <v>.</v>
      </c>
      <c r="R71" s="93" t="str">
        <f t="shared" si="112"/>
        <v>.</v>
      </c>
      <c r="S71" s="93" t="str">
        <f t="shared" si="112"/>
        <v>.</v>
      </c>
      <c r="T71" s="93" t="str">
        <f t="shared" si="112"/>
        <v>.</v>
      </c>
      <c r="U71" s="93" t="str">
        <f t="shared" si="112"/>
        <v>.</v>
      </c>
      <c r="V71" s="93" t="str">
        <f t="shared" si="112"/>
        <v>.</v>
      </c>
      <c r="W71" s="93" t="str">
        <f t="shared" si="112"/>
        <v>.</v>
      </c>
      <c r="X71" s="93" t="str">
        <f t="shared" si="112"/>
        <v>.</v>
      </c>
      <c r="Y71" s="93" t="str">
        <f t="shared" si="112"/>
        <v>.</v>
      </c>
      <c r="Z71" s="93" t="str">
        <f t="shared" si="112"/>
        <v>.</v>
      </c>
      <c r="AA71" s="93" t="str">
        <f t="shared" si="112"/>
        <v>.</v>
      </c>
      <c r="AB71" s="93" t="str">
        <f t="shared" si="112"/>
        <v>.</v>
      </c>
      <c r="AC71" s="93" t="str">
        <f t="shared" si="112"/>
        <v>.</v>
      </c>
      <c r="AD71" s="93" t="str">
        <f t="shared" si="112"/>
        <v>.</v>
      </c>
      <c r="AE71" s="93" t="str">
        <f t="shared" si="112"/>
        <v>.</v>
      </c>
      <c r="AF71" s="93" t="str">
        <f t="shared" si="112"/>
        <v>.</v>
      </c>
      <c r="AG71" s="93" t="str">
        <f t="shared" si="112"/>
        <v>.</v>
      </c>
      <c r="AH71" s="93" t="str">
        <f t="shared" si="112"/>
        <v>.</v>
      </c>
      <c r="AI71" s="93" t="str">
        <f t="shared" ref="AI71:BB71" si="113">IFERROR(AI29/$B57,".")</f>
        <v>.</v>
      </c>
      <c r="AJ71" s="93" t="str">
        <f t="shared" si="113"/>
        <v>.</v>
      </c>
      <c r="AK71" s="93" t="str">
        <f t="shared" si="113"/>
        <v>.</v>
      </c>
      <c r="AL71" s="93" t="str">
        <f t="shared" si="113"/>
        <v>.</v>
      </c>
      <c r="AM71" s="93" t="str">
        <f t="shared" si="113"/>
        <v>.</v>
      </c>
      <c r="AN71" s="93" t="str">
        <f t="shared" si="113"/>
        <v>.</v>
      </c>
      <c r="AO71" s="93" t="str">
        <f t="shared" si="113"/>
        <v>.</v>
      </c>
      <c r="AP71" s="93" t="str">
        <f t="shared" si="113"/>
        <v>.</v>
      </c>
      <c r="AQ71" s="93" t="str">
        <f t="shared" si="113"/>
        <v>.</v>
      </c>
      <c r="AR71" s="93" t="str">
        <f t="shared" si="113"/>
        <v>.</v>
      </c>
      <c r="AS71" s="93" t="str">
        <f t="shared" si="113"/>
        <v>.</v>
      </c>
      <c r="AT71" s="93" t="str">
        <f t="shared" si="113"/>
        <v>.</v>
      </c>
      <c r="AU71" s="93" t="str">
        <f t="shared" si="113"/>
        <v>.</v>
      </c>
      <c r="AV71" s="93" t="str">
        <f t="shared" si="113"/>
        <v>.</v>
      </c>
      <c r="AW71" s="93" t="str">
        <f t="shared" si="113"/>
        <v>.</v>
      </c>
      <c r="AX71" s="93" t="str">
        <f t="shared" si="113"/>
        <v>.</v>
      </c>
      <c r="AY71" s="93" t="str">
        <f t="shared" si="113"/>
        <v>.</v>
      </c>
      <c r="AZ71" s="93" t="str">
        <f t="shared" si="113"/>
        <v>.</v>
      </c>
      <c r="BA71" s="93" t="str">
        <f t="shared" si="113"/>
        <v>.</v>
      </c>
      <c r="BB71" s="93" t="str">
        <f t="shared" si="113"/>
        <v>.</v>
      </c>
      <c r="BC71" s="94" t="str">
        <f t="shared" si="99"/>
        <v>.</v>
      </c>
      <c r="BD71" s="94" t="str">
        <f>IF(AD71=".",".",s_RadSpec!$F$29*(BD29*$B71))</f>
        <v>.</v>
      </c>
      <c r="BE71" s="94" t="str">
        <f>IF(AE71=".",".",s_RadSpec!$F$29*(BE29*$B71))</f>
        <v>.</v>
      </c>
      <c r="BF71" s="94" t="str">
        <f>IF(AF71=".",".",s_RadSpec!$F$29*(BF29*$B71))</f>
        <v>.</v>
      </c>
      <c r="BG71" s="94" t="str">
        <f>IF(AG71=".",".",s_RadSpec!$F$29*(BG29*$B71))</f>
        <v>.</v>
      </c>
      <c r="BH71" s="94" t="str">
        <f>IF(AH71=".",".",s_RadSpec!$F$29*(BH29*$B71))</f>
        <v>.</v>
      </c>
      <c r="BI71" s="94" t="str">
        <f>IF(AI71=".",".",s_RadSpec!$F$29*(BI29*$B71))</f>
        <v>.</v>
      </c>
      <c r="BJ71" s="94" t="str">
        <f>IF(AJ71=".",".",s_RadSpec!$F$29*(BJ29*$B71))</f>
        <v>.</v>
      </c>
      <c r="BK71" s="94" t="str">
        <f>IF(AK71=".",".",s_RadSpec!$F$29*(BK29*$B71))</f>
        <v>.</v>
      </c>
      <c r="BL71" s="94" t="str">
        <f>IF(AL71=".",".",s_RadSpec!$F$29*(BL29*$B71))</f>
        <v>.</v>
      </c>
      <c r="BM71" s="94" t="str">
        <f>IF(AM71=".",".",s_RadSpec!$F$29*(BM29*$B71))</f>
        <v>.</v>
      </c>
      <c r="BN71" s="94" t="str">
        <f>IF(AN71=".",".",s_RadSpec!$F$29*(BN29*$B71))</f>
        <v>.</v>
      </c>
      <c r="BO71" s="94" t="str">
        <f>IF(AO71=".",".",s_RadSpec!$F$29*(BO29*$B71))</f>
        <v>.</v>
      </c>
      <c r="BP71" s="94" t="str">
        <f>IF(AP71=".",".",s_RadSpec!$F$29*(BP29*$B71))</f>
        <v>.</v>
      </c>
      <c r="BQ71" s="94" t="str">
        <f>IF(AQ71=".",".",s_RadSpec!$F$29*(BQ29*$B71))</f>
        <v>.</v>
      </c>
      <c r="BR71" s="94" t="str">
        <f>IF(AR71=".",".",s_RadSpec!$F$29*(BR29*$B71))</f>
        <v>.</v>
      </c>
      <c r="BS71" s="94" t="str">
        <f>IF(AS71=".",".",s_RadSpec!$F$29*(BS29*$B71))</f>
        <v>.</v>
      </c>
      <c r="BT71" s="94" t="str">
        <f>IF(AT71=".",".",s_RadSpec!$F$29*(BT29*$B71))</f>
        <v>.</v>
      </c>
      <c r="BU71" s="94" t="str">
        <f>IF(AU71=".",".",s_RadSpec!$F$29*(BU29*$B71))</f>
        <v>.</v>
      </c>
      <c r="BV71" s="94" t="str">
        <f>IF(AV71=".",".",s_RadSpec!$F$29*(BV29*$B71))</f>
        <v>.</v>
      </c>
      <c r="BW71" s="94" t="str">
        <f>IF(AW71=".",".",s_RadSpec!$F$29*(BW29*$B71))</f>
        <v>.</v>
      </c>
      <c r="BX71" s="94" t="str">
        <f>IF(AX71=".",".",s_RadSpec!$F$29*(BX29*$B71))</f>
        <v>.</v>
      </c>
      <c r="BY71" s="94" t="str">
        <f>IF(AY71=".",".",s_RadSpec!$F$29*(BY29*$B71))</f>
        <v>.</v>
      </c>
      <c r="BZ71" s="94" t="str">
        <f>IF(AZ71=".",".",s_RadSpec!$F$29*(BZ29*$B71))</f>
        <v>.</v>
      </c>
      <c r="CA71" s="94" t="str">
        <f>IF(BA71=".",".",s_RadSpec!$F$29*(CA29*$B71))</f>
        <v>.</v>
      </c>
      <c r="CB71" s="94" t="str">
        <f>IF(BB71=".",".",s_RadSpec!$F$29*(CB29*$B71))</f>
        <v>.</v>
      </c>
    </row>
    <row r="72" spans="1:80" x14ac:dyDescent="0.25">
      <c r="A72" s="92" t="s">
        <v>1079</v>
      </c>
      <c r="B72" s="84">
        <v>1</v>
      </c>
      <c r="C72" s="93">
        <f t="shared" ref="C72:AH72" si="114">IFERROR(C16/$B58,".")</f>
        <v>0.21898417620342756</v>
      </c>
      <c r="D72" s="93">
        <f t="shared" si="114"/>
        <v>0.87593670481371022</v>
      </c>
      <c r="E72" s="93">
        <f t="shared" si="114"/>
        <v>0.87593670481371022</v>
      </c>
      <c r="F72" s="93">
        <f t="shared" si="114"/>
        <v>0.87593670481371022</v>
      </c>
      <c r="G72" s="93">
        <f t="shared" si="114"/>
        <v>0.87593670481371022</v>
      </c>
      <c r="H72" s="93">
        <f t="shared" si="114"/>
        <v>0.87593670481371022</v>
      </c>
      <c r="I72" s="93">
        <f t="shared" si="114"/>
        <v>0.87593670481371022</v>
      </c>
      <c r="J72" s="93">
        <f t="shared" si="114"/>
        <v>0.87593670481371022</v>
      </c>
      <c r="K72" s="93">
        <f t="shared" si="114"/>
        <v>0.87593670481371022</v>
      </c>
      <c r="L72" s="93">
        <f t="shared" si="114"/>
        <v>0.87593670481371022</v>
      </c>
      <c r="M72" s="93">
        <f t="shared" si="114"/>
        <v>0.87593670481371022</v>
      </c>
      <c r="N72" s="93">
        <f t="shared" si="114"/>
        <v>0.87593670481371022</v>
      </c>
      <c r="O72" s="93">
        <f t="shared" si="114"/>
        <v>0.87593670481371022</v>
      </c>
      <c r="P72" s="93">
        <f t="shared" si="114"/>
        <v>0.87593670481371022</v>
      </c>
      <c r="Q72" s="93">
        <f t="shared" si="114"/>
        <v>0.87593670481371022</v>
      </c>
      <c r="R72" s="93">
        <f t="shared" si="114"/>
        <v>0.87593670481371022</v>
      </c>
      <c r="S72" s="93">
        <f t="shared" si="114"/>
        <v>0.87593670481371022</v>
      </c>
      <c r="T72" s="93">
        <f t="shared" si="114"/>
        <v>0.87593670481371022</v>
      </c>
      <c r="U72" s="93">
        <f t="shared" si="114"/>
        <v>0.87593670481371022</v>
      </c>
      <c r="V72" s="93">
        <f t="shared" si="114"/>
        <v>0.87593670481371022</v>
      </c>
      <c r="W72" s="93">
        <f t="shared" si="114"/>
        <v>0.87593670481371022</v>
      </c>
      <c r="X72" s="93">
        <f t="shared" si="114"/>
        <v>0.87593670481371022</v>
      </c>
      <c r="Y72" s="93">
        <f t="shared" si="114"/>
        <v>0.87593670481371022</v>
      </c>
      <c r="Z72" s="93">
        <f t="shared" si="114"/>
        <v>0.87593670481371022</v>
      </c>
      <c r="AA72" s="93">
        <f t="shared" si="114"/>
        <v>0.87593670481371022</v>
      </c>
      <c r="AB72" s="93">
        <f t="shared" si="114"/>
        <v>0.87593670481371022</v>
      </c>
      <c r="AC72" s="93">
        <f t="shared" si="114"/>
        <v>0.21898417620342756</v>
      </c>
      <c r="AD72" s="93">
        <f t="shared" si="114"/>
        <v>0.87593670481371022</v>
      </c>
      <c r="AE72" s="93">
        <f t="shared" si="114"/>
        <v>0.87593670481371022</v>
      </c>
      <c r="AF72" s="93">
        <f t="shared" si="114"/>
        <v>0.87593670481371022</v>
      </c>
      <c r="AG72" s="93">
        <f t="shared" si="114"/>
        <v>0.87593670481371022</v>
      </c>
      <c r="AH72" s="93">
        <f t="shared" si="114"/>
        <v>0.87593670481371022</v>
      </c>
      <c r="AI72" s="93">
        <f t="shared" ref="AI72:BB72" si="115">IFERROR(AI16/$B58,".")</f>
        <v>0.87593670481371022</v>
      </c>
      <c r="AJ72" s="93">
        <f t="shared" si="115"/>
        <v>0.87593670481371022</v>
      </c>
      <c r="AK72" s="93">
        <f t="shared" si="115"/>
        <v>0.87593670481371022</v>
      </c>
      <c r="AL72" s="93">
        <f t="shared" si="115"/>
        <v>0.87593670481371022</v>
      </c>
      <c r="AM72" s="93">
        <f t="shared" si="115"/>
        <v>0.87593670481371022</v>
      </c>
      <c r="AN72" s="93">
        <f t="shared" si="115"/>
        <v>0.87593670481371022</v>
      </c>
      <c r="AO72" s="93">
        <f t="shared" si="115"/>
        <v>0.87593670481371022</v>
      </c>
      <c r="AP72" s="93">
        <f t="shared" si="115"/>
        <v>0.87593670481371022</v>
      </c>
      <c r="AQ72" s="93">
        <f t="shared" si="115"/>
        <v>0.87593670481371022</v>
      </c>
      <c r="AR72" s="93">
        <f t="shared" si="115"/>
        <v>0.87593670481371022</v>
      </c>
      <c r="AS72" s="93">
        <f t="shared" si="115"/>
        <v>0.87593670481371022</v>
      </c>
      <c r="AT72" s="93">
        <f t="shared" si="115"/>
        <v>0.87593670481371022</v>
      </c>
      <c r="AU72" s="93">
        <f t="shared" si="115"/>
        <v>0.87593670481371022</v>
      </c>
      <c r="AV72" s="93">
        <f t="shared" si="115"/>
        <v>0.87593670481371022</v>
      </c>
      <c r="AW72" s="93">
        <f t="shared" si="115"/>
        <v>0.87593670481371022</v>
      </c>
      <c r="AX72" s="93">
        <f t="shared" si="115"/>
        <v>0.87593670481371022</v>
      </c>
      <c r="AY72" s="93">
        <f t="shared" si="115"/>
        <v>0.87593670481371022</v>
      </c>
      <c r="AZ72" s="93">
        <f t="shared" si="115"/>
        <v>0.87593670481371022</v>
      </c>
      <c r="BA72" s="93">
        <f t="shared" si="115"/>
        <v>0.87593670481371022</v>
      </c>
      <c r="BB72" s="93">
        <f t="shared" si="115"/>
        <v>0.87593670481371022</v>
      </c>
      <c r="BC72" s="94">
        <f t="shared" si="99"/>
        <v>114.1635</v>
      </c>
      <c r="BD72" s="94">
        <f>IF(AD72=".",".",s_RadSpec!$F$16*(BD16*$B72))</f>
        <v>28.540875</v>
      </c>
      <c r="BE72" s="94">
        <f>IF(AE72=".",".",s_RadSpec!$F$16*(BE16*$B72))</f>
        <v>28.540875</v>
      </c>
      <c r="BF72" s="94">
        <f>IF(AF72=".",".",s_RadSpec!$F$16*(BF16*$B72))</f>
        <v>28.540875</v>
      </c>
      <c r="BG72" s="94">
        <f>IF(AG72=".",".",s_RadSpec!$F$16*(BG16*$B72))</f>
        <v>28.540875</v>
      </c>
      <c r="BH72" s="94">
        <f>IF(AH72=".",".",s_RadSpec!$F$16*(BH16*$B72))</f>
        <v>28.540875</v>
      </c>
      <c r="BI72" s="94">
        <f>IF(AI72=".",".",s_RadSpec!$F$16*(BI16*$B72))</f>
        <v>28.540875</v>
      </c>
      <c r="BJ72" s="94">
        <f>IF(AJ72=".",".",s_RadSpec!$F$16*(BJ16*$B72))</f>
        <v>28.540875</v>
      </c>
      <c r="BK72" s="94">
        <f>IF(AK72=".",".",s_RadSpec!$F$16*(BK16*$B72))</f>
        <v>28.540875</v>
      </c>
      <c r="BL72" s="94">
        <f>IF(AL72=".",".",s_RadSpec!$F$16*(BL16*$B72))</f>
        <v>28.540875</v>
      </c>
      <c r="BM72" s="94">
        <f>IF(AM72=".",".",s_RadSpec!$F$16*(BM16*$B72))</f>
        <v>28.540875</v>
      </c>
      <c r="BN72" s="94">
        <f>IF(AN72=".",".",s_RadSpec!$F$16*(BN16*$B72))</f>
        <v>28.540875</v>
      </c>
      <c r="BO72" s="94">
        <f>IF(AO72=".",".",s_RadSpec!$F$16*(BO16*$B72))</f>
        <v>28.540875</v>
      </c>
      <c r="BP72" s="94">
        <f>IF(AP72=".",".",s_RadSpec!$F$16*(BP16*$B72))</f>
        <v>28.540875</v>
      </c>
      <c r="BQ72" s="94">
        <f>IF(AQ72=".",".",s_RadSpec!$F$16*(BQ16*$B72))</f>
        <v>28.540875</v>
      </c>
      <c r="BR72" s="94">
        <f>IF(AR72=".",".",s_RadSpec!$F$16*(BR16*$B72))</f>
        <v>28.540875</v>
      </c>
      <c r="BS72" s="94">
        <f>IF(AS72=".",".",s_RadSpec!$F$16*(BS16*$B72))</f>
        <v>28.540875</v>
      </c>
      <c r="BT72" s="94">
        <f>IF(AT72=".",".",s_RadSpec!$F$16*(BT16*$B72))</f>
        <v>28.540875</v>
      </c>
      <c r="BU72" s="94">
        <f>IF(AU72=".",".",s_RadSpec!$F$16*(BU16*$B72))</f>
        <v>28.540875</v>
      </c>
      <c r="BV72" s="94">
        <f>IF(AV72=".",".",s_RadSpec!$F$16*(BV16*$B72))</f>
        <v>28.540875</v>
      </c>
      <c r="BW72" s="94">
        <f>IF(AW72=".",".",s_RadSpec!$F$16*(BW16*$B72))</f>
        <v>28.540875</v>
      </c>
      <c r="BX72" s="94">
        <f>IF(AX72=".",".",s_RadSpec!$F$16*(BX16*$B72))</f>
        <v>28.540875</v>
      </c>
      <c r="BY72" s="94">
        <f>IF(AY72=".",".",s_RadSpec!$F$16*(BY16*$B72))</f>
        <v>28.540875</v>
      </c>
      <c r="BZ72" s="94">
        <f>IF(AZ72=".",".",s_RadSpec!$F$16*(BZ16*$B72))</f>
        <v>28.540875</v>
      </c>
      <c r="CA72" s="94">
        <f>IF(BA72=".",".",s_RadSpec!$F$16*(CA16*$B72))</f>
        <v>28.540875</v>
      </c>
      <c r="CB72" s="94">
        <f>IF(BB72=".",".",s_RadSpec!$F$16*(CB16*$B72))</f>
        <v>28.540875</v>
      </c>
    </row>
    <row r="73" spans="1:80" x14ac:dyDescent="0.25">
      <c r="A73" s="92" t="s">
        <v>1080</v>
      </c>
      <c r="B73" s="84">
        <v>1</v>
      </c>
      <c r="C73" s="93">
        <f t="shared" ref="C73:AH73" si="116">IFERROR(C7/$B59,".")</f>
        <v>124.09103318194229</v>
      </c>
      <c r="D73" s="93">
        <f t="shared" si="116"/>
        <v>496.36413272776917</v>
      </c>
      <c r="E73" s="93">
        <f t="shared" si="116"/>
        <v>496.36413272776917</v>
      </c>
      <c r="F73" s="93">
        <f t="shared" si="116"/>
        <v>496.36413272776917</v>
      </c>
      <c r="G73" s="93">
        <f t="shared" si="116"/>
        <v>496.36413272776917</v>
      </c>
      <c r="H73" s="93">
        <f t="shared" si="116"/>
        <v>496.36413272776917</v>
      </c>
      <c r="I73" s="93">
        <f t="shared" si="116"/>
        <v>496.36413272776917</v>
      </c>
      <c r="J73" s="93">
        <f t="shared" si="116"/>
        <v>496.36413272776917</v>
      </c>
      <c r="K73" s="93">
        <f t="shared" si="116"/>
        <v>496.36413272776917</v>
      </c>
      <c r="L73" s="93">
        <f t="shared" si="116"/>
        <v>496.36413272776917</v>
      </c>
      <c r="M73" s="93">
        <f t="shared" si="116"/>
        <v>496.36413272776917</v>
      </c>
      <c r="N73" s="93">
        <f t="shared" si="116"/>
        <v>496.36413272776917</v>
      </c>
      <c r="O73" s="93">
        <f t="shared" si="116"/>
        <v>496.36413272776917</v>
      </c>
      <c r="P73" s="93">
        <f t="shared" si="116"/>
        <v>496.36413272776917</v>
      </c>
      <c r="Q73" s="93">
        <f t="shared" si="116"/>
        <v>496.36413272776917</v>
      </c>
      <c r="R73" s="93">
        <f t="shared" si="116"/>
        <v>496.36413272776917</v>
      </c>
      <c r="S73" s="93">
        <f t="shared" si="116"/>
        <v>496.36413272776917</v>
      </c>
      <c r="T73" s="93">
        <f t="shared" si="116"/>
        <v>496.36413272776917</v>
      </c>
      <c r="U73" s="93">
        <f t="shared" si="116"/>
        <v>496.36413272776917</v>
      </c>
      <c r="V73" s="93">
        <f t="shared" si="116"/>
        <v>496.36413272776917</v>
      </c>
      <c r="W73" s="93">
        <f t="shared" si="116"/>
        <v>496.36413272776917</v>
      </c>
      <c r="X73" s="93">
        <f t="shared" si="116"/>
        <v>496.36413272776917</v>
      </c>
      <c r="Y73" s="93">
        <f t="shared" si="116"/>
        <v>496.36413272776917</v>
      </c>
      <c r="Z73" s="93">
        <f t="shared" si="116"/>
        <v>496.36413272776917</v>
      </c>
      <c r="AA73" s="93">
        <f t="shared" si="116"/>
        <v>496.36413272776917</v>
      </c>
      <c r="AB73" s="93">
        <f t="shared" si="116"/>
        <v>496.36413272776917</v>
      </c>
      <c r="AC73" s="93">
        <f t="shared" si="116"/>
        <v>124.09103318194229</v>
      </c>
      <c r="AD73" s="93">
        <f t="shared" si="116"/>
        <v>496.36413272776917</v>
      </c>
      <c r="AE73" s="93">
        <f t="shared" si="116"/>
        <v>496.36413272776917</v>
      </c>
      <c r="AF73" s="93">
        <f t="shared" si="116"/>
        <v>496.36413272776917</v>
      </c>
      <c r="AG73" s="93">
        <f t="shared" si="116"/>
        <v>496.36413272776917</v>
      </c>
      <c r="AH73" s="93">
        <f t="shared" si="116"/>
        <v>496.36413272776917</v>
      </c>
      <c r="AI73" s="93">
        <f t="shared" ref="AI73:BB73" si="117">IFERROR(AI7/$B59,".")</f>
        <v>496.36413272776917</v>
      </c>
      <c r="AJ73" s="93">
        <f t="shared" si="117"/>
        <v>496.36413272776917</v>
      </c>
      <c r="AK73" s="93">
        <f t="shared" si="117"/>
        <v>496.36413272776917</v>
      </c>
      <c r="AL73" s="93">
        <f t="shared" si="117"/>
        <v>496.36413272776917</v>
      </c>
      <c r="AM73" s="93">
        <f t="shared" si="117"/>
        <v>496.36413272776917</v>
      </c>
      <c r="AN73" s="93">
        <f t="shared" si="117"/>
        <v>496.36413272776917</v>
      </c>
      <c r="AO73" s="93">
        <f t="shared" si="117"/>
        <v>496.36413272776917</v>
      </c>
      <c r="AP73" s="93">
        <f t="shared" si="117"/>
        <v>496.36413272776917</v>
      </c>
      <c r="AQ73" s="93">
        <f t="shared" si="117"/>
        <v>496.36413272776917</v>
      </c>
      <c r="AR73" s="93">
        <f t="shared" si="117"/>
        <v>496.36413272776917</v>
      </c>
      <c r="AS73" s="93">
        <f t="shared" si="117"/>
        <v>496.36413272776917</v>
      </c>
      <c r="AT73" s="93">
        <f t="shared" si="117"/>
        <v>496.36413272776917</v>
      </c>
      <c r="AU73" s="93">
        <f t="shared" si="117"/>
        <v>496.36413272776917</v>
      </c>
      <c r="AV73" s="93">
        <f t="shared" si="117"/>
        <v>496.36413272776917</v>
      </c>
      <c r="AW73" s="93">
        <f t="shared" si="117"/>
        <v>496.36413272776917</v>
      </c>
      <c r="AX73" s="93">
        <f t="shared" si="117"/>
        <v>496.36413272776917</v>
      </c>
      <c r="AY73" s="93">
        <f t="shared" si="117"/>
        <v>496.36413272776917</v>
      </c>
      <c r="AZ73" s="93">
        <f t="shared" si="117"/>
        <v>496.36413272776917</v>
      </c>
      <c r="BA73" s="93">
        <f t="shared" si="117"/>
        <v>496.36413272776917</v>
      </c>
      <c r="BB73" s="93">
        <f t="shared" si="117"/>
        <v>496.36413272776917</v>
      </c>
      <c r="BC73" s="94">
        <f t="shared" si="99"/>
        <v>0.20146500000000001</v>
      </c>
      <c r="BD73" s="94">
        <f>IF(AD73=".",".",s_RadSpec!$F$7*(BD7*$B73))</f>
        <v>5.0366250000000001E-2</v>
      </c>
      <c r="BE73" s="94">
        <f>IF(AE73=".",".",s_RadSpec!$F$7*(BE7*$B73))</f>
        <v>5.0366250000000001E-2</v>
      </c>
      <c r="BF73" s="94">
        <f>IF(AF73=".",".",s_RadSpec!$F$7*(BF7*$B73))</f>
        <v>5.0366250000000001E-2</v>
      </c>
      <c r="BG73" s="94">
        <f>IF(AG73=".",".",s_RadSpec!$F$7*(BG7*$B73))</f>
        <v>5.0366250000000001E-2</v>
      </c>
      <c r="BH73" s="94">
        <f>IF(AH73=".",".",s_RadSpec!$F$7*(BH7*$B73))</f>
        <v>5.0366250000000001E-2</v>
      </c>
      <c r="BI73" s="94">
        <f>IF(AI73=".",".",s_RadSpec!$F$7*(BI7*$B73))</f>
        <v>5.0366250000000001E-2</v>
      </c>
      <c r="BJ73" s="94">
        <f>IF(AJ73=".",".",s_RadSpec!$F$7*(BJ7*$B73))</f>
        <v>5.0366250000000001E-2</v>
      </c>
      <c r="BK73" s="94">
        <f>IF(AK73=".",".",s_RadSpec!$F$7*(BK7*$B73))</f>
        <v>5.0366250000000001E-2</v>
      </c>
      <c r="BL73" s="94">
        <f>IF(AL73=".",".",s_RadSpec!$F$7*(BL7*$B73))</f>
        <v>5.0366250000000001E-2</v>
      </c>
      <c r="BM73" s="94">
        <f>IF(AM73=".",".",s_RadSpec!$F$7*(BM7*$B73))</f>
        <v>5.0366250000000001E-2</v>
      </c>
      <c r="BN73" s="94">
        <f>IF(AN73=".",".",s_RadSpec!$F$7*(BN7*$B73))</f>
        <v>5.0366250000000001E-2</v>
      </c>
      <c r="BO73" s="94">
        <f>IF(AO73=".",".",s_RadSpec!$F$7*(BO7*$B73))</f>
        <v>5.0366250000000001E-2</v>
      </c>
      <c r="BP73" s="94">
        <f>IF(AP73=".",".",s_RadSpec!$F$7*(BP7*$B73))</f>
        <v>5.0366250000000001E-2</v>
      </c>
      <c r="BQ73" s="94">
        <f>IF(AQ73=".",".",s_RadSpec!$F$7*(BQ7*$B73))</f>
        <v>5.0366250000000001E-2</v>
      </c>
      <c r="BR73" s="94">
        <f>IF(AR73=".",".",s_RadSpec!$F$7*(BR7*$B73))</f>
        <v>5.0366250000000001E-2</v>
      </c>
      <c r="BS73" s="94">
        <f>IF(AS73=".",".",s_RadSpec!$F$7*(BS7*$B73))</f>
        <v>5.0366250000000001E-2</v>
      </c>
      <c r="BT73" s="94">
        <f>IF(AT73=".",".",s_RadSpec!$F$7*(BT7*$B73))</f>
        <v>5.0366250000000001E-2</v>
      </c>
      <c r="BU73" s="94">
        <f>IF(AU73=".",".",s_RadSpec!$F$7*(BU7*$B73))</f>
        <v>5.0366250000000001E-2</v>
      </c>
      <c r="BV73" s="94">
        <f>IF(AV73=".",".",s_RadSpec!$F$7*(BV7*$B73))</f>
        <v>5.0366250000000001E-2</v>
      </c>
      <c r="BW73" s="94">
        <f>IF(AW73=".",".",s_RadSpec!$F$7*(BW7*$B73))</f>
        <v>5.0366250000000001E-2</v>
      </c>
      <c r="BX73" s="94">
        <f>IF(AX73=".",".",s_RadSpec!$F$7*(BX7*$B73))</f>
        <v>5.0366250000000001E-2</v>
      </c>
      <c r="BY73" s="94">
        <f>IF(AY73=".",".",s_RadSpec!$F$7*(BY7*$B73))</f>
        <v>5.0366250000000001E-2</v>
      </c>
      <c r="BZ73" s="94">
        <f>IF(AZ73=".",".",s_RadSpec!$F$7*(BZ7*$B73))</f>
        <v>5.0366250000000001E-2</v>
      </c>
      <c r="CA73" s="94">
        <f>IF(BA73=".",".",s_RadSpec!$F$7*(CA7*$B73))</f>
        <v>5.0366250000000001E-2</v>
      </c>
      <c r="CB73" s="94">
        <f>IF(BB73=".",".",s_RadSpec!$F$7*(CB7*$B73))</f>
        <v>5.0366250000000001E-2</v>
      </c>
    </row>
    <row r="74" spans="1:80" x14ac:dyDescent="0.25">
      <c r="A74" s="92" t="s">
        <v>1081</v>
      </c>
      <c r="B74" s="97">
        <v>1.9000000000000001E-8</v>
      </c>
      <c r="C74" s="93" t="str">
        <f t="shared" ref="C74:AH74" si="118">IFERROR(C12/$B60,".")</f>
        <v>.</v>
      </c>
      <c r="D74" s="93" t="str">
        <f t="shared" si="118"/>
        <v>.</v>
      </c>
      <c r="E74" s="93" t="str">
        <f t="shared" si="118"/>
        <v>.</v>
      </c>
      <c r="F74" s="93" t="str">
        <f t="shared" si="118"/>
        <v>.</v>
      </c>
      <c r="G74" s="93" t="str">
        <f t="shared" si="118"/>
        <v>.</v>
      </c>
      <c r="H74" s="93" t="str">
        <f t="shared" si="118"/>
        <v>.</v>
      </c>
      <c r="I74" s="93" t="str">
        <f t="shared" si="118"/>
        <v>.</v>
      </c>
      <c r="J74" s="93" t="str">
        <f t="shared" si="118"/>
        <v>.</v>
      </c>
      <c r="K74" s="93" t="str">
        <f t="shared" si="118"/>
        <v>.</v>
      </c>
      <c r="L74" s="93" t="str">
        <f t="shared" si="118"/>
        <v>.</v>
      </c>
      <c r="M74" s="93" t="str">
        <f t="shared" si="118"/>
        <v>.</v>
      </c>
      <c r="N74" s="93" t="str">
        <f t="shared" si="118"/>
        <v>.</v>
      </c>
      <c r="O74" s="93" t="str">
        <f t="shared" si="118"/>
        <v>.</v>
      </c>
      <c r="P74" s="93" t="str">
        <f t="shared" si="118"/>
        <v>.</v>
      </c>
      <c r="Q74" s="93" t="str">
        <f t="shared" si="118"/>
        <v>.</v>
      </c>
      <c r="R74" s="93" t="str">
        <f t="shared" si="118"/>
        <v>.</v>
      </c>
      <c r="S74" s="93" t="str">
        <f t="shared" si="118"/>
        <v>.</v>
      </c>
      <c r="T74" s="93" t="str">
        <f t="shared" si="118"/>
        <v>.</v>
      </c>
      <c r="U74" s="93" t="str">
        <f t="shared" si="118"/>
        <v>.</v>
      </c>
      <c r="V74" s="93" t="str">
        <f t="shared" si="118"/>
        <v>.</v>
      </c>
      <c r="W74" s="93" t="str">
        <f t="shared" si="118"/>
        <v>.</v>
      </c>
      <c r="X74" s="93" t="str">
        <f t="shared" si="118"/>
        <v>.</v>
      </c>
      <c r="Y74" s="93" t="str">
        <f t="shared" si="118"/>
        <v>.</v>
      </c>
      <c r="Z74" s="93" t="str">
        <f t="shared" si="118"/>
        <v>.</v>
      </c>
      <c r="AA74" s="93" t="str">
        <f t="shared" si="118"/>
        <v>.</v>
      </c>
      <c r="AB74" s="93" t="str">
        <f t="shared" si="118"/>
        <v>.</v>
      </c>
      <c r="AC74" s="93" t="str">
        <f t="shared" si="118"/>
        <v>.</v>
      </c>
      <c r="AD74" s="93" t="str">
        <f t="shared" si="118"/>
        <v>.</v>
      </c>
      <c r="AE74" s="93" t="str">
        <f t="shared" si="118"/>
        <v>.</v>
      </c>
      <c r="AF74" s="93" t="str">
        <f t="shared" si="118"/>
        <v>.</v>
      </c>
      <c r="AG74" s="93" t="str">
        <f t="shared" si="118"/>
        <v>.</v>
      </c>
      <c r="AH74" s="93" t="str">
        <f t="shared" si="118"/>
        <v>.</v>
      </c>
      <c r="AI74" s="93" t="str">
        <f t="shared" ref="AI74:BB74" si="119">IFERROR(AI12/$B60,".")</f>
        <v>.</v>
      </c>
      <c r="AJ74" s="93" t="str">
        <f t="shared" si="119"/>
        <v>.</v>
      </c>
      <c r="AK74" s="93" t="str">
        <f t="shared" si="119"/>
        <v>.</v>
      </c>
      <c r="AL74" s="93" t="str">
        <f t="shared" si="119"/>
        <v>.</v>
      </c>
      <c r="AM74" s="93" t="str">
        <f t="shared" si="119"/>
        <v>.</v>
      </c>
      <c r="AN74" s="93" t="str">
        <f t="shared" si="119"/>
        <v>.</v>
      </c>
      <c r="AO74" s="93" t="str">
        <f t="shared" si="119"/>
        <v>.</v>
      </c>
      <c r="AP74" s="93" t="str">
        <f t="shared" si="119"/>
        <v>.</v>
      </c>
      <c r="AQ74" s="93" t="str">
        <f t="shared" si="119"/>
        <v>.</v>
      </c>
      <c r="AR74" s="93" t="str">
        <f t="shared" si="119"/>
        <v>.</v>
      </c>
      <c r="AS74" s="93" t="str">
        <f t="shared" si="119"/>
        <v>.</v>
      </c>
      <c r="AT74" s="93" t="str">
        <f t="shared" si="119"/>
        <v>.</v>
      </c>
      <c r="AU74" s="93" t="str">
        <f t="shared" si="119"/>
        <v>.</v>
      </c>
      <c r="AV74" s="93" t="str">
        <f t="shared" si="119"/>
        <v>.</v>
      </c>
      <c r="AW74" s="93" t="str">
        <f t="shared" si="119"/>
        <v>.</v>
      </c>
      <c r="AX74" s="93" t="str">
        <f t="shared" si="119"/>
        <v>.</v>
      </c>
      <c r="AY74" s="93" t="str">
        <f t="shared" si="119"/>
        <v>.</v>
      </c>
      <c r="AZ74" s="93" t="str">
        <f t="shared" si="119"/>
        <v>.</v>
      </c>
      <c r="BA74" s="93" t="str">
        <f t="shared" si="119"/>
        <v>.</v>
      </c>
      <c r="BB74" s="93" t="str">
        <f t="shared" si="119"/>
        <v>.</v>
      </c>
      <c r="BC74" s="94" t="str">
        <f t="shared" si="99"/>
        <v>.</v>
      </c>
      <c r="BD74" s="94" t="str">
        <f>IF(AD74=".",".",s_RadSpec!$F$12*(BD12*$B74))</f>
        <v>.</v>
      </c>
      <c r="BE74" s="94" t="str">
        <f>IF(AE74=".",".",s_RadSpec!$F$12*(BE12*$B74))</f>
        <v>.</v>
      </c>
      <c r="BF74" s="94" t="str">
        <f>IF(AF74=".",".",s_RadSpec!$F$12*(BF12*$B74))</f>
        <v>.</v>
      </c>
      <c r="BG74" s="94" t="str">
        <f>IF(AG74=".",".",s_RadSpec!$F$12*(BG12*$B74))</f>
        <v>.</v>
      </c>
      <c r="BH74" s="94" t="str">
        <f>IF(AH74=".",".",s_RadSpec!$F$12*(BH12*$B74))</f>
        <v>.</v>
      </c>
      <c r="BI74" s="94" t="str">
        <f>IF(AI74=".",".",s_RadSpec!$F$12*(BI12*$B74))</f>
        <v>.</v>
      </c>
      <c r="BJ74" s="94" t="str">
        <f>IF(AJ74=".",".",s_RadSpec!$F$12*(BJ12*$B74))</f>
        <v>.</v>
      </c>
      <c r="BK74" s="94" t="str">
        <f>IF(AK74=".",".",s_RadSpec!$F$12*(BK12*$B74))</f>
        <v>.</v>
      </c>
      <c r="BL74" s="94" t="str">
        <f>IF(AL74=".",".",s_RadSpec!$F$12*(BL12*$B74))</f>
        <v>.</v>
      </c>
      <c r="BM74" s="94" t="str">
        <f>IF(AM74=".",".",s_RadSpec!$F$12*(BM12*$B74))</f>
        <v>.</v>
      </c>
      <c r="BN74" s="94" t="str">
        <f>IF(AN74=".",".",s_RadSpec!$F$12*(BN12*$B74))</f>
        <v>.</v>
      </c>
      <c r="BO74" s="94" t="str">
        <f>IF(AO74=".",".",s_RadSpec!$F$12*(BO12*$B74))</f>
        <v>.</v>
      </c>
      <c r="BP74" s="94" t="str">
        <f>IF(AP74=".",".",s_RadSpec!$F$12*(BP12*$B74))</f>
        <v>.</v>
      </c>
      <c r="BQ74" s="94" t="str">
        <f>IF(AQ74=".",".",s_RadSpec!$F$12*(BQ12*$B74))</f>
        <v>.</v>
      </c>
      <c r="BR74" s="94" t="str">
        <f>IF(AR74=".",".",s_RadSpec!$F$12*(BR12*$B74))</f>
        <v>.</v>
      </c>
      <c r="BS74" s="94" t="str">
        <f>IF(AS74=".",".",s_RadSpec!$F$12*(BS12*$B74))</f>
        <v>.</v>
      </c>
      <c r="BT74" s="94" t="str">
        <f>IF(AT74=".",".",s_RadSpec!$F$12*(BT12*$B74))</f>
        <v>.</v>
      </c>
      <c r="BU74" s="94" t="str">
        <f>IF(AU74=".",".",s_RadSpec!$F$12*(BU12*$B74))</f>
        <v>.</v>
      </c>
      <c r="BV74" s="94" t="str">
        <f>IF(AV74=".",".",s_RadSpec!$F$12*(BV12*$B74))</f>
        <v>.</v>
      </c>
      <c r="BW74" s="94" t="str">
        <f>IF(AW74=".",".",s_RadSpec!$F$12*(BW12*$B74))</f>
        <v>.</v>
      </c>
      <c r="BX74" s="94" t="str">
        <f>IF(AX74=".",".",s_RadSpec!$F$12*(BX12*$B74))</f>
        <v>.</v>
      </c>
      <c r="BY74" s="94" t="str">
        <f>IF(AY74=".",".",s_RadSpec!$F$12*(BY12*$B74))</f>
        <v>.</v>
      </c>
      <c r="BZ74" s="94" t="str">
        <f>IF(AZ74=".",".",s_RadSpec!$F$12*(BZ12*$B74))</f>
        <v>.</v>
      </c>
      <c r="CA74" s="94" t="str">
        <f>IF(BA74=".",".",s_RadSpec!$F$12*(CA12*$B74))</f>
        <v>.</v>
      </c>
      <c r="CB74" s="94" t="str">
        <f>IF(BB74=".",".",s_RadSpec!$F$12*(CB12*$B74))</f>
        <v>.</v>
      </c>
    </row>
    <row r="75" spans="1:80" x14ac:dyDescent="0.25">
      <c r="A75" s="92" t="s">
        <v>1082</v>
      </c>
      <c r="B75" s="84">
        <v>1</v>
      </c>
      <c r="C75" s="93">
        <f t="shared" ref="C75:AH75" si="120">IFERROR(C18/$B61,".")</f>
        <v>0.12763649127285492</v>
      </c>
      <c r="D75" s="93">
        <f t="shared" si="120"/>
        <v>0.5105459650914197</v>
      </c>
      <c r="E75" s="93">
        <f t="shared" si="120"/>
        <v>0.5105459650914197</v>
      </c>
      <c r="F75" s="93">
        <f t="shared" si="120"/>
        <v>0.5105459650914197</v>
      </c>
      <c r="G75" s="93">
        <f t="shared" si="120"/>
        <v>0.5105459650914197</v>
      </c>
      <c r="H75" s="93">
        <f t="shared" si="120"/>
        <v>0.5105459650914197</v>
      </c>
      <c r="I75" s="93">
        <f t="shared" si="120"/>
        <v>0.5105459650914197</v>
      </c>
      <c r="J75" s="93">
        <f t="shared" si="120"/>
        <v>0.5105459650914197</v>
      </c>
      <c r="K75" s="93">
        <f t="shared" si="120"/>
        <v>0.5105459650914197</v>
      </c>
      <c r="L75" s="93">
        <f t="shared" si="120"/>
        <v>0.5105459650914197</v>
      </c>
      <c r="M75" s="93">
        <f t="shared" si="120"/>
        <v>0.5105459650914197</v>
      </c>
      <c r="N75" s="93">
        <f t="shared" si="120"/>
        <v>0.5105459650914197</v>
      </c>
      <c r="O75" s="93">
        <f t="shared" si="120"/>
        <v>0.5105459650914197</v>
      </c>
      <c r="P75" s="93">
        <f t="shared" si="120"/>
        <v>0.5105459650914197</v>
      </c>
      <c r="Q75" s="93">
        <f t="shared" si="120"/>
        <v>0.5105459650914197</v>
      </c>
      <c r="R75" s="93">
        <f t="shared" si="120"/>
        <v>0.5105459650914197</v>
      </c>
      <c r="S75" s="93">
        <f t="shared" si="120"/>
        <v>0.5105459650914197</v>
      </c>
      <c r="T75" s="93">
        <f t="shared" si="120"/>
        <v>0.5105459650914197</v>
      </c>
      <c r="U75" s="93">
        <f t="shared" si="120"/>
        <v>0.5105459650914197</v>
      </c>
      <c r="V75" s="93">
        <f t="shared" si="120"/>
        <v>0.5105459650914197</v>
      </c>
      <c r="W75" s="93">
        <f t="shared" si="120"/>
        <v>0.5105459650914197</v>
      </c>
      <c r="X75" s="93">
        <f t="shared" si="120"/>
        <v>0.5105459650914197</v>
      </c>
      <c r="Y75" s="93">
        <f t="shared" si="120"/>
        <v>0.5105459650914197</v>
      </c>
      <c r="Z75" s="93">
        <f t="shared" si="120"/>
        <v>0.5105459650914197</v>
      </c>
      <c r="AA75" s="93">
        <f t="shared" si="120"/>
        <v>0.5105459650914197</v>
      </c>
      <c r="AB75" s="93">
        <f t="shared" si="120"/>
        <v>0.5105459650914197</v>
      </c>
      <c r="AC75" s="93">
        <f t="shared" si="120"/>
        <v>0.12763649127285492</v>
      </c>
      <c r="AD75" s="93">
        <f t="shared" si="120"/>
        <v>0.5105459650914197</v>
      </c>
      <c r="AE75" s="93">
        <f t="shared" si="120"/>
        <v>0.5105459650914197</v>
      </c>
      <c r="AF75" s="93">
        <f t="shared" si="120"/>
        <v>0.5105459650914197</v>
      </c>
      <c r="AG75" s="93">
        <f t="shared" si="120"/>
        <v>0.5105459650914197</v>
      </c>
      <c r="AH75" s="93">
        <f t="shared" si="120"/>
        <v>0.5105459650914197</v>
      </c>
      <c r="AI75" s="93">
        <f t="shared" ref="AI75:BB75" si="121">IFERROR(AI18/$B61,".")</f>
        <v>0.5105459650914197</v>
      </c>
      <c r="AJ75" s="93">
        <f t="shared" si="121"/>
        <v>0.5105459650914197</v>
      </c>
      <c r="AK75" s="93">
        <f t="shared" si="121"/>
        <v>0.5105459650914197</v>
      </c>
      <c r="AL75" s="93">
        <f t="shared" si="121"/>
        <v>0.5105459650914197</v>
      </c>
      <c r="AM75" s="93">
        <f t="shared" si="121"/>
        <v>0.5105459650914197</v>
      </c>
      <c r="AN75" s="93">
        <f t="shared" si="121"/>
        <v>0.5105459650914197</v>
      </c>
      <c r="AO75" s="93">
        <f t="shared" si="121"/>
        <v>0.5105459650914197</v>
      </c>
      <c r="AP75" s="93">
        <f t="shared" si="121"/>
        <v>0.5105459650914197</v>
      </c>
      <c r="AQ75" s="93">
        <f t="shared" si="121"/>
        <v>0.5105459650914197</v>
      </c>
      <c r="AR75" s="93">
        <f t="shared" si="121"/>
        <v>0.5105459650914197</v>
      </c>
      <c r="AS75" s="93">
        <f t="shared" si="121"/>
        <v>0.5105459650914197</v>
      </c>
      <c r="AT75" s="93">
        <f t="shared" si="121"/>
        <v>0.5105459650914197</v>
      </c>
      <c r="AU75" s="93">
        <f t="shared" si="121"/>
        <v>0.5105459650914197</v>
      </c>
      <c r="AV75" s="93">
        <f t="shared" si="121"/>
        <v>0.5105459650914197</v>
      </c>
      <c r="AW75" s="93">
        <f t="shared" si="121"/>
        <v>0.5105459650914197</v>
      </c>
      <c r="AX75" s="93">
        <f t="shared" si="121"/>
        <v>0.5105459650914197</v>
      </c>
      <c r="AY75" s="93">
        <f t="shared" si="121"/>
        <v>0.5105459650914197</v>
      </c>
      <c r="AZ75" s="93">
        <f t="shared" si="121"/>
        <v>0.5105459650914197</v>
      </c>
      <c r="BA75" s="93">
        <f t="shared" si="121"/>
        <v>0.5105459650914197</v>
      </c>
      <c r="BB75" s="93">
        <f t="shared" si="121"/>
        <v>0.5105459650914197</v>
      </c>
      <c r="BC75" s="94">
        <f t="shared" si="99"/>
        <v>195.86875000000001</v>
      </c>
      <c r="BD75" s="94">
        <f>IF(AD75=".",".",s_RadSpec!$F$18*(BD18*$B75))</f>
        <v>48.967187500000001</v>
      </c>
      <c r="BE75" s="94">
        <f>IF(AE75=".",".",s_RadSpec!$F$18*(BE18*$B75))</f>
        <v>48.967187500000001</v>
      </c>
      <c r="BF75" s="94">
        <f>IF(AF75=".",".",s_RadSpec!$F$18*(BF18*$B75))</f>
        <v>48.967187500000001</v>
      </c>
      <c r="BG75" s="94">
        <f>IF(AG75=".",".",s_RadSpec!$F$18*(BG18*$B75))</f>
        <v>48.967187500000001</v>
      </c>
      <c r="BH75" s="94">
        <f>IF(AH75=".",".",s_RadSpec!$F$18*(BH18*$B75))</f>
        <v>48.967187500000001</v>
      </c>
      <c r="BI75" s="94">
        <f>IF(AI75=".",".",s_RadSpec!$F$18*(BI18*$B75))</f>
        <v>48.967187500000001</v>
      </c>
      <c r="BJ75" s="94">
        <f>IF(AJ75=".",".",s_RadSpec!$F$18*(BJ18*$B75))</f>
        <v>48.967187500000001</v>
      </c>
      <c r="BK75" s="94">
        <f>IF(AK75=".",".",s_RadSpec!$F$18*(BK18*$B75))</f>
        <v>48.967187500000001</v>
      </c>
      <c r="BL75" s="94">
        <f>IF(AL75=".",".",s_RadSpec!$F$18*(BL18*$B75))</f>
        <v>48.967187500000001</v>
      </c>
      <c r="BM75" s="94">
        <f>IF(AM75=".",".",s_RadSpec!$F$18*(BM18*$B75))</f>
        <v>48.967187500000001</v>
      </c>
      <c r="BN75" s="94">
        <f>IF(AN75=".",".",s_RadSpec!$F$18*(BN18*$B75))</f>
        <v>48.967187500000001</v>
      </c>
      <c r="BO75" s="94">
        <f>IF(AO75=".",".",s_RadSpec!$F$18*(BO18*$B75))</f>
        <v>48.967187500000001</v>
      </c>
      <c r="BP75" s="94">
        <f>IF(AP75=".",".",s_RadSpec!$F$18*(BP18*$B75))</f>
        <v>48.967187500000001</v>
      </c>
      <c r="BQ75" s="94">
        <f>IF(AQ75=".",".",s_RadSpec!$F$18*(BQ18*$B75))</f>
        <v>48.967187500000001</v>
      </c>
      <c r="BR75" s="94">
        <f>IF(AR75=".",".",s_RadSpec!$F$18*(BR18*$B75))</f>
        <v>48.967187500000001</v>
      </c>
      <c r="BS75" s="94">
        <f>IF(AS75=".",".",s_RadSpec!$F$18*(BS18*$B75))</f>
        <v>48.967187500000001</v>
      </c>
      <c r="BT75" s="94">
        <f>IF(AT75=".",".",s_RadSpec!$F$18*(BT18*$B75))</f>
        <v>48.967187500000001</v>
      </c>
      <c r="BU75" s="94">
        <f>IF(AU75=".",".",s_RadSpec!$F$18*(BU18*$B75))</f>
        <v>48.967187500000001</v>
      </c>
      <c r="BV75" s="94">
        <f>IF(AV75=".",".",s_RadSpec!$F$18*(BV18*$B75))</f>
        <v>48.967187500000001</v>
      </c>
      <c r="BW75" s="94">
        <f>IF(AW75=".",".",s_RadSpec!$F$18*(BW18*$B75))</f>
        <v>48.967187500000001</v>
      </c>
      <c r="BX75" s="94">
        <f>IF(AX75=".",".",s_RadSpec!$F$18*(BX18*$B75))</f>
        <v>48.967187500000001</v>
      </c>
      <c r="BY75" s="94">
        <f>IF(AY75=".",".",s_RadSpec!$F$18*(BY18*$B75))</f>
        <v>48.967187500000001</v>
      </c>
      <c r="BZ75" s="94">
        <f>IF(AZ75=".",".",s_RadSpec!$F$18*(BZ18*$B75))</f>
        <v>48.967187500000001</v>
      </c>
      <c r="CA75" s="94">
        <f>IF(BA75=".",".",s_RadSpec!$F$18*(CA18*$B75))</f>
        <v>48.967187500000001</v>
      </c>
      <c r="CB75" s="94">
        <f>IF(BB75=".",".",s_RadSpec!$F$18*(CB18*$B75))</f>
        <v>48.967187500000001</v>
      </c>
    </row>
    <row r="76" spans="1:80" x14ac:dyDescent="0.25">
      <c r="A76" s="92" t="s">
        <v>1083</v>
      </c>
      <c r="B76" s="84">
        <v>1.339E-6</v>
      </c>
      <c r="C76" s="93" t="str">
        <f t="shared" ref="C76:AH76" si="122">IFERROR(C27/$B62,".")</f>
        <v>.</v>
      </c>
      <c r="D76" s="93" t="str">
        <f t="shared" si="122"/>
        <v>.</v>
      </c>
      <c r="E76" s="93" t="str">
        <f t="shared" si="122"/>
        <v>.</v>
      </c>
      <c r="F76" s="93" t="str">
        <f t="shared" si="122"/>
        <v>.</v>
      </c>
      <c r="G76" s="93" t="str">
        <f t="shared" si="122"/>
        <v>.</v>
      </c>
      <c r="H76" s="93" t="str">
        <f t="shared" si="122"/>
        <v>.</v>
      </c>
      <c r="I76" s="93" t="str">
        <f t="shared" si="122"/>
        <v>.</v>
      </c>
      <c r="J76" s="93" t="str">
        <f t="shared" si="122"/>
        <v>.</v>
      </c>
      <c r="K76" s="93" t="str">
        <f t="shared" si="122"/>
        <v>.</v>
      </c>
      <c r="L76" s="93" t="str">
        <f t="shared" si="122"/>
        <v>.</v>
      </c>
      <c r="M76" s="93" t="str">
        <f t="shared" si="122"/>
        <v>.</v>
      </c>
      <c r="N76" s="93" t="str">
        <f t="shared" si="122"/>
        <v>.</v>
      </c>
      <c r="O76" s="93" t="str">
        <f t="shared" si="122"/>
        <v>.</v>
      </c>
      <c r="P76" s="93" t="str">
        <f t="shared" si="122"/>
        <v>.</v>
      </c>
      <c r="Q76" s="93" t="str">
        <f t="shared" si="122"/>
        <v>.</v>
      </c>
      <c r="R76" s="93" t="str">
        <f t="shared" si="122"/>
        <v>.</v>
      </c>
      <c r="S76" s="93" t="str">
        <f t="shared" si="122"/>
        <v>.</v>
      </c>
      <c r="T76" s="93" t="str">
        <f t="shared" si="122"/>
        <v>.</v>
      </c>
      <c r="U76" s="93" t="str">
        <f t="shared" si="122"/>
        <v>.</v>
      </c>
      <c r="V76" s="93" t="str">
        <f t="shared" si="122"/>
        <v>.</v>
      </c>
      <c r="W76" s="93" t="str">
        <f t="shared" si="122"/>
        <v>.</v>
      </c>
      <c r="X76" s="93" t="str">
        <f t="shared" si="122"/>
        <v>.</v>
      </c>
      <c r="Y76" s="93" t="str">
        <f t="shared" si="122"/>
        <v>.</v>
      </c>
      <c r="Z76" s="93" t="str">
        <f t="shared" si="122"/>
        <v>.</v>
      </c>
      <c r="AA76" s="93" t="str">
        <f t="shared" si="122"/>
        <v>.</v>
      </c>
      <c r="AB76" s="93" t="str">
        <f t="shared" si="122"/>
        <v>.</v>
      </c>
      <c r="AC76" s="93" t="str">
        <f t="shared" si="122"/>
        <v>.</v>
      </c>
      <c r="AD76" s="93" t="str">
        <f t="shared" si="122"/>
        <v>.</v>
      </c>
      <c r="AE76" s="93" t="str">
        <f t="shared" si="122"/>
        <v>.</v>
      </c>
      <c r="AF76" s="93" t="str">
        <f t="shared" si="122"/>
        <v>.</v>
      </c>
      <c r="AG76" s="93" t="str">
        <f t="shared" si="122"/>
        <v>.</v>
      </c>
      <c r="AH76" s="93" t="str">
        <f t="shared" si="122"/>
        <v>.</v>
      </c>
      <c r="AI76" s="93" t="str">
        <f t="shared" ref="AI76:BB76" si="123">IFERROR(AI27/$B62,".")</f>
        <v>.</v>
      </c>
      <c r="AJ76" s="93" t="str">
        <f t="shared" si="123"/>
        <v>.</v>
      </c>
      <c r="AK76" s="93" t="str">
        <f t="shared" si="123"/>
        <v>.</v>
      </c>
      <c r="AL76" s="93" t="str">
        <f t="shared" si="123"/>
        <v>.</v>
      </c>
      <c r="AM76" s="93" t="str">
        <f t="shared" si="123"/>
        <v>.</v>
      </c>
      <c r="AN76" s="93" t="str">
        <f t="shared" si="123"/>
        <v>.</v>
      </c>
      <c r="AO76" s="93" t="str">
        <f t="shared" si="123"/>
        <v>.</v>
      </c>
      <c r="AP76" s="93" t="str">
        <f t="shared" si="123"/>
        <v>.</v>
      </c>
      <c r="AQ76" s="93" t="str">
        <f t="shared" si="123"/>
        <v>.</v>
      </c>
      <c r="AR76" s="93" t="str">
        <f t="shared" si="123"/>
        <v>.</v>
      </c>
      <c r="AS76" s="93" t="str">
        <f t="shared" si="123"/>
        <v>.</v>
      </c>
      <c r="AT76" s="93" t="str">
        <f t="shared" si="123"/>
        <v>.</v>
      </c>
      <c r="AU76" s="93" t="str">
        <f t="shared" si="123"/>
        <v>.</v>
      </c>
      <c r="AV76" s="93" t="str">
        <f t="shared" si="123"/>
        <v>.</v>
      </c>
      <c r="AW76" s="93" t="str">
        <f t="shared" si="123"/>
        <v>.</v>
      </c>
      <c r="AX76" s="93" t="str">
        <f t="shared" si="123"/>
        <v>.</v>
      </c>
      <c r="AY76" s="93" t="str">
        <f t="shared" si="123"/>
        <v>.</v>
      </c>
      <c r="AZ76" s="93" t="str">
        <f t="shared" si="123"/>
        <v>.</v>
      </c>
      <c r="BA76" s="93" t="str">
        <f t="shared" si="123"/>
        <v>.</v>
      </c>
      <c r="BB76" s="93" t="str">
        <f t="shared" si="123"/>
        <v>.</v>
      </c>
      <c r="BC76" s="94" t="str">
        <f t="shared" si="99"/>
        <v>.</v>
      </c>
      <c r="BD76" s="94" t="str">
        <f>IF(AD76=".",".",s_RadSpec!$F$27*(BD27*$B76))</f>
        <v>.</v>
      </c>
      <c r="BE76" s="94" t="str">
        <f>IF(AE76=".",".",s_RadSpec!$F$27*(BE27*$B76))</f>
        <v>.</v>
      </c>
      <c r="BF76" s="94" t="str">
        <f>IF(AF76=".",".",s_RadSpec!$F$27*(BF27*$B76))</f>
        <v>.</v>
      </c>
      <c r="BG76" s="94" t="str">
        <f>IF(AG76=".",".",s_RadSpec!$F$27*(BG27*$B76))</f>
        <v>.</v>
      </c>
      <c r="BH76" s="94" t="str">
        <f>IF(AH76=".",".",s_RadSpec!$F$27*(BH27*$B76))</f>
        <v>.</v>
      </c>
      <c r="BI76" s="94" t="str">
        <f>IF(AI76=".",".",s_RadSpec!$F$27*(BI27*$B76))</f>
        <v>.</v>
      </c>
      <c r="BJ76" s="94" t="str">
        <f>IF(AJ76=".",".",s_RadSpec!$F$27*(BJ27*$B76))</f>
        <v>.</v>
      </c>
      <c r="BK76" s="94" t="str">
        <f>IF(AK76=".",".",s_RadSpec!$F$27*(BK27*$B76))</f>
        <v>.</v>
      </c>
      <c r="BL76" s="94" t="str">
        <f>IF(AL76=".",".",s_RadSpec!$F$27*(BL27*$B76))</f>
        <v>.</v>
      </c>
      <c r="BM76" s="94" t="str">
        <f>IF(AM76=".",".",s_RadSpec!$F$27*(BM27*$B76))</f>
        <v>.</v>
      </c>
      <c r="BN76" s="94" t="str">
        <f>IF(AN76=".",".",s_RadSpec!$F$27*(BN27*$B76))</f>
        <v>.</v>
      </c>
      <c r="BO76" s="94" t="str">
        <f>IF(AO76=".",".",s_RadSpec!$F$27*(BO27*$B76))</f>
        <v>.</v>
      </c>
      <c r="BP76" s="94" t="str">
        <f>IF(AP76=".",".",s_RadSpec!$F$27*(BP27*$B76))</f>
        <v>.</v>
      </c>
      <c r="BQ76" s="94" t="str">
        <f>IF(AQ76=".",".",s_RadSpec!$F$27*(BQ27*$B76))</f>
        <v>.</v>
      </c>
      <c r="BR76" s="94" t="str">
        <f>IF(AR76=".",".",s_RadSpec!$F$27*(BR27*$B76))</f>
        <v>.</v>
      </c>
      <c r="BS76" s="94" t="str">
        <f>IF(AS76=".",".",s_RadSpec!$F$27*(BS27*$B76))</f>
        <v>.</v>
      </c>
      <c r="BT76" s="94" t="str">
        <f>IF(AT76=".",".",s_RadSpec!$F$27*(BT27*$B76))</f>
        <v>.</v>
      </c>
      <c r="BU76" s="94" t="str">
        <f>IF(AU76=".",".",s_RadSpec!$F$27*(BU27*$B76))</f>
        <v>.</v>
      </c>
      <c r="BV76" s="94" t="str">
        <f>IF(AV76=".",".",s_RadSpec!$F$27*(BV27*$B76))</f>
        <v>.</v>
      </c>
      <c r="BW76" s="94" t="str">
        <f>IF(AW76=".",".",s_RadSpec!$F$27*(BW27*$B76))</f>
        <v>.</v>
      </c>
      <c r="BX76" s="94" t="str">
        <f>IF(AX76=".",".",s_RadSpec!$F$27*(BX27*$B76))</f>
        <v>.</v>
      </c>
      <c r="BY76" s="94" t="str">
        <f>IF(AY76=".",".",s_RadSpec!$F$27*(BY27*$B76))</f>
        <v>.</v>
      </c>
      <c r="BZ76" s="94" t="str">
        <f>IF(AZ76=".",".",s_RadSpec!$F$27*(BZ27*$B76))</f>
        <v>.</v>
      </c>
      <c r="CA76" s="94" t="str">
        <f>IF(BA76=".",".",s_RadSpec!$F$27*(CA27*$B76))</f>
        <v>.</v>
      </c>
      <c r="CB76" s="94" t="str">
        <f>IF(BB76=".",".",s_RadSpec!$F$27*(CB27*$B76))</f>
        <v>.</v>
      </c>
    </row>
  </sheetData>
  <sheetProtection algorithmName="SHA-512" hashValue="wXlHc4ta/tJ2LGrd4TJtqCfN0E8VqQW+pimT5nqHAZVRddPwUScqvDO0xmNtAmZd+YZNtwF4o9LbkuUa35Xq6A==" saltValue="ehfZChW0+S48B+fz2+T52w==" spinCount="100000" sheet="1" formatColumns="0" formatRows="0" autoFilter="0"/>
  <autoFilter ref="A1:CB76" xr:uid="{2A51381B-F3AB-4DF7-BCFB-D392214769A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DB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5.42578125" style="42" bestFit="1" customWidth="1"/>
    <col min="2" max="2" width="13.28515625" style="42" bestFit="1" customWidth="1"/>
    <col min="3" max="3" width="27" style="42" bestFit="1" customWidth="1"/>
    <col min="4" max="4" width="16" style="42" bestFit="1" customWidth="1"/>
    <col min="5" max="5" width="16.140625" style="42" bestFit="1" customWidth="1"/>
    <col min="6" max="6" width="15" style="42" bestFit="1" customWidth="1"/>
    <col min="7" max="7" width="15.7109375" style="42" bestFit="1" customWidth="1"/>
    <col min="8" max="8" width="15" style="42" bestFit="1" customWidth="1"/>
    <col min="9" max="9" width="15.42578125" style="42" bestFit="1" customWidth="1"/>
    <col min="10" max="10" width="14.7109375" style="42" bestFit="1" customWidth="1"/>
    <col min="11" max="11" width="16.140625" style="42" bestFit="1" customWidth="1"/>
    <col min="12" max="12" width="15" style="42" bestFit="1" customWidth="1"/>
    <col min="13" max="13" width="16.85546875" style="42" bestFit="1" customWidth="1"/>
    <col min="14" max="14" width="14" style="42" bestFit="1" customWidth="1"/>
    <col min="15" max="16" width="15" style="42" bestFit="1" customWidth="1"/>
    <col min="17" max="17" width="16.140625" style="42" bestFit="1" customWidth="1"/>
    <col min="18" max="18" width="16.28515625" style="42" bestFit="1" customWidth="1"/>
    <col min="19" max="19" width="15" style="42" bestFit="1" customWidth="1"/>
    <col min="20" max="20" width="14.28515625" style="42" bestFit="1" customWidth="1"/>
    <col min="21" max="21" width="14.28515625" style="42" customWidth="1"/>
    <col min="22" max="22" width="15.7109375" style="42" bestFit="1" customWidth="1"/>
    <col min="23" max="23" width="16.140625" style="42" bestFit="1" customWidth="1"/>
    <col min="24" max="24" width="15.42578125" style="42" bestFit="1" customWidth="1"/>
    <col min="25" max="25" width="16" style="42" bestFit="1" customWidth="1"/>
    <col min="26" max="27" width="14.42578125" style="42" bestFit="1" customWidth="1"/>
    <col min="28" max="28" width="16.42578125" style="42" bestFit="1" customWidth="1"/>
    <col min="29" max="29" width="22.5703125" style="42" bestFit="1" customWidth="1"/>
    <col min="30" max="30" width="15.85546875" style="42" bestFit="1" customWidth="1"/>
    <col min="31" max="31" width="16" style="42" bestFit="1" customWidth="1"/>
    <col min="32" max="32" width="14.7109375" style="42" bestFit="1" customWidth="1"/>
    <col min="33" max="33" width="15.42578125" style="42" bestFit="1" customWidth="1"/>
    <col min="34" max="34" width="14.7109375" style="42" bestFit="1" customWidth="1"/>
    <col min="35" max="35" width="15.140625" style="42" bestFit="1" customWidth="1"/>
    <col min="36" max="36" width="14.28515625" style="42" bestFit="1" customWidth="1"/>
    <col min="37" max="37" width="15.7109375" style="42" bestFit="1" customWidth="1"/>
    <col min="38" max="38" width="14.7109375" style="42" bestFit="1" customWidth="1"/>
    <col min="39" max="39" width="16.7109375" style="42" bestFit="1" customWidth="1"/>
    <col min="40" max="40" width="13.7109375" style="42" bestFit="1" customWidth="1"/>
    <col min="41" max="41" width="14.5703125" style="42" bestFit="1" customWidth="1"/>
    <col min="42" max="42" width="14.85546875" style="42" bestFit="1" customWidth="1"/>
    <col min="43" max="43" width="16" style="42" bestFit="1" customWidth="1"/>
    <col min="44" max="44" width="16.28515625" style="42" bestFit="1" customWidth="1"/>
    <col min="45" max="45" width="14.85546875" style="42" bestFit="1" customWidth="1"/>
    <col min="46" max="46" width="14.140625" style="42" bestFit="1" customWidth="1"/>
    <col min="47" max="47" width="14.140625" style="42" customWidth="1"/>
    <col min="48" max="48" width="15.85546875" style="42" bestFit="1" customWidth="1"/>
    <col min="49" max="49" width="16.140625" style="42" bestFit="1" customWidth="1"/>
    <col min="50" max="50" width="15.140625" style="42" bestFit="1" customWidth="1"/>
    <col min="51" max="51" width="16" style="42" bestFit="1" customWidth="1"/>
    <col min="52" max="52" width="14.42578125" style="42" bestFit="1" customWidth="1"/>
    <col min="53" max="53" width="13.85546875" style="42" bestFit="1" customWidth="1"/>
    <col min="54" max="54" width="16.140625" style="42" bestFit="1" customWidth="1"/>
    <col min="55" max="55" width="26.85546875" style="42" bestFit="1" customWidth="1"/>
    <col min="56" max="56" width="15.85546875" style="42" bestFit="1" customWidth="1"/>
    <col min="57" max="57" width="16" style="42" bestFit="1" customWidth="1"/>
    <col min="58" max="58" width="14.7109375" style="42" bestFit="1" customWidth="1"/>
    <col min="59" max="59" width="15.5703125" style="42" bestFit="1" customWidth="1"/>
    <col min="60" max="60" width="14.85546875" style="42" bestFit="1" customWidth="1"/>
    <col min="61" max="61" width="15.28515625" style="42" bestFit="1" customWidth="1"/>
    <col min="62" max="62" width="14.5703125" style="42" bestFit="1" customWidth="1"/>
    <col min="63" max="63" width="16" style="42" bestFit="1" customWidth="1"/>
    <col min="64" max="64" width="14.85546875" style="42" bestFit="1" customWidth="1"/>
    <col min="65" max="65" width="16.7109375" style="42" bestFit="1" customWidth="1"/>
    <col min="66" max="66" width="13.85546875" style="42" bestFit="1" customWidth="1"/>
    <col min="67" max="68" width="14.85546875" style="42" bestFit="1" customWidth="1"/>
    <col min="69" max="69" width="16" style="42" bestFit="1" customWidth="1"/>
    <col min="70" max="70" width="16.140625" style="42" bestFit="1" customWidth="1"/>
    <col min="71" max="71" width="14.85546875" style="42" bestFit="1" customWidth="1"/>
    <col min="72" max="72" width="14.140625" style="42" bestFit="1" customWidth="1"/>
    <col min="73" max="73" width="14.140625" style="42" customWidth="1"/>
    <col min="74" max="74" width="15.5703125" style="42" bestFit="1" customWidth="1"/>
    <col min="75" max="75" width="15.85546875" style="42" bestFit="1" customWidth="1"/>
    <col min="76" max="76" width="15.28515625" style="42" bestFit="1" customWidth="1"/>
    <col min="77" max="77" width="15.85546875" style="42" bestFit="1" customWidth="1"/>
    <col min="78" max="79" width="14.28515625" style="42" bestFit="1" customWidth="1"/>
    <col min="80" max="80" width="15.5703125" style="42" bestFit="1" customWidth="1"/>
    <col min="81" max="81" width="22.5703125" style="42" bestFit="1" customWidth="1"/>
    <col min="82" max="82" width="15.85546875" style="42" bestFit="1" customWidth="1"/>
    <col min="83" max="83" width="16" style="42" bestFit="1" customWidth="1"/>
    <col min="84" max="84" width="14.7109375" style="42" bestFit="1" customWidth="1"/>
    <col min="85" max="85" width="15.42578125" style="42" bestFit="1" customWidth="1"/>
    <col min="86" max="86" width="14.7109375" style="42" bestFit="1" customWidth="1"/>
    <col min="87" max="87" width="15.140625" style="42" bestFit="1" customWidth="1"/>
    <col min="88" max="88" width="14.28515625" style="42" bestFit="1" customWidth="1"/>
    <col min="89" max="89" width="15.7109375" style="42" bestFit="1" customWidth="1"/>
    <col min="90" max="90" width="14.7109375" style="42" bestFit="1" customWidth="1"/>
    <col min="91" max="91" width="16.7109375" style="42" bestFit="1" customWidth="1"/>
    <col min="92" max="92" width="13.7109375" style="42" bestFit="1" customWidth="1"/>
    <col min="93" max="93" width="14.5703125" style="42" bestFit="1" customWidth="1"/>
    <col min="94" max="94" width="14.85546875" style="42" bestFit="1" customWidth="1"/>
    <col min="95" max="95" width="16" style="42" bestFit="1" customWidth="1"/>
    <col min="96" max="96" width="16.28515625" style="42" bestFit="1" customWidth="1"/>
    <col min="97" max="97" width="14.85546875" style="42" bestFit="1" customWidth="1"/>
    <col min="98" max="98" width="14.140625" style="42" bestFit="1" customWidth="1"/>
    <col min="99" max="99" width="14.140625" style="42" customWidth="1"/>
    <col min="100" max="100" width="15.85546875" style="42" bestFit="1" customWidth="1"/>
    <col min="101" max="101" width="16.140625" style="42" bestFit="1" customWidth="1"/>
    <col min="102" max="102" width="15.140625" style="42" bestFit="1" customWidth="1"/>
    <col min="103" max="103" width="16" style="42" bestFit="1" customWidth="1"/>
    <col min="104" max="104" width="14.42578125" style="42" bestFit="1" customWidth="1"/>
    <col min="105" max="105" width="13.85546875" style="42" bestFit="1" customWidth="1"/>
    <col min="106" max="106" width="15.42578125" style="42" bestFit="1" customWidth="1"/>
    <col min="107" max="16384" width="9.140625" style="42"/>
  </cols>
  <sheetData>
    <row r="1" spans="1:106" x14ac:dyDescent="0.25">
      <c r="A1" s="72" t="s">
        <v>39</v>
      </c>
      <c r="B1" s="73" t="s">
        <v>334</v>
      </c>
      <c r="C1" s="74" t="s">
        <v>1481</v>
      </c>
      <c r="D1" s="42" t="s">
        <v>1430</v>
      </c>
      <c r="E1" s="42" t="s">
        <v>1431</v>
      </c>
      <c r="F1" s="42" t="s">
        <v>1432</v>
      </c>
      <c r="G1" s="42" t="s">
        <v>1433</v>
      </c>
      <c r="H1" s="42" t="s">
        <v>1434</v>
      </c>
      <c r="I1" s="42" t="s">
        <v>1435</v>
      </c>
      <c r="J1" s="42" t="s">
        <v>1436</v>
      </c>
      <c r="K1" s="42" t="s">
        <v>1437</v>
      </c>
      <c r="L1" s="42" t="s">
        <v>1438</v>
      </c>
      <c r="M1" s="42" t="s">
        <v>1439</v>
      </c>
      <c r="N1" s="42" t="s">
        <v>1440</v>
      </c>
      <c r="O1" s="42" t="s">
        <v>1441</v>
      </c>
      <c r="P1" s="42" t="s">
        <v>1442</v>
      </c>
      <c r="Q1" s="42" t="s">
        <v>1443</v>
      </c>
      <c r="R1" s="42" t="s">
        <v>1444</v>
      </c>
      <c r="S1" s="42" t="s">
        <v>1445</v>
      </c>
      <c r="T1" s="42" t="s">
        <v>1446</v>
      </c>
      <c r="U1" s="42" t="s">
        <v>1447</v>
      </c>
      <c r="V1" s="42" t="s">
        <v>1448</v>
      </c>
      <c r="W1" s="42" t="s">
        <v>1449</v>
      </c>
      <c r="X1" s="42" t="s">
        <v>1450</v>
      </c>
      <c r="Y1" s="42" t="s">
        <v>1451</v>
      </c>
      <c r="Z1" s="42" t="s">
        <v>1452</v>
      </c>
      <c r="AA1" s="42" t="s">
        <v>1453</v>
      </c>
      <c r="AB1" s="42" t="s">
        <v>1454</v>
      </c>
      <c r="AC1" s="75" t="s">
        <v>1105</v>
      </c>
      <c r="AD1" s="75" t="s">
        <v>1106</v>
      </c>
      <c r="AE1" s="75" t="s">
        <v>1107</v>
      </c>
      <c r="AF1" s="75" t="s">
        <v>1108</v>
      </c>
      <c r="AG1" s="75" t="s">
        <v>1109</v>
      </c>
      <c r="AH1" s="75" t="s">
        <v>1110</v>
      </c>
      <c r="AI1" s="75" t="s">
        <v>1111</v>
      </c>
      <c r="AJ1" s="75" t="s">
        <v>1112</v>
      </c>
      <c r="AK1" s="75" t="s">
        <v>1113</v>
      </c>
      <c r="AL1" s="75" t="s">
        <v>1114</v>
      </c>
      <c r="AM1" s="75" t="s">
        <v>1115</v>
      </c>
      <c r="AN1" s="75" t="s">
        <v>1116</v>
      </c>
      <c r="AO1" s="75" t="s">
        <v>1117</v>
      </c>
      <c r="AP1" s="75" t="s">
        <v>1118</v>
      </c>
      <c r="AQ1" s="75" t="s">
        <v>1119</v>
      </c>
      <c r="AR1" s="75" t="s">
        <v>1120</v>
      </c>
      <c r="AS1" s="75" t="s">
        <v>1121</v>
      </c>
      <c r="AT1" s="75" t="s">
        <v>1122</v>
      </c>
      <c r="AU1" s="75" t="s">
        <v>1307</v>
      </c>
      <c r="AV1" s="75" t="s">
        <v>1123</v>
      </c>
      <c r="AW1" s="75" t="s">
        <v>1124</v>
      </c>
      <c r="AX1" s="75" t="s">
        <v>1125</v>
      </c>
      <c r="AY1" s="75" t="s">
        <v>1126</v>
      </c>
      <c r="AZ1" s="75" t="s">
        <v>1127</v>
      </c>
      <c r="BA1" s="75" t="s">
        <v>1128</v>
      </c>
      <c r="BB1" s="75" t="s">
        <v>1129</v>
      </c>
      <c r="BC1" s="42" t="s">
        <v>1482</v>
      </c>
      <c r="BD1" s="42" t="s">
        <v>1456</v>
      </c>
      <c r="BE1" s="42" t="s">
        <v>1457</v>
      </c>
      <c r="BF1" s="42" t="s">
        <v>1458</v>
      </c>
      <c r="BG1" s="42" t="s">
        <v>1459</v>
      </c>
      <c r="BH1" s="42" t="s">
        <v>1460</v>
      </c>
      <c r="BI1" s="42" t="s">
        <v>1461</v>
      </c>
      <c r="BJ1" s="42" t="s">
        <v>1462</v>
      </c>
      <c r="BK1" s="42" t="s">
        <v>1463</v>
      </c>
      <c r="BL1" s="42" t="s">
        <v>1464</v>
      </c>
      <c r="BM1" s="42" t="s">
        <v>1465</v>
      </c>
      <c r="BN1" s="42" t="s">
        <v>1466</v>
      </c>
      <c r="BO1" s="42" t="s">
        <v>1467</v>
      </c>
      <c r="BP1" s="42" t="s">
        <v>1468</v>
      </c>
      <c r="BQ1" s="42" t="s">
        <v>1469</v>
      </c>
      <c r="BR1" s="42" t="s">
        <v>1470</v>
      </c>
      <c r="BS1" s="42" t="s">
        <v>1471</v>
      </c>
      <c r="BT1" s="42" t="s">
        <v>1472</v>
      </c>
      <c r="BU1" s="42" t="s">
        <v>1473</v>
      </c>
      <c r="BV1" s="42" t="s">
        <v>1474</v>
      </c>
      <c r="BW1" s="42" t="s">
        <v>1475</v>
      </c>
      <c r="BX1" s="42" t="s">
        <v>1476</v>
      </c>
      <c r="BY1" s="42" t="s">
        <v>1477</v>
      </c>
      <c r="BZ1" s="42" t="s">
        <v>1478</v>
      </c>
      <c r="CA1" s="42" t="s">
        <v>1479</v>
      </c>
      <c r="CB1" s="42" t="s">
        <v>1480</v>
      </c>
      <c r="CC1" s="75" t="s">
        <v>1130</v>
      </c>
      <c r="CD1" s="75" t="s">
        <v>1223</v>
      </c>
      <c r="CE1" s="75" t="s">
        <v>1224</v>
      </c>
      <c r="CF1" s="75" t="s">
        <v>1225</v>
      </c>
      <c r="CG1" s="75" t="s">
        <v>1226</v>
      </c>
      <c r="CH1" s="75" t="s">
        <v>1227</v>
      </c>
      <c r="CI1" s="75" t="s">
        <v>1228</v>
      </c>
      <c r="CJ1" s="75" t="s">
        <v>1229</v>
      </c>
      <c r="CK1" s="75" t="s">
        <v>1230</v>
      </c>
      <c r="CL1" s="75" t="s">
        <v>1231</v>
      </c>
      <c r="CM1" s="75" t="s">
        <v>1232</v>
      </c>
      <c r="CN1" s="75" t="s">
        <v>1233</v>
      </c>
      <c r="CO1" s="75" t="s">
        <v>1234</v>
      </c>
      <c r="CP1" s="75" t="s">
        <v>1235</v>
      </c>
      <c r="CQ1" s="75" t="s">
        <v>1236</v>
      </c>
      <c r="CR1" s="75" t="s">
        <v>1237</v>
      </c>
      <c r="CS1" s="75" t="s">
        <v>1238</v>
      </c>
      <c r="CT1" s="75" t="s">
        <v>1239</v>
      </c>
      <c r="CU1" s="75" t="s">
        <v>1305</v>
      </c>
      <c r="CV1" s="75" t="s">
        <v>1240</v>
      </c>
      <c r="CW1" s="75" t="s">
        <v>1241</v>
      </c>
      <c r="CX1" s="75" t="s">
        <v>1242</v>
      </c>
      <c r="CY1" s="75" t="s">
        <v>1243</v>
      </c>
      <c r="CZ1" s="75" t="s">
        <v>1244</v>
      </c>
      <c r="DA1" s="75" t="s">
        <v>1245</v>
      </c>
      <c r="DB1" s="75" t="s">
        <v>1246</v>
      </c>
    </row>
    <row r="2" spans="1:106" ht="15" customHeight="1" x14ac:dyDescent="0.25">
      <c r="A2" s="44" t="s">
        <v>0</v>
      </c>
      <c r="B2" s="42" t="s">
        <v>1057</v>
      </c>
      <c r="C2" s="15">
        <f>IFERROR(1/SUM(1/D2,1/U2,1/AA2,1/AB2),".")</f>
        <v>294.53927570052889</v>
      </c>
      <c r="D2" s="15">
        <f>IFERROR((s_dir!D2/(d_Bv!C2+s_MLF_apple)),".")</f>
        <v>1178.1571028021156</v>
      </c>
      <c r="E2" s="15">
        <f>IFERROR((s_dir!E2/(d_Bv!D2+s_MLF_asparagus)),".")</f>
        <v>1178.1571028021156</v>
      </c>
      <c r="F2" s="15">
        <f>IFERROR((s_dir!F2/(d_Bv!E2+s_MLF_beet)),".")</f>
        <v>1178.1571028021156</v>
      </c>
      <c r="G2" s="15">
        <f>IFERROR((s_dir!G2/(d_Bv!F2+s_MLF_berries)),".")</f>
        <v>1178.1571028021156</v>
      </c>
      <c r="H2" s="15">
        <f>IFERROR((s_dir!H2/(d_Bv!G2+s_MLF_broccoli)),".")</f>
        <v>1178.1571028021156</v>
      </c>
      <c r="I2" s="15">
        <f>IFERROR((s_dir!I2/(d_Bv!H2+s_MLF_cabbage)),".")</f>
        <v>1178.1571028021156</v>
      </c>
      <c r="J2" s="15">
        <f>IFERROR((s_dir!J2/(d_Bv!I2+s_MLF_carrot)),".")</f>
        <v>1178.1571028021156</v>
      </c>
      <c r="K2" s="15">
        <f>IFERROR((s_dir!K2/(d_Bv!J2+s_MLF_citrus)),".")</f>
        <v>1178.1571028021156</v>
      </c>
      <c r="L2" s="15">
        <f>IFERROR((s_dir!L2/(d_Bv!K2+s_MLF_corn)),".")</f>
        <v>1178.1571028021156</v>
      </c>
      <c r="M2" s="15">
        <f>IFERROR((s_dir!M2/(d_Bv!L2+s_MLF_cucumber)),".")</f>
        <v>1178.1571028021156</v>
      </c>
      <c r="N2" s="15">
        <f>IFERROR((s_dir!N2/(d_Bv!M2+s_MLF_lettuce)),".")</f>
        <v>1178.1571028021156</v>
      </c>
      <c r="O2" s="15">
        <f>IFERROR((s_dir!O2/(d_Bv!N2+s_MLF_lima_bean)),".")</f>
        <v>1178.1571028021156</v>
      </c>
      <c r="P2" s="15">
        <f>IFERROR((s_dir!P2/(d_Bv!O2+s_MLF_okra)),".")</f>
        <v>1178.1571028021156</v>
      </c>
      <c r="Q2" s="15">
        <f>IFERROR((s_dir!Q2/(d_Bv!P2+s_MLF_onion)),".")</f>
        <v>1178.1571028021156</v>
      </c>
      <c r="R2" s="15">
        <f>IFERROR((s_dir!R2/(d_Bv!Q2+s_MLF_peach)),".")</f>
        <v>1178.1571028021156</v>
      </c>
      <c r="S2" s="15">
        <f>IFERROR((s_dir!S2/(d_Bv!R2+s_MLF_pear)),".")</f>
        <v>1178.1571028021156</v>
      </c>
      <c r="T2" s="15">
        <f>IFERROR((s_dir!T2/(d_Bv!S2+s_MLF_peas)),".")</f>
        <v>1178.1571028021156</v>
      </c>
      <c r="U2" s="15">
        <f>IFERROR((s_dir!U2/(d_Bv!T2+s_MLF_peppers)),".")</f>
        <v>1178.1571028021156</v>
      </c>
      <c r="V2" s="15">
        <f>IFERROR((s_dir!V2/(d_Bv!U2+s_MLF_potato)),".")</f>
        <v>1178.1571028021156</v>
      </c>
      <c r="W2" s="15">
        <f>IFERROR((s_dir!W2/(d_Bv!V2+s_MLF_pumpkin)),".")</f>
        <v>1178.1571028021156</v>
      </c>
      <c r="X2" s="15">
        <f>IFERROR((s_dir!X2/(d_Bv!W2+s_MLF_snap_bean)),".")</f>
        <v>1178.1571028021156</v>
      </c>
      <c r="Y2" s="15">
        <f>IFERROR((s_dir!Y2/(d_Bv!X2+s_MLF_strawberry)),".")</f>
        <v>1178.1571028021156</v>
      </c>
      <c r="Z2" s="15">
        <f>IFERROR((s_dir!Z2/(d_Bv!Y2+s_MLF_tomato)),".")</f>
        <v>1178.1571028021156</v>
      </c>
      <c r="AA2" s="15">
        <f>IFERROR((s_dir!AA2/(d_Bv!Z2+s_MLF_rice)),".")</f>
        <v>1178.1571028021156</v>
      </c>
      <c r="AB2" s="15">
        <f>IFERROR((s_dir!AB2/(d_Bv!AA2+s_MLF_cereal)),".")</f>
        <v>1178.1571028021156</v>
      </c>
      <c r="AC2" s="40">
        <f>SUM(AD2,AU2,BA2:BB2)</f>
        <v>438.62499999999994</v>
      </c>
      <c r="AD2" s="40">
        <f>s_C*(d_Bv!C2+s_MLF_apple)*s_IFAP_res_adj*s_CF_apple</f>
        <v>109.65624999999999</v>
      </c>
      <c r="AE2" s="40">
        <f>s_C*(d_Bv!D2+s_MLF_asparagus)*s_IFAS_res_adj*s_CF_asparagus</f>
        <v>109.65624999999999</v>
      </c>
      <c r="AF2" s="40">
        <f>s_C*(d_Bv!E2+s_MLF_beet)*s_IFBT_res_adj*s_CF_beet</f>
        <v>109.65624999999999</v>
      </c>
      <c r="AG2" s="40">
        <f>s_C*(d_Bv!F2+s_MLF_berries)*s_IFBE_res_adj*s_CF_berries</f>
        <v>109.65624999999999</v>
      </c>
      <c r="AH2" s="40">
        <f>s_C*(d_Bv!G2+s_MLF_broccoli)*s_IFBR_res_adj*s_CF_broccoli</f>
        <v>109.65624999999999</v>
      </c>
      <c r="AI2" s="40">
        <f>s_C*(d_Bv!H2+s_MLF_cabbage)*s_IFCB_res_adj*s_CF_cabbage</f>
        <v>109.65624999999999</v>
      </c>
      <c r="AJ2" s="40">
        <f>s_C*(d_Bv!I2+s_MLF_carrot)*s_IFCR_res_adj*s_CF_carrot</f>
        <v>109.65624999999999</v>
      </c>
      <c r="AK2" s="40">
        <f>s_C*(d_Bv!J2+s_MLF_citrus)*s_IFCI_res_adj*s_CF_citrus</f>
        <v>109.65624999999999</v>
      </c>
      <c r="AL2" s="40">
        <f>s_C*(d_Bv!K2+s_MLF_corn)*s_IFCO_res_adj*s_CF_corn</f>
        <v>109.65624999999999</v>
      </c>
      <c r="AM2" s="40">
        <f>s_C*(d_Bv!L2+s_MLF_cucumber)*s_IFCU_res_adj*s_CF_cucumber</f>
        <v>109.65624999999999</v>
      </c>
      <c r="AN2" s="40">
        <f>s_C*(d_Bv!M2+s_MLF_lettuce)*s_IFLE_res_adj*s_CF_lettuce</f>
        <v>109.65624999999999</v>
      </c>
      <c r="AO2" s="40">
        <f>s_C*(d_Bv!N2+s_MLF_lima_bean)*s_IFLI_res_adj*s_CF_lima_bean</f>
        <v>109.65624999999999</v>
      </c>
      <c r="AP2" s="40">
        <f>s_C*(d_Bv!O2+s_MLF_okra)*s_IFOK_res_adj*s_CF_okra</f>
        <v>109.65624999999999</v>
      </c>
      <c r="AQ2" s="40">
        <f>s_C*(d_Bv!P2+s_MLF_onion)*s_IFON_res_adj*s_CF_onion</f>
        <v>109.65624999999999</v>
      </c>
      <c r="AR2" s="40">
        <f>s_C*(d_Bv!Q2+s_MLF_peach)*s_IFPC_res_adj*s_CF_peach</f>
        <v>109.65624999999999</v>
      </c>
      <c r="AS2" s="40">
        <f>s_C*(d_Bv!R2+s_MLF_pear)*s_IFPR_res_adj*s_CF_pear</f>
        <v>109.65624999999999</v>
      </c>
      <c r="AT2" s="40">
        <f>s_C*(d_Bv!S2+s_MLF_peas)*s_IFPE_res_adj*s_CF_peas</f>
        <v>109.65624999999999</v>
      </c>
      <c r="AU2" s="40">
        <f>s_C*(d_Bv!T2+s_MLF_peppers)*s_IFPP_res_adj*s_CF_peppers</f>
        <v>109.65624999999999</v>
      </c>
      <c r="AV2" s="40">
        <f>s_C*(d_Bv!U2+s_MLF_potato)*s_IFPT_res_adj*s_CF_potato</f>
        <v>109.65624999999999</v>
      </c>
      <c r="AW2" s="40">
        <f>s_C*(d_Bv!V2+s_MLF_pumpkin)*s_IFPU_res_adj*s_CF_pumpkin</f>
        <v>109.65624999999999</v>
      </c>
      <c r="AX2" s="40">
        <f>s_C*(d_Bv!W2+s_MLF_snap_bean)*s_IFSN_res_adj*s_CF_snap_bean</f>
        <v>109.65624999999999</v>
      </c>
      <c r="AY2" s="40">
        <f>s_C*(d_Bv!X2+s_MLF_strawberry)*s_IFST_res_adj*s_CF_strawberry</f>
        <v>109.65624999999999</v>
      </c>
      <c r="AZ2" s="40">
        <f>s_C*(d_Bv!Y2+s_MLF_tomato)*s_IFTO_res_adj*s_CF_tomato</f>
        <v>109.65624999999999</v>
      </c>
      <c r="BA2" s="40">
        <f>s_C*(d_Bv!Z2+s_MLF_rice)*s_IFRI_res_adj*s_CF_rice</f>
        <v>109.65624999999999</v>
      </c>
      <c r="BB2" s="40">
        <f>s_C*(d_Bv!AA2+s_MLF_cereal)*s_IFCG_res_adj*s_CF_cereal</f>
        <v>109.65624999999999</v>
      </c>
      <c r="BC2" s="15">
        <f>IFERROR(1/SUM(1/BD2,1/BU2,1/CA2,1/CB2),".")</f>
        <v>294.53927570052889</v>
      </c>
      <c r="BD2" s="15">
        <f>IFERROR((s_dir!AD2/(d_Bv!C2+s_MLF_apple)),".")</f>
        <v>1178.1571028021156</v>
      </c>
      <c r="BE2" s="15">
        <f>IFERROR((s_dir!AE2/(d_Bv!D2+s_MLF_asparagus)),".")</f>
        <v>1178.1571028021156</v>
      </c>
      <c r="BF2" s="15">
        <f>IFERROR((s_dir!AF2/(d_Bv!E2+s_MLF_beet)),".")</f>
        <v>1178.1571028021156</v>
      </c>
      <c r="BG2" s="15">
        <f>IFERROR((s_dir!AG2/(d_Bv!F2+s_MLF_berries)),".")</f>
        <v>1178.1571028021156</v>
      </c>
      <c r="BH2" s="15">
        <f>IFERROR((s_dir!AH2/(d_Bv!G2+s_MLF_broccoli)),".")</f>
        <v>1178.1571028021156</v>
      </c>
      <c r="BI2" s="15">
        <f>IFERROR((s_dir!AI2/(d_Bv!H2+s_MLF_cabbage)),".")</f>
        <v>1178.1571028021156</v>
      </c>
      <c r="BJ2" s="15">
        <f>IFERROR((s_dir!AJ2/(d_Bv!I2+s_MLF_carrot)),".")</f>
        <v>1178.1571028021156</v>
      </c>
      <c r="BK2" s="15">
        <f>IFERROR((s_dir!AK2/(d_Bv!J2+s_MLF_citrus)),".")</f>
        <v>1178.1571028021156</v>
      </c>
      <c r="BL2" s="15">
        <f>IFERROR((s_dir!AL2/(d_Bv!K2+s_MLF_corn)),".")</f>
        <v>1178.1571028021156</v>
      </c>
      <c r="BM2" s="15">
        <f>IFERROR((s_dir!AM2/(d_Bv!L2+s_MLF_cucumber)),".")</f>
        <v>1178.1571028021156</v>
      </c>
      <c r="BN2" s="15">
        <f>IFERROR((s_dir!AN2/(d_Bv!M2+s_MLF_lettuce)),".")</f>
        <v>1178.1571028021156</v>
      </c>
      <c r="BO2" s="15">
        <f>IFERROR((s_dir!AO2/(d_Bv!N2+s_MLF_lima_bean)),".")</f>
        <v>1178.1571028021156</v>
      </c>
      <c r="BP2" s="15">
        <f>IFERROR((s_dir!AP2/(d_Bv!O2+s_MLF_okra)),".")</f>
        <v>1178.1571028021156</v>
      </c>
      <c r="BQ2" s="15">
        <f>IFERROR((s_dir!AQ2/(d_Bv!P2+s_MLF_onion)),".")</f>
        <v>1178.1571028021156</v>
      </c>
      <c r="BR2" s="15">
        <f>IFERROR((s_dir!AR2/(d_Bv!Q2+s_MLF_peach)),".")</f>
        <v>1178.1571028021156</v>
      </c>
      <c r="BS2" s="15">
        <f>IFERROR((s_dir!AS2/(d_Bv!R2+s_MLF_pear)),".")</f>
        <v>1178.1571028021156</v>
      </c>
      <c r="BT2" s="15">
        <f>IFERROR((s_dir!AT2/(d_Bv!S2+s_MLF_peas)),".")</f>
        <v>1178.1571028021156</v>
      </c>
      <c r="BU2" s="15">
        <f>IFERROR((s_dir!AU2/(d_Bv!T2+s_MLF_peppers)),".")</f>
        <v>1178.1571028021156</v>
      </c>
      <c r="BV2" s="15">
        <f>IFERROR((s_dir!AV2/(d_Bv!U2+s_MLF_potato)),".")</f>
        <v>1178.1571028021156</v>
      </c>
      <c r="BW2" s="15">
        <f>IFERROR((s_dir!AW2/(d_Bv!V2+s_MLF_pumpkin)),".")</f>
        <v>1178.1571028021156</v>
      </c>
      <c r="BX2" s="15">
        <f>IFERROR((s_dir!AX2/(d_Bv!W2+s_MLF_snap_bean)),".")</f>
        <v>1178.1571028021156</v>
      </c>
      <c r="BY2" s="15">
        <f>IFERROR((s_dir!AY2/(d_Bv!X2+s_MLF_strawberry)),".")</f>
        <v>1178.1571028021156</v>
      </c>
      <c r="BZ2" s="15">
        <f>IFERROR((s_dir!AZ2/(d_Bv!Y2+s_MLF_tomato)),".")</f>
        <v>1178.1571028021156</v>
      </c>
      <c r="CA2" s="15">
        <f>IFERROR((s_dir!BA2/(d_Bv!Z2+s_MLF_rice)),".")</f>
        <v>1178.1571028021156</v>
      </c>
      <c r="CB2" s="15">
        <f>IFERROR((s_dir!BB2/(d_Bv!AA2+s_MLF_cereal)),".")</f>
        <v>1178.1571028021156</v>
      </c>
      <c r="CC2" s="40">
        <f>SUM(CD2,CU2,DA2:DB2)</f>
        <v>438.62499999999994</v>
      </c>
      <c r="CD2" s="40">
        <f>IFERROR(s_C*(d_Bv!C2+s_MLF_apple)*s_IFAP_far_adj*s_CF_apple,".")</f>
        <v>109.65624999999999</v>
      </c>
      <c r="CE2" s="40">
        <f>IFERROR(s_C*(d_Bv!D2+s_MLF_asparagus)*s_IFAS_far_adj*s_CF_asparagus,".")</f>
        <v>109.65624999999999</v>
      </c>
      <c r="CF2" s="40">
        <f>IFERROR(s_C*(d_Bv!E2+s_MLF_beet)*s_IFBT_far_adj*s_CF_beet,".")</f>
        <v>109.65624999999999</v>
      </c>
      <c r="CG2" s="40">
        <f>IFERROR(s_C*(d_Bv!F2+s_MLF_berries)*s_IFBR_far_adj*s_CF_berries,".")</f>
        <v>109.65624999999999</v>
      </c>
      <c r="CH2" s="40">
        <f>IFERROR(s_C*(d_Bv!G2+s_MLF_broccoli)*s_IFBR_far_adj*s_CF_broccoli,".")</f>
        <v>109.65624999999999</v>
      </c>
      <c r="CI2" s="40">
        <f>IFERROR(s_C*(d_Bv!H2+s_MLF_cabbage)*s_IFCB_far_adj*s_CF_cabbage,".")</f>
        <v>109.65624999999999</v>
      </c>
      <c r="CJ2" s="40">
        <f>IFERROR(s_C*(d_Bv!I2+s_MLF_carrot)*s_IFCR_far_adj*s_CF_carrot,".")</f>
        <v>109.65624999999999</v>
      </c>
      <c r="CK2" s="40">
        <f>IFERROR(s_C*(d_Bv!J2+s_MLF_citrus)*s_IFCI_far_adj*s_CF_citrus,".")</f>
        <v>109.65624999999999</v>
      </c>
      <c r="CL2" s="40">
        <f>IFERROR(s_C*(d_Bv!K2+s_MLF_corn)*s_IFCO_far_adj*s_CF_corn,".")</f>
        <v>109.65624999999999</v>
      </c>
      <c r="CM2" s="40">
        <f>IFERROR(s_C*(d_Bv!L2+s_MLF_cucumber)*s_IFCU_far_adj*s_CF_cucumber,".")</f>
        <v>109.65624999999999</v>
      </c>
      <c r="CN2" s="40">
        <f>IFERROR(s_C*(d_Bv!M2+s_MLF_lettuce)*s_IFLE_far_adj*s_CF_lettuce,".")</f>
        <v>109.65624999999999</v>
      </c>
      <c r="CO2" s="40">
        <f>IFERROR(s_C*(d_Bv!N2+s_MLF_lima_bean)*s_IFLI_far_adj*s_CF_lima_bean,".")</f>
        <v>109.65624999999999</v>
      </c>
      <c r="CP2" s="40">
        <f>IFERROR(s_C*(d_Bv!O2+s_MLF_okra)*s_IFOK_far_adj*s_CF_okra,".")</f>
        <v>109.65624999999999</v>
      </c>
      <c r="CQ2" s="40">
        <f>IFERROR(s_C*(d_Bv!P2+s_MLF_onion)*s_IFON_far_adj*s_CF_onion,".")</f>
        <v>109.65624999999999</v>
      </c>
      <c r="CR2" s="40">
        <f>IFERROR(s_C*(d_Bv!Q2+s_MLF_peach)*s_IFPC_far_adj*s_CF_peach,".")</f>
        <v>109.65624999999999</v>
      </c>
      <c r="CS2" s="40">
        <f>IFERROR(s_C*(d_Bv!R2+s_MLF_pear)*s_IFPR_far_adj*s_CF_pear,".")</f>
        <v>109.65624999999999</v>
      </c>
      <c r="CT2" s="40">
        <f>IFERROR(s_C*(d_Bv!S2+s_MLF_peas)*s_IFPE_far_adj*s_CF_peas,".")</f>
        <v>109.65624999999999</v>
      </c>
      <c r="CU2" s="40">
        <f>IFERROR(s_C*(d_Bv!T2+s_MLF_peppers)*s_IFPP_far_adj*s_CF_peppers,".")</f>
        <v>109.65624999999999</v>
      </c>
      <c r="CV2" s="40">
        <f>IFERROR(s_C*(d_Bv!U2+s_MLF_potato)*s_IFPT_far_adj*s_CF_potato,".")</f>
        <v>109.65624999999999</v>
      </c>
      <c r="CW2" s="40">
        <f>IFERROR(s_C*(d_Bv!V2+s_MLF_pumpkin)*s_IFPU_far_adj*s_CF_pumpkin,".")</f>
        <v>109.65624999999999</v>
      </c>
      <c r="CX2" s="40">
        <f>IFERROR(s_C*(d_Bv!W2+s_MLF_snap_bean)*s_IFSN_far_adj*s_CF_snap_bean,".")</f>
        <v>109.65624999999999</v>
      </c>
      <c r="CY2" s="40">
        <f>IFERROR(s_C*(d_Bv!X2+s_MLF_strawberry)*s_IFST_far_adj*s_CF_strawberry,".")</f>
        <v>109.65624999999999</v>
      </c>
      <c r="CZ2" s="40">
        <f>IFERROR(s_C*(d_Bv!Y2+s_MLF_tomato)*s_IFTO_far_adj*s_CF_tomato,".")</f>
        <v>109.65624999999999</v>
      </c>
      <c r="DA2" s="40">
        <f>IFERROR(s_C*(d_Bv!Z2+s_MLF_rice)*s_IFRI_far_adj*s_CF_rice,".")</f>
        <v>109.65624999999999</v>
      </c>
      <c r="DB2" s="40">
        <f>IFERROR(s_C*(d_Bv!AA2+s_MLF_cereal)*s_IFCG_far_adj*s_CF_cereal,".")</f>
        <v>109.65624999999999</v>
      </c>
    </row>
    <row r="3" spans="1:106" x14ac:dyDescent="0.25">
      <c r="A3" s="46" t="s">
        <v>1</v>
      </c>
      <c r="B3" s="42" t="s">
        <v>335</v>
      </c>
      <c r="C3" s="15">
        <f t="shared" ref="C3:C30" si="0">IFERROR(1/SUM(1/D3,1/U3,1/AA3,1/AB3),".")</f>
        <v>67.746096569426214</v>
      </c>
      <c r="D3" s="15">
        <f>IFERROR((s_dir!D3/(d_Bv!C3+s_MLF_apple)),".")</f>
        <v>277.43806438560455</v>
      </c>
      <c r="E3" s="15">
        <f>IFERROR((s_dir!E3/(d_Bv!D3+s_MLF_asparagus)),".")</f>
        <v>272.62269057382827</v>
      </c>
      <c r="F3" s="15">
        <f>IFERROR((s_dir!F3/(d_Bv!E3+s_MLF_beet)),".")</f>
        <v>264.92691949199821</v>
      </c>
      <c r="G3" s="15">
        <f>IFERROR((s_dir!G3/(d_Bv!F3+s_MLF_berries)),".")</f>
        <v>262.51849295116187</v>
      </c>
      <c r="H3" s="15">
        <f>IFERROR((s_dir!H3/(d_Bv!G3+s_MLF_broccoli)),".")</f>
        <v>270.8524133623099</v>
      </c>
      <c r="I3" s="15">
        <f>IFERROR((s_dir!I3/(d_Bv!H3+s_MLF_cabbage)),".")</f>
        <v>272.62269057382827</v>
      </c>
      <c r="J3" s="15">
        <f>IFERROR((s_dir!J3/(d_Bv!I3+s_MLF_carrot)),".")</f>
        <v>264.92691949199821</v>
      </c>
      <c r="K3" s="15">
        <f>IFERROR((s_dir!K3/(d_Bv!J3+s_MLF_citrus)),".")</f>
        <v>277.43806438560455</v>
      </c>
      <c r="L3" s="15">
        <f>IFERROR((s_dir!L3/(d_Bv!K3+s_MLF_corn)),".")</f>
        <v>277.04903684144762</v>
      </c>
      <c r="M3" s="15">
        <f>IFERROR((s_dir!M3/(d_Bv!L3+s_MLF_cucumber)),".")</f>
        <v>270.8524133623099</v>
      </c>
      <c r="N3" s="15">
        <f>IFERROR((s_dir!N3/(d_Bv!M3+s_MLF_lettuce)),".")</f>
        <v>272.62269057382827</v>
      </c>
      <c r="O3" s="15">
        <f>IFERROR((s_dir!O3/(d_Bv!N3+s_MLF_lima_bean)),".")</f>
        <v>270.46213610962644</v>
      </c>
      <c r="P3" s="15">
        <f>IFERROR((s_dir!P3/(d_Bv!O3+s_MLF_okra)),".")</f>
        <v>270.8524133623099</v>
      </c>
      <c r="Q3" s="15">
        <f>IFERROR((s_dir!Q3/(d_Bv!P3+s_MLF_onion)),".")</f>
        <v>264.92691949199821</v>
      </c>
      <c r="R3" s="15">
        <f>IFERROR((s_dir!R3/(d_Bv!Q3+s_MLF_peach)),".")</f>
        <v>277.43806438560455</v>
      </c>
      <c r="S3" s="15">
        <f>IFERROR((s_dir!S3/(d_Bv!R3+s_MLF_pear)),".")</f>
        <v>277.43806438560455</v>
      </c>
      <c r="T3" s="15">
        <f>IFERROR((s_dir!T3/(d_Bv!S3+s_MLF_peas)),".")</f>
        <v>270.46213610962644</v>
      </c>
      <c r="U3" s="15">
        <f>IFERROR((s_dir!U3/(d_Bv!T3+s_MLF_peppers)),".")</f>
        <v>270.8524133623099</v>
      </c>
      <c r="V3" s="15">
        <f>IFERROR((s_dir!V3/(d_Bv!U3+s_MLF_potato)),".")</f>
        <v>273.8157876879369</v>
      </c>
      <c r="W3" s="15">
        <f>IFERROR((s_dir!W3/(d_Bv!V3+s_MLF_pumpkin)),".")</f>
        <v>270.8524133623099</v>
      </c>
      <c r="X3" s="15">
        <f>IFERROR((s_dir!X3/(d_Bv!W3+s_MLF_snap_bean)),".")</f>
        <v>270.46213610962644</v>
      </c>
      <c r="Y3" s="15">
        <f>IFERROR((s_dir!Y3/(d_Bv!X3+s_MLF_strawberry)),".")</f>
        <v>275.8276597503023</v>
      </c>
      <c r="Z3" s="15">
        <f>IFERROR((s_dir!Z3/(d_Bv!Y3+s_MLF_tomato)),".")</f>
        <v>270.8524133623099</v>
      </c>
      <c r="AA3" s="15">
        <f>IFERROR((s_dir!AA3/(d_Bv!Z3+s_MLF_rice)),".")</f>
        <v>258.89754822080101</v>
      </c>
      <c r="AB3" s="15">
        <f>IFERROR((s_dir!AB3/(d_Bv!AA3+s_MLF_cereal)),".")</f>
        <v>277.62272217139588</v>
      </c>
      <c r="AC3" s="40">
        <f t="shared" ref="AC3:AC30" si="1">SUM(AD3,AU3,BA3:BB3)</f>
        <v>419.0608125</v>
      </c>
      <c r="AD3" s="40">
        <f>s_C*(d_Bv!C3+s_MLF_apple)*s_IFAP_res_adj*s_CF_apple</f>
        <v>102.32818749999998</v>
      </c>
      <c r="AE3" s="40">
        <f>s_C*(d_Bv!D3+s_MLF_asparagus)*s_IFAS_res_adj*s_CF_asparagus</f>
        <v>104.13562499999999</v>
      </c>
      <c r="AF3" s="40">
        <f>s_C*(d_Bv!E3+s_MLF_beet)*s_IFBT_res_adj*s_CF_beet</f>
        <v>107.160625</v>
      </c>
      <c r="AG3" s="40">
        <f>s_C*(d_Bv!F3+s_MLF_berries)*s_IFBE_res_adj*s_CF_berries</f>
        <v>108.14375000000001</v>
      </c>
      <c r="AH3" s="40">
        <f>s_C*(d_Bv!G3+s_MLF_broccoli)*s_IFBR_res_adj*s_CF_broccoli</f>
        <v>104.81625</v>
      </c>
      <c r="AI3" s="40">
        <f>s_C*(d_Bv!H3+s_MLF_cabbage)*s_IFCB_res_adj*s_CF_cabbage</f>
        <v>104.13562499999999</v>
      </c>
      <c r="AJ3" s="40">
        <f>s_C*(d_Bv!I3+s_MLF_carrot)*s_IFCR_res_adj*s_CF_carrot</f>
        <v>107.160625</v>
      </c>
      <c r="AK3" s="40">
        <f>s_C*(d_Bv!J3+s_MLF_citrus)*s_IFCI_res_adj*s_CF_citrus</f>
        <v>102.32818749999998</v>
      </c>
      <c r="AL3" s="40">
        <f>s_C*(d_Bv!K3+s_MLF_corn)*s_IFCO_res_adj*s_CF_corn</f>
        <v>102.47187500000001</v>
      </c>
      <c r="AM3" s="40">
        <f>s_C*(d_Bv!L3+s_MLF_cucumber)*s_IFCU_res_adj*s_CF_cucumber</f>
        <v>104.81625</v>
      </c>
      <c r="AN3" s="40">
        <f>s_C*(d_Bv!M3+s_MLF_lettuce)*s_IFLE_res_adj*s_CF_lettuce</f>
        <v>104.13562499999999</v>
      </c>
      <c r="AO3" s="40">
        <f>s_C*(d_Bv!N3+s_MLF_lima_bean)*s_IFLI_res_adj*s_CF_lima_bean</f>
        <v>104.9675</v>
      </c>
      <c r="AP3" s="40">
        <f>s_C*(d_Bv!O3+s_MLF_okra)*s_IFOK_res_adj*s_CF_okra</f>
        <v>104.81625</v>
      </c>
      <c r="AQ3" s="40">
        <f>s_C*(d_Bv!P3+s_MLF_onion)*s_IFON_res_adj*s_CF_onion</f>
        <v>107.160625</v>
      </c>
      <c r="AR3" s="40">
        <f>s_C*(d_Bv!Q3+s_MLF_peach)*s_IFPC_res_adj*s_CF_peach</f>
        <v>102.32818749999998</v>
      </c>
      <c r="AS3" s="40">
        <f>s_C*(d_Bv!R3+s_MLF_pear)*s_IFPR_res_adj*s_CF_pear</f>
        <v>102.32818749999998</v>
      </c>
      <c r="AT3" s="40">
        <f>s_C*(d_Bv!S3+s_MLF_peas)*s_IFPE_res_adj*s_CF_peas</f>
        <v>104.9675</v>
      </c>
      <c r="AU3" s="40">
        <f>s_C*(d_Bv!T3+s_MLF_peppers)*s_IFPP_res_adj*s_CF_peppers</f>
        <v>104.81625</v>
      </c>
      <c r="AV3" s="40">
        <f>s_C*(d_Bv!U3+s_MLF_potato)*s_IFPT_res_adj*s_CF_potato</f>
        <v>103.68187500000001</v>
      </c>
      <c r="AW3" s="40">
        <f>s_C*(d_Bv!V3+s_MLF_pumpkin)*s_IFPU_res_adj*s_CF_pumpkin</f>
        <v>104.81625</v>
      </c>
      <c r="AX3" s="40">
        <f>s_C*(d_Bv!W3+s_MLF_snap_bean)*s_IFSN_res_adj*s_CF_snap_bean</f>
        <v>104.9675</v>
      </c>
      <c r="AY3" s="40">
        <f>s_C*(d_Bv!X3+s_MLF_strawberry)*s_IFST_res_adj*s_CF_strawberry</f>
        <v>102.925625</v>
      </c>
      <c r="AZ3" s="40">
        <f>s_C*(d_Bv!Y3+s_MLF_tomato)*s_IFTO_res_adj*s_CF_tomato</f>
        <v>104.81625</v>
      </c>
      <c r="BA3" s="40">
        <f>s_C*(d_Bv!Z3+s_MLF_rice)*s_IFRI_res_adj*s_CF_rice</f>
        <v>109.65624999999999</v>
      </c>
      <c r="BB3" s="40">
        <f>s_C*(d_Bv!AA3+s_MLF_cereal)*s_IFCG_res_adj*s_CF_cereal</f>
        <v>102.260125</v>
      </c>
      <c r="BC3" s="15">
        <f t="shared" ref="BC3:BC30" si="2">IFERROR(1/SUM(1/BD3,1/BU3,1/CA3,1/CB3),".")</f>
        <v>67.746096569426214</v>
      </c>
      <c r="BD3" s="15">
        <f>IFERROR((s_dir!AD3/(d_Bv!C3+s_MLF_apple)),".")</f>
        <v>277.43806438560455</v>
      </c>
      <c r="BE3" s="15">
        <f>IFERROR((s_dir!AE3/(d_Bv!D3+s_MLF_asparagus)),".")</f>
        <v>272.62269057382827</v>
      </c>
      <c r="BF3" s="15">
        <f>IFERROR((s_dir!AF3/(d_Bv!E3+s_MLF_beet)),".")</f>
        <v>264.92691949199821</v>
      </c>
      <c r="BG3" s="15">
        <f>IFERROR((s_dir!AG3/(d_Bv!F3+s_MLF_berries)),".")</f>
        <v>262.51849295116187</v>
      </c>
      <c r="BH3" s="15">
        <f>IFERROR((s_dir!AH3/(d_Bv!G3+s_MLF_broccoli)),".")</f>
        <v>270.8524133623099</v>
      </c>
      <c r="BI3" s="15">
        <f>IFERROR((s_dir!AI3/(d_Bv!H3+s_MLF_cabbage)),".")</f>
        <v>272.62269057382827</v>
      </c>
      <c r="BJ3" s="15">
        <f>IFERROR((s_dir!AJ3/(d_Bv!I3+s_MLF_carrot)),".")</f>
        <v>264.92691949199821</v>
      </c>
      <c r="BK3" s="15">
        <f>IFERROR((s_dir!AK3/(d_Bv!J3+s_MLF_citrus)),".")</f>
        <v>277.43806438560455</v>
      </c>
      <c r="BL3" s="15">
        <f>IFERROR((s_dir!AL3/(d_Bv!K3+s_MLF_corn)),".")</f>
        <v>277.04903684144762</v>
      </c>
      <c r="BM3" s="15">
        <f>IFERROR((s_dir!AM3/(d_Bv!L3+s_MLF_cucumber)),".")</f>
        <v>270.8524133623099</v>
      </c>
      <c r="BN3" s="15">
        <f>IFERROR((s_dir!AN3/(d_Bv!M3+s_MLF_lettuce)),".")</f>
        <v>272.62269057382827</v>
      </c>
      <c r="BO3" s="15">
        <f>IFERROR((s_dir!AO3/(d_Bv!N3+s_MLF_lima_bean)),".")</f>
        <v>270.46213610962644</v>
      </c>
      <c r="BP3" s="15">
        <f>IFERROR((s_dir!AP3/(d_Bv!O3+s_MLF_okra)),".")</f>
        <v>270.8524133623099</v>
      </c>
      <c r="BQ3" s="15">
        <f>IFERROR((s_dir!AQ3/(d_Bv!P3+s_MLF_onion)),".")</f>
        <v>264.92691949199821</v>
      </c>
      <c r="BR3" s="15">
        <f>IFERROR((s_dir!AR3/(d_Bv!Q3+s_MLF_peach)),".")</f>
        <v>277.43806438560455</v>
      </c>
      <c r="BS3" s="15">
        <f>IFERROR((s_dir!AS3/(d_Bv!R3+s_MLF_pear)),".")</f>
        <v>277.43806438560455</v>
      </c>
      <c r="BT3" s="15">
        <f>IFERROR((s_dir!AT3/(d_Bv!S3+s_MLF_peas)),".")</f>
        <v>270.46213610962644</v>
      </c>
      <c r="BU3" s="15">
        <f>IFERROR((s_dir!AU3/(d_Bv!T3+s_MLF_peppers)),".")</f>
        <v>270.8524133623099</v>
      </c>
      <c r="BV3" s="15">
        <f>IFERROR((s_dir!AV3/(d_Bv!U3+s_MLF_potato)),".")</f>
        <v>273.8157876879369</v>
      </c>
      <c r="BW3" s="15">
        <f>IFERROR((s_dir!AW3/(d_Bv!V3+s_MLF_pumpkin)),".")</f>
        <v>270.8524133623099</v>
      </c>
      <c r="BX3" s="15">
        <f>IFERROR((s_dir!AX3/(d_Bv!W3+s_MLF_snap_bean)),".")</f>
        <v>270.46213610962644</v>
      </c>
      <c r="BY3" s="15">
        <f>IFERROR((s_dir!AY3/(d_Bv!X3+s_MLF_strawberry)),".")</f>
        <v>275.8276597503023</v>
      </c>
      <c r="BZ3" s="15">
        <f>IFERROR((s_dir!AZ3/(d_Bv!Y3+s_MLF_tomato)),".")</f>
        <v>270.8524133623099</v>
      </c>
      <c r="CA3" s="15">
        <f>IFERROR((s_dir!BA3/(d_Bv!Z3+s_MLF_rice)),".")</f>
        <v>258.89754822080101</v>
      </c>
      <c r="CB3" s="15">
        <f>IFERROR((s_dir!BB3/(d_Bv!AA3+s_MLF_cereal)),".")</f>
        <v>277.62272217139588</v>
      </c>
      <c r="CC3" s="40">
        <f t="shared" ref="CC3:CC30" si="3">SUM(CD3,CU3,DA3:DB3)</f>
        <v>419.0608125</v>
      </c>
      <c r="CD3" s="40">
        <f>IFERROR(s_C*(d_Bv!C3+s_MLF_apple)*s_IFAP_far_adj*s_CF_apple,".")</f>
        <v>102.32818749999998</v>
      </c>
      <c r="CE3" s="40">
        <f>IFERROR(s_C*(d_Bv!D3+s_MLF_asparagus)*s_IFAS_far_adj*s_CF_asparagus,".")</f>
        <v>104.13562499999999</v>
      </c>
      <c r="CF3" s="40">
        <f>IFERROR(s_C*(d_Bv!E3+s_MLF_beet)*s_IFBT_far_adj*s_CF_beet,".")</f>
        <v>107.160625</v>
      </c>
      <c r="CG3" s="40">
        <f>IFERROR(s_C*(d_Bv!F3+s_MLF_berries)*s_IFBR_far_adj*s_CF_berries,".")</f>
        <v>108.14375000000001</v>
      </c>
      <c r="CH3" s="40">
        <f>IFERROR(s_C*(d_Bv!G3+s_MLF_broccoli)*s_IFBR_far_adj*s_CF_broccoli,".")</f>
        <v>104.81625</v>
      </c>
      <c r="CI3" s="40">
        <f>IFERROR(s_C*(d_Bv!H3+s_MLF_cabbage)*s_IFCB_far_adj*s_CF_cabbage,".")</f>
        <v>104.13562499999999</v>
      </c>
      <c r="CJ3" s="40">
        <f>IFERROR(s_C*(d_Bv!I3+s_MLF_carrot)*s_IFCR_far_adj*s_CF_carrot,".")</f>
        <v>107.160625</v>
      </c>
      <c r="CK3" s="40">
        <f>IFERROR(s_C*(d_Bv!J3+s_MLF_citrus)*s_IFCI_far_adj*s_CF_citrus,".")</f>
        <v>102.32818749999998</v>
      </c>
      <c r="CL3" s="40">
        <f>IFERROR(s_C*(d_Bv!K3+s_MLF_corn)*s_IFCO_far_adj*s_CF_corn,".")</f>
        <v>102.47187500000001</v>
      </c>
      <c r="CM3" s="40">
        <f>IFERROR(s_C*(d_Bv!L3+s_MLF_cucumber)*s_IFCU_far_adj*s_CF_cucumber,".")</f>
        <v>104.81625</v>
      </c>
      <c r="CN3" s="40">
        <f>IFERROR(s_C*(d_Bv!M3+s_MLF_lettuce)*s_IFLE_far_adj*s_CF_lettuce,".")</f>
        <v>104.13562499999999</v>
      </c>
      <c r="CO3" s="40">
        <f>IFERROR(s_C*(d_Bv!N3+s_MLF_lima_bean)*s_IFLI_far_adj*s_CF_lima_bean,".")</f>
        <v>104.9675</v>
      </c>
      <c r="CP3" s="40">
        <f>IFERROR(s_C*(d_Bv!O3+s_MLF_okra)*s_IFOK_far_adj*s_CF_okra,".")</f>
        <v>104.81625</v>
      </c>
      <c r="CQ3" s="40">
        <f>IFERROR(s_C*(d_Bv!P3+s_MLF_onion)*s_IFON_far_adj*s_CF_onion,".")</f>
        <v>107.160625</v>
      </c>
      <c r="CR3" s="40">
        <f>IFERROR(s_C*(d_Bv!Q3+s_MLF_peach)*s_IFPC_far_adj*s_CF_peach,".")</f>
        <v>102.32818749999998</v>
      </c>
      <c r="CS3" s="40">
        <f>IFERROR(s_C*(d_Bv!R3+s_MLF_pear)*s_IFPR_far_adj*s_CF_pear,".")</f>
        <v>102.32818749999998</v>
      </c>
      <c r="CT3" s="40">
        <f>IFERROR(s_C*(d_Bv!S3+s_MLF_peas)*s_IFPE_far_adj*s_CF_peas,".")</f>
        <v>104.9675</v>
      </c>
      <c r="CU3" s="40">
        <f>IFERROR(s_C*(d_Bv!T3+s_MLF_peppers)*s_IFPP_far_adj*s_CF_peppers,".")</f>
        <v>104.81625</v>
      </c>
      <c r="CV3" s="40">
        <f>IFERROR(s_C*(d_Bv!U3+s_MLF_potato)*s_IFPT_far_adj*s_CF_potato,".")</f>
        <v>103.68187500000001</v>
      </c>
      <c r="CW3" s="40">
        <f>IFERROR(s_C*(d_Bv!V3+s_MLF_pumpkin)*s_IFPU_far_adj*s_CF_pumpkin,".")</f>
        <v>104.81625</v>
      </c>
      <c r="CX3" s="40">
        <f>IFERROR(s_C*(d_Bv!W3+s_MLF_snap_bean)*s_IFSN_far_adj*s_CF_snap_bean,".")</f>
        <v>104.9675</v>
      </c>
      <c r="CY3" s="40">
        <f>IFERROR(s_C*(d_Bv!X3+s_MLF_strawberry)*s_IFST_far_adj*s_CF_strawberry,".")</f>
        <v>102.925625</v>
      </c>
      <c r="CZ3" s="40">
        <f>IFERROR(s_C*(d_Bv!Y3+s_MLF_tomato)*s_IFTO_far_adj*s_CF_tomato,".")</f>
        <v>104.81625</v>
      </c>
      <c r="DA3" s="40">
        <f>IFERROR(s_C*(d_Bv!Z3+s_MLF_rice)*s_IFRI_far_adj*s_CF_rice,".")</f>
        <v>109.65624999999999</v>
      </c>
      <c r="DB3" s="40">
        <f>IFERROR(s_C*(d_Bv!AA3+s_MLF_cereal)*s_IFCG_far_adj*s_CF_cereal,".")</f>
        <v>102.260125</v>
      </c>
    </row>
    <row r="4" spans="1:106" ht="15" customHeight="1" x14ac:dyDescent="0.25">
      <c r="A4" s="44" t="s">
        <v>2</v>
      </c>
      <c r="B4" s="42" t="s">
        <v>1057</v>
      </c>
      <c r="C4" s="15" t="str">
        <f t="shared" si="0"/>
        <v>.</v>
      </c>
      <c r="D4" s="15" t="str">
        <f>IFERROR((s_dir!D4/(d_Bv!C4+s_MLF_apple)),".")</f>
        <v>.</v>
      </c>
      <c r="E4" s="15" t="str">
        <f>IFERROR((s_dir!E4/(d_Bv!D4+s_MLF_asparagus)),".")</f>
        <v>.</v>
      </c>
      <c r="F4" s="15" t="str">
        <f>IFERROR((s_dir!F4/(d_Bv!E4+s_MLF_beet)),".")</f>
        <v>.</v>
      </c>
      <c r="G4" s="15" t="str">
        <f>IFERROR((s_dir!G4/(d_Bv!F4+s_MLF_berries)),".")</f>
        <v>.</v>
      </c>
      <c r="H4" s="15" t="str">
        <f>IFERROR((s_dir!H4/(d_Bv!G4+s_MLF_broccoli)),".")</f>
        <v>.</v>
      </c>
      <c r="I4" s="15" t="str">
        <f>IFERROR((s_dir!I4/(d_Bv!H4+s_MLF_cabbage)),".")</f>
        <v>.</v>
      </c>
      <c r="J4" s="15" t="str">
        <f>IFERROR((s_dir!J4/(d_Bv!I4+s_MLF_carrot)),".")</f>
        <v>.</v>
      </c>
      <c r="K4" s="15" t="str">
        <f>IFERROR((s_dir!K4/(d_Bv!J4+s_MLF_citrus)),".")</f>
        <v>.</v>
      </c>
      <c r="L4" s="15" t="str">
        <f>IFERROR((s_dir!L4/(d_Bv!K4+s_MLF_corn)),".")</f>
        <v>.</v>
      </c>
      <c r="M4" s="15" t="str">
        <f>IFERROR((s_dir!M4/(d_Bv!L4+s_MLF_cucumber)),".")</f>
        <v>.</v>
      </c>
      <c r="N4" s="15" t="str">
        <f>IFERROR((s_dir!N4/(d_Bv!M4+s_MLF_lettuce)),".")</f>
        <v>.</v>
      </c>
      <c r="O4" s="15" t="str">
        <f>IFERROR((s_dir!O4/(d_Bv!N4+s_MLF_lima_bean)),".")</f>
        <v>.</v>
      </c>
      <c r="P4" s="15" t="str">
        <f>IFERROR((s_dir!P4/(d_Bv!O4+s_MLF_okra)),".")</f>
        <v>.</v>
      </c>
      <c r="Q4" s="15" t="str">
        <f>IFERROR((s_dir!Q4/(d_Bv!P4+s_MLF_onion)),".")</f>
        <v>.</v>
      </c>
      <c r="R4" s="15" t="str">
        <f>IFERROR((s_dir!R4/(d_Bv!Q4+s_MLF_peach)),".")</f>
        <v>.</v>
      </c>
      <c r="S4" s="15" t="str">
        <f>IFERROR((s_dir!S4/(d_Bv!R4+s_MLF_pear)),".")</f>
        <v>.</v>
      </c>
      <c r="T4" s="15" t="str">
        <f>IFERROR((s_dir!T4/(d_Bv!S4+s_MLF_peas)),".")</f>
        <v>.</v>
      </c>
      <c r="U4" s="15" t="str">
        <f>IFERROR((s_dir!U4/(d_Bv!T4+s_MLF_peppers)),".")</f>
        <v>.</v>
      </c>
      <c r="V4" s="15" t="str">
        <f>IFERROR((s_dir!V4/(d_Bv!U4+s_MLF_potato)),".")</f>
        <v>.</v>
      </c>
      <c r="W4" s="15" t="str">
        <f>IFERROR((s_dir!W4/(d_Bv!V4+s_MLF_pumpkin)),".")</f>
        <v>.</v>
      </c>
      <c r="X4" s="15" t="str">
        <f>IFERROR((s_dir!X4/(d_Bv!W4+s_MLF_snap_bean)),".")</f>
        <v>.</v>
      </c>
      <c r="Y4" s="15" t="str">
        <f>IFERROR((s_dir!Y4/(d_Bv!X4+s_MLF_strawberry)),".")</f>
        <v>.</v>
      </c>
      <c r="Z4" s="15" t="str">
        <f>IFERROR((s_dir!Z4/(d_Bv!Y4+s_MLF_tomato)),".")</f>
        <v>.</v>
      </c>
      <c r="AA4" s="15" t="str">
        <f>IFERROR((s_dir!AA4/(d_Bv!Z4+s_MLF_rice)),".")</f>
        <v>.</v>
      </c>
      <c r="AB4" s="15" t="str">
        <f>IFERROR((s_dir!AB4/(d_Bv!AA4+s_MLF_cereal)),".")</f>
        <v>.</v>
      </c>
      <c r="AC4" s="40">
        <f t="shared" si="1"/>
        <v>6458.3750000000009</v>
      </c>
      <c r="AD4" s="40">
        <f>s_C*(d_Bv!C4+s_MLF_apple)*s_IFAP_res_adj*s_CF_apple</f>
        <v>1614.5937500000002</v>
      </c>
      <c r="AE4" s="40">
        <f>s_C*(d_Bv!D4+s_MLF_asparagus)*s_IFAS_res_adj*s_CF_asparagus</f>
        <v>1614.5937500000002</v>
      </c>
      <c r="AF4" s="40">
        <f>s_C*(d_Bv!E4+s_MLF_beet)*s_IFBT_res_adj*s_CF_beet</f>
        <v>1614.5937500000002</v>
      </c>
      <c r="AG4" s="40">
        <f>s_C*(d_Bv!F4+s_MLF_berries)*s_IFBE_res_adj*s_CF_berries</f>
        <v>1614.5937500000002</v>
      </c>
      <c r="AH4" s="40">
        <f>s_C*(d_Bv!G4+s_MLF_broccoli)*s_IFBR_res_adj*s_CF_broccoli</f>
        <v>1614.5937500000002</v>
      </c>
      <c r="AI4" s="40">
        <f>s_C*(d_Bv!H4+s_MLF_cabbage)*s_IFCB_res_adj*s_CF_cabbage</f>
        <v>1614.5937500000002</v>
      </c>
      <c r="AJ4" s="40">
        <f>s_C*(d_Bv!I4+s_MLF_carrot)*s_IFCR_res_adj*s_CF_carrot</f>
        <v>1614.5937500000002</v>
      </c>
      <c r="AK4" s="40">
        <f>s_C*(d_Bv!J4+s_MLF_citrus)*s_IFCI_res_adj*s_CF_citrus</f>
        <v>1614.5937500000002</v>
      </c>
      <c r="AL4" s="40">
        <f>s_C*(d_Bv!K4+s_MLF_corn)*s_IFCO_res_adj*s_CF_corn</f>
        <v>1614.5937500000002</v>
      </c>
      <c r="AM4" s="40">
        <f>s_C*(d_Bv!L4+s_MLF_cucumber)*s_IFCU_res_adj*s_CF_cucumber</f>
        <v>1614.5937500000002</v>
      </c>
      <c r="AN4" s="40">
        <f>s_C*(d_Bv!M4+s_MLF_lettuce)*s_IFLE_res_adj*s_CF_lettuce</f>
        <v>1614.5937500000002</v>
      </c>
      <c r="AO4" s="40">
        <f>s_C*(d_Bv!N4+s_MLF_lima_bean)*s_IFLI_res_adj*s_CF_lima_bean</f>
        <v>1614.5937500000002</v>
      </c>
      <c r="AP4" s="40">
        <f>s_C*(d_Bv!O4+s_MLF_okra)*s_IFOK_res_adj*s_CF_okra</f>
        <v>1614.5937500000002</v>
      </c>
      <c r="AQ4" s="40">
        <f>s_C*(d_Bv!P4+s_MLF_onion)*s_IFON_res_adj*s_CF_onion</f>
        <v>1614.5937500000002</v>
      </c>
      <c r="AR4" s="40">
        <f>s_C*(d_Bv!Q4+s_MLF_peach)*s_IFPC_res_adj*s_CF_peach</f>
        <v>1614.5937500000002</v>
      </c>
      <c r="AS4" s="40">
        <f>s_C*(d_Bv!R4+s_MLF_pear)*s_IFPR_res_adj*s_CF_pear</f>
        <v>1614.5937500000002</v>
      </c>
      <c r="AT4" s="40">
        <f>s_C*(d_Bv!S4+s_MLF_peas)*s_IFPE_res_adj*s_CF_peas</f>
        <v>1614.5937500000002</v>
      </c>
      <c r="AU4" s="40">
        <f>s_C*(d_Bv!T4+s_MLF_peppers)*s_IFPP_res_adj*s_CF_peppers</f>
        <v>1614.5937500000002</v>
      </c>
      <c r="AV4" s="40">
        <f>s_C*(d_Bv!U4+s_MLF_potato)*s_IFPT_res_adj*s_CF_potato</f>
        <v>1614.5937500000002</v>
      </c>
      <c r="AW4" s="40">
        <f>s_C*(d_Bv!V4+s_MLF_pumpkin)*s_IFPU_res_adj*s_CF_pumpkin</f>
        <v>1614.5937500000002</v>
      </c>
      <c r="AX4" s="40">
        <f>s_C*(d_Bv!W4+s_MLF_snap_bean)*s_IFSN_res_adj*s_CF_snap_bean</f>
        <v>1614.5937500000002</v>
      </c>
      <c r="AY4" s="40">
        <f>s_C*(d_Bv!X4+s_MLF_strawberry)*s_IFST_res_adj*s_CF_strawberry</f>
        <v>1614.5937500000002</v>
      </c>
      <c r="AZ4" s="40">
        <f>s_C*(d_Bv!Y4+s_MLF_tomato)*s_IFTO_res_adj*s_CF_tomato</f>
        <v>1614.5937500000002</v>
      </c>
      <c r="BA4" s="40">
        <f>s_C*(d_Bv!Z4+s_MLF_rice)*s_IFRI_res_adj*s_CF_rice</f>
        <v>1614.5937500000002</v>
      </c>
      <c r="BB4" s="40">
        <f>s_C*(d_Bv!AA4+s_MLF_cereal)*s_IFCG_res_adj*s_CF_cereal</f>
        <v>1614.5937500000002</v>
      </c>
      <c r="BC4" s="15" t="str">
        <f t="shared" si="2"/>
        <v>.</v>
      </c>
      <c r="BD4" s="15" t="str">
        <f>IFERROR((s_dir!AD4/(d_Bv!C4+s_MLF_apple)),".")</f>
        <v>.</v>
      </c>
      <c r="BE4" s="15" t="str">
        <f>IFERROR((s_dir!AE4/(d_Bv!D4+s_MLF_asparagus)),".")</f>
        <v>.</v>
      </c>
      <c r="BF4" s="15" t="str">
        <f>IFERROR((s_dir!AF4/(d_Bv!E4+s_MLF_beet)),".")</f>
        <v>.</v>
      </c>
      <c r="BG4" s="15" t="str">
        <f>IFERROR((s_dir!AG4/(d_Bv!F4+s_MLF_berries)),".")</f>
        <v>.</v>
      </c>
      <c r="BH4" s="15" t="str">
        <f>IFERROR((s_dir!AH4/(d_Bv!G4+s_MLF_broccoli)),".")</f>
        <v>.</v>
      </c>
      <c r="BI4" s="15" t="str">
        <f>IFERROR((s_dir!AI4/(d_Bv!H4+s_MLF_cabbage)),".")</f>
        <v>.</v>
      </c>
      <c r="BJ4" s="15" t="str">
        <f>IFERROR((s_dir!AJ4/(d_Bv!I4+s_MLF_carrot)),".")</f>
        <v>.</v>
      </c>
      <c r="BK4" s="15" t="str">
        <f>IFERROR((s_dir!AK4/(d_Bv!J4+s_MLF_citrus)),".")</f>
        <v>.</v>
      </c>
      <c r="BL4" s="15" t="str">
        <f>IFERROR((s_dir!AL4/(d_Bv!K4+s_MLF_corn)),".")</f>
        <v>.</v>
      </c>
      <c r="BM4" s="15" t="str">
        <f>IFERROR((s_dir!AM4/(d_Bv!L4+s_MLF_cucumber)),".")</f>
        <v>.</v>
      </c>
      <c r="BN4" s="15" t="str">
        <f>IFERROR((s_dir!AN4/(d_Bv!M4+s_MLF_lettuce)),".")</f>
        <v>.</v>
      </c>
      <c r="BO4" s="15" t="str">
        <f>IFERROR((s_dir!AO4/(d_Bv!N4+s_MLF_lima_bean)),".")</f>
        <v>.</v>
      </c>
      <c r="BP4" s="15" t="str">
        <f>IFERROR((s_dir!AP4/(d_Bv!O4+s_MLF_okra)),".")</f>
        <v>.</v>
      </c>
      <c r="BQ4" s="15" t="str">
        <f>IFERROR((s_dir!AQ4/(d_Bv!P4+s_MLF_onion)),".")</f>
        <v>.</v>
      </c>
      <c r="BR4" s="15" t="str">
        <f>IFERROR((s_dir!AR4/(d_Bv!Q4+s_MLF_peach)),".")</f>
        <v>.</v>
      </c>
      <c r="BS4" s="15" t="str">
        <f>IFERROR((s_dir!AS4/(d_Bv!R4+s_MLF_pear)),".")</f>
        <v>.</v>
      </c>
      <c r="BT4" s="15" t="str">
        <f>IFERROR((s_dir!AT4/(d_Bv!S4+s_MLF_peas)),".")</f>
        <v>.</v>
      </c>
      <c r="BU4" s="15" t="str">
        <f>IFERROR((s_dir!AU4/(d_Bv!T4+s_MLF_peppers)),".")</f>
        <v>.</v>
      </c>
      <c r="BV4" s="15" t="str">
        <f>IFERROR((s_dir!AV4/(d_Bv!U4+s_MLF_potato)),".")</f>
        <v>.</v>
      </c>
      <c r="BW4" s="15" t="str">
        <f>IFERROR((s_dir!AW4/(d_Bv!V4+s_MLF_pumpkin)),".")</f>
        <v>.</v>
      </c>
      <c r="BX4" s="15" t="str">
        <f>IFERROR((s_dir!AX4/(d_Bv!W4+s_MLF_snap_bean)),".")</f>
        <v>.</v>
      </c>
      <c r="BY4" s="15" t="str">
        <f>IFERROR((s_dir!AY4/(d_Bv!X4+s_MLF_strawberry)),".")</f>
        <v>.</v>
      </c>
      <c r="BZ4" s="15" t="str">
        <f>IFERROR((s_dir!AZ4/(d_Bv!Y4+s_MLF_tomato)),".")</f>
        <v>.</v>
      </c>
      <c r="CA4" s="15" t="str">
        <f>IFERROR((s_dir!BA4/(d_Bv!Z4+s_MLF_rice)),".")</f>
        <v>.</v>
      </c>
      <c r="CB4" s="15" t="str">
        <f>IFERROR((s_dir!BB4/(d_Bv!AA4+s_MLF_cereal)),".")</f>
        <v>.</v>
      </c>
      <c r="CC4" s="40">
        <f t="shared" si="3"/>
        <v>6458.3750000000009</v>
      </c>
      <c r="CD4" s="40">
        <f>IFERROR(s_C*(d_Bv!C4+s_MLF_apple)*s_IFAP_far_adj*s_CF_apple,".")</f>
        <v>1614.5937500000002</v>
      </c>
      <c r="CE4" s="40">
        <f>IFERROR(s_C*(d_Bv!D4+s_MLF_asparagus)*s_IFAS_far_adj*s_CF_asparagus,".")</f>
        <v>1614.5937500000002</v>
      </c>
      <c r="CF4" s="40">
        <f>IFERROR(s_C*(d_Bv!E4+s_MLF_beet)*s_IFBT_far_adj*s_CF_beet,".")</f>
        <v>1614.5937500000002</v>
      </c>
      <c r="CG4" s="40">
        <f>IFERROR(s_C*(d_Bv!F4+s_MLF_berries)*s_IFBR_far_adj*s_CF_berries,".")</f>
        <v>1614.5937500000002</v>
      </c>
      <c r="CH4" s="40">
        <f>IFERROR(s_C*(d_Bv!G4+s_MLF_broccoli)*s_IFBR_far_adj*s_CF_broccoli,".")</f>
        <v>1614.5937500000002</v>
      </c>
      <c r="CI4" s="40">
        <f>IFERROR(s_C*(d_Bv!H4+s_MLF_cabbage)*s_IFCB_far_adj*s_CF_cabbage,".")</f>
        <v>1614.5937500000002</v>
      </c>
      <c r="CJ4" s="40">
        <f>IFERROR(s_C*(d_Bv!I4+s_MLF_carrot)*s_IFCR_far_adj*s_CF_carrot,".")</f>
        <v>1614.5937500000002</v>
      </c>
      <c r="CK4" s="40">
        <f>IFERROR(s_C*(d_Bv!J4+s_MLF_citrus)*s_IFCI_far_adj*s_CF_citrus,".")</f>
        <v>1614.5937500000002</v>
      </c>
      <c r="CL4" s="40">
        <f>IFERROR(s_C*(d_Bv!K4+s_MLF_corn)*s_IFCO_far_adj*s_CF_corn,".")</f>
        <v>1614.5937500000002</v>
      </c>
      <c r="CM4" s="40">
        <f>IFERROR(s_C*(d_Bv!L4+s_MLF_cucumber)*s_IFCU_far_adj*s_CF_cucumber,".")</f>
        <v>1614.5937500000002</v>
      </c>
      <c r="CN4" s="40">
        <f>IFERROR(s_C*(d_Bv!M4+s_MLF_lettuce)*s_IFLE_far_adj*s_CF_lettuce,".")</f>
        <v>1614.5937500000002</v>
      </c>
      <c r="CO4" s="40">
        <f>IFERROR(s_C*(d_Bv!N4+s_MLF_lima_bean)*s_IFLI_far_adj*s_CF_lima_bean,".")</f>
        <v>1614.5937500000002</v>
      </c>
      <c r="CP4" s="40">
        <f>IFERROR(s_C*(d_Bv!O4+s_MLF_okra)*s_IFOK_far_adj*s_CF_okra,".")</f>
        <v>1614.5937500000002</v>
      </c>
      <c r="CQ4" s="40">
        <f>IFERROR(s_C*(d_Bv!P4+s_MLF_onion)*s_IFON_far_adj*s_CF_onion,".")</f>
        <v>1614.5937500000002</v>
      </c>
      <c r="CR4" s="40">
        <f>IFERROR(s_C*(d_Bv!Q4+s_MLF_peach)*s_IFPC_far_adj*s_CF_peach,".")</f>
        <v>1614.5937500000002</v>
      </c>
      <c r="CS4" s="40">
        <f>IFERROR(s_C*(d_Bv!R4+s_MLF_pear)*s_IFPR_far_adj*s_CF_pear,".")</f>
        <v>1614.5937500000002</v>
      </c>
      <c r="CT4" s="40">
        <f>IFERROR(s_C*(d_Bv!S4+s_MLF_peas)*s_IFPE_far_adj*s_CF_peas,".")</f>
        <v>1614.5937500000002</v>
      </c>
      <c r="CU4" s="40">
        <f>IFERROR(s_C*(d_Bv!T4+s_MLF_peppers)*s_IFPP_far_adj*s_CF_peppers,".")</f>
        <v>1614.5937500000002</v>
      </c>
      <c r="CV4" s="40">
        <f>IFERROR(s_C*(d_Bv!U4+s_MLF_potato)*s_IFPT_far_adj*s_CF_potato,".")</f>
        <v>1614.5937500000002</v>
      </c>
      <c r="CW4" s="40">
        <f>IFERROR(s_C*(d_Bv!V4+s_MLF_pumpkin)*s_IFPU_far_adj*s_CF_pumpkin,".")</f>
        <v>1614.5937500000002</v>
      </c>
      <c r="CX4" s="40">
        <f>IFERROR(s_C*(d_Bv!W4+s_MLF_snap_bean)*s_IFSN_far_adj*s_CF_snap_bean,".")</f>
        <v>1614.5937500000002</v>
      </c>
      <c r="CY4" s="40">
        <f>IFERROR(s_C*(d_Bv!X4+s_MLF_strawberry)*s_IFST_far_adj*s_CF_strawberry,".")</f>
        <v>1614.5937500000002</v>
      </c>
      <c r="CZ4" s="40">
        <f>IFERROR(s_C*(d_Bv!Y4+s_MLF_tomato)*s_IFTO_far_adj*s_CF_tomato,".")</f>
        <v>1614.5937500000002</v>
      </c>
      <c r="DA4" s="40">
        <f>IFERROR(s_C*(d_Bv!Z4+s_MLF_rice)*s_IFRI_far_adj*s_CF_rice,".")</f>
        <v>1614.5937500000002</v>
      </c>
      <c r="DB4" s="40">
        <f>IFERROR(s_C*(d_Bv!AA4+s_MLF_cereal)*s_IFCG_far_adj*s_CF_cereal,".")</f>
        <v>1614.5937500000002</v>
      </c>
    </row>
    <row r="5" spans="1:106" ht="15" customHeight="1" x14ac:dyDescent="0.25">
      <c r="A5" s="44" t="s">
        <v>3</v>
      </c>
      <c r="B5" s="42" t="s">
        <v>1057</v>
      </c>
      <c r="C5" s="15" t="str">
        <f t="shared" si="0"/>
        <v>.</v>
      </c>
      <c r="D5" s="15" t="str">
        <f>IFERROR((s_dir!D5/(d_Bv!C5+s_MLF_apple)),".")</f>
        <v>.</v>
      </c>
      <c r="E5" s="15" t="str">
        <f>IFERROR((s_dir!E5/(d_Bv!D5+s_MLF_asparagus)),".")</f>
        <v>.</v>
      </c>
      <c r="F5" s="15" t="str">
        <f>IFERROR((s_dir!F5/(d_Bv!E5+s_MLF_beet)),".")</f>
        <v>.</v>
      </c>
      <c r="G5" s="15" t="str">
        <f>IFERROR((s_dir!G5/(d_Bv!F5+s_MLF_berries)),".")</f>
        <v>.</v>
      </c>
      <c r="H5" s="15" t="str">
        <f>IFERROR((s_dir!H5/(d_Bv!G5+s_MLF_broccoli)),".")</f>
        <v>.</v>
      </c>
      <c r="I5" s="15" t="str">
        <f>IFERROR((s_dir!I5/(d_Bv!H5+s_MLF_cabbage)),".")</f>
        <v>.</v>
      </c>
      <c r="J5" s="15" t="str">
        <f>IFERROR((s_dir!J5/(d_Bv!I5+s_MLF_carrot)),".")</f>
        <v>.</v>
      </c>
      <c r="K5" s="15" t="str">
        <f>IFERROR((s_dir!K5/(d_Bv!J5+s_MLF_citrus)),".")</f>
        <v>.</v>
      </c>
      <c r="L5" s="15" t="str">
        <f>IFERROR((s_dir!L5/(d_Bv!K5+s_MLF_corn)),".")</f>
        <v>.</v>
      </c>
      <c r="M5" s="15" t="str">
        <f>IFERROR((s_dir!M5/(d_Bv!L5+s_MLF_cucumber)),".")</f>
        <v>.</v>
      </c>
      <c r="N5" s="15" t="str">
        <f>IFERROR((s_dir!N5/(d_Bv!M5+s_MLF_lettuce)),".")</f>
        <v>.</v>
      </c>
      <c r="O5" s="15" t="str">
        <f>IFERROR((s_dir!O5/(d_Bv!N5+s_MLF_lima_bean)),".")</f>
        <v>.</v>
      </c>
      <c r="P5" s="15" t="str">
        <f>IFERROR((s_dir!P5/(d_Bv!O5+s_MLF_okra)),".")</f>
        <v>.</v>
      </c>
      <c r="Q5" s="15" t="str">
        <f>IFERROR((s_dir!Q5/(d_Bv!P5+s_MLF_onion)),".")</f>
        <v>.</v>
      </c>
      <c r="R5" s="15" t="str">
        <f>IFERROR((s_dir!R5/(d_Bv!Q5+s_MLF_peach)),".")</f>
        <v>.</v>
      </c>
      <c r="S5" s="15" t="str">
        <f>IFERROR((s_dir!S5/(d_Bv!R5+s_MLF_pear)),".")</f>
        <v>.</v>
      </c>
      <c r="T5" s="15" t="str">
        <f>IFERROR((s_dir!T5/(d_Bv!S5+s_MLF_peas)),".")</f>
        <v>.</v>
      </c>
      <c r="U5" s="15" t="str">
        <f>IFERROR((s_dir!U5/(d_Bv!T5+s_MLF_peppers)),".")</f>
        <v>.</v>
      </c>
      <c r="V5" s="15" t="str">
        <f>IFERROR((s_dir!V5/(d_Bv!U5+s_MLF_potato)),".")</f>
        <v>.</v>
      </c>
      <c r="W5" s="15" t="str">
        <f>IFERROR((s_dir!W5/(d_Bv!V5+s_MLF_pumpkin)),".")</f>
        <v>.</v>
      </c>
      <c r="X5" s="15" t="str">
        <f>IFERROR((s_dir!X5/(d_Bv!W5+s_MLF_snap_bean)),".")</f>
        <v>.</v>
      </c>
      <c r="Y5" s="15" t="str">
        <f>IFERROR((s_dir!Y5/(d_Bv!X5+s_MLF_strawberry)),".")</f>
        <v>.</v>
      </c>
      <c r="Z5" s="15" t="str">
        <f>IFERROR((s_dir!Z5/(d_Bv!Y5+s_MLF_tomato)),".")</f>
        <v>.</v>
      </c>
      <c r="AA5" s="15" t="str">
        <f>IFERROR((s_dir!AA5/(d_Bv!Z5+s_MLF_rice)),".")</f>
        <v>.</v>
      </c>
      <c r="AB5" s="15" t="str">
        <f>IFERROR((s_dir!AB5/(d_Bv!AA5+s_MLF_cereal)),".")</f>
        <v>.</v>
      </c>
      <c r="AC5" s="40">
        <f t="shared" si="1"/>
        <v>6458.3750000000009</v>
      </c>
      <c r="AD5" s="40">
        <f>s_C*(d_Bv!C5+s_MLF_apple)*s_IFAP_res_adj*s_CF_apple</f>
        <v>1614.5937500000002</v>
      </c>
      <c r="AE5" s="40">
        <f>s_C*(d_Bv!D5+s_MLF_asparagus)*s_IFAS_res_adj*s_CF_asparagus</f>
        <v>1614.5937500000002</v>
      </c>
      <c r="AF5" s="40">
        <f>s_C*(d_Bv!E5+s_MLF_beet)*s_IFBT_res_adj*s_CF_beet</f>
        <v>1614.5937500000002</v>
      </c>
      <c r="AG5" s="40">
        <f>s_C*(d_Bv!F5+s_MLF_berries)*s_IFBE_res_adj*s_CF_berries</f>
        <v>1614.5937500000002</v>
      </c>
      <c r="AH5" s="40">
        <f>s_C*(d_Bv!G5+s_MLF_broccoli)*s_IFBR_res_adj*s_CF_broccoli</f>
        <v>1614.5937500000002</v>
      </c>
      <c r="AI5" s="40">
        <f>s_C*(d_Bv!H5+s_MLF_cabbage)*s_IFCB_res_adj*s_CF_cabbage</f>
        <v>1614.5937500000002</v>
      </c>
      <c r="AJ5" s="40">
        <f>s_C*(d_Bv!I5+s_MLF_carrot)*s_IFCR_res_adj*s_CF_carrot</f>
        <v>1614.5937500000002</v>
      </c>
      <c r="AK5" s="40">
        <f>s_C*(d_Bv!J5+s_MLF_citrus)*s_IFCI_res_adj*s_CF_citrus</f>
        <v>1614.5937500000002</v>
      </c>
      <c r="AL5" s="40">
        <f>s_C*(d_Bv!K5+s_MLF_corn)*s_IFCO_res_adj*s_CF_corn</f>
        <v>1614.5937500000002</v>
      </c>
      <c r="AM5" s="40">
        <f>s_C*(d_Bv!L5+s_MLF_cucumber)*s_IFCU_res_adj*s_CF_cucumber</f>
        <v>1614.5937500000002</v>
      </c>
      <c r="AN5" s="40">
        <f>s_C*(d_Bv!M5+s_MLF_lettuce)*s_IFLE_res_adj*s_CF_lettuce</f>
        <v>1614.5937500000002</v>
      </c>
      <c r="AO5" s="40">
        <f>s_C*(d_Bv!N5+s_MLF_lima_bean)*s_IFLI_res_adj*s_CF_lima_bean</f>
        <v>1614.5937500000002</v>
      </c>
      <c r="AP5" s="40">
        <f>s_C*(d_Bv!O5+s_MLF_okra)*s_IFOK_res_adj*s_CF_okra</f>
        <v>1614.5937500000002</v>
      </c>
      <c r="AQ5" s="40">
        <f>s_C*(d_Bv!P5+s_MLF_onion)*s_IFON_res_adj*s_CF_onion</f>
        <v>1614.5937500000002</v>
      </c>
      <c r="AR5" s="40">
        <f>s_C*(d_Bv!Q5+s_MLF_peach)*s_IFPC_res_adj*s_CF_peach</f>
        <v>1614.5937500000002</v>
      </c>
      <c r="AS5" s="40">
        <f>s_C*(d_Bv!R5+s_MLF_pear)*s_IFPR_res_adj*s_CF_pear</f>
        <v>1614.5937500000002</v>
      </c>
      <c r="AT5" s="40">
        <f>s_C*(d_Bv!S5+s_MLF_peas)*s_IFPE_res_adj*s_CF_peas</f>
        <v>1614.5937500000002</v>
      </c>
      <c r="AU5" s="40">
        <f>s_C*(d_Bv!T5+s_MLF_peppers)*s_IFPP_res_adj*s_CF_peppers</f>
        <v>1614.5937500000002</v>
      </c>
      <c r="AV5" s="40">
        <f>s_C*(d_Bv!U5+s_MLF_potato)*s_IFPT_res_adj*s_CF_potato</f>
        <v>1614.5937500000002</v>
      </c>
      <c r="AW5" s="40">
        <f>s_C*(d_Bv!V5+s_MLF_pumpkin)*s_IFPU_res_adj*s_CF_pumpkin</f>
        <v>1614.5937500000002</v>
      </c>
      <c r="AX5" s="40">
        <f>s_C*(d_Bv!W5+s_MLF_snap_bean)*s_IFSN_res_adj*s_CF_snap_bean</f>
        <v>1614.5937500000002</v>
      </c>
      <c r="AY5" s="40">
        <f>s_C*(d_Bv!X5+s_MLF_strawberry)*s_IFST_res_adj*s_CF_strawberry</f>
        <v>1614.5937500000002</v>
      </c>
      <c r="AZ5" s="40">
        <f>s_C*(d_Bv!Y5+s_MLF_tomato)*s_IFTO_res_adj*s_CF_tomato</f>
        <v>1614.5937500000002</v>
      </c>
      <c r="BA5" s="40">
        <f>s_C*(d_Bv!Z5+s_MLF_rice)*s_IFRI_res_adj*s_CF_rice</f>
        <v>1614.5937500000002</v>
      </c>
      <c r="BB5" s="40">
        <f>s_C*(d_Bv!AA5+s_MLF_cereal)*s_IFCG_res_adj*s_CF_cereal</f>
        <v>1614.5937500000002</v>
      </c>
      <c r="BC5" s="15" t="str">
        <f t="shared" si="2"/>
        <v>.</v>
      </c>
      <c r="BD5" s="15" t="str">
        <f>IFERROR((s_dir!AD5/(d_Bv!C5+s_MLF_apple)),".")</f>
        <v>.</v>
      </c>
      <c r="BE5" s="15" t="str">
        <f>IFERROR((s_dir!AE5/(d_Bv!D5+s_MLF_asparagus)),".")</f>
        <v>.</v>
      </c>
      <c r="BF5" s="15" t="str">
        <f>IFERROR((s_dir!AF5/(d_Bv!E5+s_MLF_beet)),".")</f>
        <v>.</v>
      </c>
      <c r="BG5" s="15" t="str">
        <f>IFERROR((s_dir!AG5/(d_Bv!F5+s_MLF_berries)),".")</f>
        <v>.</v>
      </c>
      <c r="BH5" s="15" t="str">
        <f>IFERROR((s_dir!AH5/(d_Bv!G5+s_MLF_broccoli)),".")</f>
        <v>.</v>
      </c>
      <c r="BI5" s="15" t="str">
        <f>IFERROR((s_dir!AI5/(d_Bv!H5+s_MLF_cabbage)),".")</f>
        <v>.</v>
      </c>
      <c r="BJ5" s="15" t="str">
        <f>IFERROR((s_dir!AJ5/(d_Bv!I5+s_MLF_carrot)),".")</f>
        <v>.</v>
      </c>
      <c r="BK5" s="15" t="str">
        <f>IFERROR((s_dir!AK5/(d_Bv!J5+s_MLF_citrus)),".")</f>
        <v>.</v>
      </c>
      <c r="BL5" s="15" t="str">
        <f>IFERROR((s_dir!AL5/(d_Bv!K5+s_MLF_corn)),".")</f>
        <v>.</v>
      </c>
      <c r="BM5" s="15" t="str">
        <f>IFERROR((s_dir!AM5/(d_Bv!L5+s_MLF_cucumber)),".")</f>
        <v>.</v>
      </c>
      <c r="BN5" s="15" t="str">
        <f>IFERROR((s_dir!AN5/(d_Bv!M5+s_MLF_lettuce)),".")</f>
        <v>.</v>
      </c>
      <c r="BO5" s="15" t="str">
        <f>IFERROR((s_dir!AO5/(d_Bv!N5+s_MLF_lima_bean)),".")</f>
        <v>.</v>
      </c>
      <c r="BP5" s="15" t="str">
        <f>IFERROR((s_dir!AP5/(d_Bv!O5+s_MLF_okra)),".")</f>
        <v>.</v>
      </c>
      <c r="BQ5" s="15" t="str">
        <f>IFERROR((s_dir!AQ5/(d_Bv!P5+s_MLF_onion)),".")</f>
        <v>.</v>
      </c>
      <c r="BR5" s="15" t="str">
        <f>IFERROR((s_dir!AR5/(d_Bv!Q5+s_MLF_peach)),".")</f>
        <v>.</v>
      </c>
      <c r="BS5" s="15" t="str">
        <f>IFERROR((s_dir!AS5/(d_Bv!R5+s_MLF_pear)),".")</f>
        <v>.</v>
      </c>
      <c r="BT5" s="15" t="str">
        <f>IFERROR((s_dir!AT5/(d_Bv!S5+s_MLF_peas)),".")</f>
        <v>.</v>
      </c>
      <c r="BU5" s="15" t="str">
        <f>IFERROR((s_dir!AU5/(d_Bv!T5+s_MLF_peppers)),".")</f>
        <v>.</v>
      </c>
      <c r="BV5" s="15" t="str">
        <f>IFERROR((s_dir!AV5/(d_Bv!U5+s_MLF_potato)),".")</f>
        <v>.</v>
      </c>
      <c r="BW5" s="15" t="str">
        <f>IFERROR((s_dir!AW5/(d_Bv!V5+s_MLF_pumpkin)),".")</f>
        <v>.</v>
      </c>
      <c r="BX5" s="15" t="str">
        <f>IFERROR((s_dir!AX5/(d_Bv!W5+s_MLF_snap_bean)),".")</f>
        <v>.</v>
      </c>
      <c r="BY5" s="15" t="str">
        <f>IFERROR((s_dir!AY5/(d_Bv!X5+s_MLF_strawberry)),".")</f>
        <v>.</v>
      </c>
      <c r="BZ5" s="15" t="str">
        <f>IFERROR((s_dir!AZ5/(d_Bv!Y5+s_MLF_tomato)),".")</f>
        <v>.</v>
      </c>
      <c r="CA5" s="15" t="str">
        <f>IFERROR((s_dir!BA5/(d_Bv!Z5+s_MLF_rice)),".")</f>
        <v>.</v>
      </c>
      <c r="CB5" s="15" t="str">
        <f>IFERROR((s_dir!BB5/(d_Bv!AA5+s_MLF_cereal)),".")</f>
        <v>.</v>
      </c>
      <c r="CC5" s="40">
        <f t="shared" si="3"/>
        <v>6458.3750000000009</v>
      </c>
      <c r="CD5" s="40">
        <f>IFERROR(s_C*(d_Bv!C5+s_MLF_apple)*s_IFAP_far_adj*s_CF_apple,".")</f>
        <v>1614.5937500000002</v>
      </c>
      <c r="CE5" s="40">
        <f>IFERROR(s_C*(d_Bv!D5+s_MLF_asparagus)*s_IFAS_far_adj*s_CF_asparagus,".")</f>
        <v>1614.5937500000002</v>
      </c>
      <c r="CF5" s="40">
        <f>IFERROR(s_C*(d_Bv!E5+s_MLF_beet)*s_IFBT_far_adj*s_CF_beet,".")</f>
        <v>1614.5937500000002</v>
      </c>
      <c r="CG5" s="40">
        <f>IFERROR(s_C*(d_Bv!F5+s_MLF_berries)*s_IFBR_far_adj*s_CF_berries,".")</f>
        <v>1614.5937500000002</v>
      </c>
      <c r="CH5" s="40">
        <f>IFERROR(s_C*(d_Bv!G5+s_MLF_broccoli)*s_IFBR_far_adj*s_CF_broccoli,".")</f>
        <v>1614.5937500000002</v>
      </c>
      <c r="CI5" s="40">
        <f>IFERROR(s_C*(d_Bv!H5+s_MLF_cabbage)*s_IFCB_far_adj*s_CF_cabbage,".")</f>
        <v>1614.5937500000002</v>
      </c>
      <c r="CJ5" s="40">
        <f>IFERROR(s_C*(d_Bv!I5+s_MLF_carrot)*s_IFCR_far_adj*s_CF_carrot,".")</f>
        <v>1614.5937500000002</v>
      </c>
      <c r="CK5" s="40">
        <f>IFERROR(s_C*(d_Bv!J5+s_MLF_citrus)*s_IFCI_far_adj*s_CF_citrus,".")</f>
        <v>1614.5937500000002</v>
      </c>
      <c r="CL5" s="40">
        <f>IFERROR(s_C*(d_Bv!K5+s_MLF_corn)*s_IFCO_far_adj*s_CF_corn,".")</f>
        <v>1614.5937500000002</v>
      </c>
      <c r="CM5" s="40">
        <f>IFERROR(s_C*(d_Bv!L5+s_MLF_cucumber)*s_IFCU_far_adj*s_CF_cucumber,".")</f>
        <v>1614.5937500000002</v>
      </c>
      <c r="CN5" s="40">
        <f>IFERROR(s_C*(d_Bv!M5+s_MLF_lettuce)*s_IFLE_far_adj*s_CF_lettuce,".")</f>
        <v>1614.5937500000002</v>
      </c>
      <c r="CO5" s="40">
        <f>IFERROR(s_C*(d_Bv!N5+s_MLF_lima_bean)*s_IFLI_far_adj*s_CF_lima_bean,".")</f>
        <v>1614.5937500000002</v>
      </c>
      <c r="CP5" s="40">
        <f>IFERROR(s_C*(d_Bv!O5+s_MLF_okra)*s_IFOK_far_adj*s_CF_okra,".")</f>
        <v>1614.5937500000002</v>
      </c>
      <c r="CQ5" s="40">
        <f>IFERROR(s_C*(d_Bv!P5+s_MLF_onion)*s_IFON_far_adj*s_CF_onion,".")</f>
        <v>1614.5937500000002</v>
      </c>
      <c r="CR5" s="40">
        <f>IFERROR(s_C*(d_Bv!Q5+s_MLF_peach)*s_IFPC_far_adj*s_CF_peach,".")</f>
        <v>1614.5937500000002</v>
      </c>
      <c r="CS5" s="40">
        <f>IFERROR(s_C*(d_Bv!R5+s_MLF_pear)*s_IFPR_far_adj*s_CF_pear,".")</f>
        <v>1614.5937500000002</v>
      </c>
      <c r="CT5" s="40">
        <f>IFERROR(s_C*(d_Bv!S5+s_MLF_peas)*s_IFPE_far_adj*s_CF_peas,".")</f>
        <v>1614.5937500000002</v>
      </c>
      <c r="CU5" s="40">
        <f>IFERROR(s_C*(d_Bv!T5+s_MLF_peppers)*s_IFPP_far_adj*s_CF_peppers,".")</f>
        <v>1614.5937500000002</v>
      </c>
      <c r="CV5" s="40">
        <f>IFERROR(s_C*(d_Bv!U5+s_MLF_potato)*s_IFPT_far_adj*s_CF_potato,".")</f>
        <v>1614.5937500000002</v>
      </c>
      <c r="CW5" s="40">
        <f>IFERROR(s_C*(d_Bv!V5+s_MLF_pumpkin)*s_IFPU_far_adj*s_CF_pumpkin,".")</f>
        <v>1614.5937500000002</v>
      </c>
      <c r="CX5" s="40">
        <f>IFERROR(s_C*(d_Bv!W5+s_MLF_snap_bean)*s_IFSN_far_adj*s_CF_snap_bean,".")</f>
        <v>1614.5937500000002</v>
      </c>
      <c r="CY5" s="40">
        <f>IFERROR(s_C*(d_Bv!X5+s_MLF_strawberry)*s_IFST_far_adj*s_CF_strawberry,".")</f>
        <v>1614.5937500000002</v>
      </c>
      <c r="CZ5" s="40">
        <f>IFERROR(s_C*(d_Bv!Y5+s_MLF_tomato)*s_IFTO_far_adj*s_CF_tomato,".")</f>
        <v>1614.5937500000002</v>
      </c>
      <c r="DA5" s="40">
        <f>IFERROR(s_C*(d_Bv!Z5+s_MLF_rice)*s_IFRI_far_adj*s_CF_rice,".")</f>
        <v>1614.5937500000002</v>
      </c>
      <c r="DB5" s="40">
        <f>IFERROR(s_C*(d_Bv!AA5+s_MLF_cereal)*s_IFCG_far_adj*s_CF_cereal,".")</f>
        <v>1614.5937500000002</v>
      </c>
    </row>
    <row r="6" spans="1:106" ht="15" customHeight="1" x14ac:dyDescent="0.25">
      <c r="A6" s="44" t="s">
        <v>4</v>
      </c>
      <c r="B6" s="42" t="s">
        <v>1057</v>
      </c>
      <c r="C6" s="15" t="str">
        <f t="shared" si="0"/>
        <v>.</v>
      </c>
      <c r="D6" s="15" t="str">
        <f>IFERROR((s_dir!D6/(d_Bv!C6+s_MLF_apple)),".")</f>
        <v>.</v>
      </c>
      <c r="E6" s="15" t="str">
        <f>IFERROR((s_dir!E6/(d_Bv!D6+s_MLF_asparagus)),".")</f>
        <v>.</v>
      </c>
      <c r="F6" s="15" t="str">
        <f>IFERROR((s_dir!F6/(d_Bv!E6+s_MLF_beet)),".")</f>
        <v>.</v>
      </c>
      <c r="G6" s="15" t="str">
        <f>IFERROR((s_dir!G6/(d_Bv!F6+s_MLF_berries)),".")</f>
        <v>.</v>
      </c>
      <c r="H6" s="15" t="str">
        <f>IFERROR((s_dir!H6/(d_Bv!G6+s_MLF_broccoli)),".")</f>
        <v>.</v>
      </c>
      <c r="I6" s="15" t="str">
        <f>IFERROR((s_dir!I6/(d_Bv!H6+s_MLF_cabbage)),".")</f>
        <v>.</v>
      </c>
      <c r="J6" s="15" t="str">
        <f>IFERROR((s_dir!J6/(d_Bv!I6+s_MLF_carrot)),".")</f>
        <v>.</v>
      </c>
      <c r="K6" s="15" t="str">
        <f>IFERROR((s_dir!K6/(d_Bv!J6+s_MLF_citrus)),".")</f>
        <v>.</v>
      </c>
      <c r="L6" s="15" t="str">
        <f>IFERROR((s_dir!L6/(d_Bv!K6+s_MLF_corn)),".")</f>
        <v>.</v>
      </c>
      <c r="M6" s="15" t="str">
        <f>IFERROR((s_dir!M6/(d_Bv!L6+s_MLF_cucumber)),".")</f>
        <v>.</v>
      </c>
      <c r="N6" s="15" t="str">
        <f>IFERROR((s_dir!N6/(d_Bv!M6+s_MLF_lettuce)),".")</f>
        <v>.</v>
      </c>
      <c r="O6" s="15" t="str">
        <f>IFERROR((s_dir!O6/(d_Bv!N6+s_MLF_lima_bean)),".")</f>
        <v>.</v>
      </c>
      <c r="P6" s="15" t="str">
        <f>IFERROR((s_dir!P6/(d_Bv!O6+s_MLF_okra)),".")</f>
        <v>.</v>
      </c>
      <c r="Q6" s="15" t="str">
        <f>IFERROR((s_dir!Q6/(d_Bv!P6+s_MLF_onion)),".")</f>
        <v>.</v>
      </c>
      <c r="R6" s="15" t="str">
        <f>IFERROR((s_dir!R6/(d_Bv!Q6+s_MLF_peach)),".")</f>
        <v>.</v>
      </c>
      <c r="S6" s="15" t="str">
        <f>IFERROR((s_dir!S6/(d_Bv!R6+s_MLF_pear)),".")</f>
        <v>.</v>
      </c>
      <c r="T6" s="15" t="str">
        <f>IFERROR((s_dir!T6/(d_Bv!S6+s_MLF_peas)),".")</f>
        <v>.</v>
      </c>
      <c r="U6" s="15" t="str">
        <f>IFERROR((s_dir!U6/(d_Bv!T6+s_MLF_peppers)),".")</f>
        <v>.</v>
      </c>
      <c r="V6" s="15" t="str">
        <f>IFERROR((s_dir!V6/(d_Bv!U6+s_MLF_potato)),".")</f>
        <v>.</v>
      </c>
      <c r="W6" s="15" t="str">
        <f>IFERROR((s_dir!W6/(d_Bv!V6+s_MLF_pumpkin)),".")</f>
        <v>.</v>
      </c>
      <c r="X6" s="15" t="str">
        <f>IFERROR((s_dir!X6/(d_Bv!W6+s_MLF_snap_bean)),".")</f>
        <v>.</v>
      </c>
      <c r="Y6" s="15" t="str">
        <f>IFERROR((s_dir!Y6/(d_Bv!X6+s_MLF_strawberry)),".")</f>
        <v>.</v>
      </c>
      <c r="Z6" s="15" t="str">
        <f>IFERROR((s_dir!Z6/(d_Bv!Y6+s_MLF_tomato)),".")</f>
        <v>.</v>
      </c>
      <c r="AA6" s="15" t="str">
        <f>IFERROR((s_dir!AA6/(d_Bv!Z6+s_MLF_rice)),".")</f>
        <v>.</v>
      </c>
      <c r="AB6" s="15" t="str">
        <f>IFERROR((s_dir!AB6/(d_Bv!AA6+s_MLF_cereal)),".")</f>
        <v>.</v>
      </c>
      <c r="AC6" s="40">
        <f t="shared" si="1"/>
        <v>574.29624999999999</v>
      </c>
      <c r="AD6" s="40">
        <f>s_C*(d_Bv!C6+s_MLF_apple)*s_IFAP_res_adj*s_CF_apple</f>
        <v>177.71875</v>
      </c>
      <c r="AE6" s="40">
        <f>s_C*(d_Bv!D6+s_MLF_asparagus)*s_IFAS_res_adj*s_CF_asparagus</f>
        <v>139.90625</v>
      </c>
      <c r="AF6" s="40">
        <f>s_C*(d_Bv!E6+s_MLF_beet)*s_IFBT_res_adj*s_CF_beet</f>
        <v>139.90625</v>
      </c>
      <c r="AG6" s="40">
        <f>s_C*(d_Bv!F6+s_MLF_berries)*s_IFBE_res_adj*s_CF_berries</f>
        <v>177.71875</v>
      </c>
      <c r="AH6" s="40">
        <f>s_C*(d_Bv!G6+s_MLF_broccoli)*s_IFBR_res_adj*s_CF_broccoli</f>
        <v>177.71875</v>
      </c>
      <c r="AI6" s="40">
        <f>s_C*(d_Bv!H6+s_MLF_cabbage)*s_IFCB_res_adj*s_CF_cabbage</f>
        <v>139.90625</v>
      </c>
      <c r="AJ6" s="40">
        <f>s_C*(d_Bv!I6+s_MLF_carrot)*s_IFCR_res_adj*s_CF_carrot</f>
        <v>139.90625</v>
      </c>
      <c r="AK6" s="40">
        <f>s_C*(d_Bv!J6+s_MLF_citrus)*s_IFCI_res_adj*s_CF_citrus</f>
        <v>177.71875</v>
      </c>
      <c r="AL6" s="40">
        <f>s_C*(d_Bv!K6+s_MLF_corn)*s_IFCO_res_adj*s_CF_corn</f>
        <v>177.71875</v>
      </c>
      <c r="AM6" s="40">
        <f>s_C*(d_Bv!L6+s_MLF_cucumber)*s_IFCU_res_adj*s_CF_cucumber</f>
        <v>177.71875</v>
      </c>
      <c r="AN6" s="40">
        <f>s_C*(d_Bv!M6+s_MLF_lettuce)*s_IFLE_res_adj*s_CF_lettuce</f>
        <v>139.90625</v>
      </c>
      <c r="AO6" s="40">
        <f>s_C*(d_Bv!N6+s_MLF_lima_bean)*s_IFLI_res_adj*s_CF_lima_bean</f>
        <v>177.71875</v>
      </c>
      <c r="AP6" s="40">
        <f>s_C*(d_Bv!O6+s_MLF_okra)*s_IFOK_res_adj*s_CF_okra</f>
        <v>177.71875</v>
      </c>
      <c r="AQ6" s="40">
        <f>s_C*(d_Bv!P6+s_MLF_onion)*s_IFON_res_adj*s_CF_onion</f>
        <v>139.90625</v>
      </c>
      <c r="AR6" s="40">
        <f>s_C*(d_Bv!Q6+s_MLF_peach)*s_IFPC_res_adj*s_CF_peach</f>
        <v>177.71875</v>
      </c>
      <c r="AS6" s="40">
        <f>s_C*(d_Bv!R6+s_MLF_pear)*s_IFPR_res_adj*s_CF_pear</f>
        <v>177.71875</v>
      </c>
      <c r="AT6" s="40">
        <f>s_C*(d_Bv!S6+s_MLF_peas)*s_IFPE_res_adj*s_CF_peas</f>
        <v>177.71875</v>
      </c>
      <c r="AU6" s="40">
        <f>s_C*(d_Bv!T6+s_MLF_peppers)*s_IFPP_res_adj*s_CF_peppers</f>
        <v>177.71875</v>
      </c>
      <c r="AV6" s="40">
        <f>s_C*(d_Bv!U6+s_MLF_potato)*s_IFPT_res_adj*s_CF_potato</f>
        <v>139.90625</v>
      </c>
      <c r="AW6" s="40">
        <f>s_C*(d_Bv!V6+s_MLF_pumpkin)*s_IFPU_res_adj*s_CF_pumpkin</f>
        <v>177.71875</v>
      </c>
      <c r="AX6" s="40">
        <f>s_C*(d_Bv!W6+s_MLF_snap_bean)*s_IFSN_res_adj*s_CF_snap_bean</f>
        <v>177.71875</v>
      </c>
      <c r="AY6" s="40">
        <f>s_C*(d_Bv!X6+s_MLF_strawberry)*s_IFST_res_adj*s_CF_strawberry</f>
        <v>177.71875</v>
      </c>
      <c r="AZ6" s="40">
        <f>s_C*(d_Bv!Y6+s_MLF_tomato)*s_IFTO_res_adj*s_CF_tomato</f>
        <v>177.71875</v>
      </c>
      <c r="BA6" s="40">
        <f>s_C*(d_Bv!Z6+s_MLF_rice)*s_IFRI_res_adj*s_CF_rice</f>
        <v>109.2025</v>
      </c>
      <c r="BB6" s="40">
        <f>s_C*(d_Bv!AA6+s_MLF_cereal)*s_IFCG_res_adj*s_CF_cereal</f>
        <v>109.65624999999999</v>
      </c>
      <c r="BC6" s="15" t="str">
        <f t="shared" si="2"/>
        <v>.</v>
      </c>
      <c r="BD6" s="15" t="str">
        <f>IFERROR((s_dir!AD6/(d_Bv!C6+s_MLF_apple)),".")</f>
        <v>.</v>
      </c>
      <c r="BE6" s="15" t="str">
        <f>IFERROR((s_dir!AE6/(d_Bv!D6+s_MLF_asparagus)),".")</f>
        <v>.</v>
      </c>
      <c r="BF6" s="15" t="str">
        <f>IFERROR((s_dir!AF6/(d_Bv!E6+s_MLF_beet)),".")</f>
        <v>.</v>
      </c>
      <c r="BG6" s="15" t="str">
        <f>IFERROR((s_dir!AG6/(d_Bv!F6+s_MLF_berries)),".")</f>
        <v>.</v>
      </c>
      <c r="BH6" s="15" t="str">
        <f>IFERROR((s_dir!AH6/(d_Bv!G6+s_MLF_broccoli)),".")</f>
        <v>.</v>
      </c>
      <c r="BI6" s="15" t="str">
        <f>IFERROR((s_dir!AI6/(d_Bv!H6+s_MLF_cabbage)),".")</f>
        <v>.</v>
      </c>
      <c r="BJ6" s="15" t="str">
        <f>IFERROR((s_dir!AJ6/(d_Bv!I6+s_MLF_carrot)),".")</f>
        <v>.</v>
      </c>
      <c r="BK6" s="15" t="str">
        <f>IFERROR((s_dir!AK6/(d_Bv!J6+s_MLF_citrus)),".")</f>
        <v>.</v>
      </c>
      <c r="BL6" s="15" t="str">
        <f>IFERROR((s_dir!AL6/(d_Bv!K6+s_MLF_corn)),".")</f>
        <v>.</v>
      </c>
      <c r="BM6" s="15" t="str">
        <f>IFERROR((s_dir!AM6/(d_Bv!L6+s_MLF_cucumber)),".")</f>
        <v>.</v>
      </c>
      <c r="BN6" s="15" t="str">
        <f>IFERROR((s_dir!AN6/(d_Bv!M6+s_MLF_lettuce)),".")</f>
        <v>.</v>
      </c>
      <c r="BO6" s="15" t="str">
        <f>IFERROR((s_dir!AO6/(d_Bv!N6+s_MLF_lima_bean)),".")</f>
        <v>.</v>
      </c>
      <c r="BP6" s="15" t="str">
        <f>IFERROR((s_dir!AP6/(d_Bv!O6+s_MLF_okra)),".")</f>
        <v>.</v>
      </c>
      <c r="BQ6" s="15" t="str">
        <f>IFERROR((s_dir!AQ6/(d_Bv!P6+s_MLF_onion)),".")</f>
        <v>.</v>
      </c>
      <c r="BR6" s="15" t="str">
        <f>IFERROR((s_dir!AR6/(d_Bv!Q6+s_MLF_peach)),".")</f>
        <v>.</v>
      </c>
      <c r="BS6" s="15" t="str">
        <f>IFERROR((s_dir!AS6/(d_Bv!R6+s_MLF_pear)),".")</f>
        <v>.</v>
      </c>
      <c r="BT6" s="15" t="str">
        <f>IFERROR((s_dir!AT6/(d_Bv!S6+s_MLF_peas)),".")</f>
        <v>.</v>
      </c>
      <c r="BU6" s="15" t="str">
        <f>IFERROR((s_dir!AU6/(d_Bv!T6+s_MLF_peppers)),".")</f>
        <v>.</v>
      </c>
      <c r="BV6" s="15" t="str">
        <f>IFERROR((s_dir!AV6/(d_Bv!U6+s_MLF_potato)),".")</f>
        <v>.</v>
      </c>
      <c r="BW6" s="15" t="str">
        <f>IFERROR((s_dir!AW6/(d_Bv!V6+s_MLF_pumpkin)),".")</f>
        <v>.</v>
      </c>
      <c r="BX6" s="15" t="str">
        <f>IFERROR((s_dir!AX6/(d_Bv!W6+s_MLF_snap_bean)),".")</f>
        <v>.</v>
      </c>
      <c r="BY6" s="15" t="str">
        <f>IFERROR((s_dir!AY6/(d_Bv!X6+s_MLF_strawberry)),".")</f>
        <v>.</v>
      </c>
      <c r="BZ6" s="15" t="str">
        <f>IFERROR((s_dir!AZ6/(d_Bv!Y6+s_MLF_tomato)),".")</f>
        <v>.</v>
      </c>
      <c r="CA6" s="15" t="str">
        <f>IFERROR((s_dir!BA6/(d_Bv!Z6+s_MLF_rice)),".")</f>
        <v>.</v>
      </c>
      <c r="CB6" s="15" t="str">
        <f>IFERROR((s_dir!BB6/(d_Bv!AA6+s_MLF_cereal)),".")</f>
        <v>.</v>
      </c>
      <c r="CC6" s="40">
        <f t="shared" si="3"/>
        <v>574.29624999999999</v>
      </c>
      <c r="CD6" s="40">
        <f>IFERROR(s_C*(d_Bv!C6+s_MLF_apple)*s_IFAP_far_adj*s_CF_apple,".")</f>
        <v>177.71875</v>
      </c>
      <c r="CE6" s="40">
        <f>IFERROR(s_C*(d_Bv!D6+s_MLF_asparagus)*s_IFAS_far_adj*s_CF_asparagus,".")</f>
        <v>139.90625</v>
      </c>
      <c r="CF6" s="40">
        <f>IFERROR(s_C*(d_Bv!E6+s_MLF_beet)*s_IFBT_far_adj*s_CF_beet,".")</f>
        <v>139.90625</v>
      </c>
      <c r="CG6" s="40">
        <f>IFERROR(s_C*(d_Bv!F6+s_MLF_berries)*s_IFBR_far_adj*s_CF_berries,".")</f>
        <v>177.71875</v>
      </c>
      <c r="CH6" s="40">
        <f>IFERROR(s_C*(d_Bv!G6+s_MLF_broccoli)*s_IFBR_far_adj*s_CF_broccoli,".")</f>
        <v>177.71875</v>
      </c>
      <c r="CI6" s="40">
        <f>IFERROR(s_C*(d_Bv!H6+s_MLF_cabbage)*s_IFCB_far_adj*s_CF_cabbage,".")</f>
        <v>139.90625</v>
      </c>
      <c r="CJ6" s="40">
        <f>IFERROR(s_C*(d_Bv!I6+s_MLF_carrot)*s_IFCR_far_adj*s_CF_carrot,".")</f>
        <v>139.90625</v>
      </c>
      <c r="CK6" s="40">
        <f>IFERROR(s_C*(d_Bv!J6+s_MLF_citrus)*s_IFCI_far_adj*s_CF_citrus,".")</f>
        <v>177.71875</v>
      </c>
      <c r="CL6" s="40">
        <f>IFERROR(s_C*(d_Bv!K6+s_MLF_corn)*s_IFCO_far_adj*s_CF_corn,".")</f>
        <v>177.71875</v>
      </c>
      <c r="CM6" s="40">
        <f>IFERROR(s_C*(d_Bv!L6+s_MLF_cucumber)*s_IFCU_far_adj*s_CF_cucumber,".")</f>
        <v>177.71875</v>
      </c>
      <c r="CN6" s="40">
        <f>IFERROR(s_C*(d_Bv!M6+s_MLF_lettuce)*s_IFLE_far_adj*s_CF_lettuce,".")</f>
        <v>139.90625</v>
      </c>
      <c r="CO6" s="40">
        <f>IFERROR(s_C*(d_Bv!N6+s_MLF_lima_bean)*s_IFLI_far_adj*s_CF_lima_bean,".")</f>
        <v>177.71875</v>
      </c>
      <c r="CP6" s="40">
        <f>IFERROR(s_C*(d_Bv!O6+s_MLF_okra)*s_IFOK_far_adj*s_CF_okra,".")</f>
        <v>177.71875</v>
      </c>
      <c r="CQ6" s="40">
        <f>IFERROR(s_C*(d_Bv!P6+s_MLF_onion)*s_IFON_far_adj*s_CF_onion,".")</f>
        <v>139.90625</v>
      </c>
      <c r="CR6" s="40">
        <f>IFERROR(s_C*(d_Bv!Q6+s_MLF_peach)*s_IFPC_far_adj*s_CF_peach,".")</f>
        <v>177.71875</v>
      </c>
      <c r="CS6" s="40">
        <f>IFERROR(s_C*(d_Bv!R6+s_MLF_pear)*s_IFPR_far_adj*s_CF_pear,".")</f>
        <v>177.71875</v>
      </c>
      <c r="CT6" s="40">
        <f>IFERROR(s_C*(d_Bv!S6+s_MLF_peas)*s_IFPE_far_adj*s_CF_peas,".")</f>
        <v>177.71875</v>
      </c>
      <c r="CU6" s="40">
        <f>IFERROR(s_C*(d_Bv!T6+s_MLF_peppers)*s_IFPP_far_adj*s_CF_peppers,".")</f>
        <v>177.71875</v>
      </c>
      <c r="CV6" s="40">
        <f>IFERROR(s_C*(d_Bv!U6+s_MLF_potato)*s_IFPT_far_adj*s_CF_potato,".")</f>
        <v>139.90625</v>
      </c>
      <c r="CW6" s="40">
        <f>IFERROR(s_C*(d_Bv!V6+s_MLF_pumpkin)*s_IFPU_far_adj*s_CF_pumpkin,".")</f>
        <v>177.71875</v>
      </c>
      <c r="CX6" s="40">
        <f>IFERROR(s_C*(d_Bv!W6+s_MLF_snap_bean)*s_IFSN_far_adj*s_CF_snap_bean,".")</f>
        <v>177.71875</v>
      </c>
      <c r="CY6" s="40">
        <f>IFERROR(s_C*(d_Bv!X6+s_MLF_strawberry)*s_IFST_far_adj*s_CF_strawberry,".")</f>
        <v>177.71875</v>
      </c>
      <c r="CZ6" s="40">
        <f>IFERROR(s_C*(d_Bv!Y6+s_MLF_tomato)*s_IFTO_far_adj*s_CF_tomato,".")</f>
        <v>177.71875</v>
      </c>
      <c r="DA6" s="40">
        <f>IFERROR(s_C*(d_Bv!Z6+s_MLF_rice)*s_IFRI_far_adj*s_CF_rice,".")</f>
        <v>109.2025</v>
      </c>
      <c r="DB6" s="40">
        <f>IFERROR(s_C*(d_Bv!AA6+s_MLF_cereal)*s_IFCG_far_adj*s_CF_cereal,".")</f>
        <v>109.65624999999999</v>
      </c>
    </row>
    <row r="7" spans="1:106" ht="15" customHeight="1" x14ac:dyDescent="0.25">
      <c r="A7" s="44" t="s">
        <v>5</v>
      </c>
      <c r="B7" s="42" t="s">
        <v>1057</v>
      </c>
      <c r="C7" s="15">
        <f t="shared" si="0"/>
        <v>1093.3130676823109</v>
      </c>
      <c r="D7" s="15">
        <f>IFERROR((s_dir!D7/(d_Bv!C7+s_MLF_apple)),".")</f>
        <v>4373.2522707292437</v>
      </c>
      <c r="E7" s="15">
        <f>IFERROR((s_dir!E7/(d_Bv!D7+s_MLF_asparagus)),".")</f>
        <v>4373.2522707292437</v>
      </c>
      <c r="F7" s="15">
        <f>IFERROR((s_dir!F7/(d_Bv!E7+s_MLF_beet)),".")</f>
        <v>4373.2522707292437</v>
      </c>
      <c r="G7" s="15">
        <f>IFERROR((s_dir!G7/(d_Bv!F7+s_MLF_berries)),".")</f>
        <v>4373.2522707292437</v>
      </c>
      <c r="H7" s="15">
        <f>IFERROR((s_dir!H7/(d_Bv!G7+s_MLF_broccoli)),".")</f>
        <v>4373.2522707292437</v>
      </c>
      <c r="I7" s="15">
        <f>IFERROR((s_dir!I7/(d_Bv!H7+s_MLF_cabbage)),".")</f>
        <v>4373.2522707292437</v>
      </c>
      <c r="J7" s="15">
        <f>IFERROR((s_dir!J7/(d_Bv!I7+s_MLF_carrot)),".")</f>
        <v>4373.2522707292437</v>
      </c>
      <c r="K7" s="15">
        <f>IFERROR((s_dir!K7/(d_Bv!J7+s_MLF_citrus)),".")</f>
        <v>4373.2522707292437</v>
      </c>
      <c r="L7" s="15">
        <f>IFERROR((s_dir!L7/(d_Bv!K7+s_MLF_corn)),".")</f>
        <v>4373.2522707292437</v>
      </c>
      <c r="M7" s="15">
        <f>IFERROR((s_dir!M7/(d_Bv!L7+s_MLF_cucumber)),".")</f>
        <v>4373.2522707292437</v>
      </c>
      <c r="N7" s="15">
        <f>IFERROR((s_dir!N7/(d_Bv!M7+s_MLF_lettuce)),".")</f>
        <v>4373.2522707292437</v>
      </c>
      <c r="O7" s="15">
        <f>IFERROR((s_dir!O7/(d_Bv!N7+s_MLF_lima_bean)),".")</f>
        <v>4373.2522707292437</v>
      </c>
      <c r="P7" s="15">
        <f>IFERROR((s_dir!P7/(d_Bv!O7+s_MLF_okra)),".")</f>
        <v>4373.2522707292437</v>
      </c>
      <c r="Q7" s="15">
        <f>IFERROR((s_dir!Q7/(d_Bv!P7+s_MLF_onion)),".")</f>
        <v>4373.2522707292437</v>
      </c>
      <c r="R7" s="15">
        <f>IFERROR((s_dir!R7/(d_Bv!Q7+s_MLF_peach)),".")</f>
        <v>4373.2522707292437</v>
      </c>
      <c r="S7" s="15">
        <f>IFERROR((s_dir!S7/(d_Bv!R7+s_MLF_pear)),".")</f>
        <v>4373.2522707292437</v>
      </c>
      <c r="T7" s="15">
        <f>IFERROR((s_dir!T7/(d_Bv!S7+s_MLF_peas)),".")</f>
        <v>4373.2522707292437</v>
      </c>
      <c r="U7" s="15">
        <f>IFERROR((s_dir!U7/(d_Bv!T7+s_MLF_peppers)),".")</f>
        <v>4373.2522707292437</v>
      </c>
      <c r="V7" s="15">
        <f>IFERROR((s_dir!V7/(d_Bv!U7+s_MLF_potato)),".")</f>
        <v>4373.2522707292437</v>
      </c>
      <c r="W7" s="15">
        <f>IFERROR((s_dir!W7/(d_Bv!V7+s_MLF_pumpkin)),".")</f>
        <v>4373.2522707292437</v>
      </c>
      <c r="X7" s="15">
        <f>IFERROR((s_dir!X7/(d_Bv!W7+s_MLF_snap_bean)),".")</f>
        <v>4373.2522707292437</v>
      </c>
      <c r="Y7" s="15">
        <f>IFERROR((s_dir!Y7/(d_Bv!X7+s_MLF_strawberry)),".")</f>
        <v>4373.2522707292437</v>
      </c>
      <c r="Z7" s="15">
        <f>IFERROR((s_dir!Z7/(d_Bv!Y7+s_MLF_tomato)),".")</f>
        <v>4373.2522707292437</v>
      </c>
      <c r="AA7" s="15">
        <f>IFERROR((s_dir!AA7/(d_Bv!Z7+s_MLF_rice)),".")</f>
        <v>4373.2522707292437</v>
      </c>
      <c r="AB7" s="15">
        <f>IFERROR((s_dir!AB7/(d_Bv!AA7+s_MLF_cereal)),".")</f>
        <v>4373.2522707292437</v>
      </c>
      <c r="AC7" s="40">
        <f t="shared" si="1"/>
        <v>3433.375</v>
      </c>
      <c r="AD7" s="40">
        <f>s_C*(d_Bv!C7+s_MLF_apple)*s_IFAP_res_adj*s_CF_apple</f>
        <v>858.34375</v>
      </c>
      <c r="AE7" s="40">
        <f>s_C*(d_Bv!D7+s_MLF_asparagus)*s_IFAS_res_adj*s_CF_asparagus</f>
        <v>858.34375</v>
      </c>
      <c r="AF7" s="40">
        <f>s_C*(d_Bv!E7+s_MLF_beet)*s_IFBT_res_adj*s_CF_beet</f>
        <v>858.34375</v>
      </c>
      <c r="AG7" s="40">
        <f>s_C*(d_Bv!F7+s_MLF_berries)*s_IFBE_res_adj*s_CF_berries</f>
        <v>858.34375</v>
      </c>
      <c r="AH7" s="40">
        <f>s_C*(d_Bv!G7+s_MLF_broccoli)*s_IFBR_res_adj*s_CF_broccoli</f>
        <v>858.34375</v>
      </c>
      <c r="AI7" s="40">
        <f>s_C*(d_Bv!H7+s_MLF_cabbage)*s_IFCB_res_adj*s_CF_cabbage</f>
        <v>858.34375</v>
      </c>
      <c r="AJ7" s="40">
        <f>s_C*(d_Bv!I7+s_MLF_carrot)*s_IFCR_res_adj*s_CF_carrot</f>
        <v>858.34375</v>
      </c>
      <c r="AK7" s="40">
        <f>s_C*(d_Bv!J7+s_MLF_citrus)*s_IFCI_res_adj*s_CF_citrus</f>
        <v>858.34375</v>
      </c>
      <c r="AL7" s="40">
        <f>s_C*(d_Bv!K7+s_MLF_corn)*s_IFCO_res_adj*s_CF_corn</f>
        <v>858.34375</v>
      </c>
      <c r="AM7" s="40">
        <f>s_C*(d_Bv!L7+s_MLF_cucumber)*s_IFCU_res_adj*s_CF_cucumber</f>
        <v>858.34375</v>
      </c>
      <c r="AN7" s="40">
        <f>s_C*(d_Bv!M7+s_MLF_lettuce)*s_IFLE_res_adj*s_CF_lettuce</f>
        <v>858.34375</v>
      </c>
      <c r="AO7" s="40">
        <f>s_C*(d_Bv!N7+s_MLF_lima_bean)*s_IFLI_res_adj*s_CF_lima_bean</f>
        <v>858.34375</v>
      </c>
      <c r="AP7" s="40">
        <f>s_C*(d_Bv!O7+s_MLF_okra)*s_IFOK_res_adj*s_CF_okra</f>
        <v>858.34375</v>
      </c>
      <c r="AQ7" s="40">
        <f>s_C*(d_Bv!P7+s_MLF_onion)*s_IFON_res_adj*s_CF_onion</f>
        <v>858.34375</v>
      </c>
      <c r="AR7" s="40">
        <f>s_C*(d_Bv!Q7+s_MLF_peach)*s_IFPC_res_adj*s_CF_peach</f>
        <v>858.34375</v>
      </c>
      <c r="AS7" s="40">
        <f>s_C*(d_Bv!R7+s_MLF_pear)*s_IFPR_res_adj*s_CF_pear</f>
        <v>858.34375</v>
      </c>
      <c r="AT7" s="40">
        <f>s_C*(d_Bv!S7+s_MLF_peas)*s_IFPE_res_adj*s_CF_peas</f>
        <v>858.34375</v>
      </c>
      <c r="AU7" s="40">
        <f>s_C*(d_Bv!T7+s_MLF_peppers)*s_IFPP_res_adj*s_CF_peppers</f>
        <v>858.34375</v>
      </c>
      <c r="AV7" s="40">
        <f>s_C*(d_Bv!U7+s_MLF_potato)*s_IFPT_res_adj*s_CF_potato</f>
        <v>858.34375</v>
      </c>
      <c r="AW7" s="40">
        <f>s_C*(d_Bv!V7+s_MLF_pumpkin)*s_IFPU_res_adj*s_CF_pumpkin</f>
        <v>858.34375</v>
      </c>
      <c r="AX7" s="40">
        <f>s_C*(d_Bv!W7+s_MLF_snap_bean)*s_IFSN_res_adj*s_CF_snap_bean</f>
        <v>858.34375</v>
      </c>
      <c r="AY7" s="40">
        <f>s_C*(d_Bv!X7+s_MLF_strawberry)*s_IFST_res_adj*s_CF_strawberry</f>
        <v>858.34375</v>
      </c>
      <c r="AZ7" s="40">
        <f>s_C*(d_Bv!Y7+s_MLF_tomato)*s_IFTO_res_adj*s_CF_tomato</f>
        <v>858.34375</v>
      </c>
      <c r="BA7" s="40">
        <f>s_C*(d_Bv!Z7+s_MLF_rice)*s_IFRI_res_adj*s_CF_rice</f>
        <v>858.34375</v>
      </c>
      <c r="BB7" s="40">
        <f>s_C*(d_Bv!AA7+s_MLF_cereal)*s_IFCG_res_adj*s_CF_cereal</f>
        <v>858.34375</v>
      </c>
      <c r="BC7" s="15">
        <f t="shared" si="2"/>
        <v>1093.3130676823109</v>
      </c>
      <c r="BD7" s="15">
        <f>IFERROR((s_dir!AD7/(d_Bv!C7+s_MLF_apple)),".")</f>
        <v>4373.2522707292437</v>
      </c>
      <c r="BE7" s="15">
        <f>IFERROR((s_dir!AE7/(d_Bv!D7+s_MLF_asparagus)),".")</f>
        <v>4373.2522707292437</v>
      </c>
      <c r="BF7" s="15">
        <f>IFERROR((s_dir!AF7/(d_Bv!E7+s_MLF_beet)),".")</f>
        <v>4373.2522707292437</v>
      </c>
      <c r="BG7" s="15">
        <f>IFERROR((s_dir!AG7/(d_Bv!F7+s_MLF_berries)),".")</f>
        <v>4373.2522707292437</v>
      </c>
      <c r="BH7" s="15">
        <f>IFERROR((s_dir!AH7/(d_Bv!G7+s_MLF_broccoli)),".")</f>
        <v>4373.2522707292437</v>
      </c>
      <c r="BI7" s="15">
        <f>IFERROR((s_dir!AI7/(d_Bv!H7+s_MLF_cabbage)),".")</f>
        <v>4373.2522707292437</v>
      </c>
      <c r="BJ7" s="15">
        <f>IFERROR((s_dir!AJ7/(d_Bv!I7+s_MLF_carrot)),".")</f>
        <v>4373.2522707292437</v>
      </c>
      <c r="BK7" s="15">
        <f>IFERROR((s_dir!AK7/(d_Bv!J7+s_MLF_citrus)),".")</f>
        <v>4373.2522707292437</v>
      </c>
      <c r="BL7" s="15">
        <f>IFERROR((s_dir!AL7/(d_Bv!K7+s_MLF_corn)),".")</f>
        <v>4373.2522707292437</v>
      </c>
      <c r="BM7" s="15">
        <f>IFERROR((s_dir!AM7/(d_Bv!L7+s_MLF_cucumber)),".")</f>
        <v>4373.2522707292437</v>
      </c>
      <c r="BN7" s="15">
        <f>IFERROR((s_dir!AN7/(d_Bv!M7+s_MLF_lettuce)),".")</f>
        <v>4373.2522707292437</v>
      </c>
      <c r="BO7" s="15">
        <f>IFERROR((s_dir!AO7/(d_Bv!N7+s_MLF_lima_bean)),".")</f>
        <v>4373.2522707292437</v>
      </c>
      <c r="BP7" s="15">
        <f>IFERROR((s_dir!AP7/(d_Bv!O7+s_MLF_okra)),".")</f>
        <v>4373.2522707292437</v>
      </c>
      <c r="BQ7" s="15">
        <f>IFERROR((s_dir!AQ7/(d_Bv!P7+s_MLF_onion)),".")</f>
        <v>4373.2522707292437</v>
      </c>
      <c r="BR7" s="15">
        <f>IFERROR((s_dir!AR7/(d_Bv!Q7+s_MLF_peach)),".")</f>
        <v>4373.2522707292437</v>
      </c>
      <c r="BS7" s="15">
        <f>IFERROR((s_dir!AS7/(d_Bv!R7+s_MLF_pear)),".")</f>
        <v>4373.2522707292437</v>
      </c>
      <c r="BT7" s="15">
        <f>IFERROR((s_dir!AT7/(d_Bv!S7+s_MLF_peas)),".")</f>
        <v>4373.2522707292437</v>
      </c>
      <c r="BU7" s="15">
        <f>IFERROR((s_dir!AU7/(d_Bv!T7+s_MLF_peppers)),".")</f>
        <v>4373.2522707292437</v>
      </c>
      <c r="BV7" s="15">
        <f>IFERROR((s_dir!AV7/(d_Bv!U7+s_MLF_potato)),".")</f>
        <v>4373.2522707292437</v>
      </c>
      <c r="BW7" s="15">
        <f>IFERROR((s_dir!AW7/(d_Bv!V7+s_MLF_pumpkin)),".")</f>
        <v>4373.2522707292437</v>
      </c>
      <c r="BX7" s="15">
        <f>IFERROR((s_dir!AX7/(d_Bv!W7+s_MLF_snap_bean)),".")</f>
        <v>4373.2522707292437</v>
      </c>
      <c r="BY7" s="15">
        <f>IFERROR((s_dir!AY7/(d_Bv!X7+s_MLF_strawberry)),".")</f>
        <v>4373.2522707292437</v>
      </c>
      <c r="BZ7" s="15">
        <f>IFERROR((s_dir!AZ7/(d_Bv!Y7+s_MLF_tomato)),".")</f>
        <v>4373.2522707292437</v>
      </c>
      <c r="CA7" s="15">
        <f>IFERROR((s_dir!BA7/(d_Bv!Z7+s_MLF_rice)),".")</f>
        <v>4373.2522707292437</v>
      </c>
      <c r="CB7" s="15">
        <f>IFERROR((s_dir!BB7/(d_Bv!AA7+s_MLF_cereal)),".")</f>
        <v>4373.2522707292437</v>
      </c>
      <c r="CC7" s="40">
        <f t="shared" si="3"/>
        <v>3433.375</v>
      </c>
      <c r="CD7" s="40">
        <f>IFERROR(s_C*(d_Bv!C7+s_MLF_apple)*s_IFAP_far_adj*s_CF_apple,".")</f>
        <v>858.34375</v>
      </c>
      <c r="CE7" s="40">
        <f>IFERROR(s_C*(d_Bv!D7+s_MLF_asparagus)*s_IFAS_far_adj*s_CF_asparagus,".")</f>
        <v>858.34375</v>
      </c>
      <c r="CF7" s="40">
        <f>IFERROR(s_C*(d_Bv!E7+s_MLF_beet)*s_IFBT_far_adj*s_CF_beet,".")</f>
        <v>858.34375</v>
      </c>
      <c r="CG7" s="40">
        <f>IFERROR(s_C*(d_Bv!F7+s_MLF_berries)*s_IFBR_far_adj*s_CF_berries,".")</f>
        <v>858.34375</v>
      </c>
      <c r="CH7" s="40">
        <f>IFERROR(s_C*(d_Bv!G7+s_MLF_broccoli)*s_IFBR_far_adj*s_CF_broccoli,".")</f>
        <v>858.34375</v>
      </c>
      <c r="CI7" s="40">
        <f>IFERROR(s_C*(d_Bv!H7+s_MLF_cabbage)*s_IFCB_far_adj*s_CF_cabbage,".")</f>
        <v>858.34375</v>
      </c>
      <c r="CJ7" s="40">
        <f>IFERROR(s_C*(d_Bv!I7+s_MLF_carrot)*s_IFCR_far_adj*s_CF_carrot,".")</f>
        <v>858.34375</v>
      </c>
      <c r="CK7" s="40">
        <f>IFERROR(s_C*(d_Bv!J7+s_MLF_citrus)*s_IFCI_far_adj*s_CF_citrus,".")</f>
        <v>858.34375</v>
      </c>
      <c r="CL7" s="40">
        <f>IFERROR(s_C*(d_Bv!K7+s_MLF_corn)*s_IFCO_far_adj*s_CF_corn,".")</f>
        <v>858.34375</v>
      </c>
      <c r="CM7" s="40">
        <f>IFERROR(s_C*(d_Bv!L7+s_MLF_cucumber)*s_IFCU_far_adj*s_CF_cucumber,".")</f>
        <v>858.34375</v>
      </c>
      <c r="CN7" s="40">
        <f>IFERROR(s_C*(d_Bv!M7+s_MLF_lettuce)*s_IFLE_far_adj*s_CF_lettuce,".")</f>
        <v>858.34375</v>
      </c>
      <c r="CO7" s="40">
        <f>IFERROR(s_C*(d_Bv!N7+s_MLF_lima_bean)*s_IFLI_far_adj*s_CF_lima_bean,".")</f>
        <v>858.34375</v>
      </c>
      <c r="CP7" s="40">
        <f>IFERROR(s_C*(d_Bv!O7+s_MLF_okra)*s_IFOK_far_adj*s_CF_okra,".")</f>
        <v>858.34375</v>
      </c>
      <c r="CQ7" s="40">
        <f>IFERROR(s_C*(d_Bv!P7+s_MLF_onion)*s_IFON_far_adj*s_CF_onion,".")</f>
        <v>858.34375</v>
      </c>
      <c r="CR7" s="40">
        <f>IFERROR(s_C*(d_Bv!Q7+s_MLF_peach)*s_IFPC_far_adj*s_CF_peach,".")</f>
        <v>858.34375</v>
      </c>
      <c r="CS7" s="40">
        <f>IFERROR(s_C*(d_Bv!R7+s_MLF_pear)*s_IFPR_far_adj*s_CF_pear,".")</f>
        <v>858.34375</v>
      </c>
      <c r="CT7" s="40">
        <f>IFERROR(s_C*(d_Bv!S7+s_MLF_peas)*s_IFPE_far_adj*s_CF_peas,".")</f>
        <v>858.34375</v>
      </c>
      <c r="CU7" s="40">
        <f>IFERROR(s_C*(d_Bv!T7+s_MLF_peppers)*s_IFPP_far_adj*s_CF_peppers,".")</f>
        <v>858.34375</v>
      </c>
      <c r="CV7" s="40">
        <f>IFERROR(s_C*(d_Bv!U7+s_MLF_potato)*s_IFPT_far_adj*s_CF_potato,".")</f>
        <v>858.34375</v>
      </c>
      <c r="CW7" s="40">
        <f>IFERROR(s_C*(d_Bv!V7+s_MLF_pumpkin)*s_IFPU_far_adj*s_CF_pumpkin,".")</f>
        <v>858.34375</v>
      </c>
      <c r="CX7" s="40">
        <f>IFERROR(s_C*(d_Bv!W7+s_MLF_snap_bean)*s_IFSN_far_adj*s_CF_snap_bean,".")</f>
        <v>858.34375</v>
      </c>
      <c r="CY7" s="40">
        <f>IFERROR(s_C*(d_Bv!X7+s_MLF_strawberry)*s_IFST_far_adj*s_CF_strawberry,".")</f>
        <v>858.34375</v>
      </c>
      <c r="CZ7" s="40">
        <f>IFERROR(s_C*(d_Bv!Y7+s_MLF_tomato)*s_IFTO_far_adj*s_CF_tomato,".")</f>
        <v>858.34375</v>
      </c>
      <c r="DA7" s="40">
        <f>IFERROR(s_C*(d_Bv!Z7+s_MLF_rice)*s_IFRI_far_adj*s_CF_rice,".")</f>
        <v>858.34375</v>
      </c>
      <c r="DB7" s="40">
        <f>IFERROR(s_C*(d_Bv!AA7+s_MLF_cereal)*s_IFCG_far_adj*s_CF_cereal,".")</f>
        <v>858.34375</v>
      </c>
    </row>
    <row r="8" spans="1:106" ht="15" customHeight="1" x14ac:dyDescent="0.25">
      <c r="A8" s="44" t="s">
        <v>6</v>
      </c>
      <c r="B8" s="42" t="s">
        <v>1057</v>
      </c>
      <c r="C8" s="15">
        <f t="shared" si="0"/>
        <v>7343.1474695080569</v>
      </c>
      <c r="D8" s="15">
        <f>IFERROR((s_dir!D8/(d_Bv!C8+s_MLF_apple)),".")</f>
        <v>29372.589878032231</v>
      </c>
      <c r="E8" s="15">
        <f>IFERROR((s_dir!E8/(d_Bv!D8+s_MLF_asparagus)),".")</f>
        <v>29372.589878032231</v>
      </c>
      <c r="F8" s="15">
        <f>IFERROR((s_dir!F8/(d_Bv!E8+s_MLF_beet)),".")</f>
        <v>29372.589878032231</v>
      </c>
      <c r="G8" s="15">
        <f>IFERROR((s_dir!G8/(d_Bv!F8+s_MLF_berries)),".")</f>
        <v>29372.589878032231</v>
      </c>
      <c r="H8" s="15">
        <f>IFERROR((s_dir!H8/(d_Bv!G8+s_MLF_broccoli)),".")</f>
        <v>29372.589878032231</v>
      </c>
      <c r="I8" s="15">
        <f>IFERROR((s_dir!I8/(d_Bv!H8+s_MLF_cabbage)),".")</f>
        <v>29372.589878032231</v>
      </c>
      <c r="J8" s="15">
        <f>IFERROR((s_dir!J8/(d_Bv!I8+s_MLF_carrot)),".")</f>
        <v>29372.589878032231</v>
      </c>
      <c r="K8" s="15">
        <f>IFERROR((s_dir!K8/(d_Bv!J8+s_MLF_citrus)),".")</f>
        <v>29372.589878032231</v>
      </c>
      <c r="L8" s="15">
        <f>IFERROR((s_dir!L8/(d_Bv!K8+s_MLF_corn)),".")</f>
        <v>29372.589878032231</v>
      </c>
      <c r="M8" s="15">
        <f>IFERROR((s_dir!M8/(d_Bv!L8+s_MLF_cucumber)),".")</f>
        <v>29372.589878032231</v>
      </c>
      <c r="N8" s="15">
        <f>IFERROR((s_dir!N8/(d_Bv!M8+s_MLF_lettuce)),".")</f>
        <v>29372.589878032231</v>
      </c>
      <c r="O8" s="15">
        <f>IFERROR((s_dir!O8/(d_Bv!N8+s_MLF_lima_bean)),".")</f>
        <v>29372.589878032231</v>
      </c>
      <c r="P8" s="15">
        <f>IFERROR((s_dir!P8/(d_Bv!O8+s_MLF_okra)),".")</f>
        <v>29372.589878032231</v>
      </c>
      <c r="Q8" s="15">
        <f>IFERROR((s_dir!Q8/(d_Bv!P8+s_MLF_onion)),".")</f>
        <v>29372.589878032231</v>
      </c>
      <c r="R8" s="15">
        <f>IFERROR((s_dir!R8/(d_Bv!Q8+s_MLF_peach)),".")</f>
        <v>29372.589878032231</v>
      </c>
      <c r="S8" s="15">
        <f>IFERROR((s_dir!S8/(d_Bv!R8+s_MLF_pear)),".")</f>
        <v>29372.589878032231</v>
      </c>
      <c r="T8" s="15">
        <f>IFERROR((s_dir!T8/(d_Bv!S8+s_MLF_peas)),".")</f>
        <v>29372.589878032231</v>
      </c>
      <c r="U8" s="15">
        <f>IFERROR((s_dir!U8/(d_Bv!T8+s_MLF_peppers)),".")</f>
        <v>29372.589878032231</v>
      </c>
      <c r="V8" s="15">
        <f>IFERROR((s_dir!V8/(d_Bv!U8+s_MLF_potato)),".")</f>
        <v>29372.589878032231</v>
      </c>
      <c r="W8" s="15">
        <f>IFERROR((s_dir!W8/(d_Bv!V8+s_MLF_pumpkin)),".")</f>
        <v>29372.589878032231</v>
      </c>
      <c r="X8" s="15">
        <f>IFERROR((s_dir!X8/(d_Bv!W8+s_MLF_snap_bean)),".")</f>
        <v>29372.589878032231</v>
      </c>
      <c r="Y8" s="15">
        <f>IFERROR((s_dir!Y8/(d_Bv!X8+s_MLF_strawberry)),".")</f>
        <v>29372.589878032231</v>
      </c>
      <c r="Z8" s="15">
        <f>IFERROR((s_dir!Z8/(d_Bv!Y8+s_MLF_tomato)),".")</f>
        <v>29372.589878032231</v>
      </c>
      <c r="AA8" s="15">
        <f>IFERROR((s_dir!AA8/(d_Bv!Z8+s_MLF_rice)),".")</f>
        <v>29372.589878032231</v>
      </c>
      <c r="AB8" s="15">
        <f>IFERROR((s_dir!AB8/(d_Bv!AA8+s_MLF_cereal)),".")</f>
        <v>29372.589878032231</v>
      </c>
      <c r="AC8" s="40">
        <f t="shared" si="1"/>
        <v>3433.375</v>
      </c>
      <c r="AD8" s="40">
        <f>s_C*(d_Bv!C8+s_MLF_apple)*s_IFAP_res_adj*s_CF_apple</f>
        <v>858.34375</v>
      </c>
      <c r="AE8" s="40">
        <f>s_C*(d_Bv!D8+s_MLF_asparagus)*s_IFAS_res_adj*s_CF_asparagus</f>
        <v>858.34375</v>
      </c>
      <c r="AF8" s="40">
        <f>s_C*(d_Bv!E8+s_MLF_beet)*s_IFBT_res_adj*s_CF_beet</f>
        <v>858.34375</v>
      </c>
      <c r="AG8" s="40">
        <f>s_C*(d_Bv!F8+s_MLF_berries)*s_IFBE_res_adj*s_CF_berries</f>
        <v>858.34375</v>
      </c>
      <c r="AH8" s="40">
        <f>s_C*(d_Bv!G8+s_MLF_broccoli)*s_IFBR_res_adj*s_CF_broccoli</f>
        <v>858.34375</v>
      </c>
      <c r="AI8" s="40">
        <f>s_C*(d_Bv!H8+s_MLF_cabbage)*s_IFCB_res_adj*s_CF_cabbage</f>
        <v>858.34375</v>
      </c>
      <c r="AJ8" s="40">
        <f>s_C*(d_Bv!I8+s_MLF_carrot)*s_IFCR_res_adj*s_CF_carrot</f>
        <v>858.34375</v>
      </c>
      <c r="AK8" s="40">
        <f>s_C*(d_Bv!J8+s_MLF_citrus)*s_IFCI_res_adj*s_CF_citrus</f>
        <v>858.34375</v>
      </c>
      <c r="AL8" s="40">
        <f>s_C*(d_Bv!K8+s_MLF_corn)*s_IFCO_res_adj*s_CF_corn</f>
        <v>858.34375</v>
      </c>
      <c r="AM8" s="40">
        <f>s_C*(d_Bv!L8+s_MLF_cucumber)*s_IFCU_res_adj*s_CF_cucumber</f>
        <v>858.34375</v>
      </c>
      <c r="AN8" s="40">
        <f>s_C*(d_Bv!M8+s_MLF_lettuce)*s_IFLE_res_adj*s_CF_lettuce</f>
        <v>858.34375</v>
      </c>
      <c r="AO8" s="40">
        <f>s_C*(d_Bv!N8+s_MLF_lima_bean)*s_IFLI_res_adj*s_CF_lima_bean</f>
        <v>858.34375</v>
      </c>
      <c r="AP8" s="40">
        <f>s_C*(d_Bv!O8+s_MLF_okra)*s_IFOK_res_adj*s_CF_okra</f>
        <v>858.34375</v>
      </c>
      <c r="AQ8" s="40">
        <f>s_C*(d_Bv!P8+s_MLF_onion)*s_IFON_res_adj*s_CF_onion</f>
        <v>858.34375</v>
      </c>
      <c r="AR8" s="40">
        <f>s_C*(d_Bv!Q8+s_MLF_peach)*s_IFPC_res_adj*s_CF_peach</f>
        <v>858.34375</v>
      </c>
      <c r="AS8" s="40">
        <f>s_C*(d_Bv!R8+s_MLF_pear)*s_IFPR_res_adj*s_CF_pear</f>
        <v>858.34375</v>
      </c>
      <c r="AT8" s="40">
        <f>s_C*(d_Bv!S8+s_MLF_peas)*s_IFPE_res_adj*s_CF_peas</f>
        <v>858.34375</v>
      </c>
      <c r="AU8" s="40">
        <f>s_C*(d_Bv!T8+s_MLF_peppers)*s_IFPP_res_adj*s_CF_peppers</f>
        <v>858.34375</v>
      </c>
      <c r="AV8" s="40">
        <f>s_C*(d_Bv!U8+s_MLF_potato)*s_IFPT_res_adj*s_CF_potato</f>
        <v>858.34375</v>
      </c>
      <c r="AW8" s="40">
        <f>s_C*(d_Bv!V8+s_MLF_pumpkin)*s_IFPU_res_adj*s_CF_pumpkin</f>
        <v>858.34375</v>
      </c>
      <c r="AX8" s="40">
        <f>s_C*(d_Bv!W8+s_MLF_snap_bean)*s_IFSN_res_adj*s_CF_snap_bean</f>
        <v>858.34375</v>
      </c>
      <c r="AY8" s="40">
        <f>s_C*(d_Bv!X8+s_MLF_strawberry)*s_IFST_res_adj*s_CF_strawberry</f>
        <v>858.34375</v>
      </c>
      <c r="AZ8" s="40">
        <f>s_C*(d_Bv!Y8+s_MLF_tomato)*s_IFTO_res_adj*s_CF_tomato</f>
        <v>858.34375</v>
      </c>
      <c r="BA8" s="40">
        <f>s_C*(d_Bv!Z8+s_MLF_rice)*s_IFRI_res_adj*s_CF_rice</f>
        <v>858.34375</v>
      </c>
      <c r="BB8" s="40">
        <f>s_C*(d_Bv!AA8+s_MLF_cereal)*s_IFCG_res_adj*s_CF_cereal</f>
        <v>858.34375</v>
      </c>
      <c r="BC8" s="15">
        <f t="shared" si="2"/>
        <v>7343.1474695080569</v>
      </c>
      <c r="BD8" s="15">
        <f>IFERROR((s_dir!AD8/(d_Bv!C8+s_MLF_apple)),".")</f>
        <v>29372.589878032231</v>
      </c>
      <c r="BE8" s="15">
        <f>IFERROR((s_dir!AE8/(d_Bv!D8+s_MLF_asparagus)),".")</f>
        <v>29372.589878032231</v>
      </c>
      <c r="BF8" s="15">
        <f>IFERROR((s_dir!AF8/(d_Bv!E8+s_MLF_beet)),".")</f>
        <v>29372.589878032231</v>
      </c>
      <c r="BG8" s="15">
        <f>IFERROR((s_dir!AG8/(d_Bv!F8+s_MLF_berries)),".")</f>
        <v>29372.589878032231</v>
      </c>
      <c r="BH8" s="15">
        <f>IFERROR((s_dir!AH8/(d_Bv!G8+s_MLF_broccoli)),".")</f>
        <v>29372.589878032231</v>
      </c>
      <c r="BI8" s="15">
        <f>IFERROR((s_dir!AI8/(d_Bv!H8+s_MLF_cabbage)),".")</f>
        <v>29372.589878032231</v>
      </c>
      <c r="BJ8" s="15">
        <f>IFERROR((s_dir!AJ8/(d_Bv!I8+s_MLF_carrot)),".")</f>
        <v>29372.589878032231</v>
      </c>
      <c r="BK8" s="15">
        <f>IFERROR((s_dir!AK8/(d_Bv!J8+s_MLF_citrus)),".")</f>
        <v>29372.589878032231</v>
      </c>
      <c r="BL8" s="15">
        <f>IFERROR((s_dir!AL8/(d_Bv!K8+s_MLF_corn)),".")</f>
        <v>29372.589878032231</v>
      </c>
      <c r="BM8" s="15">
        <f>IFERROR((s_dir!AM8/(d_Bv!L8+s_MLF_cucumber)),".")</f>
        <v>29372.589878032231</v>
      </c>
      <c r="BN8" s="15">
        <f>IFERROR((s_dir!AN8/(d_Bv!M8+s_MLF_lettuce)),".")</f>
        <v>29372.589878032231</v>
      </c>
      <c r="BO8" s="15">
        <f>IFERROR((s_dir!AO8/(d_Bv!N8+s_MLF_lima_bean)),".")</f>
        <v>29372.589878032231</v>
      </c>
      <c r="BP8" s="15">
        <f>IFERROR((s_dir!AP8/(d_Bv!O8+s_MLF_okra)),".")</f>
        <v>29372.589878032231</v>
      </c>
      <c r="BQ8" s="15">
        <f>IFERROR((s_dir!AQ8/(d_Bv!P8+s_MLF_onion)),".")</f>
        <v>29372.589878032231</v>
      </c>
      <c r="BR8" s="15">
        <f>IFERROR((s_dir!AR8/(d_Bv!Q8+s_MLF_peach)),".")</f>
        <v>29372.589878032231</v>
      </c>
      <c r="BS8" s="15">
        <f>IFERROR((s_dir!AS8/(d_Bv!R8+s_MLF_pear)),".")</f>
        <v>29372.589878032231</v>
      </c>
      <c r="BT8" s="15">
        <f>IFERROR((s_dir!AT8/(d_Bv!S8+s_MLF_peas)),".")</f>
        <v>29372.589878032231</v>
      </c>
      <c r="BU8" s="15">
        <f>IFERROR((s_dir!AU8/(d_Bv!T8+s_MLF_peppers)),".")</f>
        <v>29372.589878032231</v>
      </c>
      <c r="BV8" s="15">
        <f>IFERROR((s_dir!AV8/(d_Bv!U8+s_MLF_potato)),".")</f>
        <v>29372.589878032231</v>
      </c>
      <c r="BW8" s="15">
        <f>IFERROR((s_dir!AW8/(d_Bv!V8+s_MLF_pumpkin)),".")</f>
        <v>29372.589878032231</v>
      </c>
      <c r="BX8" s="15">
        <f>IFERROR((s_dir!AX8/(d_Bv!W8+s_MLF_snap_bean)),".")</f>
        <v>29372.589878032231</v>
      </c>
      <c r="BY8" s="15">
        <f>IFERROR((s_dir!AY8/(d_Bv!X8+s_MLF_strawberry)),".")</f>
        <v>29372.589878032231</v>
      </c>
      <c r="BZ8" s="15">
        <f>IFERROR((s_dir!AZ8/(d_Bv!Y8+s_MLF_tomato)),".")</f>
        <v>29372.589878032231</v>
      </c>
      <c r="CA8" s="15">
        <f>IFERROR((s_dir!BA8/(d_Bv!Z8+s_MLF_rice)),".")</f>
        <v>29372.589878032231</v>
      </c>
      <c r="CB8" s="15">
        <f>IFERROR((s_dir!BB8/(d_Bv!AA8+s_MLF_cereal)),".")</f>
        <v>29372.589878032231</v>
      </c>
      <c r="CC8" s="40">
        <f t="shared" si="3"/>
        <v>3433.375</v>
      </c>
      <c r="CD8" s="40">
        <f>IFERROR(s_C*(d_Bv!C8+s_MLF_apple)*s_IFAP_far_adj*s_CF_apple,".")</f>
        <v>858.34375</v>
      </c>
      <c r="CE8" s="40">
        <f>IFERROR(s_C*(d_Bv!D8+s_MLF_asparagus)*s_IFAS_far_adj*s_CF_asparagus,".")</f>
        <v>858.34375</v>
      </c>
      <c r="CF8" s="40">
        <f>IFERROR(s_C*(d_Bv!E8+s_MLF_beet)*s_IFBT_far_adj*s_CF_beet,".")</f>
        <v>858.34375</v>
      </c>
      <c r="CG8" s="40">
        <f>IFERROR(s_C*(d_Bv!F8+s_MLF_berries)*s_IFBR_far_adj*s_CF_berries,".")</f>
        <v>858.34375</v>
      </c>
      <c r="CH8" s="40">
        <f>IFERROR(s_C*(d_Bv!G8+s_MLF_broccoli)*s_IFBR_far_adj*s_CF_broccoli,".")</f>
        <v>858.34375</v>
      </c>
      <c r="CI8" s="40">
        <f>IFERROR(s_C*(d_Bv!H8+s_MLF_cabbage)*s_IFCB_far_adj*s_CF_cabbage,".")</f>
        <v>858.34375</v>
      </c>
      <c r="CJ8" s="40">
        <f>IFERROR(s_C*(d_Bv!I8+s_MLF_carrot)*s_IFCR_far_adj*s_CF_carrot,".")</f>
        <v>858.34375</v>
      </c>
      <c r="CK8" s="40">
        <f>IFERROR(s_C*(d_Bv!J8+s_MLF_citrus)*s_IFCI_far_adj*s_CF_citrus,".")</f>
        <v>858.34375</v>
      </c>
      <c r="CL8" s="40">
        <f>IFERROR(s_C*(d_Bv!K8+s_MLF_corn)*s_IFCO_far_adj*s_CF_corn,".")</f>
        <v>858.34375</v>
      </c>
      <c r="CM8" s="40">
        <f>IFERROR(s_C*(d_Bv!L8+s_MLF_cucumber)*s_IFCU_far_adj*s_CF_cucumber,".")</f>
        <v>858.34375</v>
      </c>
      <c r="CN8" s="40">
        <f>IFERROR(s_C*(d_Bv!M8+s_MLF_lettuce)*s_IFLE_far_adj*s_CF_lettuce,".")</f>
        <v>858.34375</v>
      </c>
      <c r="CO8" s="40">
        <f>IFERROR(s_C*(d_Bv!N8+s_MLF_lima_bean)*s_IFLI_far_adj*s_CF_lima_bean,".")</f>
        <v>858.34375</v>
      </c>
      <c r="CP8" s="40">
        <f>IFERROR(s_C*(d_Bv!O8+s_MLF_okra)*s_IFOK_far_adj*s_CF_okra,".")</f>
        <v>858.34375</v>
      </c>
      <c r="CQ8" s="40">
        <f>IFERROR(s_C*(d_Bv!P8+s_MLF_onion)*s_IFON_far_adj*s_CF_onion,".")</f>
        <v>858.34375</v>
      </c>
      <c r="CR8" s="40">
        <f>IFERROR(s_C*(d_Bv!Q8+s_MLF_peach)*s_IFPC_far_adj*s_CF_peach,".")</f>
        <v>858.34375</v>
      </c>
      <c r="CS8" s="40">
        <f>IFERROR(s_C*(d_Bv!R8+s_MLF_pear)*s_IFPR_far_adj*s_CF_pear,".")</f>
        <v>858.34375</v>
      </c>
      <c r="CT8" s="40">
        <f>IFERROR(s_C*(d_Bv!S8+s_MLF_peas)*s_IFPE_far_adj*s_CF_peas,".")</f>
        <v>858.34375</v>
      </c>
      <c r="CU8" s="40">
        <f>IFERROR(s_C*(d_Bv!T8+s_MLF_peppers)*s_IFPP_far_adj*s_CF_peppers,".")</f>
        <v>858.34375</v>
      </c>
      <c r="CV8" s="40">
        <f>IFERROR(s_C*(d_Bv!U8+s_MLF_potato)*s_IFPT_far_adj*s_CF_potato,".")</f>
        <v>858.34375</v>
      </c>
      <c r="CW8" s="40">
        <f>IFERROR(s_C*(d_Bv!V8+s_MLF_pumpkin)*s_IFPU_far_adj*s_CF_pumpkin,".")</f>
        <v>858.34375</v>
      </c>
      <c r="CX8" s="40">
        <f>IFERROR(s_C*(d_Bv!W8+s_MLF_snap_bean)*s_IFSN_far_adj*s_CF_snap_bean,".")</f>
        <v>858.34375</v>
      </c>
      <c r="CY8" s="40">
        <f>IFERROR(s_C*(d_Bv!X8+s_MLF_strawberry)*s_IFST_far_adj*s_CF_strawberry,".")</f>
        <v>858.34375</v>
      </c>
      <c r="CZ8" s="40">
        <f>IFERROR(s_C*(d_Bv!Y8+s_MLF_tomato)*s_IFTO_far_adj*s_CF_tomato,".")</f>
        <v>858.34375</v>
      </c>
      <c r="DA8" s="40">
        <f>IFERROR(s_C*(d_Bv!Z8+s_MLF_rice)*s_IFRI_far_adj*s_CF_rice,".")</f>
        <v>858.34375</v>
      </c>
      <c r="DB8" s="40">
        <f>IFERROR(s_C*(d_Bv!AA8+s_MLF_cereal)*s_IFCG_far_adj*s_CF_cereal,".")</f>
        <v>858.34375</v>
      </c>
    </row>
    <row r="9" spans="1:106" ht="15" customHeight="1" x14ac:dyDescent="0.25">
      <c r="A9" s="44" t="s">
        <v>7</v>
      </c>
      <c r="B9" s="42" t="s">
        <v>1057</v>
      </c>
      <c r="C9" s="15">
        <f t="shared" si="0"/>
        <v>13207.808871329929</v>
      </c>
      <c r="D9" s="15">
        <f>IFERROR((s_dir!D9/(d_Bv!C9+s_MLF_apple)),".")</f>
        <v>52831.23548531971</v>
      </c>
      <c r="E9" s="15">
        <f>IFERROR((s_dir!E9/(d_Bv!D9+s_MLF_asparagus)),".")</f>
        <v>52831.23548531971</v>
      </c>
      <c r="F9" s="15">
        <f>IFERROR((s_dir!F9/(d_Bv!E9+s_MLF_beet)),".")</f>
        <v>52831.23548531971</v>
      </c>
      <c r="G9" s="15">
        <f>IFERROR((s_dir!G9/(d_Bv!F9+s_MLF_berries)),".")</f>
        <v>52831.23548531971</v>
      </c>
      <c r="H9" s="15">
        <f>IFERROR((s_dir!H9/(d_Bv!G9+s_MLF_broccoli)),".")</f>
        <v>52831.23548531971</v>
      </c>
      <c r="I9" s="15">
        <f>IFERROR((s_dir!I9/(d_Bv!H9+s_MLF_cabbage)),".")</f>
        <v>52831.23548531971</v>
      </c>
      <c r="J9" s="15">
        <f>IFERROR((s_dir!J9/(d_Bv!I9+s_MLF_carrot)),".")</f>
        <v>52831.23548531971</v>
      </c>
      <c r="K9" s="15">
        <f>IFERROR((s_dir!K9/(d_Bv!J9+s_MLF_citrus)),".")</f>
        <v>52831.23548531971</v>
      </c>
      <c r="L9" s="15">
        <f>IFERROR((s_dir!L9/(d_Bv!K9+s_MLF_corn)),".")</f>
        <v>52831.23548531971</v>
      </c>
      <c r="M9" s="15">
        <f>IFERROR((s_dir!M9/(d_Bv!L9+s_MLF_cucumber)),".")</f>
        <v>52831.23548531971</v>
      </c>
      <c r="N9" s="15">
        <f>IFERROR((s_dir!N9/(d_Bv!M9+s_MLF_lettuce)),".")</f>
        <v>52831.23548531971</v>
      </c>
      <c r="O9" s="15">
        <f>IFERROR((s_dir!O9/(d_Bv!N9+s_MLF_lima_bean)),".")</f>
        <v>52831.23548531971</v>
      </c>
      <c r="P9" s="15">
        <f>IFERROR((s_dir!P9/(d_Bv!O9+s_MLF_okra)),".")</f>
        <v>52831.23548531971</v>
      </c>
      <c r="Q9" s="15">
        <f>IFERROR((s_dir!Q9/(d_Bv!P9+s_MLF_onion)),".")</f>
        <v>52831.23548531971</v>
      </c>
      <c r="R9" s="15">
        <f>IFERROR((s_dir!R9/(d_Bv!Q9+s_MLF_peach)),".")</f>
        <v>52831.23548531971</v>
      </c>
      <c r="S9" s="15">
        <f>IFERROR((s_dir!S9/(d_Bv!R9+s_MLF_pear)),".")</f>
        <v>52831.23548531971</v>
      </c>
      <c r="T9" s="15">
        <f>IFERROR((s_dir!T9/(d_Bv!S9+s_MLF_peas)),".")</f>
        <v>52831.23548531971</v>
      </c>
      <c r="U9" s="15">
        <f>IFERROR((s_dir!U9/(d_Bv!T9+s_MLF_peppers)),".")</f>
        <v>52831.23548531971</v>
      </c>
      <c r="V9" s="15">
        <f>IFERROR((s_dir!V9/(d_Bv!U9+s_MLF_potato)),".")</f>
        <v>52831.23548531971</v>
      </c>
      <c r="W9" s="15">
        <f>IFERROR((s_dir!W9/(d_Bv!V9+s_MLF_pumpkin)),".")</f>
        <v>52831.23548531971</v>
      </c>
      <c r="X9" s="15">
        <f>IFERROR((s_dir!X9/(d_Bv!W9+s_MLF_snap_bean)),".")</f>
        <v>52831.23548531971</v>
      </c>
      <c r="Y9" s="15">
        <f>IFERROR((s_dir!Y9/(d_Bv!X9+s_MLF_strawberry)),".")</f>
        <v>52831.23548531971</v>
      </c>
      <c r="Z9" s="15">
        <f>IFERROR((s_dir!Z9/(d_Bv!Y9+s_MLF_tomato)),".")</f>
        <v>52831.23548531971</v>
      </c>
      <c r="AA9" s="15">
        <f>IFERROR((s_dir!AA9/(d_Bv!Z9+s_MLF_rice)),".")</f>
        <v>52831.23548531971</v>
      </c>
      <c r="AB9" s="15">
        <f>IFERROR((s_dir!AB9/(d_Bv!AA9+s_MLF_cereal)),".")</f>
        <v>52831.23548531971</v>
      </c>
      <c r="AC9" s="40">
        <f t="shared" si="1"/>
        <v>3433.375</v>
      </c>
      <c r="AD9" s="40">
        <f>s_C*(d_Bv!C9+s_MLF_apple)*s_IFAP_res_adj*s_CF_apple</f>
        <v>858.34375</v>
      </c>
      <c r="AE9" s="40">
        <f>s_C*(d_Bv!D9+s_MLF_asparagus)*s_IFAS_res_adj*s_CF_asparagus</f>
        <v>858.34375</v>
      </c>
      <c r="AF9" s="40">
        <f>s_C*(d_Bv!E9+s_MLF_beet)*s_IFBT_res_adj*s_CF_beet</f>
        <v>858.34375</v>
      </c>
      <c r="AG9" s="40">
        <f>s_C*(d_Bv!F9+s_MLF_berries)*s_IFBE_res_adj*s_CF_berries</f>
        <v>858.34375</v>
      </c>
      <c r="AH9" s="40">
        <f>s_C*(d_Bv!G9+s_MLF_broccoli)*s_IFBR_res_adj*s_CF_broccoli</f>
        <v>858.34375</v>
      </c>
      <c r="AI9" s="40">
        <f>s_C*(d_Bv!H9+s_MLF_cabbage)*s_IFCB_res_adj*s_CF_cabbage</f>
        <v>858.34375</v>
      </c>
      <c r="AJ9" s="40">
        <f>s_C*(d_Bv!I9+s_MLF_carrot)*s_IFCR_res_adj*s_CF_carrot</f>
        <v>858.34375</v>
      </c>
      <c r="AK9" s="40">
        <f>s_C*(d_Bv!J9+s_MLF_citrus)*s_IFCI_res_adj*s_CF_citrus</f>
        <v>858.34375</v>
      </c>
      <c r="AL9" s="40">
        <f>s_C*(d_Bv!K9+s_MLF_corn)*s_IFCO_res_adj*s_CF_corn</f>
        <v>858.34375</v>
      </c>
      <c r="AM9" s="40">
        <f>s_C*(d_Bv!L9+s_MLF_cucumber)*s_IFCU_res_adj*s_CF_cucumber</f>
        <v>858.34375</v>
      </c>
      <c r="AN9" s="40">
        <f>s_C*(d_Bv!M9+s_MLF_lettuce)*s_IFLE_res_adj*s_CF_lettuce</f>
        <v>858.34375</v>
      </c>
      <c r="AO9" s="40">
        <f>s_C*(d_Bv!N9+s_MLF_lima_bean)*s_IFLI_res_adj*s_CF_lima_bean</f>
        <v>858.34375</v>
      </c>
      <c r="AP9" s="40">
        <f>s_C*(d_Bv!O9+s_MLF_okra)*s_IFOK_res_adj*s_CF_okra</f>
        <v>858.34375</v>
      </c>
      <c r="AQ9" s="40">
        <f>s_C*(d_Bv!P9+s_MLF_onion)*s_IFON_res_adj*s_CF_onion</f>
        <v>858.34375</v>
      </c>
      <c r="AR9" s="40">
        <f>s_C*(d_Bv!Q9+s_MLF_peach)*s_IFPC_res_adj*s_CF_peach</f>
        <v>858.34375</v>
      </c>
      <c r="AS9" s="40">
        <f>s_C*(d_Bv!R9+s_MLF_pear)*s_IFPR_res_adj*s_CF_pear</f>
        <v>858.34375</v>
      </c>
      <c r="AT9" s="40">
        <f>s_C*(d_Bv!S9+s_MLF_peas)*s_IFPE_res_adj*s_CF_peas</f>
        <v>858.34375</v>
      </c>
      <c r="AU9" s="40">
        <f>s_C*(d_Bv!T9+s_MLF_peppers)*s_IFPP_res_adj*s_CF_peppers</f>
        <v>858.34375</v>
      </c>
      <c r="AV9" s="40">
        <f>s_C*(d_Bv!U9+s_MLF_potato)*s_IFPT_res_adj*s_CF_potato</f>
        <v>858.34375</v>
      </c>
      <c r="AW9" s="40">
        <f>s_C*(d_Bv!V9+s_MLF_pumpkin)*s_IFPU_res_adj*s_CF_pumpkin</f>
        <v>858.34375</v>
      </c>
      <c r="AX9" s="40">
        <f>s_C*(d_Bv!W9+s_MLF_snap_bean)*s_IFSN_res_adj*s_CF_snap_bean</f>
        <v>858.34375</v>
      </c>
      <c r="AY9" s="40">
        <f>s_C*(d_Bv!X9+s_MLF_strawberry)*s_IFST_res_adj*s_CF_strawberry</f>
        <v>858.34375</v>
      </c>
      <c r="AZ9" s="40">
        <f>s_C*(d_Bv!Y9+s_MLF_tomato)*s_IFTO_res_adj*s_CF_tomato</f>
        <v>858.34375</v>
      </c>
      <c r="BA9" s="40">
        <f>s_C*(d_Bv!Z9+s_MLF_rice)*s_IFRI_res_adj*s_CF_rice</f>
        <v>858.34375</v>
      </c>
      <c r="BB9" s="40">
        <f>s_C*(d_Bv!AA9+s_MLF_cereal)*s_IFCG_res_adj*s_CF_cereal</f>
        <v>858.34375</v>
      </c>
      <c r="BC9" s="15">
        <f t="shared" si="2"/>
        <v>13207.808871329929</v>
      </c>
      <c r="BD9" s="15">
        <f>IFERROR((s_dir!AD9/(d_Bv!C9+s_MLF_apple)),".")</f>
        <v>52831.23548531971</v>
      </c>
      <c r="BE9" s="15">
        <f>IFERROR((s_dir!AE9/(d_Bv!D9+s_MLF_asparagus)),".")</f>
        <v>52831.23548531971</v>
      </c>
      <c r="BF9" s="15">
        <f>IFERROR((s_dir!AF9/(d_Bv!E9+s_MLF_beet)),".")</f>
        <v>52831.23548531971</v>
      </c>
      <c r="BG9" s="15">
        <f>IFERROR((s_dir!AG9/(d_Bv!F9+s_MLF_berries)),".")</f>
        <v>52831.23548531971</v>
      </c>
      <c r="BH9" s="15">
        <f>IFERROR((s_dir!AH9/(d_Bv!G9+s_MLF_broccoli)),".")</f>
        <v>52831.23548531971</v>
      </c>
      <c r="BI9" s="15">
        <f>IFERROR((s_dir!AI9/(d_Bv!H9+s_MLF_cabbage)),".")</f>
        <v>52831.23548531971</v>
      </c>
      <c r="BJ9" s="15">
        <f>IFERROR((s_dir!AJ9/(d_Bv!I9+s_MLF_carrot)),".")</f>
        <v>52831.23548531971</v>
      </c>
      <c r="BK9" s="15">
        <f>IFERROR((s_dir!AK9/(d_Bv!J9+s_MLF_citrus)),".")</f>
        <v>52831.23548531971</v>
      </c>
      <c r="BL9" s="15">
        <f>IFERROR((s_dir!AL9/(d_Bv!K9+s_MLF_corn)),".")</f>
        <v>52831.23548531971</v>
      </c>
      <c r="BM9" s="15">
        <f>IFERROR((s_dir!AM9/(d_Bv!L9+s_MLF_cucumber)),".")</f>
        <v>52831.23548531971</v>
      </c>
      <c r="BN9" s="15">
        <f>IFERROR((s_dir!AN9/(d_Bv!M9+s_MLF_lettuce)),".")</f>
        <v>52831.23548531971</v>
      </c>
      <c r="BO9" s="15">
        <f>IFERROR((s_dir!AO9/(d_Bv!N9+s_MLF_lima_bean)),".")</f>
        <v>52831.23548531971</v>
      </c>
      <c r="BP9" s="15">
        <f>IFERROR((s_dir!AP9/(d_Bv!O9+s_MLF_okra)),".")</f>
        <v>52831.23548531971</v>
      </c>
      <c r="BQ9" s="15">
        <f>IFERROR((s_dir!AQ9/(d_Bv!P9+s_MLF_onion)),".")</f>
        <v>52831.23548531971</v>
      </c>
      <c r="BR9" s="15">
        <f>IFERROR((s_dir!AR9/(d_Bv!Q9+s_MLF_peach)),".")</f>
        <v>52831.23548531971</v>
      </c>
      <c r="BS9" s="15">
        <f>IFERROR((s_dir!AS9/(d_Bv!R9+s_MLF_pear)),".")</f>
        <v>52831.23548531971</v>
      </c>
      <c r="BT9" s="15">
        <f>IFERROR((s_dir!AT9/(d_Bv!S9+s_MLF_peas)),".")</f>
        <v>52831.23548531971</v>
      </c>
      <c r="BU9" s="15">
        <f>IFERROR((s_dir!AU9/(d_Bv!T9+s_MLF_peppers)),".")</f>
        <v>52831.23548531971</v>
      </c>
      <c r="BV9" s="15">
        <f>IFERROR((s_dir!AV9/(d_Bv!U9+s_MLF_potato)),".")</f>
        <v>52831.23548531971</v>
      </c>
      <c r="BW9" s="15">
        <f>IFERROR((s_dir!AW9/(d_Bv!V9+s_MLF_pumpkin)),".")</f>
        <v>52831.23548531971</v>
      </c>
      <c r="BX9" s="15">
        <f>IFERROR((s_dir!AX9/(d_Bv!W9+s_MLF_snap_bean)),".")</f>
        <v>52831.23548531971</v>
      </c>
      <c r="BY9" s="15">
        <f>IFERROR((s_dir!AY9/(d_Bv!X9+s_MLF_strawberry)),".")</f>
        <v>52831.23548531971</v>
      </c>
      <c r="BZ9" s="15">
        <f>IFERROR((s_dir!AZ9/(d_Bv!Y9+s_MLF_tomato)),".")</f>
        <v>52831.23548531971</v>
      </c>
      <c r="CA9" s="15">
        <f>IFERROR((s_dir!BA9/(d_Bv!Z9+s_MLF_rice)),".")</f>
        <v>52831.23548531971</v>
      </c>
      <c r="CB9" s="15">
        <f>IFERROR((s_dir!BB9/(d_Bv!AA9+s_MLF_cereal)),".")</f>
        <v>52831.23548531971</v>
      </c>
      <c r="CC9" s="40">
        <f t="shared" si="3"/>
        <v>3433.375</v>
      </c>
      <c r="CD9" s="40">
        <f>IFERROR(s_C*(d_Bv!C9+s_MLF_apple)*s_IFAP_far_adj*s_CF_apple,".")</f>
        <v>858.34375</v>
      </c>
      <c r="CE9" s="40">
        <f>IFERROR(s_C*(d_Bv!D9+s_MLF_asparagus)*s_IFAS_far_adj*s_CF_asparagus,".")</f>
        <v>858.34375</v>
      </c>
      <c r="CF9" s="40">
        <f>IFERROR(s_C*(d_Bv!E9+s_MLF_beet)*s_IFBT_far_adj*s_CF_beet,".")</f>
        <v>858.34375</v>
      </c>
      <c r="CG9" s="40">
        <f>IFERROR(s_C*(d_Bv!F9+s_MLF_berries)*s_IFBR_far_adj*s_CF_berries,".")</f>
        <v>858.34375</v>
      </c>
      <c r="CH9" s="40">
        <f>IFERROR(s_C*(d_Bv!G9+s_MLF_broccoli)*s_IFBR_far_adj*s_CF_broccoli,".")</f>
        <v>858.34375</v>
      </c>
      <c r="CI9" s="40">
        <f>IFERROR(s_C*(d_Bv!H9+s_MLF_cabbage)*s_IFCB_far_adj*s_CF_cabbage,".")</f>
        <v>858.34375</v>
      </c>
      <c r="CJ9" s="40">
        <f>IFERROR(s_C*(d_Bv!I9+s_MLF_carrot)*s_IFCR_far_adj*s_CF_carrot,".")</f>
        <v>858.34375</v>
      </c>
      <c r="CK9" s="40">
        <f>IFERROR(s_C*(d_Bv!J9+s_MLF_citrus)*s_IFCI_far_adj*s_CF_citrus,".")</f>
        <v>858.34375</v>
      </c>
      <c r="CL9" s="40">
        <f>IFERROR(s_C*(d_Bv!K9+s_MLF_corn)*s_IFCO_far_adj*s_CF_corn,".")</f>
        <v>858.34375</v>
      </c>
      <c r="CM9" s="40">
        <f>IFERROR(s_C*(d_Bv!L9+s_MLF_cucumber)*s_IFCU_far_adj*s_CF_cucumber,".")</f>
        <v>858.34375</v>
      </c>
      <c r="CN9" s="40">
        <f>IFERROR(s_C*(d_Bv!M9+s_MLF_lettuce)*s_IFLE_far_adj*s_CF_lettuce,".")</f>
        <v>858.34375</v>
      </c>
      <c r="CO9" s="40">
        <f>IFERROR(s_C*(d_Bv!N9+s_MLF_lima_bean)*s_IFLI_far_adj*s_CF_lima_bean,".")</f>
        <v>858.34375</v>
      </c>
      <c r="CP9" s="40">
        <f>IFERROR(s_C*(d_Bv!O9+s_MLF_okra)*s_IFOK_far_adj*s_CF_okra,".")</f>
        <v>858.34375</v>
      </c>
      <c r="CQ9" s="40">
        <f>IFERROR(s_C*(d_Bv!P9+s_MLF_onion)*s_IFON_far_adj*s_CF_onion,".")</f>
        <v>858.34375</v>
      </c>
      <c r="CR9" s="40">
        <f>IFERROR(s_C*(d_Bv!Q9+s_MLF_peach)*s_IFPC_far_adj*s_CF_peach,".")</f>
        <v>858.34375</v>
      </c>
      <c r="CS9" s="40">
        <f>IFERROR(s_C*(d_Bv!R9+s_MLF_pear)*s_IFPR_far_adj*s_CF_pear,".")</f>
        <v>858.34375</v>
      </c>
      <c r="CT9" s="40">
        <f>IFERROR(s_C*(d_Bv!S9+s_MLF_peas)*s_IFPE_far_adj*s_CF_peas,".")</f>
        <v>858.34375</v>
      </c>
      <c r="CU9" s="40">
        <f>IFERROR(s_C*(d_Bv!T9+s_MLF_peppers)*s_IFPP_far_adj*s_CF_peppers,".")</f>
        <v>858.34375</v>
      </c>
      <c r="CV9" s="40">
        <f>IFERROR(s_C*(d_Bv!U9+s_MLF_potato)*s_IFPT_far_adj*s_CF_potato,".")</f>
        <v>858.34375</v>
      </c>
      <c r="CW9" s="40">
        <f>IFERROR(s_C*(d_Bv!V9+s_MLF_pumpkin)*s_IFPU_far_adj*s_CF_pumpkin,".")</f>
        <v>858.34375</v>
      </c>
      <c r="CX9" s="40">
        <f>IFERROR(s_C*(d_Bv!W9+s_MLF_snap_bean)*s_IFSN_far_adj*s_CF_snap_bean,".")</f>
        <v>858.34375</v>
      </c>
      <c r="CY9" s="40">
        <f>IFERROR(s_C*(d_Bv!X9+s_MLF_strawberry)*s_IFST_far_adj*s_CF_strawberry,".")</f>
        <v>858.34375</v>
      </c>
      <c r="CZ9" s="40">
        <f>IFERROR(s_C*(d_Bv!Y9+s_MLF_tomato)*s_IFTO_far_adj*s_CF_tomato,".")</f>
        <v>858.34375</v>
      </c>
      <c r="DA9" s="40">
        <f>IFERROR(s_C*(d_Bv!Z9+s_MLF_rice)*s_IFRI_far_adj*s_CF_rice,".")</f>
        <v>858.34375</v>
      </c>
      <c r="DB9" s="40">
        <f>IFERROR(s_C*(d_Bv!AA9+s_MLF_cereal)*s_IFCG_far_adj*s_CF_cereal,".")</f>
        <v>858.34375</v>
      </c>
    </row>
    <row r="10" spans="1:106" x14ac:dyDescent="0.25">
      <c r="A10" s="46" t="s">
        <v>8</v>
      </c>
      <c r="B10" s="42" t="s">
        <v>335</v>
      </c>
      <c r="C10" s="15">
        <f t="shared" si="0"/>
        <v>607.77255649980668</v>
      </c>
      <c r="D10" s="15">
        <f>IFERROR((s_dir!D10/(d_Bv!C10+s_MLF_apple)),".")</f>
        <v>3480.6787911877532</v>
      </c>
      <c r="E10" s="15">
        <f>IFERROR((s_dir!E10/(d_Bv!D10+s_MLF_asparagus)),".")</f>
        <v>913.97415877447122</v>
      </c>
      <c r="F10" s="15">
        <f>IFERROR((s_dir!F10/(d_Bv!E10+s_MLF_beet)),".")</f>
        <v>1210.3982102688942</v>
      </c>
      <c r="G10" s="15">
        <f>IFERROR((s_dir!G10/(d_Bv!F10+s_MLF_berries)),".")</f>
        <v>4306.2244019181817</v>
      </c>
      <c r="H10" s="15">
        <f>IFERROR((s_dir!H10/(d_Bv!G10+s_MLF_broccoli)),".")</f>
        <v>1947.1623382586558</v>
      </c>
      <c r="I10" s="15">
        <f>IFERROR((s_dir!I10/(d_Bv!H10+s_MLF_cabbage)),".")</f>
        <v>913.97415877447122</v>
      </c>
      <c r="J10" s="15">
        <f>IFERROR((s_dir!J10/(d_Bv!I10+s_MLF_carrot)),".")</f>
        <v>1210.3982102688942</v>
      </c>
      <c r="K10" s="15">
        <f>IFERROR((s_dir!K10/(d_Bv!J10+s_MLF_citrus)),".")</f>
        <v>3480.6787911877532</v>
      </c>
      <c r="L10" s="15">
        <f>IFERROR((s_dir!L10/(d_Bv!K10+s_MLF_corn)),".")</f>
        <v>1444.6688316112609</v>
      </c>
      <c r="M10" s="15">
        <f>IFERROR((s_dir!M10/(d_Bv!L10+s_MLF_cucumber)),".")</f>
        <v>1947.1623382586558</v>
      </c>
      <c r="N10" s="15">
        <f>IFERROR((s_dir!N10/(d_Bv!M10+s_MLF_lettuce)),".")</f>
        <v>913.97415877447122</v>
      </c>
      <c r="O10" s="15">
        <f>IFERROR((s_dir!O10/(d_Bv!N10+s_MLF_lima_bean)),".")</f>
        <v>1255.6467414938998</v>
      </c>
      <c r="P10" s="15">
        <f>IFERROR((s_dir!P10/(d_Bv!O10+s_MLF_okra)),".")</f>
        <v>1947.1623382586558</v>
      </c>
      <c r="Q10" s="15">
        <f>IFERROR((s_dir!Q10/(d_Bv!P10+s_MLF_onion)),".")</f>
        <v>1210.3982102688942</v>
      </c>
      <c r="R10" s="15">
        <f>IFERROR((s_dir!R10/(d_Bv!Q10+s_MLF_peach)),".")</f>
        <v>3480.6787911877532</v>
      </c>
      <c r="S10" s="15">
        <f>IFERROR((s_dir!S10/(d_Bv!R10+s_MLF_pear)),".")</f>
        <v>3480.6787911877532</v>
      </c>
      <c r="T10" s="15">
        <f>IFERROR((s_dir!T10/(d_Bv!S10+s_MLF_peas)),".")</f>
        <v>1255.6467414938998</v>
      </c>
      <c r="U10" s="15">
        <f>IFERROR((s_dir!U10/(d_Bv!T10+s_MLF_peppers)),".")</f>
        <v>1947.1623382586558</v>
      </c>
      <c r="V10" s="15">
        <f>IFERROR((s_dir!V10/(d_Bv!U10+s_MLF_potato)),".")</f>
        <v>966.57698805645509</v>
      </c>
      <c r="W10" s="15">
        <f>IFERROR((s_dir!W10/(d_Bv!V10+s_MLF_pumpkin)),".")</f>
        <v>1947.1623382586558</v>
      </c>
      <c r="X10" s="15">
        <f>IFERROR((s_dir!X10/(d_Bv!W10+s_MLF_snap_bean)),".")</f>
        <v>1255.6467414938998</v>
      </c>
      <c r="Y10" s="15">
        <f>IFERROR((s_dir!Y10/(d_Bv!X10+s_MLF_strawberry)),".")</f>
        <v>4096.1646749953443</v>
      </c>
      <c r="Z10" s="15">
        <f>IFERROR((s_dir!Z10/(d_Bv!Y10+s_MLF_tomato)),".")</f>
        <v>1947.1623382586558</v>
      </c>
      <c r="AA10" s="15">
        <f>IFERROR((s_dir!AA10/(d_Bv!Z10+s_MLF_rice)),".")</f>
        <v>4720.8081988702488</v>
      </c>
      <c r="AB10" s="15">
        <f>IFERROR((s_dir!AB10/(d_Bv!AA10+s_MLF_cereal)),".")</f>
        <v>1580.6376628217324</v>
      </c>
      <c r="AC10" s="40">
        <f t="shared" si="1"/>
        <v>835.88312500000006</v>
      </c>
      <c r="AD10" s="40">
        <f>s_C*(d_Bv!C10+s_MLF_apple)*s_IFAP_res_adj*s_CF_apple</f>
        <v>145.95624999999998</v>
      </c>
      <c r="AE10" s="40">
        <f>s_C*(d_Bv!D10+s_MLF_asparagus)*s_IFAS_res_adj*s_CF_asparagus</f>
        <v>555.84375</v>
      </c>
      <c r="AF10" s="40">
        <f>s_C*(d_Bv!E10+s_MLF_beet)*s_IFBT_res_adj*s_CF_beet</f>
        <v>419.71875000000006</v>
      </c>
      <c r="AG10" s="40">
        <f>s_C*(d_Bv!F10+s_MLF_berries)*s_IFBE_res_adj*s_CF_berries</f>
        <v>117.97499999999999</v>
      </c>
      <c r="AH10" s="40">
        <f>s_C*(d_Bv!G10+s_MLF_broccoli)*s_IFBR_res_adj*s_CF_broccoli</f>
        <v>260.90625</v>
      </c>
      <c r="AI10" s="40">
        <f>s_C*(d_Bv!H10+s_MLF_cabbage)*s_IFCB_res_adj*s_CF_cabbage</f>
        <v>555.84375</v>
      </c>
      <c r="AJ10" s="40">
        <f>s_C*(d_Bv!I10+s_MLF_carrot)*s_IFCR_res_adj*s_CF_carrot</f>
        <v>419.71875000000006</v>
      </c>
      <c r="AK10" s="40">
        <f>s_C*(d_Bv!J10+s_MLF_citrus)*s_IFCI_res_adj*s_CF_citrus</f>
        <v>145.95624999999998</v>
      </c>
      <c r="AL10" s="40">
        <f>s_C*(d_Bv!K10+s_MLF_corn)*s_IFCO_res_adj*s_CF_corn</f>
        <v>351.65625</v>
      </c>
      <c r="AM10" s="40">
        <f>s_C*(d_Bv!L10+s_MLF_cucumber)*s_IFCU_res_adj*s_CF_cucumber</f>
        <v>260.90625</v>
      </c>
      <c r="AN10" s="40">
        <f>s_C*(d_Bv!M10+s_MLF_lettuce)*s_IFLE_res_adj*s_CF_lettuce</f>
        <v>555.84375</v>
      </c>
      <c r="AO10" s="40">
        <f>s_C*(d_Bv!N10+s_MLF_lima_bean)*s_IFLI_res_adj*s_CF_lima_bean</f>
        <v>404.59375</v>
      </c>
      <c r="AP10" s="40">
        <f>s_C*(d_Bv!O10+s_MLF_okra)*s_IFOK_res_adj*s_CF_okra</f>
        <v>260.90625</v>
      </c>
      <c r="AQ10" s="40">
        <f>s_C*(d_Bv!P10+s_MLF_onion)*s_IFON_res_adj*s_CF_onion</f>
        <v>419.71875000000006</v>
      </c>
      <c r="AR10" s="40">
        <f>s_C*(d_Bv!Q10+s_MLF_peach)*s_IFPC_res_adj*s_CF_peach</f>
        <v>145.95624999999998</v>
      </c>
      <c r="AS10" s="40">
        <f>s_C*(d_Bv!R10+s_MLF_pear)*s_IFPR_res_adj*s_CF_pear</f>
        <v>145.95624999999998</v>
      </c>
      <c r="AT10" s="40">
        <f>s_C*(d_Bv!S10+s_MLF_peas)*s_IFPE_res_adj*s_CF_peas</f>
        <v>404.59375</v>
      </c>
      <c r="AU10" s="40">
        <f>s_C*(d_Bv!T10+s_MLF_peppers)*s_IFPP_res_adj*s_CF_peppers</f>
        <v>260.90625</v>
      </c>
      <c r="AV10" s="40">
        <f>s_C*(d_Bv!U10+s_MLF_potato)*s_IFPT_res_adj*s_CF_potato</f>
        <v>525.59375</v>
      </c>
      <c r="AW10" s="40">
        <f>s_C*(d_Bv!V10+s_MLF_pumpkin)*s_IFPU_res_adj*s_CF_pumpkin</f>
        <v>260.90625</v>
      </c>
      <c r="AX10" s="40">
        <f>s_C*(d_Bv!W10+s_MLF_snap_bean)*s_IFSN_res_adj*s_CF_snap_bean</f>
        <v>404.59375</v>
      </c>
      <c r="AY10" s="40">
        <f>s_C*(d_Bv!X10+s_MLF_strawberry)*s_IFST_res_adj*s_CF_strawberry</f>
        <v>124.02499999999998</v>
      </c>
      <c r="AZ10" s="40">
        <f>s_C*(d_Bv!Y10+s_MLF_tomato)*s_IFTO_res_adj*s_CF_tomato</f>
        <v>260.90625</v>
      </c>
      <c r="BA10" s="40">
        <f>s_C*(d_Bv!Z10+s_MLF_rice)*s_IFRI_res_adj*s_CF_rice</f>
        <v>107.61437499999998</v>
      </c>
      <c r="BB10" s="40">
        <f>s_C*(d_Bv!AA10+s_MLF_cereal)*s_IFCG_res_adj*s_CF_cereal</f>
        <v>321.40625000000006</v>
      </c>
      <c r="BC10" s="15">
        <f t="shared" si="2"/>
        <v>607.77255649980668</v>
      </c>
      <c r="BD10" s="15">
        <f>IFERROR((s_dir!AD10/(d_Bv!C10+s_MLF_apple)),".")</f>
        <v>3480.6787911877532</v>
      </c>
      <c r="BE10" s="15">
        <f>IFERROR((s_dir!AE10/(d_Bv!D10+s_MLF_asparagus)),".")</f>
        <v>913.97415877447122</v>
      </c>
      <c r="BF10" s="15">
        <f>IFERROR((s_dir!AF10/(d_Bv!E10+s_MLF_beet)),".")</f>
        <v>1210.3982102688942</v>
      </c>
      <c r="BG10" s="15">
        <f>IFERROR((s_dir!AG10/(d_Bv!F10+s_MLF_berries)),".")</f>
        <v>4306.2244019181817</v>
      </c>
      <c r="BH10" s="15">
        <f>IFERROR((s_dir!AH10/(d_Bv!G10+s_MLF_broccoli)),".")</f>
        <v>1947.1623382586558</v>
      </c>
      <c r="BI10" s="15">
        <f>IFERROR((s_dir!AI10/(d_Bv!H10+s_MLF_cabbage)),".")</f>
        <v>913.97415877447122</v>
      </c>
      <c r="BJ10" s="15">
        <f>IFERROR((s_dir!AJ10/(d_Bv!I10+s_MLF_carrot)),".")</f>
        <v>1210.3982102688942</v>
      </c>
      <c r="BK10" s="15">
        <f>IFERROR((s_dir!AK10/(d_Bv!J10+s_MLF_citrus)),".")</f>
        <v>3480.6787911877532</v>
      </c>
      <c r="BL10" s="15">
        <f>IFERROR((s_dir!AL10/(d_Bv!K10+s_MLF_corn)),".")</f>
        <v>1444.6688316112609</v>
      </c>
      <c r="BM10" s="15">
        <f>IFERROR((s_dir!AM10/(d_Bv!L10+s_MLF_cucumber)),".")</f>
        <v>1947.1623382586558</v>
      </c>
      <c r="BN10" s="15">
        <f>IFERROR((s_dir!AN10/(d_Bv!M10+s_MLF_lettuce)),".")</f>
        <v>913.97415877447122</v>
      </c>
      <c r="BO10" s="15">
        <f>IFERROR((s_dir!AO10/(d_Bv!N10+s_MLF_lima_bean)),".")</f>
        <v>1255.6467414938998</v>
      </c>
      <c r="BP10" s="15">
        <f>IFERROR((s_dir!AP10/(d_Bv!O10+s_MLF_okra)),".")</f>
        <v>1947.1623382586558</v>
      </c>
      <c r="BQ10" s="15">
        <f>IFERROR((s_dir!AQ10/(d_Bv!P10+s_MLF_onion)),".")</f>
        <v>1210.3982102688942</v>
      </c>
      <c r="BR10" s="15">
        <f>IFERROR((s_dir!AR10/(d_Bv!Q10+s_MLF_peach)),".")</f>
        <v>3480.6787911877532</v>
      </c>
      <c r="BS10" s="15">
        <f>IFERROR((s_dir!AS10/(d_Bv!R10+s_MLF_pear)),".")</f>
        <v>3480.6787911877532</v>
      </c>
      <c r="BT10" s="15">
        <f>IFERROR((s_dir!AT10/(d_Bv!S10+s_MLF_peas)),".")</f>
        <v>1255.6467414938998</v>
      </c>
      <c r="BU10" s="15">
        <f>IFERROR((s_dir!AU10/(d_Bv!T10+s_MLF_peppers)),".")</f>
        <v>1947.1623382586558</v>
      </c>
      <c r="BV10" s="15">
        <f>IFERROR((s_dir!AV10/(d_Bv!U10+s_MLF_potato)),".")</f>
        <v>966.57698805645509</v>
      </c>
      <c r="BW10" s="15">
        <f>IFERROR((s_dir!AW10/(d_Bv!V10+s_MLF_pumpkin)),".")</f>
        <v>1947.1623382586558</v>
      </c>
      <c r="BX10" s="15">
        <f>IFERROR((s_dir!AX10/(d_Bv!W10+s_MLF_snap_bean)),".")</f>
        <v>1255.6467414938998</v>
      </c>
      <c r="BY10" s="15">
        <f>IFERROR((s_dir!AY10/(d_Bv!X10+s_MLF_strawberry)),".")</f>
        <v>4096.1646749953443</v>
      </c>
      <c r="BZ10" s="15">
        <f>IFERROR((s_dir!AZ10/(d_Bv!Y10+s_MLF_tomato)),".")</f>
        <v>1947.1623382586558</v>
      </c>
      <c r="CA10" s="15">
        <f>IFERROR((s_dir!BA10/(d_Bv!Z10+s_MLF_rice)),".")</f>
        <v>4720.8081988702488</v>
      </c>
      <c r="CB10" s="15">
        <f>IFERROR((s_dir!BB10/(d_Bv!AA10+s_MLF_cereal)),".")</f>
        <v>1580.6376628217324</v>
      </c>
      <c r="CC10" s="40">
        <f t="shared" si="3"/>
        <v>835.88312500000006</v>
      </c>
      <c r="CD10" s="40">
        <f>IFERROR(s_C*(d_Bv!C10+s_MLF_apple)*s_IFAP_far_adj*s_CF_apple,".")</f>
        <v>145.95624999999998</v>
      </c>
      <c r="CE10" s="40">
        <f>IFERROR(s_C*(d_Bv!D10+s_MLF_asparagus)*s_IFAS_far_adj*s_CF_asparagus,".")</f>
        <v>555.84375</v>
      </c>
      <c r="CF10" s="40">
        <f>IFERROR(s_C*(d_Bv!E10+s_MLF_beet)*s_IFBT_far_adj*s_CF_beet,".")</f>
        <v>419.71875000000006</v>
      </c>
      <c r="CG10" s="40">
        <f>IFERROR(s_C*(d_Bv!F10+s_MLF_berries)*s_IFBR_far_adj*s_CF_berries,".")</f>
        <v>117.97499999999999</v>
      </c>
      <c r="CH10" s="40">
        <f>IFERROR(s_C*(d_Bv!G10+s_MLF_broccoli)*s_IFBR_far_adj*s_CF_broccoli,".")</f>
        <v>260.90625</v>
      </c>
      <c r="CI10" s="40">
        <f>IFERROR(s_C*(d_Bv!H10+s_MLF_cabbage)*s_IFCB_far_adj*s_CF_cabbage,".")</f>
        <v>555.84375</v>
      </c>
      <c r="CJ10" s="40">
        <f>IFERROR(s_C*(d_Bv!I10+s_MLF_carrot)*s_IFCR_far_adj*s_CF_carrot,".")</f>
        <v>419.71875000000006</v>
      </c>
      <c r="CK10" s="40">
        <f>IFERROR(s_C*(d_Bv!J10+s_MLF_citrus)*s_IFCI_far_adj*s_CF_citrus,".")</f>
        <v>145.95624999999998</v>
      </c>
      <c r="CL10" s="40">
        <f>IFERROR(s_C*(d_Bv!K10+s_MLF_corn)*s_IFCO_far_adj*s_CF_corn,".")</f>
        <v>351.65625</v>
      </c>
      <c r="CM10" s="40">
        <f>IFERROR(s_C*(d_Bv!L10+s_MLF_cucumber)*s_IFCU_far_adj*s_CF_cucumber,".")</f>
        <v>260.90625</v>
      </c>
      <c r="CN10" s="40">
        <f>IFERROR(s_C*(d_Bv!M10+s_MLF_lettuce)*s_IFLE_far_adj*s_CF_lettuce,".")</f>
        <v>555.84375</v>
      </c>
      <c r="CO10" s="40">
        <f>IFERROR(s_C*(d_Bv!N10+s_MLF_lima_bean)*s_IFLI_far_adj*s_CF_lima_bean,".")</f>
        <v>404.59375</v>
      </c>
      <c r="CP10" s="40">
        <f>IFERROR(s_C*(d_Bv!O10+s_MLF_okra)*s_IFOK_far_adj*s_CF_okra,".")</f>
        <v>260.90625</v>
      </c>
      <c r="CQ10" s="40">
        <f>IFERROR(s_C*(d_Bv!P10+s_MLF_onion)*s_IFON_far_adj*s_CF_onion,".")</f>
        <v>419.71875000000006</v>
      </c>
      <c r="CR10" s="40">
        <f>IFERROR(s_C*(d_Bv!Q10+s_MLF_peach)*s_IFPC_far_adj*s_CF_peach,".")</f>
        <v>145.95624999999998</v>
      </c>
      <c r="CS10" s="40">
        <f>IFERROR(s_C*(d_Bv!R10+s_MLF_pear)*s_IFPR_far_adj*s_CF_pear,".")</f>
        <v>145.95624999999998</v>
      </c>
      <c r="CT10" s="40">
        <f>IFERROR(s_C*(d_Bv!S10+s_MLF_peas)*s_IFPE_far_adj*s_CF_peas,".")</f>
        <v>404.59375</v>
      </c>
      <c r="CU10" s="40">
        <f>IFERROR(s_C*(d_Bv!T10+s_MLF_peppers)*s_IFPP_far_adj*s_CF_peppers,".")</f>
        <v>260.90625</v>
      </c>
      <c r="CV10" s="40">
        <f>IFERROR(s_C*(d_Bv!U10+s_MLF_potato)*s_IFPT_far_adj*s_CF_potato,".")</f>
        <v>525.59375</v>
      </c>
      <c r="CW10" s="40">
        <f>IFERROR(s_C*(d_Bv!V10+s_MLF_pumpkin)*s_IFPU_far_adj*s_CF_pumpkin,".")</f>
        <v>260.90625</v>
      </c>
      <c r="CX10" s="40">
        <f>IFERROR(s_C*(d_Bv!W10+s_MLF_snap_bean)*s_IFSN_far_adj*s_CF_snap_bean,".")</f>
        <v>404.59375</v>
      </c>
      <c r="CY10" s="40">
        <f>IFERROR(s_C*(d_Bv!X10+s_MLF_strawberry)*s_IFST_far_adj*s_CF_strawberry,".")</f>
        <v>124.02499999999998</v>
      </c>
      <c r="CZ10" s="40">
        <f>IFERROR(s_C*(d_Bv!Y10+s_MLF_tomato)*s_IFTO_far_adj*s_CF_tomato,".")</f>
        <v>260.90625</v>
      </c>
      <c r="DA10" s="40">
        <f>IFERROR(s_C*(d_Bv!Z10+s_MLF_rice)*s_IFRI_far_adj*s_CF_rice,".")</f>
        <v>107.61437499999998</v>
      </c>
      <c r="DB10" s="40">
        <f>IFERROR(s_C*(d_Bv!AA10+s_MLF_cereal)*s_IFCG_far_adj*s_CF_cereal,".")</f>
        <v>321.40625000000006</v>
      </c>
    </row>
    <row r="11" spans="1:106" ht="15" customHeight="1" x14ac:dyDescent="0.25">
      <c r="A11" s="44" t="s">
        <v>9</v>
      </c>
      <c r="B11" s="42" t="s">
        <v>1057</v>
      </c>
      <c r="C11" s="15" t="str">
        <f t="shared" si="0"/>
        <v>.</v>
      </c>
      <c r="D11" s="15" t="str">
        <f>IFERROR((s_dir!D11/(d_Bv!C11+s_MLF_apple)),".")</f>
        <v>.</v>
      </c>
      <c r="E11" s="15" t="str">
        <f>IFERROR((s_dir!E11/(d_Bv!D11+s_MLF_asparagus)),".")</f>
        <v>.</v>
      </c>
      <c r="F11" s="15" t="str">
        <f>IFERROR((s_dir!F11/(d_Bv!E11+s_MLF_beet)),".")</f>
        <v>.</v>
      </c>
      <c r="G11" s="15" t="str">
        <f>IFERROR((s_dir!G11/(d_Bv!F11+s_MLF_berries)),".")</f>
        <v>.</v>
      </c>
      <c r="H11" s="15" t="str">
        <f>IFERROR((s_dir!H11/(d_Bv!G11+s_MLF_broccoli)),".")</f>
        <v>.</v>
      </c>
      <c r="I11" s="15" t="str">
        <f>IFERROR((s_dir!I11/(d_Bv!H11+s_MLF_cabbage)),".")</f>
        <v>.</v>
      </c>
      <c r="J11" s="15" t="str">
        <f>IFERROR((s_dir!J11/(d_Bv!I11+s_MLF_carrot)),".")</f>
        <v>.</v>
      </c>
      <c r="K11" s="15" t="str">
        <f>IFERROR((s_dir!K11/(d_Bv!J11+s_MLF_citrus)),".")</f>
        <v>.</v>
      </c>
      <c r="L11" s="15" t="str">
        <f>IFERROR((s_dir!L11/(d_Bv!K11+s_MLF_corn)),".")</f>
        <v>.</v>
      </c>
      <c r="M11" s="15" t="str">
        <f>IFERROR((s_dir!M11/(d_Bv!L11+s_MLF_cucumber)),".")</f>
        <v>.</v>
      </c>
      <c r="N11" s="15" t="str">
        <f>IFERROR((s_dir!N11/(d_Bv!M11+s_MLF_lettuce)),".")</f>
        <v>.</v>
      </c>
      <c r="O11" s="15" t="str">
        <f>IFERROR((s_dir!O11/(d_Bv!N11+s_MLF_lima_bean)),".")</f>
        <v>.</v>
      </c>
      <c r="P11" s="15" t="str">
        <f>IFERROR((s_dir!P11/(d_Bv!O11+s_MLF_okra)),".")</f>
        <v>.</v>
      </c>
      <c r="Q11" s="15" t="str">
        <f>IFERROR((s_dir!Q11/(d_Bv!P11+s_MLF_onion)),".")</f>
        <v>.</v>
      </c>
      <c r="R11" s="15" t="str">
        <f>IFERROR((s_dir!R11/(d_Bv!Q11+s_MLF_peach)),".")</f>
        <v>.</v>
      </c>
      <c r="S11" s="15" t="str">
        <f>IFERROR((s_dir!S11/(d_Bv!R11+s_MLF_pear)),".")</f>
        <v>.</v>
      </c>
      <c r="T11" s="15" t="str">
        <f>IFERROR((s_dir!T11/(d_Bv!S11+s_MLF_peas)),".")</f>
        <v>.</v>
      </c>
      <c r="U11" s="15" t="str">
        <f>IFERROR((s_dir!U11/(d_Bv!T11+s_MLF_peppers)),".")</f>
        <v>.</v>
      </c>
      <c r="V11" s="15" t="str">
        <f>IFERROR((s_dir!V11/(d_Bv!U11+s_MLF_potato)),".")</f>
        <v>.</v>
      </c>
      <c r="W11" s="15" t="str">
        <f>IFERROR((s_dir!W11/(d_Bv!V11+s_MLF_pumpkin)),".")</f>
        <v>.</v>
      </c>
      <c r="X11" s="15" t="str">
        <f>IFERROR((s_dir!X11/(d_Bv!W11+s_MLF_snap_bean)),".")</f>
        <v>.</v>
      </c>
      <c r="Y11" s="15" t="str">
        <f>IFERROR((s_dir!Y11/(d_Bv!X11+s_MLF_strawberry)),".")</f>
        <v>.</v>
      </c>
      <c r="Z11" s="15" t="str">
        <f>IFERROR((s_dir!Z11/(d_Bv!Y11+s_MLF_tomato)),".")</f>
        <v>.</v>
      </c>
      <c r="AA11" s="15" t="str">
        <f>IFERROR((s_dir!AA11/(d_Bv!Z11+s_MLF_rice)),".")</f>
        <v>.</v>
      </c>
      <c r="AB11" s="15" t="str">
        <f>IFERROR((s_dir!AB11/(d_Bv!AA11+s_MLF_cereal)),".")</f>
        <v>.</v>
      </c>
      <c r="AC11" s="40">
        <f t="shared" si="1"/>
        <v>1315.8749999999998</v>
      </c>
      <c r="AD11" s="40">
        <f>s_C*(d_Bv!C11+s_MLF_apple)*s_IFAP_res_adj*s_CF_apple</f>
        <v>328.96874999999994</v>
      </c>
      <c r="AE11" s="40">
        <f>s_C*(d_Bv!D11+s_MLF_asparagus)*s_IFAS_res_adj*s_CF_asparagus</f>
        <v>328.96874999999994</v>
      </c>
      <c r="AF11" s="40">
        <f>s_C*(d_Bv!E11+s_MLF_beet)*s_IFBT_res_adj*s_CF_beet</f>
        <v>328.96874999999994</v>
      </c>
      <c r="AG11" s="40">
        <f>s_C*(d_Bv!F11+s_MLF_berries)*s_IFBE_res_adj*s_CF_berries</f>
        <v>328.96874999999994</v>
      </c>
      <c r="AH11" s="40">
        <f>s_C*(d_Bv!G11+s_MLF_broccoli)*s_IFBR_res_adj*s_CF_broccoli</f>
        <v>328.96874999999994</v>
      </c>
      <c r="AI11" s="40">
        <f>s_C*(d_Bv!H11+s_MLF_cabbage)*s_IFCB_res_adj*s_CF_cabbage</f>
        <v>328.96874999999994</v>
      </c>
      <c r="AJ11" s="40">
        <f>s_C*(d_Bv!I11+s_MLF_carrot)*s_IFCR_res_adj*s_CF_carrot</f>
        <v>328.96874999999994</v>
      </c>
      <c r="AK11" s="40">
        <f>s_C*(d_Bv!J11+s_MLF_citrus)*s_IFCI_res_adj*s_CF_citrus</f>
        <v>328.96874999999994</v>
      </c>
      <c r="AL11" s="40">
        <f>s_C*(d_Bv!K11+s_MLF_corn)*s_IFCO_res_adj*s_CF_corn</f>
        <v>328.96874999999994</v>
      </c>
      <c r="AM11" s="40">
        <f>s_C*(d_Bv!L11+s_MLF_cucumber)*s_IFCU_res_adj*s_CF_cucumber</f>
        <v>328.96874999999994</v>
      </c>
      <c r="AN11" s="40">
        <f>s_C*(d_Bv!M11+s_MLF_lettuce)*s_IFLE_res_adj*s_CF_lettuce</f>
        <v>328.96874999999994</v>
      </c>
      <c r="AO11" s="40">
        <f>s_C*(d_Bv!N11+s_MLF_lima_bean)*s_IFLI_res_adj*s_CF_lima_bean</f>
        <v>328.96874999999994</v>
      </c>
      <c r="AP11" s="40">
        <f>s_C*(d_Bv!O11+s_MLF_okra)*s_IFOK_res_adj*s_CF_okra</f>
        <v>328.96874999999994</v>
      </c>
      <c r="AQ11" s="40">
        <f>s_C*(d_Bv!P11+s_MLF_onion)*s_IFON_res_adj*s_CF_onion</f>
        <v>328.96874999999994</v>
      </c>
      <c r="AR11" s="40">
        <f>s_C*(d_Bv!Q11+s_MLF_peach)*s_IFPC_res_adj*s_CF_peach</f>
        <v>328.96874999999994</v>
      </c>
      <c r="AS11" s="40">
        <f>s_C*(d_Bv!R11+s_MLF_pear)*s_IFPR_res_adj*s_CF_pear</f>
        <v>328.96874999999994</v>
      </c>
      <c r="AT11" s="40">
        <f>s_C*(d_Bv!S11+s_MLF_peas)*s_IFPE_res_adj*s_CF_peas</f>
        <v>328.96874999999994</v>
      </c>
      <c r="AU11" s="40">
        <f>s_C*(d_Bv!T11+s_MLF_peppers)*s_IFPP_res_adj*s_CF_peppers</f>
        <v>328.96874999999994</v>
      </c>
      <c r="AV11" s="40">
        <f>s_C*(d_Bv!U11+s_MLF_potato)*s_IFPT_res_adj*s_CF_potato</f>
        <v>328.96874999999994</v>
      </c>
      <c r="AW11" s="40">
        <f>s_C*(d_Bv!V11+s_MLF_pumpkin)*s_IFPU_res_adj*s_CF_pumpkin</f>
        <v>328.96874999999994</v>
      </c>
      <c r="AX11" s="40">
        <f>s_C*(d_Bv!W11+s_MLF_snap_bean)*s_IFSN_res_adj*s_CF_snap_bean</f>
        <v>328.96874999999994</v>
      </c>
      <c r="AY11" s="40">
        <f>s_C*(d_Bv!X11+s_MLF_strawberry)*s_IFST_res_adj*s_CF_strawberry</f>
        <v>328.96874999999994</v>
      </c>
      <c r="AZ11" s="40">
        <f>s_C*(d_Bv!Y11+s_MLF_tomato)*s_IFTO_res_adj*s_CF_tomato</f>
        <v>328.96874999999994</v>
      </c>
      <c r="BA11" s="40">
        <f>s_C*(d_Bv!Z11+s_MLF_rice)*s_IFRI_res_adj*s_CF_rice</f>
        <v>328.96874999999994</v>
      </c>
      <c r="BB11" s="40">
        <f>s_C*(d_Bv!AA11+s_MLF_cereal)*s_IFCG_res_adj*s_CF_cereal</f>
        <v>328.96874999999994</v>
      </c>
      <c r="BC11" s="15" t="str">
        <f t="shared" si="2"/>
        <v>.</v>
      </c>
      <c r="BD11" s="15" t="str">
        <f>IFERROR((s_dir!AD11/(d_Bv!C11+s_MLF_apple)),".")</f>
        <v>.</v>
      </c>
      <c r="BE11" s="15" t="str">
        <f>IFERROR((s_dir!AE11/(d_Bv!D11+s_MLF_asparagus)),".")</f>
        <v>.</v>
      </c>
      <c r="BF11" s="15" t="str">
        <f>IFERROR((s_dir!AF11/(d_Bv!E11+s_MLF_beet)),".")</f>
        <v>.</v>
      </c>
      <c r="BG11" s="15" t="str">
        <f>IFERROR((s_dir!AG11/(d_Bv!F11+s_MLF_berries)),".")</f>
        <v>.</v>
      </c>
      <c r="BH11" s="15" t="str">
        <f>IFERROR((s_dir!AH11/(d_Bv!G11+s_MLF_broccoli)),".")</f>
        <v>.</v>
      </c>
      <c r="BI11" s="15" t="str">
        <f>IFERROR((s_dir!AI11/(d_Bv!H11+s_MLF_cabbage)),".")</f>
        <v>.</v>
      </c>
      <c r="BJ11" s="15" t="str">
        <f>IFERROR((s_dir!AJ11/(d_Bv!I11+s_MLF_carrot)),".")</f>
        <v>.</v>
      </c>
      <c r="BK11" s="15" t="str">
        <f>IFERROR((s_dir!AK11/(d_Bv!J11+s_MLF_citrus)),".")</f>
        <v>.</v>
      </c>
      <c r="BL11" s="15" t="str">
        <f>IFERROR((s_dir!AL11/(d_Bv!K11+s_MLF_corn)),".")</f>
        <v>.</v>
      </c>
      <c r="BM11" s="15" t="str">
        <f>IFERROR((s_dir!AM11/(d_Bv!L11+s_MLF_cucumber)),".")</f>
        <v>.</v>
      </c>
      <c r="BN11" s="15" t="str">
        <f>IFERROR((s_dir!AN11/(d_Bv!M11+s_MLF_lettuce)),".")</f>
        <v>.</v>
      </c>
      <c r="BO11" s="15" t="str">
        <f>IFERROR((s_dir!AO11/(d_Bv!N11+s_MLF_lima_bean)),".")</f>
        <v>.</v>
      </c>
      <c r="BP11" s="15" t="str">
        <f>IFERROR((s_dir!AP11/(d_Bv!O11+s_MLF_okra)),".")</f>
        <v>.</v>
      </c>
      <c r="BQ11" s="15" t="str">
        <f>IFERROR((s_dir!AQ11/(d_Bv!P11+s_MLF_onion)),".")</f>
        <v>.</v>
      </c>
      <c r="BR11" s="15" t="str">
        <f>IFERROR((s_dir!AR11/(d_Bv!Q11+s_MLF_peach)),".")</f>
        <v>.</v>
      </c>
      <c r="BS11" s="15" t="str">
        <f>IFERROR((s_dir!AS11/(d_Bv!R11+s_MLF_pear)),".")</f>
        <v>.</v>
      </c>
      <c r="BT11" s="15" t="str">
        <f>IFERROR((s_dir!AT11/(d_Bv!S11+s_MLF_peas)),".")</f>
        <v>.</v>
      </c>
      <c r="BU11" s="15" t="str">
        <f>IFERROR((s_dir!AU11/(d_Bv!T11+s_MLF_peppers)),".")</f>
        <v>.</v>
      </c>
      <c r="BV11" s="15" t="str">
        <f>IFERROR((s_dir!AV11/(d_Bv!U11+s_MLF_potato)),".")</f>
        <v>.</v>
      </c>
      <c r="BW11" s="15" t="str">
        <f>IFERROR((s_dir!AW11/(d_Bv!V11+s_MLF_pumpkin)),".")</f>
        <v>.</v>
      </c>
      <c r="BX11" s="15" t="str">
        <f>IFERROR((s_dir!AX11/(d_Bv!W11+s_MLF_snap_bean)),".")</f>
        <v>.</v>
      </c>
      <c r="BY11" s="15" t="str">
        <f>IFERROR((s_dir!AY11/(d_Bv!X11+s_MLF_strawberry)),".")</f>
        <v>.</v>
      </c>
      <c r="BZ11" s="15" t="str">
        <f>IFERROR((s_dir!AZ11/(d_Bv!Y11+s_MLF_tomato)),".")</f>
        <v>.</v>
      </c>
      <c r="CA11" s="15" t="str">
        <f>IFERROR((s_dir!BA11/(d_Bv!Z11+s_MLF_rice)),".")</f>
        <v>.</v>
      </c>
      <c r="CB11" s="15" t="str">
        <f>IFERROR((s_dir!BB11/(d_Bv!AA11+s_MLF_cereal)),".")</f>
        <v>.</v>
      </c>
      <c r="CC11" s="40">
        <f t="shared" si="3"/>
        <v>1315.8749999999998</v>
      </c>
      <c r="CD11" s="40">
        <f>IFERROR(s_C*(d_Bv!C11+s_MLF_apple)*s_IFAP_far_adj*s_CF_apple,".")</f>
        <v>328.96874999999994</v>
      </c>
      <c r="CE11" s="40">
        <f>IFERROR(s_C*(d_Bv!D11+s_MLF_asparagus)*s_IFAS_far_adj*s_CF_asparagus,".")</f>
        <v>328.96874999999994</v>
      </c>
      <c r="CF11" s="40">
        <f>IFERROR(s_C*(d_Bv!E11+s_MLF_beet)*s_IFBT_far_adj*s_CF_beet,".")</f>
        <v>328.96874999999994</v>
      </c>
      <c r="CG11" s="40">
        <f>IFERROR(s_C*(d_Bv!F11+s_MLF_berries)*s_IFBR_far_adj*s_CF_berries,".")</f>
        <v>328.96874999999994</v>
      </c>
      <c r="CH11" s="40">
        <f>IFERROR(s_C*(d_Bv!G11+s_MLF_broccoli)*s_IFBR_far_adj*s_CF_broccoli,".")</f>
        <v>328.96874999999994</v>
      </c>
      <c r="CI11" s="40">
        <f>IFERROR(s_C*(d_Bv!H11+s_MLF_cabbage)*s_IFCB_far_adj*s_CF_cabbage,".")</f>
        <v>328.96874999999994</v>
      </c>
      <c r="CJ11" s="40">
        <f>IFERROR(s_C*(d_Bv!I11+s_MLF_carrot)*s_IFCR_far_adj*s_CF_carrot,".")</f>
        <v>328.96874999999994</v>
      </c>
      <c r="CK11" s="40">
        <f>IFERROR(s_C*(d_Bv!J11+s_MLF_citrus)*s_IFCI_far_adj*s_CF_citrus,".")</f>
        <v>328.96874999999994</v>
      </c>
      <c r="CL11" s="40">
        <f>IFERROR(s_C*(d_Bv!K11+s_MLF_corn)*s_IFCO_far_adj*s_CF_corn,".")</f>
        <v>328.96874999999994</v>
      </c>
      <c r="CM11" s="40">
        <f>IFERROR(s_C*(d_Bv!L11+s_MLF_cucumber)*s_IFCU_far_adj*s_CF_cucumber,".")</f>
        <v>328.96874999999994</v>
      </c>
      <c r="CN11" s="40">
        <f>IFERROR(s_C*(d_Bv!M11+s_MLF_lettuce)*s_IFLE_far_adj*s_CF_lettuce,".")</f>
        <v>328.96874999999994</v>
      </c>
      <c r="CO11" s="40">
        <f>IFERROR(s_C*(d_Bv!N11+s_MLF_lima_bean)*s_IFLI_far_adj*s_CF_lima_bean,".")</f>
        <v>328.96874999999994</v>
      </c>
      <c r="CP11" s="40">
        <f>IFERROR(s_C*(d_Bv!O11+s_MLF_okra)*s_IFOK_far_adj*s_CF_okra,".")</f>
        <v>328.96874999999994</v>
      </c>
      <c r="CQ11" s="40">
        <f>IFERROR(s_C*(d_Bv!P11+s_MLF_onion)*s_IFON_far_adj*s_CF_onion,".")</f>
        <v>328.96874999999994</v>
      </c>
      <c r="CR11" s="40">
        <f>IFERROR(s_C*(d_Bv!Q11+s_MLF_peach)*s_IFPC_far_adj*s_CF_peach,".")</f>
        <v>328.96874999999994</v>
      </c>
      <c r="CS11" s="40">
        <f>IFERROR(s_C*(d_Bv!R11+s_MLF_pear)*s_IFPR_far_adj*s_CF_pear,".")</f>
        <v>328.96874999999994</v>
      </c>
      <c r="CT11" s="40">
        <f>IFERROR(s_C*(d_Bv!S11+s_MLF_peas)*s_IFPE_far_adj*s_CF_peas,".")</f>
        <v>328.96874999999994</v>
      </c>
      <c r="CU11" s="40">
        <f>IFERROR(s_C*(d_Bv!T11+s_MLF_peppers)*s_IFPP_far_adj*s_CF_peppers,".")</f>
        <v>328.96874999999994</v>
      </c>
      <c r="CV11" s="40">
        <f>IFERROR(s_C*(d_Bv!U11+s_MLF_potato)*s_IFPT_far_adj*s_CF_potato,".")</f>
        <v>328.96874999999994</v>
      </c>
      <c r="CW11" s="40">
        <f>IFERROR(s_C*(d_Bv!V11+s_MLF_pumpkin)*s_IFPU_far_adj*s_CF_pumpkin,".")</f>
        <v>328.96874999999994</v>
      </c>
      <c r="CX11" s="40">
        <f>IFERROR(s_C*(d_Bv!W11+s_MLF_snap_bean)*s_IFSN_far_adj*s_CF_snap_bean,".")</f>
        <v>328.96874999999994</v>
      </c>
      <c r="CY11" s="40">
        <f>IFERROR(s_C*(d_Bv!X11+s_MLF_strawberry)*s_IFST_far_adj*s_CF_strawberry,".")</f>
        <v>328.96874999999994</v>
      </c>
      <c r="CZ11" s="40">
        <f>IFERROR(s_C*(d_Bv!Y11+s_MLF_tomato)*s_IFTO_far_adj*s_CF_tomato,".")</f>
        <v>328.96874999999994</v>
      </c>
      <c r="DA11" s="40">
        <f>IFERROR(s_C*(d_Bv!Z11+s_MLF_rice)*s_IFRI_far_adj*s_CF_rice,".")</f>
        <v>328.96874999999994</v>
      </c>
      <c r="DB11" s="40">
        <f>IFERROR(s_C*(d_Bv!AA11+s_MLF_cereal)*s_IFCG_far_adj*s_CF_cereal,".")</f>
        <v>328.96874999999994</v>
      </c>
    </row>
    <row r="12" spans="1:106" ht="15" customHeight="1" x14ac:dyDescent="0.25">
      <c r="A12" s="44" t="s">
        <v>10</v>
      </c>
      <c r="B12" s="42" t="s">
        <v>1057</v>
      </c>
      <c r="C12" s="15" t="str">
        <f t="shared" si="0"/>
        <v>.</v>
      </c>
      <c r="D12" s="15" t="str">
        <f>IFERROR((s_dir!D12/(d_Bv!C12+s_MLF_apple)),".")</f>
        <v>.</v>
      </c>
      <c r="E12" s="15" t="str">
        <f>IFERROR((s_dir!E12/(d_Bv!D12+s_MLF_asparagus)),".")</f>
        <v>.</v>
      </c>
      <c r="F12" s="15" t="str">
        <f>IFERROR((s_dir!F12/(d_Bv!E12+s_MLF_beet)),".")</f>
        <v>.</v>
      </c>
      <c r="G12" s="15" t="str">
        <f>IFERROR((s_dir!G12/(d_Bv!F12+s_MLF_berries)),".")</f>
        <v>.</v>
      </c>
      <c r="H12" s="15" t="str">
        <f>IFERROR((s_dir!H12/(d_Bv!G12+s_MLF_broccoli)),".")</f>
        <v>.</v>
      </c>
      <c r="I12" s="15" t="str">
        <f>IFERROR((s_dir!I12/(d_Bv!H12+s_MLF_cabbage)),".")</f>
        <v>.</v>
      </c>
      <c r="J12" s="15" t="str">
        <f>IFERROR((s_dir!J12/(d_Bv!I12+s_MLF_carrot)),".")</f>
        <v>.</v>
      </c>
      <c r="K12" s="15" t="str">
        <f>IFERROR((s_dir!K12/(d_Bv!J12+s_MLF_citrus)),".")</f>
        <v>.</v>
      </c>
      <c r="L12" s="15" t="str">
        <f>IFERROR((s_dir!L12/(d_Bv!K12+s_MLF_corn)),".")</f>
        <v>.</v>
      </c>
      <c r="M12" s="15" t="str">
        <f>IFERROR((s_dir!M12/(d_Bv!L12+s_MLF_cucumber)),".")</f>
        <v>.</v>
      </c>
      <c r="N12" s="15" t="str">
        <f>IFERROR((s_dir!N12/(d_Bv!M12+s_MLF_lettuce)),".")</f>
        <v>.</v>
      </c>
      <c r="O12" s="15" t="str">
        <f>IFERROR((s_dir!O12/(d_Bv!N12+s_MLF_lima_bean)),".")</f>
        <v>.</v>
      </c>
      <c r="P12" s="15" t="str">
        <f>IFERROR((s_dir!P12/(d_Bv!O12+s_MLF_okra)),".")</f>
        <v>.</v>
      </c>
      <c r="Q12" s="15" t="str">
        <f>IFERROR((s_dir!Q12/(d_Bv!P12+s_MLF_onion)),".")</f>
        <v>.</v>
      </c>
      <c r="R12" s="15" t="str">
        <f>IFERROR((s_dir!R12/(d_Bv!Q12+s_MLF_peach)),".")</f>
        <v>.</v>
      </c>
      <c r="S12" s="15" t="str">
        <f>IFERROR((s_dir!S12/(d_Bv!R12+s_MLF_pear)),".")</f>
        <v>.</v>
      </c>
      <c r="T12" s="15" t="str">
        <f>IFERROR((s_dir!T12/(d_Bv!S12+s_MLF_peas)),".")</f>
        <v>.</v>
      </c>
      <c r="U12" s="15" t="str">
        <f>IFERROR((s_dir!U12/(d_Bv!T12+s_MLF_peppers)),".")</f>
        <v>.</v>
      </c>
      <c r="V12" s="15" t="str">
        <f>IFERROR((s_dir!V12/(d_Bv!U12+s_MLF_potato)),".")</f>
        <v>.</v>
      </c>
      <c r="W12" s="15" t="str">
        <f>IFERROR((s_dir!W12/(d_Bv!V12+s_MLF_pumpkin)),".")</f>
        <v>.</v>
      </c>
      <c r="X12" s="15" t="str">
        <f>IFERROR((s_dir!X12/(d_Bv!W12+s_MLF_snap_bean)),".")</f>
        <v>.</v>
      </c>
      <c r="Y12" s="15" t="str">
        <f>IFERROR((s_dir!Y12/(d_Bv!X12+s_MLF_strawberry)),".")</f>
        <v>.</v>
      </c>
      <c r="Z12" s="15" t="str">
        <f>IFERROR((s_dir!Z12/(d_Bv!Y12+s_MLF_tomato)),".")</f>
        <v>.</v>
      </c>
      <c r="AA12" s="15" t="str">
        <f>IFERROR((s_dir!AA12/(d_Bv!Z12+s_MLF_rice)),".")</f>
        <v>.</v>
      </c>
      <c r="AB12" s="15" t="str">
        <f>IFERROR((s_dir!AB12/(d_Bv!AA12+s_MLF_cereal)),".")</f>
        <v>.</v>
      </c>
      <c r="AC12" s="40">
        <f t="shared" si="1"/>
        <v>9483.375</v>
      </c>
      <c r="AD12" s="40">
        <f>s_C*(d_Bv!C12+s_MLF_apple)*s_IFAP_res_adj*s_CF_apple</f>
        <v>2370.84375</v>
      </c>
      <c r="AE12" s="40">
        <f>s_C*(d_Bv!D12+s_MLF_asparagus)*s_IFAS_res_adj*s_CF_asparagus</f>
        <v>2370.84375</v>
      </c>
      <c r="AF12" s="40">
        <f>s_C*(d_Bv!E12+s_MLF_beet)*s_IFBT_res_adj*s_CF_beet</f>
        <v>2370.84375</v>
      </c>
      <c r="AG12" s="40">
        <f>s_C*(d_Bv!F12+s_MLF_berries)*s_IFBE_res_adj*s_CF_berries</f>
        <v>2370.84375</v>
      </c>
      <c r="AH12" s="40">
        <f>s_C*(d_Bv!G12+s_MLF_broccoli)*s_IFBR_res_adj*s_CF_broccoli</f>
        <v>2370.84375</v>
      </c>
      <c r="AI12" s="40">
        <f>s_C*(d_Bv!H12+s_MLF_cabbage)*s_IFCB_res_adj*s_CF_cabbage</f>
        <v>2370.84375</v>
      </c>
      <c r="AJ12" s="40">
        <f>s_C*(d_Bv!I12+s_MLF_carrot)*s_IFCR_res_adj*s_CF_carrot</f>
        <v>2370.84375</v>
      </c>
      <c r="AK12" s="40">
        <f>s_C*(d_Bv!J12+s_MLF_citrus)*s_IFCI_res_adj*s_CF_citrus</f>
        <v>2370.84375</v>
      </c>
      <c r="AL12" s="40">
        <f>s_C*(d_Bv!K12+s_MLF_corn)*s_IFCO_res_adj*s_CF_corn</f>
        <v>2370.84375</v>
      </c>
      <c r="AM12" s="40">
        <f>s_C*(d_Bv!L12+s_MLF_cucumber)*s_IFCU_res_adj*s_CF_cucumber</f>
        <v>2370.84375</v>
      </c>
      <c r="AN12" s="40">
        <f>s_C*(d_Bv!M12+s_MLF_lettuce)*s_IFLE_res_adj*s_CF_lettuce</f>
        <v>2370.84375</v>
      </c>
      <c r="AO12" s="40">
        <f>s_C*(d_Bv!N12+s_MLF_lima_bean)*s_IFLI_res_adj*s_CF_lima_bean</f>
        <v>2370.84375</v>
      </c>
      <c r="AP12" s="40">
        <f>s_C*(d_Bv!O12+s_MLF_okra)*s_IFOK_res_adj*s_CF_okra</f>
        <v>2370.84375</v>
      </c>
      <c r="AQ12" s="40">
        <f>s_C*(d_Bv!P12+s_MLF_onion)*s_IFON_res_adj*s_CF_onion</f>
        <v>2370.84375</v>
      </c>
      <c r="AR12" s="40">
        <f>s_C*(d_Bv!Q12+s_MLF_peach)*s_IFPC_res_adj*s_CF_peach</f>
        <v>2370.84375</v>
      </c>
      <c r="AS12" s="40">
        <f>s_C*(d_Bv!R12+s_MLF_pear)*s_IFPR_res_adj*s_CF_pear</f>
        <v>2370.84375</v>
      </c>
      <c r="AT12" s="40">
        <f>s_C*(d_Bv!S12+s_MLF_peas)*s_IFPE_res_adj*s_CF_peas</f>
        <v>2370.84375</v>
      </c>
      <c r="AU12" s="40">
        <f>s_C*(d_Bv!T12+s_MLF_peppers)*s_IFPP_res_adj*s_CF_peppers</f>
        <v>2370.84375</v>
      </c>
      <c r="AV12" s="40">
        <f>s_C*(d_Bv!U12+s_MLF_potato)*s_IFPT_res_adj*s_CF_potato</f>
        <v>2370.84375</v>
      </c>
      <c r="AW12" s="40">
        <f>s_C*(d_Bv!V12+s_MLF_pumpkin)*s_IFPU_res_adj*s_CF_pumpkin</f>
        <v>2370.84375</v>
      </c>
      <c r="AX12" s="40">
        <f>s_C*(d_Bv!W12+s_MLF_snap_bean)*s_IFSN_res_adj*s_CF_snap_bean</f>
        <v>2370.84375</v>
      </c>
      <c r="AY12" s="40">
        <f>s_C*(d_Bv!X12+s_MLF_strawberry)*s_IFST_res_adj*s_CF_strawberry</f>
        <v>2370.84375</v>
      </c>
      <c r="AZ12" s="40">
        <f>s_C*(d_Bv!Y12+s_MLF_tomato)*s_IFTO_res_adj*s_CF_tomato</f>
        <v>2370.84375</v>
      </c>
      <c r="BA12" s="40">
        <f>s_C*(d_Bv!Z12+s_MLF_rice)*s_IFRI_res_adj*s_CF_rice</f>
        <v>2370.84375</v>
      </c>
      <c r="BB12" s="40">
        <f>s_C*(d_Bv!AA12+s_MLF_cereal)*s_IFCG_res_adj*s_CF_cereal</f>
        <v>2370.84375</v>
      </c>
      <c r="BC12" s="15" t="str">
        <f t="shared" si="2"/>
        <v>.</v>
      </c>
      <c r="BD12" s="15" t="str">
        <f>IFERROR((s_dir!AD12/(d_Bv!C12+s_MLF_apple)),".")</f>
        <v>.</v>
      </c>
      <c r="BE12" s="15" t="str">
        <f>IFERROR((s_dir!AE12/(d_Bv!D12+s_MLF_asparagus)),".")</f>
        <v>.</v>
      </c>
      <c r="BF12" s="15" t="str">
        <f>IFERROR((s_dir!AF12/(d_Bv!E12+s_MLF_beet)),".")</f>
        <v>.</v>
      </c>
      <c r="BG12" s="15" t="str">
        <f>IFERROR((s_dir!AG12/(d_Bv!F12+s_MLF_berries)),".")</f>
        <v>.</v>
      </c>
      <c r="BH12" s="15" t="str">
        <f>IFERROR((s_dir!AH12/(d_Bv!G12+s_MLF_broccoli)),".")</f>
        <v>.</v>
      </c>
      <c r="BI12" s="15" t="str">
        <f>IFERROR((s_dir!AI12/(d_Bv!H12+s_MLF_cabbage)),".")</f>
        <v>.</v>
      </c>
      <c r="BJ12" s="15" t="str">
        <f>IFERROR((s_dir!AJ12/(d_Bv!I12+s_MLF_carrot)),".")</f>
        <v>.</v>
      </c>
      <c r="BK12" s="15" t="str">
        <f>IFERROR((s_dir!AK12/(d_Bv!J12+s_MLF_citrus)),".")</f>
        <v>.</v>
      </c>
      <c r="BL12" s="15" t="str">
        <f>IFERROR((s_dir!AL12/(d_Bv!K12+s_MLF_corn)),".")</f>
        <v>.</v>
      </c>
      <c r="BM12" s="15" t="str">
        <f>IFERROR((s_dir!AM12/(d_Bv!L12+s_MLF_cucumber)),".")</f>
        <v>.</v>
      </c>
      <c r="BN12" s="15" t="str">
        <f>IFERROR((s_dir!AN12/(d_Bv!M12+s_MLF_lettuce)),".")</f>
        <v>.</v>
      </c>
      <c r="BO12" s="15" t="str">
        <f>IFERROR((s_dir!AO12/(d_Bv!N12+s_MLF_lima_bean)),".")</f>
        <v>.</v>
      </c>
      <c r="BP12" s="15" t="str">
        <f>IFERROR((s_dir!AP12/(d_Bv!O12+s_MLF_okra)),".")</f>
        <v>.</v>
      </c>
      <c r="BQ12" s="15" t="str">
        <f>IFERROR((s_dir!AQ12/(d_Bv!P12+s_MLF_onion)),".")</f>
        <v>.</v>
      </c>
      <c r="BR12" s="15" t="str">
        <f>IFERROR((s_dir!AR12/(d_Bv!Q12+s_MLF_peach)),".")</f>
        <v>.</v>
      </c>
      <c r="BS12" s="15" t="str">
        <f>IFERROR((s_dir!AS12/(d_Bv!R12+s_MLF_pear)),".")</f>
        <v>.</v>
      </c>
      <c r="BT12" s="15" t="str">
        <f>IFERROR((s_dir!AT12/(d_Bv!S12+s_MLF_peas)),".")</f>
        <v>.</v>
      </c>
      <c r="BU12" s="15" t="str">
        <f>IFERROR((s_dir!AU12/(d_Bv!T12+s_MLF_peppers)),".")</f>
        <v>.</v>
      </c>
      <c r="BV12" s="15" t="str">
        <f>IFERROR((s_dir!AV12/(d_Bv!U12+s_MLF_potato)),".")</f>
        <v>.</v>
      </c>
      <c r="BW12" s="15" t="str">
        <f>IFERROR((s_dir!AW12/(d_Bv!V12+s_MLF_pumpkin)),".")</f>
        <v>.</v>
      </c>
      <c r="BX12" s="15" t="str">
        <f>IFERROR((s_dir!AX12/(d_Bv!W12+s_MLF_snap_bean)),".")</f>
        <v>.</v>
      </c>
      <c r="BY12" s="15" t="str">
        <f>IFERROR((s_dir!AY12/(d_Bv!X12+s_MLF_strawberry)),".")</f>
        <v>.</v>
      </c>
      <c r="BZ12" s="15" t="str">
        <f>IFERROR((s_dir!AZ12/(d_Bv!Y12+s_MLF_tomato)),".")</f>
        <v>.</v>
      </c>
      <c r="CA12" s="15" t="str">
        <f>IFERROR((s_dir!BA12/(d_Bv!Z12+s_MLF_rice)),".")</f>
        <v>.</v>
      </c>
      <c r="CB12" s="15" t="str">
        <f>IFERROR((s_dir!BB12/(d_Bv!AA12+s_MLF_cereal)),".")</f>
        <v>.</v>
      </c>
      <c r="CC12" s="40">
        <f t="shared" si="3"/>
        <v>9483.375</v>
      </c>
      <c r="CD12" s="40">
        <f>IFERROR(s_C*(d_Bv!C12+s_MLF_apple)*s_IFAP_far_adj*s_CF_apple,".")</f>
        <v>2370.84375</v>
      </c>
      <c r="CE12" s="40">
        <f>IFERROR(s_C*(d_Bv!D12+s_MLF_asparagus)*s_IFAS_far_adj*s_CF_asparagus,".")</f>
        <v>2370.84375</v>
      </c>
      <c r="CF12" s="40">
        <f>IFERROR(s_C*(d_Bv!E12+s_MLF_beet)*s_IFBT_far_adj*s_CF_beet,".")</f>
        <v>2370.84375</v>
      </c>
      <c r="CG12" s="40">
        <f>IFERROR(s_C*(d_Bv!F12+s_MLF_berries)*s_IFBR_far_adj*s_CF_berries,".")</f>
        <v>2370.84375</v>
      </c>
      <c r="CH12" s="40">
        <f>IFERROR(s_C*(d_Bv!G12+s_MLF_broccoli)*s_IFBR_far_adj*s_CF_broccoli,".")</f>
        <v>2370.84375</v>
      </c>
      <c r="CI12" s="40">
        <f>IFERROR(s_C*(d_Bv!H12+s_MLF_cabbage)*s_IFCB_far_adj*s_CF_cabbage,".")</f>
        <v>2370.84375</v>
      </c>
      <c r="CJ12" s="40">
        <f>IFERROR(s_C*(d_Bv!I12+s_MLF_carrot)*s_IFCR_far_adj*s_CF_carrot,".")</f>
        <v>2370.84375</v>
      </c>
      <c r="CK12" s="40">
        <f>IFERROR(s_C*(d_Bv!J12+s_MLF_citrus)*s_IFCI_far_adj*s_CF_citrus,".")</f>
        <v>2370.84375</v>
      </c>
      <c r="CL12" s="40">
        <f>IFERROR(s_C*(d_Bv!K12+s_MLF_corn)*s_IFCO_far_adj*s_CF_corn,".")</f>
        <v>2370.84375</v>
      </c>
      <c r="CM12" s="40">
        <f>IFERROR(s_C*(d_Bv!L12+s_MLF_cucumber)*s_IFCU_far_adj*s_CF_cucumber,".")</f>
        <v>2370.84375</v>
      </c>
      <c r="CN12" s="40">
        <f>IFERROR(s_C*(d_Bv!M12+s_MLF_lettuce)*s_IFLE_far_adj*s_CF_lettuce,".")</f>
        <v>2370.84375</v>
      </c>
      <c r="CO12" s="40">
        <f>IFERROR(s_C*(d_Bv!N12+s_MLF_lima_bean)*s_IFLI_far_adj*s_CF_lima_bean,".")</f>
        <v>2370.84375</v>
      </c>
      <c r="CP12" s="40">
        <f>IFERROR(s_C*(d_Bv!O12+s_MLF_okra)*s_IFOK_far_adj*s_CF_okra,".")</f>
        <v>2370.84375</v>
      </c>
      <c r="CQ12" s="40">
        <f>IFERROR(s_C*(d_Bv!P12+s_MLF_onion)*s_IFON_far_adj*s_CF_onion,".")</f>
        <v>2370.84375</v>
      </c>
      <c r="CR12" s="40">
        <f>IFERROR(s_C*(d_Bv!Q12+s_MLF_peach)*s_IFPC_far_adj*s_CF_peach,".")</f>
        <v>2370.84375</v>
      </c>
      <c r="CS12" s="40">
        <f>IFERROR(s_C*(d_Bv!R12+s_MLF_pear)*s_IFPR_far_adj*s_CF_pear,".")</f>
        <v>2370.84375</v>
      </c>
      <c r="CT12" s="40">
        <f>IFERROR(s_C*(d_Bv!S12+s_MLF_peas)*s_IFPE_far_adj*s_CF_peas,".")</f>
        <v>2370.84375</v>
      </c>
      <c r="CU12" s="40">
        <f>IFERROR(s_C*(d_Bv!T12+s_MLF_peppers)*s_IFPP_far_adj*s_CF_peppers,".")</f>
        <v>2370.84375</v>
      </c>
      <c r="CV12" s="40">
        <f>IFERROR(s_C*(d_Bv!U12+s_MLF_potato)*s_IFPT_far_adj*s_CF_potato,".")</f>
        <v>2370.84375</v>
      </c>
      <c r="CW12" s="40">
        <f>IFERROR(s_C*(d_Bv!V12+s_MLF_pumpkin)*s_IFPU_far_adj*s_CF_pumpkin,".")</f>
        <v>2370.84375</v>
      </c>
      <c r="CX12" s="40">
        <f>IFERROR(s_C*(d_Bv!W12+s_MLF_snap_bean)*s_IFSN_far_adj*s_CF_snap_bean,".")</f>
        <v>2370.84375</v>
      </c>
      <c r="CY12" s="40">
        <f>IFERROR(s_C*(d_Bv!X12+s_MLF_strawberry)*s_IFST_far_adj*s_CF_strawberry,".")</f>
        <v>2370.84375</v>
      </c>
      <c r="CZ12" s="40">
        <f>IFERROR(s_C*(d_Bv!Y12+s_MLF_tomato)*s_IFTO_far_adj*s_CF_tomato,".")</f>
        <v>2370.84375</v>
      </c>
      <c r="DA12" s="40">
        <f>IFERROR(s_C*(d_Bv!Z12+s_MLF_rice)*s_IFRI_far_adj*s_CF_rice,".")</f>
        <v>2370.84375</v>
      </c>
      <c r="DB12" s="40">
        <f>IFERROR(s_C*(d_Bv!AA12+s_MLF_cereal)*s_IFCG_far_adj*s_CF_cereal,".")</f>
        <v>2370.84375</v>
      </c>
    </row>
    <row r="13" spans="1:106" ht="15" customHeight="1" x14ac:dyDescent="0.25">
      <c r="A13" s="44" t="s">
        <v>11</v>
      </c>
      <c r="B13" s="42" t="s">
        <v>1057</v>
      </c>
      <c r="C13" s="15">
        <f t="shared" si="0"/>
        <v>75.080288984032308</v>
      </c>
      <c r="D13" s="15">
        <f>IFERROR((s_dir!D13/(d_Bv!C13+s_MLF_apple)),".")</f>
        <v>517.94518197680259</v>
      </c>
      <c r="E13" s="15">
        <f>IFERROR((s_dir!E13/(d_Bv!D13+s_MLF_asparagus)),".")</f>
        <v>176.48502496987345</v>
      </c>
      <c r="F13" s="15">
        <f>IFERROR((s_dir!F13/(d_Bv!E13+s_MLF_beet)),".")</f>
        <v>201.34207074027819</v>
      </c>
      <c r="G13" s="15">
        <f>IFERROR((s_dir!G13/(d_Bv!F13+s_MLF_berries)),".")</f>
        <v>517.94518197680259</v>
      </c>
      <c r="H13" s="15">
        <f>IFERROR((s_dir!H13/(d_Bv!G13+s_MLF_broccoli)),".")</f>
        <v>226.90931781840874</v>
      </c>
      <c r="I13" s="15">
        <f>IFERROR((s_dir!I13/(d_Bv!H13+s_MLF_cabbage)),".")</f>
        <v>176.48502496987345</v>
      </c>
      <c r="J13" s="15">
        <f>IFERROR((s_dir!J13/(d_Bv!I13+s_MLF_carrot)),".")</f>
        <v>201.34207074027819</v>
      </c>
      <c r="K13" s="15">
        <f>IFERROR((s_dir!K13/(d_Bv!J13+s_MLF_citrus)),".")</f>
        <v>517.94518197680259</v>
      </c>
      <c r="L13" s="15">
        <f>IFERROR((s_dir!L13/(d_Bv!K13+s_MLF_corn)),".")</f>
        <v>390.58161263824451</v>
      </c>
      <c r="M13" s="15">
        <f>IFERROR((s_dir!M13/(d_Bv!L13+s_MLF_cucumber)),".")</f>
        <v>226.90931781840874</v>
      </c>
      <c r="N13" s="15">
        <f>IFERROR((s_dir!N13/(d_Bv!M13+s_MLF_lettuce)),".")</f>
        <v>176.48502496987345</v>
      </c>
      <c r="O13" s="15">
        <f>IFERROR((s_dir!O13/(d_Bv!N13+s_MLF_lima_bean)),".")</f>
        <v>234.34896758294673</v>
      </c>
      <c r="P13" s="15">
        <f>IFERROR((s_dir!P13/(d_Bv!O13+s_MLF_okra)),".")</f>
        <v>226.90931781840874</v>
      </c>
      <c r="Q13" s="15">
        <f>IFERROR((s_dir!Q13/(d_Bv!P13+s_MLF_onion)),".")</f>
        <v>201.34207074027819</v>
      </c>
      <c r="R13" s="15">
        <f>IFERROR((s_dir!R13/(d_Bv!Q13+s_MLF_peach)),".")</f>
        <v>517.94518197680259</v>
      </c>
      <c r="S13" s="15">
        <f>IFERROR((s_dir!S13/(d_Bv!R13+s_MLF_pear)),".")</f>
        <v>517.94518197680259</v>
      </c>
      <c r="T13" s="15">
        <f>IFERROR((s_dir!T13/(d_Bv!S13+s_MLF_peas)),".")</f>
        <v>234.34896758294673</v>
      </c>
      <c r="U13" s="15">
        <f>IFERROR((s_dir!U13/(d_Bv!T13+s_MLF_peppers)),".")</f>
        <v>226.90931781840874</v>
      </c>
      <c r="V13" s="15">
        <f>IFERROR((s_dir!V13/(d_Bv!U13+s_MLF_potato)),".")</f>
        <v>372.27309954582677</v>
      </c>
      <c r="W13" s="15">
        <f>IFERROR((s_dir!W13/(d_Bv!V13+s_MLF_pumpkin)),".")</f>
        <v>226.90931781840874</v>
      </c>
      <c r="X13" s="15">
        <f>IFERROR((s_dir!X13/(d_Bv!W13+s_MLF_snap_bean)),".")</f>
        <v>234.34896758294673</v>
      </c>
      <c r="Y13" s="15">
        <f>IFERROR((s_dir!Y13/(d_Bv!X13+s_MLF_strawberry)),".")</f>
        <v>517.94518197680259</v>
      </c>
      <c r="Z13" s="15">
        <f>IFERROR((s_dir!Z13/(d_Bv!Y13+s_MLF_tomato)),".")</f>
        <v>226.90931781840874</v>
      </c>
      <c r="AA13" s="15">
        <f>IFERROR((s_dir!AA13/(d_Bv!Z13+s_MLF_rice)),".")</f>
        <v>213.36249287402609</v>
      </c>
      <c r="AB13" s="15">
        <f>IFERROR((s_dir!AB13/(d_Bv!AA13+s_MLF_cereal)),".")</f>
        <v>435.83192141950462</v>
      </c>
      <c r="AC13" s="40">
        <f t="shared" si="1"/>
        <v>719.95</v>
      </c>
      <c r="AD13" s="40">
        <f>s_C*(d_Bv!C13+s_MLF_apple)*s_IFAP_res_adj*s_CF_apple</f>
        <v>104.36250000000001</v>
      </c>
      <c r="AE13" s="40">
        <f>s_C*(d_Bv!D13+s_MLF_asparagus)*s_IFAS_res_adj*s_CF_asparagus</f>
        <v>306.28125</v>
      </c>
      <c r="AF13" s="40">
        <f>s_C*(d_Bv!E13+s_MLF_beet)*s_IFBT_res_adj*s_CF_beet</f>
        <v>268.46875</v>
      </c>
      <c r="AG13" s="40">
        <f>s_C*(d_Bv!F13+s_MLF_berries)*s_IFBE_res_adj*s_CF_berries</f>
        <v>104.36250000000001</v>
      </c>
      <c r="AH13" s="40">
        <f>s_C*(d_Bv!G13+s_MLF_broccoli)*s_IFBR_res_adj*s_CF_broccoli</f>
        <v>238.21875</v>
      </c>
      <c r="AI13" s="40">
        <f>s_C*(d_Bv!H13+s_MLF_cabbage)*s_IFCB_res_adj*s_CF_cabbage</f>
        <v>306.28125</v>
      </c>
      <c r="AJ13" s="40">
        <f>s_C*(d_Bv!I13+s_MLF_carrot)*s_IFCR_res_adj*s_CF_carrot</f>
        <v>268.46875</v>
      </c>
      <c r="AK13" s="40">
        <f>s_C*(d_Bv!J13+s_MLF_citrus)*s_IFCI_res_adj*s_CF_citrus</f>
        <v>104.36250000000001</v>
      </c>
      <c r="AL13" s="40">
        <f>s_C*(d_Bv!K13+s_MLF_corn)*s_IFCO_res_adj*s_CF_corn</f>
        <v>138.39374999999998</v>
      </c>
      <c r="AM13" s="40">
        <f>s_C*(d_Bv!L13+s_MLF_cucumber)*s_IFCU_res_adj*s_CF_cucumber</f>
        <v>238.21875</v>
      </c>
      <c r="AN13" s="40">
        <f>s_C*(d_Bv!M13+s_MLF_lettuce)*s_IFLE_res_adj*s_CF_lettuce</f>
        <v>306.28125</v>
      </c>
      <c r="AO13" s="40">
        <f>s_C*(d_Bv!N13+s_MLF_lima_bean)*s_IFLI_res_adj*s_CF_lima_bean</f>
        <v>230.65625</v>
      </c>
      <c r="AP13" s="40">
        <f>s_C*(d_Bv!O13+s_MLF_okra)*s_IFOK_res_adj*s_CF_okra</f>
        <v>238.21875</v>
      </c>
      <c r="AQ13" s="40">
        <f>s_C*(d_Bv!P13+s_MLF_onion)*s_IFON_res_adj*s_CF_onion</f>
        <v>268.46875</v>
      </c>
      <c r="AR13" s="40">
        <f>s_C*(d_Bv!Q13+s_MLF_peach)*s_IFPC_res_adj*s_CF_peach</f>
        <v>104.36250000000001</v>
      </c>
      <c r="AS13" s="40">
        <f>s_C*(d_Bv!R13+s_MLF_pear)*s_IFPR_res_adj*s_CF_pear</f>
        <v>104.36250000000001</v>
      </c>
      <c r="AT13" s="40">
        <f>s_C*(d_Bv!S13+s_MLF_peas)*s_IFPE_res_adj*s_CF_peas</f>
        <v>230.65625</v>
      </c>
      <c r="AU13" s="40">
        <f>s_C*(d_Bv!T13+s_MLF_peppers)*s_IFPP_res_adj*s_CF_peppers</f>
        <v>238.21875</v>
      </c>
      <c r="AV13" s="40">
        <f>s_C*(d_Bv!U13+s_MLF_potato)*s_IFPT_res_adj*s_CF_potato</f>
        <v>145.20000000000002</v>
      </c>
      <c r="AW13" s="40">
        <f>s_C*(d_Bv!V13+s_MLF_pumpkin)*s_IFPU_res_adj*s_CF_pumpkin</f>
        <v>238.21875</v>
      </c>
      <c r="AX13" s="40">
        <f>s_C*(d_Bv!W13+s_MLF_snap_bean)*s_IFSN_res_adj*s_CF_snap_bean</f>
        <v>230.65625</v>
      </c>
      <c r="AY13" s="40">
        <f>s_C*(d_Bv!X13+s_MLF_strawberry)*s_IFST_res_adj*s_CF_strawberry</f>
        <v>104.36250000000001</v>
      </c>
      <c r="AZ13" s="40">
        <f>s_C*(d_Bv!Y13+s_MLF_tomato)*s_IFTO_res_adj*s_CF_tomato</f>
        <v>238.21875</v>
      </c>
      <c r="BA13" s="40">
        <f>s_C*(d_Bv!Z13+s_MLF_rice)*s_IFRI_res_adj*s_CF_rice</f>
        <v>253.34375000000003</v>
      </c>
      <c r="BB13" s="40">
        <f>s_C*(d_Bv!AA13+s_MLF_cereal)*s_IFCG_res_adj*s_CF_cereal</f>
        <v>124.02499999999998</v>
      </c>
      <c r="BC13" s="15">
        <f t="shared" si="2"/>
        <v>75.080288984032308</v>
      </c>
      <c r="BD13" s="15">
        <f>IFERROR((s_dir!AD13/(d_Bv!C13+s_MLF_apple)),".")</f>
        <v>517.94518197680259</v>
      </c>
      <c r="BE13" s="15">
        <f>IFERROR((s_dir!AE13/(d_Bv!D13+s_MLF_asparagus)),".")</f>
        <v>176.48502496987345</v>
      </c>
      <c r="BF13" s="15">
        <f>IFERROR((s_dir!AF13/(d_Bv!E13+s_MLF_beet)),".")</f>
        <v>201.34207074027819</v>
      </c>
      <c r="BG13" s="15">
        <f>IFERROR((s_dir!AG13/(d_Bv!F13+s_MLF_berries)),".")</f>
        <v>517.94518197680259</v>
      </c>
      <c r="BH13" s="15">
        <f>IFERROR((s_dir!AH13/(d_Bv!G13+s_MLF_broccoli)),".")</f>
        <v>226.90931781840874</v>
      </c>
      <c r="BI13" s="15">
        <f>IFERROR((s_dir!AI13/(d_Bv!H13+s_MLF_cabbage)),".")</f>
        <v>176.48502496987345</v>
      </c>
      <c r="BJ13" s="15">
        <f>IFERROR((s_dir!AJ13/(d_Bv!I13+s_MLF_carrot)),".")</f>
        <v>201.34207074027819</v>
      </c>
      <c r="BK13" s="15">
        <f>IFERROR((s_dir!AK13/(d_Bv!J13+s_MLF_citrus)),".")</f>
        <v>517.94518197680259</v>
      </c>
      <c r="BL13" s="15">
        <f>IFERROR((s_dir!AL13/(d_Bv!K13+s_MLF_corn)),".")</f>
        <v>390.58161263824451</v>
      </c>
      <c r="BM13" s="15">
        <f>IFERROR((s_dir!AM13/(d_Bv!L13+s_MLF_cucumber)),".")</f>
        <v>226.90931781840874</v>
      </c>
      <c r="BN13" s="15">
        <f>IFERROR((s_dir!AN13/(d_Bv!M13+s_MLF_lettuce)),".")</f>
        <v>176.48502496987345</v>
      </c>
      <c r="BO13" s="15">
        <f>IFERROR((s_dir!AO13/(d_Bv!N13+s_MLF_lima_bean)),".")</f>
        <v>234.34896758294673</v>
      </c>
      <c r="BP13" s="15">
        <f>IFERROR((s_dir!AP13/(d_Bv!O13+s_MLF_okra)),".")</f>
        <v>226.90931781840874</v>
      </c>
      <c r="BQ13" s="15">
        <f>IFERROR((s_dir!AQ13/(d_Bv!P13+s_MLF_onion)),".")</f>
        <v>201.34207074027819</v>
      </c>
      <c r="BR13" s="15">
        <f>IFERROR((s_dir!AR13/(d_Bv!Q13+s_MLF_peach)),".")</f>
        <v>517.94518197680259</v>
      </c>
      <c r="BS13" s="15">
        <f>IFERROR((s_dir!AS13/(d_Bv!R13+s_MLF_pear)),".")</f>
        <v>517.94518197680259</v>
      </c>
      <c r="BT13" s="15">
        <f>IFERROR((s_dir!AT13/(d_Bv!S13+s_MLF_peas)),".")</f>
        <v>234.34896758294673</v>
      </c>
      <c r="BU13" s="15">
        <f>IFERROR((s_dir!AU13/(d_Bv!T13+s_MLF_peppers)),".")</f>
        <v>226.90931781840874</v>
      </c>
      <c r="BV13" s="15">
        <f>IFERROR((s_dir!AV13/(d_Bv!U13+s_MLF_potato)),".")</f>
        <v>372.27309954582677</v>
      </c>
      <c r="BW13" s="15">
        <f>IFERROR((s_dir!AW13/(d_Bv!V13+s_MLF_pumpkin)),".")</f>
        <v>226.90931781840874</v>
      </c>
      <c r="BX13" s="15">
        <f>IFERROR((s_dir!AX13/(d_Bv!W13+s_MLF_snap_bean)),".")</f>
        <v>234.34896758294673</v>
      </c>
      <c r="BY13" s="15">
        <f>IFERROR((s_dir!AY13/(d_Bv!X13+s_MLF_strawberry)),".")</f>
        <v>517.94518197680259</v>
      </c>
      <c r="BZ13" s="15">
        <f>IFERROR((s_dir!AZ13/(d_Bv!Y13+s_MLF_tomato)),".")</f>
        <v>226.90931781840874</v>
      </c>
      <c r="CA13" s="15">
        <f>IFERROR((s_dir!BA13/(d_Bv!Z13+s_MLF_rice)),".")</f>
        <v>213.36249287402609</v>
      </c>
      <c r="CB13" s="15">
        <f>IFERROR((s_dir!BB13/(d_Bv!AA13+s_MLF_cereal)),".")</f>
        <v>435.83192141950462</v>
      </c>
      <c r="CC13" s="40">
        <f t="shared" si="3"/>
        <v>719.95</v>
      </c>
      <c r="CD13" s="40">
        <f>IFERROR(s_C*(d_Bv!C13+s_MLF_apple)*s_IFAP_far_adj*s_CF_apple,".")</f>
        <v>104.36250000000001</v>
      </c>
      <c r="CE13" s="40">
        <f>IFERROR(s_C*(d_Bv!D13+s_MLF_asparagus)*s_IFAS_far_adj*s_CF_asparagus,".")</f>
        <v>306.28125</v>
      </c>
      <c r="CF13" s="40">
        <f>IFERROR(s_C*(d_Bv!E13+s_MLF_beet)*s_IFBT_far_adj*s_CF_beet,".")</f>
        <v>268.46875</v>
      </c>
      <c r="CG13" s="40">
        <f>IFERROR(s_C*(d_Bv!F13+s_MLF_berries)*s_IFBR_far_adj*s_CF_berries,".")</f>
        <v>104.36250000000001</v>
      </c>
      <c r="CH13" s="40">
        <f>IFERROR(s_C*(d_Bv!G13+s_MLF_broccoli)*s_IFBR_far_adj*s_CF_broccoli,".")</f>
        <v>238.21875</v>
      </c>
      <c r="CI13" s="40">
        <f>IFERROR(s_C*(d_Bv!H13+s_MLF_cabbage)*s_IFCB_far_adj*s_CF_cabbage,".")</f>
        <v>306.28125</v>
      </c>
      <c r="CJ13" s="40">
        <f>IFERROR(s_C*(d_Bv!I13+s_MLF_carrot)*s_IFCR_far_adj*s_CF_carrot,".")</f>
        <v>268.46875</v>
      </c>
      <c r="CK13" s="40">
        <f>IFERROR(s_C*(d_Bv!J13+s_MLF_citrus)*s_IFCI_far_adj*s_CF_citrus,".")</f>
        <v>104.36250000000001</v>
      </c>
      <c r="CL13" s="40">
        <f>IFERROR(s_C*(d_Bv!K13+s_MLF_corn)*s_IFCO_far_adj*s_CF_corn,".")</f>
        <v>138.39374999999998</v>
      </c>
      <c r="CM13" s="40">
        <f>IFERROR(s_C*(d_Bv!L13+s_MLF_cucumber)*s_IFCU_far_adj*s_CF_cucumber,".")</f>
        <v>238.21875</v>
      </c>
      <c r="CN13" s="40">
        <f>IFERROR(s_C*(d_Bv!M13+s_MLF_lettuce)*s_IFLE_far_adj*s_CF_lettuce,".")</f>
        <v>306.28125</v>
      </c>
      <c r="CO13" s="40">
        <f>IFERROR(s_C*(d_Bv!N13+s_MLF_lima_bean)*s_IFLI_far_adj*s_CF_lima_bean,".")</f>
        <v>230.65625</v>
      </c>
      <c r="CP13" s="40">
        <f>IFERROR(s_C*(d_Bv!O13+s_MLF_okra)*s_IFOK_far_adj*s_CF_okra,".")</f>
        <v>238.21875</v>
      </c>
      <c r="CQ13" s="40">
        <f>IFERROR(s_C*(d_Bv!P13+s_MLF_onion)*s_IFON_far_adj*s_CF_onion,".")</f>
        <v>268.46875</v>
      </c>
      <c r="CR13" s="40">
        <f>IFERROR(s_C*(d_Bv!Q13+s_MLF_peach)*s_IFPC_far_adj*s_CF_peach,".")</f>
        <v>104.36250000000001</v>
      </c>
      <c r="CS13" s="40">
        <f>IFERROR(s_C*(d_Bv!R13+s_MLF_pear)*s_IFPR_far_adj*s_CF_pear,".")</f>
        <v>104.36250000000001</v>
      </c>
      <c r="CT13" s="40">
        <f>IFERROR(s_C*(d_Bv!S13+s_MLF_peas)*s_IFPE_far_adj*s_CF_peas,".")</f>
        <v>230.65625</v>
      </c>
      <c r="CU13" s="40">
        <f>IFERROR(s_C*(d_Bv!T13+s_MLF_peppers)*s_IFPP_far_adj*s_CF_peppers,".")</f>
        <v>238.21875</v>
      </c>
      <c r="CV13" s="40">
        <f>IFERROR(s_C*(d_Bv!U13+s_MLF_potato)*s_IFPT_far_adj*s_CF_potato,".")</f>
        <v>145.20000000000002</v>
      </c>
      <c r="CW13" s="40">
        <f>IFERROR(s_C*(d_Bv!V13+s_MLF_pumpkin)*s_IFPU_far_adj*s_CF_pumpkin,".")</f>
        <v>238.21875</v>
      </c>
      <c r="CX13" s="40">
        <f>IFERROR(s_C*(d_Bv!W13+s_MLF_snap_bean)*s_IFSN_far_adj*s_CF_snap_bean,".")</f>
        <v>230.65625</v>
      </c>
      <c r="CY13" s="40">
        <f>IFERROR(s_C*(d_Bv!X13+s_MLF_strawberry)*s_IFST_far_adj*s_CF_strawberry,".")</f>
        <v>104.36250000000001</v>
      </c>
      <c r="CZ13" s="40">
        <f>IFERROR(s_C*(d_Bv!Y13+s_MLF_tomato)*s_IFTO_far_adj*s_CF_tomato,".")</f>
        <v>238.21875</v>
      </c>
      <c r="DA13" s="40">
        <f>IFERROR(s_C*(d_Bv!Z13+s_MLF_rice)*s_IFRI_far_adj*s_CF_rice,".")</f>
        <v>253.34375000000003</v>
      </c>
      <c r="DB13" s="40">
        <f>IFERROR(s_C*(d_Bv!AA13+s_MLF_cereal)*s_IFCG_far_adj*s_CF_cereal,".")</f>
        <v>124.02499999999998</v>
      </c>
    </row>
    <row r="14" spans="1:106" ht="15" customHeight="1" x14ac:dyDescent="0.25">
      <c r="A14" s="44" t="s">
        <v>12</v>
      </c>
      <c r="B14" s="42" t="s">
        <v>1057</v>
      </c>
      <c r="C14" s="15">
        <f t="shared" si="0"/>
        <v>7200.6402233235358</v>
      </c>
      <c r="D14" s="15">
        <f>IFERROR((s_dir!D14/(d_Bv!C14+s_MLF_apple)),".")</f>
        <v>28802.560893294147</v>
      </c>
      <c r="E14" s="15">
        <f>IFERROR((s_dir!E14/(d_Bv!D14+s_MLF_asparagus)),".")</f>
        <v>28802.560893294147</v>
      </c>
      <c r="F14" s="15">
        <f>IFERROR((s_dir!F14/(d_Bv!E14+s_MLF_beet)),".")</f>
        <v>28802.560893294147</v>
      </c>
      <c r="G14" s="15">
        <f>IFERROR((s_dir!G14/(d_Bv!F14+s_MLF_berries)),".")</f>
        <v>28802.560893294147</v>
      </c>
      <c r="H14" s="15">
        <f>IFERROR((s_dir!H14/(d_Bv!G14+s_MLF_broccoli)),".")</f>
        <v>28802.560893294147</v>
      </c>
      <c r="I14" s="15">
        <f>IFERROR((s_dir!I14/(d_Bv!H14+s_MLF_cabbage)),".")</f>
        <v>28802.560893294147</v>
      </c>
      <c r="J14" s="15">
        <f>IFERROR((s_dir!J14/(d_Bv!I14+s_MLF_carrot)),".")</f>
        <v>28802.560893294147</v>
      </c>
      <c r="K14" s="15">
        <f>IFERROR((s_dir!K14/(d_Bv!J14+s_MLF_citrus)),".")</f>
        <v>28802.560893294147</v>
      </c>
      <c r="L14" s="15">
        <f>IFERROR((s_dir!L14/(d_Bv!K14+s_MLF_corn)),".")</f>
        <v>28802.560893294147</v>
      </c>
      <c r="M14" s="15">
        <f>IFERROR((s_dir!M14/(d_Bv!L14+s_MLF_cucumber)),".")</f>
        <v>28802.560893294147</v>
      </c>
      <c r="N14" s="15">
        <f>IFERROR((s_dir!N14/(d_Bv!M14+s_MLF_lettuce)),".")</f>
        <v>28802.560893294147</v>
      </c>
      <c r="O14" s="15">
        <f>IFERROR((s_dir!O14/(d_Bv!N14+s_MLF_lima_bean)),".")</f>
        <v>28802.560893294147</v>
      </c>
      <c r="P14" s="15">
        <f>IFERROR((s_dir!P14/(d_Bv!O14+s_MLF_okra)),".")</f>
        <v>28802.560893294147</v>
      </c>
      <c r="Q14" s="15">
        <f>IFERROR((s_dir!Q14/(d_Bv!P14+s_MLF_onion)),".")</f>
        <v>28802.560893294147</v>
      </c>
      <c r="R14" s="15">
        <f>IFERROR((s_dir!R14/(d_Bv!Q14+s_MLF_peach)),".")</f>
        <v>28802.560893294147</v>
      </c>
      <c r="S14" s="15">
        <f>IFERROR((s_dir!S14/(d_Bv!R14+s_MLF_pear)),".")</f>
        <v>28802.560893294147</v>
      </c>
      <c r="T14" s="15">
        <f>IFERROR((s_dir!T14/(d_Bv!S14+s_MLF_peas)),".")</f>
        <v>28802.560893294147</v>
      </c>
      <c r="U14" s="15">
        <f>IFERROR((s_dir!U14/(d_Bv!T14+s_MLF_peppers)),".")</f>
        <v>28802.560893294147</v>
      </c>
      <c r="V14" s="15">
        <f>IFERROR((s_dir!V14/(d_Bv!U14+s_MLF_potato)),".")</f>
        <v>28802.560893294147</v>
      </c>
      <c r="W14" s="15">
        <f>IFERROR((s_dir!W14/(d_Bv!V14+s_MLF_pumpkin)),".")</f>
        <v>28802.560893294147</v>
      </c>
      <c r="X14" s="15">
        <f>IFERROR((s_dir!X14/(d_Bv!W14+s_MLF_snap_bean)),".")</f>
        <v>28802.560893294147</v>
      </c>
      <c r="Y14" s="15">
        <f>IFERROR((s_dir!Y14/(d_Bv!X14+s_MLF_strawberry)),".")</f>
        <v>28802.560893294147</v>
      </c>
      <c r="Z14" s="15">
        <f>IFERROR((s_dir!Z14/(d_Bv!Y14+s_MLF_tomato)),".")</f>
        <v>28802.560893294147</v>
      </c>
      <c r="AA14" s="15">
        <f>IFERROR((s_dir!AA14/(d_Bv!Z14+s_MLF_rice)),".")</f>
        <v>28802.560893294147</v>
      </c>
      <c r="AB14" s="15">
        <f>IFERROR((s_dir!AB14/(d_Bv!AA14+s_MLF_cereal)),".")</f>
        <v>28802.560893294147</v>
      </c>
      <c r="AC14" s="40">
        <f t="shared" si="1"/>
        <v>710.875</v>
      </c>
      <c r="AD14" s="40">
        <f>s_C*(d_Bv!C14+s_MLF_apple)*s_IFAP_res_adj*s_CF_apple</f>
        <v>177.71875</v>
      </c>
      <c r="AE14" s="40">
        <f>s_C*(d_Bv!D14+s_MLF_asparagus)*s_IFAS_res_adj*s_CF_asparagus</f>
        <v>177.71875</v>
      </c>
      <c r="AF14" s="40">
        <f>s_C*(d_Bv!E14+s_MLF_beet)*s_IFBT_res_adj*s_CF_beet</f>
        <v>177.71875</v>
      </c>
      <c r="AG14" s="40">
        <f>s_C*(d_Bv!F14+s_MLF_berries)*s_IFBE_res_adj*s_CF_berries</f>
        <v>177.71875</v>
      </c>
      <c r="AH14" s="40">
        <f>s_C*(d_Bv!G14+s_MLF_broccoli)*s_IFBR_res_adj*s_CF_broccoli</f>
        <v>177.71875</v>
      </c>
      <c r="AI14" s="40">
        <f>s_C*(d_Bv!H14+s_MLF_cabbage)*s_IFCB_res_adj*s_CF_cabbage</f>
        <v>177.71875</v>
      </c>
      <c r="AJ14" s="40">
        <f>s_C*(d_Bv!I14+s_MLF_carrot)*s_IFCR_res_adj*s_CF_carrot</f>
        <v>177.71875</v>
      </c>
      <c r="AK14" s="40">
        <f>s_C*(d_Bv!J14+s_MLF_citrus)*s_IFCI_res_adj*s_CF_citrus</f>
        <v>177.71875</v>
      </c>
      <c r="AL14" s="40">
        <f>s_C*(d_Bv!K14+s_MLF_corn)*s_IFCO_res_adj*s_CF_corn</f>
        <v>177.71875</v>
      </c>
      <c r="AM14" s="40">
        <f>s_C*(d_Bv!L14+s_MLF_cucumber)*s_IFCU_res_adj*s_CF_cucumber</f>
        <v>177.71875</v>
      </c>
      <c r="AN14" s="40">
        <f>s_C*(d_Bv!M14+s_MLF_lettuce)*s_IFLE_res_adj*s_CF_lettuce</f>
        <v>177.71875</v>
      </c>
      <c r="AO14" s="40">
        <f>s_C*(d_Bv!N14+s_MLF_lima_bean)*s_IFLI_res_adj*s_CF_lima_bean</f>
        <v>177.71875</v>
      </c>
      <c r="AP14" s="40">
        <f>s_C*(d_Bv!O14+s_MLF_okra)*s_IFOK_res_adj*s_CF_okra</f>
        <v>177.71875</v>
      </c>
      <c r="AQ14" s="40">
        <f>s_C*(d_Bv!P14+s_MLF_onion)*s_IFON_res_adj*s_CF_onion</f>
        <v>177.71875</v>
      </c>
      <c r="AR14" s="40">
        <f>s_C*(d_Bv!Q14+s_MLF_peach)*s_IFPC_res_adj*s_CF_peach</f>
        <v>177.71875</v>
      </c>
      <c r="AS14" s="40">
        <f>s_C*(d_Bv!R14+s_MLF_pear)*s_IFPR_res_adj*s_CF_pear</f>
        <v>177.71875</v>
      </c>
      <c r="AT14" s="40">
        <f>s_C*(d_Bv!S14+s_MLF_peas)*s_IFPE_res_adj*s_CF_peas</f>
        <v>177.71875</v>
      </c>
      <c r="AU14" s="40">
        <f>s_C*(d_Bv!T14+s_MLF_peppers)*s_IFPP_res_adj*s_CF_peppers</f>
        <v>177.71875</v>
      </c>
      <c r="AV14" s="40">
        <f>s_C*(d_Bv!U14+s_MLF_potato)*s_IFPT_res_adj*s_CF_potato</f>
        <v>177.71875</v>
      </c>
      <c r="AW14" s="40">
        <f>s_C*(d_Bv!V14+s_MLF_pumpkin)*s_IFPU_res_adj*s_CF_pumpkin</f>
        <v>177.71875</v>
      </c>
      <c r="AX14" s="40">
        <f>s_C*(d_Bv!W14+s_MLF_snap_bean)*s_IFSN_res_adj*s_CF_snap_bean</f>
        <v>177.71875</v>
      </c>
      <c r="AY14" s="40">
        <f>s_C*(d_Bv!X14+s_MLF_strawberry)*s_IFST_res_adj*s_CF_strawberry</f>
        <v>177.71875</v>
      </c>
      <c r="AZ14" s="40">
        <f>s_C*(d_Bv!Y14+s_MLF_tomato)*s_IFTO_res_adj*s_CF_tomato</f>
        <v>177.71875</v>
      </c>
      <c r="BA14" s="40">
        <f>s_C*(d_Bv!Z14+s_MLF_rice)*s_IFRI_res_adj*s_CF_rice</f>
        <v>177.71875</v>
      </c>
      <c r="BB14" s="40">
        <f>s_C*(d_Bv!AA14+s_MLF_cereal)*s_IFCG_res_adj*s_CF_cereal</f>
        <v>177.71875</v>
      </c>
      <c r="BC14" s="15">
        <f t="shared" si="2"/>
        <v>7200.6402233235358</v>
      </c>
      <c r="BD14" s="15">
        <f>IFERROR((s_dir!AD14/(d_Bv!C14+s_MLF_apple)),".")</f>
        <v>28802.560893294147</v>
      </c>
      <c r="BE14" s="15">
        <f>IFERROR((s_dir!AE14/(d_Bv!D14+s_MLF_asparagus)),".")</f>
        <v>28802.560893294147</v>
      </c>
      <c r="BF14" s="15">
        <f>IFERROR((s_dir!AF14/(d_Bv!E14+s_MLF_beet)),".")</f>
        <v>28802.560893294147</v>
      </c>
      <c r="BG14" s="15">
        <f>IFERROR((s_dir!AG14/(d_Bv!F14+s_MLF_berries)),".")</f>
        <v>28802.560893294147</v>
      </c>
      <c r="BH14" s="15">
        <f>IFERROR((s_dir!AH14/(d_Bv!G14+s_MLF_broccoli)),".")</f>
        <v>28802.560893294147</v>
      </c>
      <c r="BI14" s="15">
        <f>IFERROR((s_dir!AI14/(d_Bv!H14+s_MLF_cabbage)),".")</f>
        <v>28802.560893294147</v>
      </c>
      <c r="BJ14" s="15">
        <f>IFERROR((s_dir!AJ14/(d_Bv!I14+s_MLF_carrot)),".")</f>
        <v>28802.560893294147</v>
      </c>
      <c r="BK14" s="15">
        <f>IFERROR((s_dir!AK14/(d_Bv!J14+s_MLF_citrus)),".")</f>
        <v>28802.560893294147</v>
      </c>
      <c r="BL14" s="15">
        <f>IFERROR((s_dir!AL14/(d_Bv!K14+s_MLF_corn)),".")</f>
        <v>28802.560893294147</v>
      </c>
      <c r="BM14" s="15">
        <f>IFERROR((s_dir!AM14/(d_Bv!L14+s_MLF_cucumber)),".")</f>
        <v>28802.560893294147</v>
      </c>
      <c r="BN14" s="15">
        <f>IFERROR((s_dir!AN14/(d_Bv!M14+s_MLF_lettuce)),".")</f>
        <v>28802.560893294147</v>
      </c>
      <c r="BO14" s="15">
        <f>IFERROR((s_dir!AO14/(d_Bv!N14+s_MLF_lima_bean)),".")</f>
        <v>28802.560893294147</v>
      </c>
      <c r="BP14" s="15">
        <f>IFERROR((s_dir!AP14/(d_Bv!O14+s_MLF_okra)),".")</f>
        <v>28802.560893294147</v>
      </c>
      <c r="BQ14" s="15">
        <f>IFERROR((s_dir!AQ14/(d_Bv!P14+s_MLF_onion)),".")</f>
        <v>28802.560893294147</v>
      </c>
      <c r="BR14" s="15">
        <f>IFERROR((s_dir!AR14/(d_Bv!Q14+s_MLF_peach)),".")</f>
        <v>28802.560893294147</v>
      </c>
      <c r="BS14" s="15">
        <f>IFERROR((s_dir!AS14/(d_Bv!R14+s_MLF_pear)),".")</f>
        <v>28802.560893294147</v>
      </c>
      <c r="BT14" s="15">
        <f>IFERROR((s_dir!AT14/(d_Bv!S14+s_MLF_peas)),".")</f>
        <v>28802.560893294147</v>
      </c>
      <c r="BU14" s="15">
        <f>IFERROR((s_dir!AU14/(d_Bv!T14+s_MLF_peppers)),".")</f>
        <v>28802.560893294147</v>
      </c>
      <c r="BV14" s="15">
        <f>IFERROR((s_dir!AV14/(d_Bv!U14+s_MLF_potato)),".")</f>
        <v>28802.560893294147</v>
      </c>
      <c r="BW14" s="15">
        <f>IFERROR((s_dir!AW14/(d_Bv!V14+s_MLF_pumpkin)),".")</f>
        <v>28802.560893294147</v>
      </c>
      <c r="BX14" s="15">
        <f>IFERROR((s_dir!AX14/(d_Bv!W14+s_MLF_snap_bean)),".")</f>
        <v>28802.560893294147</v>
      </c>
      <c r="BY14" s="15">
        <f>IFERROR((s_dir!AY14/(d_Bv!X14+s_MLF_strawberry)),".")</f>
        <v>28802.560893294147</v>
      </c>
      <c r="BZ14" s="15">
        <f>IFERROR((s_dir!AZ14/(d_Bv!Y14+s_MLF_tomato)),".")</f>
        <v>28802.560893294147</v>
      </c>
      <c r="CA14" s="15">
        <f>IFERROR((s_dir!BA14/(d_Bv!Z14+s_MLF_rice)),".")</f>
        <v>28802.560893294147</v>
      </c>
      <c r="CB14" s="15">
        <f>IFERROR((s_dir!BB14/(d_Bv!AA14+s_MLF_cereal)),".")</f>
        <v>28802.560893294147</v>
      </c>
      <c r="CC14" s="40">
        <f t="shared" si="3"/>
        <v>710.875</v>
      </c>
      <c r="CD14" s="40">
        <f>IFERROR(s_C*(d_Bv!C14+s_MLF_apple)*s_IFAP_far_adj*s_CF_apple,".")</f>
        <v>177.71875</v>
      </c>
      <c r="CE14" s="40">
        <f>IFERROR(s_C*(d_Bv!D14+s_MLF_asparagus)*s_IFAS_far_adj*s_CF_asparagus,".")</f>
        <v>177.71875</v>
      </c>
      <c r="CF14" s="40">
        <f>IFERROR(s_C*(d_Bv!E14+s_MLF_beet)*s_IFBT_far_adj*s_CF_beet,".")</f>
        <v>177.71875</v>
      </c>
      <c r="CG14" s="40">
        <f>IFERROR(s_C*(d_Bv!F14+s_MLF_berries)*s_IFBR_far_adj*s_CF_berries,".")</f>
        <v>177.71875</v>
      </c>
      <c r="CH14" s="40">
        <f>IFERROR(s_C*(d_Bv!G14+s_MLF_broccoli)*s_IFBR_far_adj*s_CF_broccoli,".")</f>
        <v>177.71875</v>
      </c>
      <c r="CI14" s="40">
        <f>IFERROR(s_C*(d_Bv!H14+s_MLF_cabbage)*s_IFCB_far_adj*s_CF_cabbage,".")</f>
        <v>177.71875</v>
      </c>
      <c r="CJ14" s="40">
        <f>IFERROR(s_C*(d_Bv!I14+s_MLF_carrot)*s_IFCR_far_adj*s_CF_carrot,".")</f>
        <v>177.71875</v>
      </c>
      <c r="CK14" s="40">
        <f>IFERROR(s_C*(d_Bv!J14+s_MLF_citrus)*s_IFCI_far_adj*s_CF_citrus,".")</f>
        <v>177.71875</v>
      </c>
      <c r="CL14" s="40">
        <f>IFERROR(s_C*(d_Bv!K14+s_MLF_corn)*s_IFCO_far_adj*s_CF_corn,".")</f>
        <v>177.71875</v>
      </c>
      <c r="CM14" s="40">
        <f>IFERROR(s_C*(d_Bv!L14+s_MLF_cucumber)*s_IFCU_far_adj*s_CF_cucumber,".")</f>
        <v>177.71875</v>
      </c>
      <c r="CN14" s="40">
        <f>IFERROR(s_C*(d_Bv!M14+s_MLF_lettuce)*s_IFLE_far_adj*s_CF_lettuce,".")</f>
        <v>177.71875</v>
      </c>
      <c r="CO14" s="40">
        <f>IFERROR(s_C*(d_Bv!N14+s_MLF_lima_bean)*s_IFLI_far_adj*s_CF_lima_bean,".")</f>
        <v>177.71875</v>
      </c>
      <c r="CP14" s="40">
        <f>IFERROR(s_C*(d_Bv!O14+s_MLF_okra)*s_IFOK_far_adj*s_CF_okra,".")</f>
        <v>177.71875</v>
      </c>
      <c r="CQ14" s="40">
        <f>IFERROR(s_C*(d_Bv!P14+s_MLF_onion)*s_IFON_far_adj*s_CF_onion,".")</f>
        <v>177.71875</v>
      </c>
      <c r="CR14" s="40">
        <f>IFERROR(s_C*(d_Bv!Q14+s_MLF_peach)*s_IFPC_far_adj*s_CF_peach,".")</f>
        <v>177.71875</v>
      </c>
      <c r="CS14" s="40">
        <f>IFERROR(s_C*(d_Bv!R14+s_MLF_pear)*s_IFPR_far_adj*s_CF_pear,".")</f>
        <v>177.71875</v>
      </c>
      <c r="CT14" s="40">
        <f>IFERROR(s_C*(d_Bv!S14+s_MLF_peas)*s_IFPE_far_adj*s_CF_peas,".")</f>
        <v>177.71875</v>
      </c>
      <c r="CU14" s="40">
        <f>IFERROR(s_C*(d_Bv!T14+s_MLF_peppers)*s_IFPP_far_adj*s_CF_peppers,".")</f>
        <v>177.71875</v>
      </c>
      <c r="CV14" s="40">
        <f>IFERROR(s_C*(d_Bv!U14+s_MLF_potato)*s_IFPT_far_adj*s_CF_potato,".")</f>
        <v>177.71875</v>
      </c>
      <c r="CW14" s="40">
        <f>IFERROR(s_C*(d_Bv!V14+s_MLF_pumpkin)*s_IFPU_far_adj*s_CF_pumpkin,".")</f>
        <v>177.71875</v>
      </c>
      <c r="CX14" s="40">
        <f>IFERROR(s_C*(d_Bv!W14+s_MLF_snap_bean)*s_IFSN_far_adj*s_CF_snap_bean,".")</f>
        <v>177.71875</v>
      </c>
      <c r="CY14" s="40">
        <f>IFERROR(s_C*(d_Bv!X14+s_MLF_strawberry)*s_IFST_far_adj*s_CF_strawberry,".")</f>
        <v>177.71875</v>
      </c>
      <c r="CZ14" s="40">
        <f>IFERROR(s_C*(d_Bv!Y14+s_MLF_tomato)*s_IFTO_far_adj*s_CF_tomato,".")</f>
        <v>177.71875</v>
      </c>
      <c r="DA14" s="40">
        <f>IFERROR(s_C*(d_Bv!Z14+s_MLF_rice)*s_IFRI_far_adj*s_CF_rice,".")</f>
        <v>177.71875</v>
      </c>
      <c r="DB14" s="40">
        <f>IFERROR(s_C*(d_Bv!AA14+s_MLF_cereal)*s_IFCG_far_adj*s_CF_cereal,".")</f>
        <v>177.71875</v>
      </c>
    </row>
    <row r="15" spans="1:106" ht="15" customHeight="1" x14ac:dyDescent="0.25">
      <c r="A15" s="44" t="s">
        <v>13</v>
      </c>
      <c r="B15" s="42" t="s">
        <v>1057</v>
      </c>
      <c r="C15" s="15">
        <f t="shared" si="0"/>
        <v>132468.50716039989</v>
      </c>
      <c r="D15" s="15">
        <f>IFERROR((s_dir!D15/(d_Bv!C15+s_MLF_apple)),".")</f>
        <v>508960.91538351099</v>
      </c>
      <c r="E15" s="15">
        <f>IFERROR((s_dir!E15/(d_Bv!D15+s_MLF_asparagus)),".")</f>
        <v>127920.65787713912</v>
      </c>
      <c r="F15" s="15">
        <f>IFERROR((s_dir!F15/(d_Bv!E15+s_MLF_beet)),".")</f>
        <v>419669.52671973716</v>
      </c>
      <c r="G15" s="15">
        <f>IFERROR((s_dir!G15/(d_Bv!F15+s_MLF_berries)),".")</f>
        <v>508960.91538351099</v>
      </c>
      <c r="H15" s="15">
        <f>IFERROR((s_dir!H15/(d_Bv!G15+s_MLF_broccoli)),".")</f>
        <v>419669.52671973716</v>
      </c>
      <c r="I15" s="15">
        <f>IFERROR((s_dir!I15/(d_Bv!H15+s_MLF_cabbage)),".")</f>
        <v>127920.65787713912</v>
      </c>
      <c r="J15" s="15">
        <f>IFERROR((s_dir!J15/(d_Bv!I15+s_MLF_carrot)),".")</f>
        <v>419669.52671973716</v>
      </c>
      <c r="K15" s="15">
        <f>IFERROR((s_dir!K15/(d_Bv!J15+s_MLF_citrus)),".")</f>
        <v>508960.91538351099</v>
      </c>
      <c r="L15" s="15">
        <f>IFERROR((s_dir!L15/(d_Bv!K15+s_MLF_corn)),".")</f>
        <v>813645.00078316382</v>
      </c>
      <c r="M15" s="15">
        <f>IFERROR((s_dir!M15/(d_Bv!L15+s_MLF_cucumber)),".")</f>
        <v>419669.52671973716</v>
      </c>
      <c r="N15" s="15">
        <f>IFERROR((s_dir!N15/(d_Bv!M15+s_MLF_lettuce)),".")</f>
        <v>127920.65787713912</v>
      </c>
      <c r="O15" s="15">
        <f>IFERROR((s_dir!O15/(d_Bv!N15+s_MLF_lima_bean)),".")</f>
        <v>636201.14422938868</v>
      </c>
      <c r="P15" s="15">
        <f>IFERROR((s_dir!P15/(d_Bv!O15+s_MLF_okra)),".")</f>
        <v>419669.52671973716</v>
      </c>
      <c r="Q15" s="15">
        <f>IFERROR((s_dir!Q15/(d_Bv!P15+s_MLF_onion)),".")</f>
        <v>419669.52671973716</v>
      </c>
      <c r="R15" s="15">
        <f>IFERROR((s_dir!R15/(d_Bv!Q15+s_MLF_peach)),".")</f>
        <v>508960.91538351099</v>
      </c>
      <c r="S15" s="15">
        <f>IFERROR((s_dir!S15/(d_Bv!R15+s_MLF_pear)),".")</f>
        <v>508960.91538351099</v>
      </c>
      <c r="T15" s="15">
        <f>IFERROR((s_dir!T15/(d_Bv!S15+s_MLF_peas)),".")</f>
        <v>636201.14422938868</v>
      </c>
      <c r="U15" s="15">
        <f>IFERROR((s_dir!U15/(d_Bv!T15+s_MLF_peppers)),".")</f>
        <v>419669.52671973716</v>
      </c>
      <c r="V15" s="15">
        <f>IFERROR((s_dir!V15/(d_Bv!U15+s_MLF_potato)),".")</f>
        <v>797372.10076750058</v>
      </c>
      <c r="W15" s="15">
        <f>IFERROR((s_dir!W15/(d_Bv!V15+s_MLF_pumpkin)),".")</f>
        <v>419669.52671973716</v>
      </c>
      <c r="X15" s="15">
        <f>IFERROR((s_dir!X15/(d_Bv!W15+s_MLF_snap_bean)),".")</f>
        <v>636201.14422938868</v>
      </c>
      <c r="Y15" s="15">
        <f>IFERROR((s_dir!Y15/(d_Bv!X15+s_MLF_strawberry)),".")</f>
        <v>508960.91538351099</v>
      </c>
      <c r="Z15" s="15">
        <f>IFERROR((s_dir!Z15/(d_Bv!Y15+s_MLF_tomato)),".")</f>
        <v>419669.52671973716</v>
      </c>
      <c r="AA15" s="15">
        <f>IFERROR((s_dir!AA15/(d_Bv!Z15+s_MLF_rice)),".")</f>
        <v>867337.31047951465</v>
      </c>
      <c r="AB15" s="15">
        <f>IFERROR((s_dir!AB15/(d_Bv!AA15+s_MLF_cereal)),".")</f>
        <v>488187.00046989828</v>
      </c>
      <c r="AC15" s="40">
        <f t="shared" si="1"/>
        <v>682.81812500000001</v>
      </c>
      <c r="AD15" s="40">
        <f>s_C*(d_Bv!C15+s_MLF_apple)*s_IFAP_res_adj*s_CF_apple</f>
        <v>177.71875</v>
      </c>
      <c r="AE15" s="40">
        <f>s_C*(d_Bv!D15+s_MLF_asparagus)*s_IFAS_res_adj*s_CF_asparagus</f>
        <v>707.09375</v>
      </c>
      <c r="AF15" s="40">
        <f>s_C*(d_Bv!E15+s_MLF_beet)*s_IFBT_res_adj*s_CF_beet</f>
        <v>215.53124999999997</v>
      </c>
      <c r="AG15" s="40">
        <f>s_C*(d_Bv!F15+s_MLF_berries)*s_IFBE_res_adj*s_CF_berries</f>
        <v>177.71875</v>
      </c>
      <c r="AH15" s="40">
        <f>s_C*(d_Bv!G15+s_MLF_broccoli)*s_IFBR_res_adj*s_CF_broccoli</f>
        <v>215.53124999999997</v>
      </c>
      <c r="AI15" s="40">
        <f>s_C*(d_Bv!H15+s_MLF_cabbage)*s_IFCB_res_adj*s_CF_cabbage</f>
        <v>707.09375</v>
      </c>
      <c r="AJ15" s="40">
        <f>s_C*(d_Bv!I15+s_MLF_carrot)*s_IFCR_res_adj*s_CF_carrot</f>
        <v>215.53124999999997</v>
      </c>
      <c r="AK15" s="40">
        <f>s_C*(d_Bv!J15+s_MLF_citrus)*s_IFCI_res_adj*s_CF_citrus</f>
        <v>177.71875</v>
      </c>
      <c r="AL15" s="40">
        <f>s_C*(d_Bv!K15+s_MLF_corn)*s_IFCO_res_adj*s_CF_corn</f>
        <v>111.16874999999999</v>
      </c>
      <c r="AM15" s="40">
        <f>s_C*(d_Bv!L15+s_MLF_cucumber)*s_IFCU_res_adj*s_CF_cucumber</f>
        <v>215.53124999999997</v>
      </c>
      <c r="AN15" s="40">
        <f>s_C*(d_Bv!M15+s_MLF_lettuce)*s_IFLE_res_adj*s_CF_lettuce</f>
        <v>707.09375</v>
      </c>
      <c r="AO15" s="40">
        <f>s_C*(d_Bv!N15+s_MLF_lima_bean)*s_IFLI_res_adj*s_CF_lima_bean</f>
        <v>142.17500000000001</v>
      </c>
      <c r="AP15" s="40">
        <f>s_C*(d_Bv!O15+s_MLF_okra)*s_IFOK_res_adj*s_CF_okra</f>
        <v>215.53124999999997</v>
      </c>
      <c r="AQ15" s="40">
        <f>s_C*(d_Bv!P15+s_MLF_onion)*s_IFON_res_adj*s_CF_onion</f>
        <v>215.53124999999997</v>
      </c>
      <c r="AR15" s="40">
        <f>s_C*(d_Bv!Q15+s_MLF_peach)*s_IFPC_res_adj*s_CF_peach</f>
        <v>177.71875</v>
      </c>
      <c r="AS15" s="40">
        <f>s_C*(d_Bv!R15+s_MLF_pear)*s_IFPR_res_adj*s_CF_pear</f>
        <v>177.71875</v>
      </c>
      <c r="AT15" s="40">
        <f>s_C*(d_Bv!S15+s_MLF_peas)*s_IFPE_res_adj*s_CF_peas</f>
        <v>142.17500000000001</v>
      </c>
      <c r="AU15" s="40">
        <f>s_C*(d_Bv!T15+s_MLF_peppers)*s_IFPP_res_adj*s_CF_peppers</f>
        <v>215.53124999999997</v>
      </c>
      <c r="AV15" s="40">
        <f>s_C*(d_Bv!U15+s_MLF_potato)*s_IFPT_res_adj*s_CF_potato</f>
        <v>113.4375</v>
      </c>
      <c r="AW15" s="40">
        <f>s_C*(d_Bv!V15+s_MLF_pumpkin)*s_IFPU_res_adj*s_CF_pumpkin</f>
        <v>215.53124999999997</v>
      </c>
      <c r="AX15" s="40">
        <f>s_C*(d_Bv!W15+s_MLF_snap_bean)*s_IFSN_res_adj*s_CF_snap_bean</f>
        <v>142.17500000000001</v>
      </c>
      <c r="AY15" s="40">
        <f>s_C*(d_Bv!X15+s_MLF_strawberry)*s_IFST_res_adj*s_CF_strawberry</f>
        <v>177.71875</v>
      </c>
      <c r="AZ15" s="40">
        <f>s_C*(d_Bv!Y15+s_MLF_tomato)*s_IFTO_res_adj*s_CF_tomato</f>
        <v>215.53124999999997</v>
      </c>
      <c r="BA15" s="40">
        <f>s_C*(d_Bv!Z15+s_MLF_rice)*s_IFRI_res_adj*s_CF_rice</f>
        <v>104.28687499999999</v>
      </c>
      <c r="BB15" s="40">
        <f>s_C*(d_Bv!AA15+s_MLF_cereal)*s_IFCG_res_adj*s_CF_cereal</f>
        <v>185.28125</v>
      </c>
      <c r="BC15" s="15">
        <f t="shared" si="2"/>
        <v>132468.50716039989</v>
      </c>
      <c r="BD15" s="15">
        <f>IFERROR((s_dir!AD15/(d_Bv!C15+s_MLF_apple)),".")</f>
        <v>508960.91538351099</v>
      </c>
      <c r="BE15" s="15">
        <f>IFERROR((s_dir!AE15/(d_Bv!D15+s_MLF_asparagus)),".")</f>
        <v>127920.65787713912</v>
      </c>
      <c r="BF15" s="15">
        <f>IFERROR((s_dir!AF15/(d_Bv!E15+s_MLF_beet)),".")</f>
        <v>419669.52671973716</v>
      </c>
      <c r="BG15" s="15">
        <f>IFERROR((s_dir!AG15/(d_Bv!F15+s_MLF_berries)),".")</f>
        <v>508960.91538351099</v>
      </c>
      <c r="BH15" s="15">
        <f>IFERROR((s_dir!AH15/(d_Bv!G15+s_MLF_broccoli)),".")</f>
        <v>419669.52671973716</v>
      </c>
      <c r="BI15" s="15">
        <f>IFERROR((s_dir!AI15/(d_Bv!H15+s_MLF_cabbage)),".")</f>
        <v>127920.65787713912</v>
      </c>
      <c r="BJ15" s="15">
        <f>IFERROR((s_dir!AJ15/(d_Bv!I15+s_MLF_carrot)),".")</f>
        <v>419669.52671973716</v>
      </c>
      <c r="BK15" s="15">
        <f>IFERROR((s_dir!AK15/(d_Bv!J15+s_MLF_citrus)),".")</f>
        <v>508960.91538351099</v>
      </c>
      <c r="BL15" s="15">
        <f>IFERROR((s_dir!AL15/(d_Bv!K15+s_MLF_corn)),".")</f>
        <v>813645.00078316382</v>
      </c>
      <c r="BM15" s="15">
        <f>IFERROR((s_dir!AM15/(d_Bv!L15+s_MLF_cucumber)),".")</f>
        <v>419669.52671973716</v>
      </c>
      <c r="BN15" s="15">
        <f>IFERROR((s_dir!AN15/(d_Bv!M15+s_MLF_lettuce)),".")</f>
        <v>127920.65787713912</v>
      </c>
      <c r="BO15" s="15">
        <f>IFERROR((s_dir!AO15/(d_Bv!N15+s_MLF_lima_bean)),".")</f>
        <v>636201.14422938868</v>
      </c>
      <c r="BP15" s="15">
        <f>IFERROR((s_dir!AP15/(d_Bv!O15+s_MLF_okra)),".")</f>
        <v>419669.52671973716</v>
      </c>
      <c r="BQ15" s="15">
        <f>IFERROR((s_dir!AQ15/(d_Bv!P15+s_MLF_onion)),".")</f>
        <v>419669.52671973716</v>
      </c>
      <c r="BR15" s="15">
        <f>IFERROR((s_dir!AR15/(d_Bv!Q15+s_MLF_peach)),".")</f>
        <v>508960.91538351099</v>
      </c>
      <c r="BS15" s="15">
        <f>IFERROR((s_dir!AS15/(d_Bv!R15+s_MLF_pear)),".")</f>
        <v>508960.91538351099</v>
      </c>
      <c r="BT15" s="15">
        <f>IFERROR((s_dir!AT15/(d_Bv!S15+s_MLF_peas)),".")</f>
        <v>636201.14422938868</v>
      </c>
      <c r="BU15" s="15">
        <f>IFERROR((s_dir!AU15/(d_Bv!T15+s_MLF_peppers)),".")</f>
        <v>419669.52671973716</v>
      </c>
      <c r="BV15" s="15">
        <f>IFERROR((s_dir!AV15/(d_Bv!U15+s_MLF_potato)),".")</f>
        <v>797372.10076750058</v>
      </c>
      <c r="BW15" s="15">
        <f>IFERROR((s_dir!AW15/(d_Bv!V15+s_MLF_pumpkin)),".")</f>
        <v>419669.52671973716</v>
      </c>
      <c r="BX15" s="15">
        <f>IFERROR((s_dir!AX15/(d_Bv!W15+s_MLF_snap_bean)),".")</f>
        <v>636201.14422938868</v>
      </c>
      <c r="BY15" s="15">
        <f>IFERROR((s_dir!AY15/(d_Bv!X15+s_MLF_strawberry)),".")</f>
        <v>508960.91538351099</v>
      </c>
      <c r="BZ15" s="15">
        <f>IFERROR((s_dir!AZ15/(d_Bv!Y15+s_MLF_tomato)),".")</f>
        <v>419669.52671973716</v>
      </c>
      <c r="CA15" s="15">
        <f>IFERROR((s_dir!BA15/(d_Bv!Z15+s_MLF_rice)),".")</f>
        <v>867337.31047951465</v>
      </c>
      <c r="CB15" s="15">
        <f>IFERROR((s_dir!BB15/(d_Bv!AA15+s_MLF_cereal)),".")</f>
        <v>488187.00046989828</v>
      </c>
      <c r="CC15" s="40">
        <f t="shared" si="3"/>
        <v>682.81812500000001</v>
      </c>
      <c r="CD15" s="40">
        <f>IFERROR(s_C*(d_Bv!C15+s_MLF_apple)*s_IFAP_far_adj*s_CF_apple,".")</f>
        <v>177.71875</v>
      </c>
      <c r="CE15" s="40">
        <f>IFERROR(s_C*(d_Bv!D15+s_MLF_asparagus)*s_IFAS_far_adj*s_CF_asparagus,".")</f>
        <v>707.09375</v>
      </c>
      <c r="CF15" s="40">
        <f>IFERROR(s_C*(d_Bv!E15+s_MLF_beet)*s_IFBT_far_adj*s_CF_beet,".")</f>
        <v>215.53124999999997</v>
      </c>
      <c r="CG15" s="40">
        <f>IFERROR(s_C*(d_Bv!F15+s_MLF_berries)*s_IFBR_far_adj*s_CF_berries,".")</f>
        <v>177.71875</v>
      </c>
      <c r="CH15" s="40">
        <f>IFERROR(s_C*(d_Bv!G15+s_MLF_broccoli)*s_IFBR_far_adj*s_CF_broccoli,".")</f>
        <v>215.53124999999997</v>
      </c>
      <c r="CI15" s="40">
        <f>IFERROR(s_C*(d_Bv!H15+s_MLF_cabbage)*s_IFCB_far_adj*s_CF_cabbage,".")</f>
        <v>707.09375</v>
      </c>
      <c r="CJ15" s="40">
        <f>IFERROR(s_C*(d_Bv!I15+s_MLF_carrot)*s_IFCR_far_adj*s_CF_carrot,".")</f>
        <v>215.53124999999997</v>
      </c>
      <c r="CK15" s="40">
        <f>IFERROR(s_C*(d_Bv!J15+s_MLF_citrus)*s_IFCI_far_adj*s_CF_citrus,".")</f>
        <v>177.71875</v>
      </c>
      <c r="CL15" s="40">
        <f>IFERROR(s_C*(d_Bv!K15+s_MLF_corn)*s_IFCO_far_adj*s_CF_corn,".")</f>
        <v>111.16874999999999</v>
      </c>
      <c r="CM15" s="40">
        <f>IFERROR(s_C*(d_Bv!L15+s_MLF_cucumber)*s_IFCU_far_adj*s_CF_cucumber,".")</f>
        <v>215.53124999999997</v>
      </c>
      <c r="CN15" s="40">
        <f>IFERROR(s_C*(d_Bv!M15+s_MLF_lettuce)*s_IFLE_far_adj*s_CF_lettuce,".")</f>
        <v>707.09375</v>
      </c>
      <c r="CO15" s="40">
        <f>IFERROR(s_C*(d_Bv!N15+s_MLF_lima_bean)*s_IFLI_far_adj*s_CF_lima_bean,".")</f>
        <v>142.17500000000001</v>
      </c>
      <c r="CP15" s="40">
        <f>IFERROR(s_C*(d_Bv!O15+s_MLF_okra)*s_IFOK_far_adj*s_CF_okra,".")</f>
        <v>215.53124999999997</v>
      </c>
      <c r="CQ15" s="40">
        <f>IFERROR(s_C*(d_Bv!P15+s_MLF_onion)*s_IFON_far_adj*s_CF_onion,".")</f>
        <v>215.53124999999997</v>
      </c>
      <c r="CR15" s="40">
        <f>IFERROR(s_C*(d_Bv!Q15+s_MLF_peach)*s_IFPC_far_adj*s_CF_peach,".")</f>
        <v>177.71875</v>
      </c>
      <c r="CS15" s="40">
        <f>IFERROR(s_C*(d_Bv!R15+s_MLF_pear)*s_IFPR_far_adj*s_CF_pear,".")</f>
        <v>177.71875</v>
      </c>
      <c r="CT15" s="40">
        <f>IFERROR(s_C*(d_Bv!S15+s_MLF_peas)*s_IFPE_far_adj*s_CF_peas,".")</f>
        <v>142.17500000000001</v>
      </c>
      <c r="CU15" s="40">
        <f>IFERROR(s_C*(d_Bv!T15+s_MLF_peppers)*s_IFPP_far_adj*s_CF_peppers,".")</f>
        <v>215.53124999999997</v>
      </c>
      <c r="CV15" s="40">
        <f>IFERROR(s_C*(d_Bv!U15+s_MLF_potato)*s_IFPT_far_adj*s_CF_potato,".")</f>
        <v>113.4375</v>
      </c>
      <c r="CW15" s="40">
        <f>IFERROR(s_C*(d_Bv!V15+s_MLF_pumpkin)*s_IFPU_far_adj*s_CF_pumpkin,".")</f>
        <v>215.53124999999997</v>
      </c>
      <c r="CX15" s="40">
        <f>IFERROR(s_C*(d_Bv!W15+s_MLF_snap_bean)*s_IFSN_far_adj*s_CF_snap_bean,".")</f>
        <v>142.17500000000001</v>
      </c>
      <c r="CY15" s="40">
        <f>IFERROR(s_C*(d_Bv!X15+s_MLF_strawberry)*s_IFST_far_adj*s_CF_strawberry,".")</f>
        <v>177.71875</v>
      </c>
      <c r="CZ15" s="40">
        <f>IFERROR(s_C*(d_Bv!Y15+s_MLF_tomato)*s_IFTO_far_adj*s_CF_tomato,".")</f>
        <v>215.53124999999997</v>
      </c>
      <c r="DA15" s="40">
        <f>IFERROR(s_C*(d_Bv!Z15+s_MLF_rice)*s_IFRI_far_adj*s_CF_rice,".")</f>
        <v>104.28687499999999</v>
      </c>
      <c r="DB15" s="40">
        <f>IFERROR(s_C*(d_Bv!AA15+s_MLF_cereal)*s_IFCG_far_adj*s_CF_cereal,".")</f>
        <v>185.28125</v>
      </c>
    </row>
    <row r="16" spans="1:106" ht="15" customHeight="1" x14ac:dyDescent="0.25">
      <c r="A16" s="44" t="s">
        <v>14</v>
      </c>
      <c r="B16" s="42" t="s">
        <v>1057</v>
      </c>
      <c r="C16" s="15">
        <f t="shared" si="0"/>
        <v>9.7013700832175243</v>
      </c>
      <c r="D16" s="15">
        <f>IFERROR((s_dir!D16/(d_Bv!C16+s_MLF_apple)),".")</f>
        <v>37.273902332498309</v>
      </c>
      <c r="E16" s="15">
        <f>IFERROR((s_dir!E16/(d_Bv!D16+s_MLF_asparagus)),".")</f>
        <v>9.3683070033551896</v>
      </c>
      <c r="F16" s="15">
        <f>IFERROR((s_dir!F16/(d_Bv!E16+s_MLF_beet)),".")</f>
        <v>30.734621221533693</v>
      </c>
      <c r="G16" s="15">
        <f>IFERROR((s_dir!G16/(d_Bv!F16+s_MLF_berries)),".")</f>
        <v>37.273902332498309</v>
      </c>
      <c r="H16" s="15">
        <f>IFERROR((s_dir!H16/(d_Bv!G16+s_MLF_broccoli)),".")</f>
        <v>30.734621221533693</v>
      </c>
      <c r="I16" s="15">
        <f>IFERROR((s_dir!I16/(d_Bv!H16+s_MLF_cabbage)),".")</f>
        <v>9.3683070033551896</v>
      </c>
      <c r="J16" s="15">
        <f>IFERROR((s_dir!J16/(d_Bv!I16+s_MLF_carrot)),".")</f>
        <v>30.734621221533693</v>
      </c>
      <c r="K16" s="15">
        <f>IFERROR((s_dir!K16/(d_Bv!J16+s_MLF_citrus)),".")</f>
        <v>37.273902332498309</v>
      </c>
      <c r="L16" s="15">
        <f>IFERROR((s_dir!L16/(d_Bv!K16+s_MLF_corn)),".")</f>
        <v>59.587530939708181</v>
      </c>
      <c r="M16" s="15">
        <f>IFERROR((s_dir!M16/(d_Bv!L16+s_MLF_cucumber)),".")</f>
        <v>30.734621221533693</v>
      </c>
      <c r="N16" s="15">
        <f>IFERROR((s_dir!N16/(d_Bv!M16+s_MLF_lettuce)),".")</f>
        <v>9.3683070033551896</v>
      </c>
      <c r="O16" s="15">
        <f>IFERROR((s_dir!O16/(d_Bv!N16+s_MLF_lima_bean)),".")</f>
        <v>46.592377915622883</v>
      </c>
      <c r="P16" s="15">
        <f>IFERROR((s_dir!P16/(d_Bv!O16+s_MLF_okra)),".")</f>
        <v>30.734621221533693</v>
      </c>
      <c r="Q16" s="15">
        <f>IFERROR((s_dir!Q16/(d_Bv!P16+s_MLF_onion)),".")</f>
        <v>30.734621221533693</v>
      </c>
      <c r="R16" s="15">
        <f>IFERROR((s_dir!R16/(d_Bv!Q16+s_MLF_peach)),".")</f>
        <v>37.273902332498309</v>
      </c>
      <c r="S16" s="15">
        <f>IFERROR((s_dir!S16/(d_Bv!R16+s_MLF_pear)),".")</f>
        <v>37.273902332498309</v>
      </c>
      <c r="T16" s="15">
        <f>IFERROR((s_dir!T16/(d_Bv!S16+s_MLF_peas)),".")</f>
        <v>46.592377915622883</v>
      </c>
      <c r="U16" s="15">
        <f>IFERROR((s_dir!U16/(d_Bv!T16+s_MLF_peppers)),".")</f>
        <v>30.734621221533693</v>
      </c>
      <c r="V16" s="15">
        <f>IFERROR((s_dir!V16/(d_Bv!U16+s_MLF_potato)),".")</f>
        <v>58.395780320914014</v>
      </c>
      <c r="W16" s="15">
        <f>IFERROR((s_dir!W16/(d_Bv!V16+s_MLF_pumpkin)),".")</f>
        <v>30.734621221533693</v>
      </c>
      <c r="X16" s="15">
        <f>IFERROR((s_dir!X16/(d_Bv!W16+s_MLF_snap_bean)),".")</f>
        <v>46.592377915622883</v>
      </c>
      <c r="Y16" s="15">
        <f>IFERROR((s_dir!Y16/(d_Bv!X16+s_MLF_strawberry)),".")</f>
        <v>37.273902332498309</v>
      </c>
      <c r="Z16" s="15">
        <f>IFERROR((s_dir!Z16/(d_Bv!Y16+s_MLF_tomato)),".")</f>
        <v>30.734621221533693</v>
      </c>
      <c r="AA16" s="15">
        <f>IFERROR((s_dir!AA16/(d_Bv!Z16+s_MLF_rice)),".")</f>
        <v>63.519703032176231</v>
      </c>
      <c r="AB16" s="15">
        <f>IFERROR((s_dir!AB16/(d_Bv!AA16+s_MLF_cereal)),".")</f>
        <v>35.752518563824907</v>
      </c>
      <c r="AC16" s="40">
        <f t="shared" si="1"/>
        <v>682.81812500000001</v>
      </c>
      <c r="AD16" s="40">
        <f>s_C*(d_Bv!C16+s_MLF_apple)*s_IFAP_res_adj*s_CF_apple</f>
        <v>177.71875</v>
      </c>
      <c r="AE16" s="40">
        <f>s_C*(d_Bv!D16+s_MLF_asparagus)*s_IFAS_res_adj*s_CF_asparagus</f>
        <v>707.09375</v>
      </c>
      <c r="AF16" s="40">
        <f>s_C*(d_Bv!E16+s_MLF_beet)*s_IFBT_res_adj*s_CF_beet</f>
        <v>215.53124999999997</v>
      </c>
      <c r="AG16" s="40">
        <f>s_C*(d_Bv!F16+s_MLF_berries)*s_IFBE_res_adj*s_CF_berries</f>
        <v>177.71875</v>
      </c>
      <c r="AH16" s="40">
        <f>s_C*(d_Bv!G16+s_MLF_broccoli)*s_IFBR_res_adj*s_CF_broccoli</f>
        <v>215.53124999999997</v>
      </c>
      <c r="AI16" s="40">
        <f>s_C*(d_Bv!H16+s_MLF_cabbage)*s_IFCB_res_adj*s_CF_cabbage</f>
        <v>707.09375</v>
      </c>
      <c r="AJ16" s="40">
        <f>s_C*(d_Bv!I16+s_MLF_carrot)*s_IFCR_res_adj*s_CF_carrot</f>
        <v>215.53124999999997</v>
      </c>
      <c r="AK16" s="40">
        <f>s_C*(d_Bv!J16+s_MLF_citrus)*s_IFCI_res_adj*s_CF_citrus</f>
        <v>177.71875</v>
      </c>
      <c r="AL16" s="40">
        <f>s_C*(d_Bv!K16+s_MLF_corn)*s_IFCO_res_adj*s_CF_corn</f>
        <v>111.16874999999999</v>
      </c>
      <c r="AM16" s="40">
        <f>s_C*(d_Bv!L16+s_MLF_cucumber)*s_IFCU_res_adj*s_CF_cucumber</f>
        <v>215.53124999999997</v>
      </c>
      <c r="AN16" s="40">
        <f>s_C*(d_Bv!M16+s_MLF_lettuce)*s_IFLE_res_adj*s_CF_lettuce</f>
        <v>707.09375</v>
      </c>
      <c r="AO16" s="40">
        <f>s_C*(d_Bv!N16+s_MLF_lima_bean)*s_IFLI_res_adj*s_CF_lima_bean</f>
        <v>142.17500000000001</v>
      </c>
      <c r="AP16" s="40">
        <f>s_C*(d_Bv!O16+s_MLF_okra)*s_IFOK_res_adj*s_CF_okra</f>
        <v>215.53124999999997</v>
      </c>
      <c r="AQ16" s="40">
        <f>s_C*(d_Bv!P16+s_MLF_onion)*s_IFON_res_adj*s_CF_onion</f>
        <v>215.53124999999997</v>
      </c>
      <c r="AR16" s="40">
        <f>s_C*(d_Bv!Q16+s_MLF_peach)*s_IFPC_res_adj*s_CF_peach</f>
        <v>177.71875</v>
      </c>
      <c r="AS16" s="40">
        <f>s_C*(d_Bv!R16+s_MLF_pear)*s_IFPR_res_adj*s_CF_pear</f>
        <v>177.71875</v>
      </c>
      <c r="AT16" s="40">
        <f>s_C*(d_Bv!S16+s_MLF_peas)*s_IFPE_res_adj*s_CF_peas</f>
        <v>142.17500000000001</v>
      </c>
      <c r="AU16" s="40">
        <f>s_C*(d_Bv!T16+s_MLF_peppers)*s_IFPP_res_adj*s_CF_peppers</f>
        <v>215.53124999999997</v>
      </c>
      <c r="AV16" s="40">
        <f>s_C*(d_Bv!U16+s_MLF_potato)*s_IFPT_res_adj*s_CF_potato</f>
        <v>113.4375</v>
      </c>
      <c r="AW16" s="40">
        <f>s_C*(d_Bv!V16+s_MLF_pumpkin)*s_IFPU_res_adj*s_CF_pumpkin</f>
        <v>215.53124999999997</v>
      </c>
      <c r="AX16" s="40">
        <f>s_C*(d_Bv!W16+s_MLF_snap_bean)*s_IFSN_res_adj*s_CF_snap_bean</f>
        <v>142.17500000000001</v>
      </c>
      <c r="AY16" s="40">
        <f>s_C*(d_Bv!X16+s_MLF_strawberry)*s_IFST_res_adj*s_CF_strawberry</f>
        <v>177.71875</v>
      </c>
      <c r="AZ16" s="40">
        <f>s_C*(d_Bv!Y16+s_MLF_tomato)*s_IFTO_res_adj*s_CF_tomato</f>
        <v>215.53124999999997</v>
      </c>
      <c r="BA16" s="40">
        <f>s_C*(d_Bv!Z16+s_MLF_rice)*s_IFRI_res_adj*s_CF_rice</f>
        <v>104.28687499999999</v>
      </c>
      <c r="BB16" s="40">
        <f>s_C*(d_Bv!AA16+s_MLF_cereal)*s_IFCG_res_adj*s_CF_cereal</f>
        <v>185.28125</v>
      </c>
      <c r="BC16" s="15">
        <f t="shared" si="2"/>
        <v>9.7013700832175243</v>
      </c>
      <c r="BD16" s="15">
        <f>IFERROR((s_dir!AD16/(d_Bv!C16+s_MLF_apple)),".")</f>
        <v>37.273902332498309</v>
      </c>
      <c r="BE16" s="15">
        <f>IFERROR((s_dir!AE16/(d_Bv!D16+s_MLF_asparagus)),".")</f>
        <v>9.3683070033551896</v>
      </c>
      <c r="BF16" s="15">
        <f>IFERROR((s_dir!AF16/(d_Bv!E16+s_MLF_beet)),".")</f>
        <v>30.734621221533693</v>
      </c>
      <c r="BG16" s="15">
        <f>IFERROR((s_dir!AG16/(d_Bv!F16+s_MLF_berries)),".")</f>
        <v>37.273902332498309</v>
      </c>
      <c r="BH16" s="15">
        <f>IFERROR((s_dir!AH16/(d_Bv!G16+s_MLF_broccoli)),".")</f>
        <v>30.734621221533693</v>
      </c>
      <c r="BI16" s="15">
        <f>IFERROR((s_dir!AI16/(d_Bv!H16+s_MLF_cabbage)),".")</f>
        <v>9.3683070033551896</v>
      </c>
      <c r="BJ16" s="15">
        <f>IFERROR((s_dir!AJ16/(d_Bv!I16+s_MLF_carrot)),".")</f>
        <v>30.734621221533693</v>
      </c>
      <c r="BK16" s="15">
        <f>IFERROR((s_dir!AK16/(d_Bv!J16+s_MLF_citrus)),".")</f>
        <v>37.273902332498309</v>
      </c>
      <c r="BL16" s="15">
        <f>IFERROR((s_dir!AL16/(d_Bv!K16+s_MLF_corn)),".")</f>
        <v>59.587530939708181</v>
      </c>
      <c r="BM16" s="15">
        <f>IFERROR((s_dir!AM16/(d_Bv!L16+s_MLF_cucumber)),".")</f>
        <v>30.734621221533693</v>
      </c>
      <c r="BN16" s="15">
        <f>IFERROR((s_dir!AN16/(d_Bv!M16+s_MLF_lettuce)),".")</f>
        <v>9.3683070033551896</v>
      </c>
      <c r="BO16" s="15">
        <f>IFERROR((s_dir!AO16/(d_Bv!N16+s_MLF_lima_bean)),".")</f>
        <v>46.592377915622883</v>
      </c>
      <c r="BP16" s="15">
        <f>IFERROR((s_dir!AP16/(d_Bv!O16+s_MLF_okra)),".")</f>
        <v>30.734621221533693</v>
      </c>
      <c r="BQ16" s="15">
        <f>IFERROR((s_dir!AQ16/(d_Bv!P16+s_MLF_onion)),".")</f>
        <v>30.734621221533693</v>
      </c>
      <c r="BR16" s="15">
        <f>IFERROR((s_dir!AR16/(d_Bv!Q16+s_MLF_peach)),".")</f>
        <v>37.273902332498309</v>
      </c>
      <c r="BS16" s="15">
        <f>IFERROR((s_dir!AS16/(d_Bv!R16+s_MLF_pear)),".")</f>
        <v>37.273902332498309</v>
      </c>
      <c r="BT16" s="15">
        <f>IFERROR((s_dir!AT16/(d_Bv!S16+s_MLF_peas)),".")</f>
        <v>46.592377915622883</v>
      </c>
      <c r="BU16" s="15">
        <f>IFERROR((s_dir!AU16/(d_Bv!T16+s_MLF_peppers)),".")</f>
        <v>30.734621221533693</v>
      </c>
      <c r="BV16" s="15">
        <f>IFERROR((s_dir!AV16/(d_Bv!U16+s_MLF_potato)),".")</f>
        <v>58.395780320914014</v>
      </c>
      <c r="BW16" s="15">
        <f>IFERROR((s_dir!AW16/(d_Bv!V16+s_MLF_pumpkin)),".")</f>
        <v>30.734621221533693</v>
      </c>
      <c r="BX16" s="15">
        <f>IFERROR((s_dir!AX16/(d_Bv!W16+s_MLF_snap_bean)),".")</f>
        <v>46.592377915622883</v>
      </c>
      <c r="BY16" s="15">
        <f>IFERROR((s_dir!AY16/(d_Bv!X16+s_MLF_strawberry)),".")</f>
        <v>37.273902332498309</v>
      </c>
      <c r="BZ16" s="15">
        <f>IFERROR((s_dir!AZ16/(d_Bv!Y16+s_MLF_tomato)),".")</f>
        <v>30.734621221533693</v>
      </c>
      <c r="CA16" s="15">
        <f>IFERROR((s_dir!BA16/(d_Bv!Z16+s_MLF_rice)),".")</f>
        <v>63.519703032176231</v>
      </c>
      <c r="CB16" s="15">
        <f>IFERROR((s_dir!BB16/(d_Bv!AA16+s_MLF_cereal)),".")</f>
        <v>35.752518563824907</v>
      </c>
      <c r="CC16" s="40">
        <f t="shared" si="3"/>
        <v>682.81812500000001</v>
      </c>
      <c r="CD16" s="40">
        <f>IFERROR(s_C*(d_Bv!C16+s_MLF_apple)*s_IFAP_far_adj*s_CF_apple,".")</f>
        <v>177.71875</v>
      </c>
      <c r="CE16" s="40">
        <f>IFERROR(s_C*(d_Bv!D16+s_MLF_asparagus)*s_IFAS_far_adj*s_CF_asparagus,".")</f>
        <v>707.09375</v>
      </c>
      <c r="CF16" s="40">
        <f>IFERROR(s_C*(d_Bv!E16+s_MLF_beet)*s_IFBT_far_adj*s_CF_beet,".")</f>
        <v>215.53124999999997</v>
      </c>
      <c r="CG16" s="40">
        <f>IFERROR(s_C*(d_Bv!F16+s_MLF_berries)*s_IFBR_far_adj*s_CF_berries,".")</f>
        <v>177.71875</v>
      </c>
      <c r="CH16" s="40">
        <f>IFERROR(s_C*(d_Bv!G16+s_MLF_broccoli)*s_IFBR_far_adj*s_CF_broccoli,".")</f>
        <v>215.53124999999997</v>
      </c>
      <c r="CI16" s="40">
        <f>IFERROR(s_C*(d_Bv!H16+s_MLF_cabbage)*s_IFCB_far_adj*s_CF_cabbage,".")</f>
        <v>707.09375</v>
      </c>
      <c r="CJ16" s="40">
        <f>IFERROR(s_C*(d_Bv!I16+s_MLF_carrot)*s_IFCR_far_adj*s_CF_carrot,".")</f>
        <v>215.53124999999997</v>
      </c>
      <c r="CK16" s="40">
        <f>IFERROR(s_C*(d_Bv!J16+s_MLF_citrus)*s_IFCI_far_adj*s_CF_citrus,".")</f>
        <v>177.71875</v>
      </c>
      <c r="CL16" s="40">
        <f>IFERROR(s_C*(d_Bv!K16+s_MLF_corn)*s_IFCO_far_adj*s_CF_corn,".")</f>
        <v>111.16874999999999</v>
      </c>
      <c r="CM16" s="40">
        <f>IFERROR(s_C*(d_Bv!L16+s_MLF_cucumber)*s_IFCU_far_adj*s_CF_cucumber,".")</f>
        <v>215.53124999999997</v>
      </c>
      <c r="CN16" s="40">
        <f>IFERROR(s_C*(d_Bv!M16+s_MLF_lettuce)*s_IFLE_far_adj*s_CF_lettuce,".")</f>
        <v>707.09375</v>
      </c>
      <c r="CO16" s="40">
        <f>IFERROR(s_C*(d_Bv!N16+s_MLF_lima_bean)*s_IFLI_far_adj*s_CF_lima_bean,".")</f>
        <v>142.17500000000001</v>
      </c>
      <c r="CP16" s="40">
        <f>IFERROR(s_C*(d_Bv!O16+s_MLF_okra)*s_IFOK_far_adj*s_CF_okra,".")</f>
        <v>215.53124999999997</v>
      </c>
      <c r="CQ16" s="40">
        <f>IFERROR(s_C*(d_Bv!P16+s_MLF_onion)*s_IFON_far_adj*s_CF_onion,".")</f>
        <v>215.53124999999997</v>
      </c>
      <c r="CR16" s="40">
        <f>IFERROR(s_C*(d_Bv!Q16+s_MLF_peach)*s_IFPC_far_adj*s_CF_peach,".")</f>
        <v>177.71875</v>
      </c>
      <c r="CS16" s="40">
        <f>IFERROR(s_C*(d_Bv!R16+s_MLF_pear)*s_IFPR_far_adj*s_CF_pear,".")</f>
        <v>177.71875</v>
      </c>
      <c r="CT16" s="40">
        <f>IFERROR(s_C*(d_Bv!S16+s_MLF_peas)*s_IFPE_far_adj*s_CF_peas,".")</f>
        <v>142.17500000000001</v>
      </c>
      <c r="CU16" s="40">
        <f>IFERROR(s_C*(d_Bv!T16+s_MLF_peppers)*s_IFPP_far_adj*s_CF_peppers,".")</f>
        <v>215.53124999999997</v>
      </c>
      <c r="CV16" s="40">
        <f>IFERROR(s_C*(d_Bv!U16+s_MLF_potato)*s_IFPT_far_adj*s_CF_potato,".")</f>
        <v>113.4375</v>
      </c>
      <c r="CW16" s="40">
        <f>IFERROR(s_C*(d_Bv!V16+s_MLF_pumpkin)*s_IFPU_far_adj*s_CF_pumpkin,".")</f>
        <v>215.53124999999997</v>
      </c>
      <c r="CX16" s="40">
        <f>IFERROR(s_C*(d_Bv!W16+s_MLF_snap_bean)*s_IFSN_far_adj*s_CF_snap_bean,".")</f>
        <v>142.17500000000001</v>
      </c>
      <c r="CY16" s="40">
        <f>IFERROR(s_C*(d_Bv!X16+s_MLF_strawberry)*s_IFST_far_adj*s_CF_strawberry,".")</f>
        <v>177.71875</v>
      </c>
      <c r="CZ16" s="40">
        <f>IFERROR(s_C*(d_Bv!Y16+s_MLF_tomato)*s_IFTO_far_adj*s_CF_tomato,".")</f>
        <v>215.53124999999997</v>
      </c>
      <c r="DA16" s="40">
        <f>IFERROR(s_C*(d_Bv!Z16+s_MLF_rice)*s_IFRI_far_adj*s_CF_rice,".")</f>
        <v>104.28687499999999</v>
      </c>
      <c r="DB16" s="40">
        <f>IFERROR(s_C*(d_Bv!AA16+s_MLF_cereal)*s_IFCG_far_adj*s_CF_cereal,".")</f>
        <v>185.28125</v>
      </c>
    </row>
    <row r="17" spans="1:106" ht="15" customHeight="1" x14ac:dyDescent="0.25">
      <c r="A17" s="44" t="s">
        <v>15</v>
      </c>
      <c r="B17" s="42" t="s">
        <v>1057</v>
      </c>
      <c r="C17" s="15">
        <f t="shared" si="0"/>
        <v>49725.615501918954</v>
      </c>
      <c r="D17" s="15">
        <f>IFERROR((s_dir!D17/(d_Bv!C17+s_MLF_apple)),".")</f>
        <v>191052.16270928778</v>
      </c>
      <c r="E17" s="15">
        <f>IFERROR((s_dir!E17/(d_Bv!D17+s_MLF_asparagus)),".")</f>
        <v>48018.458007147194</v>
      </c>
      <c r="F17" s="15">
        <f>IFERROR((s_dir!F17/(d_Bv!E17+s_MLF_beet)),".")</f>
        <v>157534.2394269566</v>
      </c>
      <c r="G17" s="15">
        <f>IFERROR((s_dir!G17/(d_Bv!F17+s_MLF_berries)),".")</f>
        <v>191052.16270928778</v>
      </c>
      <c r="H17" s="15">
        <f>IFERROR((s_dir!H17/(d_Bv!G17+s_MLF_broccoli)),".")</f>
        <v>157534.2394269566</v>
      </c>
      <c r="I17" s="15">
        <f>IFERROR((s_dir!I17/(d_Bv!H17+s_MLF_cabbage)),".")</f>
        <v>48018.458007147194</v>
      </c>
      <c r="J17" s="15">
        <f>IFERROR((s_dir!J17/(d_Bv!I17+s_MLF_carrot)),".")</f>
        <v>157534.2394269566</v>
      </c>
      <c r="K17" s="15">
        <f>IFERROR((s_dir!K17/(d_Bv!J17+s_MLF_citrus)),".")</f>
        <v>191052.16270928778</v>
      </c>
      <c r="L17" s="15">
        <f>IFERROR((s_dir!L17/(d_Bv!K17+s_MLF_corn)),".")</f>
        <v>305423.52541960974</v>
      </c>
      <c r="M17" s="15">
        <f>IFERROR((s_dir!M17/(d_Bv!L17+s_MLF_cucumber)),".")</f>
        <v>157534.2394269566</v>
      </c>
      <c r="N17" s="15">
        <f>IFERROR((s_dir!N17/(d_Bv!M17+s_MLF_lettuce)),".")</f>
        <v>48018.458007147194</v>
      </c>
      <c r="O17" s="15">
        <f>IFERROR((s_dir!O17/(d_Bv!N17+s_MLF_lima_bean)),".")</f>
        <v>238815.2033866097</v>
      </c>
      <c r="P17" s="15">
        <f>IFERROR((s_dir!P17/(d_Bv!O17+s_MLF_okra)),".")</f>
        <v>157534.2394269566</v>
      </c>
      <c r="Q17" s="15">
        <f>IFERROR((s_dir!Q17/(d_Bv!P17+s_MLF_onion)),".")</f>
        <v>157534.2394269566</v>
      </c>
      <c r="R17" s="15">
        <f>IFERROR((s_dir!R17/(d_Bv!Q17+s_MLF_peach)),".")</f>
        <v>191052.16270928778</v>
      </c>
      <c r="S17" s="15">
        <f>IFERROR((s_dir!S17/(d_Bv!R17+s_MLF_pear)),".")</f>
        <v>191052.16270928778</v>
      </c>
      <c r="T17" s="15">
        <f>IFERROR((s_dir!T17/(d_Bv!S17+s_MLF_peas)),".")</f>
        <v>238815.2033866097</v>
      </c>
      <c r="U17" s="15">
        <f>IFERROR((s_dir!U17/(d_Bv!T17+s_MLF_peppers)),".")</f>
        <v>157534.2394269566</v>
      </c>
      <c r="V17" s="15">
        <f>IFERROR((s_dir!V17/(d_Bv!U17+s_MLF_potato)),".")</f>
        <v>299315.05491121754</v>
      </c>
      <c r="W17" s="15">
        <f>IFERROR((s_dir!W17/(d_Bv!V17+s_MLF_pumpkin)),".")</f>
        <v>157534.2394269566</v>
      </c>
      <c r="X17" s="15">
        <f>IFERROR((s_dir!X17/(d_Bv!W17+s_MLF_snap_bean)),".")</f>
        <v>238815.2033866097</v>
      </c>
      <c r="Y17" s="15">
        <f>IFERROR((s_dir!Y17/(d_Bv!X17+s_MLF_strawberry)),".")</f>
        <v>191052.16270928778</v>
      </c>
      <c r="Z17" s="15">
        <f>IFERROR((s_dir!Z17/(d_Bv!Y17+s_MLF_tomato)),".")</f>
        <v>157534.2394269566</v>
      </c>
      <c r="AA17" s="15">
        <f>IFERROR((s_dir!AA17/(d_Bv!Z17+s_MLF_rice)),".")</f>
        <v>325578.377350853</v>
      </c>
      <c r="AB17" s="15">
        <f>IFERROR((s_dir!AB17/(d_Bv!AA17+s_MLF_cereal)),".")</f>
        <v>183254.11525176582</v>
      </c>
      <c r="AC17" s="40">
        <f t="shared" si="1"/>
        <v>682.81812500000001</v>
      </c>
      <c r="AD17" s="40">
        <f>s_C*(d_Bv!C17+s_MLF_apple)*s_IFAP_res_adj*s_CF_apple</f>
        <v>177.71875</v>
      </c>
      <c r="AE17" s="40">
        <f>s_C*(d_Bv!D17+s_MLF_asparagus)*s_IFAS_res_adj*s_CF_asparagus</f>
        <v>707.09375</v>
      </c>
      <c r="AF17" s="40">
        <f>s_C*(d_Bv!E17+s_MLF_beet)*s_IFBT_res_adj*s_CF_beet</f>
        <v>215.53124999999997</v>
      </c>
      <c r="AG17" s="40">
        <f>s_C*(d_Bv!F17+s_MLF_berries)*s_IFBE_res_adj*s_CF_berries</f>
        <v>177.71875</v>
      </c>
      <c r="AH17" s="40">
        <f>s_C*(d_Bv!G17+s_MLF_broccoli)*s_IFBR_res_adj*s_CF_broccoli</f>
        <v>215.53124999999997</v>
      </c>
      <c r="AI17" s="40">
        <f>s_C*(d_Bv!H17+s_MLF_cabbage)*s_IFCB_res_adj*s_CF_cabbage</f>
        <v>707.09375</v>
      </c>
      <c r="AJ17" s="40">
        <f>s_C*(d_Bv!I17+s_MLF_carrot)*s_IFCR_res_adj*s_CF_carrot</f>
        <v>215.53124999999997</v>
      </c>
      <c r="AK17" s="40">
        <f>s_C*(d_Bv!J17+s_MLF_citrus)*s_IFCI_res_adj*s_CF_citrus</f>
        <v>177.71875</v>
      </c>
      <c r="AL17" s="40">
        <f>s_C*(d_Bv!K17+s_MLF_corn)*s_IFCO_res_adj*s_CF_corn</f>
        <v>111.16874999999999</v>
      </c>
      <c r="AM17" s="40">
        <f>s_C*(d_Bv!L17+s_MLF_cucumber)*s_IFCU_res_adj*s_CF_cucumber</f>
        <v>215.53124999999997</v>
      </c>
      <c r="AN17" s="40">
        <f>s_C*(d_Bv!M17+s_MLF_lettuce)*s_IFLE_res_adj*s_CF_lettuce</f>
        <v>707.09375</v>
      </c>
      <c r="AO17" s="40">
        <f>s_C*(d_Bv!N17+s_MLF_lima_bean)*s_IFLI_res_adj*s_CF_lima_bean</f>
        <v>142.17500000000001</v>
      </c>
      <c r="AP17" s="40">
        <f>s_C*(d_Bv!O17+s_MLF_okra)*s_IFOK_res_adj*s_CF_okra</f>
        <v>215.53124999999997</v>
      </c>
      <c r="AQ17" s="40">
        <f>s_C*(d_Bv!P17+s_MLF_onion)*s_IFON_res_adj*s_CF_onion</f>
        <v>215.53124999999997</v>
      </c>
      <c r="AR17" s="40">
        <f>s_C*(d_Bv!Q17+s_MLF_peach)*s_IFPC_res_adj*s_CF_peach</f>
        <v>177.71875</v>
      </c>
      <c r="AS17" s="40">
        <f>s_C*(d_Bv!R17+s_MLF_pear)*s_IFPR_res_adj*s_CF_pear</f>
        <v>177.71875</v>
      </c>
      <c r="AT17" s="40">
        <f>s_C*(d_Bv!S17+s_MLF_peas)*s_IFPE_res_adj*s_CF_peas</f>
        <v>142.17500000000001</v>
      </c>
      <c r="AU17" s="40">
        <f>s_C*(d_Bv!T17+s_MLF_peppers)*s_IFPP_res_adj*s_CF_peppers</f>
        <v>215.53124999999997</v>
      </c>
      <c r="AV17" s="40">
        <f>s_C*(d_Bv!U17+s_MLF_potato)*s_IFPT_res_adj*s_CF_potato</f>
        <v>113.4375</v>
      </c>
      <c r="AW17" s="40">
        <f>s_C*(d_Bv!V17+s_MLF_pumpkin)*s_IFPU_res_adj*s_CF_pumpkin</f>
        <v>215.53124999999997</v>
      </c>
      <c r="AX17" s="40">
        <f>s_C*(d_Bv!W17+s_MLF_snap_bean)*s_IFSN_res_adj*s_CF_snap_bean</f>
        <v>142.17500000000001</v>
      </c>
      <c r="AY17" s="40">
        <f>s_C*(d_Bv!X17+s_MLF_strawberry)*s_IFST_res_adj*s_CF_strawberry</f>
        <v>177.71875</v>
      </c>
      <c r="AZ17" s="40">
        <f>s_C*(d_Bv!Y17+s_MLF_tomato)*s_IFTO_res_adj*s_CF_tomato</f>
        <v>215.53124999999997</v>
      </c>
      <c r="BA17" s="40">
        <f>s_C*(d_Bv!Z17+s_MLF_rice)*s_IFRI_res_adj*s_CF_rice</f>
        <v>104.28687499999999</v>
      </c>
      <c r="BB17" s="40">
        <f>s_C*(d_Bv!AA17+s_MLF_cereal)*s_IFCG_res_adj*s_CF_cereal</f>
        <v>185.28125</v>
      </c>
      <c r="BC17" s="15">
        <f t="shared" si="2"/>
        <v>49725.615501918954</v>
      </c>
      <c r="BD17" s="15">
        <f>IFERROR((s_dir!AD17/(d_Bv!C17+s_MLF_apple)),".")</f>
        <v>191052.16270928778</v>
      </c>
      <c r="BE17" s="15">
        <f>IFERROR((s_dir!AE17/(d_Bv!D17+s_MLF_asparagus)),".")</f>
        <v>48018.458007147194</v>
      </c>
      <c r="BF17" s="15">
        <f>IFERROR((s_dir!AF17/(d_Bv!E17+s_MLF_beet)),".")</f>
        <v>157534.2394269566</v>
      </c>
      <c r="BG17" s="15">
        <f>IFERROR((s_dir!AG17/(d_Bv!F17+s_MLF_berries)),".")</f>
        <v>191052.16270928778</v>
      </c>
      <c r="BH17" s="15">
        <f>IFERROR((s_dir!AH17/(d_Bv!G17+s_MLF_broccoli)),".")</f>
        <v>157534.2394269566</v>
      </c>
      <c r="BI17" s="15">
        <f>IFERROR((s_dir!AI17/(d_Bv!H17+s_MLF_cabbage)),".")</f>
        <v>48018.458007147194</v>
      </c>
      <c r="BJ17" s="15">
        <f>IFERROR((s_dir!AJ17/(d_Bv!I17+s_MLF_carrot)),".")</f>
        <v>157534.2394269566</v>
      </c>
      <c r="BK17" s="15">
        <f>IFERROR((s_dir!AK17/(d_Bv!J17+s_MLF_citrus)),".")</f>
        <v>191052.16270928778</v>
      </c>
      <c r="BL17" s="15">
        <f>IFERROR((s_dir!AL17/(d_Bv!K17+s_MLF_corn)),".")</f>
        <v>305423.52541960974</v>
      </c>
      <c r="BM17" s="15">
        <f>IFERROR((s_dir!AM17/(d_Bv!L17+s_MLF_cucumber)),".")</f>
        <v>157534.2394269566</v>
      </c>
      <c r="BN17" s="15">
        <f>IFERROR((s_dir!AN17/(d_Bv!M17+s_MLF_lettuce)),".")</f>
        <v>48018.458007147194</v>
      </c>
      <c r="BO17" s="15">
        <f>IFERROR((s_dir!AO17/(d_Bv!N17+s_MLF_lima_bean)),".")</f>
        <v>238815.2033866097</v>
      </c>
      <c r="BP17" s="15">
        <f>IFERROR((s_dir!AP17/(d_Bv!O17+s_MLF_okra)),".")</f>
        <v>157534.2394269566</v>
      </c>
      <c r="BQ17" s="15">
        <f>IFERROR((s_dir!AQ17/(d_Bv!P17+s_MLF_onion)),".")</f>
        <v>157534.2394269566</v>
      </c>
      <c r="BR17" s="15">
        <f>IFERROR((s_dir!AR17/(d_Bv!Q17+s_MLF_peach)),".")</f>
        <v>191052.16270928778</v>
      </c>
      <c r="BS17" s="15">
        <f>IFERROR((s_dir!AS17/(d_Bv!R17+s_MLF_pear)),".")</f>
        <v>191052.16270928778</v>
      </c>
      <c r="BT17" s="15">
        <f>IFERROR((s_dir!AT17/(d_Bv!S17+s_MLF_peas)),".")</f>
        <v>238815.2033866097</v>
      </c>
      <c r="BU17" s="15">
        <f>IFERROR((s_dir!AU17/(d_Bv!T17+s_MLF_peppers)),".")</f>
        <v>157534.2394269566</v>
      </c>
      <c r="BV17" s="15">
        <f>IFERROR((s_dir!AV17/(d_Bv!U17+s_MLF_potato)),".")</f>
        <v>299315.05491121754</v>
      </c>
      <c r="BW17" s="15">
        <f>IFERROR((s_dir!AW17/(d_Bv!V17+s_MLF_pumpkin)),".")</f>
        <v>157534.2394269566</v>
      </c>
      <c r="BX17" s="15">
        <f>IFERROR((s_dir!AX17/(d_Bv!W17+s_MLF_snap_bean)),".")</f>
        <v>238815.2033866097</v>
      </c>
      <c r="BY17" s="15">
        <f>IFERROR((s_dir!AY17/(d_Bv!X17+s_MLF_strawberry)),".")</f>
        <v>191052.16270928778</v>
      </c>
      <c r="BZ17" s="15">
        <f>IFERROR((s_dir!AZ17/(d_Bv!Y17+s_MLF_tomato)),".")</f>
        <v>157534.2394269566</v>
      </c>
      <c r="CA17" s="15">
        <f>IFERROR((s_dir!BA17/(d_Bv!Z17+s_MLF_rice)),".")</f>
        <v>325578.377350853</v>
      </c>
      <c r="CB17" s="15">
        <f>IFERROR((s_dir!BB17/(d_Bv!AA17+s_MLF_cereal)),".")</f>
        <v>183254.11525176582</v>
      </c>
      <c r="CC17" s="40">
        <f t="shared" si="3"/>
        <v>682.81812500000001</v>
      </c>
      <c r="CD17" s="40">
        <f>IFERROR(s_C*(d_Bv!C17+s_MLF_apple)*s_IFAP_far_adj*s_CF_apple,".")</f>
        <v>177.71875</v>
      </c>
      <c r="CE17" s="40">
        <f>IFERROR(s_C*(d_Bv!D17+s_MLF_asparagus)*s_IFAS_far_adj*s_CF_asparagus,".")</f>
        <v>707.09375</v>
      </c>
      <c r="CF17" s="40">
        <f>IFERROR(s_C*(d_Bv!E17+s_MLF_beet)*s_IFBT_far_adj*s_CF_beet,".")</f>
        <v>215.53124999999997</v>
      </c>
      <c r="CG17" s="40">
        <f>IFERROR(s_C*(d_Bv!F17+s_MLF_berries)*s_IFBR_far_adj*s_CF_berries,".")</f>
        <v>177.71875</v>
      </c>
      <c r="CH17" s="40">
        <f>IFERROR(s_C*(d_Bv!G17+s_MLF_broccoli)*s_IFBR_far_adj*s_CF_broccoli,".")</f>
        <v>215.53124999999997</v>
      </c>
      <c r="CI17" s="40">
        <f>IFERROR(s_C*(d_Bv!H17+s_MLF_cabbage)*s_IFCB_far_adj*s_CF_cabbage,".")</f>
        <v>707.09375</v>
      </c>
      <c r="CJ17" s="40">
        <f>IFERROR(s_C*(d_Bv!I17+s_MLF_carrot)*s_IFCR_far_adj*s_CF_carrot,".")</f>
        <v>215.53124999999997</v>
      </c>
      <c r="CK17" s="40">
        <f>IFERROR(s_C*(d_Bv!J17+s_MLF_citrus)*s_IFCI_far_adj*s_CF_citrus,".")</f>
        <v>177.71875</v>
      </c>
      <c r="CL17" s="40">
        <f>IFERROR(s_C*(d_Bv!K17+s_MLF_corn)*s_IFCO_far_adj*s_CF_corn,".")</f>
        <v>111.16874999999999</v>
      </c>
      <c r="CM17" s="40">
        <f>IFERROR(s_C*(d_Bv!L17+s_MLF_cucumber)*s_IFCU_far_adj*s_CF_cucumber,".")</f>
        <v>215.53124999999997</v>
      </c>
      <c r="CN17" s="40">
        <f>IFERROR(s_C*(d_Bv!M17+s_MLF_lettuce)*s_IFLE_far_adj*s_CF_lettuce,".")</f>
        <v>707.09375</v>
      </c>
      <c r="CO17" s="40">
        <f>IFERROR(s_C*(d_Bv!N17+s_MLF_lima_bean)*s_IFLI_far_adj*s_CF_lima_bean,".")</f>
        <v>142.17500000000001</v>
      </c>
      <c r="CP17" s="40">
        <f>IFERROR(s_C*(d_Bv!O17+s_MLF_okra)*s_IFOK_far_adj*s_CF_okra,".")</f>
        <v>215.53124999999997</v>
      </c>
      <c r="CQ17" s="40">
        <f>IFERROR(s_C*(d_Bv!P17+s_MLF_onion)*s_IFON_far_adj*s_CF_onion,".")</f>
        <v>215.53124999999997</v>
      </c>
      <c r="CR17" s="40">
        <f>IFERROR(s_C*(d_Bv!Q17+s_MLF_peach)*s_IFPC_far_adj*s_CF_peach,".")</f>
        <v>177.71875</v>
      </c>
      <c r="CS17" s="40">
        <f>IFERROR(s_C*(d_Bv!R17+s_MLF_pear)*s_IFPR_far_adj*s_CF_pear,".")</f>
        <v>177.71875</v>
      </c>
      <c r="CT17" s="40">
        <f>IFERROR(s_C*(d_Bv!S17+s_MLF_peas)*s_IFPE_far_adj*s_CF_peas,".")</f>
        <v>142.17500000000001</v>
      </c>
      <c r="CU17" s="40">
        <f>IFERROR(s_C*(d_Bv!T17+s_MLF_peppers)*s_IFPP_far_adj*s_CF_peppers,".")</f>
        <v>215.53124999999997</v>
      </c>
      <c r="CV17" s="40">
        <f>IFERROR(s_C*(d_Bv!U17+s_MLF_potato)*s_IFPT_far_adj*s_CF_potato,".")</f>
        <v>113.4375</v>
      </c>
      <c r="CW17" s="40">
        <f>IFERROR(s_C*(d_Bv!V17+s_MLF_pumpkin)*s_IFPU_far_adj*s_CF_pumpkin,".")</f>
        <v>215.53124999999997</v>
      </c>
      <c r="CX17" s="40">
        <f>IFERROR(s_C*(d_Bv!W17+s_MLF_snap_bean)*s_IFSN_far_adj*s_CF_snap_bean,".")</f>
        <v>142.17500000000001</v>
      </c>
      <c r="CY17" s="40">
        <f>IFERROR(s_C*(d_Bv!X17+s_MLF_strawberry)*s_IFST_far_adj*s_CF_strawberry,".")</f>
        <v>177.71875</v>
      </c>
      <c r="CZ17" s="40">
        <f>IFERROR(s_C*(d_Bv!Y17+s_MLF_tomato)*s_IFTO_far_adj*s_CF_tomato,".")</f>
        <v>215.53124999999997</v>
      </c>
      <c r="DA17" s="40">
        <f>IFERROR(s_C*(d_Bv!Z17+s_MLF_rice)*s_IFRI_far_adj*s_CF_rice,".")</f>
        <v>104.28687499999999</v>
      </c>
      <c r="DB17" s="40">
        <f>IFERROR(s_C*(d_Bv!AA17+s_MLF_cereal)*s_IFCG_far_adj*s_CF_cereal,".")</f>
        <v>185.28125</v>
      </c>
    </row>
    <row r="18" spans="1:106" ht="15" customHeight="1" x14ac:dyDescent="0.25">
      <c r="A18" s="44" t="s">
        <v>16</v>
      </c>
      <c r="B18" s="42" t="s">
        <v>1057</v>
      </c>
      <c r="C18" s="15">
        <f t="shared" si="0"/>
        <v>7.5479888393172621</v>
      </c>
      <c r="D18" s="15">
        <f>IFERROR((s_dir!D18/(d_Bv!C18+s_MLF_apple)),".")</f>
        <v>37.266128838789754</v>
      </c>
      <c r="E18" s="15">
        <f>IFERROR((s_dir!E18/(d_Bv!D18+s_MLF_asparagus)),".")</f>
        <v>24.428036607244959</v>
      </c>
      <c r="F18" s="15">
        <f>IFERROR((s_dir!F18/(d_Bv!E18+s_MLF_beet)),".")</f>
        <v>26.453158813026931</v>
      </c>
      <c r="G18" s="15">
        <f>IFERROR((s_dir!G18/(d_Bv!F18+s_MLF_berries)),".")</f>
        <v>37.266128838789754</v>
      </c>
      <c r="H18" s="15">
        <f>IFERROR((s_dir!H18/(d_Bv!G18+s_MLF_broccoli)),".")</f>
        <v>37.266128838789754</v>
      </c>
      <c r="I18" s="15">
        <f>IFERROR((s_dir!I18/(d_Bv!H18+s_MLF_cabbage)),".")</f>
        <v>24.428036607244959</v>
      </c>
      <c r="J18" s="15">
        <f>IFERROR((s_dir!J18/(d_Bv!I18+s_MLF_carrot)),".")</f>
        <v>26.453158813026931</v>
      </c>
      <c r="K18" s="15">
        <f>IFERROR((s_dir!K18/(d_Bv!J18+s_MLF_citrus)),".")</f>
        <v>37.266128838789754</v>
      </c>
      <c r="L18" s="15">
        <f>IFERROR((s_dir!L18/(d_Bv!K18+s_MLF_corn)),".")</f>
        <v>37.157639380743788</v>
      </c>
      <c r="M18" s="15">
        <f>IFERROR((s_dir!M18/(d_Bv!L18+s_MLF_cucumber)),".")</f>
        <v>37.266128838789754</v>
      </c>
      <c r="N18" s="15">
        <f>IFERROR((s_dir!N18/(d_Bv!M18+s_MLF_lettuce)),".")</f>
        <v>24.428036607244959</v>
      </c>
      <c r="O18" s="15">
        <f>IFERROR((s_dir!O18/(d_Bv!N18+s_MLF_lima_bean)),".")</f>
        <v>37.076685918040646</v>
      </c>
      <c r="P18" s="15">
        <f>IFERROR((s_dir!P18/(d_Bv!O18+s_MLF_okra)),".")</f>
        <v>37.266128838789754</v>
      </c>
      <c r="Q18" s="15">
        <f>IFERROR((s_dir!Q18/(d_Bv!P18+s_MLF_onion)),".")</f>
        <v>26.453158813026931</v>
      </c>
      <c r="R18" s="15">
        <f>IFERROR((s_dir!R18/(d_Bv!Q18+s_MLF_peach)),".")</f>
        <v>37.266128838789754</v>
      </c>
      <c r="S18" s="15">
        <f>IFERROR((s_dir!S18/(d_Bv!R18+s_MLF_pear)),".")</f>
        <v>37.266128838789754</v>
      </c>
      <c r="T18" s="15">
        <f>IFERROR((s_dir!T18/(d_Bv!S18+s_MLF_peas)),".")</f>
        <v>37.076685918040646</v>
      </c>
      <c r="U18" s="15">
        <f>IFERROR((s_dir!U18/(d_Bv!T18+s_MLF_peppers)),".")</f>
        <v>37.266128838789754</v>
      </c>
      <c r="V18" s="15">
        <f>IFERROR((s_dir!V18/(d_Bv!U18+s_MLF_potato)),".")</f>
        <v>31.515183030334551</v>
      </c>
      <c r="W18" s="15">
        <f>IFERROR((s_dir!W18/(d_Bv!V18+s_MLF_pumpkin)),".")</f>
        <v>37.266128838789754</v>
      </c>
      <c r="X18" s="15">
        <f>IFERROR((s_dir!X18/(d_Bv!W18+s_MLF_snap_bean)),".")</f>
        <v>37.076685918040646</v>
      </c>
      <c r="Y18" s="15">
        <f>IFERROR((s_dir!Y18/(d_Bv!X18+s_MLF_strawberry)),".")</f>
        <v>37.266128838789754</v>
      </c>
      <c r="Z18" s="15">
        <f>IFERROR((s_dir!Z18/(d_Bv!Y18+s_MLF_tomato)),".")</f>
        <v>37.266128838789754</v>
      </c>
      <c r="AA18" s="15">
        <f>IFERROR((s_dir!AA18/(d_Bv!Z18+s_MLF_rice)),".")</f>
        <v>19.265885475147915</v>
      </c>
      <c r="AB18" s="15">
        <f>IFERROR((s_dir!AB18/(d_Bv!AA18+s_MLF_cereal)),".")</f>
        <v>37.157639380743788</v>
      </c>
      <c r="AC18" s="40">
        <f t="shared" si="1"/>
        <v>511.52749999999997</v>
      </c>
      <c r="AD18" s="40">
        <f>s_C*(d_Bv!C18+s_MLF_apple)*s_IFAP_res_adj*s_CF_apple</f>
        <v>103.60625</v>
      </c>
      <c r="AE18" s="40">
        <f>s_C*(d_Bv!D18+s_MLF_asparagus)*s_IFAS_res_adj*s_CF_asparagus</f>
        <v>158.05625000000001</v>
      </c>
      <c r="AF18" s="40">
        <f>s_C*(d_Bv!E18+s_MLF_beet)*s_IFBT_res_adj*s_CF_beet</f>
        <v>145.95624999999998</v>
      </c>
      <c r="AG18" s="40">
        <f>s_C*(d_Bv!F18+s_MLF_berries)*s_IFBE_res_adj*s_CF_berries</f>
        <v>103.60625</v>
      </c>
      <c r="AH18" s="40">
        <f>s_C*(d_Bv!G18+s_MLF_broccoli)*s_IFBR_res_adj*s_CF_broccoli</f>
        <v>103.60625</v>
      </c>
      <c r="AI18" s="40">
        <f>s_C*(d_Bv!H18+s_MLF_cabbage)*s_IFCB_res_adj*s_CF_cabbage</f>
        <v>158.05625000000001</v>
      </c>
      <c r="AJ18" s="40">
        <f>s_C*(d_Bv!I18+s_MLF_carrot)*s_IFCR_res_adj*s_CF_carrot</f>
        <v>145.95624999999998</v>
      </c>
      <c r="AK18" s="40">
        <f>s_C*(d_Bv!J18+s_MLF_citrus)*s_IFCI_res_adj*s_CF_citrus</f>
        <v>103.60625</v>
      </c>
      <c r="AL18" s="40">
        <f>s_C*(d_Bv!K18+s_MLF_corn)*s_IFCO_res_adj*s_CF_corn</f>
        <v>103.90875</v>
      </c>
      <c r="AM18" s="40">
        <f>s_C*(d_Bv!L18+s_MLF_cucumber)*s_IFCU_res_adj*s_CF_cucumber</f>
        <v>103.60625</v>
      </c>
      <c r="AN18" s="40">
        <f>s_C*(d_Bv!M18+s_MLF_lettuce)*s_IFLE_res_adj*s_CF_lettuce</f>
        <v>158.05625000000001</v>
      </c>
      <c r="AO18" s="40">
        <f>s_C*(d_Bv!N18+s_MLF_lima_bean)*s_IFLI_res_adj*s_CF_lima_bean</f>
        <v>104.13562499999999</v>
      </c>
      <c r="AP18" s="40">
        <f>s_C*(d_Bv!O18+s_MLF_okra)*s_IFOK_res_adj*s_CF_okra</f>
        <v>103.60625</v>
      </c>
      <c r="AQ18" s="40">
        <f>s_C*(d_Bv!P18+s_MLF_onion)*s_IFON_res_adj*s_CF_onion</f>
        <v>145.95624999999998</v>
      </c>
      <c r="AR18" s="40">
        <f>s_C*(d_Bv!Q18+s_MLF_peach)*s_IFPC_res_adj*s_CF_peach</f>
        <v>103.60625</v>
      </c>
      <c r="AS18" s="40">
        <f>s_C*(d_Bv!R18+s_MLF_pear)*s_IFPR_res_adj*s_CF_pear</f>
        <v>103.60625</v>
      </c>
      <c r="AT18" s="40">
        <f>s_C*(d_Bv!S18+s_MLF_peas)*s_IFPE_res_adj*s_CF_peas</f>
        <v>104.13562499999999</v>
      </c>
      <c r="AU18" s="40">
        <f>s_C*(d_Bv!T18+s_MLF_peppers)*s_IFPP_res_adj*s_CF_peppers</f>
        <v>103.60625</v>
      </c>
      <c r="AV18" s="40">
        <f>s_C*(d_Bv!U18+s_MLF_potato)*s_IFPT_res_adj*s_CF_potato</f>
        <v>122.51249999999999</v>
      </c>
      <c r="AW18" s="40">
        <f>s_C*(d_Bv!V18+s_MLF_pumpkin)*s_IFPU_res_adj*s_CF_pumpkin</f>
        <v>103.60625</v>
      </c>
      <c r="AX18" s="40">
        <f>s_C*(d_Bv!W18+s_MLF_snap_bean)*s_IFSN_res_adj*s_CF_snap_bean</f>
        <v>104.13562499999999</v>
      </c>
      <c r="AY18" s="40">
        <f>s_C*(d_Bv!X18+s_MLF_strawberry)*s_IFST_res_adj*s_CF_strawberry</f>
        <v>103.60625</v>
      </c>
      <c r="AZ18" s="40">
        <f>s_C*(d_Bv!Y18+s_MLF_tomato)*s_IFTO_res_adj*s_CF_tomato</f>
        <v>103.60625</v>
      </c>
      <c r="BA18" s="40">
        <f>s_C*(d_Bv!Z18+s_MLF_rice)*s_IFRI_res_adj*s_CF_rice</f>
        <v>200.40625</v>
      </c>
      <c r="BB18" s="40">
        <f>s_C*(d_Bv!AA18+s_MLF_cereal)*s_IFCG_res_adj*s_CF_cereal</f>
        <v>103.90875</v>
      </c>
      <c r="BC18" s="15">
        <f t="shared" si="2"/>
        <v>7.5479888393172621</v>
      </c>
      <c r="BD18" s="15">
        <f>IFERROR((s_dir!AD18/(d_Bv!C18+s_MLF_apple)),".")</f>
        <v>37.266128838789754</v>
      </c>
      <c r="BE18" s="15">
        <f>IFERROR((s_dir!AE18/(d_Bv!D18+s_MLF_asparagus)),".")</f>
        <v>24.428036607244959</v>
      </c>
      <c r="BF18" s="15">
        <f>IFERROR((s_dir!AF18/(d_Bv!E18+s_MLF_beet)),".")</f>
        <v>26.453158813026931</v>
      </c>
      <c r="BG18" s="15">
        <f>IFERROR((s_dir!AG18/(d_Bv!F18+s_MLF_berries)),".")</f>
        <v>37.266128838789754</v>
      </c>
      <c r="BH18" s="15">
        <f>IFERROR((s_dir!AH18/(d_Bv!G18+s_MLF_broccoli)),".")</f>
        <v>37.266128838789754</v>
      </c>
      <c r="BI18" s="15">
        <f>IFERROR((s_dir!AI18/(d_Bv!H18+s_MLF_cabbage)),".")</f>
        <v>24.428036607244959</v>
      </c>
      <c r="BJ18" s="15">
        <f>IFERROR((s_dir!AJ18/(d_Bv!I18+s_MLF_carrot)),".")</f>
        <v>26.453158813026931</v>
      </c>
      <c r="BK18" s="15">
        <f>IFERROR((s_dir!AK18/(d_Bv!J18+s_MLF_citrus)),".")</f>
        <v>37.266128838789754</v>
      </c>
      <c r="BL18" s="15">
        <f>IFERROR((s_dir!AL18/(d_Bv!K18+s_MLF_corn)),".")</f>
        <v>37.157639380743788</v>
      </c>
      <c r="BM18" s="15">
        <f>IFERROR((s_dir!AM18/(d_Bv!L18+s_MLF_cucumber)),".")</f>
        <v>37.266128838789754</v>
      </c>
      <c r="BN18" s="15">
        <f>IFERROR((s_dir!AN18/(d_Bv!M18+s_MLF_lettuce)),".")</f>
        <v>24.428036607244959</v>
      </c>
      <c r="BO18" s="15">
        <f>IFERROR((s_dir!AO18/(d_Bv!N18+s_MLF_lima_bean)),".")</f>
        <v>37.076685918040646</v>
      </c>
      <c r="BP18" s="15">
        <f>IFERROR((s_dir!AP18/(d_Bv!O18+s_MLF_okra)),".")</f>
        <v>37.266128838789754</v>
      </c>
      <c r="BQ18" s="15">
        <f>IFERROR((s_dir!AQ18/(d_Bv!P18+s_MLF_onion)),".")</f>
        <v>26.453158813026931</v>
      </c>
      <c r="BR18" s="15">
        <f>IFERROR((s_dir!AR18/(d_Bv!Q18+s_MLF_peach)),".")</f>
        <v>37.266128838789754</v>
      </c>
      <c r="BS18" s="15">
        <f>IFERROR((s_dir!AS18/(d_Bv!R18+s_MLF_pear)),".")</f>
        <v>37.266128838789754</v>
      </c>
      <c r="BT18" s="15">
        <f>IFERROR((s_dir!AT18/(d_Bv!S18+s_MLF_peas)),".")</f>
        <v>37.076685918040646</v>
      </c>
      <c r="BU18" s="15">
        <f>IFERROR((s_dir!AU18/(d_Bv!T18+s_MLF_peppers)),".")</f>
        <v>37.266128838789754</v>
      </c>
      <c r="BV18" s="15">
        <f>IFERROR((s_dir!AV18/(d_Bv!U18+s_MLF_potato)),".")</f>
        <v>31.515183030334551</v>
      </c>
      <c r="BW18" s="15">
        <f>IFERROR((s_dir!AW18/(d_Bv!V18+s_MLF_pumpkin)),".")</f>
        <v>37.266128838789754</v>
      </c>
      <c r="BX18" s="15">
        <f>IFERROR((s_dir!AX18/(d_Bv!W18+s_MLF_snap_bean)),".")</f>
        <v>37.076685918040646</v>
      </c>
      <c r="BY18" s="15">
        <f>IFERROR((s_dir!AY18/(d_Bv!X18+s_MLF_strawberry)),".")</f>
        <v>37.266128838789754</v>
      </c>
      <c r="BZ18" s="15">
        <f>IFERROR((s_dir!AZ18/(d_Bv!Y18+s_MLF_tomato)),".")</f>
        <v>37.266128838789754</v>
      </c>
      <c r="CA18" s="15">
        <f>IFERROR((s_dir!BA18/(d_Bv!Z18+s_MLF_rice)),".")</f>
        <v>19.265885475147915</v>
      </c>
      <c r="CB18" s="15">
        <f>IFERROR((s_dir!BB18/(d_Bv!AA18+s_MLF_cereal)),".")</f>
        <v>37.157639380743788</v>
      </c>
      <c r="CC18" s="40">
        <f t="shared" si="3"/>
        <v>511.52749999999997</v>
      </c>
      <c r="CD18" s="40">
        <f>IFERROR(s_C*(d_Bv!C18+s_MLF_apple)*s_IFAP_far_adj*s_CF_apple,".")</f>
        <v>103.60625</v>
      </c>
      <c r="CE18" s="40">
        <f>IFERROR(s_C*(d_Bv!D18+s_MLF_asparagus)*s_IFAS_far_adj*s_CF_asparagus,".")</f>
        <v>158.05625000000001</v>
      </c>
      <c r="CF18" s="40">
        <f>IFERROR(s_C*(d_Bv!E18+s_MLF_beet)*s_IFBT_far_adj*s_CF_beet,".")</f>
        <v>145.95624999999998</v>
      </c>
      <c r="CG18" s="40">
        <f>IFERROR(s_C*(d_Bv!F18+s_MLF_berries)*s_IFBR_far_adj*s_CF_berries,".")</f>
        <v>103.60625</v>
      </c>
      <c r="CH18" s="40">
        <f>IFERROR(s_C*(d_Bv!G18+s_MLF_broccoli)*s_IFBR_far_adj*s_CF_broccoli,".")</f>
        <v>103.60625</v>
      </c>
      <c r="CI18" s="40">
        <f>IFERROR(s_C*(d_Bv!H18+s_MLF_cabbage)*s_IFCB_far_adj*s_CF_cabbage,".")</f>
        <v>158.05625000000001</v>
      </c>
      <c r="CJ18" s="40">
        <f>IFERROR(s_C*(d_Bv!I18+s_MLF_carrot)*s_IFCR_far_adj*s_CF_carrot,".")</f>
        <v>145.95624999999998</v>
      </c>
      <c r="CK18" s="40">
        <f>IFERROR(s_C*(d_Bv!J18+s_MLF_citrus)*s_IFCI_far_adj*s_CF_citrus,".")</f>
        <v>103.60625</v>
      </c>
      <c r="CL18" s="40">
        <f>IFERROR(s_C*(d_Bv!K18+s_MLF_corn)*s_IFCO_far_adj*s_CF_corn,".")</f>
        <v>103.90875</v>
      </c>
      <c r="CM18" s="40">
        <f>IFERROR(s_C*(d_Bv!L18+s_MLF_cucumber)*s_IFCU_far_adj*s_CF_cucumber,".")</f>
        <v>103.60625</v>
      </c>
      <c r="CN18" s="40">
        <f>IFERROR(s_C*(d_Bv!M18+s_MLF_lettuce)*s_IFLE_far_adj*s_CF_lettuce,".")</f>
        <v>158.05625000000001</v>
      </c>
      <c r="CO18" s="40">
        <f>IFERROR(s_C*(d_Bv!N18+s_MLF_lima_bean)*s_IFLI_far_adj*s_CF_lima_bean,".")</f>
        <v>104.13562499999999</v>
      </c>
      <c r="CP18" s="40">
        <f>IFERROR(s_C*(d_Bv!O18+s_MLF_okra)*s_IFOK_far_adj*s_CF_okra,".")</f>
        <v>103.60625</v>
      </c>
      <c r="CQ18" s="40">
        <f>IFERROR(s_C*(d_Bv!P18+s_MLF_onion)*s_IFON_far_adj*s_CF_onion,".")</f>
        <v>145.95624999999998</v>
      </c>
      <c r="CR18" s="40">
        <f>IFERROR(s_C*(d_Bv!Q18+s_MLF_peach)*s_IFPC_far_adj*s_CF_peach,".")</f>
        <v>103.60625</v>
      </c>
      <c r="CS18" s="40">
        <f>IFERROR(s_C*(d_Bv!R18+s_MLF_pear)*s_IFPR_far_adj*s_CF_pear,".")</f>
        <v>103.60625</v>
      </c>
      <c r="CT18" s="40">
        <f>IFERROR(s_C*(d_Bv!S18+s_MLF_peas)*s_IFPE_far_adj*s_CF_peas,".")</f>
        <v>104.13562499999999</v>
      </c>
      <c r="CU18" s="40">
        <f>IFERROR(s_C*(d_Bv!T18+s_MLF_peppers)*s_IFPP_far_adj*s_CF_peppers,".")</f>
        <v>103.60625</v>
      </c>
      <c r="CV18" s="40">
        <f>IFERROR(s_C*(d_Bv!U18+s_MLF_potato)*s_IFPT_far_adj*s_CF_potato,".")</f>
        <v>122.51249999999999</v>
      </c>
      <c r="CW18" s="40">
        <f>IFERROR(s_C*(d_Bv!V18+s_MLF_pumpkin)*s_IFPU_far_adj*s_CF_pumpkin,".")</f>
        <v>103.60625</v>
      </c>
      <c r="CX18" s="40">
        <f>IFERROR(s_C*(d_Bv!W18+s_MLF_snap_bean)*s_IFSN_far_adj*s_CF_snap_bean,".")</f>
        <v>104.13562499999999</v>
      </c>
      <c r="CY18" s="40">
        <f>IFERROR(s_C*(d_Bv!X18+s_MLF_strawberry)*s_IFST_far_adj*s_CF_strawberry,".")</f>
        <v>103.60625</v>
      </c>
      <c r="CZ18" s="40">
        <f>IFERROR(s_C*(d_Bv!Y18+s_MLF_tomato)*s_IFTO_far_adj*s_CF_tomato,".")</f>
        <v>103.60625</v>
      </c>
      <c r="DA18" s="40">
        <f>IFERROR(s_C*(d_Bv!Z18+s_MLF_rice)*s_IFRI_far_adj*s_CF_rice,".")</f>
        <v>200.40625</v>
      </c>
      <c r="DB18" s="40">
        <f>IFERROR(s_C*(d_Bv!AA18+s_MLF_cereal)*s_IFCG_far_adj*s_CF_cereal,".")</f>
        <v>103.90875</v>
      </c>
    </row>
    <row r="19" spans="1:106" ht="15" customHeight="1" x14ac:dyDescent="0.25">
      <c r="A19" s="44" t="s">
        <v>17</v>
      </c>
      <c r="B19" s="42" t="s">
        <v>1057</v>
      </c>
      <c r="C19" s="15" t="str">
        <f t="shared" si="0"/>
        <v>.</v>
      </c>
      <c r="D19" s="15" t="str">
        <f>IFERROR((s_dir!D19/(d_Bv!C19+s_MLF_apple)),".")</f>
        <v>.</v>
      </c>
      <c r="E19" s="15" t="str">
        <f>IFERROR((s_dir!E19/(d_Bv!D19+s_MLF_asparagus)),".")</f>
        <v>.</v>
      </c>
      <c r="F19" s="15" t="str">
        <f>IFERROR((s_dir!F19/(d_Bv!E19+s_MLF_beet)),".")</f>
        <v>.</v>
      </c>
      <c r="G19" s="15" t="str">
        <f>IFERROR((s_dir!G19/(d_Bv!F19+s_MLF_berries)),".")</f>
        <v>.</v>
      </c>
      <c r="H19" s="15" t="str">
        <f>IFERROR((s_dir!H19/(d_Bv!G19+s_MLF_broccoli)),".")</f>
        <v>.</v>
      </c>
      <c r="I19" s="15" t="str">
        <f>IFERROR((s_dir!I19/(d_Bv!H19+s_MLF_cabbage)),".")</f>
        <v>.</v>
      </c>
      <c r="J19" s="15" t="str">
        <f>IFERROR((s_dir!J19/(d_Bv!I19+s_MLF_carrot)),".")</f>
        <v>.</v>
      </c>
      <c r="K19" s="15" t="str">
        <f>IFERROR((s_dir!K19/(d_Bv!J19+s_MLF_citrus)),".")</f>
        <v>.</v>
      </c>
      <c r="L19" s="15" t="str">
        <f>IFERROR((s_dir!L19/(d_Bv!K19+s_MLF_corn)),".")</f>
        <v>.</v>
      </c>
      <c r="M19" s="15" t="str">
        <f>IFERROR((s_dir!M19/(d_Bv!L19+s_MLF_cucumber)),".")</f>
        <v>.</v>
      </c>
      <c r="N19" s="15" t="str">
        <f>IFERROR((s_dir!N19/(d_Bv!M19+s_MLF_lettuce)),".")</f>
        <v>.</v>
      </c>
      <c r="O19" s="15" t="str">
        <f>IFERROR((s_dir!O19/(d_Bv!N19+s_MLF_lima_bean)),".")</f>
        <v>.</v>
      </c>
      <c r="P19" s="15" t="str">
        <f>IFERROR((s_dir!P19/(d_Bv!O19+s_MLF_okra)),".")</f>
        <v>.</v>
      </c>
      <c r="Q19" s="15" t="str">
        <f>IFERROR((s_dir!Q19/(d_Bv!P19+s_MLF_onion)),".")</f>
        <v>.</v>
      </c>
      <c r="R19" s="15" t="str">
        <f>IFERROR((s_dir!R19/(d_Bv!Q19+s_MLF_peach)),".")</f>
        <v>.</v>
      </c>
      <c r="S19" s="15" t="str">
        <f>IFERROR((s_dir!S19/(d_Bv!R19+s_MLF_pear)),".")</f>
        <v>.</v>
      </c>
      <c r="T19" s="15" t="str">
        <f>IFERROR((s_dir!T19/(d_Bv!S19+s_MLF_peas)),".")</f>
        <v>.</v>
      </c>
      <c r="U19" s="15" t="str">
        <f>IFERROR((s_dir!U19/(d_Bv!T19+s_MLF_peppers)),".")</f>
        <v>.</v>
      </c>
      <c r="V19" s="15" t="str">
        <f>IFERROR((s_dir!V19/(d_Bv!U19+s_MLF_potato)),".")</f>
        <v>.</v>
      </c>
      <c r="W19" s="15" t="str">
        <f>IFERROR((s_dir!W19/(d_Bv!V19+s_MLF_pumpkin)),".")</f>
        <v>.</v>
      </c>
      <c r="X19" s="15" t="str">
        <f>IFERROR((s_dir!X19/(d_Bv!W19+s_MLF_snap_bean)),".")</f>
        <v>.</v>
      </c>
      <c r="Y19" s="15" t="str">
        <f>IFERROR((s_dir!Y19/(d_Bv!X19+s_MLF_strawberry)),".")</f>
        <v>.</v>
      </c>
      <c r="Z19" s="15" t="str">
        <f>IFERROR((s_dir!Z19/(d_Bv!Y19+s_MLF_tomato)),".")</f>
        <v>.</v>
      </c>
      <c r="AA19" s="15" t="str">
        <f>IFERROR((s_dir!AA19/(d_Bv!Z19+s_MLF_rice)),".")</f>
        <v>.</v>
      </c>
      <c r="AB19" s="15" t="str">
        <f>IFERROR((s_dir!AB19/(d_Bv!AA19+s_MLF_cereal)),".")</f>
        <v>.</v>
      </c>
      <c r="AC19" s="40">
        <f t="shared" si="1"/>
        <v>511.52749999999997</v>
      </c>
      <c r="AD19" s="40">
        <f>s_C*(d_Bv!C19+s_MLF_apple)*s_IFAP_res_adj*s_CF_apple</f>
        <v>103.60625</v>
      </c>
      <c r="AE19" s="40">
        <f>s_C*(d_Bv!D19+s_MLF_asparagus)*s_IFAS_res_adj*s_CF_asparagus</f>
        <v>158.05625000000001</v>
      </c>
      <c r="AF19" s="40">
        <f>s_C*(d_Bv!E19+s_MLF_beet)*s_IFBT_res_adj*s_CF_beet</f>
        <v>145.95624999999998</v>
      </c>
      <c r="AG19" s="40">
        <f>s_C*(d_Bv!F19+s_MLF_berries)*s_IFBE_res_adj*s_CF_berries</f>
        <v>103.60625</v>
      </c>
      <c r="AH19" s="40">
        <f>s_C*(d_Bv!G19+s_MLF_broccoli)*s_IFBR_res_adj*s_CF_broccoli</f>
        <v>103.60625</v>
      </c>
      <c r="AI19" s="40">
        <f>s_C*(d_Bv!H19+s_MLF_cabbage)*s_IFCB_res_adj*s_CF_cabbage</f>
        <v>158.05625000000001</v>
      </c>
      <c r="AJ19" s="40">
        <f>s_C*(d_Bv!I19+s_MLF_carrot)*s_IFCR_res_adj*s_CF_carrot</f>
        <v>145.95624999999998</v>
      </c>
      <c r="AK19" s="40">
        <f>s_C*(d_Bv!J19+s_MLF_citrus)*s_IFCI_res_adj*s_CF_citrus</f>
        <v>103.60625</v>
      </c>
      <c r="AL19" s="40">
        <f>s_C*(d_Bv!K19+s_MLF_corn)*s_IFCO_res_adj*s_CF_corn</f>
        <v>103.90875</v>
      </c>
      <c r="AM19" s="40">
        <f>s_C*(d_Bv!L19+s_MLF_cucumber)*s_IFCU_res_adj*s_CF_cucumber</f>
        <v>103.60625</v>
      </c>
      <c r="AN19" s="40">
        <f>s_C*(d_Bv!M19+s_MLF_lettuce)*s_IFLE_res_adj*s_CF_lettuce</f>
        <v>158.05625000000001</v>
      </c>
      <c r="AO19" s="40">
        <f>s_C*(d_Bv!N19+s_MLF_lima_bean)*s_IFLI_res_adj*s_CF_lima_bean</f>
        <v>104.13562499999999</v>
      </c>
      <c r="AP19" s="40">
        <f>s_C*(d_Bv!O19+s_MLF_okra)*s_IFOK_res_adj*s_CF_okra</f>
        <v>103.60625</v>
      </c>
      <c r="AQ19" s="40">
        <f>s_C*(d_Bv!P19+s_MLF_onion)*s_IFON_res_adj*s_CF_onion</f>
        <v>145.95624999999998</v>
      </c>
      <c r="AR19" s="40">
        <f>s_C*(d_Bv!Q19+s_MLF_peach)*s_IFPC_res_adj*s_CF_peach</f>
        <v>103.60625</v>
      </c>
      <c r="AS19" s="40">
        <f>s_C*(d_Bv!R19+s_MLF_pear)*s_IFPR_res_adj*s_CF_pear</f>
        <v>103.60625</v>
      </c>
      <c r="AT19" s="40">
        <f>s_C*(d_Bv!S19+s_MLF_peas)*s_IFPE_res_adj*s_CF_peas</f>
        <v>104.13562499999999</v>
      </c>
      <c r="AU19" s="40">
        <f>s_C*(d_Bv!T19+s_MLF_peppers)*s_IFPP_res_adj*s_CF_peppers</f>
        <v>103.60625</v>
      </c>
      <c r="AV19" s="40">
        <f>s_C*(d_Bv!U19+s_MLF_potato)*s_IFPT_res_adj*s_CF_potato</f>
        <v>122.51249999999999</v>
      </c>
      <c r="AW19" s="40">
        <f>s_C*(d_Bv!V19+s_MLF_pumpkin)*s_IFPU_res_adj*s_CF_pumpkin</f>
        <v>103.60625</v>
      </c>
      <c r="AX19" s="40">
        <f>s_C*(d_Bv!W19+s_MLF_snap_bean)*s_IFSN_res_adj*s_CF_snap_bean</f>
        <v>104.13562499999999</v>
      </c>
      <c r="AY19" s="40">
        <f>s_C*(d_Bv!X19+s_MLF_strawberry)*s_IFST_res_adj*s_CF_strawberry</f>
        <v>103.60625</v>
      </c>
      <c r="AZ19" s="40">
        <f>s_C*(d_Bv!Y19+s_MLF_tomato)*s_IFTO_res_adj*s_CF_tomato</f>
        <v>103.60625</v>
      </c>
      <c r="BA19" s="40">
        <f>s_C*(d_Bv!Z19+s_MLF_rice)*s_IFRI_res_adj*s_CF_rice</f>
        <v>200.40625</v>
      </c>
      <c r="BB19" s="40">
        <f>s_C*(d_Bv!AA19+s_MLF_cereal)*s_IFCG_res_adj*s_CF_cereal</f>
        <v>103.90875</v>
      </c>
      <c r="BC19" s="15" t="str">
        <f t="shared" si="2"/>
        <v>.</v>
      </c>
      <c r="BD19" s="15" t="str">
        <f>IFERROR((s_dir!AD19/(d_Bv!C19+s_MLF_apple)),".")</f>
        <v>.</v>
      </c>
      <c r="BE19" s="15" t="str">
        <f>IFERROR((s_dir!AE19/(d_Bv!D19+s_MLF_asparagus)),".")</f>
        <v>.</v>
      </c>
      <c r="BF19" s="15" t="str">
        <f>IFERROR((s_dir!AF19/(d_Bv!E19+s_MLF_beet)),".")</f>
        <v>.</v>
      </c>
      <c r="BG19" s="15" t="str">
        <f>IFERROR((s_dir!AG19/(d_Bv!F19+s_MLF_berries)),".")</f>
        <v>.</v>
      </c>
      <c r="BH19" s="15" t="str">
        <f>IFERROR((s_dir!AH19/(d_Bv!G19+s_MLF_broccoli)),".")</f>
        <v>.</v>
      </c>
      <c r="BI19" s="15" t="str">
        <f>IFERROR((s_dir!AI19/(d_Bv!H19+s_MLF_cabbage)),".")</f>
        <v>.</v>
      </c>
      <c r="BJ19" s="15" t="str">
        <f>IFERROR((s_dir!AJ19/(d_Bv!I19+s_MLF_carrot)),".")</f>
        <v>.</v>
      </c>
      <c r="BK19" s="15" t="str">
        <f>IFERROR((s_dir!AK19/(d_Bv!J19+s_MLF_citrus)),".")</f>
        <v>.</v>
      </c>
      <c r="BL19" s="15" t="str">
        <f>IFERROR((s_dir!AL19/(d_Bv!K19+s_MLF_corn)),".")</f>
        <v>.</v>
      </c>
      <c r="BM19" s="15" t="str">
        <f>IFERROR((s_dir!AM19/(d_Bv!L19+s_MLF_cucumber)),".")</f>
        <v>.</v>
      </c>
      <c r="BN19" s="15" t="str">
        <f>IFERROR((s_dir!AN19/(d_Bv!M19+s_MLF_lettuce)),".")</f>
        <v>.</v>
      </c>
      <c r="BO19" s="15" t="str">
        <f>IFERROR((s_dir!AO19/(d_Bv!N19+s_MLF_lima_bean)),".")</f>
        <v>.</v>
      </c>
      <c r="BP19" s="15" t="str">
        <f>IFERROR((s_dir!AP19/(d_Bv!O19+s_MLF_okra)),".")</f>
        <v>.</v>
      </c>
      <c r="BQ19" s="15" t="str">
        <f>IFERROR((s_dir!AQ19/(d_Bv!P19+s_MLF_onion)),".")</f>
        <v>.</v>
      </c>
      <c r="BR19" s="15" t="str">
        <f>IFERROR((s_dir!AR19/(d_Bv!Q19+s_MLF_peach)),".")</f>
        <v>.</v>
      </c>
      <c r="BS19" s="15" t="str">
        <f>IFERROR((s_dir!AS19/(d_Bv!R19+s_MLF_pear)),".")</f>
        <v>.</v>
      </c>
      <c r="BT19" s="15" t="str">
        <f>IFERROR((s_dir!AT19/(d_Bv!S19+s_MLF_peas)),".")</f>
        <v>.</v>
      </c>
      <c r="BU19" s="15" t="str">
        <f>IFERROR((s_dir!AU19/(d_Bv!T19+s_MLF_peppers)),".")</f>
        <v>.</v>
      </c>
      <c r="BV19" s="15" t="str">
        <f>IFERROR((s_dir!AV19/(d_Bv!U19+s_MLF_potato)),".")</f>
        <v>.</v>
      </c>
      <c r="BW19" s="15" t="str">
        <f>IFERROR((s_dir!AW19/(d_Bv!V19+s_MLF_pumpkin)),".")</f>
        <v>.</v>
      </c>
      <c r="BX19" s="15" t="str">
        <f>IFERROR((s_dir!AX19/(d_Bv!W19+s_MLF_snap_bean)),".")</f>
        <v>.</v>
      </c>
      <c r="BY19" s="15" t="str">
        <f>IFERROR((s_dir!AY19/(d_Bv!X19+s_MLF_strawberry)),".")</f>
        <v>.</v>
      </c>
      <c r="BZ19" s="15" t="str">
        <f>IFERROR((s_dir!AZ19/(d_Bv!Y19+s_MLF_tomato)),".")</f>
        <v>.</v>
      </c>
      <c r="CA19" s="15" t="str">
        <f>IFERROR((s_dir!BA19/(d_Bv!Z19+s_MLF_rice)),".")</f>
        <v>.</v>
      </c>
      <c r="CB19" s="15" t="str">
        <f>IFERROR((s_dir!BB19/(d_Bv!AA19+s_MLF_cereal)),".")</f>
        <v>.</v>
      </c>
      <c r="CC19" s="40">
        <f t="shared" si="3"/>
        <v>511.52749999999997</v>
      </c>
      <c r="CD19" s="40">
        <f>IFERROR(s_C*(d_Bv!C19+s_MLF_apple)*s_IFAP_far_adj*s_CF_apple,".")</f>
        <v>103.60625</v>
      </c>
      <c r="CE19" s="40">
        <f>IFERROR(s_C*(d_Bv!D19+s_MLF_asparagus)*s_IFAS_far_adj*s_CF_asparagus,".")</f>
        <v>158.05625000000001</v>
      </c>
      <c r="CF19" s="40">
        <f>IFERROR(s_C*(d_Bv!E19+s_MLF_beet)*s_IFBT_far_adj*s_CF_beet,".")</f>
        <v>145.95624999999998</v>
      </c>
      <c r="CG19" s="40">
        <f>IFERROR(s_C*(d_Bv!F19+s_MLF_berries)*s_IFBR_far_adj*s_CF_berries,".")</f>
        <v>103.60625</v>
      </c>
      <c r="CH19" s="40">
        <f>IFERROR(s_C*(d_Bv!G19+s_MLF_broccoli)*s_IFBR_far_adj*s_CF_broccoli,".")</f>
        <v>103.60625</v>
      </c>
      <c r="CI19" s="40">
        <f>IFERROR(s_C*(d_Bv!H19+s_MLF_cabbage)*s_IFCB_far_adj*s_CF_cabbage,".")</f>
        <v>158.05625000000001</v>
      </c>
      <c r="CJ19" s="40">
        <f>IFERROR(s_C*(d_Bv!I19+s_MLF_carrot)*s_IFCR_far_adj*s_CF_carrot,".")</f>
        <v>145.95624999999998</v>
      </c>
      <c r="CK19" s="40">
        <f>IFERROR(s_C*(d_Bv!J19+s_MLF_citrus)*s_IFCI_far_adj*s_CF_citrus,".")</f>
        <v>103.60625</v>
      </c>
      <c r="CL19" s="40">
        <f>IFERROR(s_C*(d_Bv!K19+s_MLF_corn)*s_IFCO_far_adj*s_CF_corn,".")</f>
        <v>103.90875</v>
      </c>
      <c r="CM19" s="40">
        <f>IFERROR(s_C*(d_Bv!L19+s_MLF_cucumber)*s_IFCU_far_adj*s_CF_cucumber,".")</f>
        <v>103.60625</v>
      </c>
      <c r="CN19" s="40">
        <f>IFERROR(s_C*(d_Bv!M19+s_MLF_lettuce)*s_IFLE_far_adj*s_CF_lettuce,".")</f>
        <v>158.05625000000001</v>
      </c>
      <c r="CO19" s="40">
        <f>IFERROR(s_C*(d_Bv!N19+s_MLF_lima_bean)*s_IFLI_far_adj*s_CF_lima_bean,".")</f>
        <v>104.13562499999999</v>
      </c>
      <c r="CP19" s="40">
        <f>IFERROR(s_C*(d_Bv!O19+s_MLF_okra)*s_IFOK_far_adj*s_CF_okra,".")</f>
        <v>103.60625</v>
      </c>
      <c r="CQ19" s="40">
        <f>IFERROR(s_C*(d_Bv!P19+s_MLF_onion)*s_IFON_far_adj*s_CF_onion,".")</f>
        <v>145.95624999999998</v>
      </c>
      <c r="CR19" s="40">
        <f>IFERROR(s_C*(d_Bv!Q19+s_MLF_peach)*s_IFPC_far_adj*s_CF_peach,".")</f>
        <v>103.60625</v>
      </c>
      <c r="CS19" s="40">
        <f>IFERROR(s_C*(d_Bv!R19+s_MLF_pear)*s_IFPR_far_adj*s_CF_pear,".")</f>
        <v>103.60625</v>
      </c>
      <c r="CT19" s="40">
        <f>IFERROR(s_C*(d_Bv!S19+s_MLF_peas)*s_IFPE_far_adj*s_CF_peas,".")</f>
        <v>104.13562499999999</v>
      </c>
      <c r="CU19" s="40">
        <f>IFERROR(s_C*(d_Bv!T19+s_MLF_peppers)*s_IFPP_far_adj*s_CF_peppers,".")</f>
        <v>103.60625</v>
      </c>
      <c r="CV19" s="40">
        <f>IFERROR(s_C*(d_Bv!U19+s_MLF_potato)*s_IFPT_far_adj*s_CF_potato,".")</f>
        <v>122.51249999999999</v>
      </c>
      <c r="CW19" s="40">
        <f>IFERROR(s_C*(d_Bv!V19+s_MLF_pumpkin)*s_IFPU_far_adj*s_CF_pumpkin,".")</f>
        <v>103.60625</v>
      </c>
      <c r="CX19" s="40">
        <f>IFERROR(s_C*(d_Bv!W19+s_MLF_snap_bean)*s_IFSN_far_adj*s_CF_snap_bean,".")</f>
        <v>104.13562499999999</v>
      </c>
      <c r="CY19" s="40">
        <f>IFERROR(s_C*(d_Bv!X19+s_MLF_strawberry)*s_IFST_far_adj*s_CF_strawberry,".")</f>
        <v>103.60625</v>
      </c>
      <c r="CZ19" s="40">
        <f>IFERROR(s_C*(d_Bv!Y19+s_MLF_tomato)*s_IFTO_far_adj*s_CF_tomato,".")</f>
        <v>103.60625</v>
      </c>
      <c r="DA19" s="40">
        <f>IFERROR(s_C*(d_Bv!Z19+s_MLF_rice)*s_IFRI_far_adj*s_CF_rice,".")</f>
        <v>200.40625</v>
      </c>
      <c r="DB19" s="40">
        <f>IFERROR(s_C*(d_Bv!AA19+s_MLF_cereal)*s_IFCG_far_adj*s_CF_cereal,".")</f>
        <v>103.90875</v>
      </c>
    </row>
    <row r="20" spans="1:106" ht="15" customHeight="1" x14ac:dyDescent="0.25">
      <c r="A20" s="44" t="s">
        <v>18</v>
      </c>
      <c r="B20" s="42" t="s">
        <v>1057</v>
      </c>
      <c r="C20" s="15" t="str">
        <f t="shared" si="0"/>
        <v>.</v>
      </c>
      <c r="D20" s="15" t="str">
        <f>IFERROR((s_dir!D20/(d_Bv!C20+s_MLF_apple)),".")</f>
        <v>.</v>
      </c>
      <c r="E20" s="15" t="str">
        <f>IFERROR((s_dir!E20/(d_Bv!D20+s_MLF_asparagus)),".")</f>
        <v>.</v>
      </c>
      <c r="F20" s="15" t="str">
        <f>IFERROR((s_dir!F20/(d_Bv!E20+s_MLF_beet)),".")</f>
        <v>.</v>
      </c>
      <c r="G20" s="15" t="str">
        <f>IFERROR((s_dir!G20/(d_Bv!F20+s_MLF_berries)),".")</f>
        <v>.</v>
      </c>
      <c r="H20" s="15" t="str">
        <f>IFERROR((s_dir!H20/(d_Bv!G20+s_MLF_broccoli)),".")</f>
        <v>.</v>
      </c>
      <c r="I20" s="15" t="str">
        <f>IFERROR((s_dir!I20/(d_Bv!H20+s_MLF_cabbage)),".")</f>
        <v>.</v>
      </c>
      <c r="J20" s="15" t="str">
        <f>IFERROR((s_dir!J20/(d_Bv!I20+s_MLF_carrot)),".")</f>
        <v>.</v>
      </c>
      <c r="K20" s="15" t="str">
        <f>IFERROR((s_dir!K20/(d_Bv!J20+s_MLF_citrus)),".")</f>
        <v>.</v>
      </c>
      <c r="L20" s="15" t="str">
        <f>IFERROR((s_dir!L20/(d_Bv!K20+s_MLF_corn)),".")</f>
        <v>.</v>
      </c>
      <c r="M20" s="15" t="str">
        <f>IFERROR((s_dir!M20/(d_Bv!L20+s_MLF_cucumber)),".")</f>
        <v>.</v>
      </c>
      <c r="N20" s="15" t="str">
        <f>IFERROR((s_dir!N20/(d_Bv!M20+s_MLF_lettuce)),".")</f>
        <v>.</v>
      </c>
      <c r="O20" s="15" t="str">
        <f>IFERROR((s_dir!O20/(d_Bv!N20+s_MLF_lima_bean)),".")</f>
        <v>.</v>
      </c>
      <c r="P20" s="15" t="str">
        <f>IFERROR((s_dir!P20/(d_Bv!O20+s_MLF_okra)),".")</f>
        <v>.</v>
      </c>
      <c r="Q20" s="15" t="str">
        <f>IFERROR((s_dir!Q20/(d_Bv!P20+s_MLF_onion)),".")</f>
        <v>.</v>
      </c>
      <c r="R20" s="15" t="str">
        <f>IFERROR((s_dir!R20/(d_Bv!Q20+s_MLF_peach)),".")</f>
        <v>.</v>
      </c>
      <c r="S20" s="15" t="str">
        <f>IFERROR((s_dir!S20/(d_Bv!R20+s_MLF_pear)),".")</f>
        <v>.</v>
      </c>
      <c r="T20" s="15" t="str">
        <f>IFERROR((s_dir!T20/(d_Bv!S20+s_MLF_peas)),".")</f>
        <v>.</v>
      </c>
      <c r="U20" s="15" t="str">
        <f>IFERROR((s_dir!U20/(d_Bv!T20+s_MLF_peppers)),".")</f>
        <v>.</v>
      </c>
      <c r="V20" s="15" t="str">
        <f>IFERROR((s_dir!V20/(d_Bv!U20+s_MLF_potato)),".")</f>
        <v>.</v>
      </c>
      <c r="W20" s="15" t="str">
        <f>IFERROR((s_dir!W20/(d_Bv!V20+s_MLF_pumpkin)),".")</f>
        <v>.</v>
      </c>
      <c r="X20" s="15" t="str">
        <f>IFERROR((s_dir!X20/(d_Bv!W20+s_MLF_snap_bean)),".")</f>
        <v>.</v>
      </c>
      <c r="Y20" s="15" t="str">
        <f>IFERROR((s_dir!Y20/(d_Bv!X20+s_MLF_strawberry)),".")</f>
        <v>.</v>
      </c>
      <c r="Z20" s="15" t="str">
        <f>IFERROR((s_dir!Z20/(d_Bv!Y20+s_MLF_tomato)),".")</f>
        <v>.</v>
      </c>
      <c r="AA20" s="15" t="str">
        <f>IFERROR((s_dir!AA20/(d_Bv!Z20+s_MLF_rice)),".")</f>
        <v>.</v>
      </c>
      <c r="AB20" s="15" t="str">
        <f>IFERROR((s_dir!AB20/(d_Bv!AA20+s_MLF_cereal)),".")</f>
        <v>.</v>
      </c>
      <c r="AC20" s="40">
        <f t="shared" si="1"/>
        <v>511.52749999999997</v>
      </c>
      <c r="AD20" s="40">
        <f>s_C*(d_Bv!C20+s_MLF_apple)*s_IFAP_res_adj*s_CF_apple</f>
        <v>103.60625</v>
      </c>
      <c r="AE20" s="40">
        <f>s_C*(d_Bv!D20+s_MLF_asparagus)*s_IFAS_res_adj*s_CF_asparagus</f>
        <v>158.05625000000001</v>
      </c>
      <c r="AF20" s="40">
        <f>s_C*(d_Bv!E20+s_MLF_beet)*s_IFBT_res_adj*s_CF_beet</f>
        <v>145.95624999999998</v>
      </c>
      <c r="AG20" s="40">
        <f>s_C*(d_Bv!F20+s_MLF_berries)*s_IFBE_res_adj*s_CF_berries</f>
        <v>103.60625</v>
      </c>
      <c r="AH20" s="40">
        <f>s_C*(d_Bv!G20+s_MLF_broccoli)*s_IFBR_res_adj*s_CF_broccoli</f>
        <v>103.60625</v>
      </c>
      <c r="AI20" s="40">
        <f>s_C*(d_Bv!H20+s_MLF_cabbage)*s_IFCB_res_adj*s_CF_cabbage</f>
        <v>158.05625000000001</v>
      </c>
      <c r="AJ20" s="40">
        <f>s_C*(d_Bv!I20+s_MLF_carrot)*s_IFCR_res_adj*s_CF_carrot</f>
        <v>145.95624999999998</v>
      </c>
      <c r="AK20" s="40">
        <f>s_C*(d_Bv!J20+s_MLF_citrus)*s_IFCI_res_adj*s_CF_citrus</f>
        <v>103.60625</v>
      </c>
      <c r="AL20" s="40">
        <f>s_C*(d_Bv!K20+s_MLF_corn)*s_IFCO_res_adj*s_CF_corn</f>
        <v>103.90875</v>
      </c>
      <c r="AM20" s="40">
        <f>s_C*(d_Bv!L20+s_MLF_cucumber)*s_IFCU_res_adj*s_CF_cucumber</f>
        <v>103.60625</v>
      </c>
      <c r="AN20" s="40">
        <f>s_C*(d_Bv!M20+s_MLF_lettuce)*s_IFLE_res_adj*s_CF_lettuce</f>
        <v>158.05625000000001</v>
      </c>
      <c r="AO20" s="40">
        <f>s_C*(d_Bv!N20+s_MLF_lima_bean)*s_IFLI_res_adj*s_CF_lima_bean</f>
        <v>104.13562499999999</v>
      </c>
      <c r="AP20" s="40">
        <f>s_C*(d_Bv!O20+s_MLF_okra)*s_IFOK_res_adj*s_CF_okra</f>
        <v>103.60625</v>
      </c>
      <c r="AQ20" s="40">
        <f>s_C*(d_Bv!P20+s_MLF_onion)*s_IFON_res_adj*s_CF_onion</f>
        <v>145.95624999999998</v>
      </c>
      <c r="AR20" s="40">
        <f>s_C*(d_Bv!Q20+s_MLF_peach)*s_IFPC_res_adj*s_CF_peach</f>
        <v>103.60625</v>
      </c>
      <c r="AS20" s="40">
        <f>s_C*(d_Bv!R20+s_MLF_pear)*s_IFPR_res_adj*s_CF_pear</f>
        <v>103.60625</v>
      </c>
      <c r="AT20" s="40">
        <f>s_C*(d_Bv!S20+s_MLF_peas)*s_IFPE_res_adj*s_CF_peas</f>
        <v>104.13562499999999</v>
      </c>
      <c r="AU20" s="40">
        <f>s_C*(d_Bv!T20+s_MLF_peppers)*s_IFPP_res_adj*s_CF_peppers</f>
        <v>103.60625</v>
      </c>
      <c r="AV20" s="40">
        <f>s_C*(d_Bv!U20+s_MLF_potato)*s_IFPT_res_adj*s_CF_potato</f>
        <v>122.51249999999999</v>
      </c>
      <c r="AW20" s="40">
        <f>s_C*(d_Bv!V20+s_MLF_pumpkin)*s_IFPU_res_adj*s_CF_pumpkin</f>
        <v>103.60625</v>
      </c>
      <c r="AX20" s="40">
        <f>s_C*(d_Bv!W20+s_MLF_snap_bean)*s_IFSN_res_adj*s_CF_snap_bean</f>
        <v>104.13562499999999</v>
      </c>
      <c r="AY20" s="40">
        <f>s_C*(d_Bv!X20+s_MLF_strawberry)*s_IFST_res_adj*s_CF_strawberry</f>
        <v>103.60625</v>
      </c>
      <c r="AZ20" s="40">
        <f>s_C*(d_Bv!Y20+s_MLF_tomato)*s_IFTO_res_adj*s_CF_tomato</f>
        <v>103.60625</v>
      </c>
      <c r="BA20" s="40">
        <f>s_C*(d_Bv!Z20+s_MLF_rice)*s_IFRI_res_adj*s_CF_rice</f>
        <v>200.40625</v>
      </c>
      <c r="BB20" s="40">
        <f>s_C*(d_Bv!AA20+s_MLF_cereal)*s_IFCG_res_adj*s_CF_cereal</f>
        <v>103.90875</v>
      </c>
      <c r="BC20" s="15" t="str">
        <f t="shared" si="2"/>
        <v>.</v>
      </c>
      <c r="BD20" s="15" t="str">
        <f>IFERROR((s_dir!AD20/(d_Bv!C20+s_MLF_apple)),".")</f>
        <v>.</v>
      </c>
      <c r="BE20" s="15" t="str">
        <f>IFERROR((s_dir!AE20/(d_Bv!D20+s_MLF_asparagus)),".")</f>
        <v>.</v>
      </c>
      <c r="BF20" s="15" t="str">
        <f>IFERROR((s_dir!AF20/(d_Bv!E20+s_MLF_beet)),".")</f>
        <v>.</v>
      </c>
      <c r="BG20" s="15" t="str">
        <f>IFERROR((s_dir!AG20/(d_Bv!F20+s_MLF_berries)),".")</f>
        <v>.</v>
      </c>
      <c r="BH20" s="15" t="str">
        <f>IFERROR((s_dir!AH20/(d_Bv!G20+s_MLF_broccoli)),".")</f>
        <v>.</v>
      </c>
      <c r="BI20" s="15" t="str">
        <f>IFERROR((s_dir!AI20/(d_Bv!H20+s_MLF_cabbage)),".")</f>
        <v>.</v>
      </c>
      <c r="BJ20" s="15" t="str">
        <f>IFERROR((s_dir!AJ20/(d_Bv!I20+s_MLF_carrot)),".")</f>
        <v>.</v>
      </c>
      <c r="BK20" s="15" t="str">
        <f>IFERROR((s_dir!AK20/(d_Bv!J20+s_MLF_citrus)),".")</f>
        <v>.</v>
      </c>
      <c r="BL20" s="15" t="str">
        <f>IFERROR((s_dir!AL20/(d_Bv!K20+s_MLF_corn)),".")</f>
        <v>.</v>
      </c>
      <c r="BM20" s="15" t="str">
        <f>IFERROR((s_dir!AM20/(d_Bv!L20+s_MLF_cucumber)),".")</f>
        <v>.</v>
      </c>
      <c r="BN20" s="15" t="str">
        <f>IFERROR((s_dir!AN20/(d_Bv!M20+s_MLF_lettuce)),".")</f>
        <v>.</v>
      </c>
      <c r="BO20" s="15" t="str">
        <f>IFERROR((s_dir!AO20/(d_Bv!N20+s_MLF_lima_bean)),".")</f>
        <v>.</v>
      </c>
      <c r="BP20" s="15" t="str">
        <f>IFERROR((s_dir!AP20/(d_Bv!O20+s_MLF_okra)),".")</f>
        <v>.</v>
      </c>
      <c r="BQ20" s="15" t="str">
        <f>IFERROR((s_dir!AQ20/(d_Bv!P20+s_MLF_onion)),".")</f>
        <v>.</v>
      </c>
      <c r="BR20" s="15" t="str">
        <f>IFERROR((s_dir!AR20/(d_Bv!Q20+s_MLF_peach)),".")</f>
        <v>.</v>
      </c>
      <c r="BS20" s="15" t="str">
        <f>IFERROR((s_dir!AS20/(d_Bv!R20+s_MLF_pear)),".")</f>
        <v>.</v>
      </c>
      <c r="BT20" s="15" t="str">
        <f>IFERROR((s_dir!AT20/(d_Bv!S20+s_MLF_peas)),".")</f>
        <v>.</v>
      </c>
      <c r="BU20" s="15" t="str">
        <f>IFERROR((s_dir!AU20/(d_Bv!T20+s_MLF_peppers)),".")</f>
        <v>.</v>
      </c>
      <c r="BV20" s="15" t="str">
        <f>IFERROR((s_dir!AV20/(d_Bv!U20+s_MLF_potato)),".")</f>
        <v>.</v>
      </c>
      <c r="BW20" s="15" t="str">
        <f>IFERROR((s_dir!AW20/(d_Bv!V20+s_MLF_pumpkin)),".")</f>
        <v>.</v>
      </c>
      <c r="BX20" s="15" t="str">
        <f>IFERROR((s_dir!AX20/(d_Bv!W20+s_MLF_snap_bean)),".")</f>
        <v>.</v>
      </c>
      <c r="BY20" s="15" t="str">
        <f>IFERROR((s_dir!AY20/(d_Bv!X20+s_MLF_strawberry)),".")</f>
        <v>.</v>
      </c>
      <c r="BZ20" s="15" t="str">
        <f>IFERROR((s_dir!AZ20/(d_Bv!Y20+s_MLF_tomato)),".")</f>
        <v>.</v>
      </c>
      <c r="CA20" s="15" t="str">
        <f>IFERROR((s_dir!BA20/(d_Bv!Z20+s_MLF_rice)),".")</f>
        <v>.</v>
      </c>
      <c r="CB20" s="15" t="str">
        <f>IFERROR((s_dir!BB20/(d_Bv!AA20+s_MLF_cereal)),".")</f>
        <v>.</v>
      </c>
      <c r="CC20" s="40">
        <f t="shared" si="3"/>
        <v>511.52749999999997</v>
      </c>
      <c r="CD20" s="40">
        <f>IFERROR(s_C*(d_Bv!C20+s_MLF_apple)*s_IFAP_far_adj*s_CF_apple,".")</f>
        <v>103.60625</v>
      </c>
      <c r="CE20" s="40">
        <f>IFERROR(s_C*(d_Bv!D20+s_MLF_asparagus)*s_IFAS_far_adj*s_CF_asparagus,".")</f>
        <v>158.05625000000001</v>
      </c>
      <c r="CF20" s="40">
        <f>IFERROR(s_C*(d_Bv!E20+s_MLF_beet)*s_IFBT_far_adj*s_CF_beet,".")</f>
        <v>145.95624999999998</v>
      </c>
      <c r="CG20" s="40">
        <f>IFERROR(s_C*(d_Bv!F20+s_MLF_berries)*s_IFBR_far_adj*s_CF_berries,".")</f>
        <v>103.60625</v>
      </c>
      <c r="CH20" s="40">
        <f>IFERROR(s_C*(d_Bv!G20+s_MLF_broccoli)*s_IFBR_far_adj*s_CF_broccoli,".")</f>
        <v>103.60625</v>
      </c>
      <c r="CI20" s="40">
        <f>IFERROR(s_C*(d_Bv!H20+s_MLF_cabbage)*s_IFCB_far_adj*s_CF_cabbage,".")</f>
        <v>158.05625000000001</v>
      </c>
      <c r="CJ20" s="40">
        <f>IFERROR(s_C*(d_Bv!I20+s_MLF_carrot)*s_IFCR_far_adj*s_CF_carrot,".")</f>
        <v>145.95624999999998</v>
      </c>
      <c r="CK20" s="40">
        <f>IFERROR(s_C*(d_Bv!J20+s_MLF_citrus)*s_IFCI_far_adj*s_CF_citrus,".")</f>
        <v>103.60625</v>
      </c>
      <c r="CL20" s="40">
        <f>IFERROR(s_C*(d_Bv!K20+s_MLF_corn)*s_IFCO_far_adj*s_CF_corn,".")</f>
        <v>103.90875</v>
      </c>
      <c r="CM20" s="40">
        <f>IFERROR(s_C*(d_Bv!L20+s_MLF_cucumber)*s_IFCU_far_adj*s_CF_cucumber,".")</f>
        <v>103.60625</v>
      </c>
      <c r="CN20" s="40">
        <f>IFERROR(s_C*(d_Bv!M20+s_MLF_lettuce)*s_IFLE_far_adj*s_CF_lettuce,".")</f>
        <v>158.05625000000001</v>
      </c>
      <c r="CO20" s="40">
        <f>IFERROR(s_C*(d_Bv!N20+s_MLF_lima_bean)*s_IFLI_far_adj*s_CF_lima_bean,".")</f>
        <v>104.13562499999999</v>
      </c>
      <c r="CP20" s="40">
        <f>IFERROR(s_C*(d_Bv!O20+s_MLF_okra)*s_IFOK_far_adj*s_CF_okra,".")</f>
        <v>103.60625</v>
      </c>
      <c r="CQ20" s="40">
        <f>IFERROR(s_C*(d_Bv!P20+s_MLF_onion)*s_IFON_far_adj*s_CF_onion,".")</f>
        <v>145.95624999999998</v>
      </c>
      <c r="CR20" s="40">
        <f>IFERROR(s_C*(d_Bv!Q20+s_MLF_peach)*s_IFPC_far_adj*s_CF_peach,".")</f>
        <v>103.60625</v>
      </c>
      <c r="CS20" s="40">
        <f>IFERROR(s_C*(d_Bv!R20+s_MLF_pear)*s_IFPR_far_adj*s_CF_pear,".")</f>
        <v>103.60625</v>
      </c>
      <c r="CT20" s="40">
        <f>IFERROR(s_C*(d_Bv!S20+s_MLF_peas)*s_IFPE_far_adj*s_CF_peas,".")</f>
        <v>104.13562499999999</v>
      </c>
      <c r="CU20" s="40">
        <f>IFERROR(s_C*(d_Bv!T20+s_MLF_peppers)*s_IFPP_far_adj*s_CF_peppers,".")</f>
        <v>103.60625</v>
      </c>
      <c r="CV20" s="40">
        <f>IFERROR(s_C*(d_Bv!U20+s_MLF_potato)*s_IFPT_far_adj*s_CF_potato,".")</f>
        <v>122.51249999999999</v>
      </c>
      <c r="CW20" s="40">
        <f>IFERROR(s_C*(d_Bv!V20+s_MLF_pumpkin)*s_IFPU_far_adj*s_CF_pumpkin,".")</f>
        <v>103.60625</v>
      </c>
      <c r="CX20" s="40">
        <f>IFERROR(s_C*(d_Bv!W20+s_MLF_snap_bean)*s_IFSN_far_adj*s_CF_snap_bean,".")</f>
        <v>104.13562499999999</v>
      </c>
      <c r="CY20" s="40">
        <f>IFERROR(s_C*(d_Bv!X20+s_MLF_strawberry)*s_IFST_far_adj*s_CF_strawberry,".")</f>
        <v>103.60625</v>
      </c>
      <c r="CZ20" s="40">
        <f>IFERROR(s_C*(d_Bv!Y20+s_MLF_tomato)*s_IFTO_far_adj*s_CF_tomato,".")</f>
        <v>103.60625</v>
      </c>
      <c r="DA20" s="40">
        <f>IFERROR(s_C*(d_Bv!Z20+s_MLF_rice)*s_IFRI_far_adj*s_CF_rice,".")</f>
        <v>200.40625</v>
      </c>
      <c r="DB20" s="40">
        <f>IFERROR(s_C*(d_Bv!AA20+s_MLF_cereal)*s_IFCG_far_adj*s_CF_cereal,".")</f>
        <v>103.90875</v>
      </c>
    </row>
    <row r="21" spans="1:106" ht="15" customHeight="1" x14ac:dyDescent="0.25">
      <c r="A21" s="44" t="s">
        <v>19</v>
      </c>
      <c r="B21" s="42" t="s">
        <v>1057</v>
      </c>
      <c r="C21" s="15" t="str">
        <f t="shared" si="0"/>
        <v>.</v>
      </c>
      <c r="D21" s="15" t="str">
        <f>IFERROR((s_dir!D21/(d_Bv!C21+s_MLF_apple)),".")</f>
        <v>.</v>
      </c>
      <c r="E21" s="15" t="str">
        <f>IFERROR((s_dir!E21/(d_Bv!D21+s_MLF_asparagus)),".")</f>
        <v>.</v>
      </c>
      <c r="F21" s="15" t="str">
        <f>IFERROR((s_dir!F21/(d_Bv!E21+s_MLF_beet)),".")</f>
        <v>.</v>
      </c>
      <c r="G21" s="15" t="str">
        <f>IFERROR((s_dir!G21/(d_Bv!F21+s_MLF_berries)),".")</f>
        <v>.</v>
      </c>
      <c r="H21" s="15" t="str">
        <f>IFERROR((s_dir!H21/(d_Bv!G21+s_MLF_broccoli)),".")</f>
        <v>.</v>
      </c>
      <c r="I21" s="15" t="str">
        <f>IFERROR((s_dir!I21/(d_Bv!H21+s_MLF_cabbage)),".")</f>
        <v>.</v>
      </c>
      <c r="J21" s="15" t="str">
        <f>IFERROR((s_dir!J21/(d_Bv!I21+s_MLF_carrot)),".")</f>
        <v>.</v>
      </c>
      <c r="K21" s="15" t="str">
        <f>IFERROR((s_dir!K21/(d_Bv!J21+s_MLF_citrus)),".")</f>
        <v>.</v>
      </c>
      <c r="L21" s="15" t="str">
        <f>IFERROR((s_dir!L21/(d_Bv!K21+s_MLF_corn)),".")</f>
        <v>.</v>
      </c>
      <c r="M21" s="15" t="str">
        <f>IFERROR((s_dir!M21/(d_Bv!L21+s_MLF_cucumber)),".")</f>
        <v>.</v>
      </c>
      <c r="N21" s="15" t="str">
        <f>IFERROR((s_dir!N21/(d_Bv!M21+s_MLF_lettuce)),".")</f>
        <v>.</v>
      </c>
      <c r="O21" s="15" t="str">
        <f>IFERROR((s_dir!O21/(d_Bv!N21+s_MLF_lima_bean)),".")</f>
        <v>.</v>
      </c>
      <c r="P21" s="15" t="str">
        <f>IFERROR((s_dir!P21/(d_Bv!O21+s_MLF_okra)),".")</f>
        <v>.</v>
      </c>
      <c r="Q21" s="15" t="str">
        <f>IFERROR((s_dir!Q21/(d_Bv!P21+s_MLF_onion)),".")</f>
        <v>.</v>
      </c>
      <c r="R21" s="15" t="str">
        <f>IFERROR((s_dir!R21/(d_Bv!Q21+s_MLF_peach)),".")</f>
        <v>.</v>
      </c>
      <c r="S21" s="15" t="str">
        <f>IFERROR((s_dir!S21/(d_Bv!R21+s_MLF_pear)),".")</f>
        <v>.</v>
      </c>
      <c r="T21" s="15" t="str">
        <f>IFERROR((s_dir!T21/(d_Bv!S21+s_MLF_peas)),".")</f>
        <v>.</v>
      </c>
      <c r="U21" s="15" t="str">
        <f>IFERROR((s_dir!U21/(d_Bv!T21+s_MLF_peppers)),".")</f>
        <v>.</v>
      </c>
      <c r="V21" s="15" t="str">
        <f>IFERROR((s_dir!V21/(d_Bv!U21+s_MLF_potato)),".")</f>
        <v>.</v>
      </c>
      <c r="W21" s="15" t="str">
        <f>IFERROR((s_dir!W21/(d_Bv!V21+s_MLF_pumpkin)),".")</f>
        <v>.</v>
      </c>
      <c r="X21" s="15" t="str">
        <f>IFERROR((s_dir!X21/(d_Bv!W21+s_MLF_snap_bean)),".")</f>
        <v>.</v>
      </c>
      <c r="Y21" s="15" t="str">
        <f>IFERROR((s_dir!Y21/(d_Bv!X21+s_MLF_strawberry)),".")</f>
        <v>.</v>
      </c>
      <c r="Z21" s="15" t="str">
        <f>IFERROR((s_dir!Z21/(d_Bv!Y21+s_MLF_tomato)),".")</f>
        <v>.</v>
      </c>
      <c r="AA21" s="15" t="str">
        <f>IFERROR((s_dir!AA21/(d_Bv!Z21+s_MLF_rice)),".")</f>
        <v>.</v>
      </c>
      <c r="AB21" s="15" t="str">
        <f>IFERROR((s_dir!AB21/(d_Bv!AA21+s_MLF_cereal)),".")</f>
        <v>.</v>
      </c>
      <c r="AC21" s="40">
        <f t="shared" si="1"/>
        <v>511.52749999999997</v>
      </c>
      <c r="AD21" s="40">
        <f>s_C*(d_Bv!C21+s_MLF_apple)*s_IFAP_res_adj*s_CF_apple</f>
        <v>103.60625</v>
      </c>
      <c r="AE21" s="40">
        <f>s_C*(d_Bv!D21+s_MLF_asparagus)*s_IFAS_res_adj*s_CF_asparagus</f>
        <v>158.05625000000001</v>
      </c>
      <c r="AF21" s="40">
        <f>s_C*(d_Bv!E21+s_MLF_beet)*s_IFBT_res_adj*s_CF_beet</f>
        <v>145.95624999999998</v>
      </c>
      <c r="AG21" s="40">
        <f>s_C*(d_Bv!F21+s_MLF_berries)*s_IFBE_res_adj*s_CF_berries</f>
        <v>103.60625</v>
      </c>
      <c r="AH21" s="40">
        <f>s_C*(d_Bv!G21+s_MLF_broccoli)*s_IFBR_res_adj*s_CF_broccoli</f>
        <v>103.60625</v>
      </c>
      <c r="AI21" s="40">
        <f>s_C*(d_Bv!H21+s_MLF_cabbage)*s_IFCB_res_adj*s_CF_cabbage</f>
        <v>158.05625000000001</v>
      </c>
      <c r="AJ21" s="40">
        <f>s_C*(d_Bv!I21+s_MLF_carrot)*s_IFCR_res_adj*s_CF_carrot</f>
        <v>145.95624999999998</v>
      </c>
      <c r="AK21" s="40">
        <f>s_C*(d_Bv!J21+s_MLF_citrus)*s_IFCI_res_adj*s_CF_citrus</f>
        <v>103.60625</v>
      </c>
      <c r="AL21" s="40">
        <f>s_C*(d_Bv!K21+s_MLF_corn)*s_IFCO_res_adj*s_CF_corn</f>
        <v>103.90875</v>
      </c>
      <c r="AM21" s="40">
        <f>s_C*(d_Bv!L21+s_MLF_cucumber)*s_IFCU_res_adj*s_CF_cucumber</f>
        <v>103.60625</v>
      </c>
      <c r="AN21" s="40">
        <f>s_C*(d_Bv!M21+s_MLF_lettuce)*s_IFLE_res_adj*s_CF_lettuce</f>
        <v>158.05625000000001</v>
      </c>
      <c r="AO21" s="40">
        <f>s_C*(d_Bv!N21+s_MLF_lima_bean)*s_IFLI_res_adj*s_CF_lima_bean</f>
        <v>104.13562499999999</v>
      </c>
      <c r="AP21" s="40">
        <f>s_C*(d_Bv!O21+s_MLF_okra)*s_IFOK_res_adj*s_CF_okra</f>
        <v>103.60625</v>
      </c>
      <c r="AQ21" s="40">
        <f>s_C*(d_Bv!P21+s_MLF_onion)*s_IFON_res_adj*s_CF_onion</f>
        <v>145.95624999999998</v>
      </c>
      <c r="AR21" s="40">
        <f>s_C*(d_Bv!Q21+s_MLF_peach)*s_IFPC_res_adj*s_CF_peach</f>
        <v>103.60625</v>
      </c>
      <c r="AS21" s="40">
        <f>s_C*(d_Bv!R21+s_MLF_pear)*s_IFPR_res_adj*s_CF_pear</f>
        <v>103.60625</v>
      </c>
      <c r="AT21" s="40">
        <f>s_C*(d_Bv!S21+s_MLF_peas)*s_IFPE_res_adj*s_CF_peas</f>
        <v>104.13562499999999</v>
      </c>
      <c r="AU21" s="40">
        <f>s_C*(d_Bv!T21+s_MLF_peppers)*s_IFPP_res_adj*s_CF_peppers</f>
        <v>103.60625</v>
      </c>
      <c r="AV21" s="40">
        <f>s_C*(d_Bv!U21+s_MLF_potato)*s_IFPT_res_adj*s_CF_potato</f>
        <v>122.51249999999999</v>
      </c>
      <c r="AW21" s="40">
        <f>s_C*(d_Bv!V21+s_MLF_pumpkin)*s_IFPU_res_adj*s_CF_pumpkin</f>
        <v>103.60625</v>
      </c>
      <c r="AX21" s="40">
        <f>s_C*(d_Bv!W21+s_MLF_snap_bean)*s_IFSN_res_adj*s_CF_snap_bean</f>
        <v>104.13562499999999</v>
      </c>
      <c r="AY21" s="40">
        <f>s_C*(d_Bv!X21+s_MLF_strawberry)*s_IFST_res_adj*s_CF_strawberry</f>
        <v>103.60625</v>
      </c>
      <c r="AZ21" s="40">
        <f>s_C*(d_Bv!Y21+s_MLF_tomato)*s_IFTO_res_adj*s_CF_tomato</f>
        <v>103.60625</v>
      </c>
      <c r="BA21" s="40">
        <f>s_C*(d_Bv!Z21+s_MLF_rice)*s_IFRI_res_adj*s_CF_rice</f>
        <v>200.40625</v>
      </c>
      <c r="BB21" s="40">
        <f>s_C*(d_Bv!AA21+s_MLF_cereal)*s_IFCG_res_adj*s_CF_cereal</f>
        <v>103.90875</v>
      </c>
      <c r="BC21" s="15" t="str">
        <f t="shared" si="2"/>
        <v>.</v>
      </c>
      <c r="BD21" s="15" t="str">
        <f>IFERROR((s_dir!AD21/(d_Bv!C21+s_MLF_apple)),".")</f>
        <v>.</v>
      </c>
      <c r="BE21" s="15" t="str">
        <f>IFERROR((s_dir!AE21/(d_Bv!D21+s_MLF_asparagus)),".")</f>
        <v>.</v>
      </c>
      <c r="BF21" s="15" t="str">
        <f>IFERROR((s_dir!AF21/(d_Bv!E21+s_MLF_beet)),".")</f>
        <v>.</v>
      </c>
      <c r="BG21" s="15" t="str">
        <f>IFERROR((s_dir!AG21/(d_Bv!F21+s_MLF_berries)),".")</f>
        <v>.</v>
      </c>
      <c r="BH21" s="15" t="str">
        <f>IFERROR((s_dir!AH21/(d_Bv!G21+s_MLF_broccoli)),".")</f>
        <v>.</v>
      </c>
      <c r="BI21" s="15" t="str">
        <f>IFERROR((s_dir!AI21/(d_Bv!H21+s_MLF_cabbage)),".")</f>
        <v>.</v>
      </c>
      <c r="BJ21" s="15" t="str">
        <f>IFERROR((s_dir!AJ21/(d_Bv!I21+s_MLF_carrot)),".")</f>
        <v>.</v>
      </c>
      <c r="BK21" s="15" t="str">
        <f>IFERROR((s_dir!AK21/(d_Bv!J21+s_MLF_citrus)),".")</f>
        <v>.</v>
      </c>
      <c r="BL21" s="15" t="str">
        <f>IFERROR((s_dir!AL21/(d_Bv!K21+s_MLF_corn)),".")</f>
        <v>.</v>
      </c>
      <c r="BM21" s="15" t="str">
        <f>IFERROR((s_dir!AM21/(d_Bv!L21+s_MLF_cucumber)),".")</f>
        <v>.</v>
      </c>
      <c r="BN21" s="15" t="str">
        <f>IFERROR((s_dir!AN21/(d_Bv!M21+s_MLF_lettuce)),".")</f>
        <v>.</v>
      </c>
      <c r="BO21" s="15" t="str">
        <f>IFERROR((s_dir!AO21/(d_Bv!N21+s_MLF_lima_bean)),".")</f>
        <v>.</v>
      </c>
      <c r="BP21" s="15" t="str">
        <f>IFERROR((s_dir!AP21/(d_Bv!O21+s_MLF_okra)),".")</f>
        <v>.</v>
      </c>
      <c r="BQ21" s="15" t="str">
        <f>IFERROR((s_dir!AQ21/(d_Bv!P21+s_MLF_onion)),".")</f>
        <v>.</v>
      </c>
      <c r="BR21" s="15" t="str">
        <f>IFERROR((s_dir!AR21/(d_Bv!Q21+s_MLF_peach)),".")</f>
        <v>.</v>
      </c>
      <c r="BS21" s="15" t="str">
        <f>IFERROR((s_dir!AS21/(d_Bv!R21+s_MLF_pear)),".")</f>
        <v>.</v>
      </c>
      <c r="BT21" s="15" t="str">
        <f>IFERROR((s_dir!AT21/(d_Bv!S21+s_MLF_peas)),".")</f>
        <v>.</v>
      </c>
      <c r="BU21" s="15" t="str">
        <f>IFERROR((s_dir!AU21/(d_Bv!T21+s_MLF_peppers)),".")</f>
        <v>.</v>
      </c>
      <c r="BV21" s="15" t="str">
        <f>IFERROR((s_dir!AV21/(d_Bv!U21+s_MLF_potato)),".")</f>
        <v>.</v>
      </c>
      <c r="BW21" s="15" t="str">
        <f>IFERROR((s_dir!AW21/(d_Bv!V21+s_MLF_pumpkin)),".")</f>
        <v>.</v>
      </c>
      <c r="BX21" s="15" t="str">
        <f>IFERROR((s_dir!AX21/(d_Bv!W21+s_MLF_snap_bean)),".")</f>
        <v>.</v>
      </c>
      <c r="BY21" s="15" t="str">
        <f>IFERROR((s_dir!AY21/(d_Bv!X21+s_MLF_strawberry)),".")</f>
        <v>.</v>
      </c>
      <c r="BZ21" s="15" t="str">
        <f>IFERROR((s_dir!AZ21/(d_Bv!Y21+s_MLF_tomato)),".")</f>
        <v>.</v>
      </c>
      <c r="CA21" s="15" t="str">
        <f>IFERROR((s_dir!BA21/(d_Bv!Z21+s_MLF_rice)),".")</f>
        <v>.</v>
      </c>
      <c r="CB21" s="15" t="str">
        <f>IFERROR((s_dir!BB21/(d_Bv!AA21+s_MLF_cereal)),".")</f>
        <v>.</v>
      </c>
      <c r="CC21" s="40">
        <f t="shared" si="3"/>
        <v>511.52749999999997</v>
      </c>
      <c r="CD21" s="40">
        <f>IFERROR(s_C*(d_Bv!C21+s_MLF_apple)*s_IFAP_far_adj*s_CF_apple,".")</f>
        <v>103.60625</v>
      </c>
      <c r="CE21" s="40">
        <f>IFERROR(s_C*(d_Bv!D21+s_MLF_asparagus)*s_IFAS_far_adj*s_CF_asparagus,".")</f>
        <v>158.05625000000001</v>
      </c>
      <c r="CF21" s="40">
        <f>IFERROR(s_C*(d_Bv!E21+s_MLF_beet)*s_IFBT_far_adj*s_CF_beet,".")</f>
        <v>145.95624999999998</v>
      </c>
      <c r="CG21" s="40">
        <f>IFERROR(s_C*(d_Bv!F21+s_MLF_berries)*s_IFBR_far_adj*s_CF_berries,".")</f>
        <v>103.60625</v>
      </c>
      <c r="CH21" s="40">
        <f>IFERROR(s_C*(d_Bv!G21+s_MLF_broccoli)*s_IFBR_far_adj*s_CF_broccoli,".")</f>
        <v>103.60625</v>
      </c>
      <c r="CI21" s="40">
        <f>IFERROR(s_C*(d_Bv!H21+s_MLF_cabbage)*s_IFCB_far_adj*s_CF_cabbage,".")</f>
        <v>158.05625000000001</v>
      </c>
      <c r="CJ21" s="40">
        <f>IFERROR(s_C*(d_Bv!I21+s_MLF_carrot)*s_IFCR_far_adj*s_CF_carrot,".")</f>
        <v>145.95624999999998</v>
      </c>
      <c r="CK21" s="40">
        <f>IFERROR(s_C*(d_Bv!J21+s_MLF_citrus)*s_IFCI_far_adj*s_CF_citrus,".")</f>
        <v>103.60625</v>
      </c>
      <c r="CL21" s="40">
        <f>IFERROR(s_C*(d_Bv!K21+s_MLF_corn)*s_IFCO_far_adj*s_CF_corn,".")</f>
        <v>103.90875</v>
      </c>
      <c r="CM21" s="40">
        <f>IFERROR(s_C*(d_Bv!L21+s_MLF_cucumber)*s_IFCU_far_adj*s_CF_cucumber,".")</f>
        <v>103.60625</v>
      </c>
      <c r="CN21" s="40">
        <f>IFERROR(s_C*(d_Bv!M21+s_MLF_lettuce)*s_IFLE_far_adj*s_CF_lettuce,".")</f>
        <v>158.05625000000001</v>
      </c>
      <c r="CO21" s="40">
        <f>IFERROR(s_C*(d_Bv!N21+s_MLF_lima_bean)*s_IFLI_far_adj*s_CF_lima_bean,".")</f>
        <v>104.13562499999999</v>
      </c>
      <c r="CP21" s="40">
        <f>IFERROR(s_C*(d_Bv!O21+s_MLF_okra)*s_IFOK_far_adj*s_CF_okra,".")</f>
        <v>103.60625</v>
      </c>
      <c r="CQ21" s="40">
        <f>IFERROR(s_C*(d_Bv!P21+s_MLF_onion)*s_IFON_far_adj*s_CF_onion,".")</f>
        <v>145.95624999999998</v>
      </c>
      <c r="CR21" s="40">
        <f>IFERROR(s_C*(d_Bv!Q21+s_MLF_peach)*s_IFPC_far_adj*s_CF_peach,".")</f>
        <v>103.60625</v>
      </c>
      <c r="CS21" s="40">
        <f>IFERROR(s_C*(d_Bv!R21+s_MLF_pear)*s_IFPR_far_adj*s_CF_pear,".")</f>
        <v>103.60625</v>
      </c>
      <c r="CT21" s="40">
        <f>IFERROR(s_C*(d_Bv!S21+s_MLF_peas)*s_IFPE_far_adj*s_CF_peas,".")</f>
        <v>104.13562499999999</v>
      </c>
      <c r="CU21" s="40">
        <f>IFERROR(s_C*(d_Bv!T21+s_MLF_peppers)*s_IFPP_far_adj*s_CF_peppers,".")</f>
        <v>103.60625</v>
      </c>
      <c r="CV21" s="40">
        <f>IFERROR(s_C*(d_Bv!U21+s_MLF_potato)*s_IFPT_far_adj*s_CF_potato,".")</f>
        <v>122.51249999999999</v>
      </c>
      <c r="CW21" s="40">
        <f>IFERROR(s_C*(d_Bv!V21+s_MLF_pumpkin)*s_IFPU_far_adj*s_CF_pumpkin,".")</f>
        <v>103.60625</v>
      </c>
      <c r="CX21" s="40">
        <f>IFERROR(s_C*(d_Bv!W21+s_MLF_snap_bean)*s_IFSN_far_adj*s_CF_snap_bean,".")</f>
        <v>104.13562499999999</v>
      </c>
      <c r="CY21" s="40">
        <f>IFERROR(s_C*(d_Bv!X21+s_MLF_strawberry)*s_IFST_far_adj*s_CF_strawberry,".")</f>
        <v>103.60625</v>
      </c>
      <c r="CZ21" s="40">
        <f>IFERROR(s_C*(d_Bv!Y21+s_MLF_tomato)*s_IFTO_far_adj*s_CF_tomato,".")</f>
        <v>103.60625</v>
      </c>
      <c r="DA21" s="40">
        <f>IFERROR(s_C*(d_Bv!Z21+s_MLF_rice)*s_IFRI_far_adj*s_CF_rice,".")</f>
        <v>200.40625</v>
      </c>
      <c r="DB21" s="40">
        <f>IFERROR(s_C*(d_Bv!AA21+s_MLF_cereal)*s_IFCG_far_adj*s_CF_cereal,".")</f>
        <v>103.90875</v>
      </c>
    </row>
    <row r="22" spans="1:106" ht="15" customHeight="1" x14ac:dyDescent="0.25">
      <c r="A22" s="44" t="s">
        <v>20</v>
      </c>
      <c r="B22" s="42" t="s">
        <v>1057</v>
      </c>
      <c r="C22" s="15">
        <f t="shared" si="0"/>
        <v>37.96919641146571</v>
      </c>
      <c r="D22" s="15">
        <f>IFERROR((s_dir!D22/(d_Bv!C22+s_MLF_apple)),".")</f>
        <v>159.74529571070701</v>
      </c>
      <c r="E22" s="15">
        <f>IFERROR((s_dir!E22/(d_Bv!D22+s_MLF_asparagus)),".")</f>
        <v>35.923583245948471</v>
      </c>
      <c r="F22" s="15">
        <f>IFERROR((s_dir!F22/(d_Bv!E22+s_MLF_beet)),".")</f>
        <v>44.958256876666042</v>
      </c>
      <c r="G22" s="15">
        <f>IFERROR((s_dir!G22/(d_Bv!F22+s_MLF_berries)),".")</f>
        <v>159.74529571070701</v>
      </c>
      <c r="H22" s="15">
        <f>IFERROR((s_dir!H22/(d_Bv!G22+s_MLF_broccoli)),".")</f>
        <v>123.08244095742999</v>
      </c>
      <c r="I22" s="15">
        <f>IFERROR((s_dir!I22/(d_Bv!H22+s_MLF_cabbage)),".")</f>
        <v>35.923583245948471</v>
      </c>
      <c r="J22" s="15">
        <f>IFERROR((s_dir!J22/(d_Bv!I22+s_MLF_carrot)),".")</f>
        <v>44.958256876666042</v>
      </c>
      <c r="K22" s="15">
        <f>IFERROR((s_dir!K22/(d_Bv!J22+s_MLF_citrus)),".")</f>
        <v>159.74529571070701</v>
      </c>
      <c r="L22" s="15">
        <f>IFERROR((s_dir!L22/(d_Bv!K22+s_MLF_corn)),".")</f>
        <v>236.10153768563615</v>
      </c>
      <c r="M22" s="15">
        <f>IFERROR((s_dir!M22/(d_Bv!L22+s_MLF_cucumber)),".")</f>
        <v>123.08244095742999</v>
      </c>
      <c r="N22" s="15">
        <f>IFERROR((s_dir!N22/(d_Bv!M22+s_MLF_lettuce)),".")</f>
        <v>35.923583245948471</v>
      </c>
      <c r="O22" s="15">
        <f>IFERROR((s_dir!O22/(d_Bv!N22+s_MLF_lima_bean)),".")</f>
        <v>136.50961633460417</v>
      </c>
      <c r="P22" s="15">
        <f>IFERROR((s_dir!P22/(d_Bv!O22+s_MLF_okra)),".")</f>
        <v>123.08244095742999</v>
      </c>
      <c r="Q22" s="15">
        <f>IFERROR((s_dir!Q22/(d_Bv!P22+s_MLF_onion)),".")</f>
        <v>44.958256876666042</v>
      </c>
      <c r="R22" s="15">
        <f>IFERROR((s_dir!R22/(d_Bv!Q22+s_MLF_peach)),".")</f>
        <v>159.74529571070701</v>
      </c>
      <c r="S22" s="15">
        <f>IFERROR((s_dir!S22/(d_Bv!R22+s_MLF_pear)),".")</f>
        <v>159.74529571070701</v>
      </c>
      <c r="T22" s="15">
        <f>IFERROR((s_dir!T22/(d_Bv!S22+s_MLF_peas)),".")</f>
        <v>136.50961633460417</v>
      </c>
      <c r="U22" s="15">
        <f>IFERROR((s_dir!U22/(d_Bv!T22+s_MLF_peppers)),".")</f>
        <v>123.08244095742999</v>
      </c>
      <c r="V22" s="15">
        <f>IFERROR((s_dir!V22/(d_Bv!U22+s_MLF_potato)),".")</f>
        <v>153.22507955924956</v>
      </c>
      <c r="W22" s="15">
        <f>IFERROR((s_dir!W22/(d_Bv!V22+s_MLF_pumpkin)),".")</f>
        <v>123.08244095742999</v>
      </c>
      <c r="X22" s="15">
        <f>IFERROR((s_dir!X22/(d_Bv!W22+s_MLF_snap_bean)),".")</f>
        <v>136.50961633460417</v>
      </c>
      <c r="Y22" s="15">
        <f>IFERROR((s_dir!Y22/(d_Bv!X22+s_MLF_strawberry)),".")</f>
        <v>159.74529571070701</v>
      </c>
      <c r="Z22" s="15">
        <f>IFERROR((s_dir!Z22/(d_Bv!Y22+s_MLF_tomato)),".")</f>
        <v>123.08244095742999</v>
      </c>
      <c r="AA22" s="15">
        <f>IFERROR((s_dir!AA22/(d_Bv!Z22+s_MLF_rice)),".")</f>
        <v>261.23969723045337</v>
      </c>
      <c r="AB22" s="15">
        <f>IFERROR((s_dir!AB22/(d_Bv!AA22+s_MLF_cereal)),".")</f>
        <v>123.08244095742999</v>
      </c>
      <c r="AC22" s="40">
        <f t="shared" si="1"/>
        <v>747.70437500000003</v>
      </c>
      <c r="AD22" s="40">
        <f>s_C*(d_Bv!C22+s_MLF_apple)*s_IFAP_res_adj*s_CF_apple</f>
        <v>177.71875</v>
      </c>
      <c r="AE22" s="40">
        <f>s_C*(d_Bv!D22+s_MLF_asparagus)*s_IFAS_res_adj*s_CF_asparagus</f>
        <v>790.28125</v>
      </c>
      <c r="AF22" s="40">
        <f>s_C*(d_Bv!E22+s_MLF_beet)*s_IFBT_res_adj*s_CF_beet</f>
        <v>631.46875000000011</v>
      </c>
      <c r="AG22" s="40">
        <f>s_C*(d_Bv!F22+s_MLF_berries)*s_IFBE_res_adj*s_CF_berries</f>
        <v>177.71875</v>
      </c>
      <c r="AH22" s="40">
        <f>s_C*(d_Bv!G22+s_MLF_broccoli)*s_IFBR_res_adj*s_CF_broccoli</f>
        <v>230.65625</v>
      </c>
      <c r="AI22" s="40">
        <f>s_C*(d_Bv!H22+s_MLF_cabbage)*s_IFCB_res_adj*s_CF_cabbage</f>
        <v>790.28125</v>
      </c>
      <c r="AJ22" s="40">
        <f>s_C*(d_Bv!I22+s_MLF_carrot)*s_IFCR_res_adj*s_CF_carrot</f>
        <v>631.46875000000011</v>
      </c>
      <c r="AK22" s="40">
        <f>s_C*(d_Bv!J22+s_MLF_citrus)*s_IFCI_res_adj*s_CF_citrus</f>
        <v>177.71875</v>
      </c>
      <c r="AL22" s="40">
        <f>s_C*(d_Bv!K22+s_MLF_corn)*s_IFCO_res_adj*s_CF_corn</f>
        <v>120.24375000000001</v>
      </c>
      <c r="AM22" s="40">
        <f>s_C*(d_Bv!L22+s_MLF_cucumber)*s_IFCU_res_adj*s_CF_cucumber</f>
        <v>230.65625</v>
      </c>
      <c r="AN22" s="40">
        <f>s_C*(d_Bv!M22+s_MLF_lettuce)*s_IFLE_res_adj*s_CF_lettuce</f>
        <v>790.28125</v>
      </c>
      <c r="AO22" s="40">
        <f>s_C*(d_Bv!N22+s_MLF_lima_bean)*s_IFLI_res_adj*s_CF_lima_bean</f>
        <v>207.96875000000003</v>
      </c>
      <c r="AP22" s="40">
        <f>s_C*(d_Bv!O22+s_MLF_okra)*s_IFOK_res_adj*s_CF_okra</f>
        <v>230.65625</v>
      </c>
      <c r="AQ22" s="40">
        <f>s_C*(d_Bv!P22+s_MLF_onion)*s_IFON_res_adj*s_CF_onion</f>
        <v>631.46875000000011</v>
      </c>
      <c r="AR22" s="40">
        <f>s_C*(d_Bv!Q22+s_MLF_peach)*s_IFPC_res_adj*s_CF_peach</f>
        <v>177.71875</v>
      </c>
      <c r="AS22" s="40">
        <f>s_C*(d_Bv!R22+s_MLF_pear)*s_IFPR_res_adj*s_CF_pear</f>
        <v>177.71875</v>
      </c>
      <c r="AT22" s="40">
        <f>s_C*(d_Bv!S22+s_MLF_peas)*s_IFPE_res_adj*s_CF_peas</f>
        <v>207.96875000000003</v>
      </c>
      <c r="AU22" s="40">
        <f>s_C*(d_Bv!T22+s_MLF_peppers)*s_IFPP_res_adj*s_CF_peppers</f>
        <v>230.65625</v>
      </c>
      <c r="AV22" s="40">
        <f>s_C*(d_Bv!U22+s_MLF_potato)*s_IFPT_res_adj*s_CF_potato</f>
        <v>185.28125</v>
      </c>
      <c r="AW22" s="40">
        <f>s_C*(d_Bv!V22+s_MLF_pumpkin)*s_IFPU_res_adj*s_CF_pumpkin</f>
        <v>230.65625</v>
      </c>
      <c r="AX22" s="40">
        <f>s_C*(d_Bv!W22+s_MLF_snap_bean)*s_IFSN_res_adj*s_CF_snap_bean</f>
        <v>207.96875000000003</v>
      </c>
      <c r="AY22" s="40">
        <f>s_C*(d_Bv!X22+s_MLF_strawberry)*s_IFST_res_adj*s_CF_strawberry</f>
        <v>177.71875</v>
      </c>
      <c r="AZ22" s="40">
        <f>s_C*(d_Bv!Y22+s_MLF_tomato)*s_IFTO_res_adj*s_CF_tomato</f>
        <v>230.65625</v>
      </c>
      <c r="BA22" s="40">
        <f>s_C*(d_Bv!Z22+s_MLF_rice)*s_IFRI_res_adj*s_CF_rice</f>
        <v>108.673125</v>
      </c>
      <c r="BB22" s="40">
        <f>s_C*(d_Bv!AA22+s_MLF_cereal)*s_IFCG_res_adj*s_CF_cereal</f>
        <v>230.65625</v>
      </c>
      <c r="BC22" s="15">
        <f t="shared" si="2"/>
        <v>37.96919641146571</v>
      </c>
      <c r="BD22" s="15">
        <f>IFERROR((s_dir!AD22/(d_Bv!C22+s_MLF_apple)),".")</f>
        <v>159.74529571070701</v>
      </c>
      <c r="BE22" s="15">
        <f>IFERROR((s_dir!AE22/(d_Bv!D22+s_MLF_asparagus)),".")</f>
        <v>35.923583245948471</v>
      </c>
      <c r="BF22" s="15">
        <f>IFERROR((s_dir!AF22/(d_Bv!E22+s_MLF_beet)),".")</f>
        <v>44.958256876666042</v>
      </c>
      <c r="BG22" s="15">
        <f>IFERROR((s_dir!AG22/(d_Bv!F22+s_MLF_berries)),".")</f>
        <v>159.74529571070701</v>
      </c>
      <c r="BH22" s="15">
        <f>IFERROR((s_dir!AH22/(d_Bv!G22+s_MLF_broccoli)),".")</f>
        <v>123.08244095742999</v>
      </c>
      <c r="BI22" s="15">
        <f>IFERROR((s_dir!AI22/(d_Bv!H22+s_MLF_cabbage)),".")</f>
        <v>35.923583245948471</v>
      </c>
      <c r="BJ22" s="15">
        <f>IFERROR((s_dir!AJ22/(d_Bv!I22+s_MLF_carrot)),".")</f>
        <v>44.958256876666042</v>
      </c>
      <c r="BK22" s="15">
        <f>IFERROR((s_dir!AK22/(d_Bv!J22+s_MLF_citrus)),".")</f>
        <v>159.74529571070701</v>
      </c>
      <c r="BL22" s="15">
        <f>IFERROR((s_dir!AL22/(d_Bv!K22+s_MLF_corn)),".")</f>
        <v>236.10153768563615</v>
      </c>
      <c r="BM22" s="15">
        <f>IFERROR((s_dir!AM22/(d_Bv!L22+s_MLF_cucumber)),".")</f>
        <v>123.08244095742999</v>
      </c>
      <c r="BN22" s="15">
        <f>IFERROR((s_dir!AN22/(d_Bv!M22+s_MLF_lettuce)),".")</f>
        <v>35.923583245948471</v>
      </c>
      <c r="BO22" s="15">
        <f>IFERROR((s_dir!AO22/(d_Bv!N22+s_MLF_lima_bean)),".")</f>
        <v>136.50961633460417</v>
      </c>
      <c r="BP22" s="15">
        <f>IFERROR((s_dir!AP22/(d_Bv!O22+s_MLF_okra)),".")</f>
        <v>123.08244095742999</v>
      </c>
      <c r="BQ22" s="15">
        <f>IFERROR((s_dir!AQ22/(d_Bv!P22+s_MLF_onion)),".")</f>
        <v>44.958256876666042</v>
      </c>
      <c r="BR22" s="15">
        <f>IFERROR((s_dir!AR22/(d_Bv!Q22+s_MLF_peach)),".")</f>
        <v>159.74529571070701</v>
      </c>
      <c r="BS22" s="15">
        <f>IFERROR((s_dir!AS22/(d_Bv!R22+s_MLF_pear)),".")</f>
        <v>159.74529571070701</v>
      </c>
      <c r="BT22" s="15">
        <f>IFERROR((s_dir!AT22/(d_Bv!S22+s_MLF_peas)),".")</f>
        <v>136.50961633460417</v>
      </c>
      <c r="BU22" s="15">
        <f>IFERROR((s_dir!AU22/(d_Bv!T22+s_MLF_peppers)),".")</f>
        <v>123.08244095742999</v>
      </c>
      <c r="BV22" s="15">
        <f>IFERROR((s_dir!AV22/(d_Bv!U22+s_MLF_potato)),".")</f>
        <v>153.22507955924956</v>
      </c>
      <c r="BW22" s="15">
        <f>IFERROR((s_dir!AW22/(d_Bv!V22+s_MLF_pumpkin)),".")</f>
        <v>123.08244095742999</v>
      </c>
      <c r="BX22" s="15">
        <f>IFERROR((s_dir!AX22/(d_Bv!W22+s_MLF_snap_bean)),".")</f>
        <v>136.50961633460417</v>
      </c>
      <c r="BY22" s="15">
        <f>IFERROR((s_dir!AY22/(d_Bv!X22+s_MLF_strawberry)),".")</f>
        <v>159.74529571070701</v>
      </c>
      <c r="BZ22" s="15">
        <f>IFERROR((s_dir!AZ22/(d_Bv!Y22+s_MLF_tomato)),".")</f>
        <v>123.08244095742999</v>
      </c>
      <c r="CA22" s="15">
        <f>IFERROR((s_dir!BA22/(d_Bv!Z22+s_MLF_rice)),".")</f>
        <v>261.23969723045337</v>
      </c>
      <c r="CB22" s="15">
        <f>IFERROR((s_dir!BB22/(d_Bv!AA22+s_MLF_cereal)),".")</f>
        <v>123.08244095742999</v>
      </c>
      <c r="CC22" s="40">
        <f t="shared" si="3"/>
        <v>747.70437500000003</v>
      </c>
      <c r="CD22" s="40">
        <f>IFERROR(s_C*(d_Bv!C22+s_MLF_apple)*s_IFAP_far_adj*s_CF_apple,".")</f>
        <v>177.71875</v>
      </c>
      <c r="CE22" s="40">
        <f>IFERROR(s_C*(d_Bv!D22+s_MLF_asparagus)*s_IFAS_far_adj*s_CF_asparagus,".")</f>
        <v>790.28125</v>
      </c>
      <c r="CF22" s="40">
        <f>IFERROR(s_C*(d_Bv!E22+s_MLF_beet)*s_IFBT_far_adj*s_CF_beet,".")</f>
        <v>631.46875000000011</v>
      </c>
      <c r="CG22" s="40">
        <f>IFERROR(s_C*(d_Bv!F22+s_MLF_berries)*s_IFBR_far_adj*s_CF_berries,".")</f>
        <v>177.71875</v>
      </c>
      <c r="CH22" s="40">
        <f>IFERROR(s_C*(d_Bv!G22+s_MLF_broccoli)*s_IFBR_far_adj*s_CF_broccoli,".")</f>
        <v>230.65625</v>
      </c>
      <c r="CI22" s="40">
        <f>IFERROR(s_C*(d_Bv!H22+s_MLF_cabbage)*s_IFCB_far_adj*s_CF_cabbage,".")</f>
        <v>790.28125</v>
      </c>
      <c r="CJ22" s="40">
        <f>IFERROR(s_C*(d_Bv!I22+s_MLF_carrot)*s_IFCR_far_adj*s_CF_carrot,".")</f>
        <v>631.46875000000011</v>
      </c>
      <c r="CK22" s="40">
        <f>IFERROR(s_C*(d_Bv!J22+s_MLF_citrus)*s_IFCI_far_adj*s_CF_citrus,".")</f>
        <v>177.71875</v>
      </c>
      <c r="CL22" s="40">
        <f>IFERROR(s_C*(d_Bv!K22+s_MLF_corn)*s_IFCO_far_adj*s_CF_corn,".")</f>
        <v>120.24375000000001</v>
      </c>
      <c r="CM22" s="40">
        <f>IFERROR(s_C*(d_Bv!L22+s_MLF_cucumber)*s_IFCU_far_adj*s_CF_cucumber,".")</f>
        <v>230.65625</v>
      </c>
      <c r="CN22" s="40">
        <f>IFERROR(s_C*(d_Bv!M22+s_MLF_lettuce)*s_IFLE_far_adj*s_CF_lettuce,".")</f>
        <v>790.28125</v>
      </c>
      <c r="CO22" s="40">
        <f>IFERROR(s_C*(d_Bv!N22+s_MLF_lima_bean)*s_IFLI_far_adj*s_CF_lima_bean,".")</f>
        <v>207.96875000000003</v>
      </c>
      <c r="CP22" s="40">
        <f>IFERROR(s_C*(d_Bv!O22+s_MLF_okra)*s_IFOK_far_adj*s_CF_okra,".")</f>
        <v>230.65625</v>
      </c>
      <c r="CQ22" s="40">
        <f>IFERROR(s_C*(d_Bv!P22+s_MLF_onion)*s_IFON_far_adj*s_CF_onion,".")</f>
        <v>631.46875000000011</v>
      </c>
      <c r="CR22" s="40">
        <f>IFERROR(s_C*(d_Bv!Q22+s_MLF_peach)*s_IFPC_far_adj*s_CF_peach,".")</f>
        <v>177.71875</v>
      </c>
      <c r="CS22" s="40">
        <f>IFERROR(s_C*(d_Bv!R22+s_MLF_pear)*s_IFPR_far_adj*s_CF_pear,".")</f>
        <v>177.71875</v>
      </c>
      <c r="CT22" s="40">
        <f>IFERROR(s_C*(d_Bv!S22+s_MLF_peas)*s_IFPE_far_adj*s_CF_peas,".")</f>
        <v>207.96875000000003</v>
      </c>
      <c r="CU22" s="40">
        <f>IFERROR(s_C*(d_Bv!T22+s_MLF_peppers)*s_IFPP_far_adj*s_CF_peppers,".")</f>
        <v>230.65625</v>
      </c>
      <c r="CV22" s="40">
        <f>IFERROR(s_C*(d_Bv!U22+s_MLF_potato)*s_IFPT_far_adj*s_CF_potato,".")</f>
        <v>185.28125</v>
      </c>
      <c r="CW22" s="40">
        <f>IFERROR(s_C*(d_Bv!V22+s_MLF_pumpkin)*s_IFPU_far_adj*s_CF_pumpkin,".")</f>
        <v>230.65625</v>
      </c>
      <c r="CX22" s="40">
        <f>IFERROR(s_C*(d_Bv!W22+s_MLF_snap_bean)*s_IFSN_far_adj*s_CF_snap_bean,".")</f>
        <v>207.96875000000003</v>
      </c>
      <c r="CY22" s="40">
        <f>IFERROR(s_C*(d_Bv!X22+s_MLF_strawberry)*s_IFST_far_adj*s_CF_strawberry,".")</f>
        <v>177.71875</v>
      </c>
      <c r="CZ22" s="40">
        <f>IFERROR(s_C*(d_Bv!Y22+s_MLF_tomato)*s_IFTO_far_adj*s_CF_tomato,".")</f>
        <v>230.65625</v>
      </c>
      <c r="DA22" s="40">
        <f>IFERROR(s_C*(d_Bv!Z22+s_MLF_rice)*s_IFRI_far_adj*s_CF_rice,".")</f>
        <v>108.673125</v>
      </c>
      <c r="DB22" s="40">
        <f>IFERROR(s_C*(d_Bv!AA22+s_MLF_cereal)*s_IFCG_far_adj*s_CF_cereal,".")</f>
        <v>230.65625</v>
      </c>
    </row>
    <row r="23" spans="1:106" x14ac:dyDescent="0.25">
      <c r="A23" s="46" t="s">
        <v>21</v>
      </c>
      <c r="B23" s="42" t="s">
        <v>335</v>
      </c>
      <c r="C23" s="15">
        <f t="shared" si="0"/>
        <v>19.948496127878233</v>
      </c>
      <c r="D23" s="15">
        <f>IFERROR((s_dir!D23/(d_Bv!C23+s_MLF_apple)),".")</f>
        <v>83.927992006949836</v>
      </c>
      <c r="E23" s="15">
        <f>IFERROR((s_dir!E23/(d_Bv!D23+s_MLF_asparagus)),".")</f>
        <v>18.87375896807006</v>
      </c>
      <c r="F23" s="15">
        <f>IFERROR((s_dir!F23/(d_Bv!E23+s_MLF_beet)),".")</f>
        <v>23.620452840279292</v>
      </c>
      <c r="G23" s="15">
        <f>IFERROR((s_dir!G23/(d_Bv!F23+s_MLF_berries)),".")</f>
        <v>83.927992006949836</v>
      </c>
      <c r="H23" s="15">
        <f>IFERROR((s_dir!H23/(d_Bv!G23+s_MLF_broccoli)),".")</f>
        <v>64.665829906994134</v>
      </c>
      <c r="I23" s="15">
        <f>IFERROR((s_dir!I23/(d_Bv!H23+s_MLF_cabbage)),".")</f>
        <v>18.87375896807006</v>
      </c>
      <c r="J23" s="15">
        <f>IFERROR((s_dir!J23/(d_Bv!I23+s_MLF_carrot)),".")</f>
        <v>23.620452840279292</v>
      </c>
      <c r="K23" s="15">
        <f>IFERROR((s_dir!K23/(d_Bv!J23+s_MLF_citrus)),".")</f>
        <v>83.927992006949836</v>
      </c>
      <c r="L23" s="15">
        <f>IFERROR((s_dir!L23/(d_Bv!K23+s_MLF_corn)),".")</f>
        <v>124.04451648825918</v>
      </c>
      <c r="M23" s="15">
        <f>IFERROR((s_dir!M23/(d_Bv!L23+s_MLF_cucumber)),".")</f>
        <v>64.665829906994134</v>
      </c>
      <c r="N23" s="15">
        <f>IFERROR((s_dir!N23/(d_Bv!M23+s_MLF_lettuce)),".")</f>
        <v>18.87375896807006</v>
      </c>
      <c r="O23" s="15">
        <f>IFERROR((s_dir!O23/(d_Bv!N23+s_MLF_lima_bean)),".")</f>
        <v>71.720284078666225</v>
      </c>
      <c r="P23" s="15">
        <f>IFERROR((s_dir!P23/(d_Bv!O23+s_MLF_okra)),".")</f>
        <v>64.665829906994134</v>
      </c>
      <c r="Q23" s="15">
        <f>IFERROR((s_dir!Q23/(d_Bv!P23+s_MLF_onion)),".")</f>
        <v>23.620452840279292</v>
      </c>
      <c r="R23" s="15">
        <f>IFERROR((s_dir!R23/(d_Bv!Q23+s_MLF_peach)),".")</f>
        <v>83.927992006949836</v>
      </c>
      <c r="S23" s="15">
        <f>IFERROR((s_dir!S23/(d_Bv!R23+s_MLF_pear)),".")</f>
        <v>83.927992006949836</v>
      </c>
      <c r="T23" s="15">
        <f>IFERROR((s_dir!T23/(d_Bv!S23+s_MLF_peas)),".")</f>
        <v>71.720284078666225</v>
      </c>
      <c r="U23" s="15">
        <f>IFERROR((s_dir!U23/(d_Bv!T23+s_MLF_peppers)),".")</f>
        <v>64.665829906994134</v>
      </c>
      <c r="V23" s="15">
        <f>IFERROR((s_dir!V23/(d_Bv!U23+s_MLF_potato)),".")</f>
        <v>80.502359680135555</v>
      </c>
      <c r="W23" s="15">
        <f>IFERROR((s_dir!W23/(d_Bv!V23+s_MLF_pumpkin)),".")</f>
        <v>64.665829906994134</v>
      </c>
      <c r="X23" s="15">
        <f>IFERROR((s_dir!X23/(d_Bv!W23+s_MLF_snap_bean)),".")</f>
        <v>71.720284078666225</v>
      </c>
      <c r="Y23" s="15">
        <f>IFERROR((s_dir!Y23/(d_Bv!X23+s_MLF_strawberry)),".")</f>
        <v>83.927992006949836</v>
      </c>
      <c r="Z23" s="15">
        <f>IFERROR((s_dir!Z23/(d_Bv!Y23+s_MLF_tomato)),".")</f>
        <v>64.665829906994134</v>
      </c>
      <c r="AA23" s="15">
        <f>IFERROR((s_dir!AA23/(d_Bv!Z23+s_MLF_rice)),".")</f>
        <v>137.25176145882543</v>
      </c>
      <c r="AB23" s="15">
        <f>IFERROR((s_dir!AB23/(d_Bv!AA23+s_MLF_cereal)),".")</f>
        <v>64.665829906994134</v>
      </c>
      <c r="AC23" s="40">
        <f t="shared" si="1"/>
        <v>747.70437500000003</v>
      </c>
      <c r="AD23" s="40">
        <f>s_C*(d_Bv!C23+s_MLF_apple)*s_IFAP_res_adj*s_CF_apple</f>
        <v>177.71875</v>
      </c>
      <c r="AE23" s="40">
        <f>s_C*(d_Bv!D23+s_MLF_asparagus)*s_IFAS_res_adj*s_CF_asparagus</f>
        <v>790.28125</v>
      </c>
      <c r="AF23" s="40">
        <f>s_C*(d_Bv!E23+s_MLF_beet)*s_IFBT_res_adj*s_CF_beet</f>
        <v>631.46875000000011</v>
      </c>
      <c r="AG23" s="40">
        <f>s_C*(d_Bv!F23+s_MLF_berries)*s_IFBE_res_adj*s_CF_berries</f>
        <v>177.71875</v>
      </c>
      <c r="AH23" s="40">
        <f>s_C*(d_Bv!G23+s_MLF_broccoli)*s_IFBR_res_adj*s_CF_broccoli</f>
        <v>230.65625</v>
      </c>
      <c r="AI23" s="40">
        <f>s_C*(d_Bv!H23+s_MLF_cabbage)*s_IFCB_res_adj*s_CF_cabbage</f>
        <v>790.28125</v>
      </c>
      <c r="AJ23" s="40">
        <f>s_C*(d_Bv!I23+s_MLF_carrot)*s_IFCR_res_adj*s_CF_carrot</f>
        <v>631.46875000000011</v>
      </c>
      <c r="AK23" s="40">
        <f>s_C*(d_Bv!J23+s_MLF_citrus)*s_IFCI_res_adj*s_CF_citrus</f>
        <v>177.71875</v>
      </c>
      <c r="AL23" s="40">
        <f>s_C*(d_Bv!K23+s_MLF_corn)*s_IFCO_res_adj*s_CF_corn</f>
        <v>120.24375000000001</v>
      </c>
      <c r="AM23" s="40">
        <f>s_C*(d_Bv!L23+s_MLF_cucumber)*s_IFCU_res_adj*s_CF_cucumber</f>
        <v>230.65625</v>
      </c>
      <c r="AN23" s="40">
        <f>s_C*(d_Bv!M23+s_MLF_lettuce)*s_IFLE_res_adj*s_CF_lettuce</f>
        <v>790.28125</v>
      </c>
      <c r="AO23" s="40">
        <f>s_C*(d_Bv!N23+s_MLF_lima_bean)*s_IFLI_res_adj*s_CF_lima_bean</f>
        <v>207.96875000000003</v>
      </c>
      <c r="AP23" s="40">
        <f>s_C*(d_Bv!O23+s_MLF_okra)*s_IFOK_res_adj*s_CF_okra</f>
        <v>230.65625</v>
      </c>
      <c r="AQ23" s="40">
        <f>s_C*(d_Bv!P23+s_MLF_onion)*s_IFON_res_adj*s_CF_onion</f>
        <v>631.46875000000011</v>
      </c>
      <c r="AR23" s="40">
        <f>s_C*(d_Bv!Q23+s_MLF_peach)*s_IFPC_res_adj*s_CF_peach</f>
        <v>177.71875</v>
      </c>
      <c r="AS23" s="40">
        <f>s_C*(d_Bv!R23+s_MLF_pear)*s_IFPR_res_adj*s_CF_pear</f>
        <v>177.71875</v>
      </c>
      <c r="AT23" s="40">
        <f>s_C*(d_Bv!S23+s_MLF_peas)*s_IFPE_res_adj*s_CF_peas</f>
        <v>207.96875000000003</v>
      </c>
      <c r="AU23" s="40">
        <f>s_C*(d_Bv!T23+s_MLF_peppers)*s_IFPP_res_adj*s_CF_peppers</f>
        <v>230.65625</v>
      </c>
      <c r="AV23" s="40">
        <f>s_C*(d_Bv!U23+s_MLF_potato)*s_IFPT_res_adj*s_CF_potato</f>
        <v>185.28125</v>
      </c>
      <c r="AW23" s="40">
        <f>s_C*(d_Bv!V23+s_MLF_pumpkin)*s_IFPU_res_adj*s_CF_pumpkin</f>
        <v>230.65625</v>
      </c>
      <c r="AX23" s="40">
        <f>s_C*(d_Bv!W23+s_MLF_snap_bean)*s_IFSN_res_adj*s_CF_snap_bean</f>
        <v>207.96875000000003</v>
      </c>
      <c r="AY23" s="40">
        <f>s_C*(d_Bv!X23+s_MLF_strawberry)*s_IFST_res_adj*s_CF_strawberry</f>
        <v>177.71875</v>
      </c>
      <c r="AZ23" s="40">
        <f>s_C*(d_Bv!Y23+s_MLF_tomato)*s_IFTO_res_adj*s_CF_tomato</f>
        <v>230.65625</v>
      </c>
      <c r="BA23" s="40">
        <f>s_C*(d_Bv!Z23+s_MLF_rice)*s_IFRI_res_adj*s_CF_rice</f>
        <v>108.673125</v>
      </c>
      <c r="BB23" s="40">
        <f>s_C*(d_Bv!AA23+s_MLF_cereal)*s_IFCG_res_adj*s_CF_cereal</f>
        <v>230.65625</v>
      </c>
      <c r="BC23" s="15">
        <f t="shared" si="2"/>
        <v>19.948496127878233</v>
      </c>
      <c r="BD23" s="15">
        <f>IFERROR((s_dir!AD23/(d_Bv!C23+s_MLF_apple)),".")</f>
        <v>83.927992006949836</v>
      </c>
      <c r="BE23" s="15">
        <f>IFERROR((s_dir!AE23/(d_Bv!D23+s_MLF_asparagus)),".")</f>
        <v>18.87375896807006</v>
      </c>
      <c r="BF23" s="15">
        <f>IFERROR((s_dir!AF23/(d_Bv!E23+s_MLF_beet)),".")</f>
        <v>23.620452840279292</v>
      </c>
      <c r="BG23" s="15">
        <f>IFERROR((s_dir!AG23/(d_Bv!F23+s_MLF_berries)),".")</f>
        <v>83.927992006949836</v>
      </c>
      <c r="BH23" s="15">
        <f>IFERROR((s_dir!AH23/(d_Bv!G23+s_MLF_broccoli)),".")</f>
        <v>64.665829906994134</v>
      </c>
      <c r="BI23" s="15">
        <f>IFERROR((s_dir!AI23/(d_Bv!H23+s_MLF_cabbage)),".")</f>
        <v>18.87375896807006</v>
      </c>
      <c r="BJ23" s="15">
        <f>IFERROR((s_dir!AJ23/(d_Bv!I23+s_MLF_carrot)),".")</f>
        <v>23.620452840279292</v>
      </c>
      <c r="BK23" s="15">
        <f>IFERROR((s_dir!AK23/(d_Bv!J23+s_MLF_citrus)),".")</f>
        <v>83.927992006949836</v>
      </c>
      <c r="BL23" s="15">
        <f>IFERROR((s_dir!AL23/(d_Bv!K23+s_MLF_corn)),".")</f>
        <v>124.04451648825918</v>
      </c>
      <c r="BM23" s="15">
        <f>IFERROR((s_dir!AM23/(d_Bv!L23+s_MLF_cucumber)),".")</f>
        <v>64.665829906994134</v>
      </c>
      <c r="BN23" s="15">
        <f>IFERROR((s_dir!AN23/(d_Bv!M23+s_MLF_lettuce)),".")</f>
        <v>18.87375896807006</v>
      </c>
      <c r="BO23" s="15">
        <f>IFERROR((s_dir!AO23/(d_Bv!N23+s_MLF_lima_bean)),".")</f>
        <v>71.720284078666225</v>
      </c>
      <c r="BP23" s="15">
        <f>IFERROR((s_dir!AP23/(d_Bv!O23+s_MLF_okra)),".")</f>
        <v>64.665829906994134</v>
      </c>
      <c r="BQ23" s="15">
        <f>IFERROR((s_dir!AQ23/(d_Bv!P23+s_MLF_onion)),".")</f>
        <v>23.620452840279292</v>
      </c>
      <c r="BR23" s="15">
        <f>IFERROR((s_dir!AR23/(d_Bv!Q23+s_MLF_peach)),".")</f>
        <v>83.927992006949836</v>
      </c>
      <c r="BS23" s="15">
        <f>IFERROR((s_dir!AS23/(d_Bv!R23+s_MLF_pear)),".")</f>
        <v>83.927992006949836</v>
      </c>
      <c r="BT23" s="15">
        <f>IFERROR((s_dir!AT23/(d_Bv!S23+s_MLF_peas)),".")</f>
        <v>71.720284078666225</v>
      </c>
      <c r="BU23" s="15">
        <f>IFERROR((s_dir!AU23/(d_Bv!T23+s_MLF_peppers)),".")</f>
        <v>64.665829906994134</v>
      </c>
      <c r="BV23" s="15">
        <f>IFERROR((s_dir!AV23/(d_Bv!U23+s_MLF_potato)),".")</f>
        <v>80.502359680135555</v>
      </c>
      <c r="BW23" s="15">
        <f>IFERROR((s_dir!AW23/(d_Bv!V23+s_MLF_pumpkin)),".")</f>
        <v>64.665829906994134</v>
      </c>
      <c r="BX23" s="15">
        <f>IFERROR((s_dir!AX23/(d_Bv!W23+s_MLF_snap_bean)),".")</f>
        <v>71.720284078666225</v>
      </c>
      <c r="BY23" s="15">
        <f>IFERROR((s_dir!AY23/(d_Bv!X23+s_MLF_strawberry)),".")</f>
        <v>83.927992006949836</v>
      </c>
      <c r="BZ23" s="15">
        <f>IFERROR((s_dir!AZ23/(d_Bv!Y23+s_MLF_tomato)),".")</f>
        <v>64.665829906994134</v>
      </c>
      <c r="CA23" s="15">
        <f>IFERROR((s_dir!BA23/(d_Bv!Z23+s_MLF_rice)),".")</f>
        <v>137.25176145882543</v>
      </c>
      <c r="CB23" s="15">
        <f>IFERROR((s_dir!BB23/(d_Bv!AA23+s_MLF_cereal)),".")</f>
        <v>64.665829906994134</v>
      </c>
      <c r="CC23" s="40">
        <f t="shared" si="3"/>
        <v>747.70437500000003</v>
      </c>
      <c r="CD23" s="40">
        <f>IFERROR(s_C*(d_Bv!C23+s_MLF_apple)*s_IFAP_far_adj*s_CF_apple,".")</f>
        <v>177.71875</v>
      </c>
      <c r="CE23" s="40">
        <f>IFERROR(s_C*(d_Bv!D23+s_MLF_asparagus)*s_IFAS_far_adj*s_CF_asparagus,".")</f>
        <v>790.28125</v>
      </c>
      <c r="CF23" s="40">
        <f>IFERROR(s_C*(d_Bv!E23+s_MLF_beet)*s_IFBT_far_adj*s_CF_beet,".")</f>
        <v>631.46875000000011</v>
      </c>
      <c r="CG23" s="40">
        <f>IFERROR(s_C*(d_Bv!F23+s_MLF_berries)*s_IFBR_far_adj*s_CF_berries,".")</f>
        <v>177.71875</v>
      </c>
      <c r="CH23" s="40">
        <f>IFERROR(s_C*(d_Bv!G23+s_MLF_broccoli)*s_IFBR_far_adj*s_CF_broccoli,".")</f>
        <v>230.65625</v>
      </c>
      <c r="CI23" s="40">
        <f>IFERROR(s_C*(d_Bv!H23+s_MLF_cabbage)*s_IFCB_far_adj*s_CF_cabbage,".")</f>
        <v>790.28125</v>
      </c>
      <c r="CJ23" s="40">
        <f>IFERROR(s_C*(d_Bv!I23+s_MLF_carrot)*s_IFCR_far_adj*s_CF_carrot,".")</f>
        <v>631.46875000000011</v>
      </c>
      <c r="CK23" s="40">
        <f>IFERROR(s_C*(d_Bv!J23+s_MLF_citrus)*s_IFCI_far_adj*s_CF_citrus,".")</f>
        <v>177.71875</v>
      </c>
      <c r="CL23" s="40">
        <f>IFERROR(s_C*(d_Bv!K23+s_MLF_corn)*s_IFCO_far_adj*s_CF_corn,".")</f>
        <v>120.24375000000001</v>
      </c>
      <c r="CM23" s="40">
        <f>IFERROR(s_C*(d_Bv!L23+s_MLF_cucumber)*s_IFCU_far_adj*s_CF_cucumber,".")</f>
        <v>230.65625</v>
      </c>
      <c r="CN23" s="40">
        <f>IFERROR(s_C*(d_Bv!M23+s_MLF_lettuce)*s_IFLE_far_adj*s_CF_lettuce,".")</f>
        <v>790.28125</v>
      </c>
      <c r="CO23" s="40">
        <f>IFERROR(s_C*(d_Bv!N23+s_MLF_lima_bean)*s_IFLI_far_adj*s_CF_lima_bean,".")</f>
        <v>207.96875000000003</v>
      </c>
      <c r="CP23" s="40">
        <f>IFERROR(s_C*(d_Bv!O23+s_MLF_okra)*s_IFOK_far_adj*s_CF_okra,".")</f>
        <v>230.65625</v>
      </c>
      <c r="CQ23" s="40">
        <f>IFERROR(s_C*(d_Bv!P23+s_MLF_onion)*s_IFON_far_adj*s_CF_onion,".")</f>
        <v>631.46875000000011</v>
      </c>
      <c r="CR23" s="40">
        <f>IFERROR(s_C*(d_Bv!Q23+s_MLF_peach)*s_IFPC_far_adj*s_CF_peach,".")</f>
        <v>177.71875</v>
      </c>
      <c r="CS23" s="40">
        <f>IFERROR(s_C*(d_Bv!R23+s_MLF_pear)*s_IFPR_far_adj*s_CF_pear,".")</f>
        <v>177.71875</v>
      </c>
      <c r="CT23" s="40">
        <f>IFERROR(s_C*(d_Bv!S23+s_MLF_peas)*s_IFPE_far_adj*s_CF_peas,".")</f>
        <v>207.96875000000003</v>
      </c>
      <c r="CU23" s="40">
        <f>IFERROR(s_C*(d_Bv!T23+s_MLF_peppers)*s_IFPP_far_adj*s_CF_peppers,".")</f>
        <v>230.65625</v>
      </c>
      <c r="CV23" s="40">
        <f>IFERROR(s_C*(d_Bv!U23+s_MLF_potato)*s_IFPT_far_adj*s_CF_potato,".")</f>
        <v>185.28125</v>
      </c>
      <c r="CW23" s="40">
        <f>IFERROR(s_C*(d_Bv!V23+s_MLF_pumpkin)*s_IFPU_far_adj*s_CF_pumpkin,".")</f>
        <v>230.65625</v>
      </c>
      <c r="CX23" s="40">
        <f>IFERROR(s_C*(d_Bv!W23+s_MLF_snap_bean)*s_IFSN_far_adj*s_CF_snap_bean,".")</f>
        <v>207.96875000000003</v>
      </c>
      <c r="CY23" s="40">
        <f>IFERROR(s_C*(d_Bv!X23+s_MLF_strawberry)*s_IFST_far_adj*s_CF_strawberry,".")</f>
        <v>177.71875</v>
      </c>
      <c r="CZ23" s="40">
        <f>IFERROR(s_C*(d_Bv!Y23+s_MLF_tomato)*s_IFTO_far_adj*s_CF_tomato,".")</f>
        <v>230.65625</v>
      </c>
      <c r="DA23" s="40">
        <f>IFERROR(s_C*(d_Bv!Z23+s_MLF_rice)*s_IFRI_far_adj*s_CF_rice,".")</f>
        <v>108.673125</v>
      </c>
      <c r="DB23" s="40">
        <f>IFERROR(s_C*(d_Bv!AA23+s_MLF_cereal)*s_IFCG_far_adj*s_CF_cereal,".")</f>
        <v>230.65625</v>
      </c>
    </row>
    <row r="24" spans="1:106" ht="15" customHeight="1" x14ac:dyDescent="0.25">
      <c r="A24" s="44" t="s">
        <v>22</v>
      </c>
      <c r="B24" s="42" t="s">
        <v>1057</v>
      </c>
      <c r="C24" s="15" t="str">
        <f t="shared" si="0"/>
        <v>.</v>
      </c>
      <c r="D24" s="15" t="str">
        <f>IFERROR((s_dir!D24/(d_Bv!C24+s_MLF_apple)),".")</f>
        <v>.</v>
      </c>
      <c r="E24" s="15" t="str">
        <f>IFERROR((s_dir!E24/(d_Bv!D24+s_MLF_asparagus)),".")</f>
        <v>.</v>
      </c>
      <c r="F24" s="15" t="str">
        <f>IFERROR((s_dir!F24/(d_Bv!E24+s_MLF_beet)),".")</f>
        <v>.</v>
      </c>
      <c r="G24" s="15" t="str">
        <f>IFERROR((s_dir!G24/(d_Bv!F24+s_MLF_berries)),".")</f>
        <v>.</v>
      </c>
      <c r="H24" s="15" t="str">
        <f>IFERROR((s_dir!H24/(d_Bv!G24+s_MLF_broccoli)),".")</f>
        <v>.</v>
      </c>
      <c r="I24" s="15" t="str">
        <f>IFERROR((s_dir!I24/(d_Bv!H24+s_MLF_cabbage)),".")</f>
        <v>.</v>
      </c>
      <c r="J24" s="15" t="str">
        <f>IFERROR((s_dir!J24/(d_Bv!I24+s_MLF_carrot)),".")</f>
        <v>.</v>
      </c>
      <c r="K24" s="15" t="str">
        <f>IFERROR((s_dir!K24/(d_Bv!J24+s_MLF_citrus)),".")</f>
        <v>.</v>
      </c>
      <c r="L24" s="15" t="str">
        <f>IFERROR((s_dir!L24/(d_Bv!K24+s_MLF_corn)),".")</f>
        <v>.</v>
      </c>
      <c r="M24" s="15" t="str">
        <f>IFERROR((s_dir!M24/(d_Bv!L24+s_MLF_cucumber)),".")</f>
        <v>.</v>
      </c>
      <c r="N24" s="15" t="str">
        <f>IFERROR((s_dir!N24/(d_Bv!M24+s_MLF_lettuce)),".")</f>
        <v>.</v>
      </c>
      <c r="O24" s="15" t="str">
        <f>IFERROR((s_dir!O24/(d_Bv!N24+s_MLF_lima_bean)),".")</f>
        <v>.</v>
      </c>
      <c r="P24" s="15" t="str">
        <f>IFERROR((s_dir!P24/(d_Bv!O24+s_MLF_okra)),".")</f>
        <v>.</v>
      </c>
      <c r="Q24" s="15" t="str">
        <f>IFERROR((s_dir!Q24/(d_Bv!P24+s_MLF_onion)),".")</f>
        <v>.</v>
      </c>
      <c r="R24" s="15" t="str">
        <f>IFERROR((s_dir!R24/(d_Bv!Q24+s_MLF_peach)),".")</f>
        <v>.</v>
      </c>
      <c r="S24" s="15" t="str">
        <f>IFERROR((s_dir!S24/(d_Bv!R24+s_MLF_pear)),".")</f>
        <v>.</v>
      </c>
      <c r="T24" s="15" t="str">
        <f>IFERROR((s_dir!T24/(d_Bv!S24+s_MLF_peas)),".")</f>
        <v>.</v>
      </c>
      <c r="U24" s="15" t="str">
        <f>IFERROR((s_dir!U24/(d_Bv!T24+s_MLF_peppers)),".")</f>
        <v>.</v>
      </c>
      <c r="V24" s="15" t="str">
        <f>IFERROR((s_dir!V24/(d_Bv!U24+s_MLF_potato)),".")</f>
        <v>.</v>
      </c>
      <c r="W24" s="15" t="str">
        <f>IFERROR((s_dir!W24/(d_Bv!V24+s_MLF_pumpkin)),".")</f>
        <v>.</v>
      </c>
      <c r="X24" s="15" t="str">
        <f>IFERROR((s_dir!X24/(d_Bv!W24+s_MLF_snap_bean)),".")</f>
        <v>.</v>
      </c>
      <c r="Y24" s="15" t="str">
        <f>IFERROR((s_dir!Y24/(d_Bv!X24+s_MLF_strawberry)),".")</f>
        <v>.</v>
      </c>
      <c r="Z24" s="15" t="str">
        <f>IFERROR((s_dir!Z24/(d_Bv!Y24+s_MLF_tomato)),".")</f>
        <v>.</v>
      </c>
      <c r="AA24" s="15" t="str">
        <f>IFERROR((s_dir!AA24/(d_Bv!Z24+s_MLF_rice)),".")</f>
        <v>.</v>
      </c>
      <c r="AB24" s="15" t="str">
        <f>IFERROR((s_dir!AB24/(d_Bv!AA24+s_MLF_cereal)),".")</f>
        <v>.</v>
      </c>
      <c r="AC24" s="40">
        <f t="shared" si="1"/>
        <v>408.375</v>
      </c>
      <c r="AD24" s="40">
        <f>s_C*(d_Bv!C24+s_MLF_apple)*s_IFAP_res_adj*s_CF_apple</f>
        <v>102.09375</v>
      </c>
      <c r="AE24" s="40">
        <f>s_C*(d_Bv!D24+s_MLF_asparagus)*s_IFAS_res_adj*s_CF_asparagus</f>
        <v>102.09375</v>
      </c>
      <c r="AF24" s="40">
        <f>s_C*(d_Bv!E24+s_MLF_beet)*s_IFBT_res_adj*s_CF_beet</f>
        <v>102.09375</v>
      </c>
      <c r="AG24" s="40">
        <f>s_C*(d_Bv!F24+s_MLF_berries)*s_IFBE_res_adj*s_CF_berries</f>
        <v>102.09375</v>
      </c>
      <c r="AH24" s="40">
        <f>s_C*(d_Bv!G24+s_MLF_broccoli)*s_IFBR_res_adj*s_CF_broccoli</f>
        <v>102.09375</v>
      </c>
      <c r="AI24" s="40">
        <f>s_C*(d_Bv!H24+s_MLF_cabbage)*s_IFCB_res_adj*s_CF_cabbage</f>
        <v>102.09375</v>
      </c>
      <c r="AJ24" s="40">
        <f>s_C*(d_Bv!I24+s_MLF_carrot)*s_IFCR_res_adj*s_CF_carrot</f>
        <v>102.09375</v>
      </c>
      <c r="AK24" s="40">
        <f>s_C*(d_Bv!J24+s_MLF_citrus)*s_IFCI_res_adj*s_CF_citrus</f>
        <v>102.09375</v>
      </c>
      <c r="AL24" s="40">
        <f>s_C*(d_Bv!K24+s_MLF_corn)*s_IFCO_res_adj*s_CF_corn</f>
        <v>102.09375</v>
      </c>
      <c r="AM24" s="40">
        <f>s_C*(d_Bv!L24+s_MLF_cucumber)*s_IFCU_res_adj*s_CF_cucumber</f>
        <v>102.09375</v>
      </c>
      <c r="AN24" s="40">
        <f>s_C*(d_Bv!M24+s_MLF_lettuce)*s_IFLE_res_adj*s_CF_lettuce</f>
        <v>102.09375</v>
      </c>
      <c r="AO24" s="40">
        <f>s_C*(d_Bv!N24+s_MLF_lima_bean)*s_IFLI_res_adj*s_CF_lima_bean</f>
        <v>102.09375</v>
      </c>
      <c r="AP24" s="40">
        <f>s_C*(d_Bv!O24+s_MLF_okra)*s_IFOK_res_adj*s_CF_okra</f>
        <v>102.09375</v>
      </c>
      <c r="AQ24" s="40">
        <f>s_C*(d_Bv!P24+s_MLF_onion)*s_IFON_res_adj*s_CF_onion</f>
        <v>102.09375</v>
      </c>
      <c r="AR24" s="40">
        <f>s_C*(d_Bv!Q24+s_MLF_peach)*s_IFPC_res_adj*s_CF_peach</f>
        <v>102.09375</v>
      </c>
      <c r="AS24" s="40">
        <f>s_C*(d_Bv!R24+s_MLF_pear)*s_IFPR_res_adj*s_CF_pear</f>
        <v>102.09375</v>
      </c>
      <c r="AT24" s="40">
        <f>s_C*(d_Bv!S24+s_MLF_peas)*s_IFPE_res_adj*s_CF_peas</f>
        <v>102.09375</v>
      </c>
      <c r="AU24" s="40">
        <f>s_C*(d_Bv!T24+s_MLF_peppers)*s_IFPP_res_adj*s_CF_peppers</f>
        <v>102.09375</v>
      </c>
      <c r="AV24" s="40">
        <f>s_C*(d_Bv!U24+s_MLF_potato)*s_IFPT_res_adj*s_CF_potato</f>
        <v>102.09375</v>
      </c>
      <c r="AW24" s="40">
        <f>s_C*(d_Bv!V24+s_MLF_pumpkin)*s_IFPU_res_adj*s_CF_pumpkin</f>
        <v>102.09375</v>
      </c>
      <c r="AX24" s="40">
        <f>s_C*(d_Bv!W24+s_MLF_snap_bean)*s_IFSN_res_adj*s_CF_snap_bean</f>
        <v>102.09375</v>
      </c>
      <c r="AY24" s="40">
        <f>s_C*(d_Bv!X24+s_MLF_strawberry)*s_IFST_res_adj*s_CF_strawberry</f>
        <v>102.09375</v>
      </c>
      <c r="AZ24" s="40">
        <f>s_C*(d_Bv!Y24+s_MLF_tomato)*s_IFTO_res_adj*s_CF_tomato</f>
        <v>102.09375</v>
      </c>
      <c r="BA24" s="40">
        <f>s_C*(d_Bv!Z24+s_MLF_rice)*s_IFRI_res_adj*s_CF_rice</f>
        <v>102.09375</v>
      </c>
      <c r="BB24" s="40">
        <f>s_C*(d_Bv!AA24+s_MLF_cereal)*s_IFCG_res_adj*s_CF_cereal</f>
        <v>102.09375</v>
      </c>
      <c r="BC24" s="15" t="str">
        <f t="shared" si="2"/>
        <v>.</v>
      </c>
      <c r="BD24" s="15" t="str">
        <f>IFERROR((s_dir!AD24/(d_Bv!C24+s_MLF_apple)),".")</f>
        <v>.</v>
      </c>
      <c r="BE24" s="15" t="str">
        <f>IFERROR((s_dir!AE24/(d_Bv!D24+s_MLF_asparagus)),".")</f>
        <v>.</v>
      </c>
      <c r="BF24" s="15" t="str">
        <f>IFERROR((s_dir!AF24/(d_Bv!E24+s_MLF_beet)),".")</f>
        <v>.</v>
      </c>
      <c r="BG24" s="15" t="str">
        <f>IFERROR((s_dir!AG24/(d_Bv!F24+s_MLF_berries)),".")</f>
        <v>.</v>
      </c>
      <c r="BH24" s="15" t="str">
        <f>IFERROR((s_dir!AH24/(d_Bv!G24+s_MLF_broccoli)),".")</f>
        <v>.</v>
      </c>
      <c r="BI24" s="15" t="str">
        <f>IFERROR((s_dir!AI24/(d_Bv!H24+s_MLF_cabbage)),".")</f>
        <v>.</v>
      </c>
      <c r="BJ24" s="15" t="str">
        <f>IFERROR((s_dir!AJ24/(d_Bv!I24+s_MLF_carrot)),".")</f>
        <v>.</v>
      </c>
      <c r="BK24" s="15" t="str">
        <f>IFERROR((s_dir!AK24/(d_Bv!J24+s_MLF_citrus)),".")</f>
        <v>.</v>
      </c>
      <c r="BL24" s="15" t="str">
        <f>IFERROR((s_dir!AL24/(d_Bv!K24+s_MLF_corn)),".")</f>
        <v>.</v>
      </c>
      <c r="BM24" s="15" t="str">
        <f>IFERROR((s_dir!AM24/(d_Bv!L24+s_MLF_cucumber)),".")</f>
        <v>.</v>
      </c>
      <c r="BN24" s="15" t="str">
        <f>IFERROR((s_dir!AN24/(d_Bv!M24+s_MLF_lettuce)),".")</f>
        <v>.</v>
      </c>
      <c r="BO24" s="15" t="str">
        <f>IFERROR((s_dir!AO24/(d_Bv!N24+s_MLF_lima_bean)),".")</f>
        <v>.</v>
      </c>
      <c r="BP24" s="15" t="str">
        <f>IFERROR((s_dir!AP24/(d_Bv!O24+s_MLF_okra)),".")</f>
        <v>.</v>
      </c>
      <c r="BQ24" s="15" t="str">
        <f>IFERROR((s_dir!AQ24/(d_Bv!P24+s_MLF_onion)),".")</f>
        <v>.</v>
      </c>
      <c r="BR24" s="15" t="str">
        <f>IFERROR((s_dir!AR24/(d_Bv!Q24+s_MLF_peach)),".")</f>
        <v>.</v>
      </c>
      <c r="BS24" s="15" t="str">
        <f>IFERROR((s_dir!AS24/(d_Bv!R24+s_MLF_pear)),".")</f>
        <v>.</v>
      </c>
      <c r="BT24" s="15" t="str">
        <f>IFERROR((s_dir!AT24/(d_Bv!S24+s_MLF_peas)),".")</f>
        <v>.</v>
      </c>
      <c r="BU24" s="15" t="str">
        <f>IFERROR((s_dir!AU24/(d_Bv!T24+s_MLF_peppers)),".")</f>
        <v>.</v>
      </c>
      <c r="BV24" s="15" t="str">
        <f>IFERROR((s_dir!AV24/(d_Bv!U24+s_MLF_potato)),".")</f>
        <v>.</v>
      </c>
      <c r="BW24" s="15" t="str">
        <f>IFERROR((s_dir!AW24/(d_Bv!V24+s_MLF_pumpkin)),".")</f>
        <v>.</v>
      </c>
      <c r="BX24" s="15" t="str">
        <f>IFERROR((s_dir!AX24/(d_Bv!W24+s_MLF_snap_bean)),".")</f>
        <v>.</v>
      </c>
      <c r="BY24" s="15" t="str">
        <f>IFERROR((s_dir!AY24/(d_Bv!X24+s_MLF_strawberry)),".")</f>
        <v>.</v>
      </c>
      <c r="BZ24" s="15" t="str">
        <f>IFERROR((s_dir!AZ24/(d_Bv!Y24+s_MLF_tomato)),".")</f>
        <v>.</v>
      </c>
      <c r="CA24" s="15" t="str">
        <f>IFERROR((s_dir!BA24/(d_Bv!Z24+s_MLF_rice)),".")</f>
        <v>.</v>
      </c>
      <c r="CB24" s="15" t="str">
        <f>IFERROR((s_dir!BB24/(d_Bv!AA24+s_MLF_cereal)),".")</f>
        <v>.</v>
      </c>
      <c r="CC24" s="40">
        <f t="shared" si="3"/>
        <v>408.375</v>
      </c>
      <c r="CD24" s="40">
        <f>IFERROR(s_C*(d_Bv!C24+s_MLF_apple)*s_IFAP_far_adj*s_CF_apple,".")</f>
        <v>102.09375</v>
      </c>
      <c r="CE24" s="40">
        <f>IFERROR(s_C*(d_Bv!D24+s_MLF_asparagus)*s_IFAS_far_adj*s_CF_asparagus,".")</f>
        <v>102.09375</v>
      </c>
      <c r="CF24" s="40">
        <f>IFERROR(s_C*(d_Bv!E24+s_MLF_beet)*s_IFBT_far_adj*s_CF_beet,".")</f>
        <v>102.09375</v>
      </c>
      <c r="CG24" s="40">
        <f>IFERROR(s_C*(d_Bv!F24+s_MLF_berries)*s_IFBR_far_adj*s_CF_berries,".")</f>
        <v>102.09375</v>
      </c>
      <c r="CH24" s="40">
        <f>IFERROR(s_C*(d_Bv!G24+s_MLF_broccoli)*s_IFBR_far_adj*s_CF_broccoli,".")</f>
        <v>102.09375</v>
      </c>
      <c r="CI24" s="40">
        <f>IFERROR(s_C*(d_Bv!H24+s_MLF_cabbage)*s_IFCB_far_adj*s_CF_cabbage,".")</f>
        <v>102.09375</v>
      </c>
      <c r="CJ24" s="40">
        <f>IFERROR(s_C*(d_Bv!I24+s_MLF_carrot)*s_IFCR_far_adj*s_CF_carrot,".")</f>
        <v>102.09375</v>
      </c>
      <c r="CK24" s="40">
        <f>IFERROR(s_C*(d_Bv!J24+s_MLF_citrus)*s_IFCI_far_adj*s_CF_citrus,".")</f>
        <v>102.09375</v>
      </c>
      <c r="CL24" s="40">
        <f>IFERROR(s_C*(d_Bv!K24+s_MLF_corn)*s_IFCO_far_adj*s_CF_corn,".")</f>
        <v>102.09375</v>
      </c>
      <c r="CM24" s="40">
        <f>IFERROR(s_C*(d_Bv!L24+s_MLF_cucumber)*s_IFCU_far_adj*s_CF_cucumber,".")</f>
        <v>102.09375</v>
      </c>
      <c r="CN24" s="40">
        <f>IFERROR(s_C*(d_Bv!M24+s_MLF_lettuce)*s_IFLE_far_adj*s_CF_lettuce,".")</f>
        <v>102.09375</v>
      </c>
      <c r="CO24" s="40">
        <f>IFERROR(s_C*(d_Bv!N24+s_MLF_lima_bean)*s_IFLI_far_adj*s_CF_lima_bean,".")</f>
        <v>102.09375</v>
      </c>
      <c r="CP24" s="40">
        <f>IFERROR(s_C*(d_Bv!O24+s_MLF_okra)*s_IFOK_far_adj*s_CF_okra,".")</f>
        <v>102.09375</v>
      </c>
      <c r="CQ24" s="40">
        <f>IFERROR(s_C*(d_Bv!P24+s_MLF_onion)*s_IFON_far_adj*s_CF_onion,".")</f>
        <v>102.09375</v>
      </c>
      <c r="CR24" s="40">
        <f>IFERROR(s_C*(d_Bv!Q24+s_MLF_peach)*s_IFPC_far_adj*s_CF_peach,".")</f>
        <v>102.09375</v>
      </c>
      <c r="CS24" s="40">
        <f>IFERROR(s_C*(d_Bv!R24+s_MLF_pear)*s_IFPR_far_adj*s_CF_pear,".")</f>
        <v>102.09375</v>
      </c>
      <c r="CT24" s="40">
        <f>IFERROR(s_C*(d_Bv!S24+s_MLF_peas)*s_IFPE_far_adj*s_CF_peas,".")</f>
        <v>102.09375</v>
      </c>
      <c r="CU24" s="40">
        <f>IFERROR(s_C*(d_Bv!T24+s_MLF_peppers)*s_IFPP_far_adj*s_CF_peppers,".")</f>
        <v>102.09375</v>
      </c>
      <c r="CV24" s="40">
        <f>IFERROR(s_C*(d_Bv!U24+s_MLF_potato)*s_IFPT_far_adj*s_CF_potato,".")</f>
        <v>102.09375</v>
      </c>
      <c r="CW24" s="40">
        <f>IFERROR(s_C*(d_Bv!V24+s_MLF_pumpkin)*s_IFPU_far_adj*s_CF_pumpkin,".")</f>
        <v>102.09375</v>
      </c>
      <c r="CX24" s="40">
        <f>IFERROR(s_C*(d_Bv!W24+s_MLF_snap_bean)*s_IFSN_far_adj*s_CF_snap_bean,".")</f>
        <v>102.09375</v>
      </c>
      <c r="CY24" s="40">
        <f>IFERROR(s_C*(d_Bv!X24+s_MLF_strawberry)*s_IFST_far_adj*s_CF_strawberry,".")</f>
        <v>102.09375</v>
      </c>
      <c r="CZ24" s="40">
        <f>IFERROR(s_C*(d_Bv!Y24+s_MLF_tomato)*s_IFTO_far_adj*s_CF_tomato,".")</f>
        <v>102.09375</v>
      </c>
      <c r="DA24" s="40">
        <f>IFERROR(s_C*(d_Bv!Z24+s_MLF_rice)*s_IFRI_far_adj*s_CF_rice,".")</f>
        <v>102.09375</v>
      </c>
      <c r="DB24" s="40">
        <f>IFERROR(s_C*(d_Bv!AA24+s_MLF_cereal)*s_IFCG_far_adj*s_CF_cereal,".")</f>
        <v>102.09375</v>
      </c>
    </row>
    <row r="25" spans="1:106" x14ac:dyDescent="0.25">
      <c r="A25" s="46" t="s">
        <v>23</v>
      </c>
      <c r="B25" s="42" t="s">
        <v>335</v>
      </c>
      <c r="C25" s="15" t="str">
        <f t="shared" si="0"/>
        <v>.</v>
      </c>
      <c r="D25" s="15" t="str">
        <f>IFERROR((s_dir!D25/(d_Bv!C25+s_MLF_apple)),".")</f>
        <v>.</v>
      </c>
      <c r="E25" s="15" t="str">
        <f>IFERROR((s_dir!E25/(d_Bv!D25+s_MLF_asparagus)),".")</f>
        <v>.</v>
      </c>
      <c r="F25" s="15" t="str">
        <f>IFERROR((s_dir!F25/(d_Bv!E25+s_MLF_beet)),".")</f>
        <v>.</v>
      </c>
      <c r="G25" s="15" t="str">
        <f>IFERROR((s_dir!G25/(d_Bv!F25+s_MLF_berries)),".")</f>
        <v>.</v>
      </c>
      <c r="H25" s="15" t="str">
        <f>IFERROR((s_dir!H25/(d_Bv!G25+s_MLF_broccoli)),".")</f>
        <v>.</v>
      </c>
      <c r="I25" s="15" t="str">
        <f>IFERROR((s_dir!I25/(d_Bv!H25+s_MLF_cabbage)),".")</f>
        <v>.</v>
      </c>
      <c r="J25" s="15" t="str">
        <f>IFERROR((s_dir!J25/(d_Bv!I25+s_MLF_carrot)),".")</f>
        <v>.</v>
      </c>
      <c r="K25" s="15" t="str">
        <f>IFERROR((s_dir!K25/(d_Bv!J25+s_MLF_citrus)),".")</f>
        <v>.</v>
      </c>
      <c r="L25" s="15" t="str">
        <f>IFERROR((s_dir!L25/(d_Bv!K25+s_MLF_corn)),".")</f>
        <v>.</v>
      </c>
      <c r="M25" s="15" t="str">
        <f>IFERROR((s_dir!M25/(d_Bv!L25+s_MLF_cucumber)),".")</f>
        <v>.</v>
      </c>
      <c r="N25" s="15" t="str">
        <f>IFERROR((s_dir!N25/(d_Bv!M25+s_MLF_lettuce)),".")</f>
        <v>.</v>
      </c>
      <c r="O25" s="15" t="str">
        <f>IFERROR((s_dir!O25/(d_Bv!N25+s_MLF_lima_bean)),".")</f>
        <v>.</v>
      </c>
      <c r="P25" s="15" t="str">
        <f>IFERROR((s_dir!P25/(d_Bv!O25+s_MLF_okra)),".")</f>
        <v>.</v>
      </c>
      <c r="Q25" s="15" t="str">
        <f>IFERROR((s_dir!Q25/(d_Bv!P25+s_MLF_onion)),".")</f>
        <v>.</v>
      </c>
      <c r="R25" s="15" t="str">
        <f>IFERROR((s_dir!R25/(d_Bv!Q25+s_MLF_peach)),".")</f>
        <v>.</v>
      </c>
      <c r="S25" s="15" t="str">
        <f>IFERROR((s_dir!S25/(d_Bv!R25+s_MLF_pear)),".")</f>
        <v>.</v>
      </c>
      <c r="T25" s="15" t="str">
        <f>IFERROR((s_dir!T25/(d_Bv!S25+s_MLF_peas)),".")</f>
        <v>.</v>
      </c>
      <c r="U25" s="15" t="str">
        <f>IFERROR((s_dir!U25/(d_Bv!T25+s_MLF_peppers)),".")</f>
        <v>.</v>
      </c>
      <c r="V25" s="15" t="str">
        <f>IFERROR((s_dir!V25/(d_Bv!U25+s_MLF_potato)),".")</f>
        <v>.</v>
      </c>
      <c r="W25" s="15" t="str">
        <f>IFERROR((s_dir!W25/(d_Bv!V25+s_MLF_pumpkin)),".")</f>
        <v>.</v>
      </c>
      <c r="X25" s="15" t="str">
        <f>IFERROR((s_dir!X25/(d_Bv!W25+s_MLF_snap_bean)),".")</f>
        <v>.</v>
      </c>
      <c r="Y25" s="15" t="str">
        <f>IFERROR((s_dir!Y25/(d_Bv!X25+s_MLF_strawberry)),".")</f>
        <v>.</v>
      </c>
      <c r="Z25" s="15" t="str">
        <f>IFERROR((s_dir!Z25/(d_Bv!Y25+s_MLF_tomato)),".")</f>
        <v>.</v>
      </c>
      <c r="AA25" s="15" t="str">
        <f>IFERROR((s_dir!AA25/(d_Bv!Z25+s_MLF_rice)),".")</f>
        <v>.</v>
      </c>
      <c r="AB25" s="15" t="str">
        <f>IFERROR((s_dir!AB25/(d_Bv!AA25+s_MLF_cereal)),".")</f>
        <v>.</v>
      </c>
      <c r="AC25" s="40">
        <f t="shared" si="1"/>
        <v>408.375</v>
      </c>
      <c r="AD25" s="40">
        <f>s_C*(d_Bv!C25+s_MLF_apple)*s_IFAP_res_adj*s_CF_apple</f>
        <v>102.09375</v>
      </c>
      <c r="AE25" s="40">
        <f>s_C*(d_Bv!D25+s_MLF_asparagus)*s_IFAS_res_adj*s_CF_asparagus</f>
        <v>102.09375</v>
      </c>
      <c r="AF25" s="40">
        <f>s_C*(d_Bv!E25+s_MLF_beet)*s_IFBT_res_adj*s_CF_beet</f>
        <v>102.09375</v>
      </c>
      <c r="AG25" s="40">
        <f>s_C*(d_Bv!F25+s_MLF_berries)*s_IFBE_res_adj*s_CF_berries</f>
        <v>102.09375</v>
      </c>
      <c r="AH25" s="40">
        <f>s_C*(d_Bv!G25+s_MLF_broccoli)*s_IFBR_res_adj*s_CF_broccoli</f>
        <v>102.09375</v>
      </c>
      <c r="AI25" s="40">
        <f>s_C*(d_Bv!H25+s_MLF_cabbage)*s_IFCB_res_adj*s_CF_cabbage</f>
        <v>102.09375</v>
      </c>
      <c r="AJ25" s="40">
        <f>s_C*(d_Bv!I25+s_MLF_carrot)*s_IFCR_res_adj*s_CF_carrot</f>
        <v>102.09375</v>
      </c>
      <c r="AK25" s="40">
        <f>s_C*(d_Bv!J25+s_MLF_citrus)*s_IFCI_res_adj*s_CF_citrus</f>
        <v>102.09375</v>
      </c>
      <c r="AL25" s="40">
        <f>s_C*(d_Bv!K25+s_MLF_corn)*s_IFCO_res_adj*s_CF_corn</f>
        <v>102.09375</v>
      </c>
      <c r="AM25" s="40">
        <f>s_C*(d_Bv!L25+s_MLF_cucumber)*s_IFCU_res_adj*s_CF_cucumber</f>
        <v>102.09375</v>
      </c>
      <c r="AN25" s="40">
        <f>s_C*(d_Bv!M25+s_MLF_lettuce)*s_IFLE_res_adj*s_CF_lettuce</f>
        <v>102.09375</v>
      </c>
      <c r="AO25" s="40">
        <f>s_C*(d_Bv!N25+s_MLF_lima_bean)*s_IFLI_res_adj*s_CF_lima_bean</f>
        <v>102.09375</v>
      </c>
      <c r="AP25" s="40">
        <f>s_C*(d_Bv!O25+s_MLF_okra)*s_IFOK_res_adj*s_CF_okra</f>
        <v>102.09375</v>
      </c>
      <c r="AQ25" s="40">
        <f>s_C*(d_Bv!P25+s_MLF_onion)*s_IFON_res_adj*s_CF_onion</f>
        <v>102.09375</v>
      </c>
      <c r="AR25" s="40">
        <f>s_C*(d_Bv!Q25+s_MLF_peach)*s_IFPC_res_adj*s_CF_peach</f>
        <v>102.09375</v>
      </c>
      <c r="AS25" s="40">
        <f>s_C*(d_Bv!R25+s_MLF_pear)*s_IFPR_res_adj*s_CF_pear</f>
        <v>102.09375</v>
      </c>
      <c r="AT25" s="40">
        <f>s_C*(d_Bv!S25+s_MLF_peas)*s_IFPE_res_adj*s_CF_peas</f>
        <v>102.09375</v>
      </c>
      <c r="AU25" s="40">
        <f>s_C*(d_Bv!T25+s_MLF_peppers)*s_IFPP_res_adj*s_CF_peppers</f>
        <v>102.09375</v>
      </c>
      <c r="AV25" s="40">
        <f>s_C*(d_Bv!U25+s_MLF_potato)*s_IFPT_res_adj*s_CF_potato</f>
        <v>102.09375</v>
      </c>
      <c r="AW25" s="40">
        <f>s_C*(d_Bv!V25+s_MLF_pumpkin)*s_IFPU_res_adj*s_CF_pumpkin</f>
        <v>102.09375</v>
      </c>
      <c r="AX25" s="40">
        <f>s_C*(d_Bv!W25+s_MLF_snap_bean)*s_IFSN_res_adj*s_CF_snap_bean</f>
        <v>102.09375</v>
      </c>
      <c r="AY25" s="40">
        <f>s_C*(d_Bv!X25+s_MLF_strawberry)*s_IFST_res_adj*s_CF_strawberry</f>
        <v>102.09375</v>
      </c>
      <c r="AZ25" s="40">
        <f>s_C*(d_Bv!Y25+s_MLF_tomato)*s_IFTO_res_adj*s_CF_tomato</f>
        <v>102.09375</v>
      </c>
      <c r="BA25" s="40">
        <f>s_C*(d_Bv!Z25+s_MLF_rice)*s_IFRI_res_adj*s_CF_rice</f>
        <v>102.09375</v>
      </c>
      <c r="BB25" s="40">
        <f>s_C*(d_Bv!AA25+s_MLF_cereal)*s_IFCG_res_adj*s_CF_cereal</f>
        <v>102.09375</v>
      </c>
      <c r="BC25" s="15" t="str">
        <f t="shared" si="2"/>
        <v>.</v>
      </c>
      <c r="BD25" s="15" t="str">
        <f>IFERROR((s_dir!AD25/(d_Bv!C25+s_MLF_apple)),".")</f>
        <v>.</v>
      </c>
      <c r="BE25" s="15" t="str">
        <f>IFERROR((s_dir!AE25/(d_Bv!D25+s_MLF_asparagus)),".")</f>
        <v>.</v>
      </c>
      <c r="BF25" s="15" t="str">
        <f>IFERROR((s_dir!AF25/(d_Bv!E25+s_MLF_beet)),".")</f>
        <v>.</v>
      </c>
      <c r="BG25" s="15" t="str">
        <f>IFERROR((s_dir!AG25/(d_Bv!F25+s_MLF_berries)),".")</f>
        <v>.</v>
      </c>
      <c r="BH25" s="15" t="str">
        <f>IFERROR((s_dir!AH25/(d_Bv!G25+s_MLF_broccoli)),".")</f>
        <v>.</v>
      </c>
      <c r="BI25" s="15" t="str">
        <f>IFERROR((s_dir!AI25/(d_Bv!H25+s_MLF_cabbage)),".")</f>
        <v>.</v>
      </c>
      <c r="BJ25" s="15" t="str">
        <f>IFERROR((s_dir!AJ25/(d_Bv!I25+s_MLF_carrot)),".")</f>
        <v>.</v>
      </c>
      <c r="BK25" s="15" t="str">
        <f>IFERROR((s_dir!AK25/(d_Bv!J25+s_MLF_citrus)),".")</f>
        <v>.</v>
      </c>
      <c r="BL25" s="15" t="str">
        <f>IFERROR((s_dir!AL25/(d_Bv!K25+s_MLF_corn)),".")</f>
        <v>.</v>
      </c>
      <c r="BM25" s="15" t="str">
        <f>IFERROR((s_dir!AM25/(d_Bv!L25+s_MLF_cucumber)),".")</f>
        <v>.</v>
      </c>
      <c r="BN25" s="15" t="str">
        <f>IFERROR((s_dir!AN25/(d_Bv!M25+s_MLF_lettuce)),".")</f>
        <v>.</v>
      </c>
      <c r="BO25" s="15" t="str">
        <f>IFERROR((s_dir!AO25/(d_Bv!N25+s_MLF_lima_bean)),".")</f>
        <v>.</v>
      </c>
      <c r="BP25" s="15" t="str">
        <f>IFERROR((s_dir!AP25/(d_Bv!O25+s_MLF_okra)),".")</f>
        <v>.</v>
      </c>
      <c r="BQ25" s="15" t="str">
        <f>IFERROR((s_dir!AQ25/(d_Bv!P25+s_MLF_onion)),".")</f>
        <v>.</v>
      </c>
      <c r="BR25" s="15" t="str">
        <f>IFERROR((s_dir!AR25/(d_Bv!Q25+s_MLF_peach)),".")</f>
        <v>.</v>
      </c>
      <c r="BS25" s="15" t="str">
        <f>IFERROR((s_dir!AS25/(d_Bv!R25+s_MLF_pear)),".")</f>
        <v>.</v>
      </c>
      <c r="BT25" s="15" t="str">
        <f>IFERROR((s_dir!AT25/(d_Bv!S25+s_MLF_peas)),".")</f>
        <v>.</v>
      </c>
      <c r="BU25" s="15" t="str">
        <f>IFERROR((s_dir!AU25/(d_Bv!T25+s_MLF_peppers)),".")</f>
        <v>.</v>
      </c>
      <c r="BV25" s="15" t="str">
        <f>IFERROR((s_dir!AV25/(d_Bv!U25+s_MLF_potato)),".")</f>
        <v>.</v>
      </c>
      <c r="BW25" s="15" t="str">
        <f>IFERROR((s_dir!AW25/(d_Bv!V25+s_MLF_pumpkin)),".")</f>
        <v>.</v>
      </c>
      <c r="BX25" s="15" t="str">
        <f>IFERROR((s_dir!AX25/(d_Bv!W25+s_MLF_snap_bean)),".")</f>
        <v>.</v>
      </c>
      <c r="BY25" s="15" t="str">
        <f>IFERROR((s_dir!AY25/(d_Bv!X25+s_MLF_strawberry)),".")</f>
        <v>.</v>
      </c>
      <c r="BZ25" s="15" t="str">
        <f>IFERROR((s_dir!AZ25/(d_Bv!Y25+s_MLF_tomato)),".")</f>
        <v>.</v>
      </c>
      <c r="CA25" s="15" t="str">
        <f>IFERROR((s_dir!BA25/(d_Bv!Z25+s_MLF_rice)),".")</f>
        <v>.</v>
      </c>
      <c r="CB25" s="15" t="str">
        <f>IFERROR((s_dir!BB25/(d_Bv!AA25+s_MLF_cereal)),".")</f>
        <v>.</v>
      </c>
      <c r="CC25" s="40">
        <f t="shared" si="3"/>
        <v>408.375</v>
      </c>
      <c r="CD25" s="40">
        <f>IFERROR(s_C*(d_Bv!C25+s_MLF_apple)*s_IFAP_far_adj*s_CF_apple,".")</f>
        <v>102.09375</v>
      </c>
      <c r="CE25" s="40">
        <f>IFERROR(s_C*(d_Bv!D25+s_MLF_asparagus)*s_IFAS_far_adj*s_CF_asparagus,".")</f>
        <v>102.09375</v>
      </c>
      <c r="CF25" s="40">
        <f>IFERROR(s_C*(d_Bv!E25+s_MLF_beet)*s_IFBT_far_adj*s_CF_beet,".")</f>
        <v>102.09375</v>
      </c>
      <c r="CG25" s="40">
        <f>IFERROR(s_C*(d_Bv!F25+s_MLF_berries)*s_IFBR_far_adj*s_CF_berries,".")</f>
        <v>102.09375</v>
      </c>
      <c r="CH25" s="40">
        <f>IFERROR(s_C*(d_Bv!G25+s_MLF_broccoli)*s_IFBR_far_adj*s_CF_broccoli,".")</f>
        <v>102.09375</v>
      </c>
      <c r="CI25" s="40">
        <f>IFERROR(s_C*(d_Bv!H25+s_MLF_cabbage)*s_IFCB_far_adj*s_CF_cabbage,".")</f>
        <v>102.09375</v>
      </c>
      <c r="CJ25" s="40">
        <f>IFERROR(s_C*(d_Bv!I25+s_MLF_carrot)*s_IFCR_far_adj*s_CF_carrot,".")</f>
        <v>102.09375</v>
      </c>
      <c r="CK25" s="40">
        <f>IFERROR(s_C*(d_Bv!J25+s_MLF_citrus)*s_IFCI_far_adj*s_CF_citrus,".")</f>
        <v>102.09375</v>
      </c>
      <c r="CL25" s="40">
        <f>IFERROR(s_C*(d_Bv!K25+s_MLF_corn)*s_IFCO_far_adj*s_CF_corn,".")</f>
        <v>102.09375</v>
      </c>
      <c r="CM25" s="40">
        <f>IFERROR(s_C*(d_Bv!L25+s_MLF_cucumber)*s_IFCU_far_adj*s_CF_cucumber,".")</f>
        <v>102.09375</v>
      </c>
      <c r="CN25" s="40">
        <f>IFERROR(s_C*(d_Bv!M25+s_MLF_lettuce)*s_IFLE_far_adj*s_CF_lettuce,".")</f>
        <v>102.09375</v>
      </c>
      <c r="CO25" s="40">
        <f>IFERROR(s_C*(d_Bv!N25+s_MLF_lima_bean)*s_IFLI_far_adj*s_CF_lima_bean,".")</f>
        <v>102.09375</v>
      </c>
      <c r="CP25" s="40">
        <f>IFERROR(s_C*(d_Bv!O25+s_MLF_okra)*s_IFOK_far_adj*s_CF_okra,".")</f>
        <v>102.09375</v>
      </c>
      <c r="CQ25" s="40">
        <f>IFERROR(s_C*(d_Bv!P25+s_MLF_onion)*s_IFON_far_adj*s_CF_onion,".")</f>
        <v>102.09375</v>
      </c>
      <c r="CR25" s="40">
        <f>IFERROR(s_C*(d_Bv!Q25+s_MLF_peach)*s_IFPC_far_adj*s_CF_peach,".")</f>
        <v>102.09375</v>
      </c>
      <c r="CS25" s="40">
        <f>IFERROR(s_C*(d_Bv!R25+s_MLF_pear)*s_IFPR_far_adj*s_CF_pear,".")</f>
        <v>102.09375</v>
      </c>
      <c r="CT25" s="40">
        <f>IFERROR(s_C*(d_Bv!S25+s_MLF_peas)*s_IFPE_far_adj*s_CF_peas,".")</f>
        <v>102.09375</v>
      </c>
      <c r="CU25" s="40">
        <f>IFERROR(s_C*(d_Bv!T25+s_MLF_peppers)*s_IFPP_far_adj*s_CF_peppers,".")</f>
        <v>102.09375</v>
      </c>
      <c r="CV25" s="40">
        <f>IFERROR(s_C*(d_Bv!U25+s_MLF_potato)*s_IFPT_far_adj*s_CF_potato,".")</f>
        <v>102.09375</v>
      </c>
      <c r="CW25" s="40">
        <f>IFERROR(s_C*(d_Bv!V25+s_MLF_pumpkin)*s_IFPU_far_adj*s_CF_pumpkin,".")</f>
        <v>102.09375</v>
      </c>
      <c r="CX25" s="40">
        <f>IFERROR(s_C*(d_Bv!W25+s_MLF_snap_bean)*s_IFSN_far_adj*s_CF_snap_bean,".")</f>
        <v>102.09375</v>
      </c>
      <c r="CY25" s="40">
        <f>IFERROR(s_C*(d_Bv!X25+s_MLF_strawberry)*s_IFST_far_adj*s_CF_strawberry,".")</f>
        <v>102.09375</v>
      </c>
      <c r="CZ25" s="40">
        <f>IFERROR(s_C*(d_Bv!Y25+s_MLF_tomato)*s_IFTO_far_adj*s_CF_tomato,".")</f>
        <v>102.09375</v>
      </c>
      <c r="DA25" s="40">
        <f>IFERROR(s_C*(d_Bv!Z25+s_MLF_rice)*s_IFRI_far_adj*s_CF_rice,".")</f>
        <v>102.09375</v>
      </c>
      <c r="DB25" s="40">
        <f>IFERROR(s_C*(d_Bv!AA25+s_MLF_cereal)*s_IFCG_far_adj*s_CF_cereal,".")</f>
        <v>102.09375</v>
      </c>
    </row>
    <row r="26" spans="1:106" ht="15" customHeight="1" x14ac:dyDescent="0.25">
      <c r="A26" s="44" t="s">
        <v>24</v>
      </c>
      <c r="B26" s="42" t="s">
        <v>1057</v>
      </c>
      <c r="C26" s="15">
        <f t="shared" si="0"/>
        <v>25.496804076895014</v>
      </c>
      <c r="D26" s="15">
        <f>IFERROR((s_dir!D26/(d_Bv!C26+s_MLF_apple)),".")</f>
        <v>104.79186475603851</v>
      </c>
      <c r="E26" s="15">
        <f>IFERROR((s_dir!E26/(d_Bv!D26+s_MLF_asparagus)),".")</f>
        <v>99.801775958131913</v>
      </c>
      <c r="F26" s="15">
        <f>IFERROR((s_dir!F26/(d_Bv!E26+s_MLF_beet)),".")</f>
        <v>102.59343402689085</v>
      </c>
      <c r="G26" s="15">
        <f>IFERROR((s_dir!G26/(d_Bv!F26+s_MLF_berries)),".")</f>
        <v>104.79186475603851</v>
      </c>
      <c r="H26" s="15">
        <f>IFERROR((s_dir!H26/(d_Bv!G26+s_MLF_broccoli)),".")</f>
        <v>102.73712230984168</v>
      </c>
      <c r="I26" s="15">
        <f>IFERROR((s_dir!I26/(d_Bv!H26+s_MLF_cabbage)),".")</f>
        <v>99.801775958131913</v>
      </c>
      <c r="J26" s="15">
        <f>IFERROR((s_dir!J26/(d_Bv!I26+s_MLF_carrot)),".")</f>
        <v>102.59343402689085</v>
      </c>
      <c r="K26" s="15">
        <f>IFERROR((s_dir!K26/(d_Bv!J26+s_MLF_citrus)),".")</f>
        <v>104.79186475603851</v>
      </c>
      <c r="L26" s="15">
        <f>IFERROR((s_dir!L26/(d_Bv!K26+s_MLF_corn)),".")</f>
        <v>103.75432154063219</v>
      </c>
      <c r="M26" s="15">
        <f>IFERROR((s_dir!M26/(d_Bv!L26+s_MLF_cucumber)),".")</f>
        <v>102.73712230984168</v>
      </c>
      <c r="N26" s="15">
        <f>IFERROR((s_dir!N26/(d_Bv!M26+s_MLF_lettuce)),".")</f>
        <v>99.801775958131913</v>
      </c>
      <c r="O26" s="15">
        <f>IFERROR((s_dir!O26/(d_Bv!N26+s_MLF_lima_bean)),".")</f>
        <v>104.56779091835632</v>
      </c>
      <c r="P26" s="15">
        <f>IFERROR((s_dir!P26/(d_Bv!O26+s_MLF_okra)),".")</f>
        <v>102.73712230984168</v>
      </c>
      <c r="Q26" s="15">
        <f>IFERROR((s_dir!Q26/(d_Bv!P26+s_MLF_onion)),".")</f>
        <v>102.59343402689085</v>
      </c>
      <c r="R26" s="15">
        <f>IFERROR((s_dir!R26/(d_Bv!Q26+s_MLF_peach)),".")</f>
        <v>104.79186475603851</v>
      </c>
      <c r="S26" s="15">
        <f>IFERROR((s_dir!S26/(d_Bv!R26+s_MLF_pear)),".")</f>
        <v>104.79186475603851</v>
      </c>
      <c r="T26" s="15">
        <f>IFERROR((s_dir!T26/(d_Bv!S26+s_MLF_peas)),".")</f>
        <v>104.56779091835632</v>
      </c>
      <c r="U26" s="15">
        <f>IFERROR((s_dir!U26/(d_Bv!T26+s_MLF_peppers)),".")</f>
        <v>102.73712230984168</v>
      </c>
      <c r="V26" s="15">
        <f>IFERROR((s_dir!V26/(d_Bv!U26+s_MLF_potato)),".")</f>
        <v>107.08657712295906</v>
      </c>
      <c r="W26" s="15">
        <f>IFERROR((s_dir!W26/(d_Bv!V26+s_MLF_pumpkin)),".")</f>
        <v>102.73712230984168</v>
      </c>
      <c r="X26" s="15">
        <f>IFERROR((s_dir!X26/(d_Bv!W26+s_MLF_snap_bean)),".")</f>
        <v>104.56779091835632</v>
      </c>
      <c r="Y26" s="15">
        <f>IFERROR((s_dir!Y26/(d_Bv!X26+s_MLF_strawberry)),".")</f>
        <v>104.79186475603851</v>
      </c>
      <c r="Z26" s="15">
        <f>IFERROR((s_dir!Z26/(d_Bv!Y26+s_MLF_tomato)),".")</f>
        <v>102.73712230984168</v>
      </c>
      <c r="AA26" s="15">
        <f>IFERROR((s_dir!AA26/(d_Bv!Z26+s_MLF_rice)),".")</f>
        <v>107.40015421555923</v>
      </c>
      <c r="AB26" s="15">
        <f>IFERROR((s_dir!AB26/(d_Bv!AA26+s_MLF_cereal)),".")</f>
        <v>94.043981191316618</v>
      </c>
      <c r="AC26" s="40">
        <f t="shared" si="1"/>
        <v>435.14625000000001</v>
      </c>
      <c r="AD26" s="40">
        <f>s_C*(d_Bv!C26+s_MLF_apple)*s_IFAP_res_adj*s_CF_apple</f>
        <v>105.87500000000001</v>
      </c>
      <c r="AE26" s="40">
        <f>s_C*(d_Bv!D26+s_MLF_asparagus)*s_IFAS_res_adj*s_CF_asparagus</f>
        <v>111.16874999999999</v>
      </c>
      <c r="AF26" s="40">
        <f>s_C*(d_Bv!E26+s_MLF_beet)*s_IFBT_res_adj*s_CF_beet</f>
        <v>108.14375000000001</v>
      </c>
      <c r="AG26" s="40">
        <f>s_C*(d_Bv!F26+s_MLF_berries)*s_IFBE_res_adj*s_CF_berries</f>
        <v>105.87500000000001</v>
      </c>
      <c r="AH26" s="40">
        <f>s_C*(d_Bv!G26+s_MLF_broccoli)*s_IFBR_res_adj*s_CF_broccoli</f>
        <v>107.99249999999999</v>
      </c>
      <c r="AI26" s="40">
        <f>s_C*(d_Bv!H26+s_MLF_cabbage)*s_IFCB_res_adj*s_CF_cabbage</f>
        <v>111.16874999999999</v>
      </c>
      <c r="AJ26" s="40">
        <f>s_C*(d_Bv!I26+s_MLF_carrot)*s_IFCR_res_adj*s_CF_carrot</f>
        <v>108.14375000000001</v>
      </c>
      <c r="AK26" s="40">
        <f>s_C*(d_Bv!J26+s_MLF_citrus)*s_IFCI_res_adj*s_CF_citrus</f>
        <v>105.87500000000001</v>
      </c>
      <c r="AL26" s="40">
        <f>s_C*(d_Bv!K26+s_MLF_corn)*s_IFCO_res_adj*s_CF_corn</f>
        <v>106.93375</v>
      </c>
      <c r="AM26" s="40">
        <f>s_C*(d_Bv!L26+s_MLF_cucumber)*s_IFCU_res_adj*s_CF_cucumber</f>
        <v>107.99249999999999</v>
      </c>
      <c r="AN26" s="40">
        <f>s_C*(d_Bv!M26+s_MLF_lettuce)*s_IFLE_res_adj*s_CF_lettuce</f>
        <v>111.16874999999999</v>
      </c>
      <c r="AO26" s="40">
        <f>s_C*(d_Bv!N26+s_MLF_lima_bean)*s_IFLI_res_adj*s_CF_lima_bean</f>
        <v>106.10187499999998</v>
      </c>
      <c r="AP26" s="40">
        <f>s_C*(d_Bv!O26+s_MLF_okra)*s_IFOK_res_adj*s_CF_okra</f>
        <v>107.99249999999999</v>
      </c>
      <c r="AQ26" s="40">
        <f>s_C*(d_Bv!P26+s_MLF_onion)*s_IFON_res_adj*s_CF_onion</f>
        <v>108.14375000000001</v>
      </c>
      <c r="AR26" s="40">
        <f>s_C*(d_Bv!Q26+s_MLF_peach)*s_IFPC_res_adj*s_CF_peach</f>
        <v>105.87500000000001</v>
      </c>
      <c r="AS26" s="40">
        <f>s_C*(d_Bv!R26+s_MLF_pear)*s_IFPR_res_adj*s_CF_pear</f>
        <v>105.87500000000001</v>
      </c>
      <c r="AT26" s="40">
        <f>s_C*(d_Bv!S26+s_MLF_peas)*s_IFPE_res_adj*s_CF_peas</f>
        <v>106.10187499999998</v>
      </c>
      <c r="AU26" s="40">
        <f>s_C*(d_Bv!T26+s_MLF_peppers)*s_IFPP_res_adj*s_CF_peppers</f>
        <v>107.99249999999999</v>
      </c>
      <c r="AV26" s="40">
        <f>s_C*(d_Bv!U26+s_MLF_potato)*s_IFPT_res_adj*s_CF_potato</f>
        <v>103.60625</v>
      </c>
      <c r="AW26" s="40">
        <f>s_C*(d_Bv!V26+s_MLF_pumpkin)*s_IFPU_res_adj*s_CF_pumpkin</f>
        <v>107.99249999999999</v>
      </c>
      <c r="AX26" s="40">
        <f>s_C*(d_Bv!W26+s_MLF_snap_bean)*s_IFSN_res_adj*s_CF_snap_bean</f>
        <v>106.10187499999998</v>
      </c>
      <c r="AY26" s="40">
        <f>s_C*(d_Bv!X26+s_MLF_strawberry)*s_IFST_res_adj*s_CF_strawberry</f>
        <v>105.87500000000001</v>
      </c>
      <c r="AZ26" s="40">
        <f>s_C*(d_Bv!Y26+s_MLF_tomato)*s_IFTO_res_adj*s_CF_tomato</f>
        <v>107.99249999999999</v>
      </c>
      <c r="BA26" s="40">
        <f>s_C*(d_Bv!Z26+s_MLF_rice)*s_IFRI_res_adj*s_CF_rice</f>
        <v>103.30374999999999</v>
      </c>
      <c r="BB26" s="40">
        <f>s_C*(d_Bv!AA26+s_MLF_cereal)*s_IFCG_res_adj*s_CF_cereal</f>
        <v>117.97499999999999</v>
      </c>
      <c r="BC26" s="15">
        <f t="shared" si="2"/>
        <v>25.496804076895014</v>
      </c>
      <c r="BD26" s="15">
        <f>IFERROR((s_dir!AD26/(d_Bv!C26+s_MLF_apple)),".")</f>
        <v>104.79186475603851</v>
      </c>
      <c r="BE26" s="15">
        <f>IFERROR((s_dir!AE26/(d_Bv!D26+s_MLF_asparagus)),".")</f>
        <v>99.801775958131913</v>
      </c>
      <c r="BF26" s="15">
        <f>IFERROR((s_dir!AF26/(d_Bv!E26+s_MLF_beet)),".")</f>
        <v>102.59343402689085</v>
      </c>
      <c r="BG26" s="15">
        <f>IFERROR((s_dir!AG26/(d_Bv!F26+s_MLF_berries)),".")</f>
        <v>104.79186475603851</v>
      </c>
      <c r="BH26" s="15">
        <f>IFERROR((s_dir!AH26/(d_Bv!G26+s_MLF_broccoli)),".")</f>
        <v>102.73712230984168</v>
      </c>
      <c r="BI26" s="15">
        <f>IFERROR((s_dir!AI26/(d_Bv!H26+s_MLF_cabbage)),".")</f>
        <v>99.801775958131913</v>
      </c>
      <c r="BJ26" s="15">
        <f>IFERROR((s_dir!AJ26/(d_Bv!I26+s_MLF_carrot)),".")</f>
        <v>102.59343402689085</v>
      </c>
      <c r="BK26" s="15">
        <f>IFERROR((s_dir!AK26/(d_Bv!J26+s_MLF_citrus)),".")</f>
        <v>104.79186475603851</v>
      </c>
      <c r="BL26" s="15">
        <f>IFERROR((s_dir!AL26/(d_Bv!K26+s_MLF_corn)),".")</f>
        <v>103.75432154063219</v>
      </c>
      <c r="BM26" s="15">
        <f>IFERROR((s_dir!AM26/(d_Bv!L26+s_MLF_cucumber)),".")</f>
        <v>102.73712230984168</v>
      </c>
      <c r="BN26" s="15">
        <f>IFERROR((s_dir!AN26/(d_Bv!M26+s_MLF_lettuce)),".")</f>
        <v>99.801775958131913</v>
      </c>
      <c r="BO26" s="15">
        <f>IFERROR((s_dir!AO26/(d_Bv!N26+s_MLF_lima_bean)),".")</f>
        <v>104.56779091835632</v>
      </c>
      <c r="BP26" s="15">
        <f>IFERROR((s_dir!AP26/(d_Bv!O26+s_MLF_okra)),".")</f>
        <v>102.73712230984168</v>
      </c>
      <c r="BQ26" s="15">
        <f>IFERROR((s_dir!AQ26/(d_Bv!P26+s_MLF_onion)),".")</f>
        <v>102.59343402689085</v>
      </c>
      <c r="BR26" s="15">
        <f>IFERROR((s_dir!AR26/(d_Bv!Q26+s_MLF_peach)),".")</f>
        <v>104.79186475603851</v>
      </c>
      <c r="BS26" s="15">
        <f>IFERROR((s_dir!AS26/(d_Bv!R26+s_MLF_pear)),".")</f>
        <v>104.79186475603851</v>
      </c>
      <c r="BT26" s="15">
        <f>IFERROR((s_dir!AT26/(d_Bv!S26+s_MLF_peas)),".")</f>
        <v>104.56779091835632</v>
      </c>
      <c r="BU26" s="15">
        <f>IFERROR((s_dir!AU26/(d_Bv!T26+s_MLF_peppers)),".")</f>
        <v>102.73712230984168</v>
      </c>
      <c r="BV26" s="15">
        <f>IFERROR((s_dir!AV26/(d_Bv!U26+s_MLF_potato)),".")</f>
        <v>107.08657712295906</v>
      </c>
      <c r="BW26" s="15">
        <f>IFERROR((s_dir!AW26/(d_Bv!V26+s_MLF_pumpkin)),".")</f>
        <v>102.73712230984168</v>
      </c>
      <c r="BX26" s="15">
        <f>IFERROR((s_dir!AX26/(d_Bv!W26+s_MLF_snap_bean)),".")</f>
        <v>104.56779091835632</v>
      </c>
      <c r="BY26" s="15">
        <f>IFERROR((s_dir!AY26/(d_Bv!X26+s_MLF_strawberry)),".")</f>
        <v>104.79186475603851</v>
      </c>
      <c r="BZ26" s="15">
        <f>IFERROR((s_dir!AZ26/(d_Bv!Y26+s_MLF_tomato)),".")</f>
        <v>102.73712230984168</v>
      </c>
      <c r="CA26" s="15">
        <f>IFERROR((s_dir!BA26/(d_Bv!Z26+s_MLF_rice)),".")</f>
        <v>107.40015421555923</v>
      </c>
      <c r="CB26" s="15">
        <f>IFERROR((s_dir!BB26/(d_Bv!AA26+s_MLF_cereal)),".")</f>
        <v>94.043981191316618</v>
      </c>
      <c r="CC26" s="40">
        <f t="shared" si="3"/>
        <v>435.14625000000001</v>
      </c>
      <c r="CD26" s="40">
        <f>IFERROR(s_C*(d_Bv!C26+s_MLF_apple)*s_IFAP_far_adj*s_CF_apple,".")</f>
        <v>105.87500000000001</v>
      </c>
      <c r="CE26" s="40">
        <f>IFERROR(s_C*(d_Bv!D26+s_MLF_asparagus)*s_IFAS_far_adj*s_CF_asparagus,".")</f>
        <v>111.16874999999999</v>
      </c>
      <c r="CF26" s="40">
        <f>IFERROR(s_C*(d_Bv!E26+s_MLF_beet)*s_IFBT_far_adj*s_CF_beet,".")</f>
        <v>108.14375000000001</v>
      </c>
      <c r="CG26" s="40">
        <f>IFERROR(s_C*(d_Bv!F26+s_MLF_berries)*s_IFBR_far_adj*s_CF_berries,".")</f>
        <v>105.87500000000001</v>
      </c>
      <c r="CH26" s="40">
        <f>IFERROR(s_C*(d_Bv!G26+s_MLF_broccoli)*s_IFBR_far_adj*s_CF_broccoli,".")</f>
        <v>107.99249999999999</v>
      </c>
      <c r="CI26" s="40">
        <f>IFERROR(s_C*(d_Bv!H26+s_MLF_cabbage)*s_IFCB_far_adj*s_CF_cabbage,".")</f>
        <v>111.16874999999999</v>
      </c>
      <c r="CJ26" s="40">
        <f>IFERROR(s_C*(d_Bv!I26+s_MLF_carrot)*s_IFCR_far_adj*s_CF_carrot,".")</f>
        <v>108.14375000000001</v>
      </c>
      <c r="CK26" s="40">
        <f>IFERROR(s_C*(d_Bv!J26+s_MLF_citrus)*s_IFCI_far_adj*s_CF_citrus,".")</f>
        <v>105.87500000000001</v>
      </c>
      <c r="CL26" s="40">
        <f>IFERROR(s_C*(d_Bv!K26+s_MLF_corn)*s_IFCO_far_adj*s_CF_corn,".")</f>
        <v>106.93375</v>
      </c>
      <c r="CM26" s="40">
        <f>IFERROR(s_C*(d_Bv!L26+s_MLF_cucumber)*s_IFCU_far_adj*s_CF_cucumber,".")</f>
        <v>107.99249999999999</v>
      </c>
      <c r="CN26" s="40">
        <f>IFERROR(s_C*(d_Bv!M26+s_MLF_lettuce)*s_IFLE_far_adj*s_CF_lettuce,".")</f>
        <v>111.16874999999999</v>
      </c>
      <c r="CO26" s="40">
        <f>IFERROR(s_C*(d_Bv!N26+s_MLF_lima_bean)*s_IFLI_far_adj*s_CF_lima_bean,".")</f>
        <v>106.10187499999998</v>
      </c>
      <c r="CP26" s="40">
        <f>IFERROR(s_C*(d_Bv!O26+s_MLF_okra)*s_IFOK_far_adj*s_CF_okra,".")</f>
        <v>107.99249999999999</v>
      </c>
      <c r="CQ26" s="40">
        <f>IFERROR(s_C*(d_Bv!P26+s_MLF_onion)*s_IFON_far_adj*s_CF_onion,".")</f>
        <v>108.14375000000001</v>
      </c>
      <c r="CR26" s="40">
        <f>IFERROR(s_C*(d_Bv!Q26+s_MLF_peach)*s_IFPC_far_adj*s_CF_peach,".")</f>
        <v>105.87500000000001</v>
      </c>
      <c r="CS26" s="40">
        <f>IFERROR(s_C*(d_Bv!R26+s_MLF_pear)*s_IFPR_far_adj*s_CF_pear,".")</f>
        <v>105.87500000000001</v>
      </c>
      <c r="CT26" s="40">
        <f>IFERROR(s_C*(d_Bv!S26+s_MLF_peas)*s_IFPE_far_adj*s_CF_peas,".")</f>
        <v>106.10187499999998</v>
      </c>
      <c r="CU26" s="40">
        <f>IFERROR(s_C*(d_Bv!T26+s_MLF_peppers)*s_IFPP_far_adj*s_CF_peppers,".")</f>
        <v>107.99249999999999</v>
      </c>
      <c r="CV26" s="40">
        <f>IFERROR(s_C*(d_Bv!U26+s_MLF_potato)*s_IFPT_far_adj*s_CF_potato,".")</f>
        <v>103.60625</v>
      </c>
      <c r="CW26" s="40">
        <f>IFERROR(s_C*(d_Bv!V26+s_MLF_pumpkin)*s_IFPU_far_adj*s_CF_pumpkin,".")</f>
        <v>107.99249999999999</v>
      </c>
      <c r="CX26" s="40">
        <f>IFERROR(s_C*(d_Bv!W26+s_MLF_snap_bean)*s_IFSN_far_adj*s_CF_snap_bean,".")</f>
        <v>106.10187499999998</v>
      </c>
      <c r="CY26" s="40">
        <f>IFERROR(s_C*(d_Bv!X26+s_MLF_strawberry)*s_IFST_far_adj*s_CF_strawberry,".")</f>
        <v>105.87500000000001</v>
      </c>
      <c r="CZ26" s="40">
        <f>IFERROR(s_C*(d_Bv!Y26+s_MLF_tomato)*s_IFTO_far_adj*s_CF_tomato,".")</f>
        <v>107.99249999999999</v>
      </c>
      <c r="DA26" s="40">
        <f>IFERROR(s_C*(d_Bv!Z26+s_MLF_rice)*s_IFRI_far_adj*s_CF_rice,".")</f>
        <v>103.30374999999999</v>
      </c>
      <c r="DB26" s="40">
        <f>IFERROR(s_C*(d_Bv!AA26+s_MLF_cereal)*s_IFCG_far_adj*s_CF_cereal,".")</f>
        <v>117.97499999999999</v>
      </c>
    </row>
    <row r="27" spans="1:106" ht="15" customHeight="1" x14ac:dyDescent="0.25">
      <c r="A27" s="44" t="s">
        <v>25</v>
      </c>
      <c r="B27" s="42" t="s">
        <v>1057</v>
      </c>
      <c r="C27" s="15" t="str">
        <f t="shared" si="0"/>
        <v>.</v>
      </c>
      <c r="D27" s="15" t="str">
        <f>IFERROR((s_dir!D27/(d_Bv!C27+s_MLF_apple)),".")</f>
        <v>.</v>
      </c>
      <c r="E27" s="15" t="str">
        <f>IFERROR((s_dir!E27/(d_Bv!D27+s_MLF_asparagus)),".")</f>
        <v>.</v>
      </c>
      <c r="F27" s="15" t="str">
        <f>IFERROR((s_dir!F27/(d_Bv!E27+s_MLF_beet)),".")</f>
        <v>.</v>
      </c>
      <c r="G27" s="15" t="str">
        <f>IFERROR((s_dir!G27/(d_Bv!F27+s_MLF_berries)),".")</f>
        <v>.</v>
      </c>
      <c r="H27" s="15" t="str">
        <f>IFERROR((s_dir!H27/(d_Bv!G27+s_MLF_broccoli)),".")</f>
        <v>.</v>
      </c>
      <c r="I27" s="15" t="str">
        <f>IFERROR((s_dir!I27/(d_Bv!H27+s_MLF_cabbage)),".")</f>
        <v>.</v>
      </c>
      <c r="J27" s="15" t="str">
        <f>IFERROR((s_dir!J27/(d_Bv!I27+s_MLF_carrot)),".")</f>
        <v>.</v>
      </c>
      <c r="K27" s="15" t="str">
        <f>IFERROR((s_dir!K27/(d_Bv!J27+s_MLF_citrus)),".")</f>
        <v>.</v>
      </c>
      <c r="L27" s="15" t="str">
        <f>IFERROR((s_dir!L27/(d_Bv!K27+s_MLF_corn)),".")</f>
        <v>.</v>
      </c>
      <c r="M27" s="15" t="str">
        <f>IFERROR((s_dir!M27/(d_Bv!L27+s_MLF_cucumber)),".")</f>
        <v>.</v>
      </c>
      <c r="N27" s="15" t="str">
        <f>IFERROR((s_dir!N27/(d_Bv!M27+s_MLF_lettuce)),".")</f>
        <v>.</v>
      </c>
      <c r="O27" s="15" t="str">
        <f>IFERROR((s_dir!O27/(d_Bv!N27+s_MLF_lima_bean)),".")</f>
        <v>.</v>
      </c>
      <c r="P27" s="15" t="str">
        <f>IFERROR((s_dir!P27/(d_Bv!O27+s_MLF_okra)),".")</f>
        <v>.</v>
      </c>
      <c r="Q27" s="15" t="str">
        <f>IFERROR((s_dir!Q27/(d_Bv!P27+s_MLF_onion)),".")</f>
        <v>.</v>
      </c>
      <c r="R27" s="15" t="str">
        <f>IFERROR((s_dir!R27/(d_Bv!Q27+s_MLF_peach)),".")</f>
        <v>.</v>
      </c>
      <c r="S27" s="15" t="str">
        <f>IFERROR((s_dir!S27/(d_Bv!R27+s_MLF_pear)),".")</f>
        <v>.</v>
      </c>
      <c r="T27" s="15" t="str">
        <f>IFERROR((s_dir!T27/(d_Bv!S27+s_MLF_peas)),".")</f>
        <v>.</v>
      </c>
      <c r="U27" s="15" t="str">
        <f>IFERROR((s_dir!U27/(d_Bv!T27+s_MLF_peppers)),".")</f>
        <v>.</v>
      </c>
      <c r="V27" s="15" t="str">
        <f>IFERROR((s_dir!V27/(d_Bv!U27+s_MLF_potato)),".")</f>
        <v>.</v>
      </c>
      <c r="W27" s="15" t="str">
        <f>IFERROR((s_dir!W27/(d_Bv!V27+s_MLF_pumpkin)),".")</f>
        <v>.</v>
      </c>
      <c r="X27" s="15" t="str">
        <f>IFERROR((s_dir!X27/(d_Bv!W27+s_MLF_snap_bean)),".")</f>
        <v>.</v>
      </c>
      <c r="Y27" s="15" t="str">
        <f>IFERROR((s_dir!Y27/(d_Bv!X27+s_MLF_strawberry)),".")</f>
        <v>.</v>
      </c>
      <c r="Z27" s="15" t="str">
        <f>IFERROR((s_dir!Z27/(d_Bv!Y27+s_MLF_tomato)),".")</f>
        <v>.</v>
      </c>
      <c r="AA27" s="15" t="str">
        <f>IFERROR((s_dir!AA27/(d_Bv!Z27+s_MLF_rice)),".")</f>
        <v>.</v>
      </c>
      <c r="AB27" s="15" t="str">
        <f>IFERROR((s_dir!AB27/(d_Bv!AA27+s_MLF_cereal)),".")</f>
        <v>.</v>
      </c>
      <c r="AC27" s="40">
        <f t="shared" si="1"/>
        <v>1933.5800000000002</v>
      </c>
      <c r="AD27" s="40">
        <f>s_C*(d_Bv!C27+s_MLF_apple)*s_IFAP_res_adj*s_CF_apple</f>
        <v>102.69875</v>
      </c>
      <c r="AE27" s="40">
        <f>s_C*(d_Bv!D27+s_MLF_asparagus)*s_IFAS_res_adj*s_CF_asparagus</f>
        <v>108.14375000000001</v>
      </c>
      <c r="AF27" s="40">
        <f>s_C*(d_Bv!E27+s_MLF_beet)*s_IFBT_res_adj*s_CF_beet</f>
        <v>102.69875</v>
      </c>
      <c r="AG27" s="40">
        <f>s_C*(d_Bv!F27+s_MLF_berries)*s_IFBE_res_adj*s_CF_berries</f>
        <v>102.69875</v>
      </c>
      <c r="AH27" s="40">
        <f>s_C*(d_Bv!G27+s_MLF_broccoli)*s_IFBR_res_adj*s_CF_broccoli</f>
        <v>108.14375000000001</v>
      </c>
      <c r="AI27" s="40">
        <f>s_C*(d_Bv!H27+s_MLF_cabbage)*s_IFCB_res_adj*s_CF_cabbage</f>
        <v>108.14375000000001</v>
      </c>
      <c r="AJ27" s="40">
        <f>s_C*(d_Bv!I27+s_MLF_carrot)*s_IFCR_res_adj*s_CF_carrot</f>
        <v>102.69875</v>
      </c>
      <c r="AK27" s="40">
        <f>s_C*(d_Bv!J27+s_MLF_citrus)*s_IFCI_res_adj*s_CF_citrus</f>
        <v>102.69875</v>
      </c>
      <c r="AL27" s="40">
        <f>s_C*(d_Bv!K27+s_MLF_corn)*s_IFCO_res_adj*s_CF_corn</f>
        <v>108.14375000000001</v>
      </c>
      <c r="AM27" s="40">
        <f>s_C*(d_Bv!L27+s_MLF_cucumber)*s_IFCU_res_adj*s_CF_cucumber</f>
        <v>108.14375000000001</v>
      </c>
      <c r="AN27" s="40">
        <f>s_C*(d_Bv!M27+s_MLF_lettuce)*s_IFLE_res_adj*s_CF_lettuce</f>
        <v>108.14375000000001</v>
      </c>
      <c r="AO27" s="40">
        <f>s_C*(d_Bv!N27+s_MLF_lima_bean)*s_IFLI_res_adj*s_CF_lima_bean</f>
        <v>108.14375000000001</v>
      </c>
      <c r="AP27" s="40">
        <f>s_C*(d_Bv!O27+s_MLF_okra)*s_IFOK_res_adj*s_CF_okra</f>
        <v>108.14375000000001</v>
      </c>
      <c r="AQ27" s="40">
        <f>s_C*(d_Bv!P27+s_MLF_onion)*s_IFON_res_adj*s_CF_onion</f>
        <v>102.69875</v>
      </c>
      <c r="AR27" s="40">
        <f>s_C*(d_Bv!Q27+s_MLF_peach)*s_IFPC_res_adj*s_CF_peach</f>
        <v>102.69875</v>
      </c>
      <c r="AS27" s="40">
        <f>s_C*(d_Bv!R27+s_MLF_pear)*s_IFPR_res_adj*s_CF_pear</f>
        <v>102.69875</v>
      </c>
      <c r="AT27" s="40">
        <f>s_C*(d_Bv!S27+s_MLF_peas)*s_IFPE_res_adj*s_CF_peas</f>
        <v>108.14375000000001</v>
      </c>
      <c r="AU27" s="40">
        <f>s_C*(d_Bv!T27+s_MLF_peppers)*s_IFPP_res_adj*s_CF_peppers</f>
        <v>108.14375000000001</v>
      </c>
      <c r="AV27" s="40">
        <f>s_C*(d_Bv!U27+s_MLF_potato)*s_IFPT_res_adj*s_CF_potato</f>
        <v>102.69875</v>
      </c>
      <c r="AW27" s="40">
        <f>s_C*(d_Bv!V27+s_MLF_pumpkin)*s_IFPU_res_adj*s_CF_pumpkin</f>
        <v>108.14375000000001</v>
      </c>
      <c r="AX27" s="40">
        <f>s_C*(d_Bv!W27+s_MLF_snap_bean)*s_IFSN_res_adj*s_CF_snap_bean</f>
        <v>108.14375000000001</v>
      </c>
      <c r="AY27" s="40">
        <f>s_C*(d_Bv!X27+s_MLF_strawberry)*s_IFST_res_adj*s_CF_strawberry</f>
        <v>102.69875</v>
      </c>
      <c r="AZ27" s="40">
        <f>s_C*(d_Bv!Y27+s_MLF_tomato)*s_IFTO_res_adj*s_CF_tomato</f>
        <v>108.14375000000001</v>
      </c>
      <c r="BA27" s="40">
        <f>s_C*(d_Bv!Z27+s_MLF_rice)*s_IFRI_res_adj*s_CF_rice</f>
        <v>1614.5937500000002</v>
      </c>
      <c r="BB27" s="40">
        <f>s_C*(d_Bv!AA27+s_MLF_cereal)*s_IFCG_res_adj*s_CF_cereal</f>
        <v>108.14375000000001</v>
      </c>
      <c r="BC27" s="15" t="str">
        <f t="shared" si="2"/>
        <v>.</v>
      </c>
      <c r="BD27" s="15" t="str">
        <f>IFERROR((s_dir!AD27/(d_Bv!C27+s_MLF_apple)),".")</f>
        <v>.</v>
      </c>
      <c r="BE27" s="15" t="str">
        <f>IFERROR((s_dir!AE27/(d_Bv!D27+s_MLF_asparagus)),".")</f>
        <v>.</v>
      </c>
      <c r="BF27" s="15" t="str">
        <f>IFERROR((s_dir!AF27/(d_Bv!E27+s_MLF_beet)),".")</f>
        <v>.</v>
      </c>
      <c r="BG27" s="15" t="str">
        <f>IFERROR((s_dir!AG27/(d_Bv!F27+s_MLF_berries)),".")</f>
        <v>.</v>
      </c>
      <c r="BH27" s="15" t="str">
        <f>IFERROR((s_dir!AH27/(d_Bv!G27+s_MLF_broccoli)),".")</f>
        <v>.</v>
      </c>
      <c r="BI27" s="15" t="str">
        <f>IFERROR((s_dir!AI27/(d_Bv!H27+s_MLF_cabbage)),".")</f>
        <v>.</v>
      </c>
      <c r="BJ27" s="15" t="str">
        <f>IFERROR((s_dir!AJ27/(d_Bv!I27+s_MLF_carrot)),".")</f>
        <v>.</v>
      </c>
      <c r="BK27" s="15" t="str">
        <f>IFERROR((s_dir!AK27/(d_Bv!J27+s_MLF_citrus)),".")</f>
        <v>.</v>
      </c>
      <c r="BL27" s="15" t="str">
        <f>IFERROR((s_dir!AL27/(d_Bv!K27+s_MLF_corn)),".")</f>
        <v>.</v>
      </c>
      <c r="BM27" s="15" t="str">
        <f>IFERROR((s_dir!AM27/(d_Bv!L27+s_MLF_cucumber)),".")</f>
        <v>.</v>
      </c>
      <c r="BN27" s="15" t="str">
        <f>IFERROR((s_dir!AN27/(d_Bv!M27+s_MLF_lettuce)),".")</f>
        <v>.</v>
      </c>
      <c r="BO27" s="15" t="str">
        <f>IFERROR((s_dir!AO27/(d_Bv!N27+s_MLF_lima_bean)),".")</f>
        <v>.</v>
      </c>
      <c r="BP27" s="15" t="str">
        <f>IFERROR((s_dir!AP27/(d_Bv!O27+s_MLF_okra)),".")</f>
        <v>.</v>
      </c>
      <c r="BQ27" s="15" t="str">
        <f>IFERROR((s_dir!AQ27/(d_Bv!P27+s_MLF_onion)),".")</f>
        <v>.</v>
      </c>
      <c r="BR27" s="15" t="str">
        <f>IFERROR((s_dir!AR27/(d_Bv!Q27+s_MLF_peach)),".")</f>
        <v>.</v>
      </c>
      <c r="BS27" s="15" t="str">
        <f>IFERROR((s_dir!AS27/(d_Bv!R27+s_MLF_pear)),".")</f>
        <v>.</v>
      </c>
      <c r="BT27" s="15" t="str">
        <f>IFERROR((s_dir!AT27/(d_Bv!S27+s_MLF_peas)),".")</f>
        <v>.</v>
      </c>
      <c r="BU27" s="15" t="str">
        <f>IFERROR((s_dir!AU27/(d_Bv!T27+s_MLF_peppers)),".")</f>
        <v>.</v>
      </c>
      <c r="BV27" s="15" t="str">
        <f>IFERROR((s_dir!AV27/(d_Bv!U27+s_MLF_potato)),".")</f>
        <v>.</v>
      </c>
      <c r="BW27" s="15" t="str">
        <f>IFERROR((s_dir!AW27/(d_Bv!V27+s_MLF_pumpkin)),".")</f>
        <v>.</v>
      </c>
      <c r="BX27" s="15" t="str">
        <f>IFERROR((s_dir!AX27/(d_Bv!W27+s_MLF_snap_bean)),".")</f>
        <v>.</v>
      </c>
      <c r="BY27" s="15" t="str">
        <f>IFERROR((s_dir!AY27/(d_Bv!X27+s_MLF_strawberry)),".")</f>
        <v>.</v>
      </c>
      <c r="BZ27" s="15" t="str">
        <f>IFERROR((s_dir!AZ27/(d_Bv!Y27+s_MLF_tomato)),".")</f>
        <v>.</v>
      </c>
      <c r="CA27" s="15" t="str">
        <f>IFERROR((s_dir!BA27/(d_Bv!Z27+s_MLF_rice)),".")</f>
        <v>.</v>
      </c>
      <c r="CB27" s="15" t="str">
        <f>IFERROR((s_dir!BB27/(d_Bv!AA27+s_MLF_cereal)),".")</f>
        <v>.</v>
      </c>
      <c r="CC27" s="40">
        <f t="shared" si="3"/>
        <v>1933.5800000000002</v>
      </c>
      <c r="CD27" s="40">
        <f>IFERROR(s_C*(d_Bv!C27+s_MLF_apple)*s_IFAP_far_adj*s_CF_apple,".")</f>
        <v>102.69875</v>
      </c>
      <c r="CE27" s="40">
        <f>IFERROR(s_C*(d_Bv!D27+s_MLF_asparagus)*s_IFAS_far_adj*s_CF_asparagus,".")</f>
        <v>108.14375000000001</v>
      </c>
      <c r="CF27" s="40">
        <f>IFERROR(s_C*(d_Bv!E27+s_MLF_beet)*s_IFBT_far_adj*s_CF_beet,".")</f>
        <v>102.69875</v>
      </c>
      <c r="CG27" s="40">
        <f>IFERROR(s_C*(d_Bv!F27+s_MLF_berries)*s_IFBR_far_adj*s_CF_berries,".")</f>
        <v>102.69875</v>
      </c>
      <c r="CH27" s="40">
        <f>IFERROR(s_C*(d_Bv!G27+s_MLF_broccoli)*s_IFBR_far_adj*s_CF_broccoli,".")</f>
        <v>108.14375000000001</v>
      </c>
      <c r="CI27" s="40">
        <f>IFERROR(s_C*(d_Bv!H27+s_MLF_cabbage)*s_IFCB_far_adj*s_CF_cabbage,".")</f>
        <v>108.14375000000001</v>
      </c>
      <c r="CJ27" s="40">
        <f>IFERROR(s_C*(d_Bv!I27+s_MLF_carrot)*s_IFCR_far_adj*s_CF_carrot,".")</f>
        <v>102.69875</v>
      </c>
      <c r="CK27" s="40">
        <f>IFERROR(s_C*(d_Bv!J27+s_MLF_citrus)*s_IFCI_far_adj*s_CF_citrus,".")</f>
        <v>102.69875</v>
      </c>
      <c r="CL27" s="40">
        <f>IFERROR(s_C*(d_Bv!K27+s_MLF_corn)*s_IFCO_far_adj*s_CF_corn,".")</f>
        <v>108.14375000000001</v>
      </c>
      <c r="CM27" s="40">
        <f>IFERROR(s_C*(d_Bv!L27+s_MLF_cucumber)*s_IFCU_far_adj*s_CF_cucumber,".")</f>
        <v>108.14375000000001</v>
      </c>
      <c r="CN27" s="40">
        <f>IFERROR(s_C*(d_Bv!M27+s_MLF_lettuce)*s_IFLE_far_adj*s_CF_lettuce,".")</f>
        <v>108.14375000000001</v>
      </c>
      <c r="CO27" s="40">
        <f>IFERROR(s_C*(d_Bv!N27+s_MLF_lima_bean)*s_IFLI_far_adj*s_CF_lima_bean,".")</f>
        <v>108.14375000000001</v>
      </c>
      <c r="CP27" s="40">
        <f>IFERROR(s_C*(d_Bv!O27+s_MLF_okra)*s_IFOK_far_adj*s_CF_okra,".")</f>
        <v>108.14375000000001</v>
      </c>
      <c r="CQ27" s="40">
        <f>IFERROR(s_C*(d_Bv!P27+s_MLF_onion)*s_IFON_far_adj*s_CF_onion,".")</f>
        <v>102.69875</v>
      </c>
      <c r="CR27" s="40">
        <f>IFERROR(s_C*(d_Bv!Q27+s_MLF_peach)*s_IFPC_far_adj*s_CF_peach,".")</f>
        <v>102.69875</v>
      </c>
      <c r="CS27" s="40">
        <f>IFERROR(s_C*(d_Bv!R27+s_MLF_pear)*s_IFPR_far_adj*s_CF_pear,".")</f>
        <v>102.69875</v>
      </c>
      <c r="CT27" s="40">
        <f>IFERROR(s_C*(d_Bv!S27+s_MLF_peas)*s_IFPE_far_adj*s_CF_peas,".")</f>
        <v>108.14375000000001</v>
      </c>
      <c r="CU27" s="40">
        <f>IFERROR(s_C*(d_Bv!T27+s_MLF_peppers)*s_IFPP_far_adj*s_CF_peppers,".")</f>
        <v>108.14375000000001</v>
      </c>
      <c r="CV27" s="40">
        <f>IFERROR(s_C*(d_Bv!U27+s_MLF_potato)*s_IFPT_far_adj*s_CF_potato,".")</f>
        <v>102.69875</v>
      </c>
      <c r="CW27" s="40">
        <f>IFERROR(s_C*(d_Bv!V27+s_MLF_pumpkin)*s_IFPU_far_adj*s_CF_pumpkin,".")</f>
        <v>108.14375000000001</v>
      </c>
      <c r="CX27" s="40">
        <f>IFERROR(s_C*(d_Bv!W27+s_MLF_snap_bean)*s_IFSN_far_adj*s_CF_snap_bean,".")</f>
        <v>108.14375000000001</v>
      </c>
      <c r="CY27" s="40">
        <f>IFERROR(s_C*(d_Bv!X27+s_MLF_strawberry)*s_IFST_far_adj*s_CF_strawberry,".")</f>
        <v>102.69875</v>
      </c>
      <c r="CZ27" s="40">
        <f>IFERROR(s_C*(d_Bv!Y27+s_MLF_tomato)*s_IFTO_far_adj*s_CF_tomato,".")</f>
        <v>108.14375000000001</v>
      </c>
      <c r="DA27" s="40">
        <f>IFERROR(s_C*(d_Bv!Z27+s_MLF_rice)*s_IFRI_far_adj*s_CF_rice,".")</f>
        <v>1614.5937500000002</v>
      </c>
      <c r="DB27" s="40">
        <f>IFERROR(s_C*(d_Bv!AA27+s_MLF_cereal)*s_IFCG_far_adj*s_CF_cereal,".")</f>
        <v>108.14375000000001</v>
      </c>
    </row>
    <row r="28" spans="1:106" ht="15" customHeight="1" x14ac:dyDescent="0.25">
      <c r="A28" s="44" t="s">
        <v>26</v>
      </c>
      <c r="B28" s="42" t="s">
        <v>1057</v>
      </c>
      <c r="C28" s="15" t="str">
        <f t="shared" si="0"/>
        <v>.</v>
      </c>
      <c r="D28" s="15" t="str">
        <f>IFERROR((s_dir!D28/(d_Bv!C28+s_MLF_apple)),".")</f>
        <v>.</v>
      </c>
      <c r="E28" s="15" t="str">
        <f>IFERROR((s_dir!E28/(d_Bv!D28+s_MLF_asparagus)),".")</f>
        <v>.</v>
      </c>
      <c r="F28" s="15" t="str">
        <f>IFERROR((s_dir!F28/(d_Bv!E28+s_MLF_beet)),".")</f>
        <v>.</v>
      </c>
      <c r="G28" s="15" t="str">
        <f>IFERROR((s_dir!G28/(d_Bv!F28+s_MLF_berries)),".")</f>
        <v>.</v>
      </c>
      <c r="H28" s="15" t="str">
        <f>IFERROR((s_dir!H28/(d_Bv!G28+s_MLF_broccoli)),".")</f>
        <v>.</v>
      </c>
      <c r="I28" s="15" t="str">
        <f>IFERROR((s_dir!I28/(d_Bv!H28+s_MLF_cabbage)),".")</f>
        <v>.</v>
      </c>
      <c r="J28" s="15" t="str">
        <f>IFERROR((s_dir!J28/(d_Bv!I28+s_MLF_carrot)),".")</f>
        <v>.</v>
      </c>
      <c r="K28" s="15" t="str">
        <f>IFERROR((s_dir!K28/(d_Bv!J28+s_MLF_citrus)),".")</f>
        <v>.</v>
      </c>
      <c r="L28" s="15" t="str">
        <f>IFERROR((s_dir!L28/(d_Bv!K28+s_MLF_corn)),".")</f>
        <v>.</v>
      </c>
      <c r="M28" s="15" t="str">
        <f>IFERROR((s_dir!M28/(d_Bv!L28+s_MLF_cucumber)),".")</f>
        <v>.</v>
      </c>
      <c r="N28" s="15" t="str">
        <f>IFERROR((s_dir!N28/(d_Bv!M28+s_MLF_lettuce)),".")</f>
        <v>.</v>
      </c>
      <c r="O28" s="15" t="str">
        <f>IFERROR((s_dir!O28/(d_Bv!N28+s_MLF_lima_bean)),".")</f>
        <v>.</v>
      </c>
      <c r="P28" s="15" t="str">
        <f>IFERROR((s_dir!P28/(d_Bv!O28+s_MLF_okra)),".")</f>
        <v>.</v>
      </c>
      <c r="Q28" s="15" t="str">
        <f>IFERROR((s_dir!Q28/(d_Bv!P28+s_MLF_onion)),".")</f>
        <v>.</v>
      </c>
      <c r="R28" s="15" t="str">
        <f>IFERROR((s_dir!R28/(d_Bv!Q28+s_MLF_peach)),".")</f>
        <v>.</v>
      </c>
      <c r="S28" s="15" t="str">
        <f>IFERROR((s_dir!S28/(d_Bv!R28+s_MLF_pear)),".")</f>
        <v>.</v>
      </c>
      <c r="T28" s="15" t="str">
        <f>IFERROR((s_dir!T28/(d_Bv!S28+s_MLF_peas)),".")</f>
        <v>.</v>
      </c>
      <c r="U28" s="15" t="str">
        <f>IFERROR((s_dir!U28/(d_Bv!T28+s_MLF_peppers)),".")</f>
        <v>.</v>
      </c>
      <c r="V28" s="15" t="str">
        <f>IFERROR((s_dir!V28/(d_Bv!U28+s_MLF_potato)),".")</f>
        <v>.</v>
      </c>
      <c r="W28" s="15" t="str">
        <f>IFERROR((s_dir!W28/(d_Bv!V28+s_MLF_pumpkin)),".")</f>
        <v>.</v>
      </c>
      <c r="X28" s="15" t="str">
        <f>IFERROR((s_dir!X28/(d_Bv!W28+s_MLF_snap_bean)),".")</f>
        <v>.</v>
      </c>
      <c r="Y28" s="15" t="str">
        <f>IFERROR((s_dir!Y28/(d_Bv!X28+s_MLF_strawberry)),".")</f>
        <v>.</v>
      </c>
      <c r="Z28" s="15" t="str">
        <f>IFERROR((s_dir!Z28/(d_Bv!Y28+s_MLF_tomato)),".")</f>
        <v>.</v>
      </c>
      <c r="AA28" s="15" t="str">
        <f>IFERROR((s_dir!AA28/(d_Bv!Z28+s_MLF_rice)),".")</f>
        <v>.</v>
      </c>
      <c r="AB28" s="15" t="str">
        <f>IFERROR((s_dir!AB28/(d_Bv!AA28+s_MLF_cereal)),".")</f>
        <v>.</v>
      </c>
      <c r="AC28" s="40">
        <f t="shared" si="1"/>
        <v>1933.5800000000002</v>
      </c>
      <c r="AD28" s="40">
        <f>s_C*(d_Bv!C28+s_MLF_apple)*s_IFAP_res_adj*s_CF_apple</f>
        <v>102.69875</v>
      </c>
      <c r="AE28" s="40">
        <f>s_C*(d_Bv!D28+s_MLF_asparagus)*s_IFAS_res_adj*s_CF_asparagus</f>
        <v>108.14375000000001</v>
      </c>
      <c r="AF28" s="40">
        <f>s_C*(d_Bv!E28+s_MLF_beet)*s_IFBT_res_adj*s_CF_beet</f>
        <v>102.69875</v>
      </c>
      <c r="AG28" s="40">
        <f>s_C*(d_Bv!F28+s_MLF_berries)*s_IFBE_res_adj*s_CF_berries</f>
        <v>102.69875</v>
      </c>
      <c r="AH28" s="40">
        <f>s_C*(d_Bv!G28+s_MLF_broccoli)*s_IFBR_res_adj*s_CF_broccoli</f>
        <v>108.14375000000001</v>
      </c>
      <c r="AI28" s="40">
        <f>s_C*(d_Bv!H28+s_MLF_cabbage)*s_IFCB_res_adj*s_CF_cabbage</f>
        <v>108.14375000000001</v>
      </c>
      <c r="AJ28" s="40">
        <f>s_C*(d_Bv!I28+s_MLF_carrot)*s_IFCR_res_adj*s_CF_carrot</f>
        <v>102.69875</v>
      </c>
      <c r="AK28" s="40">
        <f>s_C*(d_Bv!J28+s_MLF_citrus)*s_IFCI_res_adj*s_CF_citrus</f>
        <v>102.69875</v>
      </c>
      <c r="AL28" s="40">
        <f>s_C*(d_Bv!K28+s_MLF_corn)*s_IFCO_res_adj*s_CF_corn</f>
        <v>108.14375000000001</v>
      </c>
      <c r="AM28" s="40">
        <f>s_C*(d_Bv!L28+s_MLF_cucumber)*s_IFCU_res_adj*s_CF_cucumber</f>
        <v>108.14375000000001</v>
      </c>
      <c r="AN28" s="40">
        <f>s_C*(d_Bv!M28+s_MLF_lettuce)*s_IFLE_res_adj*s_CF_lettuce</f>
        <v>108.14375000000001</v>
      </c>
      <c r="AO28" s="40">
        <f>s_C*(d_Bv!N28+s_MLF_lima_bean)*s_IFLI_res_adj*s_CF_lima_bean</f>
        <v>108.14375000000001</v>
      </c>
      <c r="AP28" s="40">
        <f>s_C*(d_Bv!O28+s_MLF_okra)*s_IFOK_res_adj*s_CF_okra</f>
        <v>108.14375000000001</v>
      </c>
      <c r="AQ28" s="40">
        <f>s_C*(d_Bv!P28+s_MLF_onion)*s_IFON_res_adj*s_CF_onion</f>
        <v>102.69875</v>
      </c>
      <c r="AR28" s="40">
        <f>s_C*(d_Bv!Q28+s_MLF_peach)*s_IFPC_res_adj*s_CF_peach</f>
        <v>102.69875</v>
      </c>
      <c r="AS28" s="40">
        <f>s_C*(d_Bv!R28+s_MLF_pear)*s_IFPR_res_adj*s_CF_pear</f>
        <v>102.69875</v>
      </c>
      <c r="AT28" s="40">
        <f>s_C*(d_Bv!S28+s_MLF_peas)*s_IFPE_res_adj*s_CF_peas</f>
        <v>108.14375000000001</v>
      </c>
      <c r="AU28" s="40">
        <f>s_C*(d_Bv!T28+s_MLF_peppers)*s_IFPP_res_adj*s_CF_peppers</f>
        <v>108.14375000000001</v>
      </c>
      <c r="AV28" s="40">
        <f>s_C*(d_Bv!U28+s_MLF_potato)*s_IFPT_res_adj*s_CF_potato</f>
        <v>102.69875</v>
      </c>
      <c r="AW28" s="40">
        <f>s_C*(d_Bv!V28+s_MLF_pumpkin)*s_IFPU_res_adj*s_CF_pumpkin</f>
        <v>108.14375000000001</v>
      </c>
      <c r="AX28" s="40">
        <f>s_C*(d_Bv!W28+s_MLF_snap_bean)*s_IFSN_res_adj*s_CF_snap_bean</f>
        <v>108.14375000000001</v>
      </c>
      <c r="AY28" s="40">
        <f>s_C*(d_Bv!X28+s_MLF_strawberry)*s_IFST_res_adj*s_CF_strawberry</f>
        <v>102.69875</v>
      </c>
      <c r="AZ28" s="40">
        <f>s_C*(d_Bv!Y28+s_MLF_tomato)*s_IFTO_res_adj*s_CF_tomato</f>
        <v>108.14375000000001</v>
      </c>
      <c r="BA28" s="40">
        <f>s_C*(d_Bv!Z28+s_MLF_rice)*s_IFRI_res_adj*s_CF_rice</f>
        <v>1614.5937500000002</v>
      </c>
      <c r="BB28" s="40">
        <f>s_C*(d_Bv!AA28+s_MLF_cereal)*s_IFCG_res_adj*s_CF_cereal</f>
        <v>108.14375000000001</v>
      </c>
      <c r="BC28" s="15" t="str">
        <f t="shared" si="2"/>
        <v>.</v>
      </c>
      <c r="BD28" s="15" t="str">
        <f>IFERROR((s_dir!AD28/(d_Bv!C28+s_MLF_apple)),".")</f>
        <v>.</v>
      </c>
      <c r="BE28" s="15" t="str">
        <f>IFERROR((s_dir!AE28/(d_Bv!D28+s_MLF_asparagus)),".")</f>
        <v>.</v>
      </c>
      <c r="BF28" s="15" t="str">
        <f>IFERROR((s_dir!AF28/(d_Bv!E28+s_MLF_beet)),".")</f>
        <v>.</v>
      </c>
      <c r="BG28" s="15" t="str">
        <f>IFERROR((s_dir!AG28/(d_Bv!F28+s_MLF_berries)),".")</f>
        <v>.</v>
      </c>
      <c r="BH28" s="15" t="str">
        <f>IFERROR((s_dir!AH28/(d_Bv!G28+s_MLF_broccoli)),".")</f>
        <v>.</v>
      </c>
      <c r="BI28" s="15" t="str">
        <f>IFERROR((s_dir!AI28/(d_Bv!H28+s_MLF_cabbage)),".")</f>
        <v>.</v>
      </c>
      <c r="BJ28" s="15" t="str">
        <f>IFERROR((s_dir!AJ28/(d_Bv!I28+s_MLF_carrot)),".")</f>
        <v>.</v>
      </c>
      <c r="BK28" s="15" t="str">
        <f>IFERROR((s_dir!AK28/(d_Bv!J28+s_MLF_citrus)),".")</f>
        <v>.</v>
      </c>
      <c r="BL28" s="15" t="str">
        <f>IFERROR((s_dir!AL28/(d_Bv!K28+s_MLF_corn)),".")</f>
        <v>.</v>
      </c>
      <c r="BM28" s="15" t="str">
        <f>IFERROR((s_dir!AM28/(d_Bv!L28+s_MLF_cucumber)),".")</f>
        <v>.</v>
      </c>
      <c r="BN28" s="15" t="str">
        <f>IFERROR((s_dir!AN28/(d_Bv!M28+s_MLF_lettuce)),".")</f>
        <v>.</v>
      </c>
      <c r="BO28" s="15" t="str">
        <f>IFERROR((s_dir!AO28/(d_Bv!N28+s_MLF_lima_bean)),".")</f>
        <v>.</v>
      </c>
      <c r="BP28" s="15" t="str">
        <f>IFERROR((s_dir!AP28/(d_Bv!O28+s_MLF_okra)),".")</f>
        <v>.</v>
      </c>
      <c r="BQ28" s="15" t="str">
        <f>IFERROR((s_dir!AQ28/(d_Bv!P28+s_MLF_onion)),".")</f>
        <v>.</v>
      </c>
      <c r="BR28" s="15" t="str">
        <f>IFERROR((s_dir!AR28/(d_Bv!Q28+s_MLF_peach)),".")</f>
        <v>.</v>
      </c>
      <c r="BS28" s="15" t="str">
        <f>IFERROR((s_dir!AS28/(d_Bv!R28+s_MLF_pear)),".")</f>
        <v>.</v>
      </c>
      <c r="BT28" s="15" t="str">
        <f>IFERROR((s_dir!AT28/(d_Bv!S28+s_MLF_peas)),".")</f>
        <v>.</v>
      </c>
      <c r="BU28" s="15" t="str">
        <f>IFERROR((s_dir!AU28/(d_Bv!T28+s_MLF_peppers)),".")</f>
        <v>.</v>
      </c>
      <c r="BV28" s="15" t="str">
        <f>IFERROR((s_dir!AV28/(d_Bv!U28+s_MLF_potato)),".")</f>
        <v>.</v>
      </c>
      <c r="BW28" s="15" t="str">
        <f>IFERROR((s_dir!AW28/(d_Bv!V28+s_MLF_pumpkin)),".")</f>
        <v>.</v>
      </c>
      <c r="BX28" s="15" t="str">
        <f>IFERROR((s_dir!AX28/(d_Bv!W28+s_MLF_snap_bean)),".")</f>
        <v>.</v>
      </c>
      <c r="BY28" s="15" t="str">
        <f>IFERROR((s_dir!AY28/(d_Bv!X28+s_MLF_strawberry)),".")</f>
        <v>.</v>
      </c>
      <c r="BZ28" s="15" t="str">
        <f>IFERROR((s_dir!AZ28/(d_Bv!Y28+s_MLF_tomato)),".")</f>
        <v>.</v>
      </c>
      <c r="CA28" s="15" t="str">
        <f>IFERROR((s_dir!BA28/(d_Bv!Z28+s_MLF_rice)),".")</f>
        <v>.</v>
      </c>
      <c r="CB28" s="15" t="str">
        <f>IFERROR((s_dir!BB28/(d_Bv!AA28+s_MLF_cereal)),".")</f>
        <v>.</v>
      </c>
      <c r="CC28" s="40">
        <f t="shared" si="3"/>
        <v>1933.5800000000002</v>
      </c>
      <c r="CD28" s="40">
        <f>IFERROR(s_C*(d_Bv!C28+s_MLF_apple)*s_IFAP_far_adj*s_CF_apple,".")</f>
        <v>102.69875</v>
      </c>
      <c r="CE28" s="40">
        <f>IFERROR(s_C*(d_Bv!D28+s_MLF_asparagus)*s_IFAS_far_adj*s_CF_asparagus,".")</f>
        <v>108.14375000000001</v>
      </c>
      <c r="CF28" s="40">
        <f>IFERROR(s_C*(d_Bv!E28+s_MLF_beet)*s_IFBT_far_adj*s_CF_beet,".")</f>
        <v>102.69875</v>
      </c>
      <c r="CG28" s="40">
        <f>IFERROR(s_C*(d_Bv!F28+s_MLF_berries)*s_IFBR_far_adj*s_CF_berries,".")</f>
        <v>102.69875</v>
      </c>
      <c r="CH28" s="40">
        <f>IFERROR(s_C*(d_Bv!G28+s_MLF_broccoli)*s_IFBR_far_adj*s_CF_broccoli,".")</f>
        <v>108.14375000000001</v>
      </c>
      <c r="CI28" s="40">
        <f>IFERROR(s_C*(d_Bv!H28+s_MLF_cabbage)*s_IFCB_far_adj*s_CF_cabbage,".")</f>
        <v>108.14375000000001</v>
      </c>
      <c r="CJ28" s="40">
        <f>IFERROR(s_C*(d_Bv!I28+s_MLF_carrot)*s_IFCR_far_adj*s_CF_carrot,".")</f>
        <v>102.69875</v>
      </c>
      <c r="CK28" s="40">
        <f>IFERROR(s_C*(d_Bv!J28+s_MLF_citrus)*s_IFCI_far_adj*s_CF_citrus,".")</f>
        <v>102.69875</v>
      </c>
      <c r="CL28" s="40">
        <f>IFERROR(s_C*(d_Bv!K28+s_MLF_corn)*s_IFCO_far_adj*s_CF_corn,".")</f>
        <v>108.14375000000001</v>
      </c>
      <c r="CM28" s="40">
        <f>IFERROR(s_C*(d_Bv!L28+s_MLF_cucumber)*s_IFCU_far_adj*s_CF_cucumber,".")</f>
        <v>108.14375000000001</v>
      </c>
      <c r="CN28" s="40">
        <f>IFERROR(s_C*(d_Bv!M28+s_MLF_lettuce)*s_IFLE_far_adj*s_CF_lettuce,".")</f>
        <v>108.14375000000001</v>
      </c>
      <c r="CO28" s="40">
        <f>IFERROR(s_C*(d_Bv!N28+s_MLF_lima_bean)*s_IFLI_far_adj*s_CF_lima_bean,".")</f>
        <v>108.14375000000001</v>
      </c>
      <c r="CP28" s="40">
        <f>IFERROR(s_C*(d_Bv!O28+s_MLF_okra)*s_IFOK_far_adj*s_CF_okra,".")</f>
        <v>108.14375000000001</v>
      </c>
      <c r="CQ28" s="40">
        <f>IFERROR(s_C*(d_Bv!P28+s_MLF_onion)*s_IFON_far_adj*s_CF_onion,".")</f>
        <v>102.69875</v>
      </c>
      <c r="CR28" s="40">
        <f>IFERROR(s_C*(d_Bv!Q28+s_MLF_peach)*s_IFPC_far_adj*s_CF_peach,".")</f>
        <v>102.69875</v>
      </c>
      <c r="CS28" s="40">
        <f>IFERROR(s_C*(d_Bv!R28+s_MLF_pear)*s_IFPR_far_adj*s_CF_pear,".")</f>
        <v>102.69875</v>
      </c>
      <c r="CT28" s="40">
        <f>IFERROR(s_C*(d_Bv!S28+s_MLF_peas)*s_IFPE_far_adj*s_CF_peas,".")</f>
        <v>108.14375000000001</v>
      </c>
      <c r="CU28" s="40">
        <f>IFERROR(s_C*(d_Bv!T28+s_MLF_peppers)*s_IFPP_far_adj*s_CF_peppers,".")</f>
        <v>108.14375000000001</v>
      </c>
      <c r="CV28" s="40">
        <f>IFERROR(s_C*(d_Bv!U28+s_MLF_potato)*s_IFPT_far_adj*s_CF_potato,".")</f>
        <v>102.69875</v>
      </c>
      <c r="CW28" s="40">
        <f>IFERROR(s_C*(d_Bv!V28+s_MLF_pumpkin)*s_IFPU_far_adj*s_CF_pumpkin,".")</f>
        <v>108.14375000000001</v>
      </c>
      <c r="CX28" s="40">
        <f>IFERROR(s_C*(d_Bv!W28+s_MLF_snap_bean)*s_IFSN_far_adj*s_CF_snap_bean,".")</f>
        <v>108.14375000000001</v>
      </c>
      <c r="CY28" s="40">
        <f>IFERROR(s_C*(d_Bv!X28+s_MLF_strawberry)*s_IFST_far_adj*s_CF_strawberry,".")</f>
        <v>102.69875</v>
      </c>
      <c r="CZ28" s="40">
        <f>IFERROR(s_C*(d_Bv!Y28+s_MLF_tomato)*s_IFTO_far_adj*s_CF_tomato,".")</f>
        <v>108.14375000000001</v>
      </c>
      <c r="DA28" s="40">
        <f>IFERROR(s_C*(d_Bv!Z28+s_MLF_rice)*s_IFRI_far_adj*s_CF_rice,".")</f>
        <v>1614.5937500000002</v>
      </c>
      <c r="DB28" s="40">
        <f>IFERROR(s_C*(d_Bv!AA28+s_MLF_cereal)*s_IFCG_far_adj*s_CF_cereal,".")</f>
        <v>108.14375000000001</v>
      </c>
    </row>
    <row r="29" spans="1:106" ht="15" customHeight="1" x14ac:dyDescent="0.25">
      <c r="A29" s="44" t="s">
        <v>27</v>
      </c>
      <c r="B29" s="42" t="s">
        <v>1057</v>
      </c>
      <c r="C29" s="15" t="str">
        <f t="shared" si="0"/>
        <v>.</v>
      </c>
      <c r="D29" s="15" t="str">
        <f>IFERROR((s_dir!D29/(d_Bv!C29+s_MLF_apple)),".")</f>
        <v>.</v>
      </c>
      <c r="E29" s="15" t="str">
        <f>IFERROR((s_dir!E29/(d_Bv!D29+s_MLF_asparagus)),".")</f>
        <v>.</v>
      </c>
      <c r="F29" s="15" t="str">
        <f>IFERROR((s_dir!F29/(d_Bv!E29+s_MLF_beet)),".")</f>
        <v>.</v>
      </c>
      <c r="G29" s="15" t="str">
        <f>IFERROR((s_dir!G29/(d_Bv!F29+s_MLF_berries)),".")</f>
        <v>.</v>
      </c>
      <c r="H29" s="15" t="str">
        <f>IFERROR((s_dir!H29/(d_Bv!G29+s_MLF_broccoli)),".")</f>
        <v>.</v>
      </c>
      <c r="I29" s="15" t="str">
        <f>IFERROR((s_dir!I29/(d_Bv!H29+s_MLF_cabbage)),".")</f>
        <v>.</v>
      </c>
      <c r="J29" s="15" t="str">
        <f>IFERROR((s_dir!J29/(d_Bv!I29+s_MLF_carrot)),".")</f>
        <v>.</v>
      </c>
      <c r="K29" s="15" t="str">
        <f>IFERROR((s_dir!K29/(d_Bv!J29+s_MLF_citrus)),".")</f>
        <v>.</v>
      </c>
      <c r="L29" s="15" t="str">
        <f>IFERROR((s_dir!L29/(d_Bv!K29+s_MLF_corn)),".")</f>
        <v>.</v>
      </c>
      <c r="M29" s="15" t="str">
        <f>IFERROR((s_dir!M29/(d_Bv!L29+s_MLF_cucumber)),".")</f>
        <v>.</v>
      </c>
      <c r="N29" s="15" t="str">
        <f>IFERROR((s_dir!N29/(d_Bv!M29+s_MLF_lettuce)),".")</f>
        <v>.</v>
      </c>
      <c r="O29" s="15" t="str">
        <f>IFERROR((s_dir!O29/(d_Bv!N29+s_MLF_lima_bean)),".")</f>
        <v>.</v>
      </c>
      <c r="P29" s="15" t="str">
        <f>IFERROR((s_dir!P29/(d_Bv!O29+s_MLF_okra)),".")</f>
        <v>.</v>
      </c>
      <c r="Q29" s="15" t="str">
        <f>IFERROR((s_dir!Q29/(d_Bv!P29+s_MLF_onion)),".")</f>
        <v>.</v>
      </c>
      <c r="R29" s="15" t="str">
        <f>IFERROR((s_dir!R29/(d_Bv!Q29+s_MLF_peach)),".")</f>
        <v>.</v>
      </c>
      <c r="S29" s="15" t="str">
        <f>IFERROR((s_dir!S29/(d_Bv!R29+s_MLF_pear)),".")</f>
        <v>.</v>
      </c>
      <c r="T29" s="15" t="str">
        <f>IFERROR((s_dir!T29/(d_Bv!S29+s_MLF_peas)),".")</f>
        <v>.</v>
      </c>
      <c r="U29" s="15" t="str">
        <f>IFERROR((s_dir!U29/(d_Bv!T29+s_MLF_peppers)),".")</f>
        <v>.</v>
      </c>
      <c r="V29" s="15" t="str">
        <f>IFERROR((s_dir!V29/(d_Bv!U29+s_MLF_potato)),".")</f>
        <v>.</v>
      </c>
      <c r="W29" s="15" t="str">
        <f>IFERROR((s_dir!W29/(d_Bv!V29+s_MLF_pumpkin)),".")</f>
        <v>.</v>
      </c>
      <c r="X29" s="15" t="str">
        <f>IFERROR((s_dir!X29/(d_Bv!W29+s_MLF_snap_bean)),".")</f>
        <v>.</v>
      </c>
      <c r="Y29" s="15" t="str">
        <f>IFERROR((s_dir!Y29/(d_Bv!X29+s_MLF_strawberry)),".")</f>
        <v>.</v>
      </c>
      <c r="Z29" s="15" t="str">
        <f>IFERROR((s_dir!Z29/(d_Bv!Y29+s_MLF_tomato)),".")</f>
        <v>.</v>
      </c>
      <c r="AA29" s="15" t="str">
        <f>IFERROR((s_dir!AA29/(d_Bv!Z29+s_MLF_rice)),".")</f>
        <v>.</v>
      </c>
      <c r="AB29" s="15" t="str">
        <f>IFERROR((s_dir!AB29/(d_Bv!AA29+s_MLF_cereal)),".")</f>
        <v>.</v>
      </c>
      <c r="AC29" s="40">
        <f t="shared" si="1"/>
        <v>1933.5800000000002</v>
      </c>
      <c r="AD29" s="40">
        <f>s_C*(d_Bv!C29+s_MLF_apple)*s_IFAP_res_adj*s_CF_apple</f>
        <v>102.69875</v>
      </c>
      <c r="AE29" s="40">
        <f>s_C*(d_Bv!D29+s_MLF_asparagus)*s_IFAS_res_adj*s_CF_asparagus</f>
        <v>108.14375000000001</v>
      </c>
      <c r="AF29" s="40">
        <f>s_C*(d_Bv!E29+s_MLF_beet)*s_IFBT_res_adj*s_CF_beet</f>
        <v>102.69875</v>
      </c>
      <c r="AG29" s="40">
        <f>s_C*(d_Bv!F29+s_MLF_berries)*s_IFBE_res_adj*s_CF_berries</f>
        <v>102.69875</v>
      </c>
      <c r="AH29" s="40">
        <f>s_C*(d_Bv!G29+s_MLF_broccoli)*s_IFBR_res_adj*s_CF_broccoli</f>
        <v>108.14375000000001</v>
      </c>
      <c r="AI29" s="40">
        <f>s_C*(d_Bv!H29+s_MLF_cabbage)*s_IFCB_res_adj*s_CF_cabbage</f>
        <v>108.14375000000001</v>
      </c>
      <c r="AJ29" s="40">
        <f>s_C*(d_Bv!I29+s_MLF_carrot)*s_IFCR_res_adj*s_CF_carrot</f>
        <v>102.69875</v>
      </c>
      <c r="AK29" s="40">
        <f>s_C*(d_Bv!J29+s_MLF_citrus)*s_IFCI_res_adj*s_CF_citrus</f>
        <v>102.69875</v>
      </c>
      <c r="AL29" s="40">
        <f>s_C*(d_Bv!K29+s_MLF_corn)*s_IFCO_res_adj*s_CF_corn</f>
        <v>108.14375000000001</v>
      </c>
      <c r="AM29" s="40">
        <f>s_C*(d_Bv!L29+s_MLF_cucumber)*s_IFCU_res_adj*s_CF_cucumber</f>
        <v>108.14375000000001</v>
      </c>
      <c r="AN29" s="40">
        <f>s_C*(d_Bv!M29+s_MLF_lettuce)*s_IFLE_res_adj*s_CF_lettuce</f>
        <v>108.14375000000001</v>
      </c>
      <c r="AO29" s="40">
        <f>s_C*(d_Bv!N29+s_MLF_lima_bean)*s_IFLI_res_adj*s_CF_lima_bean</f>
        <v>108.14375000000001</v>
      </c>
      <c r="AP29" s="40">
        <f>s_C*(d_Bv!O29+s_MLF_okra)*s_IFOK_res_adj*s_CF_okra</f>
        <v>108.14375000000001</v>
      </c>
      <c r="AQ29" s="40">
        <f>s_C*(d_Bv!P29+s_MLF_onion)*s_IFON_res_adj*s_CF_onion</f>
        <v>102.69875</v>
      </c>
      <c r="AR29" s="40">
        <f>s_C*(d_Bv!Q29+s_MLF_peach)*s_IFPC_res_adj*s_CF_peach</f>
        <v>102.69875</v>
      </c>
      <c r="AS29" s="40">
        <f>s_C*(d_Bv!R29+s_MLF_pear)*s_IFPR_res_adj*s_CF_pear</f>
        <v>102.69875</v>
      </c>
      <c r="AT29" s="40">
        <f>s_C*(d_Bv!S29+s_MLF_peas)*s_IFPE_res_adj*s_CF_peas</f>
        <v>108.14375000000001</v>
      </c>
      <c r="AU29" s="40">
        <f>s_C*(d_Bv!T29+s_MLF_peppers)*s_IFPP_res_adj*s_CF_peppers</f>
        <v>108.14375000000001</v>
      </c>
      <c r="AV29" s="40">
        <f>s_C*(d_Bv!U29+s_MLF_potato)*s_IFPT_res_adj*s_CF_potato</f>
        <v>102.69875</v>
      </c>
      <c r="AW29" s="40">
        <f>s_C*(d_Bv!V29+s_MLF_pumpkin)*s_IFPU_res_adj*s_CF_pumpkin</f>
        <v>108.14375000000001</v>
      </c>
      <c r="AX29" s="40">
        <f>s_C*(d_Bv!W29+s_MLF_snap_bean)*s_IFSN_res_adj*s_CF_snap_bean</f>
        <v>108.14375000000001</v>
      </c>
      <c r="AY29" s="40">
        <f>s_C*(d_Bv!X29+s_MLF_strawberry)*s_IFST_res_adj*s_CF_strawberry</f>
        <v>102.69875</v>
      </c>
      <c r="AZ29" s="40">
        <f>s_C*(d_Bv!Y29+s_MLF_tomato)*s_IFTO_res_adj*s_CF_tomato</f>
        <v>108.14375000000001</v>
      </c>
      <c r="BA29" s="40">
        <f>s_C*(d_Bv!Z29+s_MLF_rice)*s_IFRI_res_adj*s_CF_rice</f>
        <v>1614.5937500000002</v>
      </c>
      <c r="BB29" s="40">
        <f>s_C*(d_Bv!AA29+s_MLF_cereal)*s_IFCG_res_adj*s_CF_cereal</f>
        <v>108.14375000000001</v>
      </c>
      <c r="BC29" s="15" t="str">
        <f t="shared" si="2"/>
        <v>.</v>
      </c>
      <c r="BD29" s="15" t="str">
        <f>IFERROR((s_dir!AD29/(d_Bv!C29+s_MLF_apple)),".")</f>
        <v>.</v>
      </c>
      <c r="BE29" s="15" t="str">
        <f>IFERROR((s_dir!AE29/(d_Bv!D29+s_MLF_asparagus)),".")</f>
        <v>.</v>
      </c>
      <c r="BF29" s="15" t="str">
        <f>IFERROR((s_dir!AF29/(d_Bv!E29+s_MLF_beet)),".")</f>
        <v>.</v>
      </c>
      <c r="BG29" s="15" t="str">
        <f>IFERROR((s_dir!AG29/(d_Bv!F29+s_MLF_berries)),".")</f>
        <v>.</v>
      </c>
      <c r="BH29" s="15" t="str">
        <f>IFERROR((s_dir!AH29/(d_Bv!G29+s_MLF_broccoli)),".")</f>
        <v>.</v>
      </c>
      <c r="BI29" s="15" t="str">
        <f>IFERROR((s_dir!AI29/(d_Bv!H29+s_MLF_cabbage)),".")</f>
        <v>.</v>
      </c>
      <c r="BJ29" s="15" t="str">
        <f>IFERROR((s_dir!AJ29/(d_Bv!I29+s_MLF_carrot)),".")</f>
        <v>.</v>
      </c>
      <c r="BK29" s="15" t="str">
        <f>IFERROR((s_dir!AK29/(d_Bv!J29+s_MLF_citrus)),".")</f>
        <v>.</v>
      </c>
      <c r="BL29" s="15" t="str">
        <f>IFERROR((s_dir!AL29/(d_Bv!K29+s_MLF_corn)),".")</f>
        <v>.</v>
      </c>
      <c r="BM29" s="15" t="str">
        <f>IFERROR((s_dir!AM29/(d_Bv!L29+s_MLF_cucumber)),".")</f>
        <v>.</v>
      </c>
      <c r="BN29" s="15" t="str">
        <f>IFERROR((s_dir!AN29/(d_Bv!M29+s_MLF_lettuce)),".")</f>
        <v>.</v>
      </c>
      <c r="BO29" s="15" t="str">
        <f>IFERROR((s_dir!AO29/(d_Bv!N29+s_MLF_lima_bean)),".")</f>
        <v>.</v>
      </c>
      <c r="BP29" s="15" t="str">
        <f>IFERROR((s_dir!AP29/(d_Bv!O29+s_MLF_okra)),".")</f>
        <v>.</v>
      </c>
      <c r="BQ29" s="15" t="str">
        <f>IFERROR((s_dir!AQ29/(d_Bv!P29+s_MLF_onion)),".")</f>
        <v>.</v>
      </c>
      <c r="BR29" s="15" t="str">
        <f>IFERROR((s_dir!AR29/(d_Bv!Q29+s_MLF_peach)),".")</f>
        <v>.</v>
      </c>
      <c r="BS29" s="15" t="str">
        <f>IFERROR((s_dir!AS29/(d_Bv!R29+s_MLF_pear)),".")</f>
        <v>.</v>
      </c>
      <c r="BT29" s="15" t="str">
        <f>IFERROR((s_dir!AT29/(d_Bv!S29+s_MLF_peas)),".")</f>
        <v>.</v>
      </c>
      <c r="BU29" s="15" t="str">
        <f>IFERROR((s_dir!AU29/(d_Bv!T29+s_MLF_peppers)),".")</f>
        <v>.</v>
      </c>
      <c r="BV29" s="15" t="str">
        <f>IFERROR((s_dir!AV29/(d_Bv!U29+s_MLF_potato)),".")</f>
        <v>.</v>
      </c>
      <c r="BW29" s="15" t="str">
        <f>IFERROR((s_dir!AW29/(d_Bv!V29+s_MLF_pumpkin)),".")</f>
        <v>.</v>
      </c>
      <c r="BX29" s="15" t="str">
        <f>IFERROR((s_dir!AX29/(d_Bv!W29+s_MLF_snap_bean)),".")</f>
        <v>.</v>
      </c>
      <c r="BY29" s="15" t="str">
        <f>IFERROR((s_dir!AY29/(d_Bv!X29+s_MLF_strawberry)),".")</f>
        <v>.</v>
      </c>
      <c r="BZ29" s="15" t="str">
        <f>IFERROR((s_dir!AZ29/(d_Bv!Y29+s_MLF_tomato)),".")</f>
        <v>.</v>
      </c>
      <c r="CA29" s="15" t="str">
        <f>IFERROR((s_dir!BA29/(d_Bv!Z29+s_MLF_rice)),".")</f>
        <v>.</v>
      </c>
      <c r="CB29" s="15" t="str">
        <f>IFERROR((s_dir!BB29/(d_Bv!AA29+s_MLF_cereal)),".")</f>
        <v>.</v>
      </c>
      <c r="CC29" s="40">
        <f t="shared" si="3"/>
        <v>1933.5800000000002</v>
      </c>
      <c r="CD29" s="40">
        <f>IFERROR(s_C*(d_Bv!C29+s_MLF_apple)*s_IFAP_far_adj*s_CF_apple,".")</f>
        <v>102.69875</v>
      </c>
      <c r="CE29" s="40">
        <f>IFERROR(s_C*(d_Bv!D29+s_MLF_asparagus)*s_IFAS_far_adj*s_CF_asparagus,".")</f>
        <v>108.14375000000001</v>
      </c>
      <c r="CF29" s="40">
        <f>IFERROR(s_C*(d_Bv!E29+s_MLF_beet)*s_IFBT_far_adj*s_CF_beet,".")</f>
        <v>102.69875</v>
      </c>
      <c r="CG29" s="40">
        <f>IFERROR(s_C*(d_Bv!F29+s_MLF_berries)*s_IFBR_far_adj*s_CF_berries,".")</f>
        <v>102.69875</v>
      </c>
      <c r="CH29" s="40">
        <f>IFERROR(s_C*(d_Bv!G29+s_MLF_broccoli)*s_IFBR_far_adj*s_CF_broccoli,".")</f>
        <v>108.14375000000001</v>
      </c>
      <c r="CI29" s="40">
        <f>IFERROR(s_C*(d_Bv!H29+s_MLF_cabbage)*s_IFCB_far_adj*s_CF_cabbage,".")</f>
        <v>108.14375000000001</v>
      </c>
      <c r="CJ29" s="40">
        <f>IFERROR(s_C*(d_Bv!I29+s_MLF_carrot)*s_IFCR_far_adj*s_CF_carrot,".")</f>
        <v>102.69875</v>
      </c>
      <c r="CK29" s="40">
        <f>IFERROR(s_C*(d_Bv!J29+s_MLF_citrus)*s_IFCI_far_adj*s_CF_citrus,".")</f>
        <v>102.69875</v>
      </c>
      <c r="CL29" s="40">
        <f>IFERROR(s_C*(d_Bv!K29+s_MLF_corn)*s_IFCO_far_adj*s_CF_corn,".")</f>
        <v>108.14375000000001</v>
      </c>
      <c r="CM29" s="40">
        <f>IFERROR(s_C*(d_Bv!L29+s_MLF_cucumber)*s_IFCU_far_adj*s_CF_cucumber,".")</f>
        <v>108.14375000000001</v>
      </c>
      <c r="CN29" s="40">
        <f>IFERROR(s_C*(d_Bv!M29+s_MLF_lettuce)*s_IFLE_far_adj*s_CF_lettuce,".")</f>
        <v>108.14375000000001</v>
      </c>
      <c r="CO29" s="40">
        <f>IFERROR(s_C*(d_Bv!N29+s_MLF_lima_bean)*s_IFLI_far_adj*s_CF_lima_bean,".")</f>
        <v>108.14375000000001</v>
      </c>
      <c r="CP29" s="40">
        <f>IFERROR(s_C*(d_Bv!O29+s_MLF_okra)*s_IFOK_far_adj*s_CF_okra,".")</f>
        <v>108.14375000000001</v>
      </c>
      <c r="CQ29" s="40">
        <f>IFERROR(s_C*(d_Bv!P29+s_MLF_onion)*s_IFON_far_adj*s_CF_onion,".")</f>
        <v>102.69875</v>
      </c>
      <c r="CR29" s="40">
        <f>IFERROR(s_C*(d_Bv!Q29+s_MLF_peach)*s_IFPC_far_adj*s_CF_peach,".")</f>
        <v>102.69875</v>
      </c>
      <c r="CS29" s="40">
        <f>IFERROR(s_C*(d_Bv!R29+s_MLF_pear)*s_IFPR_far_adj*s_CF_pear,".")</f>
        <v>102.69875</v>
      </c>
      <c r="CT29" s="40">
        <f>IFERROR(s_C*(d_Bv!S29+s_MLF_peas)*s_IFPE_far_adj*s_CF_peas,".")</f>
        <v>108.14375000000001</v>
      </c>
      <c r="CU29" s="40">
        <f>IFERROR(s_C*(d_Bv!T29+s_MLF_peppers)*s_IFPP_far_adj*s_CF_peppers,".")</f>
        <v>108.14375000000001</v>
      </c>
      <c r="CV29" s="40">
        <f>IFERROR(s_C*(d_Bv!U29+s_MLF_potato)*s_IFPT_far_adj*s_CF_potato,".")</f>
        <v>102.69875</v>
      </c>
      <c r="CW29" s="40">
        <f>IFERROR(s_C*(d_Bv!V29+s_MLF_pumpkin)*s_IFPU_far_adj*s_CF_pumpkin,".")</f>
        <v>108.14375000000001</v>
      </c>
      <c r="CX29" s="40">
        <f>IFERROR(s_C*(d_Bv!W29+s_MLF_snap_bean)*s_IFSN_far_adj*s_CF_snap_bean,".")</f>
        <v>108.14375000000001</v>
      </c>
      <c r="CY29" s="40">
        <f>IFERROR(s_C*(d_Bv!X29+s_MLF_strawberry)*s_IFST_far_adj*s_CF_strawberry,".")</f>
        <v>102.69875</v>
      </c>
      <c r="CZ29" s="40">
        <f>IFERROR(s_C*(d_Bv!Y29+s_MLF_tomato)*s_IFTO_far_adj*s_CF_tomato,".")</f>
        <v>108.14375000000001</v>
      </c>
      <c r="DA29" s="40">
        <f>IFERROR(s_C*(d_Bv!Z29+s_MLF_rice)*s_IFRI_far_adj*s_CF_rice,".")</f>
        <v>1614.5937500000002</v>
      </c>
      <c r="DB29" s="40">
        <f>IFERROR(s_C*(d_Bv!AA29+s_MLF_cereal)*s_IFCG_far_adj*s_CF_cereal,".")</f>
        <v>108.14375000000001</v>
      </c>
    </row>
    <row r="30" spans="1:106" ht="15" customHeight="1" x14ac:dyDescent="0.25">
      <c r="A30" s="44" t="s">
        <v>28</v>
      </c>
      <c r="B30" s="42" t="s">
        <v>1057</v>
      </c>
      <c r="C30" s="15">
        <f t="shared" si="0"/>
        <v>194.15057590083828</v>
      </c>
      <c r="D30" s="15">
        <f>IFERROR((s_dir!D30/(d_Bv!C30+s_MLF_apple)),".")</f>
        <v>1023.5484464543297</v>
      </c>
      <c r="E30" s="15">
        <f>IFERROR((s_dir!E30/(d_Bv!D30+s_MLF_asparagus)),".")</f>
        <v>443.02843204739634</v>
      </c>
      <c r="F30" s="15">
        <f>IFERROR((s_dir!F30/(d_Bv!E30+s_MLF_beet)),".")</f>
        <v>677.6918937711315</v>
      </c>
      <c r="G30" s="15">
        <f>IFERROR((s_dir!G30/(d_Bv!F30+s_MLF_berries)),".")</f>
        <v>1023.5484464543297</v>
      </c>
      <c r="H30" s="15">
        <f>IFERROR((s_dir!H30/(d_Bv!G30+s_MLF_broccoli)),".")</f>
        <v>520.75271837150103</v>
      </c>
      <c r="I30" s="15">
        <f>IFERROR((s_dir!I30/(d_Bv!H30+s_MLF_cabbage)),".")</f>
        <v>443.02843204739634</v>
      </c>
      <c r="J30" s="15">
        <f>IFERROR((s_dir!J30/(d_Bv!I30+s_MLF_carrot)),".")</f>
        <v>677.6918937711315</v>
      </c>
      <c r="K30" s="15">
        <f>IFERROR((s_dir!K30/(d_Bv!J30+s_MLF_citrus)),".")</f>
        <v>1023.5484464543297</v>
      </c>
      <c r="L30" s="15">
        <f>IFERROR((s_dir!L30/(d_Bv!K30+s_MLF_corn)),".")</f>
        <v>520.75271837150103</v>
      </c>
      <c r="M30" s="15">
        <f>IFERROR((s_dir!M30/(d_Bv!L30+s_MLF_cucumber)),".")</f>
        <v>520.75271837150103</v>
      </c>
      <c r="N30" s="15">
        <f>IFERROR((s_dir!N30/(d_Bv!M30+s_MLF_lettuce)),".")</f>
        <v>443.02843204739634</v>
      </c>
      <c r="O30" s="15">
        <f>IFERROR((s_dir!O30/(d_Bv!N30+s_MLF_lima_bean)),".")</f>
        <v>945.31544417756561</v>
      </c>
      <c r="P30" s="15">
        <f>IFERROR((s_dir!P30/(d_Bv!O30+s_MLF_okra)),".")</f>
        <v>520.75271837150103</v>
      </c>
      <c r="Q30" s="15">
        <f>IFERROR((s_dir!Q30/(d_Bv!P30+s_MLF_onion)),".")</f>
        <v>677.6918937711315</v>
      </c>
      <c r="R30" s="15">
        <f>IFERROR((s_dir!R30/(d_Bv!Q30+s_MLF_peach)),".")</f>
        <v>1023.5484464543297</v>
      </c>
      <c r="S30" s="15">
        <f>IFERROR((s_dir!S30/(d_Bv!R30+s_MLF_pear)),".")</f>
        <v>1023.5484464543297</v>
      </c>
      <c r="T30" s="15">
        <f>IFERROR((s_dir!T30/(d_Bv!S30+s_MLF_peas)),".")</f>
        <v>945.31544417756561</v>
      </c>
      <c r="U30" s="15">
        <f>IFERROR((s_dir!U30/(d_Bv!T30+s_MLF_peppers)),".")</f>
        <v>520.75271837150103</v>
      </c>
      <c r="V30" s="15">
        <f>IFERROR((s_dir!V30/(d_Bv!U30+s_MLF_potato)),".")</f>
        <v>802.24067424798807</v>
      </c>
      <c r="W30" s="15">
        <f>IFERROR((s_dir!W30/(d_Bv!V30+s_MLF_pumpkin)),".")</f>
        <v>520.75271837150103</v>
      </c>
      <c r="X30" s="15">
        <f>IFERROR((s_dir!X30/(d_Bv!W30+s_MLF_snap_bean)),".")</f>
        <v>945.31544417756561</v>
      </c>
      <c r="Y30" s="15">
        <f>IFERROR((s_dir!Y30/(d_Bv!X30+s_MLF_strawberry)),".")</f>
        <v>1023.5484464543297</v>
      </c>
      <c r="Z30" s="15">
        <f>IFERROR((s_dir!Z30/(d_Bv!Y30+s_MLF_tomato)),".")</f>
        <v>520.75271837150103</v>
      </c>
      <c r="AA30" s="15">
        <f>IFERROR((s_dir!AA30/(d_Bv!Z30+s_MLF_rice)),".")</f>
        <v>1079.9281433157082</v>
      </c>
      <c r="AB30" s="15">
        <f>IFERROR((s_dir!AB30/(d_Bv!AA30+s_MLF_cereal)),".")</f>
        <v>753.37322200953201</v>
      </c>
      <c r="AC30" s="40">
        <f t="shared" si="1"/>
        <v>578.10018749999995</v>
      </c>
      <c r="AD30" s="40">
        <f>s_C*(d_Bv!C30+s_MLF_apple)*s_IFAP_res_adj*s_CF_apple</f>
        <v>109.65624999999999</v>
      </c>
      <c r="AE30" s="40">
        <f>s_C*(d_Bv!D30+s_MLF_asparagus)*s_IFAS_res_adj*s_CF_asparagus</f>
        <v>253.34375000000003</v>
      </c>
      <c r="AF30" s="40">
        <f>s_C*(d_Bv!E30+s_MLF_beet)*s_IFBT_res_adj*s_CF_beet</f>
        <v>165.61875000000001</v>
      </c>
      <c r="AG30" s="40">
        <f>s_C*(d_Bv!F30+s_MLF_berries)*s_IFBE_res_adj*s_CF_berries</f>
        <v>109.65624999999999</v>
      </c>
      <c r="AH30" s="40">
        <f>s_C*(d_Bv!G30+s_MLF_broccoli)*s_IFBR_res_adj*s_CF_broccoli</f>
        <v>215.53124999999997</v>
      </c>
      <c r="AI30" s="40">
        <f>s_C*(d_Bv!H30+s_MLF_cabbage)*s_IFCB_res_adj*s_CF_cabbage</f>
        <v>253.34375000000003</v>
      </c>
      <c r="AJ30" s="40">
        <f>s_C*(d_Bv!I30+s_MLF_carrot)*s_IFCR_res_adj*s_CF_carrot</f>
        <v>165.61875000000001</v>
      </c>
      <c r="AK30" s="40">
        <f>s_C*(d_Bv!J30+s_MLF_citrus)*s_IFCI_res_adj*s_CF_citrus</f>
        <v>109.65624999999999</v>
      </c>
      <c r="AL30" s="40">
        <f>s_C*(d_Bv!K30+s_MLF_corn)*s_IFCO_res_adj*s_CF_corn</f>
        <v>215.53124999999997</v>
      </c>
      <c r="AM30" s="40">
        <f>s_C*(d_Bv!L30+s_MLF_cucumber)*s_IFCU_res_adj*s_CF_cucumber</f>
        <v>215.53124999999997</v>
      </c>
      <c r="AN30" s="40">
        <f>s_C*(d_Bv!M30+s_MLF_lettuce)*s_IFLE_res_adj*s_CF_lettuce</f>
        <v>253.34375000000003</v>
      </c>
      <c r="AO30" s="40">
        <f>s_C*(d_Bv!N30+s_MLF_lima_bean)*s_IFLI_res_adj*s_CF_lima_bean</f>
        <v>118.73124999999997</v>
      </c>
      <c r="AP30" s="40">
        <f>s_C*(d_Bv!O30+s_MLF_okra)*s_IFOK_res_adj*s_CF_okra</f>
        <v>215.53124999999997</v>
      </c>
      <c r="AQ30" s="40">
        <f>s_C*(d_Bv!P30+s_MLF_onion)*s_IFON_res_adj*s_CF_onion</f>
        <v>165.61875000000001</v>
      </c>
      <c r="AR30" s="40">
        <f>s_C*(d_Bv!Q30+s_MLF_peach)*s_IFPC_res_adj*s_CF_peach</f>
        <v>109.65624999999999</v>
      </c>
      <c r="AS30" s="40">
        <f>s_C*(d_Bv!R30+s_MLF_pear)*s_IFPR_res_adj*s_CF_pear</f>
        <v>109.65624999999999</v>
      </c>
      <c r="AT30" s="40">
        <f>s_C*(d_Bv!S30+s_MLF_peas)*s_IFPE_res_adj*s_CF_peas</f>
        <v>118.73124999999997</v>
      </c>
      <c r="AU30" s="40">
        <f>s_C*(d_Bv!T30+s_MLF_peppers)*s_IFPP_res_adj*s_CF_peppers</f>
        <v>215.53124999999997</v>
      </c>
      <c r="AV30" s="40">
        <f>s_C*(d_Bv!U30+s_MLF_potato)*s_IFPT_res_adj*s_CF_potato</f>
        <v>139.90625</v>
      </c>
      <c r="AW30" s="40">
        <f>s_C*(d_Bv!V30+s_MLF_pumpkin)*s_IFPU_res_adj*s_CF_pumpkin</f>
        <v>215.53124999999997</v>
      </c>
      <c r="AX30" s="40">
        <f>s_C*(d_Bv!W30+s_MLF_snap_bean)*s_IFSN_res_adj*s_CF_snap_bean</f>
        <v>118.73124999999997</v>
      </c>
      <c r="AY30" s="40">
        <f>s_C*(d_Bv!X30+s_MLF_strawberry)*s_IFST_res_adj*s_CF_strawberry</f>
        <v>109.65624999999999</v>
      </c>
      <c r="AZ30" s="40">
        <f>s_C*(d_Bv!Y30+s_MLF_tomato)*s_IFTO_res_adj*s_CF_tomato</f>
        <v>215.53124999999997</v>
      </c>
      <c r="BA30" s="40">
        <f>s_C*(d_Bv!Z30+s_MLF_rice)*s_IFRI_res_adj*s_CF_rice</f>
        <v>103.9314375</v>
      </c>
      <c r="BB30" s="40">
        <f>s_C*(d_Bv!AA30+s_MLF_cereal)*s_IFCG_res_adj*s_CF_cereal</f>
        <v>148.98124999999999</v>
      </c>
      <c r="BC30" s="15">
        <f t="shared" si="2"/>
        <v>194.15057590083828</v>
      </c>
      <c r="BD30" s="15">
        <f>IFERROR((s_dir!AD30/(d_Bv!C30+s_MLF_apple)),".")</f>
        <v>1023.5484464543297</v>
      </c>
      <c r="BE30" s="15">
        <f>IFERROR((s_dir!AE30/(d_Bv!D30+s_MLF_asparagus)),".")</f>
        <v>443.02843204739634</v>
      </c>
      <c r="BF30" s="15">
        <f>IFERROR((s_dir!AF30/(d_Bv!E30+s_MLF_beet)),".")</f>
        <v>677.6918937711315</v>
      </c>
      <c r="BG30" s="15">
        <f>IFERROR((s_dir!AG30/(d_Bv!F30+s_MLF_berries)),".")</f>
        <v>1023.5484464543297</v>
      </c>
      <c r="BH30" s="15">
        <f>IFERROR((s_dir!AH30/(d_Bv!G30+s_MLF_broccoli)),".")</f>
        <v>520.75271837150103</v>
      </c>
      <c r="BI30" s="15">
        <f>IFERROR((s_dir!AI30/(d_Bv!H30+s_MLF_cabbage)),".")</f>
        <v>443.02843204739634</v>
      </c>
      <c r="BJ30" s="15">
        <f>IFERROR((s_dir!AJ30/(d_Bv!I30+s_MLF_carrot)),".")</f>
        <v>677.6918937711315</v>
      </c>
      <c r="BK30" s="15">
        <f>IFERROR((s_dir!AK30/(d_Bv!J30+s_MLF_citrus)),".")</f>
        <v>1023.5484464543297</v>
      </c>
      <c r="BL30" s="15">
        <f>IFERROR((s_dir!AL30/(d_Bv!K30+s_MLF_corn)),".")</f>
        <v>520.75271837150103</v>
      </c>
      <c r="BM30" s="15">
        <f>IFERROR((s_dir!AM30/(d_Bv!L30+s_MLF_cucumber)),".")</f>
        <v>520.75271837150103</v>
      </c>
      <c r="BN30" s="15">
        <f>IFERROR((s_dir!AN30/(d_Bv!M30+s_MLF_lettuce)),".")</f>
        <v>443.02843204739634</v>
      </c>
      <c r="BO30" s="15">
        <f>IFERROR((s_dir!AO30/(d_Bv!N30+s_MLF_lima_bean)),".")</f>
        <v>945.31544417756561</v>
      </c>
      <c r="BP30" s="15">
        <f>IFERROR((s_dir!AP30/(d_Bv!O30+s_MLF_okra)),".")</f>
        <v>520.75271837150103</v>
      </c>
      <c r="BQ30" s="15">
        <f>IFERROR((s_dir!AQ30/(d_Bv!P30+s_MLF_onion)),".")</f>
        <v>677.6918937711315</v>
      </c>
      <c r="BR30" s="15">
        <f>IFERROR((s_dir!AR30/(d_Bv!Q30+s_MLF_peach)),".")</f>
        <v>1023.5484464543297</v>
      </c>
      <c r="BS30" s="15">
        <f>IFERROR((s_dir!AS30/(d_Bv!R30+s_MLF_pear)),".")</f>
        <v>1023.5484464543297</v>
      </c>
      <c r="BT30" s="15">
        <f>IFERROR((s_dir!AT30/(d_Bv!S30+s_MLF_peas)),".")</f>
        <v>945.31544417756561</v>
      </c>
      <c r="BU30" s="15">
        <f>IFERROR((s_dir!AU30/(d_Bv!T30+s_MLF_peppers)),".")</f>
        <v>520.75271837150103</v>
      </c>
      <c r="BV30" s="15">
        <f>IFERROR((s_dir!AV30/(d_Bv!U30+s_MLF_potato)),".")</f>
        <v>802.24067424798807</v>
      </c>
      <c r="BW30" s="15">
        <f>IFERROR((s_dir!AW30/(d_Bv!V30+s_MLF_pumpkin)),".")</f>
        <v>520.75271837150103</v>
      </c>
      <c r="BX30" s="15">
        <f>IFERROR((s_dir!AX30/(d_Bv!W30+s_MLF_snap_bean)),".")</f>
        <v>945.31544417756561</v>
      </c>
      <c r="BY30" s="15">
        <f>IFERROR((s_dir!AY30/(d_Bv!X30+s_MLF_strawberry)),".")</f>
        <v>1023.5484464543297</v>
      </c>
      <c r="BZ30" s="15">
        <f>IFERROR((s_dir!AZ30/(d_Bv!Y30+s_MLF_tomato)),".")</f>
        <v>520.75271837150103</v>
      </c>
      <c r="CA30" s="15">
        <f>IFERROR((s_dir!BA30/(d_Bv!Z30+s_MLF_rice)),".")</f>
        <v>1079.9281433157082</v>
      </c>
      <c r="CB30" s="15">
        <f>IFERROR((s_dir!BB30/(d_Bv!AA30+s_MLF_cereal)),".")</f>
        <v>753.37322200953201</v>
      </c>
      <c r="CC30" s="40">
        <f t="shared" si="3"/>
        <v>578.10018749999995</v>
      </c>
      <c r="CD30" s="40">
        <f>IFERROR(s_C*(d_Bv!C30+s_MLF_apple)*s_IFAP_far_adj*s_CF_apple,".")</f>
        <v>109.65624999999999</v>
      </c>
      <c r="CE30" s="40">
        <f>IFERROR(s_C*(d_Bv!D30+s_MLF_asparagus)*s_IFAS_far_adj*s_CF_asparagus,".")</f>
        <v>253.34375000000003</v>
      </c>
      <c r="CF30" s="40">
        <f>IFERROR(s_C*(d_Bv!E30+s_MLF_beet)*s_IFBT_far_adj*s_CF_beet,".")</f>
        <v>165.61875000000001</v>
      </c>
      <c r="CG30" s="40">
        <f>IFERROR(s_C*(d_Bv!F30+s_MLF_berries)*s_IFBR_far_adj*s_CF_berries,".")</f>
        <v>109.65624999999999</v>
      </c>
      <c r="CH30" s="40">
        <f>IFERROR(s_C*(d_Bv!G30+s_MLF_broccoli)*s_IFBR_far_adj*s_CF_broccoli,".")</f>
        <v>215.53124999999997</v>
      </c>
      <c r="CI30" s="40">
        <f>IFERROR(s_C*(d_Bv!H30+s_MLF_cabbage)*s_IFCB_far_adj*s_CF_cabbage,".")</f>
        <v>253.34375000000003</v>
      </c>
      <c r="CJ30" s="40">
        <f>IFERROR(s_C*(d_Bv!I30+s_MLF_carrot)*s_IFCR_far_adj*s_CF_carrot,".")</f>
        <v>165.61875000000001</v>
      </c>
      <c r="CK30" s="40">
        <f>IFERROR(s_C*(d_Bv!J30+s_MLF_citrus)*s_IFCI_far_adj*s_CF_citrus,".")</f>
        <v>109.65624999999999</v>
      </c>
      <c r="CL30" s="40">
        <f>IFERROR(s_C*(d_Bv!K30+s_MLF_corn)*s_IFCO_far_adj*s_CF_corn,".")</f>
        <v>215.53124999999997</v>
      </c>
      <c r="CM30" s="40">
        <f>IFERROR(s_C*(d_Bv!L30+s_MLF_cucumber)*s_IFCU_far_adj*s_CF_cucumber,".")</f>
        <v>215.53124999999997</v>
      </c>
      <c r="CN30" s="40">
        <f>IFERROR(s_C*(d_Bv!M30+s_MLF_lettuce)*s_IFLE_far_adj*s_CF_lettuce,".")</f>
        <v>253.34375000000003</v>
      </c>
      <c r="CO30" s="40">
        <f>IFERROR(s_C*(d_Bv!N30+s_MLF_lima_bean)*s_IFLI_far_adj*s_CF_lima_bean,".")</f>
        <v>118.73124999999997</v>
      </c>
      <c r="CP30" s="40">
        <f>IFERROR(s_C*(d_Bv!O30+s_MLF_okra)*s_IFOK_far_adj*s_CF_okra,".")</f>
        <v>215.53124999999997</v>
      </c>
      <c r="CQ30" s="40">
        <f>IFERROR(s_C*(d_Bv!P30+s_MLF_onion)*s_IFON_far_adj*s_CF_onion,".")</f>
        <v>165.61875000000001</v>
      </c>
      <c r="CR30" s="40">
        <f>IFERROR(s_C*(d_Bv!Q30+s_MLF_peach)*s_IFPC_far_adj*s_CF_peach,".")</f>
        <v>109.65624999999999</v>
      </c>
      <c r="CS30" s="40">
        <f>IFERROR(s_C*(d_Bv!R30+s_MLF_pear)*s_IFPR_far_adj*s_CF_pear,".")</f>
        <v>109.65624999999999</v>
      </c>
      <c r="CT30" s="40">
        <f>IFERROR(s_C*(d_Bv!S30+s_MLF_peas)*s_IFPE_far_adj*s_CF_peas,".")</f>
        <v>118.73124999999997</v>
      </c>
      <c r="CU30" s="40">
        <f>IFERROR(s_C*(d_Bv!T30+s_MLF_peppers)*s_IFPP_far_adj*s_CF_peppers,".")</f>
        <v>215.53124999999997</v>
      </c>
      <c r="CV30" s="40">
        <f>IFERROR(s_C*(d_Bv!U30+s_MLF_potato)*s_IFPT_far_adj*s_CF_potato,".")</f>
        <v>139.90625</v>
      </c>
      <c r="CW30" s="40">
        <f>IFERROR(s_C*(d_Bv!V30+s_MLF_pumpkin)*s_IFPU_far_adj*s_CF_pumpkin,".")</f>
        <v>215.53124999999997</v>
      </c>
      <c r="CX30" s="40">
        <f>IFERROR(s_C*(d_Bv!W30+s_MLF_snap_bean)*s_IFSN_far_adj*s_CF_snap_bean,".")</f>
        <v>118.73124999999997</v>
      </c>
      <c r="CY30" s="40">
        <f>IFERROR(s_C*(d_Bv!X30+s_MLF_strawberry)*s_IFST_far_adj*s_CF_strawberry,".")</f>
        <v>109.65624999999999</v>
      </c>
      <c r="CZ30" s="40">
        <f>IFERROR(s_C*(d_Bv!Y30+s_MLF_tomato)*s_IFTO_far_adj*s_CF_tomato,".")</f>
        <v>215.53124999999997</v>
      </c>
      <c r="DA30" s="40">
        <f>IFERROR(s_C*(d_Bv!Z30+s_MLF_rice)*s_IFRI_far_adj*s_CF_rice,".")</f>
        <v>103.9314375</v>
      </c>
      <c r="DB30" s="40">
        <f>IFERROR(s_C*(d_Bv!AA30+s_MLF_cereal)*s_IFCG_far_adj*s_CF_cereal,".")</f>
        <v>148.98124999999999</v>
      </c>
    </row>
    <row r="31" spans="1:106" x14ac:dyDescent="0.25">
      <c r="A31" s="76" t="s">
        <v>1</v>
      </c>
      <c r="B31" s="76" t="s">
        <v>1057</v>
      </c>
      <c r="C31" s="58">
        <f t="shared" ref="C31:AB31" si="4">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9.7593178699935894</v>
      </c>
      <c r="D31" s="58">
        <f t="shared" si="4"/>
        <v>43.039803932542718</v>
      </c>
      <c r="E31" s="58">
        <f t="shared" si="4"/>
        <v>19.851685508159726</v>
      </c>
      <c r="F31" s="58">
        <f t="shared" si="4"/>
        <v>23.187390420653021</v>
      </c>
      <c r="G31" s="58">
        <f t="shared" si="4"/>
        <v>42.66365593647987</v>
      </c>
      <c r="H31" s="58">
        <f t="shared" si="4"/>
        <v>34.725196019394929</v>
      </c>
      <c r="I31" s="58">
        <f t="shared" si="4"/>
        <v>19.851685508159726</v>
      </c>
      <c r="J31" s="58">
        <f t="shared" si="4"/>
        <v>23.187390420653021</v>
      </c>
      <c r="K31" s="58">
        <f t="shared" si="4"/>
        <v>43.039803932542718</v>
      </c>
      <c r="L31" s="58">
        <f t="shared" si="4"/>
        <v>43.701629295965056</v>
      </c>
      <c r="M31" s="58">
        <f t="shared" si="4"/>
        <v>34.725196019394929</v>
      </c>
      <c r="N31" s="58">
        <f t="shared" si="4"/>
        <v>19.851685508159726</v>
      </c>
      <c r="O31" s="58">
        <f t="shared" si="4"/>
        <v>37.271510018851934</v>
      </c>
      <c r="P31" s="58">
        <f t="shared" si="4"/>
        <v>34.725196019394929</v>
      </c>
      <c r="Q31" s="58">
        <f t="shared" si="4"/>
        <v>23.187390420653021</v>
      </c>
      <c r="R31" s="58">
        <f t="shared" si="4"/>
        <v>43.039803932542718</v>
      </c>
      <c r="S31" s="58">
        <f t="shared" si="4"/>
        <v>43.039803932542718</v>
      </c>
      <c r="T31" s="58">
        <f t="shared" si="4"/>
        <v>37.271510018851934</v>
      </c>
      <c r="U31" s="58">
        <f t="shared" si="4"/>
        <v>34.725196019394929</v>
      </c>
      <c r="V31" s="58">
        <f t="shared" si="4"/>
        <v>41.037119688532677</v>
      </c>
      <c r="W31" s="58">
        <f t="shared" si="4"/>
        <v>34.725196019394929</v>
      </c>
      <c r="X31" s="58">
        <f t="shared" si="4"/>
        <v>37.271510018851934</v>
      </c>
      <c r="Y31" s="58">
        <f t="shared" si="4"/>
        <v>43.00085652617279</v>
      </c>
      <c r="Z31" s="58">
        <f t="shared" si="4"/>
        <v>34.725196019394929</v>
      </c>
      <c r="AA31" s="58">
        <f t="shared" si="4"/>
        <v>42.493608470973854</v>
      </c>
      <c r="AB31" s="58">
        <f t="shared" si="4"/>
        <v>37.172804895378256</v>
      </c>
      <c r="AC31" s="91">
        <f>IFERROR(SUM(AD32:AD44,AU32:AU44,BA32:BA44,BB32:BB44),".")</f>
        <v>2.5616544448117695</v>
      </c>
      <c r="AD31" s="91">
        <f>IFERROR(SUM(AD32:AD44),".")</f>
        <v>0.58085766466741084</v>
      </c>
      <c r="AE31" s="91">
        <f t="shared" ref="AE31:BB31" si="5">IFERROR(SUM(AE32:AE44),".")</f>
        <v>1.259338910528486</v>
      </c>
      <c r="AF31" s="91">
        <f t="shared" si="5"/>
        <v>1.0781722111226664</v>
      </c>
      <c r="AG31" s="91">
        <f t="shared" si="5"/>
        <v>0.58597884900491082</v>
      </c>
      <c r="AH31" s="91">
        <f t="shared" si="5"/>
        <v>0.71993834062266615</v>
      </c>
      <c r="AI31" s="91">
        <f t="shared" si="5"/>
        <v>1.259338910528486</v>
      </c>
      <c r="AJ31" s="91">
        <f t="shared" si="5"/>
        <v>1.0781722111226664</v>
      </c>
      <c r="AK31" s="91">
        <f t="shared" si="5"/>
        <v>0.58085766466741084</v>
      </c>
      <c r="AL31" s="91">
        <f t="shared" si="5"/>
        <v>0.57206105133266127</v>
      </c>
      <c r="AM31" s="91">
        <f t="shared" si="5"/>
        <v>0.71993834062266615</v>
      </c>
      <c r="AN31" s="91">
        <f t="shared" si="5"/>
        <v>1.259338910528486</v>
      </c>
      <c r="AO31" s="91">
        <f t="shared" si="5"/>
        <v>0.67075361280922075</v>
      </c>
      <c r="AP31" s="91">
        <f t="shared" si="5"/>
        <v>0.71993834062266615</v>
      </c>
      <c r="AQ31" s="91">
        <f t="shared" si="5"/>
        <v>1.0781722111226664</v>
      </c>
      <c r="AR31" s="91">
        <f t="shared" si="5"/>
        <v>0.58085766466741084</v>
      </c>
      <c r="AS31" s="91">
        <f t="shared" si="5"/>
        <v>0.58085766466741084</v>
      </c>
      <c r="AT31" s="91">
        <f t="shared" si="5"/>
        <v>0.67075361280922075</v>
      </c>
      <c r="AU31" s="91">
        <f t="shared" si="5"/>
        <v>0.71993834062266615</v>
      </c>
      <c r="AV31" s="91">
        <f t="shared" si="5"/>
        <v>0.60920454919222655</v>
      </c>
      <c r="AW31" s="91">
        <f t="shared" si="5"/>
        <v>0.71993834062266615</v>
      </c>
      <c r="AX31" s="91">
        <f t="shared" si="5"/>
        <v>0.67075361280922075</v>
      </c>
      <c r="AY31" s="91">
        <f t="shared" si="5"/>
        <v>0.58138376812991088</v>
      </c>
      <c r="AZ31" s="91">
        <f t="shared" si="5"/>
        <v>0.71993834062266615</v>
      </c>
      <c r="BA31" s="91">
        <f t="shared" si="5"/>
        <v>0.58832377149322979</v>
      </c>
      <c r="BB31" s="91">
        <f t="shared" si="5"/>
        <v>0.67253466802846185</v>
      </c>
      <c r="BC31" s="58">
        <f t="shared" ref="BC31:CB31" si="6">IFERROR(1/SUM(IFERROR(1/SUMIF(BC32,"&lt;&gt;.",BC32),0),IFERROR(1/SUMIF(BC33,"&lt;&gt;.",BC33),0),IFERROR(1/SUMIF(BC34,"&lt;&gt;.",BC34),0),IFERROR(1/SUMIF(BC35,"&lt;&gt;.",BC35),0),IFERROR(1/SUMIF(BC36,"&lt;&gt;.",BC36),0),IFERROR(1/SUMIF(BC37,"&lt;&gt;.",BC37),0),IFERROR(1/SUMIF(BC38,"&lt;&gt;.",BC38),0),IFERROR(1/SUMIF(BC39,"&lt;&gt;.",BC39),0),IFERROR(1/SUMIF(BC40,"&lt;&gt;.",BC40),0),IFERROR(1/SUMIF(BC41,"&lt;&gt;.",BC41),0),IFERROR(1/SUMIF(BC42,"&lt;&gt;.",BC42),0),IFERROR(1/SUMIF(BC43,"&lt;&gt;.",BC43),0),IFERROR(1/SUMIF(BC44,"&lt;&gt;.",BC44),0)),".")</f>
        <v>9.7593178699935894</v>
      </c>
      <c r="BD31" s="58">
        <f t="shared" si="6"/>
        <v>43.039803932542718</v>
      </c>
      <c r="BE31" s="58">
        <f t="shared" si="6"/>
        <v>19.851685508159726</v>
      </c>
      <c r="BF31" s="58">
        <f t="shared" si="6"/>
        <v>23.187390420653021</v>
      </c>
      <c r="BG31" s="58">
        <f t="shared" si="6"/>
        <v>42.66365593647987</v>
      </c>
      <c r="BH31" s="58">
        <f t="shared" si="6"/>
        <v>34.725196019394929</v>
      </c>
      <c r="BI31" s="58">
        <f t="shared" si="6"/>
        <v>19.851685508159726</v>
      </c>
      <c r="BJ31" s="58">
        <f t="shared" si="6"/>
        <v>23.187390420653021</v>
      </c>
      <c r="BK31" s="58">
        <f t="shared" si="6"/>
        <v>43.039803932542718</v>
      </c>
      <c r="BL31" s="58">
        <f t="shared" si="6"/>
        <v>43.701629295965056</v>
      </c>
      <c r="BM31" s="58">
        <f t="shared" si="6"/>
        <v>34.725196019394929</v>
      </c>
      <c r="BN31" s="58">
        <f t="shared" si="6"/>
        <v>19.851685508159726</v>
      </c>
      <c r="BO31" s="58">
        <f t="shared" si="6"/>
        <v>37.271510018851934</v>
      </c>
      <c r="BP31" s="58">
        <f t="shared" si="6"/>
        <v>34.725196019394929</v>
      </c>
      <c r="BQ31" s="58">
        <f t="shared" si="6"/>
        <v>23.187390420653021</v>
      </c>
      <c r="BR31" s="58">
        <f t="shared" si="6"/>
        <v>43.039803932542718</v>
      </c>
      <c r="BS31" s="58">
        <f t="shared" si="6"/>
        <v>43.039803932542718</v>
      </c>
      <c r="BT31" s="58">
        <f t="shared" si="6"/>
        <v>37.271510018851934</v>
      </c>
      <c r="BU31" s="58">
        <f t="shared" si="6"/>
        <v>34.725196019394929</v>
      </c>
      <c r="BV31" s="58">
        <f t="shared" si="6"/>
        <v>41.037119688532677</v>
      </c>
      <c r="BW31" s="58">
        <f t="shared" si="6"/>
        <v>34.725196019394929</v>
      </c>
      <c r="BX31" s="58">
        <f t="shared" si="6"/>
        <v>37.271510018851934</v>
      </c>
      <c r="BY31" s="58">
        <f t="shared" si="6"/>
        <v>43.00085652617279</v>
      </c>
      <c r="BZ31" s="58">
        <f t="shared" si="6"/>
        <v>34.725196019394929</v>
      </c>
      <c r="CA31" s="58">
        <f t="shared" si="6"/>
        <v>42.493608470973854</v>
      </c>
      <c r="CB31" s="58">
        <f t="shared" si="6"/>
        <v>37.172804895378256</v>
      </c>
      <c r="CC31" s="91">
        <f>IFERROR(SUM(CD32:CD44,CU32:CU44,DA32:DA44,DB32:DB44),".")</f>
        <v>2.5616544448117695</v>
      </c>
      <c r="CD31" s="91">
        <f>IFERROR(SUM(CD32:CD44),".")</f>
        <v>0.58085766466741084</v>
      </c>
      <c r="CE31" s="91">
        <f t="shared" ref="CE31:DB31" si="7">IFERROR(SUM(CE32:CE44),".")</f>
        <v>1.259338910528486</v>
      </c>
      <c r="CF31" s="91">
        <f t="shared" si="7"/>
        <v>1.0781722111226664</v>
      </c>
      <c r="CG31" s="91">
        <f t="shared" si="7"/>
        <v>0.58597884900491082</v>
      </c>
      <c r="CH31" s="91">
        <f t="shared" si="7"/>
        <v>0.71993834062266615</v>
      </c>
      <c r="CI31" s="91">
        <f t="shared" si="7"/>
        <v>1.259338910528486</v>
      </c>
      <c r="CJ31" s="91">
        <f t="shared" si="7"/>
        <v>1.0781722111226664</v>
      </c>
      <c r="CK31" s="91">
        <f t="shared" si="7"/>
        <v>0.58085766466741084</v>
      </c>
      <c r="CL31" s="91">
        <f t="shared" si="7"/>
        <v>0.57206105133266127</v>
      </c>
      <c r="CM31" s="91">
        <f t="shared" si="7"/>
        <v>0.71993834062266615</v>
      </c>
      <c r="CN31" s="91">
        <f t="shared" si="7"/>
        <v>1.259338910528486</v>
      </c>
      <c r="CO31" s="91">
        <f t="shared" si="7"/>
        <v>0.67075361280922075</v>
      </c>
      <c r="CP31" s="91">
        <f t="shared" si="7"/>
        <v>0.71993834062266615</v>
      </c>
      <c r="CQ31" s="91">
        <f t="shared" si="7"/>
        <v>1.0781722111226664</v>
      </c>
      <c r="CR31" s="91">
        <f t="shared" si="7"/>
        <v>0.58085766466741084</v>
      </c>
      <c r="CS31" s="91">
        <f t="shared" si="7"/>
        <v>0.58085766466741084</v>
      </c>
      <c r="CT31" s="91">
        <f t="shared" si="7"/>
        <v>0.67075361280922075</v>
      </c>
      <c r="CU31" s="91">
        <f t="shared" si="7"/>
        <v>0.71993834062266615</v>
      </c>
      <c r="CV31" s="91">
        <f t="shared" si="7"/>
        <v>0.60920454919222655</v>
      </c>
      <c r="CW31" s="91">
        <f t="shared" si="7"/>
        <v>0.71993834062266615</v>
      </c>
      <c r="CX31" s="91">
        <f t="shared" si="7"/>
        <v>0.67075361280922075</v>
      </c>
      <c r="CY31" s="91">
        <f t="shared" si="7"/>
        <v>0.58138376812991088</v>
      </c>
      <c r="CZ31" s="91">
        <f t="shared" si="7"/>
        <v>0.71993834062266615</v>
      </c>
      <c r="DA31" s="91">
        <f t="shared" si="7"/>
        <v>0.58832377149322979</v>
      </c>
      <c r="DB31" s="91">
        <f t="shared" si="7"/>
        <v>0.67253466802846185</v>
      </c>
    </row>
    <row r="32" spans="1:106" x14ac:dyDescent="0.25">
      <c r="A32" s="77" t="s">
        <v>1085</v>
      </c>
      <c r="B32" s="42">
        <v>1</v>
      </c>
      <c r="C32" s="60">
        <f t="shared" ref="C32:AB32" si="8">IFERROR(C3/$B32,".")</f>
        <v>67.746096569426214</v>
      </c>
      <c r="D32" s="60">
        <f t="shared" si="8"/>
        <v>277.43806438560455</v>
      </c>
      <c r="E32" s="60">
        <f t="shared" si="8"/>
        <v>272.62269057382827</v>
      </c>
      <c r="F32" s="60">
        <f t="shared" si="8"/>
        <v>264.92691949199821</v>
      </c>
      <c r="G32" s="60">
        <f t="shared" si="8"/>
        <v>262.51849295116187</v>
      </c>
      <c r="H32" s="60">
        <f t="shared" si="8"/>
        <v>270.8524133623099</v>
      </c>
      <c r="I32" s="60">
        <f t="shared" si="8"/>
        <v>272.62269057382827</v>
      </c>
      <c r="J32" s="60">
        <f t="shared" si="8"/>
        <v>264.92691949199821</v>
      </c>
      <c r="K32" s="60">
        <f t="shared" si="8"/>
        <v>277.43806438560455</v>
      </c>
      <c r="L32" s="60">
        <f t="shared" si="8"/>
        <v>277.04903684144762</v>
      </c>
      <c r="M32" s="60">
        <f t="shared" si="8"/>
        <v>270.8524133623099</v>
      </c>
      <c r="N32" s="60">
        <f t="shared" si="8"/>
        <v>272.62269057382827</v>
      </c>
      <c r="O32" s="60">
        <f t="shared" si="8"/>
        <v>270.46213610962644</v>
      </c>
      <c r="P32" s="60">
        <f t="shared" si="8"/>
        <v>270.8524133623099</v>
      </c>
      <c r="Q32" s="60">
        <f t="shared" si="8"/>
        <v>264.92691949199821</v>
      </c>
      <c r="R32" s="60">
        <f t="shared" si="8"/>
        <v>277.43806438560455</v>
      </c>
      <c r="S32" s="60">
        <f t="shared" si="8"/>
        <v>277.43806438560455</v>
      </c>
      <c r="T32" s="60">
        <f t="shared" si="8"/>
        <v>270.46213610962644</v>
      </c>
      <c r="U32" s="60">
        <f t="shared" si="8"/>
        <v>270.8524133623099</v>
      </c>
      <c r="V32" s="60">
        <f t="shared" si="8"/>
        <v>273.8157876879369</v>
      </c>
      <c r="W32" s="60">
        <f t="shared" si="8"/>
        <v>270.8524133623099</v>
      </c>
      <c r="X32" s="60">
        <f t="shared" si="8"/>
        <v>270.46213610962644</v>
      </c>
      <c r="Y32" s="60">
        <f t="shared" si="8"/>
        <v>275.8276597503023</v>
      </c>
      <c r="Z32" s="60">
        <f t="shared" si="8"/>
        <v>270.8524133623099</v>
      </c>
      <c r="AA32" s="60">
        <f t="shared" si="8"/>
        <v>258.89754822080101</v>
      </c>
      <c r="AB32" s="60">
        <f t="shared" si="8"/>
        <v>277.62272217139588</v>
      </c>
      <c r="AC32" s="94">
        <f t="shared" ref="AC32:AC44" si="9">IF(AND(AD32&lt;&gt;".",AU32&lt;&gt;".",BA32&lt;&gt;".",BB32&lt;&gt;"."),SUM(AD32,AU32,BA32:BB32),".")</f>
        <v>0.36902495148749997</v>
      </c>
      <c r="AD32" s="94">
        <f>IF(D32=".",".",s_RadSpec!$F$3*(AD3*$B32))</f>
        <v>9.0110201912499993E-2</v>
      </c>
      <c r="AE32" s="94">
        <f>IF(E32=".",".",s_RadSpec!$F$3*(AE3*$B32))</f>
        <v>9.1701831375000001E-2</v>
      </c>
      <c r="AF32" s="94">
        <f>IF(F32=".",".",s_RadSpec!$F$3*(AF3*$B32))</f>
        <v>9.4365646375000001E-2</v>
      </c>
      <c r="AG32" s="94">
        <f>IF(G32=".",".",s_RadSpec!$F$3*(AG3*$B32))</f>
        <v>9.5231386250000022E-2</v>
      </c>
      <c r="AH32" s="94">
        <f>IF(H32=".",".",s_RadSpec!$F$3*(AH3*$B32))</f>
        <v>9.2301189749999998E-2</v>
      </c>
      <c r="AI32" s="94">
        <f>IF(I32=".",".",s_RadSpec!$F$3*(AI3*$B32))</f>
        <v>9.1701831375000001E-2</v>
      </c>
      <c r="AJ32" s="94">
        <f>IF(J32=".",".",s_RadSpec!$F$3*(AJ3*$B32))</f>
        <v>9.4365646375000001E-2</v>
      </c>
      <c r="AK32" s="94">
        <f>IF(K32=".",".",s_RadSpec!$F$3*(AK3*$B32))</f>
        <v>9.0110201912499993E-2</v>
      </c>
      <c r="AL32" s="94">
        <f>IF(L32=".",".",s_RadSpec!$F$3*(AL3*$B32))</f>
        <v>9.023673312500001E-2</v>
      </c>
      <c r="AM32" s="94">
        <f>IF(M32=".",".",s_RadSpec!$F$3*(AM3*$B32))</f>
        <v>9.2301189749999998E-2</v>
      </c>
      <c r="AN32" s="94">
        <f>IF(N32=".",".",s_RadSpec!$F$3*(AN3*$B32))</f>
        <v>9.1701831375000001E-2</v>
      </c>
      <c r="AO32" s="94">
        <f>IF(O32=".",".",s_RadSpec!$F$3*(AO3*$B32))</f>
        <v>9.243438050000001E-2</v>
      </c>
      <c r="AP32" s="94">
        <f>IF(P32=".",".",s_RadSpec!$F$3*(AP3*$B32))</f>
        <v>9.2301189749999998E-2</v>
      </c>
      <c r="AQ32" s="94">
        <f>IF(Q32=".",".",s_RadSpec!$F$3*(AQ3*$B32))</f>
        <v>9.4365646375000001E-2</v>
      </c>
      <c r="AR32" s="94">
        <f>IF(R32=".",".",s_RadSpec!$F$3*(AR3*$B32))</f>
        <v>9.0110201912499993E-2</v>
      </c>
      <c r="AS32" s="94">
        <f>IF(S32=".",".",s_RadSpec!$F$3*(AS3*$B32))</f>
        <v>9.0110201912499993E-2</v>
      </c>
      <c r="AT32" s="94">
        <f>IF(T32=".",".",s_RadSpec!$F$3*(AT3*$B32))</f>
        <v>9.243438050000001E-2</v>
      </c>
      <c r="AU32" s="94">
        <f>IF(U32=".",".",s_RadSpec!$F$3*(AU3*$B32))</f>
        <v>9.2301189749999998E-2</v>
      </c>
      <c r="AV32" s="94">
        <f>IF(V32=".",".",s_RadSpec!$F$3*(AV3*$B32))</f>
        <v>9.1302259125000007E-2</v>
      </c>
      <c r="AW32" s="94">
        <f>IF(W32=".",".",s_RadSpec!$F$3*(AW3*$B32))</f>
        <v>9.2301189749999998E-2</v>
      </c>
      <c r="AX32" s="94">
        <f>IF(X32=".",".",s_RadSpec!$F$3*(AX3*$B32))</f>
        <v>9.243438050000001E-2</v>
      </c>
      <c r="AY32" s="94">
        <f>IF(Y32=".",".",s_RadSpec!$F$3*(AY3*$B32))</f>
        <v>9.0636305375000004E-2</v>
      </c>
      <c r="AZ32" s="94">
        <f>IF(Z32=".",".",s_RadSpec!$F$3*(AZ3*$B32))</f>
        <v>9.2301189749999998E-2</v>
      </c>
      <c r="BA32" s="94">
        <f>IF(AA32=".",".",s_RadSpec!$F$3*(BA3*$B32))</f>
        <v>9.6563293749999987E-2</v>
      </c>
      <c r="BB32" s="94">
        <f>IF(AB32=".",".",s_RadSpec!$F$3*(BB3*$B32))</f>
        <v>9.005026607500001E-2</v>
      </c>
      <c r="BC32" s="60">
        <f t="shared" ref="BC32:CB32" si="10">IFERROR(BC3/$B32,".")</f>
        <v>67.746096569426214</v>
      </c>
      <c r="BD32" s="60">
        <f t="shared" si="10"/>
        <v>277.43806438560455</v>
      </c>
      <c r="BE32" s="60">
        <f t="shared" si="10"/>
        <v>272.62269057382827</v>
      </c>
      <c r="BF32" s="60">
        <f t="shared" si="10"/>
        <v>264.92691949199821</v>
      </c>
      <c r="BG32" s="60">
        <f t="shared" si="10"/>
        <v>262.51849295116187</v>
      </c>
      <c r="BH32" s="60">
        <f t="shared" si="10"/>
        <v>270.8524133623099</v>
      </c>
      <c r="BI32" s="60">
        <f t="shared" si="10"/>
        <v>272.62269057382827</v>
      </c>
      <c r="BJ32" s="60">
        <f t="shared" si="10"/>
        <v>264.92691949199821</v>
      </c>
      <c r="BK32" s="60">
        <f t="shared" si="10"/>
        <v>277.43806438560455</v>
      </c>
      <c r="BL32" s="60">
        <f t="shared" si="10"/>
        <v>277.04903684144762</v>
      </c>
      <c r="BM32" s="60">
        <f t="shared" si="10"/>
        <v>270.8524133623099</v>
      </c>
      <c r="BN32" s="60">
        <f t="shared" si="10"/>
        <v>272.62269057382827</v>
      </c>
      <c r="BO32" s="60">
        <f t="shared" si="10"/>
        <v>270.46213610962644</v>
      </c>
      <c r="BP32" s="60">
        <f t="shared" si="10"/>
        <v>270.8524133623099</v>
      </c>
      <c r="BQ32" s="60">
        <f t="shared" si="10"/>
        <v>264.92691949199821</v>
      </c>
      <c r="BR32" s="60">
        <f t="shared" si="10"/>
        <v>277.43806438560455</v>
      </c>
      <c r="BS32" s="60">
        <f t="shared" si="10"/>
        <v>277.43806438560455</v>
      </c>
      <c r="BT32" s="60">
        <f t="shared" si="10"/>
        <v>270.46213610962644</v>
      </c>
      <c r="BU32" s="60">
        <f t="shared" si="10"/>
        <v>270.8524133623099</v>
      </c>
      <c r="BV32" s="60">
        <f t="shared" si="10"/>
        <v>273.8157876879369</v>
      </c>
      <c r="BW32" s="60">
        <f t="shared" si="10"/>
        <v>270.8524133623099</v>
      </c>
      <c r="BX32" s="60">
        <f t="shared" si="10"/>
        <v>270.46213610962644</v>
      </c>
      <c r="BY32" s="60">
        <f t="shared" si="10"/>
        <v>275.8276597503023</v>
      </c>
      <c r="BZ32" s="60">
        <f t="shared" si="10"/>
        <v>270.8524133623099</v>
      </c>
      <c r="CA32" s="60">
        <f t="shared" si="10"/>
        <v>258.89754822080101</v>
      </c>
      <c r="CB32" s="60">
        <f t="shared" si="10"/>
        <v>277.62272217139588</v>
      </c>
      <c r="CC32" s="94">
        <f t="shared" ref="CC32:CC44" si="11">IF(AND(CD32&lt;&gt;".",CU32&lt;&gt;".",DA32&lt;&gt;".",DB32&lt;&gt;"."),SUM(CD32,CU32,DA32:DB32),".")</f>
        <v>0.36902495148749997</v>
      </c>
      <c r="CD32" s="94">
        <f>IF(BD32=".",".",s_RadSpec!$F$3*(CD3*$B32))</f>
        <v>9.0110201912499993E-2</v>
      </c>
      <c r="CE32" s="94">
        <f>IF(BE32=".",".",s_RadSpec!$F$3*(CE3*$B32))</f>
        <v>9.1701831375000001E-2</v>
      </c>
      <c r="CF32" s="94">
        <f>IF(BF32=".",".",s_RadSpec!$F$3*(CF3*$B32))</f>
        <v>9.4365646375000001E-2</v>
      </c>
      <c r="CG32" s="94">
        <f>IF(BG32=".",".",s_RadSpec!$F$3*(CG3*$B32))</f>
        <v>9.5231386250000022E-2</v>
      </c>
      <c r="CH32" s="94">
        <f>IF(BH32=".",".",s_RadSpec!$F$3*(CH3*$B32))</f>
        <v>9.2301189749999998E-2</v>
      </c>
      <c r="CI32" s="94">
        <f>IF(BI32=".",".",s_RadSpec!$F$3*(CI3*$B32))</f>
        <v>9.1701831375000001E-2</v>
      </c>
      <c r="CJ32" s="94">
        <f>IF(BJ32=".",".",s_RadSpec!$F$3*(CJ3*$B32))</f>
        <v>9.4365646375000001E-2</v>
      </c>
      <c r="CK32" s="94">
        <f>IF(BK32=".",".",s_RadSpec!$F$3*(CK3*$B32))</f>
        <v>9.0110201912499993E-2</v>
      </c>
      <c r="CL32" s="94">
        <f>IF(BL32=".",".",s_RadSpec!$F$3*(CL3*$B32))</f>
        <v>9.023673312500001E-2</v>
      </c>
      <c r="CM32" s="94">
        <f>IF(BM32=".",".",s_RadSpec!$F$3*(CM3*$B32))</f>
        <v>9.2301189749999998E-2</v>
      </c>
      <c r="CN32" s="94">
        <f>IF(BN32=".",".",s_RadSpec!$F$3*(CN3*$B32))</f>
        <v>9.1701831375000001E-2</v>
      </c>
      <c r="CO32" s="94">
        <f>IF(BO32=".",".",s_RadSpec!$F$3*(CO3*$B32))</f>
        <v>9.243438050000001E-2</v>
      </c>
      <c r="CP32" s="94">
        <f>IF(BP32=".",".",s_RadSpec!$F$3*(CP3*$B32))</f>
        <v>9.2301189749999998E-2</v>
      </c>
      <c r="CQ32" s="94">
        <f>IF(BQ32=".",".",s_RadSpec!$F$3*(CQ3*$B32))</f>
        <v>9.4365646375000001E-2</v>
      </c>
      <c r="CR32" s="94">
        <f>IF(BR32=".",".",s_RadSpec!$F$3*(CR3*$B32))</f>
        <v>9.0110201912499993E-2</v>
      </c>
      <c r="CS32" s="94">
        <f>IF(BS32=".",".",s_RadSpec!$F$3*(CS3*$B32))</f>
        <v>9.0110201912499993E-2</v>
      </c>
      <c r="CT32" s="94">
        <f>IF(BT32=".",".",s_RadSpec!$F$3*(CT3*$B32))</f>
        <v>9.243438050000001E-2</v>
      </c>
      <c r="CU32" s="94">
        <f>IF(BU32=".",".",s_RadSpec!$F$3*(CU3*$B32))</f>
        <v>9.2301189749999998E-2</v>
      </c>
      <c r="CV32" s="94">
        <f>IF(BV32=".",".",s_RadSpec!$F$3*(CV3*$B32))</f>
        <v>9.1302259125000007E-2</v>
      </c>
      <c r="CW32" s="94">
        <f>IF(BW32=".",".",s_RadSpec!$F$3*(CW3*$B32))</f>
        <v>9.2301189749999998E-2</v>
      </c>
      <c r="CX32" s="94">
        <f>IF(BX32=".",".",s_RadSpec!$F$3*(CX3*$B32))</f>
        <v>9.243438050000001E-2</v>
      </c>
      <c r="CY32" s="94">
        <f>IF(BY32=".",".",s_RadSpec!$F$3*(CY3*$B32))</f>
        <v>9.0636305375000004E-2</v>
      </c>
      <c r="CZ32" s="94">
        <f>IF(BZ32=".",".",s_RadSpec!$F$3*(CZ3*$B32))</f>
        <v>9.2301189749999998E-2</v>
      </c>
      <c r="DA32" s="94">
        <f>IF(CA32=".",".",s_RadSpec!$F$3*(DA3*$B32))</f>
        <v>9.6563293749999987E-2</v>
      </c>
      <c r="DB32" s="94">
        <f>IF(CB32=".",".",s_RadSpec!$F$3*(DB3*$B32))</f>
        <v>9.005026607500001E-2</v>
      </c>
    </row>
    <row r="33" spans="1:106" x14ac:dyDescent="0.25">
      <c r="A33" s="77" t="s">
        <v>1061</v>
      </c>
      <c r="B33" s="42">
        <v>1</v>
      </c>
      <c r="C33" s="60">
        <f t="shared" ref="C33:AB34" si="12">IFERROR(C13/$B33,".")</f>
        <v>75.080288984032308</v>
      </c>
      <c r="D33" s="60">
        <f t="shared" si="12"/>
        <v>517.94518197680259</v>
      </c>
      <c r="E33" s="60">
        <f t="shared" si="12"/>
        <v>176.48502496987345</v>
      </c>
      <c r="F33" s="60">
        <f t="shared" si="12"/>
        <v>201.34207074027819</v>
      </c>
      <c r="G33" s="60">
        <f t="shared" si="12"/>
        <v>517.94518197680259</v>
      </c>
      <c r="H33" s="60">
        <f t="shared" si="12"/>
        <v>226.90931781840874</v>
      </c>
      <c r="I33" s="60">
        <f t="shared" si="12"/>
        <v>176.48502496987345</v>
      </c>
      <c r="J33" s="60">
        <f t="shared" si="12"/>
        <v>201.34207074027819</v>
      </c>
      <c r="K33" s="60">
        <f t="shared" si="12"/>
        <v>517.94518197680259</v>
      </c>
      <c r="L33" s="60">
        <f t="shared" si="12"/>
        <v>390.58161263824451</v>
      </c>
      <c r="M33" s="60">
        <f t="shared" si="12"/>
        <v>226.90931781840874</v>
      </c>
      <c r="N33" s="60">
        <f t="shared" si="12"/>
        <v>176.48502496987345</v>
      </c>
      <c r="O33" s="60">
        <f t="shared" si="12"/>
        <v>234.34896758294673</v>
      </c>
      <c r="P33" s="60">
        <f t="shared" si="12"/>
        <v>226.90931781840874</v>
      </c>
      <c r="Q33" s="60">
        <f t="shared" si="12"/>
        <v>201.34207074027819</v>
      </c>
      <c r="R33" s="60">
        <f t="shared" si="12"/>
        <v>517.94518197680259</v>
      </c>
      <c r="S33" s="60">
        <f t="shared" si="12"/>
        <v>517.94518197680259</v>
      </c>
      <c r="T33" s="60">
        <f t="shared" si="12"/>
        <v>234.34896758294673</v>
      </c>
      <c r="U33" s="60">
        <f t="shared" si="12"/>
        <v>226.90931781840874</v>
      </c>
      <c r="V33" s="60">
        <f t="shared" si="12"/>
        <v>372.27309954582677</v>
      </c>
      <c r="W33" s="60">
        <f t="shared" si="12"/>
        <v>226.90931781840874</v>
      </c>
      <c r="X33" s="60">
        <f t="shared" si="12"/>
        <v>234.34896758294673</v>
      </c>
      <c r="Y33" s="60">
        <f t="shared" si="12"/>
        <v>517.94518197680259</v>
      </c>
      <c r="Z33" s="60">
        <f t="shared" si="12"/>
        <v>226.90931781840874</v>
      </c>
      <c r="AA33" s="60">
        <f t="shared" si="12"/>
        <v>213.36249287402609</v>
      </c>
      <c r="AB33" s="60">
        <f t="shared" si="12"/>
        <v>435.83192141950462</v>
      </c>
      <c r="AC33" s="94">
        <f t="shared" si="9"/>
        <v>0.33297687500000006</v>
      </c>
      <c r="AD33" s="94">
        <f>IF(D33=".",".",s_RadSpec!$F$13*(AD13*$B33))</f>
        <v>4.8267656250000006E-2</v>
      </c>
      <c r="AE33" s="94">
        <f>IF(E33=".",".",s_RadSpec!$F$13*(AE13*$B33))</f>
        <v>0.141655078125</v>
      </c>
      <c r="AF33" s="94">
        <f>IF(F33=".",".",s_RadSpec!$F$13*(AF13*$B33))</f>
        <v>0.124166796875</v>
      </c>
      <c r="AG33" s="94">
        <f>IF(G33=".",".",s_RadSpec!$F$13*(AG13*$B33))</f>
        <v>4.8267656250000006E-2</v>
      </c>
      <c r="AH33" s="94">
        <f>IF(H33=".",".",s_RadSpec!$F$13*(AH13*$B33))</f>
        <v>0.11017617187500001</v>
      </c>
      <c r="AI33" s="94">
        <f>IF(I33=".",".",s_RadSpec!$F$13*(AI13*$B33))</f>
        <v>0.141655078125</v>
      </c>
      <c r="AJ33" s="94">
        <f>IF(J33=".",".",s_RadSpec!$F$13*(AJ13*$B33))</f>
        <v>0.124166796875</v>
      </c>
      <c r="AK33" s="94">
        <f>IF(K33=".",".",s_RadSpec!$F$13*(AK13*$B33))</f>
        <v>4.8267656250000006E-2</v>
      </c>
      <c r="AL33" s="94">
        <f>IF(L33=".",".",s_RadSpec!$F$13*(AL13*$B33))</f>
        <v>6.4007109374999996E-2</v>
      </c>
      <c r="AM33" s="94">
        <f>IF(M33=".",".",s_RadSpec!$F$13*(AM13*$B33))</f>
        <v>0.11017617187500001</v>
      </c>
      <c r="AN33" s="94">
        <f>IF(N33=".",".",s_RadSpec!$F$13*(AN13*$B33))</f>
        <v>0.141655078125</v>
      </c>
      <c r="AO33" s="94">
        <f>IF(O33=".",".",s_RadSpec!$F$13*(AO13*$B33))</f>
        <v>0.10667851562500001</v>
      </c>
      <c r="AP33" s="94">
        <f>IF(P33=".",".",s_RadSpec!$F$13*(AP13*$B33))</f>
        <v>0.11017617187500001</v>
      </c>
      <c r="AQ33" s="94">
        <f>IF(Q33=".",".",s_RadSpec!$F$13*(AQ13*$B33))</f>
        <v>0.124166796875</v>
      </c>
      <c r="AR33" s="94">
        <f>IF(R33=".",".",s_RadSpec!$F$13*(AR13*$B33))</f>
        <v>4.8267656250000006E-2</v>
      </c>
      <c r="AS33" s="94">
        <f>IF(S33=".",".",s_RadSpec!$F$13*(AS13*$B33))</f>
        <v>4.8267656250000006E-2</v>
      </c>
      <c r="AT33" s="94">
        <f>IF(T33=".",".",s_RadSpec!$F$13*(AT13*$B33))</f>
        <v>0.10667851562500001</v>
      </c>
      <c r="AU33" s="94">
        <f>IF(U33=".",".",s_RadSpec!$F$13*(AU13*$B33))</f>
        <v>0.11017617187500001</v>
      </c>
      <c r="AV33" s="94">
        <f>IF(V33=".",".",s_RadSpec!$F$13*(AV13*$B33))</f>
        <v>6.7155000000000006E-2</v>
      </c>
      <c r="AW33" s="94">
        <f>IF(W33=".",".",s_RadSpec!$F$13*(AW13*$B33))</f>
        <v>0.11017617187500001</v>
      </c>
      <c r="AX33" s="94">
        <f>IF(X33=".",".",s_RadSpec!$F$13*(AX13*$B33))</f>
        <v>0.10667851562500001</v>
      </c>
      <c r="AY33" s="94">
        <f>IF(Y33=".",".",s_RadSpec!$F$13*(AY13*$B33))</f>
        <v>4.8267656250000006E-2</v>
      </c>
      <c r="AZ33" s="94">
        <f>IF(Z33=".",".",s_RadSpec!$F$13*(AZ13*$B33))</f>
        <v>0.11017617187500001</v>
      </c>
      <c r="BA33" s="94">
        <f>IF(AA33=".",".",s_RadSpec!$F$13*(BA13*$B33))</f>
        <v>0.11717148437500002</v>
      </c>
      <c r="BB33" s="94">
        <f>IF(AB33=".",".",s_RadSpec!$F$13*(BB13*$B33))</f>
        <v>5.7361562499999991E-2</v>
      </c>
      <c r="BC33" s="60">
        <f t="shared" ref="BC33:CB34" si="13">IFERROR(BC13/$B33,".")</f>
        <v>75.080288984032308</v>
      </c>
      <c r="BD33" s="60">
        <f t="shared" si="13"/>
        <v>517.94518197680259</v>
      </c>
      <c r="BE33" s="60">
        <f t="shared" si="13"/>
        <v>176.48502496987345</v>
      </c>
      <c r="BF33" s="60">
        <f t="shared" si="13"/>
        <v>201.34207074027819</v>
      </c>
      <c r="BG33" s="60">
        <f t="shared" si="13"/>
        <v>517.94518197680259</v>
      </c>
      <c r="BH33" s="60">
        <f t="shared" si="13"/>
        <v>226.90931781840874</v>
      </c>
      <c r="BI33" s="60">
        <f t="shared" si="13"/>
        <v>176.48502496987345</v>
      </c>
      <c r="BJ33" s="60">
        <f t="shared" si="13"/>
        <v>201.34207074027819</v>
      </c>
      <c r="BK33" s="60">
        <f t="shared" si="13"/>
        <v>517.94518197680259</v>
      </c>
      <c r="BL33" s="60">
        <f t="shared" si="13"/>
        <v>390.58161263824451</v>
      </c>
      <c r="BM33" s="60">
        <f t="shared" si="13"/>
        <v>226.90931781840874</v>
      </c>
      <c r="BN33" s="60">
        <f t="shared" si="13"/>
        <v>176.48502496987345</v>
      </c>
      <c r="BO33" s="60">
        <f t="shared" si="13"/>
        <v>234.34896758294673</v>
      </c>
      <c r="BP33" s="60">
        <f t="shared" si="13"/>
        <v>226.90931781840874</v>
      </c>
      <c r="BQ33" s="60">
        <f t="shared" si="13"/>
        <v>201.34207074027819</v>
      </c>
      <c r="BR33" s="60">
        <f t="shared" si="13"/>
        <v>517.94518197680259</v>
      </c>
      <c r="BS33" s="60">
        <f t="shared" si="13"/>
        <v>517.94518197680259</v>
      </c>
      <c r="BT33" s="60">
        <f t="shared" si="13"/>
        <v>234.34896758294673</v>
      </c>
      <c r="BU33" s="60">
        <f t="shared" si="13"/>
        <v>226.90931781840874</v>
      </c>
      <c r="BV33" s="60">
        <f t="shared" si="13"/>
        <v>372.27309954582677</v>
      </c>
      <c r="BW33" s="60">
        <f t="shared" si="13"/>
        <v>226.90931781840874</v>
      </c>
      <c r="BX33" s="60">
        <f t="shared" si="13"/>
        <v>234.34896758294673</v>
      </c>
      <c r="BY33" s="60">
        <f t="shared" si="13"/>
        <v>517.94518197680259</v>
      </c>
      <c r="BZ33" s="60">
        <f t="shared" si="13"/>
        <v>226.90931781840874</v>
      </c>
      <c r="CA33" s="60">
        <f t="shared" si="13"/>
        <v>213.36249287402609</v>
      </c>
      <c r="CB33" s="60">
        <f t="shared" si="13"/>
        <v>435.83192141950462</v>
      </c>
      <c r="CC33" s="94">
        <f t="shared" si="11"/>
        <v>0.33297687500000006</v>
      </c>
      <c r="CD33" s="94">
        <f>IF(BD33=".",".",s_RadSpec!$F$13*(CD13*$B33))</f>
        <v>4.8267656250000006E-2</v>
      </c>
      <c r="CE33" s="94">
        <f>IF(BE33=".",".",s_RadSpec!$F$13*(CE13*$B33))</f>
        <v>0.141655078125</v>
      </c>
      <c r="CF33" s="94">
        <f>IF(BF33=".",".",s_RadSpec!$F$13*(CF13*$B33))</f>
        <v>0.124166796875</v>
      </c>
      <c r="CG33" s="94">
        <f>IF(BG33=".",".",s_RadSpec!$F$13*(CG13*$B33))</f>
        <v>4.8267656250000006E-2</v>
      </c>
      <c r="CH33" s="94">
        <f>IF(BH33=".",".",s_RadSpec!$F$13*(CH13*$B33))</f>
        <v>0.11017617187500001</v>
      </c>
      <c r="CI33" s="94">
        <f>IF(BI33=".",".",s_RadSpec!$F$13*(CI13*$B33))</f>
        <v>0.141655078125</v>
      </c>
      <c r="CJ33" s="94">
        <f>IF(BJ33=".",".",s_RadSpec!$F$13*(CJ13*$B33))</f>
        <v>0.124166796875</v>
      </c>
      <c r="CK33" s="94">
        <f>IF(BK33=".",".",s_RadSpec!$F$13*(CK13*$B33))</f>
        <v>4.8267656250000006E-2</v>
      </c>
      <c r="CL33" s="94">
        <f>IF(BL33=".",".",s_RadSpec!$F$13*(CL13*$B33))</f>
        <v>6.4007109374999996E-2</v>
      </c>
      <c r="CM33" s="94">
        <f>IF(BM33=".",".",s_RadSpec!$F$13*(CM13*$B33))</f>
        <v>0.11017617187500001</v>
      </c>
      <c r="CN33" s="94">
        <f>IF(BN33=".",".",s_RadSpec!$F$13*(CN13*$B33))</f>
        <v>0.141655078125</v>
      </c>
      <c r="CO33" s="94">
        <f>IF(BO33=".",".",s_RadSpec!$F$13*(CO13*$B33))</f>
        <v>0.10667851562500001</v>
      </c>
      <c r="CP33" s="94">
        <f>IF(BP33=".",".",s_RadSpec!$F$13*(CP13*$B33))</f>
        <v>0.11017617187500001</v>
      </c>
      <c r="CQ33" s="94">
        <f>IF(BQ33=".",".",s_RadSpec!$F$13*(CQ13*$B33))</f>
        <v>0.124166796875</v>
      </c>
      <c r="CR33" s="94">
        <f>IF(BR33=".",".",s_RadSpec!$F$13*(CR13*$B33))</f>
        <v>4.8267656250000006E-2</v>
      </c>
      <c r="CS33" s="94">
        <f>IF(BS33=".",".",s_RadSpec!$F$13*(CS13*$B33))</f>
        <v>4.8267656250000006E-2</v>
      </c>
      <c r="CT33" s="94">
        <f>IF(BT33=".",".",s_RadSpec!$F$13*(CT13*$B33))</f>
        <v>0.10667851562500001</v>
      </c>
      <c r="CU33" s="94">
        <f>IF(BU33=".",".",s_RadSpec!$F$13*(CU13*$B33))</f>
        <v>0.11017617187500001</v>
      </c>
      <c r="CV33" s="94">
        <f>IF(BV33=".",".",s_RadSpec!$F$13*(CV13*$B33))</f>
        <v>6.7155000000000006E-2</v>
      </c>
      <c r="CW33" s="94">
        <f>IF(BW33=".",".",s_RadSpec!$F$13*(CW13*$B33))</f>
        <v>0.11017617187500001</v>
      </c>
      <c r="CX33" s="94">
        <f>IF(BX33=".",".",s_RadSpec!$F$13*(CX13*$B33))</f>
        <v>0.10667851562500001</v>
      </c>
      <c r="CY33" s="94">
        <f>IF(BY33=".",".",s_RadSpec!$F$13*(CY13*$B33))</f>
        <v>4.8267656250000006E-2</v>
      </c>
      <c r="CZ33" s="94">
        <f>IF(BZ33=".",".",s_RadSpec!$F$13*(CZ13*$B33))</f>
        <v>0.11017617187500001</v>
      </c>
      <c r="DA33" s="94">
        <f>IF(CA33=".",".",s_RadSpec!$F$13*(DA13*$B33))</f>
        <v>0.11717148437500002</v>
      </c>
      <c r="DB33" s="94">
        <f>IF(CB33=".",".",s_RadSpec!$F$13*(DB13*$B33))</f>
        <v>5.7361562499999991E-2</v>
      </c>
    </row>
    <row r="34" spans="1:106" x14ac:dyDescent="0.25">
      <c r="A34" s="77" t="s">
        <v>1062</v>
      </c>
      <c r="B34" s="42">
        <v>1</v>
      </c>
      <c r="C34" s="60">
        <f t="shared" si="12"/>
        <v>7200.6402233235358</v>
      </c>
      <c r="D34" s="60">
        <f t="shared" si="12"/>
        <v>28802.560893294147</v>
      </c>
      <c r="E34" s="60">
        <f t="shared" si="12"/>
        <v>28802.560893294147</v>
      </c>
      <c r="F34" s="60">
        <f t="shared" si="12"/>
        <v>28802.560893294147</v>
      </c>
      <c r="G34" s="60">
        <f t="shared" si="12"/>
        <v>28802.560893294147</v>
      </c>
      <c r="H34" s="60">
        <f t="shared" si="12"/>
        <v>28802.560893294147</v>
      </c>
      <c r="I34" s="60">
        <f t="shared" si="12"/>
        <v>28802.560893294147</v>
      </c>
      <c r="J34" s="60">
        <f t="shared" si="12"/>
        <v>28802.560893294147</v>
      </c>
      <c r="K34" s="60">
        <f t="shared" si="12"/>
        <v>28802.560893294147</v>
      </c>
      <c r="L34" s="60">
        <f t="shared" si="12"/>
        <v>28802.560893294147</v>
      </c>
      <c r="M34" s="60">
        <f t="shared" si="12"/>
        <v>28802.560893294147</v>
      </c>
      <c r="N34" s="60">
        <f t="shared" si="12"/>
        <v>28802.560893294147</v>
      </c>
      <c r="O34" s="60">
        <f t="shared" si="12"/>
        <v>28802.560893294147</v>
      </c>
      <c r="P34" s="60">
        <f t="shared" si="12"/>
        <v>28802.560893294147</v>
      </c>
      <c r="Q34" s="60">
        <f t="shared" si="12"/>
        <v>28802.560893294147</v>
      </c>
      <c r="R34" s="60">
        <f t="shared" si="12"/>
        <v>28802.560893294147</v>
      </c>
      <c r="S34" s="60">
        <f t="shared" si="12"/>
        <v>28802.560893294147</v>
      </c>
      <c r="T34" s="60">
        <f t="shared" si="12"/>
        <v>28802.560893294147</v>
      </c>
      <c r="U34" s="60">
        <f t="shared" si="12"/>
        <v>28802.560893294147</v>
      </c>
      <c r="V34" s="60">
        <f t="shared" si="12"/>
        <v>28802.560893294147</v>
      </c>
      <c r="W34" s="60">
        <f t="shared" si="12"/>
        <v>28802.560893294147</v>
      </c>
      <c r="X34" s="60">
        <f t="shared" si="12"/>
        <v>28802.560893294147</v>
      </c>
      <c r="Y34" s="60">
        <f t="shared" si="12"/>
        <v>28802.560893294147</v>
      </c>
      <c r="Z34" s="60">
        <f t="shared" si="12"/>
        <v>28802.560893294147</v>
      </c>
      <c r="AA34" s="60">
        <f t="shared" si="12"/>
        <v>28802.560893294147</v>
      </c>
      <c r="AB34" s="60">
        <f t="shared" si="12"/>
        <v>28802.560893294147</v>
      </c>
      <c r="AC34" s="94">
        <f t="shared" si="9"/>
        <v>3.4719135000000003E-3</v>
      </c>
      <c r="AD34" s="94">
        <f>IF(D34=".",".",s_RadSpec!$F$14*(AD14*$B34))</f>
        <v>8.6797837500000006E-4</v>
      </c>
      <c r="AE34" s="94">
        <f>IF(E34=".",".",s_RadSpec!$F$14*(AE14*$B34))</f>
        <v>8.6797837500000006E-4</v>
      </c>
      <c r="AF34" s="94">
        <f>IF(F34=".",".",s_RadSpec!$F$14*(AF14*$B34))</f>
        <v>8.6797837500000006E-4</v>
      </c>
      <c r="AG34" s="94">
        <f>IF(G34=".",".",s_RadSpec!$F$14*(AG14*$B34))</f>
        <v>8.6797837500000006E-4</v>
      </c>
      <c r="AH34" s="94">
        <f>IF(H34=".",".",s_RadSpec!$F$14*(AH14*$B34))</f>
        <v>8.6797837500000006E-4</v>
      </c>
      <c r="AI34" s="94">
        <f>IF(I34=".",".",s_RadSpec!$F$14*(AI14*$B34))</f>
        <v>8.6797837500000006E-4</v>
      </c>
      <c r="AJ34" s="94">
        <f>IF(J34=".",".",s_RadSpec!$F$14*(AJ14*$B34))</f>
        <v>8.6797837500000006E-4</v>
      </c>
      <c r="AK34" s="94">
        <f>IF(K34=".",".",s_RadSpec!$F$14*(AK14*$B34))</f>
        <v>8.6797837500000006E-4</v>
      </c>
      <c r="AL34" s="94">
        <f>IF(L34=".",".",s_RadSpec!$F$14*(AL14*$B34))</f>
        <v>8.6797837500000006E-4</v>
      </c>
      <c r="AM34" s="94">
        <f>IF(M34=".",".",s_RadSpec!$F$14*(AM14*$B34))</f>
        <v>8.6797837500000006E-4</v>
      </c>
      <c r="AN34" s="94">
        <f>IF(N34=".",".",s_RadSpec!$F$14*(AN14*$B34))</f>
        <v>8.6797837500000006E-4</v>
      </c>
      <c r="AO34" s="94">
        <f>IF(O34=".",".",s_RadSpec!$F$14*(AO14*$B34))</f>
        <v>8.6797837500000006E-4</v>
      </c>
      <c r="AP34" s="94">
        <f>IF(P34=".",".",s_RadSpec!$F$14*(AP14*$B34))</f>
        <v>8.6797837500000006E-4</v>
      </c>
      <c r="AQ34" s="94">
        <f>IF(Q34=".",".",s_RadSpec!$F$14*(AQ14*$B34))</f>
        <v>8.6797837500000006E-4</v>
      </c>
      <c r="AR34" s="94">
        <f>IF(R34=".",".",s_RadSpec!$F$14*(AR14*$B34))</f>
        <v>8.6797837500000006E-4</v>
      </c>
      <c r="AS34" s="94">
        <f>IF(S34=".",".",s_RadSpec!$F$14*(AS14*$B34))</f>
        <v>8.6797837500000006E-4</v>
      </c>
      <c r="AT34" s="94">
        <f>IF(T34=".",".",s_RadSpec!$F$14*(AT14*$B34))</f>
        <v>8.6797837500000006E-4</v>
      </c>
      <c r="AU34" s="94">
        <f>IF(U34=".",".",s_RadSpec!$F$14*(AU14*$B34))</f>
        <v>8.6797837500000006E-4</v>
      </c>
      <c r="AV34" s="94">
        <f>IF(V34=".",".",s_RadSpec!$F$14*(AV14*$B34))</f>
        <v>8.6797837500000006E-4</v>
      </c>
      <c r="AW34" s="94">
        <f>IF(W34=".",".",s_RadSpec!$F$14*(AW14*$B34))</f>
        <v>8.6797837500000006E-4</v>
      </c>
      <c r="AX34" s="94">
        <f>IF(X34=".",".",s_RadSpec!$F$14*(AX14*$B34))</f>
        <v>8.6797837500000006E-4</v>
      </c>
      <c r="AY34" s="94">
        <f>IF(Y34=".",".",s_RadSpec!$F$14*(AY14*$B34))</f>
        <v>8.6797837500000006E-4</v>
      </c>
      <c r="AZ34" s="94">
        <f>IF(Z34=".",".",s_RadSpec!$F$14*(AZ14*$B34))</f>
        <v>8.6797837500000006E-4</v>
      </c>
      <c r="BA34" s="94">
        <f>IF(AA34=".",".",s_RadSpec!$F$14*(BA14*$B34))</f>
        <v>8.6797837500000006E-4</v>
      </c>
      <c r="BB34" s="94">
        <f>IF(AB34=".",".",s_RadSpec!$F$14*(BB14*$B34))</f>
        <v>8.6797837500000006E-4</v>
      </c>
      <c r="BC34" s="60">
        <f t="shared" si="13"/>
        <v>7200.6402233235358</v>
      </c>
      <c r="BD34" s="60">
        <f t="shared" si="13"/>
        <v>28802.560893294147</v>
      </c>
      <c r="BE34" s="60">
        <f t="shared" si="13"/>
        <v>28802.560893294147</v>
      </c>
      <c r="BF34" s="60">
        <f t="shared" si="13"/>
        <v>28802.560893294147</v>
      </c>
      <c r="BG34" s="60">
        <f t="shared" si="13"/>
        <v>28802.560893294147</v>
      </c>
      <c r="BH34" s="60">
        <f t="shared" si="13"/>
        <v>28802.560893294147</v>
      </c>
      <c r="BI34" s="60">
        <f t="shared" si="13"/>
        <v>28802.560893294147</v>
      </c>
      <c r="BJ34" s="60">
        <f t="shared" si="13"/>
        <v>28802.560893294147</v>
      </c>
      <c r="BK34" s="60">
        <f t="shared" si="13"/>
        <v>28802.560893294147</v>
      </c>
      <c r="BL34" s="60">
        <f t="shared" si="13"/>
        <v>28802.560893294147</v>
      </c>
      <c r="BM34" s="60">
        <f t="shared" si="13"/>
        <v>28802.560893294147</v>
      </c>
      <c r="BN34" s="60">
        <f t="shared" si="13"/>
        <v>28802.560893294147</v>
      </c>
      <c r="BO34" s="60">
        <f t="shared" si="13"/>
        <v>28802.560893294147</v>
      </c>
      <c r="BP34" s="60">
        <f t="shared" si="13"/>
        <v>28802.560893294147</v>
      </c>
      <c r="BQ34" s="60">
        <f t="shared" si="13"/>
        <v>28802.560893294147</v>
      </c>
      <c r="BR34" s="60">
        <f t="shared" si="13"/>
        <v>28802.560893294147</v>
      </c>
      <c r="BS34" s="60">
        <f t="shared" si="13"/>
        <v>28802.560893294147</v>
      </c>
      <c r="BT34" s="60">
        <f t="shared" si="13"/>
        <v>28802.560893294147</v>
      </c>
      <c r="BU34" s="60">
        <f t="shared" si="13"/>
        <v>28802.560893294147</v>
      </c>
      <c r="BV34" s="60">
        <f t="shared" si="13"/>
        <v>28802.560893294147</v>
      </c>
      <c r="BW34" s="60">
        <f t="shared" si="13"/>
        <v>28802.560893294147</v>
      </c>
      <c r="BX34" s="60">
        <f t="shared" si="13"/>
        <v>28802.560893294147</v>
      </c>
      <c r="BY34" s="60">
        <f t="shared" si="13"/>
        <v>28802.560893294147</v>
      </c>
      <c r="BZ34" s="60">
        <f t="shared" si="13"/>
        <v>28802.560893294147</v>
      </c>
      <c r="CA34" s="60">
        <f t="shared" si="13"/>
        <v>28802.560893294147</v>
      </c>
      <c r="CB34" s="60">
        <f t="shared" si="13"/>
        <v>28802.560893294147</v>
      </c>
      <c r="CC34" s="94">
        <f t="shared" si="11"/>
        <v>3.4719135000000003E-3</v>
      </c>
      <c r="CD34" s="94">
        <f>IF(BD34=".",".",s_RadSpec!$F$14*(CD14*$B34))</f>
        <v>8.6797837500000006E-4</v>
      </c>
      <c r="CE34" s="94">
        <f>IF(BE34=".",".",s_RadSpec!$F$14*(CE14*$B34))</f>
        <v>8.6797837500000006E-4</v>
      </c>
      <c r="CF34" s="94">
        <f>IF(BF34=".",".",s_RadSpec!$F$14*(CF14*$B34))</f>
        <v>8.6797837500000006E-4</v>
      </c>
      <c r="CG34" s="94">
        <f>IF(BG34=".",".",s_RadSpec!$F$14*(CG14*$B34))</f>
        <v>8.6797837500000006E-4</v>
      </c>
      <c r="CH34" s="94">
        <f>IF(BH34=".",".",s_RadSpec!$F$14*(CH14*$B34))</f>
        <v>8.6797837500000006E-4</v>
      </c>
      <c r="CI34" s="94">
        <f>IF(BI34=".",".",s_RadSpec!$F$14*(CI14*$B34))</f>
        <v>8.6797837500000006E-4</v>
      </c>
      <c r="CJ34" s="94">
        <f>IF(BJ34=".",".",s_RadSpec!$F$14*(CJ14*$B34))</f>
        <v>8.6797837500000006E-4</v>
      </c>
      <c r="CK34" s="94">
        <f>IF(BK34=".",".",s_RadSpec!$F$14*(CK14*$B34))</f>
        <v>8.6797837500000006E-4</v>
      </c>
      <c r="CL34" s="94">
        <f>IF(BL34=".",".",s_RadSpec!$F$14*(CL14*$B34))</f>
        <v>8.6797837500000006E-4</v>
      </c>
      <c r="CM34" s="94">
        <f>IF(BM34=".",".",s_RadSpec!$F$14*(CM14*$B34))</f>
        <v>8.6797837500000006E-4</v>
      </c>
      <c r="CN34" s="94">
        <f>IF(BN34=".",".",s_RadSpec!$F$14*(CN14*$B34))</f>
        <v>8.6797837500000006E-4</v>
      </c>
      <c r="CO34" s="94">
        <f>IF(BO34=".",".",s_RadSpec!$F$14*(CO14*$B34))</f>
        <v>8.6797837500000006E-4</v>
      </c>
      <c r="CP34" s="94">
        <f>IF(BP34=".",".",s_RadSpec!$F$14*(CP14*$B34))</f>
        <v>8.6797837500000006E-4</v>
      </c>
      <c r="CQ34" s="94">
        <f>IF(BQ34=".",".",s_RadSpec!$F$14*(CQ14*$B34))</f>
        <v>8.6797837500000006E-4</v>
      </c>
      <c r="CR34" s="94">
        <f>IF(BR34=".",".",s_RadSpec!$F$14*(CR14*$B34))</f>
        <v>8.6797837500000006E-4</v>
      </c>
      <c r="CS34" s="94">
        <f>IF(BS34=".",".",s_RadSpec!$F$14*(CS14*$B34))</f>
        <v>8.6797837500000006E-4</v>
      </c>
      <c r="CT34" s="94">
        <f>IF(BT34=".",".",s_RadSpec!$F$14*(CT14*$B34))</f>
        <v>8.6797837500000006E-4</v>
      </c>
      <c r="CU34" s="94">
        <f>IF(BU34=".",".",s_RadSpec!$F$14*(CU14*$B34))</f>
        <v>8.6797837500000006E-4</v>
      </c>
      <c r="CV34" s="94">
        <f>IF(BV34=".",".",s_RadSpec!$F$14*(CV14*$B34))</f>
        <v>8.6797837500000006E-4</v>
      </c>
      <c r="CW34" s="94">
        <f>IF(BW34=".",".",s_RadSpec!$F$14*(CW14*$B34))</f>
        <v>8.6797837500000006E-4</v>
      </c>
      <c r="CX34" s="94">
        <f>IF(BX34=".",".",s_RadSpec!$F$14*(CX14*$B34))</f>
        <v>8.6797837500000006E-4</v>
      </c>
      <c r="CY34" s="94">
        <f>IF(BY34=".",".",s_RadSpec!$F$14*(CY14*$B34))</f>
        <v>8.6797837500000006E-4</v>
      </c>
      <c r="CZ34" s="94">
        <f>IF(BZ34=".",".",s_RadSpec!$F$14*(CZ14*$B34))</f>
        <v>8.6797837500000006E-4</v>
      </c>
      <c r="DA34" s="94">
        <f>IF(CA34=".",".",s_RadSpec!$F$14*(DA14*$B34))</f>
        <v>8.6797837500000006E-4</v>
      </c>
      <c r="DB34" s="94">
        <f>IF(CB34=".",".",s_RadSpec!$F$14*(DB14*$B34))</f>
        <v>8.6797837500000006E-4</v>
      </c>
    </row>
    <row r="35" spans="1:106" x14ac:dyDescent="0.25">
      <c r="A35" s="77" t="s">
        <v>1063</v>
      </c>
      <c r="B35" s="42">
        <v>1</v>
      </c>
      <c r="C35" s="60">
        <f t="shared" ref="C35:AB35" si="14">IFERROR(C30/$B35,".")</f>
        <v>194.15057590083828</v>
      </c>
      <c r="D35" s="60">
        <f t="shared" si="14"/>
        <v>1023.5484464543297</v>
      </c>
      <c r="E35" s="60">
        <f t="shared" si="14"/>
        <v>443.02843204739634</v>
      </c>
      <c r="F35" s="60">
        <f t="shared" si="14"/>
        <v>677.6918937711315</v>
      </c>
      <c r="G35" s="60">
        <f t="shared" si="14"/>
        <v>1023.5484464543297</v>
      </c>
      <c r="H35" s="60">
        <f t="shared" si="14"/>
        <v>520.75271837150103</v>
      </c>
      <c r="I35" s="60">
        <f t="shared" si="14"/>
        <v>443.02843204739634</v>
      </c>
      <c r="J35" s="60">
        <f t="shared" si="14"/>
        <v>677.6918937711315</v>
      </c>
      <c r="K35" s="60">
        <f t="shared" si="14"/>
        <v>1023.5484464543297</v>
      </c>
      <c r="L35" s="60">
        <f t="shared" si="14"/>
        <v>520.75271837150103</v>
      </c>
      <c r="M35" s="60">
        <f t="shared" si="14"/>
        <v>520.75271837150103</v>
      </c>
      <c r="N35" s="60">
        <f t="shared" si="14"/>
        <v>443.02843204739634</v>
      </c>
      <c r="O35" s="60">
        <f t="shared" si="14"/>
        <v>945.31544417756561</v>
      </c>
      <c r="P35" s="60">
        <f t="shared" si="14"/>
        <v>520.75271837150103</v>
      </c>
      <c r="Q35" s="60">
        <f t="shared" si="14"/>
        <v>677.6918937711315</v>
      </c>
      <c r="R35" s="60">
        <f t="shared" si="14"/>
        <v>1023.5484464543297</v>
      </c>
      <c r="S35" s="60">
        <f t="shared" si="14"/>
        <v>1023.5484464543297</v>
      </c>
      <c r="T35" s="60">
        <f t="shared" si="14"/>
        <v>945.31544417756561</v>
      </c>
      <c r="U35" s="60">
        <f t="shared" si="14"/>
        <v>520.75271837150103</v>
      </c>
      <c r="V35" s="60">
        <f t="shared" si="14"/>
        <v>802.24067424798807</v>
      </c>
      <c r="W35" s="60">
        <f t="shared" si="14"/>
        <v>520.75271837150103</v>
      </c>
      <c r="X35" s="60">
        <f t="shared" si="14"/>
        <v>945.31544417756561</v>
      </c>
      <c r="Y35" s="60">
        <f t="shared" si="14"/>
        <v>1023.5484464543297</v>
      </c>
      <c r="Z35" s="60">
        <f t="shared" si="14"/>
        <v>520.75271837150103</v>
      </c>
      <c r="AA35" s="60">
        <f t="shared" si="14"/>
        <v>1079.9281433157082</v>
      </c>
      <c r="AB35" s="60">
        <f t="shared" si="14"/>
        <v>753.37322200953201</v>
      </c>
      <c r="AC35" s="94">
        <f t="shared" si="9"/>
        <v>0.12876603576374998</v>
      </c>
      <c r="AD35" s="94">
        <f>IF(D35=".",".",s_RadSpec!$F$30*(AD30*$B35))</f>
        <v>2.4424833124999996E-2</v>
      </c>
      <c r="AE35" s="94">
        <f>IF(E35=".",".",s_RadSpec!$F$30*(AE30*$B35))</f>
        <v>5.6429786875000006E-2</v>
      </c>
      <c r="AF35" s="94">
        <f>IF(F35=".",".",s_RadSpec!$F$30*(AF30*$B35))</f>
        <v>3.6889920375000003E-2</v>
      </c>
      <c r="AG35" s="94">
        <f>IF(G35=".",".",s_RadSpec!$F$30*(AG30*$B35))</f>
        <v>2.4424833124999996E-2</v>
      </c>
      <c r="AH35" s="94">
        <f>IF(H35=".",".",s_RadSpec!$F$30*(AH30*$B35))</f>
        <v>4.8007430624999993E-2</v>
      </c>
      <c r="AI35" s="94">
        <f>IF(I35=".",".",s_RadSpec!$F$30*(AI30*$B35))</f>
        <v>5.6429786875000006E-2</v>
      </c>
      <c r="AJ35" s="94">
        <f>IF(J35=".",".",s_RadSpec!$F$30*(AJ30*$B35))</f>
        <v>3.6889920375000003E-2</v>
      </c>
      <c r="AK35" s="94">
        <f>IF(K35=".",".",s_RadSpec!$F$30*(AK30*$B35))</f>
        <v>2.4424833124999996E-2</v>
      </c>
      <c r="AL35" s="94">
        <f>IF(L35=".",".",s_RadSpec!$F$30*(AL30*$B35))</f>
        <v>4.8007430624999993E-2</v>
      </c>
      <c r="AM35" s="94">
        <f>IF(M35=".",".",s_RadSpec!$F$30*(AM30*$B35))</f>
        <v>4.8007430624999993E-2</v>
      </c>
      <c r="AN35" s="94">
        <f>IF(N35=".",".",s_RadSpec!$F$30*(AN30*$B35))</f>
        <v>5.6429786875000006E-2</v>
      </c>
      <c r="AO35" s="94">
        <f>IF(O35=".",".",s_RadSpec!$F$30*(AO30*$B35))</f>
        <v>2.6446198624999993E-2</v>
      </c>
      <c r="AP35" s="94">
        <f>IF(P35=".",".",s_RadSpec!$F$30*(AP30*$B35))</f>
        <v>4.8007430624999993E-2</v>
      </c>
      <c r="AQ35" s="94">
        <f>IF(Q35=".",".",s_RadSpec!$F$30*(AQ30*$B35))</f>
        <v>3.6889920375000003E-2</v>
      </c>
      <c r="AR35" s="94">
        <f>IF(R35=".",".",s_RadSpec!$F$30*(AR30*$B35))</f>
        <v>2.4424833124999996E-2</v>
      </c>
      <c r="AS35" s="94">
        <f>IF(S35=".",".",s_RadSpec!$F$30*(AS30*$B35))</f>
        <v>2.4424833124999996E-2</v>
      </c>
      <c r="AT35" s="94">
        <f>IF(T35=".",".",s_RadSpec!$F$30*(AT30*$B35))</f>
        <v>2.6446198624999993E-2</v>
      </c>
      <c r="AU35" s="94">
        <f>IF(U35=".",".",s_RadSpec!$F$30*(AU30*$B35))</f>
        <v>4.8007430624999993E-2</v>
      </c>
      <c r="AV35" s="94">
        <f>IF(V35=".",".",s_RadSpec!$F$30*(AV30*$B35))</f>
        <v>3.1162718124999999E-2</v>
      </c>
      <c r="AW35" s="94">
        <f>IF(W35=".",".",s_RadSpec!$F$30*(AW30*$B35))</f>
        <v>4.8007430624999993E-2</v>
      </c>
      <c r="AX35" s="94">
        <f>IF(X35=".",".",s_RadSpec!$F$30*(AX30*$B35))</f>
        <v>2.6446198624999993E-2</v>
      </c>
      <c r="AY35" s="94">
        <f>IF(Y35=".",".",s_RadSpec!$F$30*(AY30*$B35))</f>
        <v>2.4424833124999996E-2</v>
      </c>
      <c r="AZ35" s="94">
        <f>IF(Z35=".",".",s_RadSpec!$F$30*(AZ30*$B35))</f>
        <v>4.8007430624999993E-2</v>
      </c>
      <c r="BA35" s="94">
        <f>IF(AA35=".",".",s_RadSpec!$F$30*(BA30*$B35))</f>
        <v>2.3149688388749999E-2</v>
      </c>
      <c r="BB35" s="94">
        <f>IF(AB35=".",".",s_RadSpec!$F$30*(BB30*$B35))</f>
        <v>3.3184083624999999E-2</v>
      </c>
      <c r="BC35" s="60">
        <f t="shared" ref="BC35:CB35" si="15">IFERROR(BC30/$B35,".")</f>
        <v>194.15057590083828</v>
      </c>
      <c r="BD35" s="60">
        <f t="shared" si="15"/>
        <v>1023.5484464543297</v>
      </c>
      <c r="BE35" s="60">
        <f t="shared" si="15"/>
        <v>443.02843204739634</v>
      </c>
      <c r="BF35" s="60">
        <f t="shared" si="15"/>
        <v>677.6918937711315</v>
      </c>
      <c r="BG35" s="60">
        <f t="shared" si="15"/>
        <v>1023.5484464543297</v>
      </c>
      <c r="BH35" s="60">
        <f t="shared" si="15"/>
        <v>520.75271837150103</v>
      </c>
      <c r="BI35" s="60">
        <f t="shared" si="15"/>
        <v>443.02843204739634</v>
      </c>
      <c r="BJ35" s="60">
        <f t="shared" si="15"/>
        <v>677.6918937711315</v>
      </c>
      <c r="BK35" s="60">
        <f t="shared" si="15"/>
        <v>1023.5484464543297</v>
      </c>
      <c r="BL35" s="60">
        <f t="shared" si="15"/>
        <v>520.75271837150103</v>
      </c>
      <c r="BM35" s="60">
        <f t="shared" si="15"/>
        <v>520.75271837150103</v>
      </c>
      <c r="BN35" s="60">
        <f t="shared" si="15"/>
        <v>443.02843204739634</v>
      </c>
      <c r="BO35" s="60">
        <f t="shared" si="15"/>
        <v>945.31544417756561</v>
      </c>
      <c r="BP35" s="60">
        <f t="shared" si="15"/>
        <v>520.75271837150103</v>
      </c>
      <c r="BQ35" s="60">
        <f t="shared" si="15"/>
        <v>677.6918937711315</v>
      </c>
      <c r="BR35" s="60">
        <f t="shared" si="15"/>
        <v>1023.5484464543297</v>
      </c>
      <c r="BS35" s="60">
        <f t="shared" si="15"/>
        <v>1023.5484464543297</v>
      </c>
      <c r="BT35" s="60">
        <f t="shared" si="15"/>
        <v>945.31544417756561</v>
      </c>
      <c r="BU35" s="60">
        <f t="shared" si="15"/>
        <v>520.75271837150103</v>
      </c>
      <c r="BV35" s="60">
        <f t="shared" si="15"/>
        <v>802.24067424798807</v>
      </c>
      <c r="BW35" s="60">
        <f t="shared" si="15"/>
        <v>520.75271837150103</v>
      </c>
      <c r="BX35" s="60">
        <f t="shared" si="15"/>
        <v>945.31544417756561</v>
      </c>
      <c r="BY35" s="60">
        <f t="shared" si="15"/>
        <v>1023.5484464543297</v>
      </c>
      <c r="BZ35" s="60">
        <f t="shared" si="15"/>
        <v>520.75271837150103</v>
      </c>
      <c r="CA35" s="60">
        <f t="shared" si="15"/>
        <v>1079.9281433157082</v>
      </c>
      <c r="CB35" s="60">
        <f t="shared" si="15"/>
        <v>753.37322200953201</v>
      </c>
      <c r="CC35" s="94">
        <f t="shared" si="11"/>
        <v>0.12876603576374998</v>
      </c>
      <c r="CD35" s="94">
        <f>IF(BD35=".",".",s_RadSpec!$F$30*(CD30*$B35))</f>
        <v>2.4424833124999996E-2</v>
      </c>
      <c r="CE35" s="94">
        <f>IF(BE35=".",".",s_RadSpec!$F$30*(CE30*$B35))</f>
        <v>5.6429786875000006E-2</v>
      </c>
      <c r="CF35" s="94">
        <f>IF(BF35=".",".",s_RadSpec!$F$30*(CF30*$B35))</f>
        <v>3.6889920375000003E-2</v>
      </c>
      <c r="CG35" s="94">
        <f>IF(BG35=".",".",s_RadSpec!$F$30*(CG30*$B35))</f>
        <v>2.4424833124999996E-2</v>
      </c>
      <c r="CH35" s="94">
        <f>IF(BH35=".",".",s_RadSpec!$F$30*(CH30*$B35))</f>
        <v>4.8007430624999993E-2</v>
      </c>
      <c r="CI35" s="94">
        <f>IF(BI35=".",".",s_RadSpec!$F$30*(CI30*$B35))</f>
        <v>5.6429786875000006E-2</v>
      </c>
      <c r="CJ35" s="94">
        <f>IF(BJ35=".",".",s_RadSpec!$F$30*(CJ30*$B35))</f>
        <v>3.6889920375000003E-2</v>
      </c>
      <c r="CK35" s="94">
        <f>IF(BK35=".",".",s_RadSpec!$F$30*(CK30*$B35))</f>
        <v>2.4424833124999996E-2</v>
      </c>
      <c r="CL35" s="94">
        <f>IF(BL35=".",".",s_RadSpec!$F$30*(CL30*$B35))</f>
        <v>4.8007430624999993E-2</v>
      </c>
      <c r="CM35" s="94">
        <f>IF(BM35=".",".",s_RadSpec!$F$30*(CM30*$B35))</f>
        <v>4.8007430624999993E-2</v>
      </c>
      <c r="CN35" s="94">
        <f>IF(BN35=".",".",s_RadSpec!$F$30*(CN30*$B35))</f>
        <v>5.6429786875000006E-2</v>
      </c>
      <c r="CO35" s="94">
        <f>IF(BO35=".",".",s_RadSpec!$F$30*(CO30*$B35))</f>
        <v>2.6446198624999993E-2</v>
      </c>
      <c r="CP35" s="94">
        <f>IF(BP35=".",".",s_RadSpec!$F$30*(CP30*$B35))</f>
        <v>4.8007430624999993E-2</v>
      </c>
      <c r="CQ35" s="94">
        <f>IF(BQ35=".",".",s_RadSpec!$F$30*(CQ30*$B35))</f>
        <v>3.6889920375000003E-2</v>
      </c>
      <c r="CR35" s="94">
        <f>IF(BR35=".",".",s_RadSpec!$F$30*(CR30*$B35))</f>
        <v>2.4424833124999996E-2</v>
      </c>
      <c r="CS35" s="94">
        <f>IF(BS35=".",".",s_RadSpec!$F$30*(CS30*$B35))</f>
        <v>2.4424833124999996E-2</v>
      </c>
      <c r="CT35" s="94">
        <f>IF(BT35=".",".",s_RadSpec!$F$30*(CT30*$B35))</f>
        <v>2.6446198624999993E-2</v>
      </c>
      <c r="CU35" s="94">
        <f>IF(BU35=".",".",s_RadSpec!$F$30*(CU30*$B35))</f>
        <v>4.8007430624999993E-2</v>
      </c>
      <c r="CV35" s="94">
        <f>IF(BV35=".",".",s_RadSpec!$F$30*(CV30*$B35))</f>
        <v>3.1162718124999999E-2</v>
      </c>
      <c r="CW35" s="94">
        <f>IF(BW35=".",".",s_RadSpec!$F$30*(CW30*$B35))</f>
        <v>4.8007430624999993E-2</v>
      </c>
      <c r="CX35" s="94">
        <f>IF(BX35=".",".",s_RadSpec!$F$30*(CX30*$B35))</f>
        <v>2.6446198624999993E-2</v>
      </c>
      <c r="CY35" s="94">
        <f>IF(BY35=".",".",s_RadSpec!$F$30*(CY30*$B35))</f>
        <v>2.4424833124999996E-2</v>
      </c>
      <c r="CZ35" s="94">
        <f>IF(BZ35=".",".",s_RadSpec!$F$30*(CZ30*$B35))</f>
        <v>4.8007430624999993E-2</v>
      </c>
      <c r="DA35" s="94">
        <f>IF(CA35=".",".",s_RadSpec!$F$30*(DA30*$B35))</f>
        <v>2.3149688388749999E-2</v>
      </c>
      <c r="DB35" s="94">
        <f>IF(CB35=".",".",s_RadSpec!$F$30*(DB30*$B35))</f>
        <v>3.3184083624999999E-2</v>
      </c>
    </row>
    <row r="36" spans="1:106" x14ac:dyDescent="0.25">
      <c r="A36" s="77" t="s">
        <v>1064</v>
      </c>
      <c r="B36" s="42">
        <v>1</v>
      </c>
      <c r="C36" s="60">
        <f t="shared" ref="C36:AB36" si="16">IFERROR(C26/$B36,".")</f>
        <v>25.496804076895014</v>
      </c>
      <c r="D36" s="60">
        <f t="shared" si="16"/>
        <v>104.79186475603851</v>
      </c>
      <c r="E36" s="60">
        <f t="shared" si="16"/>
        <v>99.801775958131913</v>
      </c>
      <c r="F36" s="60">
        <f t="shared" si="16"/>
        <v>102.59343402689085</v>
      </c>
      <c r="G36" s="60">
        <f t="shared" si="16"/>
        <v>104.79186475603851</v>
      </c>
      <c r="H36" s="60">
        <f t="shared" si="16"/>
        <v>102.73712230984168</v>
      </c>
      <c r="I36" s="60">
        <f t="shared" si="16"/>
        <v>99.801775958131913</v>
      </c>
      <c r="J36" s="60">
        <f t="shared" si="16"/>
        <v>102.59343402689085</v>
      </c>
      <c r="K36" s="60">
        <f t="shared" si="16"/>
        <v>104.79186475603851</v>
      </c>
      <c r="L36" s="60">
        <f t="shared" si="16"/>
        <v>103.75432154063219</v>
      </c>
      <c r="M36" s="60">
        <f t="shared" si="16"/>
        <v>102.73712230984168</v>
      </c>
      <c r="N36" s="60">
        <f t="shared" si="16"/>
        <v>99.801775958131913</v>
      </c>
      <c r="O36" s="60">
        <f t="shared" si="16"/>
        <v>104.56779091835632</v>
      </c>
      <c r="P36" s="60">
        <f t="shared" si="16"/>
        <v>102.73712230984168</v>
      </c>
      <c r="Q36" s="60">
        <f t="shared" si="16"/>
        <v>102.59343402689085</v>
      </c>
      <c r="R36" s="60">
        <f t="shared" si="16"/>
        <v>104.79186475603851</v>
      </c>
      <c r="S36" s="60">
        <f t="shared" si="16"/>
        <v>104.79186475603851</v>
      </c>
      <c r="T36" s="60">
        <f t="shared" si="16"/>
        <v>104.56779091835632</v>
      </c>
      <c r="U36" s="60">
        <f t="shared" si="16"/>
        <v>102.73712230984168</v>
      </c>
      <c r="V36" s="60">
        <f t="shared" si="16"/>
        <v>107.08657712295906</v>
      </c>
      <c r="W36" s="60">
        <f t="shared" si="16"/>
        <v>102.73712230984168</v>
      </c>
      <c r="X36" s="60">
        <f t="shared" si="16"/>
        <v>104.56779091835632</v>
      </c>
      <c r="Y36" s="60">
        <f t="shared" si="16"/>
        <v>104.79186475603851</v>
      </c>
      <c r="Z36" s="60">
        <f t="shared" si="16"/>
        <v>102.73712230984168</v>
      </c>
      <c r="AA36" s="60">
        <f t="shared" si="16"/>
        <v>107.40015421555923</v>
      </c>
      <c r="AB36" s="60">
        <f t="shared" si="16"/>
        <v>94.043981191316618</v>
      </c>
      <c r="AC36" s="94">
        <f t="shared" si="9"/>
        <v>0.9805150451250001</v>
      </c>
      <c r="AD36" s="94">
        <f>IF(D36=".",".",s_RadSpec!$F$26*(AD26*$B36))</f>
        <v>0.23856813750000005</v>
      </c>
      <c r="AE36" s="94">
        <f>IF(E36=".",".",s_RadSpec!$F$26*(AE26*$B36))</f>
        <v>0.25049654437500002</v>
      </c>
      <c r="AF36" s="94">
        <f>IF(F36=".",".",s_RadSpec!$F$26*(AF26*$B36))</f>
        <v>0.24368031187500006</v>
      </c>
      <c r="AG36" s="94">
        <f>IF(G36=".",".",s_RadSpec!$F$26*(AG26*$B36))</f>
        <v>0.23856813750000005</v>
      </c>
      <c r="AH36" s="94">
        <f>IF(H36=".",".",s_RadSpec!$F$26*(AH26*$B36))</f>
        <v>0.24333950025000001</v>
      </c>
      <c r="AI36" s="94">
        <f>IF(I36=".",".",s_RadSpec!$F$26*(AI26*$B36))</f>
        <v>0.25049654437500002</v>
      </c>
      <c r="AJ36" s="94">
        <f>IF(J36=".",".",s_RadSpec!$F$26*(AJ26*$B36))</f>
        <v>0.24368031187500006</v>
      </c>
      <c r="AK36" s="94">
        <f>IF(K36=".",".",s_RadSpec!$F$26*(AK26*$B36))</f>
        <v>0.23856813750000005</v>
      </c>
      <c r="AL36" s="94">
        <f>IF(L36=".",".",s_RadSpec!$F$26*(AL26*$B36))</f>
        <v>0.24095381887500003</v>
      </c>
      <c r="AM36" s="94">
        <f>IF(M36=".",".",s_RadSpec!$F$26*(AM26*$B36))</f>
        <v>0.24333950025000001</v>
      </c>
      <c r="AN36" s="94">
        <f>IF(N36=".",".",s_RadSpec!$F$26*(AN26*$B36))</f>
        <v>0.25049654437500002</v>
      </c>
      <c r="AO36" s="94">
        <f>IF(O36=".",".",s_RadSpec!$F$26*(AO26*$B36))</f>
        <v>0.23907935493749996</v>
      </c>
      <c r="AP36" s="94">
        <f>IF(P36=".",".",s_RadSpec!$F$26*(AP26*$B36))</f>
        <v>0.24333950025000001</v>
      </c>
      <c r="AQ36" s="94">
        <f>IF(Q36=".",".",s_RadSpec!$F$26*(AQ26*$B36))</f>
        <v>0.24368031187500006</v>
      </c>
      <c r="AR36" s="94">
        <f>IF(R36=".",".",s_RadSpec!$F$26*(AR26*$B36))</f>
        <v>0.23856813750000005</v>
      </c>
      <c r="AS36" s="94">
        <f>IF(S36=".",".",s_RadSpec!$F$26*(AS26*$B36))</f>
        <v>0.23856813750000005</v>
      </c>
      <c r="AT36" s="94">
        <f>IF(T36=".",".",s_RadSpec!$F$26*(AT26*$B36))</f>
        <v>0.23907935493749996</v>
      </c>
      <c r="AU36" s="94">
        <f>IF(U36=".",".",s_RadSpec!$F$26*(AU26*$B36))</f>
        <v>0.24333950025000001</v>
      </c>
      <c r="AV36" s="94">
        <f>IF(V36=".",".",s_RadSpec!$F$26*(AV26*$B36))</f>
        <v>0.23345596312500003</v>
      </c>
      <c r="AW36" s="94">
        <f>IF(W36=".",".",s_RadSpec!$F$26*(AW26*$B36))</f>
        <v>0.24333950025000001</v>
      </c>
      <c r="AX36" s="94">
        <f>IF(X36=".",".",s_RadSpec!$F$26*(AX26*$B36))</f>
        <v>0.23907935493749996</v>
      </c>
      <c r="AY36" s="94">
        <f>IF(Y36=".",".",s_RadSpec!$F$26*(AY26*$B36))</f>
        <v>0.23856813750000005</v>
      </c>
      <c r="AZ36" s="94">
        <f>IF(Z36=".",".",s_RadSpec!$F$26*(AZ26*$B36))</f>
        <v>0.24333950025000001</v>
      </c>
      <c r="BA36" s="94">
        <f>IF(AA36=".",".",s_RadSpec!$F$26*(BA26*$B36))</f>
        <v>0.23277433987500001</v>
      </c>
      <c r="BB36" s="94">
        <f>IF(AB36=".",".",s_RadSpec!$F$26*(BB26*$B36))</f>
        <v>0.26583306750000002</v>
      </c>
      <c r="BC36" s="60">
        <f t="shared" ref="BC36:CB36" si="17">IFERROR(BC26/$B36,".")</f>
        <v>25.496804076895014</v>
      </c>
      <c r="BD36" s="60">
        <f t="shared" si="17"/>
        <v>104.79186475603851</v>
      </c>
      <c r="BE36" s="60">
        <f t="shared" si="17"/>
        <v>99.801775958131913</v>
      </c>
      <c r="BF36" s="60">
        <f t="shared" si="17"/>
        <v>102.59343402689085</v>
      </c>
      <c r="BG36" s="60">
        <f t="shared" si="17"/>
        <v>104.79186475603851</v>
      </c>
      <c r="BH36" s="60">
        <f t="shared" si="17"/>
        <v>102.73712230984168</v>
      </c>
      <c r="BI36" s="60">
        <f t="shared" si="17"/>
        <v>99.801775958131913</v>
      </c>
      <c r="BJ36" s="60">
        <f t="shared" si="17"/>
        <v>102.59343402689085</v>
      </c>
      <c r="BK36" s="60">
        <f t="shared" si="17"/>
        <v>104.79186475603851</v>
      </c>
      <c r="BL36" s="60">
        <f t="shared" si="17"/>
        <v>103.75432154063219</v>
      </c>
      <c r="BM36" s="60">
        <f t="shared" si="17"/>
        <v>102.73712230984168</v>
      </c>
      <c r="BN36" s="60">
        <f t="shared" si="17"/>
        <v>99.801775958131913</v>
      </c>
      <c r="BO36" s="60">
        <f t="shared" si="17"/>
        <v>104.56779091835632</v>
      </c>
      <c r="BP36" s="60">
        <f t="shared" si="17"/>
        <v>102.73712230984168</v>
      </c>
      <c r="BQ36" s="60">
        <f t="shared" si="17"/>
        <v>102.59343402689085</v>
      </c>
      <c r="BR36" s="60">
        <f t="shared" si="17"/>
        <v>104.79186475603851</v>
      </c>
      <c r="BS36" s="60">
        <f t="shared" si="17"/>
        <v>104.79186475603851</v>
      </c>
      <c r="BT36" s="60">
        <f t="shared" si="17"/>
        <v>104.56779091835632</v>
      </c>
      <c r="BU36" s="60">
        <f t="shared" si="17"/>
        <v>102.73712230984168</v>
      </c>
      <c r="BV36" s="60">
        <f t="shared" si="17"/>
        <v>107.08657712295906</v>
      </c>
      <c r="BW36" s="60">
        <f t="shared" si="17"/>
        <v>102.73712230984168</v>
      </c>
      <c r="BX36" s="60">
        <f t="shared" si="17"/>
        <v>104.56779091835632</v>
      </c>
      <c r="BY36" s="60">
        <f t="shared" si="17"/>
        <v>104.79186475603851</v>
      </c>
      <c r="BZ36" s="60">
        <f t="shared" si="17"/>
        <v>102.73712230984168</v>
      </c>
      <c r="CA36" s="60">
        <f t="shared" si="17"/>
        <v>107.40015421555923</v>
      </c>
      <c r="CB36" s="60">
        <f t="shared" si="17"/>
        <v>94.043981191316618</v>
      </c>
      <c r="CC36" s="94">
        <f t="shared" si="11"/>
        <v>0.9805150451250001</v>
      </c>
      <c r="CD36" s="94">
        <f>IF(BD36=".",".",s_RadSpec!$F$26*(CD26*$B36))</f>
        <v>0.23856813750000005</v>
      </c>
      <c r="CE36" s="94">
        <f>IF(BE36=".",".",s_RadSpec!$F$26*(CE26*$B36))</f>
        <v>0.25049654437500002</v>
      </c>
      <c r="CF36" s="94">
        <f>IF(BF36=".",".",s_RadSpec!$F$26*(CF26*$B36))</f>
        <v>0.24368031187500006</v>
      </c>
      <c r="CG36" s="94">
        <f>IF(BG36=".",".",s_RadSpec!$F$26*(CG26*$B36))</f>
        <v>0.23856813750000005</v>
      </c>
      <c r="CH36" s="94">
        <f>IF(BH36=".",".",s_RadSpec!$F$26*(CH26*$B36))</f>
        <v>0.24333950025000001</v>
      </c>
      <c r="CI36" s="94">
        <f>IF(BI36=".",".",s_RadSpec!$F$26*(CI26*$B36))</f>
        <v>0.25049654437500002</v>
      </c>
      <c r="CJ36" s="94">
        <f>IF(BJ36=".",".",s_RadSpec!$F$26*(CJ26*$B36))</f>
        <v>0.24368031187500006</v>
      </c>
      <c r="CK36" s="94">
        <f>IF(BK36=".",".",s_RadSpec!$F$26*(CK26*$B36))</f>
        <v>0.23856813750000005</v>
      </c>
      <c r="CL36" s="94">
        <f>IF(BL36=".",".",s_RadSpec!$F$26*(CL26*$B36))</f>
        <v>0.24095381887500003</v>
      </c>
      <c r="CM36" s="94">
        <f>IF(BM36=".",".",s_RadSpec!$F$26*(CM26*$B36))</f>
        <v>0.24333950025000001</v>
      </c>
      <c r="CN36" s="94">
        <f>IF(BN36=".",".",s_RadSpec!$F$26*(CN26*$B36))</f>
        <v>0.25049654437500002</v>
      </c>
      <c r="CO36" s="94">
        <f>IF(BO36=".",".",s_RadSpec!$F$26*(CO26*$B36))</f>
        <v>0.23907935493749996</v>
      </c>
      <c r="CP36" s="94">
        <f>IF(BP36=".",".",s_RadSpec!$F$26*(CP26*$B36))</f>
        <v>0.24333950025000001</v>
      </c>
      <c r="CQ36" s="94">
        <f>IF(BQ36=".",".",s_RadSpec!$F$26*(CQ26*$B36))</f>
        <v>0.24368031187500006</v>
      </c>
      <c r="CR36" s="94">
        <f>IF(BR36=".",".",s_RadSpec!$F$26*(CR26*$B36))</f>
        <v>0.23856813750000005</v>
      </c>
      <c r="CS36" s="94">
        <f>IF(BS36=".",".",s_RadSpec!$F$26*(CS26*$B36))</f>
        <v>0.23856813750000005</v>
      </c>
      <c r="CT36" s="94">
        <f>IF(BT36=".",".",s_RadSpec!$F$26*(CT26*$B36))</f>
        <v>0.23907935493749996</v>
      </c>
      <c r="CU36" s="94">
        <f>IF(BU36=".",".",s_RadSpec!$F$26*(CU26*$B36))</f>
        <v>0.24333950025000001</v>
      </c>
      <c r="CV36" s="94">
        <f>IF(BV36=".",".",s_RadSpec!$F$26*(CV26*$B36))</f>
        <v>0.23345596312500003</v>
      </c>
      <c r="CW36" s="94">
        <f>IF(BW36=".",".",s_RadSpec!$F$26*(CW26*$B36))</f>
        <v>0.24333950025000001</v>
      </c>
      <c r="CX36" s="94">
        <f>IF(BX36=".",".",s_RadSpec!$F$26*(CX26*$B36))</f>
        <v>0.23907935493749996</v>
      </c>
      <c r="CY36" s="94">
        <f>IF(BY36=".",".",s_RadSpec!$F$26*(CY26*$B36))</f>
        <v>0.23856813750000005</v>
      </c>
      <c r="CZ36" s="94">
        <f>IF(BZ36=".",".",s_RadSpec!$F$26*(CZ26*$B36))</f>
        <v>0.24333950025000001</v>
      </c>
      <c r="DA36" s="94">
        <f>IF(CA36=".",".",s_RadSpec!$F$26*(DA26*$B36))</f>
        <v>0.23277433987500001</v>
      </c>
      <c r="DB36" s="94">
        <f>IF(CB36=".",".",s_RadSpec!$F$26*(DB26*$B36))</f>
        <v>0.26583306750000002</v>
      </c>
    </row>
    <row r="37" spans="1:106" x14ac:dyDescent="0.25">
      <c r="A37" s="77" t="s">
        <v>1065</v>
      </c>
      <c r="B37" s="42">
        <v>1</v>
      </c>
      <c r="C37" s="60">
        <f t="shared" ref="C37:AB37" si="18">IFERROR(C22/$B37,".")</f>
        <v>37.96919641146571</v>
      </c>
      <c r="D37" s="60">
        <f t="shared" si="18"/>
        <v>159.74529571070701</v>
      </c>
      <c r="E37" s="60">
        <f t="shared" si="18"/>
        <v>35.923583245948471</v>
      </c>
      <c r="F37" s="60">
        <f t="shared" si="18"/>
        <v>44.958256876666042</v>
      </c>
      <c r="G37" s="60">
        <f t="shared" si="18"/>
        <v>159.74529571070701</v>
      </c>
      <c r="H37" s="60">
        <f t="shared" si="18"/>
        <v>123.08244095742999</v>
      </c>
      <c r="I37" s="60">
        <f t="shared" si="18"/>
        <v>35.923583245948471</v>
      </c>
      <c r="J37" s="60">
        <f t="shared" si="18"/>
        <v>44.958256876666042</v>
      </c>
      <c r="K37" s="60">
        <f t="shared" si="18"/>
        <v>159.74529571070701</v>
      </c>
      <c r="L37" s="60">
        <f t="shared" si="18"/>
        <v>236.10153768563615</v>
      </c>
      <c r="M37" s="60">
        <f t="shared" si="18"/>
        <v>123.08244095742999</v>
      </c>
      <c r="N37" s="60">
        <f t="shared" si="18"/>
        <v>35.923583245948471</v>
      </c>
      <c r="O37" s="60">
        <f t="shared" si="18"/>
        <v>136.50961633460417</v>
      </c>
      <c r="P37" s="60">
        <f t="shared" si="18"/>
        <v>123.08244095742999</v>
      </c>
      <c r="Q37" s="60">
        <f t="shared" si="18"/>
        <v>44.958256876666042</v>
      </c>
      <c r="R37" s="60">
        <f t="shared" si="18"/>
        <v>159.74529571070701</v>
      </c>
      <c r="S37" s="60">
        <f t="shared" si="18"/>
        <v>159.74529571070701</v>
      </c>
      <c r="T37" s="60">
        <f t="shared" si="18"/>
        <v>136.50961633460417</v>
      </c>
      <c r="U37" s="60">
        <f t="shared" si="18"/>
        <v>123.08244095742999</v>
      </c>
      <c r="V37" s="60">
        <f t="shared" si="18"/>
        <v>153.22507955924956</v>
      </c>
      <c r="W37" s="60">
        <f t="shared" si="18"/>
        <v>123.08244095742999</v>
      </c>
      <c r="X37" s="60">
        <f t="shared" si="18"/>
        <v>136.50961633460417</v>
      </c>
      <c r="Y37" s="60">
        <f t="shared" si="18"/>
        <v>159.74529571070701</v>
      </c>
      <c r="Z37" s="60">
        <f t="shared" si="18"/>
        <v>123.08244095742999</v>
      </c>
      <c r="AA37" s="60">
        <f t="shared" si="18"/>
        <v>261.23969723045337</v>
      </c>
      <c r="AB37" s="60">
        <f t="shared" si="18"/>
        <v>123.08244095742999</v>
      </c>
      <c r="AC37" s="94">
        <f t="shared" si="9"/>
        <v>0.65842847262500004</v>
      </c>
      <c r="AD37" s="94">
        <f>IF(D37=".",".",s_RadSpec!$F$22*(AD22*$B37))</f>
        <v>0.15649913125000001</v>
      </c>
      <c r="AE37" s="94">
        <f>IF(E37=".",".",s_RadSpec!$F$22*(AE22*$B37))</f>
        <v>0.69592166875000006</v>
      </c>
      <c r="AF37" s="94">
        <f>IF(F37=".",".",s_RadSpec!$F$22*(AF22*$B37))</f>
        <v>0.55607138125000011</v>
      </c>
      <c r="AG37" s="94">
        <f>IF(G37=".",".",s_RadSpec!$F$22*(AG22*$B37))</f>
        <v>0.15649913125000001</v>
      </c>
      <c r="AH37" s="94">
        <f>IF(H37=".",".",s_RadSpec!$F$22*(AH22*$B37))</f>
        <v>0.20311589375</v>
      </c>
      <c r="AI37" s="94">
        <f>IF(I37=".",".",s_RadSpec!$F$22*(AI22*$B37))</f>
        <v>0.69592166875000006</v>
      </c>
      <c r="AJ37" s="94">
        <f>IF(J37=".",".",s_RadSpec!$F$22*(AJ22*$B37))</f>
        <v>0.55607138125000011</v>
      </c>
      <c r="AK37" s="94">
        <f>IF(K37=".",".",s_RadSpec!$F$22*(AK22*$B37))</f>
        <v>0.15649913125000001</v>
      </c>
      <c r="AL37" s="94">
        <f>IF(L37=".",".",s_RadSpec!$F$22*(AL22*$B37))</f>
        <v>0.10588664625000001</v>
      </c>
      <c r="AM37" s="94">
        <f>IF(M37=".",".",s_RadSpec!$F$22*(AM22*$B37))</f>
        <v>0.20311589375</v>
      </c>
      <c r="AN37" s="94">
        <f>IF(N37=".",".",s_RadSpec!$F$22*(AN22*$B37))</f>
        <v>0.69592166875000006</v>
      </c>
      <c r="AO37" s="94">
        <f>IF(O37=".",".",s_RadSpec!$F$22*(AO22*$B37))</f>
        <v>0.18313728125000003</v>
      </c>
      <c r="AP37" s="94">
        <f>IF(P37=".",".",s_RadSpec!$F$22*(AP22*$B37))</f>
        <v>0.20311589375</v>
      </c>
      <c r="AQ37" s="94">
        <f>IF(Q37=".",".",s_RadSpec!$F$22*(AQ22*$B37))</f>
        <v>0.55607138125000011</v>
      </c>
      <c r="AR37" s="94">
        <f>IF(R37=".",".",s_RadSpec!$F$22*(AR22*$B37))</f>
        <v>0.15649913125000001</v>
      </c>
      <c r="AS37" s="94">
        <f>IF(S37=".",".",s_RadSpec!$F$22*(AS22*$B37))</f>
        <v>0.15649913125000001</v>
      </c>
      <c r="AT37" s="94">
        <f>IF(T37=".",".",s_RadSpec!$F$22*(AT22*$B37))</f>
        <v>0.18313728125000003</v>
      </c>
      <c r="AU37" s="94">
        <f>IF(U37=".",".",s_RadSpec!$F$22*(AU22*$B37))</f>
        <v>0.20311589375</v>
      </c>
      <c r="AV37" s="94">
        <f>IF(V37=".",".",s_RadSpec!$F$22*(AV22*$B37))</f>
        <v>0.16315866875000001</v>
      </c>
      <c r="AW37" s="94">
        <f>IF(W37=".",".",s_RadSpec!$F$22*(AW22*$B37))</f>
        <v>0.20311589375</v>
      </c>
      <c r="AX37" s="94">
        <f>IF(X37=".",".",s_RadSpec!$F$22*(AX22*$B37))</f>
        <v>0.18313728125000003</v>
      </c>
      <c r="AY37" s="94">
        <f>IF(Y37=".",".",s_RadSpec!$F$22*(AY22*$B37))</f>
        <v>0.15649913125000001</v>
      </c>
      <c r="AZ37" s="94">
        <f>IF(Z37=".",".",s_RadSpec!$F$22*(AZ22*$B37))</f>
        <v>0.20311589375</v>
      </c>
      <c r="BA37" s="94">
        <f>IF(AA37=".",".",s_RadSpec!$F$22*(BA22*$B37))</f>
        <v>9.5697553875000008E-2</v>
      </c>
      <c r="BB37" s="94">
        <f>IF(AB37=".",".",s_RadSpec!$F$22*(BB22*$B37))</f>
        <v>0.20311589375</v>
      </c>
      <c r="BC37" s="60">
        <f t="shared" ref="BC37:CB37" si="19">IFERROR(BC22/$B37,".")</f>
        <v>37.96919641146571</v>
      </c>
      <c r="BD37" s="60">
        <f t="shared" si="19"/>
        <v>159.74529571070701</v>
      </c>
      <c r="BE37" s="60">
        <f t="shared" si="19"/>
        <v>35.923583245948471</v>
      </c>
      <c r="BF37" s="60">
        <f t="shared" si="19"/>
        <v>44.958256876666042</v>
      </c>
      <c r="BG37" s="60">
        <f t="shared" si="19"/>
        <v>159.74529571070701</v>
      </c>
      <c r="BH37" s="60">
        <f t="shared" si="19"/>
        <v>123.08244095742999</v>
      </c>
      <c r="BI37" s="60">
        <f t="shared" si="19"/>
        <v>35.923583245948471</v>
      </c>
      <c r="BJ37" s="60">
        <f t="shared" si="19"/>
        <v>44.958256876666042</v>
      </c>
      <c r="BK37" s="60">
        <f t="shared" si="19"/>
        <v>159.74529571070701</v>
      </c>
      <c r="BL37" s="60">
        <f t="shared" si="19"/>
        <v>236.10153768563615</v>
      </c>
      <c r="BM37" s="60">
        <f t="shared" si="19"/>
        <v>123.08244095742999</v>
      </c>
      <c r="BN37" s="60">
        <f t="shared" si="19"/>
        <v>35.923583245948471</v>
      </c>
      <c r="BO37" s="60">
        <f t="shared" si="19"/>
        <v>136.50961633460417</v>
      </c>
      <c r="BP37" s="60">
        <f t="shared" si="19"/>
        <v>123.08244095742999</v>
      </c>
      <c r="BQ37" s="60">
        <f t="shared" si="19"/>
        <v>44.958256876666042</v>
      </c>
      <c r="BR37" s="60">
        <f t="shared" si="19"/>
        <v>159.74529571070701</v>
      </c>
      <c r="BS37" s="60">
        <f t="shared" si="19"/>
        <v>159.74529571070701</v>
      </c>
      <c r="BT37" s="60">
        <f t="shared" si="19"/>
        <v>136.50961633460417</v>
      </c>
      <c r="BU37" s="60">
        <f t="shared" si="19"/>
        <v>123.08244095742999</v>
      </c>
      <c r="BV37" s="60">
        <f t="shared" si="19"/>
        <v>153.22507955924956</v>
      </c>
      <c r="BW37" s="60">
        <f t="shared" si="19"/>
        <v>123.08244095742999</v>
      </c>
      <c r="BX37" s="60">
        <f t="shared" si="19"/>
        <v>136.50961633460417</v>
      </c>
      <c r="BY37" s="60">
        <f t="shared" si="19"/>
        <v>159.74529571070701</v>
      </c>
      <c r="BZ37" s="60">
        <f t="shared" si="19"/>
        <v>123.08244095742999</v>
      </c>
      <c r="CA37" s="60">
        <f t="shared" si="19"/>
        <v>261.23969723045337</v>
      </c>
      <c r="CB37" s="60">
        <f t="shared" si="19"/>
        <v>123.08244095742999</v>
      </c>
      <c r="CC37" s="94">
        <f t="shared" si="11"/>
        <v>0.65842847262500004</v>
      </c>
      <c r="CD37" s="94">
        <f>IF(BD37=".",".",s_RadSpec!$F$22*(CD22*$B37))</f>
        <v>0.15649913125000001</v>
      </c>
      <c r="CE37" s="94">
        <f>IF(BE37=".",".",s_RadSpec!$F$22*(CE22*$B37))</f>
        <v>0.69592166875000006</v>
      </c>
      <c r="CF37" s="94">
        <f>IF(BF37=".",".",s_RadSpec!$F$22*(CF22*$B37))</f>
        <v>0.55607138125000011</v>
      </c>
      <c r="CG37" s="94">
        <f>IF(BG37=".",".",s_RadSpec!$F$22*(CG22*$B37))</f>
        <v>0.15649913125000001</v>
      </c>
      <c r="CH37" s="94">
        <f>IF(BH37=".",".",s_RadSpec!$F$22*(CH22*$B37))</f>
        <v>0.20311589375</v>
      </c>
      <c r="CI37" s="94">
        <f>IF(BI37=".",".",s_RadSpec!$F$22*(CI22*$B37))</f>
        <v>0.69592166875000006</v>
      </c>
      <c r="CJ37" s="94">
        <f>IF(BJ37=".",".",s_RadSpec!$F$22*(CJ22*$B37))</f>
        <v>0.55607138125000011</v>
      </c>
      <c r="CK37" s="94">
        <f>IF(BK37=".",".",s_RadSpec!$F$22*(CK22*$B37))</f>
        <v>0.15649913125000001</v>
      </c>
      <c r="CL37" s="94">
        <f>IF(BL37=".",".",s_RadSpec!$F$22*(CL22*$B37))</f>
        <v>0.10588664625000001</v>
      </c>
      <c r="CM37" s="94">
        <f>IF(BM37=".",".",s_RadSpec!$F$22*(CM22*$B37))</f>
        <v>0.20311589375</v>
      </c>
      <c r="CN37" s="94">
        <f>IF(BN37=".",".",s_RadSpec!$F$22*(CN22*$B37))</f>
        <v>0.69592166875000006</v>
      </c>
      <c r="CO37" s="94">
        <f>IF(BO37=".",".",s_RadSpec!$F$22*(CO22*$B37))</f>
        <v>0.18313728125000003</v>
      </c>
      <c r="CP37" s="94">
        <f>IF(BP37=".",".",s_RadSpec!$F$22*(CP22*$B37))</f>
        <v>0.20311589375</v>
      </c>
      <c r="CQ37" s="94">
        <f>IF(BQ37=".",".",s_RadSpec!$F$22*(CQ22*$B37))</f>
        <v>0.55607138125000011</v>
      </c>
      <c r="CR37" s="94">
        <f>IF(BR37=".",".",s_RadSpec!$F$22*(CR22*$B37))</f>
        <v>0.15649913125000001</v>
      </c>
      <c r="CS37" s="94">
        <f>IF(BS37=".",".",s_RadSpec!$F$22*(CS22*$B37))</f>
        <v>0.15649913125000001</v>
      </c>
      <c r="CT37" s="94">
        <f>IF(BT37=".",".",s_RadSpec!$F$22*(CT22*$B37))</f>
        <v>0.18313728125000003</v>
      </c>
      <c r="CU37" s="94">
        <f>IF(BU37=".",".",s_RadSpec!$F$22*(CU22*$B37))</f>
        <v>0.20311589375</v>
      </c>
      <c r="CV37" s="94">
        <f>IF(BV37=".",".",s_RadSpec!$F$22*(CV22*$B37))</f>
        <v>0.16315866875000001</v>
      </c>
      <c r="CW37" s="94">
        <f>IF(BW37=".",".",s_RadSpec!$F$22*(CW22*$B37))</f>
        <v>0.20311589375</v>
      </c>
      <c r="CX37" s="94">
        <f>IF(BX37=".",".",s_RadSpec!$F$22*(CX22*$B37))</f>
        <v>0.18313728125000003</v>
      </c>
      <c r="CY37" s="94">
        <f>IF(BY37=".",".",s_RadSpec!$F$22*(CY22*$B37))</f>
        <v>0.15649913125000001</v>
      </c>
      <c r="CZ37" s="94">
        <f>IF(BZ37=".",".",s_RadSpec!$F$22*(CZ22*$B37))</f>
        <v>0.20311589375</v>
      </c>
      <c r="DA37" s="94">
        <f>IF(CA37=".",".",s_RadSpec!$F$22*(DA22*$B37))</f>
        <v>9.5697553875000008E-2</v>
      </c>
      <c r="DB37" s="94">
        <f>IF(CB37=".",".",s_RadSpec!$F$22*(DB22*$B37))</f>
        <v>0.20311589375</v>
      </c>
    </row>
    <row r="38" spans="1:106" x14ac:dyDescent="0.25">
      <c r="A38" s="77" t="s">
        <v>1066</v>
      </c>
      <c r="B38" s="42">
        <v>1</v>
      </c>
      <c r="C38" s="60">
        <f t="shared" ref="C38:AB38" si="20">IFERROR(C2/$B38,".")</f>
        <v>294.53927570052889</v>
      </c>
      <c r="D38" s="60">
        <f t="shared" si="20"/>
        <v>1178.1571028021156</v>
      </c>
      <c r="E38" s="60">
        <f t="shared" si="20"/>
        <v>1178.1571028021156</v>
      </c>
      <c r="F38" s="60">
        <f t="shared" si="20"/>
        <v>1178.1571028021156</v>
      </c>
      <c r="G38" s="60">
        <f t="shared" si="20"/>
        <v>1178.1571028021156</v>
      </c>
      <c r="H38" s="60">
        <f t="shared" si="20"/>
        <v>1178.1571028021156</v>
      </c>
      <c r="I38" s="60">
        <f t="shared" si="20"/>
        <v>1178.1571028021156</v>
      </c>
      <c r="J38" s="60">
        <f t="shared" si="20"/>
        <v>1178.1571028021156</v>
      </c>
      <c r="K38" s="60">
        <f t="shared" si="20"/>
        <v>1178.1571028021156</v>
      </c>
      <c r="L38" s="60">
        <f t="shared" si="20"/>
        <v>1178.1571028021156</v>
      </c>
      <c r="M38" s="60">
        <f t="shared" si="20"/>
        <v>1178.1571028021156</v>
      </c>
      <c r="N38" s="60">
        <f t="shared" si="20"/>
        <v>1178.1571028021156</v>
      </c>
      <c r="O38" s="60">
        <f t="shared" si="20"/>
        <v>1178.1571028021156</v>
      </c>
      <c r="P38" s="60">
        <f t="shared" si="20"/>
        <v>1178.1571028021156</v>
      </c>
      <c r="Q38" s="60">
        <f t="shared" si="20"/>
        <v>1178.1571028021156</v>
      </c>
      <c r="R38" s="60">
        <f t="shared" si="20"/>
        <v>1178.1571028021156</v>
      </c>
      <c r="S38" s="60">
        <f t="shared" si="20"/>
        <v>1178.1571028021156</v>
      </c>
      <c r="T38" s="60">
        <f t="shared" si="20"/>
        <v>1178.1571028021156</v>
      </c>
      <c r="U38" s="60">
        <f t="shared" si="20"/>
        <v>1178.1571028021156</v>
      </c>
      <c r="V38" s="60">
        <f t="shared" si="20"/>
        <v>1178.1571028021156</v>
      </c>
      <c r="W38" s="60">
        <f t="shared" si="20"/>
        <v>1178.1571028021156</v>
      </c>
      <c r="X38" s="60">
        <f t="shared" si="20"/>
        <v>1178.1571028021156</v>
      </c>
      <c r="Y38" s="60">
        <f t="shared" si="20"/>
        <v>1178.1571028021156</v>
      </c>
      <c r="Z38" s="60">
        <f t="shared" si="20"/>
        <v>1178.1571028021156</v>
      </c>
      <c r="AA38" s="60">
        <f t="shared" si="20"/>
        <v>1178.1571028021156</v>
      </c>
      <c r="AB38" s="60">
        <f t="shared" si="20"/>
        <v>1178.1571028021156</v>
      </c>
      <c r="AC38" s="94">
        <f t="shared" si="9"/>
        <v>8.4878323749999998E-2</v>
      </c>
      <c r="AD38" s="94">
        <f>IF(D38=".",".",s_RadSpec!$F$2*(AD2*$B38))</f>
        <v>2.12195809375E-2</v>
      </c>
      <c r="AE38" s="94">
        <f>IF(E38=".",".",s_RadSpec!$F$2*(AE2*$B38))</f>
        <v>2.12195809375E-2</v>
      </c>
      <c r="AF38" s="94">
        <f>IF(F38=".",".",s_RadSpec!$F$2*(AF2*$B38))</f>
        <v>2.12195809375E-2</v>
      </c>
      <c r="AG38" s="94">
        <f>IF(G38=".",".",s_RadSpec!$F$2*(AG2*$B38))</f>
        <v>2.12195809375E-2</v>
      </c>
      <c r="AH38" s="94">
        <f>IF(H38=".",".",s_RadSpec!$F$2*(AH2*$B38))</f>
        <v>2.12195809375E-2</v>
      </c>
      <c r="AI38" s="94">
        <f>IF(I38=".",".",s_RadSpec!$F$2*(AI2*$B38))</f>
        <v>2.12195809375E-2</v>
      </c>
      <c r="AJ38" s="94">
        <f>IF(J38=".",".",s_RadSpec!$F$2*(AJ2*$B38))</f>
        <v>2.12195809375E-2</v>
      </c>
      <c r="AK38" s="94">
        <f>IF(K38=".",".",s_RadSpec!$F$2*(AK2*$B38))</f>
        <v>2.12195809375E-2</v>
      </c>
      <c r="AL38" s="94">
        <f>IF(L38=".",".",s_RadSpec!$F$2*(AL2*$B38))</f>
        <v>2.12195809375E-2</v>
      </c>
      <c r="AM38" s="94">
        <f>IF(M38=".",".",s_RadSpec!$F$2*(AM2*$B38))</f>
        <v>2.12195809375E-2</v>
      </c>
      <c r="AN38" s="94">
        <f>IF(N38=".",".",s_RadSpec!$F$2*(AN2*$B38))</f>
        <v>2.12195809375E-2</v>
      </c>
      <c r="AO38" s="94">
        <f>IF(O38=".",".",s_RadSpec!$F$2*(AO2*$B38))</f>
        <v>2.12195809375E-2</v>
      </c>
      <c r="AP38" s="94">
        <f>IF(P38=".",".",s_RadSpec!$F$2*(AP2*$B38))</f>
        <v>2.12195809375E-2</v>
      </c>
      <c r="AQ38" s="94">
        <f>IF(Q38=".",".",s_RadSpec!$F$2*(AQ2*$B38))</f>
        <v>2.12195809375E-2</v>
      </c>
      <c r="AR38" s="94">
        <f>IF(R38=".",".",s_RadSpec!$F$2*(AR2*$B38))</f>
        <v>2.12195809375E-2</v>
      </c>
      <c r="AS38" s="94">
        <f>IF(S38=".",".",s_RadSpec!$F$2*(AS2*$B38))</f>
        <v>2.12195809375E-2</v>
      </c>
      <c r="AT38" s="94">
        <f>IF(T38=".",".",s_RadSpec!$F$2*(AT2*$B38))</f>
        <v>2.12195809375E-2</v>
      </c>
      <c r="AU38" s="94">
        <f>IF(U38=".",".",s_RadSpec!$F$2*(AU2*$B38))</f>
        <v>2.12195809375E-2</v>
      </c>
      <c r="AV38" s="94">
        <f>IF(V38=".",".",s_RadSpec!$F$2*(AV2*$B38))</f>
        <v>2.12195809375E-2</v>
      </c>
      <c r="AW38" s="94">
        <f>IF(W38=".",".",s_RadSpec!$F$2*(AW2*$B38))</f>
        <v>2.12195809375E-2</v>
      </c>
      <c r="AX38" s="94">
        <f>IF(X38=".",".",s_RadSpec!$F$2*(AX2*$B38))</f>
        <v>2.12195809375E-2</v>
      </c>
      <c r="AY38" s="94">
        <f>IF(Y38=".",".",s_RadSpec!$F$2*(AY2*$B38))</f>
        <v>2.12195809375E-2</v>
      </c>
      <c r="AZ38" s="94">
        <f>IF(Z38=".",".",s_RadSpec!$F$2*(AZ2*$B38))</f>
        <v>2.12195809375E-2</v>
      </c>
      <c r="BA38" s="94">
        <f>IF(AA38=".",".",s_RadSpec!$F$2*(BA2*$B38))</f>
        <v>2.12195809375E-2</v>
      </c>
      <c r="BB38" s="94">
        <f>IF(AB38=".",".",s_RadSpec!$F$2*(BB2*$B38))</f>
        <v>2.12195809375E-2</v>
      </c>
      <c r="BC38" s="60">
        <f t="shared" ref="BC38:CB38" si="21">IFERROR(BC2/$B38,".")</f>
        <v>294.53927570052889</v>
      </c>
      <c r="BD38" s="60">
        <f t="shared" si="21"/>
        <v>1178.1571028021156</v>
      </c>
      <c r="BE38" s="60">
        <f t="shared" si="21"/>
        <v>1178.1571028021156</v>
      </c>
      <c r="BF38" s="60">
        <f t="shared" si="21"/>
        <v>1178.1571028021156</v>
      </c>
      <c r="BG38" s="60">
        <f t="shared" si="21"/>
        <v>1178.1571028021156</v>
      </c>
      <c r="BH38" s="60">
        <f t="shared" si="21"/>
        <v>1178.1571028021156</v>
      </c>
      <c r="BI38" s="60">
        <f t="shared" si="21"/>
        <v>1178.1571028021156</v>
      </c>
      <c r="BJ38" s="60">
        <f t="shared" si="21"/>
        <v>1178.1571028021156</v>
      </c>
      <c r="BK38" s="60">
        <f t="shared" si="21"/>
        <v>1178.1571028021156</v>
      </c>
      <c r="BL38" s="60">
        <f t="shared" si="21"/>
        <v>1178.1571028021156</v>
      </c>
      <c r="BM38" s="60">
        <f t="shared" si="21"/>
        <v>1178.1571028021156</v>
      </c>
      <c r="BN38" s="60">
        <f t="shared" si="21"/>
        <v>1178.1571028021156</v>
      </c>
      <c r="BO38" s="60">
        <f t="shared" si="21"/>
        <v>1178.1571028021156</v>
      </c>
      <c r="BP38" s="60">
        <f t="shared" si="21"/>
        <v>1178.1571028021156</v>
      </c>
      <c r="BQ38" s="60">
        <f t="shared" si="21"/>
        <v>1178.1571028021156</v>
      </c>
      <c r="BR38" s="60">
        <f t="shared" si="21"/>
        <v>1178.1571028021156</v>
      </c>
      <c r="BS38" s="60">
        <f t="shared" si="21"/>
        <v>1178.1571028021156</v>
      </c>
      <c r="BT38" s="60">
        <f t="shared" si="21"/>
        <v>1178.1571028021156</v>
      </c>
      <c r="BU38" s="60">
        <f t="shared" si="21"/>
        <v>1178.1571028021156</v>
      </c>
      <c r="BV38" s="60">
        <f t="shared" si="21"/>
        <v>1178.1571028021156</v>
      </c>
      <c r="BW38" s="60">
        <f t="shared" si="21"/>
        <v>1178.1571028021156</v>
      </c>
      <c r="BX38" s="60">
        <f t="shared" si="21"/>
        <v>1178.1571028021156</v>
      </c>
      <c r="BY38" s="60">
        <f t="shared" si="21"/>
        <v>1178.1571028021156</v>
      </c>
      <c r="BZ38" s="60">
        <f t="shared" si="21"/>
        <v>1178.1571028021156</v>
      </c>
      <c r="CA38" s="60">
        <f t="shared" si="21"/>
        <v>1178.1571028021156</v>
      </c>
      <c r="CB38" s="60">
        <f t="shared" si="21"/>
        <v>1178.1571028021156</v>
      </c>
      <c r="CC38" s="94">
        <f t="shared" si="11"/>
        <v>8.4878323749999998E-2</v>
      </c>
      <c r="CD38" s="94">
        <f>IF(BD38=".",".",s_RadSpec!$F$2*(CD2*$B38))</f>
        <v>2.12195809375E-2</v>
      </c>
      <c r="CE38" s="94">
        <f>IF(BE38=".",".",s_RadSpec!$F$2*(CE2*$B38))</f>
        <v>2.12195809375E-2</v>
      </c>
      <c r="CF38" s="94">
        <f>IF(BF38=".",".",s_RadSpec!$F$2*(CF2*$B38))</f>
        <v>2.12195809375E-2</v>
      </c>
      <c r="CG38" s="94">
        <f>IF(BG38=".",".",s_RadSpec!$F$2*(CG2*$B38))</f>
        <v>2.12195809375E-2</v>
      </c>
      <c r="CH38" s="94">
        <f>IF(BH38=".",".",s_RadSpec!$F$2*(CH2*$B38))</f>
        <v>2.12195809375E-2</v>
      </c>
      <c r="CI38" s="94">
        <f>IF(BI38=".",".",s_RadSpec!$F$2*(CI2*$B38))</f>
        <v>2.12195809375E-2</v>
      </c>
      <c r="CJ38" s="94">
        <f>IF(BJ38=".",".",s_RadSpec!$F$2*(CJ2*$B38))</f>
        <v>2.12195809375E-2</v>
      </c>
      <c r="CK38" s="94">
        <f>IF(BK38=".",".",s_RadSpec!$F$2*(CK2*$B38))</f>
        <v>2.12195809375E-2</v>
      </c>
      <c r="CL38" s="94">
        <f>IF(BL38=".",".",s_RadSpec!$F$2*(CL2*$B38))</f>
        <v>2.12195809375E-2</v>
      </c>
      <c r="CM38" s="94">
        <f>IF(BM38=".",".",s_RadSpec!$F$2*(CM2*$B38))</f>
        <v>2.12195809375E-2</v>
      </c>
      <c r="CN38" s="94">
        <f>IF(BN38=".",".",s_RadSpec!$F$2*(CN2*$B38))</f>
        <v>2.12195809375E-2</v>
      </c>
      <c r="CO38" s="94">
        <f>IF(BO38=".",".",s_RadSpec!$F$2*(CO2*$B38))</f>
        <v>2.12195809375E-2</v>
      </c>
      <c r="CP38" s="94">
        <f>IF(BP38=".",".",s_RadSpec!$F$2*(CP2*$B38))</f>
        <v>2.12195809375E-2</v>
      </c>
      <c r="CQ38" s="94">
        <f>IF(BQ38=".",".",s_RadSpec!$F$2*(CQ2*$B38))</f>
        <v>2.12195809375E-2</v>
      </c>
      <c r="CR38" s="94">
        <f>IF(BR38=".",".",s_RadSpec!$F$2*(CR2*$B38))</f>
        <v>2.12195809375E-2</v>
      </c>
      <c r="CS38" s="94">
        <f>IF(BS38=".",".",s_RadSpec!$F$2*(CS2*$B38))</f>
        <v>2.12195809375E-2</v>
      </c>
      <c r="CT38" s="94">
        <f>IF(BT38=".",".",s_RadSpec!$F$2*(CT2*$B38))</f>
        <v>2.12195809375E-2</v>
      </c>
      <c r="CU38" s="94">
        <f>IF(BU38=".",".",s_RadSpec!$F$2*(CU2*$B38))</f>
        <v>2.12195809375E-2</v>
      </c>
      <c r="CV38" s="94">
        <f>IF(BV38=".",".",s_RadSpec!$F$2*(CV2*$B38))</f>
        <v>2.12195809375E-2</v>
      </c>
      <c r="CW38" s="94">
        <f>IF(BW38=".",".",s_RadSpec!$F$2*(CW2*$B38))</f>
        <v>2.12195809375E-2</v>
      </c>
      <c r="CX38" s="94">
        <f>IF(BX38=".",".",s_RadSpec!$F$2*(CX2*$B38))</f>
        <v>2.12195809375E-2</v>
      </c>
      <c r="CY38" s="94">
        <f>IF(BY38=".",".",s_RadSpec!$F$2*(CY2*$B38))</f>
        <v>2.12195809375E-2</v>
      </c>
      <c r="CZ38" s="94">
        <f>IF(BZ38=".",".",s_RadSpec!$F$2*(CZ2*$B38))</f>
        <v>2.12195809375E-2</v>
      </c>
      <c r="DA38" s="94">
        <f>IF(CA38=".",".",s_RadSpec!$F$2*(DA2*$B38))</f>
        <v>2.12195809375E-2</v>
      </c>
      <c r="DB38" s="94">
        <f>IF(CB38=".",".",s_RadSpec!$F$2*(DB2*$B38))</f>
        <v>2.12195809375E-2</v>
      </c>
    </row>
    <row r="39" spans="1:106" x14ac:dyDescent="0.25">
      <c r="A39" s="77" t="s">
        <v>1067</v>
      </c>
      <c r="B39" s="42">
        <v>1</v>
      </c>
      <c r="C39" s="60" t="str">
        <f t="shared" ref="C39:AB39" si="22">IFERROR(C11/$B39,".")</f>
        <v>.</v>
      </c>
      <c r="D39" s="60" t="str">
        <f t="shared" si="22"/>
        <v>.</v>
      </c>
      <c r="E39" s="60" t="str">
        <f t="shared" si="22"/>
        <v>.</v>
      </c>
      <c r="F39" s="60" t="str">
        <f t="shared" si="22"/>
        <v>.</v>
      </c>
      <c r="G39" s="60" t="str">
        <f t="shared" si="22"/>
        <v>.</v>
      </c>
      <c r="H39" s="60" t="str">
        <f t="shared" si="22"/>
        <v>.</v>
      </c>
      <c r="I39" s="60" t="str">
        <f t="shared" si="22"/>
        <v>.</v>
      </c>
      <c r="J39" s="60" t="str">
        <f t="shared" si="22"/>
        <v>.</v>
      </c>
      <c r="K39" s="60" t="str">
        <f t="shared" si="22"/>
        <v>.</v>
      </c>
      <c r="L39" s="60" t="str">
        <f t="shared" si="22"/>
        <v>.</v>
      </c>
      <c r="M39" s="60" t="str">
        <f t="shared" si="22"/>
        <v>.</v>
      </c>
      <c r="N39" s="60" t="str">
        <f t="shared" si="22"/>
        <v>.</v>
      </c>
      <c r="O39" s="60" t="str">
        <f t="shared" si="22"/>
        <v>.</v>
      </c>
      <c r="P39" s="60" t="str">
        <f t="shared" si="22"/>
        <v>.</v>
      </c>
      <c r="Q39" s="60" t="str">
        <f t="shared" si="22"/>
        <v>.</v>
      </c>
      <c r="R39" s="60" t="str">
        <f t="shared" si="22"/>
        <v>.</v>
      </c>
      <c r="S39" s="60" t="str">
        <f t="shared" si="22"/>
        <v>.</v>
      </c>
      <c r="T39" s="60" t="str">
        <f t="shared" si="22"/>
        <v>.</v>
      </c>
      <c r="U39" s="60" t="str">
        <f t="shared" si="22"/>
        <v>.</v>
      </c>
      <c r="V39" s="60" t="str">
        <f t="shared" si="22"/>
        <v>.</v>
      </c>
      <c r="W39" s="60" t="str">
        <f t="shared" si="22"/>
        <v>.</v>
      </c>
      <c r="X39" s="60" t="str">
        <f t="shared" si="22"/>
        <v>.</v>
      </c>
      <c r="Y39" s="60" t="str">
        <f t="shared" si="22"/>
        <v>.</v>
      </c>
      <c r="Z39" s="60" t="str">
        <f t="shared" si="22"/>
        <v>.</v>
      </c>
      <c r="AA39" s="60" t="str">
        <f t="shared" si="22"/>
        <v>.</v>
      </c>
      <c r="AB39" s="60" t="str">
        <f t="shared" si="22"/>
        <v>.</v>
      </c>
      <c r="AC39" s="94" t="str">
        <f t="shared" si="9"/>
        <v>.</v>
      </c>
      <c r="AD39" s="94" t="str">
        <f>IF(D39=".",".",s_RadSpec!$F$11*(AD11*$B39))</f>
        <v>.</v>
      </c>
      <c r="AE39" s="94" t="str">
        <f>IF(E39=".",".",s_RadSpec!$F$11*(AE11*$B39))</f>
        <v>.</v>
      </c>
      <c r="AF39" s="94" t="str">
        <f>IF(F39=".",".",s_RadSpec!$F$11*(AF11*$B39))</f>
        <v>.</v>
      </c>
      <c r="AG39" s="94" t="str">
        <f>IF(G39=".",".",s_RadSpec!$F$11*(AG11*$B39))</f>
        <v>.</v>
      </c>
      <c r="AH39" s="94" t="str">
        <f>IF(H39=".",".",s_RadSpec!$F$11*(AH11*$B39))</f>
        <v>.</v>
      </c>
      <c r="AI39" s="94" t="str">
        <f>IF(I39=".",".",s_RadSpec!$F$11*(AI11*$B39))</f>
        <v>.</v>
      </c>
      <c r="AJ39" s="94" t="str">
        <f>IF(J39=".",".",s_RadSpec!$F$11*(AJ11*$B39))</f>
        <v>.</v>
      </c>
      <c r="AK39" s="94" t="str">
        <f>IF(K39=".",".",s_RadSpec!$F$11*(AK11*$B39))</f>
        <v>.</v>
      </c>
      <c r="AL39" s="94" t="str">
        <f>IF(L39=".",".",s_RadSpec!$F$11*(AL11*$B39))</f>
        <v>.</v>
      </c>
      <c r="AM39" s="94" t="str">
        <f>IF(M39=".",".",s_RadSpec!$F$11*(AM11*$B39))</f>
        <v>.</v>
      </c>
      <c r="AN39" s="94" t="str">
        <f>IF(N39=".",".",s_RadSpec!$F$11*(AN11*$B39))</f>
        <v>.</v>
      </c>
      <c r="AO39" s="94" t="str">
        <f>IF(O39=".",".",s_RadSpec!$F$11*(AO11*$B39))</f>
        <v>.</v>
      </c>
      <c r="AP39" s="94" t="str">
        <f>IF(P39=".",".",s_RadSpec!$F$11*(AP11*$B39))</f>
        <v>.</v>
      </c>
      <c r="AQ39" s="94" t="str">
        <f>IF(Q39=".",".",s_RadSpec!$F$11*(AQ11*$B39))</f>
        <v>.</v>
      </c>
      <c r="AR39" s="94" t="str">
        <f>IF(R39=".",".",s_RadSpec!$F$11*(AR11*$B39))</f>
        <v>.</v>
      </c>
      <c r="AS39" s="94" t="str">
        <f>IF(S39=".",".",s_RadSpec!$F$11*(AS11*$B39))</f>
        <v>.</v>
      </c>
      <c r="AT39" s="94" t="str">
        <f>IF(T39=".",".",s_RadSpec!$F$11*(AT11*$B39))</f>
        <v>.</v>
      </c>
      <c r="AU39" s="94" t="str">
        <f>IF(U39=".",".",s_RadSpec!$F$11*(AU11*$B39))</f>
        <v>.</v>
      </c>
      <c r="AV39" s="94" t="str">
        <f>IF(V39=".",".",s_RadSpec!$F$11*(AV11*$B39))</f>
        <v>.</v>
      </c>
      <c r="AW39" s="94" t="str">
        <f>IF(W39=".",".",s_RadSpec!$F$11*(AW11*$B39))</f>
        <v>.</v>
      </c>
      <c r="AX39" s="94" t="str">
        <f>IF(X39=".",".",s_RadSpec!$F$11*(AX11*$B39))</f>
        <v>.</v>
      </c>
      <c r="AY39" s="94" t="str">
        <f>IF(Y39=".",".",s_RadSpec!$F$11*(AY11*$B39))</f>
        <v>.</v>
      </c>
      <c r="AZ39" s="94" t="str">
        <f>IF(Z39=".",".",s_RadSpec!$F$11*(AZ11*$B39))</f>
        <v>.</v>
      </c>
      <c r="BA39" s="94" t="str">
        <f>IF(AA39=".",".",s_RadSpec!$F$11*(BA11*$B39))</f>
        <v>.</v>
      </c>
      <c r="BB39" s="94" t="str">
        <f>IF(AB39=".",".",s_RadSpec!$F$11*(BB11*$B39))</f>
        <v>.</v>
      </c>
      <c r="BC39" s="60" t="str">
        <f t="shared" ref="BC39:CB39" si="23">IFERROR(BC11/$B39,".")</f>
        <v>.</v>
      </c>
      <c r="BD39" s="60" t="str">
        <f t="shared" si="23"/>
        <v>.</v>
      </c>
      <c r="BE39" s="60" t="str">
        <f t="shared" si="23"/>
        <v>.</v>
      </c>
      <c r="BF39" s="60" t="str">
        <f t="shared" si="23"/>
        <v>.</v>
      </c>
      <c r="BG39" s="60" t="str">
        <f t="shared" si="23"/>
        <v>.</v>
      </c>
      <c r="BH39" s="60" t="str">
        <f t="shared" si="23"/>
        <v>.</v>
      </c>
      <c r="BI39" s="60" t="str">
        <f t="shared" si="23"/>
        <v>.</v>
      </c>
      <c r="BJ39" s="60" t="str">
        <f t="shared" si="23"/>
        <v>.</v>
      </c>
      <c r="BK39" s="60" t="str">
        <f t="shared" si="23"/>
        <v>.</v>
      </c>
      <c r="BL39" s="60" t="str">
        <f t="shared" si="23"/>
        <v>.</v>
      </c>
      <c r="BM39" s="60" t="str">
        <f t="shared" si="23"/>
        <v>.</v>
      </c>
      <c r="BN39" s="60" t="str">
        <f t="shared" si="23"/>
        <v>.</v>
      </c>
      <c r="BO39" s="60" t="str">
        <f t="shared" si="23"/>
        <v>.</v>
      </c>
      <c r="BP39" s="60" t="str">
        <f t="shared" si="23"/>
        <v>.</v>
      </c>
      <c r="BQ39" s="60" t="str">
        <f t="shared" si="23"/>
        <v>.</v>
      </c>
      <c r="BR39" s="60" t="str">
        <f t="shared" si="23"/>
        <v>.</v>
      </c>
      <c r="BS39" s="60" t="str">
        <f t="shared" si="23"/>
        <v>.</v>
      </c>
      <c r="BT39" s="60" t="str">
        <f t="shared" si="23"/>
        <v>.</v>
      </c>
      <c r="BU39" s="60" t="str">
        <f t="shared" si="23"/>
        <v>.</v>
      </c>
      <c r="BV39" s="60" t="str">
        <f t="shared" si="23"/>
        <v>.</v>
      </c>
      <c r="BW39" s="60" t="str">
        <f t="shared" si="23"/>
        <v>.</v>
      </c>
      <c r="BX39" s="60" t="str">
        <f t="shared" si="23"/>
        <v>.</v>
      </c>
      <c r="BY39" s="60" t="str">
        <f t="shared" si="23"/>
        <v>.</v>
      </c>
      <c r="BZ39" s="60" t="str">
        <f t="shared" si="23"/>
        <v>.</v>
      </c>
      <c r="CA39" s="60" t="str">
        <f t="shared" si="23"/>
        <v>.</v>
      </c>
      <c r="CB39" s="60" t="str">
        <f t="shared" si="23"/>
        <v>.</v>
      </c>
      <c r="CC39" s="94" t="str">
        <f t="shared" si="11"/>
        <v>.</v>
      </c>
      <c r="CD39" s="94" t="str">
        <f>IF(BD39=".",".",s_RadSpec!$F$11*(CD11*$B39))</f>
        <v>.</v>
      </c>
      <c r="CE39" s="94" t="str">
        <f>IF(BE39=".",".",s_RadSpec!$F$11*(CE11*$B39))</f>
        <v>.</v>
      </c>
      <c r="CF39" s="94" t="str">
        <f>IF(BF39=".",".",s_RadSpec!$F$11*(CF11*$B39))</f>
        <v>.</v>
      </c>
      <c r="CG39" s="94" t="str">
        <f>IF(BG39=".",".",s_RadSpec!$F$11*(CG11*$B39))</f>
        <v>.</v>
      </c>
      <c r="CH39" s="94" t="str">
        <f>IF(BH39=".",".",s_RadSpec!$F$11*(CH11*$B39))</f>
        <v>.</v>
      </c>
      <c r="CI39" s="94" t="str">
        <f>IF(BI39=".",".",s_RadSpec!$F$11*(CI11*$B39))</f>
        <v>.</v>
      </c>
      <c r="CJ39" s="94" t="str">
        <f>IF(BJ39=".",".",s_RadSpec!$F$11*(CJ11*$B39))</f>
        <v>.</v>
      </c>
      <c r="CK39" s="94" t="str">
        <f>IF(BK39=".",".",s_RadSpec!$F$11*(CK11*$B39))</f>
        <v>.</v>
      </c>
      <c r="CL39" s="94" t="str">
        <f>IF(BL39=".",".",s_RadSpec!$F$11*(CL11*$B39))</f>
        <v>.</v>
      </c>
      <c r="CM39" s="94" t="str">
        <f>IF(BM39=".",".",s_RadSpec!$F$11*(CM11*$B39))</f>
        <v>.</v>
      </c>
      <c r="CN39" s="94" t="str">
        <f>IF(BN39=".",".",s_RadSpec!$F$11*(CN11*$B39))</f>
        <v>.</v>
      </c>
      <c r="CO39" s="94" t="str">
        <f>IF(BO39=".",".",s_RadSpec!$F$11*(CO11*$B39))</f>
        <v>.</v>
      </c>
      <c r="CP39" s="94" t="str">
        <f>IF(BP39=".",".",s_RadSpec!$F$11*(CP11*$B39))</f>
        <v>.</v>
      </c>
      <c r="CQ39" s="94" t="str">
        <f>IF(BQ39=".",".",s_RadSpec!$F$11*(CQ11*$B39))</f>
        <v>.</v>
      </c>
      <c r="CR39" s="94" t="str">
        <f>IF(BR39=".",".",s_RadSpec!$F$11*(CR11*$B39))</f>
        <v>.</v>
      </c>
      <c r="CS39" s="94" t="str">
        <f>IF(BS39=".",".",s_RadSpec!$F$11*(CS11*$B39))</f>
        <v>.</v>
      </c>
      <c r="CT39" s="94" t="str">
        <f>IF(BT39=".",".",s_RadSpec!$F$11*(CT11*$B39))</f>
        <v>.</v>
      </c>
      <c r="CU39" s="94" t="str">
        <f>IF(BU39=".",".",s_RadSpec!$F$11*(CU11*$B39))</f>
        <v>.</v>
      </c>
      <c r="CV39" s="94" t="str">
        <f>IF(BV39=".",".",s_RadSpec!$F$11*(CV11*$B39))</f>
        <v>.</v>
      </c>
      <c r="CW39" s="94" t="str">
        <f>IF(BW39=".",".",s_RadSpec!$F$11*(CW11*$B39))</f>
        <v>.</v>
      </c>
      <c r="CX39" s="94" t="str">
        <f>IF(BX39=".",".",s_RadSpec!$F$11*(CX11*$B39))</f>
        <v>.</v>
      </c>
      <c r="CY39" s="94" t="str">
        <f>IF(BY39=".",".",s_RadSpec!$F$11*(CY11*$B39))</f>
        <v>.</v>
      </c>
      <c r="CZ39" s="94" t="str">
        <f>IF(BZ39=".",".",s_RadSpec!$F$11*(CZ11*$B39))</f>
        <v>.</v>
      </c>
      <c r="DA39" s="94" t="str">
        <f>IF(CA39=".",".",s_RadSpec!$F$11*(DA11*$B39))</f>
        <v>.</v>
      </c>
      <c r="DB39" s="94" t="str">
        <f>IF(CB39=".",".",s_RadSpec!$F$11*(DB11*$B39))</f>
        <v>.</v>
      </c>
    </row>
    <row r="40" spans="1:106" x14ac:dyDescent="0.25">
      <c r="A40" s="77" t="s">
        <v>1068</v>
      </c>
      <c r="B40" s="42">
        <v>1</v>
      </c>
      <c r="C40" s="60" t="str">
        <f t="shared" ref="C40:AB40" si="24">IFERROR(C4/$B40,".")</f>
        <v>.</v>
      </c>
      <c r="D40" s="60" t="str">
        <f t="shared" si="24"/>
        <v>.</v>
      </c>
      <c r="E40" s="60" t="str">
        <f t="shared" si="24"/>
        <v>.</v>
      </c>
      <c r="F40" s="60" t="str">
        <f t="shared" si="24"/>
        <v>.</v>
      </c>
      <c r="G40" s="60" t="str">
        <f t="shared" si="24"/>
        <v>.</v>
      </c>
      <c r="H40" s="60" t="str">
        <f t="shared" si="24"/>
        <v>.</v>
      </c>
      <c r="I40" s="60" t="str">
        <f t="shared" si="24"/>
        <v>.</v>
      </c>
      <c r="J40" s="60" t="str">
        <f t="shared" si="24"/>
        <v>.</v>
      </c>
      <c r="K40" s="60" t="str">
        <f t="shared" si="24"/>
        <v>.</v>
      </c>
      <c r="L40" s="60" t="str">
        <f t="shared" si="24"/>
        <v>.</v>
      </c>
      <c r="M40" s="60" t="str">
        <f t="shared" si="24"/>
        <v>.</v>
      </c>
      <c r="N40" s="60" t="str">
        <f t="shared" si="24"/>
        <v>.</v>
      </c>
      <c r="O40" s="60" t="str">
        <f t="shared" si="24"/>
        <v>.</v>
      </c>
      <c r="P40" s="60" t="str">
        <f t="shared" si="24"/>
        <v>.</v>
      </c>
      <c r="Q40" s="60" t="str">
        <f t="shared" si="24"/>
        <v>.</v>
      </c>
      <c r="R40" s="60" t="str">
        <f t="shared" si="24"/>
        <v>.</v>
      </c>
      <c r="S40" s="60" t="str">
        <f t="shared" si="24"/>
        <v>.</v>
      </c>
      <c r="T40" s="60" t="str">
        <f t="shared" si="24"/>
        <v>.</v>
      </c>
      <c r="U40" s="60" t="str">
        <f t="shared" si="24"/>
        <v>.</v>
      </c>
      <c r="V40" s="60" t="str">
        <f t="shared" si="24"/>
        <v>.</v>
      </c>
      <c r="W40" s="60" t="str">
        <f t="shared" si="24"/>
        <v>.</v>
      </c>
      <c r="X40" s="60" t="str">
        <f t="shared" si="24"/>
        <v>.</v>
      </c>
      <c r="Y40" s="60" t="str">
        <f t="shared" si="24"/>
        <v>.</v>
      </c>
      <c r="Z40" s="60" t="str">
        <f t="shared" si="24"/>
        <v>.</v>
      </c>
      <c r="AA40" s="60" t="str">
        <f t="shared" si="24"/>
        <v>.</v>
      </c>
      <c r="AB40" s="60" t="str">
        <f t="shared" si="24"/>
        <v>.</v>
      </c>
      <c r="AC40" s="94" t="str">
        <f t="shared" si="9"/>
        <v>.</v>
      </c>
      <c r="AD40" s="94" t="str">
        <f>IF(D40=".",".",s_RadSpec!$F$4*(AD4*$B40))</f>
        <v>.</v>
      </c>
      <c r="AE40" s="94" t="str">
        <f>IF(E40=".",".",s_RadSpec!$F$4*(AE4*$B40))</f>
        <v>.</v>
      </c>
      <c r="AF40" s="94" t="str">
        <f>IF(F40=".",".",s_RadSpec!$F$4*(AF4*$B40))</f>
        <v>.</v>
      </c>
      <c r="AG40" s="94" t="str">
        <f>IF(G40=".",".",s_RadSpec!$F$4*(AG4*$B40))</f>
        <v>.</v>
      </c>
      <c r="AH40" s="94" t="str">
        <f>IF(H40=".",".",s_RadSpec!$F$4*(AH4*$B40))</f>
        <v>.</v>
      </c>
      <c r="AI40" s="94" t="str">
        <f>IF(I40=".",".",s_RadSpec!$F$4*(AI4*$B40))</f>
        <v>.</v>
      </c>
      <c r="AJ40" s="94" t="str">
        <f>IF(J40=".",".",s_RadSpec!$F$4*(AJ4*$B40))</f>
        <v>.</v>
      </c>
      <c r="AK40" s="94" t="str">
        <f>IF(K40=".",".",s_RadSpec!$F$4*(AK4*$B40))</f>
        <v>.</v>
      </c>
      <c r="AL40" s="94" t="str">
        <f>IF(L40=".",".",s_RadSpec!$F$4*(AL4*$B40))</f>
        <v>.</v>
      </c>
      <c r="AM40" s="94" t="str">
        <f>IF(M40=".",".",s_RadSpec!$F$4*(AM4*$B40))</f>
        <v>.</v>
      </c>
      <c r="AN40" s="94" t="str">
        <f>IF(N40=".",".",s_RadSpec!$F$4*(AN4*$B40))</f>
        <v>.</v>
      </c>
      <c r="AO40" s="94" t="str">
        <f>IF(O40=".",".",s_RadSpec!$F$4*(AO4*$B40))</f>
        <v>.</v>
      </c>
      <c r="AP40" s="94" t="str">
        <f>IF(P40=".",".",s_RadSpec!$F$4*(AP4*$B40))</f>
        <v>.</v>
      </c>
      <c r="AQ40" s="94" t="str">
        <f>IF(Q40=".",".",s_RadSpec!$F$4*(AQ4*$B40))</f>
        <v>.</v>
      </c>
      <c r="AR40" s="94" t="str">
        <f>IF(R40=".",".",s_RadSpec!$F$4*(AR4*$B40))</f>
        <v>.</v>
      </c>
      <c r="AS40" s="94" t="str">
        <f>IF(S40=".",".",s_RadSpec!$F$4*(AS4*$B40))</f>
        <v>.</v>
      </c>
      <c r="AT40" s="94" t="str">
        <f>IF(T40=".",".",s_RadSpec!$F$4*(AT4*$B40))</f>
        <v>.</v>
      </c>
      <c r="AU40" s="94" t="str">
        <f>IF(U40=".",".",s_RadSpec!$F$4*(AU4*$B40))</f>
        <v>.</v>
      </c>
      <c r="AV40" s="94" t="str">
        <f>IF(V40=".",".",s_RadSpec!$F$4*(AV4*$B40))</f>
        <v>.</v>
      </c>
      <c r="AW40" s="94" t="str">
        <f>IF(W40=".",".",s_RadSpec!$F$4*(AW4*$B40))</f>
        <v>.</v>
      </c>
      <c r="AX40" s="94" t="str">
        <f>IF(X40=".",".",s_RadSpec!$F$4*(AX4*$B40))</f>
        <v>.</v>
      </c>
      <c r="AY40" s="94" t="str">
        <f>IF(Y40=".",".",s_RadSpec!$F$4*(AY4*$B40))</f>
        <v>.</v>
      </c>
      <c r="AZ40" s="94" t="str">
        <f>IF(Z40=".",".",s_RadSpec!$F$4*(AZ4*$B40))</f>
        <v>.</v>
      </c>
      <c r="BA40" s="94" t="str">
        <f>IF(AA40=".",".",s_RadSpec!$F$4*(BA4*$B40))</f>
        <v>.</v>
      </c>
      <c r="BB40" s="94" t="str">
        <f>IF(AB40=".",".",s_RadSpec!$F$4*(BB4*$B40))</f>
        <v>.</v>
      </c>
      <c r="BC40" s="60" t="str">
        <f t="shared" ref="BC40:CB40" si="25">IFERROR(BC4/$B40,".")</f>
        <v>.</v>
      </c>
      <c r="BD40" s="60" t="str">
        <f t="shared" si="25"/>
        <v>.</v>
      </c>
      <c r="BE40" s="60" t="str">
        <f t="shared" si="25"/>
        <v>.</v>
      </c>
      <c r="BF40" s="60" t="str">
        <f t="shared" si="25"/>
        <v>.</v>
      </c>
      <c r="BG40" s="60" t="str">
        <f t="shared" si="25"/>
        <v>.</v>
      </c>
      <c r="BH40" s="60" t="str">
        <f t="shared" si="25"/>
        <v>.</v>
      </c>
      <c r="BI40" s="60" t="str">
        <f t="shared" si="25"/>
        <v>.</v>
      </c>
      <c r="BJ40" s="60" t="str">
        <f t="shared" si="25"/>
        <v>.</v>
      </c>
      <c r="BK40" s="60" t="str">
        <f t="shared" si="25"/>
        <v>.</v>
      </c>
      <c r="BL40" s="60" t="str">
        <f t="shared" si="25"/>
        <v>.</v>
      </c>
      <c r="BM40" s="60" t="str">
        <f t="shared" si="25"/>
        <v>.</v>
      </c>
      <c r="BN40" s="60" t="str">
        <f t="shared" si="25"/>
        <v>.</v>
      </c>
      <c r="BO40" s="60" t="str">
        <f t="shared" si="25"/>
        <v>.</v>
      </c>
      <c r="BP40" s="60" t="str">
        <f t="shared" si="25"/>
        <v>.</v>
      </c>
      <c r="BQ40" s="60" t="str">
        <f t="shared" si="25"/>
        <v>.</v>
      </c>
      <c r="BR40" s="60" t="str">
        <f t="shared" si="25"/>
        <v>.</v>
      </c>
      <c r="BS40" s="60" t="str">
        <f t="shared" si="25"/>
        <v>.</v>
      </c>
      <c r="BT40" s="60" t="str">
        <f t="shared" si="25"/>
        <v>.</v>
      </c>
      <c r="BU40" s="60" t="str">
        <f t="shared" si="25"/>
        <v>.</v>
      </c>
      <c r="BV40" s="60" t="str">
        <f t="shared" si="25"/>
        <v>.</v>
      </c>
      <c r="BW40" s="60" t="str">
        <f t="shared" si="25"/>
        <v>.</v>
      </c>
      <c r="BX40" s="60" t="str">
        <f t="shared" si="25"/>
        <v>.</v>
      </c>
      <c r="BY40" s="60" t="str">
        <f t="shared" si="25"/>
        <v>.</v>
      </c>
      <c r="BZ40" s="60" t="str">
        <f t="shared" si="25"/>
        <v>.</v>
      </c>
      <c r="CA40" s="60" t="str">
        <f t="shared" si="25"/>
        <v>.</v>
      </c>
      <c r="CB40" s="60" t="str">
        <f t="shared" si="25"/>
        <v>.</v>
      </c>
      <c r="CC40" s="94" t="str">
        <f t="shared" si="11"/>
        <v>.</v>
      </c>
      <c r="CD40" s="94" t="str">
        <f>IF(BD40=".",".",s_RadSpec!$F$4*(CD4*$B40))</f>
        <v>.</v>
      </c>
      <c r="CE40" s="94" t="str">
        <f>IF(BE40=".",".",s_RadSpec!$F$4*(CE4*$B40))</f>
        <v>.</v>
      </c>
      <c r="CF40" s="94" t="str">
        <f>IF(BF40=".",".",s_RadSpec!$F$4*(CF4*$B40))</f>
        <v>.</v>
      </c>
      <c r="CG40" s="94" t="str">
        <f>IF(BG40=".",".",s_RadSpec!$F$4*(CG4*$B40))</f>
        <v>.</v>
      </c>
      <c r="CH40" s="94" t="str">
        <f>IF(BH40=".",".",s_RadSpec!$F$4*(CH4*$B40))</f>
        <v>.</v>
      </c>
      <c r="CI40" s="94" t="str">
        <f>IF(BI40=".",".",s_RadSpec!$F$4*(CI4*$B40))</f>
        <v>.</v>
      </c>
      <c r="CJ40" s="94" t="str">
        <f>IF(BJ40=".",".",s_RadSpec!$F$4*(CJ4*$B40))</f>
        <v>.</v>
      </c>
      <c r="CK40" s="94" t="str">
        <f>IF(BK40=".",".",s_RadSpec!$F$4*(CK4*$B40))</f>
        <v>.</v>
      </c>
      <c r="CL40" s="94" t="str">
        <f>IF(BL40=".",".",s_RadSpec!$F$4*(CL4*$B40))</f>
        <v>.</v>
      </c>
      <c r="CM40" s="94" t="str">
        <f>IF(BM40=".",".",s_RadSpec!$F$4*(CM4*$B40))</f>
        <v>.</v>
      </c>
      <c r="CN40" s="94" t="str">
        <f>IF(BN40=".",".",s_RadSpec!$F$4*(CN4*$B40))</f>
        <v>.</v>
      </c>
      <c r="CO40" s="94" t="str">
        <f>IF(BO40=".",".",s_RadSpec!$F$4*(CO4*$B40))</f>
        <v>.</v>
      </c>
      <c r="CP40" s="94" t="str">
        <f>IF(BP40=".",".",s_RadSpec!$F$4*(CP4*$B40))</f>
        <v>.</v>
      </c>
      <c r="CQ40" s="94" t="str">
        <f>IF(BQ40=".",".",s_RadSpec!$F$4*(CQ4*$B40))</f>
        <v>.</v>
      </c>
      <c r="CR40" s="94" t="str">
        <f>IF(BR40=".",".",s_RadSpec!$F$4*(CR4*$B40))</f>
        <v>.</v>
      </c>
      <c r="CS40" s="94" t="str">
        <f>IF(BS40=".",".",s_RadSpec!$F$4*(CS4*$B40))</f>
        <v>.</v>
      </c>
      <c r="CT40" s="94" t="str">
        <f>IF(BT40=".",".",s_RadSpec!$F$4*(CT4*$B40))</f>
        <v>.</v>
      </c>
      <c r="CU40" s="94" t="str">
        <f>IF(BU40=".",".",s_RadSpec!$F$4*(CU4*$B40))</f>
        <v>.</v>
      </c>
      <c r="CV40" s="94" t="str">
        <f>IF(BV40=".",".",s_RadSpec!$F$4*(CV4*$B40))</f>
        <v>.</v>
      </c>
      <c r="CW40" s="94" t="str">
        <f>IF(BW40=".",".",s_RadSpec!$F$4*(CW4*$B40))</f>
        <v>.</v>
      </c>
      <c r="CX40" s="94" t="str">
        <f>IF(BX40=".",".",s_RadSpec!$F$4*(CX4*$B40))</f>
        <v>.</v>
      </c>
      <c r="CY40" s="94" t="str">
        <f>IF(BY40=".",".",s_RadSpec!$F$4*(CY4*$B40))</f>
        <v>.</v>
      </c>
      <c r="CZ40" s="94" t="str">
        <f>IF(BZ40=".",".",s_RadSpec!$F$4*(CZ4*$B40))</f>
        <v>.</v>
      </c>
      <c r="DA40" s="94" t="str">
        <f>IF(CA40=".",".",s_RadSpec!$F$4*(DA4*$B40))</f>
        <v>.</v>
      </c>
      <c r="DB40" s="94" t="str">
        <f>IF(CB40=".",".",s_RadSpec!$F$4*(DB4*$B40))</f>
        <v>.</v>
      </c>
    </row>
    <row r="41" spans="1:106" x14ac:dyDescent="0.25">
      <c r="A41" s="77" t="s">
        <v>1069</v>
      </c>
      <c r="B41" s="78">
        <v>0.99987999999999999</v>
      </c>
      <c r="C41" s="60">
        <f t="shared" ref="C41:AB41" si="26">IFERROR(C8/$B41,".")</f>
        <v>7344.028752958412</v>
      </c>
      <c r="D41" s="60">
        <f t="shared" si="26"/>
        <v>29376.115011833652</v>
      </c>
      <c r="E41" s="60">
        <f t="shared" si="26"/>
        <v>29376.115011833652</v>
      </c>
      <c r="F41" s="60">
        <f t="shared" si="26"/>
        <v>29376.115011833652</v>
      </c>
      <c r="G41" s="60">
        <f t="shared" si="26"/>
        <v>29376.115011833652</v>
      </c>
      <c r="H41" s="60">
        <f t="shared" si="26"/>
        <v>29376.115011833652</v>
      </c>
      <c r="I41" s="60">
        <f t="shared" si="26"/>
        <v>29376.115011833652</v>
      </c>
      <c r="J41" s="60">
        <f t="shared" si="26"/>
        <v>29376.115011833652</v>
      </c>
      <c r="K41" s="60">
        <f t="shared" si="26"/>
        <v>29376.115011833652</v>
      </c>
      <c r="L41" s="60">
        <f t="shared" si="26"/>
        <v>29376.115011833652</v>
      </c>
      <c r="M41" s="60">
        <f t="shared" si="26"/>
        <v>29376.115011833652</v>
      </c>
      <c r="N41" s="60">
        <f t="shared" si="26"/>
        <v>29376.115011833652</v>
      </c>
      <c r="O41" s="60">
        <f t="shared" si="26"/>
        <v>29376.115011833652</v>
      </c>
      <c r="P41" s="60">
        <f t="shared" si="26"/>
        <v>29376.115011833652</v>
      </c>
      <c r="Q41" s="60">
        <f t="shared" si="26"/>
        <v>29376.115011833652</v>
      </c>
      <c r="R41" s="60">
        <f t="shared" si="26"/>
        <v>29376.115011833652</v>
      </c>
      <c r="S41" s="60">
        <f t="shared" si="26"/>
        <v>29376.115011833652</v>
      </c>
      <c r="T41" s="60">
        <f t="shared" si="26"/>
        <v>29376.115011833652</v>
      </c>
      <c r="U41" s="60">
        <f t="shared" si="26"/>
        <v>29376.115011833652</v>
      </c>
      <c r="V41" s="60">
        <f t="shared" si="26"/>
        <v>29376.115011833652</v>
      </c>
      <c r="W41" s="60">
        <f t="shared" si="26"/>
        <v>29376.115011833652</v>
      </c>
      <c r="X41" s="60">
        <f t="shared" si="26"/>
        <v>29376.115011833652</v>
      </c>
      <c r="Y41" s="60">
        <f t="shared" si="26"/>
        <v>29376.115011833652</v>
      </c>
      <c r="Z41" s="60">
        <f t="shared" si="26"/>
        <v>29376.115011833652</v>
      </c>
      <c r="AA41" s="60">
        <f t="shared" si="26"/>
        <v>29376.115011833652</v>
      </c>
      <c r="AB41" s="60">
        <f t="shared" si="26"/>
        <v>29376.115011833652</v>
      </c>
      <c r="AC41" s="94">
        <f t="shared" si="9"/>
        <v>3.4041261058419996E-3</v>
      </c>
      <c r="AD41" s="94">
        <f>IF(D41=".",".",s_RadSpec!$F$8*(AD8*$B41))</f>
        <v>8.510315264604999E-4</v>
      </c>
      <c r="AE41" s="94">
        <f>IF(E41=".",".",s_RadSpec!$F$8*(AE8*$B41))</f>
        <v>8.510315264604999E-4</v>
      </c>
      <c r="AF41" s="94">
        <f>IF(F41=".",".",s_RadSpec!$F$8*(AF8*$B41))</f>
        <v>8.510315264604999E-4</v>
      </c>
      <c r="AG41" s="94">
        <f>IF(G41=".",".",s_RadSpec!$F$8*(AG8*$B41))</f>
        <v>8.510315264604999E-4</v>
      </c>
      <c r="AH41" s="94">
        <f>IF(H41=".",".",s_RadSpec!$F$8*(AH8*$B41))</f>
        <v>8.510315264604999E-4</v>
      </c>
      <c r="AI41" s="94">
        <f>IF(I41=".",".",s_RadSpec!$F$8*(AI8*$B41))</f>
        <v>8.510315264604999E-4</v>
      </c>
      <c r="AJ41" s="94">
        <f>IF(J41=".",".",s_RadSpec!$F$8*(AJ8*$B41))</f>
        <v>8.510315264604999E-4</v>
      </c>
      <c r="AK41" s="94">
        <f>IF(K41=".",".",s_RadSpec!$F$8*(AK8*$B41))</f>
        <v>8.510315264604999E-4</v>
      </c>
      <c r="AL41" s="94">
        <f>IF(L41=".",".",s_RadSpec!$F$8*(AL8*$B41))</f>
        <v>8.510315264604999E-4</v>
      </c>
      <c r="AM41" s="94">
        <f>IF(M41=".",".",s_RadSpec!$F$8*(AM8*$B41))</f>
        <v>8.510315264604999E-4</v>
      </c>
      <c r="AN41" s="94">
        <f>IF(N41=".",".",s_RadSpec!$F$8*(AN8*$B41))</f>
        <v>8.510315264604999E-4</v>
      </c>
      <c r="AO41" s="94">
        <f>IF(O41=".",".",s_RadSpec!$F$8*(AO8*$B41))</f>
        <v>8.510315264604999E-4</v>
      </c>
      <c r="AP41" s="94">
        <f>IF(P41=".",".",s_RadSpec!$F$8*(AP8*$B41))</f>
        <v>8.510315264604999E-4</v>
      </c>
      <c r="AQ41" s="94">
        <f>IF(Q41=".",".",s_RadSpec!$F$8*(AQ8*$B41))</f>
        <v>8.510315264604999E-4</v>
      </c>
      <c r="AR41" s="94">
        <f>IF(R41=".",".",s_RadSpec!$F$8*(AR8*$B41))</f>
        <v>8.510315264604999E-4</v>
      </c>
      <c r="AS41" s="94">
        <f>IF(S41=".",".",s_RadSpec!$F$8*(AS8*$B41))</f>
        <v>8.510315264604999E-4</v>
      </c>
      <c r="AT41" s="94">
        <f>IF(T41=".",".",s_RadSpec!$F$8*(AT8*$B41))</f>
        <v>8.510315264604999E-4</v>
      </c>
      <c r="AU41" s="94">
        <f>IF(U41=".",".",s_RadSpec!$F$8*(AU8*$B41))</f>
        <v>8.510315264604999E-4</v>
      </c>
      <c r="AV41" s="94">
        <f>IF(V41=".",".",s_RadSpec!$F$8*(AV8*$B41))</f>
        <v>8.510315264604999E-4</v>
      </c>
      <c r="AW41" s="94">
        <f>IF(W41=".",".",s_RadSpec!$F$8*(AW8*$B41))</f>
        <v>8.510315264604999E-4</v>
      </c>
      <c r="AX41" s="94">
        <f>IF(X41=".",".",s_RadSpec!$F$8*(AX8*$B41))</f>
        <v>8.510315264604999E-4</v>
      </c>
      <c r="AY41" s="94">
        <f>IF(Y41=".",".",s_RadSpec!$F$8*(AY8*$B41))</f>
        <v>8.510315264604999E-4</v>
      </c>
      <c r="AZ41" s="94">
        <f>IF(Z41=".",".",s_RadSpec!$F$8*(AZ8*$B41))</f>
        <v>8.510315264604999E-4</v>
      </c>
      <c r="BA41" s="94">
        <f>IF(AA41=".",".",s_RadSpec!$F$8*(BA8*$B41))</f>
        <v>8.510315264604999E-4</v>
      </c>
      <c r="BB41" s="94">
        <f>IF(AB41=".",".",s_RadSpec!$F$8*(BB8*$B41))</f>
        <v>8.510315264604999E-4</v>
      </c>
      <c r="BC41" s="60">
        <f t="shared" ref="BC41:CB41" si="27">IFERROR(BC8/$B41,".")</f>
        <v>7344.028752958412</v>
      </c>
      <c r="BD41" s="60">
        <f t="shared" si="27"/>
        <v>29376.115011833652</v>
      </c>
      <c r="BE41" s="60">
        <f t="shared" si="27"/>
        <v>29376.115011833652</v>
      </c>
      <c r="BF41" s="60">
        <f t="shared" si="27"/>
        <v>29376.115011833652</v>
      </c>
      <c r="BG41" s="60">
        <f t="shared" si="27"/>
        <v>29376.115011833652</v>
      </c>
      <c r="BH41" s="60">
        <f t="shared" si="27"/>
        <v>29376.115011833652</v>
      </c>
      <c r="BI41" s="60">
        <f t="shared" si="27"/>
        <v>29376.115011833652</v>
      </c>
      <c r="BJ41" s="60">
        <f t="shared" si="27"/>
        <v>29376.115011833652</v>
      </c>
      <c r="BK41" s="60">
        <f t="shared" si="27"/>
        <v>29376.115011833652</v>
      </c>
      <c r="BL41" s="60">
        <f t="shared" si="27"/>
        <v>29376.115011833652</v>
      </c>
      <c r="BM41" s="60">
        <f t="shared" si="27"/>
        <v>29376.115011833652</v>
      </c>
      <c r="BN41" s="60">
        <f t="shared" si="27"/>
        <v>29376.115011833652</v>
      </c>
      <c r="BO41" s="60">
        <f t="shared" si="27"/>
        <v>29376.115011833652</v>
      </c>
      <c r="BP41" s="60">
        <f t="shared" si="27"/>
        <v>29376.115011833652</v>
      </c>
      <c r="BQ41" s="60">
        <f t="shared" si="27"/>
        <v>29376.115011833652</v>
      </c>
      <c r="BR41" s="60">
        <f t="shared" si="27"/>
        <v>29376.115011833652</v>
      </c>
      <c r="BS41" s="60">
        <f t="shared" si="27"/>
        <v>29376.115011833652</v>
      </c>
      <c r="BT41" s="60">
        <f t="shared" si="27"/>
        <v>29376.115011833652</v>
      </c>
      <c r="BU41" s="60">
        <f t="shared" si="27"/>
        <v>29376.115011833652</v>
      </c>
      <c r="BV41" s="60">
        <f t="shared" si="27"/>
        <v>29376.115011833652</v>
      </c>
      <c r="BW41" s="60">
        <f t="shared" si="27"/>
        <v>29376.115011833652</v>
      </c>
      <c r="BX41" s="60">
        <f t="shared" si="27"/>
        <v>29376.115011833652</v>
      </c>
      <c r="BY41" s="60">
        <f t="shared" si="27"/>
        <v>29376.115011833652</v>
      </c>
      <c r="BZ41" s="60">
        <f t="shared" si="27"/>
        <v>29376.115011833652</v>
      </c>
      <c r="CA41" s="60">
        <f t="shared" si="27"/>
        <v>29376.115011833652</v>
      </c>
      <c r="CB41" s="60">
        <f t="shared" si="27"/>
        <v>29376.115011833652</v>
      </c>
      <c r="CC41" s="94">
        <f t="shared" si="11"/>
        <v>3.4041261058419996E-3</v>
      </c>
      <c r="CD41" s="94">
        <f>IF(BD41=".",".",s_RadSpec!$F$8*(CD8*$B41))</f>
        <v>8.510315264604999E-4</v>
      </c>
      <c r="CE41" s="94">
        <f>IF(BE41=".",".",s_RadSpec!$F$8*(CE8*$B41))</f>
        <v>8.510315264604999E-4</v>
      </c>
      <c r="CF41" s="94">
        <f>IF(BF41=".",".",s_RadSpec!$F$8*(CF8*$B41))</f>
        <v>8.510315264604999E-4</v>
      </c>
      <c r="CG41" s="94">
        <f>IF(BG41=".",".",s_RadSpec!$F$8*(CG8*$B41))</f>
        <v>8.510315264604999E-4</v>
      </c>
      <c r="CH41" s="94">
        <f>IF(BH41=".",".",s_RadSpec!$F$8*(CH8*$B41))</f>
        <v>8.510315264604999E-4</v>
      </c>
      <c r="CI41" s="94">
        <f>IF(BI41=".",".",s_RadSpec!$F$8*(CI8*$B41))</f>
        <v>8.510315264604999E-4</v>
      </c>
      <c r="CJ41" s="94">
        <f>IF(BJ41=".",".",s_RadSpec!$F$8*(CJ8*$B41))</f>
        <v>8.510315264604999E-4</v>
      </c>
      <c r="CK41" s="94">
        <f>IF(BK41=".",".",s_RadSpec!$F$8*(CK8*$B41))</f>
        <v>8.510315264604999E-4</v>
      </c>
      <c r="CL41" s="94">
        <f>IF(BL41=".",".",s_RadSpec!$F$8*(CL8*$B41))</f>
        <v>8.510315264604999E-4</v>
      </c>
      <c r="CM41" s="94">
        <f>IF(BM41=".",".",s_RadSpec!$F$8*(CM8*$B41))</f>
        <v>8.510315264604999E-4</v>
      </c>
      <c r="CN41" s="94">
        <f>IF(BN41=".",".",s_RadSpec!$F$8*(CN8*$B41))</f>
        <v>8.510315264604999E-4</v>
      </c>
      <c r="CO41" s="94">
        <f>IF(BO41=".",".",s_RadSpec!$F$8*(CO8*$B41))</f>
        <v>8.510315264604999E-4</v>
      </c>
      <c r="CP41" s="94">
        <f>IF(BP41=".",".",s_RadSpec!$F$8*(CP8*$B41))</f>
        <v>8.510315264604999E-4</v>
      </c>
      <c r="CQ41" s="94">
        <f>IF(BQ41=".",".",s_RadSpec!$F$8*(CQ8*$B41))</f>
        <v>8.510315264604999E-4</v>
      </c>
      <c r="CR41" s="94">
        <f>IF(BR41=".",".",s_RadSpec!$F$8*(CR8*$B41))</f>
        <v>8.510315264604999E-4</v>
      </c>
      <c r="CS41" s="94">
        <f>IF(BS41=".",".",s_RadSpec!$F$8*(CS8*$B41))</f>
        <v>8.510315264604999E-4</v>
      </c>
      <c r="CT41" s="94">
        <f>IF(BT41=".",".",s_RadSpec!$F$8*(CT8*$B41))</f>
        <v>8.510315264604999E-4</v>
      </c>
      <c r="CU41" s="94">
        <f>IF(BU41=".",".",s_RadSpec!$F$8*(CU8*$B41))</f>
        <v>8.510315264604999E-4</v>
      </c>
      <c r="CV41" s="94">
        <f>IF(BV41=".",".",s_RadSpec!$F$8*(CV8*$B41))</f>
        <v>8.510315264604999E-4</v>
      </c>
      <c r="CW41" s="94">
        <f>IF(BW41=".",".",s_RadSpec!$F$8*(CW8*$B41))</f>
        <v>8.510315264604999E-4</v>
      </c>
      <c r="CX41" s="94">
        <f>IF(BX41=".",".",s_RadSpec!$F$8*(CX8*$B41))</f>
        <v>8.510315264604999E-4</v>
      </c>
      <c r="CY41" s="94">
        <f>IF(BY41=".",".",s_RadSpec!$F$8*(CY8*$B41))</f>
        <v>8.510315264604999E-4</v>
      </c>
      <c r="CZ41" s="94">
        <f>IF(BZ41=".",".",s_RadSpec!$F$8*(CZ8*$B41))</f>
        <v>8.510315264604999E-4</v>
      </c>
      <c r="DA41" s="94">
        <f>IF(CA41=".",".",s_RadSpec!$F$8*(DA8*$B41))</f>
        <v>8.510315264604999E-4</v>
      </c>
      <c r="DB41" s="94">
        <f>IF(CB41=".",".",s_RadSpec!$F$8*(DB8*$B41))</f>
        <v>8.510315264604999E-4</v>
      </c>
    </row>
    <row r="42" spans="1:106" x14ac:dyDescent="0.25">
      <c r="A42" s="77" t="s">
        <v>1070</v>
      </c>
      <c r="B42" s="42">
        <v>0.97898250799999997</v>
      </c>
      <c r="C42" s="60" t="str">
        <f t="shared" ref="C42:AB42" si="28">IFERROR(C19/$B42,".")</f>
        <v>.</v>
      </c>
      <c r="D42" s="60" t="str">
        <f t="shared" si="28"/>
        <v>.</v>
      </c>
      <c r="E42" s="60" t="str">
        <f t="shared" si="28"/>
        <v>.</v>
      </c>
      <c r="F42" s="60" t="str">
        <f t="shared" si="28"/>
        <v>.</v>
      </c>
      <c r="G42" s="60" t="str">
        <f t="shared" si="28"/>
        <v>.</v>
      </c>
      <c r="H42" s="60" t="str">
        <f t="shared" si="28"/>
        <v>.</v>
      </c>
      <c r="I42" s="60" t="str">
        <f t="shared" si="28"/>
        <v>.</v>
      </c>
      <c r="J42" s="60" t="str">
        <f t="shared" si="28"/>
        <v>.</v>
      </c>
      <c r="K42" s="60" t="str">
        <f t="shared" si="28"/>
        <v>.</v>
      </c>
      <c r="L42" s="60" t="str">
        <f t="shared" si="28"/>
        <v>.</v>
      </c>
      <c r="M42" s="60" t="str">
        <f t="shared" si="28"/>
        <v>.</v>
      </c>
      <c r="N42" s="60" t="str">
        <f t="shared" si="28"/>
        <v>.</v>
      </c>
      <c r="O42" s="60" t="str">
        <f t="shared" si="28"/>
        <v>.</v>
      </c>
      <c r="P42" s="60" t="str">
        <f t="shared" si="28"/>
        <v>.</v>
      </c>
      <c r="Q42" s="60" t="str">
        <f t="shared" si="28"/>
        <v>.</v>
      </c>
      <c r="R42" s="60" t="str">
        <f t="shared" si="28"/>
        <v>.</v>
      </c>
      <c r="S42" s="60" t="str">
        <f t="shared" si="28"/>
        <v>.</v>
      </c>
      <c r="T42" s="60" t="str">
        <f t="shared" si="28"/>
        <v>.</v>
      </c>
      <c r="U42" s="60" t="str">
        <f t="shared" si="28"/>
        <v>.</v>
      </c>
      <c r="V42" s="60" t="str">
        <f t="shared" si="28"/>
        <v>.</v>
      </c>
      <c r="W42" s="60" t="str">
        <f t="shared" si="28"/>
        <v>.</v>
      </c>
      <c r="X42" s="60" t="str">
        <f t="shared" si="28"/>
        <v>.</v>
      </c>
      <c r="Y42" s="60" t="str">
        <f t="shared" si="28"/>
        <v>.</v>
      </c>
      <c r="Z42" s="60" t="str">
        <f t="shared" si="28"/>
        <v>.</v>
      </c>
      <c r="AA42" s="60" t="str">
        <f t="shared" si="28"/>
        <v>.</v>
      </c>
      <c r="AB42" s="60" t="str">
        <f t="shared" si="28"/>
        <v>.</v>
      </c>
      <c r="AC42" s="94" t="str">
        <f t="shared" si="9"/>
        <v>.</v>
      </c>
      <c r="AD42" s="94" t="str">
        <f>IF(D42=".",".",s_RadSpec!$F$19*(AD19*$B42))</f>
        <v>.</v>
      </c>
      <c r="AE42" s="94" t="str">
        <f>IF(E42=".",".",s_RadSpec!$F$19*(AE19*$B42))</f>
        <v>.</v>
      </c>
      <c r="AF42" s="94" t="str">
        <f>IF(F42=".",".",s_RadSpec!$F$19*(AF19*$B42))</f>
        <v>.</v>
      </c>
      <c r="AG42" s="94" t="str">
        <f>IF(G42=".",".",s_RadSpec!$F$19*(AG19*$B42))</f>
        <v>.</v>
      </c>
      <c r="AH42" s="94" t="str">
        <f>IF(H42=".",".",s_RadSpec!$F$19*(AH19*$B42))</f>
        <v>.</v>
      </c>
      <c r="AI42" s="94" t="str">
        <f>IF(I42=".",".",s_RadSpec!$F$19*(AI19*$B42))</f>
        <v>.</v>
      </c>
      <c r="AJ42" s="94" t="str">
        <f>IF(J42=".",".",s_RadSpec!$F$19*(AJ19*$B42))</f>
        <v>.</v>
      </c>
      <c r="AK42" s="94" t="str">
        <f>IF(K42=".",".",s_RadSpec!$F$19*(AK19*$B42))</f>
        <v>.</v>
      </c>
      <c r="AL42" s="94" t="str">
        <f>IF(L42=".",".",s_RadSpec!$F$19*(AL19*$B42))</f>
        <v>.</v>
      </c>
      <c r="AM42" s="94" t="str">
        <f>IF(M42=".",".",s_RadSpec!$F$19*(AM19*$B42))</f>
        <v>.</v>
      </c>
      <c r="AN42" s="94" t="str">
        <f>IF(N42=".",".",s_RadSpec!$F$19*(AN19*$B42))</f>
        <v>.</v>
      </c>
      <c r="AO42" s="94" t="str">
        <f>IF(O42=".",".",s_RadSpec!$F$19*(AO19*$B42))</f>
        <v>.</v>
      </c>
      <c r="AP42" s="94" t="str">
        <f>IF(P42=".",".",s_RadSpec!$F$19*(AP19*$B42))</f>
        <v>.</v>
      </c>
      <c r="AQ42" s="94" t="str">
        <f>IF(Q42=".",".",s_RadSpec!$F$19*(AQ19*$B42))</f>
        <v>.</v>
      </c>
      <c r="AR42" s="94" t="str">
        <f>IF(R42=".",".",s_RadSpec!$F$19*(AR19*$B42))</f>
        <v>.</v>
      </c>
      <c r="AS42" s="94" t="str">
        <f>IF(S42=".",".",s_RadSpec!$F$19*(AS19*$B42))</f>
        <v>.</v>
      </c>
      <c r="AT42" s="94" t="str">
        <f>IF(T42=".",".",s_RadSpec!$F$19*(AT19*$B42))</f>
        <v>.</v>
      </c>
      <c r="AU42" s="94" t="str">
        <f>IF(U42=".",".",s_RadSpec!$F$19*(AU19*$B42))</f>
        <v>.</v>
      </c>
      <c r="AV42" s="94" t="str">
        <f>IF(V42=".",".",s_RadSpec!$F$19*(AV19*$B42))</f>
        <v>.</v>
      </c>
      <c r="AW42" s="94" t="str">
        <f>IF(W42=".",".",s_RadSpec!$F$19*(AW19*$B42))</f>
        <v>.</v>
      </c>
      <c r="AX42" s="94" t="str">
        <f>IF(X42=".",".",s_RadSpec!$F$19*(AX19*$B42))</f>
        <v>.</v>
      </c>
      <c r="AY42" s="94" t="str">
        <f>IF(Y42=".",".",s_RadSpec!$F$19*(AY19*$B42))</f>
        <v>.</v>
      </c>
      <c r="AZ42" s="94" t="str">
        <f>IF(Z42=".",".",s_RadSpec!$F$19*(AZ19*$B42))</f>
        <v>.</v>
      </c>
      <c r="BA42" s="94" t="str">
        <f>IF(AA42=".",".",s_RadSpec!$F$19*(BA19*$B42))</f>
        <v>.</v>
      </c>
      <c r="BB42" s="94" t="str">
        <f>IF(AB42=".",".",s_RadSpec!$F$19*(BB19*$B42))</f>
        <v>.</v>
      </c>
      <c r="BC42" s="60" t="str">
        <f t="shared" ref="BC42:CB42" si="29">IFERROR(BC19/$B42,".")</f>
        <v>.</v>
      </c>
      <c r="BD42" s="60" t="str">
        <f t="shared" si="29"/>
        <v>.</v>
      </c>
      <c r="BE42" s="60" t="str">
        <f t="shared" si="29"/>
        <v>.</v>
      </c>
      <c r="BF42" s="60" t="str">
        <f t="shared" si="29"/>
        <v>.</v>
      </c>
      <c r="BG42" s="60" t="str">
        <f t="shared" si="29"/>
        <v>.</v>
      </c>
      <c r="BH42" s="60" t="str">
        <f t="shared" si="29"/>
        <v>.</v>
      </c>
      <c r="BI42" s="60" t="str">
        <f t="shared" si="29"/>
        <v>.</v>
      </c>
      <c r="BJ42" s="60" t="str">
        <f t="shared" si="29"/>
        <v>.</v>
      </c>
      <c r="BK42" s="60" t="str">
        <f t="shared" si="29"/>
        <v>.</v>
      </c>
      <c r="BL42" s="60" t="str">
        <f t="shared" si="29"/>
        <v>.</v>
      </c>
      <c r="BM42" s="60" t="str">
        <f t="shared" si="29"/>
        <v>.</v>
      </c>
      <c r="BN42" s="60" t="str">
        <f t="shared" si="29"/>
        <v>.</v>
      </c>
      <c r="BO42" s="60" t="str">
        <f t="shared" si="29"/>
        <v>.</v>
      </c>
      <c r="BP42" s="60" t="str">
        <f t="shared" si="29"/>
        <v>.</v>
      </c>
      <c r="BQ42" s="60" t="str">
        <f t="shared" si="29"/>
        <v>.</v>
      </c>
      <c r="BR42" s="60" t="str">
        <f t="shared" si="29"/>
        <v>.</v>
      </c>
      <c r="BS42" s="60" t="str">
        <f t="shared" si="29"/>
        <v>.</v>
      </c>
      <c r="BT42" s="60" t="str">
        <f t="shared" si="29"/>
        <v>.</v>
      </c>
      <c r="BU42" s="60" t="str">
        <f t="shared" si="29"/>
        <v>.</v>
      </c>
      <c r="BV42" s="60" t="str">
        <f t="shared" si="29"/>
        <v>.</v>
      </c>
      <c r="BW42" s="60" t="str">
        <f t="shared" si="29"/>
        <v>.</v>
      </c>
      <c r="BX42" s="60" t="str">
        <f t="shared" si="29"/>
        <v>.</v>
      </c>
      <c r="BY42" s="60" t="str">
        <f t="shared" si="29"/>
        <v>.</v>
      </c>
      <c r="BZ42" s="60" t="str">
        <f t="shared" si="29"/>
        <v>.</v>
      </c>
      <c r="CA42" s="60" t="str">
        <f t="shared" si="29"/>
        <v>.</v>
      </c>
      <c r="CB42" s="60" t="str">
        <f t="shared" si="29"/>
        <v>.</v>
      </c>
      <c r="CC42" s="94" t="str">
        <f t="shared" si="11"/>
        <v>.</v>
      </c>
      <c r="CD42" s="94" t="str">
        <f>IF(BD42=".",".",s_RadSpec!$F$19*(CD19*$B42))</f>
        <v>.</v>
      </c>
      <c r="CE42" s="94" t="str">
        <f>IF(BE42=".",".",s_RadSpec!$F$19*(CE19*$B42))</f>
        <v>.</v>
      </c>
      <c r="CF42" s="94" t="str">
        <f>IF(BF42=".",".",s_RadSpec!$F$19*(CF19*$B42))</f>
        <v>.</v>
      </c>
      <c r="CG42" s="94" t="str">
        <f>IF(BG42=".",".",s_RadSpec!$F$19*(CG19*$B42))</f>
        <v>.</v>
      </c>
      <c r="CH42" s="94" t="str">
        <f>IF(BH42=".",".",s_RadSpec!$F$19*(CH19*$B42))</f>
        <v>.</v>
      </c>
      <c r="CI42" s="94" t="str">
        <f>IF(BI42=".",".",s_RadSpec!$F$19*(CI19*$B42))</f>
        <v>.</v>
      </c>
      <c r="CJ42" s="94" t="str">
        <f>IF(BJ42=".",".",s_RadSpec!$F$19*(CJ19*$B42))</f>
        <v>.</v>
      </c>
      <c r="CK42" s="94" t="str">
        <f>IF(BK42=".",".",s_RadSpec!$F$19*(CK19*$B42))</f>
        <v>.</v>
      </c>
      <c r="CL42" s="94" t="str">
        <f>IF(BL42=".",".",s_RadSpec!$F$19*(CL19*$B42))</f>
        <v>.</v>
      </c>
      <c r="CM42" s="94" t="str">
        <f>IF(BM42=".",".",s_RadSpec!$F$19*(CM19*$B42))</f>
        <v>.</v>
      </c>
      <c r="CN42" s="94" t="str">
        <f>IF(BN42=".",".",s_RadSpec!$F$19*(CN19*$B42))</f>
        <v>.</v>
      </c>
      <c r="CO42" s="94" t="str">
        <f>IF(BO42=".",".",s_RadSpec!$F$19*(CO19*$B42))</f>
        <v>.</v>
      </c>
      <c r="CP42" s="94" t="str">
        <f>IF(BP42=".",".",s_RadSpec!$F$19*(CP19*$B42))</f>
        <v>.</v>
      </c>
      <c r="CQ42" s="94" t="str">
        <f>IF(BQ42=".",".",s_RadSpec!$F$19*(CQ19*$B42))</f>
        <v>.</v>
      </c>
      <c r="CR42" s="94" t="str">
        <f>IF(BR42=".",".",s_RadSpec!$F$19*(CR19*$B42))</f>
        <v>.</v>
      </c>
      <c r="CS42" s="94" t="str">
        <f>IF(BS42=".",".",s_RadSpec!$F$19*(CS19*$B42))</f>
        <v>.</v>
      </c>
      <c r="CT42" s="94" t="str">
        <f>IF(BT42=".",".",s_RadSpec!$F$19*(CT19*$B42))</f>
        <v>.</v>
      </c>
      <c r="CU42" s="94" t="str">
        <f>IF(BU42=".",".",s_RadSpec!$F$19*(CU19*$B42))</f>
        <v>.</v>
      </c>
      <c r="CV42" s="94" t="str">
        <f>IF(BV42=".",".",s_RadSpec!$F$19*(CV19*$B42))</f>
        <v>.</v>
      </c>
      <c r="CW42" s="94" t="str">
        <f>IF(BW42=".",".",s_RadSpec!$F$19*(CW19*$B42))</f>
        <v>.</v>
      </c>
      <c r="CX42" s="94" t="str">
        <f>IF(BX42=".",".",s_RadSpec!$F$19*(CX19*$B42))</f>
        <v>.</v>
      </c>
      <c r="CY42" s="94" t="str">
        <f>IF(BY42=".",".",s_RadSpec!$F$19*(CY19*$B42))</f>
        <v>.</v>
      </c>
      <c r="CZ42" s="94" t="str">
        <f>IF(BZ42=".",".",s_RadSpec!$F$19*(CZ19*$B42))</f>
        <v>.</v>
      </c>
      <c r="DA42" s="94" t="str">
        <f>IF(CA42=".",".",s_RadSpec!$F$19*(DA19*$B42))</f>
        <v>.</v>
      </c>
      <c r="DB42" s="94" t="str">
        <f>IF(CB42=".",".",s_RadSpec!$F$19*(DB19*$B42))</f>
        <v>.</v>
      </c>
    </row>
    <row r="43" spans="1:106" x14ac:dyDescent="0.25">
      <c r="A43" s="77" t="s">
        <v>1071</v>
      </c>
      <c r="B43" s="42">
        <v>2.0897492E-2</v>
      </c>
      <c r="C43" s="60" t="str">
        <f t="shared" ref="C43:AB43" si="30">IFERROR(C28/$B43,".")</f>
        <v>.</v>
      </c>
      <c r="D43" s="60" t="str">
        <f t="shared" si="30"/>
        <v>.</v>
      </c>
      <c r="E43" s="60" t="str">
        <f t="shared" si="30"/>
        <v>.</v>
      </c>
      <c r="F43" s="60" t="str">
        <f t="shared" si="30"/>
        <v>.</v>
      </c>
      <c r="G43" s="60" t="str">
        <f t="shared" si="30"/>
        <v>.</v>
      </c>
      <c r="H43" s="60" t="str">
        <f t="shared" si="30"/>
        <v>.</v>
      </c>
      <c r="I43" s="60" t="str">
        <f t="shared" si="30"/>
        <v>.</v>
      </c>
      <c r="J43" s="60" t="str">
        <f t="shared" si="30"/>
        <v>.</v>
      </c>
      <c r="K43" s="60" t="str">
        <f t="shared" si="30"/>
        <v>.</v>
      </c>
      <c r="L43" s="60" t="str">
        <f t="shared" si="30"/>
        <v>.</v>
      </c>
      <c r="M43" s="60" t="str">
        <f t="shared" si="30"/>
        <v>.</v>
      </c>
      <c r="N43" s="60" t="str">
        <f t="shared" si="30"/>
        <v>.</v>
      </c>
      <c r="O43" s="60" t="str">
        <f t="shared" si="30"/>
        <v>.</v>
      </c>
      <c r="P43" s="60" t="str">
        <f t="shared" si="30"/>
        <v>.</v>
      </c>
      <c r="Q43" s="60" t="str">
        <f t="shared" si="30"/>
        <v>.</v>
      </c>
      <c r="R43" s="60" t="str">
        <f t="shared" si="30"/>
        <v>.</v>
      </c>
      <c r="S43" s="60" t="str">
        <f t="shared" si="30"/>
        <v>.</v>
      </c>
      <c r="T43" s="60" t="str">
        <f t="shared" si="30"/>
        <v>.</v>
      </c>
      <c r="U43" s="60" t="str">
        <f t="shared" si="30"/>
        <v>.</v>
      </c>
      <c r="V43" s="60" t="str">
        <f t="shared" si="30"/>
        <v>.</v>
      </c>
      <c r="W43" s="60" t="str">
        <f t="shared" si="30"/>
        <v>.</v>
      </c>
      <c r="X43" s="60" t="str">
        <f t="shared" si="30"/>
        <v>.</v>
      </c>
      <c r="Y43" s="60" t="str">
        <f t="shared" si="30"/>
        <v>.</v>
      </c>
      <c r="Z43" s="60" t="str">
        <f t="shared" si="30"/>
        <v>.</v>
      </c>
      <c r="AA43" s="60" t="str">
        <f t="shared" si="30"/>
        <v>.</v>
      </c>
      <c r="AB43" s="60" t="str">
        <f t="shared" si="30"/>
        <v>.</v>
      </c>
      <c r="AC43" s="94" t="str">
        <f t="shared" si="9"/>
        <v>.</v>
      </c>
      <c r="AD43" s="94" t="str">
        <f>IF(D43=".",".",s_RadSpec!$F$28*(AD28*$B43))</f>
        <v>.</v>
      </c>
      <c r="AE43" s="94" t="str">
        <f>IF(E43=".",".",s_RadSpec!$F$28*(AE28*$B43))</f>
        <v>.</v>
      </c>
      <c r="AF43" s="94" t="str">
        <f>IF(F43=".",".",s_RadSpec!$F$28*(AF28*$B43))</f>
        <v>.</v>
      </c>
      <c r="AG43" s="94" t="str">
        <f>IF(G43=".",".",s_RadSpec!$F$28*(AG28*$B43))</f>
        <v>.</v>
      </c>
      <c r="AH43" s="94" t="str">
        <f>IF(H43=".",".",s_RadSpec!$F$28*(AH28*$B43))</f>
        <v>.</v>
      </c>
      <c r="AI43" s="94" t="str">
        <f>IF(I43=".",".",s_RadSpec!$F$28*(AI28*$B43))</f>
        <v>.</v>
      </c>
      <c r="AJ43" s="94" t="str">
        <f>IF(J43=".",".",s_RadSpec!$F$28*(AJ28*$B43))</f>
        <v>.</v>
      </c>
      <c r="AK43" s="94" t="str">
        <f>IF(K43=".",".",s_RadSpec!$F$28*(AK28*$B43))</f>
        <v>.</v>
      </c>
      <c r="AL43" s="94" t="str">
        <f>IF(L43=".",".",s_RadSpec!$F$28*(AL28*$B43))</f>
        <v>.</v>
      </c>
      <c r="AM43" s="94" t="str">
        <f>IF(M43=".",".",s_RadSpec!$F$28*(AM28*$B43))</f>
        <v>.</v>
      </c>
      <c r="AN43" s="94" t="str">
        <f>IF(N43=".",".",s_RadSpec!$F$28*(AN28*$B43))</f>
        <v>.</v>
      </c>
      <c r="AO43" s="94" t="str">
        <f>IF(O43=".",".",s_RadSpec!$F$28*(AO28*$B43))</f>
        <v>.</v>
      </c>
      <c r="AP43" s="94" t="str">
        <f>IF(P43=".",".",s_RadSpec!$F$28*(AP28*$B43))</f>
        <v>.</v>
      </c>
      <c r="AQ43" s="94" t="str">
        <f>IF(Q43=".",".",s_RadSpec!$F$28*(AQ28*$B43))</f>
        <v>.</v>
      </c>
      <c r="AR43" s="94" t="str">
        <f>IF(R43=".",".",s_RadSpec!$F$28*(AR28*$B43))</f>
        <v>.</v>
      </c>
      <c r="AS43" s="94" t="str">
        <f>IF(S43=".",".",s_RadSpec!$F$28*(AS28*$B43))</f>
        <v>.</v>
      </c>
      <c r="AT43" s="94" t="str">
        <f>IF(T43=".",".",s_RadSpec!$F$28*(AT28*$B43))</f>
        <v>.</v>
      </c>
      <c r="AU43" s="94" t="str">
        <f>IF(U43=".",".",s_RadSpec!$F$28*(AU28*$B43))</f>
        <v>.</v>
      </c>
      <c r="AV43" s="94" t="str">
        <f>IF(V43=".",".",s_RadSpec!$F$28*(AV28*$B43))</f>
        <v>.</v>
      </c>
      <c r="AW43" s="94" t="str">
        <f>IF(W43=".",".",s_RadSpec!$F$28*(AW28*$B43))</f>
        <v>.</v>
      </c>
      <c r="AX43" s="94" t="str">
        <f>IF(X43=".",".",s_RadSpec!$F$28*(AX28*$B43))</f>
        <v>.</v>
      </c>
      <c r="AY43" s="94" t="str">
        <f>IF(Y43=".",".",s_RadSpec!$F$28*(AY28*$B43))</f>
        <v>.</v>
      </c>
      <c r="AZ43" s="94" t="str">
        <f>IF(Z43=".",".",s_RadSpec!$F$28*(AZ28*$B43))</f>
        <v>.</v>
      </c>
      <c r="BA43" s="94" t="str">
        <f>IF(AA43=".",".",s_RadSpec!$F$28*(BA28*$B43))</f>
        <v>.</v>
      </c>
      <c r="BB43" s="94" t="str">
        <f>IF(AB43=".",".",s_RadSpec!$F$28*(BB28*$B43))</f>
        <v>.</v>
      </c>
      <c r="BC43" s="60" t="str">
        <f t="shared" ref="BC43:CB43" si="31">IFERROR(BC28/$B43,".")</f>
        <v>.</v>
      </c>
      <c r="BD43" s="60" t="str">
        <f t="shared" si="31"/>
        <v>.</v>
      </c>
      <c r="BE43" s="60" t="str">
        <f t="shared" si="31"/>
        <v>.</v>
      </c>
      <c r="BF43" s="60" t="str">
        <f t="shared" si="31"/>
        <v>.</v>
      </c>
      <c r="BG43" s="60" t="str">
        <f t="shared" si="31"/>
        <v>.</v>
      </c>
      <c r="BH43" s="60" t="str">
        <f t="shared" si="31"/>
        <v>.</v>
      </c>
      <c r="BI43" s="60" t="str">
        <f t="shared" si="31"/>
        <v>.</v>
      </c>
      <c r="BJ43" s="60" t="str">
        <f t="shared" si="31"/>
        <v>.</v>
      </c>
      <c r="BK43" s="60" t="str">
        <f t="shared" si="31"/>
        <v>.</v>
      </c>
      <c r="BL43" s="60" t="str">
        <f t="shared" si="31"/>
        <v>.</v>
      </c>
      <c r="BM43" s="60" t="str">
        <f t="shared" si="31"/>
        <v>.</v>
      </c>
      <c r="BN43" s="60" t="str">
        <f t="shared" si="31"/>
        <v>.</v>
      </c>
      <c r="BO43" s="60" t="str">
        <f t="shared" si="31"/>
        <v>.</v>
      </c>
      <c r="BP43" s="60" t="str">
        <f t="shared" si="31"/>
        <v>.</v>
      </c>
      <c r="BQ43" s="60" t="str">
        <f t="shared" si="31"/>
        <v>.</v>
      </c>
      <c r="BR43" s="60" t="str">
        <f t="shared" si="31"/>
        <v>.</v>
      </c>
      <c r="BS43" s="60" t="str">
        <f t="shared" si="31"/>
        <v>.</v>
      </c>
      <c r="BT43" s="60" t="str">
        <f t="shared" si="31"/>
        <v>.</v>
      </c>
      <c r="BU43" s="60" t="str">
        <f t="shared" si="31"/>
        <v>.</v>
      </c>
      <c r="BV43" s="60" t="str">
        <f t="shared" si="31"/>
        <v>.</v>
      </c>
      <c r="BW43" s="60" t="str">
        <f t="shared" si="31"/>
        <v>.</v>
      </c>
      <c r="BX43" s="60" t="str">
        <f t="shared" si="31"/>
        <v>.</v>
      </c>
      <c r="BY43" s="60" t="str">
        <f t="shared" si="31"/>
        <v>.</v>
      </c>
      <c r="BZ43" s="60" t="str">
        <f t="shared" si="31"/>
        <v>.</v>
      </c>
      <c r="CA43" s="60" t="str">
        <f t="shared" si="31"/>
        <v>.</v>
      </c>
      <c r="CB43" s="60" t="str">
        <f t="shared" si="31"/>
        <v>.</v>
      </c>
      <c r="CC43" s="94" t="str">
        <f t="shared" si="11"/>
        <v>.</v>
      </c>
      <c r="CD43" s="94" t="str">
        <f>IF(BD43=".",".",s_RadSpec!$F$28*(CD28*$B43))</f>
        <v>.</v>
      </c>
      <c r="CE43" s="94" t="str">
        <f>IF(BE43=".",".",s_RadSpec!$F$28*(CE28*$B43))</f>
        <v>.</v>
      </c>
      <c r="CF43" s="94" t="str">
        <f>IF(BF43=".",".",s_RadSpec!$F$28*(CF28*$B43))</f>
        <v>.</v>
      </c>
      <c r="CG43" s="94" t="str">
        <f>IF(BG43=".",".",s_RadSpec!$F$28*(CG28*$B43))</f>
        <v>.</v>
      </c>
      <c r="CH43" s="94" t="str">
        <f>IF(BH43=".",".",s_RadSpec!$F$28*(CH28*$B43))</f>
        <v>.</v>
      </c>
      <c r="CI43" s="94" t="str">
        <f>IF(BI43=".",".",s_RadSpec!$F$28*(CI28*$B43))</f>
        <v>.</v>
      </c>
      <c r="CJ43" s="94" t="str">
        <f>IF(BJ43=".",".",s_RadSpec!$F$28*(CJ28*$B43))</f>
        <v>.</v>
      </c>
      <c r="CK43" s="94" t="str">
        <f>IF(BK43=".",".",s_RadSpec!$F$28*(CK28*$B43))</f>
        <v>.</v>
      </c>
      <c r="CL43" s="94" t="str">
        <f>IF(BL43=".",".",s_RadSpec!$F$28*(CL28*$B43))</f>
        <v>.</v>
      </c>
      <c r="CM43" s="94" t="str">
        <f>IF(BM43=".",".",s_RadSpec!$F$28*(CM28*$B43))</f>
        <v>.</v>
      </c>
      <c r="CN43" s="94" t="str">
        <f>IF(BN43=".",".",s_RadSpec!$F$28*(CN28*$B43))</f>
        <v>.</v>
      </c>
      <c r="CO43" s="94" t="str">
        <f>IF(BO43=".",".",s_RadSpec!$F$28*(CO28*$B43))</f>
        <v>.</v>
      </c>
      <c r="CP43" s="94" t="str">
        <f>IF(BP43=".",".",s_RadSpec!$F$28*(CP28*$B43))</f>
        <v>.</v>
      </c>
      <c r="CQ43" s="94" t="str">
        <f>IF(BQ43=".",".",s_RadSpec!$F$28*(CQ28*$B43))</f>
        <v>.</v>
      </c>
      <c r="CR43" s="94" t="str">
        <f>IF(BR43=".",".",s_RadSpec!$F$28*(CR28*$B43))</f>
        <v>.</v>
      </c>
      <c r="CS43" s="94" t="str">
        <f>IF(BS43=".",".",s_RadSpec!$F$28*(CS28*$B43))</f>
        <v>.</v>
      </c>
      <c r="CT43" s="94" t="str">
        <f>IF(BT43=".",".",s_RadSpec!$F$28*(CT28*$B43))</f>
        <v>.</v>
      </c>
      <c r="CU43" s="94" t="str">
        <f>IF(BU43=".",".",s_RadSpec!$F$28*(CU28*$B43))</f>
        <v>.</v>
      </c>
      <c r="CV43" s="94" t="str">
        <f>IF(BV43=".",".",s_RadSpec!$F$28*(CV28*$B43))</f>
        <v>.</v>
      </c>
      <c r="CW43" s="94" t="str">
        <f>IF(BW43=".",".",s_RadSpec!$F$28*(CW28*$B43))</f>
        <v>.</v>
      </c>
      <c r="CX43" s="94" t="str">
        <f>IF(BX43=".",".",s_RadSpec!$F$28*(CX28*$B43))</f>
        <v>.</v>
      </c>
      <c r="CY43" s="94" t="str">
        <f>IF(BY43=".",".",s_RadSpec!$F$28*(CY28*$B43))</f>
        <v>.</v>
      </c>
      <c r="CZ43" s="94" t="str">
        <f>IF(BZ43=".",".",s_RadSpec!$F$28*(CZ28*$B43))</f>
        <v>.</v>
      </c>
      <c r="DA43" s="94" t="str">
        <f>IF(CA43=".",".",s_RadSpec!$F$28*(DA28*$B43))</f>
        <v>.</v>
      </c>
      <c r="DB43" s="94" t="str">
        <f>IF(CB43=".",".",s_RadSpec!$F$28*(DB28*$B43))</f>
        <v>.</v>
      </c>
    </row>
    <row r="44" spans="1:106" x14ac:dyDescent="0.25">
      <c r="A44" s="77" t="s">
        <v>1072</v>
      </c>
      <c r="B44" s="42">
        <v>0.99987999999999999</v>
      </c>
      <c r="C44" s="60">
        <f t="shared" ref="C44:AB44" si="32">IFERROR(C15/$B44,".")</f>
        <v>132484.40528903459</v>
      </c>
      <c r="D44" s="60">
        <f t="shared" si="32"/>
        <v>509021.99802327377</v>
      </c>
      <c r="E44" s="60">
        <f t="shared" si="32"/>
        <v>127936.01019836293</v>
      </c>
      <c r="F44" s="60">
        <f t="shared" si="32"/>
        <v>419719.89310690999</v>
      </c>
      <c r="G44" s="60">
        <f t="shared" si="32"/>
        <v>509021.99802327377</v>
      </c>
      <c r="H44" s="60">
        <f t="shared" si="32"/>
        <v>419719.89310690999</v>
      </c>
      <c r="I44" s="60">
        <f t="shared" si="32"/>
        <v>127936.01019836293</v>
      </c>
      <c r="J44" s="60">
        <f t="shared" si="32"/>
        <v>419719.89310690999</v>
      </c>
      <c r="K44" s="60">
        <f t="shared" si="32"/>
        <v>509021.99802327377</v>
      </c>
      <c r="L44" s="60">
        <f t="shared" si="32"/>
        <v>813742.64990115201</v>
      </c>
      <c r="M44" s="60">
        <f t="shared" si="32"/>
        <v>419719.89310690999</v>
      </c>
      <c r="N44" s="60">
        <f t="shared" si="32"/>
        <v>127936.01019836293</v>
      </c>
      <c r="O44" s="60">
        <f t="shared" si="32"/>
        <v>636277.49752909213</v>
      </c>
      <c r="P44" s="60">
        <f t="shared" si="32"/>
        <v>419719.89310690999</v>
      </c>
      <c r="Q44" s="60">
        <f t="shared" si="32"/>
        <v>419719.89310690999</v>
      </c>
      <c r="R44" s="60">
        <f t="shared" si="32"/>
        <v>509021.99802327377</v>
      </c>
      <c r="S44" s="60">
        <f t="shared" si="32"/>
        <v>509021.99802327377</v>
      </c>
      <c r="T44" s="60">
        <f t="shared" si="32"/>
        <v>636277.49752909213</v>
      </c>
      <c r="U44" s="60">
        <f t="shared" si="32"/>
        <v>419719.89310690999</v>
      </c>
      <c r="V44" s="60">
        <f t="shared" si="32"/>
        <v>797467.79690312897</v>
      </c>
      <c r="W44" s="60">
        <f t="shared" si="32"/>
        <v>419719.89310690999</v>
      </c>
      <c r="X44" s="60">
        <f t="shared" si="32"/>
        <v>636277.49752909213</v>
      </c>
      <c r="Y44" s="60">
        <f t="shared" si="32"/>
        <v>509021.99802327377</v>
      </c>
      <c r="Z44" s="60">
        <f t="shared" si="32"/>
        <v>419719.89310690999</v>
      </c>
      <c r="AA44" s="60">
        <f t="shared" si="32"/>
        <v>867441.40344792837</v>
      </c>
      <c r="AB44" s="60">
        <f t="shared" si="32"/>
        <v>488245.58994069119</v>
      </c>
      <c r="AC44" s="94">
        <f t="shared" si="9"/>
        <v>1.8870145467656175E-4</v>
      </c>
      <c r="AD44" s="94">
        <f>IF(D44=".",".",s_RadSpec!$F$15*(AD15*$B44))</f>
        <v>4.9113790950262496E-5</v>
      </c>
      <c r="AE44" s="94">
        <f>IF(E44=".",".",s_RadSpec!$F$15*(AE15*$B44))</f>
        <v>1.954101895255125E-4</v>
      </c>
      <c r="AF44" s="94">
        <f>IF(F44=".",".",s_RadSpec!$F$15*(AF15*$B44))</f>
        <v>5.956353370563749E-5</v>
      </c>
      <c r="AG44" s="94">
        <f>IF(G44=".",".",s_RadSpec!$F$15*(AG15*$B44))</f>
        <v>4.9113790950262496E-5</v>
      </c>
      <c r="AH44" s="94">
        <f>IF(H44=".",".",s_RadSpec!$F$15*(AH15*$B44))</f>
        <v>5.956353370563749E-5</v>
      </c>
      <c r="AI44" s="94">
        <f>IF(I44=".",".",s_RadSpec!$F$15*(AI15*$B44))</f>
        <v>1.954101895255125E-4</v>
      </c>
      <c r="AJ44" s="94">
        <f>IF(J44=".",".",s_RadSpec!$F$15*(AJ15*$B44))</f>
        <v>5.956353370563749E-5</v>
      </c>
      <c r="AK44" s="94">
        <f>IF(K44=".",".",s_RadSpec!$F$15*(AK15*$B44))</f>
        <v>4.9113790950262496E-5</v>
      </c>
      <c r="AL44" s="94">
        <f>IF(L44=".",".",s_RadSpec!$F$15*(AL15*$B44))</f>
        <v>3.07222437008025E-5</v>
      </c>
      <c r="AM44" s="94">
        <f>IF(M44=".",".",s_RadSpec!$F$15*(AM15*$B44))</f>
        <v>5.956353370563749E-5</v>
      </c>
      <c r="AN44" s="94">
        <f>IF(N44=".",".",s_RadSpec!$F$15*(AN15*$B44))</f>
        <v>1.954101895255125E-4</v>
      </c>
      <c r="AO44" s="94">
        <f>IF(O44=".",".",s_RadSpec!$F$15*(AO15*$B44))</f>
        <v>3.9291032760209998E-5</v>
      </c>
      <c r="AP44" s="94">
        <f>IF(P44=".",".",s_RadSpec!$F$15*(AP15*$B44))</f>
        <v>5.956353370563749E-5</v>
      </c>
      <c r="AQ44" s="94">
        <f>IF(Q44=".",".",s_RadSpec!$F$15*(AQ15*$B44))</f>
        <v>5.956353370563749E-5</v>
      </c>
      <c r="AR44" s="94">
        <f>IF(R44=".",".",s_RadSpec!$F$15*(AR15*$B44))</f>
        <v>4.9113790950262496E-5</v>
      </c>
      <c r="AS44" s="94">
        <f>IF(S44=".",".",s_RadSpec!$F$15*(AS15*$B44))</f>
        <v>4.9113790950262496E-5</v>
      </c>
      <c r="AT44" s="94">
        <f>IF(T44=".",".",s_RadSpec!$F$15*(AT15*$B44))</f>
        <v>3.9291032760209998E-5</v>
      </c>
      <c r="AU44" s="94">
        <f>IF(U44=".",".",s_RadSpec!$F$15*(AU15*$B44))</f>
        <v>5.956353370563749E-5</v>
      </c>
      <c r="AV44" s="94">
        <f>IF(V44=".",".",s_RadSpec!$F$15*(AV15*$B44))</f>
        <v>3.1349228266124997E-5</v>
      </c>
      <c r="AW44" s="94">
        <f>IF(W44=".",".",s_RadSpec!$F$15*(AW15*$B44))</f>
        <v>5.956353370563749E-5</v>
      </c>
      <c r="AX44" s="94">
        <f>IF(X44=".",".",s_RadSpec!$F$15*(AX15*$B44))</f>
        <v>3.9291032760209998E-5</v>
      </c>
      <c r="AY44" s="94">
        <f>IF(Y44=".",".",s_RadSpec!$F$15*(AY15*$B44))</f>
        <v>4.9113790950262496E-5</v>
      </c>
      <c r="AZ44" s="94">
        <f>IF(Z44=".",".",s_RadSpec!$F$15*(AZ15*$B44))</f>
        <v>5.956353370563749E-5</v>
      </c>
      <c r="BA44" s="94">
        <f>IF(AA44=".",".",s_RadSpec!$F$15*(BA15*$B44))</f>
        <v>2.8820390519324247E-5</v>
      </c>
      <c r="BB44" s="94">
        <f>IF(AB44=".",".",s_RadSpec!$F$15*(BB15*$B44))</f>
        <v>5.1203739501337503E-5</v>
      </c>
      <c r="BC44" s="60">
        <f t="shared" ref="BC44:CB44" si="33">IFERROR(BC15/$B44,".")</f>
        <v>132484.40528903459</v>
      </c>
      <c r="BD44" s="60">
        <f t="shared" si="33"/>
        <v>509021.99802327377</v>
      </c>
      <c r="BE44" s="60">
        <f t="shared" si="33"/>
        <v>127936.01019836293</v>
      </c>
      <c r="BF44" s="60">
        <f t="shared" si="33"/>
        <v>419719.89310690999</v>
      </c>
      <c r="BG44" s="60">
        <f t="shared" si="33"/>
        <v>509021.99802327377</v>
      </c>
      <c r="BH44" s="60">
        <f t="shared" si="33"/>
        <v>419719.89310690999</v>
      </c>
      <c r="BI44" s="60">
        <f t="shared" si="33"/>
        <v>127936.01019836293</v>
      </c>
      <c r="BJ44" s="60">
        <f t="shared" si="33"/>
        <v>419719.89310690999</v>
      </c>
      <c r="BK44" s="60">
        <f t="shared" si="33"/>
        <v>509021.99802327377</v>
      </c>
      <c r="BL44" s="60">
        <f t="shared" si="33"/>
        <v>813742.64990115201</v>
      </c>
      <c r="BM44" s="60">
        <f t="shared" si="33"/>
        <v>419719.89310690999</v>
      </c>
      <c r="BN44" s="60">
        <f t="shared" si="33"/>
        <v>127936.01019836293</v>
      </c>
      <c r="BO44" s="60">
        <f t="shared" si="33"/>
        <v>636277.49752909213</v>
      </c>
      <c r="BP44" s="60">
        <f t="shared" si="33"/>
        <v>419719.89310690999</v>
      </c>
      <c r="BQ44" s="60">
        <f t="shared" si="33"/>
        <v>419719.89310690999</v>
      </c>
      <c r="BR44" s="60">
        <f t="shared" si="33"/>
        <v>509021.99802327377</v>
      </c>
      <c r="BS44" s="60">
        <f t="shared" si="33"/>
        <v>509021.99802327377</v>
      </c>
      <c r="BT44" s="60">
        <f t="shared" si="33"/>
        <v>636277.49752909213</v>
      </c>
      <c r="BU44" s="60">
        <f t="shared" si="33"/>
        <v>419719.89310690999</v>
      </c>
      <c r="BV44" s="60">
        <f t="shared" si="33"/>
        <v>797467.79690312897</v>
      </c>
      <c r="BW44" s="60">
        <f t="shared" si="33"/>
        <v>419719.89310690999</v>
      </c>
      <c r="BX44" s="60">
        <f t="shared" si="33"/>
        <v>636277.49752909213</v>
      </c>
      <c r="BY44" s="60">
        <f t="shared" si="33"/>
        <v>509021.99802327377</v>
      </c>
      <c r="BZ44" s="60">
        <f t="shared" si="33"/>
        <v>419719.89310690999</v>
      </c>
      <c r="CA44" s="60">
        <f t="shared" si="33"/>
        <v>867441.40344792837</v>
      </c>
      <c r="CB44" s="60">
        <f t="shared" si="33"/>
        <v>488245.58994069119</v>
      </c>
      <c r="CC44" s="94">
        <f t="shared" si="11"/>
        <v>1.8870145467656175E-4</v>
      </c>
      <c r="CD44" s="94">
        <f>IF(BD44=".",".",s_RadSpec!$F$15*(CD15*$B44))</f>
        <v>4.9113790950262496E-5</v>
      </c>
      <c r="CE44" s="94">
        <f>IF(BE44=".",".",s_RadSpec!$F$15*(CE15*$B44))</f>
        <v>1.954101895255125E-4</v>
      </c>
      <c r="CF44" s="94">
        <f>IF(BF44=".",".",s_RadSpec!$F$15*(CF15*$B44))</f>
        <v>5.956353370563749E-5</v>
      </c>
      <c r="CG44" s="94">
        <f>IF(BG44=".",".",s_RadSpec!$F$15*(CG15*$B44))</f>
        <v>4.9113790950262496E-5</v>
      </c>
      <c r="CH44" s="94">
        <f>IF(BH44=".",".",s_RadSpec!$F$15*(CH15*$B44))</f>
        <v>5.956353370563749E-5</v>
      </c>
      <c r="CI44" s="94">
        <f>IF(BI44=".",".",s_RadSpec!$F$15*(CI15*$B44))</f>
        <v>1.954101895255125E-4</v>
      </c>
      <c r="CJ44" s="94">
        <f>IF(BJ44=".",".",s_RadSpec!$F$15*(CJ15*$B44))</f>
        <v>5.956353370563749E-5</v>
      </c>
      <c r="CK44" s="94">
        <f>IF(BK44=".",".",s_RadSpec!$F$15*(CK15*$B44))</f>
        <v>4.9113790950262496E-5</v>
      </c>
      <c r="CL44" s="94">
        <f>IF(BL44=".",".",s_RadSpec!$F$15*(CL15*$B44))</f>
        <v>3.07222437008025E-5</v>
      </c>
      <c r="CM44" s="94">
        <f>IF(BM44=".",".",s_RadSpec!$F$15*(CM15*$B44))</f>
        <v>5.956353370563749E-5</v>
      </c>
      <c r="CN44" s="94">
        <f>IF(BN44=".",".",s_RadSpec!$F$15*(CN15*$B44))</f>
        <v>1.954101895255125E-4</v>
      </c>
      <c r="CO44" s="94">
        <f>IF(BO44=".",".",s_RadSpec!$F$15*(CO15*$B44))</f>
        <v>3.9291032760209998E-5</v>
      </c>
      <c r="CP44" s="94">
        <f>IF(BP44=".",".",s_RadSpec!$F$15*(CP15*$B44))</f>
        <v>5.956353370563749E-5</v>
      </c>
      <c r="CQ44" s="94">
        <f>IF(BQ44=".",".",s_RadSpec!$F$15*(CQ15*$B44))</f>
        <v>5.956353370563749E-5</v>
      </c>
      <c r="CR44" s="94">
        <f>IF(BR44=".",".",s_RadSpec!$F$15*(CR15*$B44))</f>
        <v>4.9113790950262496E-5</v>
      </c>
      <c r="CS44" s="94">
        <f>IF(BS44=".",".",s_RadSpec!$F$15*(CS15*$B44))</f>
        <v>4.9113790950262496E-5</v>
      </c>
      <c r="CT44" s="94">
        <f>IF(BT44=".",".",s_RadSpec!$F$15*(CT15*$B44))</f>
        <v>3.9291032760209998E-5</v>
      </c>
      <c r="CU44" s="94">
        <f>IF(BU44=".",".",s_RadSpec!$F$15*(CU15*$B44))</f>
        <v>5.956353370563749E-5</v>
      </c>
      <c r="CV44" s="94">
        <f>IF(BV44=".",".",s_RadSpec!$F$15*(CV15*$B44))</f>
        <v>3.1349228266124997E-5</v>
      </c>
      <c r="CW44" s="94">
        <f>IF(BW44=".",".",s_RadSpec!$F$15*(CW15*$B44))</f>
        <v>5.956353370563749E-5</v>
      </c>
      <c r="CX44" s="94">
        <f>IF(BX44=".",".",s_RadSpec!$F$15*(CX15*$B44))</f>
        <v>3.9291032760209998E-5</v>
      </c>
      <c r="CY44" s="94">
        <f>IF(BY44=".",".",s_RadSpec!$F$15*(CY15*$B44))</f>
        <v>4.9113790950262496E-5</v>
      </c>
      <c r="CZ44" s="94">
        <f>IF(BZ44=".",".",s_RadSpec!$F$15*(CZ15*$B44))</f>
        <v>5.956353370563749E-5</v>
      </c>
      <c r="DA44" s="94">
        <f>IF(CA44=".",".",s_RadSpec!$F$15*(DA15*$B44))</f>
        <v>2.8820390519324247E-5</v>
      </c>
      <c r="DB44" s="94">
        <f>IF(CB44=".",".",s_RadSpec!$F$15*(DB15*$B44))</f>
        <v>5.1203739501337503E-5</v>
      </c>
    </row>
    <row r="45" spans="1:106" x14ac:dyDescent="0.25">
      <c r="A45" s="76" t="s">
        <v>8</v>
      </c>
      <c r="B45" s="76" t="s">
        <v>1057</v>
      </c>
      <c r="C45" s="58">
        <f t="shared" ref="C45:AB45" si="34">IFERROR(1/SUM(IFERROR(1/SUMIF(C46,"&lt;&gt;.",C46),0),IFERROR(1/SUMIF(C47,"&lt;&gt;.",C47),0)),".")</f>
        <v>607.77255649980668</v>
      </c>
      <c r="D45" s="58">
        <f t="shared" si="34"/>
        <v>3480.6787911877532</v>
      </c>
      <c r="E45" s="58">
        <f t="shared" si="34"/>
        <v>913.97415877447122</v>
      </c>
      <c r="F45" s="58">
        <f t="shared" si="34"/>
        <v>1210.3982102688942</v>
      </c>
      <c r="G45" s="58">
        <f t="shared" si="34"/>
        <v>4306.2244019181817</v>
      </c>
      <c r="H45" s="58">
        <f t="shared" si="34"/>
        <v>1947.1623382586558</v>
      </c>
      <c r="I45" s="58">
        <f t="shared" si="34"/>
        <v>913.97415877447122</v>
      </c>
      <c r="J45" s="58">
        <f t="shared" si="34"/>
        <v>1210.3982102688942</v>
      </c>
      <c r="K45" s="58">
        <f t="shared" si="34"/>
        <v>3480.6787911877532</v>
      </c>
      <c r="L45" s="58">
        <f t="shared" si="34"/>
        <v>1444.6688316112609</v>
      </c>
      <c r="M45" s="58">
        <f t="shared" si="34"/>
        <v>1947.1623382586558</v>
      </c>
      <c r="N45" s="58">
        <f t="shared" si="34"/>
        <v>913.97415877447122</v>
      </c>
      <c r="O45" s="58">
        <f t="shared" si="34"/>
        <v>1255.6467414938998</v>
      </c>
      <c r="P45" s="58">
        <f t="shared" si="34"/>
        <v>1947.1623382586558</v>
      </c>
      <c r="Q45" s="58">
        <f t="shared" si="34"/>
        <v>1210.3982102688942</v>
      </c>
      <c r="R45" s="58">
        <f t="shared" si="34"/>
        <v>3480.6787911877532</v>
      </c>
      <c r="S45" s="58">
        <f t="shared" si="34"/>
        <v>3480.6787911877532</v>
      </c>
      <c r="T45" s="58">
        <f t="shared" si="34"/>
        <v>1255.6467414938998</v>
      </c>
      <c r="U45" s="58">
        <f t="shared" si="34"/>
        <v>1947.1623382586558</v>
      </c>
      <c r="V45" s="58">
        <f t="shared" si="34"/>
        <v>966.57698805645509</v>
      </c>
      <c r="W45" s="58">
        <f t="shared" si="34"/>
        <v>1947.1623382586558</v>
      </c>
      <c r="X45" s="58">
        <f t="shared" si="34"/>
        <v>1255.6467414938998</v>
      </c>
      <c r="Y45" s="58">
        <f t="shared" si="34"/>
        <v>4096.1646749953443</v>
      </c>
      <c r="Z45" s="58">
        <f t="shared" si="34"/>
        <v>1947.1623382586558</v>
      </c>
      <c r="AA45" s="58">
        <f t="shared" si="34"/>
        <v>4720.8081988702488</v>
      </c>
      <c r="AB45" s="58">
        <f t="shared" si="34"/>
        <v>1580.6376628217324</v>
      </c>
      <c r="AC45" s="91">
        <f>IFERROR(SUM(AD46:AD47,AU46:AU47,BA46:BA47,BB46:BB47),".")</f>
        <v>4.113380858125E-2</v>
      </c>
      <c r="AD45" s="91">
        <f>IFERROR(SUM(AD46:AD47),".")</f>
        <v>7.1825070624999985E-3</v>
      </c>
      <c r="AE45" s="91">
        <f t="shared" ref="AE45:BB45" si="35">IFERROR(SUM(AE46:AE47),".")</f>
        <v>2.7353070937499998E-2</v>
      </c>
      <c r="AF45" s="91">
        <f t="shared" si="35"/>
        <v>2.0654359687500002E-2</v>
      </c>
      <c r="AG45" s="91">
        <f t="shared" si="35"/>
        <v>5.8055497499999997E-3</v>
      </c>
      <c r="AH45" s="91">
        <f t="shared" si="35"/>
        <v>1.28391965625E-2</v>
      </c>
      <c r="AI45" s="91">
        <f t="shared" si="35"/>
        <v>2.7353070937499998E-2</v>
      </c>
      <c r="AJ45" s="91">
        <f t="shared" si="35"/>
        <v>2.0654359687500002E-2</v>
      </c>
      <c r="AK45" s="91">
        <f t="shared" si="35"/>
        <v>7.1825070624999985E-3</v>
      </c>
      <c r="AL45" s="91">
        <f t="shared" si="35"/>
        <v>1.7305004062500001E-2</v>
      </c>
      <c r="AM45" s="91">
        <f t="shared" si="35"/>
        <v>1.28391965625E-2</v>
      </c>
      <c r="AN45" s="91">
        <f t="shared" si="35"/>
        <v>2.7353070937499998E-2</v>
      </c>
      <c r="AO45" s="91">
        <f t="shared" si="35"/>
        <v>1.9910058437499999E-2</v>
      </c>
      <c r="AP45" s="91">
        <f t="shared" si="35"/>
        <v>1.28391965625E-2</v>
      </c>
      <c r="AQ45" s="91">
        <f t="shared" si="35"/>
        <v>2.0654359687500002E-2</v>
      </c>
      <c r="AR45" s="91">
        <f t="shared" si="35"/>
        <v>7.1825070624999985E-3</v>
      </c>
      <c r="AS45" s="91">
        <f t="shared" si="35"/>
        <v>7.1825070624999985E-3</v>
      </c>
      <c r="AT45" s="91">
        <f t="shared" si="35"/>
        <v>1.9910058437499999E-2</v>
      </c>
      <c r="AU45" s="91">
        <f t="shared" si="35"/>
        <v>1.28391965625E-2</v>
      </c>
      <c r="AV45" s="91">
        <f t="shared" si="35"/>
        <v>2.58644684375E-2</v>
      </c>
      <c r="AW45" s="91">
        <f t="shared" si="35"/>
        <v>1.28391965625E-2</v>
      </c>
      <c r="AX45" s="91">
        <f t="shared" si="35"/>
        <v>1.9910058437499999E-2</v>
      </c>
      <c r="AY45" s="91">
        <f t="shared" si="35"/>
        <v>6.1032702499999991E-3</v>
      </c>
      <c r="AZ45" s="91">
        <f t="shared" si="35"/>
        <v>1.28391965625E-2</v>
      </c>
      <c r="BA45" s="91">
        <f t="shared" si="35"/>
        <v>5.2957033937499984E-3</v>
      </c>
      <c r="BB45" s="91">
        <f t="shared" si="35"/>
        <v>1.5816401562500002E-2</v>
      </c>
      <c r="BC45" s="58">
        <f t="shared" ref="BC45:CB45" si="36">IFERROR(1/SUM(IFERROR(1/SUMIF(BC46,"&lt;&gt;.",BC46),0),IFERROR(1/SUMIF(BC47,"&lt;&gt;.",BC47),0)),".")</f>
        <v>607.77255649980668</v>
      </c>
      <c r="BD45" s="58">
        <f t="shared" si="36"/>
        <v>3480.6787911877532</v>
      </c>
      <c r="BE45" s="58">
        <f t="shared" si="36"/>
        <v>913.97415877447122</v>
      </c>
      <c r="BF45" s="58">
        <f t="shared" si="36"/>
        <v>1210.3982102688942</v>
      </c>
      <c r="BG45" s="58">
        <f t="shared" si="36"/>
        <v>4306.2244019181817</v>
      </c>
      <c r="BH45" s="58">
        <f t="shared" si="36"/>
        <v>1947.1623382586558</v>
      </c>
      <c r="BI45" s="58">
        <f t="shared" si="36"/>
        <v>913.97415877447122</v>
      </c>
      <c r="BJ45" s="58">
        <f t="shared" si="36"/>
        <v>1210.3982102688942</v>
      </c>
      <c r="BK45" s="58">
        <f t="shared" si="36"/>
        <v>3480.6787911877532</v>
      </c>
      <c r="BL45" s="58">
        <f t="shared" si="36"/>
        <v>1444.6688316112609</v>
      </c>
      <c r="BM45" s="58">
        <f t="shared" si="36"/>
        <v>1947.1623382586558</v>
      </c>
      <c r="BN45" s="58">
        <f t="shared" si="36"/>
        <v>913.97415877447122</v>
      </c>
      <c r="BO45" s="58">
        <f t="shared" si="36"/>
        <v>1255.6467414938998</v>
      </c>
      <c r="BP45" s="58">
        <f t="shared" si="36"/>
        <v>1947.1623382586558</v>
      </c>
      <c r="BQ45" s="58">
        <f t="shared" si="36"/>
        <v>1210.3982102688942</v>
      </c>
      <c r="BR45" s="58">
        <f t="shared" si="36"/>
        <v>3480.6787911877532</v>
      </c>
      <c r="BS45" s="58">
        <f t="shared" si="36"/>
        <v>3480.6787911877532</v>
      </c>
      <c r="BT45" s="58">
        <f t="shared" si="36"/>
        <v>1255.6467414938998</v>
      </c>
      <c r="BU45" s="58">
        <f t="shared" si="36"/>
        <v>1947.1623382586558</v>
      </c>
      <c r="BV45" s="58">
        <f t="shared" si="36"/>
        <v>966.57698805645509</v>
      </c>
      <c r="BW45" s="58">
        <f t="shared" si="36"/>
        <v>1947.1623382586558</v>
      </c>
      <c r="BX45" s="58">
        <f t="shared" si="36"/>
        <v>1255.6467414938998</v>
      </c>
      <c r="BY45" s="58">
        <f t="shared" si="36"/>
        <v>4096.1646749953443</v>
      </c>
      <c r="BZ45" s="58">
        <f t="shared" si="36"/>
        <v>1947.1623382586558</v>
      </c>
      <c r="CA45" s="58">
        <f t="shared" si="36"/>
        <v>4720.8081988702488</v>
      </c>
      <c r="CB45" s="58">
        <f t="shared" si="36"/>
        <v>1580.6376628217324</v>
      </c>
      <c r="CC45" s="91">
        <f>IFERROR(SUM(CD46:CD47,CU46:CU47,DA46:DA47,DB46:DB47),".")</f>
        <v>4.113380858125E-2</v>
      </c>
      <c r="CD45" s="91">
        <f>IFERROR(SUM(CD46:CD47),".")</f>
        <v>7.1825070624999985E-3</v>
      </c>
      <c r="CE45" s="91">
        <f t="shared" ref="CE45:DB45" si="37">IFERROR(SUM(CE46:CE47),".")</f>
        <v>2.7353070937499998E-2</v>
      </c>
      <c r="CF45" s="91">
        <f t="shared" si="37"/>
        <v>2.0654359687500002E-2</v>
      </c>
      <c r="CG45" s="91">
        <f t="shared" si="37"/>
        <v>5.8055497499999997E-3</v>
      </c>
      <c r="CH45" s="91">
        <f t="shared" si="37"/>
        <v>1.28391965625E-2</v>
      </c>
      <c r="CI45" s="91">
        <f t="shared" si="37"/>
        <v>2.7353070937499998E-2</v>
      </c>
      <c r="CJ45" s="91">
        <f t="shared" si="37"/>
        <v>2.0654359687500002E-2</v>
      </c>
      <c r="CK45" s="91">
        <f t="shared" si="37"/>
        <v>7.1825070624999985E-3</v>
      </c>
      <c r="CL45" s="91">
        <f t="shared" si="37"/>
        <v>1.7305004062500001E-2</v>
      </c>
      <c r="CM45" s="91">
        <f t="shared" si="37"/>
        <v>1.28391965625E-2</v>
      </c>
      <c r="CN45" s="91">
        <f t="shared" si="37"/>
        <v>2.7353070937499998E-2</v>
      </c>
      <c r="CO45" s="91">
        <f t="shared" si="37"/>
        <v>1.9910058437499999E-2</v>
      </c>
      <c r="CP45" s="91">
        <f t="shared" si="37"/>
        <v>1.28391965625E-2</v>
      </c>
      <c r="CQ45" s="91">
        <f t="shared" si="37"/>
        <v>2.0654359687500002E-2</v>
      </c>
      <c r="CR45" s="91">
        <f t="shared" si="37"/>
        <v>7.1825070624999985E-3</v>
      </c>
      <c r="CS45" s="91">
        <f t="shared" si="37"/>
        <v>7.1825070624999985E-3</v>
      </c>
      <c r="CT45" s="91">
        <f t="shared" si="37"/>
        <v>1.9910058437499999E-2</v>
      </c>
      <c r="CU45" s="91">
        <f t="shared" si="37"/>
        <v>1.28391965625E-2</v>
      </c>
      <c r="CV45" s="91">
        <f t="shared" si="37"/>
        <v>2.58644684375E-2</v>
      </c>
      <c r="CW45" s="91">
        <f t="shared" si="37"/>
        <v>1.28391965625E-2</v>
      </c>
      <c r="CX45" s="91">
        <f t="shared" si="37"/>
        <v>1.9910058437499999E-2</v>
      </c>
      <c r="CY45" s="91">
        <f t="shared" si="37"/>
        <v>6.1032702499999991E-3</v>
      </c>
      <c r="CZ45" s="91">
        <f t="shared" si="37"/>
        <v>1.28391965625E-2</v>
      </c>
      <c r="DA45" s="91">
        <f t="shared" si="37"/>
        <v>5.2957033937499984E-3</v>
      </c>
      <c r="DB45" s="91">
        <f t="shared" si="37"/>
        <v>1.5816401562500002E-2</v>
      </c>
    </row>
    <row r="46" spans="1:106" x14ac:dyDescent="0.25">
      <c r="A46" s="77" t="s">
        <v>1084</v>
      </c>
      <c r="B46" s="42">
        <v>1</v>
      </c>
      <c r="C46" s="60">
        <f t="shared" ref="C46:AB46" si="38">IFERROR(C10/$B46,".")</f>
        <v>607.77255649980668</v>
      </c>
      <c r="D46" s="60">
        <f t="shared" si="38"/>
        <v>3480.6787911877532</v>
      </c>
      <c r="E46" s="60">
        <f t="shared" si="38"/>
        <v>913.97415877447122</v>
      </c>
      <c r="F46" s="60">
        <f t="shared" si="38"/>
        <v>1210.3982102688942</v>
      </c>
      <c r="G46" s="60">
        <f t="shared" si="38"/>
        <v>4306.2244019181817</v>
      </c>
      <c r="H46" s="60">
        <f t="shared" si="38"/>
        <v>1947.1623382586558</v>
      </c>
      <c r="I46" s="60">
        <f t="shared" si="38"/>
        <v>913.97415877447122</v>
      </c>
      <c r="J46" s="60">
        <f t="shared" si="38"/>
        <v>1210.3982102688942</v>
      </c>
      <c r="K46" s="60">
        <f t="shared" si="38"/>
        <v>3480.6787911877532</v>
      </c>
      <c r="L46" s="60">
        <f t="shared" si="38"/>
        <v>1444.6688316112609</v>
      </c>
      <c r="M46" s="60">
        <f t="shared" si="38"/>
        <v>1947.1623382586558</v>
      </c>
      <c r="N46" s="60">
        <f t="shared" si="38"/>
        <v>913.97415877447122</v>
      </c>
      <c r="O46" s="60">
        <f t="shared" si="38"/>
        <v>1255.6467414938998</v>
      </c>
      <c r="P46" s="60">
        <f t="shared" si="38"/>
        <v>1947.1623382586558</v>
      </c>
      <c r="Q46" s="60">
        <f t="shared" si="38"/>
        <v>1210.3982102688942</v>
      </c>
      <c r="R46" s="60">
        <f t="shared" si="38"/>
        <v>3480.6787911877532</v>
      </c>
      <c r="S46" s="60">
        <f t="shared" si="38"/>
        <v>3480.6787911877532</v>
      </c>
      <c r="T46" s="60">
        <f t="shared" si="38"/>
        <v>1255.6467414938998</v>
      </c>
      <c r="U46" s="60">
        <f t="shared" si="38"/>
        <v>1947.1623382586558</v>
      </c>
      <c r="V46" s="60">
        <f t="shared" si="38"/>
        <v>966.57698805645509</v>
      </c>
      <c r="W46" s="60">
        <f t="shared" si="38"/>
        <v>1947.1623382586558</v>
      </c>
      <c r="X46" s="60">
        <f t="shared" si="38"/>
        <v>1255.6467414938998</v>
      </c>
      <c r="Y46" s="60">
        <f t="shared" si="38"/>
        <v>4096.1646749953443</v>
      </c>
      <c r="Z46" s="60">
        <f t="shared" si="38"/>
        <v>1947.1623382586558</v>
      </c>
      <c r="AA46" s="60">
        <f t="shared" si="38"/>
        <v>4720.8081988702488</v>
      </c>
      <c r="AB46" s="60">
        <f t="shared" si="38"/>
        <v>1580.6376628217324</v>
      </c>
      <c r="AC46" s="94">
        <f>IF(AND(AD46&lt;&gt;".",AU46&lt;&gt;".",BA46&lt;&gt;".",BB46&lt;&gt;"."),SUM(AD46,AU46,BA46:BB46),".")</f>
        <v>4.113380858125E-2</v>
      </c>
      <c r="AD46" s="94">
        <f>IF(D46=".",".",s_RadSpec!$F$10*(AD10*$B46))</f>
        <v>7.1825070624999985E-3</v>
      </c>
      <c r="AE46" s="94">
        <f>IF(E46=".",".",s_RadSpec!$F$10*(AE10*$B46))</f>
        <v>2.7353070937499998E-2</v>
      </c>
      <c r="AF46" s="94">
        <f>IF(F46=".",".",s_RadSpec!$F$10*(AF10*$B46))</f>
        <v>2.0654359687500002E-2</v>
      </c>
      <c r="AG46" s="94">
        <f>IF(G46=".",".",s_RadSpec!$F$10*(AG10*$B46))</f>
        <v>5.8055497499999997E-3</v>
      </c>
      <c r="AH46" s="94">
        <f>IF(H46=".",".",s_RadSpec!$F$10*(AH10*$B46))</f>
        <v>1.28391965625E-2</v>
      </c>
      <c r="AI46" s="94">
        <f>IF(I46=".",".",s_RadSpec!$F$10*(AI10*$B46))</f>
        <v>2.7353070937499998E-2</v>
      </c>
      <c r="AJ46" s="94">
        <f>IF(J46=".",".",s_RadSpec!$F$10*(AJ10*$B46))</f>
        <v>2.0654359687500002E-2</v>
      </c>
      <c r="AK46" s="94">
        <f>IF(K46=".",".",s_RadSpec!$F$10*(AK10*$B46))</f>
        <v>7.1825070624999985E-3</v>
      </c>
      <c r="AL46" s="94">
        <f>IF(L46=".",".",s_RadSpec!$F$10*(AL10*$B46))</f>
        <v>1.7305004062500001E-2</v>
      </c>
      <c r="AM46" s="94">
        <f>IF(M46=".",".",s_RadSpec!$F$10*(AM10*$B46))</f>
        <v>1.28391965625E-2</v>
      </c>
      <c r="AN46" s="94">
        <f>IF(N46=".",".",s_RadSpec!$F$10*(AN10*$B46))</f>
        <v>2.7353070937499998E-2</v>
      </c>
      <c r="AO46" s="94">
        <f>IF(O46=".",".",s_RadSpec!$F$10*(AO10*$B46))</f>
        <v>1.9910058437499999E-2</v>
      </c>
      <c r="AP46" s="94">
        <f>IF(P46=".",".",s_RadSpec!$F$10*(AP10*$B46))</f>
        <v>1.28391965625E-2</v>
      </c>
      <c r="AQ46" s="94">
        <f>IF(Q46=".",".",s_RadSpec!$F$10*(AQ10*$B46))</f>
        <v>2.0654359687500002E-2</v>
      </c>
      <c r="AR46" s="94">
        <f>IF(R46=".",".",s_RadSpec!$F$10*(AR10*$B46))</f>
        <v>7.1825070624999985E-3</v>
      </c>
      <c r="AS46" s="94">
        <f>IF(S46=".",".",s_RadSpec!$F$10*(AS10*$B46))</f>
        <v>7.1825070624999985E-3</v>
      </c>
      <c r="AT46" s="94">
        <f>IF(T46=".",".",s_RadSpec!$F$10*(AT10*$B46))</f>
        <v>1.9910058437499999E-2</v>
      </c>
      <c r="AU46" s="94">
        <f>IF(U46=".",".",s_RadSpec!$F$10*(AU10*$B46))</f>
        <v>1.28391965625E-2</v>
      </c>
      <c r="AV46" s="94">
        <f>IF(V46=".",".",s_RadSpec!$F$10*(AV10*$B46))</f>
        <v>2.58644684375E-2</v>
      </c>
      <c r="AW46" s="94">
        <f>IF(W46=".",".",s_RadSpec!$F$10*(AW10*$B46))</f>
        <v>1.28391965625E-2</v>
      </c>
      <c r="AX46" s="94">
        <f>IF(X46=".",".",s_RadSpec!$F$10*(AX10*$B46))</f>
        <v>1.9910058437499999E-2</v>
      </c>
      <c r="AY46" s="94">
        <f>IF(Y46=".",".",s_RadSpec!$F$10*(AY10*$B46))</f>
        <v>6.1032702499999991E-3</v>
      </c>
      <c r="AZ46" s="94">
        <f>IF(Z46=".",".",s_RadSpec!$F$10*(AZ10*$B46))</f>
        <v>1.28391965625E-2</v>
      </c>
      <c r="BA46" s="94">
        <f>IF(AA46=".",".",s_RadSpec!$F$10*(BA10*$B46))</f>
        <v>5.2957033937499984E-3</v>
      </c>
      <c r="BB46" s="94">
        <f>IF(AB46=".",".",s_RadSpec!$F$10*(BB10*$B46))</f>
        <v>1.5816401562500002E-2</v>
      </c>
      <c r="BC46" s="60">
        <f t="shared" ref="BC46:CB46" si="39">IFERROR(BC10/$B46,".")</f>
        <v>607.77255649980668</v>
      </c>
      <c r="BD46" s="60">
        <f t="shared" si="39"/>
        <v>3480.6787911877532</v>
      </c>
      <c r="BE46" s="60">
        <f t="shared" si="39"/>
        <v>913.97415877447122</v>
      </c>
      <c r="BF46" s="60">
        <f t="shared" si="39"/>
        <v>1210.3982102688942</v>
      </c>
      <c r="BG46" s="60">
        <f t="shared" si="39"/>
        <v>4306.2244019181817</v>
      </c>
      <c r="BH46" s="60">
        <f t="shared" si="39"/>
        <v>1947.1623382586558</v>
      </c>
      <c r="BI46" s="60">
        <f t="shared" si="39"/>
        <v>913.97415877447122</v>
      </c>
      <c r="BJ46" s="60">
        <f t="shared" si="39"/>
        <v>1210.3982102688942</v>
      </c>
      <c r="BK46" s="60">
        <f t="shared" si="39"/>
        <v>3480.6787911877532</v>
      </c>
      <c r="BL46" s="60">
        <f t="shared" si="39"/>
        <v>1444.6688316112609</v>
      </c>
      <c r="BM46" s="60">
        <f t="shared" si="39"/>
        <v>1947.1623382586558</v>
      </c>
      <c r="BN46" s="60">
        <f t="shared" si="39"/>
        <v>913.97415877447122</v>
      </c>
      <c r="BO46" s="60">
        <f t="shared" si="39"/>
        <v>1255.6467414938998</v>
      </c>
      <c r="BP46" s="60">
        <f t="shared" si="39"/>
        <v>1947.1623382586558</v>
      </c>
      <c r="BQ46" s="60">
        <f t="shared" si="39"/>
        <v>1210.3982102688942</v>
      </c>
      <c r="BR46" s="60">
        <f t="shared" si="39"/>
        <v>3480.6787911877532</v>
      </c>
      <c r="BS46" s="60">
        <f t="shared" si="39"/>
        <v>3480.6787911877532</v>
      </c>
      <c r="BT46" s="60">
        <f t="shared" si="39"/>
        <v>1255.6467414938998</v>
      </c>
      <c r="BU46" s="60">
        <f t="shared" si="39"/>
        <v>1947.1623382586558</v>
      </c>
      <c r="BV46" s="60">
        <f t="shared" si="39"/>
        <v>966.57698805645509</v>
      </c>
      <c r="BW46" s="60">
        <f t="shared" si="39"/>
        <v>1947.1623382586558</v>
      </c>
      <c r="BX46" s="60">
        <f t="shared" si="39"/>
        <v>1255.6467414938998</v>
      </c>
      <c r="BY46" s="60">
        <f t="shared" si="39"/>
        <v>4096.1646749953443</v>
      </c>
      <c r="BZ46" s="60">
        <f t="shared" si="39"/>
        <v>1947.1623382586558</v>
      </c>
      <c r="CA46" s="60">
        <f t="shared" si="39"/>
        <v>4720.8081988702488</v>
      </c>
      <c r="CB46" s="60">
        <f t="shared" si="39"/>
        <v>1580.6376628217324</v>
      </c>
      <c r="CC46" s="94">
        <f>IF(AND(CD46&lt;&gt;".",CU46&lt;&gt;".",DA46&lt;&gt;".",DB46&lt;&gt;"."),SUM(CD46,CU46,DA46:DB46),".")</f>
        <v>4.113380858125E-2</v>
      </c>
      <c r="CD46" s="94">
        <f>IF(BD46=".",".",s_RadSpec!$F$10*(CD10*$B46))</f>
        <v>7.1825070624999985E-3</v>
      </c>
      <c r="CE46" s="94">
        <f>IF(BE46=".",".",s_RadSpec!$F$10*(CE10*$B46))</f>
        <v>2.7353070937499998E-2</v>
      </c>
      <c r="CF46" s="94">
        <f>IF(BF46=".",".",s_RadSpec!$F$10*(CF10*$B46))</f>
        <v>2.0654359687500002E-2</v>
      </c>
      <c r="CG46" s="94">
        <f>IF(BG46=".",".",s_RadSpec!$F$10*(CG10*$B46))</f>
        <v>5.8055497499999997E-3</v>
      </c>
      <c r="CH46" s="94">
        <f>IF(BH46=".",".",s_RadSpec!$F$10*(CH10*$B46))</f>
        <v>1.28391965625E-2</v>
      </c>
      <c r="CI46" s="94">
        <f>IF(BI46=".",".",s_RadSpec!$F$10*(CI10*$B46))</f>
        <v>2.7353070937499998E-2</v>
      </c>
      <c r="CJ46" s="94">
        <f>IF(BJ46=".",".",s_RadSpec!$F$10*(CJ10*$B46))</f>
        <v>2.0654359687500002E-2</v>
      </c>
      <c r="CK46" s="94">
        <f>IF(BK46=".",".",s_RadSpec!$F$10*(CK10*$B46))</f>
        <v>7.1825070624999985E-3</v>
      </c>
      <c r="CL46" s="94">
        <f>IF(BL46=".",".",s_RadSpec!$F$10*(CL10*$B46))</f>
        <v>1.7305004062500001E-2</v>
      </c>
      <c r="CM46" s="94">
        <f>IF(BM46=".",".",s_RadSpec!$F$10*(CM10*$B46))</f>
        <v>1.28391965625E-2</v>
      </c>
      <c r="CN46" s="94">
        <f>IF(BN46=".",".",s_RadSpec!$F$10*(CN10*$B46))</f>
        <v>2.7353070937499998E-2</v>
      </c>
      <c r="CO46" s="94">
        <f>IF(BO46=".",".",s_RadSpec!$F$10*(CO10*$B46))</f>
        <v>1.9910058437499999E-2</v>
      </c>
      <c r="CP46" s="94">
        <f>IF(BP46=".",".",s_RadSpec!$F$10*(CP10*$B46))</f>
        <v>1.28391965625E-2</v>
      </c>
      <c r="CQ46" s="94">
        <f>IF(BQ46=".",".",s_RadSpec!$F$10*(CQ10*$B46))</f>
        <v>2.0654359687500002E-2</v>
      </c>
      <c r="CR46" s="94">
        <f>IF(BR46=".",".",s_RadSpec!$F$10*(CR10*$B46))</f>
        <v>7.1825070624999985E-3</v>
      </c>
      <c r="CS46" s="94">
        <f>IF(BS46=".",".",s_RadSpec!$F$10*(CS10*$B46))</f>
        <v>7.1825070624999985E-3</v>
      </c>
      <c r="CT46" s="94">
        <f>IF(BT46=".",".",s_RadSpec!$F$10*(CT10*$B46))</f>
        <v>1.9910058437499999E-2</v>
      </c>
      <c r="CU46" s="94">
        <f>IF(BU46=".",".",s_RadSpec!$F$10*(CU10*$B46))</f>
        <v>1.28391965625E-2</v>
      </c>
      <c r="CV46" s="94">
        <f>IF(BV46=".",".",s_RadSpec!$F$10*(CV10*$B46))</f>
        <v>2.58644684375E-2</v>
      </c>
      <c r="CW46" s="94">
        <f>IF(BW46=".",".",s_RadSpec!$F$10*(CW10*$B46))</f>
        <v>1.28391965625E-2</v>
      </c>
      <c r="CX46" s="94">
        <f>IF(BX46=".",".",s_RadSpec!$F$10*(CX10*$B46))</f>
        <v>1.9910058437499999E-2</v>
      </c>
      <c r="CY46" s="94">
        <f>IF(BY46=".",".",s_RadSpec!$F$10*(CY10*$B46))</f>
        <v>6.1032702499999991E-3</v>
      </c>
      <c r="CZ46" s="94">
        <f>IF(BZ46=".",".",s_RadSpec!$F$10*(CZ10*$B46))</f>
        <v>1.28391965625E-2</v>
      </c>
      <c r="DA46" s="94">
        <f>IF(CA46=".",".",s_RadSpec!$F$10*(DA10*$B46))</f>
        <v>5.2957033937499984E-3</v>
      </c>
      <c r="DB46" s="94">
        <f>IF(CB46=".",".",s_RadSpec!$F$10*(DB10*$B46))</f>
        <v>1.5816401562500002E-2</v>
      </c>
    </row>
    <row r="47" spans="1:106" x14ac:dyDescent="0.25">
      <c r="A47" s="77" t="s">
        <v>1058</v>
      </c>
      <c r="B47" s="79">
        <v>0.94399</v>
      </c>
      <c r="C47" s="60" t="str">
        <f t="shared" ref="C47:AB47" si="40">IFERROR(C6/$B$47,".")</f>
        <v>.</v>
      </c>
      <c r="D47" s="60" t="str">
        <f t="shared" si="40"/>
        <v>.</v>
      </c>
      <c r="E47" s="60" t="str">
        <f t="shared" si="40"/>
        <v>.</v>
      </c>
      <c r="F47" s="60" t="str">
        <f t="shared" si="40"/>
        <v>.</v>
      </c>
      <c r="G47" s="60" t="str">
        <f t="shared" si="40"/>
        <v>.</v>
      </c>
      <c r="H47" s="60" t="str">
        <f t="shared" si="40"/>
        <v>.</v>
      </c>
      <c r="I47" s="60" t="str">
        <f t="shared" si="40"/>
        <v>.</v>
      </c>
      <c r="J47" s="60" t="str">
        <f t="shared" si="40"/>
        <v>.</v>
      </c>
      <c r="K47" s="60" t="str">
        <f t="shared" si="40"/>
        <v>.</v>
      </c>
      <c r="L47" s="60" t="str">
        <f t="shared" si="40"/>
        <v>.</v>
      </c>
      <c r="M47" s="60" t="str">
        <f t="shared" si="40"/>
        <v>.</v>
      </c>
      <c r="N47" s="60" t="str">
        <f t="shared" si="40"/>
        <v>.</v>
      </c>
      <c r="O47" s="60" t="str">
        <f t="shared" si="40"/>
        <v>.</v>
      </c>
      <c r="P47" s="60" t="str">
        <f t="shared" si="40"/>
        <v>.</v>
      </c>
      <c r="Q47" s="60" t="str">
        <f t="shared" si="40"/>
        <v>.</v>
      </c>
      <c r="R47" s="60" t="str">
        <f t="shared" si="40"/>
        <v>.</v>
      </c>
      <c r="S47" s="60" t="str">
        <f t="shared" si="40"/>
        <v>.</v>
      </c>
      <c r="T47" s="60" t="str">
        <f t="shared" si="40"/>
        <v>.</v>
      </c>
      <c r="U47" s="60" t="str">
        <f t="shared" si="40"/>
        <v>.</v>
      </c>
      <c r="V47" s="60" t="str">
        <f t="shared" si="40"/>
        <v>.</v>
      </c>
      <c r="W47" s="60" t="str">
        <f t="shared" si="40"/>
        <v>.</v>
      </c>
      <c r="X47" s="60" t="str">
        <f t="shared" si="40"/>
        <v>.</v>
      </c>
      <c r="Y47" s="60" t="str">
        <f t="shared" si="40"/>
        <v>.</v>
      </c>
      <c r="Z47" s="60" t="str">
        <f t="shared" si="40"/>
        <v>.</v>
      </c>
      <c r="AA47" s="60" t="str">
        <f t="shared" si="40"/>
        <v>.</v>
      </c>
      <c r="AB47" s="60" t="str">
        <f t="shared" si="40"/>
        <v>.</v>
      </c>
      <c r="AC47" s="94" t="str">
        <f>IF(AND(AD47&lt;&gt;".",AU47&lt;&gt;".",BA47&lt;&gt;".",BB47&lt;&gt;"."),SUM(AD47,AU47,BA47:BB47),".")</f>
        <v>.</v>
      </c>
      <c r="AD47" s="94" t="str">
        <f>IF(D47=".",".",s_RadSpec!$F$6*(AD6*$B47))</f>
        <v>.</v>
      </c>
      <c r="AE47" s="94" t="str">
        <f>IF(E47=".",".",s_RadSpec!$F$6*(AE6*$B47))</f>
        <v>.</v>
      </c>
      <c r="AF47" s="94" t="str">
        <f>IF(F47=".",".",s_RadSpec!$F$6*(AF6*$B47))</f>
        <v>.</v>
      </c>
      <c r="AG47" s="94" t="str">
        <f>IF(G47=".",".",s_RadSpec!$F$6*(AG6*$B47))</f>
        <v>.</v>
      </c>
      <c r="AH47" s="94" t="str">
        <f>IF(H47=".",".",s_RadSpec!$F$6*(AH6*$B47))</f>
        <v>.</v>
      </c>
      <c r="AI47" s="94" t="str">
        <f>IF(I47=".",".",s_RadSpec!$F$6*(AI6*$B47))</f>
        <v>.</v>
      </c>
      <c r="AJ47" s="94" t="str">
        <f>IF(J47=".",".",s_RadSpec!$F$6*(AJ6*$B47))</f>
        <v>.</v>
      </c>
      <c r="AK47" s="94" t="str">
        <f>IF(K47=".",".",s_RadSpec!$F$6*(AK6*$B47))</f>
        <v>.</v>
      </c>
      <c r="AL47" s="94" t="str">
        <f>IF(L47=".",".",s_RadSpec!$F$6*(AL6*$B47))</f>
        <v>.</v>
      </c>
      <c r="AM47" s="94" t="str">
        <f>IF(M47=".",".",s_RadSpec!$F$6*(AM6*$B47))</f>
        <v>.</v>
      </c>
      <c r="AN47" s="94" t="str">
        <f>IF(N47=".",".",s_RadSpec!$F$6*(AN6*$B47))</f>
        <v>.</v>
      </c>
      <c r="AO47" s="94" t="str">
        <f>IF(O47=".",".",s_RadSpec!$F$6*(AO6*$B47))</f>
        <v>.</v>
      </c>
      <c r="AP47" s="94" t="str">
        <f>IF(P47=".",".",s_RadSpec!$F$6*(AP6*$B47))</f>
        <v>.</v>
      </c>
      <c r="AQ47" s="94" t="str">
        <f>IF(Q47=".",".",s_RadSpec!$F$6*(AQ6*$B47))</f>
        <v>.</v>
      </c>
      <c r="AR47" s="94" t="str">
        <f>IF(R47=".",".",s_RadSpec!$F$6*(AR6*$B47))</f>
        <v>.</v>
      </c>
      <c r="AS47" s="94" t="str">
        <f>IF(S47=".",".",s_RadSpec!$F$6*(AS6*$B47))</f>
        <v>.</v>
      </c>
      <c r="AT47" s="94" t="str">
        <f>IF(T47=".",".",s_RadSpec!$F$6*(AT6*$B47))</f>
        <v>.</v>
      </c>
      <c r="AU47" s="94" t="str">
        <f>IF(U47=".",".",s_RadSpec!$F$6*(AU6*$B47))</f>
        <v>.</v>
      </c>
      <c r="AV47" s="94" t="str">
        <f>IF(V47=".",".",s_RadSpec!$F$6*(AV6*$B47))</f>
        <v>.</v>
      </c>
      <c r="AW47" s="94" t="str">
        <f>IF(W47=".",".",s_RadSpec!$F$6*(AW6*$B47))</f>
        <v>.</v>
      </c>
      <c r="AX47" s="94" t="str">
        <f>IF(X47=".",".",s_RadSpec!$F$6*(AX6*$B47))</f>
        <v>.</v>
      </c>
      <c r="AY47" s="94" t="str">
        <f>IF(Y47=".",".",s_RadSpec!$F$6*(AY6*$B47))</f>
        <v>.</v>
      </c>
      <c r="AZ47" s="94" t="str">
        <f>IF(Z47=".",".",s_RadSpec!$F$6*(AZ6*$B47))</f>
        <v>.</v>
      </c>
      <c r="BA47" s="94" t="str">
        <f>IF(AA47=".",".",s_RadSpec!$F$6*(BA6*$B47))</f>
        <v>.</v>
      </c>
      <c r="BB47" s="94" t="str">
        <f>IF(AB47=".",".",s_RadSpec!$F$6*(BB6*$B47))</f>
        <v>.</v>
      </c>
      <c r="BC47" s="60" t="str">
        <f t="shared" ref="BC47:CB47" si="41">IFERROR(BC6/$B$47,".")</f>
        <v>.</v>
      </c>
      <c r="BD47" s="60" t="str">
        <f t="shared" si="41"/>
        <v>.</v>
      </c>
      <c r="BE47" s="60" t="str">
        <f t="shared" si="41"/>
        <v>.</v>
      </c>
      <c r="BF47" s="60" t="str">
        <f t="shared" si="41"/>
        <v>.</v>
      </c>
      <c r="BG47" s="60" t="str">
        <f t="shared" si="41"/>
        <v>.</v>
      </c>
      <c r="BH47" s="60" t="str">
        <f t="shared" si="41"/>
        <v>.</v>
      </c>
      <c r="BI47" s="60" t="str">
        <f t="shared" si="41"/>
        <v>.</v>
      </c>
      <c r="BJ47" s="60" t="str">
        <f t="shared" si="41"/>
        <v>.</v>
      </c>
      <c r="BK47" s="60" t="str">
        <f t="shared" si="41"/>
        <v>.</v>
      </c>
      <c r="BL47" s="60" t="str">
        <f t="shared" si="41"/>
        <v>.</v>
      </c>
      <c r="BM47" s="60" t="str">
        <f t="shared" si="41"/>
        <v>.</v>
      </c>
      <c r="BN47" s="60" t="str">
        <f t="shared" si="41"/>
        <v>.</v>
      </c>
      <c r="BO47" s="60" t="str">
        <f t="shared" si="41"/>
        <v>.</v>
      </c>
      <c r="BP47" s="60" t="str">
        <f t="shared" si="41"/>
        <v>.</v>
      </c>
      <c r="BQ47" s="60" t="str">
        <f t="shared" si="41"/>
        <v>.</v>
      </c>
      <c r="BR47" s="60" t="str">
        <f t="shared" si="41"/>
        <v>.</v>
      </c>
      <c r="BS47" s="60" t="str">
        <f t="shared" si="41"/>
        <v>.</v>
      </c>
      <c r="BT47" s="60" t="str">
        <f t="shared" si="41"/>
        <v>.</v>
      </c>
      <c r="BU47" s="60" t="str">
        <f t="shared" si="41"/>
        <v>.</v>
      </c>
      <c r="BV47" s="60" t="str">
        <f t="shared" si="41"/>
        <v>.</v>
      </c>
      <c r="BW47" s="60" t="str">
        <f t="shared" si="41"/>
        <v>.</v>
      </c>
      <c r="BX47" s="60" t="str">
        <f t="shared" si="41"/>
        <v>.</v>
      </c>
      <c r="BY47" s="60" t="str">
        <f t="shared" si="41"/>
        <v>.</v>
      </c>
      <c r="BZ47" s="60" t="str">
        <f t="shared" si="41"/>
        <v>.</v>
      </c>
      <c r="CA47" s="60" t="str">
        <f t="shared" si="41"/>
        <v>.</v>
      </c>
      <c r="CB47" s="60" t="str">
        <f t="shared" si="41"/>
        <v>.</v>
      </c>
      <c r="CC47" s="94" t="str">
        <f>IF(AND(CD47&lt;&gt;".",CU47&lt;&gt;".",DA47&lt;&gt;".",DB47&lt;&gt;"."),SUM(CD47,CU47,DA47:DB47),".")</f>
        <v>.</v>
      </c>
      <c r="CD47" s="94" t="str">
        <f>IF(BD47=".",".",s_RadSpec!$F$6*(CD6*$B47))</f>
        <v>.</v>
      </c>
      <c r="CE47" s="94" t="str">
        <f>IF(BE47=".",".",s_RadSpec!$F$6*(CE6*$B47))</f>
        <v>.</v>
      </c>
      <c r="CF47" s="94" t="str">
        <f>IF(BF47=".",".",s_RadSpec!$F$6*(CF6*$B47))</f>
        <v>.</v>
      </c>
      <c r="CG47" s="94" t="str">
        <f>IF(BG47=".",".",s_RadSpec!$F$6*(CG6*$B47))</f>
        <v>.</v>
      </c>
      <c r="CH47" s="94" t="str">
        <f>IF(BH47=".",".",s_RadSpec!$F$6*(CH6*$B47))</f>
        <v>.</v>
      </c>
      <c r="CI47" s="94" t="str">
        <f>IF(BI47=".",".",s_RadSpec!$F$6*(CI6*$B47))</f>
        <v>.</v>
      </c>
      <c r="CJ47" s="94" t="str">
        <f>IF(BJ47=".",".",s_RadSpec!$F$6*(CJ6*$B47))</f>
        <v>.</v>
      </c>
      <c r="CK47" s="94" t="str">
        <f>IF(BK47=".",".",s_RadSpec!$F$6*(CK6*$B47))</f>
        <v>.</v>
      </c>
      <c r="CL47" s="94" t="str">
        <f>IF(BL47=".",".",s_RadSpec!$F$6*(CL6*$B47))</f>
        <v>.</v>
      </c>
      <c r="CM47" s="94" t="str">
        <f>IF(BM47=".",".",s_RadSpec!$F$6*(CM6*$B47))</f>
        <v>.</v>
      </c>
      <c r="CN47" s="94" t="str">
        <f>IF(BN47=".",".",s_RadSpec!$F$6*(CN6*$B47))</f>
        <v>.</v>
      </c>
      <c r="CO47" s="94" t="str">
        <f>IF(BO47=".",".",s_RadSpec!$F$6*(CO6*$B47))</f>
        <v>.</v>
      </c>
      <c r="CP47" s="94" t="str">
        <f>IF(BP47=".",".",s_RadSpec!$F$6*(CP6*$B47))</f>
        <v>.</v>
      </c>
      <c r="CQ47" s="94" t="str">
        <f>IF(BQ47=".",".",s_RadSpec!$F$6*(CQ6*$B47))</f>
        <v>.</v>
      </c>
      <c r="CR47" s="94" t="str">
        <f>IF(BR47=".",".",s_RadSpec!$F$6*(CR6*$B47))</f>
        <v>.</v>
      </c>
      <c r="CS47" s="94" t="str">
        <f>IF(BS47=".",".",s_RadSpec!$F$6*(CS6*$B47))</f>
        <v>.</v>
      </c>
      <c r="CT47" s="94" t="str">
        <f>IF(BT47=".",".",s_RadSpec!$F$6*(CT6*$B47))</f>
        <v>.</v>
      </c>
      <c r="CU47" s="94" t="str">
        <f>IF(BU47=".",".",s_RadSpec!$F$6*(CU6*$B47))</f>
        <v>.</v>
      </c>
      <c r="CV47" s="94" t="str">
        <f>IF(BV47=".",".",s_RadSpec!$F$6*(CV6*$B47))</f>
        <v>.</v>
      </c>
      <c r="CW47" s="94" t="str">
        <f>IF(BW47=".",".",s_RadSpec!$F$6*(CW6*$B47))</f>
        <v>.</v>
      </c>
      <c r="CX47" s="94" t="str">
        <f>IF(BX47=".",".",s_RadSpec!$F$6*(CX6*$B47))</f>
        <v>.</v>
      </c>
      <c r="CY47" s="94" t="str">
        <f>IF(BY47=".",".",s_RadSpec!$F$6*(CY6*$B47))</f>
        <v>.</v>
      </c>
      <c r="CZ47" s="94" t="str">
        <f>IF(BZ47=".",".",s_RadSpec!$F$6*(CZ6*$B47))</f>
        <v>.</v>
      </c>
      <c r="DA47" s="94" t="str">
        <f>IF(CA47=".",".",s_RadSpec!$F$6*(DA6*$B47))</f>
        <v>.</v>
      </c>
      <c r="DB47" s="94" t="str">
        <f>IF(CB47=".",".",s_RadSpec!$F$6*(DB6*$B47))</f>
        <v>.</v>
      </c>
    </row>
    <row r="48" spans="1:106" x14ac:dyDescent="0.25">
      <c r="A48" s="76" t="s">
        <v>21</v>
      </c>
      <c r="B48" s="76" t="s">
        <v>1057</v>
      </c>
      <c r="C48" s="58">
        <f t="shared" ref="C48:AB48" si="42">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3.4879250427276567</v>
      </c>
      <c r="D48" s="58">
        <f t="shared" si="42"/>
        <v>15.190586901887269</v>
      </c>
      <c r="E48" s="58">
        <f t="shared" si="42"/>
        <v>4.976821214094663</v>
      </c>
      <c r="F48" s="58">
        <f t="shared" si="42"/>
        <v>8.8550904138342617</v>
      </c>
      <c r="G48" s="58">
        <f t="shared" si="42"/>
        <v>15.190586901887269</v>
      </c>
      <c r="H48" s="58">
        <f t="shared" si="42"/>
        <v>13.317588144301656</v>
      </c>
      <c r="I48" s="58">
        <f t="shared" si="42"/>
        <v>4.976821214094663</v>
      </c>
      <c r="J48" s="58">
        <f t="shared" si="42"/>
        <v>8.8550904138342617</v>
      </c>
      <c r="K48" s="58">
        <f t="shared" si="42"/>
        <v>15.190586901887269</v>
      </c>
      <c r="L48" s="58">
        <f t="shared" si="42"/>
        <v>19.228222534123908</v>
      </c>
      <c r="M48" s="58">
        <f t="shared" si="42"/>
        <v>13.317588144301656</v>
      </c>
      <c r="N48" s="58">
        <f t="shared" si="42"/>
        <v>4.976821214094663</v>
      </c>
      <c r="O48" s="58">
        <f t="shared" si="42"/>
        <v>15.967120704768705</v>
      </c>
      <c r="P48" s="58">
        <f t="shared" si="42"/>
        <v>13.317588144301656</v>
      </c>
      <c r="Q48" s="58">
        <f t="shared" si="42"/>
        <v>8.8550904138342617</v>
      </c>
      <c r="R48" s="58">
        <f t="shared" si="42"/>
        <v>15.190586901887269</v>
      </c>
      <c r="S48" s="58">
        <f t="shared" si="42"/>
        <v>15.190586901887269</v>
      </c>
      <c r="T48" s="58">
        <f t="shared" si="42"/>
        <v>15.967120704768705</v>
      </c>
      <c r="U48" s="58">
        <f t="shared" si="42"/>
        <v>13.317588144301656</v>
      </c>
      <c r="V48" s="58">
        <f t="shared" si="42"/>
        <v>16.25271281112844</v>
      </c>
      <c r="W48" s="58">
        <f t="shared" si="42"/>
        <v>13.317588144301656</v>
      </c>
      <c r="X48" s="58">
        <f t="shared" si="42"/>
        <v>15.967120704768705</v>
      </c>
      <c r="Y48" s="58">
        <f t="shared" si="42"/>
        <v>15.190586901887269</v>
      </c>
      <c r="Z48" s="58">
        <f t="shared" si="42"/>
        <v>13.317588144301656</v>
      </c>
      <c r="AA48" s="58">
        <f t="shared" si="42"/>
        <v>13.300541610054406</v>
      </c>
      <c r="AB48" s="58">
        <f t="shared" si="42"/>
        <v>14.164388577032724</v>
      </c>
      <c r="AC48" s="91">
        <f>IFERROR(SUM(AD49:AD62,AU49:AU62,BA49:BA62,BB49:BB62),".")</f>
        <v>7.1675852243800771</v>
      </c>
      <c r="AD48" s="91">
        <f>IFERROR(SUM(AD49:AD62),".")</f>
        <v>1.6457560304594958</v>
      </c>
      <c r="AE48" s="91">
        <f t="shared" ref="AE48:BB48" si="43">IFERROR(SUM(AE49:AE62),".")</f>
        <v>5.0232867375662336</v>
      </c>
      <c r="AF48" s="91">
        <f t="shared" si="43"/>
        <v>2.8232348662349773</v>
      </c>
      <c r="AG48" s="91">
        <f t="shared" si="43"/>
        <v>1.6457560304594958</v>
      </c>
      <c r="AH48" s="91">
        <f t="shared" si="43"/>
        <v>1.8772167849849772</v>
      </c>
      <c r="AI48" s="91">
        <f t="shared" si="43"/>
        <v>5.0232867375662336</v>
      </c>
      <c r="AJ48" s="91">
        <f t="shared" si="43"/>
        <v>2.8232348662349773</v>
      </c>
      <c r="AK48" s="91">
        <f t="shared" si="43"/>
        <v>1.6457560304594958</v>
      </c>
      <c r="AL48" s="91">
        <f t="shared" si="43"/>
        <v>1.3001721794946488</v>
      </c>
      <c r="AM48" s="91">
        <f t="shared" si="43"/>
        <v>1.8772167849849772</v>
      </c>
      <c r="AN48" s="91">
        <f t="shared" si="43"/>
        <v>5.0232867375662336</v>
      </c>
      <c r="AO48" s="91">
        <f t="shared" si="43"/>
        <v>1.5657174804555436</v>
      </c>
      <c r="AP48" s="91">
        <f t="shared" si="43"/>
        <v>1.8772167849849772</v>
      </c>
      <c r="AQ48" s="91">
        <f t="shared" si="43"/>
        <v>2.8232348662349773</v>
      </c>
      <c r="AR48" s="91">
        <f t="shared" si="43"/>
        <v>1.6457560304594958</v>
      </c>
      <c r="AS48" s="91">
        <f t="shared" si="43"/>
        <v>1.6457560304594958</v>
      </c>
      <c r="AT48" s="91">
        <f t="shared" si="43"/>
        <v>1.5657174804555436</v>
      </c>
      <c r="AU48" s="91">
        <f t="shared" si="43"/>
        <v>1.8772167849849772</v>
      </c>
      <c r="AV48" s="91">
        <f t="shared" si="43"/>
        <v>1.5382047471411777</v>
      </c>
      <c r="AW48" s="91">
        <f t="shared" si="43"/>
        <v>1.8772167849849772</v>
      </c>
      <c r="AX48" s="91">
        <f t="shared" si="43"/>
        <v>1.5657174804555436</v>
      </c>
      <c r="AY48" s="91">
        <f t="shared" si="43"/>
        <v>1.6457560304594958</v>
      </c>
      <c r="AZ48" s="91">
        <f t="shared" si="43"/>
        <v>1.8772167849849772</v>
      </c>
      <c r="BA48" s="91">
        <f t="shared" si="43"/>
        <v>1.8796227050710113</v>
      </c>
      <c r="BB48" s="91">
        <f t="shared" si="43"/>
        <v>1.7649897038645923</v>
      </c>
      <c r="BC48" s="58">
        <f t="shared" ref="BC48:CB48" si="44">IFERROR(1/SUM(IFERROR(1/SUMIF(BC49,"&lt;&gt;.",BC49),0),IFERROR(1/SUMIF(BC50,"&lt;&gt;.",BC50),0),IFERROR(1/SUMIF(BC51,"&lt;&gt;.",BC51),0),IFERROR(1/SUMIF(BC52,"&lt;&gt;.",BC52),0),IFERROR(1/SUMIF(BC53,"&lt;&gt;.",BC53),0),IFERROR(1/SUMIF(BC54,"&lt;&gt;.",BC54),0),IFERROR(1/SUMIF(BC55,"&lt;&gt;.",BC55),0),IFERROR(1/SUMIF(BC56,"&lt;&gt;.",BC56),0),IFERROR(1/SUMIF(BC57,"&lt;&gt;.",BC57),0),IFERROR(1/SUMIF(BC58,"&lt;&gt;.",BC58),0),IFERROR(1/SUMIF(BC59,"&lt;&gt;.",BC59),0),IFERROR(1/SUMIF(BC60,"&lt;&gt;.",BC60),0),IFERROR(1/SUMIF(BC61,"&lt;&gt;.",BC61),0),IFERROR(1/SUMIF(BC62,"&lt;&gt;.",BC62),0)),".")</f>
        <v>3.4879250427276567</v>
      </c>
      <c r="BD48" s="58">
        <f t="shared" si="44"/>
        <v>15.190586901887269</v>
      </c>
      <c r="BE48" s="58">
        <f t="shared" si="44"/>
        <v>4.976821214094663</v>
      </c>
      <c r="BF48" s="58">
        <f t="shared" si="44"/>
        <v>8.8550904138342617</v>
      </c>
      <c r="BG48" s="58">
        <f t="shared" si="44"/>
        <v>15.190586901887269</v>
      </c>
      <c r="BH48" s="58">
        <f t="shared" si="44"/>
        <v>13.317588144301656</v>
      </c>
      <c r="BI48" s="58">
        <f t="shared" si="44"/>
        <v>4.976821214094663</v>
      </c>
      <c r="BJ48" s="58">
        <f t="shared" si="44"/>
        <v>8.8550904138342617</v>
      </c>
      <c r="BK48" s="58">
        <f t="shared" si="44"/>
        <v>15.190586901887269</v>
      </c>
      <c r="BL48" s="58">
        <f t="shared" si="44"/>
        <v>19.228222534123908</v>
      </c>
      <c r="BM48" s="58">
        <f t="shared" si="44"/>
        <v>13.317588144301656</v>
      </c>
      <c r="BN48" s="58">
        <f t="shared" si="44"/>
        <v>4.976821214094663</v>
      </c>
      <c r="BO48" s="58">
        <f t="shared" si="44"/>
        <v>15.967120704768705</v>
      </c>
      <c r="BP48" s="58">
        <f t="shared" si="44"/>
        <v>13.317588144301656</v>
      </c>
      <c r="BQ48" s="58">
        <f t="shared" si="44"/>
        <v>8.8550904138342617</v>
      </c>
      <c r="BR48" s="58">
        <f t="shared" si="44"/>
        <v>15.190586901887269</v>
      </c>
      <c r="BS48" s="58">
        <f t="shared" si="44"/>
        <v>15.190586901887269</v>
      </c>
      <c r="BT48" s="58">
        <f t="shared" si="44"/>
        <v>15.967120704768705</v>
      </c>
      <c r="BU48" s="58">
        <f t="shared" si="44"/>
        <v>13.317588144301656</v>
      </c>
      <c r="BV48" s="58">
        <f t="shared" si="44"/>
        <v>16.25271281112844</v>
      </c>
      <c r="BW48" s="58">
        <f t="shared" si="44"/>
        <v>13.317588144301656</v>
      </c>
      <c r="BX48" s="58">
        <f t="shared" si="44"/>
        <v>15.967120704768705</v>
      </c>
      <c r="BY48" s="58">
        <f t="shared" si="44"/>
        <v>15.190586901887269</v>
      </c>
      <c r="BZ48" s="58">
        <f t="shared" si="44"/>
        <v>13.317588144301656</v>
      </c>
      <c r="CA48" s="58">
        <f t="shared" si="44"/>
        <v>13.300541610054406</v>
      </c>
      <c r="CB48" s="58">
        <f t="shared" si="44"/>
        <v>14.164388577032724</v>
      </c>
      <c r="CC48" s="91">
        <f>IFERROR(SUM(CD49:CD62,CU49:CU62,DA49:DA62,DB49:DB62),".")</f>
        <v>7.1675852243800771</v>
      </c>
      <c r="CD48" s="91">
        <f>IFERROR(SUM(CD49:CD62),".")</f>
        <v>1.6457560304594958</v>
      </c>
      <c r="CE48" s="91">
        <f t="shared" ref="CE48:DB48" si="45">IFERROR(SUM(CE49:CE62),".")</f>
        <v>5.0232867375662336</v>
      </c>
      <c r="CF48" s="91">
        <f t="shared" si="45"/>
        <v>2.8232348662349773</v>
      </c>
      <c r="CG48" s="91">
        <f t="shared" si="45"/>
        <v>1.6457560304594958</v>
      </c>
      <c r="CH48" s="91">
        <f t="shared" si="45"/>
        <v>1.8772167849849772</v>
      </c>
      <c r="CI48" s="91">
        <f t="shared" si="45"/>
        <v>5.0232867375662336</v>
      </c>
      <c r="CJ48" s="91">
        <f t="shared" si="45"/>
        <v>2.8232348662349773</v>
      </c>
      <c r="CK48" s="91">
        <f t="shared" si="45"/>
        <v>1.6457560304594958</v>
      </c>
      <c r="CL48" s="91">
        <f t="shared" si="45"/>
        <v>1.3001721794946488</v>
      </c>
      <c r="CM48" s="91">
        <f t="shared" si="45"/>
        <v>1.8772167849849772</v>
      </c>
      <c r="CN48" s="91">
        <f t="shared" si="45"/>
        <v>5.0232867375662336</v>
      </c>
      <c r="CO48" s="91">
        <f t="shared" si="45"/>
        <v>1.5657174804555436</v>
      </c>
      <c r="CP48" s="91">
        <f t="shared" si="45"/>
        <v>1.8772167849849772</v>
      </c>
      <c r="CQ48" s="91">
        <f t="shared" si="45"/>
        <v>2.8232348662349773</v>
      </c>
      <c r="CR48" s="91">
        <f t="shared" si="45"/>
        <v>1.6457560304594958</v>
      </c>
      <c r="CS48" s="91">
        <f t="shared" si="45"/>
        <v>1.6457560304594958</v>
      </c>
      <c r="CT48" s="91">
        <f t="shared" si="45"/>
        <v>1.5657174804555436</v>
      </c>
      <c r="CU48" s="91">
        <f t="shared" si="45"/>
        <v>1.8772167849849772</v>
      </c>
      <c r="CV48" s="91">
        <f t="shared" si="45"/>
        <v>1.5382047471411777</v>
      </c>
      <c r="CW48" s="91">
        <f t="shared" si="45"/>
        <v>1.8772167849849772</v>
      </c>
      <c r="CX48" s="91">
        <f t="shared" si="45"/>
        <v>1.5657174804555436</v>
      </c>
      <c r="CY48" s="91">
        <f t="shared" si="45"/>
        <v>1.6457560304594958</v>
      </c>
      <c r="CZ48" s="91">
        <f t="shared" si="45"/>
        <v>1.8772167849849772</v>
      </c>
      <c r="DA48" s="91">
        <f t="shared" si="45"/>
        <v>1.8796227050710113</v>
      </c>
      <c r="DB48" s="91">
        <f t="shared" si="45"/>
        <v>1.7649897038645923</v>
      </c>
    </row>
    <row r="49" spans="1:106" x14ac:dyDescent="0.25">
      <c r="A49" s="77" t="s">
        <v>1086</v>
      </c>
      <c r="B49" s="42">
        <v>1</v>
      </c>
      <c r="C49" s="60">
        <f t="shared" ref="C49:AB49" si="46">IFERROR(C23/$B49,".")</f>
        <v>19.948496127878233</v>
      </c>
      <c r="D49" s="60">
        <f t="shared" si="46"/>
        <v>83.927992006949836</v>
      </c>
      <c r="E49" s="60">
        <f t="shared" si="46"/>
        <v>18.87375896807006</v>
      </c>
      <c r="F49" s="60">
        <f t="shared" si="46"/>
        <v>23.620452840279292</v>
      </c>
      <c r="G49" s="60">
        <f t="shared" si="46"/>
        <v>83.927992006949836</v>
      </c>
      <c r="H49" s="60">
        <f t="shared" si="46"/>
        <v>64.665829906994134</v>
      </c>
      <c r="I49" s="60">
        <f t="shared" si="46"/>
        <v>18.87375896807006</v>
      </c>
      <c r="J49" s="60">
        <f t="shared" si="46"/>
        <v>23.620452840279292</v>
      </c>
      <c r="K49" s="60">
        <f t="shared" si="46"/>
        <v>83.927992006949836</v>
      </c>
      <c r="L49" s="60">
        <f t="shared" si="46"/>
        <v>124.04451648825918</v>
      </c>
      <c r="M49" s="60">
        <f t="shared" si="46"/>
        <v>64.665829906994134</v>
      </c>
      <c r="N49" s="60">
        <f t="shared" si="46"/>
        <v>18.87375896807006</v>
      </c>
      <c r="O49" s="60">
        <f t="shared" si="46"/>
        <v>71.720284078666225</v>
      </c>
      <c r="P49" s="60">
        <f t="shared" si="46"/>
        <v>64.665829906994134</v>
      </c>
      <c r="Q49" s="60">
        <f t="shared" si="46"/>
        <v>23.620452840279292</v>
      </c>
      <c r="R49" s="60">
        <f t="shared" si="46"/>
        <v>83.927992006949836</v>
      </c>
      <c r="S49" s="60">
        <f t="shared" si="46"/>
        <v>83.927992006949836</v>
      </c>
      <c r="T49" s="60">
        <f t="shared" si="46"/>
        <v>71.720284078666225</v>
      </c>
      <c r="U49" s="60">
        <f t="shared" si="46"/>
        <v>64.665829906994134</v>
      </c>
      <c r="V49" s="60">
        <f t="shared" si="46"/>
        <v>80.502359680135555</v>
      </c>
      <c r="W49" s="60">
        <f t="shared" si="46"/>
        <v>64.665829906994134</v>
      </c>
      <c r="X49" s="60">
        <f t="shared" si="46"/>
        <v>71.720284078666225</v>
      </c>
      <c r="Y49" s="60">
        <f t="shared" si="46"/>
        <v>83.927992006949836</v>
      </c>
      <c r="Z49" s="60">
        <f t="shared" si="46"/>
        <v>64.665829906994134</v>
      </c>
      <c r="AA49" s="60">
        <f t="shared" si="46"/>
        <v>137.25176145882543</v>
      </c>
      <c r="AB49" s="60">
        <f t="shared" si="46"/>
        <v>64.665829906994134</v>
      </c>
      <c r="AC49" s="94">
        <f t="shared" ref="AC49:AC62" si="47">IF(AND(AD49&lt;&gt;".",AU49&lt;&gt;".",BA49&lt;&gt;".",BB49&lt;&gt;"."),SUM(AD49,AU49,BA49:BB49),".")</f>
        <v>1.2532273029374998</v>
      </c>
      <c r="AD49" s="94">
        <f>IF(D49=".",".",s_RadSpec!$F$23*(AD23*$B49))</f>
        <v>0.297874396875</v>
      </c>
      <c r="AE49" s="94">
        <f>IF(E49=".",".",s_RadSpec!$F$23*(AE23*$B49))</f>
        <v>1.324590403125</v>
      </c>
      <c r="AF49" s="94">
        <f>IF(F49=".",".",s_RadSpec!$F$23*(AF23*$B49))</f>
        <v>1.0584047718750003</v>
      </c>
      <c r="AG49" s="94">
        <f>IF(G49=".",".",s_RadSpec!$F$23*(AG23*$B49))</f>
        <v>0.297874396875</v>
      </c>
      <c r="AH49" s="94">
        <f>IF(H49=".",".",s_RadSpec!$F$23*(AH23*$B49))</f>
        <v>0.386602940625</v>
      </c>
      <c r="AI49" s="94">
        <f>IF(I49=".",".",s_RadSpec!$F$23*(AI23*$B49))</f>
        <v>1.324590403125</v>
      </c>
      <c r="AJ49" s="94">
        <f>IF(J49=".",".",s_RadSpec!$F$23*(AJ23*$B49))</f>
        <v>1.0584047718750003</v>
      </c>
      <c r="AK49" s="94">
        <f>IF(K49=".",".",s_RadSpec!$F$23*(AK23*$B49))</f>
        <v>0.297874396875</v>
      </c>
      <c r="AL49" s="94">
        <f>IF(L49=".",".",s_RadSpec!$F$23*(AL23*$B49))</f>
        <v>0.20154054937500002</v>
      </c>
      <c r="AM49" s="94">
        <f>IF(M49=".",".",s_RadSpec!$F$23*(AM23*$B49))</f>
        <v>0.386602940625</v>
      </c>
      <c r="AN49" s="94">
        <f>IF(N49=".",".",s_RadSpec!$F$23*(AN23*$B49))</f>
        <v>1.324590403125</v>
      </c>
      <c r="AO49" s="94">
        <f>IF(O49=".",".",s_RadSpec!$F$23*(AO23*$B49))</f>
        <v>0.34857642187500004</v>
      </c>
      <c r="AP49" s="94">
        <f>IF(P49=".",".",s_RadSpec!$F$23*(AP23*$B49))</f>
        <v>0.386602940625</v>
      </c>
      <c r="AQ49" s="94">
        <f>IF(Q49=".",".",s_RadSpec!$F$23*(AQ23*$B49))</f>
        <v>1.0584047718750003</v>
      </c>
      <c r="AR49" s="94">
        <f>IF(R49=".",".",s_RadSpec!$F$23*(AR23*$B49))</f>
        <v>0.297874396875</v>
      </c>
      <c r="AS49" s="94">
        <f>IF(S49=".",".",s_RadSpec!$F$23*(AS23*$B49))</f>
        <v>0.297874396875</v>
      </c>
      <c r="AT49" s="94">
        <f>IF(T49=".",".",s_RadSpec!$F$23*(AT23*$B49))</f>
        <v>0.34857642187500004</v>
      </c>
      <c r="AU49" s="94">
        <f>IF(U49=".",".",s_RadSpec!$F$23*(AU23*$B49))</f>
        <v>0.386602940625</v>
      </c>
      <c r="AV49" s="94">
        <f>IF(V49=".",".",s_RadSpec!$F$23*(AV23*$B49))</f>
        <v>0.31054990312500003</v>
      </c>
      <c r="AW49" s="94">
        <f>IF(W49=".",".",s_RadSpec!$F$23*(AW23*$B49))</f>
        <v>0.386602940625</v>
      </c>
      <c r="AX49" s="94">
        <f>IF(X49=".",".",s_RadSpec!$F$23*(AX23*$B49))</f>
        <v>0.34857642187500004</v>
      </c>
      <c r="AY49" s="94">
        <f>IF(Y49=".",".",s_RadSpec!$F$23*(AY23*$B49))</f>
        <v>0.297874396875</v>
      </c>
      <c r="AZ49" s="94">
        <f>IF(Z49=".",".",s_RadSpec!$F$23*(AZ23*$B49))</f>
        <v>0.386602940625</v>
      </c>
      <c r="BA49" s="94">
        <f>IF(AA49=".",".",s_RadSpec!$F$23*(BA23*$B49))</f>
        <v>0.1821470248125</v>
      </c>
      <c r="BB49" s="94">
        <f>IF(AB49=".",".",s_RadSpec!$F$23*(BB23*$B49))</f>
        <v>0.386602940625</v>
      </c>
      <c r="BC49" s="60">
        <f t="shared" ref="BC49:CB49" si="48">IFERROR(BC23/$B49,".")</f>
        <v>19.948496127878233</v>
      </c>
      <c r="BD49" s="60">
        <f t="shared" si="48"/>
        <v>83.927992006949836</v>
      </c>
      <c r="BE49" s="60">
        <f t="shared" si="48"/>
        <v>18.87375896807006</v>
      </c>
      <c r="BF49" s="60">
        <f t="shared" si="48"/>
        <v>23.620452840279292</v>
      </c>
      <c r="BG49" s="60">
        <f t="shared" si="48"/>
        <v>83.927992006949836</v>
      </c>
      <c r="BH49" s="60">
        <f t="shared" si="48"/>
        <v>64.665829906994134</v>
      </c>
      <c r="BI49" s="60">
        <f t="shared" si="48"/>
        <v>18.87375896807006</v>
      </c>
      <c r="BJ49" s="60">
        <f t="shared" si="48"/>
        <v>23.620452840279292</v>
      </c>
      <c r="BK49" s="60">
        <f t="shared" si="48"/>
        <v>83.927992006949836</v>
      </c>
      <c r="BL49" s="60">
        <f t="shared" si="48"/>
        <v>124.04451648825918</v>
      </c>
      <c r="BM49" s="60">
        <f t="shared" si="48"/>
        <v>64.665829906994134</v>
      </c>
      <c r="BN49" s="60">
        <f t="shared" si="48"/>
        <v>18.87375896807006</v>
      </c>
      <c r="BO49" s="60">
        <f t="shared" si="48"/>
        <v>71.720284078666225</v>
      </c>
      <c r="BP49" s="60">
        <f t="shared" si="48"/>
        <v>64.665829906994134</v>
      </c>
      <c r="BQ49" s="60">
        <f t="shared" si="48"/>
        <v>23.620452840279292</v>
      </c>
      <c r="BR49" s="60">
        <f t="shared" si="48"/>
        <v>83.927992006949836</v>
      </c>
      <c r="BS49" s="60">
        <f t="shared" si="48"/>
        <v>83.927992006949836</v>
      </c>
      <c r="BT49" s="60">
        <f t="shared" si="48"/>
        <v>71.720284078666225</v>
      </c>
      <c r="BU49" s="60">
        <f t="shared" si="48"/>
        <v>64.665829906994134</v>
      </c>
      <c r="BV49" s="60">
        <f t="shared" si="48"/>
        <v>80.502359680135555</v>
      </c>
      <c r="BW49" s="60">
        <f t="shared" si="48"/>
        <v>64.665829906994134</v>
      </c>
      <c r="BX49" s="60">
        <f t="shared" si="48"/>
        <v>71.720284078666225</v>
      </c>
      <c r="BY49" s="60">
        <f t="shared" si="48"/>
        <v>83.927992006949836</v>
      </c>
      <c r="BZ49" s="60">
        <f t="shared" si="48"/>
        <v>64.665829906994134</v>
      </c>
      <c r="CA49" s="60">
        <f t="shared" si="48"/>
        <v>137.25176145882543</v>
      </c>
      <c r="CB49" s="60">
        <f t="shared" si="48"/>
        <v>64.665829906994134</v>
      </c>
      <c r="CC49" s="94">
        <f t="shared" ref="CC49:CC62" si="49">IF(AND(CD49&lt;&gt;".",CU49&lt;&gt;".",DA49&lt;&gt;".",DB49&lt;&gt;"."),SUM(CD49,CU49,DA49:DB49),".")</f>
        <v>1.2532273029374998</v>
      </c>
      <c r="CD49" s="94">
        <f>IF(BD49=".",".",s_RadSpec!$F$23*(CD23*$B49))</f>
        <v>0.297874396875</v>
      </c>
      <c r="CE49" s="94">
        <f>IF(BE49=".",".",s_RadSpec!$F$23*(CE23*$B49))</f>
        <v>1.324590403125</v>
      </c>
      <c r="CF49" s="94">
        <f>IF(BF49=".",".",s_RadSpec!$F$23*(CF23*$B49))</f>
        <v>1.0584047718750003</v>
      </c>
      <c r="CG49" s="94">
        <f>IF(BG49=".",".",s_RadSpec!$F$23*(CG23*$B49))</f>
        <v>0.297874396875</v>
      </c>
      <c r="CH49" s="94">
        <f>IF(BH49=".",".",s_RadSpec!$F$23*(CH23*$B49))</f>
        <v>0.386602940625</v>
      </c>
      <c r="CI49" s="94">
        <f>IF(BI49=".",".",s_RadSpec!$F$23*(CI23*$B49))</f>
        <v>1.324590403125</v>
      </c>
      <c r="CJ49" s="94">
        <f>IF(BJ49=".",".",s_RadSpec!$F$23*(CJ23*$B49))</f>
        <v>1.0584047718750003</v>
      </c>
      <c r="CK49" s="94">
        <f>IF(BK49=".",".",s_RadSpec!$F$23*(CK23*$B49))</f>
        <v>0.297874396875</v>
      </c>
      <c r="CL49" s="94">
        <f>IF(BL49=".",".",s_RadSpec!$F$23*(CL23*$B49))</f>
        <v>0.20154054937500002</v>
      </c>
      <c r="CM49" s="94">
        <f>IF(BM49=".",".",s_RadSpec!$F$23*(CM23*$B49))</f>
        <v>0.386602940625</v>
      </c>
      <c r="CN49" s="94">
        <f>IF(BN49=".",".",s_RadSpec!$F$23*(CN23*$B49))</f>
        <v>1.324590403125</v>
      </c>
      <c r="CO49" s="94">
        <f>IF(BO49=".",".",s_RadSpec!$F$23*(CO23*$B49))</f>
        <v>0.34857642187500004</v>
      </c>
      <c r="CP49" s="94">
        <f>IF(BP49=".",".",s_RadSpec!$F$23*(CP23*$B49))</f>
        <v>0.386602940625</v>
      </c>
      <c r="CQ49" s="94">
        <f>IF(BQ49=".",".",s_RadSpec!$F$23*(CQ23*$B49))</f>
        <v>1.0584047718750003</v>
      </c>
      <c r="CR49" s="94">
        <f>IF(BR49=".",".",s_RadSpec!$F$23*(CR23*$B49))</f>
        <v>0.297874396875</v>
      </c>
      <c r="CS49" s="94">
        <f>IF(BS49=".",".",s_RadSpec!$F$23*(CS23*$B49))</f>
        <v>0.297874396875</v>
      </c>
      <c r="CT49" s="94">
        <f>IF(BT49=".",".",s_RadSpec!$F$23*(CT23*$B49))</f>
        <v>0.34857642187500004</v>
      </c>
      <c r="CU49" s="94">
        <f>IF(BU49=".",".",s_RadSpec!$F$23*(CU23*$B49))</f>
        <v>0.386602940625</v>
      </c>
      <c r="CV49" s="94">
        <f>IF(BV49=".",".",s_RadSpec!$F$23*(CV23*$B49))</f>
        <v>0.31054990312500003</v>
      </c>
      <c r="CW49" s="94">
        <f>IF(BW49=".",".",s_RadSpec!$F$23*(CW23*$B49))</f>
        <v>0.386602940625</v>
      </c>
      <c r="CX49" s="94">
        <f>IF(BX49=".",".",s_RadSpec!$F$23*(CX23*$B49))</f>
        <v>0.34857642187500004</v>
      </c>
      <c r="CY49" s="94">
        <f>IF(BY49=".",".",s_RadSpec!$F$23*(CY23*$B49))</f>
        <v>0.297874396875</v>
      </c>
      <c r="CZ49" s="94">
        <f>IF(BZ49=".",".",s_RadSpec!$F$23*(CZ23*$B49))</f>
        <v>0.386602940625</v>
      </c>
      <c r="DA49" s="94">
        <f>IF(CA49=".",".",s_RadSpec!$F$23*(DA23*$B49))</f>
        <v>0.1821470248125</v>
      </c>
      <c r="DB49" s="94">
        <f>IF(CB49=".",".",s_RadSpec!$F$23*(DB23*$B49))</f>
        <v>0.386602940625</v>
      </c>
    </row>
    <row r="50" spans="1:106" x14ac:dyDescent="0.25">
      <c r="A50" s="77" t="s">
        <v>1073</v>
      </c>
      <c r="B50" s="42">
        <v>1</v>
      </c>
      <c r="C50" s="60" t="str">
        <f t="shared" ref="C50:AB50" si="50">IFERROR(C25/$B50,".")</f>
        <v>.</v>
      </c>
      <c r="D50" s="60" t="str">
        <f t="shared" si="50"/>
        <v>.</v>
      </c>
      <c r="E50" s="60" t="str">
        <f t="shared" si="50"/>
        <v>.</v>
      </c>
      <c r="F50" s="60" t="str">
        <f t="shared" si="50"/>
        <v>.</v>
      </c>
      <c r="G50" s="60" t="str">
        <f t="shared" si="50"/>
        <v>.</v>
      </c>
      <c r="H50" s="60" t="str">
        <f t="shared" si="50"/>
        <v>.</v>
      </c>
      <c r="I50" s="60" t="str">
        <f t="shared" si="50"/>
        <v>.</v>
      </c>
      <c r="J50" s="60" t="str">
        <f t="shared" si="50"/>
        <v>.</v>
      </c>
      <c r="K50" s="60" t="str">
        <f t="shared" si="50"/>
        <v>.</v>
      </c>
      <c r="L50" s="60" t="str">
        <f t="shared" si="50"/>
        <v>.</v>
      </c>
      <c r="M50" s="60" t="str">
        <f t="shared" si="50"/>
        <v>.</v>
      </c>
      <c r="N50" s="60" t="str">
        <f t="shared" si="50"/>
        <v>.</v>
      </c>
      <c r="O50" s="60" t="str">
        <f t="shared" si="50"/>
        <v>.</v>
      </c>
      <c r="P50" s="60" t="str">
        <f t="shared" si="50"/>
        <v>.</v>
      </c>
      <c r="Q50" s="60" t="str">
        <f t="shared" si="50"/>
        <v>.</v>
      </c>
      <c r="R50" s="60" t="str">
        <f t="shared" si="50"/>
        <v>.</v>
      </c>
      <c r="S50" s="60" t="str">
        <f t="shared" si="50"/>
        <v>.</v>
      </c>
      <c r="T50" s="60" t="str">
        <f t="shared" si="50"/>
        <v>.</v>
      </c>
      <c r="U50" s="60" t="str">
        <f t="shared" si="50"/>
        <v>.</v>
      </c>
      <c r="V50" s="60" t="str">
        <f t="shared" si="50"/>
        <v>.</v>
      </c>
      <c r="W50" s="60" t="str">
        <f t="shared" si="50"/>
        <v>.</v>
      </c>
      <c r="X50" s="60" t="str">
        <f t="shared" si="50"/>
        <v>.</v>
      </c>
      <c r="Y50" s="60" t="str">
        <f t="shared" si="50"/>
        <v>.</v>
      </c>
      <c r="Z50" s="60" t="str">
        <f t="shared" si="50"/>
        <v>.</v>
      </c>
      <c r="AA50" s="60" t="str">
        <f t="shared" si="50"/>
        <v>.</v>
      </c>
      <c r="AB50" s="60" t="str">
        <f t="shared" si="50"/>
        <v>.</v>
      </c>
      <c r="AC50" s="94" t="str">
        <f t="shared" si="47"/>
        <v>.</v>
      </c>
      <c r="AD50" s="94" t="str">
        <f>IF(D50=".",".",s_RadSpec!$F$25*(AD25*$B50))</f>
        <v>.</v>
      </c>
      <c r="AE50" s="94" t="str">
        <f>IF(E50=".",".",s_RadSpec!$F$25*(AE25*$B50))</f>
        <v>.</v>
      </c>
      <c r="AF50" s="94" t="str">
        <f>IF(F50=".",".",s_RadSpec!$F$25*(AF25*$B50))</f>
        <v>.</v>
      </c>
      <c r="AG50" s="94" t="str">
        <f>IF(G50=".",".",s_RadSpec!$F$25*(AG25*$B50))</f>
        <v>.</v>
      </c>
      <c r="AH50" s="94" t="str">
        <f>IF(H50=".",".",s_RadSpec!$F$25*(AH25*$B50))</f>
        <v>.</v>
      </c>
      <c r="AI50" s="94" t="str">
        <f>IF(I50=".",".",s_RadSpec!$F$25*(AI25*$B50))</f>
        <v>.</v>
      </c>
      <c r="AJ50" s="94" t="str">
        <f>IF(J50=".",".",s_RadSpec!$F$25*(AJ25*$B50))</f>
        <v>.</v>
      </c>
      <c r="AK50" s="94" t="str">
        <f>IF(K50=".",".",s_RadSpec!$F$25*(AK25*$B50))</f>
        <v>.</v>
      </c>
      <c r="AL50" s="94" t="str">
        <f>IF(L50=".",".",s_RadSpec!$F$25*(AL25*$B50))</f>
        <v>.</v>
      </c>
      <c r="AM50" s="94" t="str">
        <f>IF(M50=".",".",s_RadSpec!$F$25*(AM25*$B50))</f>
        <v>.</v>
      </c>
      <c r="AN50" s="94" t="str">
        <f>IF(N50=".",".",s_RadSpec!$F$25*(AN25*$B50))</f>
        <v>.</v>
      </c>
      <c r="AO50" s="94" t="str">
        <f>IF(O50=".",".",s_RadSpec!$F$25*(AO25*$B50))</f>
        <v>.</v>
      </c>
      <c r="AP50" s="94" t="str">
        <f>IF(P50=".",".",s_RadSpec!$F$25*(AP25*$B50))</f>
        <v>.</v>
      </c>
      <c r="AQ50" s="94" t="str">
        <f>IF(Q50=".",".",s_RadSpec!$F$25*(AQ25*$B50))</f>
        <v>.</v>
      </c>
      <c r="AR50" s="94" t="str">
        <f>IF(R50=".",".",s_RadSpec!$F$25*(AR25*$B50))</f>
        <v>.</v>
      </c>
      <c r="AS50" s="94" t="str">
        <f>IF(S50=".",".",s_RadSpec!$F$25*(AS25*$B50))</f>
        <v>.</v>
      </c>
      <c r="AT50" s="94" t="str">
        <f>IF(T50=".",".",s_RadSpec!$F$25*(AT25*$B50))</f>
        <v>.</v>
      </c>
      <c r="AU50" s="94" t="str">
        <f>IF(U50=".",".",s_RadSpec!$F$25*(AU25*$B50))</f>
        <v>.</v>
      </c>
      <c r="AV50" s="94" t="str">
        <f>IF(V50=".",".",s_RadSpec!$F$25*(AV25*$B50))</f>
        <v>.</v>
      </c>
      <c r="AW50" s="94" t="str">
        <f>IF(W50=".",".",s_RadSpec!$F$25*(AW25*$B50))</f>
        <v>.</v>
      </c>
      <c r="AX50" s="94" t="str">
        <f>IF(X50=".",".",s_RadSpec!$F$25*(AX25*$B50))</f>
        <v>.</v>
      </c>
      <c r="AY50" s="94" t="str">
        <f>IF(Y50=".",".",s_RadSpec!$F$25*(AY25*$B50))</f>
        <v>.</v>
      </c>
      <c r="AZ50" s="94" t="str">
        <f>IF(Z50=".",".",s_RadSpec!$F$25*(AZ25*$B50))</f>
        <v>.</v>
      </c>
      <c r="BA50" s="94" t="str">
        <f>IF(AA50=".",".",s_RadSpec!$F$25*(BA25*$B50))</f>
        <v>.</v>
      </c>
      <c r="BB50" s="94" t="str">
        <f>IF(AB50=".",".",s_RadSpec!$F$25*(BB25*$B50))</f>
        <v>.</v>
      </c>
      <c r="BC50" s="60" t="str">
        <f t="shared" ref="BC50:CB50" si="51">IFERROR(BC25/$B50,".")</f>
        <v>.</v>
      </c>
      <c r="BD50" s="60" t="str">
        <f t="shared" si="51"/>
        <v>.</v>
      </c>
      <c r="BE50" s="60" t="str">
        <f t="shared" si="51"/>
        <v>.</v>
      </c>
      <c r="BF50" s="60" t="str">
        <f t="shared" si="51"/>
        <v>.</v>
      </c>
      <c r="BG50" s="60" t="str">
        <f t="shared" si="51"/>
        <v>.</v>
      </c>
      <c r="BH50" s="60" t="str">
        <f t="shared" si="51"/>
        <v>.</v>
      </c>
      <c r="BI50" s="60" t="str">
        <f t="shared" si="51"/>
        <v>.</v>
      </c>
      <c r="BJ50" s="60" t="str">
        <f t="shared" si="51"/>
        <v>.</v>
      </c>
      <c r="BK50" s="60" t="str">
        <f t="shared" si="51"/>
        <v>.</v>
      </c>
      <c r="BL50" s="60" t="str">
        <f t="shared" si="51"/>
        <v>.</v>
      </c>
      <c r="BM50" s="60" t="str">
        <f t="shared" si="51"/>
        <v>.</v>
      </c>
      <c r="BN50" s="60" t="str">
        <f t="shared" si="51"/>
        <v>.</v>
      </c>
      <c r="BO50" s="60" t="str">
        <f t="shared" si="51"/>
        <v>.</v>
      </c>
      <c r="BP50" s="60" t="str">
        <f t="shared" si="51"/>
        <v>.</v>
      </c>
      <c r="BQ50" s="60" t="str">
        <f t="shared" si="51"/>
        <v>.</v>
      </c>
      <c r="BR50" s="60" t="str">
        <f t="shared" si="51"/>
        <v>.</v>
      </c>
      <c r="BS50" s="60" t="str">
        <f t="shared" si="51"/>
        <v>.</v>
      </c>
      <c r="BT50" s="60" t="str">
        <f t="shared" si="51"/>
        <v>.</v>
      </c>
      <c r="BU50" s="60" t="str">
        <f t="shared" si="51"/>
        <v>.</v>
      </c>
      <c r="BV50" s="60" t="str">
        <f t="shared" si="51"/>
        <v>.</v>
      </c>
      <c r="BW50" s="60" t="str">
        <f t="shared" si="51"/>
        <v>.</v>
      </c>
      <c r="BX50" s="60" t="str">
        <f t="shared" si="51"/>
        <v>.</v>
      </c>
      <c r="BY50" s="60" t="str">
        <f t="shared" si="51"/>
        <v>.</v>
      </c>
      <c r="BZ50" s="60" t="str">
        <f t="shared" si="51"/>
        <v>.</v>
      </c>
      <c r="CA50" s="60" t="str">
        <f t="shared" si="51"/>
        <v>.</v>
      </c>
      <c r="CB50" s="60" t="str">
        <f t="shared" si="51"/>
        <v>.</v>
      </c>
      <c r="CC50" s="94" t="str">
        <f t="shared" si="49"/>
        <v>.</v>
      </c>
      <c r="CD50" s="94" t="str">
        <f>IF(BD50=".",".",s_RadSpec!$F$25*(CD25*$B50))</f>
        <v>.</v>
      </c>
      <c r="CE50" s="94" t="str">
        <f>IF(BE50=".",".",s_RadSpec!$F$25*(CE25*$B50))</f>
        <v>.</v>
      </c>
      <c r="CF50" s="94" t="str">
        <f>IF(BF50=".",".",s_RadSpec!$F$25*(CF25*$B50))</f>
        <v>.</v>
      </c>
      <c r="CG50" s="94" t="str">
        <f>IF(BG50=".",".",s_RadSpec!$F$25*(CG25*$B50))</f>
        <v>.</v>
      </c>
      <c r="CH50" s="94" t="str">
        <f>IF(BH50=".",".",s_RadSpec!$F$25*(CH25*$B50))</f>
        <v>.</v>
      </c>
      <c r="CI50" s="94" t="str">
        <f>IF(BI50=".",".",s_RadSpec!$F$25*(CI25*$B50))</f>
        <v>.</v>
      </c>
      <c r="CJ50" s="94" t="str">
        <f>IF(BJ50=".",".",s_RadSpec!$F$25*(CJ25*$B50))</f>
        <v>.</v>
      </c>
      <c r="CK50" s="94" t="str">
        <f>IF(BK50=".",".",s_RadSpec!$F$25*(CK25*$B50))</f>
        <v>.</v>
      </c>
      <c r="CL50" s="94" t="str">
        <f>IF(BL50=".",".",s_RadSpec!$F$25*(CL25*$B50))</f>
        <v>.</v>
      </c>
      <c r="CM50" s="94" t="str">
        <f>IF(BM50=".",".",s_RadSpec!$F$25*(CM25*$B50))</f>
        <v>.</v>
      </c>
      <c r="CN50" s="94" t="str">
        <f>IF(BN50=".",".",s_RadSpec!$F$25*(CN25*$B50))</f>
        <v>.</v>
      </c>
      <c r="CO50" s="94" t="str">
        <f>IF(BO50=".",".",s_RadSpec!$F$25*(CO25*$B50))</f>
        <v>.</v>
      </c>
      <c r="CP50" s="94" t="str">
        <f>IF(BP50=".",".",s_RadSpec!$F$25*(CP25*$B50))</f>
        <v>.</v>
      </c>
      <c r="CQ50" s="94" t="str">
        <f>IF(BQ50=".",".",s_RadSpec!$F$25*(CQ25*$B50))</f>
        <v>.</v>
      </c>
      <c r="CR50" s="94" t="str">
        <f>IF(BR50=".",".",s_RadSpec!$F$25*(CR25*$B50))</f>
        <v>.</v>
      </c>
      <c r="CS50" s="94" t="str">
        <f>IF(BS50=".",".",s_RadSpec!$F$25*(CS25*$B50))</f>
        <v>.</v>
      </c>
      <c r="CT50" s="94" t="str">
        <f>IF(BT50=".",".",s_RadSpec!$F$25*(CT25*$B50))</f>
        <v>.</v>
      </c>
      <c r="CU50" s="94" t="str">
        <f>IF(BU50=".",".",s_RadSpec!$F$25*(CU25*$B50))</f>
        <v>.</v>
      </c>
      <c r="CV50" s="94" t="str">
        <f>IF(BV50=".",".",s_RadSpec!$F$25*(CV25*$B50))</f>
        <v>.</v>
      </c>
      <c r="CW50" s="94" t="str">
        <f>IF(BW50=".",".",s_RadSpec!$F$25*(CW25*$B50))</f>
        <v>.</v>
      </c>
      <c r="CX50" s="94" t="str">
        <f>IF(BX50=".",".",s_RadSpec!$F$25*(CX25*$B50))</f>
        <v>.</v>
      </c>
      <c r="CY50" s="94" t="str">
        <f>IF(BY50=".",".",s_RadSpec!$F$25*(CY25*$B50))</f>
        <v>.</v>
      </c>
      <c r="CZ50" s="94" t="str">
        <f>IF(BZ50=".",".",s_RadSpec!$F$25*(CZ25*$B50))</f>
        <v>.</v>
      </c>
      <c r="DA50" s="94" t="str">
        <f>IF(CA50=".",".",s_RadSpec!$F$25*(DA25*$B50))</f>
        <v>.</v>
      </c>
      <c r="DB50" s="94" t="str">
        <f>IF(CB50=".",".",s_RadSpec!$F$25*(DB25*$B50))</f>
        <v>.</v>
      </c>
    </row>
    <row r="51" spans="1:106" x14ac:dyDescent="0.25">
      <c r="A51" s="77" t="s">
        <v>1059</v>
      </c>
      <c r="B51" s="42">
        <v>1</v>
      </c>
      <c r="C51" s="60" t="str">
        <f t="shared" ref="C51:AB51" si="52">IFERROR(C21/$B51,".")</f>
        <v>.</v>
      </c>
      <c r="D51" s="60" t="str">
        <f t="shared" si="52"/>
        <v>.</v>
      </c>
      <c r="E51" s="60" t="str">
        <f t="shared" si="52"/>
        <v>.</v>
      </c>
      <c r="F51" s="60" t="str">
        <f t="shared" si="52"/>
        <v>.</v>
      </c>
      <c r="G51" s="60" t="str">
        <f t="shared" si="52"/>
        <v>.</v>
      </c>
      <c r="H51" s="60" t="str">
        <f t="shared" si="52"/>
        <v>.</v>
      </c>
      <c r="I51" s="60" t="str">
        <f t="shared" si="52"/>
        <v>.</v>
      </c>
      <c r="J51" s="60" t="str">
        <f t="shared" si="52"/>
        <v>.</v>
      </c>
      <c r="K51" s="60" t="str">
        <f t="shared" si="52"/>
        <v>.</v>
      </c>
      <c r="L51" s="60" t="str">
        <f t="shared" si="52"/>
        <v>.</v>
      </c>
      <c r="M51" s="60" t="str">
        <f t="shared" si="52"/>
        <v>.</v>
      </c>
      <c r="N51" s="60" t="str">
        <f t="shared" si="52"/>
        <v>.</v>
      </c>
      <c r="O51" s="60" t="str">
        <f t="shared" si="52"/>
        <v>.</v>
      </c>
      <c r="P51" s="60" t="str">
        <f t="shared" si="52"/>
        <v>.</v>
      </c>
      <c r="Q51" s="60" t="str">
        <f t="shared" si="52"/>
        <v>.</v>
      </c>
      <c r="R51" s="60" t="str">
        <f t="shared" si="52"/>
        <v>.</v>
      </c>
      <c r="S51" s="60" t="str">
        <f t="shared" si="52"/>
        <v>.</v>
      </c>
      <c r="T51" s="60" t="str">
        <f t="shared" si="52"/>
        <v>.</v>
      </c>
      <c r="U51" s="60" t="str">
        <f t="shared" si="52"/>
        <v>.</v>
      </c>
      <c r="V51" s="60" t="str">
        <f t="shared" si="52"/>
        <v>.</v>
      </c>
      <c r="W51" s="60" t="str">
        <f t="shared" si="52"/>
        <v>.</v>
      </c>
      <c r="X51" s="60" t="str">
        <f t="shared" si="52"/>
        <v>.</v>
      </c>
      <c r="Y51" s="60" t="str">
        <f t="shared" si="52"/>
        <v>.</v>
      </c>
      <c r="Z51" s="60" t="str">
        <f t="shared" si="52"/>
        <v>.</v>
      </c>
      <c r="AA51" s="60" t="str">
        <f t="shared" si="52"/>
        <v>.</v>
      </c>
      <c r="AB51" s="60" t="str">
        <f t="shared" si="52"/>
        <v>.</v>
      </c>
      <c r="AC51" s="94" t="str">
        <f t="shared" si="47"/>
        <v>.</v>
      </c>
      <c r="AD51" s="94" t="str">
        <f>IF(D51=".",".",s_RadSpec!$F$21*(AD21*$B51))</f>
        <v>.</v>
      </c>
      <c r="AE51" s="94" t="str">
        <f>IF(E51=".",".",s_RadSpec!$F$21*(AE21*$B51))</f>
        <v>.</v>
      </c>
      <c r="AF51" s="94" t="str">
        <f>IF(F51=".",".",s_RadSpec!$F$21*(AF21*$B51))</f>
        <v>.</v>
      </c>
      <c r="AG51" s="94" t="str">
        <f>IF(G51=".",".",s_RadSpec!$F$21*(AG21*$B51))</f>
        <v>.</v>
      </c>
      <c r="AH51" s="94" t="str">
        <f>IF(H51=".",".",s_RadSpec!$F$21*(AH21*$B51))</f>
        <v>.</v>
      </c>
      <c r="AI51" s="94" t="str">
        <f>IF(I51=".",".",s_RadSpec!$F$21*(AI21*$B51))</f>
        <v>.</v>
      </c>
      <c r="AJ51" s="94" t="str">
        <f>IF(J51=".",".",s_RadSpec!$F$21*(AJ21*$B51))</f>
        <v>.</v>
      </c>
      <c r="AK51" s="94" t="str">
        <f>IF(K51=".",".",s_RadSpec!$F$21*(AK21*$B51))</f>
        <v>.</v>
      </c>
      <c r="AL51" s="94" t="str">
        <f>IF(L51=".",".",s_RadSpec!$F$21*(AL21*$B51))</f>
        <v>.</v>
      </c>
      <c r="AM51" s="94" t="str">
        <f>IF(M51=".",".",s_RadSpec!$F$21*(AM21*$B51))</f>
        <v>.</v>
      </c>
      <c r="AN51" s="94" t="str">
        <f>IF(N51=".",".",s_RadSpec!$F$21*(AN21*$B51))</f>
        <v>.</v>
      </c>
      <c r="AO51" s="94" t="str">
        <f>IF(O51=".",".",s_RadSpec!$F$21*(AO21*$B51))</f>
        <v>.</v>
      </c>
      <c r="AP51" s="94" t="str">
        <f>IF(P51=".",".",s_RadSpec!$F$21*(AP21*$B51))</f>
        <v>.</v>
      </c>
      <c r="AQ51" s="94" t="str">
        <f>IF(Q51=".",".",s_RadSpec!$F$21*(AQ21*$B51))</f>
        <v>.</v>
      </c>
      <c r="AR51" s="94" t="str">
        <f>IF(R51=".",".",s_RadSpec!$F$21*(AR21*$B51))</f>
        <v>.</v>
      </c>
      <c r="AS51" s="94" t="str">
        <f>IF(S51=".",".",s_RadSpec!$F$21*(AS21*$B51))</f>
        <v>.</v>
      </c>
      <c r="AT51" s="94" t="str">
        <f>IF(T51=".",".",s_RadSpec!$F$21*(AT21*$B51))</f>
        <v>.</v>
      </c>
      <c r="AU51" s="94" t="str">
        <f>IF(U51=".",".",s_RadSpec!$F$21*(AU21*$B51))</f>
        <v>.</v>
      </c>
      <c r="AV51" s="94" t="str">
        <f>IF(V51=".",".",s_RadSpec!$F$21*(AV21*$B51))</f>
        <v>.</v>
      </c>
      <c r="AW51" s="94" t="str">
        <f>IF(W51=".",".",s_RadSpec!$F$21*(AW21*$B51))</f>
        <v>.</v>
      </c>
      <c r="AX51" s="94" t="str">
        <f>IF(X51=".",".",s_RadSpec!$F$21*(AX21*$B51))</f>
        <v>.</v>
      </c>
      <c r="AY51" s="94" t="str">
        <f>IF(Y51=".",".",s_RadSpec!$F$21*(AY21*$B51))</f>
        <v>.</v>
      </c>
      <c r="AZ51" s="94" t="str">
        <f>IF(Z51=".",".",s_RadSpec!$F$21*(AZ21*$B51))</f>
        <v>.</v>
      </c>
      <c r="BA51" s="94" t="str">
        <f>IF(AA51=".",".",s_RadSpec!$F$21*(BA21*$B51))</f>
        <v>.</v>
      </c>
      <c r="BB51" s="94" t="str">
        <f>IF(AB51=".",".",s_RadSpec!$F$21*(BB21*$B51))</f>
        <v>.</v>
      </c>
      <c r="BC51" s="60" t="str">
        <f t="shared" ref="BC51:CB51" si="53">IFERROR(BC21/$B51,".")</f>
        <v>.</v>
      </c>
      <c r="BD51" s="60" t="str">
        <f t="shared" si="53"/>
        <v>.</v>
      </c>
      <c r="BE51" s="60" t="str">
        <f t="shared" si="53"/>
        <v>.</v>
      </c>
      <c r="BF51" s="60" t="str">
        <f t="shared" si="53"/>
        <v>.</v>
      </c>
      <c r="BG51" s="60" t="str">
        <f t="shared" si="53"/>
        <v>.</v>
      </c>
      <c r="BH51" s="60" t="str">
        <f t="shared" si="53"/>
        <v>.</v>
      </c>
      <c r="BI51" s="60" t="str">
        <f t="shared" si="53"/>
        <v>.</v>
      </c>
      <c r="BJ51" s="60" t="str">
        <f t="shared" si="53"/>
        <v>.</v>
      </c>
      <c r="BK51" s="60" t="str">
        <f t="shared" si="53"/>
        <v>.</v>
      </c>
      <c r="BL51" s="60" t="str">
        <f t="shared" si="53"/>
        <v>.</v>
      </c>
      <c r="BM51" s="60" t="str">
        <f t="shared" si="53"/>
        <v>.</v>
      </c>
      <c r="BN51" s="60" t="str">
        <f t="shared" si="53"/>
        <v>.</v>
      </c>
      <c r="BO51" s="60" t="str">
        <f t="shared" si="53"/>
        <v>.</v>
      </c>
      <c r="BP51" s="60" t="str">
        <f t="shared" si="53"/>
        <v>.</v>
      </c>
      <c r="BQ51" s="60" t="str">
        <f t="shared" si="53"/>
        <v>.</v>
      </c>
      <c r="BR51" s="60" t="str">
        <f t="shared" si="53"/>
        <v>.</v>
      </c>
      <c r="BS51" s="60" t="str">
        <f t="shared" si="53"/>
        <v>.</v>
      </c>
      <c r="BT51" s="60" t="str">
        <f t="shared" si="53"/>
        <v>.</v>
      </c>
      <c r="BU51" s="60" t="str">
        <f t="shared" si="53"/>
        <v>.</v>
      </c>
      <c r="BV51" s="60" t="str">
        <f t="shared" si="53"/>
        <v>.</v>
      </c>
      <c r="BW51" s="60" t="str">
        <f t="shared" si="53"/>
        <v>.</v>
      </c>
      <c r="BX51" s="60" t="str">
        <f t="shared" si="53"/>
        <v>.</v>
      </c>
      <c r="BY51" s="60" t="str">
        <f t="shared" si="53"/>
        <v>.</v>
      </c>
      <c r="BZ51" s="60" t="str">
        <f t="shared" si="53"/>
        <v>.</v>
      </c>
      <c r="CA51" s="60" t="str">
        <f t="shared" si="53"/>
        <v>.</v>
      </c>
      <c r="CB51" s="60" t="str">
        <f t="shared" si="53"/>
        <v>.</v>
      </c>
      <c r="CC51" s="94" t="str">
        <f t="shared" si="49"/>
        <v>.</v>
      </c>
      <c r="CD51" s="94" t="str">
        <f>IF(BD51=".",".",s_RadSpec!$F$21*(CD21*$B51))</f>
        <v>.</v>
      </c>
      <c r="CE51" s="94" t="str">
        <f>IF(BE51=".",".",s_RadSpec!$F$21*(CE21*$B51))</f>
        <v>.</v>
      </c>
      <c r="CF51" s="94" t="str">
        <f>IF(BF51=".",".",s_RadSpec!$F$21*(CF21*$B51))</f>
        <v>.</v>
      </c>
      <c r="CG51" s="94" t="str">
        <f>IF(BG51=".",".",s_RadSpec!$F$21*(CG21*$B51))</f>
        <v>.</v>
      </c>
      <c r="CH51" s="94" t="str">
        <f>IF(BH51=".",".",s_RadSpec!$F$21*(CH21*$B51))</f>
        <v>.</v>
      </c>
      <c r="CI51" s="94" t="str">
        <f>IF(BI51=".",".",s_RadSpec!$F$21*(CI21*$B51))</f>
        <v>.</v>
      </c>
      <c r="CJ51" s="94" t="str">
        <f>IF(BJ51=".",".",s_RadSpec!$F$21*(CJ21*$B51))</f>
        <v>.</v>
      </c>
      <c r="CK51" s="94" t="str">
        <f>IF(BK51=".",".",s_RadSpec!$F$21*(CK21*$B51))</f>
        <v>.</v>
      </c>
      <c r="CL51" s="94" t="str">
        <f>IF(BL51=".",".",s_RadSpec!$F$21*(CL21*$B51))</f>
        <v>.</v>
      </c>
      <c r="CM51" s="94" t="str">
        <f>IF(BM51=".",".",s_RadSpec!$F$21*(CM21*$B51))</f>
        <v>.</v>
      </c>
      <c r="CN51" s="94" t="str">
        <f>IF(BN51=".",".",s_RadSpec!$F$21*(CN21*$B51))</f>
        <v>.</v>
      </c>
      <c r="CO51" s="94" t="str">
        <f>IF(BO51=".",".",s_RadSpec!$F$21*(CO21*$B51))</f>
        <v>.</v>
      </c>
      <c r="CP51" s="94" t="str">
        <f>IF(BP51=".",".",s_RadSpec!$F$21*(CP21*$B51))</f>
        <v>.</v>
      </c>
      <c r="CQ51" s="94" t="str">
        <f>IF(BQ51=".",".",s_RadSpec!$F$21*(CQ21*$B51))</f>
        <v>.</v>
      </c>
      <c r="CR51" s="94" t="str">
        <f>IF(BR51=".",".",s_RadSpec!$F$21*(CR21*$B51))</f>
        <v>.</v>
      </c>
      <c r="CS51" s="94" t="str">
        <f>IF(BS51=".",".",s_RadSpec!$F$21*(CS21*$B51))</f>
        <v>.</v>
      </c>
      <c r="CT51" s="94" t="str">
        <f>IF(BT51=".",".",s_RadSpec!$F$21*(CT21*$B51))</f>
        <v>.</v>
      </c>
      <c r="CU51" s="94" t="str">
        <f>IF(BU51=".",".",s_RadSpec!$F$21*(CU21*$B51))</f>
        <v>.</v>
      </c>
      <c r="CV51" s="94" t="str">
        <f>IF(BV51=".",".",s_RadSpec!$F$21*(CV21*$B51))</f>
        <v>.</v>
      </c>
      <c r="CW51" s="94" t="str">
        <f>IF(BW51=".",".",s_RadSpec!$F$21*(CW21*$B51))</f>
        <v>.</v>
      </c>
      <c r="CX51" s="94" t="str">
        <f>IF(BX51=".",".",s_RadSpec!$F$21*(CX21*$B51))</f>
        <v>.</v>
      </c>
      <c r="CY51" s="94" t="str">
        <f>IF(BY51=".",".",s_RadSpec!$F$21*(CY21*$B51))</f>
        <v>.</v>
      </c>
      <c r="CZ51" s="94" t="str">
        <f>IF(BZ51=".",".",s_RadSpec!$F$21*(CZ21*$B51))</f>
        <v>.</v>
      </c>
      <c r="DA51" s="94" t="str">
        <f>IF(CA51=".",".",s_RadSpec!$F$21*(DA21*$B51))</f>
        <v>.</v>
      </c>
      <c r="DB51" s="94" t="str">
        <f>IF(CB51=".",".",s_RadSpec!$F$21*(DB21*$B51))</f>
        <v>.</v>
      </c>
    </row>
    <row r="52" spans="1:106" x14ac:dyDescent="0.25">
      <c r="A52" s="77" t="s">
        <v>1060</v>
      </c>
      <c r="B52" s="79">
        <v>0.99980000000000002</v>
      </c>
      <c r="C52" s="60">
        <f t="shared" ref="C52:AB52" si="54">IFERROR(C17/$B52,".")</f>
        <v>49735.562614441842</v>
      </c>
      <c r="D52" s="60">
        <f t="shared" si="54"/>
        <v>191090.38078544487</v>
      </c>
      <c r="E52" s="60">
        <f t="shared" si="54"/>
        <v>48028.063619871165</v>
      </c>
      <c r="F52" s="60">
        <f t="shared" si="54"/>
        <v>157565.7525774721</v>
      </c>
      <c r="G52" s="60">
        <f t="shared" si="54"/>
        <v>191090.38078544487</v>
      </c>
      <c r="H52" s="60">
        <f t="shared" si="54"/>
        <v>157565.7525774721</v>
      </c>
      <c r="I52" s="60">
        <f t="shared" si="54"/>
        <v>48028.063619871165</v>
      </c>
      <c r="J52" s="60">
        <f t="shared" si="54"/>
        <v>157565.7525774721</v>
      </c>
      <c r="K52" s="60">
        <f t="shared" si="54"/>
        <v>191090.38078544487</v>
      </c>
      <c r="L52" s="60">
        <f t="shared" si="54"/>
        <v>305484.62234407855</v>
      </c>
      <c r="M52" s="60">
        <f t="shared" si="54"/>
        <v>157565.7525774721</v>
      </c>
      <c r="N52" s="60">
        <f t="shared" si="54"/>
        <v>48028.063619871165</v>
      </c>
      <c r="O52" s="60">
        <f t="shared" si="54"/>
        <v>238862.97598180606</v>
      </c>
      <c r="P52" s="60">
        <f t="shared" si="54"/>
        <v>157565.7525774721</v>
      </c>
      <c r="Q52" s="60">
        <f t="shared" si="54"/>
        <v>157565.7525774721</v>
      </c>
      <c r="R52" s="60">
        <f t="shared" si="54"/>
        <v>191090.38078544487</v>
      </c>
      <c r="S52" s="60">
        <f t="shared" si="54"/>
        <v>191090.38078544487</v>
      </c>
      <c r="T52" s="60">
        <f t="shared" si="54"/>
        <v>238862.97598180606</v>
      </c>
      <c r="U52" s="60">
        <f t="shared" si="54"/>
        <v>157565.7525774721</v>
      </c>
      <c r="V52" s="60">
        <f t="shared" si="54"/>
        <v>299374.92989719694</v>
      </c>
      <c r="W52" s="60">
        <f t="shared" si="54"/>
        <v>157565.7525774721</v>
      </c>
      <c r="X52" s="60">
        <f t="shared" si="54"/>
        <v>238862.97598180606</v>
      </c>
      <c r="Y52" s="60">
        <f t="shared" si="54"/>
        <v>191090.38078544487</v>
      </c>
      <c r="Z52" s="60">
        <f t="shared" si="54"/>
        <v>157565.7525774721</v>
      </c>
      <c r="AA52" s="60">
        <f t="shared" si="54"/>
        <v>325643.50605206343</v>
      </c>
      <c r="AB52" s="60">
        <f t="shared" si="54"/>
        <v>183290.77340644712</v>
      </c>
      <c r="AC52" s="94">
        <f t="shared" si="47"/>
        <v>5.0265843364041254E-4</v>
      </c>
      <c r="AD52" s="94">
        <f>IF(D52=".",".",s_RadSpec!$F$17*(AD17*$B52))</f>
        <v>1.3082814476187503E-4</v>
      </c>
      <c r="AE52" s="94">
        <f>IF(E52=".",".",s_RadSpec!$F$17*(AE17*$B52))</f>
        <v>5.205290014993751E-4</v>
      </c>
      <c r="AF52" s="94">
        <f>IF(F52=".",".",s_RadSpec!$F$17*(AF17*$B52))</f>
        <v>1.58663920243125E-4</v>
      </c>
      <c r="AG52" s="94">
        <f>IF(G52=".",".",s_RadSpec!$F$17*(AG17*$B52))</f>
        <v>1.3082814476187503E-4</v>
      </c>
      <c r="AH52" s="94">
        <f>IF(H52=".",".",s_RadSpec!$F$17*(AH17*$B52))</f>
        <v>1.58663920243125E-4</v>
      </c>
      <c r="AI52" s="94">
        <f>IF(I52=".",".",s_RadSpec!$F$17*(AI17*$B52))</f>
        <v>5.205290014993751E-4</v>
      </c>
      <c r="AJ52" s="94">
        <f>IF(J52=".",".",s_RadSpec!$F$17*(AJ17*$B52))</f>
        <v>1.58663920243125E-4</v>
      </c>
      <c r="AK52" s="94">
        <f>IF(K52=".",".",s_RadSpec!$F$17*(AK17*$B52))</f>
        <v>1.3082814476187503E-4</v>
      </c>
      <c r="AL52" s="94">
        <f>IF(L52=".",".",s_RadSpec!$F$17*(AL17*$B52))</f>
        <v>8.1837179914875E-5</v>
      </c>
      <c r="AM52" s="94">
        <f>IF(M52=".",".",s_RadSpec!$F$17*(AM17*$B52))</f>
        <v>1.58663920243125E-4</v>
      </c>
      <c r="AN52" s="94">
        <f>IF(N52=".",".",s_RadSpec!$F$17*(AN17*$B52))</f>
        <v>5.205290014993751E-4</v>
      </c>
      <c r="AO52" s="94">
        <f>IF(O52=".",".",s_RadSpec!$F$17*(AO17*$B52))</f>
        <v>1.0466251580950002E-4</v>
      </c>
      <c r="AP52" s="94">
        <f>IF(P52=".",".",s_RadSpec!$F$17*(AP17*$B52))</f>
        <v>1.58663920243125E-4</v>
      </c>
      <c r="AQ52" s="94">
        <f>IF(Q52=".",".",s_RadSpec!$F$17*(AQ17*$B52))</f>
        <v>1.58663920243125E-4</v>
      </c>
      <c r="AR52" s="94">
        <f>IF(R52=".",".",s_RadSpec!$F$17*(AR17*$B52))</f>
        <v>1.3082814476187503E-4</v>
      </c>
      <c r="AS52" s="94">
        <f>IF(S52=".",".",s_RadSpec!$F$17*(AS17*$B52))</f>
        <v>1.3082814476187503E-4</v>
      </c>
      <c r="AT52" s="94">
        <f>IF(T52=".",".",s_RadSpec!$F$17*(AT17*$B52))</f>
        <v>1.0466251580950002E-4</v>
      </c>
      <c r="AU52" s="94">
        <f>IF(U52=".",".",s_RadSpec!$F$17*(AU17*$B52))</f>
        <v>1.58663920243125E-4</v>
      </c>
      <c r="AV52" s="94">
        <f>IF(V52=".",".",s_RadSpec!$F$17*(AV17*$B52))</f>
        <v>8.3507326443750001E-5</v>
      </c>
      <c r="AW52" s="94">
        <f>IF(W52=".",".",s_RadSpec!$F$17*(AW17*$B52))</f>
        <v>1.58663920243125E-4</v>
      </c>
      <c r="AX52" s="94">
        <f>IF(X52=".",".",s_RadSpec!$F$17*(AX17*$B52))</f>
        <v>1.0466251580950002E-4</v>
      </c>
      <c r="AY52" s="94">
        <f>IF(Y52=".",".",s_RadSpec!$F$17*(AY17*$B52))</f>
        <v>1.3082814476187503E-4</v>
      </c>
      <c r="AZ52" s="94">
        <f>IF(Z52=".",".",s_RadSpec!$F$17*(AZ17*$B52))</f>
        <v>1.58663920243125E-4</v>
      </c>
      <c r="BA52" s="94">
        <f>IF(AA52=".",".",s_RadSpec!$F$17*(BA17*$B52))</f>
        <v>7.6771068777287509E-5</v>
      </c>
      <c r="BB52" s="94">
        <f>IF(AB52=".",".",s_RadSpec!$F$17*(BB17*$B52))</f>
        <v>1.36395299858125E-4</v>
      </c>
      <c r="BC52" s="60">
        <f t="shared" ref="BC52:CB52" si="55">IFERROR(BC17/$B52,".")</f>
        <v>49735.562614441842</v>
      </c>
      <c r="BD52" s="60">
        <f t="shared" si="55"/>
        <v>191090.38078544487</v>
      </c>
      <c r="BE52" s="60">
        <f t="shared" si="55"/>
        <v>48028.063619871165</v>
      </c>
      <c r="BF52" s="60">
        <f t="shared" si="55"/>
        <v>157565.7525774721</v>
      </c>
      <c r="BG52" s="60">
        <f t="shared" si="55"/>
        <v>191090.38078544487</v>
      </c>
      <c r="BH52" s="60">
        <f t="shared" si="55"/>
        <v>157565.7525774721</v>
      </c>
      <c r="BI52" s="60">
        <f t="shared" si="55"/>
        <v>48028.063619871165</v>
      </c>
      <c r="BJ52" s="60">
        <f t="shared" si="55"/>
        <v>157565.7525774721</v>
      </c>
      <c r="BK52" s="60">
        <f t="shared" si="55"/>
        <v>191090.38078544487</v>
      </c>
      <c r="BL52" s="60">
        <f t="shared" si="55"/>
        <v>305484.62234407855</v>
      </c>
      <c r="BM52" s="60">
        <f t="shared" si="55"/>
        <v>157565.7525774721</v>
      </c>
      <c r="BN52" s="60">
        <f t="shared" si="55"/>
        <v>48028.063619871165</v>
      </c>
      <c r="BO52" s="60">
        <f t="shared" si="55"/>
        <v>238862.97598180606</v>
      </c>
      <c r="BP52" s="60">
        <f t="shared" si="55"/>
        <v>157565.7525774721</v>
      </c>
      <c r="BQ52" s="60">
        <f t="shared" si="55"/>
        <v>157565.7525774721</v>
      </c>
      <c r="BR52" s="60">
        <f t="shared" si="55"/>
        <v>191090.38078544487</v>
      </c>
      <c r="BS52" s="60">
        <f t="shared" si="55"/>
        <v>191090.38078544487</v>
      </c>
      <c r="BT52" s="60">
        <f t="shared" si="55"/>
        <v>238862.97598180606</v>
      </c>
      <c r="BU52" s="60">
        <f t="shared" si="55"/>
        <v>157565.7525774721</v>
      </c>
      <c r="BV52" s="60">
        <f t="shared" si="55"/>
        <v>299374.92989719694</v>
      </c>
      <c r="BW52" s="60">
        <f t="shared" si="55"/>
        <v>157565.7525774721</v>
      </c>
      <c r="BX52" s="60">
        <f t="shared" si="55"/>
        <v>238862.97598180606</v>
      </c>
      <c r="BY52" s="60">
        <f t="shared" si="55"/>
        <v>191090.38078544487</v>
      </c>
      <c r="BZ52" s="60">
        <f t="shared" si="55"/>
        <v>157565.7525774721</v>
      </c>
      <c r="CA52" s="60">
        <f t="shared" si="55"/>
        <v>325643.50605206343</v>
      </c>
      <c r="CB52" s="60">
        <f t="shared" si="55"/>
        <v>183290.77340644712</v>
      </c>
      <c r="CC52" s="94">
        <f t="shared" si="49"/>
        <v>5.0265843364041254E-4</v>
      </c>
      <c r="CD52" s="94">
        <f>IF(BD52=".",".",s_RadSpec!$F$17*(CD17*$B52))</f>
        <v>1.3082814476187503E-4</v>
      </c>
      <c r="CE52" s="94">
        <f>IF(BE52=".",".",s_RadSpec!$F$17*(CE17*$B52))</f>
        <v>5.205290014993751E-4</v>
      </c>
      <c r="CF52" s="94">
        <f>IF(BF52=".",".",s_RadSpec!$F$17*(CF17*$B52))</f>
        <v>1.58663920243125E-4</v>
      </c>
      <c r="CG52" s="94">
        <f>IF(BG52=".",".",s_RadSpec!$F$17*(CG17*$B52))</f>
        <v>1.3082814476187503E-4</v>
      </c>
      <c r="CH52" s="94">
        <f>IF(BH52=".",".",s_RadSpec!$F$17*(CH17*$B52))</f>
        <v>1.58663920243125E-4</v>
      </c>
      <c r="CI52" s="94">
        <f>IF(BI52=".",".",s_RadSpec!$F$17*(CI17*$B52))</f>
        <v>5.205290014993751E-4</v>
      </c>
      <c r="CJ52" s="94">
        <f>IF(BJ52=".",".",s_RadSpec!$F$17*(CJ17*$B52))</f>
        <v>1.58663920243125E-4</v>
      </c>
      <c r="CK52" s="94">
        <f>IF(BK52=".",".",s_RadSpec!$F$17*(CK17*$B52))</f>
        <v>1.3082814476187503E-4</v>
      </c>
      <c r="CL52" s="94">
        <f>IF(BL52=".",".",s_RadSpec!$F$17*(CL17*$B52))</f>
        <v>8.1837179914875E-5</v>
      </c>
      <c r="CM52" s="94">
        <f>IF(BM52=".",".",s_RadSpec!$F$17*(CM17*$B52))</f>
        <v>1.58663920243125E-4</v>
      </c>
      <c r="CN52" s="94">
        <f>IF(BN52=".",".",s_RadSpec!$F$17*(CN17*$B52))</f>
        <v>5.205290014993751E-4</v>
      </c>
      <c r="CO52" s="94">
        <f>IF(BO52=".",".",s_RadSpec!$F$17*(CO17*$B52))</f>
        <v>1.0466251580950002E-4</v>
      </c>
      <c r="CP52" s="94">
        <f>IF(BP52=".",".",s_RadSpec!$F$17*(CP17*$B52))</f>
        <v>1.58663920243125E-4</v>
      </c>
      <c r="CQ52" s="94">
        <f>IF(BQ52=".",".",s_RadSpec!$F$17*(CQ17*$B52))</f>
        <v>1.58663920243125E-4</v>
      </c>
      <c r="CR52" s="94">
        <f>IF(BR52=".",".",s_RadSpec!$F$17*(CR17*$B52))</f>
        <v>1.3082814476187503E-4</v>
      </c>
      <c r="CS52" s="94">
        <f>IF(BS52=".",".",s_RadSpec!$F$17*(CS17*$B52))</f>
        <v>1.3082814476187503E-4</v>
      </c>
      <c r="CT52" s="94">
        <f>IF(BT52=".",".",s_RadSpec!$F$17*(CT17*$B52))</f>
        <v>1.0466251580950002E-4</v>
      </c>
      <c r="CU52" s="94">
        <f>IF(BU52=".",".",s_RadSpec!$F$17*(CU17*$B52))</f>
        <v>1.58663920243125E-4</v>
      </c>
      <c r="CV52" s="94">
        <f>IF(BV52=".",".",s_RadSpec!$F$17*(CV17*$B52))</f>
        <v>8.3507326443750001E-5</v>
      </c>
      <c r="CW52" s="94">
        <f>IF(BW52=".",".",s_RadSpec!$F$17*(CW17*$B52))</f>
        <v>1.58663920243125E-4</v>
      </c>
      <c r="CX52" s="94">
        <f>IF(BX52=".",".",s_RadSpec!$F$17*(CX17*$B52))</f>
        <v>1.0466251580950002E-4</v>
      </c>
      <c r="CY52" s="94">
        <f>IF(BY52=".",".",s_RadSpec!$F$17*(CY17*$B52))</f>
        <v>1.3082814476187503E-4</v>
      </c>
      <c r="CZ52" s="94">
        <f>IF(BZ52=".",".",s_RadSpec!$F$17*(CZ17*$B52))</f>
        <v>1.58663920243125E-4</v>
      </c>
      <c r="DA52" s="94">
        <f>IF(CA52=".",".",s_RadSpec!$F$17*(DA17*$B52))</f>
        <v>7.6771068777287509E-5</v>
      </c>
      <c r="DB52" s="94">
        <f>IF(CB52=".",".",s_RadSpec!$F$17*(DB17*$B52))</f>
        <v>1.36395299858125E-4</v>
      </c>
    </row>
    <row r="53" spans="1:106" x14ac:dyDescent="0.25">
      <c r="A53" s="77" t="s">
        <v>1074</v>
      </c>
      <c r="B53" s="42">
        <v>2.0000000000000001E-4</v>
      </c>
      <c r="C53" s="60" t="str">
        <f t="shared" ref="C53:AB53" si="56">IFERROR(C5/$B53,".")</f>
        <v>.</v>
      </c>
      <c r="D53" s="60" t="str">
        <f t="shared" si="56"/>
        <v>.</v>
      </c>
      <c r="E53" s="60" t="str">
        <f t="shared" si="56"/>
        <v>.</v>
      </c>
      <c r="F53" s="60" t="str">
        <f t="shared" si="56"/>
        <v>.</v>
      </c>
      <c r="G53" s="60" t="str">
        <f t="shared" si="56"/>
        <v>.</v>
      </c>
      <c r="H53" s="60" t="str">
        <f t="shared" si="56"/>
        <v>.</v>
      </c>
      <c r="I53" s="60" t="str">
        <f t="shared" si="56"/>
        <v>.</v>
      </c>
      <c r="J53" s="60" t="str">
        <f t="shared" si="56"/>
        <v>.</v>
      </c>
      <c r="K53" s="60" t="str">
        <f t="shared" si="56"/>
        <v>.</v>
      </c>
      <c r="L53" s="60" t="str">
        <f t="shared" si="56"/>
        <v>.</v>
      </c>
      <c r="M53" s="60" t="str">
        <f t="shared" si="56"/>
        <v>.</v>
      </c>
      <c r="N53" s="60" t="str">
        <f t="shared" si="56"/>
        <v>.</v>
      </c>
      <c r="O53" s="60" t="str">
        <f t="shared" si="56"/>
        <v>.</v>
      </c>
      <c r="P53" s="60" t="str">
        <f t="shared" si="56"/>
        <v>.</v>
      </c>
      <c r="Q53" s="60" t="str">
        <f t="shared" si="56"/>
        <v>.</v>
      </c>
      <c r="R53" s="60" t="str">
        <f t="shared" si="56"/>
        <v>.</v>
      </c>
      <c r="S53" s="60" t="str">
        <f t="shared" si="56"/>
        <v>.</v>
      </c>
      <c r="T53" s="60" t="str">
        <f t="shared" si="56"/>
        <v>.</v>
      </c>
      <c r="U53" s="60" t="str">
        <f t="shared" si="56"/>
        <v>.</v>
      </c>
      <c r="V53" s="60" t="str">
        <f t="shared" si="56"/>
        <v>.</v>
      </c>
      <c r="W53" s="60" t="str">
        <f t="shared" si="56"/>
        <v>.</v>
      </c>
      <c r="X53" s="60" t="str">
        <f t="shared" si="56"/>
        <v>.</v>
      </c>
      <c r="Y53" s="60" t="str">
        <f t="shared" si="56"/>
        <v>.</v>
      </c>
      <c r="Z53" s="60" t="str">
        <f t="shared" si="56"/>
        <v>.</v>
      </c>
      <c r="AA53" s="60" t="str">
        <f t="shared" si="56"/>
        <v>.</v>
      </c>
      <c r="AB53" s="60" t="str">
        <f t="shared" si="56"/>
        <v>.</v>
      </c>
      <c r="AC53" s="94" t="str">
        <f t="shared" si="47"/>
        <v>.</v>
      </c>
      <c r="AD53" s="94" t="str">
        <f>IF(D53=".",".",s_RadSpec!$F$5*(AD5*$B53))</f>
        <v>.</v>
      </c>
      <c r="AE53" s="94" t="str">
        <f>IF(E53=".",".",s_RadSpec!$F$5*(AE5*$B53))</f>
        <v>.</v>
      </c>
      <c r="AF53" s="94" t="str">
        <f>IF(F53=".",".",s_RadSpec!$F$5*(AF5*$B53))</f>
        <v>.</v>
      </c>
      <c r="AG53" s="94" t="str">
        <f>IF(G53=".",".",s_RadSpec!$F$5*(AG5*$B53))</f>
        <v>.</v>
      </c>
      <c r="AH53" s="94" t="str">
        <f>IF(H53=".",".",s_RadSpec!$F$5*(AH5*$B53))</f>
        <v>.</v>
      </c>
      <c r="AI53" s="94" t="str">
        <f>IF(I53=".",".",s_RadSpec!$F$5*(AI5*$B53))</f>
        <v>.</v>
      </c>
      <c r="AJ53" s="94" t="str">
        <f>IF(J53=".",".",s_RadSpec!$F$5*(AJ5*$B53))</f>
        <v>.</v>
      </c>
      <c r="AK53" s="94" t="str">
        <f>IF(K53=".",".",s_RadSpec!$F$5*(AK5*$B53))</f>
        <v>.</v>
      </c>
      <c r="AL53" s="94" t="str">
        <f>IF(L53=".",".",s_RadSpec!$F$5*(AL5*$B53))</f>
        <v>.</v>
      </c>
      <c r="AM53" s="94" t="str">
        <f>IF(M53=".",".",s_RadSpec!$F$5*(AM5*$B53))</f>
        <v>.</v>
      </c>
      <c r="AN53" s="94" t="str">
        <f>IF(N53=".",".",s_RadSpec!$F$5*(AN5*$B53))</f>
        <v>.</v>
      </c>
      <c r="AO53" s="94" t="str">
        <f>IF(O53=".",".",s_RadSpec!$F$5*(AO5*$B53))</f>
        <v>.</v>
      </c>
      <c r="AP53" s="94" t="str">
        <f>IF(P53=".",".",s_RadSpec!$F$5*(AP5*$B53))</f>
        <v>.</v>
      </c>
      <c r="AQ53" s="94" t="str">
        <f>IF(Q53=".",".",s_RadSpec!$F$5*(AQ5*$B53))</f>
        <v>.</v>
      </c>
      <c r="AR53" s="94" t="str">
        <f>IF(R53=".",".",s_RadSpec!$F$5*(AR5*$B53))</f>
        <v>.</v>
      </c>
      <c r="AS53" s="94" t="str">
        <f>IF(S53=".",".",s_RadSpec!$F$5*(AS5*$B53))</f>
        <v>.</v>
      </c>
      <c r="AT53" s="94" t="str">
        <f>IF(T53=".",".",s_RadSpec!$F$5*(AT5*$B53))</f>
        <v>.</v>
      </c>
      <c r="AU53" s="94" t="str">
        <f>IF(U53=".",".",s_RadSpec!$F$5*(AU5*$B53))</f>
        <v>.</v>
      </c>
      <c r="AV53" s="94" t="str">
        <f>IF(V53=".",".",s_RadSpec!$F$5*(AV5*$B53))</f>
        <v>.</v>
      </c>
      <c r="AW53" s="94" t="str">
        <f>IF(W53=".",".",s_RadSpec!$F$5*(AW5*$B53))</f>
        <v>.</v>
      </c>
      <c r="AX53" s="94" t="str">
        <f>IF(X53=".",".",s_RadSpec!$F$5*(AX5*$B53))</f>
        <v>.</v>
      </c>
      <c r="AY53" s="94" t="str">
        <f>IF(Y53=".",".",s_RadSpec!$F$5*(AY5*$B53))</f>
        <v>.</v>
      </c>
      <c r="AZ53" s="94" t="str">
        <f>IF(Z53=".",".",s_RadSpec!$F$5*(AZ5*$B53))</f>
        <v>.</v>
      </c>
      <c r="BA53" s="94" t="str">
        <f>IF(AA53=".",".",s_RadSpec!$F$5*(BA5*$B53))</f>
        <v>.</v>
      </c>
      <c r="BB53" s="94" t="str">
        <f>IF(AB53=".",".",s_RadSpec!$F$5*(BB5*$B53))</f>
        <v>.</v>
      </c>
      <c r="BC53" s="60" t="str">
        <f t="shared" ref="BC53:CB53" si="57">IFERROR(BC5/$B53,".")</f>
        <v>.</v>
      </c>
      <c r="BD53" s="60" t="str">
        <f t="shared" si="57"/>
        <v>.</v>
      </c>
      <c r="BE53" s="60" t="str">
        <f t="shared" si="57"/>
        <v>.</v>
      </c>
      <c r="BF53" s="60" t="str">
        <f t="shared" si="57"/>
        <v>.</v>
      </c>
      <c r="BG53" s="60" t="str">
        <f t="shared" si="57"/>
        <v>.</v>
      </c>
      <c r="BH53" s="60" t="str">
        <f t="shared" si="57"/>
        <v>.</v>
      </c>
      <c r="BI53" s="60" t="str">
        <f t="shared" si="57"/>
        <v>.</v>
      </c>
      <c r="BJ53" s="60" t="str">
        <f t="shared" si="57"/>
        <v>.</v>
      </c>
      <c r="BK53" s="60" t="str">
        <f t="shared" si="57"/>
        <v>.</v>
      </c>
      <c r="BL53" s="60" t="str">
        <f t="shared" si="57"/>
        <v>.</v>
      </c>
      <c r="BM53" s="60" t="str">
        <f t="shared" si="57"/>
        <v>.</v>
      </c>
      <c r="BN53" s="60" t="str">
        <f t="shared" si="57"/>
        <v>.</v>
      </c>
      <c r="BO53" s="60" t="str">
        <f t="shared" si="57"/>
        <v>.</v>
      </c>
      <c r="BP53" s="60" t="str">
        <f t="shared" si="57"/>
        <v>.</v>
      </c>
      <c r="BQ53" s="60" t="str">
        <f t="shared" si="57"/>
        <v>.</v>
      </c>
      <c r="BR53" s="60" t="str">
        <f t="shared" si="57"/>
        <v>.</v>
      </c>
      <c r="BS53" s="60" t="str">
        <f t="shared" si="57"/>
        <v>.</v>
      </c>
      <c r="BT53" s="60" t="str">
        <f t="shared" si="57"/>
        <v>.</v>
      </c>
      <c r="BU53" s="60" t="str">
        <f t="shared" si="57"/>
        <v>.</v>
      </c>
      <c r="BV53" s="60" t="str">
        <f t="shared" si="57"/>
        <v>.</v>
      </c>
      <c r="BW53" s="60" t="str">
        <f t="shared" si="57"/>
        <v>.</v>
      </c>
      <c r="BX53" s="60" t="str">
        <f t="shared" si="57"/>
        <v>.</v>
      </c>
      <c r="BY53" s="60" t="str">
        <f t="shared" si="57"/>
        <v>.</v>
      </c>
      <c r="BZ53" s="60" t="str">
        <f t="shared" si="57"/>
        <v>.</v>
      </c>
      <c r="CA53" s="60" t="str">
        <f t="shared" si="57"/>
        <v>.</v>
      </c>
      <c r="CB53" s="60" t="str">
        <f t="shared" si="57"/>
        <v>.</v>
      </c>
      <c r="CC53" s="94" t="str">
        <f t="shared" si="49"/>
        <v>.</v>
      </c>
      <c r="CD53" s="94" t="str">
        <f>IF(BD53=".",".",s_RadSpec!$F$5*(CD5*$B53))</f>
        <v>.</v>
      </c>
      <c r="CE53" s="94" t="str">
        <f>IF(BE53=".",".",s_RadSpec!$F$5*(CE5*$B53))</f>
        <v>.</v>
      </c>
      <c r="CF53" s="94" t="str">
        <f>IF(BF53=".",".",s_RadSpec!$F$5*(CF5*$B53))</f>
        <v>.</v>
      </c>
      <c r="CG53" s="94" t="str">
        <f>IF(BG53=".",".",s_RadSpec!$F$5*(CG5*$B53))</f>
        <v>.</v>
      </c>
      <c r="CH53" s="94" t="str">
        <f>IF(BH53=".",".",s_RadSpec!$F$5*(CH5*$B53))</f>
        <v>.</v>
      </c>
      <c r="CI53" s="94" t="str">
        <f>IF(BI53=".",".",s_RadSpec!$F$5*(CI5*$B53))</f>
        <v>.</v>
      </c>
      <c r="CJ53" s="94" t="str">
        <f>IF(BJ53=".",".",s_RadSpec!$F$5*(CJ5*$B53))</f>
        <v>.</v>
      </c>
      <c r="CK53" s="94" t="str">
        <f>IF(BK53=".",".",s_RadSpec!$F$5*(CK5*$B53))</f>
        <v>.</v>
      </c>
      <c r="CL53" s="94" t="str">
        <f>IF(BL53=".",".",s_RadSpec!$F$5*(CL5*$B53))</f>
        <v>.</v>
      </c>
      <c r="CM53" s="94" t="str">
        <f>IF(BM53=".",".",s_RadSpec!$F$5*(CM5*$B53))</f>
        <v>.</v>
      </c>
      <c r="CN53" s="94" t="str">
        <f>IF(BN53=".",".",s_RadSpec!$F$5*(CN5*$B53))</f>
        <v>.</v>
      </c>
      <c r="CO53" s="94" t="str">
        <f>IF(BO53=".",".",s_RadSpec!$F$5*(CO5*$B53))</f>
        <v>.</v>
      </c>
      <c r="CP53" s="94" t="str">
        <f>IF(BP53=".",".",s_RadSpec!$F$5*(CP5*$B53))</f>
        <v>.</v>
      </c>
      <c r="CQ53" s="94" t="str">
        <f>IF(BQ53=".",".",s_RadSpec!$F$5*(CQ5*$B53))</f>
        <v>.</v>
      </c>
      <c r="CR53" s="94" t="str">
        <f>IF(BR53=".",".",s_RadSpec!$F$5*(CR5*$B53))</f>
        <v>.</v>
      </c>
      <c r="CS53" s="94" t="str">
        <f>IF(BS53=".",".",s_RadSpec!$F$5*(CS5*$B53))</f>
        <v>.</v>
      </c>
      <c r="CT53" s="94" t="str">
        <f>IF(BT53=".",".",s_RadSpec!$F$5*(CT5*$B53))</f>
        <v>.</v>
      </c>
      <c r="CU53" s="94" t="str">
        <f>IF(BU53=".",".",s_RadSpec!$F$5*(CU5*$B53))</f>
        <v>.</v>
      </c>
      <c r="CV53" s="94" t="str">
        <f>IF(BV53=".",".",s_RadSpec!$F$5*(CV5*$B53))</f>
        <v>.</v>
      </c>
      <c r="CW53" s="94" t="str">
        <f>IF(BW53=".",".",s_RadSpec!$F$5*(CW5*$B53))</f>
        <v>.</v>
      </c>
      <c r="CX53" s="94" t="str">
        <f>IF(BX53=".",".",s_RadSpec!$F$5*(CX5*$B53))</f>
        <v>.</v>
      </c>
      <c r="CY53" s="94" t="str">
        <f>IF(BY53=".",".",s_RadSpec!$F$5*(CY5*$B53))</f>
        <v>.</v>
      </c>
      <c r="CZ53" s="94" t="str">
        <f>IF(BZ53=".",".",s_RadSpec!$F$5*(CZ5*$B53))</f>
        <v>.</v>
      </c>
      <c r="DA53" s="94" t="str">
        <f>IF(CA53=".",".",s_RadSpec!$F$5*(DA5*$B53))</f>
        <v>.</v>
      </c>
      <c r="DB53" s="94" t="str">
        <f>IF(CB53=".",".",s_RadSpec!$F$5*(DB5*$B53))</f>
        <v>.</v>
      </c>
    </row>
    <row r="54" spans="1:106" x14ac:dyDescent="0.25">
      <c r="A54" s="77" t="s">
        <v>1075</v>
      </c>
      <c r="B54" s="42">
        <v>0.99999979999999999</v>
      </c>
      <c r="C54" s="60">
        <f t="shared" ref="C54:AB54" si="58">IFERROR(C9/$B54,".")</f>
        <v>13207.811512892233</v>
      </c>
      <c r="D54" s="60">
        <f t="shared" si="58"/>
        <v>52831.246051568924</v>
      </c>
      <c r="E54" s="60">
        <f t="shared" si="58"/>
        <v>52831.246051568924</v>
      </c>
      <c r="F54" s="60">
        <f t="shared" si="58"/>
        <v>52831.246051568924</v>
      </c>
      <c r="G54" s="60">
        <f t="shared" si="58"/>
        <v>52831.246051568924</v>
      </c>
      <c r="H54" s="60">
        <f t="shared" si="58"/>
        <v>52831.246051568924</v>
      </c>
      <c r="I54" s="60">
        <f t="shared" si="58"/>
        <v>52831.246051568924</v>
      </c>
      <c r="J54" s="60">
        <f t="shared" si="58"/>
        <v>52831.246051568924</v>
      </c>
      <c r="K54" s="60">
        <f t="shared" si="58"/>
        <v>52831.246051568924</v>
      </c>
      <c r="L54" s="60">
        <f t="shared" si="58"/>
        <v>52831.246051568924</v>
      </c>
      <c r="M54" s="60">
        <f t="shared" si="58"/>
        <v>52831.246051568924</v>
      </c>
      <c r="N54" s="60">
        <f t="shared" si="58"/>
        <v>52831.246051568924</v>
      </c>
      <c r="O54" s="60">
        <f t="shared" si="58"/>
        <v>52831.246051568924</v>
      </c>
      <c r="P54" s="60">
        <f t="shared" si="58"/>
        <v>52831.246051568924</v>
      </c>
      <c r="Q54" s="60">
        <f t="shared" si="58"/>
        <v>52831.246051568924</v>
      </c>
      <c r="R54" s="60">
        <f t="shared" si="58"/>
        <v>52831.246051568924</v>
      </c>
      <c r="S54" s="60">
        <f t="shared" si="58"/>
        <v>52831.246051568924</v>
      </c>
      <c r="T54" s="60">
        <f t="shared" si="58"/>
        <v>52831.246051568924</v>
      </c>
      <c r="U54" s="60">
        <f t="shared" si="58"/>
        <v>52831.246051568924</v>
      </c>
      <c r="V54" s="60">
        <f t="shared" si="58"/>
        <v>52831.246051568924</v>
      </c>
      <c r="W54" s="60">
        <f t="shared" si="58"/>
        <v>52831.246051568924</v>
      </c>
      <c r="X54" s="60">
        <f t="shared" si="58"/>
        <v>52831.246051568924</v>
      </c>
      <c r="Y54" s="60">
        <f t="shared" si="58"/>
        <v>52831.246051568924</v>
      </c>
      <c r="Z54" s="60">
        <f t="shared" si="58"/>
        <v>52831.246051568924</v>
      </c>
      <c r="AA54" s="60">
        <f t="shared" si="58"/>
        <v>52831.246051568924</v>
      </c>
      <c r="AB54" s="60">
        <f t="shared" si="58"/>
        <v>52831.246051568924</v>
      </c>
      <c r="AC54" s="94">
        <f t="shared" si="47"/>
        <v>1.8928192589360725E-3</v>
      </c>
      <c r="AD54" s="94">
        <f>IF(D54=".",".",s_RadSpec!$F$9*(AD9*$B54))</f>
        <v>4.7320481473401812E-4</v>
      </c>
      <c r="AE54" s="94">
        <f>IF(E54=".",".",s_RadSpec!$F$9*(AE9*$B54))</f>
        <v>4.7320481473401812E-4</v>
      </c>
      <c r="AF54" s="94">
        <f>IF(F54=".",".",s_RadSpec!$F$9*(AF9*$B54))</f>
        <v>4.7320481473401812E-4</v>
      </c>
      <c r="AG54" s="94">
        <f>IF(G54=".",".",s_RadSpec!$F$9*(AG9*$B54))</f>
        <v>4.7320481473401812E-4</v>
      </c>
      <c r="AH54" s="94">
        <f>IF(H54=".",".",s_RadSpec!$F$9*(AH9*$B54))</f>
        <v>4.7320481473401812E-4</v>
      </c>
      <c r="AI54" s="94">
        <f>IF(I54=".",".",s_RadSpec!$F$9*(AI9*$B54))</f>
        <v>4.7320481473401812E-4</v>
      </c>
      <c r="AJ54" s="94">
        <f>IF(J54=".",".",s_RadSpec!$F$9*(AJ9*$B54))</f>
        <v>4.7320481473401812E-4</v>
      </c>
      <c r="AK54" s="94">
        <f>IF(K54=".",".",s_RadSpec!$F$9*(AK9*$B54))</f>
        <v>4.7320481473401812E-4</v>
      </c>
      <c r="AL54" s="94">
        <f>IF(L54=".",".",s_RadSpec!$F$9*(AL9*$B54))</f>
        <v>4.7320481473401812E-4</v>
      </c>
      <c r="AM54" s="94">
        <f>IF(M54=".",".",s_RadSpec!$F$9*(AM9*$B54))</f>
        <v>4.7320481473401812E-4</v>
      </c>
      <c r="AN54" s="94">
        <f>IF(N54=".",".",s_RadSpec!$F$9*(AN9*$B54))</f>
        <v>4.7320481473401812E-4</v>
      </c>
      <c r="AO54" s="94">
        <f>IF(O54=".",".",s_RadSpec!$F$9*(AO9*$B54))</f>
        <v>4.7320481473401812E-4</v>
      </c>
      <c r="AP54" s="94">
        <f>IF(P54=".",".",s_RadSpec!$F$9*(AP9*$B54))</f>
        <v>4.7320481473401812E-4</v>
      </c>
      <c r="AQ54" s="94">
        <f>IF(Q54=".",".",s_RadSpec!$F$9*(AQ9*$B54))</f>
        <v>4.7320481473401812E-4</v>
      </c>
      <c r="AR54" s="94">
        <f>IF(R54=".",".",s_RadSpec!$F$9*(AR9*$B54))</f>
        <v>4.7320481473401812E-4</v>
      </c>
      <c r="AS54" s="94">
        <f>IF(S54=".",".",s_RadSpec!$F$9*(AS9*$B54))</f>
        <v>4.7320481473401812E-4</v>
      </c>
      <c r="AT54" s="94">
        <f>IF(T54=".",".",s_RadSpec!$F$9*(AT9*$B54))</f>
        <v>4.7320481473401812E-4</v>
      </c>
      <c r="AU54" s="94">
        <f>IF(U54=".",".",s_RadSpec!$F$9*(AU9*$B54))</f>
        <v>4.7320481473401812E-4</v>
      </c>
      <c r="AV54" s="94">
        <f>IF(V54=".",".",s_RadSpec!$F$9*(AV9*$B54))</f>
        <v>4.7320481473401812E-4</v>
      </c>
      <c r="AW54" s="94">
        <f>IF(W54=".",".",s_RadSpec!$F$9*(AW9*$B54))</f>
        <v>4.7320481473401812E-4</v>
      </c>
      <c r="AX54" s="94">
        <f>IF(X54=".",".",s_RadSpec!$F$9*(AX9*$B54))</f>
        <v>4.7320481473401812E-4</v>
      </c>
      <c r="AY54" s="94">
        <f>IF(Y54=".",".",s_RadSpec!$F$9*(AY9*$B54))</f>
        <v>4.7320481473401812E-4</v>
      </c>
      <c r="AZ54" s="94">
        <f>IF(Z54=".",".",s_RadSpec!$F$9*(AZ9*$B54))</f>
        <v>4.7320481473401812E-4</v>
      </c>
      <c r="BA54" s="94">
        <f>IF(AA54=".",".",s_RadSpec!$F$9*(BA9*$B54))</f>
        <v>4.7320481473401812E-4</v>
      </c>
      <c r="BB54" s="94">
        <f>IF(AB54=".",".",s_RadSpec!$F$9*(BB9*$B54))</f>
        <v>4.7320481473401812E-4</v>
      </c>
      <c r="BC54" s="60">
        <f t="shared" ref="BC54:CB54" si="59">IFERROR(BC9/$B54,".")</f>
        <v>13207.811512892233</v>
      </c>
      <c r="BD54" s="60">
        <f t="shared" si="59"/>
        <v>52831.246051568924</v>
      </c>
      <c r="BE54" s="60">
        <f t="shared" si="59"/>
        <v>52831.246051568924</v>
      </c>
      <c r="BF54" s="60">
        <f t="shared" si="59"/>
        <v>52831.246051568924</v>
      </c>
      <c r="BG54" s="60">
        <f t="shared" si="59"/>
        <v>52831.246051568924</v>
      </c>
      <c r="BH54" s="60">
        <f t="shared" si="59"/>
        <v>52831.246051568924</v>
      </c>
      <c r="BI54" s="60">
        <f t="shared" si="59"/>
        <v>52831.246051568924</v>
      </c>
      <c r="BJ54" s="60">
        <f t="shared" si="59"/>
        <v>52831.246051568924</v>
      </c>
      <c r="BK54" s="60">
        <f t="shared" si="59"/>
        <v>52831.246051568924</v>
      </c>
      <c r="BL54" s="60">
        <f t="shared" si="59"/>
        <v>52831.246051568924</v>
      </c>
      <c r="BM54" s="60">
        <f t="shared" si="59"/>
        <v>52831.246051568924</v>
      </c>
      <c r="BN54" s="60">
        <f t="shared" si="59"/>
        <v>52831.246051568924</v>
      </c>
      <c r="BO54" s="60">
        <f t="shared" si="59"/>
        <v>52831.246051568924</v>
      </c>
      <c r="BP54" s="60">
        <f t="shared" si="59"/>
        <v>52831.246051568924</v>
      </c>
      <c r="BQ54" s="60">
        <f t="shared" si="59"/>
        <v>52831.246051568924</v>
      </c>
      <c r="BR54" s="60">
        <f t="shared" si="59"/>
        <v>52831.246051568924</v>
      </c>
      <c r="BS54" s="60">
        <f t="shared" si="59"/>
        <v>52831.246051568924</v>
      </c>
      <c r="BT54" s="60">
        <f t="shared" si="59"/>
        <v>52831.246051568924</v>
      </c>
      <c r="BU54" s="60">
        <f t="shared" si="59"/>
        <v>52831.246051568924</v>
      </c>
      <c r="BV54" s="60">
        <f t="shared" si="59"/>
        <v>52831.246051568924</v>
      </c>
      <c r="BW54" s="60">
        <f t="shared" si="59"/>
        <v>52831.246051568924</v>
      </c>
      <c r="BX54" s="60">
        <f t="shared" si="59"/>
        <v>52831.246051568924</v>
      </c>
      <c r="BY54" s="60">
        <f t="shared" si="59"/>
        <v>52831.246051568924</v>
      </c>
      <c r="BZ54" s="60">
        <f t="shared" si="59"/>
        <v>52831.246051568924</v>
      </c>
      <c r="CA54" s="60">
        <f t="shared" si="59"/>
        <v>52831.246051568924</v>
      </c>
      <c r="CB54" s="60">
        <f t="shared" si="59"/>
        <v>52831.246051568924</v>
      </c>
      <c r="CC54" s="94">
        <f t="shared" si="49"/>
        <v>1.8928192589360725E-3</v>
      </c>
      <c r="CD54" s="94">
        <f>IF(BD54=".",".",s_RadSpec!$F$9*(CD9*$B54))</f>
        <v>4.7320481473401812E-4</v>
      </c>
      <c r="CE54" s="94">
        <f>IF(BE54=".",".",s_RadSpec!$F$9*(CE9*$B54))</f>
        <v>4.7320481473401812E-4</v>
      </c>
      <c r="CF54" s="94">
        <f>IF(BF54=".",".",s_RadSpec!$F$9*(CF9*$B54))</f>
        <v>4.7320481473401812E-4</v>
      </c>
      <c r="CG54" s="94">
        <f>IF(BG54=".",".",s_RadSpec!$F$9*(CG9*$B54))</f>
        <v>4.7320481473401812E-4</v>
      </c>
      <c r="CH54" s="94">
        <f>IF(BH54=".",".",s_RadSpec!$F$9*(CH9*$B54))</f>
        <v>4.7320481473401812E-4</v>
      </c>
      <c r="CI54" s="94">
        <f>IF(BI54=".",".",s_RadSpec!$F$9*(CI9*$B54))</f>
        <v>4.7320481473401812E-4</v>
      </c>
      <c r="CJ54" s="94">
        <f>IF(BJ54=".",".",s_RadSpec!$F$9*(CJ9*$B54))</f>
        <v>4.7320481473401812E-4</v>
      </c>
      <c r="CK54" s="94">
        <f>IF(BK54=".",".",s_RadSpec!$F$9*(CK9*$B54))</f>
        <v>4.7320481473401812E-4</v>
      </c>
      <c r="CL54" s="94">
        <f>IF(BL54=".",".",s_RadSpec!$F$9*(CL9*$B54))</f>
        <v>4.7320481473401812E-4</v>
      </c>
      <c r="CM54" s="94">
        <f>IF(BM54=".",".",s_RadSpec!$F$9*(CM9*$B54))</f>
        <v>4.7320481473401812E-4</v>
      </c>
      <c r="CN54" s="94">
        <f>IF(BN54=".",".",s_RadSpec!$F$9*(CN9*$B54))</f>
        <v>4.7320481473401812E-4</v>
      </c>
      <c r="CO54" s="94">
        <f>IF(BO54=".",".",s_RadSpec!$F$9*(CO9*$B54))</f>
        <v>4.7320481473401812E-4</v>
      </c>
      <c r="CP54" s="94">
        <f>IF(BP54=".",".",s_RadSpec!$F$9*(CP9*$B54))</f>
        <v>4.7320481473401812E-4</v>
      </c>
      <c r="CQ54" s="94">
        <f>IF(BQ54=".",".",s_RadSpec!$F$9*(CQ9*$B54))</f>
        <v>4.7320481473401812E-4</v>
      </c>
      <c r="CR54" s="94">
        <f>IF(BR54=".",".",s_RadSpec!$F$9*(CR9*$B54))</f>
        <v>4.7320481473401812E-4</v>
      </c>
      <c r="CS54" s="94">
        <f>IF(BS54=".",".",s_RadSpec!$F$9*(CS9*$B54))</f>
        <v>4.7320481473401812E-4</v>
      </c>
      <c r="CT54" s="94">
        <f>IF(BT54=".",".",s_RadSpec!$F$9*(CT9*$B54))</f>
        <v>4.7320481473401812E-4</v>
      </c>
      <c r="CU54" s="94">
        <f>IF(BU54=".",".",s_RadSpec!$F$9*(CU9*$B54))</f>
        <v>4.7320481473401812E-4</v>
      </c>
      <c r="CV54" s="94">
        <f>IF(BV54=".",".",s_RadSpec!$F$9*(CV9*$B54))</f>
        <v>4.7320481473401812E-4</v>
      </c>
      <c r="CW54" s="94">
        <f>IF(BW54=".",".",s_RadSpec!$F$9*(CW9*$B54))</f>
        <v>4.7320481473401812E-4</v>
      </c>
      <c r="CX54" s="94">
        <f>IF(BX54=".",".",s_RadSpec!$F$9*(CX9*$B54))</f>
        <v>4.7320481473401812E-4</v>
      </c>
      <c r="CY54" s="94">
        <f>IF(BY54=".",".",s_RadSpec!$F$9*(CY9*$B54))</f>
        <v>4.7320481473401812E-4</v>
      </c>
      <c r="CZ54" s="94">
        <f>IF(BZ54=".",".",s_RadSpec!$F$9*(CZ9*$B54))</f>
        <v>4.7320481473401812E-4</v>
      </c>
      <c r="DA54" s="94">
        <f>IF(CA54=".",".",s_RadSpec!$F$9*(DA9*$B54))</f>
        <v>4.7320481473401812E-4</v>
      </c>
      <c r="DB54" s="94">
        <f>IF(CB54=".",".",s_RadSpec!$F$9*(DB9*$B54))</f>
        <v>4.7320481473401812E-4</v>
      </c>
    </row>
    <row r="55" spans="1:106" x14ac:dyDescent="0.25">
      <c r="A55" s="77" t="s">
        <v>1076</v>
      </c>
      <c r="B55" s="42">
        <v>1.9999999999999999E-7</v>
      </c>
      <c r="C55" s="60" t="str">
        <f t="shared" ref="C55:AB55" si="60">IFERROR(C24/$B55,".")</f>
        <v>.</v>
      </c>
      <c r="D55" s="60" t="str">
        <f t="shared" si="60"/>
        <v>.</v>
      </c>
      <c r="E55" s="60" t="str">
        <f t="shared" si="60"/>
        <v>.</v>
      </c>
      <c r="F55" s="60" t="str">
        <f t="shared" si="60"/>
        <v>.</v>
      </c>
      <c r="G55" s="60" t="str">
        <f t="shared" si="60"/>
        <v>.</v>
      </c>
      <c r="H55" s="60" t="str">
        <f t="shared" si="60"/>
        <v>.</v>
      </c>
      <c r="I55" s="60" t="str">
        <f t="shared" si="60"/>
        <v>.</v>
      </c>
      <c r="J55" s="60" t="str">
        <f t="shared" si="60"/>
        <v>.</v>
      </c>
      <c r="K55" s="60" t="str">
        <f t="shared" si="60"/>
        <v>.</v>
      </c>
      <c r="L55" s="60" t="str">
        <f t="shared" si="60"/>
        <v>.</v>
      </c>
      <c r="M55" s="60" t="str">
        <f t="shared" si="60"/>
        <v>.</v>
      </c>
      <c r="N55" s="60" t="str">
        <f t="shared" si="60"/>
        <v>.</v>
      </c>
      <c r="O55" s="60" t="str">
        <f t="shared" si="60"/>
        <v>.</v>
      </c>
      <c r="P55" s="60" t="str">
        <f t="shared" si="60"/>
        <v>.</v>
      </c>
      <c r="Q55" s="60" t="str">
        <f t="shared" si="60"/>
        <v>.</v>
      </c>
      <c r="R55" s="60" t="str">
        <f t="shared" si="60"/>
        <v>.</v>
      </c>
      <c r="S55" s="60" t="str">
        <f t="shared" si="60"/>
        <v>.</v>
      </c>
      <c r="T55" s="60" t="str">
        <f t="shared" si="60"/>
        <v>.</v>
      </c>
      <c r="U55" s="60" t="str">
        <f t="shared" si="60"/>
        <v>.</v>
      </c>
      <c r="V55" s="60" t="str">
        <f t="shared" si="60"/>
        <v>.</v>
      </c>
      <c r="W55" s="60" t="str">
        <f t="shared" si="60"/>
        <v>.</v>
      </c>
      <c r="X55" s="60" t="str">
        <f t="shared" si="60"/>
        <v>.</v>
      </c>
      <c r="Y55" s="60" t="str">
        <f t="shared" si="60"/>
        <v>.</v>
      </c>
      <c r="Z55" s="60" t="str">
        <f t="shared" si="60"/>
        <v>.</v>
      </c>
      <c r="AA55" s="60" t="str">
        <f t="shared" si="60"/>
        <v>.</v>
      </c>
      <c r="AB55" s="60" t="str">
        <f t="shared" si="60"/>
        <v>.</v>
      </c>
      <c r="AC55" s="94" t="str">
        <f t="shared" si="47"/>
        <v>.</v>
      </c>
      <c r="AD55" s="94" t="str">
        <f>IF(D55=".",".",s_RadSpec!$F$24*(AD24*$B55))</f>
        <v>.</v>
      </c>
      <c r="AE55" s="94" t="str">
        <f>IF(E55=".",".",s_RadSpec!$F$24*(AE24*$B55))</f>
        <v>.</v>
      </c>
      <c r="AF55" s="94" t="str">
        <f>IF(F55=".",".",s_RadSpec!$F$24*(AF24*$B55))</f>
        <v>.</v>
      </c>
      <c r="AG55" s="94" t="str">
        <f>IF(G55=".",".",s_RadSpec!$F$24*(AG24*$B55))</f>
        <v>.</v>
      </c>
      <c r="AH55" s="94" t="str">
        <f>IF(H55=".",".",s_RadSpec!$F$24*(AH24*$B55))</f>
        <v>.</v>
      </c>
      <c r="AI55" s="94" t="str">
        <f>IF(I55=".",".",s_RadSpec!$F$24*(AI24*$B55))</f>
        <v>.</v>
      </c>
      <c r="AJ55" s="94" t="str">
        <f>IF(J55=".",".",s_RadSpec!$F$24*(AJ24*$B55))</f>
        <v>.</v>
      </c>
      <c r="AK55" s="94" t="str">
        <f>IF(K55=".",".",s_RadSpec!$F$24*(AK24*$B55))</f>
        <v>.</v>
      </c>
      <c r="AL55" s="94" t="str">
        <f>IF(L55=".",".",s_RadSpec!$F$24*(AL24*$B55))</f>
        <v>.</v>
      </c>
      <c r="AM55" s="94" t="str">
        <f>IF(M55=".",".",s_RadSpec!$F$24*(AM24*$B55))</f>
        <v>.</v>
      </c>
      <c r="AN55" s="94" t="str">
        <f>IF(N55=".",".",s_RadSpec!$F$24*(AN24*$B55))</f>
        <v>.</v>
      </c>
      <c r="AO55" s="94" t="str">
        <f>IF(O55=".",".",s_RadSpec!$F$24*(AO24*$B55))</f>
        <v>.</v>
      </c>
      <c r="AP55" s="94" t="str">
        <f>IF(P55=".",".",s_RadSpec!$F$24*(AP24*$B55))</f>
        <v>.</v>
      </c>
      <c r="AQ55" s="94" t="str">
        <f>IF(Q55=".",".",s_RadSpec!$F$24*(AQ24*$B55))</f>
        <v>.</v>
      </c>
      <c r="AR55" s="94" t="str">
        <f>IF(R55=".",".",s_RadSpec!$F$24*(AR24*$B55))</f>
        <v>.</v>
      </c>
      <c r="AS55" s="94" t="str">
        <f>IF(S55=".",".",s_RadSpec!$F$24*(AS24*$B55))</f>
        <v>.</v>
      </c>
      <c r="AT55" s="94" t="str">
        <f>IF(T55=".",".",s_RadSpec!$F$24*(AT24*$B55))</f>
        <v>.</v>
      </c>
      <c r="AU55" s="94" t="str">
        <f>IF(U55=".",".",s_RadSpec!$F$24*(AU24*$B55))</f>
        <v>.</v>
      </c>
      <c r="AV55" s="94" t="str">
        <f>IF(V55=".",".",s_RadSpec!$F$24*(AV24*$B55))</f>
        <v>.</v>
      </c>
      <c r="AW55" s="94" t="str">
        <f>IF(W55=".",".",s_RadSpec!$F$24*(AW24*$B55))</f>
        <v>.</v>
      </c>
      <c r="AX55" s="94" t="str">
        <f>IF(X55=".",".",s_RadSpec!$F$24*(AX24*$B55))</f>
        <v>.</v>
      </c>
      <c r="AY55" s="94" t="str">
        <f>IF(Y55=".",".",s_RadSpec!$F$24*(AY24*$B55))</f>
        <v>.</v>
      </c>
      <c r="AZ55" s="94" t="str">
        <f>IF(Z55=".",".",s_RadSpec!$F$24*(AZ24*$B55))</f>
        <v>.</v>
      </c>
      <c r="BA55" s="94" t="str">
        <f>IF(AA55=".",".",s_RadSpec!$F$24*(BA24*$B55))</f>
        <v>.</v>
      </c>
      <c r="BB55" s="94" t="str">
        <f>IF(AB55=".",".",s_RadSpec!$F$24*(BB24*$B55))</f>
        <v>.</v>
      </c>
      <c r="BC55" s="60" t="str">
        <f t="shared" ref="BC55:CB55" si="61">IFERROR(BC24/$B55,".")</f>
        <v>.</v>
      </c>
      <c r="BD55" s="60" t="str">
        <f t="shared" si="61"/>
        <v>.</v>
      </c>
      <c r="BE55" s="60" t="str">
        <f t="shared" si="61"/>
        <v>.</v>
      </c>
      <c r="BF55" s="60" t="str">
        <f t="shared" si="61"/>
        <v>.</v>
      </c>
      <c r="BG55" s="60" t="str">
        <f t="shared" si="61"/>
        <v>.</v>
      </c>
      <c r="BH55" s="60" t="str">
        <f t="shared" si="61"/>
        <v>.</v>
      </c>
      <c r="BI55" s="60" t="str">
        <f t="shared" si="61"/>
        <v>.</v>
      </c>
      <c r="BJ55" s="60" t="str">
        <f t="shared" si="61"/>
        <v>.</v>
      </c>
      <c r="BK55" s="60" t="str">
        <f t="shared" si="61"/>
        <v>.</v>
      </c>
      <c r="BL55" s="60" t="str">
        <f t="shared" si="61"/>
        <v>.</v>
      </c>
      <c r="BM55" s="60" t="str">
        <f t="shared" si="61"/>
        <v>.</v>
      </c>
      <c r="BN55" s="60" t="str">
        <f t="shared" si="61"/>
        <v>.</v>
      </c>
      <c r="BO55" s="60" t="str">
        <f t="shared" si="61"/>
        <v>.</v>
      </c>
      <c r="BP55" s="60" t="str">
        <f t="shared" si="61"/>
        <v>.</v>
      </c>
      <c r="BQ55" s="60" t="str">
        <f t="shared" si="61"/>
        <v>.</v>
      </c>
      <c r="BR55" s="60" t="str">
        <f t="shared" si="61"/>
        <v>.</v>
      </c>
      <c r="BS55" s="60" t="str">
        <f t="shared" si="61"/>
        <v>.</v>
      </c>
      <c r="BT55" s="60" t="str">
        <f t="shared" si="61"/>
        <v>.</v>
      </c>
      <c r="BU55" s="60" t="str">
        <f t="shared" si="61"/>
        <v>.</v>
      </c>
      <c r="BV55" s="60" t="str">
        <f t="shared" si="61"/>
        <v>.</v>
      </c>
      <c r="BW55" s="60" t="str">
        <f t="shared" si="61"/>
        <v>.</v>
      </c>
      <c r="BX55" s="60" t="str">
        <f t="shared" si="61"/>
        <v>.</v>
      </c>
      <c r="BY55" s="60" t="str">
        <f t="shared" si="61"/>
        <v>.</v>
      </c>
      <c r="BZ55" s="60" t="str">
        <f t="shared" si="61"/>
        <v>.</v>
      </c>
      <c r="CA55" s="60" t="str">
        <f t="shared" si="61"/>
        <v>.</v>
      </c>
      <c r="CB55" s="60" t="str">
        <f t="shared" si="61"/>
        <v>.</v>
      </c>
      <c r="CC55" s="94" t="str">
        <f t="shared" si="49"/>
        <v>.</v>
      </c>
      <c r="CD55" s="94" t="str">
        <f>IF(BD55=".",".",s_RadSpec!$F$24*(CD24*$B55))</f>
        <v>.</v>
      </c>
      <c r="CE55" s="94" t="str">
        <f>IF(BE55=".",".",s_RadSpec!$F$24*(CE24*$B55))</f>
        <v>.</v>
      </c>
      <c r="CF55" s="94" t="str">
        <f>IF(BF55=".",".",s_RadSpec!$F$24*(CF24*$B55))</f>
        <v>.</v>
      </c>
      <c r="CG55" s="94" t="str">
        <f>IF(BG55=".",".",s_RadSpec!$F$24*(CG24*$B55))</f>
        <v>.</v>
      </c>
      <c r="CH55" s="94" t="str">
        <f>IF(BH55=".",".",s_RadSpec!$F$24*(CH24*$B55))</f>
        <v>.</v>
      </c>
      <c r="CI55" s="94" t="str">
        <f>IF(BI55=".",".",s_RadSpec!$F$24*(CI24*$B55))</f>
        <v>.</v>
      </c>
      <c r="CJ55" s="94" t="str">
        <f>IF(BJ55=".",".",s_RadSpec!$F$24*(CJ24*$B55))</f>
        <v>.</v>
      </c>
      <c r="CK55" s="94" t="str">
        <f>IF(BK55=".",".",s_RadSpec!$F$24*(CK24*$B55))</f>
        <v>.</v>
      </c>
      <c r="CL55" s="94" t="str">
        <f>IF(BL55=".",".",s_RadSpec!$F$24*(CL24*$B55))</f>
        <v>.</v>
      </c>
      <c r="CM55" s="94" t="str">
        <f>IF(BM55=".",".",s_RadSpec!$F$24*(CM24*$B55))</f>
        <v>.</v>
      </c>
      <c r="CN55" s="94" t="str">
        <f>IF(BN55=".",".",s_RadSpec!$F$24*(CN24*$B55))</f>
        <v>.</v>
      </c>
      <c r="CO55" s="94" t="str">
        <f>IF(BO55=".",".",s_RadSpec!$F$24*(CO24*$B55))</f>
        <v>.</v>
      </c>
      <c r="CP55" s="94" t="str">
        <f>IF(BP55=".",".",s_RadSpec!$F$24*(CP24*$B55))</f>
        <v>.</v>
      </c>
      <c r="CQ55" s="94" t="str">
        <f>IF(BQ55=".",".",s_RadSpec!$F$24*(CQ24*$B55))</f>
        <v>.</v>
      </c>
      <c r="CR55" s="94" t="str">
        <f>IF(BR55=".",".",s_RadSpec!$F$24*(CR24*$B55))</f>
        <v>.</v>
      </c>
      <c r="CS55" s="94" t="str">
        <f>IF(BS55=".",".",s_RadSpec!$F$24*(CS24*$B55))</f>
        <v>.</v>
      </c>
      <c r="CT55" s="94" t="str">
        <f>IF(BT55=".",".",s_RadSpec!$F$24*(CT24*$B55))</f>
        <v>.</v>
      </c>
      <c r="CU55" s="94" t="str">
        <f>IF(BU55=".",".",s_RadSpec!$F$24*(CU24*$B55))</f>
        <v>.</v>
      </c>
      <c r="CV55" s="94" t="str">
        <f>IF(BV55=".",".",s_RadSpec!$F$24*(CV24*$B55))</f>
        <v>.</v>
      </c>
      <c r="CW55" s="94" t="str">
        <f>IF(BW55=".",".",s_RadSpec!$F$24*(CW24*$B55))</f>
        <v>.</v>
      </c>
      <c r="CX55" s="94" t="str">
        <f>IF(BX55=".",".",s_RadSpec!$F$24*(CX24*$B55))</f>
        <v>.</v>
      </c>
      <c r="CY55" s="94" t="str">
        <f>IF(BY55=".",".",s_RadSpec!$F$24*(CY24*$B55))</f>
        <v>.</v>
      </c>
      <c r="CZ55" s="94" t="str">
        <f>IF(BZ55=".",".",s_RadSpec!$F$24*(CZ24*$B55))</f>
        <v>.</v>
      </c>
      <c r="DA55" s="94" t="str">
        <f>IF(CA55=".",".",s_RadSpec!$F$24*(DA24*$B55))</f>
        <v>.</v>
      </c>
      <c r="DB55" s="94" t="str">
        <f>IF(CB55=".",".",s_RadSpec!$F$24*(DB24*$B55))</f>
        <v>.</v>
      </c>
    </row>
    <row r="56" spans="1:106" x14ac:dyDescent="0.25">
      <c r="A56" s="77" t="s">
        <v>1077</v>
      </c>
      <c r="B56" s="42">
        <v>0.99979000004200003</v>
      </c>
      <c r="C56" s="60" t="str">
        <f t="shared" ref="C56:AB56" si="62">IFERROR(C20/$B56,".")</f>
        <v>.</v>
      </c>
      <c r="D56" s="60" t="str">
        <f t="shared" si="62"/>
        <v>.</v>
      </c>
      <c r="E56" s="60" t="str">
        <f t="shared" si="62"/>
        <v>.</v>
      </c>
      <c r="F56" s="60" t="str">
        <f t="shared" si="62"/>
        <v>.</v>
      </c>
      <c r="G56" s="60" t="str">
        <f t="shared" si="62"/>
        <v>.</v>
      </c>
      <c r="H56" s="60" t="str">
        <f t="shared" si="62"/>
        <v>.</v>
      </c>
      <c r="I56" s="60" t="str">
        <f t="shared" si="62"/>
        <v>.</v>
      </c>
      <c r="J56" s="60" t="str">
        <f t="shared" si="62"/>
        <v>.</v>
      </c>
      <c r="K56" s="60" t="str">
        <f t="shared" si="62"/>
        <v>.</v>
      </c>
      <c r="L56" s="60" t="str">
        <f t="shared" si="62"/>
        <v>.</v>
      </c>
      <c r="M56" s="60" t="str">
        <f t="shared" si="62"/>
        <v>.</v>
      </c>
      <c r="N56" s="60" t="str">
        <f t="shared" si="62"/>
        <v>.</v>
      </c>
      <c r="O56" s="60" t="str">
        <f t="shared" si="62"/>
        <v>.</v>
      </c>
      <c r="P56" s="60" t="str">
        <f t="shared" si="62"/>
        <v>.</v>
      </c>
      <c r="Q56" s="60" t="str">
        <f t="shared" si="62"/>
        <v>.</v>
      </c>
      <c r="R56" s="60" t="str">
        <f t="shared" si="62"/>
        <v>.</v>
      </c>
      <c r="S56" s="60" t="str">
        <f t="shared" si="62"/>
        <v>.</v>
      </c>
      <c r="T56" s="60" t="str">
        <f t="shared" si="62"/>
        <v>.</v>
      </c>
      <c r="U56" s="60" t="str">
        <f t="shared" si="62"/>
        <v>.</v>
      </c>
      <c r="V56" s="60" t="str">
        <f t="shared" si="62"/>
        <v>.</v>
      </c>
      <c r="W56" s="60" t="str">
        <f t="shared" si="62"/>
        <v>.</v>
      </c>
      <c r="X56" s="60" t="str">
        <f t="shared" si="62"/>
        <v>.</v>
      </c>
      <c r="Y56" s="60" t="str">
        <f t="shared" si="62"/>
        <v>.</v>
      </c>
      <c r="Z56" s="60" t="str">
        <f t="shared" si="62"/>
        <v>.</v>
      </c>
      <c r="AA56" s="60" t="str">
        <f t="shared" si="62"/>
        <v>.</v>
      </c>
      <c r="AB56" s="60" t="str">
        <f t="shared" si="62"/>
        <v>.</v>
      </c>
      <c r="AC56" s="94" t="str">
        <f t="shared" si="47"/>
        <v>.</v>
      </c>
      <c r="AD56" s="94" t="str">
        <f>IF(D56=".",".",s_RadSpec!$F$20*(AD20*$B56))</f>
        <v>.</v>
      </c>
      <c r="AE56" s="94" t="str">
        <f>IF(E56=".",".",s_RadSpec!$F$20*(AE20*$B56))</f>
        <v>.</v>
      </c>
      <c r="AF56" s="94" t="str">
        <f>IF(F56=".",".",s_RadSpec!$F$20*(AF20*$B56))</f>
        <v>.</v>
      </c>
      <c r="AG56" s="94" t="str">
        <f>IF(G56=".",".",s_RadSpec!$F$20*(AG20*$B56))</f>
        <v>.</v>
      </c>
      <c r="AH56" s="94" t="str">
        <f>IF(H56=".",".",s_RadSpec!$F$20*(AH20*$B56))</f>
        <v>.</v>
      </c>
      <c r="AI56" s="94" t="str">
        <f>IF(I56=".",".",s_RadSpec!$F$20*(AI20*$B56))</f>
        <v>.</v>
      </c>
      <c r="AJ56" s="94" t="str">
        <f>IF(J56=".",".",s_RadSpec!$F$20*(AJ20*$B56))</f>
        <v>.</v>
      </c>
      <c r="AK56" s="94" t="str">
        <f>IF(K56=".",".",s_RadSpec!$F$20*(AK20*$B56))</f>
        <v>.</v>
      </c>
      <c r="AL56" s="94" t="str">
        <f>IF(L56=".",".",s_RadSpec!$F$20*(AL20*$B56))</f>
        <v>.</v>
      </c>
      <c r="AM56" s="94" t="str">
        <f>IF(M56=".",".",s_RadSpec!$F$20*(AM20*$B56))</f>
        <v>.</v>
      </c>
      <c r="AN56" s="94" t="str">
        <f>IF(N56=".",".",s_RadSpec!$F$20*(AN20*$B56))</f>
        <v>.</v>
      </c>
      <c r="AO56" s="94" t="str">
        <f>IF(O56=".",".",s_RadSpec!$F$20*(AO20*$B56))</f>
        <v>.</v>
      </c>
      <c r="AP56" s="94" t="str">
        <f>IF(P56=".",".",s_RadSpec!$F$20*(AP20*$B56))</f>
        <v>.</v>
      </c>
      <c r="AQ56" s="94" t="str">
        <f>IF(Q56=".",".",s_RadSpec!$F$20*(AQ20*$B56))</f>
        <v>.</v>
      </c>
      <c r="AR56" s="94" t="str">
        <f>IF(R56=".",".",s_RadSpec!$F$20*(AR20*$B56))</f>
        <v>.</v>
      </c>
      <c r="AS56" s="94" t="str">
        <f>IF(S56=".",".",s_RadSpec!$F$20*(AS20*$B56))</f>
        <v>.</v>
      </c>
      <c r="AT56" s="94" t="str">
        <f>IF(T56=".",".",s_RadSpec!$F$20*(AT20*$B56))</f>
        <v>.</v>
      </c>
      <c r="AU56" s="94" t="str">
        <f>IF(U56=".",".",s_RadSpec!$F$20*(AU20*$B56))</f>
        <v>.</v>
      </c>
      <c r="AV56" s="94" t="str">
        <f>IF(V56=".",".",s_RadSpec!$F$20*(AV20*$B56))</f>
        <v>.</v>
      </c>
      <c r="AW56" s="94" t="str">
        <f>IF(W56=".",".",s_RadSpec!$F$20*(AW20*$B56))</f>
        <v>.</v>
      </c>
      <c r="AX56" s="94" t="str">
        <f>IF(X56=".",".",s_RadSpec!$F$20*(AX20*$B56))</f>
        <v>.</v>
      </c>
      <c r="AY56" s="94" t="str">
        <f>IF(Y56=".",".",s_RadSpec!$F$20*(AY20*$B56))</f>
        <v>.</v>
      </c>
      <c r="AZ56" s="94" t="str">
        <f>IF(Z56=".",".",s_RadSpec!$F$20*(AZ20*$B56))</f>
        <v>.</v>
      </c>
      <c r="BA56" s="94" t="str">
        <f>IF(AA56=".",".",s_RadSpec!$F$20*(BA20*$B56))</f>
        <v>.</v>
      </c>
      <c r="BB56" s="94" t="str">
        <f>IF(AB56=".",".",s_RadSpec!$F$20*(BB20*$B56))</f>
        <v>.</v>
      </c>
      <c r="BC56" s="60" t="str">
        <f t="shared" ref="BC56:CB56" si="63">IFERROR(BC20/$B56,".")</f>
        <v>.</v>
      </c>
      <c r="BD56" s="60" t="str">
        <f t="shared" si="63"/>
        <v>.</v>
      </c>
      <c r="BE56" s="60" t="str">
        <f t="shared" si="63"/>
        <v>.</v>
      </c>
      <c r="BF56" s="60" t="str">
        <f t="shared" si="63"/>
        <v>.</v>
      </c>
      <c r="BG56" s="60" t="str">
        <f t="shared" si="63"/>
        <v>.</v>
      </c>
      <c r="BH56" s="60" t="str">
        <f t="shared" si="63"/>
        <v>.</v>
      </c>
      <c r="BI56" s="60" t="str">
        <f t="shared" si="63"/>
        <v>.</v>
      </c>
      <c r="BJ56" s="60" t="str">
        <f t="shared" si="63"/>
        <v>.</v>
      </c>
      <c r="BK56" s="60" t="str">
        <f t="shared" si="63"/>
        <v>.</v>
      </c>
      <c r="BL56" s="60" t="str">
        <f t="shared" si="63"/>
        <v>.</v>
      </c>
      <c r="BM56" s="60" t="str">
        <f t="shared" si="63"/>
        <v>.</v>
      </c>
      <c r="BN56" s="60" t="str">
        <f t="shared" si="63"/>
        <v>.</v>
      </c>
      <c r="BO56" s="60" t="str">
        <f t="shared" si="63"/>
        <v>.</v>
      </c>
      <c r="BP56" s="60" t="str">
        <f t="shared" si="63"/>
        <v>.</v>
      </c>
      <c r="BQ56" s="60" t="str">
        <f t="shared" si="63"/>
        <v>.</v>
      </c>
      <c r="BR56" s="60" t="str">
        <f t="shared" si="63"/>
        <v>.</v>
      </c>
      <c r="BS56" s="60" t="str">
        <f t="shared" si="63"/>
        <v>.</v>
      </c>
      <c r="BT56" s="60" t="str">
        <f t="shared" si="63"/>
        <v>.</v>
      </c>
      <c r="BU56" s="60" t="str">
        <f t="shared" si="63"/>
        <v>.</v>
      </c>
      <c r="BV56" s="60" t="str">
        <f t="shared" si="63"/>
        <v>.</v>
      </c>
      <c r="BW56" s="60" t="str">
        <f t="shared" si="63"/>
        <v>.</v>
      </c>
      <c r="BX56" s="60" t="str">
        <f t="shared" si="63"/>
        <v>.</v>
      </c>
      <c r="BY56" s="60" t="str">
        <f t="shared" si="63"/>
        <v>.</v>
      </c>
      <c r="BZ56" s="60" t="str">
        <f t="shared" si="63"/>
        <v>.</v>
      </c>
      <c r="CA56" s="60" t="str">
        <f t="shared" si="63"/>
        <v>.</v>
      </c>
      <c r="CB56" s="60" t="str">
        <f t="shared" si="63"/>
        <v>.</v>
      </c>
      <c r="CC56" s="94" t="str">
        <f t="shared" si="49"/>
        <v>.</v>
      </c>
      <c r="CD56" s="94" t="str">
        <f>IF(BD56=".",".",s_RadSpec!$F$20*(CD20*$B56))</f>
        <v>.</v>
      </c>
      <c r="CE56" s="94" t="str">
        <f>IF(BE56=".",".",s_RadSpec!$F$20*(CE20*$B56))</f>
        <v>.</v>
      </c>
      <c r="CF56" s="94" t="str">
        <f>IF(BF56=".",".",s_RadSpec!$F$20*(CF20*$B56))</f>
        <v>.</v>
      </c>
      <c r="CG56" s="94" t="str">
        <f>IF(BG56=".",".",s_RadSpec!$F$20*(CG20*$B56))</f>
        <v>.</v>
      </c>
      <c r="CH56" s="94" t="str">
        <f>IF(BH56=".",".",s_RadSpec!$F$20*(CH20*$B56))</f>
        <v>.</v>
      </c>
      <c r="CI56" s="94" t="str">
        <f>IF(BI56=".",".",s_RadSpec!$F$20*(CI20*$B56))</f>
        <v>.</v>
      </c>
      <c r="CJ56" s="94" t="str">
        <f>IF(BJ56=".",".",s_RadSpec!$F$20*(CJ20*$B56))</f>
        <v>.</v>
      </c>
      <c r="CK56" s="94" t="str">
        <f>IF(BK56=".",".",s_RadSpec!$F$20*(CK20*$B56))</f>
        <v>.</v>
      </c>
      <c r="CL56" s="94" t="str">
        <f>IF(BL56=".",".",s_RadSpec!$F$20*(CL20*$B56))</f>
        <v>.</v>
      </c>
      <c r="CM56" s="94" t="str">
        <f>IF(BM56=".",".",s_RadSpec!$F$20*(CM20*$B56))</f>
        <v>.</v>
      </c>
      <c r="CN56" s="94" t="str">
        <f>IF(BN56=".",".",s_RadSpec!$F$20*(CN20*$B56))</f>
        <v>.</v>
      </c>
      <c r="CO56" s="94" t="str">
        <f>IF(BO56=".",".",s_RadSpec!$F$20*(CO20*$B56))</f>
        <v>.</v>
      </c>
      <c r="CP56" s="94" t="str">
        <f>IF(BP56=".",".",s_RadSpec!$F$20*(CP20*$B56))</f>
        <v>.</v>
      </c>
      <c r="CQ56" s="94" t="str">
        <f>IF(BQ56=".",".",s_RadSpec!$F$20*(CQ20*$B56))</f>
        <v>.</v>
      </c>
      <c r="CR56" s="94" t="str">
        <f>IF(BR56=".",".",s_RadSpec!$F$20*(CR20*$B56))</f>
        <v>.</v>
      </c>
      <c r="CS56" s="94" t="str">
        <f>IF(BS56=".",".",s_RadSpec!$F$20*(CS20*$B56))</f>
        <v>.</v>
      </c>
      <c r="CT56" s="94" t="str">
        <f>IF(BT56=".",".",s_RadSpec!$F$20*(CT20*$B56))</f>
        <v>.</v>
      </c>
      <c r="CU56" s="94" t="str">
        <f>IF(BU56=".",".",s_RadSpec!$F$20*(CU20*$B56))</f>
        <v>.</v>
      </c>
      <c r="CV56" s="94" t="str">
        <f>IF(BV56=".",".",s_RadSpec!$F$20*(CV20*$B56))</f>
        <v>.</v>
      </c>
      <c r="CW56" s="94" t="str">
        <f>IF(BW56=".",".",s_RadSpec!$F$20*(CW20*$B56))</f>
        <v>.</v>
      </c>
      <c r="CX56" s="94" t="str">
        <f>IF(BX56=".",".",s_RadSpec!$F$20*(CX20*$B56))</f>
        <v>.</v>
      </c>
      <c r="CY56" s="94" t="str">
        <f>IF(BY56=".",".",s_RadSpec!$F$20*(CY20*$B56))</f>
        <v>.</v>
      </c>
      <c r="CZ56" s="94" t="str">
        <f>IF(BZ56=".",".",s_RadSpec!$F$20*(CZ20*$B56))</f>
        <v>.</v>
      </c>
      <c r="DA56" s="94" t="str">
        <f>IF(CA56=".",".",s_RadSpec!$F$20*(DA20*$B56))</f>
        <v>.</v>
      </c>
      <c r="DB56" s="94" t="str">
        <f>IF(CB56=".",".",s_RadSpec!$F$20*(DB20*$B56))</f>
        <v>.</v>
      </c>
    </row>
    <row r="57" spans="1:106" x14ac:dyDescent="0.25">
      <c r="A57" s="77" t="s">
        <v>1078</v>
      </c>
      <c r="B57" s="42">
        <v>2.0999995799999999E-4</v>
      </c>
      <c r="C57" s="60" t="str">
        <f t="shared" ref="C57:AB57" si="64">IFERROR(C29/$B57,".")</f>
        <v>.</v>
      </c>
      <c r="D57" s="60" t="str">
        <f t="shared" si="64"/>
        <v>.</v>
      </c>
      <c r="E57" s="60" t="str">
        <f t="shared" si="64"/>
        <v>.</v>
      </c>
      <c r="F57" s="60" t="str">
        <f t="shared" si="64"/>
        <v>.</v>
      </c>
      <c r="G57" s="60" t="str">
        <f t="shared" si="64"/>
        <v>.</v>
      </c>
      <c r="H57" s="60" t="str">
        <f t="shared" si="64"/>
        <v>.</v>
      </c>
      <c r="I57" s="60" t="str">
        <f t="shared" si="64"/>
        <v>.</v>
      </c>
      <c r="J57" s="60" t="str">
        <f t="shared" si="64"/>
        <v>.</v>
      </c>
      <c r="K57" s="60" t="str">
        <f t="shared" si="64"/>
        <v>.</v>
      </c>
      <c r="L57" s="60" t="str">
        <f t="shared" si="64"/>
        <v>.</v>
      </c>
      <c r="M57" s="60" t="str">
        <f t="shared" si="64"/>
        <v>.</v>
      </c>
      <c r="N57" s="60" t="str">
        <f t="shared" si="64"/>
        <v>.</v>
      </c>
      <c r="O57" s="60" t="str">
        <f t="shared" si="64"/>
        <v>.</v>
      </c>
      <c r="P57" s="60" t="str">
        <f t="shared" si="64"/>
        <v>.</v>
      </c>
      <c r="Q57" s="60" t="str">
        <f t="shared" si="64"/>
        <v>.</v>
      </c>
      <c r="R57" s="60" t="str">
        <f t="shared" si="64"/>
        <v>.</v>
      </c>
      <c r="S57" s="60" t="str">
        <f t="shared" si="64"/>
        <v>.</v>
      </c>
      <c r="T57" s="60" t="str">
        <f t="shared" si="64"/>
        <v>.</v>
      </c>
      <c r="U57" s="60" t="str">
        <f t="shared" si="64"/>
        <v>.</v>
      </c>
      <c r="V57" s="60" t="str">
        <f t="shared" si="64"/>
        <v>.</v>
      </c>
      <c r="W57" s="60" t="str">
        <f t="shared" si="64"/>
        <v>.</v>
      </c>
      <c r="X57" s="60" t="str">
        <f t="shared" si="64"/>
        <v>.</v>
      </c>
      <c r="Y57" s="60" t="str">
        <f t="shared" si="64"/>
        <v>.</v>
      </c>
      <c r="Z57" s="60" t="str">
        <f t="shared" si="64"/>
        <v>.</v>
      </c>
      <c r="AA57" s="60" t="str">
        <f t="shared" si="64"/>
        <v>.</v>
      </c>
      <c r="AB57" s="60" t="str">
        <f t="shared" si="64"/>
        <v>.</v>
      </c>
      <c r="AC57" s="94" t="str">
        <f t="shared" si="47"/>
        <v>.</v>
      </c>
      <c r="AD57" s="94" t="str">
        <f>IF(D57=".",".",s_RadSpec!$F$29*(AD29*$B57))</f>
        <v>.</v>
      </c>
      <c r="AE57" s="94" t="str">
        <f>IF(E57=".",".",s_RadSpec!$F$29*(AE29*$B57))</f>
        <v>.</v>
      </c>
      <c r="AF57" s="94" t="str">
        <f>IF(F57=".",".",s_RadSpec!$F$29*(AF29*$B57))</f>
        <v>.</v>
      </c>
      <c r="AG57" s="94" t="str">
        <f>IF(G57=".",".",s_RadSpec!$F$29*(AG29*$B57))</f>
        <v>.</v>
      </c>
      <c r="AH57" s="94" t="str">
        <f>IF(H57=".",".",s_RadSpec!$F$29*(AH29*$B57))</f>
        <v>.</v>
      </c>
      <c r="AI57" s="94" t="str">
        <f>IF(I57=".",".",s_RadSpec!$F$29*(AI29*$B57))</f>
        <v>.</v>
      </c>
      <c r="AJ57" s="94" t="str">
        <f>IF(J57=".",".",s_RadSpec!$F$29*(AJ29*$B57))</f>
        <v>.</v>
      </c>
      <c r="AK57" s="94" t="str">
        <f>IF(K57=".",".",s_RadSpec!$F$29*(AK29*$B57))</f>
        <v>.</v>
      </c>
      <c r="AL57" s="94" t="str">
        <f>IF(L57=".",".",s_RadSpec!$F$29*(AL29*$B57))</f>
        <v>.</v>
      </c>
      <c r="AM57" s="94" t="str">
        <f>IF(M57=".",".",s_RadSpec!$F$29*(AM29*$B57))</f>
        <v>.</v>
      </c>
      <c r="AN57" s="94" t="str">
        <f>IF(N57=".",".",s_RadSpec!$F$29*(AN29*$B57))</f>
        <v>.</v>
      </c>
      <c r="AO57" s="94" t="str">
        <f>IF(O57=".",".",s_RadSpec!$F$29*(AO29*$B57))</f>
        <v>.</v>
      </c>
      <c r="AP57" s="94" t="str">
        <f>IF(P57=".",".",s_RadSpec!$F$29*(AP29*$B57))</f>
        <v>.</v>
      </c>
      <c r="AQ57" s="94" t="str">
        <f>IF(Q57=".",".",s_RadSpec!$F$29*(AQ29*$B57))</f>
        <v>.</v>
      </c>
      <c r="AR57" s="94" t="str">
        <f>IF(R57=".",".",s_RadSpec!$F$29*(AR29*$B57))</f>
        <v>.</v>
      </c>
      <c r="AS57" s="94" t="str">
        <f>IF(S57=".",".",s_RadSpec!$F$29*(AS29*$B57))</f>
        <v>.</v>
      </c>
      <c r="AT57" s="94" t="str">
        <f>IF(T57=".",".",s_RadSpec!$F$29*(AT29*$B57))</f>
        <v>.</v>
      </c>
      <c r="AU57" s="94" t="str">
        <f>IF(U57=".",".",s_RadSpec!$F$29*(AU29*$B57))</f>
        <v>.</v>
      </c>
      <c r="AV57" s="94" t="str">
        <f>IF(V57=".",".",s_RadSpec!$F$29*(AV29*$B57))</f>
        <v>.</v>
      </c>
      <c r="AW57" s="94" t="str">
        <f>IF(W57=".",".",s_RadSpec!$F$29*(AW29*$B57))</f>
        <v>.</v>
      </c>
      <c r="AX57" s="94" t="str">
        <f>IF(X57=".",".",s_RadSpec!$F$29*(AX29*$B57))</f>
        <v>.</v>
      </c>
      <c r="AY57" s="94" t="str">
        <f>IF(Y57=".",".",s_RadSpec!$F$29*(AY29*$B57))</f>
        <v>.</v>
      </c>
      <c r="AZ57" s="94" t="str">
        <f>IF(Z57=".",".",s_RadSpec!$F$29*(AZ29*$B57))</f>
        <v>.</v>
      </c>
      <c r="BA57" s="94" t="str">
        <f>IF(AA57=".",".",s_RadSpec!$F$29*(BA29*$B57))</f>
        <v>.</v>
      </c>
      <c r="BB57" s="94" t="str">
        <f>IF(AB57=".",".",s_RadSpec!$F$29*(BB29*$B57))</f>
        <v>.</v>
      </c>
      <c r="BC57" s="60" t="str">
        <f t="shared" ref="BC57:CB57" si="65">IFERROR(BC29/$B57,".")</f>
        <v>.</v>
      </c>
      <c r="BD57" s="60" t="str">
        <f t="shared" si="65"/>
        <v>.</v>
      </c>
      <c r="BE57" s="60" t="str">
        <f t="shared" si="65"/>
        <v>.</v>
      </c>
      <c r="BF57" s="60" t="str">
        <f t="shared" si="65"/>
        <v>.</v>
      </c>
      <c r="BG57" s="60" t="str">
        <f t="shared" si="65"/>
        <v>.</v>
      </c>
      <c r="BH57" s="60" t="str">
        <f t="shared" si="65"/>
        <v>.</v>
      </c>
      <c r="BI57" s="60" t="str">
        <f t="shared" si="65"/>
        <v>.</v>
      </c>
      <c r="BJ57" s="60" t="str">
        <f t="shared" si="65"/>
        <v>.</v>
      </c>
      <c r="BK57" s="60" t="str">
        <f t="shared" si="65"/>
        <v>.</v>
      </c>
      <c r="BL57" s="60" t="str">
        <f t="shared" si="65"/>
        <v>.</v>
      </c>
      <c r="BM57" s="60" t="str">
        <f t="shared" si="65"/>
        <v>.</v>
      </c>
      <c r="BN57" s="60" t="str">
        <f t="shared" si="65"/>
        <v>.</v>
      </c>
      <c r="BO57" s="60" t="str">
        <f t="shared" si="65"/>
        <v>.</v>
      </c>
      <c r="BP57" s="60" t="str">
        <f t="shared" si="65"/>
        <v>.</v>
      </c>
      <c r="BQ57" s="60" t="str">
        <f t="shared" si="65"/>
        <v>.</v>
      </c>
      <c r="BR57" s="60" t="str">
        <f t="shared" si="65"/>
        <v>.</v>
      </c>
      <c r="BS57" s="60" t="str">
        <f t="shared" si="65"/>
        <v>.</v>
      </c>
      <c r="BT57" s="60" t="str">
        <f t="shared" si="65"/>
        <v>.</v>
      </c>
      <c r="BU57" s="60" t="str">
        <f t="shared" si="65"/>
        <v>.</v>
      </c>
      <c r="BV57" s="60" t="str">
        <f t="shared" si="65"/>
        <v>.</v>
      </c>
      <c r="BW57" s="60" t="str">
        <f t="shared" si="65"/>
        <v>.</v>
      </c>
      <c r="BX57" s="60" t="str">
        <f t="shared" si="65"/>
        <v>.</v>
      </c>
      <c r="BY57" s="60" t="str">
        <f t="shared" si="65"/>
        <v>.</v>
      </c>
      <c r="BZ57" s="60" t="str">
        <f t="shared" si="65"/>
        <v>.</v>
      </c>
      <c r="CA57" s="60" t="str">
        <f t="shared" si="65"/>
        <v>.</v>
      </c>
      <c r="CB57" s="60" t="str">
        <f t="shared" si="65"/>
        <v>.</v>
      </c>
      <c r="CC57" s="94" t="str">
        <f t="shared" si="49"/>
        <v>.</v>
      </c>
      <c r="CD57" s="94" t="str">
        <f>IF(BD57=".",".",s_RadSpec!$F$29*(CD29*$B57))</f>
        <v>.</v>
      </c>
      <c r="CE57" s="94" t="str">
        <f>IF(BE57=".",".",s_RadSpec!$F$29*(CE29*$B57))</f>
        <v>.</v>
      </c>
      <c r="CF57" s="94" t="str">
        <f>IF(BF57=".",".",s_RadSpec!$F$29*(CF29*$B57))</f>
        <v>.</v>
      </c>
      <c r="CG57" s="94" t="str">
        <f>IF(BG57=".",".",s_RadSpec!$F$29*(CG29*$B57))</f>
        <v>.</v>
      </c>
      <c r="CH57" s="94" t="str">
        <f>IF(BH57=".",".",s_RadSpec!$F$29*(CH29*$B57))</f>
        <v>.</v>
      </c>
      <c r="CI57" s="94" t="str">
        <f>IF(BI57=".",".",s_RadSpec!$F$29*(CI29*$B57))</f>
        <v>.</v>
      </c>
      <c r="CJ57" s="94" t="str">
        <f>IF(BJ57=".",".",s_RadSpec!$F$29*(CJ29*$B57))</f>
        <v>.</v>
      </c>
      <c r="CK57" s="94" t="str">
        <f>IF(BK57=".",".",s_RadSpec!$F$29*(CK29*$B57))</f>
        <v>.</v>
      </c>
      <c r="CL57" s="94" t="str">
        <f>IF(BL57=".",".",s_RadSpec!$F$29*(CL29*$B57))</f>
        <v>.</v>
      </c>
      <c r="CM57" s="94" t="str">
        <f>IF(BM57=".",".",s_RadSpec!$F$29*(CM29*$B57))</f>
        <v>.</v>
      </c>
      <c r="CN57" s="94" t="str">
        <f>IF(BN57=".",".",s_RadSpec!$F$29*(CN29*$B57))</f>
        <v>.</v>
      </c>
      <c r="CO57" s="94" t="str">
        <f>IF(BO57=".",".",s_RadSpec!$F$29*(CO29*$B57))</f>
        <v>.</v>
      </c>
      <c r="CP57" s="94" t="str">
        <f>IF(BP57=".",".",s_RadSpec!$F$29*(CP29*$B57))</f>
        <v>.</v>
      </c>
      <c r="CQ57" s="94" t="str">
        <f>IF(BQ57=".",".",s_RadSpec!$F$29*(CQ29*$B57))</f>
        <v>.</v>
      </c>
      <c r="CR57" s="94" t="str">
        <f>IF(BR57=".",".",s_RadSpec!$F$29*(CR29*$B57))</f>
        <v>.</v>
      </c>
      <c r="CS57" s="94" t="str">
        <f>IF(BS57=".",".",s_RadSpec!$F$29*(CS29*$B57))</f>
        <v>.</v>
      </c>
      <c r="CT57" s="94" t="str">
        <f>IF(BT57=".",".",s_RadSpec!$F$29*(CT29*$B57))</f>
        <v>.</v>
      </c>
      <c r="CU57" s="94" t="str">
        <f>IF(BU57=".",".",s_RadSpec!$F$29*(CU29*$B57))</f>
        <v>.</v>
      </c>
      <c r="CV57" s="94" t="str">
        <f>IF(BV57=".",".",s_RadSpec!$F$29*(CV29*$B57))</f>
        <v>.</v>
      </c>
      <c r="CW57" s="94" t="str">
        <f>IF(BW57=".",".",s_RadSpec!$F$29*(CW29*$B57))</f>
        <v>.</v>
      </c>
      <c r="CX57" s="94" t="str">
        <f>IF(BX57=".",".",s_RadSpec!$F$29*(CX29*$B57))</f>
        <v>.</v>
      </c>
      <c r="CY57" s="94" t="str">
        <f>IF(BY57=".",".",s_RadSpec!$F$29*(CY29*$B57))</f>
        <v>.</v>
      </c>
      <c r="CZ57" s="94" t="str">
        <f>IF(BZ57=".",".",s_RadSpec!$F$29*(CZ29*$B57))</f>
        <v>.</v>
      </c>
      <c r="DA57" s="94" t="str">
        <f>IF(CA57=".",".",s_RadSpec!$F$29*(DA29*$B57))</f>
        <v>.</v>
      </c>
      <c r="DB57" s="94" t="str">
        <f>IF(CB57=".",".",s_RadSpec!$F$29*(DB29*$B57))</f>
        <v>.</v>
      </c>
    </row>
    <row r="58" spans="1:106" x14ac:dyDescent="0.25">
      <c r="A58" s="77" t="s">
        <v>1079</v>
      </c>
      <c r="B58" s="42">
        <v>1</v>
      </c>
      <c r="C58" s="60">
        <f t="shared" ref="C58:AB58" si="66">IFERROR(C16/$B58,".")</f>
        <v>9.7013700832175243</v>
      </c>
      <c r="D58" s="60">
        <f t="shared" si="66"/>
        <v>37.273902332498309</v>
      </c>
      <c r="E58" s="60">
        <f t="shared" si="66"/>
        <v>9.3683070033551896</v>
      </c>
      <c r="F58" s="60">
        <f t="shared" si="66"/>
        <v>30.734621221533693</v>
      </c>
      <c r="G58" s="60">
        <f t="shared" si="66"/>
        <v>37.273902332498309</v>
      </c>
      <c r="H58" s="60">
        <f t="shared" si="66"/>
        <v>30.734621221533693</v>
      </c>
      <c r="I58" s="60">
        <f t="shared" si="66"/>
        <v>9.3683070033551896</v>
      </c>
      <c r="J58" s="60">
        <f t="shared" si="66"/>
        <v>30.734621221533693</v>
      </c>
      <c r="K58" s="60">
        <f t="shared" si="66"/>
        <v>37.273902332498309</v>
      </c>
      <c r="L58" s="60">
        <f t="shared" si="66"/>
        <v>59.587530939708181</v>
      </c>
      <c r="M58" s="60">
        <f t="shared" si="66"/>
        <v>30.734621221533693</v>
      </c>
      <c r="N58" s="60">
        <f t="shared" si="66"/>
        <v>9.3683070033551896</v>
      </c>
      <c r="O58" s="60">
        <f t="shared" si="66"/>
        <v>46.592377915622883</v>
      </c>
      <c r="P58" s="60">
        <f t="shared" si="66"/>
        <v>30.734621221533693</v>
      </c>
      <c r="Q58" s="60">
        <f t="shared" si="66"/>
        <v>30.734621221533693</v>
      </c>
      <c r="R58" s="60">
        <f t="shared" si="66"/>
        <v>37.273902332498309</v>
      </c>
      <c r="S58" s="60">
        <f t="shared" si="66"/>
        <v>37.273902332498309</v>
      </c>
      <c r="T58" s="60">
        <f t="shared" si="66"/>
        <v>46.592377915622883</v>
      </c>
      <c r="U58" s="60">
        <f t="shared" si="66"/>
        <v>30.734621221533693</v>
      </c>
      <c r="V58" s="60">
        <f t="shared" si="66"/>
        <v>58.395780320914014</v>
      </c>
      <c r="W58" s="60">
        <f t="shared" si="66"/>
        <v>30.734621221533693</v>
      </c>
      <c r="X58" s="60">
        <f t="shared" si="66"/>
        <v>46.592377915622883</v>
      </c>
      <c r="Y58" s="60">
        <f t="shared" si="66"/>
        <v>37.273902332498309</v>
      </c>
      <c r="Z58" s="60">
        <f t="shared" si="66"/>
        <v>30.734621221533693</v>
      </c>
      <c r="AA58" s="60">
        <f t="shared" si="66"/>
        <v>63.519703032176231</v>
      </c>
      <c r="AB58" s="60">
        <f t="shared" si="66"/>
        <v>35.752518563824907</v>
      </c>
      <c r="AC58" s="94">
        <f t="shared" si="47"/>
        <v>2.5769556037500001</v>
      </c>
      <c r="AD58" s="94">
        <f>IF(D58=".",".",s_RadSpec!$F$16*(AD16*$B58))</f>
        <v>0.67071056250000005</v>
      </c>
      <c r="AE58" s="94">
        <f>IF(E58=".",".",s_RadSpec!$F$16*(AE16*$B58))</f>
        <v>2.6685718125000002</v>
      </c>
      <c r="AF58" s="94">
        <f>IF(F58=".",".",s_RadSpec!$F$16*(AF16*$B58))</f>
        <v>0.81341493749999993</v>
      </c>
      <c r="AG58" s="94">
        <f>IF(G58=".",".",s_RadSpec!$F$16*(AG16*$B58))</f>
        <v>0.67071056250000005</v>
      </c>
      <c r="AH58" s="94">
        <f>IF(H58=".",".",s_RadSpec!$F$16*(AH16*$B58))</f>
        <v>0.81341493749999993</v>
      </c>
      <c r="AI58" s="94">
        <f>IF(I58=".",".",s_RadSpec!$F$16*(AI16*$B58))</f>
        <v>2.6685718125000002</v>
      </c>
      <c r="AJ58" s="94">
        <f>IF(J58=".",".",s_RadSpec!$F$16*(AJ16*$B58))</f>
        <v>0.81341493749999993</v>
      </c>
      <c r="AK58" s="94">
        <f>IF(K58=".",".",s_RadSpec!$F$16*(AK16*$B58))</f>
        <v>0.67071056250000005</v>
      </c>
      <c r="AL58" s="94">
        <f>IF(L58=".",".",s_RadSpec!$F$16*(AL16*$B58))</f>
        <v>0.41955086249999995</v>
      </c>
      <c r="AM58" s="94">
        <f>IF(M58=".",".",s_RadSpec!$F$16*(AM16*$B58))</f>
        <v>0.81341493749999993</v>
      </c>
      <c r="AN58" s="94">
        <f>IF(N58=".",".",s_RadSpec!$F$16*(AN16*$B58))</f>
        <v>2.6685718125000002</v>
      </c>
      <c r="AO58" s="94">
        <f>IF(O58=".",".",s_RadSpec!$F$16*(AO16*$B58))</f>
        <v>0.53656845000000009</v>
      </c>
      <c r="AP58" s="94">
        <f>IF(P58=".",".",s_RadSpec!$F$16*(AP16*$B58))</f>
        <v>0.81341493749999993</v>
      </c>
      <c r="AQ58" s="94">
        <f>IF(Q58=".",".",s_RadSpec!$F$16*(AQ16*$B58))</f>
        <v>0.81341493749999993</v>
      </c>
      <c r="AR58" s="94">
        <f>IF(R58=".",".",s_RadSpec!$F$16*(AR16*$B58))</f>
        <v>0.67071056250000005</v>
      </c>
      <c r="AS58" s="94">
        <f>IF(S58=".",".",s_RadSpec!$F$16*(AS16*$B58))</f>
        <v>0.67071056250000005</v>
      </c>
      <c r="AT58" s="94">
        <f>IF(T58=".",".",s_RadSpec!$F$16*(AT16*$B58))</f>
        <v>0.53656845000000009</v>
      </c>
      <c r="AU58" s="94">
        <f>IF(U58=".",".",s_RadSpec!$F$16*(AU16*$B58))</f>
        <v>0.81341493749999993</v>
      </c>
      <c r="AV58" s="94">
        <f>IF(V58=".",".",s_RadSpec!$F$16*(AV16*$B58))</f>
        <v>0.42811312499999998</v>
      </c>
      <c r="AW58" s="94">
        <f>IF(W58=".",".",s_RadSpec!$F$16*(AW16*$B58))</f>
        <v>0.81341493749999993</v>
      </c>
      <c r="AX58" s="94">
        <f>IF(X58=".",".",s_RadSpec!$F$16*(AX16*$B58))</f>
        <v>0.53656845000000009</v>
      </c>
      <c r="AY58" s="94">
        <f>IF(Y58=".",".",s_RadSpec!$F$16*(AY16*$B58))</f>
        <v>0.67071056250000005</v>
      </c>
      <c r="AZ58" s="94">
        <f>IF(Z58=".",".",s_RadSpec!$F$16*(AZ16*$B58))</f>
        <v>0.81341493749999993</v>
      </c>
      <c r="BA58" s="94">
        <f>IF(AA58=".",".",s_RadSpec!$F$16*(BA16*$B58))</f>
        <v>0.39357866624999999</v>
      </c>
      <c r="BB58" s="94">
        <f>IF(AB58=".",".",s_RadSpec!$F$16*(BB16*$B58))</f>
        <v>0.69925143749999996</v>
      </c>
      <c r="BC58" s="60">
        <f t="shared" ref="BC58:CB58" si="67">IFERROR(BC16/$B58,".")</f>
        <v>9.7013700832175243</v>
      </c>
      <c r="BD58" s="60">
        <f t="shared" si="67"/>
        <v>37.273902332498309</v>
      </c>
      <c r="BE58" s="60">
        <f t="shared" si="67"/>
        <v>9.3683070033551896</v>
      </c>
      <c r="BF58" s="60">
        <f t="shared" si="67"/>
        <v>30.734621221533693</v>
      </c>
      <c r="BG58" s="60">
        <f t="shared" si="67"/>
        <v>37.273902332498309</v>
      </c>
      <c r="BH58" s="60">
        <f t="shared" si="67"/>
        <v>30.734621221533693</v>
      </c>
      <c r="BI58" s="60">
        <f t="shared" si="67"/>
        <v>9.3683070033551896</v>
      </c>
      <c r="BJ58" s="60">
        <f t="shared" si="67"/>
        <v>30.734621221533693</v>
      </c>
      <c r="BK58" s="60">
        <f t="shared" si="67"/>
        <v>37.273902332498309</v>
      </c>
      <c r="BL58" s="60">
        <f t="shared" si="67"/>
        <v>59.587530939708181</v>
      </c>
      <c r="BM58" s="60">
        <f t="shared" si="67"/>
        <v>30.734621221533693</v>
      </c>
      <c r="BN58" s="60">
        <f t="shared" si="67"/>
        <v>9.3683070033551896</v>
      </c>
      <c r="BO58" s="60">
        <f t="shared" si="67"/>
        <v>46.592377915622883</v>
      </c>
      <c r="BP58" s="60">
        <f t="shared" si="67"/>
        <v>30.734621221533693</v>
      </c>
      <c r="BQ58" s="60">
        <f t="shared" si="67"/>
        <v>30.734621221533693</v>
      </c>
      <c r="BR58" s="60">
        <f t="shared" si="67"/>
        <v>37.273902332498309</v>
      </c>
      <c r="BS58" s="60">
        <f t="shared" si="67"/>
        <v>37.273902332498309</v>
      </c>
      <c r="BT58" s="60">
        <f t="shared" si="67"/>
        <v>46.592377915622883</v>
      </c>
      <c r="BU58" s="60">
        <f t="shared" si="67"/>
        <v>30.734621221533693</v>
      </c>
      <c r="BV58" s="60">
        <f t="shared" si="67"/>
        <v>58.395780320914014</v>
      </c>
      <c r="BW58" s="60">
        <f t="shared" si="67"/>
        <v>30.734621221533693</v>
      </c>
      <c r="BX58" s="60">
        <f t="shared" si="67"/>
        <v>46.592377915622883</v>
      </c>
      <c r="BY58" s="60">
        <f t="shared" si="67"/>
        <v>37.273902332498309</v>
      </c>
      <c r="BZ58" s="60">
        <f t="shared" si="67"/>
        <v>30.734621221533693</v>
      </c>
      <c r="CA58" s="60">
        <f t="shared" si="67"/>
        <v>63.519703032176231</v>
      </c>
      <c r="CB58" s="60">
        <f t="shared" si="67"/>
        <v>35.752518563824907</v>
      </c>
      <c r="CC58" s="94">
        <f t="shared" si="49"/>
        <v>2.5769556037500001</v>
      </c>
      <c r="CD58" s="94">
        <f>IF(BD58=".",".",s_RadSpec!$F$16*(CD16*$B58))</f>
        <v>0.67071056250000005</v>
      </c>
      <c r="CE58" s="94">
        <f>IF(BE58=".",".",s_RadSpec!$F$16*(CE16*$B58))</f>
        <v>2.6685718125000002</v>
      </c>
      <c r="CF58" s="94">
        <f>IF(BF58=".",".",s_RadSpec!$F$16*(CF16*$B58))</f>
        <v>0.81341493749999993</v>
      </c>
      <c r="CG58" s="94">
        <f>IF(BG58=".",".",s_RadSpec!$F$16*(CG16*$B58))</f>
        <v>0.67071056250000005</v>
      </c>
      <c r="CH58" s="94">
        <f>IF(BH58=".",".",s_RadSpec!$F$16*(CH16*$B58))</f>
        <v>0.81341493749999993</v>
      </c>
      <c r="CI58" s="94">
        <f>IF(BI58=".",".",s_RadSpec!$F$16*(CI16*$B58))</f>
        <v>2.6685718125000002</v>
      </c>
      <c r="CJ58" s="94">
        <f>IF(BJ58=".",".",s_RadSpec!$F$16*(CJ16*$B58))</f>
        <v>0.81341493749999993</v>
      </c>
      <c r="CK58" s="94">
        <f>IF(BK58=".",".",s_RadSpec!$F$16*(CK16*$B58))</f>
        <v>0.67071056250000005</v>
      </c>
      <c r="CL58" s="94">
        <f>IF(BL58=".",".",s_RadSpec!$F$16*(CL16*$B58))</f>
        <v>0.41955086249999995</v>
      </c>
      <c r="CM58" s="94">
        <f>IF(BM58=".",".",s_RadSpec!$F$16*(CM16*$B58))</f>
        <v>0.81341493749999993</v>
      </c>
      <c r="CN58" s="94">
        <f>IF(BN58=".",".",s_RadSpec!$F$16*(CN16*$B58))</f>
        <v>2.6685718125000002</v>
      </c>
      <c r="CO58" s="94">
        <f>IF(BO58=".",".",s_RadSpec!$F$16*(CO16*$B58))</f>
        <v>0.53656845000000009</v>
      </c>
      <c r="CP58" s="94">
        <f>IF(BP58=".",".",s_RadSpec!$F$16*(CP16*$B58))</f>
        <v>0.81341493749999993</v>
      </c>
      <c r="CQ58" s="94">
        <f>IF(BQ58=".",".",s_RadSpec!$F$16*(CQ16*$B58))</f>
        <v>0.81341493749999993</v>
      </c>
      <c r="CR58" s="94">
        <f>IF(BR58=".",".",s_RadSpec!$F$16*(CR16*$B58))</f>
        <v>0.67071056250000005</v>
      </c>
      <c r="CS58" s="94">
        <f>IF(BS58=".",".",s_RadSpec!$F$16*(CS16*$B58))</f>
        <v>0.67071056250000005</v>
      </c>
      <c r="CT58" s="94">
        <f>IF(BT58=".",".",s_RadSpec!$F$16*(CT16*$B58))</f>
        <v>0.53656845000000009</v>
      </c>
      <c r="CU58" s="94">
        <f>IF(BU58=".",".",s_RadSpec!$F$16*(CU16*$B58))</f>
        <v>0.81341493749999993</v>
      </c>
      <c r="CV58" s="94">
        <f>IF(BV58=".",".",s_RadSpec!$F$16*(CV16*$B58))</f>
        <v>0.42811312499999998</v>
      </c>
      <c r="CW58" s="94">
        <f>IF(BW58=".",".",s_RadSpec!$F$16*(CW16*$B58))</f>
        <v>0.81341493749999993</v>
      </c>
      <c r="CX58" s="94">
        <f>IF(BX58=".",".",s_RadSpec!$F$16*(CX16*$B58))</f>
        <v>0.53656845000000009</v>
      </c>
      <c r="CY58" s="94">
        <f>IF(BY58=".",".",s_RadSpec!$F$16*(CY16*$B58))</f>
        <v>0.67071056250000005</v>
      </c>
      <c r="CZ58" s="94">
        <f>IF(BZ58=".",".",s_RadSpec!$F$16*(CZ16*$B58))</f>
        <v>0.81341493749999993</v>
      </c>
      <c r="DA58" s="94">
        <f>IF(CA58=".",".",s_RadSpec!$F$16*(DA16*$B58))</f>
        <v>0.39357866624999999</v>
      </c>
      <c r="DB58" s="94">
        <f>IF(CB58=".",".",s_RadSpec!$F$16*(DB16*$B58))</f>
        <v>0.69925143749999996</v>
      </c>
    </row>
    <row r="59" spans="1:106" x14ac:dyDescent="0.25">
      <c r="A59" s="77" t="s">
        <v>1080</v>
      </c>
      <c r="B59" s="42">
        <v>1</v>
      </c>
      <c r="C59" s="60">
        <f t="shared" ref="C59:AB59" si="68">IFERROR(C7/$B59,".")</f>
        <v>1093.3130676823109</v>
      </c>
      <c r="D59" s="60">
        <f t="shared" si="68"/>
        <v>4373.2522707292437</v>
      </c>
      <c r="E59" s="60">
        <f t="shared" si="68"/>
        <v>4373.2522707292437</v>
      </c>
      <c r="F59" s="60">
        <f t="shared" si="68"/>
        <v>4373.2522707292437</v>
      </c>
      <c r="G59" s="60">
        <f t="shared" si="68"/>
        <v>4373.2522707292437</v>
      </c>
      <c r="H59" s="60">
        <f t="shared" si="68"/>
        <v>4373.2522707292437</v>
      </c>
      <c r="I59" s="60">
        <f t="shared" si="68"/>
        <v>4373.2522707292437</v>
      </c>
      <c r="J59" s="60">
        <f t="shared" si="68"/>
        <v>4373.2522707292437</v>
      </c>
      <c r="K59" s="60">
        <f t="shared" si="68"/>
        <v>4373.2522707292437</v>
      </c>
      <c r="L59" s="60">
        <f t="shared" si="68"/>
        <v>4373.2522707292437</v>
      </c>
      <c r="M59" s="60">
        <f t="shared" si="68"/>
        <v>4373.2522707292437</v>
      </c>
      <c r="N59" s="60">
        <f t="shared" si="68"/>
        <v>4373.2522707292437</v>
      </c>
      <c r="O59" s="60">
        <f t="shared" si="68"/>
        <v>4373.2522707292437</v>
      </c>
      <c r="P59" s="60">
        <f t="shared" si="68"/>
        <v>4373.2522707292437</v>
      </c>
      <c r="Q59" s="60">
        <f t="shared" si="68"/>
        <v>4373.2522707292437</v>
      </c>
      <c r="R59" s="60">
        <f t="shared" si="68"/>
        <v>4373.2522707292437</v>
      </c>
      <c r="S59" s="60">
        <f t="shared" si="68"/>
        <v>4373.2522707292437</v>
      </c>
      <c r="T59" s="60">
        <f t="shared" si="68"/>
        <v>4373.2522707292437</v>
      </c>
      <c r="U59" s="60">
        <f t="shared" si="68"/>
        <v>4373.2522707292437</v>
      </c>
      <c r="V59" s="60">
        <f t="shared" si="68"/>
        <v>4373.2522707292437</v>
      </c>
      <c r="W59" s="60">
        <f t="shared" si="68"/>
        <v>4373.2522707292437</v>
      </c>
      <c r="X59" s="60">
        <f t="shared" si="68"/>
        <v>4373.2522707292437</v>
      </c>
      <c r="Y59" s="60">
        <f t="shared" si="68"/>
        <v>4373.2522707292437</v>
      </c>
      <c r="Z59" s="60">
        <f t="shared" si="68"/>
        <v>4373.2522707292437</v>
      </c>
      <c r="AA59" s="60">
        <f t="shared" si="68"/>
        <v>4373.2522707292437</v>
      </c>
      <c r="AB59" s="60">
        <f t="shared" si="68"/>
        <v>4373.2522707292437</v>
      </c>
      <c r="AC59" s="94">
        <f t="shared" si="47"/>
        <v>2.2866277500000001E-2</v>
      </c>
      <c r="AD59" s="94">
        <f>IF(D59=".",".",s_RadSpec!$F$7*(AD7*$B59))</f>
        <v>5.7165693750000001E-3</v>
      </c>
      <c r="AE59" s="94">
        <f>IF(E59=".",".",s_RadSpec!$F$7*(AE7*$B59))</f>
        <v>5.7165693750000001E-3</v>
      </c>
      <c r="AF59" s="94">
        <f>IF(F59=".",".",s_RadSpec!$F$7*(AF7*$B59))</f>
        <v>5.7165693750000001E-3</v>
      </c>
      <c r="AG59" s="94">
        <f>IF(G59=".",".",s_RadSpec!$F$7*(AG7*$B59))</f>
        <v>5.7165693750000001E-3</v>
      </c>
      <c r="AH59" s="94">
        <f>IF(H59=".",".",s_RadSpec!$F$7*(AH7*$B59))</f>
        <v>5.7165693750000001E-3</v>
      </c>
      <c r="AI59" s="94">
        <f>IF(I59=".",".",s_RadSpec!$F$7*(AI7*$B59))</f>
        <v>5.7165693750000001E-3</v>
      </c>
      <c r="AJ59" s="94">
        <f>IF(J59=".",".",s_RadSpec!$F$7*(AJ7*$B59))</f>
        <v>5.7165693750000001E-3</v>
      </c>
      <c r="AK59" s="94">
        <f>IF(K59=".",".",s_RadSpec!$F$7*(AK7*$B59))</f>
        <v>5.7165693750000001E-3</v>
      </c>
      <c r="AL59" s="94">
        <f>IF(L59=".",".",s_RadSpec!$F$7*(AL7*$B59))</f>
        <v>5.7165693750000001E-3</v>
      </c>
      <c r="AM59" s="94">
        <f>IF(M59=".",".",s_RadSpec!$F$7*(AM7*$B59))</f>
        <v>5.7165693750000001E-3</v>
      </c>
      <c r="AN59" s="94">
        <f>IF(N59=".",".",s_RadSpec!$F$7*(AN7*$B59))</f>
        <v>5.7165693750000001E-3</v>
      </c>
      <c r="AO59" s="94">
        <f>IF(O59=".",".",s_RadSpec!$F$7*(AO7*$B59))</f>
        <v>5.7165693750000001E-3</v>
      </c>
      <c r="AP59" s="94">
        <f>IF(P59=".",".",s_RadSpec!$F$7*(AP7*$B59))</f>
        <v>5.7165693750000001E-3</v>
      </c>
      <c r="AQ59" s="94">
        <f>IF(Q59=".",".",s_RadSpec!$F$7*(AQ7*$B59))</f>
        <v>5.7165693750000001E-3</v>
      </c>
      <c r="AR59" s="94">
        <f>IF(R59=".",".",s_RadSpec!$F$7*(AR7*$B59))</f>
        <v>5.7165693750000001E-3</v>
      </c>
      <c r="AS59" s="94">
        <f>IF(S59=".",".",s_RadSpec!$F$7*(AS7*$B59))</f>
        <v>5.7165693750000001E-3</v>
      </c>
      <c r="AT59" s="94">
        <f>IF(T59=".",".",s_RadSpec!$F$7*(AT7*$B59))</f>
        <v>5.7165693750000001E-3</v>
      </c>
      <c r="AU59" s="94">
        <f>IF(U59=".",".",s_RadSpec!$F$7*(AU7*$B59))</f>
        <v>5.7165693750000001E-3</v>
      </c>
      <c r="AV59" s="94">
        <f>IF(V59=".",".",s_RadSpec!$F$7*(AV7*$B59))</f>
        <v>5.7165693750000001E-3</v>
      </c>
      <c r="AW59" s="94">
        <f>IF(W59=".",".",s_RadSpec!$F$7*(AW7*$B59))</f>
        <v>5.7165693750000001E-3</v>
      </c>
      <c r="AX59" s="94">
        <f>IF(X59=".",".",s_RadSpec!$F$7*(AX7*$B59))</f>
        <v>5.7165693750000001E-3</v>
      </c>
      <c r="AY59" s="94">
        <f>IF(Y59=".",".",s_RadSpec!$F$7*(AY7*$B59))</f>
        <v>5.7165693750000001E-3</v>
      </c>
      <c r="AZ59" s="94">
        <f>IF(Z59=".",".",s_RadSpec!$F$7*(AZ7*$B59))</f>
        <v>5.7165693750000001E-3</v>
      </c>
      <c r="BA59" s="94">
        <f>IF(AA59=".",".",s_RadSpec!$F$7*(BA7*$B59))</f>
        <v>5.7165693750000001E-3</v>
      </c>
      <c r="BB59" s="94">
        <f>IF(AB59=".",".",s_RadSpec!$F$7*(BB7*$B59))</f>
        <v>5.7165693750000001E-3</v>
      </c>
      <c r="BC59" s="60">
        <f t="shared" ref="BC59:CB59" si="69">IFERROR(BC7/$B59,".")</f>
        <v>1093.3130676823109</v>
      </c>
      <c r="BD59" s="60">
        <f t="shared" si="69"/>
        <v>4373.2522707292437</v>
      </c>
      <c r="BE59" s="60">
        <f t="shared" si="69"/>
        <v>4373.2522707292437</v>
      </c>
      <c r="BF59" s="60">
        <f t="shared" si="69"/>
        <v>4373.2522707292437</v>
      </c>
      <c r="BG59" s="60">
        <f t="shared" si="69"/>
        <v>4373.2522707292437</v>
      </c>
      <c r="BH59" s="60">
        <f t="shared" si="69"/>
        <v>4373.2522707292437</v>
      </c>
      <c r="BI59" s="60">
        <f t="shared" si="69"/>
        <v>4373.2522707292437</v>
      </c>
      <c r="BJ59" s="60">
        <f t="shared" si="69"/>
        <v>4373.2522707292437</v>
      </c>
      <c r="BK59" s="60">
        <f t="shared" si="69"/>
        <v>4373.2522707292437</v>
      </c>
      <c r="BL59" s="60">
        <f t="shared" si="69"/>
        <v>4373.2522707292437</v>
      </c>
      <c r="BM59" s="60">
        <f t="shared" si="69"/>
        <v>4373.2522707292437</v>
      </c>
      <c r="BN59" s="60">
        <f t="shared" si="69"/>
        <v>4373.2522707292437</v>
      </c>
      <c r="BO59" s="60">
        <f t="shared" si="69"/>
        <v>4373.2522707292437</v>
      </c>
      <c r="BP59" s="60">
        <f t="shared" si="69"/>
        <v>4373.2522707292437</v>
      </c>
      <c r="BQ59" s="60">
        <f t="shared" si="69"/>
        <v>4373.2522707292437</v>
      </c>
      <c r="BR59" s="60">
        <f t="shared" si="69"/>
        <v>4373.2522707292437</v>
      </c>
      <c r="BS59" s="60">
        <f t="shared" si="69"/>
        <v>4373.2522707292437</v>
      </c>
      <c r="BT59" s="60">
        <f t="shared" si="69"/>
        <v>4373.2522707292437</v>
      </c>
      <c r="BU59" s="60">
        <f t="shared" si="69"/>
        <v>4373.2522707292437</v>
      </c>
      <c r="BV59" s="60">
        <f t="shared" si="69"/>
        <v>4373.2522707292437</v>
      </c>
      <c r="BW59" s="60">
        <f t="shared" si="69"/>
        <v>4373.2522707292437</v>
      </c>
      <c r="BX59" s="60">
        <f t="shared" si="69"/>
        <v>4373.2522707292437</v>
      </c>
      <c r="BY59" s="60">
        <f t="shared" si="69"/>
        <v>4373.2522707292437</v>
      </c>
      <c r="BZ59" s="60">
        <f t="shared" si="69"/>
        <v>4373.2522707292437</v>
      </c>
      <c r="CA59" s="60">
        <f t="shared" si="69"/>
        <v>4373.2522707292437</v>
      </c>
      <c r="CB59" s="60">
        <f t="shared" si="69"/>
        <v>4373.2522707292437</v>
      </c>
      <c r="CC59" s="94">
        <f t="shared" si="49"/>
        <v>2.2866277500000001E-2</v>
      </c>
      <c r="CD59" s="94">
        <f>IF(BD59=".",".",s_RadSpec!$F$7*(CD7*$B59))</f>
        <v>5.7165693750000001E-3</v>
      </c>
      <c r="CE59" s="94">
        <f>IF(BE59=".",".",s_RadSpec!$F$7*(CE7*$B59))</f>
        <v>5.7165693750000001E-3</v>
      </c>
      <c r="CF59" s="94">
        <f>IF(BF59=".",".",s_RadSpec!$F$7*(CF7*$B59))</f>
        <v>5.7165693750000001E-3</v>
      </c>
      <c r="CG59" s="94">
        <f>IF(BG59=".",".",s_RadSpec!$F$7*(CG7*$B59))</f>
        <v>5.7165693750000001E-3</v>
      </c>
      <c r="CH59" s="94">
        <f>IF(BH59=".",".",s_RadSpec!$F$7*(CH7*$B59))</f>
        <v>5.7165693750000001E-3</v>
      </c>
      <c r="CI59" s="94">
        <f>IF(BI59=".",".",s_RadSpec!$F$7*(CI7*$B59))</f>
        <v>5.7165693750000001E-3</v>
      </c>
      <c r="CJ59" s="94">
        <f>IF(BJ59=".",".",s_RadSpec!$F$7*(CJ7*$B59))</f>
        <v>5.7165693750000001E-3</v>
      </c>
      <c r="CK59" s="94">
        <f>IF(BK59=".",".",s_RadSpec!$F$7*(CK7*$B59))</f>
        <v>5.7165693750000001E-3</v>
      </c>
      <c r="CL59" s="94">
        <f>IF(BL59=".",".",s_RadSpec!$F$7*(CL7*$B59))</f>
        <v>5.7165693750000001E-3</v>
      </c>
      <c r="CM59" s="94">
        <f>IF(BM59=".",".",s_RadSpec!$F$7*(CM7*$B59))</f>
        <v>5.7165693750000001E-3</v>
      </c>
      <c r="CN59" s="94">
        <f>IF(BN59=".",".",s_RadSpec!$F$7*(CN7*$B59))</f>
        <v>5.7165693750000001E-3</v>
      </c>
      <c r="CO59" s="94">
        <f>IF(BO59=".",".",s_RadSpec!$F$7*(CO7*$B59))</f>
        <v>5.7165693750000001E-3</v>
      </c>
      <c r="CP59" s="94">
        <f>IF(BP59=".",".",s_RadSpec!$F$7*(CP7*$B59))</f>
        <v>5.7165693750000001E-3</v>
      </c>
      <c r="CQ59" s="94">
        <f>IF(BQ59=".",".",s_RadSpec!$F$7*(CQ7*$B59))</f>
        <v>5.7165693750000001E-3</v>
      </c>
      <c r="CR59" s="94">
        <f>IF(BR59=".",".",s_RadSpec!$F$7*(CR7*$B59))</f>
        <v>5.7165693750000001E-3</v>
      </c>
      <c r="CS59" s="94">
        <f>IF(BS59=".",".",s_RadSpec!$F$7*(CS7*$B59))</f>
        <v>5.7165693750000001E-3</v>
      </c>
      <c r="CT59" s="94">
        <f>IF(BT59=".",".",s_RadSpec!$F$7*(CT7*$B59))</f>
        <v>5.7165693750000001E-3</v>
      </c>
      <c r="CU59" s="94">
        <f>IF(BU59=".",".",s_RadSpec!$F$7*(CU7*$B59))</f>
        <v>5.7165693750000001E-3</v>
      </c>
      <c r="CV59" s="94">
        <f>IF(BV59=".",".",s_RadSpec!$F$7*(CV7*$B59))</f>
        <v>5.7165693750000001E-3</v>
      </c>
      <c r="CW59" s="94">
        <f>IF(BW59=".",".",s_RadSpec!$F$7*(CW7*$B59))</f>
        <v>5.7165693750000001E-3</v>
      </c>
      <c r="CX59" s="94">
        <f>IF(BX59=".",".",s_RadSpec!$F$7*(CX7*$B59))</f>
        <v>5.7165693750000001E-3</v>
      </c>
      <c r="CY59" s="94">
        <f>IF(BY59=".",".",s_RadSpec!$F$7*(CY7*$B59))</f>
        <v>5.7165693750000001E-3</v>
      </c>
      <c r="CZ59" s="94">
        <f>IF(BZ59=".",".",s_RadSpec!$F$7*(CZ7*$B59))</f>
        <v>5.7165693750000001E-3</v>
      </c>
      <c r="DA59" s="94">
        <f>IF(CA59=".",".",s_RadSpec!$F$7*(DA7*$B59))</f>
        <v>5.7165693750000001E-3</v>
      </c>
      <c r="DB59" s="94">
        <f>IF(CB59=".",".",s_RadSpec!$F$7*(DB7*$B59))</f>
        <v>5.7165693750000001E-3</v>
      </c>
    </row>
    <row r="60" spans="1:106" x14ac:dyDescent="0.25">
      <c r="A60" s="77" t="s">
        <v>1081</v>
      </c>
      <c r="B60" s="80">
        <v>1.9000000000000001E-8</v>
      </c>
      <c r="C60" s="60" t="str">
        <f t="shared" ref="C60:AB60" si="70">IFERROR(C12/$B60,".")</f>
        <v>.</v>
      </c>
      <c r="D60" s="60" t="str">
        <f t="shared" si="70"/>
        <v>.</v>
      </c>
      <c r="E60" s="60" t="str">
        <f t="shared" si="70"/>
        <v>.</v>
      </c>
      <c r="F60" s="60" t="str">
        <f t="shared" si="70"/>
        <v>.</v>
      </c>
      <c r="G60" s="60" t="str">
        <f t="shared" si="70"/>
        <v>.</v>
      </c>
      <c r="H60" s="60" t="str">
        <f t="shared" si="70"/>
        <v>.</v>
      </c>
      <c r="I60" s="60" t="str">
        <f t="shared" si="70"/>
        <v>.</v>
      </c>
      <c r="J60" s="60" t="str">
        <f t="shared" si="70"/>
        <v>.</v>
      </c>
      <c r="K60" s="60" t="str">
        <f t="shared" si="70"/>
        <v>.</v>
      </c>
      <c r="L60" s="60" t="str">
        <f t="shared" si="70"/>
        <v>.</v>
      </c>
      <c r="M60" s="60" t="str">
        <f t="shared" si="70"/>
        <v>.</v>
      </c>
      <c r="N60" s="60" t="str">
        <f t="shared" si="70"/>
        <v>.</v>
      </c>
      <c r="O60" s="60" t="str">
        <f t="shared" si="70"/>
        <v>.</v>
      </c>
      <c r="P60" s="60" t="str">
        <f t="shared" si="70"/>
        <v>.</v>
      </c>
      <c r="Q60" s="60" t="str">
        <f t="shared" si="70"/>
        <v>.</v>
      </c>
      <c r="R60" s="60" t="str">
        <f t="shared" si="70"/>
        <v>.</v>
      </c>
      <c r="S60" s="60" t="str">
        <f t="shared" si="70"/>
        <v>.</v>
      </c>
      <c r="T60" s="60" t="str">
        <f t="shared" si="70"/>
        <v>.</v>
      </c>
      <c r="U60" s="60" t="str">
        <f t="shared" si="70"/>
        <v>.</v>
      </c>
      <c r="V60" s="60" t="str">
        <f t="shared" si="70"/>
        <v>.</v>
      </c>
      <c r="W60" s="60" t="str">
        <f t="shared" si="70"/>
        <v>.</v>
      </c>
      <c r="X60" s="60" t="str">
        <f t="shared" si="70"/>
        <v>.</v>
      </c>
      <c r="Y60" s="60" t="str">
        <f t="shared" si="70"/>
        <v>.</v>
      </c>
      <c r="Z60" s="60" t="str">
        <f t="shared" si="70"/>
        <v>.</v>
      </c>
      <c r="AA60" s="60" t="str">
        <f t="shared" si="70"/>
        <v>.</v>
      </c>
      <c r="AB60" s="60" t="str">
        <f t="shared" si="70"/>
        <v>.</v>
      </c>
      <c r="AC60" s="94" t="str">
        <f t="shared" si="47"/>
        <v>.</v>
      </c>
      <c r="AD60" s="94" t="str">
        <f>IF(D60=".",".",s_RadSpec!$F$12*(AD12*$B60))</f>
        <v>.</v>
      </c>
      <c r="AE60" s="94" t="str">
        <f>IF(E60=".",".",s_RadSpec!$F$12*(AE12*$B60))</f>
        <v>.</v>
      </c>
      <c r="AF60" s="94" t="str">
        <f>IF(F60=".",".",s_RadSpec!$F$12*(AF12*$B60))</f>
        <v>.</v>
      </c>
      <c r="AG60" s="94" t="str">
        <f>IF(G60=".",".",s_RadSpec!$F$12*(AG12*$B60))</f>
        <v>.</v>
      </c>
      <c r="AH60" s="94" t="str">
        <f>IF(H60=".",".",s_RadSpec!$F$12*(AH12*$B60))</f>
        <v>.</v>
      </c>
      <c r="AI60" s="94" t="str">
        <f>IF(I60=".",".",s_RadSpec!$F$12*(AI12*$B60))</f>
        <v>.</v>
      </c>
      <c r="AJ60" s="94" t="str">
        <f>IF(J60=".",".",s_RadSpec!$F$12*(AJ12*$B60))</f>
        <v>.</v>
      </c>
      <c r="AK60" s="94" t="str">
        <f>IF(K60=".",".",s_RadSpec!$F$12*(AK12*$B60))</f>
        <v>.</v>
      </c>
      <c r="AL60" s="94" t="str">
        <f>IF(L60=".",".",s_RadSpec!$F$12*(AL12*$B60))</f>
        <v>.</v>
      </c>
      <c r="AM60" s="94" t="str">
        <f>IF(M60=".",".",s_RadSpec!$F$12*(AM12*$B60))</f>
        <v>.</v>
      </c>
      <c r="AN60" s="94" t="str">
        <f>IF(N60=".",".",s_RadSpec!$F$12*(AN12*$B60))</f>
        <v>.</v>
      </c>
      <c r="AO60" s="94" t="str">
        <f>IF(O60=".",".",s_RadSpec!$F$12*(AO12*$B60))</f>
        <v>.</v>
      </c>
      <c r="AP60" s="94" t="str">
        <f>IF(P60=".",".",s_RadSpec!$F$12*(AP12*$B60))</f>
        <v>.</v>
      </c>
      <c r="AQ60" s="94" t="str">
        <f>IF(Q60=".",".",s_RadSpec!$F$12*(AQ12*$B60))</f>
        <v>.</v>
      </c>
      <c r="AR60" s="94" t="str">
        <f>IF(R60=".",".",s_RadSpec!$F$12*(AR12*$B60))</f>
        <v>.</v>
      </c>
      <c r="AS60" s="94" t="str">
        <f>IF(S60=".",".",s_RadSpec!$F$12*(AS12*$B60))</f>
        <v>.</v>
      </c>
      <c r="AT60" s="94" t="str">
        <f>IF(T60=".",".",s_RadSpec!$F$12*(AT12*$B60))</f>
        <v>.</v>
      </c>
      <c r="AU60" s="94" t="str">
        <f>IF(U60=".",".",s_RadSpec!$F$12*(AU12*$B60))</f>
        <v>.</v>
      </c>
      <c r="AV60" s="94" t="str">
        <f>IF(V60=".",".",s_RadSpec!$F$12*(AV12*$B60))</f>
        <v>.</v>
      </c>
      <c r="AW60" s="94" t="str">
        <f>IF(W60=".",".",s_RadSpec!$F$12*(AW12*$B60))</f>
        <v>.</v>
      </c>
      <c r="AX60" s="94" t="str">
        <f>IF(X60=".",".",s_RadSpec!$F$12*(AX12*$B60))</f>
        <v>.</v>
      </c>
      <c r="AY60" s="94" t="str">
        <f>IF(Y60=".",".",s_RadSpec!$F$12*(AY12*$B60))</f>
        <v>.</v>
      </c>
      <c r="AZ60" s="94" t="str">
        <f>IF(Z60=".",".",s_RadSpec!$F$12*(AZ12*$B60))</f>
        <v>.</v>
      </c>
      <c r="BA60" s="94" t="str">
        <f>IF(AA60=".",".",s_RadSpec!$F$12*(BA12*$B60))</f>
        <v>.</v>
      </c>
      <c r="BB60" s="94" t="str">
        <f>IF(AB60=".",".",s_RadSpec!$F$12*(BB12*$B60))</f>
        <v>.</v>
      </c>
      <c r="BC60" s="60" t="str">
        <f t="shared" ref="BC60:CB60" si="71">IFERROR(BC12/$B60,".")</f>
        <v>.</v>
      </c>
      <c r="BD60" s="60" t="str">
        <f t="shared" si="71"/>
        <v>.</v>
      </c>
      <c r="BE60" s="60" t="str">
        <f t="shared" si="71"/>
        <v>.</v>
      </c>
      <c r="BF60" s="60" t="str">
        <f t="shared" si="71"/>
        <v>.</v>
      </c>
      <c r="BG60" s="60" t="str">
        <f t="shared" si="71"/>
        <v>.</v>
      </c>
      <c r="BH60" s="60" t="str">
        <f t="shared" si="71"/>
        <v>.</v>
      </c>
      <c r="BI60" s="60" t="str">
        <f t="shared" si="71"/>
        <v>.</v>
      </c>
      <c r="BJ60" s="60" t="str">
        <f t="shared" si="71"/>
        <v>.</v>
      </c>
      <c r="BK60" s="60" t="str">
        <f t="shared" si="71"/>
        <v>.</v>
      </c>
      <c r="BL60" s="60" t="str">
        <f t="shared" si="71"/>
        <v>.</v>
      </c>
      <c r="BM60" s="60" t="str">
        <f t="shared" si="71"/>
        <v>.</v>
      </c>
      <c r="BN60" s="60" t="str">
        <f t="shared" si="71"/>
        <v>.</v>
      </c>
      <c r="BO60" s="60" t="str">
        <f t="shared" si="71"/>
        <v>.</v>
      </c>
      <c r="BP60" s="60" t="str">
        <f t="shared" si="71"/>
        <v>.</v>
      </c>
      <c r="BQ60" s="60" t="str">
        <f t="shared" si="71"/>
        <v>.</v>
      </c>
      <c r="BR60" s="60" t="str">
        <f t="shared" si="71"/>
        <v>.</v>
      </c>
      <c r="BS60" s="60" t="str">
        <f t="shared" si="71"/>
        <v>.</v>
      </c>
      <c r="BT60" s="60" t="str">
        <f t="shared" si="71"/>
        <v>.</v>
      </c>
      <c r="BU60" s="60" t="str">
        <f t="shared" si="71"/>
        <v>.</v>
      </c>
      <c r="BV60" s="60" t="str">
        <f t="shared" si="71"/>
        <v>.</v>
      </c>
      <c r="BW60" s="60" t="str">
        <f t="shared" si="71"/>
        <v>.</v>
      </c>
      <c r="BX60" s="60" t="str">
        <f t="shared" si="71"/>
        <v>.</v>
      </c>
      <c r="BY60" s="60" t="str">
        <f t="shared" si="71"/>
        <v>.</v>
      </c>
      <c r="BZ60" s="60" t="str">
        <f t="shared" si="71"/>
        <v>.</v>
      </c>
      <c r="CA60" s="60" t="str">
        <f t="shared" si="71"/>
        <v>.</v>
      </c>
      <c r="CB60" s="60" t="str">
        <f t="shared" si="71"/>
        <v>.</v>
      </c>
      <c r="CC60" s="94" t="str">
        <f t="shared" si="49"/>
        <v>.</v>
      </c>
      <c r="CD60" s="94" t="str">
        <f>IF(BD60=".",".",s_RadSpec!$F$12*(CD12*$B60))</f>
        <v>.</v>
      </c>
      <c r="CE60" s="94" t="str">
        <f>IF(BE60=".",".",s_RadSpec!$F$12*(CE12*$B60))</f>
        <v>.</v>
      </c>
      <c r="CF60" s="94" t="str">
        <f>IF(BF60=".",".",s_RadSpec!$F$12*(CF12*$B60))</f>
        <v>.</v>
      </c>
      <c r="CG60" s="94" t="str">
        <f>IF(BG60=".",".",s_RadSpec!$F$12*(CG12*$B60))</f>
        <v>.</v>
      </c>
      <c r="CH60" s="94" t="str">
        <f>IF(BH60=".",".",s_RadSpec!$F$12*(CH12*$B60))</f>
        <v>.</v>
      </c>
      <c r="CI60" s="94" t="str">
        <f>IF(BI60=".",".",s_RadSpec!$F$12*(CI12*$B60))</f>
        <v>.</v>
      </c>
      <c r="CJ60" s="94" t="str">
        <f>IF(BJ60=".",".",s_RadSpec!$F$12*(CJ12*$B60))</f>
        <v>.</v>
      </c>
      <c r="CK60" s="94" t="str">
        <f>IF(BK60=".",".",s_RadSpec!$F$12*(CK12*$B60))</f>
        <v>.</v>
      </c>
      <c r="CL60" s="94" t="str">
        <f>IF(BL60=".",".",s_RadSpec!$F$12*(CL12*$B60))</f>
        <v>.</v>
      </c>
      <c r="CM60" s="94" t="str">
        <f>IF(BM60=".",".",s_RadSpec!$F$12*(CM12*$B60))</f>
        <v>.</v>
      </c>
      <c r="CN60" s="94" t="str">
        <f>IF(BN60=".",".",s_RadSpec!$F$12*(CN12*$B60))</f>
        <v>.</v>
      </c>
      <c r="CO60" s="94" t="str">
        <f>IF(BO60=".",".",s_RadSpec!$F$12*(CO12*$B60))</f>
        <v>.</v>
      </c>
      <c r="CP60" s="94" t="str">
        <f>IF(BP60=".",".",s_RadSpec!$F$12*(CP12*$B60))</f>
        <v>.</v>
      </c>
      <c r="CQ60" s="94" t="str">
        <f>IF(BQ60=".",".",s_RadSpec!$F$12*(CQ12*$B60))</f>
        <v>.</v>
      </c>
      <c r="CR60" s="94" t="str">
        <f>IF(BR60=".",".",s_RadSpec!$F$12*(CR12*$B60))</f>
        <v>.</v>
      </c>
      <c r="CS60" s="94" t="str">
        <f>IF(BS60=".",".",s_RadSpec!$F$12*(CS12*$B60))</f>
        <v>.</v>
      </c>
      <c r="CT60" s="94" t="str">
        <f>IF(BT60=".",".",s_RadSpec!$F$12*(CT12*$B60))</f>
        <v>.</v>
      </c>
      <c r="CU60" s="94" t="str">
        <f>IF(BU60=".",".",s_RadSpec!$F$12*(CU12*$B60))</f>
        <v>.</v>
      </c>
      <c r="CV60" s="94" t="str">
        <f>IF(BV60=".",".",s_RadSpec!$F$12*(CV12*$B60))</f>
        <v>.</v>
      </c>
      <c r="CW60" s="94" t="str">
        <f>IF(BW60=".",".",s_RadSpec!$F$12*(CW12*$B60))</f>
        <v>.</v>
      </c>
      <c r="CX60" s="94" t="str">
        <f>IF(BX60=".",".",s_RadSpec!$F$12*(CX12*$B60))</f>
        <v>.</v>
      </c>
      <c r="CY60" s="94" t="str">
        <f>IF(BY60=".",".",s_RadSpec!$F$12*(CY12*$B60))</f>
        <v>.</v>
      </c>
      <c r="CZ60" s="94" t="str">
        <f>IF(BZ60=".",".",s_RadSpec!$F$12*(CZ12*$B60))</f>
        <v>.</v>
      </c>
      <c r="DA60" s="94" t="str">
        <f>IF(CA60=".",".",s_RadSpec!$F$12*(DA12*$B60))</f>
        <v>.</v>
      </c>
      <c r="DB60" s="94" t="str">
        <f>IF(CB60=".",".",s_RadSpec!$F$12*(DB12*$B60))</f>
        <v>.</v>
      </c>
    </row>
    <row r="61" spans="1:106" x14ac:dyDescent="0.25">
      <c r="A61" s="77" t="s">
        <v>1082</v>
      </c>
      <c r="B61" s="42">
        <v>1</v>
      </c>
      <c r="C61" s="60">
        <f t="shared" ref="C61:AB61" si="72">IFERROR(C18/$B61,".")</f>
        <v>7.5479888393172621</v>
      </c>
      <c r="D61" s="60">
        <f t="shared" si="72"/>
        <v>37.266128838789754</v>
      </c>
      <c r="E61" s="60">
        <f t="shared" si="72"/>
        <v>24.428036607244959</v>
      </c>
      <c r="F61" s="60">
        <f t="shared" si="72"/>
        <v>26.453158813026931</v>
      </c>
      <c r="G61" s="60">
        <f t="shared" si="72"/>
        <v>37.266128838789754</v>
      </c>
      <c r="H61" s="60">
        <f t="shared" si="72"/>
        <v>37.266128838789754</v>
      </c>
      <c r="I61" s="60">
        <f t="shared" si="72"/>
        <v>24.428036607244959</v>
      </c>
      <c r="J61" s="60">
        <f t="shared" si="72"/>
        <v>26.453158813026931</v>
      </c>
      <c r="K61" s="60">
        <f t="shared" si="72"/>
        <v>37.266128838789754</v>
      </c>
      <c r="L61" s="60">
        <f t="shared" si="72"/>
        <v>37.157639380743788</v>
      </c>
      <c r="M61" s="60">
        <f t="shared" si="72"/>
        <v>37.266128838789754</v>
      </c>
      <c r="N61" s="60">
        <f t="shared" si="72"/>
        <v>24.428036607244959</v>
      </c>
      <c r="O61" s="60">
        <f t="shared" si="72"/>
        <v>37.076685918040646</v>
      </c>
      <c r="P61" s="60">
        <f t="shared" si="72"/>
        <v>37.266128838789754</v>
      </c>
      <c r="Q61" s="60">
        <f t="shared" si="72"/>
        <v>26.453158813026931</v>
      </c>
      <c r="R61" s="60">
        <f t="shared" si="72"/>
        <v>37.266128838789754</v>
      </c>
      <c r="S61" s="60">
        <f t="shared" si="72"/>
        <v>37.266128838789754</v>
      </c>
      <c r="T61" s="60">
        <f t="shared" si="72"/>
        <v>37.076685918040646</v>
      </c>
      <c r="U61" s="60">
        <f t="shared" si="72"/>
        <v>37.266128838789754</v>
      </c>
      <c r="V61" s="60">
        <f t="shared" si="72"/>
        <v>31.515183030334551</v>
      </c>
      <c r="W61" s="60">
        <f t="shared" si="72"/>
        <v>37.266128838789754</v>
      </c>
      <c r="X61" s="60">
        <f t="shared" si="72"/>
        <v>37.076685918040646</v>
      </c>
      <c r="Y61" s="60">
        <f t="shared" si="72"/>
        <v>37.266128838789754</v>
      </c>
      <c r="Z61" s="60">
        <f t="shared" si="72"/>
        <v>37.266128838789754</v>
      </c>
      <c r="AA61" s="60">
        <f t="shared" si="72"/>
        <v>19.265885475147915</v>
      </c>
      <c r="AB61" s="60">
        <f t="shared" si="72"/>
        <v>37.157639380743788</v>
      </c>
      <c r="AC61" s="94">
        <f t="shared" si="47"/>
        <v>3.3121405625000002</v>
      </c>
      <c r="AD61" s="94">
        <f>IF(D61=".",".",s_RadSpec!$F$18*(AD18*$B61))</f>
        <v>0.67085046874999998</v>
      </c>
      <c r="AE61" s="94">
        <f>IF(E61=".",".",s_RadSpec!$F$18*(AE18*$B61))</f>
        <v>1.0234142187499999</v>
      </c>
      <c r="AF61" s="94">
        <f>IF(F61=".",".",s_RadSpec!$F$18*(AF18*$B61))</f>
        <v>0.94506671874999992</v>
      </c>
      <c r="AG61" s="94">
        <f>IF(G61=".",".",s_RadSpec!$F$18*(AG18*$B61))</f>
        <v>0.67085046874999998</v>
      </c>
      <c r="AH61" s="94">
        <f>IF(H61=".",".",s_RadSpec!$F$18*(AH18*$B61))</f>
        <v>0.67085046874999998</v>
      </c>
      <c r="AI61" s="94">
        <f>IF(I61=".",".",s_RadSpec!$F$18*(AI18*$B61))</f>
        <v>1.0234142187499999</v>
      </c>
      <c r="AJ61" s="94">
        <f>IF(J61=".",".",s_RadSpec!$F$18*(AJ18*$B61))</f>
        <v>0.94506671874999992</v>
      </c>
      <c r="AK61" s="94">
        <f>IF(K61=".",".",s_RadSpec!$F$18*(AK18*$B61))</f>
        <v>0.67085046874999998</v>
      </c>
      <c r="AL61" s="94">
        <f>IF(L61=".",".",s_RadSpec!$F$18*(AL18*$B61))</f>
        <v>0.67280915624999993</v>
      </c>
      <c r="AM61" s="94">
        <f>IF(M61=".",".",s_RadSpec!$F$18*(AM18*$B61))</f>
        <v>0.67085046874999998</v>
      </c>
      <c r="AN61" s="94">
        <f>IF(N61=".",".",s_RadSpec!$F$18*(AN18*$B61))</f>
        <v>1.0234142187499999</v>
      </c>
      <c r="AO61" s="94">
        <f>IF(O61=".",".",s_RadSpec!$F$18*(AO18*$B61))</f>
        <v>0.67427817187499994</v>
      </c>
      <c r="AP61" s="94">
        <f>IF(P61=".",".",s_RadSpec!$F$18*(AP18*$B61))</f>
        <v>0.67085046874999998</v>
      </c>
      <c r="AQ61" s="94">
        <f>IF(Q61=".",".",s_RadSpec!$F$18*(AQ18*$B61))</f>
        <v>0.94506671874999992</v>
      </c>
      <c r="AR61" s="94">
        <f>IF(R61=".",".",s_RadSpec!$F$18*(AR18*$B61))</f>
        <v>0.67085046874999998</v>
      </c>
      <c r="AS61" s="94">
        <f>IF(S61=".",".",s_RadSpec!$F$18*(AS18*$B61))</f>
        <v>0.67085046874999998</v>
      </c>
      <c r="AT61" s="94">
        <f>IF(T61=".",".",s_RadSpec!$F$18*(AT18*$B61))</f>
        <v>0.67427817187499994</v>
      </c>
      <c r="AU61" s="94">
        <f>IF(U61=".",".",s_RadSpec!$F$18*(AU18*$B61))</f>
        <v>0.67085046874999998</v>
      </c>
      <c r="AV61" s="94">
        <f>IF(V61=".",".",s_RadSpec!$F$18*(AV18*$B61))</f>
        <v>0.79326843749999987</v>
      </c>
      <c r="AW61" s="94">
        <f>IF(W61=".",".",s_RadSpec!$F$18*(AW18*$B61))</f>
        <v>0.67085046874999998</v>
      </c>
      <c r="AX61" s="94">
        <f>IF(X61=".",".",s_RadSpec!$F$18*(AX18*$B61))</f>
        <v>0.67427817187499994</v>
      </c>
      <c r="AY61" s="94">
        <f>IF(Y61=".",".",s_RadSpec!$F$18*(AY18*$B61))</f>
        <v>0.67085046874999998</v>
      </c>
      <c r="AZ61" s="94">
        <f>IF(Z61=".",".",s_RadSpec!$F$18*(AZ18*$B61))</f>
        <v>0.67085046874999998</v>
      </c>
      <c r="BA61" s="94">
        <f>IF(AA61=".",".",s_RadSpec!$F$18*(BA18*$B61))</f>
        <v>1.29763046875</v>
      </c>
      <c r="BB61" s="94">
        <f>IF(AB61=".",".",s_RadSpec!$F$18*(BB18*$B61))</f>
        <v>0.67280915624999993</v>
      </c>
      <c r="BC61" s="60">
        <f t="shared" ref="BC61:CB61" si="73">IFERROR(BC18/$B61,".")</f>
        <v>7.5479888393172621</v>
      </c>
      <c r="BD61" s="60">
        <f t="shared" si="73"/>
        <v>37.266128838789754</v>
      </c>
      <c r="BE61" s="60">
        <f t="shared" si="73"/>
        <v>24.428036607244959</v>
      </c>
      <c r="BF61" s="60">
        <f t="shared" si="73"/>
        <v>26.453158813026931</v>
      </c>
      <c r="BG61" s="60">
        <f t="shared" si="73"/>
        <v>37.266128838789754</v>
      </c>
      <c r="BH61" s="60">
        <f t="shared" si="73"/>
        <v>37.266128838789754</v>
      </c>
      <c r="BI61" s="60">
        <f t="shared" si="73"/>
        <v>24.428036607244959</v>
      </c>
      <c r="BJ61" s="60">
        <f t="shared" si="73"/>
        <v>26.453158813026931</v>
      </c>
      <c r="BK61" s="60">
        <f t="shared" si="73"/>
        <v>37.266128838789754</v>
      </c>
      <c r="BL61" s="60">
        <f t="shared" si="73"/>
        <v>37.157639380743788</v>
      </c>
      <c r="BM61" s="60">
        <f t="shared" si="73"/>
        <v>37.266128838789754</v>
      </c>
      <c r="BN61" s="60">
        <f t="shared" si="73"/>
        <v>24.428036607244959</v>
      </c>
      <c r="BO61" s="60">
        <f t="shared" si="73"/>
        <v>37.076685918040646</v>
      </c>
      <c r="BP61" s="60">
        <f t="shared" si="73"/>
        <v>37.266128838789754</v>
      </c>
      <c r="BQ61" s="60">
        <f t="shared" si="73"/>
        <v>26.453158813026931</v>
      </c>
      <c r="BR61" s="60">
        <f t="shared" si="73"/>
        <v>37.266128838789754</v>
      </c>
      <c r="BS61" s="60">
        <f t="shared" si="73"/>
        <v>37.266128838789754</v>
      </c>
      <c r="BT61" s="60">
        <f t="shared" si="73"/>
        <v>37.076685918040646</v>
      </c>
      <c r="BU61" s="60">
        <f t="shared" si="73"/>
        <v>37.266128838789754</v>
      </c>
      <c r="BV61" s="60">
        <f t="shared" si="73"/>
        <v>31.515183030334551</v>
      </c>
      <c r="BW61" s="60">
        <f t="shared" si="73"/>
        <v>37.266128838789754</v>
      </c>
      <c r="BX61" s="60">
        <f t="shared" si="73"/>
        <v>37.076685918040646</v>
      </c>
      <c r="BY61" s="60">
        <f t="shared" si="73"/>
        <v>37.266128838789754</v>
      </c>
      <c r="BZ61" s="60">
        <f t="shared" si="73"/>
        <v>37.266128838789754</v>
      </c>
      <c r="CA61" s="60">
        <f t="shared" si="73"/>
        <v>19.265885475147915</v>
      </c>
      <c r="CB61" s="60">
        <f t="shared" si="73"/>
        <v>37.157639380743788</v>
      </c>
      <c r="CC61" s="94">
        <f t="shared" si="49"/>
        <v>3.3121405625000002</v>
      </c>
      <c r="CD61" s="94">
        <f>IF(BD61=".",".",s_RadSpec!$F$18*(CD18*$B61))</f>
        <v>0.67085046874999998</v>
      </c>
      <c r="CE61" s="94">
        <f>IF(BE61=".",".",s_RadSpec!$F$18*(CE18*$B61))</f>
        <v>1.0234142187499999</v>
      </c>
      <c r="CF61" s="94">
        <f>IF(BF61=".",".",s_RadSpec!$F$18*(CF18*$B61))</f>
        <v>0.94506671874999992</v>
      </c>
      <c r="CG61" s="94">
        <f>IF(BG61=".",".",s_RadSpec!$F$18*(CG18*$B61))</f>
        <v>0.67085046874999998</v>
      </c>
      <c r="CH61" s="94">
        <f>IF(BH61=".",".",s_RadSpec!$F$18*(CH18*$B61))</f>
        <v>0.67085046874999998</v>
      </c>
      <c r="CI61" s="94">
        <f>IF(BI61=".",".",s_RadSpec!$F$18*(CI18*$B61))</f>
        <v>1.0234142187499999</v>
      </c>
      <c r="CJ61" s="94">
        <f>IF(BJ61=".",".",s_RadSpec!$F$18*(CJ18*$B61))</f>
        <v>0.94506671874999992</v>
      </c>
      <c r="CK61" s="94">
        <f>IF(BK61=".",".",s_RadSpec!$F$18*(CK18*$B61))</f>
        <v>0.67085046874999998</v>
      </c>
      <c r="CL61" s="94">
        <f>IF(BL61=".",".",s_RadSpec!$F$18*(CL18*$B61))</f>
        <v>0.67280915624999993</v>
      </c>
      <c r="CM61" s="94">
        <f>IF(BM61=".",".",s_RadSpec!$F$18*(CM18*$B61))</f>
        <v>0.67085046874999998</v>
      </c>
      <c r="CN61" s="94">
        <f>IF(BN61=".",".",s_RadSpec!$F$18*(CN18*$B61))</f>
        <v>1.0234142187499999</v>
      </c>
      <c r="CO61" s="94">
        <f>IF(BO61=".",".",s_RadSpec!$F$18*(CO18*$B61))</f>
        <v>0.67427817187499994</v>
      </c>
      <c r="CP61" s="94">
        <f>IF(BP61=".",".",s_RadSpec!$F$18*(CP18*$B61))</f>
        <v>0.67085046874999998</v>
      </c>
      <c r="CQ61" s="94">
        <f>IF(BQ61=".",".",s_RadSpec!$F$18*(CQ18*$B61))</f>
        <v>0.94506671874999992</v>
      </c>
      <c r="CR61" s="94">
        <f>IF(BR61=".",".",s_RadSpec!$F$18*(CR18*$B61))</f>
        <v>0.67085046874999998</v>
      </c>
      <c r="CS61" s="94">
        <f>IF(BS61=".",".",s_RadSpec!$F$18*(CS18*$B61))</f>
        <v>0.67085046874999998</v>
      </c>
      <c r="CT61" s="94">
        <f>IF(BT61=".",".",s_RadSpec!$F$18*(CT18*$B61))</f>
        <v>0.67427817187499994</v>
      </c>
      <c r="CU61" s="94">
        <f>IF(BU61=".",".",s_RadSpec!$F$18*(CU18*$B61))</f>
        <v>0.67085046874999998</v>
      </c>
      <c r="CV61" s="94">
        <f>IF(BV61=".",".",s_RadSpec!$F$18*(CV18*$B61))</f>
        <v>0.79326843749999987</v>
      </c>
      <c r="CW61" s="94">
        <f>IF(BW61=".",".",s_RadSpec!$F$18*(CW18*$B61))</f>
        <v>0.67085046874999998</v>
      </c>
      <c r="CX61" s="94">
        <f>IF(BX61=".",".",s_RadSpec!$F$18*(CX18*$B61))</f>
        <v>0.67427817187499994</v>
      </c>
      <c r="CY61" s="94">
        <f>IF(BY61=".",".",s_RadSpec!$F$18*(CY18*$B61))</f>
        <v>0.67085046874999998</v>
      </c>
      <c r="CZ61" s="94">
        <f>IF(BZ61=".",".",s_RadSpec!$F$18*(CZ18*$B61))</f>
        <v>0.67085046874999998</v>
      </c>
      <c r="DA61" s="94">
        <f>IF(CA61=".",".",s_RadSpec!$F$18*(DA18*$B61))</f>
        <v>1.29763046875</v>
      </c>
      <c r="DB61" s="94">
        <f>IF(CB61=".",".",s_RadSpec!$F$18*(DB18*$B61))</f>
        <v>0.67280915624999993</v>
      </c>
    </row>
    <row r="62" spans="1:106" x14ac:dyDescent="0.25">
      <c r="A62" s="77" t="s">
        <v>1083</v>
      </c>
      <c r="B62" s="42">
        <v>1.339E-6</v>
      </c>
      <c r="C62" s="60" t="str">
        <f t="shared" ref="C62:AB62" si="74">IFERROR(C27/$B62,".")</f>
        <v>.</v>
      </c>
      <c r="D62" s="60" t="str">
        <f t="shared" si="74"/>
        <v>.</v>
      </c>
      <c r="E62" s="60" t="str">
        <f t="shared" si="74"/>
        <v>.</v>
      </c>
      <c r="F62" s="60" t="str">
        <f t="shared" si="74"/>
        <v>.</v>
      </c>
      <c r="G62" s="60" t="str">
        <f t="shared" si="74"/>
        <v>.</v>
      </c>
      <c r="H62" s="60" t="str">
        <f t="shared" si="74"/>
        <v>.</v>
      </c>
      <c r="I62" s="60" t="str">
        <f t="shared" si="74"/>
        <v>.</v>
      </c>
      <c r="J62" s="60" t="str">
        <f t="shared" si="74"/>
        <v>.</v>
      </c>
      <c r="K62" s="60" t="str">
        <f t="shared" si="74"/>
        <v>.</v>
      </c>
      <c r="L62" s="60" t="str">
        <f t="shared" si="74"/>
        <v>.</v>
      </c>
      <c r="M62" s="60" t="str">
        <f t="shared" si="74"/>
        <v>.</v>
      </c>
      <c r="N62" s="60" t="str">
        <f t="shared" si="74"/>
        <v>.</v>
      </c>
      <c r="O62" s="60" t="str">
        <f t="shared" si="74"/>
        <v>.</v>
      </c>
      <c r="P62" s="60" t="str">
        <f t="shared" si="74"/>
        <v>.</v>
      </c>
      <c r="Q62" s="60" t="str">
        <f t="shared" si="74"/>
        <v>.</v>
      </c>
      <c r="R62" s="60" t="str">
        <f t="shared" si="74"/>
        <v>.</v>
      </c>
      <c r="S62" s="60" t="str">
        <f t="shared" si="74"/>
        <v>.</v>
      </c>
      <c r="T62" s="60" t="str">
        <f t="shared" si="74"/>
        <v>.</v>
      </c>
      <c r="U62" s="60" t="str">
        <f t="shared" si="74"/>
        <v>.</v>
      </c>
      <c r="V62" s="60" t="str">
        <f t="shared" si="74"/>
        <v>.</v>
      </c>
      <c r="W62" s="60" t="str">
        <f t="shared" si="74"/>
        <v>.</v>
      </c>
      <c r="X62" s="60" t="str">
        <f t="shared" si="74"/>
        <v>.</v>
      </c>
      <c r="Y62" s="60" t="str">
        <f t="shared" si="74"/>
        <v>.</v>
      </c>
      <c r="Z62" s="60" t="str">
        <f t="shared" si="74"/>
        <v>.</v>
      </c>
      <c r="AA62" s="60" t="str">
        <f t="shared" si="74"/>
        <v>.</v>
      </c>
      <c r="AB62" s="60" t="str">
        <f t="shared" si="74"/>
        <v>.</v>
      </c>
      <c r="AC62" s="94" t="str">
        <f t="shared" si="47"/>
        <v>.</v>
      </c>
      <c r="AD62" s="94" t="str">
        <f>IF(D62=".",".",s_RadSpec!$F$27*(AD27*$B62))</f>
        <v>.</v>
      </c>
      <c r="AE62" s="94" t="str">
        <f>IF(E62=".",".",s_RadSpec!$F$27*(AE27*$B62))</f>
        <v>.</v>
      </c>
      <c r="AF62" s="94" t="str">
        <f>IF(F62=".",".",s_RadSpec!$F$27*(AF27*$B62))</f>
        <v>.</v>
      </c>
      <c r="AG62" s="94" t="str">
        <f>IF(G62=".",".",s_RadSpec!$F$27*(AG27*$B62))</f>
        <v>.</v>
      </c>
      <c r="AH62" s="94" t="str">
        <f>IF(H62=".",".",s_RadSpec!$F$27*(AH27*$B62))</f>
        <v>.</v>
      </c>
      <c r="AI62" s="94" t="str">
        <f>IF(I62=".",".",s_RadSpec!$F$27*(AI27*$B62))</f>
        <v>.</v>
      </c>
      <c r="AJ62" s="94" t="str">
        <f>IF(J62=".",".",s_RadSpec!$F$27*(AJ27*$B62))</f>
        <v>.</v>
      </c>
      <c r="AK62" s="94" t="str">
        <f>IF(K62=".",".",s_RadSpec!$F$27*(AK27*$B62))</f>
        <v>.</v>
      </c>
      <c r="AL62" s="94" t="str">
        <f>IF(L62=".",".",s_RadSpec!$F$27*(AL27*$B62))</f>
        <v>.</v>
      </c>
      <c r="AM62" s="94" t="str">
        <f>IF(M62=".",".",s_RadSpec!$F$27*(AM27*$B62))</f>
        <v>.</v>
      </c>
      <c r="AN62" s="94" t="str">
        <f>IF(N62=".",".",s_RadSpec!$F$27*(AN27*$B62))</f>
        <v>.</v>
      </c>
      <c r="AO62" s="94" t="str">
        <f>IF(O62=".",".",s_RadSpec!$F$27*(AO27*$B62))</f>
        <v>.</v>
      </c>
      <c r="AP62" s="94" t="str">
        <f>IF(P62=".",".",s_RadSpec!$F$27*(AP27*$B62))</f>
        <v>.</v>
      </c>
      <c r="AQ62" s="94" t="str">
        <f>IF(Q62=".",".",s_RadSpec!$F$27*(AQ27*$B62))</f>
        <v>.</v>
      </c>
      <c r="AR62" s="94" t="str">
        <f>IF(R62=".",".",s_RadSpec!$F$27*(AR27*$B62))</f>
        <v>.</v>
      </c>
      <c r="AS62" s="94" t="str">
        <f>IF(S62=".",".",s_RadSpec!$F$27*(AS27*$B62))</f>
        <v>.</v>
      </c>
      <c r="AT62" s="94" t="str">
        <f>IF(T62=".",".",s_RadSpec!$F$27*(AT27*$B62))</f>
        <v>.</v>
      </c>
      <c r="AU62" s="94" t="str">
        <f>IF(U62=".",".",s_RadSpec!$F$27*(AU27*$B62))</f>
        <v>.</v>
      </c>
      <c r="AV62" s="94" t="str">
        <f>IF(V62=".",".",s_RadSpec!$F$27*(AV27*$B62))</f>
        <v>.</v>
      </c>
      <c r="AW62" s="94" t="str">
        <f>IF(W62=".",".",s_RadSpec!$F$27*(AW27*$B62))</f>
        <v>.</v>
      </c>
      <c r="AX62" s="94" t="str">
        <f>IF(X62=".",".",s_RadSpec!$F$27*(AX27*$B62))</f>
        <v>.</v>
      </c>
      <c r="AY62" s="94" t="str">
        <f>IF(Y62=".",".",s_RadSpec!$F$27*(AY27*$B62))</f>
        <v>.</v>
      </c>
      <c r="AZ62" s="94" t="str">
        <f>IF(Z62=".",".",s_RadSpec!$F$27*(AZ27*$B62))</f>
        <v>.</v>
      </c>
      <c r="BA62" s="94" t="str">
        <f>IF(AA62=".",".",s_RadSpec!$F$27*(BA27*$B62))</f>
        <v>.</v>
      </c>
      <c r="BB62" s="94" t="str">
        <f>IF(AB62=".",".",s_RadSpec!$F$27*(BB27*$B62))</f>
        <v>.</v>
      </c>
      <c r="BC62" s="60" t="str">
        <f t="shared" ref="BC62:CB62" si="75">IFERROR(BC27/$B62,".")</f>
        <v>.</v>
      </c>
      <c r="BD62" s="60" t="str">
        <f t="shared" si="75"/>
        <v>.</v>
      </c>
      <c r="BE62" s="60" t="str">
        <f t="shared" si="75"/>
        <v>.</v>
      </c>
      <c r="BF62" s="60" t="str">
        <f t="shared" si="75"/>
        <v>.</v>
      </c>
      <c r="BG62" s="60" t="str">
        <f t="shared" si="75"/>
        <v>.</v>
      </c>
      <c r="BH62" s="60" t="str">
        <f t="shared" si="75"/>
        <v>.</v>
      </c>
      <c r="BI62" s="60" t="str">
        <f t="shared" si="75"/>
        <v>.</v>
      </c>
      <c r="BJ62" s="60" t="str">
        <f t="shared" si="75"/>
        <v>.</v>
      </c>
      <c r="BK62" s="60" t="str">
        <f t="shared" si="75"/>
        <v>.</v>
      </c>
      <c r="BL62" s="60" t="str">
        <f t="shared" si="75"/>
        <v>.</v>
      </c>
      <c r="BM62" s="60" t="str">
        <f t="shared" si="75"/>
        <v>.</v>
      </c>
      <c r="BN62" s="60" t="str">
        <f t="shared" si="75"/>
        <v>.</v>
      </c>
      <c r="BO62" s="60" t="str">
        <f t="shared" si="75"/>
        <v>.</v>
      </c>
      <c r="BP62" s="60" t="str">
        <f t="shared" si="75"/>
        <v>.</v>
      </c>
      <c r="BQ62" s="60" t="str">
        <f t="shared" si="75"/>
        <v>.</v>
      </c>
      <c r="BR62" s="60" t="str">
        <f t="shared" si="75"/>
        <v>.</v>
      </c>
      <c r="BS62" s="60" t="str">
        <f t="shared" si="75"/>
        <v>.</v>
      </c>
      <c r="BT62" s="60" t="str">
        <f t="shared" si="75"/>
        <v>.</v>
      </c>
      <c r="BU62" s="60" t="str">
        <f t="shared" si="75"/>
        <v>.</v>
      </c>
      <c r="BV62" s="60" t="str">
        <f t="shared" si="75"/>
        <v>.</v>
      </c>
      <c r="BW62" s="60" t="str">
        <f t="shared" si="75"/>
        <v>.</v>
      </c>
      <c r="BX62" s="60" t="str">
        <f t="shared" si="75"/>
        <v>.</v>
      </c>
      <c r="BY62" s="60" t="str">
        <f t="shared" si="75"/>
        <v>.</v>
      </c>
      <c r="BZ62" s="60" t="str">
        <f t="shared" si="75"/>
        <v>.</v>
      </c>
      <c r="CA62" s="60" t="str">
        <f t="shared" si="75"/>
        <v>.</v>
      </c>
      <c r="CB62" s="60" t="str">
        <f t="shared" si="75"/>
        <v>.</v>
      </c>
      <c r="CC62" s="94" t="str">
        <f t="shared" si="49"/>
        <v>.</v>
      </c>
      <c r="CD62" s="94" t="str">
        <f>IF(BD62=".",".",s_RadSpec!$F$27*(CD27*$B62))</f>
        <v>.</v>
      </c>
      <c r="CE62" s="94" t="str">
        <f>IF(BE62=".",".",s_RadSpec!$F$27*(CE27*$B62))</f>
        <v>.</v>
      </c>
      <c r="CF62" s="94" t="str">
        <f>IF(BF62=".",".",s_RadSpec!$F$27*(CF27*$B62))</f>
        <v>.</v>
      </c>
      <c r="CG62" s="94" t="str">
        <f>IF(BG62=".",".",s_RadSpec!$F$27*(CG27*$B62))</f>
        <v>.</v>
      </c>
      <c r="CH62" s="94" t="str">
        <f>IF(BH62=".",".",s_RadSpec!$F$27*(CH27*$B62))</f>
        <v>.</v>
      </c>
      <c r="CI62" s="94" t="str">
        <f>IF(BI62=".",".",s_RadSpec!$F$27*(CI27*$B62))</f>
        <v>.</v>
      </c>
      <c r="CJ62" s="94" t="str">
        <f>IF(BJ62=".",".",s_RadSpec!$F$27*(CJ27*$B62))</f>
        <v>.</v>
      </c>
      <c r="CK62" s="94" t="str">
        <f>IF(BK62=".",".",s_RadSpec!$F$27*(CK27*$B62))</f>
        <v>.</v>
      </c>
      <c r="CL62" s="94" t="str">
        <f>IF(BL62=".",".",s_RadSpec!$F$27*(CL27*$B62))</f>
        <v>.</v>
      </c>
      <c r="CM62" s="94" t="str">
        <f>IF(BM62=".",".",s_RadSpec!$F$27*(CM27*$B62))</f>
        <v>.</v>
      </c>
      <c r="CN62" s="94" t="str">
        <f>IF(BN62=".",".",s_RadSpec!$F$27*(CN27*$B62))</f>
        <v>.</v>
      </c>
      <c r="CO62" s="94" t="str">
        <f>IF(BO62=".",".",s_RadSpec!$F$27*(CO27*$B62))</f>
        <v>.</v>
      </c>
      <c r="CP62" s="94" t="str">
        <f>IF(BP62=".",".",s_RadSpec!$F$27*(CP27*$B62))</f>
        <v>.</v>
      </c>
      <c r="CQ62" s="94" t="str">
        <f>IF(BQ62=".",".",s_RadSpec!$F$27*(CQ27*$B62))</f>
        <v>.</v>
      </c>
      <c r="CR62" s="94" t="str">
        <f>IF(BR62=".",".",s_RadSpec!$F$27*(CR27*$B62))</f>
        <v>.</v>
      </c>
      <c r="CS62" s="94" t="str">
        <f>IF(BS62=".",".",s_RadSpec!$F$27*(CS27*$B62))</f>
        <v>.</v>
      </c>
      <c r="CT62" s="94" t="str">
        <f>IF(BT62=".",".",s_RadSpec!$F$27*(CT27*$B62))</f>
        <v>.</v>
      </c>
      <c r="CU62" s="94" t="str">
        <f>IF(BU62=".",".",s_RadSpec!$F$27*(CU27*$B62))</f>
        <v>.</v>
      </c>
      <c r="CV62" s="94" t="str">
        <f>IF(BV62=".",".",s_RadSpec!$F$27*(CV27*$B62))</f>
        <v>.</v>
      </c>
      <c r="CW62" s="94" t="str">
        <f>IF(BW62=".",".",s_RadSpec!$F$27*(CW27*$B62))</f>
        <v>.</v>
      </c>
      <c r="CX62" s="94" t="str">
        <f>IF(BX62=".",".",s_RadSpec!$F$27*(CX27*$B62))</f>
        <v>.</v>
      </c>
      <c r="CY62" s="94" t="str">
        <f>IF(BY62=".",".",s_RadSpec!$F$27*(CY27*$B62))</f>
        <v>.</v>
      </c>
      <c r="CZ62" s="94" t="str">
        <f>IF(BZ62=".",".",s_RadSpec!$F$27*(CZ27*$B62))</f>
        <v>.</v>
      </c>
      <c r="DA62" s="94" t="str">
        <f>IF(CA62=".",".",s_RadSpec!$F$27*(DA27*$B62))</f>
        <v>.</v>
      </c>
      <c r="DB62" s="94" t="str">
        <f>IF(CB62=".",".",s_RadSpec!$F$27*(DB27*$B62))</f>
        <v>.</v>
      </c>
    </row>
    <row r="63" spans="1:106" x14ac:dyDescent="0.25">
      <c r="A63" s="76" t="s">
        <v>23</v>
      </c>
      <c r="B63" s="76" t="s">
        <v>1057</v>
      </c>
      <c r="C63" s="58">
        <f t="shared" ref="C63:AB63" si="76">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4.2270015328903572</v>
      </c>
      <c r="D63" s="58">
        <f t="shared" si="76"/>
        <v>18.547622711881701</v>
      </c>
      <c r="E63" s="58">
        <f t="shared" si="76"/>
        <v>6.759138285348528</v>
      </c>
      <c r="F63" s="58">
        <f t="shared" si="76"/>
        <v>14.165669590457862</v>
      </c>
      <c r="G63" s="58">
        <f t="shared" si="76"/>
        <v>18.547622711881701</v>
      </c>
      <c r="H63" s="58">
        <f t="shared" si="76"/>
        <v>16.77161398613886</v>
      </c>
      <c r="I63" s="58">
        <f t="shared" si="76"/>
        <v>6.759138285348528</v>
      </c>
      <c r="J63" s="58">
        <f t="shared" si="76"/>
        <v>14.165669590457862</v>
      </c>
      <c r="K63" s="58">
        <f t="shared" si="76"/>
        <v>18.547622711881701</v>
      </c>
      <c r="L63" s="58">
        <f t="shared" si="76"/>
        <v>22.755580045767772</v>
      </c>
      <c r="M63" s="58">
        <f t="shared" si="76"/>
        <v>16.77161398613886</v>
      </c>
      <c r="N63" s="58">
        <f t="shared" si="76"/>
        <v>6.759138285348528</v>
      </c>
      <c r="O63" s="58">
        <f t="shared" si="76"/>
        <v>20.539936454987025</v>
      </c>
      <c r="P63" s="58">
        <f t="shared" si="76"/>
        <v>16.77161398613886</v>
      </c>
      <c r="Q63" s="58">
        <f t="shared" si="76"/>
        <v>14.165669590457862</v>
      </c>
      <c r="R63" s="58">
        <f t="shared" si="76"/>
        <v>18.547622711881701</v>
      </c>
      <c r="S63" s="58">
        <f t="shared" si="76"/>
        <v>18.547622711881701</v>
      </c>
      <c r="T63" s="58">
        <f t="shared" si="76"/>
        <v>20.539936454987025</v>
      </c>
      <c r="U63" s="58">
        <f t="shared" si="76"/>
        <v>16.77161398613886</v>
      </c>
      <c r="V63" s="58">
        <f t="shared" si="76"/>
        <v>20.364029940381645</v>
      </c>
      <c r="W63" s="58">
        <f t="shared" si="76"/>
        <v>16.77161398613886</v>
      </c>
      <c r="X63" s="58">
        <f t="shared" si="76"/>
        <v>20.539936454987025</v>
      </c>
      <c r="Y63" s="58">
        <f t="shared" si="76"/>
        <v>18.547622711881701</v>
      </c>
      <c r="Z63" s="58">
        <f t="shared" si="76"/>
        <v>16.77161398613886</v>
      </c>
      <c r="AA63" s="58">
        <f t="shared" si="76"/>
        <v>14.72775150227349</v>
      </c>
      <c r="AB63" s="58">
        <f t="shared" si="76"/>
        <v>18.137144571268987</v>
      </c>
      <c r="AC63" s="91">
        <f>IFERROR(SUM(AD64:AD76,AU64:AU76,BA64:BA76,BB64:BB76),".")</f>
        <v>5.9143579214425763</v>
      </c>
      <c r="AD63" s="91">
        <f>IFERROR(SUM(AD64:AD76),".")</f>
        <v>1.3478816335844959</v>
      </c>
      <c r="AE63" s="91">
        <f t="shared" ref="AE63:BB63" si="77">IFERROR(SUM(AE64:AE76),".")</f>
        <v>3.6986963344412338</v>
      </c>
      <c r="AF63" s="91">
        <f t="shared" si="77"/>
        <v>1.7648300943599771</v>
      </c>
      <c r="AG63" s="91">
        <f t="shared" si="77"/>
        <v>1.3478816335844959</v>
      </c>
      <c r="AH63" s="91">
        <f t="shared" si="77"/>
        <v>1.490613844359977</v>
      </c>
      <c r="AI63" s="91">
        <f t="shared" si="77"/>
        <v>3.6986963344412338</v>
      </c>
      <c r="AJ63" s="91">
        <f t="shared" si="77"/>
        <v>1.7648300943599771</v>
      </c>
      <c r="AK63" s="91">
        <f t="shared" si="77"/>
        <v>1.3478816335844959</v>
      </c>
      <c r="AL63" s="91">
        <f t="shared" si="77"/>
        <v>1.0986316301196488</v>
      </c>
      <c r="AM63" s="91">
        <f t="shared" si="77"/>
        <v>1.490613844359977</v>
      </c>
      <c r="AN63" s="91">
        <f t="shared" si="77"/>
        <v>3.6986963344412338</v>
      </c>
      <c r="AO63" s="91">
        <f t="shared" si="77"/>
        <v>1.2171410585805436</v>
      </c>
      <c r="AP63" s="91">
        <f t="shared" si="77"/>
        <v>1.490613844359977</v>
      </c>
      <c r="AQ63" s="91">
        <f t="shared" si="77"/>
        <v>1.7648300943599771</v>
      </c>
      <c r="AR63" s="91">
        <f t="shared" si="77"/>
        <v>1.3478816335844959</v>
      </c>
      <c r="AS63" s="91">
        <f t="shared" si="77"/>
        <v>1.3478816335844959</v>
      </c>
      <c r="AT63" s="91">
        <f t="shared" si="77"/>
        <v>1.2171410585805436</v>
      </c>
      <c r="AU63" s="91">
        <f t="shared" si="77"/>
        <v>1.490613844359977</v>
      </c>
      <c r="AV63" s="91">
        <f t="shared" si="77"/>
        <v>1.2276548440161776</v>
      </c>
      <c r="AW63" s="91">
        <f t="shared" si="77"/>
        <v>1.490613844359977</v>
      </c>
      <c r="AX63" s="91">
        <f t="shared" si="77"/>
        <v>1.2171410585805436</v>
      </c>
      <c r="AY63" s="91">
        <f t="shared" si="77"/>
        <v>1.3478816335844959</v>
      </c>
      <c r="AZ63" s="91">
        <f t="shared" si="77"/>
        <v>1.490613844359977</v>
      </c>
      <c r="BA63" s="91">
        <f t="shared" si="77"/>
        <v>1.6974756802585111</v>
      </c>
      <c r="BB63" s="91">
        <f t="shared" si="77"/>
        <v>1.3783867632395919</v>
      </c>
      <c r="BC63" s="58">
        <f t="shared" ref="BC63:CB63" si="78">IFERROR(1/SUM(IFERROR(1/SUMIF(BC64,"&lt;&gt;.",BC64),0),IFERROR(1/SUMIF(BC65,"&lt;&gt;.",BC65),0),IFERROR(1/SUMIF(BC66,"&lt;&gt;.",BC66),0),IFERROR(1/SUMIF(BC67,"&lt;&gt;.",BC67),0),IFERROR(1/SUMIF(BC68,"&lt;&gt;.",BC68),0),IFERROR(1/SUMIF(BC69,"&lt;&gt;.",BC69),0),IFERROR(1/SUMIF(BC70,"&lt;&gt;.",BC70),0),IFERROR(1/SUMIF(BC71,"&lt;&gt;.",BC71),0),IFERROR(1/SUMIF(BC72,"&lt;&gt;.",BC72),0),IFERROR(1/SUMIF(BC73,"&lt;&gt;.",BC73),0),IFERROR(1/SUMIF(BC74,"&lt;&gt;.",BC74),0),IFERROR(1/SUMIF(BC75,"&lt;&gt;.",BC75),0),IFERROR(1/SUMIF(BC76,"&lt;&gt;.",BC76),0)),".")</f>
        <v>4.2270015328903572</v>
      </c>
      <c r="BD63" s="58">
        <f t="shared" si="78"/>
        <v>18.547622711881701</v>
      </c>
      <c r="BE63" s="58">
        <f t="shared" si="78"/>
        <v>6.759138285348528</v>
      </c>
      <c r="BF63" s="58">
        <f t="shared" si="78"/>
        <v>14.165669590457862</v>
      </c>
      <c r="BG63" s="58">
        <f t="shared" si="78"/>
        <v>18.547622711881701</v>
      </c>
      <c r="BH63" s="58">
        <f t="shared" si="78"/>
        <v>16.77161398613886</v>
      </c>
      <c r="BI63" s="58">
        <f t="shared" si="78"/>
        <v>6.759138285348528</v>
      </c>
      <c r="BJ63" s="58">
        <f t="shared" si="78"/>
        <v>14.165669590457862</v>
      </c>
      <c r="BK63" s="58">
        <f t="shared" si="78"/>
        <v>18.547622711881701</v>
      </c>
      <c r="BL63" s="58">
        <f t="shared" si="78"/>
        <v>22.755580045767772</v>
      </c>
      <c r="BM63" s="58">
        <f t="shared" si="78"/>
        <v>16.77161398613886</v>
      </c>
      <c r="BN63" s="58">
        <f t="shared" si="78"/>
        <v>6.759138285348528</v>
      </c>
      <c r="BO63" s="58">
        <f t="shared" si="78"/>
        <v>20.539936454987025</v>
      </c>
      <c r="BP63" s="58">
        <f t="shared" si="78"/>
        <v>16.77161398613886</v>
      </c>
      <c r="BQ63" s="58">
        <f t="shared" si="78"/>
        <v>14.165669590457862</v>
      </c>
      <c r="BR63" s="58">
        <f t="shared" si="78"/>
        <v>18.547622711881701</v>
      </c>
      <c r="BS63" s="58">
        <f t="shared" si="78"/>
        <v>18.547622711881701</v>
      </c>
      <c r="BT63" s="58">
        <f t="shared" si="78"/>
        <v>20.539936454987025</v>
      </c>
      <c r="BU63" s="58">
        <f t="shared" si="78"/>
        <v>16.77161398613886</v>
      </c>
      <c r="BV63" s="58">
        <f t="shared" si="78"/>
        <v>20.364029940381645</v>
      </c>
      <c r="BW63" s="58">
        <f t="shared" si="78"/>
        <v>16.77161398613886</v>
      </c>
      <c r="BX63" s="58">
        <f t="shared" si="78"/>
        <v>20.539936454987025</v>
      </c>
      <c r="BY63" s="58">
        <f t="shared" si="78"/>
        <v>18.547622711881701</v>
      </c>
      <c r="BZ63" s="58">
        <f t="shared" si="78"/>
        <v>16.77161398613886</v>
      </c>
      <c r="CA63" s="58">
        <f t="shared" si="78"/>
        <v>14.72775150227349</v>
      </c>
      <c r="CB63" s="58">
        <f t="shared" si="78"/>
        <v>18.137144571268987</v>
      </c>
      <c r="CC63" s="91">
        <f>IFERROR(SUM(CD64:CD76,CU64:CU76,DA64:DA76,DB64:DB76),".")</f>
        <v>5.9143579214425763</v>
      </c>
      <c r="CD63" s="91">
        <f>IFERROR(SUM(CD64:CD76),".")</f>
        <v>1.3478816335844959</v>
      </c>
      <c r="CE63" s="91">
        <f t="shared" ref="CE63:DB63" si="79">IFERROR(SUM(CE64:CE76),".")</f>
        <v>3.6986963344412338</v>
      </c>
      <c r="CF63" s="91">
        <f t="shared" si="79"/>
        <v>1.7648300943599771</v>
      </c>
      <c r="CG63" s="91">
        <f t="shared" si="79"/>
        <v>1.3478816335844959</v>
      </c>
      <c r="CH63" s="91">
        <f t="shared" si="79"/>
        <v>1.490613844359977</v>
      </c>
      <c r="CI63" s="91">
        <f t="shared" si="79"/>
        <v>3.6986963344412338</v>
      </c>
      <c r="CJ63" s="91">
        <f t="shared" si="79"/>
        <v>1.7648300943599771</v>
      </c>
      <c r="CK63" s="91">
        <f t="shared" si="79"/>
        <v>1.3478816335844959</v>
      </c>
      <c r="CL63" s="91">
        <f t="shared" si="79"/>
        <v>1.0986316301196488</v>
      </c>
      <c r="CM63" s="91">
        <f t="shared" si="79"/>
        <v>1.490613844359977</v>
      </c>
      <c r="CN63" s="91">
        <f t="shared" si="79"/>
        <v>3.6986963344412338</v>
      </c>
      <c r="CO63" s="91">
        <f t="shared" si="79"/>
        <v>1.2171410585805436</v>
      </c>
      <c r="CP63" s="91">
        <f t="shared" si="79"/>
        <v>1.490613844359977</v>
      </c>
      <c r="CQ63" s="91">
        <f t="shared" si="79"/>
        <v>1.7648300943599771</v>
      </c>
      <c r="CR63" s="91">
        <f t="shared" si="79"/>
        <v>1.3478816335844959</v>
      </c>
      <c r="CS63" s="91">
        <f t="shared" si="79"/>
        <v>1.3478816335844959</v>
      </c>
      <c r="CT63" s="91">
        <f t="shared" si="79"/>
        <v>1.2171410585805436</v>
      </c>
      <c r="CU63" s="91">
        <f t="shared" si="79"/>
        <v>1.490613844359977</v>
      </c>
      <c r="CV63" s="91">
        <f t="shared" si="79"/>
        <v>1.2276548440161776</v>
      </c>
      <c r="CW63" s="91">
        <f t="shared" si="79"/>
        <v>1.490613844359977</v>
      </c>
      <c r="CX63" s="91">
        <f t="shared" si="79"/>
        <v>1.2171410585805436</v>
      </c>
      <c r="CY63" s="91">
        <f t="shared" si="79"/>
        <v>1.3478816335844959</v>
      </c>
      <c r="CZ63" s="91">
        <f t="shared" si="79"/>
        <v>1.490613844359977</v>
      </c>
      <c r="DA63" s="91">
        <f t="shared" si="79"/>
        <v>1.6974756802585111</v>
      </c>
      <c r="DB63" s="91">
        <f t="shared" si="79"/>
        <v>1.3783867632395919</v>
      </c>
    </row>
    <row r="64" spans="1:106" x14ac:dyDescent="0.25">
      <c r="A64" s="77" t="s">
        <v>1073</v>
      </c>
      <c r="B64" s="42">
        <v>1</v>
      </c>
      <c r="C64" s="60" t="str">
        <f t="shared" ref="C64:AB64" si="80">IFERROR(C25/$B50,".")</f>
        <v>.</v>
      </c>
      <c r="D64" s="60" t="str">
        <f t="shared" si="80"/>
        <v>.</v>
      </c>
      <c r="E64" s="60" t="str">
        <f t="shared" si="80"/>
        <v>.</v>
      </c>
      <c r="F64" s="60" t="str">
        <f t="shared" si="80"/>
        <v>.</v>
      </c>
      <c r="G64" s="60" t="str">
        <f t="shared" si="80"/>
        <v>.</v>
      </c>
      <c r="H64" s="60" t="str">
        <f t="shared" si="80"/>
        <v>.</v>
      </c>
      <c r="I64" s="60" t="str">
        <f t="shared" si="80"/>
        <v>.</v>
      </c>
      <c r="J64" s="60" t="str">
        <f t="shared" si="80"/>
        <v>.</v>
      </c>
      <c r="K64" s="60" t="str">
        <f t="shared" si="80"/>
        <v>.</v>
      </c>
      <c r="L64" s="60" t="str">
        <f t="shared" si="80"/>
        <v>.</v>
      </c>
      <c r="M64" s="60" t="str">
        <f t="shared" si="80"/>
        <v>.</v>
      </c>
      <c r="N64" s="60" t="str">
        <f t="shared" si="80"/>
        <v>.</v>
      </c>
      <c r="O64" s="60" t="str">
        <f t="shared" si="80"/>
        <v>.</v>
      </c>
      <c r="P64" s="60" t="str">
        <f t="shared" si="80"/>
        <v>.</v>
      </c>
      <c r="Q64" s="60" t="str">
        <f t="shared" si="80"/>
        <v>.</v>
      </c>
      <c r="R64" s="60" t="str">
        <f t="shared" si="80"/>
        <v>.</v>
      </c>
      <c r="S64" s="60" t="str">
        <f t="shared" si="80"/>
        <v>.</v>
      </c>
      <c r="T64" s="60" t="str">
        <f t="shared" si="80"/>
        <v>.</v>
      </c>
      <c r="U64" s="60" t="str">
        <f t="shared" si="80"/>
        <v>.</v>
      </c>
      <c r="V64" s="60" t="str">
        <f t="shared" si="80"/>
        <v>.</v>
      </c>
      <c r="W64" s="60" t="str">
        <f t="shared" si="80"/>
        <v>.</v>
      </c>
      <c r="X64" s="60" t="str">
        <f t="shared" si="80"/>
        <v>.</v>
      </c>
      <c r="Y64" s="60" t="str">
        <f t="shared" si="80"/>
        <v>.</v>
      </c>
      <c r="Z64" s="60" t="str">
        <f t="shared" si="80"/>
        <v>.</v>
      </c>
      <c r="AA64" s="60" t="str">
        <f t="shared" si="80"/>
        <v>.</v>
      </c>
      <c r="AB64" s="60" t="str">
        <f t="shared" si="80"/>
        <v>.</v>
      </c>
      <c r="AC64" s="94" t="str">
        <f t="shared" ref="AC64:AC76" si="81">IF(AND(AD64&lt;&gt;".",AU64&lt;&gt;".",BA64&lt;&gt;".",BB64&lt;&gt;"."),SUM(AD64,AU64,BA64:BB64),".")</f>
        <v>.</v>
      </c>
      <c r="AD64" s="94" t="str">
        <f>IF(D64=".",".",s_RadSpec!$F$25*(AD25*$B64))</f>
        <v>.</v>
      </c>
      <c r="AE64" s="94" t="str">
        <f>IF(E64=".",".",s_RadSpec!$F$25*(AE25*$B64))</f>
        <v>.</v>
      </c>
      <c r="AF64" s="94" t="str">
        <f>IF(F64=".",".",s_RadSpec!$F$25*(AF25*$B64))</f>
        <v>.</v>
      </c>
      <c r="AG64" s="94" t="str">
        <f>IF(G64=".",".",s_RadSpec!$F$25*(AG25*$B64))</f>
        <v>.</v>
      </c>
      <c r="AH64" s="94" t="str">
        <f>IF(H64=".",".",s_RadSpec!$F$25*(AH25*$B64))</f>
        <v>.</v>
      </c>
      <c r="AI64" s="94" t="str">
        <f>IF(I64=".",".",s_RadSpec!$F$25*(AI25*$B64))</f>
        <v>.</v>
      </c>
      <c r="AJ64" s="94" t="str">
        <f>IF(J64=".",".",s_RadSpec!$F$25*(AJ25*$B64))</f>
        <v>.</v>
      </c>
      <c r="AK64" s="94" t="str">
        <f>IF(K64=".",".",s_RadSpec!$F$25*(AK25*$B64))</f>
        <v>.</v>
      </c>
      <c r="AL64" s="94" t="str">
        <f>IF(L64=".",".",s_RadSpec!$F$25*(AL25*$B64))</f>
        <v>.</v>
      </c>
      <c r="AM64" s="94" t="str">
        <f>IF(M64=".",".",s_RadSpec!$F$25*(AM25*$B64))</f>
        <v>.</v>
      </c>
      <c r="AN64" s="94" t="str">
        <f>IF(N64=".",".",s_RadSpec!$F$25*(AN25*$B64))</f>
        <v>.</v>
      </c>
      <c r="AO64" s="94" t="str">
        <f>IF(O64=".",".",s_RadSpec!$F$25*(AO25*$B64))</f>
        <v>.</v>
      </c>
      <c r="AP64" s="94" t="str">
        <f>IF(P64=".",".",s_RadSpec!$F$25*(AP25*$B64))</f>
        <v>.</v>
      </c>
      <c r="AQ64" s="94" t="str">
        <f>IF(Q64=".",".",s_RadSpec!$F$25*(AQ25*$B64))</f>
        <v>.</v>
      </c>
      <c r="AR64" s="94" t="str">
        <f>IF(R64=".",".",s_RadSpec!$F$25*(AR25*$B64))</f>
        <v>.</v>
      </c>
      <c r="AS64" s="94" t="str">
        <f>IF(S64=".",".",s_RadSpec!$F$25*(AS25*$B64))</f>
        <v>.</v>
      </c>
      <c r="AT64" s="94" t="str">
        <f>IF(T64=".",".",s_RadSpec!$F$25*(AT25*$B64))</f>
        <v>.</v>
      </c>
      <c r="AU64" s="94" t="str">
        <f>IF(U64=".",".",s_RadSpec!$F$25*(AU25*$B64))</f>
        <v>.</v>
      </c>
      <c r="AV64" s="94" t="str">
        <f>IF(V64=".",".",s_RadSpec!$F$25*(AV25*$B64))</f>
        <v>.</v>
      </c>
      <c r="AW64" s="94" t="str">
        <f>IF(W64=".",".",s_RadSpec!$F$25*(AW25*$B64))</f>
        <v>.</v>
      </c>
      <c r="AX64" s="94" t="str">
        <f>IF(X64=".",".",s_RadSpec!$F$25*(AX25*$B64))</f>
        <v>.</v>
      </c>
      <c r="AY64" s="94" t="str">
        <f>IF(Y64=".",".",s_RadSpec!$F$25*(AY25*$B64))</f>
        <v>.</v>
      </c>
      <c r="AZ64" s="94" t="str">
        <f>IF(Z64=".",".",s_RadSpec!$F$25*(AZ25*$B64))</f>
        <v>.</v>
      </c>
      <c r="BA64" s="94" t="str">
        <f>IF(AA64=".",".",s_RadSpec!$F$25*(BA25*$B64))</f>
        <v>.</v>
      </c>
      <c r="BB64" s="94" t="str">
        <f>IF(AB64=".",".",s_RadSpec!$F$25*(BB25*$B64))</f>
        <v>.</v>
      </c>
      <c r="BC64" s="60" t="str">
        <f t="shared" ref="BC64:CB64" si="82">IFERROR(BC25/$B50,".")</f>
        <v>.</v>
      </c>
      <c r="BD64" s="60" t="str">
        <f t="shared" si="82"/>
        <v>.</v>
      </c>
      <c r="BE64" s="60" t="str">
        <f t="shared" si="82"/>
        <v>.</v>
      </c>
      <c r="BF64" s="60" t="str">
        <f t="shared" si="82"/>
        <v>.</v>
      </c>
      <c r="BG64" s="60" t="str">
        <f t="shared" si="82"/>
        <v>.</v>
      </c>
      <c r="BH64" s="60" t="str">
        <f t="shared" si="82"/>
        <v>.</v>
      </c>
      <c r="BI64" s="60" t="str">
        <f t="shared" si="82"/>
        <v>.</v>
      </c>
      <c r="BJ64" s="60" t="str">
        <f t="shared" si="82"/>
        <v>.</v>
      </c>
      <c r="BK64" s="60" t="str">
        <f t="shared" si="82"/>
        <v>.</v>
      </c>
      <c r="BL64" s="60" t="str">
        <f t="shared" si="82"/>
        <v>.</v>
      </c>
      <c r="BM64" s="60" t="str">
        <f t="shared" si="82"/>
        <v>.</v>
      </c>
      <c r="BN64" s="60" t="str">
        <f t="shared" si="82"/>
        <v>.</v>
      </c>
      <c r="BO64" s="60" t="str">
        <f t="shared" si="82"/>
        <v>.</v>
      </c>
      <c r="BP64" s="60" t="str">
        <f t="shared" si="82"/>
        <v>.</v>
      </c>
      <c r="BQ64" s="60" t="str">
        <f t="shared" si="82"/>
        <v>.</v>
      </c>
      <c r="BR64" s="60" t="str">
        <f t="shared" si="82"/>
        <v>.</v>
      </c>
      <c r="BS64" s="60" t="str">
        <f t="shared" si="82"/>
        <v>.</v>
      </c>
      <c r="BT64" s="60" t="str">
        <f t="shared" si="82"/>
        <v>.</v>
      </c>
      <c r="BU64" s="60" t="str">
        <f t="shared" si="82"/>
        <v>.</v>
      </c>
      <c r="BV64" s="60" t="str">
        <f t="shared" si="82"/>
        <v>.</v>
      </c>
      <c r="BW64" s="60" t="str">
        <f t="shared" si="82"/>
        <v>.</v>
      </c>
      <c r="BX64" s="60" t="str">
        <f t="shared" si="82"/>
        <v>.</v>
      </c>
      <c r="BY64" s="60" t="str">
        <f t="shared" si="82"/>
        <v>.</v>
      </c>
      <c r="BZ64" s="60" t="str">
        <f t="shared" si="82"/>
        <v>.</v>
      </c>
      <c r="CA64" s="60" t="str">
        <f t="shared" si="82"/>
        <v>.</v>
      </c>
      <c r="CB64" s="60" t="str">
        <f t="shared" si="82"/>
        <v>.</v>
      </c>
      <c r="CC64" s="94" t="str">
        <f t="shared" ref="CC64:CC76" si="83">IF(AND(CD64&lt;&gt;".",CU64&lt;&gt;".",DA64&lt;&gt;".",DB64&lt;&gt;"."),SUM(CD64,CU64,DA64:DB64),".")</f>
        <v>.</v>
      </c>
      <c r="CD64" s="94" t="str">
        <f>IF(BD64=".",".",s_RadSpec!$F$25*(CD25*$B64))</f>
        <v>.</v>
      </c>
      <c r="CE64" s="94" t="str">
        <f>IF(BE64=".",".",s_RadSpec!$F$25*(CE25*$B64))</f>
        <v>.</v>
      </c>
      <c r="CF64" s="94" t="str">
        <f>IF(BF64=".",".",s_RadSpec!$F$25*(CF25*$B64))</f>
        <v>.</v>
      </c>
      <c r="CG64" s="94" t="str">
        <f>IF(BG64=".",".",s_RadSpec!$F$25*(CG25*$B64))</f>
        <v>.</v>
      </c>
      <c r="CH64" s="94" t="str">
        <f>IF(BH64=".",".",s_RadSpec!$F$25*(CH25*$B64))</f>
        <v>.</v>
      </c>
      <c r="CI64" s="94" t="str">
        <f>IF(BI64=".",".",s_RadSpec!$F$25*(CI25*$B64))</f>
        <v>.</v>
      </c>
      <c r="CJ64" s="94" t="str">
        <f>IF(BJ64=".",".",s_RadSpec!$F$25*(CJ25*$B64))</f>
        <v>.</v>
      </c>
      <c r="CK64" s="94" t="str">
        <f>IF(BK64=".",".",s_RadSpec!$F$25*(CK25*$B64))</f>
        <v>.</v>
      </c>
      <c r="CL64" s="94" t="str">
        <f>IF(BL64=".",".",s_RadSpec!$F$25*(CL25*$B64))</f>
        <v>.</v>
      </c>
      <c r="CM64" s="94" t="str">
        <f>IF(BM64=".",".",s_RadSpec!$F$25*(CM25*$B64))</f>
        <v>.</v>
      </c>
      <c r="CN64" s="94" t="str">
        <f>IF(BN64=".",".",s_RadSpec!$F$25*(CN25*$B64))</f>
        <v>.</v>
      </c>
      <c r="CO64" s="94" t="str">
        <f>IF(BO64=".",".",s_RadSpec!$F$25*(CO25*$B64))</f>
        <v>.</v>
      </c>
      <c r="CP64" s="94" t="str">
        <f>IF(BP64=".",".",s_RadSpec!$F$25*(CP25*$B64))</f>
        <v>.</v>
      </c>
      <c r="CQ64" s="94" t="str">
        <f>IF(BQ64=".",".",s_RadSpec!$F$25*(CQ25*$B64))</f>
        <v>.</v>
      </c>
      <c r="CR64" s="94" t="str">
        <f>IF(BR64=".",".",s_RadSpec!$F$25*(CR25*$B64))</f>
        <v>.</v>
      </c>
      <c r="CS64" s="94" t="str">
        <f>IF(BS64=".",".",s_RadSpec!$F$25*(CS25*$B64))</f>
        <v>.</v>
      </c>
      <c r="CT64" s="94" t="str">
        <f>IF(BT64=".",".",s_RadSpec!$F$25*(CT25*$B64))</f>
        <v>.</v>
      </c>
      <c r="CU64" s="94" t="str">
        <f>IF(BU64=".",".",s_RadSpec!$F$25*(CU25*$B64))</f>
        <v>.</v>
      </c>
      <c r="CV64" s="94" t="str">
        <f>IF(BV64=".",".",s_RadSpec!$F$25*(CV25*$B64))</f>
        <v>.</v>
      </c>
      <c r="CW64" s="94" t="str">
        <f>IF(BW64=".",".",s_RadSpec!$F$25*(CW25*$B64))</f>
        <v>.</v>
      </c>
      <c r="CX64" s="94" t="str">
        <f>IF(BX64=".",".",s_RadSpec!$F$25*(CX25*$B64))</f>
        <v>.</v>
      </c>
      <c r="CY64" s="94" t="str">
        <f>IF(BY64=".",".",s_RadSpec!$F$25*(CY25*$B64))</f>
        <v>.</v>
      </c>
      <c r="CZ64" s="94" t="str">
        <f>IF(BZ64=".",".",s_RadSpec!$F$25*(CZ25*$B64))</f>
        <v>.</v>
      </c>
      <c r="DA64" s="94" t="str">
        <f>IF(CA64=".",".",s_RadSpec!$F$25*(DA25*$B64))</f>
        <v>.</v>
      </c>
      <c r="DB64" s="94" t="str">
        <f>IF(CB64=".",".",s_RadSpec!$F$25*(DB25*$B64))</f>
        <v>.</v>
      </c>
    </row>
    <row r="65" spans="1:106" x14ac:dyDescent="0.25">
      <c r="A65" s="77" t="s">
        <v>1059</v>
      </c>
      <c r="B65" s="42">
        <v>1</v>
      </c>
      <c r="C65" s="60" t="str">
        <f t="shared" ref="C65:AB65" si="84">IFERROR(C21/$B51,".")</f>
        <v>.</v>
      </c>
      <c r="D65" s="60" t="str">
        <f t="shared" si="84"/>
        <v>.</v>
      </c>
      <c r="E65" s="60" t="str">
        <f t="shared" si="84"/>
        <v>.</v>
      </c>
      <c r="F65" s="60" t="str">
        <f t="shared" si="84"/>
        <v>.</v>
      </c>
      <c r="G65" s="60" t="str">
        <f t="shared" si="84"/>
        <v>.</v>
      </c>
      <c r="H65" s="60" t="str">
        <f t="shared" si="84"/>
        <v>.</v>
      </c>
      <c r="I65" s="60" t="str">
        <f t="shared" si="84"/>
        <v>.</v>
      </c>
      <c r="J65" s="60" t="str">
        <f t="shared" si="84"/>
        <v>.</v>
      </c>
      <c r="K65" s="60" t="str">
        <f t="shared" si="84"/>
        <v>.</v>
      </c>
      <c r="L65" s="60" t="str">
        <f t="shared" si="84"/>
        <v>.</v>
      </c>
      <c r="M65" s="60" t="str">
        <f t="shared" si="84"/>
        <v>.</v>
      </c>
      <c r="N65" s="60" t="str">
        <f t="shared" si="84"/>
        <v>.</v>
      </c>
      <c r="O65" s="60" t="str">
        <f t="shared" si="84"/>
        <v>.</v>
      </c>
      <c r="P65" s="60" t="str">
        <f t="shared" si="84"/>
        <v>.</v>
      </c>
      <c r="Q65" s="60" t="str">
        <f t="shared" si="84"/>
        <v>.</v>
      </c>
      <c r="R65" s="60" t="str">
        <f t="shared" si="84"/>
        <v>.</v>
      </c>
      <c r="S65" s="60" t="str">
        <f t="shared" si="84"/>
        <v>.</v>
      </c>
      <c r="T65" s="60" t="str">
        <f t="shared" si="84"/>
        <v>.</v>
      </c>
      <c r="U65" s="60" t="str">
        <f t="shared" si="84"/>
        <v>.</v>
      </c>
      <c r="V65" s="60" t="str">
        <f t="shared" si="84"/>
        <v>.</v>
      </c>
      <c r="W65" s="60" t="str">
        <f t="shared" si="84"/>
        <v>.</v>
      </c>
      <c r="X65" s="60" t="str">
        <f t="shared" si="84"/>
        <v>.</v>
      </c>
      <c r="Y65" s="60" t="str">
        <f t="shared" si="84"/>
        <v>.</v>
      </c>
      <c r="Z65" s="60" t="str">
        <f t="shared" si="84"/>
        <v>.</v>
      </c>
      <c r="AA65" s="60" t="str">
        <f t="shared" si="84"/>
        <v>.</v>
      </c>
      <c r="AB65" s="60" t="str">
        <f t="shared" si="84"/>
        <v>.</v>
      </c>
      <c r="AC65" s="94" t="str">
        <f t="shared" si="81"/>
        <v>.</v>
      </c>
      <c r="AD65" s="94" t="str">
        <f>IF(D65=".",".",s_RadSpec!$F$21*(AD21*$B65))</f>
        <v>.</v>
      </c>
      <c r="AE65" s="94" t="str">
        <f>IF(E65=".",".",s_RadSpec!$F$21*(AE21*$B65))</f>
        <v>.</v>
      </c>
      <c r="AF65" s="94" t="str">
        <f>IF(F65=".",".",s_RadSpec!$F$21*(AF21*$B65))</f>
        <v>.</v>
      </c>
      <c r="AG65" s="94" t="str">
        <f>IF(G65=".",".",s_RadSpec!$F$21*(AG21*$B65))</f>
        <v>.</v>
      </c>
      <c r="AH65" s="94" t="str">
        <f>IF(H65=".",".",s_RadSpec!$F$21*(AH21*$B65))</f>
        <v>.</v>
      </c>
      <c r="AI65" s="94" t="str">
        <f>IF(I65=".",".",s_RadSpec!$F$21*(AI21*$B65))</f>
        <v>.</v>
      </c>
      <c r="AJ65" s="94" t="str">
        <f>IF(J65=".",".",s_RadSpec!$F$21*(AJ21*$B65))</f>
        <v>.</v>
      </c>
      <c r="AK65" s="94" t="str">
        <f>IF(K65=".",".",s_RadSpec!$F$21*(AK21*$B65))</f>
        <v>.</v>
      </c>
      <c r="AL65" s="94" t="str">
        <f>IF(L65=".",".",s_RadSpec!$F$21*(AL21*$B65))</f>
        <v>.</v>
      </c>
      <c r="AM65" s="94" t="str">
        <f>IF(M65=".",".",s_RadSpec!$F$21*(AM21*$B65))</f>
        <v>.</v>
      </c>
      <c r="AN65" s="94" t="str">
        <f>IF(N65=".",".",s_RadSpec!$F$21*(AN21*$B65))</f>
        <v>.</v>
      </c>
      <c r="AO65" s="94" t="str">
        <f>IF(O65=".",".",s_RadSpec!$F$21*(AO21*$B65))</f>
        <v>.</v>
      </c>
      <c r="AP65" s="94" t="str">
        <f>IF(P65=".",".",s_RadSpec!$F$21*(AP21*$B65))</f>
        <v>.</v>
      </c>
      <c r="AQ65" s="94" t="str">
        <f>IF(Q65=".",".",s_RadSpec!$F$21*(AQ21*$B65))</f>
        <v>.</v>
      </c>
      <c r="AR65" s="94" t="str">
        <f>IF(R65=".",".",s_RadSpec!$F$21*(AR21*$B65))</f>
        <v>.</v>
      </c>
      <c r="AS65" s="94" t="str">
        <f>IF(S65=".",".",s_RadSpec!$F$21*(AS21*$B65))</f>
        <v>.</v>
      </c>
      <c r="AT65" s="94" t="str">
        <f>IF(T65=".",".",s_RadSpec!$F$21*(AT21*$B65))</f>
        <v>.</v>
      </c>
      <c r="AU65" s="94" t="str">
        <f>IF(U65=".",".",s_RadSpec!$F$21*(AU21*$B65))</f>
        <v>.</v>
      </c>
      <c r="AV65" s="94" t="str">
        <f>IF(V65=".",".",s_RadSpec!$F$21*(AV21*$B65))</f>
        <v>.</v>
      </c>
      <c r="AW65" s="94" t="str">
        <f>IF(W65=".",".",s_RadSpec!$F$21*(AW21*$B65))</f>
        <v>.</v>
      </c>
      <c r="AX65" s="94" t="str">
        <f>IF(X65=".",".",s_RadSpec!$F$21*(AX21*$B65))</f>
        <v>.</v>
      </c>
      <c r="AY65" s="94" t="str">
        <f>IF(Y65=".",".",s_RadSpec!$F$21*(AY21*$B65))</f>
        <v>.</v>
      </c>
      <c r="AZ65" s="94" t="str">
        <f>IF(Z65=".",".",s_RadSpec!$F$21*(AZ21*$B65))</f>
        <v>.</v>
      </c>
      <c r="BA65" s="94" t="str">
        <f>IF(AA65=".",".",s_RadSpec!$F$21*(BA21*$B65))</f>
        <v>.</v>
      </c>
      <c r="BB65" s="94" t="str">
        <f>IF(AB65=".",".",s_RadSpec!$F$21*(BB21*$B65))</f>
        <v>.</v>
      </c>
      <c r="BC65" s="60" t="str">
        <f t="shared" ref="BC65:CB65" si="85">IFERROR(BC21/$B51,".")</f>
        <v>.</v>
      </c>
      <c r="BD65" s="60" t="str">
        <f t="shared" si="85"/>
        <v>.</v>
      </c>
      <c r="BE65" s="60" t="str">
        <f t="shared" si="85"/>
        <v>.</v>
      </c>
      <c r="BF65" s="60" t="str">
        <f t="shared" si="85"/>
        <v>.</v>
      </c>
      <c r="BG65" s="60" t="str">
        <f t="shared" si="85"/>
        <v>.</v>
      </c>
      <c r="BH65" s="60" t="str">
        <f t="shared" si="85"/>
        <v>.</v>
      </c>
      <c r="BI65" s="60" t="str">
        <f t="shared" si="85"/>
        <v>.</v>
      </c>
      <c r="BJ65" s="60" t="str">
        <f t="shared" si="85"/>
        <v>.</v>
      </c>
      <c r="BK65" s="60" t="str">
        <f t="shared" si="85"/>
        <v>.</v>
      </c>
      <c r="BL65" s="60" t="str">
        <f t="shared" si="85"/>
        <v>.</v>
      </c>
      <c r="BM65" s="60" t="str">
        <f t="shared" si="85"/>
        <v>.</v>
      </c>
      <c r="BN65" s="60" t="str">
        <f t="shared" si="85"/>
        <v>.</v>
      </c>
      <c r="BO65" s="60" t="str">
        <f t="shared" si="85"/>
        <v>.</v>
      </c>
      <c r="BP65" s="60" t="str">
        <f t="shared" si="85"/>
        <v>.</v>
      </c>
      <c r="BQ65" s="60" t="str">
        <f t="shared" si="85"/>
        <v>.</v>
      </c>
      <c r="BR65" s="60" t="str">
        <f t="shared" si="85"/>
        <v>.</v>
      </c>
      <c r="BS65" s="60" t="str">
        <f t="shared" si="85"/>
        <v>.</v>
      </c>
      <c r="BT65" s="60" t="str">
        <f t="shared" si="85"/>
        <v>.</v>
      </c>
      <c r="BU65" s="60" t="str">
        <f t="shared" si="85"/>
        <v>.</v>
      </c>
      <c r="BV65" s="60" t="str">
        <f t="shared" si="85"/>
        <v>.</v>
      </c>
      <c r="BW65" s="60" t="str">
        <f t="shared" si="85"/>
        <v>.</v>
      </c>
      <c r="BX65" s="60" t="str">
        <f t="shared" si="85"/>
        <v>.</v>
      </c>
      <c r="BY65" s="60" t="str">
        <f t="shared" si="85"/>
        <v>.</v>
      </c>
      <c r="BZ65" s="60" t="str">
        <f t="shared" si="85"/>
        <v>.</v>
      </c>
      <c r="CA65" s="60" t="str">
        <f t="shared" si="85"/>
        <v>.</v>
      </c>
      <c r="CB65" s="60" t="str">
        <f t="shared" si="85"/>
        <v>.</v>
      </c>
      <c r="CC65" s="94" t="str">
        <f t="shared" si="83"/>
        <v>.</v>
      </c>
      <c r="CD65" s="94" t="str">
        <f>IF(BD65=".",".",s_RadSpec!$F$21*(CD21*$B65))</f>
        <v>.</v>
      </c>
      <c r="CE65" s="94" t="str">
        <f>IF(BE65=".",".",s_RadSpec!$F$21*(CE21*$B65))</f>
        <v>.</v>
      </c>
      <c r="CF65" s="94" t="str">
        <f>IF(BF65=".",".",s_RadSpec!$F$21*(CF21*$B65))</f>
        <v>.</v>
      </c>
      <c r="CG65" s="94" t="str">
        <f>IF(BG65=".",".",s_RadSpec!$F$21*(CG21*$B65))</f>
        <v>.</v>
      </c>
      <c r="CH65" s="94" t="str">
        <f>IF(BH65=".",".",s_RadSpec!$F$21*(CH21*$B65))</f>
        <v>.</v>
      </c>
      <c r="CI65" s="94" t="str">
        <f>IF(BI65=".",".",s_RadSpec!$F$21*(CI21*$B65))</f>
        <v>.</v>
      </c>
      <c r="CJ65" s="94" t="str">
        <f>IF(BJ65=".",".",s_RadSpec!$F$21*(CJ21*$B65))</f>
        <v>.</v>
      </c>
      <c r="CK65" s="94" t="str">
        <f>IF(BK65=".",".",s_RadSpec!$F$21*(CK21*$B65))</f>
        <v>.</v>
      </c>
      <c r="CL65" s="94" t="str">
        <f>IF(BL65=".",".",s_RadSpec!$F$21*(CL21*$B65))</f>
        <v>.</v>
      </c>
      <c r="CM65" s="94" t="str">
        <f>IF(BM65=".",".",s_RadSpec!$F$21*(CM21*$B65))</f>
        <v>.</v>
      </c>
      <c r="CN65" s="94" t="str">
        <f>IF(BN65=".",".",s_RadSpec!$F$21*(CN21*$B65))</f>
        <v>.</v>
      </c>
      <c r="CO65" s="94" t="str">
        <f>IF(BO65=".",".",s_RadSpec!$F$21*(CO21*$B65))</f>
        <v>.</v>
      </c>
      <c r="CP65" s="94" t="str">
        <f>IF(BP65=".",".",s_RadSpec!$F$21*(CP21*$B65))</f>
        <v>.</v>
      </c>
      <c r="CQ65" s="94" t="str">
        <f>IF(BQ65=".",".",s_RadSpec!$F$21*(CQ21*$B65))</f>
        <v>.</v>
      </c>
      <c r="CR65" s="94" t="str">
        <f>IF(BR65=".",".",s_RadSpec!$F$21*(CR21*$B65))</f>
        <v>.</v>
      </c>
      <c r="CS65" s="94" t="str">
        <f>IF(BS65=".",".",s_RadSpec!$F$21*(CS21*$B65))</f>
        <v>.</v>
      </c>
      <c r="CT65" s="94" t="str">
        <f>IF(BT65=".",".",s_RadSpec!$F$21*(CT21*$B65))</f>
        <v>.</v>
      </c>
      <c r="CU65" s="94" t="str">
        <f>IF(BU65=".",".",s_RadSpec!$F$21*(CU21*$B65))</f>
        <v>.</v>
      </c>
      <c r="CV65" s="94" t="str">
        <f>IF(BV65=".",".",s_RadSpec!$F$21*(CV21*$B65))</f>
        <v>.</v>
      </c>
      <c r="CW65" s="94" t="str">
        <f>IF(BW65=".",".",s_RadSpec!$F$21*(CW21*$B65))</f>
        <v>.</v>
      </c>
      <c r="CX65" s="94" t="str">
        <f>IF(BX65=".",".",s_RadSpec!$F$21*(CX21*$B65))</f>
        <v>.</v>
      </c>
      <c r="CY65" s="94" t="str">
        <f>IF(BY65=".",".",s_RadSpec!$F$21*(CY21*$B65))</f>
        <v>.</v>
      </c>
      <c r="CZ65" s="94" t="str">
        <f>IF(BZ65=".",".",s_RadSpec!$F$21*(CZ21*$B65))</f>
        <v>.</v>
      </c>
      <c r="DA65" s="94" t="str">
        <f>IF(CA65=".",".",s_RadSpec!$F$21*(DA21*$B65))</f>
        <v>.</v>
      </c>
      <c r="DB65" s="94" t="str">
        <f>IF(CB65=".",".",s_RadSpec!$F$21*(DB21*$B65))</f>
        <v>.</v>
      </c>
    </row>
    <row r="66" spans="1:106" x14ac:dyDescent="0.25">
      <c r="A66" s="77" t="s">
        <v>1060</v>
      </c>
      <c r="B66" s="79">
        <v>0.99980000000000002</v>
      </c>
      <c r="C66" s="60">
        <f t="shared" ref="C66:AB66" si="86">IFERROR(C17/$B52,".")</f>
        <v>49735.562614441842</v>
      </c>
      <c r="D66" s="60">
        <f t="shared" si="86"/>
        <v>191090.38078544487</v>
      </c>
      <c r="E66" s="60">
        <f t="shared" si="86"/>
        <v>48028.063619871165</v>
      </c>
      <c r="F66" s="60">
        <f t="shared" si="86"/>
        <v>157565.7525774721</v>
      </c>
      <c r="G66" s="60">
        <f t="shared" si="86"/>
        <v>191090.38078544487</v>
      </c>
      <c r="H66" s="60">
        <f t="shared" si="86"/>
        <v>157565.7525774721</v>
      </c>
      <c r="I66" s="60">
        <f t="shared" si="86"/>
        <v>48028.063619871165</v>
      </c>
      <c r="J66" s="60">
        <f t="shared" si="86"/>
        <v>157565.7525774721</v>
      </c>
      <c r="K66" s="60">
        <f t="shared" si="86"/>
        <v>191090.38078544487</v>
      </c>
      <c r="L66" s="60">
        <f t="shared" si="86"/>
        <v>305484.62234407855</v>
      </c>
      <c r="M66" s="60">
        <f t="shared" si="86"/>
        <v>157565.7525774721</v>
      </c>
      <c r="N66" s="60">
        <f t="shared" si="86"/>
        <v>48028.063619871165</v>
      </c>
      <c r="O66" s="60">
        <f t="shared" si="86"/>
        <v>238862.97598180606</v>
      </c>
      <c r="P66" s="60">
        <f t="shared" si="86"/>
        <v>157565.7525774721</v>
      </c>
      <c r="Q66" s="60">
        <f t="shared" si="86"/>
        <v>157565.7525774721</v>
      </c>
      <c r="R66" s="60">
        <f t="shared" si="86"/>
        <v>191090.38078544487</v>
      </c>
      <c r="S66" s="60">
        <f t="shared" si="86"/>
        <v>191090.38078544487</v>
      </c>
      <c r="T66" s="60">
        <f t="shared" si="86"/>
        <v>238862.97598180606</v>
      </c>
      <c r="U66" s="60">
        <f t="shared" si="86"/>
        <v>157565.7525774721</v>
      </c>
      <c r="V66" s="60">
        <f t="shared" si="86"/>
        <v>299374.92989719694</v>
      </c>
      <c r="W66" s="60">
        <f t="shared" si="86"/>
        <v>157565.7525774721</v>
      </c>
      <c r="X66" s="60">
        <f t="shared" si="86"/>
        <v>238862.97598180606</v>
      </c>
      <c r="Y66" s="60">
        <f t="shared" si="86"/>
        <v>191090.38078544487</v>
      </c>
      <c r="Z66" s="60">
        <f t="shared" si="86"/>
        <v>157565.7525774721</v>
      </c>
      <c r="AA66" s="60">
        <f t="shared" si="86"/>
        <v>325643.50605206343</v>
      </c>
      <c r="AB66" s="60">
        <f t="shared" si="86"/>
        <v>183290.77340644712</v>
      </c>
      <c r="AC66" s="94">
        <f t="shared" si="81"/>
        <v>5.0265843364041254E-4</v>
      </c>
      <c r="AD66" s="94">
        <f>IF(D66=".",".",s_RadSpec!$F$17*(AD17*$B66))</f>
        <v>1.3082814476187503E-4</v>
      </c>
      <c r="AE66" s="94">
        <f>IF(E66=".",".",s_RadSpec!$F$17*(AE17*$B66))</f>
        <v>5.205290014993751E-4</v>
      </c>
      <c r="AF66" s="94">
        <f>IF(F66=".",".",s_RadSpec!$F$17*(AF17*$B66))</f>
        <v>1.58663920243125E-4</v>
      </c>
      <c r="AG66" s="94">
        <f>IF(G66=".",".",s_RadSpec!$F$17*(AG17*$B66))</f>
        <v>1.3082814476187503E-4</v>
      </c>
      <c r="AH66" s="94">
        <f>IF(H66=".",".",s_RadSpec!$F$17*(AH17*$B66))</f>
        <v>1.58663920243125E-4</v>
      </c>
      <c r="AI66" s="94">
        <f>IF(I66=".",".",s_RadSpec!$F$17*(AI17*$B66))</f>
        <v>5.205290014993751E-4</v>
      </c>
      <c r="AJ66" s="94">
        <f>IF(J66=".",".",s_RadSpec!$F$17*(AJ17*$B66))</f>
        <v>1.58663920243125E-4</v>
      </c>
      <c r="AK66" s="94">
        <f>IF(K66=".",".",s_RadSpec!$F$17*(AK17*$B66))</f>
        <v>1.3082814476187503E-4</v>
      </c>
      <c r="AL66" s="94">
        <f>IF(L66=".",".",s_RadSpec!$F$17*(AL17*$B66))</f>
        <v>8.1837179914875E-5</v>
      </c>
      <c r="AM66" s="94">
        <f>IF(M66=".",".",s_RadSpec!$F$17*(AM17*$B66))</f>
        <v>1.58663920243125E-4</v>
      </c>
      <c r="AN66" s="94">
        <f>IF(N66=".",".",s_RadSpec!$F$17*(AN17*$B66))</f>
        <v>5.205290014993751E-4</v>
      </c>
      <c r="AO66" s="94">
        <f>IF(O66=".",".",s_RadSpec!$F$17*(AO17*$B66))</f>
        <v>1.0466251580950002E-4</v>
      </c>
      <c r="AP66" s="94">
        <f>IF(P66=".",".",s_RadSpec!$F$17*(AP17*$B66))</f>
        <v>1.58663920243125E-4</v>
      </c>
      <c r="AQ66" s="94">
        <f>IF(Q66=".",".",s_RadSpec!$F$17*(AQ17*$B66))</f>
        <v>1.58663920243125E-4</v>
      </c>
      <c r="AR66" s="94">
        <f>IF(R66=".",".",s_RadSpec!$F$17*(AR17*$B66))</f>
        <v>1.3082814476187503E-4</v>
      </c>
      <c r="AS66" s="94">
        <f>IF(S66=".",".",s_RadSpec!$F$17*(AS17*$B66))</f>
        <v>1.3082814476187503E-4</v>
      </c>
      <c r="AT66" s="94">
        <f>IF(T66=".",".",s_RadSpec!$F$17*(AT17*$B66))</f>
        <v>1.0466251580950002E-4</v>
      </c>
      <c r="AU66" s="94">
        <f>IF(U66=".",".",s_RadSpec!$F$17*(AU17*$B66))</f>
        <v>1.58663920243125E-4</v>
      </c>
      <c r="AV66" s="94">
        <f>IF(V66=".",".",s_RadSpec!$F$17*(AV17*$B66))</f>
        <v>8.3507326443750001E-5</v>
      </c>
      <c r="AW66" s="94">
        <f>IF(W66=".",".",s_RadSpec!$F$17*(AW17*$B66))</f>
        <v>1.58663920243125E-4</v>
      </c>
      <c r="AX66" s="94">
        <f>IF(X66=".",".",s_RadSpec!$F$17*(AX17*$B66))</f>
        <v>1.0466251580950002E-4</v>
      </c>
      <c r="AY66" s="94">
        <f>IF(Y66=".",".",s_RadSpec!$F$17*(AY17*$B66))</f>
        <v>1.3082814476187503E-4</v>
      </c>
      <c r="AZ66" s="94">
        <f>IF(Z66=".",".",s_RadSpec!$F$17*(AZ17*$B66))</f>
        <v>1.58663920243125E-4</v>
      </c>
      <c r="BA66" s="94">
        <f>IF(AA66=".",".",s_RadSpec!$F$17*(BA17*$B66))</f>
        <v>7.6771068777287509E-5</v>
      </c>
      <c r="BB66" s="94">
        <f>IF(AB66=".",".",s_RadSpec!$F$17*(BB17*$B66))</f>
        <v>1.36395299858125E-4</v>
      </c>
      <c r="BC66" s="60">
        <f t="shared" ref="BC66:CB66" si="87">IFERROR(BC17/$B52,".")</f>
        <v>49735.562614441842</v>
      </c>
      <c r="BD66" s="60">
        <f t="shared" si="87"/>
        <v>191090.38078544487</v>
      </c>
      <c r="BE66" s="60">
        <f t="shared" si="87"/>
        <v>48028.063619871165</v>
      </c>
      <c r="BF66" s="60">
        <f t="shared" si="87"/>
        <v>157565.7525774721</v>
      </c>
      <c r="BG66" s="60">
        <f t="shared" si="87"/>
        <v>191090.38078544487</v>
      </c>
      <c r="BH66" s="60">
        <f t="shared" si="87"/>
        <v>157565.7525774721</v>
      </c>
      <c r="BI66" s="60">
        <f t="shared" si="87"/>
        <v>48028.063619871165</v>
      </c>
      <c r="BJ66" s="60">
        <f t="shared" si="87"/>
        <v>157565.7525774721</v>
      </c>
      <c r="BK66" s="60">
        <f t="shared" si="87"/>
        <v>191090.38078544487</v>
      </c>
      <c r="BL66" s="60">
        <f t="shared" si="87"/>
        <v>305484.62234407855</v>
      </c>
      <c r="BM66" s="60">
        <f t="shared" si="87"/>
        <v>157565.7525774721</v>
      </c>
      <c r="BN66" s="60">
        <f t="shared" si="87"/>
        <v>48028.063619871165</v>
      </c>
      <c r="BO66" s="60">
        <f t="shared" si="87"/>
        <v>238862.97598180606</v>
      </c>
      <c r="BP66" s="60">
        <f t="shared" si="87"/>
        <v>157565.7525774721</v>
      </c>
      <c r="BQ66" s="60">
        <f t="shared" si="87"/>
        <v>157565.7525774721</v>
      </c>
      <c r="BR66" s="60">
        <f t="shared" si="87"/>
        <v>191090.38078544487</v>
      </c>
      <c r="BS66" s="60">
        <f t="shared" si="87"/>
        <v>191090.38078544487</v>
      </c>
      <c r="BT66" s="60">
        <f t="shared" si="87"/>
        <v>238862.97598180606</v>
      </c>
      <c r="BU66" s="60">
        <f t="shared" si="87"/>
        <v>157565.7525774721</v>
      </c>
      <c r="BV66" s="60">
        <f t="shared" si="87"/>
        <v>299374.92989719694</v>
      </c>
      <c r="BW66" s="60">
        <f t="shared" si="87"/>
        <v>157565.7525774721</v>
      </c>
      <c r="BX66" s="60">
        <f t="shared" si="87"/>
        <v>238862.97598180606</v>
      </c>
      <c r="BY66" s="60">
        <f t="shared" si="87"/>
        <v>191090.38078544487</v>
      </c>
      <c r="BZ66" s="60">
        <f t="shared" si="87"/>
        <v>157565.7525774721</v>
      </c>
      <c r="CA66" s="60">
        <f t="shared" si="87"/>
        <v>325643.50605206343</v>
      </c>
      <c r="CB66" s="60">
        <f t="shared" si="87"/>
        <v>183290.77340644712</v>
      </c>
      <c r="CC66" s="94">
        <f t="shared" si="83"/>
        <v>5.0265843364041254E-4</v>
      </c>
      <c r="CD66" s="94">
        <f>IF(BD66=".",".",s_RadSpec!$F$17*(CD17*$B66))</f>
        <v>1.3082814476187503E-4</v>
      </c>
      <c r="CE66" s="94">
        <f>IF(BE66=".",".",s_RadSpec!$F$17*(CE17*$B66))</f>
        <v>5.205290014993751E-4</v>
      </c>
      <c r="CF66" s="94">
        <f>IF(BF66=".",".",s_RadSpec!$F$17*(CF17*$B66))</f>
        <v>1.58663920243125E-4</v>
      </c>
      <c r="CG66" s="94">
        <f>IF(BG66=".",".",s_RadSpec!$F$17*(CG17*$B66))</f>
        <v>1.3082814476187503E-4</v>
      </c>
      <c r="CH66" s="94">
        <f>IF(BH66=".",".",s_RadSpec!$F$17*(CH17*$B66))</f>
        <v>1.58663920243125E-4</v>
      </c>
      <c r="CI66" s="94">
        <f>IF(BI66=".",".",s_RadSpec!$F$17*(CI17*$B66))</f>
        <v>5.205290014993751E-4</v>
      </c>
      <c r="CJ66" s="94">
        <f>IF(BJ66=".",".",s_RadSpec!$F$17*(CJ17*$B66))</f>
        <v>1.58663920243125E-4</v>
      </c>
      <c r="CK66" s="94">
        <f>IF(BK66=".",".",s_RadSpec!$F$17*(CK17*$B66))</f>
        <v>1.3082814476187503E-4</v>
      </c>
      <c r="CL66" s="94">
        <f>IF(BL66=".",".",s_RadSpec!$F$17*(CL17*$B66))</f>
        <v>8.1837179914875E-5</v>
      </c>
      <c r="CM66" s="94">
        <f>IF(BM66=".",".",s_RadSpec!$F$17*(CM17*$B66))</f>
        <v>1.58663920243125E-4</v>
      </c>
      <c r="CN66" s="94">
        <f>IF(BN66=".",".",s_RadSpec!$F$17*(CN17*$B66))</f>
        <v>5.205290014993751E-4</v>
      </c>
      <c r="CO66" s="94">
        <f>IF(BO66=".",".",s_RadSpec!$F$17*(CO17*$B66))</f>
        <v>1.0466251580950002E-4</v>
      </c>
      <c r="CP66" s="94">
        <f>IF(BP66=".",".",s_RadSpec!$F$17*(CP17*$B66))</f>
        <v>1.58663920243125E-4</v>
      </c>
      <c r="CQ66" s="94">
        <f>IF(BQ66=".",".",s_RadSpec!$F$17*(CQ17*$B66))</f>
        <v>1.58663920243125E-4</v>
      </c>
      <c r="CR66" s="94">
        <f>IF(BR66=".",".",s_RadSpec!$F$17*(CR17*$B66))</f>
        <v>1.3082814476187503E-4</v>
      </c>
      <c r="CS66" s="94">
        <f>IF(BS66=".",".",s_RadSpec!$F$17*(CS17*$B66))</f>
        <v>1.3082814476187503E-4</v>
      </c>
      <c r="CT66" s="94">
        <f>IF(BT66=".",".",s_RadSpec!$F$17*(CT17*$B66))</f>
        <v>1.0466251580950002E-4</v>
      </c>
      <c r="CU66" s="94">
        <f>IF(BU66=".",".",s_RadSpec!$F$17*(CU17*$B66))</f>
        <v>1.58663920243125E-4</v>
      </c>
      <c r="CV66" s="94">
        <f>IF(BV66=".",".",s_RadSpec!$F$17*(CV17*$B66))</f>
        <v>8.3507326443750001E-5</v>
      </c>
      <c r="CW66" s="94">
        <f>IF(BW66=".",".",s_RadSpec!$F$17*(CW17*$B66))</f>
        <v>1.58663920243125E-4</v>
      </c>
      <c r="CX66" s="94">
        <f>IF(BX66=".",".",s_RadSpec!$F$17*(CX17*$B66))</f>
        <v>1.0466251580950002E-4</v>
      </c>
      <c r="CY66" s="94">
        <f>IF(BY66=".",".",s_RadSpec!$F$17*(CY17*$B66))</f>
        <v>1.3082814476187503E-4</v>
      </c>
      <c r="CZ66" s="94">
        <f>IF(BZ66=".",".",s_RadSpec!$F$17*(CZ17*$B66))</f>
        <v>1.58663920243125E-4</v>
      </c>
      <c r="DA66" s="94">
        <f>IF(CA66=".",".",s_RadSpec!$F$17*(DA17*$B66))</f>
        <v>7.6771068777287509E-5</v>
      </c>
      <c r="DB66" s="94">
        <f>IF(CB66=".",".",s_RadSpec!$F$17*(DB17*$B66))</f>
        <v>1.36395299858125E-4</v>
      </c>
    </row>
    <row r="67" spans="1:106" x14ac:dyDescent="0.25">
      <c r="A67" s="77" t="s">
        <v>1074</v>
      </c>
      <c r="B67" s="42">
        <v>2.0000000000000001E-4</v>
      </c>
      <c r="C67" s="60" t="str">
        <f t="shared" ref="C67:AB67" si="88">IFERROR(C5/$B53,".")</f>
        <v>.</v>
      </c>
      <c r="D67" s="60" t="str">
        <f t="shared" si="88"/>
        <v>.</v>
      </c>
      <c r="E67" s="60" t="str">
        <f t="shared" si="88"/>
        <v>.</v>
      </c>
      <c r="F67" s="60" t="str">
        <f t="shared" si="88"/>
        <v>.</v>
      </c>
      <c r="G67" s="60" t="str">
        <f t="shared" si="88"/>
        <v>.</v>
      </c>
      <c r="H67" s="60" t="str">
        <f t="shared" si="88"/>
        <v>.</v>
      </c>
      <c r="I67" s="60" t="str">
        <f t="shared" si="88"/>
        <v>.</v>
      </c>
      <c r="J67" s="60" t="str">
        <f t="shared" si="88"/>
        <v>.</v>
      </c>
      <c r="K67" s="60" t="str">
        <f t="shared" si="88"/>
        <v>.</v>
      </c>
      <c r="L67" s="60" t="str">
        <f t="shared" si="88"/>
        <v>.</v>
      </c>
      <c r="M67" s="60" t="str">
        <f t="shared" si="88"/>
        <v>.</v>
      </c>
      <c r="N67" s="60" t="str">
        <f t="shared" si="88"/>
        <v>.</v>
      </c>
      <c r="O67" s="60" t="str">
        <f t="shared" si="88"/>
        <v>.</v>
      </c>
      <c r="P67" s="60" t="str">
        <f t="shared" si="88"/>
        <v>.</v>
      </c>
      <c r="Q67" s="60" t="str">
        <f t="shared" si="88"/>
        <v>.</v>
      </c>
      <c r="R67" s="60" t="str">
        <f t="shared" si="88"/>
        <v>.</v>
      </c>
      <c r="S67" s="60" t="str">
        <f t="shared" si="88"/>
        <v>.</v>
      </c>
      <c r="T67" s="60" t="str">
        <f t="shared" si="88"/>
        <v>.</v>
      </c>
      <c r="U67" s="60" t="str">
        <f t="shared" si="88"/>
        <v>.</v>
      </c>
      <c r="V67" s="60" t="str">
        <f t="shared" si="88"/>
        <v>.</v>
      </c>
      <c r="W67" s="60" t="str">
        <f t="shared" si="88"/>
        <v>.</v>
      </c>
      <c r="X67" s="60" t="str">
        <f t="shared" si="88"/>
        <v>.</v>
      </c>
      <c r="Y67" s="60" t="str">
        <f t="shared" si="88"/>
        <v>.</v>
      </c>
      <c r="Z67" s="60" t="str">
        <f t="shared" si="88"/>
        <v>.</v>
      </c>
      <c r="AA67" s="60" t="str">
        <f t="shared" si="88"/>
        <v>.</v>
      </c>
      <c r="AB67" s="60" t="str">
        <f t="shared" si="88"/>
        <v>.</v>
      </c>
      <c r="AC67" s="94" t="str">
        <f t="shared" si="81"/>
        <v>.</v>
      </c>
      <c r="AD67" s="94" t="str">
        <f>IF(D67=".",".",s_RadSpec!$F$5*(AD5*$B67))</f>
        <v>.</v>
      </c>
      <c r="AE67" s="94" t="str">
        <f>IF(E67=".",".",s_RadSpec!$F$5*(AE5*$B67))</f>
        <v>.</v>
      </c>
      <c r="AF67" s="94" t="str">
        <f>IF(F67=".",".",s_RadSpec!$F$5*(AF5*$B67))</f>
        <v>.</v>
      </c>
      <c r="AG67" s="94" t="str">
        <f>IF(G67=".",".",s_RadSpec!$F$5*(AG5*$B67))</f>
        <v>.</v>
      </c>
      <c r="AH67" s="94" t="str">
        <f>IF(H67=".",".",s_RadSpec!$F$5*(AH5*$B67))</f>
        <v>.</v>
      </c>
      <c r="AI67" s="94" t="str">
        <f>IF(I67=".",".",s_RadSpec!$F$5*(AI5*$B67))</f>
        <v>.</v>
      </c>
      <c r="AJ67" s="94" t="str">
        <f>IF(J67=".",".",s_RadSpec!$F$5*(AJ5*$B67))</f>
        <v>.</v>
      </c>
      <c r="AK67" s="94" t="str">
        <f>IF(K67=".",".",s_RadSpec!$F$5*(AK5*$B67))</f>
        <v>.</v>
      </c>
      <c r="AL67" s="94" t="str">
        <f>IF(L67=".",".",s_RadSpec!$F$5*(AL5*$B67))</f>
        <v>.</v>
      </c>
      <c r="AM67" s="94" t="str">
        <f>IF(M67=".",".",s_RadSpec!$F$5*(AM5*$B67))</f>
        <v>.</v>
      </c>
      <c r="AN67" s="94" t="str">
        <f>IF(N67=".",".",s_RadSpec!$F$5*(AN5*$B67))</f>
        <v>.</v>
      </c>
      <c r="AO67" s="94" t="str">
        <f>IF(O67=".",".",s_RadSpec!$F$5*(AO5*$B67))</f>
        <v>.</v>
      </c>
      <c r="AP67" s="94" t="str">
        <f>IF(P67=".",".",s_RadSpec!$F$5*(AP5*$B67))</f>
        <v>.</v>
      </c>
      <c r="AQ67" s="94" t="str">
        <f>IF(Q67=".",".",s_RadSpec!$F$5*(AQ5*$B67))</f>
        <v>.</v>
      </c>
      <c r="AR67" s="94" t="str">
        <f>IF(R67=".",".",s_RadSpec!$F$5*(AR5*$B67))</f>
        <v>.</v>
      </c>
      <c r="AS67" s="94" t="str">
        <f>IF(S67=".",".",s_RadSpec!$F$5*(AS5*$B67))</f>
        <v>.</v>
      </c>
      <c r="AT67" s="94" t="str">
        <f>IF(T67=".",".",s_RadSpec!$F$5*(AT5*$B67))</f>
        <v>.</v>
      </c>
      <c r="AU67" s="94" t="str">
        <f>IF(U67=".",".",s_RadSpec!$F$5*(AU5*$B67))</f>
        <v>.</v>
      </c>
      <c r="AV67" s="94" t="str">
        <f>IF(V67=".",".",s_RadSpec!$F$5*(AV5*$B67))</f>
        <v>.</v>
      </c>
      <c r="AW67" s="94" t="str">
        <f>IF(W67=".",".",s_RadSpec!$F$5*(AW5*$B67))</f>
        <v>.</v>
      </c>
      <c r="AX67" s="94" t="str">
        <f>IF(X67=".",".",s_RadSpec!$F$5*(AX5*$B67))</f>
        <v>.</v>
      </c>
      <c r="AY67" s="94" t="str">
        <f>IF(Y67=".",".",s_RadSpec!$F$5*(AY5*$B67))</f>
        <v>.</v>
      </c>
      <c r="AZ67" s="94" t="str">
        <f>IF(Z67=".",".",s_RadSpec!$F$5*(AZ5*$B67))</f>
        <v>.</v>
      </c>
      <c r="BA67" s="94" t="str">
        <f>IF(AA67=".",".",s_RadSpec!$F$5*(BA5*$B67))</f>
        <v>.</v>
      </c>
      <c r="BB67" s="94" t="str">
        <f>IF(AB67=".",".",s_RadSpec!$F$5*(BB5*$B67))</f>
        <v>.</v>
      </c>
      <c r="BC67" s="60" t="str">
        <f t="shared" ref="BC67:CB67" si="89">IFERROR(BC5/$B53,".")</f>
        <v>.</v>
      </c>
      <c r="BD67" s="60" t="str">
        <f t="shared" si="89"/>
        <v>.</v>
      </c>
      <c r="BE67" s="60" t="str">
        <f t="shared" si="89"/>
        <v>.</v>
      </c>
      <c r="BF67" s="60" t="str">
        <f t="shared" si="89"/>
        <v>.</v>
      </c>
      <c r="BG67" s="60" t="str">
        <f t="shared" si="89"/>
        <v>.</v>
      </c>
      <c r="BH67" s="60" t="str">
        <f t="shared" si="89"/>
        <v>.</v>
      </c>
      <c r="BI67" s="60" t="str">
        <f t="shared" si="89"/>
        <v>.</v>
      </c>
      <c r="BJ67" s="60" t="str">
        <f t="shared" si="89"/>
        <v>.</v>
      </c>
      <c r="BK67" s="60" t="str">
        <f t="shared" si="89"/>
        <v>.</v>
      </c>
      <c r="BL67" s="60" t="str">
        <f t="shared" si="89"/>
        <v>.</v>
      </c>
      <c r="BM67" s="60" t="str">
        <f t="shared" si="89"/>
        <v>.</v>
      </c>
      <c r="BN67" s="60" t="str">
        <f t="shared" si="89"/>
        <v>.</v>
      </c>
      <c r="BO67" s="60" t="str">
        <f t="shared" si="89"/>
        <v>.</v>
      </c>
      <c r="BP67" s="60" t="str">
        <f t="shared" si="89"/>
        <v>.</v>
      </c>
      <c r="BQ67" s="60" t="str">
        <f t="shared" si="89"/>
        <v>.</v>
      </c>
      <c r="BR67" s="60" t="str">
        <f t="shared" si="89"/>
        <v>.</v>
      </c>
      <c r="BS67" s="60" t="str">
        <f t="shared" si="89"/>
        <v>.</v>
      </c>
      <c r="BT67" s="60" t="str">
        <f t="shared" si="89"/>
        <v>.</v>
      </c>
      <c r="BU67" s="60" t="str">
        <f t="shared" si="89"/>
        <v>.</v>
      </c>
      <c r="BV67" s="60" t="str">
        <f t="shared" si="89"/>
        <v>.</v>
      </c>
      <c r="BW67" s="60" t="str">
        <f t="shared" si="89"/>
        <v>.</v>
      </c>
      <c r="BX67" s="60" t="str">
        <f t="shared" si="89"/>
        <v>.</v>
      </c>
      <c r="BY67" s="60" t="str">
        <f t="shared" si="89"/>
        <v>.</v>
      </c>
      <c r="BZ67" s="60" t="str">
        <f t="shared" si="89"/>
        <v>.</v>
      </c>
      <c r="CA67" s="60" t="str">
        <f t="shared" si="89"/>
        <v>.</v>
      </c>
      <c r="CB67" s="60" t="str">
        <f t="shared" si="89"/>
        <v>.</v>
      </c>
      <c r="CC67" s="94" t="str">
        <f t="shared" si="83"/>
        <v>.</v>
      </c>
      <c r="CD67" s="94" t="str">
        <f>IF(BD67=".",".",s_RadSpec!$F$5*(CD5*$B67))</f>
        <v>.</v>
      </c>
      <c r="CE67" s="94" t="str">
        <f>IF(BE67=".",".",s_RadSpec!$F$5*(CE5*$B67))</f>
        <v>.</v>
      </c>
      <c r="CF67" s="94" t="str">
        <f>IF(BF67=".",".",s_RadSpec!$F$5*(CF5*$B67))</f>
        <v>.</v>
      </c>
      <c r="CG67" s="94" t="str">
        <f>IF(BG67=".",".",s_RadSpec!$F$5*(CG5*$B67))</f>
        <v>.</v>
      </c>
      <c r="CH67" s="94" t="str">
        <f>IF(BH67=".",".",s_RadSpec!$F$5*(CH5*$B67))</f>
        <v>.</v>
      </c>
      <c r="CI67" s="94" t="str">
        <f>IF(BI67=".",".",s_RadSpec!$F$5*(CI5*$B67))</f>
        <v>.</v>
      </c>
      <c r="CJ67" s="94" t="str">
        <f>IF(BJ67=".",".",s_RadSpec!$F$5*(CJ5*$B67))</f>
        <v>.</v>
      </c>
      <c r="CK67" s="94" t="str">
        <f>IF(BK67=".",".",s_RadSpec!$F$5*(CK5*$B67))</f>
        <v>.</v>
      </c>
      <c r="CL67" s="94" t="str">
        <f>IF(BL67=".",".",s_RadSpec!$F$5*(CL5*$B67))</f>
        <v>.</v>
      </c>
      <c r="CM67" s="94" t="str">
        <f>IF(BM67=".",".",s_RadSpec!$F$5*(CM5*$B67))</f>
        <v>.</v>
      </c>
      <c r="CN67" s="94" t="str">
        <f>IF(BN67=".",".",s_RadSpec!$F$5*(CN5*$B67))</f>
        <v>.</v>
      </c>
      <c r="CO67" s="94" t="str">
        <f>IF(BO67=".",".",s_RadSpec!$F$5*(CO5*$B67))</f>
        <v>.</v>
      </c>
      <c r="CP67" s="94" t="str">
        <f>IF(BP67=".",".",s_RadSpec!$F$5*(CP5*$B67))</f>
        <v>.</v>
      </c>
      <c r="CQ67" s="94" t="str">
        <f>IF(BQ67=".",".",s_RadSpec!$F$5*(CQ5*$B67))</f>
        <v>.</v>
      </c>
      <c r="CR67" s="94" t="str">
        <f>IF(BR67=".",".",s_RadSpec!$F$5*(CR5*$B67))</f>
        <v>.</v>
      </c>
      <c r="CS67" s="94" t="str">
        <f>IF(BS67=".",".",s_RadSpec!$F$5*(CS5*$B67))</f>
        <v>.</v>
      </c>
      <c r="CT67" s="94" t="str">
        <f>IF(BT67=".",".",s_RadSpec!$F$5*(CT5*$B67))</f>
        <v>.</v>
      </c>
      <c r="CU67" s="94" t="str">
        <f>IF(BU67=".",".",s_RadSpec!$F$5*(CU5*$B67))</f>
        <v>.</v>
      </c>
      <c r="CV67" s="94" t="str">
        <f>IF(BV67=".",".",s_RadSpec!$F$5*(CV5*$B67))</f>
        <v>.</v>
      </c>
      <c r="CW67" s="94" t="str">
        <f>IF(BW67=".",".",s_RadSpec!$F$5*(CW5*$B67))</f>
        <v>.</v>
      </c>
      <c r="CX67" s="94" t="str">
        <f>IF(BX67=".",".",s_RadSpec!$F$5*(CX5*$B67))</f>
        <v>.</v>
      </c>
      <c r="CY67" s="94" t="str">
        <f>IF(BY67=".",".",s_RadSpec!$F$5*(CY5*$B67))</f>
        <v>.</v>
      </c>
      <c r="CZ67" s="94" t="str">
        <f>IF(BZ67=".",".",s_RadSpec!$F$5*(CZ5*$B67))</f>
        <v>.</v>
      </c>
      <c r="DA67" s="94" t="str">
        <f>IF(CA67=".",".",s_RadSpec!$F$5*(DA5*$B67))</f>
        <v>.</v>
      </c>
      <c r="DB67" s="94" t="str">
        <f>IF(CB67=".",".",s_RadSpec!$F$5*(DB5*$B67))</f>
        <v>.</v>
      </c>
    </row>
    <row r="68" spans="1:106" x14ac:dyDescent="0.25">
      <c r="A68" s="77" t="s">
        <v>1075</v>
      </c>
      <c r="B68" s="42">
        <v>0.99999979999999999</v>
      </c>
      <c r="C68" s="60">
        <f t="shared" ref="C68:AB68" si="90">IFERROR(C9/$B54,".")</f>
        <v>13207.811512892233</v>
      </c>
      <c r="D68" s="60">
        <f t="shared" si="90"/>
        <v>52831.246051568924</v>
      </c>
      <c r="E68" s="60">
        <f t="shared" si="90"/>
        <v>52831.246051568924</v>
      </c>
      <c r="F68" s="60">
        <f t="shared" si="90"/>
        <v>52831.246051568924</v>
      </c>
      <c r="G68" s="60">
        <f t="shared" si="90"/>
        <v>52831.246051568924</v>
      </c>
      <c r="H68" s="60">
        <f t="shared" si="90"/>
        <v>52831.246051568924</v>
      </c>
      <c r="I68" s="60">
        <f t="shared" si="90"/>
        <v>52831.246051568924</v>
      </c>
      <c r="J68" s="60">
        <f t="shared" si="90"/>
        <v>52831.246051568924</v>
      </c>
      <c r="K68" s="60">
        <f t="shared" si="90"/>
        <v>52831.246051568924</v>
      </c>
      <c r="L68" s="60">
        <f t="shared" si="90"/>
        <v>52831.246051568924</v>
      </c>
      <c r="M68" s="60">
        <f t="shared" si="90"/>
        <v>52831.246051568924</v>
      </c>
      <c r="N68" s="60">
        <f t="shared" si="90"/>
        <v>52831.246051568924</v>
      </c>
      <c r="O68" s="60">
        <f t="shared" si="90"/>
        <v>52831.246051568924</v>
      </c>
      <c r="P68" s="60">
        <f t="shared" si="90"/>
        <v>52831.246051568924</v>
      </c>
      <c r="Q68" s="60">
        <f t="shared" si="90"/>
        <v>52831.246051568924</v>
      </c>
      <c r="R68" s="60">
        <f t="shared" si="90"/>
        <v>52831.246051568924</v>
      </c>
      <c r="S68" s="60">
        <f t="shared" si="90"/>
        <v>52831.246051568924</v>
      </c>
      <c r="T68" s="60">
        <f t="shared" si="90"/>
        <v>52831.246051568924</v>
      </c>
      <c r="U68" s="60">
        <f t="shared" si="90"/>
        <v>52831.246051568924</v>
      </c>
      <c r="V68" s="60">
        <f t="shared" si="90"/>
        <v>52831.246051568924</v>
      </c>
      <c r="W68" s="60">
        <f t="shared" si="90"/>
        <v>52831.246051568924</v>
      </c>
      <c r="X68" s="60">
        <f t="shared" si="90"/>
        <v>52831.246051568924</v>
      </c>
      <c r="Y68" s="60">
        <f t="shared" si="90"/>
        <v>52831.246051568924</v>
      </c>
      <c r="Z68" s="60">
        <f t="shared" si="90"/>
        <v>52831.246051568924</v>
      </c>
      <c r="AA68" s="60">
        <f t="shared" si="90"/>
        <v>52831.246051568924</v>
      </c>
      <c r="AB68" s="60">
        <f t="shared" si="90"/>
        <v>52831.246051568924</v>
      </c>
      <c r="AC68" s="94">
        <f t="shared" si="81"/>
        <v>1.8928192589360725E-3</v>
      </c>
      <c r="AD68" s="94">
        <f>IF(D68=".",".",s_RadSpec!$F$9*(AD9*$B68))</f>
        <v>4.7320481473401812E-4</v>
      </c>
      <c r="AE68" s="94">
        <f>IF(E68=".",".",s_RadSpec!$F$9*(AE9*$B68))</f>
        <v>4.7320481473401812E-4</v>
      </c>
      <c r="AF68" s="94">
        <f>IF(F68=".",".",s_RadSpec!$F$9*(AF9*$B68))</f>
        <v>4.7320481473401812E-4</v>
      </c>
      <c r="AG68" s="94">
        <f>IF(G68=".",".",s_RadSpec!$F$9*(AG9*$B68))</f>
        <v>4.7320481473401812E-4</v>
      </c>
      <c r="AH68" s="94">
        <f>IF(H68=".",".",s_RadSpec!$F$9*(AH9*$B68))</f>
        <v>4.7320481473401812E-4</v>
      </c>
      <c r="AI68" s="94">
        <f>IF(I68=".",".",s_RadSpec!$F$9*(AI9*$B68))</f>
        <v>4.7320481473401812E-4</v>
      </c>
      <c r="AJ68" s="94">
        <f>IF(J68=".",".",s_RadSpec!$F$9*(AJ9*$B68))</f>
        <v>4.7320481473401812E-4</v>
      </c>
      <c r="AK68" s="94">
        <f>IF(K68=".",".",s_RadSpec!$F$9*(AK9*$B68))</f>
        <v>4.7320481473401812E-4</v>
      </c>
      <c r="AL68" s="94">
        <f>IF(L68=".",".",s_RadSpec!$F$9*(AL9*$B68))</f>
        <v>4.7320481473401812E-4</v>
      </c>
      <c r="AM68" s="94">
        <f>IF(M68=".",".",s_RadSpec!$F$9*(AM9*$B68))</f>
        <v>4.7320481473401812E-4</v>
      </c>
      <c r="AN68" s="94">
        <f>IF(N68=".",".",s_RadSpec!$F$9*(AN9*$B68))</f>
        <v>4.7320481473401812E-4</v>
      </c>
      <c r="AO68" s="94">
        <f>IF(O68=".",".",s_RadSpec!$F$9*(AO9*$B68))</f>
        <v>4.7320481473401812E-4</v>
      </c>
      <c r="AP68" s="94">
        <f>IF(P68=".",".",s_RadSpec!$F$9*(AP9*$B68))</f>
        <v>4.7320481473401812E-4</v>
      </c>
      <c r="AQ68" s="94">
        <f>IF(Q68=".",".",s_RadSpec!$F$9*(AQ9*$B68))</f>
        <v>4.7320481473401812E-4</v>
      </c>
      <c r="AR68" s="94">
        <f>IF(R68=".",".",s_RadSpec!$F$9*(AR9*$B68))</f>
        <v>4.7320481473401812E-4</v>
      </c>
      <c r="AS68" s="94">
        <f>IF(S68=".",".",s_RadSpec!$F$9*(AS9*$B68))</f>
        <v>4.7320481473401812E-4</v>
      </c>
      <c r="AT68" s="94">
        <f>IF(T68=".",".",s_RadSpec!$F$9*(AT9*$B68))</f>
        <v>4.7320481473401812E-4</v>
      </c>
      <c r="AU68" s="94">
        <f>IF(U68=".",".",s_RadSpec!$F$9*(AU9*$B68))</f>
        <v>4.7320481473401812E-4</v>
      </c>
      <c r="AV68" s="94">
        <f>IF(V68=".",".",s_RadSpec!$F$9*(AV9*$B68))</f>
        <v>4.7320481473401812E-4</v>
      </c>
      <c r="AW68" s="94">
        <f>IF(W68=".",".",s_RadSpec!$F$9*(AW9*$B68))</f>
        <v>4.7320481473401812E-4</v>
      </c>
      <c r="AX68" s="94">
        <f>IF(X68=".",".",s_RadSpec!$F$9*(AX9*$B68))</f>
        <v>4.7320481473401812E-4</v>
      </c>
      <c r="AY68" s="94">
        <f>IF(Y68=".",".",s_RadSpec!$F$9*(AY9*$B68))</f>
        <v>4.7320481473401812E-4</v>
      </c>
      <c r="AZ68" s="94">
        <f>IF(Z68=".",".",s_RadSpec!$F$9*(AZ9*$B68))</f>
        <v>4.7320481473401812E-4</v>
      </c>
      <c r="BA68" s="94">
        <f>IF(AA68=".",".",s_RadSpec!$F$9*(BA9*$B68))</f>
        <v>4.7320481473401812E-4</v>
      </c>
      <c r="BB68" s="94">
        <f>IF(AB68=".",".",s_RadSpec!$F$9*(BB9*$B68))</f>
        <v>4.7320481473401812E-4</v>
      </c>
      <c r="BC68" s="60">
        <f t="shared" ref="BC68:CB68" si="91">IFERROR(BC9/$B54,".")</f>
        <v>13207.811512892233</v>
      </c>
      <c r="BD68" s="60">
        <f t="shared" si="91"/>
        <v>52831.246051568924</v>
      </c>
      <c r="BE68" s="60">
        <f t="shared" si="91"/>
        <v>52831.246051568924</v>
      </c>
      <c r="BF68" s="60">
        <f t="shared" si="91"/>
        <v>52831.246051568924</v>
      </c>
      <c r="BG68" s="60">
        <f t="shared" si="91"/>
        <v>52831.246051568924</v>
      </c>
      <c r="BH68" s="60">
        <f t="shared" si="91"/>
        <v>52831.246051568924</v>
      </c>
      <c r="BI68" s="60">
        <f t="shared" si="91"/>
        <v>52831.246051568924</v>
      </c>
      <c r="BJ68" s="60">
        <f t="shared" si="91"/>
        <v>52831.246051568924</v>
      </c>
      <c r="BK68" s="60">
        <f t="shared" si="91"/>
        <v>52831.246051568924</v>
      </c>
      <c r="BL68" s="60">
        <f t="shared" si="91"/>
        <v>52831.246051568924</v>
      </c>
      <c r="BM68" s="60">
        <f t="shared" si="91"/>
        <v>52831.246051568924</v>
      </c>
      <c r="BN68" s="60">
        <f t="shared" si="91"/>
        <v>52831.246051568924</v>
      </c>
      <c r="BO68" s="60">
        <f t="shared" si="91"/>
        <v>52831.246051568924</v>
      </c>
      <c r="BP68" s="60">
        <f t="shared" si="91"/>
        <v>52831.246051568924</v>
      </c>
      <c r="BQ68" s="60">
        <f t="shared" si="91"/>
        <v>52831.246051568924</v>
      </c>
      <c r="BR68" s="60">
        <f t="shared" si="91"/>
        <v>52831.246051568924</v>
      </c>
      <c r="BS68" s="60">
        <f t="shared" si="91"/>
        <v>52831.246051568924</v>
      </c>
      <c r="BT68" s="60">
        <f t="shared" si="91"/>
        <v>52831.246051568924</v>
      </c>
      <c r="BU68" s="60">
        <f t="shared" si="91"/>
        <v>52831.246051568924</v>
      </c>
      <c r="BV68" s="60">
        <f t="shared" si="91"/>
        <v>52831.246051568924</v>
      </c>
      <c r="BW68" s="60">
        <f t="shared" si="91"/>
        <v>52831.246051568924</v>
      </c>
      <c r="BX68" s="60">
        <f t="shared" si="91"/>
        <v>52831.246051568924</v>
      </c>
      <c r="BY68" s="60">
        <f t="shared" si="91"/>
        <v>52831.246051568924</v>
      </c>
      <c r="BZ68" s="60">
        <f t="shared" si="91"/>
        <v>52831.246051568924</v>
      </c>
      <c r="CA68" s="60">
        <f t="shared" si="91"/>
        <v>52831.246051568924</v>
      </c>
      <c r="CB68" s="60">
        <f t="shared" si="91"/>
        <v>52831.246051568924</v>
      </c>
      <c r="CC68" s="94">
        <f t="shared" si="83"/>
        <v>1.8928192589360725E-3</v>
      </c>
      <c r="CD68" s="94">
        <f>IF(BD68=".",".",s_RadSpec!$F$9*(CD9*$B68))</f>
        <v>4.7320481473401812E-4</v>
      </c>
      <c r="CE68" s="94">
        <f>IF(BE68=".",".",s_RadSpec!$F$9*(CE9*$B68))</f>
        <v>4.7320481473401812E-4</v>
      </c>
      <c r="CF68" s="94">
        <f>IF(BF68=".",".",s_RadSpec!$F$9*(CF9*$B68))</f>
        <v>4.7320481473401812E-4</v>
      </c>
      <c r="CG68" s="94">
        <f>IF(BG68=".",".",s_RadSpec!$F$9*(CG9*$B68))</f>
        <v>4.7320481473401812E-4</v>
      </c>
      <c r="CH68" s="94">
        <f>IF(BH68=".",".",s_RadSpec!$F$9*(CH9*$B68))</f>
        <v>4.7320481473401812E-4</v>
      </c>
      <c r="CI68" s="94">
        <f>IF(BI68=".",".",s_RadSpec!$F$9*(CI9*$B68))</f>
        <v>4.7320481473401812E-4</v>
      </c>
      <c r="CJ68" s="94">
        <f>IF(BJ68=".",".",s_RadSpec!$F$9*(CJ9*$B68))</f>
        <v>4.7320481473401812E-4</v>
      </c>
      <c r="CK68" s="94">
        <f>IF(BK68=".",".",s_RadSpec!$F$9*(CK9*$B68))</f>
        <v>4.7320481473401812E-4</v>
      </c>
      <c r="CL68" s="94">
        <f>IF(BL68=".",".",s_RadSpec!$F$9*(CL9*$B68))</f>
        <v>4.7320481473401812E-4</v>
      </c>
      <c r="CM68" s="94">
        <f>IF(BM68=".",".",s_RadSpec!$F$9*(CM9*$B68))</f>
        <v>4.7320481473401812E-4</v>
      </c>
      <c r="CN68" s="94">
        <f>IF(BN68=".",".",s_RadSpec!$F$9*(CN9*$B68))</f>
        <v>4.7320481473401812E-4</v>
      </c>
      <c r="CO68" s="94">
        <f>IF(BO68=".",".",s_RadSpec!$F$9*(CO9*$B68))</f>
        <v>4.7320481473401812E-4</v>
      </c>
      <c r="CP68" s="94">
        <f>IF(BP68=".",".",s_RadSpec!$F$9*(CP9*$B68))</f>
        <v>4.7320481473401812E-4</v>
      </c>
      <c r="CQ68" s="94">
        <f>IF(BQ68=".",".",s_RadSpec!$F$9*(CQ9*$B68))</f>
        <v>4.7320481473401812E-4</v>
      </c>
      <c r="CR68" s="94">
        <f>IF(BR68=".",".",s_RadSpec!$F$9*(CR9*$B68))</f>
        <v>4.7320481473401812E-4</v>
      </c>
      <c r="CS68" s="94">
        <f>IF(BS68=".",".",s_RadSpec!$F$9*(CS9*$B68))</f>
        <v>4.7320481473401812E-4</v>
      </c>
      <c r="CT68" s="94">
        <f>IF(BT68=".",".",s_RadSpec!$F$9*(CT9*$B68))</f>
        <v>4.7320481473401812E-4</v>
      </c>
      <c r="CU68" s="94">
        <f>IF(BU68=".",".",s_RadSpec!$F$9*(CU9*$B68))</f>
        <v>4.7320481473401812E-4</v>
      </c>
      <c r="CV68" s="94">
        <f>IF(BV68=".",".",s_RadSpec!$F$9*(CV9*$B68))</f>
        <v>4.7320481473401812E-4</v>
      </c>
      <c r="CW68" s="94">
        <f>IF(BW68=".",".",s_RadSpec!$F$9*(CW9*$B68))</f>
        <v>4.7320481473401812E-4</v>
      </c>
      <c r="CX68" s="94">
        <f>IF(BX68=".",".",s_RadSpec!$F$9*(CX9*$B68))</f>
        <v>4.7320481473401812E-4</v>
      </c>
      <c r="CY68" s="94">
        <f>IF(BY68=".",".",s_RadSpec!$F$9*(CY9*$B68))</f>
        <v>4.7320481473401812E-4</v>
      </c>
      <c r="CZ68" s="94">
        <f>IF(BZ68=".",".",s_RadSpec!$F$9*(CZ9*$B68))</f>
        <v>4.7320481473401812E-4</v>
      </c>
      <c r="DA68" s="94">
        <f>IF(CA68=".",".",s_RadSpec!$F$9*(DA9*$B68))</f>
        <v>4.7320481473401812E-4</v>
      </c>
      <c r="DB68" s="94">
        <f>IF(CB68=".",".",s_RadSpec!$F$9*(DB9*$B68))</f>
        <v>4.7320481473401812E-4</v>
      </c>
    </row>
    <row r="69" spans="1:106" x14ac:dyDescent="0.25">
      <c r="A69" s="77" t="s">
        <v>1076</v>
      </c>
      <c r="B69" s="42">
        <v>1.9999999999999999E-7</v>
      </c>
      <c r="C69" s="60" t="str">
        <f t="shared" ref="C69:AB69" si="92">IFERROR(C24/$B55,".")</f>
        <v>.</v>
      </c>
      <c r="D69" s="60" t="str">
        <f t="shared" si="92"/>
        <v>.</v>
      </c>
      <c r="E69" s="60" t="str">
        <f t="shared" si="92"/>
        <v>.</v>
      </c>
      <c r="F69" s="60" t="str">
        <f t="shared" si="92"/>
        <v>.</v>
      </c>
      <c r="G69" s="60" t="str">
        <f t="shared" si="92"/>
        <v>.</v>
      </c>
      <c r="H69" s="60" t="str">
        <f t="shared" si="92"/>
        <v>.</v>
      </c>
      <c r="I69" s="60" t="str">
        <f t="shared" si="92"/>
        <v>.</v>
      </c>
      <c r="J69" s="60" t="str">
        <f t="shared" si="92"/>
        <v>.</v>
      </c>
      <c r="K69" s="60" t="str">
        <f t="shared" si="92"/>
        <v>.</v>
      </c>
      <c r="L69" s="60" t="str">
        <f t="shared" si="92"/>
        <v>.</v>
      </c>
      <c r="M69" s="60" t="str">
        <f t="shared" si="92"/>
        <v>.</v>
      </c>
      <c r="N69" s="60" t="str">
        <f t="shared" si="92"/>
        <v>.</v>
      </c>
      <c r="O69" s="60" t="str">
        <f t="shared" si="92"/>
        <v>.</v>
      </c>
      <c r="P69" s="60" t="str">
        <f t="shared" si="92"/>
        <v>.</v>
      </c>
      <c r="Q69" s="60" t="str">
        <f t="shared" si="92"/>
        <v>.</v>
      </c>
      <c r="R69" s="60" t="str">
        <f t="shared" si="92"/>
        <v>.</v>
      </c>
      <c r="S69" s="60" t="str">
        <f t="shared" si="92"/>
        <v>.</v>
      </c>
      <c r="T69" s="60" t="str">
        <f t="shared" si="92"/>
        <v>.</v>
      </c>
      <c r="U69" s="60" t="str">
        <f t="shared" si="92"/>
        <v>.</v>
      </c>
      <c r="V69" s="60" t="str">
        <f t="shared" si="92"/>
        <v>.</v>
      </c>
      <c r="W69" s="60" t="str">
        <f t="shared" si="92"/>
        <v>.</v>
      </c>
      <c r="X69" s="60" t="str">
        <f t="shared" si="92"/>
        <v>.</v>
      </c>
      <c r="Y69" s="60" t="str">
        <f t="shared" si="92"/>
        <v>.</v>
      </c>
      <c r="Z69" s="60" t="str">
        <f t="shared" si="92"/>
        <v>.</v>
      </c>
      <c r="AA69" s="60" t="str">
        <f t="shared" si="92"/>
        <v>.</v>
      </c>
      <c r="AB69" s="60" t="str">
        <f t="shared" si="92"/>
        <v>.</v>
      </c>
      <c r="AC69" s="94" t="str">
        <f t="shared" si="81"/>
        <v>.</v>
      </c>
      <c r="AD69" s="94" t="str">
        <f>IF(D69=".",".",s_RadSpec!$F$24*(AD24*$B69))</f>
        <v>.</v>
      </c>
      <c r="AE69" s="94" t="str">
        <f>IF(E69=".",".",s_RadSpec!$F$24*(AE24*$B69))</f>
        <v>.</v>
      </c>
      <c r="AF69" s="94" t="str">
        <f>IF(F69=".",".",s_RadSpec!$F$24*(AF24*$B69))</f>
        <v>.</v>
      </c>
      <c r="AG69" s="94" t="str">
        <f>IF(G69=".",".",s_RadSpec!$F$24*(AG24*$B69))</f>
        <v>.</v>
      </c>
      <c r="AH69" s="94" t="str">
        <f>IF(H69=".",".",s_RadSpec!$F$24*(AH24*$B69))</f>
        <v>.</v>
      </c>
      <c r="AI69" s="94" t="str">
        <f>IF(I69=".",".",s_RadSpec!$F$24*(AI24*$B69))</f>
        <v>.</v>
      </c>
      <c r="AJ69" s="94" t="str">
        <f>IF(J69=".",".",s_RadSpec!$F$24*(AJ24*$B69))</f>
        <v>.</v>
      </c>
      <c r="AK69" s="94" t="str">
        <f>IF(K69=".",".",s_RadSpec!$F$24*(AK24*$B69))</f>
        <v>.</v>
      </c>
      <c r="AL69" s="94" t="str">
        <f>IF(L69=".",".",s_RadSpec!$F$24*(AL24*$B69))</f>
        <v>.</v>
      </c>
      <c r="AM69" s="94" t="str">
        <f>IF(M69=".",".",s_RadSpec!$F$24*(AM24*$B69))</f>
        <v>.</v>
      </c>
      <c r="AN69" s="94" t="str">
        <f>IF(N69=".",".",s_RadSpec!$F$24*(AN24*$B69))</f>
        <v>.</v>
      </c>
      <c r="AO69" s="94" t="str">
        <f>IF(O69=".",".",s_RadSpec!$F$24*(AO24*$B69))</f>
        <v>.</v>
      </c>
      <c r="AP69" s="94" t="str">
        <f>IF(P69=".",".",s_RadSpec!$F$24*(AP24*$B69))</f>
        <v>.</v>
      </c>
      <c r="AQ69" s="94" t="str">
        <f>IF(Q69=".",".",s_RadSpec!$F$24*(AQ24*$B69))</f>
        <v>.</v>
      </c>
      <c r="AR69" s="94" t="str">
        <f>IF(R69=".",".",s_RadSpec!$F$24*(AR24*$B69))</f>
        <v>.</v>
      </c>
      <c r="AS69" s="94" t="str">
        <f>IF(S69=".",".",s_RadSpec!$F$24*(AS24*$B69))</f>
        <v>.</v>
      </c>
      <c r="AT69" s="94" t="str">
        <f>IF(T69=".",".",s_RadSpec!$F$24*(AT24*$B69))</f>
        <v>.</v>
      </c>
      <c r="AU69" s="94" t="str">
        <f>IF(U69=".",".",s_RadSpec!$F$24*(AU24*$B69))</f>
        <v>.</v>
      </c>
      <c r="AV69" s="94" t="str">
        <f>IF(V69=".",".",s_RadSpec!$F$24*(AV24*$B69))</f>
        <v>.</v>
      </c>
      <c r="AW69" s="94" t="str">
        <f>IF(W69=".",".",s_RadSpec!$F$24*(AW24*$B69))</f>
        <v>.</v>
      </c>
      <c r="AX69" s="94" t="str">
        <f>IF(X69=".",".",s_RadSpec!$F$24*(AX24*$B69))</f>
        <v>.</v>
      </c>
      <c r="AY69" s="94" t="str">
        <f>IF(Y69=".",".",s_RadSpec!$F$24*(AY24*$B69))</f>
        <v>.</v>
      </c>
      <c r="AZ69" s="94" t="str">
        <f>IF(Z69=".",".",s_RadSpec!$F$24*(AZ24*$B69))</f>
        <v>.</v>
      </c>
      <c r="BA69" s="94" t="str">
        <f>IF(AA69=".",".",s_RadSpec!$F$24*(BA24*$B69))</f>
        <v>.</v>
      </c>
      <c r="BB69" s="94" t="str">
        <f>IF(AB69=".",".",s_RadSpec!$F$24*(BB24*$B69))</f>
        <v>.</v>
      </c>
      <c r="BC69" s="60" t="str">
        <f t="shared" ref="BC69:CB69" si="93">IFERROR(BC24/$B55,".")</f>
        <v>.</v>
      </c>
      <c r="BD69" s="60" t="str">
        <f t="shared" si="93"/>
        <v>.</v>
      </c>
      <c r="BE69" s="60" t="str">
        <f t="shared" si="93"/>
        <v>.</v>
      </c>
      <c r="BF69" s="60" t="str">
        <f t="shared" si="93"/>
        <v>.</v>
      </c>
      <c r="BG69" s="60" t="str">
        <f t="shared" si="93"/>
        <v>.</v>
      </c>
      <c r="BH69" s="60" t="str">
        <f t="shared" si="93"/>
        <v>.</v>
      </c>
      <c r="BI69" s="60" t="str">
        <f t="shared" si="93"/>
        <v>.</v>
      </c>
      <c r="BJ69" s="60" t="str">
        <f t="shared" si="93"/>
        <v>.</v>
      </c>
      <c r="BK69" s="60" t="str">
        <f t="shared" si="93"/>
        <v>.</v>
      </c>
      <c r="BL69" s="60" t="str">
        <f t="shared" si="93"/>
        <v>.</v>
      </c>
      <c r="BM69" s="60" t="str">
        <f t="shared" si="93"/>
        <v>.</v>
      </c>
      <c r="BN69" s="60" t="str">
        <f t="shared" si="93"/>
        <v>.</v>
      </c>
      <c r="BO69" s="60" t="str">
        <f t="shared" si="93"/>
        <v>.</v>
      </c>
      <c r="BP69" s="60" t="str">
        <f t="shared" si="93"/>
        <v>.</v>
      </c>
      <c r="BQ69" s="60" t="str">
        <f t="shared" si="93"/>
        <v>.</v>
      </c>
      <c r="BR69" s="60" t="str">
        <f t="shared" si="93"/>
        <v>.</v>
      </c>
      <c r="BS69" s="60" t="str">
        <f t="shared" si="93"/>
        <v>.</v>
      </c>
      <c r="BT69" s="60" t="str">
        <f t="shared" si="93"/>
        <v>.</v>
      </c>
      <c r="BU69" s="60" t="str">
        <f t="shared" si="93"/>
        <v>.</v>
      </c>
      <c r="BV69" s="60" t="str">
        <f t="shared" si="93"/>
        <v>.</v>
      </c>
      <c r="BW69" s="60" t="str">
        <f t="shared" si="93"/>
        <v>.</v>
      </c>
      <c r="BX69" s="60" t="str">
        <f t="shared" si="93"/>
        <v>.</v>
      </c>
      <c r="BY69" s="60" t="str">
        <f t="shared" si="93"/>
        <v>.</v>
      </c>
      <c r="BZ69" s="60" t="str">
        <f t="shared" si="93"/>
        <v>.</v>
      </c>
      <c r="CA69" s="60" t="str">
        <f t="shared" si="93"/>
        <v>.</v>
      </c>
      <c r="CB69" s="60" t="str">
        <f t="shared" si="93"/>
        <v>.</v>
      </c>
      <c r="CC69" s="94" t="str">
        <f t="shared" si="83"/>
        <v>.</v>
      </c>
      <c r="CD69" s="94" t="str">
        <f>IF(BD69=".",".",s_RadSpec!$F$24*(CD24*$B69))</f>
        <v>.</v>
      </c>
      <c r="CE69" s="94" t="str">
        <f>IF(BE69=".",".",s_RadSpec!$F$24*(CE24*$B69))</f>
        <v>.</v>
      </c>
      <c r="CF69" s="94" t="str">
        <f>IF(BF69=".",".",s_RadSpec!$F$24*(CF24*$B69))</f>
        <v>.</v>
      </c>
      <c r="CG69" s="94" t="str">
        <f>IF(BG69=".",".",s_RadSpec!$F$24*(CG24*$B69))</f>
        <v>.</v>
      </c>
      <c r="CH69" s="94" t="str">
        <f>IF(BH69=".",".",s_RadSpec!$F$24*(CH24*$B69))</f>
        <v>.</v>
      </c>
      <c r="CI69" s="94" t="str">
        <f>IF(BI69=".",".",s_RadSpec!$F$24*(CI24*$B69))</f>
        <v>.</v>
      </c>
      <c r="CJ69" s="94" t="str">
        <f>IF(BJ69=".",".",s_RadSpec!$F$24*(CJ24*$B69))</f>
        <v>.</v>
      </c>
      <c r="CK69" s="94" t="str">
        <f>IF(BK69=".",".",s_RadSpec!$F$24*(CK24*$B69))</f>
        <v>.</v>
      </c>
      <c r="CL69" s="94" t="str">
        <f>IF(BL69=".",".",s_RadSpec!$F$24*(CL24*$B69))</f>
        <v>.</v>
      </c>
      <c r="CM69" s="94" t="str">
        <f>IF(BM69=".",".",s_RadSpec!$F$24*(CM24*$B69))</f>
        <v>.</v>
      </c>
      <c r="CN69" s="94" t="str">
        <f>IF(BN69=".",".",s_RadSpec!$F$24*(CN24*$B69))</f>
        <v>.</v>
      </c>
      <c r="CO69" s="94" t="str">
        <f>IF(BO69=".",".",s_RadSpec!$F$24*(CO24*$B69))</f>
        <v>.</v>
      </c>
      <c r="CP69" s="94" t="str">
        <f>IF(BP69=".",".",s_RadSpec!$F$24*(CP24*$B69))</f>
        <v>.</v>
      </c>
      <c r="CQ69" s="94" t="str">
        <f>IF(BQ69=".",".",s_RadSpec!$F$24*(CQ24*$B69))</f>
        <v>.</v>
      </c>
      <c r="CR69" s="94" t="str">
        <f>IF(BR69=".",".",s_RadSpec!$F$24*(CR24*$B69))</f>
        <v>.</v>
      </c>
      <c r="CS69" s="94" t="str">
        <f>IF(BS69=".",".",s_RadSpec!$F$24*(CS24*$B69))</f>
        <v>.</v>
      </c>
      <c r="CT69" s="94" t="str">
        <f>IF(BT69=".",".",s_RadSpec!$F$24*(CT24*$B69))</f>
        <v>.</v>
      </c>
      <c r="CU69" s="94" t="str">
        <f>IF(BU69=".",".",s_RadSpec!$F$24*(CU24*$B69))</f>
        <v>.</v>
      </c>
      <c r="CV69" s="94" t="str">
        <f>IF(BV69=".",".",s_RadSpec!$F$24*(CV24*$B69))</f>
        <v>.</v>
      </c>
      <c r="CW69" s="94" t="str">
        <f>IF(BW69=".",".",s_RadSpec!$F$24*(CW24*$B69))</f>
        <v>.</v>
      </c>
      <c r="CX69" s="94" t="str">
        <f>IF(BX69=".",".",s_RadSpec!$F$24*(CX24*$B69))</f>
        <v>.</v>
      </c>
      <c r="CY69" s="94" t="str">
        <f>IF(BY69=".",".",s_RadSpec!$F$24*(CY24*$B69))</f>
        <v>.</v>
      </c>
      <c r="CZ69" s="94" t="str">
        <f>IF(BZ69=".",".",s_RadSpec!$F$24*(CZ24*$B69))</f>
        <v>.</v>
      </c>
      <c r="DA69" s="94" t="str">
        <f>IF(CA69=".",".",s_RadSpec!$F$24*(DA24*$B69))</f>
        <v>.</v>
      </c>
      <c r="DB69" s="94" t="str">
        <f>IF(CB69=".",".",s_RadSpec!$F$24*(DB24*$B69))</f>
        <v>.</v>
      </c>
    </row>
    <row r="70" spans="1:106" x14ac:dyDescent="0.25">
      <c r="A70" s="77" t="s">
        <v>1077</v>
      </c>
      <c r="B70" s="42">
        <v>0.99979000004200003</v>
      </c>
      <c r="C70" s="60" t="str">
        <f t="shared" ref="C70:AB70" si="94">IFERROR(C20/$B56,".")</f>
        <v>.</v>
      </c>
      <c r="D70" s="60" t="str">
        <f t="shared" si="94"/>
        <v>.</v>
      </c>
      <c r="E70" s="60" t="str">
        <f t="shared" si="94"/>
        <v>.</v>
      </c>
      <c r="F70" s="60" t="str">
        <f t="shared" si="94"/>
        <v>.</v>
      </c>
      <c r="G70" s="60" t="str">
        <f t="shared" si="94"/>
        <v>.</v>
      </c>
      <c r="H70" s="60" t="str">
        <f t="shared" si="94"/>
        <v>.</v>
      </c>
      <c r="I70" s="60" t="str">
        <f t="shared" si="94"/>
        <v>.</v>
      </c>
      <c r="J70" s="60" t="str">
        <f t="shared" si="94"/>
        <v>.</v>
      </c>
      <c r="K70" s="60" t="str">
        <f t="shared" si="94"/>
        <v>.</v>
      </c>
      <c r="L70" s="60" t="str">
        <f t="shared" si="94"/>
        <v>.</v>
      </c>
      <c r="M70" s="60" t="str">
        <f t="shared" si="94"/>
        <v>.</v>
      </c>
      <c r="N70" s="60" t="str">
        <f t="shared" si="94"/>
        <v>.</v>
      </c>
      <c r="O70" s="60" t="str">
        <f t="shared" si="94"/>
        <v>.</v>
      </c>
      <c r="P70" s="60" t="str">
        <f t="shared" si="94"/>
        <v>.</v>
      </c>
      <c r="Q70" s="60" t="str">
        <f t="shared" si="94"/>
        <v>.</v>
      </c>
      <c r="R70" s="60" t="str">
        <f t="shared" si="94"/>
        <v>.</v>
      </c>
      <c r="S70" s="60" t="str">
        <f t="shared" si="94"/>
        <v>.</v>
      </c>
      <c r="T70" s="60" t="str">
        <f t="shared" si="94"/>
        <v>.</v>
      </c>
      <c r="U70" s="60" t="str">
        <f t="shared" si="94"/>
        <v>.</v>
      </c>
      <c r="V70" s="60" t="str">
        <f t="shared" si="94"/>
        <v>.</v>
      </c>
      <c r="W70" s="60" t="str">
        <f t="shared" si="94"/>
        <v>.</v>
      </c>
      <c r="X70" s="60" t="str">
        <f t="shared" si="94"/>
        <v>.</v>
      </c>
      <c r="Y70" s="60" t="str">
        <f t="shared" si="94"/>
        <v>.</v>
      </c>
      <c r="Z70" s="60" t="str">
        <f t="shared" si="94"/>
        <v>.</v>
      </c>
      <c r="AA70" s="60" t="str">
        <f t="shared" si="94"/>
        <v>.</v>
      </c>
      <c r="AB70" s="60" t="str">
        <f t="shared" si="94"/>
        <v>.</v>
      </c>
      <c r="AC70" s="94" t="str">
        <f t="shared" si="81"/>
        <v>.</v>
      </c>
      <c r="AD70" s="94" t="str">
        <f>IF(D70=".",".",s_RadSpec!$F$20*(AD20*$B70))</f>
        <v>.</v>
      </c>
      <c r="AE70" s="94" t="str">
        <f>IF(E70=".",".",s_RadSpec!$F$20*(AE20*$B70))</f>
        <v>.</v>
      </c>
      <c r="AF70" s="94" t="str">
        <f>IF(F70=".",".",s_RadSpec!$F$20*(AF20*$B70))</f>
        <v>.</v>
      </c>
      <c r="AG70" s="94" t="str">
        <f>IF(G70=".",".",s_RadSpec!$F$20*(AG20*$B70))</f>
        <v>.</v>
      </c>
      <c r="AH70" s="94" t="str">
        <f>IF(H70=".",".",s_RadSpec!$F$20*(AH20*$B70))</f>
        <v>.</v>
      </c>
      <c r="AI70" s="94" t="str">
        <f>IF(I70=".",".",s_RadSpec!$F$20*(AI20*$B70))</f>
        <v>.</v>
      </c>
      <c r="AJ70" s="94" t="str">
        <f>IF(J70=".",".",s_RadSpec!$F$20*(AJ20*$B70))</f>
        <v>.</v>
      </c>
      <c r="AK70" s="94" t="str">
        <f>IF(K70=".",".",s_RadSpec!$F$20*(AK20*$B70))</f>
        <v>.</v>
      </c>
      <c r="AL70" s="94" t="str">
        <f>IF(L70=".",".",s_RadSpec!$F$20*(AL20*$B70))</f>
        <v>.</v>
      </c>
      <c r="AM70" s="94" t="str">
        <f>IF(M70=".",".",s_RadSpec!$F$20*(AM20*$B70))</f>
        <v>.</v>
      </c>
      <c r="AN70" s="94" t="str">
        <f>IF(N70=".",".",s_RadSpec!$F$20*(AN20*$B70))</f>
        <v>.</v>
      </c>
      <c r="AO70" s="94" t="str">
        <f>IF(O70=".",".",s_RadSpec!$F$20*(AO20*$B70))</f>
        <v>.</v>
      </c>
      <c r="AP70" s="94" t="str">
        <f>IF(P70=".",".",s_RadSpec!$F$20*(AP20*$B70))</f>
        <v>.</v>
      </c>
      <c r="AQ70" s="94" t="str">
        <f>IF(Q70=".",".",s_RadSpec!$F$20*(AQ20*$B70))</f>
        <v>.</v>
      </c>
      <c r="AR70" s="94" t="str">
        <f>IF(R70=".",".",s_RadSpec!$F$20*(AR20*$B70))</f>
        <v>.</v>
      </c>
      <c r="AS70" s="94" t="str">
        <f>IF(S70=".",".",s_RadSpec!$F$20*(AS20*$B70))</f>
        <v>.</v>
      </c>
      <c r="AT70" s="94" t="str">
        <f>IF(T70=".",".",s_RadSpec!$F$20*(AT20*$B70))</f>
        <v>.</v>
      </c>
      <c r="AU70" s="94" t="str">
        <f>IF(U70=".",".",s_RadSpec!$F$20*(AU20*$B70))</f>
        <v>.</v>
      </c>
      <c r="AV70" s="94" t="str">
        <f>IF(V70=".",".",s_RadSpec!$F$20*(AV20*$B70))</f>
        <v>.</v>
      </c>
      <c r="AW70" s="94" t="str">
        <f>IF(W70=".",".",s_RadSpec!$F$20*(AW20*$B70))</f>
        <v>.</v>
      </c>
      <c r="AX70" s="94" t="str">
        <f>IF(X70=".",".",s_RadSpec!$F$20*(AX20*$B70))</f>
        <v>.</v>
      </c>
      <c r="AY70" s="94" t="str">
        <f>IF(Y70=".",".",s_RadSpec!$F$20*(AY20*$B70))</f>
        <v>.</v>
      </c>
      <c r="AZ70" s="94" t="str">
        <f>IF(Z70=".",".",s_RadSpec!$F$20*(AZ20*$B70))</f>
        <v>.</v>
      </c>
      <c r="BA70" s="94" t="str">
        <f>IF(AA70=".",".",s_RadSpec!$F$20*(BA20*$B70))</f>
        <v>.</v>
      </c>
      <c r="BB70" s="94" t="str">
        <f>IF(AB70=".",".",s_RadSpec!$F$20*(BB20*$B70))</f>
        <v>.</v>
      </c>
      <c r="BC70" s="60" t="str">
        <f t="shared" ref="BC70:CB70" si="95">IFERROR(BC20/$B56,".")</f>
        <v>.</v>
      </c>
      <c r="BD70" s="60" t="str">
        <f t="shared" si="95"/>
        <v>.</v>
      </c>
      <c r="BE70" s="60" t="str">
        <f t="shared" si="95"/>
        <v>.</v>
      </c>
      <c r="BF70" s="60" t="str">
        <f t="shared" si="95"/>
        <v>.</v>
      </c>
      <c r="BG70" s="60" t="str">
        <f t="shared" si="95"/>
        <v>.</v>
      </c>
      <c r="BH70" s="60" t="str">
        <f t="shared" si="95"/>
        <v>.</v>
      </c>
      <c r="BI70" s="60" t="str">
        <f t="shared" si="95"/>
        <v>.</v>
      </c>
      <c r="BJ70" s="60" t="str">
        <f t="shared" si="95"/>
        <v>.</v>
      </c>
      <c r="BK70" s="60" t="str">
        <f t="shared" si="95"/>
        <v>.</v>
      </c>
      <c r="BL70" s="60" t="str">
        <f t="shared" si="95"/>
        <v>.</v>
      </c>
      <c r="BM70" s="60" t="str">
        <f t="shared" si="95"/>
        <v>.</v>
      </c>
      <c r="BN70" s="60" t="str">
        <f t="shared" si="95"/>
        <v>.</v>
      </c>
      <c r="BO70" s="60" t="str">
        <f t="shared" si="95"/>
        <v>.</v>
      </c>
      <c r="BP70" s="60" t="str">
        <f t="shared" si="95"/>
        <v>.</v>
      </c>
      <c r="BQ70" s="60" t="str">
        <f t="shared" si="95"/>
        <v>.</v>
      </c>
      <c r="BR70" s="60" t="str">
        <f t="shared" si="95"/>
        <v>.</v>
      </c>
      <c r="BS70" s="60" t="str">
        <f t="shared" si="95"/>
        <v>.</v>
      </c>
      <c r="BT70" s="60" t="str">
        <f t="shared" si="95"/>
        <v>.</v>
      </c>
      <c r="BU70" s="60" t="str">
        <f t="shared" si="95"/>
        <v>.</v>
      </c>
      <c r="BV70" s="60" t="str">
        <f t="shared" si="95"/>
        <v>.</v>
      </c>
      <c r="BW70" s="60" t="str">
        <f t="shared" si="95"/>
        <v>.</v>
      </c>
      <c r="BX70" s="60" t="str">
        <f t="shared" si="95"/>
        <v>.</v>
      </c>
      <c r="BY70" s="60" t="str">
        <f t="shared" si="95"/>
        <v>.</v>
      </c>
      <c r="BZ70" s="60" t="str">
        <f t="shared" si="95"/>
        <v>.</v>
      </c>
      <c r="CA70" s="60" t="str">
        <f t="shared" si="95"/>
        <v>.</v>
      </c>
      <c r="CB70" s="60" t="str">
        <f t="shared" si="95"/>
        <v>.</v>
      </c>
      <c r="CC70" s="94" t="str">
        <f t="shared" si="83"/>
        <v>.</v>
      </c>
      <c r="CD70" s="94" t="str">
        <f>IF(BD70=".",".",s_RadSpec!$F$20*(CD20*$B70))</f>
        <v>.</v>
      </c>
      <c r="CE70" s="94" t="str">
        <f>IF(BE70=".",".",s_RadSpec!$F$20*(CE20*$B70))</f>
        <v>.</v>
      </c>
      <c r="CF70" s="94" t="str">
        <f>IF(BF70=".",".",s_RadSpec!$F$20*(CF20*$B70))</f>
        <v>.</v>
      </c>
      <c r="CG70" s="94" t="str">
        <f>IF(BG70=".",".",s_RadSpec!$F$20*(CG20*$B70))</f>
        <v>.</v>
      </c>
      <c r="CH70" s="94" t="str">
        <f>IF(BH70=".",".",s_RadSpec!$F$20*(CH20*$B70))</f>
        <v>.</v>
      </c>
      <c r="CI70" s="94" t="str">
        <f>IF(BI70=".",".",s_RadSpec!$F$20*(CI20*$B70))</f>
        <v>.</v>
      </c>
      <c r="CJ70" s="94" t="str">
        <f>IF(BJ70=".",".",s_RadSpec!$F$20*(CJ20*$B70))</f>
        <v>.</v>
      </c>
      <c r="CK70" s="94" t="str">
        <f>IF(BK70=".",".",s_RadSpec!$F$20*(CK20*$B70))</f>
        <v>.</v>
      </c>
      <c r="CL70" s="94" t="str">
        <f>IF(BL70=".",".",s_RadSpec!$F$20*(CL20*$B70))</f>
        <v>.</v>
      </c>
      <c r="CM70" s="94" t="str">
        <f>IF(BM70=".",".",s_RadSpec!$F$20*(CM20*$B70))</f>
        <v>.</v>
      </c>
      <c r="CN70" s="94" t="str">
        <f>IF(BN70=".",".",s_RadSpec!$F$20*(CN20*$B70))</f>
        <v>.</v>
      </c>
      <c r="CO70" s="94" t="str">
        <f>IF(BO70=".",".",s_RadSpec!$F$20*(CO20*$B70))</f>
        <v>.</v>
      </c>
      <c r="CP70" s="94" t="str">
        <f>IF(BP70=".",".",s_RadSpec!$F$20*(CP20*$B70))</f>
        <v>.</v>
      </c>
      <c r="CQ70" s="94" t="str">
        <f>IF(BQ70=".",".",s_RadSpec!$F$20*(CQ20*$B70))</f>
        <v>.</v>
      </c>
      <c r="CR70" s="94" t="str">
        <f>IF(BR70=".",".",s_RadSpec!$F$20*(CR20*$B70))</f>
        <v>.</v>
      </c>
      <c r="CS70" s="94" t="str">
        <f>IF(BS70=".",".",s_RadSpec!$F$20*(CS20*$B70))</f>
        <v>.</v>
      </c>
      <c r="CT70" s="94" t="str">
        <f>IF(BT70=".",".",s_RadSpec!$F$20*(CT20*$B70))</f>
        <v>.</v>
      </c>
      <c r="CU70" s="94" t="str">
        <f>IF(BU70=".",".",s_RadSpec!$F$20*(CU20*$B70))</f>
        <v>.</v>
      </c>
      <c r="CV70" s="94" t="str">
        <f>IF(BV70=".",".",s_RadSpec!$F$20*(CV20*$B70))</f>
        <v>.</v>
      </c>
      <c r="CW70" s="94" t="str">
        <f>IF(BW70=".",".",s_RadSpec!$F$20*(CW20*$B70))</f>
        <v>.</v>
      </c>
      <c r="CX70" s="94" t="str">
        <f>IF(BX70=".",".",s_RadSpec!$F$20*(CX20*$B70))</f>
        <v>.</v>
      </c>
      <c r="CY70" s="94" t="str">
        <f>IF(BY70=".",".",s_RadSpec!$F$20*(CY20*$B70))</f>
        <v>.</v>
      </c>
      <c r="CZ70" s="94" t="str">
        <f>IF(BZ70=".",".",s_RadSpec!$F$20*(CZ20*$B70))</f>
        <v>.</v>
      </c>
      <c r="DA70" s="94" t="str">
        <f>IF(CA70=".",".",s_RadSpec!$F$20*(DA20*$B70))</f>
        <v>.</v>
      </c>
      <c r="DB70" s="94" t="str">
        <f>IF(CB70=".",".",s_RadSpec!$F$20*(DB20*$B70))</f>
        <v>.</v>
      </c>
    </row>
    <row r="71" spans="1:106" x14ac:dyDescent="0.25">
      <c r="A71" s="77" t="s">
        <v>1078</v>
      </c>
      <c r="B71" s="42">
        <v>2.0999995799999999E-4</v>
      </c>
      <c r="C71" s="60" t="str">
        <f t="shared" ref="C71:AB71" si="96">IFERROR(C29/$B57,".")</f>
        <v>.</v>
      </c>
      <c r="D71" s="60" t="str">
        <f t="shared" si="96"/>
        <v>.</v>
      </c>
      <c r="E71" s="60" t="str">
        <f t="shared" si="96"/>
        <v>.</v>
      </c>
      <c r="F71" s="60" t="str">
        <f t="shared" si="96"/>
        <v>.</v>
      </c>
      <c r="G71" s="60" t="str">
        <f t="shared" si="96"/>
        <v>.</v>
      </c>
      <c r="H71" s="60" t="str">
        <f t="shared" si="96"/>
        <v>.</v>
      </c>
      <c r="I71" s="60" t="str">
        <f t="shared" si="96"/>
        <v>.</v>
      </c>
      <c r="J71" s="60" t="str">
        <f t="shared" si="96"/>
        <v>.</v>
      </c>
      <c r="K71" s="60" t="str">
        <f t="shared" si="96"/>
        <v>.</v>
      </c>
      <c r="L71" s="60" t="str">
        <f t="shared" si="96"/>
        <v>.</v>
      </c>
      <c r="M71" s="60" t="str">
        <f t="shared" si="96"/>
        <v>.</v>
      </c>
      <c r="N71" s="60" t="str">
        <f t="shared" si="96"/>
        <v>.</v>
      </c>
      <c r="O71" s="60" t="str">
        <f t="shared" si="96"/>
        <v>.</v>
      </c>
      <c r="P71" s="60" t="str">
        <f t="shared" si="96"/>
        <v>.</v>
      </c>
      <c r="Q71" s="60" t="str">
        <f t="shared" si="96"/>
        <v>.</v>
      </c>
      <c r="R71" s="60" t="str">
        <f t="shared" si="96"/>
        <v>.</v>
      </c>
      <c r="S71" s="60" t="str">
        <f t="shared" si="96"/>
        <v>.</v>
      </c>
      <c r="T71" s="60" t="str">
        <f t="shared" si="96"/>
        <v>.</v>
      </c>
      <c r="U71" s="60" t="str">
        <f t="shared" si="96"/>
        <v>.</v>
      </c>
      <c r="V71" s="60" t="str">
        <f t="shared" si="96"/>
        <v>.</v>
      </c>
      <c r="W71" s="60" t="str">
        <f t="shared" si="96"/>
        <v>.</v>
      </c>
      <c r="X71" s="60" t="str">
        <f t="shared" si="96"/>
        <v>.</v>
      </c>
      <c r="Y71" s="60" t="str">
        <f t="shared" si="96"/>
        <v>.</v>
      </c>
      <c r="Z71" s="60" t="str">
        <f t="shared" si="96"/>
        <v>.</v>
      </c>
      <c r="AA71" s="60" t="str">
        <f t="shared" si="96"/>
        <v>.</v>
      </c>
      <c r="AB71" s="60" t="str">
        <f t="shared" si="96"/>
        <v>.</v>
      </c>
      <c r="AC71" s="94" t="str">
        <f t="shared" si="81"/>
        <v>.</v>
      </c>
      <c r="AD71" s="94" t="str">
        <f>IF(D71=".",".",s_RadSpec!$F$29*(AD29*$B71))</f>
        <v>.</v>
      </c>
      <c r="AE71" s="94" t="str">
        <f>IF(E71=".",".",s_RadSpec!$F$29*(AE29*$B71))</f>
        <v>.</v>
      </c>
      <c r="AF71" s="94" t="str">
        <f>IF(F71=".",".",s_RadSpec!$F$29*(AF29*$B71))</f>
        <v>.</v>
      </c>
      <c r="AG71" s="94" t="str">
        <f>IF(G71=".",".",s_RadSpec!$F$29*(AG29*$B71))</f>
        <v>.</v>
      </c>
      <c r="AH71" s="94" t="str">
        <f>IF(H71=".",".",s_RadSpec!$F$29*(AH29*$B71))</f>
        <v>.</v>
      </c>
      <c r="AI71" s="94" t="str">
        <f>IF(I71=".",".",s_RadSpec!$F$29*(AI29*$B71))</f>
        <v>.</v>
      </c>
      <c r="AJ71" s="94" t="str">
        <f>IF(J71=".",".",s_RadSpec!$F$29*(AJ29*$B71))</f>
        <v>.</v>
      </c>
      <c r="AK71" s="94" t="str">
        <f>IF(K71=".",".",s_RadSpec!$F$29*(AK29*$B71))</f>
        <v>.</v>
      </c>
      <c r="AL71" s="94" t="str">
        <f>IF(L71=".",".",s_RadSpec!$F$29*(AL29*$B71))</f>
        <v>.</v>
      </c>
      <c r="AM71" s="94" t="str">
        <f>IF(M71=".",".",s_RadSpec!$F$29*(AM29*$B71))</f>
        <v>.</v>
      </c>
      <c r="AN71" s="94" t="str">
        <f>IF(N71=".",".",s_RadSpec!$F$29*(AN29*$B71))</f>
        <v>.</v>
      </c>
      <c r="AO71" s="94" t="str">
        <f>IF(O71=".",".",s_RadSpec!$F$29*(AO29*$B71))</f>
        <v>.</v>
      </c>
      <c r="AP71" s="94" t="str">
        <f>IF(P71=".",".",s_RadSpec!$F$29*(AP29*$B71))</f>
        <v>.</v>
      </c>
      <c r="AQ71" s="94" t="str">
        <f>IF(Q71=".",".",s_RadSpec!$F$29*(AQ29*$B71))</f>
        <v>.</v>
      </c>
      <c r="AR71" s="94" t="str">
        <f>IF(R71=".",".",s_RadSpec!$F$29*(AR29*$B71))</f>
        <v>.</v>
      </c>
      <c r="AS71" s="94" t="str">
        <f>IF(S71=".",".",s_RadSpec!$F$29*(AS29*$B71))</f>
        <v>.</v>
      </c>
      <c r="AT71" s="94" t="str">
        <f>IF(T71=".",".",s_RadSpec!$F$29*(AT29*$B71))</f>
        <v>.</v>
      </c>
      <c r="AU71" s="94" t="str">
        <f>IF(U71=".",".",s_RadSpec!$F$29*(AU29*$B71))</f>
        <v>.</v>
      </c>
      <c r="AV71" s="94" t="str">
        <f>IF(V71=".",".",s_RadSpec!$F$29*(AV29*$B71))</f>
        <v>.</v>
      </c>
      <c r="AW71" s="94" t="str">
        <f>IF(W71=".",".",s_RadSpec!$F$29*(AW29*$B71))</f>
        <v>.</v>
      </c>
      <c r="AX71" s="94" t="str">
        <f>IF(X71=".",".",s_RadSpec!$F$29*(AX29*$B71))</f>
        <v>.</v>
      </c>
      <c r="AY71" s="94" t="str">
        <f>IF(Y71=".",".",s_RadSpec!$F$29*(AY29*$B71))</f>
        <v>.</v>
      </c>
      <c r="AZ71" s="94" t="str">
        <f>IF(Z71=".",".",s_RadSpec!$F$29*(AZ29*$B71))</f>
        <v>.</v>
      </c>
      <c r="BA71" s="94" t="str">
        <f>IF(AA71=".",".",s_RadSpec!$F$29*(BA29*$B71))</f>
        <v>.</v>
      </c>
      <c r="BB71" s="94" t="str">
        <f>IF(AB71=".",".",s_RadSpec!$F$29*(BB29*$B71))</f>
        <v>.</v>
      </c>
      <c r="BC71" s="60" t="str">
        <f t="shared" ref="BC71:CB71" si="97">IFERROR(BC29/$B57,".")</f>
        <v>.</v>
      </c>
      <c r="BD71" s="60" t="str">
        <f t="shared" si="97"/>
        <v>.</v>
      </c>
      <c r="BE71" s="60" t="str">
        <f t="shared" si="97"/>
        <v>.</v>
      </c>
      <c r="BF71" s="60" t="str">
        <f t="shared" si="97"/>
        <v>.</v>
      </c>
      <c r="BG71" s="60" t="str">
        <f t="shared" si="97"/>
        <v>.</v>
      </c>
      <c r="BH71" s="60" t="str">
        <f t="shared" si="97"/>
        <v>.</v>
      </c>
      <c r="BI71" s="60" t="str">
        <f t="shared" si="97"/>
        <v>.</v>
      </c>
      <c r="BJ71" s="60" t="str">
        <f t="shared" si="97"/>
        <v>.</v>
      </c>
      <c r="BK71" s="60" t="str">
        <f t="shared" si="97"/>
        <v>.</v>
      </c>
      <c r="BL71" s="60" t="str">
        <f t="shared" si="97"/>
        <v>.</v>
      </c>
      <c r="BM71" s="60" t="str">
        <f t="shared" si="97"/>
        <v>.</v>
      </c>
      <c r="BN71" s="60" t="str">
        <f t="shared" si="97"/>
        <v>.</v>
      </c>
      <c r="BO71" s="60" t="str">
        <f t="shared" si="97"/>
        <v>.</v>
      </c>
      <c r="BP71" s="60" t="str">
        <f t="shared" si="97"/>
        <v>.</v>
      </c>
      <c r="BQ71" s="60" t="str">
        <f t="shared" si="97"/>
        <v>.</v>
      </c>
      <c r="BR71" s="60" t="str">
        <f t="shared" si="97"/>
        <v>.</v>
      </c>
      <c r="BS71" s="60" t="str">
        <f t="shared" si="97"/>
        <v>.</v>
      </c>
      <c r="BT71" s="60" t="str">
        <f t="shared" si="97"/>
        <v>.</v>
      </c>
      <c r="BU71" s="60" t="str">
        <f t="shared" si="97"/>
        <v>.</v>
      </c>
      <c r="BV71" s="60" t="str">
        <f t="shared" si="97"/>
        <v>.</v>
      </c>
      <c r="BW71" s="60" t="str">
        <f t="shared" si="97"/>
        <v>.</v>
      </c>
      <c r="BX71" s="60" t="str">
        <f t="shared" si="97"/>
        <v>.</v>
      </c>
      <c r="BY71" s="60" t="str">
        <f t="shared" si="97"/>
        <v>.</v>
      </c>
      <c r="BZ71" s="60" t="str">
        <f t="shared" si="97"/>
        <v>.</v>
      </c>
      <c r="CA71" s="60" t="str">
        <f t="shared" si="97"/>
        <v>.</v>
      </c>
      <c r="CB71" s="60" t="str">
        <f t="shared" si="97"/>
        <v>.</v>
      </c>
      <c r="CC71" s="94" t="str">
        <f t="shared" si="83"/>
        <v>.</v>
      </c>
      <c r="CD71" s="94" t="str">
        <f>IF(BD71=".",".",s_RadSpec!$F$29*(CD29*$B71))</f>
        <v>.</v>
      </c>
      <c r="CE71" s="94" t="str">
        <f>IF(BE71=".",".",s_RadSpec!$F$29*(CE29*$B71))</f>
        <v>.</v>
      </c>
      <c r="CF71" s="94" t="str">
        <f>IF(BF71=".",".",s_RadSpec!$F$29*(CF29*$B71))</f>
        <v>.</v>
      </c>
      <c r="CG71" s="94" t="str">
        <f>IF(BG71=".",".",s_RadSpec!$F$29*(CG29*$B71))</f>
        <v>.</v>
      </c>
      <c r="CH71" s="94" t="str">
        <f>IF(BH71=".",".",s_RadSpec!$F$29*(CH29*$B71))</f>
        <v>.</v>
      </c>
      <c r="CI71" s="94" t="str">
        <f>IF(BI71=".",".",s_RadSpec!$F$29*(CI29*$B71))</f>
        <v>.</v>
      </c>
      <c r="CJ71" s="94" t="str">
        <f>IF(BJ71=".",".",s_RadSpec!$F$29*(CJ29*$B71))</f>
        <v>.</v>
      </c>
      <c r="CK71" s="94" t="str">
        <f>IF(BK71=".",".",s_RadSpec!$F$29*(CK29*$B71))</f>
        <v>.</v>
      </c>
      <c r="CL71" s="94" t="str">
        <f>IF(BL71=".",".",s_RadSpec!$F$29*(CL29*$B71))</f>
        <v>.</v>
      </c>
      <c r="CM71" s="94" t="str">
        <f>IF(BM71=".",".",s_RadSpec!$F$29*(CM29*$B71))</f>
        <v>.</v>
      </c>
      <c r="CN71" s="94" t="str">
        <f>IF(BN71=".",".",s_RadSpec!$F$29*(CN29*$B71))</f>
        <v>.</v>
      </c>
      <c r="CO71" s="94" t="str">
        <f>IF(BO71=".",".",s_RadSpec!$F$29*(CO29*$B71))</f>
        <v>.</v>
      </c>
      <c r="CP71" s="94" t="str">
        <f>IF(BP71=".",".",s_RadSpec!$F$29*(CP29*$B71))</f>
        <v>.</v>
      </c>
      <c r="CQ71" s="94" t="str">
        <f>IF(BQ71=".",".",s_RadSpec!$F$29*(CQ29*$B71))</f>
        <v>.</v>
      </c>
      <c r="CR71" s="94" t="str">
        <f>IF(BR71=".",".",s_RadSpec!$F$29*(CR29*$B71))</f>
        <v>.</v>
      </c>
      <c r="CS71" s="94" t="str">
        <f>IF(BS71=".",".",s_RadSpec!$F$29*(CS29*$B71))</f>
        <v>.</v>
      </c>
      <c r="CT71" s="94" t="str">
        <f>IF(BT71=".",".",s_RadSpec!$F$29*(CT29*$B71))</f>
        <v>.</v>
      </c>
      <c r="CU71" s="94" t="str">
        <f>IF(BU71=".",".",s_RadSpec!$F$29*(CU29*$B71))</f>
        <v>.</v>
      </c>
      <c r="CV71" s="94" t="str">
        <f>IF(BV71=".",".",s_RadSpec!$F$29*(CV29*$B71))</f>
        <v>.</v>
      </c>
      <c r="CW71" s="94" t="str">
        <f>IF(BW71=".",".",s_RadSpec!$F$29*(CW29*$B71))</f>
        <v>.</v>
      </c>
      <c r="CX71" s="94" t="str">
        <f>IF(BX71=".",".",s_RadSpec!$F$29*(CX29*$B71))</f>
        <v>.</v>
      </c>
      <c r="CY71" s="94" t="str">
        <f>IF(BY71=".",".",s_RadSpec!$F$29*(CY29*$B71))</f>
        <v>.</v>
      </c>
      <c r="CZ71" s="94" t="str">
        <f>IF(BZ71=".",".",s_RadSpec!$F$29*(CZ29*$B71))</f>
        <v>.</v>
      </c>
      <c r="DA71" s="94" t="str">
        <f>IF(CA71=".",".",s_RadSpec!$F$29*(DA29*$B71))</f>
        <v>.</v>
      </c>
      <c r="DB71" s="94" t="str">
        <f>IF(CB71=".",".",s_RadSpec!$F$29*(DB29*$B71))</f>
        <v>.</v>
      </c>
    </row>
    <row r="72" spans="1:106" x14ac:dyDescent="0.25">
      <c r="A72" s="77" t="s">
        <v>1079</v>
      </c>
      <c r="B72" s="42">
        <v>1</v>
      </c>
      <c r="C72" s="60">
        <f t="shared" ref="C72:AB72" si="98">IFERROR(C16/$B58,".")</f>
        <v>9.7013700832175243</v>
      </c>
      <c r="D72" s="60">
        <f t="shared" si="98"/>
        <v>37.273902332498309</v>
      </c>
      <c r="E72" s="60">
        <f t="shared" si="98"/>
        <v>9.3683070033551896</v>
      </c>
      <c r="F72" s="60">
        <f t="shared" si="98"/>
        <v>30.734621221533693</v>
      </c>
      <c r="G72" s="60">
        <f t="shared" si="98"/>
        <v>37.273902332498309</v>
      </c>
      <c r="H72" s="60">
        <f t="shared" si="98"/>
        <v>30.734621221533693</v>
      </c>
      <c r="I72" s="60">
        <f t="shared" si="98"/>
        <v>9.3683070033551896</v>
      </c>
      <c r="J72" s="60">
        <f t="shared" si="98"/>
        <v>30.734621221533693</v>
      </c>
      <c r="K72" s="60">
        <f t="shared" si="98"/>
        <v>37.273902332498309</v>
      </c>
      <c r="L72" s="60">
        <f t="shared" si="98"/>
        <v>59.587530939708181</v>
      </c>
      <c r="M72" s="60">
        <f t="shared" si="98"/>
        <v>30.734621221533693</v>
      </c>
      <c r="N72" s="60">
        <f t="shared" si="98"/>
        <v>9.3683070033551896</v>
      </c>
      <c r="O72" s="60">
        <f t="shared" si="98"/>
        <v>46.592377915622883</v>
      </c>
      <c r="P72" s="60">
        <f t="shared" si="98"/>
        <v>30.734621221533693</v>
      </c>
      <c r="Q72" s="60">
        <f t="shared" si="98"/>
        <v>30.734621221533693</v>
      </c>
      <c r="R72" s="60">
        <f t="shared" si="98"/>
        <v>37.273902332498309</v>
      </c>
      <c r="S72" s="60">
        <f t="shared" si="98"/>
        <v>37.273902332498309</v>
      </c>
      <c r="T72" s="60">
        <f t="shared" si="98"/>
        <v>46.592377915622883</v>
      </c>
      <c r="U72" s="60">
        <f t="shared" si="98"/>
        <v>30.734621221533693</v>
      </c>
      <c r="V72" s="60">
        <f t="shared" si="98"/>
        <v>58.395780320914014</v>
      </c>
      <c r="W72" s="60">
        <f t="shared" si="98"/>
        <v>30.734621221533693</v>
      </c>
      <c r="X72" s="60">
        <f t="shared" si="98"/>
        <v>46.592377915622883</v>
      </c>
      <c r="Y72" s="60">
        <f t="shared" si="98"/>
        <v>37.273902332498309</v>
      </c>
      <c r="Z72" s="60">
        <f t="shared" si="98"/>
        <v>30.734621221533693</v>
      </c>
      <c r="AA72" s="60">
        <f t="shared" si="98"/>
        <v>63.519703032176231</v>
      </c>
      <c r="AB72" s="60">
        <f t="shared" si="98"/>
        <v>35.752518563824907</v>
      </c>
      <c r="AC72" s="94">
        <f t="shared" si="81"/>
        <v>2.5769556037500001</v>
      </c>
      <c r="AD72" s="94">
        <f>IF(D72=".",".",s_RadSpec!$F$16*(AD16*$B72))</f>
        <v>0.67071056250000005</v>
      </c>
      <c r="AE72" s="94">
        <f>IF(E72=".",".",s_RadSpec!$F$16*(AE16*$B72))</f>
        <v>2.6685718125000002</v>
      </c>
      <c r="AF72" s="94">
        <f>IF(F72=".",".",s_RadSpec!$F$16*(AF16*$B72))</f>
        <v>0.81341493749999993</v>
      </c>
      <c r="AG72" s="94">
        <f>IF(G72=".",".",s_RadSpec!$F$16*(AG16*$B72))</f>
        <v>0.67071056250000005</v>
      </c>
      <c r="AH72" s="94">
        <f>IF(H72=".",".",s_RadSpec!$F$16*(AH16*$B72))</f>
        <v>0.81341493749999993</v>
      </c>
      <c r="AI72" s="94">
        <f>IF(I72=".",".",s_RadSpec!$F$16*(AI16*$B72))</f>
        <v>2.6685718125000002</v>
      </c>
      <c r="AJ72" s="94">
        <f>IF(J72=".",".",s_RadSpec!$F$16*(AJ16*$B72))</f>
        <v>0.81341493749999993</v>
      </c>
      <c r="AK72" s="94">
        <f>IF(K72=".",".",s_RadSpec!$F$16*(AK16*$B72))</f>
        <v>0.67071056250000005</v>
      </c>
      <c r="AL72" s="94">
        <f>IF(L72=".",".",s_RadSpec!$F$16*(AL16*$B72))</f>
        <v>0.41955086249999995</v>
      </c>
      <c r="AM72" s="94">
        <f>IF(M72=".",".",s_RadSpec!$F$16*(AM16*$B72))</f>
        <v>0.81341493749999993</v>
      </c>
      <c r="AN72" s="94">
        <f>IF(N72=".",".",s_RadSpec!$F$16*(AN16*$B72))</f>
        <v>2.6685718125000002</v>
      </c>
      <c r="AO72" s="94">
        <f>IF(O72=".",".",s_RadSpec!$F$16*(AO16*$B72))</f>
        <v>0.53656845000000009</v>
      </c>
      <c r="AP72" s="94">
        <f>IF(P72=".",".",s_RadSpec!$F$16*(AP16*$B72))</f>
        <v>0.81341493749999993</v>
      </c>
      <c r="AQ72" s="94">
        <f>IF(Q72=".",".",s_RadSpec!$F$16*(AQ16*$B72))</f>
        <v>0.81341493749999993</v>
      </c>
      <c r="AR72" s="94">
        <f>IF(R72=".",".",s_RadSpec!$F$16*(AR16*$B72))</f>
        <v>0.67071056250000005</v>
      </c>
      <c r="AS72" s="94">
        <f>IF(S72=".",".",s_RadSpec!$F$16*(AS16*$B72))</f>
        <v>0.67071056250000005</v>
      </c>
      <c r="AT72" s="94">
        <f>IF(T72=".",".",s_RadSpec!$F$16*(AT16*$B72))</f>
        <v>0.53656845000000009</v>
      </c>
      <c r="AU72" s="94">
        <f>IF(U72=".",".",s_RadSpec!$F$16*(AU16*$B72))</f>
        <v>0.81341493749999993</v>
      </c>
      <c r="AV72" s="94">
        <f>IF(V72=".",".",s_RadSpec!$F$16*(AV16*$B72))</f>
        <v>0.42811312499999998</v>
      </c>
      <c r="AW72" s="94">
        <f>IF(W72=".",".",s_RadSpec!$F$16*(AW16*$B72))</f>
        <v>0.81341493749999993</v>
      </c>
      <c r="AX72" s="94">
        <f>IF(X72=".",".",s_RadSpec!$F$16*(AX16*$B72))</f>
        <v>0.53656845000000009</v>
      </c>
      <c r="AY72" s="94">
        <f>IF(Y72=".",".",s_RadSpec!$F$16*(AY16*$B72))</f>
        <v>0.67071056250000005</v>
      </c>
      <c r="AZ72" s="94">
        <f>IF(Z72=".",".",s_RadSpec!$F$16*(AZ16*$B72))</f>
        <v>0.81341493749999993</v>
      </c>
      <c r="BA72" s="94">
        <f>IF(AA72=".",".",s_RadSpec!$F$16*(BA16*$B72))</f>
        <v>0.39357866624999999</v>
      </c>
      <c r="BB72" s="94">
        <f>IF(AB72=".",".",s_RadSpec!$F$16*(BB16*$B72))</f>
        <v>0.69925143749999996</v>
      </c>
      <c r="BC72" s="60">
        <f t="shared" ref="BC72:CB72" si="99">IFERROR(BC16/$B58,".")</f>
        <v>9.7013700832175243</v>
      </c>
      <c r="BD72" s="60">
        <f t="shared" si="99"/>
        <v>37.273902332498309</v>
      </c>
      <c r="BE72" s="60">
        <f t="shared" si="99"/>
        <v>9.3683070033551896</v>
      </c>
      <c r="BF72" s="60">
        <f t="shared" si="99"/>
        <v>30.734621221533693</v>
      </c>
      <c r="BG72" s="60">
        <f t="shared" si="99"/>
        <v>37.273902332498309</v>
      </c>
      <c r="BH72" s="60">
        <f t="shared" si="99"/>
        <v>30.734621221533693</v>
      </c>
      <c r="BI72" s="60">
        <f t="shared" si="99"/>
        <v>9.3683070033551896</v>
      </c>
      <c r="BJ72" s="60">
        <f t="shared" si="99"/>
        <v>30.734621221533693</v>
      </c>
      <c r="BK72" s="60">
        <f t="shared" si="99"/>
        <v>37.273902332498309</v>
      </c>
      <c r="BL72" s="60">
        <f t="shared" si="99"/>
        <v>59.587530939708181</v>
      </c>
      <c r="BM72" s="60">
        <f t="shared" si="99"/>
        <v>30.734621221533693</v>
      </c>
      <c r="BN72" s="60">
        <f t="shared" si="99"/>
        <v>9.3683070033551896</v>
      </c>
      <c r="BO72" s="60">
        <f t="shared" si="99"/>
        <v>46.592377915622883</v>
      </c>
      <c r="BP72" s="60">
        <f t="shared" si="99"/>
        <v>30.734621221533693</v>
      </c>
      <c r="BQ72" s="60">
        <f t="shared" si="99"/>
        <v>30.734621221533693</v>
      </c>
      <c r="BR72" s="60">
        <f t="shared" si="99"/>
        <v>37.273902332498309</v>
      </c>
      <c r="BS72" s="60">
        <f t="shared" si="99"/>
        <v>37.273902332498309</v>
      </c>
      <c r="BT72" s="60">
        <f t="shared" si="99"/>
        <v>46.592377915622883</v>
      </c>
      <c r="BU72" s="60">
        <f t="shared" si="99"/>
        <v>30.734621221533693</v>
      </c>
      <c r="BV72" s="60">
        <f t="shared" si="99"/>
        <v>58.395780320914014</v>
      </c>
      <c r="BW72" s="60">
        <f t="shared" si="99"/>
        <v>30.734621221533693</v>
      </c>
      <c r="BX72" s="60">
        <f t="shared" si="99"/>
        <v>46.592377915622883</v>
      </c>
      <c r="BY72" s="60">
        <f t="shared" si="99"/>
        <v>37.273902332498309</v>
      </c>
      <c r="BZ72" s="60">
        <f t="shared" si="99"/>
        <v>30.734621221533693</v>
      </c>
      <c r="CA72" s="60">
        <f t="shared" si="99"/>
        <v>63.519703032176231</v>
      </c>
      <c r="CB72" s="60">
        <f t="shared" si="99"/>
        <v>35.752518563824907</v>
      </c>
      <c r="CC72" s="94">
        <f t="shared" si="83"/>
        <v>2.5769556037500001</v>
      </c>
      <c r="CD72" s="94">
        <f>IF(BD72=".",".",s_RadSpec!$F$16*(CD16*$B72))</f>
        <v>0.67071056250000005</v>
      </c>
      <c r="CE72" s="94">
        <f>IF(BE72=".",".",s_RadSpec!$F$16*(CE16*$B72))</f>
        <v>2.6685718125000002</v>
      </c>
      <c r="CF72" s="94">
        <f>IF(BF72=".",".",s_RadSpec!$F$16*(CF16*$B72))</f>
        <v>0.81341493749999993</v>
      </c>
      <c r="CG72" s="94">
        <f>IF(BG72=".",".",s_RadSpec!$F$16*(CG16*$B72))</f>
        <v>0.67071056250000005</v>
      </c>
      <c r="CH72" s="94">
        <f>IF(BH72=".",".",s_RadSpec!$F$16*(CH16*$B72))</f>
        <v>0.81341493749999993</v>
      </c>
      <c r="CI72" s="94">
        <f>IF(BI72=".",".",s_RadSpec!$F$16*(CI16*$B72))</f>
        <v>2.6685718125000002</v>
      </c>
      <c r="CJ72" s="94">
        <f>IF(BJ72=".",".",s_RadSpec!$F$16*(CJ16*$B72))</f>
        <v>0.81341493749999993</v>
      </c>
      <c r="CK72" s="94">
        <f>IF(BK72=".",".",s_RadSpec!$F$16*(CK16*$B72))</f>
        <v>0.67071056250000005</v>
      </c>
      <c r="CL72" s="94">
        <f>IF(BL72=".",".",s_RadSpec!$F$16*(CL16*$B72))</f>
        <v>0.41955086249999995</v>
      </c>
      <c r="CM72" s="94">
        <f>IF(BM72=".",".",s_RadSpec!$F$16*(CM16*$B72))</f>
        <v>0.81341493749999993</v>
      </c>
      <c r="CN72" s="94">
        <f>IF(BN72=".",".",s_RadSpec!$F$16*(CN16*$B72))</f>
        <v>2.6685718125000002</v>
      </c>
      <c r="CO72" s="94">
        <f>IF(BO72=".",".",s_RadSpec!$F$16*(CO16*$B72))</f>
        <v>0.53656845000000009</v>
      </c>
      <c r="CP72" s="94">
        <f>IF(BP72=".",".",s_RadSpec!$F$16*(CP16*$B72))</f>
        <v>0.81341493749999993</v>
      </c>
      <c r="CQ72" s="94">
        <f>IF(BQ72=".",".",s_RadSpec!$F$16*(CQ16*$B72))</f>
        <v>0.81341493749999993</v>
      </c>
      <c r="CR72" s="94">
        <f>IF(BR72=".",".",s_RadSpec!$F$16*(CR16*$B72))</f>
        <v>0.67071056250000005</v>
      </c>
      <c r="CS72" s="94">
        <f>IF(BS72=".",".",s_RadSpec!$F$16*(CS16*$B72))</f>
        <v>0.67071056250000005</v>
      </c>
      <c r="CT72" s="94">
        <f>IF(BT72=".",".",s_RadSpec!$F$16*(CT16*$B72))</f>
        <v>0.53656845000000009</v>
      </c>
      <c r="CU72" s="94">
        <f>IF(BU72=".",".",s_RadSpec!$F$16*(CU16*$B72))</f>
        <v>0.81341493749999993</v>
      </c>
      <c r="CV72" s="94">
        <f>IF(BV72=".",".",s_RadSpec!$F$16*(CV16*$B72))</f>
        <v>0.42811312499999998</v>
      </c>
      <c r="CW72" s="94">
        <f>IF(BW72=".",".",s_RadSpec!$F$16*(CW16*$B72))</f>
        <v>0.81341493749999993</v>
      </c>
      <c r="CX72" s="94">
        <f>IF(BX72=".",".",s_RadSpec!$F$16*(CX16*$B72))</f>
        <v>0.53656845000000009</v>
      </c>
      <c r="CY72" s="94">
        <f>IF(BY72=".",".",s_RadSpec!$F$16*(CY16*$B72))</f>
        <v>0.67071056250000005</v>
      </c>
      <c r="CZ72" s="94">
        <f>IF(BZ72=".",".",s_RadSpec!$F$16*(CZ16*$B72))</f>
        <v>0.81341493749999993</v>
      </c>
      <c r="DA72" s="94">
        <f>IF(CA72=".",".",s_RadSpec!$F$16*(DA16*$B72))</f>
        <v>0.39357866624999999</v>
      </c>
      <c r="DB72" s="94">
        <f>IF(CB72=".",".",s_RadSpec!$F$16*(DB16*$B72))</f>
        <v>0.69925143749999996</v>
      </c>
    </row>
    <row r="73" spans="1:106" x14ac:dyDescent="0.25">
      <c r="A73" s="77" t="s">
        <v>1080</v>
      </c>
      <c r="B73" s="42">
        <v>1</v>
      </c>
      <c r="C73" s="60">
        <f t="shared" ref="C73:AB73" si="100">IFERROR(C7/$B59,".")</f>
        <v>1093.3130676823109</v>
      </c>
      <c r="D73" s="60">
        <f t="shared" si="100"/>
        <v>4373.2522707292437</v>
      </c>
      <c r="E73" s="60">
        <f t="shared" si="100"/>
        <v>4373.2522707292437</v>
      </c>
      <c r="F73" s="60">
        <f t="shared" si="100"/>
        <v>4373.2522707292437</v>
      </c>
      <c r="G73" s="60">
        <f t="shared" si="100"/>
        <v>4373.2522707292437</v>
      </c>
      <c r="H73" s="60">
        <f t="shared" si="100"/>
        <v>4373.2522707292437</v>
      </c>
      <c r="I73" s="60">
        <f t="shared" si="100"/>
        <v>4373.2522707292437</v>
      </c>
      <c r="J73" s="60">
        <f t="shared" si="100"/>
        <v>4373.2522707292437</v>
      </c>
      <c r="K73" s="60">
        <f t="shared" si="100"/>
        <v>4373.2522707292437</v>
      </c>
      <c r="L73" s="60">
        <f t="shared" si="100"/>
        <v>4373.2522707292437</v>
      </c>
      <c r="M73" s="60">
        <f t="shared" si="100"/>
        <v>4373.2522707292437</v>
      </c>
      <c r="N73" s="60">
        <f t="shared" si="100"/>
        <v>4373.2522707292437</v>
      </c>
      <c r="O73" s="60">
        <f t="shared" si="100"/>
        <v>4373.2522707292437</v>
      </c>
      <c r="P73" s="60">
        <f t="shared" si="100"/>
        <v>4373.2522707292437</v>
      </c>
      <c r="Q73" s="60">
        <f t="shared" si="100"/>
        <v>4373.2522707292437</v>
      </c>
      <c r="R73" s="60">
        <f t="shared" si="100"/>
        <v>4373.2522707292437</v>
      </c>
      <c r="S73" s="60">
        <f t="shared" si="100"/>
        <v>4373.2522707292437</v>
      </c>
      <c r="T73" s="60">
        <f t="shared" si="100"/>
        <v>4373.2522707292437</v>
      </c>
      <c r="U73" s="60">
        <f t="shared" si="100"/>
        <v>4373.2522707292437</v>
      </c>
      <c r="V73" s="60">
        <f t="shared" si="100"/>
        <v>4373.2522707292437</v>
      </c>
      <c r="W73" s="60">
        <f t="shared" si="100"/>
        <v>4373.2522707292437</v>
      </c>
      <c r="X73" s="60">
        <f t="shared" si="100"/>
        <v>4373.2522707292437</v>
      </c>
      <c r="Y73" s="60">
        <f t="shared" si="100"/>
        <v>4373.2522707292437</v>
      </c>
      <c r="Z73" s="60">
        <f t="shared" si="100"/>
        <v>4373.2522707292437</v>
      </c>
      <c r="AA73" s="60">
        <f t="shared" si="100"/>
        <v>4373.2522707292437</v>
      </c>
      <c r="AB73" s="60">
        <f t="shared" si="100"/>
        <v>4373.2522707292437</v>
      </c>
      <c r="AC73" s="94">
        <f t="shared" si="81"/>
        <v>2.2866277500000001E-2</v>
      </c>
      <c r="AD73" s="94">
        <f>IF(D73=".",".",s_RadSpec!$F$7*(AD7*$B73))</f>
        <v>5.7165693750000001E-3</v>
      </c>
      <c r="AE73" s="94">
        <f>IF(E73=".",".",s_RadSpec!$F$7*(AE7*$B73))</f>
        <v>5.7165693750000001E-3</v>
      </c>
      <c r="AF73" s="94">
        <f>IF(F73=".",".",s_RadSpec!$F$7*(AF7*$B73))</f>
        <v>5.7165693750000001E-3</v>
      </c>
      <c r="AG73" s="94">
        <f>IF(G73=".",".",s_RadSpec!$F$7*(AG7*$B73))</f>
        <v>5.7165693750000001E-3</v>
      </c>
      <c r="AH73" s="94">
        <f>IF(H73=".",".",s_RadSpec!$F$7*(AH7*$B73))</f>
        <v>5.7165693750000001E-3</v>
      </c>
      <c r="AI73" s="94">
        <f>IF(I73=".",".",s_RadSpec!$F$7*(AI7*$B73))</f>
        <v>5.7165693750000001E-3</v>
      </c>
      <c r="AJ73" s="94">
        <f>IF(J73=".",".",s_RadSpec!$F$7*(AJ7*$B73))</f>
        <v>5.7165693750000001E-3</v>
      </c>
      <c r="AK73" s="94">
        <f>IF(K73=".",".",s_RadSpec!$F$7*(AK7*$B73))</f>
        <v>5.7165693750000001E-3</v>
      </c>
      <c r="AL73" s="94">
        <f>IF(L73=".",".",s_RadSpec!$F$7*(AL7*$B73))</f>
        <v>5.7165693750000001E-3</v>
      </c>
      <c r="AM73" s="94">
        <f>IF(M73=".",".",s_RadSpec!$F$7*(AM7*$B73))</f>
        <v>5.7165693750000001E-3</v>
      </c>
      <c r="AN73" s="94">
        <f>IF(N73=".",".",s_RadSpec!$F$7*(AN7*$B73))</f>
        <v>5.7165693750000001E-3</v>
      </c>
      <c r="AO73" s="94">
        <f>IF(O73=".",".",s_RadSpec!$F$7*(AO7*$B73))</f>
        <v>5.7165693750000001E-3</v>
      </c>
      <c r="AP73" s="94">
        <f>IF(P73=".",".",s_RadSpec!$F$7*(AP7*$B73))</f>
        <v>5.7165693750000001E-3</v>
      </c>
      <c r="AQ73" s="94">
        <f>IF(Q73=".",".",s_RadSpec!$F$7*(AQ7*$B73))</f>
        <v>5.7165693750000001E-3</v>
      </c>
      <c r="AR73" s="94">
        <f>IF(R73=".",".",s_RadSpec!$F$7*(AR7*$B73))</f>
        <v>5.7165693750000001E-3</v>
      </c>
      <c r="AS73" s="94">
        <f>IF(S73=".",".",s_RadSpec!$F$7*(AS7*$B73))</f>
        <v>5.7165693750000001E-3</v>
      </c>
      <c r="AT73" s="94">
        <f>IF(T73=".",".",s_RadSpec!$F$7*(AT7*$B73))</f>
        <v>5.7165693750000001E-3</v>
      </c>
      <c r="AU73" s="94">
        <f>IF(U73=".",".",s_RadSpec!$F$7*(AU7*$B73))</f>
        <v>5.7165693750000001E-3</v>
      </c>
      <c r="AV73" s="94">
        <f>IF(V73=".",".",s_RadSpec!$F$7*(AV7*$B73))</f>
        <v>5.7165693750000001E-3</v>
      </c>
      <c r="AW73" s="94">
        <f>IF(W73=".",".",s_RadSpec!$F$7*(AW7*$B73))</f>
        <v>5.7165693750000001E-3</v>
      </c>
      <c r="AX73" s="94">
        <f>IF(X73=".",".",s_RadSpec!$F$7*(AX7*$B73))</f>
        <v>5.7165693750000001E-3</v>
      </c>
      <c r="AY73" s="94">
        <f>IF(Y73=".",".",s_RadSpec!$F$7*(AY7*$B73))</f>
        <v>5.7165693750000001E-3</v>
      </c>
      <c r="AZ73" s="94">
        <f>IF(Z73=".",".",s_RadSpec!$F$7*(AZ7*$B73))</f>
        <v>5.7165693750000001E-3</v>
      </c>
      <c r="BA73" s="94">
        <f>IF(AA73=".",".",s_RadSpec!$F$7*(BA7*$B73))</f>
        <v>5.7165693750000001E-3</v>
      </c>
      <c r="BB73" s="94">
        <f>IF(AB73=".",".",s_RadSpec!$F$7*(BB7*$B73))</f>
        <v>5.7165693750000001E-3</v>
      </c>
      <c r="BC73" s="60">
        <f t="shared" ref="BC73:CB73" si="101">IFERROR(BC7/$B59,".")</f>
        <v>1093.3130676823109</v>
      </c>
      <c r="BD73" s="60">
        <f t="shared" si="101"/>
        <v>4373.2522707292437</v>
      </c>
      <c r="BE73" s="60">
        <f t="shared" si="101"/>
        <v>4373.2522707292437</v>
      </c>
      <c r="BF73" s="60">
        <f t="shared" si="101"/>
        <v>4373.2522707292437</v>
      </c>
      <c r="BG73" s="60">
        <f t="shared" si="101"/>
        <v>4373.2522707292437</v>
      </c>
      <c r="BH73" s="60">
        <f t="shared" si="101"/>
        <v>4373.2522707292437</v>
      </c>
      <c r="BI73" s="60">
        <f t="shared" si="101"/>
        <v>4373.2522707292437</v>
      </c>
      <c r="BJ73" s="60">
        <f t="shared" si="101"/>
        <v>4373.2522707292437</v>
      </c>
      <c r="BK73" s="60">
        <f t="shared" si="101"/>
        <v>4373.2522707292437</v>
      </c>
      <c r="BL73" s="60">
        <f t="shared" si="101"/>
        <v>4373.2522707292437</v>
      </c>
      <c r="BM73" s="60">
        <f t="shared" si="101"/>
        <v>4373.2522707292437</v>
      </c>
      <c r="BN73" s="60">
        <f t="shared" si="101"/>
        <v>4373.2522707292437</v>
      </c>
      <c r="BO73" s="60">
        <f t="shared" si="101"/>
        <v>4373.2522707292437</v>
      </c>
      <c r="BP73" s="60">
        <f t="shared" si="101"/>
        <v>4373.2522707292437</v>
      </c>
      <c r="BQ73" s="60">
        <f t="shared" si="101"/>
        <v>4373.2522707292437</v>
      </c>
      <c r="BR73" s="60">
        <f t="shared" si="101"/>
        <v>4373.2522707292437</v>
      </c>
      <c r="BS73" s="60">
        <f t="shared" si="101"/>
        <v>4373.2522707292437</v>
      </c>
      <c r="BT73" s="60">
        <f t="shared" si="101"/>
        <v>4373.2522707292437</v>
      </c>
      <c r="BU73" s="60">
        <f t="shared" si="101"/>
        <v>4373.2522707292437</v>
      </c>
      <c r="BV73" s="60">
        <f t="shared" si="101"/>
        <v>4373.2522707292437</v>
      </c>
      <c r="BW73" s="60">
        <f t="shared" si="101"/>
        <v>4373.2522707292437</v>
      </c>
      <c r="BX73" s="60">
        <f t="shared" si="101"/>
        <v>4373.2522707292437</v>
      </c>
      <c r="BY73" s="60">
        <f t="shared" si="101"/>
        <v>4373.2522707292437</v>
      </c>
      <c r="BZ73" s="60">
        <f t="shared" si="101"/>
        <v>4373.2522707292437</v>
      </c>
      <c r="CA73" s="60">
        <f t="shared" si="101"/>
        <v>4373.2522707292437</v>
      </c>
      <c r="CB73" s="60">
        <f t="shared" si="101"/>
        <v>4373.2522707292437</v>
      </c>
      <c r="CC73" s="94">
        <f t="shared" si="83"/>
        <v>2.2866277500000001E-2</v>
      </c>
      <c r="CD73" s="94">
        <f>IF(BD73=".",".",s_RadSpec!$F$7*(CD7*$B73))</f>
        <v>5.7165693750000001E-3</v>
      </c>
      <c r="CE73" s="94">
        <f>IF(BE73=".",".",s_RadSpec!$F$7*(CE7*$B73))</f>
        <v>5.7165693750000001E-3</v>
      </c>
      <c r="CF73" s="94">
        <f>IF(BF73=".",".",s_RadSpec!$F$7*(CF7*$B73))</f>
        <v>5.7165693750000001E-3</v>
      </c>
      <c r="CG73" s="94">
        <f>IF(BG73=".",".",s_RadSpec!$F$7*(CG7*$B73))</f>
        <v>5.7165693750000001E-3</v>
      </c>
      <c r="CH73" s="94">
        <f>IF(BH73=".",".",s_RadSpec!$F$7*(CH7*$B73))</f>
        <v>5.7165693750000001E-3</v>
      </c>
      <c r="CI73" s="94">
        <f>IF(BI73=".",".",s_RadSpec!$F$7*(CI7*$B73))</f>
        <v>5.7165693750000001E-3</v>
      </c>
      <c r="CJ73" s="94">
        <f>IF(BJ73=".",".",s_RadSpec!$F$7*(CJ7*$B73))</f>
        <v>5.7165693750000001E-3</v>
      </c>
      <c r="CK73" s="94">
        <f>IF(BK73=".",".",s_RadSpec!$F$7*(CK7*$B73))</f>
        <v>5.7165693750000001E-3</v>
      </c>
      <c r="CL73" s="94">
        <f>IF(BL73=".",".",s_RadSpec!$F$7*(CL7*$B73))</f>
        <v>5.7165693750000001E-3</v>
      </c>
      <c r="CM73" s="94">
        <f>IF(BM73=".",".",s_RadSpec!$F$7*(CM7*$B73))</f>
        <v>5.7165693750000001E-3</v>
      </c>
      <c r="CN73" s="94">
        <f>IF(BN73=".",".",s_RadSpec!$F$7*(CN7*$B73))</f>
        <v>5.7165693750000001E-3</v>
      </c>
      <c r="CO73" s="94">
        <f>IF(BO73=".",".",s_RadSpec!$F$7*(CO7*$B73))</f>
        <v>5.7165693750000001E-3</v>
      </c>
      <c r="CP73" s="94">
        <f>IF(BP73=".",".",s_RadSpec!$F$7*(CP7*$B73))</f>
        <v>5.7165693750000001E-3</v>
      </c>
      <c r="CQ73" s="94">
        <f>IF(BQ73=".",".",s_RadSpec!$F$7*(CQ7*$B73))</f>
        <v>5.7165693750000001E-3</v>
      </c>
      <c r="CR73" s="94">
        <f>IF(BR73=".",".",s_RadSpec!$F$7*(CR7*$B73))</f>
        <v>5.7165693750000001E-3</v>
      </c>
      <c r="CS73" s="94">
        <f>IF(BS73=".",".",s_RadSpec!$F$7*(CS7*$B73))</f>
        <v>5.7165693750000001E-3</v>
      </c>
      <c r="CT73" s="94">
        <f>IF(BT73=".",".",s_RadSpec!$F$7*(CT7*$B73))</f>
        <v>5.7165693750000001E-3</v>
      </c>
      <c r="CU73" s="94">
        <f>IF(BU73=".",".",s_RadSpec!$F$7*(CU7*$B73))</f>
        <v>5.7165693750000001E-3</v>
      </c>
      <c r="CV73" s="94">
        <f>IF(BV73=".",".",s_RadSpec!$F$7*(CV7*$B73))</f>
        <v>5.7165693750000001E-3</v>
      </c>
      <c r="CW73" s="94">
        <f>IF(BW73=".",".",s_RadSpec!$F$7*(CW7*$B73))</f>
        <v>5.7165693750000001E-3</v>
      </c>
      <c r="CX73" s="94">
        <f>IF(BX73=".",".",s_RadSpec!$F$7*(CX7*$B73))</f>
        <v>5.7165693750000001E-3</v>
      </c>
      <c r="CY73" s="94">
        <f>IF(BY73=".",".",s_RadSpec!$F$7*(CY7*$B73))</f>
        <v>5.7165693750000001E-3</v>
      </c>
      <c r="CZ73" s="94">
        <f>IF(BZ73=".",".",s_RadSpec!$F$7*(CZ7*$B73))</f>
        <v>5.7165693750000001E-3</v>
      </c>
      <c r="DA73" s="94">
        <f>IF(CA73=".",".",s_RadSpec!$F$7*(DA7*$B73))</f>
        <v>5.7165693750000001E-3</v>
      </c>
      <c r="DB73" s="94">
        <f>IF(CB73=".",".",s_RadSpec!$F$7*(DB7*$B73))</f>
        <v>5.7165693750000001E-3</v>
      </c>
    </row>
    <row r="74" spans="1:106" x14ac:dyDescent="0.25">
      <c r="A74" s="77" t="s">
        <v>1081</v>
      </c>
      <c r="B74" s="80">
        <v>1.9000000000000001E-8</v>
      </c>
      <c r="C74" s="60" t="str">
        <f t="shared" ref="C74:AB74" si="102">IFERROR(C12/$B60,".")</f>
        <v>.</v>
      </c>
      <c r="D74" s="60" t="str">
        <f t="shared" si="102"/>
        <v>.</v>
      </c>
      <c r="E74" s="60" t="str">
        <f t="shared" si="102"/>
        <v>.</v>
      </c>
      <c r="F74" s="60" t="str">
        <f t="shared" si="102"/>
        <v>.</v>
      </c>
      <c r="G74" s="60" t="str">
        <f t="shared" si="102"/>
        <v>.</v>
      </c>
      <c r="H74" s="60" t="str">
        <f t="shared" si="102"/>
        <v>.</v>
      </c>
      <c r="I74" s="60" t="str">
        <f t="shared" si="102"/>
        <v>.</v>
      </c>
      <c r="J74" s="60" t="str">
        <f t="shared" si="102"/>
        <v>.</v>
      </c>
      <c r="K74" s="60" t="str">
        <f t="shared" si="102"/>
        <v>.</v>
      </c>
      <c r="L74" s="60" t="str">
        <f t="shared" si="102"/>
        <v>.</v>
      </c>
      <c r="M74" s="60" t="str">
        <f t="shared" si="102"/>
        <v>.</v>
      </c>
      <c r="N74" s="60" t="str">
        <f t="shared" si="102"/>
        <v>.</v>
      </c>
      <c r="O74" s="60" t="str">
        <f t="shared" si="102"/>
        <v>.</v>
      </c>
      <c r="P74" s="60" t="str">
        <f t="shared" si="102"/>
        <v>.</v>
      </c>
      <c r="Q74" s="60" t="str">
        <f t="shared" si="102"/>
        <v>.</v>
      </c>
      <c r="R74" s="60" t="str">
        <f t="shared" si="102"/>
        <v>.</v>
      </c>
      <c r="S74" s="60" t="str">
        <f t="shared" si="102"/>
        <v>.</v>
      </c>
      <c r="T74" s="60" t="str">
        <f t="shared" si="102"/>
        <v>.</v>
      </c>
      <c r="U74" s="60" t="str">
        <f t="shared" si="102"/>
        <v>.</v>
      </c>
      <c r="V74" s="60" t="str">
        <f t="shared" si="102"/>
        <v>.</v>
      </c>
      <c r="W74" s="60" t="str">
        <f t="shared" si="102"/>
        <v>.</v>
      </c>
      <c r="X74" s="60" t="str">
        <f t="shared" si="102"/>
        <v>.</v>
      </c>
      <c r="Y74" s="60" t="str">
        <f t="shared" si="102"/>
        <v>.</v>
      </c>
      <c r="Z74" s="60" t="str">
        <f t="shared" si="102"/>
        <v>.</v>
      </c>
      <c r="AA74" s="60" t="str">
        <f t="shared" si="102"/>
        <v>.</v>
      </c>
      <c r="AB74" s="60" t="str">
        <f t="shared" si="102"/>
        <v>.</v>
      </c>
      <c r="AC74" s="94" t="str">
        <f t="shared" si="81"/>
        <v>.</v>
      </c>
      <c r="AD74" s="94" t="str">
        <f>IF(D74=".",".",s_RadSpec!$F$12*(AD12*$B74))</f>
        <v>.</v>
      </c>
      <c r="AE74" s="94" t="str">
        <f>IF(E74=".",".",s_RadSpec!$F$12*(AE12*$B74))</f>
        <v>.</v>
      </c>
      <c r="AF74" s="94" t="str">
        <f>IF(F74=".",".",s_RadSpec!$F$12*(AF12*$B74))</f>
        <v>.</v>
      </c>
      <c r="AG74" s="94" t="str">
        <f>IF(G74=".",".",s_RadSpec!$F$12*(AG12*$B74))</f>
        <v>.</v>
      </c>
      <c r="AH74" s="94" t="str">
        <f>IF(H74=".",".",s_RadSpec!$F$12*(AH12*$B74))</f>
        <v>.</v>
      </c>
      <c r="AI74" s="94" t="str">
        <f>IF(I74=".",".",s_RadSpec!$F$12*(AI12*$B74))</f>
        <v>.</v>
      </c>
      <c r="AJ74" s="94" t="str">
        <f>IF(J74=".",".",s_RadSpec!$F$12*(AJ12*$B74))</f>
        <v>.</v>
      </c>
      <c r="AK74" s="94" t="str">
        <f>IF(K74=".",".",s_RadSpec!$F$12*(AK12*$B74))</f>
        <v>.</v>
      </c>
      <c r="AL74" s="94" t="str">
        <f>IF(L74=".",".",s_RadSpec!$F$12*(AL12*$B74))</f>
        <v>.</v>
      </c>
      <c r="AM74" s="94" t="str">
        <f>IF(M74=".",".",s_RadSpec!$F$12*(AM12*$B74))</f>
        <v>.</v>
      </c>
      <c r="AN74" s="94" t="str">
        <f>IF(N74=".",".",s_RadSpec!$F$12*(AN12*$B74))</f>
        <v>.</v>
      </c>
      <c r="AO74" s="94" t="str">
        <f>IF(O74=".",".",s_RadSpec!$F$12*(AO12*$B74))</f>
        <v>.</v>
      </c>
      <c r="AP74" s="94" t="str">
        <f>IF(P74=".",".",s_RadSpec!$F$12*(AP12*$B74))</f>
        <v>.</v>
      </c>
      <c r="AQ74" s="94" t="str">
        <f>IF(Q74=".",".",s_RadSpec!$F$12*(AQ12*$B74))</f>
        <v>.</v>
      </c>
      <c r="AR74" s="94" t="str">
        <f>IF(R74=".",".",s_RadSpec!$F$12*(AR12*$B74))</f>
        <v>.</v>
      </c>
      <c r="AS74" s="94" t="str">
        <f>IF(S74=".",".",s_RadSpec!$F$12*(AS12*$B74))</f>
        <v>.</v>
      </c>
      <c r="AT74" s="94" t="str">
        <f>IF(T74=".",".",s_RadSpec!$F$12*(AT12*$B74))</f>
        <v>.</v>
      </c>
      <c r="AU74" s="94" t="str">
        <f>IF(U74=".",".",s_RadSpec!$F$12*(AU12*$B74))</f>
        <v>.</v>
      </c>
      <c r="AV74" s="94" t="str">
        <f>IF(V74=".",".",s_RadSpec!$F$12*(AV12*$B74))</f>
        <v>.</v>
      </c>
      <c r="AW74" s="94" t="str">
        <f>IF(W74=".",".",s_RadSpec!$F$12*(AW12*$B74))</f>
        <v>.</v>
      </c>
      <c r="AX74" s="94" t="str">
        <f>IF(X74=".",".",s_RadSpec!$F$12*(AX12*$B74))</f>
        <v>.</v>
      </c>
      <c r="AY74" s="94" t="str">
        <f>IF(Y74=".",".",s_RadSpec!$F$12*(AY12*$B74))</f>
        <v>.</v>
      </c>
      <c r="AZ74" s="94" t="str">
        <f>IF(Z74=".",".",s_RadSpec!$F$12*(AZ12*$B74))</f>
        <v>.</v>
      </c>
      <c r="BA74" s="94" t="str">
        <f>IF(AA74=".",".",s_RadSpec!$F$12*(BA12*$B74))</f>
        <v>.</v>
      </c>
      <c r="BB74" s="94" t="str">
        <f>IF(AB74=".",".",s_RadSpec!$F$12*(BB12*$B74))</f>
        <v>.</v>
      </c>
      <c r="BC74" s="60" t="str">
        <f t="shared" ref="BC74:CB74" si="103">IFERROR(BC12/$B60,".")</f>
        <v>.</v>
      </c>
      <c r="BD74" s="60" t="str">
        <f t="shared" si="103"/>
        <v>.</v>
      </c>
      <c r="BE74" s="60" t="str">
        <f t="shared" si="103"/>
        <v>.</v>
      </c>
      <c r="BF74" s="60" t="str">
        <f t="shared" si="103"/>
        <v>.</v>
      </c>
      <c r="BG74" s="60" t="str">
        <f t="shared" si="103"/>
        <v>.</v>
      </c>
      <c r="BH74" s="60" t="str">
        <f t="shared" si="103"/>
        <v>.</v>
      </c>
      <c r="BI74" s="60" t="str">
        <f t="shared" si="103"/>
        <v>.</v>
      </c>
      <c r="BJ74" s="60" t="str">
        <f t="shared" si="103"/>
        <v>.</v>
      </c>
      <c r="BK74" s="60" t="str">
        <f t="shared" si="103"/>
        <v>.</v>
      </c>
      <c r="BL74" s="60" t="str">
        <f t="shared" si="103"/>
        <v>.</v>
      </c>
      <c r="BM74" s="60" t="str">
        <f t="shared" si="103"/>
        <v>.</v>
      </c>
      <c r="BN74" s="60" t="str">
        <f t="shared" si="103"/>
        <v>.</v>
      </c>
      <c r="BO74" s="60" t="str">
        <f t="shared" si="103"/>
        <v>.</v>
      </c>
      <c r="BP74" s="60" t="str">
        <f t="shared" si="103"/>
        <v>.</v>
      </c>
      <c r="BQ74" s="60" t="str">
        <f t="shared" si="103"/>
        <v>.</v>
      </c>
      <c r="BR74" s="60" t="str">
        <f t="shared" si="103"/>
        <v>.</v>
      </c>
      <c r="BS74" s="60" t="str">
        <f t="shared" si="103"/>
        <v>.</v>
      </c>
      <c r="BT74" s="60" t="str">
        <f t="shared" si="103"/>
        <v>.</v>
      </c>
      <c r="BU74" s="60" t="str">
        <f t="shared" si="103"/>
        <v>.</v>
      </c>
      <c r="BV74" s="60" t="str">
        <f t="shared" si="103"/>
        <v>.</v>
      </c>
      <c r="BW74" s="60" t="str">
        <f t="shared" si="103"/>
        <v>.</v>
      </c>
      <c r="BX74" s="60" t="str">
        <f t="shared" si="103"/>
        <v>.</v>
      </c>
      <c r="BY74" s="60" t="str">
        <f t="shared" si="103"/>
        <v>.</v>
      </c>
      <c r="BZ74" s="60" t="str">
        <f t="shared" si="103"/>
        <v>.</v>
      </c>
      <c r="CA74" s="60" t="str">
        <f t="shared" si="103"/>
        <v>.</v>
      </c>
      <c r="CB74" s="60" t="str">
        <f t="shared" si="103"/>
        <v>.</v>
      </c>
      <c r="CC74" s="94" t="str">
        <f t="shared" si="83"/>
        <v>.</v>
      </c>
      <c r="CD74" s="94" t="str">
        <f>IF(BD74=".",".",s_RadSpec!$F$12*(CD12*$B74))</f>
        <v>.</v>
      </c>
      <c r="CE74" s="94" t="str">
        <f>IF(BE74=".",".",s_RadSpec!$F$12*(CE12*$B74))</f>
        <v>.</v>
      </c>
      <c r="CF74" s="94" t="str">
        <f>IF(BF74=".",".",s_RadSpec!$F$12*(CF12*$B74))</f>
        <v>.</v>
      </c>
      <c r="CG74" s="94" t="str">
        <f>IF(BG74=".",".",s_RadSpec!$F$12*(CG12*$B74))</f>
        <v>.</v>
      </c>
      <c r="CH74" s="94" t="str">
        <f>IF(BH74=".",".",s_RadSpec!$F$12*(CH12*$B74))</f>
        <v>.</v>
      </c>
      <c r="CI74" s="94" t="str">
        <f>IF(BI74=".",".",s_RadSpec!$F$12*(CI12*$B74))</f>
        <v>.</v>
      </c>
      <c r="CJ74" s="94" t="str">
        <f>IF(BJ74=".",".",s_RadSpec!$F$12*(CJ12*$B74))</f>
        <v>.</v>
      </c>
      <c r="CK74" s="94" t="str">
        <f>IF(BK74=".",".",s_RadSpec!$F$12*(CK12*$B74))</f>
        <v>.</v>
      </c>
      <c r="CL74" s="94" t="str">
        <f>IF(BL74=".",".",s_RadSpec!$F$12*(CL12*$B74))</f>
        <v>.</v>
      </c>
      <c r="CM74" s="94" t="str">
        <f>IF(BM74=".",".",s_RadSpec!$F$12*(CM12*$B74))</f>
        <v>.</v>
      </c>
      <c r="CN74" s="94" t="str">
        <f>IF(BN74=".",".",s_RadSpec!$F$12*(CN12*$B74))</f>
        <v>.</v>
      </c>
      <c r="CO74" s="94" t="str">
        <f>IF(BO74=".",".",s_RadSpec!$F$12*(CO12*$B74))</f>
        <v>.</v>
      </c>
      <c r="CP74" s="94" t="str">
        <f>IF(BP74=".",".",s_RadSpec!$F$12*(CP12*$B74))</f>
        <v>.</v>
      </c>
      <c r="CQ74" s="94" t="str">
        <f>IF(BQ74=".",".",s_RadSpec!$F$12*(CQ12*$B74))</f>
        <v>.</v>
      </c>
      <c r="CR74" s="94" t="str">
        <f>IF(BR74=".",".",s_RadSpec!$F$12*(CR12*$B74))</f>
        <v>.</v>
      </c>
      <c r="CS74" s="94" t="str">
        <f>IF(BS74=".",".",s_RadSpec!$F$12*(CS12*$B74))</f>
        <v>.</v>
      </c>
      <c r="CT74" s="94" t="str">
        <f>IF(BT74=".",".",s_RadSpec!$F$12*(CT12*$B74))</f>
        <v>.</v>
      </c>
      <c r="CU74" s="94" t="str">
        <f>IF(BU74=".",".",s_RadSpec!$F$12*(CU12*$B74))</f>
        <v>.</v>
      </c>
      <c r="CV74" s="94" t="str">
        <f>IF(BV74=".",".",s_RadSpec!$F$12*(CV12*$B74))</f>
        <v>.</v>
      </c>
      <c r="CW74" s="94" t="str">
        <f>IF(BW74=".",".",s_RadSpec!$F$12*(CW12*$B74))</f>
        <v>.</v>
      </c>
      <c r="CX74" s="94" t="str">
        <f>IF(BX74=".",".",s_RadSpec!$F$12*(CX12*$B74))</f>
        <v>.</v>
      </c>
      <c r="CY74" s="94" t="str">
        <f>IF(BY74=".",".",s_RadSpec!$F$12*(CY12*$B74))</f>
        <v>.</v>
      </c>
      <c r="CZ74" s="94" t="str">
        <f>IF(BZ74=".",".",s_RadSpec!$F$12*(CZ12*$B74))</f>
        <v>.</v>
      </c>
      <c r="DA74" s="94" t="str">
        <f>IF(CA74=".",".",s_RadSpec!$F$12*(DA12*$B74))</f>
        <v>.</v>
      </c>
      <c r="DB74" s="94" t="str">
        <f>IF(CB74=".",".",s_RadSpec!$F$12*(DB12*$B74))</f>
        <v>.</v>
      </c>
    </row>
    <row r="75" spans="1:106" x14ac:dyDescent="0.25">
      <c r="A75" s="77" t="s">
        <v>1082</v>
      </c>
      <c r="B75" s="42">
        <v>1</v>
      </c>
      <c r="C75" s="60">
        <f t="shared" ref="C75:AB75" si="104">IFERROR(C18/$B61,".")</f>
        <v>7.5479888393172621</v>
      </c>
      <c r="D75" s="60">
        <f t="shared" si="104"/>
        <v>37.266128838789754</v>
      </c>
      <c r="E75" s="60">
        <f t="shared" si="104"/>
        <v>24.428036607244959</v>
      </c>
      <c r="F75" s="60">
        <f t="shared" si="104"/>
        <v>26.453158813026931</v>
      </c>
      <c r="G75" s="60">
        <f t="shared" si="104"/>
        <v>37.266128838789754</v>
      </c>
      <c r="H75" s="60">
        <f t="shared" si="104"/>
        <v>37.266128838789754</v>
      </c>
      <c r="I75" s="60">
        <f t="shared" si="104"/>
        <v>24.428036607244959</v>
      </c>
      <c r="J75" s="60">
        <f t="shared" si="104"/>
        <v>26.453158813026931</v>
      </c>
      <c r="K75" s="60">
        <f t="shared" si="104"/>
        <v>37.266128838789754</v>
      </c>
      <c r="L75" s="60">
        <f t="shared" si="104"/>
        <v>37.157639380743788</v>
      </c>
      <c r="M75" s="60">
        <f t="shared" si="104"/>
        <v>37.266128838789754</v>
      </c>
      <c r="N75" s="60">
        <f t="shared" si="104"/>
        <v>24.428036607244959</v>
      </c>
      <c r="O75" s="60">
        <f t="shared" si="104"/>
        <v>37.076685918040646</v>
      </c>
      <c r="P75" s="60">
        <f t="shared" si="104"/>
        <v>37.266128838789754</v>
      </c>
      <c r="Q75" s="60">
        <f t="shared" si="104"/>
        <v>26.453158813026931</v>
      </c>
      <c r="R75" s="60">
        <f t="shared" si="104"/>
        <v>37.266128838789754</v>
      </c>
      <c r="S75" s="60">
        <f t="shared" si="104"/>
        <v>37.266128838789754</v>
      </c>
      <c r="T75" s="60">
        <f t="shared" si="104"/>
        <v>37.076685918040646</v>
      </c>
      <c r="U75" s="60">
        <f t="shared" si="104"/>
        <v>37.266128838789754</v>
      </c>
      <c r="V75" s="60">
        <f t="shared" si="104"/>
        <v>31.515183030334551</v>
      </c>
      <c r="W75" s="60">
        <f t="shared" si="104"/>
        <v>37.266128838789754</v>
      </c>
      <c r="X75" s="60">
        <f t="shared" si="104"/>
        <v>37.076685918040646</v>
      </c>
      <c r="Y75" s="60">
        <f t="shared" si="104"/>
        <v>37.266128838789754</v>
      </c>
      <c r="Z75" s="60">
        <f t="shared" si="104"/>
        <v>37.266128838789754</v>
      </c>
      <c r="AA75" s="60">
        <f t="shared" si="104"/>
        <v>19.265885475147915</v>
      </c>
      <c r="AB75" s="60">
        <f t="shared" si="104"/>
        <v>37.157639380743788</v>
      </c>
      <c r="AC75" s="94">
        <f t="shared" si="81"/>
        <v>3.3121405625000002</v>
      </c>
      <c r="AD75" s="94">
        <f>IF(D75=".",".",s_RadSpec!$F$18*(AD18*$B75))</f>
        <v>0.67085046874999998</v>
      </c>
      <c r="AE75" s="94">
        <f>IF(E75=".",".",s_RadSpec!$F$18*(AE18*$B75))</f>
        <v>1.0234142187499999</v>
      </c>
      <c r="AF75" s="94">
        <f>IF(F75=".",".",s_RadSpec!$F$18*(AF18*$B75))</f>
        <v>0.94506671874999992</v>
      </c>
      <c r="AG75" s="94">
        <f>IF(G75=".",".",s_RadSpec!$F$18*(AG18*$B75))</f>
        <v>0.67085046874999998</v>
      </c>
      <c r="AH75" s="94">
        <f>IF(H75=".",".",s_RadSpec!$F$18*(AH18*$B75))</f>
        <v>0.67085046874999998</v>
      </c>
      <c r="AI75" s="94">
        <f>IF(I75=".",".",s_RadSpec!$F$18*(AI18*$B75))</f>
        <v>1.0234142187499999</v>
      </c>
      <c r="AJ75" s="94">
        <f>IF(J75=".",".",s_RadSpec!$F$18*(AJ18*$B75))</f>
        <v>0.94506671874999992</v>
      </c>
      <c r="AK75" s="94">
        <f>IF(K75=".",".",s_RadSpec!$F$18*(AK18*$B75))</f>
        <v>0.67085046874999998</v>
      </c>
      <c r="AL75" s="94">
        <f>IF(L75=".",".",s_RadSpec!$F$18*(AL18*$B75))</f>
        <v>0.67280915624999993</v>
      </c>
      <c r="AM75" s="94">
        <f>IF(M75=".",".",s_RadSpec!$F$18*(AM18*$B75))</f>
        <v>0.67085046874999998</v>
      </c>
      <c r="AN75" s="94">
        <f>IF(N75=".",".",s_RadSpec!$F$18*(AN18*$B75))</f>
        <v>1.0234142187499999</v>
      </c>
      <c r="AO75" s="94">
        <f>IF(O75=".",".",s_RadSpec!$F$18*(AO18*$B75))</f>
        <v>0.67427817187499994</v>
      </c>
      <c r="AP75" s="94">
        <f>IF(P75=".",".",s_RadSpec!$F$18*(AP18*$B75))</f>
        <v>0.67085046874999998</v>
      </c>
      <c r="AQ75" s="94">
        <f>IF(Q75=".",".",s_RadSpec!$F$18*(AQ18*$B75))</f>
        <v>0.94506671874999992</v>
      </c>
      <c r="AR75" s="94">
        <f>IF(R75=".",".",s_RadSpec!$F$18*(AR18*$B75))</f>
        <v>0.67085046874999998</v>
      </c>
      <c r="AS75" s="94">
        <f>IF(S75=".",".",s_RadSpec!$F$18*(AS18*$B75))</f>
        <v>0.67085046874999998</v>
      </c>
      <c r="AT75" s="94">
        <f>IF(T75=".",".",s_RadSpec!$F$18*(AT18*$B75))</f>
        <v>0.67427817187499994</v>
      </c>
      <c r="AU75" s="94">
        <f>IF(U75=".",".",s_RadSpec!$F$18*(AU18*$B75))</f>
        <v>0.67085046874999998</v>
      </c>
      <c r="AV75" s="94">
        <f>IF(V75=".",".",s_RadSpec!$F$18*(AV18*$B75))</f>
        <v>0.79326843749999987</v>
      </c>
      <c r="AW75" s="94">
        <f>IF(W75=".",".",s_RadSpec!$F$18*(AW18*$B75))</f>
        <v>0.67085046874999998</v>
      </c>
      <c r="AX75" s="94">
        <f>IF(X75=".",".",s_RadSpec!$F$18*(AX18*$B75))</f>
        <v>0.67427817187499994</v>
      </c>
      <c r="AY75" s="94">
        <f>IF(Y75=".",".",s_RadSpec!$F$18*(AY18*$B75))</f>
        <v>0.67085046874999998</v>
      </c>
      <c r="AZ75" s="94">
        <f>IF(Z75=".",".",s_RadSpec!$F$18*(AZ18*$B75))</f>
        <v>0.67085046874999998</v>
      </c>
      <c r="BA75" s="94">
        <f>IF(AA75=".",".",s_RadSpec!$F$18*(BA18*$B75))</f>
        <v>1.29763046875</v>
      </c>
      <c r="BB75" s="94">
        <f>IF(AB75=".",".",s_RadSpec!$F$18*(BB18*$B75))</f>
        <v>0.67280915624999993</v>
      </c>
      <c r="BC75" s="60">
        <f t="shared" ref="BC75:CB75" si="105">IFERROR(BC18/$B61,".")</f>
        <v>7.5479888393172621</v>
      </c>
      <c r="BD75" s="60">
        <f t="shared" si="105"/>
        <v>37.266128838789754</v>
      </c>
      <c r="BE75" s="60">
        <f t="shared" si="105"/>
        <v>24.428036607244959</v>
      </c>
      <c r="BF75" s="60">
        <f t="shared" si="105"/>
        <v>26.453158813026931</v>
      </c>
      <c r="BG75" s="60">
        <f t="shared" si="105"/>
        <v>37.266128838789754</v>
      </c>
      <c r="BH75" s="60">
        <f t="shared" si="105"/>
        <v>37.266128838789754</v>
      </c>
      <c r="BI75" s="60">
        <f t="shared" si="105"/>
        <v>24.428036607244959</v>
      </c>
      <c r="BJ75" s="60">
        <f t="shared" si="105"/>
        <v>26.453158813026931</v>
      </c>
      <c r="BK75" s="60">
        <f t="shared" si="105"/>
        <v>37.266128838789754</v>
      </c>
      <c r="BL75" s="60">
        <f t="shared" si="105"/>
        <v>37.157639380743788</v>
      </c>
      <c r="BM75" s="60">
        <f t="shared" si="105"/>
        <v>37.266128838789754</v>
      </c>
      <c r="BN75" s="60">
        <f t="shared" si="105"/>
        <v>24.428036607244959</v>
      </c>
      <c r="BO75" s="60">
        <f t="shared" si="105"/>
        <v>37.076685918040646</v>
      </c>
      <c r="BP75" s="60">
        <f t="shared" si="105"/>
        <v>37.266128838789754</v>
      </c>
      <c r="BQ75" s="60">
        <f t="shared" si="105"/>
        <v>26.453158813026931</v>
      </c>
      <c r="BR75" s="60">
        <f t="shared" si="105"/>
        <v>37.266128838789754</v>
      </c>
      <c r="BS75" s="60">
        <f t="shared" si="105"/>
        <v>37.266128838789754</v>
      </c>
      <c r="BT75" s="60">
        <f t="shared" si="105"/>
        <v>37.076685918040646</v>
      </c>
      <c r="BU75" s="60">
        <f t="shared" si="105"/>
        <v>37.266128838789754</v>
      </c>
      <c r="BV75" s="60">
        <f t="shared" si="105"/>
        <v>31.515183030334551</v>
      </c>
      <c r="BW75" s="60">
        <f t="shared" si="105"/>
        <v>37.266128838789754</v>
      </c>
      <c r="BX75" s="60">
        <f t="shared" si="105"/>
        <v>37.076685918040646</v>
      </c>
      <c r="BY75" s="60">
        <f t="shared" si="105"/>
        <v>37.266128838789754</v>
      </c>
      <c r="BZ75" s="60">
        <f t="shared" si="105"/>
        <v>37.266128838789754</v>
      </c>
      <c r="CA75" s="60">
        <f t="shared" si="105"/>
        <v>19.265885475147915</v>
      </c>
      <c r="CB75" s="60">
        <f t="shared" si="105"/>
        <v>37.157639380743788</v>
      </c>
      <c r="CC75" s="94">
        <f t="shared" si="83"/>
        <v>3.3121405625000002</v>
      </c>
      <c r="CD75" s="94">
        <f>IF(BD75=".",".",s_RadSpec!$F$18*(CD18*$B75))</f>
        <v>0.67085046874999998</v>
      </c>
      <c r="CE75" s="94">
        <f>IF(BE75=".",".",s_RadSpec!$F$18*(CE18*$B75))</f>
        <v>1.0234142187499999</v>
      </c>
      <c r="CF75" s="94">
        <f>IF(BF75=".",".",s_RadSpec!$F$18*(CF18*$B75))</f>
        <v>0.94506671874999992</v>
      </c>
      <c r="CG75" s="94">
        <f>IF(BG75=".",".",s_RadSpec!$F$18*(CG18*$B75))</f>
        <v>0.67085046874999998</v>
      </c>
      <c r="CH75" s="94">
        <f>IF(BH75=".",".",s_RadSpec!$F$18*(CH18*$B75))</f>
        <v>0.67085046874999998</v>
      </c>
      <c r="CI75" s="94">
        <f>IF(BI75=".",".",s_RadSpec!$F$18*(CI18*$B75))</f>
        <v>1.0234142187499999</v>
      </c>
      <c r="CJ75" s="94">
        <f>IF(BJ75=".",".",s_RadSpec!$F$18*(CJ18*$B75))</f>
        <v>0.94506671874999992</v>
      </c>
      <c r="CK75" s="94">
        <f>IF(BK75=".",".",s_RadSpec!$F$18*(CK18*$B75))</f>
        <v>0.67085046874999998</v>
      </c>
      <c r="CL75" s="94">
        <f>IF(BL75=".",".",s_RadSpec!$F$18*(CL18*$B75))</f>
        <v>0.67280915624999993</v>
      </c>
      <c r="CM75" s="94">
        <f>IF(BM75=".",".",s_RadSpec!$F$18*(CM18*$B75))</f>
        <v>0.67085046874999998</v>
      </c>
      <c r="CN75" s="94">
        <f>IF(BN75=".",".",s_RadSpec!$F$18*(CN18*$B75))</f>
        <v>1.0234142187499999</v>
      </c>
      <c r="CO75" s="94">
        <f>IF(BO75=".",".",s_RadSpec!$F$18*(CO18*$B75))</f>
        <v>0.67427817187499994</v>
      </c>
      <c r="CP75" s="94">
        <f>IF(BP75=".",".",s_RadSpec!$F$18*(CP18*$B75))</f>
        <v>0.67085046874999998</v>
      </c>
      <c r="CQ75" s="94">
        <f>IF(BQ75=".",".",s_RadSpec!$F$18*(CQ18*$B75))</f>
        <v>0.94506671874999992</v>
      </c>
      <c r="CR75" s="94">
        <f>IF(BR75=".",".",s_RadSpec!$F$18*(CR18*$B75))</f>
        <v>0.67085046874999998</v>
      </c>
      <c r="CS75" s="94">
        <f>IF(BS75=".",".",s_RadSpec!$F$18*(CS18*$B75))</f>
        <v>0.67085046874999998</v>
      </c>
      <c r="CT75" s="94">
        <f>IF(BT75=".",".",s_RadSpec!$F$18*(CT18*$B75))</f>
        <v>0.67427817187499994</v>
      </c>
      <c r="CU75" s="94">
        <f>IF(BU75=".",".",s_RadSpec!$F$18*(CU18*$B75))</f>
        <v>0.67085046874999998</v>
      </c>
      <c r="CV75" s="94">
        <f>IF(BV75=".",".",s_RadSpec!$F$18*(CV18*$B75))</f>
        <v>0.79326843749999987</v>
      </c>
      <c r="CW75" s="94">
        <f>IF(BW75=".",".",s_RadSpec!$F$18*(CW18*$B75))</f>
        <v>0.67085046874999998</v>
      </c>
      <c r="CX75" s="94">
        <f>IF(BX75=".",".",s_RadSpec!$F$18*(CX18*$B75))</f>
        <v>0.67427817187499994</v>
      </c>
      <c r="CY75" s="94">
        <f>IF(BY75=".",".",s_RadSpec!$F$18*(CY18*$B75))</f>
        <v>0.67085046874999998</v>
      </c>
      <c r="CZ75" s="94">
        <f>IF(BZ75=".",".",s_RadSpec!$F$18*(CZ18*$B75))</f>
        <v>0.67085046874999998</v>
      </c>
      <c r="DA75" s="94">
        <f>IF(CA75=".",".",s_RadSpec!$F$18*(DA18*$B75))</f>
        <v>1.29763046875</v>
      </c>
      <c r="DB75" s="94">
        <f>IF(CB75=".",".",s_RadSpec!$F$18*(DB18*$B75))</f>
        <v>0.67280915624999993</v>
      </c>
    </row>
    <row r="76" spans="1:106" x14ac:dyDescent="0.25">
      <c r="A76" s="77" t="s">
        <v>1083</v>
      </c>
      <c r="B76" s="42">
        <v>1.339E-6</v>
      </c>
      <c r="C76" s="60" t="str">
        <f t="shared" ref="C76:AB76" si="106">IFERROR(C27/$B62,".")</f>
        <v>.</v>
      </c>
      <c r="D76" s="60" t="str">
        <f t="shared" si="106"/>
        <v>.</v>
      </c>
      <c r="E76" s="60" t="str">
        <f t="shared" si="106"/>
        <v>.</v>
      </c>
      <c r="F76" s="60" t="str">
        <f t="shared" si="106"/>
        <v>.</v>
      </c>
      <c r="G76" s="60" t="str">
        <f t="shared" si="106"/>
        <v>.</v>
      </c>
      <c r="H76" s="60" t="str">
        <f t="shared" si="106"/>
        <v>.</v>
      </c>
      <c r="I76" s="60" t="str">
        <f t="shared" si="106"/>
        <v>.</v>
      </c>
      <c r="J76" s="60" t="str">
        <f t="shared" si="106"/>
        <v>.</v>
      </c>
      <c r="K76" s="60" t="str">
        <f t="shared" si="106"/>
        <v>.</v>
      </c>
      <c r="L76" s="60" t="str">
        <f t="shared" si="106"/>
        <v>.</v>
      </c>
      <c r="M76" s="60" t="str">
        <f t="shared" si="106"/>
        <v>.</v>
      </c>
      <c r="N76" s="60" t="str">
        <f t="shared" si="106"/>
        <v>.</v>
      </c>
      <c r="O76" s="60" t="str">
        <f t="shared" si="106"/>
        <v>.</v>
      </c>
      <c r="P76" s="60" t="str">
        <f t="shared" si="106"/>
        <v>.</v>
      </c>
      <c r="Q76" s="60" t="str">
        <f t="shared" si="106"/>
        <v>.</v>
      </c>
      <c r="R76" s="60" t="str">
        <f t="shared" si="106"/>
        <v>.</v>
      </c>
      <c r="S76" s="60" t="str">
        <f t="shared" si="106"/>
        <v>.</v>
      </c>
      <c r="T76" s="60" t="str">
        <f t="shared" si="106"/>
        <v>.</v>
      </c>
      <c r="U76" s="60" t="str">
        <f t="shared" si="106"/>
        <v>.</v>
      </c>
      <c r="V76" s="60" t="str">
        <f t="shared" si="106"/>
        <v>.</v>
      </c>
      <c r="W76" s="60" t="str">
        <f t="shared" si="106"/>
        <v>.</v>
      </c>
      <c r="X76" s="60" t="str">
        <f t="shared" si="106"/>
        <v>.</v>
      </c>
      <c r="Y76" s="60" t="str">
        <f t="shared" si="106"/>
        <v>.</v>
      </c>
      <c r="Z76" s="60" t="str">
        <f t="shared" si="106"/>
        <v>.</v>
      </c>
      <c r="AA76" s="60" t="str">
        <f t="shared" si="106"/>
        <v>.</v>
      </c>
      <c r="AB76" s="60" t="str">
        <f t="shared" si="106"/>
        <v>.</v>
      </c>
      <c r="AC76" s="94" t="str">
        <f t="shared" si="81"/>
        <v>.</v>
      </c>
      <c r="AD76" s="94" t="str">
        <f>IF(D76=".",".",s_RadSpec!$F$27*(AD27*$B76))</f>
        <v>.</v>
      </c>
      <c r="AE76" s="94" t="str">
        <f>IF(E76=".",".",s_RadSpec!$F$27*(AE27*$B76))</f>
        <v>.</v>
      </c>
      <c r="AF76" s="94" t="str">
        <f>IF(F76=".",".",s_RadSpec!$F$27*(AF27*$B76))</f>
        <v>.</v>
      </c>
      <c r="AG76" s="94" t="str">
        <f>IF(G76=".",".",s_RadSpec!$F$27*(AG27*$B76))</f>
        <v>.</v>
      </c>
      <c r="AH76" s="94" t="str">
        <f>IF(H76=".",".",s_RadSpec!$F$27*(AH27*$B76))</f>
        <v>.</v>
      </c>
      <c r="AI76" s="94" t="str">
        <f>IF(I76=".",".",s_RadSpec!$F$27*(AI27*$B76))</f>
        <v>.</v>
      </c>
      <c r="AJ76" s="94" t="str">
        <f>IF(J76=".",".",s_RadSpec!$F$27*(AJ27*$B76))</f>
        <v>.</v>
      </c>
      <c r="AK76" s="94" t="str">
        <f>IF(K76=".",".",s_RadSpec!$F$27*(AK27*$B76))</f>
        <v>.</v>
      </c>
      <c r="AL76" s="94" t="str">
        <f>IF(L76=".",".",s_RadSpec!$F$27*(AL27*$B76))</f>
        <v>.</v>
      </c>
      <c r="AM76" s="94" t="str">
        <f>IF(M76=".",".",s_RadSpec!$F$27*(AM27*$B76))</f>
        <v>.</v>
      </c>
      <c r="AN76" s="94" t="str">
        <f>IF(N76=".",".",s_RadSpec!$F$27*(AN27*$B76))</f>
        <v>.</v>
      </c>
      <c r="AO76" s="94" t="str">
        <f>IF(O76=".",".",s_RadSpec!$F$27*(AO27*$B76))</f>
        <v>.</v>
      </c>
      <c r="AP76" s="94" t="str">
        <f>IF(P76=".",".",s_RadSpec!$F$27*(AP27*$B76))</f>
        <v>.</v>
      </c>
      <c r="AQ76" s="94" t="str">
        <f>IF(Q76=".",".",s_RadSpec!$F$27*(AQ27*$B76))</f>
        <v>.</v>
      </c>
      <c r="AR76" s="94" t="str">
        <f>IF(R76=".",".",s_RadSpec!$F$27*(AR27*$B76))</f>
        <v>.</v>
      </c>
      <c r="AS76" s="94" t="str">
        <f>IF(S76=".",".",s_RadSpec!$F$27*(AS27*$B76))</f>
        <v>.</v>
      </c>
      <c r="AT76" s="94" t="str">
        <f>IF(T76=".",".",s_RadSpec!$F$27*(AT27*$B76))</f>
        <v>.</v>
      </c>
      <c r="AU76" s="94" t="str">
        <f>IF(U76=".",".",s_RadSpec!$F$27*(AU27*$B76))</f>
        <v>.</v>
      </c>
      <c r="AV76" s="94" t="str">
        <f>IF(V76=".",".",s_RadSpec!$F$27*(AV27*$B76))</f>
        <v>.</v>
      </c>
      <c r="AW76" s="94" t="str">
        <f>IF(W76=".",".",s_RadSpec!$F$27*(AW27*$B76))</f>
        <v>.</v>
      </c>
      <c r="AX76" s="94" t="str">
        <f>IF(X76=".",".",s_RadSpec!$F$27*(AX27*$B76))</f>
        <v>.</v>
      </c>
      <c r="AY76" s="94" t="str">
        <f>IF(Y76=".",".",s_RadSpec!$F$27*(AY27*$B76))</f>
        <v>.</v>
      </c>
      <c r="AZ76" s="94" t="str">
        <f>IF(Z76=".",".",s_RadSpec!$F$27*(AZ27*$B76))</f>
        <v>.</v>
      </c>
      <c r="BA76" s="94" t="str">
        <f>IF(AA76=".",".",s_RadSpec!$F$27*(BA27*$B76))</f>
        <v>.</v>
      </c>
      <c r="BB76" s="94" t="str">
        <f>IF(AB76=".",".",s_RadSpec!$F$27*(BB27*$B76))</f>
        <v>.</v>
      </c>
      <c r="BC76" s="60" t="str">
        <f t="shared" ref="BC76:CB76" si="107">IFERROR(BC27/$B62,".")</f>
        <v>.</v>
      </c>
      <c r="BD76" s="60" t="str">
        <f t="shared" si="107"/>
        <v>.</v>
      </c>
      <c r="BE76" s="60" t="str">
        <f t="shared" si="107"/>
        <v>.</v>
      </c>
      <c r="BF76" s="60" t="str">
        <f t="shared" si="107"/>
        <v>.</v>
      </c>
      <c r="BG76" s="60" t="str">
        <f t="shared" si="107"/>
        <v>.</v>
      </c>
      <c r="BH76" s="60" t="str">
        <f t="shared" si="107"/>
        <v>.</v>
      </c>
      <c r="BI76" s="60" t="str">
        <f t="shared" si="107"/>
        <v>.</v>
      </c>
      <c r="BJ76" s="60" t="str">
        <f t="shared" si="107"/>
        <v>.</v>
      </c>
      <c r="BK76" s="60" t="str">
        <f t="shared" si="107"/>
        <v>.</v>
      </c>
      <c r="BL76" s="60" t="str">
        <f t="shared" si="107"/>
        <v>.</v>
      </c>
      <c r="BM76" s="60" t="str">
        <f t="shared" si="107"/>
        <v>.</v>
      </c>
      <c r="BN76" s="60" t="str">
        <f t="shared" si="107"/>
        <v>.</v>
      </c>
      <c r="BO76" s="60" t="str">
        <f t="shared" si="107"/>
        <v>.</v>
      </c>
      <c r="BP76" s="60" t="str">
        <f t="shared" si="107"/>
        <v>.</v>
      </c>
      <c r="BQ76" s="60" t="str">
        <f t="shared" si="107"/>
        <v>.</v>
      </c>
      <c r="BR76" s="60" t="str">
        <f t="shared" si="107"/>
        <v>.</v>
      </c>
      <c r="BS76" s="60" t="str">
        <f t="shared" si="107"/>
        <v>.</v>
      </c>
      <c r="BT76" s="60" t="str">
        <f t="shared" si="107"/>
        <v>.</v>
      </c>
      <c r="BU76" s="60" t="str">
        <f t="shared" si="107"/>
        <v>.</v>
      </c>
      <c r="BV76" s="60" t="str">
        <f t="shared" si="107"/>
        <v>.</v>
      </c>
      <c r="BW76" s="60" t="str">
        <f t="shared" si="107"/>
        <v>.</v>
      </c>
      <c r="BX76" s="60" t="str">
        <f t="shared" si="107"/>
        <v>.</v>
      </c>
      <c r="BY76" s="60" t="str">
        <f t="shared" si="107"/>
        <v>.</v>
      </c>
      <c r="BZ76" s="60" t="str">
        <f t="shared" si="107"/>
        <v>.</v>
      </c>
      <c r="CA76" s="60" t="str">
        <f t="shared" si="107"/>
        <v>.</v>
      </c>
      <c r="CB76" s="60" t="str">
        <f t="shared" si="107"/>
        <v>.</v>
      </c>
      <c r="CC76" s="94" t="str">
        <f t="shared" si="83"/>
        <v>.</v>
      </c>
      <c r="CD76" s="94" t="str">
        <f>IF(BD76=".",".",s_RadSpec!$F$27*(CD27*$B76))</f>
        <v>.</v>
      </c>
      <c r="CE76" s="94" t="str">
        <f>IF(BE76=".",".",s_RadSpec!$F$27*(CE27*$B76))</f>
        <v>.</v>
      </c>
      <c r="CF76" s="94" t="str">
        <f>IF(BF76=".",".",s_RadSpec!$F$27*(CF27*$B76))</f>
        <v>.</v>
      </c>
      <c r="CG76" s="94" t="str">
        <f>IF(BG76=".",".",s_RadSpec!$F$27*(CG27*$B76))</f>
        <v>.</v>
      </c>
      <c r="CH76" s="94" t="str">
        <f>IF(BH76=".",".",s_RadSpec!$F$27*(CH27*$B76))</f>
        <v>.</v>
      </c>
      <c r="CI76" s="94" t="str">
        <f>IF(BI76=".",".",s_RadSpec!$F$27*(CI27*$B76))</f>
        <v>.</v>
      </c>
      <c r="CJ76" s="94" t="str">
        <f>IF(BJ76=".",".",s_RadSpec!$F$27*(CJ27*$B76))</f>
        <v>.</v>
      </c>
      <c r="CK76" s="94" t="str">
        <f>IF(BK76=".",".",s_RadSpec!$F$27*(CK27*$B76))</f>
        <v>.</v>
      </c>
      <c r="CL76" s="94" t="str">
        <f>IF(BL76=".",".",s_RadSpec!$F$27*(CL27*$B76))</f>
        <v>.</v>
      </c>
      <c r="CM76" s="94" t="str">
        <f>IF(BM76=".",".",s_RadSpec!$F$27*(CM27*$B76))</f>
        <v>.</v>
      </c>
      <c r="CN76" s="94" t="str">
        <f>IF(BN76=".",".",s_RadSpec!$F$27*(CN27*$B76))</f>
        <v>.</v>
      </c>
      <c r="CO76" s="94" t="str">
        <f>IF(BO76=".",".",s_RadSpec!$F$27*(CO27*$B76))</f>
        <v>.</v>
      </c>
      <c r="CP76" s="94" t="str">
        <f>IF(BP76=".",".",s_RadSpec!$F$27*(CP27*$B76))</f>
        <v>.</v>
      </c>
      <c r="CQ76" s="94" t="str">
        <f>IF(BQ76=".",".",s_RadSpec!$F$27*(CQ27*$B76))</f>
        <v>.</v>
      </c>
      <c r="CR76" s="94" t="str">
        <f>IF(BR76=".",".",s_RadSpec!$F$27*(CR27*$B76))</f>
        <v>.</v>
      </c>
      <c r="CS76" s="94" t="str">
        <f>IF(BS76=".",".",s_RadSpec!$F$27*(CS27*$B76))</f>
        <v>.</v>
      </c>
      <c r="CT76" s="94" t="str">
        <f>IF(BT76=".",".",s_RadSpec!$F$27*(CT27*$B76))</f>
        <v>.</v>
      </c>
      <c r="CU76" s="94" t="str">
        <f>IF(BU76=".",".",s_RadSpec!$F$27*(CU27*$B76))</f>
        <v>.</v>
      </c>
      <c r="CV76" s="94" t="str">
        <f>IF(BV76=".",".",s_RadSpec!$F$27*(CV27*$B76))</f>
        <v>.</v>
      </c>
      <c r="CW76" s="94" t="str">
        <f>IF(BW76=".",".",s_RadSpec!$F$27*(CW27*$B76))</f>
        <v>.</v>
      </c>
      <c r="CX76" s="94" t="str">
        <f>IF(BX76=".",".",s_RadSpec!$F$27*(CX27*$B76))</f>
        <v>.</v>
      </c>
      <c r="CY76" s="94" t="str">
        <f>IF(BY76=".",".",s_RadSpec!$F$27*(CY27*$B76))</f>
        <v>.</v>
      </c>
      <c r="CZ76" s="94" t="str">
        <f>IF(BZ76=".",".",s_RadSpec!$F$27*(CZ27*$B76))</f>
        <v>.</v>
      </c>
      <c r="DA76" s="94" t="str">
        <f>IF(CA76=".",".",s_RadSpec!$F$27*(DA27*$B76))</f>
        <v>.</v>
      </c>
      <c r="DB76" s="94" t="str">
        <f>IF(CB76=".",".",s_RadSpec!$F$27*(DB27*$B76))</f>
        <v>.</v>
      </c>
    </row>
  </sheetData>
  <sheetProtection algorithmName="SHA-512" hashValue="PW8Tk3TShymBZPhZfBBunCDsbtA9gMpVhLYUWVwSYuXCYRD8Tb+4lCySNIky7IFuZCsYmpBKtCbATwfoaXRfYQ==" saltValue="JQSpUJNYNdgbnQBxWTpiBQ==" spinCount="100000" sheet="1" formatColumns="0" formatRows="0" autoFilter="0"/>
  <autoFilter ref="A1:DB76" xr:uid="{3385F858-6C0B-4236-8BDB-64B8C83CBEA4}"/>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DB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5.42578125" style="84" bestFit="1" customWidth="1"/>
    <col min="2" max="2" width="13.28515625" style="84" bestFit="1" customWidth="1"/>
    <col min="3" max="3" width="25" style="84" bestFit="1" customWidth="1"/>
    <col min="4" max="4" width="16" style="84" bestFit="1" customWidth="1"/>
    <col min="5" max="5" width="16.140625" style="84" bestFit="1" customWidth="1"/>
    <col min="6" max="6" width="15" style="84" bestFit="1" customWidth="1"/>
    <col min="7" max="7" width="15.7109375" style="84" bestFit="1" customWidth="1"/>
    <col min="8" max="8" width="15" style="84" bestFit="1" customWidth="1"/>
    <col min="9" max="9" width="15.42578125" style="84" bestFit="1" customWidth="1"/>
    <col min="10" max="10" width="14.7109375" style="84" bestFit="1" customWidth="1"/>
    <col min="11" max="11" width="16.140625" style="84" bestFit="1" customWidth="1"/>
    <col min="12" max="12" width="15" style="84" bestFit="1" customWidth="1"/>
    <col min="13" max="13" width="16.85546875" style="84" bestFit="1" customWidth="1"/>
    <col min="14" max="14" width="14" style="84" bestFit="1" customWidth="1"/>
    <col min="15" max="16" width="15" style="84" bestFit="1" customWidth="1"/>
    <col min="17" max="17" width="16.140625" style="84" bestFit="1" customWidth="1"/>
    <col min="18" max="18" width="16.28515625" style="84" bestFit="1" customWidth="1"/>
    <col min="19" max="19" width="15" style="84" bestFit="1" customWidth="1"/>
    <col min="20" max="20" width="14.28515625" style="84" bestFit="1" customWidth="1"/>
    <col min="21" max="21" width="15.5703125" style="84" bestFit="1" customWidth="1"/>
    <col min="22" max="22" width="15.7109375" style="84" bestFit="1" customWidth="1"/>
    <col min="23" max="23" width="16.140625" style="84" bestFit="1" customWidth="1"/>
    <col min="24" max="24" width="15.42578125" style="84" bestFit="1" customWidth="1"/>
    <col min="25" max="25" width="16" style="84" bestFit="1" customWidth="1"/>
    <col min="26" max="27" width="14.42578125" style="84" bestFit="1" customWidth="1"/>
    <col min="28" max="28" width="16.42578125" style="84" bestFit="1" customWidth="1"/>
    <col min="29" max="29" width="22.5703125" style="84" bestFit="1" customWidth="1"/>
    <col min="30" max="30" width="15.85546875" style="84" bestFit="1" customWidth="1"/>
    <col min="31" max="31" width="16" style="84" bestFit="1" customWidth="1"/>
    <col min="32" max="32" width="14.7109375" style="84" bestFit="1" customWidth="1"/>
    <col min="33" max="33" width="15.42578125" style="84" bestFit="1" customWidth="1"/>
    <col min="34" max="34" width="14.7109375" style="84" bestFit="1" customWidth="1"/>
    <col min="35" max="35" width="15.140625" style="84" bestFit="1" customWidth="1"/>
    <col min="36" max="36" width="14.28515625" style="84" bestFit="1" customWidth="1"/>
    <col min="37" max="37" width="15.7109375" style="84" bestFit="1" customWidth="1"/>
    <col min="38" max="38" width="14.7109375" style="84" bestFit="1" customWidth="1"/>
    <col min="39" max="39" width="16.7109375" style="84" bestFit="1" customWidth="1"/>
    <col min="40" max="40" width="13.7109375" style="84" bestFit="1" customWidth="1"/>
    <col min="41" max="41" width="14.5703125" style="84" bestFit="1" customWidth="1"/>
    <col min="42" max="42" width="14.85546875" style="84" bestFit="1" customWidth="1"/>
    <col min="43" max="43" width="16" style="84" bestFit="1" customWidth="1"/>
    <col min="44" max="44" width="16.28515625" style="84" bestFit="1" customWidth="1"/>
    <col min="45" max="45" width="14.85546875" style="84" bestFit="1" customWidth="1"/>
    <col min="46" max="46" width="14.140625" style="84" bestFit="1" customWidth="1"/>
    <col min="47" max="47" width="15.28515625" style="84" bestFit="1" customWidth="1"/>
    <col min="48" max="48" width="15.85546875" style="84" bestFit="1" customWidth="1"/>
    <col min="49" max="49" width="16.140625" style="84" bestFit="1" customWidth="1"/>
    <col min="50" max="50" width="15.140625" style="84" bestFit="1" customWidth="1"/>
    <col min="51" max="51" width="16" style="84" bestFit="1" customWidth="1"/>
    <col min="52" max="52" width="14.42578125" style="84" bestFit="1" customWidth="1"/>
    <col min="53" max="53" width="13.85546875" style="84" bestFit="1" customWidth="1"/>
    <col min="54" max="54" width="16.140625" style="84" bestFit="1" customWidth="1"/>
    <col min="55" max="55" width="28.7109375" style="84" bestFit="1" customWidth="1"/>
    <col min="56" max="56" width="15.85546875" style="84" bestFit="1" customWidth="1"/>
    <col min="57" max="57" width="16" style="84" bestFit="1" customWidth="1"/>
    <col min="58" max="58" width="14.7109375" style="84" bestFit="1" customWidth="1"/>
    <col min="59" max="59" width="15.5703125" style="84" bestFit="1" customWidth="1"/>
    <col min="60" max="60" width="14.85546875" style="84" bestFit="1" customWidth="1"/>
    <col min="61" max="61" width="15.28515625" style="84" bestFit="1" customWidth="1"/>
    <col min="62" max="62" width="14.5703125" style="84" bestFit="1" customWidth="1"/>
    <col min="63" max="63" width="16" style="84" bestFit="1" customWidth="1"/>
    <col min="64" max="64" width="14.85546875" style="84" bestFit="1" customWidth="1"/>
    <col min="65" max="65" width="16.7109375" style="84" bestFit="1" customWidth="1"/>
    <col min="66" max="66" width="13.85546875" style="84" bestFit="1" customWidth="1"/>
    <col min="67" max="68" width="14.85546875" style="84" bestFit="1" customWidth="1"/>
    <col min="69" max="69" width="16" style="84" bestFit="1" customWidth="1"/>
    <col min="70" max="70" width="16.140625" style="84" bestFit="1" customWidth="1"/>
    <col min="71" max="71" width="14.85546875" style="84" bestFit="1" customWidth="1"/>
    <col min="72" max="72" width="14.140625" style="84" bestFit="1" customWidth="1"/>
    <col min="73" max="73" width="15.28515625" style="84" bestFit="1" customWidth="1"/>
    <col min="74" max="74" width="15.5703125" style="84" bestFit="1" customWidth="1"/>
    <col min="75" max="75" width="15.85546875" style="84" bestFit="1" customWidth="1"/>
    <col min="76" max="76" width="15.28515625" style="84" bestFit="1" customWidth="1"/>
    <col min="77" max="77" width="15.85546875" style="84" bestFit="1" customWidth="1"/>
    <col min="78" max="79" width="14.28515625" style="84" bestFit="1" customWidth="1"/>
    <col min="80" max="80" width="15.5703125" style="84" bestFit="1" customWidth="1"/>
    <col min="81" max="81" width="22.5703125" style="84" bestFit="1" customWidth="1"/>
    <col min="82" max="82" width="15.85546875" style="84" bestFit="1" customWidth="1"/>
    <col min="83" max="83" width="16" style="84" bestFit="1" customWidth="1"/>
    <col min="84" max="84" width="14.7109375" style="84" bestFit="1" customWidth="1"/>
    <col min="85" max="85" width="15.42578125" style="84" bestFit="1" customWidth="1"/>
    <col min="86" max="86" width="14.7109375" style="84" bestFit="1" customWidth="1"/>
    <col min="87" max="87" width="15.140625" style="84" bestFit="1" customWidth="1"/>
    <col min="88" max="88" width="14.28515625" style="84" bestFit="1" customWidth="1"/>
    <col min="89" max="89" width="15.7109375" style="84" bestFit="1" customWidth="1"/>
    <col min="90" max="90" width="14.7109375" style="84" bestFit="1" customWidth="1"/>
    <col min="91" max="91" width="16.7109375" style="84" bestFit="1" customWidth="1"/>
    <col min="92" max="92" width="13.7109375" style="84" bestFit="1" customWidth="1"/>
    <col min="93" max="93" width="14.5703125" style="84" bestFit="1" customWidth="1"/>
    <col min="94" max="94" width="14.85546875" style="84" bestFit="1" customWidth="1"/>
    <col min="95" max="95" width="16" style="84" bestFit="1" customWidth="1"/>
    <col min="96" max="96" width="16.28515625" style="84" bestFit="1" customWidth="1"/>
    <col min="97" max="97" width="14.85546875" style="84" bestFit="1" customWidth="1"/>
    <col min="98" max="98" width="14.140625" style="84" bestFit="1" customWidth="1"/>
    <col min="99" max="99" width="15.28515625" style="84" bestFit="1" customWidth="1"/>
    <col min="100" max="100" width="15.85546875" style="84" bestFit="1" customWidth="1"/>
    <col min="101" max="101" width="16.140625" style="84" bestFit="1" customWidth="1"/>
    <col min="102" max="102" width="15.140625" style="84" bestFit="1" customWidth="1"/>
    <col min="103" max="103" width="16" style="84" bestFit="1" customWidth="1"/>
    <col min="104" max="104" width="14.42578125" style="84" bestFit="1" customWidth="1"/>
    <col min="105" max="105" width="13.85546875" style="84" bestFit="1" customWidth="1"/>
    <col min="106" max="106" width="15.42578125" style="84" bestFit="1" customWidth="1"/>
    <col min="107" max="16384" width="9.140625" style="84"/>
  </cols>
  <sheetData>
    <row r="1" spans="1:106" x14ac:dyDescent="0.25">
      <c r="A1" s="81" t="s">
        <v>39</v>
      </c>
      <c r="B1" s="82" t="s">
        <v>334</v>
      </c>
      <c r="C1" s="83" t="s">
        <v>1247</v>
      </c>
      <c r="D1" s="84" t="s">
        <v>1430</v>
      </c>
      <c r="E1" s="84" t="s">
        <v>1431</v>
      </c>
      <c r="F1" s="84" t="s">
        <v>1432</v>
      </c>
      <c r="G1" s="84" t="s">
        <v>1433</v>
      </c>
      <c r="H1" s="84" t="s">
        <v>1434</v>
      </c>
      <c r="I1" s="84" t="s">
        <v>1435</v>
      </c>
      <c r="J1" s="84" t="s">
        <v>1436</v>
      </c>
      <c r="K1" s="84" t="s">
        <v>1437</v>
      </c>
      <c r="L1" s="84" t="s">
        <v>1438</v>
      </c>
      <c r="M1" s="84" t="s">
        <v>1439</v>
      </c>
      <c r="N1" s="84" t="s">
        <v>1440</v>
      </c>
      <c r="O1" s="84" t="s">
        <v>1441</v>
      </c>
      <c r="P1" s="84" t="s">
        <v>1442</v>
      </c>
      <c r="Q1" s="84" t="s">
        <v>1443</v>
      </c>
      <c r="R1" s="84" t="s">
        <v>1444</v>
      </c>
      <c r="S1" s="84" t="s">
        <v>1445</v>
      </c>
      <c r="T1" s="84" t="s">
        <v>1446</v>
      </c>
      <c r="U1" s="84" t="s">
        <v>1447</v>
      </c>
      <c r="V1" s="84" t="s">
        <v>1448</v>
      </c>
      <c r="W1" s="84" t="s">
        <v>1449</v>
      </c>
      <c r="X1" s="84" t="s">
        <v>1450</v>
      </c>
      <c r="Y1" s="84" t="s">
        <v>1451</v>
      </c>
      <c r="Z1" s="84" t="s">
        <v>1452</v>
      </c>
      <c r="AA1" s="84" t="s">
        <v>1453</v>
      </c>
      <c r="AB1" s="84" t="s">
        <v>1454</v>
      </c>
      <c r="AC1" s="85" t="s">
        <v>1105</v>
      </c>
      <c r="AD1" s="85" t="s">
        <v>1106</v>
      </c>
      <c r="AE1" s="85" t="s">
        <v>1107</v>
      </c>
      <c r="AF1" s="85" t="s">
        <v>1108</v>
      </c>
      <c r="AG1" s="85" t="s">
        <v>1109</v>
      </c>
      <c r="AH1" s="85" t="s">
        <v>1110</v>
      </c>
      <c r="AI1" s="85" t="s">
        <v>1111</v>
      </c>
      <c r="AJ1" s="85" t="s">
        <v>1112</v>
      </c>
      <c r="AK1" s="85" t="s">
        <v>1113</v>
      </c>
      <c r="AL1" s="85" t="s">
        <v>1114</v>
      </c>
      <c r="AM1" s="85" t="s">
        <v>1115</v>
      </c>
      <c r="AN1" s="85" t="s">
        <v>1116</v>
      </c>
      <c r="AO1" s="85" t="s">
        <v>1117</v>
      </c>
      <c r="AP1" s="85" t="s">
        <v>1118</v>
      </c>
      <c r="AQ1" s="85" t="s">
        <v>1119</v>
      </c>
      <c r="AR1" s="85" t="s">
        <v>1120</v>
      </c>
      <c r="AS1" s="85" t="s">
        <v>1121</v>
      </c>
      <c r="AT1" s="85" t="s">
        <v>1122</v>
      </c>
      <c r="AU1" s="85" t="s">
        <v>1307</v>
      </c>
      <c r="AV1" s="85" t="s">
        <v>1123</v>
      </c>
      <c r="AW1" s="85" t="s">
        <v>1124</v>
      </c>
      <c r="AX1" s="85" t="s">
        <v>1125</v>
      </c>
      <c r="AY1" s="85" t="s">
        <v>1126</v>
      </c>
      <c r="AZ1" s="85" t="s">
        <v>1127</v>
      </c>
      <c r="BA1" s="85" t="s">
        <v>1128</v>
      </c>
      <c r="BB1" s="85" t="s">
        <v>1129</v>
      </c>
      <c r="BC1" s="84" t="s">
        <v>1483</v>
      </c>
      <c r="BD1" s="84" t="s">
        <v>1456</v>
      </c>
      <c r="BE1" s="84" t="s">
        <v>1457</v>
      </c>
      <c r="BF1" s="84" t="s">
        <v>1458</v>
      </c>
      <c r="BG1" s="84" t="s">
        <v>1459</v>
      </c>
      <c r="BH1" s="84" t="s">
        <v>1460</v>
      </c>
      <c r="BI1" s="84" t="s">
        <v>1461</v>
      </c>
      <c r="BJ1" s="84" t="s">
        <v>1462</v>
      </c>
      <c r="BK1" s="84" t="s">
        <v>1463</v>
      </c>
      <c r="BL1" s="84" t="s">
        <v>1464</v>
      </c>
      <c r="BM1" s="84" t="s">
        <v>1465</v>
      </c>
      <c r="BN1" s="84" t="s">
        <v>1466</v>
      </c>
      <c r="BO1" s="84" t="s">
        <v>1467</v>
      </c>
      <c r="BP1" s="84" t="s">
        <v>1468</v>
      </c>
      <c r="BQ1" s="84" t="s">
        <v>1469</v>
      </c>
      <c r="BR1" s="84" t="s">
        <v>1470</v>
      </c>
      <c r="BS1" s="84" t="s">
        <v>1471</v>
      </c>
      <c r="BT1" s="84" t="s">
        <v>1472</v>
      </c>
      <c r="BU1" s="84" t="s">
        <v>1473</v>
      </c>
      <c r="BV1" s="84" t="s">
        <v>1474</v>
      </c>
      <c r="BW1" s="84" t="s">
        <v>1475</v>
      </c>
      <c r="BX1" s="84" t="s">
        <v>1476</v>
      </c>
      <c r="BY1" s="84" t="s">
        <v>1477</v>
      </c>
      <c r="BZ1" s="84" t="s">
        <v>1478</v>
      </c>
      <c r="CA1" s="84" t="s">
        <v>1479</v>
      </c>
      <c r="CB1" s="84" t="s">
        <v>1480</v>
      </c>
      <c r="CC1" s="85" t="s">
        <v>1130</v>
      </c>
      <c r="CD1" s="85" t="s">
        <v>1223</v>
      </c>
      <c r="CE1" s="85" t="s">
        <v>1224</v>
      </c>
      <c r="CF1" s="85" t="s">
        <v>1225</v>
      </c>
      <c r="CG1" s="85" t="s">
        <v>1226</v>
      </c>
      <c r="CH1" s="85" t="s">
        <v>1227</v>
      </c>
      <c r="CI1" s="85" t="s">
        <v>1228</v>
      </c>
      <c r="CJ1" s="85" t="s">
        <v>1229</v>
      </c>
      <c r="CK1" s="85" t="s">
        <v>1230</v>
      </c>
      <c r="CL1" s="85" t="s">
        <v>1231</v>
      </c>
      <c r="CM1" s="85" t="s">
        <v>1232</v>
      </c>
      <c r="CN1" s="85" t="s">
        <v>1233</v>
      </c>
      <c r="CO1" s="85" t="s">
        <v>1234</v>
      </c>
      <c r="CP1" s="85" t="s">
        <v>1235</v>
      </c>
      <c r="CQ1" s="85" t="s">
        <v>1236</v>
      </c>
      <c r="CR1" s="85" t="s">
        <v>1237</v>
      </c>
      <c r="CS1" s="85" t="s">
        <v>1238</v>
      </c>
      <c r="CT1" s="85" t="s">
        <v>1239</v>
      </c>
      <c r="CU1" s="85" t="s">
        <v>1305</v>
      </c>
      <c r="CV1" s="85" t="s">
        <v>1240</v>
      </c>
      <c r="CW1" s="85" t="s">
        <v>1241</v>
      </c>
      <c r="CX1" s="85" t="s">
        <v>1242</v>
      </c>
      <c r="CY1" s="85" t="s">
        <v>1243</v>
      </c>
      <c r="CZ1" s="85" t="s">
        <v>1244</v>
      </c>
      <c r="DA1" s="85" t="s">
        <v>1245</v>
      </c>
      <c r="DB1" s="85" t="s">
        <v>1246</v>
      </c>
    </row>
    <row r="2" spans="1:106" ht="15" customHeight="1" x14ac:dyDescent="0.25">
      <c r="A2" s="86" t="s">
        <v>0</v>
      </c>
      <c r="B2" s="84" t="s">
        <v>1057</v>
      </c>
      <c r="C2" s="15">
        <f>IFERROR(1/SUM(1/D2,1/U2,1/AA2,1/AB2),".")</f>
        <v>359.02789915076602</v>
      </c>
      <c r="D2" s="70">
        <f>IFERROR(IF(AND(s_Irr!C2&lt;&gt;".",s_Irr!AB2&lt;&gt;".",s_Irr!BA2&lt;&gt;"."),s_dir!D2/((1/1000)*(s_Irr!C2+s_Irr!AB2+s_Irr!BA2)),IF(AND(s_Irr!C2&lt;&gt;".",s_Irr!AB2&lt;&gt;".",s_Irr!BA2="."),s_dir!D2/((1/1000)*(s_Irr!C2+s_Irr!AB2)),IF(AND(s_Irr!C2&lt;&gt;".",s_Irr!AB2=".",s_Irr!BA2&lt;&gt;"."),s_dir!D2/((1/1000)*(s_Irr!C2+s_Irr!BA2)),IF(AND(s_Irr!C2=".",s_Irr!AB2&lt;&gt;".",s_Irr!BA2&lt;&gt;"."),s_dir!D2/((1/1000)*(s_Irr!AB2+s_Irr!BA2)),IF(AND(s_Irr!C2=".",s_Irr!AB2=".",s_Irr!BA2&lt;&gt;"."),s_dir!D2/((1/1000)*(s_Irr!BA2)),IF(AND(s_Irr!C2=".",s_Irr!AB2&lt;&gt;".",s_Irr!BA2="."),s_dir!D2/((1/1000)*(s_Irr!AB2)),IF(AND(s_Irr!C2&lt;&gt;".",s_Irr!AB2=".",s_Irr!BA2="."),s_dir!D2/((1/1000)*(s_Irr!C2)),IF(AND(s_Irr!C2=".",s_Irr!AB2=".",s_Irr!BA2="."),s_dir!D2*1000)))))))),".")</f>
        <v>1436.1115966030641</v>
      </c>
      <c r="E2" s="70">
        <f>IFERROR(IF(AND(s_Irr!D2&lt;&gt;".",s_Irr!AC2&lt;&gt;".",s_Irr!BB2&lt;&gt;"."),s_dir!E2/((1/1000)*(s_Irr!D2+s_Irr!AC2+s_Irr!BB2)),IF(AND(s_Irr!D2&lt;&gt;".",s_Irr!AC2&lt;&gt;".",s_Irr!BB2="."),s_dir!E2/((1/1000)*(s_Irr!D2+s_Irr!AC2)),IF(AND(s_Irr!D2&lt;&gt;".",s_Irr!AC2=".",s_Irr!BB2&lt;&gt;"."),s_dir!E2/((1/1000)*(s_Irr!D2+s_Irr!BB2)),IF(AND(s_Irr!D2=".",s_Irr!AC2&lt;&gt;".",s_Irr!BB2&lt;&gt;"."),s_dir!E2/((1/1000)*(s_Irr!AC2+s_Irr!BB2)),IF(AND(s_Irr!D2=".",s_Irr!AC2=".",s_Irr!BB2&lt;&gt;"."),s_dir!E2/((1/1000)*(s_Irr!BB2)),IF(AND(s_Irr!D2=".",s_Irr!AC2&lt;&gt;".",s_Irr!BB2="."),s_dir!E2/((1/1000)*(s_Irr!AC2)),IF(AND(s_Irr!D2&lt;&gt;".",s_Irr!AC2=".",s_Irr!BB2="."),s_dir!E2/((1/1000)*(s_Irr!D2)),IF(AND(s_Irr!D2=".",s_Irr!AC2=".",s_Irr!BB2="."),s_dir!E2*1000)))))))),".")</f>
        <v>1436.1115966030641</v>
      </c>
      <c r="F2" s="70">
        <f>IFERROR(IF(AND(s_Irr!E2&lt;&gt;".",s_Irr!AD2&lt;&gt;".",s_Irr!BC2&lt;&gt;"."),s_dir!F2/((1/1000)*(s_Irr!E2+s_Irr!AD2+s_Irr!BC2)),IF(AND(s_Irr!E2&lt;&gt;".",s_Irr!AD2&lt;&gt;".",s_Irr!BC2="."),s_dir!F2/((1/1000)*(s_Irr!E2+s_Irr!AD2)),IF(AND(s_Irr!E2&lt;&gt;".",s_Irr!AD2=".",s_Irr!BC2&lt;&gt;"."),s_dir!F2/((1/1000)*(s_Irr!E2+s_Irr!BC2)),IF(AND(s_Irr!E2=".",s_Irr!AD2&lt;&gt;".",s_Irr!BC2&lt;&gt;"."),s_dir!F2/((1/1000)*(s_Irr!AD2+s_Irr!BC2)),IF(AND(s_Irr!E2=".",s_Irr!AD2=".",s_Irr!BC2&lt;&gt;"."),s_dir!F2/((1/1000)*(s_Irr!BC2)),IF(AND(s_Irr!E2=".",s_Irr!AD2&lt;&gt;".",s_Irr!BC2="."),s_dir!F2/((1/1000)*(s_Irr!AD2)),IF(AND(s_Irr!E2&lt;&gt;".",s_Irr!AD2=".",s_Irr!BC2="."),s_dir!F2/((1/1000)*(s_Irr!E2)),IF(AND(s_Irr!E2=".",s_Irr!AD2=".",s_Irr!BC2="."),s_dir!F2*1000)))))))),".")</f>
        <v>1436.1115966030641</v>
      </c>
      <c r="G2" s="70">
        <f>IFERROR(IF(AND(s_Irr!F2&lt;&gt;".",s_Irr!AE2&lt;&gt;".",s_Irr!BD2&lt;&gt;"."),s_dir!G2/((1/1000)*(s_Irr!F2+s_Irr!AE2+s_Irr!BD2)),IF(AND(s_Irr!F2&lt;&gt;".",s_Irr!AE2&lt;&gt;".",s_Irr!BD2="."),s_dir!G2/((1/1000)*(s_Irr!F2+s_Irr!AE2)),IF(AND(s_Irr!F2&lt;&gt;".",s_Irr!AE2=".",s_Irr!BD2&lt;&gt;"."),s_dir!G2/((1/1000)*(s_Irr!F2+s_Irr!BD2)),IF(AND(s_Irr!F2=".",s_Irr!AE2&lt;&gt;".",s_Irr!BD2&lt;&gt;"."),s_dir!G2/((1/1000)*(s_Irr!AE2+s_Irr!BD2)),IF(AND(s_Irr!F2=".",s_Irr!AE2=".",s_Irr!BD2&lt;&gt;"."),s_dir!G2/((1/1000)*(s_Irr!BD2)),IF(AND(s_Irr!F2=".",s_Irr!AE2&lt;&gt;".",s_Irr!BD2="."),s_dir!G2/((1/1000)*(s_Irr!AE2)),IF(AND(s_Irr!F2&lt;&gt;".",s_Irr!AE2=".",s_Irr!BD2="."),s_dir!G2/((1/1000)*(s_Irr!F2)),IF(AND(s_Irr!F2=".",s_Irr!AE2=".",s_Irr!BD2="."),s_dir!G2*1000)))))))),".")</f>
        <v>1436.1115966030641</v>
      </c>
      <c r="H2" s="70">
        <f>IFERROR(IF(AND(s_Irr!G2&lt;&gt;".",s_Irr!AF2&lt;&gt;".",s_Irr!BE2&lt;&gt;"."),s_dir!H2/((1/1000)*(s_Irr!G2+s_Irr!AF2+s_Irr!BE2)),IF(AND(s_Irr!G2&lt;&gt;".",s_Irr!AF2&lt;&gt;".",s_Irr!BE2="."),s_dir!H2/((1/1000)*(s_Irr!G2+s_Irr!AF2)),IF(AND(s_Irr!G2&lt;&gt;".",s_Irr!AF2=".",s_Irr!BE2&lt;&gt;"."),s_dir!H2/((1/1000)*(s_Irr!G2+s_Irr!BE2)),IF(AND(s_Irr!G2=".",s_Irr!AF2&lt;&gt;".",s_Irr!BE2&lt;&gt;"."),s_dir!H2/((1/1000)*(s_Irr!AF2+s_Irr!BE2)),IF(AND(s_Irr!G2=".",s_Irr!AF2=".",s_Irr!BE2&lt;&gt;"."),s_dir!H2/((1/1000)*(s_Irr!BE2)),IF(AND(s_Irr!G2=".",s_Irr!AF2&lt;&gt;".",s_Irr!BE2="."),s_dir!H2/((1/1000)*(s_Irr!AF2)),IF(AND(s_Irr!G2&lt;&gt;".",s_Irr!AF2=".",s_Irr!BE2="."),s_dir!H2/((1/1000)*(s_Irr!G2)),IF(AND(s_Irr!G2=".",s_Irr!AF2=".",s_Irr!BE2="."),s_dir!H2*1000)))))))),".")</f>
        <v>1436.1115966030641</v>
      </c>
      <c r="I2" s="70">
        <f>IFERROR(IF(AND(s_Irr!H2&lt;&gt;".",s_Irr!AG2&lt;&gt;".",s_Irr!BF2&lt;&gt;"."),s_dir!I2/((1/1000)*(s_Irr!H2+s_Irr!AG2+s_Irr!BF2)),IF(AND(s_Irr!H2&lt;&gt;".",s_Irr!AG2&lt;&gt;".",s_Irr!BF2="."),s_dir!I2/((1/1000)*(s_Irr!H2+s_Irr!AG2)),IF(AND(s_Irr!H2&lt;&gt;".",s_Irr!AG2=".",s_Irr!BF2&lt;&gt;"."),s_dir!I2/((1/1000)*(s_Irr!H2+s_Irr!BF2)),IF(AND(s_Irr!H2=".",s_Irr!AG2&lt;&gt;".",s_Irr!BF2&lt;&gt;"."),s_dir!I2/((1/1000)*(s_Irr!AG2+s_Irr!BF2)),IF(AND(s_Irr!H2=".",s_Irr!AG2=".",s_Irr!BF2&lt;&gt;"."),s_dir!I2/((1/1000)*(s_Irr!BF2)),IF(AND(s_Irr!H2=".",s_Irr!AG2&lt;&gt;".",s_Irr!BF2="."),s_dir!I2/((1/1000)*(s_Irr!AG2)),IF(AND(s_Irr!H2&lt;&gt;".",s_Irr!AG2=".",s_Irr!BF2="."),s_dir!I2/((1/1000)*(s_Irr!H2)),IF(AND(s_Irr!H2=".",s_Irr!AG2=".",s_Irr!BF2="."),s_dir!I2*1000)))))))),".")</f>
        <v>1436.1115966030641</v>
      </c>
      <c r="J2" s="70">
        <f>IFERROR(IF(AND(s_Irr!I2&lt;&gt;".",s_Irr!AH2&lt;&gt;".",s_Irr!BG2&lt;&gt;"."),s_dir!J2/((1/1000)*(s_Irr!I2+s_Irr!AH2+s_Irr!BG2)),IF(AND(s_Irr!I2&lt;&gt;".",s_Irr!AH2&lt;&gt;".",s_Irr!BG2="."),s_dir!J2/((1/1000)*(s_Irr!I2+s_Irr!AH2)),IF(AND(s_Irr!I2&lt;&gt;".",s_Irr!AH2=".",s_Irr!BG2&lt;&gt;"."),s_dir!J2/((1/1000)*(s_Irr!I2+s_Irr!BG2)),IF(AND(s_Irr!I2=".",s_Irr!AH2&lt;&gt;".",s_Irr!BG2&lt;&gt;"."),s_dir!J2/((1/1000)*(s_Irr!AH2+s_Irr!BG2)),IF(AND(s_Irr!I2=".",s_Irr!AH2=".",s_Irr!BG2&lt;&gt;"."),s_dir!J2/((1/1000)*(s_Irr!BG2)),IF(AND(s_Irr!I2=".",s_Irr!AH2&lt;&gt;".",s_Irr!BG2="."),s_dir!J2/((1/1000)*(s_Irr!AH2)),IF(AND(s_Irr!I2&lt;&gt;".",s_Irr!AH2=".",s_Irr!BG2="."),s_dir!J2/((1/1000)*(s_Irr!I2)),IF(AND(s_Irr!I2=".",s_Irr!AH2=".",s_Irr!BG2="."),s_dir!J2*1000)))))))),".")</f>
        <v>1436.1115966030641</v>
      </c>
      <c r="K2" s="70">
        <f>IFERROR(IF(AND(s_Irr!J2&lt;&gt;".",s_Irr!AI2&lt;&gt;".",s_Irr!BH2&lt;&gt;"."),s_dir!K2/((1/1000)*(s_Irr!J2+s_Irr!AI2+s_Irr!BH2)),IF(AND(s_Irr!J2&lt;&gt;".",s_Irr!AI2&lt;&gt;".",s_Irr!BH2="."),s_dir!K2/((1/1000)*(s_Irr!J2+s_Irr!AI2)),IF(AND(s_Irr!J2&lt;&gt;".",s_Irr!AI2=".",s_Irr!BH2&lt;&gt;"."),s_dir!K2/((1/1000)*(s_Irr!J2+s_Irr!BH2)),IF(AND(s_Irr!J2=".",s_Irr!AI2&lt;&gt;".",s_Irr!BH2&lt;&gt;"."),s_dir!K2/((1/1000)*(s_Irr!AI2+s_Irr!BH2)),IF(AND(s_Irr!J2=".",s_Irr!AI2=".",s_Irr!BH2&lt;&gt;"."),s_dir!K2/((1/1000)*(s_Irr!BH2)),IF(AND(s_Irr!J2=".",s_Irr!AI2&lt;&gt;".",s_Irr!BH2="."),s_dir!K2/((1/1000)*(s_Irr!AI2)),IF(AND(s_Irr!J2&lt;&gt;".",s_Irr!AI2=".",s_Irr!BH2="."),s_dir!K2/((1/1000)*(s_Irr!J2)),IF(AND(s_Irr!J2=".",s_Irr!AI2=".",s_Irr!BH2="."),s_dir!K2*1000)))))))),".")</f>
        <v>1436.1115966030641</v>
      </c>
      <c r="L2" s="70">
        <f>IFERROR(IF(AND(s_Irr!K2&lt;&gt;".",s_Irr!AJ2&lt;&gt;".",s_Irr!BI2&lt;&gt;"."),s_dir!L2/((1/1000)*(s_Irr!K2+s_Irr!AJ2+s_Irr!BI2)),IF(AND(s_Irr!K2&lt;&gt;".",s_Irr!AJ2&lt;&gt;".",s_Irr!BI2="."),s_dir!L2/((1/1000)*(s_Irr!K2+s_Irr!AJ2)),IF(AND(s_Irr!K2&lt;&gt;".",s_Irr!AJ2=".",s_Irr!BI2&lt;&gt;"."),s_dir!L2/((1/1000)*(s_Irr!K2+s_Irr!BI2)),IF(AND(s_Irr!K2=".",s_Irr!AJ2&lt;&gt;".",s_Irr!BI2&lt;&gt;"."),s_dir!L2/((1/1000)*(s_Irr!AJ2+s_Irr!BI2)),IF(AND(s_Irr!K2=".",s_Irr!AJ2=".",s_Irr!BI2&lt;&gt;"."),s_dir!L2/((1/1000)*(s_Irr!BI2)),IF(AND(s_Irr!K2=".",s_Irr!AJ2&lt;&gt;".",s_Irr!BI2="."),s_dir!L2/((1/1000)*(s_Irr!AJ2)),IF(AND(s_Irr!K2&lt;&gt;".",s_Irr!AJ2=".",s_Irr!BI2="."),s_dir!L2/((1/1000)*(s_Irr!K2)),IF(AND(s_Irr!K2=".",s_Irr!AJ2=".",s_Irr!BI2="."),s_dir!L2*1000)))))))),".")</f>
        <v>1436.1115966030641</v>
      </c>
      <c r="M2" s="70">
        <f>IFERROR(IF(AND(s_Irr!L2&lt;&gt;".",s_Irr!AK2&lt;&gt;".",s_Irr!BJ2&lt;&gt;"."),s_dir!M2/((1/1000)*(s_Irr!L2+s_Irr!AK2+s_Irr!BJ2)),IF(AND(s_Irr!L2&lt;&gt;".",s_Irr!AK2&lt;&gt;".",s_Irr!BJ2="."),s_dir!M2/((1/1000)*(s_Irr!L2+s_Irr!AK2)),IF(AND(s_Irr!L2&lt;&gt;".",s_Irr!AK2=".",s_Irr!BJ2&lt;&gt;"."),s_dir!M2/((1/1000)*(s_Irr!L2+s_Irr!BJ2)),IF(AND(s_Irr!L2=".",s_Irr!AK2&lt;&gt;".",s_Irr!BJ2&lt;&gt;"."),s_dir!M2/((1/1000)*(s_Irr!AK2+s_Irr!BJ2)),IF(AND(s_Irr!L2=".",s_Irr!AK2=".",s_Irr!BJ2&lt;&gt;"."),s_dir!M2/((1/1000)*(s_Irr!BJ2)),IF(AND(s_Irr!L2=".",s_Irr!AK2&lt;&gt;".",s_Irr!BJ2="."),s_dir!M2/((1/1000)*(s_Irr!AK2)),IF(AND(s_Irr!L2&lt;&gt;".",s_Irr!AK2=".",s_Irr!BJ2="."),s_dir!M2/((1/1000)*(s_Irr!L2)),IF(AND(s_Irr!L2=".",s_Irr!AK2=".",s_Irr!BJ2="."),s_dir!M2*1000)))))))),".")</f>
        <v>1436.1115966030641</v>
      </c>
      <c r="N2" s="70">
        <f>IFERROR(IF(AND(s_Irr!M2&lt;&gt;".",s_Irr!AL2&lt;&gt;".",s_Irr!BK2&lt;&gt;"."),s_dir!N2/((1/1000)*(s_Irr!M2+s_Irr!AL2+s_Irr!BK2)),IF(AND(s_Irr!M2&lt;&gt;".",s_Irr!AL2&lt;&gt;".",s_Irr!BK2="."),s_dir!N2/((1/1000)*(s_Irr!M2+s_Irr!AL2)),IF(AND(s_Irr!M2&lt;&gt;".",s_Irr!AL2=".",s_Irr!BK2&lt;&gt;"."),s_dir!N2/((1/1000)*(s_Irr!M2+s_Irr!BK2)),IF(AND(s_Irr!M2=".",s_Irr!AL2&lt;&gt;".",s_Irr!BK2&lt;&gt;"."),s_dir!N2/((1/1000)*(s_Irr!AL2+s_Irr!BK2)),IF(AND(s_Irr!M2=".",s_Irr!AL2=".",s_Irr!BK2&lt;&gt;"."),s_dir!N2/((1/1000)*(s_Irr!BK2)),IF(AND(s_Irr!M2=".",s_Irr!AL2&lt;&gt;".",s_Irr!BK2="."),s_dir!N2/((1/1000)*(s_Irr!AL2)),IF(AND(s_Irr!M2&lt;&gt;".",s_Irr!AL2=".",s_Irr!BK2="."),s_dir!N2/((1/1000)*(s_Irr!M2)),IF(AND(s_Irr!M2=".",s_Irr!AL2=".",s_Irr!BK2="."),s_dir!N2*1000)))))))),".")</f>
        <v>1436.1115966030641</v>
      </c>
      <c r="O2" s="70">
        <f>IFERROR(IF(AND(s_Irr!N2&lt;&gt;".",s_Irr!AM2&lt;&gt;".",s_Irr!BL2&lt;&gt;"."),s_dir!O2/((1/1000)*(s_Irr!N2+s_Irr!AM2+s_Irr!BL2)),IF(AND(s_Irr!N2&lt;&gt;".",s_Irr!AM2&lt;&gt;".",s_Irr!BL2="."),s_dir!O2/((1/1000)*(s_Irr!N2+s_Irr!AM2)),IF(AND(s_Irr!N2&lt;&gt;".",s_Irr!AM2=".",s_Irr!BL2&lt;&gt;"."),s_dir!O2/((1/1000)*(s_Irr!N2+s_Irr!BL2)),IF(AND(s_Irr!N2=".",s_Irr!AM2&lt;&gt;".",s_Irr!BL2&lt;&gt;"."),s_dir!O2/((1/1000)*(s_Irr!AM2+s_Irr!BL2)),IF(AND(s_Irr!N2=".",s_Irr!AM2=".",s_Irr!BL2&lt;&gt;"."),s_dir!O2/((1/1000)*(s_Irr!BL2)),IF(AND(s_Irr!N2=".",s_Irr!AM2&lt;&gt;".",s_Irr!BL2="."),s_dir!O2/((1/1000)*(s_Irr!AM2)),IF(AND(s_Irr!N2&lt;&gt;".",s_Irr!AM2=".",s_Irr!BL2="."),s_dir!O2/((1/1000)*(s_Irr!N2)),IF(AND(s_Irr!N2=".",s_Irr!AM2=".",s_Irr!BL2="."),s_dir!O2*1000)))))))),".")</f>
        <v>1436.1115966030641</v>
      </c>
      <c r="P2" s="70">
        <f>IFERROR(IF(AND(s_Irr!O2&lt;&gt;".",s_Irr!AN2&lt;&gt;".",s_Irr!BM2&lt;&gt;"."),s_dir!P2/((1/1000)*(s_Irr!O2+s_Irr!AN2+s_Irr!BM2)),IF(AND(s_Irr!O2&lt;&gt;".",s_Irr!AN2&lt;&gt;".",s_Irr!BM2="."),s_dir!P2/((1/1000)*(s_Irr!O2+s_Irr!AN2)),IF(AND(s_Irr!O2&lt;&gt;".",s_Irr!AN2=".",s_Irr!BM2&lt;&gt;"."),s_dir!P2/((1/1000)*(s_Irr!O2+s_Irr!BM2)),IF(AND(s_Irr!O2=".",s_Irr!AN2&lt;&gt;".",s_Irr!BM2&lt;&gt;"."),s_dir!P2/((1/1000)*(s_Irr!AN2+s_Irr!BM2)),IF(AND(s_Irr!O2=".",s_Irr!AN2=".",s_Irr!BM2&lt;&gt;"."),s_dir!P2/((1/1000)*(s_Irr!BM2)),IF(AND(s_Irr!O2=".",s_Irr!AN2&lt;&gt;".",s_Irr!BM2="."),s_dir!P2/((1/1000)*(s_Irr!AN2)),IF(AND(s_Irr!O2&lt;&gt;".",s_Irr!AN2=".",s_Irr!BM2="."),s_dir!P2/((1/1000)*(s_Irr!O2)),IF(AND(s_Irr!O2=".",s_Irr!AN2=".",s_Irr!BM2="."),s_dir!P2*1000)))))))),".")</f>
        <v>1436.1115966030641</v>
      </c>
      <c r="Q2" s="70">
        <f>IFERROR(IF(AND(s_Irr!P2&lt;&gt;".",s_Irr!AO2&lt;&gt;".",s_Irr!BN2&lt;&gt;"."),s_dir!Q2/((1/1000)*(s_Irr!P2+s_Irr!AO2+s_Irr!BN2)),IF(AND(s_Irr!P2&lt;&gt;".",s_Irr!AO2&lt;&gt;".",s_Irr!BN2="."),s_dir!Q2/((1/1000)*(s_Irr!P2+s_Irr!AO2)),IF(AND(s_Irr!P2&lt;&gt;".",s_Irr!AO2=".",s_Irr!BN2&lt;&gt;"."),s_dir!Q2/((1/1000)*(s_Irr!P2+s_Irr!BN2)),IF(AND(s_Irr!P2=".",s_Irr!AO2&lt;&gt;".",s_Irr!BN2&lt;&gt;"."),s_dir!Q2/((1/1000)*(s_Irr!AO2+s_Irr!BN2)),IF(AND(s_Irr!P2=".",s_Irr!AO2=".",s_Irr!BN2&lt;&gt;"."),s_dir!Q2/((1/1000)*(s_Irr!BN2)),IF(AND(s_Irr!P2=".",s_Irr!AO2&lt;&gt;".",s_Irr!BN2="."),s_dir!Q2/((1/1000)*(s_Irr!AO2)),IF(AND(s_Irr!P2&lt;&gt;".",s_Irr!AO2=".",s_Irr!BN2="."),s_dir!Q2/((1/1000)*(s_Irr!P2)),IF(AND(s_Irr!P2=".",s_Irr!AO2=".",s_Irr!BN2="."),s_dir!Q2*1000)))))))),".")</f>
        <v>1436.1115966030641</v>
      </c>
      <c r="R2" s="70">
        <f>IFERROR(IF(AND(s_Irr!Q2&lt;&gt;".",s_Irr!AP2&lt;&gt;".",s_Irr!BO2&lt;&gt;"."),s_dir!R2/((1/1000)*(s_Irr!Q2+s_Irr!AP2+s_Irr!BO2)),IF(AND(s_Irr!Q2&lt;&gt;".",s_Irr!AP2&lt;&gt;".",s_Irr!BO2="."),s_dir!R2/((1/1000)*(s_Irr!Q2+s_Irr!AP2)),IF(AND(s_Irr!Q2&lt;&gt;".",s_Irr!AP2=".",s_Irr!BO2&lt;&gt;"."),s_dir!R2/((1/1000)*(s_Irr!Q2+s_Irr!BO2)),IF(AND(s_Irr!Q2=".",s_Irr!AP2&lt;&gt;".",s_Irr!BO2&lt;&gt;"."),s_dir!R2/((1/1000)*(s_Irr!AP2+s_Irr!BO2)),IF(AND(s_Irr!Q2=".",s_Irr!AP2=".",s_Irr!BO2&lt;&gt;"."),s_dir!R2/((1/1000)*(s_Irr!BO2)),IF(AND(s_Irr!Q2=".",s_Irr!AP2&lt;&gt;".",s_Irr!BO2="."),s_dir!R2/((1/1000)*(s_Irr!AP2)),IF(AND(s_Irr!Q2&lt;&gt;".",s_Irr!AP2=".",s_Irr!BO2="."),s_dir!R2/((1/1000)*(s_Irr!Q2)),IF(AND(s_Irr!Q2=".",s_Irr!AP2=".",s_Irr!BO2="."),s_dir!R2*1000)))))))),".")</f>
        <v>1436.1115966030641</v>
      </c>
      <c r="S2" s="70">
        <f>IFERROR(IF(AND(s_Irr!R2&lt;&gt;".",s_Irr!AQ2&lt;&gt;".",s_Irr!BP2&lt;&gt;"."),s_dir!S2/((1/1000)*(s_Irr!R2+s_Irr!AQ2+s_Irr!BP2)),IF(AND(s_Irr!R2&lt;&gt;".",s_Irr!AQ2&lt;&gt;".",s_Irr!BP2="."),s_dir!S2/((1/1000)*(s_Irr!R2+s_Irr!AQ2)),IF(AND(s_Irr!R2&lt;&gt;".",s_Irr!AQ2=".",s_Irr!BP2&lt;&gt;"."),s_dir!S2/((1/1000)*(s_Irr!R2+s_Irr!BP2)),IF(AND(s_Irr!R2=".",s_Irr!AQ2&lt;&gt;".",s_Irr!BP2&lt;&gt;"."),s_dir!S2/((1/1000)*(s_Irr!AQ2+s_Irr!BP2)),IF(AND(s_Irr!R2=".",s_Irr!AQ2=".",s_Irr!BP2&lt;&gt;"."),s_dir!S2/((1/1000)*(s_Irr!BP2)),IF(AND(s_Irr!R2=".",s_Irr!AQ2&lt;&gt;".",s_Irr!BP2="."),s_dir!S2/((1/1000)*(s_Irr!AQ2)),IF(AND(s_Irr!R2&lt;&gt;".",s_Irr!AQ2=".",s_Irr!BP2="."),s_dir!S2/((1/1000)*(s_Irr!R2)),IF(AND(s_Irr!R2=".",s_Irr!AQ2=".",s_Irr!BP2="."),s_dir!S2*1000)))))))),".")</f>
        <v>1436.1115966030641</v>
      </c>
      <c r="T2" s="70">
        <f>IFERROR(IF(AND(s_Irr!S2&lt;&gt;".",s_Irr!AR2&lt;&gt;".",s_Irr!BQ2&lt;&gt;"."),s_dir!T2/((1/1000)*(s_Irr!S2+s_Irr!AR2+s_Irr!BQ2)),IF(AND(s_Irr!S2&lt;&gt;".",s_Irr!AR2&lt;&gt;".",s_Irr!BQ2="."),s_dir!T2/((1/1000)*(s_Irr!S2+s_Irr!AR2)),IF(AND(s_Irr!S2&lt;&gt;".",s_Irr!AR2=".",s_Irr!BQ2&lt;&gt;"."),s_dir!T2/((1/1000)*(s_Irr!S2+s_Irr!BQ2)),IF(AND(s_Irr!S2=".",s_Irr!AR2&lt;&gt;".",s_Irr!BQ2&lt;&gt;"."),s_dir!T2/((1/1000)*(s_Irr!AR2+s_Irr!BQ2)),IF(AND(s_Irr!S2=".",s_Irr!AR2=".",s_Irr!BQ2&lt;&gt;"."),s_dir!T2/((1/1000)*(s_Irr!BQ2)),IF(AND(s_Irr!S2=".",s_Irr!AR2&lt;&gt;".",s_Irr!BQ2="."),s_dir!T2/((1/1000)*(s_Irr!AR2)),IF(AND(s_Irr!S2&lt;&gt;".",s_Irr!AR2=".",s_Irr!BQ2="."),s_dir!T2/((1/1000)*(s_Irr!S2)),IF(AND(s_Irr!S2=".",s_Irr!AR2=".",s_Irr!BQ2="."),s_dir!T2*1000)))))))),".")</f>
        <v>1436.1115966030641</v>
      </c>
      <c r="U2" s="70">
        <f>IFERROR(IF(AND(s_Irr!T2&lt;&gt;".",s_Irr!AS2&lt;&gt;".",s_Irr!BR2&lt;&gt;"."),s_dir!U2/((1/1000)*(s_Irr!T2+s_Irr!AS2+s_Irr!BR2)),IF(AND(s_Irr!T2&lt;&gt;".",s_Irr!AS2&lt;&gt;".",s_Irr!BR2="."),s_dir!U2/((1/1000)*(s_Irr!T2+s_Irr!AS2)),IF(AND(s_Irr!T2&lt;&gt;".",s_Irr!AS2=".",s_Irr!BR2&lt;&gt;"."),s_dir!U2/((1/1000)*(s_Irr!T2+s_Irr!BR2)),IF(AND(s_Irr!T2=".",s_Irr!AS2&lt;&gt;".",s_Irr!BR2&lt;&gt;"."),s_dir!U2/((1/1000)*(s_Irr!AS2+s_Irr!BR2)),IF(AND(s_Irr!T2=".",s_Irr!AS2=".",s_Irr!BR2&lt;&gt;"."),s_dir!U2/((1/1000)*(s_Irr!BR2)),IF(AND(s_Irr!T2=".",s_Irr!AS2&lt;&gt;".",s_Irr!BR2="."),s_dir!U2/((1/1000)*(s_Irr!AS2)),IF(AND(s_Irr!T2&lt;&gt;".",s_Irr!AS2=".",s_Irr!BR2="."),s_dir!U2/((1/1000)*(s_Irr!T2)),IF(AND(s_Irr!T2=".",s_Irr!AS2=".",s_Irr!BR2="."),s_dir!U2*1000)))))))),".")</f>
        <v>1436.1115966030641</v>
      </c>
      <c r="V2" s="70">
        <f>IFERROR(IF(AND(s_Irr!U2&lt;&gt;".",s_Irr!AT2&lt;&gt;".",s_Irr!BS2&lt;&gt;"."),s_dir!V2/((1/1000)*(s_Irr!U2+s_Irr!AT2+s_Irr!BS2)),IF(AND(s_Irr!U2&lt;&gt;".",s_Irr!AT2&lt;&gt;".",s_Irr!BS2="."),s_dir!V2/((1/1000)*(s_Irr!U2+s_Irr!AT2)),IF(AND(s_Irr!U2&lt;&gt;".",s_Irr!AT2=".",s_Irr!BS2&lt;&gt;"."),s_dir!V2/((1/1000)*(s_Irr!U2+s_Irr!BS2)),IF(AND(s_Irr!U2=".",s_Irr!AT2&lt;&gt;".",s_Irr!BS2&lt;&gt;"."),s_dir!V2/((1/1000)*(s_Irr!AT2+s_Irr!BS2)),IF(AND(s_Irr!U2=".",s_Irr!AT2=".",s_Irr!BS2&lt;&gt;"."),s_dir!V2/((1/1000)*(s_Irr!BS2)),IF(AND(s_Irr!U2=".",s_Irr!AT2&lt;&gt;".",s_Irr!BS2="."),s_dir!V2/((1/1000)*(s_Irr!AT2)),IF(AND(s_Irr!U2&lt;&gt;".",s_Irr!AT2=".",s_Irr!BS2="."),s_dir!V2/((1/1000)*(s_Irr!U2)),IF(AND(s_Irr!U2=".",s_Irr!AT2=".",s_Irr!BS2="."),s_dir!V2*1000)))))))),".")</f>
        <v>1436.1115966030641</v>
      </c>
      <c r="W2" s="70">
        <f>IFERROR(IF(AND(s_Irr!V2&lt;&gt;".",s_Irr!AU2&lt;&gt;".",s_Irr!BT2&lt;&gt;"."),s_dir!W2/((1/1000)*(s_Irr!V2+s_Irr!AU2+s_Irr!BT2)),IF(AND(s_Irr!V2&lt;&gt;".",s_Irr!AU2&lt;&gt;".",s_Irr!BT2="."),s_dir!W2/((1/1000)*(s_Irr!V2+s_Irr!AU2)),IF(AND(s_Irr!V2&lt;&gt;".",s_Irr!AU2=".",s_Irr!BT2&lt;&gt;"."),s_dir!W2/((1/1000)*(s_Irr!V2+s_Irr!BT2)),IF(AND(s_Irr!V2=".",s_Irr!AU2&lt;&gt;".",s_Irr!BT2&lt;&gt;"."),s_dir!W2/((1/1000)*(s_Irr!AU2+s_Irr!BT2)),IF(AND(s_Irr!V2=".",s_Irr!AU2=".",s_Irr!BT2&lt;&gt;"."),s_dir!W2/((1/1000)*(s_Irr!BT2)),IF(AND(s_Irr!V2=".",s_Irr!AU2&lt;&gt;".",s_Irr!BT2="."),s_dir!W2/((1/1000)*(s_Irr!AU2)),IF(AND(s_Irr!V2&lt;&gt;".",s_Irr!AU2=".",s_Irr!BT2="."),s_dir!W2/((1/1000)*(s_Irr!V2)),IF(AND(s_Irr!V2=".",s_Irr!AU2=".",s_Irr!BT2="."),s_dir!W2*1000)))))))),".")</f>
        <v>1436.1115966030641</v>
      </c>
      <c r="X2" s="70">
        <f>IFERROR(IF(AND(s_Irr!W2&lt;&gt;".",s_Irr!AV2&lt;&gt;".",s_Irr!BU2&lt;&gt;"."),s_dir!X2/((1/1000)*(s_Irr!W2+s_Irr!AV2+s_Irr!BU2)),IF(AND(s_Irr!W2&lt;&gt;".",s_Irr!AV2&lt;&gt;".",s_Irr!BU2="."),s_dir!X2/((1/1000)*(s_Irr!W2+s_Irr!AV2)),IF(AND(s_Irr!W2&lt;&gt;".",s_Irr!AV2=".",s_Irr!BU2&lt;&gt;"."),s_dir!X2/((1/1000)*(s_Irr!W2+s_Irr!BU2)),IF(AND(s_Irr!W2=".",s_Irr!AV2&lt;&gt;".",s_Irr!BU2&lt;&gt;"."),s_dir!X2/((1/1000)*(s_Irr!AV2+s_Irr!BU2)),IF(AND(s_Irr!W2=".",s_Irr!AV2=".",s_Irr!BU2&lt;&gt;"."),s_dir!X2/((1/1000)*(s_Irr!BU2)),IF(AND(s_Irr!W2=".",s_Irr!AV2&lt;&gt;".",s_Irr!BU2="."),s_dir!X2/((1/1000)*(s_Irr!AV2)),IF(AND(s_Irr!W2&lt;&gt;".",s_Irr!AV2=".",s_Irr!BU2="."),s_dir!X2/((1/1000)*(s_Irr!W2)),IF(AND(s_Irr!W2=".",s_Irr!AV2=".",s_Irr!BU2="."),s_dir!X2*1000)))))))),".")</f>
        <v>1436.1115966030641</v>
      </c>
      <c r="Y2" s="70">
        <f>IFERROR(IF(AND(s_Irr!X2&lt;&gt;".",s_Irr!AW2&lt;&gt;".",s_Irr!BV2&lt;&gt;"."),s_dir!Y2/((1/1000)*(s_Irr!X2+s_Irr!AW2+s_Irr!BV2)),IF(AND(s_Irr!X2&lt;&gt;".",s_Irr!AW2&lt;&gt;".",s_Irr!BV2="."),s_dir!Y2/((1/1000)*(s_Irr!X2+s_Irr!AW2)),IF(AND(s_Irr!X2&lt;&gt;".",s_Irr!AW2=".",s_Irr!BV2&lt;&gt;"."),s_dir!Y2/((1/1000)*(s_Irr!X2+s_Irr!BV2)),IF(AND(s_Irr!X2=".",s_Irr!AW2&lt;&gt;".",s_Irr!BV2&lt;&gt;"."),s_dir!Y2/((1/1000)*(s_Irr!AW2+s_Irr!BV2)),IF(AND(s_Irr!X2=".",s_Irr!AW2=".",s_Irr!BV2&lt;&gt;"."),s_dir!Y2/((1/1000)*(s_Irr!BV2)),IF(AND(s_Irr!X2=".",s_Irr!AW2&lt;&gt;".",s_Irr!BV2="."),s_dir!Y2/((1/1000)*(s_Irr!AW2)),IF(AND(s_Irr!X2&lt;&gt;".",s_Irr!AW2=".",s_Irr!BV2="."),s_dir!Y2/((1/1000)*(s_Irr!X2)),IF(AND(s_Irr!X2=".",s_Irr!AW2=".",s_Irr!BV2="."),s_dir!Y2*1000)))))))),".")</f>
        <v>1436.1115966030641</v>
      </c>
      <c r="Z2" s="70">
        <f>IFERROR(IF(AND(s_Irr!Y2&lt;&gt;".",s_Irr!AX2&lt;&gt;".",s_Irr!BW2&lt;&gt;"."),s_dir!Z2/((1/1000)*(s_Irr!Y2+s_Irr!AX2+s_Irr!BW2)),IF(AND(s_Irr!Y2&lt;&gt;".",s_Irr!AX2&lt;&gt;".",s_Irr!BW2="."),s_dir!Z2/((1/1000)*(s_Irr!Y2+s_Irr!AX2)),IF(AND(s_Irr!Y2&lt;&gt;".",s_Irr!AX2=".",s_Irr!BW2&lt;&gt;"."),s_dir!Z2/((1/1000)*(s_Irr!Y2+s_Irr!BW2)),IF(AND(s_Irr!Y2=".",s_Irr!AX2&lt;&gt;".",s_Irr!BW2&lt;&gt;"."),s_dir!Z2/((1/1000)*(s_Irr!AX2+s_Irr!BW2)),IF(AND(s_Irr!Y2=".",s_Irr!AX2=".",s_Irr!BW2&lt;&gt;"."),s_dir!Z2/((1/1000)*(s_Irr!BW2)),IF(AND(s_Irr!Y2=".",s_Irr!AX2&lt;&gt;".",s_Irr!BW2="."),s_dir!Z2/((1/1000)*(s_Irr!AX2)),IF(AND(s_Irr!Y2&lt;&gt;".",s_Irr!AX2=".",s_Irr!BW2="."),s_dir!Z2/((1/1000)*(s_Irr!Y2)),IF(AND(s_Irr!Y2=".",s_Irr!AX2=".",s_Irr!BW2="."),s_dir!Z2*1000)))))))),".")</f>
        <v>1436.1115966030641</v>
      </c>
      <c r="AA2" s="70">
        <f>IFERROR(IF(AND(s_Irr!Z2&lt;&gt;".",s_Irr!AY2&lt;&gt;".",s_Irr!BX2&lt;&gt;"."),s_dir!AA2/((1/1000)*(s_Irr!Z2+s_Irr!AY2+s_Irr!BX2)),IF(AND(s_Irr!Z2&lt;&gt;".",s_Irr!AY2&lt;&gt;".",s_Irr!BX2="."),s_dir!AA2/((1/1000)*(s_Irr!Z2+s_Irr!AY2)),IF(AND(s_Irr!Z2&lt;&gt;".",s_Irr!AY2=".",s_Irr!BX2&lt;&gt;"."),s_dir!AA2/((1/1000)*(s_Irr!Z2+s_Irr!BX2)),IF(AND(s_Irr!Z2=".",s_Irr!AY2&lt;&gt;".",s_Irr!BX2&lt;&gt;"."),s_dir!AA2/((1/1000)*(s_Irr!AY2+s_Irr!BX2)),IF(AND(s_Irr!Z2=".",s_Irr!AY2=".",s_Irr!BX2&lt;&gt;"."),s_dir!AA2/((1/1000)*(s_Irr!BX2)),IF(AND(s_Irr!Z2=".",s_Irr!AY2&lt;&gt;".",s_Irr!BX2="."),s_dir!AA2/((1/1000)*(s_Irr!AY2)),IF(AND(s_Irr!Z2&lt;&gt;".",s_Irr!AY2=".",s_Irr!BX2="."),s_dir!AA2/((1/1000)*(s_Irr!Z2)),IF(AND(s_Irr!Z2=".",s_Irr!AY2=".",s_Irr!BX2="."),s_dir!AA2*1000)))))))),".")</f>
        <v>1436.1115966030641</v>
      </c>
      <c r="AB2" s="70">
        <f>IFERROR(IF(AND(s_Irr!AA2&lt;&gt;".",s_Irr!AZ2&lt;&gt;".",s_Irr!BY2&lt;&gt;"."),s_dir!AB2/((1/1000)*(s_Irr!AA2+s_Irr!AZ2+s_Irr!BY2)),IF(AND(s_Irr!AA2&lt;&gt;".",s_Irr!AZ2&lt;&gt;".",s_Irr!BY2="."),s_dir!AB2/((1/1000)*(s_Irr!AA2+s_Irr!AZ2)),IF(AND(s_Irr!AA2&lt;&gt;".",s_Irr!AZ2=".",s_Irr!BY2&lt;&gt;"."),s_dir!AB2/((1/1000)*(s_Irr!AA2+s_Irr!BY2)),IF(AND(s_Irr!AA2=".",s_Irr!AZ2&lt;&gt;".",s_Irr!BY2&lt;&gt;"."),s_dir!AB2/((1/1000)*(s_Irr!AZ2+s_Irr!BY2)),IF(AND(s_Irr!AA2=".",s_Irr!AZ2=".",s_Irr!BY2&lt;&gt;"."),s_dir!AB2/((1/1000)*(s_Irr!BY2)),IF(AND(s_Irr!AA2=".",s_Irr!AZ2&lt;&gt;".",s_Irr!BY2="."),s_dir!AB2/((1/1000)*(s_Irr!AZ2)),IF(AND(s_Irr!AA2&lt;&gt;".",s_Irr!AZ2=".",s_Irr!BY2="."),s_dir!AB2/((1/1000)*(s_Irr!AA2)),IF(AND(s_Irr!AA2=".",s_Irr!AZ2=".",s_Irr!BY2="."),s_dir!AB2*1000)))))))),".")</f>
        <v>1436.1115966030641</v>
      </c>
      <c r="AC2" s="87">
        <f>SUM(AD2:AE2,AU2,BA2:BB2)</f>
        <v>449.79892269421157</v>
      </c>
      <c r="AD2" s="87">
        <f>IFERROR(s_C*s_IFAP_res_adj*s_CF_apple*0.001*(s_Irr!C2+s_Irr!AB2+s_Irr!BA2),".")</f>
        <v>89.959784538842314</v>
      </c>
      <c r="AE2" s="87">
        <f>IFERROR(s_C*s_IFAS_res_adj*s_CF_asparagus*0.001*(s_Irr!D2+s_Irr!AC2+s_Irr!BB2),".")</f>
        <v>89.959784538842314</v>
      </c>
      <c r="AF2" s="87">
        <f>IFERROR(s_C*s_IFBT_res_adj*s_CF_beet*0.001*(s_Irr!E2+s_Irr!AD2+s_Irr!BC2),".")</f>
        <v>89.959784538842314</v>
      </c>
      <c r="AG2" s="87">
        <f>IFERROR(s_C*s_IFBE_res_adj*s_CF_berries*0.001*(s_Irr!F2+s_Irr!AE2+s_Irr!BD2),".")</f>
        <v>89.959784538842314</v>
      </c>
      <c r="AH2" s="87">
        <f>IFERROR(s_C*s_IFBR_res_adj*s_CF_broccoli*0.001*(s_Irr!G2+s_Irr!AF2+s_Irr!BE2),".")</f>
        <v>89.959784538842314</v>
      </c>
      <c r="AI2" s="87">
        <f>IFERROR(s_C*s_IFCB_res_adj*s_CF_cabbage*0.001*(s_Irr!H2+s_Irr!AG2+s_Irr!BF2),".")</f>
        <v>89.959784538842314</v>
      </c>
      <c r="AJ2" s="87">
        <f>IFERROR(s_C*s_IFCR_res_adj*s_CF_carrot*0.001*(s_Irr!I2+s_Irr!AH2+s_Irr!BG2),".")</f>
        <v>89.959784538842314</v>
      </c>
      <c r="AK2" s="87">
        <f>IFERROR(s_C*s_IFCI_res_adj*s_CF_citrus*0.001*(s_Irr!J2+s_Irr!AI2+s_Irr!BH2),".")</f>
        <v>89.959784538842314</v>
      </c>
      <c r="AL2" s="87">
        <f>IFERROR(s_C*s_IFCO_res_adj*s_CF_corn*0.001*(s_Irr!K2+s_Irr!AJ2+s_Irr!BI2),".")</f>
        <v>89.959784538842314</v>
      </c>
      <c r="AM2" s="87">
        <f>IFERROR(s_C*s_IFCU_res_adj*s_CF_cucumber*0.001*(s_Irr!L2+s_Irr!AK2+s_Irr!BJ2),".")</f>
        <v>89.959784538842314</v>
      </c>
      <c r="AN2" s="87">
        <f>IFERROR(s_C*s_IFLE_res_adj*s_CF_lettuce*0.001*(s_Irr!M2+s_Irr!AL2+s_Irr!BK2),".")</f>
        <v>89.959784538842314</v>
      </c>
      <c r="AO2" s="87">
        <f>IFERROR(s_C*s_IFLI_res_adj*s_CF_lima_bean*0.001*(s_Irr!N2+s_Irr!AM2+s_Irr!BL2),".")</f>
        <v>89.959784538842314</v>
      </c>
      <c r="AP2" s="87">
        <f>IFERROR(s_C*s_IFOK_res_adj*s_CF_okra*0.001*(s_Irr!O2+s_Irr!AN2+s_Irr!BM2),".")</f>
        <v>89.959784538842314</v>
      </c>
      <c r="AQ2" s="87">
        <f>IFERROR(s_C*s_IFON_res_adj*s_CF_onion*0.001*(s_Irr!P2+s_Irr!AO2+s_Irr!BN2),".")</f>
        <v>89.959784538842314</v>
      </c>
      <c r="AR2" s="87">
        <f>IFERROR(s_C*s_IFPC_res_adj*s_CF_peach*0.001*(s_Irr!Q2+s_Irr!AP2+s_Irr!BO2),".")</f>
        <v>89.959784538842314</v>
      </c>
      <c r="AS2" s="87">
        <f>IFERROR(s_C*s_IFPR_res_adj*s_CF_pear*0.001*(s_Irr!R2+s_Irr!AQ2+s_Irr!BP2),".")</f>
        <v>89.959784538842314</v>
      </c>
      <c r="AT2" s="87">
        <f>IFERROR(s_C*s_IFPE_res_adj*s_CF_peas*0.001*(s_Irr!S2+s_Irr!AR2+s_Irr!BQ2),".")</f>
        <v>89.959784538842314</v>
      </c>
      <c r="AU2" s="87">
        <f>IFERROR(s_C*s_IFPP_res_adj*s_CF_peppers*0.001*(s_Irr!T2+s_Irr!AS2+s_Irr!BR2),".")</f>
        <v>89.959784538842314</v>
      </c>
      <c r="AV2" s="87">
        <f>IFERROR(s_C*s_IFPT_res_adj*s_CF_potato*0.001*(s_Irr!U2+s_Irr!AT2+s_Irr!BS2),".")</f>
        <v>89.959784538842314</v>
      </c>
      <c r="AW2" s="87">
        <f>IFERROR(s_C*s_IFPU_res_adj*s_CF_pumpkin*0.001*(s_Irr!V2+s_Irr!AU2+s_Irr!BT2),".")</f>
        <v>89.959784538842314</v>
      </c>
      <c r="AX2" s="87">
        <f>IFERROR(s_C*s_IFSN_res_adj*s_CF_snap_bean*0.001*(s_Irr!W2+s_Irr!AV2+s_Irr!BU2),".")</f>
        <v>89.959784538842314</v>
      </c>
      <c r="AY2" s="87">
        <f>IFERROR(s_C*s_IFST_res_adj*s_CF_strawberry*0.001*(s_Irr!X2+s_Irr!AW2+s_Irr!BV2),".")</f>
        <v>89.959784538842314</v>
      </c>
      <c r="AZ2" s="87">
        <f>IFERROR(s_C*s_IFTO_res_adj*s_CF_tomato*0.001*(s_Irr!Y2+s_Irr!AX2+s_Irr!BW2),".")</f>
        <v>89.959784538842314</v>
      </c>
      <c r="BA2" s="87">
        <f>IFERROR(s_C*s_IFRI_res_adj*s_CF_rice*0.001*(s_Irr!Z2+s_Irr!AY2+s_Irr!BX2),".")</f>
        <v>89.959784538842314</v>
      </c>
      <c r="BB2" s="87">
        <f>IFERROR(s_C*s_IFCG_res_adj*s_CF_cereal*0.001*(s_Irr!AA2+s_Irr!AZ2+s_Irr!BY2),".")</f>
        <v>89.959784538842314</v>
      </c>
      <c r="BC2" s="70">
        <f>IFERROR(1/SUM(1/BD2,1/BU2,1/CA2,1/CB2),".")</f>
        <v>359.02789915076602</v>
      </c>
      <c r="BD2" s="70">
        <f>IFERROR(IF(AND(s_Irr!C2&lt;&gt;".",s_Irr!AB2&lt;&gt;".",s_Irr!BA2&lt;&gt;"."),s_dir!AD2/((1/1000)*(s_Irr!C2+s_Irr!AB2+s_Irr!BA2)),IF(AND(s_Irr!C2&lt;&gt;".",s_Irr!AB2&lt;&gt;".",s_Irr!BA2="."),s_dir!AD2/((1/1000)*(s_Irr!C2+s_Irr!AB2)),IF(AND(s_Irr!C2&lt;&gt;".",s_Irr!AB2=".",s_Irr!BA2&lt;&gt;"."),s_dir!AD2/((1/1000)*(s_Irr!C2+s_Irr!BA2)),IF(AND(s_Irr!C2=".",s_Irr!AB2&lt;&gt;".",s_Irr!BA2&lt;&gt;"."),s_dir!AD2/((1/1000)*(s_Irr!AB2+s_Irr!BA2)),IF(AND(s_Irr!C2=".",s_Irr!AB2=".",s_Irr!BA2&lt;&gt;"."),s_dir!AD2/((1/1000)*(s_Irr!BA2)),IF(AND(s_Irr!C2=".",s_Irr!AB2&lt;&gt;".",s_Irr!BA2="."),s_dir!AD2/((1/1000)*(s_Irr!AB2)),IF(AND(s_Irr!C2&lt;&gt;".",s_Irr!AB2=".",s_Irr!BA2="."),s_dir!AD2/((1/1000)*(s_Irr!C2)),IF(AND(s_Irr!C2=".",s_Irr!AB2=".",s_Irr!BA2="."),s_dir!AD2*1000)))))))),".")</f>
        <v>1436.1115966030641</v>
      </c>
      <c r="BE2" s="70">
        <f>IFERROR(IF(AND(s_Irr!D2&lt;&gt;".",s_Irr!AC2&lt;&gt;".",s_Irr!BB2&lt;&gt;"."),s_dir!AE2/((1/1000)*(s_Irr!D2+s_Irr!AC2+s_Irr!BB2)),IF(AND(s_Irr!D2&lt;&gt;".",s_Irr!AC2&lt;&gt;".",s_Irr!BB2="."),s_dir!AE2/((1/1000)*(s_Irr!D2+s_Irr!AC2)),IF(AND(s_Irr!D2&lt;&gt;".",s_Irr!AC2=".",s_Irr!BB2&lt;&gt;"."),s_dir!AE2/((1/1000)*(s_Irr!D2+s_Irr!BB2)),IF(AND(s_Irr!D2=".",s_Irr!AC2&lt;&gt;".",s_Irr!BB2&lt;&gt;"."),s_dir!AE2/((1/1000)*(s_Irr!AC2+s_Irr!BB2)),IF(AND(s_Irr!D2=".",s_Irr!AC2=".",s_Irr!BB2&lt;&gt;"."),s_dir!AE2/((1/1000)*(s_Irr!BB2)),IF(AND(s_Irr!D2=".",s_Irr!AC2&lt;&gt;".",s_Irr!BB2="."),s_dir!AE2/((1/1000)*(s_Irr!AC2)),IF(AND(s_Irr!D2&lt;&gt;".",s_Irr!AC2=".",s_Irr!BB2="."),s_dir!AE2/((1/1000)*(s_Irr!D2)),IF(AND(s_Irr!D2=".",s_Irr!AC2=".",s_Irr!BB2="."),s_dir!AE2*1000)))))))),".")</f>
        <v>1436.1115966030641</v>
      </c>
      <c r="BF2" s="70">
        <f>IFERROR(IF(AND(s_Irr!E2&lt;&gt;".",s_Irr!AD2&lt;&gt;".",s_Irr!BC2&lt;&gt;"."),s_dir!AF2/((1/1000)*(s_Irr!E2+s_Irr!AD2+s_Irr!BC2)),IF(AND(s_Irr!E2&lt;&gt;".",s_Irr!AD2&lt;&gt;".",s_Irr!BC2="."),s_dir!AF2/((1/1000)*(s_Irr!E2+s_Irr!AD2)),IF(AND(s_Irr!E2&lt;&gt;".",s_Irr!AD2=".",s_Irr!BC2&lt;&gt;"."),s_dir!AF2/((1/1000)*(s_Irr!E2+s_Irr!BC2)),IF(AND(s_Irr!E2=".",s_Irr!AD2&lt;&gt;".",s_Irr!BC2&lt;&gt;"."),s_dir!AF2/((1/1000)*(s_Irr!AD2+s_Irr!BC2)),IF(AND(s_Irr!E2=".",s_Irr!AD2=".",s_Irr!BC2&lt;&gt;"."),s_dir!AF2/((1/1000)*(s_Irr!BC2)),IF(AND(s_Irr!E2=".",s_Irr!AD2&lt;&gt;".",s_Irr!BC2="."),s_dir!AF2/((1/1000)*(s_Irr!AD2)),IF(AND(s_Irr!E2&lt;&gt;".",s_Irr!AD2=".",s_Irr!BC2="."),s_dir!AF2/((1/1000)*(s_Irr!E2)),IF(AND(s_Irr!E2=".",s_Irr!AD2=".",s_Irr!BC2="."),s_dir!AF2*1000)))))))),".")</f>
        <v>1436.1115966030641</v>
      </c>
      <c r="BG2" s="70">
        <f>IFERROR(IF(AND(s_Irr!F2&lt;&gt;".",s_Irr!AE2&lt;&gt;".",s_Irr!BD2&lt;&gt;"."),s_dir!AG2/((1/1000)*(s_Irr!F2+s_Irr!AE2+s_Irr!BD2)),IF(AND(s_Irr!F2&lt;&gt;".",s_Irr!AE2&lt;&gt;".",s_Irr!BD2="."),s_dir!AG2/((1/1000)*(s_Irr!F2+s_Irr!AE2)),IF(AND(s_Irr!F2&lt;&gt;".",s_Irr!AE2=".",s_Irr!BD2&lt;&gt;"."),s_dir!AG2/((1/1000)*(s_Irr!F2+s_Irr!BD2)),IF(AND(s_Irr!F2=".",s_Irr!AE2&lt;&gt;".",s_Irr!BD2&lt;&gt;"."),s_dir!AG2/((1/1000)*(s_Irr!AE2+s_Irr!BD2)),IF(AND(s_Irr!F2=".",s_Irr!AE2=".",s_Irr!BD2&lt;&gt;"."),s_dir!AG2/((1/1000)*(s_Irr!BD2)),IF(AND(s_Irr!F2=".",s_Irr!AE2&lt;&gt;".",s_Irr!BD2="."),s_dir!AG2/((1/1000)*(s_Irr!AE2)),IF(AND(s_Irr!F2&lt;&gt;".",s_Irr!AE2=".",s_Irr!BD2="."),s_dir!AG2/((1/1000)*(s_Irr!F2)),IF(AND(s_Irr!F2=".",s_Irr!AE2=".",s_Irr!BD2="."),s_dir!AG2*1000)))))))),".")</f>
        <v>1436.1115966030641</v>
      </c>
      <c r="BH2" s="70">
        <f>IFERROR(IF(AND(s_Irr!G2&lt;&gt;".",s_Irr!AF2&lt;&gt;".",s_Irr!BE2&lt;&gt;"."),s_dir!AH2/((1/1000)*(s_Irr!G2+s_Irr!AF2+s_Irr!BE2)),IF(AND(s_Irr!G2&lt;&gt;".",s_Irr!AF2&lt;&gt;".",s_Irr!BE2="."),s_dir!AH2/((1/1000)*(s_Irr!G2+s_Irr!AF2)),IF(AND(s_Irr!G2&lt;&gt;".",s_Irr!AF2=".",s_Irr!BE2&lt;&gt;"."),s_dir!AH2/((1/1000)*(s_Irr!G2+s_Irr!BE2)),IF(AND(s_Irr!G2=".",s_Irr!AF2&lt;&gt;".",s_Irr!BE2&lt;&gt;"."),s_dir!AH2/((1/1000)*(s_Irr!AF2+s_Irr!BE2)),IF(AND(s_Irr!G2=".",s_Irr!AF2=".",s_Irr!BE2&lt;&gt;"."),s_dir!AH2/((1/1000)*(s_Irr!BE2)),IF(AND(s_Irr!G2=".",s_Irr!AF2&lt;&gt;".",s_Irr!BE2="."),s_dir!AH2/((1/1000)*(s_Irr!AF2)),IF(AND(s_Irr!G2&lt;&gt;".",s_Irr!AF2=".",s_Irr!BE2="."),s_dir!AH2/((1/1000)*(s_Irr!G2)),IF(AND(s_Irr!G2=".",s_Irr!AF2=".",s_Irr!BE2="."),s_dir!AH2*1000)))))))),".")</f>
        <v>1436.1115966030641</v>
      </c>
      <c r="BI2" s="70">
        <f>IFERROR(IF(AND(s_Irr!H2&lt;&gt;".",s_Irr!AG2&lt;&gt;".",s_Irr!BF2&lt;&gt;"."),s_dir!AI2/((1/1000)*(s_Irr!H2+s_Irr!AG2+s_Irr!BF2)),IF(AND(s_Irr!H2&lt;&gt;".",s_Irr!AG2&lt;&gt;".",s_Irr!BF2="."),s_dir!AI2/((1/1000)*(s_Irr!H2+s_Irr!AG2)),IF(AND(s_Irr!H2&lt;&gt;".",s_Irr!AG2=".",s_Irr!BF2&lt;&gt;"."),s_dir!AI2/((1/1000)*(s_Irr!H2+s_Irr!BF2)),IF(AND(s_Irr!H2=".",s_Irr!AG2&lt;&gt;".",s_Irr!BF2&lt;&gt;"."),s_dir!AI2/((1/1000)*(s_Irr!AG2+s_Irr!BF2)),IF(AND(s_Irr!H2=".",s_Irr!AG2=".",s_Irr!BF2&lt;&gt;"."),s_dir!AI2/((1/1000)*(s_Irr!BF2)),IF(AND(s_Irr!H2=".",s_Irr!AG2&lt;&gt;".",s_Irr!BF2="."),s_dir!AI2/((1/1000)*(s_Irr!AG2)),IF(AND(s_Irr!H2&lt;&gt;".",s_Irr!AG2=".",s_Irr!BF2="."),s_dir!AI2/((1/1000)*(s_Irr!H2)),IF(AND(s_Irr!H2=".",s_Irr!AG2=".",s_Irr!BF2="."),s_dir!AI2*1000)))))))),".")</f>
        <v>1436.1115966030641</v>
      </c>
      <c r="BJ2" s="70">
        <f>IFERROR(IF(AND(s_Irr!I2&lt;&gt;".",s_Irr!AH2&lt;&gt;".",s_Irr!BG2&lt;&gt;"."),s_dir!AJ2/((1/1000)*(s_Irr!I2+s_Irr!AH2+s_Irr!BG2)),IF(AND(s_Irr!I2&lt;&gt;".",s_Irr!AH2&lt;&gt;".",s_Irr!BG2="."),s_dir!AJ2/((1/1000)*(s_Irr!I2+s_Irr!AH2)),IF(AND(s_Irr!I2&lt;&gt;".",s_Irr!AH2=".",s_Irr!BG2&lt;&gt;"."),s_dir!AJ2/((1/1000)*(s_Irr!I2+s_Irr!BG2)),IF(AND(s_Irr!I2=".",s_Irr!AH2&lt;&gt;".",s_Irr!BG2&lt;&gt;"."),s_dir!AJ2/((1/1000)*(s_Irr!AH2+s_Irr!BG2)),IF(AND(s_Irr!I2=".",s_Irr!AH2=".",s_Irr!BG2&lt;&gt;"."),s_dir!AJ2/((1/1000)*(s_Irr!BG2)),IF(AND(s_Irr!I2=".",s_Irr!AH2&lt;&gt;".",s_Irr!BG2="."),s_dir!AJ2/((1/1000)*(s_Irr!AH2)),IF(AND(s_Irr!I2&lt;&gt;".",s_Irr!AH2=".",s_Irr!BG2="."),s_dir!AJ2/((1/1000)*(s_Irr!I2)),IF(AND(s_Irr!I2=".",s_Irr!AH2=".",s_Irr!BG2="."),s_dir!AJ2*1000)))))))),".")</f>
        <v>1436.1115966030641</v>
      </c>
      <c r="BK2" s="70">
        <f>IFERROR(IF(AND(s_Irr!J2&lt;&gt;".",s_Irr!AI2&lt;&gt;".",s_Irr!BH2&lt;&gt;"."),s_dir!AK2/((1/1000)*(s_Irr!J2+s_Irr!AI2+s_Irr!BH2)),IF(AND(s_Irr!J2&lt;&gt;".",s_Irr!AI2&lt;&gt;".",s_Irr!BH2="."),s_dir!AK2/((1/1000)*(s_Irr!J2+s_Irr!AI2)),IF(AND(s_Irr!J2&lt;&gt;".",s_Irr!AI2=".",s_Irr!BH2&lt;&gt;"."),s_dir!AK2/((1/1000)*(s_Irr!J2+s_Irr!BH2)),IF(AND(s_Irr!J2=".",s_Irr!AI2&lt;&gt;".",s_Irr!BH2&lt;&gt;"."),s_dir!AK2/((1/1000)*(s_Irr!AI2+s_Irr!BH2)),IF(AND(s_Irr!J2=".",s_Irr!AI2=".",s_Irr!BH2&lt;&gt;"."),s_dir!AK2/((1/1000)*(s_Irr!BH2)),IF(AND(s_Irr!J2=".",s_Irr!AI2&lt;&gt;".",s_Irr!BH2="."),s_dir!AK2/((1/1000)*(s_Irr!AI2)),IF(AND(s_Irr!J2&lt;&gt;".",s_Irr!AI2=".",s_Irr!BH2="."),s_dir!AK2/((1/1000)*(s_Irr!J2)),IF(AND(s_Irr!J2=".",s_Irr!AI2=".",s_Irr!BH2="."),s_dir!AK2*1000)))))))),".")</f>
        <v>1436.1115966030641</v>
      </c>
      <c r="BL2" s="70">
        <f>IFERROR(IF(AND(s_Irr!K2&lt;&gt;".",s_Irr!AJ2&lt;&gt;".",s_Irr!BI2&lt;&gt;"."),s_dir!AL2/((1/1000)*(s_Irr!K2+s_Irr!AJ2+s_Irr!BI2)),IF(AND(s_Irr!K2&lt;&gt;".",s_Irr!AJ2&lt;&gt;".",s_Irr!BI2="."),s_dir!AL2/((1/1000)*(s_Irr!K2+s_Irr!AJ2)),IF(AND(s_Irr!K2&lt;&gt;".",s_Irr!AJ2=".",s_Irr!BI2&lt;&gt;"."),s_dir!AL2/((1/1000)*(s_Irr!K2+s_Irr!BI2)),IF(AND(s_Irr!K2=".",s_Irr!AJ2&lt;&gt;".",s_Irr!BI2&lt;&gt;"."),s_dir!AL2/((1/1000)*(s_Irr!AJ2+s_Irr!BI2)),IF(AND(s_Irr!K2=".",s_Irr!AJ2=".",s_Irr!BI2&lt;&gt;"."),s_dir!AL2/((1/1000)*(s_Irr!BI2)),IF(AND(s_Irr!K2=".",s_Irr!AJ2&lt;&gt;".",s_Irr!BI2="."),s_dir!AL2/((1/1000)*(s_Irr!AJ2)),IF(AND(s_Irr!K2&lt;&gt;".",s_Irr!AJ2=".",s_Irr!BI2="."),s_dir!AL2/((1/1000)*(s_Irr!K2)),IF(AND(s_Irr!K2=".",s_Irr!AJ2=".",s_Irr!BI2="."),s_dir!AL2*1000)))))))),".")</f>
        <v>1436.1115966030641</v>
      </c>
      <c r="BM2" s="70">
        <f>IFERROR(IF(AND(s_Irr!L2&lt;&gt;".",s_Irr!AK2&lt;&gt;".",s_Irr!BJ2&lt;&gt;"."),s_dir!AM2/((1/1000)*(s_Irr!L2+s_Irr!AK2+s_Irr!BJ2)),IF(AND(s_Irr!L2&lt;&gt;".",s_Irr!AK2&lt;&gt;".",s_Irr!BJ2="."),s_dir!AM2/((1/1000)*(s_Irr!L2+s_Irr!AK2)),IF(AND(s_Irr!L2&lt;&gt;".",s_Irr!AK2=".",s_Irr!BJ2&lt;&gt;"."),s_dir!AM2/((1/1000)*(s_Irr!L2+s_Irr!BJ2)),IF(AND(s_Irr!L2=".",s_Irr!AK2&lt;&gt;".",s_Irr!BJ2&lt;&gt;"."),s_dir!AM2/((1/1000)*(s_Irr!AK2+s_Irr!BJ2)),IF(AND(s_Irr!L2=".",s_Irr!AK2=".",s_Irr!BJ2&lt;&gt;"."),s_dir!AM2/((1/1000)*(s_Irr!BJ2)),IF(AND(s_Irr!L2=".",s_Irr!AK2&lt;&gt;".",s_Irr!BJ2="."),s_dir!AM2/((1/1000)*(s_Irr!AK2)),IF(AND(s_Irr!L2&lt;&gt;".",s_Irr!AK2=".",s_Irr!BJ2="."),s_dir!AM2/((1/1000)*(s_Irr!L2)),IF(AND(s_Irr!L2=".",s_Irr!AK2=".",s_Irr!BJ2="."),s_dir!AM2*1000)))))))),".")</f>
        <v>1436.1115966030641</v>
      </c>
      <c r="BN2" s="70">
        <f>IFERROR(IF(AND(s_Irr!M2&lt;&gt;".",s_Irr!AL2&lt;&gt;".",s_Irr!BK2&lt;&gt;"."),s_dir!AN2/((1/1000)*(s_Irr!M2+s_Irr!AL2+s_Irr!BK2)),IF(AND(s_Irr!M2&lt;&gt;".",s_Irr!AL2&lt;&gt;".",s_Irr!BK2="."),s_dir!AN2/((1/1000)*(s_Irr!M2+s_Irr!AL2)),IF(AND(s_Irr!M2&lt;&gt;".",s_Irr!AL2=".",s_Irr!BK2&lt;&gt;"."),s_dir!AN2/((1/1000)*(s_Irr!M2+s_Irr!BK2)),IF(AND(s_Irr!M2=".",s_Irr!AL2&lt;&gt;".",s_Irr!BK2&lt;&gt;"."),s_dir!AN2/((1/1000)*(s_Irr!AL2+s_Irr!BK2)),IF(AND(s_Irr!M2=".",s_Irr!AL2=".",s_Irr!BK2&lt;&gt;"."),s_dir!AN2/((1/1000)*(s_Irr!BK2)),IF(AND(s_Irr!M2=".",s_Irr!AL2&lt;&gt;".",s_Irr!BK2="."),s_dir!AN2/((1/1000)*(s_Irr!AL2)),IF(AND(s_Irr!M2&lt;&gt;".",s_Irr!AL2=".",s_Irr!BK2="."),s_dir!AN2/((1/1000)*(s_Irr!M2)),IF(AND(s_Irr!M2=".",s_Irr!AL2=".",s_Irr!BK2="."),s_dir!AN2*1000)))))))),".")</f>
        <v>1436.1115966030641</v>
      </c>
      <c r="BO2" s="70">
        <f>IFERROR(IF(AND(s_Irr!N2&lt;&gt;".",s_Irr!AM2&lt;&gt;".",s_Irr!BL2&lt;&gt;"."),s_dir!AO2/((1/1000)*(s_Irr!N2+s_Irr!AM2+s_Irr!BL2)),IF(AND(s_Irr!N2&lt;&gt;".",s_Irr!AM2&lt;&gt;".",s_Irr!BL2="."),s_dir!AO2/((1/1000)*(s_Irr!N2+s_Irr!AM2)),IF(AND(s_Irr!N2&lt;&gt;".",s_Irr!AM2=".",s_Irr!BL2&lt;&gt;"."),s_dir!AO2/((1/1000)*(s_Irr!N2+s_Irr!BL2)),IF(AND(s_Irr!N2=".",s_Irr!AM2&lt;&gt;".",s_Irr!BL2&lt;&gt;"."),s_dir!AO2/((1/1000)*(s_Irr!AM2+s_Irr!BL2)),IF(AND(s_Irr!N2=".",s_Irr!AM2=".",s_Irr!BL2&lt;&gt;"."),s_dir!AO2/((1/1000)*(s_Irr!BL2)),IF(AND(s_Irr!N2=".",s_Irr!AM2&lt;&gt;".",s_Irr!BL2="."),s_dir!AO2/((1/1000)*(s_Irr!AM2)),IF(AND(s_Irr!N2&lt;&gt;".",s_Irr!AM2=".",s_Irr!BL2="."),s_dir!AO2/((1/1000)*(s_Irr!N2)),IF(AND(s_Irr!N2=".",s_Irr!AM2=".",s_Irr!BL2="."),s_dir!AO2*1000)))))))),".")</f>
        <v>1436.1115966030641</v>
      </c>
      <c r="BP2" s="70">
        <f>IFERROR(IF(AND(s_Irr!O2&lt;&gt;".",s_Irr!AN2&lt;&gt;".",s_Irr!BM2&lt;&gt;"."),s_dir!AP2/((1/1000)*(s_Irr!O2+s_Irr!AN2+s_Irr!BM2)),IF(AND(s_Irr!O2&lt;&gt;".",s_Irr!AN2&lt;&gt;".",s_Irr!BM2="."),s_dir!AP2/((1/1000)*(s_Irr!O2+s_Irr!AN2)),IF(AND(s_Irr!O2&lt;&gt;".",s_Irr!AN2=".",s_Irr!BM2&lt;&gt;"."),s_dir!AP2/((1/1000)*(s_Irr!O2+s_Irr!BM2)),IF(AND(s_Irr!O2=".",s_Irr!AN2&lt;&gt;".",s_Irr!BM2&lt;&gt;"."),s_dir!AP2/((1/1000)*(s_Irr!AN2+s_Irr!BM2)),IF(AND(s_Irr!O2=".",s_Irr!AN2=".",s_Irr!BM2&lt;&gt;"."),s_dir!AP2/((1/1000)*(s_Irr!BM2)),IF(AND(s_Irr!O2=".",s_Irr!AN2&lt;&gt;".",s_Irr!BM2="."),s_dir!AP2/((1/1000)*(s_Irr!AN2)),IF(AND(s_Irr!O2&lt;&gt;".",s_Irr!AN2=".",s_Irr!BM2="."),s_dir!AP2/((1/1000)*(s_Irr!O2)),IF(AND(s_Irr!O2=".",s_Irr!AN2=".",s_Irr!BM2="."),s_dir!AP2*1000)))))))),".")</f>
        <v>1436.1115966030641</v>
      </c>
      <c r="BQ2" s="70">
        <f>IFERROR(IF(AND(s_Irr!P2&lt;&gt;".",s_Irr!AO2&lt;&gt;".",s_Irr!BN2&lt;&gt;"."),s_dir!AQ2/((1/1000)*(s_Irr!P2+s_Irr!AO2+s_Irr!BN2)),IF(AND(s_Irr!P2&lt;&gt;".",s_Irr!AO2&lt;&gt;".",s_Irr!BN2="."),s_dir!AQ2/((1/1000)*(s_Irr!P2+s_Irr!AO2)),IF(AND(s_Irr!P2&lt;&gt;".",s_Irr!AO2=".",s_Irr!BN2&lt;&gt;"."),s_dir!AQ2/((1/1000)*(s_Irr!P2+s_Irr!BN2)),IF(AND(s_Irr!P2=".",s_Irr!AO2&lt;&gt;".",s_Irr!BN2&lt;&gt;"."),s_dir!AQ2/((1/1000)*(s_Irr!AO2+s_Irr!BN2)),IF(AND(s_Irr!P2=".",s_Irr!AO2=".",s_Irr!BN2&lt;&gt;"."),s_dir!AQ2/((1/1000)*(s_Irr!BN2)),IF(AND(s_Irr!P2=".",s_Irr!AO2&lt;&gt;".",s_Irr!BN2="."),s_dir!AQ2/((1/1000)*(s_Irr!AO2)),IF(AND(s_Irr!P2&lt;&gt;".",s_Irr!AO2=".",s_Irr!BN2="."),s_dir!AQ2/((1/1000)*(s_Irr!P2)),IF(AND(s_Irr!P2=".",s_Irr!AO2=".",s_Irr!BN2="."),s_dir!AQ2*1000)))))))),".")</f>
        <v>1436.1115966030641</v>
      </c>
      <c r="BR2" s="70">
        <f>IFERROR(IF(AND(s_Irr!Q2&lt;&gt;".",s_Irr!AP2&lt;&gt;".",s_Irr!BO2&lt;&gt;"."),s_dir!AR2/((1/1000)*(s_Irr!Q2+s_Irr!AP2+s_Irr!BO2)),IF(AND(s_Irr!Q2&lt;&gt;".",s_Irr!AP2&lt;&gt;".",s_Irr!BO2="."),s_dir!AR2/((1/1000)*(s_Irr!Q2+s_Irr!AP2)),IF(AND(s_Irr!Q2&lt;&gt;".",s_Irr!AP2=".",s_Irr!BO2&lt;&gt;"."),s_dir!AR2/((1/1000)*(s_Irr!Q2+s_Irr!BO2)),IF(AND(s_Irr!Q2=".",s_Irr!AP2&lt;&gt;".",s_Irr!BO2&lt;&gt;"."),s_dir!AR2/((1/1000)*(s_Irr!AP2+s_Irr!BO2)),IF(AND(s_Irr!Q2=".",s_Irr!AP2=".",s_Irr!BO2&lt;&gt;"."),s_dir!AR2/((1/1000)*(s_Irr!BO2)),IF(AND(s_Irr!Q2=".",s_Irr!AP2&lt;&gt;".",s_Irr!BO2="."),s_dir!AR2/((1/1000)*(s_Irr!AP2)),IF(AND(s_Irr!Q2&lt;&gt;".",s_Irr!AP2=".",s_Irr!BO2="."),s_dir!AR2/((1/1000)*(s_Irr!Q2)),IF(AND(s_Irr!Q2=".",s_Irr!AP2=".",s_Irr!BO2="."),s_dir!AR2*1000)))))))),".")</f>
        <v>1436.1115966030641</v>
      </c>
      <c r="BS2" s="70">
        <f>IFERROR(IF(AND(s_Irr!R2&lt;&gt;".",s_Irr!AQ2&lt;&gt;".",s_Irr!BP2&lt;&gt;"."),s_dir!AS2/((1/1000)*(s_Irr!R2+s_Irr!AQ2+s_Irr!BP2)),IF(AND(s_Irr!R2&lt;&gt;".",s_Irr!AQ2&lt;&gt;".",s_Irr!BP2="."),s_dir!AS2/((1/1000)*(s_Irr!R2+s_Irr!AQ2)),IF(AND(s_Irr!R2&lt;&gt;".",s_Irr!AQ2=".",s_Irr!BP2&lt;&gt;"."),s_dir!AS2/((1/1000)*(s_Irr!R2+s_Irr!BP2)),IF(AND(s_Irr!R2=".",s_Irr!AQ2&lt;&gt;".",s_Irr!BP2&lt;&gt;"."),s_dir!AS2/((1/1000)*(s_Irr!AQ2+s_Irr!BP2)),IF(AND(s_Irr!R2=".",s_Irr!AQ2=".",s_Irr!BP2&lt;&gt;"."),s_dir!AS2/((1/1000)*(s_Irr!BP2)),IF(AND(s_Irr!R2=".",s_Irr!AQ2&lt;&gt;".",s_Irr!BP2="."),s_dir!AS2/((1/1000)*(s_Irr!AQ2)),IF(AND(s_Irr!R2&lt;&gt;".",s_Irr!AQ2=".",s_Irr!BP2="."),s_dir!AS2/((1/1000)*(s_Irr!R2)),IF(AND(s_Irr!R2=".",s_Irr!AQ2=".",s_Irr!BP2="."),s_dir!AS2*1000)))))))),".")</f>
        <v>1436.1115966030641</v>
      </c>
      <c r="BT2" s="70">
        <f>IFERROR(IF(AND(s_Irr!S2&lt;&gt;".",s_Irr!AR2&lt;&gt;".",s_Irr!BQ2&lt;&gt;"."),s_dir!AT2/((1/1000)*(s_Irr!S2+s_Irr!AR2+s_Irr!BQ2)),IF(AND(s_Irr!S2&lt;&gt;".",s_Irr!AR2&lt;&gt;".",s_Irr!BQ2="."),s_dir!AT2/((1/1000)*(s_Irr!S2+s_Irr!AR2)),IF(AND(s_Irr!S2&lt;&gt;".",s_Irr!AR2=".",s_Irr!BQ2&lt;&gt;"."),s_dir!AT2/((1/1000)*(s_Irr!S2+s_Irr!BQ2)),IF(AND(s_Irr!S2=".",s_Irr!AR2&lt;&gt;".",s_Irr!BQ2&lt;&gt;"."),s_dir!AT2/((1/1000)*(s_Irr!AR2+s_Irr!BQ2)),IF(AND(s_Irr!S2=".",s_Irr!AR2=".",s_Irr!BQ2&lt;&gt;"."),s_dir!AT2/((1/1000)*(s_Irr!BQ2)),IF(AND(s_Irr!S2=".",s_Irr!AR2&lt;&gt;".",s_Irr!BQ2="."),s_dir!AT2/((1/1000)*(s_Irr!AR2)),IF(AND(s_Irr!S2&lt;&gt;".",s_Irr!AR2=".",s_Irr!BQ2="."),s_dir!AT2/((1/1000)*(s_Irr!S2)),IF(AND(s_Irr!S2=".",s_Irr!AR2=".",s_Irr!BQ2="."),s_dir!AT2*1000)))))))),".")</f>
        <v>1436.1115966030641</v>
      </c>
      <c r="BU2" s="70">
        <f>IFERROR(IF(AND(s_Irr!T2&lt;&gt;".",s_Irr!AS2&lt;&gt;".",s_Irr!BR2&lt;&gt;"."),s_dir!AU2/((1/1000)*(s_Irr!T2+s_Irr!AS2+s_Irr!BR2)),IF(AND(s_Irr!T2&lt;&gt;".",s_Irr!AS2&lt;&gt;".",s_Irr!BR2="."),s_dir!AU2/((1/1000)*(s_Irr!T2+s_Irr!AS2)),IF(AND(s_Irr!T2&lt;&gt;".",s_Irr!AS2=".",s_Irr!BR2&lt;&gt;"."),s_dir!AU2/((1/1000)*(s_Irr!T2+s_Irr!BR2)),IF(AND(s_Irr!T2=".",s_Irr!AS2&lt;&gt;".",s_Irr!BR2&lt;&gt;"."),s_dir!AU2/((1/1000)*(s_Irr!AS2+s_Irr!BR2)),IF(AND(s_Irr!T2=".",s_Irr!AS2=".",s_Irr!BR2&lt;&gt;"."),s_dir!AU2/((1/1000)*(s_Irr!BR2)),IF(AND(s_Irr!T2=".",s_Irr!AS2&lt;&gt;".",s_Irr!BR2="."),s_dir!AU2/((1/1000)*(s_Irr!AS2)),IF(AND(s_Irr!T2&lt;&gt;".",s_Irr!AS2=".",s_Irr!BR2="."),s_dir!AU2/((1/1000)*(s_Irr!T2)),IF(AND(s_Irr!T2=".",s_Irr!AS2=".",s_Irr!BR2="."),s_dir!AU2*1000)))))))),".")</f>
        <v>1436.1115966030641</v>
      </c>
      <c r="BV2" s="70">
        <f>IFERROR(IF(AND(s_Irr!U2&lt;&gt;".",s_Irr!AT2&lt;&gt;".",s_Irr!BS2&lt;&gt;"."),s_dir!AV2/((1/1000)*(s_Irr!U2+s_Irr!AT2+s_Irr!BS2)),IF(AND(s_Irr!U2&lt;&gt;".",s_Irr!AT2&lt;&gt;".",s_Irr!BS2="."),s_dir!AV2/((1/1000)*(s_Irr!U2+s_Irr!AT2)),IF(AND(s_Irr!U2&lt;&gt;".",s_Irr!AT2=".",s_Irr!BS2&lt;&gt;"."),s_dir!AV2/((1/1000)*(s_Irr!U2+s_Irr!BS2)),IF(AND(s_Irr!U2=".",s_Irr!AT2&lt;&gt;".",s_Irr!BS2&lt;&gt;"."),s_dir!AV2/((1/1000)*(s_Irr!AT2+s_Irr!BS2)),IF(AND(s_Irr!U2=".",s_Irr!AT2=".",s_Irr!BS2&lt;&gt;"."),s_dir!AV2/((1/1000)*(s_Irr!BS2)),IF(AND(s_Irr!U2=".",s_Irr!AT2&lt;&gt;".",s_Irr!BS2="."),s_dir!AV2/((1/1000)*(s_Irr!AT2)),IF(AND(s_Irr!U2&lt;&gt;".",s_Irr!AT2=".",s_Irr!BS2="."),s_dir!AV2/((1/1000)*(s_Irr!U2)),IF(AND(s_Irr!U2=".",s_Irr!AT2=".",s_Irr!BS2="."),s_dir!AV2*1000)))))))),".")</f>
        <v>1436.1115966030641</v>
      </c>
      <c r="BW2" s="70">
        <f>IFERROR(IF(AND(s_Irr!V2&lt;&gt;".",s_Irr!AU2&lt;&gt;".",s_Irr!BT2&lt;&gt;"."),s_dir!AW2/((1/1000)*(s_Irr!V2+s_Irr!AU2+s_Irr!BT2)),IF(AND(s_Irr!V2&lt;&gt;".",s_Irr!AU2&lt;&gt;".",s_Irr!BT2="."),s_dir!AW2/((1/1000)*(s_Irr!V2+s_Irr!AU2)),IF(AND(s_Irr!V2&lt;&gt;".",s_Irr!AU2=".",s_Irr!BT2&lt;&gt;"."),s_dir!AW2/((1/1000)*(s_Irr!V2+s_Irr!BT2)),IF(AND(s_Irr!V2=".",s_Irr!AU2&lt;&gt;".",s_Irr!BT2&lt;&gt;"."),s_dir!AW2/((1/1000)*(s_Irr!AU2+s_Irr!BT2)),IF(AND(s_Irr!V2=".",s_Irr!AU2=".",s_Irr!BT2&lt;&gt;"."),s_dir!AW2/((1/1000)*(s_Irr!BT2)),IF(AND(s_Irr!V2=".",s_Irr!AU2&lt;&gt;".",s_Irr!BT2="."),s_dir!AW2/((1/1000)*(s_Irr!AU2)),IF(AND(s_Irr!V2&lt;&gt;".",s_Irr!AU2=".",s_Irr!BT2="."),s_dir!AW2/((1/1000)*(s_Irr!V2)),IF(AND(s_Irr!V2=".",s_Irr!AU2=".",s_Irr!BT2="."),s_dir!AW2*1000)))))))),".")</f>
        <v>1436.1115966030641</v>
      </c>
      <c r="BX2" s="70">
        <f>IFERROR(IF(AND(s_Irr!W2&lt;&gt;".",s_Irr!AV2&lt;&gt;".",s_Irr!BU2&lt;&gt;"."),s_dir!AX2/((1/1000)*(s_Irr!W2+s_Irr!AV2+s_Irr!BU2)),IF(AND(s_Irr!W2&lt;&gt;".",s_Irr!AV2&lt;&gt;".",s_Irr!BU2="."),s_dir!AX2/((1/1000)*(s_Irr!W2+s_Irr!AV2)),IF(AND(s_Irr!W2&lt;&gt;".",s_Irr!AV2=".",s_Irr!BU2&lt;&gt;"."),s_dir!AX2/((1/1000)*(s_Irr!W2+s_Irr!BU2)),IF(AND(s_Irr!W2=".",s_Irr!AV2&lt;&gt;".",s_Irr!BU2&lt;&gt;"."),s_dir!AX2/((1/1000)*(s_Irr!AV2+s_Irr!BU2)),IF(AND(s_Irr!W2=".",s_Irr!AV2=".",s_Irr!BU2&lt;&gt;"."),s_dir!AX2/((1/1000)*(s_Irr!BU2)),IF(AND(s_Irr!W2=".",s_Irr!AV2&lt;&gt;".",s_Irr!BU2="."),s_dir!AX2/((1/1000)*(s_Irr!AV2)),IF(AND(s_Irr!W2&lt;&gt;".",s_Irr!AV2=".",s_Irr!BU2="."),s_dir!AX2/((1/1000)*(s_Irr!W2)),IF(AND(s_Irr!W2=".",s_Irr!AV2=".",s_Irr!BU2="."),s_dir!AX2*1000)))))))),".")</f>
        <v>1436.1115966030641</v>
      </c>
      <c r="BY2" s="70">
        <f>IFERROR(IF(AND(s_Irr!X2&lt;&gt;".",s_Irr!AW2&lt;&gt;".",s_Irr!BV2&lt;&gt;"."),s_dir!AY2/((1/1000)*(s_Irr!X2+s_Irr!AW2+s_Irr!BV2)),IF(AND(s_Irr!X2&lt;&gt;".",s_Irr!AW2&lt;&gt;".",s_Irr!BV2="."),s_dir!AY2/((1/1000)*(s_Irr!X2+s_Irr!AW2)),IF(AND(s_Irr!X2&lt;&gt;".",s_Irr!AW2=".",s_Irr!BV2&lt;&gt;"."),s_dir!AY2/((1/1000)*(s_Irr!X2+s_Irr!BV2)),IF(AND(s_Irr!X2=".",s_Irr!AW2&lt;&gt;".",s_Irr!BV2&lt;&gt;"."),s_dir!AY2/((1/1000)*(s_Irr!AW2+s_Irr!BV2)),IF(AND(s_Irr!X2=".",s_Irr!AW2=".",s_Irr!BV2&lt;&gt;"."),s_dir!AY2/((1/1000)*(s_Irr!BV2)),IF(AND(s_Irr!X2=".",s_Irr!AW2&lt;&gt;".",s_Irr!BV2="."),s_dir!AY2/((1/1000)*(s_Irr!AW2)),IF(AND(s_Irr!X2&lt;&gt;".",s_Irr!AW2=".",s_Irr!BV2="."),s_dir!AY2/((1/1000)*(s_Irr!X2)),IF(AND(s_Irr!X2=".",s_Irr!AW2=".",s_Irr!BV2="."),s_dir!AY2*1000)))))))),".")</f>
        <v>1436.1115966030641</v>
      </c>
      <c r="BZ2" s="70">
        <f>IFERROR(IF(AND(s_Irr!Y2&lt;&gt;".",s_Irr!AX2&lt;&gt;".",s_Irr!BW2&lt;&gt;"."),s_dir!AZ2/((1/1000)*(s_Irr!Y2+s_Irr!AX2+s_Irr!BW2)),IF(AND(s_Irr!Y2&lt;&gt;".",s_Irr!AX2&lt;&gt;".",s_Irr!BW2="."),s_dir!AZ2/((1/1000)*(s_Irr!Y2+s_Irr!AX2)),IF(AND(s_Irr!Y2&lt;&gt;".",s_Irr!AX2=".",s_Irr!BW2&lt;&gt;"."),s_dir!AZ2/((1/1000)*(s_Irr!Y2+s_Irr!BW2)),IF(AND(s_Irr!Y2=".",s_Irr!AX2&lt;&gt;".",s_Irr!BW2&lt;&gt;"."),s_dir!AZ2/((1/1000)*(s_Irr!AX2+s_Irr!BW2)),IF(AND(s_Irr!Y2=".",s_Irr!AX2=".",s_Irr!BW2&lt;&gt;"."),s_dir!AZ2/((1/1000)*(s_Irr!BW2)),IF(AND(s_Irr!Y2=".",s_Irr!AX2&lt;&gt;".",s_Irr!BW2="."),s_dir!AZ2/((1/1000)*(s_Irr!AX2)),IF(AND(s_Irr!Y2&lt;&gt;".",s_Irr!AX2=".",s_Irr!BW2="."),s_dir!AZ2/((1/1000)*(s_Irr!Y2)),IF(AND(s_Irr!Y2=".",s_Irr!AX2=".",s_Irr!BW2="."),s_dir!AZ2*1000)))))))),".")</f>
        <v>1436.1115966030641</v>
      </c>
      <c r="CA2" s="70">
        <f>IFERROR(IF(AND(s_Irr!Z2&lt;&gt;".",s_Irr!AY2&lt;&gt;".",s_Irr!BX2&lt;&gt;"."),s_dir!BA2/((1/1000)*(s_Irr!Z2+s_Irr!AY2+s_Irr!BX2)),IF(AND(s_Irr!Z2&lt;&gt;".",s_Irr!AY2&lt;&gt;".",s_Irr!BX2="."),s_dir!BA2/((1/1000)*(s_Irr!Z2+s_Irr!AY2)),IF(AND(s_Irr!Z2&lt;&gt;".",s_Irr!AY2=".",s_Irr!BX2&lt;&gt;"."),s_dir!BA2/((1/1000)*(s_Irr!Z2+s_Irr!BX2)),IF(AND(s_Irr!Z2=".",s_Irr!AY2&lt;&gt;".",s_Irr!BX2&lt;&gt;"."),s_dir!BA2/((1/1000)*(s_Irr!AY2+s_Irr!BX2)),IF(AND(s_Irr!Z2=".",s_Irr!AY2=".",s_Irr!BX2&lt;&gt;"."),s_dir!BA2/((1/1000)*(s_Irr!BX2)),IF(AND(s_Irr!Z2=".",s_Irr!AY2&lt;&gt;".",s_Irr!BX2="."),s_dir!BA2/((1/1000)*(s_Irr!AY2)),IF(AND(s_Irr!Z2&lt;&gt;".",s_Irr!AY2=".",s_Irr!BX2="."),s_dir!BA2/((1/1000)*(s_Irr!Z2)),IF(AND(s_Irr!Z2=".",s_Irr!AY2=".",s_Irr!BX2="."),s_dir!BA2*1000)))))))),".")</f>
        <v>1436.1115966030641</v>
      </c>
      <c r="CB2" s="70">
        <f>IFERROR(IF(AND(s_Irr!AA2&lt;&gt;".",s_Irr!AZ2&lt;&gt;".",s_Irr!BY2&lt;&gt;"."),s_dir!BB2/((1/1000)*(s_Irr!AA2+s_Irr!AZ2+s_Irr!BY2)),IF(AND(s_Irr!AA2&lt;&gt;".",s_Irr!AZ2&lt;&gt;".",s_Irr!BY2="."),s_dir!BB2/((1/1000)*(s_Irr!AA2+s_Irr!AZ2)),IF(AND(s_Irr!AA2&lt;&gt;".",s_Irr!AZ2=".",s_Irr!BY2&lt;&gt;"."),s_dir!BB2/((1/1000)*(s_Irr!AA2+s_Irr!BY2)),IF(AND(s_Irr!AA2=".",s_Irr!AZ2&lt;&gt;".",s_Irr!BY2&lt;&gt;"."),s_dir!BB2/((1/1000)*(s_Irr!AZ2+s_Irr!BY2)),IF(AND(s_Irr!AA2=".",s_Irr!AZ2=".",s_Irr!BY2&lt;&gt;"."),s_dir!BB2/((1/1000)*(s_Irr!BY2)),IF(AND(s_Irr!AA2=".",s_Irr!AZ2&lt;&gt;".",s_Irr!BY2="."),s_dir!BB2/((1/1000)*(s_Irr!AZ2)),IF(AND(s_Irr!AA2&lt;&gt;".",s_Irr!AZ2=".",s_Irr!BY2="."),s_dir!BB2/((1/1000)*(s_Irr!AA2)),IF(AND(s_Irr!AA2=".",s_Irr!AZ2=".",s_Irr!BY2="."),s_dir!BB2*1000)))))))),".")</f>
        <v>1436.1115966030641</v>
      </c>
      <c r="CC2" s="87">
        <f>SUM(CD2,CU2,DA2:DB2)</f>
        <v>359.83913815536926</v>
      </c>
      <c r="CD2" s="87">
        <f>IFERROR(s_C*s_IFAP_far_adj*s_CF_apple*(1/1000)*(s_Irr!C2+s_Irr!AB2+s_Irr!BA2),".")</f>
        <v>89.959784538842314</v>
      </c>
      <c r="CE2" s="87">
        <f>IFERROR(s_C*s_IFAS_far_adj*s_CF_asparagus*(1/1000)*(s_Irr!D2+s_Irr!AC2+s_Irr!BB2),".")</f>
        <v>89.959784538842314</v>
      </c>
      <c r="CF2" s="87">
        <f>IFERROR(s_C*s_IFBT_far_adj*s_CF_beet*(1/1000)*(s_Irr!E2+s_Irr!AD2+s_Irr!BC2),".")</f>
        <v>89.959784538842314</v>
      </c>
      <c r="CG2" s="87">
        <f>IFERROR(s_C*s_IFBE_far_adj*s_CF_berries*(1/1000)*(s_Irr!F2+s_Irr!AE2+s_Irr!BD2),".")</f>
        <v>89.959784538842314</v>
      </c>
      <c r="CH2" s="87">
        <f>IFERROR(s_C*s_IFBR_far_adj*s_CF_broccoli*(1/1000)*(s_Irr!G2+s_Irr!AF2+s_Irr!BE2),".")</f>
        <v>89.959784538842314</v>
      </c>
      <c r="CI2" s="87">
        <f>IFERROR(s_C*s_IFCB_far_adj*s_CF_cabbage*(1/1000)*(s_Irr!H2+s_Irr!AG2+s_Irr!BF2),".")</f>
        <v>89.959784538842314</v>
      </c>
      <c r="CJ2" s="87">
        <f>IFERROR(s_C*s_IFCR_far_adj*s_CF_carrot*(1/1000)*(s_Irr!I2+s_Irr!AH2+s_Irr!BG2),".")</f>
        <v>89.959784538842314</v>
      </c>
      <c r="CK2" s="87">
        <f>IFERROR(s_C*s_IFCI_far_adj*s_CF_citrus*(1/1000)*(s_Irr!J2+s_Irr!AI2+s_Irr!BH2),".")</f>
        <v>89.959784538842314</v>
      </c>
      <c r="CL2" s="87">
        <f>IFERROR(s_C*s_IFCO_far_adj*s_CF_corn*(1/1000)*(s_Irr!K2+s_Irr!AJ2+s_Irr!BI2),".")</f>
        <v>89.959784538842314</v>
      </c>
      <c r="CM2" s="87">
        <f>IFERROR(s_C*s_IFCU_far_adj*s_CF_cucumber*(1/1000)*(s_Irr!L2+s_Irr!AK2+s_Irr!BJ2),".")</f>
        <v>89.959784538842314</v>
      </c>
      <c r="CN2" s="87">
        <f>IFERROR(s_C*s_IFLE_far_adj*s_CF_lettuce*(1/1000)*(s_Irr!M2+s_Irr!AL2+s_Irr!BK2),".")</f>
        <v>89.959784538842314</v>
      </c>
      <c r="CO2" s="87">
        <f>IFERROR(s_C*s_IFLI_far_adj*s_CF_lima_bean*(1/1000)*(s_Irr!N2+s_Irr!AM2+s_Irr!BL2),".")</f>
        <v>89.959784538842314</v>
      </c>
      <c r="CP2" s="87">
        <f>IFERROR(s_C*s_IFOK_far_adj*s_CF_okra*(1/1000)*(s_Irr!O2+s_Irr!AN2+s_Irr!BM2),".")</f>
        <v>89.959784538842314</v>
      </c>
      <c r="CQ2" s="87">
        <f>IFERROR(s_C*s_IFON_far_adj*s_CF_onion*(1/1000)*(s_Irr!P2+s_Irr!AO2+s_Irr!BN2),".")</f>
        <v>89.959784538842314</v>
      </c>
      <c r="CR2" s="87">
        <f>IFERROR(s_C*s_IFPC_far_adj*s_CF_peach*(1/1000)*(s_Irr!Q2+s_Irr!AP2+s_Irr!BO2),".")</f>
        <v>89.959784538842314</v>
      </c>
      <c r="CS2" s="87">
        <f>IFERROR(s_C*s_IFPR_far_adj*s_CF_pear*(1/1000)*(s_Irr!R2+s_Irr!AQ2+s_Irr!BP2),".")</f>
        <v>89.959784538842314</v>
      </c>
      <c r="CT2" s="87">
        <f>IFERROR(s_C*s_IFPE_far_adj*s_CF_peas*(1/1000)*(s_Irr!S2+s_Irr!AR2+s_Irr!BQ2),".")</f>
        <v>89.959784538842314</v>
      </c>
      <c r="CU2" s="87">
        <f>IFERROR(s_C*s_IFPP_far_adj*s_CF_peppers*(1/1000)*(s_Irr!T2+s_Irr!AS2+s_Irr!BR2),".")</f>
        <v>89.959784538842314</v>
      </c>
      <c r="CV2" s="87">
        <f>IFERROR(s_C*s_IFPT_far_adj*s_CF_potato*(1/1000)*(s_Irr!U2+s_Irr!AT2+s_Irr!BS2),".")</f>
        <v>89.959784538842314</v>
      </c>
      <c r="CW2" s="87">
        <f>IFERROR(s_C*s_IFPU_far_adj*s_CF_pumpkin*(1/1000)*(s_Irr!V2+s_Irr!AU2+s_Irr!BT2),".")</f>
        <v>89.959784538842314</v>
      </c>
      <c r="CX2" s="87">
        <f>IFERROR(s_C*s_IFSN_far_adj*s_CF_snap_bean*(1/1000)*(s_Irr!W2+s_Irr!AV2+s_Irr!BU2),".")</f>
        <v>89.959784538842314</v>
      </c>
      <c r="CY2" s="87">
        <f>IFERROR(s_C*s_IFST_far_adj*s_CF_strawberry*(1/1000)*(s_Irr!X2+s_Irr!AW2+s_Irr!BV2),".")</f>
        <v>89.959784538842314</v>
      </c>
      <c r="CZ2" s="87">
        <f>IFERROR(s_C*s_IFTO_far_adj*s_CF_tomato*(1/1000)*(s_Irr!Y2+s_Irr!AX2+s_Irr!BW2),".")</f>
        <v>89.959784538842314</v>
      </c>
      <c r="DA2" s="87">
        <f>IFERROR(s_C*s_IFRI_far_adj*s_CF_rice*(1/1000)*(s_Irr!Z2+s_Irr!AY2+s_Irr!BX2),".")</f>
        <v>89.959784538842314</v>
      </c>
      <c r="DB2" s="87">
        <f>IFERROR(s_C*s_IFCG_far_adj*s_CF_cereal*(1/1000)*(s_Irr!AA2+s_Irr!AZ2+s_Irr!BY2),".")</f>
        <v>89.959784538842314</v>
      </c>
    </row>
    <row r="3" spans="1:106" x14ac:dyDescent="0.25">
      <c r="A3" s="88" t="s">
        <v>1</v>
      </c>
      <c r="B3" s="84" t="s">
        <v>335</v>
      </c>
      <c r="C3" s="15">
        <f>IFERROR(1/SUM(1/D3,1/U3,1/AA3,1/AB3),".")</f>
        <v>79.757261120264914</v>
      </c>
      <c r="D3" s="70">
        <f>IFERROR(IF(AND(s_Irr!C3&lt;&gt;".",s_Irr!AB3&lt;&gt;".",s_Irr!BA3&lt;&gt;"."),s_dir!D3/((1/1000)*(s_Irr!C3+s_Irr!AB3+s_Irr!BA3)),IF(AND(s_Irr!C3&lt;&gt;".",s_Irr!AB3&lt;&gt;".",s_Irr!BA3="."),s_dir!D3/((1/1000)*(s_Irr!C3+s_Irr!AB3)),IF(AND(s_Irr!C3&lt;&gt;".",s_Irr!AB3=".",s_Irr!BA3&lt;&gt;"."),s_dir!D3/((1/1000)*(s_Irr!C3+s_Irr!BA3)),IF(AND(s_Irr!C3=".",s_Irr!AB3&lt;&gt;".",s_Irr!BA3&lt;&gt;"."),s_dir!D3/((1/1000)*(s_Irr!AB3+s_Irr!BA3)),IF(AND(s_Irr!C3=".",s_Irr!AB3=".",s_Irr!BA3&lt;&gt;"."),s_dir!D3/((1/1000)*(s_Irr!BA3)),IF(AND(s_Irr!C3=".",s_Irr!AB3&lt;&gt;".",s_Irr!BA3="."),s_dir!D3/((1/1000)*(s_Irr!AB3)),IF(AND(s_Irr!C3&lt;&gt;".",s_Irr!AB3=".",s_Irr!BA3="."),s_dir!D3/((1/1000)*(s_Irr!C3)),IF(AND(s_Irr!C3=".",s_Irr!AB3=".",s_Irr!BA3="."),s_dir!D3*1000)))))))),".")</f>
        <v>320.77457157279218</v>
      </c>
      <c r="E3" s="70">
        <f>IFERROR(IF(AND(s_Irr!D3&lt;&gt;".",s_Irr!AC3&lt;&gt;".",s_Irr!BB3&lt;&gt;"."),s_dir!E3/((1/1000)*(s_Irr!D3+s_Irr!AC3+s_Irr!BB3)),IF(AND(s_Irr!D3&lt;&gt;".",s_Irr!AC3&lt;&gt;".",s_Irr!BB3="."),s_dir!E3/((1/1000)*(s_Irr!D3+s_Irr!AC3)),IF(AND(s_Irr!D3&lt;&gt;".",s_Irr!AC3=".",s_Irr!BB3&lt;&gt;"."),s_dir!E3/((1/1000)*(s_Irr!D3+s_Irr!BB3)),IF(AND(s_Irr!D3=".",s_Irr!AC3&lt;&gt;".",s_Irr!BB3&lt;&gt;"."),s_dir!E3/((1/1000)*(s_Irr!AC3+s_Irr!BB3)),IF(AND(s_Irr!D3=".",s_Irr!AC3=".",s_Irr!BB3&lt;&gt;"."),s_dir!E3/((1/1000)*(s_Irr!BB3)),IF(AND(s_Irr!D3=".",s_Irr!AC3&lt;&gt;".",s_Irr!BB3="."),s_dir!E3/((1/1000)*(s_Irr!AC3)),IF(AND(s_Irr!D3&lt;&gt;".",s_Irr!AC3=".",s_Irr!BB3="."),s_dir!E3/((1/1000)*(s_Irr!D3)),IF(AND(s_Irr!D3=".",s_Irr!AC3=".",s_Irr!BB3="."),s_dir!E3*1000)))))))),".")</f>
        <v>319.47816112739247</v>
      </c>
      <c r="F3" s="70">
        <f>IFERROR(IF(AND(s_Irr!E3&lt;&gt;".",s_Irr!AD3&lt;&gt;".",s_Irr!BC3&lt;&gt;"."),s_dir!F3/((1/1000)*(s_Irr!E3+s_Irr!AD3+s_Irr!BC3)),IF(AND(s_Irr!E3&lt;&gt;".",s_Irr!AD3&lt;&gt;".",s_Irr!BC3="."),s_dir!F3/((1/1000)*(s_Irr!E3+s_Irr!AD3)),IF(AND(s_Irr!E3&lt;&gt;".",s_Irr!AD3=".",s_Irr!BC3&lt;&gt;"."),s_dir!F3/((1/1000)*(s_Irr!E3+s_Irr!BC3)),IF(AND(s_Irr!E3=".",s_Irr!AD3&lt;&gt;".",s_Irr!BC3&lt;&gt;"."),s_dir!F3/((1/1000)*(s_Irr!AD3+s_Irr!BC3)),IF(AND(s_Irr!E3=".",s_Irr!AD3=".",s_Irr!BC3&lt;&gt;"."),s_dir!F3/((1/1000)*(s_Irr!BC3)),IF(AND(s_Irr!E3=".",s_Irr!AD3&lt;&gt;".",s_Irr!BC3="."),s_dir!F3/((1/1000)*(s_Irr!AD3)),IF(AND(s_Irr!E3&lt;&gt;".",s_Irr!AD3=".",s_Irr!BC3="."),s_dir!F3/((1/1000)*(s_Irr!E3)),IF(AND(s_Irr!E3=".",s_Irr!AD3=".",s_Irr!BC3="."),s_dir!F3*1000)))))))),".")</f>
        <v>317.33172401136619</v>
      </c>
      <c r="G3" s="70">
        <f>IFERROR(IF(AND(s_Irr!F3&lt;&gt;".",s_Irr!AE3&lt;&gt;".",s_Irr!BD3&lt;&gt;"."),s_dir!G3/((1/1000)*(s_Irr!F3+s_Irr!AE3+s_Irr!BD3)),IF(AND(s_Irr!F3&lt;&gt;".",s_Irr!AE3&lt;&gt;".",s_Irr!BD3="."),s_dir!G3/((1/1000)*(s_Irr!F3+s_Irr!AE3)),IF(AND(s_Irr!F3&lt;&gt;".",s_Irr!AE3=".",s_Irr!BD3&lt;&gt;"."),s_dir!G3/((1/1000)*(s_Irr!F3+s_Irr!BD3)),IF(AND(s_Irr!F3=".",s_Irr!AE3&lt;&gt;".",s_Irr!BD3&lt;&gt;"."),s_dir!G3/((1/1000)*(s_Irr!AE3+s_Irr!BD3)),IF(AND(s_Irr!F3=".",s_Irr!AE3=".",s_Irr!BD3&lt;&gt;"."),s_dir!G3/((1/1000)*(s_Irr!BD3)),IF(AND(s_Irr!F3=".",s_Irr!AE3&lt;&gt;".",s_Irr!BD3="."),s_dir!G3/((1/1000)*(s_Irr!AE3)),IF(AND(s_Irr!F3&lt;&gt;".",s_Irr!AE3=".",s_Irr!BD3="."),s_dir!G3/((1/1000)*(s_Irr!F3)),IF(AND(s_Irr!F3=".",s_Irr!AE3=".",s_Irr!BD3="."),s_dir!G3*1000)))))))),".")</f>
        <v>316.64032845842269</v>
      </c>
      <c r="H3" s="70">
        <f>IFERROR(IF(AND(s_Irr!G3&lt;&gt;".",s_Irr!AF3&lt;&gt;".",s_Irr!BE3&lt;&gt;"."),s_dir!H3/((1/1000)*(s_Irr!G3+s_Irr!AF3+s_Irr!BE3)),IF(AND(s_Irr!G3&lt;&gt;".",s_Irr!AF3&lt;&gt;".",s_Irr!BE3="."),s_dir!H3/((1/1000)*(s_Irr!G3+s_Irr!AF3)),IF(AND(s_Irr!G3&lt;&gt;".",s_Irr!AF3=".",s_Irr!BE3&lt;&gt;"."),s_dir!H3/((1/1000)*(s_Irr!G3+s_Irr!BE3)),IF(AND(s_Irr!G3=".",s_Irr!AF3&lt;&gt;".",s_Irr!BE3&lt;&gt;"."),s_dir!H3/((1/1000)*(s_Irr!AF3+s_Irr!BE3)),IF(AND(s_Irr!G3=".",s_Irr!AF3=".",s_Irr!BE3&lt;&gt;"."),s_dir!H3/((1/1000)*(s_Irr!BE3)),IF(AND(s_Irr!G3=".",s_Irr!AF3&lt;&gt;".",s_Irr!BE3="."),s_dir!H3/((1/1000)*(s_Irr!AF3)),IF(AND(s_Irr!G3&lt;&gt;".",s_Irr!AF3=".",s_Irr!BE3="."),s_dir!H3/((1/1000)*(s_Irr!G3)),IF(AND(s_Irr!G3=".",s_Irr!AF3=".",s_Irr!BE3="."),s_dir!H3*1000)))))))),".")</f>
        <v>318.9926849535459</v>
      </c>
      <c r="I3" s="70">
        <f>IFERROR(IF(AND(s_Irr!H3&lt;&gt;".",s_Irr!AG3&lt;&gt;".",s_Irr!BF3&lt;&gt;"."),s_dir!I3/((1/1000)*(s_Irr!H3+s_Irr!AG3+s_Irr!BF3)),IF(AND(s_Irr!H3&lt;&gt;".",s_Irr!AG3&lt;&gt;".",s_Irr!BF3="."),s_dir!I3/((1/1000)*(s_Irr!H3+s_Irr!AG3)),IF(AND(s_Irr!H3&lt;&gt;".",s_Irr!AG3=".",s_Irr!BF3&lt;&gt;"."),s_dir!I3/((1/1000)*(s_Irr!H3+s_Irr!BF3)),IF(AND(s_Irr!H3=".",s_Irr!AG3&lt;&gt;".",s_Irr!BF3&lt;&gt;"."),s_dir!I3/((1/1000)*(s_Irr!AG3+s_Irr!BF3)),IF(AND(s_Irr!H3=".",s_Irr!AG3=".",s_Irr!BF3&lt;&gt;"."),s_dir!I3/((1/1000)*(s_Irr!BF3)),IF(AND(s_Irr!H3=".",s_Irr!AG3&lt;&gt;".",s_Irr!BF3="."),s_dir!I3/((1/1000)*(s_Irr!AG3)),IF(AND(s_Irr!H3&lt;&gt;".",s_Irr!AG3=".",s_Irr!BF3="."),s_dir!I3/((1/1000)*(s_Irr!H3)),IF(AND(s_Irr!H3=".",s_Irr!AG3=".",s_Irr!BF3="."),s_dir!I3*1000)))))))),".")</f>
        <v>319.47816112739247</v>
      </c>
      <c r="J3" s="70">
        <f>IFERROR(IF(AND(s_Irr!I3&lt;&gt;".",s_Irr!AH3&lt;&gt;".",s_Irr!BG3&lt;&gt;"."),s_dir!J3/((1/1000)*(s_Irr!I3+s_Irr!AH3+s_Irr!BG3)),IF(AND(s_Irr!I3&lt;&gt;".",s_Irr!AH3&lt;&gt;".",s_Irr!BG3="."),s_dir!J3/((1/1000)*(s_Irr!I3+s_Irr!AH3)),IF(AND(s_Irr!I3&lt;&gt;".",s_Irr!AH3=".",s_Irr!BG3&lt;&gt;"."),s_dir!J3/((1/1000)*(s_Irr!I3+s_Irr!BG3)),IF(AND(s_Irr!I3=".",s_Irr!AH3&lt;&gt;".",s_Irr!BG3&lt;&gt;"."),s_dir!J3/((1/1000)*(s_Irr!AH3+s_Irr!BG3)),IF(AND(s_Irr!I3=".",s_Irr!AH3=".",s_Irr!BG3&lt;&gt;"."),s_dir!J3/((1/1000)*(s_Irr!BG3)),IF(AND(s_Irr!I3=".",s_Irr!AH3&lt;&gt;".",s_Irr!BG3="."),s_dir!J3/((1/1000)*(s_Irr!AH3)),IF(AND(s_Irr!I3&lt;&gt;".",s_Irr!AH3=".",s_Irr!BG3="."),s_dir!J3/((1/1000)*(s_Irr!I3)),IF(AND(s_Irr!I3=".",s_Irr!AH3=".",s_Irr!BG3="."),s_dir!J3*1000)))))))),".")</f>
        <v>317.33172401136619</v>
      </c>
      <c r="K3" s="70">
        <f>IFERROR(IF(AND(s_Irr!J3&lt;&gt;".",s_Irr!AI3&lt;&gt;".",s_Irr!BH3&lt;&gt;"."),s_dir!K3/((1/1000)*(s_Irr!J3+s_Irr!AI3+s_Irr!BH3)),IF(AND(s_Irr!J3&lt;&gt;".",s_Irr!AI3&lt;&gt;".",s_Irr!BH3="."),s_dir!K3/((1/1000)*(s_Irr!J3+s_Irr!AI3)),IF(AND(s_Irr!J3&lt;&gt;".",s_Irr!AI3=".",s_Irr!BH3&lt;&gt;"."),s_dir!K3/((1/1000)*(s_Irr!J3+s_Irr!BH3)),IF(AND(s_Irr!J3=".",s_Irr!AI3&lt;&gt;".",s_Irr!BH3&lt;&gt;"."),s_dir!K3/((1/1000)*(s_Irr!AI3+s_Irr!BH3)),IF(AND(s_Irr!J3=".",s_Irr!AI3=".",s_Irr!BH3&lt;&gt;"."),s_dir!K3/((1/1000)*(s_Irr!BH3)),IF(AND(s_Irr!J3=".",s_Irr!AI3&lt;&gt;".",s_Irr!BH3="."),s_dir!K3/((1/1000)*(s_Irr!AI3)),IF(AND(s_Irr!J3&lt;&gt;".",s_Irr!AI3=".",s_Irr!BH3="."),s_dir!K3/((1/1000)*(s_Irr!J3)),IF(AND(s_Irr!J3=".",s_Irr!AI3=".",s_Irr!BH3="."),s_dir!K3*1000)))))))),".")</f>
        <v>320.77457157279218</v>
      </c>
      <c r="L3" s="70">
        <f>IFERROR(IF(AND(s_Irr!K3&lt;&gt;".",s_Irr!AJ3&lt;&gt;".",s_Irr!BI3&lt;&gt;"."),s_dir!L3/((1/1000)*(s_Irr!K3+s_Irr!AJ3+s_Irr!BI3)),IF(AND(s_Irr!K3&lt;&gt;".",s_Irr!AJ3&lt;&gt;".",s_Irr!BI3="."),s_dir!L3/((1/1000)*(s_Irr!K3+s_Irr!AJ3)),IF(AND(s_Irr!K3&lt;&gt;".",s_Irr!AJ3=".",s_Irr!BI3&lt;&gt;"."),s_dir!L3/((1/1000)*(s_Irr!K3+s_Irr!BI3)),IF(AND(s_Irr!K3=".",s_Irr!AJ3&lt;&gt;".",s_Irr!BI3&lt;&gt;"."),s_dir!L3/((1/1000)*(s_Irr!AJ3+s_Irr!BI3)),IF(AND(s_Irr!K3=".",s_Irr!AJ3=".",s_Irr!BI3&lt;&gt;"."),s_dir!L3/((1/1000)*(s_Irr!BI3)),IF(AND(s_Irr!K3=".",s_Irr!AJ3&lt;&gt;".",s_Irr!BI3="."),s_dir!L3/((1/1000)*(s_Irr!AJ3)),IF(AND(s_Irr!K3&lt;&gt;".",s_Irr!AJ3=".",s_Irr!BI3="."),s_dir!L3/((1/1000)*(s_Irr!K3)),IF(AND(s_Irr!K3=".",s_Irr!AJ3=".",s_Irr!BI3="."),s_dir!L3*1000)))))))),".")</f>
        <v>320.67112481093869</v>
      </c>
      <c r="M3" s="70">
        <f>IFERROR(IF(AND(s_Irr!L3&lt;&gt;".",s_Irr!AK3&lt;&gt;".",s_Irr!BJ3&lt;&gt;"."),s_dir!M3/((1/1000)*(s_Irr!L3+s_Irr!AK3+s_Irr!BJ3)),IF(AND(s_Irr!L3&lt;&gt;".",s_Irr!AK3&lt;&gt;".",s_Irr!BJ3="."),s_dir!M3/((1/1000)*(s_Irr!L3+s_Irr!AK3)),IF(AND(s_Irr!L3&lt;&gt;".",s_Irr!AK3=".",s_Irr!BJ3&lt;&gt;"."),s_dir!M3/((1/1000)*(s_Irr!L3+s_Irr!BJ3)),IF(AND(s_Irr!L3=".",s_Irr!AK3&lt;&gt;".",s_Irr!BJ3&lt;&gt;"."),s_dir!M3/((1/1000)*(s_Irr!AK3+s_Irr!BJ3)),IF(AND(s_Irr!L3=".",s_Irr!AK3=".",s_Irr!BJ3&lt;&gt;"."),s_dir!M3/((1/1000)*(s_Irr!BJ3)),IF(AND(s_Irr!L3=".",s_Irr!AK3&lt;&gt;".",s_Irr!BJ3="."),s_dir!M3/((1/1000)*(s_Irr!AK3)),IF(AND(s_Irr!L3&lt;&gt;".",s_Irr!AK3=".",s_Irr!BJ3="."),s_dir!M3/((1/1000)*(s_Irr!L3)),IF(AND(s_Irr!L3=".",s_Irr!AK3=".",s_Irr!BJ3="."),s_dir!M3*1000)))))))),".")</f>
        <v>318.9926849535459</v>
      </c>
      <c r="N3" s="70">
        <f>IFERROR(IF(AND(s_Irr!M3&lt;&gt;".",s_Irr!AL3&lt;&gt;".",s_Irr!BK3&lt;&gt;"."),s_dir!N3/((1/1000)*(s_Irr!M3+s_Irr!AL3+s_Irr!BK3)),IF(AND(s_Irr!M3&lt;&gt;".",s_Irr!AL3&lt;&gt;".",s_Irr!BK3="."),s_dir!N3/((1/1000)*(s_Irr!M3+s_Irr!AL3)),IF(AND(s_Irr!M3&lt;&gt;".",s_Irr!AL3=".",s_Irr!BK3&lt;&gt;"."),s_dir!N3/((1/1000)*(s_Irr!M3+s_Irr!BK3)),IF(AND(s_Irr!M3=".",s_Irr!AL3&lt;&gt;".",s_Irr!BK3&lt;&gt;"."),s_dir!N3/((1/1000)*(s_Irr!AL3+s_Irr!BK3)),IF(AND(s_Irr!M3=".",s_Irr!AL3=".",s_Irr!BK3&lt;&gt;"."),s_dir!N3/((1/1000)*(s_Irr!BK3)),IF(AND(s_Irr!M3=".",s_Irr!AL3&lt;&gt;".",s_Irr!BK3="."),s_dir!N3/((1/1000)*(s_Irr!AL3)),IF(AND(s_Irr!M3&lt;&gt;".",s_Irr!AL3=".",s_Irr!BK3="."),s_dir!N3/((1/1000)*(s_Irr!M3)),IF(AND(s_Irr!M3=".",s_Irr!AL3=".",s_Irr!BK3="."),s_dir!N3*1000)))))))),".")</f>
        <v>319.47816112739247</v>
      </c>
      <c r="O3" s="70">
        <f>IFERROR(IF(AND(s_Irr!N3&lt;&gt;".",s_Irr!AM3&lt;&gt;".",s_Irr!BL3&lt;&gt;"."),s_dir!O3/((1/1000)*(s_Irr!N3+s_Irr!AM3+s_Irr!BL3)),IF(AND(s_Irr!N3&lt;&gt;".",s_Irr!AM3&lt;&gt;".",s_Irr!BL3="."),s_dir!O3/((1/1000)*(s_Irr!N3+s_Irr!AM3)),IF(AND(s_Irr!N3&lt;&gt;".",s_Irr!AM3=".",s_Irr!BL3&lt;&gt;"."),s_dir!O3/((1/1000)*(s_Irr!N3+s_Irr!BL3)),IF(AND(s_Irr!N3=".",s_Irr!AM3&lt;&gt;".",s_Irr!BL3&lt;&gt;"."),s_dir!O3/((1/1000)*(s_Irr!AM3+s_Irr!BL3)),IF(AND(s_Irr!N3=".",s_Irr!AM3=".",s_Irr!BL3&lt;&gt;"."),s_dir!O3/((1/1000)*(s_Irr!BL3)),IF(AND(s_Irr!N3=".",s_Irr!AM3&lt;&gt;".",s_Irr!BL3="."),s_dir!O3/((1/1000)*(s_Irr!AM3)),IF(AND(s_Irr!N3&lt;&gt;".",s_Irr!AM3=".",s_Irr!BL3="."),s_dir!O3/((1/1000)*(s_Irr!N3)),IF(AND(s_Irr!N3=".",s_Irr!AM3=".",s_Irr!BL3="."),s_dir!O3*1000)))))))),".")</f>
        <v>318.88500166154716</v>
      </c>
      <c r="P3" s="70">
        <f>IFERROR(IF(AND(s_Irr!O3&lt;&gt;".",s_Irr!AN3&lt;&gt;".",s_Irr!BM3&lt;&gt;"."),s_dir!P3/((1/1000)*(s_Irr!O3+s_Irr!AN3+s_Irr!BM3)),IF(AND(s_Irr!O3&lt;&gt;".",s_Irr!AN3&lt;&gt;".",s_Irr!BM3="."),s_dir!P3/((1/1000)*(s_Irr!O3+s_Irr!AN3)),IF(AND(s_Irr!O3&lt;&gt;".",s_Irr!AN3=".",s_Irr!BM3&lt;&gt;"."),s_dir!P3/((1/1000)*(s_Irr!O3+s_Irr!BM3)),IF(AND(s_Irr!O3=".",s_Irr!AN3&lt;&gt;".",s_Irr!BM3&lt;&gt;"."),s_dir!P3/((1/1000)*(s_Irr!AN3+s_Irr!BM3)),IF(AND(s_Irr!O3=".",s_Irr!AN3=".",s_Irr!BM3&lt;&gt;"."),s_dir!P3/((1/1000)*(s_Irr!BM3)),IF(AND(s_Irr!O3=".",s_Irr!AN3&lt;&gt;".",s_Irr!BM3="."),s_dir!P3/((1/1000)*(s_Irr!AN3)),IF(AND(s_Irr!O3&lt;&gt;".",s_Irr!AN3=".",s_Irr!BM3="."),s_dir!P3/((1/1000)*(s_Irr!O3)),IF(AND(s_Irr!O3=".",s_Irr!AN3=".",s_Irr!BM3="."),s_dir!P3*1000)))))))),".")</f>
        <v>318.9926849535459</v>
      </c>
      <c r="Q3" s="70">
        <f>IFERROR(IF(AND(s_Irr!P3&lt;&gt;".",s_Irr!AO3&lt;&gt;".",s_Irr!BN3&lt;&gt;"."),s_dir!Q3/((1/1000)*(s_Irr!P3+s_Irr!AO3+s_Irr!BN3)),IF(AND(s_Irr!P3&lt;&gt;".",s_Irr!AO3&lt;&gt;".",s_Irr!BN3="."),s_dir!Q3/((1/1000)*(s_Irr!P3+s_Irr!AO3)),IF(AND(s_Irr!P3&lt;&gt;".",s_Irr!AO3=".",s_Irr!BN3&lt;&gt;"."),s_dir!Q3/((1/1000)*(s_Irr!P3+s_Irr!BN3)),IF(AND(s_Irr!P3=".",s_Irr!AO3&lt;&gt;".",s_Irr!BN3&lt;&gt;"."),s_dir!Q3/((1/1000)*(s_Irr!AO3+s_Irr!BN3)),IF(AND(s_Irr!P3=".",s_Irr!AO3=".",s_Irr!BN3&lt;&gt;"."),s_dir!Q3/((1/1000)*(s_Irr!BN3)),IF(AND(s_Irr!P3=".",s_Irr!AO3&lt;&gt;".",s_Irr!BN3="."),s_dir!Q3/((1/1000)*(s_Irr!AO3)),IF(AND(s_Irr!P3&lt;&gt;".",s_Irr!AO3=".",s_Irr!BN3="."),s_dir!Q3/((1/1000)*(s_Irr!P3)),IF(AND(s_Irr!P3=".",s_Irr!AO3=".",s_Irr!BN3="."),s_dir!Q3*1000)))))))),".")</f>
        <v>317.33172401136619</v>
      </c>
      <c r="R3" s="70">
        <f>IFERROR(IF(AND(s_Irr!Q3&lt;&gt;".",s_Irr!AP3&lt;&gt;".",s_Irr!BO3&lt;&gt;"."),s_dir!R3/((1/1000)*(s_Irr!Q3+s_Irr!AP3+s_Irr!BO3)),IF(AND(s_Irr!Q3&lt;&gt;".",s_Irr!AP3&lt;&gt;".",s_Irr!BO3="."),s_dir!R3/((1/1000)*(s_Irr!Q3+s_Irr!AP3)),IF(AND(s_Irr!Q3&lt;&gt;".",s_Irr!AP3=".",s_Irr!BO3&lt;&gt;"."),s_dir!R3/((1/1000)*(s_Irr!Q3+s_Irr!BO3)),IF(AND(s_Irr!Q3=".",s_Irr!AP3&lt;&gt;".",s_Irr!BO3&lt;&gt;"."),s_dir!R3/((1/1000)*(s_Irr!AP3+s_Irr!BO3)),IF(AND(s_Irr!Q3=".",s_Irr!AP3=".",s_Irr!BO3&lt;&gt;"."),s_dir!R3/((1/1000)*(s_Irr!BO3)),IF(AND(s_Irr!Q3=".",s_Irr!AP3&lt;&gt;".",s_Irr!BO3="."),s_dir!R3/((1/1000)*(s_Irr!AP3)),IF(AND(s_Irr!Q3&lt;&gt;".",s_Irr!AP3=".",s_Irr!BO3="."),s_dir!R3/((1/1000)*(s_Irr!Q3)),IF(AND(s_Irr!Q3=".",s_Irr!AP3=".",s_Irr!BO3="."),s_dir!R3*1000)))))))),".")</f>
        <v>320.77457157279218</v>
      </c>
      <c r="S3" s="70">
        <f>IFERROR(IF(AND(s_Irr!R3&lt;&gt;".",s_Irr!AQ3&lt;&gt;".",s_Irr!BP3&lt;&gt;"."),s_dir!S3/((1/1000)*(s_Irr!R3+s_Irr!AQ3+s_Irr!BP3)),IF(AND(s_Irr!R3&lt;&gt;".",s_Irr!AQ3&lt;&gt;".",s_Irr!BP3="."),s_dir!S3/((1/1000)*(s_Irr!R3+s_Irr!AQ3)),IF(AND(s_Irr!R3&lt;&gt;".",s_Irr!AQ3=".",s_Irr!BP3&lt;&gt;"."),s_dir!S3/((1/1000)*(s_Irr!R3+s_Irr!BP3)),IF(AND(s_Irr!R3=".",s_Irr!AQ3&lt;&gt;".",s_Irr!BP3&lt;&gt;"."),s_dir!S3/((1/1000)*(s_Irr!AQ3+s_Irr!BP3)),IF(AND(s_Irr!R3=".",s_Irr!AQ3=".",s_Irr!BP3&lt;&gt;"."),s_dir!S3/((1/1000)*(s_Irr!BP3)),IF(AND(s_Irr!R3=".",s_Irr!AQ3&lt;&gt;".",s_Irr!BP3="."),s_dir!S3/((1/1000)*(s_Irr!AQ3)),IF(AND(s_Irr!R3&lt;&gt;".",s_Irr!AQ3=".",s_Irr!BP3="."),s_dir!S3/((1/1000)*(s_Irr!R3)),IF(AND(s_Irr!R3=".",s_Irr!AQ3=".",s_Irr!BP3="."),s_dir!S3*1000)))))))),".")</f>
        <v>320.77457157279218</v>
      </c>
      <c r="T3" s="70">
        <f>IFERROR(IF(AND(s_Irr!S3&lt;&gt;".",s_Irr!AR3&lt;&gt;".",s_Irr!BQ3&lt;&gt;"."),s_dir!T3/((1/1000)*(s_Irr!S3+s_Irr!AR3+s_Irr!BQ3)),IF(AND(s_Irr!S3&lt;&gt;".",s_Irr!AR3&lt;&gt;".",s_Irr!BQ3="."),s_dir!T3/((1/1000)*(s_Irr!S3+s_Irr!AR3)),IF(AND(s_Irr!S3&lt;&gt;".",s_Irr!AR3=".",s_Irr!BQ3&lt;&gt;"."),s_dir!T3/((1/1000)*(s_Irr!S3+s_Irr!BQ3)),IF(AND(s_Irr!S3=".",s_Irr!AR3&lt;&gt;".",s_Irr!BQ3&lt;&gt;"."),s_dir!T3/((1/1000)*(s_Irr!AR3+s_Irr!BQ3)),IF(AND(s_Irr!S3=".",s_Irr!AR3=".",s_Irr!BQ3&lt;&gt;"."),s_dir!T3/((1/1000)*(s_Irr!BQ3)),IF(AND(s_Irr!S3=".",s_Irr!AR3&lt;&gt;".",s_Irr!BQ3="."),s_dir!T3/((1/1000)*(s_Irr!AR3)),IF(AND(s_Irr!S3&lt;&gt;".",s_Irr!AR3=".",s_Irr!BQ3="."),s_dir!T3/((1/1000)*(s_Irr!S3)),IF(AND(s_Irr!S3=".",s_Irr!AR3=".",s_Irr!BQ3="."),s_dir!T3*1000)))))))),".")</f>
        <v>318.88500166154716</v>
      </c>
      <c r="U3" s="70">
        <f>IFERROR(IF(AND(s_Irr!T3&lt;&gt;".",s_Irr!AS3&lt;&gt;".",s_Irr!BR3&lt;&gt;"."),s_dir!U3/((1/1000)*(s_Irr!T3+s_Irr!AS3+s_Irr!BR3)),IF(AND(s_Irr!T3&lt;&gt;".",s_Irr!AS3&lt;&gt;".",s_Irr!BR3="."),s_dir!U3/((1/1000)*(s_Irr!T3+s_Irr!AS3)),IF(AND(s_Irr!T3&lt;&gt;".",s_Irr!AS3=".",s_Irr!BR3&lt;&gt;"."),s_dir!U3/((1/1000)*(s_Irr!T3+s_Irr!BR3)),IF(AND(s_Irr!T3=".",s_Irr!AS3&lt;&gt;".",s_Irr!BR3&lt;&gt;"."),s_dir!U3/((1/1000)*(s_Irr!AS3+s_Irr!BR3)),IF(AND(s_Irr!T3=".",s_Irr!AS3=".",s_Irr!BR3&lt;&gt;"."),s_dir!U3/((1/1000)*(s_Irr!BR3)),IF(AND(s_Irr!T3=".",s_Irr!AS3&lt;&gt;".",s_Irr!BR3="."),s_dir!U3/((1/1000)*(s_Irr!AS3)),IF(AND(s_Irr!T3&lt;&gt;".",s_Irr!AS3=".",s_Irr!BR3="."),s_dir!U3/((1/1000)*(s_Irr!T3)),IF(AND(s_Irr!T3=".",s_Irr!AS3=".",s_Irr!BR3="."),s_dir!U3*1000)))))))),".")</f>
        <v>318.9926849535459</v>
      </c>
      <c r="V3" s="70">
        <f>IFERROR(IF(AND(s_Irr!U3&lt;&gt;".",s_Irr!AT3&lt;&gt;".",s_Irr!BS3&lt;&gt;"."),s_dir!V3/((1/1000)*(s_Irr!U3+s_Irr!AT3+s_Irr!BS3)),IF(AND(s_Irr!U3&lt;&gt;".",s_Irr!AT3&lt;&gt;".",s_Irr!BS3="."),s_dir!V3/((1/1000)*(s_Irr!U3+s_Irr!AT3)),IF(AND(s_Irr!U3&lt;&gt;".",s_Irr!AT3=".",s_Irr!BS3&lt;&gt;"."),s_dir!V3/((1/1000)*(s_Irr!U3+s_Irr!BS3)),IF(AND(s_Irr!U3=".",s_Irr!AT3&lt;&gt;".",s_Irr!BS3&lt;&gt;"."),s_dir!V3/((1/1000)*(s_Irr!AT3+s_Irr!BS3)),IF(AND(s_Irr!U3=".",s_Irr!AT3=".",s_Irr!BS3&lt;&gt;"."),s_dir!V3/((1/1000)*(s_Irr!BS3)),IF(AND(s_Irr!U3=".",s_Irr!AT3&lt;&gt;".",s_Irr!BS3="."),s_dir!V3/((1/1000)*(s_Irr!AT3)),IF(AND(s_Irr!U3&lt;&gt;".",s_Irr!AT3=".",s_Irr!BS3="."),s_dir!V3/((1/1000)*(s_Irr!U3)),IF(AND(s_Irr!U3=".",s_Irr!AT3=".",s_Irr!BS3="."),s_dir!V3*1000)))))))),".")</f>
        <v>319.80263368598327</v>
      </c>
      <c r="W3" s="70">
        <f>IFERROR(IF(AND(s_Irr!V3&lt;&gt;".",s_Irr!AU3&lt;&gt;".",s_Irr!BT3&lt;&gt;"."),s_dir!W3/((1/1000)*(s_Irr!V3+s_Irr!AU3+s_Irr!BT3)),IF(AND(s_Irr!V3&lt;&gt;".",s_Irr!AU3&lt;&gt;".",s_Irr!BT3="."),s_dir!W3/((1/1000)*(s_Irr!V3+s_Irr!AU3)),IF(AND(s_Irr!V3&lt;&gt;".",s_Irr!AU3=".",s_Irr!BT3&lt;&gt;"."),s_dir!W3/((1/1000)*(s_Irr!V3+s_Irr!BT3)),IF(AND(s_Irr!V3=".",s_Irr!AU3&lt;&gt;".",s_Irr!BT3&lt;&gt;"."),s_dir!W3/((1/1000)*(s_Irr!AU3+s_Irr!BT3)),IF(AND(s_Irr!V3=".",s_Irr!AU3=".",s_Irr!BT3&lt;&gt;"."),s_dir!W3/((1/1000)*(s_Irr!BT3)),IF(AND(s_Irr!V3=".",s_Irr!AU3&lt;&gt;".",s_Irr!BT3="."),s_dir!W3/((1/1000)*(s_Irr!AU3)),IF(AND(s_Irr!V3&lt;&gt;".",s_Irr!AU3=".",s_Irr!BT3="."),s_dir!W3/((1/1000)*(s_Irr!V3)),IF(AND(s_Irr!V3=".",s_Irr!AU3=".",s_Irr!BT3="."),s_dir!W3*1000)))))))),".")</f>
        <v>318.9926849535459</v>
      </c>
      <c r="X3" s="70">
        <f>IFERROR(IF(AND(s_Irr!W3&lt;&gt;".",s_Irr!AV3&lt;&gt;".",s_Irr!BU3&lt;&gt;"."),s_dir!X3/((1/1000)*(s_Irr!W3+s_Irr!AV3+s_Irr!BU3)),IF(AND(s_Irr!W3&lt;&gt;".",s_Irr!AV3&lt;&gt;".",s_Irr!BU3="."),s_dir!X3/((1/1000)*(s_Irr!W3+s_Irr!AV3)),IF(AND(s_Irr!W3&lt;&gt;".",s_Irr!AV3=".",s_Irr!BU3&lt;&gt;"."),s_dir!X3/((1/1000)*(s_Irr!W3+s_Irr!BU3)),IF(AND(s_Irr!W3=".",s_Irr!AV3&lt;&gt;".",s_Irr!BU3&lt;&gt;"."),s_dir!X3/((1/1000)*(s_Irr!AV3+s_Irr!BU3)),IF(AND(s_Irr!W3=".",s_Irr!AV3=".",s_Irr!BU3&lt;&gt;"."),s_dir!X3/((1/1000)*(s_Irr!BU3)),IF(AND(s_Irr!W3=".",s_Irr!AV3&lt;&gt;".",s_Irr!BU3="."),s_dir!X3/((1/1000)*(s_Irr!AV3)),IF(AND(s_Irr!W3&lt;&gt;".",s_Irr!AV3=".",s_Irr!BU3="."),s_dir!X3/((1/1000)*(s_Irr!W3)),IF(AND(s_Irr!W3=".",s_Irr!AV3=".",s_Irr!BU3="."),s_dir!X3*1000)))))))),".")</f>
        <v>318.88500166154716</v>
      </c>
      <c r="Y3" s="70">
        <f>IFERROR(IF(AND(s_Irr!X3&lt;&gt;".",s_Irr!AW3&lt;&gt;".",s_Irr!BV3&lt;&gt;"."),s_dir!Y3/((1/1000)*(s_Irr!X3+s_Irr!AW3+s_Irr!BV3)),IF(AND(s_Irr!X3&lt;&gt;".",s_Irr!AW3&lt;&gt;".",s_Irr!BV3="."),s_dir!Y3/((1/1000)*(s_Irr!X3+s_Irr!AW3)),IF(AND(s_Irr!X3&lt;&gt;".",s_Irr!AW3=".",s_Irr!BV3&lt;&gt;"."),s_dir!Y3/((1/1000)*(s_Irr!X3+s_Irr!BV3)),IF(AND(s_Irr!X3=".",s_Irr!AW3&lt;&gt;".",s_Irr!BV3&lt;&gt;"."),s_dir!Y3/((1/1000)*(s_Irr!AW3+s_Irr!BV3)),IF(AND(s_Irr!X3=".",s_Irr!AW3=".",s_Irr!BV3&lt;&gt;"."),s_dir!Y3/((1/1000)*(s_Irr!BV3)),IF(AND(s_Irr!X3=".",s_Irr!AW3&lt;&gt;".",s_Irr!BV3="."),s_dir!Y3/((1/1000)*(s_Irr!AW3)),IF(AND(s_Irr!X3&lt;&gt;".",s_Irr!AW3=".",s_Irr!BV3="."),s_dir!Y3/((1/1000)*(s_Irr!X3)),IF(AND(s_Irr!X3=".",s_Irr!AW3=".",s_Irr!BV3="."),s_dir!Y3*1000)))))))),".")</f>
        <v>320.34488841166677</v>
      </c>
      <c r="Z3" s="70">
        <f>IFERROR(IF(AND(s_Irr!Y3&lt;&gt;".",s_Irr!AX3&lt;&gt;".",s_Irr!BW3&lt;&gt;"."),s_dir!Z3/((1/1000)*(s_Irr!Y3+s_Irr!AX3+s_Irr!BW3)),IF(AND(s_Irr!Y3&lt;&gt;".",s_Irr!AX3&lt;&gt;".",s_Irr!BW3="."),s_dir!Z3/((1/1000)*(s_Irr!Y3+s_Irr!AX3)),IF(AND(s_Irr!Y3&lt;&gt;".",s_Irr!AX3=".",s_Irr!BW3&lt;&gt;"."),s_dir!Z3/((1/1000)*(s_Irr!Y3+s_Irr!BW3)),IF(AND(s_Irr!Y3=".",s_Irr!AX3&lt;&gt;".",s_Irr!BW3&lt;&gt;"."),s_dir!Z3/((1/1000)*(s_Irr!AX3+s_Irr!BW3)),IF(AND(s_Irr!Y3=".",s_Irr!AX3=".",s_Irr!BW3&lt;&gt;"."),s_dir!Z3/((1/1000)*(s_Irr!BW3)),IF(AND(s_Irr!Y3=".",s_Irr!AX3&lt;&gt;".",s_Irr!BW3="."),s_dir!Z3/((1/1000)*(s_Irr!AX3)),IF(AND(s_Irr!Y3&lt;&gt;".",s_Irr!AX3=".",s_Irr!BW3="."),s_dir!Z3/((1/1000)*(s_Irr!Y3)),IF(AND(s_Irr!Y3=".",s_Irr!AX3=".",s_Irr!BW3="."),s_dir!Z3*1000)))))))),".")</f>
        <v>318.9926849535459</v>
      </c>
      <c r="AA3" s="70">
        <f>IFERROR(IF(AND(s_Irr!Z3&lt;&gt;".",s_Irr!AY3&lt;&gt;".",s_Irr!BX3&lt;&gt;"."),s_dir!AA3/((1/1000)*(s_Irr!Z3+s_Irr!AY3+s_Irr!BX3)),IF(AND(s_Irr!Z3&lt;&gt;".",s_Irr!AY3&lt;&gt;".",s_Irr!BX3="."),s_dir!AA3/((1/1000)*(s_Irr!Z3+s_Irr!AY3)),IF(AND(s_Irr!Z3&lt;&gt;".",s_Irr!AY3=".",s_Irr!BX3&lt;&gt;"."),s_dir!AA3/((1/1000)*(s_Irr!Z3+s_Irr!BX3)),IF(AND(s_Irr!Z3=".",s_Irr!AY3&lt;&gt;".",s_Irr!BX3&lt;&gt;"."),s_dir!AA3/((1/1000)*(s_Irr!AY3+s_Irr!BX3)),IF(AND(s_Irr!Z3=".",s_Irr!AY3=".",s_Irr!BX3&lt;&gt;"."),s_dir!AA3/((1/1000)*(s_Irr!BX3)),IF(AND(s_Irr!Z3=".",s_Irr!AY3&lt;&gt;".",s_Irr!BX3="."),s_dir!AA3/((1/1000)*(s_Irr!AY3)),IF(AND(s_Irr!Z3&lt;&gt;".",s_Irr!AY3=".",s_Irr!BX3="."),s_dir!AA3/((1/1000)*(s_Irr!Z3)),IF(AND(s_Irr!Z3=".",s_Irr!AY3=".",s_Irr!BX3="."),s_dir!AA3*1000)))))))),".")</f>
        <v>315.58250631235398</v>
      </c>
      <c r="AB3" s="70">
        <f>IFERROR(IF(AND(s_Irr!AA3&lt;&gt;".",s_Irr!AZ3&lt;&gt;".",s_Irr!BY3&lt;&gt;"."),s_dir!AB3/((1/1000)*(s_Irr!AA3+s_Irr!AZ3+s_Irr!BY3)),IF(AND(s_Irr!AA3&lt;&gt;".",s_Irr!AZ3&lt;&gt;".",s_Irr!BY3="."),s_dir!AB3/((1/1000)*(s_Irr!AA3+s_Irr!AZ3)),IF(AND(s_Irr!AA3&lt;&gt;".",s_Irr!AZ3=".",s_Irr!BY3&lt;&gt;"."),s_dir!AB3/((1/1000)*(s_Irr!AA3+s_Irr!BY3)),IF(AND(s_Irr!AA3=".",s_Irr!AZ3&lt;&gt;".",s_Irr!BY3&lt;&gt;"."),s_dir!AB3/((1/1000)*(s_Irr!AZ3+s_Irr!BY3)),IF(AND(s_Irr!AA3=".",s_Irr!AZ3=".",s_Irr!BY3&lt;&gt;"."),s_dir!AB3/((1/1000)*(s_Irr!BY3)),IF(AND(s_Irr!AA3=".",s_Irr!AZ3&lt;&gt;".",s_Irr!BY3="."),s_dir!AB3/((1/1000)*(s_Irr!AZ3)),IF(AND(s_Irr!AA3&lt;&gt;".",s_Irr!AZ3=".",s_Irr!BY3="."),s_dir!AB3/((1/1000)*(s_Irr!AA3)),IF(AND(s_Irr!AA3=".",s_Irr!AZ3=".",s_Irr!BY3="."),s_dir!AB3*1000)))))))),".")</f>
        <v>320.82359596931764</v>
      </c>
      <c r="AC3" s="87">
        <f t="shared" ref="AC3" si="0">SUM(AD3:AE3,AU3,BA3:BB3)</f>
        <v>444.81455227381923</v>
      </c>
      <c r="AD3" s="87">
        <f>IFERROR(s_C*s_IFAP_res_adj*s_CF_apple*0.001*(s_Irr!C3+s_Irr!AB3+s_Irr!BA3),".")</f>
        <v>88.503693210123544</v>
      </c>
      <c r="AE3" s="87">
        <f>IFERROR(s_C*s_IFAS_res_adj*s_CF_asparagus*0.001*(s_Irr!D3+s_Irr!AC3+s_Irr!BB3),".")</f>
        <v>88.862832351056241</v>
      </c>
      <c r="AF3" s="87">
        <f>IFERROR(s_C*s_IFBT_res_adj*s_CF_beet*0.001*(s_Irr!E3+s_Irr!AD3+s_Irr!BC3),".")</f>
        <v>89.463902042993809</v>
      </c>
      <c r="AG3" s="87">
        <f>IFERROR(s_C*s_IFBE_res_adj*s_CF_berries*0.001*(s_Irr!F3+s_Irr!AE3+s_Irr!BD3),".")</f>
        <v>89.65924969287353</v>
      </c>
      <c r="AH3" s="87">
        <f>IFERROR(s_C*s_IFBR_res_adj*s_CF_broccoli*0.001*(s_Irr!G3+s_Irr!AF3+s_Irr!BE3),".")</f>
        <v>88.998073031742194</v>
      </c>
      <c r="AI3" s="87">
        <f>IFERROR(s_C*s_IFCB_res_adj*s_CF_cabbage*0.001*(s_Irr!H3+s_Irr!AG3+s_Irr!BF3),".")</f>
        <v>88.862832351056241</v>
      </c>
      <c r="AJ3" s="87">
        <f>IFERROR(s_C*s_IFCR_res_adj*s_CF_carrot*0.001*(s_Irr!I3+s_Irr!AH3+s_Irr!BG3),".")</f>
        <v>89.463902042993809</v>
      </c>
      <c r="AK3" s="87">
        <f>IFERROR(s_C*s_IFCI_res_adj*s_CF_citrus*0.001*(s_Irr!J3+s_Irr!AI3+s_Irr!BH3),".")</f>
        <v>88.503693210123544</v>
      </c>
      <c r="AL3" s="87">
        <f>IFERROR(s_C*s_IFCO_res_adj*s_CF_corn*0.001*(s_Irr!K3+s_Irr!AJ3+s_Irr!BI3),".")</f>
        <v>88.532244020490566</v>
      </c>
      <c r="AM3" s="87">
        <f>IFERROR(s_C*s_IFCU_res_adj*s_CF_cucumber*0.001*(s_Irr!L3+s_Irr!AK3+s_Irr!BJ3),".")</f>
        <v>88.998073031742194</v>
      </c>
      <c r="AN3" s="87">
        <f>IFERROR(s_C*s_IFLE_res_adj*s_CF_lettuce*0.001*(s_Irr!M3+s_Irr!AL3+s_Irr!BK3),".")</f>
        <v>88.862832351056241</v>
      </c>
      <c r="AO3" s="87">
        <f>IFERROR(s_C*s_IFLI_res_adj*s_CF_lima_bean*0.001*(s_Irr!N3+s_Irr!AM3+s_Irr!BL3),".")</f>
        <v>89.028126516339057</v>
      </c>
      <c r="AP3" s="87">
        <f>IFERROR(s_C*s_IFOK_res_adj*s_CF_okra*0.001*(s_Irr!O3+s_Irr!AN3+s_Irr!BM3),".")</f>
        <v>88.998073031742194</v>
      </c>
      <c r="AQ3" s="87">
        <f>IFERROR(s_C*s_IFON_res_adj*s_CF_onion*0.001*(s_Irr!P3+s_Irr!AO3+s_Irr!BN3),".")</f>
        <v>89.463902042993809</v>
      </c>
      <c r="AR3" s="87">
        <f>IFERROR(s_C*s_IFPC_res_adj*s_CF_peach*0.001*(s_Irr!Q3+s_Irr!AP3+s_Irr!BO3),".")</f>
        <v>88.503693210123544</v>
      </c>
      <c r="AS3" s="87">
        <f>IFERROR(s_C*s_IFPR_res_adj*s_CF_pear*0.001*(s_Irr!R3+s_Irr!AQ3+s_Irr!BP3),".")</f>
        <v>88.503693210123544</v>
      </c>
      <c r="AT3" s="87">
        <f>IFERROR(s_C*s_IFPE_res_adj*s_CF_peas*0.001*(s_Irr!S3+s_Irr!AR3+s_Irr!BQ3),".")</f>
        <v>89.028126516339057</v>
      </c>
      <c r="AU3" s="87">
        <f>IFERROR(s_C*s_IFPP_res_adj*s_CF_peppers*0.001*(s_Irr!T3+s_Irr!AS3+s_Irr!BR3),".")</f>
        <v>88.998073031742194</v>
      </c>
      <c r="AV3" s="87">
        <f>IFERROR(s_C*s_IFPT_res_adj*s_CF_potato*0.001*(s_Irr!U3+s_Irr!AT3+s_Irr!BS3),".")</f>
        <v>88.772671897265596</v>
      </c>
      <c r="AW3" s="87">
        <f>IFERROR(s_C*s_IFPU_res_adj*s_CF_pumpkin*0.001*(s_Irr!V3+s_Irr!AU3+s_Irr!BT3),".")</f>
        <v>88.998073031742194</v>
      </c>
      <c r="AX3" s="87">
        <f>IFERROR(s_C*s_IFSN_res_adj*s_CF_snap_bean*0.001*(s_Irr!W3+s_Irr!AV3+s_Irr!BU3),".")</f>
        <v>89.028126516339057</v>
      </c>
      <c r="AY3" s="87">
        <f>IFERROR(s_C*s_IFST_res_adj*s_CF_strawberry*0.001*(s_Irr!X3+s_Irr!AW3+s_Irr!BV3),".")</f>
        <v>88.622404474281197</v>
      </c>
      <c r="AZ3" s="87">
        <f>IFERROR(s_C*s_IFTO_res_adj*s_CF_tomato*0.001*(s_Irr!Y3+s_Irr!AX3+s_Irr!BW3),".")</f>
        <v>88.998073031742194</v>
      </c>
      <c r="BA3" s="87">
        <f>IFERROR(s_C*s_IFRI_res_adj*s_CF_rice*0.001*(s_Irr!Z3+s_Irr!AY3+s_Irr!BX3),".")</f>
        <v>89.959784538842314</v>
      </c>
      <c r="BB3" s="87">
        <f>IFERROR(s_C*s_IFCG_res_adj*s_CF_cereal*0.001*(s_Irr!AA3+s_Irr!AZ3+s_Irr!BY3),".")</f>
        <v>88.490169142054938</v>
      </c>
      <c r="BC3" s="70">
        <f t="shared" ref="BC3:BC30" si="1">IFERROR(1/SUM(1/BD3,1/BU3,1/CA3,1/CB3),".")</f>
        <v>79.757261120264914</v>
      </c>
      <c r="BD3" s="70">
        <f>IFERROR(IF(AND(s_Irr!C3&lt;&gt;".",s_Irr!AB3&lt;&gt;".",s_Irr!BA3&lt;&gt;"."),s_dir!AD3/((1/1000)*(s_Irr!C3+s_Irr!AB3+s_Irr!BA3)),IF(AND(s_Irr!C3&lt;&gt;".",s_Irr!AB3&lt;&gt;".",s_Irr!BA3="."),s_dir!AD3/((1/1000)*(s_Irr!C3+s_Irr!AB3)),IF(AND(s_Irr!C3&lt;&gt;".",s_Irr!AB3=".",s_Irr!BA3&lt;&gt;"."),s_dir!AD3/((1/1000)*(s_Irr!C3+s_Irr!BA3)),IF(AND(s_Irr!C3=".",s_Irr!AB3&lt;&gt;".",s_Irr!BA3&lt;&gt;"."),s_dir!AD3/((1/1000)*(s_Irr!AB3+s_Irr!BA3)),IF(AND(s_Irr!C3=".",s_Irr!AB3=".",s_Irr!BA3&lt;&gt;"."),s_dir!AD3/((1/1000)*(s_Irr!BA3)),IF(AND(s_Irr!C3=".",s_Irr!AB3&lt;&gt;".",s_Irr!BA3="."),s_dir!AD3/((1/1000)*(s_Irr!AB3)),IF(AND(s_Irr!C3&lt;&gt;".",s_Irr!AB3=".",s_Irr!BA3="."),s_dir!AD3/((1/1000)*(s_Irr!C3)),IF(AND(s_Irr!C3=".",s_Irr!AB3=".",s_Irr!BA3="."),s_dir!AD3*1000)))))))),".")</f>
        <v>320.77457157279218</v>
      </c>
      <c r="BE3" s="70">
        <f>IFERROR(IF(AND(s_Irr!D3&lt;&gt;".",s_Irr!AC3&lt;&gt;".",s_Irr!BB3&lt;&gt;"."),s_dir!AE3/((1/1000)*(s_Irr!D3+s_Irr!AC3+s_Irr!BB3)),IF(AND(s_Irr!D3&lt;&gt;".",s_Irr!AC3&lt;&gt;".",s_Irr!BB3="."),s_dir!AE3/((1/1000)*(s_Irr!D3+s_Irr!AC3)),IF(AND(s_Irr!D3&lt;&gt;".",s_Irr!AC3=".",s_Irr!BB3&lt;&gt;"."),s_dir!AE3/((1/1000)*(s_Irr!D3+s_Irr!BB3)),IF(AND(s_Irr!D3=".",s_Irr!AC3&lt;&gt;".",s_Irr!BB3&lt;&gt;"."),s_dir!AE3/((1/1000)*(s_Irr!AC3+s_Irr!BB3)),IF(AND(s_Irr!D3=".",s_Irr!AC3=".",s_Irr!BB3&lt;&gt;"."),s_dir!AE3/((1/1000)*(s_Irr!BB3)),IF(AND(s_Irr!D3=".",s_Irr!AC3&lt;&gt;".",s_Irr!BB3="."),s_dir!AE3/((1/1000)*(s_Irr!AC3)),IF(AND(s_Irr!D3&lt;&gt;".",s_Irr!AC3=".",s_Irr!BB3="."),s_dir!AE3/((1/1000)*(s_Irr!D3)),IF(AND(s_Irr!D3=".",s_Irr!AC3=".",s_Irr!BB3="."),s_dir!AE3*1000)))))))),".")</f>
        <v>319.47816112739247</v>
      </c>
      <c r="BF3" s="70">
        <f>IFERROR(IF(AND(s_Irr!E3&lt;&gt;".",s_Irr!AD3&lt;&gt;".",s_Irr!BC3&lt;&gt;"."),s_dir!AF3/((1/1000)*(s_Irr!E3+s_Irr!AD3+s_Irr!BC3)),IF(AND(s_Irr!E3&lt;&gt;".",s_Irr!AD3&lt;&gt;".",s_Irr!BC3="."),s_dir!AF3/((1/1000)*(s_Irr!E3+s_Irr!AD3)),IF(AND(s_Irr!E3&lt;&gt;".",s_Irr!AD3=".",s_Irr!BC3&lt;&gt;"."),s_dir!AF3/((1/1000)*(s_Irr!E3+s_Irr!BC3)),IF(AND(s_Irr!E3=".",s_Irr!AD3&lt;&gt;".",s_Irr!BC3&lt;&gt;"."),s_dir!AF3/((1/1000)*(s_Irr!AD3+s_Irr!BC3)),IF(AND(s_Irr!E3=".",s_Irr!AD3=".",s_Irr!BC3&lt;&gt;"."),s_dir!AF3/((1/1000)*(s_Irr!BC3)),IF(AND(s_Irr!E3=".",s_Irr!AD3&lt;&gt;".",s_Irr!BC3="."),s_dir!AF3/((1/1000)*(s_Irr!AD3)),IF(AND(s_Irr!E3&lt;&gt;".",s_Irr!AD3=".",s_Irr!BC3="."),s_dir!AF3/((1/1000)*(s_Irr!E3)),IF(AND(s_Irr!E3=".",s_Irr!AD3=".",s_Irr!BC3="."),s_dir!AF3*1000)))))))),".")</f>
        <v>317.33172401136619</v>
      </c>
      <c r="BG3" s="70">
        <f>IFERROR(IF(AND(s_Irr!F3&lt;&gt;".",s_Irr!AE3&lt;&gt;".",s_Irr!BD3&lt;&gt;"."),s_dir!AG3/((1/1000)*(s_Irr!F3+s_Irr!AE3+s_Irr!BD3)),IF(AND(s_Irr!F3&lt;&gt;".",s_Irr!AE3&lt;&gt;".",s_Irr!BD3="."),s_dir!AG3/((1/1000)*(s_Irr!F3+s_Irr!AE3)),IF(AND(s_Irr!F3&lt;&gt;".",s_Irr!AE3=".",s_Irr!BD3&lt;&gt;"."),s_dir!AG3/((1/1000)*(s_Irr!F3+s_Irr!BD3)),IF(AND(s_Irr!F3=".",s_Irr!AE3&lt;&gt;".",s_Irr!BD3&lt;&gt;"."),s_dir!AG3/((1/1000)*(s_Irr!AE3+s_Irr!BD3)),IF(AND(s_Irr!F3=".",s_Irr!AE3=".",s_Irr!BD3&lt;&gt;"."),s_dir!AG3/((1/1000)*(s_Irr!BD3)),IF(AND(s_Irr!F3=".",s_Irr!AE3&lt;&gt;".",s_Irr!BD3="."),s_dir!AG3/((1/1000)*(s_Irr!AE3)),IF(AND(s_Irr!F3&lt;&gt;".",s_Irr!AE3=".",s_Irr!BD3="."),s_dir!AG3/((1/1000)*(s_Irr!F3)),IF(AND(s_Irr!F3=".",s_Irr!AE3=".",s_Irr!BD3="."),s_dir!AG3*1000)))))))),".")</f>
        <v>316.64032845842269</v>
      </c>
      <c r="BH3" s="70">
        <f>IFERROR(IF(AND(s_Irr!G3&lt;&gt;".",s_Irr!AF3&lt;&gt;".",s_Irr!BE3&lt;&gt;"."),s_dir!AH3/((1/1000)*(s_Irr!G3+s_Irr!AF3+s_Irr!BE3)),IF(AND(s_Irr!G3&lt;&gt;".",s_Irr!AF3&lt;&gt;".",s_Irr!BE3="."),s_dir!AH3/((1/1000)*(s_Irr!G3+s_Irr!AF3)),IF(AND(s_Irr!G3&lt;&gt;".",s_Irr!AF3=".",s_Irr!BE3&lt;&gt;"."),s_dir!AH3/((1/1000)*(s_Irr!G3+s_Irr!BE3)),IF(AND(s_Irr!G3=".",s_Irr!AF3&lt;&gt;".",s_Irr!BE3&lt;&gt;"."),s_dir!AH3/((1/1000)*(s_Irr!AF3+s_Irr!BE3)),IF(AND(s_Irr!G3=".",s_Irr!AF3=".",s_Irr!BE3&lt;&gt;"."),s_dir!AH3/((1/1000)*(s_Irr!BE3)),IF(AND(s_Irr!G3=".",s_Irr!AF3&lt;&gt;".",s_Irr!BE3="."),s_dir!AH3/((1/1000)*(s_Irr!AF3)),IF(AND(s_Irr!G3&lt;&gt;".",s_Irr!AF3=".",s_Irr!BE3="."),s_dir!AH3/((1/1000)*(s_Irr!G3)),IF(AND(s_Irr!G3=".",s_Irr!AF3=".",s_Irr!BE3="."),s_dir!AH3*1000)))))))),".")</f>
        <v>318.9926849535459</v>
      </c>
      <c r="BI3" s="70">
        <f>IFERROR(IF(AND(s_Irr!H3&lt;&gt;".",s_Irr!AG3&lt;&gt;".",s_Irr!BF3&lt;&gt;"."),s_dir!AI3/((1/1000)*(s_Irr!H3+s_Irr!AG3+s_Irr!BF3)),IF(AND(s_Irr!H3&lt;&gt;".",s_Irr!AG3&lt;&gt;".",s_Irr!BF3="."),s_dir!AI3/((1/1000)*(s_Irr!H3+s_Irr!AG3)),IF(AND(s_Irr!H3&lt;&gt;".",s_Irr!AG3=".",s_Irr!BF3&lt;&gt;"."),s_dir!AI3/((1/1000)*(s_Irr!H3+s_Irr!BF3)),IF(AND(s_Irr!H3=".",s_Irr!AG3&lt;&gt;".",s_Irr!BF3&lt;&gt;"."),s_dir!AI3/((1/1000)*(s_Irr!AG3+s_Irr!BF3)),IF(AND(s_Irr!H3=".",s_Irr!AG3=".",s_Irr!BF3&lt;&gt;"."),s_dir!AI3/((1/1000)*(s_Irr!BF3)),IF(AND(s_Irr!H3=".",s_Irr!AG3&lt;&gt;".",s_Irr!BF3="."),s_dir!AI3/((1/1000)*(s_Irr!AG3)),IF(AND(s_Irr!H3&lt;&gt;".",s_Irr!AG3=".",s_Irr!BF3="."),s_dir!AI3/((1/1000)*(s_Irr!H3)),IF(AND(s_Irr!H3=".",s_Irr!AG3=".",s_Irr!BF3="."),s_dir!AI3*1000)))))))),".")</f>
        <v>319.47816112739247</v>
      </c>
      <c r="BJ3" s="70">
        <f>IFERROR(IF(AND(s_Irr!I3&lt;&gt;".",s_Irr!AH3&lt;&gt;".",s_Irr!BG3&lt;&gt;"."),s_dir!AJ3/((1/1000)*(s_Irr!I3+s_Irr!AH3+s_Irr!BG3)),IF(AND(s_Irr!I3&lt;&gt;".",s_Irr!AH3&lt;&gt;".",s_Irr!BG3="."),s_dir!AJ3/((1/1000)*(s_Irr!I3+s_Irr!AH3)),IF(AND(s_Irr!I3&lt;&gt;".",s_Irr!AH3=".",s_Irr!BG3&lt;&gt;"."),s_dir!AJ3/((1/1000)*(s_Irr!I3+s_Irr!BG3)),IF(AND(s_Irr!I3=".",s_Irr!AH3&lt;&gt;".",s_Irr!BG3&lt;&gt;"."),s_dir!AJ3/((1/1000)*(s_Irr!AH3+s_Irr!BG3)),IF(AND(s_Irr!I3=".",s_Irr!AH3=".",s_Irr!BG3&lt;&gt;"."),s_dir!AJ3/((1/1000)*(s_Irr!BG3)),IF(AND(s_Irr!I3=".",s_Irr!AH3&lt;&gt;".",s_Irr!BG3="."),s_dir!AJ3/((1/1000)*(s_Irr!AH3)),IF(AND(s_Irr!I3&lt;&gt;".",s_Irr!AH3=".",s_Irr!BG3="."),s_dir!AJ3/((1/1000)*(s_Irr!I3)),IF(AND(s_Irr!I3=".",s_Irr!AH3=".",s_Irr!BG3="."),s_dir!AJ3*1000)))))))),".")</f>
        <v>317.33172401136619</v>
      </c>
      <c r="BK3" s="70">
        <f>IFERROR(IF(AND(s_Irr!J3&lt;&gt;".",s_Irr!AI3&lt;&gt;".",s_Irr!BH3&lt;&gt;"."),s_dir!AK3/((1/1000)*(s_Irr!J3+s_Irr!AI3+s_Irr!BH3)),IF(AND(s_Irr!J3&lt;&gt;".",s_Irr!AI3&lt;&gt;".",s_Irr!BH3="."),s_dir!AK3/((1/1000)*(s_Irr!J3+s_Irr!AI3)),IF(AND(s_Irr!J3&lt;&gt;".",s_Irr!AI3=".",s_Irr!BH3&lt;&gt;"."),s_dir!AK3/((1/1000)*(s_Irr!J3+s_Irr!BH3)),IF(AND(s_Irr!J3=".",s_Irr!AI3&lt;&gt;".",s_Irr!BH3&lt;&gt;"."),s_dir!AK3/((1/1000)*(s_Irr!AI3+s_Irr!BH3)),IF(AND(s_Irr!J3=".",s_Irr!AI3=".",s_Irr!BH3&lt;&gt;"."),s_dir!AK3/((1/1000)*(s_Irr!BH3)),IF(AND(s_Irr!J3=".",s_Irr!AI3&lt;&gt;".",s_Irr!BH3="."),s_dir!AK3/((1/1000)*(s_Irr!AI3)),IF(AND(s_Irr!J3&lt;&gt;".",s_Irr!AI3=".",s_Irr!BH3="."),s_dir!AK3/((1/1000)*(s_Irr!J3)),IF(AND(s_Irr!J3=".",s_Irr!AI3=".",s_Irr!BH3="."),s_dir!AK3*1000)))))))),".")</f>
        <v>320.77457157279218</v>
      </c>
      <c r="BL3" s="70">
        <f>IFERROR(IF(AND(s_Irr!K3&lt;&gt;".",s_Irr!AJ3&lt;&gt;".",s_Irr!BI3&lt;&gt;"."),s_dir!AL3/((1/1000)*(s_Irr!K3+s_Irr!AJ3+s_Irr!BI3)),IF(AND(s_Irr!K3&lt;&gt;".",s_Irr!AJ3&lt;&gt;".",s_Irr!BI3="."),s_dir!AL3/((1/1000)*(s_Irr!K3+s_Irr!AJ3)),IF(AND(s_Irr!K3&lt;&gt;".",s_Irr!AJ3=".",s_Irr!BI3&lt;&gt;"."),s_dir!AL3/((1/1000)*(s_Irr!K3+s_Irr!BI3)),IF(AND(s_Irr!K3=".",s_Irr!AJ3&lt;&gt;".",s_Irr!BI3&lt;&gt;"."),s_dir!AL3/((1/1000)*(s_Irr!AJ3+s_Irr!BI3)),IF(AND(s_Irr!K3=".",s_Irr!AJ3=".",s_Irr!BI3&lt;&gt;"."),s_dir!AL3/((1/1000)*(s_Irr!BI3)),IF(AND(s_Irr!K3=".",s_Irr!AJ3&lt;&gt;".",s_Irr!BI3="."),s_dir!AL3/((1/1000)*(s_Irr!AJ3)),IF(AND(s_Irr!K3&lt;&gt;".",s_Irr!AJ3=".",s_Irr!BI3="."),s_dir!AL3/((1/1000)*(s_Irr!K3)),IF(AND(s_Irr!K3=".",s_Irr!AJ3=".",s_Irr!BI3="."),s_dir!AL3*1000)))))))),".")</f>
        <v>320.67112481093869</v>
      </c>
      <c r="BM3" s="70">
        <f>IFERROR(IF(AND(s_Irr!L3&lt;&gt;".",s_Irr!AK3&lt;&gt;".",s_Irr!BJ3&lt;&gt;"."),s_dir!AM3/((1/1000)*(s_Irr!L3+s_Irr!AK3+s_Irr!BJ3)),IF(AND(s_Irr!L3&lt;&gt;".",s_Irr!AK3&lt;&gt;".",s_Irr!BJ3="."),s_dir!AM3/((1/1000)*(s_Irr!L3+s_Irr!AK3)),IF(AND(s_Irr!L3&lt;&gt;".",s_Irr!AK3=".",s_Irr!BJ3&lt;&gt;"."),s_dir!AM3/((1/1000)*(s_Irr!L3+s_Irr!BJ3)),IF(AND(s_Irr!L3=".",s_Irr!AK3&lt;&gt;".",s_Irr!BJ3&lt;&gt;"."),s_dir!AM3/((1/1000)*(s_Irr!AK3+s_Irr!BJ3)),IF(AND(s_Irr!L3=".",s_Irr!AK3=".",s_Irr!BJ3&lt;&gt;"."),s_dir!AM3/((1/1000)*(s_Irr!BJ3)),IF(AND(s_Irr!L3=".",s_Irr!AK3&lt;&gt;".",s_Irr!BJ3="."),s_dir!AM3/((1/1000)*(s_Irr!AK3)),IF(AND(s_Irr!L3&lt;&gt;".",s_Irr!AK3=".",s_Irr!BJ3="."),s_dir!AM3/((1/1000)*(s_Irr!L3)),IF(AND(s_Irr!L3=".",s_Irr!AK3=".",s_Irr!BJ3="."),s_dir!AM3*1000)))))))),".")</f>
        <v>318.9926849535459</v>
      </c>
      <c r="BN3" s="70">
        <f>IFERROR(IF(AND(s_Irr!M3&lt;&gt;".",s_Irr!AL3&lt;&gt;".",s_Irr!BK3&lt;&gt;"."),s_dir!AN3/((1/1000)*(s_Irr!M3+s_Irr!AL3+s_Irr!BK3)),IF(AND(s_Irr!M3&lt;&gt;".",s_Irr!AL3&lt;&gt;".",s_Irr!BK3="."),s_dir!AN3/((1/1000)*(s_Irr!M3+s_Irr!AL3)),IF(AND(s_Irr!M3&lt;&gt;".",s_Irr!AL3=".",s_Irr!BK3&lt;&gt;"."),s_dir!AN3/((1/1000)*(s_Irr!M3+s_Irr!BK3)),IF(AND(s_Irr!M3=".",s_Irr!AL3&lt;&gt;".",s_Irr!BK3&lt;&gt;"."),s_dir!AN3/((1/1000)*(s_Irr!AL3+s_Irr!BK3)),IF(AND(s_Irr!M3=".",s_Irr!AL3=".",s_Irr!BK3&lt;&gt;"."),s_dir!AN3/((1/1000)*(s_Irr!BK3)),IF(AND(s_Irr!M3=".",s_Irr!AL3&lt;&gt;".",s_Irr!BK3="."),s_dir!AN3/((1/1000)*(s_Irr!AL3)),IF(AND(s_Irr!M3&lt;&gt;".",s_Irr!AL3=".",s_Irr!BK3="."),s_dir!AN3/((1/1000)*(s_Irr!M3)),IF(AND(s_Irr!M3=".",s_Irr!AL3=".",s_Irr!BK3="."),s_dir!AN3*1000)))))))),".")</f>
        <v>319.47816112739247</v>
      </c>
      <c r="BO3" s="70">
        <f>IFERROR(IF(AND(s_Irr!N3&lt;&gt;".",s_Irr!AM3&lt;&gt;".",s_Irr!BL3&lt;&gt;"."),s_dir!AO3/((1/1000)*(s_Irr!N3+s_Irr!AM3+s_Irr!BL3)),IF(AND(s_Irr!N3&lt;&gt;".",s_Irr!AM3&lt;&gt;".",s_Irr!BL3="."),s_dir!AO3/((1/1000)*(s_Irr!N3+s_Irr!AM3)),IF(AND(s_Irr!N3&lt;&gt;".",s_Irr!AM3=".",s_Irr!BL3&lt;&gt;"."),s_dir!AO3/((1/1000)*(s_Irr!N3+s_Irr!BL3)),IF(AND(s_Irr!N3=".",s_Irr!AM3&lt;&gt;".",s_Irr!BL3&lt;&gt;"."),s_dir!AO3/((1/1000)*(s_Irr!AM3+s_Irr!BL3)),IF(AND(s_Irr!N3=".",s_Irr!AM3=".",s_Irr!BL3&lt;&gt;"."),s_dir!AO3/((1/1000)*(s_Irr!BL3)),IF(AND(s_Irr!N3=".",s_Irr!AM3&lt;&gt;".",s_Irr!BL3="."),s_dir!AO3/((1/1000)*(s_Irr!AM3)),IF(AND(s_Irr!N3&lt;&gt;".",s_Irr!AM3=".",s_Irr!BL3="."),s_dir!AO3/((1/1000)*(s_Irr!N3)),IF(AND(s_Irr!N3=".",s_Irr!AM3=".",s_Irr!BL3="."),s_dir!AO3*1000)))))))),".")</f>
        <v>318.88500166154716</v>
      </c>
      <c r="BP3" s="70">
        <f>IFERROR(IF(AND(s_Irr!O3&lt;&gt;".",s_Irr!AN3&lt;&gt;".",s_Irr!BM3&lt;&gt;"."),s_dir!AP3/((1/1000)*(s_Irr!O3+s_Irr!AN3+s_Irr!BM3)),IF(AND(s_Irr!O3&lt;&gt;".",s_Irr!AN3&lt;&gt;".",s_Irr!BM3="."),s_dir!AP3/((1/1000)*(s_Irr!O3+s_Irr!AN3)),IF(AND(s_Irr!O3&lt;&gt;".",s_Irr!AN3=".",s_Irr!BM3&lt;&gt;"."),s_dir!AP3/((1/1000)*(s_Irr!O3+s_Irr!BM3)),IF(AND(s_Irr!O3=".",s_Irr!AN3&lt;&gt;".",s_Irr!BM3&lt;&gt;"."),s_dir!AP3/((1/1000)*(s_Irr!AN3+s_Irr!BM3)),IF(AND(s_Irr!O3=".",s_Irr!AN3=".",s_Irr!BM3&lt;&gt;"."),s_dir!AP3/((1/1000)*(s_Irr!BM3)),IF(AND(s_Irr!O3=".",s_Irr!AN3&lt;&gt;".",s_Irr!BM3="."),s_dir!AP3/((1/1000)*(s_Irr!AN3)),IF(AND(s_Irr!O3&lt;&gt;".",s_Irr!AN3=".",s_Irr!BM3="."),s_dir!AP3/((1/1000)*(s_Irr!O3)),IF(AND(s_Irr!O3=".",s_Irr!AN3=".",s_Irr!BM3="."),s_dir!AP3*1000)))))))),".")</f>
        <v>318.9926849535459</v>
      </c>
      <c r="BQ3" s="70">
        <f>IFERROR(IF(AND(s_Irr!P3&lt;&gt;".",s_Irr!AO3&lt;&gt;".",s_Irr!BN3&lt;&gt;"."),s_dir!AQ3/((1/1000)*(s_Irr!P3+s_Irr!AO3+s_Irr!BN3)),IF(AND(s_Irr!P3&lt;&gt;".",s_Irr!AO3&lt;&gt;".",s_Irr!BN3="."),s_dir!AQ3/((1/1000)*(s_Irr!P3+s_Irr!AO3)),IF(AND(s_Irr!P3&lt;&gt;".",s_Irr!AO3=".",s_Irr!BN3&lt;&gt;"."),s_dir!AQ3/((1/1000)*(s_Irr!P3+s_Irr!BN3)),IF(AND(s_Irr!P3=".",s_Irr!AO3&lt;&gt;".",s_Irr!BN3&lt;&gt;"."),s_dir!AQ3/((1/1000)*(s_Irr!AO3+s_Irr!BN3)),IF(AND(s_Irr!P3=".",s_Irr!AO3=".",s_Irr!BN3&lt;&gt;"."),s_dir!AQ3/((1/1000)*(s_Irr!BN3)),IF(AND(s_Irr!P3=".",s_Irr!AO3&lt;&gt;".",s_Irr!BN3="."),s_dir!AQ3/((1/1000)*(s_Irr!AO3)),IF(AND(s_Irr!P3&lt;&gt;".",s_Irr!AO3=".",s_Irr!BN3="."),s_dir!AQ3/((1/1000)*(s_Irr!P3)),IF(AND(s_Irr!P3=".",s_Irr!AO3=".",s_Irr!BN3="."),s_dir!AQ3*1000)))))))),".")</f>
        <v>317.33172401136619</v>
      </c>
      <c r="BR3" s="70">
        <f>IFERROR(IF(AND(s_Irr!Q3&lt;&gt;".",s_Irr!AP3&lt;&gt;".",s_Irr!BO3&lt;&gt;"."),s_dir!AR3/((1/1000)*(s_Irr!Q3+s_Irr!AP3+s_Irr!BO3)),IF(AND(s_Irr!Q3&lt;&gt;".",s_Irr!AP3&lt;&gt;".",s_Irr!BO3="."),s_dir!AR3/((1/1000)*(s_Irr!Q3+s_Irr!AP3)),IF(AND(s_Irr!Q3&lt;&gt;".",s_Irr!AP3=".",s_Irr!BO3&lt;&gt;"."),s_dir!AR3/((1/1000)*(s_Irr!Q3+s_Irr!BO3)),IF(AND(s_Irr!Q3=".",s_Irr!AP3&lt;&gt;".",s_Irr!BO3&lt;&gt;"."),s_dir!AR3/((1/1000)*(s_Irr!AP3+s_Irr!BO3)),IF(AND(s_Irr!Q3=".",s_Irr!AP3=".",s_Irr!BO3&lt;&gt;"."),s_dir!AR3/((1/1000)*(s_Irr!BO3)),IF(AND(s_Irr!Q3=".",s_Irr!AP3&lt;&gt;".",s_Irr!BO3="."),s_dir!AR3/((1/1000)*(s_Irr!AP3)),IF(AND(s_Irr!Q3&lt;&gt;".",s_Irr!AP3=".",s_Irr!BO3="."),s_dir!AR3/((1/1000)*(s_Irr!Q3)),IF(AND(s_Irr!Q3=".",s_Irr!AP3=".",s_Irr!BO3="."),s_dir!AR3*1000)))))))),".")</f>
        <v>320.77457157279218</v>
      </c>
      <c r="BS3" s="70">
        <f>IFERROR(IF(AND(s_Irr!R3&lt;&gt;".",s_Irr!AQ3&lt;&gt;".",s_Irr!BP3&lt;&gt;"."),s_dir!AS3/((1/1000)*(s_Irr!R3+s_Irr!AQ3+s_Irr!BP3)),IF(AND(s_Irr!R3&lt;&gt;".",s_Irr!AQ3&lt;&gt;".",s_Irr!BP3="."),s_dir!AS3/((1/1000)*(s_Irr!R3+s_Irr!AQ3)),IF(AND(s_Irr!R3&lt;&gt;".",s_Irr!AQ3=".",s_Irr!BP3&lt;&gt;"."),s_dir!AS3/((1/1000)*(s_Irr!R3+s_Irr!BP3)),IF(AND(s_Irr!R3=".",s_Irr!AQ3&lt;&gt;".",s_Irr!BP3&lt;&gt;"."),s_dir!AS3/((1/1000)*(s_Irr!AQ3+s_Irr!BP3)),IF(AND(s_Irr!R3=".",s_Irr!AQ3=".",s_Irr!BP3&lt;&gt;"."),s_dir!AS3/((1/1000)*(s_Irr!BP3)),IF(AND(s_Irr!R3=".",s_Irr!AQ3&lt;&gt;".",s_Irr!BP3="."),s_dir!AS3/((1/1000)*(s_Irr!AQ3)),IF(AND(s_Irr!R3&lt;&gt;".",s_Irr!AQ3=".",s_Irr!BP3="."),s_dir!AS3/((1/1000)*(s_Irr!R3)),IF(AND(s_Irr!R3=".",s_Irr!AQ3=".",s_Irr!BP3="."),s_dir!AS3*1000)))))))),".")</f>
        <v>320.77457157279218</v>
      </c>
      <c r="BT3" s="70">
        <f>IFERROR(IF(AND(s_Irr!S3&lt;&gt;".",s_Irr!AR3&lt;&gt;".",s_Irr!BQ3&lt;&gt;"."),s_dir!AT3/((1/1000)*(s_Irr!S3+s_Irr!AR3+s_Irr!BQ3)),IF(AND(s_Irr!S3&lt;&gt;".",s_Irr!AR3&lt;&gt;".",s_Irr!BQ3="."),s_dir!AT3/((1/1000)*(s_Irr!S3+s_Irr!AR3)),IF(AND(s_Irr!S3&lt;&gt;".",s_Irr!AR3=".",s_Irr!BQ3&lt;&gt;"."),s_dir!AT3/((1/1000)*(s_Irr!S3+s_Irr!BQ3)),IF(AND(s_Irr!S3=".",s_Irr!AR3&lt;&gt;".",s_Irr!BQ3&lt;&gt;"."),s_dir!AT3/((1/1000)*(s_Irr!AR3+s_Irr!BQ3)),IF(AND(s_Irr!S3=".",s_Irr!AR3=".",s_Irr!BQ3&lt;&gt;"."),s_dir!AT3/((1/1000)*(s_Irr!BQ3)),IF(AND(s_Irr!S3=".",s_Irr!AR3&lt;&gt;".",s_Irr!BQ3="."),s_dir!AT3/((1/1000)*(s_Irr!AR3)),IF(AND(s_Irr!S3&lt;&gt;".",s_Irr!AR3=".",s_Irr!BQ3="."),s_dir!AT3/((1/1000)*(s_Irr!S3)),IF(AND(s_Irr!S3=".",s_Irr!AR3=".",s_Irr!BQ3="."),s_dir!AT3*1000)))))))),".")</f>
        <v>318.88500166154716</v>
      </c>
      <c r="BU3" s="70">
        <f>IFERROR(IF(AND(s_Irr!T3&lt;&gt;".",s_Irr!AS3&lt;&gt;".",s_Irr!BR3&lt;&gt;"."),s_dir!AU3/((1/1000)*(s_Irr!T3+s_Irr!AS3+s_Irr!BR3)),IF(AND(s_Irr!T3&lt;&gt;".",s_Irr!AS3&lt;&gt;".",s_Irr!BR3="."),s_dir!AU3/((1/1000)*(s_Irr!T3+s_Irr!AS3)),IF(AND(s_Irr!T3&lt;&gt;".",s_Irr!AS3=".",s_Irr!BR3&lt;&gt;"."),s_dir!AU3/((1/1000)*(s_Irr!T3+s_Irr!BR3)),IF(AND(s_Irr!T3=".",s_Irr!AS3&lt;&gt;".",s_Irr!BR3&lt;&gt;"."),s_dir!AU3/((1/1000)*(s_Irr!AS3+s_Irr!BR3)),IF(AND(s_Irr!T3=".",s_Irr!AS3=".",s_Irr!BR3&lt;&gt;"."),s_dir!AU3/((1/1000)*(s_Irr!BR3)),IF(AND(s_Irr!T3=".",s_Irr!AS3&lt;&gt;".",s_Irr!BR3="."),s_dir!AU3/((1/1000)*(s_Irr!AS3)),IF(AND(s_Irr!T3&lt;&gt;".",s_Irr!AS3=".",s_Irr!BR3="."),s_dir!AU3/((1/1000)*(s_Irr!T3)),IF(AND(s_Irr!T3=".",s_Irr!AS3=".",s_Irr!BR3="."),s_dir!AU3*1000)))))))),".")</f>
        <v>318.9926849535459</v>
      </c>
      <c r="BV3" s="70">
        <f>IFERROR(IF(AND(s_Irr!U3&lt;&gt;".",s_Irr!AT3&lt;&gt;".",s_Irr!BS3&lt;&gt;"."),s_dir!AV3/((1/1000)*(s_Irr!U3+s_Irr!AT3+s_Irr!BS3)),IF(AND(s_Irr!U3&lt;&gt;".",s_Irr!AT3&lt;&gt;".",s_Irr!BS3="."),s_dir!AV3/((1/1000)*(s_Irr!U3+s_Irr!AT3)),IF(AND(s_Irr!U3&lt;&gt;".",s_Irr!AT3=".",s_Irr!BS3&lt;&gt;"."),s_dir!AV3/((1/1000)*(s_Irr!U3+s_Irr!BS3)),IF(AND(s_Irr!U3=".",s_Irr!AT3&lt;&gt;".",s_Irr!BS3&lt;&gt;"."),s_dir!AV3/((1/1000)*(s_Irr!AT3+s_Irr!BS3)),IF(AND(s_Irr!U3=".",s_Irr!AT3=".",s_Irr!BS3&lt;&gt;"."),s_dir!AV3/((1/1000)*(s_Irr!BS3)),IF(AND(s_Irr!U3=".",s_Irr!AT3&lt;&gt;".",s_Irr!BS3="."),s_dir!AV3/((1/1000)*(s_Irr!AT3)),IF(AND(s_Irr!U3&lt;&gt;".",s_Irr!AT3=".",s_Irr!BS3="."),s_dir!AV3/((1/1000)*(s_Irr!U3)),IF(AND(s_Irr!U3=".",s_Irr!AT3=".",s_Irr!BS3="."),s_dir!AV3*1000)))))))),".")</f>
        <v>319.80263368598327</v>
      </c>
      <c r="BW3" s="70">
        <f>IFERROR(IF(AND(s_Irr!V3&lt;&gt;".",s_Irr!AU3&lt;&gt;".",s_Irr!BT3&lt;&gt;"."),s_dir!AW3/((1/1000)*(s_Irr!V3+s_Irr!AU3+s_Irr!BT3)),IF(AND(s_Irr!V3&lt;&gt;".",s_Irr!AU3&lt;&gt;".",s_Irr!BT3="."),s_dir!AW3/((1/1000)*(s_Irr!V3+s_Irr!AU3)),IF(AND(s_Irr!V3&lt;&gt;".",s_Irr!AU3=".",s_Irr!BT3&lt;&gt;"."),s_dir!AW3/((1/1000)*(s_Irr!V3+s_Irr!BT3)),IF(AND(s_Irr!V3=".",s_Irr!AU3&lt;&gt;".",s_Irr!BT3&lt;&gt;"."),s_dir!AW3/((1/1000)*(s_Irr!AU3+s_Irr!BT3)),IF(AND(s_Irr!V3=".",s_Irr!AU3=".",s_Irr!BT3&lt;&gt;"."),s_dir!AW3/((1/1000)*(s_Irr!BT3)),IF(AND(s_Irr!V3=".",s_Irr!AU3&lt;&gt;".",s_Irr!BT3="."),s_dir!AW3/((1/1000)*(s_Irr!AU3)),IF(AND(s_Irr!V3&lt;&gt;".",s_Irr!AU3=".",s_Irr!BT3="."),s_dir!AW3/((1/1000)*(s_Irr!V3)),IF(AND(s_Irr!V3=".",s_Irr!AU3=".",s_Irr!BT3="."),s_dir!AW3*1000)))))))),".")</f>
        <v>318.9926849535459</v>
      </c>
      <c r="BX3" s="70">
        <f>IFERROR(IF(AND(s_Irr!W3&lt;&gt;".",s_Irr!AV3&lt;&gt;".",s_Irr!BU3&lt;&gt;"."),s_dir!AX3/((1/1000)*(s_Irr!W3+s_Irr!AV3+s_Irr!BU3)),IF(AND(s_Irr!W3&lt;&gt;".",s_Irr!AV3&lt;&gt;".",s_Irr!BU3="."),s_dir!AX3/((1/1000)*(s_Irr!W3+s_Irr!AV3)),IF(AND(s_Irr!W3&lt;&gt;".",s_Irr!AV3=".",s_Irr!BU3&lt;&gt;"."),s_dir!AX3/((1/1000)*(s_Irr!W3+s_Irr!BU3)),IF(AND(s_Irr!W3=".",s_Irr!AV3&lt;&gt;".",s_Irr!BU3&lt;&gt;"."),s_dir!AX3/((1/1000)*(s_Irr!AV3+s_Irr!BU3)),IF(AND(s_Irr!W3=".",s_Irr!AV3=".",s_Irr!BU3&lt;&gt;"."),s_dir!AX3/((1/1000)*(s_Irr!BU3)),IF(AND(s_Irr!W3=".",s_Irr!AV3&lt;&gt;".",s_Irr!BU3="."),s_dir!AX3/((1/1000)*(s_Irr!AV3)),IF(AND(s_Irr!W3&lt;&gt;".",s_Irr!AV3=".",s_Irr!BU3="."),s_dir!AX3/((1/1000)*(s_Irr!W3)),IF(AND(s_Irr!W3=".",s_Irr!AV3=".",s_Irr!BU3="."),s_dir!AX3*1000)))))))),".")</f>
        <v>318.88500166154716</v>
      </c>
      <c r="BY3" s="70">
        <f>IFERROR(IF(AND(s_Irr!X3&lt;&gt;".",s_Irr!AW3&lt;&gt;".",s_Irr!BV3&lt;&gt;"."),s_dir!AY3/((1/1000)*(s_Irr!X3+s_Irr!AW3+s_Irr!BV3)),IF(AND(s_Irr!X3&lt;&gt;".",s_Irr!AW3&lt;&gt;".",s_Irr!BV3="."),s_dir!AY3/((1/1000)*(s_Irr!X3+s_Irr!AW3)),IF(AND(s_Irr!X3&lt;&gt;".",s_Irr!AW3=".",s_Irr!BV3&lt;&gt;"."),s_dir!AY3/((1/1000)*(s_Irr!X3+s_Irr!BV3)),IF(AND(s_Irr!X3=".",s_Irr!AW3&lt;&gt;".",s_Irr!BV3&lt;&gt;"."),s_dir!AY3/((1/1000)*(s_Irr!AW3+s_Irr!BV3)),IF(AND(s_Irr!X3=".",s_Irr!AW3=".",s_Irr!BV3&lt;&gt;"."),s_dir!AY3/((1/1000)*(s_Irr!BV3)),IF(AND(s_Irr!X3=".",s_Irr!AW3&lt;&gt;".",s_Irr!BV3="."),s_dir!AY3/((1/1000)*(s_Irr!AW3)),IF(AND(s_Irr!X3&lt;&gt;".",s_Irr!AW3=".",s_Irr!BV3="."),s_dir!AY3/((1/1000)*(s_Irr!X3)),IF(AND(s_Irr!X3=".",s_Irr!AW3=".",s_Irr!BV3="."),s_dir!AY3*1000)))))))),".")</f>
        <v>320.34488841166677</v>
      </c>
      <c r="BZ3" s="70">
        <f>IFERROR(IF(AND(s_Irr!Y3&lt;&gt;".",s_Irr!AX3&lt;&gt;".",s_Irr!BW3&lt;&gt;"."),s_dir!AZ3/((1/1000)*(s_Irr!Y3+s_Irr!AX3+s_Irr!BW3)),IF(AND(s_Irr!Y3&lt;&gt;".",s_Irr!AX3&lt;&gt;".",s_Irr!BW3="."),s_dir!AZ3/((1/1000)*(s_Irr!Y3+s_Irr!AX3)),IF(AND(s_Irr!Y3&lt;&gt;".",s_Irr!AX3=".",s_Irr!BW3&lt;&gt;"."),s_dir!AZ3/((1/1000)*(s_Irr!Y3+s_Irr!BW3)),IF(AND(s_Irr!Y3=".",s_Irr!AX3&lt;&gt;".",s_Irr!BW3&lt;&gt;"."),s_dir!AZ3/((1/1000)*(s_Irr!AX3+s_Irr!BW3)),IF(AND(s_Irr!Y3=".",s_Irr!AX3=".",s_Irr!BW3&lt;&gt;"."),s_dir!AZ3/((1/1000)*(s_Irr!BW3)),IF(AND(s_Irr!Y3=".",s_Irr!AX3&lt;&gt;".",s_Irr!BW3="."),s_dir!AZ3/((1/1000)*(s_Irr!AX3)),IF(AND(s_Irr!Y3&lt;&gt;".",s_Irr!AX3=".",s_Irr!BW3="."),s_dir!AZ3/((1/1000)*(s_Irr!Y3)),IF(AND(s_Irr!Y3=".",s_Irr!AX3=".",s_Irr!BW3="."),s_dir!AZ3*1000)))))))),".")</f>
        <v>318.9926849535459</v>
      </c>
      <c r="CA3" s="70">
        <f>IFERROR(IF(AND(s_Irr!Z3&lt;&gt;".",s_Irr!AY3&lt;&gt;".",s_Irr!BX3&lt;&gt;"."),s_dir!BA3/((1/1000)*(s_Irr!Z3+s_Irr!AY3+s_Irr!BX3)),IF(AND(s_Irr!Z3&lt;&gt;".",s_Irr!AY3&lt;&gt;".",s_Irr!BX3="."),s_dir!BA3/((1/1000)*(s_Irr!Z3+s_Irr!AY3)),IF(AND(s_Irr!Z3&lt;&gt;".",s_Irr!AY3=".",s_Irr!BX3&lt;&gt;"."),s_dir!BA3/((1/1000)*(s_Irr!Z3+s_Irr!BX3)),IF(AND(s_Irr!Z3=".",s_Irr!AY3&lt;&gt;".",s_Irr!BX3&lt;&gt;"."),s_dir!BA3/((1/1000)*(s_Irr!AY3+s_Irr!BX3)),IF(AND(s_Irr!Z3=".",s_Irr!AY3=".",s_Irr!BX3&lt;&gt;"."),s_dir!BA3/((1/1000)*(s_Irr!BX3)),IF(AND(s_Irr!Z3=".",s_Irr!AY3&lt;&gt;".",s_Irr!BX3="."),s_dir!BA3/((1/1000)*(s_Irr!AY3)),IF(AND(s_Irr!Z3&lt;&gt;".",s_Irr!AY3=".",s_Irr!BX3="."),s_dir!BA3/((1/1000)*(s_Irr!Z3)),IF(AND(s_Irr!Z3=".",s_Irr!AY3=".",s_Irr!BX3="."),s_dir!BA3*1000)))))))),".")</f>
        <v>315.58250631235398</v>
      </c>
      <c r="CB3" s="70">
        <f>IFERROR(IF(AND(s_Irr!AA3&lt;&gt;".",s_Irr!AZ3&lt;&gt;".",s_Irr!BY3&lt;&gt;"."),s_dir!BB3/((1/1000)*(s_Irr!AA3+s_Irr!AZ3+s_Irr!BY3)),IF(AND(s_Irr!AA3&lt;&gt;".",s_Irr!AZ3&lt;&gt;".",s_Irr!BY3="."),s_dir!BB3/((1/1000)*(s_Irr!AA3+s_Irr!AZ3)),IF(AND(s_Irr!AA3&lt;&gt;".",s_Irr!AZ3=".",s_Irr!BY3&lt;&gt;"."),s_dir!BB3/((1/1000)*(s_Irr!AA3+s_Irr!BY3)),IF(AND(s_Irr!AA3=".",s_Irr!AZ3&lt;&gt;".",s_Irr!BY3&lt;&gt;"."),s_dir!BB3/((1/1000)*(s_Irr!AZ3+s_Irr!BY3)),IF(AND(s_Irr!AA3=".",s_Irr!AZ3=".",s_Irr!BY3&lt;&gt;"."),s_dir!BB3/((1/1000)*(s_Irr!BY3)),IF(AND(s_Irr!AA3=".",s_Irr!AZ3&lt;&gt;".",s_Irr!BY3="."),s_dir!BB3/((1/1000)*(s_Irr!AZ3)),IF(AND(s_Irr!AA3&lt;&gt;".",s_Irr!AZ3=".",s_Irr!BY3="."),s_dir!BB3/((1/1000)*(s_Irr!AA3)),IF(AND(s_Irr!AA3=".",s_Irr!AZ3=".",s_Irr!BY3="."),s_dir!BB3*1000)))))))),".")</f>
        <v>320.82359596931764</v>
      </c>
      <c r="CC3" s="87">
        <f t="shared" ref="CC3:CC30" si="2">SUM(CD3,CU3,DA3:DB3)</f>
        <v>355.951719922763</v>
      </c>
      <c r="CD3" s="87">
        <f>IFERROR(s_C*s_IFAP_far_adj*s_CF_apple*(1/1000)*(s_Irr!C3+s_Irr!AB3+s_Irr!BA3),".")</f>
        <v>88.503693210123544</v>
      </c>
      <c r="CE3" s="87">
        <f>IFERROR(s_C*s_IFAS_far_adj*s_CF_asparagus*(1/1000)*(s_Irr!D3+s_Irr!AC3+s_Irr!BB3),".")</f>
        <v>88.862832351056241</v>
      </c>
      <c r="CF3" s="87">
        <f>IFERROR(s_C*s_IFBT_far_adj*s_CF_beet*(1/1000)*(s_Irr!E3+s_Irr!AD3+s_Irr!BC3),".")</f>
        <v>89.463902042993809</v>
      </c>
      <c r="CG3" s="87">
        <f>IFERROR(s_C*s_IFBE_far_adj*s_CF_berries*(1/1000)*(s_Irr!F3+s_Irr!AE3+s_Irr!BD3),".")</f>
        <v>89.65924969287353</v>
      </c>
      <c r="CH3" s="87">
        <f>IFERROR(s_C*s_IFBR_far_adj*s_CF_broccoli*(1/1000)*(s_Irr!G3+s_Irr!AF3+s_Irr!BE3),".")</f>
        <v>88.998073031742194</v>
      </c>
      <c r="CI3" s="87">
        <f>IFERROR(s_C*s_IFCB_far_adj*s_CF_cabbage*(1/1000)*(s_Irr!H3+s_Irr!AG3+s_Irr!BF3),".")</f>
        <v>88.862832351056241</v>
      </c>
      <c r="CJ3" s="87">
        <f>IFERROR(s_C*s_IFCR_far_adj*s_CF_carrot*(1/1000)*(s_Irr!I3+s_Irr!AH3+s_Irr!BG3),".")</f>
        <v>89.463902042993809</v>
      </c>
      <c r="CK3" s="87">
        <f>IFERROR(s_C*s_IFCI_far_adj*s_CF_citrus*(1/1000)*(s_Irr!J3+s_Irr!AI3+s_Irr!BH3),".")</f>
        <v>88.503693210123544</v>
      </c>
      <c r="CL3" s="87">
        <f>IFERROR(s_C*s_IFCO_far_adj*s_CF_corn*(1/1000)*(s_Irr!K3+s_Irr!AJ3+s_Irr!BI3),".")</f>
        <v>88.532244020490566</v>
      </c>
      <c r="CM3" s="87">
        <f>IFERROR(s_C*s_IFCU_far_adj*s_CF_cucumber*(1/1000)*(s_Irr!L3+s_Irr!AK3+s_Irr!BJ3),".")</f>
        <v>88.998073031742194</v>
      </c>
      <c r="CN3" s="87">
        <f>IFERROR(s_C*s_IFLE_far_adj*s_CF_lettuce*(1/1000)*(s_Irr!M3+s_Irr!AL3+s_Irr!BK3),".")</f>
        <v>88.862832351056241</v>
      </c>
      <c r="CO3" s="87">
        <f>IFERROR(s_C*s_IFLI_far_adj*s_CF_lima_bean*(1/1000)*(s_Irr!N3+s_Irr!AM3+s_Irr!BL3),".")</f>
        <v>89.028126516339057</v>
      </c>
      <c r="CP3" s="87">
        <f>IFERROR(s_C*s_IFOK_far_adj*s_CF_okra*(1/1000)*(s_Irr!O3+s_Irr!AN3+s_Irr!BM3),".")</f>
        <v>88.998073031742194</v>
      </c>
      <c r="CQ3" s="87">
        <f>IFERROR(s_C*s_IFON_far_adj*s_CF_onion*(1/1000)*(s_Irr!P3+s_Irr!AO3+s_Irr!BN3),".")</f>
        <v>89.463902042993809</v>
      </c>
      <c r="CR3" s="87">
        <f>IFERROR(s_C*s_IFPC_far_adj*s_CF_peach*(1/1000)*(s_Irr!Q3+s_Irr!AP3+s_Irr!BO3),".")</f>
        <v>88.503693210123544</v>
      </c>
      <c r="CS3" s="87">
        <f>IFERROR(s_C*s_IFPR_far_adj*s_CF_pear*(1/1000)*(s_Irr!R3+s_Irr!AQ3+s_Irr!BP3),".")</f>
        <v>88.503693210123544</v>
      </c>
      <c r="CT3" s="87">
        <f>IFERROR(s_C*s_IFPE_far_adj*s_CF_peas*(1/1000)*(s_Irr!S3+s_Irr!AR3+s_Irr!BQ3),".")</f>
        <v>89.028126516339057</v>
      </c>
      <c r="CU3" s="87">
        <f>IFERROR(s_C*s_IFPP_far_adj*s_CF_peppers*(1/1000)*(s_Irr!T3+s_Irr!AS3+s_Irr!BR3),".")</f>
        <v>88.998073031742194</v>
      </c>
      <c r="CV3" s="87">
        <f>IFERROR(s_C*s_IFPT_far_adj*s_CF_potato*(1/1000)*(s_Irr!U3+s_Irr!AT3+s_Irr!BS3),".")</f>
        <v>88.772671897265596</v>
      </c>
      <c r="CW3" s="87">
        <f>IFERROR(s_C*s_IFPU_far_adj*s_CF_pumpkin*(1/1000)*(s_Irr!V3+s_Irr!AU3+s_Irr!BT3),".")</f>
        <v>88.998073031742194</v>
      </c>
      <c r="CX3" s="87">
        <f>IFERROR(s_C*s_IFSN_far_adj*s_CF_snap_bean*(1/1000)*(s_Irr!W3+s_Irr!AV3+s_Irr!BU3),".")</f>
        <v>89.028126516339057</v>
      </c>
      <c r="CY3" s="87">
        <f>IFERROR(s_C*s_IFST_far_adj*s_CF_strawberry*(1/1000)*(s_Irr!X3+s_Irr!AW3+s_Irr!BV3),".")</f>
        <v>88.622404474281197</v>
      </c>
      <c r="CZ3" s="87">
        <f>IFERROR(s_C*s_IFTO_far_adj*s_CF_tomato*(1/1000)*(s_Irr!Y3+s_Irr!AX3+s_Irr!BW3),".")</f>
        <v>88.998073031742194</v>
      </c>
      <c r="DA3" s="87">
        <f>IFERROR(s_C*s_IFRI_far_adj*s_CF_rice*(1/1000)*(s_Irr!Z3+s_Irr!AY3+s_Irr!BX3),".")</f>
        <v>89.959784538842314</v>
      </c>
      <c r="DB3" s="87">
        <f>IFERROR(s_C*s_IFCG_far_adj*s_CF_cereal*(1/1000)*(s_Irr!AA3+s_Irr!AZ3+s_Irr!BY3),".")</f>
        <v>88.490169142054938</v>
      </c>
    </row>
    <row r="4" spans="1:106" ht="15" customHeight="1" x14ac:dyDescent="0.25">
      <c r="A4" s="86" t="s">
        <v>2</v>
      </c>
      <c r="B4" s="84" t="s">
        <v>1057</v>
      </c>
      <c r="C4" s="15" t="str">
        <f t="shared" ref="C4:C30" si="3">IFERROR(1/SUM(1/D4,1/U4,1/AA4,1/AB4),".")</f>
        <v>.</v>
      </c>
      <c r="D4" s="70" t="str">
        <f>IFERROR(IF(AND(s_Irr!C4&lt;&gt;".",s_Irr!AB4&lt;&gt;".",s_Irr!BA4&lt;&gt;"."),s_dir!D4/((1/1000)*(s_Irr!C4+s_Irr!AB4+s_Irr!BA4)),IF(AND(s_Irr!C4&lt;&gt;".",s_Irr!AB4&lt;&gt;".",s_Irr!BA4="."),s_dir!D4/((1/1000)*(s_Irr!C4+s_Irr!AB4)),IF(AND(s_Irr!C4&lt;&gt;".",s_Irr!AB4=".",s_Irr!BA4&lt;&gt;"."),s_dir!D4/((1/1000)*(s_Irr!C4+s_Irr!BA4)),IF(AND(s_Irr!C4=".",s_Irr!AB4&lt;&gt;".",s_Irr!BA4&lt;&gt;"."),s_dir!D4/((1/1000)*(s_Irr!AB4+s_Irr!BA4)),IF(AND(s_Irr!C4=".",s_Irr!AB4=".",s_Irr!BA4&lt;&gt;"."),s_dir!D4/((1/1000)*(s_Irr!BA4)),IF(AND(s_Irr!C4=".",s_Irr!AB4&lt;&gt;".",s_Irr!BA4="."),s_dir!D4/((1/1000)*(s_Irr!AB4)),IF(AND(s_Irr!C4&lt;&gt;".",s_Irr!AB4=".",s_Irr!BA4="."),s_dir!D4/((1/1000)*(s_Irr!C4)),IF(AND(s_Irr!C4=".",s_Irr!AB4=".",s_Irr!BA4="."),s_dir!D4*1000)))))))),".")</f>
        <v>.</v>
      </c>
      <c r="E4" s="70" t="str">
        <f>IFERROR(IF(AND(s_Irr!D4&lt;&gt;".",s_Irr!AC4&lt;&gt;".",s_Irr!BB4&lt;&gt;"."),s_dir!E4/((1/1000)*(s_Irr!D4+s_Irr!AC4+s_Irr!BB4)),IF(AND(s_Irr!D4&lt;&gt;".",s_Irr!AC4&lt;&gt;".",s_Irr!BB4="."),s_dir!E4/((1/1000)*(s_Irr!D4+s_Irr!AC4)),IF(AND(s_Irr!D4&lt;&gt;".",s_Irr!AC4=".",s_Irr!BB4&lt;&gt;"."),s_dir!E4/((1/1000)*(s_Irr!D4+s_Irr!BB4)),IF(AND(s_Irr!D4=".",s_Irr!AC4&lt;&gt;".",s_Irr!BB4&lt;&gt;"."),s_dir!E4/((1/1000)*(s_Irr!AC4+s_Irr!BB4)),IF(AND(s_Irr!D4=".",s_Irr!AC4=".",s_Irr!BB4&lt;&gt;"."),s_dir!E4/((1/1000)*(s_Irr!BB4)),IF(AND(s_Irr!D4=".",s_Irr!AC4&lt;&gt;".",s_Irr!BB4="."),s_dir!E4/((1/1000)*(s_Irr!AC4)),IF(AND(s_Irr!D4&lt;&gt;".",s_Irr!AC4=".",s_Irr!BB4="."),s_dir!E4/((1/1000)*(s_Irr!D4)),IF(AND(s_Irr!D4=".",s_Irr!AC4=".",s_Irr!BB4="."),s_dir!E4*1000)))))))),".")</f>
        <v>.</v>
      </c>
      <c r="F4" s="70" t="str">
        <f>IFERROR(IF(AND(s_Irr!E4&lt;&gt;".",s_Irr!AD4&lt;&gt;".",s_Irr!BC4&lt;&gt;"."),s_dir!F4/((1/1000)*(s_Irr!E4+s_Irr!AD4+s_Irr!BC4)),IF(AND(s_Irr!E4&lt;&gt;".",s_Irr!AD4&lt;&gt;".",s_Irr!BC4="."),s_dir!F4/((1/1000)*(s_Irr!E4+s_Irr!AD4)),IF(AND(s_Irr!E4&lt;&gt;".",s_Irr!AD4=".",s_Irr!BC4&lt;&gt;"."),s_dir!F4/((1/1000)*(s_Irr!E4+s_Irr!BC4)),IF(AND(s_Irr!E4=".",s_Irr!AD4&lt;&gt;".",s_Irr!BC4&lt;&gt;"."),s_dir!F4/((1/1000)*(s_Irr!AD4+s_Irr!BC4)),IF(AND(s_Irr!E4=".",s_Irr!AD4=".",s_Irr!BC4&lt;&gt;"."),s_dir!F4/((1/1000)*(s_Irr!BC4)),IF(AND(s_Irr!E4=".",s_Irr!AD4&lt;&gt;".",s_Irr!BC4="."),s_dir!F4/((1/1000)*(s_Irr!AD4)),IF(AND(s_Irr!E4&lt;&gt;".",s_Irr!AD4=".",s_Irr!BC4="."),s_dir!F4/((1/1000)*(s_Irr!E4)),IF(AND(s_Irr!E4=".",s_Irr!AD4=".",s_Irr!BC4="."),s_dir!F4*1000)))))))),".")</f>
        <v>.</v>
      </c>
      <c r="G4" s="70" t="str">
        <f>IFERROR(IF(AND(s_Irr!F4&lt;&gt;".",s_Irr!AE4&lt;&gt;".",s_Irr!BD4&lt;&gt;"."),s_dir!G4/((1/1000)*(s_Irr!F4+s_Irr!AE4+s_Irr!BD4)),IF(AND(s_Irr!F4&lt;&gt;".",s_Irr!AE4&lt;&gt;".",s_Irr!BD4="."),s_dir!G4/((1/1000)*(s_Irr!F4+s_Irr!AE4)),IF(AND(s_Irr!F4&lt;&gt;".",s_Irr!AE4=".",s_Irr!BD4&lt;&gt;"."),s_dir!G4/((1/1000)*(s_Irr!F4+s_Irr!BD4)),IF(AND(s_Irr!F4=".",s_Irr!AE4&lt;&gt;".",s_Irr!BD4&lt;&gt;"."),s_dir!G4/((1/1000)*(s_Irr!AE4+s_Irr!BD4)),IF(AND(s_Irr!F4=".",s_Irr!AE4=".",s_Irr!BD4&lt;&gt;"."),s_dir!G4/((1/1000)*(s_Irr!BD4)),IF(AND(s_Irr!F4=".",s_Irr!AE4&lt;&gt;".",s_Irr!BD4="."),s_dir!G4/((1/1000)*(s_Irr!AE4)),IF(AND(s_Irr!F4&lt;&gt;".",s_Irr!AE4=".",s_Irr!BD4="."),s_dir!G4/((1/1000)*(s_Irr!F4)),IF(AND(s_Irr!F4=".",s_Irr!AE4=".",s_Irr!BD4="."),s_dir!G4*1000)))))))),".")</f>
        <v>.</v>
      </c>
      <c r="H4" s="70" t="str">
        <f>IFERROR(IF(AND(s_Irr!G4&lt;&gt;".",s_Irr!AF4&lt;&gt;".",s_Irr!BE4&lt;&gt;"."),s_dir!H4/((1/1000)*(s_Irr!G4+s_Irr!AF4+s_Irr!BE4)),IF(AND(s_Irr!G4&lt;&gt;".",s_Irr!AF4&lt;&gt;".",s_Irr!BE4="."),s_dir!H4/((1/1000)*(s_Irr!G4+s_Irr!AF4)),IF(AND(s_Irr!G4&lt;&gt;".",s_Irr!AF4=".",s_Irr!BE4&lt;&gt;"."),s_dir!H4/((1/1000)*(s_Irr!G4+s_Irr!BE4)),IF(AND(s_Irr!G4=".",s_Irr!AF4&lt;&gt;".",s_Irr!BE4&lt;&gt;"."),s_dir!H4/((1/1000)*(s_Irr!AF4+s_Irr!BE4)),IF(AND(s_Irr!G4=".",s_Irr!AF4=".",s_Irr!BE4&lt;&gt;"."),s_dir!H4/((1/1000)*(s_Irr!BE4)),IF(AND(s_Irr!G4=".",s_Irr!AF4&lt;&gt;".",s_Irr!BE4="."),s_dir!H4/((1/1000)*(s_Irr!AF4)),IF(AND(s_Irr!G4&lt;&gt;".",s_Irr!AF4=".",s_Irr!BE4="."),s_dir!H4/((1/1000)*(s_Irr!G4)),IF(AND(s_Irr!G4=".",s_Irr!AF4=".",s_Irr!BE4="."),s_dir!H4*1000)))))))),".")</f>
        <v>.</v>
      </c>
      <c r="I4" s="70" t="str">
        <f>IFERROR(IF(AND(s_Irr!H4&lt;&gt;".",s_Irr!AG4&lt;&gt;".",s_Irr!BF4&lt;&gt;"."),s_dir!I4/((1/1000)*(s_Irr!H4+s_Irr!AG4+s_Irr!BF4)),IF(AND(s_Irr!H4&lt;&gt;".",s_Irr!AG4&lt;&gt;".",s_Irr!BF4="."),s_dir!I4/((1/1000)*(s_Irr!H4+s_Irr!AG4)),IF(AND(s_Irr!H4&lt;&gt;".",s_Irr!AG4=".",s_Irr!BF4&lt;&gt;"."),s_dir!I4/((1/1000)*(s_Irr!H4+s_Irr!BF4)),IF(AND(s_Irr!H4=".",s_Irr!AG4&lt;&gt;".",s_Irr!BF4&lt;&gt;"."),s_dir!I4/((1/1000)*(s_Irr!AG4+s_Irr!BF4)),IF(AND(s_Irr!H4=".",s_Irr!AG4=".",s_Irr!BF4&lt;&gt;"."),s_dir!I4/((1/1000)*(s_Irr!BF4)),IF(AND(s_Irr!H4=".",s_Irr!AG4&lt;&gt;".",s_Irr!BF4="."),s_dir!I4/((1/1000)*(s_Irr!AG4)),IF(AND(s_Irr!H4&lt;&gt;".",s_Irr!AG4=".",s_Irr!BF4="."),s_dir!I4/((1/1000)*(s_Irr!H4)),IF(AND(s_Irr!H4=".",s_Irr!AG4=".",s_Irr!BF4="."),s_dir!I4*1000)))))))),".")</f>
        <v>.</v>
      </c>
      <c r="J4" s="70" t="str">
        <f>IFERROR(IF(AND(s_Irr!I4&lt;&gt;".",s_Irr!AH4&lt;&gt;".",s_Irr!BG4&lt;&gt;"."),s_dir!J4/((1/1000)*(s_Irr!I4+s_Irr!AH4+s_Irr!BG4)),IF(AND(s_Irr!I4&lt;&gt;".",s_Irr!AH4&lt;&gt;".",s_Irr!BG4="."),s_dir!J4/((1/1000)*(s_Irr!I4+s_Irr!AH4)),IF(AND(s_Irr!I4&lt;&gt;".",s_Irr!AH4=".",s_Irr!BG4&lt;&gt;"."),s_dir!J4/((1/1000)*(s_Irr!I4+s_Irr!BG4)),IF(AND(s_Irr!I4=".",s_Irr!AH4&lt;&gt;".",s_Irr!BG4&lt;&gt;"."),s_dir!J4/((1/1000)*(s_Irr!AH4+s_Irr!BG4)),IF(AND(s_Irr!I4=".",s_Irr!AH4=".",s_Irr!BG4&lt;&gt;"."),s_dir!J4/((1/1000)*(s_Irr!BG4)),IF(AND(s_Irr!I4=".",s_Irr!AH4&lt;&gt;".",s_Irr!BG4="."),s_dir!J4/((1/1000)*(s_Irr!AH4)),IF(AND(s_Irr!I4&lt;&gt;".",s_Irr!AH4=".",s_Irr!BG4="."),s_dir!J4/((1/1000)*(s_Irr!I4)),IF(AND(s_Irr!I4=".",s_Irr!AH4=".",s_Irr!BG4="."),s_dir!J4*1000)))))))),".")</f>
        <v>.</v>
      </c>
      <c r="K4" s="70" t="str">
        <f>IFERROR(IF(AND(s_Irr!J4&lt;&gt;".",s_Irr!AI4&lt;&gt;".",s_Irr!BH4&lt;&gt;"."),s_dir!K4/((1/1000)*(s_Irr!J4+s_Irr!AI4+s_Irr!BH4)),IF(AND(s_Irr!J4&lt;&gt;".",s_Irr!AI4&lt;&gt;".",s_Irr!BH4="."),s_dir!K4/((1/1000)*(s_Irr!J4+s_Irr!AI4)),IF(AND(s_Irr!J4&lt;&gt;".",s_Irr!AI4=".",s_Irr!BH4&lt;&gt;"."),s_dir!K4/((1/1000)*(s_Irr!J4+s_Irr!BH4)),IF(AND(s_Irr!J4=".",s_Irr!AI4&lt;&gt;".",s_Irr!BH4&lt;&gt;"."),s_dir!K4/((1/1000)*(s_Irr!AI4+s_Irr!BH4)),IF(AND(s_Irr!J4=".",s_Irr!AI4=".",s_Irr!BH4&lt;&gt;"."),s_dir!K4/((1/1000)*(s_Irr!BH4)),IF(AND(s_Irr!J4=".",s_Irr!AI4&lt;&gt;".",s_Irr!BH4="."),s_dir!K4/((1/1000)*(s_Irr!AI4)),IF(AND(s_Irr!J4&lt;&gt;".",s_Irr!AI4=".",s_Irr!BH4="."),s_dir!K4/((1/1000)*(s_Irr!J4)),IF(AND(s_Irr!J4=".",s_Irr!AI4=".",s_Irr!BH4="."),s_dir!K4*1000)))))))),".")</f>
        <v>.</v>
      </c>
      <c r="L4" s="70" t="str">
        <f>IFERROR(IF(AND(s_Irr!K4&lt;&gt;".",s_Irr!AJ4&lt;&gt;".",s_Irr!BI4&lt;&gt;"."),s_dir!L4/((1/1000)*(s_Irr!K4+s_Irr!AJ4+s_Irr!BI4)),IF(AND(s_Irr!K4&lt;&gt;".",s_Irr!AJ4&lt;&gt;".",s_Irr!BI4="."),s_dir!L4/((1/1000)*(s_Irr!K4+s_Irr!AJ4)),IF(AND(s_Irr!K4&lt;&gt;".",s_Irr!AJ4=".",s_Irr!BI4&lt;&gt;"."),s_dir!L4/((1/1000)*(s_Irr!K4+s_Irr!BI4)),IF(AND(s_Irr!K4=".",s_Irr!AJ4&lt;&gt;".",s_Irr!BI4&lt;&gt;"."),s_dir!L4/((1/1000)*(s_Irr!AJ4+s_Irr!BI4)),IF(AND(s_Irr!K4=".",s_Irr!AJ4=".",s_Irr!BI4&lt;&gt;"."),s_dir!L4/((1/1000)*(s_Irr!BI4)),IF(AND(s_Irr!K4=".",s_Irr!AJ4&lt;&gt;".",s_Irr!BI4="."),s_dir!L4/((1/1000)*(s_Irr!AJ4)),IF(AND(s_Irr!K4&lt;&gt;".",s_Irr!AJ4=".",s_Irr!BI4="."),s_dir!L4/((1/1000)*(s_Irr!K4)),IF(AND(s_Irr!K4=".",s_Irr!AJ4=".",s_Irr!BI4="."),s_dir!L4*1000)))))))),".")</f>
        <v>.</v>
      </c>
      <c r="M4" s="70" t="str">
        <f>IFERROR(IF(AND(s_Irr!L4&lt;&gt;".",s_Irr!AK4&lt;&gt;".",s_Irr!BJ4&lt;&gt;"."),s_dir!M4/((1/1000)*(s_Irr!L4+s_Irr!AK4+s_Irr!BJ4)),IF(AND(s_Irr!L4&lt;&gt;".",s_Irr!AK4&lt;&gt;".",s_Irr!BJ4="."),s_dir!M4/((1/1000)*(s_Irr!L4+s_Irr!AK4)),IF(AND(s_Irr!L4&lt;&gt;".",s_Irr!AK4=".",s_Irr!BJ4&lt;&gt;"."),s_dir!M4/((1/1000)*(s_Irr!L4+s_Irr!BJ4)),IF(AND(s_Irr!L4=".",s_Irr!AK4&lt;&gt;".",s_Irr!BJ4&lt;&gt;"."),s_dir!M4/((1/1000)*(s_Irr!AK4+s_Irr!BJ4)),IF(AND(s_Irr!L4=".",s_Irr!AK4=".",s_Irr!BJ4&lt;&gt;"."),s_dir!M4/((1/1000)*(s_Irr!BJ4)),IF(AND(s_Irr!L4=".",s_Irr!AK4&lt;&gt;".",s_Irr!BJ4="."),s_dir!M4/((1/1000)*(s_Irr!AK4)),IF(AND(s_Irr!L4&lt;&gt;".",s_Irr!AK4=".",s_Irr!BJ4="."),s_dir!M4/((1/1000)*(s_Irr!L4)),IF(AND(s_Irr!L4=".",s_Irr!AK4=".",s_Irr!BJ4="."),s_dir!M4*1000)))))))),".")</f>
        <v>.</v>
      </c>
      <c r="N4" s="70" t="str">
        <f>IFERROR(IF(AND(s_Irr!M4&lt;&gt;".",s_Irr!AL4&lt;&gt;".",s_Irr!BK4&lt;&gt;"."),s_dir!N4/((1/1000)*(s_Irr!M4+s_Irr!AL4+s_Irr!BK4)),IF(AND(s_Irr!M4&lt;&gt;".",s_Irr!AL4&lt;&gt;".",s_Irr!BK4="."),s_dir!N4/((1/1000)*(s_Irr!M4+s_Irr!AL4)),IF(AND(s_Irr!M4&lt;&gt;".",s_Irr!AL4=".",s_Irr!BK4&lt;&gt;"."),s_dir!N4/((1/1000)*(s_Irr!M4+s_Irr!BK4)),IF(AND(s_Irr!M4=".",s_Irr!AL4&lt;&gt;".",s_Irr!BK4&lt;&gt;"."),s_dir!N4/((1/1000)*(s_Irr!AL4+s_Irr!BK4)),IF(AND(s_Irr!M4=".",s_Irr!AL4=".",s_Irr!BK4&lt;&gt;"."),s_dir!N4/((1/1000)*(s_Irr!BK4)),IF(AND(s_Irr!M4=".",s_Irr!AL4&lt;&gt;".",s_Irr!BK4="."),s_dir!N4/((1/1000)*(s_Irr!AL4)),IF(AND(s_Irr!M4&lt;&gt;".",s_Irr!AL4=".",s_Irr!BK4="."),s_dir!N4/((1/1000)*(s_Irr!M4)),IF(AND(s_Irr!M4=".",s_Irr!AL4=".",s_Irr!BK4="."),s_dir!N4*1000)))))))),".")</f>
        <v>.</v>
      </c>
      <c r="O4" s="70" t="str">
        <f>IFERROR(IF(AND(s_Irr!N4&lt;&gt;".",s_Irr!AM4&lt;&gt;".",s_Irr!BL4&lt;&gt;"."),s_dir!O4/((1/1000)*(s_Irr!N4+s_Irr!AM4+s_Irr!BL4)),IF(AND(s_Irr!N4&lt;&gt;".",s_Irr!AM4&lt;&gt;".",s_Irr!BL4="."),s_dir!O4/((1/1000)*(s_Irr!N4+s_Irr!AM4)),IF(AND(s_Irr!N4&lt;&gt;".",s_Irr!AM4=".",s_Irr!BL4&lt;&gt;"."),s_dir!O4/((1/1000)*(s_Irr!N4+s_Irr!BL4)),IF(AND(s_Irr!N4=".",s_Irr!AM4&lt;&gt;".",s_Irr!BL4&lt;&gt;"."),s_dir!O4/((1/1000)*(s_Irr!AM4+s_Irr!BL4)),IF(AND(s_Irr!N4=".",s_Irr!AM4=".",s_Irr!BL4&lt;&gt;"."),s_dir!O4/((1/1000)*(s_Irr!BL4)),IF(AND(s_Irr!N4=".",s_Irr!AM4&lt;&gt;".",s_Irr!BL4="."),s_dir!O4/((1/1000)*(s_Irr!AM4)),IF(AND(s_Irr!N4&lt;&gt;".",s_Irr!AM4=".",s_Irr!BL4="."),s_dir!O4/((1/1000)*(s_Irr!N4)),IF(AND(s_Irr!N4=".",s_Irr!AM4=".",s_Irr!BL4="."),s_dir!O4*1000)))))))),".")</f>
        <v>.</v>
      </c>
      <c r="P4" s="70" t="str">
        <f>IFERROR(IF(AND(s_Irr!O4&lt;&gt;".",s_Irr!AN4&lt;&gt;".",s_Irr!BM4&lt;&gt;"."),s_dir!P4/((1/1000)*(s_Irr!O4+s_Irr!AN4+s_Irr!BM4)),IF(AND(s_Irr!O4&lt;&gt;".",s_Irr!AN4&lt;&gt;".",s_Irr!BM4="."),s_dir!P4/((1/1000)*(s_Irr!O4+s_Irr!AN4)),IF(AND(s_Irr!O4&lt;&gt;".",s_Irr!AN4=".",s_Irr!BM4&lt;&gt;"."),s_dir!P4/((1/1000)*(s_Irr!O4+s_Irr!BM4)),IF(AND(s_Irr!O4=".",s_Irr!AN4&lt;&gt;".",s_Irr!BM4&lt;&gt;"."),s_dir!P4/((1/1000)*(s_Irr!AN4+s_Irr!BM4)),IF(AND(s_Irr!O4=".",s_Irr!AN4=".",s_Irr!BM4&lt;&gt;"."),s_dir!P4/((1/1000)*(s_Irr!BM4)),IF(AND(s_Irr!O4=".",s_Irr!AN4&lt;&gt;".",s_Irr!BM4="."),s_dir!P4/((1/1000)*(s_Irr!AN4)),IF(AND(s_Irr!O4&lt;&gt;".",s_Irr!AN4=".",s_Irr!BM4="."),s_dir!P4/((1/1000)*(s_Irr!O4)),IF(AND(s_Irr!O4=".",s_Irr!AN4=".",s_Irr!BM4="."),s_dir!P4*1000)))))))),".")</f>
        <v>.</v>
      </c>
      <c r="Q4" s="70" t="str">
        <f>IFERROR(IF(AND(s_Irr!P4&lt;&gt;".",s_Irr!AO4&lt;&gt;".",s_Irr!BN4&lt;&gt;"."),s_dir!Q4/((1/1000)*(s_Irr!P4+s_Irr!AO4+s_Irr!BN4)),IF(AND(s_Irr!P4&lt;&gt;".",s_Irr!AO4&lt;&gt;".",s_Irr!BN4="."),s_dir!Q4/((1/1000)*(s_Irr!P4+s_Irr!AO4)),IF(AND(s_Irr!P4&lt;&gt;".",s_Irr!AO4=".",s_Irr!BN4&lt;&gt;"."),s_dir!Q4/((1/1000)*(s_Irr!P4+s_Irr!BN4)),IF(AND(s_Irr!P4=".",s_Irr!AO4&lt;&gt;".",s_Irr!BN4&lt;&gt;"."),s_dir!Q4/((1/1000)*(s_Irr!AO4+s_Irr!BN4)),IF(AND(s_Irr!P4=".",s_Irr!AO4=".",s_Irr!BN4&lt;&gt;"."),s_dir!Q4/((1/1000)*(s_Irr!BN4)),IF(AND(s_Irr!P4=".",s_Irr!AO4&lt;&gt;".",s_Irr!BN4="."),s_dir!Q4/((1/1000)*(s_Irr!AO4)),IF(AND(s_Irr!P4&lt;&gt;".",s_Irr!AO4=".",s_Irr!BN4="."),s_dir!Q4/((1/1000)*(s_Irr!P4)),IF(AND(s_Irr!P4=".",s_Irr!AO4=".",s_Irr!BN4="."),s_dir!Q4*1000)))))))),".")</f>
        <v>.</v>
      </c>
      <c r="R4" s="70" t="str">
        <f>IFERROR(IF(AND(s_Irr!Q4&lt;&gt;".",s_Irr!AP4&lt;&gt;".",s_Irr!BO4&lt;&gt;"."),s_dir!R4/((1/1000)*(s_Irr!Q4+s_Irr!AP4+s_Irr!BO4)),IF(AND(s_Irr!Q4&lt;&gt;".",s_Irr!AP4&lt;&gt;".",s_Irr!BO4="."),s_dir!R4/((1/1000)*(s_Irr!Q4+s_Irr!AP4)),IF(AND(s_Irr!Q4&lt;&gt;".",s_Irr!AP4=".",s_Irr!BO4&lt;&gt;"."),s_dir!R4/((1/1000)*(s_Irr!Q4+s_Irr!BO4)),IF(AND(s_Irr!Q4=".",s_Irr!AP4&lt;&gt;".",s_Irr!BO4&lt;&gt;"."),s_dir!R4/((1/1000)*(s_Irr!AP4+s_Irr!BO4)),IF(AND(s_Irr!Q4=".",s_Irr!AP4=".",s_Irr!BO4&lt;&gt;"."),s_dir!R4/((1/1000)*(s_Irr!BO4)),IF(AND(s_Irr!Q4=".",s_Irr!AP4&lt;&gt;".",s_Irr!BO4="."),s_dir!R4/((1/1000)*(s_Irr!AP4)),IF(AND(s_Irr!Q4&lt;&gt;".",s_Irr!AP4=".",s_Irr!BO4="."),s_dir!R4/((1/1000)*(s_Irr!Q4)),IF(AND(s_Irr!Q4=".",s_Irr!AP4=".",s_Irr!BO4="."),s_dir!R4*1000)))))))),".")</f>
        <v>.</v>
      </c>
      <c r="S4" s="70" t="str">
        <f>IFERROR(IF(AND(s_Irr!R4&lt;&gt;".",s_Irr!AQ4&lt;&gt;".",s_Irr!BP4&lt;&gt;"."),s_dir!S4/((1/1000)*(s_Irr!R4+s_Irr!AQ4+s_Irr!BP4)),IF(AND(s_Irr!R4&lt;&gt;".",s_Irr!AQ4&lt;&gt;".",s_Irr!BP4="."),s_dir!S4/((1/1000)*(s_Irr!R4+s_Irr!AQ4)),IF(AND(s_Irr!R4&lt;&gt;".",s_Irr!AQ4=".",s_Irr!BP4&lt;&gt;"."),s_dir!S4/((1/1000)*(s_Irr!R4+s_Irr!BP4)),IF(AND(s_Irr!R4=".",s_Irr!AQ4&lt;&gt;".",s_Irr!BP4&lt;&gt;"."),s_dir!S4/((1/1000)*(s_Irr!AQ4+s_Irr!BP4)),IF(AND(s_Irr!R4=".",s_Irr!AQ4=".",s_Irr!BP4&lt;&gt;"."),s_dir!S4/((1/1000)*(s_Irr!BP4)),IF(AND(s_Irr!R4=".",s_Irr!AQ4&lt;&gt;".",s_Irr!BP4="."),s_dir!S4/((1/1000)*(s_Irr!AQ4)),IF(AND(s_Irr!R4&lt;&gt;".",s_Irr!AQ4=".",s_Irr!BP4="."),s_dir!S4/((1/1000)*(s_Irr!R4)),IF(AND(s_Irr!R4=".",s_Irr!AQ4=".",s_Irr!BP4="."),s_dir!S4*1000)))))))),".")</f>
        <v>.</v>
      </c>
      <c r="T4" s="70" t="str">
        <f>IFERROR(IF(AND(s_Irr!S4&lt;&gt;".",s_Irr!AR4&lt;&gt;".",s_Irr!BQ4&lt;&gt;"."),s_dir!T4/((1/1000)*(s_Irr!S4+s_Irr!AR4+s_Irr!BQ4)),IF(AND(s_Irr!S4&lt;&gt;".",s_Irr!AR4&lt;&gt;".",s_Irr!BQ4="."),s_dir!T4/((1/1000)*(s_Irr!S4+s_Irr!AR4)),IF(AND(s_Irr!S4&lt;&gt;".",s_Irr!AR4=".",s_Irr!BQ4&lt;&gt;"."),s_dir!T4/((1/1000)*(s_Irr!S4+s_Irr!BQ4)),IF(AND(s_Irr!S4=".",s_Irr!AR4&lt;&gt;".",s_Irr!BQ4&lt;&gt;"."),s_dir!T4/((1/1000)*(s_Irr!AR4+s_Irr!BQ4)),IF(AND(s_Irr!S4=".",s_Irr!AR4=".",s_Irr!BQ4&lt;&gt;"."),s_dir!T4/((1/1000)*(s_Irr!BQ4)),IF(AND(s_Irr!S4=".",s_Irr!AR4&lt;&gt;".",s_Irr!BQ4="."),s_dir!T4/((1/1000)*(s_Irr!AR4)),IF(AND(s_Irr!S4&lt;&gt;".",s_Irr!AR4=".",s_Irr!BQ4="."),s_dir!T4/((1/1000)*(s_Irr!S4)),IF(AND(s_Irr!S4=".",s_Irr!AR4=".",s_Irr!BQ4="."),s_dir!T4*1000)))))))),".")</f>
        <v>.</v>
      </c>
      <c r="U4" s="70" t="str">
        <f>IFERROR(IF(AND(s_Irr!T4&lt;&gt;".",s_Irr!AS4&lt;&gt;".",s_Irr!BR4&lt;&gt;"."),s_dir!U4/((1/1000)*(s_Irr!T4+s_Irr!AS4+s_Irr!BR4)),IF(AND(s_Irr!T4&lt;&gt;".",s_Irr!AS4&lt;&gt;".",s_Irr!BR4="."),s_dir!U4/((1/1000)*(s_Irr!T4+s_Irr!AS4)),IF(AND(s_Irr!T4&lt;&gt;".",s_Irr!AS4=".",s_Irr!BR4&lt;&gt;"."),s_dir!U4/((1/1000)*(s_Irr!T4+s_Irr!BR4)),IF(AND(s_Irr!T4=".",s_Irr!AS4&lt;&gt;".",s_Irr!BR4&lt;&gt;"."),s_dir!U4/((1/1000)*(s_Irr!AS4+s_Irr!BR4)),IF(AND(s_Irr!T4=".",s_Irr!AS4=".",s_Irr!BR4&lt;&gt;"."),s_dir!U4/((1/1000)*(s_Irr!BR4)),IF(AND(s_Irr!T4=".",s_Irr!AS4&lt;&gt;".",s_Irr!BR4="."),s_dir!U4/((1/1000)*(s_Irr!AS4)),IF(AND(s_Irr!T4&lt;&gt;".",s_Irr!AS4=".",s_Irr!BR4="."),s_dir!U4/((1/1000)*(s_Irr!T4)),IF(AND(s_Irr!T4=".",s_Irr!AS4=".",s_Irr!BR4="."),s_dir!U4*1000)))))))),".")</f>
        <v>.</v>
      </c>
      <c r="V4" s="70" t="str">
        <f>IFERROR(IF(AND(s_Irr!U4&lt;&gt;".",s_Irr!AT4&lt;&gt;".",s_Irr!BS4&lt;&gt;"."),s_dir!V4/((1/1000)*(s_Irr!U4+s_Irr!AT4+s_Irr!BS4)),IF(AND(s_Irr!U4&lt;&gt;".",s_Irr!AT4&lt;&gt;".",s_Irr!BS4="."),s_dir!V4/((1/1000)*(s_Irr!U4+s_Irr!AT4)),IF(AND(s_Irr!U4&lt;&gt;".",s_Irr!AT4=".",s_Irr!BS4&lt;&gt;"."),s_dir!V4/((1/1000)*(s_Irr!U4+s_Irr!BS4)),IF(AND(s_Irr!U4=".",s_Irr!AT4&lt;&gt;".",s_Irr!BS4&lt;&gt;"."),s_dir!V4/((1/1000)*(s_Irr!AT4+s_Irr!BS4)),IF(AND(s_Irr!U4=".",s_Irr!AT4=".",s_Irr!BS4&lt;&gt;"."),s_dir!V4/((1/1000)*(s_Irr!BS4)),IF(AND(s_Irr!U4=".",s_Irr!AT4&lt;&gt;".",s_Irr!BS4="."),s_dir!V4/((1/1000)*(s_Irr!AT4)),IF(AND(s_Irr!U4&lt;&gt;".",s_Irr!AT4=".",s_Irr!BS4="."),s_dir!V4/((1/1000)*(s_Irr!U4)),IF(AND(s_Irr!U4=".",s_Irr!AT4=".",s_Irr!BS4="."),s_dir!V4*1000)))))))),".")</f>
        <v>.</v>
      </c>
      <c r="W4" s="70" t="str">
        <f>IFERROR(IF(AND(s_Irr!V4&lt;&gt;".",s_Irr!AU4&lt;&gt;".",s_Irr!BT4&lt;&gt;"."),s_dir!W4/((1/1000)*(s_Irr!V4+s_Irr!AU4+s_Irr!BT4)),IF(AND(s_Irr!V4&lt;&gt;".",s_Irr!AU4&lt;&gt;".",s_Irr!BT4="."),s_dir!W4/((1/1000)*(s_Irr!V4+s_Irr!AU4)),IF(AND(s_Irr!V4&lt;&gt;".",s_Irr!AU4=".",s_Irr!BT4&lt;&gt;"."),s_dir!W4/((1/1000)*(s_Irr!V4+s_Irr!BT4)),IF(AND(s_Irr!V4=".",s_Irr!AU4&lt;&gt;".",s_Irr!BT4&lt;&gt;"."),s_dir!W4/((1/1000)*(s_Irr!AU4+s_Irr!BT4)),IF(AND(s_Irr!V4=".",s_Irr!AU4=".",s_Irr!BT4&lt;&gt;"."),s_dir!W4/((1/1000)*(s_Irr!BT4)),IF(AND(s_Irr!V4=".",s_Irr!AU4&lt;&gt;".",s_Irr!BT4="."),s_dir!W4/((1/1000)*(s_Irr!AU4)),IF(AND(s_Irr!V4&lt;&gt;".",s_Irr!AU4=".",s_Irr!BT4="."),s_dir!W4/((1/1000)*(s_Irr!V4)),IF(AND(s_Irr!V4=".",s_Irr!AU4=".",s_Irr!BT4="."),s_dir!W4*1000)))))))),".")</f>
        <v>.</v>
      </c>
      <c r="X4" s="70" t="str">
        <f>IFERROR(IF(AND(s_Irr!W4&lt;&gt;".",s_Irr!AV4&lt;&gt;".",s_Irr!BU4&lt;&gt;"."),s_dir!X4/((1/1000)*(s_Irr!W4+s_Irr!AV4+s_Irr!BU4)),IF(AND(s_Irr!W4&lt;&gt;".",s_Irr!AV4&lt;&gt;".",s_Irr!BU4="."),s_dir!X4/((1/1000)*(s_Irr!W4+s_Irr!AV4)),IF(AND(s_Irr!W4&lt;&gt;".",s_Irr!AV4=".",s_Irr!BU4&lt;&gt;"."),s_dir!X4/((1/1000)*(s_Irr!W4+s_Irr!BU4)),IF(AND(s_Irr!W4=".",s_Irr!AV4&lt;&gt;".",s_Irr!BU4&lt;&gt;"."),s_dir!X4/((1/1000)*(s_Irr!AV4+s_Irr!BU4)),IF(AND(s_Irr!W4=".",s_Irr!AV4=".",s_Irr!BU4&lt;&gt;"."),s_dir!X4/((1/1000)*(s_Irr!BU4)),IF(AND(s_Irr!W4=".",s_Irr!AV4&lt;&gt;".",s_Irr!BU4="."),s_dir!X4/((1/1000)*(s_Irr!AV4)),IF(AND(s_Irr!W4&lt;&gt;".",s_Irr!AV4=".",s_Irr!BU4="."),s_dir!X4/((1/1000)*(s_Irr!W4)),IF(AND(s_Irr!W4=".",s_Irr!AV4=".",s_Irr!BU4="."),s_dir!X4*1000)))))))),".")</f>
        <v>.</v>
      </c>
      <c r="Y4" s="70" t="str">
        <f>IFERROR(IF(AND(s_Irr!X4&lt;&gt;".",s_Irr!AW4&lt;&gt;".",s_Irr!BV4&lt;&gt;"."),s_dir!Y4/((1/1000)*(s_Irr!X4+s_Irr!AW4+s_Irr!BV4)),IF(AND(s_Irr!X4&lt;&gt;".",s_Irr!AW4&lt;&gt;".",s_Irr!BV4="."),s_dir!Y4/((1/1000)*(s_Irr!X4+s_Irr!AW4)),IF(AND(s_Irr!X4&lt;&gt;".",s_Irr!AW4=".",s_Irr!BV4&lt;&gt;"."),s_dir!Y4/((1/1000)*(s_Irr!X4+s_Irr!BV4)),IF(AND(s_Irr!X4=".",s_Irr!AW4&lt;&gt;".",s_Irr!BV4&lt;&gt;"."),s_dir!Y4/((1/1000)*(s_Irr!AW4+s_Irr!BV4)),IF(AND(s_Irr!X4=".",s_Irr!AW4=".",s_Irr!BV4&lt;&gt;"."),s_dir!Y4/((1/1000)*(s_Irr!BV4)),IF(AND(s_Irr!X4=".",s_Irr!AW4&lt;&gt;".",s_Irr!BV4="."),s_dir!Y4/((1/1000)*(s_Irr!AW4)),IF(AND(s_Irr!X4&lt;&gt;".",s_Irr!AW4=".",s_Irr!BV4="."),s_dir!Y4/((1/1000)*(s_Irr!X4)),IF(AND(s_Irr!X4=".",s_Irr!AW4=".",s_Irr!BV4="."),s_dir!Y4*1000)))))))),".")</f>
        <v>.</v>
      </c>
      <c r="Z4" s="70" t="str">
        <f>IFERROR(IF(AND(s_Irr!Y4&lt;&gt;".",s_Irr!AX4&lt;&gt;".",s_Irr!BW4&lt;&gt;"."),s_dir!Z4/((1/1000)*(s_Irr!Y4+s_Irr!AX4+s_Irr!BW4)),IF(AND(s_Irr!Y4&lt;&gt;".",s_Irr!AX4&lt;&gt;".",s_Irr!BW4="."),s_dir!Z4/((1/1000)*(s_Irr!Y4+s_Irr!AX4)),IF(AND(s_Irr!Y4&lt;&gt;".",s_Irr!AX4=".",s_Irr!BW4&lt;&gt;"."),s_dir!Z4/((1/1000)*(s_Irr!Y4+s_Irr!BW4)),IF(AND(s_Irr!Y4=".",s_Irr!AX4&lt;&gt;".",s_Irr!BW4&lt;&gt;"."),s_dir!Z4/((1/1000)*(s_Irr!AX4+s_Irr!BW4)),IF(AND(s_Irr!Y4=".",s_Irr!AX4=".",s_Irr!BW4&lt;&gt;"."),s_dir!Z4/((1/1000)*(s_Irr!BW4)),IF(AND(s_Irr!Y4=".",s_Irr!AX4&lt;&gt;".",s_Irr!BW4="."),s_dir!Z4/((1/1000)*(s_Irr!AX4)),IF(AND(s_Irr!Y4&lt;&gt;".",s_Irr!AX4=".",s_Irr!BW4="."),s_dir!Z4/((1/1000)*(s_Irr!Y4)),IF(AND(s_Irr!Y4=".",s_Irr!AX4=".",s_Irr!BW4="."),s_dir!Z4*1000)))))))),".")</f>
        <v>.</v>
      </c>
      <c r="AA4" s="70" t="str">
        <f>IFERROR(IF(AND(s_Irr!Z4&lt;&gt;".",s_Irr!AY4&lt;&gt;".",s_Irr!BX4&lt;&gt;"."),s_dir!AA4/((1/1000)*(s_Irr!Z4+s_Irr!AY4+s_Irr!BX4)),IF(AND(s_Irr!Z4&lt;&gt;".",s_Irr!AY4&lt;&gt;".",s_Irr!BX4="."),s_dir!AA4/((1/1000)*(s_Irr!Z4+s_Irr!AY4)),IF(AND(s_Irr!Z4&lt;&gt;".",s_Irr!AY4=".",s_Irr!BX4&lt;&gt;"."),s_dir!AA4/((1/1000)*(s_Irr!Z4+s_Irr!BX4)),IF(AND(s_Irr!Z4=".",s_Irr!AY4&lt;&gt;".",s_Irr!BX4&lt;&gt;"."),s_dir!AA4/((1/1000)*(s_Irr!AY4+s_Irr!BX4)),IF(AND(s_Irr!Z4=".",s_Irr!AY4=".",s_Irr!BX4&lt;&gt;"."),s_dir!AA4/((1/1000)*(s_Irr!BX4)),IF(AND(s_Irr!Z4=".",s_Irr!AY4&lt;&gt;".",s_Irr!BX4="."),s_dir!AA4/((1/1000)*(s_Irr!AY4)),IF(AND(s_Irr!Z4&lt;&gt;".",s_Irr!AY4=".",s_Irr!BX4="."),s_dir!AA4/((1/1000)*(s_Irr!Z4)),IF(AND(s_Irr!Z4=".",s_Irr!AY4=".",s_Irr!BX4="."),s_dir!AA4*1000)))))))),".")</f>
        <v>.</v>
      </c>
      <c r="AB4" s="70" t="str">
        <f>IFERROR(IF(AND(s_Irr!AA4&lt;&gt;".",s_Irr!AZ4&lt;&gt;".",s_Irr!BY4&lt;&gt;"."),s_dir!AB4/((1/1000)*(s_Irr!AA4+s_Irr!AZ4+s_Irr!BY4)),IF(AND(s_Irr!AA4&lt;&gt;".",s_Irr!AZ4&lt;&gt;".",s_Irr!BY4="."),s_dir!AB4/((1/1000)*(s_Irr!AA4+s_Irr!AZ4)),IF(AND(s_Irr!AA4&lt;&gt;".",s_Irr!AZ4=".",s_Irr!BY4&lt;&gt;"."),s_dir!AB4/((1/1000)*(s_Irr!AA4+s_Irr!BY4)),IF(AND(s_Irr!AA4=".",s_Irr!AZ4&lt;&gt;".",s_Irr!BY4&lt;&gt;"."),s_dir!AB4/((1/1000)*(s_Irr!AZ4+s_Irr!BY4)),IF(AND(s_Irr!AA4=".",s_Irr!AZ4=".",s_Irr!BY4&lt;&gt;"."),s_dir!AB4/((1/1000)*(s_Irr!BY4)),IF(AND(s_Irr!AA4=".",s_Irr!AZ4&lt;&gt;".",s_Irr!BY4="."),s_dir!AB4/((1/1000)*(s_Irr!AZ4)),IF(AND(s_Irr!AA4&lt;&gt;".",s_Irr!AZ4=".",s_Irr!BY4="."),s_dir!AB4/((1/1000)*(s_Irr!AA4)),IF(AND(s_Irr!AA4=".",s_Irr!AZ4=".",s_Irr!BY4="."),s_dir!AB4*1000)))))))),".")</f>
        <v>.</v>
      </c>
      <c r="AC4" s="87">
        <f t="shared" ref="AC4:AC22" si="4">SUM(AD4,AU4,BA4:BB4)</f>
        <v>1555.9678251111511</v>
      </c>
      <c r="AD4" s="87">
        <f>IFERROR(s_C*s_IFAP_res_adj*s_CF_apple*0.001*(s_Irr!C4+s_Irr!AB4+s_Irr!BA4),".")</f>
        <v>388.99195627778778</v>
      </c>
      <c r="AE4" s="87">
        <f>IFERROR(s_C*s_IFAS_res_adj*s_CF_asparagus*0.001*(s_Irr!D4+s_Irr!AC4+s_Irr!BB4),".")</f>
        <v>388.99195627778778</v>
      </c>
      <c r="AF4" s="87">
        <f>IFERROR(s_C*s_IFBT_res_adj*s_CF_beet*0.001*(s_Irr!E4+s_Irr!AD4+s_Irr!BC4),".")</f>
        <v>388.99195627778778</v>
      </c>
      <c r="AG4" s="87">
        <f>IFERROR(s_C*s_IFBE_res_adj*s_CF_berries*0.001*(s_Irr!F4+s_Irr!AE4+s_Irr!BD4),".")</f>
        <v>388.99195627778778</v>
      </c>
      <c r="AH4" s="87">
        <f>IFERROR(s_C*s_IFBR_res_adj*s_CF_broccoli*0.001*(s_Irr!G4+s_Irr!AF4+s_Irr!BE4),".")</f>
        <v>388.99195627778778</v>
      </c>
      <c r="AI4" s="87">
        <f>IFERROR(s_C*s_IFCB_res_adj*s_CF_cabbage*0.001*(s_Irr!H4+s_Irr!AG4+s_Irr!BF4),".")</f>
        <v>388.99195627778778</v>
      </c>
      <c r="AJ4" s="87">
        <f>IFERROR(s_C*s_IFCR_res_adj*s_CF_carrot*0.001*(s_Irr!I4+s_Irr!AH4+s_Irr!BG4),".")</f>
        <v>388.99195627778778</v>
      </c>
      <c r="AK4" s="87">
        <f>IFERROR(s_C*s_IFCI_res_adj*s_CF_citrus*0.001*(s_Irr!J4+s_Irr!AI4+s_Irr!BH4),".")</f>
        <v>388.99195627778778</v>
      </c>
      <c r="AL4" s="87">
        <f>IFERROR(s_C*s_IFCO_res_adj*s_CF_corn*0.001*(s_Irr!K4+s_Irr!AJ4+s_Irr!BI4),".")</f>
        <v>388.99195627778778</v>
      </c>
      <c r="AM4" s="87">
        <f>IFERROR(s_C*s_IFCU_res_adj*s_CF_cucumber*0.001*(s_Irr!L4+s_Irr!AK4+s_Irr!BJ4),".")</f>
        <v>388.99195627778778</v>
      </c>
      <c r="AN4" s="87">
        <f>IFERROR(s_C*s_IFLE_res_adj*s_CF_lettuce*0.001*(s_Irr!M4+s_Irr!AL4+s_Irr!BK4),".")</f>
        <v>388.99195627778778</v>
      </c>
      <c r="AO4" s="87">
        <f>IFERROR(s_C*s_IFLI_res_adj*s_CF_lima_bean*0.001*(s_Irr!N4+s_Irr!AM4+s_Irr!BL4),".")</f>
        <v>388.99195627778778</v>
      </c>
      <c r="AP4" s="87">
        <f>IFERROR(s_C*s_IFOK_res_adj*s_CF_okra*0.001*(s_Irr!O4+s_Irr!AN4+s_Irr!BM4),".")</f>
        <v>388.99195627778778</v>
      </c>
      <c r="AQ4" s="87">
        <f>IFERROR(s_C*s_IFON_res_adj*s_CF_onion*0.001*(s_Irr!P4+s_Irr!AO4+s_Irr!BN4),".")</f>
        <v>388.99195627778778</v>
      </c>
      <c r="AR4" s="87">
        <f>IFERROR(s_C*s_IFPC_res_adj*s_CF_peach*0.001*(s_Irr!Q4+s_Irr!AP4+s_Irr!BO4),".")</f>
        <v>388.99195627778778</v>
      </c>
      <c r="AS4" s="87">
        <f>IFERROR(s_C*s_IFPR_res_adj*s_CF_pear*0.001*(s_Irr!R4+s_Irr!AQ4+s_Irr!BP4),".")</f>
        <v>388.99195627778778</v>
      </c>
      <c r="AT4" s="87">
        <f>IFERROR(s_C*s_IFPE_res_adj*s_CF_peas*0.001*(s_Irr!S4+s_Irr!AR4+s_Irr!BQ4),".")</f>
        <v>388.99195627778778</v>
      </c>
      <c r="AU4" s="87">
        <f>IFERROR(s_C*s_IFPP_res_adj*s_CF_peppers*0.001*(s_Irr!T4+s_Irr!AS4+s_Irr!BR4),".")</f>
        <v>388.99195627778778</v>
      </c>
      <c r="AV4" s="87">
        <f>IFERROR(s_C*s_IFPT_res_adj*s_CF_potato*0.001*(s_Irr!U4+s_Irr!AT4+s_Irr!BS4),".")</f>
        <v>388.99195627778778</v>
      </c>
      <c r="AW4" s="87">
        <f>IFERROR(s_C*s_IFPU_res_adj*s_CF_pumpkin*0.001*(s_Irr!V4+s_Irr!AU4+s_Irr!BT4),".")</f>
        <v>388.99195627778778</v>
      </c>
      <c r="AX4" s="87">
        <f>IFERROR(s_C*s_IFSN_res_adj*s_CF_snap_bean*0.001*(s_Irr!W4+s_Irr!AV4+s_Irr!BU4),".")</f>
        <v>388.99195627778778</v>
      </c>
      <c r="AY4" s="87">
        <f>IFERROR(s_C*s_IFST_res_adj*s_CF_strawberry*0.001*(s_Irr!X4+s_Irr!AW4+s_Irr!BV4),".")</f>
        <v>388.99195627778778</v>
      </c>
      <c r="AZ4" s="87">
        <f>IFERROR(s_C*s_IFTO_res_adj*s_CF_tomato*0.001*(s_Irr!Y4+s_Irr!AX4+s_Irr!BW4),".")</f>
        <v>388.99195627778778</v>
      </c>
      <c r="BA4" s="87">
        <f>IFERROR(s_C*s_IFRI_res_adj*s_CF_rice*0.001*(s_Irr!Z4+s_Irr!AY4+s_Irr!BX4),".")</f>
        <v>388.99195627778778</v>
      </c>
      <c r="BB4" s="87">
        <f>IFERROR(s_C*s_IFCG_res_adj*s_CF_cereal*0.001*(s_Irr!AA4+s_Irr!AZ4+s_Irr!BY4),".")</f>
        <v>388.99195627778778</v>
      </c>
      <c r="BC4" s="70" t="str">
        <f t="shared" si="1"/>
        <v>.</v>
      </c>
      <c r="BD4" s="70" t="str">
        <f>IFERROR(IF(AND(s_Irr!C4&lt;&gt;".",s_Irr!AB4&lt;&gt;".",s_Irr!BA4&lt;&gt;"."),s_dir!AD4/((1/1000)*(s_Irr!C4+s_Irr!AB4+s_Irr!BA4)),IF(AND(s_Irr!C4&lt;&gt;".",s_Irr!AB4&lt;&gt;".",s_Irr!BA4="."),s_dir!AD4/((1/1000)*(s_Irr!C4+s_Irr!AB4)),IF(AND(s_Irr!C4&lt;&gt;".",s_Irr!AB4=".",s_Irr!BA4&lt;&gt;"."),s_dir!AD4/((1/1000)*(s_Irr!C4+s_Irr!BA4)),IF(AND(s_Irr!C4=".",s_Irr!AB4&lt;&gt;".",s_Irr!BA4&lt;&gt;"."),s_dir!AD4/((1/1000)*(s_Irr!AB4+s_Irr!BA4)),IF(AND(s_Irr!C4=".",s_Irr!AB4=".",s_Irr!BA4&lt;&gt;"."),s_dir!AD4/((1/1000)*(s_Irr!BA4)),IF(AND(s_Irr!C4=".",s_Irr!AB4&lt;&gt;".",s_Irr!BA4="."),s_dir!AD4/((1/1000)*(s_Irr!AB4)),IF(AND(s_Irr!C4&lt;&gt;".",s_Irr!AB4=".",s_Irr!BA4="."),s_dir!AD4/((1/1000)*(s_Irr!C4)),IF(AND(s_Irr!C4=".",s_Irr!AB4=".",s_Irr!BA4="."),s_dir!AD4*1000)))))))),".")</f>
        <v>.</v>
      </c>
      <c r="BE4" s="70" t="str">
        <f>IFERROR(IF(AND(s_Irr!D4&lt;&gt;".",s_Irr!AC4&lt;&gt;".",s_Irr!BB4&lt;&gt;"."),s_dir!AE4/((1/1000)*(s_Irr!D4+s_Irr!AC4+s_Irr!BB4)),IF(AND(s_Irr!D4&lt;&gt;".",s_Irr!AC4&lt;&gt;".",s_Irr!BB4="."),s_dir!AE4/((1/1000)*(s_Irr!D4+s_Irr!AC4)),IF(AND(s_Irr!D4&lt;&gt;".",s_Irr!AC4=".",s_Irr!BB4&lt;&gt;"."),s_dir!AE4/((1/1000)*(s_Irr!D4+s_Irr!BB4)),IF(AND(s_Irr!D4=".",s_Irr!AC4&lt;&gt;".",s_Irr!BB4&lt;&gt;"."),s_dir!AE4/((1/1000)*(s_Irr!AC4+s_Irr!BB4)),IF(AND(s_Irr!D4=".",s_Irr!AC4=".",s_Irr!BB4&lt;&gt;"."),s_dir!AE4/((1/1000)*(s_Irr!BB4)),IF(AND(s_Irr!D4=".",s_Irr!AC4&lt;&gt;".",s_Irr!BB4="."),s_dir!AE4/((1/1000)*(s_Irr!AC4)),IF(AND(s_Irr!D4&lt;&gt;".",s_Irr!AC4=".",s_Irr!BB4="."),s_dir!AE4/((1/1000)*(s_Irr!D4)),IF(AND(s_Irr!D4=".",s_Irr!AC4=".",s_Irr!BB4="."),s_dir!AE4*1000)))))))),".")</f>
        <v>.</v>
      </c>
      <c r="BF4" s="70" t="str">
        <f>IFERROR(IF(AND(s_Irr!E4&lt;&gt;".",s_Irr!AD4&lt;&gt;".",s_Irr!BC4&lt;&gt;"."),s_dir!AF4/((1/1000)*(s_Irr!E4+s_Irr!AD4+s_Irr!BC4)),IF(AND(s_Irr!E4&lt;&gt;".",s_Irr!AD4&lt;&gt;".",s_Irr!BC4="."),s_dir!AF4/((1/1000)*(s_Irr!E4+s_Irr!AD4)),IF(AND(s_Irr!E4&lt;&gt;".",s_Irr!AD4=".",s_Irr!BC4&lt;&gt;"."),s_dir!AF4/((1/1000)*(s_Irr!E4+s_Irr!BC4)),IF(AND(s_Irr!E4=".",s_Irr!AD4&lt;&gt;".",s_Irr!BC4&lt;&gt;"."),s_dir!AF4/((1/1000)*(s_Irr!AD4+s_Irr!BC4)),IF(AND(s_Irr!E4=".",s_Irr!AD4=".",s_Irr!BC4&lt;&gt;"."),s_dir!AF4/((1/1000)*(s_Irr!BC4)),IF(AND(s_Irr!E4=".",s_Irr!AD4&lt;&gt;".",s_Irr!BC4="."),s_dir!AF4/((1/1000)*(s_Irr!AD4)),IF(AND(s_Irr!E4&lt;&gt;".",s_Irr!AD4=".",s_Irr!BC4="."),s_dir!AF4/((1/1000)*(s_Irr!E4)),IF(AND(s_Irr!E4=".",s_Irr!AD4=".",s_Irr!BC4="."),s_dir!AF4*1000)))))))),".")</f>
        <v>.</v>
      </c>
      <c r="BG4" s="70" t="str">
        <f>IFERROR(IF(AND(s_Irr!F4&lt;&gt;".",s_Irr!AE4&lt;&gt;".",s_Irr!BD4&lt;&gt;"."),s_dir!AG4/((1/1000)*(s_Irr!F4+s_Irr!AE4+s_Irr!BD4)),IF(AND(s_Irr!F4&lt;&gt;".",s_Irr!AE4&lt;&gt;".",s_Irr!BD4="."),s_dir!AG4/((1/1000)*(s_Irr!F4+s_Irr!AE4)),IF(AND(s_Irr!F4&lt;&gt;".",s_Irr!AE4=".",s_Irr!BD4&lt;&gt;"."),s_dir!AG4/((1/1000)*(s_Irr!F4+s_Irr!BD4)),IF(AND(s_Irr!F4=".",s_Irr!AE4&lt;&gt;".",s_Irr!BD4&lt;&gt;"."),s_dir!AG4/((1/1000)*(s_Irr!AE4+s_Irr!BD4)),IF(AND(s_Irr!F4=".",s_Irr!AE4=".",s_Irr!BD4&lt;&gt;"."),s_dir!AG4/((1/1000)*(s_Irr!BD4)),IF(AND(s_Irr!F4=".",s_Irr!AE4&lt;&gt;".",s_Irr!BD4="."),s_dir!AG4/((1/1000)*(s_Irr!AE4)),IF(AND(s_Irr!F4&lt;&gt;".",s_Irr!AE4=".",s_Irr!BD4="."),s_dir!AG4/((1/1000)*(s_Irr!F4)),IF(AND(s_Irr!F4=".",s_Irr!AE4=".",s_Irr!BD4="."),s_dir!AG4*1000)))))))),".")</f>
        <v>.</v>
      </c>
      <c r="BH4" s="70" t="str">
        <f>IFERROR(IF(AND(s_Irr!G4&lt;&gt;".",s_Irr!AF4&lt;&gt;".",s_Irr!BE4&lt;&gt;"."),s_dir!AH4/((1/1000)*(s_Irr!G4+s_Irr!AF4+s_Irr!BE4)),IF(AND(s_Irr!G4&lt;&gt;".",s_Irr!AF4&lt;&gt;".",s_Irr!BE4="."),s_dir!AH4/((1/1000)*(s_Irr!G4+s_Irr!AF4)),IF(AND(s_Irr!G4&lt;&gt;".",s_Irr!AF4=".",s_Irr!BE4&lt;&gt;"."),s_dir!AH4/((1/1000)*(s_Irr!G4+s_Irr!BE4)),IF(AND(s_Irr!G4=".",s_Irr!AF4&lt;&gt;".",s_Irr!BE4&lt;&gt;"."),s_dir!AH4/((1/1000)*(s_Irr!AF4+s_Irr!BE4)),IF(AND(s_Irr!G4=".",s_Irr!AF4=".",s_Irr!BE4&lt;&gt;"."),s_dir!AH4/((1/1000)*(s_Irr!BE4)),IF(AND(s_Irr!G4=".",s_Irr!AF4&lt;&gt;".",s_Irr!BE4="."),s_dir!AH4/((1/1000)*(s_Irr!AF4)),IF(AND(s_Irr!G4&lt;&gt;".",s_Irr!AF4=".",s_Irr!BE4="."),s_dir!AH4/((1/1000)*(s_Irr!G4)),IF(AND(s_Irr!G4=".",s_Irr!AF4=".",s_Irr!BE4="."),s_dir!AH4*1000)))))))),".")</f>
        <v>.</v>
      </c>
      <c r="BI4" s="70" t="str">
        <f>IFERROR(IF(AND(s_Irr!H4&lt;&gt;".",s_Irr!AG4&lt;&gt;".",s_Irr!BF4&lt;&gt;"."),s_dir!AI4/((1/1000)*(s_Irr!H4+s_Irr!AG4+s_Irr!BF4)),IF(AND(s_Irr!H4&lt;&gt;".",s_Irr!AG4&lt;&gt;".",s_Irr!BF4="."),s_dir!AI4/((1/1000)*(s_Irr!H4+s_Irr!AG4)),IF(AND(s_Irr!H4&lt;&gt;".",s_Irr!AG4=".",s_Irr!BF4&lt;&gt;"."),s_dir!AI4/((1/1000)*(s_Irr!H4+s_Irr!BF4)),IF(AND(s_Irr!H4=".",s_Irr!AG4&lt;&gt;".",s_Irr!BF4&lt;&gt;"."),s_dir!AI4/((1/1000)*(s_Irr!AG4+s_Irr!BF4)),IF(AND(s_Irr!H4=".",s_Irr!AG4=".",s_Irr!BF4&lt;&gt;"."),s_dir!AI4/((1/1000)*(s_Irr!BF4)),IF(AND(s_Irr!H4=".",s_Irr!AG4&lt;&gt;".",s_Irr!BF4="."),s_dir!AI4/((1/1000)*(s_Irr!AG4)),IF(AND(s_Irr!H4&lt;&gt;".",s_Irr!AG4=".",s_Irr!BF4="."),s_dir!AI4/((1/1000)*(s_Irr!H4)),IF(AND(s_Irr!H4=".",s_Irr!AG4=".",s_Irr!BF4="."),s_dir!AI4*1000)))))))),".")</f>
        <v>.</v>
      </c>
      <c r="BJ4" s="70" t="str">
        <f>IFERROR(IF(AND(s_Irr!I4&lt;&gt;".",s_Irr!AH4&lt;&gt;".",s_Irr!BG4&lt;&gt;"."),s_dir!AJ4/((1/1000)*(s_Irr!I4+s_Irr!AH4+s_Irr!BG4)),IF(AND(s_Irr!I4&lt;&gt;".",s_Irr!AH4&lt;&gt;".",s_Irr!BG4="."),s_dir!AJ4/((1/1000)*(s_Irr!I4+s_Irr!AH4)),IF(AND(s_Irr!I4&lt;&gt;".",s_Irr!AH4=".",s_Irr!BG4&lt;&gt;"."),s_dir!AJ4/((1/1000)*(s_Irr!I4+s_Irr!BG4)),IF(AND(s_Irr!I4=".",s_Irr!AH4&lt;&gt;".",s_Irr!BG4&lt;&gt;"."),s_dir!AJ4/((1/1000)*(s_Irr!AH4+s_Irr!BG4)),IF(AND(s_Irr!I4=".",s_Irr!AH4=".",s_Irr!BG4&lt;&gt;"."),s_dir!AJ4/((1/1000)*(s_Irr!BG4)),IF(AND(s_Irr!I4=".",s_Irr!AH4&lt;&gt;".",s_Irr!BG4="."),s_dir!AJ4/((1/1000)*(s_Irr!AH4)),IF(AND(s_Irr!I4&lt;&gt;".",s_Irr!AH4=".",s_Irr!BG4="."),s_dir!AJ4/((1/1000)*(s_Irr!I4)),IF(AND(s_Irr!I4=".",s_Irr!AH4=".",s_Irr!BG4="."),s_dir!AJ4*1000)))))))),".")</f>
        <v>.</v>
      </c>
      <c r="BK4" s="70" t="str">
        <f>IFERROR(IF(AND(s_Irr!J4&lt;&gt;".",s_Irr!AI4&lt;&gt;".",s_Irr!BH4&lt;&gt;"."),s_dir!AK4/((1/1000)*(s_Irr!J4+s_Irr!AI4+s_Irr!BH4)),IF(AND(s_Irr!J4&lt;&gt;".",s_Irr!AI4&lt;&gt;".",s_Irr!BH4="."),s_dir!AK4/((1/1000)*(s_Irr!J4+s_Irr!AI4)),IF(AND(s_Irr!J4&lt;&gt;".",s_Irr!AI4=".",s_Irr!BH4&lt;&gt;"."),s_dir!AK4/((1/1000)*(s_Irr!J4+s_Irr!BH4)),IF(AND(s_Irr!J4=".",s_Irr!AI4&lt;&gt;".",s_Irr!BH4&lt;&gt;"."),s_dir!AK4/((1/1000)*(s_Irr!AI4+s_Irr!BH4)),IF(AND(s_Irr!J4=".",s_Irr!AI4=".",s_Irr!BH4&lt;&gt;"."),s_dir!AK4/((1/1000)*(s_Irr!BH4)),IF(AND(s_Irr!J4=".",s_Irr!AI4&lt;&gt;".",s_Irr!BH4="."),s_dir!AK4/((1/1000)*(s_Irr!AI4)),IF(AND(s_Irr!J4&lt;&gt;".",s_Irr!AI4=".",s_Irr!BH4="."),s_dir!AK4/((1/1000)*(s_Irr!J4)),IF(AND(s_Irr!J4=".",s_Irr!AI4=".",s_Irr!BH4="."),s_dir!AK4*1000)))))))),".")</f>
        <v>.</v>
      </c>
      <c r="BL4" s="70" t="str">
        <f>IFERROR(IF(AND(s_Irr!K4&lt;&gt;".",s_Irr!AJ4&lt;&gt;".",s_Irr!BI4&lt;&gt;"."),s_dir!AL4/((1/1000)*(s_Irr!K4+s_Irr!AJ4+s_Irr!BI4)),IF(AND(s_Irr!K4&lt;&gt;".",s_Irr!AJ4&lt;&gt;".",s_Irr!BI4="."),s_dir!AL4/((1/1000)*(s_Irr!K4+s_Irr!AJ4)),IF(AND(s_Irr!K4&lt;&gt;".",s_Irr!AJ4=".",s_Irr!BI4&lt;&gt;"."),s_dir!AL4/((1/1000)*(s_Irr!K4+s_Irr!BI4)),IF(AND(s_Irr!K4=".",s_Irr!AJ4&lt;&gt;".",s_Irr!BI4&lt;&gt;"."),s_dir!AL4/((1/1000)*(s_Irr!AJ4+s_Irr!BI4)),IF(AND(s_Irr!K4=".",s_Irr!AJ4=".",s_Irr!BI4&lt;&gt;"."),s_dir!AL4/((1/1000)*(s_Irr!BI4)),IF(AND(s_Irr!K4=".",s_Irr!AJ4&lt;&gt;".",s_Irr!BI4="."),s_dir!AL4/((1/1000)*(s_Irr!AJ4)),IF(AND(s_Irr!K4&lt;&gt;".",s_Irr!AJ4=".",s_Irr!BI4="."),s_dir!AL4/((1/1000)*(s_Irr!K4)),IF(AND(s_Irr!K4=".",s_Irr!AJ4=".",s_Irr!BI4="."),s_dir!AL4*1000)))))))),".")</f>
        <v>.</v>
      </c>
      <c r="BM4" s="70" t="str">
        <f>IFERROR(IF(AND(s_Irr!L4&lt;&gt;".",s_Irr!AK4&lt;&gt;".",s_Irr!BJ4&lt;&gt;"."),s_dir!AM4/((1/1000)*(s_Irr!L4+s_Irr!AK4+s_Irr!BJ4)),IF(AND(s_Irr!L4&lt;&gt;".",s_Irr!AK4&lt;&gt;".",s_Irr!BJ4="."),s_dir!AM4/((1/1000)*(s_Irr!L4+s_Irr!AK4)),IF(AND(s_Irr!L4&lt;&gt;".",s_Irr!AK4=".",s_Irr!BJ4&lt;&gt;"."),s_dir!AM4/((1/1000)*(s_Irr!L4+s_Irr!BJ4)),IF(AND(s_Irr!L4=".",s_Irr!AK4&lt;&gt;".",s_Irr!BJ4&lt;&gt;"."),s_dir!AM4/((1/1000)*(s_Irr!AK4+s_Irr!BJ4)),IF(AND(s_Irr!L4=".",s_Irr!AK4=".",s_Irr!BJ4&lt;&gt;"."),s_dir!AM4/((1/1000)*(s_Irr!BJ4)),IF(AND(s_Irr!L4=".",s_Irr!AK4&lt;&gt;".",s_Irr!BJ4="."),s_dir!AM4/((1/1000)*(s_Irr!AK4)),IF(AND(s_Irr!L4&lt;&gt;".",s_Irr!AK4=".",s_Irr!BJ4="."),s_dir!AM4/((1/1000)*(s_Irr!L4)),IF(AND(s_Irr!L4=".",s_Irr!AK4=".",s_Irr!BJ4="."),s_dir!AM4*1000)))))))),".")</f>
        <v>.</v>
      </c>
      <c r="BN4" s="70" t="str">
        <f>IFERROR(IF(AND(s_Irr!M4&lt;&gt;".",s_Irr!AL4&lt;&gt;".",s_Irr!BK4&lt;&gt;"."),s_dir!AN4/((1/1000)*(s_Irr!M4+s_Irr!AL4+s_Irr!BK4)),IF(AND(s_Irr!M4&lt;&gt;".",s_Irr!AL4&lt;&gt;".",s_Irr!BK4="."),s_dir!AN4/((1/1000)*(s_Irr!M4+s_Irr!AL4)),IF(AND(s_Irr!M4&lt;&gt;".",s_Irr!AL4=".",s_Irr!BK4&lt;&gt;"."),s_dir!AN4/((1/1000)*(s_Irr!M4+s_Irr!BK4)),IF(AND(s_Irr!M4=".",s_Irr!AL4&lt;&gt;".",s_Irr!BK4&lt;&gt;"."),s_dir!AN4/((1/1000)*(s_Irr!AL4+s_Irr!BK4)),IF(AND(s_Irr!M4=".",s_Irr!AL4=".",s_Irr!BK4&lt;&gt;"."),s_dir!AN4/((1/1000)*(s_Irr!BK4)),IF(AND(s_Irr!M4=".",s_Irr!AL4&lt;&gt;".",s_Irr!BK4="."),s_dir!AN4/((1/1000)*(s_Irr!AL4)),IF(AND(s_Irr!M4&lt;&gt;".",s_Irr!AL4=".",s_Irr!BK4="."),s_dir!AN4/((1/1000)*(s_Irr!M4)),IF(AND(s_Irr!M4=".",s_Irr!AL4=".",s_Irr!BK4="."),s_dir!AN4*1000)))))))),".")</f>
        <v>.</v>
      </c>
      <c r="BO4" s="70" t="str">
        <f>IFERROR(IF(AND(s_Irr!N4&lt;&gt;".",s_Irr!AM4&lt;&gt;".",s_Irr!BL4&lt;&gt;"."),s_dir!AO4/((1/1000)*(s_Irr!N4+s_Irr!AM4+s_Irr!BL4)),IF(AND(s_Irr!N4&lt;&gt;".",s_Irr!AM4&lt;&gt;".",s_Irr!BL4="."),s_dir!AO4/((1/1000)*(s_Irr!N4+s_Irr!AM4)),IF(AND(s_Irr!N4&lt;&gt;".",s_Irr!AM4=".",s_Irr!BL4&lt;&gt;"."),s_dir!AO4/((1/1000)*(s_Irr!N4+s_Irr!BL4)),IF(AND(s_Irr!N4=".",s_Irr!AM4&lt;&gt;".",s_Irr!BL4&lt;&gt;"."),s_dir!AO4/((1/1000)*(s_Irr!AM4+s_Irr!BL4)),IF(AND(s_Irr!N4=".",s_Irr!AM4=".",s_Irr!BL4&lt;&gt;"."),s_dir!AO4/((1/1000)*(s_Irr!BL4)),IF(AND(s_Irr!N4=".",s_Irr!AM4&lt;&gt;".",s_Irr!BL4="."),s_dir!AO4/((1/1000)*(s_Irr!AM4)),IF(AND(s_Irr!N4&lt;&gt;".",s_Irr!AM4=".",s_Irr!BL4="."),s_dir!AO4/((1/1000)*(s_Irr!N4)),IF(AND(s_Irr!N4=".",s_Irr!AM4=".",s_Irr!BL4="."),s_dir!AO4*1000)))))))),".")</f>
        <v>.</v>
      </c>
      <c r="BP4" s="70" t="str">
        <f>IFERROR(IF(AND(s_Irr!O4&lt;&gt;".",s_Irr!AN4&lt;&gt;".",s_Irr!BM4&lt;&gt;"."),s_dir!AP4/((1/1000)*(s_Irr!O4+s_Irr!AN4+s_Irr!BM4)),IF(AND(s_Irr!O4&lt;&gt;".",s_Irr!AN4&lt;&gt;".",s_Irr!BM4="."),s_dir!AP4/((1/1000)*(s_Irr!O4+s_Irr!AN4)),IF(AND(s_Irr!O4&lt;&gt;".",s_Irr!AN4=".",s_Irr!BM4&lt;&gt;"."),s_dir!AP4/((1/1000)*(s_Irr!O4+s_Irr!BM4)),IF(AND(s_Irr!O4=".",s_Irr!AN4&lt;&gt;".",s_Irr!BM4&lt;&gt;"."),s_dir!AP4/((1/1000)*(s_Irr!AN4+s_Irr!BM4)),IF(AND(s_Irr!O4=".",s_Irr!AN4=".",s_Irr!BM4&lt;&gt;"."),s_dir!AP4/((1/1000)*(s_Irr!BM4)),IF(AND(s_Irr!O4=".",s_Irr!AN4&lt;&gt;".",s_Irr!BM4="."),s_dir!AP4/((1/1000)*(s_Irr!AN4)),IF(AND(s_Irr!O4&lt;&gt;".",s_Irr!AN4=".",s_Irr!BM4="."),s_dir!AP4/((1/1000)*(s_Irr!O4)),IF(AND(s_Irr!O4=".",s_Irr!AN4=".",s_Irr!BM4="."),s_dir!AP4*1000)))))))),".")</f>
        <v>.</v>
      </c>
      <c r="BQ4" s="70" t="str">
        <f>IFERROR(IF(AND(s_Irr!P4&lt;&gt;".",s_Irr!AO4&lt;&gt;".",s_Irr!BN4&lt;&gt;"."),s_dir!AQ4/((1/1000)*(s_Irr!P4+s_Irr!AO4+s_Irr!BN4)),IF(AND(s_Irr!P4&lt;&gt;".",s_Irr!AO4&lt;&gt;".",s_Irr!BN4="."),s_dir!AQ4/((1/1000)*(s_Irr!P4+s_Irr!AO4)),IF(AND(s_Irr!P4&lt;&gt;".",s_Irr!AO4=".",s_Irr!BN4&lt;&gt;"."),s_dir!AQ4/((1/1000)*(s_Irr!P4+s_Irr!BN4)),IF(AND(s_Irr!P4=".",s_Irr!AO4&lt;&gt;".",s_Irr!BN4&lt;&gt;"."),s_dir!AQ4/((1/1000)*(s_Irr!AO4+s_Irr!BN4)),IF(AND(s_Irr!P4=".",s_Irr!AO4=".",s_Irr!BN4&lt;&gt;"."),s_dir!AQ4/((1/1000)*(s_Irr!BN4)),IF(AND(s_Irr!P4=".",s_Irr!AO4&lt;&gt;".",s_Irr!BN4="."),s_dir!AQ4/((1/1000)*(s_Irr!AO4)),IF(AND(s_Irr!P4&lt;&gt;".",s_Irr!AO4=".",s_Irr!BN4="."),s_dir!AQ4/((1/1000)*(s_Irr!P4)),IF(AND(s_Irr!P4=".",s_Irr!AO4=".",s_Irr!BN4="."),s_dir!AQ4*1000)))))))),".")</f>
        <v>.</v>
      </c>
      <c r="BR4" s="70" t="str">
        <f>IFERROR(IF(AND(s_Irr!Q4&lt;&gt;".",s_Irr!AP4&lt;&gt;".",s_Irr!BO4&lt;&gt;"."),s_dir!AR4/((1/1000)*(s_Irr!Q4+s_Irr!AP4+s_Irr!BO4)),IF(AND(s_Irr!Q4&lt;&gt;".",s_Irr!AP4&lt;&gt;".",s_Irr!BO4="."),s_dir!AR4/((1/1000)*(s_Irr!Q4+s_Irr!AP4)),IF(AND(s_Irr!Q4&lt;&gt;".",s_Irr!AP4=".",s_Irr!BO4&lt;&gt;"."),s_dir!AR4/((1/1000)*(s_Irr!Q4+s_Irr!BO4)),IF(AND(s_Irr!Q4=".",s_Irr!AP4&lt;&gt;".",s_Irr!BO4&lt;&gt;"."),s_dir!AR4/((1/1000)*(s_Irr!AP4+s_Irr!BO4)),IF(AND(s_Irr!Q4=".",s_Irr!AP4=".",s_Irr!BO4&lt;&gt;"."),s_dir!AR4/((1/1000)*(s_Irr!BO4)),IF(AND(s_Irr!Q4=".",s_Irr!AP4&lt;&gt;".",s_Irr!BO4="."),s_dir!AR4/((1/1000)*(s_Irr!AP4)),IF(AND(s_Irr!Q4&lt;&gt;".",s_Irr!AP4=".",s_Irr!BO4="."),s_dir!AR4/((1/1000)*(s_Irr!Q4)),IF(AND(s_Irr!Q4=".",s_Irr!AP4=".",s_Irr!BO4="."),s_dir!AR4*1000)))))))),".")</f>
        <v>.</v>
      </c>
      <c r="BS4" s="70" t="str">
        <f>IFERROR(IF(AND(s_Irr!R4&lt;&gt;".",s_Irr!AQ4&lt;&gt;".",s_Irr!BP4&lt;&gt;"."),s_dir!AS4/((1/1000)*(s_Irr!R4+s_Irr!AQ4+s_Irr!BP4)),IF(AND(s_Irr!R4&lt;&gt;".",s_Irr!AQ4&lt;&gt;".",s_Irr!BP4="."),s_dir!AS4/((1/1000)*(s_Irr!R4+s_Irr!AQ4)),IF(AND(s_Irr!R4&lt;&gt;".",s_Irr!AQ4=".",s_Irr!BP4&lt;&gt;"."),s_dir!AS4/((1/1000)*(s_Irr!R4+s_Irr!BP4)),IF(AND(s_Irr!R4=".",s_Irr!AQ4&lt;&gt;".",s_Irr!BP4&lt;&gt;"."),s_dir!AS4/((1/1000)*(s_Irr!AQ4+s_Irr!BP4)),IF(AND(s_Irr!R4=".",s_Irr!AQ4=".",s_Irr!BP4&lt;&gt;"."),s_dir!AS4/((1/1000)*(s_Irr!BP4)),IF(AND(s_Irr!R4=".",s_Irr!AQ4&lt;&gt;".",s_Irr!BP4="."),s_dir!AS4/((1/1000)*(s_Irr!AQ4)),IF(AND(s_Irr!R4&lt;&gt;".",s_Irr!AQ4=".",s_Irr!BP4="."),s_dir!AS4/((1/1000)*(s_Irr!R4)),IF(AND(s_Irr!R4=".",s_Irr!AQ4=".",s_Irr!BP4="."),s_dir!AS4*1000)))))))),".")</f>
        <v>.</v>
      </c>
      <c r="BT4" s="70" t="str">
        <f>IFERROR(IF(AND(s_Irr!S4&lt;&gt;".",s_Irr!AR4&lt;&gt;".",s_Irr!BQ4&lt;&gt;"."),s_dir!AT4/((1/1000)*(s_Irr!S4+s_Irr!AR4+s_Irr!BQ4)),IF(AND(s_Irr!S4&lt;&gt;".",s_Irr!AR4&lt;&gt;".",s_Irr!BQ4="."),s_dir!AT4/((1/1000)*(s_Irr!S4+s_Irr!AR4)),IF(AND(s_Irr!S4&lt;&gt;".",s_Irr!AR4=".",s_Irr!BQ4&lt;&gt;"."),s_dir!AT4/((1/1000)*(s_Irr!S4+s_Irr!BQ4)),IF(AND(s_Irr!S4=".",s_Irr!AR4&lt;&gt;".",s_Irr!BQ4&lt;&gt;"."),s_dir!AT4/((1/1000)*(s_Irr!AR4+s_Irr!BQ4)),IF(AND(s_Irr!S4=".",s_Irr!AR4=".",s_Irr!BQ4&lt;&gt;"."),s_dir!AT4/((1/1000)*(s_Irr!BQ4)),IF(AND(s_Irr!S4=".",s_Irr!AR4&lt;&gt;".",s_Irr!BQ4="."),s_dir!AT4/((1/1000)*(s_Irr!AR4)),IF(AND(s_Irr!S4&lt;&gt;".",s_Irr!AR4=".",s_Irr!BQ4="."),s_dir!AT4/((1/1000)*(s_Irr!S4)),IF(AND(s_Irr!S4=".",s_Irr!AR4=".",s_Irr!BQ4="."),s_dir!AT4*1000)))))))),".")</f>
        <v>.</v>
      </c>
      <c r="BU4" s="70" t="str">
        <f>IFERROR(IF(AND(s_Irr!T4&lt;&gt;".",s_Irr!AS4&lt;&gt;".",s_Irr!BR4&lt;&gt;"."),s_dir!AU4/((1/1000)*(s_Irr!T4+s_Irr!AS4+s_Irr!BR4)),IF(AND(s_Irr!T4&lt;&gt;".",s_Irr!AS4&lt;&gt;".",s_Irr!BR4="."),s_dir!AU4/((1/1000)*(s_Irr!T4+s_Irr!AS4)),IF(AND(s_Irr!T4&lt;&gt;".",s_Irr!AS4=".",s_Irr!BR4&lt;&gt;"."),s_dir!AU4/((1/1000)*(s_Irr!T4+s_Irr!BR4)),IF(AND(s_Irr!T4=".",s_Irr!AS4&lt;&gt;".",s_Irr!BR4&lt;&gt;"."),s_dir!AU4/((1/1000)*(s_Irr!AS4+s_Irr!BR4)),IF(AND(s_Irr!T4=".",s_Irr!AS4=".",s_Irr!BR4&lt;&gt;"."),s_dir!AU4/((1/1000)*(s_Irr!BR4)),IF(AND(s_Irr!T4=".",s_Irr!AS4&lt;&gt;".",s_Irr!BR4="."),s_dir!AU4/((1/1000)*(s_Irr!AS4)),IF(AND(s_Irr!T4&lt;&gt;".",s_Irr!AS4=".",s_Irr!BR4="."),s_dir!AU4/((1/1000)*(s_Irr!T4)),IF(AND(s_Irr!T4=".",s_Irr!AS4=".",s_Irr!BR4="."),s_dir!AU4*1000)))))))),".")</f>
        <v>.</v>
      </c>
      <c r="BV4" s="70" t="str">
        <f>IFERROR(IF(AND(s_Irr!U4&lt;&gt;".",s_Irr!AT4&lt;&gt;".",s_Irr!BS4&lt;&gt;"."),s_dir!AV4/((1/1000)*(s_Irr!U4+s_Irr!AT4+s_Irr!BS4)),IF(AND(s_Irr!U4&lt;&gt;".",s_Irr!AT4&lt;&gt;".",s_Irr!BS4="."),s_dir!AV4/((1/1000)*(s_Irr!U4+s_Irr!AT4)),IF(AND(s_Irr!U4&lt;&gt;".",s_Irr!AT4=".",s_Irr!BS4&lt;&gt;"."),s_dir!AV4/((1/1000)*(s_Irr!U4+s_Irr!BS4)),IF(AND(s_Irr!U4=".",s_Irr!AT4&lt;&gt;".",s_Irr!BS4&lt;&gt;"."),s_dir!AV4/((1/1000)*(s_Irr!AT4+s_Irr!BS4)),IF(AND(s_Irr!U4=".",s_Irr!AT4=".",s_Irr!BS4&lt;&gt;"."),s_dir!AV4/((1/1000)*(s_Irr!BS4)),IF(AND(s_Irr!U4=".",s_Irr!AT4&lt;&gt;".",s_Irr!BS4="."),s_dir!AV4/((1/1000)*(s_Irr!AT4)),IF(AND(s_Irr!U4&lt;&gt;".",s_Irr!AT4=".",s_Irr!BS4="."),s_dir!AV4/((1/1000)*(s_Irr!U4)),IF(AND(s_Irr!U4=".",s_Irr!AT4=".",s_Irr!BS4="."),s_dir!AV4*1000)))))))),".")</f>
        <v>.</v>
      </c>
      <c r="BW4" s="70" t="str">
        <f>IFERROR(IF(AND(s_Irr!V4&lt;&gt;".",s_Irr!AU4&lt;&gt;".",s_Irr!BT4&lt;&gt;"."),s_dir!AW4/((1/1000)*(s_Irr!V4+s_Irr!AU4+s_Irr!BT4)),IF(AND(s_Irr!V4&lt;&gt;".",s_Irr!AU4&lt;&gt;".",s_Irr!BT4="."),s_dir!AW4/((1/1000)*(s_Irr!V4+s_Irr!AU4)),IF(AND(s_Irr!V4&lt;&gt;".",s_Irr!AU4=".",s_Irr!BT4&lt;&gt;"."),s_dir!AW4/((1/1000)*(s_Irr!V4+s_Irr!BT4)),IF(AND(s_Irr!V4=".",s_Irr!AU4&lt;&gt;".",s_Irr!BT4&lt;&gt;"."),s_dir!AW4/((1/1000)*(s_Irr!AU4+s_Irr!BT4)),IF(AND(s_Irr!V4=".",s_Irr!AU4=".",s_Irr!BT4&lt;&gt;"."),s_dir!AW4/((1/1000)*(s_Irr!BT4)),IF(AND(s_Irr!V4=".",s_Irr!AU4&lt;&gt;".",s_Irr!BT4="."),s_dir!AW4/((1/1000)*(s_Irr!AU4)),IF(AND(s_Irr!V4&lt;&gt;".",s_Irr!AU4=".",s_Irr!BT4="."),s_dir!AW4/((1/1000)*(s_Irr!V4)),IF(AND(s_Irr!V4=".",s_Irr!AU4=".",s_Irr!BT4="."),s_dir!AW4*1000)))))))),".")</f>
        <v>.</v>
      </c>
      <c r="BX4" s="70" t="str">
        <f>IFERROR(IF(AND(s_Irr!W4&lt;&gt;".",s_Irr!AV4&lt;&gt;".",s_Irr!BU4&lt;&gt;"."),s_dir!AX4/((1/1000)*(s_Irr!W4+s_Irr!AV4+s_Irr!BU4)),IF(AND(s_Irr!W4&lt;&gt;".",s_Irr!AV4&lt;&gt;".",s_Irr!BU4="."),s_dir!AX4/((1/1000)*(s_Irr!W4+s_Irr!AV4)),IF(AND(s_Irr!W4&lt;&gt;".",s_Irr!AV4=".",s_Irr!BU4&lt;&gt;"."),s_dir!AX4/((1/1000)*(s_Irr!W4+s_Irr!BU4)),IF(AND(s_Irr!W4=".",s_Irr!AV4&lt;&gt;".",s_Irr!BU4&lt;&gt;"."),s_dir!AX4/((1/1000)*(s_Irr!AV4+s_Irr!BU4)),IF(AND(s_Irr!W4=".",s_Irr!AV4=".",s_Irr!BU4&lt;&gt;"."),s_dir!AX4/((1/1000)*(s_Irr!BU4)),IF(AND(s_Irr!W4=".",s_Irr!AV4&lt;&gt;".",s_Irr!BU4="."),s_dir!AX4/((1/1000)*(s_Irr!AV4)),IF(AND(s_Irr!W4&lt;&gt;".",s_Irr!AV4=".",s_Irr!BU4="."),s_dir!AX4/((1/1000)*(s_Irr!W4)),IF(AND(s_Irr!W4=".",s_Irr!AV4=".",s_Irr!BU4="."),s_dir!AX4*1000)))))))),".")</f>
        <v>.</v>
      </c>
      <c r="BY4" s="70" t="str">
        <f>IFERROR(IF(AND(s_Irr!X4&lt;&gt;".",s_Irr!AW4&lt;&gt;".",s_Irr!BV4&lt;&gt;"."),s_dir!AY4/((1/1000)*(s_Irr!X4+s_Irr!AW4+s_Irr!BV4)),IF(AND(s_Irr!X4&lt;&gt;".",s_Irr!AW4&lt;&gt;".",s_Irr!BV4="."),s_dir!AY4/((1/1000)*(s_Irr!X4+s_Irr!AW4)),IF(AND(s_Irr!X4&lt;&gt;".",s_Irr!AW4=".",s_Irr!BV4&lt;&gt;"."),s_dir!AY4/((1/1000)*(s_Irr!X4+s_Irr!BV4)),IF(AND(s_Irr!X4=".",s_Irr!AW4&lt;&gt;".",s_Irr!BV4&lt;&gt;"."),s_dir!AY4/((1/1000)*(s_Irr!AW4+s_Irr!BV4)),IF(AND(s_Irr!X4=".",s_Irr!AW4=".",s_Irr!BV4&lt;&gt;"."),s_dir!AY4/((1/1000)*(s_Irr!BV4)),IF(AND(s_Irr!X4=".",s_Irr!AW4&lt;&gt;".",s_Irr!BV4="."),s_dir!AY4/((1/1000)*(s_Irr!AW4)),IF(AND(s_Irr!X4&lt;&gt;".",s_Irr!AW4=".",s_Irr!BV4="."),s_dir!AY4/((1/1000)*(s_Irr!X4)),IF(AND(s_Irr!X4=".",s_Irr!AW4=".",s_Irr!BV4="."),s_dir!AY4*1000)))))))),".")</f>
        <v>.</v>
      </c>
      <c r="BZ4" s="70" t="str">
        <f>IFERROR(IF(AND(s_Irr!Y4&lt;&gt;".",s_Irr!AX4&lt;&gt;".",s_Irr!BW4&lt;&gt;"."),s_dir!AZ4/((1/1000)*(s_Irr!Y4+s_Irr!AX4+s_Irr!BW4)),IF(AND(s_Irr!Y4&lt;&gt;".",s_Irr!AX4&lt;&gt;".",s_Irr!BW4="."),s_dir!AZ4/((1/1000)*(s_Irr!Y4+s_Irr!AX4)),IF(AND(s_Irr!Y4&lt;&gt;".",s_Irr!AX4=".",s_Irr!BW4&lt;&gt;"."),s_dir!AZ4/((1/1000)*(s_Irr!Y4+s_Irr!BW4)),IF(AND(s_Irr!Y4=".",s_Irr!AX4&lt;&gt;".",s_Irr!BW4&lt;&gt;"."),s_dir!AZ4/((1/1000)*(s_Irr!AX4+s_Irr!BW4)),IF(AND(s_Irr!Y4=".",s_Irr!AX4=".",s_Irr!BW4&lt;&gt;"."),s_dir!AZ4/((1/1000)*(s_Irr!BW4)),IF(AND(s_Irr!Y4=".",s_Irr!AX4&lt;&gt;".",s_Irr!BW4="."),s_dir!AZ4/((1/1000)*(s_Irr!AX4)),IF(AND(s_Irr!Y4&lt;&gt;".",s_Irr!AX4=".",s_Irr!BW4="."),s_dir!AZ4/((1/1000)*(s_Irr!Y4)),IF(AND(s_Irr!Y4=".",s_Irr!AX4=".",s_Irr!BW4="."),s_dir!AZ4*1000)))))))),".")</f>
        <v>.</v>
      </c>
      <c r="CA4" s="70" t="str">
        <f>IFERROR(IF(AND(s_Irr!Z4&lt;&gt;".",s_Irr!AY4&lt;&gt;".",s_Irr!BX4&lt;&gt;"."),s_dir!BA4/((1/1000)*(s_Irr!Z4+s_Irr!AY4+s_Irr!BX4)),IF(AND(s_Irr!Z4&lt;&gt;".",s_Irr!AY4&lt;&gt;".",s_Irr!BX4="."),s_dir!BA4/((1/1000)*(s_Irr!Z4+s_Irr!AY4)),IF(AND(s_Irr!Z4&lt;&gt;".",s_Irr!AY4=".",s_Irr!BX4&lt;&gt;"."),s_dir!BA4/((1/1000)*(s_Irr!Z4+s_Irr!BX4)),IF(AND(s_Irr!Z4=".",s_Irr!AY4&lt;&gt;".",s_Irr!BX4&lt;&gt;"."),s_dir!BA4/((1/1000)*(s_Irr!AY4+s_Irr!BX4)),IF(AND(s_Irr!Z4=".",s_Irr!AY4=".",s_Irr!BX4&lt;&gt;"."),s_dir!BA4/((1/1000)*(s_Irr!BX4)),IF(AND(s_Irr!Z4=".",s_Irr!AY4&lt;&gt;".",s_Irr!BX4="."),s_dir!BA4/((1/1000)*(s_Irr!AY4)),IF(AND(s_Irr!Z4&lt;&gt;".",s_Irr!AY4=".",s_Irr!BX4="."),s_dir!BA4/((1/1000)*(s_Irr!Z4)),IF(AND(s_Irr!Z4=".",s_Irr!AY4=".",s_Irr!BX4="."),s_dir!BA4*1000)))))))),".")</f>
        <v>.</v>
      </c>
      <c r="CB4" s="70" t="str">
        <f>IFERROR(IF(AND(s_Irr!AA4&lt;&gt;".",s_Irr!AZ4&lt;&gt;".",s_Irr!BY4&lt;&gt;"."),s_dir!BB4/((1/1000)*(s_Irr!AA4+s_Irr!AZ4+s_Irr!BY4)),IF(AND(s_Irr!AA4&lt;&gt;".",s_Irr!AZ4&lt;&gt;".",s_Irr!BY4="."),s_dir!BB4/((1/1000)*(s_Irr!AA4+s_Irr!AZ4)),IF(AND(s_Irr!AA4&lt;&gt;".",s_Irr!AZ4=".",s_Irr!BY4&lt;&gt;"."),s_dir!BB4/((1/1000)*(s_Irr!AA4+s_Irr!BY4)),IF(AND(s_Irr!AA4=".",s_Irr!AZ4&lt;&gt;".",s_Irr!BY4&lt;&gt;"."),s_dir!BB4/((1/1000)*(s_Irr!AZ4+s_Irr!BY4)),IF(AND(s_Irr!AA4=".",s_Irr!AZ4=".",s_Irr!BY4&lt;&gt;"."),s_dir!BB4/((1/1000)*(s_Irr!BY4)),IF(AND(s_Irr!AA4=".",s_Irr!AZ4&lt;&gt;".",s_Irr!BY4="."),s_dir!BB4/((1/1000)*(s_Irr!AZ4)),IF(AND(s_Irr!AA4&lt;&gt;".",s_Irr!AZ4=".",s_Irr!BY4="."),s_dir!BB4/((1/1000)*(s_Irr!AA4)),IF(AND(s_Irr!AA4=".",s_Irr!AZ4=".",s_Irr!BY4="."),s_dir!BB4*1000)))))))),".")</f>
        <v>.</v>
      </c>
      <c r="CC4" s="87">
        <f t="shared" si="2"/>
        <v>1555.9678251111511</v>
      </c>
      <c r="CD4" s="87">
        <f>IFERROR(s_C*s_IFAP_far_adj*s_CF_apple*(1/1000)*(s_Irr!C4+s_Irr!AB4+s_Irr!BA4),".")</f>
        <v>388.99195627778778</v>
      </c>
      <c r="CE4" s="87">
        <f>IFERROR(s_C*s_IFAS_far_adj*s_CF_asparagus*(1/1000)*(s_Irr!D4+s_Irr!AC4+s_Irr!BB4),".")</f>
        <v>388.99195627778778</v>
      </c>
      <c r="CF4" s="87">
        <f>IFERROR(s_C*s_IFBT_far_adj*s_CF_beet*(1/1000)*(s_Irr!E4+s_Irr!AD4+s_Irr!BC4),".")</f>
        <v>388.99195627778778</v>
      </c>
      <c r="CG4" s="87">
        <f>IFERROR(s_C*s_IFBE_far_adj*s_CF_berries*(1/1000)*(s_Irr!F4+s_Irr!AE4+s_Irr!BD4),".")</f>
        <v>388.99195627778778</v>
      </c>
      <c r="CH4" s="87">
        <f>IFERROR(s_C*s_IFBR_far_adj*s_CF_broccoli*(1/1000)*(s_Irr!G4+s_Irr!AF4+s_Irr!BE4),".")</f>
        <v>388.99195627778778</v>
      </c>
      <c r="CI4" s="87">
        <f>IFERROR(s_C*s_IFCB_far_adj*s_CF_cabbage*(1/1000)*(s_Irr!H4+s_Irr!AG4+s_Irr!BF4),".")</f>
        <v>388.99195627778778</v>
      </c>
      <c r="CJ4" s="87">
        <f>IFERROR(s_C*s_IFCR_far_adj*s_CF_carrot*(1/1000)*(s_Irr!I4+s_Irr!AH4+s_Irr!BG4),".")</f>
        <v>388.99195627778778</v>
      </c>
      <c r="CK4" s="87">
        <f>IFERROR(s_C*s_IFCI_far_adj*s_CF_citrus*(1/1000)*(s_Irr!J4+s_Irr!AI4+s_Irr!BH4),".")</f>
        <v>388.99195627778778</v>
      </c>
      <c r="CL4" s="87">
        <f>IFERROR(s_C*s_IFCO_far_adj*s_CF_corn*(1/1000)*(s_Irr!K4+s_Irr!AJ4+s_Irr!BI4),".")</f>
        <v>388.99195627778778</v>
      </c>
      <c r="CM4" s="87">
        <f>IFERROR(s_C*s_IFCU_far_adj*s_CF_cucumber*(1/1000)*(s_Irr!L4+s_Irr!AK4+s_Irr!BJ4),".")</f>
        <v>388.99195627778778</v>
      </c>
      <c r="CN4" s="87">
        <f>IFERROR(s_C*s_IFLE_far_adj*s_CF_lettuce*(1/1000)*(s_Irr!M4+s_Irr!AL4+s_Irr!BK4),".")</f>
        <v>388.99195627778778</v>
      </c>
      <c r="CO4" s="87">
        <f>IFERROR(s_C*s_IFLI_far_adj*s_CF_lima_bean*(1/1000)*(s_Irr!N4+s_Irr!AM4+s_Irr!BL4),".")</f>
        <v>388.99195627778778</v>
      </c>
      <c r="CP4" s="87">
        <f>IFERROR(s_C*s_IFOK_far_adj*s_CF_okra*(1/1000)*(s_Irr!O4+s_Irr!AN4+s_Irr!BM4),".")</f>
        <v>388.99195627778778</v>
      </c>
      <c r="CQ4" s="87">
        <f>IFERROR(s_C*s_IFON_far_adj*s_CF_onion*(1/1000)*(s_Irr!P4+s_Irr!AO4+s_Irr!BN4),".")</f>
        <v>388.99195627778778</v>
      </c>
      <c r="CR4" s="87">
        <f>IFERROR(s_C*s_IFPC_far_adj*s_CF_peach*(1/1000)*(s_Irr!Q4+s_Irr!AP4+s_Irr!BO4),".")</f>
        <v>388.99195627778778</v>
      </c>
      <c r="CS4" s="87">
        <f>IFERROR(s_C*s_IFPR_far_adj*s_CF_pear*(1/1000)*(s_Irr!R4+s_Irr!AQ4+s_Irr!BP4),".")</f>
        <v>388.99195627778778</v>
      </c>
      <c r="CT4" s="87">
        <f>IFERROR(s_C*s_IFPE_far_adj*s_CF_peas*(1/1000)*(s_Irr!S4+s_Irr!AR4+s_Irr!BQ4),".")</f>
        <v>388.99195627778778</v>
      </c>
      <c r="CU4" s="87">
        <f>IFERROR(s_C*s_IFPP_far_adj*s_CF_peppers*(1/1000)*(s_Irr!T4+s_Irr!AS4+s_Irr!BR4),".")</f>
        <v>388.99195627778778</v>
      </c>
      <c r="CV4" s="87">
        <f>IFERROR(s_C*s_IFPT_far_adj*s_CF_potato*(1/1000)*(s_Irr!U4+s_Irr!AT4+s_Irr!BS4),".")</f>
        <v>388.99195627778778</v>
      </c>
      <c r="CW4" s="87">
        <f>IFERROR(s_C*s_IFPU_far_adj*s_CF_pumpkin*(1/1000)*(s_Irr!V4+s_Irr!AU4+s_Irr!BT4),".")</f>
        <v>388.99195627778778</v>
      </c>
      <c r="CX4" s="87">
        <f>IFERROR(s_C*s_IFSN_far_adj*s_CF_snap_bean*(1/1000)*(s_Irr!W4+s_Irr!AV4+s_Irr!BU4),".")</f>
        <v>388.99195627778778</v>
      </c>
      <c r="CY4" s="87">
        <f>IFERROR(s_C*s_IFST_far_adj*s_CF_strawberry*(1/1000)*(s_Irr!X4+s_Irr!AW4+s_Irr!BV4),".")</f>
        <v>388.99195627778778</v>
      </c>
      <c r="CZ4" s="87">
        <f>IFERROR(s_C*s_IFTO_far_adj*s_CF_tomato*(1/1000)*(s_Irr!Y4+s_Irr!AX4+s_Irr!BW4),".")</f>
        <v>388.99195627778778</v>
      </c>
      <c r="DA4" s="87">
        <f>IFERROR(s_C*s_IFRI_far_adj*s_CF_rice*(1/1000)*(s_Irr!Z4+s_Irr!AY4+s_Irr!BX4),".")</f>
        <v>388.99195627778778</v>
      </c>
      <c r="DB4" s="87">
        <f>IFERROR(s_C*s_IFCG_far_adj*s_CF_cereal*(1/1000)*(s_Irr!AA4+s_Irr!AZ4+s_Irr!BY4),".")</f>
        <v>388.99195627778778</v>
      </c>
    </row>
    <row r="5" spans="1:106" ht="15" customHeight="1" x14ac:dyDescent="0.25">
      <c r="A5" s="86" t="s">
        <v>3</v>
      </c>
      <c r="B5" s="84" t="s">
        <v>1057</v>
      </c>
      <c r="C5" s="15" t="str">
        <f t="shared" si="3"/>
        <v>.</v>
      </c>
      <c r="D5" s="70" t="str">
        <f>IFERROR(IF(AND(s_Irr!C5&lt;&gt;".",s_Irr!AB5&lt;&gt;".",s_Irr!BA5&lt;&gt;"."),s_dir!D5/((1/1000)*(s_Irr!C5+s_Irr!AB5+s_Irr!BA5)),IF(AND(s_Irr!C5&lt;&gt;".",s_Irr!AB5&lt;&gt;".",s_Irr!BA5="."),s_dir!D5/((1/1000)*(s_Irr!C5+s_Irr!AB5)),IF(AND(s_Irr!C5&lt;&gt;".",s_Irr!AB5=".",s_Irr!BA5&lt;&gt;"."),s_dir!D5/((1/1000)*(s_Irr!C5+s_Irr!BA5)),IF(AND(s_Irr!C5=".",s_Irr!AB5&lt;&gt;".",s_Irr!BA5&lt;&gt;"."),s_dir!D5/((1/1000)*(s_Irr!AB5+s_Irr!BA5)),IF(AND(s_Irr!C5=".",s_Irr!AB5=".",s_Irr!BA5&lt;&gt;"."),s_dir!D5/((1/1000)*(s_Irr!BA5)),IF(AND(s_Irr!C5=".",s_Irr!AB5&lt;&gt;".",s_Irr!BA5="."),s_dir!D5/((1/1000)*(s_Irr!AB5)),IF(AND(s_Irr!C5&lt;&gt;".",s_Irr!AB5=".",s_Irr!BA5="."),s_dir!D5/((1/1000)*(s_Irr!C5)),IF(AND(s_Irr!C5=".",s_Irr!AB5=".",s_Irr!BA5="."),s_dir!D5*1000)))))))),".")</f>
        <v>.</v>
      </c>
      <c r="E5" s="70" t="str">
        <f>IFERROR(IF(AND(s_Irr!D5&lt;&gt;".",s_Irr!AC5&lt;&gt;".",s_Irr!BB5&lt;&gt;"."),s_dir!E5/((1/1000)*(s_Irr!D5+s_Irr!AC5+s_Irr!BB5)),IF(AND(s_Irr!D5&lt;&gt;".",s_Irr!AC5&lt;&gt;".",s_Irr!BB5="."),s_dir!E5/((1/1000)*(s_Irr!D5+s_Irr!AC5)),IF(AND(s_Irr!D5&lt;&gt;".",s_Irr!AC5=".",s_Irr!BB5&lt;&gt;"."),s_dir!E5/((1/1000)*(s_Irr!D5+s_Irr!BB5)),IF(AND(s_Irr!D5=".",s_Irr!AC5&lt;&gt;".",s_Irr!BB5&lt;&gt;"."),s_dir!E5/((1/1000)*(s_Irr!AC5+s_Irr!BB5)),IF(AND(s_Irr!D5=".",s_Irr!AC5=".",s_Irr!BB5&lt;&gt;"."),s_dir!E5/((1/1000)*(s_Irr!BB5)),IF(AND(s_Irr!D5=".",s_Irr!AC5&lt;&gt;".",s_Irr!BB5="."),s_dir!E5/((1/1000)*(s_Irr!AC5)),IF(AND(s_Irr!D5&lt;&gt;".",s_Irr!AC5=".",s_Irr!BB5="."),s_dir!E5/((1/1000)*(s_Irr!D5)),IF(AND(s_Irr!D5=".",s_Irr!AC5=".",s_Irr!BB5="."),s_dir!E5*1000)))))))),".")</f>
        <v>.</v>
      </c>
      <c r="F5" s="70" t="str">
        <f>IFERROR(IF(AND(s_Irr!E5&lt;&gt;".",s_Irr!AD5&lt;&gt;".",s_Irr!BC5&lt;&gt;"."),s_dir!F5/((1/1000)*(s_Irr!E5+s_Irr!AD5+s_Irr!BC5)),IF(AND(s_Irr!E5&lt;&gt;".",s_Irr!AD5&lt;&gt;".",s_Irr!BC5="."),s_dir!F5/((1/1000)*(s_Irr!E5+s_Irr!AD5)),IF(AND(s_Irr!E5&lt;&gt;".",s_Irr!AD5=".",s_Irr!BC5&lt;&gt;"."),s_dir!F5/((1/1000)*(s_Irr!E5+s_Irr!BC5)),IF(AND(s_Irr!E5=".",s_Irr!AD5&lt;&gt;".",s_Irr!BC5&lt;&gt;"."),s_dir!F5/((1/1000)*(s_Irr!AD5+s_Irr!BC5)),IF(AND(s_Irr!E5=".",s_Irr!AD5=".",s_Irr!BC5&lt;&gt;"."),s_dir!F5/((1/1000)*(s_Irr!BC5)),IF(AND(s_Irr!E5=".",s_Irr!AD5&lt;&gt;".",s_Irr!BC5="."),s_dir!F5/((1/1000)*(s_Irr!AD5)),IF(AND(s_Irr!E5&lt;&gt;".",s_Irr!AD5=".",s_Irr!BC5="."),s_dir!F5/((1/1000)*(s_Irr!E5)),IF(AND(s_Irr!E5=".",s_Irr!AD5=".",s_Irr!BC5="."),s_dir!F5*1000)))))))),".")</f>
        <v>.</v>
      </c>
      <c r="G5" s="70" t="str">
        <f>IFERROR(IF(AND(s_Irr!F5&lt;&gt;".",s_Irr!AE5&lt;&gt;".",s_Irr!BD5&lt;&gt;"."),s_dir!G5/((1/1000)*(s_Irr!F5+s_Irr!AE5+s_Irr!BD5)),IF(AND(s_Irr!F5&lt;&gt;".",s_Irr!AE5&lt;&gt;".",s_Irr!BD5="."),s_dir!G5/((1/1000)*(s_Irr!F5+s_Irr!AE5)),IF(AND(s_Irr!F5&lt;&gt;".",s_Irr!AE5=".",s_Irr!BD5&lt;&gt;"."),s_dir!G5/((1/1000)*(s_Irr!F5+s_Irr!BD5)),IF(AND(s_Irr!F5=".",s_Irr!AE5&lt;&gt;".",s_Irr!BD5&lt;&gt;"."),s_dir!G5/((1/1000)*(s_Irr!AE5+s_Irr!BD5)),IF(AND(s_Irr!F5=".",s_Irr!AE5=".",s_Irr!BD5&lt;&gt;"."),s_dir!G5/((1/1000)*(s_Irr!BD5)),IF(AND(s_Irr!F5=".",s_Irr!AE5&lt;&gt;".",s_Irr!BD5="."),s_dir!G5/((1/1000)*(s_Irr!AE5)),IF(AND(s_Irr!F5&lt;&gt;".",s_Irr!AE5=".",s_Irr!BD5="."),s_dir!G5/((1/1000)*(s_Irr!F5)),IF(AND(s_Irr!F5=".",s_Irr!AE5=".",s_Irr!BD5="."),s_dir!G5*1000)))))))),".")</f>
        <v>.</v>
      </c>
      <c r="H5" s="70" t="str">
        <f>IFERROR(IF(AND(s_Irr!G5&lt;&gt;".",s_Irr!AF5&lt;&gt;".",s_Irr!BE5&lt;&gt;"."),s_dir!H5/((1/1000)*(s_Irr!G5+s_Irr!AF5+s_Irr!BE5)),IF(AND(s_Irr!G5&lt;&gt;".",s_Irr!AF5&lt;&gt;".",s_Irr!BE5="."),s_dir!H5/((1/1000)*(s_Irr!G5+s_Irr!AF5)),IF(AND(s_Irr!G5&lt;&gt;".",s_Irr!AF5=".",s_Irr!BE5&lt;&gt;"."),s_dir!H5/((1/1000)*(s_Irr!G5+s_Irr!BE5)),IF(AND(s_Irr!G5=".",s_Irr!AF5&lt;&gt;".",s_Irr!BE5&lt;&gt;"."),s_dir!H5/((1/1000)*(s_Irr!AF5+s_Irr!BE5)),IF(AND(s_Irr!G5=".",s_Irr!AF5=".",s_Irr!BE5&lt;&gt;"."),s_dir!H5/((1/1000)*(s_Irr!BE5)),IF(AND(s_Irr!G5=".",s_Irr!AF5&lt;&gt;".",s_Irr!BE5="."),s_dir!H5/((1/1000)*(s_Irr!AF5)),IF(AND(s_Irr!G5&lt;&gt;".",s_Irr!AF5=".",s_Irr!BE5="."),s_dir!H5/((1/1000)*(s_Irr!G5)),IF(AND(s_Irr!G5=".",s_Irr!AF5=".",s_Irr!BE5="."),s_dir!H5*1000)))))))),".")</f>
        <v>.</v>
      </c>
      <c r="I5" s="70" t="str">
        <f>IFERROR(IF(AND(s_Irr!H5&lt;&gt;".",s_Irr!AG5&lt;&gt;".",s_Irr!BF5&lt;&gt;"."),s_dir!I5/((1/1000)*(s_Irr!H5+s_Irr!AG5+s_Irr!BF5)),IF(AND(s_Irr!H5&lt;&gt;".",s_Irr!AG5&lt;&gt;".",s_Irr!BF5="."),s_dir!I5/((1/1000)*(s_Irr!H5+s_Irr!AG5)),IF(AND(s_Irr!H5&lt;&gt;".",s_Irr!AG5=".",s_Irr!BF5&lt;&gt;"."),s_dir!I5/((1/1000)*(s_Irr!H5+s_Irr!BF5)),IF(AND(s_Irr!H5=".",s_Irr!AG5&lt;&gt;".",s_Irr!BF5&lt;&gt;"."),s_dir!I5/((1/1000)*(s_Irr!AG5+s_Irr!BF5)),IF(AND(s_Irr!H5=".",s_Irr!AG5=".",s_Irr!BF5&lt;&gt;"."),s_dir!I5/((1/1000)*(s_Irr!BF5)),IF(AND(s_Irr!H5=".",s_Irr!AG5&lt;&gt;".",s_Irr!BF5="."),s_dir!I5/((1/1000)*(s_Irr!AG5)),IF(AND(s_Irr!H5&lt;&gt;".",s_Irr!AG5=".",s_Irr!BF5="."),s_dir!I5/((1/1000)*(s_Irr!H5)),IF(AND(s_Irr!H5=".",s_Irr!AG5=".",s_Irr!BF5="."),s_dir!I5*1000)))))))),".")</f>
        <v>.</v>
      </c>
      <c r="J5" s="70" t="str">
        <f>IFERROR(IF(AND(s_Irr!I5&lt;&gt;".",s_Irr!AH5&lt;&gt;".",s_Irr!BG5&lt;&gt;"."),s_dir!J5/((1/1000)*(s_Irr!I5+s_Irr!AH5+s_Irr!BG5)),IF(AND(s_Irr!I5&lt;&gt;".",s_Irr!AH5&lt;&gt;".",s_Irr!BG5="."),s_dir!J5/((1/1000)*(s_Irr!I5+s_Irr!AH5)),IF(AND(s_Irr!I5&lt;&gt;".",s_Irr!AH5=".",s_Irr!BG5&lt;&gt;"."),s_dir!J5/((1/1000)*(s_Irr!I5+s_Irr!BG5)),IF(AND(s_Irr!I5=".",s_Irr!AH5&lt;&gt;".",s_Irr!BG5&lt;&gt;"."),s_dir!J5/((1/1000)*(s_Irr!AH5+s_Irr!BG5)),IF(AND(s_Irr!I5=".",s_Irr!AH5=".",s_Irr!BG5&lt;&gt;"."),s_dir!J5/((1/1000)*(s_Irr!BG5)),IF(AND(s_Irr!I5=".",s_Irr!AH5&lt;&gt;".",s_Irr!BG5="."),s_dir!J5/((1/1000)*(s_Irr!AH5)),IF(AND(s_Irr!I5&lt;&gt;".",s_Irr!AH5=".",s_Irr!BG5="."),s_dir!J5/((1/1000)*(s_Irr!I5)),IF(AND(s_Irr!I5=".",s_Irr!AH5=".",s_Irr!BG5="."),s_dir!J5*1000)))))))),".")</f>
        <v>.</v>
      </c>
      <c r="K5" s="70" t="str">
        <f>IFERROR(IF(AND(s_Irr!J5&lt;&gt;".",s_Irr!AI5&lt;&gt;".",s_Irr!BH5&lt;&gt;"."),s_dir!K5/((1/1000)*(s_Irr!J5+s_Irr!AI5+s_Irr!BH5)),IF(AND(s_Irr!J5&lt;&gt;".",s_Irr!AI5&lt;&gt;".",s_Irr!BH5="."),s_dir!K5/((1/1000)*(s_Irr!J5+s_Irr!AI5)),IF(AND(s_Irr!J5&lt;&gt;".",s_Irr!AI5=".",s_Irr!BH5&lt;&gt;"."),s_dir!K5/((1/1000)*(s_Irr!J5+s_Irr!BH5)),IF(AND(s_Irr!J5=".",s_Irr!AI5&lt;&gt;".",s_Irr!BH5&lt;&gt;"."),s_dir!K5/((1/1000)*(s_Irr!AI5+s_Irr!BH5)),IF(AND(s_Irr!J5=".",s_Irr!AI5=".",s_Irr!BH5&lt;&gt;"."),s_dir!K5/((1/1000)*(s_Irr!BH5)),IF(AND(s_Irr!J5=".",s_Irr!AI5&lt;&gt;".",s_Irr!BH5="."),s_dir!K5/((1/1000)*(s_Irr!AI5)),IF(AND(s_Irr!J5&lt;&gt;".",s_Irr!AI5=".",s_Irr!BH5="."),s_dir!K5/((1/1000)*(s_Irr!J5)),IF(AND(s_Irr!J5=".",s_Irr!AI5=".",s_Irr!BH5="."),s_dir!K5*1000)))))))),".")</f>
        <v>.</v>
      </c>
      <c r="L5" s="70" t="str">
        <f>IFERROR(IF(AND(s_Irr!K5&lt;&gt;".",s_Irr!AJ5&lt;&gt;".",s_Irr!BI5&lt;&gt;"."),s_dir!L5/((1/1000)*(s_Irr!K5+s_Irr!AJ5+s_Irr!BI5)),IF(AND(s_Irr!K5&lt;&gt;".",s_Irr!AJ5&lt;&gt;".",s_Irr!BI5="."),s_dir!L5/((1/1000)*(s_Irr!K5+s_Irr!AJ5)),IF(AND(s_Irr!K5&lt;&gt;".",s_Irr!AJ5=".",s_Irr!BI5&lt;&gt;"."),s_dir!L5/((1/1000)*(s_Irr!K5+s_Irr!BI5)),IF(AND(s_Irr!K5=".",s_Irr!AJ5&lt;&gt;".",s_Irr!BI5&lt;&gt;"."),s_dir!L5/((1/1000)*(s_Irr!AJ5+s_Irr!BI5)),IF(AND(s_Irr!K5=".",s_Irr!AJ5=".",s_Irr!BI5&lt;&gt;"."),s_dir!L5/((1/1000)*(s_Irr!BI5)),IF(AND(s_Irr!K5=".",s_Irr!AJ5&lt;&gt;".",s_Irr!BI5="."),s_dir!L5/((1/1000)*(s_Irr!AJ5)),IF(AND(s_Irr!K5&lt;&gt;".",s_Irr!AJ5=".",s_Irr!BI5="."),s_dir!L5/((1/1000)*(s_Irr!K5)),IF(AND(s_Irr!K5=".",s_Irr!AJ5=".",s_Irr!BI5="."),s_dir!L5*1000)))))))),".")</f>
        <v>.</v>
      </c>
      <c r="M5" s="70" t="str">
        <f>IFERROR(IF(AND(s_Irr!L5&lt;&gt;".",s_Irr!AK5&lt;&gt;".",s_Irr!BJ5&lt;&gt;"."),s_dir!M5/((1/1000)*(s_Irr!L5+s_Irr!AK5+s_Irr!BJ5)),IF(AND(s_Irr!L5&lt;&gt;".",s_Irr!AK5&lt;&gt;".",s_Irr!BJ5="."),s_dir!M5/((1/1000)*(s_Irr!L5+s_Irr!AK5)),IF(AND(s_Irr!L5&lt;&gt;".",s_Irr!AK5=".",s_Irr!BJ5&lt;&gt;"."),s_dir!M5/((1/1000)*(s_Irr!L5+s_Irr!BJ5)),IF(AND(s_Irr!L5=".",s_Irr!AK5&lt;&gt;".",s_Irr!BJ5&lt;&gt;"."),s_dir!M5/((1/1000)*(s_Irr!AK5+s_Irr!BJ5)),IF(AND(s_Irr!L5=".",s_Irr!AK5=".",s_Irr!BJ5&lt;&gt;"."),s_dir!M5/((1/1000)*(s_Irr!BJ5)),IF(AND(s_Irr!L5=".",s_Irr!AK5&lt;&gt;".",s_Irr!BJ5="."),s_dir!M5/((1/1000)*(s_Irr!AK5)),IF(AND(s_Irr!L5&lt;&gt;".",s_Irr!AK5=".",s_Irr!BJ5="."),s_dir!M5/((1/1000)*(s_Irr!L5)),IF(AND(s_Irr!L5=".",s_Irr!AK5=".",s_Irr!BJ5="."),s_dir!M5*1000)))))))),".")</f>
        <v>.</v>
      </c>
      <c r="N5" s="70" t="str">
        <f>IFERROR(IF(AND(s_Irr!M5&lt;&gt;".",s_Irr!AL5&lt;&gt;".",s_Irr!BK5&lt;&gt;"."),s_dir!N5/((1/1000)*(s_Irr!M5+s_Irr!AL5+s_Irr!BK5)),IF(AND(s_Irr!M5&lt;&gt;".",s_Irr!AL5&lt;&gt;".",s_Irr!BK5="."),s_dir!N5/((1/1000)*(s_Irr!M5+s_Irr!AL5)),IF(AND(s_Irr!M5&lt;&gt;".",s_Irr!AL5=".",s_Irr!BK5&lt;&gt;"."),s_dir!N5/((1/1000)*(s_Irr!M5+s_Irr!BK5)),IF(AND(s_Irr!M5=".",s_Irr!AL5&lt;&gt;".",s_Irr!BK5&lt;&gt;"."),s_dir!N5/((1/1000)*(s_Irr!AL5+s_Irr!BK5)),IF(AND(s_Irr!M5=".",s_Irr!AL5=".",s_Irr!BK5&lt;&gt;"."),s_dir!N5/((1/1000)*(s_Irr!BK5)),IF(AND(s_Irr!M5=".",s_Irr!AL5&lt;&gt;".",s_Irr!BK5="."),s_dir!N5/((1/1000)*(s_Irr!AL5)),IF(AND(s_Irr!M5&lt;&gt;".",s_Irr!AL5=".",s_Irr!BK5="."),s_dir!N5/((1/1000)*(s_Irr!M5)),IF(AND(s_Irr!M5=".",s_Irr!AL5=".",s_Irr!BK5="."),s_dir!N5*1000)))))))),".")</f>
        <v>.</v>
      </c>
      <c r="O5" s="70" t="str">
        <f>IFERROR(IF(AND(s_Irr!N5&lt;&gt;".",s_Irr!AM5&lt;&gt;".",s_Irr!BL5&lt;&gt;"."),s_dir!O5/((1/1000)*(s_Irr!N5+s_Irr!AM5+s_Irr!BL5)),IF(AND(s_Irr!N5&lt;&gt;".",s_Irr!AM5&lt;&gt;".",s_Irr!BL5="."),s_dir!O5/((1/1000)*(s_Irr!N5+s_Irr!AM5)),IF(AND(s_Irr!N5&lt;&gt;".",s_Irr!AM5=".",s_Irr!BL5&lt;&gt;"."),s_dir!O5/((1/1000)*(s_Irr!N5+s_Irr!BL5)),IF(AND(s_Irr!N5=".",s_Irr!AM5&lt;&gt;".",s_Irr!BL5&lt;&gt;"."),s_dir!O5/((1/1000)*(s_Irr!AM5+s_Irr!BL5)),IF(AND(s_Irr!N5=".",s_Irr!AM5=".",s_Irr!BL5&lt;&gt;"."),s_dir!O5/((1/1000)*(s_Irr!BL5)),IF(AND(s_Irr!N5=".",s_Irr!AM5&lt;&gt;".",s_Irr!BL5="."),s_dir!O5/((1/1000)*(s_Irr!AM5)),IF(AND(s_Irr!N5&lt;&gt;".",s_Irr!AM5=".",s_Irr!BL5="."),s_dir!O5/((1/1000)*(s_Irr!N5)),IF(AND(s_Irr!N5=".",s_Irr!AM5=".",s_Irr!BL5="."),s_dir!O5*1000)))))))),".")</f>
        <v>.</v>
      </c>
      <c r="P5" s="70" t="str">
        <f>IFERROR(IF(AND(s_Irr!O5&lt;&gt;".",s_Irr!AN5&lt;&gt;".",s_Irr!BM5&lt;&gt;"."),s_dir!P5/((1/1000)*(s_Irr!O5+s_Irr!AN5+s_Irr!BM5)),IF(AND(s_Irr!O5&lt;&gt;".",s_Irr!AN5&lt;&gt;".",s_Irr!BM5="."),s_dir!P5/((1/1000)*(s_Irr!O5+s_Irr!AN5)),IF(AND(s_Irr!O5&lt;&gt;".",s_Irr!AN5=".",s_Irr!BM5&lt;&gt;"."),s_dir!P5/((1/1000)*(s_Irr!O5+s_Irr!BM5)),IF(AND(s_Irr!O5=".",s_Irr!AN5&lt;&gt;".",s_Irr!BM5&lt;&gt;"."),s_dir!P5/((1/1000)*(s_Irr!AN5+s_Irr!BM5)),IF(AND(s_Irr!O5=".",s_Irr!AN5=".",s_Irr!BM5&lt;&gt;"."),s_dir!P5/((1/1000)*(s_Irr!BM5)),IF(AND(s_Irr!O5=".",s_Irr!AN5&lt;&gt;".",s_Irr!BM5="."),s_dir!P5/((1/1000)*(s_Irr!AN5)),IF(AND(s_Irr!O5&lt;&gt;".",s_Irr!AN5=".",s_Irr!BM5="."),s_dir!P5/((1/1000)*(s_Irr!O5)),IF(AND(s_Irr!O5=".",s_Irr!AN5=".",s_Irr!BM5="."),s_dir!P5*1000)))))))),".")</f>
        <v>.</v>
      </c>
      <c r="Q5" s="70" t="str">
        <f>IFERROR(IF(AND(s_Irr!P5&lt;&gt;".",s_Irr!AO5&lt;&gt;".",s_Irr!BN5&lt;&gt;"."),s_dir!Q5/((1/1000)*(s_Irr!P5+s_Irr!AO5+s_Irr!BN5)),IF(AND(s_Irr!P5&lt;&gt;".",s_Irr!AO5&lt;&gt;".",s_Irr!BN5="."),s_dir!Q5/((1/1000)*(s_Irr!P5+s_Irr!AO5)),IF(AND(s_Irr!P5&lt;&gt;".",s_Irr!AO5=".",s_Irr!BN5&lt;&gt;"."),s_dir!Q5/((1/1000)*(s_Irr!P5+s_Irr!BN5)),IF(AND(s_Irr!P5=".",s_Irr!AO5&lt;&gt;".",s_Irr!BN5&lt;&gt;"."),s_dir!Q5/((1/1000)*(s_Irr!AO5+s_Irr!BN5)),IF(AND(s_Irr!P5=".",s_Irr!AO5=".",s_Irr!BN5&lt;&gt;"."),s_dir!Q5/((1/1000)*(s_Irr!BN5)),IF(AND(s_Irr!P5=".",s_Irr!AO5&lt;&gt;".",s_Irr!BN5="."),s_dir!Q5/((1/1000)*(s_Irr!AO5)),IF(AND(s_Irr!P5&lt;&gt;".",s_Irr!AO5=".",s_Irr!BN5="."),s_dir!Q5/((1/1000)*(s_Irr!P5)),IF(AND(s_Irr!P5=".",s_Irr!AO5=".",s_Irr!BN5="."),s_dir!Q5*1000)))))))),".")</f>
        <v>.</v>
      </c>
      <c r="R5" s="70" t="str">
        <f>IFERROR(IF(AND(s_Irr!Q5&lt;&gt;".",s_Irr!AP5&lt;&gt;".",s_Irr!BO5&lt;&gt;"."),s_dir!R5/((1/1000)*(s_Irr!Q5+s_Irr!AP5+s_Irr!BO5)),IF(AND(s_Irr!Q5&lt;&gt;".",s_Irr!AP5&lt;&gt;".",s_Irr!BO5="."),s_dir!R5/((1/1000)*(s_Irr!Q5+s_Irr!AP5)),IF(AND(s_Irr!Q5&lt;&gt;".",s_Irr!AP5=".",s_Irr!BO5&lt;&gt;"."),s_dir!R5/((1/1000)*(s_Irr!Q5+s_Irr!BO5)),IF(AND(s_Irr!Q5=".",s_Irr!AP5&lt;&gt;".",s_Irr!BO5&lt;&gt;"."),s_dir!R5/((1/1000)*(s_Irr!AP5+s_Irr!BO5)),IF(AND(s_Irr!Q5=".",s_Irr!AP5=".",s_Irr!BO5&lt;&gt;"."),s_dir!R5/((1/1000)*(s_Irr!BO5)),IF(AND(s_Irr!Q5=".",s_Irr!AP5&lt;&gt;".",s_Irr!BO5="."),s_dir!R5/((1/1000)*(s_Irr!AP5)),IF(AND(s_Irr!Q5&lt;&gt;".",s_Irr!AP5=".",s_Irr!BO5="."),s_dir!R5/((1/1000)*(s_Irr!Q5)),IF(AND(s_Irr!Q5=".",s_Irr!AP5=".",s_Irr!BO5="."),s_dir!R5*1000)))))))),".")</f>
        <v>.</v>
      </c>
      <c r="S5" s="70" t="str">
        <f>IFERROR(IF(AND(s_Irr!R5&lt;&gt;".",s_Irr!AQ5&lt;&gt;".",s_Irr!BP5&lt;&gt;"."),s_dir!S5/((1/1000)*(s_Irr!R5+s_Irr!AQ5+s_Irr!BP5)),IF(AND(s_Irr!R5&lt;&gt;".",s_Irr!AQ5&lt;&gt;".",s_Irr!BP5="."),s_dir!S5/((1/1000)*(s_Irr!R5+s_Irr!AQ5)),IF(AND(s_Irr!R5&lt;&gt;".",s_Irr!AQ5=".",s_Irr!BP5&lt;&gt;"."),s_dir!S5/((1/1000)*(s_Irr!R5+s_Irr!BP5)),IF(AND(s_Irr!R5=".",s_Irr!AQ5&lt;&gt;".",s_Irr!BP5&lt;&gt;"."),s_dir!S5/((1/1000)*(s_Irr!AQ5+s_Irr!BP5)),IF(AND(s_Irr!R5=".",s_Irr!AQ5=".",s_Irr!BP5&lt;&gt;"."),s_dir!S5/((1/1000)*(s_Irr!BP5)),IF(AND(s_Irr!R5=".",s_Irr!AQ5&lt;&gt;".",s_Irr!BP5="."),s_dir!S5/((1/1000)*(s_Irr!AQ5)),IF(AND(s_Irr!R5&lt;&gt;".",s_Irr!AQ5=".",s_Irr!BP5="."),s_dir!S5/((1/1000)*(s_Irr!R5)),IF(AND(s_Irr!R5=".",s_Irr!AQ5=".",s_Irr!BP5="."),s_dir!S5*1000)))))))),".")</f>
        <v>.</v>
      </c>
      <c r="T5" s="70" t="str">
        <f>IFERROR(IF(AND(s_Irr!S5&lt;&gt;".",s_Irr!AR5&lt;&gt;".",s_Irr!BQ5&lt;&gt;"."),s_dir!T5/((1/1000)*(s_Irr!S5+s_Irr!AR5+s_Irr!BQ5)),IF(AND(s_Irr!S5&lt;&gt;".",s_Irr!AR5&lt;&gt;".",s_Irr!BQ5="."),s_dir!T5/((1/1000)*(s_Irr!S5+s_Irr!AR5)),IF(AND(s_Irr!S5&lt;&gt;".",s_Irr!AR5=".",s_Irr!BQ5&lt;&gt;"."),s_dir!T5/((1/1000)*(s_Irr!S5+s_Irr!BQ5)),IF(AND(s_Irr!S5=".",s_Irr!AR5&lt;&gt;".",s_Irr!BQ5&lt;&gt;"."),s_dir!T5/((1/1000)*(s_Irr!AR5+s_Irr!BQ5)),IF(AND(s_Irr!S5=".",s_Irr!AR5=".",s_Irr!BQ5&lt;&gt;"."),s_dir!T5/((1/1000)*(s_Irr!BQ5)),IF(AND(s_Irr!S5=".",s_Irr!AR5&lt;&gt;".",s_Irr!BQ5="."),s_dir!T5/((1/1000)*(s_Irr!AR5)),IF(AND(s_Irr!S5&lt;&gt;".",s_Irr!AR5=".",s_Irr!BQ5="."),s_dir!T5/((1/1000)*(s_Irr!S5)),IF(AND(s_Irr!S5=".",s_Irr!AR5=".",s_Irr!BQ5="."),s_dir!T5*1000)))))))),".")</f>
        <v>.</v>
      </c>
      <c r="U5" s="70" t="str">
        <f>IFERROR(IF(AND(s_Irr!T5&lt;&gt;".",s_Irr!AS5&lt;&gt;".",s_Irr!BR5&lt;&gt;"."),s_dir!U5/((1/1000)*(s_Irr!T5+s_Irr!AS5+s_Irr!BR5)),IF(AND(s_Irr!T5&lt;&gt;".",s_Irr!AS5&lt;&gt;".",s_Irr!BR5="."),s_dir!U5/((1/1000)*(s_Irr!T5+s_Irr!AS5)),IF(AND(s_Irr!T5&lt;&gt;".",s_Irr!AS5=".",s_Irr!BR5&lt;&gt;"."),s_dir!U5/((1/1000)*(s_Irr!T5+s_Irr!BR5)),IF(AND(s_Irr!T5=".",s_Irr!AS5&lt;&gt;".",s_Irr!BR5&lt;&gt;"."),s_dir!U5/((1/1000)*(s_Irr!AS5+s_Irr!BR5)),IF(AND(s_Irr!T5=".",s_Irr!AS5=".",s_Irr!BR5&lt;&gt;"."),s_dir!U5/((1/1000)*(s_Irr!BR5)),IF(AND(s_Irr!T5=".",s_Irr!AS5&lt;&gt;".",s_Irr!BR5="."),s_dir!U5/((1/1000)*(s_Irr!AS5)),IF(AND(s_Irr!T5&lt;&gt;".",s_Irr!AS5=".",s_Irr!BR5="."),s_dir!U5/((1/1000)*(s_Irr!T5)),IF(AND(s_Irr!T5=".",s_Irr!AS5=".",s_Irr!BR5="."),s_dir!U5*1000)))))))),".")</f>
        <v>.</v>
      </c>
      <c r="V5" s="70" t="str">
        <f>IFERROR(IF(AND(s_Irr!U5&lt;&gt;".",s_Irr!AT5&lt;&gt;".",s_Irr!BS5&lt;&gt;"."),s_dir!V5/((1/1000)*(s_Irr!U5+s_Irr!AT5+s_Irr!BS5)),IF(AND(s_Irr!U5&lt;&gt;".",s_Irr!AT5&lt;&gt;".",s_Irr!BS5="."),s_dir!V5/((1/1000)*(s_Irr!U5+s_Irr!AT5)),IF(AND(s_Irr!U5&lt;&gt;".",s_Irr!AT5=".",s_Irr!BS5&lt;&gt;"."),s_dir!V5/((1/1000)*(s_Irr!U5+s_Irr!BS5)),IF(AND(s_Irr!U5=".",s_Irr!AT5&lt;&gt;".",s_Irr!BS5&lt;&gt;"."),s_dir!V5/((1/1000)*(s_Irr!AT5+s_Irr!BS5)),IF(AND(s_Irr!U5=".",s_Irr!AT5=".",s_Irr!BS5&lt;&gt;"."),s_dir!V5/((1/1000)*(s_Irr!BS5)),IF(AND(s_Irr!U5=".",s_Irr!AT5&lt;&gt;".",s_Irr!BS5="."),s_dir!V5/((1/1000)*(s_Irr!AT5)),IF(AND(s_Irr!U5&lt;&gt;".",s_Irr!AT5=".",s_Irr!BS5="."),s_dir!V5/((1/1000)*(s_Irr!U5)),IF(AND(s_Irr!U5=".",s_Irr!AT5=".",s_Irr!BS5="."),s_dir!V5*1000)))))))),".")</f>
        <v>.</v>
      </c>
      <c r="W5" s="70" t="str">
        <f>IFERROR(IF(AND(s_Irr!V5&lt;&gt;".",s_Irr!AU5&lt;&gt;".",s_Irr!BT5&lt;&gt;"."),s_dir!W5/((1/1000)*(s_Irr!V5+s_Irr!AU5+s_Irr!BT5)),IF(AND(s_Irr!V5&lt;&gt;".",s_Irr!AU5&lt;&gt;".",s_Irr!BT5="."),s_dir!W5/((1/1000)*(s_Irr!V5+s_Irr!AU5)),IF(AND(s_Irr!V5&lt;&gt;".",s_Irr!AU5=".",s_Irr!BT5&lt;&gt;"."),s_dir!W5/((1/1000)*(s_Irr!V5+s_Irr!BT5)),IF(AND(s_Irr!V5=".",s_Irr!AU5&lt;&gt;".",s_Irr!BT5&lt;&gt;"."),s_dir!W5/((1/1000)*(s_Irr!AU5+s_Irr!BT5)),IF(AND(s_Irr!V5=".",s_Irr!AU5=".",s_Irr!BT5&lt;&gt;"."),s_dir!W5/((1/1000)*(s_Irr!BT5)),IF(AND(s_Irr!V5=".",s_Irr!AU5&lt;&gt;".",s_Irr!BT5="."),s_dir!W5/((1/1000)*(s_Irr!AU5)),IF(AND(s_Irr!V5&lt;&gt;".",s_Irr!AU5=".",s_Irr!BT5="."),s_dir!W5/((1/1000)*(s_Irr!V5)),IF(AND(s_Irr!V5=".",s_Irr!AU5=".",s_Irr!BT5="."),s_dir!W5*1000)))))))),".")</f>
        <v>.</v>
      </c>
      <c r="X5" s="70" t="str">
        <f>IFERROR(IF(AND(s_Irr!W5&lt;&gt;".",s_Irr!AV5&lt;&gt;".",s_Irr!BU5&lt;&gt;"."),s_dir!X5/((1/1000)*(s_Irr!W5+s_Irr!AV5+s_Irr!BU5)),IF(AND(s_Irr!W5&lt;&gt;".",s_Irr!AV5&lt;&gt;".",s_Irr!BU5="."),s_dir!X5/((1/1000)*(s_Irr!W5+s_Irr!AV5)),IF(AND(s_Irr!W5&lt;&gt;".",s_Irr!AV5=".",s_Irr!BU5&lt;&gt;"."),s_dir!X5/((1/1000)*(s_Irr!W5+s_Irr!BU5)),IF(AND(s_Irr!W5=".",s_Irr!AV5&lt;&gt;".",s_Irr!BU5&lt;&gt;"."),s_dir!X5/((1/1000)*(s_Irr!AV5+s_Irr!BU5)),IF(AND(s_Irr!W5=".",s_Irr!AV5=".",s_Irr!BU5&lt;&gt;"."),s_dir!X5/((1/1000)*(s_Irr!BU5)),IF(AND(s_Irr!W5=".",s_Irr!AV5&lt;&gt;".",s_Irr!BU5="."),s_dir!X5/((1/1000)*(s_Irr!AV5)),IF(AND(s_Irr!W5&lt;&gt;".",s_Irr!AV5=".",s_Irr!BU5="."),s_dir!X5/((1/1000)*(s_Irr!W5)),IF(AND(s_Irr!W5=".",s_Irr!AV5=".",s_Irr!BU5="."),s_dir!X5*1000)))))))),".")</f>
        <v>.</v>
      </c>
      <c r="Y5" s="70" t="str">
        <f>IFERROR(IF(AND(s_Irr!X5&lt;&gt;".",s_Irr!AW5&lt;&gt;".",s_Irr!BV5&lt;&gt;"."),s_dir!Y5/((1/1000)*(s_Irr!X5+s_Irr!AW5+s_Irr!BV5)),IF(AND(s_Irr!X5&lt;&gt;".",s_Irr!AW5&lt;&gt;".",s_Irr!BV5="."),s_dir!Y5/((1/1000)*(s_Irr!X5+s_Irr!AW5)),IF(AND(s_Irr!X5&lt;&gt;".",s_Irr!AW5=".",s_Irr!BV5&lt;&gt;"."),s_dir!Y5/((1/1000)*(s_Irr!X5+s_Irr!BV5)),IF(AND(s_Irr!X5=".",s_Irr!AW5&lt;&gt;".",s_Irr!BV5&lt;&gt;"."),s_dir!Y5/((1/1000)*(s_Irr!AW5+s_Irr!BV5)),IF(AND(s_Irr!X5=".",s_Irr!AW5=".",s_Irr!BV5&lt;&gt;"."),s_dir!Y5/((1/1000)*(s_Irr!BV5)),IF(AND(s_Irr!X5=".",s_Irr!AW5&lt;&gt;".",s_Irr!BV5="."),s_dir!Y5/((1/1000)*(s_Irr!AW5)),IF(AND(s_Irr!X5&lt;&gt;".",s_Irr!AW5=".",s_Irr!BV5="."),s_dir!Y5/((1/1000)*(s_Irr!X5)),IF(AND(s_Irr!X5=".",s_Irr!AW5=".",s_Irr!BV5="."),s_dir!Y5*1000)))))))),".")</f>
        <v>.</v>
      </c>
      <c r="Z5" s="70" t="str">
        <f>IFERROR(IF(AND(s_Irr!Y5&lt;&gt;".",s_Irr!AX5&lt;&gt;".",s_Irr!BW5&lt;&gt;"."),s_dir!Z5/((1/1000)*(s_Irr!Y5+s_Irr!AX5+s_Irr!BW5)),IF(AND(s_Irr!Y5&lt;&gt;".",s_Irr!AX5&lt;&gt;".",s_Irr!BW5="."),s_dir!Z5/((1/1000)*(s_Irr!Y5+s_Irr!AX5)),IF(AND(s_Irr!Y5&lt;&gt;".",s_Irr!AX5=".",s_Irr!BW5&lt;&gt;"."),s_dir!Z5/((1/1000)*(s_Irr!Y5+s_Irr!BW5)),IF(AND(s_Irr!Y5=".",s_Irr!AX5&lt;&gt;".",s_Irr!BW5&lt;&gt;"."),s_dir!Z5/((1/1000)*(s_Irr!AX5+s_Irr!BW5)),IF(AND(s_Irr!Y5=".",s_Irr!AX5=".",s_Irr!BW5&lt;&gt;"."),s_dir!Z5/((1/1000)*(s_Irr!BW5)),IF(AND(s_Irr!Y5=".",s_Irr!AX5&lt;&gt;".",s_Irr!BW5="."),s_dir!Z5/((1/1000)*(s_Irr!AX5)),IF(AND(s_Irr!Y5&lt;&gt;".",s_Irr!AX5=".",s_Irr!BW5="."),s_dir!Z5/((1/1000)*(s_Irr!Y5)),IF(AND(s_Irr!Y5=".",s_Irr!AX5=".",s_Irr!BW5="."),s_dir!Z5*1000)))))))),".")</f>
        <v>.</v>
      </c>
      <c r="AA5" s="70" t="str">
        <f>IFERROR(IF(AND(s_Irr!Z5&lt;&gt;".",s_Irr!AY5&lt;&gt;".",s_Irr!BX5&lt;&gt;"."),s_dir!AA5/((1/1000)*(s_Irr!Z5+s_Irr!AY5+s_Irr!BX5)),IF(AND(s_Irr!Z5&lt;&gt;".",s_Irr!AY5&lt;&gt;".",s_Irr!BX5="."),s_dir!AA5/((1/1000)*(s_Irr!Z5+s_Irr!AY5)),IF(AND(s_Irr!Z5&lt;&gt;".",s_Irr!AY5=".",s_Irr!BX5&lt;&gt;"."),s_dir!AA5/((1/1000)*(s_Irr!Z5+s_Irr!BX5)),IF(AND(s_Irr!Z5=".",s_Irr!AY5&lt;&gt;".",s_Irr!BX5&lt;&gt;"."),s_dir!AA5/((1/1000)*(s_Irr!AY5+s_Irr!BX5)),IF(AND(s_Irr!Z5=".",s_Irr!AY5=".",s_Irr!BX5&lt;&gt;"."),s_dir!AA5/((1/1000)*(s_Irr!BX5)),IF(AND(s_Irr!Z5=".",s_Irr!AY5&lt;&gt;".",s_Irr!BX5="."),s_dir!AA5/((1/1000)*(s_Irr!AY5)),IF(AND(s_Irr!Z5&lt;&gt;".",s_Irr!AY5=".",s_Irr!BX5="."),s_dir!AA5/((1/1000)*(s_Irr!Z5)),IF(AND(s_Irr!Z5=".",s_Irr!AY5=".",s_Irr!BX5="."),s_dir!AA5*1000)))))))),".")</f>
        <v>.</v>
      </c>
      <c r="AB5" s="70" t="str">
        <f>IFERROR(IF(AND(s_Irr!AA5&lt;&gt;".",s_Irr!AZ5&lt;&gt;".",s_Irr!BY5&lt;&gt;"."),s_dir!AB5/((1/1000)*(s_Irr!AA5+s_Irr!AZ5+s_Irr!BY5)),IF(AND(s_Irr!AA5&lt;&gt;".",s_Irr!AZ5&lt;&gt;".",s_Irr!BY5="."),s_dir!AB5/((1/1000)*(s_Irr!AA5+s_Irr!AZ5)),IF(AND(s_Irr!AA5&lt;&gt;".",s_Irr!AZ5=".",s_Irr!BY5&lt;&gt;"."),s_dir!AB5/((1/1000)*(s_Irr!AA5+s_Irr!BY5)),IF(AND(s_Irr!AA5=".",s_Irr!AZ5&lt;&gt;".",s_Irr!BY5&lt;&gt;"."),s_dir!AB5/((1/1000)*(s_Irr!AZ5+s_Irr!BY5)),IF(AND(s_Irr!AA5=".",s_Irr!AZ5=".",s_Irr!BY5&lt;&gt;"."),s_dir!AB5/((1/1000)*(s_Irr!BY5)),IF(AND(s_Irr!AA5=".",s_Irr!AZ5&lt;&gt;".",s_Irr!BY5="."),s_dir!AB5/((1/1000)*(s_Irr!AZ5)),IF(AND(s_Irr!AA5&lt;&gt;".",s_Irr!AZ5=".",s_Irr!BY5="."),s_dir!AB5/((1/1000)*(s_Irr!AA5)),IF(AND(s_Irr!AA5=".",s_Irr!AZ5=".",s_Irr!BY5="."),s_dir!AB5*1000)))))))),".")</f>
        <v>.</v>
      </c>
      <c r="AC5" s="87">
        <f t="shared" si="4"/>
        <v>1555.9678251111511</v>
      </c>
      <c r="AD5" s="87">
        <f>IFERROR(s_C*s_IFAP_res_adj*s_CF_apple*0.001*(s_Irr!C5+s_Irr!AB5+s_Irr!BA5),".")</f>
        <v>388.99195627778778</v>
      </c>
      <c r="AE5" s="87">
        <f>IFERROR(s_C*s_IFAS_res_adj*s_CF_asparagus*0.001*(s_Irr!D5+s_Irr!AC5+s_Irr!BB5),".")</f>
        <v>388.99195627778778</v>
      </c>
      <c r="AF5" s="87">
        <f>IFERROR(s_C*s_IFBT_res_adj*s_CF_beet*0.001*(s_Irr!E5+s_Irr!AD5+s_Irr!BC5),".")</f>
        <v>388.99195627778778</v>
      </c>
      <c r="AG5" s="87">
        <f>IFERROR(s_C*s_IFBE_res_adj*s_CF_berries*0.001*(s_Irr!F5+s_Irr!AE5+s_Irr!BD5),".")</f>
        <v>388.99195627778778</v>
      </c>
      <c r="AH5" s="87">
        <f>IFERROR(s_C*s_IFBR_res_adj*s_CF_broccoli*0.001*(s_Irr!G5+s_Irr!AF5+s_Irr!BE5),".")</f>
        <v>388.99195627778778</v>
      </c>
      <c r="AI5" s="87">
        <f>IFERROR(s_C*s_IFCB_res_adj*s_CF_cabbage*0.001*(s_Irr!H5+s_Irr!AG5+s_Irr!BF5),".")</f>
        <v>388.99195627778778</v>
      </c>
      <c r="AJ5" s="87">
        <f>IFERROR(s_C*s_IFCR_res_adj*s_CF_carrot*0.001*(s_Irr!I5+s_Irr!AH5+s_Irr!BG5),".")</f>
        <v>388.99195627778778</v>
      </c>
      <c r="AK5" s="87">
        <f>IFERROR(s_C*s_IFCI_res_adj*s_CF_citrus*0.001*(s_Irr!J5+s_Irr!AI5+s_Irr!BH5),".")</f>
        <v>388.99195627778778</v>
      </c>
      <c r="AL5" s="87">
        <f>IFERROR(s_C*s_IFCO_res_adj*s_CF_corn*0.001*(s_Irr!K5+s_Irr!AJ5+s_Irr!BI5),".")</f>
        <v>388.99195627778778</v>
      </c>
      <c r="AM5" s="87">
        <f>IFERROR(s_C*s_IFCU_res_adj*s_CF_cucumber*0.001*(s_Irr!L5+s_Irr!AK5+s_Irr!BJ5),".")</f>
        <v>388.99195627778778</v>
      </c>
      <c r="AN5" s="87">
        <f>IFERROR(s_C*s_IFLE_res_adj*s_CF_lettuce*0.001*(s_Irr!M5+s_Irr!AL5+s_Irr!BK5),".")</f>
        <v>388.99195627778778</v>
      </c>
      <c r="AO5" s="87">
        <f>IFERROR(s_C*s_IFLI_res_adj*s_CF_lima_bean*0.001*(s_Irr!N5+s_Irr!AM5+s_Irr!BL5),".")</f>
        <v>388.99195627778778</v>
      </c>
      <c r="AP5" s="87">
        <f>IFERROR(s_C*s_IFOK_res_adj*s_CF_okra*0.001*(s_Irr!O5+s_Irr!AN5+s_Irr!BM5),".")</f>
        <v>388.99195627778778</v>
      </c>
      <c r="AQ5" s="87">
        <f>IFERROR(s_C*s_IFON_res_adj*s_CF_onion*0.001*(s_Irr!P5+s_Irr!AO5+s_Irr!BN5),".")</f>
        <v>388.99195627778778</v>
      </c>
      <c r="AR5" s="87">
        <f>IFERROR(s_C*s_IFPC_res_adj*s_CF_peach*0.001*(s_Irr!Q5+s_Irr!AP5+s_Irr!BO5),".")</f>
        <v>388.99195627778778</v>
      </c>
      <c r="AS5" s="87">
        <f>IFERROR(s_C*s_IFPR_res_adj*s_CF_pear*0.001*(s_Irr!R5+s_Irr!AQ5+s_Irr!BP5),".")</f>
        <v>388.99195627778778</v>
      </c>
      <c r="AT5" s="87">
        <f>IFERROR(s_C*s_IFPE_res_adj*s_CF_peas*0.001*(s_Irr!S5+s_Irr!AR5+s_Irr!BQ5),".")</f>
        <v>388.99195627778778</v>
      </c>
      <c r="AU5" s="87">
        <f>IFERROR(s_C*s_IFPP_res_adj*s_CF_peppers*0.001*(s_Irr!T5+s_Irr!AS5+s_Irr!BR5),".")</f>
        <v>388.99195627778778</v>
      </c>
      <c r="AV5" s="87">
        <f>IFERROR(s_C*s_IFPT_res_adj*s_CF_potato*0.001*(s_Irr!U5+s_Irr!AT5+s_Irr!BS5),".")</f>
        <v>388.99195627778778</v>
      </c>
      <c r="AW5" s="87">
        <f>IFERROR(s_C*s_IFPU_res_adj*s_CF_pumpkin*0.001*(s_Irr!V5+s_Irr!AU5+s_Irr!BT5),".")</f>
        <v>388.99195627778778</v>
      </c>
      <c r="AX5" s="87">
        <f>IFERROR(s_C*s_IFSN_res_adj*s_CF_snap_bean*0.001*(s_Irr!W5+s_Irr!AV5+s_Irr!BU5),".")</f>
        <v>388.99195627778778</v>
      </c>
      <c r="AY5" s="87">
        <f>IFERROR(s_C*s_IFST_res_adj*s_CF_strawberry*0.001*(s_Irr!X5+s_Irr!AW5+s_Irr!BV5),".")</f>
        <v>388.99195627778778</v>
      </c>
      <c r="AZ5" s="87">
        <f>IFERROR(s_C*s_IFTO_res_adj*s_CF_tomato*0.001*(s_Irr!Y5+s_Irr!AX5+s_Irr!BW5),".")</f>
        <v>388.99195627778778</v>
      </c>
      <c r="BA5" s="87">
        <f>IFERROR(s_C*s_IFRI_res_adj*s_CF_rice*0.001*(s_Irr!Z5+s_Irr!AY5+s_Irr!BX5),".")</f>
        <v>388.99195627778778</v>
      </c>
      <c r="BB5" s="87">
        <f>IFERROR(s_C*s_IFCG_res_adj*s_CF_cereal*0.001*(s_Irr!AA5+s_Irr!AZ5+s_Irr!BY5),".")</f>
        <v>388.99195627778778</v>
      </c>
      <c r="BC5" s="70" t="str">
        <f t="shared" si="1"/>
        <v>.</v>
      </c>
      <c r="BD5" s="70" t="str">
        <f>IFERROR(IF(AND(s_Irr!C5&lt;&gt;".",s_Irr!AB5&lt;&gt;".",s_Irr!BA5&lt;&gt;"."),s_dir!AD5/((1/1000)*(s_Irr!C5+s_Irr!AB5+s_Irr!BA5)),IF(AND(s_Irr!C5&lt;&gt;".",s_Irr!AB5&lt;&gt;".",s_Irr!BA5="."),s_dir!AD5/((1/1000)*(s_Irr!C5+s_Irr!AB5)),IF(AND(s_Irr!C5&lt;&gt;".",s_Irr!AB5=".",s_Irr!BA5&lt;&gt;"."),s_dir!AD5/((1/1000)*(s_Irr!C5+s_Irr!BA5)),IF(AND(s_Irr!C5=".",s_Irr!AB5&lt;&gt;".",s_Irr!BA5&lt;&gt;"."),s_dir!AD5/((1/1000)*(s_Irr!AB5+s_Irr!BA5)),IF(AND(s_Irr!C5=".",s_Irr!AB5=".",s_Irr!BA5&lt;&gt;"."),s_dir!AD5/((1/1000)*(s_Irr!BA5)),IF(AND(s_Irr!C5=".",s_Irr!AB5&lt;&gt;".",s_Irr!BA5="."),s_dir!AD5/((1/1000)*(s_Irr!AB5)),IF(AND(s_Irr!C5&lt;&gt;".",s_Irr!AB5=".",s_Irr!BA5="."),s_dir!AD5/((1/1000)*(s_Irr!C5)),IF(AND(s_Irr!C5=".",s_Irr!AB5=".",s_Irr!BA5="."),s_dir!AD5*1000)))))))),".")</f>
        <v>.</v>
      </c>
      <c r="BE5" s="70" t="str">
        <f>IFERROR(IF(AND(s_Irr!D5&lt;&gt;".",s_Irr!AC5&lt;&gt;".",s_Irr!BB5&lt;&gt;"."),s_dir!AE5/((1/1000)*(s_Irr!D5+s_Irr!AC5+s_Irr!BB5)),IF(AND(s_Irr!D5&lt;&gt;".",s_Irr!AC5&lt;&gt;".",s_Irr!BB5="."),s_dir!AE5/((1/1000)*(s_Irr!D5+s_Irr!AC5)),IF(AND(s_Irr!D5&lt;&gt;".",s_Irr!AC5=".",s_Irr!BB5&lt;&gt;"."),s_dir!AE5/((1/1000)*(s_Irr!D5+s_Irr!BB5)),IF(AND(s_Irr!D5=".",s_Irr!AC5&lt;&gt;".",s_Irr!BB5&lt;&gt;"."),s_dir!AE5/((1/1000)*(s_Irr!AC5+s_Irr!BB5)),IF(AND(s_Irr!D5=".",s_Irr!AC5=".",s_Irr!BB5&lt;&gt;"."),s_dir!AE5/((1/1000)*(s_Irr!BB5)),IF(AND(s_Irr!D5=".",s_Irr!AC5&lt;&gt;".",s_Irr!BB5="."),s_dir!AE5/((1/1000)*(s_Irr!AC5)),IF(AND(s_Irr!D5&lt;&gt;".",s_Irr!AC5=".",s_Irr!BB5="."),s_dir!AE5/((1/1000)*(s_Irr!D5)),IF(AND(s_Irr!D5=".",s_Irr!AC5=".",s_Irr!BB5="."),s_dir!AE5*1000)))))))),".")</f>
        <v>.</v>
      </c>
      <c r="BF5" s="70" t="str">
        <f>IFERROR(IF(AND(s_Irr!E5&lt;&gt;".",s_Irr!AD5&lt;&gt;".",s_Irr!BC5&lt;&gt;"."),s_dir!AF5/((1/1000)*(s_Irr!E5+s_Irr!AD5+s_Irr!BC5)),IF(AND(s_Irr!E5&lt;&gt;".",s_Irr!AD5&lt;&gt;".",s_Irr!BC5="."),s_dir!AF5/((1/1000)*(s_Irr!E5+s_Irr!AD5)),IF(AND(s_Irr!E5&lt;&gt;".",s_Irr!AD5=".",s_Irr!BC5&lt;&gt;"."),s_dir!AF5/((1/1000)*(s_Irr!E5+s_Irr!BC5)),IF(AND(s_Irr!E5=".",s_Irr!AD5&lt;&gt;".",s_Irr!BC5&lt;&gt;"."),s_dir!AF5/((1/1000)*(s_Irr!AD5+s_Irr!BC5)),IF(AND(s_Irr!E5=".",s_Irr!AD5=".",s_Irr!BC5&lt;&gt;"."),s_dir!AF5/((1/1000)*(s_Irr!BC5)),IF(AND(s_Irr!E5=".",s_Irr!AD5&lt;&gt;".",s_Irr!BC5="."),s_dir!AF5/((1/1000)*(s_Irr!AD5)),IF(AND(s_Irr!E5&lt;&gt;".",s_Irr!AD5=".",s_Irr!BC5="."),s_dir!AF5/((1/1000)*(s_Irr!E5)),IF(AND(s_Irr!E5=".",s_Irr!AD5=".",s_Irr!BC5="."),s_dir!AF5*1000)))))))),".")</f>
        <v>.</v>
      </c>
      <c r="BG5" s="70" t="str">
        <f>IFERROR(IF(AND(s_Irr!F5&lt;&gt;".",s_Irr!AE5&lt;&gt;".",s_Irr!BD5&lt;&gt;"."),s_dir!AG5/((1/1000)*(s_Irr!F5+s_Irr!AE5+s_Irr!BD5)),IF(AND(s_Irr!F5&lt;&gt;".",s_Irr!AE5&lt;&gt;".",s_Irr!BD5="."),s_dir!AG5/((1/1000)*(s_Irr!F5+s_Irr!AE5)),IF(AND(s_Irr!F5&lt;&gt;".",s_Irr!AE5=".",s_Irr!BD5&lt;&gt;"."),s_dir!AG5/((1/1000)*(s_Irr!F5+s_Irr!BD5)),IF(AND(s_Irr!F5=".",s_Irr!AE5&lt;&gt;".",s_Irr!BD5&lt;&gt;"."),s_dir!AG5/((1/1000)*(s_Irr!AE5+s_Irr!BD5)),IF(AND(s_Irr!F5=".",s_Irr!AE5=".",s_Irr!BD5&lt;&gt;"."),s_dir!AG5/((1/1000)*(s_Irr!BD5)),IF(AND(s_Irr!F5=".",s_Irr!AE5&lt;&gt;".",s_Irr!BD5="."),s_dir!AG5/((1/1000)*(s_Irr!AE5)),IF(AND(s_Irr!F5&lt;&gt;".",s_Irr!AE5=".",s_Irr!BD5="."),s_dir!AG5/((1/1000)*(s_Irr!F5)),IF(AND(s_Irr!F5=".",s_Irr!AE5=".",s_Irr!BD5="."),s_dir!AG5*1000)))))))),".")</f>
        <v>.</v>
      </c>
      <c r="BH5" s="70" t="str">
        <f>IFERROR(IF(AND(s_Irr!G5&lt;&gt;".",s_Irr!AF5&lt;&gt;".",s_Irr!BE5&lt;&gt;"."),s_dir!AH5/((1/1000)*(s_Irr!G5+s_Irr!AF5+s_Irr!BE5)),IF(AND(s_Irr!G5&lt;&gt;".",s_Irr!AF5&lt;&gt;".",s_Irr!BE5="."),s_dir!AH5/((1/1000)*(s_Irr!G5+s_Irr!AF5)),IF(AND(s_Irr!G5&lt;&gt;".",s_Irr!AF5=".",s_Irr!BE5&lt;&gt;"."),s_dir!AH5/((1/1000)*(s_Irr!G5+s_Irr!BE5)),IF(AND(s_Irr!G5=".",s_Irr!AF5&lt;&gt;".",s_Irr!BE5&lt;&gt;"."),s_dir!AH5/((1/1000)*(s_Irr!AF5+s_Irr!BE5)),IF(AND(s_Irr!G5=".",s_Irr!AF5=".",s_Irr!BE5&lt;&gt;"."),s_dir!AH5/((1/1000)*(s_Irr!BE5)),IF(AND(s_Irr!G5=".",s_Irr!AF5&lt;&gt;".",s_Irr!BE5="."),s_dir!AH5/((1/1000)*(s_Irr!AF5)),IF(AND(s_Irr!G5&lt;&gt;".",s_Irr!AF5=".",s_Irr!BE5="."),s_dir!AH5/((1/1000)*(s_Irr!G5)),IF(AND(s_Irr!G5=".",s_Irr!AF5=".",s_Irr!BE5="."),s_dir!AH5*1000)))))))),".")</f>
        <v>.</v>
      </c>
      <c r="BI5" s="70" t="str">
        <f>IFERROR(IF(AND(s_Irr!H5&lt;&gt;".",s_Irr!AG5&lt;&gt;".",s_Irr!BF5&lt;&gt;"."),s_dir!AI5/((1/1000)*(s_Irr!H5+s_Irr!AG5+s_Irr!BF5)),IF(AND(s_Irr!H5&lt;&gt;".",s_Irr!AG5&lt;&gt;".",s_Irr!BF5="."),s_dir!AI5/((1/1000)*(s_Irr!H5+s_Irr!AG5)),IF(AND(s_Irr!H5&lt;&gt;".",s_Irr!AG5=".",s_Irr!BF5&lt;&gt;"."),s_dir!AI5/((1/1000)*(s_Irr!H5+s_Irr!BF5)),IF(AND(s_Irr!H5=".",s_Irr!AG5&lt;&gt;".",s_Irr!BF5&lt;&gt;"."),s_dir!AI5/((1/1000)*(s_Irr!AG5+s_Irr!BF5)),IF(AND(s_Irr!H5=".",s_Irr!AG5=".",s_Irr!BF5&lt;&gt;"."),s_dir!AI5/((1/1000)*(s_Irr!BF5)),IF(AND(s_Irr!H5=".",s_Irr!AG5&lt;&gt;".",s_Irr!BF5="."),s_dir!AI5/((1/1000)*(s_Irr!AG5)),IF(AND(s_Irr!H5&lt;&gt;".",s_Irr!AG5=".",s_Irr!BF5="."),s_dir!AI5/((1/1000)*(s_Irr!H5)),IF(AND(s_Irr!H5=".",s_Irr!AG5=".",s_Irr!BF5="."),s_dir!AI5*1000)))))))),".")</f>
        <v>.</v>
      </c>
      <c r="BJ5" s="70" t="str">
        <f>IFERROR(IF(AND(s_Irr!I5&lt;&gt;".",s_Irr!AH5&lt;&gt;".",s_Irr!BG5&lt;&gt;"."),s_dir!AJ5/((1/1000)*(s_Irr!I5+s_Irr!AH5+s_Irr!BG5)),IF(AND(s_Irr!I5&lt;&gt;".",s_Irr!AH5&lt;&gt;".",s_Irr!BG5="."),s_dir!AJ5/((1/1000)*(s_Irr!I5+s_Irr!AH5)),IF(AND(s_Irr!I5&lt;&gt;".",s_Irr!AH5=".",s_Irr!BG5&lt;&gt;"."),s_dir!AJ5/((1/1000)*(s_Irr!I5+s_Irr!BG5)),IF(AND(s_Irr!I5=".",s_Irr!AH5&lt;&gt;".",s_Irr!BG5&lt;&gt;"."),s_dir!AJ5/((1/1000)*(s_Irr!AH5+s_Irr!BG5)),IF(AND(s_Irr!I5=".",s_Irr!AH5=".",s_Irr!BG5&lt;&gt;"."),s_dir!AJ5/((1/1000)*(s_Irr!BG5)),IF(AND(s_Irr!I5=".",s_Irr!AH5&lt;&gt;".",s_Irr!BG5="."),s_dir!AJ5/((1/1000)*(s_Irr!AH5)),IF(AND(s_Irr!I5&lt;&gt;".",s_Irr!AH5=".",s_Irr!BG5="."),s_dir!AJ5/((1/1000)*(s_Irr!I5)),IF(AND(s_Irr!I5=".",s_Irr!AH5=".",s_Irr!BG5="."),s_dir!AJ5*1000)))))))),".")</f>
        <v>.</v>
      </c>
      <c r="BK5" s="70" t="str">
        <f>IFERROR(IF(AND(s_Irr!J5&lt;&gt;".",s_Irr!AI5&lt;&gt;".",s_Irr!BH5&lt;&gt;"."),s_dir!AK5/((1/1000)*(s_Irr!J5+s_Irr!AI5+s_Irr!BH5)),IF(AND(s_Irr!J5&lt;&gt;".",s_Irr!AI5&lt;&gt;".",s_Irr!BH5="."),s_dir!AK5/((1/1000)*(s_Irr!J5+s_Irr!AI5)),IF(AND(s_Irr!J5&lt;&gt;".",s_Irr!AI5=".",s_Irr!BH5&lt;&gt;"."),s_dir!AK5/((1/1000)*(s_Irr!J5+s_Irr!BH5)),IF(AND(s_Irr!J5=".",s_Irr!AI5&lt;&gt;".",s_Irr!BH5&lt;&gt;"."),s_dir!AK5/((1/1000)*(s_Irr!AI5+s_Irr!BH5)),IF(AND(s_Irr!J5=".",s_Irr!AI5=".",s_Irr!BH5&lt;&gt;"."),s_dir!AK5/((1/1000)*(s_Irr!BH5)),IF(AND(s_Irr!J5=".",s_Irr!AI5&lt;&gt;".",s_Irr!BH5="."),s_dir!AK5/((1/1000)*(s_Irr!AI5)),IF(AND(s_Irr!J5&lt;&gt;".",s_Irr!AI5=".",s_Irr!BH5="."),s_dir!AK5/((1/1000)*(s_Irr!J5)),IF(AND(s_Irr!J5=".",s_Irr!AI5=".",s_Irr!BH5="."),s_dir!AK5*1000)))))))),".")</f>
        <v>.</v>
      </c>
      <c r="BL5" s="70" t="str">
        <f>IFERROR(IF(AND(s_Irr!K5&lt;&gt;".",s_Irr!AJ5&lt;&gt;".",s_Irr!BI5&lt;&gt;"."),s_dir!AL5/((1/1000)*(s_Irr!K5+s_Irr!AJ5+s_Irr!BI5)),IF(AND(s_Irr!K5&lt;&gt;".",s_Irr!AJ5&lt;&gt;".",s_Irr!BI5="."),s_dir!AL5/((1/1000)*(s_Irr!K5+s_Irr!AJ5)),IF(AND(s_Irr!K5&lt;&gt;".",s_Irr!AJ5=".",s_Irr!BI5&lt;&gt;"."),s_dir!AL5/((1/1000)*(s_Irr!K5+s_Irr!BI5)),IF(AND(s_Irr!K5=".",s_Irr!AJ5&lt;&gt;".",s_Irr!BI5&lt;&gt;"."),s_dir!AL5/((1/1000)*(s_Irr!AJ5+s_Irr!BI5)),IF(AND(s_Irr!K5=".",s_Irr!AJ5=".",s_Irr!BI5&lt;&gt;"."),s_dir!AL5/((1/1000)*(s_Irr!BI5)),IF(AND(s_Irr!K5=".",s_Irr!AJ5&lt;&gt;".",s_Irr!BI5="."),s_dir!AL5/((1/1000)*(s_Irr!AJ5)),IF(AND(s_Irr!K5&lt;&gt;".",s_Irr!AJ5=".",s_Irr!BI5="."),s_dir!AL5/((1/1000)*(s_Irr!K5)),IF(AND(s_Irr!K5=".",s_Irr!AJ5=".",s_Irr!BI5="."),s_dir!AL5*1000)))))))),".")</f>
        <v>.</v>
      </c>
      <c r="BM5" s="70" t="str">
        <f>IFERROR(IF(AND(s_Irr!L5&lt;&gt;".",s_Irr!AK5&lt;&gt;".",s_Irr!BJ5&lt;&gt;"."),s_dir!AM5/((1/1000)*(s_Irr!L5+s_Irr!AK5+s_Irr!BJ5)),IF(AND(s_Irr!L5&lt;&gt;".",s_Irr!AK5&lt;&gt;".",s_Irr!BJ5="."),s_dir!AM5/((1/1000)*(s_Irr!L5+s_Irr!AK5)),IF(AND(s_Irr!L5&lt;&gt;".",s_Irr!AK5=".",s_Irr!BJ5&lt;&gt;"."),s_dir!AM5/((1/1000)*(s_Irr!L5+s_Irr!BJ5)),IF(AND(s_Irr!L5=".",s_Irr!AK5&lt;&gt;".",s_Irr!BJ5&lt;&gt;"."),s_dir!AM5/((1/1000)*(s_Irr!AK5+s_Irr!BJ5)),IF(AND(s_Irr!L5=".",s_Irr!AK5=".",s_Irr!BJ5&lt;&gt;"."),s_dir!AM5/((1/1000)*(s_Irr!BJ5)),IF(AND(s_Irr!L5=".",s_Irr!AK5&lt;&gt;".",s_Irr!BJ5="."),s_dir!AM5/((1/1000)*(s_Irr!AK5)),IF(AND(s_Irr!L5&lt;&gt;".",s_Irr!AK5=".",s_Irr!BJ5="."),s_dir!AM5/((1/1000)*(s_Irr!L5)),IF(AND(s_Irr!L5=".",s_Irr!AK5=".",s_Irr!BJ5="."),s_dir!AM5*1000)))))))),".")</f>
        <v>.</v>
      </c>
      <c r="BN5" s="70" t="str">
        <f>IFERROR(IF(AND(s_Irr!M5&lt;&gt;".",s_Irr!AL5&lt;&gt;".",s_Irr!BK5&lt;&gt;"."),s_dir!AN5/((1/1000)*(s_Irr!M5+s_Irr!AL5+s_Irr!BK5)),IF(AND(s_Irr!M5&lt;&gt;".",s_Irr!AL5&lt;&gt;".",s_Irr!BK5="."),s_dir!AN5/((1/1000)*(s_Irr!M5+s_Irr!AL5)),IF(AND(s_Irr!M5&lt;&gt;".",s_Irr!AL5=".",s_Irr!BK5&lt;&gt;"."),s_dir!AN5/((1/1000)*(s_Irr!M5+s_Irr!BK5)),IF(AND(s_Irr!M5=".",s_Irr!AL5&lt;&gt;".",s_Irr!BK5&lt;&gt;"."),s_dir!AN5/((1/1000)*(s_Irr!AL5+s_Irr!BK5)),IF(AND(s_Irr!M5=".",s_Irr!AL5=".",s_Irr!BK5&lt;&gt;"."),s_dir!AN5/((1/1000)*(s_Irr!BK5)),IF(AND(s_Irr!M5=".",s_Irr!AL5&lt;&gt;".",s_Irr!BK5="."),s_dir!AN5/((1/1000)*(s_Irr!AL5)),IF(AND(s_Irr!M5&lt;&gt;".",s_Irr!AL5=".",s_Irr!BK5="."),s_dir!AN5/((1/1000)*(s_Irr!M5)),IF(AND(s_Irr!M5=".",s_Irr!AL5=".",s_Irr!BK5="."),s_dir!AN5*1000)))))))),".")</f>
        <v>.</v>
      </c>
      <c r="BO5" s="70" t="str">
        <f>IFERROR(IF(AND(s_Irr!N5&lt;&gt;".",s_Irr!AM5&lt;&gt;".",s_Irr!BL5&lt;&gt;"."),s_dir!AO5/((1/1000)*(s_Irr!N5+s_Irr!AM5+s_Irr!BL5)),IF(AND(s_Irr!N5&lt;&gt;".",s_Irr!AM5&lt;&gt;".",s_Irr!BL5="."),s_dir!AO5/((1/1000)*(s_Irr!N5+s_Irr!AM5)),IF(AND(s_Irr!N5&lt;&gt;".",s_Irr!AM5=".",s_Irr!BL5&lt;&gt;"."),s_dir!AO5/((1/1000)*(s_Irr!N5+s_Irr!BL5)),IF(AND(s_Irr!N5=".",s_Irr!AM5&lt;&gt;".",s_Irr!BL5&lt;&gt;"."),s_dir!AO5/((1/1000)*(s_Irr!AM5+s_Irr!BL5)),IF(AND(s_Irr!N5=".",s_Irr!AM5=".",s_Irr!BL5&lt;&gt;"."),s_dir!AO5/((1/1000)*(s_Irr!BL5)),IF(AND(s_Irr!N5=".",s_Irr!AM5&lt;&gt;".",s_Irr!BL5="."),s_dir!AO5/((1/1000)*(s_Irr!AM5)),IF(AND(s_Irr!N5&lt;&gt;".",s_Irr!AM5=".",s_Irr!BL5="."),s_dir!AO5/((1/1000)*(s_Irr!N5)),IF(AND(s_Irr!N5=".",s_Irr!AM5=".",s_Irr!BL5="."),s_dir!AO5*1000)))))))),".")</f>
        <v>.</v>
      </c>
      <c r="BP5" s="70" t="str">
        <f>IFERROR(IF(AND(s_Irr!O5&lt;&gt;".",s_Irr!AN5&lt;&gt;".",s_Irr!BM5&lt;&gt;"."),s_dir!AP5/((1/1000)*(s_Irr!O5+s_Irr!AN5+s_Irr!BM5)),IF(AND(s_Irr!O5&lt;&gt;".",s_Irr!AN5&lt;&gt;".",s_Irr!BM5="."),s_dir!AP5/((1/1000)*(s_Irr!O5+s_Irr!AN5)),IF(AND(s_Irr!O5&lt;&gt;".",s_Irr!AN5=".",s_Irr!BM5&lt;&gt;"."),s_dir!AP5/((1/1000)*(s_Irr!O5+s_Irr!BM5)),IF(AND(s_Irr!O5=".",s_Irr!AN5&lt;&gt;".",s_Irr!BM5&lt;&gt;"."),s_dir!AP5/((1/1000)*(s_Irr!AN5+s_Irr!BM5)),IF(AND(s_Irr!O5=".",s_Irr!AN5=".",s_Irr!BM5&lt;&gt;"."),s_dir!AP5/((1/1000)*(s_Irr!BM5)),IF(AND(s_Irr!O5=".",s_Irr!AN5&lt;&gt;".",s_Irr!BM5="."),s_dir!AP5/((1/1000)*(s_Irr!AN5)),IF(AND(s_Irr!O5&lt;&gt;".",s_Irr!AN5=".",s_Irr!BM5="."),s_dir!AP5/((1/1000)*(s_Irr!O5)),IF(AND(s_Irr!O5=".",s_Irr!AN5=".",s_Irr!BM5="."),s_dir!AP5*1000)))))))),".")</f>
        <v>.</v>
      </c>
      <c r="BQ5" s="70" t="str">
        <f>IFERROR(IF(AND(s_Irr!P5&lt;&gt;".",s_Irr!AO5&lt;&gt;".",s_Irr!BN5&lt;&gt;"."),s_dir!AQ5/((1/1000)*(s_Irr!P5+s_Irr!AO5+s_Irr!BN5)),IF(AND(s_Irr!P5&lt;&gt;".",s_Irr!AO5&lt;&gt;".",s_Irr!BN5="."),s_dir!AQ5/((1/1000)*(s_Irr!P5+s_Irr!AO5)),IF(AND(s_Irr!P5&lt;&gt;".",s_Irr!AO5=".",s_Irr!BN5&lt;&gt;"."),s_dir!AQ5/((1/1000)*(s_Irr!P5+s_Irr!BN5)),IF(AND(s_Irr!P5=".",s_Irr!AO5&lt;&gt;".",s_Irr!BN5&lt;&gt;"."),s_dir!AQ5/((1/1000)*(s_Irr!AO5+s_Irr!BN5)),IF(AND(s_Irr!P5=".",s_Irr!AO5=".",s_Irr!BN5&lt;&gt;"."),s_dir!AQ5/((1/1000)*(s_Irr!BN5)),IF(AND(s_Irr!P5=".",s_Irr!AO5&lt;&gt;".",s_Irr!BN5="."),s_dir!AQ5/((1/1000)*(s_Irr!AO5)),IF(AND(s_Irr!P5&lt;&gt;".",s_Irr!AO5=".",s_Irr!BN5="."),s_dir!AQ5/((1/1000)*(s_Irr!P5)),IF(AND(s_Irr!P5=".",s_Irr!AO5=".",s_Irr!BN5="."),s_dir!AQ5*1000)))))))),".")</f>
        <v>.</v>
      </c>
      <c r="BR5" s="70" t="str">
        <f>IFERROR(IF(AND(s_Irr!Q5&lt;&gt;".",s_Irr!AP5&lt;&gt;".",s_Irr!BO5&lt;&gt;"."),s_dir!AR5/((1/1000)*(s_Irr!Q5+s_Irr!AP5+s_Irr!BO5)),IF(AND(s_Irr!Q5&lt;&gt;".",s_Irr!AP5&lt;&gt;".",s_Irr!BO5="."),s_dir!AR5/((1/1000)*(s_Irr!Q5+s_Irr!AP5)),IF(AND(s_Irr!Q5&lt;&gt;".",s_Irr!AP5=".",s_Irr!BO5&lt;&gt;"."),s_dir!AR5/((1/1000)*(s_Irr!Q5+s_Irr!BO5)),IF(AND(s_Irr!Q5=".",s_Irr!AP5&lt;&gt;".",s_Irr!BO5&lt;&gt;"."),s_dir!AR5/((1/1000)*(s_Irr!AP5+s_Irr!BO5)),IF(AND(s_Irr!Q5=".",s_Irr!AP5=".",s_Irr!BO5&lt;&gt;"."),s_dir!AR5/((1/1000)*(s_Irr!BO5)),IF(AND(s_Irr!Q5=".",s_Irr!AP5&lt;&gt;".",s_Irr!BO5="."),s_dir!AR5/((1/1000)*(s_Irr!AP5)),IF(AND(s_Irr!Q5&lt;&gt;".",s_Irr!AP5=".",s_Irr!BO5="."),s_dir!AR5/((1/1000)*(s_Irr!Q5)),IF(AND(s_Irr!Q5=".",s_Irr!AP5=".",s_Irr!BO5="."),s_dir!AR5*1000)))))))),".")</f>
        <v>.</v>
      </c>
      <c r="BS5" s="70" t="str">
        <f>IFERROR(IF(AND(s_Irr!R5&lt;&gt;".",s_Irr!AQ5&lt;&gt;".",s_Irr!BP5&lt;&gt;"."),s_dir!AS5/((1/1000)*(s_Irr!R5+s_Irr!AQ5+s_Irr!BP5)),IF(AND(s_Irr!R5&lt;&gt;".",s_Irr!AQ5&lt;&gt;".",s_Irr!BP5="."),s_dir!AS5/((1/1000)*(s_Irr!R5+s_Irr!AQ5)),IF(AND(s_Irr!R5&lt;&gt;".",s_Irr!AQ5=".",s_Irr!BP5&lt;&gt;"."),s_dir!AS5/((1/1000)*(s_Irr!R5+s_Irr!BP5)),IF(AND(s_Irr!R5=".",s_Irr!AQ5&lt;&gt;".",s_Irr!BP5&lt;&gt;"."),s_dir!AS5/((1/1000)*(s_Irr!AQ5+s_Irr!BP5)),IF(AND(s_Irr!R5=".",s_Irr!AQ5=".",s_Irr!BP5&lt;&gt;"."),s_dir!AS5/((1/1000)*(s_Irr!BP5)),IF(AND(s_Irr!R5=".",s_Irr!AQ5&lt;&gt;".",s_Irr!BP5="."),s_dir!AS5/((1/1000)*(s_Irr!AQ5)),IF(AND(s_Irr!R5&lt;&gt;".",s_Irr!AQ5=".",s_Irr!BP5="."),s_dir!AS5/((1/1000)*(s_Irr!R5)),IF(AND(s_Irr!R5=".",s_Irr!AQ5=".",s_Irr!BP5="."),s_dir!AS5*1000)))))))),".")</f>
        <v>.</v>
      </c>
      <c r="BT5" s="70" t="str">
        <f>IFERROR(IF(AND(s_Irr!S5&lt;&gt;".",s_Irr!AR5&lt;&gt;".",s_Irr!BQ5&lt;&gt;"."),s_dir!AT5/((1/1000)*(s_Irr!S5+s_Irr!AR5+s_Irr!BQ5)),IF(AND(s_Irr!S5&lt;&gt;".",s_Irr!AR5&lt;&gt;".",s_Irr!BQ5="."),s_dir!AT5/((1/1000)*(s_Irr!S5+s_Irr!AR5)),IF(AND(s_Irr!S5&lt;&gt;".",s_Irr!AR5=".",s_Irr!BQ5&lt;&gt;"."),s_dir!AT5/((1/1000)*(s_Irr!S5+s_Irr!BQ5)),IF(AND(s_Irr!S5=".",s_Irr!AR5&lt;&gt;".",s_Irr!BQ5&lt;&gt;"."),s_dir!AT5/((1/1000)*(s_Irr!AR5+s_Irr!BQ5)),IF(AND(s_Irr!S5=".",s_Irr!AR5=".",s_Irr!BQ5&lt;&gt;"."),s_dir!AT5/((1/1000)*(s_Irr!BQ5)),IF(AND(s_Irr!S5=".",s_Irr!AR5&lt;&gt;".",s_Irr!BQ5="."),s_dir!AT5/((1/1000)*(s_Irr!AR5)),IF(AND(s_Irr!S5&lt;&gt;".",s_Irr!AR5=".",s_Irr!BQ5="."),s_dir!AT5/((1/1000)*(s_Irr!S5)),IF(AND(s_Irr!S5=".",s_Irr!AR5=".",s_Irr!BQ5="."),s_dir!AT5*1000)))))))),".")</f>
        <v>.</v>
      </c>
      <c r="BU5" s="70" t="str">
        <f>IFERROR(IF(AND(s_Irr!T5&lt;&gt;".",s_Irr!AS5&lt;&gt;".",s_Irr!BR5&lt;&gt;"."),s_dir!AU5/((1/1000)*(s_Irr!T5+s_Irr!AS5+s_Irr!BR5)),IF(AND(s_Irr!T5&lt;&gt;".",s_Irr!AS5&lt;&gt;".",s_Irr!BR5="."),s_dir!AU5/((1/1000)*(s_Irr!T5+s_Irr!AS5)),IF(AND(s_Irr!T5&lt;&gt;".",s_Irr!AS5=".",s_Irr!BR5&lt;&gt;"."),s_dir!AU5/((1/1000)*(s_Irr!T5+s_Irr!BR5)),IF(AND(s_Irr!T5=".",s_Irr!AS5&lt;&gt;".",s_Irr!BR5&lt;&gt;"."),s_dir!AU5/((1/1000)*(s_Irr!AS5+s_Irr!BR5)),IF(AND(s_Irr!T5=".",s_Irr!AS5=".",s_Irr!BR5&lt;&gt;"."),s_dir!AU5/((1/1000)*(s_Irr!BR5)),IF(AND(s_Irr!T5=".",s_Irr!AS5&lt;&gt;".",s_Irr!BR5="."),s_dir!AU5/((1/1000)*(s_Irr!AS5)),IF(AND(s_Irr!T5&lt;&gt;".",s_Irr!AS5=".",s_Irr!BR5="."),s_dir!AU5/((1/1000)*(s_Irr!T5)),IF(AND(s_Irr!T5=".",s_Irr!AS5=".",s_Irr!BR5="."),s_dir!AU5*1000)))))))),".")</f>
        <v>.</v>
      </c>
      <c r="BV5" s="70" t="str">
        <f>IFERROR(IF(AND(s_Irr!U5&lt;&gt;".",s_Irr!AT5&lt;&gt;".",s_Irr!BS5&lt;&gt;"."),s_dir!AV5/((1/1000)*(s_Irr!U5+s_Irr!AT5+s_Irr!BS5)),IF(AND(s_Irr!U5&lt;&gt;".",s_Irr!AT5&lt;&gt;".",s_Irr!BS5="."),s_dir!AV5/((1/1000)*(s_Irr!U5+s_Irr!AT5)),IF(AND(s_Irr!U5&lt;&gt;".",s_Irr!AT5=".",s_Irr!BS5&lt;&gt;"."),s_dir!AV5/((1/1000)*(s_Irr!U5+s_Irr!BS5)),IF(AND(s_Irr!U5=".",s_Irr!AT5&lt;&gt;".",s_Irr!BS5&lt;&gt;"."),s_dir!AV5/((1/1000)*(s_Irr!AT5+s_Irr!BS5)),IF(AND(s_Irr!U5=".",s_Irr!AT5=".",s_Irr!BS5&lt;&gt;"."),s_dir!AV5/((1/1000)*(s_Irr!BS5)),IF(AND(s_Irr!U5=".",s_Irr!AT5&lt;&gt;".",s_Irr!BS5="."),s_dir!AV5/((1/1000)*(s_Irr!AT5)),IF(AND(s_Irr!U5&lt;&gt;".",s_Irr!AT5=".",s_Irr!BS5="."),s_dir!AV5/((1/1000)*(s_Irr!U5)),IF(AND(s_Irr!U5=".",s_Irr!AT5=".",s_Irr!BS5="."),s_dir!AV5*1000)))))))),".")</f>
        <v>.</v>
      </c>
      <c r="BW5" s="70" t="str">
        <f>IFERROR(IF(AND(s_Irr!V5&lt;&gt;".",s_Irr!AU5&lt;&gt;".",s_Irr!BT5&lt;&gt;"."),s_dir!AW5/((1/1000)*(s_Irr!V5+s_Irr!AU5+s_Irr!BT5)),IF(AND(s_Irr!V5&lt;&gt;".",s_Irr!AU5&lt;&gt;".",s_Irr!BT5="."),s_dir!AW5/((1/1000)*(s_Irr!V5+s_Irr!AU5)),IF(AND(s_Irr!V5&lt;&gt;".",s_Irr!AU5=".",s_Irr!BT5&lt;&gt;"."),s_dir!AW5/((1/1000)*(s_Irr!V5+s_Irr!BT5)),IF(AND(s_Irr!V5=".",s_Irr!AU5&lt;&gt;".",s_Irr!BT5&lt;&gt;"."),s_dir!AW5/((1/1000)*(s_Irr!AU5+s_Irr!BT5)),IF(AND(s_Irr!V5=".",s_Irr!AU5=".",s_Irr!BT5&lt;&gt;"."),s_dir!AW5/((1/1000)*(s_Irr!BT5)),IF(AND(s_Irr!V5=".",s_Irr!AU5&lt;&gt;".",s_Irr!BT5="."),s_dir!AW5/((1/1000)*(s_Irr!AU5)),IF(AND(s_Irr!V5&lt;&gt;".",s_Irr!AU5=".",s_Irr!BT5="."),s_dir!AW5/((1/1000)*(s_Irr!V5)),IF(AND(s_Irr!V5=".",s_Irr!AU5=".",s_Irr!BT5="."),s_dir!AW5*1000)))))))),".")</f>
        <v>.</v>
      </c>
      <c r="BX5" s="70" t="str">
        <f>IFERROR(IF(AND(s_Irr!W5&lt;&gt;".",s_Irr!AV5&lt;&gt;".",s_Irr!BU5&lt;&gt;"."),s_dir!AX5/((1/1000)*(s_Irr!W5+s_Irr!AV5+s_Irr!BU5)),IF(AND(s_Irr!W5&lt;&gt;".",s_Irr!AV5&lt;&gt;".",s_Irr!BU5="."),s_dir!AX5/((1/1000)*(s_Irr!W5+s_Irr!AV5)),IF(AND(s_Irr!W5&lt;&gt;".",s_Irr!AV5=".",s_Irr!BU5&lt;&gt;"."),s_dir!AX5/((1/1000)*(s_Irr!W5+s_Irr!BU5)),IF(AND(s_Irr!W5=".",s_Irr!AV5&lt;&gt;".",s_Irr!BU5&lt;&gt;"."),s_dir!AX5/((1/1000)*(s_Irr!AV5+s_Irr!BU5)),IF(AND(s_Irr!W5=".",s_Irr!AV5=".",s_Irr!BU5&lt;&gt;"."),s_dir!AX5/((1/1000)*(s_Irr!BU5)),IF(AND(s_Irr!W5=".",s_Irr!AV5&lt;&gt;".",s_Irr!BU5="."),s_dir!AX5/((1/1000)*(s_Irr!AV5)),IF(AND(s_Irr!W5&lt;&gt;".",s_Irr!AV5=".",s_Irr!BU5="."),s_dir!AX5/((1/1000)*(s_Irr!W5)),IF(AND(s_Irr!W5=".",s_Irr!AV5=".",s_Irr!BU5="."),s_dir!AX5*1000)))))))),".")</f>
        <v>.</v>
      </c>
      <c r="BY5" s="70" t="str">
        <f>IFERROR(IF(AND(s_Irr!X5&lt;&gt;".",s_Irr!AW5&lt;&gt;".",s_Irr!BV5&lt;&gt;"."),s_dir!AY5/((1/1000)*(s_Irr!X5+s_Irr!AW5+s_Irr!BV5)),IF(AND(s_Irr!X5&lt;&gt;".",s_Irr!AW5&lt;&gt;".",s_Irr!BV5="."),s_dir!AY5/((1/1000)*(s_Irr!X5+s_Irr!AW5)),IF(AND(s_Irr!X5&lt;&gt;".",s_Irr!AW5=".",s_Irr!BV5&lt;&gt;"."),s_dir!AY5/((1/1000)*(s_Irr!X5+s_Irr!BV5)),IF(AND(s_Irr!X5=".",s_Irr!AW5&lt;&gt;".",s_Irr!BV5&lt;&gt;"."),s_dir!AY5/((1/1000)*(s_Irr!AW5+s_Irr!BV5)),IF(AND(s_Irr!X5=".",s_Irr!AW5=".",s_Irr!BV5&lt;&gt;"."),s_dir!AY5/((1/1000)*(s_Irr!BV5)),IF(AND(s_Irr!X5=".",s_Irr!AW5&lt;&gt;".",s_Irr!BV5="."),s_dir!AY5/((1/1000)*(s_Irr!AW5)),IF(AND(s_Irr!X5&lt;&gt;".",s_Irr!AW5=".",s_Irr!BV5="."),s_dir!AY5/((1/1000)*(s_Irr!X5)),IF(AND(s_Irr!X5=".",s_Irr!AW5=".",s_Irr!BV5="."),s_dir!AY5*1000)))))))),".")</f>
        <v>.</v>
      </c>
      <c r="BZ5" s="70" t="str">
        <f>IFERROR(IF(AND(s_Irr!Y5&lt;&gt;".",s_Irr!AX5&lt;&gt;".",s_Irr!BW5&lt;&gt;"."),s_dir!AZ5/((1/1000)*(s_Irr!Y5+s_Irr!AX5+s_Irr!BW5)),IF(AND(s_Irr!Y5&lt;&gt;".",s_Irr!AX5&lt;&gt;".",s_Irr!BW5="."),s_dir!AZ5/((1/1000)*(s_Irr!Y5+s_Irr!AX5)),IF(AND(s_Irr!Y5&lt;&gt;".",s_Irr!AX5=".",s_Irr!BW5&lt;&gt;"."),s_dir!AZ5/((1/1000)*(s_Irr!Y5+s_Irr!BW5)),IF(AND(s_Irr!Y5=".",s_Irr!AX5&lt;&gt;".",s_Irr!BW5&lt;&gt;"."),s_dir!AZ5/((1/1000)*(s_Irr!AX5+s_Irr!BW5)),IF(AND(s_Irr!Y5=".",s_Irr!AX5=".",s_Irr!BW5&lt;&gt;"."),s_dir!AZ5/((1/1000)*(s_Irr!BW5)),IF(AND(s_Irr!Y5=".",s_Irr!AX5&lt;&gt;".",s_Irr!BW5="."),s_dir!AZ5/((1/1000)*(s_Irr!AX5)),IF(AND(s_Irr!Y5&lt;&gt;".",s_Irr!AX5=".",s_Irr!BW5="."),s_dir!AZ5/((1/1000)*(s_Irr!Y5)),IF(AND(s_Irr!Y5=".",s_Irr!AX5=".",s_Irr!BW5="."),s_dir!AZ5*1000)))))))),".")</f>
        <v>.</v>
      </c>
      <c r="CA5" s="70" t="str">
        <f>IFERROR(IF(AND(s_Irr!Z5&lt;&gt;".",s_Irr!AY5&lt;&gt;".",s_Irr!BX5&lt;&gt;"."),s_dir!BA5/((1/1000)*(s_Irr!Z5+s_Irr!AY5+s_Irr!BX5)),IF(AND(s_Irr!Z5&lt;&gt;".",s_Irr!AY5&lt;&gt;".",s_Irr!BX5="."),s_dir!BA5/((1/1000)*(s_Irr!Z5+s_Irr!AY5)),IF(AND(s_Irr!Z5&lt;&gt;".",s_Irr!AY5=".",s_Irr!BX5&lt;&gt;"."),s_dir!BA5/((1/1000)*(s_Irr!Z5+s_Irr!BX5)),IF(AND(s_Irr!Z5=".",s_Irr!AY5&lt;&gt;".",s_Irr!BX5&lt;&gt;"."),s_dir!BA5/((1/1000)*(s_Irr!AY5+s_Irr!BX5)),IF(AND(s_Irr!Z5=".",s_Irr!AY5=".",s_Irr!BX5&lt;&gt;"."),s_dir!BA5/((1/1000)*(s_Irr!BX5)),IF(AND(s_Irr!Z5=".",s_Irr!AY5&lt;&gt;".",s_Irr!BX5="."),s_dir!BA5/((1/1000)*(s_Irr!AY5)),IF(AND(s_Irr!Z5&lt;&gt;".",s_Irr!AY5=".",s_Irr!BX5="."),s_dir!BA5/((1/1000)*(s_Irr!Z5)),IF(AND(s_Irr!Z5=".",s_Irr!AY5=".",s_Irr!BX5="."),s_dir!BA5*1000)))))))),".")</f>
        <v>.</v>
      </c>
      <c r="CB5" s="70" t="str">
        <f>IFERROR(IF(AND(s_Irr!AA5&lt;&gt;".",s_Irr!AZ5&lt;&gt;".",s_Irr!BY5&lt;&gt;"."),s_dir!BB5/((1/1000)*(s_Irr!AA5+s_Irr!AZ5+s_Irr!BY5)),IF(AND(s_Irr!AA5&lt;&gt;".",s_Irr!AZ5&lt;&gt;".",s_Irr!BY5="."),s_dir!BB5/((1/1000)*(s_Irr!AA5+s_Irr!AZ5)),IF(AND(s_Irr!AA5&lt;&gt;".",s_Irr!AZ5=".",s_Irr!BY5&lt;&gt;"."),s_dir!BB5/((1/1000)*(s_Irr!AA5+s_Irr!BY5)),IF(AND(s_Irr!AA5=".",s_Irr!AZ5&lt;&gt;".",s_Irr!BY5&lt;&gt;"."),s_dir!BB5/((1/1000)*(s_Irr!AZ5+s_Irr!BY5)),IF(AND(s_Irr!AA5=".",s_Irr!AZ5=".",s_Irr!BY5&lt;&gt;"."),s_dir!BB5/((1/1000)*(s_Irr!BY5)),IF(AND(s_Irr!AA5=".",s_Irr!AZ5&lt;&gt;".",s_Irr!BY5="."),s_dir!BB5/((1/1000)*(s_Irr!AZ5)),IF(AND(s_Irr!AA5&lt;&gt;".",s_Irr!AZ5=".",s_Irr!BY5="."),s_dir!BB5/((1/1000)*(s_Irr!AA5)),IF(AND(s_Irr!AA5=".",s_Irr!AZ5=".",s_Irr!BY5="."),s_dir!BB5*1000)))))))),".")</f>
        <v>.</v>
      </c>
      <c r="CC5" s="87">
        <f t="shared" si="2"/>
        <v>1555.9678251111511</v>
      </c>
      <c r="CD5" s="87">
        <f>IFERROR(s_C*s_IFAP_far_adj*s_CF_apple*(1/1000)*(s_Irr!C5+s_Irr!AB5+s_Irr!BA5),".")</f>
        <v>388.99195627778778</v>
      </c>
      <c r="CE5" s="87">
        <f>IFERROR(s_C*s_IFAS_far_adj*s_CF_asparagus*(1/1000)*(s_Irr!D5+s_Irr!AC5+s_Irr!BB5),".")</f>
        <v>388.99195627778778</v>
      </c>
      <c r="CF5" s="87">
        <f>IFERROR(s_C*s_IFBT_far_adj*s_CF_beet*(1/1000)*(s_Irr!E5+s_Irr!AD5+s_Irr!BC5),".")</f>
        <v>388.99195627778778</v>
      </c>
      <c r="CG5" s="87">
        <f>IFERROR(s_C*s_IFBE_far_adj*s_CF_berries*(1/1000)*(s_Irr!F5+s_Irr!AE5+s_Irr!BD5),".")</f>
        <v>388.99195627778778</v>
      </c>
      <c r="CH5" s="87">
        <f>IFERROR(s_C*s_IFBR_far_adj*s_CF_broccoli*(1/1000)*(s_Irr!G5+s_Irr!AF5+s_Irr!BE5),".")</f>
        <v>388.99195627778778</v>
      </c>
      <c r="CI5" s="87">
        <f>IFERROR(s_C*s_IFCB_far_adj*s_CF_cabbage*(1/1000)*(s_Irr!H5+s_Irr!AG5+s_Irr!BF5),".")</f>
        <v>388.99195627778778</v>
      </c>
      <c r="CJ5" s="87">
        <f>IFERROR(s_C*s_IFCR_far_adj*s_CF_carrot*(1/1000)*(s_Irr!I5+s_Irr!AH5+s_Irr!BG5),".")</f>
        <v>388.99195627778778</v>
      </c>
      <c r="CK5" s="87">
        <f>IFERROR(s_C*s_IFCI_far_adj*s_CF_citrus*(1/1000)*(s_Irr!J5+s_Irr!AI5+s_Irr!BH5),".")</f>
        <v>388.99195627778778</v>
      </c>
      <c r="CL5" s="87">
        <f>IFERROR(s_C*s_IFCO_far_adj*s_CF_corn*(1/1000)*(s_Irr!K5+s_Irr!AJ5+s_Irr!BI5),".")</f>
        <v>388.99195627778778</v>
      </c>
      <c r="CM5" s="87">
        <f>IFERROR(s_C*s_IFCU_far_adj*s_CF_cucumber*(1/1000)*(s_Irr!L5+s_Irr!AK5+s_Irr!BJ5),".")</f>
        <v>388.99195627778778</v>
      </c>
      <c r="CN5" s="87">
        <f>IFERROR(s_C*s_IFLE_far_adj*s_CF_lettuce*(1/1000)*(s_Irr!M5+s_Irr!AL5+s_Irr!BK5),".")</f>
        <v>388.99195627778778</v>
      </c>
      <c r="CO5" s="87">
        <f>IFERROR(s_C*s_IFLI_far_adj*s_CF_lima_bean*(1/1000)*(s_Irr!N5+s_Irr!AM5+s_Irr!BL5),".")</f>
        <v>388.99195627778778</v>
      </c>
      <c r="CP5" s="87">
        <f>IFERROR(s_C*s_IFOK_far_adj*s_CF_okra*(1/1000)*(s_Irr!O5+s_Irr!AN5+s_Irr!BM5),".")</f>
        <v>388.99195627778778</v>
      </c>
      <c r="CQ5" s="87">
        <f>IFERROR(s_C*s_IFON_far_adj*s_CF_onion*(1/1000)*(s_Irr!P5+s_Irr!AO5+s_Irr!BN5),".")</f>
        <v>388.99195627778778</v>
      </c>
      <c r="CR5" s="87">
        <f>IFERROR(s_C*s_IFPC_far_adj*s_CF_peach*(1/1000)*(s_Irr!Q5+s_Irr!AP5+s_Irr!BO5),".")</f>
        <v>388.99195627778778</v>
      </c>
      <c r="CS5" s="87">
        <f>IFERROR(s_C*s_IFPR_far_adj*s_CF_pear*(1/1000)*(s_Irr!R5+s_Irr!AQ5+s_Irr!BP5),".")</f>
        <v>388.99195627778778</v>
      </c>
      <c r="CT5" s="87">
        <f>IFERROR(s_C*s_IFPE_far_adj*s_CF_peas*(1/1000)*(s_Irr!S5+s_Irr!AR5+s_Irr!BQ5),".")</f>
        <v>388.99195627778778</v>
      </c>
      <c r="CU5" s="87">
        <f>IFERROR(s_C*s_IFPP_far_adj*s_CF_peppers*(1/1000)*(s_Irr!T5+s_Irr!AS5+s_Irr!BR5),".")</f>
        <v>388.99195627778778</v>
      </c>
      <c r="CV5" s="87">
        <f>IFERROR(s_C*s_IFPT_far_adj*s_CF_potato*(1/1000)*(s_Irr!U5+s_Irr!AT5+s_Irr!BS5),".")</f>
        <v>388.99195627778778</v>
      </c>
      <c r="CW5" s="87">
        <f>IFERROR(s_C*s_IFPU_far_adj*s_CF_pumpkin*(1/1000)*(s_Irr!V5+s_Irr!AU5+s_Irr!BT5),".")</f>
        <v>388.99195627778778</v>
      </c>
      <c r="CX5" s="87">
        <f>IFERROR(s_C*s_IFSN_far_adj*s_CF_snap_bean*(1/1000)*(s_Irr!W5+s_Irr!AV5+s_Irr!BU5),".")</f>
        <v>388.99195627778778</v>
      </c>
      <c r="CY5" s="87">
        <f>IFERROR(s_C*s_IFST_far_adj*s_CF_strawberry*(1/1000)*(s_Irr!X5+s_Irr!AW5+s_Irr!BV5),".")</f>
        <v>388.99195627778778</v>
      </c>
      <c r="CZ5" s="87">
        <f>IFERROR(s_C*s_IFTO_far_adj*s_CF_tomato*(1/1000)*(s_Irr!Y5+s_Irr!AX5+s_Irr!BW5),".")</f>
        <v>388.99195627778778</v>
      </c>
      <c r="DA5" s="87">
        <f>IFERROR(s_C*s_IFRI_far_adj*s_CF_rice*(1/1000)*(s_Irr!Z5+s_Irr!AY5+s_Irr!BX5),".")</f>
        <v>388.99195627778778</v>
      </c>
      <c r="DB5" s="87">
        <f>IFERROR(s_C*s_IFCG_far_adj*s_CF_cereal*(1/1000)*(s_Irr!AA5+s_Irr!AZ5+s_Irr!BY5),".")</f>
        <v>388.99195627778778</v>
      </c>
    </row>
    <row r="6" spans="1:106" ht="15" customHeight="1" x14ac:dyDescent="0.25">
      <c r="A6" s="86" t="s">
        <v>4</v>
      </c>
      <c r="B6" s="84" t="s">
        <v>1057</v>
      </c>
      <c r="C6" s="15" t="str">
        <f t="shared" si="3"/>
        <v>.</v>
      </c>
      <c r="D6" s="70" t="str">
        <f>IFERROR(IF(AND(s_Irr!C6&lt;&gt;".",s_Irr!AB6&lt;&gt;".",s_Irr!BA6&lt;&gt;"."),s_dir!D6/((1/1000)*(s_Irr!C6+s_Irr!AB6+s_Irr!BA6)),IF(AND(s_Irr!C6&lt;&gt;".",s_Irr!AB6&lt;&gt;".",s_Irr!BA6="."),s_dir!D6/((1/1000)*(s_Irr!C6+s_Irr!AB6)),IF(AND(s_Irr!C6&lt;&gt;".",s_Irr!AB6=".",s_Irr!BA6&lt;&gt;"."),s_dir!D6/((1/1000)*(s_Irr!C6+s_Irr!BA6)),IF(AND(s_Irr!C6=".",s_Irr!AB6&lt;&gt;".",s_Irr!BA6&lt;&gt;"."),s_dir!D6/((1/1000)*(s_Irr!AB6+s_Irr!BA6)),IF(AND(s_Irr!C6=".",s_Irr!AB6=".",s_Irr!BA6&lt;&gt;"."),s_dir!D6/((1/1000)*(s_Irr!BA6)),IF(AND(s_Irr!C6=".",s_Irr!AB6&lt;&gt;".",s_Irr!BA6="."),s_dir!D6/((1/1000)*(s_Irr!AB6)),IF(AND(s_Irr!C6&lt;&gt;".",s_Irr!AB6=".",s_Irr!BA6="."),s_dir!D6/((1/1000)*(s_Irr!C6)),IF(AND(s_Irr!C6=".",s_Irr!AB6=".",s_Irr!BA6="."),s_dir!D6*1000)))))))),".")</f>
        <v>.</v>
      </c>
      <c r="E6" s="70" t="str">
        <f>IFERROR(IF(AND(s_Irr!D6&lt;&gt;".",s_Irr!AC6&lt;&gt;".",s_Irr!BB6&lt;&gt;"."),s_dir!E6/((1/1000)*(s_Irr!D6+s_Irr!AC6+s_Irr!BB6)),IF(AND(s_Irr!D6&lt;&gt;".",s_Irr!AC6&lt;&gt;".",s_Irr!BB6="."),s_dir!E6/((1/1000)*(s_Irr!D6+s_Irr!AC6)),IF(AND(s_Irr!D6&lt;&gt;".",s_Irr!AC6=".",s_Irr!BB6&lt;&gt;"."),s_dir!E6/((1/1000)*(s_Irr!D6+s_Irr!BB6)),IF(AND(s_Irr!D6=".",s_Irr!AC6&lt;&gt;".",s_Irr!BB6&lt;&gt;"."),s_dir!E6/((1/1000)*(s_Irr!AC6+s_Irr!BB6)),IF(AND(s_Irr!D6=".",s_Irr!AC6=".",s_Irr!BB6&lt;&gt;"."),s_dir!E6/((1/1000)*(s_Irr!BB6)),IF(AND(s_Irr!D6=".",s_Irr!AC6&lt;&gt;".",s_Irr!BB6="."),s_dir!E6/((1/1000)*(s_Irr!AC6)),IF(AND(s_Irr!D6&lt;&gt;".",s_Irr!AC6=".",s_Irr!BB6="."),s_dir!E6/((1/1000)*(s_Irr!D6)),IF(AND(s_Irr!D6=".",s_Irr!AC6=".",s_Irr!BB6="."),s_dir!E6*1000)))))))),".")</f>
        <v>.</v>
      </c>
      <c r="F6" s="70" t="str">
        <f>IFERROR(IF(AND(s_Irr!E6&lt;&gt;".",s_Irr!AD6&lt;&gt;".",s_Irr!BC6&lt;&gt;"."),s_dir!F6/((1/1000)*(s_Irr!E6+s_Irr!AD6+s_Irr!BC6)),IF(AND(s_Irr!E6&lt;&gt;".",s_Irr!AD6&lt;&gt;".",s_Irr!BC6="."),s_dir!F6/((1/1000)*(s_Irr!E6+s_Irr!AD6)),IF(AND(s_Irr!E6&lt;&gt;".",s_Irr!AD6=".",s_Irr!BC6&lt;&gt;"."),s_dir!F6/((1/1000)*(s_Irr!E6+s_Irr!BC6)),IF(AND(s_Irr!E6=".",s_Irr!AD6&lt;&gt;".",s_Irr!BC6&lt;&gt;"."),s_dir!F6/((1/1000)*(s_Irr!AD6+s_Irr!BC6)),IF(AND(s_Irr!E6=".",s_Irr!AD6=".",s_Irr!BC6&lt;&gt;"."),s_dir!F6/((1/1000)*(s_Irr!BC6)),IF(AND(s_Irr!E6=".",s_Irr!AD6&lt;&gt;".",s_Irr!BC6="."),s_dir!F6/((1/1000)*(s_Irr!AD6)),IF(AND(s_Irr!E6&lt;&gt;".",s_Irr!AD6=".",s_Irr!BC6="."),s_dir!F6/((1/1000)*(s_Irr!E6)),IF(AND(s_Irr!E6=".",s_Irr!AD6=".",s_Irr!BC6="."),s_dir!F6*1000)))))))),".")</f>
        <v>.</v>
      </c>
      <c r="G6" s="70" t="str">
        <f>IFERROR(IF(AND(s_Irr!F6&lt;&gt;".",s_Irr!AE6&lt;&gt;".",s_Irr!BD6&lt;&gt;"."),s_dir!G6/((1/1000)*(s_Irr!F6+s_Irr!AE6+s_Irr!BD6)),IF(AND(s_Irr!F6&lt;&gt;".",s_Irr!AE6&lt;&gt;".",s_Irr!BD6="."),s_dir!G6/((1/1000)*(s_Irr!F6+s_Irr!AE6)),IF(AND(s_Irr!F6&lt;&gt;".",s_Irr!AE6=".",s_Irr!BD6&lt;&gt;"."),s_dir!G6/((1/1000)*(s_Irr!F6+s_Irr!BD6)),IF(AND(s_Irr!F6=".",s_Irr!AE6&lt;&gt;".",s_Irr!BD6&lt;&gt;"."),s_dir!G6/((1/1000)*(s_Irr!AE6+s_Irr!BD6)),IF(AND(s_Irr!F6=".",s_Irr!AE6=".",s_Irr!BD6&lt;&gt;"."),s_dir!G6/((1/1000)*(s_Irr!BD6)),IF(AND(s_Irr!F6=".",s_Irr!AE6&lt;&gt;".",s_Irr!BD6="."),s_dir!G6/((1/1000)*(s_Irr!AE6)),IF(AND(s_Irr!F6&lt;&gt;".",s_Irr!AE6=".",s_Irr!BD6="."),s_dir!G6/((1/1000)*(s_Irr!F6)),IF(AND(s_Irr!F6=".",s_Irr!AE6=".",s_Irr!BD6="."),s_dir!G6*1000)))))))),".")</f>
        <v>.</v>
      </c>
      <c r="H6" s="70" t="str">
        <f>IFERROR(IF(AND(s_Irr!G6&lt;&gt;".",s_Irr!AF6&lt;&gt;".",s_Irr!BE6&lt;&gt;"."),s_dir!H6/((1/1000)*(s_Irr!G6+s_Irr!AF6+s_Irr!BE6)),IF(AND(s_Irr!G6&lt;&gt;".",s_Irr!AF6&lt;&gt;".",s_Irr!BE6="."),s_dir!H6/((1/1000)*(s_Irr!G6+s_Irr!AF6)),IF(AND(s_Irr!G6&lt;&gt;".",s_Irr!AF6=".",s_Irr!BE6&lt;&gt;"."),s_dir!H6/((1/1000)*(s_Irr!G6+s_Irr!BE6)),IF(AND(s_Irr!G6=".",s_Irr!AF6&lt;&gt;".",s_Irr!BE6&lt;&gt;"."),s_dir!H6/((1/1000)*(s_Irr!AF6+s_Irr!BE6)),IF(AND(s_Irr!G6=".",s_Irr!AF6=".",s_Irr!BE6&lt;&gt;"."),s_dir!H6/((1/1000)*(s_Irr!BE6)),IF(AND(s_Irr!G6=".",s_Irr!AF6&lt;&gt;".",s_Irr!BE6="."),s_dir!H6/((1/1000)*(s_Irr!AF6)),IF(AND(s_Irr!G6&lt;&gt;".",s_Irr!AF6=".",s_Irr!BE6="."),s_dir!H6/((1/1000)*(s_Irr!G6)),IF(AND(s_Irr!G6=".",s_Irr!AF6=".",s_Irr!BE6="."),s_dir!H6*1000)))))))),".")</f>
        <v>.</v>
      </c>
      <c r="I6" s="70" t="str">
        <f>IFERROR(IF(AND(s_Irr!H6&lt;&gt;".",s_Irr!AG6&lt;&gt;".",s_Irr!BF6&lt;&gt;"."),s_dir!I6/((1/1000)*(s_Irr!H6+s_Irr!AG6+s_Irr!BF6)),IF(AND(s_Irr!H6&lt;&gt;".",s_Irr!AG6&lt;&gt;".",s_Irr!BF6="."),s_dir!I6/((1/1000)*(s_Irr!H6+s_Irr!AG6)),IF(AND(s_Irr!H6&lt;&gt;".",s_Irr!AG6=".",s_Irr!BF6&lt;&gt;"."),s_dir!I6/((1/1000)*(s_Irr!H6+s_Irr!BF6)),IF(AND(s_Irr!H6=".",s_Irr!AG6&lt;&gt;".",s_Irr!BF6&lt;&gt;"."),s_dir!I6/((1/1000)*(s_Irr!AG6+s_Irr!BF6)),IF(AND(s_Irr!H6=".",s_Irr!AG6=".",s_Irr!BF6&lt;&gt;"."),s_dir!I6/((1/1000)*(s_Irr!BF6)),IF(AND(s_Irr!H6=".",s_Irr!AG6&lt;&gt;".",s_Irr!BF6="."),s_dir!I6/((1/1000)*(s_Irr!AG6)),IF(AND(s_Irr!H6&lt;&gt;".",s_Irr!AG6=".",s_Irr!BF6="."),s_dir!I6/((1/1000)*(s_Irr!H6)),IF(AND(s_Irr!H6=".",s_Irr!AG6=".",s_Irr!BF6="."),s_dir!I6*1000)))))))),".")</f>
        <v>.</v>
      </c>
      <c r="J6" s="70" t="str">
        <f>IFERROR(IF(AND(s_Irr!I6&lt;&gt;".",s_Irr!AH6&lt;&gt;".",s_Irr!BG6&lt;&gt;"."),s_dir!J6/((1/1000)*(s_Irr!I6+s_Irr!AH6+s_Irr!BG6)),IF(AND(s_Irr!I6&lt;&gt;".",s_Irr!AH6&lt;&gt;".",s_Irr!BG6="."),s_dir!J6/((1/1000)*(s_Irr!I6+s_Irr!AH6)),IF(AND(s_Irr!I6&lt;&gt;".",s_Irr!AH6=".",s_Irr!BG6&lt;&gt;"."),s_dir!J6/((1/1000)*(s_Irr!I6+s_Irr!BG6)),IF(AND(s_Irr!I6=".",s_Irr!AH6&lt;&gt;".",s_Irr!BG6&lt;&gt;"."),s_dir!J6/((1/1000)*(s_Irr!AH6+s_Irr!BG6)),IF(AND(s_Irr!I6=".",s_Irr!AH6=".",s_Irr!BG6&lt;&gt;"."),s_dir!J6/((1/1000)*(s_Irr!BG6)),IF(AND(s_Irr!I6=".",s_Irr!AH6&lt;&gt;".",s_Irr!BG6="."),s_dir!J6/((1/1000)*(s_Irr!AH6)),IF(AND(s_Irr!I6&lt;&gt;".",s_Irr!AH6=".",s_Irr!BG6="."),s_dir!J6/((1/1000)*(s_Irr!I6)),IF(AND(s_Irr!I6=".",s_Irr!AH6=".",s_Irr!BG6="."),s_dir!J6*1000)))))))),".")</f>
        <v>.</v>
      </c>
      <c r="K6" s="70" t="str">
        <f>IFERROR(IF(AND(s_Irr!J6&lt;&gt;".",s_Irr!AI6&lt;&gt;".",s_Irr!BH6&lt;&gt;"."),s_dir!K6/((1/1000)*(s_Irr!J6+s_Irr!AI6+s_Irr!BH6)),IF(AND(s_Irr!J6&lt;&gt;".",s_Irr!AI6&lt;&gt;".",s_Irr!BH6="."),s_dir!K6/((1/1000)*(s_Irr!J6+s_Irr!AI6)),IF(AND(s_Irr!J6&lt;&gt;".",s_Irr!AI6=".",s_Irr!BH6&lt;&gt;"."),s_dir!K6/((1/1000)*(s_Irr!J6+s_Irr!BH6)),IF(AND(s_Irr!J6=".",s_Irr!AI6&lt;&gt;".",s_Irr!BH6&lt;&gt;"."),s_dir!K6/((1/1000)*(s_Irr!AI6+s_Irr!BH6)),IF(AND(s_Irr!J6=".",s_Irr!AI6=".",s_Irr!BH6&lt;&gt;"."),s_dir!K6/((1/1000)*(s_Irr!BH6)),IF(AND(s_Irr!J6=".",s_Irr!AI6&lt;&gt;".",s_Irr!BH6="."),s_dir!K6/((1/1000)*(s_Irr!AI6)),IF(AND(s_Irr!J6&lt;&gt;".",s_Irr!AI6=".",s_Irr!BH6="."),s_dir!K6/((1/1000)*(s_Irr!J6)),IF(AND(s_Irr!J6=".",s_Irr!AI6=".",s_Irr!BH6="."),s_dir!K6*1000)))))))),".")</f>
        <v>.</v>
      </c>
      <c r="L6" s="70" t="str">
        <f>IFERROR(IF(AND(s_Irr!K6&lt;&gt;".",s_Irr!AJ6&lt;&gt;".",s_Irr!BI6&lt;&gt;"."),s_dir!L6/((1/1000)*(s_Irr!K6+s_Irr!AJ6+s_Irr!BI6)),IF(AND(s_Irr!K6&lt;&gt;".",s_Irr!AJ6&lt;&gt;".",s_Irr!BI6="."),s_dir!L6/((1/1000)*(s_Irr!K6+s_Irr!AJ6)),IF(AND(s_Irr!K6&lt;&gt;".",s_Irr!AJ6=".",s_Irr!BI6&lt;&gt;"."),s_dir!L6/((1/1000)*(s_Irr!K6+s_Irr!BI6)),IF(AND(s_Irr!K6=".",s_Irr!AJ6&lt;&gt;".",s_Irr!BI6&lt;&gt;"."),s_dir!L6/((1/1000)*(s_Irr!AJ6+s_Irr!BI6)),IF(AND(s_Irr!K6=".",s_Irr!AJ6=".",s_Irr!BI6&lt;&gt;"."),s_dir!L6/((1/1000)*(s_Irr!BI6)),IF(AND(s_Irr!K6=".",s_Irr!AJ6&lt;&gt;".",s_Irr!BI6="."),s_dir!L6/((1/1000)*(s_Irr!AJ6)),IF(AND(s_Irr!K6&lt;&gt;".",s_Irr!AJ6=".",s_Irr!BI6="."),s_dir!L6/((1/1000)*(s_Irr!K6)),IF(AND(s_Irr!K6=".",s_Irr!AJ6=".",s_Irr!BI6="."),s_dir!L6*1000)))))))),".")</f>
        <v>.</v>
      </c>
      <c r="M6" s="70" t="str">
        <f>IFERROR(IF(AND(s_Irr!L6&lt;&gt;".",s_Irr!AK6&lt;&gt;".",s_Irr!BJ6&lt;&gt;"."),s_dir!M6/((1/1000)*(s_Irr!L6+s_Irr!AK6+s_Irr!BJ6)),IF(AND(s_Irr!L6&lt;&gt;".",s_Irr!AK6&lt;&gt;".",s_Irr!BJ6="."),s_dir!M6/((1/1000)*(s_Irr!L6+s_Irr!AK6)),IF(AND(s_Irr!L6&lt;&gt;".",s_Irr!AK6=".",s_Irr!BJ6&lt;&gt;"."),s_dir!M6/((1/1000)*(s_Irr!L6+s_Irr!BJ6)),IF(AND(s_Irr!L6=".",s_Irr!AK6&lt;&gt;".",s_Irr!BJ6&lt;&gt;"."),s_dir!M6/((1/1000)*(s_Irr!AK6+s_Irr!BJ6)),IF(AND(s_Irr!L6=".",s_Irr!AK6=".",s_Irr!BJ6&lt;&gt;"."),s_dir!M6/((1/1000)*(s_Irr!BJ6)),IF(AND(s_Irr!L6=".",s_Irr!AK6&lt;&gt;".",s_Irr!BJ6="."),s_dir!M6/((1/1000)*(s_Irr!AK6)),IF(AND(s_Irr!L6&lt;&gt;".",s_Irr!AK6=".",s_Irr!BJ6="."),s_dir!M6/((1/1000)*(s_Irr!L6)),IF(AND(s_Irr!L6=".",s_Irr!AK6=".",s_Irr!BJ6="."),s_dir!M6*1000)))))))),".")</f>
        <v>.</v>
      </c>
      <c r="N6" s="70" t="str">
        <f>IFERROR(IF(AND(s_Irr!M6&lt;&gt;".",s_Irr!AL6&lt;&gt;".",s_Irr!BK6&lt;&gt;"."),s_dir!N6/((1/1000)*(s_Irr!M6+s_Irr!AL6+s_Irr!BK6)),IF(AND(s_Irr!M6&lt;&gt;".",s_Irr!AL6&lt;&gt;".",s_Irr!BK6="."),s_dir!N6/((1/1000)*(s_Irr!M6+s_Irr!AL6)),IF(AND(s_Irr!M6&lt;&gt;".",s_Irr!AL6=".",s_Irr!BK6&lt;&gt;"."),s_dir!N6/((1/1000)*(s_Irr!M6+s_Irr!BK6)),IF(AND(s_Irr!M6=".",s_Irr!AL6&lt;&gt;".",s_Irr!BK6&lt;&gt;"."),s_dir!N6/((1/1000)*(s_Irr!AL6+s_Irr!BK6)),IF(AND(s_Irr!M6=".",s_Irr!AL6=".",s_Irr!BK6&lt;&gt;"."),s_dir!N6/((1/1000)*(s_Irr!BK6)),IF(AND(s_Irr!M6=".",s_Irr!AL6&lt;&gt;".",s_Irr!BK6="."),s_dir!N6/((1/1000)*(s_Irr!AL6)),IF(AND(s_Irr!M6&lt;&gt;".",s_Irr!AL6=".",s_Irr!BK6="."),s_dir!N6/((1/1000)*(s_Irr!M6)),IF(AND(s_Irr!M6=".",s_Irr!AL6=".",s_Irr!BK6="."),s_dir!N6*1000)))))))),".")</f>
        <v>.</v>
      </c>
      <c r="O6" s="70" t="str">
        <f>IFERROR(IF(AND(s_Irr!N6&lt;&gt;".",s_Irr!AM6&lt;&gt;".",s_Irr!BL6&lt;&gt;"."),s_dir!O6/((1/1000)*(s_Irr!N6+s_Irr!AM6+s_Irr!BL6)),IF(AND(s_Irr!N6&lt;&gt;".",s_Irr!AM6&lt;&gt;".",s_Irr!BL6="."),s_dir!O6/((1/1000)*(s_Irr!N6+s_Irr!AM6)),IF(AND(s_Irr!N6&lt;&gt;".",s_Irr!AM6=".",s_Irr!BL6&lt;&gt;"."),s_dir!O6/((1/1000)*(s_Irr!N6+s_Irr!BL6)),IF(AND(s_Irr!N6=".",s_Irr!AM6&lt;&gt;".",s_Irr!BL6&lt;&gt;"."),s_dir!O6/((1/1000)*(s_Irr!AM6+s_Irr!BL6)),IF(AND(s_Irr!N6=".",s_Irr!AM6=".",s_Irr!BL6&lt;&gt;"."),s_dir!O6/((1/1000)*(s_Irr!BL6)),IF(AND(s_Irr!N6=".",s_Irr!AM6&lt;&gt;".",s_Irr!BL6="."),s_dir!O6/((1/1000)*(s_Irr!AM6)),IF(AND(s_Irr!N6&lt;&gt;".",s_Irr!AM6=".",s_Irr!BL6="."),s_dir!O6/((1/1000)*(s_Irr!N6)),IF(AND(s_Irr!N6=".",s_Irr!AM6=".",s_Irr!BL6="."),s_dir!O6*1000)))))))),".")</f>
        <v>.</v>
      </c>
      <c r="P6" s="70" t="str">
        <f>IFERROR(IF(AND(s_Irr!O6&lt;&gt;".",s_Irr!AN6&lt;&gt;".",s_Irr!BM6&lt;&gt;"."),s_dir!P6/((1/1000)*(s_Irr!O6+s_Irr!AN6+s_Irr!BM6)),IF(AND(s_Irr!O6&lt;&gt;".",s_Irr!AN6&lt;&gt;".",s_Irr!BM6="."),s_dir!P6/((1/1000)*(s_Irr!O6+s_Irr!AN6)),IF(AND(s_Irr!O6&lt;&gt;".",s_Irr!AN6=".",s_Irr!BM6&lt;&gt;"."),s_dir!P6/((1/1000)*(s_Irr!O6+s_Irr!BM6)),IF(AND(s_Irr!O6=".",s_Irr!AN6&lt;&gt;".",s_Irr!BM6&lt;&gt;"."),s_dir!P6/((1/1000)*(s_Irr!AN6+s_Irr!BM6)),IF(AND(s_Irr!O6=".",s_Irr!AN6=".",s_Irr!BM6&lt;&gt;"."),s_dir!P6/((1/1000)*(s_Irr!BM6)),IF(AND(s_Irr!O6=".",s_Irr!AN6&lt;&gt;".",s_Irr!BM6="."),s_dir!P6/((1/1000)*(s_Irr!AN6)),IF(AND(s_Irr!O6&lt;&gt;".",s_Irr!AN6=".",s_Irr!BM6="."),s_dir!P6/((1/1000)*(s_Irr!O6)),IF(AND(s_Irr!O6=".",s_Irr!AN6=".",s_Irr!BM6="."),s_dir!P6*1000)))))))),".")</f>
        <v>.</v>
      </c>
      <c r="Q6" s="70" t="str">
        <f>IFERROR(IF(AND(s_Irr!P6&lt;&gt;".",s_Irr!AO6&lt;&gt;".",s_Irr!BN6&lt;&gt;"."),s_dir!Q6/((1/1000)*(s_Irr!P6+s_Irr!AO6+s_Irr!BN6)),IF(AND(s_Irr!P6&lt;&gt;".",s_Irr!AO6&lt;&gt;".",s_Irr!BN6="."),s_dir!Q6/((1/1000)*(s_Irr!P6+s_Irr!AO6)),IF(AND(s_Irr!P6&lt;&gt;".",s_Irr!AO6=".",s_Irr!BN6&lt;&gt;"."),s_dir!Q6/((1/1000)*(s_Irr!P6+s_Irr!BN6)),IF(AND(s_Irr!P6=".",s_Irr!AO6&lt;&gt;".",s_Irr!BN6&lt;&gt;"."),s_dir!Q6/((1/1000)*(s_Irr!AO6+s_Irr!BN6)),IF(AND(s_Irr!P6=".",s_Irr!AO6=".",s_Irr!BN6&lt;&gt;"."),s_dir!Q6/((1/1000)*(s_Irr!BN6)),IF(AND(s_Irr!P6=".",s_Irr!AO6&lt;&gt;".",s_Irr!BN6="."),s_dir!Q6/((1/1000)*(s_Irr!AO6)),IF(AND(s_Irr!P6&lt;&gt;".",s_Irr!AO6=".",s_Irr!BN6="."),s_dir!Q6/((1/1000)*(s_Irr!P6)),IF(AND(s_Irr!P6=".",s_Irr!AO6=".",s_Irr!BN6="."),s_dir!Q6*1000)))))))),".")</f>
        <v>.</v>
      </c>
      <c r="R6" s="70" t="str">
        <f>IFERROR(IF(AND(s_Irr!Q6&lt;&gt;".",s_Irr!AP6&lt;&gt;".",s_Irr!BO6&lt;&gt;"."),s_dir!R6/((1/1000)*(s_Irr!Q6+s_Irr!AP6+s_Irr!BO6)),IF(AND(s_Irr!Q6&lt;&gt;".",s_Irr!AP6&lt;&gt;".",s_Irr!BO6="."),s_dir!R6/((1/1000)*(s_Irr!Q6+s_Irr!AP6)),IF(AND(s_Irr!Q6&lt;&gt;".",s_Irr!AP6=".",s_Irr!BO6&lt;&gt;"."),s_dir!R6/((1/1000)*(s_Irr!Q6+s_Irr!BO6)),IF(AND(s_Irr!Q6=".",s_Irr!AP6&lt;&gt;".",s_Irr!BO6&lt;&gt;"."),s_dir!R6/((1/1000)*(s_Irr!AP6+s_Irr!BO6)),IF(AND(s_Irr!Q6=".",s_Irr!AP6=".",s_Irr!BO6&lt;&gt;"."),s_dir!R6/((1/1000)*(s_Irr!BO6)),IF(AND(s_Irr!Q6=".",s_Irr!AP6&lt;&gt;".",s_Irr!BO6="."),s_dir!R6/((1/1000)*(s_Irr!AP6)),IF(AND(s_Irr!Q6&lt;&gt;".",s_Irr!AP6=".",s_Irr!BO6="."),s_dir!R6/((1/1000)*(s_Irr!Q6)),IF(AND(s_Irr!Q6=".",s_Irr!AP6=".",s_Irr!BO6="."),s_dir!R6*1000)))))))),".")</f>
        <v>.</v>
      </c>
      <c r="S6" s="70" t="str">
        <f>IFERROR(IF(AND(s_Irr!R6&lt;&gt;".",s_Irr!AQ6&lt;&gt;".",s_Irr!BP6&lt;&gt;"."),s_dir!S6/((1/1000)*(s_Irr!R6+s_Irr!AQ6+s_Irr!BP6)),IF(AND(s_Irr!R6&lt;&gt;".",s_Irr!AQ6&lt;&gt;".",s_Irr!BP6="."),s_dir!S6/((1/1000)*(s_Irr!R6+s_Irr!AQ6)),IF(AND(s_Irr!R6&lt;&gt;".",s_Irr!AQ6=".",s_Irr!BP6&lt;&gt;"."),s_dir!S6/((1/1000)*(s_Irr!R6+s_Irr!BP6)),IF(AND(s_Irr!R6=".",s_Irr!AQ6&lt;&gt;".",s_Irr!BP6&lt;&gt;"."),s_dir!S6/((1/1000)*(s_Irr!AQ6+s_Irr!BP6)),IF(AND(s_Irr!R6=".",s_Irr!AQ6=".",s_Irr!BP6&lt;&gt;"."),s_dir!S6/((1/1000)*(s_Irr!BP6)),IF(AND(s_Irr!R6=".",s_Irr!AQ6&lt;&gt;".",s_Irr!BP6="."),s_dir!S6/((1/1000)*(s_Irr!AQ6)),IF(AND(s_Irr!R6&lt;&gt;".",s_Irr!AQ6=".",s_Irr!BP6="."),s_dir!S6/((1/1000)*(s_Irr!R6)),IF(AND(s_Irr!R6=".",s_Irr!AQ6=".",s_Irr!BP6="."),s_dir!S6*1000)))))))),".")</f>
        <v>.</v>
      </c>
      <c r="T6" s="70" t="str">
        <f>IFERROR(IF(AND(s_Irr!S6&lt;&gt;".",s_Irr!AR6&lt;&gt;".",s_Irr!BQ6&lt;&gt;"."),s_dir!T6/((1/1000)*(s_Irr!S6+s_Irr!AR6+s_Irr!BQ6)),IF(AND(s_Irr!S6&lt;&gt;".",s_Irr!AR6&lt;&gt;".",s_Irr!BQ6="."),s_dir!T6/((1/1000)*(s_Irr!S6+s_Irr!AR6)),IF(AND(s_Irr!S6&lt;&gt;".",s_Irr!AR6=".",s_Irr!BQ6&lt;&gt;"."),s_dir!T6/((1/1000)*(s_Irr!S6+s_Irr!BQ6)),IF(AND(s_Irr!S6=".",s_Irr!AR6&lt;&gt;".",s_Irr!BQ6&lt;&gt;"."),s_dir!T6/((1/1000)*(s_Irr!AR6+s_Irr!BQ6)),IF(AND(s_Irr!S6=".",s_Irr!AR6=".",s_Irr!BQ6&lt;&gt;"."),s_dir!T6/((1/1000)*(s_Irr!BQ6)),IF(AND(s_Irr!S6=".",s_Irr!AR6&lt;&gt;".",s_Irr!BQ6="."),s_dir!T6/((1/1000)*(s_Irr!AR6)),IF(AND(s_Irr!S6&lt;&gt;".",s_Irr!AR6=".",s_Irr!BQ6="."),s_dir!T6/((1/1000)*(s_Irr!S6)),IF(AND(s_Irr!S6=".",s_Irr!AR6=".",s_Irr!BQ6="."),s_dir!T6*1000)))))))),".")</f>
        <v>.</v>
      </c>
      <c r="U6" s="70" t="str">
        <f>IFERROR(IF(AND(s_Irr!T6&lt;&gt;".",s_Irr!AS6&lt;&gt;".",s_Irr!BR6&lt;&gt;"."),s_dir!U6/((1/1000)*(s_Irr!T6+s_Irr!AS6+s_Irr!BR6)),IF(AND(s_Irr!T6&lt;&gt;".",s_Irr!AS6&lt;&gt;".",s_Irr!BR6="."),s_dir!U6/((1/1000)*(s_Irr!T6+s_Irr!AS6)),IF(AND(s_Irr!T6&lt;&gt;".",s_Irr!AS6=".",s_Irr!BR6&lt;&gt;"."),s_dir!U6/((1/1000)*(s_Irr!T6+s_Irr!BR6)),IF(AND(s_Irr!T6=".",s_Irr!AS6&lt;&gt;".",s_Irr!BR6&lt;&gt;"."),s_dir!U6/((1/1000)*(s_Irr!AS6+s_Irr!BR6)),IF(AND(s_Irr!T6=".",s_Irr!AS6=".",s_Irr!BR6&lt;&gt;"."),s_dir!U6/((1/1000)*(s_Irr!BR6)),IF(AND(s_Irr!T6=".",s_Irr!AS6&lt;&gt;".",s_Irr!BR6="."),s_dir!U6/((1/1000)*(s_Irr!AS6)),IF(AND(s_Irr!T6&lt;&gt;".",s_Irr!AS6=".",s_Irr!BR6="."),s_dir!U6/((1/1000)*(s_Irr!T6)),IF(AND(s_Irr!T6=".",s_Irr!AS6=".",s_Irr!BR6="."),s_dir!U6*1000)))))))),".")</f>
        <v>.</v>
      </c>
      <c r="V6" s="70" t="str">
        <f>IFERROR(IF(AND(s_Irr!U6&lt;&gt;".",s_Irr!AT6&lt;&gt;".",s_Irr!BS6&lt;&gt;"."),s_dir!V6/((1/1000)*(s_Irr!U6+s_Irr!AT6+s_Irr!BS6)),IF(AND(s_Irr!U6&lt;&gt;".",s_Irr!AT6&lt;&gt;".",s_Irr!BS6="."),s_dir!V6/((1/1000)*(s_Irr!U6+s_Irr!AT6)),IF(AND(s_Irr!U6&lt;&gt;".",s_Irr!AT6=".",s_Irr!BS6&lt;&gt;"."),s_dir!V6/((1/1000)*(s_Irr!U6+s_Irr!BS6)),IF(AND(s_Irr!U6=".",s_Irr!AT6&lt;&gt;".",s_Irr!BS6&lt;&gt;"."),s_dir!V6/((1/1000)*(s_Irr!AT6+s_Irr!BS6)),IF(AND(s_Irr!U6=".",s_Irr!AT6=".",s_Irr!BS6&lt;&gt;"."),s_dir!V6/((1/1000)*(s_Irr!BS6)),IF(AND(s_Irr!U6=".",s_Irr!AT6&lt;&gt;".",s_Irr!BS6="."),s_dir!V6/((1/1000)*(s_Irr!AT6)),IF(AND(s_Irr!U6&lt;&gt;".",s_Irr!AT6=".",s_Irr!BS6="."),s_dir!V6/((1/1000)*(s_Irr!U6)),IF(AND(s_Irr!U6=".",s_Irr!AT6=".",s_Irr!BS6="."),s_dir!V6*1000)))))))),".")</f>
        <v>.</v>
      </c>
      <c r="W6" s="70" t="str">
        <f>IFERROR(IF(AND(s_Irr!V6&lt;&gt;".",s_Irr!AU6&lt;&gt;".",s_Irr!BT6&lt;&gt;"."),s_dir!W6/((1/1000)*(s_Irr!V6+s_Irr!AU6+s_Irr!BT6)),IF(AND(s_Irr!V6&lt;&gt;".",s_Irr!AU6&lt;&gt;".",s_Irr!BT6="."),s_dir!W6/((1/1000)*(s_Irr!V6+s_Irr!AU6)),IF(AND(s_Irr!V6&lt;&gt;".",s_Irr!AU6=".",s_Irr!BT6&lt;&gt;"."),s_dir!W6/((1/1000)*(s_Irr!V6+s_Irr!BT6)),IF(AND(s_Irr!V6=".",s_Irr!AU6&lt;&gt;".",s_Irr!BT6&lt;&gt;"."),s_dir!W6/((1/1000)*(s_Irr!AU6+s_Irr!BT6)),IF(AND(s_Irr!V6=".",s_Irr!AU6=".",s_Irr!BT6&lt;&gt;"."),s_dir!W6/((1/1000)*(s_Irr!BT6)),IF(AND(s_Irr!V6=".",s_Irr!AU6&lt;&gt;".",s_Irr!BT6="."),s_dir!W6/((1/1000)*(s_Irr!AU6)),IF(AND(s_Irr!V6&lt;&gt;".",s_Irr!AU6=".",s_Irr!BT6="."),s_dir!W6/((1/1000)*(s_Irr!V6)),IF(AND(s_Irr!V6=".",s_Irr!AU6=".",s_Irr!BT6="."),s_dir!W6*1000)))))))),".")</f>
        <v>.</v>
      </c>
      <c r="X6" s="70" t="str">
        <f>IFERROR(IF(AND(s_Irr!W6&lt;&gt;".",s_Irr!AV6&lt;&gt;".",s_Irr!BU6&lt;&gt;"."),s_dir!X6/((1/1000)*(s_Irr!W6+s_Irr!AV6+s_Irr!BU6)),IF(AND(s_Irr!W6&lt;&gt;".",s_Irr!AV6&lt;&gt;".",s_Irr!BU6="."),s_dir!X6/((1/1000)*(s_Irr!W6+s_Irr!AV6)),IF(AND(s_Irr!W6&lt;&gt;".",s_Irr!AV6=".",s_Irr!BU6&lt;&gt;"."),s_dir!X6/((1/1000)*(s_Irr!W6+s_Irr!BU6)),IF(AND(s_Irr!W6=".",s_Irr!AV6&lt;&gt;".",s_Irr!BU6&lt;&gt;"."),s_dir!X6/((1/1000)*(s_Irr!AV6+s_Irr!BU6)),IF(AND(s_Irr!W6=".",s_Irr!AV6=".",s_Irr!BU6&lt;&gt;"."),s_dir!X6/((1/1000)*(s_Irr!BU6)),IF(AND(s_Irr!W6=".",s_Irr!AV6&lt;&gt;".",s_Irr!BU6="."),s_dir!X6/((1/1000)*(s_Irr!AV6)),IF(AND(s_Irr!W6&lt;&gt;".",s_Irr!AV6=".",s_Irr!BU6="."),s_dir!X6/((1/1000)*(s_Irr!W6)),IF(AND(s_Irr!W6=".",s_Irr!AV6=".",s_Irr!BU6="."),s_dir!X6*1000)))))))),".")</f>
        <v>.</v>
      </c>
      <c r="Y6" s="70" t="str">
        <f>IFERROR(IF(AND(s_Irr!X6&lt;&gt;".",s_Irr!AW6&lt;&gt;".",s_Irr!BV6&lt;&gt;"."),s_dir!Y6/((1/1000)*(s_Irr!X6+s_Irr!AW6+s_Irr!BV6)),IF(AND(s_Irr!X6&lt;&gt;".",s_Irr!AW6&lt;&gt;".",s_Irr!BV6="."),s_dir!Y6/((1/1000)*(s_Irr!X6+s_Irr!AW6)),IF(AND(s_Irr!X6&lt;&gt;".",s_Irr!AW6=".",s_Irr!BV6&lt;&gt;"."),s_dir!Y6/((1/1000)*(s_Irr!X6+s_Irr!BV6)),IF(AND(s_Irr!X6=".",s_Irr!AW6&lt;&gt;".",s_Irr!BV6&lt;&gt;"."),s_dir!Y6/((1/1000)*(s_Irr!AW6+s_Irr!BV6)),IF(AND(s_Irr!X6=".",s_Irr!AW6=".",s_Irr!BV6&lt;&gt;"."),s_dir!Y6/((1/1000)*(s_Irr!BV6)),IF(AND(s_Irr!X6=".",s_Irr!AW6&lt;&gt;".",s_Irr!BV6="."),s_dir!Y6/((1/1000)*(s_Irr!AW6)),IF(AND(s_Irr!X6&lt;&gt;".",s_Irr!AW6=".",s_Irr!BV6="."),s_dir!Y6/((1/1000)*(s_Irr!X6)),IF(AND(s_Irr!X6=".",s_Irr!AW6=".",s_Irr!BV6="."),s_dir!Y6*1000)))))))),".")</f>
        <v>.</v>
      </c>
      <c r="Z6" s="70" t="str">
        <f>IFERROR(IF(AND(s_Irr!Y6&lt;&gt;".",s_Irr!AX6&lt;&gt;".",s_Irr!BW6&lt;&gt;"."),s_dir!Z6/((1/1000)*(s_Irr!Y6+s_Irr!AX6+s_Irr!BW6)),IF(AND(s_Irr!Y6&lt;&gt;".",s_Irr!AX6&lt;&gt;".",s_Irr!BW6="."),s_dir!Z6/((1/1000)*(s_Irr!Y6+s_Irr!AX6)),IF(AND(s_Irr!Y6&lt;&gt;".",s_Irr!AX6=".",s_Irr!BW6&lt;&gt;"."),s_dir!Z6/((1/1000)*(s_Irr!Y6+s_Irr!BW6)),IF(AND(s_Irr!Y6=".",s_Irr!AX6&lt;&gt;".",s_Irr!BW6&lt;&gt;"."),s_dir!Z6/((1/1000)*(s_Irr!AX6+s_Irr!BW6)),IF(AND(s_Irr!Y6=".",s_Irr!AX6=".",s_Irr!BW6&lt;&gt;"."),s_dir!Z6/((1/1000)*(s_Irr!BW6)),IF(AND(s_Irr!Y6=".",s_Irr!AX6&lt;&gt;".",s_Irr!BW6="."),s_dir!Z6/((1/1000)*(s_Irr!AX6)),IF(AND(s_Irr!Y6&lt;&gt;".",s_Irr!AX6=".",s_Irr!BW6="."),s_dir!Z6/((1/1000)*(s_Irr!Y6)),IF(AND(s_Irr!Y6=".",s_Irr!AX6=".",s_Irr!BW6="."),s_dir!Z6*1000)))))))),".")</f>
        <v>.</v>
      </c>
      <c r="AA6" s="70" t="str">
        <f>IFERROR(IF(AND(s_Irr!Z6&lt;&gt;".",s_Irr!AY6&lt;&gt;".",s_Irr!BX6&lt;&gt;"."),s_dir!AA6/((1/1000)*(s_Irr!Z6+s_Irr!AY6+s_Irr!BX6)),IF(AND(s_Irr!Z6&lt;&gt;".",s_Irr!AY6&lt;&gt;".",s_Irr!BX6="."),s_dir!AA6/((1/1000)*(s_Irr!Z6+s_Irr!AY6)),IF(AND(s_Irr!Z6&lt;&gt;".",s_Irr!AY6=".",s_Irr!BX6&lt;&gt;"."),s_dir!AA6/((1/1000)*(s_Irr!Z6+s_Irr!BX6)),IF(AND(s_Irr!Z6=".",s_Irr!AY6&lt;&gt;".",s_Irr!BX6&lt;&gt;"."),s_dir!AA6/((1/1000)*(s_Irr!AY6+s_Irr!BX6)),IF(AND(s_Irr!Z6=".",s_Irr!AY6=".",s_Irr!BX6&lt;&gt;"."),s_dir!AA6/((1/1000)*(s_Irr!BX6)),IF(AND(s_Irr!Z6=".",s_Irr!AY6&lt;&gt;".",s_Irr!BX6="."),s_dir!AA6/((1/1000)*(s_Irr!AY6)),IF(AND(s_Irr!Z6&lt;&gt;".",s_Irr!AY6=".",s_Irr!BX6="."),s_dir!AA6/((1/1000)*(s_Irr!Z6)),IF(AND(s_Irr!Z6=".",s_Irr!AY6=".",s_Irr!BX6="."),s_dir!AA6*1000)))))))),".")</f>
        <v>.</v>
      </c>
      <c r="AB6" s="70" t="str">
        <f>IFERROR(IF(AND(s_Irr!AA6&lt;&gt;".",s_Irr!AZ6&lt;&gt;".",s_Irr!BY6&lt;&gt;"."),s_dir!AB6/((1/1000)*(s_Irr!AA6+s_Irr!AZ6+s_Irr!BY6)),IF(AND(s_Irr!AA6&lt;&gt;".",s_Irr!AZ6&lt;&gt;".",s_Irr!BY6="."),s_dir!AB6/((1/1000)*(s_Irr!AA6+s_Irr!AZ6)),IF(AND(s_Irr!AA6&lt;&gt;".",s_Irr!AZ6=".",s_Irr!BY6&lt;&gt;"."),s_dir!AB6/((1/1000)*(s_Irr!AA6+s_Irr!BY6)),IF(AND(s_Irr!AA6=".",s_Irr!AZ6&lt;&gt;".",s_Irr!BY6&lt;&gt;"."),s_dir!AB6/((1/1000)*(s_Irr!AZ6+s_Irr!BY6)),IF(AND(s_Irr!AA6=".",s_Irr!AZ6=".",s_Irr!BY6&lt;&gt;"."),s_dir!AB6/((1/1000)*(s_Irr!BY6)),IF(AND(s_Irr!AA6=".",s_Irr!AZ6&lt;&gt;".",s_Irr!BY6="."),s_dir!AB6/((1/1000)*(s_Irr!AZ6)),IF(AND(s_Irr!AA6&lt;&gt;".",s_Irr!AZ6=".",s_Irr!BY6="."),s_dir!AB6/((1/1000)*(s_Irr!AA6)),IF(AND(s_Irr!AA6=".",s_Irr!AZ6=".",s_Irr!BY6="."),s_dir!AB6*1000)))))))),".")</f>
        <v>.</v>
      </c>
      <c r="AC6" s="87">
        <f t="shared" si="4"/>
        <v>386.79711383876969</v>
      </c>
      <c r="AD6" s="87">
        <f>IFERROR(s_C*s_IFAP_res_adj*s_CF_apple*0.001*(s_Irr!C6+s_Irr!AB6+s_Irr!BA6),".")</f>
        <v>103.48385260743784</v>
      </c>
      <c r="AE6" s="87">
        <f>IFERROR(s_C*s_IFAS_res_adj*s_CF_asparagus*0.001*(s_Irr!D6+s_Irr!AC6+s_Irr!BB6),".")</f>
        <v>95.970481458218103</v>
      </c>
      <c r="AF6" s="87">
        <f>IFERROR(s_C*s_IFBT_res_adj*s_CF_beet*0.001*(s_Irr!E6+s_Irr!AD6+s_Irr!BC6),".")</f>
        <v>95.970481458218103</v>
      </c>
      <c r="AG6" s="87">
        <f>IFERROR(s_C*s_IFBE_res_adj*s_CF_berries*0.001*(s_Irr!F6+s_Irr!AE6+s_Irr!BD6),".")</f>
        <v>103.48385260743784</v>
      </c>
      <c r="AH6" s="87">
        <f>IFERROR(s_C*s_IFBR_res_adj*s_CF_broccoli*0.001*(s_Irr!G6+s_Irr!AF6+s_Irr!BE6),".")</f>
        <v>103.48385260743784</v>
      </c>
      <c r="AI6" s="87">
        <f>IFERROR(s_C*s_IFCB_res_adj*s_CF_cabbage*0.001*(s_Irr!H6+s_Irr!AG6+s_Irr!BF6),".")</f>
        <v>95.970481458218103</v>
      </c>
      <c r="AJ6" s="87">
        <f>IFERROR(s_C*s_IFCR_res_adj*s_CF_carrot*0.001*(s_Irr!I6+s_Irr!AH6+s_Irr!BG6),".")</f>
        <v>95.970481458218103</v>
      </c>
      <c r="AK6" s="87">
        <f>IFERROR(s_C*s_IFCI_res_adj*s_CF_citrus*0.001*(s_Irr!J6+s_Irr!AI6+s_Irr!BH6),".")</f>
        <v>103.48385260743784</v>
      </c>
      <c r="AL6" s="87">
        <f>IFERROR(s_C*s_IFCO_res_adj*s_CF_corn*0.001*(s_Irr!K6+s_Irr!AJ6+s_Irr!BI6),".")</f>
        <v>103.48385260743784</v>
      </c>
      <c r="AM6" s="87">
        <f>IFERROR(s_C*s_IFCU_res_adj*s_CF_cucumber*0.001*(s_Irr!L6+s_Irr!AK6+s_Irr!BJ6),".")</f>
        <v>103.48385260743784</v>
      </c>
      <c r="AN6" s="87">
        <f>IFERROR(s_C*s_IFLE_res_adj*s_CF_lettuce*0.001*(s_Irr!M6+s_Irr!AL6+s_Irr!BK6),".")</f>
        <v>95.970481458218103</v>
      </c>
      <c r="AO6" s="87">
        <f>IFERROR(s_C*s_IFLI_res_adj*s_CF_lima_bean*0.001*(s_Irr!N6+s_Irr!AM6+s_Irr!BL6),".")</f>
        <v>103.48385260743784</v>
      </c>
      <c r="AP6" s="87">
        <f>IFERROR(s_C*s_IFOK_res_adj*s_CF_okra*0.001*(s_Irr!O6+s_Irr!AN6+s_Irr!BM6),".")</f>
        <v>103.48385260743784</v>
      </c>
      <c r="AQ6" s="87">
        <f>IFERROR(s_C*s_IFON_res_adj*s_CF_onion*0.001*(s_Irr!P6+s_Irr!AO6+s_Irr!BN6),".")</f>
        <v>95.970481458218103</v>
      </c>
      <c r="AR6" s="87">
        <f>IFERROR(s_C*s_IFPC_res_adj*s_CF_peach*0.001*(s_Irr!Q6+s_Irr!AP6+s_Irr!BO6),".")</f>
        <v>103.48385260743784</v>
      </c>
      <c r="AS6" s="87">
        <f>IFERROR(s_C*s_IFPR_res_adj*s_CF_pear*0.001*(s_Irr!R6+s_Irr!AQ6+s_Irr!BP6),".")</f>
        <v>103.48385260743784</v>
      </c>
      <c r="AT6" s="87">
        <f>IFERROR(s_C*s_IFPE_res_adj*s_CF_peas*0.001*(s_Irr!S6+s_Irr!AR6+s_Irr!BQ6),".")</f>
        <v>103.48385260743784</v>
      </c>
      <c r="AU6" s="87">
        <f>IFERROR(s_C*s_IFPP_res_adj*s_CF_peppers*0.001*(s_Irr!T6+s_Irr!AS6+s_Irr!BR6),".")</f>
        <v>103.48385260743784</v>
      </c>
      <c r="AV6" s="87">
        <f>IFERROR(s_C*s_IFPT_res_adj*s_CF_potato*0.001*(s_Irr!U6+s_Irr!AT6+s_Irr!BS6),".")</f>
        <v>95.970481458218103</v>
      </c>
      <c r="AW6" s="87">
        <f>IFERROR(s_C*s_IFPU_res_adj*s_CF_pumpkin*0.001*(s_Irr!V6+s_Irr!AU6+s_Irr!BT6),".")</f>
        <v>103.48385260743784</v>
      </c>
      <c r="AX6" s="87">
        <f>IFERROR(s_C*s_IFSN_res_adj*s_CF_snap_bean*0.001*(s_Irr!W6+s_Irr!AV6+s_Irr!BU6),".")</f>
        <v>103.48385260743784</v>
      </c>
      <c r="AY6" s="87">
        <f>IFERROR(s_C*s_IFST_res_adj*s_CF_strawberry*0.001*(s_Irr!X6+s_Irr!AW6+s_Irr!BV6),".")</f>
        <v>103.48385260743784</v>
      </c>
      <c r="AZ6" s="87">
        <f>IFERROR(s_C*s_IFTO_res_adj*s_CF_tomato*0.001*(s_Irr!Y6+s_Irr!AX6+s_Irr!BW6),".")</f>
        <v>103.48385260743784</v>
      </c>
      <c r="BA6" s="87">
        <f>IFERROR(s_C*s_IFRI_res_adj*s_CF_rice*0.001*(s_Irr!Z6+s_Irr!AY6+s_Irr!BX6),".")</f>
        <v>89.869624085051683</v>
      </c>
      <c r="BB6" s="87">
        <f>IFERROR(s_C*s_IFCG_res_adj*s_CF_cereal*0.001*(s_Irr!AA6+s_Irr!AZ6+s_Irr!BY6),".")</f>
        <v>89.959784538842314</v>
      </c>
      <c r="BC6" s="70" t="str">
        <f t="shared" si="1"/>
        <v>.</v>
      </c>
      <c r="BD6" s="70" t="str">
        <f>IFERROR(IF(AND(s_Irr!C6&lt;&gt;".",s_Irr!AB6&lt;&gt;".",s_Irr!BA6&lt;&gt;"."),s_dir!AD6/((1/1000)*(s_Irr!C6+s_Irr!AB6+s_Irr!BA6)),IF(AND(s_Irr!C6&lt;&gt;".",s_Irr!AB6&lt;&gt;".",s_Irr!BA6="."),s_dir!AD6/((1/1000)*(s_Irr!C6+s_Irr!AB6)),IF(AND(s_Irr!C6&lt;&gt;".",s_Irr!AB6=".",s_Irr!BA6&lt;&gt;"."),s_dir!AD6/((1/1000)*(s_Irr!C6+s_Irr!BA6)),IF(AND(s_Irr!C6=".",s_Irr!AB6&lt;&gt;".",s_Irr!BA6&lt;&gt;"."),s_dir!AD6/((1/1000)*(s_Irr!AB6+s_Irr!BA6)),IF(AND(s_Irr!C6=".",s_Irr!AB6=".",s_Irr!BA6&lt;&gt;"."),s_dir!AD6/((1/1000)*(s_Irr!BA6)),IF(AND(s_Irr!C6=".",s_Irr!AB6&lt;&gt;".",s_Irr!BA6="."),s_dir!AD6/((1/1000)*(s_Irr!AB6)),IF(AND(s_Irr!C6&lt;&gt;".",s_Irr!AB6=".",s_Irr!BA6="."),s_dir!AD6/((1/1000)*(s_Irr!C6)),IF(AND(s_Irr!C6=".",s_Irr!AB6=".",s_Irr!BA6="."),s_dir!AD6*1000)))))))),".")</f>
        <v>.</v>
      </c>
      <c r="BE6" s="70" t="str">
        <f>IFERROR(IF(AND(s_Irr!D6&lt;&gt;".",s_Irr!AC6&lt;&gt;".",s_Irr!BB6&lt;&gt;"."),s_dir!AE6/((1/1000)*(s_Irr!D6+s_Irr!AC6+s_Irr!BB6)),IF(AND(s_Irr!D6&lt;&gt;".",s_Irr!AC6&lt;&gt;".",s_Irr!BB6="."),s_dir!AE6/((1/1000)*(s_Irr!D6+s_Irr!AC6)),IF(AND(s_Irr!D6&lt;&gt;".",s_Irr!AC6=".",s_Irr!BB6&lt;&gt;"."),s_dir!AE6/((1/1000)*(s_Irr!D6+s_Irr!BB6)),IF(AND(s_Irr!D6=".",s_Irr!AC6&lt;&gt;".",s_Irr!BB6&lt;&gt;"."),s_dir!AE6/((1/1000)*(s_Irr!AC6+s_Irr!BB6)),IF(AND(s_Irr!D6=".",s_Irr!AC6=".",s_Irr!BB6&lt;&gt;"."),s_dir!AE6/((1/1000)*(s_Irr!BB6)),IF(AND(s_Irr!D6=".",s_Irr!AC6&lt;&gt;".",s_Irr!BB6="."),s_dir!AE6/((1/1000)*(s_Irr!AC6)),IF(AND(s_Irr!D6&lt;&gt;".",s_Irr!AC6=".",s_Irr!BB6="."),s_dir!AE6/((1/1000)*(s_Irr!D6)),IF(AND(s_Irr!D6=".",s_Irr!AC6=".",s_Irr!BB6="."),s_dir!AE6*1000)))))))),".")</f>
        <v>.</v>
      </c>
      <c r="BF6" s="70" t="str">
        <f>IFERROR(IF(AND(s_Irr!E6&lt;&gt;".",s_Irr!AD6&lt;&gt;".",s_Irr!BC6&lt;&gt;"."),s_dir!AF6/((1/1000)*(s_Irr!E6+s_Irr!AD6+s_Irr!BC6)),IF(AND(s_Irr!E6&lt;&gt;".",s_Irr!AD6&lt;&gt;".",s_Irr!BC6="."),s_dir!AF6/((1/1000)*(s_Irr!E6+s_Irr!AD6)),IF(AND(s_Irr!E6&lt;&gt;".",s_Irr!AD6=".",s_Irr!BC6&lt;&gt;"."),s_dir!AF6/((1/1000)*(s_Irr!E6+s_Irr!BC6)),IF(AND(s_Irr!E6=".",s_Irr!AD6&lt;&gt;".",s_Irr!BC6&lt;&gt;"."),s_dir!AF6/((1/1000)*(s_Irr!AD6+s_Irr!BC6)),IF(AND(s_Irr!E6=".",s_Irr!AD6=".",s_Irr!BC6&lt;&gt;"."),s_dir!AF6/((1/1000)*(s_Irr!BC6)),IF(AND(s_Irr!E6=".",s_Irr!AD6&lt;&gt;".",s_Irr!BC6="."),s_dir!AF6/((1/1000)*(s_Irr!AD6)),IF(AND(s_Irr!E6&lt;&gt;".",s_Irr!AD6=".",s_Irr!BC6="."),s_dir!AF6/((1/1000)*(s_Irr!E6)),IF(AND(s_Irr!E6=".",s_Irr!AD6=".",s_Irr!BC6="."),s_dir!AF6*1000)))))))),".")</f>
        <v>.</v>
      </c>
      <c r="BG6" s="70" t="str">
        <f>IFERROR(IF(AND(s_Irr!F6&lt;&gt;".",s_Irr!AE6&lt;&gt;".",s_Irr!BD6&lt;&gt;"."),s_dir!AG6/((1/1000)*(s_Irr!F6+s_Irr!AE6+s_Irr!BD6)),IF(AND(s_Irr!F6&lt;&gt;".",s_Irr!AE6&lt;&gt;".",s_Irr!BD6="."),s_dir!AG6/((1/1000)*(s_Irr!F6+s_Irr!AE6)),IF(AND(s_Irr!F6&lt;&gt;".",s_Irr!AE6=".",s_Irr!BD6&lt;&gt;"."),s_dir!AG6/((1/1000)*(s_Irr!F6+s_Irr!BD6)),IF(AND(s_Irr!F6=".",s_Irr!AE6&lt;&gt;".",s_Irr!BD6&lt;&gt;"."),s_dir!AG6/((1/1000)*(s_Irr!AE6+s_Irr!BD6)),IF(AND(s_Irr!F6=".",s_Irr!AE6=".",s_Irr!BD6&lt;&gt;"."),s_dir!AG6/((1/1000)*(s_Irr!BD6)),IF(AND(s_Irr!F6=".",s_Irr!AE6&lt;&gt;".",s_Irr!BD6="."),s_dir!AG6/((1/1000)*(s_Irr!AE6)),IF(AND(s_Irr!F6&lt;&gt;".",s_Irr!AE6=".",s_Irr!BD6="."),s_dir!AG6/((1/1000)*(s_Irr!F6)),IF(AND(s_Irr!F6=".",s_Irr!AE6=".",s_Irr!BD6="."),s_dir!AG6*1000)))))))),".")</f>
        <v>.</v>
      </c>
      <c r="BH6" s="70" t="str">
        <f>IFERROR(IF(AND(s_Irr!G6&lt;&gt;".",s_Irr!AF6&lt;&gt;".",s_Irr!BE6&lt;&gt;"."),s_dir!AH6/((1/1000)*(s_Irr!G6+s_Irr!AF6+s_Irr!BE6)),IF(AND(s_Irr!G6&lt;&gt;".",s_Irr!AF6&lt;&gt;".",s_Irr!BE6="."),s_dir!AH6/((1/1000)*(s_Irr!G6+s_Irr!AF6)),IF(AND(s_Irr!G6&lt;&gt;".",s_Irr!AF6=".",s_Irr!BE6&lt;&gt;"."),s_dir!AH6/((1/1000)*(s_Irr!G6+s_Irr!BE6)),IF(AND(s_Irr!G6=".",s_Irr!AF6&lt;&gt;".",s_Irr!BE6&lt;&gt;"."),s_dir!AH6/((1/1000)*(s_Irr!AF6+s_Irr!BE6)),IF(AND(s_Irr!G6=".",s_Irr!AF6=".",s_Irr!BE6&lt;&gt;"."),s_dir!AH6/((1/1000)*(s_Irr!BE6)),IF(AND(s_Irr!G6=".",s_Irr!AF6&lt;&gt;".",s_Irr!BE6="."),s_dir!AH6/((1/1000)*(s_Irr!AF6)),IF(AND(s_Irr!G6&lt;&gt;".",s_Irr!AF6=".",s_Irr!BE6="."),s_dir!AH6/((1/1000)*(s_Irr!G6)),IF(AND(s_Irr!G6=".",s_Irr!AF6=".",s_Irr!BE6="."),s_dir!AH6*1000)))))))),".")</f>
        <v>.</v>
      </c>
      <c r="BI6" s="70" t="str">
        <f>IFERROR(IF(AND(s_Irr!H6&lt;&gt;".",s_Irr!AG6&lt;&gt;".",s_Irr!BF6&lt;&gt;"."),s_dir!AI6/((1/1000)*(s_Irr!H6+s_Irr!AG6+s_Irr!BF6)),IF(AND(s_Irr!H6&lt;&gt;".",s_Irr!AG6&lt;&gt;".",s_Irr!BF6="."),s_dir!AI6/((1/1000)*(s_Irr!H6+s_Irr!AG6)),IF(AND(s_Irr!H6&lt;&gt;".",s_Irr!AG6=".",s_Irr!BF6&lt;&gt;"."),s_dir!AI6/((1/1000)*(s_Irr!H6+s_Irr!BF6)),IF(AND(s_Irr!H6=".",s_Irr!AG6&lt;&gt;".",s_Irr!BF6&lt;&gt;"."),s_dir!AI6/((1/1000)*(s_Irr!AG6+s_Irr!BF6)),IF(AND(s_Irr!H6=".",s_Irr!AG6=".",s_Irr!BF6&lt;&gt;"."),s_dir!AI6/((1/1000)*(s_Irr!BF6)),IF(AND(s_Irr!H6=".",s_Irr!AG6&lt;&gt;".",s_Irr!BF6="."),s_dir!AI6/((1/1000)*(s_Irr!AG6)),IF(AND(s_Irr!H6&lt;&gt;".",s_Irr!AG6=".",s_Irr!BF6="."),s_dir!AI6/((1/1000)*(s_Irr!H6)),IF(AND(s_Irr!H6=".",s_Irr!AG6=".",s_Irr!BF6="."),s_dir!AI6*1000)))))))),".")</f>
        <v>.</v>
      </c>
      <c r="BJ6" s="70" t="str">
        <f>IFERROR(IF(AND(s_Irr!I6&lt;&gt;".",s_Irr!AH6&lt;&gt;".",s_Irr!BG6&lt;&gt;"."),s_dir!AJ6/((1/1000)*(s_Irr!I6+s_Irr!AH6+s_Irr!BG6)),IF(AND(s_Irr!I6&lt;&gt;".",s_Irr!AH6&lt;&gt;".",s_Irr!BG6="."),s_dir!AJ6/((1/1000)*(s_Irr!I6+s_Irr!AH6)),IF(AND(s_Irr!I6&lt;&gt;".",s_Irr!AH6=".",s_Irr!BG6&lt;&gt;"."),s_dir!AJ6/((1/1000)*(s_Irr!I6+s_Irr!BG6)),IF(AND(s_Irr!I6=".",s_Irr!AH6&lt;&gt;".",s_Irr!BG6&lt;&gt;"."),s_dir!AJ6/((1/1000)*(s_Irr!AH6+s_Irr!BG6)),IF(AND(s_Irr!I6=".",s_Irr!AH6=".",s_Irr!BG6&lt;&gt;"."),s_dir!AJ6/((1/1000)*(s_Irr!BG6)),IF(AND(s_Irr!I6=".",s_Irr!AH6&lt;&gt;".",s_Irr!BG6="."),s_dir!AJ6/((1/1000)*(s_Irr!AH6)),IF(AND(s_Irr!I6&lt;&gt;".",s_Irr!AH6=".",s_Irr!BG6="."),s_dir!AJ6/((1/1000)*(s_Irr!I6)),IF(AND(s_Irr!I6=".",s_Irr!AH6=".",s_Irr!BG6="."),s_dir!AJ6*1000)))))))),".")</f>
        <v>.</v>
      </c>
      <c r="BK6" s="70" t="str">
        <f>IFERROR(IF(AND(s_Irr!J6&lt;&gt;".",s_Irr!AI6&lt;&gt;".",s_Irr!BH6&lt;&gt;"."),s_dir!AK6/((1/1000)*(s_Irr!J6+s_Irr!AI6+s_Irr!BH6)),IF(AND(s_Irr!J6&lt;&gt;".",s_Irr!AI6&lt;&gt;".",s_Irr!BH6="."),s_dir!AK6/((1/1000)*(s_Irr!J6+s_Irr!AI6)),IF(AND(s_Irr!J6&lt;&gt;".",s_Irr!AI6=".",s_Irr!BH6&lt;&gt;"."),s_dir!AK6/((1/1000)*(s_Irr!J6+s_Irr!BH6)),IF(AND(s_Irr!J6=".",s_Irr!AI6&lt;&gt;".",s_Irr!BH6&lt;&gt;"."),s_dir!AK6/((1/1000)*(s_Irr!AI6+s_Irr!BH6)),IF(AND(s_Irr!J6=".",s_Irr!AI6=".",s_Irr!BH6&lt;&gt;"."),s_dir!AK6/((1/1000)*(s_Irr!BH6)),IF(AND(s_Irr!J6=".",s_Irr!AI6&lt;&gt;".",s_Irr!BH6="."),s_dir!AK6/((1/1000)*(s_Irr!AI6)),IF(AND(s_Irr!J6&lt;&gt;".",s_Irr!AI6=".",s_Irr!BH6="."),s_dir!AK6/((1/1000)*(s_Irr!J6)),IF(AND(s_Irr!J6=".",s_Irr!AI6=".",s_Irr!BH6="."),s_dir!AK6*1000)))))))),".")</f>
        <v>.</v>
      </c>
      <c r="BL6" s="70" t="str">
        <f>IFERROR(IF(AND(s_Irr!K6&lt;&gt;".",s_Irr!AJ6&lt;&gt;".",s_Irr!BI6&lt;&gt;"."),s_dir!AL6/((1/1000)*(s_Irr!K6+s_Irr!AJ6+s_Irr!BI6)),IF(AND(s_Irr!K6&lt;&gt;".",s_Irr!AJ6&lt;&gt;".",s_Irr!BI6="."),s_dir!AL6/((1/1000)*(s_Irr!K6+s_Irr!AJ6)),IF(AND(s_Irr!K6&lt;&gt;".",s_Irr!AJ6=".",s_Irr!BI6&lt;&gt;"."),s_dir!AL6/((1/1000)*(s_Irr!K6+s_Irr!BI6)),IF(AND(s_Irr!K6=".",s_Irr!AJ6&lt;&gt;".",s_Irr!BI6&lt;&gt;"."),s_dir!AL6/((1/1000)*(s_Irr!AJ6+s_Irr!BI6)),IF(AND(s_Irr!K6=".",s_Irr!AJ6=".",s_Irr!BI6&lt;&gt;"."),s_dir!AL6/((1/1000)*(s_Irr!BI6)),IF(AND(s_Irr!K6=".",s_Irr!AJ6&lt;&gt;".",s_Irr!BI6="."),s_dir!AL6/((1/1000)*(s_Irr!AJ6)),IF(AND(s_Irr!K6&lt;&gt;".",s_Irr!AJ6=".",s_Irr!BI6="."),s_dir!AL6/((1/1000)*(s_Irr!K6)),IF(AND(s_Irr!K6=".",s_Irr!AJ6=".",s_Irr!BI6="."),s_dir!AL6*1000)))))))),".")</f>
        <v>.</v>
      </c>
      <c r="BM6" s="70" t="str">
        <f>IFERROR(IF(AND(s_Irr!L6&lt;&gt;".",s_Irr!AK6&lt;&gt;".",s_Irr!BJ6&lt;&gt;"."),s_dir!AM6/((1/1000)*(s_Irr!L6+s_Irr!AK6+s_Irr!BJ6)),IF(AND(s_Irr!L6&lt;&gt;".",s_Irr!AK6&lt;&gt;".",s_Irr!BJ6="."),s_dir!AM6/((1/1000)*(s_Irr!L6+s_Irr!AK6)),IF(AND(s_Irr!L6&lt;&gt;".",s_Irr!AK6=".",s_Irr!BJ6&lt;&gt;"."),s_dir!AM6/((1/1000)*(s_Irr!L6+s_Irr!BJ6)),IF(AND(s_Irr!L6=".",s_Irr!AK6&lt;&gt;".",s_Irr!BJ6&lt;&gt;"."),s_dir!AM6/((1/1000)*(s_Irr!AK6+s_Irr!BJ6)),IF(AND(s_Irr!L6=".",s_Irr!AK6=".",s_Irr!BJ6&lt;&gt;"."),s_dir!AM6/((1/1000)*(s_Irr!BJ6)),IF(AND(s_Irr!L6=".",s_Irr!AK6&lt;&gt;".",s_Irr!BJ6="."),s_dir!AM6/((1/1000)*(s_Irr!AK6)),IF(AND(s_Irr!L6&lt;&gt;".",s_Irr!AK6=".",s_Irr!BJ6="."),s_dir!AM6/((1/1000)*(s_Irr!L6)),IF(AND(s_Irr!L6=".",s_Irr!AK6=".",s_Irr!BJ6="."),s_dir!AM6*1000)))))))),".")</f>
        <v>.</v>
      </c>
      <c r="BN6" s="70" t="str">
        <f>IFERROR(IF(AND(s_Irr!M6&lt;&gt;".",s_Irr!AL6&lt;&gt;".",s_Irr!BK6&lt;&gt;"."),s_dir!AN6/((1/1000)*(s_Irr!M6+s_Irr!AL6+s_Irr!BK6)),IF(AND(s_Irr!M6&lt;&gt;".",s_Irr!AL6&lt;&gt;".",s_Irr!BK6="."),s_dir!AN6/((1/1000)*(s_Irr!M6+s_Irr!AL6)),IF(AND(s_Irr!M6&lt;&gt;".",s_Irr!AL6=".",s_Irr!BK6&lt;&gt;"."),s_dir!AN6/((1/1000)*(s_Irr!M6+s_Irr!BK6)),IF(AND(s_Irr!M6=".",s_Irr!AL6&lt;&gt;".",s_Irr!BK6&lt;&gt;"."),s_dir!AN6/((1/1000)*(s_Irr!AL6+s_Irr!BK6)),IF(AND(s_Irr!M6=".",s_Irr!AL6=".",s_Irr!BK6&lt;&gt;"."),s_dir!AN6/((1/1000)*(s_Irr!BK6)),IF(AND(s_Irr!M6=".",s_Irr!AL6&lt;&gt;".",s_Irr!BK6="."),s_dir!AN6/((1/1000)*(s_Irr!AL6)),IF(AND(s_Irr!M6&lt;&gt;".",s_Irr!AL6=".",s_Irr!BK6="."),s_dir!AN6/((1/1000)*(s_Irr!M6)),IF(AND(s_Irr!M6=".",s_Irr!AL6=".",s_Irr!BK6="."),s_dir!AN6*1000)))))))),".")</f>
        <v>.</v>
      </c>
      <c r="BO6" s="70" t="str">
        <f>IFERROR(IF(AND(s_Irr!N6&lt;&gt;".",s_Irr!AM6&lt;&gt;".",s_Irr!BL6&lt;&gt;"."),s_dir!AO6/((1/1000)*(s_Irr!N6+s_Irr!AM6+s_Irr!BL6)),IF(AND(s_Irr!N6&lt;&gt;".",s_Irr!AM6&lt;&gt;".",s_Irr!BL6="."),s_dir!AO6/((1/1000)*(s_Irr!N6+s_Irr!AM6)),IF(AND(s_Irr!N6&lt;&gt;".",s_Irr!AM6=".",s_Irr!BL6&lt;&gt;"."),s_dir!AO6/((1/1000)*(s_Irr!N6+s_Irr!BL6)),IF(AND(s_Irr!N6=".",s_Irr!AM6&lt;&gt;".",s_Irr!BL6&lt;&gt;"."),s_dir!AO6/((1/1000)*(s_Irr!AM6+s_Irr!BL6)),IF(AND(s_Irr!N6=".",s_Irr!AM6=".",s_Irr!BL6&lt;&gt;"."),s_dir!AO6/((1/1000)*(s_Irr!BL6)),IF(AND(s_Irr!N6=".",s_Irr!AM6&lt;&gt;".",s_Irr!BL6="."),s_dir!AO6/((1/1000)*(s_Irr!AM6)),IF(AND(s_Irr!N6&lt;&gt;".",s_Irr!AM6=".",s_Irr!BL6="."),s_dir!AO6/((1/1000)*(s_Irr!N6)),IF(AND(s_Irr!N6=".",s_Irr!AM6=".",s_Irr!BL6="."),s_dir!AO6*1000)))))))),".")</f>
        <v>.</v>
      </c>
      <c r="BP6" s="70" t="str">
        <f>IFERROR(IF(AND(s_Irr!O6&lt;&gt;".",s_Irr!AN6&lt;&gt;".",s_Irr!BM6&lt;&gt;"."),s_dir!AP6/((1/1000)*(s_Irr!O6+s_Irr!AN6+s_Irr!BM6)),IF(AND(s_Irr!O6&lt;&gt;".",s_Irr!AN6&lt;&gt;".",s_Irr!BM6="."),s_dir!AP6/((1/1000)*(s_Irr!O6+s_Irr!AN6)),IF(AND(s_Irr!O6&lt;&gt;".",s_Irr!AN6=".",s_Irr!BM6&lt;&gt;"."),s_dir!AP6/((1/1000)*(s_Irr!O6+s_Irr!BM6)),IF(AND(s_Irr!O6=".",s_Irr!AN6&lt;&gt;".",s_Irr!BM6&lt;&gt;"."),s_dir!AP6/((1/1000)*(s_Irr!AN6+s_Irr!BM6)),IF(AND(s_Irr!O6=".",s_Irr!AN6=".",s_Irr!BM6&lt;&gt;"."),s_dir!AP6/((1/1000)*(s_Irr!BM6)),IF(AND(s_Irr!O6=".",s_Irr!AN6&lt;&gt;".",s_Irr!BM6="."),s_dir!AP6/((1/1000)*(s_Irr!AN6)),IF(AND(s_Irr!O6&lt;&gt;".",s_Irr!AN6=".",s_Irr!BM6="."),s_dir!AP6/((1/1000)*(s_Irr!O6)),IF(AND(s_Irr!O6=".",s_Irr!AN6=".",s_Irr!BM6="."),s_dir!AP6*1000)))))))),".")</f>
        <v>.</v>
      </c>
      <c r="BQ6" s="70" t="str">
        <f>IFERROR(IF(AND(s_Irr!P6&lt;&gt;".",s_Irr!AO6&lt;&gt;".",s_Irr!BN6&lt;&gt;"."),s_dir!AQ6/((1/1000)*(s_Irr!P6+s_Irr!AO6+s_Irr!BN6)),IF(AND(s_Irr!P6&lt;&gt;".",s_Irr!AO6&lt;&gt;".",s_Irr!BN6="."),s_dir!AQ6/((1/1000)*(s_Irr!P6+s_Irr!AO6)),IF(AND(s_Irr!P6&lt;&gt;".",s_Irr!AO6=".",s_Irr!BN6&lt;&gt;"."),s_dir!AQ6/((1/1000)*(s_Irr!P6+s_Irr!BN6)),IF(AND(s_Irr!P6=".",s_Irr!AO6&lt;&gt;".",s_Irr!BN6&lt;&gt;"."),s_dir!AQ6/((1/1000)*(s_Irr!AO6+s_Irr!BN6)),IF(AND(s_Irr!P6=".",s_Irr!AO6=".",s_Irr!BN6&lt;&gt;"."),s_dir!AQ6/((1/1000)*(s_Irr!BN6)),IF(AND(s_Irr!P6=".",s_Irr!AO6&lt;&gt;".",s_Irr!BN6="."),s_dir!AQ6/((1/1000)*(s_Irr!AO6)),IF(AND(s_Irr!P6&lt;&gt;".",s_Irr!AO6=".",s_Irr!BN6="."),s_dir!AQ6/((1/1000)*(s_Irr!P6)),IF(AND(s_Irr!P6=".",s_Irr!AO6=".",s_Irr!BN6="."),s_dir!AQ6*1000)))))))),".")</f>
        <v>.</v>
      </c>
      <c r="BR6" s="70" t="str">
        <f>IFERROR(IF(AND(s_Irr!Q6&lt;&gt;".",s_Irr!AP6&lt;&gt;".",s_Irr!BO6&lt;&gt;"."),s_dir!AR6/((1/1000)*(s_Irr!Q6+s_Irr!AP6+s_Irr!BO6)),IF(AND(s_Irr!Q6&lt;&gt;".",s_Irr!AP6&lt;&gt;".",s_Irr!BO6="."),s_dir!AR6/((1/1000)*(s_Irr!Q6+s_Irr!AP6)),IF(AND(s_Irr!Q6&lt;&gt;".",s_Irr!AP6=".",s_Irr!BO6&lt;&gt;"."),s_dir!AR6/((1/1000)*(s_Irr!Q6+s_Irr!BO6)),IF(AND(s_Irr!Q6=".",s_Irr!AP6&lt;&gt;".",s_Irr!BO6&lt;&gt;"."),s_dir!AR6/((1/1000)*(s_Irr!AP6+s_Irr!BO6)),IF(AND(s_Irr!Q6=".",s_Irr!AP6=".",s_Irr!BO6&lt;&gt;"."),s_dir!AR6/((1/1000)*(s_Irr!BO6)),IF(AND(s_Irr!Q6=".",s_Irr!AP6&lt;&gt;".",s_Irr!BO6="."),s_dir!AR6/((1/1000)*(s_Irr!AP6)),IF(AND(s_Irr!Q6&lt;&gt;".",s_Irr!AP6=".",s_Irr!BO6="."),s_dir!AR6/((1/1000)*(s_Irr!Q6)),IF(AND(s_Irr!Q6=".",s_Irr!AP6=".",s_Irr!BO6="."),s_dir!AR6*1000)))))))),".")</f>
        <v>.</v>
      </c>
      <c r="BS6" s="70" t="str">
        <f>IFERROR(IF(AND(s_Irr!R6&lt;&gt;".",s_Irr!AQ6&lt;&gt;".",s_Irr!BP6&lt;&gt;"."),s_dir!AS6/((1/1000)*(s_Irr!R6+s_Irr!AQ6+s_Irr!BP6)),IF(AND(s_Irr!R6&lt;&gt;".",s_Irr!AQ6&lt;&gt;".",s_Irr!BP6="."),s_dir!AS6/((1/1000)*(s_Irr!R6+s_Irr!AQ6)),IF(AND(s_Irr!R6&lt;&gt;".",s_Irr!AQ6=".",s_Irr!BP6&lt;&gt;"."),s_dir!AS6/((1/1000)*(s_Irr!R6+s_Irr!BP6)),IF(AND(s_Irr!R6=".",s_Irr!AQ6&lt;&gt;".",s_Irr!BP6&lt;&gt;"."),s_dir!AS6/((1/1000)*(s_Irr!AQ6+s_Irr!BP6)),IF(AND(s_Irr!R6=".",s_Irr!AQ6=".",s_Irr!BP6&lt;&gt;"."),s_dir!AS6/((1/1000)*(s_Irr!BP6)),IF(AND(s_Irr!R6=".",s_Irr!AQ6&lt;&gt;".",s_Irr!BP6="."),s_dir!AS6/((1/1000)*(s_Irr!AQ6)),IF(AND(s_Irr!R6&lt;&gt;".",s_Irr!AQ6=".",s_Irr!BP6="."),s_dir!AS6/((1/1000)*(s_Irr!R6)),IF(AND(s_Irr!R6=".",s_Irr!AQ6=".",s_Irr!BP6="."),s_dir!AS6*1000)))))))),".")</f>
        <v>.</v>
      </c>
      <c r="BT6" s="70" t="str">
        <f>IFERROR(IF(AND(s_Irr!S6&lt;&gt;".",s_Irr!AR6&lt;&gt;".",s_Irr!BQ6&lt;&gt;"."),s_dir!AT6/((1/1000)*(s_Irr!S6+s_Irr!AR6+s_Irr!BQ6)),IF(AND(s_Irr!S6&lt;&gt;".",s_Irr!AR6&lt;&gt;".",s_Irr!BQ6="."),s_dir!AT6/((1/1000)*(s_Irr!S6+s_Irr!AR6)),IF(AND(s_Irr!S6&lt;&gt;".",s_Irr!AR6=".",s_Irr!BQ6&lt;&gt;"."),s_dir!AT6/((1/1000)*(s_Irr!S6+s_Irr!BQ6)),IF(AND(s_Irr!S6=".",s_Irr!AR6&lt;&gt;".",s_Irr!BQ6&lt;&gt;"."),s_dir!AT6/((1/1000)*(s_Irr!AR6+s_Irr!BQ6)),IF(AND(s_Irr!S6=".",s_Irr!AR6=".",s_Irr!BQ6&lt;&gt;"."),s_dir!AT6/((1/1000)*(s_Irr!BQ6)),IF(AND(s_Irr!S6=".",s_Irr!AR6&lt;&gt;".",s_Irr!BQ6="."),s_dir!AT6/((1/1000)*(s_Irr!AR6)),IF(AND(s_Irr!S6&lt;&gt;".",s_Irr!AR6=".",s_Irr!BQ6="."),s_dir!AT6/((1/1000)*(s_Irr!S6)),IF(AND(s_Irr!S6=".",s_Irr!AR6=".",s_Irr!BQ6="."),s_dir!AT6*1000)))))))),".")</f>
        <v>.</v>
      </c>
      <c r="BU6" s="70" t="str">
        <f>IFERROR(IF(AND(s_Irr!T6&lt;&gt;".",s_Irr!AS6&lt;&gt;".",s_Irr!BR6&lt;&gt;"."),s_dir!AU6/((1/1000)*(s_Irr!T6+s_Irr!AS6+s_Irr!BR6)),IF(AND(s_Irr!T6&lt;&gt;".",s_Irr!AS6&lt;&gt;".",s_Irr!BR6="."),s_dir!AU6/((1/1000)*(s_Irr!T6+s_Irr!AS6)),IF(AND(s_Irr!T6&lt;&gt;".",s_Irr!AS6=".",s_Irr!BR6&lt;&gt;"."),s_dir!AU6/((1/1000)*(s_Irr!T6+s_Irr!BR6)),IF(AND(s_Irr!T6=".",s_Irr!AS6&lt;&gt;".",s_Irr!BR6&lt;&gt;"."),s_dir!AU6/((1/1000)*(s_Irr!AS6+s_Irr!BR6)),IF(AND(s_Irr!T6=".",s_Irr!AS6=".",s_Irr!BR6&lt;&gt;"."),s_dir!AU6/((1/1000)*(s_Irr!BR6)),IF(AND(s_Irr!T6=".",s_Irr!AS6&lt;&gt;".",s_Irr!BR6="."),s_dir!AU6/((1/1000)*(s_Irr!AS6)),IF(AND(s_Irr!T6&lt;&gt;".",s_Irr!AS6=".",s_Irr!BR6="."),s_dir!AU6/((1/1000)*(s_Irr!T6)),IF(AND(s_Irr!T6=".",s_Irr!AS6=".",s_Irr!BR6="."),s_dir!AU6*1000)))))))),".")</f>
        <v>.</v>
      </c>
      <c r="BV6" s="70" t="str">
        <f>IFERROR(IF(AND(s_Irr!U6&lt;&gt;".",s_Irr!AT6&lt;&gt;".",s_Irr!BS6&lt;&gt;"."),s_dir!AV6/((1/1000)*(s_Irr!U6+s_Irr!AT6+s_Irr!BS6)),IF(AND(s_Irr!U6&lt;&gt;".",s_Irr!AT6&lt;&gt;".",s_Irr!BS6="."),s_dir!AV6/((1/1000)*(s_Irr!U6+s_Irr!AT6)),IF(AND(s_Irr!U6&lt;&gt;".",s_Irr!AT6=".",s_Irr!BS6&lt;&gt;"."),s_dir!AV6/((1/1000)*(s_Irr!U6+s_Irr!BS6)),IF(AND(s_Irr!U6=".",s_Irr!AT6&lt;&gt;".",s_Irr!BS6&lt;&gt;"."),s_dir!AV6/((1/1000)*(s_Irr!AT6+s_Irr!BS6)),IF(AND(s_Irr!U6=".",s_Irr!AT6=".",s_Irr!BS6&lt;&gt;"."),s_dir!AV6/((1/1000)*(s_Irr!BS6)),IF(AND(s_Irr!U6=".",s_Irr!AT6&lt;&gt;".",s_Irr!BS6="."),s_dir!AV6/((1/1000)*(s_Irr!AT6)),IF(AND(s_Irr!U6&lt;&gt;".",s_Irr!AT6=".",s_Irr!BS6="."),s_dir!AV6/((1/1000)*(s_Irr!U6)),IF(AND(s_Irr!U6=".",s_Irr!AT6=".",s_Irr!BS6="."),s_dir!AV6*1000)))))))),".")</f>
        <v>.</v>
      </c>
      <c r="BW6" s="70" t="str">
        <f>IFERROR(IF(AND(s_Irr!V6&lt;&gt;".",s_Irr!AU6&lt;&gt;".",s_Irr!BT6&lt;&gt;"."),s_dir!AW6/((1/1000)*(s_Irr!V6+s_Irr!AU6+s_Irr!BT6)),IF(AND(s_Irr!V6&lt;&gt;".",s_Irr!AU6&lt;&gt;".",s_Irr!BT6="."),s_dir!AW6/((1/1000)*(s_Irr!V6+s_Irr!AU6)),IF(AND(s_Irr!V6&lt;&gt;".",s_Irr!AU6=".",s_Irr!BT6&lt;&gt;"."),s_dir!AW6/((1/1000)*(s_Irr!V6+s_Irr!BT6)),IF(AND(s_Irr!V6=".",s_Irr!AU6&lt;&gt;".",s_Irr!BT6&lt;&gt;"."),s_dir!AW6/((1/1000)*(s_Irr!AU6+s_Irr!BT6)),IF(AND(s_Irr!V6=".",s_Irr!AU6=".",s_Irr!BT6&lt;&gt;"."),s_dir!AW6/((1/1000)*(s_Irr!BT6)),IF(AND(s_Irr!V6=".",s_Irr!AU6&lt;&gt;".",s_Irr!BT6="."),s_dir!AW6/((1/1000)*(s_Irr!AU6)),IF(AND(s_Irr!V6&lt;&gt;".",s_Irr!AU6=".",s_Irr!BT6="."),s_dir!AW6/((1/1000)*(s_Irr!V6)),IF(AND(s_Irr!V6=".",s_Irr!AU6=".",s_Irr!BT6="."),s_dir!AW6*1000)))))))),".")</f>
        <v>.</v>
      </c>
      <c r="BX6" s="70" t="str">
        <f>IFERROR(IF(AND(s_Irr!W6&lt;&gt;".",s_Irr!AV6&lt;&gt;".",s_Irr!BU6&lt;&gt;"."),s_dir!AX6/((1/1000)*(s_Irr!W6+s_Irr!AV6+s_Irr!BU6)),IF(AND(s_Irr!W6&lt;&gt;".",s_Irr!AV6&lt;&gt;".",s_Irr!BU6="."),s_dir!AX6/((1/1000)*(s_Irr!W6+s_Irr!AV6)),IF(AND(s_Irr!W6&lt;&gt;".",s_Irr!AV6=".",s_Irr!BU6&lt;&gt;"."),s_dir!AX6/((1/1000)*(s_Irr!W6+s_Irr!BU6)),IF(AND(s_Irr!W6=".",s_Irr!AV6&lt;&gt;".",s_Irr!BU6&lt;&gt;"."),s_dir!AX6/((1/1000)*(s_Irr!AV6+s_Irr!BU6)),IF(AND(s_Irr!W6=".",s_Irr!AV6=".",s_Irr!BU6&lt;&gt;"."),s_dir!AX6/((1/1000)*(s_Irr!BU6)),IF(AND(s_Irr!W6=".",s_Irr!AV6&lt;&gt;".",s_Irr!BU6="."),s_dir!AX6/((1/1000)*(s_Irr!AV6)),IF(AND(s_Irr!W6&lt;&gt;".",s_Irr!AV6=".",s_Irr!BU6="."),s_dir!AX6/((1/1000)*(s_Irr!W6)),IF(AND(s_Irr!W6=".",s_Irr!AV6=".",s_Irr!BU6="."),s_dir!AX6*1000)))))))),".")</f>
        <v>.</v>
      </c>
      <c r="BY6" s="70" t="str">
        <f>IFERROR(IF(AND(s_Irr!X6&lt;&gt;".",s_Irr!AW6&lt;&gt;".",s_Irr!BV6&lt;&gt;"."),s_dir!AY6/((1/1000)*(s_Irr!X6+s_Irr!AW6+s_Irr!BV6)),IF(AND(s_Irr!X6&lt;&gt;".",s_Irr!AW6&lt;&gt;".",s_Irr!BV6="."),s_dir!AY6/((1/1000)*(s_Irr!X6+s_Irr!AW6)),IF(AND(s_Irr!X6&lt;&gt;".",s_Irr!AW6=".",s_Irr!BV6&lt;&gt;"."),s_dir!AY6/((1/1000)*(s_Irr!X6+s_Irr!BV6)),IF(AND(s_Irr!X6=".",s_Irr!AW6&lt;&gt;".",s_Irr!BV6&lt;&gt;"."),s_dir!AY6/((1/1000)*(s_Irr!AW6+s_Irr!BV6)),IF(AND(s_Irr!X6=".",s_Irr!AW6=".",s_Irr!BV6&lt;&gt;"."),s_dir!AY6/((1/1000)*(s_Irr!BV6)),IF(AND(s_Irr!X6=".",s_Irr!AW6&lt;&gt;".",s_Irr!BV6="."),s_dir!AY6/((1/1000)*(s_Irr!AW6)),IF(AND(s_Irr!X6&lt;&gt;".",s_Irr!AW6=".",s_Irr!BV6="."),s_dir!AY6/((1/1000)*(s_Irr!X6)),IF(AND(s_Irr!X6=".",s_Irr!AW6=".",s_Irr!BV6="."),s_dir!AY6*1000)))))))),".")</f>
        <v>.</v>
      </c>
      <c r="BZ6" s="70" t="str">
        <f>IFERROR(IF(AND(s_Irr!Y6&lt;&gt;".",s_Irr!AX6&lt;&gt;".",s_Irr!BW6&lt;&gt;"."),s_dir!AZ6/((1/1000)*(s_Irr!Y6+s_Irr!AX6+s_Irr!BW6)),IF(AND(s_Irr!Y6&lt;&gt;".",s_Irr!AX6&lt;&gt;".",s_Irr!BW6="."),s_dir!AZ6/((1/1000)*(s_Irr!Y6+s_Irr!AX6)),IF(AND(s_Irr!Y6&lt;&gt;".",s_Irr!AX6=".",s_Irr!BW6&lt;&gt;"."),s_dir!AZ6/((1/1000)*(s_Irr!Y6+s_Irr!BW6)),IF(AND(s_Irr!Y6=".",s_Irr!AX6&lt;&gt;".",s_Irr!BW6&lt;&gt;"."),s_dir!AZ6/((1/1000)*(s_Irr!AX6+s_Irr!BW6)),IF(AND(s_Irr!Y6=".",s_Irr!AX6=".",s_Irr!BW6&lt;&gt;"."),s_dir!AZ6/((1/1000)*(s_Irr!BW6)),IF(AND(s_Irr!Y6=".",s_Irr!AX6&lt;&gt;".",s_Irr!BW6="."),s_dir!AZ6/((1/1000)*(s_Irr!AX6)),IF(AND(s_Irr!Y6&lt;&gt;".",s_Irr!AX6=".",s_Irr!BW6="."),s_dir!AZ6/((1/1000)*(s_Irr!Y6)),IF(AND(s_Irr!Y6=".",s_Irr!AX6=".",s_Irr!BW6="."),s_dir!AZ6*1000)))))))),".")</f>
        <v>.</v>
      </c>
      <c r="CA6" s="70" t="str">
        <f>IFERROR(IF(AND(s_Irr!Z6&lt;&gt;".",s_Irr!AY6&lt;&gt;".",s_Irr!BX6&lt;&gt;"."),s_dir!BA6/((1/1000)*(s_Irr!Z6+s_Irr!AY6+s_Irr!BX6)),IF(AND(s_Irr!Z6&lt;&gt;".",s_Irr!AY6&lt;&gt;".",s_Irr!BX6="."),s_dir!BA6/((1/1000)*(s_Irr!Z6+s_Irr!AY6)),IF(AND(s_Irr!Z6&lt;&gt;".",s_Irr!AY6=".",s_Irr!BX6&lt;&gt;"."),s_dir!BA6/((1/1000)*(s_Irr!Z6+s_Irr!BX6)),IF(AND(s_Irr!Z6=".",s_Irr!AY6&lt;&gt;".",s_Irr!BX6&lt;&gt;"."),s_dir!BA6/((1/1000)*(s_Irr!AY6+s_Irr!BX6)),IF(AND(s_Irr!Z6=".",s_Irr!AY6=".",s_Irr!BX6&lt;&gt;"."),s_dir!BA6/((1/1000)*(s_Irr!BX6)),IF(AND(s_Irr!Z6=".",s_Irr!AY6&lt;&gt;".",s_Irr!BX6="."),s_dir!BA6/((1/1000)*(s_Irr!AY6)),IF(AND(s_Irr!Z6&lt;&gt;".",s_Irr!AY6=".",s_Irr!BX6="."),s_dir!BA6/((1/1000)*(s_Irr!Z6)),IF(AND(s_Irr!Z6=".",s_Irr!AY6=".",s_Irr!BX6="."),s_dir!BA6*1000)))))))),".")</f>
        <v>.</v>
      </c>
      <c r="CB6" s="70" t="str">
        <f>IFERROR(IF(AND(s_Irr!AA6&lt;&gt;".",s_Irr!AZ6&lt;&gt;".",s_Irr!BY6&lt;&gt;"."),s_dir!BB6/((1/1000)*(s_Irr!AA6+s_Irr!AZ6+s_Irr!BY6)),IF(AND(s_Irr!AA6&lt;&gt;".",s_Irr!AZ6&lt;&gt;".",s_Irr!BY6="."),s_dir!BB6/((1/1000)*(s_Irr!AA6+s_Irr!AZ6)),IF(AND(s_Irr!AA6&lt;&gt;".",s_Irr!AZ6=".",s_Irr!BY6&lt;&gt;"."),s_dir!BB6/((1/1000)*(s_Irr!AA6+s_Irr!BY6)),IF(AND(s_Irr!AA6=".",s_Irr!AZ6&lt;&gt;".",s_Irr!BY6&lt;&gt;"."),s_dir!BB6/((1/1000)*(s_Irr!AZ6+s_Irr!BY6)),IF(AND(s_Irr!AA6=".",s_Irr!AZ6=".",s_Irr!BY6&lt;&gt;"."),s_dir!BB6/((1/1000)*(s_Irr!BY6)),IF(AND(s_Irr!AA6=".",s_Irr!AZ6&lt;&gt;".",s_Irr!BY6="."),s_dir!BB6/((1/1000)*(s_Irr!AZ6)),IF(AND(s_Irr!AA6&lt;&gt;".",s_Irr!AZ6=".",s_Irr!BY6="."),s_dir!BB6/((1/1000)*(s_Irr!AA6)),IF(AND(s_Irr!AA6=".",s_Irr!AZ6=".",s_Irr!BY6="."),s_dir!BB6*1000)))))))),".")</f>
        <v>.</v>
      </c>
      <c r="CC6" s="87">
        <f t="shared" si="2"/>
        <v>386.79711383876969</v>
      </c>
      <c r="CD6" s="87">
        <f>IFERROR(s_C*s_IFAP_far_adj*s_CF_apple*(1/1000)*(s_Irr!C6+s_Irr!AB6+s_Irr!BA6),".")</f>
        <v>103.48385260743784</v>
      </c>
      <c r="CE6" s="87">
        <f>IFERROR(s_C*s_IFAS_far_adj*s_CF_asparagus*(1/1000)*(s_Irr!D6+s_Irr!AC6+s_Irr!BB6),".")</f>
        <v>95.970481458218103</v>
      </c>
      <c r="CF6" s="87">
        <f>IFERROR(s_C*s_IFBT_far_adj*s_CF_beet*(1/1000)*(s_Irr!E6+s_Irr!AD6+s_Irr!BC6),".")</f>
        <v>95.970481458218103</v>
      </c>
      <c r="CG6" s="87">
        <f>IFERROR(s_C*s_IFBE_far_adj*s_CF_berries*(1/1000)*(s_Irr!F6+s_Irr!AE6+s_Irr!BD6),".")</f>
        <v>103.48385260743784</v>
      </c>
      <c r="CH6" s="87">
        <f>IFERROR(s_C*s_IFBR_far_adj*s_CF_broccoli*(1/1000)*(s_Irr!G6+s_Irr!AF6+s_Irr!BE6),".")</f>
        <v>103.48385260743784</v>
      </c>
      <c r="CI6" s="87">
        <f>IFERROR(s_C*s_IFCB_far_adj*s_CF_cabbage*(1/1000)*(s_Irr!H6+s_Irr!AG6+s_Irr!BF6),".")</f>
        <v>95.970481458218103</v>
      </c>
      <c r="CJ6" s="87">
        <f>IFERROR(s_C*s_IFCR_far_adj*s_CF_carrot*(1/1000)*(s_Irr!I6+s_Irr!AH6+s_Irr!BG6),".")</f>
        <v>95.970481458218103</v>
      </c>
      <c r="CK6" s="87">
        <f>IFERROR(s_C*s_IFCI_far_adj*s_CF_citrus*(1/1000)*(s_Irr!J6+s_Irr!AI6+s_Irr!BH6),".")</f>
        <v>103.48385260743784</v>
      </c>
      <c r="CL6" s="87">
        <f>IFERROR(s_C*s_IFCO_far_adj*s_CF_corn*(1/1000)*(s_Irr!K6+s_Irr!AJ6+s_Irr!BI6),".")</f>
        <v>103.48385260743784</v>
      </c>
      <c r="CM6" s="87">
        <f>IFERROR(s_C*s_IFCU_far_adj*s_CF_cucumber*(1/1000)*(s_Irr!L6+s_Irr!AK6+s_Irr!BJ6),".")</f>
        <v>103.48385260743784</v>
      </c>
      <c r="CN6" s="87">
        <f>IFERROR(s_C*s_IFLE_far_adj*s_CF_lettuce*(1/1000)*(s_Irr!M6+s_Irr!AL6+s_Irr!BK6),".")</f>
        <v>95.970481458218103</v>
      </c>
      <c r="CO6" s="87">
        <f>IFERROR(s_C*s_IFLI_far_adj*s_CF_lima_bean*(1/1000)*(s_Irr!N6+s_Irr!AM6+s_Irr!BL6),".")</f>
        <v>103.48385260743784</v>
      </c>
      <c r="CP6" s="87">
        <f>IFERROR(s_C*s_IFOK_far_adj*s_CF_okra*(1/1000)*(s_Irr!O6+s_Irr!AN6+s_Irr!BM6),".")</f>
        <v>103.48385260743784</v>
      </c>
      <c r="CQ6" s="87">
        <f>IFERROR(s_C*s_IFON_far_adj*s_CF_onion*(1/1000)*(s_Irr!P6+s_Irr!AO6+s_Irr!BN6),".")</f>
        <v>95.970481458218103</v>
      </c>
      <c r="CR6" s="87">
        <f>IFERROR(s_C*s_IFPC_far_adj*s_CF_peach*(1/1000)*(s_Irr!Q6+s_Irr!AP6+s_Irr!BO6),".")</f>
        <v>103.48385260743784</v>
      </c>
      <c r="CS6" s="87">
        <f>IFERROR(s_C*s_IFPR_far_adj*s_CF_pear*(1/1000)*(s_Irr!R6+s_Irr!AQ6+s_Irr!BP6),".")</f>
        <v>103.48385260743784</v>
      </c>
      <c r="CT6" s="87">
        <f>IFERROR(s_C*s_IFPE_far_adj*s_CF_peas*(1/1000)*(s_Irr!S6+s_Irr!AR6+s_Irr!BQ6),".")</f>
        <v>103.48385260743784</v>
      </c>
      <c r="CU6" s="87">
        <f>IFERROR(s_C*s_IFPP_far_adj*s_CF_peppers*(1/1000)*(s_Irr!T6+s_Irr!AS6+s_Irr!BR6),".")</f>
        <v>103.48385260743784</v>
      </c>
      <c r="CV6" s="87">
        <f>IFERROR(s_C*s_IFPT_far_adj*s_CF_potato*(1/1000)*(s_Irr!U6+s_Irr!AT6+s_Irr!BS6),".")</f>
        <v>95.970481458218103</v>
      </c>
      <c r="CW6" s="87">
        <f>IFERROR(s_C*s_IFPU_far_adj*s_CF_pumpkin*(1/1000)*(s_Irr!V6+s_Irr!AU6+s_Irr!BT6),".")</f>
        <v>103.48385260743784</v>
      </c>
      <c r="CX6" s="87">
        <f>IFERROR(s_C*s_IFSN_far_adj*s_CF_snap_bean*(1/1000)*(s_Irr!W6+s_Irr!AV6+s_Irr!BU6),".")</f>
        <v>103.48385260743784</v>
      </c>
      <c r="CY6" s="87">
        <f>IFERROR(s_C*s_IFST_far_adj*s_CF_strawberry*(1/1000)*(s_Irr!X6+s_Irr!AW6+s_Irr!BV6),".")</f>
        <v>103.48385260743784</v>
      </c>
      <c r="CZ6" s="87">
        <f>IFERROR(s_C*s_IFTO_far_adj*s_CF_tomato*(1/1000)*(s_Irr!Y6+s_Irr!AX6+s_Irr!BW6),".")</f>
        <v>103.48385260743784</v>
      </c>
      <c r="DA6" s="87">
        <f>IFERROR(s_C*s_IFRI_far_adj*s_CF_rice*(1/1000)*(s_Irr!Z6+s_Irr!AY6+s_Irr!BX6),".")</f>
        <v>89.869624085051683</v>
      </c>
      <c r="DB6" s="87">
        <f>IFERROR(s_C*s_IFCG_far_adj*s_CF_cereal*(1/1000)*(s_Irr!AA6+s_Irr!AZ6+s_Irr!BY6),".")</f>
        <v>89.959784538842314</v>
      </c>
    </row>
    <row r="7" spans="1:106" ht="15" customHeight="1" x14ac:dyDescent="0.25">
      <c r="A7" s="86" t="s">
        <v>5</v>
      </c>
      <c r="B7" s="84" t="s">
        <v>1057</v>
      </c>
      <c r="C7" s="15">
        <f t="shared" si="3"/>
        <v>3931.0515157028094</v>
      </c>
      <c r="D7" s="70">
        <f>IFERROR(IF(AND(s_Irr!C7&lt;&gt;".",s_Irr!AB7&lt;&gt;".",s_Irr!BA7&lt;&gt;"."),s_dir!D7/((1/1000)*(s_Irr!C7+s_Irr!AB7+s_Irr!BA7)),IF(AND(s_Irr!C7&lt;&gt;".",s_Irr!AB7&lt;&gt;".",s_Irr!BA7="."),s_dir!D7/((1/1000)*(s_Irr!C7+s_Irr!AB7)),IF(AND(s_Irr!C7&lt;&gt;".",s_Irr!AB7=".",s_Irr!BA7&lt;&gt;"."),s_dir!D7/((1/1000)*(s_Irr!C7+s_Irr!BA7)),IF(AND(s_Irr!C7=".",s_Irr!AB7&lt;&gt;".",s_Irr!BA7&lt;&gt;"."),s_dir!D7/((1/1000)*(s_Irr!AB7+s_Irr!BA7)),IF(AND(s_Irr!C7=".",s_Irr!AB7=".",s_Irr!BA7&lt;&gt;"."),s_dir!D7/((1/1000)*(s_Irr!BA7)),IF(AND(s_Irr!C7=".",s_Irr!AB7&lt;&gt;".",s_Irr!BA7="."),s_dir!D7/((1/1000)*(s_Irr!AB7)),IF(AND(s_Irr!C7&lt;&gt;".",s_Irr!AB7=".",s_Irr!BA7="."),s_dir!D7/((1/1000)*(s_Irr!C7)),IF(AND(s_Irr!C7=".",s_Irr!AB7=".",s_Irr!BA7="."),s_dir!D7*1000)))))))),".")</f>
        <v>15724.206062811239</v>
      </c>
      <c r="E7" s="70">
        <f>IFERROR(IF(AND(s_Irr!D7&lt;&gt;".",s_Irr!AC7&lt;&gt;".",s_Irr!BB7&lt;&gt;"."),s_dir!E7/((1/1000)*(s_Irr!D7+s_Irr!AC7+s_Irr!BB7)),IF(AND(s_Irr!D7&lt;&gt;".",s_Irr!AC7&lt;&gt;".",s_Irr!BB7="."),s_dir!E7/((1/1000)*(s_Irr!D7+s_Irr!AC7)),IF(AND(s_Irr!D7&lt;&gt;".",s_Irr!AC7=".",s_Irr!BB7&lt;&gt;"."),s_dir!E7/((1/1000)*(s_Irr!D7+s_Irr!BB7)),IF(AND(s_Irr!D7=".",s_Irr!AC7&lt;&gt;".",s_Irr!BB7&lt;&gt;"."),s_dir!E7/((1/1000)*(s_Irr!AC7+s_Irr!BB7)),IF(AND(s_Irr!D7=".",s_Irr!AC7=".",s_Irr!BB7&lt;&gt;"."),s_dir!E7/((1/1000)*(s_Irr!BB7)),IF(AND(s_Irr!D7=".",s_Irr!AC7&lt;&gt;".",s_Irr!BB7="."),s_dir!E7/((1/1000)*(s_Irr!AC7)),IF(AND(s_Irr!D7&lt;&gt;".",s_Irr!AC7=".",s_Irr!BB7="."),s_dir!E7/((1/1000)*(s_Irr!D7)),IF(AND(s_Irr!D7=".",s_Irr!AC7=".",s_Irr!BB7="."),s_dir!E7*1000)))))))),".")</f>
        <v>15724.206062811239</v>
      </c>
      <c r="F7" s="70">
        <f>IFERROR(IF(AND(s_Irr!E7&lt;&gt;".",s_Irr!AD7&lt;&gt;".",s_Irr!BC7&lt;&gt;"."),s_dir!F7/((1/1000)*(s_Irr!E7+s_Irr!AD7+s_Irr!BC7)),IF(AND(s_Irr!E7&lt;&gt;".",s_Irr!AD7&lt;&gt;".",s_Irr!BC7="."),s_dir!F7/((1/1000)*(s_Irr!E7+s_Irr!AD7)),IF(AND(s_Irr!E7&lt;&gt;".",s_Irr!AD7=".",s_Irr!BC7&lt;&gt;"."),s_dir!F7/((1/1000)*(s_Irr!E7+s_Irr!BC7)),IF(AND(s_Irr!E7=".",s_Irr!AD7&lt;&gt;".",s_Irr!BC7&lt;&gt;"."),s_dir!F7/((1/1000)*(s_Irr!AD7+s_Irr!BC7)),IF(AND(s_Irr!E7=".",s_Irr!AD7=".",s_Irr!BC7&lt;&gt;"."),s_dir!F7/((1/1000)*(s_Irr!BC7)),IF(AND(s_Irr!E7=".",s_Irr!AD7&lt;&gt;".",s_Irr!BC7="."),s_dir!F7/((1/1000)*(s_Irr!AD7)),IF(AND(s_Irr!E7&lt;&gt;".",s_Irr!AD7=".",s_Irr!BC7="."),s_dir!F7/((1/1000)*(s_Irr!E7)),IF(AND(s_Irr!E7=".",s_Irr!AD7=".",s_Irr!BC7="."),s_dir!F7*1000)))))))),".")</f>
        <v>15724.206062811239</v>
      </c>
      <c r="G7" s="70">
        <f>IFERROR(IF(AND(s_Irr!F7&lt;&gt;".",s_Irr!AE7&lt;&gt;".",s_Irr!BD7&lt;&gt;"."),s_dir!G7/((1/1000)*(s_Irr!F7+s_Irr!AE7+s_Irr!BD7)),IF(AND(s_Irr!F7&lt;&gt;".",s_Irr!AE7&lt;&gt;".",s_Irr!BD7="."),s_dir!G7/((1/1000)*(s_Irr!F7+s_Irr!AE7)),IF(AND(s_Irr!F7&lt;&gt;".",s_Irr!AE7=".",s_Irr!BD7&lt;&gt;"."),s_dir!G7/((1/1000)*(s_Irr!F7+s_Irr!BD7)),IF(AND(s_Irr!F7=".",s_Irr!AE7&lt;&gt;".",s_Irr!BD7&lt;&gt;"."),s_dir!G7/((1/1000)*(s_Irr!AE7+s_Irr!BD7)),IF(AND(s_Irr!F7=".",s_Irr!AE7=".",s_Irr!BD7&lt;&gt;"."),s_dir!G7/((1/1000)*(s_Irr!BD7)),IF(AND(s_Irr!F7=".",s_Irr!AE7&lt;&gt;".",s_Irr!BD7="."),s_dir!G7/((1/1000)*(s_Irr!AE7)),IF(AND(s_Irr!F7&lt;&gt;".",s_Irr!AE7=".",s_Irr!BD7="."),s_dir!G7/((1/1000)*(s_Irr!F7)),IF(AND(s_Irr!F7=".",s_Irr!AE7=".",s_Irr!BD7="."),s_dir!G7*1000)))))))),".")</f>
        <v>15724.206062811239</v>
      </c>
      <c r="H7" s="70">
        <f>IFERROR(IF(AND(s_Irr!G7&lt;&gt;".",s_Irr!AF7&lt;&gt;".",s_Irr!BE7&lt;&gt;"."),s_dir!H7/((1/1000)*(s_Irr!G7+s_Irr!AF7+s_Irr!BE7)),IF(AND(s_Irr!G7&lt;&gt;".",s_Irr!AF7&lt;&gt;".",s_Irr!BE7="."),s_dir!H7/((1/1000)*(s_Irr!G7+s_Irr!AF7)),IF(AND(s_Irr!G7&lt;&gt;".",s_Irr!AF7=".",s_Irr!BE7&lt;&gt;"."),s_dir!H7/((1/1000)*(s_Irr!G7+s_Irr!BE7)),IF(AND(s_Irr!G7=".",s_Irr!AF7&lt;&gt;".",s_Irr!BE7&lt;&gt;"."),s_dir!H7/((1/1000)*(s_Irr!AF7+s_Irr!BE7)),IF(AND(s_Irr!G7=".",s_Irr!AF7=".",s_Irr!BE7&lt;&gt;"."),s_dir!H7/((1/1000)*(s_Irr!BE7)),IF(AND(s_Irr!G7=".",s_Irr!AF7&lt;&gt;".",s_Irr!BE7="."),s_dir!H7/((1/1000)*(s_Irr!AF7)),IF(AND(s_Irr!G7&lt;&gt;".",s_Irr!AF7=".",s_Irr!BE7="."),s_dir!H7/((1/1000)*(s_Irr!G7)),IF(AND(s_Irr!G7=".",s_Irr!AF7=".",s_Irr!BE7="."),s_dir!H7*1000)))))))),".")</f>
        <v>15724.206062811239</v>
      </c>
      <c r="I7" s="70">
        <f>IFERROR(IF(AND(s_Irr!H7&lt;&gt;".",s_Irr!AG7&lt;&gt;".",s_Irr!BF7&lt;&gt;"."),s_dir!I7/((1/1000)*(s_Irr!H7+s_Irr!AG7+s_Irr!BF7)),IF(AND(s_Irr!H7&lt;&gt;".",s_Irr!AG7&lt;&gt;".",s_Irr!BF7="."),s_dir!I7/((1/1000)*(s_Irr!H7+s_Irr!AG7)),IF(AND(s_Irr!H7&lt;&gt;".",s_Irr!AG7=".",s_Irr!BF7&lt;&gt;"."),s_dir!I7/((1/1000)*(s_Irr!H7+s_Irr!BF7)),IF(AND(s_Irr!H7=".",s_Irr!AG7&lt;&gt;".",s_Irr!BF7&lt;&gt;"."),s_dir!I7/((1/1000)*(s_Irr!AG7+s_Irr!BF7)),IF(AND(s_Irr!H7=".",s_Irr!AG7=".",s_Irr!BF7&lt;&gt;"."),s_dir!I7/((1/1000)*(s_Irr!BF7)),IF(AND(s_Irr!H7=".",s_Irr!AG7&lt;&gt;".",s_Irr!BF7="."),s_dir!I7/((1/1000)*(s_Irr!AG7)),IF(AND(s_Irr!H7&lt;&gt;".",s_Irr!AG7=".",s_Irr!BF7="."),s_dir!I7/((1/1000)*(s_Irr!H7)),IF(AND(s_Irr!H7=".",s_Irr!AG7=".",s_Irr!BF7="."),s_dir!I7*1000)))))))),".")</f>
        <v>15724.206062811239</v>
      </c>
      <c r="J7" s="70">
        <f>IFERROR(IF(AND(s_Irr!I7&lt;&gt;".",s_Irr!AH7&lt;&gt;".",s_Irr!BG7&lt;&gt;"."),s_dir!J7/((1/1000)*(s_Irr!I7+s_Irr!AH7+s_Irr!BG7)),IF(AND(s_Irr!I7&lt;&gt;".",s_Irr!AH7&lt;&gt;".",s_Irr!BG7="."),s_dir!J7/((1/1000)*(s_Irr!I7+s_Irr!AH7)),IF(AND(s_Irr!I7&lt;&gt;".",s_Irr!AH7=".",s_Irr!BG7&lt;&gt;"."),s_dir!J7/((1/1000)*(s_Irr!I7+s_Irr!BG7)),IF(AND(s_Irr!I7=".",s_Irr!AH7&lt;&gt;".",s_Irr!BG7&lt;&gt;"."),s_dir!J7/((1/1000)*(s_Irr!AH7+s_Irr!BG7)),IF(AND(s_Irr!I7=".",s_Irr!AH7=".",s_Irr!BG7&lt;&gt;"."),s_dir!J7/((1/1000)*(s_Irr!BG7)),IF(AND(s_Irr!I7=".",s_Irr!AH7&lt;&gt;".",s_Irr!BG7="."),s_dir!J7/((1/1000)*(s_Irr!AH7)),IF(AND(s_Irr!I7&lt;&gt;".",s_Irr!AH7=".",s_Irr!BG7="."),s_dir!J7/((1/1000)*(s_Irr!I7)),IF(AND(s_Irr!I7=".",s_Irr!AH7=".",s_Irr!BG7="."),s_dir!J7*1000)))))))),".")</f>
        <v>15724.206062811239</v>
      </c>
      <c r="K7" s="70">
        <f>IFERROR(IF(AND(s_Irr!J7&lt;&gt;".",s_Irr!AI7&lt;&gt;".",s_Irr!BH7&lt;&gt;"."),s_dir!K7/((1/1000)*(s_Irr!J7+s_Irr!AI7+s_Irr!BH7)),IF(AND(s_Irr!J7&lt;&gt;".",s_Irr!AI7&lt;&gt;".",s_Irr!BH7="."),s_dir!K7/((1/1000)*(s_Irr!J7+s_Irr!AI7)),IF(AND(s_Irr!J7&lt;&gt;".",s_Irr!AI7=".",s_Irr!BH7&lt;&gt;"."),s_dir!K7/((1/1000)*(s_Irr!J7+s_Irr!BH7)),IF(AND(s_Irr!J7=".",s_Irr!AI7&lt;&gt;".",s_Irr!BH7&lt;&gt;"."),s_dir!K7/((1/1000)*(s_Irr!AI7+s_Irr!BH7)),IF(AND(s_Irr!J7=".",s_Irr!AI7=".",s_Irr!BH7&lt;&gt;"."),s_dir!K7/((1/1000)*(s_Irr!BH7)),IF(AND(s_Irr!J7=".",s_Irr!AI7&lt;&gt;".",s_Irr!BH7="."),s_dir!K7/((1/1000)*(s_Irr!AI7)),IF(AND(s_Irr!J7&lt;&gt;".",s_Irr!AI7=".",s_Irr!BH7="."),s_dir!K7/((1/1000)*(s_Irr!J7)),IF(AND(s_Irr!J7=".",s_Irr!AI7=".",s_Irr!BH7="."),s_dir!K7*1000)))))))),".")</f>
        <v>15724.206062811239</v>
      </c>
      <c r="L7" s="70">
        <f>IFERROR(IF(AND(s_Irr!K7&lt;&gt;".",s_Irr!AJ7&lt;&gt;".",s_Irr!BI7&lt;&gt;"."),s_dir!L7/((1/1000)*(s_Irr!K7+s_Irr!AJ7+s_Irr!BI7)),IF(AND(s_Irr!K7&lt;&gt;".",s_Irr!AJ7&lt;&gt;".",s_Irr!BI7="."),s_dir!L7/((1/1000)*(s_Irr!K7+s_Irr!AJ7)),IF(AND(s_Irr!K7&lt;&gt;".",s_Irr!AJ7=".",s_Irr!BI7&lt;&gt;"."),s_dir!L7/((1/1000)*(s_Irr!K7+s_Irr!BI7)),IF(AND(s_Irr!K7=".",s_Irr!AJ7&lt;&gt;".",s_Irr!BI7&lt;&gt;"."),s_dir!L7/((1/1000)*(s_Irr!AJ7+s_Irr!BI7)),IF(AND(s_Irr!K7=".",s_Irr!AJ7=".",s_Irr!BI7&lt;&gt;"."),s_dir!L7/((1/1000)*(s_Irr!BI7)),IF(AND(s_Irr!K7=".",s_Irr!AJ7&lt;&gt;".",s_Irr!BI7="."),s_dir!L7/((1/1000)*(s_Irr!AJ7)),IF(AND(s_Irr!K7&lt;&gt;".",s_Irr!AJ7=".",s_Irr!BI7="."),s_dir!L7/((1/1000)*(s_Irr!K7)),IF(AND(s_Irr!K7=".",s_Irr!AJ7=".",s_Irr!BI7="."),s_dir!L7*1000)))))))),".")</f>
        <v>15724.206062811239</v>
      </c>
      <c r="M7" s="70">
        <f>IFERROR(IF(AND(s_Irr!L7&lt;&gt;".",s_Irr!AK7&lt;&gt;".",s_Irr!BJ7&lt;&gt;"."),s_dir!M7/((1/1000)*(s_Irr!L7+s_Irr!AK7+s_Irr!BJ7)),IF(AND(s_Irr!L7&lt;&gt;".",s_Irr!AK7&lt;&gt;".",s_Irr!BJ7="."),s_dir!M7/((1/1000)*(s_Irr!L7+s_Irr!AK7)),IF(AND(s_Irr!L7&lt;&gt;".",s_Irr!AK7=".",s_Irr!BJ7&lt;&gt;"."),s_dir!M7/((1/1000)*(s_Irr!L7+s_Irr!BJ7)),IF(AND(s_Irr!L7=".",s_Irr!AK7&lt;&gt;".",s_Irr!BJ7&lt;&gt;"."),s_dir!M7/((1/1000)*(s_Irr!AK7+s_Irr!BJ7)),IF(AND(s_Irr!L7=".",s_Irr!AK7=".",s_Irr!BJ7&lt;&gt;"."),s_dir!M7/((1/1000)*(s_Irr!BJ7)),IF(AND(s_Irr!L7=".",s_Irr!AK7&lt;&gt;".",s_Irr!BJ7="."),s_dir!M7/((1/1000)*(s_Irr!AK7)),IF(AND(s_Irr!L7&lt;&gt;".",s_Irr!AK7=".",s_Irr!BJ7="."),s_dir!M7/((1/1000)*(s_Irr!L7)),IF(AND(s_Irr!L7=".",s_Irr!AK7=".",s_Irr!BJ7="."),s_dir!M7*1000)))))))),".")</f>
        <v>15724.206062811239</v>
      </c>
      <c r="N7" s="70">
        <f>IFERROR(IF(AND(s_Irr!M7&lt;&gt;".",s_Irr!AL7&lt;&gt;".",s_Irr!BK7&lt;&gt;"."),s_dir!N7/((1/1000)*(s_Irr!M7+s_Irr!AL7+s_Irr!BK7)),IF(AND(s_Irr!M7&lt;&gt;".",s_Irr!AL7&lt;&gt;".",s_Irr!BK7="."),s_dir!N7/((1/1000)*(s_Irr!M7+s_Irr!AL7)),IF(AND(s_Irr!M7&lt;&gt;".",s_Irr!AL7=".",s_Irr!BK7&lt;&gt;"."),s_dir!N7/((1/1000)*(s_Irr!M7+s_Irr!BK7)),IF(AND(s_Irr!M7=".",s_Irr!AL7&lt;&gt;".",s_Irr!BK7&lt;&gt;"."),s_dir!N7/((1/1000)*(s_Irr!AL7+s_Irr!BK7)),IF(AND(s_Irr!M7=".",s_Irr!AL7=".",s_Irr!BK7&lt;&gt;"."),s_dir!N7/((1/1000)*(s_Irr!BK7)),IF(AND(s_Irr!M7=".",s_Irr!AL7&lt;&gt;".",s_Irr!BK7="."),s_dir!N7/((1/1000)*(s_Irr!AL7)),IF(AND(s_Irr!M7&lt;&gt;".",s_Irr!AL7=".",s_Irr!BK7="."),s_dir!N7/((1/1000)*(s_Irr!M7)),IF(AND(s_Irr!M7=".",s_Irr!AL7=".",s_Irr!BK7="."),s_dir!N7*1000)))))))),".")</f>
        <v>15724.206062811239</v>
      </c>
      <c r="O7" s="70">
        <f>IFERROR(IF(AND(s_Irr!N7&lt;&gt;".",s_Irr!AM7&lt;&gt;".",s_Irr!BL7&lt;&gt;"."),s_dir!O7/((1/1000)*(s_Irr!N7+s_Irr!AM7+s_Irr!BL7)),IF(AND(s_Irr!N7&lt;&gt;".",s_Irr!AM7&lt;&gt;".",s_Irr!BL7="."),s_dir!O7/((1/1000)*(s_Irr!N7+s_Irr!AM7)),IF(AND(s_Irr!N7&lt;&gt;".",s_Irr!AM7=".",s_Irr!BL7&lt;&gt;"."),s_dir!O7/((1/1000)*(s_Irr!N7+s_Irr!BL7)),IF(AND(s_Irr!N7=".",s_Irr!AM7&lt;&gt;".",s_Irr!BL7&lt;&gt;"."),s_dir!O7/((1/1000)*(s_Irr!AM7+s_Irr!BL7)),IF(AND(s_Irr!N7=".",s_Irr!AM7=".",s_Irr!BL7&lt;&gt;"."),s_dir!O7/((1/1000)*(s_Irr!BL7)),IF(AND(s_Irr!N7=".",s_Irr!AM7&lt;&gt;".",s_Irr!BL7="."),s_dir!O7/((1/1000)*(s_Irr!AM7)),IF(AND(s_Irr!N7&lt;&gt;".",s_Irr!AM7=".",s_Irr!BL7="."),s_dir!O7/((1/1000)*(s_Irr!N7)),IF(AND(s_Irr!N7=".",s_Irr!AM7=".",s_Irr!BL7="."),s_dir!O7*1000)))))))),".")</f>
        <v>15724.206062811239</v>
      </c>
      <c r="P7" s="70">
        <f>IFERROR(IF(AND(s_Irr!O7&lt;&gt;".",s_Irr!AN7&lt;&gt;".",s_Irr!BM7&lt;&gt;"."),s_dir!P7/((1/1000)*(s_Irr!O7+s_Irr!AN7+s_Irr!BM7)),IF(AND(s_Irr!O7&lt;&gt;".",s_Irr!AN7&lt;&gt;".",s_Irr!BM7="."),s_dir!P7/((1/1000)*(s_Irr!O7+s_Irr!AN7)),IF(AND(s_Irr!O7&lt;&gt;".",s_Irr!AN7=".",s_Irr!BM7&lt;&gt;"."),s_dir!P7/((1/1000)*(s_Irr!O7+s_Irr!BM7)),IF(AND(s_Irr!O7=".",s_Irr!AN7&lt;&gt;".",s_Irr!BM7&lt;&gt;"."),s_dir!P7/((1/1000)*(s_Irr!AN7+s_Irr!BM7)),IF(AND(s_Irr!O7=".",s_Irr!AN7=".",s_Irr!BM7&lt;&gt;"."),s_dir!P7/((1/1000)*(s_Irr!BM7)),IF(AND(s_Irr!O7=".",s_Irr!AN7&lt;&gt;".",s_Irr!BM7="."),s_dir!P7/((1/1000)*(s_Irr!AN7)),IF(AND(s_Irr!O7&lt;&gt;".",s_Irr!AN7=".",s_Irr!BM7="."),s_dir!P7/((1/1000)*(s_Irr!O7)),IF(AND(s_Irr!O7=".",s_Irr!AN7=".",s_Irr!BM7="."),s_dir!P7*1000)))))))),".")</f>
        <v>15724.206062811239</v>
      </c>
      <c r="Q7" s="70">
        <f>IFERROR(IF(AND(s_Irr!P7&lt;&gt;".",s_Irr!AO7&lt;&gt;".",s_Irr!BN7&lt;&gt;"."),s_dir!Q7/((1/1000)*(s_Irr!P7+s_Irr!AO7+s_Irr!BN7)),IF(AND(s_Irr!P7&lt;&gt;".",s_Irr!AO7&lt;&gt;".",s_Irr!BN7="."),s_dir!Q7/((1/1000)*(s_Irr!P7+s_Irr!AO7)),IF(AND(s_Irr!P7&lt;&gt;".",s_Irr!AO7=".",s_Irr!BN7&lt;&gt;"."),s_dir!Q7/((1/1000)*(s_Irr!P7+s_Irr!BN7)),IF(AND(s_Irr!P7=".",s_Irr!AO7&lt;&gt;".",s_Irr!BN7&lt;&gt;"."),s_dir!Q7/((1/1000)*(s_Irr!AO7+s_Irr!BN7)),IF(AND(s_Irr!P7=".",s_Irr!AO7=".",s_Irr!BN7&lt;&gt;"."),s_dir!Q7/((1/1000)*(s_Irr!BN7)),IF(AND(s_Irr!P7=".",s_Irr!AO7&lt;&gt;".",s_Irr!BN7="."),s_dir!Q7/((1/1000)*(s_Irr!AO7)),IF(AND(s_Irr!P7&lt;&gt;".",s_Irr!AO7=".",s_Irr!BN7="."),s_dir!Q7/((1/1000)*(s_Irr!P7)),IF(AND(s_Irr!P7=".",s_Irr!AO7=".",s_Irr!BN7="."),s_dir!Q7*1000)))))))),".")</f>
        <v>15724.206062811239</v>
      </c>
      <c r="R7" s="70">
        <f>IFERROR(IF(AND(s_Irr!Q7&lt;&gt;".",s_Irr!AP7&lt;&gt;".",s_Irr!BO7&lt;&gt;"."),s_dir!R7/((1/1000)*(s_Irr!Q7+s_Irr!AP7+s_Irr!BO7)),IF(AND(s_Irr!Q7&lt;&gt;".",s_Irr!AP7&lt;&gt;".",s_Irr!BO7="."),s_dir!R7/((1/1000)*(s_Irr!Q7+s_Irr!AP7)),IF(AND(s_Irr!Q7&lt;&gt;".",s_Irr!AP7=".",s_Irr!BO7&lt;&gt;"."),s_dir!R7/((1/1000)*(s_Irr!Q7+s_Irr!BO7)),IF(AND(s_Irr!Q7=".",s_Irr!AP7&lt;&gt;".",s_Irr!BO7&lt;&gt;"."),s_dir!R7/((1/1000)*(s_Irr!AP7+s_Irr!BO7)),IF(AND(s_Irr!Q7=".",s_Irr!AP7=".",s_Irr!BO7&lt;&gt;"."),s_dir!R7/((1/1000)*(s_Irr!BO7)),IF(AND(s_Irr!Q7=".",s_Irr!AP7&lt;&gt;".",s_Irr!BO7="."),s_dir!R7/((1/1000)*(s_Irr!AP7)),IF(AND(s_Irr!Q7&lt;&gt;".",s_Irr!AP7=".",s_Irr!BO7="."),s_dir!R7/((1/1000)*(s_Irr!Q7)),IF(AND(s_Irr!Q7=".",s_Irr!AP7=".",s_Irr!BO7="."),s_dir!R7*1000)))))))),".")</f>
        <v>15724.206062811239</v>
      </c>
      <c r="S7" s="70">
        <f>IFERROR(IF(AND(s_Irr!R7&lt;&gt;".",s_Irr!AQ7&lt;&gt;".",s_Irr!BP7&lt;&gt;"."),s_dir!S7/((1/1000)*(s_Irr!R7+s_Irr!AQ7+s_Irr!BP7)),IF(AND(s_Irr!R7&lt;&gt;".",s_Irr!AQ7&lt;&gt;".",s_Irr!BP7="."),s_dir!S7/((1/1000)*(s_Irr!R7+s_Irr!AQ7)),IF(AND(s_Irr!R7&lt;&gt;".",s_Irr!AQ7=".",s_Irr!BP7&lt;&gt;"."),s_dir!S7/((1/1000)*(s_Irr!R7+s_Irr!BP7)),IF(AND(s_Irr!R7=".",s_Irr!AQ7&lt;&gt;".",s_Irr!BP7&lt;&gt;"."),s_dir!S7/((1/1000)*(s_Irr!AQ7+s_Irr!BP7)),IF(AND(s_Irr!R7=".",s_Irr!AQ7=".",s_Irr!BP7&lt;&gt;"."),s_dir!S7/((1/1000)*(s_Irr!BP7)),IF(AND(s_Irr!R7=".",s_Irr!AQ7&lt;&gt;".",s_Irr!BP7="."),s_dir!S7/((1/1000)*(s_Irr!AQ7)),IF(AND(s_Irr!R7&lt;&gt;".",s_Irr!AQ7=".",s_Irr!BP7="."),s_dir!S7/((1/1000)*(s_Irr!R7)),IF(AND(s_Irr!R7=".",s_Irr!AQ7=".",s_Irr!BP7="."),s_dir!S7*1000)))))))),".")</f>
        <v>15724.206062811239</v>
      </c>
      <c r="T7" s="70">
        <f>IFERROR(IF(AND(s_Irr!S7&lt;&gt;".",s_Irr!AR7&lt;&gt;".",s_Irr!BQ7&lt;&gt;"."),s_dir!T7/((1/1000)*(s_Irr!S7+s_Irr!AR7+s_Irr!BQ7)),IF(AND(s_Irr!S7&lt;&gt;".",s_Irr!AR7&lt;&gt;".",s_Irr!BQ7="."),s_dir!T7/((1/1000)*(s_Irr!S7+s_Irr!AR7)),IF(AND(s_Irr!S7&lt;&gt;".",s_Irr!AR7=".",s_Irr!BQ7&lt;&gt;"."),s_dir!T7/((1/1000)*(s_Irr!S7+s_Irr!BQ7)),IF(AND(s_Irr!S7=".",s_Irr!AR7&lt;&gt;".",s_Irr!BQ7&lt;&gt;"."),s_dir!T7/((1/1000)*(s_Irr!AR7+s_Irr!BQ7)),IF(AND(s_Irr!S7=".",s_Irr!AR7=".",s_Irr!BQ7&lt;&gt;"."),s_dir!T7/((1/1000)*(s_Irr!BQ7)),IF(AND(s_Irr!S7=".",s_Irr!AR7&lt;&gt;".",s_Irr!BQ7="."),s_dir!T7/((1/1000)*(s_Irr!AR7)),IF(AND(s_Irr!S7&lt;&gt;".",s_Irr!AR7=".",s_Irr!BQ7="."),s_dir!T7/((1/1000)*(s_Irr!S7)),IF(AND(s_Irr!S7=".",s_Irr!AR7=".",s_Irr!BQ7="."),s_dir!T7*1000)))))))),".")</f>
        <v>15724.206062811239</v>
      </c>
      <c r="U7" s="70">
        <f>IFERROR(IF(AND(s_Irr!T7&lt;&gt;".",s_Irr!AS7&lt;&gt;".",s_Irr!BR7&lt;&gt;"."),s_dir!U7/((1/1000)*(s_Irr!T7+s_Irr!AS7+s_Irr!BR7)),IF(AND(s_Irr!T7&lt;&gt;".",s_Irr!AS7&lt;&gt;".",s_Irr!BR7="."),s_dir!U7/((1/1000)*(s_Irr!T7+s_Irr!AS7)),IF(AND(s_Irr!T7&lt;&gt;".",s_Irr!AS7=".",s_Irr!BR7&lt;&gt;"."),s_dir!U7/((1/1000)*(s_Irr!T7+s_Irr!BR7)),IF(AND(s_Irr!T7=".",s_Irr!AS7&lt;&gt;".",s_Irr!BR7&lt;&gt;"."),s_dir!U7/((1/1000)*(s_Irr!AS7+s_Irr!BR7)),IF(AND(s_Irr!T7=".",s_Irr!AS7=".",s_Irr!BR7&lt;&gt;"."),s_dir!U7/((1/1000)*(s_Irr!BR7)),IF(AND(s_Irr!T7=".",s_Irr!AS7&lt;&gt;".",s_Irr!BR7="."),s_dir!U7/((1/1000)*(s_Irr!AS7)),IF(AND(s_Irr!T7&lt;&gt;".",s_Irr!AS7=".",s_Irr!BR7="."),s_dir!U7/((1/1000)*(s_Irr!T7)),IF(AND(s_Irr!T7=".",s_Irr!AS7=".",s_Irr!BR7="."),s_dir!U7*1000)))))))),".")</f>
        <v>15724.206062811239</v>
      </c>
      <c r="V7" s="70">
        <f>IFERROR(IF(AND(s_Irr!U7&lt;&gt;".",s_Irr!AT7&lt;&gt;".",s_Irr!BS7&lt;&gt;"."),s_dir!V7/((1/1000)*(s_Irr!U7+s_Irr!AT7+s_Irr!BS7)),IF(AND(s_Irr!U7&lt;&gt;".",s_Irr!AT7&lt;&gt;".",s_Irr!BS7="."),s_dir!V7/((1/1000)*(s_Irr!U7+s_Irr!AT7)),IF(AND(s_Irr!U7&lt;&gt;".",s_Irr!AT7=".",s_Irr!BS7&lt;&gt;"."),s_dir!V7/((1/1000)*(s_Irr!U7+s_Irr!BS7)),IF(AND(s_Irr!U7=".",s_Irr!AT7&lt;&gt;".",s_Irr!BS7&lt;&gt;"."),s_dir!V7/((1/1000)*(s_Irr!AT7+s_Irr!BS7)),IF(AND(s_Irr!U7=".",s_Irr!AT7=".",s_Irr!BS7&lt;&gt;"."),s_dir!V7/((1/1000)*(s_Irr!BS7)),IF(AND(s_Irr!U7=".",s_Irr!AT7&lt;&gt;".",s_Irr!BS7="."),s_dir!V7/((1/1000)*(s_Irr!AT7)),IF(AND(s_Irr!U7&lt;&gt;".",s_Irr!AT7=".",s_Irr!BS7="."),s_dir!V7/((1/1000)*(s_Irr!U7)),IF(AND(s_Irr!U7=".",s_Irr!AT7=".",s_Irr!BS7="."),s_dir!V7*1000)))))))),".")</f>
        <v>15724.206062811239</v>
      </c>
      <c r="W7" s="70">
        <f>IFERROR(IF(AND(s_Irr!V7&lt;&gt;".",s_Irr!AU7&lt;&gt;".",s_Irr!BT7&lt;&gt;"."),s_dir!W7/((1/1000)*(s_Irr!V7+s_Irr!AU7+s_Irr!BT7)),IF(AND(s_Irr!V7&lt;&gt;".",s_Irr!AU7&lt;&gt;".",s_Irr!BT7="."),s_dir!W7/((1/1000)*(s_Irr!V7+s_Irr!AU7)),IF(AND(s_Irr!V7&lt;&gt;".",s_Irr!AU7=".",s_Irr!BT7&lt;&gt;"."),s_dir!W7/((1/1000)*(s_Irr!V7+s_Irr!BT7)),IF(AND(s_Irr!V7=".",s_Irr!AU7&lt;&gt;".",s_Irr!BT7&lt;&gt;"."),s_dir!W7/((1/1000)*(s_Irr!AU7+s_Irr!BT7)),IF(AND(s_Irr!V7=".",s_Irr!AU7=".",s_Irr!BT7&lt;&gt;"."),s_dir!W7/((1/1000)*(s_Irr!BT7)),IF(AND(s_Irr!V7=".",s_Irr!AU7&lt;&gt;".",s_Irr!BT7="."),s_dir!W7/((1/1000)*(s_Irr!AU7)),IF(AND(s_Irr!V7&lt;&gt;".",s_Irr!AU7=".",s_Irr!BT7="."),s_dir!W7/((1/1000)*(s_Irr!V7)),IF(AND(s_Irr!V7=".",s_Irr!AU7=".",s_Irr!BT7="."),s_dir!W7*1000)))))))),".")</f>
        <v>15724.206062811239</v>
      </c>
      <c r="X7" s="70">
        <f>IFERROR(IF(AND(s_Irr!W7&lt;&gt;".",s_Irr!AV7&lt;&gt;".",s_Irr!BU7&lt;&gt;"."),s_dir!X7/((1/1000)*(s_Irr!W7+s_Irr!AV7+s_Irr!BU7)),IF(AND(s_Irr!W7&lt;&gt;".",s_Irr!AV7&lt;&gt;".",s_Irr!BU7="."),s_dir!X7/((1/1000)*(s_Irr!W7+s_Irr!AV7)),IF(AND(s_Irr!W7&lt;&gt;".",s_Irr!AV7=".",s_Irr!BU7&lt;&gt;"."),s_dir!X7/((1/1000)*(s_Irr!W7+s_Irr!BU7)),IF(AND(s_Irr!W7=".",s_Irr!AV7&lt;&gt;".",s_Irr!BU7&lt;&gt;"."),s_dir!X7/((1/1000)*(s_Irr!AV7+s_Irr!BU7)),IF(AND(s_Irr!W7=".",s_Irr!AV7=".",s_Irr!BU7&lt;&gt;"."),s_dir!X7/((1/1000)*(s_Irr!BU7)),IF(AND(s_Irr!W7=".",s_Irr!AV7&lt;&gt;".",s_Irr!BU7="."),s_dir!X7/((1/1000)*(s_Irr!AV7)),IF(AND(s_Irr!W7&lt;&gt;".",s_Irr!AV7=".",s_Irr!BU7="."),s_dir!X7/((1/1000)*(s_Irr!W7)),IF(AND(s_Irr!W7=".",s_Irr!AV7=".",s_Irr!BU7="."),s_dir!X7*1000)))))))),".")</f>
        <v>15724.206062811239</v>
      </c>
      <c r="Y7" s="70">
        <f>IFERROR(IF(AND(s_Irr!X7&lt;&gt;".",s_Irr!AW7&lt;&gt;".",s_Irr!BV7&lt;&gt;"."),s_dir!Y7/((1/1000)*(s_Irr!X7+s_Irr!AW7+s_Irr!BV7)),IF(AND(s_Irr!X7&lt;&gt;".",s_Irr!AW7&lt;&gt;".",s_Irr!BV7="."),s_dir!Y7/((1/1000)*(s_Irr!X7+s_Irr!AW7)),IF(AND(s_Irr!X7&lt;&gt;".",s_Irr!AW7=".",s_Irr!BV7&lt;&gt;"."),s_dir!Y7/((1/1000)*(s_Irr!X7+s_Irr!BV7)),IF(AND(s_Irr!X7=".",s_Irr!AW7&lt;&gt;".",s_Irr!BV7&lt;&gt;"."),s_dir!Y7/((1/1000)*(s_Irr!AW7+s_Irr!BV7)),IF(AND(s_Irr!X7=".",s_Irr!AW7=".",s_Irr!BV7&lt;&gt;"."),s_dir!Y7/((1/1000)*(s_Irr!BV7)),IF(AND(s_Irr!X7=".",s_Irr!AW7&lt;&gt;".",s_Irr!BV7="."),s_dir!Y7/((1/1000)*(s_Irr!AW7)),IF(AND(s_Irr!X7&lt;&gt;".",s_Irr!AW7=".",s_Irr!BV7="."),s_dir!Y7/((1/1000)*(s_Irr!X7)),IF(AND(s_Irr!X7=".",s_Irr!AW7=".",s_Irr!BV7="."),s_dir!Y7*1000)))))))),".")</f>
        <v>15724.206062811239</v>
      </c>
      <c r="Z7" s="70">
        <f>IFERROR(IF(AND(s_Irr!Y7&lt;&gt;".",s_Irr!AX7&lt;&gt;".",s_Irr!BW7&lt;&gt;"."),s_dir!Z7/((1/1000)*(s_Irr!Y7+s_Irr!AX7+s_Irr!BW7)),IF(AND(s_Irr!Y7&lt;&gt;".",s_Irr!AX7&lt;&gt;".",s_Irr!BW7="."),s_dir!Z7/((1/1000)*(s_Irr!Y7+s_Irr!AX7)),IF(AND(s_Irr!Y7&lt;&gt;".",s_Irr!AX7=".",s_Irr!BW7&lt;&gt;"."),s_dir!Z7/((1/1000)*(s_Irr!Y7+s_Irr!BW7)),IF(AND(s_Irr!Y7=".",s_Irr!AX7&lt;&gt;".",s_Irr!BW7&lt;&gt;"."),s_dir!Z7/((1/1000)*(s_Irr!AX7+s_Irr!BW7)),IF(AND(s_Irr!Y7=".",s_Irr!AX7=".",s_Irr!BW7&lt;&gt;"."),s_dir!Z7/((1/1000)*(s_Irr!BW7)),IF(AND(s_Irr!Y7=".",s_Irr!AX7&lt;&gt;".",s_Irr!BW7="."),s_dir!Z7/((1/1000)*(s_Irr!AX7)),IF(AND(s_Irr!Y7&lt;&gt;".",s_Irr!AX7=".",s_Irr!BW7="."),s_dir!Z7/((1/1000)*(s_Irr!Y7)),IF(AND(s_Irr!Y7=".",s_Irr!AX7=".",s_Irr!BW7="."),s_dir!Z7*1000)))))))),".")</f>
        <v>15724.206062811239</v>
      </c>
      <c r="AA7" s="70">
        <f>IFERROR(IF(AND(s_Irr!Z7&lt;&gt;".",s_Irr!AY7&lt;&gt;".",s_Irr!BX7&lt;&gt;"."),s_dir!AA7/((1/1000)*(s_Irr!Z7+s_Irr!AY7+s_Irr!BX7)),IF(AND(s_Irr!Z7&lt;&gt;".",s_Irr!AY7&lt;&gt;".",s_Irr!BX7="."),s_dir!AA7/((1/1000)*(s_Irr!Z7+s_Irr!AY7)),IF(AND(s_Irr!Z7&lt;&gt;".",s_Irr!AY7=".",s_Irr!BX7&lt;&gt;"."),s_dir!AA7/((1/1000)*(s_Irr!Z7+s_Irr!BX7)),IF(AND(s_Irr!Z7=".",s_Irr!AY7&lt;&gt;".",s_Irr!BX7&lt;&gt;"."),s_dir!AA7/((1/1000)*(s_Irr!AY7+s_Irr!BX7)),IF(AND(s_Irr!Z7=".",s_Irr!AY7=".",s_Irr!BX7&lt;&gt;"."),s_dir!AA7/((1/1000)*(s_Irr!BX7)),IF(AND(s_Irr!Z7=".",s_Irr!AY7&lt;&gt;".",s_Irr!BX7="."),s_dir!AA7/((1/1000)*(s_Irr!AY7)),IF(AND(s_Irr!Z7&lt;&gt;".",s_Irr!AY7=".",s_Irr!BX7="."),s_dir!AA7/((1/1000)*(s_Irr!Z7)),IF(AND(s_Irr!Z7=".",s_Irr!AY7=".",s_Irr!BX7="."),s_dir!AA7*1000)))))))),".")</f>
        <v>15724.206062811239</v>
      </c>
      <c r="AB7" s="70">
        <f>IFERROR(IF(AND(s_Irr!AA7&lt;&gt;".",s_Irr!AZ7&lt;&gt;".",s_Irr!BY7&lt;&gt;"."),s_dir!AB7/((1/1000)*(s_Irr!AA7+s_Irr!AZ7+s_Irr!BY7)),IF(AND(s_Irr!AA7&lt;&gt;".",s_Irr!AZ7&lt;&gt;".",s_Irr!BY7="."),s_dir!AB7/((1/1000)*(s_Irr!AA7+s_Irr!AZ7)),IF(AND(s_Irr!AA7&lt;&gt;".",s_Irr!AZ7=".",s_Irr!BY7&lt;&gt;"."),s_dir!AB7/((1/1000)*(s_Irr!AA7+s_Irr!BY7)),IF(AND(s_Irr!AA7=".",s_Irr!AZ7&lt;&gt;".",s_Irr!BY7&lt;&gt;"."),s_dir!AB7/((1/1000)*(s_Irr!AZ7+s_Irr!BY7)),IF(AND(s_Irr!AA7=".",s_Irr!AZ7=".",s_Irr!BY7&lt;&gt;"."),s_dir!AB7/((1/1000)*(s_Irr!BY7)),IF(AND(s_Irr!AA7=".",s_Irr!AZ7&lt;&gt;".",s_Irr!BY7="."),s_dir!AB7/((1/1000)*(s_Irr!AZ7)),IF(AND(s_Irr!AA7&lt;&gt;".",s_Irr!AZ7=".",s_Irr!BY7="."),s_dir!AB7/((1/1000)*(s_Irr!AA7)),IF(AND(s_Irr!AA7=".",s_Irr!AZ7=".",s_Irr!BY7="."),s_dir!AB7*1000)))))))),".")</f>
        <v>15724.206062811239</v>
      </c>
      <c r="AC7" s="87">
        <f t="shared" si="4"/>
        <v>954.89813317357221</v>
      </c>
      <c r="AD7" s="87">
        <f>IFERROR(s_C*s_IFAP_res_adj*s_CF_apple*0.001*(s_Irr!C7+s_Irr!AB7+s_Irr!BA7),".")</f>
        <v>238.72453329339305</v>
      </c>
      <c r="AE7" s="87">
        <f>IFERROR(s_C*s_IFAS_res_adj*s_CF_asparagus*0.001*(s_Irr!D7+s_Irr!AC7+s_Irr!BB7),".")</f>
        <v>238.72453329339305</v>
      </c>
      <c r="AF7" s="87">
        <f>IFERROR(s_C*s_IFBT_res_adj*s_CF_beet*0.001*(s_Irr!E7+s_Irr!AD7+s_Irr!BC7),".")</f>
        <v>238.72453329339305</v>
      </c>
      <c r="AG7" s="87">
        <f>IFERROR(s_C*s_IFBE_res_adj*s_CF_berries*0.001*(s_Irr!F7+s_Irr!AE7+s_Irr!BD7),".")</f>
        <v>238.72453329339305</v>
      </c>
      <c r="AH7" s="87">
        <f>IFERROR(s_C*s_IFBR_res_adj*s_CF_broccoli*0.001*(s_Irr!G7+s_Irr!AF7+s_Irr!BE7),".")</f>
        <v>238.72453329339305</v>
      </c>
      <c r="AI7" s="87">
        <f>IFERROR(s_C*s_IFCB_res_adj*s_CF_cabbage*0.001*(s_Irr!H7+s_Irr!AG7+s_Irr!BF7),".")</f>
        <v>238.72453329339305</v>
      </c>
      <c r="AJ7" s="87">
        <f>IFERROR(s_C*s_IFCR_res_adj*s_CF_carrot*0.001*(s_Irr!I7+s_Irr!AH7+s_Irr!BG7),".")</f>
        <v>238.72453329339305</v>
      </c>
      <c r="AK7" s="87">
        <f>IFERROR(s_C*s_IFCI_res_adj*s_CF_citrus*0.001*(s_Irr!J7+s_Irr!AI7+s_Irr!BH7),".")</f>
        <v>238.72453329339305</v>
      </c>
      <c r="AL7" s="87">
        <f>IFERROR(s_C*s_IFCO_res_adj*s_CF_corn*0.001*(s_Irr!K7+s_Irr!AJ7+s_Irr!BI7),".")</f>
        <v>238.72453329339305</v>
      </c>
      <c r="AM7" s="87">
        <f>IFERROR(s_C*s_IFCU_res_adj*s_CF_cucumber*0.001*(s_Irr!L7+s_Irr!AK7+s_Irr!BJ7),".")</f>
        <v>238.72453329339305</v>
      </c>
      <c r="AN7" s="87">
        <f>IFERROR(s_C*s_IFLE_res_adj*s_CF_lettuce*0.001*(s_Irr!M7+s_Irr!AL7+s_Irr!BK7),".")</f>
        <v>238.72453329339305</v>
      </c>
      <c r="AO7" s="87">
        <f>IFERROR(s_C*s_IFLI_res_adj*s_CF_lima_bean*0.001*(s_Irr!N7+s_Irr!AM7+s_Irr!BL7),".")</f>
        <v>238.72453329339305</v>
      </c>
      <c r="AP7" s="87">
        <f>IFERROR(s_C*s_IFOK_res_adj*s_CF_okra*0.001*(s_Irr!O7+s_Irr!AN7+s_Irr!BM7),".")</f>
        <v>238.72453329339305</v>
      </c>
      <c r="AQ7" s="87">
        <f>IFERROR(s_C*s_IFON_res_adj*s_CF_onion*0.001*(s_Irr!P7+s_Irr!AO7+s_Irr!BN7),".")</f>
        <v>238.72453329339305</v>
      </c>
      <c r="AR7" s="87">
        <f>IFERROR(s_C*s_IFPC_res_adj*s_CF_peach*0.001*(s_Irr!Q7+s_Irr!AP7+s_Irr!BO7),".")</f>
        <v>238.72453329339305</v>
      </c>
      <c r="AS7" s="87">
        <f>IFERROR(s_C*s_IFPR_res_adj*s_CF_pear*0.001*(s_Irr!R7+s_Irr!AQ7+s_Irr!BP7),".")</f>
        <v>238.72453329339305</v>
      </c>
      <c r="AT7" s="87">
        <f>IFERROR(s_C*s_IFPE_res_adj*s_CF_peas*0.001*(s_Irr!S7+s_Irr!AR7+s_Irr!BQ7),".")</f>
        <v>238.72453329339305</v>
      </c>
      <c r="AU7" s="87">
        <f>IFERROR(s_C*s_IFPP_res_adj*s_CF_peppers*0.001*(s_Irr!T7+s_Irr!AS7+s_Irr!BR7),".")</f>
        <v>238.72453329339305</v>
      </c>
      <c r="AV7" s="87">
        <f>IFERROR(s_C*s_IFPT_res_adj*s_CF_potato*0.001*(s_Irr!U7+s_Irr!AT7+s_Irr!BS7),".")</f>
        <v>238.72453329339305</v>
      </c>
      <c r="AW7" s="87">
        <f>IFERROR(s_C*s_IFPU_res_adj*s_CF_pumpkin*0.001*(s_Irr!V7+s_Irr!AU7+s_Irr!BT7),".")</f>
        <v>238.72453329339305</v>
      </c>
      <c r="AX7" s="87">
        <f>IFERROR(s_C*s_IFSN_res_adj*s_CF_snap_bean*0.001*(s_Irr!W7+s_Irr!AV7+s_Irr!BU7),".")</f>
        <v>238.72453329339305</v>
      </c>
      <c r="AY7" s="87">
        <f>IFERROR(s_C*s_IFST_res_adj*s_CF_strawberry*0.001*(s_Irr!X7+s_Irr!AW7+s_Irr!BV7),".")</f>
        <v>238.72453329339305</v>
      </c>
      <c r="AZ7" s="87">
        <f>IFERROR(s_C*s_IFTO_res_adj*s_CF_tomato*0.001*(s_Irr!Y7+s_Irr!AX7+s_Irr!BW7),".")</f>
        <v>238.72453329339305</v>
      </c>
      <c r="BA7" s="87">
        <f>IFERROR(s_C*s_IFRI_res_adj*s_CF_rice*0.001*(s_Irr!Z7+s_Irr!AY7+s_Irr!BX7),".")</f>
        <v>238.72453329339305</v>
      </c>
      <c r="BB7" s="87">
        <f>IFERROR(s_C*s_IFCG_res_adj*s_CF_cereal*0.001*(s_Irr!AA7+s_Irr!AZ7+s_Irr!BY7),".")</f>
        <v>238.72453329339305</v>
      </c>
      <c r="BC7" s="70">
        <f t="shared" si="1"/>
        <v>3931.0515157028094</v>
      </c>
      <c r="BD7" s="70">
        <f>IFERROR(IF(AND(s_Irr!C7&lt;&gt;".",s_Irr!AB7&lt;&gt;".",s_Irr!BA7&lt;&gt;"."),s_dir!AD7/((1/1000)*(s_Irr!C7+s_Irr!AB7+s_Irr!BA7)),IF(AND(s_Irr!C7&lt;&gt;".",s_Irr!AB7&lt;&gt;".",s_Irr!BA7="."),s_dir!AD7/((1/1000)*(s_Irr!C7+s_Irr!AB7)),IF(AND(s_Irr!C7&lt;&gt;".",s_Irr!AB7=".",s_Irr!BA7&lt;&gt;"."),s_dir!AD7/((1/1000)*(s_Irr!C7+s_Irr!BA7)),IF(AND(s_Irr!C7=".",s_Irr!AB7&lt;&gt;".",s_Irr!BA7&lt;&gt;"."),s_dir!AD7/((1/1000)*(s_Irr!AB7+s_Irr!BA7)),IF(AND(s_Irr!C7=".",s_Irr!AB7=".",s_Irr!BA7&lt;&gt;"."),s_dir!AD7/((1/1000)*(s_Irr!BA7)),IF(AND(s_Irr!C7=".",s_Irr!AB7&lt;&gt;".",s_Irr!BA7="."),s_dir!AD7/((1/1000)*(s_Irr!AB7)),IF(AND(s_Irr!C7&lt;&gt;".",s_Irr!AB7=".",s_Irr!BA7="."),s_dir!AD7/((1/1000)*(s_Irr!C7)),IF(AND(s_Irr!C7=".",s_Irr!AB7=".",s_Irr!BA7="."),s_dir!AD7*1000)))))))),".")</f>
        <v>15724.206062811239</v>
      </c>
      <c r="BE7" s="70">
        <f>IFERROR(IF(AND(s_Irr!D7&lt;&gt;".",s_Irr!AC7&lt;&gt;".",s_Irr!BB7&lt;&gt;"."),s_dir!AE7/((1/1000)*(s_Irr!D7+s_Irr!AC7+s_Irr!BB7)),IF(AND(s_Irr!D7&lt;&gt;".",s_Irr!AC7&lt;&gt;".",s_Irr!BB7="."),s_dir!AE7/((1/1000)*(s_Irr!D7+s_Irr!AC7)),IF(AND(s_Irr!D7&lt;&gt;".",s_Irr!AC7=".",s_Irr!BB7&lt;&gt;"."),s_dir!AE7/((1/1000)*(s_Irr!D7+s_Irr!BB7)),IF(AND(s_Irr!D7=".",s_Irr!AC7&lt;&gt;".",s_Irr!BB7&lt;&gt;"."),s_dir!AE7/((1/1000)*(s_Irr!AC7+s_Irr!BB7)),IF(AND(s_Irr!D7=".",s_Irr!AC7=".",s_Irr!BB7&lt;&gt;"."),s_dir!AE7/((1/1000)*(s_Irr!BB7)),IF(AND(s_Irr!D7=".",s_Irr!AC7&lt;&gt;".",s_Irr!BB7="."),s_dir!AE7/((1/1000)*(s_Irr!AC7)),IF(AND(s_Irr!D7&lt;&gt;".",s_Irr!AC7=".",s_Irr!BB7="."),s_dir!AE7/((1/1000)*(s_Irr!D7)),IF(AND(s_Irr!D7=".",s_Irr!AC7=".",s_Irr!BB7="."),s_dir!AE7*1000)))))))),".")</f>
        <v>15724.206062811239</v>
      </c>
      <c r="BF7" s="70">
        <f>IFERROR(IF(AND(s_Irr!E7&lt;&gt;".",s_Irr!AD7&lt;&gt;".",s_Irr!BC7&lt;&gt;"."),s_dir!AF7/((1/1000)*(s_Irr!E7+s_Irr!AD7+s_Irr!BC7)),IF(AND(s_Irr!E7&lt;&gt;".",s_Irr!AD7&lt;&gt;".",s_Irr!BC7="."),s_dir!AF7/((1/1000)*(s_Irr!E7+s_Irr!AD7)),IF(AND(s_Irr!E7&lt;&gt;".",s_Irr!AD7=".",s_Irr!BC7&lt;&gt;"."),s_dir!AF7/((1/1000)*(s_Irr!E7+s_Irr!BC7)),IF(AND(s_Irr!E7=".",s_Irr!AD7&lt;&gt;".",s_Irr!BC7&lt;&gt;"."),s_dir!AF7/((1/1000)*(s_Irr!AD7+s_Irr!BC7)),IF(AND(s_Irr!E7=".",s_Irr!AD7=".",s_Irr!BC7&lt;&gt;"."),s_dir!AF7/((1/1000)*(s_Irr!BC7)),IF(AND(s_Irr!E7=".",s_Irr!AD7&lt;&gt;".",s_Irr!BC7="."),s_dir!AF7/((1/1000)*(s_Irr!AD7)),IF(AND(s_Irr!E7&lt;&gt;".",s_Irr!AD7=".",s_Irr!BC7="."),s_dir!AF7/((1/1000)*(s_Irr!E7)),IF(AND(s_Irr!E7=".",s_Irr!AD7=".",s_Irr!BC7="."),s_dir!AF7*1000)))))))),".")</f>
        <v>15724.206062811239</v>
      </c>
      <c r="BG7" s="70">
        <f>IFERROR(IF(AND(s_Irr!F7&lt;&gt;".",s_Irr!AE7&lt;&gt;".",s_Irr!BD7&lt;&gt;"."),s_dir!AG7/((1/1000)*(s_Irr!F7+s_Irr!AE7+s_Irr!BD7)),IF(AND(s_Irr!F7&lt;&gt;".",s_Irr!AE7&lt;&gt;".",s_Irr!BD7="."),s_dir!AG7/((1/1000)*(s_Irr!F7+s_Irr!AE7)),IF(AND(s_Irr!F7&lt;&gt;".",s_Irr!AE7=".",s_Irr!BD7&lt;&gt;"."),s_dir!AG7/((1/1000)*(s_Irr!F7+s_Irr!BD7)),IF(AND(s_Irr!F7=".",s_Irr!AE7&lt;&gt;".",s_Irr!BD7&lt;&gt;"."),s_dir!AG7/((1/1000)*(s_Irr!AE7+s_Irr!BD7)),IF(AND(s_Irr!F7=".",s_Irr!AE7=".",s_Irr!BD7&lt;&gt;"."),s_dir!AG7/((1/1000)*(s_Irr!BD7)),IF(AND(s_Irr!F7=".",s_Irr!AE7&lt;&gt;".",s_Irr!BD7="."),s_dir!AG7/((1/1000)*(s_Irr!AE7)),IF(AND(s_Irr!F7&lt;&gt;".",s_Irr!AE7=".",s_Irr!BD7="."),s_dir!AG7/((1/1000)*(s_Irr!F7)),IF(AND(s_Irr!F7=".",s_Irr!AE7=".",s_Irr!BD7="."),s_dir!AG7*1000)))))))),".")</f>
        <v>15724.206062811239</v>
      </c>
      <c r="BH7" s="70">
        <f>IFERROR(IF(AND(s_Irr!G7&lt;&gt;".",s_Irr!AF7&lt;&gt;".",s_Irr!BE7&lt;&gt;"."),s_dir!AH7/((1/1000)*(s_Irr!G7+s_Irr!AF7+s_Irr!BE7)),IF(AND(s_Irr!G7&lt;&gt;".",s_Irr!AF7&lt;&gt;".",s_Irr!BE7="."),s_dir!AH7/((1/1000)*(s_Irr!G7+s_Irr!AF7)),IF(AND(s_Irr!G7&lt;&gt;".",s_Irr!AF7=".",s_Irr!BE7&lt;&gt;"."),s_dir!AH7/((1/1000)*(s_Irr!G7+s_Irr!BE7)),IF(AND(s_Irr!G7=".",s_Irr!AF7&lt;&gt;".",s_Irr!BE7&lt;&gt;"."),s_dir!AH7/((1/1000)*(s_Irr!AF7+s_Irr!BE7)),IF(AND(s_Irr!G7=".",s_Irr!AF7=".",s_Irr!BE7&lt;&gt;"."),s_dir!AH7/((1/1000)*(s_Irr!BE7)),IF(AND(s_Irr!G7=".",s_Irr!AF7&lt;&gt;".",s_Irr!BE7="."),s_dir!AH7/((1/1000)*(s_Irr!AF7)),IF(AND(s_Irr!G7&lt;&gt;".",s_Irr!AF7=".",s_Irr!BE7="."),s_dir!AH7/((1/1000)*(s_Irr!G7)),IF(AND(s_Irr!G7=".",s_Irr!AF7=".",s_Irr!BE7="."),s_dir!AH7*1000)))))))),".")</f>
        <v>15724.206062811239</v>
      </c>
      <c r="BI7" s="70">
        <f>IFERROR(IF(AND(s_Irr!H7&lt;&gt;".",s_Irr!AG7&lt;&gt;".",s_Irr!BF7&lt;&gt;"."),s_dir!AI7/((1/1000)*(s_Irr!H7+s_Irr!AG7+s_Irr!BF7)),IF(AND(s_Irr!H7&lt;&gt;".",s_Irr!AG7&lt;&gt;".",s_Irr!BF7="."),s_dir!AI7/((1/1000)*(s_Irr!H7+s_Irr!AG7)),IF(AND(s_Irr!H7&lt;&gt;".",s_Irr!AG7=".",s_Irr!BF7&lt;&gt;"."),s_dir!AI7/((1/1000)*(s_Irr!H7+s_Irr!BF7)),IF(AND(s_Irr!H7=".",s_Irr!AG7&lt;&gt;".",s_Irr!BF7&lt;&gt;"."),s_dir!AI7/((1/1000)*(s_Irr!AG7+s_Irr!BF7)),IF(AND(s_Irr!H7=".",s_Irr!AG7=".",s_Irr!BF7&lt;&gt;"."),s_dir!AI7/((1/1000)*(s_Irr!BF7)),IF(AND(s_Irr!H7=".",s_Irr!AG7&lt;&gt;".",s_Irr!BF7="."),s_dir!AI7/((1/1000)*(s_Irr!AG7)),IF(AND(s_Irr!H7&lt;&gt;".",s_Irr!AG7=".",s_Irr!BF7="."),s_dir!AI7/((1/1000)*(s_Irr!H7)),IF(AND(s_Irr!H7=".",s_Irr!AG7=".",s_Irr!BF7="."),s_dir!AI7*1000)))))))),".")</f>
        <v>15724.206062811239</v>
      </c>
      <c r="BJ7" s="70">
        <f>IFERROR(IF(AND(s_Irr!I7&lt;&gt;".",s_Irr!AH7&lt;&gt;".",s_Irr!BG7&lt;&gt;"."),s_dir!AJ7/((1/1000)*(s_Irr!I7+s_Irr!AH7+s_Irr!BG7)),IF(AND(s_Irr!I7&lt;&gt;".",s_Irr!AH7&lt;&gt;".",s_Irr!BG7="."),s_dir!AJ7/((1/1000)*(s_Irr!I7+s_Irr!AH7)),IF(AND(s_Irr!I7&lt;&gt;".",s_Irr!AH7=".",s_Irr!BG7&lt;&gt;"."),s_dir!AJ7/((1/1000)*(s_Irr!I7+s_Irr!BG7)),IF(AND(s_Irr!I7=".",s_Irr!AH7&lt;&gt;".",s_Irr!BG7&lt;&gt;"."),s_dir!AJ7/((1/1000)*(s_Irr!AH7+s_Irr!BG7)),IF(AND(s_Irr!I7=".",s_Irr!AH7=".",s_Irr!BG7&lt;&gt;"."),s_dir!AJ7/((1/1000)*(s_Irr!BG7)),IF(AND(s_Irr!I7=".",s_Irr!AH7&lt;&gt;".",s_Irr!BG7="."),s_dir!AJ7/((1/1000)*(s_Irr!AH7)),IF(AND(s_Irr!I7&lt;&gt;".",s_Irr!AH7=".",s_Irr!BG7="."),s_dir!AJ7/((1/1000)*(s_Irr!I7)),IF(AND(s_Irr!I7=".",s_Irr!AH7=".",s_Irr!BG7="."),s_dir!AJ7*1000)))))))),".")</f>
        <v>15724.206062811239</v>
      </c>
      <c r="BK7" s="70">
        <f>IFERROR(IF(AND(s_Irr!J7&lt;&gt;".",s_Irr!AI7&lt;&gt;".",s_Irr!BH7&lt;&gt;"."),s_dir!AK7/((1/1000)*(s_Irr!J7+s_Irr!AI7+s_Irr!BH7)),IF(AND(s_Irr!J7&lt;&gt;".",s_Irr!AI7&lt;&gt;".",s_Irr!BH7="."),s_dir!AK7/((1/1000)*(s_Irr!J7+s_Irr!AI7)),IF(AND(s_Irr!J7&lt;&gt;".",s_Irr!AI7=".",s_Irr!BH7&lt;&gt;"."),s_dir!AK7/((1/1000)*(s_Irr!J7+s_Irr!BH7)),IF(AND(s_Irr!J7=".",s_Irr!AI7&lt;&gt;".",s_Irr!BH7&lt;&gt;"."),s_dir!AK7/((1/1000)*(s_Irr!AI7+s_Irr!BH7)),IF(AND(s_Irr!J7=".",s_Irr!AI7=".",s_Irr!BH7&lt;&gt;"."),s_dir!AK7/((1/1000)*(s_Irr!BH7)),IF(AND(s_Irr!J7=".",s_Irr!AI7&lt;&gt;".",s_Irr!BH7="."),s_dir!AK7/((1/1000)*(s_Irr!AI7)),IF(AND(s_Irr!J7&lt;&gt;".",s_Irr!AI7=".",s_Irr!BH7="."),s_dir!AK7/((1/1000)*(s_Irr!J7)),IF(AND(s_Irr!J7=".",s_Irr!AI7=".",s_Irr!BH7="."),s_dir!AK7*1000)))))))),".")</f>
        <v>15724.206062811239</v>
      </c>
      <c r="BL7" s="70">
        <f>IFERROR(IF(AND(s_Irr!K7&lt;&gt;".",s_Irr!AJ7&lt;&gt;".",s_Irr!BI7&lt;&gt;"."),s_dir!AL7/((1/1000)*(s_Irr!K7+s_Irr!AJ7+s_Irr!BI7)),IF(AND(s_Irr!K7&lt;&gt;".",s_Irr!AJ7&lt;&gt;".",s_Irr!BI7="."),s_dir!AL7/((1/1000)*(s_Irr!K7+s_Irr!AJ7)),IF(AND(s_Irr!K7&lt;&gt;".",s_Irr!AJ7=".",s_Irr!BI7&lt;&gt;"."),s_dir!AL7/((1/1000)*(s_Irr!K7+s_Irr!BI7)),IF(AND(s_Irr!K7=".",s_Irr!AJ7&lt;&gt;".",s_Irr!BI7&lt;&gt;"."),s_dir!AL7/((1/1000)*(s_Irr!AJ7+s_Irr!BI7)),IF(AND(s_Irr!K7=".",s_Irr!AJ7=".",s_Irr!BI7&lt;&gt;"."),s_dir!AL7/((1/1000)*(s_Irr!BI7)),IF(AND(s_Irr!K7=".",s_Irr!AJ7&lt;&gt;".",s_Irr!BI7="."),s_dir!AL7/((1/1000)*(s_Irr!AJ7)),IF(AND(s_Irr!K7&lt;&gt;".",s_Irr!AJ7=".",s_Irr!BI7="."),s_dir!AL7/((1/1000)*(s_Irr!K7)),IF(AND(s_Irr!K7=".",s_Irr!AJ7=".",s_Irr!BI7="."),s_dir!AL7*1000)))))))),".")</f>
        <v>15724.206062811239</v>
      </c>
      <c r="BM7" s="70">
        <f>IFERROR(IF(AND(s_Irr!L7&lt;&gt;".",s_Irr!AK7&lt;&gt;".",s_Irr!BJ7&lt;&gt;"."),s_dir!AM7/((1/1000)*(s_Irr!L7+s_Irr!AK7+s_Irr!BJ7)),IF(AND(s_Irr!L7&lt;&gt;".",s_Irr!AK7&lt;&gt;".",s_Irr!BJ7="."),s_dir!AM7/((1/1000)*(s_Irr!L7+s_Irr!AK7)),IF(AND(s_Irr!L7&lt;&gt;".",s_Irr!AK7=".",s_Irr!BJ7&lt;&gt;"."),s_dir!AM7/((1/1000)*(s_Irr!L7+s_Irr!BJ7)),IF(AND(s_Irr!L7=".",s_Irr!AK7&lt;&gt;".",s_Irr!BJ7&lt;&gt;"."),s_dir!AM7/((1/1000)*(s_Irr!AK7+s_Irr!BJ7)),IF(AND(s_Irr!L7=".",s_Irr!AK7=".",s_Irr!BJ7&lt;&gt;"."),s_dir!AM7/((1/1000)*(s_Irr!BJ7)),IF(AND(s_Irr!L7=".",s_Irr!AK7&lt;&gt;".",s_Irr!BJ7="."),s_dir!AM7/((1/1000)*(s_Irr!AK7)),IF(AND(s_Irr!L7&lt;&gt;".",s_Irr!AK7=".",s_Irr!BJ7="."),s_dir!AM7/((1/1000)*(s_Irr!L7)),IF(AND(s_Irr!L7=".",s_Irr!AK7=".",s_Irr!BJ7="."),s_dir!AM7*1000)))))))),".")</f>
        <v>15724.206062811239</v>
      </c>
      <c r="BN7" s="70">
        <f>IFERROR(IF(AND(s_Irr!M7&lt;&gt;".",s_Irr!AL7&lt;&gt;".",s_Irr!BK7&lt;&gt;"."),s_dir!AN7/((1/1000)*(s_Irr!M7+s_Irr!AL7+s_Irr!BK7)),IF(AND(s_Irr!M7&lt;&gt;".",s_Irr!AL7&lt;&gt;".",s_Irr!BK7="."),s_dir!AN7/((1/1000)*(s_Irr!M7+s_Irr!AL7)),IF(AND(s_Irr!M7&lt;&gt;".",s_Irr!AL7=".",s_Irr!BK7&lt;&gt;"."),s_dir!AN7/((1/1000)*(s_Irr!M7+s_Irr!BK7)),IF(AND(s_Irr!M7=".",s_Irr!AL7&lt;&gt;".",s_Irr!BK7&lt;&gt;"."),s_dir!AN7/((1/1000)*(s_Irr!AL7+s_Irr!BK7)),IF(AND(s_Irr!M7=".",s_Irr!AL7=".",s_Irr!BK7&lt;&gt;"."),s_dir!AN7/((1/1000)*(s_Irr!BK7)),IF(AND(s_Irr!M7=".",s_Irr!AL7&lt;&gt;".",s_Irr!BK7="."),s_dir!AN7/((1/1000)*(s_Irr!AL7)),IF(AND(s_Irr!M7&lt;&gt;".",s_Irr!AL7=".",s_Irr!BK7="."),s_dir!AN7/((1/1000)*(s_Irr!M7)),IF(AND(s_Irr!M7=".",s_Irr!AL7=".",s_Irr!BK7="."),s_dir!AN7*1000)))))))),".")</f>
        <v>15724.206062811239</v>
      </c>
      <c r="BO7" s="70">
        <f>IFERROR(IF(AND(s_Irr!N7&lt;&gt;".",s_Irr!AM7&lt;&gt;".",s_Irr!BL7&lt;&gt;"."),s_dir!AO7/((1/1000)*(s_Irr!N7+s_Irr!AM7+s_Irr!BL7)),IF(AND(s_Irr!N7&lt;&gt;".",s_Irr!AM7&lt;&gt;".",s_Irr!BL7="."),s_dir!AO7/((1/1000)*(s_Irr!N7+s_Irr!AM7)),IF(AND(s_Irr!N7&lt;&gt;".",s_Irr!AM7=".",s_Irr!BL7&lt;&gt;"."),s_dir!AO7/((1/1000)*(s_Irr!N7+s_Irr!BL7)),IF(AND(s_Irr!N7=".",s_Irr!AM7&lt;&gt;".",s_Irr!BL7&lt;&gt;"."),s_dir!AO7/((1/1000)*(s_Irr!AM7+s_Irr!BL7)),IF(AND(s_Irr!N7=".",s_Irr!AM7=".",s_Irr!BL7&lt;&gt;"."),s_dir!AO7/((1/1000)*(s_Irr!BL7)),IF(AND(s_Irr!N7=".",s_Irr!AM7&lt;&gt;".",s_Irr!BL7="."),s_dir!AO7/((1/1000)*(s_Irr!AM7)),IF(AND(s_Irr!N7&lt;&gt;".",s_Irr!AM7=".",s_Irr!BL7="."),s_dir!AO7/((1/1000)*(s_Irr!N7)),IF(AND(s_Irr!N7=".",s_Irr!AM7=".",s_Irr!BL7="."),s_dir!AO7*1000)))))))),".")</f>
        <v>15724.206062811239</v>
      </c>
      <c r="BP7" s="70">
        <f>IFERROR(IF(AND(s_Irr!O7&lt;&gt;".",s_Irr!AN7&lt;&gt;".",s_Irr!BM7&lt;&gt;"."),s_dir!AP7/((1/1000)*(s_Irr!O7+s_Irr!AN7+s_Irr!BM7)),IF(AND(s_Irr!O7&lt;&gt;".",s_Irr!AN7&lt;&gt;".",s_Irr!BM7="."),s_dir!AP7/((1/1000)*(s_Irr!O7+s_Irr!AN7)),IF(AND(s_Irr!O7&lt;&gt;".",s_Irr!AN7=".",s_Irr!BM7&lt;&gt;"."),s_dir!AP7/((1/1000)*(s_Irr!O7+s_Irr!BM7)),IF(AND(s_Irr!O7=".",s_Irr!AN7&lt;&gt;".",s_Irr!BM7&lt;&gt;"."),s_dir!AP7/((1/1000)*(s_Irr!AN7+s_Irr!BM7)),IF(AND(s_Irr!O7=".",s_Irr!AN7=".",s_Irr!BM7&lt;&gt;"."),s_dir!AP7/((1/1000)*(s_Irr!BM7)),IF(AND(s_Irr!O7=".",s_Irr!AN7&lt;&gt;".",s_Irr!BM7="."),s_dir!AP7/((1/1000)*(s_Irr!AN7)),IF(AND(s_Irr!O7&lt;&gt;".",s_Irr!AN7=".",s_Irr!BM7="."),s_dir!AP7/((1/1000)*(s_Irr!O7)),IF(AND(s_Irr!O7=".",s_Irr!AN7=".",s_Irr!BM7="."),s_dir!AP7*1000)))))))),".")</f>
        <v>15724.206062811239</v>
      </c>
      <c r="BQ7" s="70">
        <f>IFERROR(IF(AND(s_Irr!P7&lt;&gt;".",s_Irr!AO7&lt;&gt;".",s_Irr!BN7&lt;&gt;"."),s_dir!AQ7/((1/1000)*(s_Irr!P7+s_Irr!AO7+s_Irr!BN7)),IF(AND(s_Irr!P7&lt;&gt;".",s_Irr!AO7&lt;&gt;".",s_Irr!BN7="."),s_dir!AQ7/((1/1000)*(s_Irr!P7+s_Irr!AO7)),IF(AND(s_Irr!P7&lt;&gt;".",s_Irr!AO7=".",s_Irr!BN7&lt;&gt;"."),s_dir!AQ7/((1/1000)*(s_Irr!P7+s_Irr!BN7)),IF(AND(s_Irr!P7=".",s_Irr!AO7&lt;&gt;".",s_Irr!BN7&lt;&gt;"."),s_dir!AQ7/((1/1000)*(s_Irr!AO7+s_Irr!BN7)),IF(AND(s_Irr!P7=".",s_Irr!AO7=".",s_Irr!BN7&lt;&gt;"."),s_dir!AQ7/((1/1000)*(s_Irr!BN7)),IF(AND(s_Irr!P7=".",s_Irr!AO7&lt;&gt;".",s_Irr!BN7="."),s_dir!AQ7/((1/1000)*(s_Irr!AO7)),IF(AND(s_Irr!P7&lt;&gt;".",s_Irr!AO7=".",s_Irr!BN7="."),s_dir!AQ7/((1/1000)*(s_Irr!P7)),IF(AND(s_Irr!P7=".",s_Irr!AO7=".",s_Irr!BN7="."),s_dir!AQ7*1000)))))))),".")</f>
        <v>15724.206062811239</v>
      </c>
      <c r="BR7" s="70">
        <f>IFERROR(IF(AND(s_Irr!Q7&lt;&gt;".",s_Irr!AP7&lt;&gt;".",s_Irr!BO7&lt;&gt;"."),s_dir!AR7/((1/1000)*(s_Irr!Q7+s_Irr!AP7+s_Irr!BO7)),IF(AND(s_Irr!Q7&lt;&gt;".",s_Irr!AP7&lt;&gt;".",s_Irr!BO7="."),s_dir!AR7/((1/1000)*(s_Irr!Q7+s_Irr!AP7)),IF(AND(s_Irr!Q7&lt;&gt;".",s_Irr!AP7=".",s_Irr!BO7&lt;&gt;"."),s_dir!AR7/((1/1000)*(s_Irr!Q7+s_Irr!BO7)),IF(AND(s_Irr!Q7=".",s_Irr!AP7&lt;&gt;".",s_Irr!BO7&lt;&gt;"."),s_dir!AR7/((1/1000)*(s_Irr!AP7+s_Irr!BO7)),IF(AND(s_Irr!Q7=".",s_Irr!AP7=".",s_Irr!BO7&lt;&gt;"."),s_dir!AR7/((1/1000)*(s_Irr!BO7)),IF(AND(s_Irr!Q7=".",s_Irr!AP7&lt;&gt;".",s_Irr!BO7="."),s_dir!AR7/((1/1000)*(s_Irr!AP7)),IF(AND(s_Irr!Q7&lt;&gt;".",s_Irr!AP7=".",s_Irr!BO7="."),s_dir!AR7/((1/1000)*(s_Irr!Q7)),IF(AND(s_Irr!Q7=".",s_Irr!AP7=".",s_Irr!BO7="."),s_dir!AR7*1000)))))))),".")</f>
        <v>15724.206062811239</v>
      </c>
      <c r="BS7" s="70">
        <f>IFERROR(IF(AND(s_Irr!R7&lt;&gt;".",s_Irr!AQ7&lt;&gt;".",s_Irr!BP7&lt;&gt;"."),s_dir!AS7/((1/1000)*(s_Irr!R7+s_Irr!AQ7+s_Irr!BP7)),IF(AND(s_Irr!R7&lt;&gt;".",s_Irr!AQ7&lt;&gt;".",s_Irr!BP7="."),s_dir!AS7/((1/1000)*(s_Irr!R7+s_Irr!AQ7)),IF(AND(s_Irr!R7&lt;&gt;".",s_Irr!AQ7=".",s_Irr!BP7&lt;&gt;"."),s_dir!AS7/((1/1000)*(s_Irr!R7+s_Irr!BP7)),IF(AND(s_Irr!R7=".",s_Irr!AQ7&lt;&gt;".",s_Irr!BP7&lt;&gt;"."),s_dir!AS7/((1/1000)*(s_Irr!AQ7+s_Irr!BP7)),IF(AND(s_Irr!R7=".",s_Irr!AQ7=".",s_Irr!BP7&lt;&gt;"."),s_dir!AS7/((1/1000)*(s_Irr!BP7)),IF(AND(s_Irr!R7=".",s_Irr!AQ7&lt;&gt;".",s_Irr!BP7="."),s_dir!AS7/((1/1000)*(s_Irr!AQ7)),IF(AND(s_Irr!R7&lt;&gt;".",s_Irr!AQ7=".",s_Irr!BP7="."),s_dir!AS7/((1/1000)*(s_Irr!R7)),IF(AND(s_Irr!R7=".",s_Irr!AQ7=".",s_Irr!BP7="."),s_dir!AS7*1000)))))))),".")</f>
        <v>15724.206062811239</v>
      </c>
      <c r="BT7" s="70">
        <f>IFERROR(IF(AND(s_Irr!S7&lt;&gt;".",s_Irr!AR7&lt;&gt;".",s_Irr!BQ7&lt;&gt;"."),s_dir!AT7/((1/1000)*(s_Irr!S7+s_Irr!AR7+s_Irr!BQ7)),IF(AND(s_Irr!S7&lt;&gt;".",s_Irr!AR7&lt;&gt;".",s_Irr!BQ7="."),s_dir!AT7/((1/1000)*(s_Irr!S7+s_Irr!AR7)),IF(AND(s_Irr!S7&lt;&gt;".",s_Irr!AR7=".",s_Irr!BQ7&lt;&gt;"."),s_dir!AT7/((1/1000)*(s_Irr!S7+s_Irr!BQ7)),IF(AND(s_Irr!S7=".",s_Irr!AR7&lt;&gt;".",s_Irr!BQ7&lt;&gt;"."),s_dir!AT7/((1/1000)*(s_Irr!AR7+s_Irr!BQ7)),IF(AND(s_Irr!S7=".",s_Irr!AR7=".",s_Irr!BQ7&lt;&gt;"."),s_dir!AT7/((1/1000)*(s_Irr!BQ7)),IF(AND(s_Irr!S7=".",s_Irr!AR7&lt;&gt;".",s_Irr!BQ7="."),s_dir!AT7/((1/1000)*(s_Irr!AR7)),IF(AND(s_Irr!S7&lt;&gt;".",s_Irr!AR7=".",s_Irr!BQ7="."),s_dir!AT7/((1/1000)*(s_Irr!S7)),IF(AND(s_Irr!S7=".",s_Irr!AR7=".",s_Irr!BQ7="."),s_dir!AT7*1000)))))))),".")</f>
        <v>15724.206062811239</v>
      </c>
      <c r="BU7" s="70">
        <f>IFERROR(IF(AND(s_Irr!T7&lt;&gt;".",s_Irr!AS7&lt;&gt;".",s_Irr!BR7&lt;&gt;"."),s_dir!AU7/((1/1000)*(s_Irr!T7+s_Irr!AS7+s_Irr!BR7)),IF(AND(s_Irr!T7&lt;&gt;".",s_Irr!AS7&lt;&gt;".",s_Irr!BR7="."),s_dir!AU7/((1/1000)*(s_Irr!T7+s_Irr!AS7)),IF(AND(s_Irr!T7&lt;&gt;".",s_Irr!AS7=".",s_Irr!BR7&lt;&gt;"."),s_dir!AU7/((1/1000)*(s_Irr!T7+s_Irr!BR7)),IF(AND(s_Irr!T7=".",s_Irr!AS7&lt;&gt;".",s_Irr!BR7&lt;&gt;"."),s_dir!AU7/((1/1000)*(s_Irr!AS7+s_Irr!BR7)),IF(AND(s_Irr!T7=".",s_Irr!AS7=".",s_Irr!BR7&lt;&gt;"."),s_dir!AU7/((1/1000)*(s_Irr!BR7)),IF(AND(s_Irr!T7=".",s_Irr!AS7&lt;&gt;".",s_Irr!BR7="."),s_dir!AU7/((1/1000)*(s_Irr!AS7)),IF(AND(s_Irr!T7&lt;&gt;".",s_Irr!AS7=".",s_Irr!BR7="."),s_dir!AU7/((1/1000)*(s_Irr!T7)),IF(AND(s_Irr!T7=".",s_Irr!AS7=".",s_Irr!BR7="."),s_dir!AU7*1000)))))))),".")</f>
        <v>15724.206062811239</v>
      </c>
      <c r="BV7" s="70">
        <f>IFERROR(IF(AND(s_Irr!U7&lt;&gt;".",s_Irr!AT7&lt;&gt;".",s_Irr!BS7&lt;&gt;"."),s_dir!AV7/((1/1000)*(s_Irr!U7+s_Irr!AT7+s_Irr!BS7)),IF(AND(s_Irr!U7&lt;&gt;".",s_Irr!AT7&lt;&gt;".",s_Irr!BS7="."),s_dir!AV7/((1/1000)*(s_Irr!U7+s_Irr!AT7)),IF(AND(s_Irr!U7&lt;&gt;".",s_Irr!AT7=".",s_Irr!BS7&lt;&gt;"."),s_dir!AV7/((1/1000)*(s_Irr!U7+s_Irr!BS7)),IF(AND(s_Irr!U7=".",s_Irr!AT7&lt;&gt;".",s_Irr!BS7&lt;&gt;"."),s_dir!AV7/((1/1000)*(s_Irr!AT7+s_Irr!BS7)),IF(AND(s_Irr!U7=".",s_Irr!AT7=".",s_Irr!BS7&lt;&gt;"."),s_dir!AV7/((1/1000)*(s_Irr!BS7)),IF(AND(s_Irr!U7=".",s_Irr!AT7&lt;&gt;".",s_Irr!BS7="."),s_dir!AV7/((1/1000)*(s_Irr!AT7)),IF(AND(s_Irr!U7&lt;&gt;".",s_Irr!AT7=".",s_Irr!BS7="."),s_dir!AV7/((1/1000)*(s_Irr!U7)),IF(AND(s_Irr!U7=".",s_Irr!AT7=".",s_Irr!BS7="."),s_dir!AV7*1000)))))))),".")</f>
        <v>15724.206062811239</v>
      </c>
      <c r="BW7" s="70">
        <f>IFERROR(IF(AND(s_Irr!V7&lt;&gt;".",s_Irr!AU7&lt;&gt;".",s_Irr!BT7&lt;&gt;"."),s_dir!AW7/((1/1000)*(s_Irr!V7+s_Irr!AU7+s_Irr!BT7)),IF(AND(s_Irr!V7&lt;&gt;".",s_Irr!AU7&lt;&gt;".",s_Irr!BT7="."),s_dir!AW7/((1/1000)*(s_Irr!V7+s_Irr!AU7)),IF(AND(s_Irr!V7&lt;&gt;".",s_Irr!AU7=".",s_Irr!BT7&lt;&gt;"."),s_dir!AW7/((1/1000)*(s_Irr!V7+s_Irr!BT7)),IF(AND(s_Irr!V7=".",s_Irr!AU7&lt;&gt;".",s_Irr!BT7&lt;&gt;"."),s_dir!AW7/((1/1000)*(s_Irr!AU7+s_Irr!BT7)),IF(AND(s_Irr!V7=".",s_Irr!AU7=".",s_Irr!BT7&lt;&gt;"."),s_dir!AW7/((1/1000)*(s_Irr!BT7)),IF(AND(s_Irr!V7=".",s_Irr!AU7&lt;&gt;".",s_Irr!BT7="."),s_dir!AW7/((1/1000)*(s_Irr!AU7)),IF(AND(s_Irr!V7&lt;&gt;".",s_Irr!AU7=".",s_Irr!BT7="."),s_dir!AW7/((1/1000)*(s_Irr!V7)),IF(AND(s_Irr!V7=".",s_Irr!AU7=".",s_Irr!BT7="."),s_dir!AW7*1000)))))))),".")</f>
        <v>15724.206062811239</v>
      </c>
      <c r="BX7" s="70">
        <f>IFERROR(IF(AND(s_Irr!W7&lt;&gt;".",s_Irr!AV7&lt;&gt;".",s_Irr!BU7&lt;&gt;"."),s_dir!AX7/((1/1000)*(s_Irr!W7+s_Irr!AV7+s_Irr!BU7)),IF(AND(s_Irr!W7&lt;&gt;".",s_Irr!AV7&lt;&gt;".",s_Irr!BU7="."),s_dir!AX7/((1/1000)*(s_Irr!W7+s_Irr!AV7)),IF(AND(s_Irr!W7&lt;&gt;".",s_Irr!AV7=".",s_Irr!BU7&lt;&gt;"."),s_dir!AX7/((1/1000)*(s_Irr!W7+s_Irr!BU7)),IF(AND(s_Irr!W7=".",s_Irr!AV7&lt;&gt;".",s_Irr!BU7&lt;&gt;"."),s_dir!AX7/((1/1000)*(s_Irr!AV7+s_Irr!BU7)),IF(AND(s_Irr!W7=".",s_Irr!AV7=".",s_Irr!BU7&lt;&gt;"."),s_dir!AX7/((1/1000)*(s_Irr!BU7)),IF(AND(s_Irr!W7=".",s_Irr!AV7&lt;&gt;".",s_Irr!BU7="."),s_dir!AX7/((1/1000)*(s_Irr!AV7)),IF(AND(s_Irr!W7&lt;&gt;".",s_Irr!AV7=".",s_Irr!BU7="."),s_dir!AX7/((1/1000)*(s_Irr!W7)),IF(AND(s_Irr!W7=".",s_Irr!AV7=".",s_Irr!BU7="."),s_dir!AX7*1000)))))))),".")</f>
        <v>15724.206062811239</v>
      </c>
      <c r="BY7" s="70">
        <f>IFERROR(IF(AND(s_Irr!X7&lt;&gt;".",s_Irr!AW7&lt;&gt;".",s_Irr!BV7&lt;&gt;"."),s_dir!AY7/((1/1000)*(s_Irr!X7+s_Irr!AW7+s_Irr!BV7)),IF(AND(s_Irr!X7&lt;&gt;".",s_Irr!AW7&lt;&gt;".",s_Irr!BV7="."),s_dir!AY7/((1/1000)*(s_Irr!X7+s_Irr!AW7)),IF(AND(s_Irr!X7&lt;&gt;".",s_Irr!AW7=".",s_Irr!BV7&lt;&gt;"."),s_dir!AY7/((1/1000)*(s_Irr!X7+s_Irr!BV7)),IF(AND(s_Irr!X7=".",s_Irr!AW7&lt;&gt;".",s_Irr!BV7&lt;&gt;"."),s_dir!AY7/((1/1000)*(s_Irr!AW7+s_Irr!BV7)),IF(AND(s_Irr!X7=".",s_Irr!AW7=".",s_Irr!BV7&lt;&gt;"."),s_dir!AY7/((1/1000)*(s_Irr!BV7)),IF(AND(s_Irr!X7=".",s_Irr!AW7&lt;&gt;".",s_Irr!BV7="."),s_dir!AY7/((1/1000)*(s_Irr!AW7)),IF(AND(s_Irr!X7&lt;&gt;".",s_Irr!AW7=".",s_Irr!BV7="."),s_dir!AY7/((1/1000)*(s_Irr!X7)),IF(AND(s_Irr!X7=".",s_Irr!AW7=".",s_Irr!BV7="."),s_dir!AY7*1000)))))))),".")</f>
        <v>15724.206062811239</v>
      </c>
      <c r="BZ7" s="70">
        <f>IFERROR(IF(AND(s_Irr!Y7&lt;&gt;".",s_Irr!AX7&lt;&gt;".",s_Irr!BW7&lt;&gt;"."),s_dir!AZ7/((1/1000)*(s_Irr!Y7+s_Irr!AX7+s_Irr!BW7)),IF(AND(s_Irr!Y7&lt;&gt;".",s_Irr!AX7&lt;&gt;".",s_Irr!BW7="."),s_dir!AZ7/((1/1000)*(s_Irr!Y7+s_Irr!AX7)),IF(AND(s_Irr!Y7&lt;&gt;".",s_Irr!AX7=".",s_Irr!BW7&lt;&gt;"."),s_dir!AZ7/((1/1000)*(s_Irr!Y7+s_Irr!BW7)),IF(AND(s_Irr!Y7=".",s_Irr!AX7&lt;&gt;".",s_Irr!BW7&lt;&gt;"."),s_dir!AZ7/((1/1000)*(s_Irr!AX7+s_Irr!BW7)),IF(AND(s_Irr!Y7=".",s_Irr!AX7=".",s_Irr!BW7&lt;&gt;"."),s_dir!AZ7/((1/1000)*(s_Irr!BW7)),IF(AND(s_Irr!Y7=".",s_Irr!AX7&lt;&gt;".",s_Irr!BW7="."),s_dir!AZ7/((1/1000)*(s_Irr!AX7)),IF(AND(s_Irr!Y7&lt;&gt;".",s_Irr!AX7=".",s_Irr!BW7="."),s_dir!AZ7/((1/1000)*(s_Irr!Y7)),IF(AND(s_Irr!Y7=".",s_Irr!AX7=".",s_Irr!BW7="."),s_dir!AZ7*1000)))))))),".")</f>
        <v>15724.206062811239</v>
      </c>
      <c r="CA7" s="70">
        <f>IFERROR(IF(AND(s_Irr!Z7&lt;&gt;".",s_Irr!AY7&lt;&gt;".",s_Irr!BX7&lt;&gt;"."),s_dir!BA7/((1/1000)*(s_Irr!Z7+s_Irr!AY7+s_Irr!BX7)),IF(AND(s_Irr!Z7&lt;&gt;".",s_Irr!AY7&lt;&gt;".",s_Irr!BX7="."),s_dir!BA7/((1/1000)*(s_Irr!Z7+s_Irr!AY7)),IF(AND(s_Irr!Z7&lt;&gt;".",s_Irr!AY7=".",s_Irr!BX7&lt;&gt;"."),s_dir!BA7/((1/1000)*(s_Irr!Z7+s_Irr!BX7)),IF(AND(s_Irr!Z7=".",s_Irr!AY7&lt;&gt;".",s_Irr!BX7&lt;&gt;"."),s_dir!BA7/((1/1000)*(s_Irr!AY7+s_Irr!BX7)),IF(AND(s_Irr!Z7=".",s_Irr!AY7=".",s_Irr!BX7&lt;&gt;"."),s_dir!BA7/((1/1000)*(s_Irr!BX7)),IF(AND(s_Irr!Z7=".",s_Irr!AY7&lt;&gt;".",s_Irr!BX7="."),s_dir!BA7/((1/1000)*(s_Irr!AY7)),IF(AND(s_Irr!Z7&lt;&gt;".",s_Irr!AY7=".",s_Irr!BX7="."),s_dir!BA7/((1/1000)*(s_Irr!Z7)),IF(AND(s_Irr!Z7=".",s_Irr!AY7=".",s_Irr!BX7="."),s_dir!BA7*1000)))))))),".")</f>
        <v>15724.206062811239</v>
      </c>
      <c r="CB7" s="70">
        <f>IFERROR(IF(AND(s_Irr!AA7&lt;&gt;".",s_Irr!AZ7&lt;&gt;".",s_Irr!BY7&lt;&gt;"."),s_dir!BB7/((1/1000)*(s_Irr!AA7+s_Irr!AZ7+s_Irr!BY7)),IF(AND(s_Irr!AA7&lt;&gt;".",s_Irr!AZ7&lt;&gt;".",s_Irr!BY7="."),s_dir!BB7/((1/1000)*(s_Irr!AA7+s_Irr!AZ7)),IF(AND(s_Irr!AA7&lt;&gt;".",s_Irr!AZ7=".",s_Irr!BY7&lt;&gt;"."),s_dir!BB7/((1/1000)*(s_Irr!AA7+s_Irr!BY7)),IF(AND(s_Irr!AA7=".",s_Irr!AZ7&lt;&gt;".",s_Irr!BY7&lt;&gt;"."),s_dir!BB7/((1/1000)*(s_Irr!AZ7+s_Irr!BY7)),IF(AND(s_Irr!AA7=".",s_Irr!AZ7=".",s_Irr!BY7&lt;&gt;"."),s_dir!BB7/((1/1000)*(s_Irr!BY7)),IF(AND(s_Irr!AA7=".",s_Irr!AZ7&lt;&gt;".",s_Irr!BY7="."),s_dir!BB7/((1/1000)*(s_Irr!AZ7)),IF(AND(s_Irr!AA7&lt;&gt;".",s_Irr!AZ7=".",s_Irr!BY7="."),s_dir!BB7/((1/1000)*(s_Irr!AA7)),IF(AND(s_Irr!AA7=".",s_Irr!AZ7=".",s_Irr!BY7="."),s_dir!BB7*1000)))))))),".")</f>
        <v>15724.206062811239</v>
      </c>
      <c r="CC7" s="87">
        <f t="shared" si="2"/>
        <v>954.89813317357221</v>
      </c>
      <c r="CD7" s="87">
        <f>IFERROR(s_C*s_IFAP_far_adj*s_CF_apple*(1/1000)*(s_Irr!C7+s_Irr!AB7+s_Irr!BA7),".")</f>
        <v>238.72453329339305</v>
      </c>
      <c r="CE7" s="87">
        <f>IFERROR(s_C*s_IFAS_far_adj*s_CF_asparagus*(1/1000)*(s_Irr!D7+s_Irr!AC7+s_Irr!BB7),".")</f>
        <v>238.72453329339305</v>
      </c>
      <c r="CF7" s="87">
        <f>IFERROR(s_C*s_IFBT_far_adj*s_CF_beet*(1/1000)*(s_Irr!E7+s_Irr!AD7+s_Irr!BC7),".")</f>
        <v>238.72453329339305</v>
      </c>
      <c r="CG7" s="87">
        <f>IFERROR(s_C*s_IFBE_far_adj*s_CF_berries*(1/1000)*(s_Irr!F7+s_Irr!AE7+s_Irr!BD7),".")</f>
        <v>238.72453329339305</v>
      </c>
      <c r="CH7" s="87">
        <f>IFERROR(s_C*s_IFBR_far_adj*s_CF_broccoli*(1/1000)*(s_Irr!G7+s_Irr!AF7+s_Irr!BE7),".")</f>
        <v>238.72453329339305</v>
      </c>
      <c r="CI7" s="87">
        <f>IFERROR(s_C*s_IFCB_far_adj*s_CF_cabbage*(1/1000)*(s_Irr!H7+s_Irr!AG7+s_Irr!BF7),".")</f>
        <v>238.72453329339305</v>
      </c>
      <c r="CJ7" s="87">
        <f>IFERROR(s_C*s_IFCR_far_adj*s_CF_carrot*(1/1000)*(s_Irr!I7+s_Irr!AH7+s_Irr!BG7),".")</f>
        <v>238.72453329339305</v>
      </c>
      <c r="CK7" s="87">
        <f>IFERROR(s_C*s_IFCI_far_adj*s_CF_citrus*(1/1000)*(s_Irr!J7+s_Irr!AI7+s_Irr!BH7),".")</f>
        <v>238.72453329339305</v>
      </c>
      <c r="CL7" s="87">
        <f>IFERROR(s_C*s_IFCO_far_adj*s_CF_corn*(1/1000)*(s_Irr!K7+s_Irr!AJ7+s_Irr!BI7),".")</f>
        <v>238.72453329339305</v>
      </c>
      <c r="CM7" s="87">
        <f>IFERROR(s_C*s_IFCU_far_adj*s_CF_cucumber*(1/1000)*(s_Irr!L7+s_Irr!AK7+s_Irr!BJ7),".")</f>
        <v>238.72453329339305</v>
      </c>
      <c r="CN7" s="87">
        <f>IFERROR(s_C*s_IFLE_far_adj*s_CF_lettuce*(1/1000)*(s_Irr!M7+s_Irr!AL7+s_Irr!BK7),".")</f>
        <v>238.72453329339305</v>
      </c>
      <c r="CO7" s="87">
        <f>IFERROR(s_C*s_IFLI_far_adj*s_CF_lima_bean*(1/1000)*(s_Irr!N7+s_Irr!AM7+s_Irr!BL7),".")</f>
        <v>238.72453329339305</v>
      </c>
      <c r="CP7" s="87">
        <f>IFERROR(s_C*s_IFOK_far_adj*s_CF_okra*(1/1000)*(s_Irr!O7+s_Irr!AN7+s_Irr!BM7),".")</f>
        <v>238.72453329339305</v>
      </c>
      <c r="CQ7" s="87">
        <f>IFERROR(s_C*s_IFON_far_adj*s_CF_onion*(1/1000)*(s_Irr!P7+s_Irr!AO7+s_Irr!BN7),".")</f>
        <v>238.72453329339305</v>
      </c>
      <c r="CR7" s="87">
        <f>IFERROR(s_C*s_IFPC_far_adj*s_CF_peach*(1/1000)*(s_Irr!Q7+s_Irr!AP7+s_Irr!BO7),".")</f>
        <v>238.72453329339305</v>
      </c>
      <c r="CS7" s="87">
        <f>IFERROR(s_C*s_IFPR_far_adj*s_CF_pear*(1/1000)*(s_Irr!R7+s_Irr!AQ7+s_Irr!BP7),".")</f>
        <v>238.72453329339305</v>
      </c>
      <c r="CT7" s="87">
        <f>IFERROR(s_C*s_IFPE_far_adj*s_CF_peas*(1/1000)*(s_Irr!S7+s_Irr!AR7+s_Irr!BQ7),".")</f>
        <v>238.72453329339305</v>
      </c>
      <c r="CU7" s="87">
        <f>IFERROR(s_C*s_IFPP_far_adj*s_CF_peppers*(1/1000)*(s_Irr!T7+s_Irr!AS7+s_Irr!BR7),".")</f>
        <v>238.72453329339305</v>
      </c>
      <c r="CV7" s="87">
        <f>IFERROR(s_C*s_IFPT_far_adj*s_CF_potato*(1/1000)*(s_Irr!U7+s_Irr!AT7+s_Irr!BS7),".")</f>
        <v>238.72453329339305</v>
      </c>
      <c r="CW7" s="87">
        <f>IFERROR(s_C*s_IFPU_far_adj*s_CF_pumpkin*(1/1000)*(s_Irr!V7+s_Irr!AU7+s_Irr!BT7),".")</f>
        <v>238.72453329339305</v>
      </c>
      <c r="CX7" s="87">
        <f>IFERROR(s_C*s_IFSN_far_adj*s_CF_snap_bean*(1/1000)*(s_Irr!W7+s_Irr!AV7+s_Irr!BU7),".")</f>
        <v>238.72453329339305</v>
      </c>
      <c r="CY7" s="87">
        <f>IFERROR(s_C*s_IFST_far_adj*s_CF_strawberry*(1/1000)*(s_Irr!X7+s_Irr!AW7+s_Irr!BV7),".")</f>
        <v>238.72453329339305</v>
      </c>
      <c r="CZ7" s="87">
        <f>IFERROR(s_C*s_IFTO_far_adj*s_CF_tomato*(1/1000)*(s_Irr!Y7+s_Irr!AX7+s_Irr!BW7),".")</f>
        <v>238.72453329339305</v>
      </c>
      <c r="DA7" s="87">
        <f>IFERROR(s_C*s_IFRI_far_adj*s_CF_rice*(1/1000)*(s_Irr!Z7+s_Irr!AY7+s_Irr!BX7),".")</f>
        <v>238.72453329339305</v>
      </c>
      <c r="DB7" s="87">
        <f>IFERROR(s_C*s_IFCG_far_adj*s_CF_cereal*(1/1000)*(s_Irr!AA7+s_Irr!AZ7+s_Irr!BY7),".")</f>
        <v>238.72453329339305</v>
      </c>
    </row>
    <row r="8" spans="1:106" ht="15" customHeight="1" x14ac:dyDescent="0.25">
      <c r="A8" s="86" t="s">
        <v>6</v>
      </c>
      <c r="B8" s="84" t="s">
        <v>1057</v>
      </c>
      <c r="C8" s="15">
        <f t="shared" si="3"/>
        <v>26402.584806959167</v>
      </c>
      <c r="D8" s="70">
        <f>IFERROR(IF(AND(s_Irr!C8&lt;&gt;".",s_Irr!AB8&lt;&gt;".",s_Irr!BA8&lt;&gt;"."),s_dir!D8/((1/1000)*(s_Irr!C8+s_Irr!AB8+s_Irr!BA8)),IF(AND(s_Irr!C8&lt;&gt;".",s_Irr!AB8&lt;&gt;".",s_Irr!BA8="."),s_dir!D8/((1/1000)*(s_Irr!C8+s_Irr!AB8)),IF(AND(s_Irr!C8&lt;&gt;".",s_Irr!AB8=".",s_Irr!BA8&lt;&gt;"."),s_dir!D8/((1/1000)*(s_Irr!C8+s_Irr!BA8)),IF(AND(s_Irr!C8=".",s_Irr!AB8&lt;&gt;".",s_Irr!BA8&lt;&gt;"."),s_dir!D8/((1/1000)*(s_Irr!AB8+s_Irr!BA8)),IF(AND(s_Irr!C8=".",s_Irr!AB8=".",s_Irr!BA8&lt;&gt;"."),s_dir!D8/((1/1000)*(s_Irr!BA8)),IF(AND(s_Irr!C8=".",s_Irr!AB8&lt;&gt;".",s_Irr!BA8="."),s_dir!D8/((1/1000)*(s_Irr!AB8)),IF(AND(s_Irr!C8&lt;&gt;".",s_Irr!AB8=".",s_Irr!BA8="."),s_dir!D8/((1/1000)*(s_Irr!C8)),IF(AND(s_Irr!C8=".",s_Irr!AB8=".",s_Irr!BA8="."),s_dir!D8*1000)))))))),".")</f>
        <v>105610.33922783667</v>
      </c>
      <c r="E8" s="70">
        <f>IFERROR(IF(AND(s_Irr!D8&lt;&gt;".",s_Irr!AC8&lt;&gt;".",s_Irr!BB8&lt;&gt;"."),s_dir!E8/((1/1000)*(s_Irr!D8+s_Irr!AC8+s_Irr!BB8)),IF(AND(s_Irr!D8&lt;&gt;".",s_Irr!AC8&lt;&gt;".",s_Irr!BB8="."),s_dir!E8/((1/1000)*(s_Irr!D8+s_Irr!AC8)),IF(AND(s_Irr!D8&lt;&gt;".",s_Irr!AC8=".",s_Irr!BB8&lt;&gt;"."),s_dir!E8/((1/1000)*(s_Irr!D8+s_Irr!BB8)),IF(AND(s_Irr!D8=".",s_Irr!AC8&lt;&gt;".",s_Irr!BB8&lt;&gt;"."),s_dir!E8/((1/1000)*(s_Irr!AC8+s_Irr!BB8)),IF(AND(s_Irr!D8=".",s_Irr!AC8=".",s_Irr!BB8&lt;&gt;"."),s_dir!E8/((1/1000)*(s_Irr!BB8)),IF(AND(s_Irr!D8=".",s_Irr!AC8&lt;&gt;".",s_Irr!BB8="."),s_dir!E8/((1/1000)*(s_Irr!AC8)),IF(AND(s_Irr!D8&lt;&gt;".",s_Irr!AC8=".",s_Irr!BB8="."),s_dir!E8/((1/1000)*(s_Irr!D8)),IF(AND(s_Irr!D8=".",s_Irr!AC8=".",s_Irr!BB8="."),s_dir!E8*1000)))))))),".")</f>
        <v>105610.33922783667</v>
      </c>
      <c r="F8" s="70">
        <f>IFERROR(IF(AND(s_Irr!E8&lt;&gt;".",s_Irr!AD8&lt;&gt;".",s_Irr!BC8&lt;&gt;"."),s_dir!F8/((1/1000)*(s_Irr!E8+s_Irr!AD8+s_Irr!BC8)),IF(AND(s_Irr!E8&lt;&gt;".",s_Irr!AD8&lt;&gt;".",s_Irr!BC8="."),s_dir!F8/((1/1000)*(s_Irr!E8+s_Irr!AD8)),IF(AND(s_Irr!E8&lt;&gt;".",s_Irr!AD8=".",s_Irr!BC8&lt;&gt;"."),s_dir!F8/((1/1000)*(s_Irr!E8+s_Irr!BC8)),IF(AND(s_Irr!E8=".",s_Irr!AD8&lt;&gt;".",s_Irr!BC8&lt;&gt;"."),s_dir!F8/((1/1000)*(s_Irr!AD8+s_Irr!BC8)),IF(AND(s_Irr!E8=".",s_Irr!AD8=".",s_Irr!BC8&lt;&gt;"."),s_dir!F8/((1/1000)*(s_Irr!BC8)),IF(AND(s_Irr!E8=".",s_Irr!AD8&lt;&gt;".",s_Irr!BC8="."),s_dir!F8/((1/1000)*(s_Irr!AD8)),IF(AND(s_Irr!E8&lt;&gt;".",s_Irr!AD8=".",s_Irr!BC8="."),s_dir!F8/((1/1000)*(s_Irr!E8)),IF(AND(s_Irr!E8=".",s_Irr!AD8=".",s_Irr!BC8="."),s_dir!F8*1000)))))))),".")</f>
        <v>105610.33922783667</v>
      </c>
      <c r="G8" s="70">
        <f>IFERROR(IF(AND(s_Irr!F8&lt;&gt;".",s_Irr!AE8&lt;&gt;".",s_Irr!BD8&lt;&gt;"."),s_dir!G8/((1/1000)*(s_Irr!F8+s_Irr!AE8+s_Irr!BD8)),IF(AND(s_Irr!F8&lt;&gt;".",s_Irr!AE8&lt;&gt;".",s_Irr!BD8="."),s_dir!G8/((1/1000)*(s_Irr!F8+s_Irr!AE8)),IF(AND(s_Irr!F8&lt;&gt;".",s_Irr!AE8=".",s_Irr!BD8&lt;&gt;"."),s_dir!G8/((1/1000)*(s_Irr!F8+s_Irr!BD8)),IF(AND(s_Irr!F8=".",s_Irr!AE8&lt;&gt;".",s_Irr!BD8&lt;&gt;"."),s_dir!G8/((1/1000)*(s_Irr!AE8+s_Irr!BD8)),IF(AND(s_Irr!F8=".",s_Irr!AE8=".",s_Irr!BD8&lt;&gt;"."),s_dir!G8/((1/1000)*(s_Irr!BD8)),IF(AND(s_Irr!F8=".",s_Irr!AE8&lt;&gt;".",s_Irr!BD8="."),s_dir!G8/((1/1000)*(s_Irr!AE8)),IF(AND(s_Irr!F8&lt;&gt;".",s_Irr!AE8=".",s_Irr!BD8="."),s_dir!G8/((1/1000)*(s_Irr!F8)),IF(AND(s_Irr!F8=".",s_Irr!AE8=".",s_Irr!BD8="."),s_dir!G8*1000)))))))),".")</f>
        <v>105610.33922783667</v>
      </c>
      <c r="H8" s="70">
        <f>IFERROR(IF(AND(s_Irr!G8&lt;&gt;".",s_Irr!AF8&lt;&gt;".",s_Irr!BE8&lt;&gt;"."),s_dir!H8/((1/1000)*(s_Irr!G8+s_Irr!AF8+s_Irr!BE8)),IF(AND(s_Irr!G8&lt;&gt;".",s_Irr!AF8&lt;&gt;".",s_Irr!BE8="."),s_dir!H8/((1/1000)*(s_Irr!G8+s_Irr!AF8)),IF(AND(s_Irr!G8&lt;&gt;".",s_Irr!AF8=".",s_Irr!BE8&lt;&gt;"."),s_dir!H8/((1/1000)*(s_Irr!G8+s_Irr!BE8)),IF(AND(s_Irr!G8=".",s_Irr!AF8&lt;&gt;".",s_Irr!BE8&lt;&gt;"."),s_dir!H8/((1/1000)*(s_Irr!AF8+s_Irr!BE8)),IF(AND(s_Irr!G8=".",s_Irr!AF8=".",s_Irr!BE8&lt;&gt;"."),s_dir!H8/((1/1000)*(s_Irr!BE8)),IF(AND(s_Irr!G8=".",s_Irr!AF8&lt;&gt;".",s_Irr!BE8="."),s_dir!H8/((1/1000)*(s_Irr!AF8)),IF(AND(s_Irr!G8&lt;&gt;".",s_Irr!AF8=".",s_Irr!BE8="."),s_dir!H8/((1/1000)*(s_Irr!G8)),IF(AND(s_Irr!G8=".",s_Irr!AF8=".",s_Irr!BE8="."),s_dir!H8*1000)))))))),".")</f>
        <v>105610.33922783667</v>
      </c>
      <c r="I8" s="70">
        <f>IFERROR(IF(AND(s_Irr!H8&lt;&gt;".",s_Irr!AG8&lt;&gt;".",s_Irr!BF8&lt;&gt;"."),s_dir!I8/((1/1000)*(s_Irr!H8+s_Irr!AG8+s_Irr!BF8)),IF(AND(s_Irr!H8&lt;&gt;".",s_Irr!AG8&lt;&gt;".",s_Irr!BF8="."),s_dir!I8/((1/1000)*(s_Irr!H8+s_Irr!AG8)),IF(AND(s_Irr!H8&lt;&gt;".",s_Irr!AG8=".",s_Irr!BF8&lt;&gt;"."),s_dir!I8/((1/1000)*(s_Irr!H8+s_Irr!BF8)),IF(AND(s_Irr!H8=".",s_Irr!AG8&lt;&gt;".",s_Irr!BF8&lt;&gt;"."),s_dir!I8/((1/1000)*(s_Irr!AG8+s_Irr!BF8)),IF(AND(s_Irr!H8=".",s_Irr!AG8=".",s_Irr!BF8&lt;&gt;"."),s_dir!I8/((1/1000)*(s_Irr!BF8)),IF(AND(s_Irr!H8=".",s_Irr!AG8&lt;&gt;".",s_Irr!BF8="."),s_dir!I8/((1/1000)*(s_Irr!AG8)),IF(AND(s_Irr!H8&lt;&gt;".",s_Irr!AG8=".",s_Irr!BF8="."),s_dir!I8/((1/1000)*(s_Irr!H8)),IF(AND(s_Irr!H8=".",s_Irr!AG8=".",s_Irr!BF8="."),s_dir!I8*1000)))))))),".")</f>
        <v>105610.33922783667</v>
      </c>
      <c r="J8" s="70">
        <f>IFERROR(IF(AND(s_Irr!I8&lt;&gt;".",s_Irr!AH8&lt;&gt;".",s_Irr!BG8&lt;&gt;"."),s_dir!J8/((1/1000)*(s_Irr!I8+s_Irr!AH8+s_Irr!BG8)),IF(AND(s_Irr!I8&lt;&gt;".",s_Irr!AH8&lt;&gt;".",s_Irr!BG8="."),s_dir!J8/((1/1000)*(s_Irr!I8+s_Irr!AH8)),IF(AND(s_Irr!I8&lt;&gt;".",s_Irr!AH8=".",s_Irr!BG8&lt;&gt;"."),s_dir!J8/((1/1000)*(s_Irr!I8+s_Irr!BG8)),IF(AND(s_Irr!I8=".",s_Irr!AH8&lt;&gt;".",s_Irr!BG8&lt;&gt;"."),s_dir!J8/((1/1000)*(s_Irr!AH8+s_Irr!BG8)),IF(AND(s_Irr!I8=".",s_Irr!AH8=".",s_Irr!BG8&lt;&gt;"."),s_dir!J8/((1/1000)*(s_Irr!BG8)),IF(AND(s_Irr!I8=".",s_Irr!AH8&lt;&gt;".",s_Irr!BG8="."),s_dir!J8/((1/1000)*(s_Irr!AH8)),IF(AND(s_Irr!I8&lt;&gt;".",s_Irr!AH8=".",s_Irr!BG8="."),s_dir!J8/((1/1000)*(s_Irr!I8)),IF(AND(s_Irr!I8=".",s_Irr!AH8=".",s_Irr!BG8="."),s_dir!J8*1000)))))))),".")</f>
        <v>105610.33922783667</v>
      </c>
      <c r="K8" s="70">
        <f>IFERROR(IF(AND(s_Irr!J8&lt;&gt;".",s_Irr!AI8&lt;&gt;".",s_Irr!BH8&lt;&gt;"."),s_dir!K8/((1/1000)*(s_Irr!J8+s_Irr!AI8+s_Irr!BH8)),IF(AND(s_Irr!J8&lt;&gt;".",s_Irr!AI8&lt;&gt;".",s_Irr!BH8="."),s_dir!K8/((1/1000)*(s_Irr!J8+s_Irr!AI8)),IF(AND(s_Irr!J8&lt;&gt;".",s_Irr!AI8=".",s_Irr!BH8&lt;&gt;"."),s_dir!K8/((1/1000)*(s_Irr!J8+s_Irr!BH8)),IF(AND(s_Irr!J8=".",s_Irr!AI8&lt;&gt;".",s_Irr!BH8&lt;&gt;"."),s_dir!K8/((1/1000)*(s_Irr!AI8+s_Irr!BH8)),IF(AND(s_Irr!J8=".",s_Irr!AI8=".",s_Irr!BH8&lt;&gt;"."),s_dir!K8/((1/1000)*(s_Irr!BH8)),IF(AND(s_Irr!J8=".",s_Irr!AI8&lt;&gt;".",s_Irr!BH8="."),s_dir!K8/((1/1000)*(s_Irr!AI8)),IF(AND(s_Irr!J8&lt;&gt;".",s_Irr!AI8=".",s_Irr!BH8="."),s_dir!K8/((1/1000)*(s_Irr!J8)),IF(AND(s_Irr!J8=".",s_Irr!AI8=".",s_Irr!BH8="."),s_dir!K8*1000)))))))),".")</f>
        <v>105610.33922783667</v>
      </c>
      <c r="L8" s="70">
        <f>IFERROR(IF(AND(s_Irr!K8&lt;&gt;".",s_Irr!AJ8&lt;&gt;".",s_Irr!BI8&lt;&gt;"."),s_dir!L8/((1/1000)*(s_Irr!K8+s_Irr!AJ8+s_Irr!BI8)),IF(AND(s_Irr!K8&lt;&gt;".",s_Irr!AJ8&lt;&gt;".",s_Irr!BI8="."),s_dir!L8/((1/1000)*(s_Irr!K8+s_Irr!AJ8)),IF(AND(s_Irr!K8&lt;&gt;".",s_Irr!AJ8=".",s_Irr!BI8&lt;&gt;"."),s_dir!L8/((1/1000)*(s_Irr!K8+s_Irr!BI8)),IF(AND(s_Irr!K8=".",s_Irr!AJ8&lt;&gt;".",s_Irr!BI8&lt;&gt;"."),s_dir!L8/((1/1000)*(s_Irr!AJ8+s_Irr!BI8)),IF(AND(s_Irr!K8=".",s_Irr!AJ8=".",s_Irr!BI8&lt;&gt;"."),s_dir!L8/((1/1000)*(s_Irr!BI8)),IF(AND(s_Irr!K8=".",s_Irr!AJ8&lt;&gt;".",s_Irr!BI8="."),s_dir!L8/((1/1000)*(s_Irr!AJ8)),IF(AND(s_Irr!K8&lt;&gt;".",s_Irr!AJ8=".",s_Irr!BI8="."),s_dir!L8/((1/1000)*(s_Irr!K8)),IF(AND(s_Irr!K8=".",s_Irr!AJ8=".",s_Irr!BI8="."),s_dir!L8*1000)))))))),".")</f>
        <v>105610.33922783667</v>
      </c>
      <c r="M8" s="70">
        <f>IFERROR(IF(AND(s_Irr!L8&lt;&gt;".",s_Irr!AK8&lt;&gt;".",s_Irr!BJ8&lt;&gt;"."),s_dir!M8/((1/1000)*(s_Irr!L8+s_Irr!AK8+s_Irr!BJ8)),IF(AND(s_Irr!L8&lt;&gt;".",s_Irr!AK8&lt;&gt;".",s_Irr!BJ8="."),s_dir!M8/((1/1000)*(s_Irr!L8+s_Irr!AK8)),IF(AND(s_Irr!L8&lt;&gt;".",s_Irr!AK8=".",s_Irr!BJ8&lt;&gt;"."),s_dir!M8/((1/1000)*(s_Irr!L8+s_Irr!BJ8)),IF(AND(s_Irr!L8=".",s_Irr!AK8&lt;&gt;".",s_Irr!BJ8&lt;&gt;"."),s_dir!M8/((1/1000)*(s_Irr!AK8+s_Irr!BJ8)),IF(AND(s_Irr!L8=".",s_Irr!AK8=".",s_Irr!BJ8&lt;&gt;"."),s_dir!M8/((1/1000)*(s_Irr!BJ8)),IF(AND(s_Irr!L8=".",s_Irr!AK8&lt;&gt;".",s_Irr!BJ8="."),s_dir!M8/((1/1000)*(s_Irr!AK8)),IF(AND(s_Irr!L8&lt;&gt;".",s_Irr!AK8=".",s_Irr!BJ8="."),s_dir!M8/((1/1000)*(s_Irr!L8)),IF(AND(s_Irr!L8=".",s_Irr!AK8=".",s_Irr!BJ8="."),s_dir!M8*1000)))))))),".")</f>
        <v>105610.33922783667</v>
      </c>
      <c r="N8" s="70">
        <f>IFERROR(IF(AND(s_Irr!M8&lt;&gt;".",s_Irr!AL8&lt;&gt;".",s_Irr!BK8&lt;&gt;"."),s_dir!N8/((1/1000)*(s_Irr!M8+s_Irr!AL8+s_Irr!BK8)),IF(AND(s_Irr!M8&lt;&gt;".",s_Irr!AL8&lt;&gt;".",s_Irr!BK8="."),s_dir!N8/((1/1000)*(s_Irr!M8+s_Irr!AL8)),IF(AND(s_Irr!M8&lt;&gt;".",s_Irr!AL8=".",s_Irr!BK8&lt;&gt;"."),s_dir!N8/((1/1000)*(s_Irr!M8+s_Irr!BK8)),IF(AND(s_Irr!M8=".",s_Irr!AL8&lt;&gt;".",s_Irr!BK8&lt;&gt;"."),s_dir!N8/((1/1000)*(s_Irr!AL8+s_Irr!BK8)),IF(AND(s_Irr!M8=".",s_Irr!AL8=".",s_Irr!BK8&lt;&gt;"."),s_dir!N8/((1/1000)*(s_Irr!BK8)),IF(AND(s_Irr!M8=".",s_Irr!AL8&lt;&gt;".",s_Irr!BK8="."),s_dir!N8/((1/1000)*(s_Irr!AL8)),IF(AND(s_Irr!M8&lt;&gt;".",s_Irr!AL8=".",s_Irr!BK8="."),s_dir!N8/((1/1000)*(s_Irr!M8)),IF(AND(s_Irr!M8=".",s_Irr!AL8=".",s_Irr!BK8="."),s_dir!N8*1000)))))))),".")</f>
        <v>105610.33922783667</v>
      </c>
      <c r="O8" s="70">
        <f>IFERROR(IF(AND(s_Irr!N8&lt;&gt;".",s_Irr!AM8&lt;&gt;".",s_Irr!BL8&lt;&gt;"."),s_dir!O8/((1/1000)*(s_Irr!N8+s_Irr!AM8+s_Irr!BL8)),IF(AND(s_Irr!N8&lt;&gt;".",s_Irr!AM8&lt;&gt;".",s_Irr!BL8="."),s_dir!O8/((1/1000)*(s_Irr!N8+s_Irr!AM8)),IF(AND(s_Irr!N8&lt;&gt;".",s_Irr!AM8=".",s_Irr!BL8&lt;&gt;"."),s_dir!O8/((1/1000)*(s_Irr!N8+s_Irr!BL8)),IF(AND(s_Irr!N8=".",s_Irr!AM8&lt;&gt;".",s_Irr!BL8&lt;&gt;"."),s_dir!O8/((1/1000)*(s_Irr!AM8+s_Irr!BL8)),IF(AND(s_Irr!N8=".",s_Irr!AM8=".",s_Irr!BL8&lt;&gt;"."),s_dir!O8/((1/1000)*(s_Irr!BL8)),IF(AND(s_Irr!N8=".",s_Irr!AM8&lt;&gt;".",s_Irr!BL8="."),s_dir!O8/((1/1000)*(s_Irr!AM8)),IF(AND(s_Irr!N8&lt;&gt;".",s_Irr!AM8=".",s_Irr!BL8="."),s_dir!O8/((1/1000)*(s_Irr!N8)),IF(AND(s_Irr!N8=".",s_Irr!AM8=".",s_Irr!BL8="."),s_dir!O8*1000)))))))),".")</f>
        <v>105610.33922783667</v>
      </c>
      <c r="P8" s="70">
        <f>IFERROR(IF(AND(s_Irr!O8&lt;&gt;".",s_Irr!AN8&lt;&gt;".",s_Irr!BM8&lt;&gt;"."),s_dir!P8/((1/1000)*(s_Irr!O8+s_Irr!AN8+s_Irr!BM8)),IF(AND(s_Irr!O8&lt;&gt;".",s_Irr!AN8&lt;&gt;".",s_Irr!BM8="."),s_dir!P8/((1/1000)*(s_Irr!O8+s_Irr!AN8)),IF(AND(s_Irr!O8&lt;&gt;".",s_Irr!AN8=".",s_Irr!BM8&lt;&gt;"."),s_dir!P8/((1/1000)*(s_Irr!O8+s_Irr!BM8)),IF(AND(s_Irr!O8=".",s_Irr!AN8&lt;&gt;".",s_Irr!BM8&lt;&gt;"."),s_dir!P8/((1/1000)*(s_Irr!AN8+s_Irr!BM8)),IF(AND(s_Irr!O8=".",s_Irr!AN8=".",s_Irr!BM8&lt;&gt;"."),s_dir!P8/((1/1000)*(s_Irr!BM8)),IF(AND(s_Irr!O8=".",s_Irr!AN8&lt;&gt;".",s_Irr!BM8="."),s_dir!P8/((1/1000)*(s_Irr!AN8)),IF(AND(s_Irr!O8&lt;&gt;".",s_Irr!AN8=".",s_Irr!BM8="."),s_dir!P8/((1/1000)*(s_Irr!O8)),IF(AND(s_Irr!O8=".",s_Irr!AN8=".",s_Irr!BM8="."),s_dir!P8*1000)))))))),".")</f>
        <v>105610.33922783667</v>
      </c>
      <c r="Q8" s="70">
        <f>IFERROR(IF(AND(s_Irr!P8&lt;&gt;".",s_Irr!AO8&lt;&gt;".",s_Irr!BN8&lt;&gt;"."),s_dir!Q8/((1/1000)*(s_Irr!P8+s_Irr!AO8+s_Irr!BN8)),IF(AND(s_Irr!P8&lt;&gt;".",s_Irr!AO8&lt;&gt;".",s_Irr!BN8="."),s_dir!Q8/((1/1000)*(s_Irr!P8+s_Irr!AO8)),IF(AND(s_Irr!P8&lt;&gt;".",s_Irr!AO8=".",s_Irr!BN8&lt;&gt;"."),s_dir!Q8/((1/1000)*(s_Irr!P8+s_Irr!BN8)),IF(AND(s_Irr!P8=".",s_Irr!AO8&lt;&gt;".",s_Irr!BN8&lt;&gt;"."),s_dir!Q8/((1/1000)*(s_Irr!AO8+s_Irr!BN8)),IF(AND(s_Irr!P8=".",s_Irr!AO8=".",s_Irr!BN8&lt;&gt;"."),s_dir!Q8/((1/1000)*(s_Irr!BN8)),IF(AND(s_Irr!P8=".",s_Irr!AO8&lt;&gt;".",s_Irr!BN8="."),s_dir!Q8/((1/1000)*(s_Irr!AO8)),IF(AND(s_Irr!P8&lt;&gt;".",s_Irr!AO8=".",s_Irr!BN8="."),s_dir!Q8/((1/1000)*(s_Irr!P8)),IF(AND(s_Irr!P8=".",s_Irr!AO8=".",s_Irr!BN8="."),s_dir!Q8*1000)))))))),".")</f>
        <v>105610.33922783667</v>
      </c>
      <c r="R8" s="70">
        <f>IFERROR(IF(AND(s_Irr!Q8&lt;&gt;".",s_Irr!AP8&lt;&gt;".",s_Irr!BO8&lt;&gt;"."),s_dir!R8/((1/1000)*(s_Irr!Q8+s_Irr!AP8+s_Irr!BO8)),IF(AND(s_Irr!Q8&lt;&gt;".",s_Irr!AP8&lt;&gt;".",s_Irr!BO8="."),s_dir!R8/((1/1000)*(s_Irr!Q8+s_Irr!AP8)),IF(AND(s_Irr!Q8&lt;&gt;".",s_Irr!AP8=".",s_Irr!BO8&lt;&gt;"."),s_dir!R8/((1/1000)*(s_Irr!Q8+s_Irr!BO8)),IF(AND(s_Irr!Q8=".",s_Irr!AP8&lt;&gt;".",s_Irr!BO8&lt;&gt;"."),s_dir!R8/((1/1000)*(s_Irr!AP8+s_Irr!BO8)),IF(AND(s_Irr!Q8=".",s_Irr!AP8=".",s_Irr!BO8&lt;&gt;"."),s_dir!R8/((1/1000)*(s_Irr!BO8)),IF(AND(s_Irr!Q8=".",s_Irr!AP8&lt;&gt;".",s_Irr!BO8="."),s_dir!R8/((1/1000)*(s_Irr!AP8)),IF(AND(s_Irr!Q8&lt;&gt;".",s_Irr!AP8=".",s_Irr!BO8="."),s_dir!R8/((1/1000)*(s_Irr!Q8)),IF(AND(s_Irr!Q8=".",s_Irr!AP8=".",s_Irr!BO8="."),s_dir!R8*1000)))))))),".")</f>
        <v>105610.33922783667</v>
      </c>
      <c r="S8" s="70">
        <f>IFERROR(IF(AND(s_Irr!R8&lt;&gt;".",s_Irr!AQ8&lt;&gt;".",s_Irr!BP8&lt;&gt;"."),s_dir!S8/((1/1000)*(s_Irr!R8+s_Irr!AQ8+s_Irr!BP8)),IF(AND(s_Irr!R8&lt;&gt;".",s_Irr!AQ8&lt;&gt;".",s_Irr!BP8="."),s_dir!S8/((1/1000)*(s_Irr!R8+s_Irr!AQ8)),IF(AND(s_Irr!R8&lt;&gt;".",s_Irr!AQ8=".",s_Irr!BP8&lt;&gt;"."),s_dir!S8/((1/1000)*(s_Irr!R8+s_Irr!BP8)),IF(AND(s_Irr!R8=".",s_Irr!AQ8&lt;&gt;".",s_Irr!BP8&lt;&gt;"."),s_dir!S8/((1/1000)*(s_Irr!AQ8+s_Irr!BP8)),IF(AND(s_Irr!R8=".",s_Irr!AQ8=".",s_Irr!BP8&lt;&gt;"."),s_dir!S8/((1/1000)*(s_Irr!BP8)),IF(AND(s_Irr!R8=".",s_Irr!AQ8&lt;&gt;".",s_Irr!BP8="."),s_dir!S8/((1/1000)*(s_Irr!AQ8)),IF(AND(s_Irr!R8&lt;&gt;".",s_Irr!AQ8=".",s_Irr!BP8="."),s_dir!S8/((1/1000)*(s_Irr!R8)),IF(AND(s_Irr!R8=".",s_Irr!AQ8=".",s_Irr!BP8="."),s_dir!S8*1000)))))))),".")</f>
        <v>105610.33922783667</v>
      </c>
      <c r="T8" s="70">
        <f>IFERROR(IF(AND(s_Irr!S8&lt;&gt;".",s_Irr!AR8&lt;&gt;".",s_Irr!BQ8&lt;&gt;"."),s_dir!T8/((1/1000)*(s_Irr!S8+s_Irr!AR8+s_Irr!BQ8)),IF(AND(s_Irr!S8&lt;&gt;".",s_Irr!AR8&lt;&gt;".",s_Irr!BQ8="."),s_dir!T8/((1/1000)*(s_Irr!S8+s_Irr!AR8)),IF(AND(s_Irr!S8&lt;&gt;".",s_Irr!AR8=".",s_Irr!BQ8&lt;&gt;"."),s_dir!T8/((1/1000)*(s_Irr!S8+s_Irr!BQ8)),IF(AND(s_Irr!S8=".",s_Irr!AR8&lt;&gt;".",s_Irr!BQ8&lt;&gt;"."),s_dir!T8/((1/1000)*(s_Irr!AR8+s_Irr!BQ8)),IF(AND(s_Irr!S8=".",s_Irr!AR8=".",s_Irr!BQ8&lt;&gt;"."),s_dir!T8/((1/1000)*(s_Irr!BQ8)),IF(AND(s_Irr!S8=".",s_Irr!AR8&lt;&gt;".",s_Irr!BQ8="."),s_dir!T8/((1/1000)*(s_Irr!AR8)),IF(AND(s_Irr!S8&lt;&gt;".",s_Irr!AR8=".",s_Irr!BQ8="."),s_dir!T8/((1/1000)*(s_Irr!S8)),IF(AND(s_Irr!S8=".",s_Irr!AR8=".",s_Irr!BQ8="."),s_dir!T8*1000)))))))),".")</f>
        <v>105610.33922783667</v>
      </c>
      <c r="U8" s="70">
        <f>IFERROR(IF(AND(s_Irr!T8&lt;&gt;".",s_Irr!AS8&lt;&gt;".",s_Irr!BR8&lt;&gt;"."),s_dir!U8/((1/1000)*(s_Irr!T8+s_Irr!AS8+s_Irr!BR8)),IF(AND(s_Irr!T8&lt;&gt;".",s_Irr!AS8&lt;&gt;".",s_Irr!BR8="."),s_dir!U8/((1/1000)*(s_Irr!T8+s_Irr!AS8)),IF(AND(s_Irr!T8&lt;&gt;".",s_Irr!AS8=".",s_Irr!BR8&lt;&gt;"."),s_dir!U8/((1/1000)*(s_Irr!T8+s_Irr!BR8)),IF(AND(s_Irr!T8=".",s_Irr!AS8&lt;&gt;".",s_Irr!BR8&lt;&gt;"."),s_dir!U8/((1/1000)*(s_Irr!AS8+s_Irr!BR8)),IF(AND(s_Irr!T8=".",s_Irr!AS8=".",s_Irr!BR8&lt;&gt;"."),s_dir!U8/((1/1000)*(s_Irr!BR8)),IF(AND(s_Irr!T8=".",s_Irr!AS8&lt;&gt;".",s_Irr!BR8="."),s_dir!U8/((1/1000)*(s_Irr!AS8)),IF(AND(s_Irr!T8&lt;&gt;".",s_Irr!AS8=".",s_Irr!BR8="."),s_dir!U8/((1/1000)*(s_Irr!T8)),IF(AND(s_Irr!T8=".",s_Irr!AS8=".",s_Irr!BR8="."),s_dir!U8*1000)))))))),".")</f>
        <v>105610.33922783667</v>
      </c>
      <c r="V8" s="70">
        <f>IFERROR(IF(AND(s_Irr!U8&lt;&gt;".",s_Irr!AT8&lt;&gt;".",s_Irr!BS8&lt;&gt;"."),s_dir!V8/((1/1000)*(s_Irr!U8+s_Irr!AT8+s_Irr!BS8)),IF(AND(s_Irr!U8&lt;&gt;".",s_Irr!AT8&lt;&gt;".",s_Irr!BS8="."),s_dir!V8/((1/1000)*(s_Irr!U8+s_Irr!AT8)),IF(AND(s_Irr!U8&lt;&gt;".",s_Irr!AT8=".",s_Irr!BS8&lt;&gt;"."),s_dir!V8/((1/1000)*(s_Irr!U8+s_Irr!BS8)),IF(AND(s_Irr!U8=".",s_Irr!AT8&lt;&gt;".",s_Irr!BS8&lt;&gt;"."),s_dir!V8/((1/1000)*(s_Irr!AT8+s_Irr!BS8)),IF(AND(s_Irr!U8=".",s_Irr!AT8=".",s_Irr!BS8&lt;&gt;"."),s_dir!V8/((1/1000)*(s_Irr!BS8)),IF(AND(s_Irr!U8=".",s_Irr!AT8&lt;&gt;".",s_Irr!BS8="."),s_dir!V8/((1/1000)*(s_Irr!AT8)),IF(AND(s_Irr!U8&lt;&gt;".",s_Irr!AT8=".",s_Irr!BS8="."),s_dir!V8/((1/1000)*(s_Irr!U8)),IF(AND(s_Irr!U8=".",s_Irr!AT8=".",s_Irr!BS8="."),s_dir!V8*1000)))))))),".")</f>
        <v>105610.33922783667</v>
      </c>
      <c r="W8" s="70">
        <f>IFERROR(IF(AND(s_Irr!V8&lt;&gt;".",s_Irr!AU8&lt;&gt;".",s_Irr!BT8&lt;&gt;"."),s_dir!W8/((1/1000)*(s_Irr!V8+s_Irr!AU8+s_Irr!BT8)),IF(AND(s_Irr!V8&lt;&gt;".",s_Irr!AU8&lt;&gt;".",s_Irr!BT8="."),s_dir!W8/((1/1000)*(s_Irr!V8+s_Irr!AU8)),IF(AND(s_Irr!V8&lt;&gt;".",s_Irr!AU8=".",s_Irr!BT8&lt;&gt;"."),s_dir!W8/((1/1000)*(s_Irr!V8+s_Irr!BT8)),IF(AND(s_Irr!V8=".",s_Irr!AU8&lt;&gt;".",s_Irr!BT8&lt;&gt;"."),s_dir!W8/((1/1000)*(s_Irr!AU8+s_Irr!BT8)),IF(AND(s_Irr!V8=".",s_Irr!AU8=".",s_Irr!BT8&lt;&gt;"."),s_dir!W8/((1/1000)*(s_Irr!BT8)),IF(AND(s_Irr!V8=".",s_Irr!AU8&lt;&gt;".",s_Irr!BT8="."),s_dir!W8/((1/1000)*(s_Irr!AU8)),IF(AND(s_Irr!V8&lt;&gt;".",s_Irr!AU8=".",s_Irr!BT8="."),s_dir!W8/((1/1000)*(s_Irr!V8)),IF(AND(s_Irr!V8=".",s_Irr!AU8=".",s_Irr!BT8="."),s_dir!W8*1000)))))))),".")</f>
        <v>105610.33922783667</v>
      </c>
      <c r="X8" s="70">
        <f>IFERROR(IF(AND(s_Irr!W8&lt;&gt;".",s_Irr!AV8&lt;&gt;".",s_Irr!BU8&lt;&gt;"."),s_dir!X8/((1/1000)*(s_Irr!W8+s_Irr!AV8+s_Irr!BU8)),IF(AND(s_Irr!W8&lt;&gt;".",s_Irr!AV8&lt;&gt;".",s_Irr!BU8="."),s_dir!X8/((1/1000)*(s_Irr!W8+s_Irr!AV8)),IF(AND(s_Irr!W8&lt;&gt;".",s_Irr!AV8=".",s_Irr!BU8&lt;&gt;"."),s_dir!X8/((1/1000)*(s_Irr!W8+s_Irr!BU8)),IF(AND(s_Irr!W8=".",s_Irr!AV8&lt;&gt;".",s_Irr!BU8&lt;&gt;"."),s_dir!X8/((1/1000)*(s_Irr!AV8+s_Irr!BU8)),IF(AND(s_Irr!W8=".",s_Irr!AV8=".",s_Irr!BU8&lt;&gt;"."),s_dir!X8/((1/1000)*(s_Irr!BU8)),IF(AND(s_Irr!W8=".",s_Irr!AV8&lt;&gt;".",s_Irr!BU8="."),s_dir!X8/((1/1000)*(s_Irr!AV8)),IF(AND(s_Irr!W8&lt;&gt;".",s_Irr!AV8=".",s_Irr!BU8="."),s_dir!X8/((1/1000)*(s_Irr!W8)),IF(AND(s_Irr!W8=".",s_Irr!AV8=".",s_Irr!BU8="."),s_dir!X8*1000)))))))),".")</f>
        <v>105610.33922783667</v>
      </c>
      <c r="Y8" s="70">
        <f>IFERROR(IF(AND(s_Irr!X8&lt;&gt;".",s_Irr!AW8&lt;&gt;".",s_Irr!BV8&lt;&gt;"."),s_dir!Y8/((1/1000)*(s_Irr!X8+s_Irr!AW8+s_Irr!BV8)),IF(AND(s_Irr!X8&lt;&gt;".",s_Irr!AW8&lt;&gt;".",s_Irr!BV8="."),s_dir!Y8/((1/1000)*(s_Irr!X8+s_Irr!AW8)),IF(AND(s_Irr!X8&lt;&gt;".",s_Irr!AW8=".",s_Irr!BV8&lt;&gt;"."),s_dir!Y8/((1/1000)*(s_Irr!X8+s_Irr!BV8)),IF(AND(s_Irr!X8=".",s_Irr!AW8&lt;&gt;".",s_Irr!BV8&lt;&gt;"."),s_dir!Y8/((1/1000)*(s_Irr!AW8+s_Irr!BV8)),IF(AND(s_Irr!X8=".",s_Irr!AW8=".",s_Irr!BV8&lt;&gt;"."),s_dir!Y8/((1/1000)*(s_Irr!BV8)),IF(AND(s_Irr!X8=".",s_Irr!AW8&lt;&gt;".",s_Irr!BV8="."),s_dir!Y8/((1/1000)*(s_Irr!AW8)),IF(AND(s_Irr!X8&lt;&gt;".",s_Irr!AW8=".",s_Irr!BV8="."),s_dir!Y8/((1/1000)*(s_Irr!X8)),IF(AND(s_Irr!X8=".",s_Irr!AW8=".",s_Irr!BV8="."),s_dir!Y8*1000)))))))),".")</f>
        <v>105610.33922783667</v>
      </c>
      <c r="Z8" s="70">
        <f>IFERROR(IF(AND(s_Irr!Y8&lt;&gt;".",s_Irr!AX8&lt;&gt;".",s_Irr!BW8&lt;&gt;"."),s_dir!Z8/((1/1000)*(s_Irr!Y8+s_Irr!AX8+s_Irr!BW8)),IF(AND(s_Irr!Y8&lt;&gt;".",s_Irr!AX8&lt;&gt;".",s_Irr!BW8="."),s_dir!Z8/((1/1000)*(s_Irr!Y8+s_Irr!AX8)),IF(AND(s_Irr!Y8&lt;&gt;".",s_Irr!AX8=".",s_Irr!BW8&lt;&gt;"."),s_dir!Z8/((1/1000)*(s_Irr!Y8+s_Irr!BW8)),IF(AND(s_Irr!Y8=".",s_Irr!AX8&lt;&gt;".",s_Irr!BW8&lt;&gt;"."),s_dir!Z8/((1/1000)*(s_Irr!AX8+s_Irr!BW8)),IF(AND(s_Irr!Y8=".",s_Irr!AX8=".",s_Irr!BW8&lt;&gt;"."),s_dir!Z8/((1/1000)*(s_Irr!BW8)),IF(AND(s_Irr!Y8=".",s_Irr!AX8&lt;&gt;".",s_Irr!BW8="."),s_dir!Z8/((1/1000)*(s_Irr!AX8)),IF(AND(s_Irr!Y8&lt;&gt;".",s_Irr!AX8=".",s_Irr!BW8="."),s_dir!Z8/((1/1000)*(s_Irr!Y8)),IF(AND(s_Irr!Y8=".",s_Irr!AX8=".",s_Irr!BW8="."),s_dir!Z8*1000)))))))),".")</f>
        <v>105610.33922783667</v>
      </c>
      <c r="AA8" s="70">
        <f>IFERROR(IF(AND(s_Irr!Z8&lt;&gt;".",s_Irr!AY8&lt;&gt;".",s_Irr!BX8&lt;&gt;"."),s_dir!AA8/((1/1000)*(s_Irr!Z8+s_Irr!AY8+s_Irr!BX8)),IF(AND(s_Irr!Z8&lt;&gt;".",s_Irr!AY8&lt;&gt;".",s_Irr!BX8="."),s_dir!AA8/((1/1000)*(s_Irr!Z8+s_Irr!AY8)),IF(AND(s_Irr!Z8&lt;&gt;".",s_Irr!AY8=".",s_Irr!BX8&lt;&gt;"."),s_dir!AA8/((1/1000)*(s_Irr!Z8+s_Irr!BX8)),IF(AND(s_Irr!Z8=".",s_Irr!AY8&lt;&gt;".",s_Irr!BX8&lt;&gt;"."),s_dir!AA8/((1/1000)*(s_Irr!AY8+s_Irr!BX8)),IF(AND(s_Irr!Z8=".",s_Irr!AY8=".",s_Irr!BX8&lt;&gt;"."),s_dir!AA8/((1/1000)*(s_Irr!BX8)),IF(AND(s_Irr!Z8=".",s_Irr!AY8&lt;&gt;".",s_Irr!BX8="."),s_dir!AA8/((1/1000)*(s_Irr!AY8)),IF(AND(s_Irr!Z8&lt;&gt;".",s_Irr!AY8=".",s_Irr!BX8="."),s_dir!AA8/((1/1000)*(s_Irr!Z8)),IF(AND(s_Irr!Z8=".",s_Irr!AY8=".",s_Irr!BX8="."),s_dir!AA8*1000)))))))),".")</f>
        <v>105610.33922783667</v>
      </c>
      <c r="AB8" s="70">
        <f>IFERROR(IF(AND(s_Irr!AA8&lt;&gt;".",s_Irr!AZ8&lt;&gt;".",s_Irr!BY8&lt;&gt;"."),s_dir!AB8/((1/1000)*(s_Irr!AA8+s_Irr!AZ8+s_Irr!BY8)),IF(AND(s_Irr!AA8&lt;&gt;".",s_Irr!AZ8&lt;&gt;".",s_Irr!BY8="."),s_dir!AB8/((1/1000)*(s_Irr!AA8+s_Irr!AZ8)),IF(AND(s_Irr!AA8&lt;&gt;".",s_Irr!AZ8=".",s_Irr!BY8&lt;&gt;"."),s_dir!AB8/((1/1000)*(s_Irr!AA8+s_Irr!BY8)),IF(AND(s_Irr!AA8=".",s_Irr!AZ8&lt;&gt;".",s_Irr!BY8&lt;&gt;"."),s_dir!AB8/((1/1000)*(s_Irr!AZ8+s_Irr!BY8)),IF(AND(s_Irr!AA8=".",s_Irr!AZ8=".",s_Irr!BY8&lt;&gt;"."),s_dir!AB8/((1/1000)*(s_Irr!BY8)),IF(AND(s_Irr!AA8=".",s_Irr!AZ8&lt;&gt;".",s_Irr!BY8="."),s_dir!AB8/((1/1000)*(s_Irr!AZ8)),IF(AND(s_Irr!AA8&lt;&gt;".",s_Irr!AZ8=".",s_Irr!BY8="."),s_dir!AB8/((1/1000)*(s_Irr!AA8)),IF(AND(s_Irr!AA8=".",s_Irr!AZ8=".",s_Irr!BY8="."),s_dir!AB8*1000)))))))),".")</f>
        <v>105610.33922783667</v>
      </c>
      <c r="AC8" s="87">
        <f t="shared" si="4"/>
        <v>954.89813317357221</v>
      </c>
      <c r="AD8" s="87">
        <f>IFERROR(s_C*s_IFAP_res_adj*s_CF_apple*0.001*(s_Irr!C8+s_Irr!AB8+s_Irr!BA8),".")</f>
        <v>238.72453329339305</v>
      </c>
      <c r="AE8" s="87">
        <f>IFERROR(s_C*s_IFAS_res_adj*s_CF_asparagus*0.001*(s_Irr!D8+s_Irr!AC8+s_Irr!BB8),".")</f>
        <v>238.72453329339305</v>
      </c>
      <c r="AF8" s="87">
        <f>IFERROR(s_C*s_IFBT_res_adj*s_CF_beet*0.001*(s_Irr!E8+s_Irr!AD8+s_Irr!BC8),".")</f>
        <v>238.72453329339305</v>
      </c>
      <c r="AG8" s="87">
        <f>IFERROR(s_C*s_IFBE_res_adj*s_CF_berries*0.001*(s_Irr!F8+s_Irr!AE8+s_Irr!BD8),".")</f>
        <v>238.72453329339305</v>
      </c>
      <c r="AH8" s="87">
        <f>IFERROR(s_C*s_IFBR_res_adj*s_CF_broccoli*0.001*(s_Irr!G8+s_Irr!AF8+s_Irr!BE8),".")</f>
        <v>238.72453329339305</v>
      </c>
      <c r="AI8" s="87">
        <f>IFERROR(s_C*s_IFCB_res_adj*s_CF_cabbage*0.001*(s_Irr!H8+s_Irr!AG8+s_Irr!BF8),".")</f>
        <v>238.72453329339305</v>
      </c>
      <c r="AJ8" s="87">
        <f>IFERROR(s_C*s_IFCR_res_adj*s_CF_carrot*0.001*(s_Irr!I8+s_Irr!AH8+s_Irr!BG8),".")</f>
        <v>238.72453329339305</v>
      </c>
      <c r="AK8" s="87">
        <f>IFERROR(s_C*s_IFCI_res_adj*s_CF_citrus*0.001*(s_Irr!J8+s_Irr!AI8+s_Irr!BH8),".")</f>
        <v>238.72453329339305</v>
      </c>
      <c r="AL8" s="87">
        <f>IFERROR(s_C*s_IFCO_res_adj*s_CF_corn*0.001*(s_Irr!K8+s_Irr!AJ8+s_Irr!BI8),".")</f>
        <v>238.72453329339305</v>
      </c>
      <c r="AM8" s="87">
        <f>IFERROR(s_C*s_IFCU_res_adj*s_CF_cucumber*0.001*(s_Irr!L8+s_Irr!AK8+s_Irr!BJ8),".")</f>
        <v>238.72453329339305</v>
      </c>
      <c r="AN8" s="87">
        <f>IFERROR(s_C*s_IFLE_res_adj*s_CF_lettuce*0.001*(s_Irr!M8+s_Irr!AL8+s_Irr!BK8),".")</f>
        <v>238.72453329339305</v>
      </c>
      <c r="AO8" s="87">
        <f>IFERROR(s_C*s_IFLI_res_adj*s_CF_lima_bean*0.001*(s_Irr!N8+s_Irr!AM8+s_Irr!BL8),".")</f>
        <v>238.72453329339305</v>
      </c>
      <c r="AP8" s="87">
        <f>IFERROR(s_C*s_IFOK_res_adj*s_CF_okra*0.001*(s_Irr!O8+s_Irr!AN8+s_Irr!BM8),".")</f>
        <v>238.72453329339305</v>
      </c>
      <c r="AQ8" s="87">
        <f>IFERROR(s_C*s_IFON_res_adj*s_CF_onion*0.001*(s_Irr!P8+s_Irr!AO8+s_Irr!BN8),".")</f>
        <v>238.72453329339305</v>
      </c>
      <c r="AR8" s="87">
        <f>IFERROR(s_C*s_IFPC_res_adj*s_CF_peach*0.001*(s_Irr!Q8+s_Irr!AP8+s_Irr!BO8),".")</f>
        <v>238.72453329339305</v>
      </c>
      <c r="AS8" s="87">
        <f>IFERROR(s_C*s_IFPR_res_adj*s_CF_pear*0.001*(s_Irr!R8+s_Irr!AQ8+s_Irr!BP8),".")</f>
        <v>238.72453329339305</v>
      </c>
      <c r="AT8" s="87">
        <f>IFERROR(s_C*s_IFPE_res_adj*s_CF_peas*0.001*(s_Irr!S8+s_Irr!AR8+s_Irr!BQ8),".")</f>
        <v>238.72453329339305</v>
      </c>
      <c r="AU8" s="87">
        <f>IFERROR(s_C*s_IFPP_res_adj*s_CF_peppers*0.001*(s_Irr!T8+s_Irr!AS8+s_Irr!BR8),".")</f>
        <v>238.72453329339305</v>
      </c>
      <c r="AV8" s="87">
        <f>IFERROR(s_C*s_IFPT_res_adj*s_CF_potato*0.001*(s_Irr!U8+s_Irr!AT8+s_Irr!BS8),".")</f>
        <v>238.72453329339305</v>
      </c>
      <c r="AW8" s="87">
        <f>IFERROR(s_C*s_IFPU_res_adj*s_CF_pumpkin*0.001*(s_Irr!V8+s_Irr!AU8+s_Irr!BT8),".")</f>
        <v>238.72453329339305</v>
      </c>
      <c r="AX8" s="87">
        <f>IFERROR(s_C*s_IFSN_res_adj*s_CF_snap_bean*0.001*(s_Irr!W8+s_Irr!AV8+s_Irr!BU8),".")</f>
        <v>238.72453329339305</v>
      </c>
      <c r="AY8" s="87">
        <f>IFERROR(s_C*s_IFST_res_adj*s_CF_strawberry*0.001*(s_Irr!X8+s_Irr!AW8+s_Irr!BV8),".")</f>
        <v>238.72453329339305</v>
      </c>
      <c r="AZ8" s="87">
        <f>IFERROR(s_C*s_IFTO_res_adj*s_CF_tomato*0.001*(s_Irr!Y8+s_Irr!AX8+s_Irr!BW8),".")</f>
        <v>238.72453329339305</v>
      </c>
      <c r="BA8" s="87">
        <f>IFERROR(s_C*s_IFRI_res_adj*s_CF_rice*0.001*(s_Irr!Z8+s_Irr!AY8+s_Irr!BX8),".")</f>
        <v>238.72453329339305</v>
      </c>
      <c r="BB8" s="87">
        <f>IFERROR(s_C*s_IFCG_res_adj*s_CF_cereal*0.001*(s_Irr!AA8+s_Irr!AZ8+s_Irr!BY8),".")</f>
        <v>238.72453329339305</v>
      </c>
      <c r="BC8" s="70">
        <f t="shared" si="1"/>
        <v>26402.584806959167</v>
      </c>
      <c r="BD8" s="70">
        <f>IFERROR(IF(AND(s_Irr!C8&lt;&gt;".",s_Irr!AB8&lt;&gt;".",s_Irr!BA8&lt;&gt;"."),s_dir!AD8/((1/1000)*(s_Irr!C8+s_Irr!AB8+s_Irr!BA8)),IF(AND(s_Irr!C8&lt;&gt;".",s_Irr!AB8&lt;&gt;".",s_Irr!BA8="."),s_dir!AD8/((1/1000)*(s_Irr!C8+s_Irr!AB8)),IF(AND(s_Irr!C8&lt;&gt;".",s_Irr!AB8=".",s_Irr!BA8&lt;&gt;"."),s_dir!AD8/((1/1000)*(s_Irr!C8+s_Irr!BA8)),IF(AND(s_Irr!C8=".",s_Irr!AB8&lt;&gt;".",s_Irr!BA8&lt;&gt;"."),s_dir!AD8/((1/1000)*(s_Irr!AB8+s_Irr!BA8)),IF(AND(s_Irr!C8=".",s_Irr!AB8=".",s_Irr!BA8&lt;&gt;"."),s_dir!AD8/((1/1000)*(s_Irr!BA8)),IF(AND(s_Irr!C8=".",s_Irr!AB8&lt;&gt;".",s_Irr!BA8="."),s_dir!AD8/((1/1000)*(s_Irr!AB8)),IF(AND(s_Irr!C8&lt;&gt;".",s_Irr!AB8=".",s_Irr!BA8="."),s_dir!AD8/((1/1000)*(s_Irr!C8)),IF(AND(s_Irr!C8=".",s_Irr!AB8=".",s_Irr!BA8="."),s_dir!AD8*1000)))))))),".")</f>
        <v>105610.33922783667</v>
      </c>
      <c r="BE8" s="70">
        <f>IFERROR(IF(AND(s_Irr!D8&lt;&gt;".",s_Irr!AC8&lt;&gt;".",s_Irr!BB8&lt;&gt;"."),s_dir!AE8/((1/1000)*(s_Irr!D8+s_Irr!AC8+s_Irr!BB8)),IF(AND(s_Irr!D8&lt;&gt;".",s_Irr!AC8&lt;&gt;".",s_Irr!BB8="."),s_dir!AE8/((1/1000)*(s_Irr!D8+s_Irr!AC8)),IF(AND(s_Irr!D8&lt;&gt;".",s_Irr!AC8=".",s_Irr!BB8&lt;&gt;"."),s_dir!AE8/((1/1000)*(s_Irr!D8+s_Irr!BB8)),IF(AND(s_Irr!D8=".",s_Irr!AC8&lt;&gt;".",s_Irr!BB8&lt;&gt;"."),s_dir!AE8/((1/1000)*(s_Irr!AC8+s_Irr!BB8)),IF(AND(s_Irr!D8=".",s_Irr!AC8=".",s_Irr!BB8&lt;&gt;"."),s_dir!AE8/((1/1000)*(s_Irr!BB8)),IF(AND(s_Irr!D8=".",s_Irr!AC8&lt;&gt;".",s_Irr!BB8="."),s_dir!AE8/((1/1000)*(s_Irr!AC8)),IF(AND(s_Irr!D8&lt;&gt;".",s_Irr!AC8=".",s_Irr!BB8="."),s_dir!AE8/((1/1000)*(s_Irr!D8)),IF(AND(s_Irr!D8=".",s_Irr!AC8=".",s_Irr!BB8="."),s_dir!AE8*1000)))))))),".")</f>
        <v>105610.33922783667</v>
      </c>
      <c r="BF8" s="70">
        <f>IFERROR(IF(AND(s_Irr!E8&lt;&gt;".",s_Irr!AD8&lt;&gt;".",s_Irr!BC8&lt;&gt;"."),s_dir!AF8/((1/1000)*(s_Irr!E8+s_Irr!AD8+s_Irr!BC8)),IF(AND(s_Irr!E8&lt;&gt;".",s_Irr!AD8&lt;&gt;".",s_Irr!BC8="."),s_dir!AF8/((1/1000)*(s_Irr!E8+s_Irr!AD8)),IF(AND(s_Irr!E8&lt;&gt;".",s_Irr!AD8=".",s_Irr!BC8&lt;&gt;"."),s_dir!AF8/((1/1000)*(s_Irr!E8+s_Irr!BC8)),IF(AND(s_Irr!E8=".",s_Irr!AD8&lt;&gt;".",s_Irr!BC8&lt;&gt;"."),s_dir!AF8/((1/1000)*(s_Irr!AD8+s_Irr!BC8)),IF(AND(s_Irr!E8=".",s_Irr!AD8=".",s_Irr!BC8&lt;&gt;"."),s_dir!AF8/((1/1000)*(s_Irr!BC8)),IF(AND(s_Irr!E8=".",s_Irr!AD8&lt;&gt;".",s_Irr!BC8="."),s_dir!AF8/((1/1000)*(s_Irr!AD8)),IF(AND(s_Irr!E8&lt;&gt;".",s_Irr!AD8=".",s_Irr!BC8="."),s_dir!AF8/((1/1000)*(s_Irr!E8)),IF(AND(s_Irr!E8=".",s_Irr!AD8=".",s_Irr!BC8="."),s_dir!AF8*1000)))))))),".")</f>
        <v>105610.33922783667</v>
      </c>
      <c r="BG8" s="70">
        <f>IFERROR(IF(AND(s_Irr!F8&lt;&gt;".",s_Irr!AE8&lt;&gt;".",s_Irr!BD8&lt;&gt;"."),s_dir!AG8/((1/1000)*(s_Irr!F8+s_Irr!AE8+s_Irr!BD8)),IF(AND(s_Irr!F8&lt;&gt;".",s_Irr!AE8&lt;&gt;".",s_Irr!BD8="."),s_dir!AG8/((1/1000)*(s_Irr!F8+s_Irr!AE8)),IF(AND(s_Irr!F8&lt;&gt;".",s_Irr!AE8=".",s_Irr!BD8&lt;&gt;"."),s_dir!AG8/((1/1000)*(s_Irr!F8+s_Irr!BD8)),IF(AND(s_Irr!F8=".",s_Irr!AE8&lt;&gt;".",s_Irr!BD8&lt;&gt;"."),s_dir!AG8/((1/1000)*(s_Irr!AE8+s_Irr!BD8)),IF(AND(s_Irr!F8=".",s_Irr!AE8=".",s_Irr!BD8&lt;&gt;"."),s_dir!AG8/((1/1000)*(s_Irr!BD8)),IF(AND(s_Irr!F8=".",s_Irr!AE8&lt;&gt;".",s_Irr!BD8="."),s_dir!AG8/((1/1000)*(s_Irr!AE8)),IF(AND(s_Irr!F8&lt;&gt;".",s_Irr!AE8=".",s_Irr!BD8="."),s_dir!AG8/((1/1000)*(s_Irr!F8)),IF(AND(s_Irr!F8=".",s_Irr!AE8=".",s_Irr!BD8="."),s_dir!AG8*1000)))))))),".")</f>
        <v>105610.33922783667</v>
      </c>
      <c r="BH8" s="70">
        <f>IFERROR(IF(AND(s_Irr!G8&lt;&gt;".",s_Irr!AF8&lt;&gt;".",s_Irr!BE8&lt;&gt;"."),s_dir!AH8/((1/1000)*(s_Irr!G8+s_Irr!AF8+s_Irr!BE8)),IF(AND(s_Irr!G8&lt;&gt;".",s_Irr!AF8&lt;&gt;".",s_Irr!BE8="."),s_dir!AH8/((1/1000)*(s_Irr!G8+s_Irr!AF8)),IF(AND(s_Irr!G8&lt;&gt;".",s_Irr!AF8=".",s_Irr!BE8&lt;&gt;"."),s_dir!AH8/((1/1000)*(s_Irr!G8+s_Irr!BE8)),IF(AND(s_Irr!G8=".",s_Irr!AF8&lt;&gt;".",s_Irr!BE8&lt;&gt;"."),s_dir!AH8/((1/1000)*(s_Irr!AF8+s_Irr!BE8)),IF(AND(s_Irr!G8=".",s_Irr!AF8=".",s_Irr!BE8&lt;&gt;"."),s_dir!AH8/((1/1000)*(s_Irr!BE8)),IF(AND(s_Irr!G8=".",s_Irr!AF8&lt;&gt;".",s_Irr!BE8="."),s_dir!AH8/((1/1000)*(s_Irr!AF8)),IF(AND(s_Irr!G8&lt;&gt;".",s_Irr!AF8=".",s_Irr!BE8="."),s_dir!AH8/((1/1000)*(s_Irr!G8)),IF(AND(s_Irr!G8=".",s_Irr!AF8=".",s_Irr!BE8="."),s_dir!AH8*1000)))))))),".")</f>
        <v>105610.33922783667</v>
      </c>
      <c r="BI8" s="70">
        <f>IFERROR(IF(AND(s_Irr!H8&lt;&gt;".",s_Irr!AG8&lt;&gt;".",s_Irr!BF8&lt;&gt;"."),s_dir!AI8/((1/1000)*(s_Irr!H8+s_Irr!AG8+s_Irr!BF8)),IF(AND(s_Irr!H8&lt;&gt;".",s_Irr!AG8&lt;&gt;".",s_Irr!BF8="."),s_dir!AI8/((1/1000)*(s_Irr!H8+s_Irr!AG8)),IF(AND(s_Irr!H8&lt;&gt;".",s_Irr!AG8=".",s_Irr!BF8&lt;&gt;"."),s_dir!AI8/((1/1000)*(s_Irr!H8+s_Irr!BF8)),IF(AND(s_Irr!H8=".",s_Irr!AG8&lt;&gt;".",s_Irr!BF8&lt;&gt;"."),s_dir!AI8/((1/1000)*(s_Irr!AG8+s_Irr!BF8)),IF(AND(s_Irr!H8=".",s_Irr!AG8=".",s_Irr!BF8&lt;&gt;"."),s_dir!AI8/((1/1000)*(s_Irr!BF8)),IF(AND(s_Irr!H8=".",s_Irr!AG8&lt;&gt;".",s_Irr!BF8="."),s_dir!AI8/((1/1000)*(s_Irr!AG8)),IF(AND(s_Irr!H8&lt;&gt;".",s_Irr!AG8=".",s_Irr!BF8="."),s_dir!AI8/((1/1000)*(s_Irr!H8)),IF(AND(s_Irr!H8=".",s_Irr!AG8=".",s_Irr!BF8="."),s_dir!AI8*1000)))))))),".")</f>
        <v>105610.33922783667</v>
      </c>
      <c r="BJ8" s="70">
        <f>IFERROR(IF(AND(s_Irr!I8&lt;&gt;".",s_Irr!AH8&lt;&gt;".",s_Irr!BG8&lt;&gt;"."),s_dir!AJ8/((1/1000)*(s_Irr!I8+s_Irr!AH8+s_Irr!BG8)),IF(AND(s_Irr!I8&lt;&gt;".",s_Irr!AH8&lt;&gt;".",s_Irr!BG8="."),s_dir!AJ8/((1/1000)*(s_Irr!I8+s_Irr!AH8)),IF(AND(s_Irr!I8&lt;&gt;".",s_Irr!AH8=".",s_Irr!BG8&lt;&gt;"."),s_dir!AJ8/((1/1000)*(s_Irr!I8+s_Irr!BG8)),IF(AND(s_Irr!I8=".",s_Irr!AH8&lt;&gt;".",s_Irr!BG8&lt;&gt;"."),s_dir!AJ8/((1/1000)*(s_Irr!AH8+s_Irr!BG8)),IF(AND(s_Irr!I8=".",s_Irr!AH8=".",s_Irr!BG8&lt;&gt;"."),s_dir!AJ8/((1/1000)*(s_Irr!BG8)),IF(AND(s_Irr!I8=".",s_Irr!AH8&lt;&gt;".",s_Irr!BG8="."),s_dir!AJ8/((1/1000)*(s_Irr!AH8)),IF(AND(s_Irr!I8&lt;&gt;".",s_Irr!AH8=".",s_Irr!BG8="."),s_dir!AJ8/((1/1000)*(s_Irr!I8)),IF(AND(s_Irr!I8=".",s_Irr!AH8=".",s_Irr!BG8="."),s_dir!AJ8*1000)))))))),".")</f>
        <v>105610.33922783667</v>
      </c>
      <c r="BK8" s="70">
        <f>IFERROR(IF(AND(s_Irr!J8&lt;&gt;".",s_Irr!AI8&lt;&gt;".",s_Irr!BH8&lt;&gt;"."),s_dir!AK8/((1/1000)*(s_Irr!J8+s_Irr!AI8+s_Irr!BH8)),IF(AND(s_Irr!J8&lt;&gt;".",s_Irr!AI8&lt;&gt;".",s_Irr!BH8="."),s_dir!AK8/((1/1000)*(s_Irr!J8+s_Irr!AI8)),IF(AND(s_Irr!J8&lt;&gt;".",s_Irr!AI8=".",s_Irr!BH8&lt;&gt;"."),s_dir!AK8/((1/1000)*(s_Irr!J8+s_Irr!BH8)),IF(AND(s_Irr!J8=".",s_Irr!AI8&lt;&gt;".",s_Irr!BH8&lt;&gt;"."),s_dir!AK8/((1/1000)*(s_Irr!AI8+s_Irr!BH8)),IF(AND(s_Irr!J8=".",s_Irr!AI8=".",s_Irr!BH8&lt;&gt;"."),s_dir!AK8/((1/1000)*(s_Irr!BH8)),IF(AND(s_Irr!J8=".",s_Irr!AI8&lt;&gt;".",s_Irr!BH8="."),s_dir!AK8/((1/1000)*(s_Irr!AI8)),IF(AND(s_Irr!J8&lt;&gt;".",s_Irr!AI8=".",s_Irr!BH8="."),s_dir!AK8/((1/1000)*(s_Irr!J8)),IF(AND(s_Irr!J8=".",s_Irr!AI8=".",s_Irr!BH8="."),s_dir!AK8*1000)))))))),".")</f>
        <v>105610.33922783667</v>
      </c>
      <c r="BL8" s="70">
        <f>IFERROR(IF(AND(s_Irr!K8&lt;&gt;".",s_Irr!AJ8&lt;&gt;".",s_Irr!BI8&lt;&gt;"."),s_dir!AL8/((1/1000)*(s_Irr!K8+s_Irr!AJ8+s_Irr!BI8)),IF(AND(s_Irr!K8&lt;&gt;".",s_Irr!AJ8&lt;&gt;".",s_Irr!BI8="."),s_dir!AL8/((1/1000)*(s_Irr!K8+s_Irr!AJ8)),IF(AND(s_Irr!K8&lt;&gt;".",s_Irr!AJ8=".",s_Irr!BI8&lt;&gt;"."),s_dir!AL8/((1/1000)*(s_Irr!K8+s_Irr!BI8)),IF(AND(s_Irr!K8=".",s_Irr!AJ8&lt;&gt;".",s_Irr!BI8&lt;&gt;"."),s_dir!AL8/((1/1000)*(s_Irr!AJ8+s_Irr!BI8)),IF(AND(s_Irr!K8=".",s_Irr!AJ8=".",s_Irr!BI8&lt;&gt;"."),s_dir!AL8/((1/1000)*(s_Irr!BI8)),IF(AND(s_Irr!K8=".",s_Irr!AJ8&lt;&gt;".",s_Irr!BI8="."),s_dir!AL8/((1/1000)*(s_Irr!AJ8)),IF(AND(s_Irr!K8&lt;&gt;".",s_Irr!AJ8=".",s_Irr!BI8="."),s_dir!AL8/((1/1000)*(s_Irr!K8)),IF(AND(s_Irr!K8=".",s_Irr!AJ8=".",s_Irr!BI8="."),s_dir!AL8*1000)))))))),".")</f>
        <v>105610.33922783667</v>
      </c>
      <c r="BM8" s="70">
        <f>IFERROR(IF(AND(s_Irr!L8&lt;&gt;".",s_Irr!AK8&lt;&gt;".",s_Irr!BJ8&lt;&gt;"."),s_dir!AM8/((1/1000)*(s_Irr!L8+s_Irr!AK8+s_Irr!BJ8)),IF(AND(s_Irr!L8&lt;&gt;".",s_Irr!AK8&lt;&gt;".",s_Irr!BJ8="."),s_dir!AM8/((1/1000)*(s_Irr!L8+s_Irr!AK8)),IF(AND(s_Irr!L8&lt;&gt;".",s_Irr!AK8=".",s_Irr!BJ8&lt;&gt;"."),s_dir!AM8/((1/1000)*(s_Irr!L8+s_Irr!BJ8)),IF(AND(s_Irr!L8=".",s_Irr!AK8&lt;&gt;".",s_Irr!BJ8&lt;&gt;"."),s_dir!AM8/((1/1000)*(s_Irr!AK8+s_Irr!BJ8)),IF(AND(s_Irr!L8=".",s_Irr!AK8=".",s_Irr!BJ8&lt;&gt;"."),s_dir!AM8/((1/1000)*(s_Irr!BJ8)),IF(AND(s_Irr!L8=".",s_Irr!AK8&lt;&gt;".",s_Irr!BJ8="."),s_dir!AM8/((1/1000)*(s_Irr!AK8)),IF(AND(s_Irr!L8&lt;&gt;".",s_Irr!AK8=".",s_Irr!BJ8="."),s_dir!AM8/((1/1000)*(s_Irr!L8)),IF(AND(s_Irr!L8=".",s_Irr!AK8=".",s_Irr!BJ8="."),s_dir!AM8*1000)))))))),".")</f>
        <v>105610.33922783667</v>
      </c>
      <c r="BN8" s="70">
        <f>IFERROR(IF(AND(s_Irr!M8&lt;&gt;".",s_Irr!AL8&lt;&gt;".",s_Irr!BK8&lt;&gt;"."),s_dir!AN8/((1/1000)*(s_Irr!M8+s_Irr!AL8+s_Irr!BK8)),IF(AND(s_Irr!M8&lt;&gt;".",s_Irr!AL8&lt;&gt;".",s_Irr!BK8="."),s_dir!AN8/((1/1000)*(s_Irr!M8+s_Irr!AL8)),IF(AND(s_Irr!M8&lt;&gt;".",s_Irr!AL8=".",s_Irr!BK8&lt;&gt;"."),s_dir!AN8/((1/1000)*(s_Irr!M8+s_Irr!BK8)),IF(AND(s_Irr!M8=".",s_Irr!AL8&lt;&gt;".",s_Irr!BK8&lt;&gt;"."),s_dir!AN8/((1/1000)*(s_Irr!AL8+s_Irr!BK8)),IF(AND(s_Irr!M8=".",s_Irr!AL8=".",s_Irr!BK8&lt;&gt;"."),s_dir!AN8/((1/1000)*(s_Irr!BK8)),IF(AND(s_Irr!M8=".",s_Irr!AL8&lt;&gt;".",s_Irr!BK8="."),s_dir!AN8/((1/1000)*(s_Irr!AL8)),IF(AND(s_Irr!M8&lt;&gt;".",s_Irr!AL8=".",s_Irr!BK8="."),s_dir!AN8/((1/1000)*(s_Irr!M8)),IF(AND(s_Irr!M8=".",s_Irr!AL8=".",s_Irr!BK8="."),s_dir!AN8*1000)))))))),".")</f>
        <v>105610.33922783667</v>
      </c>
      <c r="BO8" s="70">
        <f>IFERROR(IF(AND(s_Irr!N8&lt;&gt;".",s_Irr!AM8&lt;&gt;".",s_Irr!BL8&lt;&gt;"."),s_dir!AO8/((1/1000)*(s_Irr!N8+s_Irr!AM8+s_Irr!BL8)),IF(AND(s_Irr!N8&lt;&gt;".",s_Irr!AM8&lt;&gt;".",s_Irr!BL8="."),s_dir!AO8/((1/1000)*(s_Irr!N8+s_Irr!AM8)),IF(AND(s_Irr!N8&lt;&gt;".",s_Irr!AM8=".",s_Irr!BL8&lt;&gt;"."),s_dir!AO8/((1/1000)*(s_Irr!N8+s_Irr!BL8)),IF(AND(s_Irr!N8=".",s_Irr!AM8&lt;&gt;".",s_Irr!BL8&lt;&gt;"."),s_dir!AO8/((1/1000)*(s_Irr!AM8+s_Irr!BL8)),IF(AND(s_Irr!N8=".",s_Irr!AM8=".",s_Irr!BL8&lt;&gt;"."),s_dir!AO8/((1/1000)*(s_Irr!BL8)),IF(AND(s_Irr!N8=".",s_Irr!AM8&lt;&gt;".",s_Irr!BL8="."),s_dir!AO8/((1/1000)*(s_Irr!AM8)),IF(AND(s_Irr!N8&lt;&gt;".",s_Irr!AM8=".",s_Irr!BL8="."),s_dir!AO8/((1/1000)*(s_Irr!N8)),IF(AND(s_Irr!N8=".",s_Irr!AM8=".",s_Irr!BL8="."),s_dir!AO8*1000)))))))),".")</f>
        <v>105610.33922783667</v>
      </c>
      <c r="BP8" s="70">
        <f>IFERROR(IF(AND(s_Irr!O8&lt;&gt;".",s_Irr!AN8&lt;&gt;".",s_Irr!BM8&lt;&gt;"."),s_dir!AP8/((1/1000)*(s_Irr!O8+s_Irr!AN8+s_Irr!BM8)),IF(AND(s_Irr!O8&lt;&gt;".",s_Irr!AN8&lt;&gt;".",s_Irr!BM8="."),s_dir!AP8/((1/1000)*(s_Irr!O8+s_Irr!AN8)),IF(AND(s_Irr!O8&lt;&gt;".",s_Irr!AN8=".",s_Irr!BM8&lt;&gt;"."),s_dir!AP8/((1/1000)*(s_Irr!O8+s_Irr!BM8)),IF(AND(s_Irr!O8=".",s_Irr!AN8&lt;&gt;".",s_Irr!BM8&lt;&gt;"."),s_dir!AP8/((1/1000)*(s_Irr!AN8+s_Irr!BM8)),IF(AND(s_Irr!O8=".",s_Irr!AN8=".",s_Irr!BM8&lt;&gt;"."),s_dir!AP8/((1/1000)*(s_Irr!BM8)),IF(AND(s_Irr!O8=".",s_Irr!AN8&lt;&gt;".",s_Irr!BM8="."),s_dir!AP8/((1/1000)*(s_Irr!AN8)),IF(AND(s_Irr!O8&lt;&gt;".",s_Irr!AN8=".",s_Irr!BM8="."),s_dir!AP8/((1/1000)*(s_Irr!O8)),IF(AND(s_Irr!O8=".",s_Irr!AN8=".",s_Irr!BM8="."),s_dir!AP8*1000)))))))),".")</f>
        <v>105610.33922783667</v>
      </c>
      <c r="BQ8" s="70">
        <f>IFERROR(IF(AND(s_Irr!P8&lt;&gt;".",s_Irr!AO8&lt;&gt;".",s_Irr!BN8&lt;&gt;"."),s_dir!AQ8/((1/1000)*(s_Irr!P8+s_Irr!AO8+s_Irr!BN8)),IF(AND(s_Irr!P8&lt;&gt;".",s_Irr!AO8&lt;&gt;".",s_Irr!BN8="."),s_dir!AQ8/((1/1000)*(s_Irr!P8+s_Irr!AO8)),IF(AND(s_Irr!P8&lt;&gt;".",s_Irr!AO8=".",s_Irr!BN8&lt;&gt;"."),s_dir!AQ8/((1/1000)*(s_Irr!P8+s_Irr!BN8)),IF(AND(s_Irr!P8=".",s_Irr!AO8&lt;&gt;".",s_Irr!BN8&lt;&gt;"."),s_dir!AQ8/((1/1000)*(s_Irr!AO8+s_Irr!BN8)),IF(AND(s_Irr!P8=".",s_Irr!AO8=".",s_Irr!BN8&lt;&gt;"."),s_dir!AQ8/((1/1000)*(s_Irr!BN8)),IF(AND(s_Irr!P8=".",s_Irr!AO8&lt;&gt;".",s_Irr!BN8="."),s_dir!AQ8/((1/1000)*(s_Irr!AO8)),IF(AND(s_Irr!P8&lt;&gt;".",s_Irr!AO8=".",s_Irr!BN8="."),s_dir!AQ8/((1/1000)*(s_Irr!P8)),IF(AND(s_Irr!P8=".",s_Irr!AO8=".",s_Irr!BN8="."),s_dir!AQ8*1000)))))))),".")</f>
        <v>105610.33922783667</v>
      </c>
      <c r="BR8" s="70">
        <f>IFERROR(IF(AND(s_Irr!Q8&lt;&gt;".",s_Irr!AP8&lt;&gt;".",s_Irr!BO8&lt;&gt;"."),s_dir!AR8/((1/1000)*(s_Irr!Q8+s_Irr!AP8+s_Irr!BO8)),IF(AND(s_Irr!Q8&lt;&gt;".",s_Irr!AP8&lt;&gt;".",s_Irr!BO8="."),s_dir!AR8/((1/1000)*(s_Irr!Q8+s_Irr!AP8)),IF(AND(s_Irr!Q8&lt;&gt;".",s_Irr!AP8=".",s_Irr!BO8&lt;&gt;"."),s_dir!AR8/((1/1000)*(s_Irr!Q8+s_Irr!BO8)),IF(AND(s_Irr!Q8=".",s_Irr!AP8&lt;&gt;".",s_Irr!BO8&lt;&gt;"."),s_dir!AR8/((1/1000)*(s_Irr!AP8+s_Irr!BO8)),IF(AND(s_Irr!Q8=".",s_Irr!AP8=".",s_Irr!BO8&lt;&gt;"."),s_dir!AR8/((1/1000)*(s_Irr!BO8)),IF(AND(s_Irr!Q8=".",s_Irr!AP8&lt;&gt;".",s_Irr!BO8="."),s_dir!AR8/((1/1000)*(s_Irr!AP8)),IF(AND(s_Irr!Q8&lt;&gt;".",s_Irr!AP8=".",s_Irr!BO8="."),s_dir!AR8/((1/1000)*(s_Irr!Q8)),IF(AND(s_Irr!Q8=".",s_Irr!AP8=".",s_Irr!BO8="."),s_dir!AR8*1000)))))))),".")</f>
        <v>105610.33922783667</v>
      </c>
      <c r="BS8" s="70">
        <f>IFERROR(IF(AND(s_Irr!R8&lt;&gt;".",s_Irr!AQ8&lt;&gt;".",s_Irr!BP8&lt;&gt;"."),s_dir!AS8/((1/1000)*(s_Irr!R8+s_Irr!AQ8+s_Irr!BP8)),IF(AND(s_Irr!R8&lt;&gt;".",s_Irr!AQ8&lt;&gt;".",s_Irr!BP8="."),s_dir!AS8/((1/1000)*(s_Irr!R8+s_Irr!AQ8)),IF(AND(s_Irr!R8&lt;&gt;".",s_Irr!AQ8=".",s_Irr!BP8&lt;&gt;"."),s_dir!AS8/((1/1000)*(s_Irr!R8+s_Irr!BP8)),IF(AND(s_Irr!R8=".",s_Irr!AQ8&lt;&gt;".",s_Irr!BP8&lt;&gt;"."),s_dir!AS8/((1/1000)*(s_Irr!AQ8+s_Irr!BP8)),IF(AND(s_Irr!R8=".",s_Irr!AQ8=".",s_Irr!BP8&lt;&gt;"."),s_dir!AS8/((1/1000)*(s_Irr!BP8)),IF(AND(s_Irr!R8=".",s_Irr!AQ8&lt;&gt;".",s_Irr!BP8="."),s_dir!AS8/((1/1000)*(s_Irr!AQ8)),IF(AND(s_Irr!R8&lt;&gt;".",s_Irr!AQ8=".",s_Irr!BP8="."),s_dir!AS8/((1/1000)*(s_Irr!R8)),IF(AND(s_Irr!R8=".",s_Irr!AQ8=".",s_Irr!BP8="."),s_dir!AS8*1000)))))))),".")</f>
        <v>105610.33922783667</v>
      </c>
      <c r="BT8" s="70">
        <f>IFERROR(IF(AND(s_Irr!S8&lt;&gt;".",s_Irr!AR8&lt;&gt;".",s_Irr!BQ8&lt;&gt;"."),s_dir!AT8/((1/1000)*(s_Irr!S8+s_Irr!AR8+s_Irr!BQ8)),IF(AND(s_Irr!S8&lt;&gt;".",s_Irr!AR8&lt;&gt;".",s_Irr!BQ8="."),s_dir!AT8/((1/1000)*(s_Irr!S8+s_Irr!AR8)),IF(AND(s_Irr!S8&lt;&gt;".",s_Irr!AR8=".",s_Irr!BQ8&lt;&gt;"."),s_dir!AT8/((1/1000)*(s_Irr!S8+s_Irr!BQ8)),IF(AND(s_Irr!S8=".",s_Irr!AR8&lt;&gt;".",s_Irr!BQ8&lt;&gt;"."),s_dir!AT8/((1/1000)*(s_Irr!AR8+s_Irr!BQ8)),IF(AND(s_Irr!S8=".",s_Irr!AR8=".",s_Irr!BQ8&lt;&gt;"."),s_dir!AT8/((1/1000)*(s_Irr!BQ8)),IF(AND(s_Irr!S8=".",s_Irr!AR8&lt;&gt;".",s_Irr!BQ8="."),s_dir!AT8/((1/1000)*(s_Irr!AR8)),IF(AND(s_Irr!S8&lt;&gt;".",s_Irr!AR8=".",s_Irr!BQ8="."),s_dir!AT8/((1/1000)*(s_Irr!S8)),IF(AND(s_Irr!S8=".",s_Irr!AR8=".",s_Irr!BQ8="."),s_dir!AT8*1000)))))))),".")</f>
        <v>105610.33922783667</v>
      </c>
      <c r="BU8" s="70">
        <f>IFERROR(IF(AND(s_Irr!T8&lt;&gt;".",s_Irr!AS8&lt;&gt;".",s_Irr!BR8&lt;&gt;"."),s_dir!AU8/((1/1000)*(s_Irr!T8+s_Irr!AS8+s_Irr!BR8)),IF(AND(s_Irr!T8&lt;&gt;".",s_Irr!AS8&lt;&gt;".",s_Irr!BR8="."),s_dir!AU8/((1/1000)*(s_Irr!T8+s_Irr!AS8)),IF(AND(s_Irr!T8&lt;&gt;".",s_Irr!AS8=".",s_Irr!BR8&lt;&gt;"."),s_dir!AU8/((1/1000)*(s_Irr!T8+s_Irr!BR8)),IF(AND(s_Irr!T8=".",s_Irr!AS8&lt;&gt;".",s_Irr!BR8&lt;&gt;"."),s_dir!AU8/((1/1000)*(s_Irr!AS8+s_Irr!BR8)),IF(AND(s_Irr!T8=".",s_Irr!AS8=".",s_Irr!BR8&lt;&gt;"."),s_dir!AU8/((1/1000)*(s_Irr!BR8)),IF(AND(s_Irr!T8=".",s_Irr!AS8&lt;&gt;".",s_Irr!BR8="."),s_dir!AU8/((1/1000)*(s_Irr!AS8)),IF(AND(s_Irr!T8&lt;&gt;".",s_Irr!AS8=".",s_Irr!BR8="."),s_dir!AU8/((1/1000)*(s_Irr!T8)),IF(AND(s_Irr!T8=".",s_Irr!AS8=".",s_Irr!BR8="."),s_dir!AU8*1000)))))))),".")</f>
        <v>105610.33922783667</v>
      </c>
      <c r="BV8" s="70">
        <f>IFERROR(IF(AND(s_Irr!U8&lt;&gt;".",s_Irr!AT8&lt;&gt;".",s_Irr!BS8&lt;&gt;"."),s_dir!AV8/((1/1000)*(s_Irr!U8+s_Irr!AT8+s_Irr!BS8)),IF(AND(s_Irr!U8&lt;&gt;".",s_Irr!AT8&lt;&gt;".",s_Irr!BS8="."),s_dir!AV8/((1/1000)*(s_Irr!U8+s_Irr!AT8)),IF(AND(s_Irr!U8&lt;&gt;".",s_Irr!AT8=".",s_Irr!BS8&lt;&gt;"."),s_dir!AV8/((1/1000)*(s_Irr!U8+s_Irr!BS8)),IF(AND(s_Irr!U8=".",s_Irr!AT8&lt;&gt;".",s_Irr!BS8&lt;&gt;"."),s_dir!AV8/((1/1000)*(s_Irr!AT8+s_Irr!BS8)),IF(AND(s_Irr!U8=".",s_Irr!AT8=".",s_Irr!BS8&lt;&gt;"."),s_dir!AV8/((1/1000)*(s_Irr!BS8)),IF(AND(s_Irr!U8=".",s_Irr!AT8&lt;&gt;".",s_Irr!BS8="."),s_dir!AV8/((1/1000)*(s_Irr!AT8)),IF(AND(s_Irr!U8&lt;&gt;".",s_Irr!AT8=".",s_Irr!BS8="."),s_dir!AV8/((1/1000)*(s_Irr!U8)),IF(AND(s_Irr!U8=".",s_Irr!AT8=".",s_Irr!BS8="."),s_dir!AV8*1000)))))))),".")</f>
        <v>105610.33922783667</v>
      </c>
      <c r="BW8" s="70">
        <f>IFERROR(IF(AND(s_Irr!V8&lt;&gt;".",s_Irr!AU8&lt;&gt;".",s_Irr!BT8&lt;&gt;"."),s_dir!AW8/((1/1000)*(s_Irr!V8+s_Irr!AU8+s_Irr!BT8)),IF(AND(s_Irr!V8&lt;&gt;".",s_Irr!AU8&lt;&gt;".",s_Irr!BT8="."),s_dir!AW8/((1/1000)*(s_Irr!V8+s_Irr!AU8)),IF(AND(s_Irr!V8&lt;&gt;".",s_Irr!AU8=".",s_Irr!BT8&lt;&gt;"."),s_dir!AW8/((1/1000)*(s_Irr!V8+s_Irr!BT8)),IF(AND(s_Irr!V8=".",s_Irr!AU8&lt;&gt;".",s_Irr!BT8&lt;&gt;"."),s_dir!AW8/((1/1000)*(s_Irr!AU8+s_Irr!BT8)),IF(AND(s_Irr!V8=".",s_Irr!AU8=".",s_Irr!BT8&lt;&gt;"."),s_dir!AW8/((1/1000)*(s_Irr!BT8)),IF(AND(s_Irr!V8=".",s_Irr!AU8&lt;&gt;".",s_Irr!BT8="."),s_dir!AW8/((1/1000)*(s_Irr!AU8)),IF(AND(s_Irr!V8&lt;&gt;".",s_Irr!AU8=".",s_Irr!BT8="."),s_dir!AW8/((1/1000)*(s_Irr!V8)),IF(AND(s_Irr!V8=".",s_Irr!AU8=".",s_Irr!BT8="."),s_dir!AW8*1000)))))))),".")</f>
        <v>105610.33922783667</v>
      </c>
      <c r="BX8" s="70">
        <f>IFERROR(IF(AND(s_Irr!W8&lt;&gt;".",s_Irr!AV8&lt;&gt;".",s_Irr!BU8&lt;&gt;"."),s_dir!AX8/((1/1000)*(s_Irr!W8+s_Irr!AV8+s_Irr!BU8)),IF(AND(s_Irr!W8&lt;&gt;".",s_Irr!AV8&lt;&gt;".",s_Irr!BU8="."),s_dir!AX8/((1/1000)*(s_Irr!W8+s_Irr!AV8)),IF(AND(s_Irr!W8&lt;&gt;".",s_Irr!AV8=".",s_Irr!BU8&lt;&gt;"."),s_dir!AX8/((1/1000)*(s_Irr!W8+s_Irr!BU8)),IF(AND(s_Irr!W8=".",s_Irr!AV8&lt;&gt;".",s_Irr!BU8&lt;&gt;"."),s_dir!AX8/((1/1000)*(s_Irr!AV8+s_Irr!BU8)),IF(AND(s_Irr!W8=".",s_Irr!AV8=".",s_Irr!BU8&lt;&gt;"."),s_dir!AX8/((1/1000)*(s_Irr!BU8)),IF(AND(s_Irr!W8=".",s_Irr!AV8&lt;&gt;".",s_Irr!BU8="."),s_dir!AX8/((1/1000)*(s_Irr!AV8)),IF(AND(s_Irr!W8&lt;&gt;".",s_Irr!AV8=".",s_Irr!BU8="."),s_dir!AX8/((1/1000)*(s_Irr!W8)),IF(AND(s_Irr!W8=".",s_Irr!AV8=".",s_Irr!BU8="."),s_dir!AX8*1000)))))))),".")</f>
        <v>105610.33922783667</v>
      </c>
      <c r="BY8" s="70">
        <f>IFERROR(IF(AND(s_Irr!X8&lt;&gt;".",s_Irr!AW8&lt;&gt;".",s_Irr!BV8&lt;&gt;"."),s_dir!AY8/((1/1000)*(s_Irr!X8+s_Irr!AW8+s_Irr!BV8)),IF(AND(s_Irr!X8&lt;&gt;".",s_Irr!AW8&lt;&gt;".",s_Irr!BV8="."),s_dir!AY8/((1/1000)*(s_Irr!X8+s_Irr!AW8)),IF(AND(s_Irr!X8&lt;&gt;".",s_Irr!AW8=".",s_Irr!BV8&lt;&gt;"."),s_dir!AY8/((1/1000)*(s_Irr!X8+s_Irr!BV8)),IF(AND(s_Irr!X8=".",s_Irr!AW8&lt;&gt;".",s_Irr!BV8&lt;&gt;"."),s_dir!AY8/((1/1000)*(s_Irr!AW8+s_Irr!BV8)),IF(AND(s_Irr!X8=".",s_Irr!AW8=".",s_Irr!BV8&lt;&gt;"."),s_dir!AY8/((1/1000)*(s_Irr!BV8)),IF(AND(s_Irr!X8=".",s_Irr!AW8&lt;&gt;".",s_Irr!BV8="."),s_dir!AY8/((1/1000)*(s_Irr!AW8)),IF(AND(s_Irr!X8&lt;&gt;".",s_Irr!AW8=".",s_Irr!BV8="."),s_dir!AY8/((1/1000)*(s_Irr!X8)),IF(AND(s_Irr!X8=".",s_Irr!AW8=".",s_Irr!BV8="."),s_dir!AY8*1000)))))))),".")</f>
        <v>105610.33922783667</v>
      </c>
      <c r="BZ8" s="70">
        <f>IFERROR(IF(AND(s_Irr!Y8&lt;&gt;".",s_Irr!AX8&lt;&gt;".",s_Irr!BW8&lt;&gt;"."),s_dir!AZ8/((1/1000)*(s_Irr!Y8+s_Irr!AX8+s_Irr!BW8)),IF(AND(s_Irr!Y8&lt;&gt;".",s_Irr!AX8&lt;&gt;".",s_Irr!BW8="."),s_dir!AZ8/((1/1000)*(s_Irr!Y8+s_Irr!AX8)),IF(AND(s_Irr!Y8&lt;&gt;".",s_Irr!AX8=".",s_Irr!BW8&lt;&gt;"."),s_dir!AZ8/((1/1000)*(s_Irr!Y8+s_Irr!BW8)),IF(AND(s_Irr!Y8=".",s_Irr!AX8&lt;&gt;".",s_Irr!BW8&lt;&gt;"."),s_dir!AZ8/((1/1000)*(s_Irr!AX8+s_Irr!BW8)),IF(AND(s_Irr!Y8=".",s_Irr!AX8=".",s_Irr!BW8&lt;&gt;"."),s_dir!AZ8/((1/1000)*(s_Irr!BW8)),IF(AND(s_Irr!Y8=".",s_Irr!AX8&lt;&gt;".",s_Irr!BW8="."),s_dir!AZ8/((1/1000)*(s_Irr!AX8)),IF(AND(s_Irr!Y8&lt;&gt;".",s_Irr!AX8=".",s_Irr!BW8="."),s_dir!AZ8/((1/1000)*(s_Irr!Y8)),IF(AND(s_Irr!Y8=".",s_Irr!AX8=".",s_Irr!BW8="."),s_dir!AZ8*1000)))))))),".")</f>
        <v>105610.33922783667</v>
      </c>
      <c r="CA8" s="70">
        <f>IFERROR(IF(AND(s_Irr!Z8&lt;&gt;".",s_Irr!AY8&lt;&gt;".",s_Irr!BX8&lt;&gt;"."),s_dir!BA8/((1/1000)*(s_Irr!Z8+s_Irr!AY8+s_Irr!BX8)),IF(AND(s_Irr!Z8&lt;&gt;".",s_Irr!AY8&lt;&gt;".",s_Irr!BX8="."),s_dir!BA8/((1/1000)*(s_Irr!Z8+s_Irr!AY8)),IF(AND(s_Irr!Z8&lt;&gt;".",s_Irr!AY8=".",s_Irr!BX8&lt;&gt;"."),s_dir!BA8/((1/1000)*(s_Irr!Z8+s_Irr!BX8)),IF(AND(s_Irr!Z8=".",s_Irr!AY8&lt;&gt;".",s_Irr!BX8&lt;&gt;"."),s_dir!BA8/((1/1000)*(s_Irr!AY8+s_Irr!BX8)),IF(AND(s_Irr!Z8=".",s_Irr!AY8=".",s_Irr!BX8&lt;&gt;"."),s_dir!BA8/((1/1000)*(s_Irr!BX8)),IF(AND(s_Irr!Z8=".",s_Irr!AY8&lt;&gt;".",s_Irr!BX8="."),s_dir!BA8/((1/1000)*(s_Irr!AY8)),IF(AND(s_Irr!Z8&lt;&gt;".",s_Irr!AY8=".",s_Irr!BX8="."),s_dir!BA8/((1/1000)*(s_Irr!Z8)),IF(AND(s_Irr!Z8=".",s_Irr!AY8=".",s_Irr!BX8="."),s_dir!BA8*1000)))))))),".")</f>
        <v>105610.33922783667</v>
      </c>
      <c r="CB8" s="70">
        <f>IFERROR(IF(AND(s_Irr!AA8&lt;&gt;".",s_Irr!AZ8&lt;&gt;".",s_Irr!BY8&lt;&gt;"."),s_dir!BB8/((1/1000)*(s_Irr!AA8+s_Irr!AZ8+s_Irr!BY8)),IF(AND(s_Irr!AA8&lt;&gt;".",s_Irr!AZ8&lt;&gt;".",s_Irr!BY8="."),s_dir!BB8/((1/1000)*(s_Irr!AA8+s_Irr!AZ8)),IF(AND(s_Irr!AA8&lt;&gt;".",s_Irr!AZ8=".",s_Irr!BY8&lt;&gt;"."),s_dir!BB8/((1/1000)*(s_Irr!AA8+s_Irr!BY8)),IF(AND(s_Irr!AA8=".",s_Irr!AZ8&lt;&gt;".",s_Irr!BY8&lt;&gt;"."),s_dir!BB8/((1/1000)*(s_Irr!AZ8+s_Irr!BY8)),IF(AND(s_Irr!AA8=".",s_Irr!AZ8=".",s_Irr!BY8&lt;&gt;"."),s_dir!BB8/((1/1000)*(s_Irr!BY8)),IF(AND(s_Irr!AA8=".",s_Irr!AZ8&lt;&gt;".",s_Irr!BY8="."),s_dir!BB8/((1/1000)*(s_Irr!AZ8)),IF(AND(s_Irr!AA8&lt;&gt;".",s_Irr!AZ8=".",s_Irr!BY8="."),s_dir!BB8/((1/1000)*(s_Irr!AA8)),IF(AND(s_Irr!AA8=".",s_Irr!AZ8=".",s_Irr!BY8="."),s_dir!BB8*1000)))))))),".")</f>
        <v>105610.33922783667</v>
      </c>
      <c r="CC8" s="87">
        <f t="shared" si="2"/>
        <v>954.89813317357221</v>
      </c>
      <c r="CD8" s="87">
        <f>IFERROR(s_C*s_IFAP_far_adj*s_CF_apple*(1/1000)*(s_Irr!C8+s_Irr!AB8+s_Irr!BA8),".")</f>
        <v>238.72453329339305</v>
      </c>
      <c r="CE8" s="87">
        <f>IFERROR(s_C*s_IFAS_far_adj*s_CF_asparagus*(1/1000)*(s_Irr!D8+s_Irr!AC8+s_Irr!BB8),".")</f>
        <v>238.72453329339305</v>
      </c>
      <c r="CF8" s="87">
        <f>IFERROR(s_C*s_IFBT_far_adj*s_CF_beet*(1/1000)*(s_Irr!E8+s_Irr!AD8+s_Irr!BC8),".")</f>
        <v>238.72453329339305</v>
      </c>
      <c r="CG8" s="87">
        <f>IFERROR(s_C*s_IFBE_far_adj*s_CF_berries*(1/1000)*(s_Irr!F8+s_Irr!AE8+s_Irr!BD8),".")</f>
        <v>238.72453329339305</v>
      </c>
      <c r="CH8" s="87">
        <f>IFERROR(s_C*s_IFBR_far_adj*s_CF_broccoli*(1/1000)*(s_Irr!G8+s_Irr!AF8+s_Irr!BE8),".")</f>
        <v>238.72453329339305</v>
      </c>
      <c r="CI8" s="87">
        <f>IFERROR(s_C*s_IFCB_far_adj*s_CF_cabbage*(1/1000)*(s_Irr!H8+s_Irr!AG8+s_Irr!BF8),".")</f>
        <v>238.72453329339305</v>
      </c>
      <c r="CJ8" s="87">
        <f>IFERROR(s_C*s_IFCR_far_adj*s_CF_carrot*(1/1000)*(s_Irr!I8+s_Irr!AH8+s_Irr!BG8),".")</f>
        <v>238.72453329339305</v>
      </c>
      <c r="CK8" s="87">
        <f>IFERROR(s_C*s_IFCI_far_adj*s_CF_citrus*(1/1000)*(s_Irr!J8+s_Irr!AI8+s_Irr!BH8),".")</f>
        <v>238.72453329339305</v>
      </c>
      <c r="CL8" s="87">
        <f>IFERROR(s_C*s_IFCO_far_adj*s_CF_corn*(1/1000)*(s_Irr!K8+s_Irr!AJ8+s_Irr!BI8),".")</f>
        <v>238.72453329339305</v>
      </c>
      <c r="CM8" s="87">
        <f>IFERROR(s_C*s_IFCU_far_adj*s_CF_cucumber*(1/1000)*(s_Irr!L8+s_Irr!AK8+s_Irr!BJ8),".")</f>
        <v>238.72453329339305</v>
      </c>
      <c r="CN8" s="87">
        <f>IFERROR(s_C*s_IFLE_far_adj*s_CF_lettuce*(1/1000)*(s_Irr!M8+s_Irr!AL8+s_Irr!BK8),".")</f>
        <v>238.72453329339305</v>
      </c>
      <c r="CO8" s="87">
        <f>IFERROR(s_C*s_IFLI_far_adj*s_CF_lima_bean*(1/1000)*(s_Irr!N8+s_Irr!AM8+s_Irr!BL8),".")</f>
        <v>238.72453329339305</v>
      </c>
      <c r="CP8" s="87">
        <f>IFERROR(s_C*s_IFOK_far_adj*s_CF_okra*(1/1000)*(s_Irr!O8+s_Irr!AN8+s_Irr!BM8),".")</f>
        <v>238.72453329339305</v>
      </c>
      <c r="CQ8" s="87">
        <f>IFERROR(s_C*s_IFON_far_adj*s_CF_onion*(1/1000)*(s_Irr!P8+s_Irr!AO8+s_Irr!BN8),".")</f>
        <v>238.72453329339305</v>
      </c>
      <c r="CR8" s="87">
        <f>IFERROR(s_C*s_IFPC_far_adj*s_CF_peach*(1/1000)*(s_Irr!Q8+s_Irr!AP8+s_Irr!BO8),".")</f>
        <v>238.72453329339305</v>
      </c>
      <c r="CS8" s="87">
        <f>IFERROR(s_C*s_IFPR_far_adj*s_CF_pear*(1/1000)*(s_Irr!R8+s_Irr!AQ8+s_Irr!BP8),".")</f>
        <v>238.72453329339305</v>
      </c>
      <c r="CT8" s="87">
        <f>IFERROR(s_C*s_IFPE_far_adj*s_CF_peas*(1/1000)*(s_Irr!S8+s_Irr!AR8+s_Irr!BQ8),".")</f>
        <v>238.72453329339305</v>
      </c>
      <c r="CU8" s="87">
        <f>IFERROR(s_C*s_IFPP_far_adj*s_CF_peppers*(1/1000)*(s_Irr!T8+s_Irr!AS8+s_Irr!BR8),".")</f>
        <v>238.72453329339305</v>
      </c>
      <c r="CV8" s="87">
        <f>IFERROR(s_C*s_IFPT_far_adj*s_CF_potato*(1/1000)*(s_Irr!U8+s_Irr!AT8+s_Irr!BS8),".")</f>
        <v>238.72453329339305</v>
      </c>
      <c r="CW8" s="87">
        <f>IFERROR(s_C*s_IFPU_far_adj*s_CF_pumpkin*(1/1000)*(s_Irr!V8+s_Irr!AU8+s_Irr!BT8),".")</f>
        <v>238.72453329339305</v>
      </c>
      <c r="CX8" s="87">
        <f>IFERROR(s_C*s_IFSN_far_adj*s_CF_snap_bean*(1/1000)*(s_Irr!W8+s_Irr!AV8+s_Irr!BU8),".")</f>
        <v>238.72453329339305</v>
      </c>
      <c r="CY8" s="87">
        <f>IFERROR(s_C*s_IFST_far_adj*s_CF_strawberry*(1/1000)*(s_Irr!X8+s_Irr!AW8+s_Irr!BV8),".")</f>
        <v>238.72453329339305</v>
      </c>
      <c r="CZ8" s="87">
        <f>IFERROR(s_C*s_IFTO_far_adj*s_CF_tomato*(1/1000)*(s_Irr!Y8+s_Irr!AX8+s_Irr!BW8),".")</f>
        <v>238.72453329339305</v>
      </c>
      <c r="DA8" s="87">
        <f>IFERROR(s_C*s_IFRI_far_adj*s_CF_rice*(1/1000)*(s_Irr!Z8+s_Irr!AY8+s_Irr!BX8),".")</f>
        <v>238.72453329339305</v>
      </c>
      <c r="DB8" s="87">
        <f>IFERROR(s_C*s_IFCG_far_adj*s_CF_cereal*(1/1000)*(s_Irr!AA8+s_Irr!AZ8+s_Irr!BY8),".")</f>
        <v>238.72453329339305</v>
      </c>
    </row>
    <row r="9" spans="1:106" ht="15" customHeight="1" x14ac:dyDescent="0.25">
      <c r="A9" s="86" t="s">
        <v>7</v>
      </c>
      <c r="B9" s="84" t="s">
        <v>1057</v>
      </c>
      <c r="C9" s="15">
        <f t="shared" si="3"/>
        <v>47489.212941376216</v>
      </c>
      <c r="D9" s="70">
        <f>IFERROR(IF(AND(s_Irr!C9&lt;&gt;".",s_Irr!AB9&lt;&gt;".",s_Irr!BA9&lt;&gt;"."),s_dir!D9/((1/1000)*(s_Irr!C9+s_Irr!AB9+s_Irr!BA9)),IF(AND(s_Irr!C9&lt;&gt;".",s_Irr!AB9&lt;&gt;".",s_Irr!BA9="."),s_dir!D9/((1/1000)*(s_Irr!C9+s_Irr!AB9)),IF(AND(s_Irr!C9&lt;&gt;".",s_Irr!AB9=".",s_Irr!BA9&lt;&gt;"."),s_dir!D9/((1/1000)*(s_Irr!C9+s_Irr!BA9)),IF(AND(s_Irr!C9=".",s_Irr!AB9&lt;&gt;".",s_Irr!BA9&lt;&gt;"."),s_dir!D9/((1/1000)*(s_Irr!AB9+s_Irr!BA9)),IF(AND(s_Irr!C9=".",s_Irr!AB9=".",s_Irr!BA9&lt;&gt;"."),s_dir!D9/((1/1000)*(s_Irr!BA9)),IF(AND(s_Irr!C9=".",s_Irr!AB9&lt;&gt;".",s_Irr!BA9="."),s_dir!D9/((1/1000)*(s_Irr!AB9)),IF(AND(s_Irr!C9&lt;&gt;".",s_Irr!AB9=".",s_Irr!BA9="."),s_dir!D9/((1/1000)*(s_Irr!C9)),IF(AND(s_Irr!C9=".",s_Irr!AB9=".",s_Irr!BA9="."),s_dir!D9*1000)))))))),".")</f>
        <v>189956.85176550486</v>
      </c>
      <c r="E9" s="70">
        <f>IFERROR(IF(AND(s_Irr!D9&lt;&gt;".",s_Irr!AC9&lt;&gt;".",s_Irr!BB9&lt;&gt;"."),s_dir!E9/((1/1000)*(s_Irr!D9+s_Irr!AC9+s_Irr!BB9)),IF(AND(s_Irr!D9&lt;&gt;".",s_Irr!AC9&lt;&gt;".",s_Irr!BB9="."),s_dir!E9/((1/1000)*(s_Irr!D9+s_Irr!AC9)),IF(AND(s_Irr!D9&lt;&gt;".",s_Irr!AC9=".",s_Irr!BB9&lt;&gt;"."),s_dir!E9/((1/1000)*(s_Irr!D9+s_Irr!BB9)),IF(AND(s_Irr!D9=".",s_Irr!AC9&lt;&gt;".",s_Irr!BB9&lt;&gt;"."),s_dir!E9/((1/1000)*(s_Irr!AC9+s_Irr!BB9)),IF(AND(s_Irr!D9=".",s_Irr!AC9=".",s_Irr!BB9&lt;&gt;"."),s_dir!E9/((1/1000)*(s_Irr!BB9)),IF(AND(s_Irr!D9=".",s_Irr!AC9&lt;&gt;".",s_Irr!BB9="."),s_dir!E9/((1/1000)*(s_Irr!AC9)),IF(AND(s_Irr!D9&lt;&gt;".",s_Irr!AC9=".",s_Irr!BB9="."),s_dir!E9/((1/1000)*(s_Irr!D9)),IF(AND(s_Irr!D9=".",s_Irr!AC9=".",s_Irr!BB9="."),s_dir!E9*1000)))))))),".")</f>
        <v>189956.85176550486</v>
      </c>
      <c r="F9" s="70">
        <f>IFERROR(IF(AND(s_Irr!E9&lt;&gt;".",s_Irr!AD9&lt;&gt;".",s_Irr!BC9&lt;&gt;"."),s_dir!F9/((1/1000)*(s_Irr!E9+s_Irr!AD9+s_Irr!BC9)),IF(AND(s_Irr!E9&lt;&gt;".",s_Irr!AD9&lt;&gt;".",s_Irr!BC9="."),s_dir!F9/((1/1000)*(s_Irr!E9+s_Irr!AD9)),IF(AND(s_Irr!E9&lt;&gt;".",s_Irr!AD9=".",s_Irr!BC9&lt;&gt;"."),s_dir!F9/((1/1000)*(s_Irr!E9+s_Irr!BC9)),IF(AND(s_Irr!E9=".",s_Irr!AD9&lt;&gt;".",s_Irr!BC9&lt;&gt;"."),s_dir!F9/((1/1000)*(s_Irr!AD9+s_Irr!BC9)),IF(AND(s_Irr!E9=".",s_Irr!AD9=".",s_Irr!BC9&lt;&gt;"."),s_dir!F9/((1/1000)*(s_Irr!BC9)),IF(AND(s_Irr!E9=".",s_Irr!AD9&lt;&gt;".",s_Irr!BC9="."),s_dir!F9/((1/1000)*(s_Irr!AD9)),IF(AND(s_Irr!E9&lt;&gt;".",s_Irr!AD9=".",s_Irr!BC9="."),s_dir!F9/((1/1000)*(s_Irr!E9)),IF(AND(s_Irr!E9=".",s_Irr!AD9=".",s_Irr!BC9="."),s_dir!F9*1000)))))))),".")</f>
        <v>189956.85176550486</v>
      </c>
      <c r="G9" s="70">
        <f>IFERROR(IF(AND(s_Irr!F9&lt;&gt;".",s_Irr!AE9&lt;&gt;".",s_Irr!BD9&lt;&gt;"."),s_dir!G9/((1/1000)*(s_Irr!F9+s_Irr!AE9+s_Irr!BD9)),IF(AND(s_Irr!F9&lt;&gt;".",s_Irr!AE9&lt;&gt;".",s_Irr!BD9="."),s_dir!G9/((1/1000)*(s_Irr!F9+s_Irr!AE9)),IF(AND(s_Irr!F9&lt;&gt;".",s_Irr!AE9=".",s_Irr!BD9&lt;&gt;"."),s_dir!G9/((1/1000)*(s_Irr!F9+s_Irr!BD9)),IF(AND(s_Irr!F9=".",s_Irr!AE9&lt;&gt;".",s_Irr!BD9&lt;&gt;"."),s_dir!G9/((1/1000)*(s_Irr!AE9+s_Irr!BD9)),IF(AND(s_Irr!F9=".",s_Irr!AE9=".",s_Irr!BD9&lt;&gt;"."),s_dir!G9/((1/1000)*(s_Irr!BD9)),IF(AND(s_Irr!F9=".",s_Irr!AE9&lt;&gt;".",s_Irr!BD9="."),s_dir!G9/((1/1000)*(s_Irr!AE9)),IF(AND(s_Irr!F9&lt;&gt;".",s_Irr!AE9=".",s_Irr!BD9="."),s_dir!G9/((1/1000)*(s_Irr!F9)),IF(AND(s_Irr!F9=".",s_Irr!AE9=".",s_Irr!BD9="."),s_dir!G9*1000)))))))),".")</f>
        <v>189956.85176550486</v>
      </c>
      <c r="H9" s="70">
        <f>IFERROR(IF(AND(s_Irr!G9&lt;&gt;".",s_Irr!AF9&lt;&gt;".",s_Irr!BE9&lt;&gt;"."),s_dir!H9/((1/1000)*(s_Irr!G9+s_Irr!AF9+s_Irr!BE9)),IF(AND(s_Irr!G9&lt;&gt;".",s_Irr!AF9&lt;&gt;".",s_Irr!BE9="."),s_dir!H9/((1/1000)*(s_Irr!G9+s_Irr!AF9)),IF(AND(s_Irr!G9&lt;&gt;".",s_Irr!AF9=".",s_Irr!BE9&lt;&gt;"."),s_dir!H9/((1/1000)*(s_Irr!G9+s_Irr!BE9)),IF(AND(s_Irr!G9=".",s_Irr!AF9&lt;&gt;".",s_Irr!BE9&lt;&gt;"."),s_dir!H9/((1/1000)*(s_Irr!AF9+s_Irr!BE9)),IF(AND(s_Irr!G9=".",s_Irr!AF9=".",s_Irr!BE9&lt;&gt;"."),s_dir!H9/((1/1000)*(s_Irr!BE9)),IF(AND(s_Irr!G9=".",s_Irr!AF9&lt;&gt;".",s_Irr!BE9="."),s_dir!H9/((1/1000)*(s_Irr!AF9)),IF(AND(s_Irr!G9&lt;&gt;".",s_Irr!AF9=".",s_Irr!BE9="."),s_dir!H9/((1/1000)*(s_Irr!G9)),IF(AND(s_Irr!G9=".",s_Irr!AF9=".",s_Irr!BE9="."),s_dir!H9*1000)))))))),".")</f>
        <v>189956.85176550486</v>
      </c>
      <c r="I9" s="70">
        <f>IFERROR(IF(AND(s_Irr!H9&lt;&gt;".",s_Irr!AG9&lt;&gt;".",s_Irr!BF9&lt;&gt;"."),s_dir!I9/((1/1000)*(s_Irr!H9+s_Irr!AG9+s_Irr!BF9)),IF(AND(s_Irr!H9&lt;&gt;".",s_Irr!AG9&lt;&gt;".",s_Irr!BF9="."),s_dir!I9/((1/1000)*(s_Irr!H9+s_Irr!AG9)),IF(AND(s_Irr!H9&lt;&gt;".",s_Irr!AG9=".",s_Irr!BF9&lt;&gt;"."),s_dir!I9/((1/1000)*(s_Irr!H9+s_Irr!BF9)),IF(AND(s_Irr!H9=".",s_Irr!AG9&lt;&gt;".",s_Irr!BF9&lt;&gt;"."),s_dir!I9/((1/1000)*(s_Irr!AG9+s_Irr!BF9)),IF(AND(s_Irr!H9=".",s_Irr!AG9=".",s_Irr!BF9&lt;&gt;"."),s_dir!I9/((1/1000)*(s_Irr!BF9)),IF(AND(s_Irr!H9=".",s_Irr!AG9&lt;&gt;".",s_Irr!BF9="."),s_dir!I9/((1/1000)*(s_Irr!AG9)),IF(AND(s_Irr!H9&lt;&gt;".",s_Irr!AG9=".",s_Irr!BF9="."),s_dir!I9/((1/1000)*(s_Irr!H9)),IF(AND(s_Irr!H9=".",s_Irr!AG9=".",s_Irr!BF9="."),s_dir!I9*1000)))))))),".")</f>
        <v>189956.85176550486</v>
      </c>
      <c r="J9" s="70">
        <f>IFERROR(IF(AND(s_Irr!I9&lt;&gt;".",s_Irr!AH9&lt;&gt;".",s_Irr!BG9&lt;&gt;"."),s_dir!J9/((1/1000)*(s_Irr!I9+s_Irr!AH9+s_Irr!BG9)),IF(AND(s_Irr!I9&lt;&gt;".",s_Irr!AH9&lt;&gt;".",s_Irr!BG9="."),s_dir!J9/((1/1000)*(s_Irr!I9+s_Irr!AH9)),IF(AND(s_Irr!I9&lt;&gt;".",s_Irr!AH9=".",s_Irr!BG9&lt;&gt;"."),s_dir!J9/((1/1000)*(s_Irr!I9+s_Irr!BG9)),IF(AND(s_Irr!I9=".",s_Irr!AH9&lt;&gt;".",s_Irr!BG9&lt;&gt;"."),s_dir!J9/((1/1000)*(s_Irr!AH9+s_Irr!BG9)),IF(AND(s_Irr!I9=".",s_Irr!AH9=".",s_Irr!BG9&lt;&gt;"."),s_dir!J9/((1/1000)*(s_Irr!BG9)),IF(AND(s_Irr!I9=".",s_Irr!AH9&lt;&gt;".",s_Irr!BG9="."),s_dir!J9/((1/1000)*(s_Irr!AH9)),IF(AND(s_Irr!I9&lt;&gt;".",s_Irr!AH9=".",s_Irr!BG9="."),s_dir!J9/((1/1000)*(s_Irr!I9)),IF(AND(s_Irr!I9=".",s_Irr!AH9=".",s_Irr!BG9="."),s_dir!J9*1000)))))))),".")</f>
        <v>189956.85176550486</v>
      </c>
      <c r="K9" s="70">
        <f>IFERROR(IF(AND(s_Irr!J9&lt;&gt;".",s_Irr!AI9&lt;&gt;".",s_Irr!BH9&lt;&gt;"."),s_dir!K9/((1/1000)*(s_Irr!J9+s_Irr!AI9+s_Irr!BH9)),IF(AND(s_Irr!J9&lt;&gt;".",s_Irr!AI9&lt;&gt;".",s_Irr!BH9="."),s_dir!K9/((1/1000)*(s_Irr!J9+s_Irr!AI9)),IF(AND(s_Irr!J9&lt;&gt;".",s_Irr!AI9=".",s_Irr!BH9&lt;&gt;"."),s_dir!K9/((1/1000)*(s_Irr!J9+s_Irr!BH9)),IF(AND(s_Irr!J9=".",s_Irr!AI9&lt;&gt;".",s_Irr!BH9&lt;&gt;"."),s_dir!K9/((1/1000)*(s_Irr!AI9+s_Irr!BH9)),IF(AND(s_Irr!J9=".",s_Irr!AI9=".",s_Irr!BH9&lt;&gt;"."),s_dir!K9/((1/1000)*(s_Irr!BH9)),IF(AND(s_Irr!J9=".",s_Irr!AI9&lt;&gt;".",s_Irr!BH9="."),s_dir!K9/((1/1000)*(s_Irr!AI9)),IF(AND(s_Irr!J9&lt;&gt;".",s_Irr!AI9=".",s_Irr!BH9="."),s_dir!K9/((1/1000)*(s_Irr!J9)),IF(AND(s_Irr!J9=".",s_Irr!AI9=".",s_Irr!BH9="."),s_dir!K9*1000)))))))),".")</f>
        <v>189956.85176550486</v>
      </c>
      <c r="L9" s="70">
        <f>IFERROR(IF(AND(s_Irr!K9&lt;&gt;".",s_Irr!AJ9&lt;&gt;".",s_Irr!BI9&lt;&gt;"."),s_dir!L9/((1/1000)*(s_Irr!K9+s_Irr!AJ9+s_Irr!BI9)),IF(AND(s_Irr!K9&lt;&gt;".",s_Irr!AJ9&lt;&gt;".",s_Irr!BI9="."),s_dir!L9/((1/1000)*(s_Irr!K9+s_Irr!AJ9)),IF(AND(s_Irr!K9&lt;&gt;".",s_Irr!AJ9=".",s_Irr!BI9&lt;&gt;"."),s_dir!L9/((1/1000)*(s_Irr!K9+s_Irr!BI9)),IF(AND(s_Irr!K9=".",s_Irr!AJ9&lt;&gt;".",s_Irr!BI9&lt;&gt;"."),s_dir!L9/((1/1000)*(s_Irr!AJ9+s_Irr!BI9)),IF(AND(s_Irr!K9=".",s_Irr!AJ9=".",s_Irr!BI9&lt;&gt;"."),s_dir!L9/((1/1000)*(s_Irr!BI9)),IF(AND(s_Irr!K9=".",s_Irr!AJ9&lt;&gt;".",s_Irr!BI9="."),s_dir!L9/((1/1000)*(s_Irr!AJ9)),IF(AND(s_Irr!K9&lt;&gt;".",s_Irr!AJ9=".",s_Irr!BI9="."),s_dir!L9/((1/1000)*(s_Irr!K9)),IF(AND(s_Irr!K9=".",s_Irr!AJ9=".",s_Irr!BI9="."),s_dir!L9*1000)))))))),".")</f>
        <v>189956.85176550486</v>
      </c>
      <c r="M9" s="70">
        <f>IFERROR(IF(AND(s_Irr!L9&lt;&gt;".",s_Irr!AK9&lt;&gt;".",s_Irr!BJ9&lt;&gt;"."),s_dir!M9/((1/1000)*(s_Irr!L9+s_Irr!AK9+s_Irr!BJ9)),IF(AND(s_Irr!L9&lt;&gt;".",s_Irr!AK9&lt;&gt;".",s_Irr!BJ9="."),s_dir!M9/((1/1000)*(s_Irr!L9+s_Irr!AK9)),IF(AND(s_Irr!L9&lt;&gt;".",s_Irr!AK9=".",s_Irr!BJ9&lt;&gt;"."),s_dir!M9/((1/1000)*(s_Irr!L9+s_Irr!BJ9)),IF(AND(s_Irr!L9=".",s_Irr!AK9&lt;&gt;".",s_Irr!BJ9&lt;&gt;"."),s_dir!M9/((1/1000)*(s_Irr!AK9+s_Irr!BJ9)),IF(AND(s_Irr!L9=".",s_Irr!AK9=".",s_Irr!BJ9&lt;&gt;"."),s_dir!M9/((1/1000)*(s_Irr!BJ9)),IF(AND(s_Irr!L9=".",s_Irr!AK9&lt;&gt;".",s_Irr!BJ9="."),s_dir!M9/((1/1000)*(s_Irr!AK9)),IF(AND(s_Irr!L9&lt;&gt;".",s_Irr!AK9=".",s_Irr!BJ9="."),s_dir!M9/((1/1000)*(s_Irr!L9)),IF(AND(s_Irr!L9=".",s_Irr!AK9=".",s_Irr!BJ9="."),s_dir!M9*1000)))))))),".")</f>
        <v>189956.85176550486</v>
      </c>
      <c r="N9" s="70">
        <f>IFERROR(IF(AND(s_Irr!M9&lt;&gt;".",s_Irr!AL9&lt;&gt;".",s_Irr!BK9&lt;&gt;"."),s_dir!N9/((1/1000)*(s_Irr!M9+s_Irr!AL9+s_Irr!BK9)),IF(AND(s_Irr!M9&lt;&gt;".",s_Irr!AL9&lt;&gt;".",s_Irr!BK9="."),s_dir!N9/((1/1000)*(s_Irr!M9+s_Irr!AL9)),IF(AND(s_Irr!M9&lt;&gt;".",s_Irr!AL9=".",s_Irr!BK9&lt;&gt;"."),s_dir!N9/((1/1000)*(s_Irr!M9+s_Irr!BK9)),IF(AND(s_Irr!M9=".",s_Irr!AL9&lt;&gt;".",s_Irr!BK9&lt;&gt;"."),s_dir!N9/((1/1000)*(s_Irr!AL9+s_Irr!BK9)),IF(AND(s_Irr!M9=".",s_Irr!AL9=".",s_Irr!BK9&lt;&gt;"."),s_dir!N9/((1/1000)*(s_Irr!BK9)),IF(AND(s_Irr!M9=".",s_Irr!AL9&lt;&gt;".",s_Irr!BK9="."),s_dir!N9/((1/1000)*(s_Irr!AL9)),IF(AND(s_Irr!M9&lt;&gt;".",s_Irr!AL9=".",s_Irr!BK9="."),s_dir!N9/((1/1000)*(s_Irr!M9)),IF(AND(s_Irr!M9=".",s_Irr!AL9=".",s_Irr!BK9="."),s_dir!N9*1000)))))))),".")</f>
        <v>189956.85176550486</v>
      </c>
      <c r="O9" s="70">
        <f>IFERROR(IF(AND(s_Irr!N9&lt;&gt;".",s_Irr!AM9&lt;&gt;".",s_Irr!BL9&lt;&gt;"."),s_dir!O9/((1/1000)*(s_Irr!N9+s_Irr!AM9+s_Irr!BL9)),IF(AND(s_Irr!N9&lt;&gt;".",s_Irr!AM9&lt;&gt;".",s_Irr!BL9="."),s_dir!O9/((1/1000)*(s_Irr!N9+s_Irr!AM9)),IF(AND(s_Irr!N9&lt;&gt;".",s_Irr!AM9=".",s_Irr!BL9&lt;&gt;"."),s_dir!O9/((1/1000)*(s_Irr!N9+s_Irr!BL9)),IF(AND(s_Irr!N9=".",s_Irr!AM9&lt;&gt;".",s_Irr!BL9&lt;&gt;"."),s_dir!O9/((1/1000)*(s_Irr!AM9+s_Irr!BL9)),IF(AND(s_Irr!N9=".",s_Irr!AM9=".",s_Irr!BL9&lt;&gt;"."),s_dir!O9/((1/1000)*(s_Irr!BL9)),IF(AND(s_Irr!N9=".",s_Irr!AM9&lt;&gt;".",s_Irr!BL9="."),s_dir!O9/((1/1000)*(s_Irr!AM9)),IF(AND(s_Irr!N9&lt;&gt;".",s_Irr!AM9=".",s_Irr!BL9="."),s_dir!O9/((1/1000)*(s_Irr!N9)),IF(AND(s_Irr!N9=".",s_Irr!AM9=".",s_Irr!BL9="."),s_dir!O9*1000)))))))),".")</f>
        <v>189956.85176550486</v>
      </c>
      <c r="P9" s="70">
        <f>IFERROR(IF(AND(s_Irr!O9&lt;&gt;".",s_Irr!AN9&lt;&gt;".",s_Irr!BM9&lt;&gt;"."),s_dir!P9/((1/1000)*(s_Irr!O9+s_Irr!AN9+s_Irr!BM9)),IF(AND(s_Irr!O9&lt;&gt;".",s_Irr!AN9&lt;&gt;".",s_Irr!BM9="."),s_dir!P9/((1/1000)*(s_Irr!O9+s_Irr!AN9)),IF(AND(s_Irr!O9&lt;&gt;".",s_Irr!AN9=".",s_Irr!BM9&lt;&gt;"."),s_dir!P9/((1/1000)*(s_Irr!O9+s_Irr!BM9)),IF(AND(s_Irr!O9=".",s_Irr!AN9&lt;&gt;".",s_Irr!BM9&lt;&gt;"."),s_dir!P9/((1/1000)*(s_Irr!AN9+s_Irr!BM9)),IF(AND(s_Irr!O9=".",s_Irr!AN9=".",s_Irr!BM9&lt;&gt;"."),s_dir!P9/((1/1000)*(s_Irr!BM9)),IF(AND(s_Irr!O9=".",s_Irr!AN9&lt;&gt;".",s_Irr!BM9="."),s_dir!P9/((1/1000)*(s_Irr!AN9)),IF(AND(s_Irr!O9&lt;&gt;".",s_Irr!AN9=".",s_Irr!BM9="."),s_dir!P9/((1/1000)*(s_Irr!O9)),IF(AND(s_Irr!O9=".",s_Irr!AN9=".",s_Irr!BM9="."),s_dir!P9*1000)))))))),".")</f>
        <v>189956.85176550486</v>
      </c>
      <c r="Q9" s="70">
        <f>IFERROR(IF(AND(s_Irr!P9&lt;&gt;".",s_Irr!AO9&lt;&gt;".",s_Irr!BN9&lt;&gt;"."),s_dir!Q9/((1/1000)*(s_Irr!P9+s_Irr!AO9+s_Irr!BN9)),IF(AND(s_Irr!P9&lt;&gt;".",s_Irr!AO9&lt;&gt;".",s_Irr!BN9="."),s_dir!Q9/((1/1000)*(s_Irr!P9+s_Irr!AO9)),IF(AND(s_Irr!P9&lt;&gt;".",s_Irr!AO9=".",s_Irr!BN9&lt;&gt;"."),s_dir!Q9/((1/1000)*(s_Irr!P9+s_Irr!BN9)),IF(AND(s_Irr!P9=".",s_Irr!AO9&lt;&gt;".",s_Irr!BN9&lt;&gt;"."),s_dir!Q9/((1/1000)*(s_Irr!AO9+s_Irr!BN9)),IF(AND(s_Irr!P9=".",s_Irr!AO9=".",s_Irr!BN9&lt;&gt;"."),s_dir!Q9/((1/1000)*(s_Irr!BN9)),IF(AND(s_Irr!P9=".",s_Irr!AO9&lt;&gt;".",s_Irr!BN9="."),s_dir!Q9/((1/1000)*(s_Irr!AO9)),IF(AND(s_Irr!P9&lt;&gt;".",s_Irr!AO9=".",s_Irr!BN9="."),s_dir!Q9/((1/1000)*(s_Irr!P9)),IF(AND(s_Irr!P9=".",s_Irr!AO9=".",s_Irr!BN9="."),s_dir!Q9*1000)))))))),".")</f>
        <v>189956.85176550486</v>
      </c>
      <c r="R9" s="70">
        <f>IFERROR(IF(AND(s_Irr!Q9&lt;&gt;".",s_Irr!AP9&lt;&gt;".",s_Irr!BO9&lt;&gt;"."),s_dir!R9/((1/1000)*(s_Irr!Q9+s_Irr!AP9+s_Irr!BO9)),IF(AND(s_Irr!Q9&lt;&gt;".",s_Irr!AP9&lt;&gt;".",s_Irr!BO9="."),s_dir!R9/((1/1000)*(s_Irr!Q9+s_Irr!AP9)),IF(AND(s_Irr!Q9&lt;&gt;".",s_Irr!AP9=".",s_Irr!BO9&lt;&gt;"."),s_dir!R9/((1/1000)*(s_Irr!Q9+s_Irr!BO9)),IF(AND(s_Irr!Q9=".",s_Irr!AP9&lt;&gt;".",s_Irr!BO9&lt;&gt;"."),s_dir!R9/((1/1000)*(s_Irr!AP9+s_Irr!BO9)),IF(AND(s_Irr!Q9=".",s_Irr!AP9=".",s_Irr!BO9&lt;&gt;"."),s_dir!R9/((1/1000)*(s_Irr!BO9)),IF(AND(s_Irr!Q9=".",s_Irr!AP9&lt;&gt;".",s_Irr!BO9="."),s_dir!R9/((1/1000)*(s_Irr!AP9)),IF(AND(s_Irr!Q9&lt;&gt;".",s_Irr!AP9=".",s_Irr!BO9="."),s_dir!R9/((1/1000)*(s_Irr!Q9)),IF(AND(s_Irr!Q9=".",s_Irr!AP9=".",s_Irr!BO9="."),s_dir!R9*1000)))))))),".")</f>
        <v>189956.85176550486</v>
      </c>
      <c r="S9" s="70">
        <f>IFERROR(IF(AND(s_Irr!R9&lt;&gt;".",s_Irr!AQ9&lt;&gt;".",s_Irr!BP9&lt;&gt;"."),s_dir!S9/((1/1000)*(s_Irr!R9+s_Irr!AQ9+s_Irr!BP9)),IF(AND(s_Irr!R9&lt;&gt;".",s_Irr!AQ9&lt;&gt;".",s_Irr!BP9="."),s_dir!S9/((1/1000)*(s_Irr!R9+s_Irr!AQ9)),IF(AND(s_Irr!R9&lt;&gt;".",s_Irr!AQ9=".",s_Irr!BP9&lt;&gt;"."),s_dir!S9/((1/1000)*(s_Irr!R9+s_Irr!BP9)),IF(AND(s_Irr!R9=".",s_Irr!AQ9&lt;&gt;".",s_Irr!BP9&lt;&gt;"."),s_dir!S9/((1/1000)*(s_Irr!AQ9+s_Irr!BP9)),IF(AND(s_Irr!R9=".",s_Irr!AQ9=".",s_Irr!BP9&lt;&gt;"."),s_dir!S9/((1/1000)*(s_Irr!BP9)),IF(AND(s_Irr!R9=".",s_Irr!AQ9&lt;&gt;".",s_Irr!BP9="."),s_dir!S9/((1/1000)*(s_Irr!AQ9)),IF(AND(s_Irr!R9&lt;&gt;".",s_Irr!AQ9=".",s_Irr!BP9="."),s_dir!S9/((1/1000)*(s_Irr!R9)),IF(AND(s_Irr!R9=".",s_Irr!AQ9=".",s_Irr!BP9="."),s_dir!S9*1000)))))))),".")</f>
        <v>189956.85176550486</v>
      </c>
      <c r="T9" s="70">
        <f>IFERROR(IF(AND(s_Irr!S9&lt;&gt;".",s_Irr!AR9&lt;&gt;".",s_Irr!BQ9&lt;&gt;"."),s_dir!T9/((1/1000)*(s_Irr!S9+s_Irr!AR9+s_Irr!BQ9)),IF(AND(s_Irr!S9&lt;&gt;".",s_Irr!AR9&lt;&gt;".",s_Irr!BQ9="."),s_dir!T9/((1/1000)*(s_Irr!S9+s_Irr!AR9)),IF(AND(s_Irr!S9&lt;&gt;".",s_Irr!AR9=".",s_Irr!BQ9&lt;&gt;"."),s_dir!T9/((1/1000)*(s_Irr!S9+s_Irr!BQ9)),IF(AND(s_Irr!S9=".",s_Irr!AR9&lt;&gt;".",s_Irr!BQ9&lt;&gt;"."),s_dir!T9/((1/1000)*(s_Irr!AR9+s_Irr!BQ9)),IF(AND(s_Irr!S9=".",s_Irr!AR9=".",s_Irr!BQ9&lt;&gt;"."),s_dir!T9/((1/1000)*(s_Irr!BQ9)),IF(AND(s_Irr!S9=".",s_Irr!AR9&lt;&gt;".",s_Irr!BQ9="."),s_dir!T9/((1/1000)*(s_Irr!AR9)),IF(AND(s_Irr!S9&lt;&gt;".",s_Irr!AR9=".",s_Irr!BQ9="."),s_dir!T9/((1/1000)*(s_Irr!S9)),IF(AND(s_Irr!S9=".",s_Irr!AR9=".",s_Irr!BQ9="."),s_dir!T9*1000)))))))),".")</f>
        <v>189956.85176550486</v>
      </c>
      <c r="U9" s="70">
        <f>IFERROR(IF(AND(s_Irr!T9&lt;&gt;".",s_Irr!AS9&lt;&gt;".",s_Irr!BR9&lt;&gt;"."),s_dir!U9/((1/1000)*(s_Irr!T9+s_Irr!AS9+s_Irr!BR9)),IF(AND(s_Irr!T9&lt;&gt;".",s_Irr!AS9&lt;&gt;".",s_Irr!BR9="."),s_dir!U9/((1/1000)*(s_Irr!T9+s_Irr!AS9)),IF(AND(s_Irr!T9&lt;&gt;".",s_Irr!AS9=".",s_Irr!BR9&lt;&gt;"."),s_dir!U9/((1/1000)*(s_Irr!T9+s_Irr!BR9)),IF(AND(s_Irr!T9=".",s_Irr!AS9&lt;&gt;".",s_Irr!BR9&lt;&gt;"."),s_dir!U9/((1/1000)*(s_Irr!AS9+s_Irr!BR9)),IF(AND(s_Irr!T9=".",s_Irr!AS9=".",s_Irr!BR9&lt;&gt;"."),s_dir!U9/((1/1000)*(s_Irr!BR9)),IF(AND(s_Irr!T9=".",s_Irr!AS9&lt;&gt;".",s_Irr!BR9="."),s_dir!U9/((1/1000)*(s_Irr!AS9)),IF(AND(s_Irr!T9&lt;&gt;".",s_Irr!AS9=".",s_Irr!BR9="."),s_dir!U9/((1/1000)*(s_Irr!T9)),IF(AND(s_Irr!T9=".",s_Irr!AS9=".",s_Irr!BR9="."),s_dir!U9*1000)))))))),".")</f>
        <v>189956.85176550486</v>
      </c>
      <c r="V9" s="70">
        <f>IFERROR(IF(AND(s_Irr!U9&lt;&gt;".",s_Irr!AT9&lt;&gt;".",s_Irr!BS9&lt;&gt;"."),s_dir!V9/((1/1000)*(s_Irr!U9+s_Irr!AT9+s_Irr!BS9)),IF(AND(s_Irr!U9&lt;&gt;".",s_Irr!AT9&lt;&gt;".",s_Irr!BS9="."),s_dir!V9/((1/1000)*(s_Irr!U9+s_Irr!AT9)),IF(AND(s_Irr!U9&lt;&gt;".",s_Irr!AT9=".",s_Irr!BS9&lt;&gt;"."),s_dir!V9/((1/1000)*(s_Irr!U9+s_Irr!BS9)),IF(AND(s_Irr!U9=".",s_Irr!AT9&lt;&gt;".",s_Irr!BS9&lt;&gt;"."),s_dir!V9/((1/1000)*(s_Irr!AT9+s_Irr!BS9)),IF(AND(s_Irr!U9=".",s_Irr!AT9=".",s_Irr!BS9&lt;&gt;"."),s_dir!V9/((1/1000)*(s_Irr!BS9)),IF(AND(s_Irr!U9=".",s_Irr!AT9&lt;&gt;".",s_Irr!BS9="."),s_dir!V9/((1/1000)*(s_Irr!AT9)),IF(AND(s_Irr!U9&lt;&gt;".",s_Irr!AT9=".",s_Irr!BS9="."),s_dir!V9/((1/1000)*(s_Irr!U9)),IF(AND(s_Irr!U9=".",s_Irr!AT9=".",s_Irr!BS9="."),s_dir!V9*1000)))))))),".")</f>
        <v>189956.85176550486</v>
      </c>
      <c r="W9" s="70">
        <f>IFERROR(IF(AND(s_Irr!V9&lt;&gt;".",s_Irr!AU9&lt;&gt;".",s_Irr!BT9&lt;&gt;"."),s_dir!W9/((1/1000)*(s_Irr!V9+s_Irr!AU9+s_Irr!BT9)),IF(AND(s_Irr!V9&lt;&gt;".",s_Irr!AU9&lt;&gt;".",s_Irr!BT9="."),s_dir!W9/((1/1000)*(s_Irr!V9+s_Irr!AU9)),IF(AND(s_Irr!V9&lt;&gt;".",s_Irr!AU9=".",s_Irr!BT9&lt;&gt;"."),s_dir!W9/((1/1000)*(s_Irr!V9+s_Irr!BT9)),IF(AND(s_Irr!V9=".",s_Irr!AU9&lt;&gt;".",s_Irr!BT9&lt;&gt;"."),s_dir!W9/((1/1000)*(s_Irr!AU9+s_Irr!BT9)),IF(AND(s_Irr!V9=".",s_Irr!AU9=".",s_Irr!BT9&lt;&gt;"."),s_dir!W9/((1/1000)*(s_Irr!BT9)),IF(AND(s_Irr!V9=".",s_Irr!AU9&lt;&gt;".",s_Irr!BT9="."),s_dir!W9/((1/1000)*(s_Irr!AU9)),IF(AND(s_Irr!V9&lt;&gt;".",s_Irr!AU9=".",s_Irr!BT9="."),s_dir!W9/((1/1000)*(s_Irr!V9)),IF(AND(s_Irr!V9=".",s_Irr!AU9=".",s_Irr!BT9="."),s_dir!W9*1000)))))))),".")</f>
        <v>189956.85176550486</v>
      </c>
      <c r="X9" s="70">
        <f>IFERROR(IF(AND(s_Irr!W9&lt;&gt;".",s_Irr!AV9&lt;&gt;".",s_Irr!BU9&lt;&gt;"."),s_dir!X9/((1/1000)*(s_Irr!W9+s_Irr!AV9+s_Irr!BU9)),IF(AND(s_Irr!W9&lt;&gt;".",s_Irr!AV9&lt;&gt;".",s_Irr!BU9="."),s_dir!X9/((1/1000)*(s_Irr!W9+s_Irr!AV9)),IF(AND(s_Irr!W9&lt;&gt;".",s_Irr!AV9=".",s_Irr!BU9&lt;&gt;"."),s_dir!X9/((1/1000)*(s_Irr!W9+s_Irr!BU9)),IF(AND(s_Irr!W9=".",s_Irr!AV9&lt;&gt;".",s_Irr!BU9&lt;&gt;"."),s_dir!X9/((1/1000)*(s_Irr!AV9+s_Irr!BU9)),IF(AND(s_Irr!W9=".",s_Irr!AV9=".",s_Irr!BU9&lt;&gt;"."),s_dir!X9/((1/1000)*(s_Irr!BU9)),IF(AND(s_Irr!W9=".",s_Irr!AV9&lt;&gt;".",s_Irr!BU9="."),s_dir!X9/((1/1000)*(s_Irr!AV9)),IF(AND(s_Irr!W9&lt;&gt;".",s_Irr!AV9=".",s_Irr!BU9="."),s_dir!X9/((1/1000)*(s_Irr!W9)),IF(AND(s_Irr!W9=".",s_Irr!AV9=".",s_Irr!BU9="."),s_dir!X9*1000)))))))),".")</f>
        <v>189956.85176550486</v>
      </c>
      <c r="Y9" s="70">
        <f>IFERROR(IF(AND(s_Irr!X9&lt;&gt;".",s_Irr!AW9&lt;&gt;".",s_Irr!BV9&lt;&gt;"."),s_dir!Y9/((1/1000)*(s_Irr!X9+s_Irr!AW9+s_Irr!BV9)),IF(AND(s_Irr!X9&lt;&gt;".",s_Irr!AW9&lt;&gt;".",s_Irr!BV9="."),s_dir!Y9/((1/1000)*(s_Irr!X9+s_Irr!AW9)),IF(AND(s_Irr!X9&lt;&gt;".",s_Irr!AW9=".",s_Irr!BV9&lt;&gt;"."),s_dir!Y9/((1/1000)*(s_Irr!X9+s_Irr!BV9)),IF(AND(s_Irr!X9=".",s_Irr!AW9&lt;&gt;".",s_Irr!BV9&lt;&gt;"."),s_dir!Y9/((1/1000)*(s_Irr!AW9+s_Irr!BV9)),IF(AND(s_Irr!X9=".",s_Irr!AW9=".",s_Irr!BV9&lt;&gt;"."),s_dir!Y9/((1/1000)*(s_Irr!BV9)),IF(AND(s_Irr!X9=".",s_Irr!AW9&lt;&gt;".",s_Irr!BV9="."),s_dir!Y9/((1/1000)*(s_Irr!AW9)),IF(AND(s_Irr!X9&lt;&gt;".",s_Irr!AW9=".",s_Irr!BV9="."),s_dir!Y9/((1/1000)*(s_Irr!X9)),IF(AND(s_Irr!X9=".",s_Irr!AW9=".",s_Irr!BV9="."),s_dir!Y9*1000)))))))),".")</f>
        <v>189956.85176550486</v>
      </c>
      <c r="Z9" s="70">
        <f>IFERROR(IF(AND(s_Irr!Y9&lt;&gt;".",s_Irr!AX9&lt;&gt;".",s_Irr!BW9&lt;&gt;"."),s_dir!Z9/((1/1000)*(s_Irr!Y9+s_Irr!AX9+s_Irr!BW9)),IF(AND(s_Irr!Y9&lt;&gt;".",s_Irr!AX9&lt;&gt;".",s_Irr!BW9="."),s_dir!Z9/((1/1000)*(s_Irr!Y9+s_Irr!AX9)),IF(AND(s_Irr!Y9&lt;&gt;".",s_Irr!AX9=".",s_Irr!BW9&lt;&gt;"."),s_dir!Z9/((1/1000)*(s_Irr!Y9+s_Irr!BW9)),IF(AND(s_Irr!Y9=".",s_Irr!AX9&lt;&gt;".",s_Irr!BW9&lt;&gt;"."),s_dir!Z9/((1/1000)*(s_Irr!AX9+s_Irr!BW9)),IF(AND(s_Irr!Y9=".",s_Irr!AX9=".",s_Irr!BW9&lt;&gt;"."),s_dir!Z9/((1/1000)*(s_Irr!BW9)),IF(AND(s_Irr!Y9=".",s_Irr!AX9&lt;&gt;".",s_Irr!BW9="."),s_dir!Z9/((1/1000)*(s_Irr!AX9)),IF(AND(s_Irr!Y9&lt;&gt;".",s_Irr!AX9=".",s_Irr!BW9="."),s_dir!Z9/((1/1000)*(s_Irr!Y9)),IF(AND(s_Irr!Y9=".",s_Irr!AX9=".",s_Irr!BW9="."),s_dir!Z9*1000)))))))),".")</f>
        <v>189956.85176550486</v>
      </c>
      <c r="AA9" s="70">
        <f>IFERROR(IF(AND(s_Irr!Z9&lt;&gt;".",s_Irr!AY9&lt;&gt;".",s_Irr!BX9&lt;&gt;"."),s_dir!AA9/((1/1000)*(s_Irr!Z9+s_Irr!AY9+s_Irr!BX9)),IF(AND(s_Irr!Z9&lt;&gt;".",s_Irr!AY9&lt;&gt;".",s_Irr!BX9="."),s_dir!AA9/((1/1000)*(s_Irr!Z9+s_Irr!AY9)),IF(AND(s_Irr!Z9&lt;&gt;".",s_Irr!AY9=".",s_Irr!BX9&lt;&gt;"."),s_dir!AA9/((1/1000)*(s_Irr!Z9+s_Irr!BX9)),IF(AND(s_Irr!Z9=".",s_Irr!AY9&lt;&gt;".",s_Irr!BX9&lt;&gt;"."),s_dir!AA9/((1/1000)*(s_Irr!AY9+s_Irr!BX9)),IF(AND(s_Irr!Z9=".",s_Irr!AY9=".",s_Irr!BX9&lt;&gt;"."),s_dir!AA9/((1/1000)*(s_Irr!BX9)),IF(AND(s_Irr!Z9=".",s_Irr!AY9&lt;&gt;".",s_Irr!BX9="."),s_dir!AA9/((1/1000)*(s_Irr!AY9)),IF(AND(s_Irr!Z9&lt;&gt;".",s_Irr!AY9=".",s_Irr!BX9="."),s_dir!AA9/((1/1000)*(s_Irr!Z9)),IF(AND(s_Irr!Z9=".",s_Irr!AY9=".",s_Irr!BX9="."),s_dir!AA9*1000)))))))),".")</f>
        <v>189956.85176550486</v>
      </c>
      <c r="AB9" s="70">
        <f>IFERROR(IF(AND(s_Irr!AA9&lt;&gt;".",s_Irr!AZ9&lt;&gt;".",s_Irr!BY9&lt;&gt;"."),s_dir!AB9/((1/1000)*(s_Irr!AA9+s_Irr!AZ9+s_Irr!BY9)),IF(AND(s_Irr!AA9&lt;&gt;".",s_Irr!AZ9&lt;&gt;".",s_Irr!BY9="."),s_dir!AB9/((1/1000)*(s_Irr!AA9+s_Irr!AZ9)),IF(AND(s_Irr!AA9&lt;&gt;".",s_Irr!AZ9=".",s_Irr!BY9&lt;&gt;"."),s_dir!AB9/((1/1000)*(s_Irr!AA9+s_Irr!BY9)),IF(AND(s_Irr!AA9=".",s_Irr!AZ9&lt;&gt;".",s_Irr!BY9&lt;&gt;"."),s_dir!AB9/((1/1000)*(s_Irr!AZ9+s_Irr!BY9)),IF(AND(s_Irr!AA9=".",s_Irr!AZ9=".",s_Irr!BY9&lt;&gt;"."),s_dir!AB9/((1/1000)*(s_Irr!BY9)),IF(AND(s_Irr!AA9=".",s_Irr!AZ9&lt;&gt;".",s_Irr!BY9="."),s_dir!AB9/((1/1000)*(s_Irr!AZ9)),IF(AND(s_Irr!AA9&lt;&gt;".",s_Irr!AZ9=".",s_Irr!BY9="."),s_dir!AB9/((1/1000)*(s_Irr!AA9)),IF(AND(s_Irr!AA9=".",s_Irr!AZ9=".",s_Irr!BY9="."),s_dir!AB9*1000)))))))),".")</f>
        <v>189956.85176550486</v>
      </c>
      <c r="AC9" s="87">
        <f t="shared" si="4"/>
        <v>954.89813317357221</v>
      </c>
      <c r="AD9" s="87">
        <f>IFERROR(s_C*s_IFAP_res_adj*s_CF_apple*0.001*(s_Irr!C9+s_Irr!AB9+s_Irr!BA9),".")</f>
        <v>238.72453329339305</v>
      </c>
      <c r="AE9" s="87">
        <f>IFERROR(s_C*s_IFAS_res_adj*s_CF_asparagus*0.001*(s_Irr!D9+s_Irr!AC9+s_Irr!BB9),".")</f>
        <v>238.72453329339305</v>
      </c>
      <c r="AF9" s="87">
        <f>IFERROR(s_C*s_IFBT_res_adj*s_CF_beet*0.001*(s_Irr!E9+s_Irr!AD9+s_Irr!BC9),".")</f>
        <v>238.72453329339305</v>
      </c>
      <c r="AG9" s="87">
        <f>IFERROR(s_C*s_IFBE_res_adj*s_CF_berries*0.001*(s_Irr!F9+s_Irr!AE9+s_Irr!BD9),".")</f>
        <v>238.72453329339305</v>
      </c>
      <c r="AH9" s="87">
        <f>IFERROR(s_C*s_IFBR_res_adj*s_CF_broccoli*0.001*(s_Irr!G9+s_Irr!AF9+s_Irr!BE9),".")</f>
        <v>238.72453329339305</v>
      </c>
      <c r="AI9" s="87">
        <f>IFERROR(s_C*s_IFCB_res_adj*s_CF_cabbage*0.001*(s_Irr!H9+s_Irr!AG9+s_Irr!BF9),".")</f>
        <v>238.72453329339305</v>
      </c>
      <c r="AJ9" s="87">
        <f>IFERROR(s_C*s_IFCR_res_adj*s_CF_carrot*0.001*(s_Irr!I9+s_Irr!AH9+s_Irr!BG9),".")</f>
        <v>238.72453329339305</v>
      </c>
      <c r="AK9" s="87">
        <f>IFERROR(s_C*s_IFCI_res_adj*s_CF_citrus*0.001*(s_Irr!J9+s_Irr!AI9+s_Irr!BH9),".")</f>
        <v>238.72453329339305</v>
      </c>
      <c r="AL9" s="87">
        <f>IFERROR(s_C*s_IFCO_res_adj*s_CF_corn*0.001*(s_Irr!K9+s_Irr!AJ9+s_Irr!BI9),".")</f>
        <v>238.72453329339305</v>
      </c>
      <c r="AM9" s="87">
        <f>IFERROR(s_C*s_IFCU_res_adj*s_CF_cucumber*0.001*(s_Irr!L9+s_Irr!AK9+s_Irr!BJ9),".")</f>
        <v>238.72453329339305</v>
      </c>
      <c r="AN9" s="87">
        <f>IFERROR(s_C*s_IFLE_res_adj*s_CF_lettuce*0.001*(s_Irr!M9+s_Irr!AL9+s_Irr!BK9),".")</f>
        <v>238.72453329339305</v>
      </c>
      <c r="AO9" s="87">
        <f>IFERROR(s_C*s_IFLI_res_adj*s_CF_lima_bean*0.001*(s_Irr!N9+s_Irr!AM9+s_Irr!BL9),".")</f>
        <v>238.72453329339305</v>
      </c>
      <c r="AP9" s="87">
        <f>IFERROR(s_C*s_IFOK_res_adj*s_CF_okra*0.001*(s_Irr!O9+s_Irr!AN9+s_Irr!BM9),".")</f>
        <v>238.72453329339305</v>
      </c>
      <c r="AQ9" s="87">
        <f>IFERROR(s_C*s_IFON_res_adj*s_CF_onion*0.001*(s_Irr!P9+s_Irr!AO9+s_Irr!BN9),".")</f>
        <v>238.72453329339305</v>
      </c>
      <c r="AR9" s="87">
        <f>IFERROR(s_C*s_IFPC_res_adj*s_CF_peach*0.001*(s_Irr!Q9+s_Irr!AP9+s_Irr!BO9),".")</f>
        <v>238.72453329339305</v>
      </c>
      <c r="AS9" s="87">
        <f>IFERROR(s_C*s_IFPR_res_adj*s_CF_pear*0.001*(s_Irr!R9+s_Irr!AQ9+s_Irr!BP9),".")</f>
        <v>238.72453329339305</v>
      </c>
      <c r="AT9" s="87">
        <f>IFERROR(s_C*s_IFPE_res_adj*s_CF_peas*0.001*(s_Irr!S9+s_Irr!AR9+s_Irr!BQ9),".")</f>
        <v>238.72453329339305</v>
      </c>
      <c r="AU9" s="87">
        <f>IFERROR(s_C*s_IFPP_res_adj*s_CF_peppers*0.001*(s_Irr!T9+s_Irr!AS9+s_Irr!BR9),".")</f>
        <v>238.72453329339305</v>
      </c>
      <c r="AV9" s="87">
        <f>IFERROR(s_C*s_IFPT_res_adj*s_CF_potato*0.001*(s_Irr!U9+s_Irr!AT9+s_Irr!BS9),".")</f>
        <v>238.72453329339305</v>
      </c>
      <c r="AW9" s="87">
        <f>IFERROR(s_C*s_IFPU_res_adj*s_CF_pumpkin*0.001*(s_Irr!V9+s_Irr!AU9+s_Irr!BT9),".")</f>
        <v>238.72453329339305</v>
      </c>
      <c r="AX9" s="87">
        <f>IFERROR(s_C*s_IFSN_res_adj*s_CF_snap_bean*0.001*(s_Irr!W9+s_Irr!AV9+s_Irr!BU9),".")</f>
        <v>238.72453329339305</v>
      </c>
      <c r="AY9" s="87">
        <f>IFERROR(s_C*s_IFST_res_adj*s_CF_strawberry*0.001*(s_Irr!X9+s_Irr!AW9+s_Irr!BV9),".")</f>
        <v>238.72453329339305</v>
      </c>
      <c r="AZ9" s="87">
        <f>IFERROR(s_C*s_IFTO_res_adj*s_CF_tomato*0.001*(s_Irr!Y9+s_Irr!AX9+s_Irr!BW9),".")</f>
        <v>238.72453329339305</v>
      </c>
      <c r="BA9" s="87">
        <f>IFERROR(s_C*s_IFRI_res_adj*s_CF_rice*0.001*(s_Irr!Z9+s_Irr!AY9+s_Irr!BX9),".")</f>
        <v>238.72453329339305</v>
      </c>
      <c r="BB9" s="87">
        <f>IFERROR(s_C*s_IFCG_res_adj*s_CF_cereal*0.001*(s_Irr!AA9+s_Irr!AZ9+s_Irr!BY9),".")</f>
        <v>238.72453329339305</v>
      </c>
      <c r="BC9" s="70">
        <f t="shared" si="1"/>
        <v>47489.212941376216</v>
      </c>
      <c r="BD9" s="70">
        <f>IFERROR(IF(AND(s_Irr!C9&lt;&gt;".",s_Irr!AB9&lt;&gt;".",s_Irr!BA9&lt;&gt;"."),s_dir!AD9/((1/1000)*(s_Irr!C9+s_Irr!AB9+s_Irr!BA9)),IF(AND(s_Irr!C9&lt;&gt;".",s_Irr!AB9&lt;&gt;".",s_Irr!BA9="."),s_dir!AD9/((1/1000)*(s_Irr!C9+s_Irr!AB9)),IF(AND(s_Irr!C9&lt;&gt;".",s_Irr!AB9=".",s_Irr!BA9&lt;&gt;"."),s_dir!AD9/((1/1000)*(s_Irr!C9+s_Irr!BA9)),IF(AND(s_Irr!C9=".",s_Irr!AB9&lt;&gt;".",s_Irr!BA9&lt;&gt;"."),s_dir!AD9/((1/1000)*(s_Irr!AB9+s_Irr!BA9)),IF(AND(s_Irr!C9=".",s_Irr!AB9=".",s_Irr!BA9&lt;&gt;"."),s_dir!AD9/((1/1000)*(s_Irr!BA9)),IF(AND(s_Irr!C9=".",s_Irr!AB9&lt;&gt;".",s_Irr!BA9="."),s_dir!AD9/((1/1000)*(s_Irr!AB9)),IF(AND(s_Irr!C9&lt;&gt;".",s_Irr!AB9=".",s_Irr!BA9="."),s_dir!AD9/((1/1000)*(s_Irr!C9)),IF(AND(s_Irr!C9=".",s_Irr!AB9=".",s_Irr!BA9="."),s_dir!AD9*1000)))))))),".")</f>
        <v>189956.85176550486</v>
      </c>
      <c r="BE9" s="70">
        <f>IFERROR(IF(AND(s_Irr!D9&lt;&gt;".",s_Irr!AC9&lt;&gt;".",s_Irr!BB9&lt;&gt;"."),s_dir!AE9/((1/1000)*(s_Irr!D9+s_Irr!AC9+s_Irr!BB9)),IF(AND(s_Irr!D9&lt;&gt;".",s_Irr!AC9&lt;&gt;".",s_Irr!BB9="."),s_dir!AE9/((1/1000)*(s_Irr!D9+s_Irr!AC9)),IF(AND(s_Irr!D9&lt;&gt;".",s_Irr!AC9=".",s_Irr!BB9&lt;&gt;"."),s_dir!AE9/((1/1000)*(s_Irr!D9+s_Irr!BB9)),IF(AND(s_Irr!D9=".",s_Irr!AC9&lt;&gt;".",s_Irr!BB9&lt;&gt;"."),s_dir!AE9/((1/1000)*(s_Irr!AC9+s_Irr!BB9)),IF(AND(s_Irr!D9=".",s_Irr!AC9=".",s_Irr!BB9&lt;&gt;"."),s_dir!AE9/((1/1000)*(s_Irr!BB9)),IF(AND(s_Irr!D9=".",s_Irr!AC9&lt;&gt;".",s_Irr!BB9="."),s_dir!AE9/((1/1000)*(s_Irr!AC9)),IF(AND(s_Irr!D9&lt;&gt;".",s_Irr!AC9=".",s_Irr!BB9="."),s_dir!AE9/((1/1000)*(s_Irr!D9)),IF(AND(s_Irr!D9=".",s_Irr!AC9=".",s_Irr!BB9="."),s_dir!AE9*1000)))))))),".")</f>
        <v>189956.85176550486</v>
      </c>
      <c r="BF9" s="70">
        <f>IFERROR(IF(AND(s_Irr!E9&lt;&gt;".",s_Irr!AD9&lt;&gt;".",s_Irr!BC9&lt;&gt;"."),s_dir!AF9/((1/1000)*(s_Irr!E9+s_Irr!AD9+s_Irr!BC9)),IF(AND(s_Irr!E9&lt;&gt;".",s_Irr!AD9&lt;&gt;".",s_Irr!BC9="."),s_dir!AF9/((1/1000)*(s_Irr!E9+s_Irr!AD9)),IF(AND(s_Irr!E9&lt;&gt;".",s_Irr!AD9=".",s_Irr!BC9&lt;&gt;"."),s_dir!AF9/((1/1000)*(s_Irr!E9+s_Irr!BC9)),IF(AND(s_Irr!E9=".",s_Irr!AD9&lt;&gt;".",s_Irr!BC9&lt;&gt;"."),s_dir!AF9/((1/1000)*(s_Irr!AD9+s_Irr!BC9)),IF(AND(s_Irr!E9=".",s_Irr!AD9=".",s_Irr!BC9&lt;&gt;"."),s_dir!AF9/((1/1000)*(s_Irr!BC9)),IF(AND(s_Irr!E9=".",s_Irr!AD9&lt;&gt;".",s_Irr!BC9="."),s_dir!AF9/((1/1000)*(s_Irr!AD9)),IF(AND(s_Irr!E9&lt;&gt;".",s_Irr!AD9=".",s_Irr!BC9="."),s_dir!AF9/((1/1000)*(s_Irr!E9)),IF(AND(s_Irr!E9=".",s_Irr!AD9=".",s_Irr!BC9="."),s_dir!AF9*1000)))))))),".")</f>
        <v>189956.85176550486</v>
      </c>
      <c r="BG9" s="70">
        <f>IFERROR(IF(AND(s_Irr!F9&lt;&gt;".",s_Irr!AE9&lt;&gt;".",s_Irr!BD9&lt;&gt;"."),s_dir!AG9/((1/1000)*(s_Irr!F9+s_Irr!AE9+s_Irr!BD9)),IF(AND(s_Irr!F9&lt;&gt;".",s_Irr!AE9&lt;&gt;".",s_Irr!BD9="."),s_dir!AG9/((1/1000)*(s_Irr!F9+s_Irr!AE9)),IF(AND(s_Irr!F9&lt;&gt;".",s_Irr!AE9=".",s_Irr!BD9&lt;&gt;"."),s_dir!AG9/((1/1000)*(s_Irr!F9+s_Irr!BD9)),IF(AND(s_Irr!F9=".",s_Irr!AE9&lt;&gt;".",s_Irr!BD9&lt;&gt;"."),s_dir!AG9/((1/1000)*(s_Irr!AE9+s_Irr!BD9)),IF(AND(s_Irr!F9=".",s_Irr!AE9=".",s_Irr!BD9&lt;&gt;"."),s_dir!AG9/((1/1000)*(s_Irr!BD9)),IF(AND(s_Irr!F9=".",s_Irr!AE9&lt;&gt;".",s_Irr!BD9="."),s_dir!AG9/((1/1000)*(s_Irr!AE9)),IF(AND(s_Irr!F9&lt;&gt;".",s_Irr!AE9=".",s_Irr!BD9="."),s_dir!AG9/((1/1000)*(s_Irr!F9)),IF(AND(s_Irr!F9=".",s_Irr!AE9=".",s_Irr!BD9="."),s_dir!AG9*1000)))))))),".")</f>
        <v>189956.85176550486</v>
      </c>
      <c r="BH9" s="70">
        <f>IFERROR(IF(AND(s_Irr!G9&lt;&gt;".",s_Irr!AF9&lt;&gt;".",s_Irr!BE9&lt;&gt;"."),s_dir!AH9/((1/1000)*(s_Irr!G9+s_Irr!AF9+s_Irr!BE9)),IF(AND(s_Irr!G9&lt;&gt;".",s_Irr!AF9&lt;&gt;".",s_Irr!BE9="."),s_dir!AH9/((1/1000)*(s_Irr!G9+s_Irr!AF9)),IF(AND(s_Irr!G9&lt;&gt;".",s_Irr!AF9=".",s_Irr!BE9&lt;&gt;"."),s_dir!AH9/((1/1000)*(s_Irr!G9+s_Irr!BE9)),IF(AND(s_Irr!G9=".",s_Irr!AF9&lt;&gt;".",s_Irr!BE9&lt;&gt;"."),s_dir!AH9/((1/1000)*(s_Irr!AF9+s_Irr!BE9)),IF(AND(s_Irr!G9=".",s_Irr!AF9=".",s_Irr!BE9&lt;&gt;"."),s_dir!AH9/((1/1000)*(s_Irr!BE9)),IF(AND(s_Irr!G9=".",s_Irr!AF9&lt;&gt;".",s_Irr!BE9="."),s_dir!AH9/((1/1000)*(s_Irr!AF9)),IF(AND(s_Irr!G9&lt;&gt;".",s_Irr!AF9=".",s_Irr!BE9="."),s_dir!AH9/((1/1000)*(s_Irr!G9)),IF(AND(s_Irr!G9=".",s_Irr!AF9=".",s_Irr!BE9="."),s_dir!AH9*1000)))))))),".")</f>
        <v>189956.85176550486</v>
      </c>
      <c r="BI9" s="70">
        <f>IFERROR(IF(AND(s_Irr!H9&lt;&gt;".",s_Irr!AG9&lt;&gt;".",s_Irr!BF9&lt;&gt;"."),s_dir!AI9/((1/1000)*(s_Irr!H9+s_Irr!AG9+s_Irr!BF9)),IF(AND(s_Irr!H9&lt;&gt;".",s_Irr!AG9&lt;&gt;".",s_Irr!BF9="."),s_dir!AI9/((1/1000)*(s_Irr!H9+s_Irr!AG9)),IF(AND(s_Irr!H9&lt;&gt;".",s_Irr!AG9=".",s_Irr!BF9&lt;&gt;"."),s_dir!AI9/((1/1000)*(s_Irr!H9+s_Irr!BF9)),IF(AND(s_Irr!H9=".",s_Irr!AG9&lt;&gt;".",s_Irr!BF9&lt;&gt;"."),s_dir!AI9/((1/1000)*(s_Irr!AG9+s_Irr!BF9)),IF(AND(s_Irr!H9=".",s_Irr!AG9=".",s_Irr!BF9&lt;&gt;"."),s_dir!AI9/((1/1000)*(s_Irr!BF9)),IF(AND(s_Irr!H9=".",s_Irr!AG9&lt;&gt;".",s_Irr!BF9="."),s_dir!AI9/((1/1000)*(s_Irr!AG9)),IF(AND(s_Irr!H9&lt;&gt;".",s_Irr!AG9=".",s_Irr!BF9="."),s_dir!AI9/((1/1000)*(s_Irr!H9)),IF(AND(s_Irr!H9=".",s_Irr!AG9=".",s_Irr!BF9="."),s_dir!AI9*1000)))))))),".")</f>
        <v>189956.85176550486</v>
      </c>
      <c r="BJ9" s="70">
        <f>IFERROR(IF(AND(s_Irr!I9&lt;&gt;".",s_Irr!AH9&lt;&gt;".",s_Irr!BG9&lt;&gt;"."),s_dir!AJ9/((1/1000)*(s_Irr!I9+s_Irr!AH9+s_Irr!BG9)),IF(AND(s_Irr!I9&lt;&gt;".",s_Irr!AH9&lt;&gt;".",s_Irr!BG9="."),s_dir!AJ9/((1/1000)*(s_Irr!I9+s_Irr!AH9)),IF(AND(s_Irr!I9&lt;&gt;".",s_Irr!AH9=".",s_Irr!BG9&lt;&gt;"."),s_dir!AJ9/((1/1000)*(s_Irr!I9+s_Irr!BG9)),IF(AND(s_Irr!I9=".",s_Irr!AH9&lt;&gt;".",s_Irr!BG9&lt;&gt;"."),s_dir!AJ9/((1/1000)*(s_Irr!AH9+s_Irr!BG9)),IF(AND(s_Irr!I9=".",s_Irr!AH9=".",s_Irr!BG9&lt;&gt;"."),s_dir!AJ9/((1/1000)*(s_Irr!BG9)),IF(AND(s_Irr!I9=".",s_Irr!AH9&lt;&gt;".",s_Irr!BG9="."),s_dir!AJ9/((1/1000)*(s_Irr!AH9)),IF(AND(s_Irr!I9&lt;&gt;".",s_Irr!AH9=".",s_Irr!BG9="."),s_dir!AJ9/((1/1000)*(s_Irr!I9)),IF(AND(s_Irr!I9=".",s_Irr!AH9=".",s_Irr!BG9="."),s_dir!AJ9*1000)))))))),".")</f>
        <v>189956.85176550486</v>
      </c>
      <c r="BK9" s="70">
        <f>IFERROR(IF(AND(s_Irr!J9&lt;&gt;".",s_Irr!AI9&lt;&gt;".",s_Irr!BH9&lt;&gt;"."),s_dir!AK9/((1/1000)*(s_Irr!J9+s_Irr!AI9+s_Irr!BH9)),IF(AND(s_Irr!J9&lt;&gt;".",s_Irr!AI9&lt;&gt;".",s_Irr!BH9="."),s_dir!AK9/((1/1000)*(s_Irr!J9+s_Irr!AI9)),IF(AND(s_Irr!J9&lt;&gt;".",s_Irr!AI9=".",s_Irr!BH9&lt;&gt;"."),s_dir!AK9/((1/1000)*(s_Irr!J9+s_Irr!BH9)),IF(AND(s_Irr!J9=".",s_Irr!AI9&lt;&gt;".",s_Irr!BH9&lt;&gt;"."),s_dir!AK9/((1/1000)*(s_Irr!AI9+s_Irr!BH9)),IF(AND(s_Irr!J9=".",s_Irr!AI9=".",s_Irr!BH9&lt;&gt;"."),s_dir!AK9/((1/1000)*(s_Irr!BH9)),IF(AND(s_Irr!J9=".",s_Irr!AI9&lt;&gt;".",s_Irr!BH9="."),s_dir!AK9/((1/1000)*(s_Irr!AI9)),IF(AND(s_Irr!J9&lt;&gt;".",s_Irr!AI9=".",s_Irr!BH9="."),s_dir!AK9/((1/1000)*(s_Irr!J9)),IF(AND(s_Irr!J9=".",s_Irr!AI9=".",s_Irr!BH9="."),s_dir!AK9*1000)))))))),".")</f>
        <v>189956.85176550486</v>
      </c>
      <c r="BL9" s="70">
        <f>IFERROR(IF(AND(s_Irr!K9&lt;&gt;".",s_Irr!AJ9&lt;&gt;".",s_Irr!BI9&lt;&gt;"."),s_dir!AL9/((1/1000)*(s_Irr!K9+s_Irr!AJ9+s_Irr!BI9)),IF(AND(s_Irr!K9&lt;&gt;".",s_Irr!AJ9&lt;&gt;".",s_Irr!BI9="."),s_dir!AL9/((1/1000)*(s_Irr!K9+s_Irr!AJ9)),IF(AND(s_Irr!K9&lt;&gt;".",s_Irr!AJ9=".",s_Irr!BI9&lt;&gt;"."),s_dir!AL9/((1/1000)*(s_Irr!K9+s_Irr!BI9)),IF(AND(s_Irr!K9=".",s_Irr!AJ9&lt;&gt;".",s_Irr!BI9&lt;&gt;"."),s_dir!AL9/((1/1000)*(s_Irr!AJ9+s_Irr!BI9)),IF(AND(s_Irr!K9=".",s_Irr!AJ9=".",s_Irr!BI9&lt;&gt;"."),s_dir!AL9/((1/1000)*(s_Irr!BI9)),IF(AND(s_Irr!K9=".",s_Irr!AJ9&lt;&gt;".",s_Irr!BI9="."),s_dir!AL9/((1/1000)*(s_Irr!AJ9)),IF(AND(s_Irr!K9&lt;&gt;".",s_Irr!AJ9=".",s_Irr!BI9="."),s_dir!AL9/((1/1000)*(s_Irr!K9)),IF(AND(s_Irr!K9=".",s_Irr!AJ9=".",s_Irr!BI9="."),s_dir!AL9*1000)))))))),".")</f>
        <v>189956.85176550486</v>
      </c>
      <c r="BM9" s="70">
        <f>IFERROR(IF(AND(s_Irr!L9&lt;&gt;".",s_Irr!AK9&lt;&gt;".",s_Irr!BJ9&lt;&gt;"."),s_dir!AM9/((1/1000)*(s_Irr!L9+s_Irr!AK9+s_Irr!BJ9)),IF(AND(s_Irr!L9&lt;&gt;".",s_Irr!AK9&lt;&gt;".",s_Irr!BJ9="."),s_dir!AM9/((1/1000)*(s_Irr!L9+s_Irr!AK9)),IF(AND(s_Irr!L9&lt;&gt;".",s_Irr!AK9=".",s_Irr!BJ9&lt;&gt;"."),s_dir!AM9/((1/1000)*(s_Irr!L9+s_Irr!BJ9)),IF(AND(s_Irr!L9=".",s_Irr!AK9&lt;&gt;".",s_Irr!BJ9&lt;&gt;"."),s_dir!AM9/((1/1000)*(s_Irr!AK9+s_Irr!BJ9)),IF(AND(s_Irr!L9=".",s_Irr!AK9=".",s_Irr!BJ9&lt;&gt;"."),s_dir!AM9/((1/1000)*(s_Irr!BJ9)),IF(AND(s_Irr!L9=".",s_Irr!AK9&lt;&gt;".",s_Irr!BJ9="."),s_dir!AM9/((1/1000)*(s_Irr!AK9)),IF(AND(s_Irr!L9&lt;&gt;".",s_Irr!AK9=".",s_Irr!BJ9="."),s_dir!AM9/((1/1000)*(s_Irr!L9)),IF(AND(s_Irr!L9=".",s_Irr!AK9=".",s_Irr!BJ9="."),s_dir!AM9*1000)))))))),".")</f>
        <v>189956.85176550486</v>
      </c>
      <c r="BN9" s="70">
        <f>IFERROR(IF(AND(s_Irr!M9&lt;&gt;".",s_Irr!AL9&lt;&gt;".",s_Irr!BK9&lt;&gt;"."),s_dir!AN9/((1/1000)*(s_Irr!M9+s_Irr!AL9+s_Irr!BK9)),IF(AND(s_Irr!M9&lt;&gt;".",s_Irr!AL9&lt;&gt;".",s_Irr!BK9="."),s_dir!AN9/((1/1000)*(s_Irr!M9+s_Irr!AL9)),IF(AND(s_Irr!M9&lt;&gt;".",s_Irr!AL9=".",s_Irr!BK9&lt;&gt;"."),s_dir!AN9/((1/1000)*(s_Irr!M9+s_Irr!BK9)),IF(AND(s_Irr!M9=".",s_Irr!AL9&lt;&gt;".",s_Irr!BK9&lt;&gt;"."),s_dir!AN9/((1/1000)*(s_Irr!AL9+s_Irr!BK9)),IF(AND(s_Irr!M9=".",s_Irr!AL9=".",s_Irr!BK9&lt;&gt;"."),s_dir!AN9/((1/1000)*(s_Irr!BK9)),IF(AND(s_Irr!M9=".",s_Irr!AL9&lt;&gt;".",s_Irr!BK9="."),s_dir!AN9/((1/1000)*(s_Irr!AL9)),IF(AND(s_Irr!M9&lt;&gt;".",s_Irr!AL9=".",s_Irr!BK9="."),s_dir!AN9/((1/1000)*(s_Irr!M9)),IF(AND(s_Irr!M9=".",s_Irr!AL9=".",s_Irr!BK9="."),s_dir!AN9*1000)))))))),".")</f>
        <v>189956.85176550486</v>
      </c>
      <c r="BO9" s="70">
        <f>IFERROR(IF(AND(s_Irr!N9&lt;&gt;".",s_Irr!AM9&lt;&gt;".",s_Irr!BL9&lt;&gt;"."),s_dir!AO9/((1/1000)*(s_Irr!N9+s_Irr!AM9+s_Irr!BL9)),IF(AND(s_Irr!N9&lt;&gt;".",s_Irr!AM9&lt;&gt;".",s_Irr!BL9="."),s_dir!AO9/((1/1000)*(s_Irr!N9+s_Irr!AM9)),IF(AND(s_Irr!N9&lt;&gt;".",s_Irr!AM9=".",s_Irr!BL9&lt;&gt;"."),s_dir!AO9/((1/1000)*(s_Irr!N9+s_Irr!BL9)),IF(AND(s_Irr!N9=".",s_Irr!AM9&lt;&gt;".",s_Irr!BL9&lt;&gt;"."),s_dir!AO9/((1/1000)*(s_Irr!AM9+s_Irr!BL9)),IF(AND(s_Irr!N9=".",s_Irr!AM9=".",s_Irr!BL9&lt;&gt;"."),s_dir!AO9/((1/1000)*(s_Irr!BL9)),IF(AND(s_Irr!N9=".",s_Irr!AM9&lt;&gt;".",s_Irr!BL9="."),s_dir!AO9/((1/1000)*(s_Irr!AM9)),IF(AND(s_Irr!N9&lt;&gt;".",s_Irr!AM9=".",s_Irr!BL9="."),s_dir!AO9/((1/1000)*(s_Irr!N9)),IF(AND(s_Irr!N9=".",s_Irr!AM9=".",s_Irr!BL9="."),s_dir!AO9*1000)))))))),".")</f>
        <v>189956.85176550486</v>
      </c>
      <c r="BP9" s="70">
        <f>IFERROR(IF(AND(s_Irr!O9&lt;&gt;".",s_Irr!AN9&lt;&gt;".",s_Irr!BM9&lt;&gt;"."),s_dir!AP9/((1/1000)*(s_Irr!O9+s_Irr!AN9+s_Irr!BM9)),IF(AND(s_Irr!O9&lt;&gt;".",s_Irr!AN9&lt;&gt;".",s_Irr!BM9="."),s_dir!AP9/((1/1000)*(s_Irr!O9+s_Irr!AN9)),IF(AND(s_Irr!O9&lt;&gt;".",s_Irr!AN9=".",s_Irr!BM9&lt;&gt;"."),s_dir!AP9/((1/1000)*(s_Irr!O9+s_Irr!BM9)),IF(AND(s_Irr!O9=".",s_Irr!AN9&lt;&gt;".",s_Irr!BM9&lt;&gt;"."),s_dir!AP9/((1/1000)*(s_Irr!AN9+s_Irr!BM9)),IF(AND(s_Irr!O9=".",s_Irr!AN9=".",s_Irr!BM9&lt;&gt;"."),s_dir!AP9/((1/1000)*(s_Irr!BM9)),IF(AND(s_Irr!O9=".",s_Irr!AN9&lt;&gt;".",s_Irr!BM9="."),s_dir!AP9/((1/1000)*(s_Irr!AN9)),IF(AND(s_Irr!O9&lt;&gt;".",s_Irr!AN9=".",s_Irr!BM9="."),s_dir!AP9/((1/1000)*(s_Irr!O9)),IF(AND(s_Irr!O9=".",s_Irr!AN9=".",s_Irr!BM9="."),s_dir!AP9*1000)))))))),".")</f>
        <v>189956.85176550486</v>
      </c>
      <c r="BQ9" s="70">
        <f>IFERROR(IF(AND(s_Irr!P9&lt;&gt;".",s_Irr!AO9&lt;&gt;".",s_Irr!BN9&lt;&gt;"."),s_dir!AQ9/((1/1000)*(s_Irr!P9+s_Irr!AO9+s_Irr!BN9)),IF(AND(s_Irr!P9&lt;&gt;".",s_Irr!AO9&lt;&gt;".",s_Irr!BN9="."),s_dir!AQ9/((1/1000)*(s_Irr!P9+s_Irr!AO9)),IF(AND(s_Irr!P9&lt;&gt;".",s_Irr!AO9=".",s_Irr!BN9&lt;&gt;"."),s_dir!AQ9/((1/1000)*(s_Irr!P9+s_Irr!BN9)),IF(AND(s_Irr!P9=".",s_Irr!AO9&lt;&gt;".",s_Irr!BN9&lt;&gt;"."),s_dir!AQ9/((1/1000)*(s_Irr!AO9+s_Irr!BN9)),IF(AND(s_Irr!P9=".",s_Irr!AO9=".",s_Irr!BN9&lt;&gt;"."),s_dir!AQ9/((1/1000)*(s_Irr!BN9)),IF(AND(s_Irr!P9=".",s_Irr!AO9&lt;&gt;".",s_Irr!BN9="."),s_dir!AQ9/((1/1000)*(s_Irr!AO9)),IF(AND(s_Irr!P9&lt;&gt;".",s_Irr!AO9=".",s_Irr!BN9="."),s_dir!AQ9/((1/1000)*(s_Irr!P9)),IF(AND(s_Irr!P9=".",s_Irr!AO9=".",s_Irr!BN9="."),s_dir!AQ9*1000)))))))),".")</f>
        <v>189956.85176550486</v>
      </c>
      <c r="BR9" s="70">
        <f>IFERROR(IF(AND(s_Irr!Q9&lt;&gt;".",s_Irr!AP9&lt;&gt;".",s_Irr!BO9&lt;&gt;"."),s_dir!AR9/((1/1000)*(s_Irr!Q9+s_Irr!AP9+s_Irr!BO9)),IF(AND(s_Irr!Q9&lt;&gt;".",s_Irr!AP9&lt;&gt;".",s_Irr!BO9="."),s_dir!AR9/((1/1000)*(s_Irr!Q9+s_Irr!AP9)),IF(AND(s_Irr!Q9&lt;&gt;".",s_Irr!AP9=".",s_Irr!BO9&lt;&gt;"."),s_dir!AR9/((1/1000)*(s_Irr!Q9+s_Irr!BO9)),IF(AND(s_Irr!Q9=".",s_Irr!AP9&lt;&gt;".",s_Irr!BO9&lt;&gt;"."),s_dir!AR9/((1/1000)*(s_Irr!AP9+s_Irr!BO9)),IF(AND(s_Irr!Q9=".",s_Irr!AP9=".",s_Irr!BO9&lt;&gt;"."),s_dir!AR9/((1/1000)*(s_Irr!BO9)),IF(AND(s_Irr!Q9=".",s_Irr!AP9&lt;&gt;".",s_Irr!BO9="."),s_dir!AR9/((1/1000)*(s_Irr!AP9)),IF(AND(s_Irr!Q9&lt;&gt;".",s_Irr!AP9=".",s_Irr!BO9="."),s_dir!AR9/((1/1000)*(s_Irr!Q9)),IF(AND(s_Irr!Q9=".",s_Irr!AP9=".",s_Irr!BO9="."),s_dir!AR9*1000)))))))),".")</f>
        <v>189956.85176550486</v>
      </c>
      <c r="BS9" s="70">
        <f>IFERROR(IF(AND(s_Irr!R9&lt;&gt;".",s_Irr!AQ9&lt;&gt;".",s_Irr!BP9&lt;&gt;"."),s_dir!AS9/((1/1000)*(s_Irr!R9+s_Irr!AQ9+s_Irr!BP9)),IF(AND(s_Irr!R9&lt;&gt;".",s_Irr!AQ9&lt;&gt;".",s_Irr!BP9="."),s_dir!AS9/((1/1000)*(s_Irr!R9+s_Irr!AQ9)),IF(AND(s_Irr!R9&lt;&gt;".",s_Irr!AQ9=".",s_Irr!BP9&lt;&gt;"."),s_dir!AS9/((1/1000)*(s_Irr!R9+s_Irr!BP9)),IF(AND(s_Irr!R9=".",s_Irr!AQ9&lt;&gt;".",s_Irr!BP9&lt;&gt;"."),s_dir!AS9/((1/1000)*(s_Irr!AQ9+s_Irr!BP9)),IF(AND(s_Irr!R9=".",s_Irr!AQ9=".",s_Irr!BP9&lt;&gt;"."),s_dir!AS9/((1/1000)*(s_Irr!BP9)),IF(AND(s_Irr!R9=".",s_Irr!AQ9&lt;&gt;".",s_Irr!BP9="."),s_dir!AS9/((1/1000)*(s_Irr!AQ9)),IF(AND(s_Irr!R9&lt;&gt;".",s_Irr!AQ9=".",s_Irr!BP9="."),s_dir!AS9/((1/1000)*(s_Irr!R9)),IF(AND(s_Irr!R9=".",s_Irr!AQ9=".",s_Irr!BP9="."),s_dir!AS9*1000)))))))),".")</f>
        <v>189956.85176550486</v>
      </c>
      <c r="BT9" s="70">
        <f>IFERROR(IF(AND(s_Irr!S9&lt;&gt;".",s_Irr!AR9&lt;&gt;".",s_Irr!BQ9&lt;&gt;"."),s_dir!AT9/((1/1000)*(s_Irr!S9+s_Irr!AR9+s_Irr!BQ9)),IF(AND(s_Irr!S9&lt;&gt;".",s_Irr!AR9&lt;&gt;".",s_Irr!BQ9="."),s_dir!AT9/((1/1000)*(s_Irr!S9+s_Irr!AR9)),IF(AND(s_Irr!S9&lt;&gt;".",s_Irr!AR9=".",s_Irr!BQ9&lt;&gt;"."),s_dir!AT9/((1/1000)*(s_Irr!S9+s_Irr!BQ9)),IF(AND(s_Irr!S9=".",s_Irr!AR9&lt;&gt;".",s_Irr!BQ9&lt;&gt;"."),s_dir!AT9/((1/1000)*(s_Irr!AR9+s_Irr!BQ9)),IF(AND(s_Irr!S9=".",s_Irr!AR9=".",s_Irr!BQ9&lt;&gt;"."),s_dir!AT9/((1/1000)*(s_Irr!BQ9)),IF(AND(s_Irr!S9=".",s_Irr!AR9&lt;&gt;".",s_Irr!BQ9="."),s_dir!AT9/((1/1000)*(s_Irr!AR9)),IF(AND(s_Irr!S9&lt;&gt;".",s_Irr!AR9=".",s_Irr!BQ9="."),s_dir!AT9/((1/1000)*(s_Irr!S9)),IF(AND(s_Irr!S9=".",s_Irr!AR9=".",s_Irr!BQ9="."),s_dir!AT9*1000)))))))),".")</f>
        <v>189956.85176550486</v>
      </c>
      <c r="BU9" s="70">
        <f>IFERROR(IF(AND(s_Irr!T9&lt;&gt;".",s_Irr!AS9&lt;&gt;".",s_Irr!BR9&lt;&gt;"."),s_dir!AU9/((1/1000)*(s_Irr!T9+s_Irr!AS9+s_Irr!BR9)),IF(AND(s_Irr!T9&lt;&gt;".",s_Irr!AS9&lt;&gt;".",s_Irr!BR9="."),s_dir!AU9/((1/1000)*(s_Irr!T9+s_Irr!AS9)),IF(AND(s_Irr!T9&lt;&gt;".",s_Irr!AS9=".",s_Irr!BR9&lt;&gt;"."),s_dir!AU9/((1/1000)*(s_Irr!T9+s_Irr!BR9)),IF(AND(s_Irr!T9=".",s_Irr!AS9&lt;&gt;".",s_Irr!BR9&lt;&gt;"."),s_dir!AU9/((1/1000)*(s_Irr!AS9+s_Irr!BR9)),IF(AND(s_Irr!T9=".",s_Irr!AS9=".",s_Irr!BR9&lt;&gt;"."),s_dir!AU9/((1/1000)*(s_Irr!BR9)),IF(AND(s_Irr!T9=".",s_Irr!AS9&lt;&gt;".",s_Irr!BR9="."),s_dir!AU9/((1/1000)*(s_Irr!AS9)),IF(AND(s_Irr!T9&lt;&gt;".",s_Irr!AS9=".",s_Irr!BR9="."),s_dir!AU9/((1/1000)*(s_Irr!T9)),IF(AND(s_Irr!T9=".",s_Irr!AS9=".",s_Irr!BR9="."),s_dir!AU9*1000)))))))),".")</f>
        <v>189956.85176550486</v>
      </c>
      <c r="BV9" s="70">
        <f>IFERROR(IF(AND(s_Irr!U9&lt;&gt;".",s_Irr!AT9&lt;&gt;".",s_Irr!BS9&lt;&gt;"."),s_dir!AV9/((1/1000)*(s_Irr!U9+s_Irr!AT9+s_Irr!BS9)),IF(AND(s_Irr!U9&lt;&gt;".",s_Irr!AT9&lt;&gt;".",s_Irr!BS9="."),s_dir!AV9/((1/1000)*(s_Irr!U9+s_Irr!AT9)),IF(AND(s_Irr!U9&lt;&gt;".",s_Irr!AT9=".",s_Irr!BS9&lt;&gt;"."),s_dir!AV9/((1/1000)*(s_Irr!U9+s_Irr!BS9)),IF(AND(s_Irr!U9=".",s_Irr!AT9&lt;&gt;".",s_Irr!BS9&lt;&gt;"."),s_dir!AV9/((1/1000)*(s_Irr!AT9+s_Irr!BS9)),IF(AND(s_Irr!U9=".",s_Irr!AT9=".",s_Irr!BS9&lt;&gt;"."),s_dir!AV9/((1/1000)*(s_Irr!BS9)),IF(AND(s_Irr!U9=".",s_Irr!AT9&lt;&gt;".",s_Irr!BS9="."),s_dir!AV9/((1/1000)*(s_Irr!AT9)),IF(AND(s_Irr!U9&lt;&gt;".",s_Irr!AT9=".",s_Irr!BS9="."),s_dir!AV9/((1/1000)*(s_Irr!U9)),IF(AND(s_Irr!U9=".",s_Irr!AT9=".",s_Irr!BS9="."),s_dir!AV9*1000)))))))),".")</f>
        <v>189956.85176550486</v>
      </c>
      <c r="BW9" s="70">
        <f>IFERROR(IF(AND(s_Irr!V9&lt;&gt;".",s_Irr!AU9&lt;&gt;".",s_Irr!BT9&lt;&gt;"."),s_dir!AW9/((1/1000)*(s_Irr!V9+s_Irr!AU9+s_Irr!BT9)),IF(AND(s_Irr!V9&lt;&gt;".",s_Irr!AU9&lt;&gt;".",s_Irr!BT9="."),s_dir!AW9/((1/1000)*(s_Irr!V9+s_Irr!AU9)),IF(AND(s_Irr!V9&lt;&gt;".",s_Irr!AU9=".",s_Irr!BT9&lt;&gt;"."),s_dir!AW9/((1/1000)*(s_Irr!V9+s_Irr!BT9)),IF(AND(s_Irr!V9=".",s_Irr!AU9&lt;&gt;".",s_Irr!BT9&lt;&gt;"."),s_dir!AW9/((1/1000)*(s_Irr!AU9+s_Irr!BT9)),IF(AND(s_Irr!V9=".",s_Irr!AU9=".",s_Irr!BT9&lt;&gt;"."),s_dir!AW9/((1/1000)*(s_Irr!BT9)),IF(AND(s_Irr!V9=".",s_Irr!AU9&lt;&gt;".",s_Irr!BT9="."),s_dir!AW9/((1/1000)*(s_Irr!AU9)),IF(AND(s_Irr!V9&lt;&gt;".",s_Irr!AU9=".",s_Irr!BT9="."),s_dir!AW9/((1/1000)*(s_Irr!V9)),IF(AND(s_Irr!V9=".",s_Irr!AU9=".",s_Irr!BT9="."),s_dir!AW9*1000)))))))),".")</f>
        <v>189956.85176550486</v>
      </c>
      <c r="BX9" s="70">
        <f>IFERROR(IF(AND(s_Irr!W9&lt;&gt;".",s_Irr!AV9&lt;&gt;".",s_Irr!BU9&lt;&gt;"."),s_dir!AX9/((1/1000)*(s_Irr!W9+s_Irr!AV9+s_Irr!BU9)),IF(AND(s_Irr!W9&lt;&gt;".",s_Irr!AV9&lt;&gt;".",s_Irr!BU9="."),s_dir!AX9/((1/1000)*(s_Irr!W9+s_Irr!AV9)),IF(AND(s_Irr!W9&lt;&gt;".",s_Irr!AV9=".",s_Irr!BU9&lt;&gt;"."),s_dir!AX9/((1/1000)*(s_Irr!W9+s_Irr!BU9)),IF(AND(s_Irr!W9=".",s_Irr!AV9&lt;&gt;".",s_Irr!BU9&lt;&gt;"."),s_dir!AX9/((1/1000)*(s_Irr!AV9+s_Irr!BU9)),IF(AND(s_Irr!W9=".",s_Irr!AV9=".",s_Irr!BU9&lt;&gt;"."),s_dir!AX9/((1/1000)*(s_Irr!BU9)),IF(AND(s_Irr!W9=".",s_Irr!AV9&lt;&gt;".",s_Irr!BU9="."),s_dir!AX9/((1/1000)*(s_Irr!AV9)),IF(AND(s_Irr!W9&lt;&gt;".",s_Irr!AV9=".",s_Irr!BU9="."),s_dir!AX9/((1/1000)*(s_Irr!W9)),IF(AND(s_Irr!W9=".",s_Irr!AV9=".",s_Irr!BU9="."),s_dir!AX9*1000)))))))),".")</f>
        <v>189956.85176550486</v>
      </c>
      <c r="BY9" s="70">
        <f>IFERROR(IF(AND(s_Irr!X9&lt;&gt;".",s_Irr!AW9&lt;&gt;".",s_Irr!BV9&lt;&gt;"."),s_dir!AY9/((1/1000)*(s_Irr!X9+s_Irr!AW9+s_Irr!BV9)),IF(AND(s_Irr!X9&lt;&gt;".",s_Irr!AW9&lt;&gt;".",s_Irr!BV9="."),s_dir!AY9/((1/1000)*(s_Irr!X9+s_Irr!AW9)),IF(AND(s_Irr!X9&lt;&gt;".",s_Irr!AW9=".",s_Irr!BV9&lt;&gt;"."),s_dir!AY9/((1/1000)*(s_Irr!X9+s_Irr!BV9)),IF(AND(s_Irr!X9=".",s_Irr!AW9&lt;&gt;".",s_Irr!BV9&lt;&gt;"."),s_dir!AY9/((1/1000)*(s_Irr!AW9+s_Irr!BV9)),IF(AND(s_Irr!X9=".",s_Irr!AW9=".",s_Irr!BV9&lt;&gt;"."),s_dir!AY9/((1/1000)*(s_Irr!BV9)),IF(AND(s_Irr!X9=".",s_Irr!AW9&lt;&gt;".",s_Irr!BV9="."),s_dir!AY9/((1/1000)*(s_Irr!AW9)),IF(AND(s_Irr!X9&lt;&gt;".",s_Irr!AW9=".",s_Irr!BV9="."),s_dir!AY9/((1/1000)*(s_Irr!X9)),IF(AND(s_Irr!X9=".",s_Irr!AW9=".",s_Irr!BV9="."),s_dir!AY9*1000)))))))),".")</f>
        <v>189956.85176550486</v>
      </c>
      <c r="BZ9" s="70">
        <f>IFERROR(IF(AND(s_Irr!Y9&lt;&gt;".",s_Irr!AX9&lt;&gt;".",s_Irr!BW9&lt;&gt;"."),s_dir!AZ9/((1/1000)*(s_Irr!Y9+s_Irr!AX9+s_Irr!BW9)),IF(AND(s_Irr!Y9&lt;&gt;".",s_Irr!AX9&lt;&gt;".",s_Irr!BW9="."),s_dir!AZ9/((1/1000)*(s_Irr!Y9+s_Irr!AX9)),IF(AND(s_Irr!Y9&lt;&gt;".",s_Irr!AX9=".",s_Irr!BW9&lt;&gt;"."),s_dir!AZ9/((1/1000)*(s_Irr!Y9+s_Irr!BW9)),IF(AND(s_Irr!Y9=".",s_Irr!AX9&lt;&gt;".",s_Irr!BW9&lt;&gt;"."),s_dir!AZ9/((1/1000)*(s_Irr!AX9+s_Irr!BW9)),IF(AND(s_Irr!Y9=".",s_Irr!AX9=".",s_Irr!BW9&lt;&gt;"."),s_dir!AZ9/((1/1000)*(s_Irr!BW9)),IF(AND(s_Irr!Y9=".",s_Irr!AX9&lt;&gt;".",s_Irr!BW9="."),s_dir!AZ9/((1/1000)*(s_Irr!AX9)),IF(AND(s_Irr!Y9&lt;&gt;".",s_Irr!AX9=".",s_Irr!BW9="."),s_dir!AZ9/((1/1000)*(s_Irr!Y9)),IF(AND(s_Irr!Y9=".",s_Irr!AX9=".",s_Irr!BW9="."),s_dir!AZ9*1000)))))))),".")</f>
        <v>189956.85176550486</v>
      </c>
      <c r="CA9" s="70">
        <f>IFERROR(IF(AND(s_Irr!Z9&lt;&gt;".",s_Irr!AY9&lt;&gt;".",s_Irr!BX9&lt;&gt;"."),s_dir!BA9/((1/1000)*(s_Irr!Z9+s_Irr!AY9+s_Irr!BX9)),IF(AND(s_Irr!Z9&lt;&gt;".",s_Irr!AY9&lt;&gt;".",s_Irr!BX9="."),s_dir!BA9/((1/1000)*(s_Irr!Z9+s_Irr!AY9)),IF(AND(s_Irr!Z9&lt;&gt;".",s_Irr!AY9=".",s_Irr!BX9&lt;&gt;"."),s_dir!BA9/((1/1000)*(s_Irr!Z9+s_Irr!BX9)),IF(AND(s_Irr!Z9=".",s_Irr!AY9&lt;&gt;".",s_Irr!BX9&lt;&gt;"."),s_dir!BA9/((1/1000)*(s_Irr!AY9+s_Irr!BX9)),IF(AND(s_Irr!Z9=".",s_Irr!AY9=".",s_Irr!BX9&lt;&gt;"."),s_dir!BA9/((1/1000)*(s_Irr!BX9)),IF(AND(s_Irr!Z9=".",s_Irr!AY9&lt;&gt;".",s_Irr!BX9="."),s_dir!BA9/((1/1000)*(s_Irr!AY9)),IF(AND(s_Irr!Z9&lt;&gt;".",s_Irr!AY9=".",s_Irr!BX9="."),s_dir!BA9/((1/1000)*(s_Irr!Z9)),IF(AND(s_Irr!Z9=".",s_Irr!AY9=".",s_Irr!BX9="."),s_dir!BA9*1000)))))))),".")</f>
        <v>189956.85176550486</v>
      </c>
      <c r="CB9" s="70">
        <f>IFERROR(IF(AND(s_Irr!AA9&lt;&gt;".",s_Irr!AZ9&lt;&gt;".",s_Irr!BY9&lt;&gt;"."),s_dir!BB9/((1/1000)*(s_Irr!AA9+s_Irr!AZ9+s_Irr!BY9)),IF(AND(s_Irr!AA9&lt;&gt;".",s_Irr!AZ9&lt;&gt;".",s_Irr!BY9="."),s_dir!BB9/((1/1000)*(s_Irr!AA9+s_Irr!AZ9)),IF(AND(s_Irr!AA9&lt;&gt;".",s_Irr!AZ9=".",s_Irr!BY9&lt;&gt;"."),s_dir!BB9/((1/1000)*(s_Irr!AA9+s_Irr!BY9)),IF(AND(s_Irr!AA9=".",s_Irr!AZ9&lt;&gt;".",s_Irr!BY9&lt;&gt;"."),s_dir!BB9/((1/1000)*(s_Irr!AZ9+s_Irr!BY9)),IF(AND(s_Irr!AA9=".",s_Irr!AZ9=".",s_Irr!BY9&lt;&gt;"."),s_dir!BB9/((1/1000)*(s_Irr!BY9)),IF(AND(s_Irr!AA9=".",s_Irr!AZ9&lt;&gt;".",s_Irr!BY9="."),s_dir!BB9/((1/1000)*(s_Irr!AZ9)),IF(AND(s_Irr!AA9&lt;&gt;".",s_Irr!AZ9=".",s_Irr!BY9="."),s_dir!BB9/((1/1000)*(s_Irr!AA9)),IF(AND(s_Irr!AA9=".",s_Irr!AZ9=".",s_Irr!BY9="."),s_dir!BB9*1000)))))))),".")</f>
        <v>189956.85176550486</v>
      </c>
      <c r="CC9" s="87">
        <f t="shared" si="2"/>
        <v>954.89813317357221</v>
      </c>
      <c r="CD9" s="87">
        <f>IFERROR(s_C*s_IFAP_far_adj*s_CF_apple*(1/1000)*(s_Irr!C9+s_Irr!AB9+s_Irr!BA9),".")</f>
        <v>238.72453329339305</v>
      </c>
      <c r="CE9" s="87">
        <f>IFERROR(s_C*s_IFAS_far_adj*s_CF_asparagus*(1/1000)*(s_Irr!D9+s_Irr!AC9+s_Irr!BB9),".")</f>
        <v>238.72453329339305</v>
      </c>
      <c r="CF9" s="87">
        <f>IFERROR(s_C*s_IFBT_far_adj*s_CF_beet*(1/1000)*(s_Irr!E9+s_Irr!AD9+s_Irr!BC9),".")</f>
        <v>238.72453329339305</v>
      </c>
      <c r="CG9" s="87">
        <f>IFERROR(s_C*s_IFBE_far_adj*s_CF_berries*(1/1000)*(s_Irr!F9+s_Irr!AE9+s_Irr!BD9),".")</f>
        <v>238.72453329339305</v>
      </c>
      <c r="CH9" s="87">
        <f>IFERROR(s_C*s_IFBR_far_adj*s_CF_broccoli*(1/1000)*(s_Irr!G9+s_Irr!AF9+s_Irr!BE9),".")</f>
        <v>238.72453329339305</v>
      </c>
      <c r="CI9" s="87">
        <f>IFERROR(s_C*s_IFCB_far_adj*s_CF_cabbage*(1/1000)*(s_Irr!H9+s_Irr!AG9+s_Irr!BF9),".")</f>
        <v>238.72453329339305</v>
      </c>
      <c r="CJ9" s="87">
        <f>IFERROR(s_C*s_IFCR_far_adj*s_CF_carrot*(1/1000)*(s_Irr!I9+s_Irr!AH9+s_Irr!BG9),".")</f>
        <v>238.72453329339305</v>
      </c>
      <c r="CK9" s="87">
        <f>IFERROR(s_C*s_IFCI_far_adj*s_CF_citrus*(1/1000)*(s_Irr!J9+s_Irr!AI9+s_Irr!BH9),".")</f>
        <v>238.72453329339305</v>
      </c>
      <c r="CL9" s="87">
        <f>IFERROR(s_C*s_IFCO_far_adj*s_CF_corn*(1/1000)*(s_Irr!K9+s_Irr!AJ9+s_Irr!BI9),".")</f>
        <v>238.72453329339305</v>
      </c>
      <c r="CM9" s="87">
        <f>IFERROR(s_C*s_IFCU_far_adj*s_CF_cucumber*(1/1000)*(s_Irr!L9+s_Irr!AK9+s_Irr!BJ9),".")</f>
        <v>238.72453329339305</v>
      </c>
      <c r="CN9" s="87">
        <f>IFERROR(s_C*s_IFLE_far_adj*s_CF_lettuce*(1/1000)*(s_Irr!M9+s_Irr!AL9+s_Irr!BK9),".")</f>
        <v>238.72453329339305</v>
      </c>
      <c r="CO9" s="87">
        <f>IFERROR(s_C*s_IFLI_far_adj*s_CF_lima_bean*(1/1000)*(s_Irr!N9+s_Irr!AM9+s_Irr!BL9),".")</f>
        <v>238.72453329339305</v>
      </c>
      <c r="CP9" s="87">
        <f>IFERROR(s_C*s_IFOK_far_adj*s_CF_okra*(1/1000)*(s_Irr!O9+s_Irr!AN9+s_Irr!BM9),".")</f>
        <v>238.72453329339305</v>
      </c>
      <c r="CQ9" s="87">
        <f>IFERROR(s_C*s_IFON_far_adj*s_CF_onion*(1/1000)*(s_Irr!P9+s_Irr!AO9+s_Irr!BN9),".")</f>
        <v>238.72453329339305</v>
      </c>
      <c r="CR9" s="87">
        <f>IFERROR(s_C*s_IFPC_far_adj*s_CF_peach*(1/1000)*(s_Irr!Q9+s_Irr!AP9+s_Irr!BO9),".")</f>
        <v>238.72453329339305</v>
      </c>
      <c r="CS9" s="87">
        <f>IFERROR(s_C*s_IFPR_far_adj*s_CF_pear*(1/1000)*(s_Irr!R9+s_Irr!AQ9+s_Irr!BP9),".")</f>
        <v>238.72453329339305</v>
      </c>
      <c r="CT9" s="87">
        <f>IFERROR(s_C*s_IFPE_far_adj*s_CF_peas*(1/1000)*(s_Irr!S9+s_Irr!AR9+s_Irr!BQ9),".")</f>
        <v>238.72453329339305</v>
      </c>
      <c r="CU9" s="87">
        <f>IFERROR(s_C*s_IFPP_far_adj*s_CF_peppers*(1/1000)*(s_Irr!T9+s_Irr!AS9+s_Irr!BR9),".")</f>
        <v>238.72453329339305</v>
      </c>
      <c r="CV9" s="87">
        <f>IFERROR(s_C*s_IFPT_far_adj*s_CF_potato*(1/1000)*(s_Irr!U9+s_Irr!AT9+s_Irr!BS9),".")</f>
        <v>238.72453329339305</v>
      </c>
      <c r="CW9" s="87">
        <f>IFERROR(s_C*s_IFPU_far_adj*s_CF_pumpkin*(1/1000)*(s_Irr!V9+s_Irr!AU9+s_Irr!BT9),".")</f>
        <v>238.72453329339305</v>
      </c>
      <c r="CX9" s="87">
        <f>IFERROR(s_C*s_IFSN_far_adj*s_CF_snap_bean*(1/1000)*(s_Irr!W9+s_Irr!AV9+s_Irr!BU9),".")</f>
        <v>238.72453329339305</v>
      </c>
      <c r="CY9" s="87">
        <f>IFERROR(s_C*s_IFST_far_adj*s_CF_strawberry*(1/1000)*(s_Irr!X9+s_Irr!AW9+s_Irr!BV9),".")</f>
        <v>238.72453329339305</v>
      </c>
      <c r="CZ9" s="87">
        <f>IFERROR(s_C*s_IFTO_far_adj*s_CF_tomato*(1/1000)*(s_Irr!Y9+s_Irr!AX9+s_Irr!BW9),".")</f>
        <v>238.72453329339305</v>
      </c>
      <c r="DA9" s="87">
        <f>IFERROR(s_C*s_IFRI_far_adj*s_CF_rice*(1/1000)*(s_Irr!Z9+s_Irr!AY9+s_Irr!BX9),".")</f>
        <v>238.72453329339305</v>
      </c>
      <c r="DB9" s="87">
        <f>IFERROR(s_C*s_IFCG_far_adj*s_CF_cereal*(1/1000)*(s_Irr!AA9+s_Irr!AZ9+s_Irr!BY9),".")</f>
        <v>238.72453329339305</v>
      </c>
    </row>
    <row r="10" spans="1:106" x14ac:dyDescent="0.25">
      <c r="A10" s="88" t="s">
        <v>8</v>
      </c>
      <c r="B10" s="84" t="s">
        <v>335</v>
      </c>
      <c r="C10" s="15">
        <f t="shared" si="3"/>
        <v>1157.8309362686086</v>
      </c>
      <c r="D10" s="70">
        <f>IFERROR(IF(AND(s_Irr!C10&lt;&gt;".",s_Irr!AB10&lt;&gt;".",s_Irr!BA10&lt;&gt;"."),s_dir!D10/((1/1000)*(s_Irr!C10+s_Irr!AB10+s_Irr!BA10)),IF(AND(s_Irr!C10&lt;&gt;".",s_Irr!AB10&lt;&gt;".",s_Irr!BA10="."),s_dir!D10/((1/1000)*(s_Irr!C10+s_Irr!AB10)),IF(AND(s_Irr!C10&lt;&gt;".",s_Irr!AB10=".",s_Irr!BA10&lt;&gt;"."),s_dir!D10/((1/1000)*(s_Irr!C10+s_Irr!BA10)),IF(AND(s_Irr!C10=".",s_Irr!AB10&lt;&gt;".",s_Irr!BA10&lt;&gt;"."),s_dir!D10/((1/1000)*(s_Irr!AB10+s_Irr!BA10)),IF(AND(s_Irr!C10=".",s_Irr!AB10=".",s_Irr!BA10&lt;&gt;"."),s_dir!D10/((1/1000)*(s_Irr!BA10)),IF(AND(s_Irr!C10=".",s_Irr!AB10&lt;&gt;".",s_Irr!BA10="."),s_dir!D10/((1/1000)*(s_Irr!AB10)),IF(AND(s_Irr!C10&lt;&gt;".",s_Irr!AB10=".",s_Irr!BA10="."),s_dir!D10/((1/1000)*(s_Irr!C10)),IF(AND(s_Irr!C10=".",s_Irr!AB10=".",s_Irr!BA10="."),s_dir!D10*1000)))))))),".")</f>
        <v>5228.0860535998863</v>
      </c>
      <c r="E10" s="70">
        <f>IFERROR(IF(AND(s_Irr!D10&lt;&gt;".",s_Irr!AC10&lt;&gt;".",s_Irr!BB10&lt;&gt;"."),s_dir!E10/((1/1000)*(s_Irr!D10+s_Irr!AC10+s_Irr!BB10)),IF(AND(s_Irr!D10&lt;&gt;".",s_Irr!AC10&lt;&gt;".",s_Irr!BB10="."),s_dir!E10/((1/1000)*(s_Irr!D10+s_Irr!AC10)),IF(AND(s_Irr!D10&lt;&gt;".",s_Irr!AC10=".",s_Irr!BB10&lt;&gt;"."),s_dir!E10/((1/1000)*(s_Irr!D10+s_Irr!BB10)),IF(AND(s_Irr!D10=".",s_Irr!AC10&lt;&gt;".",s_Irr!BB10&lt;&gt;"."),s_dir!E10/((1/1000)*(s_Irr!AC10+s_Irr!BB10)),IF(AND(s_Irr!D10=".",s_Irr!AC10=".",s_Irr!BB10&lt;&gt;"."),s_dir!E10/((1/1000)*(s_Irr!BB10)),IF(AND(s_Irr!D10=".",s_Irr!AC10&lt;&gt;".",s_Irr!BB10="."),s_dir!E10/((1/1000)*(s_Irr!AC10)),IF(AND(s_Irr!D10&lt;&gt;".",s_Irr!AC10=".",s_Irr!BB10="."),s_dir!E10/((1/1000)*(s_Irr!D10)),IF(AND(s_Irr!D10=".",s_Irr!AC10=".",s_Irr!BB10="."),s_dir!E10*1000)))))))),".")</f>
        <v>2844.2153848482308</v>
      </c>
      <c r="F10" s="70">
        <f>IFERROR(IF(AND(s_Irr!E10&lt;&gt;".",s_Irr!AD10&lt;&gt;".",s_Irr!BC10&lt;&gt;"."),s_dir!F10/((1/1000)*(s_Irr!E10+s_Irr!AD10+s_Irr!BC10)),IF(AND(s_Irr!E10&lt;&gt;".",s_Irr!AD10&lt;&gt;".",s_Irr!BC10="."),s_dir!F10/((1/1000)*(s_Irr!E10+s_Irr!AD10)),IF(AND(s_Irr!E10&lt;&gt;".",s_Irr!AD10=".",s_Irr!BC10&lt;&gt;"."),s_dir!F10/((1/1000)*(s_Irr!E10+s_Irr!BC10)),IF(AND(s_Irr!E10=".",s_Irr!AD10&lt;&gt;".",s_Irr!BC10&lt;&gt;"."),s_dir!F10/((1/1000)*(s_Irr!AD10+s_Irr!BC10)),IF(AND(s_Irr!E10=".",s_Irr!AD10=".",s_Irr!BC10&lt;&gt;"."),s_dir!F10/((1/1000)*(s_Irr!BC10)),IF(AND(s_Irr!E10=".",s_Irr!AD10&lt;&gt;".",s_Irr!BC10="."),s_dir!F10/((1/1000)*(s_Irr!AD10)),IF(AND(s_Irr!E10&lt;&gt;".",s_Irr!AD10=".",s_Irr!BC10="."),s_dir!F10/((1/1000)*(s_Irr!E10)),IF(AND(s_Irr!E10=".",s_Irr!AD10=".",s_Irr!BC10="."),s_dir!F10*1000)))))))),".")</f>
        <v>3351.776348606239</v>
      </c>
      <c r="G10" s="70">
        <f>IFERROR(IF(AND(s_Irr!F10&lt;&gt;".",s_Irr!AE10&lt;&gt;".",s_Irr!BD10&lt;&gt;"."),s_dir!G10/((1/1000)*(s_Irr!F10+s_Irr!AE10+s_Irr!BD10)),IF(AND(s_Irr!F10&lt;&gt;".",s_Irr!AE10&lt;&gt;".",s_Irr!BD10="."),s_dir!G10/((1/1000)*(s_Irr!F10+s_Irr!AE10)),IF(AND(s_Irr!F10&lt;&gt;".",s_Irr!AE10=".",s_Irr!BD10&lt;&gt;"."),s_dir!G10/((1/1000)*(s_Irr!F10+s_Irr!BD10)),IF(AND(s_Irr!F10=".",s_Irr!AE10&lt;&gt;".",s_Irr!BD10&lt;&gt;"."),s_dir!G10/((1/1000)*(s_Irr!AE10+s_Irr!BD10)),IF(AND(s_Irr!F10=".",s_Irr!AE10=".",s_Irr!BD10&lt;&gt;"."),s_dir!G10/((1/1000)*(s_Irr!BD10)),IF(AND(s_Irr!F10=".",s_Irr!AE10&lt;&gt;".",s_Irr!BD10="."),s_dir!G10/((1/1000)*(s_Irr!AE10)),IF(AND(s_Irr!F10&lt;&gt;".",s_Irr!AE10=".",s_Irr!BD10="."),s_dir!G10/((1/1000)*(s_Irr!F10)),IF(AND(s_Irr!F10=".",s_Irr!AE10=".",s_Irr!BD10="."),s_dir!G10*1000)))))))),".")</f>
        <v>5545.3739336761137</v>
      </c>
      <c r="H10" s="70">
        <f>IFERROR(IF(AND(s_Irr!G10&lt;&gt;".",s_Irr!AF10&lt;&gt;".",s_Irr!BE10&lt;&gt;"."),s_dir!H10/((1/1000)*(s_Irr!G10+s_Irr!AF10+s_Irr!BE10)),IF(AND(s_Irr!G10&lt;&gt;".",s_Irr!AF10&lt;&gt;".",s_Irr!BE10="."),s_dir!H10/((1/1000)*(s_Irr!G10+s_Irr!AF10)),IF(AND(s_Irr!G10&lt;&gt;".",s_Irr!AF10=".",s_Irr!BE10&lt;&gt;"."),s_dir!H10/((1/1000)*(s_Irr!G10+s_Irr!BE10)),IF(AND(s_Irr!G10=".",s_Irr!AF10&lt;&gt;".",s_Irr!BE10&lt;&gt;"."),s_dir!H10/((1/1000)*(s_Irr!AF10+s_Irr!BE10)),IF(AND(s_Irr!G10=".",s_Irr!AF10=".",s_Irr!BE10&lt;&gt;"."),s_dir!H10/((1/1000)*(s_Irr!BE10)),IF(AND(s_Irr!G10=".",s_Irr!AF10&lt;&gt;".",s_Irr!BE10="."),s_dir!H10/((1/1000)*(s_Irr!AF10)),IF(AND(s_Irr!G10&lt;&gt;".",s_Irr!AF10=".",s_Irr!BE10="."),s_dir!H10/((1/1000)*(s_Irr!G10)),IF(AND(s_Irr!G10=".",s_Irr!AF10=".",s_Irr!BE10="."),s_dir!H10*1000)))))))),".")</f>
        <v>4233.0887865555706</v>
      </c>
      <c r="I10" s="70">
        <f>IFERROR(IF(AND(s_Irr!H10&lt;&gt;".",s_Irr!AG10&lt;&gt;".",s_Irr!BF10&lt;&gt;"."),s_dir!I10/((1/1000)*(s_Irr!H10+s_Irr!AG10+s_Irr!BF10)),IF(AND(s_Irr!H10&lt;&gt;".",s_Irr!AG10&lt;&gt;".",s_Irr!BF10="."),s_dir!I10/((1/1000)*(s_Irr!H10+s_Irr!AG10)),IF(AND(s_Irr!H10&lt;&gt;".",s_Irr!AG10=".",s_Irr!BF10&lt;&gt;"."),s_dir!I10/((1/1000)*(s_Irr!H10+s_Irr!BF10)),IF(AND(s_Irr!H10=".",s_Irr!AG10&lt;&gt;".",s_Irr!BF10&lt;&gt;"."),s_dir!I10/((1/1000)*(s_Irr!AG10+s_Irr!BF10)),IF(AND(s_Irr!H10=".",s_Irr!AG10=".",s_Irr!BF10&lt;&gt;"."),s_dir!I10/((1/1000)*(s_Irr!BF10)),IF(AND(s_Irr!H10=".",s_Irr!AG10&lt;&gt;".",s_Irr!BF10="."),s_dir!I10/((1/1000)*(s_Irr!AG10)),IF(AND(s_Irr!H10&lt;&gt;".",s_Irr!AG10=".",s_Irr!BF10="."),s_dir!I10/((1/1000)*(s_Irr!H10)),IF(AND(s_Irr!H10=".",s_Irr!AG10=".",s_Irr!BF10="."),s_dir!I10*1000)))))))),".")</f>
        <v>2844.2153848482308</v>
      </c>
      <c r="J10" s="70">
        <f>IFERROR(IF(AND(s_Irr!I10&lt;&gt;".",s_Irr!AH10&lt;&gt;".",s_Irr!BG10&lt;&gt;"."),s_dir!J10/((1/1000)*(s_Irr!I10+s_Irr!AH10+s_Irr!BG10)),IF(AND(s_Irr!I10&lt;&gt;".",s_Irr!AH10&lt;&gt;".",s_Irr!BG10="."),s_dir!J10/((1/1000)*(s_Irr!I10+s_Irr!AH10)),IF(AND(s_Irr!I10&lt;&gt;".",s_Irr!AH10=".",s_Irr!BG10&lt;&gt;"."),s_dir!J10/((1/1000)*(s_Irr!I10+s_Irr!BG10)),IF(AND(s_Irr!I10=".",s_Irr!AH10&lt;&gt;".",s_Irr!BG10&lt;&gt;"."),s_dir!J10/((1/1000)*(s_Irr!AH10+s_Irr!BG10)),IF(AND(s_Irr!I10=".",s_Irr!AH10=".",s_Irr!BG10&lt;&gt;"."),s_dir!J10/((1/1000)*(s_Irr!BG10)),IF(AND(s_Irr!I10=".",s_Irr!AH10&lt;&gt;".",s_Irr!BG10="."),s_dir!J10/((1/1000)*(s_Irr!AH10)),IF(AND(s_Irr!I10&lt;&gt;".",s_Irr!AH10=".",s_Irr!BG10="."),s_dir!J10/((1/1000)*(s_Irr!I10)),IF(AND(s_Irr!I10=".",s_Irr!AH10=".",s_Irr!BG10="."),s_dir!J10*1000)))))))),".")</f>
        <v>3351.776348606239</v>
      </c>
      <c r="K10" s="70">
        <f>IFERROR(IF(AND(s_Irr!J10&lt;&gt;".",s_Irr!AI10&lt;&gt;".",s_Irr!BH10&lt;&gt;"."),s_dir!K10/((1/1000)*(s_Irr!J10+s_Irr!AI10+s_Irr!BH10)),IF(AND(s_Irr!J10&lt;&gt;".",s_Irr!AI10&lt;&gt;".",s_Irr!BH10="."),s_dir!K10/((1/1000)*(s_Irr!J10+s_Irr!AI10)),IF(AND(s_Irr!J10&lt;&gt;".",s_Irr!AI10=".",s_Irr!BH10&lt;&gt;"."),s_dir!K10/((1/1000)*(s_Irr!J10+s_Irr!BH10)),IF(AND(s_Irr!J10=".",s_Irr!AI10&lt;&gt;".",s_Irr!BH10&lt;&gt;"."),s_dir!K10/((1/1000)*(s_Irr!AI10+s_Irr!BH10)),IF(AND(s_Irr!J10=".",s_Irr!AI10=".",s_Irr!BH10&lt;&gt;"."),s_dir!K10/((1/1000)*(s_Irr!BH10)),IF(AND(s_Irr!J10=".",s_Irr!AI10&lt;&gt;".",s_Irr!BH10="."),s_dir!K10/((1/1000)*(s_Irr!AI10)),IF(AND(s_Irr!J10&lt;&gt;".",s_Irr!AI10=".",s_Irr!BH10="."),s_dir!K10/((1/1000)*(s_Irr!J10)),IF(AND(s_Irr!J10=".",s_Irr!AI10=".",s_Irr!BH10="."),s_dir!K10*1000)))))))),".")</f>
        <v>5228.0860535998863</v>
      </c>
      <c r="L10" s="70">
        <f>IFERROR(IF(AND(s_Irr!K10&lt;&gt;".",s_Irr!AJ10&lt;&gt;".",s_Irr!BI10&lt;&gt;"."),s_dir!L10/((1/1000)*(s_Irr!K10+s_Irr!AJ10+s_Irr!BI10)),IF(AND(s_Irr!K10&lt;&gt;".",s_Irr!AJ10&lt;&gt;".",s_Irr!BI10="."),s_dir!L10/((1/1000)*(s_Irr!K10+s_Irr!AJ10)),IF(AND(s_Irr!K10&lt;&gt;".",s_Irr!AJ10=".",s_Irr!BI10&lt;&gt;"."),s_dir!L10/((1/1000)*(s_Irr!K10+s_Irr!BI10)),IF(AND(s_Irr!K10=".",s_Irr!AJ10&lt;&gt;".",s_Irr!BI10&lt;&gt;"."),s_dir!L10/((1/1000)*(s_Irr!AJ10+s_Irr!BI10)),IF(AND(s_Irr!K10=".",s_Irr!AJ10=".",s_Irr!BI10&lt;&gt;"."),s_dir!L10/((1/1000)*(s_Irr!BI10)),IF(AND(s_Irr!K10=".",s_Irr!AJ10&lt;&gt;".",s_Irr!BI10="."),s_dir!L10/((1/1000)*(s_Irr!AJ10)),IF(AND(s_Irr!K10&lt;&gt;".",s_Irr!AJ10=".",s_Irr!BI10="."),s_dir!L10/((1/1000)*(s_Irr!K10)),IF(AND(s_Irr!K10=".",s_Irr!AJ10=".",s_Irr!BI10="."),s_dir!L10*1000)))))))),".")</f>
        <v>3680.1441512192068</v>
      </c>
      <c r="M10" s="70">
        <f>IFERROR(IF(AND(s_Irr!L10&lt;&gt;".",s_Irr!AK10&lt;&gt;".",s_Irr!BJ10&lt;&gt;"."),s_dir!M10/((1/1000)*(s_Irr!L10+s_Irr!AK10+s_Irr!BJ10)),IF(AND(s_Irr!L10&lt;&gt;".",s_Irr!AK10&lt;&gt;".",s_Irr!BJ10="."),s_dir!M10/((1/1000)*(s_Irr!L10+s_Irr!AK10)),IF(AND(s_Irr!L10&lt;&gt;".",s_Irr!AK10=".",s_Irr!BJ10&lt;&gt;"."),s_dir!M10/((1/1000)*(s_Irr!L10+s_Irr!BJ10)),IF(AND(s_Irr!L10=".",s_Irr!AK10&lt;&gt;".",s_Irr!BJ10&lt;&gt;"."),s_dir!M10/((1/1000)*(s_Irr!AK10+s_Irr!BJ10)),IF(AND(s_Irr!L10=".",s_Irr!AK10=".",s_Irr!BJ10&lt;&gt;"."),s_dir!M10/((1/1000)*(s_Irr!BJ10)),IF(AND(s_Irr!L10=".",s_Irr!AK10&lt;&gt;".",s_Irr!BJ10="."),s_dir!M10/((1/1000)*(s_Irr!AK10)),IF(AND(s_Irr!L10&lt;&gt;".",s_Irr!AK10=".",s_Irr!BJ10="."),s_dir!M10/((1/1000)*(s_Irr!L10)),IF(AND(s_Irr!L10=".",s_Irr!AK10=".",s_Irr!BJ10="."),s_dir!M10*1000)))))))),".")</f>
        <v>4233.0887865555706</v>
      </c>
      <c r="N10" s="70">
        <f>IFERROR(IF(AND(s_Irr!M10&lt;&gt;".",s_Irr!AL10&lt;&gt;".",s_Irr!BK10&lt;&gt;"."),s_dir!N10/((1/1000)*(s_Irr!M10+s_Irr!AL10+s_Irr!BK10)),IF(AND(s_Irr!M10&lt;&gt;".",s_Irr!AL10&lt;&gt;".",s_Irr!BK10="."),s_dir!N10/((1/1000)*(s_Irr!M10+s_Irr!AL10)),IF(AND(s_Irr!M10&lt;&gt;".",s_Irr!AL10=".",s_Irr!BK10&lt;&gt;"."),s_dir!N10/((1/1000)*(s_Irr!M10+s_Irr!BK10)),IF(AND(s_Irr!M10=".",s_Irr!AL10&lt;&gt;".",s_Irr!BK10&lt;&gt;"."),s_dir!N10/((1/1000)*(s_Irr!AL10+s_Irr!BK10)),IF(AND(s_Irr!M10=".",s_Irr!AL10=".",s_Irr!BK10&lt;&gt;"."),s_dir!N10/((1/1000)*(s_Irr!BK10)),IF(AND(s_Irr!M10=".",s_Irr!AL10&lt;&gt;".",s_Irr!BK10="."),s_dir!N10/((1/1000)*(s_Irr!AL10)),IF(AND(s_Irr!M10&lt;&gt;".",s_Irr!AL10=".",s_Irr!BK10="."),s_dir!N10/((1/1000)*(s_Irr!M10)),IF(AND(s_Irr!M10=".",s_Irr!AL10=".",s_Irr!BK10="."),s_dir!N10*1000)))))))),".")</f>
        <v>2844.2153848482308</v>
      </c>
      <c r="O10" s="70">
        <f>IFERROR(IF(AND(s_Irr!N10&lt;&gt;".",s_Irr!AM10&lt;&gt;".",s_Irr!BL10&lt;&gt;"."),s_dir!O10/((1/1000)*(s_Irr!N10+s_Irr!AM10+s_Irr!BL10)),IF(AND(s_Irr!N10&lt;&gt;".",s_Irr!AM10&lt;&gt;".",s_Irr!BL10="."),s_dir!O10/((1/1000)*(s_Irr!N10+s_Irr!AM10)),IF(AND(s_Irr!N10&lt;&gt;".",s_Irr!AM10=".",s_Irr!BL10&lt;&gt;"."),s_dir!O10/((1/1000)*(s_Irr!N10+s_Irr!BL10)),IF(AND(s_Irr!N10=".",s_Irr!AM10&lt;&gt;".",s_Irr!BL10&lt;&gt;"."),s_dir!O10/((1/1000)*(s_Irr!AM10+s_Irr!BL10)),IF(AND(s_Irr!N10=".",s_Irr!AM10=".",s_Irr!BL10&lt;&gt;"."),s_dir!O10/((1/1000)*(s_Irr!BL10)),IF(AND(s_Irr!N10=".",s_Irr!AM10&lt;&gt;".",s_Irr!BL10="."),s_dir!O10/((1/1000)*(s_Irr!AM10)),IF(AND(s_Irr!N10&lt;&gt;".",s_Irr!AM10=".",s_Irr!BL10="."),s_dir!O10/((1/1000)*(s_Irr!N10)),IF(AND(s_Irr!N10=".",s_Irr!AM10=".",s_Irr!BL10="."),s_dir!O10*1000)))))))),".")</f>
        <v>3419.5804633035277</v>
      </c>
      <c r="P10" s="70">
        <f>IFERROR(IF(AND(s_Irr!O10&lt;&gt;".",s_Irr!AN10&lt;&gt;".",s_Irr!BM10&lt;&gt;"."),s_dir!P10/((1/1000)*(s_Irr!O10+s_Irr!AN10+s_Irr!BM10)),IF(AND(s_Irr!O10&lt;&gt;".",s_Irr!AN10&lt;&gt;".",s_Irr!BM10="."),s_dir!P10/((1/1000)*(s_Irr!O10+s_Irr!AN10)),IF(AND(s_Irr!O10&lt;&gt;".",s_Irr!AN10=".",s_Irr!BM10&lt;&gt;"."),s_dir!P10/((1/1000)*(s_Irr!O10+s_Irr!BM10)),IF(AND(s_Irr!O10=".",s_Irr!AN10&lt;&gt;".",s_Irr!BM10&lt;&gt;"."),s_dir!P10/((1/1000)*(s_Irr!AN10+s_Irr!BM10)),IF(AND(s_Irr!O10=".",s_Irr!AN10=".",s_Irr!BM10&lt;&gt;"."),s_dir!P10/((1/1000)*(s_Irr!BM10)),IF(AND(s_Irr!O10=".",s_Irr!AN10&lt;&gt;".",s_Irr!BM10="."),s_dir!P10/((1/1000)*(s_Irr!AN10)),IF(AND(s_Irr!O10&lt;&gt;".",s_Irr!AN10=".",s_Irr!BM10="."),s_dir!P10/((1/1000)*(s_Irr!O10)),IF(AND(s_Irr!O10=".",s_Irr!AN10=".",s_Irr!BM10="."),s_dir!P10*1000)))))))),".")</f>
        <v>4233.0887865555706</v>
      </c>
      <c r="Q10" s="70">
        <f>IFERROR(IF(AND(s_Irr!P10&lt;&gt;".",s_Irr!AO10&lt;&gt;".",s_Irr!BN10&lt;&gt;"."),s_dir!Q10/((1/1000)*(s_Irr!P10+s_Irr!AO10+s_Irr!BN10)),IF(AND(s_Irr!P10&lt;&gt;".",s_Irr!AO10&lt;&gt;".",s_Irr!BN10="."),s_dir!Q10/((1/1000)*(s_Irr!P10+s_Irr!AO10)),IF(AND(s_Irr!P10&lt;&gt;".",s_Irr!AO10=".",s_Irr!BN10&lt;&gt;"."),s_dir!Q10/((1/1000)*(s_Irr!P10+s_Irr!BN10)),IF(AND(s_Irr!P10=".",s_Irr!AO10&lt;&gt;".",s_Irr!BN10&lt;&gt;"."),s_dir!Q10/((1/1000)*(s_Irr!AO10+s_Irr!BN10)),IF(AND(s_Irr!P10=".",s_Irr!AO10=".",s_Irr!BN10&lt;&gt;"."),s_dir!Q10/((1/1000)*(s_Irr!BN10)),IF(AND(s_Irr!P10=".",s_Irr!AO10&lt;&gt;".",s_Irr!BN10="."),s_dir!Q10/((1/1000)*(s_Irr!AO10)),IF(AND(s_Irr!P10&lt;&gt;".",s_Irr!AO10=".",s_Irr!BN10="."),s_dir!Q10/((1/1000)*(s_Irr!P10)),IF(AND(s_Irr!P10=".",s_Irr!AO10=".",s_Irr!BN10="."),s_dir!Q10*1000)))))))),".")</f>
        <v>3351.776348606239</v>
      </c>
      <c r="R10" s="70">
        <f>IFERROR(IF(AND(s_Irr!Q10&lt;&gt;".",s_Irr!AP10&lt;&gt;".",s_Irr!BO10&lt;&gt;"."),s_dir!R10/((1/1000)*(s_Irr!Q10+s_Irr!AP10+s_Irr!BO10)),IF(AND(s_Irr!Q10&lt;&gt;".",s_Irr!AP10&lt;&gt;".",s_Irr!BO10="."),s_dir!R10/((1/1000)*(s_Irr!Q10+s_Irr!AP10)),IF(AND(s_Irr!Q10&lt;&gt;".",s_Irr!AP10=".",s_Irr!BO10&lt;&gt;"."),s_dir!R10/((1/1000)*(s_Irr!Q10+s_Irr!BO10)),IF(AND(s_Irr!Q10=".",s_Irr!AP10&lt;&gt;".",s_Irr!BO10&lt;&gt;"."),s_dir!R10/((1/1000)*(s_Irr!AP10+s_Irr!BO10)),IF(AND(s_Irr!Q10=".",s_Irr!AP10=".",s_Irr!BO10&lt;&gt;"."),s_dir!R10/((1/1000)*(s_Irr!BO10)),IF(AND(s_Irr!Q10=".",s_Irr!AP10&lt;&gt;".",s_Irr!BO10="."),s_dir!R10/((1/1000)*(s_Irr!AP10)),IF(AND(s_Irr!Q10&lt;&gt;".",s_Irr!AP10=".",s_Irr!BO10="."),s_dir!R10/((1/1000)*(s_Irr!Q10)),IF(AND(s_Irr!Q10=".",s_Irr!AP10=".",s_Irr!BO10="."),s_dir!R10*1000)))))))),".")</f>
        <v>5228.0860535998863</v>
      </c>
      <c r="S10" s="70">
        <f>IFERROR(IF(AND(s_Irr!R10&lt;&gt;".",s_Irr!AQ10&lt;&gt;".",s_Irr!BP10&lt;&gt;"."),s_dir!S10/((1/1000)*(s_Irr!R10+s_Irr!AQ10+s_Irr!BP10)),IF(AND(s_Irr!R10&lt;&gt;".",s_Irr!AQ10&lt;&gt;".",s_Irr!BP10="."),s_dir!S10/((1/1000)*(s_Irr!R10+s_Irr!AQ10)),IF(AND(s_Irr!R10&lt;&gt;".",s_Irr!AQ10=".",s_Irr!BP10&lt;&gt;"."),s_dir!S10/((1/1000)*(s_Irr!R10+s_Irr!BP10)),IF(AND(s_Irr!R10=".",s_Irr!AQ10&lt;&gt;".",s_Irr!BP10&lt;&gt;"."),s_dir!S10/((1/1000)*(s_Irr!AQ10+s_Irr!BP10)),IF(AND(s_Irr!R10=".",s_Irr!AQ10=".",s_Irr!BP10&lt;&gt;"."),s_dir!S10/((1/1000)*(s_Irr!BP10)),IF(AND(s_Irr!R10=".",s_Irr!AQ10&lt;&gt;".",s_Irr!BP10="."),s_dir!S10/((1/1000)*(s_Irr!AQ10)),IF(AND(s_Irr!R10&lt;&gt;".",s_Irr!AQ10=".",s_Irr!BP10="."),s_dir!S10/((1/1000)*(s_Irr!R10)),IF(AND(s_Irr!R10=".",s_Irr!AQ10=".",s_Irr!BP10="."),s_dir!S10*1000)))))))),".")</f>
        <v>5228.0860535998863</v>
      </c>
      <c r="T10" s="70">
        <f>IFERROR(IF(AND(s_Irr!S10&lt;&gt;".",s_Irr!AR10&lt;&gt;".",s_Irr!BQ10&lt;&gt;"."),s_dir!T10/((1/1000)*(s_Irr!S10+s_Irr!AR10+s_Irr!BQ10)),IF(AND(s_Irr!S10&lt;&gt;".",s_Irr!AR10&lt;&gt;".",s_Irr!BQ10="."),s_dir!T10/((1/1000)*(s_Irr!S10+s_Irr!AR10)),IF(AND(s_Irr!S10&lt;&gt;".",s_Irr!AR10=".",s_Irr!BQ10&lt;&gt;"."),s_dir!T10/((1/1000)*(s_Irr!S10+s_Irr!BQ10)),IF(AND(s_Irr!S10=".",s_Irr!AR10&lt;&gt;".",s_Irr!BQ10&lt;&gt;"."),s_dir!T10/((1/1000)*(s_Irr!AR10+s_Irr!BQ10)),IF(AND(s_Irr!S10=".",s_Irr!AR10=".",s_Irr!BQ10&lt;&gt;"."),s_dir!T10/((1/1000)*(s_Irr!BQ10)),IF(AND(s_Irr!S10=".",s_Irr!AR10&lt;&gt;".",s_Irr!BQ10="."),s_dir!T10/((1/1000)*(s_Irr!AR10)),IF(AND(s_Irr!S10&lt;&gt;".",s_Irr!AR10=".",s_Irr!BQ10="."),s_dir!T10/((1/1000)*(s_Irr!S10)),IF(AND(s_Irr!S10=".",s_Irr!AR10=".",s_Irr!BQ10="."),s_dir!T10*1000)))))))),".")</f>
        <v>3419.5804633035277</v>
      </c>
      <c r="U10" s="70">
        <f>IFERROR(IF(AND(s_Irr!T10&lt;&gt;".",s_Irr!AS10&lt;&gt;".",s_Irr!BR10&lt;&gt;"."),s_dir!U10/((1/1000)*(s_Irr!T10+s_Irr!AS10+s_Irr!BR10)),IF(AND(s_Irr!T10&lt;&gt;".",s_Irr!AS10&lt;&gt;".",s_Irr!BR10="."),s_dir!U10/((1/1000)*(s_Irr!T10+s_Irr!AS10)),IF(AND(s_Irr!T10&lt;&gt;".",s_Irr!AS10=".",s_Irr!BR10&lt;&gt;"."),s_dir!U10/((1/1000)*(s_Irr!T10+s_Irr!BR10)),IF(AND(s_Irr!T10=".",s_Irr!AS10&lt;&gt;".",s_Irr!BR10&lt;&gt;"."),s_dir!U10/((1/1000)*(s_Irr!AS10+s_Irr!BR10)),IF(AND(s_Irr!T10=".",s_Irr!AS10=".",s_Irr!BR10&lt;&gt;"."),s_dir!U10/((1/1000)*(s_Irr!BR10)),IF(AND(s_Irr!T10=".",s_Irr!AS10&lt;&gt;".",s_Irr!BR10="."),s_dir!U10/((1/1000)*(s_Irr!AS10)),IF(AND(s_Irr!T10&lt;&gt;".",s_Irr!AS10=".",s_Irr!BR10="."),s_dir!U10/((1/1000)*(s_Irr!T10)),IF(AND(s_Irr!T10=".",s_Irr!AS10=".",s_Irr!BR10="."),s_dir!U10*1000)))))))),".")</f>
        <v>4233.0887865555706</v>
      </c>
      <c r="V10" s="70">
        <f>IFERROR(IF(AND(s_Irr!U10&lt;&gt;".",s_Irr!AT10&lt;&gt;".",s_Irr!BS10&lt;&gt;"."),s_dir!V10/((1/1000)*(s_Irr!U10+s_Irr!AT10+s_Irr!BS10)),IF(AND(s_Irr!U10&lt;&gt;".",s_Irr!AT10&lt;&gt;".",s_Irr!BS10="."),s_dir!V10/((1/1000)*(s_Irr!U10+s_Irr!AT10)),IF(AND(s_Irr!U10&lt;&gt;".",s_Irr!AT10=".",s_Irr!BS10&lt;&gt;"."),s_dir!V10/((1/1000)*(s_Irr!U10+s_Irr!BS10)),IF(AND(s_Irr!U10=".",s_Irr!AT10&lt;&gt;".",s_Irr!BS10&lt;&gt;"."),s_dir!V10/((1/1000)*(s_Irr!AT10+s_Irr!BS10)),IF(AND(s_Irr!U10=".",s_Irr!AT10=".",s_Irr!BS10&lt;&gt;"."),s_dir!V10/((1/1000)*(s_Irr!BS10)),IF(AND(s_Irr!U10=".",s_Irr!AT10&lt;&gt;".",s_Irr!BS10="."),s_dir!V10/((1/1000)*(s_Irr!AT10)),IF(AND(s_Irr!U10&lt;&gt;".",s_Irr!AT10=".",s_Irr!BS10="."),s_dir!V10/((1/1000)*(s_Irr!U10)),IF(AND(s_Irr!U10=".",s_Irr!AT10=".",s_Irr!BS10="."),s_dir!V10*1000)))))))),".")</f>
        <v>2943.2596287478368</v>
      </c>
      <c r="W10" s="70">
        <f>IFERROR(IF(AND(s_Irr!V10&lt;&gt;".",s_Irr!AU10&lt;&gt;".",s_Irr!BT10&lt;&gt;"."),s_dir!W10/((1/1000)*(s_Irr!V10+s_Irr!AU10+s_Irr!BT10)),IF(AND(s_Irr!V10&lt;&gt;".",s_Irr!AU10&lt;&gt;".",s_Irr!BT10="."),s_dir!W10/((1/1000)*(s_Irr!V10+s_Irr!AU10)),IF(AND(s_Irr!V10&lt;&gt;".",s_Irr!AU10=".",s_Irr!BT10&lt;&gt;"."),s_dir!W10/((1/1000)*(s_Irr!V10+s_Irr!BT10)),IF(AND(s_Irr!V10=".",s_Irr!AU10&lt;&gt;".",s_Irr!BT10&lt;&gt;"."),s_dir!W10/((1/1000)*(s_Irr!AU10+s_Irr!BT10)),IF(AND(s_Irr!V10=".",s_Irr!AU10=".",s_Irr!BT10&lt;&gt;"."),s_dir!W10/((1/1000)*(s_Irr!BT10)),IF(AND(s_Irr!V10=".",s_Irr!AU10&lt;&gt;".",s_Irr!BT10="."),s_dir!W10/((1/1000)*(s_Irr!AU10)),IF(AND(s_Irr!V10&lt;&gt;".",s_Irr!AU10=".",s_Irr!BT10="."),s_dir!W10/((1/1000)*(s_Irr!V10)),IF(AND(s_Irr!V10=".",s_Irr!AU10=".",s_Irr!BT10="."),s_dir!W10*1000)))))))),".")</f>
        <v>4233.0887865555706</v>
      </c>
      <c r="X10" s="70">
        <f>IFERROR(IF(AND(s_Irr!W10&lt;&gt;".",s_Irr!AV10&lt;&gt;".",s_Irr!BU10&lt;&gt;"."),s_dir!X10/((1/1000)*(s_Irr!W10+s_Irr!AV10+s_Irr!BU10)),IF(AND(s_Irr!W10&lt;&gt;".",s_Irr!AV10&lt;&gt;".",s_Irr!BU10="."),s_dir!X10/((1/1000)*(s_Irr!W10+s_Irr!AV10)),IF(AND(s_Irr!W10&lt;&gt;".",s_Irr!AV10=".",s_Irr!BU10&lt;&gt;"."),s_dir!X10/((1/1000)*(s_Irr!W10+s_Irr!BU10)),IF(AND(s_Irr!W10=".",s_Irr!AV10&lt;&gt;".",s_Irr!BU10&lt;&gt;"."),s_dir!X10/((1/1000)*(s_Irr!AV10+s_Irr!BU10)),IF(AND(s_Irr!W10=".",s_Irr!AV10=".",s_Irr!BU10&lt;&gt;"."),s_dir!X10/((1/1000)*(s_Irr!BU10)),IF(AND(s_Irr!W10=".",s_Irr!AV10&lt;&gt;".",s_Irr!BU10="."),s_dir!X10/((1/1000)*(s_Irr!AV10)),IF(AND(s_Irr!W10&lt;&gt;".",s_Irr!AV10=".",s_Irr!BU10="."),s_dir!X10/((1/1000)*(s_Irr!W10)),IF(AND(s_Irr!W10=".",s_Irr!AV10=".",s_Irr!BU10="."),s_dir!X10*1000)))))))),".")</f>
        <v>3419.5804633035277</v>
      </c>
      <c r="Y10" s="70">
        <f>IFERROR(IF(AND(s_Irr!X10&lt;&gt;".",s_Irr!AW10&lt;&gt;".",s_Irr!BV10&lt;&gt;"."),s_dir!Y10/((1/1000)*(s_Irr!X10+s_Irr!AW10+s_Irr!BV10)),IF(AND(s_Irr!X10&lt;&gt;".",s_Irr!AW10&lt;&gt;".",s_Irr!BV10="."),s_dir!Y10/((1/1000)*(s_Irr!X10+s_Irr!AW10)),IF(AND(s_Irr!X10&lt;&gt;".",s_Irr!AW10=".",s_Irr!BV10&lt;&gt;"."),s_dir!Y10/((1/1000)*(s_Irr!X10+s_Irr!BV10)),IF(AND(s_Irr!X10=".",s_Irr!AW10&lt;&gt;".",s_Irr!BV10&lt;&gt;"."),s_dir!Y10/((1/1000)*(s_Irr!AW10+s_Irr!BV10)),IF(AND(s_Irr!X10=".",s_Irr!AW10=".",s_Irr!BV10&lt;&gt;"."),s_dir!Y10/((1/1000)*(s_Irr!BV10)),IF(AND(s_Irr!X10=".",s_Irr!AW10&lt;&gt;".",s_Irr!BV10="."),s_dir!Y10/((1/1000)*(s_Irr!AW10)),IF(AND(s_Irr!X10&lt;&gt;".",s_Irr!AW10=".",s_Irr!BV10="."),s_dir!Y10/((1/1000)*(s_Irr!X10)),IF(AND(s_Irr!X10=".",s_Irr!AW10=".",s_Irr!BV10="."),s_dir!Y10*1000)))))))),".")</f>
        <v>5473.5501761061505</v>
      </c>
      <c r="Z10" s="70">
        <f>IFERROR(IF(AND(s_Irr!Y10&lt;&gt;".",s_Irr!AX10&lt;&gt;".",s_Irr!BW10&lt;&gt;"."),s_dir!Z10/((1/1000)*(s_Irr!Y10+s_Irr!AX10+s_Irr!BW10)),IF(AND(s_Irr!Y10&lt;&gt;".",s_Irr!AX10&lt;&gt;".",s_Irr!BW10="."),s_dir!Z10/((1/1000)*(s_Irr!Y10+s_Irr!AX10)),IF(AND(s_Irr!Y10&lt;&gt;".",s_Irr!AX10=".",s_Irr!BW10&lt;&gt;"."),s_dir!Z10/((1/1000)*(s_Irr!Y10+s_Irr!BW10)),IF(AND(s_Irr!Y10=".",s_Irr!AX10&lt;&gt;".",s_Irr!BW10&lt;&gt;"."),s_dir!Z10/((1/1000)*(s_Irr!AX10+s_Irr!BW10)),IF(AND(s_Irr!Y10=".",s_Irr!AX10=".",s_Irr!BW10&lt;&gt;"."),s_dir!Z10/((1/1000)*(s_Irr!BW10)),IF(AND(s_Irr!Y10=".",s_Irr!AX10&lt;&gt;".",s_Irr!BW10="."),s_dir!Z10/((1/1000)*(s_Irr!AX10)),IF(AND(s_Irr!Y10&lt;&gt;".",s_Irr!AX10=".",s_Irr!BW10="."),s_dir!Z10/((1/1000)*(s_Irr!Y10)),IF(AND(s_Irr!Y10=".",s_Irr!AX10=".",s_Irr!BW10="."),s_dir!Z10*1000)))))))),".")</f>
        <v>4233.0887865555706</v>
      </c>
      <c r="AA10" s="70">
        <f>IFERROR(IF(AND(s_Irr!Z10&lt;&gt;".",s_Irr!AY10&lt;&gt;".",s_Irr!BX10&lt;&gt;"."),s_dir!AA10/((1/1000)*(s_Irr!Z10+s_Irr!AY10+s_Irr!BX10)),IF(AND(s_Irr!Z10&lt;&gt;".",s_Irr!AY10&lt;&gt;".",s_Irr!BX10="."),s_dir!AA10/((1/1000)*(s_Irr!Z10+s_Irr!AY10)),IF(AND(s_Irr!Z10&lt;&gt;".",s_Irr!AY10=".",s_Irr!BX10&lt;&gt;"."),s_dir!AA10/((1/1000)*(s_Irr!Z10+s_Irr!BX10)),IF(AND(s_Irr!Z10=".",s_Irr!AY10&lt;&gt;".",s_Irr!BX10&lt;&gt;"."),s_dir!AA10/((1/1000)*(s_Irr!AY10+s_Irr!BX10)),IF(AND(s_Irr!Z10=".",s_Irr!AY10=".",s_Irr!BX10&lt;&gt;"."),s_dir!AA10/((1/1000)*(s_Irr!BX10)),IF(AND(s_Irr!Z10=".",s_Irr!AY10&lt;&gt;".",s_Irr!BX10="."),s_dir!AA10/((1/1000)*(s_Irr!AY10)),IF(AND(s_Irr!Z10&lt;&gt;".",s_Irr!AY10=".",s_Irr!BX10="."),s_dir!AA10/((1/1000)*(s_Irr!Z10)),IF(AND(s_Irr!Z10=".",s_Irr!AY10=".",s_Irr!BX10="."),s_dir!AA10*1000)))))))),".")</f>
        <v>5672.8506742453901</v>
      </c>
      <c r="AB10" s="70">
        <f>IFERROR(IF(AND(s_Irr!AA10&lt;&gt;".",s_Irr!AZ10&lt;&gt;".",s_Irr!BY10&lt;&gt;"."),s_dir!AB10/((1/1000)*(s_Irr!AA10+s_Irr!AZ10+s_Irr!BY10)),IF(AND(s_Irr!AA10&lt;&gt;".",s_Irr!AZ10&lt;&gt;".",s_Irr!BY10="."),s_dir!AB10/((1/1000)*(s_Irr!AA10+s_Irr!AZ10)),IF(AND(s_Irr!AA10&lt;&gt;".",s_Irr!AZ10=".",s_Irr!BY10&lt;&gt;"."),s_dir!AB10/((1/1000)*(s_Irr!AA10+s_Irr!BY10)),IF(AND(s_Irr!AA10=".",s_Irr!AZ10&lt;&gt;".",s_Irr!BY10&lt;&gt;"."),s_dir!AB10/((1/1000)*(s_Irr!AZ10+s_Irr!BY10)),IF(AND(s_Irr!AA10=".",s_Irr!AZ10=".",s_Irr!BY10&lt;&gt;"."),s_dir!AB10/((1/1000)*(s_Irr!BY10)),IF(AND(s_Irr!AA10=".",s_Irr!AZ10&lt;&gt;".",s_Irr!BY10="."),s_dir!AB10/((1/1000)*(s_Irr!AZ10)),IF(AND(s_Irr!AA10&lt;&gt;".",s_Irr!AZ10=".",s_Irr!BY10="."),s_dir!AB10/((1/1000)*(s_Irr!AA10)),IF(AND(s_Irr!AA10=".",s_Irr!AZ10=".",s_Irr!BY10="."),s_dir!AB10*1000)))))))),".")</f>
        <v>3847.6776656332872</v>
      </c>
      <c r="AC10" s="87">
        <f t="shared" si="4"/>
        <v>438.7746154490718</v>
      </c>
      <c r="AD10" s="87">
        <f>IFERROR(s_C*s_IFAP_res_adj*s_CF_apple*0.001*(s_Irr!C10+s_Irr!AB10+s_Irr!BA10),".")</f>
        <v>97.172620842093266</v>
      </c>
      <c r="AE10" s="87">
        <f>IFERROR(s_C*s_IFAS_res_adj*s_CF_asparagus*0.001*(s_Irr!D10+s_Irr!AC10+s_Irr!BB10),".")</f>
        <v>178.61756409963522</v>
      </c>
      <c r="AF10" s="87">
        <f>IFERROR(s_C*s_IFBT_res_adj*s_CF_beet*0.001*(s_Irr!E10+s_Irr!AD10+s_Irr!BC10),".")</f>
        <v>151.56942796244414</v>
      </c>
      <c r="AG10" s="87">
        <f>IFERROR(s_C*s_IFBE_res_adj*s_CF_berries*0.001*(s_Irr!F10+s_Irr!AE10+s_Irr!BD10),".")</f>
        <v>91.61272619167066</v>
      </c>
      <c r="AH10" s="87">
        <f>IFERROR(s_C*s_IFBR_res_adj*s_CF_broccoli*0.001*(s_Irr!G10+s_Irr!AF10+s_Irr!BE10),".")</f>
        <v>120.01326913572126</v>
      </c>
      <c r="AI10" s="87">
        <f>IFERROR(s_C*s_IFCB_res_adj*s_CF_cabbage*0.001*(s_Irr!H10+s_Irr!AG10+s_Irr!BF10),".")</f>
        <v>178.61756409963522</v>
      </c>
      <c r="AJ10" s="87">
        <f>IFERROR(s_C*s_IFCR_res_adj*s_CF_carrot*0.001*(s_Irr!I10+s_Irr!AH10+s_Irr!BG10),".")</f>
        <v>151.56942796244414</v>
      </c>
      <c r="AK10" s="87">
        <f>IFERROR(s_C*s_IFCI_res_adj*s_CF_citrus*0.001*(s_Irr!J10+s_Irr!AI10+s_Irr!BH10),".")</f>
        <v>97.172620842093266</v>
      </c>
      <c r="AL10" s="87">
        <f>IFERROR(s_C*s_IFCO_res_adj*s_CF_corn*0.001*(s_Irr!K10+s_Irr!AJ10+s_Irr!BI10),".")</f>
        <v>138.04535989384863</v>
      </c>
      <c r="AM10" s="87">
        <f>IFERROR(s_C*s_IFCU_res_adj*s_CF_cucumber*0.001*(s_Irr!L10+s_Irr!AK10+s_Irr!BJ10),".")</f>
        <v>120.01326913572126</v>
      </c>
      <c r="AN10" s="87">
        <f>IFERROR(s_C*s_IFLE_res_adj*s_CF_lettuce*0.001*(s_Irr!M10+s_Irr!AL10+s_Irr!BK10),".")</f>
        <v>178.61756409963522</v>
      </c>
      <c r="AO10" s="87">
        <f>IFERROR(s_C*s_IFLI_res_adj*s_CF_lima_bean*0.001*(s_Irr!N10+s_Irr!AM10+s_Irr!BL10),".")</f>
        <v>148.56407950275627</v>
      </c>
      <c r="AP10" s="87">
        <f>IFERROR(s_C*s_IFOK_res_adj*s_CF_okra*0.001*(s_Irr!O10+s_Irr!AN10+s_Irr!BM10),".")</f>
        <v>120.01326913572126</v>
      </c>
      <c r="AQ10" s="87">
        <f>IFERROR(s_C*s_IFON_res_adj*s_CF_onion*0.001*(s_Irr!P10+s_Irr!AO10+s_Irr!BN10),".")</f>
        <v>151.56942796244414</v>
      </c>
      <c r="AR10" s="87">
        <f>IFERROR(s_C*s_IFPC_res_adj*s_CF_peach*0.001*(s_Irr!Q10+s_Irr!AP10+s_Irr!BO10),".")</f>
        <v>97.172620842093266</v>
      </c>
      <c r="AS10" s="87">
        <f>IFERROR(s_C*s_IFPR_res_adj*s_CF_pear*0.001*(s_Irr!R10+s_Irr!AQ10+s_Irr!BP10),".")</f>
        <v>97.172620842093266</v>
      </c>
      <c r="AT10" s="87">
        <f>IFERROR(s_C*s_IFPE_res_adj*s_CF_peas*0.001*(s_Irr!S10+s_Irr!AR10+s_Irr!BQ10),".")</f>
        <v>148.56407950275627</v>
      </c>
      <c r="AU10" s="87">
        <f>IFERROR(s_C*s_IFPP_res_adj*s_CF_peppers*0.001*(s_Irr!T10+s_Irr!AS10+s_Irr!BR10),".")</f>
        <v>120.01326913572126</v>
      </c>
      <c r="AV10" s="87">
        <f>IFERROR(s_C*s_IFPT_res_adj*s_CF_potato*0.001*(s_Irr!U10+s_Irr!AT10+s_Irr!BS10),".")</f>
        <v>172.6068671802594</v>
      </c>
      <c r="AW10" s="87">
        <f>IFERROR(s_C*s_IFPU_res_adj*s_CF_pumpkin*0.001*(s_Irr!V10+s_Irr!AU10+s_Irr!BT10),".")</f>
        <v>120.01326913572126</v>
      </c>
      <c r="AX10" s="87">
        <f>IFERROR(s_C*s_IFSN_res_adj*s_CF_snap_bean*0.001*(s_Irr!W10+s_Irr!AV10+s_Irr!BU10),".")</f>
        <v>148.56407950275627</v>
      </c>
      <c r="AY10" s="87">
        <f>IFERROR(s_C*s_IFST_res_adj*s_CF_strawberry*0.001*(s_Irr!X10+s_Irr!AW10+s_Irr!BV10),".")</f>
        <v>92.814865575545824</v>
      </c>
      <c r="AZ10" s="87">
        <f>IFERROR(s_C*s_IFTO_res_adj*s_CF_tomato*0.001*(s_Irr!Y10+s_Irr!AX10+s_Irr!BW10),".")</f>
        <v>120.01326913572126</v>
      </c>
      <c r="BA10" s="87">
        <f>IFERROR(s_C*s_IFRI_res_adj*s_CF_rice*0.001*(s_Irr!Z10+s_Irr!AY10+s_Irr!BX10),".")</f>
        <v>89.554062496784454</v>
      </c>
      <c r="BB10" s="87">
        <f>IFERROR(s_C*s_IFCG_res_adj*s_CF_cereal*0.001*(s_Irr!AA10+s_Irr!AZ10+s_Irr!BY10),".")</f>
        <v>132.03466297447281</v>
      </c>
      <c r="BC10" s="70">
        <f t="shared" si="1"/>
        <v>1157.8309362686086</v>
      </c>
      <c r="BD10" s="70">
        <f>IFERROR(IF(AND(s_Irr!C10&lt;&gt;".",s_Irr!AB10&lt;&gt;".",s_Irr!BA10&lt;&gt;"."),s_dir!AD10/((1/1000)*(s_Irr!C10+s_Irr!AB10+s_Irr!BA10)),IF(AND(s_Irr!C10&lt;&gt;".",s_Irr!AB10&lt;&gt;".",s_Irr!BA10="."),s_dir!AD10/((1/1000)*(s_Irr!C10+s_Irr!AB10)),IF(AND(s_Irr!C10&lt;&gt;".",s_Irr!AB10=".",s_Irr!BA10&lt;&gt;"."),s_dir!AD10/((1/1000)*(s_Irr!C10+s_Irr!BA10)),IF(AND(s_Irr!C10=".",s_Irr!AB10&lt;&gt;".",s_Irr!BA10&lt;&gt;"."),s_dir!AD10/((1/1000)*(s_Irr!AB10+s_Irr!BA10)),IF(AND(s_Irr!C10=".",s_Irr!AB10=".",s_Irr!BA10&lt;&gt;"."),s_dir!AD10/((1/1000)*(s_Irr!BA10)),IF(AND(s_Irr!C10=".",s_Irr!AB10&lt;&gt;".",s_Irr!BA10="."),s_dir!AD10/((1/1000)*(s_Irr!AB10)),IF(AND(s_Irr!C10&lt;&gt;".",s_Irr!AB10=".",s_Irr!BA10="."),s_dir!AD10/((1/1000)*(s_Irr!C10)),IF(AND(s_Irr!C10=".",s_Irr!AB10=".",s_Irr!BA10="."),s_dir!AD10*1000)))))))),".")</f>
        <v>5228.0860535998863</v>
      </c>
      <c r="BE10" s="70">
        <f>IFERROR(IF(AND(s_Irr!D10&lt;&gt;".",s_Irr!AC10&lt;&gt;".",s_Irr!BB10&lt;&gt;"."),s_dir!AE10/((1/1000)*(s_Irr!D10+s_Irr!AC10+s_Irr!BB10)),IF(AND(s_Irr!D10&lt;&gt;".",s_Irr!AC10&lt;&gt;".",s_Irr!BB10="."),s_dir!AE10/((1/1000)*(s_Irr!D10+s_Irr!AC10)),IF(AND(s_Irr!D10&lt;&gt;".",s_Irr!AC10=".",s_Irr!BB10&lt;&gt;"."),s_dir!AE10/((1/1000)*(s_Irr!D10+s_Irr!BB10)),IF(AND(s_Irr!D10=".",s_Irr!AC10&lt;&gt;".",s_Irr!BB10&lt;&gt;"."),s_dir!AE10/((1/1000)*(s_Irr!AC10+s_Irr!BB10)),IF(AND(s_Irr!D10=".",s_Irr!AC10=".",s_Irr!BB10&lt;&gt;"."),s_dir!AE10/((1/1000)*(s_Irr!BB10)),IF(AND(s_Irr!D10=".",s_Irr!AC10&lt;&gt;".",s_Irr!BB10="."),s_dir!AE10/((1/1000)*(s_Irr!AC10)),IF(AND(s_Irr!D10&lt;&gt;".",s_Irr!AC10=".",s_Irr!BB10="."),s_dir!AE10/((1/1000)*(s_Irr!D10)),IF(AND(s_Irr!D10=".",s_Irr!AC10=".",s_Irr!BB10="."),s_dir!AE10*1000)))))))),".")</f>
        <v>2844.2153848482308</v>
      </c>
      <c r="BF10" s="70">
        <f>IFERROR(IF(AND(s_Irr!E10&lt;&gt;".",s_Irr!AD10&lt;&gt;".",s_Irr!BC10&lt;&gt;"."),s_dir!AF10/((1/1000)*(s_Irr!E10+s_Irr!AD10+s_Irr!BC10)),IF(AND(s_Irr!E10&lt;&gt;".",s_Irr!AD10&lt;&gt;".",s_Irr!BC10="."),s_dir!AF10/((1/1000)*(s_Irr!E10+s_Irr!AD10)),IF(AND(s_Irr!E10&lt;&gt;".",s_Irr!AD10=".",s_Irr!BC10&lt;&gt;"."),s_dir!AF10/((1/1000)*(s_Irr!E10+s_Irr!BC10)),IF(AND(s_Irr!E10=".",s_Irr!AD10&lt;&gt;".",s_Irr!BC10&lt;&gt;"."),s_dir!AF10/((1/1000)*(s_Irr!AD10+s_Irr!BC10)),IF(AND(s_Irr!E10=".",s_Irr!AD10=".",s_Irr!BC10&lt;&gt;"."),s_dir!AF10/((1/1000)*(s_Irr!BC10)),IF(AND(s_Irr!E10=".",s_Irr!AD10&lt;&gt;".",s_Irr!BC10="."),s_dir!AF10/((1/1000)*(s_Irr!AD10)),IF(AND(s_Irr!E10&lt;&gt;".",s_Irr!AD10=".",s_Irr!BC10="."),s_dir!AF10/((1/1000)*(s_Irr!E10)),IF(AND(s_Irr!E10=".",s_Irr!AD10=".",s_Irr!BC10="."),s_dir!AF10*1000)))))))),".")</f>
        <v>3351.776348606239</v>
      </c>
      <c r="BG10" s="70">
        <f>IFERROR(IF(AND(s_Irr!F10&lt;&gt;".",s_Irr!AE10&lt;&gt;".",s_Irr!BD10&lt;&gt;"."),s_dir!AG10/((1/1000)*(s_Irr!F10+s_Irr!AE10+s_Irr!BD10)),IF(AND(s_Irr!F10&lt;&gt;".",s_Irr!AE10&lt;&gt;".",s_Irr!BD10="."),s_dir!AG10/((1/1000)*(s_Irr!F10+s_Irr!AE10)),IF(AND(s_Irr!F10&lt;&gt;".",s_Irr!AE10=".",s_Irr!BD10&lt;&gt;"."),s_dir!AG10/((1/1000)*(s_Irr!F10+s_Irr!BD10)),IF(AND(s_Irr!F10=".",s_Irr!AE10&lt;&gt;".",s_Irr!BD10&lt;&gt;"."),s_dir!AG10/((1/1000)*(s_Irr!AE10+s_Irr!BD10)),IF(AND(s_Irr!F10=".",s_Irr!AE10=".",s_Irr!BD10&lt;&gt;"."),s_dir!AG10/((1/1000)*(s_Irr!BD10)),IF(AND(s_Irr!F10=".",s_Irr!AE10&lt;&gt;".",s_Irr!BD10="."),s_dir!AG10/((1/1000)*(s_Irr!AE10)),IF(AND(s_Irr!F10&lt;&gt;".",s_Irr!AE10=".",s_Irr!BD10="."),s_dir!AG10/((1/1000)*(s_Irr!F10)),IF(AND(s_Irr!F10=".",s_Irr!AE10=".",s_Irr!BD10="."),s_dir!AG10*1000)))))))),".")</f>
        <v>5545.3739336761137</v>
      </c>
      <c r="BH10" s="70">
        <f>IFERROR(IF(AND(s_Irr!G10&lt;&gt;".",s_Irr!AF10&lt;&gt;".",s_Irr!BE10&lt;&gt;"."),s_dir!AH10/((1/1000)*(s_Irr!G10+s_Irr!AF10+s_Irr!BE10)),IF(AND(s_Irr!G10&lt;&gt;".",s_Irr!AF10&lt;&gt;".",s_Irr!BE10="."),s_dir!AH10/((1/1000)*(s_Irr!G10+s_Irr!AF10)),IF(AND(s_Irr!G10&lt;&gt;".",s_Irr!AF10=".",s_Irr!BE10&lt;&gt;"."),s_dir!AH10/((1/1000)*(s_Irr!G10+s_Irr!BE10)),IF(AND(s_Irr!G10=".",s_Irr!AF10&lt;&gt;".",s_Irr!BE10&lt;&gt;"."),s_dir!AH10/((1/1000)*(s_Irr!AF10+s_Irr!BE10)),IF(AND(s_Irr!G10=".",s_Irr!AF10=".",s_Irr!BE10&lt;&gt;"."),s_dir!AH10/((1/1000)*(s_Irr!BE10)),IF(AND(s_Irr!G10=".",s_Irr!AF10&lt;&gt;".",s_Irr!BE10="."),s_dir!AH10/((1/1000)*(s_Irr!AF10)),IF(AND(s_Irr!G10&lt;&gt;".",s_Irr!AF10=".",s_Irr!BE10="."),s_dir!AH10/((1/1000)*(s_Irr!G10)),IF(AND(s_Irr!G10=".",s_Irr!AF10=".",s_Irr!BE10="."),s_dir!AH10*1000)))))))),".")</f>
        <v>4233.0887865555706</v>
      </c>
      <c r="BI10" s="70">
        <f>IFERROR(IF(AND(s_Irr!H10&lt;&gt;".",s_Irr!AG10&lt;&gt;".",s_Irr!BF10&lt;&gt;"."),s_dir!AI10/((1/1000)*(s_Irr!H10+s_Irr!AG10+s_Irr!BF10)),IF(AND(s_Irr!H10&lt;&gt;".",s_Irr!AG10&lt;&gt;".",s_Irr!BF10="."),s_dir!AI10/((1/1000)*(s_Irr!H10+s_Irr!AG10)),IF(AND(s_Irr!H10&lt;&gt;".",s_Irr!AG10=".",s_Irr!BF10&lt;&gt;"."),s_dir!AI10/((1/1000)*(s_Irr!H10+s_Irr!BF10)),IF(AND(s_Irr!H10=".",s_Irr!AG10&lt;&gt;".",s_Irr!BF10&lt;&gt;"."),s_dir!AI10/((1/1000)*(s_Irr!AG10+s_Irr!BF10)),IF(AND(s_Irr!H10=".",s_Irr!AG10=".",s_Irr!BF10&lt;&gt;"."),s_dir!AI10/((1/1000)*(s_Irr!BF10)),IF(AND(s_Irr!H10=".",s_Irr!AG10&lt;&gt;".",s_Irr!BF10="."),s_dir!AI10/((1/1000)*(s_Irr!AG10)),IF(AND(s_Irr!H10&lt;&gt;".",s_Irr!AG10=".",s_Irr!BF10="."),s_dir!AI10/((1/1000)*(s_Irr!H10)),IF(AND(s_Irr!H10=".",s_Irr!AG10=".",s_Irr!BF10="."),s_dir!AI10*1000)))))))),".")</f>
        <v>2844.2153848482308</v>
      </c>
      <c r="BJ10" s="70">
        <f>IFERROR(IF(AND(s_Irr!I10&lt;&gt;".",s_Irr!AH10&lt;&gt;".",s_Irr!BG10&lt;&gt;"."),s_dir!AJ10/((1/1000)*(s_Irr!I10+s_Irr!AH10+s_Irr!BG10)),IF(AND(s_Irr!I10&lt;&gt;".",s_Irr!AH10&lt;&gt;".",s_Irr!BG10="."),s_dir!AJ10/((1/1000)*(s_Irr!I10+s_Irr!AH10)),IF(AND(s_Irr!I10&lt;&gt;".",s_Irr!AH10=".",s_Irr!BG10&lt;&gt;"."),s_dir!AJ10/((1/1000)*(s_Irr!I10+s_Irr!BG10)),IF(AND(s_Irr!I10=".",s_Irr!AH10&lt;&gt;".",s_Irr!BG10&lt;&gt;"."),s_dir!AJ10/((1/1000)*(s_Irr!AH10+s_Irr!BG10)),IF(AND(s_Irr!I10=".",s_Irr!AH10=".",s_Irr!BG10&lt;&gt;"."),s_dir!AJ10/((1/1000)*(s_Irr!BG10)),IF(AND(s_Irr!I10=".",s_Irr!AH10&lt;&gt;".",s_Irr!BG10="."),s_dir!AJ10/((1/1000)*(s_Irr!AH10)),IF(AND(s_Irr!I10&lt;&gt;".",s_Irr!AH10=".",s_Irr!BG10="."),s_dir!AJ10/((1/1000)*(s_Irr!I10)),IF(AND(s_Irr!I10=".",s_Irr!AH10=".",s_Irr!BG10="."),s_dir!AJ10*1000)))))))),".")</f>
        <v>3351.776348606239</v>
      </c>
      <c r="BK10" s="70">
        <f>IFERROR(IF(AND(s_Irr!J10&lt;&gt;".",s_Irr!AI10&lt;&gt;".",s_Irr!BH10&lt;&gt;"."),s_dir!AK10/((1/1000)*(s_Irr!J10+s_Irr!AI10+s_Irr!BH10)),IF(AND(s_Irr!J10&lt;&gt;".",s_Irr!AI10&lt;&gt;".",s_Irr!BH10="."),s_dir!AK10/((1/1000)*(s_Irr!J10+s_Irr!AI10)),IF(AND(s_Irr!J10&lt;&gt;".",s_Irr!AI10=".",s_Irr!BH10&lt;&gt;"."),s_dir!AK10/((1/1000)*(s_Irr!J10+s_Irr!BH10)),IF(AND(s_Irr!J10=".",s_Irr!AI10&lt;&gt;".",s_Irr!BH10&lt;&gt;"."),s_dir!AK10/((1/1000)*(s_Irr!AI10+s_Irr!BH10)),IF(AND(s_Irr!J10=".",s_Irr!AI10=".",s_Irr!BH10&lt;&gt;"."),s_dir!AK10/((1/1000)*(s_Irr!BH10)),IF(AND(s_Irr!J10=".",s_Irr!AI10&lt;&gt;".",s_Irr!BH10="."),s_dir!AK10/((1/1000)*(s_Irr!AI10)),IF(AND(s_Irr!J10&lt;&gt;".",s_Irr!AI10=".",s_Irr!BH10="."),s_dir!AK10/((1/1000)*(s_Irr!J10)),IF(AND(s_Irr!J10=".",s_Irr!AI10=".",s_Irr!BH10="."),s_dir!AK10*1000)))))))),".")</f>
        <v>5228.0860535998863</v>
      </c>
      <c r="BL10" s="70">
        <f>IFERROR(IF(AND(s_Irr!K10&lt;&gt;".",s_Irr!AJ10&lt;&gt;".",s_Irr!BI10&lt;&gt;"."),s_dir!AL10/((1/1000)*(s_Irr!K10+s_Irr!AJ10+s_Irr!BI10)),IF(AND(s_Irr!K10&lt;&gt;".",s_Irr!AJ10&lt;&gt;".",s_Irr!BI10="."),s_dir!AL10/((1/1000)*(s_Irr!K10+s_Irr!AJ10)),IF(AND(s_Irr!K10&lt;&gt;".",s_Irr!AJ10=".",s_Irr!BI10&lt;&gt;"."),s_dir!AL10/((1/1000)*(s_Irr!K10+s_Irr!BI10)),IF(AND(s_Irr!K10=".",s_Irr!AJ10&lt;&gt;".",s_Irr!BI10&lt;&gt;"."),s_dir!AL10/((1/1000)*(s_Irr!AJ10+s_Irr!BI10)),IF(AND(s_Irr!K10=".",s_Irr!AJ10=".",s_Irr!BI10&lt;&gt;"."),s_dir!AL10/((1/1000)*(s_Irr!BI10)),IF(AND(s_Irr!K10=".",s_Irr!AJ10&lt;&gt;".",s_Irr!BI10="."),s_dir!AL10/((1/1000)*(s_Irr!AJ10)),IF(AND(s_Irr!K10&lt;&gt;".",s_Irr!AJ10=".",s_Irr!BI10="."),s_dir!AL10/((1/1000)*(s_Irr!K10)),IF(AND(s_Irr!K10=".",s_Irr!AJ10=".",s_Irr!BI10="."),s_dir!AL10*1000)))))))),".")</f>
        <v>3680.1441512192068</v>
      </c>
      <c r="BM10" s="70">
        <f>IFERROR(IF(AND(s_Irr!L10&lt;&gt;".",s_Irr!AK10&lt;&gt;".",s_Irr!BJ10&lt;&gt;"."),s_dir!AM10/((1/1000)*(s_Irr!L10+s_Irr!AK10+s_Irr!BJ10)),IF(AND(s_Irr!L10&lt;&gt;".",s_Irr!AK10&lt;&gt;".",s_Irr!BJ10="."),s_dir!AM10/((1/1000)*(s_Irr!L10+s_Irr!AK10)),IF(AND(s_Irr!L10&lt;&gt;".",s_Irr!AK10=".",s_Irr!BJ10&lt;&gt;"."),s_dir!AM10/((1/1000)*(s_Irr!L10+s_Irr!BJ10)),IF(AND(s_Irr!L10=".",s_Irr!AK10&lt;&gt;".",s_Irr!BJ10&lt;&gt;"."),s_dir!AM10/((1/1000)*(s_Irr!AK10+s_Irr!BJ10)),IF(AND(s_Irr!L10=".",s_Irr!AK10=".",s_Irr!BJ10&lt;&gt;"."),s_dir!AM10/((1/1000)*(s_Irr!BJ10)),IF(AND(s_Irr!L10=".",s_Irr!AK10&lt;&gt;".",s_Irr!BJ10="."),s_dir!AM10/((1/1000)*(s_Irr!AK10)),IF(AND(s_Irr!L10&lt;&gt;".",s_Irr!AK10=".",s_Irr!BJ10="."),s_dir!AM10/((1/1000)*(s_Irr!L10)),IF(AND(s_Irr!L10=".",s_Irr!AK10=".",s_Irr!BJ10="."),s_dir!AM10*1000)))))))),".")</f>
        <v>4233.0887865555706</v>
      </c>
      <c r="BN10" s="70">
        <f>IFERROR(IF(AND(s_Irr!M10&lt;&gt;".",s_Irr!AL10&lt;&gt;".",s_Irr!BK10&lt;&gt;"."),s_dir!AN10/((1/1000)*(s_Irr!M10+s_Irr!AL10+s_Irr!BK10)),IF(AND(s_Irr!M10&lt;&gt;".",s_Irr!AL10&lt;&gt;".",s_Irr!BK10="."),s_dir!AN10/((1/1000)*(s_Irr!M10+s_Irr!AL10)),IF(AND(s_Irr!M10&lt;&gt;".",s_Irr!AL10=".",s_Irr!BK10&lt;&gt;"."),s_dir!AN10/((1/1000)*(s_Irr!M10+s_Irr!BK10)),IF(AND(s_Irr!M10=".",s_Irr!AL10&lt;&gt;".",s_Irr!BK10&lt;&gt;"."),s_dir!AN10/((1/1000)*(s_Irr!AL10+s_Irr!BK10)),IF(AND(s_Irr!M10=".",s_Irr!AL10=".",s_Irr!BK10&lt;&gt;"."),s_dir!AN10/((1/1000)*(s_Irr!BK10)),IF(AND(s_Irr!M10=".",s_Irr!AL10&lt;&gt;".",s_Irr!BK10="."),s_dir!AN10/((1/1000)*(s_Irr!AL10)),IF(AND(s_Irr!M10&lt;&gt;".",s_Irr!AL10=".",s_Irr!BK10="."),s_dir!AN10/((1/1000)*(s_Irr!M10)),IF(AND(s_Irr!M10=".",s_Irr!AL10=".",s_Irr!BK10="."),s_dir!AN10*1000)))))))),".")</f>
        <v>2844.2153848482308</v>
      </c>
      <c r="BO10" s="70">
        <f>IFERROR(IF(AND(s_Irr!N10&lt;&gt;".",s_Irr!AM10&lt;&gt;".",s_Irr!BL10&lt;&gt;"."),s_dir!AO10/((1/1000)*(s_Irr!N10+s_Irr!AM10+s_Irr!BL10)),IF(AND(s_Irr!N10&lt;&gt;".",s_Irr!AM10&lt;&gt;".",s_Irr!BL10="."),s_dir!AO10/((1/1000)*(s_Irr!N10+s_Irr!AM10)),IF(AND(s_Irr!N10&lt;&gt;".",s_Irr!AM10=".",s_Irr!BL10&lt;&gt;"."),s_dir!AO10/((1/1000)*(s_Irr!N10+s_Irr!BL10)),IF(AND(s_Irr!N10=".",s_Irr!AM10&lt;&gt;".",s_Irr!BL10&lt;&gt;"."),s_dir!AO10/((1/1000)*(s_Irr!AM10+s_Irr!BL10)),IF(AND(s_Irr!N10=".",s_Irr!AM10=".",s_Irr!BL10&lt;&gt;"."),s_dir!AO10/((1/1000)*(s_Irr!BL10)),IF(AND(s_Irr!N10=".",s_Irr!AM10&lt;&gt;".",s_Irr!BL10="."),s_dir!AO10/((1/1000)*(s_Irr!AM10)),IF(AND(s_Irr!N10&lt;&gt;".",s_Irr!AM10=".",s_Irr!BL10="."),s_dir!AO10/((1/1000)*(s_Irr!N10)),IF(AND(s_Irr!N10=".",s_Irr!AM10=".",s_Irr!BL10="."),s_dir!AO10*1000)))))))),".")</f>
        <v>3419.5804633035277</v>
      </c>
      <c r="BP10" s="70">
        <f>IFERROR(IF(AND(s_Irr!O10&lt;&gt;".",s_Irr!AN10&lt;&gt;".",s_Irr!BM10&lt;&gt;"."),s_dir!AP10/((1/1000)*(s_Irr!O10+s_Irr!AN10+s_Irr!BM10)),IF(AND(s_Irr!O10&lt;&gt;".",s_Irr!AN10&lt;&gt;".",s_Irr!BM10="."),s_dir!AP10/((1/1000)*(s_Irr!O10+s_Irr!AN10)),IF(AND(s_Irr!O10&lt;&gt;".",s_Irr!AN10=".",s_Irr!BM10&lt;&gt;"."),s_dir!AP10/((1/1000)*(s_Irr!O10+s_Irr!BM10)),IF(AND(s_Irr!O10=".",s_Irr!AN10&lt;&gt;".",s_Irr!BM10&lt;&gt;"."),s_dir!AP10/((1/1000)*(s_Irr!AN10+s_Irr!BM10)),IF(AND(s_Irr!O10=".",s_Irr!AN10=".",s_Irr!BM10&lt;&gt;"."),s_dir!AP10/((1/1000)*(s_Irr!BM10)),IF(AND(s_Irr!O10=".",s_Irr!AN10&lt;&gt;".",s_Irr!BM10="."),s_dir!AP10/((1/1000)*(s_Irr!AN10)),IF(AND(s_Irr!O10&lt;&gt;".",s_Irr!AN10=".",s_Irr!BM10="."),s_dir!AP10/((1/1000)*(s_Irr!O10)),IF(AND(s_Irr!O10=".",s_Irr!AN10=".",s_Irr!BM10="."),s_dir!AP10*1000)))))))),".")</f>
        <v>4233.0887865555706</v>
      </c>
      <c r="BQ10" s="70">
        <f>IFERROR(IF(AND(s_Irr!P10&lt;&gt;".",s_Irr!AO10&lt;&gt;".",s_Irr!BN10&lt;&gt;"."),s_dir!AQ10/((1/1000)*(s_Irr!P10+s_Irr!AO10+s_Irr!BN10)),IF(AND(s_Irr!P10&lt;&gt;".",s_Irr!AO10&lt;&gt;".",s_Irr!BN10="."),s_dir!AQ10/((1/1000)*(s_Irr!P10+s_Irr!AO10)),IF(AND(s_Irr!P10&lt;&gt;".",s_Irr!AO10=".",s_Irr!BN10&lt;&gt;"."),s_dir!AQ10/((1/1000)*(s_Irr!P10+s_Irr!BN10)),IF(AND(s_Irr!P10=".",s_Irr!AO10&lt;&gt;".",s_Irr!BN10&lt;&gt;"."),s_dir!AQ10/((1/1000)*(s_Irr!AO10+s_Irr!BN10)),IF(AND(s_Irr!P10=".",s_Irr!AO10=".",s_Irr!BN10&lt;&gt;"."),s_dir!AQ10/((1/1000)*(s_Irr!BN10)),IF(AND(s_Irr!P10=".",s_Irr!AO10&lt;&gt;".",s_Irr!BN10="."),s_dir!AQ10/((1/1000)*(s_Irr!AO10)),IF(AND(s_Irr!P10&lt;&gt;".",s_Irr!AO10=".",s_Irr!BN10="."),s_dir!AQ10/((1/1000)*(s_Irr!P10)),IF(AND(s_Irr!P10=".",s_Irr!AO10=".",s_Irr!BN10="."),s_dir!AQ10*1000)))))))),".")</f>
        <v>3351.776348606239</v>
      </c>
      <c r="BR10" s="70">
        <f>IFERROR(IF(AND(s_Irr!Q10&lt;&gt;".",s_Irr!AP10&lt;&gt;".",s_Irr!BO10&lt;&gt;"."),s_dir!AR10/((1/1000)*(s_Irr!Q10+s_Irr!AP10+s_Irr!BO10)),IF(AND(s_Irr!Q10&lt;&gt;".",s_Irr!AP10&lt;&gt;".",s_Irr!BO10="."),s_dir!AR10/((1/1000)*(s_Irr!Q10+s_Irr!AP10)),IF(AND(s_Irr!Q10&lt;&gt;".",s_Irr!AP10=".",s_Irr!BO10&lt;&gt;"."),s_dir!AR10/((1/1000)*(s_Irr!Q10+s_Irr!BO10)),IF(AND(s_Irr!Q10=".",s_Irr!AP10&lt;&gt;".",s_Irr!BO10&lt;&gt;"."),s_dir!AR10/((1/1000)*(s_Irr!AP10+s_Irr!BO10)),IF(AND(s_Irr!Q10=".",s_Irr!AP10=".",s_Irr!BO10&lt;&gt;"."),s_dir!AR10/((1/1000)*(s_Irr!BO10)),IF(AND(s_Irr!Q10=".",s_Irr!AP10&lt;&gt;".",s_Irr!BO10="."),s_dir!AR10/((1/1000)*(s_Irr!AP10)),IF(AND(s_Irr!Q10&lt;&gt;".",s_Irr!AP10=".",s_Irr!BO10="."),s_dir!AR10/((1/1000)*(s_Irr!Q10)),IF(AND(s_Irr!Q10=".",s_Irr!AP10=".",s_Irr!BO10="."),s_dir!AR10*1000)))))))),".")</f>
        <v>5228.0860535998863</v>
      </c>
      <c r="BS10" s="70">
        <f>IFERROR(IF(AND(s_Irr!R10&lt;&gt;".",s_Irr!AQ10&lt;&gt;".",s_Irr!BP10&lt;&gt;"."),s_dir!AS10/((1/1000)*(s_Irr!R10+s_Irr!AQ10+s_Irr!BP10)),IF(AND(s_Irr!R10&lt;&gt;".",s_Irr!AQ10&lt;&gt;".",s_Irr!BP10="."),s_dir!AS10/((1/1000)*(s_Irr!R10+s_Irr!AQ10)),IF(AND(s_Irr!R10&lt;&gt;".",s_Irr!AQ10=".",s_Irr!BP10&lt;&gt;"."),s_dir!AS10/((1/1000)*(s_Irr!R10+s_Irr!BP10)),IF(AND(s_Irr!R10=".",s_Irr!AQ10&lt;&gt;".",s_Irr!BP10&lt;&gt;"."),s_dir!AS10/((1/1000)*(s_Irr!AQ10+s_Irr!BP10)),IF(AND(s_Irr!R10=".",s_Irr!AQ10=".",s_Irr!BP10&lt;&gt;"."),s_dir!AS10/((1/1000)*(s_Irr!BP10)),IF(AND(s_Irr!R10=".",s_Irr!AQ10&lt;&gt;".",s_Irr!BP10="."),s_dir!AS10/((1/1000)*(s_Irr!AQ10)),IF(AND(s_Irr!R10&lt;&gt;".",s_Irr!AQ10=".",s_Irr!BP10="."),s_dir!AS10/((1/1000)*(s_Irr!R10)),IF(AND(s_Irr!R10=".",s_Irr!AQ10=".",s_Irr!BP10="."),s_dir!AS10*1000)))))))),".")</f>
        <v>5228.0860535998863</v>
      </c>
      <c r="BT10" s="70">
        <f>IFERROR(IF(AND(s_Irr!S10&lt;&gt;".",s_Irr!AR10&lt;&gt;".",s_Irr!BQ10&lt;&gt;"."),s_dir!AT10/((1/1000)*(s_Irr!S10+s_Irr!AR10+s_Irr!BQ10)),IF(AND(s_Irr!S10&lt;&gt;".",s_Irr!AR10&lt;&gt;".",s_Irr!BQ10="."),s_dir!AT10/((1/1000)*(s_Irr!S10+s_Irr!AR10)),IF(AND(s_Irr!S10&lt;&gt;".",s_Irr!AR10=".",s_Irr!BQ10&lt;&gt;"."),s_dir!AT10/((1/1000)*(s_Irr!S10+s_Irr!BQ10)),IF(AND(s_Irr!S10=".",s_Irr!AR10&lt;&gt;".",s_Irr!BQ10&lt;&gt;"."),s_dir!AT10/((1/1000)*(s_Irr!AR10+s_Irr!BQ10)),IF(AND(s_Irr!S10=".",s_Irr!AR10=".",s_Irr!BQ10&lt;&gt;"."),s_dir!AT10/((1/1000)*(s_Irr!BQ10)),IF(AND(s_Irr!S10=".",s_Irr!AR10&lt;&gt;".",s_Irr!BQ10="."),s_dir!AT10/((1/1000)*(s_Irr!AR10)),IF(AND(s_Irr!S10&lt;&gt;".",s_Irr!AR10=".",s_Irr!BQ10="."),s_dir!AT10/((1/1000)*(s_Irr!S10)),IF(AND(s_Irr!S10=".",s_Irr!AR10=".",s_Irr!BQ10="."),s_dir!AT10*1000)))))))),".")</f>
        <v>3419.5804633035277</v>
      </c>
      <c r="BU10" s="70">
        <f>IFERROR(IF(AND(s_Irr!T10&lt;&gt;".",s_Irr!AS10&lt;&gt;".",s_Irr!BR10&lt;&gt;"."),s_dir!AU10/((1/1000)*(s_Irr!T10+s_Irr!AS10+s_Irr!BR10)),IF(AND(s_Irr!T10&lt;&gt;".",s_Irr!AS10&lt;&gt;".",s_Irr!BR10="."),s_dir!AU10/((1/1000)*(s_Irr!T10+s_Irr!AS10)),IF(AND(s_Irr!T10&lt;&gt;".",s_Irr!AS10=".",s_Irr!BR10&lt;&gt;"."),s_dir!AU10/((1/1000)*(s_Irr!T10+s_Irr!BR10)),IF(AND(s_Irr!T10=".",s_Irr!AS10&lt;&gt;".",s_Irr!BR10&lt;&gt;"."),s_dir!AU10/((1/1000)*(s_Irr!AS10+s_Irr!BR10)),IF(AND(s_Irr!T10=".",s_Irr!AS10=".",s_Irr!BR10&lt;&gt;"."),s_dir!AU10/((1/1000)*(s_Irr!BR10)),IF(AND(s_Irr!T10=".",s_Irr!AS10&lt;&gt;".",s_Irr!BR10="."),s_dir!AU10/((1/1000)*(s_Irr!AS10)),IF(AND(s_Irr!T10&lt;&gt;".",s_Irr!AS10=".",s_Irr!BR10="."),s_dir!AU10/((1/1000)*(s_Irr!T10)),IF(AND(s_Irr!T10=".",s_Irr!AS10=".",s_Irr!BR10="."),s_dir!AU10*1000)))))))),".")</f>
        <v>4233.0887865555706</v>
      </c>
      <c r="BV10" s="70">
        <f>IFERROR(IF(AND(s_Irr!U10&lt;&gt;".",s_Irr!AT10&lt;&gt;".",s_Irr!BS10&lt;&gt;"."),s_dir!AV10/((1/1000)*(s_Irr!U10+s_Irr!AT10+s_Irr!BS10)),IF(AND(s_Irr!U10&lt;&gt;".",s_Irr!AT10&lt;&gt;".",s_Irr!BS10="."),s_dir!AV10/((1/1000)*(s_Irr!U10+s_Irr!AT10)),IF(AND(s_Irr!U10&lt;&gt;".",s_Irr!AT10=".",s_Irr!BS10&lt;&gt;"."),s_dir!AV10/((1/1000)*(s_Irr!U10+s_Irr!BS10)),IF(AND(s_Irr!U10=".",s_Irr!AT10&lt;&gt;".",s_Irr!BS10&lt;&gt;"."),s_dir!AV10/((1/1000)*(s_Irr!AT10+s_Irr!BS10)),IF(AND(s_Irr!U10=".",s_Irr!AT10=".",s_Irr!BS10&lt;&gt;"."),s_dir!AV10/((1/1000)*(s_Irr!BS10)),IF(AND(s_Irr!U10=".",s_Irr!AT10&lt;&gt;".",s_Irr!BS10="."),s_dir!AV10/((1/1000)*(s_Irr!AT10)),IF(AND(s_Irr!U10&lt;&gt;".",s_Irr!AT10=".",s_Irr!BS10="."),s_dir!AV10/((1/1000)*(s_Irr!U10)),IF(AND(s_Irr!U10=".",s_Irr!AT10=".",s_Irr!BS10="."),s_dir!AV10*1000)))))))),".")</f>
        <v>2943.2596287478368</v>
      </c>
      <c r="BW10" s="70">
        <f>IFERROR(IF(AND(s_Irr!V10&lt;&gt;".",s_Irr!AU10&lt;&gt;".",s_Irr!BT10&lt;&gt;"."),s_dir!AW10/((1/1000)*(s_Irr!V10+s_Irr!AU10+s_Irr!BT10)),IF(AND(s_Irr!V10&lt;&gt;".",s_Irr!AU10&lt;&gt;".",s_Irr!BT10="."),s_dir!AW10/((1/1000)*(s_Irr!V10+s_Irr!AU10)),IF(AND(s_Irr!V10&lt;&gt;".",s_Irr!AU10=".",s_Irr!BT10&lt;&gt;"."),s_dir!AW10/((1/1000)*(s_Irr!V10+s_Irr!BT10)),IF(AND(s_Irr!V10=".",s_Irr!AU10&lt;&gt;".",s_Irr!BT10&lt;&gt;"."),s_dir!AW10/((1/1000)*(s_Irr!AU10+s_Irr!BT10)),IF(AND(s_Irr!V10=".",s_Irr!AU10=".",s_Irr!BT10&lt;&gt;"."),s_dir!AW10/((1/1000)*(s_Irr!BT10)),IF(AND(s_Irr!V10=".",s_Irr!AU10&lt;&gt;".",s_Irr!BT10="."),s_dir!AW10/((1/1000)*(s_Irr!AU10)),IF(AND(s_Irr!V10&lt;&gt;".",s_Irr!AU10=".",s_Irr!BT10="."),s_dir!AW10/((1/1000)*(s_Irr!V10)),IF(AND(s_Irr!V10=".",s_Irr!AU10=".",s_Irr!BT10="."),s_dir!AW10*1000)))))))),".")</f>
        <v>4233.0887865555706</v>
      </c>
      <c r="BX10" s="70">
        <f>IFERROR(IF(AND(s_Irr!W10&lt;&gt;".",s_Irr!AV10&lt;&gt;".",s_Irr!BU10&lt;&gt;"."),s_dir!AX10/((1/1000)*(s_Irr!W10+s_Irr!AV10+s_Irr!BU10)),IF(AND(s_Irr!W10&lt;&gt;".",s_Irr!AV10&lt;&gt;".",s_Irr!BU10="."),s_dir!AX10/((1/1000)*(s_Irr!W10+s_Irr!AV10)),IF(AND(s_Irr!W10&lt;&gt;".",s_Irr!AV10=".",s_Irr!BU10&lt;&gt;"."),s_dir!AX10/((1/1000)*(s_Irr!W10+s_Irr!BU10)),IF(AND(s_Irr!W10=".",s_Irr!AV10&lt;&gt;".",s_Irr!BU10&lt;&gt;"."),s_dir!AX10/((1/1000)*(s_Irr!AV10+s_Irr!BU10)),IF(AND(s_Irr!W10=".",s_Irr!AV10=".",s_Irr!BU10&lt;&gt;"."),s_dir!AX10/((1/1000)*(s_Irr!BU10)),IF(AND(s_Irr!W10=".",s_Irr!AV10&lt;&gt;".",s_Irr!BU10="."),s_dir!AX10/((1/1000)*(s_Irr!AV10)),IF(AND(s_Irr!W10&lt;&gt;".",s_Irr!AV10=".",s_Irr!BU10="."),s_dir!AX10/((1/1000)*(s_Irr!W10)),IF(AND(s_Irr!W10=".",s_Irr!AV10=".",s_Irr!BU10="."),s_dir!AX10*1000)))))))),".")</f>
        <v>3419.5804633035277</v>
      </c>
      <c r="BY10" s="70">
        <f>IFERROR(IF(AND(s_Irr!X10&lt;&gt;".",s_Irr!AW10&lt;&gt;".",s_Irr!BV10&lt;&gt;"."),s_dir!AY10/((1/1000)*(s_Irr!X10+s_Irr!AW10+s_Irr!BV10)),IF(AND(s_Irr!X10&lt;&gt;".",s_Irr!AW10&lt;&gt;".",s_Irr!BV10="."),s_dir!AY10/((1/1000)*(s_Irr!X10+s_Irr!AW10)),IF(AND(s_Irr!X10&lt;&gt;".",s_Irr!AW10=".",s_Irr!BV10&lt;&gt;"."),s_dir!AY10/((1/1000)*(s_Irr!X10+s_Irr!BV10)),IF(AND(s_Irr!X10=".",s_Irr!AW10&lt;&gt;".",s_Irr!BV10&lt;&gt;"."),s_dir!AY10/((1/1000)*(s_Irr!AW10+s_Irr!BV10)),IF(AND(s_Irr!X10=".",s_Irr!AW10=".",s_Irr!BV10&lt;&gt;"."),s_dir!AY10/((1/1000)*(s_Irr!BV10)),IF(AND(s_Irr!X10=".",s_Irr!AW10&lt;&gt;".",s_Irr!BV10="."),s_dir!AY10/((1/1000)*(s_Irr!AW10)),IF(AND(s_Irr!X10&lt;&gt;".",s_Irr!AW10=".",s_Irr!BV10="."),s_dir!AY10/((1/1000)*(s_Irr!X10)),IF(AND(s_Irr!X10=".",s_Irr!AW10=".",s_Irr!BV10="."),s_dir!AY10*1000)))))))),".")</f>
        <v>5473.5501761061505</v>
      </c>
      <c r="BZ10" s="70">
        <f>IFERROR(IF(AND(s_Irr!Y10&lt;&gt;".",s_Irr!AX10&lt;&gt;".",s_Irr!BW10&lt;&gt;"."),s_dir!AZ10/((1/1000)*(s_Irr!Y10+s_Irr!AX10+s_Irr!BW10)),IF(AND(s_Irr!Y10&lt;&gt;".",s_Irr!AX10&lt;&gt;".",s_Irr!BW10="."),s_dir!AZ10/((1/1000)*(s_Irr!Y10+s_Irr!AX10)),IF(AND(s_Irr!Y10&lt;&gt;".",s_Irr!AX10=".",s_Irr!BW10&lt;&gt;"."),s_dir!AZ10/((1/1000)*(s_Irr!Y10+s_Irr!BW10)),IF(AND(s_Irr!Y10=".",s_Irr!AX10&lt;&gt;".",s_Irr!BW10&lt;&gt;"."),s_dir!AZ10/((1/1000)*(s_Irr!AX10+s_Irr!BW10)),IF(AND(s_Irr!Y10=".",s_Irr!AX10=".",s_Irr!BW10&lt;&gt;"."),s_dir!AZ10/((1/1000)*(s_Irr!BW10)),IF(AND(s_Irr!Y10=".",s_Irr!AX10&lt;&gt;".",s_Irr!BW10="."),s_dir!AZ10/((1/1000)*(s_Irr!AX10)),IF(AND(s_Irr!Y10&lt;&gt;".",s_Irr!AX10=".",s_Irr!BW10="."),s_dir!AZ10/((1/1000)*(s_Irr!Y10)),IF(AND(s_Irr!Y10=".",s_Irr!AX10=".",s_Irr!BW10="."),s_dir!AZ10*1000)))))))),".")</f>
        <v>4233.0887865555706</v>
      </c>
      <c r="CA10" s="70">
        <f>IFERROR(IF(AND(s_Irr!Z10&lt;&gt;".",s_Irr!AY10&lt;&gt;".",s_Irr!BX10&lt;&gt;"."),s_dir!BA10/((1/1000)*(s_Irr!Z10+s_Irr!AY10+s_Irr!BX10)),IF(AND(s_Irr!Z10&lt;&gt;".",s_Irr!AY10&lt;&gt;".",s_Irr!BX10="."),s_dir!BA10/((1/1000)*(s_Irr!Z10+s_Irr!AY10)),IF(AND(s_Irr!Z10&lt;&gt;".",s_Irr!AY10=".",s_Irr!BX10&lt;&gt;"."),s_dir!BA10/((1/1000)*(s_Irr!Z10+s_Irr!BX10)),IF(AND(s_Irr!Z10=".",s_Irr!AY10&lt;&gt;".",s_Irr!BX10&lt;&gt;"."),s_dir!BA10/((1/1000)*(s_Irr!AY10+s_Irr!BX10)),IF(AND(s_Irr!Z10=".",s_Irr!AY10=".",s_Irr!BX10&lt;&gt;"."),s_dir!BA10/((1/1000)*(s_Irr!BX10)),IF(AND(s_Irr!Z10=".",s_Irr!AY10&lt;&gt;".",s_Irr!BX10="."),s_dir!BA10/((1/1000)*(s_Irr!AY10)),IF(AND(s_Irr!Z10&lt;&gt;".",s_Irr!AY10=".",s_Irr!BX10="."),s_dir!BA10/((1/1000)*(s_Irr!Z10)),IF(AND(s_Irr!Z10=".",s_Irr!AY10=".",s_Irr!BX10="."),s_dir!BA10*1000)))))))),".")</f>
        <v>5672.8506742453901</v>
      </c>
      <c r="CB10" s="70">
        <f>IFERROR(IF(AND(s_Irr!AA10&lt;&gt;".",s_Irr!AZ10&lt;&gt;".",s_Irr!BY10&lt;&gt;"."),s_dir!BB10/((1/1000)*(s_Irr!AA10+s_Irr!AZ10+s_Irr!BY10)),IF(AND(s_Irr!AA10&lt;&gt;".",s_Irr!AZ10&lt;&gt;".",s_Irr!BY10="."),s_dir!BB10/((1/1000)*(s_Irr!AA10+s_Irr!AZ10)),IF(AND(s_Irr!AA10&lt;&gt;".",s_Irr!AZ10=".",s_Irr!BY10&lt;&gt;"."),s_dir!BB10/((1/1000)*(s_Irr!AA10+s_Irr!BY10)),IF(AND(s_Irr!AA10=".",s_Irr!AZ10&lt;&gt;".",s_Irr!BY10&lt;&gt;"."),s_dir!BB10/((1/1000)*(s_Irr!AZ10+s_Irr!BY10)),IF(AND(s_Irr!AA10=".",s_Irr!AZ10=".",s_Irr!BY10&lt;&gt;"."),s_dir!BB10/((1/1000)*(s_Irr!BY10)),IF(AND(s_Irr!AA10=".",s_Irr!AZ10&lt;&gt;".",s_Irr!BY10="."),s_dir!BB10/((1/1000)*(s_Irr!AZ10)),IF(AND(s_Irr!AA10&lt;&gt;".",s_Irr!AZ10=".",s_Irr!BY10="."),s_dir!BB10/((1/1000)*(s_Irr!AA10)),IF(AND(s_Irr!AA10=".",s_Irr!AZ10=".",s_Irr!BY10="."),s_dir!BB10*1000)))))))),".")</f>
        <v>3847.6776656332872</v>
      </c>
      <c r="CC10" s="87">
        <f t="shared" si="2"/>
        <v>438.7746154490718</v>
      </c>
      <c r="CD10" s="87">
        <f>IFERROR(s_C*s_IFAP_far_adj*s_CF_apple*(1/1000)*(s_Irr!C10+s_Irr!AB10+s_Irr!BA10),".")</f>
        <v>97.172620842093266</v>
      </c>
      <c r="CE10" s="87">
        <f>IFERROR(s_C*s_IFAS_far_adj*s_CF_asparagus*(1/1000)*(s_Irr!D10+s_Irr!AC10+s_Irr!BB10),".")</f>
        <v>178.61756409963522</v>
      </c>
      <c r="CF10" s="87">
        <f>IFERROR(s_C*s_IFBT_far_adj*s_CF_beet*(1/1000)*(s_Irr!E10+s_Irr!AD10+s_Irr!BC10),".")</f>
        <v>151.56942796244414</v>
      </c>
      <c r="CG10" s="87">
        <f>IFERROR(s_C*s_IFBE_far_adj*s_CF_berries*(1/1000)*(s_Irr!F10+s_Irr!AE10+s_Irr!BD10),".")</f>
        <v>91.61272619167066</v>
      </c>
      <c r="CH10" s="87">
        <f>IFERROR(s_C*s_IFBR_far_adj*s_CF_broccoli*(1/1000)*(s_Irr!G10+s_Irr!AF10+s_Irr!BE10),".")</f>
        <v>120.01326913572126</v>
      </c>
      <c r="CI10" s="87">
        <f>IFERROR(s_C*s_IFCB_far_adj*s_CF_cabbage*(1/1000)*(s_Irr!H10+s_Irr!AG10+s_Irr!BF10),".")</f>
        <v>178.61756409963522</v>
      </c>
      <c r="CJ10" s="87">
        <f>IFERROR(s_C*s_IFCR_far_adj*s_CF_carrot*(1/1000)*(s_Irr!I10+s_Irr!AH10+s_Irr!BG10),".")</f>
        <v>151.56942796244414</v>
      </c>
      <c r="CK10" s="87">
        <f>IFERROR(s_C*s_IFCI_far_adj*s_CF_citrus*(1/1000)*(s_Irr!J10+s_Irr!AI10+s_Irr!BH10),".")</f>
        <v>97.172620842093266</v>
      </c>
      <c r="CL10" s="87">
        <f>IFERROR(s_C*s_IFCO_far_adj*s_CF_corn*(1/1000)*(s_Irr!K10+s_Irr!AJ10+s_Irr!BI10),".")</f>
        <v>138.04535989384863</v>
      </c>
      <c r="CM10" s="87">
        <f>IFERROR(s_C*s_IFCU_far_adj*s_CF_cucumber*(1/1000)*(s_Irr!L10+s_Irr!AK10+s_Irr!BJ10),".")</f>
        <v>120.01326913572126</v>
      </c>
      <c r="CN10" s="87">
        <f>IFERROR(s_C*s_IFLE_far_adj*s_CF_lettuce*(1/1000)*(s_Irr!M10+s_Irr!AL10+s_Irr!BK10),".")</f>
        <v>178.61756409963522</v>
      </c>
      <c r="CO10" s="87">
        <f>IFERROR(s_C*s_IFLI_far_adj*s_CF_lima_bean*(1/1000)*(s_Irr!N10+s_Irr!AM10+s_Irr!BL10),".")</f>
        <v>148.56407950275627</v>
      </c>
      <c r="CP10" s="87">
        <f>IFERROR(s_C*s_IFOK_far_adj*s_CF_okra*(1/1000)*(s_Irr!O10+s_Irr!AN10+s_Irr!BM10),".")</f>
        <v>120.01326913572126</v>
      </c>
      <c r="CQ10" s="87">
        <f>IFERROR(s_C*s_IFON_far_adj*s_CF_onion*(1/1000)*(s_Irr!P10+s_Irr!AO10+s_Irr!BN10),".")</f>
        <v>151.56942796244414</v>
      </c>
      <c r="CR10" s="87">
        <f>IFERROR(s_C*s_IFPC_far_adj*s_CF_peach*(1/1000)*(s_Irr!Q10+s_Irr!AP10+s_Irr!BO10),".")</f>
        <v>97.172620842093266</v>
      </c>
      <c r="CS10" s="87">
        <f>IFERROR(s_C*s_IFPR_far_adj*s_CF_pear*(1/1000)*(s_Irr!R10+s_Irr!AQ10+s_Irr!BP10),".")</f>
        <v>97.172620842093266</v>
      </c>
      <c r="CT10" s="87">
        <f>IFERROR(s_C*s_IFPE_far_adj*s_CF_peas*(1/1000)*(s_Irr!S10+s_Irr!AR10+s_Irr!BQ10),".")</f>
        <v>148.56407950275627</v>
      </c>
      <c r="CU10" s="87">
        <f>IFERROR(s_C*s_IFPP_far_adj*s_CF_peppers*(1/1000)*(s_Irr!T10+s_Irr!AS10+s_Irr!BR10),".")</f>
        <v>120.01326913572126</v>
      </c>
      <c r="CV10" s="87">
        <f>IFERROR(s_C*s_IFPT_far_adj*s_CF_potato*(1/1000)*(s_Irr!U10+s_Irr!AT10+s_Irr!BS10),".")</f>
        <v>172.6068671802594</v>
      </c>
      <c r="CW10" s="87">
        <f>IFERROR(s_C*s_IFPU_far_adj*s_CF_pumpkin*(1/1000)*(s_Irr!V10+s_Irr!AU10+s_Irr!BT10),".")</f>
        <v>120.01326913572126</v>
      </c>
      <c r="CX10" s="87">
        <f>IFERROR(s_C*s_IFSN_far_adj*s_CF_snap_bean*(1/1000)*(s_Irr!W10+s_Irr!AV10+s_Irr!BU10),".")</f>
        <v>148.56407950275627</v>
      </c>
      <c r="CY10" s="87">
        <f>IFERROR(s_C*s_IFST_far_adj*s_CF_strawberry*(1/1000)*(s_Irr!X10+s_Irr!AW10+s_Irr!BV10),".")</f>
        <v>92.814865575545824</v>
      </c>
      <c r="CZ10" s="87">
        <f>IFERROR(s_C*s_IFTO_far_adj*s_CF_tomato*(1/1000)*(s_Irr!Y10+s_Irr!AX10+s_Irr!BW10),".")</f>
        <v>120.01326913572126</v>
      </c>
      <c r="DA10" s="87">
        <f>IFERROR(s_C*s_IFRI_far_adj*s_CF_rice*(1/1000)*(s_Irr!Z10+s_Irr!AY10+s_Irr!BX10),".")</f>
        <v>89.554062496784454</v>
      </c>
      <c r="DB10" s="87">
        <f>IFERROR(s_C*s_IFCG_far_adj*s_CF_cereal*(1/1000)*(s_Irr!AA10+s_Irr!AZ10+s_Irr!BY10),".")</f>
        <v>132.03466297447281</v>
      </c>
    </row>
    <row r="11" spans="1:106" ht="15" customHeight="1" x14ac:dyDescent="0.25">
      <c r="A11" s="86" t="s">
        <v>9</v>
      </c>
      <c r="B11" s="84" t="s">
        <v>1057</v>
      </c>
      <c r="C11" s="15" t="str">
        <f t="shared" si="3"/>
        <v>.</v>
      </c>
      <c r="D11" s="70" t="str">
        <f>IFERROR(IF(AND(s_Irr!C11&lt;&gt;".",s_Irr!AB11&lt;&gt;".",s_Irr!BA11&lt;&gt;"."),s_dir!D11/((1/1000)*(s_Irr!C11+s_Irr!AB11+s_Irr!BA11)),IF(AND(s_Irr!C11&lt;&gt;".",s_Irr!AB11&lt;&gt;".",s_Irr!BA11="."),s_dir!D11/((1/1000)*(s_Irr!C11+s_Irr!AB11)),IF(AND(s_Irr!C11&lt;&gt;".",s_Irr!AB11=".",s_Irr!BA11&lt;&gt;"."),s_dir!D11/((1/1000)*(s_Irr!C11+s_Irr!BA11)),IF(AND(s_Irr!C11=".",s_Irr!AB11&lt;&gt;".",s_Irr!BA11&lt;&gt;"."),s_dir!D11/((1/1000)*(s_Irr!AB11+s_Irr!BA11)),IF(AND(s_Irr!C11=".",s_Irr!AB11=".",s_Irr!BA11&lt;&gt;"."),s_dir!D11/((1/1000)*(s_Irr!BA11)),IF(AND(s_Irr!C11=".",s_Irr!AB11&lt;&gt;".",s_Irr!BA11="."),s_dir!D11/((1/1000)*(s_Irr!AB11)),IF(AND(s_Irr!C11&lt;&gt;".",s_Irr!AB11=".",s_Irr!BA11="."),s_dir!D11/((1/1000)*(s_Irr!C11)),IF(AND(s_Irr!C11=".",s_Irr!AB11=".",s_Irr!BA11="."),s_dir!D11*1000)))))))),".")</f>
        <v>.</v>
      </c>
      <c r="E11" s="70" t="str">
        <f>IFERROR(IF(AND(s_Irr!D11&lt;&gt;".",s_Irr!AC11&lt;&gt;".",s_Irr!BB11&lt;&gt;"."),s_dir!E11/((1/1000)*(s_Irr!D11+s_Irr!AC11+s_Irr!BB11)),IF(AND(s_Irr!D11&lt;&gt;".",s_Irr!AC11&lt;&gt;".",s_Irr!BB11="."),s_dir!E11/((1/1000)*(s_Irr!D11+s_Irr!AC11)),IF(AND(s_Irr!D11&lt;&gt;".",s_Irr!AC11=".",s_Irr!BB11&lt;&gt;"."),s_dir!E11/((1/1000)*(s_Irr!D11+s_Irr!BB11)),IF(AND(s_Irr!D11=".",s_Irr!AC11&lt;&gt;".",s_Irr!BB11&lt;&gt;"."),s_dir!E11/((1/1000)*(s_Irr!AC11+s_Irr!BB11)),IF(AND(s_Irr!D11=".",s_Irr!AC11=".",s_Irr!BB11&lt;&gt;"."),s_dir!E11/((1/1000)*(s_Irr!BB11)),IF(AND(s_Irr!D11=".",s_Irr!AC11&lt;&gt;".",s_Irr!BB11="."),s_dir!E11/((1/1000)*(s_Irr!AC11)),IF(AND(s_Irr!D11&lt;&gt;".",s_Irr!AC11=".",s_Irr!BB11="."),s_dir!E11/((1/1000)*(s_Irr!D11)),IF(AND(s_Irr!D11=".",s_Irr!AC11=".",s_Irr!BB11="."),s_dir!E11*1000)))))))),".")</f>
        <v>.</v>
      </c>
      <c r="F11" s="70" t="str">
        <f>IFERROR(IF(AND(s_Irr!E11&lt;&gt;".",s_Irr!AD11&lt;&gt;".",s_Irr!BC11&lt;&gt;"."),s_dir!F11/((1/1000)*(s_Irr!E11+s_Irr!AD11+s_Irr!BC11)),IF(AND(s_Irr!E11&lt;&gt;".",s_Irr!AD11&lt;&gt;".",s_Irr!BC11="."),s_dir!F11/((1/1000)*(s_Irr!E11+s_Irr!AD11)),IF(AND(s_Irr!E11&lt;&gt;".",s_Irr!AD11=".",s_Irr!BC11&lt;&gt;"."),s_dir!F11/((1/1000)*(s_Irr!E11+s_Irr!BC11)),IF(AND(s_Irr!E11=".",s_Irr!AD11&lt;&gt;".",s_Irr!BC11&lt;&gt;"."),s_dir!F11/((1/1000)*(s_Irr!AD11+s_Irr!BC11)),IF(AND(s_Irr!E11=".",s_Irr!AD11=".",s_Irr!BC11&lt;&gt;"."),s_dir!F11/((1/1000)*(s_Irr!BC11)),IF(AND(s_Irr!E11=".",s_Irr!AD11&lt;&gt;".",s_Irr!BC11="."),s_dir!F11/((1/1000)*(s_Irr!AD11)),IF(AND(s_Irr!E11&lt;&gt;".",s_Irr!AD11=".",s_Irr!BC11="."),s_dir!F11/((1/1000)*(s_Irr!E11)),IF(AND(s_Irr!E11=".",s_Irr!AD11=".",s_Irr!BC11="."),s_dir!F11*1000)))))))),".")</f>
        <v>.</v>
      </c>
      <c r="G11" s="70" t="str">
        <f>IFERROR(IF(AND(s_Irr!F11&lt;&gt;".",s_Irr!AE11&lt;&gt;".",s_Irr!BD11&lt;&gt;"."),s_dir!G11/((1/1000)*(s_Irr!F11+s_Irr!AE11+s_Irr!BD11)),IF(AND(s_Irr!F11&lt;&gt;".",s_Irr!AE11&lt;&gt;".",s_Irr!BD11="."),s_dir!G11/((1/1000)*(s_Irr!F11+s_Irr!AE11)),IF(AND(s_Irr!F11&lt;&gt;".",s_Irr!AE11=".",s_Irr!BD11&lt;&gt;"."),s_dir!G11/((1/1000)*(s_Irr!F11+s_Irr!BD11)),IF(AND(s_Irr!F11=".",s_Irr!AE11&lt;&gt;".",s_Irr!BD11&lt;&gt;"."),s_dir!G11/((1/1000)*(s_Irr!AE11+s_Irr!BD11)),IF(AND(s_Irr!F11=".",s_Irr!AE11=".",s_Irr!BD11&lt;&gt;"."),s_dir!G11/((1/1000)*(s_Irr!BD11)),IF(AND(s_Irr!F11=".",s_Irr!AE11&lt;&gt;".",s_Irr!BD11="."),s_dir!G11/((1/1000)*(s_Irr!AE11)),IF(AND(s_Irr!F11&lt;&gt;".",s_Irr!AE11=".",s_Irr!BD11="."),s_dir!G11/((1/1000)*(s_Irr!F11)),IF(AND(s_Irr!F11=".",s_Irr!AE11=".",s_Irr!BD11="."),s_dir!G11*1000)))))))),".")</f>
        <v>.</v>
      </c>
      <c r="H11" s="70" t="str">
        <f>IFERROR(IF(AND(s_Irr!G11&lt;&gt;".",s_Irr!AF11&lt;&gt;".",s_Irr!BE11&lt;&gt;"."),s_dir!H11/((1/1000)*(s_Irr!G11+s_Irr!AF11+s_Irr!BE11)),IF(AND(s_Irr!G11&lt;&gt;".",s_Irr!AF11&lt;&gt;".",s_Irr!BE11="."),s_dir!H11/((1/1000)*(s_Irr!G11+s_Irr!AF11)),IF(AND(s_Irr!G11&lt;&gt;".",s_Irr!AF11=".",s_Irr!BE11&lt;&gt;"."),s_dir!H11/((1/1000)*(s_Irr!G11+s_Irr!BE11)),IF(AND(s_Irr!G11=".",s_Irr!AF11&lt;&gt;".",s_Irr!BE11&lt;&gt;"."),s_dir!H11/((1/1000)*(s_Irr!AF11+s_Irr!BE11)),IF(AND(s_Irr!G11=".",s_Irr!AF11=".",s_Irr!BE11&lt;&gt;"."),s_dir!H11/((1/1000)*(s_Irr!BE11)),IF(AND(s_Irr!G11=".",s_Irr!AF11&lt;&gt;".",s_Irr!BE11="."),s_dir!H11/((1/1000)*(s_Irr!AF11)),IF(AND(s_Irr!G11&lt;&gt;".",s_Irr!AF11=".",s_Irr!BE11="."),s_dir!H11/((1/1000)*(s_Irr!G11)),IF(AND(s_Irr!G11=".",s_Irr!AF11=".",s_Irr!BE11="."),s_dir!H11*1000)))))))),".")</f>
        <v>.</v>
      </c>
      <c r="I11" s="70" t="str">
        <f>IFERROR(IF(AND(s_Irr!H11&lt;&gt;".",s_Irr!AG11&lt;&gt;".",s_Irr!BF11&lt;&gt;"."),s_dir!I11/((1/1000)*(s_Irr!H11+s_Irr!AG11+s_Irr!BF11)),IF(AND(s_Irr!H11&lt;&gt;".",s_Irr!AG11&lt;&gt;".",s_Irr!BF11="."),s_dir!I11/((1/1000)*(s_Irr!H11+s_Irr!AG11)),IF(AND(s_Irr!H11&lt;&gt;".",s_Irr!AG11=".",s_Irr!BF11&lt;&gt;"."),s_dir!I11/((1/1000)*(s_Irr!H11+s_Irr!BF11)),IF(AND(s_Irr!H11=".",s_Irr!AG11&lt;&gt;".",s_Irr!BF11&lt;&gt;"."),s_dir!I11/((1/1000)*(s_Irr!AG11+s_Irr!BF11)),IF(AND(s_Irr!H11=".",s_Irr!AG11=".",s_Irr!BF11&lt;&gt;"."),s_dir!I11/((1/1000)*(s_Irr!BF11)),IF(AND(s_Irr!H11=".",s_Irr!AG11&lt;&gt;".",s_Irr!BF11="."),s_dir!I11/((1/1000)*(s_Irr!AG11)),IF(AND(s_Irr!H11&lt;&gt;".",s_Irr!AG11=".",s_Irr!BF11="."),s_dir!I11/((1/1000)*(s_Irr!H11)),IF(AND(s_Irr!H11=".",s_Irr!AG11=".",s_Irr!BF11="."),s_dir!I11*1000)))))))),".")</f>
        <v>.</v>
      </c>
      <c r="J11" s="70" t="str">
        <f>IFERROR(IF(AND(s_Irr!I11&lt;&gt;".",s_Irr!AH11&lt;&gt;".",s_Irr!BG11&lt;&gt;"."),s_dir!J11/((1/1000)*(s_Irr!I11+s_Irr!AH11+s_Irr!BG11)),IF(AND(s_Irr!I11&lt;&gt;".",s_Irr!AH11&lt;&gt;".",s_Irr!BG11="."),s_dir!J11/((1/1000)*(s_Irr!I11+s_Irr!AH11)),IF(AND(s_Irr!I11&lt;&gt;".",s_Irr!AH11=".",s_Irr!BG11&lt;&gt;"."),s_dir!J11/((1/1000)*(s_Irr!I11+s_Irr!BG11)),IF(AND(s_Irr!I11=".",s_Irr!AH11&lt;&gt;".",s_Irr!BG11&lt;&gt;"."),s_dir!J11/((1/1000)*(s_Irr!AH11+s_Irr!BG11)),IF(AND(s_Irr!I11=".",s_Irr!AH11=".",s_Irr!BG11&lt;&gt;"."),s_dir!J11/((1/1000)*(s_Irr!BG11)),IF(AND(s_Irr!I11=".",s_Irr!AH11&lt;&gt;".",s_Irr!BG11="."),s_dir!J11/((1/1000)*(s_Irr!AH11)),IF(AND(s_Irr!I11&lt;&gt;".",s_Irr!AH11=".",s_Irr!BG11="."),s_dir!J11/((1/1000)*(s_Irr!I11)),IF(AND(s_Irr!I11=".",s_Irr!AH11=".",s_Irr!BG11="."),s_dir!J11*1000)))))))),".")</f>
        <v>.</v>
      </c>
      <c r="K11" s="70" t="str">
        <f>IFERROR(IF(AND(s_Irr!J11&lt;&gt;".",s_Irr!AI11&lt;&gt;".",s_Irr!BH11&lt;&gt;"."),s_dir!K11/((1/1000)*(s_Irr!J11+s_Irr!AI11+s_Irr!BH11)),IF(AND(s_Irr!J11&lt;&gt;".",s_Irr!AI11&lt;&gt;".",s_Irr!BH11="."),s_dir!K11/((1/1000)*(s_Irr!J11+s_Irr!AI11)),IF(AND(s_Irr!J11&lt;&gt;".",s_Irr!AI11=".",s_Irr!BH11&lt;&gt;"."),s_dir!K11/((1/1000)*(s_Irr!J11+s_Irr!BH11)),IF(AND(s_Irr!J11=".",s_Irr!AI11&lt;&gt;".",s_Irr!BH11&lt;&gt;"."),s_dir!K11/((1/1000)*(s_Irr!AI11+s_Irr!BH11)),IF(AND(s_Irr!J11=".",s_Irr!AI11=".",s_Irr!BH11&lt;&gt;"."),s_dir!K11/((1/1000)*(s_Irr!BH11)),IF(AND(s_Irr!J11=".",s_Irr!AI11&lt;&gt;".",s_Irr!BH11="."),s_dir!K11/((1/1000)*(s_Irr!AI11)),IF(AND(s_Irr!J11&lt;&gt;".",s_Irr!AI11=".",s_Irr!BH11="."),s_dir!K11/((1/1000)*(s_Irr!J11)),IF(AND(s_Irr!J11=".",s_Irr!AI11=".",s_Irr!BH11="."),s_dir!K11*1000)))))))),".")</f>
        <v>.</v>
      </c>
      <c r="L11" s="70" t="str">
        <f>IFERROR(IF(AND(s_Irr!K11&lt;&gt;".",s_Irr!AJ11&lt;&gt;".",s_Irr!BI11&lt;&gt;"."),s_dir!L11/((1/1000)*(s_Irr!K11+s_Irr!AJ11+s_Irr!BI11)),IF(AND(s_Irr!K11&lt;&gt;".",s_Irr!AJ11&lt;&gt;".",s_Irr!BI11="."),s_dir!L11/((1/1000)*(s_Irr!K11+s_Irr!AJ11)),IF(AND(s_Irr!K11&lt;&gt;".",s_Irr!AJ11=".",s_Irr!BI11&lt;&gt;"."),s_dir!L11/((1/1000)*(s_Irr!K11+s_Irr!BI11)),IF(AND(s_Irr!K11=".",s_Irr!AJ11&lt;&gt;".",s_Irr!BI11&lt;&gt;"."),s_dir!L11/((1/1000)*(s_Irr!AJ11+s_Irr!BI11)),IF(AND(s_Irr!K11=".",s_Irr!AJ11=".",s_Irr!BI11&lt;&gt;"."),s_dir!L11/((1/1000)*(s_Irr!BI11)),IF(AND(s_Irr!K11=".",s_Irr!AJ11&lt;&gt;".",s_Irr!BI11="."),s_dir!L11/((1/1000)*(s_Irr!AJ11)),IF(AND(s_Irr!K11&lt;&gt;".",s_Irr!AJ11=".",s_Irr!BI11="."),s_dir!L11/((1/1000)*(s_Irr!K11)),IF(AND(s_Irr!K11=".",s_Irr!AJ11=".",s_Irr!BI11="."),s_dir!L11*1000)))))))),".")</f>
        <v>.</v>
      </c>
      <c r="M11" s="70" t="str">
        <f>IFERROR(IF(AND(s_Irr!L11&lt;&gt;".",s_Irr!AK11&lt;&gt;".",s_Irr!BJ11&lt;&gt;"."),s_dir!M11/((1/1000)*(s_Irr!L11+s_Irr!AK11+s_Irr!BJ11)),IF(AND(s_Irr!L11&lt;&gt;".",s_Irr!AK11&lt;&gt;".",s_Irr!BJ11="."),s_dir!M11/((1/1000)*(s_Irr!L11+s_Irr!AK11)),IF(AND(s_Irr!L11&lt;&gt;".",s_Irr!AK11=".",s_Irr!BJ11&lt;&gt;"."),s_dir!M11/((1/1000)*(s_Irr!L11+s_Irr!BJ11)),IF(AND(s_Irr!L11=".",s_Irr!AK11&lt;&gt;".",s_Irr!BJ11&lt;&gt;"."),s_dir!M11/((1/1000)*(s_Irr!AK11+s_Irr!BJ11)),IF(AND(s_Irr!L11=".",s_Irr!AK11=".",s_Irr!BJ11&lt;&gt;"."),s_dir!M11/((1/1000)*(s_Irr!BJ11)),IF(AND(s_Irr!L11=".",s_Irr!AK11&lt;&gt;".",s_Irr!BJ11="."),s_dir!M11/((1/1000)*(s_Irr!AK11)),IF(AND(s_Irr!L11&lt;&gt;".",s_Irr!AK11=".",s_Irr!BJ11="."),s_dir!M11/((1/1000)*(s_Irr!L11)),IF(AND(s_Irr!L11=".",s_Irr!AK11=".",s_Irr!BJ11="."),s_dir!M11*1000)))))))),".")</f>
        <v>.</v>
      </c>
      <c r="N11" s="70" t="str">
        <f>IFERROR(IF(AND(s_Irr!M11&lt;&gt;".",s_Irr!AL11&lt;&gt;".",s_Irr!BK11&lt;&gt;"."),s_dir!N11/((1/1000)*(s_Irr!M11+s_Irr!AL11+s_Irr!BK11)),IF(AND(s_Irr!M11&lt;&gt;".",s_Irr!AL11&lt;&gt;".",s_Irr!BK11="."),s_dir!N11/((1/1000)*(s_Irr!M11+s_Irr!AL11)),IF(AND(s_Irr!M11&lt;&gt;".",s_Irr!AL11=".",s_Irr!BK11&lt;&gt;"."),s_dir!N11/((1/1000)*(s_Irr!M11+s_Irr!BK11)),IF(AND(s_Irr!M11=".",s_Irr!AL11&lt;&gt;".",s_Irr!BK11&lt;&gt;"."),s_dir!N11/((1/1000)*(s_Irr!AL11+s_Irr!BK11)),IF(AND(s_Irr!M11=".",s_Irr!AL11=".",s_Irr!BK11&lt;&gt;"."),s_dir!N11/((1/1000)*(s_Irr!BK11)),IF(AND(s_Irr!M11=".",s_Irr!AL11&lt;&gt;".",s_Irr!BK11="."),s_dir!N11/((1/1000)*(s_Irr!AL11)),IF(AND(s_Irr!M11&lt;&gt;".",s_Irr!AL11=".",s_Irr!BK11="."),s_dir!N11/((1/1000)*(s_Irr!M11)),IF(AND(s_Irr!M11=".",s_Irr!AL11=".",s_Irr!BK11="."),s_dir!N11*1000)))))))),".")</f>
        <v>.</v>
      </c>
      <c r="O11" s="70" t="str">
        <f>IFERROR(IF(AND(s_Irr!N11&lt;&gt;".",s_Irr!AM11&lt;&gt;".",s_Irr!BL11&lt;&gt;"."),s_dir!O11/((1/1000)*(s_Irr!N11+s_Irr!AM11+s_Irr!BL11)),IF(AND(s_Irr!N11&lt;&gt;".",s_Irr!AM11&lt;&gt;".",s_Irr!BL11="."),s_dir!O11/((1/1000)*(s_Irr!N11+s_Irr!AM11)),IF(AND(s_Irr!N11&lt;&gt;".",s_Irr!AM11=".",s_Irr!BL11&lt;&gt;"."),s_dir!O11/((1/1000)*(s_Irr!N11+s_Irr!BL11)),IF(AND(s_Irr!N11=".",s_Irr!AM11&lt;&gt;".",s_Irr!BL11&lt;&gt;"."),s_dir!O11/((1/1000)*(s_Irr!AM11+s_Irr!BL11)),IF(AND(s_Irr!N11=".",s_Irr!AM11=".",s_Irr!BL11&lt;&gt;"."),s_dir!O11/((1/1000)*(s_Irr!BL11)),IF(AND(s_Irr!N11=".",s_Irr!AM11&lt;&gt;".",s_Irr!BL11="."),s_dir!O11/((1/1000)*(s_Irr!AM11)),IF(AND(s_Irr!N11&lt;&gt;".",s_Irr!AM11=".",s_Irr!BL11="."),s_dir!O11/((1/1000)*(s_Irr!N11)),IF(AND(s_Irr!N11=".",s_Irr!AM11=".",s_Irr!BL11="."),s_dir!O11*1000)))))))),".")</f>
        <v>.</v>
      </c>
      <c r="P11" s="70" t="str">
        <f>IFERROR(IF(AND(s_Irr!O11&lt;&gt;".",s_Irr!AN11&lt;&gt;".",s_Irr!BM11&lt;&gt;"."),s_dir!P11/((1/1000)*(s_Irr!O11+s_Irr!AN11+s_Irr!BM11)),IF(AND(s_Irr!O11&lt;&gt;".",s_Irr!AN11&lt;&gt;".",s_Irr!BM11="."),s_dir!P11/((1/1000)*(s_Irr!O11+s_Irr!AN11)),IF(AND(s_Irr!O11&lt;&gt;".",s_Irr!AN11=".",s_Irr!BM11&lt;&gt;"."),s_dir!P11/((1/1000)*(s_Irr!O11+s_Irr!BM11)),IF(AND(s_Irr!O11=".",s_Irr!AN11&lt;&gt;".",s_Irr!BM11&lt;&gt;"."),s_dir!P11/((1/1000)*(s_Irr!AN11+s_Irr!BM11)),IF(AND(s_Irr!O11=".",s_Irr!AN11=".",s_Irr!BM11&lt;&gt;"."),s_dir!P11/((1/1000)*(s_Irr!BM11)),IF(AND(s_Irr!O11=".",s_Irr!AN11&lt;&gt;".",s_Irr!BM11="."),s_dir!P11/((1/1000)*(s_Irr!AN11)),IF(AND(s_Irr!O11&lt;&gt;".",s_Irr!AN11=".",s_Irr!BM11="."),s_dir!P11/((1/1000)*(s_Irr!O11)),IF(AND(s_Irr!O11=".",s_Irr!AN11=".",s_Irr!BM11="."),s_dir!P11*1000)))))))),".")</f>
        <v>.</v>
      </c>
      <c r="Q11" s="70" t="str">
        <f>IFERROR(IF(AND(s_Irr!P11&lt;&gt;".",s_Irr!AO11&lt;&gt;".",s_Irr!BN11&lt;&gt;"."),s_dir!Q11/((1/1000)*(s_Irr!P11+s_Irr!AO11+s_Irr!BN11)),IF(AND(s_Irr!P11&lt;&gt;".",s_Irr!AO11&lt;&gt;".",s_Irr!BN11="."),s_dir!Q11/((1/1000)*(s_Irr!P11+s_Irr!AO11)),IF(AND(s_Irr!P11&lt;&gt;".",s_Irr!AO11=".",s_Irr!BN11&lt;&gt;"."),s_dir!Q11/((1/1000)*(s_Irr!P11+s_Irr!BN11)),IF(AND(s_Irr!P11=".",s_Irr!AO11&lt;&gt;".",s_Irr!BN11&lt;&gt;"."),s_dir!Q11/((1/1000)*(s_Irr!AO11+s_Irr!BN11)),IF(AND(s_Irr!P11=".",s_Irr!AO11=".",s_Irr!BN11&lt;&gt;"."),s_dir!Q11/((1/1000)*(s_Irr!BN11)),IF(AND(s_Irr!P11=".",s_Irr!AO11&lt;&gt;".",s_Irr!BN11="."),s_dir!Q11/((1/1000)*(s_Irr!AO11)),IF(AND(s_Irr!P11&lt;&gt;".",s_Irr!AO11=".",s_Irr!BN11="."),s_dir!Q11/((1/1000)*(s_Irr!P11)),IF(AND(s_Irr!P11=".",s_Irr!AO11=".",s_Irr!BN11="."),s_dir!Q11*1000)))))))),".")</f>
        <v>.</v>
      </c>
      <c r="R11" s="70" t="str">
        <f>IFERROR(IF(AND(s_Irr!Q11&lt;&gt;".",s_Irr!AP11&lt;&gt;".",s_Irr!BO11&lt;&gt;"."),s_dir!R11/((1/1000)*(s_Irr!Q11+s_Irr!AP11+s_Irr!BO11)),IF(AND(s_Irr!Q11&lt;&gt;".",s_Irr!AP11&lt;&gt;".",s_Irr!BO11="."),s_dir!R11/((1/1000)*(s_Irr!Q11+s_Irr!AP11)),IF(AND(s_Irr!Q11&lt;&gt;".",s_Irr!AP11=".",s_Irr!BO11&lt;&gt;"."),s_dir!R11/((1/1000)*(s_Irr!Q11+s_Irr!BO11)),IF(AND(s_Irr!Q11=".",s_Irr!AP11&lt;&gt;".",s_Irr!BO11&lt;&gt;"."),s_dir!R11/((1/1000)*(s_Irr!AP11+s_Irr!BO11)),IF(AND(s_Irr!Q11=".",s_Irr!AP11=".",s_Irr!BO11&lt;&gt;"."),s_dir!R11/((1/1000)*(s_Irr!BO11)),IF(AND(s_Irr!Q11=".",s_Irr!AP11&lt;&gt;".",s_Irr!BO11="."),s_dir!R11/((1/1000)*(s_Irr!AP11)),IF(AND(s_Irr!Q11&lt;&gt;".",s_Irr!AP11=".",s_Irr!BO11="."),s_dir!R11/((1/1000)*(s_Irr!Q11)),IF(AND(s_Irr!Q11=".",s_Irr!AP11=".",s_Irr!BO11="."),s_dir!R11*1000)))))))),".")</f>
        <v>.</v>
      </c>
      <c r="S11" s="70" t="str">
        <f>IFERROR(IF(AND(s_Irr!R11&lt;&gt;".",s_Irr!AQ11&lt;&gt;".",s_Irr!BP11&lt;&gt;"."),s_dir!S11/((1/1000)*(s_Irr!R11+s_Irr!AQ11+s_Irr!BP11)),IF(AND(s_Irr!R11&lt;&gt;".",s_Irr!AQ11&lt;&gt;".",s_Irr!BP11="."),s_dir!S11/((1/1000)*(s_Irr!R11+s_Irr!AQ11)),IF(AND(s_Irr!R11&lt;&gt;".",s_Irr!AQ11=".",s_Irr!BP11&lt;&gt;"."),s_dir!S11/((1/1000)*(s_Irr!R11+s_Irr!BP11)),IF(AND(s_Irr!R11=".",s_Irr!AQ11&lt;&gt;".",s_Irr!BP11&lt;&gt;"."),s_dir!S11/((1/1000)*(s_Irr!AQ11+s_Irr!BP11)),IF(AND(s_Irr!R11=".",s_Irr!AQ11=".",s_Irr!BP11&lt;&gt;"."),s_dir!S11/((1/1000)*(s_Irr!BP11)),IF(AND(s_Irr!R11=".",s_Irr!AQ11&lt;&gt;".",s_Irr!BP11="."),s_dir!S11/((1/1000)*(s_Irr!AQ11)),IF(AND(s_Irr!R11&lt;&gt;".",s_Irr!AQ11=".",s_Irr!BP11="."),s_dir!S11/((1/1000)*(s_Irr!R11)),IF(AND(s_Irr!R11=".",s_Irr!AQ11=".",s_Irr!BP11="."),s_dir!S11*1000)))))))),".")</f>
        <v>.</v>
      </c>
      <c r="T11" s="70" t="str">
        <f>IFERROR(IF(AND(s_Irr!S11&lt;&gt;".",s_Irr!AR11&lt;&gt;".",s_Irr!BQ11&lt;&gt;"."),s_dir!T11/((1/1000)*(s_Irr!S11+s_Irr!AR11+s_Irr!BQ11)),IF(AND(s_Irr!S11&lt;&gt;".",s_Irr!AR11&lt;&gt;".",s_Irr!BQ11="."),s_dir!T11/((1/1000)*(s_Irr!S11+s_Irr!AR11)),IF(AND(s_Irr!S11&lt;&gt;".",s_Irr!AR11=".",s_Irr!BQ11&lt;&gt;"."),s_dir!T11/((1/1000)*(s_Irr!S11+s_Irr!BQ11)),IF(AND(s_Irr!S11=".",s_Irr!AR11&lt;&gt;".",s_Irr!BQ11&lt;&gt;"."),s_dir!T11/((1/1000)*(s_Irr!AR11+s_Irr!BQ11)),IF(AND(s_Irr!S11=".",s_Irr!AR11=".",s_Irr!BQ11&lt;&gt;"."),s_dir!T11/((1/1000)*(s_Irr!BQ11)),IF(AND(s_Irr!S11=".",s_Irr!AR11&lt;&gt;".",s_Irr!BQ11="."),s_dir!T11/((1/1000)*(s_Irr!AR11)),IF(AND(s_Irr!S11&lt;&gt;".",s_Irr!AR11=".",s_Irr!BQ11="."),s_dir!T11/((1/1000)*(s_Irr!S11)),IF(AND(s_Irr!S11=".",s_Irr!AR11=".",s_Irr!BQ11="."),s_dir!T11*1000)))))))),".")</f>
        <v>.</v>
      </c>
      <c r="U11" s="70" t="str">
        <f>IFERROR(IF(AND(s_Irr!T11&lt;&gt;".",s_Irr!AS11&lt;&gt;".",s_Irr!BR11&lt;&gt;"."),s_dir!U11/((1/1000)*(s_Irr!T11+s_Irr!AS11+s_Irr!BR11)),IF(AND(s_Irr!T11&lt;&gt;".",s_Irr!AS11&lt;&gt;".",s_Irr!BR11="."),s_dir!U11/((1/1000)*(s_Irr!T11+s_Irr!AS11)),IF(AND(s_Irr!T11&lt;&gt;".",s_Irr!AS11=".",s_Irr!BR11&lt;&gt;"."),s_dir!U11/((1/1000)*(s_Irr!T11+s_Irr!BR11)),IF(AND(s_Irr!T11=".",s_Irr!AS11&lt;&gt;".",s_Irr!BR11&lt;&gt;"."),s_dir!U11/((1/1000)*(s_Irr!AS11+s_Irr!BR11)),IF(AND(s_Irr!T11=".",s_Irr!AS11=".",s_Irr!BR11&lt;&gt;"."),s_dir!U11/((1/1000)*(s_Irr!BR11)),IF(AND(s_Irr!T11=".",s_Irr!AS11&lt;&gt;".",s_Irr!BR11="."),s_dir!U11/((1/1000)*(s_Irr!AS11)),IF(AND(s_Irr!T11&lt;&gt;".",s_Irr!AS11=".",s_Irr!BR11="."),s_dir!U11/((1/1000)*(s_Irr!T11)),IF(AND(s_Irr!T11=".",s_Irr!AS11=".",s_Irr!BR11="."),s_dir!U11*1000)))))))),".")</f>
        <v>.</v>
      </c>
      <c r="V11" s="70" t="str">
        <f>IFERROR(IF(AND(s_Irr!U11&lt;&gt;".",s_Irr!AT11&lt;&gt;".",s_Irr!BS11&lt;&gt;"."),s_dir!V11/((1/1000)*(s_Irr!U11+s_Irr!AT11+s_Irr!BS11)),IF(AND(s_Irr!U11&lt;&gt;".",s_Irr!AT11&lt;&gt;".",s_Irr!BS11="."),s_dir!V11/((1/1000)*(s_Irr!U11+s_Irr!AT11)),IF(AND(s_Irr!U11&lt;&gt;".",s_Irr!AT11=".",s_Irr!BS11&lt;&gt;"."),s_dir!V11/((1/1000)*(s_Irr!U11+s_Irr!BS11)),IF(AND(s_Irr!U11=".",s_Irr!AT11&lt;&gt;".",s_Irr!BS11&lt;&gt;"."),s_dir!V11/((1/1000)*(s_Irr!AT11+s_Irr!BS11)),IF(AND(s_Irr!U11=".",s_Irr!AT11=".",s_Irr!BS11&lt;&gt;"."),s_dir!V11/((1/1000)*(s_Irr!BS11)),IF(AND(s_Irr!U11=".",s_Irr!AT11&lt;&gt;".",s_Irr!BS11="."),s_dir!V11/((1/1000)*(s_Irr!AT11)),IF(AND(s_Irr!U11&lt;&gt;".",s_Irr!AT11=".",s_Irr!BS11="."),s_dir!V11/((1/1000)*(s_Irr!U11)),IF(AND(s_Irr!U11=".",s_Irr!AT11=".",s_Irr!BS11="."),s_dir!V11*1000)))))))),".")</f>
        <v>.</v>
      </c>
      <c r="W11" s="70" t="str">
        <f>IFERROR(IF(AND(s_Irr!V11&lt;&gt;".",s_Irr!AU11&lt;&gt;".",s_Irr!BT11&lt;&gt;"."),s_dir!W11/((1/1000)*(s_Irr!V11+s_Irr!AU11+s_Irr!BT11)),IF(AND(s_Irr!V11&lt;&gt;".",s_Irr!AU11&lt;&gt;".",s_Irr!BT11="."),s_dir!W11/((1/1000)*(s_Irr!V11+s_Irr!AU11)),IF(AND(s_Irr!V11&lt;&gt;".",s_Irr!AU11=".",s_Irr!BT11&lt;&gt;"."),s_dir!W11/((1/1000)*(s_Irr!V11+s_Irr!BT11)),IF(AND(s_Irr!V11=".",s_Irr!AU11&lt;&gt;".",s_Irr!BT11&lt;&gt;"."),s_dir!W11/((1/1000)*(s_Irr!AU11+s_Irr!BT11)),IF(AND(s_Irr!V11=".",s_Irr!AU11=".",s_Irr!BT11&lt;&gt;"."),s_dir!W11/((1/1000)*(s_Irr!BT11)),IF(AND(s_Irr!V11=".",s_Irr!AU11&lt;&gt;".",s_Irr!BT11="."),s_dir!W11/((1/1000)*(s_Irr!AU11)),IF(AND(s_Irr!V11&lt;&gt;".",s_Irr!AU11=".",s_Irr!BT11="."),s_dir!W11/((1/1000)*(s_Irr!V11)),IF(AND(s_Irr!V11=".",s_Irr!AU11=".",s_Irr!BT11="."),s_dir!W11*1000)))))))),".")</f>
        <v>.</v>
      </c>
      <c r="X11" s="70" t="str">
        <f>IFERROR(IF(AND(s_Irr!W11&lt;&gt;".",s_Irr!AV11&lt;&gt;".",s_Irr!BU11&lt;&gt;"."),s_dir!X11/((1/1000)*(s_Irr!W11+s_Irr!AV11+s_Irr!BU11)),IF(AND(s_Irr!W11&lt;&gt;".",s_Irr!AV11&lt;&gt;".",s_Irr!BU11="."),s_dir!X11/((1/1000)*(s_Irr!W11+s_Irr!AV11)),IF(AND(s_Irr!W11&lt;&gt;".",s_Irr!AV11=".",s_Irr!BU11&lt;&gt;"."),s_dir!X11/((1/1000)*(s_Irr!W11+s_Irr!BU11)),IF(AND(s_Irr!W11=".",s_Irr!AV11&lt;&gt;".",s_Irr!BU11&lt;&gt;"."),s_dir!X11/((1/1000)*(s_Irr!AV11+s_Irr!BU11)),IF(AND(s_Irr!W11=".",s_Irr!AV11=".",s_Irr!BU11&lt;&gt;"."),s_dir!X11/((1/1000)*(s_Irr!BU11)),IF(AND(s_Irr!W11=".",s_Irr!AV11&lt;&gt;".",s_Irr!BU11="."),s_dir!X11/((1/1000)*(s_Irr!AV11)),IF(AND(s_Irr!W11&lt;&gt;".",s_Irr!AV11=".",s_Irr!BU11="."),s_dir!X11/((1/1000)*(s_Irr!W11)),IF(AND(s_Irr!W11=".",s_Irr!AV11=".",s_Irr!BU11="."),s_dir!X11*1000)))))))),".")</f>
        <v>.</v>
      </c>
      <c r="Y11" s="70" t="str">
        <f>IFERROR(IF(AND(s_Irr!X11&lt;&gt;".",s_Irr!AW11&lt;&gt;".",s_Irr!BV11&lt;&gt;"."),s_dir!Y11/((1/1000)*(s_Irr!X11+s_Irr!AW11+s_Irr!BV11)),IF(AND(s_Irr!X11&lt;&gt;".",s_Irr!AW11&lt;&gt;".",s_Irr!BV11="."),s_dir!Y11/((1/1000)*(s_Irr!X11+s_Irr!AW11)),IF(AND(s_Irr!X11&lt;&gt;".",s_Irr!AW11=".",s_Irr!BV11&lt;&gt;"."),s_dir!Y11/((1/1000)*(s_Irr!X11+s_Irr!BV11)),IF(AND(s_Irr!X11=".",s_Irr!AW11&lt;&gt;".",s_Irr!BV11&lt;&gt;"."),s_dir!Y11/((1/1000)*(s_Irr!AW11+s_Irr!BV11)),IF(AND(s_Irr!X11=".",s_Irr!AW11=".",s_Irr!BV11&lt;&gt;"."),s_dir!Y11/((1/1000)*(s_Irr!BV11)),IF(AND(s_Irr!X11=".",s_Irr!AW11&lt;&gt;".",s_Irr!BV11="."),s_dir!Y11/((1/1000)*(s_Irr!AW11)),IF(AND(s_Irr!X11&lt;&gt;".",s_Irr!AW11=".",s_Irr!BV11="."),s_dir!Y11/((1/1000)*(s_Irr!X11)),IF(AND(s_Irr!X11=".",s_Irr!AW11=".",s_Irr!BV11="."),s_dir!Y11*1000)))))))),".")</f>
        <v>.</v>
      </c>
      <c r="Z11" s="70" t="str">
        <f>IFERROR(IF(AND(s_Irr!Y11&lt;&gt;".",s_Irr!AX11&lt;&gt;".",s_Irr!BW11&lt;&gt;"."),s_dir!Z11/((1/1000)*(s_Irr!Y11+s_Irr!AX11+s_Irr!BW11)),IF(AND(s_Irr!Y11&lt;&gt;".",s_Irr!AX11&lt;&gt;".",s_Irr!BW11="."),s_dir!Z11/((1/1000)*(s_Irr!Y11+s_Irr!AX11)),IF(AND(s_Irr!Y11&lt;&gt;".",s_Irr!AX11=".",s_Irr!BW11&lt;&gt;"."),s_dir!Z11/((1/1000)*(s_Irr!Y11+s_Irr!BW11)),IF(AND(s_Irr!Y11=".",s_Irr!AX11&lt;&gt;".",s_Irr!BW11&lt;&gt;"."),s_dir!Z11/((1/1000)*(s_Irr!AX11+s_Irr!BW11)),IF(AND(s_Irr!Y11=".",s_Irr!AX11=".",s_Irr!BW11&lt;&gt;"."),s_dir!Z11/((1/1000)*(s_Irr!BW11)),IF(AND(s_Irr!Y11=".",s_Irr!AX11&lt;&gt;".",s_Irr!BW11="."),s_dir!Z11/((1/1000)*(s_Irr!AX11)),IF(AND(s_Irr!Y11&lt;&gt;".",s_Irr!AX11=".",s_Irr!BW11="."),s_dir!Z11/((1/1000)*(s_Irr!Y11)),IF(AND(s_Irr!Y11=".",s_Irr!AX11=".",s_Irr!BW11="."),s_dir!Z11*1000)))))))),".")</f>
        <v>.</v>
      </c>
      <c r="AA11" s="70" t="str">
        <f>IFERROR(IF(AND(s_Irr!Z11&lt;&gt;".",s_Irr!AY11&lt;&gt;".",s_Irr!BX11&lt;&gt;"."),s_dir!AA11/((1/1000)*(s_Irr!Z11+s_Irr!AY11+s_Irr!BX11)),IF(AND(s_Irr!Z11&lt;&gt;".",s_Irr!AY11&lt;&gt;".",s_Irr!BX11="."),s_dir!AA11/((1/1000)*(s_Irr!Z11+s_Irr!AY11)),IF(AND(s_Irr!Z11&lt;&gt;".",s_Irr!AY11=".",s_Irr!BX11&lt;&gt;"."),s_dir!AA11/((1/1000)*(s_Irr!Z11+s_Irr!BX11)),IF(AND(s_Irr!Z11=".",s_Irr!AY11&lt;&gt;".",s_Irr!BX11&lt;&gt;"."),s_dir!AA11/((1/1000)*(s_Irr!AY11+s_Irr!BX11)),IF(AND(s_Irr!Z11=".",s_Irr!AY11=".",s_Irr!BX11&lt;&gt;"."),s_dir!AA11/((1/1000)*(s_Irr!BX11)),IF(AND(s_Irr!Z11=".",s_Irr!AY11&lt;&gt;".",s_Irr!BX11="."),s_dir!AA11/((1/1000)*(s_Irr!AY11)),IF(AND(s_Irr!Z11&lt;&gt;".",s_Irr!AY11=".",s_Irr!BX11="."),s_dir!AA11/((1/1000)*(s_Irr!Z11)),IF(AND(s_Irr!Z11=".",s_Irr!AY11=".",s_Irr!BX11="."),s_dir!AA11*1000)))))))),".")</f>
        <v>.</v>
      </c>
      <c r="AB11" s="70" t="str">
        <f>IFERROR(IF(AND(s_Irr!AA11&lt;&gt;".",s_Irr!AZ11&lt;&gt;".",s_Irr!BY11&lt;&gt;"."),s_dir!AB11/((1/1000)*(s_Irr!AA11+s_Irr!AZ11+s_Irr!BY11)),IF(AND(s_Irr!AA11&lt;&gt;".",s_Irr!AZ11&lt;&gt;".",s_Irr!BY11="."),s_dir!AB11/((1/1000)*(s_Irr!AA11+s_Irr!AZ11)),IF(AND(s_Irr!AA11&lt;&gt;".",s_Irr!AZ11=".",s_Irr!BY11&lt;&gt;"."),s_dir!AB11/((1/1000)*(s_Irr!AA11+s_Irr!BY11)),IF(AND(s_Irr!AA11=".",s_Irr!AZ11&lt;&gt;".",s_Irr!BY11&lt;&gt;"."),s_dir!AB11/((1/1000)*(s_Irr!AZ11+s_Irr!BY11)),IF(AND(s_Irr!AA11=".",s_Irr!AZ11=".",s_Irr!BY11&lt;&gt;"."),s_dir!AB11/((1/1000)*(s_Irr!BY11)),IF(AND(s_Irr!AA11=".",s_Irr!AZ11&lt;&gt;".",s_Irr!BY11="."),s_dir!AB11/((1/1000)*(s_Irr!AZ11)),IF(AND(s_Irr!AA11&lt;&gt;".",s_Irr!AZ11=".",s_Irr!BY11="."),s_dir!AB11/((1/1000)*(s_Irr!AA11)),IF(AND(s_Irr!AA11=".",s_Irr!AZ11=".",s_Irr!BY11="."),s_dir!AB11*1000)))))))),".")</f>
        <v>.</v>
      </c>
      <c r="AC11" s="87">
        <f t="shared" si="4"/>
        <v>534.14934881726708</v>
      </c>
      <c r="AD11" s="87">
        <f>IFERROR(s_C*s_IFAP_res_adj*s_CF_apple*0.001*(s_Irr!C11+s_Irr!AB11+s_Irr!BA11),".")</f>
        <v>133.53733720431677</v>
      </c>
      <c r="AE11" s="87">
        <f>IFERROR(s_C*s_IFAS_res_adj*s_CF_asparagus*0.001*(s_Irr!D11+s_Irr!AC11+s_Irr!BB11),".")</f>
        <v>133.53733720431677</v>
      </c>
      <c r="AF11" s="87">
        <f>IFERROR(s_C*s_IFBT_res_adj*s_CF_beet*0.001*(s_Irr!E11+s_Irr!AD11+s_Irr!BC11),".")</f>
        <v>133.53733720431677</v>
      </c>
      <c r="AG11" s="87">
        <f>IFERROR(s_C*s_IFBE_res_adj*s_CF_berries*0.001*(s_Irr!F11+s_Irr!AE11+s_Irr!BD11),".")</f>
        <v>133.53733720431677</v>
      </c>
      <c r="AH11" s="87">
        <f>IFERROR(s_C*s_IFBR_res_adj*s_CF_broccoli*0.001*(s_Irr!G11+s_Irr!AF11+s_Irr!BE11),".")</f>
        <v>133.53733720431677</v>
      </c>
      <c r="AI11" s="87">
        <f>IFERROR(s_C*s_IFCB_res_adj*s_CF_cabbage*0.001*(s_Irr!H11+s_Irr!AG11+s_Irr!BF11),".")</f>
        <v>133.53733720431677</v>
      </c>
      <c r="AJ11" s="87">
        <f>IFERROR(s_C*s_IFCR_res_adj*s_CF_carrot*0.001*(s_Irr!I11+s_Irr!AH11+s_Irr!BG11),".")</f>
        <v>133.53733720431677</v>
      </c>
      <c r="AK11" s="87">
        <f>IFERROR(s_C*s_IFCI_res_adj*s_CF_citrus*0.001*(s_Irr!J11+s_Irr!AI11+s_Irr!BH11),".")</f>
        <v>133.53733720431677</v>
      </c>
      <c r="AL11" s="87">
        <f>IFERROR(s_C*s_IFCO_res_adj*s_CF_corn*0.001*(s_Irr!K11+s_Irr!AJ11+s_Irr!BI11),".")</f>
        <v>133.53733720431677</v>
      </c>
      <c r="AM11" s="87">
        <f>IFERROR(s_C*s_IFCU_res_adj*s_CF_cucumber*0.001*(s_Irr!L11+s_Irr!AK11+s_Irr!BJ11),".")</f>
        <v>133.53733720431677</v>
      </c>
      <c r="AN11" s="87">
        <f>IFERROR(s_C*s_IFLE_res_adj*s_CF_lettuce*0.001*(s_Irr!M11+s_Irr!AL11+s_Irr!BK11),".")</f>
        <v>133.53733720431677</v>
      </c>
      <c r="AO11" s="87">
        <f>IFERROR(s_C*s_IFLI_res_adj*s_CF_lima_bean*0.001*(s_Irr!N11+s_Irr!AM11+s_Irr!BL11),".")</f>
        <v>133.53733720431677</v>
      </c>
      <c r="AP11" s="87">
        <f>IFERROR(s_C*s_IFOK_res_adj*s_CF_okra*0.001*(s_Irr!O11+s_Irr!AN11+s_Irr!BM11),".")</f>
        <v>133.53733720431677</v>
      </c>
      <c r="AQ11" s="87">
        <f>IFERROR(s_C*s_IFON_res_adj*s_CF_onion*0.001*(s_Irr!P11+s_Irr!AO11+s_Irr!BN11),".")</f>
        <v>133.53733720431677</v>
      </c>
      <c r="AR11" s="87">
        <f>IFERROR(s_C*s_IFPC_res_adj*s_CF_peach*0.001*(s_Irr!Q11+s_Irr!AP11+s_Irr!BO11),".")</f>
        <v>133.53733720431677</v>
      </c>
      <c r="AS11" s="87">
        <f>IFERROR(s_C*s_IFPR_res_adj*s_CF_pear*0.001*(s_Irr!R11+s_Irr!AQ11+s_Irr!BP11),".")</f>
        <v>133.53733720431677</v>
      </c>
      <c r="AT11" s="87">
        <f>IFERROR(s_C*s_IFPE_res_adj*s_CF_peas*0.001*(s_Irr!S11+s_Irr!AR11+s_Irr!BQ11),".")</f>
        <v>133.53733720431677</v>
      </c>
      <c r="AU11" s="87">
        <f>IFERROR(s_C*s_IFPP_res_adj*s_CF_peppers*0.001*(s_Irr!T11+s_Irr!AS11+s_Irr!BR11),".")</f>
        <v>133.53733720431677</v>
      </c>
      <c r="AV11" s="87">
        <f>IFERROR(s_C*s_IFPT_res_adj*s_CF_potato*0.001*(s_Irr!U11+s_Irr!AT11+s_Irr!BS11),".")</f>
        <v>133.53733720431677</v>
      </c>
      <c r="AW11" s="87">
        <f>IFERROR(s_C*s_IFPU_res_adj*s_CF_pumpkin*0.001*(s_Irr!V11+s_Irr!AU11+s_Irr!BT11),".")</f>
        <v>133.53733720431677</v>
      </c>
      <c r="AX11" s="87">
        <f>IFERROR(s_C*s_IFSN_res_adj*s_CF_snap_bean*0.001*(s_Irr!W11+s_Irr!AV11+s_Irr!BU11),".")</f>
        <v>133.53733720431677</v>
      </c>
      <c r="AY11" s="87">
        <f>IFERROR(s_C*s_IFST_res_adj*s_CF_strawberry*0.001*(s_Irr!X11+s_Irr!AW11+s_Irr!BV11),".")</f>
        <v>133.53733720431677</v>
      </c>
      <c r="AZ11" s="87">
        <f>IFERROR(s_C*s_IFTO_res_adj*s_CF_tomato*0.001*(s_Irr!Y11+s_Irr!AX11+s_Irr!BW11),".")</f>
        <v>133.53733720431677</v>
      </c>
      <c r="BA11" s="87">
        <f>IFERROR(s_C*s_IFRI_res_adj*s_CF_rice*0.001*(s_Irr!Z11+s_Irr!AY11+s_Irr!BX11),".")</f>
        <v>133.53733720431677</v>
      </c>
      <c r="BB11" s="87">
        <f>IFERROR(s_C*s_IFCG_res_adj*s_CF_cereal*0.001*(s_Irr!AA11+s_Irr!AZ11+s_Irr!BY11),".")</f>
        <v>133.53733720431677</v>
      </c>
      <c r="BC11" s="70" t="str">
        <f t="shared" si="1"/>
        <v>.</v>
      </c>
      <c r="BD11" s="70" t="str">
        <f>IFERROR(IF(AND(s_Irr!C11&lt;&gt;".",s_Irr!AB11&lt;&gt;".",s_Irr!BA11&lt;&gt;"."),s_dir!AD11/((1/1000)*(s_Irr!C11+s_Irr!AB11+s_Irr!BA11)),IF(AND(s_Irr!C11&lt;&gt;".",s_Irr!AB11&lt;&gt;".",s_Irr!BA11="."),s_dir!AD11/((1/1000)*(s_Irr!C11+s_Irr!AB11)),IF(AND(s_Irr!C11&lt;&gt;".",s_Irr!AB11=".",s_Irr!BA11&lt;&gt;"."),s_dir!AD11/((1/1000)*(s_Irr!C11+s_Irr!BA11)),IF(AND(s_Irr!C11=".",s_Irr!AB11&lt;&gt;".",s_Irr!BA11&lt;&gt;"."),s_dir!AD11/((1/1000)*(s_Irr!AB11+s_Irr!BA11)),IF(AND(s_Irr!C11=".",s_Irr!AB11=".",s_Irr!BA11&lt;&gt;"."),s_dir!AD11/((1/1000)*(s_Irr!BA11)),IF(AND(s_Irr!C11=".",s_Irr!AB11&lt;&gt;".",s_Irr!BA11="."),s_dir!AD11/((1/1000)*(s_Irr!AB11)),IF(AND(s_Irr!C11&lt;&gt;".",s_Irr!AB11=".",s_Irr!BA11="."),s_dir!AD11/((1/1000)*(s_Irr!C11)),IF(AND(s_Irr!C11=".",s_Irr!AB11=".",s_Irr!BA11="."),s_dir!AD11*1000)))))))),".")</f>
        <v>.</v>
      </c>
      <c r="BE11" s="70" t="str">
        <f>IFERROR(IF(AND(s_Irr!D11&lt;&gt;".",s_Irr!AC11&lt;&gt;".",s_Irr!BB11&lt;&gt;"."),s_dir!AE11/((1/1000)*(s_Irr!D11+s_Irr!AC11+s_Irr!BB11)),IF(AND(s_Irr!D11&lt;&gt;".",s_Irr!AC11&lt;&gt;".",s_Irr!BB11="."),s_dir!AE11/((1/1000)*(s_Irr!D11+s_Irr!AC11)),IF(AND(s_Irr!D11&lt;&gt;".",s_Irr!AC11=".",s_Irr!BB11&lt;&gt;"."),s_dir!AE11/((1/1000)*(s_Irr!D11+s_Irr!BB11)),IF(AND(s_Irr!D11=".",s_Irr!AC11&lt;&gt;".",s_Irr!BB11&lt;&gt;"."),s_dir!AE11/((1/1000)*(s_Irr!AC11+s_Irr!BB11)),IF(AND(s_Irr!D11=".",s_Irr!AC11=".",s_Irr!BB11&lt;&gt;"."),s_dir!AE11/((1/1000)*(s_Irr!BB11)),IF(AND(s_Irr!D11=".",s_Irr!AC11&lt;&gt;".",s_Irr!BB11="."),s_dir!AE11/((1/1000)*(s_Irr!AC11)),IF(AND(s_Irr!D11&lt;&gt;".",s_Irr!AC11=".",s_Irr!BB11="."),s_dir!AE11/((1/1000)*(s_Irr!D11)),IF(AND(s_Irr!D11=".",s_Irr!AC11=".",s_Irr!BB11="."),s_dir!AE11*1000)))))))),".")</f>
        <v>.</v>
      </c>
      <c r="BF11" s="70" t="str">
        <f>IFERROR(IF(AND(s_Irr!E11&lt;&gt;".",s_Irr!AD11&lt;&gt;".",s_Irr!BC11&lt;&gt;"."),s_dir!AF11/((1/1000)*(s_Irr!E11+s_Irr!AD11+s_Irr!BC11)),IF(AND(s_Irr!E11&lt;&gt;".",s_Irr!AD11&lt;&gt;".",s_Irr!BC11="."),s_dir!AF11/((1/1000)*(s_Irr!E11+s_Irr!AD11)),IF(AND(s_Irr!E11&lt;&gt;".",s_Irr!AD11=".",s_Irr!BC11&lt;&gt;"."),s_dir!AF11/((1/1000)*(s_Irr!E11+s_Irr!BC11)),IF(AND(s_Irr!E11=".",s_Irr!AD11&lt;&gt;".",s_Irr!BC11&lt;&gt;"."),s_dir!AF11/((1/1000)*(s_Irr!AD11+s_Irr!BC11)),IF(AND(s_Irr!E11=".",s_Irr!AD11=".",s_Irr!BC11&lt;&gt;"."),s_dir!AF11/((1/1000)*(s_Irr!BC11)),IF(AND(s_Irr!E11=".",s_Irr!AD11&lt;&gt;".",s_Irr!BC11="."),s_dir!AF11/((1/1000)*(s_Irr!AD11)),IF(AND(s_Irr!E11&lt;&gt;".",s_Irr!AD11=".",s_Irr!BC11="."),s_dir!AF11/((1/1000)*(s_Irr!E11)),IF(AND(s_Irr!E11=".",s_Irr!AD11=".",s_Irr!BC11="."),s_dir!AF11*1000)))))))),".")</f>
        <v>.</v>
      </c>
      <c r="BG11" s="70" t="str">
        <f>IFERROR(IF(AND(s_Irr!F11&lt;&gt;".",s_Irr!AE11&lt;&gt;".",s_Irr!BD11&lt;&gt;"."),s_dir!AG11/((1/1000)*(s_Irr!F11+s_Irr!AE11+s_Irr!BD11)),IF(AND(s_Irr!F11&lt;&gt;".",s_Irr!AE11&lt;&gt;".",s_Irr!BD11="."),s_dir!AG11/((1/1000)*(s_Irr!F11+s_Irr!AE11)),IF(AND(s_Irr!F11&lt;&gt;".",s_Irr!AE11=".",s_Irr!BD11&lt;&gt;"."),s_dir!AG11/((1/1000)*(s_Irr!F11+s_Irr!BD11)),IF(AND(s_Irr!F11=".",s_Irr!AE11&lt;&gt;".",s_Irr!BD11&lt;&gt;"."),s_dir!AG11/((1/1000)*(s_Irr!AE11+s_Irr!BD11)),IF(AND(s_Irr!F11=".",s_Irr!AE11=".",s_Irr!BD11&lt;&gt;"."),s_dir!AG11/((1/1000)*(s_Irr!BD11)),IF(AND(s_Irr!F11=".",s_Irr!AE11&lt;&gt;".",s_Irr!BD11="."),s_dir!AG11/((1/1000)*(s_Irr!AE11)),IF(AND(s_Irr!F11&lt;&gt;".",s_Irr!AE11=".",s_Irr!BD11="."),s_dir!AG11/((1/1000)*(s_Irr!F11)),IF(AND(s_Irr!F11=".",s_Irr!AE11=".",s_Irr!BD11="."),s_dir!AG11*1000)))))))),".")</f>
        <v>.</v>
      </c>
      <c r="BH11" s="70" t="str">
        <f>IFERROR(IF(AND(s_Irr!G11&lt;&gt;".",s_Irr!AF11&lt;&gt;".",s_Irr!BE11&lt;&gt;"."),s_dir!AH11/((1/1000)*(s_Irr!G11+s_Irr!AF11+s_Irr!BE11)),IF(AND(s_Irr!G11&lt;&gt;".",s_Irr!AF11&lt;&gt;".",s_Irr!BE11="."),s_dir!AH11/((1/1000)*(s_Irr!G11+s_Irr!AF11)),IF(AND(s_Irr!G11&lt;&gt;".",s_Irr!AF11=".",s_Irr!BE11&lt;&gt;"."),s_dir!AH11/((1/1000)*(s_Irr!G11+s_Irr!BE11)),IF(AND(s_Irr!G11=".",s_Irr!AF11&lt;&gt;".",s_Irr!BE11&lt;&gt;"."),s_dir!AH11/((1/1000)*(s_Irr!AF11+s_Irr!BE11)),IF(AND(s_Irr!G11=".",s_Irr!AF11=".",s_Irr!BE11&lt;&gt;"."),s_dir!AH11/((1/1000)*(s_Irr!BE11)),IF(AND(s_Irr!G11=".",s_Irr!AF11&lt;&gt;".",s_Irr!BE11="."),s_dir!AH11/((1/1000)*(s_Irr!AF11)),IF(AND(s_Irr!G11&lt;&gt;".",s_Irr!AF11=".",s_Irr!BE11="."),s_dir!AH11/((1/1000)*(s_Irr!G11)),IF(AND(s_Irr!G11=".",s_Irr!AF11=".",s_Irr!BE11="."),s_dir!AH11*1000)))))))),".")</f>
        <v>.</v>
      </c>
      <c r="BI11" s="70" t="str">
        <f>IFERROR(IF(AND(s_Irr!H11&lt;&gt;".",s_Irr!AG11&lt;&gt;".",s_Irr!BF11&lt;&gt;"."),s_dir!AI11/((1/1000)*(s_Irr!H11+s_Irr!AG11+s_Irr!BF11)),IF(AND(s_Irr!H11&lt;&gt;".",s_Irr!AG11&lt;&gt;".",s_Irr!BF11="."),s_dir!AI11/((1/1000)*(s_Irr!H11+s_Irr!AG11)),IF(AND(s_Irr!H11&lt;&gt;".",s_Irr!AG11=".",s_Irr!BF11&lt;&gt;"."),s_dir!AI11/((1/1000)*(s_Irr!H11+s_Irr!BF11)),IF(AND(s_Irr!H11=".",s_Irr!AG11&lt;&gt;".",s_Irr!BF11&lt;&gt;"."),s_dir!AI11/((1/1000)*(s_Irr!AG11+s_Irr!BF11)),IF(AND(s_Irr!H11=".",s_Irr!AG11=".",s_Irr!BF11&lt;&gt;"."),s_dir!AI11/((1/1000)*(s_Irr!BF11)),IF(AND(s_Irr!H11=".",s_Irr!AG11&lt;&gt;".",s_Irr!BF11="."),s_dir!AI11/((1/1000)*(s_Irr!AG11)),IF(AND(s_Irr!H11&lt;&gt;".",s_Irr!AG11=".",s_Irr!BF11="."),s_dir!AI11/((1/1000)*(s_Irr!H11)),IF(AND(s_Irr!H11=".",s_Irr!AG11=".",s_Irr!BF11="."),s_dir!AI11*1000)))))))),".")</f>
        <v>.</v>
      </c>
      <c r="BJ11" s="70" t="str">
        <f>IFERROR(IF(AND(s_Irr!I11&lt;&gt;".",s_Irr!AH11&lt;&gt;".",s_Irr!BG11&lt;&gt;"."),s_dir!AJ11/((1/1000)*(s_Irr!I11+s_Irr!AH11+s_Irr!BG11)),IF(AND(s_Irr!I11&lt;&gt;".",s_Irr!AH11&lt;&gt;".",s_Irr!BG11="."),s_dir!AJ11/((1/1000)*(s_Irr!I11+s_Irr!AH11)),IF(AND(s_Irr!I11&lt;&gt;".",s_Irr!AH11=".",s_Irr!BG11&lt;&gt;"."),s_dir!AJ11/((1/1000)*(s_Irr!I11+s_Irr!BG11)),IF(AND(s_Irr!I11=".",s_Irr!AH11&lt;&gt;".",s_Irr!BG11&lt;&gt;"."),s_dir!AJ11/((1/1000)*(s_Irr!AH11+s_Irr!BG11)),IF(AND(s_Irr!I11=".",s_Irr!AH11=".",s_Irr!BG11&lt;&gt;"."),s_dir!AJ11/((1/1000)*(s_Irr!BG11)),IF(AND(s_Irr!I11=".",s_Irr!AH11&lt;&gt;".",s_Irr!BG11="."),s_dir!AJ11/((1/1000)*(s_Irr!AH11)),IF(AND(s_Irr!I11&lt;&gt;".",s_Irr!AH11=".",s_Irr!BG11="."),s_dir!AJ11/((1/1000)*(s_Irr!I11)),IF(AND(s_Irr!I11=".",s_Irr!AH11=".",s_Irr!BG11="."),s_dir!AJ11*1000)))))))),".")</f>
        <v>.</v>
      </c>
      <c r="BK11" s="70" t="str">
        <f>IFERROR(IF(AND(s_Irr!J11&lt;&gt;".",s_Irr!AI11&lt;&gt;".",s_Irr!BH11&lt;&gt;"."),s_dir!AK11/((1/1000)*(s_Irr!J11+s_Irr!AI11+s_Irr!BH11)),IF(AND(s_Irr!J11&lt;&gt;".",s_Irr!AI11&lt;&gt;".",s_Irr!BH11="."),s_dir!AK11/((1/1000)*(s_Irr!J11+s_Irr!AI11)),IF(AND(s_Irr!J11&lt;&gt;".",s_Irr!AI11=".",s_Irr!BH11&lt;&gt;"."),s_dir!AK11/((1/1000)*(s_Irr!J11+s_Irr!BH11)),IF(AND(s_Irr!J11=".",s_Irr!AI11&lt;&gt;".",s_Irr!BH11&lt;&gt;"."),s_dir!AK11/((1/1000)*(s_Irr!AI11+s_Irr!BH11)),IF(AND(s_Irr!J11=".",s_Irr!AI11=".",s_Irr!BH11&lt;&gt;"."),s_dir!AK11/((1/1000)*(s_Irr!BH11)),IF(AND(s_Irr!J11=".",s_Irr!AI11&lt;&gt;".",s_Irr!BH11="."),s_dir!AK11/((1/1000)*(s_Irr!AI11)),IF(AND(s_Irr!J11&lt;&gt;".",s_Irr!AI11=".",s_Irr!BH11="."),s_dir!AK11/((1/1000)*(s_Irr!J11)),IF(AND(s_Irr!J11=".",s_Irr!AI11=".",s_Irr!BH11="."),s_dir!AK11*1000)))))))),".")</f>
        <v>.</v>
      </c>
      <c r="BL11" s="70" t="str">
        <f>IFERROR(IF(AND(s_Irr!K11&lt;&gt;".",s_Irr!AJ11&lt;&gt;".",s_Irr!BI11&lt;&gt;"."),s_dir!AL11/((1/1000)*(s_Irr!K11+s_Irr!AJ11+s_Irr!BI11)),IF(AND(s_Irr!K11&lt;&gt;".",s_Irr!AJ11&lt;&gt;".",s_Irr!BI11="."),s_dir!AL11/((1/1000)*(s_Irr!K11+s_Irr!AJ11)),IF(AND(s_Irr!K11&lt;&gt;".",s_Irr!AJ11=".",s_Irr!BI11&lt;&gt;"."),s_dir!AL11/((1/1000)*(s_Irr!K11+s_Irr!BI11)),IF(AND(s_Irr!K11=".",s_Irr!AJ11&lt;&gt;".",s_Irr!BI11&lt;&gt;"."),s_dir!AL11/((1/1000)*(s_Irr!AJ11+s_Irr!BI11)),IF(AND(s_Irr!K11=".",s_Irr!AJ11=".",s_Irr!BI11&lt;&gt;"."),s_dir!AL11/((1/1000)*(s_Irr!BI11)),IF(AND(s_Irr!K11=".",s_Irr!AJ11&lt;&gt;".",s_Irr!BI11="."),s_dir!AL11/((1/1000)*(s_Irr!AJ11)),IF(AND(s_Irr!K11&lt;&gt;".",s_Irr!AJ11=".",s_Irr!BI11="."),s_dir!AL11/((1/1000)*(s_Irr!K11)),IF(AND(s_Irr!K11=".",s_Irr!AJ11=".",s_Irr!BI11="."),s_dir!AL11*1000)))))))),".")</f>
        <v>.</v>
      </c>
      <c r="BM11" s="70" t="str">
        <f>IFERROR(IF(AND(s_Irr!L11&lt;&gt;".",s_Irr!AK11&lt;&gt;".",s_Irr!BJ11&lt;&gt;"."),s_dir!AM11/((1/1000)*(s_Irr!L11+s_Irr!AK11+s_Irr!BJ11)),IF(AND(s_Irr!L11&lt;&gt;".",s_Irr!AK11&lt;&gt;".",s_Irr!BJ11="."),s_dir!AM11/((1/1000)*(s_Irr!L11+s_Irr!AK11)),IF(AND(s_Irr!L11&lt;&gt;".",s_Irr!AK11=".",s_Irr!BJ11&lt;&gt;"."),s_dir!AM11/((1/1000)*(s_Irr!L11+s_Irr!BJ11)),IF(AND(s_Irr!L11=".",s_Irr!AK11&lt;&gt;".",s_Irr!BJ11&lt;&gt;"."),s_dir!AM11/((1/1000)*(s_Irr!AK11+s_Irr!BJ11)),IF(AND(s_Irr!L11=".",s_Irr!AK11=".",s_Irr!BJ11&lt;&gt;"."),s_dir!AM11/((1/1000)*(s_Irr!BJ11)),IF(AND(s_Irr!L11=".",s_Irr!AK11&lt;&gt;".",s_Irr!BJ11="."),s_dir!AM11/((1/1000)*(s_Irr!AK11)),IF(AND(s_Irr!L11&lt;&gt;".",s_Irr!AK11=".",s_Irr!BJ11="."),s_dir!AM11/((1/1000)*(s_Irr!L11)),IF(AND(s_Irr!L11=".",s_Irr!AK11=".",s_Irr!BJ11="."),s_dir!AM11*1000)))))))),".")</f>
        <v>.</v>
      </c>
      <c r="BN11" s="70" t="str">
        <f>IFERROR(IF(AND(s_Irr!M11&lt;&gt;".",s_Irr!AL11&lt;&gt;".",s_Irr!BK11&lt;&gt;"."),s_dir!AN11/((1/1000)*(s_Irr!M11+s_Irr!AL11+s_Irr!BK11)),IF(AND(s_Irr!M11&lt;&gt;".",s_Irr!AL11&lt;&gt;".",s_Irr!BK11="."),s_dir!AN11/((1/1000)*(s_Irr!M11+s_Irr!AL11)),IF(AND(s_Irr!M11&lt;&gt;".",s_Irr!AL11=".",s_Irr!BK11&lt;&gt;"."),s_dir!AN11/((1/1000)*(s_Irr!M11+s_Irr!BK11)),IF(AND(s_Irr!M11=".",s_Irr!AL11&lt;&gt;".",s_Irr!BK11&lt;&gt;"."),s_dir!AN11/((1/1000)*(s_Irr!AL11+s_Irr!BK11)),IF(AND(s_Irr!M11=".",s_Irr!AL11=".",s_Irr!BK11&lt;&gt;"."),s_dir!AN11/((1/1000)*(s_Irr!BK11)),IF(AND(s_Irr!M11=".",s_Irr!AL11&lt;&gt;".",s_Irr!BK11="."),s_dir!AN11/((1/1000)*(s_Irr!AL11)),IF(AND(s_Irr!M11&lt;&gt;".",s_Irr!AL11=".",s_Irr!BK11="."),s_dir!AN11/((1/1000)*(s_Irr!M11)),IF(AND(s_Irr!M11=".",s_Irr!AL11=".",s_Irr!BK11="."),s_dir!AN11*1000)))))))),".")</f>
        <v>.</v>
      </c>
      <c r="BO11" s="70" t="str">
        <f>IFERROR(IF(AND(s_Irr!N11&lt;&gt;".",s_Irr!AM11&lt;&gt;".",s_Irr!BL11&lt;&gt;"."),s_dir!AO11/((1/1000)*(s_Irr!N11+s_Irr!AM11+s_Irr!BL11)),IF(AND(s_Irr!N11&lt;&gt;".",s_Irr!AM11&lt;&gt;".",s_Irr!BL11="."),s_dir!AO11/((1/1000)*(s_Irr!N11+s_Irr!AM11)),IF(AND(s_Irr!N11&lt;&gt;".",s_Irr!AM11=".",s_Irr!BL11&lt;&gt;"."),s_dir!AO11/((1/1000)*(s_Irr!N11+s_Irr!BL11)),IF(AND(s_Irr!N11=".",s_Irr!AM11&lt;&gt;".",s_Irr!BL11&lt;&gt;"."),s_dir!AO11/((1/1000)*(s_Irr!AM11+s_Irr!BL11)),IF(AND(s_Irr!N11=".",s_Irr!AM11=".",s_Irr!BL11&lt;&gt;"."),s_dir!AO11/((1/1000)*(s_Irr!BL11)),IF(AND(s_Irr!N11=".",s_Irr!AM11&lt;&gt;".",s_Irr!BL11="."),s_dir!AO11/((1/1000)*(s_Irr!AM11)),IF(AND(s_Irr!N11&lt;&gt;".",s_Irr!AM11=".",s_Irr!BL11="."),s_dir!AO11/((1/1000)*(s_Irr!N11)),IF(AND(s_Irr!N11=".",s_Irr!AM11=".",s_Irr!BL11="."),s_dir!AO11*1000)))))))),".")</f>
        <v>.</v>
      </c>
      <c r="BP11" s="70" t="str">
        <f>IFERROR(IF(AND(s_Irr!O11&lt;&gt;".",s_Irr!AN11&lt;&gt;".",s_Irr!BM11&lt;&gt;"."),s_dir!AP11/((1/1000)*(s_Irr!O11+s_Irr!AN11+s_Irr!BM11)),IF(AND(s_Irr!O11&lt;&gt;".",s_Irr!AN11&lt;&gt;".",s_Irr!BM11="."),s_dir!AP11/((1/1000)*(s_Irr!O11+s_Irr!AN11)),IF(AND(s_Irr!O11&lt;&gt;".",s_Irr!AN11=".",s_Irr!BM11&lt;&gt;"."),s_dir!AP11/((1/1000)*(s_Irr!O11+s_Irr!BM11)),IF(AND(s_Irr!O11=".",s_Irr!AN11&lt;&gt;".",s_Irr!BM11&lt;&gt;"."),s_dir!AP11/((1/1000)*(s_Irr!AN11+s_Irr!BM11)),IF(AND(s_Irr!O11=".",s_Irr!AN11=".",s_Irr!BM11&lt;&gt;"."),s_dir!AP11/((1/1000)*(s_Irr!BM11)),IF(AND(s_Irr!O11=".",s_Irr!AN11&lt;&gt;".",s_Irr!BM11="."),s_dir!AP11/((1/1000)*(s_Irr!AN11)),IF(AND(s_Irr!O11&lt;&gt;".",s_Irr!AN11=".",s_Irr!BM11="."),s_dir!AP11/((1/1000)*(s_Irr!O11)),IF(AND(s_Irr!O11=".",s_Irr!AN11=".",s_Irr!BM11="."),s_dir!AP11*1000)))))))),".")</f>
        <v>.</v>
      </c>
      <c r="BQ11" s="70" t="str">
        <f>IFERROR(IF(AND(s_Irr!P11&lt;&gt;".",s_Irr!AO11&lt;&gt;".",s_Irr!BN11&lt;&gt;"."),s_dir!AQ11/((1/1000)*(s_Irr!P11+s_Irr!AO11+s_Irr!BN11)),IF(AND(s_Irr!P11&lt;&gt;".",s_Irr!AO11&lt;&gt;".",s_Irr!BN11="."),s_dir!AQ11/((1/1000)*(s_Irr!P11+s_Irr!AO11)),IF(AND(s_Irr!P11&lt;&gt;".",s_Irr!AO11=".",s_Irr!BN11&lt;&gt;"."),s_dir!AQ11/((1/1000)*(s_Irr!P11+s_Irr!BN11)),IF(AND(s_Irr!P11=".",s_Irr!AO11&lt;&gt;".",s_Irr!BN11&lt;&gt;"."),s_dir!AQ11/((1/1000)*(s_Irr!AO11+s_Irr!BN11)),IF(AND(s_Irr!P11=".",s_Irr!AO11=".",s_Irr!BN11&lt;&gt;"."),s_dir!AQ11/((1/1000)*(s_Irr!BN11)),IF(AND(s_Irr!P11=".",s_Irr!AO11&lt;&gt;".",s_Irr!BN11="."),s_dir!AQ11/((1/1000)*(s_Irr!AO11)),IF(AND(s_Irr!P11&lt;&gt;".",s_Irr!AO11=".",s_Irr!BN11="."),s_dir!AQ11/((1/1000)*(s_Irr!P11)),IF(AND(s_Irr!P11=".",s_Irr!AO11=".",s_Irr!BN11="."),s_dir!AQ11*1000)))))))),".")</f>
        <v>.</v>
      </c>
      <c r="BR11" s="70" t="str">
        <f>IFERROR(IF(AND(s_Irr!Q11&lt;&gt;".",s_Irr!AP11&lt;&gt;".",s_Irr!BO11&lt;&gt;"."),s_dir!AR11/((1/1000)*(s_Irr!Q11+s_Irr!AP11+s_Irr!BO11)),IF(AND(s_Irr!Q11&lt;&gt;".",s_Irr!AP11&lt;&gt;".",s_Irr!BO11="."),s_dir!AR11/((1/1000)*(s_Irr!Q11+s_Irr!AP11)),IF(AND(s_Irr!Q11&lt;&gt;".",s_Irr!AP11=".",s_Irr!BO11&lt;&gt;"."),s_dir!AR11/((1/1000)*(s_Irr!Q11+s_Irr!BO11)),IF(AND(s_Irr!Q11=".",s_Irr!AP11&lt;&gt;".",s_Irr!BO11&lt;&gt;"."),s_dir!AR11/((1/1000)*(s_Irr!AP11+s_Irr!BO11)),IF(AND(s_Irr!Q11=".",s_Irr!AP11=".",s_Irr!BO11&lt;&gt;"."),s_dir!AR11/((1/1000)*(s_Irr!BO11)),IF(AND(s_Irr!Q11=".",s_Irr!AP11&lt;&gt;".",s_Irr!BO11="."),s_dir!AR11/((1/1000)*(s_Irr!AP11)),IF(AND(s_Irr!Q11&lt;&gt;".",s_Irr!AP11=".",s_Irr!BO11="."),s_dir!AR11/((1/1000)*(s_Irr!Q11)),IF(AND(s_Irr!Q11=".",s_Irr!AP11=".",s_Irr!BO11="."),s_dir!AR11*1000)))))))),".")</f>
        <v>.</v>
      </c>
      <c r="BS11" s="70" t="str">
        <f>IFERROR(IF(AND(s_Irr!R11&lt;&gt;".",s_Irr!AQ11&lt;&gt;".",s_Irr!BP11&lt;&gt;"."),s_dir!AS11/((1/1000)*(s_Irr!R11+s_Irr!AQ11+s_Irr!BP11)),IF(AND(s_Irr!R11&lt;&gt;".",s_Irr!AQ11&lt;&gt;".",s_Irr!BP11="."),s_dir!AS11/((1/1000)*(s_Irr!R11+s_Irr!AQ11)),IF(AND(s_Irr!R11&lt;&gt;".",s_Irr!AQ11=".",s_Irr!BP11&lt;&gt;"."),s_dir!AS11/((1/1000)*(s_Irr!R11+s_Irr!BP11)),IF(AND(s_Irr!R11=".",s_Irr!AQ11&lt;&gt;".",s_Irr!BP11&lt;&gt;"."),s_dir!AS11/((1/1000)*(s_Irr!AQ11+s_Irr!BP11)),IF(AND(s_Irr!R11=".",s_Irr!AQ11=".",s_Irr!BP11&lt;&gt;"."),s_dir!AS11/((1/1000)*(s_Irr!BP11)),IF(AND(s_Irr!R11=".",s_Irr!AQ11&lt;&gt;".",s_Irr!BP11="."),s_dir!AS11/((1/1000)*(s_Irr!AQ11)),IF(AND(s_Irr!R11&lt;&gt;".",s_Irr!AQ11=".",s_Irr!BP11="."),s_dir!AS11/((1/1000)*(s_Irr!R11)),IF(AND(s_Irr!R11=".",s_Irr!AQ11=".",s_Irr!BP11="."),s_dir!AS11*1000)))))))),".")</f>
        <v>.</v>
      </c>
      <c r="BT11" s="70" t="str">
        <f>IFERROR(IF(AND(s_Irr!S11&lt;&gt;".",s_Irr!AR11&lt;&gt;".",s_Irr!BQ11&lt;&gt;"."),s_dir!AT11/((1/1000)*(s_Irr!S11+s_Irr!AR11+s_Irr!BQ11)),IF(AND(s_Irr!S11&lt;&gt;".",s_Irr!AR11&lt;&gt;".",s_Irr!BQ11="."),s_dir!AT11/((1/1000)*(s_Irr!S11+s_Irr!AR11)),IF(AND(s_Irr!S11&lt;&gt;".",s_Irr!AR11=".",s_Irr!BQ11&lt;&gt;"."),s_dir!AT11/((1/1000)*(s_Irr!S11+s_Irr!BQ11)),IF(AND(s_Irr!S11=".",s_Irr!AR11&lt;&gt;".",s_Irr!BQ11&lt;&gt;"."),s_dir!AT11/((1/1000)*(s_Irr!AR11+s_Irr!BQ11)),IF(AND(s_Irr!S11=".",s_Irr!AR11=".",s_Irr!BQ11&lt;&gt;"."),s_dir!AT11/((1/1000)*(s_Irr!BQ11)),IF(AND(s_Irr!S11=".",s_Irr!AR11&lt;&gt;".",s_Irr!BQ11="."),s_dir!AT11/((1/1000)*(s_Irr!AR11)),IF(AND(s_Irr!S11&lt;&gt;".",s_Irr!AR11=".",s_Irr!BQ11="."),s_dir!AT11/((1/1000)*(s_Irr!S11)),IF(AND(s_Irr!S11=".",s_Irr!AR11=".",s_Irr!BQ11="."),s_dir!AT11*1000)))))))),".")</f>
        <v>.</v>
      </c>
      <c r="BU11" s="70" t="str">
        <f>IFERROR(IF(AND(s_Irr!T11&lt;&gt;".",s_Irr!AS11&lt;&gt;".",s_Irr!BR11&lt;&gt;"."),s_dir!AU11/((1/1000)*(s_Irr!T11+s_Irr!AS11+s_Irr!BR11)),IF(AND(s_Irr!T11&lt;&gt;".",s_Irr!AS11&lt;&gt;".",s_Irr!BR11="."),s_dir!AU11/((1/1000)*(s_Irr!T11+s_Irr!AS11)),IF(AND(s_Irr!T11&lt;&gt;".",s_Irr!AS11=".",s_Irr!BR11&lt;&gt;"."),s_dir!AU11/((1/1000)*(s_Irr!T11+s_Irr!BR11)),IF(AND(s_Irr!T11=".",s_Irr!AS11&lt;&gt;".",s_Irr!BR11&lt;&gt;"."),s_dir!AU11/((1/1000)*(s_Irr!AS11+s_Irr!BR11)),IF(AND(s_Irr!T11=".",s_Irr!AS11=".",s_Irr!BR11&lt;&gt;"."),s_dir!AU11/((1/1000)*(s_Irr!BR11)),IF(AND(s_Irr!T11=".",s_Irr!AS11&lt;&gt;".",s_Irr!BR11="."),s_dir!AU11/((1/1000)*(s_Irr!AS11)),IF(AND(s_Irr!T11&lt;&gt;".",s_Irr!AS11=".",s_Irr!BR11="."),s_dir!AU11/((1/1000)*(s_Irr!T11)),IF(AND(s_Irr!T11=".",s_Irr!AS11=".",s_Irr!BR11="."),s_dir!AU11*1000)))))))),".")</f>
        <v>.</v>
      </c>
      <c r="BV11" s="70" t="str">
        <f>IFERROR(IF(AND(s_Irr!U11&lt;&gt;".",s_Irr!AT11&lt;&gt;".",s_Irr!BS11&lt;&gt;"."),s_dir!AV11/((1/1000)*(s_Irr!U11+s_Irr!AT11+s_Irr!BS11)),IF(AND(s_Irr!U11&lt;&gt;".",s_Irr!AT11&lt;&gt;".",s_Irr!BS11="."),s_dir!AV11/((1/1000)*(s_Irr!U11+s_Irr!AT11)),IF(AND(s_Irr!U11&lt;&gt;".",s_Irr!AT11=".",s_Irr!BS11&lt;&gt;"."),s_dir!AV11/((1/1000)*(s_Irr!U11+s_Irr!BS11)),IF(AND(s_Irr!U11=".",s_Irr!AT11&lt;&gt;".",s_Irr!BS11&lt;&gt;"."),s_dir!AV11/((1/1000)*(s_Irr!AT11+s_Irr!BS11)),IF(AND(s_Irr!U11=".",s_Irr!AT11=".",s_Irr!BS11&lt;&gt;"."),s_dir!AV11/((1/1000)*(s_Irr!BS11)),IF(AND(s_Irr!U11=".",s_Irr!AT11&lt;&gt;".",s_Irr!BS11="."),s_dir!AV11/((1/1000)*(s_Irr!AT11)),IF(AND(s_Irr!U11&lt;&gt;".",s_Irr!AT11=".",s_Irr!BS11="."),s_dir!AV11/((1/1000)*(s_Irr!U11)),IF(AND(s_Irr!U11=".",s_Irr!AT11=".",s_Irr!BS11="."),s_dir!AV11*1000)))))))),".")</f>
        <v>.</v>
      </c>
      <c r="BW11" s="70" t="str">
        <f>IFERROR(IF(AND(s_Irr!V11&lt;&gt;".",s_Irr!AU11&lt;&gt;".",s_Irr!BT11&lt;&gt;"."),s_dir!AW11/((1/1000)*(s_Irr!V11+s_Irr!AU11+s_Irr!BT11)),IF(AND(s_Irr!V11&lt;&gt;".",s_Irr!AU11&lt;&gt;".",s_Irr!BT11="."),s_dir!AW11/((1/1000)*(s_Irr!V11+s_Irr!AU11)),IF(AND(s_Irr!V11&lt;&gt;".",s_Irr!AU11=".",s_Irr!BT11&lt;&gt;"."),s_dir!AW11/((1/1000)*(s_Irr!V11+s_Irr!BT11)),IF(AND(s_Irr!V11=".",s_Irr!AU11&lt;&gt;".",s_Irr!BT11&lt;&gt;"."),s_dir!AW11/((1/1000)*(s_Irr!AU11+s_Irr!BT11)),IF(AND(s_Irr!V11=".",s_Irr!AU11=".",s_Irr!BT11&lt;&gt;"."),s_dir!AW11/((1/1000)*(s_Irr!BT11)),IF(AND(s_Irr!V11=".",s_Irr!AU11&lt;&gt;".",s_Irr!BT11="."),s_dir!AW11/((1/1000)*(s_Irr!AU11)),IF(AND(s_Irr!V11&lt;&gt;".",s_Irr!AU11=".",s_Irr!BT11="."),s_dir!AW11/((1/1000)*(s_Irr!V11)),IF(AND(s_Irr!V11=".",s_Irr!AU11=".",s_Irr!BT11="."),s_dir!AW11*1000)))))))),".")</f>
        <v>.</v>
      </c>
      <c r="BX11" s="70" t="str">
        <f>IFERROR(IF(AND(s_Irr!W11&lt;&gt;".",s_Irr!AV11&lt;&gt;".",s_Irr!BU11&lt;&gt;"."),s_dir!AX11/((1/1000)*(s_Irr!W11+s_Irr!AV11+s_Irr!BU11)),IF(AND(s_Irr!W11&lt;&gt;".",s_Irr!AV11&lt;&gt;".",s_Irr!BU11="."),s_dir!AX11/((1/1000)*(s_Irr!W11+s_Irr!AV11)),IF(AND(s_Irr!W11&lt;&gt;".",s_Irr!AV11=".",s_Irr!BU11&lt;&gt;"."),s_dir!AX11/((1/1000)*(s_Irr!W11+s_Irr!BU11)),IF(AND(s_Irr!W11=".",s_Irr!AV11&lt;&gt;".",s_Irr!BU11&lt;&gt;"."),s_dir!AX11/((1/1000)*(s_Irr!AV11+s_Irr!BU11)),IF(AND(s_Irr!W11=".",s_Irr!AV11=".",s_Irr!BU11&lt;&gt;"."),s_dir!AX11/((1/1000)*(s_Irr!BU11)),IF(AND(s_Irr!W11=".",s_Irr!AV11&lt;&gt;".",s_Irr!BU11="."),s_dir!AX11/((1/1000)*(s_Irr!AV11)),IF(AND(s_Irr!W11&lt;&gt;".",s_Irr!AV11=".",s_Irr!BU11="."),s_dir!AX11/((1/1000)*(s_Irr!W11)),IF(AND(s_Irr!W11=".",s_Irr!AV11=".",s_Irr!BU11="."),s_dir!AX11*1000)))))))),".")</f>
        <v>.</v>
      </c>
      <c r="BY11" s="70" t="str">
        <f>IFERROR(IF(AND(s_Irr!X11&lt;&gt;".",s_Irr!AW11&lt;&gt;".",s_Irr!BV11&lt;&gt;"."),s_dir!AY11/((1/1000)*(s_Irr!X11+s_Irr!AW11+s_Irr!BV11)),IF(AND(s_Irr!X11&lt;&gt;".",s_Irr!AW11&lt;&gt;".",s_Irr!BV11="."),s_dir!AY11/((1/1000)*(s_Irr!X11+s_Irr!AW11)),IF(AND(s_Irr!X11&lt;&gt;".",s_Irr!AW11=".",s_Irr!BV11&lt;&gt;"."),s_dir!AY11/((1/1000)*(s_Irr!X11+s_Irr!BV11)),IF(AND(s_Irr!X11=".",s_Irr!AW11&lt;&gt;".",s_Irr!BV11&lt;&gt;"."),s_dir!AY11/((1/1000)*(s_Irr!AW11+s_Irr!BV11)),IF(AND(s_Irr!X11=".",s_Irr!AW11=".",s_Irr!BV11&lt;&gt;"."),s_dir!AY11/((1/1000)*(s_Irr!BV11)),IF(AND(s_Irr!X11=".",s_Irr!AW11&lt;&gt;".",s_Irr!BV11="."),s_dir!AY11/((1/1000)*(s_Irr!AW11)),IF(AND(s_Irr!X11&lt;&gt;".",s_Irr!AW11=".",s_Irr!BV11="."),s_dir!AY11/((1/1000)*(s_Irr!X11)),IF(AND(s_Irr!X11=".",s_Irr!AW11=".",s_Irr!BV11="."),s_dir!AY11*1000)))))))),".")</f>
        <v>.</v>
      </c>
      <c r="BZ11" s="70" t="str">
        <f>IFERROR(IF(AND(s_Irr!Y11&lt;&gt;".",s_Irr!AX11&lt;&gt;".",s_Irr!BW11&lt;&gt;"."),s_dir!AZ11/((1/1000)*(s_Irr!Y11+s_Irr!AX11+s_Irr!BW11)),IF(AND(s_Irr!Y11&lt;&gt;".",s_Irr!AX11&lt;&gt;".",s_Irr!BW11="."),s_dir!AZ11/((1/1000)*(s_Irr!Y11+s_Irr!AX11)),IF(AND(s_Irr!Y11&lt;&gt;".",s_Irr!AX11=".",s_Irr!BW11&lt;&gt;"."),s_dir!AZ11/((1/1000)*(s_Irr!Y11+s_Irr!BW11)),IF(AND(s_Irr!Y11=".",s_Irr!AX11&lt;&gt;".",s_Irr!BW11&lt;&gt;"."),s_dir!AZ11/((1/1000)*(s_Irr!AX11+s_Irr!BW11)),IF(AND(s_Irr!Y11=".",s_Irr!AX11=".",s_Irr!BW11&lt;&gt;"."),s_dir!AZ11/((1/1000)*(s_Irr!BW11)),IF(AND(s_Irr!Y11=".",s_Irr!AX11&lt;&gt;".",s_Irr!BW11="."),s_dir!AZ11/((1/1000)*(s_Irr!AX11)),IF(AND(s_Irr!Y11&lt;&gt;".",s_Irr!AX11=".",s_Irr!BW11="."),s_dir!AZ11/((1/1000)*(s_Irr!Y11)),IF(AND(s_Irr!Y11=".",s_Irr!AX11=".",s_Irr!BW11="."),s_dir!AZ11*1000)))))))),".")</f>
        <v>.</v>
      </c>
      <c r="CA11" s="70" t="str">
        <f>IFERROR(IF(AND(s_Irr!Z11&lt;&gt;".",s_Irr!AY11&lt;&gt;".",s_Irr!BX11&lt;&gt;"."),s_dir!BA11/((1/1000)*(s_Irr!Z11+s_Irr!AY11+s_Irr!BX11)),IF(AND(s_Irr!Z11&lt;&gt;".",s_Irr!AY11&lt;&gt;".",s_Irr!BX11="."),s_dir!BA11/((1/1000)*(s_Irr!Z11+s_Irr!AY11)),IF(AND(s_Irr!Z11&lt;&gt;".",s_Irr!AY11=".",s_Irr!BX11&lt;&gt;"."),s_dir!BA11/((1/1000)*(s_Irr!Z11+s_Irr!BX11)),IF(AND(s_Irr!Z11=".",s_Irr!AY11&lt;&gt;".",s_Irr!BX11&lt;&gt;"."),s_dir!BA11/((1/1000)*(s_Irr!AY11+s_Irr!BX11)),IF(AND(s_Irr!Z11=".",s_Irr!AY11=".",s_Irr!BX11&lt;&gt;"."),s_dir!BA11/((1/1000)*(s_Irr!BX11)),IF(AND(s_Irr!Z11=".",s_Irr!AY11&lt;&gt;".",s_Irr!BX11="."),s_dir!BA11/((1/1000)*(s_Irr!AY11)),IF(AND(s_Irr!Z11&lt;&gt;".",s_Irr!AY11=".",s_Irr!BX11="."),s_dir!BA11/((1/1000)*(s_Irr!Z11)),IF(AND(s_Irr!Z11=".",s_Irr!AY11=".",s_Irr!BX11="."),s_dir!BA11*1000)))))))),".")</f>
        <v>.</v>
      </c>
      <c r="CB11" s="70" t="str">
        <f>IFERROR(IF(AND(s_Irr!AA11&lt;&gt;".",s_Irr!AZ11&lt;&gt;".",s_Irr!BY11&lt;&gt;"."),s_dir!BB11/((1/1000)*(s_Irr!AA11+s_Irr!AZ11+s_Irr!BY11)),IF(AND(s_Irr!AA11&lt;&gt;".",s_Irr!AZ11&lt;&gt;".",s_Irr!BY11="."),s_dir!BB11/((1/1000)*(s_Irr!AA11+s_Irr!AZ11)),IF(AND(s_Irr!AA11&lt;&gt;".",s_Irr!AZ11=".",s_Irr!BY11&lt;&gt;"."),s_dir!BB11/((1/1000)*(s_Irr!AA11+s_Irr!BY11)),IF(AND(s_Irr!AA11=".",s_Irr!AZ11&lt;&gt;".",s_Irr!BY11&lt;&gt;"."),s_dir!BB11/((1/1000)*(s_Irr!AZ11+s_Irr!BY11)),IF(AND(s_Irr!AA11=".",s_Irr!AZ11=".",s_Irr!BY11&lt;&gt;"."),s_dir!BB11/((1/1000)*(s_Irr!BY11)),IF(AND(s_Irr!AA11=".",s_Irr!AZ11&lt;&gt;".",s_Irr!BY11="."),s_dir!BB11/((1/1000)*(s_Irr!AZ11)),IF(AND(s_Irr!AA11&lt;&gt;".",s_Irr!AZ11=".",s_Irr!BY11="."),s_dir!BB11/((1/1000)*(s_Irr!AA11)),IF(AND(s_Irr!AA11=".",s_Irr!AZ11=".",s_Irr!BY11="."),s_dir!BB11*1000)))))))),".")</f>
        <v>.</v>
      </c>
      <c r="CC11" s="87">
        <f t="shared" si="2"/>
        <v>534.14934881726708</v>
      </c>
      <c r="CD11" s="87">
        <f>IFERROR(s_C*s_IFAP_far_adj*s_CF_apple*(1/1000)*(s_Irr!C11+s_Irr!AB11+s_Irr!BA11),".")</f>
        <v>133.53733720431677</v>
      </c>
      <c r="CE11" s="87">
        <f>IFERROR(s_C*s_IFAS_far_adj*s_CF_asparagus*(1/1000)*(s_Irr!D11+s_Irr!AC11+s_Irr!BB11),".")</f>
        <v>133.53733720431677</v>
      </c>
      <c r="CF11" s="87">
        <f>IFERROR(s_C*s_IFBT_far_adj*s_CF_beet*(1/1000)*(s_Irr!E11+s_Irr!AD11+s_Irr!BC11),".")</f>
        <v>133.53733720431677</v>
      </c>
      <c r="CG11" s="87">
        <f>IFERROR(s_C*s_IFBE_far_adj*s_CF_berries*(1/1000)*(s_Irr!F11+s_Irr!AE11+s_Irr!BD11),".")</f>
        <v>133.53733720431677</v>
      </c>
      <c r="CH11" s="87">
        <f>IFERROR(s_C*s_IFBR_far_adj*s_CF_broccoli*(1/1000)*(s_Irr!G11+s_Irr!AF11+s_Irr!BE11),".")</f>
        <v>133.53733720431677</v>
      </c>
      <c r="CI11" s="87">
        <f>IFERROR(s_C*s_IFCB_far_adj*s_CF_cabbage*(1/1000)*(s_Irr!H11+s_Irr!AG11+s_Irr!BF11),".")</f>
        <v>133.53733720431677</v>
      </c>
      <c r="CJ11" s="87">
        <f>IFERROR(s_C*s_IFCR_far_adj*s_CF_carrot*(1/1000)*(s_Irr!I11+s_Irr!AH11+s_Irr!BG11),".")</f>
        <v>133.53733720431677</v>
      </c>
      <c r="CK11" s="87">
        <f>IFERROR(s_C*s_IFCI_far_adj*s_CF_citrus*(1/1000)*(s_Irr!J11+s_Irr!AI11+s_Irr!BH11),".")</f>
        <v>133.53733720431677</v>
      </c>
      <c r="CL11" s="87">
        <f>IFERROR(s_C*s_IFCO_far_adj*s_CF_corn*(1/1000)*(s_Irr!K11+s_Irr!AJ11+s_Irr!BI11),".")</f>
        <v>133.53733720431677</v>
      </c>
      <c r="CM11" s="87">
        <f>IFERROR(s_C*s_IFCU_far_adj*s_CF_cucumber*(1/1000)*(s_Irr!L11+s_Irr!AK11+s_Irr!BJ11),".")</f>
        <v>133.53733720431677</v>
      </c>
      <c r="CN11" s="87">
        <f>IFERROR(s_C*s_IFLE_far_adj*s_CF_lettuce*(1/1000)*(s_Irr!M11+s_Irr!AL11+s_Irr!BK11),".")</f>
        <v>133.53733720431677</v>
      </c>
      <c r="CO11" s="87">
        <f>IFERROR(s_C*s_IFLI_far_adj*s_CF_lima_bean*(1/1000)*(s_Irr!N11+s_Irr!AM11+s_Irr!BL11),".")</f>
        <v>133.53733720431677</v>
      </c>
      <c r="CP11" s="87">
        <f>IFERROR(s_C*s_IFOK_far_adj*s_CF_okra*(1/1000)*(s_Irr!O11+s_Irr!AN11+s_Irr!BM11),".")</f>
        <v>133.53733720431677</v>
      </c>
      <c r="CQ11" s="87">
        <f>IFERROR(s_C*s_IFON_far_adj*s_CF_onion*(1/1000)*(s_Irr!P11+s_Irr!AO11+s_Irr!BN11),".")</f>
        <v>133.53733720431677</v>
      </c>
      <c r="CR11" s="87">
        <f>IFERROR(s_C*s_IFPC_far_adj*s_CF_peach*(1/1000)*(s_Irr!Q11+s_Irr!AP11+s_Irr!BO11),".")</f>
        <v>133.53733720431677</v>
      </c>
      <c r="CS11" s="87">
        <f>IFERROR(s_C*s_IFPR_far_adj*s_CF_pear*(1/1000)*(s_Irr!R11+s_Irr!AQ11+s_Irr!BP11),".")</f>
        <v>133.53733720431677</v>
      </c>
      <c r="CT11" s="87">
        <f>IFERROR(s_C*s_IFPE_far_adj*s_CF_peas*(1/1000)*(s_Irr!S11+s_Irr!AR11+s_Irr!BQ11),".")</f>
        <v>133.53733720431677</v>
      </c>
      <c r="CU11" s="87">
        <f>IFERROR(s_C*s_IFPP_far_adj*s_CF_peppers*(1/1000)*(s_Irr!T11+s_Irr!AS11+s_Irr!BR11),".")</f>
        <v>133.53733720431677</v>
      </c>
      <c r="CV11" s="87">
        <f>IFERROR(s_C*s_IFPT_far_adj*s_CF_potato*(1/1000)*(s_Irr!U11+s_Irr!AT11+s_Irr!BS11),".")</f>
        <v>133.53733720431677</v>
      </c>
      <c r="CW11" s="87">
        <f>IFERROR(s_C*s_IFPU_far_adj*s_CF_pumpkin*(1/1000)*(s_Irr!V11+s_Irr!AU11+s_Irr!BT11),".")</f>
        <v>133.53733720431677</v>
      </c>
      <c r="CX11" s="87">
        <f>IFERROR(s_C*s_IFSN_far_adj*s_CF_snap_bean*(1/1000)*(s_Irr!W11+s_Irr!AV11+s_Irr!BU11),".")</f>
        <v>133.53733720431677</v>
      </c>
      <c r="CY11" s="87">
        <f>IFERROR(s_C*s_IFST_far_adj*s_CF_strawberry*(1/1000)*(s_Irr!X11+s_Irr!AW11+s_Irr!BV11),".")</f>
        <v>133.53733720431677</v>
      </c>
      <c r="CZ11" s="87">
        <f>IFERROR(s_C*s_IFTO_far_adj*s_CF_tomato*(1/1000)*(s_Irr!Y11+s_Irr!AX11+s_Irr!BW11),".")</f>
        <v>133.53733720431677</v>
      </c>
      <c r="DA11" s="87">
        <f>IFERROR(s_C*s_IFRI_far_adj*s_CF_rice*(1/1000)*(s_Irr!Z11+s_Irr!AY11+s_Irr!BX11),".")</f>
        <v>133.53733720431677</v>
      </c>
      <c r="DB11" s="87">
        <f>IFERROR(s_C*s_IFCG_far_adj*s_CF_cereal*(1/1000)*(s_Irr!AA11+s_Irr!AZ11+s_Irr!BY11),".")</f>
        <v>133.53733720431677</v>
      </c>
    </row>
    <row r="12" spans="1:106" ht="15" customHeight="1" x14ac:dyDescent="0.25">
      <c r="A12" s="86" t="s">
        <v>10</v>
      </c>
      <c r="B12" s="84" t="s">
        <v>1057</v>
      </c>
      <c r="C12" s="15" t="str">
        <f t="shared" si="3"/>
        <v>.</v>
      </c>
      <c r="D12" s="70" t="str">
        <f>IFERROR(IF(AND(s_Irr!C12&lt;&gt;".",s_Irr!AB12&lt;&gt;".",s_Irr!BA12&lt;&gt;"."),s_dir!D12/((1/1000)*(s_Irr!C12+s_Irr!AB12+s_Irr!BA12)),IF(AND(s_Irr!C12&lt;&gt;".",s_Irr!AB12&lt;&gt;".",s_Irr!BA12="."),s_dir!D12/((1/1000)*(s_Irr!C12+s_Irr!AB12)),IF(AND(s_Irr!C12&lt;&gt;".",s_Irr!AB12=".",s_Irr!BA12&lt;&gt;"."),s_dir!D12/((1/1000)*(s_Irr!C12+s_Irr!BA12)),IF(AND(s_Irr!C12=".",s_Irr!AB12&lt;&gt;".",s_Irr!BA12&lt;&gt;"."),s_dir!D12/((1/1000)*(s_Irr!AB12+s_Irr!BA12)),IF(AND(s_Irr!C12=".",s_Irr!AB12=".",s_Irr!BA12&lt;&gt;"."),s_dir!D12/((1/1000)*(s_Irr!BA12)),IF(AND(s_Irr!C12=".",s_Irr!AB12&lt;&gt;".",s_Irr!BA12="."),s_dir!D12/((1/1000)*(s_Irr!AB12)),IF(AND(s_Irr!C12&lt;&gt;".",s_Irr!AB12=".",s_Irr!BA12="."),s_dir!D12/((1/1000)*(s_Irr!C12)),IF(AND(s_Irr!C12=".",s_Irr!AB12=".",s_Irr!BA12="."),s_dir!D12*1000)))))))),".")</f>
        <v>.</v>
      </c>
      <c r="E12" s="70" t="str">
        <f>IFERROR(IF(AND(s_Irr!D12&lt;&gt;".",s_Irr!AC12&lt;&gt;".",s_Irr!BB12&lt;&gt;"."),s_dir!E12/((1/1000)*(s_Irr!D12+s_Irr!AC12+s_Irr!BB12)),IF(AND(s_Irr!D12&lt;&gt;".",s_Irr!AC12&lt;&gt;".",s_Irr!BB12="."),s_dir!E12/((1/1000)*(s_Irr!D12+s_Irr!AC12)),IF(AND(s_Irr!D12&lt;&gt;".",s_Irr!AC12=".",s_Irr!BB12&lt;&gt;"."),s_dir!E12/((1/1000)*(s_Irr!D12+s_Irr!BB12)),IF(AND(s_Irr!D12=".",s_Irr!AC12&lt;&gt;".",s_Irr!BB12&lt;&gt;"."),s_dir!E12/((1/1000)*(s_Irr!AC12+s_Irr!BB12)),IF(AND(s_Irr!D12=".",s_Irr!AC12=".",s_Irr!BB12&lt;&gt;"."),s_dir!E12/((1/1000)*(s_Irr!BB12)),IF(AND(s_Irr!D12=".",s_Irr!AC12&lt;&gt;".",s_Irr!BB12="."),s_dir!E12/((1/1000)*(s_Irr!AC12)),IF(AND(s_Irr!D12&lt;&gt;".",s_Irr!AC12=".",s_Irr!BB12="."),s_dir!E12/((1/1000)*(s_Irr!D12)),IF(AND(s_Irr!D12=".",s_Irr!AC12=".",s_Irr!BB12="."),s_dir!E12*1000)))))))),".")</f>
        <v>.</v>
      </c>
      <c r="F12" s="70" t="str">
        <f>IFERROR(IF(AND(s_Irr!E12&lt;&gt;".",s_Irr!AD12&lt;&gt;".",s_Irr!BC12&lt;&gt;"."),s_dir!F12/((1/1000)*(s_Irr!E12+s_Irr!AD12+s_Irr!BC12)),IF(AND(s_Irr!E12&lt;&gt;".",s_Irr!AD12&lt;&gt;".",s_Irr!BC12="."),s_dir!F12/((1/1000)*(s_Irr!E12+s_Irr!AD12)),IF(AND(s_Irr!E12&lt;&gt;".",s_Irr!AD12=".",s_Irr!BC12&lt;&gt;"."),s_dir!F12/((1/1000)*(s_Irr!E12+s_Irr!BC12)),IF(AND(s_Irr!E12=".",s_Irr!AD12&lt;&gt;".",s_Irr!BC12&lt;&gt;"."),s_dir!F12/((1/1000)*(s_Irr!AD12+s_Irr!BC12)),IF(AND(s_Irr!E12=".",s_Irr!AD12=".",s_Irr!BC12&lt;&gt;"."),s_dir!F12/((1/1000)*(s_Irr!BC12)),IF(AND(s_Irr!E12=".",s_Irr!AD12&lt;&gt;".",s_Irr!BC12="."),s_dir!F12/((1/1000)*(s_Irr!AD12)),IF(AND(s_Irr!E12&lt;&gt;".",s_Irr!AD12=".",s_Irr!BC12="."),s_dir!F12/((1/1000)*(s_Irr!E12)),IF(AND(s_Irr!E12=".",s_Irr!AD12=".",s_Irr!BC12="."),s_dir!F12*1000)))))))),".")</f>
        <v>.</v>
      </c>
      <c r="G12" s="70" t="str">
        <f>IFERROR(IF(AND(s_Irr!F12&lt;&gt;".",s_Irr!AE12&lt;&gt;".",s_Irr!BD12&lt;&gt;"."),s_dir!G12/((1/1000)*(s_Irr!F12+s_Irr!AE12+s_Irr!BD12)),IF(AND(s_Irr!F12&lt;&gt;".",s_Irr!AE12&lt;&gt;".",s_Irr!BD12="."),s_dir!G12/((1/1000)*(s_Irr!F12+s_Irr!AE12)),IF(AND(s_Irr!F12&lt;&gt;".",s_Irr!AE12=".",s_Irr!BD12&lt;&gt;"."),s_dir!G12/((1/1000)*(s_Irr!F12+s_Irr!BD12)),IF(AND(s_Irr!F12=".",s_Irr!AE12&lt;&gt;".",s_Irr!BD12&lt;&gt;"."),s_dir!G12/((1/1000)*(s_Irr!AE12+s_Irr!BD12)),IF(AND(s_Irr!F12=".",s_Irr!AE12=".",s_Irr!BD12&lt;&gt;"."),s_dir!G12/((1/1000)*(s_Irr!BD12)),IF(AND(s_Irr!F12=".",s_Irr!AE12&lt;&gt;".",s_Irr!BD12="."),s_dir!G12/((1/1000)*(s_Irr!AE12)),IF(AND(s_Irr!F12&lt;&gt;".",s_Irr!AE12=".",s_Irr!BD12="."),s_dir!G12/((1/1000)*(s_Irr!F12)),IF(AND(s_Irr!F12=".",s_Irr!AE12=".",s_Irr!BD12="."),s_dir!G12*1000)))))))),".")</f>
        <v>.</v>
      </c>
      <c r="H12" s="70" t="str">
        <f>IFERROR(IF(AND(s_Irr!G12&lt;&gt;".",s_Irr!AF12&lt;&gt;".",s_Irr!BE12&lt;&gt;"."),s_dir!H12/((1/1000)*(s_Irr!G12+s_Irr!AF12+s_Irr!BE12)),IF(AND(s_Irr!G12&lt;&gt;".",s_Irr!AF12&lt;&gt;".",s_Irr!BE12="."),s_dir!H12/((1/1000)*(s_Irr!G12+s_Irr!AF12)),IF(AND(s_Irr!G12&lt;&gt;".",s_Irr!AF12=".",s_Irr!BE12&lt;&gt;"."),s_dir!H12/((1/1000)*(s_Irr!G12+s_Irr!BE12)),IF(AND(s_Irr!G12=".",s_Irr!AF12&lt;&gt;".",s_Irr!BE12&lt;&gt;"."),s_dir!H12/((1/1000)*(s_Irr!AF12+s_Irr!BE12)),IF(AND(s_Irr!G12=".",s_Irr!AF12=".",s_Irr!BE12&lt;&gt;"."),s_dir!H12/((1/1000)*(s_Irr!BE12)),IF(AND(s_Irr!G12=".",s_Irr!AF12&lt;&gt;".",s_Irr!BE12="."),s_dir!H12/((1/1000)*(s_Irr!AF12)),IF(AND(s_Irr!G12&lt;&gt;".",s_Irr!AF12=".",s_Irr!BE12="."),s_dir!H12/((1/1000)*(s_Irr!G12)),IF(AND(s_Irr!G12=".",s_Irr!AF12=".",s_Irr!BE12="."),s_dir!H12*1000)))))))),".")</f>
        <v>.</v>
      </c>
      <c r="I12" s="70" t="str">
        <f>IFERROR(IF(AND(s_Irr!H12&lt;&gt;".",s_Irr!AG12&lt;&gt;".",s_Irr!BF12&lt;&gt;"."),s_dir!I12/((1/1000)*(s_Irr!H12+s_Irr!AG12+s_Irr!BF12)),IF(AND(s_Irr!H12&lt;&gt;".",s_Irr!AG12&lt;&gt;".",s_Irr!BF12="."),s_dir!I12/((1/1000)*(s_Irr!H12+s_Irr!AG12)),IF(AND(s_Irr!H12&lt;&gt;".",s_Irr!AG12=".",s_Irr!BF12&lt;&gt;"."),s_dir!I12/((1/1000)*(s_Irr!H12+s_Irr!BF12)),IF(AND(s_Irr!H12=".",s_Irr!AG12&lt;&gt;".",s_Irr!BF12&lt;&gt;"."),s_dir!I12/((1/1000)*(s_Irr!AG12+s_Irr!BF12)),IF(AND(s_Irr!H12=".",s_Irr!AG12=".",s_Irr!BF12&lt;&gt;"."),s_dir!I12/((1/1000)*(s_Irr!BF12)),IF(AND(s_Irr!H12=".",s_Irr!AG12&lt;&gt;".",s_Irr!BF12="."),s_dir!I12/((1/1000)*(s_Irr!AG12)),IF(AND(s_Irr!H12&lt;&gt;".",s_Irr!AG12=".",s_Irr!BF12="."),s_dir!I12/((1/1000)*(s_Irr!H12)),IF(AND(s_Irr!H12=".",s_Irr!AG12=".",s_Irr!BF12="."),s_dir!I12*1000)))))))),".")</f>
        <v>.</v>
      </c>
      <c r="J12" s="70" t="str">
        <f>IFERROR(IF(AND(s_Irr!I12&lt;&gt;".",s_Irr!AH12&lt;&gt;".",s_Irr!BG12&lt;&gt;"."),s_dir!J12/((1/1000)*(s_Irr!I12+s_Irr!AH12+s_Irr!BG12)),IF(AND(s_Irr!I12&lt;&gt;".",s_Irr!AH12&lt;&gt;".",s_Irr!BG12="."),s_dir!J12/((1/1000)*(s_Irr!I12+s_Irr!AH12)),IF(AND(s_Irr!I12&lt;&gt;".",s_Irr!AH12=".",s_Irr!BG12&lt;&gt;"."),s_dir!J12/((1/1000)*(s_Irr!I12+s_Irr!BG12)),IF(AND(s_Irr!I12=".",s_Irr!AH12&lt;&gt;".",s_Irr!BG12&lt;&gt;"."),s_dir!J12/((1/1000)*(s_Irr!AH12+s_Irr!BG12)),IF(AND(s_Irr!I12=".",s_Irr!AH12=".",s_Irr!BG12&lt;&gt;"."),s_dir!J12/((1/1000)*(s_Irr!BG12)),IF(AND(s_Irr!I12=".",s_Irr!AH12&lt;&gt;".",s_Irr!BG12="."),s_dir!J12/((1/1000)*(s_Irr!AH12)),IF(AND(s_Irr!I12&lt;&gt;".",s_Irr!AH12=".",s_Irr!BG12="."),s_dir!J12/((1/1000)*(s_Irr!I12)),IF(AND(s_Irr!I12=".",s_Irr!AH12=".",s_Irr!BG12="."),s_dir!J12*1000)))))))),".")</f>
        <v>.</v>
      </c>
      <c r="K12" s="70" t="str">
        <f>IFERROR(IF(AND(s_Irr!J12&lt;&gt;".",s_Irr!AI12&lt;&gt;".",s_Irr!BH12&lt;&gt;"."),s_dir!K12/((1/1000)*(s_Irr!J12+s_Irr!AI12+s_Irr!BH12)),IF(AND(s_Irr!J12&lt;&gt;".",s_Irr!AI12&lt;&gt;".",s_Irr!BH12="."),s_dir!K12/((1/1000)*(s_Irr!J12+s_Irr!AI12)),IF(AND(s_Irr!J12&lt;&gt;".",s_Irr!AI12=".",s_Irr!BH12&lt;&gt;"."),s_dir!K12/((1/1000)*(s_Irr!J12+s_Irr!BH12)),IF(AND(s_Irr!J12=".",s_Irr!AI12&lt;&gt;".",s_Irr!BH12&lt;&gt;"."),s_dir!K12/((1/1000)*(s_Irr!AI12+s_Irr!BH12)),IF(AND(s_Irr!J12=".",s_Irr!AI12=".",s_Irr!BH12&lt;&gt;"."),s_dir!K12/((1/1000)*(s_Irr!BH12)),IF(AND(s_Irr!J12=".",s_Irr!AI12&lt;&gt;".",s_Irr!BH12="."),s_dir!K12/((1/1000)*(s_Irr!AI12)),IF(AND(s_Irr!J12&lt;&gt;".",s_Irr!AI12=".",s_Irr!BH12="."),s_dir!K12/((1/1000)*(s_Irr!J12)),IF(AND(s_Irr!J12=".",s_Irr!AI12=".",s_Irr!BH12="."),s_dir!K12*1000)))))))),".")</f>
        <v>.</v>
      </c>
      <c r="L12" s="70" t="str">
        <f>IFERROR(IF(AND(s_Irr!K12&lt;&gt;".",s_Irr!AJ12&lt;&gt;".",s_Irr!BI12&lt;&gt;"."),s_dir!L12/((1/1000)*(s_Irr!K12+s_Irr!AJ12+s_Irr!BI12)),IF(AND(s_Irr!K12&lt;&gt;".",s_Irr!AJ12&lt;&gt;".",s_Irr!BI12="."),s_dir!L12/((1/1000)*(s_Irr!K12+s_Irr!AJ12)),IF(AND(s_Irr!K12&lt;&gt;".",s_Irr!AJ12=".",s_Irr!BI12&lt;&gt;"."),s_dir!L12/((1/1000)*(s_Irr!K12+s_Irr!BI12)),IF(AND(s_Irr!K12=".",s_Irr!AJ12&lt;&gt;".",s_Irr!BI12&lt;&gt;"."),s_dir!L12/((1/1000)*(s_Irr!AJ12+s_Irr!BI12)),IF(AND(s_Irr!K12=".",s_Irr!AJ12=".",s_Irr!BI12&lt;&gt;"."),s_dir!L12/((1/1000)*(s_Irr!BI12)),IF(AND(s_Irr!K12=".",s_Irr!AJ12&lt;&gt;".",s_Irr!BI12="."),s_dir!L12/((1/1000)*(s_Irr!AJ12)),IF(AND(s_Irr!K12&lt;&gt;".",s_Irr!AJ12=".",s_Irr!BI12="."),s_dir!L12/((1/1000)*(s_Irr!K12)),IF(AND(s_Irr!K12=".",s_Irr!AJ12=".",s_Irr!BI12="."),s_dir!L12*1000)))))))),".")</f>
        <v>.</v>
      </c>
      <c r="M12" s="70" t="str">
        <f>IFERROR(IF(AND(s_Irr!L12&lt;&gt;".",s_Irr!AK12&lt;&gt;".",s_Irr!BJ12&lt;&gt;"."),s_dir!M12/((1/1000)*(s_Irr!L12+s_Irr!AK12+s_Irr!BJ12)),IF(AND(s_Irr!L12&lt;&gt;".",s_Irr!AK12&lt;&gt;".",s_Irr!BJ12="."),s_dir!M12/((1/1000)*(s_Irr!L12+s_Irr!AK12)),IF(AND(s_Irr!L12&lt;&gt;".",s_Irr!AK12=".",s_Irr!BJ12&lt;&gt;"."),s_dir!M12/((1/1000)*(s_Irr!L12+s_Irr!BJ12)),IF(AND(s_Irr!L12=".",s_Irr!AK12&lt;&gt;".",s_Irr!BJ12&lt;&gt;"."),s_dir!M12/((1/1000)*(s_Irr!AK12+s_Irr!BJ12)),IF(AND(s_Irr!L12=".",s_Irr!AK12=".",s_Irr!BJ12&lt;&gt;"."),s_dir!M12/((1/1000)*(s_Irr!BJ12)),IF(AND(s_Irr!L12=".",s_Irr!AK12&lt;&gt;".",s_Irr!BJ12="."),s_dir!M12/((1/1000)*(s_Irr!AK12)),IF(AND(s_Irr!L12&lt;&gt;".",s_Irr!AK12=".",s_Irr!BJ12="."),s_dir!M12/((1/1000)*(s_Irr!L12)),IF(AND(s_Irr!L12=".",s_Irr!AK12=".",s_Irr!BJ12="."),s_dir!M12*1000)))))))),".")</f>
        <v>.</v>
      </c>
      <c r="N12" s="70" t="str">
        <f>IFERROR(IF(AND(s_Irr!M12&lt;&gt;".",s_Irr!AL12&lt;&gt;".",s_Irr!BK12&lt;&gt;"."),s_dir!N12/((1/1000)*(s_Irr!M12+s_Irr!AL12+s_Irr!BK12)),IF(AND(s_Irr!M12&lt;&gt;".",s_Irr!AL12&lt;&gt;".",s_Irr!BK12="."),s_dir!N12/((1/1000)*(s_Irr!M12+s_Irr!AL12)),IF(AND(s_Irr!M12&lt;&gt;".",s_Irr!AL12=".",s_Irr!BK12&lt;&gt;"."),s_dir!N12/((1/1000)*(s_Irr!M12+s_Irr!BK12)),IF(AND(s_Irr!M12=".",s_Irr!AL12&lt;&gt;".",s_Irr!BK12&lt;&gt;"."),s_dir!N12/((1/1000)*(s_Irr!AL12+s_Irr!BK12)),IF(AND(s_Irr!M12=".",s_Irr!AL12=".",s_Irr!BK12&lt;&gt;"."),s_dir!N12/((1/1000)*(s_Irr!BK12)),IF(AND(s_Irr!M12=".",s_Irr!AL12&lt;&gt;".",s_Irr!BK12="."),s_dir!N12/((1/1000)*(s_Irr!AL12)),IF(AND(s_Irr!M12&lt;&gt;".",s_Irr!AL12=".",s_Irr!BK12="."),s_dir!N12/((1/1000)*(s_Irr!M12)),IF(AND(s_Irr!M12=".",s_Irr!AL12=".",s_Irr!BK12="."),s_dir!N12*1000)))))))),".")</f>
        <v>.</v>
      </c>
      <c r="O12" s="70" t="str">
        <f>IFERROR(IF(AND(s_Irr!N12&lt;&gt;".",s_Irr!AM12&lt;&gt;".",s_Irr!BL12&lt;&gt;"."),s_dir!O12/((1/1000)*(s_Irr!N12+s_Irr!AM12+s_Irr!BL12)),IF(AND(s_Irr!N12&lt;&gt;".",s_Irr!AM12&lt;&gt;".",s_Irr!BL12="."),s_dir!O12/((1/1000)*(s_Irr!N12+s_Irr!AM12)),IF(AND(s_Irr!N12&lt;&gt;".",s_Irr!AM12=".",s_Irr!BL12&lt;&gt;"."),s_dir!O12/((1/1000)*(s_Irr!N12+s_Irr!BL12)),IF(AND(s_Irr!N12=".",s_Irr!AM12&lt;&gt;".",s_Irr!BL12&lt;&gt;"."),s_dir!O12/((1/1000)*(s_Irr!AM12+s_Irr!BL12)),IF(AND(s_Irr!N12=".",s_Irr!AM12=".",s_Irr!BL12&lt;&gt;"."),s_dir!O12/((1/1000)*(s_Irr!BL12)),IF(AND(s_Irr!N12=".",s_Irr!AM12&lt;&gt;".",s_Irr!BL12="."),s_dir!O12/((1/1000)*(s_Irr!AM12)),IF(AND(s_Irr!N12&lt;&gt;".",s_Irr!AM12=".",s_Irr!BL12="."),s_dir!O12/((1/1000)*(s_Irr!N12)),IF(AND(s_Irr!N12=".",s_Irr!AM12=".",s_Irr!BL12="."),s_dir!O12*1000)))))))),".")</f>
        <v>.</v>
      </c>
      <c r="P12" s="70" t="str">
        <f>IFERROR(IF(AND(s_Irr!O12&lt;&gt;".",s_Irr!AN12&lt;&gt;".",s_Irr!BM12&lt;&gt;"."),s_dir!P12/((1/1000)*(s_Irr!O12+s_Irr!AN12+s_Irr!BM12)),IF(AND(s_Irr!O12&lt;&gt;".",s_Irr!AN12&lt;&gt;".",s_Irr!BM12="."),s_dir!P12/((1/1000)*(s_Irr!O12+s_Irr!AN12)),IF(AND(s_Irr!O12&lt;&gt;".",s_Irr!AN12=".",s_Irr!BM12&lt;&gt;"."),s_dir!P12/((1/1000)*(s_Irr!O12+s_Irr!BM12)),IF(AND(s_Irr!O12=".",s_Irr!AN12&lt;&gt;".",s_Irr!BM12&lt;&gt;"."),s_dir!P12/((1/1000)*(s_Irr!AN12+s_Irr!BM12)),IF(AND(s_Irr!O12=".",s_Irr!AN12=".",s_Irr!BM12&lt;&gt;"."),s_dir!P12/((1/1000)*(s_Irr!BM12)),IF(AND(s_Irr!O12=".",s_Irr!AN12&lt;&gt;".",s_Irr!BM12="."),s_dir!P12/((1/1000)*(s_Irr!AN12)),IF(AND(s_Irr!O12&lt;&gt;".",s_Irr!AN12=".",s_Irr!BM12="."),s_dir!P12/((1/1000)*(s_Irr!O12)),IF(AND(s_Irr!O12=".",s_Irr!AN12=".",s_Irr!BM12="."),s_dir!P12*1000)))))))),".")</f>
        <v>.</v>
      </c>
      <c r="Q12" s="70" t="str">
        <f>IFERROR(IF(AND(s_Irr!P12&lt;&gt;".",s_Irr!AO12&lt;&gt;".",s_Irr!BN12&lt;&gt;"."),s_dir!Q12/((1/1000)*(s_Irr!P12+s_Irr!AO12+s_Irr!BN12)),IF(AND(s_Irr!P12&lt;&gt;".",s_Irr!AO12&lt;&gt;".",s_Irr!BN12="."),s_dir!Q12/((1/1000)*(s_Irr!P12+s_Irr!AO12)),IF(AND(s_Irr!P12&lt;&gt;".",s_Irr!AO12=".",s_Irr!BN12&lt;&gt;"."),s_dir!Q12/((1/1000)*(s_Irr!P12+s_Irr!BN12)),IF(AND(s_Irr!P12=".",s_Irr!AO12&lt;&gt;".",s_Irr!BN12&lt;&gt;"."),s_dir!Q12/((1/1000)*(s_Irr!AO12+s_Irr!BN12)),IF(AND(s_Irr!P12=".",s_Irr!AO12=".",s_Irr!BN12&lt;&gt;"."),s_dir!Q12/((1/1000)*(s_Irr!BN12)),IF(AND(s_Irr!P12=".",s_Irr!AO12&lt;&gt;".",s_Irr!BN12="."),s_dir!Q12/((1/1000)*(s_Irr!AO12)),IF(AND(s_Irr!P12&lt;&gt;".",s_Irr!AO12=".",s_Irr!BN12="."),s_dir!Q12/((1/1000)*(s_Irr!P12)),IF(AND(s_Irr!P12=".",s_Irr!AO12=".",s_Irr!BN12="."),s_dir!Q12*1000)))))))),".")</f>
        <v>.</v>
      </c>
      <c r="R12" s="70" t="str">
        <f>IFERROR(IF(AND(s_Irr!Q12&lt;&gt;".",s_Irr!AP12&lt;&gt;".",s_Irr!BO12&lt;&gt;"."),s_dir!R12/((1/1000)*(s_Irr!Q12+s_Irr!AP12+s_Irr!BO12)),IF(AND(s_Irr!Q12&lt;&gt;".",s_Irr!AP12&lt;&gt;".",s_Irr!BO12="."),s_dir!R12/((1/1000)*(s_Irr!Q12+s_Irr!AP12)),IF(AND(s_Irr!Q12&lt;&gt;".",s_Irr!AP12=".",s_Irr!BO12&lt;&gt;"."),s_dir!R12/((1/1000)*(s_Irr!Q12+s_Irr!BO12)),IF(AND(s_Irr!Q12=".",s_Irr!AP12&lt;&gt;".",s_Irr!BO12&lt;&gt;"."),s_dir!R12/((1/1000)*(s_Irr!AP12+s_Irr!BO12)),IF(AND(s_Irr!Q12=".",s_Irr!AP12=".",s_Irr!BO12&lt;&gt;"."),s_dir!R12/((1/1000)*(s_Irr!BO12)),IF(AND(s_Irr!Q12=".",s_Irr!AP12&lt;&gt;".",s_Irr!BO12="."),s_dir!R12/((1/1000)*(s_Irr!AP12)),IF(AND(s_Irr!Q12&lt;&gt;".",s_Irr!AP12=".",s_Irr!BO12="."),s_dir!R12/((1/1000)*(s_Irr!Q12)),IF(AND(s_Irr!Q12=".",s_Irr!AP12=".",s_Irr!BO12="."),s_dir!R12*1000)))))))),".")</f>
        <v>.</v>
      </c>
      <c r="S12" s="70" t="str">
        <f>IFERROR(IF(AND(s_Irr!R12&lt;&gt;".",s_Irr!AQ12&lt;&gt;".",s_Irr!BP12&lt;&gt;"."),s_dir!S12/((1/1000)*(s_Irr!R12+s_Irr!AQ12+s_Irr!BP12)),IF(AND(s_Irr!R12&lt;&gt;".",s_Irr!AQ12&lt;&gt;".",s_Irr!BP12="."),s_dir!S12/((1/1000)*(s_Irr!R12+s_Irr!AQ12)),IF(AND(s_Irr!R12&lt;&gt;".",s_Irr!AQ12=".",s_Irr!BP12&lt;&gt;"."),s_dir!S12/((1/1000)*(s_Irr!R12+s_Irr!BP12)),IF(AND(s_Irr!R12=".",s_Irr!AQ12&lt;&gt;".",s_Irr!BP12&lt;&gt;"."),s_dir!S12/((1/1000)*(s_Irr!AQ12+s_Irr!BP12)),IF(AND(s_Irr!R12=".",s_Irr!AQ12=".",s_Irr!BP12&lt;&gt;"."),s_dir!S12/((1/1000)*(s_Irr!BP12)),IF(AND(s_Irr!R12=".",s_Irr!AQ12&lt;&gt;".",s_Irr!BP12="."),s_dir!S12/((1/1000)*(s_Irr!AQ12)),IF(AND(s_Irr!R12&lt;&gt;".",s_Irr!AQ12=".",s_Irr!BP12="."),s_dir!S12/((1/1000)*(s_Irr!R12)),IF(AND(s_Irr!R12=".",s_Irr!AQ12=".",s_Irr!BP12="."),s_dir!S12*1000)))))))),".")</f>
        <v>.</v>
      </c>
      <c r="T12" s="70" t="str">
        <f>IFERROR(IF(AND(s_Irr!S12&lt;&gt;".",s_Irr!AR12&lt;&gt;".",s_Irr!BQ12&lt;&gt;"."),s_dir!T12/((1/1000)*(s_Irr!S12+s_Irr!AR12+s_Irr!BQ12)),IF(AND(s_Irr!S12&lt;&gt;".",s_Irr!AR12&lt;&gt;".",s_Irr!BQ12="."),s_dir!T12/((1/1000)*(s_Irr!S12+s_Irr!AR12)),IF(AND(s_Irr!S12&lt;&gt;".",s_Irr!AR12=".",s_Irr!BQ12&lt;&gt;"."),s_dir!T12/((1/1000)*(s_Irr!S12+s_Irr!BQ12)),IF(AND(s_Irr!S12=".",s_Irr!AR12&lt;&gt;".",s_Irr!BQ12&lt;&gt;"."),s_dir!T12/((1/1000)*(s_Irr!AR12+s_Irr!BQ12)),IF(AND(s_Irr!S12=".",s_Irr!AR12=".",s_Irr!BQ12&lt;&gt;"."),s_dir!T12/((1/1000)*(s_Irr!BQ12)),IF(AND(s_Irr!S12=".",s_Irr!AR12&lt;&gt;".",s_Irr!BQ12="."),s_dir!T12/((1/1000)*(s_Irr!AR12)),IF(AND(s_Irr!S12&lt;&gt;".",s_Irr!AR12=".",s_Irr!BQ12="."),s_dir!T12/((1/1000)*(s_Irr!S12)),IF(AND(s_Irr!S12=".",s_Irr!AR12=".",s_Irr!BQ12="."),s_dir!T12*1000)))))))),".")</f>
        <v>.</v>
      </c>
      <c r="U12" s="70" t="str">
        <f>IFERROR(IF(AND(s_Irr!T12&lt;&gt;".",s_Irr!AS12&lt;&gt;".",s_Irr!BR12&lt;&gt;"."),s_dir!U12/((1/1000)*(s_Irr!T12+s_Irr!AS12+s_Irr!BR12)),IF(AND(s_Irr!T12&lt;&gt;".",s_Irr!AS12&lt;&gt;".",s_Irr!BR12="."),s_dir!U12/((1/1000)*(s_Irr!T12+s_Irr!AS12)),IF(AND(s_Irr!T12&lt;&gt;".",s_Irr!AS12=".",s_Irr!BR12&lt;&gt;"."),s_dir!U12/((1/1000)*(s_Irr!T12+s_Irr!BR12)),IF(AND(s_Irr!T12=".",s_Irr!AS12&lt;&gt;".",s_Irr!BR12&lt;&gt;"."),s_dir!U12/((1/1000)*(s_Irr!AS12+s_Irr!BR12)),IF(AND(s_Irr!T12=".",s_Irr!AS12=".",s_Irr!BR12&lt;&gt;"."),s_dir!U12/((1/1000)*(s_Irr!BR12)),IF(AND(s_Irr!T12=".",s_Irr!AS12&lt;&gt;".",s_Irr!BR12="."),s_dir!U12/((1/1000)*(s_Irr!AS12)),IF(AND(s_Irr!T12&lt;&gt;".",s_Irr!AS12=".",s_Irr!BR12="."),s_dir!U12/((1/1000)*(s_Irr!T12)),IF(AND(s_Irr!T12=".",s_Irr!AS12=".",s_Irr!BR12="."),s_dir!U12*1000)))))))),".")</f>
        <v>.</v>
      </c>
      <c r="V12" s="70" t="str">
        <f>IFERROR(IF(AND(s_Irr!U12&lt;&gt;".",s_Irr!AT12&lt;&gt;".",s_Irr!BS12&lt;&gt;"."),s_dir!V12/((1/1000)*(s_Irr!U12+s_Irr!AT12+s_Irr!BS12)),IF(AND(s_Irr!U12&lt;&gt;".",s_Irr!AT12&lt;&gt;".",s_Irr!BS12="."),s_dir!V12/((1/1000)*(s_Irr!U12+s_Irr!AT12)),IF(AND(s_Irr!U12&lt;&gt;".",s_Irr!AT12=".",s_Irr!BS12&lt;&gt;"."),s_dir!V12/((1/1000)*(s_Irr!U12+s_Irr!BS12)),IF(AND(s_Irr!U12=".",s_Irr!AT12&lt;&gt;".",s_Irr!BS12&lt;&gt;"."),s_dir!V12/((1/1000)*(s_Irr!AT12+s_Irr!BS12)),IF(AND(s_Irr!U12=".",s_Irr!AT12=".",s_Irr!BS12&lt;&gt;"."),s_dir!V12/((1/1000)*(s_Irr!BS12)),IF(AND(s_Irr!U12=".",s_Irr!AT12&lt;&gt;".",s_Irr!BS12="."),s_dir!V12/((1/1000)*(s_Irr!AT12)),IF(AND(s_Irr!U12&lt;&gt;".",s_Irr!AT12=".",s_Irr!BS12="."),s_dir!V12/((1/1000)*(s_Irr!U12)),IF(AND(s_Irr!U12=".",s_Irr!AT12=".",s_Irr!BS12="."),s_dir!V12*1000)))))))),".")</f>
        <v>.</v>
      </c>
      <c r="W12" s="70" t="str">
        <f>IFERROR(IF(AND(s_Irr!V12&lt;&gt;".",s_Irr!AU12&lt;&gt;".",s_Irr!BT12&lt;&gt;"."),s_dir!W12/((1/1000)*(s_Irr!V12+s_Irr!AU12+s_Irr!BT12)),IF(AND(s_Irr!V12&lt;&gt;".",s_Irr!AU12&lt;&gt;".",s_Irr!BT12="."),s_dir!W12/((1/1000)*(s_Irr!V12+s_Irr!AU12)),IF(AND(s_Irr!V12&lt;&gt;".",s_Irr!AU12=".",s_Irr!BT12&lt;&gt;"."),s_dir!W12/((1/1000)*(s_Irr!V12+s_Irr!BT12)),IF(AND(s_Irr!V12=".",s_Irr!AU12&lt;&gt;".",s_Irr!BT12&lt;&gt;"."),s_dir!W12/((1/1000)*(s_Irr!AU12+s_Irr!BT12)),IF(AND(s_Irr!V12=".",s_Irr!AU12=".",s_Irr!BT12&lt;&gt;"."),s_dir!W12/((1/1000)*(s_Irr!BT12)),IF(AND(s_Irr!V12=".",s_Irr!AU12&lt;&gt;".",s_Irr!BT12="."),s_dir!W12/((1/1000)*(s_Irr!AU12)),IF(AND(s_Irr!V12&lt;&gt;".",s_Irr!AU12=".",s_Irr!BT12="."),s_dir!W12/((1/1000)*(s_Irr!V12)),IF(AND(s_Irr!V12=".",s_Irr!AU12=".",s_Irr!BT12="."),s_dir!W12*1000)))))))),".")</f>
        <v>.</v>
      </c>
      <c r="X12" s="70" t="str">
        <f>IFERROR(IF(AND(s_Irr!W12&lt;&gt;".",s_Irr!AV12&lt;&gt;".",s_Irr!BU12&lt;&gt;"."),s_dir!X12/((1/1000)*(s_Irr!W12+s_Irr!AV12+s_Irr!BU12)),IF(AND(s_Irr!W12&lt;&gt;".",s_Irr!AV12&lt;&gt;".",s_Irr!BU12="."),s_dir!X12/((1/1000)*(s_Irr!W12+s_Irr!AV12)),IF(AND(s_Irr!W12&lt;&gt;".",s_Irr!AV12=".",s_Irr!BU12&lt;&gt;"."),s_dir!X12/((1/1000)*(s_Irr!W12+s_Irr!BU12)),IF(AND(s_Irr!W12=".",s_Irr!AV12&lt;&gt;".",s_Irr!BU12&lt;&gt;"."),s_dir!X12/((1/1000)*(s_Irr!AV12+s_Irr!BU12)),IF(AND(s_Irr!W12=".",s_Irr!AV12=".",s_Irr!BU12&lt;&gt;"."),s_dir!X12/((1/1000)*(s_Irr!BU12)),IF(AND(s_Irr!W12=".",s_Irr!AV12&lt;&gt;".",s_Irr!BU12="."),s_dir!X12/((1/1000)*(s_Irr!AV12)),IF(AND(s_Irr!W12&lt;&gt;".",s_Irr!AV12=".",s_Irr!BU12="."),s_dir!X12/((1/1000)*(s_Irr!W12)),IF(AND(s_Irr!W12=".",s_Irr!AV12=".",s_Irr!BU12="."),s_dir!X12*1000)))))))),".")</f>
        <v>.</v>
      </c>
      <c r="Y12" s="70" t="str">
        <f>IFERROR(IF(AND(s_Irr!X12&lt;&gt;".",s_Irr!AW12&lt;&gt;".",s_Irr!BV12&lt;&gt;"."),s_dir!Y12/((1/1000)*(s_Irr!X12+s_Irr!AW12+s_Irr!BV12)),IF(AND(s_Irr!X12&lt;&gt;".",s_Irr!AW12&lt;&gt;".",s_Irr!BV12="."),s_dir!Y12/((1/1000)*(s_Irr!X12+s_Irr!AW12)),IF(AND(s_Irr!X12&lt;&gt;".",s_Irr!AW12=".",s_Irr!BV12&lt;&gt;"."),s_dir!Y12/((1/1000)*(s_Irr!X12+s_Irr!BV12)),IF(AND(s_Irr!X12=".",s_Irr!AW12&lt;&gt;".",s_Irr!BV12&lt;&gt;"."),s_dir!Y12/((1/1000)*(s_Irr!AW12+s_Irr!BV12)),IF(AND(s_Irr!X12=".",s_Irr!AW12=".",s_Irr!BV12&lt;&gt;"."),s_dir!Y12/((1/1000)*(s_Irr!BV12)),IF(AND(s_Irr!X12=".",s_Irr!AW12&lt;&gt;".",s_Irr!BV12="."),s_dir!Y12/((1/1000)*(s_Irr!AW12)),IF(AND(s_Irr!X12&lt;&gt;".",s_Irr!AW12=".",s_Irr!BV12="."),s_dir!Y12/((1/1000)*(s_Irr!X12)),IF(AND(s_Irr!X12=".",s_Irr!AW12=".",s_Irr!BV12="."),s_dir!Y12*1000)))))))),".")</f>
        <v>.</v>
      </c>
      <c r="Z12" s="70" t="str">
        <f>IFERROR(IF(AND(s_Irr!Y12&lt;&gt;".",s_Irr!AX12&lt;&gt;".",s_Irr!BW12&lt;&gt;"."),s_dir!Z12/((1/1000)*(s_Irr!Y12+s_Irr!AX12+s_Irr!BW12)),IF(AND(s_Irr!Y12&lt;&gt;".",s_Irr!AX12&lt;&gt;".",s_Irr!BW12="."),s_dir!Z12/((1/1000)*(s_Irr!Y12+s_Irr!AX12)),IF(AND(s_Irr!Y12&lt;&gt;".",s_Irr!AX12=".",s_Irr!BW12&lt;&gt;"."),s_dir!Z12/((1/1000)*(s_Irr!Y12+s_Irr!BW12)),IF(AND(s_Irr!Y12=".",s_Irr!AX12&lt;&gt;".",s_Irr!BW12&lt;&gt;"."),s_dir!Z12/((1/1000)*(s_Irr!AX12+s_Irr!BW12)),IF(AND(s_Irr!Y12=".",s_Irr!AX12=".",s_Irr!BW12&lt;&gt;"."),s_dir!Z12/((1/1000)*(s_Irr!BW12)),IF(AND(s_Irr!Y12=".",s_Irr!AX12&lt;&gt;".",s_Irr!BW12="."),s_dir!Z12/((1/1000)*(s_Irr!AX12)),IF(AND(s_Irr!Y12&lt;&gt;".",s_Irr!AX12=".",s_Irr!BW12="."),s_dir!Z12/((1/1000)*(s_Irr!Y12)),IF(AND(s_Irr!Y12=".",s_Irr!AX12=".",s_Irr!BW12="."),s_dir!Z12*1000)))))))),".")</f>
        <v>.</v>
      </c>
      <c r="AA12" s="70" t="str">
        <f>IFERROR(IF(AND(s_Irr!Z12&lt;&gt;".",s_Irr!AY12&lt;&gt;".",s_Irr!BX12&lt;&gt;"."),s_dir!AA12/((1/1000)*(s_Irr!Z12+s_Irr!AY12+s_Irr!BX12)),IF(AND(s_Irr!Z12&lt;&gt;".",s_Irr!AY12&lt;&gt;".",s_Irr!BX12="."),s_dir!AA12/((1/1000)*(s_Irr!Z12+s_Irr!AY12)),IF(AND(s_Irr!Z12&lt;&gt;".",s_Irr!AY12=".",s_Irr!BX12&lt;&gt;"."),s_dir!AA12/((1/1000)*(s_Irr!Z12+s_Irr!BX12)),IF(AND(s_Irr!Z12=".",s_Irr!AY12&lt;&gt;".",s_Irr!BX12&lt;&gt;"."),s_dir!AA12/((1/1000)*(s_Irr!AY12+s_Irr!BX12)),IF(AND(s_Irr!Z12=".",s_Irr!AY12=".",s_Irr!BX12&lt;&gt;"."),s_dir!AA12/((1/1000)*(s_Irr!BX12)),IF(AND(s_Irr!Z12=".",s_Irr!AY12&lt;&gt;".",s_Irr!BX12="."),s_dir!AA12/((1/1000)*(s_Irr!AY12)),IF(AND(s_Irr!Z12&lt;&gt;".",s_Irr!AY12=".",s_Irr!BX12="."),s_dir!AA12/((1/1000)*(s_Irr!Z12)),IF(AND(s_Irr!Z12=".",s_Irr!AY12=".",s_Irr!BX12="."),s_dir!AA12*1000)))))))),".")</f>
        <v>.</v>
      </c>
      <c r="AB12" s="70" t="str">
        <f>IFERROR(IF(AND(s_Irr!AA12&lt;&gt;".",s_Irr!AZ12&lt;&gt;".",s_Irr!BY12&lt;&gt;"."),s_dir!AB12/((1/1000)*(s_Irr!AA12+s_Irr!AZ12+s_Irr!BY12)),IF(AND(s_Irr!AA12&lt;&gt;".",s_Irr!AZ12&lt;&gt;".",s_Irr!BY12="."),s_dir!AB12/((1/1000)*(s_Irr!AA12+s_Irr!AZ12)),IF(AND(s_Irr!AA12&lt;&gt;".",s_Irr!AZ12=".",s_Irr!BY12&lt;&gt;"."),s_dir!AB12/((1/1000)*(s_Irr!AA12+s_Irr!BY12)),IF(AND(s_Irr!AA12=".",s_Irr!AZ12&lt;&gt;".",s_Irr!BY12&lt;&gt;"."),s_dir!AB12/((1/1000)*(s_Irr!AZ12+s_Irr!BY12)),IF(AND(s_Irr!AA12=".",s_Irr!AZ12=".",s_Irr!BY12&lt;&gt;"."),s_dir!AB12/((1/1000)*(s_Irr!BY12)),IF(AND(s_Irr!AA12=".",s_Irr!AZ12&lt;&gt;".",s_Irr!BY12="."),s_dir!AB12/((1/1000)*(s_Irr!AZ12)),IF(AND(s_Irr!AA12&lt;&gt;".",s_Irr!AZ12=".",s_Irr!BY12="."),s_dir!AB12/((1/1000)*(s_Irr!AA12)),IF(AND(s_Irr!AA12=".",s_Irr!AZ12=".",s_Irr!BY12="."),s_dir!AB12*1000)))))))),".")</f>
        <v>.</v>
      </c>
      <c r="AC12" s="87">
        <f t="shared" si="4"/>
        <v>2157.03751704873</v>
      </c>
      <c r="AD12" s="87">
        <f>IFERROR(s_C*s_IFAP_res_adj*s_CF_apple*0.001*(s_Irr!C12+s_Irr!AB12+s_Irr!BA12),".")</f>
        <v>539.25937926218251</v>
      </c>
      <c r="AE12" s="87">
        <f>IFERROR(s_C*s_IFAS_res_adj*s_CF_asparagus*0.001*(s_Irr!D12+s_Irr!AC12+s_Irr!BB12),".")</f>
        <v>539.25937926218251</v>
      </c>
      <c r="AF12" s="87">
        <f>IFERROR(s_C*s_IFBT_res_adj*s_CF_beet*0.001*(s_Irr!E12+s_Irr!AD12+s_Irr!BC12),".")</f>
        <v>539.25937926218251</v>
      </c>
      <c r="AG12" s="87">
        <f>IFERROR(s_C*s_IFBE_res_adj*s_CF_berries*0.001*(s_Irr!F12+s_Irr!AE12+s_Irr!BD12),".")</f>
        <v>539.25937926218251</v>
      </c>
      <c r="AH12" s="87">
        <f>IFERROR(s_C*s_IFBR_res_adj*s_CF_broccoli*0.001*(s_Irr!G12+s_Irr!AF12+s_Irr!BE12),".")</f>
        <v>539.25937926218251</v>
      </c>
      <c r="AI12" s="87">
        <f>IFERROR(s_C*s_IFCB_res_adj*s_CF_cabbage*0.001*(s_Irr!H12+s_Irr!AG12+s_Irr!BF12),".")</f>
        <v>539.25937926218251</v>
      </c>
      <c r="AJ12" s="87">
        <f>IFERROR(s_C*s_IFCR_res_adj*s_CF_carrot*0.001*(s_Irr!I12+s_Irr!AH12+s_Irr!BG12),".")</f>
        <v>539.25937926218251</v>
      </c>
      <c r="AK12" s="87">
        <f>IFERROR(s_C*s_IFCI_res_adj*s_CF_citrus*0.001*(s_Irr!J12+s_Irr!AI12+s_Irr!BH12),".")</f>
        <v>539.25937926218251</v>
      </c>
      <c r="AL12" s="87">
        <f>IFERROR(s_C*s_IFCO_res_adj*s_CF_corn*0.001*(s_Irr!K12+s_Irr!AJ12+s_Irr!BI12),".")</f>
        <v>539.25937926218251</v>
      </c>
      <c r="AM12" s="87">
        <f>IFERROR(s_C*s_IFCU_res_adj*s_CF_cucumber*0.001*(s_Irr!L12+s_Irr!AK12+s_Irr!BJ12),".")</f>
        <v>539.25937926218251</v>
      </c>
      <c r="AN12" s="87">
        <f>IFERROR(s_C*s_IFLE_res_adj*s_CF_lettuce*0.001*(s_Irr!M12+s_Irr!AL12+s_Irr!BK12),".")</f>
        <v>539.25937926218251</v>
      </c>
      <c r="AO12" s="87">
        <f>IFERROR(s_C*s_IFLI_res_adj*s_CF_lima_bean*0.001*(s_Irr!N12+s_Irr!AM12+s_Irr!BL12),".")</f>
        <v>539.25937926218251</v>
      </c>
      <c r="AP12" s="87">
        <f>IFERROR(s_C*s_IFOK_res_adj*s_CF_okra*0.001*(s_Irr!O12+s_Irr!AN12+s_Irr!BM12),".")</f>
        <v>539.25937926218251</v>
      </c>
      <c r="AQ12" s="87">
        <f>IFERROR(s_C*s_IFON_res_adj*s_CF_onion*0.001*(s_Irr!P12+s_Irr!AO12+s_Irr!BN12),".")</f>
        <v>539.25937926218251</v>
      </c>
      <c r="AR12" s="87">
        <f>IFERROR(s_C*s_IFPC_res_adj*s_CF_peach*0.001*(s_Irr!Q12+s_Irr!AP12+s_Irr!BO12),".")</f>
        <v>539.25937926218251</v>
      </c>
      <c r="AS12" s="87">
        <f>IFERROR(s_C*s_IFPR_res_adj*s_CF_pear*0.001*(s_Irr!R12+s_Irr!AQ12+s_Irr!BP12),".")</f>
        <v>539.25937926218251</v>
      </c>
      <c r="AT12" s="87">
        <f>IFERROR(s_C*s_IFPE_res_adj*s_CF_peas*0.001*(s_Irr!S12+s_Irr!AR12+s_Irr!BQ12),".")</f>
        <v>539.25937926218251</v>
      </c>
      <c r="AU12" s="87">
        <f>IFERROR(s_C*s_IFPP_res_adj*s_CF_peppers*0.001*(s_Irr!T12+s_Irr!AS12+s_Irr!BR12),".")</f>
        <v>539.25937926218251</v>
      </c>
      <c r="AV12" s="87">
        <f>IFERROR(s_C*s_IFPT_res_adj*s_CF_potato*0.001*(s_Irr!U12+s_Irr!AT12+s_Irr!BS12),".")</f>
        <v>539.25937926218251</v>
      </c>
      <c r="AW12" s="87">
        <f>IFERROR(s_C*s_IFPU_res_adj*s_CF_pumpkin*0.001*(s_Irr!V12+s_Irr!AU12+s_Irr!BT12),".")</f>
        <v>539.25937926218251</v>
      </c>
      <c r="AX12" s="87">
        <f>IFERROR(s_C*s_IFSN_res_adj*s_CF_snap_bean*0.001*(s_Irr!W12+s_Irr!AV12+s_Irr!BU12),".")</f>
        <v>539.25937926218251</v>
      </c>
      <c r="AY12" s="87">
        <f>IFERROR(s_C*s_IFST_res_adj*s_CF_strawberry*0.001*(s_Irr!X12+s_Irr!AW12+s_Irr!BV12),".")</f>
        <v>539.25937926218251</v>
      </c>
      <c r="AZ12" s="87">
        <f>IFERROR(s_C*s_IFTO_res_adj*s_CF_tomato*0.001*(s_Irr!Y12+s_Irr!AX12+s_Irr!BW12),".")</f>
        <v>539.25937926218251</v>
      </c>
      <c r="BA12" s="87">
        <f>IFERROR(s_C*s_IFRI_res_adj*s_CF_rice*0.001*(s_Irr!Z12+s_Irr!AY12+s_Irr!BX12),".")</f>
        <v>539.25937926218251</v>
      </c>
      <c r="BB12" s="87">
        <f>IFERROR(s_C*s_IFCG_res_adj*s_CF_cereal*0.001*(s_Irr!AA12+s_Irr!AZ12+s_Irr!BY12),".")</f>
        <v>539.25937926218251</v>
      </c>
      <c r="BC12" s="70" t="str">
        <f t="shared" si="1"/>
        <v>.</v>
      </c>
      <c r="BD12" s="70" t="str">
        <f>IFERROR(IF(AND(s_Irr!C12&lt;&gt;".",s_Irr!AB12&lt;&gt;".",s_Irr!BA12&lt;&gt;"."),s_dir!AD12/((1/1000)*(s_Irr!C12+s_Irr!AB12+s_Irr!BA12)),IF(AND(s_Irr!C12&lt;&gt;".",s_Irr!AB12&lt;&gt;".",s_Irr!BA12="."),s_dir!AD12/((1/1000)*(s_Irr!C12+s_Irr!AB12)),IF(AND(s_Irr!C12&lt;&gt;".",s_Irr!AB12=".",s_Irr!BA12&lt;&gt;"."),s_dir!AD12/((1/1000)*(s_Irr!C12+s_Irr!BA12)),IF(AND(s_Irr!C12=".",s_Irr!AB12&lt;&gt;".",s_Irr!BA12&lt;&gt;"."),s_dir!AD12/((1/1000)*(s_Irr!AB12+s_Irr!BA12)),IF(AND(s_Irr!C12=".",s_Irr!AB12=".",s_Irr!BA12&lt;&gt;"."),s_dir!AD12/((1/1000)*(s_Irr!BA12)),IF(AND(s_Irr!C12=".",s_Irr!AB12&lt;&gt;".",s_Irr!BA12="."),s_dir!AD12/((1/1000)*(s_Irr!AB12)),IF(AND(s_Irr!C12&lt;&gt;".",s_Irr!AB12=".",s_Irr!BA12="."),s_dir!AD12/((1/1000)*(s_Irr!C12)),IF(AND(s_Irr!C12=".",s_Irr!AB12=".",s_Irr!BA12="."),s_dir!AD12*1000)))))))),".")</f>
        <v>.</v>
      </c>
      <c r="BE12" s="70" t="str">
        <f>IFERROR(IF(AND(s_Irr!D12&lt;&gt;".",s_Irr!AC12&lt;&gt;".",s_Irr!BB12&lt;&gt;"."),s_dir!AE12/((1/1000)*(s_Irr!D12+s_Irr!AC12+s_Irr!BB12)),IF(AND(s_Irr!D12&lt;&gt;".",s_Irr!AC12&lt;&gt;".",s_Irr!BB12="."),s_dir!AE12/((1/1000)*(s_Irr!D12+s_Irr!AC12)),IF(AND(s_Irr!D12&lt;&gt;".",s_Irr!AC12=".",s_Irr!BB12&lt;&gt;"."),s_dir!AE12/((1/1000)*(s_Irr!D12+s_Irr!BB12)),IF(AND(s_Irr!D12=".",s_Irr!AC12&lt;&gt;".",s_Irr!BB12&lt;&gt;"."),s_dir!AE12/((1/1000)*(s_Irr!AC12+s_Irr!BB12)),IF(AND(s_Irr!D12=".",s_Irr!AC12=".",s_Irr!BB12&lt;&gt;"."),s_dir!AE12/((1/1000)*(s_Irr!BB12)),IF(AND(s_Irr!D12=".",s_Irr!AC12&lt;&gt;".",s_Irr!BB12="."),s_dir!AE12/((1/1000)*(s_Irr!AC12)),IF(AND(s_Irr!D12&lt;&gt;".",s_Irr!AC12=".",s_Irr!BB12="."),s_dir!AE12/((1/1000)*(s_Irr!D12)),IF(AND(s_Irr!D12=".",s_Irr!AC12=".",s_Irr!BB12="."),s_dir!AE12*1000)))))))),".")</f>
        <v>.</v>
      </c>
      <c r="BF12" s="70" t="str">
        <f>IFERROR(IF(AND(s_Irr!E12&lt;&gt;".",s_Irr!AD12&lt;&gt;".",s_Irr!BC12&lt;&gt;"."),s_dir!AF12/((1/1000)*(s_Irr!E12+s_Irr!AD12+s_Irr!BC12)),IF(AND(s_Irr!E12&lt;&gt;".",s_Irr!AD12&lt;&gt;".",s_Irr!BC12="."),s_dir!AF12/((1/1000)*(s_Irr!E12+s_Irr!AD12)),IF(AND(s_Irr!E12&lt;&gt;".",s_Irr!AD12=".",s_Irr!BC12&lt;&gt;"."),s_dir!AF12/((1/1000)*(s_Irr!E12+s_Irr!BC12)),IF(AND(s_Irr!E12=".",s_Irr!AD12&lt;&gt;".",s_Irr!BC12&lt;&gt;"."),s_dir!AF12/((1/1000)*(s_Irr!AD12+s_Irr!BC12)),IF(AND(s_Irr!E12=".",s_Irr!AD12=".",s_Irr!BC12&lt;&gt;"."),s_dir!AF12/((1/1000)*(s_Irr!BC12)),IF(AND(s_Irr!E12=".",s_Irr!AD12&lt;&gt;".",s_Irr!BC12="."),s_dir!AF12/((1/1000)*(s_Irr!AD12)),IF(AND(s_Irr!E12&lt;&gt;".",s_Irr!AD12=".",s_Irr!BC12="."),s_dir!AF12/((1/1000)*(s_Irr!E12)),IF(AND(s_Irr!E12=".",s_Irr!AD12=".",s_Irr!BC12="."),s_dir!AF12*1000)))))))),".")</f>
        <v>.</v>
      </c>
      <c r="BG12" s="70" t="str">
        <f>IFERROR(IF(AND(s_Irr!F12&lt;&gt;".",s_Irr!AE12&lt;&gt;".",s_Irr!BD12&lt;&gt;"."),s_dir!AG12/((1/1000)*(s_Irr!F12+s_Irr!AE12+s_Irr!BD12)),IF(AND(s_Irr!F12&lt;&gt;".",s_Irr!AE12&lt;&gt;".",s_Irr!BD12="."),s_dir!AG12/((1/1000)*(s_Irr!F12+s_Irr!AE12)),IF(AND(s_Irr!F12&lt;&gt;".",s_Irr!AE12=".",s_Irr!BD12&lt;&gt;"."),s_dir!AG12/((1/1000)*(s_Irr!F12+s_Irr!BD12)),IF(AND(s_Irr!F12=".",s_Irr!AE12&lt;&gt;".",s_Irr!BD12&lt;&gt;"."),s_dir!AG12/((1/1000)*(s_Irr!AE12+s_Irr!BD12)),IF(AND(s_Irr!F12=".",s_Irr!AE12=".",s_Irr!BD12&lt;&gt;"."),s_dir!AG12/((1/1000)*(s_Irr!BD12)),IF(AND(s_Irr!F12=".",s_Irr!AE12&lt;&gt;".",s_Irr!BD12="."),s_dir!AG12/((1/1000)*(s_Irr!AE12)),IF(AND(s_Irr!F12&lt;&gt;".",s_Irr!AE12=".",s_Irr!BD12="."),s_dir!AG12/((1/1000)*(s_Irr!F12)),IF(AND(s_Irr!F12=".",s_Irr!AE12=".",s_Irr!BD12="."),s_dir!AG12*1000)))))))),".")</f>
        <v>.</v>
      </c>
      <c r="BH12" s="70" t="str">
        <f>IFERROR(IF(AND(s_Irr!G12&lt;&gt;".",s_Irr!AF12&lt;&gt;".",s_Irr!BE12&lt;&gt;"."),s_dir!AH12/((1/1000)*(s_Irr!G12+s_Irr!AF12+s_Irr!BE12)),IF(AND(s_Irr!G12&lt;&gt;".",s_Irr!AF12&lt;&gt;".",s_Irr!BE12="."),s_dir!AH12/((1/1000)*(s_Irr!G12+s_Irr!AF12)),IF(AND(s_Irr!G12&lt;&gt;".",s_Irr!AF12=".",s_Irr!BE12&lt;&gt;"."),s_dir!AH12/((1/1000)*(s_Irr!G12+s_Irr!BE12)),IF(AND(s_Irr!G12=".",s_Irr!AF12&lt;&gt;".",s_Irr!BE12&lt;&gt;"."),s_dir!AH12/((1/1000)*(s_Irr!AF12+s_Irr!BE12)),IF(AND(s_Irr!G12=".",s_Irr!AF12=".",s_Irr!BE12&lt;&gt;"."),s_dir!AH12/((1/1000)*(s_Irr!BE12)),IF(AND(s_Irr!G12=".",s_Irr!AF12&lt;&gt;".",s_Irr!BE12="."),s_dir!AH12/((1/1000)*(s_Irr!AF12)),IF(AND(s_Irr!G12&lt;&gt;".",s_Irr!AF12=".",s_Irr!BE12="."),s_dir!AH12/((1/1000)*(s_Irr!G12)),IF(AND(s_Irr!G12=".",s_Irr!AF12=".",s_Irr!BE12="."),s_dir!AH12*1000)))))))),".")</f>
        <v>.</v>
      </c>
      <c r="BI12" s="70" t="str">
        <f>IFERROR(IF(AND(s_Irr!H12&lt;&gt;".",s_Irr!AG12&lt;&gt;".",s_Irr!BF12&lt;&gt;"."),s_dir!AI12/((1/1000)*(s_Irr!H12+s_Irr!AG12+s_Irr!BF12)),IF(AND(s_Irr!H12&lt;&gt;".",s_Irr!AG12&lt;&gt;".",s_Irr!BF12="."),s_dir!AI12/((1/1000)*(s_Irr!H12+s_Irr!AG12)),IF(AND(s_Irr!H12&lt;&gt;".",s_Irr!AG12=".",s_Irr!BF12&lt;&gt;"."),s_dir!AI12/((1/1000)*(s_Irr!H12+s_Irr!BF12)),IF(AND(s_Irr!H12=".",s_Irr!AG12&lt;&gt;".",s_Irr!BF12&lt;&gt;"."),s_dir!AI12/((1/1000)*(s_Irr!AG12+s_Irr!BF12)),IF(AND(s_Irr!H12=".",s_Irr!AG12=".",s_Irr!BF12&lt;&gt;"."),s_dir!AI12/((1/1000)*(s_Irr!BF12)),IF(AND(s_Irr!H12=".",s_Irr!AG12&lt;&gt;".",s_Irr!BF12="."),s_dir!AI12/((1/1000)*(s_Irr!AG12)),IF(AND(s_Irr!H12&lt;&gt;".",s_Irr!AG12=".",s_Irr!BF12="."),s_dir!AI12/((1/1000)*(s_Irr!H12)),IF(AND(s_Irr!H12=".",s_Irr!AG12=".",s_Irr!BF12="."),s_dir!AI12*1000)))))))),".")</f>
        <v>.</v>
      </c>
      <c r="BJ12" s="70" t="str">
        <f>IFERROR(IF(AND(s_Irr!I12&lt;&gt;".",s_Irr!AH12&lt;&gt;".",s_Irr!BG12&lt;&gt;"."),s_dir!AJ12/((1/1000)*(s_Irr!I12+s_Irr!AH12+s_Irr!BG12)),IF(AND(s_Irr!I12&lt;&gt;".",s_Irr!AH12&lt;&gt;".",s_Irr!BG12="."),s_dir!AJ12/((1/1000)*(s_Irr!I12+s_Irr!AH12)),IF(AND(s_Irr!I12&lt;&gt;".",s_Irr!AH12=".",s_Irr!BG12&lt;&gt;"."),s_dir!AJ12/((1/1000)*(s_Irr!I12+s_Irr!BG12)),IF(AND(s_Irr!I12=".",s_Irr!AH12&lt;&gt;".",s_Irr!BG12&lt;&gt;"."),s_dir!AJ12/((1/1000)*(s_Irr!AH12+s_Irr!BG12)),IF(AND(s_Irr!I12=".",s_Irr!AH12=".",s_Irr!BG12&lt;&gt;"."),s_dir!AJ12/((1/1000)*(s_Irr!BG12)),IF(AND(s_Irr!I12=".",s_Irr!AH12&lt;&gt;".",s_Irr!BG12="."),s_dir!AJ12/((1/1000)*(s_Irr!AH12)),IF(AND(s_Irr!I12&lt;&gt;".",s_Irr!AH12=".",s_Irr!BG12="."),s_dir!AJ12/((1/1000)*(s_Irr!I12)),IF(AND(s_Irr!I12=".",s_Irr!AH12=".",s_Irr!BG12="."),s_dir!AJ12*1000)))))))),".")</f>
        <v>.</v>
      </c>
      <c r="BK12" s="70" t="str">
        <f>IFERROR(IF(AND(s_Irr!J12&lt;&gt;".",s_Irr!AI12&lt;&gt;".",s_Irr!BH12&lt;&gt;"."),s_dir!AK12/((1/1000)*(s_Irr!J12+s_Irr!AI12+s_Irr!BH12)),IF(AND(s_Irr!J12&lt;&gt;".",s_Irr!AI12&lt;&gt;".",s_Irr!BH12="."),s_dir!AK12/((1/1000)*(s_Irr!J12+s_Irr!AI12)),IF(AND(s_Irr!J12&lt;&gt;".",s_Irr!AI12=".",s_Irr!BH12&lt;&gt;"."),s_dir!AK12/((1/1000)*(s_Irr!J12+s_Irr!BH12)),IF(AND(s_Irr!J12=".",s_Irr!AI12&lt;&gt;".",s_Irr!BH12&lt;&gt;"."),s_dir!AK12/((1/1000)*(s_Irr!AI12+s_Irr!BH12)),IF(AND(s_Irr!J12=".",s_Irr!AI12=".",s_Irr!BH12&lt;&gt;"."),s_dir!AK12/((1/1000)*(s_Irr!BH12)),IF(AND(s_Irr!J12=".",s_Irr!AI12&lt;&gt;".",s_Irr!BH12="."),s_dir!AK12/((1/1000)*(s_Irr!AI12)),IF(AND(s_Irr!J12&lt;&gt;".",s_Irr!AI12=".",s_Irr!BH12="."),s_dir!AK12/((1/1000)*(s_Irr!J12)),IF(AND(s_Irr!J12=".",s_Irr!AI12=".",s_Irr!BH12="."),s_dir!AK12*1000)))))))),".")</f>
        <v>.</v>
      </c>
      <c r="BL12" s="70" t="str">
        <f>IFERROR(IF(AND(s_Irr!K12&lt;&gt;".",s_Irr!AJ12&lt;&gt;".",s_Irr!BI12&lt;&gt;"."),s_dir!AL12/((1/1000)*(s_Irr!K12+s_Irr!AJ12+s_Irr!BI12)),IF(AND(s_Irr!K12&lt;&gt;".",s_Irr!AJ12&lt;&gt;".",s_Irr!BI12="."),s_dir!AL12/((1/1000)*(s_Irr!K12+s_Irr!AJ12)),IF(AND(s_Irr!K12&lt;&gt;".",s_Irr!AJ12=".",s_Irr!BI12&lt;&gt;"."),s_dir!AL12/((1/1000)*(s_Irr!K12+s_Irr!BI12)),IF(AND(s_Irr!K12=".",s_Irr!AJ12&lt;&gt;".",s_Irr!BI12&lt;&gt;"."),s_dir!AL12/((1/1000)*(s_Irr!AJ12+s_Irr!BI12)),IF(AND(s_Irr!K12=".",s_Irr!AJ12=".",s_Irr!BI12&lt;&gt;"."),s_dir!AL12/((1/1000)*(s_Irr!BI12)),IF(AND(s_Irr!K12=".",s_Irr!AJ12&lt;&gt;".",s_Irr!BI12="."),s_dir!AL12/((1/1000)*(s_Irr!AJ12)),IF(AND(s_Irr!K12&lt;&gt;".",s_Irr!AJ12=".",s_Irr!BI12="."),s_dir!AL12/((1/1000)*(s_Irr!K12)),IF(AND(s_Irr!K12=".",s_Irr!AJ12=".",s_Irr!BI12="."),s_dir!AL12*1000)))))))),".")</f>
        <v>.</v>
      </c>
      <c r="BM12" s="70" t="str">
        <f>IFERROR(IF(AND(s_Irr!L12&lt;&gt;".",s_Irr!AK12&lt;&gt;".",s_Irr!BJ12&lt;&gt;"."),s_dir!AM12/((1/1000)*(s_Irr!L12+s_Irr!AK12+s_Irr!BJ12)),IF(AND(s_Irr!L12&lt;&gt;".",s_Irr!AK12&lt;&gt;".",s_Irr!BJ12="."),s_dir!AM12/((1/1000)*(s_Irr!L12+s_Irr!AK12)),IF(AND(s_Irr!L12&lt;&gt;".",s_Irr!AK12=".",s_Irr!BJ12&lt;&gt;"."),s_dir!AM12/((1/1000)*(s_Irr!L12+s_Irr!BJ12)),IF(AND(s_Irr!L12=".",s_Irr!AK12&lt;&gt;".",s_Irr!BJ12&lt;&gt;"."),s_dir!AM12/((1/1000)*(s_Irr!AK12+s_Irr!BJ12)),IF(AND(s_Irr!L12=".",s_Irr!AK12=".",s_Irr!BJ12&lt;&gt;"."),s_dir!AM12/((1/1000)*(s_Irr!BJ12)),IF(AND(s_Irr!L12=".",s_Irr!AK12&lt;&gt;".",s_Irr!BJ12="."),s_dir!AM12/((1/1000)*(s_Irr!AK12)),IF(AND(s_Irr!L12&lt;&gt;".",s_Irr!AK12=".",s_Irr!BJ12="."),s_dir!AM12/((1/1000)*(s_Irr!L12)),IF(AND(s_Irr!L12=".",s_Irr!AK12=".",s_Irr!BJ12="."),s_dir!AM12*1000)))))))),".")</f>
        <v>.</v>
      </c>
      <c r="BN12" s="70" t="str">
        <f>IFERROR(IF(AND(s_Irr!M12&lt;&gt;".",s_Irr!AL12&lt;&gt;".",s_Irr!BK12&lt;&gt;"."),s_dir!AN12/((1/1000)*(s_Irr!M12+s_Irr!AL12+s_Irr!BK12)),IF(AND(s_Irr!M12&lt;&gt;".",s_Irr!AL12&lt;&gt;".",s_Irr!BK12="."),s_dir!AN12/((1/1000)*(s_Irr!M12+s_Irr!AL12)),IF(AND(s_Irr!M12&lt;&gt;".",s_Irr!AL12=".",s_Irr!BK12&lt;&gt;"."),s_dir!AN12/((1/1000)*(s_Irr!M12+s_Irr!BK12)),IF(AND(s_Irr!M12=".",s_Irr!AL12&lt;&gt;".",s_Irr!BK12&lt;&gt;"."),s_dir!AN12/((1/1000)*(s_Irr!AL12+s_Irr!BK12)),IF(AND(s_Irr!M12=".",s_Irr!AL12=".",s_Irr!BK12&lt;&gt;"."),s_dir!AN12/((1/1000)*(s_Irr!BK12)),IF(AND(s_Irr!M12=".",s_Irr!AL12&lt;&gt;".",s_Irr!BK12="."),s_dir!AN12/((1/1000)*(s_Irr!AL12)),IF(AND(s_Irr!M12&lt;&gt;".",s_Irr!AL12=".",s_Irr!BK12="."),s_dir!AN12/((1/1000)*(s_Irr!M12)),IF(AND(s_Irr!M12=".",s_Irr!AL12=".",s_Irr!BK12="."),s_dir!AN12*1000)))))))),".")</f>
        <v>.</v>
      </c>
      <c r="BO12" s="70" t="str">
        <f>IFERROR(IF(AND(s_Irr!N12&lt;&gt;".",s_Irr!AM12&lt;&gt;".",s_Irr!BL12&lt;&gt;"."),s_dir!AO12/((1/1000)*(s_Irr!N12+s_Irr!AM12+s_Irr!BL12)),IF(AND(s_Irr!N12&lt;&gt;".",s_Irr!AM12&lt;&gt;".",s_Irr!BL12="."),s_dir!AO12/((1/1000)*(s_Irr!N12+s_Irr!AM12)),IF(AND(s_Irr!N12&lt;&gt;".",s_Irr!AM12=".",s_Irr!BL12&lt;&gt;"."),s_dir!AO12/((1/1000)*(s_Irr!N12+s_Irr!BL12)),IF(AND(s_Irr!N12=".",s_Irr!AM12&lt;&gt;".",s_Irr!BL12&lt;&gt;"."),s_dir!AO12/((1/1000)*(s_Irr!AM12+s_Irr!BL12)),IF(AND(s_Irr!N12=".",s_Irr!AM12=".",s_Irr!BL12&lt;&gt;"."),s_dir!AO12/((1/1000)*(s_Irr!BL12)),IF(AND(s_Irr!N12=".",s_Irr!AM12&lt;&gt;".",s_Irr!BL12="."),s_dir!AO12/((1/1000)*(s_Irr!AM12)),IF(AND(s_Irr!N12&lt;&gt;".",s_Irr!AM12=".",s_Irr!BL12="."),s_dir!AO12/((1/1000)*(s_Irr!N12)),IF(AND(s_Irr!N12=".",s_Irr!AM12=".",s_Irr!BL12="."),s_dir!AO12*1000)))))))),".")</f>
        <v>.</v>
      </c>
      <c r="BP12" s="70" t="str">
        <f>IFERROR(IF(AND(s_Irr!O12&lt;&gt;".",s_Irr!AN12&lt;&gt;".",s_Irr!BM12&lt;&gt;"."),s_dir!AP12/((1/1000)*(s_Irr!O12+s_Irr!AN12+s_Irr!BM12)),IF(AND(s_Irr!O12&lt;&gt;".",s_Irr!AN12&lt;&gt;".",s_Irr!BM12="."),s_dir!AP12/((1/1000)*(s_Irr!O12+s_Irr!AN12)),IF(AND(s_Irr!O12&lt;&gt;".",s_Irr!AN12=".",s_Irr!BM12&lt;&gt;"."),s_dir!AP12/((1/1000)*(s_Irr!O12+s_Irr!BM12)),IF(AND(s_Irr!O12=".",s_Irr!AN12&lt;&gt;".",s_Irr!BM12&lt;&gt;"."),s_dir!AP12/((1/1000)*(s_Irr!AN12+s_Irr!BM12)),IF(AND(s_Irr!O12=".",s_Irr!AN12=".",s_Irr!BM12&lt;&gt;"."),s_dir!AP12/((1/1000)*(s_Irr!BM12)),IF(AND(s_Irr!O12=".",s_Irr!AN12&lt;&gt;".",s_Irr!BM12="."),s_dir!AP12/((1/1000)*(s_Irr!AN12)),IF(AND(s_Irr!O12&lt;&gt;".",s_Irr!AN12=".",s_Irr!BM12="."),s_dir!AP12/((1/1000)*(s_Irr!O12)),IF(AND(s_Irr!O12=".",s_Irr!AN12=".",s_Irr!BM12="."),s_dir!AP12*1000)))))))),".")</f>
        <v>.</v>
      </c>
      <c r="BQ12" s="70" t="str">
        <f>IFERROR(IF(AND(s_Irr!P12&lt;&gt;".",s_Irr!AO12&lt;&gt;".",s_Irr!BN12&lt;&gt;"."),s_dir!AQ12/((1/1000)*(s_Irr!P12+s_Irr!AO12+s_Irr!BN12)),IF(AND(s_Irr!P12&lt;&gt;".",s_Irr!AO12&lt;&gt;".",s_Irr!BN12="."),s_dir!AQ12/((1/1000)*(s_Irr!P12+s_Irr!AO12)),IF(AND(s_Irr!P12&lt;&gt;".",s_Irr!AO12=".",s_Irr!BN12&lt;&gt;"."),s_dir!AQ12/((1/1000)*(s_Irr!P12+s_Irr!BN12)),IF(AND(s_Irr!P12=".",s_Irr!AO12&lt;&gt;".",s_Irr!BN12&lt;&gt;"."),s_dir!AQ12/((1/1000)*(s_Irr!AO12+s_Irr!BN12)),IF(AND(s_Irr!P12=".",s_Irr!AO12=".",s_Irr!BN12&lt;&gt;"."),s_dir!AQ12/((1/1000)*(s_Irr!BN12)),IF(AND(s_Irr!P12=".",s_Irr!AO12&lt;&gt;".",s_Irr!BN12="."),s_dir!AQ12/((1/1000)*(s_Irr!AO12)),IF(AND(s_Irr!P12&lt;&gt;".",s_Irr!AO12=".",s_Irr!BN12="."),s_dir!AQ12/((1/1000)*(s_Irr!P12)),IF(AND(s_Irr!P12=".",s_Irr!AO12=".",s_Irr!BN12="."),s_dir!AQ12*1000)))))))),".")</f>
        <v>.</v>
      </c>
      <c r="BR12" s="70" t="str">
        <f>IFERROR(IF(AND(s_Irr!Q12&lt;&gt;".",s_Irr!AP12&lt;&gt;".",s_Irr!BO12&lt;&gt;"."),s_dir!AR12/((1/1000)*(s_Irr!Q12+s_Irr!AP12+s_Irr!BO12)),IF(AND(s_Irr!Q12&lt;&gt;".",s_Irr!AP12&lt;&gt;".",s_Irr!BO12="."),s_dir!AR12/((1/1000)*(s_Irr!Q12+s_Irr!AP12)),IF(AND(s_Irr!Q12&lt;&gt;".",s_Irr!AP12=".",s_Irr!BO12&lt;&gt;"."),s_dir!AR12/((1/1000)*(s_Irr!Q12+s_Irr!BO12)),IF(AND(s_Irr!Q12=".",s_Irr!AP12&lt;&gt;".",s_Irr!BO12&lt;&gt;"."),s_dir!AR12/((1/1000)*(s_Irr!AP12+s_Irr!BO12)),IF(AND(s_Irr!Q12=".",s_Irr!AP12=".",s_Irr!BO12&lt;&gt;"."),s_dir!AR12/((1/1000)*(s_Irr!BO12)),IF(AND(s_Irr!Q12=".",s_Irr!AP12&lt;&gt;".",s_Irr!BO12="."),s_dir!AR12/((1/1000)*(s_Irr!AP12)),IF(AND(s_Irr!Q12&lt;&gt;".",s_Irr!AP12=".",s_Irr!BO12="."),s_dir!AR12/((1/1000)*(s_Irr!Q12)),IF(AND(s_Irr!Q12=".",s_Irr!AP12=".",s_Irr!BO12="."),s_dir!AR12*1000)))))))),".")</f>
        <v>.</v>
      </c>
      <c r="BS12" s="70" t="str">
        <f>IFERROR(IF(AND(s_Irr!R12&lt;&gt;".",s_Irr!AQ12&lt;&gt;".",s_Irr!BP12&lt;&gt;"."),s_dir!AS12/((1/1000)*(s_Irr!R12+s_Irr!AQ12+s_Irr!BP12)),IF(AND(s_Irr!R12&lt;&gt;".",s_Irr!AQ12&lt;&gt;".",s_Irr!BP12="."),s_dir!AS12/((1/1000)*(s_Irr!R12+s_Irr!AQ12)),IF(AND(s_Irr!R12&lt;&gt;".",s_Irr!AQ12=".",s_Irr!BP12&lt;&gt;"."),s_dir!AS12/((1/1000)*(s_Irr!R12+s_Irr!BP12)),IF(AND(s_Irr!R12=".",s_Irr!AQ12&lt;&gt;".",s_Irr!BP12&lt;&gt;"."),s_dir!AS12/((1/1000)*(s_Irr!AQ12+s_Irr!BP12)),IF(AND(s_Irr!R12=".",s_Irr!AQ12=".",s_Irr!BP12&lt;&gt;"."),s_dir!AS12/((1/1000)*(s_Irr!BP12)),IF(AND(s_Irr!R12=".",s_Irr!AQ12&lt;&gt;".",s_Irr!BP12="."),s_dir!AS12/((1/1000)*(s_Irr!AQ12)),IF(AND(s_Irr!R12&lt;&gt;".",s_Irr!AQ12=".",s_Irr!BP12="."),s_dir!AS12/((1/1000)*(s_Irr!R12)),IF(AND(s_Irr!R12=".",s_Irr!AQ12=".",s_Irr!BP12="."),s_dir!AS12*1000)))))))),".")</f>
        <v>.</v>
      </c>
      <c r="BT12" s="70" t="str">
        <f>IFERROR(IF(AND(s_Irr!S12&lt;&gt;".",s_Irr!AR12&lt;&gt;".",s_Irr!BQ12&lt;&gt;"."),s_dir!AT12/((1/1000)*(s_Irr!S12+s_Irr!AR12+s_Irr!BQ12)),IF(AND(s_Irr!S12&lt;&gt;".",s_Irr!AR12&lt;&gt;".",s_Irr!BQ12="."),s_dir!AT12/((1/1000)*(s_Irr!S12+s_Irr!AR12)),IF(AND(s_Irr!S12&lt;&gt;".",s_Irr!AR12=".",s_Irr!BQ12&lt;&gt;"."),s_dir!AT12/((1/1000)*(s_Irr!S12+s_Irr!BQ12)),IF(AND(s_Irr!S12=".",s_Irr!AR12&lt;&gt;".",s_Irr!BQ12&lt;&gt;"."),s_dir!AT12/((1/1000)*(s_Irr!AR12+s_Irr!BQ12)),IF(AND(s_Irr!S12=".",s_Irr!AR12=".",s_Irr!BQ12&lt;&gt;"."),s_dir!AT12/((1/1000)*(s_Irr!BQ12)),IF(AND(s_Irr!S12=".",s_Irr!AR12&lt;&gt;".",s_Irr!BQ12="."),s_dir!AT12/((1/1000)*(s_Irr!AR12)),IF(AND(s_Irr!S12&lt;&gt;".",s_Irr!AR12=".",s_Irr!BQ12="."),s_dir!AT12/((1/1000)*(s_Irr!S12)),IF(AND(s_Irr!S12=".",s_Irr!AR12=".",s_Irr!BQ12="."),s_dir!AT12*1000)))))))),".")</f>
        <v>.</v>
      </c>
      <c r="BU12" s="70" t="str">
        <f>IFERROR(IF(AND(s_Irr!T12&lt;&gt;".",s_Irr!AS12&lt;&gt;".",s_Irr!BR12&lt;&gt;"."),s_dir!AU12/((1/1000)*(s_Irr!T12+s_Irr!AS12+s_Irr!BR12)),IF(AND(s_Irr!T12&lt;&gt;".",s_Irr!AS12&lt;&gt;".",s_Irr!BR12="."),s_dir!AU12/((1/1000)*(s_Irr!T12+s_Irr!AS12)),IF(AND(s_Irr!T12&lt;&gt;".",s_Irr!AS12=".",s_Irr!BR12&lt;&gt;"."),s_dir!AU12/((1/1000)*(s_Irr!T12+s_Irr!BR12)),IF(AND(s_Irr!T12=".",s_Irr!AS12&lt;&gt;".",s_Irr!BR12&lt;&gt;"."),s_dir!AU12/((1/1000)*(s_Irr!AS12+s_Irr!BR12)),IF(AND(s_Irr!T12=".",s_Irr!AS12=".",s_Irr!BR12&lt;&gt;"."),s_dir!AU12/((1/1000)*(s_Irr!BR12)),IF(AND(s_Irr!T12=".",s_Irr!AS12&lt;&gt;".",s_Irr!BR12="."),s_dir!AU12/((1/1000)*(s_Irr!AS12)),IF(AND(s_Irr!T12&lt;&gt;".",s_Irr!AS12=".",s_Irr!BR12="."),s_dir!AU12/((1/1000)*(s_Irr!T12)),IF(AND(s_Irr!T12=".",s_Irr!AS12=".",s_Irr!BR12="."),s_dir!AU12*1000)))))))),".")</f>
        <v>.</v>
      </c>
      <c r="BV12" s="70" t="str">
        <f>IFERROR(IF(AND(s_Irr!U12&lt;&gt;".",s_Irr!AT12&lt;&gt;".",s_Irr!BS12&lt;&gt;"."),s_dir!AV12/((1/1000)*(s_Irr!U12+s_Irr!AT12+s_Irr!BS12)),IF(AND(s_Irr!U12&lt;&gt;".",s_Irr!AT12&lt;&gt;".",s_Irr!BS12="."),s_dir!AV12/((1/1000)*(s_Irr!U12+s_Irr!AT12)),IF(AND(s_Irr!U12&lt;&gt;".",s_Irr!AT12=".",s_Irr!BS12&lt;&gt;"."),s_dir!AV12/((1/1000)*(s_Irr!U12+s_Irr!BS12)),IF(AND(s_Irr!U12=".",s_Irr!AT12&lt;&gt;".",s_Irr!BS12&lt;&gt;"."),s_dir!AV12/((1/1000)*(s_Irr!AT12+s_Irr!BS12)),IF(AND(s_Irr!U12=".",s_Irr!AT12=".",s_Irr!BS12&lt;&gt;"."),s_dir!AV12/((1/1000)*(s_Irr!BS12)),IF(AND(s_Irr!U12=".",s_Irr!AT12&lt;&gt;".",s_Irr!BS12="."),s_dir!AV12/((1/1000)*(s_Irr!AT12)),IF(AND(s_Irr!U12&lt;&gt;".",s_Irr!AT12=".",s_Irr!BS12="."),s_dir!AV12/((1/1000)*(s_Irr!U12)),IF(AND(s_Irr!U12=".",s_Irr!AT12=".",s_Irr!BS12="."),s_dir!AV12*1000)))))))),".")</f>
        <v>.</v>
      </c>
      <c r="BW12" s="70" t="str">
        <f>IFERROR(IF(AND(s_Irr!V12&lt;&gt;".",s_Irr!AU12&lt;&gt;".",s_Irr!BT12&lt;&gt;"."),s_dir!AW12/((1/1000)*(s_Irr!V12+s_Irr!AU12+s_Irr!BT12)),IF(AND(s_Irr!V12&lt;&gt;".",s_Irr!AU12&lt;&gt;".",s_Irr!BT12="."),s_dir!AW12/((1/1000)*(s_Irr!V12+s_Irr!AU12)),IF(AND(s_Irr!V12&lt;&gt;".",s_Irr!AU12=".",s_Irr!BT12&lt;&gt;"."),s_dir!AW12/((1/1000)*(s_Irr!V12+s_Irr!BT12)),IF(AND(s_Irr!V12=".",s_Irr!AU12&lt;&gt;".",s_Irr!BT12&lt;&gt;"."),s_dir!AW12/((1/1000)*(s_Irr!AU12+s_Irr!BT12)),IF(AND(s_Irr!V12=".",s_Irr!AU12=".",s_Irr!BT12&lt;&gt;"."),s_dir!AW12/((1/1000)*(s_Irr!BT12)),IF(AND(s_Irr!V12=".",s_Irr!AU12&lt;&gt;".",s_Irr!BT12="."),s_dir!AW12/((1/1000)*(s_Irr!AU12)),IF(AND(s_Irr!V12&lt;&gt;".",s_Irr!AU12=".",s_Irr!BT12="."),s_dir!AW12/((1/1000)*(s_Irr!V12)),IF(AND(s_Irr!V12=".",s_Irr!AU12=".",s_Irr!BT12="."),s_dir!AW12*1000)))))))),".")</f>
        <v>.</v>
      </c>
      <c r="BX12" s="70" t="str">
        <f>IFERROR(IF(AND(s_Irr!W12&lt;&gt;".",s_Irr!AV12&lt;&gt;".",s_Irr!BU12&lt;&gt;"."),s_dir!AX12/((1/1000)*(s_Irr!W12+s_Irr!AV12+s_Irr!BU12)),IF(AND(s_Irr!W12&lt;&gt;".",s_Irr!AV12&lt;&gt;".",s_Irr!BU12="."),s_dir!AX12/((1/1000)*(s_Irr!W12+s_Irr!AV12)),IF(AND(s_Irr!W12&lt;&gt;".",s_Irr!AV12=".",s_Irr!BU12&lt;&gt;"."),s_dir!AX12/((1/1000)*(s_Irr!W12+s_Irr!BU12)),IF(AND(s_Irr!W12=".",s_Irr!AV12&lt;&gt;".",s_Irr!BU12&lt;&gt;"."),s_dir!AX12/((1/1000)*(s_Irr!AV12+s_Irr!BU12)),IF(AND(s_Irr!W12=".",s_Irr!AV12=".",s_Irr!BU12&lt;&gt;"."),s_dir!AX12/((1/1000)*(s_Irr!BU12)),IF(AND(s_Irr!W12=".",s_Irr!AV12&lt;&gt;".",s_Irr!BU12="."),s_dir!AX12/((1/1000)*(s_Irr!AV12)),IF(AND(s_Irr!W12&lt;&gt;".",s_Irr!AV12=".",s_Irr!BU12="."),s_dir!AX12/((1/1000)*(s_Irr!W12)),IF(AND(s_Irr!W12=".",s_Irr!AV12=".",s_Irr!BU12="."),s_dir!AX12*1000)))))))),".")</f>
        <v>.</v>
      </c>
      <c r="BY12" s="70" t="str">
        <f>IFERROR(IF(AND(s_Irr!X12&lt;&gt;".",s_Irr!AW12&lt;&gt;".",s_Irr!BV12&lt;&gt;"."),s_dir!AY12/((1/1000)*(s_Irr!X12+s_Irr!AW12+s_Irr!BV12)),IF(AND(s_Irr!X12&lt;&gt;".",s_Irr!AW12&lt;&gt;".",s_Irr!BV12="."),s_dir!AY12/((1/1000)*(s_Irr!X12+s_Irr!AW12)),IF(AND(s_Irr!X12&lt;&gt;".",s_Irr!AW12=".",s_Irr!BV12&lt;&gt;"."),s_dir!AY12/((1/1000)*(s_Irr!X12+s_Irr!BV12)),IF(AND(s_Irr!X12=".",s_Irr!AW12&lt;&gt;".",s_Irr!BV12&lt;&gt;"."),s_dir!AY12/((1/1000)*(s_Irr!AW12+s_Irr!BV12)),IF(AND(s_Irr!X12=".",s_Irr!AW12=".",s_Irr!BV12&lt;&gt;"."),s_dir!AY12/((1/1000)*(s_Irr!BV12)),IF(AND(s_Irr!X12=".",s_Irr!AW12&lt;&gt;".",s_Irr!BV12="."),s_dir!AY12/((1/1000)*(s_Irr!AW12)),IF(AND(s_Irr!X12&lt;&gt;".",s_Irr!AW12=".",s_Irr!BV12="."),s_dir!AY12/((1/1000)*(s_Irr!X12)),IF(AND(s_Irr!X12=".",s_Irr!AW12=".",s_Irr!BV12="."),s_dir!AY12*1000)))))))),".")</f>
        <v>.</v>
      </c>
      <c r="BZ12" s="70" t="str">
        <f>IFERROR(IF(AND(s_Irr!Y12&lt;&gt;".",s_Irr!AX12&lt;&gt;".",s_Irr!BW12&lt;&gt;"."),s_dir!AZ12/((1/1000)*(s_Irr!Y12+s_Irr!AX12+s_Irr!BW12)),IF(AND(s_Irr!Y12&lt;&gt;".",s_Irr!AX12&lt;&gt;".",s_Irr!BW12="."),s_dir!AZ12/((1/1000)*(s_Irr!Y12+s_Irr!AX12)),IF(AND(s_Irr!Y12&lt;&gt;".",s_Irr!AX12=".",s_Irr!BW12&lt;&gt;"."),s_dir!AZ12/((1/1000)*(s_Irr!Y12+s_Irr!BW12)),IF(AND(s_Irr!Y12=".",s_Irr!AX12&lt;&gt;".",s_Irr!BW12&lt;&gt;"."),s_dir!AZ12/((1/1000)*(s_Irr!AX12+s_Irr!BW12)),IF(AND(s_Irr!Y12=".",s_Irr!AX12=".",s_Irr!BW12&lt;&gt;"."),s_dir!AZ12/((1/1000)*(s_Irr!BW12)),IF(AND(s_Irr!Y12=".",s_Irr!AX12&lt;&gt;".",s_Irr!BW12="."),s_dir!AZ12/((1/1000)*(s_Irr!AX12)),IF(AND(s_Irr!Y12&lt;&gt;".",s_Irr!AX12=".",s_Irr!BW12="."),s_dir!AZ12/((1/1000)*(s_Irr!Y12)),IF(AND(s_Irr!Y12=".",s_Irr!AX12=".",s_Irr!BW12="."),s_dir!AZ12*1000)))))))),".")</f>
        <v>.</v>
      </c>
      <c r="CA12" s="70" t="str">
        <f>IFERROR(IF(AND(s_Irr!Z12&lt;&gt;".",s_Irr!AY12&lt;&gt;".",s_Irr!BX12&lt;&gt;"."),s_dir!BA12/((1/1000)*(s_Irr!Z12+s_Irr!AY12+s_Irr!BX12)),IF(AND(s_Irr!Z12&lt;&gt;".",s_Irr!AY12&lt;&gt;".",s_Irr!BX12="."),s_dir!BA12/((1/1000)*(s_Irr!Z12+s_Irr!AY12)),IF(AND(s_Irr!Z12&lt;&gt;".",s_Irr!AY12=".",s_Irr!BX12&lt;&gt;"."),s_dir!BA12/((1/1000)*(s_Irr!Z12+s_Irr!BX12)),IF(AND(s_Irr!Z12=".",s_Irr!AY12&lt;&gt;".",s_Irr!BX12&lt;&gt;"."),s_dir!BA12/((1/1000)*(s_Irr!AY12+s_Irr!BX12)),IF(AND(s_Irr!Z12=".",s_Irr!AY12=".",s_Irr!BX12&lt;&gt;"."),s_dir!BA12/((1/1000)*(s_Irr!BX12)),IF(AND(s_Irr!Z12=".",s_Irr!AY12&lt;&gt;".",s_Irr!BX12="."),s_dir!BA12/((1/1000)*(s_Irr!AY12)),IF(AND(s_Irr!Z12&lt;&gt;".",s_Irr!AY12=".",s_Irr!BX12="."),s_dir!BA12/((1/1000)*(s_Irr!Z12)),IF(AND(s_Irr!Z12=".",s_Irr!AY12=".",s_Irr!BX12="."),s_dir!BA12*1000)))))))),".")</f>
        <v>.</v>
      </c>
      <c r="CB12" s="70" t="str">
        <f>IFERROR(IF(AND(s_Irr!AA12&lt;&gt;".",s_Irr!AZ12&lt;&gt;".",s_Irr!BY12&lt;&gt;"."),s_dir!BB12/((1/1000)*(s_Irr!AA12+s_Irr!AZ12+s_Irr!BY12)),IF(AND(s_Irr!AA12&lt;&gt;".",s_Irr!AZ12&lt;&gt;".",s_Irr!BY12="."),s_dir!BB12/((1/1000)*(s_Irr!AA12+s_Irr!AZ12)),IF(AND(s_Irr!AA12&lt;&gt;".",s_Irr!AZ12=".",s_Irr!BY12&lt;&gt;"."),s_dir!BB12/((1/1000)*(s_Irr!AA12+s_Irr!BY12)),IF(AND(s_Irr!AA12=".",s_Irr!AZ12&lt;&gt;".",s_Irr!BY12&lt;&gt;"."),s_dir!BB12/((1/1000)*(s_Irr!AZ12+s_Irr!BY12)),IF(AND(s_Irr!AA12=".",s_Irr!AZ12=".",s_Irr!BY12&lt;&gt;"."),s_dir!BB12/((1/1000)*(s_Irr!BY12)),IF(AND(s_Irr!AA12=".",s_Irr!AZ12&lt;&gt;".",s_Irr!BY12="."),s_dir!BB12/((1/1000)*(s_Irr!AZ12)),IF(AND(s_Irr!AA12&lt;&gt;".",s_Irr!AZ12=".",s_Irr!BY12="."),s_dir!BB12/((1/1000)*(s_Irr!AA12)),IF(AND(s_Irr!AA12=".",s_Irr!AZ12=".",s_Irr!BY12="."),s_dir!BB12*1000)))))))),".")</f>
        <v>.</v>
      </c>
      <c r="CC12" s="87">
        <f t="shared" si="2"/>
        <v>2157.03751704873</v>
      </c>
      <c r="CD12" s="87">
        <f>IFERROR(s_C*s_IFAP_far_adj*s_CF_apple*(1/1000)*(s_Irr!C12+s_Irr!AB12+s_Irr!BA12),".")</f>
        <v>539.25937926218251</v>
      </c>
      <c r="CE12" s="87">
        <f>IFERROR(s_C*s_IFAS_far_adj*s_CF_asparagus*(1/1000)*(s_Irr!D12+s_Irr!AC12+s_Irr!BB12),".")</f>
        <v>539.25937926218251</v>
      </c>
      <c r="CF12" s="87">
        <f>IFERROR(s_C*s_IFBT_far_adj*s_CF_beet*(1/1000)*(s_Irr!E12+s_Irr!AD12+s_Irr!BC12),".")</f>
        <v>539.25937926218251</v>
      </c>
      <c r="CG12" s="87">
        <f>IFERROR(s_C*s_IFBE_far_adj*s_CF_berries*(1/1000)*(s_Irr!F12+s_Irr!AE12+s_Irr!BD12),".")</f>
        <v>539.25937926218251</v>
      </c>
      <c r="CH12" s="87">
        <f>IFERROR(s_C*s_IFBR_far_adj*s_CF_broccoli*(1/1000)*(s_Irr!G12+s_Irr!AF12+s_Irr!BE12),".")</f>
        <v>539.25937926218251</v>
      </c>
      <c r="CI12" s="87">
        <f>IFERROR(s_C*s_IFCB_far_adj*s_CF_cabbage*(1/1000)*(s_Irr!H12+s_Irr!AG12+s_Irr!BF12),".")</f>
        <v>539.25937926218251</v>
      </c>
      <c r="CJ12" s="87">
        <f>IFERROR(s_C*s_IFCR_far_adj*s_CF_carrot*(1/1000)*(s_Irr!I12+s_Irr!AH12+s_Irr!BG12),".")</f>
        <v>539.25937926218251</v>
      </c>
      <c r="CK12" s="87">
        <f>IFERROR(s_C*s_IFCI_far_adj*s_CF_citrus*(1/1000)*(s_Irr!J12+s_Irr!AI12+s_Irr!BH12),".")</f>
        <v>539.25937926218251</v>
      </c>
      <c r="CL12" s="87">
        <f>IFERROR(s_C*s_IFCO_far_adj*s_CF_corn*(1/1000)*(s_Irr!K12+s_Irr!AJ12+s_Irr!BI12),".")</f>
        <v>539.25937926218251</v>
      </c>
      <c r="CM12" s="87">
        <f>IFERROR(s_C*s_IFCU_far_adj*s_CF_cucumber*(1/1000)*(s_Irr!L12+s_Irr!AK12+s_Irr!BJ12),".")</f>
        <v>539.25937926218251</v>
      </c>
      <c r="CN12" s="87">
        <f>IFERROR(s_C*s_IFLE_far_adj*s_CF_lettuce*(1/1000)*(s_Irr!M12+s_Irr!AL12+s_Irr!BK12),".")</f>
        <v>539.25937926218251</v>
      </c>
      <c r="CO12" s="87">
        <f>IFERROR(s_C*s_IFLI_far_adj*s_CF_lima_bean*(1/1000)*(s_Irr!N12+s_Irr!AM12+s_Irr!BL12),".")</f>
        <v>539.25937926218251</v>
      </c>
      <c r="CP12" s="87">
        <f>IFERROR(s_C*s_IFOK_far_adj*s_CF_okra*(1/1000)*(s_Irr!O12+s_Irr!AN12+s_Irr!BM12),".")</f>
        <v>539.25937926218251</v>
      </c>
      <c r="CQ12" s="87">
        <f>IFERROR(s_C*s_IFON_far_adj*s_CF_onion*(1/1000)*(s_Irr!P12+s_Irr!AO12+s_Irr!BN12),".")</f>
        <v>539.25937926218251</v>
      </c>
      <c r="CR12" s="87">
        <f>IFERROR(s_C*s_IFPC_far_adj*s_CF_peach*(1/1000)*(s_Irr!Q12+s_Irr!AP12+s_Irr!BO12),".")</f>
        <v>539.25937926218251</v>
      </c>
      <c r="CS12" s="87">
        <f>IFERROR(s_C*s_IFPR_far_adj*s_CF_pear*(1/1000)*(s_Irr!R12+s_Irr!AQ12+s_Irr!BP12),".")</f>
        <v>539.25937926218251</v>
      </c>
      <c r="CT12" s="87">
        <f>IFERROR(s_C*s_IFPE_far_adj*s_CF_peas*(1/1000)*(s_Irr!S12+s_Irr!AR12+s_Irr!BQ12),".")</f>
        <v>539.25937926218251</v>
      </c>
      <c r="CU12" s="87">
        <f>IFERROR(s_C*s_IFPP_far_adj*s_CF_peppers*(1/1000)*(s_Irr!T12+s_Irr!AS12+s_Irr!BR12),".")</f>
        <v>539.25937926218251</v>
      </c>
      <c r="CV12" s="87">
        <f>IFERROR(s_C*s_IFPT_far_adj*s_CF_potato*(1/1000)*(s_Irr!U12+s_Irr!AT12+s_Irr!BS12),".")</f>
        <v>539.25937926218251</v>
      </c>
      <c r="CW12" s="87">
        <f>IFERROR(s_C*s_IFPU_far_adj*s_CF_pumpkin*(1/1000)*(s_Irr!V12+s_Irr!AU12+s_Irr!BT12),".")</f>
        <v>539.25937926218251</v>
      </c>
      <c r="CX12" s="87">
        <f>IFERROR(s_C*s_IFSN_far_adj*s_CF_snap_bean*(1/1000)*(s_Irr!W12+s_Irr!AV12+s_Irr!BU12),".")</f>
        <v>539.25937926218251</v>
      </c>
      <c r="CY12" s="87">
        <f>IFERROR(s_C*s_IFST_far_adj*s_CF_strawberry*(1/1000)*(s_Irr!X12+s_Irr!AW12+s_Irr!BV12),".")</f>
        <v>539.25937926218251</v>
      </c>
      <c r="CZ12" s="87">
        <f>IFERROR(s_C*s_IFTO_far_adj*s_CF_tomato*(1/1000)*(s_Irr!Y12+s_Irr!AX12+s_Irr!BW12),".")</f>
        <v>539.25937926218251</v>
      </c>
      <c r="DA12" s="87">
        <f>IFERROR(s_C*s_IFRI_far_adj*s_CF_rice*(1/1000)*(s_Irr!Z12+s_Irr!AY12+s_Irr!BX12),".")</f>
        <v>539.25937926218251</v>
      </c>
      <c r="DB12" s="87">
        <f>IFERROR(s_C*s_IFCG_far_adj*s_CF_cereal*(1/1000)*(s_Irr!AA12+s_Irr!AZ12+s_Irr!BY12),".")</f>
        <v>539.25937926218251</v>
      </c>
    </row>
    <row r="13" spans="1:106" ht="15" customHeight="1" x14ac:dyDescent="0.25">
      <c r="A13" s="86" t="s">
        <v>11</v>
      </c>
      <c r="B13" s="84" t="s">
        <v>1057</v>
      </c>
      <c r="C13" s="15">
        <f t="shared" si="3"/>
        <v>130.0193234834432</v>
      </c>
      <c r="D13" s="70">
        <f>IFERROR(IF(AND(s_Irr!C13&lt;&gt;".",s_Irr!AB13&lt;&gt;".",s_Irr!BA13&lt;&gt;"."),s_dir!D13/((1/1000)*(s_Irr!C13+s_Irr!AB13+s_Irr!BA13)),IF(AND(s_Irr!C13&lt;&gt;".",s_Irr!AB13&lt;&gt;".",s_Irr!BA13="."),s_dir!D13/((1/1000)*(s_Irr!C13+s_Irr!AB13)),IF(AND(s_Irr!C13&lt;&gt;".",s_Irr!AB13=".",s_Irr!BA13&lt;&gt;"."),s_dir!D13/((1/1000)*(s_Irr!C13+s_Irr!BA13)),IF(AND(s_Irr!C13=".",s_Irr!AB13&lt;&gt;".",s_Irr!BA13&lt;&gt;"."),s_dir!D13/((1/1000)*(s_Irr!AB13+s_Irr!BA13)),IF(AND(s_Irr!C13=".",s_Irr!AB13=".",s_Irr!BA13&lt;&gt;"."),s_dir!D13/((1/1000)*(s_Irr!BA13)),IF(AND(s_Irr!C13=".",s_Irr!AB13&lt;&gt;".",s_Irr!BA13="."),s_dir!D13/((1/1000)*(s_Irr!AB13)),IF(AND(s_Irr!C13&lt;&gt;".",s_Irr!AB13=".",s_Irr!BA13="."),s_dir!D13/((1/1000)*(s_Irr!C13)),IF(AND(s_Irr!C13=".",s_Irr!AB13=".",s_Irr!BA13="."),s_dir!D13*1000)))))))),".")</f>
        <v>607.97799078525463</v>
      </c>
      <c r="E13" s="70">
        <f>IFERROR(IF(AND(s_Irr!D13&lt;&gt;".",s_Irr!AC13&lt;&gt;".",s_Irr!BB13&lt;&gt;"."),s_dir!E13/((1/1000)*(s_Irr!D13+s_Irr!AC13+s_Irr!BB13)),IF(AND(s_Irr!D13&lt;&gt;".",s_Irr!AC13&lt;&gt;".",s_Irr!BB13="."),s_dir!E13/((1/1000)*(s_Irr!D13+s_Irr!AC13)),IF(AND(s_Irr!D13&lt;&gt;".",s_Irr!AC13=".",s_Irr!BB13&lt;&gt;"."),s_dir!E13/((1/1000)*(s_Irr!D13+s_Irr!BB13)),IF(AND(s_Irr!D13=".",s_Irr!AC13&lt;&gt;".",s_Irr!BB13&lt;&gt;"."),s_dir!E13/((1/1000)*(s_Irr!AC13+s_Irr!BB13)),IF(AND(s_Irr!D13=".",s_Irr!AC13=".",s_Irr!BB13&lt;&gt;"."),s_dir!E13/((1/1000)*(s_Irr!BB13)),IF(AND(s_Irr!D13=".",s_Irr!AC13&lt;&gt;".",s_Irr!BB13="."),s_dir!E13/((1/1000)*(s_Irr!AC13)),IF(AND(s_Irr!D13&lt;&gt;".",s_Irr!AC13=".",s_Irr!BB13="."),s_dir!E13/((1/1000)*(s_Irr!D13)),IF(AND(s_Irr!D13=".",s_Irr!AC13=".",s_Irr!BB13="."),s_dir!E13*1000)))))))),".")</f>
        <v>418.92847572913536</v>
      </c>
      <c r="F13" s="70">
        <f>IFERROR(IF(AND(s_Irr!E13&lt;&gt;".",s_Irr!AD13&lt;&gt;".",s_Irr!BC13&lt;&gt;"."),s_dir!F13/((1/1000)*(s_Irr!E13+s_Irr!AD13+s_Irr!BC13)),IF(AND(s_Irr!E13&lt;&gt;".",s_Irr!AD13&lt;&gt;".",s_Irr!BC13="."),s_dir!F13/((1/1000)*(s_Irr!E13+s_Irr!AD13)),IF(AND(s_Irr!E13&lt;&gt;".",s_Irr!AD13=".",s_Irr!BC13&lt;&gt;"."),s_dir!F13/((1/1000)*(s_Irr!E13+s_Irr!BC13)),IF(AND(s_Irr!E13=".",s_Irr!AD13&lt;&gt;".",s_Irr!BC13&lt;&gt;"."),s_dir!F13/((1/1000)*(s_Irr!AD13+s_Irr!BC13)),IF(AND(s_Irr!E13=".",s_Irr!AD13=".",s_Irr!BC13&lt;&gt;"."),s_dir!F13/((1/1000)*(s_Irr!BC13)),IF(AND(s_Irr!E13=".",s_Irr!AD13&lt;&gt;".",s_Irr!BC13="."),s_dir!F13/((1/1000)*(s_Irr!AD13)),IF(AND(s_Irr!E13&lt;&gt;".",s_Irr!AD13=".",s_Irr!BC13="."),s_dir!F13/((1/1000)*(s_Irr!E13)),IF(AND(s_Irr!E13=".",s_Irr!AD13=".",s_Irr!BC13="."),s_dir!F13*1000)))))))),".")</f>
        <v>444.83096256298921</v>
      </c>
      <c r="G13" s="70">
        <f>IFERROR(IF(AND(s_Irr!F13&lt;&gt;".",s_Irr!AE13&lt;&gt;".",s_Irr!BD13&lt;&gt;"."),s_dir!G13/((1/1000)*(s_Irr!F13+s_Irr!AE13+s_Irr!BD13)),IF(AND(s_Irr!F13&lt;&gt;".",s_Irr!AE13&lt;&gt;".",s_Irr!BD13="."),s_dir!G13/((1/1000)*(s_Irr!F13+s_Irr!AE13)),IF(AND(s_Irr!F13&lt;&gt;".",s_Irr!AE13=".",s_Irr!BD13&lt;&gt;"."),s_dir!G13/((1/1000)*(s_Irr!F13+s_Irr!BD13)),IF(AND(s_Irr!F13=".",s_Irr!AE13&lt;&gt;".",s_Irr!BD13&lt;&gt;"."),s_dir!G13/((1/1000)*(s_Irr!AE13+s_Irr!BD13)),IF(AND(s_Irr!F13=".",s_Irr!AE13=".",s_Irr!BD13&lt;&gt;"."),s_dir!G13/((1/1000)*(s_Irr!BD13)),IF(AND(s_Irr!F13=".",s_Irr!AE13&lt;&gt;".",s_Irr!BD13="."),s_dir!G13/((1/1000)*(s_Irr!AE13)),IF(AND(s_Irr!F13&lt;&gt;".",s_Irr!AE13=".",s_Irr!BD13="."),s_dir!G13/((1/1000)*(s_Irr!F13)),IF(AND(s_Irr!F13=".",s_Irr!AE13=".",s_Irr!BD13="."),s_dir!G13*1000)))))))),".")</f>
        <v>607.97799078525463</v>
      </c>
      <c r="H13" s="70">
        <f>IFERROR(IF(AND(s_Irr!G13&lt;&gt;".",s_Irr!AF13&lt;&gt;".",s_Irr!BE13&lt;&gt;"."),s_dir!H13/((1/1000)*(s_Irr!G13+s_Irr!AF13+s_Irr!BE13)),IF(AND(s_Irr!G13&lt;&gt;".",s_Irr!AF13&lt;&gt;".",s_Irr!BE13="."),s_dir!H13/((1/1000)*(s_Irr!G13+s_Irr!AF13)),IF(AND(s_Irr!G13&lt;&gt;".",s_Irr!AF13=".",s_Irr!BE13&lt;&gt;"."),s_dir!H13/((1/1000)*(s_Irr!G13+s_Irr!BE13)),IF(AND(s_Irr!G13=".",s_Irr!AF13&lt;&gt;".",s_Irr!BE13&lt;&gt;"."),s_dir!H13/((1/1000)*(s_Irr!AF13+s_Irr!BE13)),IF(AND(s_Irr!G13=".",s_Irr!AF13=".",s_Irr!BE13&lt;&gt;"."),s_dir!H13/((1/1000)*(s_Irr!BE13)),IF(AND(s_Irr!G13=".",s_Irr!AF13&lt;&gt;".",s_Irr!BE13="."),s_dir!H13/((1/1000)*(s_Irr!AF13)),IF(AND(s_Irr!G13&lt;&gt;".",s_Irr!AF13=".",s_Irr!BE13="."),s_dir!H13/((1/1000)*(s_Irr!G13)),IF(AND(s_Irr!G13=".",s_Irr!AF13=".",s_Irr!BE13="."),s_dir!H13*1000)))))))),".")</f>
        <v>467.97921061738339</v>
      </c>
      <c r="I13" s="70">
        <f>IFERROR(IF(AND(s_Irr!H13&lt;&gt;".",s_Irr!AG13&lt;&gt;".",s_Irr!BF13&lt;&gt;"."),s_dir!I13/((1/1000)*(s_Irr!H13+s_Irr!AG13+s_Irr!BF13)),IF(AND(s_Irr!H13&lt;&gt;".",s_Irr!AG13&lt;&gt;".",s_Irr!BF13="."),s_dir!I13/((1/1000)*(s_Irr!H13+s_Irr!AG13)),IF(AND(s_Irr!H13&lt;&gt;".",s_Irr!AG13=".",s_Irr!BF13&lt;&gt;"."),s_dir!I13/((1/1000)*(s_Irr!H13+s_Irr!BF13)),IF(AND(s_Irr!H13=".",s_Irr!AG13&lt;&gt;".",s_Irr!BF13&lt;&gt;"."),s_dir!I13/((1/1000)*(s_Irr!AG13+s_Irr!BF13)),IF(AND(s_Irr!H13=".",s_Irr!AG13=".",s_Irr!BF13&lt;&gt;"."),s_dir!I13/((1/1000)*(s_Irr!BF13)),IF(AND(s_Irr!H13=".",s_Irr!AG13&lt;&gt;".",s_Irr!BF13="."),s_dir!I13/((1/1000)*(s_Irr!AG13)),IF(AND(s_Irr!H13&lt;&gt;".",s_Irr!AG13=".",s_Irr!BF13="."),s_dir!I13/((1/1000)*(s_Irr!H13)),IF(AND(s_Irr!H13=".",s_Irr!AG13=".",s_Irr!BF13="."),s_dir!I13*1000)))))))),".")</f>
        <v>418.92847572913536</v>
      </c>
      <c r="J13" s="70">
        <f>IFERROR(IF(AND(s_Irr!I13&lt;&gt;".",s_Irr!AH13&lt;&gt;".",s_Irr!BG13&lt;&gt;"."),s_dir!J13/((1/1000)*(s_Irr!I13+s_Irr!AH13+s_Irr!BG13)),IF(AND(s_Irr!I13&lt;&gt;".",s_Irr!AH13&lt;&gt;".",s_Irr!BG13="."),s_dir!J13/((1/1000)*(s_Irr!I13+s_Irr!AH13)),IF(AND(s_Irr!I13&lt;&gt;".",s_Irr!AH13=".",s_Irr!BG13&lt;&gt;"."),s_dir!J13/((1/1000)*(s_Irr!I13+s_Irr!BG13)),IF(AND(s_Irr!I13=".",s_Irr!AH13&lt;&gt;".",s_Irr!BG13&lt;&gt;"."),s_dir!J13/((1/1000)*(s_Irr!AH13+s_Irr!BG13)),IF(AND(s_Irr!I13=".",s_Irr!AH13=".",s_Irr!BG13&lt;&gt;"."),s_dir!J13/((1/1000)*(s_Irr!BG13)),IF(AND(s_Irr!I13=".",s_Irr!AH13&lt;&gt;".",s_Irr!BG13="."),s_dir!J13/((1/1000)*(s_Irr!AH13)),IF(AND(s_Irr!I13&lt;&gt;".",s_Irr!AH13=".",s_Irr!BG13="."),s_dir!J13/((1/1000)*(s_Irr!I13)),IF(AND(s_Irr!I13=".",s_Irr!AH13=".",s_Irr!BG13="."),s_dir!J13*1000)))))))),".")</f>
        <v>444.83096256298921</v>
      </c>
      <c r="K13" s="70">
        <f>IFERROR(IF(AND(s_Irr!J13&lt;&gt;".",s_Irr!AI13&lt;&gt;".",s_Irr!BH13&lt;&gt;"."),s_dir!K13/((1/1000)*(s_Irr!J13+s_Irr!AI13+s_Irr!BH13)),IF(AND(s_Irr!J13&lt;&gt;".",s_Irr!AI13&lt;&gt;".",s_Irr!BH13="."),s_dir!K13/((1/1000)*(s_Irr!J13+s_Irr!AI13)),IF(AND(s_Irr!J13&lt;&gt;".",s_Irr!AI13=".",s_Irr!BH13&lt;&gt;"."),s_dir!K13/((1/1000)*(s_Irr!J13+s_Irr!BH13)),IF(AND(s_Irr!J13=".",s_Irr!AI13&lt;&gt;".",s_Irr!BH13&lt;&gt;"."),s_dir!K13/((1/1000)*(s_Irr!AI13+s_Irr!BH13)),IF(AND(s_Irr!J13=".",s_Irr!AI13=".",s_Irr!BH13&lt;&gt;"."),s_dir!K13/((1/1000)*(s_Irr!BH13)),IF(AND(s_Irr!J13=".",s_Irr!AI13&lt;&gt;".",s_Irr!BH13="."),s_dir!K13/((1/1000)*(s_Irr!AI13)),IF(AND(s_Irr!J13&lt;&gt;".",s_Irr!AI13=".",s_Irr!BH13="."),s_dir!K13/((1/1000)*(s_Irr!J13)),IF(AND(s_Irr!J13=".",s_Irr!AI13=".",s_Irr!BH13="."),s_dir!K13*1000)))))))),".")</f>
        <v>607.97799078525463</v>
      </c>
      <c r="L13" s="70">
        <f>IFERROR(IF(AND(s_Irr!K13&lt;&gt;".",s_Irr!AJ13&lt;&gt;".",s_Irr!BI13&lt;&gt;"."),s_dir!L13/((1/1000)*(s_Irr!K13+s_Irr!AJ13+s_Irr!BI13)),IF(AND(s_Irr!K13&lt;&gt;".",s_Irr!AJ13&lt;&gt;".",s_Irr!BI13="."),s_dir!L13/((1/1000)*(s_Irr!K13+s_Irr!AJ13)),IF(AND(s_Irr!K13&lt;&gt;".",s_Irr!AJ13=".",s_Irr!BI13&lt;&gt;"."),s_dir!L13/((1/1000)*(s_Irr!K13+s_Irr!BI13)),IF(AND(s_Irr!K13=".",s_Irr!AJ13&lt;&gt;".",s_Irr!BI13&lt;&gt;"."),s_dir!L13/((1/1000)*(s_Irr!AJ13+s_Irr!BI13)),IF(AND(s_Irr!K13=".",s_Irr!AJ13=".",s_Irr!BI13&lt;&gt;"."),s_dir!L13/((1/1000)*(s_Irr!BI13)),IF(AND(s_Irr!K13=".",s_Irr!AJ13&lt;&gt;".",s_Irr!BI13="."),s_dir!L13/((1/1000)*(s_Irr!AJ13)),IF(AND(s_Irr!K13&lt;&gt;".",s_Irr!AJ13=".",s_Irr!BI13="."),s_dir!L13/((1/1000)*(s_Irr!K13)),IF(AND(s_Irr!K13=".",s_Irr!AJ13=".",s_Irr!BI13="."),s_dir!L13*1000)))))))),".")</f>
        <v>565.00558397022371</v>
      </c>
      <c r="M13" s="70">
        <f>IFERROR(IF(AND(s_Irr!L13&lt;&gt;".",s_Irr!AK13&lt;&gt;".",s_Irr!BJ13&lt;&gt;"."),s_dir!M13/((1/1000)*(s_Irr!L13+s_Irr!AK13+s_Irr!BJ13)),IF(AND(s_Irr!L13&lt;&gt;".",s_Irr!AK13&lt;&gt;".",s_Irr!BJ13="."),s_dir!M13/((1/1000)*(s_Irr!L13+s_Irr!AK13)),IF(AND(s_Irr!L13&lt;&gt;".",s_Irr!AK13=".",s_Irr!BJ13&lt;&gt;"."),s_dir!M13/((1/1000)*(s_Irr!L13+s_Irr!BJ13)),IF(AND(s_Irr!L13=".",s_Irr!AK13&lt;&gt;".",s_Irr!BJ13&lt;&gt;"."),s_dir!M13/((1/1000)*(s_Irr!AK13+s_Irr!BJ13)),IF(AND(s_Irr!L13=".",s_Irr!AK13=".",s_Irr!BJ13&lt;&gt;"."),s_dir!M13/((1/1000)*(s_Irr!BJ13)),IF(AND(s_Irr!L13=".",s_Irr!AK13&lt;&gt;".",s_Irr!BJ13="."),s_dir!M13/((1/1000)*(s_Irr!AK13)),IF(AND(s_Irr!L13&lt;&gt;".",s_Irr!AK13=".",s_Irr!BJ13="."),s_dir!M13/((1/1000)*(s_Irr!L13)),IF(AND(s_Irr!L13=".",s_Irr!AK13=".",s_Irr!BJ13="."),s_dir!M13*1000)))))))),".")</f>
        <v>467.97921061738339</v>
      </c>
      <c r="N13" s="70">
        <f>IFERROR(IF(AND(s_Irr!M13&lt;&gt;".",s_Irr!AL13&lt;&gt;".",s_Irr!BK13&lt;&gt;"."),s_dir!N13/((1/1000)*(s_Irr!M13+s_Irr!AL13+s_Irr!BK13)),IF(AND(s_Irr!M13&lt;&gt;".",s_Irr!AL13&lt;&gt;".",s_Irr!BK13="."),s_dir!N13/((1/1000)*(s_Irr!M13+s_Irr!AL13)),IF(AND(s_Irr!M13&lt;&gt;".",s_Irr!AL13=".",s_Irr!BK13&lt;&gt;"."),s_dir!N13/((1/1000)*(s_Irr!M13+s_Irr!BK13)),IF(AND(s_Irr!M13=".",s_Irr!AL13&lt;&gt;".",s_Irr!BK13&lt;&gt;"."),s_dir!N13/((1/1000)*(s_Irr!AL13+s_Irr!BK13)),IF(AND(s_Irr!M13=".",s_Irr!AL13=".",s_Irr!BK13&lt;&gt;"."),s_dir!N13/((1/1000)*(s_Irr!BK13)),IF(AND(s_Irr!M13=".",s_Irr!AL13&lt;&gt;".",s_Irr!BK13="."),s_dir!N13/((1/1000)*(s_Irr!AL13)),IF(AND(s_Irr!M13&lt;&gt;".",s_Irr!AL13=".",s_Irr!BK13="."),s_dir!N13/((1/1000)*(s_Irr!M13)),IF(AND(s_Irr!M13=".",s_Irr!AL13=".",s_Irr!BK13="."),s_dir!N13*1000)))))))),".")</f>
        <v>418.92847572913536</v>
      </c>
      <c r="O13" s="70">
        <f>IFERROR(IF(AND(s_Irr!N13&lt;&gt;".",s_Irr!AM13&lt;&gt;".",s_Irr!BL13&lt;&gt;"."),s_dir!O13/((1/1000)*(s_Irr!N13+s_Irr!AM13+s_Irr!BL13)),IF(AND(s_Irr!N13&lt;&gt;".",s_Irr!AM13&lt;&gt;".",s_Irr!BL13="."),s_dir!O13/((1/1000)*(s_Irr!N13+s_Irr!AM13)),IF(AND(s_Irr!N13&lt;&gt;".",s_Irr!AM13=".",s_Irr!BL13&lt;&gt;"."),s_dir!O13/((1/1000)*(s_Irr!N13+s_Irr!BL13)),IF(AND(s_Irr!N13=".",s_Irr!AM13&lt;&gt;".",s_Irr!BL13&lt;&gt;"."),s_dir!O13/((1/1000)*(s_Irr!AM13+s_Irr!BL13)),IF(AND(s_Irr!N13=".",s_Irr!AM13=".",s_Irr!BL13&lt;&gt;"."),s_dir!O13/((1/1000)*(s_Irr!BL13)),IF(AND(s_Irr!N13=".",s_Irr!AM13&lt;&gt;".",s_Irr!BL13="."),s_dir!O13/((1/1000)*(s_Irr!AM13)),IF(AND(s_Irr!N13&lt;&gt;".",s_Irr!AM13=".",s_Irr!BL13="."),s_dir!O13/((1/1000)*(s_Irr!N13)),IF(AND(s_Irr!N13=".",s_Irr!AM13=".",s_Irr!BL13="."),s_dir!O13*1000)))))))),".")</f>
        <v>474.14767055847085</v>
      </c>
      <c r="P13" s="70">
        <f>IFERROR(IF(AND(s_Irr!O13&lt;&gt;".",s_Irr!AN13&lt;&gt;".",s_Irr!BM13&lt;&gt;"."),s_dir!P13/((1/1000)*(s_Irr!O13+s_Irr!AN13+s_Irr!BM13)),IF(AND(s_Irr!O13&lt;&gt;".",s_Irr!AN13&lt;&gt;".",s_Irr!BM13="."),s_dir!P13/((1/1000)*(s_Irr!O13+s_Irr!AN13)),IF(AND(s_Irr!O13&lt;&gt;".",s_Irr!AN13=".",s_Irr!BM13&lt;&gt;"."),s_dir!P13/((1/1000)*(s_Irr!O13+s_Irr!BM13)),IF(AND(s_Irr!O13=".",s_Irr!AN13&lt;&gt;".",s_Irr!BM13&lt;&gt;"."),s_dir!P13/((1/1000)*(s_Irr!AN13+s_Irr!BM13)),IF(AND(s_Irr!O13=".",s_Irr!AN13=".",s_Irr!BM13&lt;&gt;"."),s_dir!P13/((1/1000)*(s_Irr!BM13)),IF(AND(s_Irr!O13=".",s_Irr!AN13&lt;&gt;".",s_Irr!BM13="."),s_dir!P13/((1/1000)*(s_Irr!AN13)),IF(AND(s_Irr!O13&lt;&gt;".",s_Irr!AN13=".",s_Irr!BM13="."),s_dir!P13/((1/1000)*(s_Irr!O13)),IF(AND(s_Irr!O13=".",s_Irr!AN13=".",s_Irr!BM13="."),s_dir!P13*1000)))))))),".")</f>
        <v>467.97921061738339</v>
      </c>
      <c r="Q13" s="70">
        <f>IFERROR(IF(AND(s_Irr!P13&lt;&gt;".",s_Irr!AO13&lt;&gt;".",s_Irr!BN13&lt;&gt;"."),s_dir!Q13/((1/1000)*(s_Irr!P13+s_Irr!AO13+s_Irr!BN13)),IF(AND(s_Irr!P13&lt;&gt;".",s_Irr!AO13&lt;&gt;".",s_Irr!BN13="."),s_dir!Q13/((1/1000)*(s_Irr!P13+s_Irr!AO13)),IF(AND(s_Irr!P13&lt;&gt;".",s_Irr!AO13=".",s_Irr!BN13&lt;&gt;"."),s_dir!Q13/((1/1000)*(s_Irr!P13+s_Irr!BN13)),IF(AND(s_Irr!P13=".",s_Irr!AO13&lt;&gt;".",s_Irr!BN13&lt;&gt;"."),s_dir!Q13/((1/1000)*(s_Irr!AO13+s_Irr!BN13)),IF(AND(s_Irr!P13=".",s_Irr!AO13=".",s_Irr!BN13&lt;&gt;"."),s_dir!Q13/((1/1000)*(s_Irr!BN13)),IF(AND(s_Irr!P13=".",s_Irr!AO13&lt;&gt;".",s_Irr!BN13="."),s_dir!Q13/((1/1000)*(s_Irr!AO13)),IF(AND(s_Irr!P13&lt;&gt;".",s_Irr!AO13=".",s_Irr!BN13="."),s_dir!Q13/((1/1000)*(s_Irr!P13)),IF(AND(s_Irr!P13=".",s_Irr!AO13=".",s_Irr!BN13="."),s_dir!Q13*1000)))))))),".")</f>
        <v>444.83096256298921</v>
      </c>
      <c r="R13" s="70">
        <f>IFERROR(IF(AND(s_Irr!Q13&lt;&gt;".",s_Irr!AP13&lt;&gt;".",s_Irr!BO13&lt;&gt;"."),s_dir!R13/((1/1000)*(s_Irr!Q13+s_Irr!AP13+s_Irr!BO13)),IF(AND(s_Irr!Q13&lt;&gt;".",s_Irr!AP13&lt;&gt;".",s_Irr!BO13="."),s_dir!R13/((1/1000)*(s_Irr!Q13+s_Irr!AP13)),IF(AND(s_Irr!Q13&lt;&gt;".",s_Irr!AP13=".",s_Irr!BO13&lt;&gt;"."),s_dir!R13/((1/1000)*(s_Irr!Q13+s_Irr!BO13)),IF(AND(s_Irr!Q13=".",s_Irr!AP13&lt;&gt;".",s_Irr!BO13&lt;&gt;"."),s_dir!R13/((1/1000)*(s_Irr!AP13+s_Irr!BO13)),IF(AND(s_Irr!Q13=".",s_Irr!AP13=".",s_Irr!BO13&lt;&gt;"."),s_dir!R13/((1/1000)*(s_Irr!BO13)),IF(AND(s_Irr!Q13=".",s_Irr!AP13&lt;&gt;".",s_Irr!BO13="."),s_dir!R13/((1/1000)*(s_Irr!AP13)),IF(AND(s_Irr!Q13&lt;&gt;".",s_Irr!AP13=".",s_Irr!BO13="."),s_dir!R13/((1/1000)*(s_Irr!Q13)),IF(AND(s_Irr!Q13=".",s_Irr!AP13=".",s_Irr!BO13="."),s_dir!R13*1000)))))))),".")</f>
        <v>607.97799078525463</v>
      </c>
      <c r="S13" s="70">
        <f>IFERROR(IF(AND(s_Irr!R13&lt;&gt;".",s_Irr!AQ13&lt;&gt;".",s_Irr!BP13&lt;&gt;"."),s_dir!S13/((1/1000)*(s_Irr!R13+s_Irr!AQ13+s_Irr!BP13)),IF(AND(s_Irr!R13&lt;&gt;".",s_Irr!AQ13&lt;&gt;".",s_Irr!BP13="."),s_dir!S13/((1/1000)*(s_Irr!R13+s_Irr!AQ13)),IF(AND(s_Irr!R13&lt;&gt;".",s_Irr!AQ13=".",s_Irr!BP13&lt;&gt;"."),s_dir!S13/((1/1000)*(s_Irr!R13+s_Irr!BP13)),IF(AND(s_Irr!R13=".",s_Irr!AQ13&lt;&gt;".",s_Irr!BP13&lt;&gt;"."),s_dir!S13/((1/1000)*(s_Irr!AQ13+s_Irr!BP13)),IF(AND(s_Irr!R13=".",s_Irr!AQ13=".",s_Irr!BP13&lt;&gt;"."),s_dir!S13/((1/1000)*(s_Irr!BP13)),IF(AND(s_Irr!R13=".",s_Irr!AQ13&lt;&gt;".",s_Irr!BP13="."),s_dir!S13/((1/1000)*(s_Irr!AQ13)),IF(AND(s_Irr!R13&lt;&gt;".",s_Irr!AQ13=".",s_Irr!BP13="."),s_dir!S13/((1/1000)*(s_Irr!R13)),IF(AND(s_Irr!R13=".",s_Irr!AQ13=".",s_Irr!BP13="."),s_dir!S13*1000)))))))),".")</f>
        <v>607.97799078525463</v>
      </c>
      <c r="T13" s="70">
        <f>IFERROR(IF(AND(s_Irr!S13&lt;&gt;".",s_Irr!AR13&lt;&gt;".",s_Irr!BQ13&lt;&gt;"."),s_dir!T13/((1/1000)*(s_Irr!S13+s_Irr!AR13+s_Irr!BQ13)),IF(AND(s_Irr!S13&lt;&gt;".",s_Irr!AR13&lt;&gt;".",s_Irr!BQ13="."),s_dir!T13/((1/1000)*(s_Irr!S13+s_Irr!AR13)),IF(AND(s_Irr!S13&lt;&gt;".",s_Irr!AR13=".",s_Irr!BQ13&lt;&gt;"."),s_dir!T13/((1/1000)*(s_Irr!S13+s_Irr!BQ13)),IF(AND(s_Irr!S13=".",s_Irr!AR13&lt;&gt;".",s_Irr!BQ13&lt;&gt;"."),s_dir!T13/((1/1000)*(s_Irr!AR13+s_Irr!BQ13)),IF(AND(s_Irr!S13=".",s_Irr!AR13=".",s_Irr!BQ13&lt;&gt;"."),s_dir!T13/((1/1000)*(s_Irr!BQ13)),IF(AND(s_Irr!S13=".",s_Irr!AR13&lt;&gt;".",s_Irr!BQ13="."),s_dir!T13/((1/1000)*(s_Irr!AR13)),IF(AND(s_Irr!S13&lt;&gt;".",s_Irr!AR13=".",s_Irr!BQ13="."),s_dir!T13/((1/1000)*(s_Irr!S13)),IF(AND(s_Irr!S13=".",s_Irr!AR13=".",s_Irr!BQ13="."),s_dir!T13*1000)))))))),".")</f>
        <v>474.14767055847085</v>
      </c>
      <c r="U13" s="70">
        <f>IFERROR(IF(AND(s_Irr!T13&lt;&gt;".",s_Irr!AS13&lt;&gt;".",s_Irr!BR13&lt;&gt;"."),s_dir!U13/((1/1000)*(s_Irr!T13+s_Irr!AS13+s_Irr!BR13)),IF(AND(s_Irr!T13&lt;&gt;".",s_Irr!AS13&lt;&gt;".",s_Irr!BR13="."),s_dir!U13/((1/1000)*(s_Irr!T13+s_Irr!AS13)),IF(AND(s_Irr!T13&lt;&gt;".",s_Irr!AS13=".",s_Irr!BR13&lt;&gt;"."),s_dir!U13/((1/1000)*(s_Irr!T13+s_Irr!BR13)),IF(AND(s_Irr!T13=".",s_Irr!AS13&lt;&gt;".",s_Irr!BR13&lt;&gt;"."),s_dir!U13/((1/1000)*(s_Irr!AS13+s_Irr!BR13)),IF(AND(s_Irr!T13=".",s_Irr!AS13=".",s_Irr!BR13&lt;&gt;"."),s_dir!U13/((1/1000)*(s_Irr!BR13)),IF(AND(s_Irr!T13=".",s_Irr!AS13&lt;&gt;".",s_Irr!BR13="."),s_dir!U13/((1/1000)*(s_Irr!AS13)),IF(AND(s_Irr!T13&lt;&gt;".",s_Irr!AS13=".",s_Irr!BR13="."),s_dir!U13/((1/1000)*(s_Irr!T13)),IF(AND(s_Irr!T13=".",s_Irr!AS13=".",s_Irr!BR13="."),s_dir!U13*1000)))))))),".")</f>
        <v>467.97921061738339</v>
      </c>
      <c r="V13" s="70">
        <f>IFERROR(IF(AND(s_Irr!U13&lt;&gt;".",s_Irr!AT13&lt;&gt;".",s_Irr!BS13&lt;&gt;"."),s_dir!V13/((1/1000)*(s_Irr!U13+s_Irr!AT13+s_Irr!BS13)),IF(AND(s_Irr!U13&lt;&gt;".",s_Irr!AT13&lt;&gt;".",s_Irr!BS13="."),s_dir!V13/((1/1000)*(s_Irr!U13+s_Irr!AT13)),IF(AND(s_Irr!U13&lt;&gt;".",s_Irr!AT13=".",s_Irr!BS13&lt;&gt;"."),s_dir!V13/((1/1000)*(s_Irr!U13+s_Irr!BS13)),IF(AND(s_Irr!U13=".",s_Irr!AT13&lt;&gt;".",s_Irr!BS13&lt;&gt;"."),s_dir!V13/((1/1000)*(s_Irr!AT13+s_Irr!BS13)),IF(AND(s_Irr!U13=".",s_Irr!AT13=".",s_Irr!BS13&lt;&gt;"."),s_dir!V13/((1/1000)*(s_Irr!BS13)),IF(AND(s_Irr!U13=".",s_Irr!AT13&lt;&gt;".",s_Irr!BS13="."),s_dir!V13/((1/1000)*(s_Irr!AT13)),IF(AND(s_Irr!U13&lt;&gt;".",s_Irr!AT13=".",s_Irr!BS13="."),s_dir!V13/((1/1000)*(s_Irr!U13)),IF(AND(s_Irr!U13=".",s_Irr!AT13=".",s_Irr!BS13="."),s_dir!V13*1000)))))))),".")</f>
        <v>557.12989995775479</v>
      </c>
      <c r="W13" s="70">
        <f>IFERROR(IF(AND(s_Irr!V13&lt;&gt;".",s_Irr!AU13&lt;&gt;".",s_Irr!BT13&lt;&gt;"."),s_dir!W13/((1/1000)*(s_Irr!V13+s_Irr!AU13+s_Irr!BT13)),IF(AND(s_Irr!V13&lt;&gt;".",s_Irr!AU13&lt;&gt;".",s_Irr!BT13="."),s_dir!W13/((1/1000)*(s_Irr!V13+s_Irr!AU13)),IF(AND(s_Irr!V13&lt;&gt;".",s_Irr!AU13=".",s_Irr!BT13&lt;&gt;"."),s_dir!W13/((1/1000)*(s_Irr!V13+s_Irr!BT13)),IF(AND(s_Irr!V13=".",s_Irr!AU13&lt;&gt;".",s_Irr!BT13&lt;&gt;"."),s_dir!W13/((1/1000)*(s_Irr!AU13+s_Irr!BT13)),IF(AND(s_Irr!V13=".",s_Irr!AU13=".",s_Irr!BT13&lt;&gt;"."),s_dir!W13/((1/1000)*(s_Irr!BT13)),IF(AND(s_Irr!V13=".",s_Irr!AU13&lt;&gt;".",s_Irr!BT13="."),s_dir!W13/((1/1000)*(s_Irr!AU13)),IF(AND(s_Irr!V13&lt;&gt;".",s_Irr!AU13=".",s_Irr!BT13="."),s_dir!W13/((1/1000)*(s_Irr!V13)),IF(AND(s_Irr!V13=".",s_Irr!AU13=".",s_Irr!BT13="."),s_dir!W13*1000)))))))),".")</f>
        <v>467.97921061738339</v>
      </c>
      <c r="X13" s="70">
        <f>IFERROR(IF(AND(s_Irr!W13&lt;&gt;".",s_Irr!AV13&lt;&gt;".",s_Irr!BU13&lt;&gt;"."),s_dir!X13/((1/1000)*(s_Irr!W13+s_Irr!AV13+s_Irr!BU13)),IF(AND(s_Irr!W13&lt;&gt;".",s_Irr!AV13&lt;&gt;".",s_Irr!BU13="."),s_dir!X13/((1/1000)*(s_Irr!W13+s_Irr!AV13)),IF(AND(s_Irr!W13&lt;&gt;".",s_Irr!AV13=".",s_Irr!BU13&lt;&gt;"."),s_dir!X13/((1/1000)*(s_Irr!W13+s_Irr!BU13)),IF(AND(s_Irr!W13=".",s_Irr!AV13&lt;&gt;".",s_Irr!BU13&lt;&gt;"."),s_dir!X13/((1/1000)*(s_Irr!AV13+s_Irr!BU13)),IF(AND(s_Irr!W13=".",s_Irr!AV13=".",s_Irr!BU13&lt;&gt;"."),s_dir!X13/((1/1000)*(s_Irr!BU13)),IF(AND(s_Irr!W13=".",s_Irr!AV13&lt;&gt;".",s_Irr!BU13="."),s_dir!X13/((1/1000)*(s_Irr!AV13)),IF(AND(s_Irr!W13&lt;&gt;".",s_Irr!AV13=".",s_Irr!BU13="."),s_dir!X13/((1/1000)*(s_Irr!W13)),IF(AND(s_Irr!W13=".",s_Irr!AV13=".",s_Irr!BU13="."),s_dir!X13*1000)))))))),".")</f>
        <v>474.14767055847085</v>
      </c>
      <c r="Y13" s="70">
        <f>IFERROR(IF(AND(s_Irr!X13&lt;&gt;".",s_Irr!AW13&lt;&gt;".",s_Irr!BV13&lt;&gt;"."),s_dir!Y13/((1/1000)*(s_Irr!X13+s_Irr!AW13+s_Irr!BV13)),IF(AND(s_Irr!X13&lt;&gt;".",s_Irr!AW13&lt;&gt;".",s_Irr!BV13="."),s_dir!Y13/((1/1000)*(s_Irr!X13+s_Irr!AW13)),IF(AND(s_Irr!X13&lt;&gt;".",s_Irr!AW13=".",s_Irr!BV13&lt;&gt;"."),s_dir!Y13/((1/1000)*(s_Irr!X13+s_Irr!BV13)),IF(AND(s_Irr!X13=".",s_Irr!AW13&lt;&gt;".",s_Irr!BV13&lt;&gt;"."),s_dir!Y13/((1/1000)*(s_Irr!AW13+s_Irr!BV13)),IF(AND(s_Irr!X13=".",s_Irr!AW13=".",s_Irr!BV13&lt;&gt;"."),s_dir!Y13/((1/1000)*(s_Irr!BV13)),IF(AND(s_Irr!X13=".",s_Irr!AW13&lt;&gt;".",s_Irr!BV13="."),s_dir!Y13/((1/1000)*(s_Irr!AW13)),IF(AND(s_Irr!X13&lt;&gt;".",s_Irr!AW13=".",s_Irr!BV13="."),s_dir!Y13/((1/1000)*(s_Irr!X13)),IF(AND(s_Irr!X13=".",s_Irr!AW13=".",s_Irr!BV13="."),s_dir!Y13*1000)))))))),".")</f>
        <v>607.97799078525463</v>
      </c>
      <c r="Z13" s="70">
        <f>IFERROR(IF(AND(s_Irr!Y13&lt;&gt;".",s_Irr!AX13&lt;&gt;".",s_Irr!BW13&lt;&gt;"."),s_dir!Z13/((1/1000)*(s_Irr!Y13+s_Irr!AX13+s_Irr!BW13)),IF(AND(s_Irr!Y13&lt;&gt;".",s_Irr!AX13&lt;&gt;".",s_Irr!BW13="."),s_dir!Z13/((1/1000)*(s_Irr!Y13+s_Irr!AX13)),IF(AND(s_Irr!Y13&lt;&gt;".",s_Irr!AX13=".",s_Irr!BW13&lt;&gt;"."),s_dir!Z13/((1/1000)*(s_Irr!Y13+s_Irr!BW13)),IF(AND(s_Irr!Y13=".",s_Irr!AX13&lt;&gt;".",s_Irr!BW13&lt;&gt;"."),s_dir!Z13/((1/1000)*(s_Irr!AX13+s_Irr!BW13)),IF(AND(s_Irr!Y13=".",s_Irr!AX13=".",s_Irr!BW13&lt;&gt;"."),s_dir!Z13/((1/1000)*(s_Irr!BW13)),IF(AND(s_Irr!Y13=".",s_Irr!AX13&lt;&gt;".",s_Irr!BW13="."),s_dir!Z13/((1/1000)*(s_Irr!AX13)),IF(AND(s_Irr!Y13&lt;&gt;".",s_Irr!AX13=".",s_Irr!BW13="."),s_dir!Z13/((1/1000)*(s_Irr!Y13)),IF(AND(s_Irr!Y13=".",s_Irr!AX13=".",s_Irr!BW13="."),s_dir!Z13*1000)))))))),".")</f>
        <v>467.97921061738339</v>
      </c>
      <c r="AA13" s="70">
        <f>IFERROR(IF(AND(s_Irr!Z13&lt;&gt;".",s_Irr!AY13&lt;&gt;".",s_Irr!BX13&lt;&gt;"."),s_dir!AA13/((1/1000)*(s_Irr!Z13+s_Irr!AY13+s_Irr!BX13)),IF(AND(s_Irr!Z13&lt;&gt;".",s_Irr!AY13&lt;&gt;".",s_Irr!BX13="."),s_dir!AA13/((1/1000)*(s_Irr!Z13+s_Irr!AY13)),IF(AND(s_Irr!Z13&lt;&gt;".",s_Irr!AY13=".",s_Irr!BX13&lt;&gt;"."),s_dir!AA13/((1/1000)*(s_Irr!Z13+s_Irr!BX13)),IF(AND(s_Irr!Z13=".",s_Irr!AY13&lt;&gt;".",s_Irr!BX13&lt;&gt;"."),s_dir!AA13/((1/1000)*(s_Irr!AY13+s_Irr!BX13)),IF(AND(s_Irr!Z13=".",s_Irr!AY13=".",s_Irr!BX13&lt;&gt;"."),s_dir!AA13/((1/1000)*(s_Irr!BX13)),IF(AND(s_Irr!Z13=".",s_Irr!AY13&lt;&gt;".",s_Irr!BX13="."),s_dir!AA13/((1/1000)*(s_Irr!AY13)),IF(AND(s_Irr!Z13&lt;&gt;".",s_Irr!AY13=".",s_Irr!BX13="."),s_dir!AA13/((1/1000)*(s_Irr!Z13)),IF(AND(s_Irr!Z13=".",s_Irr!AY13=".",s_Irr!BX13="."),s_dir!AA13*1000)))))))),".")</f>
        <v>456.11157464009437</v>
      </c>
      <c r="AB13" s="70">
        <f>IFERROR(IF(AND(s_Irr!AA13&lt;&gt;".",s_Irr!AZ13&lt;&gt;".",s_Irr!BY13&lt;&gt;"."),s_dir!AB13/((1/1000)*(s_Irr!AA13+s_Irr!AZ13+s_Irr!BY13)),IF(AND(s_Irr!AA13&lt;&gt;".",s_Irr!AZ13&lt;&gt;".",s_Irr!BY13="."),s_dir!AB13/((1/1000)*(s_Irr!AA13+s_Irr!AZ13)),IF(AND(s_Irr!AA13&lt;&gt;".",s_Irr!AZ13=".",s_Irr!BY13&lt;&gt;"."),s_dir!AB13/((1/1000)*(s_Irr!AA13+s_Irr!BY13)),IF(AND(s_Irr!AA13=".",s_Irr!AZ13&lt;&gt;".",s_Irr!BY13&lt;&gt;"."),s_dir!AB13/((1/1000)*(s_Irr!AZ13+s_Irr!BY13)),IF(AND(s_Irr!AA13=".",s_Irr!AZ13=".",s_Irr!BY13&lt;&gt;"."),s_dir!AB13/((1/1000)*(s_Irr!BY13)),IF(AND(s_Irr!AA13=".",s_Irr!AZ13&lt;&gt;".",s_Irr!BY13="."),s_dir!AB13/((1/1000)*(s_Irr!AZ13)),IF(AND(s_Irr!AA13&lt;&gt;".",s_Irr!AZ13=".",s_Irr!BY13="."),s_dir!AB13/((1/1000)*(s_Irr!AA13)),IF(AND(s_Irr!AA13=".",s_Irr!AZ13=".",s_Irr!BY13="."),s_dir!AB13*1000)))))))),".")</f>
        <v>582.3857387376944</v>
      </c>
      <c r="AC13" s="87">
        <f t="shared" si="4"/>
        <v>415.73861950556409</v>
      </c>
      <c r="AD13" s="87">
        <f>IFERROR(s_C*s_IFAP_res_adj*s_CF_apple*0.001*(s_Irr!C13+s_Irr!AB13+s_Irr!BA13),".")</f>
        <v>88.907912577951549</v>
      </c>
      <c r="AE13" s="87">
        <f>IFERROR(s_C*s_IFAS_res_adj*s_CF_asparagus*0.001*(s_Irr!D13+s_Irr!AC13+s_Irr!BB13),".")</f>
        <v>129.02931451478494</v>
      </c>
      <c r="AF13" s="87">
        <f>IFERROR(s_C*s_IFBT_res_adj*s_CF_beet*0.001*(s_Irr!E13+s_Irr!AD13+s_Irr!BC13),".")</f>
        <v>121.51594336556522</v>
      </c>
      <c r="AG13" s="87">
        <f>IFERROR(s_C*s_IFBE_res_adj*s_CF_berries*0.001*(s_Irr!F13+s_Irr!AE13+s_Irr!BD13),".")</f>
        <v>88.907912577951549</v>
      </c>
      <c r="AH13" s="87">
        <f>IFERROR(s_C*s_IFBR_res_adj*s_CF_broccoli*0.001*(s_Irr!G13+s_Irr!AF13+s_Irr!BE13),".")</f>
        <v>115.50524644618942</v>
      </c>
      <c r="AI13" s="87">
        <f>IFERROR(s_C*s_IFCB_res_adj*s_CF_cabbage*0.001*(s_Irr!H13+s_Irr!AG13+s_Irr!BF13),".")</f>
        <v>129.02931451478494</v>
      </c>
      <c r="AJ13" s="87">
        <f>IFERROR(s_C*s_IFCR_res_adj*s_CF_carrot*0.001*(s_Irr!I13+s_Irr!AH13+s_Irr!BG13),".")</f>
        <v>121.51594336556522</v>
      </c>
      <c r="AK13" s="87">
        <f>IFERROR(s_C*s_IFCI_res_adj*s_CF_citrus*0.001*(s_Irr!J13+s_Irr!AI13+s_Irr!BH13),".")</f>
        <v>88.907912577951549</v>
      </c>
      <c r="AL13" s="87">
        <f>IFERROR(s_C*s_IFCO_res_adj*s_CF_corn*0.001*(s_Irr!K13+s_Irr!AJ13+s_Irr!BI13),".")</f>
        <v>95.669946612249319</v>
      </c>
      <c r="AM13" s="87">
        <f>IFERROR(s_C*s_IFCU_res_adj*s_CF_cucumber*0.001*(s_Irr!L13+s_Irr!AK13+s_Irr!BJ13),".")</f>
        <v>115.50524644618942</v>
      </c>
      <c r="AN13" s="87">
        <f>IFERROR(s_C*s_IFLE_res_adj*s_CF_lettuce*0.001*(s_Irr!M13+s_Irr!AL13+s_Irr!BK13),".")</f>
        <v>129.02931451478494</v>
      </c>
      <c r="AO13" s="87">
        <f>IFERROR(s_C*s_IFLI_res_adj*s_CF_lima_bean*0.001*(s_Irr!N13+s_Irr!AM13+s_Irr!BL13),".")</f>
        <v>114.00257221634547</v>
      </c>
      <c r="AP13" s="87">
        <f>IFERROR(s_C*s_IFOK_res_adj*s_CF_okra*0.001*(s_Irr!O13+s_Irr!AN13+s_Irr!BM13),".")</f>
        <v>115.50524644618942</v>
      </c>
      <c r="AQ13" s="87">
        <f>IFERROR(s_C*s_IFON_res_adj*s_CF_onion*0.001*(s_Irr!P13+s_Irr!AO13+s_Irr!BN13),".")</f>
        <v>121.51594336556522</v>
      </c>
      <c r="AR13" s="87">
        <f>IFERROR(s_C*s_IFPC_res_adj*s_CF_peach*0.001*(s_Irr!Q13+s_Irr!AP13+s_Irr!BO13),".")</f>
        <v>88.907912577951549</v>
      </c>
      <c r="AS13" s="87">
        <f>IFERROR(s_C*s_IFPR_res_adj*s_CF_pear*0.001*(s_Irr!R13+s_Irr!AQ13+s_Irr!BP13),".")</f>
        <v>88.907912577951549</v>
      </c>
      <c r="AT13" s="87">
        <f>IFERROR(s_C*s_IFPE_res_adj*s_CF_peas*0.001*(s_Irr!S13+s_Irr!AR13+s_Irr!BQ13),".")</f>
        <v>114.00257221634547</v>
      </c>
      <c r="AU13" s="87">
        <f>IFERROR(s_C*s_IFPP_res_adj*s_CF_peppers*0.001*(s_Irr!T13+s_Irr!AS13+s_Irr!BR13),".")</f>
        <v>115.50524644618942</v>
      </c>
      <c r="AV13" s="87">
        <f>IFERROR(s_C*s_IFPT_res_adj*s_CF_potato*0.001*(s_Irr!U13+s_Irr!AT13+s_Irr!BS13),".")</f>
        <v>97.022353419108867</v>
      </c>
      <c r="AW13" s="87">
        <f>IFERROR(s_C*s_IFPU_res_adj*s_CF_pumpkin*0.001*(s_Irr!V13+s_Irr!AU13+s_Irr!BT13),".")</f>
        <v>115.50524644618942</v>
      </c>
      <c r="AX13" s="87">
        <f>IFERROR(s_C*s_IFSN_res_adj*s_CF_snap_bean*0.001*(s_Irr!W13+s_Irr!AV13+s_Irr!BU13),".")</f>
        <v>114.00257221634547</v>
      </c>
      <c r="AY13" s="87">
        <f>IFERROR(s_C*s_IFST_res_adj*s_CF_strawberry*0.001*(s_Irr!X13+s_Irr!AW13+s_Irr!BV13),".")</f>
        <v>88.907912577951549</v>
      </c>
      <c r="AZ13" s="87">
        <f>IFERROR(s_C*s_IFTO_res_adj*s_CF_tomato*0.001*(s_Irr!Y13+s_Irr!AX13+s_Irr!BW13),".")</f>
        <v>115.50524644618942</v>
      </c>
      <c r="BA13" s="87">
        <f>IFERROR(s_C*s_IFRI_res_adj*s_CF_rice*0.001*(s_Irr!Z13+s_Irr!AY13+s_Irr!BX13),".")</f>
        <v>118.51059490587731</v>
      </c>
      <c r="BB13" s="87">
        <f>IFERROR(s_C*s_IFCG_res_adj*s_CF_cereal*0.001*(s_Irr!AA13+s_Irr!AZ13+s_Irr!BY13),".")</f>
        <v>92.814865575545824</v>
      </c>
      <c r="BC13" s="70">
        <f t="shared" si="1"/>
        <v>130.0193234834432</v>
      </c>
      <c r="BD13" s="70">
        <f>IFERROR(IF(AND(s_Irr!C13&lt;&gt;".",s_Irr!AB13&lt;&gt;".",s_Irr!BA13&lt;&gt;"."),s_dir!AD13/((1/1000)*(s_Irr!C13+s_Irr!AB13+s_Irr!BA13)),IF(AND(s_Irr!C13&lt;&gt;".",s_Irr!AB13&lt;&gt;".",s_Irr!BA13="."),s_dir!AD13/((1/1000)*(s_Irr!C13+s_Irr!AB13)),IF(AND(s_Irr!C13&lt;&gt;".",s_Irr!AB13=".",s_Irr!BA13&lt;&gt;"."),s_dir!AD13/((1/1000)*(s_Irr!C13+s_Irr!BA13)),IF(AND(s_Irr!C13=".",s_Irr!AB13&lt;&gt;".",s_Irr!BA13&lt;&gt;"."),s_dir!AD13/((1/1000)*(s_Irr!AB13+s_Irr!BA13)),IF(AND(s_Irr!C13=".",s_Irr!AB13=".",s_Irr!BA13&lt;&gt;"."),s_dir!AD13/((1/1000)*(s_Irr!BA13)),IF(AND(s_Irr!C13=".",s_Irr!AB13&lt;&gt;".",s_Irr!BA13="."),s_dir!AD13/((1/1000)*(s_Irr!AB13)),IF(AND(s_Irr!C13&lt;&gt;".",s_Irr!AB13=".",s_Irr!BA13="."),s_dir!AD13/((1/1000)*(s_Irr!C13)),IF(AND(s_Irr!C13=".",s_Irr!AB13=".",s_Irr!BA13="."),s_dir!AD13*1000)))))))),".")</f>
        <v>607.97799078525463</v>
      </c>
      <c r="BE13" s="70">
        <f>IFERROR(IF(AND(s_Irr!D13&lt;&gt;".",s_Irr!AC13&lt;&gt;".",s_Irr!BB13&lt;&gt;"."),s_dir!AE13/((1/1000)*(s_Irr!D13+s_Irr!AC13+s_Irr!BB13)),IF(AND(s_Irr!D13&lt;&gt;".",s_Irr!AC13&lt;&gt;".",s_Irr!BB13="."),s_dir!AE13/((1/1000)*(s_Irr!D13+s_Irr!AC13)),IF(AND(s_Irr!D13&lt;&gt;".",s_Irr!AC13=".",s_Irr!BB13&lt;&gt;"."),s_dir!AE13/((1/1000)*(s_Irr!D13+s_Irr!BB13)),IF(AND(s_Irr!D13=".",s_Irr!AC13&lt;&gt;".",s_Irr!BB13&lt;&gt;"."),s_dir!AE13/((1/1000)*(s_Irr!AC13+s_Irr!BB13)),IF(AND(s_Irr!D13=".",s_Irr!AC13=".",s_Irr!BB13&lt;&gt;"."),s_dir!AE13/((1/1000)*(s_Irr!BB13)),IF(AND(s_Irr!D13=".",s_Irr!AC13&lt;&gt;".",s_Irr!BB13="."),s_dir!AE13/((1/1000)*(s_Irr!AC13)),IF(AND(s_Irr!D13&lt;&gt;".",s_Irr!AC13=".",s_Irr!BB13="."),s_dir!AE13/((1/1000)*(s_Irr!D13)),IF(AND(s_Irr!D13=".",s_Irr!AC13=".",s_Irr!BB13="."),s_dir!AE13*1000)))))))),".")</f>
        <v>418.92847572913536</v>
      </c>
      <c r="BF13" s="70">
        <f>IFERROR(IF(AND(s_Irr!E13&lt;&gt;".",s_Irr!AD13&lt;&gt;".",s_Irr!BC13&lt;&gt;"."),s_dir!AF13/((1/1000)*(s_Irr!E13+s_Irr!AD13+s_Irr!BC13)),IF(AND(s_Irr!E13&lt;&gt;".",s_Irr!AD13&lt;&gt;".",s_Irr!BC13="."),s_dir!AF13/((1/1000)*(s_Irr!E13+s_Irr!AD13)),IF(AND(s_Irr!E13&lt;&gt;".",s_Irr!AD13=".",s_Irr!BC13&lt;&gt;"."),s_dir!AF13/((1/1000)*(s_Irr!E13+s_Irr!BC13)),IF(AND(s_Irr!E13=".",s_Irr!AD13&lt;&gt;".",s_Irr!BC13&lt;&gt;"."),s_dir!AF13/((1/1000)*(s_Irr!AD13+s_Irr!BC13)),IF(AND(s_Irr!E13=".",s_Irr!AD13=".",s_Irr!BC13&lt;&gt;"."),s_dir!AF13/((1/1000)*(s_Irr!BC13)),IF(AND(s_Irr!E13=".",s_Irr!AD13&lt;&gt;".",s_Irr!BC13="."),s_dir!AF13/((1/1000)*(s_Irr!AD13)),IF(AND(s_Irr!E13&lt;&gt;".",s_Irr!AD13=".",s_Irr!BC13="."),s_dir!AF13/((1/1000)*(s_Irr!E13)),IF(AND(s_Irr!E13=".",s_Irr!AD13=".",s_Irr!BC13="."),s_dir!AF13*1000)))))))),".")</f>
        <v>444.83096256298921</v>
      </c>
      <c r="BG13" s="70">
        <f>IFERROR(IF(AND(s_Irr!F13&lt;&gt;".",s_Irr!AE13&lt;&gt;".",s_Irr!BD13&lt;&gt;"."),s_dir!AG13/((1/1000)*(s_Irr!F13+s_Irr!AE13+s_Irr!BD13)),IF(AND(s_Irr!F13&lt;&gt;".",s_Irr!AE13&lt;&gt;".",s_Irr!BD13="."),s_dir!AG13/((1/1000)*(s_Irr!F13+s_Irr!AE13)),IF(AND(s_Irr!F13&lt;&gt;".",s_Irr!AE13=".",s_Irr!BD13&lt;&gt;"."),s_dir!AG13/((1/1000)*(s_Irr!F13+s_Irr!BD13)),IF(AND(s_Irr!F13=".",s_Irr!AE13&lt;&gt;".",s_Irr!BD13&lt;&gt;"."),s_dir!AG13/((1/1000)*(s_Irr!AE13+s_Irr!BD13)),IF(AND(s_Irr!F13=".",s_Irr!AE13=".",s_Irr!BD13&lt;&gt;"."),s_dir!AG13/((1/1000)*(s_Irr!BD13)),IF(AND(s_Irr!F13=".",s_Irr!AE13&lt;&gt;".",s_Irr!BD13="."),s_dir!AG13/((1/1000)*(s_Irr!AE13)),IF(AND(s_Irr!F13&lt;&gt;".",s_Irr!AE13=".",s_Irr!BD13="."),s_dir!AG13/((1/1000)*(s_Irr!F13)),IF(AND(s_Irr!F13=".",s_Irr!AE13=".",s_Irr!BD13="."),s_dir!AG13*1000)))))))),".")</f>
        <v>607.97799078525463</v>
      </c>
      <c r="BH13" s="70">
        <f>IFERROR(IF(AND(s_Irr!G13&lt;&gt;".",s_Irr!AF13&lt;&gt;".",s_Irr!BE13&lt;&gt;"."),s_dir!AH13/((1/1000)*(s_Irr!G13+s_Irr!AF13+s_Irr!BE13)),IF(AND(s_Irr!G13&lt;&gt;".",s_Irr!AF13&lt;&gt;".",s_Irr!BE13="."),s_dir!AH13/((1/1000)*(s_Irr!G13+s_Irr!AF13)),IF(AND(s_Irr!G13&lt;&gt;".",s_Irr!AF13=".",s_Irr!BE13&lt;&gt;"."),s_dir!AH13/((1/1000)*(s_Irr!G13+s_Irr!BE13)),IF(AND(s_Irr!G13=".",s_Irr!AF13&lt;&gt;".",s_Irr!BE13&lt;&gt;"."),s_dir!AH13/((1/1000)*(s_Irr!AF13+s_Irr!BE13)),IF(AND(s_Irr!G13=".",s_Irr!AF13=".",s_Irr!BE13&lt;&gt;"."),s_dir!AH13/((1/1000)*(s_Irr!BE13)),IF(AND(s_Irr!G13=".",s_Irr!AF13&lt;&gt;".",s_Irr!BE13="."),s_dir!AH13/((1/1000)*(s_Irr!AF13)),IF(AND(s_Irr!G13&lt;&gt;".",s_Irr!AF13=".",s_Irr!BE13="."),s_dir!AH13/((1/1000)*(s_Irr!G13)),IF(AND(s_Irr!G13=".",s_Irr!AF13=".",s_Irr!BE13="."),s_dir!AH13*1000)))))))),".")</f>
        <v>467.97921061738339</v>
      </c>
      <c r="BI13" s="70">
        <f>IFERROR(IF(AND(s_Irr!H13&lt;&gt;".",s_Irr!AG13&lt;&gt;".",s_Irr!BF13&lt;&gt;"."),s_dir!AI13/((1/1000)*(s_Irr!H13+s_Irr!AG13+s_Irr!BF13)),IF(AND(s_Irr!H13&lt;&gt;".",s_Irr!AG13&lt;&gt;".",s_Irr!BF13="."),s_dir!AI13/((1/1000)*(s_Irr!H13+s_Irr!AG13)),IF(AND(s_Irr!H13&lt;&gt;".",s_Irr!AG13=".",s_Irr!BF13&lt;&gt;"."),s_dir!AI13/((1/1000)*(s_Irr!H13+s_Irr!BF13)),IF(AND(s_Irr!H13=".",s_Irr!AG13&lt;&gt;".",s_Irr!BF13&lt;&gt;"."),s_dir!AI13/((1/1000)*(s_Irr!AG13+s_Irr!BF13)),IF(AND(s_Irr!H13=".",s_Irr!AG13=".",s_Irr!BF13&lt;&gt;"."),s_dir!AI13/((1/1000)*(s_Irr!BF13)),IF(AND(s_Irr!H13=".",s_Irr!AG13&lt;&gt;".",s_Irr!BF13="."),s_dir!AI13/((1/1000)*(s_Irr!AG13)),IF(AND(s_Irr!H13&lt;&gt;".",s_Irr!AG13=".",s_Irr!BF13="."),s_dir!AI13/((1/1000)*(s_Irr!H13)),IF(AND(s_Irr!H13=".",s_Irr!AG13=".",s_Irr!BF13="."),s_dir!AI13*1000)))))))),".")</f>
        <v>418.92847572913536</v>
      </c>
      <c r="BJ13" s="70">
        <f>IFERROR(IF(AND(s_Irr!I13&lt;&gt;".",s_Irr!AH13&lt;&gt;".",s_Irr!BG13&lt;&gt;"."),s_dir!AJ13/((1/1000)*(s_Irr!I13+s_Irr!AH13+s_Irr!BG13)),IF(AND(s_Irr!I13&lt;&gt;".",s_Irr!AH13&lt;&gt;".",s_Irr!BG13="."),s_dir!AJ13/((1/1000)*(s_Irr!I13+s_Irr!AH13)),IF(AND(s_Irr!I13&lt;&gt;".",s_Irr!AH13=".",s_Irr!BG13&lt;&gt;"."),s_dir!AJ13/((1/1000)*(s_Irr!I13+s_Irr!BG13)),IF(AND(s_Irr!I13=".",s_Irr!AH13&lt;&gt;".",s_Irr!BG13&lt;&gt;"."),s_dir!AJ13/((1/1000)*(s_Irr!AH13+s_Irr!BG13)),IF(AND(s_Irr!I13=".",s_Irr!AH13=".",s_Irr!BG13&lt;&gt;"."),s_dir!AJ13/((1/1000)*(s_Irr!BG13)),IF(AND(s_Irr!I13=".",s_Irr!AH13&lt;&gt;".",s_Irr!BG13="."),s_dir!AJ13/((1/1000)*(s_Irr!AH13)),IF(AND(s_Irr!I13&lt;&gt;".",s_Irr!AH13=".",s_Irr!BG13="."),s_dir!AJ13/((1/1000)*(s_Irr!I13)),IF(AND(s_Irr!I13=".",s_Irr!AH13=".",s_Irr!BG13="."),s_dir!AJ13*1000)))))))),".")</f>
        <v>444.83096256298921</v>
      </c>
      <c r="BK13" s="70">
        <f>IFERROR(IF(AND(s_Irr!J13&lt;&gt;".",s_Irr!AI13&lt;&gt;".",s_Irr!BH13&lt;&gt;"."),s_dir!AK13/((1/1000)*(s_Irr!J13+s_Irr!AI13+s_Irr!BH13)),IF(AND(s_Irr!J13&lt;&gt;".",s_Irr!AI13&lt;&gt;".",s_Irr!BH13="."),s_dir!AK13/((1/1000)*(s_Irr!J13+s_Irr!AI13)),IF(AND(s_Irr!J13&lt;&gt;".",s_Irr!AI13=".",s_Irr!BH13&lt;&gt;"."),s_dir!AK13/((1/1000)*(s_Irr!J13+s_Irr!BH13)),IF(AND(s_Irr!J13=".",s_Irr!AI13&lt;&gt;".",s_Irr!BH13&lt;&gt;"."),s_dir!AK13/((1/1000)*(s_Irr!AI13+s_Irr!BH13)),IF(AND(s_Irr!J13=".",s_Irr!AI13=".",s_Irr!BH13&lt;&gt;"."),s_dir!AK13/((1/1000)*(s_Irr!BH13)),IF(AND(s_Irr!J13=".",s_Irr!AI13&lt;&gt;".",s_Irr!BH13="."),s_dir!AK13/((1/1000)*(s_Irr!AI13)),IF(AND(s_Irr!J13&lt;&gt;".",s_Irr!AI13=".",s_Irr!BH13="."),s_dir!AK13/((1/1000)*(s_Irr!J13)),IF(AND(s_Irr!J13=".",s_Irr!AI13=".",s_Irr!BH13="."),s_dir!AK13*1000)))))))),".")</f>
        <v>607.97799078525463</v>
      </c>
      <c r="BL13" s="70">
        <f>IFERROR(IF(AND(s_Irr!K13&lt;&gt;".",s_Irr!AJ13&lt;&gt;".",s_Irr!BI13&lt;&gt;"."),s_dir!AL13/((1/1000)*(s_Irr!K13+s_Irr!AJ13+s_Irr!BI13)),IF(AND(s_Irr!K13&lt;&gt;".",s_Irr!AJ13&lt;&gt;".",s_Irr!BI13="."),s_dir!AL13/((1/1000)*(s_Irr!K13+s_Irr!AJ13)),IF(AND(s_Irr!K13&lt;&gt;".",s_Irr!AJ13=".",s_Irr!BI13&lt;&gt;"."),s_dir!AL13/((1/1000)*(s_Irr!K13+s_Irr!BI13)),IF(AND(s_Irr!K13=".",s_Irr!AJ13&lt;&gt;".",s_Irr!BI13&lt;&gt;"."),s_dir!AL13/((1/1000)*(s_Irr!AJ13+s_Irr!BI13)),IF(AND(s_Irr!K13=".",s_Irr!AJ13=".",s_Irr!BI13&lt;&gt;"."),s_dir!AL13/((1/1000)*(s_Irr!BI13)),IF(AND(s_Irr!K13=".",s_Irr!AJ13&lt;&gt;".",s_Irr!BI13="."),s_dir!AL13/((1/1000)*(s_Irr!AJ13)),IF(AND(s_Irr!K13&lt;&gt;".",s_Irr!AJ13=".",s_Irr!BI13="."),s_dir!AL13/((1/1000)*(s_Irr!K13)),IF(AND(s_Irr!K13=".",s_Irr!AJ13=".",s_Irr!BI13="."),s_dir!AL13*1000)))))))),".")</f>
        <v>565.00558397022371</v>
      </c>
      <c r="BM13" s="70">
        <f>IFERROR(IF(AND(s_Irr!L13&lt;&gt;".",s_Irr!AK13&lt;&gt;".",s_Irr!BJ13&lt;&gt;"."),s_dir!AM13/((1/1000)*(s_Irr!L13+s_Irr!AK13+s_Irr!BJ13)),IF(AND(s_Irr!L13&lt;&gt;".",s_Irr!AK13&lt;&gt;".",s_Irr!BJ13="."),s_dir!AM13/((1/1000)*(s_Irr!L13+s_Irr!AK13)),IF(AND(s_Irr!L13&lt;&gt;".",s_Irr!AK13=".",s_Irr!BJ13&lt;&gt;"."),s_dir!AM13/((1/1000)*(s_Irr!L13+s_Irr!BJ13)),IF(AND(s_Irr!L13=".",s_Irr!AK13&lt;&gt;".",s_Irr!BJ13&lt;&gt;"."),s_dir!AM13/((1/1000)*(s_Irr!AK13+s_Irr!BJ13)),IF(AND(s_Irr!L13=".",s_Irr!AK13=".",s_Irr!BJ13&lt;&gt;"."),s_dir!AM13/((1/1000)*(s_Irr!BJ13)),IF(AND(s_Irr!L13=".",s_Irr!AK13&lt;&gt;".",s_Irr!BJ13="."),s_dir!AM13/((1/1000)*(s_Irr!AK13)),IF(AND(s_Irr!L13&lt;&gt;".",s_Irr!AK13=".",s_Irr!BJ13="."),s_dir!AM13/((1/1000)*(s_Irr!L13)),IF(AND(s_Irr!L13=".",s_Irr!AK13=".",s_Irr!BJ13="."),s_dir!AM13*1000)))))))),".")</f>
        <v>467.97921061738339</v>
      </c>
      <c r="BN13" s="70">
        <f>IFERROR(IF(AND(s_Irr!M13&lt;&gt;".",s_Irr!AL13&lt;&gt;".",s_Irr!BK13&lt;&gt;"."),s_dir!AN13/((1/1000)*(s_Irr!M13+s_Irr!AL13+s_Irr!BK13)),IF(AND(s_Irr!M13&lt;&gt;".",s_Irr!AL13&lt;&gt;".",s_Irr!BK13="."),s_dir!AN13/((1/1000)*(s_Irr!M13+s_Irr!AL13)),IF(AND(s_Irr!M13&lt;&gt;".",s_Irr!AL13=".",s_Irr!BK13&lt;&gt;"."),s_dir!AN13/((1/1000)*(s_Irr!M13+s_Irr!BK13)),IF(AND(s_Irr!M13=".",s_Irr!AL13&lt;&gt;".",s_Irr!BK13&lt;&gt;"."),s_dir!AN13/((1/1000)*(s_Irr!AL13+s_Irr!BK13)),IF(AND(s_Irr!M13=".",s_Irr!AL13=".",s_Irr!BK13&lt;&gt;"."),s_dir!AN13/((1/1000)*(s_Irr!BK13)),IF(AND(s_Irr!M13=".",s_Irr!AL13&lt;&gt;".",s_Irr!BK13="."),s_dir!AN13/((1/1000)*(s_Irr!AL13)),IF(AND(s_Irr!M13&lt;&gt;".",s_Irr!AL13=".",s_Irr!BK13="."),s_dir!AN13/((1/1000)*(s_Irr!M13)),IF(AND(s_Irr!M13=".",s_Irr!AL13=".",s_Irr!BK13="."),s_dir!AN13*1000)))))))),".")</f>
        <v>418.92847572913536</v>
      </c>
      <c r="BO13" s="70">
        <f>IFERROR(IF(AND(s_Irr!N13&lt;&gt;".",s_Irr!AM13&lt;&gt;".",s_Irr!BL13&lt;&gt;"."),s_dir!AO13/((1/1000)*(s_Irr!N13+s_Irr!AM13+s_Irr!BL13)),IF(AND(s_Irr!N13&lt;&gt;".",s_Irr!AM13&lt;&gt;".",s_Irr!BL13="."),s_dir!AO13/((1/1000)*(s_Irr!N13+s_Irr!AM13)),IF(AND(s_Irr!N13&lt;&gt;".",s_Irr!AM13=".",s_Irr!BL13&lt;&gt;"."),s_dir!AO13/((1/1000)*(s_Irr!N13+s_Irr!BL13)),IF(AND(s_Irr!N13=".",s_Irr!AM13&lt;&gt;".",s_Irr!BL13&lt;&gt;"."),s_dir!AO13/((1/1000)*(s_Irr!AM13+s_Irr!BL13)),IF(AND(s_Irr!N13=".",s_Irr!AM13=".",s_Irr!BL13&lt;&gt;"."),s_dir!AO13/((1/1000)*(s_Irr!BL13)),IF(AND(s_Irr!N13=".",s_Irr!AM13&lt;&gt;".",s_Irr!BL13="."),s_dir!AO13/((1/1000)*(s_Irr!AM13)),IF(AND(s_Irr!N13&lt;&gt;".",s_Irr!AM13=".",s_Irr!BL13="."),s_dir!AO13/((1/1000)*(s_Irr!N13)),IF(AND(s_Irr!N13=".",s_Irr!AM13=".",s_Irr!BL13="."),s_dir!AO13*1000)))))))),".")</f>
        <v>474.14767055847085</v>
      </c>
      <c r="BP13" s="70">
        <f>IFERROR(IF(AND(s_Irr!O13&lt;&gt;".",s_Irr!AN13&lt;&gt;".",s_Irr!BM13&lt;&gt;"."),s_dir!AP13/((1/1000)*(s_Irr!O13+s_Irr!AN13+s_Irr!BM13)),IF(AND(s_Irr!O13&lt;&gt;".",s_Irr!AN13&lt;&gt;".",s_Irr!BM13="."),s_dir!AP13/((1/1000)*(s_Irr!O13+s_Irr!AN13)),IF(AND(s_Irr!O13&lt;&gt;".",s_Irr!AN13=".",s_Irr!BM13&lt;&gt;"."),s_dir!AP13/((1/1000)*(s_Irr!O13+s_Irr!BM13)),IF(AND(s_Irr!O13=".",s_Irr!AN13&lt;&gt;".",s_Irr!BM13&lt;&gt;"."),s_dir!AP13/((1/1000)*(s_Irr!AN13+s_Irr!BM13)),IF(AND(s_Irr!O13=".",s_Irr!AN13=".",s_Irr!BM13&lt;&gt;"."),s_dir!AP13/((1/1000)*(s_Irr!BM13)),IF(AND(s_Irr!O13=".",s_Irr!AN13&lt;&gt;".",s_Irr!BM13="."),s_dir!AP13/((1/1000)*(s_Irr!AN13)),IF(AND(s_Irr!O13&lt;&gt;".",s_Irr!AN13=".",s_Irr!BM13="."),s_dir!AP13/((1/1000)*(s_Irr!O13)),IF(AND(s_Irr!O13=".",s_Irr!AN13=".",s_Irr!BM13="."),s_dir!AP13*1000)))))))),".")</f>
        <v>467.97921061738339</v>
      </c>
      <c r="BQ13" s="70">
        <f>IFERROR(IF(AND(s_Irr!P13&lt;&gt;".",s_Irr!AO13&lt;&gt;".",s_Irr!BN13&lt;&gt;"."),s_dir!AQ13/((1/1000)*(s_Irr!P13+s_Irr!AO13+s_Irr!BN13)),IF(AND(s_Irr!P13&lt;&gt;".",s_Irr!AO13&lt;&gt;".",s_Irr!BN13="."),s_dir!AQ13/((1/1000)*(s_Irr!P13+s_Irr!AO13)),IF(AND(s_Irr!P13&lt;&gt;".",s_Irr!AO13=".",s_Irr!BN13&lt;&gt;"."),s_dir!AQ13/((1/1000)*(s_Irr!P13+s_Irr!BN13)),IF(AND(s_Irr!P13=".",s_Irr!AO13&lt;&gt;".",s_Irr!BN13&lt;&gt;"."),s_dir!AQ13/((1/1000)*(s_Irr!AO13+s_Irr!BN13)),IF(AND(s_Irr!P13=".",s_Irr!AO13=".",s_Irr!BN13&lt;&gt;"."),s_dir!AQ13/((1/1000)*(s_Irr!BN13)),IF(AND(s_Irr!P13=".",s_Irr!AO13&lt;&gt;".",s_Irr!BN13="."),s_dir!AQ13/((1/1000)*(s_Irr!AO13)),IF(AND(s_Irr!P13&lt;&gt;".",s_Irr!AO13=".",s_Irr!BN13="."),s_dir!AQ13/((1/1000)*(s_Irr!P13)),IF(AND(s_Irr!P13=".",s_Irr!AO13=".",s_Irr!BN13="."),s_dir!AQ13*1000)))))))),".")</f>
        <v>444.83096256298921</v>
      </c>
      <c r="BR13" s="70">
        <f>IFERROR(IF(AND(s_Irr!Q13&lt;&gt;".",s_Irr!AP13&lt;&gt;".",s_Irr!BO13&lt;&gt;"."),s_dir!AR13/((1/1000)*(s_Irr!Q13+s_Irr!AP13+s_Irr!BO13)),IF(AND(s_Irr!Q13&lt;&gt;".",s_Irr!AP13&lt;&gt;".",s_Irr!BO13="."),s_dir!AR13/((1/1000)*(s_Irr!Q13+s_Irr!AP13)),IF(AND(s_Irr!Q13&lt;&gt;".",s_Irr!AP13=".",s_Irr!BO13&lt;&gt;"."),s_dir!AR13/((1/1000)*(s_Irr!Q13+s_Irr!BO13)),IF(AND(s_Irr!Q13=".",s_Irr!AP13&lt;&gt;".",s_Irr!BO13&lt;&gt;"."),s_dir!AR13/((1/1000)*(s_Irr!AP13+s_Irr!BO13)),IF(AND(s_Irr!Q13=".",s_Irr!AP13=".",s_Irr!BO13&lt;&gt;"."),s_dir!AR13/((1/1000)*(s_Irr!BO13)),IF(AND(s_Irr!Q13=".",s_Irr!AP13&lt;&gt;".",s_Irr!BO13="."),s_dir!AR13/((1/1000)*(s_Irr!AP13)),IF(AND(s_Irr!Q13&lt;&gt;".",s_Irr!AP13=".",s_Irr!BO13="."),s_dir!AR13/((1/1000)*(s_Irr!Q13)),IF(AND(s_Irr!Q13=".",s_Irr!AP13=".",s_Irr!BO13="."),s_dir!AR13*1000)))))))),".")</f>
        <v>607.97799078525463</v>
      </c>
      <c r="BS13" s="70">
        <f>IFERROR(IF(AND(s_Irr!R13&lt;&gt;".",s_Irr!AQ13&lt;&gt;".",s_Irr!BP13&lt;&gt;"."),s_dir!AS13/((1/1000)*(s_Irr!R13+s_Irr!AQ13+s_Irr!BP13)),IF(AND(s_Irr!R13&lt;&gt;".",s_Irr!AQ13&lt;&gt;".",s_Irr!BP13="."),s_dir!AS13/((1/1000)*(s_Irr!R13+s_Irr!AQ13)),IF(AND(s_Irr!R13&lt;&gt;".",s_Irr!AQ13=".",s_Irr!BP13&lt;&gt;"."),s_dir!AS13/((1/1000)*(s_Irr!R13+s_Irr!BP13)),IF(AND(s_Irr!R13=".",s_Irr!AQ13&lt;&gt;".",s_Irr!BP13&lt;&gt;"."),s_dir!AS13/((1/1000)*(s_Irr!AQ13+s_Irr!BP13)),IF(AND(s_Irr!R13=".",s_Irr!AQ13=".",s_Irr!BP13&lt;&gt;"."),s_dir!AS13/((1/1000)*(s_Irr!BP13)),IF(AND(s_Irr!R13=".",s_Irr!AQ13&lt;&gt;".",s_Irr!BP13="."),s_dir!AS13/((1/1000)*(s_Irr!AQ13)),IF(AND(s_Irr!R13&lt;&gt;".",s_Irr!AQ13=".",s_Irr!BP13="."),s_dir!AS13/((1/1000)*(s_Irr!R13)),IF(AND(s_Irr!R13=".",s_Irr!AQ13=".",s_Irr!BP13="."),s_dir!AS13*1000)))))))),".")</f>
        <v>607.97799078525463</v>
      </c>
      <c r="BT13" s="70">
        <f>IFERROR(IF(AND(s_Irr!S13&lt;&gt;".",s_Irr!AR13&lt;&gt;".",s_Irr!BQ13&lt;&gt;"."),s_dir!AT13/((1/1000)*(s_Irr!S13+s_Irr!AR13+s_Irr!BQ13)),IF(AND(s_Irr!S13&lt;&gt;".",s_Irr!AR13&lt;&gt;".",s_Irr!BQ13="."),s_dir!AT13/((1/1000)*(s_Irr!S13+s_Irr!AR13)),IF(AND(s_Irr!S13&lt;&gt;".",s_Irr!AR13=".",s_Irr!BQ13&lt;&gt;"."),s_dir!AT13/((1/1000)*(s_Irr!S13+s_Irr!BQ13)),IF(AND(s_Irr!S13=".",s_Irr!AR13&lt;&gt;".",s_Irr!BQ13&lt;&gt;"."),s_dir!AT13/((1/1000)*(s_Irr!AR13+s_Irr!BQ13)),IF(AND(s_Irr!S13=".",s_Irr!AR13=".",s_Irr!BQ13&lt;&gt;"."),s_dir!AT13/((1/1000)*(s_Irr!BQ13)),IF(AND(s_Irr!S13=".",s_Irr!AR13&lt;&gt;".",s_Irr!BQ13="."),s_dir!AT13/((1/1000)*(s_Irr!AR13)),IF(AND(s_Irr!S13&lt;&gt;".",s_Irr!AR13=".",s_Irr!BQ13="."),s_dir!AT13/((1/1000)*(s_Irr!S13)),IF(AND(s_Irr!S13=".",s_Irr!AR13=".",s_Irr!BQ13="."),s_dir!AT13*1000)))))))),".")</f>
        <v>474.14767055847085</v>
      </c>
      <c r="BU13" s="70">
        <f>IFERROR(IF(AND(s_Irr!T13&lt;&gt;".",s_Irr!AS13&lt;&gt;".",s_Irr!BR13&lt;&gt;"."),s_dir!AU13/((1/1000)*(s_Irr!T13+s_Irr!AS13+s_Irr!BR13)),IF(AND(s_Irr!T13&lt;&gt;".",s_Irr!AS13&lt;&gt;".",s_Irr!BR13="."),s_dir!AU13/((1/1000)*(s_Irr!T13+s_Irr!AS13)),IF(AND(s_Irr!T13&lt;&gt;".",s_Irr!AS13=".",s_Irr!BR13&lt;&gt;"."),s_dir!AU13/((1/1000)*(s_Irr!T13+s_Irr!BR13)),IF(AND(s_Irr!T13=".",s_Irr!AS13&lt;&gt;".",s_Irr!BR13&lt;&gt;"."),s_dir!AU13/((1/1000)*(s_Irr!AS13+s_Irr!BR13)),IF(AND(s_Irr!T13=".",s_Irr!AS13=".",s_Irr!BR13&lt;&gt;"."),s_dir!AU13/((1/1000)*(s_Irr!BR13)),IF(AND(s_Irr!T13=".",s_Irr!AS13&lt;&gt;".",s_Irr!BR13="."),s_dir!AU13/((1/1000)*(s_Irr!AS13)),IF(AND(s_Irr!T13&lt;&gt;".",s_Irr!AS13=".",s_Irr!BR13="."),s_dir!AU13/((1/1000)*(s_Irr!T13)),IF(AND(s_Irr!T13=".",s_Irr!AS13=".",s_Irr!BR13="."),s_dir!AU13*1000)))))))),".")</f>
        <v>467.97921061738339</v>
      </c>
      <c r="BV13" s="70">
        <f>IFERROR(IF(AND(s_Irr!U13&lt;&gt;".",s_Irr!AT13&lt;&gt;".",s_Irr!BS13&lt;&gt;"."),s_dir!AV13/((1/1000)*(s_Irr!U13+s_Irr!AT13+s_Irr!BS13)),IF(AND(s_Irr!U13&lt;&gt;".",s_Irr!AT13&lt;&gt;".",s_Irr!BS13="."),s_dir!AV13/((1/1000)*(s_Irr!U13+s_Irr!AT13)),IF(AND(s_Irr!U13&lt;&gt;".",s_Irr!AT13=".",s_Irr!BS13&lt;&gt;"."),s_dir!AV13/((1/1000)*(s_Irr!U13+s_Irr!BS13)),IF(AND(s_Irr!U13=".",s_Irr!AT13&lt;&gt;".",s_Irr!BS13&lt;&gt;"."),s_dir!AV13/((1/1000)*(s_Irr!AT13+s_Irr!BS13)),IF(AND(s_Irr!U13=".",s_Irr!AT13=".",s_Irr!BS13&lt;&gt;"."),s_dir!AV13/((1/1000)*(s_Irr!BS13)),IF(AND(s_Irr!U13=".",s_Irr!AT13&lt;&gt;".",s_Irr!BS13="."),s_dir!AV13/((1/1000)*(s_Irr!AT13)),IF(AND(s_Irr!U13&lt;&gt;".",s_Irr!AT13=".",s_Irr!BS13="."),s_dir!AV13/((1/1000)*(s_Irr!U13)),IF(AND(s_Irr!U13=".",s_Irr!AT13=".",s_Irr!BS13="."),s_dir!AV13*1000)))))))),".")</f>
        <v>557.12989995775479</v>
      </c>
      <c r="BW13" s="70">
        <f>IFERROR(IF(AND(s_Irr!V13&lt;&gt;".",s_Irr!AU13&lt;&gt;".",s_Irr!BT13&lt;&gt;"."),s_dir!AW13/((1/1000)*(s_Irr!V13+s_Irr!AU13+s_Irr!BT13)),IF(AND(s_Irr!V13&lt;&gt;".",s_Irr!AU13&lt;&gt;".",s_Irr!BT13="."),s_dir!AW13/((1/1000)*(s_Irr!V13+s_Irr!AU13)),IF(AND(s_Irr!V13&lt;&gt;".",s_Irr!AU13=".",s_Irr!BT13&lt;&gt;"."),s_dir!AW13/((1/1000)*(s_Irr!V13+s_Irr!BT13)),IF(AND(s_Irr!V13=".",s_Irr!AU13&lt;&gt;".",s_Irr!BT13&lt;&gt;"."),s_dir!AW13/((1/1000)*(s_Irr!AU13+s_Irr!BT13)),IF(AND(s_Irr!V13=".",s_Irr!AU13=".",s_Irr!BT13&lt;&gt;"."),s_dir!AW13/((1/1000)*(s_Irr!BT13)),IF(AND(s_Irr!V13=".",s_Irr!AU13&lt;&gt;".",s_Irr!BT13="."),s_dir!AW13/((1/1000)*(s_Irr!AU13)),IF(AND(s_Irr!V13&lt;&gt;".",s_Irr!AU13=".",s_Irr!BT13="."),s_dir!AW13/((1/1000)*(s_Irr!V13)),IF(AND(s_Irr!V13=".",s_Irr!AU13=".",s_Irr!BT13="."),s_dir!AW13*1000)))))))),".")</f>
        <v>467.97921061738339</v>
      </c>
      <c r="BX13" s="70">
        <f>IFERROR(IF(AND(s_Irr!W13&lt;&gt;".",s_Irr!AV13&lt;&gt;".",s_Irr!BU13&lt;&gt;"."),s_dir!AX13/((1/1000)*(s_Irr!W13+s_Irr!AV13+s_Irr!BU13)),IF(AND(s_Irr!W13&lt;&gt;".",s_Irr!AV13&lt;&gt;".",s_Irr!BU13="."),s_dir!AX13/((1/1000)*(s_Irr!W13+s_Irr!AV13)),IF(AND(s_Irr!W13&lt;&gt;".",s_Irr!AV13=".",s_Irr!BU13&lt;&gt;"."),s_dir!AX13/((1/1000)*(s_Irr!W13+s_Irr!BU13)),IF(AND(s_Irr!W13=".",s_Irr!AV13&lt;&gt;".",s_Irr!BU13&lt;&gt;"."),s_dir!AX13/((1/1000)*(s_Irr!AV13+s_Irr!BU13)),IF(AND(s_Irr!W13=".",s_Irr!AV13=".",s_Irr!BU13&lt;&gt;"."),s_dir!AX13/((1/1000)*(s_Irr!BU13)),IF(AND(s_Irr!W13=".",s_Irr!AV13&lt;&gt;".",s_Irr!BU13="."),s_dir!AX13/((1/1000)*(s_Irr!AV13)),IF(AND(s_Irr!W13&lt;&gt;".",s_Irr!AV13=".",s_Irr!BU13="."),s_dir!AX13/((1/1000)*(s_Irr!W13)),IF(AND(s_Irr!W13=".",s_Irr!AV13=".",s_Irr!BU13="."),s_dir!AX13*1000)))))))),".")</f>
        <v>474.14767055847085</v>
      </c>
      <c r="BY13" s="70">
        <f>IFERROR(IF(AND(s_Irr!X13&lt;&gt;".",s_Irr!AW13&lt;&gt;".",s_Irr!BV13&lt;&gt;"."),s_dir!AY13/((1/1000)*(s_Irr!X13+s_Irr!AW13+s_Irr!BV13)),IF(AND(s_Irr!X13&lt;&gt;".",s_Irr!AW13&lt;&gt;".",s_Irr!BV13="."),s_dir!AY13/((1/1000)*(s_Irr!X13+s_Irr!AW13)),IF(AND(s_Irr!X13&lt;&gt;".",s_Irr!AW13=".",s_Irr!BV13&lt;&gt;"."),s_dir!AY13/((1/1000)*(s_Irr!X13+s_Irr!BV13)),IF(AND(s_Irr!X13=".",s_Irr!AW13&lt;&gt;".",s_Irr!BV13&lt;&gt;"."),s_dir!AY13/((1/1000)*(s_Irr!AW13+s_Irr!BV13)),IF(AND(s_Irr!X13=".",s_Irr!AW13=".",s_Irr!BV13&lt;&gt;"."),s_dir!AY13/((1/1000)*(s_Irr!BV13)),IF(AND(s_Irr!X13=".",s_Irr!AW13&lt;&gt;".",s_Irr!BV13="."),s_dir!AY13/((1/1000)*(s_Irr!AW13)),IF(AND(s_Irr!X13&lt;&gt;".",s_Irr!AW13=".",s_Irr!BV13="."),s_dir!AY13/((1/1000)*(s_Irr!X13)),IF(AND(s_Irr!X13=".",s_Irr!AW13=".",s_Irr!BV13="."),s_dir!AY13*1000)))))))),".")</f>
        <v>607.97799078525463</v>
      </c>
      <c r="BZ13" s="70">
        <f>IFERROR(IF(AND(s_Irr!Y13&lt;&gt;".",s_Irr!AX13&lt;&gt;".",s_Irr!BW13&lt;&gt;"."),s_dir!AZ13/((1/1000)*(s_Irr!Y13+s_Irr!AX13+s_Irr!BW13)),IF(AND(s_Irr!Y13&lt;&gt;".",s_Irr!AX13&lt;&gt;".",s_Irr!BW13="."),s_dir!AZ13/((1/1000)*(s_Irr!Y13+s_Irr!AX13)),IF(AND(s_Irr!Y13&lt;&gt;".",s_Irr!AX13=".",s_Irr!BW13&lt;&gt;"."),s_dir!AZ13/((1/1000)*(s_Irr!Y13+s_Irr!BW13)),IF(AND(s_Irr!Y13=".",s_Irr!AX13&lt;&gt;".",s_Irr!BW13&lt;&gt;"."),s_dir!AZ13/((1/1000)*(s_Irr!AX13+s_Irr!BW13)),IF(AND(s_Irr!Y13=".",s_Irr!AX13=".",s_Irr!BW13&lt;&gt;"."),s_dir!AZ13/((1/1000)*(s_Irr!BW13)),IF(AND(s_Irr!Y13=".",s_Irr!AX13&lt;&gt;".",s_Irr!BW13="."),s_dir!AZ13/((1/1000)*(s_Irr!AX13)),IF(AND(s_Irr!Y13&lt;&gt;".",s_Irr!AX13=".",s_Irr!BW13="."),s_dir!AZ13/((1/1000)*(s_Irr!Y13)),IF(AND(s_Irr!Y13=".",s_Irr!AX13=".",s_Irr!BW13="."),s_dir!AZ13*1000)))))))),".")</f>
        <v>467.97921061738339</v>
      </c>
      <c r="CA13" s="70">
        <f>IFERROR(IF(AND(s_Irr!Z13&lt;&gt;".",s_Irr!AY13&lt;&gt;".",s_Irr!BX13&lt;&gt;"."),s_dir!BA13/((1/1000)*(s_Irr!Z13+s_Irr!AY13+s_Irr!BX13)),IF(AND(s_Irr!Z13&lt;&gt;".",s_Irr!AY13&lt;&gt;".",s_Irr!BX13="."),s_dir!BA13/((1/1000)*(s_Irr!Z13+s_Irr!AY13)),IF(AND(s_Irr!Z13&lt;&gt;".",s_Irr!AY13=".",s_Irr!BX13&lt;&gt;"."),s_dir!BA13/((1/1000)*(s_Irr!Z13+s_Irr!BX13)),IF(AND(s_Irr!Z13=".",s_Irr!AY13&lt;&gt;".",s_Irr!BX13&lt;&gt;"."),s_dir!BA13/((1/1000)*(s_Irr!AY13+s_Irr!BX13)),IF(AND(s_Irr!Z13=".",s_Irr!AY13=".",s_Irr!BX13&lt;&gt;"."),s_dir!BA13/((1/1000)*(s_Irr!BX13)),IF(AND(s_Irr!Z13=".",s_Irr!AY13&lt;&gt;".",s_Irr!BX13="."),s_dir!BA13/((1/1000)*(s_Irr!AY13)),IF(AND(s_Irr!Z13&lt;&gt;".",s_Irr!AY13=".",s_Irr!BX13="."),s_dir!BA13/((1/1000)*(s_Irr!Z13)),IF(AND(s_Irr!Z13=".",s_Irr!AY13=".",s_Irr!BX13="."),s_dir!BA13*1000)))))))),".")</f>
        <v>456.11157464009437</v>
      </c>
      <c r="CB13" s="70">
        <f>IFERROR(IF(AND(s_Irr!AA13&lt;&gt;".",s_Irr!AZ13&lt;&gt;".",s_Irr!BY13&lt;&gt;"."),s_dir!BB13/((1/1000)*(s_Irr!AA13+s_Irr!AZ13+s_Irr!BY13)),IF(AND(s_Irr!AA13&lt;&gt;".",s_Irr!AZ13&lt;&gt;".",s_Irr!BY13="."),s_dir!BB13/((1/1000)*(s_Irr!AA13+s_Irr!AZ13)),IF(AND(s_Irr!AA13&lt;&gt;".",s_Irr!AZ13=".",s_Irr!BY13&lt;&gt;"."),s_dir!BB13/((1/1000)*(s_Irr!AA13+s_Irr!BY13)),IF(AND(s_Irr!AA13=".",s_Irr!AZ13&lt;&gt;".",s_Irr!BY13&lt;&gt;"."),s_dir!BB13/((1/1000)*(s_Irr!AZ13+s_Irr!BY13)),IF(AND(s_Irr!AA13=".",s_Irr!AZ13=".",s_Irr!BY13&lt;&gt;"."),s_dir!BB13/((1/1000)*(s_Irr!BY13)),IF(AND(s_Irr!AA13=".",s_Irr!AZ13&lt;&gt;".",s_Irr!BY13="."),s_dir!BB13/((1/1000)*(s_Irr!AZ13)),IF(AND(s_Irr!AA13&lt;&gt;".",s_Irr!AZ13=".",s_Irr!BY13="."),s_dir!BB13/((1/1000)*(s_Irr!AA13)),IF(AND(s_Irr!AA13=".",s_Irr!AZ13=".",s_Irr!BY13="."),s_dir!BB13*1000)))))))),".")</f>
        <v>582.3857387376944</v>
      </c>
      <c r="CC13" s="87">
        <f t="shared" si="2"/>
        <v>415.73861950556409</v>
      </c>
      <c r="CD13" s="87">
        <f>IFERROR(s_C*s_IFAP_far_adj*s_CF_apple*(1/1000)*(s_Irr!C13+s_Irr!AB13+s_Irr!BA13),".")</f>
        <v>88.907912577951549</v>
      </c>
      <c r="CE13" s="87">
        <f>IFERROR(s_C*s_IFAS_far_adj*s_CF_asparagus*(1/1000)*(s_Irr!D13+s_Irr!AC13+s_Irr!BB13),".")</f>
        <v>129.02931451478494</v>
      </c>
      <c r="CF13" s="87">
        <f>IFERROR(s_C*s_IFBT_far_adj*s_CF_beet*(1/1000)*(s_Irr!E13+s_Irr!AD13+s_Irr!BC13),".")</f>
        <v>121.51594336556522</v>
      </c>
      <c r="CG13" s="87">
        <f>IFERROR(s_C*s_IFBE_far_adj*s_CF_berries*(1/1000)*(s_Irr!F13+s_Irr!AE13+s_Irr!BD13),".")</f>
        <v>88.907912577951549</v>
      </c>
      <c r="CH13" s="87">
        <f>IFERROR(s_C*s_IFBR_far_adj*s_CF_broccoli*(1/1000)*(s_Irr!G13+s_Irr!AF13+s_Irr!BE13),".")</f>
        <v>115.50524644618942</v>
      </c>
      <c r="CI13" s="87">
        <f>IFERROR(s_C*s_IFCB_far_adj*s_CF_cabbage*(1/1000)*(s_Irr!H13+s_Irr!AG13+s_Irr!BF13),".")</f>
        <v>129.02931451478494</v>
      </c>
      <c r="CJ13" s="87">
        <f>IFERROR(s_C*s_IFCR_far_adj*s_CF_carrot*(1/1000)*(s_Irr!I13+s_Irr!AH13+s_Irr!BG13),".")</f>
        <v>121.51594336556522</v>
      </c>
      <c r="CK13" s="87">
        <f>IFERROR(s_C*s_IFCI_far_adj*s_CF_citrus*(1/1000)*(s_Irr!J13+s_Irr!AI13+s_Irr!BH13),".")</f>
        <v>88.907912577951549</v>
      </c>
      <c r="CL13" s="87">
        <f>IFERROR(s_C*s_IFCO_far_adj*s_CF_corn*(1/1000)*(s_Irr!K13+s_Irr!AJ13+s_Irr!BI13),".")</f>
        <v>95.669946612249319</v>
      </c>
      <c r="CM13" s="87">
        <f>IFERROR(s_C*s_IFCU_far_adj*s_CF_cucumber*(1/1000)*(s_Irr!L13+s_Irr!AK13+s_Irr!BJ13),".")</f>
        <v>115.50524644618942</v>
      </c>
      <c r="CN13" s="87">
        <f>IFERROR(s_C*s_IFLE_far_adj*s_CF_lettuce*(1/1000)*(s_Irr!M13+s_Irr!AL13+s_Irr!BK13),".")</f>
        <v>129.02931451478494</v>
      </c>
      <c r="CO13" s="87">
        <f>IFERROR(s_C*s_IFLI_far_adj*s_CF_lima_bean*(1/1000)*(s_Irr!N13+s_Irr!AM13+s_Irr!BL13),".")</f>
        <v>114.00257221634547</v>
      </c>
      <c r="CP13" s="87">
        <f>IFERROR(s_C*s_IFOK_far_adj*s_CF_okra*(1/1000)*(s_Irr!O13+s_Irr!AN13+s_Irr!BM13),".")</f>
        <v>115.50524644618942</v>
      </c>
      <c r="CQ13" s="87">
        <f>IFERROR(s_C*s_IFON_far_adj*s_CF_onion*(1/1000)*(s_Irr!P13+s_Irr!AO13+s_Irr!BN13),".")</f>
        <v>121.51594336556522</v>
      </c>
      <c r="CR13" s="87">
        <f>IFERROR(s_C*s_IFPC_far_adj*s_CF_peach*(1/1000)*(s_Irr!Q13+s_Irr!AP13+s_Irr!BO13),".")</f>
        <v>88.907912577951549</v>
      </c>
      <c r="CS13" s="87">
        <f>IFERROR(s_C*s_IFPR_far_adj*s_CF_pear*(1/1000)*(s_Irr!R13+s_Irr!AQ13+s_Irr!BP13),".")</f>
        <v>88.907912577951549</v>
      </c>
      <c r="CT13" s="87">
        <f>IFERROR(s_C*s_IFPE_far_adj*s_CF_peas*(1/1000)*(s_Irr!S13+s_Irr!AR13+s_Irr!BQ13),".")</f>
        <v>114.00257221634547</v>
      </c>
      <c r="CU13" s="87">
        <f>IFERROR(s_C*s_IFPP_far_adj*s_CF_peppers*(1/1000)*(s_Irr!T13+s_Irr!AS13+s_Irr!BR13),".")</f>
        <v>115.50524644618942</v>
      </c>
      <c r="CV13" s="87">
        <f>IFERROR(s_C*s_IFPT_far_adj*s_CF_potato*(1/1000)*(s_Irr!U13+s_Irr!AT13+s_Irr!BS13),".")</f>
        <v>97.022353419108867</v>
      </c>
      <c r="CW13" s="87">
        <f>IFERROR(s_C*s_IFPU_far_adj*s_CF_pumpkin*(1/1000)*(s_Irr!V13+s_Irr!AU13+s_Irr!BT13),".")</f>
        <v>115.50524644618942</v>
      </c>
      <c r="CX13" s="87">
        <f>IFERROR(s_C*s_IFSN_far_adj*s_CF_snap_bean*(1/1000)*(s_Irr!W13+s_Irr!AV13+s_Irr!BU13),".")</f>
        <v>114.00257221634547</v>
      </c>
      <c r="CY13" s="87">
        <f>IFERROR(s_C*s_IFST_far_adj*s_CF_strawberry*(1/1000)*(s_Irr!X13+s_Irr!AW13+s_Irr!BV13),".")</f>
        <v>88.907912577951549</v>
      </c>
      <c r="CZ13" s="87">
        <f>IFERROR(s_C*s_IFTO_far_adj*s_CF_tomato*(1/1000)*(s_Irr!Y13+s_Irr!AX13+s_Irr!BW13),".")</f>
        <v>115.50524644618942</v>
      </c>
      <c r="DA13" s="87">
        <f>IFERROR(s_C*s_IFRI_far_adj*s_CF_rice*(1/1000)*(s_Irr!Z13+s_Irr!AY13+s_Irr!BX13),".")</f>
        <v>118.51059490587731</v>
      </c>
      <c r="DB13" s="87">
        <f>IFERROR(s_C*s_IFCG_far_adj*s_CF_cereal*(1/1000)*(s_Irr!AA13+s_Irr!AZ13+s_Irr!BY13),".")</f>
        <v>92.814865575545824</v>
      </c>
    </row>
    <row r="14" spans="1:106" ht="15" customHeight="1" x14ac:dyDescent="0.25">
      <c r="A14" s="86" t="s">
        <v>12</v>
      </c>
      <c r="B14" s="84" t="s">
        <v>1057</v>
      </c>
      <c r="C14" s="15">
        <f t="shared" si="3"/>
        <v>12366.0720725506</v>
      </c>
      <c r="D14" s="70">
        <f>IFERROR(IF(AND(s_Irr!C14&lt;&gt;".",s_Irr!AB14&lt;&gt;".",s_Irr!BA14&lt;&gt;"."),s_dir!D14/((1/1000)*(s_Irr!C14+s_Irr!AB14+s_Irr!BA14)),IF(AND(s_Irr!C14&lt;&gt;".",s_Irr!AB14&lt;&gt;".",s_Irr!BA14="."),s_dir!D14/((1/1000)*(s_Irr!C14+s_Irr!AB14)),IF(AND(s_Irr!C14&lt;&gt;".",s_Irr!AB14=".",s_Irr!BA14&lt;&gt;"."),s_dir!D14/((1/1000)*(s_Irr!C14+s_Irr!BA14)),IF(AND(s_Irr!C14=".",s_Irr!AB14&lt;&gt;".",s_Irr!BA14&lt;&gt;"."),s_dir!D14/((1/1000)*(s_Irr!AB14+s_Irr!BA14)),IF(AND(s_Irr!C14=".",s_Irr!AB14=".",s_Irr!BA14&lt;&gt;"."),s_dir!D14/((1/1000)*(s_Irr!BA14)),IF(AND(s_Irr!C14=".",s_Irr!AB14&lt;&gt;".",s_Irr!BA14="."),s_dir!D14/((1/1000)*(s_Irr!AB14)),IF(AND(s_Irr!C14&lt;&gt;".",s_Irr!AB14=".",s_Irr!BA14="."),s_dir!D14/((1/1000)*(s_Irr!C14)),IF(AND(s_Irr!C14=".",s_Irr!AB14=".",s_Irr!BA14="."),s_dir!D14*1000)))))))),".")</f>
        <v>49464.288290202407</v>
      </c>
      <c r="E14" s="70">
        <f>IFERROR(IF(AND(s_Irr!D14&lt;&gt;".",s_Irr!AC14&lt;&gt;".",s_Irr!BB14&lt;&gt;"."),s_dir!E14/((1/1000)*(s_Irr!D14+s_Irr!AC14+s_Irr!BB14)),IF(AND(s_Irr!D14&lt;&gt;".",s_Irr!AC14&lt;&gt;".",s_Irr!BB14="."),s_dir!E14/((1/1000)*(s_Irr!D14+s_Irr!AC14)),IF(AND(s_Irr!D14&lt;&gt;".",s_Irr!AC14=".",s_Irr!BB14&lt;&gt;"."),s_dir!E14/((1/1000)*(s_Irr!D14+s_Irr!BB14)),IF(AND(s_Irr!D14=".",s_Irr!AC14&lt;&gt;".",s_Irr!BB14&lt;&gt;"."),s_dir!E14/((1/1000)*(s_Irr!AC14+s_Irr!BB14)),IF(AND(s_Irr!D14=".",s_Irr!AC14=".",s_Irr!BB14&lt;&gt;"."),s_dir!E14/((1/1000)*(s_Irr!BB14)),IF(AND(s_Irr!D14=".",s_Irr!AC14&lt;&gt;".",s_Irr!BB14="."),s_dir!E14/((1/1000)*(s_Irr!AC14)),IF(AND(s_Irr!D14&lt;&gt;".",s_Irr!AC14=".",s_Irr!BB14="."),s_dir!E14/((1/1000)*(s_Irr!D14)),IF(AND(s_Irr!D14=".",s_Irr!AC14=".",s_Irr!BB14="."),s_dir!E14*1000)))))))),".")</f>
        <v>49464.288290202407</v>
      </c>
      <c r="F14" s="70">
        <f>IFERROR(IF(AND(s_Irr!E14&lt;&gt;".",s_Irr!AD14&lt;&gt;".",s_Irr!BC14&lt;&gt;"."),s_dir!F14/((1/1000)*(s_Irr!E14+s_Irr!AD14+s_Irr!BC14)),IF(AND(s_Irr!E14&lt;&gt;".",s_Irr!AD14&lt;&gt;".",s_Irr!BC14="."),s_dir!F14/((1/1000)*(s_Irr!E14+s_Irr!AD14)),IF(AND(s_Irr!E14&lt;&gt;".",s_Irr!AD14=".",s_Irr!BC14&lt;&gt;"."),s_dir!F14/((1/1000)*(s_Irr!E14+s_Irr!BC14)),IF(AND(s_Irr!E14=".",s_Irr!AD14&lt;&gt;".",s_Irr!BC14&lt;&gt;"."),s_dir!F14/((1/1000)*(s_Irr!AD14+s_Irr!BC14)),IF(AND(s_Irr!E14=".",s_Irr!AD14=".",s_Irr!BC14&lt;&gt;"."),s_dir!F14/((1/1000)*(s_Irr!BC14)),IF(AND(s_Irr!E14=".",s_Irr!AD14&lt;&gt;".",s_Irr!BC14="."),s_dir!F14/((1/1000)*(s_Irr!AD14)),IF(AND(s_Irr!E14&lt;&gt;".",s_Irr!AD14=".",s_Irr!BC14="."),s_dir!F14/((1/1000)*(s_Irr!E14)),IF(AND(s_Irr!E14=".",s_Irr!AD14=".",s_Irr!BC14="."),s_dir!F14*1000)))))))),".")</f>
        <v>49464.288290202407</v>
      </c>
      <c r="G14" s="70">
        <f>IFERROR(IF(AND(s_Irr!F14&lt;&gt;".",s_Irr!AE14&lt;&gt;".",s_Irr!BD14&lt;&gt;"."),s_dir!G14/((1/1000)*(s_Irr!F14+s_Irr!AE14+s_Irr!BD14)),IF(AND(s_Irr!F14&lt;&gt;".",s_Irr!AE14&lt;&gt;".",s_Irr!BD14="."),s_dir!G14/((1/1000)*(s_Irr!F14+s_Irr!AE14)),IF(AND(s_Irr!F14&lt;&gt;".",s_Irr!AE14=".",s_Irr!BD14&lt;&gt;"."),s_dir!G14/((1/1000)*(s_Irr!F14+s_Irr!BD14)),IF(AND(s_Irr!F14=".",s_Irr!AE14&lt;&gt;".",s_Irr!BD14&lt;&gt;"."),s_dir!G14/((1/1000)*(s_Irr!AE14+s_Irr!BD14)),IF(AND(s_Irr!F14=".",s_Irr!AE14=".",s_Irr!BD14&lt;&gt;"."),s_dir!G14/((1/1000)*(s_Irr!BD14)),IF(AND(s_Irr!F14=".",s_Irr!AE14&lt;&gt;".",s_Irr!BD14="."),s_dir!G14/((1/1000)*(s_Irr!AE14)),IF(AND(s_Irr!F14&lt;&gt;".",s_Irr!AE14=".",s_Irr!BD14="."),s_dir!G14/((1/1000)*(s_Irr!F14)),IF(AND(s_Irr!F14=".",s_Irr!AE14=".",s_Irr!BD14="."),s_dir!G14*1000)))))))),".")</f>
        <v>49464.288290202407</v>
      </c>
      <c r="H14" s="70">
        <f>IFERROR(IF(AND(s_Irr!G14&lt;&gt;".",s_Irr!AF14&lt;&gt;".",s_Irr!BE14&lt;&gt;"."),s_dir!H14/((1/1000)*(s_Irr!G14+s_Irr!AF14+s_Irr!BE14)),IF(AND(s_Irr!G14&lt;&gt;".",s_Irr!AF14&lt;&gt;".",s_Irr!BE14="."),s_dir!H14/((1/1000)*(s_Irr!G14+s_Irr!AF14)),IF(AND(s_Irr!G14&lt;&gt;".",s_Irr!AF14=".",s_Irr!BE14&lt;&gt;"."),s_dir!H14/((1/1000)*(s_Irr!G14+s_Irr!BE14)),IF(AND(s_Irr!G14=".",s_Irr!AF14&lt;&gt;".",s_Irr!BE14&lt;&gt;"."),s_dir!H14/((1/1000)*(s_Irr!AF14+s_Irr!BE14)),IF(AND(s_Irr!G14=".",s_Irr!AF14=".",s_Irr!BE14&lt;&gt;"."),s_dir!H14/((1/1000)*(s_Irr!BE14)),IF(AND(s_Irr!G14=".",s_Irr!AF14&lt;&gt;".",s_Irr!BE14="."),s_dir!H14/((1/1000)*(s_Irr!AF14)),IF(AND(s_Irr!G14&lt;&gt;".",s_Irr!AF14=".",s_Irr!BE14="."),s_dir!H14/((1/1000)*(s_Irr!G14)),IF(AND(s_Irr!G14=".",s_Irr!AF14=".",s_Irr!BE14="."),s_dir!H14*1000)))))))),".")</f>
        <v>49464.288290202407</v>
      </c>
      <c r="I14" s="70">
        <f>IFERROR(IF(AND(s_Irr!H14&lt;&gt;".",s_Irr!AG14&lt;&gt;".",s_Irr!BF14&lt;&gt;"."),s_dir!I14/((1/1000)*(s_Irr!H14+s_Irr!AG14+s_Irr!BF14)),IF(AND(s_Irr!H14&lt;&gt;".",s_Irr!AG14&lt;&gt;".",s_Irr!BF14="."),s_dir!I14/((1/1000)*(s_Irr!H14+s_Irr!AG14)),IF(AND(s_Irr!H14&lt;&gt;".",s_Irr!AG14=".",s_Irr!BF14&lt;&gt;"."),s_dir!I14/((1/1000)*(s_Irr!H14+s_Irr!BF14)),IF(AND(s_Irr!H14=".",s_Irr!AG14&lt;&gt;".",s_Irr!BF14&lt;&gt;"."),s_dir!I14/((1/1000)*(s_Irr!AG14+s_Irr!BF14)),IF(AND(s_Irr!H14=".",s_Irr!AG14=".",s_Irr!BF14&lt;&gt;"."),s_dir!I14/((1/1000)*(s_Irr!BF14)),IF(AND(s_Irr!H14=".",s_Irr!AG14&lt;&gt;".",s_Irr!BF14="."),s_dir!I14/((1/1000)*(s_Irr!AG14)),IF(AND(s_Irr!H14&lt;&gt;".",s_Irr!AG14=".",s_Irr!BF14="."),s_dir!I14/((1/1000)*(s_Irr!H14)),IF(AND(s_Irr!H14=".",s_Irr!AG14=".",s_Irr!BF14="."),s_dir!I14*1000)))))))),".")</f>
        <v>49464.288290202407</v>
      </c>
      <c r="J14" s="70">
        <f>IFERROR(IF(AND(s_Irr!I14&lt;&gt;".",s_Irr!AH14&lt;&gt;".",s_Irr!BG14&lt;&gt;"."),s_dir!J14/((1/1000)*(s_Irr!I14+s_Irr!AH14+s_Irr!BG14)),IF(AND(s_Irr!I14&lt;&gt;".",s_Irr!AH14&lt;&gt;".",s_Irr!BG14="."),s_dir!J14/((1/1000)*(s_Irr!I14+s_Irr!AH14)),IF(AND(s_Irr!I14&lt;&gt;".",s_Irr!AH14=".",s_Irr!BG14&lt;&gt;"."),s_dir!J14/((1/1000)*(s_Irr!I14+s_Irr!BG14)),IF(AND(s_Irr!I14=".",s_Irr!AH14&lt;&gt;".",s_Irr!BG14&lt;&gt;"."),s_dir!J14/((1/1000)*(s_Irr!AH14+s_Irr!BG14)),IF(AND(s_Irr!I14=".",s_Irr!AH14=".",s_Irr!BG14&lt;&gt;"."),s_dir!J14/((1/1000)*(s_Irr!BG14)),IF(AND(s_Irr!I14=".",s_Irr!AH14&lt;&gt;".",s_Irr!BG14="."),s_dir!J14/((1/1000)*(s_Irr!AH14)),IF(AND(s_Irr!I14&lt;&gt;".",s_Irr!AH14=".",s_Irr!BG14="."),s_dir!J14/((1/1000)*(s_Irr!I14)),IF(AND(s_Irr!I14=".",s_Irr!AH14=".",s_Irr!BG14="."),s_dir!J14*1000)))))))),".")</f>
        <v>49464.288290202407</v>
      </c>
      <c r="K14" s="70">
        <f>IFERROR(IF(AND(s_Irr!J14&lt;&gt;".",s_Irr!AI14&lt;&gt;".",s_Irr!BH14&lt;&gt;"."),s_dir!K14/((1/1000)*(s_Irr!J14+s_Irr!AI14+s_Irr!BH14)),IF(AND(s_Irr!J14&lt;&gt;".",s_Irr!AI14&lt;&gt;".",s_Irr!BH14="."),s_dir!K14/((1/1000)*(s_Irr!J14+s_Irr!AI14)),IF(AND(s_Irr!J14&lt;&gt;".",s_Irr!AI14=".",s_Irr!BH14&lt;&gt;"."),s_dir!K14/((1/1000)*(s_Irr!J14+s_Irr!BH14)),IF(AND(s_Irr!J14=".",s_Irr!AI14&lt;&gt;".",s_Irr!BH14&lt;&gt;"."),s_dir!K14/((1/1000)*(s_Irr!AI14+s_Irr!BH14)),IF(AND(s_Irr!J14=".",s_Irr!AI14=".",s_Irr!BH14&lt;&gt;"."),s_dir!K14/((1/1000)*(s_Irr!BH14)),IF(AND(s_Irr!J14=".",s_Irr!AI14&lt;&gt;".",s_Irr!BH14="."),s_dir!K14/((1/1000)*(s_Irr!AI14)),IF(AND(s_Irr!J14&lt;&gt;".",s_Irr!AI14=".",s_Irr!BH14="."),s_dir!K14/((1/1000)*(s_Irr!J14)),IF(AND(s_Irr!J14=".",s_Irr!AI14=".",s_Irr!BH14="."),s_dir!K14*1000)))))))),".")</f>
        <v>49464.288290202407</v>
      </c>
      <c r="L14" s="70">
        <f>IFERROR(IF(AND(s_Irr!K14&lt;&gt;".",s_Irr!AJ14&lt;&gt;".",s_Irr!BI14&lt;&gt;"."),s_dir!L14/((1/1000)*(s_Irr!K14+s_Irr!AJ14+s_Irr!BI14)),IF(AND(s_Irr!K14&lt;&gt;".",s_Irr!AJ14&lt;&gt;".",s_Irr!BI14="."),s_dir!L14/((1/1000)*(s_Irr!K14+s_Irr!AJ14)),IF(AND(s_Irr!K14&lt;&gt;".",s_Irr!AJ14=".",s_Irr!BI14&lt;&gt;"."),s_dir!L14/((1/1000)*(s_Irr!K14+s_Irr!BI14)),IF(AND(s_Irr!K14=".",s_Irr!AJ14&lt;&gt;".",s_Irr!BI14&lt;&gt;"."),s_dir!L14/((1/1000)*(s_Irr!AJ14+s_Irr!BI14)),IF(AND(s_Irr!K14=".",s_Irr!AJ14=".",s_Irr!BI14&lt;&gt;"."),s_dir!L14/((1/1000)*(s_Irr!BI14)),IF(AND(s_Irr!K14=".",s_Irr!AJ14&lt;&gt;".",s_Irr!BI14="."),s_dir!L14/((1/1000)*(s_Irr!AJ14)),IF(AND(s_Irr!K14&lt;&gt;".",s_Irr!AJ14=".",s_Irr!BI14="."),s_dir!L14/((1/1000)*(s_Irr!K14)),IF(AND(s_Irr!K14=".",s_Irr!AJ14=".",s_Irr!BI14="."),s_dir!L14*1000)))))))),".")</f>
        <v>49464.288290202407</v>
      </c>
      <c r="M14" s="70">
        <f>IFERROR(IF(AND(s_Irr!L14&lt;&gt;".",s_Irr!AK14&lt;&gt;".",s_Irr!BJ14&lt;&gt;"."),s_dir!M14/((1/1000)*(s_Irr!L14+s_Irr!AK14+s_Irr!BJ14)),IF(AND(s_Irr!L14&lt;&gt;".",s_Irr!AK14&lt;&gt;".",s_Irr!BJ14="."),s_dir!M14/((1/1000)*(s_Irr!L14+s_Irr!AK14)),IF(AND(s_Irr!L14&lt;&gt;".",s_Irr!AK14=".",s_Irr!BJ14&lt;&gt;"."),s_dir!M14/((1/1000)*(s_Irr!L14+s_Irr!BJ14)),IF(AND(s_Irr!L14=".",s_Irr!AK14&lt;&gt;".",s_Irr!BJ14&lt;&gt;"."),s_dir!M14/((1/1000)*(s_Irr!AK14+s_Irr!BJ14)),IF(AND(s_Irr!L14=".",s_Irr!AK14=".",s_Irr!BJ14&lt;&gt;"."),s_dir!M14/((1/1000)*(s_Irr!BJ14)),IF(AND(s_Irr!L14=".",s_Irr!AK14&lt;&gt;".",s_Irr!BJ14="."),s_dir!M14/((1/1000)*(s_Irr!AK14)),IF(AND(s_Irr!L14&lt;&gt;".",s_Irr!AK14=".",s_Irr!BJ14="."),s_dir!M14/((1/1000)*(s_Irr!L14)),IF(AND(s_Irr!L14=".",s_Irr!AK14=".",s_Irr!BJ14="."),s_dir!M14*1000)))))))),".")</f>
        <v>49464.288290202407</v>
      </c>
      <c r="N14" s="70">
        <f>IFERROR(IF(AND(s_Irr!M14&lt;&gt;".",s_Irr!AL14&lt;&gt;".",s_Irr!BK14&lt;&gt;"."),s_dir!N14/((1/1000)*(s_Irr!M14+s_Irr!AL14+s_Irr!BK14)),IF(AND(s_Irr!M14&lt;&gt;".",s_Irr!AL14&lt;&gt;".",s_Irr!BK14="."),s_dir!N14/((1/1000)*(s_Irr!M14+s_Irr!AL14)),IF(AND(s_Irr!M14&lt;&gt;".",s_Irr!AL14=".",s_Irr!BK14&lt;&gt;"."),s_dir!N14/((1/1000)*(s_Irr!M14+s_Irr!BK14)),IF(AND(s_Irr!M14=".",s_Irr!AL14&lt;&gt;".",s_Irr!BK14&lt;&gt;"."),s_dir!N14/((1/1000)*(s_Irr!AL14+s_Irr!BK14)),IF(AND(s_Irr!M14=".",s_Irr!AL14=".",s_Irr!BK14&lt;&gt;"."),s_dir!N14/((1/1000)*(s_Irr!BK14)),IF(AND(s_Irr!M14=".",s_Irr!AL14&lt;&gt;".",s_Irr!BK14="."),s_dir!N14/((1/1000)*(s_Irr!AL14)),IF(AND(s_Irr!M14&lt;&gt;".",s_Irr!AL14=".",s_Irr!BK14="."),s_dir!N14/((1/1000)*(s_Irr!M14)),IF(AND(s_Irr!M14=".",s_Irr!AL14=".",s_Irr!BK14="."),s_dir!N14*1000)))))))),".")</f>
        <v>49464.288290202407</v>
      </c>
      <c r="O14" s="70">
        <f>IFERROR(IF(AND(s_Irr!N14&lt;&gt;".",s_Irr!AM14&lt;&gt;".",s_Irr!BL14&lt;&gt;"."),s_dir!O14/((1/1000)*(s_Irr!N14+s_Irr!AM14+s_Irr!BL14)),IF(AND(s_Irr!N14&lt;&gt;".",s_Irr!AM14&lt;&gt;".",s_Irr!BL14="."),s_dir!O14/((1/1000)*(s_Irr!N14+s_Irr!AM14)),IF(AND(s_Irr!N14&lt;&gt;".",s_Irr!AM14=".",s_Irr!BL14&lt;&gt;"."),s_dir!O14/((1/1000)*(s_Irr!N14+s_Irr!BL14)),IF(AND(s_Irr!N14=".",s_Irr!AM14&lt;&gt;".",s_Irr!BL14&lt;&gt;"."),s_dir!O14/((1/1000)*(s_Irr!AM14+s_Irr!BL14)),IF(AND(s_Irr!N14=".",s_Irr!AM14=".",s_Irr!BL14&lt;&gt;"."),s_dir!O14/((1/1000)*(s_Irr!BL14)),IF(AND(s_Irr!N14=".",s_Irr!AM14&lt;&gt;".",s_Irr!BL14="."),s_dir!O14/((1/1000)*(s_Irr!AM14)),IF(AND(s_Irr!N14&lt;&gt;".",s_Irr!AM14=".",s_Irr!BL14="."),s_dir!O14/((1/1000)*(s_Irr!N14)),IF(AND(s_Irr!N14=".",s_Irr!AM14=".",s_Irr!BL14="."),s_dir!O14*1000)))))))),".")</f>
        <v>49464.288290202407</v>
      </c>
      <c r="P14" s="70">
        <f>IFERROR(IF(AND(s_Irr!O14&lt;&gt;".",s_Irr!AN14&lt;&gt;".",s_Irr!BM14&lt;&gt;"."),s_dir!P14/((1/1000)*(s_Irr!O14+s_Irr!AN14+s_Irr!BM14)),IF(AND(s_Irr!O14&lt;&gt;".",s_Irr!AN14&lt;&gt;".",s_Irr!BM14="."),s_dir!P14/((1/1000)*(s_Irr!O14+s_Irr!AN14)),IF(AND(s_Irr!O14&lt;&gt;".",s_Irr!AN14=".",s_Irr!BM14&lt;&gt;"."),s_dir!P14/((1/1000)*(s_Irr!O14+s_Irr!BM14)),IF(AND(s_Irr!O14=".",s_Irr!AN14&lt;&gt;".",s_Irr!BM14&lt;&gt;"."),s_dir!P14/((1/1000)*(s_Irr!AN14+s_Irr!BM14)),IF(AND(s_Irr!O14=".",s_Irr!AN14=".",s_Irr!BM14&lt;&gt;"."),s_dir!P14/((1/1000)*(s_Irr!BM14)),IF(AND(s_Irr!O14=".",s_Irr!AN14&lt;&gt;".",s_Irr!BM14="."),s_dir!P14/((1/1000)*(s_Irr!AN14)),IF(AND(s_Irr!O14&lt;&gt;".",s_Irr!AN14=".",s_Irr!BM14="."),s_dir!P14/((1/1000)*(s_Irr!O14)),IF(AND(s_Irr!O14=".",s_Irr!AN14=".",s_Irr!BM14="."),s_dir!P14*1000)))))))),".")</f>
        <v>49464.288290202407</v>
      </c>
      <c r="Q14" s="70">
        <f>IFERROR(IF(AND(s_Irr!P14&lt;&gt;".",s_Irr!AO14&lt;&gt;".",s_Irr!BN14&lt;&gt;"."),s_dir!Q14/((1/1000)*(s_Irr!P14+s_Irr!AO14+s_Irr!BN14)),IF(AND(s_Irr!P14&lt;&gt;".",s_Irr!AO14&lt;&gt;".",s_Irr!BN14="."),s_dir!Q14/((1/1000)*(s_Irr!P14+s_Irr!AO14)),IF(AND(s_Irr!P14&lt;&gt;".",s_Irr!AO14=".",s_Irr!BN14&lt;&gt;"."),s_dir!Q14/((1/1000)*(s_Irr!P14+s_Irr!BN14)),IF(AND(s_Irr!P14=".",s_Irr!AO14&lt;&gt;".",s_Irr!BN14&lt;&gt;"."),s_dir!Q14/((1/1000)*(s_Irr!AO14+s_Irr!BN14)),IF(AND(s_Irr!P14=".",s_Irr!AO14=".",s_Irr!BN14&lt;&gt;"."),s_dir!Q14/((1/1000)*(s_Irr!BN14)),IF(AND(s_Irr!P14=".",s_Irr!AO14&lt;&gt;".",s_Irr!BN14="."),s_dir!Q14/((1/1000)*(s_Irr!AO14)),IF(AND(s_Irr!P14&lt;&gt;".",s_Irr!AO14=".",s_Irr!BN14="."),s_dir!Q14/((1/1000)*(s_Irr!P14)),IF(AND(s_Irr!P14=".",s_Irr!AO14=".",s_Irr!BN14="."),s_dir!Q14*1000)))))))),".")</f>
        <v>49464.288290202407</v>
      </c>
      <c r="R14" s="70">
        <f>IFERROR(IF(AND(s_Irr!Q14&lt;&gt;".",s_Irr!AP14&lt;&gt;".",s_Irr!BO14&lt;&gt;"."),s_dir!R14/((1/1000)*(s_Irr!Q14+s_Irr!AP14+s_Irr!BO14)),IF(AND(s_Irr!Q14&lt;&gt;".",s_Irr!AP14&lt;&gt;".",s_Irr!BO14="."),s_dir!R14/((1/1000)*(s_Irr!Q14+s_Irr!AP14)),IF(AND(s_Irr!Q14&lt;&gt;".",s_Irr!AP14=".",s_Irr!BO14&lt;&gt;"."),s_dir!R14/((1/1000)*(s_Irr!Q14+s_Irr!BO14)),IF(AND(s_Irr!Q14=".",s_Irr!AP14&lt;&gt;".",s_Irr!BO14&lt;&gt;"."),s_dir!R14/((1/1000)*(s_Irr!AP14+s_Irr!BO14)),IF(AND(s_Irr!Q14=".",s_Irr!AP14=".",s_Irr!BO14&lt;&gt;"."),s_dir!R14/((1/1000)*(s_Irr!BO14)),IF(AND(s_Irr!Q14=".",s_Irr!AP14&lt;&gt;".",s_Irr!BO14="."),s_dir!R14/((1/1000)*(s_Irr!AP14)),IF(AND(s_Irr!Q14&lt;&gt;".",s_Irr!AP14=".",s_Irr!BO14="."),s_dir!R14/((1/1000)*(s_Irr!Q14)),IF(AND(s_Irr!Q14=".",s_Irr!AP14=".",s_Irr!BO14="."),s_dir!R14*1000)))))))),".")</f>
        <v>49464.288290202407</v>
      </c>
      <c r="S14" s="70">
        <f>IFERROR(IF(AND(s_Irr!R14&lt;&gt;".",s_Irr!AQ14&lt;&gt;".",s_Irr!BP14&lt;&gt;"."),s_dir!S14/((1/1000)*(s_Irr!R14+s_Irr!AQ14+s_Irr!BP14)),IF(AND(s_Irr!R14&lt;&gt;".",s_Irr!AQ14&lt;&gt;".",s_Irr!BP14="."),s_dir!S14/((1/1000)*(s_Irr!R14+s_Irr!AQ14)),IF(AND(s_Irr!R14&lt;&gt;".",s_Irr!AQ14=".",s_Irr!BP14&lt;&gt;"."),s_dir!S14/((1/1000)*(s_Irr!R14+s_Irr!BP14)),IF(AND(s_Irr!R14=".",s_Irr!AQ14&lt;&gt;".",s_Irr!BP14&lt;&gt;"."),s_dir!S14/((1/1000)*(s_Irr!AQ14+s_Irr!BP14)),IF(AND(s_Irr!R14=".",s_Irr!AQ14=".",s_Irr!BP14&lt;&gt;"."),s_dir!S14/((1/1000)*(s_Irr!BP14)),IF(AND(s_Irr!R14=".",s_Irr!AQ14&lt;&gt;".",s_Irr!BP14="."),s_dir!S14/((1/1000)*(s_Irr!AQ14)),IF(AND(s_Irr!R14&lt;&gt;".",s_Irr!AQ14=".",s_Irr!BP14="."),s_dir!S14/((1/1000)*(s_Irr!R14)),IF(AND(s_Irr!R14=".",s_Irr!AQ14=".",s_Irr!BP14="."),s_dir!S14*1000)))))))),".")</f>
        <v>49464.288290202407</v>
      </c>
      <c r="T14" s="70">
        <f>IFERROR(IF(AND(s_Irr!S14&lt;&gt;".",s_Irr!AR14&lt;&gt;".",s_Irr!BQ14&lt;&gt;"."),s_dir!T14/((1/1000)*(s_Irr!S14+s_Irr!AR14+s_Irr!BQ14)),IF(AND(s_Irr!S14&lt;&gt;".",s_Irr!AR14&lt;&gt;".",s_Irr!BQ14="."),s_dir!T14/((1/1000)*(s_Irr!S14+s_Irr!AR14)),IF(AND(s_Irr!S14&lt;&gt;".",s_Irr!AR14=".",s_Irr!BQ14&lt;&gt;"."),s_dir!T14/((1/1000)*(s_Irr!S14+s_Irr!BQ14)),IF(AND(s_Irr!S14=".",s_Irr!AR14&lt;&gt;".",s_Irr!BQ14&lt;&gt;"."),s_dir!T14/((1/1000)*(s_Irr!AR14+s_Irr!BQ14)),IF(AND(s_Irr!S14=".",s_Irr!AR14=".",s_Irr!BQ14&lt;&gt;"."),s_dir!T14/((1/1000)*(s_Irr!BQ14)),IF(AND(s_Irr!S14=".",s_Irr!AR14&lt;&gt;".",s_Irr!BQ14="."),s_dir!T14/((1/1000)*(s_Irr!AR14)),IF(AND(s_Irr!S14&lt;&gt;".",s_Irr!AR14=".",s_Irr!BQ14="."),s_dir!T14/((1/1000)*(s_Irr!S14)),IF(AND(s_Irr!S14=".",s_Irr!AR14=".",s_Irr!BQ14="."),s_dir!T14*1000)))))))),".")</f>
        <v>49464.288290202407</v>
      </c>
      <c r="U14" s="70">
        <f>IFERROR(IF(AND(s_Irr!T14&lt;&gt;".",s_Irr!AS14&lt;&gt;".",s_Irr!BR14&lt;&gt;"."),s_dir!U14/((1/1000)*(s_Irr!T14+s_Irr!AS14+s_Irr!BR14)),IF(AND(s_Irr!T14&lt;&gt;".",s_Irr!AS14&lt;&gt;".",s_Irr!BR14="."),s_dir!U14/((1/1000)*(s_Irr!T14+s_Irr!AS14)),IF(AND(s_Irr!T14&lt;&gt;".",s_Irr!AS14=".",s_Irr!BR14&lt;&gt;"."),s_dir!U14/((1/1000)*(s_Irr!T14+s_Irr!BR14)),IF(AND(s_Irr!T14=".",s_Irr!AS14&lt;&gt;".",s_Irr!BR14&lt;&gt;"."),s_dir!U14/((1/1000)*(s_Irr!AS14+s_Irr!BR14)),IF(AND(s_Irr!T14=".",s_Irr!AS14=".",s_Irr!BR14&lt;&gt;"."),s_dir!U14/((1/1000)*(s_Irr!BR14)),IF(AND(s_Irr!T14=".",s_Irr!AS14&lt;&gt;".",s_Irr!BR14="."),s_dir!U14/((1/1000)*(s_Irr!AS14)),IF(AND(s_Irr!T14&lt;&gt;".",s_Irr!AS14=".",s_Irr!BR14="."),s_dir!U14/((1/1000)*(s_Irr!T14)),IF(AND(s_Irr!T14=".",s_Irr!AS14=".",s_Irr!BR14="."),s_dir!U14*1000)))))))),".")</f>
        <v>49464.288290202407</v>
      </c>
      <c r="V14" s="70">
        <f>IFERROR(IF(AND(s_Irr!U14&lt;&gt;".",s_Irr!AT14&lt;&gt;".",s_Irr!BS14&lt;&gt;"."),s_dir!V14/((1/1000)*(s_Irr!U14+s_Irr!AT14+s_Irr!BS14)),IF(AND(s_Irr!U14&lt;&gt;".",s_Irr!AT14&lt;&gt;".",s_Irr!BS14="."),s_dir!V14/((1/1000)*(s_Irr!U14+s_Irr!AT14)),IF(AND(s_Irr!U14&lt;&gt;".",s_Irr!AT14=".",s_Irr!BS14&lt;&gt;"."),s_dir!V14/((1/1000)*(s_Irr!U14+s_Irr!BS14)),IF(AND(s_Irr!U14=".",s_Irr!AT14&lt;&gt;".",s_Irr!BS14&lt;&gt;"."),s_dir!V14/((1/1000)*(s_Irr!AT14+s_Irr!BS14)),IF(AND(s_Irr!U14=".",s_Irr!AT14=".",s_Irr!BS14&lt;&gt;"."),s_dir!V14/((1/1000)*(s_Irr!BS14)),IF(AND(s_Irr!U14=".",s_Irr!AT14&lt;&gt;".",s_Irr!BS14="."),s_dir!V14/((1/1000)*(s_Irr!AT14)),IF(AND(s_Irr!U14&lt;&gt;".",s_Irr!AT14=".",s_Irr!BS14="."),s_dir!V14/((1/1000)*(s_Irr!U14)),IF(AND(s_Irr!U14=".",s_Irr!AT14=".",s_Irr!BS14="."),s_dir!V14*1000)))))))),".")</f>
        <v>49464.288290202407</v>
      </c>
      <c r="W14" s="70">
        <f>IFERROR(IF(AND(s_Irr!V14&lt;&gt;".",s_Irr!AU14&lt;&gt;".",s_Irr!BT14&lt;&gt;"."),s_dir!W14/((1/1000)*(s_Irr!V14+s_Irr!AU14+s_Irr!BT14)),IF(AND(s_Irr!V14&lt;&gt;".",s_Irr!AU14&lt;&gt;".",s_Irr!BT14="."),s_dir!W14/((1/1000)*(s_Irr!V14+s_Irr!AU14)),IF(AND(s_Irr!V14&lt;&gt;".",s_Irr!AU14=".",s_Irr!BT14&lt;&gt;"."),s_dir!W14/((1/1000)*(s_Irr!V14+s_Irr!BT14)),IF(AND(s_Irr!V14=".",s_Irr!AU14&lt;&gt;".",s_Irr!BT14&lt;&gt;"."),s_dir!W14/((1/1000)*(s_Irr!AU14+s_Irr!BT14)),IF(AND(s_Irr!V14=".",s_Irr!AU14=".",s_Irr!BT14&lt;&gt;"."),s_dir!W14/((1/1000)*(s_Irr!BT14)),IF(AND(s_Irr!V14=".",s_Irr!AU14&lt;&gt;".",s_Irr!BT14="."),s_dir!W14/((1/1000)*(s_Irr!AU14)),IF(AND(s_Irr!V14&lt;&gt;".",s_Irr!AU14=".",s_Irr!BT14="."),s_dir!W14/((1/1000)*(s_Irr!V14)),IF(AND(s_Irr!V14=".",s_Irr!AU14=".",s_Irr!BT14="."),s_dir!W14*1000)))))))),".")</f>
        <v>49464.288290202407</v>
      </c>
      <c r="X14" s="70">
        <f>IFERROR(IF(AND(s_Irr!W14&lt;&gt;".",s_Irr!AV14&lt;&gt;".",s_Irr!BU14&lt;&gt;"."),s_dir!X14/((1/1000)*(s_Irr!W14+s_Irr!AV14+s_Irr!BU14)),IF(AND(s_Irr!W14&lt;&gt;".",s_Irr!AV14&lt;&gt;".",s_Irr!BU14="."),s_dir!X14/((1/1000)*(s_Irr!W14+s_Irr!AV14)),IF(AND(s_Irr!W14&lt;&gt;".",s_Irr!AV14=".",s_Irr!BU14&lt;&gt;"."),s_dir!X14/((1/1000)*(s_Irr!W14+s_Irr!BU14)),IF(AND(s_Irr!W14=".",s_Irr!AV14&lt;&gt;".",s_Irr!BU14&lt;&gt;"."),s_dir!X14/((1/1000)*(s_Irr!AV14+s_Irr!BU14)),IF(AND(s_Irr!W14=".",s_Irr!AV14=".",s_Irr!BU14&lt;&gt;"."),s_dir!X14/((1/1000)*(s_Irr!BU14)),IF(AND(s_Irr!W14=".",s_Irr!AV14&lt;&gt;".",s_Irr!BU14="."),s_dir!X14/((1/1000)*(s_Irr!AV14)),IF(AND(s_Irr!W14&lt;&gt;".",s_Irr!AV14=".",s_Irr!BU14="."),s_dir!X14/((1/1000)*(s_Irr!W14)),IF(AND(s_Irr!W14=".",s_Irr!AV14=".",s_Irr!BU14="."),s_dir!X14*1000)))))))),".")</f>
        <v>49464.288290202407</v>
      </c>
      <c r="Y14" s="70">
        <f>IFERROR(IF(AND(s_Irr!X14&lt;&gt;".",s_Irr!AW14&lt;&gt;".",s_Irr!BV14&lt;&gt;"."),s_dir!Y14/((1/1000)*(s_Irr!X14+s_Irr!AW14+s_Irr!BV14)),IF(AND(s_Irr!X14&lt;&gt;".",s_Irr!AW14&lt;&gt;".",s_Irr!BV14="."),s_dir!Y14/((1/1000)*(s_Irr!X14+s_Irr!AW14)),IF(AND(s_Irr!X14&lt;&gt;".",s_Irr!AW14=".",s_Irr!BV14&lt;&gt;"."),s_dir!Y14/((1/1000)*(s_Irr!X14+s_Irr!BV14)),IF(AND(s_Irr!X14=".",s_Irr!AW14&lt;&gt;".",s_Irr!BV14&lt;&gt;"."),s_dir!Y14/((1/1000)*(s_Irr!AW14+s_Irr!BV14)),IF(AND(s_Irr!X14=".",s_Irr!AW14=".",s_Irr!BV14&lt;&gt;"."),s_dir!Y14/((1/1000)*(s_Irr!BV14)),IF(AND(s_Irr!X14=".",s_Irr!AW14&lt;&gt;".",s_Irr!BV14="."),s_dir!Y14/((1/1000)*(s_Irr!AW14)),IF(AND(s_Irr!X14&lt;&gt;".",s_Irr!AW14=".",s_Irr!BV14="."),s_dir!Y14/((1/1000)*(s_Irr!X14)),IF(AND(s_Irr!X14=".",s_Irr!AW14=".",s_Irr!BV14="."),s_dir!Y14*1000)))))))),".")</f>
        <v>49464.288290202407</v>
      </c>
      <c r="Z14" s="70">
        <f>IFERROR(IF(AND(s_Irr!Y14&lt;&gt;".",s_Irr!AX14&lt;&gt;".",s_Irr!BW14&lt;&gt;"."),s_dir!Z14/((1/1000)*(s_Irr!Y14+s_Irr!AX14+s_Irr!BW14)),IF(AND(s_Irr!Y14&lt;&gt;".",s_Irr!AX14&lt;&gt;".",s_Irr!BW14="."),s_dir!Z14/((1/1000)*(s_Irr!Y14+s_Irr!AX14)),IF(AND(s_Irr!Y14&lt;&gt;".",s_Irr!AX14=".",s_Irr!BW14&lt;&gt;"."),s_dir!Z14/((1/1000)*(s_Irr!Y14+s_Irr!BW14)),IF(AND(s_Irr!Y14=".",s_Irr!AX14&lt;&gt;".",s_Irr!BW14&lt;&gt;"."),s_dir!Z14/((1/1000)*(s_Irr!AX14+s_Irr!BW14)),IF(AND(s_Irr!Y14=".",s_Irr!AX14=".",s_Irr!BW14&lt;&gt;"."),s_dir!Z14/((1/1000)*(s_Irr!BW14)),IF(AND(s_Irr!Y14=".",s_Irr!AX14&lt;&gt;".",s_Irr!BW14="."),s_dir!Z14/((1/1000)*(s_Irr!AX14)),IF(AND(s_Irr!Y14&lt;&gt;".",s_Irr!AX14=".",s_Irr!BW14="."),s_dir!Z14/((1/1000)*(s_Irr!Y14)),IF(AND(s_Irr!Y14=".",s_Irr!AX14=".",s_Irr!BW14="."),s_dir!Z14*1000)))))))),".")</f>
        <v>49464.288290202407</v>
      </c>
      <c r="AA14" s="70">
        <f>IFERROR(IF(AND(s_Irr!Z14&lt;&gt;".",s_Irr!AY14&lt;&gt;".",s_Irr!BX14&lt;&gt;"."),s_dir!AA14/((1/1000)*(s_Irr!Z14+s_Irr!AY14+s_Irr!BX14)),IF(AND(s_Irr!Z14&lt;&gt;".",s_Irr!AY14&lt;&gt;".",s_Irr!BX14="."),s_dir!AA14/((1/1000)*(s_Irr!Z14+s_Irr!AY14)),IF(AND(s_Irr!Z14&lt;&gt;".",s_Irr!AY14=".",s_Irr!BX14&lt;&gt;"."),s_dir!AA14/((1/1000)*(s_Irr!Z14+s_Irr!BX14)),IF(AND(s_Irr!Z14=".",s_Irr!AY14&lt;&gt;".",s_Irr!BX14&lt;&gt;"."),s_dir!AA14/((1/1000)*(s_Irr!AY14+s_Irr!BX14)),IF(AND(s_Irr!Z14=".",s_Irr!AY14=".",s_Irr!BX14&lt;&gt;"."),s_dir!AA14/((1/1000)*(s_Irr!BX14)),IF(AND(s_Irr!Z14=".",s_Irr!AY14&lt;&gt;".",s_Irr!BX14="."),s_dir!AA14/((1/1000)*(s_Irr!AY14)),IF(AND(s_Irr!Z14&lt;&gt;".",s_Irr!AY14=".",s_Irr!BX14="."),s_dir!AA14/((1/1000)*(s_Irr!Z14)),IF(AND(s_Irr!Z14=".",s_Irr!AY14=".",s_Irr!BX14="."),s_dir!AA14*1000)))))))),".")</f>
        <v>49464.288290202407</v>
      </c>
      <c r="AB14" s="70">
        <f>IFERROR(IF(AND(s_Irr!AA14&lt;&gt;".",s_Irr!AZ14&lt;&gt;".",s_Irr!BY14&lt;&gt;"."),s_dir!AB14/((1/1000)*(s_Irr!AA14+s_Irr!AZ14+s_Irr!BY14)),IF(AND(s_Irr!AA14&lt;&gt;".",s_Irr!AZ14&lt;&gt;".",s_Irr!BY14="."),s_dir!AB14/((1/1000)*(s_Irr!AA14+s_Irr!AZ14)),IF(AND(s_Irr!AA14&lt;&gt;".",s_Irr!AZ14=".",s_Irr!BY14&lt;&gt;"."),s_dir!AB14/((1/1000)*(s_Irr!AA14+s_Irr!BY14)),IF(AND(s_Irr!AA14=".",s_Irr!AZ14&lt;&gt;".",s_Irr!BY14&lt;&gt;"."),s_dir!AB14/((1/1000)*(s_Irr!AZ14+s_Irr!BY14)),IF(AND(s_Irr!AA14=".",s_Irr!AZ14=".",s_Irr!BY14&lt;&gt;"."),s_dir!AB14/((1/1000)*(s_Irr!BY14)),IF(AND(s_Irr!AA14=".",s_Irr!AZ14&lt;&gt;".",s_Irr!BY14="."),s_dir!AB14/((1/1000)*(s_Irr!AZ14)),IF(AND(s_Irr!AA14&lt;&gt;".",s_Irr!AZ14=".",s_Irr!BY14="."),s_dir!AB14/((1/1000)*(s_Irr!AA14)),IF(AND(s_Irr!AA14=".",s_Irr!AZ14=".",s_Irr!BY14="."),s_dir!AB14*1000)))))))),".")</f>
        <v>49464.288290202407</v>
      </c>
      <c r="AC14" s="87">
        <f t="shared" si="4"/>
        <v>413.93541042975136</v>
      </c>
      <c r="AD14" s="87">
        <f>IFERROR(s_C*s_IFAP_res_adj*s_CF_apple*0.001*(s_Irr!C14+s_Irr!AB14+s_Irr!BA14),".")</f>
        <v>103.48385260743784</v>
      </c>
      <c r="AE14" s="87">
        <f>IFERROR(s_C*s_IFAS_res_adj*s_CF_asparagus*0.001*(s_Irr!D14+s_Irr!AC14+s_Irr!BB14),".")</f>
        <v>103.48385260743784</v>
      </c>
      <c r="AF14" s="87">
        <f>IFERROR(s_C*s_IFBT_res_adj*s_CF_beet*0.001*(s_Irr!E14+s_Irr!AD14+s_Irr!BC14),".")</f>
        <v>103.48385260743784</v>
      </c>
      <c r="AG14" s="87">
        <f>IFERROR(s_C*s_IFBE_res_adj*s_CF_berries*0.001*(s_Irr!F14+s_Irr!AE14+s_Irr!BD14),".")</f>
        <v>103.48385260743784</v>
      </c>
      <c r="AH14" s="87">
        <f>IFERROR(s_C*s_IFBR_res_adj*s_CF_broccoli*0.001*(s_Irr!G14+s_Irr!AF14+s_Irr!BE14),".")</f>
        <v>103.48385260743784</v>
      </c>
      <c r="AI14" s="87">
        <f>IFERROR(s_C*s_IFCB_res_adj*s_CF_cabbage*0.001*(s_Irr!H14+s_Irr!AG14+s_Irr!BF14),".")</f>
        <v>103.48385260743784</v>
      </c>
      <c r="AJ14" s="87">
        <f>IFERROR(s_C*s_IFCR_res_adj*s_CF_carrot*0.001*(s_Irr!I14+s_Irr!AH14+s_Irr!BG14),".")</f>
        <v>103.48385260743784</v>
      </c>
      <c r="AK14" s="87">
        <f>IFERROR(s_C*s_IFCI_res_adj*s_CF_citrus*0.001*(s_Irr!J14+s_Irr!AI14+s_Irr!BH14),".")</f>
        <v>103.48385260743784</v>
      </c>
      <c r="AL14" s="87">
        <f>IFERROR(s_C*s_IFCO_res_adj*s_CF_corn*0.001*(s_Irr!K14+s_Irr!AJ14+s_Irr!BI14),".")</f>
        <v>103.48385260743784</v>
      </c>
      <c r="AM14" s="87">
        <f>IFERROR(s_C*s_IFCU_res_adj*s_CF_cucumber*0.001*(s_Irr!L14+s_Irr!AK14+s_Irr!BJ14),".")</f>
        <v>103.48385260743784</v>
      </c>
      <c r="AN14" s="87">
        <f>IFERROR(s_C*s_IFLE_res_adj*s_CF_lettuce*0.001*(s_Irr!M14+s_Irr!AL14+s_Irr!BK14),".")</f>
        <v>103.48385260743784</v>
      </c>
      <c r="AO14" s="87">
        <f>IFERROR(s_C*s_IFLI_res_adj*s_CF_lima_bean*0.001*(s_Irr!N14+s_Irr!AM14+s_Irr!BL14),".")</f>
        <v>103.48385260743784</v>
      </c>
      <c r="AP14" s="87">
        <f>IFERROR(s_C*s_IFOK_res_adj*s_CF_okra*0.001*(s_Irr!O14+s_Irr!AN14+s_Irr!BM14),".")</f>
        <v>103.48385260743784</v>
      </c>
      <c r="AQ14" s="87">
        <f>IFERROR(s_C*s_IFON_res_adj*s_CF_onion*0.001*(s_Irr!P14+s_Irr!AO14+s_Irr!BN14),".")</f>
        <v>103.48385260743784</v>
      </c>
      <c r="AR14" s="87">
        <f>IFERROR(s_C*s_IFPC_res_adj*s_CF_peach*0.001*(s_Irr!Q14+s_Irr!AP14+s_Irr!BO14),".")</f>
        <v>103.48385260743784</v>
      </c>
      <c r="AS14" s="87">
        <f>IFERROR(s_C*s_IFPR_res_adj*s_CF_pear*0.001*(s_Irr!R14+s_Irr!AQ14+s_Irr!BP14),".")</f>
        <v>103.48385260743784</v>
      </c>
      <c r="AT14" s="87">
        <f>IFERROR(s_C*s_IFPE_res_adj*s_CF_peas*0.001*(s_Irr!S14+s_Irr!AR14+s_Irr!BQ14),".")</f>
        <v>103.48385260743784</v>
      </c>
      <c r="AU14" s="87">
        <f>IFERROR(s_C*s_IFPP_res_adj*s_CF_peppers*0.001*(s_Irr!T14+s_Irr!AS14+s_Irr!BR14),".")</f>
        <v>103.48385260743784</v>
      </c>
      <c r="AV14" s="87">
        <f>IFERROR(s_C*s_IFPT_res_adj*s_CF_potato*0.001*(s_Irr!U14+s_Irr!AT14+s_Irr!BS14),".")</f>
        <v>103.48385260743784</v>
      </c>
      <c r="AW14" s="87">
        <f>IFERROR(s_C*s_IFPU_res_adj*s_CF_pumpkin*0.001*(s_Irr!V14+s_Irr!AU14+s_Irr!BT14),".")</f>
        <v>103.48385260743784</v>
      </c>
      <c r="AX14" s="87">
        <f>IFERROR(s_C*s_IFSN_res_adj*s_CF_snap_bean*0.001*(s_Irr!W14+s_Irr!AV14+s_Irr!BU14),".")</f>
        <v>103.48385260743784</v>
      </c>
      <c r="AY14" s="87">
        <f>IFERROR(s_C*s_IFST_res_adj*s_CF_strawberry*0.001*(s_Irr!X14+s_Irr!AW14+s_Irr!BV14),".")</f>
        <v>103.48385260743784</v>
      </c>
      <c r="AZ14" s="87">
        <f>IFERROR(s_C*s_IFTO_res_adj*s_CF_tomato*0.001*(s_Irr!Y14+s_Irr!AX14+s_Irr!BW14),".")</f>
        <v>103.48385260743784</v>
      </c>
      <c r="BA14" s="87">
        <f>IFERROR(s_C*s_IFRI_res_adj*s_CF_rice*0.001*(s_Irr!Z14+s_Irr!AY14+s_Irr!BX14),".")</f>
        <v>103.48385260743784</v>
      </c>
      <c r="BB14" s="87">
        <f>IFERROR(s_C*s_IFCG_res_adj*s_CF_cereal*0.001*(s_Irr!AA14+s_Irr!AZ14+s_Irr!BY14),".")</f>
        <v>103.48385260743784</v>
      </c>
      <c r="BC14" s="70">
        <f t="shared" si="1"/>
        <v>12366.0720725506</v>
      </c>
      <c r="BD14" s="70">
        <f>IFERROR(IF(AND(s_Irr!C14&lt;&gt;".",s_Irr!AB14&lt;&gt;".",s_Irr!BA14&lt;&gt;"."),s_dir!AD14/((1/1000)*(s_Irr!C14+s_Irr!AB14+s_Irr!BA14)),IF(AND(s_Irr!C14&lt;&gt;".",s_Irr!AB14&lt;&gt;".",s_Irr!BA14="."),s_dir!AD14/((1/1000)*(s_Irr!C14+s_Irr!AB14)),IF(AND(s_Irr!C14&lt;&gt;".",s_Irr!AB14=".",s_Irr!BA14&lt;&gt;"."),s_dir!AD14/((1/1000)*(s_Irr!C14+s_Irr!BA14)),IF(AND(s_Irr!C14=".",s_Irr!AB14&lt;&gt;".",s_Irr!BA14&lt;&gt;"."),s_dir!AD14/((1/1000)*(s_Irr!AB14+s_Irr!BA14)),IF(AND(s_Irr!C14=".",s_Irr!AB14=".",s_Irr!BA14&lt;&gt;"."),s_dir!AD14/((1/1000)*(s_Irr!BA14)),IF(AND(s_Irr!C14=".",s_Irr!AB14&lt;&gt;".",s_Irr!BA14="."),s_dir!AD14/((1/1000)*(s_Irr!AB14)),IF(AND(s_Irr!C14&lt;&gt;".",s_Irr!AB14=".",s_Irr!BA14="."),s_dir!AD14/((1/1000)*(s_Irr!C14)),IF(AND(s_Irr!C14=".",s_Irr!AB14=".",s_Irr!BA14="."),s_dir!AD14*1000)))))))),".")</f>
        <v>49464.288290202407</v>
      </c>
      <c r="BE14" s="70">
        <f>IFERROR(IF(AND(s_Irr!D14&lt;&gt;".",s_Irr!AC14&lt;&gt;".",s_Irr!BB14&lt;&gt;"."),s_dir!AE14/((1/1000)*(s_Irr!D14+s_Irr!AC14+s_Irr!BB14)),IF(AND(s_Irr!D14&lt;&gt;".",s_Irr!AC14&lt;&gt;".",s_Irr!BB14="."),s_dir!AE14/((1/1000)*(s_Irr!D14+s_Irr!AC14)),IF(AND(s_Irr!D14&lt;&gt;".",s_Irr!AC14=".",s_Irr!BB14&lt;&gt;"."),s_dir!AE14/((1/1000)*(s_Irr!D14+s_Irr!BB14)),IF(AND(s_Irr!D14=".",s_Irr!AC14&lt;&gt;".",s_Irr!BB14&lt;&gt;"."),s_dir!AE14/((1/1000)*(s_Irr!AC14+s_Irr!BB14)),IF(AND(s_Irr!D14=".",s_Irr!AC14=".",s_Irr!BB14&lt;&gt;"."),s_dir!AE14/((1/1000)*(s_Irr!BB14)),IF(AND(s_Irr!D14=".",s_Irr!AC14&lt;&gt;".",s_Irr!BB14="."),s_dir!AE14/((1/1000)*(s_Irr!AC14)),IF(AND(s_Irr!D14&lt;&gt;".",s_Irr!AC14=".",s_Irr!BB14="."),s_dir!AE14/((1/1000)*(s_Irr!D14)),IF(AND(s_Irr!D14=".",s_Irr!AC14=".",s_Irr!BB14="."),s_dir!AE14*1000)))))))),".")</f>
        <v>49464.288290202407</v>
      </c>
      <c r="BF14" s="70">
        <f>IFERROR(IF(AND(s_Irr!E14&lt;&gt;".",s_Irr!AD14&lt;&gt;".",s_Irr!BC14&lt;&gt;"."),s_dir!AF14/((1/1000)*(s_Irr!E14+s_Irr!AD14+s_Irr!BC14)),IF(AND(s_Irr!E14&lt;&gt;".",s_Irr!AD14&lt;&gt;".",s_Irr!BC14="."),s_dir!AF14/((1/1000)*(s_Irr!E14+s_Irr!AD14)),IF(AND(s_Irr!E14&lt;&gt;".",s_Irr!AD14=".",s_Irr!BC14&lt;&gt;"."),s_dir!AF14/((1/1000)*(s_Irr!E14+s_Irr!BC14)),IF(AND(s_Irr!E14=".",s_Irr!AD14&lt;&gt;".",s_Irr!BC14&lt;&gt;"."),s_dir!AF14/((1/1000)*(s_Irr!AD14+s_Irr!BC14)),IF(AND(s_Irr!E14=".",s_Irr!AD14=".",s_Irr!BC14&lt;&gt;"."),s_dir!AF14/((1/1000)*(s_Irr!BC14)),IF(AND(s_Irr!E14=".",s_Irr!AD14&lt;&gt;".",s_Irr!BC14="."),s_dir!AF14/((1/1000)*(s_Irr!AD14)),IF(AND(s_Irr!E14&lt;&gt;".",s_Irr!AD14=".",s_Irr!BC14="."),s_dir!AF14/((1/1000)*(s_Irr!E14)),IF(AND(s_Irr!E14=".",s_Irr!AD14=".",s_Irr!BC14="."),s_dir!AF14*1000)))))))),".")</f>
        <v>49464.288290202407</v>
      </c>
      <c r="BG14" s="70">
        <f>IFERROR(IF(AND(s_Irr!F14&lt;&gt;".",s_Irr!AE14&lt;&gt;".",s_Irr!BD14&lt;&gt;"."),s_dir!AG14/((1/1000)*(s_Irr!F14+s_Irr!AE14+s_Irr!BD14)),IF(AND(s_Irr!F14&lt;&gt;".",s_Irr!AE14&lt;&gt;".",s_Irr!BD14="."),s_dir!AG14/((1/1000)*(s_Irr!F14+s_Irr!AE14)),IF(AND(s_Irr!F14&lt;&gt;".",s_Irr!AE14=".",s_Irr!BD14&lt;&gt;"."),s_dir!AG14/((1/1000)*(s_Irr!F14+s_Irr!BD14)),IF(AND(s_Irr!F14=".",s_Irr!AE14&lt;&gt;".",s_Irr!BD14&lt;&gt;"."),s_dir!AG14/((1/1000)*(s_Irr!AE14+s_Irr!BD14)),IF(AND(s_Irr!F14=".",s_Irr!AE14=".",s_Irr!BD14&lt;&gt;"."),s_dir!AG14/((1/1000)*(s_Irr!BD14)),IF(AND(s_Irr!F14=".",s_Irr!AE14&lt;&gt;".",s_Irr!BD14="."),s_dir!AG14/((1/1000)*(s_Irr!AE14)),IF(AND(s_Irr!F14&lt;&gt;".",s_Irr!AE14=".",s_Irr!BD14="."),s_dir!AG14/((1/1000)*(s_Irr!F14)),IF(AND(s_Irr!F14=".",s_Irr!AE14=".",s_Irr!BD14="."),s_dir!AG14*1000)))))))),".")</f>
        <v>49464.288290202407</v>
      </c>
      <c r="BH14" s="70">
        <f>IFERROR(IF(AND(s_Irr!G14&lt;&gt;".",s_Irr!AF14&lt;&gt;".",s_Irr!BE14&lt;&gt;"."),s_dir!AH14/((1/1000)*(s_Irr!G14+s_Irr!AF14+s_Irr!BE14)),IF(AND(s_Irr!G14&lt;&gt;".",s_Irr!AF14&lt;&gt;".",s_Irr!BE14="."),s_dir!AH14/((1/1000)*(s_Irr!G14+s_Irr!AF14)),IF(AND(s_Irr!G14&lt;&gt;".",s_Irr!AF14=".",s_Irr!BE14&lt;&gt;"."),s_dir!AH14/((1/1000)*(s_Irr!G14+s_Irr!BE14)),IF(AND(s_Irr!G14=".",s_Irr!AF14&lt;&gt;".",s_Irr!BE14&lt;&gt;"."),s_dir!AH14/((1/1000)*(s_Irr!AF14+s_Irr!BE14)),IF(AND(s_Irr!G14=".",s_Irr!AF14=".",s_Irr!BE14&lt;&gt;"."),s_dir!AH14/((1/1000)*(s_Irr!BE14)),IF(AND(s_Irr!G14=".",s_Irr!AF14&lt;&gt;".",s_Irr!BE14="."),s_dir!AH14/((1/1000)*(s_Irr!AF14)),IF(AND(s_Irr!G14&lt;&gt;".",s_Irr!AF14=".",s_Irr!BE14="."),s_dir!AH14/((1/1000)*(s_Irr!G14)),IF(AND(s_Irr!G14=".",s_Irr!AF14=".",s_Irr!BE14="."),s_dir!AH14*1000)))))))),".")</f>
        <v>49464.288290202407</v>
      </c>
      <c r="BI14" s="70">
        <f>IFERROR(IF(AND(s_Irr!H14&lt;&gt;".",s_Irr!AG14&lt;&gt;".",s_Irr!BF14&lt;&gt;"."),s_dir!AI14/((1/1000)*(s_Irr!H14+s_Irr!AG14+s_Irr!BF14)),IF(AND(s_Irr!H14&lt;&gt;".",s_Irr!AG14&lt;&gt;".",s_Irr!BF14="."),s_dir!AI14/((1/1000)*(s_Irr!H14+s_Irr!AG14)),IF(AND(s_Irr!H14&lt;&gt;".",s_Irr!AG14=".",s_Irr!BF14&lt;&gt;"."),s_dir!AI14/((1/1000)*(s_Irr!H14+s_Irr!BF14)),IF(AND(s_Irr!H14=".",s_Irr!AG14&lt;&gt;".",s_Irr!BF14&lt;&gt;"."),s_dir!AI14/((1/1000)*(s_Irr!AG14+s_Irr!BF14)),IF(AND(s_Irr!H14=".",s_Irr!AG14=".",s_Irr!BF14&lt;&gt;"."),s_dir!AI14/((1/1000)*(s_Irr!BF14)),IF(AND(s_Irr!H14=".",s_Irr!AG14&lt;&gt;".",s_Irr!BF14="."),s_dir!AI14/((1/1000)*(s_Irr!AG14)),IF(AND(s_Irr!H14&lt;&gt;".",s_Irr!AG14=".",s_Irr!BF14="."),s_dir!AI14/((1/1000)*(s_Irr!H14)),IF(AND(s_Irr!H14=".",s_Irr!AG14=".",s_Irr!BF14="."),s_dir!AI14*1000)))))))),".")</f>
        <v>49464.288290202407</v>
      </c>
      <c r="BJ14" s="70">
        <f>IFERROR(IF(AND(s_Irr!I14&lt;&gt;".",s_Irr!AH14&lt;&gt;".",s_Irr!BG14&lt;&gt;"."),s_dir!AJ14/((1/1000)*(s_Irr!I14+s_Irr!AH14+s_Irr!BG14)),IF(AND(s_Irr!I14&lt;&gt;".",s_Irr!AH14&lt;&gt;".",s_Irr!BG14="."),s_dir!AJ14/((1/1000)*(s_Irr!I14+s_Irr!AH14)),IF(AND(s_Irr!I14&lt;&gt;".",s_Irr!AH14=".",s_Irr!BG14&lt;&gt;"."),s_dir!AJ14/((1/1000)*(s_Irr!I14+s_Irr!BG14)),IF(AND(s_Irr!I14=".",s_Irr!AH14&lt;&gt;".",s_Irr!BG14&lt;&gt;"."),s_dir!AJ14/((1/1000)*(s_Irr!AH14+s_Irr!BG14)),IF(AND(s_Irr!I14=".",s_Irr!AH14=".",s_Irr!BG14&lt;&gt;"."),s_dir!AJ14/((1/1000)*(s_Irr!BG14)),IF(AND(s_Irr!I14=".",s_Irr!AH14&lt;&gt;".",s_Irr!BG14="."),s_dir!AJ14/((1/1000)*(s_Irr!AH14)),IF(AND(s_Irr!I14&lt;&gt;".",s_Irr!AH14=".",s_Irr!BG14="."),s_dir!AJ14/((1/1000)*(s_Irr!I14)),IF(AND(s_Irr!I14=".",s_Irr!AH14=".",s_Irr!BG14="."),s_dir!AJ14*1000)))))))),".")</f>
        <v>49464.288290202407</v>
      </c>
      <c r="BK14" s="70">
        <f>IFERROR(IF(AND(s_Irr!J14&lt;&gt;".",s_Irr!AI14&lt;&gt;".",s_Irr!BH14&lt;&gt;"."),s_dir!AK14/((1/1000)*(s_Irr!J14+s_Irr!AI14+s_Irr!BH14)),IF(AND(s_Irr!J14&lt;&gt;".",s_Irr!AI14&lt;&gt;".",s_Irr!BH14="."),s_dir!AK14/((1/1000)*(s_Irr!J14+s_Irr!AI14)),IF(AND(s_Irr!J14&lt;&gt;".",s_Irr!AI14=".",s_Irr!BH14&lt;&gt;"."),s_dir!AK14/((1/1000)*(s_Irr!J14+s_Irr!BH14)),IF(AND(s_Irr!J14=".",s_Irr!AI14&lt;&gt;".",s_Irr!BH14&lt;&gt;"."),s_dir!AK14/((1/1000)*(s_Irr!AI14+s_Irr!BH14)),IF(AND(s_Irr!J14=".",s_Irr!AI14=".",s_Irr!BH14&lt;&gt;"."),s_dir!AK14/((1/1000)*(s_Irr!BH14)),IF(AND(s_Irr!J14=".",s_Irr!AI14&lt;&gt;".",s_Irr!BH14="."),s_dir!AK14/((1/1000)*(s_Irr!AI14)),IF(AND(s_Irr!J14&lt;&gt;".",s_Irr!AI14=".",s_Irr!BH14="."),s_dir!AK14/((1/1000)*(s_Irr!J14)),IF(AND(s_Irr!J14=".",s_Irr!AI14=".",s_Irr!BH14="."),s_dir!AK14*1000)))))))),".")</f>
        <v>49464.288290202407</v>
      </c>
      <c r="BL14" s="70">
        <f>IFERROR(IF(AND(s_Irr!K14&lt;&gt;".",s_Irr!AJ14&lt;&gt;".",s_Irr!BI14&lt;&gt;"."),s_dir!AL14/((1/1000)*(s_Irr!K14+s_Irr!AJ14+s_Irr!BI14)),IF(AND(s_Irr!K14&lt;&gt;".",s_Irr!AJ14&lt;&gt;".",s_Irr!BI14="."),s_dir!AL14/((1/1000)*(s_Irr!K14+s_Irr!AJ14)),IF(AND(s_Irr!K14&lt;&gt;".",s_Irr!AJ14=".",s_Irr!BI14&lt;&gt;"."),s_dir!AL14/((1/1000)*(s_Irr!K14+s_Irr!BI14)),IF(AND(s_Irr!K14=".",s_Irr!AJ14&lt;&gt;".",s_Irr!BI14&lt;&gt;"."),s_dir!AL14/((1/1000)*(s_Irr!AJ14+s_Irr!BI14)),IF(AND(s_Irr!K14=".",s_Irr!AJ14=".",s_Irr!BI14&lt;&gt;"."),s_dir!AL14/((1/1000)*(s_Irr!BI14)),IF(AND(s_Irr!K14=".",s_Irr!AJ14&lt;&gt;".",s_Irr!BI14="."),s_dir!AL14/((1/1000)*(s_Irr!AJ14)),IF(AND(s_Irr!K14&lt;&gt;".",s_Irr!AJ14=".",s_Irr!BI14="."),s_dir!AL14/((1/1000)*(s_Irr!K14)),IF(AND(s_Irr!K14=".",s_Irr!AJ14=".",s_Irr!BI14="."),s_dir!AL14*1000)))))))),".")</f>
        <v>49464.288290202407</v>
      </c>
      <c r="BM14" s="70">
        <f>IFERROR(IF(AND(s_Irr!L14&lt;&gt;".",s_Irr!AK14&lt;&gt;".",s_Irr!BJ14&lt;&gt;"."),s_dir!AM14/((1/1000)*(s_Irr!L14+s_Irr!AK14+s_Irr!BJ14)),IF(AND(s_Irr!L14&lt;&gt;".",s_Irr!AK14&lt;&gt;".",s_Irr!BJ14="."),s_dir!AM14/((1/1000)*(s_Irr!L14+s_Irr!AK14)),IF(AND(s_Irr!L14&lt;&gt;".",s_Irr!AK14=".",s_Irr!BJ14&lt;&gt;"."),s_dir!AM14/((1/1000)*(s_Irr!L14+s_Irr!BJ14)),IF(AND(s_Irr!L14=".",s_Irr!AK14&lt;&gt;".",s_Irr!BJ14&lt;&gt;"."),s_dir!AM14/((1/1000)*(s_Irr!AK14+s_Irr!BJ14)),IF(AND(s_Irr!L14=".",s_Irr!AK14=".",s_Irr!BJ14&lt;&gt;"."),s_dir!AM14/((1/1000)*(s_Irr!BJ14)),IF(AND(s_Irr!L14=".",s_Irr!AK14&lt;&gt;".",s_Irr!BJ14="."),s_dir!AM14/((1/1000)*(s_Irr!AK14)),IF(AND(s_Irr!L14&lt;&gt;".",s_Irr!AK14=".",s_Irr!BJ14="."),s_dir!AM14/((1/1000)*(s_Irr!L14)),IF(AND(s_Irr!L14=".",s_Irr!AK14=".",s_Irr!BJ14="."),s_dir!AM14*1000)))))))),".")</f>
        <v>49464.288290202407</v>
      </c>
      <c r="BN14" s="70">
        <f>IFERROR(IF(AND(s_Irr!M14&lt;&gt;".",s_Irr!AL14&lt;&gt;".",s_Irr!BK14&lt;&gt;"."),s_dir!AN14/((1/1000)*(s_Irr!M14+s_Irr!AL14+s_Irr!BK14)),IF(AND(s_Irr!M14&lt;&gt;".",s_Irr!AL14&lt;&gt;".",s_Irr!BK14="."),s_dir!AN14/((1/1000)*(s_Irr!M14+s_Irr!AL14)),IF(AND(s_Irr!M14&lt;&gt;".",s_Irr!AL14=".",s_Irr!BK14&lt;&gt;"."),s_dir!AN14/((1/1000)*(s_Irr!M14+s_Irr!BK14)),IF(AND(s_Irr!M14=".",s_Irr!AL14&lt;&gt;".",s_Irr!BK14&lt;&gt;"."),s_dir!AN14/((1/1000)*(s_Irr!AL14+s_Irr!BK14)),IF(AND(s_Irr!M14=".",s_Irr!AL14=".",s_Irr!BK14&lt;&gt;"."),s_dir!AN14/((1/1000)*(s_Irr!BK14)),IF(AND(s_Irr!M14=".",s_Irr!AL14&lt;&gt;".",s_Irr!BK14="."),s_dir!AN14/((1/1000)*(s_Irr!AL14)),IF(AND(s_Irr!M14&lt;&gt;".",s_Irr!AL14=".",s_Irr!BK14="."),s_dir!AN14/((1/1000)*(s_Irr!M14)),IF(AND(s_Irr!M14=".",s_Irr!AL14=".",s_Irr!BK14="."),s_dir!AN14*1000)))))))),".")</f>
        <v>49464.288290202407</v>
      </c>
      <c r="BO14" s="70">
        <f>IFERROR(IF(AND(s_Irr!N14&lt;&gt;".",s_Irr!AM14&lt;&gt;".",s_Irr!BL14&lt;&gt;"."),s_dir!AO14/((1/1000)*(s_Irr!N14+s_Irr!AM14+s_Irr!BL14)),IF(AND(s_Irr!N14&lt;&gt;".",s_Irr!AM14&lt;&gt;".",s_Irr!BL14="."),s_dir!AO14/((1/1000)*(s_Irr!N14+s_Irr!AM14)),IF(AND(s_Irr!N14&lt;&gt;".",s_Irr!AM14=".",s_Irr!BL14&lt;&gt;"."),s_dir!AO14/((1/1000)*(s_Irr!N14+s_Irr!BL14)),IF(AND(s_Irr!N14=".",s_Irr!AM14&lt;&gt;".",s_Irr!BL14&lt;&gt;"."),s_dir!AO14/((1/1000)*(s_Irr!AM14+s_Irr!BL14)),IF(AND(s_Irr!N14=".",s_Irr!AM14=".",s_Irr!BL14&lt;&gt;"."),s_dir!AO14/((1/1000)*(s_Irr!BL14)),IF(AND(s_Irr!N14=".",s_Irr!AM14&lt;&gt;".",s_Irr!BL14="."),s_dir!AO14/((1/1000)*(s_Irr!AM14)),IF(AND(s_Irr!N14&lt;&gt;".",s_Irr!AM14=".",s_Irr!BL14="."),s_dir!AO14/((1/1000)*(s_Irr!N14)),IF(AND(s_Irr!N14=".",s_Irr!AM14=".",s_Irr!BL14="."),s_dir!AO14*1000)))))))),".")</f>
        <v>49464.288290202407</v>
      </c>
      <c r="BP14" s="70">
        <f>IFERROR(IF(AND(s_Irr!O14&lt;&gt;".",s_Irr!AN14&lt;&gt;".",s_Irr!BM14&lt;&gt;"."),s_dir!AP14/((1/1000)*(s_Irr!O14+s_Irr!AN14+s_Irr!BM14)),IF(AND(s_Irr!O14&lt;&gt;".",s_Irr!AN14&lt;&gt;".",s_Irr!BM14="."),s_dir!AP14/((1/1000)*(s_Irr!O14+s_Irr!AN14)),IF(AND(s_Irr!O14&lt;&gt;".",s_Irr!AN14=".",s_Irr!BM14&lt;&gt;"."),s_dir!AP14/((1/1000)*(s_Irr!O14+s_Irr!BM14)),IF(AND(s_Irr!O14=".",s_Irr!AN14&lt;&gt;".",s_Irr!BM14&lt;&gt;"."),s_dir!AP14/((1/1000)*(s_Irr!AN14+s_Irr!BM14)),IF(AND(s_Irr!O14=".",s_Irr!AN14=".",s_Irr!BM14&lt;&gt;"."),s_dir!AP14/((1/1000)*(s_Irr!BM14)),IF(AND(s_Irr!O14=".",s_Irr!AN14&lt;&gt;".",s_Irr!BM14="."),s_dir!AP14/((1/1000)*(s_Irr!AN14)),IF(AND(s_Irr!O14&lt;&gt;".",s_Irr!AN14=".",s_Irr!BM14="."),s_dir!AP14/((1/1000)*(s_Irr!O14)),IF(AND(s_Irr!O14=".",s_Irr!AN14=".",s_Irr!BM14="."),s_dir!AP14*1000)))))))),".")</f>
        <v>49464.288290202407</v>
      </c>
      <c r="BQ14" s="70">
        <f>IFERROR(IF(AND(s_Irr!P14&lt;&gt;".",s_Irr!AO14&lt;&gt;".",s_Irr!BN14&lt;&gt;"."),s_dir!AQ14/((1/1000)*(s_Irr!P14+s_Irr!AO14+s_Irr!BN14)),IF(AND(s_Irr!P14&lt;&gt;".",s_Irr!AO14&lt;&gt;".",s_Irr!BN14="."),s_dir!AQ14/((1/1000)*(s_Irr!P14+s_Irr!AO14)),IF(AND(s_Irr!P14&lt;&gt;".",s_Irr!AO14=".",s_Irr!BN14&lt;&gt;"."),s_dir!AQ14/((1/1000)*(s_Irr!P14+s_Irr!BN14)),IF(AND(s_Irr!P14=".",s_Irr!AO14&lt;&gt;".",s_Irr!BN14&lt;&gt;"."),s_dir!AQ14/((1/1000)*(s_Irr!AO14+s_Irr!BN14)),IF(AND(s_Irr!P14=".",s_Irr!AO14=".",s_Irr!BN14&lt;&gt;"."),s_dir!AQ14/((1/1000)*(s_Irr!BN14)),IF(AND(s_Irr!P14=".",s_Irr!AO14&lt;&gt;".",s_Irr!BN14="."),s_dir!AQ14/((1/1000)*(s_Irr!AO14)),IF(AND(s_Irr!P14&lt;&gt;".",s_Irr!AO14=".",s_Irr!BN14="."),s_dir!AQ14/((1/1000)*(s_Irr!P14)),IF(AND(s_Irr!P14=".",s_Irr!AO14=".",s_Irr!BN14="."),s_dir!AQ14*1000)))))))),".")</f>
        <v>49464.288290202407</v>
      </c>
      <c r="BR14" s="70">
        <f>IFERROR(IF(AND(s_Irr!Q14&lt;&gt;".",s_Irr!AP14&lt;&gt;".",s_Irr!BO14&lt;&gt;"."),s_dir!AR14/((1/1000)*(s_Irr!Q14+s_Irr!AP14+s_Irr!BO14)),IF(AND(s_Irr!Q14&lt;&gt;".",s_Irr!AP14&lt;&gt;".",s_Irr!BO14="."),s_dir!AR14/((1/1000)*(s_Irr!Q14+s_Irr!AP14)),IF(AND(s_Irr!Q14&lt;&gt;".",s_Irr!AP14=".",s_Irr!BO14&lt;&gt;"."),s_dir!AR14/((1/1000)*(s_Irr!Q14+s_Irr!BO14)),IF(AND(s_Irr!Q14=".",s_Irr!AP14&lt;&gt;".",s_Irr!BO14&lt;&gt;"."),s_dir!AR14/((1/1000)*(s_Irr!AP14+s_Irr!BO14)),IF(AND(s_Irr!Q14=".",s_Irr!AP14=".",s_Irr!BO14&lt;&gt;"."),s_dir!AR14/((1/1000)*(s_Irr!BO14)),IF(AND(s_Irr!Q14=".",s_Irr!AP14&lt;&gt;".",s_Irr!BO14="."),s_dir!AR14/((1/1000)*(s_Irr!AP14)),IF(AND(s_Irr!Q14&lt;&gt;".",s_Irr!AP14=".",s_Irr!BO14="."),s_dir!AR14/((1/1000)*(s_Irr!Q14)),IF(AND(s_Irr!Q14=".",s_Irr!AP14=".",s_Irr!BO14="."),s_dir!AR14*1000)))))))),".")</f>
        <v>49464.288290202407</v>
      </c>
      <c r="BS14" s="70">
        <f>IFERROR(IF(AND(s_Irr!R14&lt;&gt;".",s_Irr!AQ14&lt;&gt;".",s_Irr!BP14&lt;&gt;"."),s_dir!AS14/((1/1000)*(s_Irr!R14+s_Irr!AQ14+s_Irr!BP14)),IF(AND(s_Irr!R14&lt;&gt;".",s_Irr!AQ14&lt;&gt;".",s_Irr!BP14="."),s_dir!AS14/((1/1000)*(s_Irr!R14+s_Irr!AQ14)),IF(AND(s_Irr!R14&lt;&gt;".",s_Irr!AQ14=".",s_Irr!BP14&lt;&gt;"."),s_dir!AS14/((1/1000)*(s_Irr!R14+s_Irr!BP14)),IF(AND(s_Irr!R14=".",s_Irr!AQ14&lt;&gt;".",s_Irr!BP14&lt;&gt;"."),s_dir!AS14/((1/1000)*(s_Irr!AQ14+s_Irr!BP14)),IF(AND(s_Irr!R14=".",s_Irr!AQ14=".",s_Irr!BP14&lt;&gt;"."),s_dir!AS14/((1/1000)*(s_Irr!BP14)),IF(AND(s_Irr!R14=".",s_Irr!AQ14&lt;&gt;".",s_Irr!BP14="."),s_dir!AS14/((1/1000)*(s_Irr!AQ14)),IF(AND(s_Irr!R14&lt;&gt;".",s_Irr!AQ14=".",s_Irr!BP14="."),s_dir!AS14/((1/1000)*(s_Irr!R14)),IF(AND(s_Irr!R14=".",s_Irr!AQ14=".",s_Irr!BP14="."),s_dir!AS14*1000)))))))),".")</f>
        <v>49464.288290202407</v>
      </c>
      <c r="BT14" s="70">
        <f>IFERROR(IF(AND(s_Irr!S14&lt;&gt;".",s_Irr!AR14&lt;&gt;".",s_Irr!BQ14&lt;&gt;"."),s_dir!AT14/((1/1000)*(s_Irr!S14+s_Irr!AR14+s_Irr!BQ14)),IF(AND(s_Irr!S14&lt;&gt;".",s_Irr!AR14&lt;&gt;".",s_Irr!BQ14="."),s_dir!AT14/((1/1000)*(s_Irr!S14+s_Irr!AR14)),IF(AND(s_Irr!S14&lt;&gt;".",s_Irr!AR14=".",s_Irr!BQ14&lt;&gt;"."),s_dir!AT14/((1/1000)*(s_Irr!S14+s_Irr!BQ14)),IF(AND(s_Irr!S14=".",s_Irr!AR14&lt;&gt;".",s_Irr!BQ14&lt;&gt;"."),s_dir!AT14/((1/1000)*(s_Irr!AR14+s_Irr!BQ14)),IF(AND(s_Irr!S14=".",s_Irr!AR14=".",s_Irr!BQ14&lt;&gt;"."),s_dir!AT14/((1/1000)*(s_Irr!BQ14)),IF(AND(s_Irr!S14=".",s_Irr!AR14&lt;&gt;".",s_Irr!BQ14="."),s_dir!AT14/((1/1000)*(s_Irr!AR14)),IF(AND(s_Irr!S14&lt;&gt;".",s_Irr!AR14=".",s_Irr!BQ14="."),s_dir!AT14/((1/1000)*(s_Irr!S14)),IF(AND(s_Irr!S14=".",s_Irr!AR14=".",s_Irr!BQ14="."),s_dir!AT14*1000)))))))),".")</f>
        <v>49464.288290202407</v>
      </c>
      <c r="BU14" s="70">
        <f>IFERROR(IF(AND(s_Irr!T14&lt;&gt;".",s_Irr!AS14&lt;&gt;".",s_Irr!BR14&lt;&gt;"."),s_dir!AU14/((1/1000)*(s_Irr!T14+s_Irr!AS14+s_Irr!BR14)),IF(AND(s_Irr!T14&lt;&gt;".",s_Irr!AS14&lt;&gt;".",s_Irr!BR14="."),s_dir!AU14/((1/1000)*(s_Irr!T14+s_Irr!AS14)),IF(AND(s_Irr!T14&lt;&gt;".",s_Irr!AS14=".",s_Irr!BR14&lt;&gt;"."),s_dir!AU14/((1/1000)*(s_Irr!T14+s_Irr!BR14)),IF(AND(s_Irr!T14=".",s_Irr!AS14&lt;&gt;".",s_Irr!BR14&lt;&gt;"."),s_dir!AU14/((1/1000)*(s_Irr!AS14+s_Irr!BR14)),IF(AND(s_Irr!T14=".",s_Irr!AS14=".",s_Irr!BR14&lt;&gt;"."),s_dir!AU14/((1/1000)*(s_Irr!BR14)),IF(AND(s_Irr!T14=".",s_Irr!AS14&lt;&gt;".",s_Irr!BR14="."),s_dir!AU14/((1/1000)*(s_Irr!AS14)),IF(AND(s_Irr!T14&lt;&gt;".",s_Irr!AS14=".",s_Irr!BR14="."),s_dir!AU14/((1/1000)*(s_Irr!T14)),IF(AND(s_Irr!T14=".",s_Irr!AS14=".",s_Irr!BR14="."),s_dir!AU14*1000)))))))),".")</f>
        <v>49464.288290202407</v>
      </c>
      <c r="BV14" s="70">
        <f>IFERROR(IF(AND(s_Irr!U14&lt;&gt;".",s_Irr!AT14&lt;&gt;".",s_Irr!BS14&lt;&gt;"."),s_dir!AV14/((1/1000)*(s_Irr!U14+s_Irr!AT14+s_Irr!BS14)),IF(AND(s_Irr!U14&lt;&gt;".",s_Irr!AT14&lt;&gt;".",s_Irr!BS14="."),s_dir!AV14/((1/1000)*(s_Irr!U14+s_Irr!AT14)),IF(AND(s_Irr!U14&lt;&gt;".",s_Irr!AT14=".",s_Irr!BS14&lt;&gt;"."),s_dir!AV14/((1/1000)*(s_Irr!U14+s_Irr!BS14)),IF(AND(s_Irr!U14=".",s_Irr!AT14&lt;&gt;".",s_Irr!BS14&lt;&gt;"."),s_dir!AV14/((1/1000)*(s_Irr!AT14+s_Irr!BS14)),IF(AND(s_Irr!U14=".",s_Irr!AT14=".",s_Irr!BS14&lt;&gt;"."),s_dir!AV14/((1/1000)*(s_Irr!BS14)),IF(AND(s_Irr!U14=".",s_Irr!AT14&lt;&gt;".",s_Irr!BS14="."),s_dir!AV14/((1/1000)*(s_Irr!AT14)),IF(AND(s_Irr!U14&lt;&gt;".",s_Irr!AT14=".",s_Irr!BS14="."),s_dir!AV14/((1/1000)*(s_Irr!U14)),IF(AND(s_Irr!U14=".",s_Irr!AT14=".",s_Irr!BS14="."),s_dir!AV14*1000)))))))),".")</f>
        <v>49464.288290202407</v>
      </c>
      <c r="BW14" s="70">
        <f>IFERROR(IF(AND(s_Irr!V14&lt;&gt;".",s_Irr!AU14&lt;&gt;".",s_Irr!BT14&lt;&gt;"."),s_dir!AW14/((1/1000)*(s_Irr!V14+s_Irr!AU14+s_Irr!BT14)),IF(AND(s_Irr!V14&lt;&gt;".",s_Irr!AU14&lt;&gt;".",s_Irr!BT14="."),s_dir!AW14/((1/1000)*(s_Irr!V14+s_Irr!AU14)),IF(AND(s_Irr!V14&lt;&gt;".",s_Irr!AU14=".",s_Irr!BT14&lt;&gt;"."),s_dir!AW14/((1/1000)*(s_Irr!V14+s_Irr!BT14)),IF(AND(s_Irr!V14=".",s_Irr!AU14&lt;&gt;".",s_Irr!BT14&lt;&gt;"."),s_dir!AW14/((1/1000)*(s_Irr!AU14+s_Irr!BT14)),IF(AND(s_Irr!V14=".",s_Irr!AU14=".",s_Irr!BT14&lt;&gt;"."),s_dir!AW14/((1/1000)*(s_Irr!BT14)),IF(AND(s_Irr!V14=".",s_Irr!AU14&lt;&gt;".",s_Irr!BT14="."),s_dir!AW14/((1/1000)*(s_Irr!AU14)),IF(AND(s_Irr!V14&lt;&gt;".",s_Irr!AU14=".",s_Irr!BT14="."),s_dir!AW14/((1/1000)*(s_Irr!V14)),IF(AND(s_Irr!V14=".",s_Irr!AU14=".",s_Irr!BT14="."),s_dir!AW14*1000)))))))),".")</f>
        <v>49464.288290202407</v>
      </c>
      <c r="BX14" s="70">
        <f>IFERROR(IF(AND(s_Irr!W14&lt;&gt;".",s_Irr!AV14&lt;&gt;".",s_Irr!BU14&lt;&gt;"."),s_dir!AX14/((1/1000)*(s_Irr!W14+s_Irr!AV14+s_Irr!BU14)),IF(AND(s_Irr!W14&lt;&gt;".",s_Irr!AV14&lt;&gt;".",s_Irr!BU14="."),s_dir!AX14/((1/1000)*(s_Irr!W14+s_Irr!AV14)),IF(AND(s_Irr!W14&lt;&gt;".",s_Irr!AV14=".",s_Irr!BU14&lt;&gt;"."),s_dir!AX14/((1/1000)*(s_Irr!W14+s_Irr!BU14)),IF(AND(s_Irr!W14=".",s_Irr!AV14&lt;&gt;".",s_Irr!BU14&lt;&gt;"."),s_dir!AX14/((1/1000)*(s_Irr!AV14+s_Irr!BU14)),IF(AND(s_Irr!W14=".",s_Irr!AV14=".",s_Irr!BU14&lt;&gt;"."),s_dir!AX14/((1/1000)*(s_Irr!BU14)),IF(AND(s_Irr!W14=".",s_Irr!AV14&lt;&gt;".",s_Irr!BU14="."),s_dir!AX14/((1/1000)*(s_Irr!AV14)),IF(AND(s_Irr!W14&lt;&gt;".",s_Irr!AV14=".",s_Irr!BU14="."),s_dir!AX14/((1/1000)*(s_Irr!W14)),IF(AND(s_Irr!W14=".",s_Irr!AV14=".",s_Irr!BU14="."),s_dir!AX14*1000)))))))),".")</f>
        <v>49464.288290202407</v>
      </c>
      <c r="BY14" s="70">
        <f>IFERROR(IF(AND(s_Irr!X14&lt;&gt;".",s_Irr!AW14&lt;&gt;".",s_Irr!BV14&lt;&gt;"."),s_dir!AY14/((1/1000)*(s_Irr!X14+s_Irr!AW14+s_Irr!BV14)),IF(AND(s_Irr!X14&lt;&gt;".",s_Irr!AW14&lt;&gt;".",s_Irr!BV14="."),s_dir!AY14/((1/1000)*(s_Irr!X14+s_Irr!AW14)),IF(AND(s_Irr!X14&lt;&gt;".",s_Irr!AW14=".",s_Irr!BV14&lt;&gt;"."),s_dir!AY14/((1/1000)*(s_Irr!X14+s_Irr!BV14)),IF(AND(s_Irr!X14=".",s_Irr!AW14&lt;&gt;".",s_Irr!BV14&lt;&gt;"."),s_dir!AY14/((1/1000)*(s_Irr!AW14+s_Irr!BV14)),IF(AND(s_Irr!X14=".",s_Irr!AW14=".",s_Irr!BV14&lt;&gt;"."),s_dir!AY14/((1/1000)*(s_Irr!BV14)),IF(AND(s_Irr!X14=".",s_Irr!AW14&lt;&gt;".",s_Irr!BV14="."),s_dir!AY14/((1/1000)*(s_Irr!AW14)),IF(AND(s_Irr!X14&lt;&gt;".",s_Irr!AW14=".",s_Irr!BV14="."),s_dir!AY14/((1/1000)*(s_Irr!X14)),IF(AND(s_Irr!X14=".",s_Irr!AW14=".",s_Irr!BV14="."),s_dir!AY14*1000)))))))),".")</f>
        <v>49464.288290202407</v>
      </c>
      <c r="BZ14" s="70">
        <f>IFERROR(IF(AND(s_Irr!Y14&lt;&gt;".",s_Irr!AX14&lt;&gt;".",s_Irr!BW14&lt;&gt;"."),s_dir!AZ14/((1/1000)*(s_Irr!Y14+s_Irr!AX14+s_Irr!BW14)),IF(AND(s_Irr!Y14&lt;&gt;".",s_Irr!AX14&lt;&gt;".",s_Irr!BW14="."),s_dir!AZ14/((1/1000)*(s_Irr!Y14+s_Irr!AX14)),IF(AND(s_Irr!Y14&lt;&gt;".",s_Irr!AX14=".",s_Irr!BW14&lt;&gt;"."),s_dir!AZ14/((1/1000)*(s_Irr!Y14+s_Irr!BW14)),IF(AND(s_Irr!Y14=".",s_Irr!AX14&lt;&gt;".",s_Irr!BW14&lt;&gt;"."),s_dir!AZ14/((1/1000)*(s_Irr!AX14+s_Irr!BW14)),IF(AND(s_Irr!Y14=".",s_Irr!AX14=".",s_Irr!BW14&lt;&gt;"."),s_dir!AZ14/((1/1000)*(s_Irr!BW14)),IF(AND(s_Irr!Y14=".",s_Irr!AX14&lt;&gt;".",s_Irr!BW14="."),s_dir!AZ14/((1/1000)*(s_Irr!AX14)),IF(AND(s_Irr!Y14&lt;&gt;".",s_Irr!AX14=".",s_Irr!BW14="."),s_dir!AZ14/((1/1000)*(s_Irr!Y14)),IF(AND(s_Irr!Y14=".",s_Irr!AX14=".",s_Irr!BW14="."),s_dir!AZ14*1000)))))))),".")</f>
        <v>49464.288290202407</v>
      </c>
      <c r="CA14" s="70">
        <f>IFERROR(IF(AND(s_Irr!Z14&lt;&gt;".",s_Irr!AY14&lt;&gt;".",s_Irr!BX14&lt;&gt;"."),s_dir!BA14/((1/1000)*(s_Irr!Z14+s_Irr!AY14+s_Irr!BX14)),IF(AND(s_Irr!Z14&lt;&gt;".",s_Irr!AY14&lt;&gt;".",s_Irr!BX14="."),s_dir!BA14/((1/1000)*(s_Irr!Z14+s_Irr!AY14)),IF(AND(s_Irr!Z14&lt;&gt;".",s_Irr!AY14=".",s_Irr!BX14&lt;&gt;"."),s_dir!BA14/((1/1000)*(s_Irr!Z14+s_Irr!BX14)),IF(AND(s_Irr!Z14=".",s_Irr!AY14&lt;&gt;".",s_Irr!BX14&lt;&gt;"."),s_dir!BA14/((1/1000)*(s_Irr!AY14+s_Irr!BX14)),IF(AND(s_Irr!Z14=".",s_Irr!AY14=".",s_Irr!BX14&lt;&gt;"."),s_dir!BA14/((1/1000)*(s_Irr!BX14)),IF(AND(s_Irr!Z14=".",s_Irr!AY14&lt;&gt;".",s_Irr!BX14="."),s_dir!BA14/((1/1000)*(s_Irr!AY14)),IF(AND(s_Irr!Z14&lt;&gt;".",s_Irr!AY14=".",s_Irr!BX14="."),s_dir!BA14/((1/1000)*(s_Irr!Z14)),IF(AND(s_Irr!Z14=".",s_Irr!AY14=".",s_Irr!BX14="."),s_dir!BA14*1000)))))))),".")</f>
        <v>49464.288290202407</v>
      </c>
      <c r="CB14" s="70">
        <f>IFERROR(IF(AND(s_Irr!AA14&lt;&gt;".",s_Irr!AZ14&lt;&gt;".",s_Irr!BY14&lt;&gt;"."),s_dir!BB14/((1/1000)*(s_Irr!AA14+s_Irr!AZ14+s_Irr!BY14)),IF(AND(s_Irr!AA14&lt;&gt;".",s_Irr!AZ14&lt;&gt;".",s_Irr!BY14="."),s_dir!BB14/((1/1000)*(s_Irr!AA14+s_Irr!AZ14)),IF(AND(s_Irr!AA14&lt;&gt;".",s_Irr!AZ14=".",s_Irr!BY14&lt;&gt;"."),s_dir!BB14/((1/1000)*(s_Irr!AA14+s_Irr!BY14)),IF(AND(s_Irr!AA14=".",s_Irr!AZ14&lt;&gt;".",s_Irr!BY14&lt;&gt;"."),s_dir!BB14/((1/1000)*(s_Irr!AZ14+s_Irr!BY14)),IF(AND(s_Irr!AA14=".",s_Irr!AZ14=".",s_Irr!BY14&lt;&gt;"."),s_dir!BB14/((1/1000)*(s_Irr!BY14)),IF(AND(s_Irr!AA14=".",s_Irr!AZ14&lt;&gt;".",s_Irr!BY14="."),s_dir!BB14/((1/1000)*(s_Irr!AZ14)),IF(AND(s_Irr!AA14&lt;&gt;".",s_Irr!AZ14=".",s_Irr!BY14="."),s_dir!BB14/((1/1000)*(s_Irr!AA14)),IF(AND(s_Irr!AA14=".",s_Irr!AZ14=".",s_Irr!BY14="."),s_dir!BB14*1000)))))))),".")</f>
        <v>49464.288290202407</v>
      </c>
      <c r="CC14" s="87">
        <f t="shared" si="2"/>
        <v>413.93541042975136</v>
      </c>
      <c r="CD14" s="87">
        <f>IFERROR(s_C*s_IFAP_far_adj*s_CF_apple*(1/1000)*(s_Irr!C14+s_Irr!AB14+s_Irr!BA14),".")</f>
        <v>103.48385260743784</v>
      </c>
      <c r="CE14" s="87">
        <f>IFERROR(s_C*s_IFAS_far_adj*s_CF_asparagus*(1/1000)*(s_Irr!D14+s_Irr!AC14+s_Irr!BB14),".")</f>
        <v>103.48385260743784</v>
      </c>
      <c r="CF14" s="87">
        <f>IFERROR(s_C*s_IFBT_far_adj*s_CF_beet*(1/1000)*(s_Irr!E14+s_Irr!AD14+s_Irr!BC14),".")</f>
        <v>103.48385260743784</v>
      </c>
      <c r="CG14" s="87">
        <f>IFERROR(s_C*s_IFBE_far_adj*s_CF_berries*(1/1000)*(s_Irr!F14+s_Irr!AE14+s_Irr!BD14),".")</f>
        <v>103.48385260743784</v>
      </c>
      <c r="CH14" s="87">
        <f>IFERROR(s_C*s_IFBR_far_adj*s_CF_broccoli*(1/1000)*(s_Irr!G14+s_Irr!AF14+s_Irr!BE14),".")</f>
        <v>103.48385260743784</v>
      </c>
      <c r="CI14" s="87">
        <f>IFERROR(s_C*s_IFCB_far_adj*s_CF_cabbage*(1/1000)*(s_Irr!H14+s_Irr!AG14+s_Irr!BF14),".")</f>
        <v>103.48385260743784</v>
      </c>
      <c r="CJ14" s="87">
        <f>IFERROR(s_C*s_IFCR_far_adj*s_CF_carrot*(1/1000)*(s_Irr!I14+s_Irr!AH14+s_Irr!BG14),".")</f>
        <v>103.48385260743784</v>
      </c>
      <c r="CK14" s="87">
        <f>IFERROR(s_C*s_IFCI_far_adj*s_CF_citrus*(1/1000)*(s_Irr!J14+s_Irr!AI14+s_Irr!BH14),".")</f>
        <v>103.48385260743784</v>
      </c>
      <c r="CL14" s="87">
        <f>IFERROR(s_C*s_IFCO_far_adj*s_CF_corn*(1/1000)*(s_Irr!K14+s_Irr!AJ14+s_Irr!BI14),".")</f>
        <v>103.48385260743784</v>
      </c>
      <c r="CM14" s="87">
        <f>IFERROR(s_C*s_IFCU_far_adj*s_CF_cucumber*(1/1000)*(s_Irr!L14+s_Irr!AK14+s_Irr!BJ14),".")</f>
        <v>103.48385260743784</v>
      </c>
      <c r="CN14" s="87">
        <f>IFERROR(s_C*s_IFLE_far_adj*s_CF_lettuce*(1/1000)*(s_Irr!M14+s_Irr!AL14+s_Irr!BK14),".")</f>
        <v>103.48385260743784</v>
      </c>
      <c r="CO14" s="87">
        <f>IFERROR(s_C*s_IFLI_far_adj*s_CF_lima_bean*(1/1000)*(s_Irr!N14+s_Irr!AM14+s_Irr!BL14),".")</f>
        <v>103.48385260743784</v>
      </c>
      <c r="CP14" s="87">
        <f>IFERROR(s_C*s_IFOK_far_adj*s_CF_okra*(1/1000)*(s_Irr!O14+s_Irr!AN14+s_Irr!BM14),".")</f>
        <v>103.48385260743784</v>
      </c>
      <c r="CQ14" s="87">
        <f>IFERROR(s_C*s_IFON_far_adj*s_CF_onion*(1/1000)*(s_Irr!P14+s_Irr!AO14+s_Irr!BN14),".")</f>
        <v>103.48385260743784</v>
      </c>
      <c r="CR14" s="87">
        <f>IFERROR(s_C*s_IFPC_far_adj*s_CF_peach*(1/1000)*(s_Irr!Q14+s_Irr!AP14+s_Irr!BO14),".")</f>
        <v>103.48385260743784</v>
      </c>
      <c r="CS14" s="87">
        <f>IFERROR(s_C*s_IFPR_far_adj*s_CF_pear*(1/1000)*(s_Irr!R14+s_Irr!AQ14+s_Irr!BP14),".")</f>
        <v>103.48385260743784</v>
      </c>
      <c r="CT14" s="87">
        <f>IFERROR(s_C*s_IFPE_far_adj*s_CF_peas*(1/1000)*(s_Irr!S14+s_Irr!AR14+s_Irr!BQ14),".")</f>
        <v>103.48385260743784</v>
      </c>
      <c r="CU14" s="87">
        <f>IFERROR(s_C*s_IFPP_far_adj*s_CF_peppers*(1/1000)*(s_Irr!T14+s_Irr!AS14+s_Irr!BR14),".")</f>
        <v>103.48385260743784</v>
      </c>
      <c r="CV14" s="87">
        <f>IFERROR(s_C*s_IFPT_far_adj*s_CF_potato*(1/1000)*(s_Irr!U14+s_Irr!AT14+s_Irr!BS14),".")</f>
        <v>103.48385260743784</v>
      </c>
      <c r="CW14" s="87">
        <f>IFERROR(s_C*s_IFPU_far_adj*s_CF_pumpkin*(1/1000)*(s_Irr!V14+s_Irr!AU14+s_Irr!BT14),".")</f>
        <v>103.48385260743784</v>
      </c>
      <c r="CX14" s="87">
        <f>IFERROR(s_C*s_IFSN_far_adj*s_CF_snap_bean*(1/1000)*(s_Irr!W14+s_Irr!AV14+s_Irr!BU14),".")</f>
        <v>103.48385260743784</v>
      </c>
      <c r="CY14" s="87">
        <f>IFERROR(s_C*s_IFST_far_adj*s_CF_strawberry*(1/1000)*(s_Irr!X14+s_Irr!AW14+s_Irr!BV14),".")</f>
        <v>103.48385260743784</v>
      </c>
      <c r="CZ14" s="87">
        <f>IFERROR(s_C*s_IFTO_far_adj*s_CF_tomato*(1/1000)*(s_Irr!Y14+s_Irr!AX14+s_Irr!BW14),".")</f>
        <v>103.48385260743784</v>
      </c>
      <c r="DA14" s="87">
        <f>IFERROR(s_C*s_IFRI_far_adj*s_CF_rice*(1/1000)*(s_Irr!Z14+s_Irr!AY14+s_Irr!BX14),".")</f>
        <v>103.48385260743784</v>
      </c>
      <c r="DB14" s="87">
        <f>IFERROR(s_C*s_IFCG_far_adj*s_CF_cereal*(1/1000)*(s_Irr!AA14+s_Irr!AZ14+s_Irr!BY14),".")</f>
        <v>103.48385260743784</v>
      </c>
    </row>
    <row r="15" spans="1:106" ht="15" customHeight="1" x14ac:dyDescent="0.25">
      <c r="A15" s="86" t="s">
        <v>13</v>
      </c>
      <c r="B15" s="84" t="s">
        <v>1057</v>
      </c>
      <c r="C15" s="15">
        <f t="shared" si="3"/>
        <v>221500.1208714174</v>
      </c>
      <c r="D15" s="70">
        <f>IFERROR(IF(AND(s_Irr!C15&lt;&gt;".",s_Irr!AB15&lt;&gt;".",s_Irr!BA15&lt;&gt;"."),s_dir!D15/((1/1000)*(s_Irr!C15+s_Irr!AB15+s_Irr!BA15)),IF(AND(s_Irr!C15&lt;&gt;".",s_Irr!AB15&lt;&gt;".",s_Irr!BA15="."),s_dir!D15/((1/1000)*(s_Irr!C15+s_Irr!AB15)),IF(AND(s_Irr!C15&lt;&gt;".",s_Irr!AB15=".",s_Irr!BA15&lt;&gt;"."),s_dir!D15/((1/1000)*(s_Irr!C15+s_Irr!BA15)),IF(AND(s_Irr!C15=".",s_Irr!AB15&lt;&gt;".",s_Irr!BA15&lt;&gt;"."),s_dir!D15/((1/1000)*(s_Irr!AB15+s_Irr!BA15)),IF(AND(s_Irr!C15=".",s_Irr!AB15=".",s_Irr!BA15&lt;&gt;"."),s_dir!D15/((1/1000)*(s_Irr!BA15)),IF(AND(s_Irr!C15=".",s_Irr!AB15&lt;&gt;".",s_Irr!BA15="."),s_dir!D15/((1/1000)*(s_Irr!AB15)),IF(AND(s_Irr!C15&lt;&gt;".",s_Irr!AB15=".",s_Irr!BA15="."),s_dir!D15/((1/1000)*(s_Irr!C15)),IF(AND(s_Irr!C15=".",s_Irr!AB15=".",s_Irr!BA15="."),s_dir!D15*1000)))))))),".")</f>
        <v>874067.74488711066</v>
      </c>
      <c r="E15" s="70">
        <f>IFERROR(IF(AND(s_Irr!D15&lt;&gt;".",s_Irr!AC15&lt;&gt;".",s_Irr!BB15&lt;&gt;"."),s_dir!E15/((1/1000)*(s_Irr!D15+s_Irr!AC15+s_Irr!BB15)),IF(AND(s_Irr!D15&lt;&gt;".",s_Irr!AC15&lt;&gt;".",s_Irr!BB15="."),s_dir!E15/((1/1000)*(s_Irr!D15+s_Irr!AC15)),IF(AND(s_Irr!D15&lt;&gt;".",s_Irr!AC15=".",s_Irr!BB15&lt;&gt;"."),s_dir!E15/((1/1000)*(s_Irr!D15+s_Irr!BB15)),IF(AND(s_Irr!D15=".",s_Irr!AC15&lt;&gt;".",s_Irr!BB15&lt;&gt;"."),s_dir!E15/((1/1000)*(s_Irr!AC15+s_Irr!BB15)),IF(AND(s_Irr!D15=".",s_Irr!AC15=".",s_Irr!BB15&lt;&gt;"."),s_dir!E15/((1/1000)*(s_Irr!BB15)),IF(AND(s_Irr!D15=".",s_Irr!AC15&lt;&gt;".",s_Irr!BB15="."),s_dir!E15/((1/1000)*(s_Irr!AC15)),IF(AND(s_Irr!D15&lt;&gt;".",s_Irr!AC15=".",s_Irr!BB15="."),s_dir!E15/((1/1000)*(s_Irr!D15)),IF(AND(s_Irr!D15=".",s_Irr!AC15=".",s_Irr!BB15="."),s_dir!E15*1000)))))))),".")</f>
        <v>433466.44513376785</v>
      </c>
      <c r="F15" s="70">
        <f>IFERROR(IF(AND(s_Irr!E15&lt;&gt;".",s_Irr!AD15&lt;&gt;".",s_Irr!BC15&lt;&gt;"."),s_dir!F15/((1/1000)*(s_Irr!E15+s_Irr!AD15+s_Irr!BC15)),IF(AND(s_Irr!E15&lt;&gt;".",s_Irr!AD15&lt;&gt;".",s_Irr!BC15="."),s_dir!F15/((1/1000)*(s_Irr!E15+s_Irr!AD15)),IF(AND(s_Irr!E15&lt;&gt;".",s_Irr!AD15=".",s_Irr!BC15&lt;&gt;"."),s_dir!F15/((1/1000)*(s_Irr!E15+s_Irr!BC15)),IF(AND(s_Irr!E15=".",s_Irr!AD15&lt;&gt;".",s_Irr!BC15&lt;&gt;"."),s_dir!F15/((1/1000)*(s_Irr!AD15+s_Irr!BC15)),IF(AND(s_Irr!E15=".",s_Irr!AD15=".",s_Irr!BC15&lt;&gt;"."),s_dir!F15/((1/1000)*(s_Irr!BC15)),IF(AND(s_Irr!E15=".",s_Irr!AD15&lt;&gt;".",s_Irr!BC15="."),s_dir!F15/((1/1000)*(s_Irr!AD15)),IF(AND(s_Irr!E15&lt;&gt;".",s_Irr!AD15=".",s_Irr!BC15="."),s_dir!F15/((1/1000)*(s_Irr!E15)),IF(AND(s_Irr!E15=".",s_Irr!AD15=".",s_Irr!BC15="."),s_dir!F15*1000)))))))),".")</f>
        <v>814902.3427749296</v>
      </c>
      <c r="G15" s="70">
        <f>IFERROR(IF(AND(s_Irr!F15&lt;&gt;".",s_Irr!AE15&lt;&gt;".",s_Irr!BD15&lt;&gt;"."),s_dir!G15/((1/1000)*(s_Irr!F15+s_Irr!AE15+s_Irr!BD15)),IF(AND(s_Irr!F15&lt;&gt;".",s_Irr!AE15&lt;&gt;".",s_Irr!BD15="."),s_dir!G15/((1/1000)*(s_Irr!F15+s_Irr!AE15)),IF(AND(s_Irr!F15&lt;&gt;".",s_Irr!AE15=".",s_Irr!BD15&lt;&gt;"."),s_dir!G15/((1/1000)*(s_Irr!F15+s_Irr!BD15)),IF(AND(s_Irr!F15=".",s_Irr!AE15&lt;&gt;".",s_Irr!BD15&lt;&gt;"."),s_dir!G15/((1/1000)*(s_Irr!AE15+s_Irr!BD15)),IF(AND(s_Irr!F15=".",s_Irr!AE15=".",s_Irr!BD15&lt;&gt;"."),s_dir!G15/((1/1000)*(s_Irr!BD15)),IF(AND(s_Irr!F15=".",s_Irr!AE15&lt;&gt;".",s_Irr!BD15="."),s_dir!G15/((1/1000)*(s_Irr!AE15)),IF(AND(s_Irr!F15&lt;&gt;".",s_Irr!AE15=".",s_Irr!BD15="."),s_dir!G15/((1/1000)*(s_Irr!F15)),IF(AND(s_Irr!F15=".",s_Irr!AE15=".",s_Irr!BD15="."),s_dir!G15*1000)))))))),".")</f>
        <v>874067.74488711066</v>
      </c>
      <c r="H15" s="70">
        <f>IFERROR(IF(AND(s_Irr!G15&lt;&gt;".",s_Irr!AF15&lt;&gt;".",s_Irr!BE15&lt;&gt;"."),s_dir!H15/((1/1000)*(s_Irr!G15+s_Irr!AF15+s_Irr!BE15)),IF(AND(s_Irr!G15&lt;&gt;".",s_Irr!AF15&lt;&gt;".",s_Irr!BE15="."),s_dir!H15/((1/1000)*(s_Irr!G15+s_Irr!AF15)),IF(AND(s_Irr!G15&lt;&gt;".",s_Irr!AF15=".",s_Irr!BE15&lt;&gt;"."),s_dir!H15/((1/1000)*(s_Irr!G15+s_Irr!BE15)),IF(AND(s_Irr!G15=".",s_Irr!AF15&lt;&gt;".",s_Irr!BE15&lt;&gt;"."),s_dir!H15/((1/1000)*(s_Irr!AF15+s_Irr!BE15)),IF(AND(s_Irr!G15=".",s_Irr!AF15=".",s_Irr!BE15&lt;&gt;"."),s_dir!H15/((1/1000)*(s_Irr!BE15)),IF(AND(s_Irr!G15=".",s_Irr!AF15&lt;&gt;".",s_Irr!BE15="."),s_dir!H15/((1/1000)*(s_Irr!AF15)),IF(AND(s_Irr!G15&lt;&gt;".",s_Irr!AF15=".",s_Irr!BE15="."),s_dir!H15/((1/1000)*(s_Irr!G15)),IF(AND(s_Irr!G15=".",s_Irr!AF15=".",s_Irr!BE15="."),s_dir!H15*1000)))))))),".")</f>
        <v>814902.3427749296</v>
      </c>
      <c r="I15" s="70">
        <f>IFERROR(IF(AND(s_Irr!H15&lt;&gt;".",s_Irr!AG15&lt;&gt;".",s_Irr!BF15&lt;&gt;"."),s_dir!I15/((1/1000)*(s_Irr!H15+s_Irr!AG15+s_Irr!BF15)),IF(AND(s_Irr!H15&lt;&gt;".",s_Irr!AG15&lt;&gt;".",s_Irr!BF15="."),s_dir!I15/((1/1000)*(s_Irr!H15+s_Irr!AG15)),IF(AND(s_Irr!H15&lt;&gt;".",s_Irr!AG15=".",s_Irr!BF15&lt;&gt;"."),s_dir!I15/((1/1000)*(s_Irr!H15+s_Irr!BF15)),IF(AND(s_Irr!H15=".",s_Irr!AG15&lt;&gt;".",s_Irr!BF15&lt;&gt;"."),s_dir!I15/((1/1000)*(s_Irr!AG15+s_Irr!BF15)),IF(AND(s_Irr!H15=".",s_Irr!AG15=".",s_Irr!BF15&lt;&gt;"."),s_dir!I15/((1/1000)*(s_Irr!BF15)),IF(AND(s_Irr!H15=".",s_Irr!AG15&lt;&gt;".",s_Irr!BF15="."),s_dir!I15/((1/1000)*(s_Irr!AG15)),IF(AND(s_Irr!H15&lt;&gt;".",s_Irr!AG15=".",s_Irr!BF15="."),s_dir!I15/((1/1000)*(s_Irr!H15)),IF(AND(s_Irr!H15=".",s_Irr!AG15=".",s_Irr!BF15="."),s_dir!I15*1000)))))))),".")</f>
        <v>433466.44513376785</v>
      </c>
      <c r="J15" s="70">
        <f>IFERROR(IF(AND(s_Irr!I15&lt;&gt;".",s_Irr!AH15&lt;&gt;".",s_Irr!BG15&lt;&gt;"."),s_dir!J15/((1/1000)*(s_Irr!I15+s_Irr!AH15+s_Irr!BG15)),IF(AND(s_Irr!I15&lt;&gt;".",s_Irr!AH15&lt;&gt;".",s_Irr!BG15="."),s_dir!J15/((1/1000)*(s_Irr!I15+s_Irr!AH15)),IF(AND(s_Irr!I15&lt;&gt;".",s_Irr!AH15=".",s_Irr!BG15&lt;&gt;"."),s_dir!J15/((1/1000)*(s_Irr!I15+s_Irr!BG15)),IF(AND(s_Irr!I15=".",s_Irr!AH15&lt;&gt;".",s_Irr!BG15&lt;&gt;"."),s_dir!J15/((1/1000)*(s_Irr!AH15+s_Irr!BG15)),IF(AND(s_Irr!I15=".",s_Irr!AH15=".",s_Irr!BG15&lt;&gt;"."),s_dir!J15/((1/1000)*(s_Irr!BG15)),IF(AND(s_Irr!I15=".",s_Irr!AH15&lt;&gt;".",s_Irr!BG15="."),s_dir!J15/((1/1000)*(s_Irr!AH15)),IF(AND(s_Irr!I15&lt;&gt;".",s_Irr!AH15=".",s_Irr!BG15="."),s_dir!J15/((1/1000)*(s_Irr!I15)),IF(AND(s_Irr!I15=".",s_Irr!AH15=".",s_Irr!BG15="."),s_dir!J15*1000)))))))),".")</f>
        <v>814902.3427749296</v>
      </c>
      <c r="K15" s="70">
        <f>IFERROR(IF(AND(s_Irr!J15&lt;&gt;".",s_Irr!AI15&lt;&gt;".",s_Irr!BH15&lt;&gt;"."),s_dir!K15/((1/1000)*(s_Irr!J15+s_Irr!AI15+s_Irr!BH15)),IF(AND(s_Irr!J15&lt;&gt;".",s_Irr!AI15&lt;&gt;".",s_Irr!BH15="."),s_dir!K15/((1/1000)*(s_Irr!J15+s_Irr!AI15)),IF(AND(s_Irr!J15&lt;&gt;".",s_Irr!AI15=".",s_Irr!BH15&lt;&gt;"."),s_dir!K15/((1/1000)*(s_Irr!J15+s_Irr!BH15)),IF(AND(s_Irr!J15=".",s_Irr!AI15&lt;&gt;".",s_Irr!BH15&lt;&gt;"."),s_dir!K15/((1/1000)*(s_Irr!AI15+s_Irr!BH15)),IF(AND(s_Irr!J15=".",s_Irr!AI15=".",s_Irr!BH15&lt;&gt;"."),s_dir!K15/((1/1000)*(s_Irr!BH15)),IF(AND(s_Irr!J15=".",s_Irr!AI15&lt;&gt;".",s_Irr!BH15="."),s_dir!K15/((1/1000)*(s_Irr!AI15)),IF(AND(s_Irr!J15&lt;&gt;".",s_Irr!AI15=".",s_Irr!BH15="."),s_dir!K15/((1/1000)*(s_Irr!J15)),IF(AND(s_Irr!J15=".",s_Irr!AI15=".",s_Irr!BH15="."),s_dir!K15*1000)))))))),".")</f>
        <v>874067.74488711066</v>
      </c>
      <c r="L15" s="70">
        <f>IFERROR(IF(AND(s_Irr!K15&lt;&gt;".",s_Irr!AJ15&lt;&gt;".",s_Irr!BI15&lt;&gt;"."),s_dir!L15/((1/1000)*(s_Irr!K15+s_Irr!AJ15+s_Irr!BI15)),IF(AND(s_Irr!K15&lt;&gt;".",s_Irr!AJ15&lt;&gt;".",s_Irr!BI15="."),s_dir!L15/((1/1000)*(s_Irr!K15+s_Irr!AJ15)),IF(AND(s_Irr!K15&lt;&gt;".",s_Irr!AJ15=".",s_Irr!BI15&lt;&gt;"."),s_dir!L15/((1/1000)*(s_Irr!K15+s_Irr!BI15)),IF(AND(s_Irr!K15=".",s_Irr!AJ15&lt;&gt;".",s_Irr!BI15&lt;&gt;"."),s_dir!L15/((1/1000)*(s_Irr!AJ15+s_Irr!BI15)),IF(AND(s_Irr!K15=".",s_Irr!AJ15=".",s_Irr!BI15&lt;&gt;"."),s_dir!L15/((1/1000)*(s_Irr!BI15)),IF(AND(s_Irr!K15=".",s_Irr!AJ15&lt;&gt;".",s_Irr!BI15="."),s_dir!L15/((1/1000)*(s_Irr!AJ15)),IF(AND(s_Irr!K15&lt;&gt;".",s_Irr!AJ15=".",s_Irr!BI15="."),s_dir!L15/((1/1000)*(s_Irr!K15)),IF(AND(s_Irr!K15=".",s_Irr!AJ15=".",s_Irr!BI15="."),s_dir!L15*1000)))))))),".")</f>
        <v>1002122.5085099186</v>
      </c>
      <c r="M15" s="70">
        <f>IFERROR(IF(AND(s_Irr!L15&lt;&gt;".",s_Irr!AK15&lt;&gt;".",s_Irr!BJ15&lt;&gt;"."),s_dir!M15/((1/1000)*(s_Irr!L15+s_Irr!AK15+s_Irr!BJ15)),IF(AND(s_Irr!L15&lt;&gt;".",s_Irr!AK15&lt;&gt;".",s_Irr!BJ15="."),s_dir!M15/((1/1000)*(s_Irr!L15+s_Irr!AK15)),IF(AND(s_Irr!L15&lt;&gt;".",s_Irr!AK15=".",s_Irr!BJ15&lt;&gt;"."),s_dir!M15/((1/1000)*(s_Irr!L15+s_Irr!BJ15)),IF(AND(s_Irr!L15=".",s_Irr!AK15&lt;&gt;".",s_Irr!BJ15&lt;&gt;"."),s_dir!M15/((1/1000)*(s_Irr!AK15+s_Irr!BJ15)),IF(AND(s_Irr!L15=".",s_Irr!AK15=".",s_Irr!BJ15&lt;&gt;"."),s_dir!M15/((1/1000)*(s_Irr!BJ15)),IF(AND(s_Irr!L15=".",s_Irr!AK15&lt;&gt;".",s_Irr!BJ15="."),s_dir!M15/((1/1000)*(s_Irr!AK15)),IF(AND(s_Irr!L15&lt;&gt;".",s_Irr!AK15=".",s_Irr!BJ15="."),s_dir!M15/((1/1000)*(s_Irr!L15)),IF(AND(s_Irr!L15=".",s_Irr!AK15=".",s_Irr!BJ15="."),s_dir!M15*1000)))))))),".")</f>
        <v>814902.3427749296</v>
      </c>
      <c r="N15" s="70">
        <f>IFERROR(IF(AND(s_Irr!M15&lt;&gt;".",s_Irr!AL15&lt;&gt;".",s_Irr!BK15&lt;&gt;"."),s_dir!N15/((1/1000)*(s_Irr!M15+s_Irr!AL15+s_Irr!BK15)),IF(AND(s_Irr!M15&lt;&gt;".",s_Irr!AL15&lt;&gt;".",s_Irr!BK15="."),s_dir!N15/((1/1000)*(s_Irr!M15+s_Irr!AL15)),IF(AND(s_Irr!M15&lt;&gt;".",s_Irr!AL15=".",s_Irr!BK15&lt;&gt;"."),s_dir!N15/((1/1000)*(s_Irr!M15+s_Irr!BK15)),IF(AND(s_Irr!M15=".",s_Irr!AL15&lt;&gt;".",s_Irr!BK15&lt;&gt;"."),s_dir!N15/((1/1000)*(s_Irr!AL15+s_Irr!BK15)),IF(AND(s_Irr!M15=".",s_Irr!AL15=".",s_Irr!BK15&lt;&gt;"."),s_dir!N15/((1/1000)*(s_Irr!BK15)),IF(AND(s_Irr!M15=".",s_Irr!AL15&lt;&gt;".",s_Irr!BK15="."),s_dir!N15/((1/1000)*(s_Irr!AL15)),IF(AND(s_Irr!M15&lt;&gt;".",s_Irr!AL15=".",s_Irr!BK15="."),s_dir!N15/((1/1000)*(s_Irr!M15)),IF(AND(s_Irr!M15=".",s_Irr!AL15=".",s_Irr!BK15="."),s_dir!N15*1000)))))))),".")</f>
        <v>433466.44513376785</v>
      </c>
      <c r="O15" s="70">
        <f>IFERROR(IF(AND(s_Irr!N15&lt;&gt;".",s_Irr!AM15&lt;&gt;".",s_Irr!BL15&lt;&gt;"."),s_dir!O15/((1/1000)*(s_Irr!N15+s_Irr!AM15+s_Irr!BL15)),IF(AND(s_Irr!N15&lt;&gt;".",s_Irr!AM15&lt;&gt;".",s_Irr!BL15="."),s_dir!O15/((1/1000)*(s_Irr!N15+s_Irr!AM15)),IF(AND(s_Irr!N15&lt;&gt;".",s_Irr!AM15=".",s_Irr!BL15&lt;&gt;"."),s_dir!O15/((1/1000)*(s_Irr!N15+s_Irr!BL15)),IF(AND(s_Irr!N15=".",s_Irr!AM15&lt;&gt;".",s_Irr!BL15&lt;&gt;"."),s_dir!O15/((1/1000)*(s_Irr!AM15+s_Irr!BL15)),IF(AND(s_Irr!N15=".",s_Irr!AM15=".",s_Irr!BL15&lt;&gt;"."),s_dir!O15/((1/1000)*(s_Irr!BL15)),IF(AND(s_Irr!N15=".",s_Irr!AM15&lt;&gt;".",s_Irr!BL15="."),s_dir!O15/((1/1000)*(s_Irr!AM15)),IF(AND(s_Irr!N15&lt;&gt;".",s_Irr!AM15=".",s_Irr!BL15="."),s_dir!O15/((1/1000)*(s_Irr!N15)),IF(AND(s_Irr!N15=".",s_Irr!AM15=".",s_Irr!BL15="."),s_dir!O15*1000)))))))),".")</f>
        <v>938090.57693891937</v>
      </c>
      <c r="P15" s="70">
        <f>IFERROR(IF(AND(s_Irr!O15&lt;&gt;".",s_Irr!AN15&lt;&gt;".",s_Irr!BM15&lt;&gt;"."),s_dir!P15/((1/1000)*(s_Irr!O15+s_Irr!AN15+s_Irr!BM15)),IF(AND(s_Irr!O15&lt;&gt;".",s_Irr!AN15&lt;&gt;".",s_Irr!BM15="."),s_dir!P15/((1/1000)*(s_Irr!O15+s_Irr!AN15)),IF(AND(s_Irr!O15&lt;&gt;".",s_Irr!AN15=".",s_Irr!BM15&lt;&gt;"."),s_dir!P15/((1/1000)*(s_Irr!O15+s_Irr!BM15)),IF(AND(s_Irr!O15=".",s_Irr!AN15&lt;&gt;".",s_Irr!BM15&lt;&gt;"."),s_dir!P15/((1/1000)*(s_Irr!AN15+s_Irr!BM15)),IF(AND(s_Irr!O15=".",s_Irr!AN15=".",s_Irr!BM15&lt;&gt;"."),s_dir!P15/((1/1000)*(s_Irr!BM15)),IF(AND(s_Irr!O15=".",s_Irr!AN15&lt;&gt;".",s_Irr!BM15="."),s_dir!P15/((1/1000)*(s_Irr!AN15)),IF(AND(s_Irr!O15&lt;&gt;".",s_Irr!AN15=".",s_Irr!BM15="."),s_dir!P15/((1/1000)*(s_Irr!O15)),IF(AND(s_Irr!O15=".",s_Irr!AN15=".",s_Irr!BM15="."),s_dir!P15*1000)))))))),".")</f>
        <v>814902.3427749296</v>
      </c>
      <c r="Q15" s="70">
        <f>IFERROR(IF(AND(s_Irr!P15&lt;&gt;".",s_Irr!AO15&lt;&gt;".",s_Irr!BN15&lt;&gt;"."),s_dir!Q15/((1/1000)*(s_Irr!P15+s_Irr!AO15+s_Irr!BN15)),IF(AND(s_Irr!P15&lt;&gt;".",s_Irr!AO15&lt;&gt;".",s_Irr!BN15="."),s_dir!Q15/((1/1000)*(s_Irr!P15+s_Irr!AO15)),IF(AND(s_Irr!P15&lt;&gt;".",s_Irr!AO15=".",s_Irr!BN15&lt;&gt;"."),s_dir!Q15/((1/1000)*(s_Irr!P15+s_Irr!BN15)),IF(AND(s_Irr!P15=".",s_Irr!AO15&lt;&gt;".",s_Irr!BN15&lt;&gt;"."),s_dir!Q15/((1/1000)*(s_Irr!AO15+s_Irr!BN15)),IF(AND(s_Irr!P15=".",s_Irr!AO15=".",s_Irr!BN15&lt;&gt;"."),s_dir!Q15/((1/1000)*(s_Irr!BN15)),IF(AND(s_Irr!P15=".",s_Irr!AO15&lt;&gt;".",s_Irr!BN15="."),s_dir!Q15/((1/1000)*(s_Irr!AO15)),IF(AND(s_Irr!P15&lt;&gt;".",s_Irr!AO15=".",s_Irr!BN15="."),s_dir!Q15/((1/1000)*(s_Irr!P15)),IF(AND(s_Irr!P15=".",s_Irr!AO15=".",s_Irr!BN15="."),s_dir!Q15*1000)))))))),".")</f>
        <v>814902.3427749296</v>
      </c>
      <c r="R15" s="70">
        <f>IFERROR(IF(AND(s_Irr!Q15&lt;&gt;".",s_Irr!AP15&lt;&gt;".",s_Irr!BO15&lt;&gt;"."),s_dir!R15/((1/1000)*(s_Irr!Q15+s_Irr!AP15+s_Irr!BO15)),IF(AND(s_Irr!Q15&lt;&gt;".",s_Irr!AP15&lt;&gt;".",s_Irr!BO15="."),s_dir!R15/((1/1000)*(s_Irr!Q15+s_Irr!AP15)),IF(AND(s_Irr!Q15&lt;&gt;".",s_Irr!AP15=".",s_Irr!BO15&lt;&gt;"."),s_dir!R15/((1/1000)*(s_Irr!Q15+s_Irr!BO15)),IF(AND(s_Irr!Q15=".",s_Irr!AP15&lt;&gt;".",s_Irr!BO15&lt;&gt;"."),s_dir!R15/((1/1000)*(s_Irr!AP15+s_Irr!BO15)),IF(AND(s_Irr!Q15=".",s_Irr!AP15=".",s_Irr!BO15&lt;&gt;"."),s_dir!R15/((1/1000)*(s_Irr!BO15)),IF(AND(s_Irr!Q15=".",s_Irr!AP15&lt;&gt;".",s_Irr!BO15="."),s_dir!R15/((1/1000)*(s_Irr!AP15)),IF(AND(s_Irr!Q15&lt;&gt;".",s_Irr!AP15=".",s_Irr!BO15="."),s_dir!R15/((1/1000)*(s_Irr!Q15)),IF(AND(s_Irr!Q15=".",s_Irr!AP15=".",s_Irr!BO15="."),s_dir!R15*1000)))))))),".")</f>
        <v>874067.74488711066</v>
      </c>
      <c r="S15" s="70">
        <f>IFERROR(IF(AND(s_Irr!R15&lt;&gt;".",s_Irr!AQ15&lt;&gt;".",s_Irr!BP15&lt;&gt;"."),s_dir!S15/((1/1000)*(s_Irr!R15+s_Irr!AQ15+s_Irr!BP15)),IF(AND(s_Irr!R15&lt;&gt;".",s_Irr!AQ15&lt;&gt;".",s_Irr!BP15="."),s_dir!S15/((1/1000)*(s_Irr!R15+s_Irr!AQ15)),IF(AND(s_Irr!R15&lt;&gt;".",s_Irr!AQ15=".",s_Irr!BP15&lt;&gt;"."),s_dir!S15/((1/1000)*(s_Irr!R15+s_Irr!BP15)),IF(AND(s_Irr!R15=".",s_Irr!AQ15&lt;&gt;".",s_Irr!BP15&lt;&gt;"."),s_dir!S15/((1/1000)*(s_Irr!AQ15+s_Irr!BP15)),IF(AND(s_Irr!R15=".",s_Irr!AQ15=".",s_Irr!BP15&lt;&gt;"."),s_dir!S15/((1/1000)*(s_Irr!BP15)),IF(AND(s_Irr!R15=".",s_Irr!AQ15&lt;&gt;".",s_Irr!BP15="."),s_dir!S15/((1/1000)*(s_Irr!AQ15)),IF(AND(s_Irr!R15&lt;&gt;".",s_Irr!AQ15=".",s_Irr!BP15="."),s_dir!S15/((1/1000)*(s_Irr!R15)),IF(AND(s_Irr!R15=".",s_Irr!AQ15=".",s_Irr!BP15="."),s_dir!S15*1000)))))))),".")</f>
        <v>874067.74488711066</v>
      </c>
      <c r="T15" s="70">
        <f>IFERROR(IF(AND(s_Irr!S15&lt;&gt;".",s_Irr!AR15&lt;&gt;".",s_Irr!BQ15&lt;&gt;"."),s_dir!T15/((1/1000)*(s_Irr!S15+s_Irr!AR15+s_Irr!BQ15)),IF(AND(s_Irr!S15&lt;&gt;".",s_Irr!AR15&lt;&gt;".",s_Irr!BQ15="."),s_dir!T15/((1/1000)*(s_Irr!S15+s_Irr!AR15)),IF(AND(s_Irr!S15&lt;&gt;".",s_Irr!AR15=".",s_Irr!BQ15&lt;&gt;"."),s_dir!T15/((1/1000)*(s_Irr!S15+s_Irr!BQ15)),IF(AND(s_Irr!S15=".",s_Irr!AR15&lt;&gt;".",s_Irr!BQ15&lt;&gt;"."),s_dir!T15/((1/1000)*(s_Irr!AR15+s_Irr!BQ15)),IF(AND(s_Irr!S15=".",s_Irr!AR15=".",s_Irr!BQ15&lt;&gt;"."),s_dir!T15/((1/1000)*(s_Irr!BQ15)),IF(AND(s_Irr!S15=".",s_Irr!AR15&lt;&gt;".",s_Irr!BQ15="."),s_dir!T15/((1/1000)*(s_Irr!AR15)),IF(AND(s_Irr!S15&lt;&gt;".",s_Irr!AR15=".",s_Irr!BQ15="."),s_dir!T15/((1/1000)*(s_Irr!S15)),IF(AND(s_Irr!S15=".",s_Irr!AR15=".",s_Irr!BQ15="."),s_dir!T15*1000)))))))),".")</f>
        <v>938090.57693891937</v>
      </c>
      <c r="U15" s="70">
        <f>IFERROR(IF(AND(s_Irr!T15&lt;&gt;".",s_Irr!AS15&lt;&gt;".",s_Irr!BR15&lt;&gt;"."),s_dir!U15/((1/1000)*(s_Irr!T15+s_Irr!AS15+s_Irr!BR15)),IF(AND(s_Irr!T15&lt;&gt;".",s_Irr!AS15&lt;&gt;".",s_Irr!BR15="."),s_dir!U15/((1/1000)*(s_Irr!T15+s_Irr!AS15)),IF(AND(s_Irr!T15&lt;&gt;".",s_Irr!AS15=".",s_Irr!BR15&lt;&gt;"."),s_dir!U15/((1/1000)*(s_Irr!T15+s_Irr!BR15)),IF(AND(s_Irr!T15=".",s_Irr!AS15&lt;&gt;".",s_Irr!BR15&lt;&gt;"."),s_dir!U15/((1/1000)*(s_Irr!AS15+s_Irr!BR15)),IF(AND(s_Irr!T15=".",s_Irr!AS15=".",s_Irr!BR15&lt;&gt;"."),s_dir!U15/((1/1000)*(s_Irr!BR15)),IF(AND(s_Irr!T15=".",s_Irr!AS15&lt;&gt;".",s_Irr!BR15="."),s_dir!U15/((1/1000)*(s_Irr!AS15)),IF(AND(s_Irr!T15&lt;&gt;".",s_Irr!AS15=".",s_Irr!BR15="."),s_dir!U15/((1/1000)*(s_Irr!T15)),IF(AND(s_Irr!T15=".",s_Irr!AS15=".",s_Irr!BR15="."),s_dir!U15*1000)))))))),".")</f>
        <v>814902.3427749296</v>
      </c>
      <c r="V15" s="70">
        <f>IFERROR(IF(AND(s_Irr!U15&lt;&gt;".",s_Irr!AT15&lt;&gt;".",s_Irr!BS15&lt;&gt;"."),s_dir!V15/((1/1000)*(s_Irr!U15+s_Irr!AT15+s_Irr!BS15)),IF(AND(s_Irr!U15&lt;&gt;".",s_Irr!AT15&lt;&gt;".",s_Irr!BS15="."),s_dir!V15/((1/1000)*(s_Irr!U15+s_Irr!AT15)),IF(AND(s_Irr!U15&lt;&gt;".",s_Irr!AT15=".",s_Irr!BS15&lt;&gt;"."),s_dir!V15/((1/1000)*(s_Irr!U15+s_Irr!BS15)),IF(AND(s_Irr!U15=".",s_Irr!AT15&lt;&gt;".",s_Irr!BS15&lt;&gt;"."),s_dir!V15/((1/1000)*(s_Irr!AT15+s_Irr!BS15)),IF(AND(s_Irr!U15=".",s_Irr!AT15=".",s_Irr!BS15&lt;&gt;"."),s_dir!V15/((1/1000)*(s_Irr!BS15)),IF(AND(s_Irr!U15=".",s_Irr!AT15&lt;&gt;".",s_Irr!BS15="."),s_dir!V15/((1/1000)*(s_Irr!AT15)),IF(AND(s_Irr!U15&lt;&gt;".",s_Irr!AT15=".",s_Irr!BS15="."),s_dir!V15/((1/1000)*(s_Irr!U15)),IF(AND(s_Irr!U15=".",s_Irr!AT15=".",s_Irr!BS15="."),s_dir!V15*1000)))))))),".")</f>
        <v>997142.31322218257</v>
      </c>
      <c r="W15" s="70">
        <f>IFERROR(IF(AND(s_Irr!V15&lt;&gt;".",s_Irr!AU15&lt;&gt;".",s_Irr!BT15&lt;&gt;"."),s_dir!W15/((1/1000)*(s_Irr!V15+s_Irr!AU15+s_Irr!BT15)),IF(AND(s_Irr!V15&lt;&gt;".",s_Irr!AU15&lt;&gt;".",s_Irr!BT15="."),s_dir!W15/((1/1000)*(s_Irr!V15+s_Irr!AU15)),IF(AND(s_Irr!V15&lt;&gt;".",s_Irr!AU15=".",s_Irr!BT15&lt;&gt;"."),s_dir!W15/((1/1000)*(s_Irr!V15+s_Irr!BT15)),IF(AND(s_Irr!V15=".",s_Irr!AU15&lt;&gt;".",s_Irr!BT15&lt;&gt;"."),s_dir!W15/((1/1000)*(s_Irr!AU15+s_Irr!BT15)),IF(AND(s_Irr!V15=".",s_Irr!AU15=".",s_Irr!BT15&lt;&gt;"."),s_dir!W15/((1/1000)*(s_Irr!BT15)),IF(AND(s_Irr!V15=".",s_Irr!AU15&lt;&gt;".",s_Irr!BT15="."),s_dir!W15/((1/1000)*(s_Irr!AU15)),IF(AND(s_Irr!V15&lt;&gt;".",s_Irr!AU15=".",s_Irr!BT15="."),s_dir!W15/((1/1000)*(s_Irr!V15)),IF(AND(s_Irr!V15=".",s_Irr!AU15=".",s_Irr!BT15="."),s_dir!W15*1000)))))))),".")</f>
        <v>814902.3427749296</v>
      </c>
      <c r="X15" s="70">
        <f>IFERROR(IF(AND(s_Irr!W15&lt;&gt;".",s_Irr!AV15&lt;&gt;".",s_Irr!BU15&lt;&gt;"."),s_dir!X15/((1/1000)*(s_Irr!W15+s_Irr!AV15+s_Irr!BU15)),IF(AND(s_Irr!W15&lt;&gt;".",s_Irr!AV15&lt;&gt;".",s_Irr!BU15="."),s_dir!X15/((1/1000)*(s_Irr!W15+s_Irr!AV15)),IF(AND(s_Irr!W15&lt;&gt;".",s_Irr!AV15=".",s_Irr!BU15&lt;&gt;"."),s_dir!X15/((1/1000)*(s_Irr!W15+s_Irr!BU15)),IF(AND(s_Irr!W15=".",s_Irr!AV15&lt;&gt;".",s_Irr!BU15&lt;&gt;"."),s_dir!X15/((1/1000)*(s_Irr!AV15+s_Irr!BU15)),IF(AND(s_Irr!W15=".",s_Irr!AV15=".",s_Irr!BU15&lt;&gt;"."),s_dir!X15/((1/1000)*(s_Irr!BU15)),IF(AND(s_Irr!W15=".",s_Irr!AV15&lt;&gt;".",s_Irr!BU15="."),s_dir!X15/((1/1000)*(s_Irr!AV15)),IF(AND(s_Irr!W15&lt;&gt;".",s_Irr!AV15=".",s_Irr!BU15="."),s_dir!X15/((1/1000)*(s_Irr!W15)),IF(AND(s_Irr!W15=".",s_Irr!AV15=".",s_Irr!BU15="."),s_dir!X15*1000)))))))),".")</f>
        <v>938090.57693891937</v>
      </c>
      <c r="Y15" s="70">
        <f>IFERROR(IF(AND(s_Irr!X15&lt;&gt;".",s_Irr!AW15&lt;&gt;".",s_Irr!BV15&lt;&gt;"."),s_dir!Y15/((1/1000)*(s_Irr!X15+s_Irr!AW15+s_Irr!BV15)),IF(AND(s_Irr!X15&lt;&gt;".",s_Irr!AW15&lt;&gt;".",s_Irr!BV15="."),s_dir!Y15/((1/1000)*(s_Irr!X15+s_Irr!AW15)),IF(AND(s_Irr!X15&lt;&gt;".",s_Irr!AW15=".",s_Irr!BV15&lt;&gt;"."),s_dir!Y15/((1/1000)*(s_Irr!X15+s_Irr!BV15)),IF(AND(s_Irr!X15=".",s_Irr!AW15&lt;&gt;".",s_Irr!BV15&lt;&gt;"."),s_dir!Y15/((1/1000)*(s_Irr!AW15+s_Irr!BV15)),IF(AND(s_Irr!X15=".",s_Irr!AW15=".",s_Irr!BV15&lt;&gt;"."),s_dir!Y15/((1/1000)*(s_Irr!BV15)),IF(AND(s_Irr!X15=".",s_Irr!AW15&lt;&gt;".",s_Irr!BV15="."),s_dir!Y15/((1/1000)*(s_Irr!AW15)),IF(AND(s_Irr!X15&lt;&gt;".",s_Irr!AW15=".",s_Irr!BV15="."),s_dir!Y15/((1/1000)*(s_Irr!X15)),IF(AND(s_Irr!X15=".",s_Irr!AW15=".",s_Irr!BV15="."),s_dir!Y15*1000)))))))),".")</f>
        <v>874067.74488711066</v>
      </c>
      <c r="Z15" s="70">
        <f>IFERROR(IF(AND(s_Irr!Y15&lt;&gt;".",s_Irr!AX15&lt;&gt;".",s_Irr!BW15&lt;&gt;"."),s_dir!Z15/((1/1000)*(s_Irr!Y15+s_Irr!AX15+s_Irr!BW15)),IF(AND(s_Irr!Y15&lt;&gt;".",s_Irr!AX15&lt;&gt;".",s_Irr!BW15="."),s_dir!Z15/((1/1000)*(s_Irr!Y15+s_Irr!AX15)),IF(AND(s_Irr!Y15&lt;&gt;".",s_Irr!AX15=".",s_Irr!BW15&lt;&gt;"."),s_dir!Z15/((1/1000)*(s_Irr!Y15+s_Irr!BW15)),IF(AND(s_Irr!Y15=".",s_Irr!AX15&lt;&gt;".",s_Irr!BW15&lt;&gt;"."),s_dir!Z15/((1/1000)*(s_Irr!AX15+s_Irr!BW15)),IF(AND(s_Irr!Y15=".",s_Irr!AX15=".",s_Irr!BW15&lt;&gt;"."),s_dir!Z15/((1/1000)*(s_Irr!BW15)),IF(AND(s_Irr!Y15=".",s_Irr!AX15&lt;&gt;".",s_Irr!BW15="."),s_dir!Z15/((1/1000)*(s_Irr!AX15)),IF(AND(s_Irr!Y15&lt;&gt;".",s_Irr!AX15=".",s_Irr!BW15="."),s_dir!Z15/((1/1000)*(s_Irr!Y15)),IF(AND(s_Irr!Y15=".",s_Irr!AX15=".",s_Irr!BW15="."),s_dir!Z15*1000)))))))),".")</f>
        <v>814902.3427749296</v>
      </c>
      <c r="AA15" s="70">
        <f>IFERROR(IF(AND(s_Irr!Z15&lt;&gt;".",s_Irr!AY15&lt;&gt;".",s_Irr!BX15&lt;&gt;"."),s_dir!AA15/((1/1000)*(s_Irr!Z15+s_Irr!AY15+s_Irr!BX15)),IF(AND(s_Irr!Z15&lt;&gt;".",s_Irr!AY15&lt;&gt;".",s_Irr!BX15="."),s_dir!AA15/((1/1000)*(s_Irr!Z15+s_Irr!AY15)),IF(AND(s_Irr!Z15&lt;&gt;".",s_Irr!AY15=".",s_Irr!BX15&lt;&gt;"."),s_dir!AA15/((1/1000)*(s_Irr!Z15+s_Irr!BX15)),IF(AND(s_Irr!Z15=".",s_Irr!AY15&lt;&gt;".",s_Irr!BX15&lt;&gt;"."),s_dir!AA15/((1/1000)*(s_Irr!AY15+s_Irr!BX15)),IF(AND(s_Irr!Z15=".",s_Irr!AY15=".",s_Irr!BX15&lt;&gt;"."),s_dir!AA15/((1/1000)*(s_Irr!BX15)),IF(AND(s_Irr!Z15=".",s_Irr!AY15&lt;&gt;".",s_Irr!BX15="."),s_dir!AA15/((1/1000)*(s_Irr!AY15)),IF(AND(s_Irr!Z15&lt;&gt;".",s_Irr!AY15=".",s_Irr!BX15="."),s_dir!AA15/((1/1000)*(s_Irr!Z15)),IF(AND(s_Irr!Z15=".",s_Irr!AY15=".",s_Irr!BX15="."),s_dir!AA15*1000)))))))),".")</f>
        <v>1017538.0946462078</v>
      </c>
      <c r="AB15" s="70">
        <f>IFERROR(IF(AND(s_Irr!AA15&lt;&gt;".",s_Irr!AZ15&lt;&gt;".",s_Irr!BY15&lt;&gt;"."),s_dir!AB15/((1/1000)*(s_Irr!AA15+s_Irr!AZ15+s_Irr!BY15)),IF(AND(s_Irr!AA15&lt;&gt;".",s_Irr!AZ15&lt;&gt;".",s_Irr!BY15="."),s_dir!AB15/((1/1000)*(s_Irr!AA15+s_Irr!AZ15)),IF(AND(s_Irr!AA15&lt;&gt;".",s_Irr!AZ15=".",s_Irr!BY15&lt;&gt;"."),s_dir!AB15/((1/1000)*(s_Irr!AA15+s_Irr!BY15)),IF(AND(s_Irr!AA15=".",s_Irr!AZ15&lt;&gt;".",s_Irr!BY15&lt;&gt;"."),s_dir!AB15/((1/1000)*(s_Irr!AZ15+s_Irr!BY15)),IF(AND(s_Irr!AA15=".",s_Irr!AZ15=".",s_Irr!BY15&lt;&gt;"."),s_dir!AB15/((1/1000)*(s_Irr!BY15)),IF(AND(s_Irr!AA15=".",s_Irr!AZ15&lt;&gt;".",s_Irr!BY15="."),s_dir!AB15/((1/1000)*(s_Irr!AZ15)),IF(AND(s_Irr!AA15&lt;&gt;".",s_Irr!AZ15=".",s_Irr!BY15="."),s_dir!AB15/((1/1000)*(s_Irr!AA15)),IF(AND(s_Irr!AA15=".",s_Irr!AZ15=".",s_Irr!BY15="."),s_dir!AB15*1000)))))))),".")</f>
        <v>861557.19601053547</v>
      </c>
      <c r="AC15" s="87">
        <f t="shared" si="4"/>
        <v>408.36048903703033</v>
      </c>
      <c r="AD15" s="87">
        <f>IFERROR(s_C*s_IFAP_res_adj*s_CF_apple*0.001*(s_Irr!C15+s_Irr!AB15+s_Irr!BA15),".")</f>
        <v>103.48385260743784</v>
      </c>
      <c r="AE15" s="87">
        <f>IFERROR(s_C*s_IFAS_res_adj*s_CF_asparagus*0.001*(s_Irr!D15+s_Irr!AC15+s_Irr!BB15),".")</f>
        <v>208.67104869651413</v>
      </c>
      <c r="AF15" s="87">
        <f>IFERROR(s_C*s_IFBT_res_adj*s_CF_beet*0.001*(s_Irr!E15+s_Irr!AD15+s_Irr!BC15),".")</f>
        <v>110.99722375665758</v>
      </c>
      <c r="AG15" s="87">
        <f>IFERROR(s_C*s_IFBE_res_adj*s_CF_berries*0.001*(s_Irr!F15+s_Irr!AE15+s_Irr!BD15),".")</f>
        <v>103.48385260743784</v>
      </c>
      <c r="AH15" s="87">
        <f>IFERROR(s_C*s_IFBR_res_adj*s_CF_broccoli*0.001*(s_Irr!G15+s_Irr!AF15+s_Irr!BE15),".")</f>
        <v>110.99722375665758</v>
      </c>
      <c r="AI15" s="87">
        <f>IFERROR(s_C*s_IFCB_res_adj*s_CF_cabbage*0.001*(s_Irr!H15+s_Irr!AG15+s_Irr!BF15),".")</f>
        <v>208.67104869651413</v>
      </c>
      <c r="AJ15" s="87">
        <f>IFERROR(s_C*s_IFCR_res_adj*s_CF_carrot*0.001*(s_Irr!I15+s_Irr!AH15+s_Irr!BG15),".")</f>
        <v>110.99722375665758</v>
      </c>
      <c r="AK15" s="87">
        <f>IFERROR(s_C*s_IFCI_res_adj*s_CF_citrus*0.001*(s_Irr!J15+s_Irr!AI15+s_Irr!BH15),".")</f>
        <v>103.48385260743784</v>
      </c>
      <c r="AL15" s="87">
        <f>IFERROR(s_C*s_IFCO_res_adj*s_CF_corn*0.001*(s_Irr!K15+s_Irr!AJ15+s_Irr!BI15),".")</f>
        <v>90.260319384811112</v>
      </c>
      <c r="AM15" s="87">
        <f>IFERROR(s_C*s_IFCU_res_adj*s_CF_cucumber*0.001*(s_Irr!L15+s_Irr!AK15+s_Irr!BJ15),".")</f>
        <v>110.99722375665758</v>
      </c>
      <c r="AN15" s="87">
        <f>IFERROR(s_C*s_IFLE_res_adj*s_CF_lettuce*0.001*(s_Irr!M15+s_Irr!AL15+s_Irr!BK15),".")</f>
        <v>208.67104869651413</v>
      </c>
      <c r="AO15" s="87">
        <f>IFERROR(s_C*s_IFLI_res_adj*s_CF_lima_bean*0.001*(s_Irr!N15+s_Irr!AM15+s_Irr!BL15),".")</f>
        <v>96.421283727171286</v>
      </c>
      <c r="AP15" s="87">
        <f>IFERROR(s_C*s_IFOK_res_adj*s_CF_okra*0.001*(s_Irr!O15+s_Irr!AN15+s_Irr!BM15),".")</f>
        <v>110.99722375665758</v>
      </c>
      <c r="AQ15" s="87">
        <f>IFERROR(s_C*s_IFON_res_adj*s_CF_onion*0.001*(s_Irr!P15+s_Irr!AO15+s_Irr!BN15),".")</f>
        <v>110.99722375665758</v>
      </c>
      <c r="AR15" s="87">
        <f>IFERROR(s_C*s_IFPC_res_adj*s_CF_peach*0.001*(s_Irr!Q15+s_Irr!AP15+s_Irr!BO15),".")</f>
        <v>103.48385260743784</v>
      </c>
      <c r="AS15" s="87">
        <f>IFERROR(s_C*s_IFPR_res_adj*s_CF_pear*0.001*(s_Irr!R15+s_Irr!AQ15+s_Irr!BP15),".")</f>
        <v>103.48385260743784</v>
      </c>
      <c r="AT15" s="87">
        <f>IFERROR(s_C*s_IFPE_res_adj*s_CF_peas*0.001*(s_Irr!S15+s_Irr!AR15+s_Irr!BQ15),".")</f>
        <v>96.421283727171286</v>
      </c>
      <c r="AU15" s="87">
        <f>IFERROR(s_C*s_IFPP_res_adj*s_CF_peppers*0.001*(s_Irr!T15+s_Irr!AS15+s_Irr!BR15),".")</f>
        <v>110.99722375665758</v>
      </c>
      <c r="AV15" s="87">
        <f>IFERROR(s_C*s_IFPT_res_adj*s_CF_potato*0.001*(s_Irr!U15+s_Irr!AT15+s_Irr!BS15),".")</f>
        <v>90.711121653764295</v>
      </c>
      <c r="AW15" s="87">
        <f>IFERROR(s_C*s_IFPU_res_adj*s_CF_pumpkin*0.001*(s_Irr!V15+s_Irr!AU15+s_Irr!BT15),".")</f>
        <v>110.99722375665758</v>
      </c>
      <c r="AX15" s="87">
        <f>IFERROR(s_C*s_IFSN_res_adj*s_CF_snap_bean*0.001*(s_Irr!W15+s_Irr!AV15+s_Irr!BU15),".")</f>
        <v>96.421283727171286</v>
      </c>
      <c r="AY15" s="87">
        <f>IFERROR(s_C*s_IFST_res_adj*s_CF_strawberry*0.001*(s_Irr!X15+s_Irr!AW15+s_Irr!BV15),".")</f>
        <v>103.48385260743784</v>
      </c>
      <c r="AZ15" s="87">
        <f>IFERROR(s_C*s_IFTO_res_adj*s_CF_tomato*0.001*(s_Irr!Y15+s_Irr!AX15+s_Irr!BW15),".")</f>
        <v>110.99722375665758</v>
      </c>
      <c r="BA15" s="87">
        <f>IFERROR(s_C*s_IFRI_res_adj*s_CF_rice*0.001*(s_Irr!Z15+s_Irr!AY15+s_Irr!BX15),".")</f>
        <v>88.892885835653118</v>
      </c>
      <c r="BB15" s="87">
        <f>IFERROR(s_C*s_IFCG_res_adj*s_CF_cereal*0.001*(s_Irr!AA15+s_Irr!AZ15+s_Irr!BY15),".")</f>
        <v>104.98652683728179</v>
      </c>
      <c r="BC15" s="70">
        <f t="shared" si="1"/>
        <v>221500.1208714174</v>
      </c>
      <c r="BD15" s="70">
        <f>IFERROR(IF(AND(s_Irr!C15&lt;&gt;".",s_Irr!AB15&lt;&gt;".",s_Irr!BA15&lt;&gt;"."),s_dir!AD15/((1/1000)*(s_Irr!C15+s_Irr!AB15+s_Irr!BA15)),IF(AND(s_Irr!C15&lt;&gt;".",s_Irr!AB15&lt;&gt;".",s_Irr!BA15="."),s_dir!AD15/((1/1000)*(s_Irr!C15+s_Irr!AB15)),IF(AND(s_Irr!C15&lt;&gt;".",s_Irr!AB15=".",s_Irr!BA15&lt;&gt;"."),s_dir!AD15/((1/1000)*(s_Irr!C15+s_Irr!BA15)),IF(AND(s_Irr!C15=".",s_Irr!AB15&lt;&gt;".",s_Irr!BA15&lt;&gt;"."),s_dir!AD15/((1/1000)*(s_Irr!AB15+s_Irr!BA15)),IF(AND(s_Irr!C15=".",s_Irr!AB15=".",s_Irr!BA15&lt;&gt;"."),s_dir!AD15/((1/1000)*(s_Irr!BA15)),IF(AND(s_Irr!C15=".",s_Irr!AB15&lt;&gt;".",s_Irr!BA15="."),s_dir!AD15/((1/1000)*(s_Irr!AB15)),IF(AND(s_Irr!C15&lt;&gt;".",s_Irr!AB15=".",s_Irr!BA15="."),s_dir!AD15/((1/1000)*(s_Irr!C15)),IF(AND(s_Irr!C15=".",s_Irr!AB15=".",s_Irr!BA15="."),s_dir!AD15*1000)))))))),".")</f>
        <v>874067.74488711066</v>
      </c>
      <c r="BE15" s="70">
        <f>IFERROR(IF(AND(s_Irr!D15&lt;&gt;".",s_Irr!AC15&lt;&gt;".",s_Irr!BB15&lt;&gt;"."),s_dir!AE15/((1/1000)*(s_Irr!D15+s_Irr!AC15+s_Irr!BB15)),IF(AND(s_Irr!D15&lt;&gt;".",s_Irr!AC15&lt;&gt;".",s_Irr!BB15="."),s_dir!AE15/((1/1000)*(s_Irr!D15+s_Irr!AC15)),IF(AND(s_Irr!D15&lt;&gt;".",s_Irr!AC15=".",s_Irr!BB15&lt;&gt;"."),s_dir!AE15/((1/1000)*(s_Irr!D15+s_Irr!BB15)),IF(AND(s_Irr!D15=".",s_Irr!AC15&lt;&gt;".",s_Irr!BB15&lt;&gt;"."),s_dir!AE15/((1/1000)*(s_Irr!AC15+s_Irr!BB15)),IF(AND(s_Irr!D15=".",s_Irr!AC15=".",s_Irr!BB15&lt;&gt;"."),s_dir!AE15/((1/1000)*(s_Irr!BB15)),IF(AND(s_Irr!D15=".",s_Irr!AC15&lt;&gt;".",s_Irr!BB15="."),s_dir!AE15/((1/1000)*(s_Irr!AC15)),IF(AND(s_Irr!D15&lt;&gt;".",s_Irr!AC15=".",s_Irr!BB15="."),s_dir!AE15/((1/1000)*(s_Irr!D15)),IF(AND(s_Irr!D15=".",s_Irr!AC15=".",s_Irr!BB15="."),s_dir!AE15*1000)))))))),".")</f>
        <v>433466.44513376785</v>
      </c>
      <c r="BF15" s="70">
        <f>IFERROR(IF(AND(s_Irr!E15&lt;&gt;".",s_Irr!AD15&lt;&gt;".",s_Irr!BC15&lt;&gt;"."),s_dir!AF15/((1/1000)*(s_Irr!E15+s_Irr!AD15+s_Irr!BC15)),IF(AND(s_Irr!E15&lt;&gt;".",s_Irr!AD15&lt;&gt;".",s_Irr!BC15="."),s_dir!AF15/((1/1000)*(s_Irr!E15+s_Irr!AD15)),IF(AND(s_Irr!E15&lt;&gt;".",s_Irr!AD15=".",s_Irr!BC15&lt;&gt;"."),s_dir!AF15/((1/1000)*(s_Irr!E15+s_Irr!BC15)),IF(AND(s_Irr!E15=".",s_Irr!AD15&lt;&gt;".",s_Irr!BC15&lt;&gt;"."),s_dir!AF15/((1/1000)*(s_Irr!AD15+s_Irr!BC15)),IF(AND(s_Irr!E15=".",s_Irr!AD15=".",s_Irr!BC15&lt;&gt;"."),s_dir!AF15/((1/1000)*(s_Irr!BC15)),IF(AND(s_Irr!E15=".",s_Irr!AD15&lt;&gt;".",s_Irr!BC15="."),s_dir!AF15/((1/1000)*(s_Irr!AD15)),IF(AND(s_Irr!E15&lt;&gt;".",s_Irr!AD15=".",s_Irr!BC15="."),s_dir!AF15/((1/1000)*(s_Irr!E15)),IF(AND(s_Irr!E15=".",s_Irr!AD15=".",s_Irr!BC15="."),s_dir!AF15*1000)))))))),".")</f>
        <v>814902.3427749296</v>
      </c>
      <c r="BG15" s="70">
        <f>IFERROR(IF(AND(s_Irr!F15&lt;&gt;".",s_Irr!AE15&lt;&gt;".",s_Irr!BD15&lt;&gt;"."),s_dir!AG15/((1/1000)*(s_Irr!F15+s_Irr!AE15+s_Irr!BD15)),IF(AND(s_Irr!F15&lt;&gt;".",s_Irr!AE15&lt;&gt;".",s_Irr!BD15="."),s_dir!AG15/((1/1000)*(s_Irr!F15+s_Irr!AE15)),IF(AND(s_Irr!F15&lt;&gt;".",s_Irr!AE15=".",s_Irr!BD15&lt;&gt;"."),s_dir!AG15/((1/1000)*(s_Irr!F15+s_Irr!BD15)),IF(AND(s_Irr!F15=".",s_Irr!AE15&lt;&gt;".",s_Irr!BD15&lt;&gt;"."),s_dir!AG15/((1/1000)*(s_Irr!AE15+s_Irr!BD15)),IF(AND(s_Irr!F15=".",s_Irr!AE15=".",s_Irr!BD15&lt;&gt;"."),s_dir!AG15/((1/1000)*(s_Irr!BD15)),IF(AND(s_Irr!F15=".",s_Irr!AE15&lt;&gt;".",s_Irr!BD15="."),s_dir!AG15/((1/1000)*(s_Irr!AE15)),IF(AND(s_Irr!F15&lt;&gt;".",s_Irr!AE15=".",s_Irr!BD15="."),s_dir!AG15/((1/1000)*(s_Irr!F15)),IF(AND(s_Irr!F15=".",s_Irr!AE15=".",s_Irr!BD15="."),s_dir!AG15*1000)))))))),".")</f>
        <v>874067.74488711066</v>
      </c>
      <c r="BH15" s="70">
        <f>IFERROR(IF(AND(s_Irr!G15&lt;&gt;".",s_Irr!AF15&lt;&gt;".",s_Irr!BE15&lt;&gt;"."),s_dir!AH15/((1/1000)*(s_Irr!G15+s_Irr!AF15+s_Irr!BE15)),IF(AND(s_Irr!G15&lt;&gt;".",s_Irr!AF15&lt;&gt;".",s_Irr!BE15="."),s_dir!AH15/((1/1000)*(s_Irr!G15+s_Irr!AF15)),IF(AND(s_Irr!G15&lt;&gt;".",s_Irr!AF15=".",s_Irr!BE15&lt;&gt;"."),s_dir!AH15/((1/1000)*(s_Irr!G15+s_Irr!BE15)),IF(AND(s_Irr!G15=".",s_Irr!AF15&lt;&gt;".",s_Irr!BE15&lt;&gt;"."),s_dir!AH15/((1/1000)*(s_Irr!AF15+s_Irr!BE15)),IF(AND(s_Irr!G15=".",s_Irr!AF15=".",s_Irr!BE15&lt;&gt;"."),s_dir!AH15/((1/1000)*(s_Irr!BE15)),IF(AND(s_Irr!G15=".",s_Irr!AF15&lt;&gt;".",s_Irr!BE15="."),s_dir!AH15/((1/1000)*(s_Irr!AF15)),IF(AND(s_Irr!G15&lt;&gt;".",s_Irr!AF15=".",s_Irr!BE15="."),s_dir!AH15/((1/1000)*(s_Irr!G15)),IF(AND(s_Irr!G15=".",s_Irr!AF15=".",s_Irr!BE15="."),s_dir!AH15*1000)))))))),".")</f>
        <v>814902.3427749296</v>
      </c>
      <c r="BI15" s="70">
        <f>IFERROR(IF(AND(s_Irr!H15&lt;&gt;".",s_Irr!AG15&lt;&gt;".",s_Irr!BF15&lt;&gt;"."),s_dir!AI15/((1/1000)*(s_Irr!H15+s_Irr!AG15+s_Irr!BF15)),IF(AND(s_Irr!H15&lt;&gt;".",s_Irr!AG15&lt;&gt;".",s_Irr!BF15="."),s_dir!AI15/((1/1000)*(s_Irr!H15+s_Irr!AG15)),IF(AND(s_Irr!H15&lt;&gt;".",s_Irr!AG15=".",s_Irr!BF15&lt;&gt;"."),s_dir!AI15/((1/1000)*(s_Irr!H15+s_Irr!BF15)),IF(AND(s_Irr!H15=".",s_Irr!AG15&lt;&gt;".",s_Irr!BF15&lt;&gt;"."),s_dir!AI15/((1/1000)*(s_Irr!AG15+s_Irr!BF15)),IF(AND(s_Irr!H15=".",s_Irr!AG15=".",s_Irr!BF15&lt;&gt;"."),s_dir!AI15/((1/1000)*(s_Irr!BF15)),IF(AND(s_Irr!H15=".",s_Irr!AG15&lt;&gt;".",s_Irr!BF15="."),s_dir!AI15/((1/1000)*(s_Irr!AG15)),IF(AND(s_Irr!H15&lt;&gt;".",s_Irr!AG15=".",s_Irr!BF15="."),s_dir!AI15/((1/1000)*(s_Irr!H15)),IF(AND(s_Irr!H15=".",s_Irr!AG15=".",s_Irr!BF15="."),s_dir!AI15*1000)))))))),".")</f>
        <v>433466.44513376785</v>
      </c>
      <c r="BJ15" s="70">
        <f>IFERROR(IF(AND(s_Irr!I15&lt;&gt;".",s_Irr!AH15&lt;&gt;".",s_Irr!BG15&lt;&gt;"."),s_dir!AJ15/((1/1000)*(s_Irr!I15+s_Irr!AH15+s_Irr!BG15)),IF(AND(s_Irr!I15&lt;&gt;".",s_Irr!AH15&lt;&gt;".",s_Irr!BG15="."),s_dir!AJ15/((1/1000)*(s_Irr!I15+s_Irr!AH15)),IF(AND(s_Irr!I15&lt;&gt;".",s_Irr!AH15=".",s_Irr!BG15&lt;&gt;"."),s_dir!AJ15/((1/1000)*(s_Irr!I15+s_Irr!BG15)),IF(AND(s_Irr!I15=".",s_Irr!AH15&lt;&gt;".",s_Irr!BG15&lt;&gt;"."),s_dir!AJ15/((1/1000)*(s_Irr!AH15+s_Irr!BG15)),IF(AND(s_Irr!I15=".",s_Irr!AH15=".",s_Irr!BG15&lt;&gt;"."),s_dir!AJ15/((1/1000)*(s_Irr!BG15)),IF(AND(s_Irr!I15=".",s_Irr!AH15&lt;&gt;".",s_Irr!BG15="."),s_dir!AJ15/((1/1000)*(s_Irr!AH15)),IF(AND(s_Irr!I15&lt;&gt;".",s_Irr!AH15=".",s_Irr!BG15="."),s_dir!AJ15/((1/1000)*(s_Irr!I15)),IF(AND(s_Irr!I15=".",s_Irr!AH15=".",s_Irr!BG15="."),s_dir!AJ15*1000)))))))),".")</f>
        <v>814902.3427749296</v>
      </c>
      <c r="BK15" s="70">
        <f>IFERROR(IF(AND(s_Irr!J15&lt;&gt;".",s_Irr!AI15&lt;&gt;".",s_Irr!BH15&lt;&gt;"."),s_dir!AK15/((1/1000)*(s_Irr!J15+s_Irr!AI15+s_Irr!BH15)),IF(AND(s_Irr!J15&lt;&gt;".",s_Irr!AI15&lt;&gt;".",s_Irr!BH15="."),s_dir!AK15/((1/1000)*(s_Irr!J15+s_Irr!AI15)),IF(AND(s_Irr!J15&lt;&gt;".",s_Irr!AI15=".",s_Irr!BH15&lt;&gt;"."),s_dir!AK15/((1/1000)*(s_Irr!J15+s_Irr!BH15)),IF(AND(s_Irr!J15=".",s_Irr!AI15&lt;&gt;".",s_Irr!BH15&lt;&gt;"."),s_dir!AK15/((1/1000)*(s_Irr!AI15+s_Irr!BH15)),IF(AND(s_Irr!J15=".",s_Irr!AI15=".",s_Irr!BH15&lt;&gt;"."),s_dir!AK15/((1/1000)*(s_Irr!BH15)),IF(AND(s_Irr!J15=".",s_Irr!AI15&lt;&gt;".",s_Irr!BH15="."),s_dir!AK15/((1/1000)*(s_Irr!AI15)),IF(AND(s_Irr!J15&lt;&gt;".",s_Irr!AI15=".",s_Irr!BH15="."),s_dir!AK15/((1/1000)*(s_Irr!J15)),IF(AND(s_Irr!J15=".",s_Irr!AI15=".",s_Irr!BH15="."),s_dir!AK15*1000)))))))),".")</f>
        <v>874067.74488711066</v>
      </c>
      <c r="BL15" s="70">
        <f>IFERROR(IF(AND(s_Irr!K15&lt;&gt;".",s_Irr!AJ15&lt;&gt;".",s_Irr!BI15&lt;&gt;"."),s_dir!AL15/((1/1000)*(s_Irr!K15+s_Irr!AJ15+s_Irr!BI15)),IF(AND(s_Irr!K15&lt;&gt;".",s_Irr!AJ15&lt;&gt;".",s_Irr!BI15="."),s_dir!AL15/((1/1000)*(s_Irr!K15+s_Irr!AJ15)),IF(AND(s_Irr!K15&lt;&gt;".",s_Irr!AJ15=".",s_Irr!BI15&lt;&gt;"."),s_dir!AL15/((1/1000)*(s_Irr!K15+s_Irr!BI15)),IF(AND(s_Irr!K15=".",s_Irr!AJ15&lt;&gt;".",s_Irr!BI15&lt;&gt;"."),s_dir!AL15/((1/1000)*(s_Irr!AJ15+s_Irr!BI15)),IF(AND(s_Irr!K15=".",s_Irr!AJ15=".",s_Irr!BI15&lt;&gt;"."),s_dir!AL15/((1/1000)*(s_Irr!BI15)),IF(AND(s_Irr!K15=".",s_Irr!AJ15&lt;&gt;".",s_Irr!BI15="."),s_dir!AL15/((1/1000)*(s_Irr!AJ15)),IF(AND(s_Irr!K15&lt;&gt;".",s_Irr!AJ15=".",s_Irr!BI15="."),s_dir!AL15/((1/1000)*(s_Irr!K15)),IF(AND(s_Irr!K15=".",s_Irr!AJ15=".",s_Irr!BI15="."),s_dir!AL15*1000)))))))),".")</f>
        <v>1002122.5085099186</v>
      </c>
      <c r="BM15" s="70">
        <f>IFERROR(IF(AND(s_Irr!L15&lt;&gt;".",s_Irr!AK15&lt;&gt;".",s_Irr!BJ15&lt;&gt;"."),s_dir!AM15/((1/1000)*(s_Irr!L15+s_Irr!AK15+s_Irr!BJ15)),IF(AND(s_Irr!L15&lt;&gt;".",s_Irr!AK15&lt;&gt;".",s_Irr!BJ15="."),s_dir!AM15/((1/1000)*(s_Irr!L15+s_Irr!AK15)),IF(AND(s_Irr!L15&lt;&gt;".",s_Irr!AK15=".",s_Irr!BJ15&lt;&gt;"."),s_dir!AM15/((1/1000)*(s_Irr!L15+s_Irr!BJ15)),IF(AND(s_Irr!L15=".",s_Irr!AK15&lt;&gt;".",s_Irr!BJ15&lt;&gt;"."),s_dir!AM15/((1/1000)*(s_Irr!AK15+s_Irr!BJ15)),IF(AND(s_Irr!L15=".",s_Irr!AK15=".",s_Irr!BJ15&lt;&gt;"."),s_dir!AM15/((1/1000)*(s_Irr!BJ15)),IF(AND(s_Irr!L15=".",s_Irr!AK15&lt;&gt;".",s_Irr!BJ15="."),s_dir!AM15/((1/1000)*(s_Irr!AK15)),IF(AND(s_Irr!L15&lt;&gt;".",s_Irr!AK15=".",s_Irr!BJ15="."),s_dir!AM15/((1/1000)*(s_Irr!L15)),IF(AND(s_Irr!L15=".",s_Irr!AK15=".",s_Irr!BJ15="."),s_dir!AM15*1000)))))))),".")</f>
        <v>814902.3427749296</v>
      </c>
      <c r="BN15" s="70">
        <f>IFERROR(IF(AND(s_Irr!M15&lt;&gt;".",s_Irr!AL15&lt;&gt;".",s_Irr!BK15&lt;&gt;"."),s_dir!AN15/((1/1000)*(s_Irr!M15+s_Irr!AL15+s_Irr!BK15)),IF(AND(s_Irr!M15&lt;&gt;".",s_Irr!AL15&lt;&gt;".",s_Irr!BK15="."),s_dir!AN15/((1/1000)*(s_Irr!M15+s_Irr!AL15)),IF(AND(s_Irr!M15&lt;&gt;".",s_Irr!AL15=".",s_Irr!BK15&lt;&gt;"."),s_dir!AN15/((1/1000)*(s_Irr!M15+s_Irr!BK15)),IF(AND(s_Irr!M15=".",s_Irr!AL15&lt;&gt;".",s_Irr!BK15&lt;&gt;"."),s_dir!AN15/((1/1000)*(s_Irr!AL15+s_Irr!BK15)),IF(AND(s_Irr!M15=".",s_Irr!AL15=".",s_Irr!BK15&lt;&gt;"."),s_dir!AN15/((1/1000)*(s_Irr!BK15)),IF(AND(s_Irr!M15=".",s_Irr!AL15&lt;&gt;".",s_Irr!BK15="."),s_dir!AN15/((1/1000)*(s_Irr!AL15)),IF(AND(s_Irr!M15&lt;&gt;".",s_Irr!AL15=".",s_Irr!BK15="."),s_dir!AN15/((1/1000)*(s_Irr!M15)),IF(AND(s_Irr!M15=".",s_Irr!AL15=".",s_Irr!BK15="."),s_dir!AN15*1000)))))))),".")</f>
        <v>433466.44513376785</v>
      </c>
      <c r="BO15" s="70">
        <f>IFERROR(IF(AND(s_Irr!N15&lt;&gt;".",s_Irr!AM15&lt;&gt;".",s_Irr!BL15&lt;&gt;"."),s_dir!AO15/((1/1000)*(s_Irr!N15+s_Irr!AM15+s_Irr!BL15)),IF(AND(s_Irr!N15&lt;&gt;".",s_Irr!AM15&lt;&gt;".",s_Irr!BL15="."),s_dir!AO15/((1/1000)*(s_Irr!N15+s_Irr!AM15)),IF(AND(s_Irr!N15&lt;&gt;".",s_Irr!AM15=".",s_Irr!BL15&lt;&gt;"."),s_dir!AO15/((1/1000)*(s_Irr!N15+s_Irr!BL15)),IF(AND(s_Irr!N15=".",s_Irr!AM15&lt;&gt;".",s_Irr!BL15&lt;&gt;"."),s_dir!AO15/((1/1000)*(s_Irr!AM15+s_Irr!BL15)),IF(AND(s_Irr!N15=".",s_Irr!AM15=".",s_Irr!BL15&lt;&gt;"."),s_dir!AO15/((1/1000)*(s_Irr!BL15)),IF(AND(s_Irr!N15=".",s_Irr!AM15&lt;&gt;".",s_Irr!BL15="."),s_dir!AO15/((1/1000)*(s_Irr!AM15)),IF(AND(s_Irr!N15&lt;&gt;".",s_Irr!AM15=".",s_Irr!BL15="."),s_dir!AO15/((1/1000)*(s_Irr!N15)),IF(AND(s_Irr!N15=".",s_Irr!AM15=".",s_Irr!BL15="."),s_dir!AO15*1000)))))))),".")</f>
        <v>938090.57693891937</v>
      </c>
      <c r="BP15" s="70">
        <f>IFERROR(IF(AND(s_Irr!O15&lt;&gt;".",s_Irr!AN15&lt;&gt;".",s_Irr!BM15&lt;&gt;"."),s_dir!AP15/((1/1000)*(s_Irr!O15+s_Irr!AN15+s_Irr!BM15)),IF(AND(s_Irr!O15&lt;&gt;".",s_Irr!AN15&lt;&gt;".",s_Irr!BM15="."),s_dir!AP15/((1/1000)*(s_Irr!O15+s_Irr!AN15)),IF(AND(s_Irr!O15&lt;&gt;".",s_Irr!AN15=".",s_Irr!BM15&lt;&gt;"."),s_dir!AP15/((1/1000)*(s_Irr!O15+s_Irr!BM15)),IF(AND(s_Irr!O15=".",s_Irr!AN15&lt;&gt;".",s_Irr!BM15&lt;&gt;"."),s_dir!AP15/((1/1000)*(s_Irr!AN15+s_Irr!BM15)),IF(AND(s_Irr!O15=".",s_Irr!AN15=".",s_Irr!BM15&lt;&gt;"."),s_dir!AP15/((1/1000)*(s_Irr!BM15)),IF(AND(s_Irr!O15=".",s_Irr!AN15&lt;&gt;".",s_Irr!BM15="."),s_dir!AP15/((1/1000)*(s_Irr!AN15)),IF(AND(s_Irr!O15&lt;&gt;".",s_Irr!AN15=".",s_Irr!BM15="."),s_dir!AP15/((1/1000)*(s_Irr!O15)),IF(AND(s_Irr!O15=".",s_Irr!AN15=".",s_Irr!BM15="."),s_dir!AP15*1000)))))))),".")</f>
        <v>814902.3427749296</v>
      </c>
      <c r="BQ15" s="70">
        <f>IFERROR(IF(AND(s_Irr!P15&lt;&gt;".",s_Irr!AO15&lt;&gt;".",s_Irr!BN15&lt;&gt;"."),s_dir!AQ15/((1/1000)*(s_Irr!P15+s_Irr!AO15+s_Irr!BN15)),IF(AND(s_Irr!P15&lt;&gt;".",s_Irr!AO15&lt;&gt;".",s_Irr!BN15="."),s_dir!AQ15/((1/1000)*(s_Irr!P15+s_Irr!AO15)),IF(AND(s_Irr!P15&lt;&gt;".",s_Irr!AO15=".",s_Irr!BN15&lt;&gt;"."),s_dir!AQ15/((1/1000)*(s_Irr!P15+s_Irr!BN15)),IF(AND(s_Irr!P15=".",s_Irr!AO15&lt;&gt;".",s_Irr!BN15&lt;&gt;"."),s_dir!AQ15/((1/1000)*(s_Irr!AO15+s_Irr!BN15)),IF(AND(s_Irr!P15=".",s_Irr!AO15=".",s_Irr!BN15&lt;&gt;"."),s_dir!AQ15/((1/1000)*(s_Irr!BN15)),IF(AND(s_Irr!P15=".",s_Irr!AO15&lt;&gt;".",s_Irr!BN15="."),s_dir!AQ15/((1/1000)*(s_Irr!AO15)),IF(AND(s_Irr!P15&lt;&gt;".",s_Irr!AO15=".",s_Irr!BN15="."),s_dir!AQ15/((1/1000)*(s_Irr!P15)),IF(AND(s_Irr!P15=".",s_Irr!AO15=".",s_Irr!BN15="."),s_dir!AQ15*1000)))))))),".")</f>
        <v>814902.3427749296</v>
      </c>
      <c r="BR15" s="70">
        <f>IFERROR(IF(AND(s_Irr!Q15&lt;&gt;".",s_Irr!AP15&lt;&gt;".",s_Irr!BO15&lt;&gt;"."),s_dir!AR15/((1/1000)*(s_Irr!Q15+s_Irr!AP15+s_Irr!BO15)),IF(AND(s_Irr!Q15&lt;&gt;".",s_Irr!AP15&lt;&gt;".",s_Irr!BO15="."),s_dir!AR15/((1/1000)*(s_Irr!Q15+s_Irr!AP15)),IF(AND(s_Irr!Q15&lt;&gt;".",s_Irr!AP15=".",s_Irr!BO15&lt;&gt;"."),s_dir!AR15/((1/1000)*(s_Irr!Q15+s_Irr!BO15)),IF(AND(s_Irr!Q15=".",s_Irr!AP15&lt;&gt;".",s_Irr!BO15&lt;&gt;"."),s_dir!AR15/((1/1000)*(s_Irr!AP15+s_Irr!BO15)),IF(AND(s_Irr!Q15=".",s_Irr!AP15=".",s_Irr!BO15&lt;&gt;"."),s_dir!AR15/((1/1000)*(s_Irr!BO15)),IF(AND(s_Irr!Q15=".",s_Irr!AP15&lt;&gt;".",s_Irr!BO15="."),s_dir!AR15/((1/1000)*(s_Irr!AP15)),IF(AND(s_Irr!Q15&lt;&gt;".",s_Irr!AP15=".",s_Irr!BO15="."),s_dir!AR15/((1/1000)*(s_Irr!Q15)),IF(AND(s_Irr!Q15=".",s_Irr!AP15=".",s_Irr!BO15="."),s_dir!AR15*1000)))))))),".")</f>
        <v>874067.74488711066</v>
      </c>
      <c r="BS15" s="70">
        <f>IFERROR(IF(AND(s_Irr!R15&lt;&gt;".",s_Irr!AQ15&lt;&gt;".",s_Irr!BP15&lt;&gt;"."),s_dir!AS15/((1/1000)*(s_Irr!R15+s_Irr!AQ15+s_Irr!BP15)),IF(AND(s_Irr!R15&lt;&gt;".",s_Irr!AQ15&lt;&gt;".",s_Irr!BP15="."),s_dir!AS15/((1/1000)*(s_Irr!R15+s_Irr!AQ15)),IF(AND(s_Irr!R15&lt;&gt;".",s_Irr!AQ15=".",s_Irr!BP15&lt;&gt;"."),s_dir!AS15/((1/1000)*(s_Irr!R15+s_Irr!BP15)),IF(AND(s_Irr!R15=".",s_Irr!AQ15&lt;&gt;".",s_Irr!BP15&lt;&gt;"."),s_dir!AS15/((1/1000)*(s_Irr!AQ15+s_Irr!BP15)),IF(AND(s_Irr!R15=".",s_Irr!AQ15=".",s_Irr!BP15&lt;&gt;"."),s_dir!AS15/((1/1000)*(s_Irr!BP15)),IF(AND(s_Irr!R15=".",s_Irr!AQ15&lt;&gt;".",s_Irr!BP15="."),s_dir!AS15/((1/1000)*(s_Irr!AQ15)),IF(AND(s_Irr!R15&lt;&gt;".",s_Irr!AQ15=".",s_Irr!BP15="."),s_dir!AS15/((1/1000)*(s_Irr!R15)),IF(AND(s_Irr!R15=".",s_Irr!AQ15=".",s_Irr!BP15="."),s_dir!AS15*1000)))))))),".")</f>
        <v>874067.74488711066</v>
      </c>
      <c r="BT15" s="70">
        <f>IFERROR(IF(AND(s_Irr!S15&lt;&gt;".",s_Irr!AR15&lt;&gt;".",s_Irr!BQ15&lt;&gt;"."),s_dir!AT15/((1/1000)*(s_Irr!S15+s_Irr!AR15+s_Irr!BQ15)),IF(AND(s_Irr!S15&lt;&gt;".",s_Irr!AR15&lt;&gt;".",s_Irr!BQ15="."),s_dir!AT15/((1/1000)*(s_Irr!S15+s_Irr!AR15)),IF(AND(s_Irr!S15&lt;&gt;".",s_Irr!AR15=".",s_Irr!BQ15&lt;&gt;"."),s_dir!AT15/((1/1000)*(s_Irr!S15+s_Irr!BQ15)),IF(AND(s_Irr!S15=".",s_Irr!AR15&lt;&gt;".",s_Irr!BQ15&lt;&gt;"."),s_dir!AT15/((1/1000)*(s_Irr!AR15+s_Irr!BQ15)),IF(AND(s_Irr!S15=".",s_Irr!AR15=".",s_Irr!BQ15&lt;&gt;"."),s_dir!AT15/((1/1000)*(s_Irr!BQ15)),IF(AND(s_Irr!S15=".",s_Irr!AR15&lt;&gt;".",s_Irr!BQ15="."),s_dir!AT15/((1/1000)*(s_Irr!AR15)),IF(AND(s_Irr!S15&lt;&gt;".",s_Irr!AR15=".",s_Irr!BQ15="."),s_dir!AT15/((1/1000)*(s_Irr!S15)),IF(AND(s_Irr!S15=".",s_Irr!AR15=".",s_Irr!BQ15="."),s_dir!AT15*1000)))))))),".")</f>
        <v>938090.57693891937</v>
      </c>
      <c r="BU15" s="70">
        <f>IFERROR(IF(AND(s_Irr!T15&lt;&gt;".",s_Irr!AS15&lt;&gt;".",s_Irr!BR15&lt;&gt;"."),s_dir!AU15/((1/1000)*(s_Irr!T15+s_Irr!AS15+s_Irr!BR15)),IF(AND(s_Irr!T15&lt;&gt;".",s_Irr!AS15&lt;&gt;".",s_Irr!BR15="."),s_dir!AU15/((1/1000)*(s_Irr!T15+s_Irr!AS15)),IF(AND(s_Irr!T15&lt;&gt;".",s_Irr!AS15=".",s_Irr!BR15&lt;&gt;"."),s_dir!AU15/((1/1000)*(s_Irr!T15+s_Irr!BR15)),IF(AND(s_Irr!T15=".",s_Irr!AS15&lt;&gt;".",s_Irr!BR15&lt;&gt;"."),s_dir!AU15/((1/1000)*(s_Irr!AS15+s_Irr!BR15)),IF(AND(s_Irr!T15=".",s_Irr!AS15=".",s_Irr!BR15&lt;&gt;"."),s_dir!AU15/((1/1000)*(s_Irr!BR15)),IF(AND(s_Irr!T15=".",s_Irr!AS15&lt;&gt;".",s_Irr!BR15="."),s_dir!AU15/((1/1000)*(s_Irr!AS15)),IF(AND(s_Irr!T15&lt;&gt;".",s_Irr!AS15=".",s_Irr!BR15="."),s_dir!AU15/((1/1000)*(s_Irr!T15)),IF(AND(s_Irr!T15=".",s_Irr!AS15=".",s_Irr!BR15="."),s_dir!AU15*1000)))))))),".")</f>
        <v>814902.3427749296</v>
      </c>
      <c r="BV15" s="70">
        <f>IFERROR(IF(AND(s_Irr!U15&lt;&gt;".",s_Irr!AT15&lt;&gt;".",s_Irr!BS15&lt;&gt;"."),s_dir!AV15/((1/1000)*(s_Irr!U15+s_Irr!AT15+s_Irr!BS15)),IF(AND(s_Irr!U15&lt;&gt;".",s_Irr!AT15&lt;&gt;".",s_Irr!BS15="."),s_dir!AV15/((1/1000)*(s_Irr!U15+s_Irr!AT15)),IF(AND(s_Irr!U15&lt;&gt;".",s_Irr!AT15=".",s_Irr!BS15&lt;&gt;"."),s_dir!AV15/((1/1000)*(s_Irr!U15+s_Irr!BS15)),IF(AND(s_Irr!U15=".",s_Irr!AT15&lt;&gt;".",s_Irr!BS15&lt;&gt;"."),s_dir!AV15/((1/1000)*(s_Irr!AT15+s_Irr!BS15)),IF(AND(s_Irr!U15=".",s_Irr!AT15=".",s_Irr!BS15&lt;&gt;"."),s_dir!AV15/((1/1000)*(s_Irr!BS15)),IF(AND(s_Irr!U15=".",s_Irr!AT15&lt;&gt;".",s_Irr!BS15="."),s_dir!AV15/((1/1000)*(s_Irr!AT15)),IF(AND(s_Irr!U15&lt;&gt;".",s_Irr!AT15=".",s_Irr!BS15="."),s_dir!AV15/((1/1000)*(s_Irr!U15)),IF(AND(s_Irr!U15=".",s_Irr!AT15=".",s_Irr!BS15="."),s_dir!AV15*1000)))))))),".")</f>
        <v>997142.31322218257</v>
      </c>
      <c r="BW15" s="70">
        <f>IFERROR(IF(AND(s_Irr!V15&lt;&gt;".",s_Irr!AU15&lt;&gt;".",s_Irr!BT15&lt;&gt;"."),s_dir!AW15/((1/1000)*(s_Irr!V15+s_Irr!AU15+s_Irr!BT15)),IF(AND(s_Irr!V15&lt;&gt;".",s_Irr!AU15&lt;&gt;".",s_Irr!BT15="."),s_dir!AW15/((1/1000)*(s_Irr!V15+s_Irr!AU15)),IF(AND(s_Irr!V15&lt;&gt;".",s_Irr!AU15=".",s_Irr!BT15&lt;&gt;"."),s_dir!AW15/((1/1000)*(s_Irr!V15+s_Irr!BT15)),IF(AND(s_Irr!V15=".",s_Irr!AU15&lt;&gt;".",s_Irr!BT15&lt;&gt;"."),s_dir!AW15/((1/1000)*(s_Irr!AU15+s_Irr!BT15)),IF(AND(s_Irr!V15=".",s_Irr!AU15=".",s_Irr!BT15&lt;&gt;"."),s_dir!AW15/((1/1000)*(s_Irr!BT15)),IF(AND(s_Irr!V15=".",s_Irr!AU15&lt;&gt;".",s_Irr!BT15="."),s_dir!AW15/((1/1000)*(s_Irr!AU15)),IF(AND(s_Irr!V15&lt;&gt;".",s_Irr!AU15=".",s_Irr!BT15="."),s_dir!AW15/((1/1000)*(s_Irr!V15)),IF(AND(s_Irr!V15=".",s_Irr!AU15=".",s_Irr!BT15="."),s_dir!AW15*1000)))))))),".")</f>
        <v>814902.3427749296</v>
      </c>
      <c r="BX15" s="70">
        <f>IFERROR(IF(AND(s_Irr!W15&lt;&gt;".",s_Irr!AV15&lt;&gt;".",s_Irr!BU15&lt;&gt;"."),s_dir!AX15/((1/1000)*(s_Irr!W15+s_Irr!AV15+s_Irr!BU15)),IF(AND(s_Irr!W15&lt;&gt;".",s_Irr!AV15&lt;&gt;".",s_Irr!BU15="."),s_dir!AX15/((1/1000)*(s_Irr!W15+s_Irr!AV15)),IF(AND(s_Irr!W15&lt;&gt;".",s_Irr!AV15=".",s_Irr!BU15&lt;&gt;"."),s_dir!AX15/((1/1000)*(s_Irr!W15+s_Irr!BU15)),IF(AND(s_Irr!W15=".",s_Irr!AV15&lt;&gt;".",s_Irr!BU15&lt;&gt;"."),s_dir!AX15/((1/1000)*(s_Irr!AV15+s_Irr!BU15)),IF(AND(s_Irr!W15=".",s_Irr!AV15=".",s_Irr!BU15&lt;&gt;"."),s_dir!AX15/((1/1000)*(s_Irr!BU15)),IF(AND(s_Irr!W15=".",s_Irr!AV15&lt;&gt;".",s_Irr!BU15="."),s_dir!AX15/((1/1000)*(s_Irr!AV15)),IF(AND(s_Irr!W15&lt;&gt;".",s_Irr!AV15=".",s_Irr!BU15="."),s_dir!AX15/((1/1000)*(s_Irr!W15)),IF(AND(s_Irr!W15=".",s_Irr!AV15=".",s_Irr!BU15="."),s_dir!AX15*1000)))))))),".")</f>
        <v>938090.57693891937</v>
      </c>
      <c r="BY15" s="70">
        <f>IFERROR(IF(AND(s_Irr!X15&lt;&gt;".",s_Irr!AW15&lt;&gt;".",s_Irr!BV15&lt;&gt;"."),s_dir!AY15/((1/1000)*(s_Irr!X15+s_Irr!AW15+s_Irr!BV15)),IF(AND(s_Irr!X15&lt;&gt;".",s_Irr!AW15&lt;&gt;".",s_Irr!BV15="."),s_dir!AY15/((1/1000)*(s_Irr!X15+s_Irr!AW15)),IF(AND(s_Irr!X15&lt;&gt;".",s_Irr!AW15=".",s_Irr!BV15&lt;&gt;"."),s_dir!AY15/((1/1000)*(s_Irr!X15+s_Irr!BV15)),IF(AND(s_Irr!X15=".",s_Irr!AW15&lt;&gt;".",s_Irr!BV15&lt;&gt;"."),s_dir!AY15/((1/1000)*(s_Irr!AW15+s_Irr!BV15)),IF(AND(s_Irr!X15=".",s_Irr!AW15=".",s_Irr!BV15&lt;&gt;"."),s_dir!AY15/((1/1000)*(s_Irr!BV15)),IF(AND(s_Irr!X15=".",s_Irr!AW15&lt;&gt;".",s_Irr!BV15="."),s_dir!AY15/((1/1000)*(s_Irr!AW15)),IF(AND(s_Irr!X15&lt;&gt;".",s_Irr!AW15=".",s_Irr!BV15="."),s_dir!AY15/((1/1000)*(s_Irr!X15)),IF(AND(s_Irr!X15=".",s_Irr!AW15=".",s_Irr!BV15="."),s_dir!AY15*1000)))))))),".")</f>
        <v>874067.74488711066</v>
      </c>
      <c r="BZ15" s="70">
        <f>IFERROR(IF(AND(s_Irr!Y15&lt;&gt;".",s_Irr!AX15&lt;&gt;".",s_Irr!BW15&lt;&gt;"."),s_dir!AZ15/((1/1000)*(s_Irr!Y15+s_Irr!AX15+s_Irr!BW15)),IF(AND(s_Irr!Y15&lt;&gt;".",s_Irr!AX15&lt;&gt;".",s_Irr!BW15="."),s_dir!AZ15/((1/1000)*(s_Irr!Y15+s_Irr!AX15)),IF(AND(s_Irr!Y15&lt;&gt;".",s_Irr!AX15=".",s_Irr!BW15&lt;&gt;"."),s_dir!AZ15/((1/1000)*(s_Irr!Y15+s_Irr!BW15)),IF(AND(s_Irr!Y15=".",s_Irr!AX15&lt;&gt;".",s_Irr!BW15&lt;&gt;"."),s_dir!AZ15/((1/1000)*(s_Irr!AX15+s_Irr!BW15)),IF(AND(s_Irr!Y15=".",s_Irr!AX15=".",s_Irr!BW15&lt;&gt;"."),s_dir!AZ15/((1/1000)*(s_Irr!BW15)),IF(AND(s_Irr!Y15=".",s_Irr!AX15&lt;&gt;".",s_Irr!BW15="."),s_dir!AZ15/((1/1000)*(s_Irr!AX15)),IF(AND(s_Irr!Y15&lt;&gt;".",s_Irr!AX15=".",s_Irr!BW15="."),s_dir!AZ15/((1/1000)*(s_Irr!Y15)),IF(AND(s_Irr!Y15=".",s_Irr!AX15=".",s_Irr!BW15="."),s_dir!AZ15*1000)))))))),".")</f>
        <v>814902.3427749296</v>
      </c>
      <c r="CA15" s="70">
        <f>IFERROR(IF(AND(s_Irr!Z15&lt;&gt;".",s_Irr!AY15&lt;&gt;".",s_Irr!BX15&lt;&gt;"."),s_dir!BA15/((1/1000)*(s_Irr!Z15+s_Irr!AY15+s_Irr!BX15)),IF(AND(s_Irr!Z15&lt;&gt;".",s_Irr!AY15&lt;&gt;".",s_Irr!BX15="."),s_dir!BA15/((1/1000)*(s_Irr!Z15+s_Irr!AY15)),IF(AND(s_Irr!Z15&lt;&gt;".",s_Irr!AY15=".",s_Irr!BX15&lt;&gt;"."),s_dir!BA15/((1/1000)*(s_Irr!Z15+s_Irr!BX15)),IF(AND(s_Irr!Z15=".",s_Irr!AY15&lt;&gt;".",s_Irr!BX15&lt;&gt;"."),s_dir!BA15/((1/1000)*(s_Irr!AY15+s_Irr!BX15)),IF(AND(s_Irr!Z15=".",s_Irr!AY15=".",s_Irr!BX15&lt;&gt;"."),s_dir!BA15/((1/1000)*(s_Irr!BX15)),IF(AND(s_Irr!Z15=".",s_Irr!AY15&lt;&gt;".",s_Irr!BX15="."),s_dir!BA15/((1/1000)*(s_Irr!AY15)),IF(AND(s_Irr!Z15&lt;&gt;".",s_Irr!AY15=".",s_Irr!BX15="."),s_dir!BA15/((1/1000)*(s_Irr!Z15)),IF(AND(s_Irr!Z15=".",s_Irr!AY15=".",s_Irr!BX15="."),s_dir!BA15*1000)))))))),".")</f>
        <v>1017538.0946462078</v>
      </c>
      <c r="CB15" s="70">
        <f>IFERROR(IF(AND(s_Irr!AA15&lt;&gt;".",s_Irr!AZ15&lt;&gt;".",s_Irr!BY15&lt;&gt;"."),s_dir!BB15/((1/1000)*(s_Irr!AA15+s_Irr!AZ15+s_Irr!BY15)),IF(AND(s_Irr!AA15&lt;&gt;".",s_Irr!AZ15&lt;&gt;".",s_Irr!BY15="."),s_dir!BB15/((1/1000)*(s_Irr!AA15+s_Irr!AZ15)),IF(AND(s_Irr!AA15&lt;&gt;".",s_Irr!AZ15=".",s_Irr!BY15&lt;&gt;"."),s_dir!BB15/((1/1000)*(s_Irr!AA15+s_Irr!BY15)),IF(AND(s_Irr!AA15=".",s_Irr!AZ15&lt;&gt;".",s_Irr!BY15&lt;&gt;"."),s_dir!BB15/((1/1000)*(s_Irr!AZ15+s_Irr!BY15)),IF(AND(s_Irr!AA15=".",s_Irr!AZ15=".",s_Irr!BY15&lt;&gt;"."),s_dir!BB15/((1/1000)*(s_Irr!BY15)),IF(AND(s_Irr!AA15=".",s_Irr!AZ15&lt;&gt;".",s_Irr!BY15="."),s_dir!BB15/((1/1000)*(s_Irr!AZ15)),IF(AND(s_Irr!AA15&lt;&gt;".",s_Irr!AZ15=".",s_Irr!BY15="."),s_dir!BB15/((1/1000)*(s_Irr!AA15)),IF(AND(s_Irr!AA15=".",s_Irr!AZ15=".",s_Irr!BY15="."),s_dir!BB15*1000)))))))),".")</f>
        <v>861557.19601053547</v>
      </c>
      <c r="CC15" s="87">
        <f t="shared" si="2"/>
        <v>408.36048903703033</v>
      </c>
      <c r="CD15" s="87">
        <f>IFERROR(s_C*s_IFAP_far_adj*s_CF_apple*(1/1000)*(s_Irr!C15+s_Irr!AB15+s_Irr!BA15),".")</f>
        <v>103.48385260743784</v>
      </c>
      <c r="CE15" s="87">
        <f>IFERROR(s_C*s_IFAS_far_adj*s_CF_asparagus*(1/1000)*(s_Irr!D15+s_Irr!AC15+s_Irr!BB15),".")</f>
        <v>208.67104869651413</v>
      </c>
      <c r="CF15" s="87">
        <f>IFERROR(s_C*s_IFBT_far_adj*s_CF_beet*(1/1000)*(s_Irr!E15+s_Irr!AD15+s_Irr!BC15),".")</f>
        <v>110.99722375665758</v>
      </c>
      <c r="CG15" s="87">
        <f>IFERROR(s_C*s_IFBE_far_adj*s_CF_berries*(1/1000)*(s_Irr!F15+s_Irr!AE15+s_Irr!BD15),".")</f>
        <v>103.48385260743784</v>
      </c>
      <c r="CH15" s="87">
        <f>IFERROR(s_C*s_IFBR_far_adj*s_CF_broccoli*(1/1000)*(s_Irr!G15+s_Irr!AF15+s_Irr!BE15),".")</f>
        <v>110.99722375665758</v>
      </c>
      <c r="CI15" s="87">
        <f>IFERROR(s_C*s_IFCB_far_adj*s_CF_cabbage*(1/1000)*(s_Irr!H15+s_Irr!AG15+s_Irr!BF15),".")</f>
        <v>208.67104869651413</v>
      </c>
      <c r="CJ15" s="87">
        <f>IFERROR(s_C*s_IFCR_far_adj*s_CF_carrot*(1/1000)*(s_Irr!I15+s_Irr!AH15+s_Irr!BG15),".")</f>
        <v>110.99722375665758</v>
      </c>
      <c r="CK15" s="87">
        <f>IFERROR(s_C*s_IFCI_far_adj*s_CF_citrus*(1/1000)*(s_Irr!J15+s_Irr!AI15+s_Irr!BH15),".")</f>
        <v>103.48385260743784</v>
      </c>
      <c r="CL15" s="87">
        <f>IFERROR(s_C*s_IFCO_far_adj*s_CF_corn*(1/1000)*(s_Irr!K15+s_Irr!AJ15+s_Irr!BI15),".")</f>
        <v>90.260319384811112</v>
      </c>
      <c r="CM15" s="87">
        <f>IFERROR(s_C*s_IFCU_far_adj*s_CF_cucumber*(1/1000)*(s_Irr!L15+s_Irr!AK15+s_Irr!BJ15),".")</f>
        <v>110.99722375665758</v>
      </c>
      <c r="CN15" s="87">
        <f>IFERROR(s_C*s_IFLE_far_adj*s_CF_lettuce*(1/1000)*(s_Irr!M15+s_Irr!AL15+s_Irr!BK15),".")</f>
        <v>208.67104869651413</v>
      </c>
      <c r="CO15" s="87">
        <f>IFERROR(s_C*s_IFLI_far_adj*s_CF_lima_bean*(1/1000)*(s_Irr!N15+s_Irr!AM15+s_Irr!BL15),".")</f>
        <v>96.421283727171286</v>
      </c>
      <c r="CP15" s="87">
        <f>IFERROR(s_C*s_IFOK_far_adj*s_CF_okra*(1/1000)*(s_Irr!O15+s_Irr!AN15+s_Irr!BM15),".")</f>
        <v>110.99722375665758</v>
      </c>
      <c r="CQ15" s="87">
        <f>IFERROR(s_C*s_IFON_far_adj*s_CF_onion*(1/1000)*(s_Irr!P15+s_Irr!AO15+s_Irr!BN15),".")</f>
        <v>110.99722375665758</v>
      </c>
      <c r="CR15" s="87">
        <f>IFERROR(s_C*s_IFPC_far_adj*s_CF_peach*(1/1000)*(s_Irr!Q15+s_Irr!AP15+s_Irr!BO15),".")</f>
        <v>103.48385260743784</v>
      </c>
      <c r="CS15" s="87">
        <f>IFERROR(s_C*s_IFPR_far_adj*s_CF_pear*(1/1000)*(s_Irr!R15+s_Irr!AQ15+s_Irr!BP15),".")</f>
        <v>103.48385260743784</v>
      </c>
      <c r="CT15" s="87">
        <f>IFERROR(s_C*s_IFPE_far_adj*s_CF_peas*(1/1000)*(s_Irr!S15+s_Irr!AR15+s_Irr!BQ15),".")</f>
        <v>96.421283727171286</v>
      </c>
      <c r="CU15" s="87">
        <f>IFERROR(s_C*s_IFPP_far_adj*s_CF_peppers*(1/1000)*(s_Irr!T15+s_Irr!AS15+s_Irr!BR15),".")</f>
        <v>110.99722375665758</v>
      </c>
      <c r="CV15" s="87">
        <f>IFERROR(s_C*s_IFPT_far_adj*s_CF_potato*(1/1000)*(s_Irr!U15+s_Irr!AT15+s_Irr!BS15),".")</f>
        <v>90.711121653764295</v>
      </c>
      <c r="CW15" s="87">
        <f>IFERROR(s_C*s_IFPU_far_adj*s_CF_pumpkin*(1/1000)*(s_Irr!V15+s_Irr!AU15+s_Irr!BT15),".")</f>
        <v>110.99722375665758</v>
      </c>
      <c r="CX15" s="87">
        <f>IFERROR(s_C*s_IFSN_far_adj*s_CF_snap_bean*(1/1000)*(s_Irr!W15+s_Irr!AV15+s_Irr!BU15),".")</f>
        <v>96.421283727171286</v>
      </c>
      <c r="CY15" s="87">
        <f>IFERROR(s_C*s_IFST_far_adj*s_CF_strawberry*(1/1000)*(s_Irr!X15+s_Irr!AW15+s_Irr!BV15),".")</f>
        <v>103.48385260743784</v>
      </c>
      <c r="CZ15" s="87">
        <f>IFERROR(s_C*s_IFTO_far_adj*s_CF_tomato*(1/1000)*(s_Irr!Y15+s_Irr!AX15+s_Irr!BW15),".")</f>
        <v>110.99722375665758</v>
      </c>
      <c r="DA15" s="87">
        <f>IFERROR(s_C*s_IFRI_far_adj*s_CF_rice*(1/1000)*(s_Irr!Z15+s_Irr!AY15+s_Irr!BX15),".")</f>
        <v>88.892885835653118</v>
      </c>
      <c r="DB15" s="87">
        <f>IFERROR(s_C*s_IFCG_far_adj*s_CF_cereal*(1/1000)*(s_Irr!AA15+s_Irr!AZ15+s_Irr!BY15),".")</f>
        <v>104.98652683728179</v>
      </c>
    </row>
    <row r="16" spans="1:106" ht="15" customHeight="1" x14ac:dyDescent="0.25">
      <c r="A16" s="86" t="s">
        <v>14</v>
      </c>
      <c r="B16" s="84" t="s">
        <v>1057</v>
      </c>
      <c r="C16" s="15">
        <f t="shared" si="3"/>
        <v>16.221626499112627</v>
      </c>
      <c r="D16" s="70">
        <f>IFERROR(IF(AND(s_Irr!C16&lt;&gt;".",s_Irr!AB16&lt;&gt;".",s_Irr!BA16&lt;&gt;"."),s_dir!D16/((1/1000)*(s_Irr!C16+s_Irr!AB16+s_Irr!BA16)),IF(AND(s_Irr!C16&lt;&gt;".",s_Irr!AB16&lt;&gt;".",s_Irr!BA16="."),s_dir!D16/((1/1000)*(s_Irr!C16+s_Irr!AB16)),IF(AND(s_Irr!C16&lt;&gt;".",s_Irr!AB16=".",s_Irr!BA16&lt;&gt;"."),s_dir!D16/((1/1000)*(s_Irr!C16+s_Irr!BA16)),IF(AND(s_Irr!C16=".",s_Irr!AB16&lt;&gt;".",s_Irr!BA16&lt;&gt;"."),s_dir!D16/((1/1000)*(s_Irr!AB16+s_Irr!BA16)),IF(AND(s_Irr!C16=".",s_Irr!AB16=".",s_Irr!BA16&lt;&gt;"."),s_dir!D16/((1/1000)*(s_Irr!BA16)),IF(AND(s_Irr!C16=".",s_Irr!AB16&lt;&gt;".",s_Irr!BA16="."),s_dir!D16/((1/1000)*(s_Irr!AB16)),IF(AND(s_Irr!C16&lt;&gt;".",s_Irr!AB16=".",s_Irr!BA16="."),s_dir!D16/((1/1000)*(s_Irr!C16)),IF(AND(s_Irr!C16=".",s_Irr!AB16=".",s_Irr!BA16="."),s_dir!D16*1000)))))))),".")</f>
        <v>64.012608375556056</v>
      </c>
      <c r="E16" s="70">
        <f>IFERROR(IF(AND(s_Irr!D16&lt;&gt;".",s_Irr!AC16&lt;&gt;".",s_Irr!BB16&lt;&gt;"."),s_dir!E16/((1/1000)*(s_Irr!D16+s_Irr!AC16+s_Irr!BB16)),IF(AND(s_Irr!D16&lt;&gt;".",s_Irr!AC16&lt;&gt;".",s_Irr!BB16="."),s_dir!E16/((1/1000)*(s_Irr!D16+s_Irr!AC16)),IF(AND(s_Irr!D16&lt;&gt;".",s_Irr!AC16=".",s_Irr!BB16&lt;&gt;"."),s_dir!E16/((1/1000)*(s_Irr!D16+s_Irr!BB16)),IF(AND(s_Irr!D16=".",s_Irr!AC16&lt;&gt;".",s_Irr!BB16&lt;&gt;"."),s_dir!E16/((1/1000)*(s_Irr!AC16+s_Irr!BB16)),IF(AND(s_Irr!D16=".",s_Irr!AC16=".",s_Irr!BB16&lt;&gt;"."),s_dir!E16/((1/1000)*(s_Irr!BB16)),IF(AND(s_Irr!D16=".",s_Irr!AC16&lt;&gt;".",s_Irr!BB16="."),s_dir!E16/((1/1000)*(s_Irr!AC16)),IF(AND(s_Irr!D16&lt;&gt;".",s_Irr!AC16=".",s_Irr!BB16="."),s_dir!E16/((1/1000)*(s_Irr!D16)),IF(AND(s_Irr!D16=".",s_Irr!AC16=".",s_Irr!BB16="."),s_dir!E16*1000)))))))),".")</f>
        <v>31.745042599502412</v>
      </c>
      <c r="F16" s="70">
        <f>IFERROR(IF(AND(s_Irr!E16&lt;&gt;".",s_Irr!AD16&lt;&gt;".",s_Irr!BC16&lt;&gt;"."),s_dir!F16/((1/1000)*(s_Irr!E16+s_Irr!AD16+s_Irr!BC16)),IF(AND(s_Irr!E16&lt;&gt;".",s_Irr!AD16&lt;&gt;".",s_Irr!BC16="."),s_dir!F16/((1/1000)*(s_Irr!E16+s_Irr!AD16)),IF(AND(s_Irr!E16&lt;&gt;".",s_Irr!AD16=".",s_Irr!BC16&lt;&gt;"."),s_dir!F16/((1/1000)*(s_Irr!E16+s_Irr!BC16)),IF(AND(s_Irr!E16=".",s_Irr!AD16&lt;&gt;".",s_Irr!BC16&lt;&gt;"."),s_dir!F16/((1/1000)*(s_Irr!AD16+s_Irr!BC16)),IF(AND(s_Irr!E16=".",s_Irr!AD16=".",s_Irr!BC16&lt;&gt;"."),s_dir!F16/((1/1000)*(s_Irr!BC16)),IF(AND(s_Irr!E16=".",s_Irr!AD16&lt;&gt;".",s_Irr!BC16="."),s_dir!F16/((1/1000)*(s_Irr!AD16)),IF(AND(s_Irr!E16&lt;&gt;".",s_Irr!AD16=".",s_Irr!BC16="."),s_dir!F16/((1/1000)*(s_Irr!E16)),IF(AND(s_Irr!E16=".",s_Irr!AD16=".",s_Irr!BC16="."),s_dir!F16*1000)))))))),".")</f>
        <v>59.67961275028162</v>
      </c>
      <c r="G16" s="70">
        <f>IFERROR(IF(AND(s_Irr!F16&lt;&gt;".",s_Irr!AE16&lt;&gt;".",s_Irr!BD16&lt;&gt;"."),s_dir!G16/((1/1000)*(s_Irr!F16+s_Irr!AE16+s_Irr!BD16)),IF(AND(s_Irr!F16&lt;&gt;".",s_Irr!AE16&lt;&gt;".",s_Irr!BD16="."),s_dir!G16/((1/1000)*(s_Irr!F16+s_Irr!AE16)),IF(AND(s_Irr!F16&lt;&gt;".",s_Irr!AE16=".",s_Irr!BD16&lt;&gt;"."),s_dir!G16/((1/1000)*(s_Irr!F16+s_Irr!BD16)),IF(AND(s_Irr!F16=".",s_Irr!AE16&lt;&gt;".",s_Irr!BD16&lt;&gt;"."),s_dir!G16/((1/1000)*(s_Irr!AE16+s_Irr!BD16)),IF(AND(s_Irr!F16=".",s_Irr!AE16=".",s_Irr!BD16&lt;&gt;"."),s_dir!G16/((1/1000)*(s_Irr!BD16)),IF(AND(s_Irr!F16=".",s_Irr!AE16&lt;&gt;".",s_Irr!BD16="."),s_dir!G16/((1/1000)*(s_Irr!AE16)),IF(AND(s_Irr!F16&lt;&gt;".",s_Irr!AE16=".",s_Irr!BD16="."),s_dir!G16/((1/1000)*(s_Irr!F16)),IF(AND(s_Irr!F16=".",s_Irr!AE16=".",s_Irr!BD16="."),s_dir!G16*1000)))))))),".")</f>
        <v>64.012608375556056</v>
      </c>
      <c r="H16" s="70">
        <f>IFERROR(IF(AND(s_Irr!G16&lt;&gt;".",s_Irr!AF16&lt;&gt;".",s_Irr!BE16&lt;&gt;"."),s_dir!H16/((1/1000)*(s_Irr!G16+s_Irr!AF16+s_Irr!BE16)),IF(AND(s_Irr!G16&lt;&gt;".",s_Irr!AF16&lt;&gt;".",s_Irr!BE16="."),s_dir!H16/((1/1000)*(s_Irr!G16+s_Irr!AF16)),IF(AND(s_Irr!G16&lt;&gt;".",s_Irr!AF16=".",s_Irr!BE16&lt;&gt;"."),s_dir!H16/((1/1000)*(s_Irr!G16+s_Irr!BE16)),IF(AND(s_Irr!G16=".",s_Irr!AF16&lt;&gt;".",s_Irr!BE16&lt;&gt;"."),s_dir!H16/((1/1000)*(s_Irr!AF16+s_Irr!BE16)),IF(AND(s_Irr!G16=".",s_Irr!AF16=".",s_Irr!BE16&lt;&gt;"."),s_dir!H16/((1/1000)*(s_Irr!BE16)),IF(AND(s_Irr!G16=".",s_Irr!AF16&lt;&gt;".",s_Irr!BE16="."),s_dir!H16/((1/1000)*(s_Irr!AF16)),IF(AND(s_Irr!G16&lt;&gt;".",s_Irr!AF16=".",s_Irr!BE16="."),s_dir!H16/((1/1000)*(s_Irr!G16)),IF(AND(s_Irr!G16=".",s_Irr!AF16=".",s_Irr!BE16="."),s_dir!H16*1000)))))))),".")</f>
        <v>59.67961275028162</v>
      </c>
      <c r="I16" s="70">
        <f>IFERROR(IF(AND(s_Irr!H16&lt;&gt;".",s_Irr!AG16&lt;&gt;".",s_Irr!BF16&lt;&gt;"."),s_dir!I16/((1/1000)*(s_Irr!H16+s_Irr!AG16+s_Irr!BF16)),IF(AND(s_Irr!H16&lt;&gt;".",s_Irr!AG16&lt;&gt;".",s_Irr!BF16="."),s_dir!I16/((1/1000)*(s_Irr!H16+s_Irr!AG16)),IF(AND(s_Irr!H16&lt;&gt;".",s_Irr!AG16=".",s_Irr!BF16&lt;&gt;"."),s_dir!I16/((1/1000)*(s_Irr!H16+s_Irr!BF16)),IF(AND(s_Irr!H16=".",s_Irr!AG16&lt;&gt;".",s_Irr!BF16&lt;&gt;"."),s_dir!I16/((1/1000)*(s_Irr!AG16+s_Irr!BF16)),IF(AND(s_Irr!H16=".",s_Irr!AG16=".",s_Irr!BF16&lt;&gt;"."),s_dir!I16/((1/1000)*(s_Irr!BF16)),IF(AND(s_Irr!H16=".",s_Irr!AG16&lt;&gt;".",s_Irr!BF16="."),s_dir!I16/((1/1000)*(s_Irr!AG16)),IF(AND(s_Irr!H16&lt;&gt;".",s_Irr!AG16=".",s_Irr!BF16="."),s_dir!I16/((1/1000)*(s_Irr!H16)),IF(AND(s_Irr!H16=".",s_Irr!AG16=".",s_Irr!BF16="."),s_dir!I16*1000)))))))),".")</f>
        <v>31.745042599502412</v>
      </c>
      <c r="J16" s="70">
        <f>IFERROR(IF(AND(s_Irr!I16&lt;&gt;".",s_Irr!AH16&lt;&gt;".",s_Irr!BG16&lt;&gt;"."),s_dir!J16/((1/1000)*(s_Irr!I16+s_Irr!AH16+s_Irr!BG16)),IF(AND(s_Irr!I16&lt;&gt;".",s_Irr!AH16&lt;&gt;".",s_Irr!BG16="."),s_dir!J16/((1/1000)*(s_Irr!I16+s_Irr!AH16)),IF(AND(s_Irr!I16&lt;&gt;".",s_Irr!AH16=".",s_Irr!BG16&lt;&gt;"."),s_dir!J16/((1/1000)*(s_Irr!I16+s_Irr!BG16)),IF(AND(s_Irr!I16=".",s_Irr!AH16&lt;&gt;".",s_Irr!BG16&lt;&gt;"."),s_dir!J16/((1/1000)*(s_Irr!AH16+s_Irr!BG16)),IF(AND(s_Irr!I16=".",s_Irr!AH16=".",s_Irr!BG16&lt;&gt;"."),s_dir!J16/((1/1000)*(s_Irr!BG16)),IF(AND(s_Irr!I16=".",s_Irr!AH16&lt;&gt;".",s_Irr!BG16="."),s_dir!J16/((1/1000)*(s_Irr!AH16)),IF(AND(s_Irr!I16&lt;&gt;".",s_Irr!AH16=".",s_Irr!BG16="."),s_dir!J16/((1/1000)*(s_Irr!I16)),IF(AND(s_Irr!I16=".",s_Irr!AH16=".",s_Irr!BG16="."),s_dir!J16*1000)))))))),".")</f>
        <v>59.67961275028162</v>
      </c>
      <c r="K16" s="70">
        <f>IFERROR(IF(AND(s_Irr!J16&lt;&gt;".",s_Irr!AI16&lt;&gt;".",s_Irr!BH16&lt;&gt;"."),s_dir!K16/((1/1000)*(s_Irr!J16+s_Irr!AI16+s_Irr!BH16)),IF(AND(s_Irr!J16&lt;&gt;".",s_Irr!AI16&lt;&gt;".",s_Irr!BH16="."),s_dir!K16/((1/1000)*(s_Irr!J16+s_Irr!AI16)),IF(AND(s_Irr!J16&lt;&gt;".",s_Irr!AI16=".",s_Irr!BH16&lt;&gt;"."),s_dir!K16/((1/1000)*(s_Irr!J16+s_Irr!BH16)),IF(AND(s_Irr!J16=".",s_Irr!AI16&lt;&gt;".",s_Irr!BH16&lt;&gt;"."),s_dir!K16/((1/1000)*(s_Irr!AI16+s_Irr!BH16)),IF(AND(s_Irr!J16=".",s_Irr!AI16=".",s_Irr!BH16&lt;&gt;"."),s_dir!K16/((1/1000)*(s_Irr!BH16)),IF(AND(s_Irr!J16=".",s_Irr!AI16&lt;&gt;".",s_Irr!BH16="."),s_dir!K16/((1/1000)*(s_Irr!AI16)),IF(AND(s_Irr!J16&lt;&gt;".",s_Irr!AI16=".",s_Irr!BH16="."),s_dir!K16/((1/1000)*(s_Irr!J16)),IF(AND(s_Irr!J16=".",s_Irr!AI16=".",s_Irr!BH16="."),s_dir!K16*1000)))))))),".")</f>
        <v>64.012608375556056</v>
      </c>
      <c r="L16" s="70">
        <f>IFERROR(IF(AND(s_Irr!K16&lt;&gt;".",s_Irr!AJ16&lt;&gt;".",s_Irr!BI16&lt;&gt;"."),s_dir!L16/((1/1000)*(s_Irr!K16+s_Irr!AJ16+s_Irr!BI16)),IF(AND(s_Irr!K16&lt;&gt;".",s_Irr!AJ16&lt;&gt;".",s_Irr!BI16="."),s_dir!L16/((1/1000)*(s_Irr!K16+s_Irr!AJ16)),IF(AND(s_Irr!K16&lt;&gt;".",s_Irr!AJ16=".",s_Irr!BI16&lt;&gt;"."),s_dir!L16/((1/1000)*(s_Irr!K16+s_Irr!BI16)),IF(AND(s_Irr!K16=".",s_Irr!AJ16&lt;&gt;".",s_Irr!BI16&lt;&gt;"."),s_dir!L16/((1/1000)*(s_Irr!AJ16+s_Irr!BI16)),IF(AND(s_Irr!K16=".",s_Irr!AJ16=".",s_Irr!BI16&lt;&gt;"."),s_dir!L16/((1/1000)*(s_Irr!BI16)),IF(AND(s_Irr!K16=".",s_Irr!AJ16&lt;&gt;".",s_Irr!BI16="."),s_dir!L16/((1/1000)*(s_Irr!AJ16)),IF(AND(s_Irr!K16&lt;&gt;".",s_Irr!AJ16=".",s_Irr!BI16="."),s_dir!L16/((1/1000)*(s_Irr!K16)),IF(AND(s_Irr!K16=".",s_Irr!AJ16=".",s_Irr!BI16="."),s_dir!L16*1000)))))))),".")</f>
        <v>73.390736652638168</v>
      </c>
      <c r="M16" s="70">
        <f>IFERROR(IF(AND(s_Irr!L16&lt;&gt;".",s_Irr!AK16&lt;&gt;".",s_Irr!BJ16&lt;&gt;"."),s_dir!M16/((1/1000)*(s_Irr!L16+s_Irr!AK16+s_Irr!BJ16)),IF(AND(s_Irr!L16&lt;&gt;".",s_Irr!AK16&lt;&gt;".",s_Irr!BJ16="."),s_dir!M16/((1/1000)*(s_Irr!L16+s_Irr!AK16)),IF(AND(s_Irr!L16&lt;&gt;".",s_Irr!AK16=".",s_Irr!BJ16&lt;&gt;"."),s_dir!M16/((1/1000)*(s_Irr!L16+s_Irr!BJ16)),IF(AND(s_Irr!L16=".",s_Irr!AK16&lt;&gt;".",s_Irr!BJ16&lt;&gt;"."),s_dir!M16/((1/1000)*(s_Irr!AK16+s_Irr!BJ16)),IF(AND(s_Irr!L16=".",s_Irr!AK16=".",s_Irr!BJ16&lt;&gt;"."),s_dir!M16/((1/1000)*(s_Irr!BJ16)),IF(AND(s_Irr!L16=".",s_Irr!AK16&lt;&gt;".",s_Irr!BJ16="."),s_dir!M16/((1/1000)*(s_Irr!AK16)),IF(AND(s_Irr!L16&lt;&gt;".",s_Irr!AK16=".",s_Irr!BJ16="."),s_dir!M16/((1/1000)*(s_Irr!L16)),IF(AND(s_Irr!L16=".",s_Irr!AK16=".",s_Irr!BJ16="."),s_dir!M16*1000)))))))),".")</f>
        <v>59.67961275028162</v>
      </c>
      <c r="N16" s="70">
        <f>IFERROR(IF(AND(s_Irr!M16&lt;&gt;".",s_Irr!AL16&lt;&gt;".",s_Irr!BK16&lt;&gt;"."),s_dir!N16/((1/1000)*(s_Irr!M16+s_Irr!AL16+s_Irr!BK16)),IF(AND(s_Irr!M16&lt;&gt;".",s_Irr!AL16&lt;&gt;".",s_Irr!BK16="."),s_dir!N16/((1/1000)*(s_Irr!M16+s_Irr!AL16)),IF(AND(s_Irr!M16&lt;&gt;".",s_Irr!AL16=".",s_Irr!BK16&lt;&gt;"."),s_dir!N16/((1/1000)*(s_Irr!M16+s_Irr!BK16)),IF(AND(s_Irr!M16=".",s_Irr!AL16&lt;&gt;".",s_Irr!BK16&lt;&gt;"."),s_dir!N16/((1/1000)*(s_Irr!AL16+s_Irr!BK16)),IF(AND(s_Irr!M16=".",s_Irr!AL16=".",s_Irr!BK16&lt;&gt;"."),s_dir!N16/((1/1000)*(s_Irr!BK16)),IF(AND(s_Irr!M16=".",s_Irr!AL16&lt;&gt;".",s_Irr!BK16="."),s_dir!N16/((1/1000)*(s_Irr!AL16)),IF(AND(s_Irr!M16&lt;&gt;".",s_Irr!AL16=".",s_Irr!BK16="."),s_dir!N16/((1/1000)*(s_Irr!M16)),IF(AND(s_Irr!M16=".",s_Irr!AL16=".",s_Irr!BK16="."),s_dir!N16*1000)))))))),".")</f>
        <v>31.745042599502412</v>
      </c>
      <c r="O16" s="70">
        <f>IFERROR(IF(AND(s_Irr!N16&lt;&gt;".",s_Irr!AM16&lt;&gt;".",s_Irr!BL16&lt;&gt;"."),s_dir!O16/((1/1000)*(s_Irr!N16+s_Irr!AM16+s_Irr!BL16)),IF(AND(s_Irr!N16&lt;&gt;".",s_Irr!AM16&lt;&gt;".",s_Irr!BL16="."),s_dir!O16/((1/1000)*(s_Irr!N16+s_Irr!AM16)),IF(AND(s_Irr!N16&lt;&gt;".",s_Irr!AM16=".",s_Irr!BL16&lt;&gt;"."),s_dir!O16/((1/1000)*(s_Irr!N16+s_Irr!BL16)),IF(AND(s_Irr!N16=".",s_Irr!AM16&lt;&gt;".",s_Irr!BL16&lt;&gt;"."),s_dir!O16/((1/1000)*(s_Irr!AM16+s_Irr!BL16)),IF(AND(s_Irr!N16=".",s_Irr!AM16=".",s_Irr!BL16&lt;&gt;"."),s_dir!O16/((1/1000)*(s_Irr!BL16)),IF(AND(s_Irr!N16=".",s_Irr!AM16&lt;&gt;".",s_Irr!BL16="."),s_dir!O16/((1/1000)*(s_Irr!AM16)),IF(AND(s_Irr!N16&lt;&gt;".",s_Irr!AM16=".",s_Irr!BL16="."),s_dir!O16/((1/1000)*(s_Irr!N16)),IF(AND(s_Irr!N16=".",s_Irr!AM16=".",s_Irr!BL16="."),s_dir!O16*1000)))))))),".")</f>
        <v>68.701339311114978</v>
      </c>
      <c r="P16" s="70">
        <f>IFERROR(IF(AND(s_Irr!O16&lt;&gt;".",s_Irr!AN16&lt;&gt;".",s_Irr!BM16&lt;&gt;"."),s_dir!P16/((1/1000)*(s_Irr!O16+s_Irr!AN16+s_Irr!BM16)),IF(AND(s_Irr!O16&lt;&gt;".",s_Irr!AN16&lt;&gt;".",s_Irr!BM16="."),s_dir!P16/((1/1000)*(s_Irr!O16+s_Irr!AN16)),IF(AND(s_Irr!O16&lt;&gt;".",s_Irr!AN16=".",s_Irr!BM16&lt;&gt;"."),s_dir!P16/((1/1000)*(s_Irr!O16+s_Irr!BM16)),IF(AND(s_Irr!O16=".",s_Irr!AN16&lt;&gt;".",s_Irr!BM16&lt;&gt;"."),s_dir!P16/((1/1000)*(s_Irr!AN16+s_Irr!BM16)),IF(AND(s_Irr!O16=".",s_Irr!AN16=".",s_Irr!BM16&lt;&gt;"."),s_dir!P16/((1/1000)*(s_Irr!BM16)),IF(AND(s_Irr!O16=".",s_Irr!AN16&lt;&gt;".",s_Irr!BM16="."),s_dir!P16/((1/1000)*(s_Irr!AN16)),IF(AND(s_Irr!O16&lt;&gt;".",s_Irr!AN16=".",s_Irr!BM16="."),s_dir!P16/((1/1000)*(s_Irr!O16)),IF(AND(s_Irr!O16=".",s_Irr!AN16=".",s_Irr!BM16="."),s_dir!P16*1000)))))))),".")</f>
        <v>59.67961275028162</v>
      </c>
      <c r="Q16" s="70">
        <f>IFERROR(IF(AND(s_Irr!P16&lt;&gt;".",s_Irr!AO16&lt;&gt;".",s_Irr!BN16&lt;&gt;"."),s_dir!Q16/((1/1000)*(s_Irr!P16+s_Irr!AO16+s_Irr!BN16)),IF(AND(s_Irr!P16&lt;&gt;".",s_Irr!AO16&lt;&gt;".",s_Irr!BN16="."),s_dir!Q16/((1/1000)*(s_Irr!P16+s_Irr!AO16)),IF(AND(s_Irr!P16&lt;&gt;".",s_Irr!AO16=".",s_Irr!BN16&lt;&gt;"."),s_dir!Q16/((1/1000)*(s_Irr!P16+s_Irr!BN16)),IF(AND(s_Irr!P16=".",s_Irr!AO16&lt;&gt;".",s_Irr!BN16&lt;&gt;"."),s_dir!Q16/((1/1000)*(s_Irr!AO16+s_Irr!BN16)),IF(AND(s_Irr!P16=".",s_Irr!AO16=".",s_Irr!BN16&lt;&gt;"."),s_dir!Q16/((1/1000)*(s_Irr!BN16)),IF(AND(s_Irr!P16=".",s_Irr!AO16&lt;&gt;".",s_Irr!BN16="."),s_dir!Q16/((1/1000)*(s_Irr!AO16)),IF(AND(s_Irr!P16&lt;&gt;".",s_Irr!AO16=".",s_Irr!BN16="."),s_dir!Q16/((1/1000)*(s_Irr!P16)),IF(AND(s_Irr!P16=".",s_Irr!AO16=".",s_Irr!BN16="."),s_dir!Q16*1000)))))))),".")</f>
        <v>59.67961275028162</v>
      </c>
      <c r="R16" s="70">
        <f>IFERROR(IF(AND(s_Irr!Q16&lt;&gt;".",s_Irr!AP16&lt;&gt;".",s_Irr!BO16&lt;&gt;"."),s_dir!R16/((1/1000)*(s_Irr!Q16+s_Irr!AP16+s_Irr!BO16)),IF(AND(s_Irr!Q16&lt;&gt;".",s_Irr!AP16&lt;&gt;".",s_Irr!BO16="."),s_dir!R16/((1/1000)*(s_Irr!Q16+s_Irr!AP16)),IF(AND(s_Irr!Q16&lt;&gt;".",s_Irr!AP16=".",s_Irr!BO16&lt;&gt;"."),s_dir!R16/((1/1000)*(s_Irr!Q16+s_Irr!BO16)),IF(AND(s_Irr!Q16=".",s_Irr!AP16&lt;&gt;".",s_Irr!BO16&lt;&gt;"."),s_dir!R16/((1/1000)*(s_Irr!AP16+s_Irr!BO16)),IF(AND(s_Irr!Q16=".",s_Irr!AP16=".",s_Irr!BO16&lt;&gt;"."),s_dir!R16/((1/1000)*(s_Irr!BO16)),IF(AND(s_Irr!Q16=".",s_Irr!AP16&lt;&gt;".",s_Irr!BO16="."),s_dir!R16/((1/1000)*(s_Irr!AP16)),IF(AND(s_Irr!Q16&lt;&gt;".",s_Irr!AP16=".",s_Irr!BO16="."),s_dir!R16/((1/1000)*(s_Irr!Q16)),IF(AND(s_Irr!Q16=".",s_Irr!AP16=".",s_Irr!BO16="."),s_dir!R16*1000)))))))),".")</f>
        <v>64.012608375556056</v>
      </c>
      <c r="S16" s="70">
        <f>IFERROR(IF(AND(s_Irr!R16&lt;&gt;".",s_Irr!AQ16&lt;&gt;".",s_Irr!BP16&lt;&gt;"."),s_dir!S16/((1/1000)*(s_Irr!R16+s_Irr!AQ16+s_Irr!BP16)),IF(AND(s_Irr!R16&lt;&gt;".",s_Irr!AQ16&lt;&gt;".",s_Irr!BP16="."),s_dir!S16/((1/1000)*(s_Irr!R16+s_Irr!AQ16)),IF(AND(s_Irr!R16&lt;&gt;".",s_Irr!AQ16=".",s_Irr!BP16&lt;&gt;"."),s_dir!S16/((1/1000)*(s_Irr!R16+s_Irr!BP16)),IF(AND(s_Irr!R16=".",s_Irr!AQ16&lt;&gt;".",s_Irr!BP16&lt;&gt;"."),s_dir!S16/((1/1000)*(s_Irr!AQ16+s_Irr!BP16)),IF(AND(s_Irr!R16=".",s_Irr!AQ16=".",s_Irr!BP16&lt;&gt;"."),s_dir!S16/((1/1000)*(s_Irr!BP16)),IF(AND(s_Irr!R16=".",s_Irr!AQ16&lt;&gt;".",s_Irr!BP16="."),s_dir!S16/((1/1000)*(s_Irr!AQ16)),IF(AND(s_Irr!R16&lt;&gt;".",s_Irr!AQ16=".",s_Irr!BP16="."),s_dir!S16/((1/1000)*(s_Irr!R16)),IF(AND(s_Irr!R16=".",s_Irr!AQ16=".",s_Irr!BP16="."),s_dir!S16*1000)))))))),".")</f>
        <v>64.012608375556056</v>
      </c>
      <c r="T16" s="70">
        <f>IFERROR(IF(AND(s_Irr!S16&lt;&gt;".",s_Irr!AR16&lt;&gt;".",s_Irr!BQ16&lt;&gt;"."),s_dir!T16/((1/1000)*(s_Irr!S16+s_Irr!AR16+s_Irr!BQ16)),IF(AND(s_Irr!S16&lt;&gt;".",s_Irr!AR16&lt;&gt;".",s_Irr!BQ16="."),s_dir!T16/((1/1000)*(s_Irr!S16+s_Irr!AR16)),IF(AND(s_Irr!S16&lt;&gt;".",s_Irr!AR16=".",s_Irr!BQ16&lt;&gt;"."),s_dir!T16/((1/1000)*(s_Irr!S16+s_Irr!BQ16)),IF(AND(s_Irr!S16=".",s_Irr!AR16&lt;&gt;".",s_Irr!BQ16&lt;&gt;"."),s_dir!T16/((1/1000)*(s_Irr!AR16+s_Irr!BQ16)),IF(AND(s_Irr!S16=".",s_Irr!AR16=".",s_Irr!BQ16&lt;&gt;"."),s_dir!T16/((1/1000)*(s_Irr!BQ16)),IF(AND(s_Irr!S16=".",s_Irr!AR16&lt;&gt;".",s_Irr!BQ16="."),s_dir!T16/((1/1000)*(s_Irr!AR16)),IF(AND(s_Irr!S16&lt;&gt;".",s_Irr!AR16=".",s_Irr!BQ16="."),s_dir!T16/((1/1000)*(s_Irr!S16)),IF(AND(s_Irr!S16=".",s_Irr!AR16=".",s_Irr!BQ16="."),s_dir!T16*1000)))))))),".")</f>
        <v>68.701339311114978</v>
      </c>
      <c r="U16" s="70">
        <f>IFERROR(IF(AND(s_Irr!T16&lt;&gt;".",s_Irr!AS16&lt;&gt;".",s_Irr!BR16&lt;&gt;"."),s_dir!U16/((1/1000)*(s_Irr!T16+s_Irr!AS16+s_Irr!BR16)),IF(AND(s_Irr!T16&lt;&gt;".",s_Irr!AS16&lt;&gt;".",s_Irr!BR16="."),s_dir!U16/((1/1000)*(s_Irr!T16+s_Irr!AS16)),IF(AND(s_Irr!T16&lt;&gt;".",s_Irr!AS16=".",s_Irr!BR16&lt;&gt;"."),s_dir!U16/((1/1000)*(s_Irr!T16+s_Irr!BR16)),IF(AND(s_Irr!T16=".",s_Irr!AS16&lt;&gt;".",s_Irr!BR16&lt;&gt;"."),s_dir!U16/((1/1000)*(s_Irr!AS16+s_Irr!BR16)),IF(AND(s_Irr!T16=".",s_Irr!AS16=".",s_Irr!BR16&lt;&gt;"."),s_dir!U16/((1/1000)*(s_Irr!BR16)),IF(AND(s_Irr!T16=".",s_Irr!AS16&lt;&gt;".",s_Irr!BR16="."),s_dir!U16/((1/1000)*(s_Irr!AS16)),IF(AND(s_Irr!T16&lt;&gt;".",s_Irr!AS16=".",s_Irr!BR16="."),s_dir!U16/((1/1000)*(s_Irr!T16)),IF(AND(s_Irr!T16=".",s_Irr!AS16=".",s_Irr!BR16="."),s_dir!U16*1000)))))))),".")</f>
        <v>59.67961275028162</v>
      </c>
      <c r="V16" s="70">
        <f>IFERROR(IF(AND(s_Irr!U16&lt;&gt;".",s_Irr!AT16&lt;&gt;".",s_Irr!BS16&lt;&gt;"."),s_dir!V16/((1/1000)*(s_Irr!U16+s_Irr!AT16+s_Irr!BS16)),IF(AND(s_Irr!U16&lt;&gt;".",s_Irr!AT16&lt;&gt;".",s_Irr!BS16="."),s_dir!V16/((1/1000)*(s_Irr!U16+s_Irr!AT16)),IF(AND(s_Irr!U16&lt;&gt;".",s_Irr!AT16=".",s_Irr!BS16&lt;&gt;"."),s_dir!V16/((1/1000)*(s_Irr!U16+s_Irr!BS16)),IF(AND(s_Irr!U16=".",s_Irr!AT16&lt;&gt;".",s_Irr!BS16&lt;&gt;"."),s_dir!V16/((1/1000)*(s_Irr!AT16+s_Irr!BS16)),IF(AND(s_Irr!U16=".",s_Irr!AT16=".",s_Irr!BS16&lt;&gt;"."),s_dir!V16/((1/1000)*(s_Irr!BS16)),IF(AND(s_Irr!U16=".",s_Irr!AT16&lt;&gt;".",s_Irr!BS16="."),s_dir!V16/((1/1000)*(s_Irr!AT16)),IF(AND(s_Irr!U16&lt;&gt;".",s_Irr!AT16=".",s_Irr!BS16="."),s_dir!V16/((1/1000)*(s_Irr!U16)),IF(AND(s_Irr!U16=".",s_Irr!AT16=".",s_Irr!BS16="."),s_dir!V16*1000)))))))),".")</f>
        <v>73.026010585977502</v>
      </c>
      <c r="W16" s="70">
        <f>IFERROR(IF(AND(s_Irr!V16&lt;&gt;".",s_Irr!AU16&lt;&gt;".",s_Irr!BT16&lt;&gt;"."),s_dir!W16/((1/1000)*(s_Irr!V16+s_Irr!AU16+s_Irr!BT16)),IF(AND(s_Irr!V16&lt;&gt;".",s_Irr!AU16&lt;&gt;".",s_Irr!BT16="."),s_dir!W16/((1/1000)*(s_Irr!V16+s_Irr!AU16)),IF(AND(s_Irr!V16&lt;&gt;".",s_Irr!AU16=".",s_Irr!BT16&lt;&gt;"."),s_dir!W16/((1/1000)*(s_Irr!V16+s_Irr!BT16)),IF(AND(s_Irr!V16=".",s_Irr!AU16&lt;&gt;".",s_Irr!BT16&lt;&gt;"."),s_dir!W16/((1/1000)*(s_Irr!AU16+s_Irr!BT16)),IF(AND(s_Irr!V16=".",s_Irr!AU16=".",s_Irr!BT16&lt;&gt;"."),s_dir!W16/((1/1000)*(s_Irr!BT16)),IF(AND(s_Irr!V16=".",s_Irr!AU16&lt;&gt;".",s_Irr!BT16="."),s_dir!W16/((1/1000)*(s_Irr!AU16)),IF(AND(s_Irr!V16&lt;&gt;".",s_Irr!AU16=".",s_Irr!BT16="."),s_dir!W16/((1/1000)*(s_Irr!V16)),IF(AND(s_Irr!V16=".",s_Irr!AU16=".",s_Irr!BT16="."),s_dir!W16*1000)))))))),".")</f>
        <v>59.67961275028162</v>
      </c>
      <c r="X16" s="70">
        <f>IFERROR(IF(AND(s_Irr!W16&lt;&gt;".",s_Irr!AV16&lt;&gt;".",s_Irr!BU16&lt;&gt;"."),s_dir!X16/((1/1000)*(s_Irr!W16+s_Irr!AV16+s_Irr!BU16)),IF(AND(s_Irr!W16&lt;&gt;".",s_Irr!AV16&lt;&gt;".",s_Irr!BU16="."),s_dir!X16/((1/1000)*(s_Irr!W16+s_Irr!AV16)),IF(AND(s_Irr!W16&lt;&gt;".",s_Irr!AV16=".",s_Irr!BU16&lt;&gt;"."),s_dir!X16/((1/1000)*(s_Irr!W16+s_Irr!BU16)),IF(AND(s_Irr!W16=".",s_Irr!AV16&lt;&gt;".",s_Irr!BU16&lt;&gt;"."),s_dir!X16/((1/1000)*(s_Irr!AV16+s_Irr!BU16)),IF(AND(s_Irr!W16=".",s_Irr!AV16=".",s_Irr!BU16&lt;&gt;"."),s_dir!X16/((1/1000)*(s_Irr!BU16)),IF(AND(s_Irr!W16=".",s_Irr!AV16&lt;&gt;".",s_Irr!BU16="."),s_dir!X16/((1/1000)*(s_Irr!AV16)),IF(AND(s_Irr!W16&lt;&gt;".",s_Irr!AV16=".",s_Irr!BU16="."),s_dir!X16/((1/1000)*(s_Irr!W16)),IF(AND(s_Irr!W16=".",s_Irr!AV16=".",s_Irr!BU16="."),s_dir!X16*1000)))))))),".")</f>
        <v>68.701339311114978</v>
      </c>
      <c r="Y16" s="70">
        <f>IFERROR(IF(AND(s_Irr!X16&lt;&gt;".",s_Irr!AW16&lt;&gt;".",s_Irr!BV16&lt;&gt;"."),s_dir!Y16/((1/1000)*(s_Irr!X16+s_Irr!AW16+s_Irr!BV16)),IF(AND(s_Irr!X16&lt;&gt;".",s_Irr!AW16&lt;&gt;".",s_Irr!BV16="."),s_dir!Y16/((1/1000)*(s_Irr!X16+s_Irr!AW16)),IF(AND(s_Irr!X16&lt;&gt;".",s_Irr!AW16=".",s_Irr!BV16&lt;&gt;"."),s_dir!Y16/((1/1000)*(s_Irr!X16+s_Irr!BV16)),IF(AND(s_Irr!X16=".",s_Irr!AW16&lt;&gt;".",s_Irr!BV16&lt;&gt;"."),s_dir!Y16/((1/1000)*(s_Irr!AW16+s_Irr!BV16)),IF(AND(s_Irr!X16=".",s_Irr!AW16=".",s_Irr!BV16&lt;&gt;"."),s_dir!Y16/((1/1000)*(s_Irr!BV16)),IF(AND(s_Irr!X16=".",s_Irr!AW16&lt;&gt;".",s_Irr!BV16="."),s_dir!Y16/((1/1000)*(s_Irr!AW16)),IF(AND(s_Irr!X16&lt;&gt;".",s_Irr!AW16=".",s_Irr!BV16="."),s_dir!Y16/((1/1000)*(s_Irr!X16)),IF(AND(s_Irr!X16=".",s_Irr!AW16=".",s_Irr!BV16="."),s_dir!Y16*1000)))))))),".")</f>
        <v>64.012608375556056</v>
      </c>
      <c r="Z16" s="70">
        <f>IFERROR(IF(AND(s_Irr!Y16&lt;&gt;".",s_Irr!AX16&lt;&gt;".",s_Irr!BW16&lt;&gt;"."),s_dir!Z16/((1/1000)*(s_Irr!Y16+s_Irr!AX16+s_Irr!BW16)),IF(AND(s_Irr!Y16&lt;&gt;".",s_Irr!AX16&lt;&gt;".",s_Irr!BW16="."),s_dir!Z16/((1/1000)*(s_Irr!Y16+s_Irr!AX16)),IF(AND(s_Irr!Y16&lt;&gt;".",s_Irr!AX16=".",s_Irr!BW16&lt;&gt;"."),s_dir!Z16/((1/1000)*(s_Irr!Y16+s_Irr!BW16)),IF(AND(s_Irr!Y16=".",s_Irr!AX16&lt;&gt;".",s_Irr!BW16&lt;&gt;"."),s_dir!Z16/((1/1000)*(s_Irr!AX16+s_Irr!BW16)),IF(AND(s_Irr!Y16=".",s_Irr!AX16=".",s_Irr!BW16&lt;&gt;"."),s_dir!Z16/((1/1000)*(s_Irr!BW16)),IF(AND(s_Irr!Y16=".",s_Irr!AX16&lt;&gt;".",s_Irr!BW16="."),s_dir!Z16/((1/1000)*(s_Irr!AX16)),IF(AND(s_Irr!Y16&lt;&gt;".",s_Irr!AX16=".",s_Irr!BW16="."),s_dir!Z16/((1/1000)*(s_Irr!Y16)),IF(AND(s_Irr!Y16=".",s_Irr!AX16=".",s_Irr!BW16="."),s_dir!Z16*1000)))))))),".")</f>
        <v>59.67961275028162</v>
      </c>
      <c r="AA16" s="70">
        <f>IFERROR(IF(AND(s_Irr!Z16&lt;&gt;".",s_Irr!AY16&lt;&gt;".",s_Irr!BX16&lt;&gt;"."),s_dir!AA16/((1/1000)*(s_Irr!Z16+s_Irr!AY16+s_Irr!BX16)),IF(AND(s_Irr!Z16&lt;&gt;".",s_Irr!AY16&lt;&gt;".",s_Irr!BX16="."),s_dir!AA16/((1/1000)*(s_Irr!Z16+s_Irr!AY16)),IF(AND(s_Irr!Z16&lt;&gt;".",s_Irr!AY16=".",s_Irr!BX16&lt;&gt;"."),s_dir!AA16/((1/1000)*(s_Irr!Z16+s_Irr!BX16)),IF(AND(s_Irr!Z16=".",s_Irr!AY16&lt;&gt;".",s_Irr!BX16&lt;&gt;"."),s_dir!AA16/((1/1000)*(s_Irr!AY16+s_Irr!BX16)),IF(AND(s_Irr!Z16=".",s_Irr!AY16=".",s_Irr!BX16&lt;&gt;"."),s_dir!AA16/((1/1000)*(s_Irr!BX16)),IF(AND(s_Irr!Z16=".",s_Irr!AY16&lt;&gt;".",s_Irr!BX16="."),s_dir!AA16/((1/1000)*(s_Irr!AY16)),IF(AND(s_Irr!Z16&lt;&gt;".",s_Irr!AY16=".",s_Irr!BX16="."),s_dir!AA16/((1/1000)*(s_Irr!Z16)),IF(AND(s_Irr!Z16=".",s_Irr!AY16=".",s_Irr!BX16="."),s_dir!AA16*1000)))))))),".")</f>
        <v>74.519701637325213</v>
      </c>
      <c r="AB16" s="70">
        <f>IFERROR(IF(AND(s_Irr!AA16&lt;&gt;".",s_Irr!AZ16&lt;&gt;".",s_Irr!BY16&lt;&gt;"."),s_dir!AB16/((1/1000)*(s_Irr!AA16+s_Irr!AZ16+s_Irr!BY16)),IF(AND(s_Irr!AA16&lt;&gt;".",s_Irr!AZ16&lt;&gt;".",s_Irr!BY16="."),s_dir!AB16/((1/1000)*(s_Irr!AA16+s_Irr!AZ16)),IF(AND(s_Irr!AA16&lt;&gt;".",s_Irr!AZ16=".",s_Irr!BY16&lt;&gt;"."),s_dir!AB16/((1/1000)*(s_Irr!AA16+s_Irr!BY16)),IF(AND(s_Irr!AA16=".",s_Irr!AZ16&lt;&gt;".",s_Irr!BY16&lt;&gt;"."),s_dir!AB16/((1/1000)*(s_Irr!AZ16+s_Irr!BY16)),IF(AND(s_Irr!AA16=".",s_Irr!AZ16=".",s_Irr!BY16&lt;&gt;"."),s_dir!AB16/((1/1000)*(s_Irr!BY16)),IF(AND(s_Irr!AA16=".",s_Irr!AZ16&lt;&gt;".",s_Irr!BY16="."),s_dir!AB16/((1/1000)*(s_Irr!AZ16)),IF(AND(s_Irr!AA16&lt;&gt;".",s_Irr!AZ16=".",s_Irr!BY16="."),s_dir!AB16/((1/1000)*(s_Irr!AA16)),IF(AND(s_Irr!AA16=".",s_Irr!AZ16=".",s_Irr!BY16="."),s_dir!AB16*1000)))))))),".")</f>
        <v>63.096394649006868</v>
      </c>
      <c r="AC16" s="87">
        <f t="shared" si="4"/>
        <v>408.36048903703033</v>
      </c>
      <c r="AD16" s="87">
        <f>IFERROR(s_C*s_IFAP_res_adj*s_CF_apple*0.001*(s_Irr!C16+s_Irr!AB16+s_Irr!BA16),".")</f>
        <v>103.48385260743784</v>
      </c>
      <c r="AE16" s="87">
        <f>IFERROR(s_C*s_IFAS_res_adj*s_CF_asparagus*0.001*(s_Irr!D16+s_Irr!AC16+s_Irr!BB16),".")</f>
        <v>208.67104869651413</v>
      </c>
      <c r="AF16" s="87">
        <f>IFERROR(s_C*s_IFBT_res_adj*s_CF_beet*0.001*(s_Irr!E16+s_Irr!AD16+s_Irr!BC16),".")</f>
        <v>110.99722375665758</v>
      </c>
      <c r="AG16" s="87">
        <f>IFERROR(s_C*s_IFBE_res_adj*s_CF_berries*0.001*(s_Irr!F16+s_Irr!AE16+s_Irr!BD16),".")</f>
        <v>103.48385260743784</v>
      </c>
      <c r="AH16" s="87">
        <f>IFERROR(s_C*s_IFBR_res_adj*s_CF_broccoli*0.001*(s_Irr!G16+s_Irr!AF16+s_Irr!BE16),".")</f>
        <v>110.99722375665758</v>
      </c>
      <c r="AI16" s="87">
        <f>IFERROR(s_C*s_IFCB_res_adj*s_CF_cabbage*0.001*(s_Irr!H16+s_Irr!AG16+s_Irr!BF16),".")</f>
        <v>208.67104869651413</v>
      </c>
      <c r="AJ16" s="87">
        <f>IFERROR(s_C*s_IFCR_res_adj*s_CF_carrot*0.001*(s_Irr!I16+s_Irr!AH16+s_Irr!BG16),".")</f>
        <v>110.99722375665758</v>
      </c>
      <c r="AK16" s="87">
        <f>IFERROR(s_C*s_IFCI_res_adj*s_CF_citrus*0.001*(s_Irr!J16+s_Irr!AI16+s_Irr!BH16),".")</f>
        <v>103.48385260743784</v>
      </c>
      <c r="AL16" s="87">
        <f>IFERROR(s_C*s_IFCO_res_adj*s_CF_corn*0.001*(s_Irr!K16+s_Irr!AJ16+s_Irr!BI16),".")</f>
        <v>90.260319384811112</v>
      </c>
      <c r="AM16" s="87">
        <f>IFERROR(s_C*s_IFCU_res_adj*s_CF_cucumber*0.001*(s_Irr!L16+s_Irr!AK16+s_Irr!BJ16),".")</f>
        <v>110.99722375665758</v>
      </c>
      <c r="AN16" s="87">
        <f>IFERROR(s_C*s_IFLE_res_adj*s_CF_lettuce*0.001*(s_Irr!M16+s_Irr!AL16+s_Irr!BK16),".")</f>
        <v>208.67104869651413</v>
      </c>
      <c r="AO16" s="87">
        <f>IFERROR(s_C*s_IFLI_res_adj*s_CF_lima_bean*0.001*(s_Irr!N16+s_Irr!AM16+s_Irr!BL16),".")</f>
        <v>96.421283727171286</v>
      </c>
      <c r="AP16" s="87">
        <f>IFERROR(s_C*s_IFOK_res_adj*s_CF_okra*0.001*(s_Irr!O16+s_Irr!AN16+s_Irr!BM16),".")</f>
        <v>110.99722375665758</v>
      </c>
      <c r="AQ16" s="87">
        <f>IFERROR(s_C*s_IFON_res_adj*s_CF_onion*0.001*(s_Irr!P16+s_Irr!AO16+s_Irr!BN16),".")</f>
        <v>110.99722375665758</v>
      </c>
      <c r="AR16" s="87">
        <f>IFERROR(s_C*s_IFPC_res_adj*s_CF_peach*0.001*(s_Irr!Q16+s_Irr!AP16+s_Irr!BO16),".")</f>
        <v>103.48385260743784</v>
      </c>
      <c r="AS16" s="87">
        <f>IFERROR(s_C*s_IFPR_res_adj*s_CF_pear*0.001*(s_Irr!R16+s_Irr!AQ16+s_Irr!BP16),".")</f>
        <v>103.48385260743784</v>
      </c>
      <c r="AT16" s="87">
        <f>IFERROR(s_C*s_IFPE_res_adj*s_CF_peas*0.001*(s_Irr!S16+s_Irr!AR16+s_Irr!BQ16),".")</f>
        <v>96.421283727171286</v>
      </c>
      <c r="AU16" s="87">
        <f>IFERROR(s_C*s_IFPP_res_adj*s_CF_peppers*0.001*(s_Irr!T16+s_Irr!AS16+s_Irr!BR16),".")</f>
        <v>110.99722375665758</v>
      </c>
      <c r="AV16" s="87">
        <f>IFERROR(s_C*s_IFPT_res_adj*s_CF_potato*0.001*(s_Irr!U16+s_Irr!AT16+s_Irr!BS16),".")</f>
        <v>90.711121653764295</v>
      </c>
      <c r="AW16" s="87">
        <f>IFERROR(s_C*s_IFPU_res_adj*s_CF_pumpkin*0.001*(s_Irr!V16+s_Irr!AU16+s_Irr!BT16),".")</f>
        <v>110.99722375665758</v>
      </c>
      <c r="AX16" s="87">
        <f>IFERROR(s_C*s_IFSN_res_adj*s_CF_snap_bean*0.001*(s_Irr!W16+s_Irr!AV16+s_Irr!BU16),".")</f>
        <v>96.421283727171286</v>
      </c>
      <c r="AY16" s="87">
        <f>IFERROR(s_C*s_IFST_res_adj*s_CF_strawberry*0.001*(s_Irr!X16+s_Irr!AW16+s_Irr!BV16),".")</f>
        <v>103.48385260743784</v>
      </c>
      <c r="AZ16" s="87">
        <f>IFERROR(s_C*s_IFTO_res_adj*s_CF_tomato*0.001*(s_Irr!Y16+s_Irr!AX16+s_Irr!BW16),".")</f>
        <v>110.99722375665758</v>
      </c>
      <c r="BA16" s="87">
        <f>IFERROR(s_C*s_IFRI_res_adj*s_CF_rice*0.001*(s_Irr!Z16+s_Irr!AY16+s_Irr!BX16),".")</f>
        <v>88.892885835653118</v>
      </c>
      <c r="BB16" s="87">
        <f>IFERROR(s_C*s_IFCG_res_adj*s_CF_cereal*0.001*(s_Irr!AA16+s_Irr!AZ16+s_Irr!BY16),".")</f>
        <v>104.98652683728179</v>
      </c>
      <c r="BC16" s="70">
        <f t="shared" si="1"/>
        <v>16.221626499112627</v>
      </c>
      <c r="BD16" s="70">
        <f>IFERROR(IF(AND(s_Irr!C16&lt;&gt;".",s_Irr!AB16&lt;&gt;".",s_Irr!BA16&lt;&gt;"."),s_dir!AD16/((1/1000)*(s_Irr!C16+s_Irr!AB16+s_Irr!BA16)),IF(AND(s_Irr!C16&lt;&gt;".",s_Irr!AB16&lt;&gt;".",s_Irr!BA16="."),s_dir!AD16/((1/1000)*(s_Irr!C16+s_Irr!AB16)),IF(AND(s_Irr!C16&lt;&gt;".",s_Irr!AB16=".",s_Irr!BA16&lt;&gt;"."),s_dir!AD16/((1/1000)*(s_Irr!C16+s_Irr!BA16)),IF(AND(s_Irr!C16=".",s_Irr!AB16&lt;&gt;".",s_Irr!BA16&lt;&gt;"."),s_dir!AD16/((1/1000)*(s_Irr!AB16+s_Irr!BA16)),IF(AND(s_Irr!C16=".",s_Irr!AB16=".",s_Irr!BA16&lt;&gt;"."),s_dir!AD16/((1/1000)*(s_Irr!BA16)),IF(AND(s_Irr!C16=".",s_Irr!AB16&lt;&gt;".",s_Irr!BA16="."),s_dir!AD16/((1/1000)*(s_Irr!AB16)),IF(AND(s_Irr!C16&lt;&gt;".",s_Irr!AB16=".",s_Irr!BA16="."),s_dir!AD16/((1/1000)*(s_Irr!C16)),IF(AND(s_Irr!C16=".",s_Irr!AB16=".",s_Irr!BA16="."),s_dir!AD16*1000)))))))),".")</f>
        <v>64.012608375556056</v>
      </c>
      <c r="BE16" s="70">
        <f>IFERROR(IF(AND(s_Irr!D16&lt;&gt;".",s_Irr!AC16&lt;&gt;".",s_Irr!BB16&lt;&gt;"."),s_dir!AE16/((1/1000)*(s_Irr!D16+s_Irr!AC16+s_Irr!BB16)),IF(AND(s_Irr!D16&lt;&gt;".",s_Irr!AC16&lt;&gt;".",s_Irr!BB16="."),s_dir!AE16/((1/1000)*(s_Irr!D16+s_Irr!AC16)),IF(AND(s_Irr!D16&lt;&gt;".",s_Irr!AC16=".",s_Irr!BB16&lt;&gt;"."),s_dir!AE16/((1/1000)*(s_Irr!D16+s_Irr!BB16)),IF(AND(s_Irr!D16=".",s_Irr!AC16&lt;&gt;".",s_Irr!BB16&lt;&gt;"."),s_dir!AE16/((1/1000)*(s_Irr!AC16+s_Irr!BB16)),IF(AND(s_Irr!D16=".",s_Irr!AC16=".",s_Irr!BB16&lt;&gt;"."),s_dir!AE16/((1/1000)*(s_Irr!BB16)),IF(AND(s_Irr!D16=".",s_Irr!AC16&lt;&gt;".",s_Irr!BB16="."),s_dir!AE16/((1/1000)*(s_Irr!AC16)),IF(AND(s_Irr!D16&lt;&gt;".",s_Irr!AC16=".",s_Irr!BB16="."),s_dir!AE16/((1/1000)*(s_Irr!D16)),IF(AND(s_Irr!D16=".",s_Irr!AC16=".",s_Irr!BB16="."),s_dir!AE16*1000)))))))),".")</f>
        <v>31.745042599502412</v>
      </c>
      <c r="BF16" s="70">
        <f>IFERROR(IF(AND(s_Irr!E16&lt;&gt;".",s_Irr!AD16&lt;&gt;".",s_Irr!BC16&lt;&gt;"."),s_dir!AF16/((1/1000)*(s_Irr!E16+s_Irr!AD16+s_Irr!BC16)),IF(AND(s_Irr!E16&lt;&gt;".",s_Irr!AD16&lt;&gt;".",s_Irr!BC16="."),s_dir!AF16/((1/1000)*(s_Irr!E16+s_Irr!AD16)),IF(AND(s_Irr!E16&lt;&gt;".",s_Irr!AD16=".",s_Irr!BC16&lt;&gt;"."),s_dir!AF16/((1/1000)*(s_Irr!E16+s_Irr!BC16)),IF(AND(s_Irr!E16=".",s_Irr!AD16&lt;&gt;".",s_Irr!BC16&lt;&gt;"."),s_dir!AF16/((1/1000)*(s_Irr!AD16+s_Irr!BC16)),IF(AND(s_Irr!E16=".",s_Irr!AD16=".",s_Irr!BC16&lt;&gt;"."),s_dir!AF16/((1/1000)*(s_Irr!BC16)),IF(AND(s_Irr!E16=".",s_Irr!AD16&lt;&gt;".",s_Irr!BC16="."),s_dir!AF16/((1/1000)*(s_Irr!AD16)),IF(AND(s_Irr!E16&lt;&gt;".",s_Irr!AD16=".",s_Irr!BC16="."),s_dir!AF16/((1/1000)*(s_Irr!E16)),IF(AND(s_Irr!E16=".",s_Irr!AD16=".",s_Irr!BC16="."),s_dir!AF16*1000)))))))),".")</f>
        <v>59.67961275028162</v>
      </c>
      <c r="BG16" s="70">
        <f>IFERROR(IF(AND(s_Irr!F16&lt;&gt;".",s_Irr!AE16&lt;&gt;".",s_Irr!BD16&lt;&gt;"."),s_dir!AG16/((1/1000)*(s_Irr!F16+s_Irr!AE16+s_Irr!BD16)),IF(AND(s_Irr!F16&lt;&gt;".",s_Irr!AE16&lt;&gt;".",s_Irr!BD16="."),s_dir!AG16/((1/1000)*(s_Irr!F16+s_Irr!AE16)),IF(AND(s_Irr!F16&lt;&gt;".",s_Irr!AE16=".",s_Irr!BD16&lt;&gt;"."),s_dir!AG16/((1/1000)*(s_Irr!F16+s_Irr!BD16)),IF(AND(s_Irr!F16=".",s_Irr!AE16&lt;&gt;".",s_Irr!BD16&lt;&gt;"."),s_dir!AG16/((1/1000)*(s_Irr!AE16+s_Irr!BD16)),IF(AND(s_Irr!F16=".",s_Irr!AE16=".",s_Irr!BD16&lt;&gt;"."),s_dir!AG16/((1/1000)*(s_Irr!BD16)),IF(AND(s_Irr!F16=".",s_Irr!AE16&lt;&gt;".",s_Irr!BD16="."),s_dir!AG16/((1/1000)*(s_Irr!AE16)),IF(AND(s_Irr!F16&lt;&gt;".",s_Irr!AE16=".",s_Irr!BD16="."),s_dir!AG16/((1/1000)*(s_Irr!F16)),IF(AND(s_Irr!F16=".",s_Irr!AE16=".",s_Irr!BD16="."),s_dir!AG16*1000)))))))),".")</f>
        <v>64.012608375556056</v>
      </c>
      <c r="BH16" s="70">
        <f>IFERROR(IF(AND(s_Irr!G16&lt;&gt;".",s_Irr!AF16&lt;&gt;".",s_Irr!BE16&lt;&gt;"."),s_dir!AH16/((1/1000)*(s_Irr!G16+s_Irr!AF16+s_Irr!BE16)),IF(AND(s_Irr!G16&lt;&gt;".",s_Irr!AF16&lt;&gt;".",s_Irr!BE16="."),s_dir!AH16/((1/1000)*(s_Irr!G16+s_Irr!AF16)),IF(AND(s_Irr!G16&lt;&gt;".",s_Irr!AF16=".",s_Irr!BE16&lt;&gt;"."),s_dir!AH16/((1/1000)*(s_Irr!G16+s_Irr!BE16)),IF(AND(s_Irr!G16=".",s_Irr!AF16&lt;&gt;".",s_Irr!BE16&lt;&gt;"."),s_dir!AH16/((1/1000)*(s_Irr!AF16+s_Irr!BE16)),IF(AND(s_Irr!G16=".",s_Irr!AF16=".",s_Irr!BE16&lt;&gt;"."),s_dir!AH16/((1/1000)*(s_Irr!BE16)),IF(AND(s_Irr!G16=".",s_Irr!AF16&lt;&gt;".",s_Irr!BE16="."),s_dir!AH16/((1/1000)*(s_Irr!AF16)),IF(AND(s_Irr!G16&lt;&gt;".",s_Irr!AF16=".",s_Irr!BE16="."),s_dir!AH16/((1/1000)*(s_Irr!G16)),IF(AND(s_Irr!G16=".",s_Irr!AF16=".",s_Irr!BE16="."),s_dir!AH16*1000)))))))),".")</f>
        <v>59.67961275028162</v>
      </c>
      <c r="BI16" s="70">
        <f>IFERROR(IF(AND(s_Irr!H16&lt;&gt;".",s_Irr!AG16&lt;&gt;".",s_Irr!BF16&lt;&gt;"."),s_dir!AI16/((1/1000)*(s_Irr!H16+s_Irr!AG16+s_Irr!BF16)),IF(AND(s_Irr!H16&lt;&gt;".",s_Irr!AG16&lt;&gt;".",s_Irr!BF16="."),s_dir!AI16/((1/1000)*(s_Irr!H16+s_Irr!AG16)),IF(AND(s_Irr!H16&lt;&gt;".",s_Irr!AG16=".",s_Irr!BF16&lt;&gt;"."),s_dir!AI16/((1/1000)*(s_Irr!H16+s_Irr!BF16)),IF(AND(s_Irr!H16=".",s_Irr!AG16&lt;&gt;".",s_Irr!BF16&lt;&gt;"."),s_dir!AI16/((1/1000)*(s_Irr!AG16+s_Irr!BF16)),IF(AND(s_Irr!H16=".",s_Irr!AG16=".",s_Irr!BF16&lt;&gt;"."),s_dir!AI16/((1/1000)*(s_Irr!BF16)),IF(AND(s_Irr!H16=".",s_Irr!AG16&lt;&gt;".",s_Irr!BF16="."),s_dir!AI16/((1/1000)*(s_Irr!AG16)),IF(AND(s_Irr!H16&lt;&gt;".",s_Irr!AG16=".",s_Irr!BF16="."),s_dir!AI16/((1/1000)*(s_Irr!H16)),IF(AND(s_Irr!H16=".",s_Irr!AG16=".",s_Irr!BF16="."),s_dir!AI16*1000)))))))),".")</f>
        <v>31.745042599502412</v>
      </c>
      <c r="BJ16" s="70">
        <f>IFERROR(IF(AND(s_Irr!I16&lt;&gt;".",s_Irr!AH16&lt;&gt;".",s_Irr!BG16&lt;&gt;"."),s_dir!AJ16/((1/1000)*(s_Irr!I16+s_Irr!AH16+s_Irr!BG16)),IF(AND(s_Irr!I16&lt;&gt;".",s_Irr!AH16&lt;&gt;".",s_Irr!BG16="."),s_dir!AJ16/((1/1000)*(s_Irr!I16+s_Irr!AH16)),IF(AND(s_Irr!I16&lt;&gt;".",s_Irr!AH16=".",s_Irr!BG16&lt;&gt;"."),s_dir!AJ16/((1/1000)*(s_Irr!I16+s_Irr!BG16)),IF(AND(s_Irr!I16=".",s_Irr!AH16&lt;&gt;".",s_Irr!BG16&lt;&gt;"."),s_dir!AJ16/((1/1000)*(s_Irr!AH16+s_Irr!BG16)),IF(AND(s_Irr!I16=".",s_Irr!AH16=".",s_Irr!BG16&lt;&gt;"."),s_dir!AJ16/((1/1000)*(s_Irr!BG16)),IF(AND(s_Irr!I16=".",s_Irr!AH16&lt;&gt;".",s_Irr!BG16="."),s_dir!AJ16/((1/1000)*(s_Irr!AH16)),IF(AND(s_Irr!I16&lt;&gt;".",s_Irr!AH16=".",s_Irr!BG16="."),s_dir!AJ16/((1/1000)*(s_Irr!I16)),IF(AND(s_Irr!I16=".",s_Irr!AH16=".",s_Irr!BG16="."),s_dir!AJ16*1000)))))))),".")</f>
        <v>59.67961275028162</v>
      </c>
      <c r="BK16" s="70">
        <f>IFERROR(IF(AND(s_Irr!J16&lt;&gt;".",s_Irr!AI16&lt;&gt;".",s_Irr!BH16&lt;&gt;"."),s_dir!AK16/((1/1000)*(s_Irr!J16+s_Irr!AI16+s_Irr!BH16)),IF(AND(s_Irr!J16&lt;&gt;".",s_Irr!AI16&lt;&gt;".",s_Irr!BH16="."),s_dir!AK16/((1/1000)*(s_Irr!J16+s_Irr!AI16)),IF(AND(s_Irr!J16&lt;&gt;".",s_Irr!AI16=".",s_Irr!BH16&lt;&gt;"."),s_dir!AK16/((1/1000)*(s_Irr!J16+s_Irr!BH16)),IF(AND(s_Irr!J16=".",s_Irr!AI16&lt;&gt;".",s_Irr!BH16&lt;&gt;"."),s_dir!AK16/((1/1000)*(s_Irr!AI16+s_Irr!BH16)),IF(AND(s_Irr!J16=".",s_Irr!AI16=".",s_Irr!BH16&lt;&gt;"."),s_dir!AK16/((1/1000)*(s_Irr!BH16)),IF(AND(s_Irr!J16=".",s_Irr!AI16&lt;&gt;".",s_Irr!BH16="."),s_dir!AK16/((1/1000)*(s_Irr!AI16)),IF(AND(s_Irr!J16&lt;&gt;".",s_Irr!AI16=".",s_Irr!BH16="."),s_dir!AK16/((1/1000)*(s_Irr!J16)),IF(AND(s_Irr!J16=".",s_Irr!AI16=".",s_Irr!BH16="."),s_dir!AK16*1000)))))))),".")</f>
        <v>64.012608375556056</v>
      </c>
      <c r="BL16" s="70">
        <f>IFERROR(IF(AND(s_Irr!K16&lt;&gt;".",s_Irr!AJ16&lt;&gt;".",s_Irr!BI16&lt;&gt;"."),s_dir!AL16/((1/1000)*(s_Irr!K16+s_Irr!AJ16+s_Irr!BI16)),IF(AND(s_Irr!K16&lt;&gt;".",s_Irr!AJ16&lt;&gt;".",s_Irr!BI16="."),s_dir!AL16/((1/1000)*(s_Irr!K16+s_Irr!AJ16)),IF(AND(s_Irr!K16&lt;&gt;".",s_Irr!AJ16=".",s_Irr!BI16&lt;&gt;"."),s_dir!AL16/((1/1000)*(s_Irr!K16+s_Irr!BI16)),IF(AND(s_Irr!K16=".",s_Irr!AJ16&lt;&gt;".",s_Irr!BI16&lt;&gt;"."),s_dir!AL16/((1/1000)*(s_Irr!AJ16+s_Irr!BI16)),IF(AND(s_Irr!K16=".",s_Irr!AJ16=".",s_Irr!BI16&lt;&gt;"."),s_dir!AL16/((1/1000)*(s_Irr!BI16)),IF(AND(s_Irr!K16=".",s_Irr!AJ16&lt;&gt;".",s_Irr!BI16="."),s_dir!AL16/((1/1000)*(s_Irr!AJ16)),IF(AND(s_Irr!K16&lt;&gt;".",s_Irr!AJ16=".",s_Irr!BI16="."),s_dir!AL16/((1/1000)*(s_Irr!K16)),IF(AND(s_Irr!K16=".",s_Irr!AJ16=".",s_Irr!BI16="."),s_dir!AL16*1000)))))))),".")</f>
        <v>73.390736652638168</v>
      </c>
      <c r="BM16" s="70">
        <f>IFERROR(IF(AND(s_Irr!L16&lt;&gt;".",s_Irr!AK16&lt;&gt;".",s_Irr!BJ16&lt;&gt;"."),s_dir!AM16/((1/1000)*(s_Irr!L16+s_Irr!AK16+s_Irr!BJ16)),IF(AND(s_Irr!L16&lt;&gt;".",s_Irr!AK16&lt;&gt;".",s_Irr!BJ16="."),s_dir!AM16/((1/1000)*(s_Irr!L16+s_Irr!AK16)),IF(AND(s_Irr!L16&lt;&gt;".",s_Irr!AK16=".",s_Irr!BJ16&lt;&gt;"."),s_dir!AM16/((1/1000)*(s_Irr!L16+s_Irr!BJ16)),IF(AND(s_Irr!L16=".",s_Irr!AK16&lt;&gt;".",s_Irr!BJ16&lt;&gt;"."),s_dir!AM16/((1/1000)*(s_Irr!AK16+s_Irr!BJ16)),IF(AND(s_Irr!L16=".",s_Irr!AK16=".",s_Irr!BJ16&lt;&gt;"."),s_dir!AM16/((1/1000)*(s_Irr!BJ16)),IF(AND(s_Irr!L16=".",s_Irr!AK16&lt;&gt;".",s_Irr!BJ16="."),s_dir!AM16/((1/1000)*(s_Irr!AK16)),IF(AND(s_Irr!L16&lt;&gt;".",s_Irr!AK16=".",s_Irr!BJ16="."),s_dir!AM16/((1/1000)*(s_Irr!L16)),IF(AND(s_Irr!L16=".",s_Irr!AK16=".",s_Irr!BJ16="."),s_dir!AM16*1000)))))))),".")</f>
        <v>59.67961275028162</v>
      </c>
      <c r="BN16" s="70">
        <f>IFERROR(IF(AND(s_Irr!M16&lt;&gt;".",s_Irr!AL16&lt;&gt;".",s_Irr!BK16&lt;&gt;"."),s_dir!AN16/((1/1000)*(s_Irr!M16+s_Irr!AL16+s_Irr!BK16)),IF(AND(s_Irr!M16&lt;&gt;".",s_Irr!AL16&lt;&gt;".",s_Irr!BK16="."),s_dir!AN16/((1/1000)*(s_Irr!M16+s_Irr!AL16)),IF(AND(s_Irr!M16&lt;&gt;".",s_Irr!AL16=".",s_Irr!BK16&lt;&gt;"."),s_dir!AN16/((1/1000)*(s_Irr!M16+s_Irr!BK16)),IF(AND(s_Irr!M16=".",s_Irr!AL16&lt;&gt;".",s_Irr!BK16&lt;&gt;"."),s_dir!AN16/((1/1000)*(s_Irr!AL16+s_Irr!BK16)),IF(AND(s_Irr!M16=".",s_Irr!AL16=".",s_Irr!BK16&lt;&gt;"."),s_dir!AN16/((1/1000)*(s_Irr!BK16)),IF(AND(s_Irr!M16=".",s_Irr!AL16&lt;&gt;".",s_Irr!BK16="."),s_dir!AN16/((1/1000)*(s_Irr!AL16)),IF(AND(s_Irr!M16&lt;&gt;".",s_Irr!AL16=".",s_Irr!BK16="."),s_dir!AN16/((1/1000)*(s_Irr!M16)),IF(AND(s_Irr!M16=".",s_Irr!AL16=".",s_Irr!BK16="."),s_dir!AN16*1000)))))))),".")</f>
        <v>31.745042599502412</v>
      </c>
      <c r="BO16" s="70">
        <f>IFERROR(IF(AND(s_Irr!N16&lt;&gt;".",s_Irr!AM16&lt;&gt;".",s_Irr!BL16&lt;&gt;"."),s_dir!AO16/((1/1000)*(s_Irr!N16+s_Irr!AM16+s_Irr!BL16)),IF(AND(s_Irr!N16&lt;&gt;".",s_Irr!AM16&lt;&gt;".",s_Irr!BL16="."),s_dir!AO16/((1/1000)*(s_Irr!N16+s_Irr!AM16)),IF(AND(s_Irr!N16&lt;&gt;".",s_Irr!AM16=".",s_Irr!BL16&lt;&gt;"."),s_dir!AO16/((1/1000)*(s_Irr!N16+s_Irr!BL16)),IF(AND(s_Irr!N16=".",s_Irr!AM16&lt;&gt;".",s_Irr!BL16&lt;&gt;"."),s_dir!AO16/((1/1000)*(s_Irr!AM16+s_Irr!BL16)),IF(AND(s_Irr!N16=".",s_Irr!AM16=".",s_Irr!BL16&lt;&gt;"."),s_dir!AO16/((1/1000)*(s_Irr!BL16)),IF(AND(s_Irr!N16=".",s_Irr!AM16&lt;&gt;".",s_Irr!BL16="."),s_dir!AO16/((1/1000)*(s_Irr!AM16)),IF(AND(s_Irr!N16&lt;&gt;".",s_Irr!AM16=".",s_Irr!BL16="."),s_dir!AO16/((1/1000)*(s_Irr!N16)),IF(AND(s_Irr!N16=".",s_Irr!AM16=".",s_Irr!BL16="."),s_dir!AO16*1000)))))))),".")</f>
        <v>68.701339311114978</v>
      </c>
      <c r="BP16" s="70">
        <f>IFERROR(IF(AND(s_Irr!O16&lt;&gt;".",s_Irr!AN16&lt;&gt;".",s_Irr!BM16&lt;&gt;"."),s_dir!AP16/((1/1000)*(s_Irr!O16+s_Irr!AN16+s_Irr!BM16)),IF(AND(s_Irr!O16&lt;&gt;".",s_Irr!AN16&lt;&gt;".",s_Irr!BM16="."),s_dir!AP16/((1/1000)*(s_Irr!O16+s_Irr!AN16)),IF(AND(s_Irr!O16&lt;&gt;".",s_Irr!AN16=".",s_Irr!BM16&lt;&gt;"."),s_dir!AP16/((1/1000)*(s_Irr!O16+s_Irr!BM16)),IF(AND(s_Irr!O16=".",s_Irr!AN16&lt;&gt;".",s_Irr!BM16&lt;&gt;"."),s_dir!AP16/((1/1000)*(s_Irr!AN16+s_Irr!BM16)),IF(AND(s_Irr!O16=".",s_Irr!AN16=".",s_Irr!BM16&lt;&gt;"."),s_dir!AP16/((1/1000)*(s_Irr!BM16)),IF(AND(s_Irr!O16=".",s_Irr!AN16&lt;&gt;".",s_Irr!BM16="."),s_dir!AP16/((1/1000)*(s_Irr!AN16)),IF(AND(s_Irr!O16&lt;&gt;".",s_Irr!AN16=".",s_Irr!BM16="."),s_dir!AP16/((1/1000)*(s_Irr!O16)),IF(AND(s_Irr!O16=".",s_Irr!AN16=".",s_Irr!BM16="."),s_dir!AP16*1000)))))))),".")</f>
        <v>59.67961275028162</v>
      </c>
      <c r="BQ16" s="70">
        <f>IFERROR(IF(AND(s_Irr!P16&lt;&gt;".",s_Irr!AO16&lt;&gt;".",s_Irr!BN16&lt;&gt;"."),s_dir!AQ16/((1/1000)*(s_Irr!P16+s_Irr!AO16+s_Irr!BN16)),IF(AND(s_Irr!P16&lt;&gt;".",s_Irr!AO16&lt;&gt;".",s_Irr!BN16="."),s_dir!AQ16/((1/1000)*(s_Irr!P16+s_Irr!AO16)),IF(AND(s_Irr!P16&lt;&gt;".",s_Irr!AO16=".",s_Irr!BN16&lt;&gt;"."),s_dir!AQ16/((1/1000)*(s_Irr!P16+s_Irr!BN16)),IF(AND(s_Irr!P16=".",s_Irr!AO16&lt;&gt;".",s_Irr!BN16&lt;&gt;"."),s_dir!AQ16/((1/1000)*(s_Irr!AO16+s_Irr!BN16)),IF(AND(s_Irr!P16=".",s_Irr!AO16=".",s_Irr!BN16&lt;&gt;"."),s_dir!AQ16/((1/1000)*(s_Irr!BN16)),IF(AND(s_Irr!P16=".",s_Irr!AO16&lt;&gt;".",s_Irr!BN16="."),s_dir!AQ16/((1/1000)*(s_Irr!AO16)),IF(AND(s_Irr!P16&lt;&gt;".",s_Irr!AO16=".",s_Irr!BN16="."),s_dir!AQ16/((1/1000)*(s_Irr!P16)),IF(AND(s_Irr!P16=".",s_Irr!AO16=".",s_Irr!BN16="."),s_dir!AQ16*1000)))))))),".")</f>
        <v>59.67961275028162</v>
      </c>
      <c r="BR16" s="70">
        <f>IFERROR(IF(AND(s_Irr!Q16&lt;&gt;".",s_Irr!AP16&lt;&gt;".",s_Irr!BO16&lt;&gt;"."),s_dir!AR16/((1/1000)*(s_Irr!Q16+s_Irr!AP16+s_Irr!BO16)),IF(AND(s_Irr!Q16&lt;&gt;".",s_Irr!AP16&lt;&gt;".",s_Irr!BO16="."),s_dir!AR16/((1/1000)*(s_Irr!Q16+s_Irr!AP16)),IF(AND(s_Irr!Q16&lt;&gt;".",s_Irr!AP16=".",s_Irr!BO16&lt;&gt;"."),s_dir!AR16/((1/1000)*(s_Irr!Q16+s_Irr!BO16)),IF(AND(s_Irr!Q16=".",s_Irr!AP16&lt;&gt;".",s_Irr!BO16&lt;&gt;"."),s_dir!AR16/((1/1000)*(s_Irr!AP16+s_Irr!BO16)),IF(AND(s_Irr!Q16=".",s_Irr!AP16=".",s_Irr!BO16&lt;&gt;"."),s_dir!AR16/((1/1000)*(s_Irr!BO16)),IF(AND(s_Irr!Q16=".",s_Irr!AP16&lt;&gt;".",s_Irr!BO16="."),s_dir!AR16/((1/1000)*(s_Irr!AP16)),IF(AND(s_Irr!Q16&lt;&gt;".",s_Irr!AP16=".",s_Irr!BO16="."),s_dir!AR16/((1/1000)*(s_Irr!Q16)),IF(AND(s_Irr!Q16=".",s_Irr!AP16=".",s_Irr!BO16="."),s_dir!AR16*1000)))))))),".")</f>
        <v>64.012608375556056</v>
      </c>
      <c r="BS16" s="70">
        <f>IFERROR(IF(AND(s_Irr!R16&lt;&gt;".",s_Irr!AQ16&lt;&gt;".",s_Irr!BP16&lt;&gt;"."),s_dir!AS16/((1/1000)*(s_Irr!R16+s_Irr!AQ16+s_Irr!BP16)),IF(AND(s_Irr!R16&lt;&gt;".",s_Irr!AQ16&lt;&gt;".",s_Irr!BP16="."),s_dir!AS16/((1/1000)*(s_Irr!R16+s_Irr!AQ16)),IF(AND(s_Irr!R16&lt;&gt;".",s_Irr!AQ16=".",s_Irr!BP16&lt;&gt;"."),s_dir!AS16/((1/1000)*(s_Irr!R16+s_Irr!BP16)),IF(AND(s_Irr!R16=".",s_Irr!AQ16&lt;&gt;".",s_Irr!BP16&lt;&gt;"."),s_dir!AS16/((1/1000)*(s_Irr!AQ16+s_Irr!BP16)),IF(AND(s_Irr!R16=".",s_Irr!AQ16=".",s_Irr!BP16&lt;&gt;"."),s_dir!AS16/((1/1000)*(s_Irr!BP16)),IF(AND(s_Irr!R16=".",s_Irr!AQ16&lt;&gt;".",s_Irr!BP16="."),s_dir!AS16/((1/1000)*(s_Irr!AQ16)),IF(AND(s_Irr!R16&lt;&gt;".",s_Irr!AQ16=".",s_Irr!BP16="."),s_dir!AS16/((1/1000)*(s_Irr!R16)),IF(AND(s_Irr!R16=".",s_Irr!AQ16=".",s_Irr!BP16="."),s_dir!AS16*1000)))))))),".")</f>
        <v>64.012608375556056</v>
      </c>
      <c r="BT16" s="70">
        <f>IFERROR(IF(AND(s_Irr!S16&lt;&gt;".",s_Irr!AR16&lt;&gt;".",s_Irr!BQ16&lt;&gt;"."),s_dir!AT16/((1/1000)*(s_Irr!S16+s_Irr!AR16+s_Irr!BQ16)),IF(AND(s_Irr!S16&lt;&gt;".",s_Irr!AR16&lt;&gt;".",s_Irr!BQ16="."),s_dir!AT16/((1/1000)*(s_Irr!S16+s_Irr!AR16)),IF(AND(s_Irr!S16&lt;&gt;".",s_Irr!AR16=".",s_Irr!BQ16&lt;&gt;"."),s_dir!AT16/((1/1000)*(s_Irr!S16+s_Irr!BQ16)),IF(AND(s_Irr!S16=".",s_Irr!AR16&lt;&gt;".",s_Irr!BQ16&lt;&gt;"."),s_dir!AT16/((1/1000)*(s_Irr!AR16+s_Irr!BQ16)),IF(AND(s_Irr!S16=".",s_Irr!AR16=".",s_Irr!BQ16&lt;&gt;"."),s_dir!AT16/((1/1000)*(s_Irr!BQ16)),IF(AND(s_Irr!S16=".",s_Irr!AR16&lt;&gt;".",s_Irr!BQ16="."),s_dir!AT16/((1/1000)*(s_Irr!AR16)),IF(AND(s_Irr!S16&lt;&gt;".",s_Irr!AR16=".",s_Irr!BQ16="."),s_dir!AT16/((1/1000)*(s_Irr!S16)),IF(AND(s_Irr!S16=".",s_Irr!AR16=".",s_Irr!BQ16="."),s_dir!AT16*1000)))))))),".")</f>
        <v>68.701339311114978</v>
      </c>
      <c r="BU16" s="70">
        <f>IFERROR(IF(AND(s_Irr!T16&lt;&gt;".",s_Irr!AS16&lt;&gt;".",s_Irr!BR16&lt;&gt;"."),s_dir!AU16/((1/1000)*(s_Irr!T16+s_Irr!AS16+s_Irr!BR16)),IF(AND(s_Irr!T16&lt;&gt;".",s_Irr!AS16&lt;&gt;".",s_Irr!BR16="."),s_dir!AU16/((1/1000)*(s_Irr!T16+s_Irr!AS16)),IF(AND(s_Irr!T16&lt;&gt;".",s_Irr!AS16=".",s_Irr!BR16&lt;&gt;"."),s_dir!AU16/((1/1000)*(s_Irr!T16+s_Irr!BR16)),IF(AND(s_Irr!T16=".",s_Irr!AS16&lt;&gt;".",s_Irr!BR16&lt;&gt;"."),s_dir!AU16/((1/1000)*(s_Irr!AS16+s_Irr!BR16)),IF(AND(s_Irr!T16=".",s_Irr!AS16=".",s_Irr!BR16&lt;&gt;"."),s_dir!AU16/((1/1000)*(s_Irr!BR16)),IF(AND(s_Irr!T16=".",s_Irr!AS16&lt;&gt;".",s_Irr!BR16="."),s_dir!AU16/((1/1000)*(s_Irr!AS16)),IF(AND(s_Irr!T16&lt;&gt;".",s_Irr!AS16=".",s_Irr!BR16="."),s_dir!AU16/((1/1000)*(s_Irr!T16)),IF(AND(s_Irr!T16=".",s_Irr!AS16=".",s_Irr!BR16="."),s_dir!AU16*1000)))))))),".")</f>
        <v>59.67961275028162</v>
      </c>
      <c r="BV16" s="70">
        <f>IFERROR(IF(AND(s_Irr!U16&lt;&gt;".",s_Irr!AT16&lt;&gt;".",s_Irr!BS16&lt;&gt;"."),s_dir!AV16/((1/1000)*(s_Irr!U16+s_Irr!AT16+s_Irr!BS16)),IF(AND(s_Irr!U16&lt;&gt;".",s_Irr!AT16&lt;&gt;".",s_Irr!BS16="."),s_dir!AV16/((1/1000)*(s_Irr!U16+s_Irr!AT16)),IF(AND(s_Irr!U16&lt;&gt;".",s_Irr!AT16=".",s_Irr!BS16&lt;&gt;"."),s_dir!AV16/((1/1000)*(s_Irr!U16+s_Irr!BS16)),IF(AND(s_Irr!U16=".",s_Irr!AT16&lt;&gt;".",s_Irr!BS16&lt;&gt;"."),s_dir!AV16/((1/1000)*(s_Irr!AT16+s_Irr!BS16)),IF(AND(s_Irr!U16=".",s_Irr!AT16=".",s_Irr!BS16&lt;&gt;"."),s_dir!AV16/((1/1000)*(s_Irr!BS16)),IF(AND(s_Irr!U16=".",s_Irr!AT16&lt;&gt;".",s_Irr!BS16="."),s_dir!AV16/((1/1000)*(s_Irr!AT16)),IF(AND(s_Irr!U16&lt;&gt;".",s_Irr!AT16=".",s_Irr!BS16="."),s_dir!AV16/((1/1000)*(s_Irr!U16)),IF(AND(s_Irr!U16=".",s_Irr!AT16=".",s_Irr!BS16="."),s_dir!AV16*1000)))))))),".")</f>
        <v>73.026010585977502</v>
      </c>
      <c r="BW16" s="70">
        <f>IFERROR(IF(AND(s_Irr!V16&lt;&gt;".",s_Irr!AU16&lt;&gt;".",s_Irr!BT16&lt;&gt;"."),s_dir!AW16/((1/1000)*(s_Irr!V16+s_Irr!AU16+s_Irr!BT16)),IF(AND(s_Irr!V16&lt;&gt;".",s_Irr!AU16&lt;&gt;".",s_Irr!BT16="."),s_dir!AW16/((1/1000)*(s_Irr!V16+s_Irr!AU16)),IF(AND(s_Irr!V16&lt;&gt;".",s_Irr!AU16=".",s_Irr!BT16&lt;&gt;"."),s_dir!AW16/((1/1000)*(s_Irr!V16+s_Irr!BT16)),IF(AND(s_Irr!V16=".",s_Irr!AU16&lt;&gt;".",s_Irr!BT16&lt;&gt;"."),s_dir!AW16/((1/1000)*(s_Irr!AU16+s_Irr!BT16)),IF(AND(s_Irr!V16=".",s_Irr!AU16=".",s_Irr!BT16&lt;&gt;"."),s_dir!AW16/((1/1000)*(s_Irr!BT16)),IF(AND(s_Irr!V16=".",s_Irr!AU16&lt;&gt;".",s_Irr!BT16="."),s_dir!AW16/((1/1000)*(s_Irr!AU16)),IF(AND(s_Irr!V16&lt;&gt;".",s_Irr!AU16=".",s_Irr!BT16="."),s_dir!AW16/((1/1000)*(s_Irr!V16)),IF(AND(s_Irr!V16=".",s_Irr!AU16=".",s_Irr!BT16="."),s_dir!AW16*1000)))))))),".")</f>
        <v>59.67961275028162</v>
      </c>
      <c r="BX16" s="70">
        <f>IFERROR(IF(AND(s_Irr!W16&lt;&gt;".",s_Irr!AV16&lt;&gt;".",s_Irr!BU16&lt;&gt;"."),s_dir!AX16/((1/1000)*(s_Irr!W16+s_Irr!AV16+s_Irr!BU16)),IF(AND(s_Irr!W16&lt;&gt;".",s_Irr!AV16&lt;&gt;".",s_Irr!BU16="."),s_dir!AX16/((1/1000)*(s_Irr!W16+s_Irr!AV16)),IF(AND(s_Irr!W16&lt;&gt;".",s_Irr!AV16=".",s_Irr!BU16&lt;&gt;"."),s_dir!AX16/((1/1000)*(s_Irr!W16+s_Irr!BU16)),IF(AND(s_Irr!W16=".",s_Irr!AV16&lt;&gt;".",s_Irr!BU16&lt;&gt;"."),s_dir!AX16/((1/1000)*(s_Irr!AV16+s_Irr!BU16)),IF(AND(s_Irr!W16=".",s_Irr!AV16=".",s_Irr!BU16&lt;&gt;"."),s_dir!AX16/((1/1000)*(s_Irr!BU16)),IF(AND(s_Irr!W16=".",s_Irr!AV16&lt;&gt;".",s_Irr!BU16="."),s_dir!AX16/((1/1000)*(s_Irr!AV16)),IF(AND(s_Irr!W16&lt;&gt;".",s_Irr!AV16=".",s_Irr!BU16="."),s_dir!AX16/((1/1000)*(s_Irr!W16)),IF(AND(s_Irr!W16=".",s_Irr!AV16=".",s_Irr!BU16="."),s_dir!AX16*1000)))))))),".")</f>
        <v>68.701339311114978</v>
      </c>
      <c r="BY16" s="70">
        <f>IFERROR(IF(AND(s_Irr!X16&lt;&gt;".",s_Irr!AW16&lt;&gt;".",s_Irr!BV16&lt;&gt;"."),s_dir!AY16/((1/1000)*(s_Irr!X16+s_Irr!AW16+s_Irr!BV16)),IF(AND(s_Irr!X16&lt;&gt;".",s_Irr!AW16&lt;&gt;".",s_Irr!BV16="."),s_dir!AY16/((1/1000)*(s_Irr!X16+s_Irr!AW16)),IF(AND(s_Irr!X16&lt;&gt;".",s_Irr!AW16=".",s_Irr!BV16&lt;&gt;"."),s_dir!AY16/((1/1000)*(s_Irr!X16+s_Irr!BV16)),IF(AND(s_Irr!X16=".",s_Irr!AW16&lt;&gt;".",s_Irr!BV16&lt;&gt;"."),s_dir!AY16/((1/1000)*(s_Irr!AW16+s_Irr!BV16)),IF(AND(s_Irr!X16=".",s_Irr!AW16=".",s_Irr!BV16&lt;&gt;"."),s_dir!AY16/((1/1000)*(s_Irr!BV16)),IF(AND(s_Irr!X16=".",s_Irr!AW16&lt;&gt;".",s_Irr!BV16="."),s_dir!AY16/((1/1000)*(s_Irr!AW16)),IF(AND(s_Irr!X16&lt;&gt;".",s_Irr!AW16=".",s_Irr!BV16="."),s_dir!AY16/((1/1000)*(s_Irr!X16)),IF(AND(s_Irr!X16=".",s_Irr!AW16=".",s_Irr!BV16="."),s_dir!AY16*1000)))))))),".")</f>
        <v>64.012608375556056</v>
      </c>
      <c r="BZ16" s="70">
        <f>IFERROR(IF(AND(s_Irr!Y16&lt;&gt;".",s_Irr!AX16&lt;&gt;".",s_Irr!BW16&lt;&gt;"."),s_dir!AZ16/((1/1000)*(s_Irr!Y16+s_Irr!AX16+s_Irr!BW16)),IF(AND(s_Irr!Y16&lt;&gt;".",s_Irr!AX16&lt;&gt;".",s_Irr!BW16="."),s_dir!AZ16/((1/1000)*(s_Irr!Y16+s_Irr!AX16)),IF(AND(s_Irr!Y16&lt;&gt;".",s_Irr!AX16=".",s_Irr!BW16&lt;&gt;"."),s_dir!AZ16/((1/1000)*(s_Irr!Y16+s_Irr!BW16)),IF(AND(s_Irr!Y16=".",s_Irr!AX16&lt;&gt;".",s_Irr!BW16&lt;&gt;"."),s_dir!AZ16/((1/1000)*(s_Irr!AX16+s_Irr!BW16)),IF(AND(s_Irr!Y16=".",s_Irr!AX16=".",s_Irr!BW16&lt;&gt;"."),s_dir!AZ16/((1/1000)*(s_Irr!BW16)),IF(AND(s_Irr!Y16=".",s_Irr!AX16&lt;&gt;".",s_Irr!BW16="."),s_dir!AZ16/((1/1000)*(s_Irr!AX16)),IF(AND(s_Irr!Y16&lt;&gt;".",s_Irr!AX16=".",s_Irr!BW16="."),s_dir!AZ16/((1/1000)*(s_Irr!Y16)),IF(AND(s_Irr!Y16=".",s_Irr!AX16=".",s_Irr!BW16="."),s_dir!AZ16*1000)))))))),".")</f>
        <v>59.67961275028162</v>
      </c>
      <c r="CA16" s="70">
        <f>IFERROR(IF(AND(s_Irr!Z16&lt;&gt;".",s_Irr!AY16&lt;&gt;".",s_Irr!BX16&lt;&gt;"."),s_dir!BA16/((1/1000)*(s_Irr!Z16+s_Irr!AY16+s_Irr!BX16)),IF(AND(s_Irr!Z16&lt;&gt;".",s_Irr!AY16&lt;&gt;".",s_Irr!BX16="."),s_dir!BA16/((1/1000)*(s_Irr!Z16+s_Irr!AY16)),IF(AND(s_Irr!Z16&lt;&gt;".",s_Irr!AY16=".",s_Irr!BX16&lt;&gt;"."),s_dir!BA16/((1/1000)*(s_Irr!Z16+s_Irr!BX16)),IF(AND(s_Irr!Z16=".",s_Irr!AY16&lt;&gt;".",s_Irr!BX16&lt;&gt;"."),s_dir!BA16/((1/1000)*(s_Irr!AY16+s_Irr!BX16)),IF(AND(s_Irr!Z16=".",s_Irr!AY16=".",s_Irr!BX16&lt;&gt;"."),s_dir!BA16/((1/1000)*(s_Irr!BX16)),IF(AND(s_Irr!Z16=".",s_Irr!AY16&lt;&gt;".",s_Irr!BX16="."),s_dir!BA16/((1/1000)*(s_Irr!AY16)),IF(AND(s_Irr!Z16&lt;&gt;".",s_Irr!AY16=".",s_Irr!BX16="."),s_dir!BA16/((1/1000)*(s_Irr!Z16)),IF(AND(s_Irr!Z16=".",s_Irr!AY16=".",s_Irr!BX16="."),s_dir!BA16*1000)))))))),".")</f>
        <v>74.519701637325213</v>
      </c>
      <c r="CB16" s="70">
        <f>IFERROR(IF(AND(s_Irr!AA16&lt;&gt;".",s_Irr!AZ16&lt;&gt;".",s_Irr!BY16&lt;&gt;"."),s_dir!BB16/((1/1000)*(s_Irr!AA16+s_Irr!AZ16+s_Irr!BY16)),IF(AND(s_Irr!AA16&lt;&gt;".",s_Irr!AZ16&lt;&gt;".",s_Irr!BY16="."),s_dir!BB16/((1/1000)*(s_Irr!AA16+s_Irr!AZ16)),IF(AND(s_Irr!AA16&lt;&gt;".",s_Irr!AZ16=".",s_Irr!BY16&lt;&gt;"."),s_dir!BB16/((1/1000)*(s_Irr!AA16+s_Irr!BY16)),IF(AND(s_Irr!AA16=".",s_Irr!AZ16&lt;&gt;".",s_Irr!BY16&lt;&gt;"."),s_dir!BB16/((1/1000)*(s_Irr!AZ16+s_Irr!BY16)),IF(AND(s_Irr!AA16=".",s_Irr!AZ16=".",s_Irr!BY16&lt;&gt;"."),s_dir!BB16/((1/1000)*(s_Irr!BY16)),IF(AND(s_Irr!AA16=".",s_Irr!AZ16&lt;&gt;".",s_Irr!BY16="."),s_dir!BB16/((1/1000)*(s_Irr!AZ16)),IF(AND(s_Irr!AA16&lt;&gt;".",s_Irr!AZ16=".",s_Irr!BY16="."),s_dir!BB16/((1/1000)*(s_Irr!AA16)),IF(AND(s_Irr!AA16=".",s_Irr!AZ16=".",s_Irr!BY16="."),s_dir!BB16*1000)))))))),".")</f>
        <v>63.096394649006868</v>
      </c>
      <c r="CC16" s="87">
        <f t="shared" si="2"/>
        <v>408.36048903703033</v>
      </c>
      <c r="CD16" s="87">
        <f>IFERROR(s_C*s_IFAP_far_adj*s_CF_apple*(1/1000)*(s_Irr!C16+s_Irr!AB16+s_Irr!BA16),".")</f>
        <v>103.48385260743784</v>
      </c>
      <c r="CE16" s="87">
        <f>IFERROR(s_C*s_IFAS_far_adj*s_CF_asparagus*(1/1000)*(s_Irr!D16+s_Irr!AC16+s_Irr!BB16),".")</f>
        <v>208.67104869651413</v>
      </c>
      <c r="CF16" s="87">
        <f>IFERROR(s_C*s_IFBT_far_adj*s_CF_beet*(1/1000)*(s_Irr!E16+s_Irr!AD16+s_Irr!BC16),".")</f>
        <v>110.99722375665758</v>
      </c>
      <c r="CG16" s="87">
        <f>IFERROR(s_C*s_IFBE_far_adj*s_CF_berries*(1/1000)*(s_Irr!F16+s_Irr!AE16+s_Irr!BD16),".")</f>
        <v>103.48385260743784</v>
      </c>
      <c r="CH16" s="87">
        <f>IFERROR(s_C*s_IFBR_far_adj*s_CF_broccoli*(1/1000)*(s_Irr!G16+s_Irr!AF16+s_Irr!BE16),".")</f>
        <v>110.99722375665758</v>
      </c>
      <c r="CI16" s="87">
        <f>IFERROR(s_C*s_IFCB_far_adj*s_CF_cabbage*(1/1000)*(s_Irr!H16+s_Irr!AG16+s_Irr!BF16),".")</f>
        <v>208.67104869651413</v>
      </c>
      <c r="CJ16" s="87">
        <f>IFERROR(s_C*s_IFCR_far_adj*s_CF_carrot*(1/1000)*(s_Irr!I16+s_Irr!AH16+s_Irr!BG16),".")</f>
        <v>110.99722375665758</v>
      </c>
      <c r="CK16" s="87">
        <f>IFERROR(s_C*s_IFCI_far_adj*s_CF_citrus*(1/1000)*(s_Irr!J16+s_Irr!AI16+s_Irr!BH16),".")</f>
        <v>103.48385260743784</v>
      </c>
      <c r="CL16" s="87">
        <f>IFERROR(s_C*s_IFCO_far_adj*s_CF_corn*(1/1000)*(s_Irr!K16+s_Irr!AJ16+s_Irr!BI16),".")</f>
        <v>90.260319384811112</v>
      </c>
      <c r="CM16" s="87">
        <f>IFERROR(s_C*s_IFCU_far_adj*s_CF_cucumber*(1/1000)*(s_Irr!L16+s_Irr!AK16+s_Irr!BJ16),".")</f>
        <v>110.99722375665758</v>
      </c>
      <c r="CN16" s="87">
        <f>IFERROR(s_C*s_IFLE_far_adj*s_CF_lettuce*(1/1000)*(s_Irr!M16+s_Irr!AL16+s_Irr!BK16),".")</f>
        <v>208.67104869651413</v>
      </c>
      <c r="CO16" s="87">
        <f>IFERROR(s_C*s_IFLI_far_adj*s_CF_lima_bean*(1/1000)*(s_Irr!N16+s_Irr!AM16+s_Irr!BL16),".")</f>
        <v>96.421283727171286</v>
      </c>
      <c r="CP16" s="87">
        <f>IFERROR(s_C*s_IFOK_far_adj*s_CF_okra*(1/1000)*(s_Irr!O16+s_Irr!AN16+s_Irr!BM16),".")</f>
        <v>110.99722375665758</v>
      </c>
      <c r="CQ16" s="87">
        <f>IFERROR(s_C*s_IFON_far_adj*s_CF_onion*(1/1000)*(s_Irr!P16+s_Irr!AO16+s_Irr!BN16),".")</f>
        <v>110.99722375665758</v>
      </c>
      <c r="CR16" s="87">
        <f>IFERROR(s_C*s_IFPC_far_adj*s_CF_peach*(1/1000)*(s_Irr!Q16+s_Irr!AP16+s_Irr!BO16),".")</f>
        <v>103.48385260743784</v>
      </c>
      <c r="CS16" s="87">
        <f>IFERROR(s_C*s_IFPR_far_adj*s_CF_pear*(1/1000)*(s_Irr!R16+s_Irr!AQ16+s_Irr!BP16),".")</f>
        <v>103.48385260743784</v>
      </c>
      <c r="CT16" s="87">
        <f>IFERROR(s_C*s_IFPE_far_adj*s_CF_peas*(1/1000)*(s_Irr!S16+s_Irr!AR16+s_Irr!BQ16),".")</f>
        <v>96.421283727171286</v>
      </c>
      <c r="CU16" s="87">
        <f>IFERROR(s_C*s_IFPP_far_adj*s_CF_peppers*(1/1000)*(s_Irr!T16+s_Irr!AS16+s_Irr!BR16),".")</f>
        <v>110.99722375665758</v>
      </c>
      <c r="CV16" s="87">
        <f>IFERROR(s_C*s_IFPT_far_adj*s_CF_potato*(1/1000)*(s_Irr!U16+s_Irr!AT16+s_Irr!BS16),".")</f>
        <v>90.711121653764295</v>
      </c>
      <c r="CW16" s="87">
        <f>IFERROR(s_C*s_IFPU_far_adj*s_CF_pumpkin*(1/1000)*(s_Irr!V16+s_Irr!AU16+s_Irr!BT16),".")</f>
        <v>110.99722375665758</v>
      </c>
      <c r="CX16" s="87">
        <f>IFERROR(s_C*s_IFSN_far_adj*s_CF_snap_bean*(1/1000)*(s_Irr!W16+s_Irr!AV16+s_Irr!BU16),".")</f>
        <v>96.421283727171286</v>
      </c>
      <c r="CY16" s="87">
        <f>IFERROR(s_C*s_IFST_far_adj*s_CF_strawberry*(1/1000)*(s_Irr!X16+s_Irr!AW16+s_Irr!BV16),".")</f>
        <v>103.48385260743784</v>
      </c>
      <c r="CZ16" s="87">
        <f>IFERROR(s_C*s_IFTO_far_adj*s_CF_tomato*(1/1000)*(s_Irr!Y16+s_Irr!AX16+s_Irr!BW16),".")</f>
        <v>110.99722375665758</v>
      </c>
      <c r="DA16" s="87">
        <f>IFERROR(s_C*s_IFRI_far_adj*s_CF_rice*(1/1000)*(s_Irr!Z16+s_Irr!AY16+s_Irr!BX16),".")</f>
        <v>88.892885835653118</v>
      </c>
      <c r="DB16" s="87">
        <f>IFERROR(s_C*s_IFCG_far_adj*s_CF_cereal*(1/1000)*(s_Irr!AA16+s_Irr!AZ16+s_Irr!BY16),".")</f>
        <v>104.98652683728179</v>
      </c>
    </row>
    <row r="17" spans="1:106" ht="15" customHeight="1" x14ac:dyDescent="0.25">
      <c r="A17" s="86" t="s">
        <v>15</v>
      </c>
      <c r="B17" s="84" t="s">
        <v>1057</v>
      </c>
      <c r="C17" s="15">
        <f t="shared" si="3"/>
        <v>83146.025271833569</v>
      </c>
      <c r="D17" s="70">
        <f>IFERROR(IF(AND(s_Irr!C17&lt;&gt;".",s_Irr!AB17&lt;&gt;".",s_Irr!BA17&lt;&gt;"."),s_dir!D17/((1/1000)*(s_Irr!C17+s_Irr!AB17+s_Irr!BA17)),IF(AND(s_Irr!C17&lt;&gt;".",s_Irr!AB17&lt;&gt;".",s_Irr!BA17="."),s_dir!D17/((1/1000)*(s_Irr!C17+s_Irr!AB17)),IF(AND(s_Irr!C17&lt;&gt;".",s_Irr!AB17=".",s_Irr!BA17&lt;&gt;"."),s_dir!D17/((1/1000)*(s_Irr!C17+s_Irr!BA17)),IF(AND(s_Irr!C17=".",s_Irr!AB17&lt;&gt;".",s_Irr!BA17&lt;&gt;"."),s_dir!D17/((1/1000)*(s_Irr!AB17+s_Irr!BA17)),IF(AND(s_Irr!C17=".",s_Irr!AB17=".",s_Irr!BA17&lt;&gt;"."),s_dir!D17/((1/1000)*(s_Irr!BA17)),IF(AND(s_Irr!C17=".",s_Irr!AB17&lt;&gt;".",s_Irr!BA17="."),s_dir!D17/((1/1000)*(s_Irr!AB17)),IF(AND(s_Irr!C17&lt;&gt;".",s_Irr!AB17=".",s_Irr!BA17="."),s_dir!D17/((1/1000)*(s_Irr!C17)),IF(AND(s_Irr!C17=".",s_Irr!AB17=".",s_Irr!BA17="."),s_dir!D17*1000)))))))),".")</f>
        <v>328104.82684958377</v>
      </c>
      <c r="E17" s="70">
        <f>IFERROR(IF(AND(s_Irr!D17&lt;&gt;".",s_Irr!AC17&lt;&gt;".",s_Irr!BB17&lt;&gt;"."),s_dir!E17/((1/1000)*(s_Irr!D17+s_Irr!AC17+s_Irr!BB17)),IF(AND(s_Irr!D17&lt;&gt;".",s_Irr!AC17&lt;&gt;".",s_Irr!BB17="."),s_dir!E17/((1/1000)*(s_Irr!D17+s_Irr!AC17)),IF(AND(s_Irr!D17&lt;&gt;".",s_Irr!AC17=".",s_Irr!BB17&lt;&gt;"."),s_dir!E17/((1/1000)*(s_Irr!D17+s_Irr!BB17)),IF(AND(s_Irr!D17=".",s_Irr!AC17&lt;&gt;".",s_Irr!BB17&lt;&gt;"."),s_dir!E17/((1/1000)*(s_Irr!AC17+s_Irr!BB17)),IF(AND(s_Irr!D17=".",s_Irr!AC17=".",s_Irr!BB17&lt;&gt;"."),s_dir!E17/((1/1000)*(s_Irr!BB17)),IF(AND(s_Irr!D17=".",s_Irr!AC17&lt;&gt;".",s_Irr!BB17="."),s_dir!E17/((1/1000)*(s_Irr!AC17)),IF(AND(s_Irr!D17&lt;&gt;".",s_Irr!AC17=".",s_Irr!BB17="."),s_dir!E17/((1/1000)*(s_Irr!D17)),IF(AND(s_Irr!D17=".",s_Irr!AC17=".",s_Irr!BB17="."),s_dir!E17*1000)))))))),".")</f>
        <v>162713.28367584149</v>
      </c>
      <c r="F17" s="70">
        <f>IFERROR(IF(AND(s_Irr!E17&lt;&gt;".",s_Irr!AD17&lt;&gt;".",s_Irr!BC17&lt;&gt;"."),s_dir!F17/((1/1000)*(s_Irr!E17+s_Irr!AD17+s_Irr!BC17)),IF(AND(s_Irr!E17&lt;&gt;".",s_Irr!AD17&lt;&gt;".",s_Irr!BC17="."),s_dir!F17/((1/1000)*(s_Irr!E17+s_Irr!AD17)),IF(AND(s_Irr!E17&lt;&gt;".",s_Irr!AD17=".",s_Irr!BC17&lt;&gt;"."),s_dir!F17/((1/1000)*(s_Irr!E17+s_Irr!BC17)),IF(AND(s_Irr!E17=".",s_Irr!AD17&lt;&gt;".",s_Irr!BC17&lt;&gt;"."),s_dir!F17/((1/1000)*(s_Irr!AD17+s_Irr!BC17)),IF(AND(s_Irr!E17=".",s_Irr!AD17=".",s_Irr!BC17&lt;&gt;"."),s_dir!F17/((1/1000)*(s_Irr!BC17)),IF(AND(s_Irr!E17=".",s_Irr!AD17&lt;&gt;".",s_Irr!BC17="."),s_dir!F17/((1/1000)*(s_Irr!AD17)),IF(AND(s_Irr!E17&lt;&gt;".",s_Irr!AD17=".",s_Irr!BC17="."),s_dir!F17/((1/1000)*(s_Irr!E17)),IF(AND(s_Irr!E17=".",s_Irr!AD17=".",s_Irr!BC17="."),s_dir!F17*1000)))))))),".")</f>
        <v>305895.50253913185</v>
      </c>
      <c r="G17" s="70">
        <f>IFERROR(IF(AND(s_Irr!F17&lt;&gt;".",s_Irr!AE17&lt;&gt;".",s_Irr!BD17&lt;&gt;"."),s_dir!G17/((1/1000)*(s_Irr!F17+s_Irr!AE17+s_Irr!BD17)),IF(AND(s_Irr!F17&lt;&gt;".",s_Irr!AE17&lt;&gt;".",s_Irr!BD17="."),s_dir!G17/((1/1000)*(s_Irr!F17+s_Irr!AE17)),IF(AND(s_Irr!F17&lt;&gt;".",s_Irr!AE17=".",s_Irr!BD17&lt;&gt;"."),s_dir!G17/((1/1000)*(s_Irr!F17+s_Irr!BD17)),IF(AND(s_Irr!F17=".",s_Irr!AE17&lt;&gt;".",s_Irr!BD17&lt;&gt;"."),s_dir!G17/((1/1000)*(s_Irr!AE17+s_Irr!BD17)),IF(AND(s_Irr!F17=".",s_Irr!AE17=".",s_Irr!BD17&lt;&gt;"."),s_dir!G17/((1/1000)*(s_Irr!BD17)),IF(AND(s_Irr!F17=".",s_Irr!AE17&lt;&gt;".",s_Irr!BD17="."),s_dir!G17/((1/1000)*(s_Irr!AE17)),IF(AND(s_Irr!F17&lt;&gt;".",s_Irr!AE17=".",s_Irr!BD17="."),s_dir!G17/((1/1000)*(s_Irr!F17)),IF(AND(s_Irr!F17=".",s_Irr!AE17=".",s_Irr!BD17="."),s_dir!G17*1000)))))))),".")</f>
        <v>328104.82684958377</v>
      </c>
      <c r="H17" s="70">
        <f>IFERROR(IF(AND(s_Irr!G17&lt;&gt;".",s_Irr!AF17&lt;&gt;".",s_Irr!BE17&lt;&gt;"."),s_dir!H17/((1/1000)*(s_Irr!G17+s_Irr!AF17+s_Irr!BE17)),IF(AND(s_Irr!G17&lt;&gt;".",s_Irr!AF17&lt;&gt;".",s_Irr!BE17="."),s_dir!H17/((1/1000)*(s_Irr!G17+s_Irr!AF17)),IF(AND(s_Irr!G17&lt;&gt;".",s_Irr!AF17=".",s_Irr!BE17&lt;&gt;"."),s_dir!H17/((1/1000)*(s_Irr!G17+s_Irr!BE17)),IF(AND(s_Irr!G17=".",s_Irr!AF17&lt;&gt;".",s_Irr!BE17&lt;&gt;"."),s_dir!H17/((1/1000)*(s_Irr!AF17+s_Irr!BE17)),IF(AND(s_Irr!G17=".",s_Irr!AF17=".",s_Irr!BE17&lt;&gt;"."),s_dir!H17/((1/1000)*(s_Irr!BE17)),IF(AND(s_Irr!G17=".",s_Irr!AF17&lt;&gt;".",s_Irr!BE17="."),s_dir!H17/((1/1000)*(s_Irr!AF17)),IF(AND(s_Irr!G17&lt;&gt;".",s_Irr!AF17=".",s_Irr!BE17="."),s_dir!H17/((1/1000)*(s_Irr!G17)),IF(AND(s_Irr!G17=".",s_Irr!AF17=".",s_Irr!BE17="."),s_dir!H17*1000)))))))),".")</f>
        <v>305895.50253913185</v>
      </c>
      <c r="I17" s="70">
        <f>IFERROR(IF(AND(s_Irr!H17&lt;&gt;".",s_Irr!AG17&lt;&gt;".",s_Irr!BF17&lt;&gt;"."),s_dir!I17/((1/1000)*(s_Irr!H17+s_Irr!AG17+s_Irr!BF17)),IF(AND(s_Irr!H17&lt;&gt;".",s_Irr!AG17&lt;&gt;".",s_Irr!BF17="."),s_dir!I17/((1/1000)*(s_Irr!H17+s_Irr!AG17)),IF(AND(s_Irr!H17&lt;&gt;".",s_Irr!AG17=".",s_Irr!BF17&lt;&gt;"."),s_dir!I17/((1/1000)*(s_Irr!H17+s_Irr!BF17)),IF(AND(s_Irr!H17=".",s_Irr!AG17&lt;&gt;".",s_Irr!BF17&lt;&gt;"."),s_dir!I17/((1/1000)*(s_Irr!AG17+s_Irr!BF17)),IF(AND(s_Irr!H17=".",s_Irr!AG17=".",s_Irr!BF17&lt;&gt;"."),s_dir!I17/((1/1000)*(s_Irr!BF17)),IF(AND(s_Irr!H17=".",s_Irr!AG17&lt;&gt;".",s_Irr!BF17="."),s_dir!I17/((1/1000)*(s_Irr!AG17)),IF(AND(s_Irr!H17&lt;&gt;".",s_Irr!AG17=".",s_Irr!BF17="."),s_dir!I17/((1/1000)*(s_Irr!H17)),IF(AND(s_Irr!H17=".",s_Irr!AG17=".",s_Irr!BF17="."),s_dir!I17*1000)))))))),".")</f>
        <v>162713.28367584149</v>
      </c>
      <c r="J17" s="70">
        <f>IFERROR(IF(AND(s_Irr!I17&lt;&gt;".",s_Irr!AH17&lt;&gt;".",s_Irr!BG17&lt;&gt;"."),s_dir!J17/((1/1000)*(s_Irr!I17+s_Irr!AH17+s_Irr!BG17)),IF(AND(s_Irr!I17&lt;&gt;".",s_Irr!AH17&lt;&gt;".",s_Irr!BG17="."),s_dir!J17/((1/1000)*(s_Irr!I17+s_Irr!AH17)),IF(AND(s_Irr!I17&lt;&gt;".",s_Irr!AH17=".",s_Irr!BG17&lt;&gt;"."),s_dir!J17/((1/1000)*(s_Irr!I17+s_Irr!BG17)),IF(AND(s_Irr!I17=".",s_Irr!AH17&lt;&gt;".",s_Irr!BG17&lt;&gt;"."),s_dir!J17/((1/1000)*(s_Irr!AH17+s_Irr!BG17)),IF(AND(s_Irr!I17=".",s_Irr!AH17=".",s_Irr!BG17&lt;&gt;"."),s_dir!J17/((1/1000)*(s_Irr!BG17)),IF(AND(s_Irr!I17=".",s_Irr!AH17&lt;&gt;".",s_Irr!BG17="."),s_dir!J17/((1/1000)*(s_Irr!AH17)),IF(AND(s_Irr!I17&lt;&gt;".",s_Irr!AH17=".",s_Irr!BG17="."),s_dir!J17/((1/1000)*(s_Irr!I17)),IF(AND(s_Irr!I17=".",s_Irr!AH17=".",s_Irr!BG17="."),s_dir!J17*1000)))))))),".")</f>
        <v>305895.50253913185</v>
      </c>
      <c r="K17" s="70">
        <f>IFERROR(IF(AND(s_Irr!J17&lt;&gt;".",s_Irr!AI17&lt;&gt;".",s_Irr!BH17&lt;&gt;"."),s_dir!K17/((1/1000)*(s_Irr!J17+s_Irr!AI17+s_Irr!BH17)),IF(AND(s_Irr!J17&lt;&gt;".",s_Irr!AI17&lt;&gt;".",s_Irr!BH17="."),s_dir!K17/((1/1000)*(s_Irr!J17+s_Irr!AI17)),IF(AND(s_Irr!J17&lt;&gt;".",s_Irr!AI17=".",s_Irr!BH17&lt;&gt;"."),s_dir!K17/((1/1000)*(s_Irr!J17+s_Irr!BH17)),IF(AND(s_Irr!J17=".",s_Irr!AI17&lt;&gt;".",s_Irr!BH17&lt;&gt;"."),s_dir!K17/((1/1000)*(s_Irr!AI17+s_Irr!BH17)),IF(AND(s_Irr!J17=".",s_Irr!AI17=".",s_Irr!BH17&lt;&gt;"."),s_dir!K17/((1/1000)*(s_Irr!BH17)),IF(AND(s_Irr!J17=".",s_Irr!AI17&lt;&gt;".",s_Irr!BH17="."),s_dir!K17/((1/1000)*(s_Irr!AI17)),IF(AND(s_Irr!J17&lt;&gt;".",s_Irr!AI17=".",s_Irr!BH17="."),s_dir!K17/((1/1000)*(s_Irr!J17)),IF(AND(s_Irr!J17=".",s_Irr!AI17=".",s_Irr!BH17="."),s_dir!K17*1000)))))))),".")</f>
        <v>328104.82684958377</v>
      </c>
      <c r="L17" s="70">
        <f>IFERROR(IF(AND(s_Irr!K17&lt;&gt;".",s_Irr!AJ17&lt;&gt;".",s_Irr!BI17&lt;&gt;"."),s_dir!L17/((1/1000)*(s_Irr!K17+s_Irr!AJ17+s_Irr!BI17)),IF(AND(s_Irr!K17&lt;&gt;".",s_Irr!AJ17&lt;&gt;".",s_Irr!BI17="."),s_dir!L17/((1/1000)*(s_Irr!K17+s_Irr!AJ17)),IF(AND(s_Irr!K17&lt;&gt;".",s_Irr!AJ17=".",s_Irr!BI17&lt;&gt;"."),s_dir!L17/((1/1000)*(s_Irr!K17+s_Irr!BI17)),IF(AND(s_Irr!K17=".",s_Irr!AJ17&lt;&gt;".",s_Irr!BI17&lt;&gt;"."),s_dir!L17/((1/1000)*(s_Irr!AJ17+s_Irr!BI17)),IF(AND(s_Irr!K17=".",s_Irr!AJ17=".",s_Irr!BI17&lt;&gt;"."),s_dir!L17/((1/1000)*(s_Irr!BI17)),IF(AND(s_Irr!K17=".",s_Irr!AJ17&lt;&gt;".",s_Irr!BI17="."),s_dir!L17/((1/1000)*(s_Irr!AJ17)),IF(AND(s_Irr!K17&lt;&gt;".",s_Irr!AJ17=".",s_Irr!BI17="."),s_dir!L17/((1/1000)*(s_Irr!K17)),IF(AND(s_Irr!K17=".",s_Irr!AJ17=".",s_Irr!BI17="."),s_dir!L17*1000)))))))),".")</f>
        <v>376173.62505372323</v>
      </c>
      <c r="M17" s="70">
        <f>IFERROR(IF(AND(s_Irr!L17&lt;&gt;".",s_Irr!AK17&lt;&gt;".",s_Irr!BJ17&lt;&gt;"."),s_dir!M17/((1/1000)*(s_Irr!L17+s_Irr!AK17+s_Irr!BJ17)),IF(AND(s_Irr!L17&lt;&gt;".",s_Irr!AK17&lt;&gt;".",s_Irr!BJ17="."),s_dir!M17/((1/1000)*(s_Irr!L17+s_Irr!AK17)),IF(AND(s_Irr!L17&lt;&gt;".",s_Irr!AK17=".",s_Irr!BJ17&lt;&gt;"."),s_dir!M17/((1/1000)*(s_Irr!L17+s_Irr!BJ17)),IF(AND(s_Irr!L17=".",s_Irr!AK17&lt;&gt;".",s_Irr!BJ17&lt;&gt;"."),s_dir!M17/((1/1000)*(s_Irr!AK17+s_Irr!BJ17)),IF(AND(s_Irr!L17=".",s_Irr!AK17=".",s_Irr!BJ17&lt;&gt;"."),s_dir!M17/((1/1000)*(s_Irr!BJ17)),IF(AND(s_Irr!L17=".",s_Irr!AK17&lt;&gt;".",s_Irr!BJ17="."),s_dir!M17/((1/1000)*(s_Irr!AK17)),IF(AND(s_Irr!L17&lt;&gt;".",s_Irr!AK17=".",s_Irr!BJ17="."),s_dir!M17/((1/1000)*(s_Irr!L17)),IF(AND(s_Irr!L17=".",s_Irr!AK17=".",s_Irr!BJ17="."),s_dir!M17*1000)))))))),".")</f>
        <v>305895.50253913185</v>
      </c>
      <c r="N17" s="70">
        <f>IFERROR(IF(AND(s_Irr!M17&lt;&gt;".",s_Irr!AL17&lt;&gt;".",s_Irr!BK17&lt;&gt;"."),s_dir!N17/((1/1000)*(s_Irr!M17+s_Irr!AL17+s_Irr!BK17)),IF(AND(s_Irr!M17&lt;&gt;".",s_Irr!AL17&lt;&gt;".",s_Irr!BK17="."),s_dir!N17/((1/1000)*(s_Irr!M17+s_Irr!AL17)),IF(AND(s_Irr!M17&lt;&gt;".",s_Irr!AL17=".",s_Irr!BK17&lt;&gt;"."),s_dir!N17/((1/1000)*(s_Irr!M17+s_Irr!BK17)),IF(AND(s_Irr!M17=".",s_Irr!AL17&lt;&gt;".",s_Irr!BK17&lt;&gt;"."),s_dir!N17/((1/1000)*(s_Irr!AL17+s_Irr!BK17)),IF(AND(s_Irr!M17=".",s_Irr!AL17=".",s_Irr!BK17&lt;&gt;"."),s_dir!N17/((1/1000)*(s_Irr!BK17)),IF(AND(s_Irr!M17=".",s_Irr!AL17&lt;&gt;".",s_Irr!BK17="."),s_dir!N17/((1/1000)*(s_Irr!AL17)),IF(AND(s_Irr!M17&lt;&gt;".",s_Irr!AL17=".",s_Irr!BK17="."),s_dir!N17/((1/1000)*(s_Irr!M17)),IF(AND(s_Irr!M17=".",s_Irr!AL17=".",s_Irr!BK17="."),s_dir!N17*1000)))))))),".")</f>
        <v>162713.28367584149</v>
      </c>
      <c r="O17" s="70">
        <f>IFERROR(IF(AND(s_Irr!N17&lt;&gt;".",s_Irr!AM17&lt;&gt;".",s_Irr!BL17&lt;&gt;"."),s_dir!O17/((1/1000)*(s_Irr!N17+s_Irr!AM17+s_Irr!BL17)),IF(AND(s_Irr!N17&lt;&gt;".",s_Irr!AM17&lt;&gt;".",s_Irr!BL17="."),s_dir!O17/((1/1000)*(s_Irr!N17+s_Irr!AM17)),IF(AND(s_Irr!N17&lt;&gt;".",s_Irr!AM17=".",s_Irr!BL17&lt;&gt;"."),s_dir!O17/((1/1000)*(s_Irr!N17+s_Irr!BL17)),IF(AND(s_Irr!N17=".",s_Irr!AM17&lt;&gt;".",s_Irr!BL17&lt;&gt;"."),s_dir!O17/((1/1000)*(s_Irr!AM17+s_Irr!BL17)),IF(AND(s_Irr!N17=".",s_Irr!AM17=".",s_Irr!BL17&lt;&gt;"."),s_dir!O17/((1/1000)*(s_Irr!BL17)),IF(AND(s_Irr!N17=".",s_Irr!AM17&lt;&gt;".",s_Irr!BL17="."),s_dir!O17/((1/1000)*(s_Irr!AM17)),IF(AND(s_Irr!N17&lt;&gt;".",s_Irr!AM17=".",s_Irr!BL17="."),s_dir!O17/((1/1000)*(s_Irr!N17)),IF(AND(s_Irr!N17=".",s_Irr!AM17=".",s_Irr!BL17="."),s_dir!O17*1000)))))))),".")</f>
        <v>352137.5180770717</v>
      </c>
      <c r="P17" s="70">
        <f>IFERROR(IF(AND(s_Irr!O17&lt;&gt;".",s_Irr!AN17&lt;&gt;".",s_Irr!BM17&lt;&gt;"."),s_dir!P17/((1/1000)*(s_Irr!O17+s_Irr!AN17+s_Irr!BM17)),IF(AND(s_Irr!O17&lt;&gt;".",s_Irr!AN17&lt;&gt;".",s_Irr!BM17="."),s_dir!P17/((1/1000)*(s_Irr!O17+s_Irr!AN17)),IF(AND(s_Irr!O17&lt;&gt;".",s_Irr!AN17=".",s_Irr!BM17&lt;&gt;"."),s_dir!P17/((1/1000)*(s_Irr!O17+s_Irr!BM17)),IF(AND(s_Irr!O17=".",s_Irr!AN17&lt;&gt;".",s_Irr!BM17&lt;&gt;"."),s_dir!P17/((1/1000)*(s_Irr!AN17+s_Irr!BM17)),IF(AND(s_Irr!O17=".",s_Irr!AN17=".",s_Irr!BM17&lt;&gt;"."),s_dir!P17/((1/1000)*(s_Irr!BM17)),IF(AND(s_Irr!O17=".",s_Irr!AN17&lt;&gt;".",s_Irr!BM17="."),s_dir!P17/((1/1000)*(s_Irr!AN17)),IF(AND(s_Irr!O17&lt;&gt;".",s_Irr!AN17=".",s_Irr!BM17="."),s_dir!P17/((1/1000)*(s_Irr!O17)),IF(AND(s_Irr!O17=".",s_Irr!AN17=".",s_Irr!BM17="."),s_dir!P17*1000)))))))),".")</f>
        <v>305895.50253913185</v>
      </c>
      <c r="Q17" s="70">
        <f>IFERROR(IF(AND(s_Irr!P17&lt;&gt;".",s_Irr!AO17&lt;&gt;".",s_Irr!BN17&lt;&gt;"."),s_dir!Q17/((1/1000)*(s_Irr!P17+s_Irr!AO17+s_Irr!BN17)),IF(AND(s_Irr!P17&lt;&gt;".",s_Irr!AO17&lt;&gt;".",s_Irr!BN17="."),s_dir!Q17/((1/1000)*(s_Irr!P17+s_Irr!AO17)),IF(AND(s_Irr!P17&lt;&gt;".",s_Irr!AO17=".",s_Irr!BN17&lt;&gt;"."),s_dir!Q17/((1/1000)*(s_Irr!P17+s_Irr!BN17)),IF(AND(s_Irr!P17=".",s_Irr!AO17&lt;&gt;".",s_Irr!BN17&lt;&gt;"."),s_dir!Q17/((1/1000)*(s_Irr!AO17+s_Irr!BN17)),IF(AND(s_Irr!P17=".",s_Irr!AO17=".",s_Irr!BN17&lt;&gt;"."),s_dir!Q17/((1/1000)*(s_Irr!BN17)),IF(AND(s_Irr!P17=".",s_Irr!AO17&lt;&gt;".",s_Irr!BN17="."),s_dir!Q17/((1/1000)*(s_Irr!AO17)),IF(AND(s_Irr!P17&lt;&gt;".",s_Irr!AO17=".",s_Irr!BN17="."),s_dir!Q17/((1/1000)*(s_Irr!P17)),IF(AND(s_Irr!P17=".",s_Irr!AO17=".",s_Irr!BN17="."),s_dir!Q17*1000)))))))),".")</f>
        <v>305895.50253913185</v>
      </c>
      <c r="R17" s="70">
        <f>IFERROR(IF(AND(s_Irr!Q17&lt;&gt;".",s_Irr!AP17&lt;&gt;".",s_Irr!BO17&lt;&gt;"."),s_dir!R17/((1/1000)*(s_Irr!Q17+s_Irr!AP17+s_Irr!BO17)),IF(AND(s_Irr!Q17&lt;&gt;".",s_Irr!AP17&lt;&gt;".",s_Irr!BO17="."),s_dir!R17/((1/1000)*(s_Irr!Q17+s_Irr!AP17)),IF(AND(s_Irr!Q17&lt;&gt;".",s_Irr!AP17=".",s_Irr!BO17&lt;&gt;"."),s_dir!R17/((1/1000)*(s_Irr!Q17+s_Irr!BO17)),IF(AND(s_Irr!Q17=".",s_Irr!AP17&lt;&gt;".",s_Irr!BO17&lt;&gt;"."),s_dir!R17/((1/1000)*(s_Irr!AP17+s_Irr!BO17)),IF(AND(s_Irr!Q17=".",s_Irr!AP17=".",s_Irr!BO17&lt;&gt;"."),s_dir!R17/((1/1000)*(s_Irr!BO17)),IF(AND(s_Irr!Q17=".",s_Irr!AP17&lt;&gt;".",s_Irr!BO17="."),s_dir!R17/((1/1000)*(s_Irr!AP17)),IF(AND(s_Irr!Q17&lt;&gt;".",s_Irr!AP17=".",s_Irr!BO17="."),s_dir!R17/((1/1000)*(s_Irr!Q17)),IF(AND(s_Irr!Q17=".",s_Irr!AP17=".",s_Irr!BO17="."),s_dir!R17*1000)))))))),".")</f>
        <v>328104.82684958377</v>
      </c>
      <c r="S17" s="70">
        <f>IFERROR(IF(AND(s_Irr!R17&lt;&gt;".",s_Irr!AQ17&lt;&gt;".",s_Irr!BP17&lt;&gt;"."),s_dir!S17/((1/1000)*(s_Irr!R17+s_Irr!AQ17+s_Irr!BP17)),IF(AND(s_Irr!R17&lt;&gt;".",s_Irr!AQ17&lt;&gt;".",s_Irr!BP17="."),s_dir!S17/((1/1000)*(s_Irr!R17+s_Irr!AQ17)),IF(AND(s_Irr!R17&lt;&gt;".",s_Irr!AQ17=".",s_Irr!BP17&lt;&gt;"."),s_dir!S17/((1/1000)*(s_Irr!R17+s_Irr!BP17)),IF(AND(s_Irr!R17=".",s_Irr!AQ17&lt;&gt;".",s_Irr!BP17&lt;&gt;"."),s_dir!S17/((1/1000)*(s_Irr!AQ17+s_Irr!BP17)),IF(AND(s_Irr!R17=".",s_Irr!AQ17=".",s_Irr!BP17&lt;&gt;"."),s_dir!S17/((1/1000)*(s_Irr!BP17)),IF(AND(s_Irr!R17=".",s_Irr!AQ17&lt;&gt;".",s_Irr!BP17="."),s_dir!S17/((1/1000)*(s_Irr!AQ17)),IF(AND(s_Irr!R17&lt;&gt;".",s_Irr!AQ17=".",s_Irr!BP17="."),s_dir!S17/((1/1000)*(s_Irr!R17)),IF(AND(s_Irr!R17=".",s_Irr!AQ17=".",s_Irr!BP17="."),s_dir!S17*1000)))))))),".")</f>
        <v>328104.82684958377</v>
      </c>
      <c r="T17" s="70">
        <f>IFERROR(IF(AND(s_Irr!S17&lt;&gt;".",s_Irr!AR17&lt;&gt;".",s_Irr!BQ17&lt;&gt;"."),s_dir!T17/((1/1000)*(s_Irr!S17+s_Irr!AR17+s_Irr!BQ17)),IF(AND(s_Irr!S17&lt;&gt;".",s_Irr!AR17&lt;&gt;".",s_Irr!BQ17="."),s_dir!T17/((1/1000)*(s_Irr!S17+s_Irr!AR17)),IF(AND(s_Irr!S17&lt;&gt;".",s_Irr!AR17=".",s_Irr!BQ17&lt;&gt;"."),s_dir!T17/((1/1000)*(s_Irr!S17+s_Irr!BQ17)),IF(AND(s_Irr!S17=".",s_Irr!AR17&lt;&gt;".",s_Irr!BQ17&lt;&gt;"."),s_dir!T17/((1/1000)*(s_Irr!AR17+s_Irr!BQ17)),IF(AND(s_Irr!S17=".",s_Irr!AR17=".",s_Irr!BQ17&lt;&gt;"."),s_dir!T17/((1/1000)*(s_Irr!BQ17)),IF(AND(s_Irr!S17=".",s_Irr!AR17&lt;&gt;".",s_Irr!BQ17="."),s_dir!T17/((1/1000)*(s_Irr!AR17)),IF(AND(s_Irr!S17&lt;&gt;".",s_Irr!AR17=".",s_Irr!BQ17="."),s_dir!T17/((1/1000)*(s_Irr!S17)),IF(AND(s_Irr!S17=".",s_Irr!AR17=".",s_Irr!BQ17="."),s_dir!T17*1000)))))))),".")</f>
        <v>352137.5180770717</v>
      </c>
      <c r="U17" s="70">
        <f>IFERROR(IF(AND(s_Irr!T17&lt;&gt;".",s_Irr!AS17&lt;&gt;".",s_Irr!BR17&lt;&gt;"."),s_dir!U17/((1/1000)*(s_Irr!T17+s_Irr!AS17+s_Irr!BR17)),IF(AND(s_Irr!T17&lt;&gt;".",s_Irr!AS17&lt;&gt;".",s_Irr!BR17="."),s_dir!U17/((1/1000)*(s_Irr!T17+s_Irr!AS17)),IF(AND(s_Irr!T17&lt;&gt;".",s_Irr!AS17=".",s_Irr!BR17&lt;&gt;"."),s_dir!U17/((1/1000)*(s_Irr!T17+s_Irr!BR17)),IF(AND(s_Irr!T17=".",s_Irr!AS17&lt;&gt;".",s_Irr!BR17&lt;&gt;"."),s_dir!U17/((1/1000)*(s_Irr!AS17+s_Irr!BR17)),IF(AND(s_Irr!T17=".",s_Irr!AS17=".",s_Irr!BR17&lt;&gt;"."),s_dir!U17/((1/1000)*(s_Irr!BR17)),IF(AND(s_Irr!T17=".",s_Irr!AS17&lt;&gt;".",s_Irr!BR17="."),s_dir!U17/((1/1000)*(s_Irr!AS17)),IF(AND(s_Irr!T17&lt;&gt;".",s_Irr!AS17=".",s_Irr!BR17="."),s_dir!U17/((1/1000)*(s_Irr!T17)),IF(AND(s_Irr!T17=".",s_Irr!AS17=".",s_Irr!BR17="."),s_dir!U17*1000)))))))),".")</f>
        <v>305895.50253913185</v>
      </c>
      <c r="V17" s="70">
        <f>IFERROR(IF(AND(s_Irr!U17&lt;&gt;".",s_Irr!AT17&lt;&gt;".",s_Irr!BS17&lt;&gt;"."),s_dir!V17/((1/1000)*(s_Irr!U17+s_Irr!AT17+s_Irr!BS17)),IF(AND(s_Irr!U17&lt;&gt;".",s_Irr!AT17&lt;&gt;".",s_Irr!BS17="."),s_dir!V17/((1/1000)*(s_Irr!U17+s_Irr!AT17)),IF(AND(s_Irr!U17&lt;&gt;".",s_Irr!AT17=".",s_Irr!BS17&lt;&gt;"."),s_dir!V17/((1/1000)*(s_Irr!U17+s_Irr!BS17)),IF(AND(s_Irr!U17=".",s_Irr!AT17&lt;&gt;".",s_Irr!BS17&lt;&gt;"."),s_dir!V17/((1/1000)*(s_Irr!AT17+s_Irr!BS17)),IF(AND(s_Irr!U17=".",s_Irr!AT17=".",s_Irr!BS17&lt;&gt;"."),s_dir!V17/((1/1000)*(s_Irr!BS17)),IF(AND(s_Irr!U17=".",s_Irr!AT17&lt;&gt;".",s_Irr!BS17="."),s_dir!V17/((1/1000)*(s_Irr!AT17)),IF(AND(s_Irr!U17&lt;&gt;".",s_Irr!AT17=".",s_Irr!BS17="."),s_dir!V17/((1/1000)*(s_Irr!U17)),IF(AND(s_Irr!U17=".",s_Irr!AT17=".",s_Irr!BS17="."),s_dir!V17*1000)))))))),".")</f>
        <v>374304.17486279918</v>
      </c>
      <c r="W17" s="70">
        <f>IFERROR(IF(AND(s_Irr!V17&lt;&gt;".",s_Irr!AU17&lt;&gt;".",s_Irr!BT17&lt;&gt;"."),s_dir!W17/((1/1000)*(s_Irr!V17+s_Irr!AU17+s_Irr!BT17)),IF(AND(s_Irr!V17&lt;&gt;".",s_Irr!AU17&lt;&gt;".",s_Irr!BT17="."),s_dir!W17/((1/1000)*(s_Irr!V17+s_Irr!AU17)),IF(AND(s_Irr!V17&lt;&gt;".",s_Irr!AU17=".",s_Irr!BT17&lt;&gt;"."),s_dir!W17/((1/1000)*(s_Irr!V17+s_Irr!BT17)),IF(AND(s_Irr!V17=".",s_Irr!AU17&lt;&gt;".",s_Irr!BT17&lt;&gt;"."),s_dir!W17/((1/1000)*(s_Irr!AU17+s_Irr!BT17)),IF(AND(s_Irr!V17=".",s_Irr!AU17=".",s_Irr!BT17&lt;&gt;"."),s_dir!W17/((1/1000)*(s_Irr!BT17)),IF(AND(s_Irr!V17=".",s_Irr!AU17&lt;&gt;".",s_Irr!BT17="."),s_dir!W17/((1/1000)*(s_Irr!AU17)),IF(AND(s_Irr!V17&lt;&gt;".",s_Irr!AU17=".",s_Irr!BT17="."),s_dir!W17/((1/1000)*(s_Irr!V17)),IF(AND(s_Irr!V17=".",s_Irr!AU17=".",s_Irr!BT17="."),s_dir!W17*1000)))))))),".")</f>
        <v>305895.50253913185</v>
      </c>
      <c r="X17" s="70">
        <f>IFERROR(IF(AND(s_Irr!W17&lt;&gt;".",s_Irr!AV17&lt;&gt;".",s_Irr!BU17&lt;&gt;"."),s_dir!X17/((1/1000)*(s_Irr!W17+s_Irr!AV17+s_Irr!BU17)),IF(AND(s_Irr!W17&lt;&gt;".",s_Irr!AV17&lt;&gt;".",s_Irr!BU17="."),s_dir!X17/((1/1000)*(s_Irr!W17+s_Irr!AV17)),IF(AND(s_Irr!W17&lt;&gt;".",s_Irr!AV17=".",s_Irr!BU17&lt;&gt;"."),s_dir!X17/((1/1000)*(s_Irr!W17+s_Irr!BU17)),IF(AND(s_Irr!W17=".",s_Irr!AV17&lt;&gt;".",s_Irr!BU17&lt;&gt;"."),s_dir!X17/((1/1000)*(s_Irr!AV17+s_Irr!BU17)),IF(AND(s_Irr!W17=".",s_Irr!AV17=".",s_Irr!BU17&lt;&gt;"."),s_dir!X17/((1/1000)*(s_Irr!BU17)),IF(AND(s_Irr!W17=".",s_Irr!AV17&lt;&gt;".",s_Irr!BU17="."),s_dir!X17/((1/1000)*(s_Irr!AV17)),IF(AND(s_Irr!W17&lt;&gt;".",s_Irr!AV17=".",s_Irr!BU17="."),s_dir!X17/((1/1000)*(s_Irr!W17)),IF(AND(s_Irr!W17=".",s_Irr!AV17=".",s_Irr!BU17="."),s_dir!X17*1000)))))))),".")</f>
        <v>352137.5180770717</v>
      </c>
      <c r="Y17" s="70">
        <f>IFERROR(IF(AND(s_Irr!X17&lt;&gt;".",s_Irr!AW17&lt;&gt;".",s_Irr!BV17&lt;&gt;"."),s_dir!Y17/((1/1000)*(s_Irr!X17+s_Irr!AW17+s_Irr!BV17)),IF(AND(s_Irr!X17&lt;&gt;".",s_Irr!AW17&lt;&gt;".",s_Irr!BV17="."),s_dir!Y17/((1/1000)*(s_Irr!X17+s_Irr!AW17)),IF(AND(s_Irr!X17&lt;&gt;".",s_Irr!AW17=".",s_Irr!BV17&lt;&gt;"."),s_dir!Y17/((1/1000)*(s_Irr!X17+s_Irr!BV17)),IF(AND(s_Irr!X17=".",s_Irr!AW17&lt;&gt;".",s_Irr!BV17&lt;&gt;"."),s_dir!Y17/((1/1000)*(s_Irr!AW17+s_Irr!BV17)),IF(AND(s_Irr!X17=".",s_Irr!AW17=".",s_Irr!BV17&lt;&gt;"."),s_dir!Y17/((1/1000)*(s_Irr!BV17)),IF(AND(s_Irr!X17=".",s_Irr!AW17&lt;&gt;".",s_Irr!BV17="."),s_dir!Y17/((1/1000)*(s_Irr!AW17)),IF(AND(s_Irr!X17&lt;&gt;".",s_Irr!AW17=".",s_Irr!BV17="."),s_dir!Y17/((1/1000)*(s_Irr!X17)),IF(AND(s_Irr!X17=".",s_Irr!AW17=".",s_Irr!BV17="."),s_dir!Y17*1000)))))))),".")</f>
        <v>328104.82684958377</v>
      </c>
      <c r="Z17" s="70">
        <f>IFERROR(IF(AND(s_Irr!Y17&lt;&gt;".",s_Irr!AX17&lt;&gt;".",s_Irr!BW17&lt;&gt;"."),s_dir!Z17/((1/1000)*(s_Irr!Y17+s_Irr!AX17+s_Irr!BW17)),IF(AND(s_Irr!Y17&lt;&gt;".",s_Irr!AX17&lt;&gt;".",s_Irr!BW17="."),s_dir!Z17/((1/1000)*(s_Irr!Y17+s_Irr!AX17)),IF(AND(s_Irr!Y17&lt;&gt;".",s_Irr!AX17=".",s_Irr!BW17&lt;&gt;"."),s_dir!Z17/((1/1000)*(s_Irr!Y17+s_Irr!BW17)),IF(AND(s_Irr!Y17=".",s_Irr!AX17&lt;&gt;".",s_Irr!BW17&lt;&gt;"."),s_dir!Z17/((1/1000)*(s_Irr!AX17+s_Irr!BW17)),IF(AND(s_Irr!Y17=".",s_Irr!AX17=".",s_Irr!BW17&lt;&gt;"."),s_dir!Z17/((1/1000)*(s_Irr!BW17)),IF(AND(s_Irr!Y17=".",s_Irr!AX17&lt;&gt;".",s_Irr!BW17="."),s_dir!Z17/((1/1000)*(s_Irr!AX17)),IF(AND(s_Irr!Y17&lt;&gt;".",s_Irr!AX17=".",s_Irr!BW17="."),s_dir!Z17/((1/1000)*(s_Irr!Y17)),IF(AND(s_Irr!Y17=".",s_Irr!AX17=".",s_Irr!BW17="."),s_dir!Z17*1000)))))))),".")</f>
        <v>305895.50253913185</v>
      </c>
      <c r="AA17" s="70">
        <f>IFERROR(IF(AND(s_Irr!Z17&lt;&gt;".",s_Irr!AY17&lt;&gt;".",s_Irr!BX17&lt;&gt;"."),s_dir!AA17/((1/1000)*(s_Irr!Z17+s_Irr!AY17+s_Irr!BX17)),IF(AND(s_Irr!Z17&lt;&gt;".",s_Irr!AY17&lt;&gt;".",s_Irr!BX17="."),s_dir!AA17/((1/1000)*(s_Irr!Z17+s_Irr!AY17)),IF(AND(s_Irr!Z17&lt;&gt;".",s_Irr!AY17=".",s_Irr!BX17&lt;&gt;"."),s_dir!AA17/((1/1000)*(s_Irr!Z17+s_Irr!BX17)),IF(AND(s_Irr!Z17=".",s_Irr!AY17&lt;&gt;".",s_Irr!BX17&lt;&gt;"."),s_dir!AA17/((1/1000)*(s_Irr!AY17+s_Irr!BX17)),IF(AND(s_Irr!Z17=".",s_Irr!AY17=".",s_Irr!BX17&lt;&gt;"."),s_dir!AA17/((1/1000)*(s_Irr!BX17)),IF(AND(s_Irr!Z17=".",s_Irr!AY17&lt;&gt;".",s_Irr!BX17="."),s_dir!AA17/((1/1000)*(s_Irr!AY17)),IF(AND(s_Irr!Z17&lt;&gt;".",s_Irr!AY17=".",s_Irr!BX17="."),s_dir!AA17/((1/1000)*(s_Irr!Z17)),IF(AND(s_Irr!Z17=".",s_Irr!AY17=".",s_Irr!BX17="."),s_dir!AA17*1000)))))))),".")</f>
        <v>381960.27974910411</v>
      </c>
      <c r="AB17" s="70">
        <f>IFERROR(IF(AND(s_Irr!AA17&lt;&gt;".",s_Irr!AZ17&lt;&gt;".",s_Irr!BY17&lt;&gt;"."),s_dir!AB17/((1/1000)*(s_Irr!AA17+s_Irr!AZ17+s_Irr!BY17)),IF(AND(s_Irr!AA17&lt;&gt;".",s_Irr!AZ17&lt;&gt;".",s_Irr!BY17="."),s_dir!AB17/((1/1000)*(s_Irr!AA17+s_Irr!AZ17)),IF(AND(s_Irr!AA17&lt;&gt;".",s_Irr!AZ17=".",s_Irr!BY17&lt;&gt;"."),s_dir!AB17/((1/1000)*(s_Irr!AA17+s_Irr!BY17)),IF(AND(s_Irr!AA17=".",s_Irr!AZ17&lt;&gt;".",s_Irr!BY17&lt;&gt;"."),s_dir!AB17/((1/1000)*(s_Irr!AZ17+s_Irr!BY17)),IF(AND(s_Irr!AA17=".",s_Irr!AZ17=".",s_Irr!BY17&lt;&gt;"."),s_dir!AB17/((1/1000)*(s_Irr!BY17)),IF(AND(s_Irr!AA17=".",s_Irr!AZ17&lt;&gt;".",s_Irr!BY17="."),s_dir!AB17/((1/1000)*(s_Irr!AZ17)),IF(AND(s_Irr!AA17&lt;&gt;".",s_Irr!AZ17=".",s_Irr!BY17="."),s_dir!AB17/((1/1000)*(s_Irr!AA17)),IF(AND(s_Irr!AA17=".",s_Irr!AZ17=".",s_Irr!BY17="."),s_dir!AB17*1000)))))))),".")</f>
        <v>323408.6559898844</v>
      </c>
      <c r="AC17" s="87">
        <f t="shared" si="4"/>
        <v>408.36048903703033</v>
      </c>
      <c r="AD17" s="87">
        <f>IFERROR(s_C*s_IFAP_res_adj*s_CF_apple*0.001*(s_Irr!C17+s_Irr!AB17+s_Irr!BA17),".")</f>
        <v>103.48385260743784</v>
      </c>
      <c r="AE17" s="87">
        <f>IFERROR(s_C*s_IFAS_res_adj*s_CF_asparagus*0.001*(s_Irr!D17+s_Irr!AC17+s_Irr!BB17),".")</f>
        <v>208.67104869651413</v>
      </c>
      <c r="AF17" s="87">
        <f>IFERROR(s_C*s_IFBT_res_adj*s_CF_beet*0.001*(s_Irr!E17+s_Irr!AD17+s_Irr!BC17),".")</f>
        <v>110.99722375665758</v>
      </c>
      <c r="AG17" s="87">
        <f>IFERROR(s_C*s_IFBE_res_adj*s_CF_berries*0.001*(s_Irr!F17+s_Irr!AE17+s_Irr!BD17),".")</f>
        <v>103.48385260743784</v>
      </c>
      <c r="AH17" s="87">
        <f>IFERROR(s_C*s_IFBR_res_adj*s_CF_broccoli*0.001*(s_Irr!G17+s_Irr!AF17+s_Irr!BE17),".")</f>
        <v>110.99722375665758</v>
      </c>
      <c r="AI17" s="87">
        <f>IFERROR(s_C*s_IFCB_res_adj*s_CF_cabbage*0.001*(s_Irr!H17+s_Irr!AG17+s_Irr!BF17),".")</f>
        <v>208.67104869651413</v>
      </c>
      <c r="AJ17" s="87">
        <f>IFERROR(s_C*s_IFCR_res_adj*s_CF_carrot*0.001*(s_Irr!I17+s_Irr!AH17+s_Irr!BG17),".")</f>
        <v>110.99722375665758</v>
      </c>
      <c r="AK17" s="87">
        <f>IFERROR(s_C*s_IFCI_res_adj*s_CF_citrus*0.001*(s_Irr!J17+s_Irr!AI17+s_Irr!BH17),".")</f>
        <v>103.48385260743784</v>
      </c>
      <c r="AL17" s="87">
        <f>IFERROR(s_C*s_IFCO_res_adj*s_CF_corn*0.001*(s_Irr!K17+s_Irr!AJ17+s_Irr!BI17),".")</f>
        <v>90.260319384811112</v>
      </c>
      <c r="AM17" s="87">
        <f>IFERROR(s_C*s_IFCU_res_adj*s_CF_cucumber*0.001*(s_Irr!L17+s_Irr!AK17+s_Irr!BJ17),".")</f>
        <v>110.99722375665758</v>
      </c>
      <c r="AN17" s="87">
        <f>IFERROR(s_C*s_IFLE_res_adj*s_CF_lettuce*0.001*(s_Irr!M17+s_Irr!AL17+s_Irr!BK17),".")</f>
        <v>208.67104869651413</v>
      </c>
      <c r="AO17" s="87">
        <f>IFERROR(s_C*s_IFLI_res_adj*s_CF_lima_bean*0.001*(s_Irr!N17+s_Irr!AM17+s_Irr!BL17),".")</f>
        <v>96.421283727171286</v>
      </c>
      <c r="AP17" s="87">
        <f>IFERROR(s_C*s_IFOK_res_adj*s_CF_okra*0.001*(s_Irr!O17+s_Irr!AN17+s_Irr!BM17),".")</f>
        <v>110.99722375665758</v>
      </c>
      <c r="AQ17" s="87">
        <f>IFERROR(s_C*s_IFON_res_adj*s_CF_onion*0.001*(s_Irr!P17+s_Irr!AO17+s_Irr!BN17),".")</f>
        <v>110.99722375665758</v>
      </c>
      <c r="AR17" s="87">
        <f>IFERROR(s_C*s_IFPC_res_adj*s_CF_peach*0.001*(s_Irr!Q17+s_Irr!AP17+s_Irr!BO17),".")</f>
        <v>103.48385260743784</v>
      </c>
      <c r="AS17" s="87">
        <f>IFERROR(s_C*s_IFPR_res_adj*s_CF_pear*0.001*(s_Irr!R17+s_Irr!AQ17+s_Irr!BP17),".")</f>
        <v>103.48385260743784</v>
      </c>
      <c r="AT17" s="87">
        <f>IFERROR(s_C*s_IFPE_res_adj*s_CF_peas*0.001*(s_Irr!S17+s_Irr!AR17+s_Irr!BQ17),".")</f>
        <v>96.421283727171286</v>
      </c>
      <c r="AU17" s="87">
        <f>IFERROR(s_C*s_IFPP_res_adj*s_CF_peppers*0.001*(s_Irr!T17+s_Irr!AS17+s_Irr!BR17),".")</f>
        <v>110.99722375665758</v>
      </c>
      <c r="AV17" s="87">
        <f>IFERROR(s_C*s_IFPT_res_adj*s_CF_potato*0.001*(s_Irr!U17+s_Irr!AT17+s_Irr!BS17),".")</f>
        <v>90.711121653764295</v>
      </c>
      <c r="AW17" s="87">
        <f>IFERROR(s_C*s_IFPU_res_adj*s_CF_pumpkin*0.001*(s_Irr!V17+s_Irr!AU17+s_Irr!BT17),".")</f>
        <v>110.99722375665758</v>
      </c>
      <c r="AX17" s="87">
        <f>IFERROR(s_C*s_IFSN_res_adj*s_CF_snap_bean*0.001*(s_Irr!W17+s_Irr!AV17+s_Irr!BU17),".")</f>
        <v>96.421283727171286</v>
      </c>
      <c r="AY17" s="87">
        <f>IFERROR(s_C*s_IFST_res_adj*s_CF_strawberry*0.001*(s_Irr!X17+s_Irr!AW17+s_Irr!BV17),".")</f>
        <v>103.48385260743784</v>
      </c>
      <c r="AZ17" s="87">
        <f>IFERROR(s_C*s_IFTO_res_adj*s_CF_tomato*0.001*(s_Irr!Y17+s_Irr!AX17+s_Irr!BW17),".")</f>
        <v>110.99722375665758</v>
      </c>
      <c r="BA17" s="87">
        <f>IFERROR(s_C*s_IFRI_res_adj*s_CF_rice*0.001*(s_Irr!Z17+s_Irr!AY17+s_Irr!BX17),".")</f>
        <v>88.892885835653118</v>
      </c>
      <c r="BB17" s="87">
        <f>IFERROR(s_C*s_IFCG_res_adj*s_CF_cereal*0.001*(s_Irr!AA17+s_Irr!AZ17+s_Irr!BY17),".")</f>
        <v>104.98652683728179</v>
      </c>
      <c r="BC17" s="70">
        <f t="shared" si="1"/>
        <v>83146.025271833569</v>
      </c>
      <c r="BD17" s="70">
        <f>IFERROR(IF(AND(s_Irr!C17&lt;&gt;".",s_Irr!AB17&lt;&gt;".",s_Irr!BA17&lt;&gt;"."),s_dir!AD17/((1/1000)*(s_Irr!C17+s_Irr!AB17+s_Irr!BA17)),IF(AND(s_Irr!C17&lt;&gt;".",s_Irr!AB17&lt;&gt;".",s_Irr!BA17="."),s_dir!AD17/((1/1000)*(s_Irr!C17+s_Irr!AB17)),IF(AND(s_Irr!C17&lt;&gt;".",s_Irr!AB17=".",s_Irr!BA17&lt;&gt;"."),s_dir!AD17/((1/1000)*(s_Irr!C17+s_Irr!BA17)),IF(AND(s_Irr!C17=".",s_Irr!AB17&lt;&gt;".",s_Irr!BA17&lt;&gt;"."),s_dir!AD17/((1/1000)*(s_Irr!AB17+s_Irr!BA17)),IF(AND(s_Irr!C17=".",s_Irr!AB17=".",s_Irr!BA17&lt;&gt;"."),s_dir!AD17/((1/1000)*(s_Irr!BA17)),IF(AND(s_Irr!C17=".",s_Irr!AB17&lt;&gt;".",s_Irr!BA17="."),s_dir!AD17/((1/1000)*(s_Irr!AB17)),IF(AND(s_Irr!C17&lt;&gt;".",s_Irr!AB17=".",s_Irr!BA17="."),s_dir!AD17/((1/1000)*(s_Irr!C17)),IF(AND(s_Irr!C17=".",s_Irr!AB17=".",s_Irr!BA17="."),s_dir!AD17*1000)))))))),".")</f>
        <v>328104.82684958377</v>
      </c>
      <c r="BE17" s="70">
        <f>IFERROR(IF(AND(s_Irr!D17&lt;&gt;".",s_Irr!AC17&lt;&gt;".",s_Irr!BB17&lt;&gt;"."),s_dir!AE17/((1/1000)*(s_Irr!D17+s_Irr!AC17+s_Irr!BB17)),IF(AND(s_Irr!D17&lt;&gt;".",s_Irr!AC17&lt;&gt;".",s_Irr!BB17="."),s_dir!AE17/((1/1000)*(s_Irr!D17+s_Irr!AC17)),IF(AND(s_Irr!D17&lt;&gt;".",s_Irr!AC17=".",s_Irr!BB17&lt;&gt;"."),s_dir!AE17/((1/1000)*(s_Irr!D17+s_Irr!BB17)),IF(AND(s_Irr!D17=".",s_Irr!AC17&lt;&gt;".",s_Irr!BB17&lt;&gt;"."),s_dir!AE17/((1/1000)*(s_Irr!AC17+s_Irr!BB17)),IF(AND(s_Irr!D17=".",s_Irr!AC17=".",s_Irr!BB17&lt;&gt;"."),s_dir!AE17/((1/1000)*(s_Irr!BB17)),IF(AND(s_Irr!D17=".",s_Irr!AC17&lt;&gt;".",s_Irr!BB17="."),s_dir!AE17/((1/1000)*(s_Irr!AC17)),IF(AND(s_Irr!D17&lt;&gt;".",s_Irr!AC17=".",s_Irr!BB17="."),s_dir!AE17/((1/1000)*(s_Irr!D17)),IF(AND(s_Irr!D17=".",s_Irr!AC17=".",s_Irr!BB17="."),s_dir!AE17*1000)))))))),".")</f>
        <v>162713.28367584149</v>
      </c>
      <c r="BF17" s="70">
        <f>IFERROR(IF(AND(s_Irr!E17&lt;&gt;".",s_Irr!AD17&lt;&gt;".",s_Irr!BC17&lt;&gt;"."),s_dir!AF17/((1/1000)*(s_Irr!E17+s_Irr!AD17+s_Irr!BC17)),IF(AND(s_Irr!E17&lt;&gt;".",s_Irr!AD17&lt;&gt;".",s_Irr!BC17="."),s_dir!AF17/((1/1000)*(s_Irr!E17+s_Irr!AD17)),IF(AND(s_Irr!E17&lt;&gt;".",s_Irr!AD17=".",s_Irr!BC17&lt;&gt;"."),s_dir!AF17/((1/1000)*(s_Irr!E17+s_Irr!BC17)),IF(AND(s_Irr!E17=".",s_Irr!AD17&lt;&gt;".",s_Irr!BC17&lt;&gt;"."),s_dir!AF17/((1/1000)*(s_Irr!AD17+s_Irr!BC17)),IF(AND(s_Irr!E17=".",s_Irr!AD17=".",s_Irr!BC17&lt;&gt;"."),s_dir!AF17/((1/1000)*(s_Irr!BC17)),IF(AND(s_Irr!E17=".",s_Irr!AD17&lt;&gt;".",s_Irr!BC17="."),s_dir!AF17/((1/1000)*(s_Irr!AD17)),IF(AND(s_Irr!E17&lt;&gt;".",s_Irr!AD17=".",s_Irr!BC17="."),s_dir!AF17/((1/1000)*(s_Irr!E17)),IF(AND(s_Irr!E17=".",s_Irr!AD17=".",s_Irr!BC17="."),s_dir!AF17*1000)))))))),".")</f>
        <v>305895.50253913185</v>
      </c>
      <c r="BG17" s="70">
        <f>IFERROR(IF(AND(s_Irr!F17&lt;&gt;".",s_Irr!AE17&lt;&gt;".",s_Irr!BD17&lt;&gt;"."),s_dir!AG17/((1/1000)*(s_Irr!F17+s_Irr!AE17+s_Irr!BD17)),IF(AND(s_Irr!F17&lt;&gt;".",s_Irr!AE17&lt;&gt;".",s_Irr!BD17="."),s_dir!AG17/((1/1000)*(s_Irr!F17+s_Irr!AE17)),IF(AND(s_Irr!F17&lt;&gt;".",s_Irr!AE17=".",s_Irr!BD17&lt;&gt;"."),s_dir!AG17/((1/1000)*(s_Irr!F17+s_Irr!BD17)),IF(AND(s_Irr!F17=".",s_Irr!AE17&lt;&gt;".",s_Irr!BD17&lt;&gt;"."),s_dir!AG17/((1/1000)*(s_Irr!AE17+s_Irr!BD17)),IF(AND(s_Irr!F17=".",s_Irr!AE17=".",s_Irr!BD17&lt;&gt;"."),s_dir!AG17/((1/1000)*(s_Irr!BD17)),IF(AND(s_Irr!F17=".",s_Irr!AE17&lt;&gt;".",s_Irr!BD17="."),s_dir!AG17/((1/1000)*(s_Irr!AE17)),IF(AND(s_Irr!F17&lt;&gt;".",s_Irr!AE17=".",s_Irr!BD17="."),s_dir!AG17/((1/1000)*(s_Irr!F17)),IF(AND(s_Irr!F17=".",s_Irr!AE17=".",s_Irr!BD17="."),s_dir!AG17*1000)))))))),".")</f>
        <v>328104.82684958377</v>
      </c>
      <c r="BH17" s="70">
        <f>IFERROR(IF(AND(s_Irr!G17&lt;&gt;".",s_Irr!AF17&lt;&gt;".",s_Irr!BE17&lt;&gt;"."),s_dir!AH17/((1/1000)*(s_Irr!G17+s_Irr!AF17+s_Irr!BE17)),IF(AND(s_Irr!G17&lt;&gt;".",s_Irr!AF17&lt;&gt;".",s_Irr!BE17="."),s_dir!AH17/((1/1000)*(s_Irr!G17+s_Irr!AF17)),IF(AND(s_Irr!G17&lt;&gt;".",s_Irr!AF17=".",s_Irr!BE17&lt;&gt;"."),s_dir!AH17/((1/1000)*(s_Irr!G17+s_Irr!BE17)),IF(AND(s_Irr!G17=".",s_Irr!AF17&lt;&gt;".",s_Irr!BE17&lt;&gt;"."),s_dir!AH17/((1/1000)*(s_Irr!AF17+s_Irr!BE17)),IF(AND(s_Irr!G17=".",s_Irr!AF17=".",s_Irr!BE17&lt;&gt;"."),s_dir!AH17/((1/1000)*(s_Irr!BE17)),IF(AND(s_Irr!G17=".",s_Irr!AF17&lt;&gt;".",s_Irr!BE17="."),s_dir!AH17/((1/1000)*(s_Irr!AF17)),IF(AND(s_Irr!G17&lt;&gt;".",s_Irr!AF17=".",s_Irr!BE17="."),s_dir!AH17/((1/1000)*(s_Irr!G17)),IF(AND(s_Irr!G17=".",s_Irr!AF17=".",s_Irr!BE17="."),s_dir!AH17*1000)))))))),".")</f>
        <v>305895.50253913185</v>
      </c>
      <c r="BI17" s="70">
        <f>IFERROR(IF(AND(s_Irr!H17&lt;&gt;".",s_Irr!AG17&lt;&gt;".",s_Irr!BF17&lt;&gt;"."),s_dir!AI17/((1/1000)*(s_Irr!H17+s_Irr!AG17+s_Irr!BF17)),IF(AND(s_Irr!H17&lt;&gt;".",s_Irr!AG17&lt;&gt;".",s_Irr!BF17="."),s_dir!AI17/((1/1000)*(s_Irr!H17+s_Irr!AG17)),IF(AND(s_Irr!H17&lt;&gt;".",s_Irr!AG17=".",s_Irr!BF17&lt;&gt;"."),s_dir!AI17/((1/1000)*(s_Irr!H17+s_Irr!BF17)),IF(AND(s_Irr!H17=".",s_Irr!AG17&lt;&gt;".",s_Irr!BF17&lt;&gt;"."),s_dir!AI17/((1/1000)*(s_Irr!AG17+s_Irr!BF17)),IF(AND(s_Irr!H17=".",s_Irr!AG17=".",s_Irr!BF17&lt;&gt;"."),s_dir!AI17/((1/1000)*(s_Irr!BF17)),IF(AND(s_Irr!H17=".",s_Irr!AG17&lt;&gt;".",s_Irr!BF17="."),s_dir!AI17/((1/1000)*(s_Irr!AG17)),IF(AND(s_Irr!H17&lt;&gt;".",s_Irr!AG17=".",s_Irr!BF17="."),s_dir!AI17/((1/1000)*(s_Irr!H17)),IF(AND(s_Irr!H17=".",s_Irr!AG17=".",s_Irr!BF17="."),s_dir!AI17*1000)))))))),".")</f>
        <v>162713.28367584149</v>
      </c>
      <c r="BJ17" s="70">
        <f>IFERROR(IF(AND(s_Irr!I17&lt;&gt;".",s_Irr!AH17&lt;&gt;".",s_Irr!BG17&lt;&gt;"."),s_dir!AJ17/((1/1000)*(s_Irr!I17+s_Irr!AH17+s_Irr!BG17)),IF(AND(s_Irr!I17&lt;&gt;".",s_Irr!AH17&lt;&gt;".",s_Irr!BG17="."),s_dir!AJ17/((1/1000)*(s_Irr!I17+s_Irr!AH17)),IF(AND(s_Irr!I17&lt;&gt;".",s_Irr!AH17=".",s_Irr!BG17&lt;&gt;"."),s_dir!AJ17/((1/1000)*(s_Irr!I17+s_Irr!BG17)),IF(AND(s_Irr!I17=".",s_Irr!AH17&lt;&gt;".",s_Irr!BG17&lt;&gt;"."),s_dir!AJ17/((1/1000)*(s_Irr!AH17+s_Irr!BG17)),IF(AND(s_Irr!I17=".",s_Irr!AH17=".",s_Irr!BG17&lt;&gt;"."),s_dir!AJ17/((1/1000)*(s_Irr!BG17)),IF(AND(s_Irr!I17=".",s_Irr!AH17&lt;&gt;".",s_Irr!BG17="."),s_dir!AJ17/((1/1000)*(s_Irr!AH17)),IF(AND(s_Irr!I17&lt;&gt;".",s_Irr!AH17=".",s_Irr!BG17="."),s_dir!AJ17/((1/1000)*(s_Irr!I17)),IF(AND(s_Irr!I17=".",s_Irr!AH17=".",s_Irr!BG17="."),s_dir!AJ17*1000)))))))),".")</f>
        <v>305895.50253913185</v>
      </c>
      <c r="BK17" s="70">
        <f>IFERROR(IF(AND(s_Irr!J17&lt;&gt;".",s_Irr!AI17&lt;&gt;".",s_Irr!BH17&lt;&gt;"."),s_dir!AK17/((1/1000)*(s_Irr!J17+s_Irr!AI17+s_Irr!BH17)),IF(AND(s_Irr!J17&lt;&gt;".",s_Irr!AI17&lt;&gt;".",s_Irr!BH17="."),s_dir!AK17/((1/1000)*(s_Irr!J17+s_Irr!AI17)),IF(AND(s_Irr!J17&lt;&gt;".",s_Irr!AI17=".",s_Irr!BH17&lt;&gt;"."),s_dir!AK17/((1/1000)*(s_Irr!J17+s_Irr!BH17)),IF(AND(s_Irr!J17=".",s_Irr!AI17&lt;&gt;".",s_Irr!BH17&lt;&gt;"."),s_dir!AK17/((1/1000)*(s_Irr!AI17+s_Irr!BH17)),IF(AND(s_Irr!J17=".",s_Irr!AI17=".",s_Irr!BH17&lt;&gt;"."),s_dir!AK17/((1/1000)*(s_Irr!BH17)),IF(AND(s_Irr!J17=".",s_Irr!AI17&lt;&gt;".",s_Irr!BH17="."),s_dir!AK17/((1/1000)*(s_Irr!AI17)),IF(AND(s_Irr!J17&lt;&gt;".",s_Irr!AI17=".",s_Irr!BH17="."),s_dir!AK17/((1/1000)*(s_Irr!J17)),IF(AND(s_Irr!J17=".",s_Irr!AI17=".",s_Irr!BH17="."),s_dir!AK17*1000)))))))),".")</f>
        <v>328104.82684958377</v>
      </c>
      <c r="BL17" s="70">
        <f>IFERROR(IF(AND(s_Irr!K17&lt;&gt;".",s_Irr!AJ17&lt;&gt;".",s_Irr!BI17&lt;&gt;"."),s_dir!AL17/((1/1000)*(s_Irr!K17+s_Irr!AJ17+s_Irr!BI17)),IF(AND(s_Irr!K17&lt;&gt;".",s_Irr!AJ17&lt;&gt;".",s_Irr!BI17="."),s_dir!AL17/((1/1000)*(s_Irr!K17+s_Irr!AJ17)),IF(AND(s_Irr!K17&lt;&gt;".",s_Irr!AJ17=".",s_Irr!BI17&lt;&gt;"."),s_dir!AL17/((1/1000)*(s_Irr!K17+s_Irr!BI17)),IF(AND(s_Irr!K17=".",s_Irr!AJ17&lt;&gt;".",s_Irr!BI17&lt;&gt;"."),s_dir!AL17/((1/1000)*(s_Irr!AJ17+s_Irr!BI17)),IF(AND(s_Irr!K17=".",s_Irr!AJ17=".",s_Irr!BI17&lt;&gt;"."),s_dir!AL17/((1/1000)*(s_Irr!BI17)),IF(AND(s_Irr!K17=".",s_Irr!AJ17&lt;&gt;".",s_Irr!BI17="."),s_dir!AL17/((1/1000)*(s_Irr!AJ17)),IF(AND(s_Irr!K17&lt;&gt;".",s_Irr!AJ17=".",s_Irr!BI17="."),s_dir!AL17/((1/1000)*(s_Irr!K17)),IF(AND(s_Irr!K17=".",s_Irr!AJ17=".",s_Irr!BI17="."),s_dir!AL17*1000)))))))),".")</f>
        <v>376173.62505372323</v>
      </c>
      <c r="BM17" s="70">
        <f>IFERROR(IF(AND(s_Irr!L17&lt;&gt;".",s_Irr!AK17&lt;&gt;".",s_Irr!BJ17&lt;&gt;"."),s_dir!AM17/((1/1000)*(s_Irr!L17+s_Irr!AK17+s_Irr!BJ17)),IF(AND(s_Irr!L17&lt;&gt;".",s_Irr!AK17&lt;&gt;".",s_Irr!BJ17="."),s_dir!AM17/((1/1000)*(s_Irr!L17+s_Irr!AK17)),IF(AND(s_Irr!L17&lt;&gt;".",s_Irr!AK17=".",s_Irr!BJ17&lt;&gt;"."),s_dir!AM17/((1/1000)*(s_Irr!L17+s_Irr!BJ17)),IF(AND(s_Irr!L17=".",s_Irr!AK17&lt;&gt;".",s_Irr!BJ17&lt;&gt;"."),s_dir!AM17/((1/1000)*(s_Irr!AK17+s_Irr!BJ17)),IF(AND(s_Irr!L17=".",s_Irr!AK17=".",s_Irr!BJ17&lt;&gt;"."),s_dir!AM17/((1/1000)*(s_Irr!BJ17)),IF(AND(s_Irr!L17=".",s_Irr!AK17&lt;&gt;".",s_Irr!BJ17="."),s_dir!AM17/((1/1000)*(s_Irr!AK17)),IF(AND(s_Irr!L17&lt;&gt;".",s_Irr!AK17=".",s_Irr!BJ17="."),s_dir!AM17/((1/1000)*(s_Irr!L17)),IF(AND(s_Irr!L17=".",s_Irr!AK17=".",s_Irr!BJ17="."),s_dir!AM17*1000)))))))),".")</f>
        <v>305895.50253913185</v>
      </c>
      <c r="BN17" s="70">
        <f>IFERROR(IF(AND(s_Irr!M17&lt;&gt;".",s_Irr!AL17&lt;&gt;".",s_Irr!BK17&lt;&gt;"."),s_dir!AN17/((1/1000)*(s_Irr!M17+s_Irr!AL17+s_Irr!BK17)),IF(AND(s_Irr!M17&lt;&gt;".",s_Irr!AL17&lt;&gt;".",s_Irr!BK17="."),s_dir!AN17/((1/1000)*(s_Irr!M17+s_Irr!AL17)),IF(AND(s_Irr!M17&lt;&gt;".",s_Irr!AL17=".",s_Irr!BK17&lt;&gt;"."),s_dir!AN17/((1/1000)*(s_Irr!M17+s_Irr!BK17)),IF(AND(s_Irr!M17=".",s_Irr!AL17&lt;&gt;".",s_Irr!BK17&lt;&gt;"."),s_dir!AN17/((1/1000)*(s_Irr!AL17+s_Irr!BK17)),IF(AND(s_Irr!M17=".",s_Irr!AL17=".",s_Irr!BK17&lt;&gt;"."),s_dir!AN17/((1/1000)*(s_Irr!BK17)),IF(AND(s_Irr!M17=".",s_Irr!AL17&lt;&gt;".",s_Irr!BK17="."),s_dir!AN17/((1/1000)*(s_Irr!AL17)),IF(AND(s_Irr!M17&lt;&gt;".",s_Irr!AL17=".",s_Irr!BK17="."),s_dir!AN17/((1/1000)*(s_Irr!M17)),IF(AND(s_Irr!M17=".",s_Irr!AL17=".",s_Irr!BK17="."),s_dir!AN17*1000)))))))),".")</f>
        <v>162713.28367584149</v>
      </c>
      <c r="BO17" s="70">
        <f>IFERROR(IF(AND(s_Irr!N17&lt;&gt;".",s_Irr!AM17&lt;&gt;".",s_Irr!BL17&lt;&gt;"."),s_dir!AO17/((1/1000)*(s_Irr!N17+s_Irr!AM17+s_Irr!BL17)),IF(AND(s_Irr!N17&lt;&gt;".",s_Irr!AM17&lt;&gt;".",s_Irr!BL17="."),s_dir!AO17/((1/1000)*(s_Irr!N17+s_Irr!AM17)),IF(AND(s_Irr!N17&lt;&gt;".",s_Irr!AM17=".",s_Irr!BL17&lt;&gt;"."),s_dir!AO17/((1/1000)*(s_Irr!N17+s_Irr!BL17)),IF(AND(s_Irr!N17=".",s_Irr!AM17&lt;&gt;".",s_Irr!BL17&lt;&gt;"."),s_dir!AO17/((1/1000)*(s_Irr!AM17+s_Irr!BL17)),IF(AND(s_Irr!N17=".",s_Irr!AM17=".",s_Irr!BL17&lt;&gt;"."),s_dir!AO17/((1/1000)*(s_Irr!BL17)),IF(AND(s_Irr!N17=".",s_Irr!AM17&lt;&gt;".",s_Irr!BL17="."),s_dir!AO17/((1/1000)*(s_Irr!AM17)),IF(AND(s_Irr!N17&lt;&gt;".",s_Irr!AM17=".",s_Irr!BL17="."),s_dir!AO17/((1/1000)*(s_Irr!N17)),IF(AND(s_Irr!N17=".",s_Irr!AM17=".",s_Irr!BL17="."),s_dir!AO17*1000)))))))),".")</f>
        <v>352137.5180770717</v>
      </c>
      <c r="BP17" s="70">
        <f>IFERROR(IF(AND(s_Irr!O17&lt;&gt;".",s_Irr!AN17&lt;&gt;".",s_Irr!BM17&lt;&gt;"."),s_dir!AP17/((1/1000)*(s_Irr!O17+s_Irr!AN17+s_Irr!BM17)),IF(AND(s_Irr!O17&lt;&gt;".",s_Irr!AN17&lt;&gt;".",s_Irr!BM17="."),s_dir!AP17/((1/1000)*(s_Irr!O17+s_Irr!AN17)),IF(AND(s_Irr!O17&lt;&gt;".",s_Irr!AN17=".",s_Irr!BM17&lt;&gt;"."),s_dir!AP17/((1/1000)*(s_Irr!O17+s_Irr!BM17)),IF(AND(s_Irr!O17=".",s_Irr!AN17&lt;&gt;".",s_Irr!BM17&lt;&gt;"."),s_dir!AP17/((1/1000)*(s_Irr!AN17+s_Irr!BM17)),IF(AND(s_Irr!O17=".",s_Irr!AN17=".",s_Irr!BM17&lt;&gt;"."),s_dir!AP17/((1/1000)*(s_Irr!BM17)),IF(AND(s_Irr!O17=".",s_Irr!AN17&lt;&gt;".",s_Irr!BM17="."),s_dir!AP17/((1/1000)*(s_Irr!AN17)),IF(AND(s_Irr!O17&lt;&gt;".",s_Irr!AN17=".",s_Irr!BM17="."),s_dir!AP17/((1/1000)*(s_Irr!O17)),IF(AND(s_Irr!O17=".",s_Irr!AN17=".",s_Irr!BM17="."),s_dir!AP17*1000)))))))),".")</f>
        <v>305895.50253913185</v>
      </c>
      <c r="BQ17" s="70">
        <f>IFERROR(IF(AND(s_Irr!P17&lt;&gt;".",s_Irr!AO17&lt;&gt;".",s_Irr!BN17&lt;&gt;"."),s_dir!AQ17/((1/1000)*(s_Irr!P17+s_Irr!AO17+s_Irr!BN17)),IF(AND(s_Irr!P17&lt;&gt;".",s_Irr!AO17&lt;&gt;".",s_Irr!BN17="."),s_dir!AQ17/((1/1000)*(s_Irr!P17+s_Irr!AO17)),IF(AND(s_Irr!P17&lt;&gt;".",s_Irr!AO17=".",s_Irr!BN17&lt;&gt;"."),s_dir!AQ17/((1/1000)*(s_Irr!P17+s_Irr!BN17)),IF(AND(s_Irr!P17=".",s_Irr!AO17&lt;&gt;".",s_Irr!BN17&lt;&gt;"."),s_dir!AQ17/((1/1000)*(s_Irr!AO17+s_Irr!BN17)),IF(AND(s_Irr!P17=".",s_Irr!AO17=".",s_Irr!BN17&lt;&gt;"."),s_dir!AQ17/((1/1000)*(s_Irr!BN17)),IF(AND(s_Irr!P17=".",s_Irr!AO17&lt;&gt;".",s_Irr!BN17="."),s_dir!AQ17/((1/1000)*(s_Irr!AO17)),IF(AND(s_Irr!P17&lt;&gt;".",s_Irr!AO17=".",s_Irr!BN17="."),s_dir!AQ17/((1/1000)*(s_Irr!P17)),IF(AND(s_Irr!P17=".",s_Irr!AO17=".",s_Irr!BN17="."),s_dir!AQ17*1000)))))))),".")</f>
        <v>305895.50253913185</v>
      </c>
      <c r="BR17" s="70">
        <f>IFERROR(IF(AND(s_Irr!Q17&lt;&gt;".",s_Irr!AP17&lt;&gt;".",s_Irr!BO17&lt;&gt;"."),s_dir!AR17/((1/1000)*(s_Irr!Q17+s_Irr!AP17+s_Irr!BO17)),IF(AND(s_Irr!Q17&lt;&gt;".",s_Irr!AP17&lt;&gt;".",s_Irr!BO17="."),s_dir!AR17/((1/1000)*(s_Irr!Q17+s_Irr!AP17)),IF(AND(s_Irr!Q17&lt;&gt;".",s_Irr!AP17=".",s_Irr!BO17&lt;&gt;"."),s_dir!AR17/((1/1000)*(s_Irr!Q17+s_Irr!BO17)),IF(AND(s_Irr!Q17=".",s_Irr!AP17&lt;&gt;".",s_Irr!BO17&lt;&gt;"."),s_dir!AR17/((1/1000)*(s_Irr!AP17+s_Irr!BO17)),IF(AND(s_Irr!Q17=".",s_Irr!AP17=".",s_Irr!BO17&lt;&gt;"."),s_dir!AR17/((1/1000)*(s_Irr!BO17)),IF(AND(s_Irr!Q17=".",s_Irr!AP17&lt;&gt;".",s_Irr!BO17="."),s_dir!AR17/((1/1000)*(s_Irr!AP17)),IF(AND(s_Irr!Q17&lt;&gt;".",s_Irr!AP17=".",s_Irr!BO17="."),s_dir!AR17/((1/1000)*(s_Irr!Q17)),IF(AND(s_Irr!Q17=".",s_Irr!AP17=".",s_Irr!BO17="."),s_dir!AR17*1000)))))))),".")</f>
        <v>328104.82684958377</v>
      </c>
      <c r="BS17" s="70">
        <f>IFERROR(IF(AND(s_Irr!R17&lt;&gt;".",s_Irr!AQ17&lt;&gt;".",s_Irr!BP17&lt;&gt;"."),s_dir!AS17/((1/1000)*(s_Irr!R17+s_Irr!AQ17+s_Irr!BP17)),IF(AND(s_Irr!R17&lt;&gt;".",s_Irr!AQ17&lt;&gt;".",s_Irr!BP17="."),s_dir!AS17/((1/1000)*(s_Irr!R17+s_Irr!AQ17)),IF(AND(s_Irr!R17&lt;&gt;".",s_Irr!AQ17=".",s_Irr!BP17&lt;&gt;"."),s_dir!AS17/((1/1000)*(s_Irr!R17+s_Irr!BP17)),IF(AND(s_Irr!R17=".",s_Irr!AQ17&lt;&gt;".",s_Irr!BP17&lt;&gt;"."),s_dir!AS17/((1/1000)*(s_Irr!AQ17+s_Irr!BP17)),IF(AND(s_Irr!R17=".",s_Irr!AQ17=".",s_Irr!BP17&lt;&gt;"."),s_dir!AS17/((1/1000)*(s_Irr!BP17)),IF(AND(s_Irr!R17=".",s_Irr!AQ17&lt;&gt;".",s_Irr!BP17="."),s_dir!AS17/((1/1000)*(s_Irr!AQ17)),IF(AND(s_Irr!R17&lt;&gt;".",s_Irr!AQ17=".",s_Irr!BP17="."),s_dir!AS17/((1/1000)*(s_Irr!R17)),IF(AND(s_Irr!R17=".",s_Irr!AQ17=".",s_Irr!BP17="."),s_dir!AS17*1000)))))))),".")</f>
        <v>328104.82684958377</v>
      </c>
      <c r="BT17" s="70">
        <f>IFERROR(IF(AND(s_Irr!S17&lt;&gt;".",s_Irr!AR17&lt;&gt;".",s_Irr!BQ17&lt;&gt;"."),s_dir!AT17/((1/1000)*(s_Irr!S17+s_Irr!AR17+s_Irr!BQ17)),IF(AND(s_Irr!S17&lt;&gt;".",s_Irr!AR17&lt;&gt;".",s_Irr!BQ17="."),s_dir!AT17/((1/1000)*(s_Irr!S17+s_Irr!AR17)),IF(AND(s_Irr!S17&lt;&gt;".",s_Irr!AR17=".",s_Irr!BQ17&lt;&gt;"."),s_dir!AT17/((1/1000)*(s_Irr!S17+s_Irr!BQ17)),IF(AND(s_Irr!S17=".",s_Irr!AR17&lt;&gt;".",s_Irr!BQ17&lt;&gt;"."),s_dir!AT17/((1/1000)*(s_Irr!AR17+s_Irr!BQ17)),IF(AND(s_Irr!S17=".",s_Irr!AR17=".",s_Irr!BQ17&lt;&gt;"."),s_dir!AT17/((1/1000)*(s_Irr!BQ17)),IF(AND(s_Irr!S17=".",s_Irr!AR17&lt;&gt;".",s_Irr!BQ17="."),s_dir!AT17/((1/1000)*(s_Irr!AR17)),IF(AND(s_Irr!S17&lt;&gt;".",s_Irr!AR17=".",s_Irr!BQ17="."),s_dir!AT17/((1/1000)*(s_Irr!S17)),IF(AND(s_Irr!S17=".",s_Irr!AR17=".",s_Irr!BQ17="."),s_dir!AT17*1000)))))))),".")</f>
        <v>352137.5180770717</v>
      </c>
      <c r="BU17" s="70">
        <f>IFERROR(IF(AND(s_Irr!T17&lt;&gt;".",s_Irr!AS17&lt;&gt;".",s_Irr!BR17&lt;&gt;"."),s_dir!AU17/((1/1000)*(s_Irr!T17+s_Irr!AS17+s_Irr!BR17)),IF(AND(s_Irr!T17&lt;&gt;".",s_Irr!AS17&lt;&gt;".",s_Irr!BR17="."),s_dir!AU17/((1/1000)*(s_Irr!T17+s_Irr!AS17)),IF(AND(s_Irr!T17&lt;&gt;".",s_Irr!AS17=".",s_Irr!BR17&lt;&gt;"."),s_dir!AU17/((1/1000)*(s_Irr!T17+s_Irr!BR17)),IF(AND(s_Irr!T17=".",s_Irr!AS17&lt;&gt;".",s_Irr!BR17&lt;&gt;"."),s_dir!AU17/((1/1000)*(s_Irr!AS17+s_Irr!BR17)),IF(AND(s_Irr!T17=".",s_Irr!AS17=".",s_Irr!BR17&lt;&gt;"."),s_dir!AU17/((1/1000)*(s_Irr!BR17)),IF(AND(s_Irr!T17=".",s_Irr!AS17&lt;&gt;".",s_Irr!BR17="."),s_dir!AU17/((1/1000)*(s_Irr!AS17)),IF(AND(s_Irr!T17&lt;&gt;".",s_Irr!AS17=".",s_Irr!BR17="."),s_dir!AU17/((1/1000)*(s_Irr!T17)),IF(AND(s_Irr!T17=".",s_Irr!AS17=".",s_Irr!BR17="."),s_dir!AU17*1000)))))))),".")</f>
        <v>305895.50253913185</v>
      </c>
      <c r="BV17" s="70">
        <f>IFERROR(IF(AND(s_Irr!U17&lt;&gt;".",s_Irr!AT17&lt;&gt;".",s_Irr!BS17&lt;&gt;"."),s_dir!AV17/((1/1000)*(s_Irr!U17+s_Irr!AT17+s_Irr!BS17)),IF(AND(s_Irr!U17&lt;&gt;".",s_Irr!AT17&lt;&gt;".",s_Irr!BS17="."),s_dir!AV17/((1/1000)*(s_Irr!U17+s_Irr!AT17)),IF(AND(s_Irr!U17&lt;&gt;".",s_Irr!AT17=".",s_Irr!BS17&lt;&gt;"."),s_dir!AV17/((1/1000)*(s_Irr!U17+s_Irr!BS17)),IF(AND(s_Irr!U17=".",s_Irr!AT17&lt;&gt;".",s_Irr!BS17&lt;&gt;"."),s_dir!AV17/((1/1000)*(s_Irr!AT17+s_Irr!BS17)),IF(AND(s_Irr!U17=".",s_Irr!AT17=".",s_Irr!BS17&lt;&gt;"."),s_dir!AV17/((1/1000)*(s_Irr!BS17)),IF(AND(s_Irr!U17=".",s_Irr!AT17&lt;&gt;".",s_Irr!BS17="."),s_dir!AV17/((1/1000)*(s_Irr!AT17)),IF(AND(s_Irr!U17&lt;&gt;".",s_Irr!AT17=".",s_Irr!BS17="."),s_dir!AV17/((1/1000)*(s_Irr!U17)),IF(AND(s_Irr!U17=".",s_Irr!AT17=".",s_Irr!BS17="."),s_dir!AV17*1000)))))))),".")</f>
        <v>374304.17486279918</v>
      </c>
      <c r="BW17" s="70">
        <f>IFERROR(IF(AND(s_Irr!V17&lt;&gt;".",s_Irr!AU17&lt;&gt;".",s_Irr!BT17&lt;&gt;"."),s_dir!AW17/((1/1000)*(s_Irr!V17+s_Irr!AU17+s_Irr!BT17)),IF(AND(s_Irr!V17&lt;&gt;".",s_Irr!AU17&lt;&gt;".",s_Irr!BT17="."),s_dir!AW17/((1/1000)*(s_Irr!V17+s_Irr!AU17)),IF(AND(s_Irr!V17&lt;&gt;".",s_Irr!AU17=".",s_Irr!BT17&lt;&gt;"."),s_dir!AW17/((1/1000)*(s_Irr!V17+s_Irr!BT17)),IF(AND(s_Irr!V17=".",s_Irr!AU17&lt;&gt;".",s_Irr!BT17&lt;&gt;"."),s_dir!AW17/((1/1000)*(s_Irr!AU17+s_Irr!BT17)),IF(AND(s_Irr!V17=".",s_Irr!AU17=".",s_Irr!BT17&lt;&gt;"."),s_dir!AW17/((1/1000)*(s_Irr!BT17)),IF(AND(s_Irr!V17=".",s_Irr!AU17&lt;&gt;".",s_Irr!BT17="."),s_dir!AW17/((1/1000)*(s_Irr!AU17)),IF(AND(s_Irr!V17&lt;&gt;".",s_Irr!AU17=".",s_Irr!BT17="."),s_dir!AW17/((1/1000)*(s_Irr!V17)),IF(AND(s_Irr!V17=".",s_Irr!AU17=".",s_Irr!BT17="."),s_dir!AW17*1000)))))))),".")</f>
        <v>305895.50253913185</v>
      </c>
      <c r="BX17" s="70">
        <f>IFERROR(IF(AND(s_Irr!W17&lt;&gt;".",s_Irr!AV17&lt;&gt;".",s_Irr!BU17&lt;&gt;"."),s_dir!AX17/((1/1000)*(s_Irr!W17+s_Irr!AV17+s_Irr!BU17)),IF(AND(s_Irr!W17&lt;&gt;".",s_Irr!AV17&lt;&gt;".",s_Irr!BU17="."),s_dir!AX17/((1/1000)*(s_Irr!W17+s_Irr!AV17)),IF(AND(s_Irr!W17&lt;&gt;".",s_Irr!AV17=".",s_Irr!BU17&lt;&gt;"."),s_dir!AX17/((1/1000)*(s_Irr!W17+s_Irr!BU17)),IF(AND(s_Irr!W17=".",s_Irr!AV17&lt;&gt;".",s_Irr!BU17&lt;&gt;"."),s_dir!AX17/((1/1000)*(s_Irr!AV17+s_Irr!BU17)),IF(AND(s_Irr!W17=".",s_Irr!AV17=".",s_Irr!BU17&lt;&gt;"."),s_dir!AX17/((1/1000)*(s_Irr!BU17)),IF(AND(s_Irr!W17=".",s_Irr!AV17&lt;&gt;".",s_Irr!BU17="."),s_dir!AX17/((1/1000)*(s_Irr!AV17)),IF(AND(s_Irr!W17&lt;&gt;".",s_Irr!AV17=".",s_Irr!BU17="."),s_dir!AX17/((1/1000)*(s_Irr!W17)),IF(AND(s_Irr!W17=".",s_Irr!AV17=".",s_Irr!BU17="."),s_dir!AX17*1000)))))))),".")</f>
        <v>352137.5180770717</v>
      </c>
      <c r="BY17" s="70">
        <f>IFERROR(IF(AND(s_Irr!X17&lt;&gt;".",s_Irr!AW17&lt;&gt;".",s_Irr!BV17&lt;&gt;"."),s_dir!AY17/((1/1000)*(s_Irr!X17+s_Irr!AW17+s_Irr!BV17)),IF(AND(s_Irr!X17&lt;&gt;".",s_Irr!AW17&lt;&gt;".",s_Irr!BV17="."),s_dir!AY17/((1/1000)*(s_Irr!X17+s_Irr!AW17)),IF(AND(s_Irr!X17&lt;&gt;".",s_Irr!AW17=".",s_Irr!BV17&lt;&gt;"."),s_dir!AY17/((1/1000)*(s_Irr!X17+s_Irr!BV17)),IF(AND(s_Irr!X17=".",s_Irr!AW17&lt;&gt;".",s_Irr!BV17&lt;&gt;"."),s_dir!AY17/((1/1000)*(s_Irr!AW17+s_Irr!BV17)),IF(AND(s_Irr!X17=".",s_Irr!AW17=".",s_Irr!BV17&lt;&gt;"."),s_dir!AY17/((1/1000)*(s_Irr!BV17)),IF(AND(s_Irr!X17=".",s_Irr!AW17&lt;&gt;".",s_Irr!BV17="."),s_dir!AY17/((1/1000)*(s_Irr!AW17)),IF(AND(s_Irr!X17&lt;&gt;".",s_Irr!AW17=".",s_Irr!BV17="."),s_dir!AY17/((1/1000)*(s_Irr!X17)),IF(AND(s_Irr!X17=".",s_Irr!AW17=".",s_Irr!BV17="."),s_dir!AY17*1000)))))))),".")</f>
        <v>328104.82684958377</v>
      </c>
      <c r="BZ17" s="70">
        <f>IFERROR(IF(AND(s_Irr!Y17&lt;&gt;".",s_Irr!AX17&lt;&gt;".",s_Irr!BW17&lt;&gt;"."),s_dir!AZ17/((1/1000)*(s_Irr!Y17+s_Irr!AX17+s_Irr!BW17)),IF(AND(s_Irr!Y17&lt;&gt;".",s_Irr!AX17&lt;&gt;".",s_Irr!BW17="."),s_dir!AZ17/((1/1000)*(s_Irr!Y17+s_Irr!AX17)),IF(AND(s_Irr!Y17&lt;&gt;".",s_Irr!AX17=".",s_Irr!BW17&lt;&gt;"."),s_dir!AZ17/((1/1000)*(s_Irr!Y17+s_Irr!BW17)),IF(AND(s_Irr!Y17=".",s_Irr!AX17&lt;&gt;".",s_Irr!BW17&lt;&gt;"."),s_dir!AZ17/((1/1000)*(s_Irr!AX17+s_Irr!BW17)),IF(AND(s_Irr!Y17=".",s_Irr!AX17=".",s_Irr!BW17&lt;&gt;"."),s_dir!AZ17/((1/1000)*(s_Irr!BW17)),IF(AND(s_Irr!Y17=".",s_Irr!AX17&lt;&gt;".",s_Irr!BW17="."),s_dir!AZ17/((1/1000)*(s_Irr!AX17)),IF(AND(s_Irr!Y17&lt;&gt;".",s_Irr!AX17=".",s_Irr!BW17="."),s_dir!AZ17/((1/1000)*(s_Irr!Y17)),IF(AND(s_Irr!Y17=".",s_Irr!AX17=".",s_Irr!BW17="."),s_dir!AZ17*1000)))))))),".")</f>
        <v>305895.50253913185</v>
      </c>
      <c r="CA17" s="70">
        <f>IFERROR(IF(AND(s_Irr!Z17&lt;&gt;".",s_Irr!AY17&lt;&gt;".",s_Irr!BX17&lt;&gt;"."),s_dir!BA17/((1/1000)*(s_Irr!Z17+s_Irr!AY17+s_Irr!BX17)),IF(AND(s_Irr!Z17&lt;&gt;".",s_Irr!AY17&lt;&gt;".",s_Irr!BX17="."),s_dir!BA17/((1/1000)*(s_Irr!Z17+s_Irr!AY17)),IF(AND(s_Irr!Z17&lt;&gt;".",s_Irr!AY17=".",s_Irr!BX17&lt;&gt;"."),s_dir!BA17/((1/1000)*(s_Irr!Z17+s_Irr!BX17)),IF(AND(s_Irr!Z17=".",s_Irr!AY17&lt;&gt;".",s_Irr!BX17&lt;&gt;"."),s_dir!BA17/((1/1000)*(s_Irr!AY17+s_Irr!BX17)),IF(AND(s_Irr!Z17=".",s_Irr!AY17=".",s_Irr!BX17&lt;&gt;"."),s_dir!BA17/((1/1000)*(s_Irr!BX17)),IF(AND(s_Irr!Z17=".",s_Irr!AY17&lt;&gt;".",s_Irr!BX17="."),s_dir!BA17/((1/1000)*(s_Irr!AY17)),IF(AND(s_Irr!Z17&lt;&gt;".",s_Irr!AY17=".",s_Irr!BX17="."),s_dir!BA17/((1/1000)*(s_Irr!Z17)),IF(AND(s_Irr!Z17=".",s_Irr!AY17=".",s_Irr!BX17="."),s_dir!BA17*1000)))))))),".")</f>
        <v>381960.27974910411</v>
      </c>
      <c r="CB17" s="70">
        <f>IFERROR(IF(AND(s_Irr!AA17&lt;&gt;".",s_Irr!AZ17&lt;&gt;".",s_Irr!BY17&lt;&gt;"."),s_dir!BB17/((1/1000)*(s_Irr!AA17+s_Irr!AZ17+s_Irr!BY17)),IF(AND(s_Irr!AA17&lt;&gt;".",s_Irr!AZ17&lt;&gt;".",s_Irr!BY17="."),s_dir!BB17/((1/1000)*(s_Irr!AA17+s_Irr!AZ17)),IF(AND(s_Irr!AA17&lt;&gt;".",s_Irr!AZ17=".",s_Irr!BY17&lt;&gt;"."),s_dir!BB17/((1/1000)*(s_Irr!AA17+s_Irr!BY17)),IF(AND(s_Irr!AA17=".",s_Irr!AZ17&lt;&gt;".",s_Irr!BY17&lt;&gt;"."),s_dir!BB17/((1/1000)*(s_Irr!AZ17+s_Irr!BY17)),IF(AND(s_Irr!AA17=".",s_Irr!AZ17=".",s_Irr!BY17&lt;&gt;"."),s_dir!BB17/((1/1000)*(s_Irr!BY17)),IF(AND(s_Irr!AA17=".",s_Irr!AZ17&lt;&gt;".",s_Irr!BY17="."),s_dir!BB17/((1/1000)*(s_Irr!AZ17)),IF(AND(s_Irr!AA17&lt;&gt;".",s_Irr!AZ17=".",s_Irr!BY17="."),s_dir!BB17/((1/1000)*(s_Irr!AA17)),IF(AND(s_Irr!AA17=".",s_Irr!AZ17=".",s_Irr!BY17="."),s_dir!BB17*1000)))))))),".")</f>
        <v>323408.6559898844</v>
      </c>
      <c r="CC17" s="87">
        <f t="shared" si="2"/>
        <v>408.36048903703033</v>
      </c>
      <c r="CD17" s="87">
        <f>IFERROR(s_C*s_IFAP_far_adj*s_CF_apple*(1/1000)*(s_Irr!C17+s_Irr!AB17+s_Irr!BA17),".")</f>
        <v>103.48385260743784</v>
      </c>
      <c r="CE17" s="87">
        <f>IFERROR(s_C*s_IFAS_far_adj*s_CF_asparagus*(1/1000)*(s_Irr!D17+s_Irr!AC17+s_Irr!BB17),".")</f>
        <v>208.67104869651413</v>
      </c>
      <c r="CF17" s="87">
        <f>IFERROR(s_C*s_IFBT_far_adj*s_CF_beet*(1/1000)*(s_Irr!E17+s_Irr!AD17+s_Irr!BC17),".")</f>
        <v>110.99722375665758</v>
      </c>
      <c r="CG17" s="87">
        <f>IFERROR(s_C*s_IFBE_far_adj*s_CF_berries*(1/1000)*(s_Irr!F17+s_Irr!AE17+s_Irr!BD17),".")</f>
        <v>103.48385260743784</v>
      </c>
      <c r="CH17" s="87">
        <f>IFERROR(s_C*s_IFBR_far_adj*s_CF_broccoli*(1/1000)*(s_Irr!G17+s_Irr!AF17+s_Irr!BE17),".")</f>
        <v>110.99722375665758</v>
      </c>
      <c r="CI17" s="87">
        <f>IFERROR(s_C*s_IFCB_far_adj*s_CF_cabbage*(1/1000)*(s_Irr!H17+s_Irr!AG17+s_Irr!BF17),".")</f>
        <v>208.67104869651413</v>
      </c>
      <c r="CJ17" s="87">
        <f>IFERROR(s_C*s_IFCR_far_adj*s_CF_carrot*(1/1000)*(s_Irr!I17+s_Irr!AH17+s_Irr!BG17),".")</f>
        <v>110.99722375665758</v>
      </c>
      <c r="CK17" s="87">
        <f>IFERROR(s_C*s_IFCI_far_adj*s_CF_citrus*(1/1000)*(s_Irr!J17+s_Irr!AI17+s_Irr!BH17),".")</f>
        <v>103.48385260743784</v>
      </c>
      <c r="CL17" s="87">
        <f>IFERROR(s_C*s_IFCO_far_adj*s_CF_corn*(1/1000)*(s_Irr!K17+s_Irr!AJ17+s_Irr!BI17),".")</f>
        <v>90.260319384811112</v>
      </c>
      <c r="CM17" s="87">
        <f>IFERROR(s_C*s_IFCU_far_adj*s_CF_cucumber*(1/1000)*(s_Irr!L17+s_Irr!AK17+s_Irr!BJ17),".")</f>
        <v>110.99722375665758</v>
      </c>
      <c r="CN17" s="87">
        <f>IFERROR(s_C*s_IFLE_far_adj*s_CF_lettuce*(1/1000)*(s_Irr!M17+s_Irr!AL17+s_Irr!BK17),".")</f>
        <v>208.67104869651413</v>
      </c>
      <c r="CO17" s="87">
        <f>IFERROR(s_C*s_IFLI_far_adj*s_CF_lima_bean*(1/1000)*(s_Irr!N17+s_Irr!AM17+s_Irr!BL17),".")</f>
        <v>96.421283727171286</v>
      </c>
      <c r="CP17" s="87">
        <f>IFERROR(s_C*s_IFOK_far_adj*s_CF_okra*(1/1000)*(s_Irr!O17+s_Irr!AN17+s_Irr!BM17),".")</f>
        <v>110.99722375665758</v>
      </c>
      <c r="CQ17" s="87">
        <f>IFERROR(s_C*s_IFON_far_adj*s_CF_onion*(1/1000)*(s_Irr!P17+s_Irr!AO17+s_Irr!BN17),".")</f>
        <v>110.99722375665758</v>
      </c>
      <c r="CR17" s="87">
        <f>IFERROR(s_C*s_IFPC_far_adj*s_CF_peach*(1/1000)*(s_Irr!Q17+s_Irr!AP17+s_Irr!BO17),".")</f>
        <v>103.48385260743784</v>
      </c>
      <c r="CS17" s="87">
        <f>IFERROR(s_C*s_IFPR_far_adj*s_CF_pear*(1/1000)*(s_Irr!R17+s_Irr!AQ17+s_Irr!BP17),".")</f>
        <v>103.48385260743784</v>
      </c>
      <c r="CT17" s="87">
        <f>IFERROR(s_C*s_IFPE_far_adj*s_CF_peas*(1/1000)*(s_Irr!S17+s_Irr!AR17+s_Irr!BQ17),".")</f>
        <v>96.421283727171286</v>
      </c>
      <c r="CU17" s="87">
        <f>IFERROR(s_C*s_IFPP_far_adj*s_CF_peppers*(1/1000)*(s_Irr!T17+s_Irr!AS17+s_Irr!BR17),".")</f>
        <v>110.99722375665758</v>
      </c>
      <c r="CV17" s="87">
        <f>IFERROR(s_C*s_IFPT_far_adj*s_CF_potato*(1/1000)*(s_Irr!U17+s_Irr!AT17+s_Irr!BS17),".")</f>
        <v>90.711121653764295</v>
      </c>
      <c r="CW17" s="87">
        <f>IFERROR(s_C*s_IFPU_far_adj*s_CF_pumpkin*(1/1000)*(s_Irr!V17+s_Irr!AU17+s_Irr!BT17),".")</f>
        <v>110.99722375665758</v>
      </c>
      <c r="CX17" s="87">
        <f>IFERROR(s_C*s_IFSN_far_adj*s_CF_snap_bean*(1/1000)*(s_Irr!W17+s_Irr!AV17+s_Irr!BU17),".")</f>
        <v>96.421283727171286</v>
      </c>
      <c r="CY17" s="87">
        <f>IFERROR(s_C*s_IFST_far_adj*s_CF_strawberry*(1/1000)*(s_Irr!X17+s_Irr!AW17+s_Irr!BV17),".")</f>
        <v>103.48385260743784</v>
      </c>
      <c r="CZ17" s="87">
        <f>IFERROR(s_C*s_IFTO_far_adj*s_CF_tomato*(1/1000)*(s_Irr!Y17+s_Irr!AX17+s_Irr!BW17),".")</f>
        <v>110.99722375665758</v>
      </c>
      <c r="DA17" s="87">
        <f>IFERROR(s_C*s_IFRI_far_adj*s_CF_rice*(1/1000)*(s_Irr!Z17+s_Irr!AY17+s_Irr!BX17),".")</f>
        <v>88.892885835653118</v>
      </c>
      <c r="DB17" s="87">
        <f>IFERROR(s_C*s_IFCG_far_adj*s_CF_cereal*(1/1000)*(s_Irr!AA17+s_Irr!AZ17+s_Irr!BY17),".")</f>
        <v>104.98652683728179</v>
      </c>
    </row>
    <row r="18" spans="1:106" ht="15" customHeight="1" x14ac:dyDescent="0.25">
      <c r="A18" s="86" t="s">
        <v>16</v>
      </c>
      <c r="B18" s="84" t="s">
        <v>1057</v>
      </c>
      <c r="C18" s="15">
        <f t="shared" si="3"/>
        <v>10.314578800703334</v>
      </c>
      <c r="D18" s="70">
        <f>IFERROR(IF(AND(s_Irr!C18&lt;&gt;".",s_Irr!AB18&lt;&gt;".",s_Irr!BA18&lt;&gt;"."),s_dir!D18/((1/1000)*(s_Irr!C18+s_Irr!AB18+s_Irr!BA18)),IF(AND(s_Irr!C18&lt;&gt;".",s_Irr!AB18&lt;&gt;".",s_Irr!BA18="."),s_dir!D18/((1/1000)*(s_Irr!C18+s_Irr!AB18)),IF(AND(s_Irr!C18&lt;&gt;".",s_Irr!AB18=".",s_Irr!BA18&lt;&gt;"."),s_dir!D18/((1/1000)*(s_Irr!C18+s_Irr!BA18)),IF(AND(s_Irr!C18=".",s_Irr!AB18&lt;&gt;".",s_Irr!BA18&lt;&gt;"."),s_dir!D18/((1/1000)*(s_Irr!AB18+s_Irr!BA18)),IF(AND(s_Irr!C18=".",s_Irr!AB18=".",s_Irr!BA18&lt;&gt;"."),s_dir!D18/((1/1000)*(s_Irr!BA18)),IF(AND(s_Irr!C18=".",s_Irr!AB18&lt;&gt;".",s_Irr!BA18="."),s_dir!D18/((1/1000)*(s_Irr!AB18)),IF(AND(s_Irr!C18&lt;&gt;".",s_Irr!AB18=".",s_Irr!BA18="."),s_dir!D18/((1/1000)*(s_Irr!C18)),IF(AND(s_Irr!C18=".",s_Irr!AB18=".",s_Irr!BA18="."),s_dir!D18*1000)))))))),".")</f>
        <v>43.500521608732512</v>
      </c>
      <c r="E18" s="70">
        <f>IFERROR(IF(AND(s_Irr!D18&lt;&gt;".",s_Irr!AC18&lt;&gt;".",s_Irr!BB18&lt;&gt;"."),s_dir!E18/((1/1000)*(s_Irr!D18+s_Irr!AC18+s_Irr!BB18)),IF(AND(s_Irr!D18&lt;&gt;".",s_Irr!AC18&lt;&gt;".",s_Irr!BB18="."),s_dir!E18/((1/1000)*(s_Irr!D18+s_Irr!AC18)),IF(AND(s_Irr!D18&lt;&gt;".",s_Irr!AC18=".",s_Irr!BB18&lt;&gt;"."),s_dir!E18/((1/1000)*(s_Irr!D18+s_Irr!BB18)),IF(AND(s_Irr!D18=".",s_Irr!AC18&lt;&gt;".",s_Irr!BB18&lt;&gt;"."),s_dir!E18/((1/1000)*(s_Irr!AC18+s_Irr!BB18)),IF(AND(s_Irr!D18=".",s_Irr!AC18=".",s_Irr!BB18&lt;&gt;"."),s_dir!E18/((1/1000)*(s_Irr!BB18)),IF(AND(s_Irr!D18=".",s_Irr!AC18&lt;&gt;".",s_Irr!BB18="."),s_dir!E18/((1/1000)*(s_Irr!AC18)),IF(AND(s_Irr!D18&lt;&gt;".",s_Irr!AC18=".",s_Irr!BB18="."),s_dir!E18/((1/1000)*(s_Irr!D18)),IF(AND(s_Irr!D18=".",s_Irr!AC18=".",s_Irr!BB18="."),s_dir!E18*1000)))))))),".")</f>
        <v>38.7740919443347</v>
      </c>
      <c r="F18" s="70">
        <f>IFERROR(IF(AND(s_Irr!E18&lt;&gt;".",s_Irr!AD18&lt;&gt;".",s_Irr!BC18&lt;&gt;"."),s_dir!F18/((1/1000)*(s_Irr!E18+s_Irr!AD18+s_Irr!BC18)),IF(AND(s_Irr!E18&lt;&gt;".",s_Irr!AD18&lt;&gt;".",s_Irr!BC18="."),s_dir!F18/((1/1000)*(s_Irr!E18+s_Irr!AD18)),IF(AND(s_Irr!E18&lt;&gt;".",s_Irr!AD18=".",s_Irr!BC18&lt;&gt;"."),s_dir!F18/((1/1000)*(s_Irr!E18+s_Irr!BC18)),IF(AND(s_Irr!E18=".",s_Irr!AD18&lt;&gt;".",s_Irr!BC18&lt;&gt;"."),s_dir!F18/((1/1000)*(s_Irr!AD18+s_Irr!BC18)),IF(AND(s_Irr!E18=".",s_Irr!AD18=".",s_Irr!BC18&lt;&gt;"."),s_dir!F18/((1/1000)*(s_Irr!BC18)),IF(AND(s_Irr!E18=".",s_Irr!AD18&lt;&gt;".",s_Irr!BC18="."),s_dir!F18/((1/1000)*(s_Irr!AD18)),IF(AND(s_Irr!E18&lt;&gt;".",s_Irr!AD18=".",s_Irr!BC18="."),s_dir!F18/((1/1000)*(s_Irr!E18)),IF(AND(s_Irr!E18=".",s_Irr!AD18=".",s_Irr!BC18="."),s_dir!F18*1000)))))))),".")</f>
        <v>39.733454007359143</v>
      </c>
      <c r="G18" s="70">
        <f>IFERROR(IF(AND(s_Irr!F18&lt;&gt;".",s_Irr!AE18&lt;&gt;".",s_Irr!BD18&lt;&gt;"."),s_dir!G18/((1/1000)*(s_Irr!F18+s_Irr!AE18+s_Irr!BD18)),IF(AND(s_Irr!F18&lt;&gt;".",s_Irr!AE18&lt;&gt;".",s_Irr!BD18="."),s_dir!G18/((1/1000)*(s_Irr!F18+s_Irr!AE18)),IF(AND(s_Irr!F18&lt;&gt;".",s_Irr!AE18=".",s_Irr!BD18&lt;&gt;"."),s_dir!G18/((1/1000)*(s_Irr!F18+s_Irr!BD18)),IF(AND(s_Irr!F18=".",s_Irr!AE18&lt;&gt;".",s_Irr!BD18&lt;&gt;"."),s_dir!G18/((1/1000)*(s_Irr!AE18+s_Irr!BD18)),IF(AND(s_Irr!F18=".",s_Irr!AE18=".",s_Irr!BD18&lt;&gt;"."),s_dir!G18/((1/1000)*(s_Irr!BD18)),IF(AND(s_Irr!F18=".",s_Irr!AE18&lt;&gt;".",s_Irr!BD18="."),s_dir!G18/((1/1000)*(s_Irr!AE18)),IF(AND(s_Irr!F18&lt;&gt;".",s_Irr!AE18=".",s_Irr!BD18="."),s_dir!G18/((1/1000)*(s_Irr!F18)),IF(AND(s_Irr!F18=".",s_Irr!AE18=".",s_Irr!BD18="."),s_dir!G18*1000)))))))),".")</f>
        <v>43.500521608732512</v>
      </c>
      <c r="H18" s="70">
        <f>IFERROR(IF(AND(s_Irr!G18&lt;&gt;".",s_Irr!AF18&lt;&gt;".",s_Irr!BE18&lt;&gt;"."),s_dir!H18/((1/1000)*(s_Irr!G18+s_Irr!AF18+s_Irr!BE18)),IF(AND(s_Irr!G18&lt;&gt;".",s_Irr!AF18&lt;&gt;".",s_Irr!BE18="."),s_dir!H18/((1/1000)*(s_Irr!G18+s_Irr!AF18)),IF(AND(s_Irr!G18&lt;&gt;".",s_Irr!AF18=".",s_Irr!BE18&lt;&gt;"."),s_dir!H18/((1/1000)*(s_Irr!G18+s_Irr!BE18)),IF(AND(s_Irr!G18=".",s_Irr!AF18&lt;&gt;".",s_Irr!BE18&lt;&gt;"."),s_dir!H18/((1/1000)*(s_Irr!AF18+s_Irr!BE18)),IF(AND(s_Irr!G18=".",s_Irr!AF18=".",s_Irr!BE18&lt;&gt;"."),s_dir!H18/((1/1000)*(s_Irr!BE18)),IF(AND(s_Irr!G18=".",s_Irr!AF18&lt;&gt;".",s_Irr!BE18="."),s_dir!H18/((1/1000)*(s_Irr!AF18)),IF(AND(s_Irr!G18&lt;&gt;".",s_Irr!AF18=".",s_Irr!BE18="."),s_dir!H18/((1/1000)*(s_Irr!G18)),IF(AND(s_Irr!G18=".",s_Irr!AF18=".",s_Irr!BE18="."),s_dir!H18*1000)))))))),".")</f>
        <v>43.500521608732512</v>
      </c>
      <c r="I18" s="70">
        <f>IFERROR(IF(AND(s_Irr!H18&lt;&gt;".",s_Irr!AG18&lt;&gt;".",s_Irr!BF18&lt;&gt;"."),s_dir!I18/((1/1000)*(s_Irr!H18+s_Irr!AG18+s_Irr!BF18)),IF(AND(s_Irr!H18&lt;&gt;".",s_Irr!AG18&lt;&gt;".",s_Irr!BF18="."),s_dir!I18/((1/1000)*(s_Irr!H18+s_Irr!AG18)),IF(AND(s_Irr!H18&lt;&gt;".",s_Irr!AG18=".",s_Irr!BF18&lt;&gt;"."),s_dir!I18/((1/1000)*(s_Irr!H18+s_Irr!BF18)),IF(AND(s_Irr!H18=".",s_Irr!AG18&lt;&gt;".",s_Irr!BF18&lt;&gt;"."),s_dir!I18/((1/1000)*(s_Irr!AG18+s_Irr!BF18)),IF(AND(s_Irr!H18=".",s_Irr!AG18=".",s_Irr!BF18&lt;&gt;"."),s_dir!I18/((1/1000)*(s_Irr!BF18)),IF(AND(s_Irr!H18=".",s_Irr!AG18&lt;&gt;".",s_Irr!BF18="."),s_dir!I18/((1/1000)*(s_Irr!AG18)),IF(AND(s_Irr!H18&lt;&gt;".",s_Irr!AG18=".",s_Irr!BF18="."),s_dir!I18/((1/1000)*(s_Irr!H18)),IF(AND(s_Irr!H18=".",s_Irr!AG18=".",s_Irr!BF18="."),s_dir!I18*1000)))))))),".")</f>
        <v>38.7740919443347</v>
      </c>
      <c r="J18" s="70">
        <f>IFERROR(IF(AND(s_Irr!I18&lt;&gt;".",s_Irr!AH18&lt;&gt;".",s_Irr!BG18&lt;&gt;"."),s_dir!J18/((1/1000)*(s_Irr!I18+s_Irr!AH18+s_Irr!BG18)),IF(AND(s_Irr!I18&lt;&gt;".",s_Irr!AH18&lt;&gt;".",s_Irr!BG18="."),s_dir!J18/((1/1000)*(s_Irr!I18+s_Irr!AH18)),IF(AND(s_Irr!I18&lt;&gt;".",s_Irr!AH18=".",s_Irr!BG18&lt;&gt;"."),s_dir!J18/((1/1000)*(s_Irr!I18+s_Irr!BG18)),IF(AND(s_Irr!I18=".",s_Irr!AH18&lt;&gt;".",s_Irr!BG18&lt;&gt;"."),s_dir!J18/((1/1000)*(s_Irr!AH18+s_Irr!BG18)),IF(AND(s_Irr!I18=".",s_Irr!AH18=".",s_Irr!BG18&lt;&gt;"."),s_dir!J18/((1/1000)*(s_Irr!BG18)),IF(AND(s_Irr!I18=".",s_Irr!AH18&lt;&gt;".",s_Irr!BG18="."),s_dir!J18/((1/1000)*(s_Irr!AH18)),IF(AND(s_Irr!I18&lt;&gt;".",s_Irr!AH18=".",s_Irr!BG18="."),s_dir!J18/((1/1000)*(s_Irr!I18)),IF(AND(s_Irr!I18=".",s_Irr!AH18=".",s_Irr!BG18="."),s_dir!J18*1000)))))))),".")</f>
        <v>39.733454007359143</v>
      </c>
      <c r="K18" s="70">
        <f>IFERROR(IF(AND(s_Irr!J18&lt;&gt;".",s_Irr!AI18&lt;&gt;".",s_Irr!BH18&lt;&gt;"."),s_dir!K18/((1/1000)*(s_Irr!J18+s_Irr!AI18+s_Irr!BH18)),IF(AND(s_Irr!J18&lt;&gt;".",s_Irr!AI18&lt;&gt;".",s_Irr!BH18="."),s_dir!K18/((1/1000)*(s_Irr!J18+s_Irr!AI18)),IF(AND(s_Irr!J18&lt;&gt;".",s_Irr!AI18=".",s_Irr!BH18&lt;&gt;"."),s_dir!K18/((1/1000)*(s_Irr!J18+s_Irr!BH18)),IF(AND(s_Irr!J18=".",s_Irr!AI18&lt;&gt;".",s_Irr!BH18&lt;&gt;"."),s_dir!K18/((1/1000)*(s_Irr!AI18+s_Irr!BH18)),IF(AND(s_Irr!J18=".",s_Irr!AI18=".",s_Irr!BH18&lt;&gt;"."),s_dir!K18/((1/1000)*(s_Irr!BH18)),IF(AND(s_Irr!J18=".",s_Irr!AI18&lt;&gt;".",s_Irr!BH18="."),s_dir!K18/((1/1000)*(s_Irr!AI18)),IF(AND(s_Irr!J18&lt;&gt;".",s_Irr!AI18=".",s_Irr!BH18="."),s_dir!K18/((1/1000)*(s_Irr!J18)),IF(AND(s_Irr!J18=".",s_Irr!AI18=".",s_Irr!BH18="."),s_dir!K18*1000)))))))),".")</f>
        <v>43.500521608732512</v>
      </c>
      <c r="L18" s="70">
        <f>IFERROR(IF(AND(s_Irr!K18&lt;&gt;".",s_Irr!AJ18&lt;&gt;".",s_Irr!BI18&lt;&gt;"."),s_dir!L18/((1/1000)*(s_Irr!K18+s_Irr!AJ18+s_Irr!BI18)),IF(AND(s_Irr!K18&lt;&gt;".",s_Irr!AJ18&lt;&gt;".",s_Irr!BI18="."),s_dir!L18/((1/1000)*(s_Irr!K18+s_Irr!AJ18)),IF(AND(s_Irr!K18&lt;&gt;".",s_Irr!AJ18=".",s_Irr!BI18&lt;&gt;"."),s_dir!L18/((1/1000)*(s_Irr!K18+s_Irr!BI18)),IF(AND(s_Irr!K18=".",s_Irr!AJ18&lt;&gt;".",s_Irr!BI18&lt;&gt;"."),s_dir!L18/((1/1000)*(s_Irr!AJ18+s_Irr!BI18)),IF(AND(s_Irr!K18=".",s_Irr!AJ18=".",s_Irr!BI18&lt;&gt;"."),s_dir!L18/((1/1000)*(s_Irr!BI18)),IF(AND(s_Irr!K18=".",s_Irr!AJ18&lt;&gt;".",s_Irr!BI18="."),s_dir!L18/((1/1000)*(s_Irr!AJ18)),IF(AND(s_Irr!K18&lt;&gt;".",s_Irr!AJ18=".",s_Irr!BI18="."),s_dir!L18/((1/1000)*(s_Irr!K18)),IF(AND(s_Irr!K18=".",s_Irr!AJ18=".",s_Irr!BI18="."),s_dir!L18*1000)))))))),".")</f>
        <v>43.471082848465379</v>
      </c>
      <c r="M18" s="70">
        <f>IFERROR(IF(AND(s_Irr!L18&lt;&gt;".",s_Irr!AK18&lt;&gt;".",s_Irr!BJ18&lt;&gt;"."),s_dir!M18/((1/1000)*(s_Irr!L18+s_Irr!AK18+s_Irr!BJ18)),IF(AND(s_Irr!L18&lt;&gt;".",s_Irr!AK18&lt;&gt;".",s_Irr!BJ18="."),s_dir!M18/((1/1000)*(s_Irr!L18+s_Irr!AK18)),IF(AND(s_Irr!L18&lt;&gt;".",s_Irr!AK18=".",s_Irr!BJ18&lt;&gt;"."),s_dir!M18/((1/1000)*(s_Irr!L18+s_Irr!BJ18)),IF(AND(s_Irr!L18=".",s_Irr!AK18&lt;&gt;".",s_Irr!BJ18&lt;&gt;"."),s_dir!M18/((1/1000)*(s_Irr!AK18+s_Irr!BJ18)),IF(AND(s_Irr!L18=".",s_Irr!AK18=".",s_Irr!BJ18&lt;&gt;"."),s_dir!M18/((1/1000)*(s_Irr!BJ18)),IF(AND(s_Irr!L18=".",s_Irr!AK18&lt;&gt;".",s_Irr!BJ18="."),s_dir!M18/((1/1000)*(s_Irr!AK18)),IF(AND(s_Irr!L18&lt;&gt;".",s_Irr!AK18=".",s_Irr!BJ18="."),s_dir!M18/((1/1000)*(s_Irr!L18)),IF(AND(s_Irr!L18=".",s_Irr!AK18=".",s_Irr!BJ18="."),s_dir!M18*1000)))))))),".")</f>
        <v>43.500521608732512</v>
      </c>
      <c r="N18" s="70">
        <f>IFERROR(IF(AND(s_Irr!M18&lt;&gt;".",s_Irr!AL18&lt;&gt;".",s_Irr!BK18&lt;&gt;"."),s_dir!N18/((1/1000)*(s_Irr!M18+s_Irr!AL18+s_Irr!BK18)),IF(AND(s_Irr!M18&lt;&gt;".",s_Irr!AL18&lt;&gt;".",s_Irr!BK18="."),s_dir!N18/((1/1000)*(s_Irr!M18+s_Irr!AL18)),IF(AND(s_Irr!M18&lt;&gt;".",s_Irr!AL18=".",s_Irr!BK18&lt;&gt;"."),s_dir!N18/((1/1000)*(s_Irr!M18+s_Irr!BK18)),IF(AND(s_Irr!M18=".",s_Irr!AL18&lt;&gt;".",s_Irr!BK18&lt;&gt;"."),s_dir!N18/((1/1000)*(s_Irr!AL18+s_Irr!BK18)),IF(AND(s_Irr!M18=".",s_Irr!AL18=".",s_Irr!BK18&lt;&gt;"."),s_dir!N18/((1/1000)*(s_Irr!BK18)),IF(AND(s_Irr!M18=".",s_Irr!AL18&lt;&gt;".",s_Irr!BK18="."),s_dir!N18/((1/1000)*(s_Irr!AL18)),IF(AND(s_Irr!M18&lt;&gt;".",s_Irr!AL18=".",s_Irr!BK18="."),s_dir!N18/((1/1000)*(s_Irr!M18)),IF(AND(s_Irr!M18=".",s_Irr!AL18=".",s_Irr!BK18="."),s_dir!N18*1000)))))))),".")</f>
        <v>38.7740919443347</v>
      </c>
      <c r="O18" s="70">
        <f>IFERROR(IF(AND(s_Irr!N18&lt;&gt;".",s_Irr!AM18&lt;&gt;".",s_Irr!BL18&lt;&gt;"."),s_dir!O18/((1/1000)*(s_Irr!N18+s_Irr!AM18+s_Irr!BL18)),IF(AND(s_Irr!N18&lt;&gt;".",s_Irr!AM18&lt;&gt;".",s_Irr!BL18="."),s_dir!O18/((1/1000)*(s_Irr!N18+s_Irr!AM18)),IF(AND(s_Irr!N18&lt;&gt;".",s_Irr!AM18=".",s_Irr!BL18&lt;&gt;"."),s_dir!O18/((1/1000)*(s_Irr!N18+s_Irr!BL18)),IF(AND(s_Irr!N18=".",s_Irr!AM18&lt;&gt;".",s_Irr!BL18&lt;&gt;"."),s_dir!O18/((1/1000)*(s_Irr!AM18+s_Irr!BL18)),IF(AND(s_Irr!N18=".",s_Irr!AM18=".",s_Irr!BL18&lt;&gt;"."),s_dir!O18/((1/1000)*(s_Irr!BL18)),IF(AND(s_Irr!N18=".",s_Irr!AM18&lt;&gt;".",s_Irr!BL18="."),s_dir!O18/((1/1000)*(s_Irr!AM18)),IF(AND(s_Irr!N18&lt;&gt;".",s_Irr!AM18=".",s_Irr!BL18="."),s_dir!O18/((1/1000)*(s_Irr!N18)),IF(AND(s_Irr!N18=".",s_Irr!AM18=".",s_Irr!BL18="."),s_dir!O18*1000)))))))),".")</f>
        <v>43.449029913325383</v>
      </c>
      <c r="P18" s="70">
        <f>IFERROR(IF(AND(s_Irr!O18&lt;&gt;".",s_Irr!AN18&lt;&gt;".",s_Irr!BM18&lt;&gt;"."),s_dir!P18/((1/1000)*(s_Irr!O18+s_Irr!AN18+s_Irr!BM18)),IF(AND(s_Irr!O18&lt;&gt;".",s_Irr!AN18&lt;&gt;".",s_Irr!BM18="."),s_dir!P18/((1/1000)*(s_Irr!O18+s_Irr!AN18)),IF(AND(s_Irr!O18&lt;&gt;".",s_Irr!AN18=".",s_Irr!BM18&lt;&gt;"."),s_dir!P18/((1/1000)*(s_Irr!O18+s_Irr!BM18)),IF(AND(s_Irr!O18=".",s_Irr!AN18&lt;&gt;".",s_Irr!BM18&lt;&gt;"."),s_dir!P18/((1/1000)*(s_Irr!AN18+s_Irr!BM18)),IF(AND(s_Irr!O18=".",s_Irr!AN18=".",s_Irr!BM18&lt;&gt;"."),s_dir!P18/((1/1000)*(s_Irr!BM18)),IF(AND(s_Irr!O18=".",s_Irr!AN18&lt;&gt;".",s_Irr!BM18="."),s_dir!P18/((1/1000)*(s_Irr!AN18)),IF(AND(s_Irr!O18&lt;&gt;".",s_Irr!AN18=".",s_Irr!BM18="."),s_dir!P18/((1/1000)*(s_Irr!O18)),IF(AND(s_Irr!O18=".",s_Irr!AN18=".",s_Irr!BM18="."),s_dir!P18*1000)))))))),".")</f>
        <v>43.500521608732512</v>
      </c>
      <c r="Q18" s="70">
        <f>IFERROR(IF(AND(s_Irr!P18&lt;&gt;".",s_Irr!AO18&lt;&gt;".",s_Irr!BN18&lt;&gt;"."),s_dir!Q18/((1/1000)*(s_Irr!P18+s_Irr!AO18+s_Irr!BN18)),IF(AND(s_Irr!P18&lt;&gt;".",s_Irr!AO18&lt;&gt;".",s_Irr!BN18="."),s_dir!Q18/((1/1000)*(s_Irr!P18+s_Irr!AO18)),IF(AND(s_Irr!P18&lt;&gt;".",s_Irr!AO18=".",s_Irr!BN18&lt;&gt;"."),s_dir!Q18/((1/1000)*(s_Irr!P18+s_Irr!BN18)),IF(AND(s_Irr!P18=".",s_Irr!AO18&lt;&gt;".",s_Irr!BN18&lt;&gt;"."),s_dir!Q18/((1/1000)*(s_Irr!AO18+s_Irr!BN18)),IF(AND(s_Irr!P18=".",s_Irr!AO18=".",s_Irr!BN18&lt;&gt;"."),s_dir!Q18/((1/1000)*(s_Irr!BN18)),IF(AND(s_Irr!P18=".",s_Irr!AO18&lt;&gt;".",s_Irr!BN18="."),s_dir!Q18/((1/1000)*(s_Irr!AO18)),IF(AND(s_Irr!P18&lt;&gt;".",s_Irr!AO18=".",s_Irr!BN18="."),s_dir!Q18/((1/1000)*(s_Irr!P18)),IF(AND(s_Irr!P18=".",s_Irr!AO18=".",s_Irr!BN18="."),s_dir!Q18*1000)))))))),".")</f>
        <v>39.733454007359143</v>
      </c>
      <c r="R18" s="70">
        <f>IFERROR(IF(AND(s_Irr!Q18&lt;&gt;".",s_Irr!AP18&lt;&gt;".",s_Irr!BO18&lt;&gt;"."),s_dir!R18/((1/1000)*(s_Irr!Q18+s_Irr!AP18+s_Irr!BO18)),IF(AND(s_Irr!Q18&lt;&gt;".",s_Irr!AP18&lt;&gt;".",s_Irr!BO18="."),s_dir!R18/((1/1000)*(s_Irr!Q18+s_Irr!AP18)),IF(AND(s_Irr!Q18&lt;&gt;".",s_Irr!AP18=".",s_Irr!BO18&lt;&gt;"."),s_dir!R18/((1/1000)*(s_Irr!Q18+s_Irr!BO18)),IF(AND(s_Irr!Q18=".",s_Irr!AP18&lt;&gt;".",s_Irr!BO18&lt;&gt;"."),s_dir!R18/((1/1000)*(s_Irr!AP18+s_Irr!BO18)),IF(AND(s_Irr!Q18=".",s_Irr!AP18=".",s_Irr!BO18&lt;&gt;"."),s_dir!R18/((1/1000)*(s_Irr!BO18)),IF(AND(s_Irr!Q18=".",s_Irr!AP18&lt;&gt;".",s_Irr!BO18="."),s_dir!R18/((1/1000)*(s_Irr!AP18)),IF(AND(s_Irr!Q18&lt;&gt;".",s_Irr!AP18=".",s_Irr!BO18="."),s_dir!R18/((1/1000)*(s_Irr!Q18)),IF(AND(s_Irr!Q18=".",s_Irr!AP18=".",s_Irr!BO18="."),s_dir!R18*1000)))))))),".")</f>
        <v>43.500521608732512</v>
      </c>
      <c r="S18" s="70">
        <f>IFERROR(IF(AND(s_Irr!R18&lt;&gt;".",s_Irr!AQ18&lt;&gt;".",s_Irr!BP18&lt;&gt;"."),s_dir!S18/((1/1000)*(s_Irr!R18+s_Irr!AQ18+s_Irr!BP18)),IF(AND(s_Irr!R18&lt;&gt;".",s_Irr!AQ18&lt;&gt;".",s_Irr!BP18="."),s_dir!S18/((1/1000)*(s_Irr!R18+s_Irr!AQ18)),IF(AND(s_Irr!R18&lt;&gt;".",s_Irr!AQ18=".",s_Irr!BP18&lt;&gt;"."),s_dir!S18/((1/1000)*(s_Irr!R18+s_Irr!BP18)),IF(AND(s_Irr!R18=".",s_Irr!AQ18&lt;&gt;".",s_Irr!BP18&lt;&gt;"."),s_dir!S18/((1/1000)*(s_Irr!AQ18+s_Irr!BP18)),IF(AND(s_Irr!R18=".",s_Irr!AQ18=".",s_Irr!BP18&lt;&gt;"."),s_dir!S18/((1/1000)*(s_Irr!BP18)),IF(AND(s_Irr!R18=".",s_Irr!AQ18&lt;&gt;".",s_Irr!BP18="."),s_dir!S18/((1/1000)*(s_Irr!AQ18)),IF(AND(s_Irr!R18&lt;&gt;".",s_Irr!AQ18=".",s_Irr!BP18="."),s_dir!S18/((1/1000)*(s_Irr!R18)),IF(AND(s_Irr!R18=".",s_Irr!AQ18=".",s_Irr!BP18="."),s_dir!S18*1000)))))))),".")</f>
        <v>43.500521608732512</v>
      </c>
      <c r="T18" s="70">
        <f>IFERROR(IF(AND(s_Irr!S18&lt;&gt;".",s_Irr!AR18&lt;&gt;".",s_Irr!BQ18&lt;&gt;"."),s_dir!T18/((1/1000)*(s_Irr!S18+s_Irr!AR18+s_Irr!BQ18)),IF(AND(s_Irr!S18&lt;&gt;".",s_Irr!AR18&lt;&gt;".",s_Irr!BQ18="."),s_dir!T18/((1/1000)*(s_Irr!S18+s_Irr!AR18)),IF(AND(s_Irr!S18&lt;&gt;".",s_Irr!AR18=".",s_Irr!BQ18&lt;&gt;"."),s_dir!T18/((1/1000)*(s_Irr!S18+s_Irr!BQ18)),IF(AND(s_Irr!S18=".",s_Irr!AR18&lt;&gt;".",s_Irr!BQ18&lt;&gt;"."),s_dir!T18/((1/1000)*(s_Irr!AR18+s_Irr!BQ18)),IF(AND(s_Irr!S18=".",s_Irr!AR18=".",s_Irr!BQ18&lt;&gt;"."),s_dir!T18/((1/1000)*(s_Irr!BQ18)),IF(AND(s_Irr!S18=".",s_Irr!AR18&lt;&gt;".",s_Irr!BQ18="."),s_dir!T18/((1/1000)*(s_Irr!AR18)),IF(AND(s_Irr!S18&lt;&gt;".",s_Irr!AR18=".",s_Irr!BQ18="."),s_dir!T18/((1/1000)*(s_Irr!S18)),IF(AND(s_Irr!S18=".",s_Irr!AR18=".",s_Irr!BQ18="."),s_dir!T18*1000)))))))),".")</f>
        <v>43.449029913325383</v>
      </c>
      <c r="U18" s="70">
        <f>IFERROR(IF(AND(s_Irr!T18&lt;&gt;".",s_Irr!AS18&lt;&gt;".",s_Irr!BR18&lt;&gt;"."),s_dir!U18/((1/1000)*(s_Irr!T18+s_Irr!AS18+s_Irr!BR18)),IF(AND(s_Irr!T18&lt;&gt;".",s_Irr!AS18&lt;&gt;".",s_Irr!BR18="."),s_dir!U18/((1/1000)*(s_Irr!T18+s_Irr!AS18)),IF(AND(s_Irr!T18&lt;&gt;".",s_Irr!AS18=".",s_Irr!BR18&lt;&gt;"."),s_dir!U18/((1/1000)*(s_Irr!T18+s_Irr!BR18)),IF(AND(s_Irr!T18=".",s_Irr!AS18&lt;&gt;".",s_Irr!BR18&lt;&gt;"."),s_dir!U18/((1/1000)*(s_Irr!AS18+s_Irr!BR18)),IF(AND(s_Irr!T18=".",s_Irr!AS18=".",s_Irr!BR18&lt;&gt;"."),s_dir!U18/((1/1000)*(s_Irr!BR18)),IF(AND(s_Irr!T18=".",s_Irr!AS18&lt;&gt;".",s_Irr!BR18="."),s_dir!U18/((1/1000)*(s_Irr!AS18)),IF(AND(s_Irr!T18&lt;&gt;".",s_Irr!AS18=".",s_Irr!BR18="."),s_dir!U18/((1/1000)*(s_Irr!T18)),IF(AND(s_Irr!T18=".",s_Irr!AS18=".",s_Irr!BR18="."),s_dir!U18*1000)))))))),".")</f>
        <v>43.500521608732512</v>
      </c>
      <c r="V18" s="70">
        <f>IFERROR(IF(AND(s_Irr!U18&lt;&gt;".",s_Irr!AT18&lt;&gt;".",s_Irr!BS18&lt;&gt;"."),s_dir!V18/((1/1000)*(s_Irr!U18+s_Irr!AT18+s_Irr!BS18)),IF(AND(s_Irr!U18&lt;&gt;".",s_Irr!AT18&lt;&gt;".",s_Irr!BS18="."),s_dir!V18/((1/1000)*(s_Irr!U18+s_Irr!AT18)),IF(AND(s_Irr!U18&lt;&gt;".",s_Irr!AT18=".",s_Irr!BS18&lt;&gt;"."),s_dir!V18/((1/1000)*(s_Irr!U18+s_Irr!BS18)),IF(AND(s_Irr!U18=".",s_Irr!AT18&lt;&gt;".",s_Irr!BS18&lt;&gt;"."),s_dir!V18/((1/1000)*(s_Irr!AT18+s_Irr!BS18)),IF(AND(s_Irr!U18=".",s_Irr!AT18=".",s_Irr!BS18&lt;&gt;"."),s_dir!V18/((1/1000)*(s_Irr!BS18)),IF(AND(s_Irr!U18=".",s_Irr!AT18&lt;&gt;".",s_Irr!BS18="."),s_dir!V18/((1/1000)*(s_Irr!AT18)),IF(AND(s_Irr!U18&lt;&gt;".",s_Irr!AT18=".",s_Irr!BS18="."),s_dir!V18/((1/1000)*(s_Irr!U18)),IF(AND(s_Irr!U18=".",s_Irr!AT18=".",s_Irr!BS18="."),s_dir!V18*1000)))))))),".")</f>
        <v>41.734116547734914</v>
      </c>
      <c r="W18" s="70">
        <f>IFERROR(IF(AND(s_Irr!V18&lt;&gt;".",s_Irr!AU18&lt;&gt;".",s_Irr!BT18&lt;&gt;"."),s_dir!W18/((1/1000)*(s_Irr!V18+s_Irr!AU18+s_Irr!BT18)),IF(AND(s_Irr!V18&lt;&gt;".",s_Irr!AU18&lt;&gt;".",s_Irr!BT18="."),s_dir!W18/((1/1000)*(s_Irr!V18+s_Irr!AU18)),IF(AND(s_Irr!V18&lt;&gt;".",s_Irr!AU18=".",s_Irr!BT18&lt;&gt;"."),s_dir!W18/((1/1000)*(s_Irr!V18+s_Irr!BT18)),IF(AND(s_Irr!V18=".",s_Irr!AU18&lt;&gt;".",s_Irr!BT18&lt;&gt;"."),s_dir!W18/((1/1000)*(s_Irr!AU18+s_Irr!BT18)),IF(AND(s_Irr!V18=".",s_Irr!AU18=".",s_Irr!BT18&lt;&gt;"."),s_dir!W18/((1/1000)*(s_Irr!BT18)),IF(AND(s_Irr!V18=".",s_Irr!AU18&lt;&gt;".",s_Irr!BT18="."),s_dir!W18/((1/1000)*(s_Irr!AU18)),IF(AND(s_Irr!V18&lt;&gt;".",s_Irr!AU18=".",s_Irr!BT18="."),s_dir!W18/((1/1000)*(s_Irr!V18)),IF(AND(s_Irr!V18=".",s_Irr!AU18=".",s_Irr!BT18="."),s_dir!W18*1000)))))))),".")</f>
        <v>43.500521608732512</v>
      </c>
      <c r="X18" s="70">
        <f>IFERROR(IF(AND(s_Irr!W18&lt;&gt;".",s_Irr!AV18&lt;&gt;".",s_Irr!BU18&lt;&gt;"."),s_dir!X18/((1/1000)*(s_Irr!W18+s_Irr!AV18+s_Irr!BU18)),IF(AND(s_Irr!W18&lt;&gt;".",s_Irr!AV18&lt;&gt;".",s_Irr!BU18="."),s_dir!X18/((1/1000)*(s_Irr!W18+s_Irr!AV18)),IF(AND(s_Irr!W18&lt;&gt;".",s_Irr!AV18=".",s_Irr!BU18&lt;&gt;"."),s_dir!X18/((1/1000)*(s_Irr!W18+s_Irr!BU18)),IF(AND(s_Irr!W18=".",s_Irr!AV18&lt;&gt;".",s_Irr!BU18&lt;&gt;"."),s_dir!X18/((1/1000)*(s_Irr!AV18+s_Irr!BU18)),IF(AND(s_Irr!W18=".",s_Irr!AV18=".",s_Irr!BU18&lt;&gt;"."),s_dir!X18/((1/1000)*(s_Irr!BU18)),IF(AND(s_Irr!W18=".",s_Irr!AV18&lt;&gt;".",s_Irr!BU18="."),s_dir!X18/((1/1000)*(s_Irr!AV18)),IF(AND(s_Irr!W18&lt;&gt;".",s_Irr!AV18=".",s_Irr!BU18="."),s_dir!X18/((1/1000)*(s_Irr!W18)),IF(AND(s_Irr!W18=".",s_Irr!AV18=".",s_Irr!BU18="."),s_dir!X18*1000)))))))),".")</f>
        <v>43.449029913325383</v>
      </c>
      <c r="Y18" s="70">
        <f>IFERROR(IF(AND(s_Irr!X18&lt;&gt;".",s_Irr!AW18&lt;&gt;".",s_Irr!BV18&lt;&gt;"."),s_dir!Y18/((1/1000)*(s_Irr!X18+s_Irr!AW18+s_Irr!BV18)),IF(AND(s_Irr!X18&lt;&gt;".",s_Irr!AW18&lt;&gt;".",s_Irr!BV18="."),s_dir!Y18/((1/1000)*(s_Irr!X18+s_Irr!AW18)),IF(AND(s_Irr!X18&lt;&gt;".",s_Irr!AW18=".",s_Irr!BV18&lt;&gt;"."),s_dir!Y18/((1/1000)*(s_Irr!X18+s_Irr!BV18)),IF(AND(s_Irr!X18=".",s_Irr!AW18&lt;&gt;".",s_Irr!BV18&lt;&gt;"."),s_dir!Y18/((1/1000)*(s_Irr!AW18+s_Irr!BV18)),IF(AND(s_Irr!X18=".",s_Irr!AW18=".",s_Irr!BV18&lt;&gt;"."),s_dir!Y18/((1/1000)*(s_Irr!BV18)),IF(AND(s_Irr!X18=".",s_Irr!AW18&lt;&gt;".",s_Irr!BV18="."),s_dir!Y18/((1/1000)*(s_Irr!AW18)),IF(AND(s_Irr!X18&lt;&gt;".",s_Irr!AW18=".",s_Irr!BV18="."),s_dir!Y18/((1/1000)*(s_Irr!X18)),IF(AND(s_Irr!X18=".",s_Irr!AW18=".",s_Irr!BV18="."),s_dir!Y18*1000)))))))),".")</f>
        <v>43.500521608732512</v>
      </c>
      <c r="Z18" s="70">
        <f>IFERROR(IF(AND(s_Irr!Y18&lt;&gt;".",s_Irr!AX18&lt;&gt;".",s_Irr!BW18&lt;&gt;"."),s_dir!Z18/((1/1000)*(s_Irr!Y18+s_Irr!AX18+s_Irr!BW18)),IF(AND(s_Irr!Y18&lt;&gt;".",s_Irr!AX18&lt;&gt;".",s_Irr!BW18="."),s_dir!Z18/((1/1000)*(s_Irr!Y18+s_Irr!AX18)),IF(AND(s_Irr!Y18&lt;&gt;".",s_Irr!AX18=".",s_Irr!BW18&lt;&gt;"."),s_dir!Z18/((1/1000)*(s_Irr!Y18+s_Irr!BW18)),IF(AND(s_Irr!Y18=".",s_Irr!AX18&lt;&gt;".",s_Irr!BW18&lt;&gt;"."),s_dir!Z18/((1/1000)*(s_Irr!AX18+s_Irr!BW18)),IF(AND(s_Irr!Y18=".",s_Irr!AX18=".",s_Irr!BW18&lt;&gt;"."),s_dir!Z18/((1/1000)*(s_Irr!BW18)),IF(AND(s_Irr!Y18=".",s_Irr!AX18&lt;&gt;".",s_Irr!BW18="."),s_dir!Z18/((1/1000)*(s_Irr!AX18)),IF(AND(s_Irr!Y18&lt;&gt;".",s_Irr!AX18=".",s_Irr!BW18="."),s_dir!Z18/((1/1000)*(s_Irr!Y18)),IF(AND(s_Irr!Y18=".",s_Irr!AX18=".",s_Irr!BW18="."),s_dir!Z18*1000)))))))),".")</f>
        <v>43.500521608732512</v>
      </c>
      <c r="AA18" s="70">
        <f>IFERROR(IF(AND(s_Irr!Z18&lt;&gt;".",s_Irr!AY18&lt;&gt;".",s_Irr!BX18&lt;&gt;"."),s_dir!AA18/((1/1000)*(s_Irr!Z18+s_Irr!AY18+s_Irr!BX18)),IF(AND(s_Irr!Z18&lt;&gt;".",s_Irr!AY18&lt;&gt;".",s_Irr!BX18="."),s_dir!AA18/((1/1000)*(s_Irr!Z18+s_Irr!AY18)),IF(AND(s_Irr!Z18&lt;&gt;".",s_Irr!AY18=".",s_Irr!BX18&lt;&gt;"."),s_dir!AA18/((1/1000)*(s_Irr!Z18+s_Irr!BX18)),IF(AND(s_Irr!Z18=".",s_Irr!AY18&lt;&gt;".",s_Irr!BX18&lt;&gt;"."),s_dir!AA18/((1/1000)*(s_Irr!AY18+s_Irr!BX18)),IF(AND(s_Irr!Z18=".",s_Irr!AY18=".",s_Irr!BX18&lt;&gt;"."),s_dir!AA18/((1/1000)*(s_Irr!BX18)),IF(AND(s_Irr!Z18=".",s_Irr!AY18&lt;&gt;".",s_Irr!BX18="."),s_dir!AA18/((1/1000)*(s_Irr!AY18)),IF(AND(s_Irr!Z18&lt;&gt;".",s_Irr!AY18=".",s_Irr!BX18="."),s_dir!AA18/((1/1000)*(s_Irr!Z18)),IF(AND(s_Irr!Z18=".",s_Irr!AY18=".",s_Irr!BX18="."),s_dir!AA18*1000)))))))),".")</f>
        <v>35.752725382223296</v>
      </c>
      <c r="AB18" s="70">
        <f>IFERROR(IF(AND(s_Irr!AA18&lt;&gt;".",s_Irr!AZ18&lt;&gt;".",s_Irr!BY18&lt;&gt;"."),s_dir!AB18/((1/1000)*(s_Irr!AA18+s_Irr!AZ18+s_Irr!BY18)),IF(AND(s_Irr!AA18&lt;&gt;".",s_Irr!AZ18&lt;&gt;".",s_Irr!BY18="."),s_dir!AB18/((1/1000)*(s_Irr!AA18+s_Irr!AZ18)),IF(AND(s_Irr!AA18&lt;&gt;".",s_Irr!AZ18=".",s_Irr!BY18&lt;&gt;"."),s_dir!AB18/((1/1000)*(s_Irr!AA18+s_Irr!BY18)),IF(AND(s_Irr!AA18=".",s_Irr!AZ18&lt;&gt;".",s_Irr!BY18&lt;&gt;"."),s_dir!AB18/((1/1000)*(s_Irr!AZ18+s_Irr!BY18)),IF(AND(s_Irr!AA18=".",s_Irr!AZ18=".",s_Irr!BY18&lt;&gt;"."),s_dir!AB18/((1/1000)*(s_Irr!BY18)),IF(AND(s_Irr!AA18=".",s_Irr!AZ18&lt;&gt;".",s_Irr!BY18="."),s_dir!AB18/((1/1000)*(s_Irr!AZ18)),IF(AND(s_Irr!AA18&lt;&gt;".",s_Irr!AZ18=".",s_Irr!BY18="."),s_dir!AB18/((1/1000)*(s_Irr!AA18)),IF(AND(s_Irr!AA18=".",s_Irr!AZ18=".",s_Irr!BY18="."),s_dir!AB18*1000)))))))),".")</f>
        <v>43.471082848465379</v>
      </c>
      <c r="AC18" s="87">
        <f t="shared" si="4"/>
        <v>374.32491773106489</v>
      </c>
      <c r="AD18" s="87">
        <f>IFERROR(s_C*s_IFAP_res_adj*s_CF_apple*0.001*(s_Irr!C18+s_Irr!AB18+s_Irr!BA18),".")</f>
        <v>88.757645154967165</v>
      </c>
      <c r="AE18" s="87">
        <f>IFERROR(s_C*s_IFAS_res_adj*s_CF_asparagus*0.001*(s_Irr!D18+s_Irr!AC18+s_Irr!BB18),".")</f>
        <v>99.576899609843579</v>
      </c>
      <c r="AF18" s="87">
        <f>IFERROR(s_C*s_IFBT_res_adj*s_CF_beet*0.001*(s_Irr!E18+s_Irr!AD18+s_Irr!BC18),".")</f>
        <v>97.172620842093266</v>
      </c>
      <c r="AG18" s="87">
        <f>IFERROR(s_C*s_IFBE_res_adj*s_CF_berries*0.001*(s_Irr!F18+s_Irr!AE18+s_Irr!BD18),".")</f>
        <v>88.757645154967165</v>
      </c>
      <c r="AH18" s="87">
        <f>IFERROR(s_C*s_IFBR_res_adj*s_CF_broccoli*0.001*(s_Irr!G18+s_Irr!AF18+s_Irr!BE18),".")</f>
        <v>88.757645154967165</v>
      </c>
      <c r="AI18" s="87">
        <f>IFERROR(s_C*s_IFCB_res_adj*s_CF_cabbage*0.001*(s_Irr!H18+s_Irr!AG18+s_Irr!BF18),".")</f>
        <v>99.576899609843579</v>
      </c>
      <c r="AJ18" s="87">
        <f>IFERROR(s_C*s_IFCR_res_adj*s_CF_carrot*0.001*(s_Irr!I18+s_Irr!AH18+s_Irr!BG18),".")</f>
        <v>97.172620842093266</v>
      </c>
      <c r="AK18" s="87">
        <f>IFERROR(s_C*s_IFCI_res_adj*s_CF_citrus*0.001*(s_Irr!J18+s_Irr!AI18+s_Irr!BH18),".")</f>
        <v>88.757645154967165</v>
      </c>
      <c r="AL18" s="87">
        <f>IFERROR(s_C*s_IFCO_res_adj*s_CF_corn*0.001*(s_Irr!K18+s_Irr!AJ18+s_Irr!BI18),".")</f>
        <v>88.817752124160918</v>
      </c>
      <c r="AM18" s="87">
        <f>IFERROR(s_C*s_IFCU_res_adj*s_CF_cucumber*0.001*(s_Irr!L18+s_Irr!AK18+s_Irr!BJ18),".")</f>
        <v>88.757645154967165</v>
      </c>
      <c r="AN18" s="87">
        <f>IFERROR(s_C*s_IFLE_res_adj*s_CF_lettuce*0.001*(s_Irr!M18+s_Irr!AL18+s_Irr!BK18),".")</f>
        <v>99.576899609843579</v>
      </c>
      <c r="AO18" s="87">
        <f>IFERROR(s_C*s_IFLI_res_adj*s_CF_lima_bean*0.001*(s_Irr!N18+s_Irr!AM18+s_Irr!BL18),".")</f>
        <v>88.862832351056241</v>
      </c>
      <c r="AP18" s="87">
        <f>IFERROR(s_C*s_IFOK_res_adj*s_CF_okra*0.001*(s_Irr!O18+s_Irr!AN18+s_Irr!BM18),".")</f>
        <v>88.757645154967165</v>
      </c>
      <c r="AQ18" s="87">
        <f>IFERROR(s_C*s_IFON_res_adj*s_CF_onion*0.001*(s_Irr!P18+s_Irr!AO18+s_Irr!BN18),".")</f>
        <v>97.172620842093266</v>
      </c>
      <c r="AR18" s="87">
        <f>IFERROR(s_C*s_IFPC_res_adj*s_CF_peach*0.001*(s_Irr!Q18+s_Irr!AP18+s_Irr!BO18),".")</f>
        <v>88.757645154967165</v>
      </c>
      <c r="AS18" s="87">
        <f>IFERROR(s_C*s_IFPR_res_adj*s_CF_pear*0.001*(s_Irr!R18+s_Irr!AQ18+s_Irr!BP18),".")</f>
        <v>88.757645154967165</v>
      </c>
      <c r="AT18" s="87">
        <f>IFERROR(s_C*s_IFPE_res_adj*s_CF_peas*0.001*(s_Irr!S18+s_Irr!AR18+s_Irr!BQ18),".")</f>
        <v>88.862832351056241</v>
      </c>
      <c r="AU18" s="87">
        <f>IFERROR(s_C*s_IFPP_res_adj*s_CF_peppers*0.001*(s_Irr!T18+s_Irr!AS18+s_Irr!BR18),".")</f>
        <v>88.757645154967165</v>
      </c>
      <c r="AV18" s="87">
        <f>IFERROR(s_C*s_IFPT_res_adj*s_CF_potato*0.001*(s_Irr!U18+s_Irr!AT18+s_Irr!BS18),".")</f>
        <v>92.514330729577026</v>
      </c>
      <c r="AW18" s="87">
        <f>IFERROR(s_C*s_IFPU_res_adj*s_CF_pumpkin*0.001*(s_Irr!V18+s_Irr!AU18+s_Irr!BT18),".")</f>
        <v>88.757645154967165</v>
      </c>
      <c r="AX18" s="87">
        <f>IFERROR(s_C*s_IFSN_res_adj*s_CF_snap_bean*0.001*(s_Irr!W18+s_Irr!AV18+s_Irr!BU18),".")</f>
        <v>88.862832351056241</v>
      </c>
      <c r="AY18" s="87">
        <f>IFERROR(s_C*s_IFST_res_adj*s_CF_strawberry*0.001*(s_Irr!X18+s_Irr!AW18+s_Irr!BV18),".")</f>
        <v>88.757645154967165</v>
      </c>
      <c r="AZ18" s="87">
        <f>IFERROR(s_C*s_IFTO_res_adj*s_CF_tomato*0.001*(s_Irr!Y18+s_Irr!AX18+s_Irr!BW18),".")</f>
        <v>88.757645154967165</v>
      </c>
      <c r="BA18" s="87">
        <f>IFERROR(s_C*s_IFRI_res_adj*s_CF_rice*0.001*(s_Irr!Z18+s_Irr!AY18+s_Irr!BX18),".")</f>
        <v>107.99187529696968</v>
      </c>
      <c r="BB18" s="87">
        <f>IFERROR(s_C*s_IFCG_res_adj*s_CF_cereal*0.001*(s_Irr!AA18+s_Irr!AZ18+s_Irr!BY18),".")</f>
        <v>88.817752124160918</v>
      </c>
      <c r="BC18" s="70">
        <f t="shared" si="1"/>
        <v>10.314578800703334</v>
      </c>
      <c r="BD18" s="70">
        <f>IFERROR(IF(AND(s_Irr!C18&lt;&gt;".",s_Irr!AB18&lt;&gt;".",s_Irr!BA18&lt;&gt;"."),s_dir!AD18/((1/1000)*(s_Irr!C18+s_Irr!AB18+s_Irr!BA18)),IF(AND(s_Irr!C18&lt;&gt;".",s_Irr!AB18&lt;&gt;".",s_Irr!BA18="."),s_dir!AD18/((1/1000)*(s_Irr!C18+s_Irr!AB18)),IF(AND(s_Irr!C18&lt;&gt;".",s_Irr!AB18=".",s_Irr!BA18&lt;&gt;"."),s_dir!AD18/((1/1000)*(s_Irr!C18+s_Irr!BA18)),IF(AND(s_Irr!C18=".",s_Irr!AB18&lt;&gt;".",s_Irr!BA18&lt;&gt;"."),s_dir!AD18/((1/1000)*(s_Irr!AB18+s_Irr!BA18)),IF(AND(s_Irr!C18=".",s_Irr!AB18=".",s_Irr!BA18&lt;&gt;"."),s_dir!AD18/((1/1000)*(s_Irr!BA18)),IF(AND(s_Irr!C18=".",s_Irr!AB18&lt;&gt;".",s_Irr!BA18="."),s_dir!AD18/((1/1000)*(s_Irr!AB18)),IF(AND(s_Irr!C18&lt;&gt;".",s_Irr!AB18=".",s_Irr!BA18="."),s_dir!AD18/((1/1000)*(s_Irr!C18)),IF(AND(s_Irr!C18=".",s_Irr!AB18=".",s_Irr!BA18="."),s_dir!AD18*1000)))))))),".")</f>
        <v>43.500521608732512</v>
      </c>
      <c r="BE18" s="70">
        <f>IFERROR(IF(AND(s_Irr!D18&lt;&gt;".",s_Irr!AC18&lt;&gt;".",s_Irr!BB18&lt;&gt;"."),s_dir!AE18/((1/1000)*(s_Irr!D18+s_Irr!AC18+s_Irr!BB18)),IF(AND(s_Irr!D18&lt;&gt;".",s_Irr!AC18&lt;&gt;".",s_Irr!BB18="."),s_dir!AE18/((1/1000)*(s_Irr!D18+s_Irr!AC18)),IF(AND(s_Irr!D18&lt;&gt;".",s_Irr!AC18=".",s_Irr!BB18&lt;&gt;"."),s_dir!AE18/((1/1000)*(s_Irr!D18+s_Irr!BB18)),IF(AND(s_Irr!D18=".",s_Irr!AC18&lt;&gt;".",s_Irr!BB18&lt;&gt;"."),s_dir!AE18/((1/1000)*(s_Irr!AC18+s_Irr!BB18)),IF(AND(s_Irr!D18=".",s_Irr!AC18=".",s_Irr!BB18&lt;&gt;"."),s_dir!AE18/((1/1000)*(s_Irr!BB18)),IF(AND(s_Irr!D18=".",s_Irr!AC18&lt;&gt;".",s_Irr!BB18="."),s_dir!AE18/((1/1000)*(s_Irr!AC18)),IF(AND(s_Irr!D18&lt;&gt;".",s_Irr!AC18=".",s_Irr!BB18="."),s_dir!AE18/((1/1000)*(s_Irr!D18)),IF(AND(s_Irr!D18=".",s_Irr!AC18=".",s_Irr!BB18="."),s_dir!AE18*1000)))))))),".")</f>
        <v>38.7740919443347</v>
      </c>
      <c r="BF18" s="70">
        <f>IFERROR(IF(AND(s_Irr!E18&lt;&gt;".",s_Irr!AD18&lt;&gt;".",s_Irr!BC18&lt;&gt;"."),s_dir!AF18/((1/1000)*(s_Irr!E18+s_Irr!AD18+s_Irr!BC18)),IF(AND(s_Irr!E18&lt;&gt;".",s_Irr!AD18&lt;&gt;".",s_Irr!BC18="."),s_dir!AF18/((1/1000)*(s_Irr!E18+s_Irr!AD18)),IF(AND(s_Irr!E18&lt;&gt;".",s_Irr!AD18=".",s_Irr!BC18&lt;&gt;"."),s_dir!AF18/((1/1000)*(s_Irr!E18+s_Irr!BC18)),IF(AND(s_Irr!E18=".",s_Irr!AD18&lt;&gt;".",s_Irr!BC18&lt;&gt;"."),s_dir!AF18/((1/1000)*(s_Irr!AD18+s_Irr!BC18)),IF(AND(s_Irr!E18=".",s_Irr!AD18=".",s_Irr!BC18&lt;&gt;"."),s_dir!AF18/((1/1000)*(s_Irr!BC18)),IF(AND(s_Irr!E18=".",s_Irr!AD18&lt;&gt;".",s_Irr!BC18="."),s_dir!AF18/((1/1000)*(s_Irr!AD18)),IF(AND(s_Irr!E18&lt;&gt;".",s_Irr!AD18=".",s_Irr!BC18="."),s_dir!AF18/((1/1000)*(s_Irr!E18)),IF(AND(s_Irr!E18=".",s_Irr!AD18=".",s_Irr!BC18="."),s_dir!AF18*1000)))))))),".")</f>
        <v>39.733454007359143</v>
      </c>
      <c r="BG18" s="70">
        <f>IFERROR(IF(AND(s_Irr!F18&lt;&gt;".",s_Irr!AE18&lt;&gt;".",s_Irr!BD18&lt;&gt;"."),s_dir!AG18/((1/1000)*(s_Irr!F18+s_Irr!AE18+s_Irr!BD18)),IF(AND(s_Irr!F18&lt;&gt;".",s_Irr!AE18&lt;&gt;".",s_Irr!BD18="."),s_dir!AG18/((1/1000)*(s_Irr!F18+s_Irr!AE18)),IF(AND(s_Irr!F18&lt;&gt;".",s_Irr!AE18=".",s_Irr!BD18&lt;&gt;"."),s_dir!AG18/((1/1000)*(s_Irr!F18+s_Irr!BD18)),IF(AND(s_Irr!F18=".",s_Irr!AE18&lt;&gt;".",s_Irr!BD18&lt;&gt;"."),s_dir!AG18/((1/1000)*(s_Irr!AE18+s_Irr!BD18)),IF(AND(s_Irr!F18=".",s_Irr!AE18=".",s_Irr!BD18&lt;&gt;"."),s_dir!AG18/((1/1000)*(s_Irr!BD18)),IF(AND(s_Irr!F18=".",s_Irr!AE18&lt;&gt;".",s_Irr!BD18="."),s_dir!AG18/((1/1000)*(s_Irr!AE18)),IF(AND(s_Irr!F18&lt;&gt;".",s_Irr!AE18=".",s_Irr!BD18="."),s_dir!AG18/((1/1000)*(s_Irr!F18)),IF(AND(s_Irr!F18=".",s_Irr!AE18=".",s_Irr!BD18="."),s_dir!AG18*1000)))))))),".")</f>
        <v>43.500521608732512</v>
      </c>
      <c r="BH18" s="70">
        <f>IFERROR(IF(AND(s_Irr!G18&lt;&gt;".",s_Irr!AF18&lt;&gt;".",s_Irr!BE18&lt;&gt;"."),s_dir!AH18/((1/1000)*(s_Irr!G18+s_Irr!AF18+s_Irr!BE18)),IF(AND(s_Irr!G18&lt;&gt;".",s_Irr!AF18&lt;&gt;".",s_Irr!BE18="."),s_dir!AH18/((1/1000)*(s_Irr!G18+s_Irr!AF18)),IF(AND(s_Irr!G18&lt;&gt;".",s_Irr!AF18=".",s_Irr!BE18&lt;&gt;"."),s_dir!AH18/((1/1000)*(s_Irr!G18+s_Irr!BE18)),IF(AND(s_Irr!G18=".",s_Irr!AF18&lt;&gt;".",s_Irr!BE18&lt;&gt;"."),s_dir!AH18/((1/1000)*(s_Irr!AF18+s_Irr!BE18)),IF(AND(s_Irr!G18=".",s_Irr!AF18=".",s_Irr!BE18&lt;&gt;"."),s_dir!AH18/((1/1000)*(s_Irr!BE18)),IF(AND(s_Irr!G18=".",s_Irr!AF18&lt;&gt;".",s_Irr!BE18="."),s_dir!AH18/((1/1000)*(s_Irr!AF18)),IF(AND(s_Irr!G18&lt;&gt;".",s_Irr!AF18=".",s_Irr!BE18="."),s_dir!AH18/((1/1000)*(s_Irr!G18)),IF(AND(s_Irr!G18=".",s_Irr!AF18=".",s_Irr!BE18="."),s_dir!AH18*1000)))))))),".")</f>
        <v>43.500521608732512</v>
      </c>
      <c r="BI18" s="70">
        <f>IFERROR(IF(AND(s_Irr!H18&lt;&gt;".",s_Irr!AG18&lt;&gt;".",s_Irr!BF18&lt;&gt;"."),s_dir!AI18/((1/1000)*(s_Irr!H18+s_Irr!AG18+s_Irr!BF18)),IF(AND(s_Irr!H18&lt;&gt;".",s_Irr!AG18&lt;&gt;".",s_Irr!BF18="."),s_dir!AI18/((1/1000)*(s_Irr!H18+s_Irr!AG18)),IF(AND(s_Irr!H18&lt;&gt;".",s_Irr!AG18=".",s_Irr!BF18&lt;&gt;"."),s_dir!AI18/((1/1000)*(s_Irr!H18+s_Irr!BF18)),IF(AND(s_Irr!H18=".",s_Irr!AG18&lt;&gt;".",s_Irr!BF18&lt;&gt;"."),s_dir!AI18/((1/1000)*(s_Irr!AG18+s_Irr!BF18)),IF(AND(s_Irr!H18=".",s_Irr!AG18=".",s_Irr!BF18&lt;&gt;"."),s_dir!AI18/((1/1000)*(s_Irr!BF18)),IF(AND(s_Irr!H18=".",s_Irr!AG18&lt;&gt;".",s_Irr!BF18="."),s_dir!AI18/((1/1000)*(s_Irr!AG18)),IF(AND(s_Irr!H18&lt;&gt;".",s_Irr!AG18=".",s_Irr!BF18="."),s_dir!AI18/((1/1000)*(s_Irr!H18)),IF(AND(s_Irr!H18=".",s_Irr!AG18=".",s_Irr!BF18="."),s_dir!AI18*1000)))))))),".")</f>
        <v>38.7740919443347</v>
      </c>
      <c r="BJ18" s="70">
        <f>IFERROR(IF(AND(s_Irr!I18&lt;&gt;".",s_Irr!AH18&lt;&gt;".",s_Irr!BG18&lt;&gt;"."),s_dir!AJ18/((1/1000)*(s_Irr!I18+s_Irr!AH18+s_Irr!BG18)),IF(AND(s_Irr!I18&lt;&gt;".",s_Irr!AH18&lt;&gt;".",s_Irr!BG18="."),s_dir!AJ18/((1/1000)*(s_Irr!I18+s_Irr!AH18)),IF(AND(s_Irr!I18&lt;&gt;".",s_Irr!AH18=".",s_Irr!BG18&lt;&gt;"."),s_dir!AJ18/((1/1000)*(s_Irr!I18+s_Irr!BG18)),IF(AND(s_Irr!I18=".",s_Irr!AH18&lt;&gt;".",s_Irr!BG18&lt;&gt;"."),s_dir!AJ18/((1/1000)*(s_Irr!AH18+s_Irr!BG18)),IF(AND(s_Irr!I18=".",s_Irr!AH18=".",s_Irr!BG18&lt;&gt;"."),s_dir!AJ18/((1/1000)*(s_Irr!BG18)),IF(AND(s_Irr!I18=".",s_Irr!AH18&lt;&gt;".",s_Irr!BG18="."),s_dir!AJ18/((1/1000)*(s_Irr!AH18)),IF(AND(s_Irr!I18&lt;&gt;".",s_Irr!AH18=".",s_Irr!BG18="."),s_dir!AJ18/((1/1000)*(s_Irr!I18)),IF(AND(s_Irr!I18=".",s_Irr!AH18=".",s_Irr!BG18="."),s_dir!AJ18*1000)))))))),".")</f>
        <v>39.733454007359143</v>
      </c>
      <c r="BK18" s="70">
        <f>IFERROR(IF(AND(s_Irr!J18&lt;&gt;".",s_Irr!AI18&lt;&gt;".",s_Irr!BH18&lt;&gt;"."),s_dir!AK18/((1/1000)*(s_Irr!J18+s_Irr!AI18+s_Irr!BH18)),IF(AND(s_Irr!J18&lt;&gt;".",s_Irr!AI18&lt;&gt;".",s_Irr!BH18="."),s_dir!AK18/((1/1000)*(s_Irr!J18+s_Irr!AI18)),IF(AND(s_Irr!J18&lt;&gt;".",s_Irr!AI18=".",s_Irr!BH18&lt;&gt;"."),s_dir!AK18/((1/1000)*(s_Irr!J18+s_Irr!BH18)),IF(AND(s_Irr!J18=".",s_Irr!AI18&lt;&gt;".",s_Irr!BH18&lt;&gt;"."),s_dir!AK18/((1/1000)*(s_Irr!AI18+s_Irr!BH18)),IF(AND(s_Irr!J18=".",s_Irr!AI18=".",s_Irr!BH18&lt;&gt;"."),s_dir!AK18/((1/1000)*(s_Irr!BH18)),IF(AND(s_Irr!J18=".",s_Irr!AI18&lt;&gt;".",s_Irr!BH18="."),s_dir!AK18/((1/1000)*(s_Irr!AI18)),IF(AND(s_Irr!J18&lt;&gt;".",s_Irr!AI18=".",s_Irr!BH18="."),s_dir!AK18/((1/1000)*(s_Irr!J18)),IF(AND(s_Irr!J18=".",s_Irr!AI18=".",s_Irr!BH18="."),s_dir!AK18*1000)))))))),".")</f>
        <v>43.500521608732512</v>
      </c>
      <c r="BL18" s="70">
        <f>IFERROR(IF(AND(s_Irr!K18&lt;&gt;".",s_Irr!AJ18&lt;&gt;".",s_Irr!BI18&lt;&gt;"."),s_dir!AL18/((1/1000)*(s_Irr!K18+s_Irr!AJ18+s_Irr!BI18)),IF(AND(s_Irr!K18&lt;&gt;".",s_Irr!AJ18&lt;&gt;".",s_Irr!BI18="."),s_dir!AL18/((1/1000)*(s_Irr!K18+s_Irr!AJ18)),IF(AND(s_Irr!K18&lt;&gt;".",s_Irr!AJ18=".",s_Irr!BI18&lt;&gt;"."),s_dir!AL18/((1/1000)*(s_Irr!K18+s_Irr!BI18)),IF(AND(s_Irr!K18=".",s_Irr!AJ18&lt;&gt;".",s_Irr!BI18&lt;&gt;"."),s_dir!AL18/((1/1000)*(s_Irr!AJ18+s_Irr!BI18)),IF(AND(s_Irr!K18=".",s_Irr!AJ18=".",s_Irr!BI18&lt;&gt;"."),s_dir!AL18/((1/1000)*(s_Irr!BI18)),IF(AND(s_Irr!K18=".",s_Irr!AJ18&lt;&gt;".",s_Irr!BI18="."),s_dir!AL18/((1/1000)*(s_Irr!AJ18)),IF(AND(s_Irr!K18&lt;&gt;".",s_Irr!AJ18=".",s_Irr!BI18="."),s_dir!AL18/((1/1000)*(s_Irr!K18)),IF(AND(s_Irr!K18=".",s_Irr!AJ18=".",s_Irr!BI18="."),s_dir!AL18*1000)))))))),".")</f>
        <v>43.471082848465379</v>
      </c>
      <c r="BM18" s="70">
        <f>IFERROR(IF(AND(s_Irr!L18&lt;&gt;".",s_Irr!AK18&lt;&gt;".",s_Irr!BJ18&lt;&gt;"."),s_dir!AM18/((1/1000)*(s_Irr!L18+s_Irr!AK18+s_Irr!BJ18)),IF(AND(s_Irr!L18&lt;&gt;".",s_Irr!AK18&lt;&gt;".",s_Irr!BJ18="."),s_dir!AM18/((1/1000)*(s_Irr!L18+s_Irr!AK18)),IF(AND(s_Irr!L18&lt;&gt;".",s_Irr!AK18=".",s_Irr!BJ18&lt;&gt;"."),s_dir!AM18/((1/1000)*(s_Irr!L18+s_Irr!BJ18)),IF(AND(s_Irr!L18=".",s_Irr!AK18&lt;&gt;".",s_Irr!BJ18&lt;&gt;"."),s_dir!AM18/((1/1000)*(s_Irr!AK18+s_Irr!BJ18)),IF(AND(s_Irr!L18=".",s_Irr!AK18=".",s_Irr!BJ18&lt;&gt;"."),s_dir!AM18/((1/1000)*(s_Irr!BJ18)),IF(AND(s_Irr!L18=".",s_Irr!AK18&lt;&gt;".",s_Irr!BJ18="."),s_dir!AM18/((1/1000)*(s_Irr!AK18)),IF(AND(s_Irr!L18&lt;&gt;".",s_Irr!AK18=".",s_Irr!BJ18="."),s_dir!AM18/((1/1000)*(s_Irr!L18)),IF(AND(s_Irr!L18=".",s_Irr!AK18=".",s_Irr!BJ18="."),s_dir!AM18*1000)))))))),".")</f>
        <v>43.500521608732512</v>
      </c>
      <c r="BN18" s="70">
        <f>IFERROR(IF(AND(s_Irr!M18&lt;&gt;".",s_Irr!AL18&lt;&gt;".",s_Irr!BK18&lt;&gt;"."),s_dir!AN18/((1/1000)*(s_Irr!M18+s_Irr!AL18+s_Irr!BK18)),IF(AND(s_Irr!M18&lt;&gt;".",s_Irr!AL18&lt;&gt;".",s_Irr!BK18="."),s_dir!AN18/((1/1000)*(s_Irr!M18+s_Irr!AL18)),IF(AND(s_Irr!M18&lt;&gt;".",s_Irr!AL18=".",s_Irr!BK18&lt;&gt;"."),s_dir!AN18/((1/1000)*(s_Irr!M18+s_Irr!BK18)),IF(AND(s_Irr!M18=".",s_Irr!AL18&lt;&gt;".",s_Irr!BK18&lt;&gt;"."),s_dir!AN18/((1/1000)*(s_Irr!AL18+s_Irr!BK18)),IF(AND(s_Irr!M18=".",s_Irr!AL18=".",s_Irr!BK18&lt;&gt;"."),s_dir!AN18/((1/1000)*(s_Irr!BK18)),IF(AND(s_Irr!M18=".",s_Irr!AL18&lt;&gt;".",s_Irr!BK18="."),s_dir!AN18/((1/1000)*(s_Irr!AL18)),IF(AND(s_Irr!M18&lt;&gt;".",s_Irr!AL18=".",s_Irr!BK18="."),s_dir!AN18/((1/1000)*(s_Irr!M18)),IF(AND(s_Irr!M18=".",s_Irr!AL18=".",s_Irr!BK18="."),s_dir!AN18*1000)))))))),".")</f>
        <v>38.7740919443347</v>
      </c>
      <c r="BO18" s="70">
        <f>IFERROR(IF(AND(s_Irr!N18&lt;&gt;".",s_Irr!AM18&lt;&gt;".",s_Irr!BL18&lt;&gt;"."),s_dir!AO18/((1/1000)*(s_Irr!N18+s_Irr!AM18+s_Irr!BL18)),IF(AND(s_Irr!N18&lt;&gt;".",s_Irr!AM18&lt;&gt;".",s_Irr!BL18="."),s_dir!AO18/((1/1000)*(s_Irr!N18+s_Irr!AM18)),IF(AND(s_Irr!N18&lt;&gt;".",s_Irr!AM18=".",s_Irr!BL18&lt;&gt;"."),s_dir!AO18/((1/1000)*(s_Irr!N18+s_Irr!BL18)),IF(AND(s_Irr!N18=".",s_Irr!AM18&lt;&gt;".",s_Irr!BL18&lt;&gt;"."),s_dir!AO18/((1/1000)*(s_Irr!AM18+s_Irr!BL18)),IF(AND(s_Irr!N18=".",s_Irr!AM18=".",s_Irr!BL18&lt;&gt;"."),s_dir!AO18/((1/1000)*(s_Irr!BL18)),IF(AND(s_Irr!N18=".",s_Irr!AM18&lt;&gt;".",s_Irr!BL18="."),s_dir!AO18/((1/1000)*(s_Irr!AM18)),IF(AND(s_Irr!N18&lt;&gt;".",s_Irr!AM18=".",s_Irr!BL18="."),s_dir!AO18/((1/1000)*(s_Irr!N18)),IF(AND(s_Irr!N18=".",s_Irr!AM18=".",s_Irr!BL18="."),s_dir!AO18*1000)))))))),".")</f>
        <v>43.449029913325383</v>
      </c>
      <c r="BP18" s="70">
        <f>IFERROR(IF(AND(s_Irr!O18&lt;&gt;".",s_Irr!AN18&lt;&gt;".",s_Irr!BM18&lt;&gt;"."),s_dir!AP18/((1/1000)*(s_Irr!O18+s_Irr!AN18+s_Irr!BM18)),IF(AND(s_Irr!O18&lt;&gt;".",s_Irr!AN18&lt;&gt;".",s_Irr!BM18="."),s_dir!AP18/((1/1000)*(s_Irr!O18+s_Irr!AN18)),IF(AND(s_Irr!O18&lt;&gt;".",s_Irr!AN18=".",s_Irr!BM18&lt;&gt;"."),s_dir!AP18/((1/1000)*(s_Irr!O18+s_Irr!BM18)),IF(AND(s_Irr!O18=".",s_Irr!AN18&lt;&gt;".",s_Irr!BM18&lt;&gt;"."),s_dir!AP18/((1/1000)*(s_Irr!AN18+s_Irr!BM18)),IF(AND(s_Irr!O18=".",s_Irr!AN18=".",s_Irr!BM18&lt;&gt;"."),s_dir!AP18/((1/1000)*(s_Irr!BM18)),IF(AND(s_Irr!O18=".",s_Irr!AN18&lt;&gt;".",s_Irr!BM18="."),s_dir!AP18/((1/1000)*(s_Irr!AN18)),IF(AND(s_Irr!O18&lt;&gt;".",s_Irr!AN18=".",s_Irr!BM18="."),s_dir!AP18/((1/1000)*(s_Irr!O18)),IF(AND(s_Irr!O18=".",s_Irr!AN18=".",s_Irr!BM18="."),s_dir!AP18*1000)))))))),".")</f>
        <v>43.500521608732512</v>
      </c>
      <c r="BQ18" s="70">
        <f>IFERROR(IF(AND(s_Irr!P18&lt;&gt;".",s_Irr!AO18&lt;&gt;".",s_Irr!BN18&lt;&gt;"."),s_dir!AQ18/((1/1000)*(s_Irr!P18+s_Irr!AO18+s_Irr!BN18)),IF(AND(s_Irr!P18&lt;&gt;".",s_Irr!AO18&lt;&gt;".",s_Irr!BN18="."),s_dir!AQ18/((1/1000)*(s_Irr!P18+s_Irr!AO18)),IF(AND(s_Irr!P18&lt;&gt;".",s_Irr!AO18=".",s_Irr!BN18&lt;&gt;"."),s_dir!AQ18/((1/1000)*(s_Irr!P18+s_Irr!BN18)),IF(AND(s_Irr!P18=".",s_Irr!AO18&lt;&gt;".",s_Irr!BN18&lt;&gt;"."),s_dir!AQ18/((1/1000)*(s_Irr!AO18+s_Irr!BN18)),IF(AND(s_Irr!P18=".",s_Irr!AO18=".",s_Irr!BN18&lt;&gt;"."),s_dir!AQ18/((1/1000)*(s_Irr!BN18)),IF(AND(s_Irr!P18=".",s_Irr!AO18&lt;&gt;".",s_Irr!BN18="."),s_dir!AQ18/((1/1000)*(s_Irr!AO18)),IF(AND(s_Irr!P18&lt;&gt;".",s_Irr!AO18=".",s_Irr!BN18="."),s_dir!AQ18/((1/1000)*(s_Irr!P18)),IF(AND(s_Irr!P18=".",s_Irr!AO18=".",s_Irr!BN18="."),s_dir!AQ18*1000)))))))),".")</f>
        <v>39.733454007359143</v>
      </c>
      <c r="BR18" s="70">
        <f>IFERROR(IF(AND(s_Irr!Q18&lt;&gt;".",s_Irr!AP18&lt;&gt;".",s_Irr!BO18&lt;&gt;"."),s_dir!AR18/((1/1000)*(s_Irr!Q18+s_Irr!AP18+s_Irr!BO18)),IF(AND(s_Irr!Q18&lt;&gt;".",s_Irr!AP18&lt;&gt;".",s_Irr!BO18="."),s_dir!AR18/((1/1000)*(s_Irr!Q18+s_Irr!AP18)),IF(AND(s_Irr!Q18&lt;&gt;".",s_Irr!AP18=".",s_Irr!BO18&lt;&gt;"."),s_dir!AR18/((1/1000)*(s_Irr!Q18+s_Irr!BO18)),IF(AND(s_Irr!Q18=".",s_Irr!AP18&lt;&gt;".",s_Irr!BO18&lt;&gt;"."),s_dir!AR18/((1/1000)*(s_Irr!AP18+s_Irr!BO18)),IF(AND(s_Irr!Q18=".",s_Irr!AP18=".",s_Irr!BO18&lt;&gt;"."),s_dir!AR18/((1/1000)*(s_Irr!BO18)),IF(AND(s_Irr!Q18=".",s_Irr!AP18&lt;&gt;".",s_Irr!BO18="."),s_dir!AR18/((1/1000)*(s_Irr!AP18)),IF(AND(s_Irr!Q18&lt;&gt;".",s_Irr!AP18=".",s_Irr!BO18="."),s_dir!AR18/((1/1000)*(s_Irr!Q18)),IF(AND(s_Irr!Q18=".",s_Irr!AP18=".",s_Irr!BO18="."),s_dir!AR18*1000)))))))),".")</f>
        <v>43.500521608732512</v>
      </c>
      <c r="BS18" s="70">
        <f>IFERROR(IF(AND(s_Irr!R18&lt;&gt;".",s_Irr!AQ18&lt;&gt;".",s_Irr!BP18&lt;&gt;"."),s_dir!AS18/((1/1000)*(s_Irr!R18+s_Irr!AQ18+s_Irr!BP18)),IF(AND(s_Irr!R18&lt;&gt;".",s_Irr!AQ18&lt;&gt;".",s_Irr!BP18="."),s_dir!AS18/((1/1000)*(s_Irr!R18+s_Irr!AQ18)),IF(AND(s_Irr!R18&lt;&gt;".",s_Irr!AQ18=".",s_Irr!BP18&lt;&gt;"."),s_dir!AS18/((1/1000)*(s_Irr!R18+s_Irr!BP18)),IF(AND(s_Irr!R18=".",s_Irr!AQ18&lt;&gt;".",s_Irr!BP18&lt;&gt;"."),s_dir!AS18/((1/1000)*(s_Irr!AQ18+s_Irr!BP18)),IF(AND(s_Irr!R18=".",s_Irr!AQ18=".",s_Irr!BP18&lt;&gt;"."),s_dir!AS18/((1/1000)*(s_Irr!BP18)),IF(AND(s_Irr!R18=".",s_Irr!AQ18&lt;&gt;".",s_Irr!BP18="."),s_dir!AS18/((1/1000)*(s_Irr!AQ18)),IF(AND(s_Irr!R18&lt;&gt;".",s_Irr!AQ18=".",s_Irr!BP18="."),s_dir!AS18/((1/1000)*(s_Irr!R18)),IF(AND(s_Irr!R18=".",s_Irr!AQ18=".",s_Irr!BP18="."),s_dir!AS18*1000)))))))),".")</f>
        <v>43.500521608732512</v>
      </c>
      <c r="BT18" s="70">
        <f>IFERROR(IF(AND(s_Irr!S18&lt;&gt;".",s_Irr!AR18&lt;&gt;".",s_Irr!BQ18&lt;&gt;"."),s_dir!AT18/((1/1000)*(s_Irr!S18+s_Irr!AR18+s_Irr!BQ18)),IF(AND(s_Irr!S18&lt;&gt;".",s_Irr!AR18&lt;&gt;".",s_Irr!BQ18="."),s_dir!AT18/((1/1000)*(s_Irr!S18+s_Irr!AR18)),IF(AND(s_Irr!S18&lt;&gt;".",s_Irr!AR18=".",s_Irr!BQ18&lt;&gt;"."),s_dir!AT18/((1/1000)*(s_Irr!S18+s_Irr!BQ18)),IF(AND(s_Irr!S18=".",s_Irr!AR18&lt;&gt;".",s_Irr!BQ18&lt;&gt;"."),s_dir!AT18/((1/1000)*(s_Irr!AR18+s_Irr!BQ18)),IF(AND(s_Irr!S18=".",s_Irr!AR18=".",s_Irr!BQ18&lt;&gt;"."),s_dir!AT18/((1/1000)*(s_Irr!BQ18)),IF(AND(s_Irr!S18=".",s_Irr!AR18&lt;&gt;".",s_Irr!BQ18="."),s_dir!AT18/((1/1000)*(s_Irr!AR18)),IF(AND(s_Irr!S18&lt;&gt;".",s_Irr!AR18=".",s_Irr!BQ18="."),s_dir!AT18/((1/1000)*(s_Irr!S18)),IF(AND(s_Irr!S18=".",s_Irr!AR18=".",s_Irr!BQ18="."),s_dir!AT18*1000)))))))),".")</f>
        <v>43.449029913325383</v>
      </c>
      <c r="BU18" s="70">
        <f>IFERROR(IF(AND(s_Irr!T18&lt;&gt;".",s_Irr!AS18&lt;&gt;".",s_Irr!BR18&lt;&gt;"."),s_dir!AU18/((1/1000)*(s_Irr!T18+s_Irr!AS18+s_Irr!BR18)),IF(AND(s_Irr!T18&lt;&gt;".",s_Irr!AS18&lt;&gt;".",s_Irr!BR18="."),s_dir!AU18/((1/1000)*(s_Irr!T18+s_Irr!AS18)),IF(AND(s_Irr!T18&lt;&gt;".",s_Irr!AS18=".",s_Irr!BR18&lt;&gt;"."),s_dir!AU18/((1/1000)*(s_Irr!T18+s_Irr!BR18)),IF(AND(s_Irr!T18=".",s_Irr!AS18&lt;&gt;".",s_Irr!BR18&lt;&gt;"."),s_dir!AU18/((1/1000)*(s_Irr!AS18+s_Irr!BR18)),IF(AND(s_Irr!T18=".",s_Irr!AS18=".",s_Irr!BR18&lt;&gt;"."),s_dir!AU18/((1/1000)*(s_Irr!BR18)),IF(AND(s_Irr!T18=".",s_Irr!AS18&lt;&gt;".",s_Irr!BR18="."),s_dir!AU18/((1/1000)*(s_Irr!AS18)),IF(AND(s_Irr!T18&lt;&gt;".",s_Irr!AS18=".",s_Irr!BR18="."),s_dir!AU18/((1/1000)*(s_Irr!T18)),IF(AND(s_Irr!T18=".",s_Irr!AS18=".",s_Irr!BR18="."),s_dir!AU18*1000)))))))),".")</f>
        <v>43.500521608732512</v>
      </c>
      <c r="BV18" s="70">
        <f>IFERROR(IF(AND(s_Irr!U18&lt;&gt;".",s_Irr!AT18&lt;&gt;".",s_Irr!BS18&lt;&gt;"."),s_dir!AV18/((1/1000)*(s_Irr!U18+s_Irr!AT18+s_Irr!BS18)),IF(AND(s_Irr!U18&lt;&gt;".",s_Irr!AT18&lt;&gt;".",s_Irr!BS18="."),s_dir!AV18/((1/1000)*(s_Irr!U18+s_Irr!AT18)),IF(AND(s_Irr!U18&lt;&gt;".",s_Irr!AT18=".",s_Irr!BS18&lt;&gt;"."),s_dir!AV18/((1/1000)*(s_Irr!U18+s_Irr!BS18)),IF(AND(s_Irr!U18=".",s_Irr!AT18&lt;&gt;".",s_Irr!BS18&lt;&gt;"."),s_dir!AV18/((1/1000)*(s_Irr!AT18+s_Irr!BS18)),IF(AND(s_Irr!U18=".",s_Irr!AT18=".",s_Irr!BS18&lt;&gt;"."),s_dir!AV18/((1/1000)*(s_Irr!BS18)),IF(AND(s_Irr!U18=".",s_Irr!AT18&lt;&gt;".",s_Irr!BS18="."),s_dir!AV18/((1/1000)*(s_Irr!AT18)),IF(AND(s_Irr!U18&lt;&gt;".",s_Irr!AT18=".",s_Irr!BS18="."),s_dir!AV18/((1/1000)*(s_Irr!U18)),IF(AND(s_Irr!U18=".",s_Irr!AT18=".",s_Irr!BS18="."),s_dir!AV18*1000)))))))),".")</f>
        <v>41.734116547734914</v>
      </c>
      <c r="BW18" s="70">
        <f>IFERROR(IF(AND(s_Irr!V18&lt;&gt;".",s_Irr!AU18&lt;&gt;".",s_Irr!BT18&lt;&gt;"."),s_dir!AW18/((1/1000)*(s_Irr!V18+s_Irr!AU18+s_Irr!BT18)),IF(AND(s_Irr!V18&lt;&gt;".",s_Irr!AU18&lt;&gt;".",s_Irr!BT18="."),s_dir!AW18/((1/1000)*(s_Irr!V18+s_Irr!AU18)),IF(AND(s_Irr!V18&lt;&gt;".",s_Irr!AU18=".",s_Irr!BT18&lt;&gt;"."),s_dir!AW18/((1/1000)*(s_Irr!V18+s_Irr!BT18)),IF(AND(s_Irr!V18=".",s_Irr!AU18&lt;&gt;".",s_Irr!BT18&lt;&gt;"."),s_dir!AW18/((1/1000)*(s_Irr!AU18+s_Irr!BT18)),IF(AND(s_Irr!V18=".",s_Irr!AU18=".",s_Irr!BT18&lt;&gt;"."),s_dir!AW18/((1/1000)*(s_Irr!BT18)),IF(AND(s_Irr!V18=".",s_Irr!AU18&lt;&gt;".",s_Irr!BT18="."),s_dir!AW18/((1/1000)*(s_Irr!AU18)),IF(AND(s_Irr!V18&lt;&gt;".",s_Irr!AU18=".",s_Irr!BT18="."),s_dir!AW18/((1/1000)*(s_Irr!V18)),IF(AND(s_Irr!V18=".",s_Irr!AU18=".",s_Irr!BT18="."),s_dir!AW18*1000)))))))),".")</f>
        <v>43.500521608732512</v>
      </c>
      <c r="BX18" s="70">
        <f>IFERROR(IF(AND(s_Irr!W18&lt;&gt;".",s_Irr!AV18&lt;&gt;".",s_Irr!BU18&lt;&gt;"."),s_dir!AX18/((1/1000)*(s_Irr!W18+s_Irr!AV18+s_Irr!BU18)),IF(AND(s_Irr!W18&lt;&gt;".",s_Irr!AV18&lt;&gt;".",s_Irr!BU18="."),s_dir!AX18/((1/1000)*(s_Irr!W18+s_Irr!AV18)),IF(AND(s_Irr!W18&lt;&gt;".",s_Irr!AV18=".",s_Irr!BU18&lt;&gt;"."),s_dir!AX18/((1/1000)*(s_Irr!W18+s_Irr!BU18)),IF(AND(s_Irr!W18=".",s_Irr!AV18&lt;&gt;".",s_Irr!BU18&lt;&gt;"."),s_dir!AX18/((1/1000)*(s_Irr!AV18+s_Irr!BU18)),IF(AND(s_Irr!W18=".",s_Irr!AV18=".",s_Irr!BU18&lt;&gt;"."),s_dir!AX18/((1/1000)*(s_Irr!BU18)),IF(AND(s_Irr!W18=".",s_Irr!AV18&lt;&gt;".",s_Irr!BU18="."),s_dir!AX18/((1/1000)*(s_Irr!AV18)),IF(AND(s_Irr!W18&lt;&gt;".",s_Irr!AV18=".",s_Irr!BU18="."),s_dir!AX18/((1/1000)*(s_Irr!W18)),IF(AND(s_Irr!W18=".",s_Irr!AV18=".",s_Irr!BU18="."),s_dir!AX18*1000)))))))),".")</f>
        <v>43.449029913325383</v>
      </c>
      <c r="BY18" s="70">
        <f>IFERROR(IF(AND(s_Irr!X18&lt;&gt;".",s_Irr!AW18&lt;&gt;".",s_Irr!BV18&lt;&gt;"."),s_dir!AY18/((1/1000)*(s_Irr!X18+s_Irr!AW18+s_Irr!BV18)),IF(AND(s_Irr!X18&lt;&gt;".",s_Irr!AW18&lt;&gt;".",s_Irr!BV18="."),s_dir!AY18/((1/1000)*(s_Irr!X18+s_Irr!AW18)),IF(AND(s_Irr!X18&lt;&gt;".",s_Irr!AW18=".",s_Irr!BV18&lt;&gt;"."),s_dir!AY18/((1/1000)*(s_Irr!X18+s_Irr!BV18)),IF(AND(s_Irr!X18=".",s_Irr!AW18&lt;&gt;".",s_Irr!BV18&lt;&gt;"."),s_dir!AY18/((1/1000)*(s_Irr!AW18+s_Irr!BV18)),IF(AND(s_Irr!X18=".",s_Irr!AW18=".",s_Irr!BV18&lt;&gt;"."),s_dir!AY18/((1/1000)*(s_Irr!BV18)),IF(AND(s_Irr!X18=".",s_Irr!AW18&lt;&gt;".",s_Irr!BV18="."),s_dir!AY18/((1/1000)*(s_Irr!AW18)),IF(AND(s_Irr!X18&lt;&gt;".",s_Irr!AW18=".",s_Irr!BV18="."),s_dir!AY18/((1/1000)*(s_Irr!X18)),IF(AND(s_Irr!X18=".",s_Irr!AW18=".",s_Irr!BV18="."),s_dir!AY18*1000)))))))),".")</f>
        <v>43.500521608732512</v>
      </c>
      <c r="BZ18" s="70">
        <f>IFERROR(IF(AND(s_Irr!Y18&lt;&gt;".",s_Irr!AX18&lt;&gt;".",s_Irr!BW18&lt;&gt;"."),s_dir!AZ18/((1/1000)*(s_Irr!Y18+s_Irr!AX18+s_Irr!BW18)),IF(AND(s_Irr!Y18&lt;&gt;".",s_Irr!AX18&lt;&gt;".",s_Irr!BW18="."),s_dir!AZ18/((1/1000)*(s_Irr!Y18+s_Irr!AX18)),IF(AND(s_Irr!Y18&lt;&gt;".",s_Irr!AX18=".",s_Irr!BW18&lt;&gt;"."),s_dir!AZ18/((1/1000)*(s_Irr!Y18+s_Irr!BW18)),IF(AND(s_Irr!Y18=".",s_Irr!AX18&lt;&gt;".",s_Irr!BW18&lt;&gt;"."),s_dir!AZ18/((1/1000)*(s_Irr!AX18+s_Irr!BW18)),IF(AND(s_Irr!Y18=".",s_Irr!AX18=".",s_Irr!BW18&lt;&gt;"."),s_dir!AZ18/((1/1000)*(s_Irr!BW18)),IF(AND(s_Irr!Y18=".",s_Irr!AX18&lt;&gt;".",s_Irr!BW18="."),s_dir!AZ18/((1/1000)*(s_Irr!AX18)),IF(AND(s_Irr!Y18&lt;&gt;".",s_Irr!AX18=".",s_Irr!BW18="."),s_dir!AZ18/((1/1000)*(s_Irr!Y18)),IF(AND(s_Irr!Y18=".",s_Irr!AX18=".",s_Irr!BW18="."),s_dir!AZ18*1000)))))))),".")</f>
        <v>43.500521608732512</v>
      </c>
      <c r="CA18" s="70">
        <f>IFERROR(IF(AND(s_Irr!Z18&lt;&gt;".",s_Irr!AY18&lt;&gt;".",s_Irr!BX18&lt;&gt;"."),s_dir!BA18/((1/1000)*(s_Irr!Z18+s_Irr!AY18+s_Irr!BX18)),IF(AND(s_Irr!Z18&lt;&gt;".",s_Irr!AY18&lt;&gt;".",s_Irr!BX18="."),s_dir!BA18/((1/1000)*(s_Irr!Z18+s_Irr!AY18)),IF(AND(s_Irr!Z18&lt;&gt;".",s_Irr!AY18=".",s_Irr!BX18&lt;&gt;"."),s_dir!BA18/((1/1000)*(s_Irr!Z18+s_Irr!BX18)),IF(AND(s_Irr!Z18=".",s_Irr!AY18&lt;&gt;".",s_Irr!BX18&lt;&gt;"."),s_dir!BA18/((1/1000)*(s_Irr!AY18+s_Irr!BX18)),IF(AND(s_Irr!Z18=".",s_Irr!AY18=".",s_Irr!BX18&lt;&gt;"."),s_dir!BA18/((1/1000)*(s_Irr!BX18)),IF(AND(s_Irr!Z18=".",s_Irr!AY18&lt;&gt;".",s_Irr!BX18="."),s_dir!BA18/((1/1000)*(s_Irr!AY18)),IF(AND(s_Irr!Z18&lt;&gt;".",s_Irr!AY18=".",s_Irr!BX18="."),s_dir!BA18/((1/1000)*(s_Irr!Z18)),IF(AND(s_Irr!Z18=".",s_Irr!AY18=".",s_Irr!BX18="."),s_dir!BA18*1000)))))))),".")</f>
        <v>35.752725382223296</v>
      </c>
      <c r="CB18" s="70">
        <f>IFERROR(IF(AND(s_Irr!AA18&lt;&gt;".",s_Irr!AZ18&lt;&gt;".",s_Irr!BY18&lt;&gt;"."),s_dir!BB18/((1/1000)*(s_Irr!AA18+s_Irr!AZ18+s_Irr!BY18)),IF(AND(s_Irr!AA18&lt;&gt;".",s_Irr!AZ18&lt;&gt;".",s_Irr!BY18="."),s_dir!BB18/((1/1000)*(s_Irr!AA18+s_Irr!AZ18)),IF(AND(s_Irr!AA18&lt;&gt;".",s_Irr!AZ18=".",s_Irr!BY18&lt;&gt;"."),s_dir!BB18/((1/1000)*(s_Irr!AA18+s_Irr!BY18)),IF(AND(s_Irr!AA18=".",s_Irr!AZ18&lt;&gt;".",s_Irr!BY18&lt;&gt;"."),s_dir!BB18/((1/1000)*(s_Irr!AZ18+s_Irr!BY18)),IF(AND(s_Irr!AA18=".",s_Irr!AZ18=".",s_Irr!BY18&lt;&gt;"."),s_dir!BB18/((1/1000)*(s_Irr!BY18)),IF(AND(s_Irr!AA18=".",s_Irr!AZ18&lt;&gt;".",s_Irr!BY18="."),s_dir!BB18/((1/1000)*(s_Irr!AZ18)),IF(AND(s_Irr!AA18&lt;&gt;".",s_Irr!AZ18=".",s_Irr!BY18="."),s_dir!BB18/((1/1000)*(s_Irr!AA18)),IF(AND(s_Irr!AA18=".",s_Irr!AZ18=".",s_Irr!BY18="."),s_dir!BB18*1000)))))))),".")</f>
        <v>43.471082848465379</v>
      </c>
      <c r="CC18" s="87">
        <f t="shared" si="2"/>
        <v>374.32491773106489</v>
      </c>
      <c r="CD18" s="87">
        <f>IFERROR(s_C*s_IFAP_far_adj*s_CF_apple*(1/1000)*(s_Irr!C18+s_Irr!AB18+s_Irr!BA18),".")</f>
        <v>88.757645154967165</v>
      </c>
      <c r="CE18" s="87">
        <f>IFERROR(s_C*s_IFAS_far_adj*s_CF_asparagus*(1/1000)*(s_Irr!D18+s_Irr!AC18+s_Irr!BB18),".")</f>
        <v>99.576899609843579</v>
      </c>
      <c r="CF18" s="87">
        <f>IFERROR(s_C*s_IFBT_far_adj*s_CF_beet*(1/1000)*(s_Irr!E18+s_Irr!AD18+s_Irr!BC18),".")</f>
        <v>97.172620842093266</v>
      </c>
      <c r="CG18" s="87">
        <f>IFERROR(s_C*s_IFBE_far_adj*s_CF_berries*(1/1000)*(s_Irr!F18+s_Irr!AE18+s_Irr!BD18),".")</f>
        <v>88.757645154967165</v>
      </c>
      <c r="CH18" s="87">
        <f>IFERROR(s_C*s_IFBR_far_adj*s_CF_broccoli*(1/1000)*(s_Irr!G18+s_Irr!AF18+s_Irr!BE18),".")</f>
        <v>88.757645154967165</v>
      </c>
      <c r="CI18" s="87">
        <f>IFERROR(s_C*s_IFCB_far_adj*s_CF_cabbage*(1/1000)*(s_Irr!H18+s_Irr!AG18+s_Irr!BF18),".")</f>
        <v>99.576899609843579</v>
      </c>
      <c r="CJ18" s="87">
        <f>IFERROR(s_C*s_IFCR_far_adj*s_CF_carrot*(1/1000)*(s_Irr!I18+s_Irr!AH18+s_Irr!BG18),".")</f>
        <v>97.172620842093266</v>
      </c>
      <c r="CK18" s="87">
        <f>IFERROR(s_C*s_IFCI_far_adj*s_CF_citrus*(1/1000)*(s_Irr!J18+s_Irr!AI18+s_Irr!BH18),".")</f>
        <v>88.757645154967165</v>
      </c>
      <c r="CL18" s="87">
        <f>IFERROR(s_C*s_IFCO_far_adj*s_CF_corn*(1/1000)*(s_Irr!K18+s_Irr!AJ18+s_Irr!BI18),".")</f>
        <v>88.817752124160918</v>
      </c>
      <c r="CM18" s="87">
        <f>IFERROR(s_C*s_IFCU_far_adj*s_CF_cucumber*(1/1000)*(s_Irr!L18+s_Irr!AK18+s_Irr!BJ18),".")</f>
        <v>88.757645154967165</v>
      </c>
      <c r="CN18" s="87">
        <f>IFERROR(s_C*s_IFLE_far_adj*s_CF_lettuce*(1/1000)*(s_Irr!M18+s_Irr!AL18+s_Irr!BK18),".")</f>
        <v>99.576899609843579</v>
      </c>
      <c r="CO18" s="87">
        <f>IFERROR(s_C*s_IFLI_far_adj*s_CF_lima_bean*(1/1000)*(s_Irr!N18+s_Irr!AM18+s_Irr!BL18),".")</f>
        <v>88.862832351056241</v>
      </c>
      <c r="CP18" s="87">
        <f>IFERROR(s_C*s_IFOK_far_adj*s_CF_okra*(1/1000)*(s_Irr!O18+s_Irr!AN18+s_Irr!BM18),".")</f>
        <v>88.757645154967165</v>
      </c>
      <c r="CQ18" s="87">
        <f>IFERROR(s_C*s_IFON_far_adj*s_CF_onion*(1/1000)*(s_Irr!P18+s_Irr!AO18+s_Irr!BN18),".")</f>
        <v>97.172620842093266</v>
      </c>
      <c r="CR18" s="87">
        <f>IFERROR(s_C*s_IFPC_far_adj*s_CF_peach*(1/1000)*(s_Irr!Q18+s_Irr!AP18+s_Irr!BO18),".")</f>
        <v>88.757645154967165</v>
      </c>
      <c r="CS18" s="87">
        <f>IFERROR(s_C*s_IFPR_far_adj*s_CF_pear*(1/1000)*(s_Irr!R18+s_Irr!AQ18+s_Irr!BP18),".")</f>
        <v>88.757645154967165</v>
      </c>
      <c r="CT18" s="87">
        <f>IFERROR(s_C*s_IFPE_far_adj*s_CF_peas*(1/1000)*(s_Irr!S18+s_Irr!AR18+s_Irr!BQ18),".")</f>
        <v>88.862832351056241</v>
      </c>
      <c r="CU18" s="87">
        <f>IFERROR(s_C*s_IFPP_far_adj*s_CF_peppers*(1/1000)*(s_Irr!T18+s_Irr!AS18+s_Irr!BR18),".")</f>
        <v>88.757645154967165</v>
      </c>
      <c r="CV18" s="87">
        <f>IFERROR(s_C*s_IFPT_far_adj*s_CF_potato*(1/1000)*(s_Irr!U18+s_Irr!AT18+s_Irr!BS18),".")</f>
        <v>92.514330729577026</v>
      </c>
      <c r="CW18" s="87">
        <f>IFERROR(s_C*s_IFPU_far_adj*s_CF_pumpkin*(1/1000)*(s_Irr!V18+s_Irr!AU18+s_Irr!BT18),".")</f>
        <v>88.757645154967165</v>
      </c>
      <c r="CX18" s="87">
        <f>IFERROR(s_C*s_IFSN_far_adj*s_CF_snap_bean*(1/1000)*(s_Irr!W18+s_Irr!AV18+s_Irr!BU18),".")</f>
        <v>88.862832351056241</v>
      </c>
      <c r="CY18" s="87">
        <f>IFERROR(s_C*s_IFST_far_adj*s_CF_strawberry*(1/1000)*(s_Irr!X18+s_Irr!AW18+s_Irr!BV18),".")</f>
        <v>88.757645154967165</v>
      </c>
      <c r="CZ18" s="87">
        <f>IFERROR(s_C*s_IFTO_far_adj*s_CF_tomato*(1/1000)*(s_Irr!Y18+s_Irr!AX18+s_Irr!BW18),".")</f>
        <v>88.757645154967165</v>
      </c>
      <c r="DA18" s="87">
        <f>IFERROR(s_C*s_IFRI_far_adj*s_CF_rice*(1/1000)*(s_Irr!Z18+s_Irr!AY18+s_Irr!BX18),".")</f>
        <v>107.99187529696968</v>
      </c>
      <c r="DB18" s="87">
        <f>IFERROR(s_C*s_IFCG_far_adj*s_CF_cereal*(1/1000)*(s_Irr!AA18+s_Irr!AZ18+s_Irr!BY18),".")</f>
        <v>88.817752124160918</v>
      </c>
    </row>
    <row r="19" spans="1:106" ht="15" customHeight="1" x14ac:dyDescent="0.25">
      <c r="A19" s="86" t="s">
        <v>17</v>
      </c>
      <c r="B19" s="84" t="s">
        <v>1057</v>
      </c>
      <c r="C19" s="15" t="str">
        <f t="shared" si="3"/>
        <v>.</v>
      </c>
      <c r="D19" s="70" t="str">
        <f>IFERROR(IF(AND(s_Irr!C19&lt;&gt;".",s_Irr!AB19&lt;&gt;".",s_Irr!BA19&lt;&gt;"."),s_dir!D19/((1/1000)*(s_Irr!C19+s_Irr!AB19+s_Irr!BA19)),IF(AND(s_Irr!C19&lt;&gt;".",s_Irr!AB19&lt;&gt;".",s_Irr!BA19="."),s_dir!D19/((1/1000)*(s_Irr!C19+s_Irr!AB19)),IF(AND(s_Irr!C19&lt;&gt;".",s_Irr!AB19=".",s_Irr!BA19&lt;&gt;"."),s_dir!D19/((1/1000)*(s_Irr!C19+s_Irr!BA19)),IF(AND(s_Irr!C19=".",s_Irr!AB19&lt;&gt;".",s_Irr!BA19&lt;&gt;"."),s_dir!D19/((1/1000)*(s_Irr!AB19+s_Irr!BA19)),IF(AND(s_Irr!C19=".",s_Irr!AB19=".",s_Irr!BA19&lt;&gt;"."),s_dir!D19/((1/1000)*(s_Irr!BA19)),IF(AND(s_Irr!C19=".",s_Irr!AB19&lt;&gt;".",s_Irr!BA19="."),s_dir!D19/((1/1000)*(s_Irr!AB19)),IF(AND(s_Irr!C19&lt;&gt;".",s_Irr!AB19=".",s_Irr!BA19="."),s_dir!D19/((1/1000)*(s_Irr!C19)),IF(AND(s_Irr!C19=".",s_Irr!AB19=".",s_Irr!BA19="."),s_dir!D19*1000)))))))),".")</f>
        <v>.</v>
      </c>
      <c r="E19" s="70" t="str">
        <f>IFERROR(IF(AND(s_Irr!D19&lt;&gt;".",s_Irr!AC19&lt;&gt;".",s_Irr!BB19&lt;&gt;"."),s_dir!E19/((1/1000)*(s_Irr!D19+s_Irr!AC19+s_Irr!BB19)),IF(AND(s_Irr!D19&lt;&gt;".",s_Irr!AC19&lt;&gt;".",s_Irr!BB19="."),s_dir!E19/((1/1000)*(s_Irr!D19+s_Irr!AC19)),IF(AND(s_Irr!D19&lt;&gt;".",s_Irr!AC19=".",s_Irr!BB19&lt;&gt;"."),s_dir!E19/((1/1000)*(s_Irr!D19+s_Irr!BB19)),IF(AND(s_Irr!D19=".",s_Irr!AC19&lt;&gt;".",s_Irr!BB19&lt;&gt;"."),s_dir!E19/((1/1000)*(s_Irr!AC19+s_Irr!BB19)),IF(AND(s_Irr!D19=".",s_Irr!AC19=".",s_Irr!BB19&lt;&gt;"."),s_dir!E19/((1/1000)*(s_Irr!BB19)),IF(AND(s_Irr!D19=".",s_Irr!AC19&lt;&gt;".",s_Irr!BB19="."),s_dir!E19/((1/1000)*(s_Irr!AC19)),IF(AND(s_Irr!D19&lt;&gt;".",s_Irr!AC19=".",s_Irr!BB19="."),s_dir!E19/((1/1000)*(s_Irr!D19)),IF(AND(s_Irr!D19=".",s_Irr!AC19=".",s_Irr!BB19="."),s_dir!E19*1000)))))))),".")</f>
        <v>.</v>
      </c>
      <c r="F19" s="70" t="str">
        <f>IFERROR(IF(AND(s_Irr!E19&lt;&gt;".",s_Irr!AD19&lt;&gt;".",s_Irr!BC19&lt;&gt;"."),s_dir!F19/((1/1000)*(s_Irr!E19+s_Irr!AD19+s_Irr!BC19)),IF(AND(s_Irr!E19&lt;&gt;".",s_Irr!AD19&lt;&gt;".",s_Irr!BC19="."),s_dir!F19/((1/1000)*(s_Irr!E19+s_Irr!AD19)),IF(AND(s_Irr!E19&lt;&gt;".",s_Irr!AD19=".",s_Irr!BC19&lt;&gt;"."),s_dir!F19/((1/1000)*(s_Irr!E19+s_Irr!BC19)),IF(AND(s_Irr!E19=".",s_Irr!AD19&lt;&gt;".",s_Irr!BC19&lt;&gt;"."),s_dir!F19/((1/1000)*(s_Irr!AD19+s_Irr!BC19)),IF(AND(s_Irr!E19=".",s_Irr!AD19=".",s_Irr!BC19&lt;&gt;"."),s_dir!F19/((1/1000)*(s_Irr!BC19)),IF(AND(s_Irr!E19=".",s_Irr!AD19&lt;&gt;".",s_Irr!BC19="."),s_dir!F19/((1/1000)*(s_Irr!AD19)),IF(AND(s_Irr!E19&lt;&gt;".",s_Irr!AD19=".",s_Irr!BC19="."),s_dir!F19/((1/1000)*(s_Irr!E19)),IF(AND(s_Irr!E19=".",s_Irr!AD19=".",s_Irr!BC19="."),s_dir!F19*1000)))))))),".")</f>
        <v>.</v>
      </c>
      <c r="G19" s="70" t="str">
        <f>IFERROR(IF(AND(s_Irr!F19&lt;&gt;".",s_Irr!AE19&lt;&gt;".",s_Irr!BD19&lt;&gt;"."),s_dir!G19/((1/1000)*(s_Irr!F19+s_Irr!AE19+s_Irr!BD19)),IF(AND(s_Irr!F19&lt;&gt;".",s_Irr!AE19&lt;&gt;".",s_Irr!BD19="."),s_dir!G19/((1/1000)*(s_Irr!F19+s_Irr!AE19)),IF(AND(s_Irr!F19&lt;&gt;".",s_Irr!AE19=".",s_Irr!BD19&lt;&gt;"."),s_dir!G19/((1/1000)*(s_Irr!F19+s_Irr!BD19)),IF(AND(s_Irr!F19=".",s_Irr!AE19&lt;&gt;".",s_Irr!BD19&lt;&gt;"."),s_dir!G19/((1/1000)*(s_Irr!AE19+s_Irr!BD19)),IF(AND(s_Irr!F19=".",s_Irr!AE19=".",s_Irr!BD19&lt;&gt;"."),s_dir!G19/((1/1000)*(s_Irr!BD19)),IF(AND(s_Irr!F19=".",s_Irr!AE19&lt;&gt;".",s_Irr!BD19="."),s_dir!G19/((1/1000)*(s_Irr!AE19)),IF(AND(s_Irr!F19&lt;&gt;".",s_Irr!AE19=".",s_Irr!BD19="."),s_dir!G19/((1/1000)*(s_Irr!F19)),IF(AND(s_Irr!F19=".",s_Irr!AE19=".",s_Irr!BD19="."),s_dir!G19*1000)))))))),".")</f>
        <v>.</v>
      </c>
      <c r="H19" s="70" t="str">
        <f>IFERROR(IF(AND(s_Irr!G19&lt;&gt;".",s_Irr!AF19&lt;&gt;".",s_Irr!BE19&lt;&gt;"."),s_dir!H19/((1/1000)*(s_Irr!G19+s_Irr!AF19+s_Irr!BE19)),IF(AND(s_Irr!G19&lt;&gt;".",s_Irr!AF19&lt;&gt;".",s_Irr!BE19="."),s_dir!H19/((1/1000)*(s_Irr!G19+s_Irr!AF19)),IF(AND(s_Irr!G19&lt;&gt;".",s_Irr!AF19=".",s_Irr!BE19&lt;&gt;"."),s_dir!H19/((1/1000)*(s_Irr!G19+s_Irr!BE19)),IF(AND(s_Irr!G19=".",s_Irr!AF19&lt;&gt;".",s_Irr!BE19&lt;&gt;"."),s_dir!H19/((1/1000)*(s_Irr!AF19+s_Irr!BE19)),IF(AND(s_Irr!G19=".",s_Irr!AF19=".",s_Irr!BE19&lt;&gt;"."),s_dir!H19/((1/1000)*(s_Irr!BE19)),IF(AND(s_Irr!G19=".",s_Irr!AF19&lt;&gt;".",s_Irr!BE19="."),s_dir!H19/((1/1000)*(s_Irr!AF19)),IF(AND(s_Irr!G19&lt;&gt;".",s_Irr!AF19=".",s_Irr!BE19="."),s_dir!H19/((1/1000)*(s_Irr!G19)),IF(AND(s_Irr!G19=".",s_Irr!AF19=".",s_Irr!BE19="."),s_dir!H19*1000)))))))),".")</f>
        <v>.</v>
      </c>
      <c r="I19" s="70" t="str">
        <f>IFERROR(IF(AND(s_Irr!H19&lt;&gt;".",s_Irr!AG19&lt;&gt;".",s_Irr!BF19&lt;&gt;"."),s_dir!I19/((1/1000)*(s_Irr!H19+s_Irr!AG19+s_Irr!BF19)),IF(AND(s_Irr!H19&lt;&gt;".",s_Irr!AG19&lt;&gt;".",s_Irr!BF19="."),s_dir!I19/((1/1000)*(s_Irr!H19+s_Irr!AG19)),IF(AND(s_Irr!H19&lt;&gt;".",s_Irr!AG19=".",s_Irr!BF19&lt;&gt;"."),s_dir!I19/((1/1000)*(s_Irr!H19+s_Irr!BF19)),IF(AND(s_Irr!H19=".",s_Irr!AG19&lt;&gt;".",s_Irr!BF19&lt;&gt;"."),s_dir!I19/((1/1000)*(s_Irr!AG19+s_Irr!BF19)),IF(AND(s_Irr!H19=".",s_Irr!AG19=".",s_Irr!BF19&lt;&gt;"."),s_dir!I19/((1/1000)*(s_Irr!BF19)),IF(AND(s_Irr!H19=".",s_Irr!AG19&lt;&gt;".",s_Irr!BF19="."),s_dir!I19/((1/1000)*(s_Irr!AG19)),IF(AND(s_Irr!H19&lt;&gt;".",s_Irr!AG19=".",s_Irr!BF19="."),s_dir!I19/((1/1000)*(s_Irr!H19)),IF(AND(s_Irr!H19=".",s_Irr!AG19=".",s_Irr!BF19="."),s_dir!I19*1000)))))))),".")</f>
        <v>.</v>
      </c>
      <c r="J19" s="70" t="str">
        <f>IFERROR(IF(AND(s_Irr!I19&lt;&gt;".",s_Irr!AH19&lt;&gt;".",s_Irr!BG19&lt;&gt;"."),s_dir!J19/((1/1000)*(s_Irr!I19+s_Irr!AH19+s_Irr!BG19)),IF(AND(s_Irr!I19&lt;&gt;".",s_Irr!AH19&lt;&gt;".",s_Irr!BG19="."),s_dir!J19/((1/1000)*(s_Irr!I19+s_Irr!AH19)),IF(AND(s_Irr!I19&lt;&gt;".",s_Irr!AH19=".",s_Irr!BG19&lt;&gt;"."),s_dir!J19/((1/1000)*(s_Irr!I19+s_Irr!BG19)),IF(AND(s_Irr!I19=".",s_Irr!AH19&lt;&gt;".",s_Irr!BG19&lt;&gt;"."),s_dir!J19/((1/1000)*(s_Irr!AH19+s_Irr!BG19)),IF(AND(s_Irr!I19=".",s_Irr!AH19=".",s_Irr!BG19&lt;&gt;"."),s_dir!J19/((1/1000)*(s_Irr!BG19)),IF(AND(s_Irr!I19=".",s_Irr!AH19&lt;&gt;".",s_Irr!BG19="."),s_dir!J19/((1/1000)*(s_Irr!AH19)),IF(AND(s_Irr!I19&lt;&gt;".",s_Irr!AH19=".",s_Irr!BG19="."),s_dir!J19/((1/1000)*(s_Irr!I19)),IF(AND(s_Irr!I19=".",s_Irr!AH19=".",s_Irr!BG19="."),s_dir!J19*1000)))))))),".")</f>
        <v>.</v>
      </c>
      <c r="K19" s="70" t="str">
        <f>IFERROR(IF(AND(s_Irr!J19&lt;&gt;".",s_Irr!AI19&lt;&gt;".",s_Irr!BH19&lt;&gt;"."),s_dir!K19/((1/1000)*(s_Irr!J19+s_Irr!AI19+s_Irr!BH19)),IF(AND(s_Irr!J19&lt;&gt;".",s_Irr!AI19&lt;&gt;".",s_Irr!BH19="."),s_dir!K19/((1/1000)*(s_Irr!J19+s_Irr!AI19)),IF(AND(s_Irr!J19&lt;&gt;".",s_Irr!AI19=".",s_Irr!BH19&lt;&gt;"."),s_dir!K19/((1/1000)*(s_Irr!J19+s_Irr!BH19)),IF(AND(s_Irr!J19=".",s_Irr!AI19&lt;&gt;".",s_Irr!BH19&lt;&gt;"."),s_dir!K19/((1/1000)*(s_Irr!AI19+s_Irr!BH19)),IF(AND(s_Irr!J19=".",s_Irr!AI19=".",s_Irr!BH19&lt;&gt;"."),s_dir!K19/((1/1000)*(s_Irr!BH19)),IF(AND(s_Irr!J19=".",s_Irr!AI19&lt;&gt;".",s_Irr!BH19="."),s_dir!K19/((1/1000)*(s_Irr!AI19)),IF(AND(s_Irr!J19&lt;&gt;".",s_Irr!AI19=".",s_Irr!BH19="."),s_dir!K19/((1/1000)*(s_Irr!J19)),IF(AND(s_Irr!J19=".",s_Irr!AI19=".",s_Irr!BH19="."),s_dir!K19*1000)))))))),".")</f>
        <v>.</v>
      </c>
      <c r="L19" s="70" t="str">
        <f>IFERROR(IF(AND(s_Irr!K19&lt;&gt;".",s_Irr!AJ19&lt;&gt;".",s_Irr!BI19&lt;&gt;"."),s_dir!L19/((1/1000)*(s_Irr!K19+s_Irr!AJ19+s_Irr!BI19)),IF(AND(s_Irr!K19&lt;&gt;".",s_Irr!AJ19&lt;&gt;".",s_Irr!BI19="."),s_dir!L19/((1/1000)*(s_Irr!K19+s_Irr!AJ19)),IF(AND(s_Irr!K19&lt;&gt;".",s_Irr!AJ19=".",s_Irr!BI19&lt;&gt;"."),s_dir!L19/((1/1000)*(s_Irr!K19+s_Irr!BI19)),IF(AND(s_Irr!K19=".",s_Irr!AJ19&lt;&gt;".",s_Irr!BI19&lt;&gt;"."),s_dir!L19/((1/1000)*(s_Irr!AJ19+s_Irr!BI19)),IF(AND(s_Irr!K19=".",s_Irr!AJ19=".",s_Irr!BI19&lt;&gt;"."),s_dir!L19/((1/1000)*(s_Irr!BI19)),IF(AND(s_Irr!K19=".",s_Irr!AJ19&lt;&gt;".",s_Irr!BI19="."),s_dir!L19/((1/1000)*(s_Irr!AJ19)),IF(AND(s_Irr!K19&lt;&gt;".",s_Irr!AJ19=".",s_Irr!BI19="."),s_dir!L19/((1/1000)*(s_Irr!K19)),IF(AND(s_Irr!K19=".",s_Irr!AJ19=".",s_Irr!BI19="."),s_dir!L19*1000)))))))),".")</f>
        <v>.</v>
      </c>
      <c r="M19" s="70" t="str">
        <f>IFERROR(IF(AND(s_Irr!L19&lt;&gt;".",s_Irr!AK19&lt;&gt;".",s_Irr!BJ19&lt;&gt;"."),s_dir!M19/((1/1000)*(s_Irr!L19+s_Irr!AK19+s_Irr!BJ19)),IF(AND(s_Irr!L19&lt;&gt;".",s_Irr!AK19&lt;&gt;".",s_Irr!BJ19="."),s_dir!M19/((1/1000)*(s_Irr!L19+s_Irr!AK19)),IF(AND(s_Irr!L19&lt;&gt;".",s_Irr!AK19=".",s_Irr!BJ19&lt;&gt;"."),s_dir!M19/((1/1000)*(s_Irr!L19+s_Irr!BJ19)),IF(AND(s_Irr!L19=".",s_Irr!AK19&lt;&gt;".",s_Irr!BJ19&lt;&gt;"."),s_dir!M19/((1/1000)*(s_Irr!AK19+s_Irr!BJ19)),IF(AND(s_Irr!L19=".",s_Irr!AK19=".",s_Irr!BJ19&lt;&gt;"."),s_dir!M19/((1/1000)*(s_Irr!BJ19)),IF(AND(s_Irr!L19=".",s_Irr!AK19&lt;&gt;".",s_Irr!BJ19="."),s_dir!M19/((1/1000)*(s_Irr!AK19)),IF(AND(s_Irr!L19&lt;&gt;".",s_Irr!AK19=".",s_Irr!BJ19="."),s_dir!M19/((1/1000)*(s_Irr!L19)),IF(AND(s_Irr!L19=".",s_Irr!AK19=".",s_Irr!BJ19="."),s_dir!M19*1000)))))))),".")</f>
        <v>.</v>
      </c>
      <c r="N19" s="70" t="str">
        <f>IFERROR(IF(AND(s_Irr!M19&lt;&gt;".",s_Irr!AL19&lt;&gt;".",s_Irr!BK19&lt;&gt;"."),s_dir!N19/((1/1000)*(s_Irr!M19+s_Irr!AL19+s_Irr!BK19)),IF(AND(s_Irr!M19&lt;&gt;".",s_Irr!AL19&lt;&gt;".",s_Irr!BK19="."),s_dir!N19/((1/1000)*(s_Irr!M19+s_Irr!AL19)),IF(AND(s_Irr!M19&lt;&gt;".",s_Irr!AL19=".",s_Irr!BK19&lt;&gt;"."),s_dir!N19/((1/1000)*(s_Irr!M19+s_Irr!BK19)),IF(AND(s_Irr!M19=".",s_Irr!AL19&lt;&gt;".",s_Irr!BK19&lt;&gt;"."),s_dir!N19/((1/1000)*(s_Irr!AL19+s_Irr!BK19)),IF(AND(s_Irr!M19=".",s_Irr!AL19=".",s_Irr!BK19&lt;&gt;"."),s_dir!N19/((1/1000)*(s_Irr!BK19)),IF(AND(s_Irr!M19=".",s_Irr!AL19&lt;&gt;".",s_Irr!BK19="."),s_dir!N19/((1/1000)*(s_Irr!AL19)),IF(AND(s_Irr!M19&lt;&gt;".",s_Irr!AL19=".",s_Irr!BK19="."),s_dir!N19/((1/1000)*(s_Irr!M19)),IF(AND(s_Irr!M19=".",s_Irr!AL19=".",s_Irr!BK19="."),s_dir!N19*1000)))))))),".")</f>
        <v>.</v>
      </c>
      <c r="O19" s="70" t="str">
        <f>IFERROR(IF(AND(s_Irr!N19&lt;&gt;".",s_Irr!AM19&lt;&gt;".",s_Irr!BL19&lt;&gt;"."),s_dir!O19/((1/1000)*(s_Irr!N19+s_Irr!AM19+s_Irr!BL19)),IF(AND(s_Irr!N19&lt;&gt;".",s_Irr!AM19&lt;&gt;".",s_Irr!BL19="."),s_dir!O19/((1/1000)*(s_Irr!N19+s_Irr!AM19)),IF(AND(s_Irr!N19&lt;&gt;".",s_Irr!AM19=".",s_Irr!BL19&lt;&gt;"."),s_dir!O19/((1/1000)*(s_Irr!N19+s_Irr!BL19)),IF(AND(s_Irr!N19=".",s_Irr!AM19&lt;&gt;".",s_Irr!BL19&lt;&gt;"."),s_dir!O19/((1/1000)*(s_Irr!AM19+s_Irr!BL19)),IF(AND(s_Irr!N19=".",s_Irr!AM19=".",s_Irr!BL19&lt;&gt;"."),s_dir!O19/((1/1000)*(s_Irr!BL19)),IF(AND(s_Irr!N19=".",s_Irr!AM19&lt;&gt;".",s_Irr!BL19="."),s_dir!O19/((1/1000)*(s_Irr!AM19)),IF(AND(s_Irr!N19&lt;&gt;".",s_Irr!AM19=".",s_Irr!BL19="."),s_dir!O19/((1/1000)*(s_Irr!N19)),IF(AND(s_Irr!N19=".",s_Irr!AM19=".",s_Irr!BL19="."),s_dir!O19*1000)))))))),".")</f>
        <v>.</v>
      </c>
      <c r="P19" s="70" t="str">
        <f>IFERROR(IF(AND(s_Irr!O19&lt;&gt;".",s_Irr!AN19&lt;&gt;".",s_Irr!BM19&lt;&gt;"."),s_dir!P19/((1/1000)*(s_Irr!O19+s_Irr!AN19+s_Irr!BM19)),IF(AND(s_Irr!O19&lt;&gt;".",s_Irr!AN19&lt;&gt;".",s_Irr!BM19="."),s_dir!P19/((1/1000)*(s_Irr!O19+s_Irr!AN19)),IF(AND(s_Irr!O19&lt;&gt;".",s_Irr!AN19=".",s_Irr!BM19&lt;&gt;"."),s_dir!P19/((1/1000)*(s_Irr!O19+s_Irr!BM19)),IF(AND(s_Irr!O19=".",s_Irr!AN19&lt;&gt;".",s_Irr!BM19&lt;&gt;"."),s_dir!P19/((1/1000)*(s_Irr!AN19+s_Irr!BM19)),IF(AND(s_Irr!O19=".",s_Irr!AN19=".",s_Irr!BM19&lt;&gt;"."),s_dir!P19/((1/1000)*(s_Irr!BM19)),IF(AND(s_Irr!O19=".",s_Irr!AN19&lt;&gt;".",s_Irr!BM19="."),s_dir!P19/((1/1000)*(s_Irr!AN19)),IF(AND(s_Irr!O19&lt;&gt;".",s_Irr!AN19=".",s_Irr!BM19="."),s_dir!P19/((1/1000)*(s_Irr!O19)),IF(AND(s_Irr!O19=".",s_Irr!AN19=".",s_Irr!BM19="."),s_dir!P19*1000)))))))),".")</f>
        <v>.</v>
      </c>
      <c r="Q19" s="70" t="str">
        <f>IFERROR(IF(AND(s_Irr!P19&lt;&gt;".",s_Irr!AO19&lt;&gt;".",s_Irr!BN19&lt;&gt;"."),s_dir!Q19/((1/1000)*(s_Irr!P19+s_Irr!AO19+s_Irr!BN19)),IF(AND(s_Irr!P19&lt;&gt;".",s_Irr!AO19&lt;&gt;".",s_Irr!BN19="."),s_dir!Q19/((1/1000)*(s_Irr!P19+s_Irr!AO19)),IF(AND(s_Irr!P19&lt;&gt;".",s_Irr!AO19=".",s_Irr!BN19&lt;&gt;"."),s_dir!Q19/((1/1000)*(s_Irr!P19+s_Irr!BN19)),IF(AND(s_Irr!P19=".",s_Irr!AO19&lt;&gt;".",s_Irr!BN19&lt;&gt;"."),s_dir!Q19/((1/1000)*(s_Irr!AO19+s_Irr!BN19)),IF(AND(s_Irr!P19=".",s_Irr!AO19=".",s_Irr!BN19&lt;&gt;"."),s_dir!Q19/((1/1000)*(s_Irr!BN19)),IF(AND(s_Irr!P19=".",s_Irr!AO19&lt;&gt;".",s_Irr!BN19="."),s_dir!Q19/((1/1000)*(s_Irr!AO19)),IF(AND(s_Irr!P19&lt;&gt;".",s_Irr!AO19=".",s_Irr!BN19="."),s_dir!Q19/((1/1000)*(s_Irr!P19)),IF(AND(s_Irr!P19=".",s_Irr!AO19=".",s_Irr!BN19="."),s_dir!Q19*1000)))))))),".")</f>
        <v>.</v>
      </c>
      <c r="R19" s="70" t="str">
        <f>IFERROR(IF(AND(s_Irr!Q19&lt;&gt;".",s_Irr!AP19&lt;&gt;".",s_Irr!BO19&lt;&gt;"."),s_dir!R19/((1/1000)*(s_Irr!Q19+s_Irr!AP19+s_Irr!BO19)),IF(AND(s_Irr!Q19&lt;&gt;".",s_Irr!AP19&lt;&gt;".",s_Irr!BO19="."),s_dir!R19/((1/1000)*(s_Irr!Q19+s_Irr!AP19)),IF(AND(s_Irr!Q19&lt;&gt;".",s_Irr!AP19=".",s_Irr!BO19&lt;&gt;"."),s_dir!R19/((1/1000)*(s_Irr!Q19+s_Irr!BO19)),IF(AND(s_Irr!Q19=".",s_Irr!AP19&lt;&gt;".",s_Irr!BO19&lt;&gt;"."),s_dir!R19/((1/1000)*(s_Irr!AP19+s_Irr!BO19)),IF(AND(s_Irr!Q19=".",s_Irr!AP19=".",s_Irr!BO19&lt;&gt;"."),s_dir!R19/((1/1000)*(s_Irr!BO19)),IF(AND(s_Irr!Q19=".",s_Irr!AP19&lt;&gt;".",s_Irr!BO19="."),s_dir!R19/((1/1000)*(s_Irr!AP19)),IF(AND(s_Irr!Q19&lt;&gt;".",s_Irr!AP19=".",s_Irr!BO19="."),s_dir!R19/((1/1000)*(s_Irr!Q19)),IF(AND(s_Irr!Q19=".",s_Irr!AP19=".",s_Irr!BO19="."),s_dir!R19*1000)))))))),".")</f>
        <v>.</v>
      </c>
      <c r="S19" s="70" t="str">
        <f>IFERROR(IF(AND(s_Irr!R19&lt;&gt;".",s_Irr!AQ19&lt;&gt;".",s_Irr!BP19&lt;&gt;"."),s_dir!S19/((1/1000)*(s_Irr!R19+s_Irr!AQ19+s_Irr!BP19)),IF(AND(s_Irr!R19&lt;&gt;".",s_Irr!AQ19&lt;&gt;".",s_Irr!BP19="."),s_dir!S19/((1/1000)*(s_Irr!R19+s_Irr!AQ19)),IF(AND(s_Irr!R19&lt;&gt;".",s_Irr!AQ19=".",s_Irr!BP19&lt;&gt;"."),s_dir!S19/((1/1000)*(s_Irr!R19+s_Irr!BP19)),IF(AND(s_Irr!R19=".",s_Irr!AQ19&lt;&gt;".",s_Irr!BP19&lt;&gt;"."),s_dir!S19/((1/1000)*(s_Irr!AQ19+s_Irr!BP19)),IF(AND(s_Irr!R19=".",s_Irr!AQ19=".",s_Irr!BP19&lt;&gt;"."),s_dir!S19/((1/1000)*(s_Irr!BP19)),IF(AND(s_Irr!R19=".",s_Irr!AQ19&lt;&gt;".",s_Irr!BP19="."),s_dir!S19/((1/1000)*(s_Irr!AQ19)),IF(AND(s_Irr!R19&lt;&gt;".",s_Irr!AQ19=".",s_Irr!BP19="."),s_dir!S19/((1/1000)*(s_Irr!R19)),IF(AND(s_Irr!R19=".",s_Irr!AQ19=".",s_Irr!BP19="."),s_dir!S19*1000)))))))),".")</f>
        <v>.</v>
      </c>
      <c r="T19" s="70" t="str">
        <f>IFERROR(IF(AND(s_Irr!S19&lt;&gt;".",s_Irr!AR19&lt;&gt;".",s_Irr!BQ19&lt;&gt;"."),s_dir!T19/((1/1000)*(s_Irr!S19+s_Irr!AR19+s_Irr!BQ19)),IF(AND(s_Irr!S19&lt;&gt;".",s_Irr!AR19&lt;&gt;".",s_Irr!BQ19="."),s_dir!T19/((1/1000)*(s_Irr!S19+s_Irr!AR19)),IF(AND(s_Irr!S19&lt;&gt;".",s_Irr!AR19=".",s_Irr!BQ19&lt;&gt;"."),s_dir!T19/((1/1000)*(s_Irr!S19+s_Irr!BQ19)),IF(AND(s_Irr!S19=".",s_Irr!AR19&lt;&gt;".",s_Irr!BQ19&lt;&gt;"."),s_dir!T19/((1/1000)*(s_Irr!AR19+s_Irr!BQ19)),IF(AND(s_Irr!S19=".",s_Irr!AR19=".",s_Irr!BQ19&lt;&gt;"."),s_dir!T19/((1/1000)*(s_Irr!BQ19)),IF(AND(s_Irr!S19=".",s_Irr!AR19&lt;&gt;".",s_Irr!BQ19="."),s_dir!T19/((1/1000)*(s_Irr!AR19)),IF(AND(s_Irr!S19&lt;&gt;".",s_Irr!AR19=".",s_Irr!BQ19="."),s_dir!T19/((1/1000)*(s_Irr!S19)),IF(AND(s_Irr!S19=".",s_Irr!AR19=".",s_Irr!BQ19="."),s_dir!T19*1000)))))))),".")</f>
        <v>.</v>
      </c>
      <c r="U19" s="70" t="str">
        <f>IFERROR(IF(AND(s_Irr!T19&lt;&gt;".",s_Irr!AS19&lt;&gt;".",s_Irr!BR19&lt;&gt;"."),s_dir!U19/((1/1000)*(s_Irr!T19+s_Irr!AS19+s_Irr!BR19)),IF(AND(s_Irr!T19&lt;&gt;".",s_Irr!AS19&lt;&gt;".",s_Irr!BR19="."),s_dir!U19/((1/1000)*(s_Irr!T19+s_Irr!AS19)),IF(AND(s_Irr!T19&lt;&gt;".",s_Irr!AS19=".",s_Irr!BR19&lt;&gt;"."),s_dir!U19/((1/1000)*(s_Irr!T19+s_Irr!BR19)),IF(AND(s_Irr!T19=".",s_Irr!AS19&lt;&gt;".",s_Irr!BR19&lt;&gt;"."),s_dir!U19/((1/1000)*(s_Irr!AS19+s_Irr!BR19)),IF(AND(s_Irr!T19=".",s_Irr!AS19=".",s_Irr!BR19&lt;&gt;"."),s_dir!U19/((1/1000)*(s_Irr!BR19)),IF(AND(s_Irr!T19=".",s_Irr!AS19&lt;&gt;".",s_Irr!BR19="."),s_dir!U19/((1/1000)*(s_Irr!AS19)),IF(AND(s_Irr!T19&lt;&gt;".",s_Irr!AS19=".",s_Irr!BR19="."),s_dir!U19/((1/1000)*(s_Irr!T19)),IF(AND(s_Irr!T19=".",s_Irr!AS19=".",s_Irr!BR19="."),s_dir!U19*1000)))))))),".")</f>
        <v>.</v>
      </c>
      <c r="V19" s="70" t="str">
        <f>IFERROR(IF(AND(s_Irr!U19&lt;&gt;".",s_Irr!AT19&lt;&gt;".",s_Irr!BS19&lt;&gt;"."),s_dir!V19/((1/1000)*(s_Irr!U19+s_Irr!AT19+s_Irr!BS19)),IF(AND(s_Irr!U19&lt;&gt;".",s_Irr!AT19&lt;&gt;".",s_Irr!BS19="."),s_dir!V19/((1/1000)*(s_Irr!U19+s_Irr!AT19)),IF(AND(s_Irr!U19&lt;&gt;".",s_Irr!AT19=".",s_Irr!BS19&lt;&gt;"."),s_dir!V19/((1/1000)*(s_Irr!U19+s_Irr!BS19)),IF(AND(s_Irr!U19=".",s_Irr!AT19&lt;&gt;".",s_Irr!BS19&lt;&gt;"."),s_dir!V19/((1/1000)*(s_Irr!AT19+s_Irr!BS19)),IF(AND(s_Irr!U19=".",s_Irr!AT19=".",s_Irr!BS19&lt;&gt;"."),s_dir!V19/((1/1000)*(s_Irr!BS19)),IF(AND(s_Irr!U19=".",s_Irr!AT19&lt;&gt;".",s_Irr!BS19="."),s_dir!V19/((1/1000)*(s_Irr!AT19)),IF(AND(s_Irr!U19&lt;&gt;".",s_Irr!AT19=".",s_Irr!BS19="."),s_dir!V19/((1/1000)*(s_Irr!U19)),IF(AND(s_Irr!U19=".",s_Irr!AT19=".",s_Irr!BS19="."),s_dir!V19*1000)))))))),".")</f>
        <v>.</v>
      </c>
      <c r="W19" s="70" t="str">
        <f>IFERROR(IF(AND(s_Irr!V19&lt;&gt;".",s_Irr!AU19&lt;&gt;".",s_Irr!BT19&lt;&gt;"."),s_dir!W19/((1/1000)*(s_Irr!V19+s_Irr!AU19+s_Irr!BT19)),IF(AND(s_Irr!V19&lt;&gt;".",s_Irr!AU19&lt;&gt;".",s_Irr!BT19="."),s_dir!W19/((1/1000)*(s_Irr!V19+s_Irr!AU19)),IF(AND(s_Irr!V19&lt;&gt;".",s_Irr!AU19=".",s_Irr!BT19&lt;&gt;"."),s_dir!W19/((1/1000)*(s_Irr!V19+s_Irr!BT19)),IF(AND(s_Irr!V19=".",s_Irr!AU19&lt;&gt;".",s_Irr!BT19&lt;&gt;"."),s_dir!W19/((1/1000)*(s_Irr!AU19+s_Irr!BT19)),IF(AND(s_Irr!V19=".",s_Irr!AU19=".",s_Irr!BT19&lt;&gt;"."),s_dir!W19/((1/1000)*(s_Irr!BT19)),IF(AND(s_Irr!V19=".",s_Irr!AU19&lt;&gt;".",s_Irr!BT19="."),s_dir!W19/((1/1000)*(s_Irr!AU19)),IF(AND(s_Irr!V19&lt;&gt;".",s_Irr!AU19=".",s_Irr!BT19="."),s_dir!W19/((1/1000)*(s_Irr!V19)),IF(AND(s_Irr!V19=".",s_Irr!AU19=".",s_Irr!BT19="."),s_dir!W19*1000)))))))),".")</f>
        <v>.</v>
      </c>
      <c r="X19" s="70" t="str">
        <f>IFERROR(IF(AND(s_Irr!W19&lt;&gt;".",s_Irr!AV19&lt;&gt;".",s_Irr!BU19&lt;&gt;"."),s_dir!X19/((1/1000)*(s_Irr!W19+s_Irr!AV19+s_Irr!BU19)),IF(AND(s_Irr!W19&lt;&gt;".",s_Irr!AV19&lt;&gt;".",s_Irr!BU19="."),s_dir!X19/((1/1000)*(s_Irr!W19+s_Irr!AV19)),IF(AND(s_Irr!W19&lt;&gt;".",s_Irr!AV19=".",s_Irr!BU19&lt;&gt;"."),s_dir!X19/((1/1000)*(s_Irr!W19+s_Irr!BU19)),IF(AND(s_Irr!W19=".",s_Irr!AV19&lt;&gt;".",s_Irr!BU19&lt;&gt;"."),s_dir!X19/((1/1000)*(s_Irr!AV19+s_Irr!BU19)),IF(AND(s_Irr!W19=".",s_Irr!AV19=".",s_Irr!BU19&lt;&gt;"."),s_dir!X19/((1/1000)*(s_Irr!BU19)),IF(AND(s_Irr!W19=".",s_Irr!AV19&lt;&gt;".",s_Irr!BU19="."),s_dir!X19/((1/1000)*(s_Irr!AV19)),IF(AND(s_Irr!W19&lt;&gt;".",s_Irr!AV19=".",s_Irr!BU19="."),s_dir!X19/((1/1000)*(s_Irr!W19)),IF(AND(s_Irr!W19=".",s_Irr!AV19=".",s_Irr!BU19="."),s_dir!X19*1000)))))))),".")</f>
        <v>.</v>
      </c>
      <c r="Y19" s="70" t="str">
        <f>IFERROR(IF(AND(s_Irr!X19&lt;&gt;".",s_Irr!AW19&lt;&gt;".",s_Irr!BV19&lt;&gt;"."),s_dir!Y19/((1/1000)*(s_Irr!X19+s_Irr!AW19+s_Irr!BV19)),IF(AND(s_Irr!X19&lt;&gt;".",s_Irr!AW19&lt;&gt;".",s_Irr!BV19="."),s_dir!Y19/((1/1000)*(s_Irr!X19+s_Irr!AW19)),IF(AND(s_Irr!X19&lt;&gt;".",s_Irr!AW19=".",s_Irr!BV19&lt;&gt;"."),s_dir!Y19/((1/1000)*(s_Irr!X19+s_Irr!BV19)),IF(AND(s_Irr!X19=".",s_Irr!AW19&lt;&gt;".",s_Irr!BV19&lt;&gt;"."),s_dir!Y19/((1/1000)*(s_Irr!AW19+s_Irr!BV19)),IF(AND(s_Irr!X19=".",s_Irr!AW19=".",s_Irr!BV19&lt;&gt;"."),s_dir!Y19/((1/1000)*(s_Irr!BV19)),IF(AND(s_Irr!X19=".",s_Irr!AW19&lt;&gt;".",s_Irr!BV19="."),s_dir!Y19/((1/1000)*(s_Irr!AW19)),IF(AND(s_Irr!X19&lt;&gt;".",s_Irr!AW19=".",s_Irr!BV19="."),s_dir!Y19/((1/1000)*(s_Irr!X19)),IF(AND(s_Irr!X19=".",s_Irr!AW19=".",s_Irr!BV19="."),s_dir!Y19*1000)))))))),".")</f>
        <v>.</v>
      </c>
      <c r="Z19" s="70" t="str">
        <f>IFERROR(IF(AND(s_Irr!Y19&lt;&gt;".",s_Irr!AX19&lt;&gt;".",s_Irr!BW19&lt;&gt;"."),s_dir!Z19/((1/1000)*(s_Irr!Y19+s_Irr!AX19+s_Irr!BW19)),IF(AND(s_Irr!Y19&lt;&gt;".",s_Irr!AX19&lt;&gt;".",s_Irr!BW19="."),s_dir!Z19/((1/1000)*(s_Irr!Y19+s_Irr!AX19)),IF(AND(s_Irr!Y19&lt;&gt;".",s_Irr!AX19=".",s_Irr!BW19&lt;&gt;"."),s_dir!Z19/((1/1000)*(s_Irr!Y19+s_Irr!BW19)),IF(AND(s_Irr!Y19=".",s_Irr!AX19&lt;&gt;".",s_Irr!BW19&lt;&gt;"."),s_dir!Z19/((1/1000)*(s_Irr!AX19+s_Irr!BW19)),IF(AND(s_Irr!Y19=".",s_Irr!AX19=".",s_Irr!BW19&lt;&gt;"."),s_dir!Z19/((1/1000)*(s_Irr!BW19)),IF(AND(s_Irr!Y19=".",s_Irr!AX19&lt;&gt;".",s_Irr!BW19="."),s_dir!Z19/((1/1000)*(s_Irr!AX19)),IF(AND(s_Irr!Y19&lt;&gt;".",s_Irr!AX19=".",s_Irr!BW19="."),s_dir!Z19/((1/1000)*(s_Irr!Y19)),IF(AND(s_Irr!Y19=".",s_Irr!AX19=".",s_Irr!BW19="."),s_dir!Z19*1000)))))))),".")</f>
        <v>.</v>
      </c>
      <c r="AA19" s="70" t="str">
        <f>IFERROR(IF(AND(s_Irr!Z19&lt;&gt;".",s_Irr!AY19&lt;&gt;".",s_Irr!BX19&lt;&gt;"."),s_dir!AA19/((1/1000)*(s_Irr!Z19+s_Irr!AY19+s_Irr!BX19)),IF(AND(s_Irr!Z19&lt;&gt;".",s_Irr!AY19&lt;&gt;".",s_Irr!BX19="."),s_dir!AA19/((1/1000)*(s_Irr!Z19+s_Irr!AY19)),IF(AND(s_Irr!Z19&lt;&gt;".",s_Irr!AY19=".",s_Irr!BX19&lt;&gt;"."),s_dir!AA19/((1/1000)*(s_Irr!Z19+s_Irr!BX19)),IF(AND(s_Irr!Z19=".",s_Irr!AY19&lt;&gt;".",s_Irr!BX19&lt;&gt;"."),s_dir!AA19/((1/1000)*(s_Irr!AY19+s_Irr!BX19)),IF(AND(s_Irr!Z19=".",s_Irr!AY19=".",s_Irr!BX19&lt;&gt;"."),s_dir!AA19/((1/1000)*(s_Irr!BX19)),IF(AND(s_Irr!Z19=".",s_Irr!AY19&lt;&gt;".",s_Irr!BX19="."),s_dir!AA19/((1/1000)*(s_Irr!AY19)),IF(AND(s_Irr!Z19&lt;&gt;".",s_Irr!AY19=".",s_Irr!BX19="."),s_dir!AA19/((1/1000)*(s_Irr!Z19)),IF(AND(s_Irr!Z19=".",s_Irr!AY19=".",s_Irr!BX19="."),s_dir!AA19*1000)))))))),".")</f>
        <v>.</v>
      </c>
      <c r="AB19" s="70" t="str">
        <f>IFERROR(IF(AND(s_Irr!AA19&lt;&gt;".",s_Irr!AZ19&lt;&gt;".",s_Irr!BY19&lt;&gt;"."),s_dir!AB19/((1/1000)*(s_Irr!AA19+s_Irr!AZ19+s_Irr!BY19)),IF(AND(s_Irr!AA19&lt;&gt;".",s_Irr!AZ19&lt;&gt;".",s_Irr!BY19="."),s_dir!AB19/((1/1000)*(s_Irr!AA19+s_Irr!AZ19)),IF(AND(s_Irr!AA19&lt;&gt;".",s_Irr!AZ19=".",s_Irr!BY19&lt;&gt;"."),s_dir!AB19/((1/1000)*(s_Irr!AA19+s_Irr!BY19)),IF(AND(s_Irr!AA19=".",s_Irr!AZ19&lt;&gt;".",s_Irr!BY19&lt;&gt;"."),s_dir!AB19/((1/1000)*(s_Irr!AZ19+s_Irr!BY19)),IF(AND(s_Irr!AA19=".",s_Irr!AZ19=".",s_Irr!BY19&lt;&gt;"."),s_dir!AB19/((1/1000)*(s_Irr!BY19)),IF(AND(s_Irr!AA19=".",s_Irr!AZ19&lt;&gt;".",s_Irr!BY19="."),s_dir!AB19/((1/1000)*(s_Irr!AZ19)),IF(AND(s_Irr!AA19&lt;&gt;".",s_Irr!AZ19=".",s_Irr!BY19="."),s_dir!AB19/((1/1000)*(s_Irr!AA19)),IF(AND(s_Irr!AA19=".",s_Irr!AZ19=".",s_Irr!BY19="."),s_dir!AB19*1000)))))))),".")</f>
        <v>.</v>
      </c>
      <c r="AC19" s="87">
        <f t="shared" si="4"/>
        <v>374.32491773106489</v>
      </c>
      <c r="AD19" s="87">
        <f>IFERROR(s_C*s_IFAP_res_adj*s_CF_apple*0.001*(s_Irr!C19+s_Irr!AB19+s_Irr!BA19),".")</f>
        <v>88.757645154967165</v>
      </c>
      <c r="AE19" s="87">
        <f>IFERROR(s_C*s_IFAS_res_adj*s_CF_asparagus*0.001*(s_Irr!D19+s_Irr!AC19+s_Irr!BB19),".")</f>
        <v>99.576899609843579</v>
      </c>
      <c r="AF19" s="87">
        <f>IFERROR(s_C*s_IFBT_res_adj*s_CF_beet*0.001*(s_Irr!E19+s_Irr!AD19+s_Irr!BC19),".")</f>
        <v>97.172620842093266</v>
      </c>
      <c r="AG19" s="87">
        <f>IFERROR(s_C*s_IFBE_res_adj*s_CF_berries*0.001*(s_Irr!F19+s_Irr!AE19+s_Irr!BD19),".")</f>
        <v>88.757645154967165</v>
      </c>
      <c r="AH19" s="87">
        <f>IFERROR(s_C*s_IFBR_res_adj*s_CF_broccoli*0.001*(s_Irr!G19+s_Irr!AF19+s_Irr!BE19),".")</f>
        <v>88.757645154967165</v>
      </c>
      <c r="AI19" s="87">
        <f>IFERROR(s_C*s_IFCB_res_adj*s_CF_cabbage*0.001*(s_Irr!H19+s_Irr!AG19+s_Irr!BF19),".")</f>
        <v>99.576899609843579</v>
      </c>
      <c r="AJ19" s="87">
        <f>IFERROR(s_C*s_IFCR_res_adj*s_CF_carrot*0.001*(s_Irr!I19+s_Irr!AH19+s_Irr!BG19),".")</f>
        <v>97.172620842093266</v>
      </c>
      <c r="AK19" s="87">
        <f>IFERROR(s_C*s_IFCI_res_adj*s_CF_citrus*0.001*(s_Irr!J19+s_Irr!AI19+s_Irr!BH19),".")</f>
        <v>88.757645154967165</v>
      </c>
      <c r="AL19" s="87">
        <f>IFERROR(s_C*s_IFCO_res_adj*s_CF_corn*0.001*(s_Irr!K19+s_Irr!AJ19+s_Irr!BI19),".")</f>
        <v>88.817752124160918</v>
      </c>
      <c r="AM19" s="87">
        <f>IFERROR(s_C*s_IFCU_res_adj*s_CF_cucumber*0.001*(s_Irr!L19+s_Irr!AK19+s_Irr!BJ19),".")</f>
        <v>88.757645154967165</v>
      </c>
      <c r="AN19" s="87">
        <f>IFERROR(s_C*s_IFLE_res_adj*s_CF_lettuce*0.001*(s_Irr!M19+s_Irr!AL19+s_Irr!BK19),".")</f>
        <v>99.576899609843579</v>
      </c>
      <c r="AO19" s="87">
        <f>IFERROR(s_C*s_IFLI_res_adj*s_CF_lima_bean*0.001*(s_Irr!N19+s_Irr!AM19+s_Irr!BL19),".")</f>
        <v>88.862832351056241</v>
      </c>
      <c r="AP19" s="87">
        <f>IFERROR(s_C*s_IFOK_res_adj*s_CF_okra*0.001*(s_Irr!O19+s_Irr!AN19+s_Irr!BM19),".")</f>
        <v>88.757645154967165</v>
      </c>
      <c r="AQ19" s="87">
        <f>IFERROR(s_C*s_IFON_res_adj*s_CF_onion*0.001*(s_Irr!P19+s_Irr!AO19+s_Irr!BN19),".")</f>
        <v>97.172620842093266</v>
      </c>
      <c r="AR19" s="87">
        <f>IFERROR(s_C*s_IFPC_res_adj*s_CF_peach*0.001*(s_Irr!Q19+s_Irr!AP19+s_Irr!BO19),".")</f>
        <v>88.757645154967165</v>
      </c>
      <c r="AS19" s="87">
        <f>IFERROR(s_C*s_IFPR_res_adj*s_CF_pear*0.001*(s_Irr!R19+s_Irr!AQ19+s_Irr!BP19),".")</f>
        <v>88.757645154967165</v>
      </c>
      <c r="AT19" s="87">
        <f>IFERROR(s_C*s_IFPE_res_adj*s_CF_peas*0.001*(s_Irr!S19+s_Irr!AR19+s_Irr!BQ19),".")</f>
        <v>88.862832351056241</v>
      </c>
      <c r="AU19" s="87">
        <f>IFERROR(s_C*s_IFPP_res_adj*s_CF_peppers*0.001*(s_Irr!T19+s_Irr!AS19+s_Irr!BR19),".")</f>
        <v>88.757645154967165</v>
      </c>
      <c r="AV19" s="87">
        <f>IFERROR(s_C*s_IFPT_res_adj*s_CF_potato*0.001*(s_Irr!U19+s_Irr!AT19+s_Irr!BS19),".")</f>
        <v>92.514330729577026</v>
      </c>
      <c r="AW19" s="87">
        <f>IFERROR(s_C*s_IFPU_res_adj*s_CF_pumpkin*0.001*(s_Irr!V19+s_Irr!AU19+s_Irr!BT19),".")</f>
        <v>88.757645154967165</v>
      </c>
      <c r="AX19" s="87">
        <f>IFERROR(s_C*s_IFSN_res_adj*s_CF_snap_bean*0.001*(s_Irr!W19+s_Irr!AV19+s_Irr!BU19),".")</f>
        <v>88.862832351056241</v>
      </c>
      <c r="AY19" s="87">
        <f>IFERROR(s_C*s_IFST_res_adj*s_CF_strawberry*0.001*(s_Irr!X19+s_Irr!AW19+s_Irr!BV19),".")</f>
        <v>88.757645154967165</v>
      </c>
      <c r="AZ19" s="87">
        <f>IFERROR(s_C*s_IFTO_res_adj*s_CF_tomato*0.001*(s_Irr!Y19+s_Irr!AX19+s_Irr!BW19),".")</f>
        <v>88.757645154967165</v>
      </c>
      <c r="BA19" s="87">
        <f>IFERROR(s_C*s_IFRI_res_adj*s_CF_rice*0.001*(s_Irr!Z19+s_Irr!AY19+s_Irr!BX19),".")</f>
        <v>107.99187529696968</v>
      </c>
      <c r="BB19" s="87">
        <f>IFERROR(s_C*s_IFCG_res_adj*s_CF_cereal*0.001*(s_Irr!AA19+s_Irr!AZ19+s_Irr!BY19),".")</f>
        <v>88.817752124160918</v>
      </c>
      <c r="BC19" s="70" t="str">
        <f t="shared" si="1"/>
        <v>.</v>
      </c>
      <c r="BD19" s="70" t="str">
        <f>IFERROR(IF(AND(s_Irr!C19&lt;&gt;".",s_Irr!AB19&lt;&gt;".",s_Irr!BA19&lt;&gt;"."),s_dir!AD19/((1/1000)*(s_Irr!C19+s_Irr!AB19+s_Irr!BA19)),IF(AND(s_Irr!C19&lt;&gt;".",s_Irr!AB19&lt;&gt;".",s_Irr!BA19="."),s_dir!AD19/((1/1000)*(s_Irr!C19+s_Irr!AB19)),IF(AND(s_Irr!C19&lt;&gt;".",s_Irr!AB19=".",s_Irr!BA19&lt;&gt;"."),s_dir!AD19/((1/1000)*(s_Irr!C19+s_Irr!BA19)),IF(AND(s_Irr!C19=".",s_Irr!AB19&lt;&gt;".",s_Irr!BA19&lt;&gt;"."),s_dir!AD19/((1/1000)*(s_Irr!AB19+s_Irr!BA19)),IF(AND(s_Irr!C19=".",s_Irr!AB19=".",s_Irr!BA19&lt;&gt;"."),s_dir!AD19/((1/1000)*(s_Irr!BA19)),IF(AND(s_Irr!C19=".",s_Irr!AB19&lt;&gt;".",s_Irr!BA19="."),s_dir!AD19/((1/1000)*(s_Irr!AB19)),IF(AND(s_Irr!C19&lt;&gt;".",s_Irr!AB19=".",s_Irr!BA19="."),s_dir!AD19/((1/1000)*(s_Irr!C19)),IF(AND(s_Irr!C19=".",s_Irr!AB19=".",s_Irr!BA19="."),s_dir!AD19*1000)))))))),".")</f>
        <v>.</v>
      </c>
      <c r="BE19" s="70" t="str">
        <f>IFERROR(IF(AND(s_Irr!D19&lt;&gt;".",s_Irr!AC19&lt;&gt;".",s_Irr!BB19&lt;&gt;"."),s_dir!AE19/((1/1000)*(s_Irr!D19+s_Irr!AC19+s_Irr!BB19)),IF(AND(s_Irr!D19&lt;&gt;".",s_Irr!AC19&lt;&gt;".",s_Irr!BB19="."),s_dir!AE19/((1/1000)*(s_Irr!D19+s_Irr!AC19)),IF(AND(s_Irr!D19&lt;&gt;".",s_Irr!AC19=".",s_Irr!BB19&lt;&gt;"."),s_dir!AE19/((1/1000)*(s_Irr!D19+s_Irr!BB19)),IF(AND(s_Irr!D19=".",s_Irr!AC19&lt;&gt;".",s_Irr!BB19&lt;&gt;"."),s_dir!AE19/((1/1000)*(s_Irr!AC19+s_Irr!BB19)),IF(AND(s_Irr!D19=".",s_Irr!AC19=".",s_Irr!BB19&lt;&gt;"."),s_dir!AE19/((1/1000)*(s_Irr!BB19)),IF(AND(s_Irr!D19=".",s_Irr!AC19&lt;&gt;".",s_Irr!BB19="."),s_dir!AE19/((1/1000)*(s_Irr!AC19)),IF(AND(s_Irr!D19&lt;&gt;".",s_Irr!AC19=".",s_Irr!BB19="."),s_dir!AE19/((1/1000)*(s_Irr!D19)),IF(AND(s_Irr!D19=".",s_Irr!AC19=".",s_Irr!BB19="."),s_dir!AE19*1000)))))))),".")</f>
        <v>.</v>
      </c>
      <c r="BF19" s="70" t="str">
        <f>IFERROR(IF(AND(s_Irr!E19&lt;&gt;".",s_Irr!AD19&lt;&gt;".",s_Irr!BC19&lt;&gt;"."),s_dir!AF19/((1/1000)*(s_Irr!E19+s_Irr!AD19+s_Irr!BC19)),IF(AND(s_Irr!E19&lt;&gt;".",s_Irr!AD19&lt;&gt;".",s_Irr!BC19="."),s_dir!AF19/((1/1000)*(s_Irr!E19+s_Irr!AD19)),IF(AND(s_Irr!E19&lt;&gt;".",s_Irr!AD19=".",s_Irr!BC19&lt;&gt;"."),s_dir!AF19/((1/1000)*(s_Irr!E19+s_Irr!BC19)),IF(AND(s_Irr!E19=".",s_Irr!AD19&lt;&gt;".",s_Irr!BC19&lt;&gt;"."),s_dir!AF19/((1/1000)*(s_Irr!AD19+s_Irr!BC19)),IF(AND(s_Irr!E19=".",s_Irr!AD19=".",s_Irr!BC19&lt;&gt;"."),s_dir!AF19/((1/1000)*(s_Irr!BC19)),IF(AND(s_Irr!E19=".",s_Irr!AD19&lt;&gt;".",s_Irr!BC19="."),s_dir!AF19/((1/1000)*(s_Irr!AD19)),IF(AND(s_Irr!E19&lt;&gt;".",s_Irr!AD19=".",s_Irr!BC19="."),s_dir!AF19/((1/1000)*(s_Irr!E19)),IF(AND(s_Irr!E19=".",s_Irr!AD19=".",s_Irr!BC19="."),s_dir!AF19*1000)))))))),".")</f>
        <v>.</v>
      </c>
      <c r="BG19" s="70" t="str">
        <f>IFERROR(IF(AND(s_Irr!F19&lt;&gt;".",s_Irr!AE19&lt;&gt;".",s_Irr!BD19&lt;&gt;"."),s_dir!AG19/((1/1000)*(s_Irr!F19+s_Irr!AE19+s_Irr!BD19)),IF(AND(s_Irr!F19&lt;&gt;".",s_Irr!AE19&lt;&gt;".",s_Irr!BD19="."),s_dir!AG19/((1/1000)*(s_Irr!F19+s_Irr!AE19)),IF(AND(s_Irr!F19&lt;&gt;".",s_Irr!AE19=".",s_Irr!BD19&lt;&gt;"."),s_dir!AG19/((1/1000)*(s_Irr!F19+s_Irr!BD19)),IF(AND(s_Irr!F19=".",s_Irr!AE19&lt;&gt;".",s_Irr!BD19&lt;&gt;"."),s_dir!AG19/((1/1000)*(s_Irr!AE19+s_Irr!BD19)),IF(AND(s_Irr!F19=".",s_Irr!AE19=".",s_Irr!BD19&lt;&gt;"."),s_dir!AG19/((1/1000)*(s_Irr!BD19)),IF(AND(s_Irr!F19=".",s_Irr!AE19&lt;&gt;".",s_Irr!BD19="."),s_dir!AG19/((1/1000)*(s_Irr!AE19)),IF(AND(s_Irr!F19&lt;&gt;".",s_Irr!AE19=".",s_Irr!BD19="."),s_dir!AG19/((1/1000)*(s_Irr!F19)),IF(AND(s_Irr!F19=".",s_Irr!AE19=".",s_Irr!BD19="."),s_dir!AG19*1000)))))))),".")</f>
        <v>.</v>
      </c>
      <c r="BH19" s="70" t="str">
        <f>IFERROR(IF(AND(s_Irr!G19&lt;&gt;".",s_Irr!AF19&lt;&gt;".",s_Irr!BE19&lt;&gt;"."),s_dir!AH19/((1/1000)*(s_Irr!G19+s_Irr!AF19+s_Irr!BE19)),IF(AND(s_Irr!G19&lt;&gt;".",s_Irr!AF19&lt;&gt;".",s_Irr!BE19="."),s_dir!AH19/((1/1000)*(s_Irr!G19+s_Irr!AF19)),IF(AND(s_Irr!G19&lt;&gt;".",s_Irr!AF19=".",s_Irr!BE19&lt;&gt;"."),s_dir!AH19/((1/1000)*(s_Irr!G19+s_Irr!BE19)),IF(AND(s_Irr!G19=".",s_Irr!AF19&lt;&gt;".",s_Irr!BE19&lt;&gt;"."),s_dir!AH19/((1/1000)*(s_Irr!AF19+s_Irr!BE19)),IF(AND(s_Irr!G19=".",s_Irr!AF19=".",s_Irr!BE19&lt;&gt;"."),s_dir!AH19/((1/1000)*(s_Irr!BE19)),IF(AND(s_Irr!G19=".",s_Irr!AF19&lt;&gt;".",s_Irr!BE19="."),s_dir!AH19/((1/1000)*(s_Irr!AF19)),IF(AND(s_Irr!G19&lt;&gt;".",s_Irr!AF19=".",s_Irr!BE19="."),s_dir!AH19/((1/1000)*(s_Irr!G19)),IF(AND(s_Irr!G19=".",s_Irr!AF19=".",s_Irr!BE19="."),s_dir!AH19*1000)))))))),".")</f>
        <v>.</v>
      </c>
      <c r="BI19" s="70" t="str">
        <f>IFERROR(IF(AND(s_Irr!H19&lt;&gt;".",s_Irr!AG19&lt;&gt;".",s_Irr!BF19&lt;&gt;"."),s_dir!AI19/((1/1000)*(s_Irr!H19+s_Irr!AG19+s_Irr!BF19)),IF(AND(s_Irr!H19&lt;&gt;".",s_Irr!AG19&lt;&gt;".",s_Irr!BF19="."),s_dir!AI19/((1/1000)*(s_Irr!H19+s_Irr!AG19)),IF(AND(s_Irr!H19&lt;&gt;".",s_Irr!AG19=".",s_Irr!BF19&lt;&gt;"."),s_dir!AI19/((1/1000)*(s_Irr!H19+s_Irr!BF19)),IF(AND(s_Irr!H19=".",s_Irr!AG19&lt;&gt;".",s_Irr!BF19&lt;&gt;"."),s_dir!AI19/((1/1000)*(s_Irr!AG19+s_Irr!BF19)),IF(AND(s_Irr!H19=".",s_Irr!AG19=".",s_Irr!BF19&lt;&gt;"."),s_dir!AI19/((1/1000)*(s_Irr!BF19)),IF(AND(s_Irr!H19=".",s_Irr!AG19&lt;&gt;".",s_Irr!BF19="."),s_dir!AI19/((1/1000)*(s_Irr!AG19)),IF(AND(s_Irr!H19&lt;&gt;".",s_Irr!AG19=".",s_Irr!BF19="."),s_dir!AI19/((1/1000)*(s_Irr!H19)),IF(AND(s_Irr!H19=".",s_Irr!AG19=".",s_Irr!BF19="."),s_dir!AI19*1000)))))))),".")</f>
        <v>.</v>
      </c>
      <c r="BJ19" s="70" t="str">
        <f>IFERROR(IF(AND(s_Irr!I19&lt;&gt;".",s_Irr!AH19&lt;&gt;".",s_Irr!BG19&lt;&gt;"."),s_dir!AJ19/((1/1000)*(s_Irr!I19+s_Irr!AH19+s_Irr!BG19)),IF(AND(s_Irr!I19&lt;&gt;".",s_Irr!AH19&lt;&gt;".",s_Irr!BG19="."),s_dir!AJ19/((1/1000)*(s_Irr!I19+s_Irr!AH19)),IF(AND(s_Irr!I19&lt;&gt;".",s_Irr!AH19=".",s_Irr!BG19&lt;&gt;"."),s_dir!AJ19/((1/1000)*(s_Irr!I19+s_Irr!BG19)),IF(AND(s_Irr!I19=".",s_Irr!AH19&lt;&gt;".",s_Irr!BG19&lt;&gt;"."),s_dir!AJ19/((1/1000)*(s_Irr!AH19+s_Irr!BG19)),IF(AND(s_Irr!I19=".",s_Irr!AH19=".",s_Irr!BG19&lt;&gt;"."),s_dir!AJ19/((1/1000)*(s_Irr!BG19)),IF(AND(s_Irr!I19=".",s_Irr!AH19&lt;&gt;".",s_Irr!BG19="."),s_dir!AJ19/((1/1000)*(s_Irr!AH19)),IF(AND(s_Irr!I19&lt;&gt;".",s_Irr!AH19=".",s_Irr!BG19="."),s_dir!AJ19/((1/1000)*(s_Irr!I19)),IF(AND(s_Irr!I19=".",s_Irr!AH19=".",s_Irr!BG19="."),s_dir!AJ19*1000)))))))),".")</f>
        <v>.</v>
      </c>
      <c r="BK19" s="70" t="str">
        <f>IFERROR(IF(AND(s_Irr!J19&lt;&gt;".",s_Irr!AI19&lt;&gt;".",s_Irr!BH19&lt;&gt;"."),s_dir!AK19/((1/1000)*(s_Irr!J19+s_Irr!AI19+s_Irr!BH19)),IF(AND(s_Irr!J19&lt;&gt;".",s_Irr!AI19&lt;&gt;".",s_Irr!BH19="."),s_dir!AK19/((1/1000)*(s_Irr!J19+s_Irr!AI19)),IF(AND(s_Irr!J19&lt;&gt;".",s_Irr!AI19=".",s_Irr!BH19&lt;&gt;"."),s_dir!AK19/((1/1000)*(s_Irr!J19+s_Irr!BH19)),IF(AND(s_Irr!J19=".",s_Irr!AI19&lt;&gt;".",s_Irr!BH19&lt;&gt;"."),s_dir!AK19/((1/1000)*(s_Irr!AI19+s_Irr!BH19)),IF(AND(s_Irr!J19=".",s_Irr!AI19=".",s_Irr!BH19&lt;&gt;"."),s_dir!AK19/((1/1000)*(s_Irr!BH19)),IF(AND(s_Irr!J19=".",s_Irr!AI19&lt;&gt;".",s_Irr!BH19="."),s_dir!AK19/((1/1000)*(s_Irr!AI19)),IF(AND(s_Irr!J19&lt;&gt;".",s_Irr!AI19=".",s_Irr!BH19="."),s_dir!AK19/((1/1000)*(s_Irr!J19)),IF(AND(s_Irr!J19=".",s_Irr!AI19=".",s_Irr!BH19="."),s_dir!AK19*1000)))))))),".")</f>
        <v>.</v>
      </c>
      <c r="BL19" s="70" t="str">
        <f>IFERROR(IF(AND(s_Irr!K19&lt;&gt;".",s_Irr!AJ19&lt;&gt;".",s_Irr!BI19&lt;&gt;"."),s_dir!AL19/((1/1000)*(s_Irr!K19+s_Irr!AJ19+s_Irr!BI19)),IF(AND(s_Irr!K19&lt;&gt;".",s_Irr!AJ19&lt;&gt;".",s_Irr!BI19="."),s_dir!AL19/((1/1000)*(s_Irr!K19+s_Irr!AJ19)),IF(AND(s_Irr!K19&lt;&gt;".",s_Irr!AJ19=".",s_Irr!BI19&lt;&gt;"."),s_dir!AL19/((1/1000)*(s_Irr!K19+s_Irr!BI19)),IF(AND(s_Irr!K19=".",s_Irr!AJ19&lt;&gt;".",s_Irr!BI19&lt;&gt;"."),s_dir!AL19/((1/1000)*(s_Irr!AJ19+s_Irr!BI19)),IF(AND(s_Irr!K19=".",s_Irr!AJ19=".",s_Irr!BI19&lt;&gt;"."),s_dir!AL19/((1/1000)*(s_Irr!BI19)),IF(AND(s_Irr!K19=".",s_Irr!AJ19&lt;&gt;".",s_Irr!BI19="."),s_dir!AL19/((1/1000)*(s_Irr!AJ19)),IF(AND(s_Irr!K19&lt;&gt;".",s_Irr!AJ19=".",s_Irr!BI19="."),s_dir!AL19/((1/1000)*(s_Irr!K19)),IF(AND(s_Irr!K19=".",s_Irr!AJ19=".",s_Irr!BI19="."),s_dir!AL19*1000)))))))),".")</f>
        <v>.</v>
      </c>
      <c r="BM19" s="70" t="str">
        <f>IFERROR(IF(AND(s_Irr!L19&lt;&gt;".",s_Irr!AK19&lt;&gt;".",s_Irr!BJ19&lt;&gt;"."),s_dir!AM19/((1/1000)*(s_Irr!L19+s_Irr!AK19+s_Irr!BJ19)),IF(AND(s_Irr!L19&lt;&gt;".",s_Irr!AK19&lt;&gt;".",s_Irr!BJ19="."),s_dir!AM19/((1/1000)*(s_Irr!L19+s_Irr!AK19)),IF(AND(s_Irr!L19&lt;&gt;".",s_Irr!AK19=".",s_Irr!BJ19&lt;&gt;"."),s_dir!AM19/((1/1000)*(s_Irr!L19+s_Irr!BJ19)),IF(AND(s_Irr!L19=".",s_Irr!AK19&lt;&gt;".",s_Irr!BJ19&lt;&gt;"."),s_dir!AM19/((1/1000)*(s_Irr!AK19+s_Irr!BJ19)),IF(AND(s_Irr!L19=".",s_Irr!AK19=".",s_Irr!BJ19&lt;&gt;"."),s_dir!AM19/((1/1000)*(s_Irr!BJ19)),IF(AND(s_Irr!L19=".",s_Irr!AK19&lt;&gt;".",s_Irr!BJ19="."),s_dir!AM19/((1/1000)*(s_Irr!AK19)),IF(AND(s_Irr!L19&lt;&gt;".",s_Irr!AK19=".",s_Irr!BJ19="."),s_dir!AM19/((1/1000)*(s_Irr!L19)),IF(AND(s_Irr!L19=".",s_Irr!AK19=".",s_Irr!BJ19="."),s_dir!AM19*1000)))))))),".")</f>
        <v>.</v>
      </c>
      <c r="BN19" s="70" t="str">
        <f>IFERROR(IF(AND(s_Irr!M19&lt;&gt;".",s_Irr!AL19&lt;&gt;".",s_Irr!BK19&lt;&gt;"."),s_dir!AN19/((1/1000)*(s_Irr!M19+s_Irr!AL19+s_Irr!BK19)),IF(AND(s_Irr!M19&lt;&gt;".",s_Irr!AL19&lt;&gt;".",s_Irr!BK19="."),s_dir!AN19/((1/1000)*(s_Irr!M19+s_Irr!AL19)),IF(AND(s_Irr!M19&lt;&gt;".",s_Irr!AL19=".",s_Irr!BK19&lt;&gt;"."),s_dir!AN19/((1/1000)*(s_Irr!M19+s_Irr!BK19)),IF(AND(s_Irr!M19=".",s_Irr!AL19&lt;&gt;".",s_Irr!BK19&lt;&gt;"."),s_dir!AN19/((1/1000)*(s_Irr!AL19+s_Irr!BK19)),IF(AND(s_Irr!M19=".",s_Irr!AL19=".",s_Irr!BK19&lt;&gt;"."),s_dir!AN19/((1/1000)*(s_Irr!BK19)),IF(AND(s_Irr!M19=".",s_Irr!AL19&lt;&gt;".",s_Irr!BK19="."),s_dir!AN19/((1/1000)*(s_Irr!AL19)),IF(AND(s_Irr!M19&lt;&gt;".",s_Irr!AL19=".",s_Irr!BK19="."),s_dir!AN19/((1/1000)*(s_Irr!M19)),IF(AND(s_Irr!M19=".",s_Irr!AL19=".",s_Irr!BK19="."),s_dir!AN19*1000)))))))),".")</f>
        <v>.</v>
      </c>
      <c r="BO19" s="70" t="str">
        <f>IFERROR(IF(AND(s_Irr!N19&lt;&gt;".",s_Irr!AM19&lt;&gt;".",s_Irr!BL19&lt;&gt;"."),s_dir!AO19/((1/1000)*(s_Irr!N19+s_Irr!AM19+s_Irr!BL19)),IF(AND(s_Irr!N19&lt;&gt;".",s_Irr!AM19&lt;&gt;".",s_Irr!BL19="."),s_dir!AO19/((1/1000)*(s_Irr!N19+s_Irr!AM19)),IF(AND(s_Irr!N19&lt;&gt;".",s_Irr!AM19=".",s_Irr!BL19&lt;&gt;"."),s_dir!AO19/((1/1000)*(s_Irr!N19+s_Irr!BL19)),IF(AND(s_Irr!N19=".",s_Irr!AM19&lt;&gt;".",s_Irr!BL19&lt;&gt;"."),s_dir!AO19/((1/1000)*(s_Irr!AM19+s_Irr!BL19)),IF(AND(s_Irr!N19=".",s_Irr!AM19=".",s_Irr!BL19&lt;&gt;"."),s_dir!AO19/((1/1000)*(s_Irr!BL19)),IF(AND(s_Irr!N19=".",s_Irr!AM19&lt;&gt;".",s_Irr!BL19="."),s_dir!AO19/((1/1000)*(s_Irr!AM19)),IF(AND(s_Irr!N19&lt;&gt;".",s_Irr!AM19=".",s_Irr!BL19="."),s_dir!AO19/((1/1000)*(s_Irr!N19)),IF(AND(s_Irr!N19=".",s_Irr!AM19=".",s_Irr!BL19="."),s_dir!AO19*1000)))))))),".")</f>
        <v>.</v>
      </c>
      <c r="BP19" s="70" t="str">
        <f>IFERROR(IF(AND(s_Irr!O19&lt;&gt;".",s_Irr!AN19&lt;&gt;".",s_Irr!BM19&lt;&gt;"."),s_dir!AP19/((1/1000)*(s_Irr!O19+s_Irr!AN19+s_Irr!BM19)),IF(AND(s_Irr!O19&lt;&gt;".",s_Irr!AN19&lt;&gt;".",s_Irr!BM19="."),s_dir!AP19/((1/1000)*(s_Irr!O19+s_Irr!AN19)),IF(AND(s_Irr!O19&lt;&gt;".",s_Irr!AN19=".",s_Irr!BM19&lt;&gt;"."),s_dir!AP19/((1/1000)*(s_Irr!O19+s_Irr!BM19)),IF(AND(s_Irr!O19=".",s_Irr!AN19&lt;&gt;".",s_Irr!BM19&lt;&gt;"."),s_dir!AP19/((1/1000)*(s_Irr!AN19+s_Irr!BM19)),IF(AND(s_Irr!O19=".",s_Irr!AN19=".",s_Irr!BM19&lt;&gt;"."),s_dir!AP19/((1/1000)*(s_Irr!BM19)),IF(AND(s_Irr!O19=".",s_Irr!AN19&lt;&gt;".",s_Irr!BM19="."),s_dir!AP19/((1/1000)*(s_Irr!AN19)),IF(AND(s_Irr!O19&lt;&gt;".",s_Irr!AN19=".",s_Irr!BM19="."),s_dir!AP19/((1/1000)*(s_Irr!O19)),IF(AND(s_Irr!O19=".",s_Irr!AN19=".",s_Irr!BM19="."),s_dir!AP19*1000)))))))),".")</f>
        <v>.</v>
      </c>
      <c r="BQ19" s="70" t="str">
        <f>IFERROR(IF(AND(s_Irr!P19&lt;&gt;".",s_Irr!AO19&lt;&gt;".",s_Irr!BN19&lt;&gt;"."),s_dir!AQ19/((1/1000)*(s_Irr!P19+s_Irr!AO19+s_Irr!BN19)),IF(AND(s_Irr!P19&lt;&gt;".",s_Irr!AO19&lt;&gt;".",s_Irr!BN19="."),s_dir!AQ19/((1/1000)*(s_Irr!P19+s_Irr!AO19)),IF(AND(s_Irr!P19&lt;&gt;".",s_Irr!AO19=".",s_Irr!BN19&lt;&gt;"."),s_dir!AQ19/((1/1000)*(s_Irr!P19+s_Irr!BN19)),IF(AND(s_Irr!P19=".",s_Irr!AO19&lt;&gt;".",s_Irr!BN19&lt;&gt;"."),s_dir!AQ19/((1/1000)*(s_Irr!AO19+s_Irr!BN19)),IF(AND(s_Irr!P19=".",s_Irr!AO19=".",s_Irr!BN19&lt;&gt;"."),s_dir!AQ19/((1/1000)*(s_Irr!BN19)),IF(AND(s_Irr!P19=".",s_Irr!AO19&lt;&gt;".",s_Irr!BN19="."),s_dir!AQ19/((1/1000)*(s_Irr!AO19)),IF(AND(s_Irr!P19&lt;&gt;".",s_Irr!AO19=".",s_Irr!BN19="."),s_dir!AQ19/((1/1000)*(s_Irr!P19)),IF(AND(s_Irr!P19=".",s_Irr!AO19=".",s_Irr!BN19="."),s_dir!AQ19*1000)))))))),".")</f>
        <v>.</v>
      </c>
      <c r="BR19" s="70" t="str">
        <f>IFERROR(IF(AND(s_Irr!Q19&lt;&gt;".",s_Irr!AP19&lt;&gt;".",s_Irr!BO19&lt;&gt;"."),s_dir!AR19/((1/1000)*(s_Irr!Q19+s_Irr!AP19+s_Irr!BO19)),IF(AND(s_Irr!Q19&lt;&gt;".",s_Irr!AP19&lt;&gt;".",s_Irr!BO19="."),s_dir!AR19/((1/1000)*(s_Irr!Q19+s_Irr!AP19)),IF(AND(s_Irr!Q19&lt;&gt;".",s_Irr!AP19=".",s_Irr!BO19&lt;&gt;"."),s_dir!AR19/((1/1000)*(s_Irr!Q19+s_Irr!BO19)),IF(AND(s_Irr!Q19=".",s_Irr!AP19&lt;&gt;".",s_Irr!BO19&lt;&gt;"."),s_dir!AR19/((1/1000)*(s_Irr!AP19+s_Irr!BO19)),IF(AND(s_Irr!Q19=".",s_Irr!AP19=".",s_Irr!BO19&lt;&gt;"."),s_dir!AR19/((1/1000)*(s_Irr!BO19)),IF(AND(s_Irr!Q19=".",s_Irr!AP19&lt;&gt;".",s_Irr!BO19="."),s_dir!AR19/((1/1000)*(s_Irr!AP19)),IF(AND(s_Irr!Q19&lt;&gt;".",s_Irr!AP19=".",s_Irr!BO19="."),s_dir!AR19/((1/1000)*(s_Irr!Q19)),IF(AND(s_Irr!Q19=".",s_Irr!AP19=".",s_Irr!BO19="."),s_dir!AR19*1000)))))))),".")</f>
        <v>.</v>
      </c>
      <c r="BS19" s="70" t="str">
        <f>IFERROR(IF(AND(s_Irr!R19&lt;&gt;".",s_Irr!AQ19&lt;&gt;".",s_Irr!BP19&lt;&gt;"."),s_dir!AS19/((1/1000)*(s_Irr!R19+s_Irr!AQ19+s_Irr!BP19)),IF(AND(s_Irr!R19&lt;&gt;".",s_Irr!AQ19&lt;&gt;".",s_Irr!BP19="."),s_dir!AS19/((1/1000)*(s_Irr!R19+s_Irr!AQ19)),IF(AND(s_Irr!R19&lt;&gt;".",s_Irr!AQ19=".",s_Irr!BP19&lt;&gt;"."),s_dir!AS19/((1/1000)*(s_Irr!R19+s_Irr!BP19)),IF(AND(s_Irr!R19=".",s_Irr!AQ19&lt;&gt;".",s_Irr!BP19&lt;&gt;"."),s_dir!AS19/((1/1000)*(s_Irr!AQ19+s_Irr!BP19)),IF(AND(s_Irr!R19=".",s_Irr!AQ19=".",s_Irr!BP19&lt;&gt;"."),s_dir!AS19/((1/1000)*(s_Irr!BP19)),IF(AND(s_Irr!R19=".",s_Irr!AQ19&lt;&gt;".",s_Irr!BP19="."),s_dir!AS19/((1/1000)*(s_Irr!AQ19)),IF(AND(s_Irr!R19&lt;&gt;".",s_Irr!AQ19=".",s_Irr!BP19="."),s_dir!AS19/((1/1000)*(s_Irr!R19)),IF(AND(s_Irr!R19=".",s_Irr!AQ19=".",s_Irr!BP19="."),s_dir!AS19*1000)))))))),".")</f>
        <v>.</v>
      </c>
      <c r="BT19" s="70" t="str">
        <f>IFERROR(IF(AND(s_Irr!S19&lt;&gt;".",s_Irr!AR19&lt;&gt;".",s_Irr!BQ19&lt;&gt;"."),s_dir!AT19/((1/1000)*(s_Irr!S19+s_Irr!AR19+s_Irr!BQ19)),IF(AND(s_Irr!S19&lt;&gt;".",s_Irr!AR19&lt;&gt;".",s_Irr!BQ19="."),s_dir!AT19/((1/1000)*(s_Irr!S19+s_Irr!AR19)),IF(AND(s_Irr!S19&lt;&gt;".",s_Irr!AR19=".",s_Irr!BQ19&lt;&gt;"."),s_dir!AT19/((1/1000)*(s_Irr!S19+s_Irr!BQ19)),IF(AND(s_Irr!S19=".",s_Irr!AR19&lt;&gt;".",s_Irr!BQ19&lt;&gt;"."),s_dir!AT19/((1/1000)*(s_Irr!AR19+s_Irr!BQ19)),IF(AND(s_Irr!S19=".",s_Irr!AR19=".",s_Irr!BQ19&lt;&gt;"."),s_dir!AT19/((1/1000)*(s_Irr!BQ19)),IF(AND(s_Irr!S19=".",s_Irr!AR19&lt;&gt;".",s_Irr!BQ19="."),s_dir!AT19/((1/1000)*(s_Irr!AR19)),IF(AND(s_Irr!S19&lt;&gt;".",s_Irr!AR19=".",s_Irr!BQ19="."),s_dir!AT19/((1/1000)*(s_Irr!S19)),IF(AND(s_Irr!S19=".",s_Irr!AR19=".",s_Irr!BQ19="."),s_dir!AT19*1000)))))))),".")</f>
        <v>.</v>
      </c>
      <c r="BU19" s="70" t="str">
        <f>IFERROR(IF(AND(s_Irr!T19&lt;&gt;".",s_Irr!AS19&lt;&gt;".",s_Irr!BR19&lt;&gt;"."),s_dir!AU19/((1/1000)*(s_Irr!T19+s_Irr!AS19+s_Irr!BR19)),IF(AND(s_Irr!T19&lt;&gt;".",s_Irr!AS19&lt;&gt;".",s_Irr!BR19="."),s_dir!AU19/((1/1000)*(s_Irr!T19+s_Irr!AS19)),IF(AND(s_Irr!T19&lt;&gt;".",s_Irr!AS19=".",s_Irr!BR19&lt;&gt;"."),s_dir!AU19/((1/1000)*(s_Irr!T19+s_Irr!BR19)),IF(AND(s_Irr!T19=".",s_Irr!AS19&lt;&gt;".",s_Irr!BR19&lt;&gt;"."),s_dir!AU19/((1/1000)*(s_Irr!AS19+s_Irr!BR19)),IF(AND(s_Irr!T19=".",s_Irr!AS19=".",s_Irr!BR19&lt;&gt;"."),s_dir!AU19/((1/1000)*(s_Irr!BR19)),IF(AND(s_Irr!T19=".",s_Irr!AS19&lt;&gt;".",s_Irr!BR19="."),s_dir!AU19/((1/1000)*(s_Irr!AS19)),IF(AND(s_Irr!T19&lt;&gt;".",s_Irr!AS19=".",s_Irr!BR19="."),s_dir!AU19/((1/1000)*(s_Irr!T19)),IF(AND(s_Irr!T19=".",s_Irr!AS19=".",s_Irr!BR19="."),s_dir!AU19*1000)))))))),".")</f>
        <v>.</v>
      </c>
      <c r="BV19" s="70" t="str">
        <f>IFERROR(IF(AND(s_Irr!U19&lt;&gt;".",s_Irr!AT19&lt;&gt;".",s_Irr!BS19&lt;&gt;"."),s_dir!AV19/((1/1000)*(s_Irr!U19+s_Irr!AT19+s_Irr!BS19)),IF(AND(s_Irr!U19&lt;&gt;".",s_Irr!AT19&lt;&gt;".",s_Irr!BS19="."),s_dir!AV19/((1/1000)*(s_Irr!U19+s_Irr!AT19)),IF(AND(s_Irr!U19&lt;&gt;".",s_Irr!AT19=".",s_Irr!BS19&lt;&gt;"."),s_dir!AV19/((1/1000)*(s_Irr!U19+s_Irr!BS19)),IF(AND(s_Irr!U19=".",s_Irr!AT19&lt;&gt;".",s_Irr!BS19&lt;&gt;"."),s_dir!AV19/((1/1000)*(s_Irr!AT19+s_Irr!BS19)),IF(AND(s_Irr!U19=".",s_Irr!AT19=".",s_Irr!BS19&lt;&gt;"."),s_dir!AV19/((1/1000)*(s_Irr!BS19)),IF(AND(s_Irr!U19=".",s_Irr!AT19&lt;&gt;".",s_Irr!BS19="."),s_dir!AV19/((1/1000)*(s_Irr!AT19)),IF(AND(s_Irr!U19&lt;&gt;".",s_Irr!AT19=".",s_Irr!BS19="."),s_dir!AV19/((1/1000)*(s_Irr!U19)),IF(AND(s_Irr!U19=".",s_Irr!AT19=".",s_Irr!BS19="."),s_dir!AV19*1000)))))))),".")</f>
        <v>.</v>
      </c>
      <c r="BW19" s="70" t="str">
        <f>IFERROR(IF(AND(s_Irr!V19&lt;&gt;".",s_Irr!AU19&lt;&gt;".",s_Irr!BT19&lt;&gt;"."),s_dir!AW19/((1/1000)*(s_Irr!V19+s_Irr!AU19+s_Irr!BT19)),IF(AND(s_Irr!V19&lt;&gt;".",s_Irr!AU19&lt;&gt;".",s_Irr!BT19="."),s_dir!AW19/((1/1000)*(s_Irr!V19+s_Irr!AU19)),IF(AND(s_Irr!V19&lt;&gt;".",s_Irr!AU19=".",s_Irr!BT19&lt;&gt;"."),s_dir!AW19/((1/1000)*(s_Irr!V19+s_Irr!BT19)),IF(AND(s_Irr!V19=".",s_Irr!AU19&lt;&gt;".",s_Irr!BT19&lt;&gt;"."),s_dir!AW19/((1/1000)*(s_Irr!AU19+s_Irr!BT19)),IF(AND(s_Irr!V19=".",s_Irr!AU19=".",s_Irr!BT19&lt;&gt;"."),s_dir!AW19/((1/1000)*(s_Irr!BT19)),IF(AND(s_Irr!V19=".",s_Irr!AU19&lt;&gt;".",s_Irr!BT19="."),s_dir!AW19/((1/1000)*(s_Irr!AU19)),IF(AND(s_Irr!V19&lt;&gt;".",s_Irr!AU19=".",s_Irr!BT19="."),s_dir!AW19/((1/1000)*(s_Irr!V19)),IF(AND(s_Irr!V19=".",s_Irr!AU19=".",s_Irr!BT19="."),s_dir!AW19*1000)))))))),".")</f>
        <v>.</v>
      </c>
      <c r="BX19" s="70" t="str">
        <f>IFERROR(IF(AND(s_Irr!W19&lt;&gt;".",s_Irr!AV19&lt;&gt;".",s_Irr!BU19&lt;&gt;"."),s_dir!AX19/((1/1000)*(s_Irr!W19+s_Irr!AV19+s_Irr!BU19)),IF(AND(s_Irr!W19&lt;&gt;".",s_Irr!AV19&lt;&gt;".",s_Irr!BU19="."),s_dir!AX19/((1/1000)*(s_Irr!W19+s_Irr!AV19)),IF(AND(s_Irr!W19&lt;&gt;".",s_Irr!AV19=".",s_Irr!BU19&lt;&gt;"."),s_dir!AX19/((1/1000)*(s_Irr!W19+s_Irr!BU19)),IF(AND(s_Irr!W19=".",s_Irr!AV19&lt;&gt;".",s_Irr!BU19&lt;&gt;"."),s_dir!AX19/((1/1000)*(s_Irr!AV19+s_Irr!BU19)),IF(AND(s_Irr!W19=".",s_Irr!AV19=".",s_Irr!BU19&lt;&gt;"."),s_dir!AX19/((1/1000)*(s_Irr!BU19)),IF(AND(s_Irr!W19=".",s_Irr!AV19&lt;&gt;".",s_Irr!BU19="."),s_dir!AX19/((1/1000)*(s_Irr!AV19)),IF(AND(s_Irr!W19&lt;&gt;".",s_Irr!AV19=".",s_Irr!BU19="."),s_dir!AX19/((1/1000)*(s_Irr!W19)),IF(AND(s_Irr!W19=".",s_Irr!AV19=".",s_Irr!BU19="."),s_dir!AX19*1000)))))))),".")</f>
        <v>.</v>
      </c>
      <c r="BY19" s="70" t="str">
        <f>IFERROR(IF(AND(s_Irr!X19&lt;&gt;".",s_Irr!AW19&lt;&gt;".",s_Irr!BV19&lt;&gt;"."),s_dir!AY19/((1/1000)*(s_Irr!X19+s_Irr!AW19+s_Irr!BV19)),IF(AND(s_Irr!X19&lt;&gt;".",s_Irr!AW19&lt;&gt;".",s_Irr!BV19="."),s_dir!AY19/((1/1000)*(s_Irr!X19+s_Irr!AW19)),IF(AND(s_Irr!X19&lt;&gt;".",s_Irr!AW19=".",s_Irr!BV19&lt;&gt;"."),s_dir!AY19/((1/1000)*(s_Irr!X19+s_Irr!BV19)),IF(AND(s_Irr!X19=".",s_Irr!AW19&lt;&gt;".",s_Irr!BV19&lt;&gt;"."),s_dir!AY19/((1/1000)*(s_Irr!AW19+s_Irr!BV19)),IF(AND(s_Irr!X19=".",s_Irr!AW19=".",s_Irr!BV19&lt;&gt;"."),s_dir!AY19/((1/1000)*(s_Irr!BV19)),IF(AND(s_Irr!X19=".",s_Irr!AW19&lt;&gt;".",s_Irr!BV19="."),s_dir!AY19/((1/1000)*(s_Irr!AW19)),IF(AND(s_Irr!X19&lt;&gt;".",s_Irr!AW19=".",s_Irr!BV19="."),s_dir!AY19/((1/1000)*(s_Irr!X19)),IF(AND(s_Irr!X19=".",s_Irr!AW19=".",s_Irr!BV19="."),s_dir!AY19*1000)))))))),".")</f>
        <v>.</v>
      </c>
      <c r="BZ19" s="70" t="str">
        <f>IFERROR(IF(AND(s_Irr!Y19&lt;&gt;".",s_Irr!AX19&lt;&gt;".",s_Irr!BW19&lt;&gt;"."),s_dir!AZ19/((1/1000)*(s_Irr!Y19+s_Irr!AX19+s_Irr!BW19)),IF(AND(s_Irr!Y19&lt;&gt;".",s_Irr!AX19&lt;&gt;".",s_Irr!BW19="."),s_dir!AZ19/((1/1000)*(s_Irr!Y19+s_Irr!AX19)),IF(AND(s_Irr!Y19&lt;&gt;".",s_Irr!AX19=".",s_Irr!BW19&lt;&gt;"."),s_dir!AZ19/((1/1000)*(s_Irr!Y19+s_Irr!BW19)),IF(AND(s_Irr!Y19=".",s_Irr!AX19&lt;&gt;".",s_Irr!BW19&lt;&gt;"."),s_dir!AZ19/((1/1000)*(s_Irr!AX19+s_Irr!BW19)),IF(AND(s_Irr!Y19=".",s_Irr!AX19=".",s_Irr!BW19&lt;&gt;"."),s_dir!AZ19/((1/1000)*(s_Irr!BW19)),IF(AND(s_Irr!Y19=".",s_Irr!AX19&lt;&gt;".",s_Irr!BW19="."),s_dir!AZ19/((1/1000)*(s_Irr!AX19)),IF(AND(s_Irr!Y19&lt;&gt;".",s_Irr!AX19=".",s_Irr!BW19="."),s_dir!AZ19/((1/1000)*(s_Irr!Y19)),IF(AND(s_Irr!Y19=".",s_Irr!AX19=".",s_Irr!BW19="."),s_dir!AZ19*1000)))))))),".")</f>
        <v>.</v>
      </c>
      <c r="CA19" s="70" t="str">
        <f>IFERROR(IF(AND(s_Irr!Z19&lt;&gt;".",s_Irr!AY19&lt;&gt;".",s_Irr!BX19&lt;&gt;"."),s_dir!BA19/((1/1000)*(s_Irr!Z19+s_Irr!AY19+s_Irr!BX19)),IF(AND(s_Irr!Z19&lt;&gt;".",s_Irr!AY19&lt;&gt;".",s_Irr!BX19="."),s_dir!BA19/((1/1000)*(s_Irr!Z19+s_Irr!AY19)),IF(AND(s_Irr!Z19&lt;&gt;".",s_Irr!AY19=".",s_Irr!BX19&lt;&gt;"."),s_dir!BA19/((1/1000)*(s_Irr!Z19+s_Irr!BX19)),IF(AND(s_Irr!Z19=".",s_Irr!AY19&lt;&gt;".",s_Irr!BX19&lt;&gt;"."),s_dir!BA19/((1/1000)*(s_Irr!AY19+s_Irr!BX19)),IF(AND(s_Irr!Z19=".",s_Irr!AY19=".",s_Irr!BX19&lt;&gt;"."),s_dir!BA19/((1/1000)*(s_Irr!BX19)),IF(AND(s_Irr!Z19=".",s_Irr!AY19&lt;&gt;".",s_Irr!BX19="."),s_dir!BA19/((1/1000)*(s_Irr!AY19)),IF(AND(s_Irr!Z19&lt;&gt;".",s_Irr!AY19=".",s_Irr!BX19="."),s_dir!BA19/((1/1000)*(s_Irr!Z19)),IF(AND(s_Irr!Z19=".",s_Irr!AY19=".",s_Irr!BX19="."),s_dir!BA19*1000)))))))),".")</f>
        <v>.</v>
      </c>
      <c r="CB19" s="70" t="str">
        <f>IFERROR(IF(AND(s_Irr!AA19&lt;&gt;".",s_Irr!AZ19&lt;&gt;".",s_Irr!BY19&lt;&gt;"."),s_dir!BB19/((1/1000)*(s_Irr!AA19+s_Irr!AZ19+s_Irr!BY19)),IF(AND(s_Irr!AA19&lt;&gt;".",s_Irr!AZ19&lt;&gt;".",s_Irr!BY19="."),s_dir!BB19/((1/1000)*(s_Irr!AA19+s_Irr!AZ19)),IF(AND(s_Irr!AA19&lt;&gt;".",s_Irr!AZ19=".",s_Irr!BY19&lt;&gt;"."),s_dir!BB19/((1/1000)*(s_Irr!AA19+s_Irr!BY19)),IF(AND(s_Irr!AA19=".",s_Irr!AZ19&lt;&gt;".",s_Irr!BY19&lt;&gt;"."),s_dir!BB19/((1/1000)*(s_Irr!AZ19+s_Irr!BY19)),IF(AND(s_Irr!AA19=".",s_Irr!AZ19=".",s_Irr!BY19&lt;&gt;"."),s_dir!BB19/((1/1000)*(s_Irr!BY19)),IF(AND(s_Irr!AA19=".",s_Irr!AZ19&lt;&gt;".",s_Irr!BY19="."),s_dir!BB19/((1/1000)*(s_Irr!AZ19)),IF(AND(s_Irr!AA19&lt;&gt;".",s_Irr!AZ19=".",s_Irr!BY19="."),s_dir!BB19/((1/1000)*(s_Irr!AA19)),IF(AND(s_Irr!AA19=".",s_Irr!AZ19=".",s_Irr!BY19="."),s_dir!BB19*1000)))))))),".")</f>
        <v>.</v>
      </c>
      <c r="CC19" s="87">
        <f t="shared" si="2"/>
        <v>374.32491773106489</v>
      </c>
      <c r="CD19" s="87">
        <f>IFERROR(s_C*s_IFAP_far_adj*s_CF_apple*(1/1000)*(s_Irr!C19+s_Irr!AB19+s_Irr!BA19),".")</f>
        <v>88.757645154967165</v>
      </c>
      <c r="CE19" s="87">
        <f>IFERROR(s_C*s_IFAS_far_adj*s_CF_asparagus*(1/1000)*(s_Irr!D19+s_Irr!AC19+s_Irr!BB19),".")</f>
        <v>99.576899609843579</v>
      </c>
      <c r="CF19" s="87">
        <f>IFERROR(s_C*s_IFBT_far_adj*s_CF_beet*(1/1000)*(s_Irr!E19+s_Irr!AD19+s_Irr!BC19),".")</f>
        <v>97.172620842093266</v>
      </c>
      <c r="CG19" s="87">
        <f>IFERROR(s_C*s_IFBE_far_adj*s_CF_berries*(1/1000)*(s_Irr!F19+s_Irr!AE19+s_Irr!BD19),".")</f>
        <v>88.757645154967165</v>
      </c>
      <c r="CH19" s="87">
        <f>IFERROR(s_C*s_IFBR_far_adj*s_CF_broccoli*(1/1000)*(s_Irr!G19+s_Irr!AF19+s_Irr!BE19),".")</f>
        <v>88.757645154967165</v>
      </c>
      <c r="CI19" s="87">
        <f>IFERROR(s_C*s_IFCB_far_adj*s_CF_cabbage*(1/1000)*(s_Irr!H19+s_Irr!AG19+s_Irr!BF19),".")</f>
        <v>99.576899609843579</v>
      </c>
      <c r="CJ19" s="87">
        <f>IFERROR(s_C*s_IFCR_far_adj*s_CF_carrot*(1/1000)*(s_Irr!I19+s_Irr!AH19+s_Irr!BG19),".")</f>
        <v>97.172620842093266</v>
      </c>
      <c r="CK19" s="87">
        <f>IFERROR(s_C*s_IFCI_far_adj*s_CF_citrus*(1/1000)*(s_Irr!J19+s_Irr!AI19+s_Irr!BH19),".")</f>
        <v>88.757645154967165</v>
      </c>
      <c r="CL19" s="87">
        <f>IFERROR(s_C*s_IFCO_far_adj*s_CF_corn*(1/1000)*(s_Irr!K19+s_Irr!AJ19+s_Irr!BI19),".")</f>
        <v>88.817752124160918</v>
      </c>
      <c r="CM19" s="87">
        <f>IFERROR(s_C*s_IFCU_far_adj*s_CF_cucumber*(1/1000)*(s_Irr!L19+s_Irr!AK19+s_Irr!BJ19),".")</f>
        <v>88.757645154967165</v>
      </c>
      <c r="CN19" s="87">
        <f>IFERROR(s_C*s_IFLE_far_adj*s_CF_lettuce*(1/1000)*(s_Irr!M19+s_Irr!AL19+s_Irr!BK19),".")</f>
        <v>99.576899609843579</v>
      </c>
      <c r="CO19" s="87">
        <f>IFERROR(s_C*s_IFLI_far_adj*s_CF_lima_bean*(1/1000)*(s_Irr!N19+s_Irr!AM19+s_Irr!BL19),".")</f>
        <v>88.862832351056241</v>
      </c>
      <c r="CP19" s="87">
        <f>IFERROR(s_C*s_IFOK_far_adj*s_CF_okra*(1/1000)*(s_Irr!O19+s_Irr!AN19+s_Irr!BM19),".")</f>
        <v>88.757645154967165</v>
      </c>
      <c r="CQ19" s="87">
        <f>IFERROR(s_C*s_IFON_far_adj*s_CF_onion*(1/1000)*(s_Irr!P19+s_Irr!AO19+s_Irr!BN19),".")</f>
        <v>97.172620842093266</v>
      </c>
      <c r="CR19" s="87">
        <f>IFERROR(s_C*s_IFPC_far_adj*s_CF_peach*(1/1000)*(s_Irr!Q19+s_Irr!AP19+s_Irr!BO19),".")</f>
        <v>88.757645154967165</v>
      </c>
      <c r="CS19" s="87">
        <f>IFERROR(s_C*s_IFPR_far_adj*s_CF_pear*(1/1000)*(s_Irr!R19+s_Irr!AQ19+s_Irr!BP19),".")</f>
        <v>88.757645154967165</v>
      </c>
      <c r="CT19" s="87">
        <f>IFERROR(s_C*s_IFPE_far_adj*s_CF_peas*(1/1000)*(s_Irr!S19+s_Irr!AR19+s_Irr!BQ19),".")</f>
        <v>88.862832351056241</v>
      </c>
      <c r="CU19" s="87">
        <f>IFERROR(s_C*s_IFPP_far_adj*s_CF_peppers*(1/1000)*(s_Irr!T19+s_Irr!AS19+s_Irr!BR19),".")</f>
        <v>88.757645154967165</v>
      </c>
      <c r="CV19" s="87">
        <f>IFERROR(s_C*s_IFPT_far_adj*s_CF_potato*(1/1000)*(s_Irr!U19+s_Irr!AT19+s_Irr!BS19),".")</f>
        <v>92.514330729577026</v>
      </c>
      <c r="CW19" s="87">
        <f>IFERROR(s_C*s_IFPU_far_adj*s_CF_pumpkin*(1/1000)*(s_Irr!V19+s_Irr!AU19+s_Irr!BT19),".")</f>
        <v>88.757645154967165</v>
      </c>
      <c r="CX19" s="87">
        <f>IFERROR(s_C*s_IFSN_far_adj*s_CF_snap_bean*(1/1000)*(s_Irr!W19+s_Irr!AV19+s_Irr!BU19),".")</f>
        <v>88.862832351056241</v>
      </c>
      <c r="CY19" s="87">
        <f>IFERROR(s_C*s_IFST_far_adj*s_CF_strawberry*(1/1000)*(s_Irr!X19+s_Irr!AW19+s_Irr!BV19),".")</f>
        <v>88.757645154967165</v>
      </c>
      <c r="CZ19" s="87">
        <f>IFERROR(s_C*s_IFTO_far_adj*s_CF_tomato*(1/1000)*(s_Irr!Y19+s_Irr!AX19+s_Irr!BW19),".")</f>
        <v>88.757645154967165</v>
      </c>
      <c r="DA19" s="87">
        <f>IFERROR(s_C*s_IFRI_far_adj*s_CF_rice*(1/1000)*(s_Irr!Z19+s_Irr!AY19+s_Irr!BX19),".")</f>
        <v>107.99187529696968</v>
      </c>
      <c r="DB19" s="87">
        <f>IFERROR(s_C*s_IFCG_far_adj*s_CF_cereal*(1/1000)*(s_Irr!AA19+s_Irr!AZ19+s_Irr!BY19),".")</f>
        <v>88.817752124160918</v>
      </c>
    </row>
    <row r="20" spans="1:106" ht="15" customHeight="1" x14ac:dyDescent="0.25">
      <c r="A20" s="86" t="s">
        <v>18</v>
      </c>
      <c r="B20" s="84" t="s">
        <v>1057</v>
      </c>
      <c r="C20" s="15" t="str">
        <f t="shared" si="3"/>
        <v>.</v>
      </c>
      <c r="D20" s="70" t="str">
        <f>IFERROR(IF(AND(s_Irr!C20&lt;&gt;".",s_Irr!AB20&lt;&gt;".",s_Irr!BA20&lt;&gt;"."),s_dir!D20/((1/1000)*(s_Irr!C20+s_Irr!AB20+s_Irr!BA20)),IF(AND(s_Irr!C20&lt;&gt;".",s_Irr!AB20&lt;&gt;".",s_Irr!BA20="."),s_dir!D20/((1/1000)*(s_Irr!C20+s_Irr!AB20)),IF(AND(s_Irr!C20&lt;&gt;".",s_Irr!AB20=".",s_Irr!BA20&lt;&gt;"."),s_dir!D20/((1/1000)*(s_Irr!C20+s_Irr!BA20)),IF(AND(s_Irr!C20=".",s_Irr!AB20&lt;&gt;".",s_Irr!BA20&lt;&gt;"."),s_dir!D20/((1/1000)*(s_Irr!AB20+s_Irr!BA20)),IF(AND(s_Irr!C20=".",s_Irr!AB20=".",s_Irr!BA20&lt;&gt;"."),s_dir!D20/((1/1000)*(s_Irr!BA20)),IF(AND(s_Irr!C20=".",s_Irr!AB20&lt;&gt;".",s_Irr!BA20="."),s_dir!D20/((1/1000)*(s_Irr!AB20)),IF(AND(s_Irr!C20&lt;&gt;".",s_Irr!AB20=".",s_Irr!BA20="."),s_dir!D20/((1/1000)*(s_Irr!C20)),IF(AND(s_Irr!C20=".",s_Irr!AB20=".",s_Irr!BA20="."),s_dir!D20*1000)))))))),".")</f>
        <v>.</v>
      </c>
      <c r="E20" s="70" t="str">
        <f>IFERROR(IF(AND(s_Irr!D20&lt;&gt;".",s_Irr!AC20&lt;&gt;".",s_Irr!BB20&lt;&gt;"."),s_dir!E20/((1/1000)*(s_Irr!D20+s_Irr!AC20+s_Irr!BB20)),IF(AND(s_Irr!D20&lt;&gt;".",s_Irr!AC20&lt;&gt;".",s_Irr!BB20="."),s_dir!E20/((1/1000)*(s_Irr!D20+s_Irr!AC20)),IF(AND(s_Irr!D20&lt;&gt;".",s_Irr!AC20=".",s_Irr!BB20&lt;&gt;"."),s_dir!E20/((1/1000)*(s_Irr!D20+s_Irr!BB20)),IF(AND(s_Irr!D20=".",s_Irr!AC20&lt;&gt;".",s_Irr!BB20&lt;&gt;"."),s_dir!E20/((1/1000)*(s_Irr!AC20+s_Irr!BB20)),IF(AND(s_Irr!D20=".",s_Irr!AC20=".",s_Irr!BB20&lt;&gt;"."),s_dir!E20/((1/1000)*(s_Irr!BB20)),IF(AND(s_Irr!D20=".",s_Irr!AC20&lt;&gt;".",s_Irr!BB20="."),s_dir!E20/((1/1000)*(s_Irr!AC20)),IF(AND(s_Irr!D20&lt;&gt;".",s_Irr!AC20=".",s_Irr!BB20="."),s_dir!E20/((1/1000)*(s_Irr!D20)),IF(AND(s_Irr!D20=".",s_Irr!AC20=".",s_Irr!BB20="."),s_dir!E20*1000)))))))),".")</f>
        <v>.</v>
      </c>
      <c r="F20" s="70" t="str">
        <f>IFERROR(IF(AND(s_Irr!E20&lt;&gt;".",s_Irr!AD20&lt;&gt;".",s_Irr!BC20&lt;&gt;"."),s_dir!F20/((1/1000)*(s_Irr!E20+s_Irr!AD20+s_Irr!BC20)),IF(AND(s_Irr!E20&lt;&gt;".",s_Irr!AD20&lt;&gt;".",s_Irr!BC20="."),s_dir!F20/((1/1000)*(s_Irr!E20+s_Irr!AD20)),IF(AND(s_Irr!E20&lt;&gt;".",s_Irr!AD20=".",s_Irr!BC20&lt;&gt;"."),s_dir!F20/((1/1000)*(s_Irr!E20+s_Irr!BC20)),IF(AND(s_Irr!E20=".",s_Irr!AD20&lt;&gt;".",s_Irr!BC20&lt;&gt;"."),s_dir!F20/((1/1000)*(s_Irr!AD20+s_Irr!BC20)),IF(AND(s_Irr!E20=".",s_Irr!AD20=".",s_Irr!BC20&lt;&gt;"."),s_dir!F20/((1/1000)*(s_Irr!BC20)),IF(AND(s_Irr!E20=".",s_Irr!AD20&lt;&gt;".",s_Irr!BC20="."),s_dir!F20/((1/1000)*(s_Irr!AD20)),IF(AND(s_Irr!E20&lt;&gt;".",s_Irr!AD20=".",s_Irr!BC20="."),s_dir!F20/((1/1000)*(s_Irr!E20)),IF(AND(s_Irr!E20=".",s_Irr!AD20=".",s_Irr!BC20="."),s_dir!F20*1000)))))))),".")</f>
        <v>.</v>
      </c>
      <c r="G20" s="70" t="str">
        <f>IFERROR(IF(AND(s_Irr!F20&lt;&gt;".",s_Irr!AE20&lt;&gt;".",s_Irr!BD20&lt;&gt;"."),s_dir!G20/((1/1000)*(s_Irr!F20+s_Irr!AE20+s_Irr!BD20)),IF(AND(s_Irr!F20&lt;&gt;".",s_Irr!AE20&lt;&gt;".",s_Irr!BD20="."),s_dir!G20/((1/1000)*(s_Irr!F20+s_Irr!AE20)),IF(AND(s_Irr!F20&lt;&gt;".",s_Irr!AE20=".",s_Irr!BD20&lt;&gt;"."),s_dir!G20/((1/1000)*(s_Irr!F20+s_Irr!BD20)),IF(AND(s_Irr!F20=".",s_Irr!AE20&lt;&gt;".",s_Irr!BD20&lt;&gt;"."),s_dir!G20/((1/1000)*(s_Irr!AE20+s_Irr!BD20)),IF(AND(s_Irr!F20=".",s_Irr!AE20=".",s_Irr!BD20&lt;&gt;"."),s_dir!G20/((1/1000)*(s_Irr!BD20)),IF(AND(s_Irr!F20=".",s_Irr!AE20&lt;&gt;".",s_Irr!BD20="."),s_dir!G20/((1/1000)*(s_Irr!AE20)),IF(AND(s_Irr!F20&lt;&gt;".",s_Irr!AE20=".",s_Irr!BD20="."),s_dir!G20/((1/1000)*(s_Irr!F20)),IF(AND(s_Irr!F20=".",s_Irr!AE20=".",s_Irr!BD20="."),s_dir!G20*1000)))))))),".")</f>
        <v>.</v>
      </c>
      <c r="H20" s="70" t="str">
        <f>IFERROR(IF(AND(s_Irr!G20&lt;&gt;".",s_Irr!AF20&lt;&gt;".",s_Irr!BE20&lt;&gt;"."),s_dir!H20/((1/1000)*(s_Irr!G20+s_Irr!AF20+s_Irr!BE20)),IF(AND(s_Irr!G20&lt;&gt;".",s_Irr!AF20&lt;&gt;".",s_Irr!BE20="."),s_dir!H20/((1/1000)*(s_Irr!G20+s_Irr!AF20)),IF(AND(s_Irr!G20&lt;&gt;".",s_Irr!AF20=".",s_Irr!BE20&lt;&gt;"."),s_dir!H20/((1/1000)*(s_Irr!G20+s_Irr!BE20)),IF(AND(s_Irr!G20=".",s_Irr!AF20&lt;&gt;".",s_Irr!BE20&lt;&gt;"."),s_dir!H20/((1/1000)*(s_Irr!AF20+s_Irr!BE20)),IF(AND(s_Irr!G20=".",s_Irr!AF20=".",s_Irr!BE20&lt;&gt;"."),s_dir!H20/((1/1000)*(s_Irr!BE20)),IF(AND(s_Irr!G20=".",s_Irr!AF20&lt;&gt;".",s_Irr!BE20="."),s_dir!H20/((1/1000)*(s_Irr!AF20)),IF(AND(s_Irr!G20&lt;&gt;".",s_Irr!AF20=".",s_Irr!BE20="."),s_dir!H20/((1/1000)*(s_Irr!G20)),IF(AND(s_Irr!G20=".",s_Irr!AF20=".",s_Irr!BE20="."),s_dir!H20*1000)))))))),".")</f>
        <v>.</v>
      </c>
      <c r="I20" s="70" t="str">
        <f>IFERROR(IF(AND(s_Irr!H20&lt;&gt;".",s_Irr!AG20&lt;&gt;".",s_Irr!BF20&lt;&gt;"."),s_dir!I20/((1/1000)*(s_Irr!H20+s_Irr!AG20+s_Irr!BF20)),IF(AND(s_Irr!H20&lt;&gt;".",s_Irr!AG20&lt;&gt;".",s_Irr!BF20="."),s_dir!I20/((1/1000)*(s_Irr!H20+s_Irr!AG20)),IF(AND(s_Irr!H20&lt;&gt;".",s_Irr!AG20=".",s_Irr!BF20&lt;&gt;"."),s_dir!I20/((1/1000)*(s_Irr!H20+s_Irr!BF20)),IF(AND(s_Irr!H20=".",s_Irr!AG20&lt;&gt;".",s_Irr!BF20&lt;&gt;"."),s_dir!I20/((1/1000)*(s_Irr!AG20+s_Irr!BF20)),IF(AND(s_Irr!H20=".",s_Irr!AG20=".",s_Irr!BF20&lt;&gt;"."),s_dir!I20/((1/1000)*(s_Irr!BF20)),IF(AND(s_Irr!H20=".",s_Irr!AG20&lt;&gt;".",s_Irr!BF20="."),s_dir!I20/((1/1000)*(s_Irr!AG20)),IF(AND(s_Irr!H20&lt;&gt;".",s_Irr!AG20=".",s_Irr!BF20="."),s_dir!I20/((1/1000)*(s_Irr!H20)),IF(AND(s_Irr!H20=".",s_Irr!AG20=".",s_Irr!BF20="."),s_dir!I20*1000)))))))),".")</f>
        <v>.</v>
      </c>
      <c r="J20" s="70" t="str">
        <f>IFERROR(IF(AND(s_Irr!I20&lt;&gt;".",s_Irr!AH20&lt;&gt;".",s_Irr!BG20&lt;&gt;"."),s_dir!J20/((1/1000)*(s_Irr!I20+s_Irr!AH20+s_Irr!BG20)),IF(AND(s_Irr!I20&lt;&gt;".",s_Irr!AH20&lt;&gt;".",s_Irr!BG20="."),s_dir!J20/((1/1000)*(s_Irr!I20+s_Irr!AH20)),IF(AND(s_Irr!I20&lt;&gt;".",s_Irr!AH20=".",s_Irr!BG20&lt;&gt;"."),s_dir!J20/((1/1000)*(s_Irr!I20+s_Irr!BG20)),IF(AND(s_Irr!I20=".",s_Irr!AH20&lt;&gt;".",s_Irr!BG20&lt;&gt;"."),s_dir!J20/((1/1000)*(s_Irr!AH20+s_Irr!BG20)),IF(AND(s_Irr!I20=".",s_Irr!AH20=".",s_Irr!BG20&lt;&gt;"."),s_dir!J20/((1/1000)*(s_Irr!BG20)),IF(AND(s_Irr!I20=".",s_Irr!AH20&lt;&gt;".",s_Irr!BG20="."),s_dir!J20/((1/1000)*(s_Irr!AH20)),IF(AND(s_Irr!I20&lt;&gt;".",s_Irr!AH20=".",s_Irr!BG20="."),s_dir!J20/((1/1000)*(s_Irr!I20)),IF(AND(s_Irr!I20=".",s_Irr!AH20=".",s_Irr!BG20="."),s_dir!J20*1000)))))))),".")</f>
        <v>.</v>
      </c>
      <c r="K20" s="70" t="str">
        <f>IFERROR(IF(AND(s_Irr!J20&lt;&gt;".",s_Irr!AI20&lt;&gt;".",s_Irr!BH20&lt;&gt;"."),s_dir!K20/((1/1000)*(s_Irr!J20+s_Irr!AI20+s_Irr!BH20)),IF(AND(s_Irr!J20&lt;&gt;".",s_Irr!AI20&lt;&gt;".",s_Irr!BH20="."),s_dir!K20/((1/1000)*(s_Irr!J20+s_Irr!AI20)),IF(AND(s_Irr!J20&lt;&gt;".",s_Irr!AI20=".",s_Irr!BH20&lt;&gt;"."),s_dir!K20/((1/1000)*(s_Irr!J20+s_Irr!BH20)),IF(AND(s_Irr!J20=".",s_Irr!AI20&lt;&gt;".",s_Irr!BH20&lt;&gt;"."),s_dir!K20/((1/1000)*(s_Irr!AI20+s_Irr!BH20)),IF(AND(s_Irr!J20=".",s_Irr!AI20=".",s_Irr!BH20&lt;&gt;"."),s_dir!K20/((1/1000)*(s_Irr!BH20)),IF(AND(s_Irr!J20=".",s_Irr!AI20&lt;&gt;".",s_Irr!BH20="."),s_dir!K20/((1/1000)*(s_Irr!AI20)),IF(AND(s_Irr!J20&lt;&gt;".",s_Irr!AI20=".",s_Irr!BH20="."),s_dir!K20/((1/1000)*(s_Irr!J20)),IF(AND(s_Irr!J20=".",s_Irr!AI20=".",s_Irr!BH20="."),s_dir!K20*1000)))))))),".")</f>
        <v>.</v>
      </c>
      <c r="L20" s="70" t="str">
        <f>IFERROR(IF(AND(s_Irr!K20&lt;&gt;".",s_Irr!AJ20&lt;&gt;".",s_Irr!BI20&lt;&gt;"."),s_dir!L20/((1/1000)*(s_Irr!K20+s_Irr!AJ20+s_Irr!BI20)),IF(AND(s_Irr!K20&lt;&gt;".",s_Irr!AJ20&lt;&gt;".",s_Irr!BI20="."),s_dir!L20/((1/1000)*(s_Irr!K20+s_Irr!AJ20)),IF(AND(s_Irr!K20&lt;&gt;".",s_Irr!AJ20=".",s_Irr!BI20&lt;&gt;"."),s_dir!L20/((1/1000)*(s_Irr!K20+s_Irr!BI20)),IF(AND(s_Irr!K20=".",s_Irr!AJ20&lt;&gt;".",s_Irr!BI20&lt;&gt;"."),s_dir!L20/((1/1000)*(s_Irr!AJ20+s_Irr!BI20)),IF(AND(s_Irr!K20=".",s_Irr!AJ20=".",s_Irr!BI20&lt;&gt;"."),s_dir!L20/((1/1000)*(s_Irr!BI20)),IF(AND(s_Irr!K20=".",s_Irr!AJ20&lt;&gt;".",s_Irr!BI20="."),s_dir!L20/((1/1000)*(s_Irr!AJ20)),IF(AND(s_Irr!K20&lt;&gt;".",s_Irr!AJ20=".",s_Irr!BI20="."),s_dir!L20/((1/1000)*(s_Irr!K20)),IF(AND(s_Irr!K20=".",s_Irr!AJ20=".",s_Irr!BI20="."),s_dir!L20*1000)))))))),".")</f>
        <v>.</v>
      </c>
      <c r="M20" s="70" t="str">
        <f>IFERROR(IF(AND(s_Irr!L20&lt;&gt;".",s_Irr!AK20&lt;&gt;".",s_Irr!BJ20&lt;&gt;"."),s_dir!M20/((1/1000)*(s_Irr!L20+s_Irr!AK20+s_Irr!BJ20)),IF(AND(s_Irr!L20&lt;&gt;".",s_Irr!AK20&lt;&gt;".",s_Irr!BJ20="."),s_dir!M20/((1/1000)*(s_Irr!L20+s_Irr!AK20)),IF(AND(s_Irr!L20&lt;&gt;".",s_Irr!AK20=".",s_Irr!BJ20&lt;&gt;"."),s_dir!M20/((1/1000)*(s_Irr!L20+s_Irr!BJ20)),IF(AND(s_Irr!L20=".",s_Irr!AK20&lt;&gt;".",s_Irr!BJ20&lt;&gt;"."),s_dir!M20/((1/1000)*(s_Irr!AK20+s_Irr!BJ20)),IF(AND(s_Irr!L20=".",s_Irr!AK20=".",s_Irr!BJ20&lt;&gt;"."),s_dir!M20/((1/1000)*(s_Irr!BJ20)),IF(AND(s_Irr!L20=".",s_Irr!AK20&lt;&gt;".",s_Irr!BJ20="."),s_dir!M20/((1/1000)*(s_Irr!AK20)),IF(AND(s_Irr!L20&lt;&gt;".",s_Irr!AK20=".",s_Irr!BJ20="."),s_dir!M20/((1/1000)*(s_Irr!L20)),IF(AND(s_Irr!L20=".",s_Irr!AK20=".",s_Irr!BJ20="."),s_dir!M20*1000)))))))),".")</f>
        <v>.</v>
      </c>
      <c r="N20" s="70" t="str">
        <f>IFERROR(IF(AND(s_Irr!M20&lt;&gt;".",s_Irr!AL20&lt;&gt;".",s_Irr!BK20&lt;&gt;"."),s_dir!N20/((1/1000)*(s_Irr!M20+s_Irr!AL20+s_Irr!BK20)),IF(AND(s_Irr!M20&lt;&gt;".",s_Irr!AL20&lt;&gt;".",s_Irr!BK20="."),s_dir!N20/((1/1000)*(s_Irr!M20+s_Irr!AL20)),IF(AND(s_Irr!M20&lt;&gt;".",s_Irr!AL20=".",s_Irr!BK20&lt;&gt;"."),s_dir!N20/((1/1000)*(s_Irr!M20+s_Irr!BK20)),IF(AND(s_Irr!M20=".",s_Irr!AL20&lt;&gt;".",s_Irr!BK20&lt;&gt;"."),s_dir!N20/((1/1000)*(s_Irr!AL20+s_Irr!BK20)),IF(AND(s_Irr!M20=".",s_Irr!AL20=".",s_Irr!BK20&lt;&gt;"."),s_dir!N20/((1/1000)*(s_Irr!BK20)),IF(AND(s_Irr!M20=".",s_Irr!AL20&lt;&gt;".",s_Irr!BK20="."),s_dir!N20/((1/1000)*(s_Irr!AL20)),IF(AND(s_Irr!M20&lt;&gt;".",s_Irr!AL20=".",s_Irr!BK20="."),s_dir!N20/((1/1000)*(s_Irr!M20)),IF(AND(s_Irr!M20=".",s_Irr!AL20=".",s_Irr!BK20="."),s_dir!N20*1000)))))))),".")</f>
        <v>.</v>
      </c>
      <c r="O20" s="70" t="str">
        <f>IFERROR(IF(AND(s_Irr!N20&lt;&gt;".",s_Irr!AM20&lt;&gt;".",s_Irr!BL20&lt;&gt;"."),s_dir!O20/((1/1000)*(s_Irr!N20+s_Irr!AM20+s_Irr!BL20)),IF(AND(s_Irr!N20&lt;&gt;".",s_Irr!AM20&lt;&gt;".",s_Irr!BL20="."),s_dir!O20/((1/1000)*(s_Irr!N20+s_Irr!AM20)),IF(AND(s_Irr!N20&lt;&gt;".",s_Irr!AM20=".",s_Irr!BL20&lt;&gt;"."),s_dir!O20/((1/1000)*(s_Irr!N20+s_Irr!BL20)),IF(AND(s_Irr!N20=".",s_Irr!AM20&lt;&gt;".",s_Irr!BL20&lt;&gt;"."),s_dir!O20/((1/1000)*(s_Irr!AM20+s_Irr!BL20)),IF(AND(s_Irr!N20=".",s_Irr!AM20=".",s_Irr!BL20&lt;&gt;"."),s_dir!O20/((1/1000)*(s_Irr!BL20)),IF(AND(s_Irr!N20=".",s_Irr!AM20&lt;&gt;".",s_Irr!BL20="."),s_dir!O20/((1/1000)*(s_Irr!AM20)),IF(AND(s_Irr!N20&lt;&gt;".",s_Irr!AM20=".",s_Irr!BL20="."),s_dir!O20/((1/1000)*(s_Irr!N20)),IF(AND(s_Irr!N20=".",s_Irr!AM20=".",s_Irr!BL20="."),s_dir!O20*1000)))))))),".")</f>
        <v>.</v>
      </c>
      <c r="P20" s="70" t="str">
        <f>IFERROR(IF(AND(s_Irr!O20&lt;&gt;".",s_Irr!AN20&lt;&gt;".",s_Irr!BM20&lt;&gt;"."),s_dir!P20/((1/1000)*(s_Irr!O20+s_Irr!AN20+s_Irr!BM20)),IF(AND(s_Irr!O20&lt;&gt;".",s_Irr!AN20&lt;&gt;".",s_Irr!BM20="."),s_dir!P20/((1/1000)*(s_Irr!O20+s_Irr!AN20)),IF(AND(s_Irr!O20&lt;&gt;".",s_Irr!AN20=".",s_Irr!BM20&lt;&gt;"."),s_dir!P20/((1/1000)*(s_Irr!O20+s_Irr!BM20)),IF(AND(s_Irr!O20=".",s_Irr!AN20&lt;&gt;".",s_Irr!BM20&lt;&gt;"."),s_dir!P20/((1/1000)*(s_Irr!AN20+s_Irr!BM20)),IF(AND(s_Irr!O20=".",s_Irr!AN20=".",s_Irr!BM20&lt;&gt;"."),s_dir!P20/((1/1000)*(s_Irr!BM20)),IF(AND(s_Irr!O20=".",s_Irr!AN20&lt;&gt;".",s_Irr!BM20="."),s_dir!P20/((1/1000)*(s_Irr!AN20)),IF(AND(s_Irr!O20&lt;&gt;".",s_Irr!AN20=".",s_Irr!BM20="."),s_dir!P20/((1/1000)*(s_Irr!O20)),IF(AND(s_Irr!O20=".",s_Irr!AN20=".",s_Irr!BM20="."),s_dir!P20*1000)))))))),".")</f>
        <v>.</v>
      </c>
      <c r="Q20" s="70" t="str">
        <f>IFERROR(IF(AND(s_Irr!P20&lt;&gt;".",s_Irr!AO20&lt;&gt;".",s_Irr!BN20&lt;&gt;"."),s_dir!Q20/((1/1000)*(s_Irr!P20+s_Irr!AO20+s_Irr!BN20)),IF(AND(s_Irr!P20&lt;&gt;".",s_Irr!AO20&lt;&gt;".",s_Irr!BN20="."),s_dir!Q20/((1/1000)*(s_Irr!P20+s_Irr!AO20)),IF(AND(s_Irr!P20&lt;&gt;".",s_Irr!AO20=".",s_Irr!BN20&lt;&gt;"."),s_dir!Q20/((1/1000)*(s_Irr!P20+s_Irr!BN20)),IF(AND(s_Irr!P20=".",s_Irr!AO20&lt;&gt;".",s_Irr!BN20&lt;&gt;"."),s_dir!Q20/((1/1000)*(s_Irr!AO20+s_Irr!BN20)),IF(AND(s_Irr!P20=".",s_Irr!AO20=".",s_Irr!BN20&lt;&gt;"."),s_dir!Q20/((1/1000)*(s_Irr!BN20)),IF(AND(s_Irr!P20=".",s_Irr!AO20&lt;&gt;".",s_Irr!BN20="."),s_dir!Q20/((1/1000)*(s_Irr!AO20)),IF(AND(s_Irr!P20&lt;&gt;".",s_Irr!AO20=".",s_Irr!BN20="."),s_dir!Q20/((1/1000)*(s_Irr!P20)),IF(AND(s_Irr!P20=".",s_Irr!AO20=".",s_Irr!BN20="."),s_dir!Q20*1000)))))))),".")</f>
        <v>.</v>
      </c>
      <c r="R20" s="70" t="str">
        <f>IFERROR(IF(AND(s_Irr!Q20&lt;&gt;".",s_Irr!AP20&lt;&gt;".",s_Irr!BO20&lt;&gt;"."),s_dir!R20/((1/1000)*(s_Irr!Q20+s_Irr!AP20+s_Irr!BO20)),IF(AND(s_Irr!Q20&lt;&gt;".",s_Irr!AP20&lt;&gt;".",s_Irr!BO20="."),s_dir!R20/((1/1000)*(s_Irr!Q20+s_Irr!AP20)),IF(AND(s_Irr!Q20&lt;&gt;".",s_Irr!AP20=".",s_Irr!BO20&lt;&gt;"."),s_dir!R20/((1/1000)*(s_Irr!Q20+s_Irr!BO20)),IF(AND(s_Irr!Q20=".",s_Irr!AP20&lt;&gt;".",s_Irr!BO20&lt;&gt;"."),s_dir!R20/((1/1000)*(s_Irr!AP20+s_Irr!BO20)),IF(AND(s_Irr!Q20=".",s_Irr!AP20=".",s_Irr!BO20&lt;&gt;"."),s_dir!R20/((1/1000)*(s_Irr!BO20)),IF(AND(s_Irr!Q20=".",s_Irr!AP20&lt;&gt;".",s_Irr!BO20="."),s_dir!R20/((1/1000)*(s_Irr!AP20)),IF(AND(s_Irr!Q20&lt;&gt;".",s_Irr!AP20=".",s_Irr!BO20="."),s_dir!R20/((1/1000)*(s_Irr!Q20)),IF(AND(s_Irr!Q20=".",s_Irr!AP20=".",s_Irr!BO20="."),s_dir!R20*1000)))))))),".")</f>
        <v>.</v>
      </c>
      <c r="S20" s="70" t="str">
        <f>IFERROR(IF(AND(s_Irr!R20&lt;&gt;".",s_Irr!AQ20&lt;&gt;".",s_Irr!BP20&lt;&gt;"."),s_dir!S20/((1/1000)*(s_Irr!R20+s_Irr!AQ20+s_Irr!BP20)),IF(AND(s_Irr!R20&lt;&gt;".",s_Irr!AQ20&lt;&gt;".",s_Irr!BP20="."),s_dir!S20/((1/1000)*(s_Irr!R20+s_Irr!AQ20)),IF(AND(s_Irr!R20&lt;&gt;".",s_Irr!AQ20=".",s_Irr!BP20&lt;&gt;"."),s_dir!S20/((1/1000)*(s_Irr!R20+s_Irr!BP20)),IF(AND(s_Irr!R20=".",s_Irr!AQ20&lt;&gt;".",s_Irr!BP20&lt;&gt;"."),s_dir!S20/((1/1000)*(s_Irr!AQ20+s_Irr!BP20)),IF(AND(s_Irr!R20=".",s_Irr!AQ20=".",s_Irr!BP20&lt;&gt;"."),s_dir!S20/((1/1000)*(s_Irr!BP20)),IF(AND(s_Irr!R20=".",s_Irr!AQ20&lt;&gt;".",s_Irr!BP20="."),s_dir!S20/((1/1000)*(s_Irr!AQ20)),IF(AND(s_Irr!R20&lt;&gt;".",s_Irr!AQ20=".",s_Irr!BP20="."),s_dir!S20/((1/1000)*(s_Irr!R20)),IF(AND(s_Irr!R20=".",s_Irr!AQ20=".",s_Irr!BP20="."),s_dir!S20*1000)))))))),".")</f>
        <v>.</v>
      </c>
      <c r="T20" s="70" t="str">
        <f>IFERROR(IF(AND(s_Irr!S20&lt;&gt;".",s_Irr!AR20&lt;&gt;".",s_Irr!BQ20&lt;&gt;"."),s_dir!T20/((1/1000)*(s_Irr!S20+s_Irr!AR20+s_Irr!BQ20)),IF(AND(s_Irr!S20&lt;&gt;".",s_Irr!AR20&lt;&gt;".",s_Irr!BQ20="."),s_dir!T20/((1/1000)*(s_Irr!S20+s_Irr!AR20)),IF(AND(s_Irr!S20&lt;&gt;".",s_Irr!AR20=".",s_Irr!BQ20&lt;&gt;"."),s_dir!T20/((1/1000)*(s_Irr!S20+s_Irr!BQ20)),IF(AND(s_Irr!S20=".",s_Irr!AR20&lt;&gt;".",s_Irr!BQ20&lt;&gt;"."),s_dir!T20/((1/1000)*(s_Irr!AR20+s_Irr!BQ20)),IF(AND(s_Irr!S20=".",s_Irr!AR20=".",s_Irr!BQ20&lt;&gt;"."),s_dir!T20/((1/1000)*(s_Irr!BQ20)),IF(AND(s_Irr!S20=".",s_Irr!AR20&lt;&gt;".",s_Irr!BQ20="."),s_dir!T20/((1/1000)*(s_Irr!AR20)),IF(AND(s_Irr!S20&lt;&gt;".",s_Irr!AR20=".",s_Irr!BQ20="."),s_dir!T20/((1/1000)*(s_Irr!S20)),IF(AND(s_Irr!S20=".",s_Irr!AR20=".",s_Irr!BQ20="."),s_dir!T20*1000)))))))),".")</f>
        <v>.</v>
      </c>
      <c r="U20" s="70" t="str">
        <f>IFERROR(IF(AND(s_Irr!T20&lt;&gt;".",s_Irr!AS20&lt;&gt;".",s_Irr!BR20&lt;&gt;"."),s_dir!U20/((1/1000)*(s_Irr!T20+s_Irr!AS20+s_Irr!BR20)),IF(AND(s_Irr!T20&lt;&gt;".",s_Irr!AS20&lt;&gt;".",s_Irr!BR20="."),s_dir!U20/((1/1000)*(s_Irr!T20+s_Irr!AS20)),IF(AND(s_Irr!T20&lt;&gt;".",s_Irr!AS20=".",s_Irr!BR20&lt;&gt;"."),s_dir!U20/((1/1000)*(s_Irr!T20+s_Irr!BR20)),IF(AND(s_Irr!T20=".",s_Irr!AS20&lt;&gt;".",s_Irr!BR20&lt;&gt;"."),s_dir!U20/((1/1000)*(s_Irr!AS20+s_Irr!BR20)),IF(AND(s_Irr!T20=".",s_Irr!AS20=".",s_Irr!BR20&lt;&gt;"."),s_dir!U20/((1/1000)*(s_Irr!BR20)),IF(AND(s_Irr!T20=".",s_Irr!AS20&lt;&gt;".",s_Irr!BR20="."),s_dir!U20/((1/1000)*(s_Irr!AS20)),IF(AND(s_Irr!T20&lt;&gt;".",s_Irr!AS20=".",s_Irr!BR20="."),s_dir!U20/((1/1000)*(s_Irr!T20)),IF(AND(s_Irr!T20=".",s_Irr!AS20=".",s_Irr!BR20="."),s_dir!U20*1000)))))))),".")</f>
        <v>.</v>
      </c>
      <c r="V20" s="70" t="str">
        <f>IFERROR(IF(AND(s_Irr!U20&lt;&gt;".",s_Irr!AT20&lt;&gt;".",s_Irr!BS20&lt;&gt;"."),s_dir!V20/((1/1000)*(s_Irr!U20+s_Irr!AT20+s_Irr!BS20)),IF(AND(s_Irr!U20&lt;&gt;".",s_Irr!AT20&lt;&gt;".",s_Irr!BS20="."),s_dir!V20/((1/1000)*(s_Irr!U20+s_Irr!AT20)),IF(AND(s_Irr!U20&lt;&gt;".",s_Irr!AT20=".",s_Irr!BS20&lt;&gt;"."),s_dir!V20/((1/1000)*(s_Irr!U20+s_Irr!BS20)),IF(AND(s_Irr!U20=".",s_Irr!AT20&lt;&gt;".",s_Irr!BS20&lt;&gt;"."),s_dir!V20/((1/1000)*(s_Irr!AT20+s_Irr!BS20)),IF(AND(s_Irr!U20=".",s_Irr!AT20=".",s_Irr!BS20&lt;&gt;"."),s_dir!V20/((1/1000)*(s_Irr!BS20)),IF(AND(s_Irr!U20=".",s_Irr!AT20&lt;&gt;".",s_Irr!BS20="."),s_dir!V20/((1/1000)*(s_Irr!AT20)),IF(AND(s_Irr!U20&lt;&gt;".",s_Irr!AT20=".",s_Irr!BS20="."),s_dir!V20/((1/1000)*(s_Irr!U20)),IF(AND(s_Irr!U20=".",s_Irr!AT20=".",s_Irr!BS20="."),s_dir!V20*1000)))))))),".")</f>
        <v>.</v>
      </c>
      <c r="W20" s="70" t="str">
        <f>IFERROR(IF(AND(s_Irr!V20&lt;&gt;".",s_Irr!AU20&lt;&gt;".",s_Irr!BT20&lt;&gt;"."),s_dir!W20/((1/1000)*(s_Irr!V20+s_Irr!AU20+s_Irr!BT20)),IF(AND(s_Irr!V20&lt;&gt;".",s_Irr!AU20&lt;&gt;".",s_Irr!BT20="."),s_dir!W20/((1/1000)*(s_Irr!V20+s_Irr!AU20)),IF(AND(s_Irr!V20&lt;&gt;".",s_Irr!AU20=".",s_Irr!BT20&lt;&gt;"."),s_dir!W20/((1/1000)*(s_Irr!V20+s_Irr!BT20)),IF(AND(s_Irr!V20=".",s_Irr!AU20&lt;&gt;".",s_Irr!BT20&lt;&gt;"."),s_dir!W20/((1/1000)*(s_Irr!AU20+s_Irr!BT20)),IF(AND(s_Irr!V20=".",s_Irr!AU20=".",s_Irr!BT20&lt;&gt;"."),s_dir!W20/((1/1000)*(s_Irr!BT20)),IF(AND(s_Irr!V20=".",s_Irr!AU20&lt;&gt;".",s_Irr!BT20="."),s_dir!W20/((1/1000)*(s_Irr!AU20)),IF(AND(s_Irr!V20&lt;&gt;".",s_Irr!AU20=".",s_Irr!BT20="."),s_dir!W20/((1/1000)*(s_Irr!V20)),IF(AND(s_Irr!V20=".",s_Irr!AU20=".",s_Irr!BT20="."),s_dir!W20*1000)))))))),".")</f>
        <v>.</v>
      </c>
      <c r="X20" s="70" t="str">
        <f>IFERROR(IF(AND(s_Irr!W20&lt;&gt;".",s_Irr!AV20&lt;&gt;".",s_Irr!BU20&lt;&gt;"."),s_dir!X20/((1/1000)*(s_Irr!W20+s_Irr!AV20+s_Irr!BU20)),IF(AND(s_Irr!W20&lt;&gt;".",s_Irr!AV20&lt;&gt;".",s_Irr!BU20="."),s_dir!X20/((1/1000)*(s_Irr!W20+s_Irr!AV20)),IF(AND(s_Irr!W20&lt;&gt;".",s_Irr!AV20=".",s_Irr!BU20&lt;&gt;"."),s_dir!X20/((1/1000)*(s_Irr!W20+s_Irr!BU20)),IF(AND(s_Irr!W20=".",s_Irr!AV20&lt;&gt;".",s_Irr!BU20&lt;&gt;"."),s_dir!X20/((1/1000)*(s_Irr!AV20+s_Irr!BU20)),IF(AND(s_Irr!W20=".",s_Irr!AV20=".",s_Irr!BU20&lt;&gt;"."),s_dir!X20/((1/1000)*(s_Irr!BU20)),IF(AND(s_Irr!W20=".",s_Irr!AV20&lt;&gt;".",s_Irr!BU20="."),s_dir!X20/((1/1000)*(s_Irr!AV20)),IF(AND(s_Irr!W20&lt;&gt;".",s_Irr!AV20=".",s_Irr!BU20="."),s_dir!X20/((1/1000)*(s_Irr!W20)),IF(AND(s_Irr!W20=".",s_Irr!AV20=".",s_Irr!BU20="."),s_dir!X20*1000)))))))),".")</f>
        <v>.</v>
      </c>
      <c r="Y20" s="70" t="str">
        <f>IFERROR(IF(AND(s_Irr!X20&lt;&gt;".",s_Irr!AW20&lt;&gt;".",s_Irr!BV20&lt;&gt;"."),s_dir!Y20/((1/1000)*(s_Irr!X20+s_Irr!AW20+s_Irr!BV20)),IF(AND(s_Irr!X20&lt;&gt;".",s_Irr!AW20&lt;&gt;".",s_Irr!BV20="."),s_dir!Y20/((1/1000)*(s_Irr!X20+s_Irr!AW20)),IF(AND(s_Irr!X20&lt;&gt;".",s_Irr!AW20=".",s_Irr!BV20&lt;&gt;"."),s_dir!Y20/((1/1000)*(s_Irr!X20+s_Irr!BV20)),IF(AND(s_Irr!X20=".",s_Irr!AW20&lt;&gt;".",s_Irr!BV20&lt;&gt;"."),s_dir!Y20/((1/1000)*(s_Irr!AW20+s_Irr!BV20)),IF(AND(s_Irr!X20=".",s_Irr!AW20=".",s_Irr!BV20&lt;&gt;"."),s_dir!Y20/((1/1000)*(s_Irr!BV20)),IF(AND(s_Irr!X20=".",s_Irr!AW20&lt;&gt;".",s_Irr!BV20="."),s_dir!Y20/((1/1000)*(s_Irr!AW20)),IF(AND(s_Irr!X20&lt;&gt;".",s_Irr!AW20=".",s_Irr!BV20="."),s_dir!Y20/((1/1000)*(s_Irr!X20)),IF(AND(s_Irr!X20=".",s_Irr!AW20=".",s_Irr!BV20="."),s_dir!Y20*1000)))))))),".")</f>
        <v>.</v>
      </c>
      <c r="Z20" s="70" t="str">
        <f>IFERROR(IF(AND(s_Irr!Y20&lt;&gt;".",s_Irr!AX20&lt;&gt;".",s_Irr!BW20&lt;&gt;"."),s_dir!Z20/((1/1000)*(s_Irr!Y20+s_Irr!AX20+s_Irr!BW20)),IF(AND(s_Irr!Y20&lt;&gt;".",s_Irr!AX20&lt;&gt;".",s_Irr!BW20="."),s_dir!Z20/((1/1000)*(s_Irr!Y20+s_Irr!AX20)),IF(AND(s_Irr!Y20&lt;&gt;".",s_Irr!AX20=".",s_Irr!BW20&lt;&gt;"."),s_dir!Z20/((1/1000)*(s_Irr!Y20+s_Irr!BW20)),IF(AND(s_Irr!Y20=".",s_Irr!AX20&lt;&gt;".",s_Irr!BW20&lt;&gt;"."),s_dir!Z20/((1/1000)*(s_Irr!AX20+s_Irr!BW20)),IF(AND(s_Irr!Y20=".",s_Irr!AX20=".",s_Irr!BW20&lt;&gt;"."),s_dir!Z20/((1/1000)*(s_Irr!BW20)),IF(AND(s_Irr!Y20=".",s_Irr!AX20&lt;&gt;".",s_Irr!BW20="."),s_dir!Z20/((1/1000)*(s_Irr!AX20)),IF(AND(s_Irr!Y20&lt;&gt;".",s_Irr!AX20=".",s_Irr!BW20="."),s_dir!Z20/((1/1000)*(s_Irr!Y20)),IF(AND(s_Irr!Y20=".",s_Irr!AX20=".",s_Irr!BW20="."),s_dir!Z20*1000)))))))),".")</f>
        <v>.</v>
      </c>
      <c r="AA20" s="70" t="str">
        <f>IFERROR(IF(AND(s_Irr!Z20&lt;&gt;".",s_Irr!AY20&lt;&gt;".",s_Irr!BX20&lt;&gt;"."),s_dir!AA20/((1/1000)*(s_Irr!Z20+s_Irr!AY20+s_Irr!BX20)),IF(AND(s_Irr!Z20&lt;&gt;".",s_Irr!AY20&lt;&gt;".",s_Irr!BX20="."),s_dir!AA20/((1/1000)*(s_Irr!Z20+s_Irr!AY20)),IF(AND(s_Irr!Z20&lt;&gt;".",s_Irr!AY20=".",s_Irr!BX20&lt;&gt;"."),s_dir!AA20/((1/1000)*(s_Irr!Z20+s_Irr!BX20)),IF(AND(s_Irr!Z20=".",s_Irr!AY20&lt;&gt;".",s_Irr!BX20&lt;&gt;"."),s_dir!AA20/((1/1000)*(s_Irr!AY20+s_Irr!BX20)),IF(AND(s_Irr!Z20=".",s_Irr!AY20=".",s_Irr!BX20&lt;&gt;"."),s_dir!AA20/((1/1000)*(s_Irr!BX20)),IF(AND(s_Irr!Z20=".",s_Irr!AY20&lt;&gt;".",s_Irr!BX20="."),s_dir!AA20/((1/1000)*(s_Irr!AY20)),IF(AND(s_Irr!Z20&lt;&gt;".",s_Irr!AY20=".",s_Irr!BX20="."),s_dir!AA20/((1/1000)*(s_Irr!Z20)),IF(AND(s_Irr!Z20=".",s_Irr!AY20=".",s_Irr!BX20="."),s_dir!AA20*1000)))))))),".")</f>
        <v>.</v>
      </c>
      <c r="AB20" s="70" t="str">
        <f>IFERROR(IF(AND(s_Irr!AA20&lt;&gt;".",s_Irr!AZ20&lt;&gt;".",s_Irr!BY20&lt;&gt;"."),s_dir!AB20/((1/1000)*(s_Irr!AA20+s_Irr!AZ20+s_Irr!BY20)),IF(AND(s_Irr!AA20&lt;&gt;".",s_Irr!AZ20&lt;&gt;".",s_Irr!BY20="."),s_dir!AB20/((1/1000)*(s_Irr!AA20+s_Irr!AZ20)),IF(AND(s_Irr!AA20&lt;&gt;".",s_Irr!AZ20=".",s_Irr!BY20&lt;&gt;"."),s_dir!AB20/((1/1000)*(s_Irr!AA20+s_Irr!BY20)),IF(AND(s_Irr!AA20=".",s_Irr!AZ20&lt;&gt;".",s_Irr!BY20&lt;&gt;"."),s_dir!AB20/((1/1000)*(s_Irr!AZ20+s_Irr!BY20)),IF(AND(s_Irr!AA20=".",s_Irr!AZ20=".",s_Irr!BY20&lt;&gt;"."),s_dir!AB20/((1/1000)*(s_Irr!BY20)),IF(AND(s_Irr!AA20=".",s_Irr!AZ20&lt;&gt;".",s_Irr!BY20="."),s_dir!AB20/((1/1000)*(s_Irr!AZ20)),IF(AND(s_Irr!AA20&lt;&gt;".",s_Irr!AZ20=".",s_Irr!BY20="."),s_dir!AB20/((1/1000)*(s_Irr!AA20)),IF(AND(s_Irr!AA20=".",s_Irr!AZ20=".",s_Irr!BY20="."),s_dir!AB20*1000)))))))),".")</f>
        <v>.</v>
      </c>
      <c r="AC20" s="87">
        <f t="shared" si="4"/>
        <v>374.32491773106489</v>
      </c>
      <c r="AD20" s="87">
        <f>IFERROR(s_C*s_IFAP_res_adj*s_CF_apple*0.001*(s_Irr!C20+s_Irr!AB20+s_Irr!BA20),".")</f>
        <v>88.757645154967165</v>
      </c>
      <c r="AE20" s="87">
        <f>IFERROR(s_C*s_IFAS_res_adj*s_CF_asparagus*0.001*(s_Irr!D20+s_Irr!AC20+s_Irr!BB20),".")</f>
        <v>99.576899609843579</v>
      </c>
      <c r="AF20" s="87">
        <f>IFERROR(s_C*s_IFBT_res_adj*s_CF_beet*0.001*(s_Irr!E20+s_Irr!AD20+s_Irr!BC20),".")</f>
        <v>97.172620842093266</v>
      </c>
      <c r="AG20" s="87">
        <f>IFERROR(s_C*s_IFBE_res_adj*s_CF_berries*0.001*(s_Irr!F20+s_Irr!AE20+s_Irr!BD20),".")</f>
        <v>88.757645154967165</v>
      </c>
      <c r="AH20" s="87">
        <f>IFERROR(s_C*s_IFBR_res_adj*s_CF_broccoli*0.001*(s_Irr!G20+s_Irr!AF20+s_Irr!BE20),".")</f>
        <v>88.757645154967165</v>
      </c>
      <c r="AI20" s="87">
        <f>IFERROR(s_C*s_IFCB_res_adj*s_CF_cabbage*0.001*(s_Irr!H20+s_Irr!AG20+s_Irr!BF20),".")</f>
        <v>99.576899609843579</v>
      </c>
      <c r="AJ20" s="87">
        <f>IFERROR(s_C*s_IFCR_res_adj*s_CF_carrot*0.001*(s_Irr!I20+s_Irr!AH20+s_Irr!BG20),".")</f>
        <v>97.172620842093266</v>
      </c>
      <c r="AK20" s="87">
        <f>IFERROR(s_C*s_IFCI_res_adj*s_CF_citrus*0.001*(s_Irr!J20+s_Irr!AI20+s_Irr!BH20),".")</f>
        <v>88.757645154967165</v>
      </c>
      <c r="AL20" s="87">
        <f>IFERROR(s_C*s_IFCO_res_adj*s_CF_corn*0.001*(s_Irr!K20+s_Irr!AJ20+s_Irr!BI20),".")</f>
        <v>88.817752124160918</v>
      </c>
      <c r="AM20" s="87">
        <f>IFERROR(s_C*s_IFCU_res_adj*s_CF_cucumber*0.001*(s_Irr!L20+s_Irr!AK20+s_Irr!BJ20),".")</f>
        <v>88.757645154967165</v>
      </c>
      <c r="AN20" s="87">
        <f>IFERROR(s_C*s_IFLE_res_adj*s_CF_lettuce*0.001*(s_Irr!M20+s_Irr!AL20+s_Irr!BK20),".")</f>
        <v>99.576899609843579</v>
      </c>
      <c r="AO20" s="87">
        <f>IFERROR(s_C*s_IFLI_res_adj*s_CF_lima_bean*0.001*(s_Irr!N20+s_Irr!AM20+s_Irr!BL20),".")</f>
        <v>88.862832351056241</v>
      </c>
      <c r="AP20" s="87">
        <f>IFERROR(s_C*s_IFOK_res_adj*s_CF_okra*0.001*(s_Irr!O20+s_Irr!AN20+s_Irr!BM20),".")</f>
        <v>88.757645154967165</v>
      </c>
      <c r="AQ20" s="87">
        <f>IFERROR(s_C*s_IFON_res_adj*s_CF_onion*0.001*(s_Irr!P20+s_Irr!AO20+s_Irr!BN20),".")</f>
        <v>97.172620842093266</v>
      </c>
      <c r="AR20" s="87">
        <f>IFERROR(s_C*s_IFPC_res_adj*s_CF_peach*0.001*(s_Irr!Q20+s_Irr!AP20+s_Irr!BO20),".")</f>
        <v>88.757645154967165</v>
      </c>
      <c r="AS20" s="87">
        <f>IFERROR(s_C*s_IFPR_res_adj*s_CF_pear*0.001*(s_Irr!R20+s_Irr!AQ20+s_Irr!BP20),".")</f>
        <v>88.757645154967165</v>
      </c>
      <c r="AT20" s="87">
        <f>IFERROR(s_C*s_IFPE_res_adj*s_CF_peas*0.001*(s_Irr!S20+s_Irr!AR20+s_Irr!BQ20),".")</f>
        <v>88.862832351056241</v>
      </c>
      <c r="AU20" s="87">
        <f>IFERROR(s_C*s_IFPP_res_adj*s_CF_peppers*0.001*(s_Irr!T20+s_Irr!AS20+s_Irr!BR20),".")</f>
        <v>88.757645154967165</v>
      </c>
      <c r="AV20" s="87">
        <f>IFERROR(s_C*s_IFPT_res_adj*s_CF_potato*0.001*(s_Irr!U20+s_Irr!AT20+s_Irr!BS20),".")</f>
        <v>92.514330729577026</v>
      </c>
      <c r="AW20" s="87">
        <f>IFERROR(s_C*s_IFPU_res_adj*s_CF_pumpkin*0.001*(s_Irr!V20+s_Irr!AU20+s_Irr!BT20),".")</f>
        <v>88.757645154967165</v>
      </c>
      <c r="AX20" s="87">
        <f>IFERROR(s_C*s_IFSN_res_adj*s_CF_snap_bean*0.001*(s_Irr!W20+s_Irr!AV20+s_Irr!BU20),".")</f>
        <v>88.862832351056241</v>
      </c>
      <c r="AY20" s="87">
        <f>IFERROR(s_C*s_IFST_res_adj*s_CF_strawberry*0.001*(s_Irr!X20+s_Irr!AW20+s_Irr!BV20),".")</f>
        <v>88.757645154967165</v>
      </c>
      <c r="AZ20" s="87">
        <f>IFERROR(s_C*s_IFTO_res_adj*s_CF_tomato*0.001*(s_Irr!Y20+s_Irr!AX20+s_Irr!BW20),".")</f>
        <v>88.757645154967165</v>
      </c>
      <c r="BA20" s="87">
        <f>IFERROR(s_C*s_IFRI_res_adj*s_CF_rice*0.001*(s_Irr!Z20+s_Irr!AY20+s_Irr!BX20),".")</f>
        <v>107.99187529696968</v>
      </c>
      <c r="BB20" s="87">
        <f>IFERROR(s_C*s_IFCG_res_adj*s_CF_cereal*0.001*(s_Irr!AA20+s_Irr!AZ20+s_Irr!BY20),".")</f>
        <v>88.817752124160918</v>
      </c>
      <c r="BC20" s="70" t="str">
        <f t="shared" si="1"/>
        <v>.</v>
      </c>
      <c r="BD20" s="70" t="str">
        <f>IFERROR(IF(AND(s_Irr!C20&lt;&gt;".",s_Irr!AB20&lt;&gt;".",s_Irr!BA20&lt;&gt;"."),s_dir!AD20/((1/1000)*(s_Irr!C20+s_Irr!AB20+s_Irr!BA20)),IF(AND(s_Irr!C20&lt;&gt;".",s_Irr!AB20&lt;&gt;".",s_Irr!BA20="."),s_dir!AD20/((1/1000)*(s_Irr!C20+s_Irr!AB20)),IF(AND(s_Irr!C20&lt;&gt;".",s_Irr!AB20=".",s_Irr!BA20&lt;&gt;"."),s_dir!AD20/((1/1000)*(s_Irr!C20+s_Irr!BA20)),IF(AND(s_Irr!C20=".",s_Irr!AB20&lt;&gt;".",s_Irr!BA20&lt;&gt;"."),s_dir!AD20/((1/1000)*(s_Irr!AB20+s_Irr!BA20)),IF(AND(s_Irr!C20=".",s_Irr!AB20=".",s_Irr!BA20&lt;&gt;"."),s_dir!AD20/((1/1000)*(s_Irr!BA20)),IF(AND(s_Irr!C20=".",s_Irr!AB20&lt;&gt;".",s_Irr!BA20="."),s_dir!AD20/((1/1000)*(s_Irr!AB20)),IF(AND(s_Irr!C20&lt;&gt;".",s_Irr!AB20=".",s_Irr!BA20="."),s_dir!AD20/((1/1000)*(s_Irr!C20)),IF(AND(s_Irr!C20=".",s_Irr!AB20=".",s_Irr!BA20="."),s_dir!AD20*1000)))))))),".")</f>
        <v>.</v>
      </c>
      <c r="BE20" s="70" t="str">
        <f>IFERROR(IF(AND(s_Irr!D20&lt;&gt;".",s_Irr!AC20&lt;&gt;".",s_Irr!BB20&lt;&gt;"."),s_dir!AE20/((1/1000)*(s_Irr!D20+s_Irr!AC20+s_Irr!BB20)),IF(AND(s_Irr!D20&lt;&gt;".",s_Irr!AC20&lt;&gt;".",s_Irr!BB20="."),s_dir!AE20/((1/1000)*(s_Irr!D20+s_Irr!AC20)),IF(AND(s_Irr!D20&lt;&gt;".",s_Irr!AC20=".",s_Irr!BB20&lt;&gt;"."),s_dir!AE20/((1/1000)*(s_Irr!D20+s_Irr!BB20)),IF(AND(s_Irr!D20=".",s_Irr!AC20&lt;&gt;".",s_Irr!BB20&lt;&gt;"."),s_dir!AE20/((1/1000)*(s_Irr!AC20+s_Irr!BB20)),IF(AND(s_Irr!D20=".",s_Irr!AC20=".",s_Irr!BB20&lt;&gt;"."),s_dir!AE20/((1/1000)*(s_Irr!BB20)),IF(AND(s_Irr!D20=".",s_Irr!AC20&lt;&gt;".",s_Irr!BB20="."),s_dir!AE20/((1/1000)*(s_Irr!AC20)),IF(AND(s_Irr!D20&lt;&gt;".",s_Irr!AC20=".",s_Irr!BB20="."),s_dir!AE20/((1/1000)*(s_Irr!D20)),IF(AND(s_Irr!D20=".",s_Irr!AC20=".",s_Irr!BB20="."),s_dir!AE20*1000)))))))),".")</f>
        <v>.</v>
      </c>
      <c r="BF20" s="70" t="str">
        <f>IFERROR(IF(AND(s_Irr!E20&lt;&gt;".",s_Irr!AD20&lt;&gt;".",s_Irr!BC20&lt;&gt;"."),s_dir!AF20/((1/1000)*(s_Irr!E20+s_Irr!AD20+s_Irr!BC20)),IF(AND(s_Irr!E20&lt;&gt;".",s_Irr!AD20&lt;&gt;".",s_Irr!BC20="."),s_dir!AF20/((1/1000)*(s_Irr!E20+s_Irr!AD20)),IF(AND(s_Irr!E20&lt;&gt;".",s_Irr!AD20=".",s_Irr!BC20&lt;&gt;"."),s_dir!AF20/((1/1000)*(s_Irr!E20+s_Irr!BC20)),IF(AND(s_Irr!E20=".",s_Irr!AD20&lt;&gt;".",s_Irr!BC20&lt;&gt;"."),s_dir!AF20/((1/1000)*(s_Irr!AD20+s_Irr!BC20)),IF(AND(s_Irr!E20=".",s_Irr!AD20=".",s_Irr!BC20&lt;&gt;"."),s_dir!AF20/((1/1000)*(s_Irr!BC20)),IF(AND(s_Irr!E20=".",s_Irr!AD20&lt;&gt;".",s_Irr!BC20="."),s_dir!AF20/((1/1000)*(s_Irr!AD20)),IF(AND(s_Irr!E20&lt;&gt;".",s_Irr!AD20=".",s_Irr!BC20="."),s_dir!AF20/((1/1000)*(s_Irr!E20)),IF(AND(s_Irr!E20=".",s_Irr!AD20=".",s_Irr!BC20="."),s_dir!AF20*1000)))))))),".")</f>
        <v>.</v>
      </c>
      <c r="BG20" s="70" t="str">
        <f>IFERROR(IF(AND(s_Irr!F20&lt;&gt;".",s_Irr!AE20&lt;&gt;".",s_Irr!BD20&lt;&gt;"."),s_dir!AG20/((1/1000)*(s_Irr!F20+s_Irr!AE20+s_Irr!BD20)),IF(AND(s_Irr!F20&lt;&gt;".",s_Irr!AE20&lt;&gt;".",s_Irr!BD20="."),s_dir!AG20/((1/1000)*(s_Irr!F20+s_Irr!AE20)),IF(AND(s_Irr!F20&lt;&gt;".",s_Irr!AE20=".",s_Irr!BD20&lt;&gt;"."),s_dir!AG20/((1/1000)*(s_Irr!F20+s_Irr!BD20)),IF(AND(s_Irr!F20=".",s_Irr!AE20&lt;&gt;".",s_Irr!BD20&lt;&gt;"."),s_dir!AG20/((1/1000)*(s_Irr!AE20+s_Irr!BD20)),IF(AND(s_Irr!F20=".",s_Irr!AE20=".",s_Irr!BD20&lt;&gt;"."),s_dir!AG20/((1/1000)*(s_Irr!BD20)),IF(AND(s_Irr!F20=".",s_Irr!AE20&lt;&gt;".",s_Irr!BD20="."),s_dir!AG20/((1/1000)*(s_Irr!AE20)),IF(AND(s_Irr!F20&lt;&gt;".",s_Irr!AE20=".",s_Irr!BD20="."),s_dir!AG20/((1/1000)*(s_Irr!F20)),IF(AND(s_Irr!F20=".",s_Irr!AE20=".",s_Irr!BD20="."),s_dir!AG20*1000)))))))),".")</f>
        <v>.</v>
      </c>
      <c r="BH20" s="70" t="str">
        <f>IFERROR(IF(AND(s_Irr!G20&lt;&gt;".",s_Irr!AF20&lt;&gt;".",s_Irr!BE20&lt;&gt;"."),s_dir!AH20/((1/1000)*(s_Irr!G20+s_Irr!AF20+s_Irr!BE20)),IF(AND(s_Irr!G20&lt;&gt;".",s_Irr!AF20&lt;&gt;".",s_Irr!BE20="."),s_dir!AH20/((1/1000)*(s_Irr!G20+s_Irr!AF20)),IF(AND(s_Irr!G20&lt;&gt;".",s_Irr!AF20=".",s_Irr!BE20&lt;&gt;"."),s_dir!AH20/((1/1000)*(s_Irr!G20+s_Irr!BE20)),IF(AND(s_Irr!G20=".",s_Irr!AF20&lt;&gt;".",s_Irr!BE20&lt;&gt;"."),s_dir!AH20/((1/1000)*(s_Irr!AF20+s_Irr!BE20)),IF(AND(s_Irr!G20=".",s_Irr!AF20=".",s_Irr!BE20&lt;&gt;"."),s_dir!AH20/((1/1000)*(s_Irr!BE20)),IF(AND(s_Irr!G20=".",s_Irr!AF20&lt;&gt;".",s_Irr!BE20="."),s_dir!AH20/((1/1000)*(s_Irr!AF20)),IF(AND(s_Irr!G20&lt;&gt;".",s_Irr!AF20=".",s_Irr!BE20="."),s_dir!AH20/((1/1000)*(s_Irr!G20)),IF(AND(s_Irr!G20=".",s_Irr!AF20=".",s_Irr!BE20="."),s_dir!AH20*1000)))))))),".")</f>
        <v>.</v>
      </c>
      <c r="BI20" s="70" t="str">
        <f>IFERROR(IF(AND(s_Irr!H20&lt;&gt;".",s_Irr!AG20&lt;&gt;".",s_Irr!BF20&lt;&gt;"."),s_dir!AI20/((1/1000)*(s_Irr!H20+s_Irr!AG20+s_Irr!BF20)),IF(AND(s_Irr!H20&lt;&gt;".",s_Irr!AG20&lt;&gt;".",s_Irr!BF20="."),s_dir!AI20/((1/1000)*(s_Irr!H20+s_Irr!AG20)),IF(AND(s_Irr!H20&lt;&gt;".",s_Irr!AG20=".",s_Irr!BF20&lt;&gt;"."),s_dir!AI20/((1/1000)*(s_Irr!H20+s_Irr!BF20)),IF(AND(s_Irr!H20=".",s_Irr!AG20&lt;&gt;".",s_Irr!BF20&lt;&gt;"."),s_dir!AI20/((1/1000)*(s_Irr!AG20+s_Irr!BF20)),IF(AND(s_Irr!H20=".",s_Irr!AG20=".",s_Irr!BF20&lt;&gt;"."),s_dir!AI20/((1/1000)*(s_Irr!BF20)),IF(AND(s_Irr!H20=".",s_Irr!AG20&lt;&gt;".",s_Irr!BF20="."),s_dir!AI20/((1/1000)*(s_Irr!AG20)),IF(AND(s_Irr!H20&lt;&gt;".",s_Irr!AG20=".",s_Irr!BF20="."),s_dir!AI20/((1/1000)*(s_Irr!H20)),IF(AND(s_Irr!H20=".",s_Irr!AG20=".",s_Irr!BF20="."),s_dir!AI20*1000)))))))),".")</f>
        <v>.</v>
      </c>
      <c r="BJ20" s="70" t="str">
        <f>IFERROR(IF(AND(s_Irr!I20&lt;&gt;".",s_Irr!AH20&lt;&gt;".",s_Irr!BG20&lt;&gt;"."),s_dir!AJ20/((1/1000)*(s_Irr!I20+s_Irr!AH20+s_Irr!BG20)),IF(AND(s_Irr!I20&lt;&gt;".",s_Irr!AH20&lt;&gt;".",s_Irr!BG20="."),s_dir!AJ20/((1/1000)*(s_Irr!I20+s_Irr!AH20)),IF(AND(s_Irr!I20&lt;&gt;".",s_Irr!AH20=".",s_Irr!BG20&lt;&gt;"."),s_dir!AJ20/((1/1000)*(s_Irr!I20+s_Irr!BG20)),IF(AND(s_Irr!I20=".",s_Irr!AH20&lt;&gt;".",s_Irr!BG20&lt;&gt;"."),s_dir!AJ20/((1/1000)*(s_Irr!AH20+s_Irr!BG20)),IF(AND(s_Irr!I20=".",s_Irr!AH20=".",s_Irr!BG20&lt;&gt;"."),s_dir!AJ20/((1/1000)*(s_Irr!BG20)),IF(AND(s_Irr!I20=".",s_Irr!AH20&lt;&gt;".",s_Irr!BG20="."),s_dir!AJ20/((1/1000)*(s_Irr!AH20)),IF(AND(s_Irr!I20&lt;&gt;".",s_Irr!AH20=".",s_Irr!BG20="."),s_dir!AJ20/((1/1000)*(s_Irr!I20)),IF(AND(s_Irr!I20=".",s_Irr!AH20=".",s_Irr!BG20="."),s_dir!AJ20*1000)))))))),".")</f>
        <v>.</v>
      </c>
      <c r="BK20" s="70" t="str">
        <f>IFERROR(IF(AND(s_Irr!J20&lt;&gt;".",s_Irr!AI20&lt;&gt;".",s_Irr!BH20&lt;&gt;"."),s_dir!AK20/((1/1000)*(s_Irr!J20+s_Irr!AI20+s_Irr!BH20)),IF(AND(s_Irr!J20&lt;&gt;".",s_Irr!AI20&lt;&gt;".",s_Irr!BH20="."),s_dir!AK20/((1/1000)*(s_Irr!J20+s_Irr!AI20)),IF(AND(s_Irr!J20&lt;&gt;".",s_Irr!AI20=".",s_Irr!BH20&lt;&gt;"."),s_dir!AK20/((1/1000)*(s_Irr!J20+s_Irr!BH20)),IF(AND(s_Irr!J20=".",s_Irr!AI20&lt;&gt;".",s_Irr!BH20&lt;&gt;"."),s_dir!AK20/((1/1000)*(s_Irr!AI20+s_Irr!BH20)),IF(AND(s_Irr!J20=".",s_Irr!AI20=".",s_Irr!BH20&lt;&gt;"."),s_dir!AK20/((1/1000)*(s_Irr!BH20)),IF(AND(s_Irr!J20=".",s_Irr!AI20&lt;&gt;".",s_Irr!BH20="."),s_dir!AK20/((1/1000)*(s_Irr!AI20)),IF(AND(s_Irr!J20&lt;&gt;".",s_Irr!AI20=".",s_Irr!BH20="."),s_dir!AK20/((1/1000)*(s_Irr!J20)),IF(AND(s_Irr!J20=".",s_Irr!AI20=".",s_Irr!BH20="."),s_dir!AK20*1000)))))))),".")</f>
        <v>.</v>
      </c>
      <c r="BL20" s="70" t="str">
        <f>IFERROR(IF(AND(s_Irr!K20&lt;&gt;".",s_Irr!AJ20&lt;&gt;".",s_Irr!BI20&lt;&gt;"."),s_dir!AL20/((1/1000)*(s_Irr!K20+s_Irr!AJ20+s_Irr!BI20)),IF(AND(s_Irr!K20&lt;&gt;".",s_Irr!AJ20&lt;&gt;".",s_Irr!BI20="."),s_dir!AL20/((1/1000)*(s_Irr!K20+s_Irr!AJ20)),IF(AND(s_Irr!K20&lt;&gt;".",s_Irr!AJ20=".",s_Irr!BI20&lt;&gt;"."),s_dir!AL20/((1/1000)*(s_Irr!K20+s_Irr!BI20)),IF(AND(s_Irr!K20=".",s_Irr!AJ20&lt;&gt;".",s_Irr!BI20&lt;&gt;"."),s_dir!AL20/((1/1000)*(s_Irr!AJ20+s_Irr!BI20)),IF(AND(s_Irr!K20=".",s_Irr!AJ20=".",s_Irr!BI20&lt;&gt;"."),s_dir!AL20/((1/1000)*(s_Irr!BI20)),IF(AND(s_Irr!K20=".",s_Irr!AJ20&lt;&gt;".",s_Irr!BI20="."),s_dir!AL20/((1/1000)*(s_Irr!AJ20)),IF(AND(s_Irr!K20&lt;&gt;".",s_Irr!AJ20=".",s_Irr!BI20="."),s_dir!AL20/((1/1000)*(s_Irr!K20)),IF(AND(s_Irr!K20=".",s_Irr!AJ20=".",s_Irr!BI20="."),s_dir!AL20*1000)))))))),".")</f>
        <v>.</v>
      </c>
      <c r="BM20" s="70" t="str">
        <f>IFERROR(IF(AND(s_Irr!L20&lt;&gt;".",s_Irr!AK20&lt;&gt;".",s_Irr!BJ20&lt;&gt;"."),s_dir!AM20/((1/1000)*(s_Irr!L20+s_Irr!AK20+s_Irr!BJ20)),IF(AND(s_Irr!L20&lt;&gt;".",s_Irr!AK20&lt;&gt;".",s_Irr!BJ20="."),s_dir!AM20/((1/1000)*(s_Irr!L20+s_Irr!AK20)),IF(AND(s_Irr!L20&lt;&gt;".",s_Irr!AK20=".",s_Irr!BJ20&lt;&gt;"."),s_dir!AM20/((1/1000)*(s_Irr!L20+s_Irr!BJ20)),IF(AND(s_Irr!L20=".",s_Irr!AK20&lt;&gt;".",s_Irr!BJ20&lt;&gt;"."),s_dir!AM20/((1/1000)*(s_Irr!AK20+s_Irr!BJ20)),IF(AND(s_Irr!L20=".",s_Irr!AK20=".",s_Irr!BJ20&lt;&gt;"."),s_dir!AM20/((1/1000)*(s_Irr!BJ20)),IF(AND(s_Irr!L20=".",s_Irr!AK20&lt;&gt;".",s_Irr!BJ20="."),s_dir!AM20/((1/1000)*(s_Irr!AK20)),IF(AND(s_Irr!L20&lt;&gt;".",s_Irr!AK20=".",s_Irr!BJ20="."),s_dir!AM20/((1/1000)*(s_Irr!L20)),IF(AND(s_Irr!L20=".",s_Irr!AK20=".",s_Irr!BJ20="."),s_dir!AM20*1000)))))))),".")</f>
        <v>.</v>
      </c>
      <c r="BN20" s="70" t="str">
        <f>IFERROR(IF(AND(s_Irr!M20&lt;&gt;".",s_Irr!AL20&lt;&gt;".",s_Irr!BK20&lt;&gt;"."),s_dir!AN20/((1/1000)*(s_Irr!M20+s_Irr!AL20+s_Irr!BK20)),IF(AND(s_Irr!M20&lt;&gt;".",s_Irr!AL20&lt;&gt;".",s_Irr!BK20="."),s_dir!AN20/((1/1000)*(s_Irr!M20+s_Irr!AL20)),IF(AND(s_Irr!M20&lt;&gt;".",s_Irr!AL20=".",s_Irr!BK20&lt;&gt;"."),s_dir!AN20/((1/1000)*(s_Irr!M20+s_Irr!BK20)),IF(AND(s_Irr!M20=".",s_Irr!AL20&lt;&gt;".",s_Irr!BK20&lt;&gt;"."),s_dir!AN20/((1/1000)*(s_Irr!AL20+s_Irr!BK20)),IF(AND(s_Irr!M20=".",s_Irr!AL20=".",s_Irr!BK20&lt;&gt;"."),s_dir!AN20/((1/1000)*(s_Irr!BK20)),IF(AND(s_Irr!M20=".",s_Irr!AL20&lt;&gt;".",s_Irr!BK20="."),s_dir!AN20/((1/1000)*(s_Irr!AL20)),IF(AND(s_Irr!M20&lt;&gt;".",s_Irr!AL20=".",s_Irr!BK20="."),s_dir!AN20/((1/1000)*(s_Irr!M20)),IF(AND(s_Irr!M20=".",s_Irr!AL20=".",s_Irr!BK20="."),s_dir!AN20*1000)))))))),".")</f>
        <v>.</v>
      </c>
      <c r="BO20" s="70" t="str">
        <f>IFERROR(IF(AND(s_Irr!N20&lt;&gt;".",s_Irr!AM20&lt;&gt;".",s_Irr!BL20&lt;&gt;"."),s_dir!AO20/((1/1000)*(s_Irr!N20+s_Irr!AM20+s_Irr!BL20)),IF(AND(s_Irr!N20&lt;&gt;".",s_Irr!AM20&lt;&gt;".",s_Irr!BL20="."),s_dir!AO20/((1/1000)*(s_Irr!N20+s_Irr!AM20)),IF(AND(s_Irr!N20&lt;&gt;".",s_Irr!AM20=".",s_Irr!BL20&lt;&gt;"."),s_dir!AO20/((1/1000)*(s_Irr!N20+s_Irr!BL20)),IF(AND(s_Irr!N20=".",s_Irr!AM20&lt;&gt;".",s_Irr!BL20&lt;&gt;"."),s_dir!AO20/((1/1000)*(s_Irr!AM20+s_Irr!BL20)),IF(AND(s_Irr!N20=".",s_Irr!AM20=".",s_Irr!BL20&lt;&gt;"."),s_dir!AO20/((1/1000)*(s_Irr!BL20)),IF(AND(s_Irr!N20=".",s_Irr!AM20&lt;&gt;".",s_Irr!BL20="."),s_dir!AO20/((1/1000)*(s_Irr!AM20)),IF(AND(s_Irr!N20&lt;&gt;".",s_Irr!AM20=".",s_Irr!BL20="."),s_dir!AO20/((1/1000)*(s_Irr!N20)),IF(AND(s_Irr!N20=".",s_Irr!AM20=".",s_Irr!BL20="."),s_dir!AO20*1000)))))))),".")</f>
        <v>.</v>
      </c>
      <c r="BP20" s="70" t="str">
        <f>IFERROR(IF(AND(s_Irr!O20&lt;&gt;".",s_Irr!AN20&lt;&gt;".",s_Irr!BM20&lt;&gt;"."),s_dir!AP20/((1/1000)*(s_Irr!O20+s_Irr!AN20+s_Irr!BM20)),IF(AND(s_Irr!O20&lt;&gt;".",s_Irr!AN20&lt;&gt;".",s_Irr!BM20="."),s_dir!AP20/((1/1000)*(s_Irr!O20+s_Irr!AN20)),IF(AND(s_Irr!O20&lt;&gt;".",s_Irr!AN20=".",s_Irr!BM20&lt;&gt;"."),s_dir!AP20/((1/1000)*(s_Irr!O20+s_Irr!BM20)),IF(AND(s_Irr!O20=".",s_Irr!AN20&lt;&gt;".",s_Irr!BM20&lt;&gt;"."),s_dir!AP20/((1/1000)*(s_Irr!AN20+s_Irr!BM20)),IF(AND(s_Irr!O20=".",s_Irr!AN20=".",s_Irr!BM20&lt;&gt;"."),s_dir!AP20/((1/1000)*(s_Irr!BM20)),IF(AND(s_Irr!O20=".",s_Irr!AN20&lt;&gt;".",s_Irr!BM20="."),s_dir!AP20/((1/1000)*(s_Irr!AN20)),IF(AND(s_Irr!O20&lt;&gt;".",s_Irr!AN20=".",s_Irr!BM20="."),s_dir!AP20/((1/1000)*(s_Irr!O20)),IF(AND(s_Irr!O20=".",s_Irr!AN20=".",s_Irr!BM20="."),s_dir!AP20*1000)))))))),".")</f>
        <v>.</v>
      </c>
      <c r="BQ20" s="70" t="str">
        <f>IFERROR(IF(AND(s_Irr!P20&lt;&gt;".",s_Irr!AO20&lt;&gt;".",s_Irr!BN20&lt;&gt;"."),s_dir!AQ20/((1/1000)*(s_Irr!P20+s_Irr!AO20+s_Irr!BN20)),IF(AND(s_Irr!P20&lt;&gt;".",s_Irr!AO20&lt;&gt;".",s_Irr!BN20="."),s_dir!AQ20/((1/1000)*(s_Irr!P20+s_Irr!AO20)),IF(AND(s_Irr!P20&lt;&gt;".",s_Irr!AO20=".",s_Irr!BN20&lt;&gt;"."),s_dir!AQ20/((1/1000)*(s_Irr!P20+s_Irr!BN20)),IF(AND(s_Irr!P20=".",s_Irr!AO20&lt;&gt;".",s_Irr!BN20&lt;&gt;"."),s_dir!AQ20/((1/1000)*(s_Irr!AO20+s_Irr!BN20)),IF(AND(s_Irr!P20=".",s_Irr!AO20=".",s_Irr!BN20&lt;&gt;"."),s_dir!AQ20/((1/1000)*(s_Irr!BN20)),IF(AND(s_Irr!P20=".",s_Irr!AO20&lt;&gt;".",s_Irr!BN20="."),s_dir!AQ20/((1/1000)*(s_Irr!AO20)),IF(AND(s_Irr!P20&lt;&gt;".",s_Irr!AO20=".",s_Irr!BN20="."),s_dir!AQ20/((1/1000)*(s_Irr!P20)),IF(AND(s_Irr!P20=".",s_Irr!AO20=".",s_Irr!BN20="."),s_dir!AQ20*1000)))))))),".")</f>
        <v>.</v>
      </c>
      <c r="BR20" s="70" t="str">
        <f>IFERROR(IF(AND(s_Irr!Q20&lt;&gt;".",s_Irr!AP20&lt;&gt;".",s_Irr!BO20&lt;&gt;"."),s_dir!AR20/((1/1000)*(s_Irr!Q20+s_Irr!AP20+s_Irr!BO20)),IF(AND(s_Irr!Q20&lt;&gt;".",s_Irr!AP20&lt;&gt;".",s_Irr!BO20="."),s_dir!AR20/((1/1000)*(s_Irr!Q20+s_Irr!AP20)),IF(AND(s_Irr!Q20&lt;&gt;".",s_Irr!AP20=".",s_Irr!BO20&lt;&gt;"."),s_dir!AR20/((1/1000)*(s_Irr!Q20+s_Irr!BO20)),IF(AND(s_Irr!Q20=".",s_Irr!AP20&lt;&gt;".",s_Irr!BO20&lt;&gt;"."),s_dir!AR20/((1/1000)*(s_Irr!AP20+s_Irr!BO20)),IF(AND(s_Irr!Q20=".",s_Irr!AP20=".",s_Irr!BO20&lt;&gt;"."),s_dir!AR20/((1/1000)*(s_Irr!BO20)),IF(AND(s_Irr!Q20=".",s_Irr!AP20&lt;&gt;".",s_Irr!BO20="."),s_dir!AR20/((1/1000)*(s_Irr!AP20)),IF(AND(s_Irr!Q20&lt;&gt;".",s_Irr!AP20=".",s_Irr!BO20="."),s_dir!AR20/((1/1000)*(s_Irr!Q20)),IF(AND(s_Irr!Q20=".",s_Irr!AP20=".",s_Irr!BO20="."),s_dir!AR20*1000)))))))),".")</f>
        <v>.</v>
      </c>
      <c r="BS20" s="70" t="str">
        <f>IFERROR(IF(AND(s_Irr!R20&lt;&gt;".",s_Irr!AQ20&lt;&gt;".",s_Irr!BP20&lt;&gt;"."),s_dir!AS20/((1/1000)*(s_Irr!R20+s_Irr!AQ20+s_Irr!BP20)),IF(AND(s_Irr!R20&lt;&gt;".",s_Irr!AQ20&lt;&gt;".",s_Irr!BP20="."),s_dir!AS20/((1/1000)*(s_Irr!R20+s_Irr!AQ20)),IF(AND(s_Irr!R20&lt;&gt;".",s_Irr!AQ20=".",s_Irr!BP20&lt;&gt;"."),s_dir!AS20/((1/1000)*(s_Irr!R20+s_Irr!BP20)),IF(AND(s_Irr!R20=".",s_Irr!AQ20&lt;&gt;".",s_Irr!BP20&lt;&gt;"."),s_dir!AS20/((1/1000)*(s_Irr!AQ20+s_Irr!BP20)),IF(AND(s_Irr!R20=".",s_Irr!AQ20=".",s_Irr!BP20&lt;&gt;"."),s_dir!AS20/((1/1000)*(s_Irr!BP20)),IF(AND(s_Irr!R20=".",s_Irr!AQ20&lt;&gt;".",s_Irr!BP20="."),s_dir!AS20/((1/1000)*(s_Irr!AQ20)),IF(AND(s_Irr!R20&lt;&gt;".",s_Irr!AQ20=".",s_Irr!BP20="."),s_dir!AS20/((1/1000)*(s_Irr!R20)),IF(AND(s_Irr!R20=".",s_Irr!AQ20=".",s_Irr!BP20="."),s_dir!AS20*1000)))))))),".")</f>
        <v>.</v>
      </c>
      <c r="BT20" s="70" t="str">
        <f>IFERROR(IF(AND(s_Irr!S20&lt;&gt;".",s_Irr!AR20&lt;&gt;".",s_Irr!BQ20&lt;&gt;"."),s_dir!AT20/((1/1000)*(s_Irr!S20+s_Irr!AR20+s_Irr!BQ20)),IF(AND(s_Irr!S20&lt;&gt;".",s_Irr!AR20&lt;&gt;".",s_Irr!BQ20="."),s_dir!AT20/((1/1000)*(s_Irr!S20+s_Irr!AR20)),IF(AND(s_Irr!S20&lt;&gt;".",s_Irr!AR20=".",s_Irr!BQ20&lt;&gt;"."),s_dir!AT20/((1/1000)*(s_Irr!S20+s_Irr!BQ20)),IF(AND(s_Irr!S20=".",s_Irr!AR20&lt;&gt;".",s_Irr!BQ20&lt;&gt;"."),s_dir!AT20/((1/1000)*(s_Irr!AR20+s_Irr!BQ20)),IF(AND(s_Irr!S20=".",s_Irr!AR20=".",s_Irr!BQ20&lt;&gt;"."),s_dir!AT20/((1/1000)*(s_Irr!BQ20)),IF(AND(s_Irr!S20=".",s_Irr!AR20&lt;&gt;".",s_Irr!BQ20="."),s_dir!AT20/((1/1000)*(s_Irr!AR20)),IF(AND(s_Irr!S20&lt;&gt;".",s_Irr!AR20=".",s_Irr!BQ20="."),s_dir!AT20/((1/1000)*(s_Irr!S20)),IF(AND(s_Irr!S20=".",s_Irr!AR20=".",s_Irr!BQ20="."),s_dir!AT20*1000)))))))),".")</f>
        <v>.</v>
      </c>
      <c r="BU20" s="70" t="str">
        <f>IFERROR(IF(AND(s_Irr!T20&lt;&gt;".",s_Irr!AS20&lt;&gt;".",s_Irr!BR20&lt;&gt;"."),s_dir!AU20/((1/1000)*(s_Irr!T20+s_Irr!AS20+s_Irr!BR20)),IF(AND(s_Irr!T20&lt;&gt;".",s_Irr!AS20&lt;&gt;".",s_Irr!BR20="."),s_dir!AU20/((1/1000)*(s_Irr!T20+s_Irr!AS20)),IF(AND(s_Irr!T20&lt;&gt;".",s_Irr!AS20=".",s_Irr!BR20&lt;&gt;"."),s_dir!AU20/((1/1000)*(s_Irr!T20+s_Irr!BR20)),IF(AND(s_Irr!T20=".",s_Irr!AS20&lt;&gt;".",s_Irr!BR20&lt;&gt;"."),s_dir!AU20/((1/1000)*(s_Irr!AS20+s_Irr!BR20)),IF(AND(s_Irr!T20=".",s_Irr!AS20=".",s_Irr!BR20&lt;&gt;"."),s_dir!AU20/((1/1000)*(s_Irr!BR20)),IF(AND(s_Irr!T20=".",s_Irr!AS20&lt;&gt;".",s_Irr!BR20="."),s_dir!AU20/((1/1000)*(s_Irr!AS20)),IF(AND(s_Irr!T20&lt;&gt;".",s_Irr!AS20=".",s_Irr!BR20="."),s_dir!AU20/((1/1000)*(s_Irr!T20)),IF(AND(s_Irr!T20=".",s_Irr!AS20=".",s_Irr!BR20="."),s_dir!AU20*1000)))))))),".")</f>
        <v>.</v>
      </c>
      <c r="BV20" s="70" t="str">
        <f>IFERROR(IF(AND(s_Irr!U20&lt;&gt;".",s_Irr!AT20&lt;&gt;".",s_Irr!BS20&lt;&gt;"."),s_dir!AV20/((1/1000)*(s_Irr!U20+s_Irr!AT20+s_Irr!BS20)),IF(AND(s_Irr!U20&lt;&gt;".",s_Irr!AT20&lt;&gt;".",s_Irr!BS20="."),s_dir!AV20/((1/1000)*(s_Irr!U20+s_Irr!AT20)),IF(AND(s_Irr!U20&lt;&gt;".",s_Irr!AT20=".",s_Irr!BS20&lt;&gt;"."),s_dir!AV20/((1/1000)*(s_Irr!U20+s_Irr!BS20)),IF(AND(s_Irr!U20=".",s_Irr!AT20&lt;&gt;".",s_Irr!BS20&lt;&gt;"."),s_dir!AV20/((1/1000)*(s_Irr!AT20+s_Irr!BS20)),IF(AND(s_Irr!U20=".",s_Irr!AT20=".",s_Irr!BS20&lt;&gt;"."),s_dir!AV20/((1/1000)*(s_Irr!BS20)),IF(AND(s_Irr!U20=".",s_Irr!AT20&lt;&gt;".",s_Irr!BS20="."),s_dir!AV20/((1/1000)*(s_Irr!AT20)),IF(AND(s_Irr!U20&lt;&gt;".",s_Irr!AT20=".",s_Irr!BS20="."),s_dir!AV20/((1/1000)*(s_Irr!U20)),IF(AND(s_Irr!U20=".",s_Irr!AT20=".",s_Irr!BS20="."),s_dir!AV20*1000)))))))),".")</f>
        <v>.</v>
      </c>
      <c r="BW20" s="70" t="str">
        <f>IFERROR(IF(AND(s_Irr!V20&lt;&gt;".",s_Irr!AU20&lt;&gt;".",s_Irr!BT20&lt;&gt;"."),s_dir!AW20/((1/1000)*(s_Irr!V20+s_Irr!AU20+s_Irr!BT20)),IF(AND(s_Irr!V20&lt;&gt;".",s_Irr!AU20&lt;&gt;".",s_Irr!BT20="."),s_dir!AW20/((1/1000)*(s_Irr!V20+s_Irr!AU20)),IF(AND(s_Irr!V20&lt;&gt;".",s_Irr!AU20=".",s_Irr!BT20&lt;&gt;"."),s_dir!AW20/((1/1000)*(s_Irr!V20+s_Irr!BT20)),IF(AND(s_Irr!V20=".",s_Irr!AU20&lt;&gt;".",s_Irr!BT20&lt;&gt;"."),s_dir!AW20/((1/1000)*(s_Irr!AU20+s_Irr!BT20)),IF(AND(s_Irr!V20=".",s_Irr!AU20=".",s_Irr!BT20&lt;&gt;"."),s_dir!AW20/((1/1000)*(s_Irr!BT20)),IF(AND(s_Irr!V20=".",s_Irr!AU20&lt;&gt;".",s_Irr!BT20="."),s_dir!AW20/((1/1000)*(s_Irr!AU20)),IF(AND(s_Irr!V20&lt;&gt;".",s_Irr!AU20=".",s_Irr!BT20="."),s_dir!AW20/((1/1000)*(s_Irr!V20)),IF(AND(s_Irr!V20=".",s_Irr!AU20=".",s_Irr!BT20="."),s_dir!AW20*1000)))))))),".")</f>
        <v>.</v>
      </c>
      <c r="BX20" s="70" t="str">
        <f>IFERROR(IF(AND(s_Irr!W20&lt;&gt;".",s_Irr!AV20&lt;&gt;".",s_Irr!BU20&lt;&gt;"."),s_dir!AX20/((1/1000)*(s_Irr!W20+s_Irr!AV20+s_Irr!BU20)),IF(AND(s_Irr!W20&lt;&gt;".",s_Irr!AV20&lt;&gt;".",s_Irr!BU20="."),s_dir!AX20/((1/1000)*(s_Irr!W20+s_Irr!AV20)),IF(AND(s_Irr!W20&lt;&gt;".",s_Irr!AV20=".",s_Irr!BU20&lt;&gt;"."),s_dir!AX20/((1/1000)*(s_Irr!W20+s_Irr!BU20)),IF(AND(s_Irr!W20=".",s_Irr!AV20&lt;&gt;".",s_Irr!BU20&lt;&gt;"."),s_dir!AX20/((1/1000)*(s_Irr!AV20+s_Irr!BU20)),IF(AND(s_Irr!W20=".",s_Irr!AV20=".",s_Irr!BU20&lt;&gt;"."),s_dir!AX20/((1/1000)*(s_Irr!BU20)),IF(AND(s_Irr!W20=".",s_Irr!AV20&lt;&gt;".",s_Irr!BU20="."),s_dir!AX20/((1/1000)*(s_Irr!AV20)),IF(AND(s_Irr!W20&lt;&gt;".",s_Irr!AV20=".",s_Irr!BU20="."),s_dir!AX20/((1/1000)*(s_Irr!W20)),IF(AND(s_Irr!W20=".",s_Irr!AV20=".",s_Irr!BU20="."),s_dir!AX20*1000)))))))),".")</f>
        <v>.</v>
      </c>
      <c r="BY20" s="70" t="str">
        <f>IFERROR(IF(AND(s_Irr!X20&lt;&gt;".",s_Irr!AW20&lt;&gt;".",s_Irr!BV20&lt;&gt;"."),s_dir!AY20/((1/1000)*(s_Irr!X20+s_Irr!AW20+s_Irr!BV20)),IF(AND(s_Irr!X20&lt;&gt;".",s_Irr!AW20&lt;&gt;".",s_Irr!BV20="."),s_dir!AY20/((1/1000)*(s_Irr!X20+s_Irr!AW20)),IF(AND(s_Irr!X20&lt;&gt;".",s_Irr!AW20=".",s_Irr!BV20&lt;&gt;"."),s_dir!AY20/((1/1000)*(s_Irr!X20+s_Irr!BV20)),IF(AND(s_Irr!X20=".",s_Irr!AW20&lt;&gt;".",s_Irr!BV20&lt;&gt;"."),s_dir!AY20/((1/1000)*(s_Irr!AW20+s_Irr!BV20)),IF(AND(s_Irr!X20=".",s_Irr!AW20=".",s_Irr!BV20&lt;&gt;"."),s_dir!AY20/((1/1000)*(s_Irr!BV20)),IF(AND(s_Irr!X20=".",s_Irr!AW20&lt;&gt;".",s_Irr!BV20="."),s_dir!AY20/((1/1000)*(s_Irr!AW20)),IF(AND(s_Irr!X20&lt;&gt;".",s_Irr!AW20=".",s_Irr!BV20="."),s_dir!AY20/((1/1000)*(s_Irr!X20)),IF(AND(s_Irr!X20=".",s_Irr!AW20=".",s_Irr!BV20="."),s_dir!AY20*1000)))))))),".")</f>
        <v>.</v>
      </c>
      <c r="BZ20" s="70" t="str">
        <f>IFERROR(IF(AND(s_Irr!Y20&lt;&gt;".",s_Irr!AX20&lt;&gt;".",s_Irr!BW20&lt;&gt;"."),s_dir!AZ20/((1/1000)*(s_Irr!Y20+s_Irr!AX20+s_Irr!BW20)),IF(AND(s_Irr!Y20&lt;&gt;".",s_Irr!AX20&lt;&gt;".",s_Irr!BW20="."),s_dir!AZ20/((1/1000)*(s_Irr!Y20+s_Irr!AX20)),IF(AND(s_Irr!Y20&lt;&gt;".",s_Irr!AX20=".",s_Irr!BW20&lt;&gt;"."),s_dir!AZ20/((1/1000)*(s_Irr!Y20+s_Irr!BW20)),IF(AND(s_Irr!Y20=".",s_Irr!AX20&lt;&gt;".",s_Irr!BW20&lt;&gt;"."),s_dir!AZ20/((1/1000)*(s_Irr!AX20+s_Irr!BW20)),IF(AND(s_Irr!Y20=".",s_Irr!AX20=".",s_Irr!BW20&lt;&gt;"."),s_dir!AZ20/((1/1000)*(s_Irr!BW20)),IF(AND(s_Irr!Y20=".",s_Irr!AX20&lt;&gt;".",s_Irr!BW20="."),s_dir!AZ20/((1/1000)*(s_Irr!AX20)),IF(AND(s_Irr!Y20&lt;&gt;".",s_Irr!AX20=".",s_Irr!BW20="."),s_dir!AZ20/((1/1000)*(s_Irr!Y20)),IF(AND(s_Irr!Y20=".",s_Irr!AX20=".",s_Irr!BW20="."),s_dir!AZ20*1000)))))))),".")</f>
        <v>.</v>
      </c>
      <c r="CA20" s="70" t="str">
        <f>IFERROR(IF(AND(s_Irr!Z20&lt;&gt;".",s_Irr!AY20&lt;&gt;".",s_Irr!BX20&lt;&gt;"."),s_dir!BA20/((1/1000)*(s_Irr!Z20+s_Irr!AY20+s_Irr!BX20)),IF(AND(s_Irr!Z20&lt;&gt;".",s_Irr!AY20&lt;&gt;".",s_Irr!BX20="."),s_dir!BA20/((1/1000)*(s_Irr!Z20+s_Irr!AY20)),IF(AND(s_Irr!Z20&lt;&gt;".",s_Irr!AY20=".",s_Irr!BX20&lt;&gt;"."),s_dir!BA20/((1/1000)*(s_Irr!Z20+s_Irr!BX20)),IF(AND(s_Irr!Z20=".",s_Irr!AY20&lt;&gt;".",s_Irr!BX20&lt;&gt;"."),s_dir!BA20/((1/1000)*(s_Irr!AY20+s_Irr!BX20)),IF(AND(s_Irr!Z20=".",s_Irr!AY20=".",s_Irr!BX20&lt;&gt;"."),s_dir!BA20/((1/1000)*(s_Irr!BX20)),IF(AND(s_Irr!Z20=".",s_Irr!AY20&lt;&gt;".",s_Irr!BX20="."),s_dir!BA20/((1/1000)*(s_Irr!AY20)),IF(AND(s_Irr!Z20&lt;&gt;".",s_Irr!AY20=".",s_Irr!BX20="."),s_dir!BA20/((1/1000)*(s_Irr!Z20)),IF(AND(s_Irr!Z20=".",s_Irr!AY20=".",s_Irr!BX20="."),s_dir!BA20*1000)))))))),".")</f>
        <v>.</v>
      </c>
      <c r="CB20" s="70" t="str">
        <f>IFERROR(IF(AND(s_Irr!AA20&lt;&gt;".",s_Irr!AZ20&lt;&gt;".",s_Irr!BY20&lt;&gt;"."),s_dir!BB20/((1/1000)*(s_Irr!AA20+s_Irr!AZ20+s_Irr!BY20)),IF(AND(s_Irr!AA20&lt;&gt;".",s_Irr!AZ20&lt;&gt;".",s_Irr!BY20="."),s_dir!BB20/((1/1000)*(s_Irr!AA20+s_Irr!AZ20)),IF(AND(s_Irr!AA20&lt;&gt;".",s_Irr!AZ20=".",s_Irr!BY20&lt;&gt;"."),s_dir!BB20/((1/1000)*(s_Irr!AA20+s_Irr!BY20)),IF(AND(s_Irr!AA20=".",s_Irr!AZ20&lt;&gt;".",s_Irr!BY20&lt;&gt;"."),s_dir!BB20/((1/1000)*(s_Irr!AZ20+s_Irr!BY20)),IF(AND(s_Irr!AA20=".",s_Irr!AZ20=".",s_Irr!BY20&lt;&gt;"."),s_dir!BB20/((1/1000)*(s_Irr!BY20)),IF(AND(s_Irr!AA20=".",s_Irr!AZ20&lt;&gt;".",s_Irr!BY20="."),s_dir!BB20/((1/1000)*(s_Irr!AZ20)),IF(AND(s_Irr!AA20&lt;&gt;".",s_Irr!AZ20=".",s_Irr!BY20="."),s_dir!BB20/((1/1000)*(s_Irr!AA20)),IF(AND(s_Irr!AA20=".",s_Irr!AZ20=".",s_Irr!BY20="."),s_dir!BB20*1000)))))))),".")</f>
        <v>.</v>
      </c>
      <c r="CC20" s="87">
        <f t="shared" si="2"/>
        <v>374.32491773106489</v>
      </c>
      <c r="CD20" s="87">
        <f>IFERROR(s_C*s_IFAP_far_adj*s_CF_apple*(1/1000)*(s_Irr!C20+s_Irr!AB20+s_Irr!BA20),".")</f>
        <v>88.757645154967165</v>
      </c>
      <c r="CE20" s="87">
        <f>IFERROR(s_C*s_IFAS_far_adj*s_CF_asparagus*(1/1000)*(s_Irr!D20+s_Irr!AC20+s_Irr!BB20),".")</f>
        <v>99.576899609843579</v>
      </c>
      <c r="CF20" s="87">
        <f>IFERROR(s_C*s_IFBT_far_adj*s_CF_beet*(1/1000)*(s_Irr!E20+s_Irr!AD20+s_Irr!BC20),".")</f>
        <v>97.172620842093266</v>
      </c>
      <c r="CG20" s="87">
        <f>IFERROR(s_C*s_IFBE_far_adj*s_CF_berries*(1/1000)*(s_Irr!F20+s_Irr!AE20+s_Irr!BD20),".")</f>
        <v>88.757645154967165</v>
      </c>
      <c r="CH20" s="87">
        <f>IFERROR(s_C*s_IFBR_far_adj*s_CF_broccoli*(1/1000)*(s_Irr!G20+s_Irr!AF20+s_Irr!BE20),".")</f>
        <v>88.757645154967165</v>
      </c>
      <c r="CI20" s="87">
        <f>IFERROR(s_C*s_IFCB_far_adj*s_CF_cabbage*(1/1000)*(s_Irr!H20+s_Irr!AG20+s_Irr!BF20),".")</f>
        <v>99.576899609843579</v>
      </c>
      <c r="CJ20" s="87">
        <f>IFERROR(s_C*s_IFCR_far_adj*s_CF_carrot*(1/1000)*(s_Irr!I20+s_Irr!AH20+s_Irr!BG20),".")</f>
        <v>97.172620842093266</v>
      </c>
      <c r="CK20" s="87">
        <f>IFERROR(s_C*s_IFCI_far_adj*s_CF_citrus*(1/1000)*(s_Irr!J20+s_Irr!AI20+s_Irr!BH20),".")</f>
        <v>88.757645154967165</v>
      </c>
      <c r="CL20" s="87">
        <f>IFERROR(s_C*s_IFCO_far_adj*s_CF_corn*(1/1000)*(s_Irr!K20+s_Irr!AJ20+s_Irr!BI20),".")</f>
        <v>88.817752124160918</v>
      </c>
      <c r="CM20" s="87">
        <f>IFERROR(s_C*s_IFCU_far_adj*s_CF_cucumber*(1/1000)*(s_Irr!L20+s_Irr!AK20+s_Irr!BJ20),".")</f>
        <v>88.757645154967165</v>
      </c>
      <c r="CN20" s="87">
        <f>IFERROR(s_C*s_IFLE_far_adj*s_CF_lettuce*(1/1000)*(s_Irr!M20+s_Irr!AL20+s_Irr!BK20),".")</f>
        <v>99.576899609843579</v>
      </c>
      <c r="CO20" s="87">
        <f>IFERROR(s_C*s_IFLI_far_adj*s_CF_lima_bean*(1/1000)*(s_Irr!N20+s_Irr!AM20+s_Irr!BL20),".")</f>
        <v>88.862832351056241</v>
      </c>
      <c r="CP20" s="87">
        <f>IFERROR(s_C*s_IFOK_far_adj*s_CF_okra*(1/1000)*(s_Irr!O20+s_Irr!AN20+s_Irr!BM20),".")</f>
        <v>88.757645154967165</v>
      </c>
      <c r="CQ20" s="87">
        <f>IFERROR(s_C*s_IFON_far_adj*s_CF_onion*(1/1000)*(s_Irr!P20+s_Irr!AO20+s_Irr!BN20),".")</f>
        <v>97.172620842093266</v>
      </c>
      <c r="CR20" s="87">
        <f>IFERROR(s_C*s_IFPC_far_adj*s_CF_peach*(1/1000)*(s_Irr!Q20+s_Irr!AP20+s_Irr!BO20),".")</f>
        <v>88.757645154967165</v>
      </c>
      <c r="CS20" s="87">
        <f>IFERROR(s_C*s_IFPR_far_adj*s_CF_pear*(1/1000)*(s_Irr!R20+s_Irr!AQ20+s_Irr!BP20),".")</f>
        <v>88.757645154967165</v>
      </c>
      <c r="CT20" s="87">
        <f>IFERROR(s_C*s_IFPE_far_adj*s_CF_peas*(1/1000)*(s_Irr!S20+s_Irr!AR20+s_Irr!BQ20),".")</f>
        <v>88.862832351056241</v>
      </c>
      <c r="CU20" s="87">
        <f>IFERROR(s_C*s_IFPP_far_adj*s_CF_peppers*(1/1000)*(s_Irr!T20+s_Irr!AS20+s_Irr!BR20),".")</f>
        <v>88.757645154967165</v>
      </c>
      <c r="CV20" s="87">
        <f>IFERROR(s_C*s_IFPT_far_adj*s_CF_potato*(1/1000)*(s_Irr!U20+s_Irr!AT20+s_Irr!BS20),".")</f>
        <v>92.514330729577026</v>
      </c>
      <c r="CW20" s="87">
        <f>IFERROR(s_C*s_IFPU_far_adj*s_CF_pumpkin*(1/1000)*(s_Irr!V20+s_Irr!AU20+s_Irr!BT20),".")</f>
        <v>88.757645154967165</v>
      </c>
      <c r="CX20" s="87">
        <f>IFERROR(s_C*s_IFSN_far_adj*s_CF_snap_bean*(1/1000)*(s_Irr!W20+s_Irr!AV20+s_Irr!BU20),".")</f>
        <v>88.862832351056241</v>
      </c>
      <c r="CY20" s="87">
        <f>IFERROR(s_C*s_IFST_far_adj*s_CF_strawberry*(1/1000)*(s_Irr!X20+s_Irr!AW20+s_Irr!BV20),".")</f>
        <v>88.757645154967165</v>
      </c>
      <c r="CZ20" s="87">
        <f>IFERROR(s_C*s_IFTO_far_adj*s_CF_tomato*(1/1000)*(s_Irr!Y20+s_Irr!AX20+s_Irr!BW20),".")</f>
        <v>88.757645154967165</v>
      </c>
      <c r="DA20" s="87">
        <f>IFERROR(s_C*s_IFRI_far_adj*s_CF_rice*(1/1000)*(s_Irr!Z20+s_Irr!AY20+s_Irr!BX20),".")</f>
        <v>107.99187529696968</v>
      </c>
      <c r="DB20" s="87">
        <f>IFERROR(s_C*s_IFCG_far_adj*s_CF_cereal*(1/1000)*(s_Irr!AA20+s_Irr!AZ20+s_Irr!BY20),".")</f>
        <v>88.817752124160918</v>
      </c>
    </row>
    <row r="21" spans="1:106" ht="15" customHeight="1" x14ac:dyDescent="0.25">
      <c r="A21" s="86" t="s">
        <v>19</v>
      </c>
      <c r="B21" s="84" t="s">
        <v>1057</v>
      </c>
      <c r="C21" s="15" t="str">
        <f t="shared" si="3"/>
        <v>.</v>
      </c>
      <c r="D21" s="70" t="str">
        <f>IFERROR(IF(AND(s_Irr!C21&lt;&gt;".",s_Irr!AB21&lt;&gt;".",s_Irr!BA21&lt;&gt;"."),s_dir!D21/((1/1000)*(s_Irr!C21+s_Irr!AB21+s_Irr!BA21)),IF(AND(s_Irr!C21&lt;&gt;".",s_Irr!AB21&lt;&gt;".",s_Irr!BA21="."),s_dir!D21/((1/1000)*(s_Irr!C21+s_Irr!AB21)),IF(AND(s_Irr!C21&lt;&gt;".",s_Irr!AB21=".",s_Irr!BA21&lt;&gt;"."),s_dir!D21/((1/1000)*(s_Irr!C21+s_Irr!BA21)),IF(AND(s_Irr!C21=".",s_Irr!AB21&lt;&gt;".",s_Irr!BA21&lt;&gt;"."),s_dir!D21/((1/1000)*(s_Irr!AB21+s_Irr!BA21)),IF(AND(s_Irr!C21=".",s_Irr!AB21=".",s_Irr!BA21&lt;&gt;"."),s_dir!D21/((1/1000)*(s_Irr!BA21)),IF(AND(s_Irr!C21=".",s_Irr!AB21&lt;&gt;".",s_Irr!BA21="."),s_dir!D21/((1/1000)*(s_Irr!AB21)),IF(AND(s_Irr!C21&lt;&gt;".",s_Irr!AB21=".",s_Irr!BA21="."),s_dir!D21/((1/1000)*(s_Irr!C21)),IF(AND(s_Irr!C21=".",s_Irr!AB21=".",s_Irr!BA21="."),s_dir!D21*1000)))))))),".")</f>
        <v>.</v>
      </c>
      <c r="E21" s="70" t="str">
        <f>IFERROR(IF(AND(s_Irr!D21&lt;&gt;".",s_Irr!AC21&lt;&gt;".",s_Irr!BB21&lt;&gt;"."),s_dir!E21/((1/1000)*(s_Irr!D21+s_Irr!AC21+s_Irr!BB21)),IF(AND(s_Irr!D21&lt;&gt;".",s_Irr!AC21&lt;&gt;".",s_Irr!BB21="."),s_dir!E21/((1/1000)*(s_Irr!D21+s_Irr!AC21)),IF(AND(s_Irr!D21&lt;&gt;".",s_Irr!AC21=".",s_Irr!BB21&lt;&gt;"."),s_dir!E21/((1/1000)*(s_Irr!D21+s_Irr!BB21)),IF(AND(s_Irr!D21=".",s_Irr!AC21&lt;&gt;".",s_Irr!BB21&lt;&gt;"."),s_dir!E21/((1/1000)*(s_Irr!AC21+s_Irr!BB21)),IF(AND(s_Irr!D21=".",s_Irr!AC21=".",s_Irr!BB21&lt;&gt;"."),s_dir!E21/((1/1000)*(s_Irr!BB21)),IF(AND(s_Irr!D21=".",s_Irr!AC21&lt;&gt;".",s_Irr!BB21="."),s_dir!E21/((1/1000)*(s_Irr!AC21)),IF(AND(s_Irr!D21&lt;&gt;".",s_Irr!AC21=".",s_Irr!BB21="."),s_dir!E21/((1/1000)*(s_Irr!D21)),IF(AND(s_Irr!D21=".",s_Irr!AC21=".",s_Irr!BB21="."),s_dir!E21*1000)))))))),".")</f>
        <v>.</v>
      </c>
      <c r="F21" s="70" t="str">
        <f>IFERROR(IF(AND(s_Irr!E21&lt;&gt;".",s_Irr!AD21&lt;&gt;".",s_Irr!BC21&lt;&gt;"."),s_dir!F21/((1/1000)*(s_Irr!E21+s_Irr!AD21+s_Irr!BC21)),IF(AND(s_Irr!E21&lt;&gt;".",s_Irr!AD21&lt;&gt;".",s_Irr!BC21="."),s_dir!F21/((1/1000)*(s_Irr!E21+s_Irr!AD21)),IF(AND(s_Irr!E21&lt;&gt;".",s_Irr!AD21=".",s_Irr!BC21&lt;&gt;"."),s_dir!F21/((1/1000)*(s_Irr!E21+s_Irr!BC21)),IF(AND(s_Irr!E21=".",s_Irr!AD21&lt;&gt;".",s_Irr!BC21&lt;&gt;"."),s_dir!F21/((1/1000)*(s_Irr!AD21+s_Irr!BC21)),IF(AND(s_Irr!E21=".",s_Irr!AD21=".",s_Irr!BC21&lt;&gt;"."),s_dir!F21/((1/1000)*(s_Irr!BC21)),IF(AND(s_Irr!E21=".",s_Irr!AD21&lt;&gt;".",s_Irr!BC21="."),s_dir!F21/((1/1000)*(s_Irr!AD21)),IF(AND(s_Irr!E21&lt;&gt;".",s_Irr!AD21=".",s_Irr!BC21="."),s_dir!F21/((1/1000)*(s_Irr!E21)),IF(AND(s_Irr!E21=".",s_Irr!AD21=".",s_Irr!BC21="."),s_dir!F21*1000)))))))),".")</f>
        <v>.</v>
      </c>
      <c r="G21" s="70" t="str">
        <f>IFERROR(IF(AND(s_Irr!F21&lt;&gt;".",s_Irr!AE21&lt;&gt;".",s_Irr!BD21&lt;&gt;"."),s_dir!G21/((1/1000)*(s_Irr!F21+s_Irr!AE21+s_Irr!BD21)),IF(AND(s_Irr!F21&lt;&gt;".",s_Irr!AE21&lt;&gt;".",s_Irr!BD21="."),s_dir!G21/((1/1000)*(s_Irr!F21+s_Irr!AE21)),IF(AND(s_Irr!F21&lt;&gt;".",s_Irr!AE21=".",s_Irr!BD21&lt;&gt;"."),s_dir!G21/((1/1000)*(s_Irr!F21+s_Irr!BD21)),IF(AND(s_Irr!F21=".",s_Irr!AE21&lt;&gt;".",s_Irr!BD21&lt;&gt;"."),s_dir!G21/((1/1000)*(s_Irr!AE21+s_Irr!BD21)),IF(AND(s_Irr!F21=".",s_Irr!AE21=".",s_Irr!BD21&lt;&gt;"."),s_dir!G21/((1/1000)*(s_Irr!BD21)),IF(AND(s_Irr!F21=".",s_Irr!AE21&lt;&gt;".",s_Irr!BD21="."),s_dir!G21/((1/1000)*(s_Irr!AE21)),IF(AND(s_Irr!F21&lt;&gt;".",s_Irr!AE21=".",s_Irr!BD21="."),s_dir!G21/((1/1000)*(s_Irr!F21)),IF(AND(s_Irr!F21=".",s_Irr!AE21=".",s_Irr!BD21="."),s_dir!G21*1000)))))))),".")</f>
        <v>.</v>
      </c>
      <c r="H21" s="70" t="str">
        <f>IFERROR(IF(AND(s_Irr!G21&lt;&gt;".",s_Irr!AF21&lt;&gt;".",s_Irr!BE21&lt;&gt;"."),s_dir!H21/((1/1000)*(s_Irr!G21+s_Irr!AF21+s_Irr!BE21)),IF(AND(s_Irr!G21&lt;&gt;".",s_Irr!AF21&lt;&gt;".",s_Irr!BE21="."),s_dir!H21/((1/1000)*(s_Irr!G21+s_Irr!AF21)),IF(AND(s_Irr!G21&lt;&gt;".",s_Irr!AF21=".",s_Irr!BE21&lt;&gt;"."),s_dir!H21/((1/1000)*(s_Irr!G21+s_Irr!BE21)),IF(AND(s_Irr!G21=".",s_Irr!AF21&lt;&gt;".",s_Irr!BE21&lt;&gt;"."),s_dir!H21/((1/1000)*(s_Irr!AF21+s_Irr!BE21)),IF(AND(s_Irr!G21=".",s_Irr!AF21=".",s_Irr!BE21&lt;&gt;"."),s_dir!H21/((1/1000)*(s_Irr!BE21)),IF(AND(s_Irr!G21=".",s_Irr!AF21&lt;&gt;".",s_Irr!BE21="."),s_dir!H21/((1/1000)*(s_Irr!AF21)),IF(AND(s_Irr!G21&lt;&gt;".",s_Irr!AF21=".",s_Irr!BE21="."),s_dir!H21/((1/1000)*(s_Irr!G21)),IF(AND(s_Irr!G21=".",s_Irr!AF21=".",s_Irr!BE21="."),s_dir!H21*1000)))))))),".")</f>
        <v>.</v>
      </c>
      <c r="I21" s="70" t="str">
        <f>IFERROR(IF(AND(s_Irr!H21&lt;&gt;".",s_Irr!AG21&lt;&gt;".",s_Irr!BF21&lt;&gt;"."),s_dir!I21/((1/1000)*(s_Irr!H21+s_Irr!AG21+s_Irr!BF21)),IF(AND(s_Irr!H21&lt;&gt;".",s_Irr!AG21&lt;&gt;".",s_Irr!BF21="."),s_dir!I21/((1/1000)*(s_Irr!H21+s_Irr!AG21)),IF(AND(s_Irr!H21&lt;&gt;".",s_Irr!AG21=".",s_Irr!BF21&lt;&gt;"."),s_dir!I21/((1/1000)*(s_Irr!H21+s_Irr!BF21)),IF(AND(s_Irr!H21=".",s_Irr!AG21&lt;&gt;".",s_Irr!BF21&lt;&gt;"."),s_dir!I21/((1/1000)*(s_Irr!AG21+s_Irr!BF21)),IF(AND(s_Irr!H21=".",s_Irr!AG21=".",s_Irr!BF21&lt;&gt;"."),s_dir!I21/((1/1000)*(s_Irr!BF21)),IF(AND(s_Irr!H21=".",s_Irr!AG21&lt;&gt;".",s_Irr!BF21="."),s_dir!I21/((1/1000)*(s_Irr!AG21)),IF(AND(s_Irr!H21&lt;&gt;".",s_Irr!AG21=".",s_Irr!BF21="."),s_dir!I21/((1/1000)*(s_Irr!H21)),IF(AND(s_Irr!H21=".",s_Irr!AG21=".",s_Irr!BF21="."),s_dir!I21*1000)))))))),".")</f>
        <v>.</v>
      </c>
      <c r="J21" s="70" t="str">
        <f>IFERROR(IF(AND(s_Irr!I21&lt;&gt;".",s_Irr!AH21&lt;&gt;".",s_Irr!BG21&lt;&gt;"."),s_dir!J21/((1/1000)*(s_Irr!I21+s_Irr!AH21+s_Irr!BG21)),IF(AND(s_Irr!I21&lt;&gt;".",s_Irr!AH21&lt;&gt;".",s_Irr!BG21="."),s_dir!J21/((1/1000)*(s_Irr!I21+s_Irr!AH21)),IF(AND(s_Irr!I21&lt;&gt;".",s_Irr!AH21=".",s_Irr!BG21&lt;&gt;"."),s_dir!J21/((1/1000)*(s_Irr!I21+s_Irr!BG21)),IF(AND(s_Irr!I21=".",s_Irr!AH21&lt;&gt;".",s_Irr!BG21&lt;&gt;"."),s_dir!J21/((1/1000)*(s_Irr!AH21+s_Irr!BG21)),IF(AND(s_Irr!I21=".",s_Irr!AH21=".",s_Irr!BG21&lt;&gt;"."),s_dir!J21/((1/1000)*(s_Irr!BG21)),IF(AND(s_Irr!I21=".",s_Irr!AH21&lt;&gt;".",s_Irr!BG21="."),s_dir!J21/((1/1000)*(s_Irr!AH21)),IF(AND(s_Irr!I21&lt;&gt;".",s_Irr!AH21=".",s_Irr!BG21="."),s_dir!J21/((1/1000)*(s_Irr!I21)),IF(AND(s_Irr!I21=".",s_Irr!AH21=".",s_Irr!BG21="."),s_dir!J21*1000)))))))),".")</f>
        <v>.</v>
      </c>
      <c r="K21" s="70" t="str">
        <f>IFERROR(IF(AND(s_Irr!J21&lt;&gt;".",s_Irr!AI21&lt;&gt;".",s_Irr!BH21&lt;&gt;"."),s_dir!K21/((1/1000)*(s_Irr!J21+s_Irr!AI21+s_Irr!BH21)),IF(AND(s_Irr!J21&lt;&gt;".",s_Irr!AI21&lt;&gt;".",s_Irr!BH21="."),s_dir!K21/((1/1000)*(s_Irr!J21+s_Irr!AI21)),IF(AND(s_Irr!J21&lt;&gt;".",s_Irr!AI21=".",s_Irr!BH21&lt;&gt;"."),s_dir!K21/((1/1000)*(s_Irr!J21+s_Irr!BH21)),IF(AND(s_Irr!J21=".",s_Irr!AI21&lt;&gt;".",s_Irr!BH21&lt;&gt;"."),s_dir!K21/((1/1000)*(s_Irr!AI21+s_Irr!BH21)),IF(AND(s_Irr!J21=".",s_Irr!AI21=".",s_Irr!BH21&lt;&gt;"."),s_dir!K21/((1/1000)*(s_Irr!BH21)),IF(AND(s_Irr!J21=".",s_Irr!AI21&lt;&gt;".",s_Irr!BH21="."),s_dir!K21/((1/1000)*(s_Irr!AI21)),IF(AND(s_Irr!J21&lt;&gt;".",s_Irr!AI21=".",s_Irr!BH21="."),s_dir!K21/((1/1000)*(s_Irr!J21)),IF(AND(s_Irr!J21=".",s_Irr!AI21=".",s_Irr!BH21="."),s_dir!K21*1000)))))))),".")</f>
        <v>.</v>
      </c>
      <c r="L21" s="70" t="str">
        <f>IFERROR(IF(AND(s_Irr!K21&lt;&gt;".",s_Irr!AJ21&lt;&gt;".",s_Irr!BI21&lt;&gt;"."),s_dir!L21/((1/1000)*(s_Irr!K21+s_Irr!AJ21+s_Irr!BI21)),IF(AND(s_Irr!K21&lt;&gt;".",s_Irr!AJ21&lt;&gt;".",s_Irr!BI21="."),s_dir!L21/((1/1000)*(s_Irr!K21+s_Irr!AJ21)),IF(AND(s_Irr!K21&lt;&gt;".",s_Irr!AJ21=".",s_Irr!BI21&lt;&gt;"."),s_dir!L21/((1/1000)*(s_Irr!K21+s_Irr!BI21)),IF(AND(s_Irr!K21=".",s_Irr!AJ21&lt;&gt;".",s_Irr!BI21&lt;&gt;"."),s_dir!L21/((1/1000)*(s_Irr!AJ21+s_Irr!BI21)),IF(AND(s_Irr!K21=".",s_Irr!AJ21=".",s_Irr!BI21&lt;&gt;"."),s_dir!L21/((1/1000)*(s_Irr!BI21)),IF(AND(s_Irr!K21=".",s_Irr!AJ21&lt;&gt;".",s_Irr!BI21="."),s_dir!L21/((1/1000)*(s_Irr!AJ21)),IF(AND(s_Irr!K21&lt;&gt;".",s_Irr!AJ21=".",s_Irr!BI21="."),s_dir!L21/((1/1000)*(s_Irr!K21)),IF(AND(s_Irr!K21=".",s_Irr!AJ21=".",s_Irr!BI21="."),s_dir!L21*1000)))))))),".")</f>
        <v>.</v>
      </c>
      <c r="M21" s="70" t="str">
        <f>IFERROR(IF(AND(s_Irr!L21&lt;&gt;".",s_Irr!AK21&lt;&gt;".",s_Irr!BJ21&lt;&gt;"."),s_dir!M21/((1/1000)*(s_Irr!L21+s_Irr!AK21+s_Irr!BJ21)),IF(AND(s_Irr!L21&lt;&gt;".",s_Irr!AK21&lt;&gt;".",s_Irr!BJ21="."),s_dir!M21/((1/1000)*(s_Irr!L21+s_Irr!AK21)),IF(AND(s_Irr!L21&lt;&gt;".",s_Irr!AK21=".",s_Irr!BJ21&lt;&gt;"."),s_dir!M21/((1/1000)*(s_Irr!L21+s_Irr!BJ21)),IF(AND(s_Irr!L21=".",s_Irr!AK21&lt;&gt;".",s_Irr!BJ21&lt;&gt;"."),s_dir!M21/((1/1000)*(s_Irr!AK21+s_Irr!BJ21)),IF(AND(s_Irr!L21=".",s_Irr!AK21=".",s_Irr!BJ21&lt;&gt;"."),s_dir!M21/((1/1000)*(s_Irr!BJ21)),IF(AND(s_Irr!L21=".",s_Irr!AK21&lt;&gt;".",s_Irr!BJ21="."),s_dir!M21/((1/1000)*(s_Irr!AK21)),IF(AND(s_Irr!L21&lt;&gt;".",s_Irr!AK21=".",s_Irr!BJ21="."),s_dir!M21/((1/1000)*(s_Irr!L21)),IF(AND(s_Irr!L21=".",s_Irr!AK21=".",s_Irr!BJ21="."),s_dir!M21*1000)))))))),".")</f>
        <v>.</v>
      </c>
      <c r="N21" s="70" t="str">
        <f>IFERROR(IF(AND(s_Irr!M21&lt;&gt;".",s_Irr!AL21&lt;&gt;".",s_Irr!BK21&lt;&gt;"."),s_dir!N21/((1/1000)*(s_Irr!M21+s_Irr!AL21+s_Irr!BK21)),IF(AND(s_Irr!M21&lt;&gt;".",s_Irr!AL21&lt;&gt;".",s_Irr!BK21="."),s_dir!N21/((1/1000)*(s_Irr!M21+s_Irr!AL21)),IF(AND(s_Irr!M21&lt;&gt;".",s_Irr!AL21=".",s_Irr!BK21&lt;&gt;"."),s_dir!N21/((1/1000)*(s_Irr!M21+s_Irr!BK21)),IF(AND(s_Irr!M21=".",s_Irr!AL21&lt;&gt;".",s_Irr!BK21&lt;&gt;"."),s_dir!N21/((1/1000)*(s_Irr!AL21+s_Irr!BK21)),IF(AND(s_Irr!M21=".",s_Irr!AL21=".",s_Irr!BK21&lt;&gt;"."),s_dir!N21/((1/1000)*(s_Irr!BK21)),IF(AND(s_Irr!M21=".",s_Irr!AL21&lt;&gt;".",s_Irr!BK21="."),s_dir!N21/((1/1000)*(s_Irr!AL21)),IF(AND(s_Irr!M21&lt;&gt;".",s_Irr!AL21=".",s_Irr!BK21="."),s_dir!N21/((1/1000)*(s_Irr!M21)),IF(AND(s_Irr!M21=".",s_Irr!AL21=".",s_Irr!BK21="."),s_dir!N21*1000)))))))),".")</f>
        <v>.</v>
      </c>
      <c r="O21" s="70" t="str">
        <f>IFERROR(IF(AND(s_Irr!N21&lt;&gt;".",s_Irr!AM21&lt;&gt;".",s_Irr!BL21&lt;&gt;"."),s_dir!O21/((1/1000)*(s_Irr!N21+s_Irr!AM21+s_Irr!BL21)),IF(AND(s_Irr!N21&lt;&gt;".",s_Irr!AM21&lt;&gt;".",s_Irr!BL21="."),s_dir!O21/((1/1000)*(s_Irr!N21+s_Irr!AM21)),IF(AND(s_Irr!N21&lt;&gt;".",s_Irr!AM21=".",s_Irr!BL21&lt;&gt;"."),s_dir!O21/((1/1000)*(s_Irr!N21+s_Irr!BL21)),IF(AND(s_Irr!N21=".",s_Irr!AM21&lt;&gt;".",s_Irr!BL21&lt;&gt;"."),s_dir!O21/((1/1000)*(s_Irr!AM21+s_Irr!BL21)),IF(AND(s_Irr!N21=".",s_Irr!AM21=".",s_Irr!BL21&lt;&gt;"."),s_dir!O21/((1/1000)*(s_Irr!BL21)),IF(AND(s_Irr!N21=".",s_Irr!AM21&lt;&gt;".",s_Irr!BL21="."),s_dir!O21/((1/1000)*(s_Irr!AM21)),IF(AND(s_Irr!N21&lt;&gt;".",s_Irr!AM21=".",s_Irr!BL21="."),s_dir!O21/((1/1000)*(s_Irr!N21)),IF(AND(s_Irr!N21=".",s_Irr!AM21=".",s_Irr!BL21="."),s_dir!O21*1000)))))))),".")</f>
        <v>.</v>
      </c>
      <c r="P21" s="70" t="str">
        <f>IFERROR(IF(AND(s_Irr!O21&lt;&gt;".",s_Irr!AN21&lt;&gt;".",s_Irr!BM21&lt;&gt;"."),s_dir!P21/((1/1000)*(s_Irr!O21+s_Irr!AN21+s_Irr!BM21)),IF(AND(s_Irr!O21&lt;&gt;".",s_Irr!AN21&lt;&gt;".",s_Irr!BM21="."),s_dir!P21/((1/1000)*(s_Irr!O21+s_Irr!AN21)),IF(AND(s_Irr!O21&lt;&gt;".",s_Irr!AN21=".",s_Irr!BM21&lt;&gt;"."),s_dir!P21/((1/1000)*(s_Irr!O21+s_Irr!BM21)),IF(AND(s_Irr!O21=".",s_Irr!AN21&lt;&gt;".",s_Irr!BM21&lt;&gt;"."),s_dir!P21/((1/1000)*(s_Irr!AN21+s_Irr!BM21)),IF(AND(s_Irr!O21=".",s_Irr!AN21=".",s_Irr!BM21&lt;&gt;"."),s_dir!P21/((1/1000)*(s_Irr!BM21)),IF(AND(s_Irr!O21=".",s_Irr!AN21&lt;&gt;".",s_Irr!BM21="."),s_dir!P21/((1/1000)*(s_Irr!AN21)),IF(AND(s_Irr!O21&lt;&gt;".",s_Irr!AN21=".",s_Irr!BM21="."),s_dir!P21/((1/1000)*(s_Irr!O21)),IF(AND(s_Irr!O21=".",s_Irr!AN21=".",s_Irr!BM21="."),s_dir!P21*1000)))))))),".")</f>
        <v>.</v>
      </c>
      <c r="Q21" s="70" t="str">
        <f>IFERROR(IF(AND(s_Irr!P21&lt;&gt;".",s_Irr!AO21&lt;&gt;".",s_Irr!BN21&lt;&gt;"."),s_dir!Q21/((1/1000)*(s_Irr!P21+s_Irr!AO21+s_Irr!BN21)),IF(AND(s_Irr!P21&lt;&gt;".",s_Irr!AO21&lt;&gt;".",s_Irr!BN21="."),s_dir!Q21/((1/1000)*(s_Irr!P21+s_Irr!AO21)),IF(AND(s_Irr!P21&lt;&gt;".",s_Irr!AO21=".",s_Irr!BN21&lt;&gt;"."),s_dir!Q21/((1/1000)*(s_Irr!P21+s_Irr!BN21)),IF(AND(s_Irr!P21=".",s_Irr!AO21&lt;&gt;".",s_Irr!BN21&lt;&gt;"."),s_dir!Q21/((1/1000)*(s_Irr!AO21+s_Irr!BN21)),IF(AND(s_Irr!P21=".",s_Irr!AO21=".",s_Irr!BN21&lt;&gt;"."),s_dir!Q21/((1/1000)*(s_Irr!BN21)),IF(AND(s_Irr!P21=".",s_Irr!AO21&lt;&gt;".",s_Irr!BN21="."),s_dir!Q21/((1/1000)*(s_Irr!AO21)),IF(AND(s_Irr!P21&lt;&gt;".",s_Irr!AO21=".",s_Irr!BN21="."),s_dir!Q21/((1/1000)*(s_Irr!P21)),IF(AND(s_Irr!P21=".",s_Irr!AO21=".",s_Irr!BN21="."),s_dir!Q21*1000)))))))),".")</f>
        <v>.</v>
      </c>
      <c r="R21" s="70" t="str">
        <f>IFERROR(IF(AND(s_Irr!Q21&lt;&gt;".",s_Irr!AP21&lt;&gt;".",s_Irr!BO21&lt;&gt;"."),s_dir!R21/((1/1000)*(s_Irr!Q21+s_Irr!AP21+s_Irr!BO21)),IF(AND(s_Irr!Q21&lt;&gt;".",s_Irr!AP21&lt;&gt;".",s_Irr!BO21="."),s_dir!R21/((1/1000)*(s_Irr!Q21+s_Irr!AP21)),IF(AND(s_Irr!Q21&lt;&gt;".",s_Irr!AP21=".",s_Irr!BO21&lt;&gt;"."),s_dir!R21/((1/1000)*(s_Irr!Q21+s_Irr!BO21)),IF(AND(s_Irr!Q21=".",s_Irr!AP21&lt;&gt;".",s_Irr!BO21&lt;&gt;"."),s_dir!R21/((1/1000)*(s_Irr!AP21+s_Irr!BO21)),IF(AND(s_Irr!Q21=".",s_Irr!AP21=".",s_Irr!BO21&lt;&gt;"."),s_dir!R21/((1/1000)*(s_Irr!BO21)),IF(AND(s_Irr!Q21=".",s_Irr!AP21&lt;&gt;".",s_Irr!BO21="."),s_dir!R21/((1/1000)*(s_Irr!AP21)),IF(AND(s_Irr!Q21&lt;&gt;".",s_Irr!AP21=".",s_Irr!BO21="."),s_dir!R21/((1/1000)*(s_Irr!Q21)),IF(AND(s_Irr!Q21=".",s_Irr!AP21=".",s_Irr!BO21="."),s_dir!R21*1000)))))))),".")</f>
        <v>.</v>
      </c>
      <c r="S21" s="70" t="str">
        <f>IFERROR(IF(AND(s_Irr!R21&lt;&gt;".",s_Irr!AQ21&lt;&gt;".",s_Irr!BP21&lt;&gt;"."),s_dir!S21/((1/1000)*(s_Irr!R21+s_Irr!AQ21+s_Irr!BP21)),IF(AND(s_Irr!R21&lt;&gt;".",s_Irr!AQ21&lt;&gt;".",s_Irr!BP21="."),s_dir!S21/((1/1000)*(s_Irr!R21+s_Irr!AQ21)),IF(AND(s_Irr!R21&lt;&gt;".",s_Irr!AQ21=".",s_Irr!BP21&lt;&gt;"."),s_dir!S21/((1/1000)*(s_Irr!R21+s_Irr!BP21)),IF(AND(s_Irr!R21=".",s_Irr!AQ21&lt;&gt;".",s_Irr!BP21&lt;&gt;"."),s_dir!S21/((1/1000)*(s_Irr!AQ21+s_Irr!BP21)),IF(AND(s_Irr!R21=".",s_Irr!AQ21=".",s_Irr!BP21&lt;&gt;"."),s_dir!S21/((1/1000)*(s_Irr!BP21)),IF(AND(s_Irr!R21=".",s_Irr!AQ21&lt;&gt;".",s_Irr!BP21="."),s_dir!S21/((1/1000)*(s_Irr!AQ21)),IF(AND(s_Irr!R21&lt;&gt;".",s_Irr!AQ21=".",s_Irr!BP21="."),s_dir!S21/((1/1000)*(s_Irr!R21)),IF(AND(s_Irr!R21=".",s_Irr!AQ21=".",s_Irr!BP21="."),s_dir!S21*1000)))))))),".")</f>
        <v>.</v>
      </c>
      <c r="T21" s="70" t="str">
        <f>IFERROR(IF(AND(s_Irr!S21&lt;&gt;".",s_Irr!AR21&lt;&gt;".",s_Irr!BQ21&lt;&gt;"."),s_dir!T21/((1/1000)*(s_Irr!S21+s_Irr!AR21+s_Irr!BQ21)),IF(AND(s_Irr!S21&lt;&gt;".",s_Irr!AR21&lt;&gt;".",s_Irr!BQ21="."),s_dir!T21/((1/1000)*(s_Irr!S21+s_Irr!AR21)),IF(AND(s_Irr!S21&lt;&gt;".",s_Irr!AR21=".",s_Irr!BQ21&lt;&gt;"."),s_dir!T21/((1/1000)*(s_Irr!S21+s_Irr!BQ21)),IF(AND(s_Irr!S21=".",s_Irr!AR21&lt;&gt;".",s_Irr!BQ21&lt;&gt;"."),s_dir!T21/((1/1000)*(s_Irr!AR21+s_Irr!BQ21)),IF(AND(s_Irr!S21=".",s_Irr!AR21=".",s_Irr!BQ21&lt;&gt;"."),s_dir!T21/((1/1000)*(s_Irr!BQ21)),IF(AND(s_Irr!S21=".",s_Irr!AR21&lt;&gt;".",s_Irr!BQ21="."),s_dir!T21/((1/1000)*(s_Irr!AR21)),IF(AND(s_Irr!S21&lt;&gt;".",s_Irr!AR21=".",s_Irr!BQ21="."),s_dir!T21/((1/1000)*(s_Irr!S21)),IF(AND(s_Irr!S21=".",s_Irr!AR21=".",s_Irr!BQ21="."),s_dir!T21*1000)))))))),".")</f>
        <v>.</v>
      </c>
      <c r="U21" s="70" t="str">
        <f>IFERROR(IF(AND(s_Irr!T21&lt;&gt;".",s_Irr!AS21&lt;&gt;".",s_Irr!BR21&lt;&gt;"."),s_dir!U21/((1/1000)*(s_Irr!T21+s_Irr!AS21+s_Irr!BR21)),IF(AND(s_Irr!T21&lt;&gt;".",s_Irr!AS21&lt;&gt;".",s_Irr!BR21="."),s_dir!U21/((1/1000)*(s_Irr!T21+s_Irr!AS21)),IF(AND(s_Irr!T21&lt;&gt;".",s_Irr!AS21=".",s_Irr!BR21&lt;&gt;"."),s_dir!U21/((1/1000)*(s_Irr!T21+s_Irr!BR21)),IF(AND(s_Irr!T21=".",s_Irr!AS21&lt;&gt;".",s_Irr!BR21&lt;&gt;"."),s_dir!U21/((1/1000)*(s_Irr!AS21+s_Irr!BR21)),IF(AND(s_Irr!T21=".",s_Irr!AS21=".",s_Irr!BR21&lt;&gt;"."),s_dir!U21/((1/1000)*(s_Irr!BR21)),IF(AND(s_Irr!T21=".",s_Irr!AS21&lt;&gt;".",s_Irr!BR21="."),s_dir!U21/((1/1000)*(s_Irr!AS21)),IF(AND(s_Irr!T21&lt;&gt;".",s_Irr!AS21=".",s_Irr!BR21="."),s_dir!U21/((1/1000)*(s_Irr!T21)),IF(AND(s_Irr!T21=".",s_Irr!AS21=".",s_Irr!BR21="."),s_dir!U21*1000)))))))),".")</f>
        <v>.</v>
      </c>
      <c r="V21" s="70" t="str">
        <f>IFERROR(IF(AND(s_Irr!U21&lt;&gt;".",s_Irr!AT21&lt;&gt;".",s_Irr!BS21&lt;&gt;"."),s_dir!V21/((1/1000)*(s_Irr!U21+s_Irr!AT21+s_Irr!BS21)),IF(AND(s_Irr!U21&lt;&gt;".",s_Irr!AT21&lt;&gt;".",s_Irr!BS21="."),s_dir!V21/((1/1000)*(s_Irr!U21+s_Irr!AT21)),IF(AND(s_Irr!U21&lt;&gt;".",s_Irr!AT21=".",s_Irr!BS21&lt;&gt;"."),s_dir!V21/((1/1000)*(s_Irr!U21+s_Irr!BS21)),IF(AND(s_Irr!U21=".",s_Irr!AT21&lt;&gt;".",s_Irr!BS21&lt;&gt;"."),s_dir!V21/((1/1000)*(s_Irr!AT21+s_Irr!BS21)),IF(AND(s_Irr!U21=".",s_Irr!AT21=".",s_Irr!BS21&lt;&gt;"."),s_dir!V21/((1/1000)*(s_Irr!BS21)),IF(AND(s_Irr!U21=".",s_Irr!AT21&lt;&gt;".",s_Irr!BS21="."),s_dir!V21/((1/1000)*(s_Irr!AT21)),IF(AND(s_Irr!U21&lt;&gt;".",s_Irr!AT21=".",s_Irr!BS21="."),s_dir!V21/((1/1000)*(s_Irr!U21)),IF(AND(s_Irr!U21=".",s_Irr!AT21=".",s_Irr!BS21="."),s_dir!V21*1000)))))))),".")</f>
        <v>.</v>
      </c>
      <c r="W21" s="70" t="str">
        <f>IFERROR(IF(AND(s_Irr!V21&lt;&gt;".",s_Irr!AU21&lt;&gt;".",s_Irr!BT21&lt;&gt;"."),s_dir!W21/((1/1000)*(s_Irr!V21+s_Irr!AU21+s_Irr!BT21)),IF(AND(s_Irr!V21&lt;&gt;".",s_Irr!AU21&lt;&gt;".",s_Irr!BT21="."),s_dir!W21/((1/1000)*(s_Irr!V21+s_Irr!AU21)),IF(AND(s_Irr!V21&lt;&gt;".",s_Irr!AU21=".",s_Irr!BT21&lt;&gt;"."),s_dir!W21/((1/1000)*(s_Irr!V21+s_Irr!BT21)),IF(AND(s_Irr!V21=".",s_Irr!AU21&lt;&gt;".",s_Irr!BT21&lt;&gt;"."),s_dir!W21/((1/1000)*(s_Irr!AU21+s_Irr!BT21)),IF(AND(s_Irr!V21=".",s_Irr!AU21=".",s_Irr!BT21&lt;&gt;"."),s_dir!W21/((1/1000)*(s_Irr!BT21)),IF(AND(s_Irr!V21=".",s_Irr!AU21&lt;&gt;".",s_Irr!BT21="."),s_dir!W21/((1/1000)*(s_Irr!AU21)),IF(AND(s_Irr!V21&lt;&gt;".",s_Irr!AU21=".",s_Irr!BT21="."),s_dir!W21/((1/1000)*(s_Irr!V21)),IF(AND(s_Irr!V21=".",s_Irr!AU21=".",s_Irr!BT21="."),s_dir!W21*1000)))))))),".")</f>
        <v>.</v>
      </c>
      <c r="X21" s="70" t="str">
        <f>IFERROR(IF(AND(s_Irr!W21&lt;&gt;".",s_Irr!AV21&lt;&gt;".",s_Irr!BU21&lt;&gt;"."),s_dir!X21/((1/1000)*(s_Irr!W21+s_Irr!AV21+s_Irr!BU21)),IF(AND(s_Irr!W21&lt;&gt;".",s_Irr!AV21&lt;&gt;".",s_Irr!BU21="."),s_dir!X21/((1/1000)*(s_Irr!W21+s_Irr!AV21)),IF(AND(s_Irr!W21&lt;&gt;".",s_Irr!AV21=".",s_Irr!BU21&lt;&gt;"."),s_dir!X21/((1/1000)*(s_Irr!W21+s_Irr!BU21)),IF(AND(s_Irr!W21=".",s_Irr!AV21&lt;&gt;".",s_Irr!BU21&lt;&gt;"."),s_dir!X21/((1/1000)*(s_Irr!AV21+s_Irr!BU21)),IF(AND(s_Irr!W21=".",s_Irr!AV21=".",s_Irr!BU21&lt;&gt;"."),s_dir!X21/((1/1000)*(s_Irr!BU21)),IF(AND(s_Irr!W21=".",s_Irr!AV21&lt;&gt;".",s_Irr!BU21="."),s_dir!X21/((1/1000)*(s_Irr!AV21)),IF(AND(s_Irr!W21&lt;&gt;".",s_Irr!AV21=".",s_Irr!BU21="."),s_dir!X21/((1/1000)*(s_Irr!W21)),IF(AND(s_Irr!W21=".",s_Irr!AV21=".",s_Irr!BU21="."),s_dir!X21*1000)))))))),".")</f>
        <v>.</v>
      </c>
      <c r="Y21" s="70" t="str">
        <f>IFERROR(IF(AND(s_Irr!X21&lt;&gt;".",s_Irr!AW21&lt;&gt;".",s_Irr!BV21&lt;&gt;"."),s_dir!Y21/((1/1000)*(s_Irr!X21+s_Irr!AW21+s_Irr!BV21)),IF(AND(s_Irr!X21&lt;&gt;".",s_Irr!AW21&lt;&gt;".",s_Irr!BV21="."),s_dir!Y21/((1/1000)*(s_Irr!X21+s_Irr!AW21)),IF(AND(s_Irr!X21&lt;&gt;".",s_Irr!AW21=".",s_Irr!BV21&lt;&gt;"."),s_dir!Y21/((1/1000)*(s_Irr!X21+s_Irr!BV21)),IF(AND(s_Irr!X21=".",s_Irr!AW21&lt;&gt;".",s_Irr!BV21&lt;&gt;"."),s_dir!Y21/((1/1000)*(s_Irr!AW21+s_Irr!BV21)),IF(AND(s_Irr!X21=".",s_Irr!AW21=".",s_Irr!BV21&lt;&gt;"."),s_dir!Y21/((1/1000)*(s_Irr!BV21)),IF(AND(s_Irr!X21=".",s_Irr!AW21&lt;&gt;".",s_Irr!BV21="."),s_dir!Y21/((1/1000)*(s_Irr!AW21)),IF(AND(s_Irr!X21&lt;&gt;".",s_Irr!AW21=".",s_Irr!BV21="."),s_dir!Y21/((1/1000)*(s_Irr!X21)),IF(AND(s_Irr!X21=".",s_Irr!AW21=".",s_Irr!BV21="."),s_dir!Y21*1000)))))))),".")</f>
        <v>.</v>
      </c>
      <c r="Z21" s="70" t="str">
        <f>IFERROR(IF(AND(s_Irr!Y21&lt;&gt;".",s_Irr!AX21&lt;&gt;".",s_Irr!BW21&lt;&gt;"."),s_dir!Z21/((1/1000)*(s_Irr!Y21+s_Irr!AX21+s_Irr!BW21)),IF(AND(s_Irr!Y21&lt;&gt;".",s_Irr!AX21&lt;&gt;".",s_Irr!BW21="."),s_dir!Z21/((1/1000)*(s_Irr!Y21+s_Irr!AX21)),IF(AND(s_Irr!Y21&lt;&gt;".",s_Irr!AX21=".",s_Irr!BW21&lt;&gt;"."),s_dir!Z21/((1/1000)*(s_Irr!Y21+s_Irr!BW21)),IF(AND(s_Irr!Y21=".",s_Irr!AX21&lt;&gt;".",s_Irr!BW21&lt;&gt;"."),s_dir!Z21/((1/1000)*(s_Irr!AX21+s_Irr!BW21)),IF(AND(s_Irr!Y21=".",s_Irr!AX21=".",s_Irr!BW21&lt;&gt;"."),s_dir!Z21/((1/1000)*(s_Irr!BW21)),IF(AND(s_Irr!Y21=".",s_Irr!AX21&lt;&gt;".",s_Irr!BW21="."),s_dir!Z21/((1/1000)*(s_Irr!AX21)),IF(AND(s_Irr!Y21&lt;&gt;".",s_Irr!AX21=".",s_Irr!BW21="."),s_dir!Z21/((1/1000)*(s_Irr!Y21)),IF(AND(s_Irr!Y21=".",s_Irr!AX21=".",s_Irr!BW21="."),s_dir!Z21*1000)))))))),".")</f>
        <v>.</v>
      </c>
      <c r="AA21" s="70" t="str">
        <f>IFERROR(IF(AND(s_Irr!Z21&lt;&gt;".",s_Irr!AY21&lt;&gt;".",s_Irr!BX21&lt;&gt;"."),s_dir!AA21/((1/1000)*(s_Irr!Z21+s_Irr!AY21+s_Irr!BX21)),IF(AND(s_Irr!Z21&lt;&gt;".",s_Irr!AY21&lt;&gt;".",s_Irr!BX21="."),s_dir!AA21/((1/1000)*(s_Irr!Z21+s_Irr!AY21)),IF(AND(s_Irr!Z21&lt;&gt;".",s_Irr!AY21=".",s_Irr!BX21&lt;&gt;"."),s_dir!AA21/((1/1000)*(s_Irr!Z21+s_Irr!BX21)),IF(AND(s_Irr!Z21=".",s_Irr!AY21&lt;&gt;".",s_Irr!BX21&lt;&gt;"."),s_dir!AA21/((1/1000)*(s_Irr!AY21+s_Irr!BX21)),IF(AND(s_Irr!Z21=".",s_Irr!AY21=".",s_Irr!BX21&lt;&gt;"."),s_dir!AA21/((1/1000)*(s_Irr!BX21)),IF(AND(s_Irr!Z21=".",s_Irr!AY21&lt;&gt;".",s_Irr!BX21="."),s_dir!AA21/((1/1000)*(s_Irr!AY21)),IF(AND(s_Irr!Z21&lt;&gt;".",s_Irr!AY21=".",s_Irr!BX21="."),s_dir!AA21/((1/1000)*(s_Irr!Z21)),IF(AND(s_Irr!Z21=".",s_Irr!AY21=".",s_Irr!BX21="."),s_dir!AA21*1000)))))))),".")</f>
        <v>.</v>
      </c>
      <c r="AB21" s="70" t="str">
        <f>IFERROR(IF(AND(s_Irr!AA21&lt;&gt;".",s_Irr!AZ21&lt;&gt;".",s_Irr!BY21&lt;&gt;"."),s_dir!AB21/((1/1000)*(s_Irr!AA21+s_Irr!AZ21+s_Irr!BY21)),IF(AND(s_Irr!AA21&lt;&gt;".",s_Irr!AZ21&lt;&gt;".",s_Irr!BY21="."),s_dir!AB21/((1/1000)*(s_Irr!AA21+s_Irr!AZ21)),IF(AND(s_Irr!AA21&lt;&gt;".",s_Irr!AZ21=".",s_Irr!BY21&lt;&gt;"."),s_dir!AB21/((1/1000)*(s_Irr!AA21+s_Irr!BY21)),IF(AND(s_Irr!AA21=".",s_Irr!AZ21&lt;&gt;".",s_Irr!BY21&lt;&gt;"."),s_dir!AB21/((1/1000)*(s_Irr!AZ21+s_Irr!BY21)),IF(AND(s_Irr!AA21=".",s_Irr!AZ21=".",s_Irr!BY21&lt;&gt;"."),s_dir!AB21/((1/1000)*(s_Irr!BY21)),IF(AND(s_Irr!AA21=".",s_Irr!AZ21&lt;&gt;".",s_Irr!BY21="."),s_dir!AB21/((1/1000)*(s_Irr!AZ21)),IF(AND(s_Irr!AA21&lt;&gt;".",s_Irr!AZ21=".",s_Irr!BY21="."),s_dir!AB21/((1/1000)*(s_Irr!AA21)),IF(AND(s_Irr!AA21=".",s_Irr!AZ21=".",s_Irr!BY21="."),s_dir!AB21*1000)))))))),".")</f>
        <v>.</v>
      </c>
      <c r="AC21" s="87">
        <f t="shared" si="4"/>
        <v>374.32491773106489</v>
      </c>
      <c r="AD21" s="87">
        <f>IFERROR(s_C*s_IFAP_res_adj*s_CF_apple*0.001*(s_Irr!C21+s_Irr!AB21+s_Irr!BA21),".")</f>
        <v>88.757645154967165</v>
      </c>
      <c r="AE21" s="87">
        <f>IFERROR(s_C*s_IFAS_res_adj*s_CF_asparagus*0.001*(s_Irr!D21+s_Irr!AC21+s_Irr!BB21),".")</f>
        <v>99.576899609843579</v>
      </c>
      <c r="AF21" s="87">
        <f>IFERROR(s_C*s_IFBT_res_adj*s_CF_beet*0.001*(s_Irr!E21+s_Irr!AD21+s_Irr!BC21),".")</f>
        <v>97.172620842093266</v>
      </c>
      <c r="AG21" s="87">
        <f>IFERROR(s_C*s_IFBE_res_adj*s_CF_berries*0.001*(s_Irr!F21+s_Irr!AE21+s_Irr!BD21),".")</f>
        <v>88.757645154967165</v>
      </c>
      <c r="AH21" s="87">
        <f>IFERROR(s_C*s_IFBR_res_adj*s_CF_broccoli*0.001*(s_Irr!G21+s_Irr!AF21+s_Irr!BE21),".")</f>
        <v>88.757645154967165</v>
      </c>
      <c r="AI21" s="87">
        <f>IFERROR(s_C*s_IFCB_res_adj*s_CF_cabbage*0.001*(s_Irr!H21+s_Irr!AG21+s_Irr!BF21),".")</f>
        <v>99.576899609843579</v>
      </c>
      <c r="AJ21" s="87">
        <f>IFERROR(s_C*s_IFCR_res_adj*s_CF_carrot*0.001*(s_Irr!I21+s_Irr!AH21+s_Irr!BG21),".")</f>
        <v>97.172620842093266</v>
      </c>
      <c r="AK21" s="87">
        <f>IFERROR(s_C*s_IFCI_res_adj*s_CF_citrus*0.001*(s_Irr!J21+s_Irr!AI21+s_Irr!BH21),".")</f>
        <v>88.757645154967165</v>
      </c>
      <c r="AL21" s="87">
        <f>IFERROR(s_C*s_IFCO_res_adj*s_CF_corn*0.001*(s_Irr!K21+s_Irr!AJ21+s_Irr!BI21),".")</f>
        <v>88.817752124160918</v>
      </c>
      <c r="AM21" s="87">
        <f>IFERROR(s_C*s_IFCU_res_adj*s_CF_cucumber*0.001*(s_Irr!L21+s_Irr!AK21+s_Irr!BJ21),".")</f>
        <v>88.757645154967165</v>
      </c>
      <c r="AN21" s="87">
        <f>IFERROR(s_C*s_IFLE_res_adj*s_CF_lettuce*0.001*(s_Irr!M21+s_Irr!AL21+s_Irr!BK21),".")</f>
        <v>99.576899609843579</v>
      </c>
      <c r="AO21" s="87">
        <f>IFERROR(s_C*s_IFLI_res_adj*s_CF_lima_bean*0.001*(s_Irr!N21+s_Irr!AM21+s_Irr!BL21),".")</f>
        <v>88.862832351056241</v>
      </c>
      <c r="AP21" s="87">
        <f>IFERROR(s_C*s_IFOK_res_adj*s_CF_okra*0.001*(s_Irr!O21+s_Irr!AN21+s_Irr!BM21),".")</f>
        <v>88.757645154967165</v>
      </c>
      <c r="AQ21" s="87">
        <f>IFERROR(s_C*s_IFON_res_adj*s_CF_onion*0.001*(s_Irr!P21+s_Irr!AO21+s_Irr!BN21),".")</f>
        <v>97.172620842093266</v>
      </c>
      <c r="AR21" s="87">
        <f>IFERROR(s_C*s_IFPC_res_adj*s_CF_peach*0.001*(s_Irr!Q21+s_Irr!AP21+s_Irr!BO21),".")</f>
        <v>88.757645154967165</v>
      </c>
      <c r="AS21" s="87">
        <f>IFERROR(s_C*s_IFPR_res_adj*s_CF_pear*0.001*(s_Irr!R21+s_Irr!AQ21+s_Irr!BP21),".")</f>
        <v>88.757645154967165</v>
      </c>
      <c r="AT21" s="87">
        <f>IFERROR(s_C*s_IFPE_res_adj*s_CF_peas*0.001*(s_Irr!S21+s_Irr!AR21+s_Irr!BQ21),".")</f>
        <v>88.862832351056241</v>
      </c>
      <c r="AU21" s="87">
        <f>IFERROR(s_C*s_IFPP_res_adj*s_CF_peppers*0.001*(s_Irr!T21+s_Irr!AS21+s_Irr!BR21),".")</f>
        <v>88.757645154967165</v>
      </c>
      <c r="AV21" s="87">
        <f>IFERROR(s_C*s_IFPT_res_adj*s_CF_potato*0.001*(s_Irr!U21+s_Irr!AT21+s_Irr!BS21),".")</f>
        <v>92.514330729577026</v>
      </c>
      <c r="AW21" s="87">
        <f>IFERROR(s_C*s_IFPU_res_adj*s_CF_pumpkin*0.001*(s_Irr!V21+s_Irr!AU21+s_Irr!BT21),".")</f>
        <v>88.757645154967165</v>
      </c>
      <c r="AX21" s="87">
        <f>IFERROR(s_C*s_IFSN_res_adj*s_CF_snap_bean*0.001*(s_Irr!W21+s_Irr!AV21+s_Irr!BU21),".")</f>
        <v>88.862832351056241</v>
      </c>
      <c r="AY21" s="87">
        <f>IFERROR(s_C*s_IFST_res_adj*s_CF_strawberry*0.001*(s_Irr!X21+s_Irr!AW21+s_Irr!BV21),".")</f>
        <v>88.757645154967165</v>
      </c>
      <c r="AZ21" s="87">
        <f>IFERROR(s_C*s_IFTO_res_adj*s_CF_tomato*0.001*(s_Irr!Y21+s_Irr!AX21+s_Irr!BW21),".")</f>
        <v>88.757645154967165</v>
      </c>
      <c r="BA21" s="87">
        <f>IFERROR(s_C*s_IFRI_res_adj*s_CF_rice*0.001*(s_Irr!Z21+s_Irr!AY21+s_Irr!BX21),".")</f>
        <v>107.99187529696968</v>
      </c>
      <c r="BB21" s="87">
        <f>IFERROR(s_C*s_IFCG_res_adj*s_CF_cereal*0.001*(s_Irr!AA21+s_Irr!AZ21+s_Irr!BY21),".")</f>
        <v>88.817752124160918</v>
      </c>
      <c r="BC21" s="70" t="str">
        <f t="shared" si="1"/>
        <v>.</v>
      </c>
      <c r="BD21" s="70" t="str">
        <f>IFERROR(IF(AND(s_Irr!C21&lt;&gt;".",s_Irr!AB21&lt;&gt;".",s_Irr!BA21&lt;&gt;"."),s_dir!AD21/((1/1000)*(s_Irr!C21+s_Irr!AB21+s_Irr!BA21)),IF(AND(s_Irr!C21&lt;&gt;".",s_Irr!AB21&lt;&gt;".",s_Irr!BA21="."),s_dir!AD21/((1/1000)*(s_Irr!C21+s_Irr!AB21)),IF(AND(s_Irr!C21&lt;&gt;".",s_Irr!AB21=".",s_Irr!BA21&lt;&gt;"."),s_dir!AD21/((1/1000)*(s_Irr!C21+s_Irr!BA21)),IF(AND(s_Irr!C21=".",s_Irr!AB21&lt;&gt;".",s_Irr!BA21&lt;&gt;"."),s_dir!AD21/((1/1000)*(s_Irr!AB21+s_Irr!BA21)),IF(AND(s_Irr!C21=".",s_Irr!AB21=".",s_Irr!BA21&lt;&gt;"."),s_dir!AD21/((1/1000)*(s_Irr!BA21)),IF(AND(s_Irr!C21=".",s_Irr!AB21&lt;&gt;".",s_Irr!BA21="."),s_dir!AD21/((1/1000)*(s_Irr!AB21)),IF(AND(s_Irr!C21&lt;&gt;".",s_Irr!AB21=".",s_Irr!BA21="."),s_dir!AD21/((1/1000)*(s_Irr!C21)),IF(AND(s_Irr!C21=".",s_Irr!AB21=".",s_Irr!BA21="."),s_dir!AD21*1000)))))))),".")</f>
        <v>.</v>
      </c>
      <c r="BE21" s="70" t="str">
        <f>IFERROR(IF(AND(s_Irr!D21&lt;&gt;".",s_Irr!AC21&lt;&gt;".",s_Irr!BB21&lt;&gt;"."),s_dir!AE21/((1/1000)*(s_Irr!D21+s_Irr!AC21+s_Irr!BB21)),IF(AND(s_Irr!D21&lt;&gt;".",s_Irr!AC21&lt;&gt;".",s_Irr!BB21="."),s_dir!AE21/((1/1000)*(s_Irr!D21+s_Irr!AC21)),IF(AND(s_Irr!D21&lt;&gt;".",s_Irr!AC21=".",s_Irr!BB21&lt;&gt;"."),s_dir!AE21/((1/1000)*(s_Irr!D21+s_Irr!BB21)),IF(AND(s_Irr!D21=".",s_Irr!AC21&lt;&gt;".",s_Irr!BB21&lt;&gt;"."),s_dir!AE21/((1/1000)*(s_Irr!AC21+s_Irr!BB21)),IF(AND(s_Irr!D21=".",s_Irr!AC21=".",s_Irr!BB21&lt;&gt;"."),s_dir!AE21/((1/1000)*(s_Irr!BB21)),IF(AND(s_Irr!D21=".",s_Irr!AC21&lt;&gt;".",s_Irr!BB21="."),s_dir!AE21/((1/1000)*(s_Irr!AC21)),IF(AND(s_Irr!D21&lt;&gt;".",s_Irr!AC21=".",s_Irr!BB21="."),s_dir!AE21/((1/1000)*(s_Irr!D21)),IF(AND(s_Irr!D21=".",s_Irr!AC21=".",s_Irr!BB21="."),s_dir!AE21*1000)))))))),".")</f>
        <v>.</v>
      </c>
      <c r="BF21" s="70" t="str">
        <f>IFERROR(IF(AND(s_Irr!E21&lt;&gt;".",s_Irr!AD21&lt;&gt;".",s_Irr!BC21&lt;&gt;"."),s_dir!AF21/((1/1000)*(s_Irr!E21+s_Irr!AD21+s_Irr!BC21)),IF(AND(s_Irr!E21&lt;&gt;".",s_Irr!AD21&lt;&gt;".",s_Irr!BC21="."),s_dir!AF21/((1/1000)*(s_Irr!E21+s_Irr!AD21)),IF(AND(s_Irr!E21&lt;&gt;".",s_Irr!AD21=".",s_Irr!BC21&lt;&gt;"."),s_dir!AF21/((1/1000)*(s_Irr!E21+s_Irr!BC21)),IF(AND(s_Irr!E21=".",s_Irr!AD21&lt;&gt;".",s_Irr!BC21&lt;&gt;"."),s_dir!AF21/((1/1000)*(s_Irr!AD21+s_Irr!BC21)),IF(AND(s_Irr!E21=".",s_Irr!AD21=".",s_Irr!BC21&lt;&gt;"."),s_dir!AF21/((1/1000)*(s_Irr!BC21)),IF(AND(s_Irr!E21=".",s_Irr!AD21&lt;&gt;".",s_Irr!BC21="."),s_dir!AF21/((1/1000)*(s_Irr!AD21)),IF(AND(s_Irr!E21&lt;&gt;".",s_Irr!AD21=".",s_Irr!BC21="."),s_dir!AF21/((1/1000)*(s_Irr!E21)),IF(AND(s_Irr!E21=".",s_Irr!AD21=".",s_Irr!BC21="."),s_dir!AF21*1000)))))))),".")</f>
        <v>.</v>
      </c>
      <c r="BG21" s="70" t="str">
        <f>IFERROR(IF(AND(s_Irr!F21&lt;&gt;".",s_Irr!AE21&lt;&gt;".",s_Irr!BD21&lt;&gt;"."),s_dir!AG21/((1/1000)*(s_Irr!F21+s_Irr!AE21+s_Irr!BD21)),IF(AND(s_Irr!F21&lt;&gt;".",s_Irr!AE21&lt;&gt;".",s_Irr!BD21="."),s_dir!AG21/((1/1000)*(s_Irr!F21+s_Irr!AE21)),IF(AND(s_Irr!F21&lt;&gt;".",s_Irr!AE21=".",s_Irr!BD21&lt;&gt;"."),s_dir!AG21/((1/1000)*(s_Irr!F21+s_Irr!BD21)),IF(AND(s_Irr!F21=".",s_Irr!AE21&lt;&gt;".",s_Irr!BD21&lt;&gt;"."),s_dir!AG21/((1/1000)*(s_Irr!AE21+s_Irr!BD21)),IF(AND(s_Irr!F21=".",s_Irr!AE21=".",s_Irr!BD21&lt;&gt;"."),s_dir!AG21/((1/1000)*(s_Irr!BD21)),IF(AND(s_Irr!F21=".",s_Irr!AE21&lt;&gt;".",s_Irr!BD21="."),s_dir!AG21/((1/1000)*(s_Irr!AE21)),IF(AND(s_Irr!F21&lt;&gt;".",s_Irr!AE21=".",s_Irr!BD21="."),s_dir!AG21/((1/1000)*(s_Irr!F21)),IF(AND(s_Irr!F21=".",s_Irr!AE21=".",s_Irr!BD21="."),s_dir!AG21*1000)))))))),".")</f>
        <v>.</v>
      </c>
      <c r="BH21" s="70" t="str">
        <f>IFERROR(IF(AND(s_Irr!G21&lt;&gt;".",s_Irr!AF21&lt;&gt;".",s_Irr!BE21&lt;&gt;"."),s_dir!AH21/((1/1000)*(s_Irr!G21+s_Irr!AF21+s_Irr!BE21)),IF(AND(s_Irr!G21&lt;&gt;".",s_Irr!AF21&lt;&gt;".",s_Irr!BE21="."),s_dir!AH21/((1/1000)*(s_Irr!G21+s_Irr!AF21)),IF(AND(s_Irr!G21&lt;&gt;".",s_Irr!AF21=".",s_Irr!BE21&lt;&gt;"."),s_dir!AH21/((1/1000)*(s_Irr!G21+s_Irr!BE21)),IF(AND(s_Irr!G21=".",s_Irr!AF21&lt;&gt;".",s_Irr!BE21&lt;&gt;"."),s_dir!AH21/((1/1000)*(s_Irr!AF21+s_Irr!BE21)),IF(AND(s_Irr!G21=".",s_Irr!AF21=".",s_Irr!BE21&lt;&gt;"."),s_dir!AH21/((1/1000)*(s_Irr!BE21)),IF(AND(s_Irr!G21=".",s_Irr!AF21&lt;&gt;".",s_Irr!BE21="."),s_dir!AH21/((1/1000)*(s_Irr!AF21)),IF(AND(s_Irr!G21&lt;&gt;".",s_Irr!AF21=".",s_Irr!BE21="."),s_dir!AH21/((1/1000)*(s_Irr!G21)),IF(AND(s_Irr!G21=".",s_Irr!AF21=".",s_Irr!BE21="."),s_dir!AH21*1000)))))))),".")</f>
        <v>.</v>
      </c>
      <c r="BI21" s="70" t="str">
        <f>IFERROR(IF(AND(s_Irr!H21&lt;&gt;".",s_Irr!AG21&lt;&gt;".",s_Irr!BF21&lt;&gt;"."),s_dir!AI21/((1/1000)*(s_Irr!H21+s_Irr!AG21+s_Irr!BF21)),IF(AND(s_Irr!H21&lt;&gt;".",s_Irr!AG21&lt;&gt;".",s_Irr!BF21="."),s_dir!AI21/((1/1000)*(s_Irr!H21+s_Irr!AG21)),IF(AND(s_Irr!H21&lt;&gt;".",s_Irr!AG21=".",s_Irr!BF21&lt;&gt;"."),s_dir!AI21/((1/1000)*(s_Irr!H21+s_Irr!BF21)),IF(AND(s_Irr!H21=".",s_Irr!AG21&lt;&gt;".",s_Irr!BF21&lt;&gt;"."),s_dir!AI21/((1/1000)*(s_Irr!AG21+s_Irr!BF21)),IF(AND(s_Irr!H21=".",s_Irr!AG21=".",s_Irr!BF21&lt;&gt;"."),s_dir!AI21/((1/1000)*(s_Irr!BF21)),IF(AND(s_Irr!H21=".",s_Irr!AG21&lt;&gt;".",s_Irr!BF21="."),s_dir!AI21/((1/1000)*(s_Irr!AG21)),IF(AND(s_Irr!H21&lt;&gt;".",s_Irr!AG21=".",s_Irr!BF21="."),s_dir!AI21/((1/1000)*(s_Irr!H21)),IF(AND(s_Irr!H21=".",s_Irr!AG21=".",s_Irr!BF21="."),s_dir!AI21*1000)))))))),".")</f>
        <v>.</v>
      </c>
      <c r="BJ21" s="70" t="str">
        <f>IFERROR(IF(AND(s_Irr!I21&lt;&gt;".",s_Irr!AH21&lt;&gt;".",s_Irr!BG21&lt;&gt;"."),s_dir!AJ21/((1/1000)*(s_Irr!I21+s_Irr!AH21+s_Irr!BG21)),IF(AND(s_Irr!I21&lt;&gt;".",s_Irr!AH21&lt;&gt;".",s_Irr!BG21="."),s_dir!AJ21/((1/1000)*(s_Irr!I21+s_Irr!AH21)),IF(AND(s_Irr!I21&lt;&gt;".",s_Irr!AH21=".",s_Irr!BG21&lt;&gt;"."),s_dir!AJ21/((1/1000)*(s_Irr!I21+s_Irr!BG21)),IF(AND(s_Irr!I21=".",s_Irr!AH21&lt;&gt;".",s_Irr!BG21&lt;&gt;"."),s_dir!AJ21/((1/1000)*(s_Irr!AH21+s_Irr!BG21)),IF(AND(s_Irr!I21=".",s_Irr!AH21=".",s_Irr!BG21&lt;&gt;"."),s_dir!AJ21/((1/1000)*(s_Irr!BG21)),IF(AND(s_Irr!I21=".",s_Irr!AH21&lt;&gt;".",s_Irr!BG21="."),s_dir!AJ21/((1/1000)*(s_Irr!AH21)),IF(AND(s_Irr!I21&lt;&gt;".",s_Irr!AH21=".",s_Irr!BG21="."),s_dir!AJ21/((1/1000)*(s_Irr!I21)),IF(AND(s_Irr!I21=".",s_Irr!AH21=".",s_Irr!BG21="."),s_dir!AJ21*1000)))))))),".")</f>
        <v>.</v>
      </c>
      <c r="BK21" s="70" t="str">
        <f>IFERROR(IF(AND(s_Irr!J21&lt;&gt;".",s_Irr!AI21&lt;&gt;".",s_Irr!BH21&lt;&gt;"."),s_dir!AK21/((1/1000)*(s_Irr!J21+s_Irr!AI21+s_Irr!BH21)),IF(AND(s_Irr!J21&lt;&gt;".",s_Irr!AI21&lt;&gt;".",s_Irr!BH21="."),s_dir!AK21/((1/1000)*(s_Irr!J21+s_Irr!AI21)),IF(AND(s_Irr!J21&lt;&gt;".",s_Irr!AI21=".",s_Irr!BH21&lt;&gt;"."),s_dir!AK21/((1/1000)*(s_Irr!J21+s_Irr!BH21)),IF(AND(s_Irr!J21=".",s_Irr!AI21&lt;&gt;".",s_Irr!BH21&lt;&gt;"."),s_dir!AK21/((1/1000)*(s_Irr!AI21+s_Irr!BH21)),IF(AND(s_Irr!J21=".",s_Irr!AI21=".",s_Irr!BH21&lt;&gt;"."),s_dir!AK21/((1/1000)*(s_Irr!BH21)),IF(AND(s_Irr!J21=".",s_Irr!AI21&lt;&gt;".",s_Irr!BH21="."),s_dir!AK21/((1/1000)*(s_Irr!AI21)),IF(AND(s_Irr!J21&lt;&gt;".",s_Irr!AI21=".",s_Irr!BH21="."),s_dir!AK21/((1/1000)*(s_Irr!J21)),IF(AND(s_Irr!J21=".",s_Irr!AI21=".",s_Irr!BH21="."),s_dir!AK21*1000)))))))),".")</f>
        <v>.</v>
      </c>
      <c r="BL21" s="70" t="str">
        <f>IFERROR(IF(AND(s_Irr!K21&lt;&gt;".",s_Irr!AJ21&lt;&gt;".",s_Irr!BI21&lt;&gt;"."),s_dir!AL21/((1/1000)*(s_Irr!K21+s_Irr!AJ21+s_Irr!BI21)),IF(AND(s_Irr!K21&lt;&gt;".",s_Irr!AJ21&lt;&gt;".",s_Irr!BI21="."),s_dir!AL21/((1/1000)*(s_Irr!K21+s_Irr!AJ21)),IF(AND(s_Irr!K21&lt;&gt;".",s_Irr!AJ21=".",s_Irr!BI21&lt;&gt;"."),s_dir!AL21/((1/1000)*(s_Irr!K21+s_Irr!BI21)),IF(AND(s_Irr!K21=".",s_Irr!AJ21&lt;&gt;".",s_Irr!BI21&lt;&gt;"."),s_dir!AL21/((1/1000)*(s_Irr!AJ21+s_Irr!BI21)),IF(AND(s_Irr!K21=".",s_Irr!AJ21=".",s_Irr!BI21&lt;&gt;"."),s_dir!AL21/((1/1000)*(s_Irr!BI21)),IF(AND(s_Irr!K21=".",s_Irr!AJ21&lt;&gt;".",s_Irr!BI21="."),s_dir!AL21/((1/1000)*(s_Irr!AJ21)),IF(AND(s_Irr!K21&lt;&gt;".",s_Irr!AJ21=".",s_Irr!BI21="."),s_dir!AL21/((1/1000)*(s_Irr!K21)),IF(AND(s_Irr!K21=".",s_Irr!AJ21=".",s_Irr!BI21="."),s_dir!AL21*1000)))))))),".")</f>
        <v>.</v>
      </c>
      <c r="BM21" s="70" t="str">
        <f>IFERROR(IF(AND(s_Irr!L21&lt;&gt;".",s_Irr!AK21&lt;&gt;".",s_Irr!BJ21&lt;&gt;"."),s_dir!AM21/((1/1000)*(s_Irr!L21+s_Irr!AK21+s_Irr!BJ21)),IF(AND(s_Irr!L21&lt;&gt;".",s_Irr!AK21&lt;&gt;".",s_Irr!BJ21="."),s_dir!AM21/((1/1000)*(s_Irr!L21+s_Irr!AK21)),IF(AND(s_Irr!L21&lt;&gt;".",s_Irr!AK21=".",s_Irr!BJ21&lt;&gt;"."),s_dir!AM21/((1/1000)*(s_Irr!L21+s_Irr!BJ21)),IF(AND(s_Irr!L21=".",s_Irr!AK21&lt;&gt;".",s_Irr!BJ21&lt;&gt;"."),s_dir!AM21/((1/1000)*(s_Irr!AK21+s_Irr!BJ21)),IF(AND(s_Irr!L21=".",s_Irr!AK21=".",s_Irr!BJ21&lt;&gt;"."),s_dir!AM21/((1/1000)*(s_Irr!BJ21)),IF(AND(s_Irr!L21=".",s_Irr!AK21&lt;&gt;".",s_Irr!BJ21="."),s_dir!AM21/((1/1000)*(s_Irr!AK21)),IF(AND(s_Irr!L21&lt;&gt;".",s_Irr!AK21=".",s_Irr!BJ21="."),s_dir!AM21/((1/1000)*(s_Irr!L21)),IF(AND(s_Irr!L21=".",s_Irr!AK21=".",s_Irr!BJ21="."),s_dir!AM21*1000)))))))),".")</f>
        <v>.</v>
      </c>
      <c r="BN21" s="70" t="str">
        <f>IFERROR(IF(AND(s_Irr!M21&lt;&gt;".",s_Irr!AL21&lt;&gt;".",s_Irr!BK21&lt;&gt;"."),s_dir!AN21/((1/1000)*(s_Irr!M21+s_Irr!AL21+s_Irr!BK21)),IF(AND(s_Irr!M21&lt;&gt;".",s_Irr!AL21&lt;&gt;".",s_Irr!BK21="."),s_dir!AN21/((1/1000)*(s_Irr!M21+s_Irr!AL21)),IF(AND(s_Irr!M21&lt;&gt;".",s_Irr!AL21=".",s_Irr!BK21&lt;&gt;"."),s_dir!AN21/((1/1000)*(s_Irr!M21+s_Irr!BK21)),IF(AND(s_Irr!M21=".",s_Irr!AL21&lt;&gt;".",s_Irr!BK21&lt;&gt;"."),s_dir!AN21/((1/1000)*(s_Irr!AL21+s_Irr!BK21)),IF(AND(s_Irr!M21=".",s_Irr!AL21=".",s_Irr!BK21&lt;&gt;"."),s_dir!AN21/((1/1000)*(s_Irr!BK21)),IF(AND(s_Irr!M21=".",s_Irr!AL21&lt;&gt;".",s_Irr!BK21="."),s_dir!AN21/((1/1000)*(s_Irr!AL21)),IF(AND(s_Irr!M21&lt;&gt;".",s_Irr!AL21=".",s_Irr!BK21="."),s_dir!AN21/((1/1000)*(s_Irr!M21)),IF(AND(s_Irr!M21=".",s_Irr!AL21=".",s_Irr!BK21="."),s_dir!AN21*1000)))))))),".")</f>
        <v>.</v>
      </c>
      <c r="BO21" s="70" t="str">
        <f>IFERROR(IF(AND(s_Irr!N21&lt;&gt;".",s_Irr!AM21&lt;&gt;".",s_Irr!BL21&lt;&gt;"."),s_dir!AO21/((1/1000)*(s_Irr!N21+s_Irr!AM21+s_Irr!BL21)),IF(AND(s_Irr!N21&lt;&gt;".",s_Irr!AM21&lt;&gt;".",s_Irr!BL21="."),s_dir!AO21/((1/1000)*(s_Irr!N21+s_Irr!AM21)),IF(AND(s_Irr!N21&lt;&gt;".",s_Irr!AM21=".",s_Irr!BL21&lt;&gt;"."),s_dir!AO21/((1/1000)*(s_Irr!N21+s_Irr!BL21)),IF(AND(s_Irr!N21=".",s_Irr!AM21&lt;&gt;".",s_Irr!BL21&lt;&gt;"."),s_dir!AO21/((1/1000)*(s_Irr!AM21+s_Irr!BL21)),IF(AND(s_Irr!N21=".",s_Irr!AM21=".",s_Irr!BL21&lt;&gt;"."),s_dir!AO21/((1/1000)*(s_Irr!BL21)),IF(AND(s_Irr!N21=".",s_Irr!AM21&lt;&gt;".",s_Irr!BL21="."),s_dir!AO21/((1/1000)*(s_Irr!AM21)),IF(AND(s_Irr!N21&lt;&gt;".",s_Irr!AM21=".",s_Irr!BL21="."),s_dir!AO21/((1/1000)*(s_Irr!N21)),IF(AND(s_Irr!N21=".",s_Irr!AM21=".",s_Irr!BL21="."),s_dir!AO21*1000)))))))),".")</f>
        <v>.</v>
      </c>
      <c r="BP21" s="70" t="str">
        <f>IFERROR(IF(AND(s_Irr!O21&lt;&gt;".",s_Irr!AN21&lt;&gt;".",s_Irr!BM21&lt;&gt;"."),s_dir!AP21/((1/1000)*(s_Irr!O21+s_Irr!AN21+s_Irr!BM21)),IF(AND(s_Irr!O21&lt;&gt;".",s_Irr!AN21&lt;&gt;".",s_Irr!BM21="."),s_dir!AP21/((1/1000)*(s_Irr!O21+s_Irr!AN21)),IF(AND(s_Irr!O21&lt;&gt;".",s_Irr!AN21=".",s_Irr!BM21&lt;&gt;"."),s_dir!AP21/((1/1000)*(s_Irr!O21+s_Irr!BM21)),IF(AND(s_Irr!O21=".",s_Irr!AN21&lt;&gt;".",s_Irr!BM21&lt;&gt;"."),s_dir!AP21/((1/1000)*(s_Irr!AN21+s_Irr!BM21)),IF(AND(s_Irr!O21=".",s_Irr!AN21=".",s_Irr!BM21&lt;&gt;"."),s_dir!AP21/((1/1000)*(s_Irr!BM21)),IF(AND(s_Irr!O21=".",s_Irr!AN21&lt;&gt;".",s_Irr!BM21="."),s_dir!AP21/((1/1000)*(s_Irr!AN21)),IF(AND(s_Irr!O21&lt;&gt;".",s_Irr!AN21=".",s_Irr!BM21="."),s_dir!AP21/((1/1000)*(s_Irr!O21)),IF(AND(s_Irr!O21=".",s_Irr!AN21=".",s_Irr!BM21="."),s_dir!AP21*1000)))))))),".")</f>
        <v>.</v>
      </c>
      <c r="BQ21" s="70" t="str">
        <f>IFERROR(IF(AND(s_Irr!P21&lt;&gt;".",s_Irr!AO21&lt;&gt;".",s_Irr!BN21&lt;&gt;"."),s_dir!AQ21/((1/1000)*(s_Irr!P21+s_Irr!AO21+s_Irr!BN21)),IF(AND(s_Irr!P21&lt;&gt;".",s_Irr!AO21&lt;&gt;".",s_Irr!BN21="."),s_dir!AQ21/((1/1000)*(s_Irr!P21+s_Irr!AO21)),IF(AND(s_Irr!P21&lt;&gt;".",s_Irr!AO21=".",s_Irr!BN21&lt;&gt;"."),s_dir!AQ21/((1/1000)*(s_Irr!P21+s_Irr!BN21)),IF(AND(s_Irr!P21=".",s_Irr!AO21&lt;&gt;".",s_Irr!BN21&lt;&gt;"."),s_dir!AQ21/((1/1000)*(s_Irr!AO21+s_Irr!BN21)),IF(AND(s_Irr!P21=".",s_Irr!AO21=".",s_Irr!BN21&lt;&gt;"."),s_dir!AQ21/((1/1000)*(s_Irr!BN21)),IF(AND(s_Irr!P21=".",s_Irr!AO21&lt;&gt;".",s_Irr!BN21="."),s_dir!AQ21/((1/1000)*(s_Irr!AO21)),IF(AND(s_Irr!P21&lt;&gt;".",s_Irr!AO21=".",s_Irr!BN21="."),s_dir!AQ21/((1/1000)*(s_Irr!P21)),IF(AND(s_Irr!P21=".",s_Irr!AO21=".",s_Irr!BN21="."),s_dir!AQ21*1000)))))))),".")</f>
        <v>.</v>
      </c>
      <c r="BR21" s="70" t="str">
        <f>IFERROR(IF(AND(s_Irr!Q21&lt;&gt;".",s_Irr!AP21&lt;&gt;".",s_Irr!BO21&lt;&gt;"."),s_dir!AR21/((1/1000)*(s_Irr!Q21+s_Irr!AP21+s_Irr!BO21)),IF(AND(s_Irr!Q21&lt;&gt;".",s_Irr!AP21&lt;&gt;".",s_Irr!BO21="."),s_dir!AR21/((1/1000)*(s_Irr!Q21+s_Irr!AP21)),IF(AND(s_Irr!Q21&lt;&gt;".",s_Irr!AP21=".",s_Irr!BO21&lt;&gt;"."),s_dir!AR21/((1/1000)*(s_Irr!Q21+s_Irr!BO21)),IF(AND(s_Irr!Q21=".",s_Irr!AP21&lt;&gt;".",s_Irr!BO21&lt;&gt;"."),s_dir!AR21/((1/1000)*(s_Irr!AP21+s_Irr!BO21)),IF(AND(s_Irr!Q21=".",s_Irr!AP21=".",s_Irr!BO21&lt;&gt;"."),s_dir!AR21/((1/1000)*(s_Irr!BO21)),IF(AND(s_Irr!Q21=".",s_Irr!AP21&lt;&gt;".",s_Irr!BO21="."),s_dir!AR21/((1/1000)*(s_Irr!AP21)),IF(AND(s_Irr!Q21&lt;&gt;".",s_Irr!AP21=".",s_Irr!BO21="."),s_dir!AR21/((1/1000)*(s_Irr!Q21)),IF(AND(s_Irr!Q21=".",s_Irr!AP21=".",s_Irr!BO21="."),s_dir!AR21*1000)))))))),".")</f>
        <v>.</v>
      </c>
      <c r="BS21" s="70" t="str">
        <f>IFERROR(IF(AND(s_Irr!R21&lt;&gt;".",s_Irr!AQ21&lt;&gt;".",s_Irr!BP21&lt;&gt;"."),s_dir!AS21/((1/1000)*(s_Irr!R21+s_Irr!AQ21+s_Irr!BP21)),IF(AND(s_Irr!R21&lt;&gt;".",s_Irr!AQ21&lt;&gt;".",s_Irr!BP21="."),s_dir!AS21/((1/1000)*(s_Irr!R21+s_Irr!AQ21)),IF(AND(s_Irr!R21&lt;&gt;".",s_Irr!AQ21=".",s_Irr!BP21&lt;&gt;"."),s_dir!AS21/((1/1000)*(s_Irr!R21+s_Irr!BP21)),IF(AND(s_Irr!R21=".",s_Irr!AQ21&lt;&gt;".",s_Irr!BP21&lt;&gt;"."),s_dir!AS21/((1/1000)*(s_Irr!AQ21+s_Irr!BP21)),IF(AND(s_Irr!R21=".",s_Irr!AQ21=".",s_Irr!BP21&lt;&gt;"."),s_dir!AS21/((1/1000)*(s_Irr!BP21)),IF(AND(s_Irr!R21=".",s_Irr!AQ21&lt;&gt;".",s_Irr!BP21="."),s_dir!AS21/((1/1000)*(s_Irr!AQ21)),IF(AND(s_Irr!R21&lt;&gt;".",s_Irr!AQ21=".",s_Irr!BP21="."),s_dir!AS21/((1/1000)*(s_Irr!R21)),IF(AND(s_Irr!R21=".",s_Irr!AQ21=".",s_Irr!BP21="."),s_dir!AS21*1000)))))))),".")</f>
        <v>.</v>
      </c>
      <c r="BT21" s="70" t="str">
        <f>IFERROR(IF(AND(s_Irr!S21&lt;&gt;".",s_Irr!AR21&lt;&gt;".",s_Irr!BQ21&lt;&gt;"."),s_dir!AT21/((1/1000)*(s_Irr!S21+s_Irr!AR21+s_Irr!BQ21)),IF(AND(s_Irr!S21&lt;&gt;".",s_Irr!AR21&lt;&gt;".",s_Irr!BQ21="."),s_dir!AT21/((1/1000)*(s_Irr!S21+s_Irr!AR21)),IF(AND(s_Irr!S21&lt;&gt;".",s_Irr!AR21=".",s_Irr!BQ21&lt;&gt;"."),s_dir!AT21/((1/1000)*(s_Irr!S21+s_Irr!BQ21)),IF(AND(s_Irr!S21=".",s_Irr!AR21&lt;&gt;".",s_Irr!BQ21&lt;&gt;"."),s_dir!AT21/((1/1000)*(s_Irr!AR21+s_Irr!BQ21)),IF(AND(s_Irr!S21=".",s_Irr!AR21=".",s_Irr!BQ21&lt;&gt;"."),s_dir!AT21/((1/1000)*(s_Irr!BQ21)),IF(AND(s_Irr!S21=".",s_Irr!AR21&lt;&gt;".",s_Irr!BQ21="."),s_dir!AT21/((1/1000)*(s_Irr!AR21)),IF(AND(s_Irr!S21&lt;&gt;".",s_Irr!AR21=".",s_Irr!BQ21="."),s_dir!AT21/((1/1000)*(s_Irr!S21)),IF(AND(s_Irr!S21=".",s_Irr!AR21=".",s_Irr!BQ21="."),s_dir!AT21*1000)))))))),".")</f>
        <v>.</v>
      </c>
      <c r="BU21" s="70" t="str">
        <f>IFERROR(IF(AND(s_Irr!T21&lt;&gt;".",s_Irr!AS21&lt;&gt;".",s_Irr!BR21&lt;&gt;"."),s_dir!AU21/((1/1000)*(s_Irr!T21+s_Irr!AS21+s_Irr!BR21)),IF(AND(s_Irr!T21&lt;&gt;".",s_Irr!AS21&lt;&gt;".",s_Irr!BR21="."),s_dir!AU21/((1/1000)*(s_Irr!T21+s_Irr!AS21)),IF(AND(s_Irr!T21&lt;&gt;".",s_Irr!AS21=".",s_Irr!BR21&lt;&gt;"."),s_dir!AU21/((1/1000)*(s_Irr!T21+s_Irr!BR21)),IF(AND(s_Irr!T21=".",s_Irr!AS21&lt;&gt;".",s_Irr!BR21&lt;&gt;"."),s_dir!AU21/((1/1000)*(s_Irr!AS21+s_Irr!BR21)),IF(AND(s_Irr!T21=".",s_Irr!AS21=".",s_Irr!BR21&lt;&gt;"."),s_dir!AU21/((1/1000)*(s_Irr!BR21)),IF(AND(s_Irr!T21=".",s_Irr!AS21&lt;&gt;".",s_Irr!BR21="."),s_dir!AU21/((1/1000)*(s_Irr!AS21)),IF(AND(s_Irr!T21&lt;&gt;".",s_Irr!AS21=".",s_Irr!BR21="."),s_dir!AU21/((1/1000)*(s_Irr!T21)),IF(AND(s_Irr!T21=".",s_Irr!AS21=".",s_Irr!BR21="."),s_dir!AU21*1000)))))))),".")</f>
        <v>.</v>
      </c>
      <c r="BV21" s="70" t="str">
        <f>IFERROR(IF(AND(s_Irr!U21&lt;&gt;".",s_Irr!AT21&lt;&gt;".",s_Irr!BS21&lt;&gt;"."),s_dir!AV21/((1/1000)*(s_Irr!U21+s_Irr!AT21+s_Irr!BS21)),IF(AND(s_Irr!U21&lt;&gt;".",s_Irr!AT21&lt;&gt;".",s_Irr!BS21="."),s_dir!AV21/((1/1000)*(s_Irr!U21+s_Irr!AT21)),IF(AND(s_Irr!U21&lt;&gt;".",s_Irr!AT21=".",s_Irr!BS21&lt;&gt;"."),s_dir!AV21/((1/1000)*(s_Irr!U21+s_Irr!BS21)),IF(AND(s_Irr!U21=".",s_Irr!AT21&lt;&gt;".",s_Irr!BS21&lt;&gt;"."),s_dir!AV21/((1/1000)*(s_Irr!AT21+s_Irr!BS21)),IF(AND(s_Irr!U21=".",s_Irr!AT21=".",s_Irr!BS21&lt;&gt;"."),s_dir!AV21/((1/1000)*(s_Irr!BS21)),IF(AND(s_Irr!U21=".",s_Irr!AT21&lt;&gt;".",s_Irr!BS21="."),s_dir!AV21/((1/1000)*(s_Irr!AT21)),IF(AND(s_Irr!U21&lt;&gt;".",s_Irr!AT21=".",s_Irr!BS21="."),s_dir!AV21/((1/1000)*(s_Irr!U21)),IF(AND(s_Irr!U21=".",s_Irr!AT21=".",s_Irr!BS21="."),s_dir!AV21*1000)))))))),".")</f>
        <v>.</v>
      </c>
      <c r="BW21" s="70" t="str">
        <f>IFERROR(IF(AND(s_Irr!V21&lt;&gt;".",s_Irr!AU21&lt;&gt;".",s_Irr!BT21&lt;&gt;"."),s_dir!AW21/((1/1000)*(s_Irr!V21+s_Irr!AU21+s_Irr!BT21)),IF(AND(s_Irr!V21&lt;&gt;".",s_Irr!AU21&lt;&gt;".",s_Irr!BT21="."),s_dir!AW21/((1/1000)*(s_Irr!V21+s_Irr!AU21)),IF(AND(s_Irr!V21&lt;&gt;".",s_Irr!AU21=".",s_Irr!BT21&lt;&gt;"."),s_dir!AW21/((1/1000)*(s_Irr!V21+s_Irr!BT21)),IF(AND(s_Irr!V21=".",s_Irr!AU21&lt;&gt;".",s_Irr!BT21&lt;&gt;"."),s_dir!AW21/((1/1000)*(s_Irr!AU21+s_Irr!BT21)),IF(AND(s_Irr!V21=".",s_Irr!AU21=".",s_Irr!BT21&lt;&gt;"."),s_dir!AW21/((1/1000)*(s_Irr!BT21)),IF(AND(s_Irr!V21=".",s_Irr!AU21&lt;&gt;".",s_Irr!BT21="."),s_dir!AW21/((1/1000)*(s_Irr!AU21)),IF(AND(s_Irr!V21&lt;&gt;".",s_Irr!AU21=".",s_Irr!BT21="."),s_dir!AW21/((1/1000)*(s_Irr!V21)),IF(AND(s_Irr!V21=".",s_Irr!AU21=".",s_Irr!BT21="."),s_dir!AW21*1000)))))))),".")</f>
        <v>.</v>
      </c>
      <c r="BX21" s="70" t="str">
        <f>IFERROR(IF(AND(s_Irr!W21&lt;&gt;".",s_Irr!AV21&lt;&gt;".",s_Irr!BU21&lt;&gt;"."),s_dir!AX21/((1/1000)*(s_Irr!W21+s_Irr!AV21+s_Irr!BU21)),IF(AND(s_Irr!W21&lt;&gt;".",s_Irr!AV21&lt;&gt;".",s_Irr!BU21="."),s_dir!AX21/((1/1000)*(s_Irr!W21+s_Irr!AV21)),IF(AND(s_Irr!W21&lt;&gt;".",s_Irr!AV21=".",s_Irr!BU21&lt;&gt;"."),s_dir!AX21/((1/1000)*(s_Irr!W21+s_Irr!BU21)),IF(AND(s_Irr!W21=".",s_Irr!AV21&lt;&gt;".",s_Irr!BU21&lt;&gt;"."),s_dir!AX21/((1/1000)*(s_Irr!AV21+s_Irr!BU21)),IF(AND(s_Irr!W21=".",s_Irr!AV21=".",s_Irr!BU21&lt;&gt;"."),s_dir!AX21/((1/1000)*(s_Irr!BU21)),IF(AND(s_Irr!W21=".",s_Irr!AV21&lt;&gt;".",s_Irr!BU21="."),s_dir!AX21/((1/1000)*(s_Irr!AV21)),IF(AND(s_Irr!W21&lt;&gt;".",s_Irr!AV21=".",s_Irr!BU21="."),s_dir!AX21/((1/1000)*(s_Irr!W21)),IF(AND(s_Irr!W21=".",s_Irr!AV21=".",s_Irr!BU21="."),s_dir!AX21*1000)))))))),".")</f>
        <v>.</v>
      </c>
      <c r="BY21" s="70" t="str">
        <f>IFERROR(IF(AND(s_Irr!X21&lt;&gt;".",s_Irr!AW21&lt;&gt;".",s_Irr!BV21&lt;&gt;"."),s_dir!AY21/((1/1000)*(s_Irr!X21+s_Irr!AW21+s_Irr!BV21)),IF(AND(s_Irr!X21&lt;&gt;".",s_Irr!AW21&lt;&gt;".",s_Irr!BV21="."),s_dir!AY21/((1/1000)*(s_Irr!X21+s_Irr!AW21)),IF(AND(s_Irr!X21&lt;&gt;".",s_Irr!AW21=".",s_Irr!BV21&lt;&gt;"."),s_dir!AY21/((1/1000)*(s_Irr!X21+s_Irr!BV21)),IF(AND(s_Irr!X21=".",s_Irr!AW21&lt;&gt;".",s_Irr!BV21&lt;&gt;"."),s_dir!AY21/((1/1000)*(s_Irr!AW21+s_Irr!BV21)),IF(AND(s_Irr!X21=".",s_Irr!AW21=".",s_Irr!BV21&lt;&gt;"."),s_dir!AY21/((1/1000)*(s_Irr!BV21)),IF(AND(s_Irr!X21=".",s_Irr!AW21&lt;&gt;".",s_Irr!BV21="."),s_dir!AY21/((1/1000)*(s_Irr!AW21)),IF(AND(s_Irr!X21&lt;&gt;".",s_Irr!AW21=".",s_Irr!BV21="."),s_dir!AY21/((1/1000)*(s_Irr!X21)),IF(AND(s_Irr!X21=".",s_Irr!AW21=".",s_Irr!BV21="."),s_dir!AY21*1000)))))))),".")</f>
        <v>.</v>
      </c>
      <c r="BZ21" s="70" t="str">
        <f>IFERROR(IF(AND(s_Irr!Y21&lt;&gt;".",s_Irr!AX21&lt;&gt;".",s_Irr!BW21&lt;&gt;"."),s_dir!AZ21/((1/1000)*(s_Irr!Y21+s_Irr!AX21+s_Irr!BW21)),IF(AND(s_Irr!Y21&lt;&gt;".",s_Irr!AX21&lt;&gt;".",s_Irr!BW21="."),s_dir!AZ21/((1/1000)*(s_Irr!Y21+s_Irr!AX21)),IF(AND(s_Irr!Y21&lt;&gt;".",s_Irr!AX21=".",s_Irr!BW21&lt;&gt;"."),s_dir!AZ21/((1/1000)*(s_Irr!Y21+s_Irr!BW21)),IF(AND(s_Irr!Y21=".",s_Irr!AX21&lt;&gt;".",s_Irr!BW21&lt;&gt;"."),s_dir!AZ21/((1/1000)*(s_Irr!AX21+s_Irr!BW21)),IF(AND(s_Irr!Y21=".",s_Irr!AX21=".",s_Irr!BW21&lt;&gt;"."),s_dir!AZ21/((1/1000)*(s_Irr!BW21)),IF(AND(s_Irr!Y21=".",s_Irr!AX21&lt;&gt;".",s_Irr!BW21="."),s_dir!AZ21/((1/1000)*(s_Irr!AX21)),IF(AND(s_Irr!Y21&lt;&gt;".",s_Irr!AX21=".",s_Irr!BW21="."),s_dir!AZ21/((1/1000)*(s_Irr!Y21)),IF(AND(s_Irr!Y21=".",s_Irr!AX21=".",s_Irr!BW21="."),s_dir!AZ21*1000)))))))),".")</f>
        <v>.</v>
      </c>
      <c r="CA21" s="70" t="str">
        <f>IFERROR(IF(AND(s_Irr!Z21&lt;&gt;".",s_Irr!AY21&lt;&gt;".",s_Irr!BX21&lt;&gt;"."),s_dir!BA21/((1/1000)*(s_Irr!Z21+s_Irr!AY21+s_Irr!BX21)),IF(AND(s_Irr!Z21&lt;&gt;".",s_Irr!AY21&lt;&gt;".",s_Irr!BX21="."),s_dir!BA21/((1/1000)*(s_Irr!Z21+s_Irr!AY21)),IF(AND(s_Irr!Z21&lt;&gt;".",s_Irr!AY21=".",s_Irr!BX21&lt;&gt;"."),s_dir!BA21/((1/1000)*(s_Irr!Z21+s_Irr!BX21)),IF(AND(s_Irr!Z21=".",s_Irr!AY21&lt;&gt;".",s_Irr!BX21&lt;&gt;"."),s_dir!BA21/((1/1000)*(s_Irr!AY21+s_Irr!BX21)),IF(AND(s_Irr!Z21=".",s_Irr!AY21=".",s_Irr!BX21&lt;&gt;"."),s_dir!BA21/((1/1000)*(s_Irr!BX21)),IF(AND(s_Irr!Z21=".",s_Irr!AY21&lt;&gt;".",s_Irr!BX21="."),s_dir!BA21/((1/1000)*(s_Irr!AY21)),IF(AND(s_Irr!Z21&lt;&gt;".",s_Irr!AY21=".",s_Irr!BX21="."),s_dir!BA21/((1/1000)*(s_Irr!Z21)),IF(AND(s_Irr!Z21=".",s_Irr!AY21=".",s_Irr!BX21="."),s_dir!BA21*1000)))))))),".")</f>
        <v>.</v>
      </c>
      <c r="CB21" s="70" t="str">
        <f>IFERROR(IF(AND(s_Irr!AA21&lt;&gt;".",s_Irr!AZ21&lt;&gt;".",s_Irr!BY21&lt;&gt;"."),s_dir!BB21/((1/1000)*(s_Irr!AA21+s_Irr!AZ21+s_Irr!BY21)),IF(AND(s_Irr!AA21&lt;&gt;".",s_Irr!AZ21&lt;&gt;".",s_Irr!BY21="."),s_dir!BB21/((1/1000)*(s_Irr!AA21+s_Irr!AZ21)),IF(AND(s_Irr!AA21&lt;&gt;".",s_Irr!AZ21=".",s_Irr!BY21&lt;&gt;"."),s_dir!BB21/((1/1000)*(s_Irr!AA21+s_Irr!BY21)),IF(AND(s_Irr!AA21=".",s_Irr!AZ21&lt;&gt;".",s_Irr!BY21&lt;&gt;"."),s_dir!BB21/((1/1000)*(s_Irr!AZ21+s_Irr!BY21)),IF(AND(s_Irr!AA21=".",s_Irr!AZ21=".",s_Irr!BY21&lt;&gt;"."),s_dir!BB21/((1/1000)*(s_Irr!BY21)),IF(AND(s_Irr!AA21=".",s_Irr!AZ21&lt;&gt;".",s_Irr!BY21="."),s_dir!BB21/((1/1000)*(s_Irr!AZ21)),IF(AND(s_Irr!AA21&lt;&gt;".",s_Irr!AZ21=".",s_Irr!BY21="."),s_dir!BB21/((1/1000)*(s_Irr!AA21)),IF(AND(s_Irr!AA21=".",s_Irr!AZ21=".",s_Irr!BY21="."),s_dir!BB21*1000)))))))),".")</f>
        <v>.</v>
      </c>
      <c r="CC21" s="87">
        <f t="shared" si="2"/>
        <v>374.32491773106489</v>
      </c>
      <c r="CD21" s="87">
        <f>IFERROR(s_C*s_IFAP_far_adj*s_CF_apple*(1/1000)*(s_Irr!C21+s_Irr!AB21+s_Irr!BA21),".")</f>
        <v>88.757645154967165</v>
      </c>
      <c r="CE21" s="87">
        <f>IFERROR(s_C*s_IFAS_far_adj*s_CF_asparagus*(1/1000)*(s_Irr!D21+s_Irr!AC21+s_Irr!BB21),".")</f>
        <v>99.576899609843579</v>
      </c>
      <c r="CF21" s="87">
        <f>IFERROR(s_C*s_IFBT_far_adj*s_CF_beet*(1/1000)*(s_Irr!E21+s_Irr!AD21+s_Irr!BC21),".")</f>
        <v>97.172620842093266</v>
      </c>
      <c r="CG21" s="87">
        <f>IFERROR(s_C*s_IFBE_far_adj*s_CF_berries*(1/1000)*(s_Irr!F21+s_Irr!AE21+s_Irr!BD21),".")</f>
        <v>88.757645154967165</v>
      </c>
      <c r="CH21" s="87">
        <f>IFERROR(s_C*s_IFBR_far_adj*s_CF_broccoli*(1/1000)*(s_Irr!G21+s_Irr!AF21+s_Irr!BE21),".")</f>
        <v>88.757645154967165</v>
      </c>
      <c r="CI21" s="87">
        <f>IFERROR(s_C*s_IFCB_far_adj*s_CF_cabbage*(1/1000)*(s_Irr!H21+s_Irr!AG21+s_Irr!BF21),".")</f>
        <v>99.576899609843579</v>
      </c>
      <c r="CJ21" s="87">
        <f>IFERROR(s_C*s_IFCR_far_adj*s_CF_carrot*(1/1000)*(s_Irr!I21+s_Irr!AH21+s_Irr!BG21),".")</f>
        <v>97.172620842093266</v>
      </c>
      <c r="CK21" s="87">
        <f>IFERROR(s_C*s_IFCI_far_adj*s_CF_citrus*(1/1000)*(s_Irr!J21+s_Irr!AI21+s_Irr!BH21),".")</f>
        <v>88.757645154967165</v>
      </c>
      <c r="CL21" s="87">
        <f>IFERROR(s_C*s_IFCO_far_adj*s_CF_corn*(1/1000)*(s_Irr!K21+s_Irr!AJ21+s_Irr!BI21),".")</f>
        <v>88.817752124160918</v>
      </c>
      <c r="CM21" s="87">
        <f>IFERROR(s_C*s_IFCU_far_adj*s_CF_cucumber*(1/1000)*(s_Irr!L21+s_Irr!AK21+s_Irr!BJ21),".")</f>
        <v>88.757645154967165</v>
      </c>
      <c r="CN21" s="87">
        <f>IFERROR(s_C*s_IFLE_far_adj*s_CF_lettuce*(1/1000)*(s_Irr!M21+s_Irr!AL21+s_Irr!BK21),".")</f>
        <v>99.576899609843579</v>
      </c>
      <c r="CO21" s="87">
        <f>IFERROR(s_C*s_IFLI_far_adj*s_CF_lima_bean*(1/1000)*(s_Irr!N21+s_Irr!AM21+s_Irr!BL21),".")</f>
        <v>88.862832351056241</v>
      </c>
      <c r="CP21" s="87">
        <f>IFERROR(s_C*s_IFOK_far_adj*s_CF_okra*(1/1000)*(s_Irr!O21+s_Irr!AN21+s_Irr!BM21),".")</f>
        <v>88.757645154967165</v>
      </c>
      <c r="CQ21" s="87">
        <f>IFERROR(s_C*s_IFON_far_adj*s_CF_onion*(1/1000)*(s_Irr!P21+s_Irr!AO21+s_Irr!BN21),".")</f>
        <v>97.172620842093266</v>
      </c>
      <c r="CR21" s="87">
        <f>IFERROR(s_C*s_IFPC_far_adj*s_CF_peach*(1/1000)*(s_Irr!Q21+s_Irr!AP21+s_Irr!BO21),".")</f>
        <v>88.757645154967165</v>
      </c>
      <c r="CS21" s="87">
        <f>IFERROR(s_C*s_IFPR_far_adj*s_CF_pear*(1/1000)*(s_Irr!R21+s_Irr!AQ21+s_Irr!BP21),".")</f>
        <v>88.757645154967165</v>
      </c>
      <c r="CT21" s="87">
        <f>IFERROR(s_C*s_IFPE_far_adj*s_CF_peas*(1/1000)*(s_Irr!S21+s_Irr!AR21+s_Irr!BQ21),".")</f>
        <v>88.862832351056241</v>
      </c>
      <c r="CU21" s="87">
        <f>IFERROR(s_C*s_IFPP_far_adj*s_CF_peppers*(1/1000)*(s_Irr!T21+s_Irr!AS21+s_Irr!BR21),".")</f>
        <v>88.757645154967165</v>
      </c>
      <c r="CV21" s="87">
        <f>IFERROR(s_C*s_IFPT_far_adj*s_CF_potato*(1/1000)*(s_Irr!U21+s_Irr!AT21+s_Irr!BS21),".")</f>
        <v>92.514330729577026</v>
      </c>
      <c r="CW21" s="87">
        <f>IFERROR(s_C*s_IFPU_far_adj*s_CF_pumpkin*(1/1000)*(s_Irr!V21+s_Irr!AU21+s_Irr!BT21),".")</f>
        <v>88.757645154967165</v>
      </c>
      <c r="CX21" s="87">
        <f>IFERROR(s_C*s_IFSN_far_adj*s_CF_snap_bean*(1/1000)*(s_Irr!W21+s_Irr!AV21+s_Irr!BU21),".")</f>
        <v>88.862832351056241</v>
      </c>
      <c r="CY21" s="87">
        <f>IFERROR(s_C*s_IFST_far_adj*s_CF_strawberry*(1/1000)*(s_Irr!X21+s_Irr!AW21+s_Irr!BV21),".")</f>
        <v>88.757645154967165</v>
      </c>
      <c r="CZ21" s="87">
        <f>IFERROR(s_C*s_IFTO_far_adj*s_CF_tomato*(1/1000)*(s_Irr!Y21+s_Irr!AX21+s_Irr!BW21),".")</f>
        <v>88.757645154967165</v>
      </c>
      <c r="DA21" s="87">
        <f>IFERROR(s_C*s_IFRI_far_adj*s_CF_rice*(1/1000)*(s_Irr!Z21+s_Irr!AY21+s_Irr!BX21),".")</f>
        <v>107.99187529696968</v>
      </c>
      <c r="DB21" s="87">
        <f>IFERROR(s_C*s_IFCG_far_adj*s_CF_cereal*(1/1000)*(s_Irr!AA21+s_Irr!AZ21+s_Irr!BY21),".")</f>
        <v>88.817752124160918</v>
      </c>
    </row>
    <row r="22" spans="1:106" ht="15" customHeight="1" x14ac:dyDescent="0.25">
      <c r="A22" s="86" t="s">
        <v>20</v>
      </c>
      <c r="B22" s="84" t="s">
        <v>1057</v>
      </c>
      <c r="C22" s="15">
        <f t="shared" si="3"/>
        <v>67.393478570114127</v>
      </c>
      <c r="D22" s="70">
        <f>IFERROR(IF(AND(s_Irr!C22&lt;&gt;".",s_Irr!AB22&lt;&gt;".",s_Irr!BA22&lt;&gt;"."),s_dir!D22/((1/1000)*(s_Irr!C22+s_Irr!AB22+s_Irr!BA22)),IF(AND(s_Irr!C22&lt;&gt;".",s_Irr!AB22&lt;&gt;".",s_Irr!BA22="."),s_dir!D22/((1/1000)*(s_Irr!C22+s_Irr!AB22)),IF(AND(s_Irr!C22&lt;&gt;".",s_Irr!AB22=".",s_Irr!BA22&lt;&gt;"."),s_dir!D22/((1/1000)*(s_Irr!C22+s_Irr!BA22)),IF(AND(s_Irr!C22=".",s_Irr!AB22&lt;&gt;".",s_Irr!BA22&lt;&gt;"."),s_dir!D22/((1/1000)*(s_Irr!AB22+s_Irr!BA22)),IF(AND(s_Irr!C22=".",s_Irr!AB22=".",s_Irr!BA22&lt;&gt;"."),s_dir!D22/((1/1000)*(s_Irr!BA22)),IF(AND(s_Irr!C22=".",s_Irr!AB22&lt;&gt;".",s_Irr!BA22="."),s_dir!D22/((1/1000)*(s_Irr!AB22)),IF(AND(s_Irr!C22&lt;&gt;".",s_Irr!AB22=".",s_Irr!BA22="."),s_dir!D22/((1/1000)*(s_Irr!C22)),IF(AND(s_Irr!C22=".",s_Irr!AB22=".",s_Irr!BA22="."),s_dir!D22*1000)))))))),".")</f>
        <v>274.33975018095447</v>
      </c>
      <c r="E22" s="70">
        <f>IFERROR(IF(AND(s_Irr!D22&lt;&gt;".",s_Irr!AC22&lt;&gt;".",s_Irr!BB22&lt;&gt;"."),s_dir!E22/((1/1000)*(s_Irr!D22+s_Irr!AC22+s_Irr!BB22)),IF(AND(s_Irr!D22&lt;&gt;".",s_Irr!AC22&lt;&gt;".",s_Irr!BB22="."),s_dir!E22/((1/1000)*(s_Irr!D22+s_Irr!AC22)),IF(AND(s_Irr!D22&lt;&gt;".",s_Irr!AC22=".",s_Irr!BB22&lt;&gt;"."),s_dir!E22/((1/1000)*(s_Irr!D22+s_Irr!BB22)),IF(AND(s_Irr!D22=".",s_Irr!AC22&lt;&gt;".",s_Irr!BB22&lt;&gt;"."),s_dir!E22/((1/1000)*(s_Irr!AC22+s_Irr!BB22)),IF(AND(s_Irr!D22=".",s_Irr!AC22=".",s_Irr!BB22&lt;&gt;"."),s_dir!E22/((1/1000)*(s_Irr!BB22)),IF(AND(s_Irr!D22=".",s_Irr!AC22&lt;&gt;".",s_Irr!BB22="."),s_dir!E22/((1/1000)*(s_Irr!AC22)),IF(AND(s_Irr!D22&lt;&gt;".",s_Irr!AC22=".",s_Irr!BB22="."),s_dir!E22/((1/1000)*(s_Irr!D22)),IF(AND(s_Irr!D22=".",s_Irr!AC22=".",s_Irr!BB22="."),s_dir!E22*1000)))))))),".")</f>
        <v>126.06427896917651</v>
      </c>
      <c r="F22" s="70">
        <f>IFERROR(IF(AND(s_Irr!E22&lt;&gt;".",s_Irr!AD22&lt;&gt;".",s_Irr!BC22&lt;&gt;"."),s_dir!F22/((1/1000)*(s_Irr!E22+s_Irr!AD22+s_Irr!BC22)),IF(AND(s_Irr!E22&lt;&gt;".",s_Irr!AD22&lt;&gt;".",s_Irr!BC22="."),s_dir!F22/((1/1000)*(s_Irr!E22+s_Irr!AD22)),IF(AND(s_Irr!E22&lt;&gt;".",s_Irr!AD22=".",s_Irr!BC22&lt;&gt;"."),s_dir!F22/((1/1000)*(s_Irr!E22+s_Irr!BC22)),IF(AND(s_Irr!E22=".",s_Irr!AD22&lt;&gt;".",s_Irr!BC22&lt;&gt;"."),s_dir!F22/((1/1000)*(s_Irr!AD22+s_Irr!BC22)),IF(AND(s_Irr!E22=".",s_Irr!AD22=".",s_Irr!BC22&lt;&gt;"."),s_dir!F22/((1/1000)*(s_Irr!BC22)),IF(AND(s_Irr!E22=".",s_Irr!AD22&lt;&gt;".",s_Irr!BC22="."),s_dir!F22/((1/1000)*(s_Irr!AD22)),IF(AND(s_Irr!E22&lt;&gt;".",s_Irr!AD22=".",s_Irr!BC22="."),s_dir!F22/((1/1000)*(s_Irr!E22)),IF(AND(s_Irr!E22=".",s_Irr!AD22=".",s_Irr!BC22="."),s_dir!F22*1000)))))))),".")</f>
        <v>146.60763747799754</v>
      </c>
      <c r="G22" s="70">
        <f>IFERROR(IF(AND(s_Irr!F22&lt;&gt;".",s_Irr!AE22&lt;&gt;".",s_Irr!BD22&lt;&gt;"."),s_dir!G22/((1/1000)*(s_Irr!F22+s_Irr!AE22+s_Irr!BD22)),IF(AND(s_Irr!F22&lt;&gt;".",s_Irr!AE22&lt;&gt;".",s_Irr!BD22="."),s_dir!G22/((1/1000)*(s_Irr!F22+s_Irr!AE22)),IF(AND(s_Irr!F22&lt;&gt;".",s_Irr!AE22=".",s_Irr!BD22&lt;&gt;"."),s_dir!G22/((1/1000)*(s_Irr!F22+s_Irr!BD22)),IF(AND(s_Irr!F22=".",s_Irr!AE22&lt;&gt;".",s_Irr!BD22&lt;&gt;"."),s_dir!G22/((1/1000)*(s_Irr!AE22+s_Irr!BD22)),IF(AND(s_Irr!F22=".",s_Irr!AE22=".",s_Irr!BD22&lt;&gt;"."),s_dir!G22/((1/1000)*(s_Irr!BD22)),IF(AND(s_Irr!F22=".",s_Irr!AE22&lt;&gt;".",s_Irr!BD22="."),s_dir!G22/((1/1000)*(s_Irr!AE22)),IF(AND(s_Irr!F22&lt;&gt;".",s_Irr!AE22=".",s_Irr!BD22="."),s_dir!G22/((1/1000)*(s_Irr!F22)),IF(AND(s_Irr!F22=".",s_Irr!AE22=".",s_Irr!BD22="."),s_dir!G22*1000)))))))),".")</f>
        <v>274.33975018095447</v>
      </c>
      <c r="H22" s="70">
        <f>IFERROR(IF(AND(s_Irr!G22&lt;&gt;".",s_Irr!AF22&lt;&gt;".",s_Irr!BE22&lt;&gt;"."),s_dir!H22/((1/1000)*(s_Irr!G22+s_Irr!AF22+s_Irr!BE22)),IF(AND(s_Irr!G22&lt;&gt;".",s_Irr!AF22&lt;&gt;".",s_Irr!BE22="."),s_dir!H22/((1/1000)*(s_Irr!G22+s_Irr!AF22)),IF(AND(s_Irr!G22&lt;&gt;".",s_Irr!AF22=".",s_Irr!BE22&lt;&gt;"."),s_dir!H22/((1/1000)*(s_Irr!G22+s_Irr!BE22)),IF(AND(s_Irr!G22=".",s_Irr!AF22&lt;&gt;".",s_Irr!BE22&lt;&gt;"."),s_dir!H22/((1/1000)*(s_Irr!AF22+s_Irr!BE22)),IF(AND(s_Irr!G22=".",s_Irr!AF22=".",s_Irr!BE22&lt;&gt;"."),s_dir!H22/((1/1000)*(s_Irr!BE22)),IF(AND(s_Irr!G22=".",s_Irr!AF22&lt;&gt;".",s_Irr!BE22="."),s_dir!H22/((1/1000)*(s_Irr!AF22)),IF(AND(s_Irr!G22&lt;&gt;".",s_Irr!AF22=".",s_Irr!BE22="."),s_dir!H22/((1/1000)*(s_Irr!G22)),IF(AND(s_Irr!G22=".",s_Irr!AF22=".",s_Irr!BE22="."),s_dir!H22*1000)))))))),".")</f>
        <v>249.02713789835653</v>
      </c>
      <c r="I22" s="70">
        <f>IFERROR(IF(AND(s_Irr!H22&lt;&gt;".",s_Irr!AG22&lt;&gt;".",s_Irr!BF22&lt;&gt;"."),s_dir!I22/((1/1000)*(s_Irr!H22+s_Irr!AG22+s_Irr!BF22)),IF(AND(s_Irr!H22&lt;&gt;".",s_Irr!AG22&lt;&gt;".",s_Irr!BF22="."),s_dir!I22/((1/1000)*(s_Irr!H22+s_Irr!AG22)),IF(AND(s_Irr!H22&lt;&gt;".",s_Irr!AG22=".",s_Irr!BF22&lt;&gt;"."),s_dir!I22/((1/1000)*(s_Irr!H22+s_Irr!BF22)),IF(AND(s_Irr!H22=".",s_Irr!AG22&lt;&gt;".",s_Irr!BF22&lt;&gt;"."),s_dir!I22/((1/1000)*(s_Irr!AG22+s_Irr!BF22)),IF(AND(s_Irr!H22=".",s_Irr!AG22=".",s_Irr!BF22&lt;&gt;"."),s_dir!I22/((1/1000)*(s_Irr!BF22)),IF(AND(s_Irr!H22=".",s_Irr!AG22&lt;&gt;".",s_Irr!BF22="."),s_dir!I22/((1/1000)*(s_Irr!AG22)),IF(AND(s_Irr!H22&lt;&gt;".",s_Irr!AG22=".",s_Irr!BF22="."),s_dir!I22/((1/1000)*(s_Irr!H22)),IF(AND(s_Irr!H22=".",s_Irr!AG22=".",s_Irr!BF22="."),s_dir!I22*1000)))))))),".")</f>
        <v>126.06427896917651</v>
      </c>
      <c r="J22" s="70">
        <f>IFERROR(IF(AND(s_Irr!I22&lt;&gt;".",s_Irr!AH22&lt;&gt;".",s_Irr!BG22&lt;&gt;"."),s_dir!J22/((1/1000)*(s_Irr!I22+s_Irr!AH22+s_Irr!BG22)),IF(AND(s_Irr!I22&lt;&gt;".",s_Irr!AH22&lt;&gt;".",s_Irr!BG22="."),s_dir!J22/((1/1000)*(s_Irr!I22+s_Irr!AH22)),IF(AND(s_Irr!I22&lt;&gt;".",s_Irr!AH22=".",s_Irr!BG22&lt;&gt;"."),s_dir!J22/((1/1000)*(s_Irr!I22+s_Irr!BG22)),IF(AND(s_Irr!I22=".",s_Irr!AH22&lt;&gt;".",s_Irr!BG22&lt;&gt;"."),s_dir!J22/((1/1000)*(s_Irr!AH22+s_Irr!BG22)),IF(AND(s_Irr!I22=".",s_Irr!AH22=".",s_Irr!BG22&lt;&gt;"."),s_dir!J22/((1/1000)*(s_Irr!BG22)),IF(AND(s_Irr!I22=".",s_Irr!AH22&lt;&gt;".",s_Irr!BG22="."),s_dir!J22/((1/1000)*(s_Irr!AH22)),IF(AND(s_Irr!I22&lt;&gt;".",s_Irr!AH22=".",s_Irr!BG22="."),s_dir!J22/((1/1000)*(s_Irr!I22)),IF(AND(s_Irr!I22=".",s_Irr!AH22=".",s_Irr!BG22="."),s_dir!J22*1000)))))))),".")</f>
        <v>146.60763747799754</v>
      </c>
      <c r="K22" s="70">
        <f>IFERROR(IF(AND(s_Irr!J22&lt;&gt;".",s_Irr!AI22&lt;&gt;".",s_Irr!BH22&lt;&gt;"."),s_dir!K22/((1/1000)*(s_Irr!J22+s_Irr!AI22+s_Irr!BH22)),IF(AND(s_Irr!J22&lt;&gt;".",s_Irr!AI22&lt;&gt;".",s_Irr!BH22="."),s_dir!K22/((1/1000)*(s_Irr!J22+s_Irr!AI22)),IF(AND(s_Irr!J22&lt;&gt;".",s_Irr!AI22=".",s_Irr!BH22&lt;&gt;"."),s_dir!K22/((1/1000)*(s_Irr!J22+s_Irr!BH22)),IF(AND(s_Irr!J22=".",s_Irr!AI22&lt;&gt;".",s_Irr!BH22&lt;&gt;"."),s_dir!K22/((1/1000)*(s_Irr!AI22+s_Irr!BH22)),IF(AND(s_Irr!J22=".",s_Irr!AI22=".",s_Irr!BH22&lt;&gt;"."),s_dir!K22/((1/1000)*(s_Irr!BH22)),IF(AND(s_Irr!J22=".",s_Irr!AI22&lt;&gt;".",s_Irr!BH22="."),s_dir!K22/((1/1000)*(s_Irr!AI22)),IF(AND(s_Irr!J22&lt;&gt;".",s_Irr!AI22=".",s_Irr!BH22="."),s_dir!K22/((1/1000)*(s_Irr!J22)),IF(AND(s_Irr!J22=".",s_Irr!AI22=".",s_Irr!BH22="."),s_dir!K22*1000)))))))),".")</f>
        <v>274.33975018095447</v>
      </c>
      <c r="L22" s="70">
        <f>IFERROR(IF(AND(s_Irr!K22&lt;&gt;".",s_Irr!AJ22&lt;&gt;".",s_Irr!BI22&lt;&gt;"."),s_dir!L22/((1/1000)*(s_Irr!K22+s_Irr!AJ22+s_Irr!BI22)),IF(AND(s_Irr!K22&lt;&gt;".",s_Irr!AJ22&lt;&gt;".",s_Irr!BI22="."),s_dir!L22/((1/1000)*(s_Irr!K22+s_Irr!AJ22)),IF(AND(s_Irr!K22&lt;&gt;".",s_Irr!AJ22=".",s_Irr!BI22&lt;&gt;"."),s_dir!L22/((1/1000)*(s_Irr!K22+s_Irr!BI22)),IF(AND(s_Irr!K22=".",s_Irr!AJ22&lt;&gt;".",s_Irr!BI22&lt;&gt;"."),s_dir!L22/((1/1000)*(s_Irr!AJ22+s_Irr!BI22)),IF(AND(s_Irr!K22=".",s_Irr!AJ22=".",s_Irr!BI22&lt;&gt;"."),s_dir!L22/((1/1000)*(s_Irr!BI22)),IF(AND(s_Irr!K22=".",s_Irr!AJ22&lt;&gt;".",s_Irr!BI22="."),s_dir!L22/((1/1000)*(s_Irr!AJ22)),IF(AND(s_Irr!K22&lt;&gt;".",s_Irr!AJ22=".",s_Irr!BI22="."),s_dir!L22/((1/1000)*(s_Irr!K22)),IF(AND(s_Irr!K22=".",s_Irr!AJ22=".",s_Irr!BI22="."),s_dir!L22*1000)))))))),".")</f>
        <v>308.37112966216239</v>
      </c>
      <c r="M22" s="70">
        <f>IFERROR(IF(AND(s_Irr!L22&lt;&gt;".",s_Irr!AK22&lt;&gt;".",s_Irr!BJ22&lt;&gt;"."),s_dir!M22/((1/1000)*(s_Irr!L22+s_Irr!AK22+s_Irr!BJ22)),IF(AND(s_Irr!L22&lt;&gt;".",s_Irr!AK22&lt;&gt;".",s_Irr!BJ22="."),s_dir!M22/((1/1000)*(s_Irr!L22+s_Irr!AK22)),IF(AND(s_Irr!L22&lt;&gt;".",s_Irr!AK22=".",s_Irr!BJ22&lt;&gt;"."),s_dir!M22/((1/1000)*(s_Irr!L22+s_Irr!BJ22)),IF(AND(s_Irr!L22=".",s_Irr!AK22&lt;&gt;".",s_Irr!BJ22&lt;&gt;"."),s_dir!M22/((1/1000)*(s_Irr!AK22+s_Irr!BJ22)),IF(AND(s_Irr!L22=".",s_Irr!AK22=".",s_Irr!BJ22&lt;&gt;"."),s_dir!M22/((1/1000)*(s_Irr!BJ22)),IF(AND(s_Irr!L22=".",s_Irr!AK22&lt;&gt;".",s_Irr!BJ22="."),s_dir!M22/((1/1000)*(s_Irr!AK22)),IF(AND(s_Irr!L22&lt;&gt;".",s_Irr!AK22=".",s_Irr!BJ22="."),s_dir!M22/((1/1000)*(s_Irr!L22)),IF(AND(s_Irr!L22=".",s_Irr!AK22=".",s_Irr!BJ22="."),s_dir!M22*1000)))))))),".")</f>
        <v>249.02713789835653</v>
      </c>
      <c r="N22" s="70">
        <f>IFERROR(IF(AND(s_Irr!M22&lt;&gt;".",s_Irr!AL22&lt;&gt;".",s_Irr!BK22&lt;&gt;"."),s_dir!N22/((1/1000)*(s_Irr!M22+s_Irr!AL22+s_Irr!BK22)),IF(AND(s_Irr!M22&lt;&gt;".",s_Irr!AL22&lt;&gt;".",s_Irr!BK22="."),s_dir!N22/((1/1000)*(s_Irr!M22+s_Irr!AL22)),IF(AND(s_Irr!M22&lt;&gt;".",s_Irr!AL22=".",s_Irr!BK22&lt;&gt;"."),s_dir!N22/((1/1000)*(s_Irr!M22+s_Irr!BK22)),IF(AND(s_Irr!M22=".",s_Irr!AL22&lt;&gt;".",s_Irr!BK22&lt;&gt;"."),s_dir!N22/((1/1000)*(s_Irr!AL22+s_Irr!BK22)),IF(AND(s_Irr!M22=".",s_Irr!AL22=".",s_Irr!BK22&lt;&gt;"."),s_dir!N22/((1/1000)*(s_Irr!BK22)),IF(AND(s_Irr!M22=".",s_Irr!AL22&lt;&gt;".",s_Irr!BK22="."),s_dir!N22/((1/1000)*(s_Irr!AL22)),IF(AND(s_Irr!M22&lt;&gt;".",s_Irr!AL22=".",s_Irr!BK22="."),s_dir!N22/((1/1000)*(s_Irr!M22)),IF(AND(s_Irr!M22=".",s_Irr!AL22=".",s_Irr!BK22="."),s_dir!N22*1000)))))))),".")</f>
        <v>126.06427896917651</v>
      </c>
      <c r="O22" s="70">
        <f>IFERROR(IF(AND(s_Irr!N22&lt;&gt;".",s_Irr!AM22&lt;&gt;".",s_Irr!BL22&lt;&gt;"."),s_dir!O22/((1/1000)*(s_Irr!N22+s_Irr!AM22+s_Irr!BL22)),IF(AND(s_Irr!N22&lt;&gt;".",s_Irr!AM22&lt;&gt;".",s_Irr!BL22="."),s_dir!O22/((1/1000)*(s_Irr!N22+s_Irr!AM22)),IF(AND(s_Irr!N22&lt;&gt;".",s_Irr!AM22=".",s_Irr!BL22&lt;&gt;"."),s_dir!O22/((1/1000)*(s_Irr!N22+s_Irr!BL22)),IF(AND(s_Irr!N22=".",s_Irr!AM22&lt;&gt;".",s_Irr!BL22&lt;&gt;"."),s_dir!O22/((1/1000)*(s_Irr!AM22+s_Irr!BL22)),IF(AND(s_Irr!N22=".",s_Irr!AM22=".",s_Irr!BL22&lt;&gt;"."),s_dir!O22/((1/1000)*(s_Irr!BL22)),IF(AND(s_Irr!N22=".",s_Irr!AM22&lt;&gt;".",s_Irr!BL22="."),s_dir!O22/((1/1000)*(s_Irr!AM22)),IF(AND(s_Irr!N22&lt;&gt;".",s_Irr!AM22=".",s_Irr!BL22="."),s_dir!O22/((1/1000)*(s_Irr!N22)),IF(AND(s_Irr!N22=".",s_Irr!AM22=".",s_Irr!BL22="."),s_dir!O22*1000)))))))),".")</f>
        <v>259.27988557215792</v>
      </c>
      <c r="P22" s="70">
        <f>IFERROR(IF(AND(s_Irr!O22&lt;&gt;".",s_Irr!AN22&lt;&gt;".",s_Irr!BM22&lt;&gt;"."),s_dir!P22/((1/1000)*(s_Irr!O22+s_Irr!AN22+s_Irr!BM22)),IF(AND(s_Irr!O22&lt;&gt;".",s_Irr!AN22&lt;&gt;".",s_Irr!BM22="."),s_dir!P22/((1/1000)*(s_Irr!O22+s_Irr!AN22)),IF(AND(s_Irr!O22&lt;&gt;".",s_Irr!AN22=".",s_Irr!BM22&lt;&gt;"."),s_dir!P22/((1/1000)*(s_Irr!O22+s_Irr!BM22)),IF(AND(s_Irr!O22=".",s_Irr!AN22&lt;&gt;".",s_Irr!BM22&lt;&gt;"."),s_dir!P22/((1/1000)*(s_Irr!AN22+s_Irr!BM22)),IF(AND(s_Irr!O22=".",s_Irr!AN22=".",s_Irr!BM22&lt;&gt;"."),s_dir!P22/((1/1000)*(s_Irr!BM22)),IF(AND(s_Irr!O22=".",s_Irr!AN22&lt;&gt;".",s_Irr!BM22="."),s_dir!P22/((1/1000)*(s_Irr!AN22)),IF(AND(s_Irr!O22&lt;&gt;".",s_Irr!AN22=".",s_Irr!BM22="."),s_dir!P22/((1/1000)*(s_Irr!O22)),IF(AND(s_Irr!O22=".",s_Irr!AN22=".",s_Irr!BM22="."),s_dir!P22*1000)))))))),".")</f>
        <v>249.02713789835653</v>
      </c>
      <c r="Q22" s="70">
        <f>IFERROR(IF(AND(s_Irr!P22&lt;&gt;".",s_Irr!AO22&lt;&gt;".",s_Irr!BN22&lt;&gt;"."),s_dir!Q22/((1/1000)*(s_Irr!P22+s_Irr!AO22+s_Irr!BN22)),IF(AND(s_Irr!P22&lt;&gt;".",s_Irr!AO22&lt;&gt;".",s_Irr!BN22="."),s_dir!Q22/((1/1000)*(s_Irr!P22+s_Irr!AO22)),IF(AND(s_Irr!P22&lt;&gt;".",s_Irr!AO22=".",s_Irr!BN22&lt;&gt;"."),s_dir!Q22/((1/1000)*(s_Irr!P22+s_Irr!BN22)),IF(AND(s_Irr!P22=".",s_Irr!AO22&lt;&gt;".",s_Irr!BN22&lt;&gt;"."),s_dir!Q22/((1/1000)*(s_Irr!AO22+s_Irr!BN22)),IF(AND(s_Irr!P22=".",s_Irr!AO22=".",s_Irr!BN22&lt;&gt;"."),s_dir!Q22/((1/1000)*(s_Irr!BN22)),IF(AND(s_Irr!P22=".",s_Irr!AO22&lt;&gt;".",s_Irr!BN22="."),s_dir!Q22/((1/1000)*(s_Irr!AO22)),IF(AND(s_Irr!P22&lt;&gt;".",s_Irr!AO22=".",s_Irr!BN22="."),s_dir!Q22/((1/1000)*(s_Irr!P22)),IF(AND(s_Irr!P22=".",s_Irr!AO22=".",s_Irr!BN22="."),s_dir!Q22*1000)))))))),".")</f>
        <v>146.60763747799754</v>
      </c>
      <c r="R22" s="70">
        <f>IFERROR(IF(AND(s_Irr!Q22&lt;&gt;".",s_Irr!AP22&lt;&gt;".",s_Irr!BO22&lt;&gt;"."),s_dir!R22/((1/1000)*(s_Irr!Q22+s_Irr!AP22+s_Irr!BO22)),IF(AND(s_Irr!Q22&lt;&gt;".",s_Irr!AP22&lt;&gt;".",s_Irr!BO22="."),s_dir!R22/((1/1000)*(s_Irr!Q22+s_Irr!AP22)),IF(AND(s_Irr!Q22&lt;&gt;".",s_Irr!AP22=".",s_Irr!BO22&lt;&gt;"."),s_dir!R22/((1/1000)*(s_Irr!Q22+s_Irr!BO22)),IF(AND(s_Irr!Q22=".",s_Irr!AP22&lt;&gt;".",s_Irr!BO22&lt;&gt;"."),s_dir!R22/((1/1000)*(s_Irr!AP22+s_Irr!BO22)),IF(AND(s_Irr!Q22=".",s_Irr!AP22=".",s_Irr!BO22&lt;&gt;"."),s_dir!R22/((1/1000)*(s_Irr!BO22)),IF(AND(s_Irr!Q22=".",s_Irr!AP22&lt;&gt;".",s_Irr!BO22="."),s_dir!R22/((1/1000)*(s_Irr!AP22)),IF(AND(s_Irr!Q22&lt;&gt;".",s_Irr!AP22=".",s_Irr!BO22="."),s_dir!R22/((1/1000)*(s_Irr!Q22)),IF(AND(s_Irr!Q22=".",s_Irr!AP22=".",s_Irr!BO22="."),s_dir!R22*1000)))))))),".")</f>
        <v>274.33975018095447</v>
      </c>
      <c r="S22" s="70">
        <f>IFERROR(IF(AND(s_Irr!R22&lt;&gt;".",s_Irr!AQ22&lt;&gt;".",s_Irr!BP22&lt;&gt;"."),s_dir!S22/((1/1000)*(s_Irr!R22+s_Irr!AQ22+s_Irr!BP22)),IF(AND(s_Irr!R22&lt;&gt;".",s_Irr!AQ22&lt;&gt;".",s_Irr!BP22="."),s_dir!S22/((1/1000)*(s_Irr!R22+s_Irr!AQ22)),IF(AND(s_Irr!R22&lt;&gt;".",s_Irr!AQ22=".",s_Irr!BP22&lt;&gt;"."),s_dir!S22/((1/1000)*(s_Irr!R22+s_Irr!BP22)),IF(AND(s_Irr!R22=".",s_Irr!AQ22&lt;&gt;".",s_Irr!BP22&lt;&gt;"."),s_dir!S22/((1/1000)*(s_Irr!AQ22+s_Irr!BP22)),IF(AND(s_Irr!R22=".",s_Irr!AQ22=".",s_Irr!BP22&lt;&gt;"."),s_dir!S22/((1/1000)*(s_Irr!BP22)),IF(AND(s_Irr!R22=".",s_Irr!AQ22&lt;&gt;".",s_Irr!BP22="."),s_dir!S22/((1/1000)*(s_Irr!AQ22)),IF(AND(s_Irr!R22&lt;&gt;".",s_Irr!AQ22=".",s_Irr!BP22="."),s_dir!S22/((1/1000)*(s_Irr!R22)),IF(AND(s_Irr!R22=".",s_Irr!AQ22=".",s_Irr!BP22="."),s_dir!S22*1000)))))))),".")</f>
        <v>274.33975018095447</v>
      </c>
      <c r="T22" s="70">
        <f>IFERROR(IF(AND(s_Irr!S22&lt;&gt;".",s_Irr!AR22&lt;&gt;".",s_Irr!BQ22&lt;&gt;"."),s_dir!T22/((1/1000)*(s_Irr!S22+s_Irr!AR22+s_Irr!BQ22)),IF(AND(s_Irr!S22&lt;&gt;".",s_Irr!AR22&lt;&gt;".",s_Irr!BQ22="."),s_dir!T22/((1/1000)*(s_Irr!S22+s_Irr!AR22)),IF(AND(s_Irr!S22&lt;&gt;".",s_Irr!AR22=".",s_Irr!BQ22&lt;&gt;"."),s_dir!T22/((1/1000)*(s_Irr!S22+s_Irr!BQ22)),IF(AND(s_Irr!S22=".",s_Irr!AR22&lt;&gt;".",s_Irr!BQ22&lt;&gt;"."),s_dir!T22/((1/1000)*(s_Irr!AR22+s_Irr!BQ22)),IF(AND(s_Irr!S22=".",s_Irr!AR22=".",s_Irr!BQ22&lt;&gt;"."),s_dir!T22/((1/1000)*(s_Irr!BQ22)),IF(AND(s_Irr!S22=".",s_Irr!AR22&lt;&gt;".",s_Irr!BQ22="."),s_dir!T22/((1/1000)*(s_Irr!AR22)),IF(AND(s_Irr!S22&lt;&gt;".",s_Irr!AR22=".",s_Irr!BQ22="."),s_dir!T22/((1/1000)*(s_Irr!S22)),IF(AND(s_Irr!S22=".",s_Irr!AR22=".",s_Irr!BQ22="."),s_dir!T22*1000)))))))),".")</f>
        <v>259.27988557215792</v>
      </c>
      <c r="U22" s="70">
        <f>IFERROR(IF(AND(s_Irr!T22&lt;&gt;".",s_Irr!AS22&lt;&gt;".",s_Irr!BR22&lt;&gt;"."),s_dir!U22/((1/1000)*(s_Irr!T22+s_Irr!AS22+s_Irr!BR22)),IF(AND(s_Irr!T22&lt;&gt;".",s_Irr!AS22&lt;&gt;".",s_Irr!BR22="."),s_dir!U22/((1/1000)*(s_Irr!T22+s_Irr!AS22)),IF(AND(s_Irr!T22&lt;&gt;".",s_Irr!AS22=".",s_Irr!BR22&lt;&gt;"."),s_dir!U22/((1/1000)*(s_Irr!T22+s_Irr!BR22)),IF(AND(s_Irr!T22=".",s_Irr!AS22&lt;&gt;".",s_Irr!BR22&lt;&gt;"."),s_dir!U22/((1/1000)*(s_Irr!AS22+s_Irr!BR22)),IF(AND(s_Irr!T22=".",s_Irr!AS22=".",s_Irr!BR22&lt;&gt;"."),s_dir!U22/((1/1000)*(s_Irr!BR22)),IF(AND(s_Irr!T22=".",s_Irr!AS22&lt;&gt;".",s_Irr!BR22="."),s_dir!U22/((1/1000)*(s_Irr!AS22)),IF(AND(s_Irr!T22&lt;&gt;".",s_Irr!AS22=".",s_Irr!BR22="."),s_dir!U22/((1/1000)*(s_Irr!T22)),IF(AND(s_Irr!T22=".",s_Irr!AS22=".",s_Irr!BR22="."),s_dir!U22*1000)))))))),".")</f>
        <v>249.02713789835653</v>
      </c>
      <c r="V22" s="70">
        <f>IFERROR(IF(AND(s_Irr!U22&lt;&gt;".",s_Irr!AT22&lt;&gt;".",s_Irr!BS22&lt;&gt;"."),s_dir!V22/((1/1000)*(s_Irr!U22+s_Irr!AT22+s_Irr!BS22)),IF(AND(s_Irr!U22&lt;&gt;".",s_Irr!AT22&lt;&gt;".",s_Irr!BS22="."),s_dir!V22/((1/1000)*(s_Irr!U22+s_Irr!AT22)),IF(AND(s_Irr!U22&lt;&gt;".",s_Irr!AT22=".",s_Irr!BS22&lt;&gt;"."),s_dir!V22/((1/1000)*(s_Irr!U22+s_Irr!BS22)),IF(AND(s_Irr!U22=".",s_Irr!AT22&lt;&gt;".",s_Irr!BS22&lt;&gt;"."),s_dir!V22/((1/1000)*(s_Irr!AT22+s_Irr!BS22)),IF(AND(s_Irr!U22=".",s_Irr!AT22=".",s_Irr!BS22&lt;&gt;"."),s_dir!V22/((1/1000)*(s_Irr!BS22)),IF(AND(s_Irr!U22=".",s_Irr!AT22&lt;&gt;".",s_Irr!BS22="."),s_dir!V22/((1/1000)*(s_Irr!AT22)),IF(AND(s_Irr!U22&lt;&gt;".",s_Irr!AT22=".",s_Irr!BS22="."),s_dir!V22/((1/1000)*(s_Irr!U22)),IF(AND(s_Irr!U22=".",s_Irr!AT22=".",s_Irr!BS22="."),s_dir!V22*1000)))))))),".")</f>
        <v>270.41311992431514</v>
      </c>
      <c r="W22" s="70">
        <f>IFERROR(IF(AND(s_Irr!V22&lt;&gt;".",s_Irr!AU22&lt;&gt;".",s_Irr!BT22&lt;&gt;"."),s_dir!W22/((1/1000)*(s_Irr!V22+s_Irr!AU22+s_Irr!BT22)),IF(AND(s_Irr!V22&lt;&gt;".",s_Irr!AU22&lt;&gt;".",s_Irr!BT22="."),s_dir!W22/((1/1000)*(s_Irr!V22+s_Irr!AU22)),IF(AND(s_Irr!V22&lt;&gt;".",s_Irr!AU22=".",s_Irr!BT22&lt;&gt;"."),s_dir!W22/((1/1000)*(s_Irr!V22+s_Irr!BT22)),IF(AND(s_Irr!V22=".",s_Irr!AU22&lt;&gt;".",s_Irr!BT22&lt;&gt;"."),s_dir!W22/((1/1000)*(s_Irr!AU22+s_Irr!BT22)),IF(AND(s_Irr!V22=".",s_Irr!AU22=".",s_Irr!BT22&lt;&gt;"."),s_dir!W22/((1/1000)*(s_Irr!BT22)),IF(AND(s_Irr!V22=".",s_Irr!AU22&lt;&gt;".",s_Irr!BT22="."),s_dir!W22/((1/1000)*(s_Irr!AU22)),IF(AND(s_Irr!V22&lt;&gt;".",s_Irr!AU22=".",s_Irr!BT22="."),s_dir!W22/((1/1000)*(s_Irr!V22)),IF(AND(s_Irr!V22=".",s_Irr!AU22=".",s_Irr!BT22="."),s_dir!W22*1000)))))))),".")</f>
        <v>249.02713789835653</v>
      </c>
      <c r="X22" s="70">
        <f>IFERROR(IF(AND(s_Irr!W22&lt;&gt;".",s_Irr!AV22&lt;&gt;".",s_Irr!BU22&lt;&gt;"."),s_dir!X22/((1/1000)*(s_Irr!W22+s_Irr!AV22+s_Irr!BU22)),IF(AND(s_Irr!W22&lt;&gt;".",s_Irr!AV22&lt;&gt;".",s_Irr!BU22="."),s_dir!X22/((1/1000)*(s_Irr!W22+s_Irr!AV22)),IF(AND(s_Irr!W22&lt;&gt;".",s_Irr!AV22=".",s_Irr!BU22&lt;&gt;"."),s_dir!X22/((1/1000)*(s_Irr!W22+s_Irr!BU22)),IF(AND(s_Irr!W22=".",s_Irr!AV22&lt;&gt;".",s_Irr!BU22&lt;&gt;"."),s_dir!X22/((1/1000)*(s_Irr!AV22+s_Irr!BU22)),IF(AND(s_Irr!W22=".",s_Irr!AV22=".",s_Irr!BU22&lt;&gt;"."),s_dir!X22/((1/1000)*(s_Irr!BU22)),IF(AND(s_Irr!W22=".",s_Irr!AV22&lt;&gt;".",s_Irr!BU22="."),s_dir!X22/((1/1000)*(s_Irr!AV22)),IF(AND(s_Irr!W22&lt;&gt;".",s_Irr!AV22=".",s_Irr!BU22="."),s_dir!X22/((1/1000)*(s_Irr!W22)),IF(AND(s_Irr!W22=".",s_Irr!AV22=".",s_Irr!BU22="."),s_dir!X22*1000)))))))),".")</f>
        <v>259.27988557215792</v>
      </c>
      <c r="Y22" s="70">
        <f>IFERROR(IF(AND(s_Irr!X22&lt;&gt;".",s_Irr!AW22&lt;&gt;".",s_Irr!BV22&lt;&gt;"."),s_dir!Y22/((1/1000)*(s_Irr!X22+s_Irr!AW22+s_Irr!BV22)),IF(AND(s_Irr!X22&lt;&gt;".",s_Irr!AW22&lt;&gt;".",s_Irr!BV22="."),s_dir!Y22/((1/1000)*(s_Irr!X22+s_Irr!AW22)),IF(AND(s_Irr!X22&lt;&gt;".",s_Irr!AW22=".",s_Irr!BV22&lt;&gt;"."),s_dir!Y22/((1/1000)*(s_Irr!X22+s_Irr!BV22)),IF(AND(s_Irr!X22=".",s_Irr!AW22&lt;&gt;".",s_Irr!BV22&lt;&gt;"."),s_dir!Y22/((1/1000)*(s_Irr!AW22+s_Irr!BV22)),IF(AND(s_Irr!X22=".",s_Irr!AW22=".",s_Irr!BV22&lt;&gt;"."),s_dir!Y22/((1/1000)*(s_Irr!BV22)),IF(AND(s_Irr!X22=".",s_Irr!AW22&lt;&gt;".",s_Irr!BV22="."),s_dir!Y22/((1/1000)*(s_Irr!AW22)),IF(AND(s_Irr!X22&lt;&gt;".",s_Irr!AW22=".",s_Irr!BV22="."),s_dir!Y22/((1/1000)*(s_Irr!X22)),IF(AND(s_Irr!X22=".",s_Irr!AW22=".",s_Irr!BV22="."),s_dir!Y22*1000)))))))),".")</f>
        <v>274.33975018095447</v>
      </c>
      <c r="Z22" s="70">
        <f>IFERROR(IF(AND(s_Irr!Y22&lt;&gt;".",s_Irr!AX22&lt;&gt;".",s_Irr!BW22&lt;&gt;"."),s_dir!Z22/((1/1000)*(s_Irr!Y22+s_Irr!AX22+s_Irr!BW22)),IF(AND(s_Irr!Y22&lt;&gt;".",s_Irr!AX22&lt;&gt;".",s_Irr!BW22="."),s_dir!Z22/((1/1000)*(s_Irr!Y22+s_Irr!AX22)),IF(AND(s_Irr!Y22&lt;&gt;".",s_Irr!AX22=".",s_Irr!BW22&lt;&gt;"."),s_dir!Z22/((1/1000)*(s_Irr!Y22+s_Irr!BW22)),IF(AND(s_Irr!Y22=".",s_Irr!AX22&lt;&gt;".",s_Irr!BW22&lt;&gt;"."),s_dir!Z22/((1/1000)*(s_Irr!AX22+s_Irr!BW22)),IF(AND(s_Irr!Y22=".",s_Irr!AX22=".",s_Irr!BW22&lt;&gt;"."),s_dir!Z22/((1/1000)*(s_Irr!BW22)),IF(AND(s_Irr!Y22=".",s_Irr!AX22&lt;&gt;".",s_Irr!BW22="."),s_dir!Z22/((1/1000)*(s_Irr!AX22)),IF(AND(s_Irr!Y22&lt;&gt;".",s_Irr!AX22=".",s_Irr!BW22="."),s_dir!Z22/((1/1000)*(s_Irr!Y22)),IF(AND(s_Irr!Y22=".",s_Irr!AX22=".",s_Irr!BW22="."),s_dir!Z22*1000)))))))),".")</f>
        <v>249.02713789835653</v>
      </c>
      <c r="AA22" s="70">
        <f>IFERROR(IF(AND(s_Irr!Z22&lt;&gt;".",s_Irr!AY22&lt;&gt;".",s_Irr!BX22&lt;&gt;"."),s_dir!AA22/((1/1000)*(s_Irr!Z22+s_Irr!AY22+s_Irr!BX22)),IF(AND(s_Irr!Z22&lt;&gt;".",s_Irr!AY22&lt;&gt;".",s_Irr!BX22="."),s_dir!AA22/((1/1000)*(s_Irr!Z22+s_Irr!AY22)),IF(AND(s_Irr!Z22&lt;&gt;".",s_Irr!AY22=".",s_Irr!BX22&lt;&gt;"."),s_dir!AA22/((1/1000)*(s_Irr!Z22+s_Irr!BX22)),IF(AND(s_Irr!Z22=".",s_Irr!AY22&lt;&gt;".",s_Irr!BX22&lt;&gt;"."),s_dir!AA22/((1/1000)*(s_Irr!AY22+s_Irr!BX22)),IF(AND(s_Irr!Z22=".",s_Irr!AY22=".",s_Irr!BX22&lt;&gt;"."),s_dir!AA22/((1/1000)*(s_Irr!BX22)),IF(AND(s_Irr!Z22=".",s_Irr!AY22&lt;&gt;".",s_Irr!BX22="."),s_dir!AA22/((1/1000)*(s_Irr!AY22)),IF(AND(s_Irr!Z22&lt;&gt;".",s_Irr!AY22=".",s_Irr!BX22="."),s_dir!AA22/((1/1000)*(s_Irr!Z22)),IF(AND(s_Irr!Z22=".",s_Irr!AY22=".",s_Irr!BX22="."),s_dir!AA22*1000)))))))),".")</f>
        <v>316.26928498649107</v>
      </c>
      <c r="AB22" s="70">
        <f>IFERROR(IF(AND(s_Irr!AA22&lt;&gt;".",s_Irr!AZ22&lt;&gt;".",s_Irr!BY22&lt;&gt;"."),s_dir!AB22/((1/1000)*(s_Irr!AA22+s_Irr!AZ22+s_Irr!BY22)),IF(AND(s_Irr!AA22&lt;&gt;".",s_Irr!AZ22&lt;&gt;".",s_Irr!BY22="."),s_dir!AB22/((1/1000)*(s_Irr!AA22+s_Irr!AZ22)),IF(AND(s_Irr!AA22&lt;&gt;".",s_Irr!AZ22=".",s_Irr!BY22&lt;&gt;"."),s_dir!AB22/((1/1000)*(s_Irr!AA22+s_Irr!BY22)),IF(AND(s_Irr!AA22=".",s_Irr!AZ22&lt;&gt;".",s_Irr!BY22&lt;&gt;"."),s_dir!AB22/((1/1000)*(s_Irr!AZ22+s_Irr!BY22)),IF(AND(s_Irr!AA22=".",s_Irr!AZ22=".",s_Irr!BY22&lt;&gt;"."),s_dir!AB22/((1/1000)*(s_Irr!BY22)),IF(AND(s_Irr!AA22=".",s_Irr!AZ22&lt;&gt;".",s_Irr!BY22="."),s_dir!AB22/((1/1000)*(s_Irr!AZ22)),IF(AND(s_Irr!AA22&lt;&gt;".",s_Irr!AZ22=".",s_Irr!BY22="."),s_dir!AB22/((1/1000)*(s_Irr!AA22)),IF(AND(s_Irr!AA22=".",s_Irr!AZ22=".",s_Irr!BY22="."),s_dir!AB22*1000)))))))),".")</f>
        <v>249.02713789835653</v>
      </c>
      <c r="AC22" s="87">
        <f t="shared" si="4"/>
        <v>421.25343392909139</v>
      </c>
      <c r="AD22" s="87">
        <f>IFERROR(s_C*s_IFAP_res_adj*s_CF_apple*0.001*(s_Irr!C22+s_Irr!AB22+s_Irr!BA22),".")</f>
        <v>103.48385260743784</v>
      </c>
      <c r="AE22" s="87">
        <f>IFERROR(s_C*s_IFAS_res_adj*s_CF_asparagus*0.001*(s_Irr!D22+s_Irr!AC22+s_Irr!BB22),".")</f>
        <v>225.20046522479754</v>
      </c>
      <c r="AF22" s="87">
        <f>IFERROR(s_C*s_IFBT_res_adj*s_CF_beet*0.001*(s_Irr!E22+s_Irr!AD22+s_Irr!BC22),".")</f>
        <v>193.64430639807466</v>
      </c>
      <c r="AG22" s="87">
        <f>IFERROR(s_C*s_IFBE_res_adj*s_CF_berries*0.001*(s_Irr!F22+s_Irr!AE22+s_Irr!BD22),".")</f>
        <v>103.48385260743784</v>
      </c>
      <c r="AH22" s="87">
        <f>IFERROR(s_C*s_IFBR_res_adj*s_CF_broccoli*0.001*(s_Irr!G22+s_Irr!AF22+s_Irr!BE22),".")</f>
        <v>114.00257221634547</v>
      </c>
      <c r="AI22" s="87">
        <f>IFERROR(s_C*s_IFCB_res_adj*s_CF_cabbage*0.001*(s_Irr!H22+s_Irr!AG22+s_Irr!BF22),".")</f>
        <v>225.20046522479754</v>
      </c>
      <c r="AJ22" s="87">
        <f>IFERROR(s_C*s_IFCR_res_adj*s_CF_carrot*0.001*(s_Irr!I22+s_Irr!AH22+s_Irr!BG22),".")</f>
        <v>193.64430639807466</v>
      </c>
      <c r="AK22" s="87">
        <f>IFERROR(s_C*s_IFCI_res_adj*s_CF_citrus*0.001*(s_Irr!J22+s_Irr!AI22+s_Irr!BH22),".")</f>
        <v>103.48385260743784</v>
      </c>
      <c r="AL22" s="87">
        <f>IFERROR(s_C*s_IFCO_res_adj*s_CF_corn*0.001*(s_Irr!K22+s_Irr!AJ22+s_Irr!BI22),".")</f>
        <v>92.063528460623843</v>
      </c>
      <c r="AM22" s="87">
        <f>IFERROR(s_C*s_IFCU_res_adj*s_CF_cucumber*0.001*(s_Irr!L22+s_Irr!AK22+s_Irr!BJ22),".")</f>
        <v>114.00257221634547</v>
      </c>
      <c r="AN22" s="87">
        <f>IFERROR(s_C*s_IFLE_res_adj*s_CF_lettuce*0.001*(s_Irr!M22+s_Irr!AL22+s_Irr!BK22),".")</f>
        <v>225.20046522479754</v>
      </c>
      <c r="AO22" s="87">
        <f>IFERROR(s_C*s_IFLI_res_adj*s_CF_lima_bean*0.001*(s_Irr!N22+s_Irr!AM22+s_Irr!BL22),".")</f>
        <v>109.49454952681363</v>
      </c>
      <c r="AP22" s="87">
        <f>IFERROR(s_C*s_IFOK_res_adj*s_CF_okra*0.001*(s_Irr!O22+s_Irr!AN22+s_Irr!BM22),".")</f>
        <v>114.00257221634547</v>
      </c>
      <c r="AQ22" s="87">
        <f>IFERROR(s_C*s_IFON_res_adj*s_CF_onion*0.001*(s_Irr!P22+s_Irr!AO22+s_Irr!BN22),".")</f>
        <v>193.64430639807466</v>
      </c>
      <c r="AR22" s="87">
        <f>IFERROR(s_C*s_IFPC_res_adj*s_CF_peach*0.001*(s_Irr!Q22+s_Irr!AP22+s_Irr!BO22),".")</f>
        <v>103.48385260743784</v>
      </c>
      <c r="AS22" s="87">
        <f>IFERROR(s_C*s_IFPR_res_adj*s_CF_pear*0.001*(s_Irr!R22+s_Irr!AQ22+s_Irr!BP22),".")</f>
        <v>103.48385260743784</v>
      </c>
      <c r="AT22" s="87">
        <f>IFERROR(s_C*s_IFPE_res_adj*s_CF_peas*0.001*(s_Irr!S22+s_Irr!AR22+s_Irr!BQ22),".")</f>
        <v>109.49454952681363</v>
      </c>
      <c r="AU22" s="87">
        <f>IFERROR(s_C*s_IFPP_res_adj*s_CF_peppers*0.001*(s_Irr!T22+s_Irr!AS22+s_Irr!BR22),".")</f>
        <v>114.00257221634547</v>
      </c>
      <c r="AV22" s="87">
        <f>IFERROR(s_C*s_IFPT_res_adj*s_CF_potato*0.001*(s_Irr!U22+s_Irr!AT22+s_Irr!BS22),".")</f>
        <v>104.98652683728179</v>
      </c>
      <c r="AW22" s="87">
        <f>IFERROR(s_C*s_IFPU_res_adj*s_CF_pumpkin*0.001*(s_Irr!V22+s_Irr!AU22+s_Irr!BT22),".")</f>
        <v>114.00257221634547</v>
      </c>
      <c r="AX22" s="87">
        <f>IFERROR(s_C*s_IFSN_res_adj*s_CF_snap_bean*0.001*(s_Irr!W22+s_Irr!AV22+s_Irr!BU22),".")</f>
        <v>109.49454952681363</v>
      </c>
      <c r="AY22" s="87">
        <f>IFERROR(s_C*s_IFST_res_adj*s_CF_strawberry*0.001*(s_Irr!X22+s_Irr!AW22+s_Irr!BV22),".")</f>
        <v>103.48385260743784</v>
      </c>
      <c r="AZ22" s="87">
        <f>IFERROR(s_C*s_IFTO_res_adj*s_CF_tomato*0.001*(s_Irr!Y22+s_Irr!AX22+s_Irr!BW22),".")</f>
        <v>114.00257221634547</v>
      </c>
      <c r="BA22" s="87">
        <f>IFERROR(s_C*s_IFRI_res_adj*s_CF_rice*0.001*(s_Irr!Z22+s_Irr!AY22+s_Irr!BX22),".")</f>
        <v>89.764436888962607</v>
      </c>
      <c r="BB22" s="87">
        <f>IFERROR(s_C*s_IFCG_res_adj*s_CF_cereal*0.001*(s_Irr!AA22+s_Irr!AZ22+s_Irr!BY22),".")</f>
        <v>114.00257221634547</v>
      </c>
      <c r="BC22" s="70">
        <f t="shared" si="1"/>
        <v>67.393478570114127</v>
      </c>
      <c r="BD22" s="70">
        <f>IFERROR(IF(AND(s_Irr!C22&lt;&gt;".",s_Irr!AB22&lt;&gt;".",s_Irr!BA22&lt;&gt;"."),s_dir!AD22/((1/1000)*(s_Irr!C22+s_Irr!AB22+s_Irr!BA22)),IF(AND(s_Irr!C22&lt;&gt;".",s_Irr!AB22&lt;&gt;".",s_Irr!BA22="."),s_dir!AD22/((1/1000)*(s_Irr!C22+s_Irr!AB22)),IF(AND(s_Irr!C22&lt;&gt;".",s_Irr!AB22=".",s_Irr!BA22&lt;&gt;"."),s_dir!AD22/((1/1000)*(s_Irr!C22+s_Irr!BA22)),IF(AND(s_Irr!C22=".",s_Irr!AB22&lt;&gt;".",s_Irr!BA22&lt;&gt;"."),s_dir!AD22/((1/1000)*(s_Irr!AB22+s_Irr!BA22)),IF(AND(s_Irr!C22=".",s_Irr!AB22=".",s_Irr!BA22&lt;&gt;"."),s_dir!AD22/((1/1000)*(s_Irr!BA22)),IF(AND(s_Irr!C22=".",s_Irr!AB22&lt;&gt;".",s_Irr!BA22="."),s_dir!AD22/((1/1000)*(s_Irr!AB22)),IF(AND(s_Irr!C22&lt;&gt;".",s_Irr!AB22=".",s_Irr!BA22="."),s_dir!AD22/((1/1000)*(s_Irr!C22)),IF(AND(s_Irr!C22=".",s_Irr!AB22=".",s_Irr!BA22="."),s_dir!AD22*1000)))))))),".")</f>
        <v>274.33975018095447</v>
      </c>
      <c r="BE22" s="70">
        <f>IFERROR(IF(AND(s_Irr!D22&lt;&gt;".",s_Irr!AC22&lt;&gt;".",s_Irr!BB22&lt;&gt;"."),s_dir!AE22/((1/1000)*(s_Irr!D22+s_Irr!AC22+s_Irr!BB22)),IF(AND(s_Irr!D22&lt;&gt;".",s_Irr!AC22&lt;&gt;".",s_Irr!BB22="."),s_dir!AE22/((1/1000)*(s_Irr!D22+s_Irr!AC22)),IF(AND(s_Irr!D22&lt;&gt;".",s_Irr!AC22=".",s_Irr!BB22&lt;&gt;"."),s_dir!AE22/((1/1000)*(s_Irr!D22+s_Irr!BB22)),IF(AND(s_Irr!D22=".",s_Irr!AC22&lt;&gt;".",s_Irr!BB22&lt;&gt;"."),s_dir!AE22/((1/1000)*(s_Irr!AC22+s_Irr!BB22)),IF(AND(s_Irr!D22=".",s_Irr!AC22=".",s_Irr!BB22&lt;&gt;"."),s_dir!AE22/((1/1000)*(s_Irr!BB22)),IF(AND(s_Irr!D22=".",s_Irr!AC22&lt;&gt;".",s_Irr!BB22="."),s_dir!AE22/((1/1000)*(s_Irr!AC22)),IF(AND(s_Irr!D22&lt;&gt;".",s_Irr!AC22=".",s_Irr!BB22="."),s_dir!AE22/((1/1000)*(s_Irr!D22)),IF(AND(s_Irr!D22=".",s_Irr!AC22=".",s_Irr!BB22="."),s_dir!AE22*1000)))))))),".")</f>
        <v>126.06427896917651</v>
      </c>
      <c r="BF22" s="70">
        <f>IFERROR(IF(AND(s_Irr!E22&lt;&gt;".",s_Irr!AD22&lt;&gt;".",s_Irr!BC22&lt;&gt;"."),s_dir!AF22/((1/1000)*(s_Irr!E22+s_Irr!AD22+s_Irr!BC22)),IF(AND(s_Irr!E22&lt;&gt;".",s_Irr!AD22&lt;&gt;".",s_Irr!BC22="."),s_dir!AF22/((1/1000)*(s_Irr!E22+s_Irr!AD22)),IF(AND(s_Irr!E22&lt;&gt;".",s_Irr!AD22=".",s_Irr!BC22&lt;&gt;"."),s_dir!AF22/((1/1000)*(s_Irr!E22+s_Irr!BC22)),IF(AND(s_Irr!E22=".",s_Irr!AD22&lt;&gt;".",s_Irr!BC22&lt;&gt;"."),s_dir!AF22/((1/1000)*(s_Irr!AD22+s_Irr!BC22)),IF(AND(s_Irr!E22=".",s_Irr!AD22=".",s_Irr!BC22&lt;&gt;"."),s_dir!AF22/((1/1000)*(s_Irr!BC22)),IF(AND(s_Irr!E22=".",s_Irr!AD22&lt;&gt;".",s_Irr!BC22="."),s_dir!AF22/((1/1000)*(s_Irr!AD22)),IF(AND(s_Irr!E22&lt;&gt;".",s_Irr!AD22=".",s_Irr!BC22="."),s_dir!AF22/((1/1000)*(s_Irr!E22)),IF(AND(s_Irr!E22=".",s_Irr!AD22=".",s_Irr!BC22="."),s_dir!AF22*1000)))))))),".")</f>
        <v>146.60763747799754</v>
      </c>
      <c r="BG22" s="70">
        <f>IFERROR(IF(AND(s_Irr!F22&lt;&gt;".",s_Irr!AE22&lt;&gt;".",s_Irr!BD22&lt;&gt;"."),s_dir!AG22/((1/1000)*(s_Irr!F22+s_Irr!AE22+s_Irr!BD22)),IF(AND(s_Irr!F22&lt;&gt;".",s_Irr!AE22&lt;&gt;".",s_Irr!BD22="."),s_dir!AG22/((1/1000)*(s_Irr!F22+s_Irr!AE22)),IF(AND(s_Irr!F22&lt;&gt;".",s_Irr!AE22=".",s_Irr!BD22&lt;&gt;"."),s_dir!AG22/((1/1000)*(s_Irr!F22+s_Irr!BD22)),IF(AND(s_Irr!F22=".",s_Irr!AE22&lt;&gt;".",s_Irr!BD22&lt;&gt;"."),s_dir!AG22/((1/1000)*(s_Irr!AE22+s_Irr!BD22)),IF(AND(s_Irr!F22=".",s_Irr!AE22=".",s_Irr!BD22&lt;&gt;"."),s_dir!AG22/((1/1000)*(s_Irr!BD22)),IF(AND(s_Irr!F22=".",s_Irr!AE22&lt;&gt;".",s_Irr!BD22="."),s_dir!AG22/((1/1000)*(s_Irr!AE22)),IF(AND(s_Irr!F22&lt;&gt;".",s_Irr!AE22=".",s_Irr!BD22="."),s_dir!AG22/((1/1000)*(s_Irr!F22)),IF(AND(s_Irr!F22=".",s_Irr!AE22=".",s_Irr!BD22="."),s_dir!AG22*1000)))))))),".")</f>
        <v>274.33975018095447</v>
      </c>
      <c r="BH22" s="70">
        <f>IFERROR(IF(AND(s_Irr!G22&lt;&gt;".",s_Irr!AF22&lt;&gt;".",s_Irr!BE22&lt;&gt;"."),s_dir!AH22/((1/1000)*(s_Irr!G22+s_Irr!AF22+s_Irr!BE22)),IF(AND(s_Irr!G22&lt;&gt;".",s_Irr!AF22&lt;&gt;".",s_Irr!BE22="."),s_dir!AH22/((1/1000)*(s_Irr!G22+s_Irr!AF22)),IF(AND(s_Irr!G22&lt;&gt;".",s_Irr!AF22=".",s_Irr!BE22&lt;&gt;"."),s_dir!AH22/((1/1000)*(s_Irr!G22+s_Irr!BE22)),IF(AND(s_Irr!G22=".",s_Irr!AF22&lt;&gt;".",s_Irr!BE22&lt;&gt;"."),s_dir!AH22/((1/1000)*(s_Irr!AF22+s_Irr!BE22)),IF(AND(s_Irr!G22=".",s_Irr!AF22=".",s_Irr!BE22&lt;&gt;"."),s_dir!AH22/((1/1000)*(s_Irr!BE22)),IF(AND(s_Irr!G22=".",s_Irr!AF22&lt;&gt;".",s_Irr!BE22="."),s_dir!AH22/((1/1000)*(s_Irr!AF22)),IF(AND(s_Irr!G22&lt;&gt;".",s_Irr!AF22=".",s_Irr!BE22="."),s_dir!AH22/((1/1000)*(s_Irr!G22)),IF(AND(s_Irr!G22=".",s_Irr!AF22=".",s_Irr!BE22="."),s_dir!AH22*1000)))))))),".")</f>
        <v>249.02713789835653</v>
      </c>
      <c r="BI22" s="70">
        <f>IFERROR(IF(AND(s_Irr!H22&lt;&gt;".",s_Irr!AG22&lt;&gt;".",s_Irr!BF22&lt;&gt;"."),s_dir!AI22/((1/1000)*(s_Irr!H22+s_Irr!AG22+s_Irr!BF22)),IF(AND(s_Irr!H22&lt;&gt;".",s_Irr!AG22&lt;&gt;".",s_Irr!BF22="."),s_dir!AI22/((1/1000)*(s_Irr!H22+s_Irr!AG22)),IF(AND(s_Irr!H22&lt;&gt;".",s_Irr!AG22=".",s_Irr!BF22&lt;&gt;"."),s_dir!AI22/((1/1000)*(s_Irr!H22+s_Irr!BF22)),IF(AND(s_Irr!H22=".",s_Irr!AG22&lt;&gt;".",s_Irr!BF22&lt;&gt;"."),s_dir!AI22/((1/1000)*(s_Irr!AG22+s_Irr!BF22)),IF(AND(s_Irr!H22=".",s_Irr!AG22=".",s_Irr!BF22&lt;&gt;"."),s_dir!AI22/((1/1000)*(s_Irr!BF22)),IF(AND(s_Irr!H22=".",s_Irr!AG22&lt;&gt;".",s_Irr!BF22="."),s_dir!AI22/((1/1000)*(s_Irr!AG22)),IF(AND(s_Irr!H22&lt;&gt;".",s_Irr!AG22=".",s_Irr!BF22="."),s_dir!AI22/((1/1000)*(s_Irr!H22)),IF(AND(s_Irr!H22=".",s_Irr!AG22=".",s_Irr!BF22="."),s_dir!AI22*1000)))))))),".")</f>
        <v>126.06427896917651</v>
      </c>
      <c r="BJ22" s="70">
        <f>IFERROR(IF(AND(s_Irr!I22&lt;&gt;".",s_Irr!AH22&lt;&gt;".",s_Irr!BG22&lt;&gt;"."),s_dir!AJ22/((1/1000)*(s_Irr!I22+s_Irr!AH22+s_Irr!BG22)),IF(AND(s_Irr!I22&lt;&gt;".",s_Irr!AH22&lt;&gt;".",s_Irr!BG22="."),s_dir!AJ22/((1/1000)*(s_Irr!I22+s_Irr!AH22)),IF(AND(s_Irr!I22&lt;&gt;".",s_Irr!AH22=".",s_Irr!BG22&lt;&gt;"."),s_dir!AJ22/((1/1000)*(s_Irr!I22+s_Irr!BG22)),IF(AND(s_Irr!I22=".",s_Irr!AH22&lt;&gt;".",s_Irr!BG22&lt;&gt;"."),s_dir!AJ22/((1/1000)*(s_Irr!AH22+s_Irr!BG22)),IF(AND(s_Irr!I22=".",s_Irr!AH22=".",s_Irr!BG22&lt;&gt;"."),s_dir!AJ22/((1/1000)*(s_Irr!BG22)),IF(AND(s_Irr!I22=".",s_Irr!AH22&lt;&gt;".",s_Irr!BG22="."),s_dir!AJ22/((1/1000)*(s_Irr!AH22)),IF(AND(s_Irr!I22&lt;&gt;".",s_Irr!AH22=".",s_Irr!BG22="."),s_dir!AJ22/((1/1000)*(s_Irr!I22)),IF(AND(s_Irr!I22=".",s_Irr!AH22=".",s_Irr!BG22="."),s_dir!AJ22*1000)))))))),".")</f>
        <v>146.60763747799754</v>
      </c>
      <c r="BK22" s="70">
        <f>IFERROR(IF(AND(s_Irr!J22&lt;&gt;".",s_Irr!AI22&lt;&gt;".",s_Irr!BH22&lt;&gt;"."),s_dir!AK22/((1/1000)*(s_Irr!J22+s_Irr!AI22+s_Irr!BH22)),IF(AND(s_Irr!J22&lt;&gt;".",s_Irr!AI22&lt;&gt;".",s_Irr!BH22="."),s_dir!AK22/((1/1000)*(s_Irr!J22+s_Irr!AI22)),IF(AND(s_Irr!J22&lt;&gt;".",s_Irr!AI22=".",s_Irr!BH22&lt;&gt;"."),s_dir!AK22/((1/1000)*(s_Irr!J22+s_Irr!BH22)),IF(AND(s_Irr!J22=".",s_Irr!AI22&lt;&gt;".",s_Irr!BH22&lt;&gt;"."),s_dir!AK22/((1/1000)*(s_Irr!AI22+s_Irr!BH22)),IF(AND(s_Irr!J22=".",s_Irr!AI22=".",s_Irr!BH22&lt;&gt;"."),s_dir!AK22/((1/1000)*(s_Irr!BH22)),IF(AND(s_Irr!J22=".",s_Irr!AI22&lt;&gt;".",s_Irr!BH22="."),s_dir!AK22/((1/1000)*(s_Irr!AI22)),IF(AND(s_Irr!J22&lt;&gt;".",s_Irr!AI22=".",s_Irr!BH22="."),s_dir!AK22/((1/1000)*(s_Irr!J22)),IF(AND(s_Irr!J22=".",s_Irr!AI22=".",s_Irr!BH22="."),s_dir!AK22*1000)))))))),".")</f>
        <v>274.33975018095447</v>
      </c>
      <c r="BL22" s="70">
        <f>IFERROR(IF(AND(s_Irr!K22&lt;&gt;".",s_Irr!AJ22&lt;&gt;".",s_Irr!BI22&lt;&gt;"."),s_dir!AL22/((1/1000)*(s_Irr!K22+s_Irr!AJ22+s_Irr!BI22)),IF(AND(s_Irr!K22&lt;&gt;".",s_Irr!AJ22&lt;&gt;".",s_Irr!BI22="."),s_dir!AL22/((1/1000)*(s_Irr!K22+s_Irr!AJ22)),IF(AND(s_Irr!K22&lt;&gt;".",s_Irr!AJ22=".",s_Irr!BI22&lt;&gt;"."),s_dir!AL22/((1/1000)*(s_Irr!K22+s_Irr!BI22)),IF(AND(s_Irr!K22=".",s_Irr!AJ22&lt;&gt;".",s_Irr!BI22&lt;&gt;"."),s_dir!AL22/((1/1000)*(s_Irr!AJ22+s_Irr!BI22)),IF(AND(s_Irr!K22=".",s_Irr!AJ22=".",s_Irr!BI22&lt;&gt;"."),s_dir!AL22/((1/1000)*(s_Irr!BI22)),IF(AND(s_Irr!K22=".",s_Irr!AJ22&lt;&gt;".",s_Irr!BI22="."),s_dir!AL22/((1/1000)*(s_Irr!AJ22)),IF(AND(s_Irr!K22&lt;&gt;".",s_Irr!AJ22=".",s_Irr!BI22="."),s_dir!AL22/((1/1000)*(s_Irr!K22)),IF(AND(s_Irr!K22=".",s_Irr!AJ22=".",s_Irr!BI22="."),s_dir!AL22*1000)))))))),".")</f>
        <v>308.37112966216239</v>
      </c>
      <c r="BM22" s="70">
        <f>IFERROR(IF(AND(s_Irr!L22&lt;&gt;".",s_Irr!AK22&lt;&gt;".",s_Irr!BJ22&lt;&gt;"."),s_dir!AM22/((1/1000)*(s_Irr!L22+s_Irr!AK22+s_Irr!BJ22)),IF(AND(s_Irr!L22&lt;&gt;".",s_Irr!AK22&lt;&gt;".",s_Irr!BJ22="."),s_dir!AM22/((1/1000)*(s_Irr!L22+s_Irr!AK22)),IF(AND(s_Irr!L22&lt;&gt;".",s_Irr!AK22=".",s_Irr!BJ22&lt;&gt;"."),s_dir!AM22/((1/1000)*(s_Irr!L22+s_Irr!BJ22)),IF(AND(s_Irr!L22=".",s_Irr!AK22&lt;&gt;".",s_Irr!BJ22&lt;&gt;"."),s_dir!AM22/((1/1000)*(s_Irr!AK22+s_Irr!BJ22)),IF(AND(s_Irr!L22=".",s_Irr!AK22=".",s_Irr!BJ22&lt;&gt;"."),s_dir!AM22/((1/1000)*(s_Irr!BJ22)),IF(AND(s_Irr!L22=".",s_Irr!AK22&lt;&gt;".",s_Irr!BJ22="."),s_dir!AM22/((1/1000)*(s_Irr!AK22)),IF(AND(s_Irr!L22&lt;&gt;".",s_Irr!AK22=".",s_Irr!BJ22="."),s_dir!AM22/((1/1000)*(s_Irr!L22)),IF(AND(s_Irr!L22=".",s_Irr!AK22=".",s_Irr!BJ22="."),s_dir!AM22*1000)))))))),".")</f>
        <v>249.02713789835653</v>
      </c>
      <c r="BN22" s="70">
        <f>IFERROR(IF(AND(s_Irr!M22&lt;&gt;".",s_Irr!AL22&lt;&gt;".",s_Irr!BK22&lt;&gt;"."),s_dir!AN22/((1/1000)*(s_Irr!M22+s_Irr!AL22+s_Irr!BK22)),IF(AND(s_Irr!M22&lt;&gt;".",s_Irr!AL22&lt;&gt;".",s_Irr!BK22="."),s_dir!AN22/((1/1000)*(s_Irr!M22+s_Irr!AL22)),IF(AND(s_Irr!M22&lt;&gt;".",s_Irr!AL22=".",s_Irr!BK22&lt;&gt;"."),s_dir!AN22/((1/1000)*(s_Irr!M22+s_Irr!BK22)),IF(AND(s_Irr!M22=".",s_Irr!AL22&lt;&gt;".",s_Irr!BK22&lt;&gt;"."),s_dir!AN22/((1/1000)*(s_Irr!AL22+s_Irr!BK22)),IF(AND(s_Irr!M22=".",s_Irr!AL22=".",s_Irr!BK22&lt;&gt;"."),s_dir!AN22/((1/1000)*(s_Irr!BK22)),IF(AND(s_Irr!M22=".",s_Irr!AL22&lt;&gt;".",s_Irr!BK22="."),s_dir!AN22/((1/1000)*(s_Irr!AL22)),IF(AND(s_Irr!M22&lt;&gt;".",s_Irr!AL22=".",s_Irr!BK22="."),s_dir!AN22/((1/1000)*(s_Irr!M22)),IF(AND(s_Irr!M22=".",s_Irr!AL22=".",s_Irr!BK22="."),s_dir!AN22*1000)))))))),".")</f>
        <v>126.06427896917651</v>
      </c>
      <c r="BO22" s="70">
        <f>IFERROR(IF(AND(s_Irr!N22&lt;&gt;".",s_Irr!AM22&lt;&gt;".",s_Irr!BL22&lt;&gt;"."),s_dir!AO22/((1/1000)*(s_Irr!N22+s_Irr!AM22+s_Irr!BL22)),IF(AND(s_Irr!N22&lt;&gt;".",s_Irr!AM22&lt;&gt;".",s_Irr!BL22="."),s_dir!AO22/((1/1000)*(s_Irr!N22+s_Irr!AM22)),IF(AND(s_Irr!N22&lt;&gt;".",s_Irr!AM22=".",s_Irr!BL22&lt;&gt;"."),s_dir!AO22/((1/1000)*(s_Irr!N22+s_Irr!BL22)),IF(AND(s_Irr!N22=".",s_Irr!AM22&lt;&gt;".",s_Irr!BL22&lt;&gt;"."),s_dir!AO22/((1/1000)*(s_Irr!AM22+s_Irr!BL22)),IF(AND(s_Irr!N22=".",s_Irr!AM22=".",s_Irr!BL22&lt;&gt;"."),s_dir!AO22/((1/1000)*(s_Irr!BL22)),IF(AND(s_Irr!N22=".",s_Irr!AM22&lt;&gt;".",s_Irr!BL22="."),s_dir!AO22/((1/1000)*(s_Irr!AM22)),IF(AND(s_Irr!N22&lt;&gt;".",s_Irr!AM22=".",s_Irr!BL22="."),s_dir!AO22/((1/1000)*(s_Irr!N22)),IF(AND(s_Irr!N22=".",s_Irr!AM22=".",s_Irr!BL22="."),s_dir!AO22*1000)))))))),".")</f>
        <v>259.27988557215792</v>
      </c>
      <c r="BP22" s="70">
        <f>IFERROR(IF(AND(s_Irr!O22&lt;&gt;".",s_Irr!AN22&lt;&gt;".",s_Irr!BM22&lt;&gt;"."),s_dir!AP22/((1/1000)*(s_Irr!O22+s_Irr!AN22+s_Irr!BM22)),IF(AND(s_Irr!O22&lt;&gt;".",s_Irr!AN22&lt;&gt;".",s_Irr!BM22="."),s_dir!AP22/((1/1000)*(s_Irr!O22+s_Irr!AN22)),IF(AND(s_Irr!O22&lt;&gt;".",s_Irr!AN22=".",s_Irr!BM22&lt;&gt;"."),s_dir!AP22/((1/1000)*(s_Irr!O22+s_Irr!BM22)),IF(AND(s_Irr!O22=".",s_Irr!AN22&lt;&gt;".",s_Irr!BM22&lt;&gt;"."),s_dir!AP22/((1/1000)*(s_Irr!AN22+s_Irr!BM22)),IF(AND(s_Irr!O22=".",s_Irr!AN22=".",s_Irr!BM22&lt;&gt;"."),s_dir!AP22/((1/1000)*(s_Irr!BM22)),IF(AND(s_Irr!O22=".",s_Irr!AN22&lt;&gt;".",s_Irr!BM22="."),s_dir!AP22/((1/1000)*(s_Irr!AN22)),IF(AND(s_Irr!O22&lt;&gt;".",s_Irr!AN22=".",s_Irr!BM22="."),s_dir!AP22/((1/1000)*(s_Irr!O22)),IF(AND(s_Irr!O22=".",s_Irr!AN22=".",s_Irr!BM22="."),s_dir!AP22*1000)))))))),".")</f>
        <v>249.02713789835653</v>
      </c>
      <c r="BQ22" s="70">
        <f>IFERROR(IF(AND(s_Irr!P22&lt;&gt;".",s_Irr!AO22&lt;&gt;".",s_Irr!BN22&lt;&gt;"."),s_dir!AQ22/((1/1000)*(s_Irr!P22+s_Irr!AO22+s_Irr!BN22)),IF(AND(s_Irr!P22&lt;&gt;".",s_Irr!AO22&lt;&gt;".",s_Irr!BN22="."),s_dir!AQ22/((1/1000)*(s_Irr!P22+s_Irr!AO22)),IF(AND(s_Irr!P22&lt;&gt;".",s_Irr!AO22=".",s_Irr!BN22&lt;&gt;"."),s_dir!AQ22/((1/1000)*(s_Irr!P22+s_Irr!BN22)),IF(AND(s_Irr!P22=".",s_Irr!AO22&lt;&gt;".",s_Irr!BN22&lt;&gt;"."),s_dir!AQ22/((1/1000)*(s_Irr!AO22+s_Irr!BN22)),IF(AND(s_Irr!P22=".",s_Irr!AO22=".",s_Irr!BN22&lt;&gt;"."),s_dir!AQ22/((1/1000)*(s_Irr!BN22)),IF(AND(s_Irr!P22=".",s_Irr!AO22&lt;&gt;".",s_Irr!BN22="."),s_dir!AQ22/((1/1000)*(s_Irr!AO22)),IF(AND(s_Irr!P22&lt;&gt;".",s_Irr!AO22=".",s_Irr!BN22="."),s_dir!AQ22/((1/1000)*(s_Irr!P22)),IF(AND(s_Irr!P22=".",s_Irr!AO22=".",s_Irr!BN22="."),s_dir!AQ22*1000)))))))),".")</f>
        <v>146.60763747799754</v>
      </c>
      <c r="BR22" s="70">
        <f>IFERROR(IF(AND(s_Irr!Q22&lt;&gt;".",s_Irr!AP22&lt;&gt;".",s_Irr!BO22&lt;&gt;"."),s_dir!AR22/((1/1000)*(s_Irr!Q22+s_Irr!AP22+s_Irr!BO22)),IF(AND(s_Irr!Q22&lt;&gt;".",s_Irr!AP22&lt;&gt;".",s_Irr!BO22="."),s_dir!AR22/((1/1000)*(s_Irr!Q22+s_Irr!AP22)),IF(AND(s_Irr!Q22&lt;&gt;".",s_Irr!AP22=".",s_Irr!BO22&lt;&gt;"."),s_dir!AR22/((1/1000)*(s_Irr!Q22+s_Irr!BO22)),IF(AND(s_Irr!Q22=".",s_Irr!AP22&lt;&gt;".",s_Irr!BO22&lt;&gt;"."),s_dir!AR22/((1/1000)*(s_Irr!AP22+s_Irr!BO22)),IF(AND(s_Irr!Q22=".",s_Irr!AP22=".",s_Irr!BO22&lt;&gt;"."),s_dir!AR22/((1/1000)*(s_Irr!BO22)),IF(AND(s_Irr!Q22=".",s_Irr!AP22&lt;&gt;".",s_Irr!BO22="."),s_dir!AR22/((1/1000)*(s_Irr!AP22)),IF(AND(s_Irr!Q22&lt;&gt;".",s_Irr!AP22=".",s_Irr!BO22="."),s_dir!AR22/((1/1000)*(s_Irr!Q22)),IF(AND(s_Irr!Q22=".",s_Irr!AP22=".",s_Irr!BO22="."),s_dir!AR22*1000)))))))),".")</f>
        <v>274.33975018095447</v>
      </c>
      <c r="BS22" s="70">
        <f>IFERROR(IF(AND(s_Irr!R22&lt;&gt;".",s_Irr!AQ22&lt;&gt;".",s_Irr!BP22&lt;&gt;"."),s_dir!AS22/((1/1000)*(s_Irr!R22+s_Irr!AQ22+s_Irr!BP22)),IF(AND(s_Irr!R22&lt;&gt;".",s_Irr!AQ22&lt;&gt;".",s_Irr!BP22="."),s_dir!AS22/((1/1000)*(s_Irr!R22+s_Irr!AQ22)),IF(AND(s_Irr!R22&lt;&gt;".",s_Irr!AQ22=".",s_Irr!BP22&lt;&gt;"."),s_dir!AS22/((1/1000)*(s_Irr!R22+s_Irr!BP22)),IF(AND(s_Irr!R22=".",s_Irr!AQ22&lt;&gt;".",s_Irr!BP22&lt;&gt;"."),s_dir!AS22/((1/1000)*(s_Irr!AQ22+s_Irr!BP22)),IF(AND(s_Irr!R22=".",s_Irr!AQ22=".",s_Irr!BP22&lt;&gt;"."),s_dir!AS22/((1/1000)*(s_Irr!BP22)),IF(AND(s_Irr!R22=".",s_Irr!AQ22&lt;&gt;".",s_Irr!BP22="."),s_dir!AS22/((1/1000)*(s_Irr!AQ22)),IF(AND(s_Irr!R22&lt;&gt;".",s_Irr!AQ22=".",s_Irr!BP22="."),s_dir!AS22/((1/1000)*(s_Irr!R22)),IF(AND(s_Irr!R22=".",s_Irr!AQ22=".",s_Irr!BP22="."),s_dir!AS22*1000)))))))),".")</f>
        <v>274.33975018095447</v>
      </c>
      <c r="BT22" s="70">
        <f>IFERROR(IF(AND(s_Irr!S22&lt;&gt;".",s_Irr!AR22&lt;&gt;".",s_Irr!BQ22&lt;&gt;"."),s_dir!AT22/((1/1000)*(s_Irr!S22+s_Irr!AR22+s_Irr!BQ22)),IF(AND(s_Irr!S22&lt;&gt;".",s_Irr!AR22&lt;&gt;".",s_Irr!BQ22="."),s_dir!AT22/((1/1000)*(s_Irr!S22+s_Irr!AR22)),IF(AND(s_Irr!S22&lt;&gt;".",s_Irr!AR22=".",s_Irr!BQ22&lt;&gt;"."),s_dir!AT22/((1/1000)*(s_Irr!S22+s_Irr!BQ22)),IF(AND(s_Irr!S22=".",s_Irr!AR22&lt;&gt;".",s_Irr!BQ22&lt;&gt;"."),s_dir!AT22/((1/1000)*(s_Irr!AR22+s_Irr!BQ22)),IF(AND(s_Irr!S22=".",s_Irr!AR22=".",s_Irr!BQ22&lt;&gt;"."),s_dir!AT22/((1/1000)*(s_Irr!BQ22)),IF(AND(s_Irr!S22=".",s_Irr!AR22&lt;&gt;".",s_Irr!BQ22="."),s_dir!AT22/((1/1000)*(s_Irr!AR22)),IF(AND(s_Irr!S22&lt;&gt;".",s_Irr!AR22=".",s_Irr!BQ22="."),s_dir!AT22/((1/1000)*(s_Irr!S22)),IF(AND(s_Irr!S22=".",s_Irr!AR22=".",s_Irr!BQ22="."),s_dir!AT22*1000)))))))),".")</f>
        <v>259.27988557215792</v>
      </c>
      <c r="BU22" s="70">
        <f>IFERROR(IF(AND(s_Irr!T22&lt;&gt;".",s_Irr!AS22&lt;&gt;".",s_Irr!BR22&lt;&gt;"."),s_dir!AU22/((1/1000)*(s_Irr!T22+s_Irr!AS22+s_Irr!BR22)),IF(AND(s_Irr!T22&lt;&gt;".",s_Irr!AS22&lt;&gt;".",s_Irr!BR22="."),s_dir!AU22/((1/1000)*(s_Irr!T22+s_Irr!AS22)),IF(AND(s_Irr!T22&lt;&gt;".",s_Irr!AS22=".",s_Irr!BR22&lt;&gt;"."),s_dir!AU22/((1/1000)*(s_Irr!T22+s_Irr!BR22)),IF(AND(s_Irr!T22=".",s_Irr!AS22&lt;&gt;".",s_Irr!BR22&lt;&gt;"."),s_dir!AU22/((1/1000)*(s_Irr!AS22+s_Irr!BR22)),IF(AND(s_Irr!T22=".",s_Irr!AS22=".",s_Irr!BR22&lt;&gt;"."),s_dir!AU22/((1/1000)*(s_Irr!BR22)),IF(AND(s_Irr!T22=".",s_Irr!AS22&lt;&gt;".",s_Irr!BR22="."),s_dir!AU22/((1/1000)*(s_Irr!AS22)),IF(AND(s_Irr!T22&lt;&gt;".",s_Irr!AS22=".",s_Irr!BR22="."),s_dir!AU22/((1/1000)*(s_Irr!T22)),IF(AND(s_Irr!T22=".",s_Irr!AS22=".",s_Irr!BR22="."),s_dir!AU22*1000)))))))),".")</f>
        <v>249.02713789835653</v>
      </c>
      <c r="BV22" s="70">
        <f>IFERROR(IF(AND(s_Irr!U22&lt;&gt;".",s_Irr!AT22&lt;&gt;".",s_Irr!BS22&lt;&gt;"."),s_dir!AV22/((1/1000)*(s_Irr!U22+s_Irr!AT22+s_Irr!BS22)),IF(AND(s_Irr!U22&lt;&gt;".",s_Irr!AT22&lt;&gt;".",s_Irr!BS22="."),s_dir!AV22/((1/1000)*(s_Irr!U22+s_Irr!AT22)),IF(AND(s_Irr!U22&lt;&gt;".",s_Irr!AT22=".",s_Irr!BS22&lt;&gt;"."),s_dir!AV22/((1/1000)*(s_Irr!U22+s_Irr!BS22)),IF(AND(s_Irr!U22=".",s_Irr!AT22&lt;&gt;".",s_Irr!BS22&lt;&gt;"."),s_dir!AV22/((1/1000)*(s_Irr!AT22+s_Irr!BS22)),IF(AND(s_Irr!U22=".",s_Irr!AT22=".",s_Irr!BS22&lt;&gt;"."),s_dir!AV22/((1/1000)*(s_Irr!BS22)),IF(AND(s_Irr!U22=".",s_Irr!AT22&lt;&gt;".",s_Irr!BS22="."),s_dir!AV22/((1/1000)*(s_Irr!AT22)),IF(AND(s_Irr!U22&lt;&gt;".",s_Irr!AT22=".",s_Irr!BS22="."),s_dir!AV22/((1/1000)*(s_Irr!U22)),IF(AND(s_Irr!U22=".",s_Irr!AT22=".",s_Irr!BS22="."),s_dir!AV22*1000)))))))),".")</f>
        <v>270.41311992431514</v>
      </c>
      <c r="BW22" s="70">
        <f>IFERROR(IF(AND(s_Irr!V22&lt;&gt;".",s_Irr!AU22&lt;&gt;".",s_Irr!BT22&lt;&gt;"."),s_dir!AW22/((1/1000)*(s_Irr!V22+s_Irr!AU22+s_Irr!BT22)),IF(AND(s_Irr!V22&lt;&gt;".",s_Irr!AU22&lt;&gt;".",s_Irr!BT22="."),s_dir!AW22/((1/1000)*(s_Irr!V22+s_Irr!AU22)),IF(AND(s_Irr!V22&lt;&gt;".",s_Irr!AU22=".",s_Irr!BT22&lt;&gt;"."),s_dir!AW22/((1/1000)*(s_Irr!V22+s_Irr!BT22)),IF(AND(s_Irr!V22=".",s_Irr!AU22&lt;&gt;".",s_Irr!BT22&lt;&gt;"."),s_dir!AW22/((1/1000)*(s_Irr!AU22+s_Irr!BT22)),IF(AND(s_Irr!V22=".",s_Irr!AU22=".",s_Irr!BT22&lt;&gt;"."),s_dir!AW22/((1/1000)*(s_Irr!BT22)),IF(AND(s_Irr!V22=".",s_Irr!AU22&lt;&gt;".",s_Irr!BT22="."),s_dir!AW22/((1/1000)*(s_Irr!AU22)),IF(AND(s_Irr!V22&lt;&gt;".",s_Irr!AU22=".",s_Irr!BT22="."),s_dir!AW22/((1/1000)*(s_Irr!V22)),IF(AND(s_Irr!V22=".",s_Irr!AU22=".",s_Irr!BT22="."),s_dir!AW22*1000)))))))),".")</f>
        <v>249.02713789835653</v>
      </c>
      <c r="BX22" s="70">
        <f>IFERROR(IF(AND(s_Irr!W22&lt;&gt;".",s_Irr!AV22&lt;&gt;".",s_Irr!BU22&lt;&gt;"."),s_dir!AX22/((1/1000)*(s_Irr!W22+s_Irr!AV22+s_Irr!BU22)),IF(AND(s_Irr!W22&lt;&gt;".",s_Irr!AV22&lt;&gt;".",s_Irr!BU22="."),s_dir!AX22/((1/1000)*(s_Irr!W22+s_Irr!AV22)),IF(AND(s_Irr!W22&lt;&gt;".",s_Irr!AV22=".",s_Irr!BU22&lt;&gt;"."),s_dir!AX22/((1/1000)*(s_Irr!W22+s_Irr!BU22)),IF(AND(s_Irr!W22=".",s_Irr!AV22&lt;&gt;".",s_Irr!BU22&lt;&gt;"."),s_dir!AX22/((1/1000)*(s_Irr!AV22+s_Irr!BU22)),IF(AND(s_Irr!W22=".",s_Irr!AV22=".",s_Irr!BU22&lt;&gt;"."),s_dir!AX22/((1/1000)*(s_Irr!BU22)),IF(AND(s_Irr!W22=".",s_Irr!AV22&lt;&gt;".",s_Irr!BU22="."),s_dir!AX22/((1/1000)*(s_Irr!AV22)),IF(AND(s_Irr!W22&lt;&gt;".",s_Irr!AV22=".",s_Irr!BU22="."),s_dir!AX22/((1/1000)*(s_Irr!W22)),IF(AND(s_Irr!W22=".",s_Irr!AV22=".",s_Irr!BU22="."),s_dir!AX22*1000)))))))),".")</f>
        <v>259.27988557215792</v>
      </c>
      <c r="BY22" s="70">
        <f>IFERROR(IF(AND(s_Irr!X22&lt;&gt;".",s_Irr!AW22&lt;&gt;".",s_Irr!BV22&lt;&gt;"."),s_dir!AY22/((1/1000)*(s_Irr!X22+s_Irr!AW22+s_Irr!BV22)),IF(AND(s_Irr!X22&lt;&gt;".",s_Irr!AW22&lt;&gt;".",s_Irr!BV22="."),s_dir!AY22/((1/1000)*(s_Irr!X22+s_Irr!AW22)),IF(AND(s_Irr!X22&lt;&gt;".",s_Irr!AW22=".",s_Irr!BV22&lt;&gt;"."),s_dir!AY22/((1/1000)*(s_Irr!X22+s_Irr!BV22)),IF(AND(s_Irr!X22=".",s_Irr!AW22&lt;&gt;".",s_Irr!BV22&lt;&gt;"."),s_dir!AY22/((1/1000)*(s_Irr!AW22+s_Irr!BV22)),IF(AND(s_Irr!X22=".",s_Irr!AW22=".",s_Irr!BV22&lt;&gt;"."),s_dir!AY22/((1/1000)*(s_Irr!BV22)),IF(AND(s_Irr!X22=".",s_Irr!AW22&lt;&gt;".",s_Irr!BV22="."),s_dir!AY22/((1/1000)*(s_Irr!AW22)),IF(AND(s_Irr!X22&lt;&gt;".",s_Irr!AW22=".",s_Irr!BV22="."),s_dir!AY22/((1/1000)*(s_Irr!X22)),IF(AND(s_Irr!X22=".",s_Irr!AW22=".",s_Irr!BV22="."),s_dir!AY22*1000)))))))),".")</f>
        <v>274.33975018095447</v>
      </c>
      <c r="BZ22" s="70">
        <f>IFERROR(IF(AND(s_Irr!Y22&lt;&gt;".",s_Irr!AX22&lt;&gt;".",s_Irr!BW22&lt;&gt;"."),s_dir!AZ22/((1/1000)*(s_Irr!Y22+s_Irr!AX22+s_Irr!BW22)),IF(AND(s_Irr!Y22&lt;&gt;".",s_Irr!AX22&lt;&gt;".",s_Irr!BW22="."),s_dir!AZ22/((1/1000)*(s_Irr!Y22+s_Irr!AX22)),IF(AND(s_Irr!Y22&lt;&gt;".",s_Irr!AX22=".",s_Irr!BW22&lt;&gt;"."),s_dir!AZ22/((1/1000)*(s_Irr!Y22+s_Irr!BW22)),IF(AND(s_Irr!Y22=".",s_Irr!AX22&lt;&gt;".",s_Irr!BW22&lt;&gt;"."),s_dir!AZ22/((1/1000)*(s_Irr!AX22+s_Irr!BW22)),IF(AND(s_Irr!Y22=".",s_Irr!AX22=".",s_Irr!BW22&lt;&gt;"."),s_dir!AZ22/((1/1000)*(s_Irr!BW22)),IF(AND(s_Irr!Y22=".",s_Irr!AX22&lt;&gt;".",s_Irr!BW22="."),s_dir!AZ22/((1/1000)*(s_Irr!AX22)),IF(AND(s_Irr!Y22&lt;&gt;".",s_Irr!AX22=".",s_Irr!BW22="."),s_dir!AZ22/((1/1000)*(s_Irr!Y22)),IF(AND(s_Irr!Y22=".",s_Irr!AX22=".",s_Irr!BW22="."),s_dir!AZ22*1000)))))))),".")</f>
        <v>249.02713789835653</v>
      </c>
      <c r="CA22" s="70">
        <f>IFERROR(IF(AND(s_Irr!Z22&lt;&gt;".",s_Irr!AY22&lt;&gt;".",s_Irr!BX22&lt;&gt;"."),s_dir!BA22/((1/1000)*(s_Irr!Z22+s_Irr!AY22+s_Irr!BX22)),IF(AND(s_Irr!Z22&lt;&gt;".",s_Irr!AY22&lt;&gt;".",s_Irr!BX22="."),s_dir!BA22/((1/1000)*(s_Irr!Z22+s_Irr!AY22)),IF(AND(s_Irr!Z22&lt;&gt;".",s_Irr!AY22=".",s_Irr!BX22&lt;&gt;"."),s_dir!BA22/((1/1000)*(s_Irr!Z22+s_Irr!BX22)),IF(AND(s_Irr!Z22=".",s_Irr!AY22&lt;&gt;".",s_Irr!BX22&lt;&gt;"."),s_dir!BA22/((1/1000)*(s_Irr!AY22+s_Irr!BX22)),IF(AND(s_Irr!Z22=".",s_Irr!AY22=".",s_Irr!BX22&lt;&gt;"."),s_dir!BA22/((1/1000)*(s_Irr!BX22)),IF(AND(s_Irr!Z22=".",s_Irr!AY22&lt;&gt;".",s_Irr!BX22="."),s_dir!BA22/((1/1000)*(s_Irr!AY22)),IF(AND(s_Irr!Z22&lt;&gt;".",s_Irr!AY22=".",s_Irr!BX22="."),s_dir!BA22/((1/1000)*(s_Irr!Z22)),IF(AND(s_Irr!Z22=".",s_Irr!AY22=".",s_Irr!BX22="."),s_dir!BA22*1000)))))))),".")</f>
        <v>316.26928498649107</v>
      </c>
      <c r="CB22" s="70">
        <f>IFERROR(IF(AND(s_Irr!AA22&lt;&gt;".",s_Irr!AZ22&lt;&gt;".",s_Irr!BY22&lt;&gt;"."),s_dir!BB22/((1/1000)*(s_Irr!AA22+s_Irr!AZ22+s_Irr!BY22)),IF(AND(s_Irr!AA22&lt;&gt;".",s_Irr!AZ22&lt;&gt;".",s_Irr!BY22="."),s_dir!BB22/((1/1000)*(s_Irr!AA22+s_Irr!AZ22)),IF(AND(s_Irr!AA22&lt;&gt;".",s_Irr!AZ22=".",s_Irr!BY22&lt;&gt;"."),s_dir!BB22/((1/1000)*(s_Irr!AA22+s_Irr!BY22)),IF(AND(s_Irr!AA22=".",s_Irr!AZ22&lt;&gt;".",s_Irr!BY22&lt;&gt;"."),s_dir!BB22/((1/1000)*(s_Irr!AZ22+s_Irr!BY22)),IF(AND(s_Irr!AA22=".",s_Irr!AZ22=".",s_Irr!BY22&lt;&gt;"."),s_dir!BB22/((1/1000)*(s_Irr!BY22)),IF(AND(s_Irr!AA22=".",s_Irr!AZ22&lt;&gt;".",s_Irr!BY22="."),s_dir!BB22/((1/1000)*(s_Irr!AZ22)),IF(AND(s_Irr!AA22&lt;&gt;".",s_Irr!AZ22=".",s_Irr!BY22="."),s_dir!BB22/((1/1000)*(s_Irr!AA22)),IF(AND(s_Irr!AA22=".",s_Irr!AZ22=".",s_Irr!BY22="."),s_dir!BB22*1000)))))))),".")</f>
        <v>249.02713789835653</v>
      </c>
      <c r="CC22" s="87">
        <f t="shared" si="2"/>
        <v>421.25343392909139</v>
      </c>
      <c r="CD22" s="87">
        <f>IFERROR(s_C*s_IFAP_far_adj*s_CF_apple*(1/1000)*(s_Irr!C22+s_Irr!AB22+s_Irr!BA22),".")</f>
        <v>103.48385260743784</v>
      </c>
      <c r="CE22" s="87">
        <f>IFERROR(s_C*s_IFAS_far_adj*s_CF_asparagus*(1/1000)*(s_Irr!D22+s_Irr!AC22+s_Irr!BB22),".")</f>
        <v>225.20046522479754</v>
      </c>
      <c r="CF22" s="87">
        <f>IFERROR(s_C*s_IFBT_far_adj*s_CF_beet*(1/1000)*(s_Irr!E22+s_Irr!AD22+s_Irr!BC22),".")</f>
        <v>193.64430639807466</v>
      </c>
      <c r="CG22" s="87">
        <f>IFERROR(s_C*s_IFBE_far_adj*s_CF_berries*(1/1000)*(s_Irr!F22+s_Irr!AE22+s_Irr!BD22),".")</f>
        <v>103.48385260743784</v>
      </c>
      <c r="CH22" s="87">
        <f>IFERROR(s_C*s_IFBR_far_adj*s_CF_broccoli*(1/1000)*(s_Irr!G22+s_Irr!AF22+s_Irr!BE22),".")</f>
        <v>114.00257221634547</v>
      </c>
      <c r="CI22" s="87">
        <f>IFERROR(s_C*s_IFCB_far_adj*s_CF_cabbage*(1/1000)*(s_Irr!H22+s_Irr!AG22+s_Irr!BF22),".")</f>
        <v>225.20046522479754</v>
      </c>
      <c r="CJ22" s="87">
        <f>IFERROR(s_C*s_IFCR_far_adj*s_CF_carrot*(1/1000)*(s_Irr!I22+s_Irr!AH22+s_Irr!BG22),".")</f>
        <v>193.64430639807466</v>
      </c>
      <c r="CK22" s="87">
        <f>IFERROR(s_C*s_IFCI_far_adj*s_CF_citrus*(1/1000)*(s_Irr!J22+s_Irr!AI22+s_Irr!BH22),".")</f>
        <v>103.48385260743784</v>
      </c>
      <c r="CL22" s="87">
        <f>IFERROR(s_C*s_IFCO_far_adj*s_CF_corn*(1/1000)*(s_Irr!K22+s_Irr!AJ22+s_Irr!BI22),".")</f>
        <v>92.063528460623843</v>
      </c>
      <c r="CM22" s="87">
        <f>IFERROR(s_C*s_IFCU_far_adj*s_CF_cucumber*(1/1000)*(s_Irr!L22+s_Irr!AK22+s_Irr!BJ22),".")</f>
        <v>114.00257221634547</v>
      </c>
      <c r="CN22" s="87">
        <f>IFERROR(s_C*s_IFLE_far_adj*s_CF_lettuce*(1/1000)*(s_Irr!M22+s_Irr!AL22+s_Irr!BK22),".")</f>
        <v>225.20046522479754</v>
      </c>
      <c r="CO22" s="87">
        <f>IFERROR(s_C*s_IFLI_far_adj*s_CF_lima_bean*(1/1000)*(s_Irr!N22+s_Irr!AM22+s_Irr!BL22),".")</f>
        <v>109.49454952681363</v>
      </c>
      <c r="CP22" s="87">
        <f>IFERROR(s_C*s_IFOK_far_adj*s_CF_okra*(1/1000)*(s_Irr!O22+s_Irr!AN22+s_Irr!BM22),".")</f>
        <v>114.00257221634547</v>
      </c>
      <c r="CQ22" s="87">
        <f>IFERROR(s_C*s_IFON_far_adj*s_CF_onion*(1/1000)*(s_Irr!P22+s_Irr!AO22+s_Irr!BN22),".")</f>
        <v>193.64430639807466</v>
      </c>
      <c r="CR22" s="87">
        <f>IFERROR(s_C*s_IFPC_far_adj*s_CF_peach*(1/1000)*(s_Irr!Q22+s_Irr!AP22+s_Irr!BO22),".")</f>
        <v>103.48385260743784</v>
      </c>
      <c r="CS22" s="87">
        <f>IFERROR(s_C*s_IFPR_far_adj*s_CF_pear*(1/1000)*(s_Irr!R22+s_Irr!AQ22+s_Irr!BP22),".")</f>
        <v>103.48385260743784</v>
      </c>
      <c r="CT22" s="87">
        <f>IFERROR(s_C*s_IFPE_far_adj*s_CF_peas*(1/1000)*(s_Irr!S22+s_Irr!AR22+s_Irr!BQ22),".")</f>
        <v>109.49454952681363</v>
      </c>
      <c r="CU22" s="87">
        <f>IFERROR(s_C*s_IFPP_far_adj*s_CF_peppers*(1/1000)*(s_Irr!T22+s_Irr!AS22+s_Irr!BR22),".")</f>
        <v>114.00257221634547</v>
      </c>
      <c r="CV22" s="87">
        <f>IFERROR(s_C*s_IFPT_far_adj*s_CF_potato*(1/1000)*(s_Irr!U22+s_Irr!AT22+s_Irr!BS22),".")</f>
        <v>104.98652683728179</v>
      </c>
      <c r="CW22" s="87">
        <f>IFERROR(s_C*s_IFPU_far_adj*s_CF_pumpkin*(1/1000)*(s_Irr!V22+s_Irr!AU22+s_Irr!BT22),".")</f>
        <v>114.00257221634547</v>
      </c>
      <c r="CX22" s="87">
        <f>IFERROR(s_C*s_IFSN_far_adj*s_CF_snap_bean*(1/1000)*(s_Irr!W22+s_Irr!AV22+s_Irr!BU22),".")</f>
        <v>109.49454952681363</v>
      </c>
      <c r="CY22" s="87">
        <f>IFERROR(s_C*s_IFST_far_adj*s_CF_strawberry*(1/1000)*(s_Irr!X22+s_Irr!AW22+s_Irr!BV22),".")</f>
        <v>103.48385260743784</v>
      </c>
      <c r="CZ22" s="87">
        <f>IFERROR(s_C*s_IFTO_far_adj*s_CF_tomato*(1/1000)*(s_Irr!Y22+s_Irr!AX22+s_Irr!BW22),".")</f>
        <v>114.00257221634547</v>
      </c>
      <c r="DA22" s="87">
        <f>IFERROR(s_C*s_IFRI_far_adj*s_CF_rice*(1/1000)*(s_Irr!Z22+s_Irr!AY22+s_Irr!BX22),".")</f>
        <v>89.764436888962607</v>
      </c>
      <c r="DB22" s="87">
        <f>IFERROR(s_C*s_IFCG_far_adj*s_CF_cereal*(1/1000)*(s_Irr!AA22+s_Irr!AZ22+s_Irr!BY22),".")</f>
        <v>114.00257221634547</v>
      </c>
    </row>
    <row r="23" spans="1:106" x14ac:dyDescent="0.25">
      <c r="A23" s="88" t="s">
        <v>21</v>
      </c>
      <c r="B23" s="84" t="s">
        <v>335</v>
      </c>
      <c r="C23" s="15">
        <f t="shared" si="3"/>
        <v>35.407611257587568</v>
      </c>
      <c r="D23" s="70">
        <f>IFERROR(IF(AND(s_Irr!C23&lt;&gt;".",s_Irr!AB23&lt;&gt;".",s_Irr!BA23&lt;&gt;"."),s_dir!D23/((1/1000)*(s_Irr!C23+s_Irr!AB23+s_Irr!BA23)),IF(AND(s_Irr!C23&lt;&gt;".",s_Irr!AB23&lt;&gt;".",s_Irr!BA23="."),s_dir!D23/((1/1000)*(s_Irr!C23+s_Irr!AB23)),IF(AND(s_Irr!C23&lt;&gt;".",s_Irr!AB23=".",s_Irr!BA23&lt;&gt;"."),s_dir!D23/((1/1000)*(s_Irr!C23+s_Irr!BA23)),IF(AND(s_Irr!C23=".",s_Irr!AB23&lt;&gt;".",s_Irr!BA23&lt;&gt;"."),s_dir!D23/((1/1000)*(s_Irr!AB23+s_Irr!BA23)),IF(AND(s_Irr!C23=".",s_Irr!AB23=".",s_Irr!BA23&lt;&gt;"."),s_dir!D23/((1/1000)*(s_Irr!BA23)),IF(AND(s_Irr!C23=".",s_Irr!AB23&lt;&gt;".",s_Irr!BA23="."),s_dir!D23/((1/1000)*(s_Irr!AB23)),IF(AND(s_Irr!C23&lt;&gt;".",s_Irr!AB23=".",s_Irr!BA23="."),s_dir!D23/((1/1000)*(s_Irr!C23)),IF(AND(s_Irr!C23=".",s_Irr!AB23=".",s_Irr!BA23="."),s_dir!D23*1000)))))))),".")</f>
        <v>144.13434998469575</v>
      </c>
      <c r="E23" s="70">
        <f>IFERROR(IF(AND(s_Irr!D23&lt;&gt;".",s_Irr!AC23&lt;&gt;".",s_Irr!BB23&lt;&gt;"."),s_dir!E23/((1/1000)*(s_Irr!D23+s_Irr!AC23+s_Irr!BB23)),IF(AND(s_Irr!D23&lt;&gt;".",s_Irr!AC23&lt;&gt;".",s_Irr!BB23="."),s_dir!E23/((1/1000)*(s_Irr!D23+s_Irr!AC23)),IF(AND(s_Irr!D23&lt;&gt;".",s_Irr!AC23=".",s_Irr!BB23&lt;&gt;"."),s_dir!E23/((1/1000)*(s_Irr!D23+s_Irr!BB23)),IF(AND(s_Irr!D23=".",s_Irr!AC23&lt;&gt;".",s_Irr!BB23&lt;&gt;"."),s_dir!E23/((1/1000)*(s_Irr!AC23+s_Irr!BB23)),IF(AND(s_Irr!D23=".",s_Irr!AC23=".",s_Irr!BB23&lt;&gt;"."),s_dir!E23/((1/1000)*(s_Irr!BB23)),IF(AND(s_Irr!D23=".",s_Irr!AC23&lt;&gt;".",s_Irr!BB23="."),s_dir!E23/((1/1000)*(s_Irr!AC23)),IF(AND(s_Irr!D23&lt;&gt;".",s_Irr!AC23=".",s_Irr!BB23="."),s_dir!E23/((1/1000)*(s_Irr!D23)),IF(AND(s_Irr!D23=".",s_Irr!AC23=".",s_Irr!BB23="."),s_dir!E23*1000)))))))),".")</f>
        <v>66.232446787337778</v>
      </c>
      <c r="F23" s="70">
        <f>IFERROR(IF(AND(s_Irr!E23&lt;&gt;".",s_Irr!AD23&lt;&gt;".",s_Irr!BC23&lt;&gt;"."),s_dir!F23/((1/1000)*(s_Irr!E23+s_Irr!AD23+s_Irr!BC23)),IF(AND(s_Irr!E23&lt;&gt;".",s_Irr!AD23&lt;&gt;".",s_Irr!BC23="."),s_dir!F23/((1/1000)*(s_Irr!E23+s_Irr!AD23)),IF(AND(s_Irr!E23&lt;&gt;".",s_Irr!AD23=".",s_Irr!BC23&lt;&gt;"."),s_dir!F23/((1/1000)*(s_Irr!E23+s_Irr!BC23)),IF(AND(s_Irr!E23=".",s_Irr!AD23&lt;&gt;".",s_Irr!BC23&lt;&gt;"."),s_dir!F23/((1/1000)*(s_Irr!AD23+s_Irr!BC23)),IF(AND(s_Irr!E23=".",s_Irr!AD23=".",s_Irr!BC23&lt;&gt;"."),s_dir!F23/((1/1000)*(s_Irr!BC23)),IF(AND(s_Irr!E23=".",s_Irr!AD23&lt;&gt;".",s_Irr!BC23="."),s_dir!F23/((1/1000)*(s_Irr!AD23)),IF(AND(s_Irr!E23&lt;&gt;".",s_Irr!AD23=".",s_Irr!BC23="."),s_dir!F23/((1/1000)*(s_Irr!E23)),IF(AND(s_Irr!E23=".",s_Irr!AD23=".",s_Irr!BC23="."),s_dir!F23*1000)))))))),".")</f>
        <v>77.025646180493197</v>
      </c>
      <c r="G23" s="70">
        <f>IFERROR(IF(AND(s_Irr!F23&lt;&gt;".",s_Irr!AE23&lt;&gt;".",s_Irr!BD23&lt;&gt;"."),s_dir!G23/((1/1000)*(s_Irr!F23+s_Irr!AE23+s_Irr!BD23)),IF(AND(s_Irr!F23&lt;&gt;".",s_Irr!AE23&lt;&gt;".",s_Irr!BD23="."),s_dir!G23/((1/1000)*(s_Irr!F23+s_Irr!AE23)),IF(AND(s_Irr!F23&lt;&gt;".",s_Irr!AE23=".",s_Irr!BD23&lt;&gt;"."),s_dir!G23/((1/1000)*(s_Irr!F23+s_Irr!BD23)),IF(AND(s_Irr!F23=".",s_Irr!AE23&lt;&gt;".",s_Irr!BD23&lt;&gt;"."),s_dir!G23/((1/1000)*(s_Irr!AE23+s_Irr!BD23)),IF(AND(s_Irr!F23=".",s_Irr!AE23=".",s_Irr!BD23&lt;&gt;"."),s_dir!G23/((1/1000)*(s_Irr!BD23)),IF(AND(s_Irr!F23=".",s_Irr!AE23&lt;&gt;".",s_Irr!BD23="."),s_dir!G23/((1/1000)*(s_Irr!AE23)),IF(AND(s_Irr!F23&lt;&gt;".",s_Irr!AE23=".",s_Irr!BD23="."),s_dir!G23/((1/1000)*(s_Irr!F23)),IF(AND(s_Irr!F23=".",s_Irr!AE23=".",s_Irr!BD23="."),s_dir!G23*1000)))))))),".")</f>
        <v>144.13434998469575</v>
      </c>
      <c r="H23" s="70">
        <f>IFERROR(IF(AND(s_Irr!G23&lt;&gt;".",s_Irr!AF23&lt;&gt;".",s_Irr!BE23&lt;&gt;"."),s_dir!H23/((1/1000)*(s_Irr!G23+s_Irr!AF23+s_Irr!BE23)),IF(AND(s_Irr!G23&lt;&gt;".",s_Irr!AF23&lt;&gt;".",s_Irr!BE23="."),s_dir!H23/((1/1000)*(s_Irr!G23+s_Irr!AF23)),IF(AND(s_Irr!G23&lt;&gt;".",s_Irr!AF23=".",s_Irr!BE23&lt;&gt;"."),s_dir!H23/((1/1000)*(s_Irr!G23+s_Irr!BE23)),IF(AND(s_Irr!G23=".",s_Irr!AF23&lt;&gt;".",s_Irr!BE23&lt;&gt;"."),s_dir!H23/((1/1000)*(s_Irr!AF23+s_Irr!BE23)),IF(AND(s_Irr!G23=".",s_Irr!AF23=".",s_Irr!BE23&lt;&gt;"."),s_dir!H23/((1/1000)*(s_Irr!BE23)),IF(AND(s_Irr!G23=".",s_Irr!AF23&lt;&gt;".",s_Irr!BE23="."),s_dir!H23/((1/1000)*(s_Irr!AF23)),IF(AND(s_Irr!G23&lt;&gt;".",s_Irr!AF23=".",s_Irr!BE23="."),s_dir!H23/((1/1000)*(s_Irr!G23)),IF(AND(s_Irr!G23=".",s_Irr!AF23=".",s_Irr!BE23="."),s_dir!H23*1000)))))))),".")</f>
        <v>130.83544993335289</v>
      </c>
      <c r="I23" s="70">
        <f>IFERROR(IF(AND(s_Irr!H23&lt;&gt;".",s_Irr!AG23&lt;&gt;".",s_Irr!BF23&lt;&gt;"."),s_dir!I23/((1/1000)*(s_Irr!H23+s_Irr!AG23+s_Irr!BF23)),IF(AND(s_Irr!H23&lt;&gt;".",s_Irr!AG23&lt;&gt;".",s_Irr!BF23="."),s_dir!I23/((1/1000)*(s_Irr!H23+s_Irr!AG23)),IF(AND(s_Irr!H23&lt;&gt;".",s_Irr!AG23=".",s_Irr!BF23&lt;&gt;"."),s_dir!I23/((1/1000)*(s_Irr!H23+s_Irr!BF23)),IF(AND(s_Irr!H23=".",s_Irr!AG23&lt;&gt;".",s_Irr!BF23&lt;&gt;"."),s_dir!I23/((1/1000)*(s_Irr!AG23+s_Irr!BF23)),IF(AND(s_Irr!H23=".",s_Irr!AG23=".",s_Irr!BF23&lt;&gt;"."),s_dir!I23/((1/1000)*(s_Irr!BF23)),IF(AND(s_Irr!H23=".",s_Irr!AG23&lt;&gt;".",s_Irr!BF23="."),s_dir!I23/((1/1000)*(s_Irr!AG23)),IF(AND(s_Irr!H23&lt;&gt;".",s_Irr!AG23=".",s_Irr!BF23="."),s_dir!I23/((1/1000)*(s_Irr!H23)),IF(AND(s_Irr!H23=".",s_Irr!AG23=".",s_Irr!BF23="."),s_dir!I23*1000)))))))),".")</f>
        <v>66.232446787337778</v>
      </c>
      <c r="J23" s="70">
        <f>IFERROR(IF(AND(s_Irr!I23&lt;&gt;".",s_Irr!AH23&lt;&gt;".",s_Irr!BG23&lt;&gt;"."),s_dir!J23/((1/1000)*(s_Irr!I23+s_Irr!AH23+s_Irr!BG23)),IF(AND(s_Irr!I23&lt;&gt;".",s_Irr!AH23&lt;&gt;".",s_Irr!BG23="."),s_dir!J23/((1/1000)*(s_Irr!I23+s_Irr!AH23)),IF(AND(s_Irr!I23&lt;&gt;".",s_Irr!AH23=".",s_Irr!BG23&lt;&gt;"."),s_dir!J23/((1/1000)*(s_Irr!I23+s_Irr!BG23)),IF(AND(s_Irr!I23=".",s_Irr!AH23&lt;&gt;".",s_Irr!BG23&lt;&gt;"."),s_dir!J23/((1/1000)*(s_Irr!AH23+s_Irr!BG23)),IF(AND(s_Irr!I23=".",s_Irr!AH23=".",s_Irr!BG23&lt;&gt;"."),s_dir!J23/((1/1000)*(s_Irr!BG23)),IF(AND(s_Irr!I23=".",s_Irr!AH23&lt;&gt;".",s_Irr!BG23="."),s_dir!J23/((1/1000)*(s_Irr!AH23)),IF(AND(s_Irr!I23&lt;&gt;".",s_Irr!AH23=".",s_Irr!BG23="."),s_dir!J23/((1/1000)*(s_Irr!I23)),IF(AND(s_Irr!I23=".",s_Irr!AH23=".",s_Irr!BG23="."),s_dir!J23*1000)))))))),".")</f>
        <v>77.025646180493197</v>
      </c>
      <c r="K23" s="70">
        <f>IFERROR(IF(AND(s_Irr!J23&lt;&gt;".",s_Irr!AI23&lt;&gt;".",s_Irr!BH23&lt;&gt;"."),s_dir!K23/((1/1000)*(s_Irr!J23+s_Irr!AI23+s_Irr!BH23)),IF(AND(s_Irr!J23&lt;&gt;".",s_Irr!AI23&lt;&gt;".",s_Irr!BH23="."),s_dir!K23/((1/1000)*(s_Irr!J23+s_Irr!AI23)),IF(AND(s_Irr!J23&lt;&gt;".",s_Irr!AI23=".",s_Irr!BH23&lt;&gt;"."),s_dir!K23/((1/1000)*(s_Irr!J23+s_Irr!BH23)),IF(AND(s_Irr!J23=".",s_Irr!AI23&lt;&gt;".",s_Irr!BH23&lt;&gt;"."),s_dir!K23/((1/1000)*(s_Irr!AI23+s_Irr!BH23)),IF(AND(s_Irr!J23=".",s_Irr!AI23=".",s_Irr!BH23&lt;&gt;"."),s_dir!K23/((1/1000)*(s_Irr!BH23)),IF(AND(s_Irr!J23=".",s_Irr!AI23&lt;&gt;".",s_Irr!BH23="."),s_dir!K23/((1/1000)*(s_Irr!AI23)),IF(AND(s_Irr!J23&lt;&gt;".",s_Irr!AI23=".",s_Irr!BH23="."),s_dir!K23/((1/1000)*(s_Irr!J23)),IF(AND(s_Irr!J23=".",s_Irr!AI23=".",s_Irr!BH23="."),s_dir!K23*1000)))))))),".")</f>
        <v>144.13434998469575</v>
      </c>
      <c r="L23" s="70">
        <f>IFERROR(IF(AND(s_Irr!K23&lt;&gt;".",s_Irr!AJ23&lt;&gt;".",s_Irr!BI23&lt;&gt;"."),s_dir!L23/((1/1000)*(s_Irr!K23+s_Irr!AJ23+s_Irr!BI23)),IF(AND(s_Irr!K23&lt;&gt;".",s_Irr!AJ23&lt;&gt;".",s_Irr!BI23="."),s_dir!L23/((1/1000)*(s_Irr!K23+s_Irr!AJ23)),IF(AND(s_Irr!K23&lt;&gt;".",s_Irr!AJ23=".",s_Irr!BI23&lt;&gt;"."),s_dir!L23/((1/1000)*(s_Irr!K23+s_Irr!BI23)),IF(AND(s_Irr!K23=".",s_Irr!AJ23&lt;&gt;".",s_Irr!BI23&lt;&gt;"."),s_dir!L23/((1/1000)*(s_Irr!AJ23+s_Irr!BI23)),IF(AND(s_Irr!K23=".",s_Irr!AJ23=".",s_Irr!BI23&lt;&gt;"."),s_dir!L23/((1/1000)*(s_Irr!BI23)),IF(AND(s_Irr!K23=".",s_Irr!AJ23&lt;&gt;".",s_Irr!BI23="."),s_dir!L23/((1/1000)*(s_Irr!AJ23)),IF(AND(s_Irr!K23&lt;&gt;".",s_Irr!AJ23=".",s_Irr!BI23="."),s_dir!L23/((1/1000)*(s_Irr!K23)),IF(AND(s_Irr!K23=".",s_Irr!AJ23=".",s_Irr!BI23="."),s_dir!L23*1000)))))))),".")</f>
        <v>162.01397099248268</v>
      </c>
      <c r="M23" s="70">
        <f>IFERROR(IF(AND(s_Irr!L23&lt;&gt;".",s_Irr!AK23&lt;&gt;".",s_Irr!BJ23&lt;&gt;"."),s_dir!M23/((1/1000)*(s_Irr!L23+s_Irr!AK23+s_Irr!BJ23)),IF(AND(s_Irr!L23&lt;&gt;".",s_Irr!AK23&lt;&gt;".",s_Irr!BJ23="."),s_dir!M23/((1/1000)*(s_Irr!L23+s_Irr!AK23)),IF(AND(s_Irr!L23&lt;&gt;".",s_Irr!AK23=".",s_Irr!BJ23&lt;&gt;"."),s_dir!M23/((1/1000)*(s_Irr!L23+s_Irr!BJ23)),IF(AND(s_Irr!L23=".",s_Irr!AK23&lt;&gt;".",s_Irr!BJ23&lt;&gt;"."),s_dir!M23/((1/1000)*(s_Irr!AK23+s_Irr!BJ23)),IF(AND(s_Irr!L23=".",s_Irr!AK23=".",s_Irr!BJ23&lt;&gt;"."),s_dir!M23/((1/1000)*(s_Irr!BJ23)),IF(AND(s_Irr!L23=".",s_Irr!AK23&lt;&gt;".",s_Irr!BJ23="."),s_dir!M23/((1/1000)*(s_Irr!AK23)),IF(AND(s_Irr!L23&lt;&gt;".",s_Irr!AK23=".",s_Irr!BJ23="."),s_dir!M23/((1/1000)*(s_Irr!L23)),IF(AND(s_Irr!L23=".",s_Irr!AK23=".",s_Irr!BJ23="."),s_dir!M23*1000)))))))),".")</f>
        <v>130.83544993335289</v>
      </c>
      <c r="N23" s="70">
        <f>IFERROR(IF(AND(s_Irr!M23&lt;&gt;".",s_Irr!AL23&lt;&gt;".",s_Irr!BK23&lt;&gt;"."),s_dir!N23/((1/1000)*(s_Irr!M23+s_Irr!AL23+s_Irr!BK23)),IF(AND(s_Irr!M23&lt;&gt;".",s_Irr!AL23&lt;&gt;".",s_Irr!BK23="."),s_dir!N23/((1/1000)*(s_Irr!M23+s_Irr!AL23)),IF(AND(s_Irr!M23&lt;&gt;".",s_Irr!AL23=".",s_Irr!BK23&lt;&gt;"."),s_dir!N23/((1/1000)*(s_Irr!M23+s_Irr!BK23)),IF(AND(s_Irr!M23=".",s_Irr!AL23&lt;&gt;".",s_Irr!BK23&lt;&gt;"."),s_dir!N23/((1/1000)*(s_Irr!AL23+s_Irr!BK23)),IF(AND(s_Irr!M23=".",s_Irr!AL23=".",s_Irr!BK23&lt;&gt;"."),s_dir!N23/((1/1000)*(s_Irr!BK23)),IF(AND(s_Irr!M23=".",s_Irr!AL23&lt;&gt;".",s_Irr!BK23="."),s_dir!N23/((1/1000)*(s_Irr!AL23)),IF(AND(s_Irr!M23&lt;&gt;".",s_Irr!AL23=".",s_Irr!BK23="."),s_dir!N23/((1/1000)*(s_Irr!M23)),IF(AND(s_Irr!M23=".",s_Irr!AL23=".",s_Irr!BK23="."),s_dir!N23*1000)))))))),".")</f>
        <v>66.232446787337778</v>
      </c>
      <c r="O23" s="70">
        <f>IFERROR(IF(AND(s_Irr!N23&lt;&gt;".",s_Irr!AM23&lt;&gt;".",s_Irr!BL23&lt;&gt;"."),s_dir!O23/((1/1000)*(s_Irr!N23+s_Irr!AM23+s_Irr!BL23)),IF(AND(s_Irr!N23&lt;&gt;".",s_Irr!AM23&lt;&gt;".",s_Irr!BL23="."),s_dir!O23/((1/1000)*(s_Irr!N23+s_Irr!AM23)),IF(AND(s_Irr!N23&lt;&gt;".",s_Irr!AM23=".",s_Irr!BL23&lt;&gt;"."),s_dir!O23/((1/1000)*(s_Irr!N23+s_Irr!BL23)),IF(AND(s_Irr!N23=".",s_Irr!AM23&lt;&gt;".",s_Irr!BL23&lt;&gt;"."),s_dir!O23/((1/1000)*(s_Irr!AM23+s_Irr!BL23)),IF(AND(s_Irr!N23=".",s_Irr!AM23=".",s_Irr!BL23&lt;&gt;"."),s_dir!O23/((1/1000)*(s_Irr!BL23)),IF(AND(s_Irr!N23=".",s_Irr!AM23&lt;&gt;".",s_Irr!BL23="."),s_dir!O23/((1/1000)*(s_Irr!AM23)),IF(AND(s_Irr!N23&lt;&gt;".",s_Irr!AM23=".",s_Irr!BL23="."),s_dir!O23/((1/1000)*(s_Irr!N23)),IF(AND(s_Irr!N23=".",s_Irr!AM23=".",s_Irr!BL23="."),s_dir!O23*1000)))))))),".")</f>
        <v>136.22210323658629</v>
      </c>
      <c r="P23" s="70">
        <f>IFERROR(IF(AND(s_Irr!O23&lt;&gt;".",s_Irr!AN23&lt;&gt;".",s_Irr!BM23&lt;&gt;"."),s_dir!P23/((1/1000)*(s_Irr!O23+s_Irr!AN23+s_Irr!BM23)),IF(AND(s_Irr!O23&lt;&gt;".",s_Irr!AN23&lt;&gt;".",s_Irr!BM23="."),s_dir!P23/((1/1000)*(s_Irr!O23+s_Irr!AN23)),IF(AND(s_Irr!O23&lt;&gt;".",s_Irr!AN23=".",s_Irr!BM23&lt;&gt;"."),s_dir!P23/((1/1000)*(s_Irr!O23+s_Irr!BM23)),IF(AND(s_Irr!O23=".",s_Irr!AN23&lt;&gt;".",s_Irr!BM23&lt;&gt;"."),s_dir!P23/((1/1000)*(s_Irr!AN23+s_Irr!BM23)),IF(AND(s_Irr!O23=".",s_Irr!AN23=".",s_Irr!BM23&lt;&gt;"."),s_dir!P23/((1/1000)*(s_Irr!BM23)),IF(AND(s_Irr!O23=".",s_Irr!AN23&lt;&gt;".",s_Irr!BM23="."),s_dir!P23/((1/1000)*(s_Irr!AN23)),IF(AND(s_Irr!O23&lt;&gt;".",s_Irr!AN23=".",s_Irr!BM23="."),s_dir!P23/((1/1000)*(s_Irr!O23)),IF(AND(s_Irr!O23=".",s_Irr!AN23=".",s_Irr!BM23="."),s_dir!P23*1000)))))))),".")</f>
        <v>130.83544993335289</v>
      </c>
      <c r="Q23" s="70">
        <f>IFERROR(IF(AND(s_Irr!P23&lt;&gt;".",s_Irr!AO23&lt;&gt;".",s_Irr!BN23&lt;&gt;"."),s_dir!Q23/((1/1000)*(s_Irr!P23+s_Irr!AO23+s_Irr!BN23)),IF(AND(s_Irr!P23&lt;&gt;".",s_Irr!AO23&lt;&gt;".",s_Irr!BN23="."),s_dir!Q23/((1/1000)*(s_Irr!P23+s_Irr!AO23)),IF(AND(s_Irr!P23&lt;&gt;".",s_Irr!AO23=".",s_Irr!BN23&lt;&gt;"."),s_dir!Q23/((1/1000)*(s_Irr!P23+s_Irr!BN23)),IF(AND(s_Irr!P23=".",s_Irr!AO23&lt;&gt;".",s_Irr!BN23&lt;&gt;"."),s_dir!Q23/((1/1000)*(s_Irr!AO23+s_Irr!BN23)),IF(AND(s_Irr!P23=".",s_Irr!AO23=".",s_Irr!BN23&lt;&gt;"."),s_dir!Q23/((1/1000)*(s_Irr!BN23)),IF(AND(s_Irr!P23=".",s_Irr!AO23&lt;&gt;".",s_Irr!BN23="."),s_dir!Q23/((1/1000)*(s_Irr!AO23)),IF(AND(s_Irr!P23&lt;&gt;".",s_Irr!AO23=".",s_Irr!BN23="."),s_dir!Q23/((1/1000)*(s_Irr!P23)),IF(AND(s_Irr!P23=".",s_Irr!AO23=".",s_Irr!BN23="."),s_dir!Q23*1000)))))))),".")</f>
        <v>77.025646180493197</v>
      </c>
      <c r="R23" s="70">
        <f>IFERROR(IF(AND(s_Irr!Q23&lt;&gt;".",s_Irr!AP23&lt;&gt;".",s_Irr!BO23&lt;&gt;"."),s_dir!R23/((1/1000)*(s_Irr!Q23+s_Irr!AP23+s_Irr!BO23)),IF(AND(s_Irr!Q23&lt;&gt;".",s_Irr!AP23&lt;&gt;".",s_Irr!BO23="."),s_dir!R23/((1/1000)*(s_Irr!Q23+s_Irr!AP23)),IF(AND(s_Irr!Q23&lt;&gt;".",s_Irr!AP23=".",s_Irr!BO23&lt;&gt;"."),s_dir!R23/((1/1000)*(s_Irr!Q23+s_Irr!BO23)),IF(AND(s_Irr!Q23=".",s_Irr!AP23&lt;&gt;".",s_Irr!BO23&lt;&gt;"."),s_dir!R23/((1/1000)*(s_Irr!AP23+s_Irr!BO23)),IF(AND(s_Irr!Q23=".",s_Irr!AP23=".",s_Irr!BO23&lt;&gt;"."),s_dir!R23/((1/1000)*(s_Irr!BO23)),IF(AND(s_Irr!Q23=".",s_Irr!AP23&lt;&gt;".",s_Irr!BO23="."),s_dir!R23/((1/1000)*(s_Irr!AP23)),IF(AND(s_Irr!Q23&lt;&gt;".",s_Irr!AP23=".",s_Irr!BO23="."),s_dir!R23/((1/1000)*(s_Irr!Q23)),IF(AND(s_Irr!Q23=".",s_Irr!AP23=".",s_Irr!BO23="."),s_dir!R23*1000)))))))),".")</f>
        <v>144.13434998469575</v>
      </c>
      <c r="S23" s="70">
        <f>IFERROR(IF(AND(s_Irr!R23&lt;&gt;".",s_Irr!AQ23&lt;&gt;".",s_Irr!BP23&lt;&gt;"."),s_dir!S23/((1/1000)*(s_Irr!R23+s_Irr!AQ23+s_Irr!BP23)),IF(AND(s_Irr!R23&lt;&gt;".",s_Irr!AQ23&lt;&gt;".",s_Irr!BP23="."),s_dir!S23/((1/1000)*(s_Irr!R23+s_Irr!AQ23)),IF(AND(s_Irr!R23&lt;&gt;".",s_Irr!AQ23=".",s_Irr!BP23&lt;&gt;"."),s_dir!S23/((1/1000)*(s_Irr!R23+s_Irr!BP23)),IF(AND(s_Irr!R23=".",s_Irr!AQ23&lt;&gt;".",s_Irr!BP23&lt;&gt;"."),s_dir!S23/((1/1000)*(s_Irr!AQ23+s_Irr!BP23)),IF(AND(s_Irr!R23=".",s_Irr!AQ23=".",s_Irr!BP23&lt;&gt;"."),s_dir!S23/((1/1000)*(s_Irr!BP23)),IF(AND(s_Irr!R23=".",s_Irr!AQ23&lt;&gt;".",s_Irr!BP23="."),s_dir!S23/((1/1000)*(s_Irr!AQ23)),IF(AND(s_Irr!R23&lt;&gt;".",s_Irr!AQ23=".",s_Irr!BP23="."),s_dir!S23/((1/1000)*(s_Irr!R23)),IF(AND(s_Irr!R23=".",s_Irr!AQ23=".",s_Irr!BP23="."),s_dir!S23*1000)))))))),".")</f>
        <v>144.13434998469575</v>
      </c>
      <c r="T23" s="70">
        <f>IFERROR(IF(AND(s_Irr!S23&lt;&gt;".",s_Irr!AR23&lt;&gt;".",s_Irr!BQ23&lt;&gt;"."),s_dir!T23/((1/1000)*(s_Irr!S23+s_Irr!AR23+s_Irr!BQ23)),IF(AND(s_Irr!S23&lt;&gt;".",s_Irr!AR23&lt;&gt;".",s_Irr!BQ23="."),s_dir!T23/((1/1000)*(s_Irr!S23+s_Irr!AR23)),IF(AND(s_Irr!S23&lt;&gt;".",s_Irr!AR23=".",s_Irr!BQ23&lt;&gt;"."),s_dir!T23/((1/1000)*(s_Irr!S23+s_Irr!BQ23)),IF(AND(s_Irr!S23=".",s_Irr!AR23&lt;&gt;".",s_Irr!BQ23&lt;&gt;"."),s_dir!T23/((1/1000)*(s_Irr!AR23+s_Irr!BQ23)),IF(AND(s_Irr!S23=".",s_Irr!AR23=".",s_Irr!BQ23&lt;&gt;"."),s_dir!T23/((1/1000)*(s_Irr!BQ23)),IF(AND(s_Irr!S23=".",s_Irr!AR23&lt;&gt;".",s_Irr!BQ23="."),s_dir!T23/((1/1000)*(s_Irr!AR23)),IF(AND(s_Irr!S23&lt;&gt;".",s_Irr!AR23=".",s_Irr!BQ23="."),s_dir!T23/((1/1000)*(s_Irr!S23)),IF(AND(s_Irr!S23=".",s_Irr!AR23=".",s_Irr!BQ23="."),s_dir!T23*1000)))))))),".")</f>
        <v>136.22210323658629</v>
      </c>
      <c r="U23" s="70">
        <f>IFERROR(IF(AND(s_Irr!T23&lt;&gt;".",s_Irr!AS23&lt;&gt;".",s_Irr!BR23&lt;&gt;"."),s_dir!U23/((1/1000)*(s_Irr!T23+s_Irr!AS23+s_Irr!BR23)),IF(AND(s_Irr!T23&lt;&gt;".",s_Irr!AS23&lt;&gt;".",s_Irr!BR23="."),s_dir!U23/((1/1000)*(s_Irr!T23+s_Irr!AS23)),IF(AND(s_Irr!T23&lt;&gt;".",s_Irr!AS23=".",s_Irr!BR23&lt;&gt;"."),s_dir!U23/((1/1000)*(s_Irr!T23+s_Irr!BR23)),IF(AND(s_Irr!T23=".",s_Irr!AS23&lt;&gt;".",s_Irr!BR23&lt;&gt;"."),s_dir!U23/((1/1000)*(s_Irr!AS23+s_Irr!BR23)),IF(AND(s_Irr!T23=".",s_Irr!AS23=".",s_Irr!BR23&lt;&gt;"."),s_dir!U23/((1/1000)*(s_Irr!BR23)),IF(AND(s_Irr!T23=".",s_Irr!AS23&lt;&gt;".",s_Irr!BR23="."),s_dir!U23/((1/1000)*(s_Irr!AS23)),IF(AND(s_Irr!T23&lt;&gt;".",s_Irr!AS23=".",s_Irr!BR23="."),s_dir!U23/((1/1000)*(s_Irr!T23)),IF(AND(s_Irr!T23=".",s_Irr!AS23=".",s_Irr!BR23="."),s_dir!U23*1000)))))))),".")</f>
        <v>130.83544993335289</v>
      </c>
      <c r="V23" s="70">
        <f>IFERROR(IF(AND(s_Irr!U23&lt;&gt;".",s_Irr!AT23&lt;&gt;".",s_Irr!BS23&lt;&gt;"."),s_dir!V23/((1/1000)*(s_Irr!U23+s_Irr!AT23+s_Irr!BS23)),IF(AND(s_Irr!U23&lt;&gt;".",s_Irr!AT23&lt;&gt;".",s_Irr!BS23="."),s_dir!V23/((1/1000)*(s_Irr!U23+s_Irr!AT23)),IF(AND(s_Irr!U23&lt;&gt;".",s_Irr!AT23=".",s_Irr!BS23&lt;&gt;"."),s_dir!V23/((1/1000)*(s_Irr!U23+s_Irr!BS23)),IF(AND(s_Irr!U23=".",s_Irr!AT23&lt;&gt;".",s_Irr!BS23&lt;&gt;"."),s_dir!V23/((1/1000)*(s_Irr!AT23+s_Irr!BS23)),IF(AND(s_Irr!U23=".",s_Irr!AT23=".",s_Irr!BS23&lt;&gt;"."),s_dir!V23/((1/1000)*(s_Irr!BS23)),IF(AND(s_Irr!U23=".",s_Irr!AT23&lt;&gt;".",s_Irr!BS23="."),s_dir!V23/((1/1000)*(s_Irr!AT23)),IF(AND(s_Irr!U23&lt;&gt;".",s_Irr!AT23=".",s_Irr!BS23="."),s_dir!V23/((1/1000)*(s_Irr!U23)),IF(AND(s_Irr!U23=".",s_Irr!AT23=".",s_Irr!BS23="."),s_dir!V23*1000)))))))),".")</f>
        <v>142.07135218981679</v>
      </c>
      <c r="W23" s="70">
        <f>IFERROR(IF(AND(s_Irr!V23&lt;&gt;".",s_Irr!AU23&lt;&gt;".",s_Irr!BT23&lt;&gt;"."),s_dir!W23/((1/1000)*(s_Irr!V23+s_Irr!AU23+s_Irr!BT23)),IF(AND(s_Irr!V23&lt;&gt;".",s_Irr!AU23&lt;&gt;".",s_Irr!BT23="."),s_dir!W23/((1/1000)*(s_Irr!V23+s_Irr!AU23)),IF(AND(s_Irr!V23&lt;&gt;".",s_Irr!AU23=".",s_Irr!BT23&lt;&gt;"."),s_dir!W23/((1/1000)*(s_Irr!V23+s_Irr!BT23)),IF(AND(s_Irr!V23=".",s_Irr!AU23&lt;&gt;".",s_Irr!BT23&lt;&gt;"."),s_dir!W23/((1/1000)*(s_Irr!AU23+s_Irr!BT23)),IF(AND(s_Irr!V23=".",s_Irr!AU23=".",s_Irr!BT23&lt;&gt;"."),s_dir!W23/((1/1000)*(s_Irr!BT23)),IF(AND(s_Irr!V23=".",s_Irr!AU23&lt;&gt;".",s_Irr!BT23="."),s_dir!W23/((1/1000)*(s_Irr!AU23)),IF(AND(s_Irr!V23&lt;&gt;".",s_Irr!AU23=".",s_Irr!BT23="."),s_dir!W23/((1/1000)*(s_Irr!V23)),IF(AND(s_Irr!V23=".",s_Irr!AU23=".",s_Irr!BT23="."),s_dir!W23*1000)))))))),".")</f>
        <v>130.83544993335289</v>
      </c>
      <c r="X23" s="70">
        <f>IFERROR(IF(AND(s_Irr!W23&lt;&gt;".",s_Irr!AV23&lt;&gt;".",s_Irr!BU23&lt;&gt;"."),s_dir!X23/((1/1000)*(s_Irr!W23+s_Irr!AV23+s_Irr!BU23)),IF(AND(s_Irr!W23&lt;&gt;".",s_Irr!AV23&lt;&gt;".",s_Irr!BU23="."),s_dir!X23/((1/1000)*(s_Irr!W23+s_Irr!AV23)),IF(AND(s_Irr!W23&lt;&gt;".",s_Irr!AV23=".",s_Irr!BU23&lt;&gt;"."),s_dir!X23/((1/1000)*(s_Irr!W23+s_Irr!BU23)),IF(AND(s_Irr!W23=".",s_Irr!AV23&lt;&gt;".",s_Irr!BU23&lt;&gt;"."),s_dir!X23/((1/1000)*(s_Irr!AV23+s_Irr!BU23)),IF(AND(s_Irr!W23=".",s_Irr!AV23=".",s_Irr!BU23&lt;&gt;"."),s_dir!X23/((1/1000)*(s_Irr!BU23)),IF(AND(s_Irr!W23=".",s_Irr!AV23&lt;&gt;".",s_Irr!BU23="."),s_dir!X23/((1/1000)*(s_Irr!AV23)),IF(AND(s_Irr!W23&lt;&gt;".",s_Irr!AV23=".",s_Irr!BU23="."),s_dir!X23/((1/1000)*(s_Irr!W23)),IF(AND(s_Irr!W23=".",s_Irr!AV23=".",s_Irr!BU23="."),s_dir!X23*1000)))))))),".")</f>
        <v>136.22210323658629</v>
      </c>
      <c r="Y23" s="70">
        <f>IFERROR(IF(AND(s_Irr!X23&lt;&gt;".",s_Irr!AW23&lt;&gt;".",s_Irr!BV23&lt;&gt;"."),s_dir!Y23/((1/1000)*(s_Irr!X23+s_Irr!AW23+s_Irr!BV23)),IF(AND(s_Irr!X23&lt;&gt;".",s_Irr!AW23&lt;&gt;".",s_Irr!BV23="."),s_dir!Y23/((1/1000)*(s_Irr!X23+s_Irr!AW23)),IF(AND(s_Irr!X23&lt;&gt;".",s_Irr!AW23=".",s_Irr!BV23&lt;&gt;"."),s_dir!Y23/((1/1000)*(s_Irr!X23+s_Irr!BV23)),IF(AND(s_Irr!X23=".",s_Irr!AW23&lt;&gt;".",s_Irr!BV23&lt;&gt;"."),s_dir!Y23/((1/1000)*(s_Irr!AW23+s_Irr!BV23)),IF(AND(s_Irr!X23=".",s_Irr!AW23=".",s_Irr!BV23&lt;&gt;"."),s_dir!Y23/((1/1000)*(s_Irr!BV23)),IF(AND(s_Irr!X23=".",s_Irr!AW23&lt;&gt;".",s_Irr!BV23="."),s_dir!Y23/((1/1000)*(s_Irr!AW23)),IF(AND(s_Irr!X23&lt;&gt;".",s_Irr!AW23=".",s_Irr!BV23="."),s_dir!Y23/((1/1000)*(s_Irr!X23)),IF(AND(s_Irr!X23=".",s_Irr!AW23=".",s_Irr!BV23="."),s_dir!Y23*1000)))))))),".")</f>
        <v>144.13434998469575</v>
      </c>
      <c r="Z23" s="70">
        <f>IFERROR(IF(AND(s_Irr!Y23&lt;&gt;".",s_Irr!AX23&lt;&gt;".",s_Irr!BW23&lt;&gt;"."),s_dir!Z23/((1/1000)*(s_Irr!Y23+s_Irr!AX23+s_Irr!BW23)),IF(AND(s_Irr!Y23&lt;&gt;".",s_Irr!AX23&lt;&gt;".",s_Irr!BW23="."),s_dir!Z23/((1/1000)*(s_Irr!Y23+s_Irr!AX23)),IF(AND(s_Irr!Y23&lt;&gt;".",s_Irr!AX23=".",s_Irr!BW23&lt;&gt;"."),s_dir!Z23/((1/1000)*(s_Irr!Y23+s_Irr!BW23)),IF(AND(s_Irr!Y23=".",s_Irr!AX23&lt;&gt;".",s_Irr!BW23&lt;&gt;"."),s_dir!Z23/((1/1000)*(s_Irr!AX23+s_Irr!BW23)),IF(AND(s_Irr!Y23=".",s_Irr!AX23=".",s_Irr!BW23&lt;&gt;"."),s_dir!Z23/((1/1000)*(s_Irr!BW23)),IF(AND(s_Irr!Y23=".",s_Irr!AX23&lt;&gt;".",s_Irr!BW23="."),s_dir!Z23/((1/1000)*(s_Irr!AX23)),IF(AND(s_Irr!Y23&lt;&gt;".",s_Irr!AX23=".",s_Irr!BW23="."),s_dir!Z23/((1/1000)*(s_Irr!Y23)),IF(AND(s_Irr!Y23=".",s_Irr!AX23=".",s_Irr!BW23="."),s_dir!Z23*1000)))))))),".")</f>
        <v>130.83544993335289</v>
      </c>
      <c r="AA23" s="70">
        <f>IFERROR(IF(AND(s_Irr!Z23&lt;&gt;".",s_Irr!AY23&lt;&gt;".",s_Irr!BX23&lt;&gt;"."),s_dir!AA23/((1/1000)*(s_Irr!Z23+s_Irr!AY23+s_Irr!BX23)),IF(AND(s_Irr!Z23&lt;&gt;".",s_Irr!AY23&lt;&gt;".",s_Irr!BX23="."),s_dir!AA23/((1/1000)*(s_Irr!Z23+s_Irr!AY23)),IF(AND(s_Irr!Z23&lt;&gt;".",s_Irr!AY23=".",s_Irr!BX23&lt;&gt;"."),s_dir!AA23/((1/1000)*(s_Irr!Z23+s_Irr!BX23)),IF(AND(s_Irr!Z23=".",s_Irr!AY23&lt;&gt;".",s_Irr!BX23&lt;&gt;"."),s_dir!AA23/((1/1000)*(s_Irr!AY23+s_Irr!BX23)),IF(AND(s_Irr!Z23=".",s_Irr!AY23=".",s_Irr!BX23&lt;&gt;"."),s_dir!AA23/((1/1000)*(s_Irr!BX23)),IF(AND(s_Irr!Z23=".",s_Irr!AY23&lt;&gt;".",s_Irr!BX23="."),s_dir!AA23/((1/1000)*(s_Irr!AY23)),IF(AND(s_Irr!Z23&lt;&gt;".",s_Irr!AY23=".",s_Irr!BX23="."),s_dir!AA23/((1/1000)*(s_Irr!Z23)),IF(AND(s_Irr!Z23=".",s_Irr!AY23=".",s_Irr!BX23="."),s_dir!AA23*1000)))))))),".")</f>
        <v>166.16355370151189</v>
      </c>
      <c r="AB23" s="70">
        <f>IFERROR(IF(AND(s_Irr!AA23&lt;&gt;".",s_Irr!AZ23&lt;&gt;".",s_Irr!BY23&lt;&gt;"."),s_dir!AB23/((1/1000)*(s_Irr!AA23+s_Irr!AZ23+s_Irr!BY23)),IF(AND(s_Irr!AA23&lt;&gt;".",s_Irr!AZ23&lt;&gt;".",s_Irr!BY23="."),s_dir!AB23/((1/1000)*(s_Irr!AA23+s_Irr!AZ23)),IF(AND(s_Irr!AA23&lt;&gt;".",s_Irr!AZ23=".",s_Irr!BY23&lt;&gt;"."),s_dir!AB23/((1/1000)*(s_Irr!AA23+s_Irr!BY23)),IF(AND(s_Irr!AA23=".",s_Irr!AZ23&lt;&gt;".",s_Irr!BY23&lt;&gt;"."),s_dir!AB23/((1/1000)*(s_Irr!AZ23+s_Irr!BY23)),IF(AND(s_Irr!AA23=".",s_Irr!AZ23=".",s_Irr!BY23&lt;&gt;"."),s_dir!AB23/((1/1000)*(s_Irr!BY23)),IF(AND(s_Irr!AA23=".",s_Irr!AZ23&lt;&gt;".",s_Irr!BY23="."),s_dir!AB23/((1/1000)*(s_Irr!AZ23)),IF(AND(s_Irr!AA23&lt;&gt;".",s_Irr!AZ23=".",s_Irr!BY23="."),s_dir!AB23/((1/1000)*(s_Irr!AA23)),IF(AND(s_Irr!AA23=".",s_Irr!AZ23=".",s_Irr!BY23="."),s_dir!AB23*1000)))))))),".")</f>
        <v>130.83544993335289</v>
      </c>
      <c r="AC23" s="87">
        <f>SUM(AD23,AU23,BA23:BB23)</f>
        <v>421.25343392909139</v>
      </c>
      <c r="AD23" s="87">
        <f>IFERROR(s_C*s_IFAP_res_adj*s_CF_apple*0.001*(s_Irr!C23+s_Irr!AB23+s_Irr!BA23),".")</f>
        <v>103.48385260743784</v>
      </c>
      <c r="AE23" s="87">
        <f>IFERROR(s_C*s_IFAS_res_adj*s_CF_asparagus*0.001*(s_Irr!D23+s_Irr!AC23+s_Irr!BB23),".")</f>
        <v>225.20046522479754</v>
      </c>
      <c r="AF23" s="87">
        <f>IFERROR(s_C*s_IFBT_res_adj*s_CF_beet*0.001*(s_Irr!E23+s_Irr!AD23+s_Irr!BC23),".")</f>
        <v>193.64430639807466</v>
      </c>
      <c r="AG23" s="87">
        <f>IFERROR(s_C*s_IFBE_res_adj*s_CF_berries*0.001*(s_Irr!F23+s_Irr!AE23+s_Irr!BD23),".")</f>
        <v>103.48385260743784</v>
      </c>
      <c r="AH23" s="87">
        <f>IFERROR(s_C*s_IFBR_res_adj*s_CF_broccoli*0.001*(s_Irr!G23+s_Irr!AF23+s_Irr!BE23),".")</f>
        <v>114.00257221634547</v>
      </c>
      <c r="AI23" s="87">
        <f>IFERROR(s_C*s_IFCB_res_adj*s_CF_cabbage*0.001*(s_Irr!H23+s_Irr!AG23+s_Irr!BF23),".")</f>
        <v>225.20046522479754</v>
      </c>
      <c r="AJ23" s="87">
        <f>IFERROR(s_C*s_IFCR_res_adj*s_CF_carrot*0.001*(s_Irr!I23+s_Irr!AH23+s_Irr!BG23),".")</f>
        <v>193.64430639807466</v>
      </c>
      <c r="AK23" s="87">
        <f>IFERROR(s_C*s_IFCI_res_adj*s_CF_citrus*0.001*(s_Irr!J23+s_Irr!AI23+s_Irr!BH23),".")</f>
        <v>103.48385260743784</v>
      </c>
      <c r="AL23" s="87">
        <f>IFERROR(s_C*s_IFCO_res_adj*s_CF_corn*0.001*(s_Irr!K23+s_Irr!AJ23+s_Irr!BI23),".")</f>
        <v>92.063528460623843</v>
      </c>
      <c r="AM23" s="87">
        <f>IFERROR(s_C*s_IFCU_res_adj*s_CF_cucumber*0.001*(s_Irr!L23+s_Irr!AK23+s_Irr!BJ23),".")</f>
        <v>114.00257221634547</v>
      </c>
      <c r="AN23" s="87">
        <f>IFERROR(s_C*s_IFLE_res_adj*s_CF_lettuce*0.001*(s_Irr!M23+s_Irr!AL23+s_Irr!BK23),".")</f>
        <v>225.20046522479754</v>
      </c>
      <c r="AO23" s="87">
        <f>IFERROR(s_C*s_IFLI_res_adj*s_CF_lima_bean*0.001*(s_Irr!N23+s_Irr!AM23+s_Irr!BL23),".")</f>
        <v>109.49454952681363</v>
      </c>
      <c r="AP23" s="87">
        <f>IFERROR(s_C*s_IFOK_res_adj*s_CF_okra*0.001*(s_Irr!O23+s_Irr!AN23+s_Irr!BM23),".")</f>
        <v>114.00257221634547</v>
      </c>
      <c r="AQ23" s="87">
        <f>IFERROR(s_C*s_IFON_res_adj*s_CF_onion*0.001*(s_Irr!P23+s_Irr!AO23+s_Irr!BN23),".")</f>
        <v>193.64430639807466</v>
      </c>
      <c r="AR23" s="87">
        <f>IFERROR(s_C*s_IFPC_res_adj*s_CF_peach*0.001*(s_Irr!Q23+s_Irr!AP23+s_Irr!BO23),".")</f>
        <v>103.48385260743784</v>
      </c>
      <c r="AS23" s="87">
        <f>IFERROR(s_C*s_IFPR_res_adj*s_CF_pear*0.001*(s_Irr!R23+s_Irr!AQ23+s_Irr!BP23),".")</f>
        <v>103.48385260743784</v>
      </c>
      <c r="AT23" s="87">
        <f>IFERROR(s_C*s_IFPE_res_adj*s_CF_peas*0.001*(s_Irr!S23+s_Irr!AR23+s_Irr!BQ23),".")</f>
        <v>109.49454952681363</v>
      </c>
      <c r="AU23" s="87">
        <f>IFERROR(s_C*s_IFPP_res_adj*s_CF_peppers*0.001*(s_Irr!T23+s_Irr!AS23+s_Irr!BR23),".")</f>
        <v>114.00257221634547</v>
      </c>
      <c r="AV23" s="87">
        <f>IFERROR(s_C*s_IFPT_res_adj*s_CF_potato*0.001*(s_Irr!U23+s_Irr!AT23+s_Irr!BS23),".")</f>
        <v>104.98652683728179</v>
      </c>
      <c r="AW23" s="87">
        <f>IFERROR(s_C*s_IFPU_res_adj*s_CF_pumpkin*0.001*(s_Irr!V23+s_Irr!AU23+s_Irr!BT23),".")</f>
        <v>114.00257221634547</v>
      </c>
      <c r="AX23" s="87">
        <f>IFERROR(s_C*s_IFSN_res_adj*s_CF_snap_bean*0.001*(s_Irr!W23+s_Irr!AV23+s_Irr!BU23),".")</f>
        <v>109.49454952681363</v>
      </c>
      <c r="AY23" s="87">
        <f>IFERROR(s_C*s_IFST_res_adj*s_CF_strawberry*0.001*(s_Irr!X23+s_Irr!AW23+s_Irr!BV23),".")</f>
        <v>103.48385260743784</v>
      </c>
      <c r="AZ23" s="87">
        <f>IFERROR(s_C*s_IFTO_res_adj*s_CF_tomato*0.001*(s_Irr!Y23+s_Irr!AX23+s_Irr!BW23),".")</f>
        <v>114.00257221634547</v>
      </c>
      <c r="BA23" s="87">
        <f>IFERROR(s_C*s_IFRI_res_adj*s_CF_rice*0.001*(s_Irr!Z23+s_Irr!AY23+s_Irr!BX23),".")</f>
        <v>89.764436888962607</v>
      </c>
      <c r="BB23" s="87">
        <f>IFERROR(s_C*s_IFCG_res_adj*s_CF_cereal*0.001*(s_Irr!AA23+s_Irr!AZ23+s_Irr!BY23),".")</f>
        <v>114.00257221634547</v>
      </c>
      <c r="BC23" s="70">
        <f t="shared" si="1"/>
        <v>35.407611257587568</v>
      </c>
      <c r="BD23" s="70">
        <f>IFERROR(IF(AND(s_Irr!C23&lt;&gt;".",s_Irr!AB23&lt;&gt;".",s_Irr!BA23&lt;&gt;"."),s_dir!AD23/((1/1000)*(s_Irr!C23+s_Irr!AB23+s_Irr!BA23)),IF(AND(s_Irr!C23&lt;&gt;".",s_Irr!AB23&lt;&gt;".",s_Irr!BA23="."),s_dir!AD23/((1/1000)*(s_Irr!C23+s_Irr!AB23)),IF(AND(s_Irr!C23&lt;&gt;".",s_Irr!AB23=".",s_Irr!BA23&lt;&gt;"."),s_dir!AD23/((1/1000)*(s_Irr!C23+s_Irr!BA23)),IF(AND(s_Irr!C23=".",s_Irr!AB23&lt;&gt;".",s_Irr!BA23&lt;&gt;"."),s_dir!AD23/((1/1000)*(s_Irr!AB23+s_Irr!BA23)),IF(AND(s_Irr!C23=".",s_Irr!AB23=".",s_Irr!BA23&lt;&gt;"."),s_dir!AD23/((1/1000)*(s_Irr!BA23)),IF(AND(s_Irr!C23=".",s_Irr!AB23&lt;&gt;".",s_Irr!BA23="."),s_dir!AD23/((1/1000)*(s_Irr!AB23)),IF(AND(s_Irr!C23&lt;&gt;".",s_Irr!AB23=".",s_Irr!BA23="."),s_dir!AD23/((1/1000)*(s_Irr!C23)),IF(AND(s_Irr!C23=".",s_Irr!AB23=".",s_Irr!BA23="."),s_dir!AD23*1000)))))))),".")</f>
        <v>144.13434998469575</v>
      </c>
      <c r="BE23" s="70">
        <f>IFERROR(IF(AND(s_Irr!D23&lt;&gt;".",s_Irr!AC23&lt;&gt;".",s_Irr!BB23&lt;&gt;"."),s_dir!AE23/((1/1000)*(s_Irr!D23+s_Irr!AC23+s_Irr!BB23)),IF(AND(s_Irr!D23&lt;&gt;".",s_Irr!AC23&lt;&gt;".",s_Irr!BB23="."),s_dir!AE23/((1/1000)*(s_Irr!D23+s_Irr!AC23)),IF(AND(s_Irr!D23&lt;&gt;".",s_Irr!AC23=".",s_Irr!BB23&lt;&gt;"."),s_dir!AE23/((1/1000)*(s_Irr!D23+s_Irr!BB23)),IF(AND(s_Irr!D23=".",s_Irr!AC23&lt;&gt;".",s_Irr!BB23&lt;&gt;"."),s_dir!AE23/((1/1000)*(s_Irr!AC23+s_Irr!BB23)),IF(AND(s_Irr!D23=".",s_Irr!AC23=".",s_Irr!BB23&lt;&gt;"."),s_dir!AE23/((1/1000)*(s_Irr!BB23)),IF(AND(s_Irr!D23=".",s_Irr!AC23&lt;&gt;".",s_Irr!BB23="."),s_dir!AE23/((1/1000)*(s_Irr!AC23)),IF(AND(s_Irr!D23&lt;&gt;".",s_Irr!AC23=".",s_Irr!BB23="."),s_dir!AE23/((1/1000)*(s_Irr!D23)),IF(AND(s_Irr!D23=".",s_Irr!AC23=".",s_Irr!BB23="."),s_dir!AE23*1000)))))))),".")</f>
        <v>66.232446787337778</v>
      </c>
      <c r="BF23" s="70">
        <f>IFERROR(IF(AND(s_Irr!E23&lt;&gt;".",s_Irr!AD23&lt;&gt;".",s_Irr!BC23&lt;&gt;"."),s_dir!AF23/((1/1000)*(s_Irr!E23+s_Irr!AD23+s_Irr!BC23)),IF(AND(s_Irr!E23&lt;&gt;".",s_Irr!AD23&lt;&gt;".",s_Irr!BC23="."),s_dir!AF23/((1/1000)*(s_Irr!E23+s_Irr!AD23)),IF(AND(s_Irr!E23&lt;&gt;".",s_Irr!AD23=".",s_Irr!BC23&lt;&gt;"."),s_dir!AF23/((1/1000)*(s_Irr!E23+s_Irr!BC23)),IF(AND(s_Irr!E23=".",s_Irr!AD23&lt;&gt;".",s_Irr!BC23&lt;&gt;"."),s_dir!AF23/((1/1000)*(s_Irr!AD23+s_Irr!BC23)),IF(AND(s_Irr!E23=".",s_Irr!AD23=".",s_Irr!BC23&lt;&gt;"."),s_dir!AF23/((1/1000)*(s_Irr!BC23)),IF(AND(s_Irr!E23=".",s_Irr!AD23&lt;&gt;".",s_Irr!BC23="."),s_dir!AF23/((1/1000)*(s_Irr!AD23)),IF(AND(s_Irr!E23&lt;&gt;".",s_Irr!AD23=".",s_Irr!BC23="."),s_dir!AF23/((1/1000)*(s_Irr!E23)),IF(AND(s_Irr!E23=".",s_Irr!AD23=".",s_Irr!BC23="."),s_dir!AF23*1000)))))))),".")</f>
        <v>77.025646180493197</v>
      </c>
      <c r="BG23" s="70">
        <f>IFERROR(IF(AND(s_Irr!F23&lt;&gt;".",s_Irr!AE23&lt;&gt;".",s_Irr!BD23&lt;&gt;"."),s_dir!AG23/((1/1000)*(s_Irr!F23+s_Irr!AE23+s_Irr!BD23)),IF(AND(s_Irr!F23&lt;&gt;".",s_Irr!AE23&lt;&gt;".",s_Irr!BD23="."),s_dir!AG23/((1/1000)*(s_Irr!F23+s_Irr!AE23)),IF(AND(s_Irr!F23&lt;&gt;".",s_Irr!AE23=".",s_Irr!BD23&lt;&gt;"."),s_dir!AG23/((1/1000)*(s_Irr!F23+s_Irr!BD23)),IF(AND(s_Irr!F23=".",s_Irr!AE23&lt;&gt;".",s_Irr!BD23&lt;&gt;"."),s_dir!AG23/((1/1000)*(s_Irr!AE23+s_Irr!BD23)),IF(AND(s_Irr!F23=".",s_Irr!AE23=".",s_Irr!BD23&lt;&gt;"."),s_dir!AG23/((1/1000)*(s_Irr!BD23)),IF(AND(s_Irr!F23=".",s_Irr!AE23&lt;&gt;".",s_Irr!BD23="."),s_dir!AG23/((1/1000)*(s_Irr!AE23)),IF(AND(s_Irr!F23&lt;&gt;".",s_Irr!AE23=".",s_Irr!BD23="."),s_dir!AG23/((1/1000)*(s_Irr!F23)),IF(AND(s_Irr!F23=".",s_Irr!AE23=".",s_Irr!BD23="."),s_dir!AG23*1000)))))))),".")</f>
        <v>144.13434998469575</v>
      </c>
      <c r="BH23" s="70">
        <f>IFERROR(IF(AND(s_Irr!G23&lt;&gt;".",s_Irr!AF23&lt;&gt;".",s_Irr!BE23&lt;&gt;"."),s_dir!AH23/((1/1000)*(s_Irr!G23+s_Irr!AF23+s_Irr!BE23)),IF(AND(s_Irr!G23&lt;&gt;".",s_Irr!AF23&lt;&gt;".",s_Irr!BE23="."),s_dir!AH23/((1/1000)*(s_Irr!G23+s_Irr!AF23)),IF(AND(s_Irr!G23&lt;&gt;".",s_Irr!AF23=".",s_Irr!BE23&lt;&gt;"."),s_dir!AH23/((1/1000)*(s_Irr!G23+s_Irr!BE23)),IF(AND(s_Irr!G23=".",s_Irr!AF23&lt;&gt;".",s_Irr!BE23&lt;&gt;"."),s_dir!AH23/((1/1000)*(s_Irr!AF23+s_Irr!BE23)),IF(AND(s_Irr!G23=".",s_Irr!AF23=".",s_Irr!BE23&lt;&gt;"."),s_dir!AH23/((1/1000)*(s_Irr!BE23)),IF(AND(s_Irr!G23=".",s_Irr!AF23&lt;&gt;".",s_Irr!BE23="."),s_dir!AH23/((1/1000)*(s_Irr!AF23)),IF(AND(s_Irr!G23&lt;&gt;".",s_Irr!AF23=".",s_Irr!BE23="."),s_dir!AH23/((1/1000)*(s_Irr!G23)),IF(AND(s_Irr!G23=".",s_Irr!AF23=".",s_Irr!BE23="."),s_dir!AH23*1000)))))))),".")</f>
        <v>130.83544993335289</v>
      </c>
      <c r="BI23" s="70">
        <f>IFERROR(IF(AND(s_Irr!H23&lt;&gt;".",s_Irr!AG23&lt;&gt;".",s_Irr!BF23&lt;&gt;"."),s_dir!AI23/((1/1000)*(s_Irr!H23+s_Irr!AG23+s_Irr!BF23)),IF(AND(s_Irr!H23&lt;&gt;".",s_Irr!AG23&lt;&gt;".",s_Irr!BF23="."),s_dir!AI23/((1/1000)*(s_Irr!H23+s_Irr!AG23)),IF(AND(s_Irr!H23&lt;&gt;".",s_Irr!AG23=".",s_Irr!BF23&lt;&gt;"."),s_dir!AI23/((1/1000)*(s_Irr!H23+s_Irr!BF23)),IF(AND(s_Irr!H23=".",s_Irr!AG23&lt;&gt;".",s_Irr!BF23&lt;&gt;"."),s_dir!AI23/((1/1000)*(s_Irr!AG23+s_Irr!BF23)),IF(AND(s_Irr!H23=".",s_Irr!AG23=".",s_Irr!BF23&lt;&gt;"."),s_dir!AI23/((1/1000)*(s_Irr!BF23)),IF(AND(s_Irr!H23=".",s_Irr!AG23&lt;&gt;".",s_Irr!BF23="."),s_dir!AI23/((1/1000)*(s_Irr!AG23)),IF(AND(s_Irr!H23&lt;&gt;".",s_Irr!AG23=".",s_Irr!BF23="."),s_dir!AI23/((1/1000)*(s_Irr!H23)),IF(AND(s_Irr!H23=".",s_Irr!AG23=".",s_Irr!BF23="."),s_dir!AI23*1000)))))))),".")</f>
        <v>66.232446787337778</v>
      </c>
      <c r="BJ23" s="70">
        <f>IFERROR(IF(AND(s_Irr!I23&lt;&gt;".",s_Irr!AH23&lt;&gt;".",s_Irr!BG23&lt;&gt;"."),s_dir!AJ23/((1/1000)*(s_Irr!I23+s_Irr!AH23+s_Irr!BG23)),IF(AND(s_Irr!I23&lt;&gt;".",s_Irr!AH23&lt;&gt;".",s_Irr!BG23="."),s_dir!AJ23/((1/1000)*(s_Irr!I23+s_Irr!AH23)),IF(AND(s_Irr!I23&lt;&gt;".",s_Irr!AH23=".",s_Irr!BG23&lt;&gt;"."),s_dir!AJ23/((1/1000)*(s_Irr!I23+s_Irr!BG23)),IF(AND(s_Irr!I23=".",s_Irr!AH23&lt;&gt;".",s_Irr!BG23&lt;&gt;"."),s_dir!AJ23/((1/1000)*(s_Irr!AH23+s_Irr!BG23)),IF(AND(s_Irr!I23=".",s_Irr!AH23=".",s_Irr!BG23&lt;&gt;"."),s_dir!AJ23/((1/1000)*(s_Irr!BG23)),IF(AND(s_Irr!I23=".",s_Irr!AH23&lt;&gt;".",s_Irr!BG23="."),s_dir!AJ23/((1/1000)*(s_Irr!AH23)),IF(AND(s_Irr!I23&lt;&gt;".",s_Irr!AH23=".",s_Irr!BG23="."),s_dir!AJ23/((1/1000)*(s_Irr!I23)),IF(AND(s_Irr!I23=".",s_Irr!AH23=".",s_Irr!BG23="."),s_dir!AJ23*1000)))))))),".")</f>
        <v>77.025646180493197</v>
      </c>
      <c r="BK23" s="70">
        <f>IFERROR(IF(AND(s_Irr!J23&lt;&gt;".",s_Irr!AI23&lt;&gt;".",s_Irr!BH23&lt;&gt;"."),s_dir!AK23/((1/1000)*(s_Irr!J23+s_Irr!AI23+s_Irr!BH23)),IF(AND(s_Irr!J23&lt;&gt;".",s_Irr!AI23&lt;&gt;".",s_Irr!BH23="."),s_dir!AK23/((1/1000)*(s_Irr!J23+s_Irr!AI23)),IF(AND(s_Irr!J23&lt;&gt;".",s_Irr!AI23=".",s_Irr!BH23&lt;&gt;"."),s_dir!AK23/((1/1000)*(s_Irr!J23+s_Irr!BH23)),IF(AND(s_Irr!J23=".",s_Irr!AI23&lt;&gt;".",s_Irr!BH23&lt;&gt;"."),s_dir!AK23/((1/1000)*(s_Irr!AI23+s_Irr!BH23)),IF(AND(s_Irr!J23=".",s_Irr!AI23=".",s_Irr!BH23&lt;&gt;"."),s_dir!AK23/((1/1000)*(s_Irr!BH23)),IF(AND(s_Irr!J23=".",s_Irr!AI23&lt;&gt;".",s_Irr!BH23="."),s_dir!AK23/((1/1000)*(s_Irr!AI23)),IF(AND(s_Irr!J23&lt;&gt;".",s_Irr!AI23=".",s_Irr!BH23="."),s_dir!AK23/((1/1000)*(s_Irr!J23)),IF(AND(s_Irr!J23=".",s_Irr!AI23=".",s_Irr!BH23="."),s_dir!AK23*1000)))))))),".")</f>
        <v>144.13434998469575</v>
      </c>
      <c r="BL23" s="70">
        <f>IFERROR(IF(AND(s_Irr!K23&lt;&gt;".",s_Irr!AJ23&lt;&gt;".",s_Irr!BI23&lt;&gt;"."),s_dir!AL23/((1/1000)*(s_Irr!K23+s_Irr!AJ23+s_Irr!BI23)),IF(AND(s_Irr!K23&lt;&gt;".",s_Irr!AJ23&lt;&gt;".",s_Irr!BI23="."),s_dir!AL23/((1/1000)*(s_Irr!K23+s_Irr!AJ23)),IF(AND(s_Irr!K23&lt;&gt;".",s_Irr!AJ23=".",s_Irr!BI23&lt;&gt;"."),s_dir!AL23/((1/1000)*(s_Irr!K23+s_Irr!BI23)),IF(AND(s_Irr!K23=".",s_Irr!AJ23&lt;&gt;".",s_Irr!BI23&lt;&gt;"."),s_dir!AL23/((1/1000)*(s_Irr!AJ23+s_Irr!BI23)),IF(AND(s_Irr!K23=".",s_Irr!AJ23=".",s_Irr!BI23&lt;&gt;"."),s_dir!AL23/((1/1000)*(s_Irr!BI23)),IF(AND(s_Irr!K23=".",s_Irr!AJ23&lt;&gt;".",s_Irr!BI23="."),s_dir!AL23/((1/1000)*(s_Irr!AJ23)),IF(AND(s_Irr!K23&lt;&gt;".",s_Irr!AJ23=".",s_Irr!BI23="."),s_dir!AL23/((1/1000)*(s_Irr!K23)),IF(AND(s_Irr!K23=".",s_Irr!AJ23=".",s_Irr!BI23="."),s_dir!AL23*1000)))))))),".")</f>
        <v>162.01397099248268</v>
      </c>
      <c r="BM23" s="70">
        <f>IFERROR(IF(AND(s_Irr!L23&lt;&gt;".",s_Irr!AK23&lt;&gt;".",s_Irr!BJ23&lt;&gt;"."),s_dir!AM23/((1/1000)*(s_Irr!L23+s_Irr!AK23+s_Irr!BJ23)),IF(AND(s_Irr!L23&lt;&gt;".",s_Irr!AK23&lt;&gt;".",s_Irr!BJ23="."),s_dir!AM23/((1/1000)*(s_Irr!L23+s_Irr!AK23)),IF(AND(s_Irr!L23&lt;&gt;".",s_Irr!AK23=".",s_Irr!BJ23&lt;&gt;"."),s_dir!AM23/((1/1000)*(s_Irr!L23+s_Irr!BJ23)),IF(AND(s_Irr!L23=".",s_Irr!AK23&lt;&gt;".",s_Irr!BJ23&lt;&gt;"."),s_dir!AM23/((1/1000)*(s_Irr!AK23+s_Irr!BJ23)),IF(AND(s_Irr!L23=".",s_Irr!AK23=".",s_Irr!BJ23&lt;&gt;"."),s_dir!AM23/((1/1000)*(s_Irr!BJ23)),IF(AND(s_Irr!L23=".",s_Irr!AK23&lt;&gt;".",s_Irr!BJ23="."),s_dir!AM23/((1/1000)*(s_Irr!AK23)),IF(AND(s_Irr!L23&lt;&gt;".",s_Irr!AK23=".",s_Irr!BJ23="."),s_dir!AM23/((1/1000)*(s_Irr!L23)),IF(AND(s_Irr!L23=".",s_Irr!AK23=".",s_Irr!BJ23="."),s_dir!AM23*1000)))))))),".")</f>
        <v>130.83544993335289</v>
      </c>
      <c r="BN23" s="70">
        <f>IFERROR(IF(AND(s_Irr!M23&lt;&gt;".",s_Irr!AL23&lt;&gt;".",s_Irr!BK23&lt;&gt;"."),s_dir!AN23/((1/1000)*(s_Irr!M23+s_Irr!AL23+s_Irr!BK23)),IF(AND(s_Irr!M23&lt;&gt;".",s_Irr!AL23&lt;&gt;".",s_Irr!BK23="."),s_dir!AN23/((1/1000)*(s_Irr!M23+s_Irr!AL23)),IF(AND(s_Irr!M23&lt;&gt;".",s_Irr!AL23=".",s_Irr!BK23&lt;&gt;"."),s_dir!AN23/((1/1000)*(s_Irr!M23+s_Irr!BK23)),IF(AND(s_Irr!M23=".",s_Irr!AL23&lt;&gt;".",s_Irr!BK23&lt;&gt;"."),s_dir!AN23/((1/1000)*(s_Irr!AL23+s_Irr!BK23)),IF(AND(s_Irr!M23=".",s_Irr!AL23=".",s_Irr!BK23&lt;&gt;"."),s_dir!AN23/((1/1000)*(s_Irr!BK23)),IF(AND(s_Irr!M23=".",s_Irr!AL23&lt;&gt;".",s_Irr!BK23="."),s_dir!AN23/((1/1000)*(s_Irr!AL23)),IF(AND(s_Irr!M23&lt;&gt;".",s_Irr!AL23=".",s_Irr!BK23="."),s_dir!AN23/((1/1000)*(s_Irr!M23)),IF(AND(s_Irr!M23=".",s_Irr!AL23=".",s_Irr!BK23="."),s_dir!AN23*1000)))))))),".")</f>
        <v>66.232446787337778</v>
      </c>
      <c r="BO23" s="70">
        <f>IFERROR(IF(AND(s_Irr!N23&lt;&gt;".",s_Irr!AM23&lt;&gt;".",s_Irr!BL23&lt;&gt;"."),s_dir!AO23/((1/1000)*(s_Irr!N23+s_Irr!AM23+s_Irr!BL23)),IF(AND(s_Irr!N23&lt;&gt;".",s_Irr!AM23&lt;&gt;".",s_Irr!BL23="."),s_dir!AO23/((1/1000)*(s_Irr!N23+s_Irr!AM23)),IF(AND(s_Irr!N23&lt;&gt;".",s_Irr!AM23=".",s_Irr!BL23&lt;&gt;"."),s_dir!AO23/((1/1000)*(s_Irr!N23+s_Irr!BL23)),IF(AND(s_Irr!N23=".",s_Irr!AM23&lt;&gt;".",s_Irr!BL23&lt;&gt;"."),s_dir!AO23/((1/1000)*(s_Irr!AM23+s_Irr!BL23)),IF(AND(s_Irr!N23=".",s_Irr!AM23=".",s_Irr!BL23&lt;&gt;"."),s_dir!AO23/((1/1000)*(s_Irr!BL23)),IF(AND(s_Irr!N23=".",s_Irr!AM23&lt;&gt;".",s_Irr!BL23="."),s_dir!AO23/((1/1000)*(s_Irr!AM23)),IF(AND(s_Irr!N23&lt;&gt;".",s_Irr!AM23=".",s_Irr!BL23="."),s_dir!AO23/((1/1000)*(s_Irr!N23)),IF(AND(s_Irr!N23=".",s_Irr!AM23=".",s_Irr!BL23="."),s_dir!AO23*1000)))))))),".")</f>
        <v>136.22210323658629</v>
      </c>
      <c r="BP23" s="70">
        <f>IFERROR(IF(AND(s_Irr!O23&lt;&gt;".",s_Irr!AN23&lt;&gt;".",s_Irr!BM23&lt;&gt;"."),s_dir!AP23/((1/1000)*(s_Irr!O23+s_Irr!AN23+s_Irr!BM23)),IF(AND(s_Irr!O23&lt;&gt;".",s_Irr!AN23&lt;&gt;".",s_Irr!BM23="."),s_dir!AP23/((1/1000)*(s_Irr!O23+s_Irr!AN23)),IF(AND(s_Irr!O23&lt;&gt;".",s_Irr!AN23=".",s_Irr!BM23&lt;&gt;"."),s_dir!AP23/((1/1000)*(s_Irr!O23+s_Irr!BM23)),IF(AND(s_Irr!O23=".",s_Irr!AN23&lt;&gt;".",s_Irr!BM23&lt;&gt;"."),s_dir!AP23/((1/1000)*(s_Irr!AN23+s_Irr!BM23)),IF(AND(s_Irr!O23=".",s_Irr!AN23=".",s_Irr!BM23&lt;&gt;"."),s_dir!AP23/((1/1000)*(s_Irr!BM23)),IF(AND(s_Irr!O23=".",s_Irr!AN23&lt;&gt;".",s_Irr!BM23="."),s_dir!AP23/((1/1000)*(s_Irr!AN23)),IF(AND(s_Irr!O23&lt;&gt;".",s_Irr!AN23=".",s_Irr!BM23="."),s_dir!AP23/((1/1000)*(s_Irr!O23)),IF(AND(s_Irr!O23=".",s_Irr!AN23=".",s_Irr!BM23="."),s_dir!AP23*1000)))))))),".")</f>
        <v>130.83544993335289</v>
      </c>
      <c r="BQ23" s="70">
        <f>IFERROR(IF(AND(s_Irr!P23&lt;&gt;".",s_Irr!AO23&lt;&gt;".",s_Irr!BN23&lt;&gt;"."),s_dir!AQ23/((1/1000)*(s_Irr!P23+s_Irr!AO23+s_Irr!BN23)),IF(AND(s_Irr!P23&lt;&gt;".",s_Irr!AO23&lt;&gt;".",s_Irr!BN23="."),s_dir!AQ23/((1/1000)*(s_Irr!P23+s_Irr!AO23)),IF(AND(s_Irr!P23&lt;&gt;".",s_Irr!AO23=".",s_Irr!BN23&lt;&gt;"."),s_dir!AQ23/((1/1000)*(s_Irr!P23+s_Irr!BN23)),IF(AND(s_Irr!P23=".",s_Irr!AO23&lt;&gt;".",s_Irr!BN23&lt;&gt;"."),s_dir!AQ23/((1/1000)*(s_Irr!AO23+s_Irr!BN23)),IF(AND(s_Irr!P23=".",s_Irr!AO23=".",s_Irr!BN23&lt;&gt;"."),s_dir!AQ23/((1/1000)*(s_Irr!BN23)),IF(AND(s_Irr!P23=".",s_Irr!AO23&lt;&gt;".",s_Irr!BN23="."),s_dir!AQ23/((1/1000)*(s_Irr!AO23)),IF(AND(s_Irr!P23&lt;&gt;".",s_Irr!AO23=".",s_Irr!BN23="."),s_dir!AQ23/((1/1000)*(s_Irr!P23)),IF(AND(s_Irr!P23=".",s_Irr!AO23=".",s_Irr!BN23="."),s_dir!AQ23*1000)))))))),".")</f>
        <v>77.025646180493197</v>
      </c>
      <c r="BR23" s="70">
        <f>IFERROR(IF(AND(s_Irr!Q23&lt;&gt;".",s_Irr!AP23&lt;&gt;".",s_Irr!BO23&lt;&gt;"."),s_dir!AR23/((1/1000)*(s_Irr!Q23+s_Irr!AP23+s_Irr!BO23)),IF(AND(s_Irr!Q23&lt;&gt;".",s_Irr!AP23&lt;&gt;".",s_Irr!BO23="."),s_dir!AR23/((1/1000)*(s_Irr!Q23+s_Irr!AP23)),IF(AND(s_Irr!Q23&lt;&gt;".",s_Irr!AP23=".",s_Irr!BO23&lt;&gt;"."),s_dir!AR23/((1/1000)*(s_Irr!Q23+s_Irr!BO23)),IF(AND(s_Irr!Q23=".",s_Irr!AP23&lt;&gt;".",s_Irr!BO23&lt;&gt;"."),s_dir!AR23/((1/1000)*(s_Irr!AP23+s_Irr!BO23)),IF(AND(s_Irr!Q23=".",s_Irr!AP23=".",s_Irr!BO23&lt;&gt;"."),s_dir!AR23/((1/1000)*(s_Irr!BO23)),IF(AND(s_Irr!Q23=".",s_Irr!AP23&lt;&gt;".",s_Irr!BO23="."),s_dir!AR23/((1/1000)*(s_Irr!AP23)),IF(AND(s_Irr!Q23&lt;&gt;".",s_Irr!AP23=".",s_Irr!BO23="."),s_dir!AR23/((1/1000)*(s_Irr!Q23)),IF(AND(s_Irr!Q23=".",s_Irr!AP23=".",s_Irr!BO23="."),s_dir!AR23*1000)))))))),".")</f>
        <v>144.13434998469575</v>
      </c>
      <c r="BS23" s="70">
        <f>IFERROR(IF(AND(s_Irr!R23&lt;&gt;".",s_Irr!AQ23&lt;&gt;".",s_Irr!BP23&lt;&gt;"."),s_dir!AS23/((1/1000)*(s_Irr!R23+s_Irr!AQ23+s_Irr!BP23)),IF(AND(s_Irr!R23&lt;&gt;".",s_Irr!AQ23&lt;&gt;".",s_Irr!BP23="."),s_dir!AS23/((1/1000)*(s_Irr!R23+s_Irr!AQ23)),IF(AND(s_Irr!R23&lt;&gt;".",s_Irr!AQ23=".",s_Irr!BP23&lt;&gt;"."),s_dir!AS23/((1/1000)*(s_Irr!R23+s_Irr!BP23)),IF(AND(s_Irr!R23=".",s_Irr!AQ23&lt;&gt;".",s_Irr!BP23&lt;&gt;"."),s_dir!AS23/((1/1000)*(s_Irr!AQ23+s_Irr!BP23)),IF(AND(s_Irr!R23=".",s_Irr!AQ23=".",s_Irr!BP23&lt;&gt;"."),s_dir!AS23/((1/1000)*(s_Irr!BP23)),IF(AND(s_Irr!R23=".",s_Irr!AQ23&lt;&gt;".",s_Irr!BP23="."),s_dir!AS23/((1/1000)*(s_Irr!AQ23)),IF(AND(s_Irr!R23&lt;&gt;".",s_Irr!AQ23=".",s_Irr!BP23="."),s_dir!AS23/((1/1000)*(s_Irr!R23)),IF(AND(s_Irr!R23=".",s_Irr!AQ23=".",s_Irr!BP23="."),s_dir!AS23*1000)))))))),".")</f>
        <v>144.13434998469575</v>
      </c>
      <c r="BT23" s="70">
        <f>IFERROR(IF(AND(s_Irr!S23&lt;&gt;".",s_Irr!AR23&lt;&gt;".",s_Irr!BQ23&lt;&gt;"."),s_dir!AT23/((1/1000)*(s_Irr!S23+s_Irr!AR23+s_Irr!BQ23)),IF(AND(s_Irr!S23&lt;&gt;".",s_Irr!AR23&lt;&gt;".",s_Irr!BQ23="."),s_dir!AT23/((1/1000)*(s_Irr!S23+s_Irr!AR23)),IF(AND(s_Irr!S23&lt;&gt;".",s_Irr!AR23=".",s_Irr!BQ23&lt;&gt;"."),s_dir!AT23/((1/1000)*(s_Irr!S23+s_Irr!BQ23)),IF(AND(s_Irr!S23=".",s_Irr!AR23&lt;&gt;".",s_Irr!BQ23&lt;&gt;"."),s_dir!AT23/((1/1000)*(s_Irr!AR23+s_Irr!BQ23)),IF(AND(s_Irr!S23=".",s_Irr!AR23=".",s_Irr!BQ23&lt;&gt;"."),s_dir!AT23/((1/1000)*(s_Irr!BQ23)),IF(AND(s_Irr!S23=".",s_Irr!AR23&lt;&gt;".",s_Irr!BQ23="."),s_dir!AT23/((1/1000)*(s_Irr!AR23)),IF(AND(s_Irr!S23&lt;&gt;".",s_Irr!AR23=".",s_Irr!BQ23="."),s_dir!AT23/((1/1000)*(s_Irr!S23)),IF(AND(s_Irr!S23=".",s_Irr!AR23=".",s_Irr!BQ23="."),s_dir!AT23*1000)))))))),".")</f>
        <v>136.22210323658629</v>
      </c>
      <c r="BU23" s="70">
        <f>IFERROR(IF(AND(s_Irr!T23&lt;&gt;".",s_Irr!AS23&lt;&gt;".",s_Irr!BR23&lt;&gt;"."),s_dir!AU23/((1/1000)*(s_Irr!T23+s_Irr!AS23+s_Irr!BR23)),IF(AND(s_Irr!T23&lt;&gt;".",s_Irr!AS23&lt;&gt;".",s_Irr!BR23="."),s_dir!AU23/((1/1000)*(s_Irr!T23+s_Irr!AS23)),IF(AND(s_Irr!T23&lt;&gt;".",s_Irr!AS23=".",s_Irr!BR23&lt;&gt;"."),s_dir!AU23/((1/1000)*(s_Irr!T23+s_Irr!BR23)),IF(AND(s_Irr!T23=".",s_Irr!AS23&lt;&gt;".",s_Irr!BR23&lt;&gt;"."),s_dir!AU23/((1/1000)*(s_Irr!AS23+s_Irr!BR23)),IF(AND(s_Irr!T23=".",s_Irr!AS23=".",s_Irr!BR23&lt;&gt;"."),s_dir!AU23/((1/1000)*(s_Irr!BR23)),IF(AND(s_Irr!T23=".",s_Irr!AS23&lt;&gt;".",s_Irr!BR23="."),s_dir!AU23/((1/1000)*(s_Irr!AS23)),IF(AND(s_Irr!T23&lt;&gt;".",s_Irr!AS23=".",s_Irr!BR23="."),s_dir!AU23/((1/1000)*(s_Irr!T23)),IF(AND(s_Irr!T23=".",s_Irr!AS23=".",s_Irr!BR23="."),s_dir!AU23*1000)))))))),".")</f>
        <v>130.83544993335289</v>
      </c>
      <c r="BV23" s="70">
        <f>IFERROR(IF(AND(s_Irr!U23&lt;&gt;".",s_Irr!AT23&lt;&gt;".",s_Irr!BS23&lt;&gt;"."),s_dir!AV23/((1/1000)*(s_Irr!U23+s_Irr!AT23+s_Irr!BS23)),IF(AND(s_Irr!U23&lt;&gt;".",s_Irr!AT23&lt;&gt;".",s_Irr!BS23="."),s_dir!AV23/((1/1000)*(s_Irr!U23+s_Irr!AT23)),IF(AND(s_Irr!U23&lt;&gt;".",s_Irr!AT23=".",s_Irr!BS23&lt;&gt;"."),s_dir!AV23/((1/1000)*(s_Irr!U23+s_Irr!BS23)),IF(AND(s_Irr!U23=".",s_Irr!AT23&lt;&gt;".",s_Irr!BS23&lt;&gt;"."),s_dir!AV23/((1/1000)*(s_Irr!AT23+s_Irr!BS23)),IF(AND(s_Irr!U23=".",s_Irr!AT23=".",s_Irr!BS23&lt;&gt;"."),s_dir!AV23/((1/1000)*(s_Irr!BS23)),IF(AND(s_Irr!U23=".",s_Irr!AT23&lt;&gt;".",s_Irr!BS23="."),s_dir!AV23/((1/1000)*(s_Irr!AT23)),IF(AND(s_Irr!U23&lt;&gt;".",s_Irr!AT23=".",s_Irr!BS23="."),s_dir!AV23/((1/1000)*(s_Irr!U23)),IF(AND(s_Irr!U23=".",s_Irr!AT23=".",s_Irr!BS23="."),s_dir!AV23*1000)))))))),".")</f>
        <v>142.07135218981679</v>
      </c>
      <c r="BW23" s="70">
        <f>IFERROR(IF(AND(s_Irr!V23&lt;&gt;".",s_Irr!AU23&lt;&gt;".",s_Irr!BT23&lt;&gt;"."),s_dir!AW23/((1/1000)*(s_Irr!V23+s_Irr!AU23+s_Irr!BT23)),IF(AND(s_Irr!V23&lt;&gt;".",s_Irr!AU23&lt;&gt;".",s_Irr!BT23="."),s_dir!AW23/((1/1000)*(s_Irr!V23+s_Irr!AU23)),IF(AND(s_Irr!V23&lt;&gt;".",s_Irr!AU23=".",s_Irr!BT23&lt;&gt;"."),s_dir!AW23/((1/1000)*(s_Irr!V23+s_Irr!BT23)),IF(AND(s_Irr!V23=".",s_Irr!AU23&lt;&gt;".",s_Irr!BT23&lt;&gt;"."),s_dir!AW23/((1/1000)*(s_Irr!AU23+s_Irr!BT23)),IF(AND(s_Irr!V23=".",s_Irr!AU23=".",s_Irr!BT23&lt;&gt;"."),s_dir!AW23/((1/1000)*(s_Irr!BT23)),IF(AND(s_Irr!V23=".",s_Irr!AU23&lt;&gt;".",s_Irr!BT23="."),s_dir!AW23/((1/1000)*(s_Irr!AU23)),IF(AND(s_Irr!V23&lt;&gt;".",s_Irr!AU23=".",s_Irr!BT23="."),s_dir!AW23/((1/1000)*(s_Irr!V23)),IF(AND(s_Irr!V23=".",s_Irr!AU23=".",s_Irr!BT23="."),s_dir!AW23*1000)))))))),".")</f>
        <v>130.83544993335289</v>
      </c>
      <c r="BX23" s="70">
        <f>IFERROR(IF(AND(s_Irr!W23&lt;&gt;".",s_Irr!AV23&lt;&gt;".",s_Irr!BU23&lt;&gt;"."),s_dir!AX23/((1/1000)*(s_Irr!W23+s_Irr!AV23+s_Irr!BU23)),IF(AND(s_Irr!W23&lt;&gt;".",s_Irr!AV23&lt;&gt;".",s_Irr!BU23="."),s_dir!AX23/((1/1000)*(s_Irr!W23+s_Irr!AV23)),IF(AND(s_Irr!W23&lt;&gt;".",s_Irr!AV23=".",s_Irr!BU23&lt;&gt;"."),s_dir!AX23/((1/1000)*(s_Irr!W23+s_Irr!BU23)),IF(AND(s_Irr!W23=".",s_Irr!AV23&lt;&gt;".",s_Irr!BU23&lt;&gt;"."),s_dir!AX23/((1/1000)*(s_Irr!AV23+s_Irr!BU23)),IF(AND(s_Irr!W23=".",s_Irr!AV23=".",s_Irr!BU23&lt;&gt;"."),s_dir!AX23/((1/1000)*(s_Irr!BU23)),IF(AND(s_Irr!W23=".",s_Irr!AV23&lt;&gt;".",s_Irr!BU23="."),s_dir!AX23/((1/1000)*(s_Irr!AV23)),IF(AND(s_Irr!W23&lt;&gt;".",s_Irr!AV23=".",s_Irr!BU23="."),s_dir!AX23/((1/1000)*(s_Irr!W23)),IF(AND(s_Irr!W23=".",s_Irr!AV23=".",s_Irr!BU23="."),s_dir!AX23*1000)))))))),".")</f>
        <v>136.22210323658629</v>
      </c>
      <c r="BY23" s="70">
        <f>IFERROR(IF(AND(s_Irr!X23&lt;&gt;".",s_Irr!AW23&lt;&gt;".",s_Irr!BV23&lt;&gt;"."),s_dir!AY23/((1/1000)*(s_Irr!X23+s_Irr!AW23+s_Irr!BV23)),IF(AND(s_Irr!X23&lt;&gt;".",s_Irr!AW23&lt;&gt;".",s_Irr!BV23="."),s_dir!AY23/((1/1000)*(s_Irr!X23+s_Irr!AW23)),IF(AND(s_Irr!X23&lt;&gt;".",s_Irr!AW23=".",s_Irr!BV23&lt;&gt;"."),s_dir!AY23/((1/1000)*(s_Irr!X23+s_Irr!BV23)),IF(AND(s_Irr!X23=".",s_Irr!AW23&lt;&gt;".",s_Irr!BV23&lt;&gt;"."),s_dir!AY23/((1/1000)*(s_Irr!AW23+s_Irr!BV23)),IF(AND(s_Irr!X23=".",s_Irr!AW23=".",s_Irr!BV23&lt;&gt;"."),s_dir!AY23/((1/1000)*(s_Irr!BV23)),IF(AND(s_Irr!X23=".",s_Irr!AW23&lt;&gt;".",s_Irr!BV23="."),s_dir!AY23/((1/1000)*(s_Irr!AW23)),IF(AND(s_Irr!X23&lt;&gt;".",s_Irr!AW23=".",s_Irr!BV23="."),s_dir!AY23/((1/1000)*(s_Irr!X23)),IF(AND(s_Irr!X23=".",s_Irr!AW23=".",s_Irr!BV23="."),s_dir!AY23*1000)))))))),".")</f>
        <v>144.13434998469575</v>
      </c>
      <c r="BZ23" s="70">
        <f>IFERROR(IF(AND(s_Irr!Y23&lt;&gt;".",s_Irr!AX23&lt;&gt;".",s_Irr!BW23&lt;&gt;"."),s_dir!AZ23/((1/1000)*(s_Irr!Y23+s_Irr!AX23+s_Irr!BW23)),IF(AND(s_Irr!Y23&lt;&gt;".",s_Irr!AX23&lt;&gt;".",s_Irr!BW23="."),s_dir!AZ23/((1/1000)*(s_Irr!Y23+s_Irr!AX23)),IF(AND(s_Irr!Y23&lt;&gt;".",s_Irr!AX23=".",s_Irr!BW23&lt;&gt;"."),s_dir!AZ23/((1/1000)*(s_Irr!Y23+s_Irr!BW23)),IF(AND(s_Irr!Y23=".",s_Irr!AX23&lt;&gt;".",s_Irr!BW23&lt;&gt;"."),s_dir!AZ23/((1/1000)*(s_Irr!AX23+s_Irr!BW23)),IF(AND(s_Irr!Y23=".",s_Irr!AX23=".",s_Irr!BW23&lt;&gt;"."),s_dir!AZ23/((1/1000)*(s_Irr!BW23)),IF(AND(s_Irr!Y23=".",s_Irr!AX23&lt;&gt;".",s_Irr!BW23="."),s_dir!AZ23/((1/1000)*(s_Irr!AX23)),IF(AND(s_Irr!Y23&lt;&gt;".",s_Irr!AX23=".",s_Irr!BW23="."),s_dir!AZ23/((1/1000)*(s_Irr!Y23)),IF(AND(s_Irr!Y23=".",s_Irr!AX23=".",s_Irr!BW23="."),s_dir!AZ23*1000)))))))),".")</f>
        <v>130.83544993335289</v>
      </c>
      <c r="CA23" s="70">
        <f>IFERROR(IF(AND(s_Irr!Z23&lt;&gt;".",s_Irr!AY23&lt;&gt;".",s_Irr!BX23&lt;&gt;"."),s_dir!BA23/((1/1000)*(s_Irr!Z23+s_Irr!AY23+s_Irr!BX23)),IF(AND(s_Irr!Z23&lt;&gt;".",s_Irr!AY23&lt;&gt;".",s_Irr!BX23="."),s_dir!BA23/((1/1000)*(s_Irr!Z23+s_Irr!AY23)),IF(AND(s_Irr!Z23&lt;&gt;".",s_Irr!AY23=".",s_Irr!BX23&lt;&gt;"."),s_dir!BA23/((1/1000)*(s_Irr!Z23+s_Irr!BX23)),IF(AND(s_Irr!Z23=".",s_Irr!AY23&lt;&gt;".",s_Irr!BX23&lt;&gt;"."),s_dir!BA23/((1/1000)*(s_Irr!AY23+s_Irr!BX23)),IF(AND(s_Irr!Z23=".",s_Irr!AY23=".",s_Irr!BX23&lt;&gt;"."),s_dir!BA23/((1/1000)*(s_Irr!BX23)),IF(AND(s_Irr!Z23=".",s_Irr!AY23&lt;&gt;".",s_Irr!BX23="."),s_dir!BA23/((1/1000)*(s_Irr!AY23)),IF(AND(s_Irr!Z23&lt;&gt;".",s_Irr!AY23=".",s_Irr!BX23="."),s_dir!BA23/((1/1000)*(s_Irr!Z23)),IF(AND(s_Irr!Z23=".",s_Irr!AY23=".",s_Irr!BX23="."),s_dir!BA23*1000)))))))),".")</f>
        <v>166.16355370151189</v>
      </c>
      <c r="CB23" s="70">
        <f>IFERROR(IF(AND(s_Irr!AA23&lt;&gt;".",s_Irr!AZ23&lt;&gt;".",s_Irr!BY23&lt;&gt;"."),s_dir!BB23/((1/1000)*(s_Irr!AA23+s_Irr!AZ23+s_Irr!BY23)),IF(AND(s_Irr!AA23&lt;&gt;".",s_Irr!AZ23&lt;&gt;".",s_Irr!BY23="."),s_dir!BB23/((1/1000)*(s_Irr!AA23+s_Irr!AZ23)),IF(AND(s_Irr!AA23&lt;&gt;".",s_Irr!AZ23=".",s_Irr!BY23&lt;&gt;"."),s_dir!BB23/((1/1000)*(s_Irr!AA23+s_Irr!BY23)),IF(AND(s_Irr!AA23=".",s_Irr!AZ23&lt;&gt;".",s_Irr!BY23&lt;&gt;"."),s_dir!BB23/((1/1000)*(s_Irr!AZ23+s_Irr!BY23)),IF(AND(s_Irr!AA23=".",s_Irr!AZ23=".",s_Irr!BY23&lt;&gt;"."),s_dir!BB23/((1/1000)*(s_Irr!BY23)),IF(AND(s_Irr!AA23=".",s_Irr!AZ23&lt;&gt;".",s_Irr!BY23="."),s_dir!BB23/((1/1000)*(s_Irr!AZ23)),IF(AND(s_Irr!AA23&lt;&gt;".",s_Irr!AZ23=".",s_Irr!BY23="."),s_dir!BB23/((1/1000)*(s_Irr!AA23)),IF(AND(s_Irr!AA23=".",s_Irr!AZ23=".",s_Irr!BY23="."),s_dir!BB23*1000)))))))),".")</f>
        <v>130.83544993335289</v>
      </c>
      <c r="CC23" s="87">
        <f t="shared" si="2"/>
        <v>421.25343392909139</v>
      </c>
      <c r="CD23" s="87">
        <f>IFERROR(s_C*s_IFAP_far_adj*s_CF_apple*(1/1000)*(s_Irr!C23+s_Irr!AB23+s_Irr!BA23),".")</f>
        <v>103.48385260743784</v>
      </c>
      <c r="CE23" s="87">
        <f>IFERROR(s_C*s_IFAS_far_adj*s_CF_asparagus*(1/1000)*(s_Irr!D23+s_Irr!AC23+s_Irr!BB23),".")</f>
        <v>225.20046522479754</v>
      </c>
      <c r="CF23" s="87">
        <f>IFERROR(s_C*s_IFBT_far_adj*s_CF_beet*(1/1000)*(s_Irr!E23+s_Irr!AD23+s_Irr!BC23),".")</f>
        <v>193.64430639807466</v>
      </c>
      <c r="CG23" s="87">
        <f>IFERROR(s_C*s_IFBE_far_adj*s_CF_berries*(1/1000)*(s_Irr!F23+s_Irr!AE23+s_Irr!BD23),".")</f>
        <v>103.48385260743784</v>
      </c>
      <c r="CH23" s="87">
        <f>IFERROR(s_C*s_IFBR_far_adj*s_CF_broccoli*(1/1000)*(s_Irr!G23+s_Irr!AF23+s_Irr!BE23),".")</f>
        <v>114.00257221634547</v>
      </c>
      <c r="CI23" s="87">
        <f>IFERROR(s_C*s_IFCB_far_adj*s_CF_cabbage*(1/1000)*(s_Irr!H23+s_Irr!AG23+s_Irr!BF23),".")</f>
        <v>225.20046522479754</v>
      </c>
      <c r="CJ23" s="87">
        <f>IFERROR(s_C*s_IFCR_far_adj*s_CF_carrot*(1/1000)*(s_Irr!I23+s_Irr!AH23+s_Irr!BG23),".")</f>
        <v>193.64430639807466</v>
      </c>
      <c r="CK23" s="87">
        <f>IFERROR(s_C*s_IFCI_far_adj*s_CF_citrus*(1/1000)*(s_Irr!J23+s_Irr!AI23+s_Irr!BH23),".")</f>
        <v>103.48385260743784</v>
      </c>
      <c r="CL23" s="87">
        <f>IFERROR(s_C*s_IFCO_far_adj*s_CF_corn*(1/1000)*(s_Irr!K23+s_Irr!AJ23+s_Irr!BI23),".")</f>
        <v>92.063528460623843</v>
      </c>
      <c r="CM23" s="87">
        <f>IFERROR(s_C*s_IFCU_far_adj*s_CF_cucumber*(1/1000)*(s_Irr!L23+s_Irr!AK23+s_Irr!BJ23),".")</f>
        <v>114.00257221634547</v>
      </c>
      <c r="CN23" s="87">
        <f>IFERROR(s_C*s_IFLE_far_adj*s_CF_lettuce*(1/1000)*(s_Irr!M23+s_Irr!AL23+s_Irr!BK23),".")</f>
        <v>225.20046522479754</v>
      </c>
      <c r="CO23" s="87">
        <f>IFERROR(s_C*s_IFLI_far_adj*s_CF_lima_bean*(1/1000)*(s_Irr!N23+s_Irr!AM23+s_Irr!BL23),".")</f>
        <v>109.49454952681363</v>
      </c>
      <c r="CP23" s="87">
        <f>IFERROR(s_C*s_IFOK_far_adj*s_CF_okra*(1/1000)*(s_Irr!O23+s_Irr!AN23+s_Irr!BM23),".")</f>
        <v>114.00257221634547</v>
      </c>
      <c r="CQ23" s="87">
        <f>IFERROR(s_C*s_IFON_far_adj*s_CF_onion*(1/1000)*(s_Irr!P23+s_Irr!AO23+s_Irr!BN23),".")</f>
        <v>193.64430639807466</v>
      </c>
      <c r="CR23" s="87">
        <f>IFERROR(s_C*s_IFPC_far_adj*s_CF_peach*(1/1000)*(s_Irr!Q23+s_Irr!AP23+s_Irr!BO23),".")</f>
        <v>103.48385260743784</v>
      </c>
      <c r="CS23" s="87">
        <f>IFERROR(s_C*s_IFPR_far_adj*s_CF_pear*(1/1000)*(s_Irr!R23+s_Irr!AQ23+s_Irr!BP23),".")</f>
        <v>103.48385260743784</v>
      </c>
      <c r="CT23" s="87">
        <f>IFERROR(s_C*s_IFPE_far_adj*s_CF_peas*(1/1000)*(s_Irr!S23+s_Irr!AR23+s_Irr!BQ23),".")</f>
        <v>109.49454952681363</v>
      </c>
      <c r="CU23" s="87">
        <f>IFERROR(s_C*s_IFPP_far_adj*s_CF_peppers*(1/1000)*(s_Irr!T23+s_Irr!AS23+s_Irr!BR23),".")</f>
        <v>114.00257221634547</v>
      </c>
      <c r="CV23" s="87">
        <f>IFERROR(s_C*s_IFPT_far_adj*s_CF_potato*(1/1000)*(s_Irr!U23+s_Irr!AT23+s_Irr!BS23),".")</f>
        <v>104.98652683728179</v>
      </c>
      <c r="CW23" s="87">
        <f>IFERROR(s_C*s_IFPU_far_adj*s_CF_pumpkin*(1/1000)*(s_Irr!V23+s_Irr!AU23+s_Irr!BT23),".")</f>
        <v>114.00257221634547</v>
      </c>
      <c r="CX23" s="87">
        <f>IFERROR(s_C*s_IFSN_far_adj*s_CF_snap_bean*(1/1000)*(s_Irr!W23+s_Irr!AV23+s_Irr!BU23),".")</f>
        <v>109.49454952681363</v>
      </c>
      <c r="CY23" s="87">
        <f>IFERROR(s_C*s_IFST_far_adj*s_CF_strawberry*(1/1000)*(s_Irr!X23+s_Irr!AW23+s_Irr!BV23),".")</f>
        <v>103.48385260743784</v>
      </c>
      <c r="CZ23" s="87">
        <f>IFERROR(s_C*s_IFTO_far_adj*s_CF_tomato*(1/1000)*(s_Irr!Y23+s_Irr!AX23+s_Irr!BW23),".")</f>
        <v>114.00257221634547</v>
      </c>
      <c r="DA23" s="87">
        <f>IFERROR(s_C*s_IFRI_far_adj*s_CF_rice*(1/1000)*(s_Irr!Z23+s_Irr!AY23+s_Irr!BX23),".")</f>
        <v>89.764436888962607</v>
      </c>
      <c r="DB23" s="87">
        <f>IFERROR(s_C*s_IFCG_far_adj*s_CF_cereal*(1/1000)*(s_Irr!AA23+s_Irr!AZ23+s_Irr!BY23),".")</f>
        <v>114.00257221634547</v>
      </c>
    </row>
    <row r="24" spans="1:106" ht="15" customHeight="1" x14ac:dyDescent="0.25">
      <c r="A24" s="86" t="s">
        <v>22</v>
      </c>
      <c r="B24" s="84" t="s">
        <v>1057</v>
      </c>
      <c r="C24" s="15" t="str">
        <f t="shared" si="3"/>
        <v>.</v>
      </c>
      <c r="D24" s="70" t="str">
        <f>IFERROR(IF(AND(s_Irr!C24&lt;&gt;".",s_Irr!AB24&lt;&gt;".",s_Irr!BA24&lt;&gt;"."),s_dir!D24/((1/1000)*(s_Irr!C24+s_Irr!AB24+s_Irr!BA24)),IF(AND(s_Irr!C24&lt;&gt;".",s_Irr!AB24&lt;&gt;".",s_Irr!BA24="."),s_dir!D24/((1/1000)*(s_Irr!C24+s_Irr!AB24)),IF(AND(s_Irr!C24&lt;&gt;".",s_Irr!AB24=".",s_Irr!BA24&lt;&gt;"."),s_dir!D24/((1/1000)*(s_Irr!C24+s_Irr!BA24)),IF(AND(s_Irr!C24=".",s_Irr!AB24&lt;&gt;".",s_Irr!BA24&lt;&gt;"."),s_dir!D24/((1/1000)*(s_Irr!AB24+s_Irr!BA24)),IF(AND(s_Irr!C24=".",s_Irr!AB24=".",s_Irr!BA24&lt;&gt;"."),s_dir!D24/((1/1000)*(s_Irr!BA24)),IF(AND(s_Irr!C24=".",s_Irr!AB24&lt;&gt;".",s_Irr!BA24="."),s_dir!D24/((1/1000)*(s_Irr!AB24)),IF(AND(s_Irr!C24&lt;&gt;".",s_Irr!AB24=".",s_Irr!BA24="."),s_dir!D24/((1/1000)*(s_Irr!C24)),IF(AND(s_Irr!C24=".",s_Irr!AB24=".",s_Irr!BA24="."),s_dir!D24*1000)))))))),".")</f>
        <v>.</v>
      </c>
      <c r="E24" s="70" t="str">
        <f>IFERROR(IF(AND(s_Irr!D24&lt;&gt;".",s_Irr!AC24&lt;&gt;".",s_Irr!BB24&lt;&gt;"."),s_dir!E24/((1/1000)*(s_Irr!D24+s_Irr!AC24+s_Irr!BB24)),IF(AND(s_Irr!D24&lt;&gt;".",s_Irr!AC24&lt;&gt;".",s_Irr!BB24="."),s_dir!E24/((1/1000)*(s_Irr!D24+s_Irr!AC24)),IF(AND(s_Irr!D24&lt;&gt;".",s_Irr!AC24=".",s_Irr!BB24&lt;&gt;"."),s_dir!E24/((1/1000)*(s_Irr!D24+s_Irr!BB24)),IF(AND(s_Irr!D24=".",s_Irr!AC24&lt;&gt;".",s_Irr!BB24&lt;&gt;"."),s_dir!E24/((1/1000)*(s_Irr!AC24+s_Irr!BB24)),IF(AND(s_Irr!D24=".",s_Irr!AC24=".",s_Irr!BB24&lt;&gt;"."),s_dir!E24/((1/1000)*(s_Irr!BB24)),IF(AND(s_Irr!D24=".",s_Irr!AC24&lt;&gt;".",s_Irr!BB24="."),s_dir!E24/((1/1000)*(s_Irr!AC24)),IF(AND(s_Irr!D24&lt;&gt;".",s_Irr!AC24=".",s_Irr!BB24="."),s_dir!E24/((1/1000)*(s_Irr!D24)),IF(AND(s_Irr!D24=".",s_Irr!AC24=".",s_Irr!BB24="."),s_dir!E24*1000)))))))),".")</f>
        <v>.</v>
      </c>
      <c r="F24" s="70" t="str">
        <f>IFERROR(IF(AND(s_Irr!E24&lt;&gt;".",s_Irr!AD24&lt;&gt;".",s_Irr!BC24&lt;&gt;"."),s_dir!F24/((1/1000)*(s_Irr!E24+s_Irr!AD24+s_Irr!BC24)),IF(AND(s_Irr!E24&lt;&gt;".",s_Irr!AD24&lt;&gt;".",s_Irr!BC24="."),s_dir!F24/((1/1000)*(s_Irr!E24+s_Irr!AD24)),IF(AND(s_Irr!E24&lt;&gt;".",s_Irr!AD24=".",s_Irr!BC24&lt;&gt;"."),s_dir!F24/((1/1000)*(s_Irr!E24+s_Irr!BC24)),IF(AND(s_Irr!E24=".",s_Irr!AD24&lt;&gt;".",s_Irr!BC24&lt;&gt;"."),s_dir!F24/((1/1000)*(s_Irr!AD24+s_Irr!BC24)),IF(AND(s_Irr!E24=".",s_Irr!AD24=".",s_Irr!BC24&lt;&gt;"."),s_dir!F24/((1/1000)*(s_Irr!BC24)),IF(AND(s_Irr!E24=".",s_Irr!AD24&lt;&gt;".",s_Irr!BC24="."),s_dir!F24/((1/1000)*(s_Irr!AD24)),IF(AND(s_Irr!E24&lt;&gt;".",s_Irr!AD24=".",s_Irr!BC24="."),s_dir!F24/((1/1000)*(s_Irr!E24)),IF(AND(s_Irr!E24=".",s_Irr!AD24=".",s_Irr!BC24="."),s_dir!F24*1000)))))))),".")</f>
        <v>.</v>
      </c>
      <c r="G24" s="70" t="str">
        <f>IFERROR(IF(AND(s_Irr!F24&lt;&gt;".",s_Irr!AE24&lt;&gt;".",s_Irr!BD24&lt;&gt;"."),s_dir!G24/((1/1000)*(s_Irr!F24+s_Irr!AE24+s_Irr!BD24)),IF(AND(s_Irr!F24&lt;&gt;".",s_Irr!AE24&lt;&gt;".",s_Irr!BD24="."),s_dir!G24/((1/1000)*(s_Irr!F24+s_Irr!AE24)),IF(AND(s_Irr!F24&lt;&gt;".",s_Irr!AE24=".",s_Irr!BD24&lt;&gt;"."),s_dir!G24/((1/1000)*(s_Irr!F24+s_Irr!BD24)),IF(AND(s_Irr!F24=".",s_Irr!AE24&lt;&gt;".",s_Irr!BD24&lt;&gt;"."),s_dir!G24/((1/1000)*(s_Irr!AE24+s_Irr!BD24)),IF(AND(s_Irr!F24=".",s_Irr!AE24=".",s_Irr!BD24&lt;&gt;"."),s_dir!G24/((1/1000)*(s_Irr!BD24)),IF(AND(s_Irr!F24=".",s_Irr!AE24&lt;&gt;".",s_Irr!BD24="."),s_dir!G24/((1/1000)*(s_Irr!AE24)),IF(AND(s_Irr!F24&lt;&gt;".",s_Irr!AE24=".",s_Irr!BD24="."),s_dir!G24/((1/1000)*(s_Irr!F24)),IF(AND(s_Irr!F24=".",s_Irr!AE24=".",s_Irr!BD24="."),s_dir!G24*1000)))))))),".")</f>
        <v>.</v>
      </c>
      <c r="H24" s="70" t="str">
        <f>IFERROR(IF(AND(s_Irr!G24&lt;&gt;".",s_Irr!AF24&lt;&gt;".",s_Irr!BE24&lt;&gt;"."),s_dir!H24/((1/1000)*(s_Irr!G24+s_Irr!AF24+s_Irr!BE24)),IF(AND(s_Irr!G24&lt;&gt;".",s_Irr!AF24&lt;&gt;".",s_Irr!BE24="."),s_dir!H24/((1/1000)*(s_Irr!G24+s_Irr!AF24)),IF(AND(s_Irr!G24&lt;&gt;".",s_Irr!AF24=".",s_Irr!BE24&lt;&gt;"."),s_dir!H24/((1/1000)*(s_Irr!G24+s_Irr!BE24)),IF(AND(s_Irr!G24=".",s_Irr!AF24&lt;&gt;".",s_Irr!BE24&lt;&gt;"."),s_dir!H24/((1/1000)*(s_Irr!AF24+s_Irr!BE24)),IF(AND(s_Irr!G24=".",s_Irr!AF24=".",s_Irr!BE24&lt;&gt;"."),s_dir!H24/((1/1000)*(s_Irr!BE24)),IF(AND(s_Irr!G24=".",s_Irr!AF24&lt;&gt;".",s_Irr!BE24="."),s_dir!H24/((1/1000)*(s_Irr!AF24)),IF(AND(s_Irr!G24&lt;&gt;".",s_Irr!AF24=".",s_Irr!BE24="."),s_dir!H24/((1/1000)*(s_Irr!G24)),IF(AND(s_Irr!G24=".",s_Irr!AF24=".",s_Irr!BE24="."),s_dir!H24*1000)))))))),".")</f>
        <v>.</v>
      </c>
      <c r="I24" s="70" t="str">
        <f>IFERROR(IF(AND(s_Irr!H24&lt;&gt;".",s_Irr!AG24&lt;&gt;".",s_Irr!BF24&lt;&gt;"."),s_dir!I24/((1/1000)*(s_Irr!H24+s_Irr!AG24+s_Irr!BF24)),IF(AND(s_Irr!H24&lt;&gt;".",s_Irr!AG24&lt;&gt;".",s_Irr!BF24="."),s_dir!I24/((1/1000)*(s_Irr!H24+s_Irr!AG24)),IF(AND(s_Irr!H24&lt;&gt;".",s_Irr!AG24=".",s_Irr!BF24&lt;&gt;"."),s_dir!I24/((1/1000)*(s_Irr!H24+s_Irr!BF24)),IF(AND(s_Irr!H24=".",s_Irr!AG24&lt;&gt;".",s_Irr!BF24&lt;&gt;"."),s_dir!I24/((1/1000)*(s_Irr!AG24+s_Irr!BF24)),IF(AND(s_Irr!H24=".",s_Irr!AG24=".",s_Irr!BF24&lt;&gt;"."),s_dir!I24/((1/1000)*(s_Irr!BF24)),IF(AND(s_Irr!H24=".",s_Irr!AG24&lt;&gt;".",s_Irr!BF24="."),s_dir!I24/((1/1000)*(s_Irr!AG24)),IF(AND(s_Irr!H24&lt;&gt;".",s_Irr!AG24=".",s_Irr!BF24="."),s_dir!I24/((1/1000)*(s_Irr!H24)),IF(AND(s_Irr!H24=".",s_Irr!AG24=".",s_Irr!BF24="."),s_dir!I24*1000)))))))),".")</f>
        <v>.</v>
      </c>
      <c r="J24" s="70" t="str">
        <f>IFERROR(IF(AND(s_Irr!I24&lt;&gt;".",s_Irr!AH24&lt;&gt;".",s_Irr!BG24&lt;&gt;"."),s_dir!J24/((1/1000)*(s_Irr!I24+s_Irr!AH24+s_Irr!BG24)),IF(AND(s_Irr!I24&lt;&gt;".",s_Irr!AH24&lt;&gt;".",s_Irr!BG24="."),s_dir!J24/((1/1000)*(s_Irr!I24+s_Irr!AH24)),IF(AND(s_Irr!I24&lt;&gt;".",s_Irr!AH24=".",s_Irr!BG24&lt;&gt;"."),s_dir!J24/((1/1000)*(s_Irr!I24+s_Irr!BG24)),IF(AND(s_Irr!I24=".",s_Irr!AH24&lt;&gt;".",s_Irr!BG24&lt;&gt;"."),s_dir!J24/((1/1000)*(s_Irr!AH24+s_Irr!BG24)),IF(AND(s_Irr!I24=".",s_Irr!AH24=".",s_Irr!BG24&lt;&gt;"."),s_dir!J24/((1/1000)*(s_Irr!BG24)),IF(AND(s_Irr!I24=".",s_Irr!AH24&lt;&gt;".",s_Irr!BG24="."),s_dir!J24/((1/1000)*(s_Irr!AH24)),IF(AND(s_Irr!I24&lt;&gt;".",s_Irr!AH24=".",s_Irr!BG24="."),s_dir!J24/((1/1000)*(s_Irr!I24)),IF(AND(s_Irr!I24=".",s_Irr!AH24=".",s_Irr!BG24="."),s_dir!J24*1000)))))))),".")</f>
        <v>.</v>
      </c>
      <c r="K24" s="70" t="str">
        <f>IFERROR(IF(AND(s_Irr!J24&lt;&gt;".",s_Irr!AI24&lt;&gt;".",s_Irr!BH24&lt;&gt;"."),s_dir!K24/((1/1000)*(s_Irr!J24+s_Irr!AI24+s_Irr!BH24)),IF(AND(s_Irr!J24&lt;&gt;".",s_Irr!AI24&lt;&gt;".",s_Irr!BH24="."),s_dir!K24/((1/1000)*(s_Irr!J24+s_Irr!AI24)),IF(AND(s_Irr!J24&lt;&gt;".",s_Irr!AI24=".",s_Irr!BH24&lt;&gt;"."),s_dir!K24/((1/1000)*(s_Irr!J24+s_Irr!BH24)),IF(AND(s_Irr!J24=".",s_Irr!AI24&lt;&gt;".",s_Irr!BH24&lt;&gt;"."),s_dir!K24/((1/1000)*(s_Irr!AI24+s_Irr!BH24)),IF(AND(s_Irr!J24=".",s_Irr!AI24=".",s_Irr!BH24&lt;&gt;"."),s_dir!K24/((1/1000)*(s_Irr!BH24)),IF(AND(s_Irr!J24=".",s_Irr!AI24&lt;&gt;".",s_Irr!BH24="."),s_dir!K24/((1/1000)*(s_Irr!AI24)),IF(AND(s_Irr!J24&lt;&gt;".",s_Irr!AI24=".",s_Irr!BH24="."),s_dir!K24/((1/1000)*(s_Irr!J24)),IF(AND(s_Irr!J24=".",s_Irr!AI24=".",s_Irr!BH24="."),s_dir!K24*1000)))))))),".")</f>
        <v>.</v>
      </c>
      <c r="L24" s="70" t="str">
        <f>IFERROR(IF(AND(s_Irr!K24&lt;&gt;".",s_Irr!AJ24&lt;&gt;".",s_Irr!BI24&lt;&gt;"."),s_dir!L24/((1/1000)*(s_Irr!K24+s_Irr!AJ24+s_Irr!BI24)),IF(AND(s_Irr!K24&lt;&gt;".",s_Irr!AJ24&lt;&gt;".",s_Irr!BI24="."),s_dir!L24/((1/1000)*(s_Irr!K24+s_Irr!AJ24)),IF(AND(s_Irr!K24&lt;&gt;".",s_Irr!AJ24=".",s_Irr!BI24&lt;&gt;"."),s_dir!L24/((1/1000)*(s_Irr!K24+s_Irr!BI24)),IF(AND(s_Irr!K24=".",s_Irr!AJ24&lt;&gt;".",s_Irr!BI24&lt;&gt;"."),s_dir!L24/((1/1000)*(s_Irr!AJ24+s_Irr!BI24)),IF(AND(s_Irr!K24=".",s_Irr!AJ24=".",s_Irr!BI24&lt;&gt;"."),s_dir!L24/((1/1000)*(s_Irr!BI24)),IF(AND(s_Irr!K24=".",s_Irr!AJ24&lt;&gt;".",s_Irr!BI24="."),s_dir!L24/((1/1000)*(s_Irr!AJ24)),IF(AND(s_Irr!K24&lt;&gt;".",s_Irr!AJ24=".",s_Irr!BI24="."),s_dir!L24/((1/1000)*(s_Irr!K24)),IF(AND(s_Irr!K24=".",s_Irr!AJ24=".",s_Irr!BI24="."),s_dir!L24*1000)))))))),".")</f>
        <v>.</v>
      </c>
      <c r="M24" s="70" t="str">
        <f>IFERROR(IF(AND(s_Irr!L24&lt;&gt;".",s_Irr!AK24&lt;&gt;".",s_Irr!BJ24&lt;&gt;"."),s_dir!M24/((1/1000)*(s_Irr!L24+s_Irr!AK24+s_Irr!BJ24)),IF(AND(s_Irr!L24&lt;&gt;".",s_Irr!AK24&lt;&gt;".",s_Irr!BJ24="."),s_dir!M24/((1/1000)*(s_Irr!L24+s_Irr!AK24)),IF(AND(s_Irr!L24&lt;&gt;".",s_Irr!AK24=".",s_Irr!BJ24&lt;&gt;"."),s_dir!M24/((1/1000)*(s_Irr!L24+s_Irr!BJ24)),IF(AND(s_Irr!L24=".",s_Irr!AK24&lt;&gt;".",s_Irr!BJ24&lt;&gt;"."),s_dir!M24/((1/1000)*(s_Irr!AK24+s_Irr!BJ24)),IF(AND(s_Irr!L24=".",s_Irr!AK24=".",s_Irr!BJ24&lt;&gt;"."),s_dir!M24/((1/1000)*(s_Irr!BJ24)),IF(AND(s_Irr!L24=".",s_Irr!AK24&lt;&gt;".",s_Irr!BJ24="."),s_dir!M24/((1/1000)*(s_Irr!AK24)),IF(AND(s_Irr!L24&lt;&gt;".",s_Irr!AK24=".",s_Irr!BJ24="."),s_dir!M24/((1/1000)*(s_Irr!L24)),IF(AND(s_Irr!L24=".",s_Irr!AK24=".",s_Irr!BJ24="."),s_dir!M24*1000)))))))),".")</f>
        <v>.</v>
      </c>
      <c r="N24" s="70" t="str">
        <f>IFERROR(IF(AND(s_Irr!M24&lt;&gt;".",s_Irr!AL24&lt;&gt;".",s_Irr!BK24&lt;&gt;"."),s_dir!N24/((1/1000)*(s_Irr!M24+s_Irr!AL24+s_Irr!BK24)),IF(AND(s_Irr!M24&lt;&gt;".",s_Irr!AL24&lt;&gt;".",s_Irr!BK24="."),s_dir!N24/((1/1000)*(s_Irr!M24+s_Irr!AL24)),IF(AND(s_Irr!M24&lt;&gt;".",s_Irr!AL24=".",s_Irr!BK24&lt;&gt;"."),s_dir!N24/((1/1000)*(s_Irr!M24+s_Irr!BK24)),IF(AND(s_Irr!M24=".",s_Irr!AL24&lt;&gt;".",s_Irr!BK24&lt;&gt;"."),s_dir!N24/((1/1000)*(s_Irr!AL24+s_Irr!BK24)),IF(AND(s_Irr!M24=".",s_Irr!AL24=".",s_Irr!BK24&lt;&gt;"."),s_dir!N24/((1/1000)*(s_Irr!BK24)),IF(AND(s_Irr!M24=".",s_Irr!AL24&lt;&gt;".",s_Irr!BK24="."),s_dir!N24/((1/1000)*(s_Irr!AL24)),IF(AND(s_Irr!M24&lt;&gt;".",s_Irr!AL24=".",s_Irr!BK24="."),s_dir!N24/((1/1000)*(s_Irr!M24)),IF(AND(s_Irr!M24=".",s_Irr!AL24=".",s_Irr!BK24="."),s_dir!N24*1000)))))))),".")</f>
        <v>.</v>
      </c>
      <c r="O24" s="70" t="str">
        <f>IFERROR(IF(AND(s_Irr!N24&lt;&gt;".",s_Irr!AM24&lt;&gt;".",s_Irr!BL24&lt;&gt;"."),s_dir!O24/((1/1000)*(s_Irr!N24+s_Irr!AM24+s_Irr!BL24)),IF(AND(s_Irr!N24&lt;&gt;".",s_Irr!AM24&lt;&gt;".",s_Irr!BL24="."),s_dir!O24/((1/1000)*(s_Irr!N24+s_Irr!AM24)),IF(AND(s_Irr!N24&lt;&gt;".",s_Irr!AM24=".",s_Irr!BL24&lt;&gt;"."),s_dir!O24/((1/1000)*(s_Irr!N24+s_Irr!BL24)),IF(AND(s_Irr!N24=".",s_Irr!AM24&lt;&gt;".",s_Irr!BL24&lt;&gt;"."),s_dir!O24/((1/1000)*(s_Irr!AM24+s_Irr!BL24)),IF(AND(s_Irr!N24=".",s_Irr!AM24=".",s_Irr!BL24&lt;&gt;"."),s_dir!O24/((1/1000)*(s_Irr!BL24)),IF(AND(s_Irr!N24=".",s_Irr!AM24&lt;&gt;".",s_Irr!BL24="."),s_dir!O24/((1/1000)*(s_Irr!AM24)),IF(AND(s_Irr!N24&lt;&gt;".",s_Irr!AM24=".",s_Irr!BL24="."),s_dir!O24/((1/1000)*(s_Irr!N24)),IF(AND(s_Irr!N24=".",s_Irr!AM24=".",s_Irr!BL24="."),s_dir!O24*1000)))))))),".")</f>
        <v>.</v>
      </c>
      <c r="P24" s="70" t="str">
        <f>IFERROR(IF(AND(s_Irr!O24&lt;&gt;".",s_Irr!AN24&lt;&gt;".",s_Irr!BM24&lt;&gt;"."),s_dir!P24/((1/1000)*(s_Irr!O24+s_Irr!AN24+s_Irr!BM24)),IF(AND(s_Irr!O24&lt;&gt;".",s_Irr!AN24&lt;&gt;".",s_Irr!BM24="."),s_dir!P24/((1/1000)*(s_Irr!O24+s_Irr!AN24)),IF(AND(s_Irr!O24&lt;&gt;".",s_Irr!AN24=".",s_Irr!BM24&lt;&gt;"."),s_dir!P24/((1/1000)*(s_Irr!O24+s_Irr!BM24)),IF(AND(s_Irr!O24=".",s_Irr!AN24&lt;&gt;".",s_Irr!BM24&lt;&gt;"."),s_dir!P24/((1/1000)*(s_Irr!AN24+s_Irr!BM24)),IF(AND(s_Irr!O24=".",s_Irr!AN24=".",s_Irr!BM24&lt;&gt;"."),s_dir!P24/((1/1000)*(s_Irr!BM24)),IF(AND(s_Irr!O24=".",s_Irr!AN24&lt;&gt;".",s_Irr!BM24="."),s_dir!P24/((1/1000)*(s_Irr!AN24)),IF(AND(s_Irr!O24&lt;&gt;".",s_Irr!AN24=".",s_Irr!BM24="."),s_dir!P24/((1/1000)*(s_Irr!O24)),IF(AND(s_Irr!O24=".",s_Irr!AN24=".",s_Irr!BM24="."),s_dir!P24*1000)))))))),".")</f>
        <v>.</v>
      </c>
      <c r="Q24" s="70" t="str">
        <f>IFERROR(IF(AND(s_Irr!P24&lt;&gt;".",s_Irr!AO24&lt;&gt;".",s_Irr!BN24&lt;&gt;"."),s_dir!Q24/((1/1000)*(s_Irr!P24+s_Irr!AO24+s_Irr!BN24)),IF(AND(s_Irr!P24&lt;&gt;".",s_Irr!AO24&lt;&gt;".",s_Irr!BN24="."),s_dir!Q24/((1/1000)*(s_Irr!P24+s_Irr!AO24)),IF(AND(s_Irr!P24&lt;&gt;".",s_Irr!AO24=".",s_Irr!BN24&lt;&gt;"."),s_dir!Q24/((1/1000)*(s_Irr!P24+s_Irr!BN24)),IF(AND(s_Irr!P24=".",s_Irr!AO24&lt;&gt;".",s_Irr!BN24&lt;&gt;"."),s_dir!Q24/((1/1000)*(s_Irr!AO24+s_Irr!BN24)),IF(AND(s_Irr!P24=".",s_Irr!AO24=".",s_Irr!BN24&lt;&gt;"."),s_dir!Q24/((1/1000)*(s_Irr!BN24)),IF(AND(s_Irr!P24=".",s_Irr!AO24&lt;&gt;".",s_Irr!BN24="."),s_dir!Q24/((1/1000)*(s_Irr!AO24)),IF(AND(s_Irr!P24&lt;&gt;".",s_Irr!AO24=".",s_Irr!BN24="."),s_dir!Q24/((1/1000)*(s_Irr!P24)),IF(AND(s_Irr!P24=".",s_Irr!AO24=".",s_Irr!BN24="."),s_dir!Q24*1000)))))))),".")</f>
        <v>.</v>
      </c>
      <c r="R24" s="70" t="str">
        <f>IFERROR(IF(AND(s_Irr!Q24&lt;&gt;".",s_Irr!AP24&lt;&gt;".",s_Irr!BO24&lt;&gt;"."),s_dir!R24/((1/1000)*(s_Irr!Q24+s_Irr!AP24+s_Irr!BO24)),IF(AND(s_Irr!Q24&lt;&gt;".",s_Irr!AP24&lt;&gt;".",s_Irr!BO24="."),s_dir!R24/((1/1000)*(s_Irr!Q24+s_Irr!AP24)),IF(AND(s_Irr!Q24&lt;&gt;".",s_Irr!AP24=".",s_Irr!BO24&lt;&gt;"."),s_dir!R24/((1/1000)*(s_Irr!Q24+s_Irr!BO24)),IF(AND(s_Irr!Q24=".",s_Irr!AP24&lt;&gt;".",s_Irr!BO24&lt;&gt;"."),s_dir!R24/((1/1000)*(s_Irr!AP24+s_Irr!BO24)),IF(AND(s_Irr!Q24=".",s_Irr!AP24=".",s_Irr!BO24&lt;&gt;"."),s_dir!R24/((1/1000)*(s_Irr!BO24)),IF(AND(s_Irr!Q24=".",s_Irr!AP24&lt;&gt;".",s_Irr!BO24="."),s_dir!R24/((1/1000)*(s_Irr!AP24)),IF(AND(s_Irr!Q24&lt;&gt;".",s_Irr!AP24=".",s_Irr!BO24="."),s_dir!R24/((1/1000)*(s_Irr!Q24)),IF(AND(s_Irr!Q24=".",s_Irr!AP24=".",s_Irr!BO24="."),s_dir!R24*1000)))))))),".")</f>
        <v>.</v>
      </c>
      <c r="S24" s="70" t="str">
        <f>IFERROR(IF(AND(s_Irr!R24&lt;&gt;".",s_Irr!AQ24&lt;&gt;".",s_Irr!BP24&lt;&gt;"."),s_dir!S24/((1/1000)*(s_Irr!R24+s_Irr!AQ24+s_Irr!BP24)),IF(AND(s_Irr!R24&lt;&gt;".",s_Irr!AQ24&lt;&gt;".",s_Irr!BP24="."),s_dir!S24/((1/1000)*(s_Irr!R24+s_Irr!AQ24)),IF(AND(s_Irr!R24&lt;&gt;".",s_Irr!AQ24=".",s_Irr!BP24&lt;&gt;"."),s_dir!S24/((1/1000)*(s_Irr!R24+s_Irr!BP24)),IF(AND(s_Irr!R24=".",s_Irr!AQ24&lt;&gt;".",s_Irr!BP24&lt;&gt;"."),s_dir!S24/((1/1000)*(s_Irr!AQ24+s_Irr!BP24)),IF(AND(s_Irr!R24=".",s_Irr!AQ24=".",s_Irr!BP24&lt;&gt;"."),s_dir!S24/((1/1000)*(s_Irr!BP24)),IF(AND(s_Irr!R24=".",s_Irr!AQ24&lt;&gt;".",s_Irr!BP24="."),s_dir!S24/((1/1000)*(s_Irr!AQ24)),IF(AND(s_Irr!R24&lt;&gt;".",s_Irr!AQ24=".",s_Irr!BP24="."),s_dir!S24/((1/1000)*(s_Irr!R24)),IF(AND(s_Irr!R24=".",s_Irr!AQ24=".",s_Irr!BP24="."),s_dir!S24*1000)))))))),".")</f>
        <v>.</v>
      </c>
      <c r="T24" s="70" t="str">
        <f>IFERROR(IF(AND(s_Irr!S24&lt;&gt;".",s_Irr!AR24&lt;&gt;".",s_Irr!BQ24&lt;&gt;"."),s_dir!T24/((1/1000)*(s_Irr!S24+s_Irr!AR24+s_Irr!BQ24)),IF(AND(s_Irr!S24&lt;&gt;".",s_Irr!AR24&lt;&gt;".",s_Irr!BQ24="."),s_dir!T24/((1/1000)*(s_Irr!S24+s_Irr!AR24)),IF(AND(s_Irr!S24&lt;&gt;".",s_Irr!AR24=".",s_Irr!BQ24&lt;&gt;"."),s_dir!T24/((1/1000)*(s_Irr!S24+s_Irr!BQ24)),IF(AND(s_Irr!S24=".",s_Irr!AR24&lt;&gt;".",s_Irr!BQ24&lt;&gt;"."),s_dir!T24/((1/1000)*(s_Irr!AR24+s_Irr!BQ24)),IF(AND(s_Irr!S24=".",s_Irr!AR24=".",s_Irr!BQ24&lt;&gt;"."),s_dir!T24/((1/1000)*(s_Irr!BQ24)),IF(AND(s_Irr!S24=".",s_Irr!AR24&lt;&gt;".",s_Irr!BQ24="."),s_dir!T24/((1/1000)*(s_Irr!AR24)),IF(AND(s_Irr!S24&lt;&gt;".",s_Irr!AR24=".",s_Irr!BQ24="."),s_dir!T24/((1/1000)*(s_Irr!S24)),IF(AND(s_Irr!S24=".",s_Irr!AR24=".",s_Irr!BQ24="."),s_dir!T24*1000)))))))),".")</f>
        <v>.</v>
      </c>
      <c r="U24" s="70" t="str">
        <f>IFERROR(IF(AND(s_Irr!T24&lt;&gt;".",s_Irr!AS24&lt;&gt;".",s_Irr!BR24&lt;&gt;"."),s_dir!U24/((1/1000)*(s_Irr!T24+s_Irr!AS24+s_Irr!BR24)),IF(AND(s_Irr!T24&lt;&gt;".",s_Irr!AS24&lt;&gt;".",s_Irr!BR24="."),s_dir!U24/((1/1000)*(s_Irr!T24+s_Irr!AS24)),IF(AND(s_Irr!T24&lt;&gt;".",s_Irr!AS24=".",s_Irr!BR24&lt;&gt;"."),s_dir!U24/((1/1000)*(s_Irr!T24+s_Irr!BR24)),IF(AND(s_Irr!T24=".",s_Irr!AS24&lt;&gt;".",s_Irr!BR24&lt;&gt;"."),s_dir!U24/((1/1000)*(s_Irr!AS24+s_Irr!BR24)),IF(AND(s_Irr!T24=".",s_Irr!AS24=".",s_Irr!BR24&lt;&gt;"."),s_dir!U24/((1/1000)*(s_Irr!BR24)),IF(AND(s_Irr!T24=".",s_Irr!AS24&lt;&gt;".",s_Irr!BR24="."),s_dir!U24/((1/1000)*(s_Irr!AS24)),IF(AND(s_Irr!T24&lt;&gt;".",s_Irr!AS24=".",s_Irr!BR24="."),s_dir!U24/((1/1000)*(s_Irr!T24)),IF(AND(s_Irr!T24=".",s_Irr!AS24=".",s_Irr!BR24="."),s_dir!U24*1000)))))))),".")</f>
        <v>.</v>
      </c>
      <c r="V24" s="70" t="str">
        <f>IFERROR(IF(AND(s_Irr!U24&lt;&gt;".",s_Irr!AT24&lt;&gt;".",s_Irr!BS24&lt;&gt;"."),s_dir!V24/((1/1000)*(s_Irr!U24+s_Irr!AT24+s_Irr!BS24)),IF(AND(s_Irr!U24&lt;&gt;".",s_Irr!AT24&lt;&gt;".",s_Irr!BS24="."),s_dir!V24/((1/1000)*(s_Irr!U24+s_Irr!AT24)),IF(AND(s_Irr!U24&lt;&gt;".",s_Irr!AT24=".",s_Irr!BS24&lt;&gt;"."),s_dir!V24/((1/1000)*(s_Irr!U24+s_Irr!BS24)),IF(AND(s_Irr!U24=".",s_Irr!AT24&lt;&gt;".",s_Irr!BS24&lt;&gt;"."),s_dir!V24/((1/1000)*(s_Irr!AT24+s_Irr!BS24)),IF(AND(s_Irr!U24=".",s_Irr!AT24=".",s_Irr!BS24&lt;&gt;"."),s_dir!V24/((1/1000)*(s_Irr!BS24)),IF(AND(s_Irr!U24=".",s_Irr!AT24&lt;&gt;".",s_Irr!BS24="."),s_dir!V24/((1/1000)*(s_Irr!AT24)),IF(AND(s_Irr!U24&lt;&gt;".",s_Irr!AT24=".",s_Irr!BS24="."),s_dir!V24/((1/1000)*(s_Irr!U24)),IF(AND(s_Irr!U24=".",s_Irr!AT24=".",s_Irr!BS24="."),s_dir!V24*1000)))))))),".")</f>
        <v>.</v>
      </c>
      <c r="W24" s="70" t="str">
        <f>IFERROR(IF(AND(s_Irr!V24&lt;&gt;".",s_Irr!AU24&lt;&gt;".",s_Irr!BT24&lt;&gt;"."),s_dir!W24/((1/1000)*(s_Irr!V24+s_Irr!AU24+s_Irr!BT24)),IF(AND(s_Irr!V24&lt;&gt;".",s_Irr!AU24&lt;&gt;".",s_Irr!BT24="."),s_dir!W24/((1/1000)*(s_Irr!V24+s_Irr!AU24)),IF(AND(s_Irr!V24&lt;&gt;".",s_Irr!AU24=".",s_Irr!BT24&lt;&gt;"."),s_dir!W24/((1/1000)*(s_Irr!V24+s_Irr!BT24)),IF(AND(s_Irr!V24=".",s_Irr!AU24&lt;&gt;".",s_Irr!BT24&lt;&gt;"."),s_dir!W24/((1/1000)*(s_Irr!AU24+s_Irr!BT24)),IF(AND(s_Irr!V24=".",s_Irr!AU24=".",s_Irr!BT24&lt;&gt;"."),s_dir!W24/((1/1000)*(s_Irr!BT24)),IF(AND(s_Irr!V24=".",s_Irr!AU24&lt;&gt;".",s_Irr!BT24="."),s_dir!W24/((1/1000)*(s_Irr!AU24)),IF(AND(s_Irr!V24&lt;&gt;".",s_Irr!AU24=".",s_Irr!BT24="."),s_dir!W24/((1/1000)*(s_Irr!V24)),IF(AND(s_Irr!V24=".",s_Irr!AU24=".",s_Irr!BT24="."),s_dir!W24*1000)))))))),".")</f>
        <v>.</v>
      </c>
      <c r="X24" s="70" t="str">
        <f>IFERROR(IF(AND(s_Irr!W24&lt;&gt;".",s_Irr!AV24&lt;&gt;".",s_Irr!BU24&lt;&gt;"."),s_dir!X24/((1/1000)*(s_Irr!W24+s_Irr!AV24+s_Irr!BU24)),IF(AND(s_Irr!W24&lt;&gt;".",s_Irr!AV24&lt;&gt;".",s_Irr!BU24="."),s_dir!X24/((1/1000)*(s_Irr!W24+s_Irr!AV24)),IF(AND(s_Irr!W24&lt;&gt;".",s_Irr!AV24=".",s_Irr!BU24&lt;&gt;"."),s_dir!X24/((1/1000)*(s_Irr!W24+s_Irr!BU24)),IF(AND(s_Irr!W24=".",s_Irr!AV24&lt;&gt;".",s_Irr!BU24&lt;&gt;"."),s_dir!X24/((1/1000)*(s_Irr!AV24+s_Irr!BU24)),IF(AND(s_Irr!W24=".",s_Irr!AV24=".",s_Irr!BU24&lt;&gt;"."),s_dir!X24/((1/1000)*(s_Irr!BU24)),IF(AND(s_Irr!W24=".",s_Irr!AV24&lt;&gt;".",s_Irr!BU24="."),s_dir!X24/((1/1000)*(s_Irr!AV24)),IF(AND(s_Irr!W24&lt;&gt;".",s_Irr!AV24=".",s_Irr!BU24="."),s_dir!X24/((1/1000)*(s_Irr!W24)),IF(AND(s_Irr!W24=".",s_Irr!AV24=".",s_Irr!BU24="."),s_dir!X24*1000)))))))),".")</f>
        <v>.</v>
      </c>
      <c r="Y24" s="70" t="str">
        <f>IFERROR(IF(AND(s_Irr!X24&lt;&gt;".",s_Irr!AW24&lt;&gt;".",s_Irr!BV24&lt;&gt;"."),s_dir!Y24/((1/1000)*(s_Irr!X24+s_Irr!AW24+s_Irr!BV24)),IF(AND(s_Irr!X24&lt;&gt;".",s_Irr!AW24&lt;&gt;".",s_Irr!BV24="."),s_dir!Y24/((1/1000)*(s_Irr!X24+s_Irr!AW24)),IF(AND(s_Irr!X24&lt;&gt;".",s_Irr!AW24=".",s_Irr!BV24&lt;&gt;"."),s_dir!Y24/((1/1000)*(s_Irr!X24+s_Irr!BV24)),IF(AND(s_Irr!X24=".",s_Irr!AW24&lt;&gt;".",s_Irr!BV24&lt;&gt;"."),s_dir!Y24/((1/1000)*(s_Irr!AW24+s_Irr!BV24)),IF(AND(s_Irr!X24=".",s_Irr!AW24=".",s_Irr!BV24&lt;&gt;"."),s_dir!Y24/((1/1000)*(s_Irr!BV24)),IF(AND(s_Irr!X24=".",s_Irr!AW24&lt;&gt;".",s_Irr!BV24="."),s_dir!Y24/((1/1000)*(s_Irr!AW24)),IF(AND(s_Irr!X24&lt;&gt;".",s_Irr!AW24=".",s_Irr!BV24="."),s_dir!Y24/((1/1000)*(s_Irr!X24)),IF(AND(s_Irr!X24=".",s_Irr!AW24=".",s_Irr!BV24="."),s_dir!Y24*1000)))))))),".")</f>
        <v>.</v>
      </c>
      <c r="Z24" s="70" t="str">
        <f>IFERROR(IF(AND(s_Irr!Y24&lt;&gt;".",s_Irr!AX24&lt;&gt;".",s_Irr!BW24&lt;&gt;"."),s_dir!Z24/((1/1000)*(s_Irr!Y24+s_Irr!AX24+s_Irr!BW24)),IF(AND(s_Irr!Y24&lt;&gt;".",s_Irr!AX24&lt;&gt;".",s_Irr!BW24="."),s_dir!Z24/((1/1000)*(s_Irr!Y24+s_Irr!AX24)),IF(AND(s_Irr!Y24&lt;&gt;".",s_Irr!AX24=".",s_Irr!BW24&lt;&gt;"."),s_dir!Z24/((1/1000)*(s_Irr!Y24+s_Irr!BW24)),IF(AND(s_Irr!Y24=".",s_Irr!AX24&lt;&gt;".",s_Irr!BW24&lt;&gt;"."),s_dir!Z24/((1/1000)*(s_Irr!AX24+s_Irr!BW24)),IF(AND(s_Irr!Y24=".",s_Irr!AX24=".",s_Irr!BW24&lt;&gt;"."),s_dir!Z24/((1/1000)*(s_Irr!BW24)),IF(AND(s_Irr!Y24=".",s_Irr!AX24&lt;&gt;".",s_Irr!BW24="."),s_dir!Z24/((1/1000)*(s_Irr!AX24)),IF(AND(s_Irr!Y24&lt;&gt;".",s_Irr!AX24=".",s_Irr!BW24="."),s_dir!Z24/((1/1000)*(s_Irr!Y24)),IF(AND(s_Irr!Y24=".",s_Irr!AX24=".",s_Irr!BW24="."),s_dir!Z24*1000)))))))),".")</f>
        <v>.</v>
      </c>
      <c r="AA24" s="70" t="str">
        <f>IFERROR(IF(AND(s_Irr!Z24&lt;&gt;".",s_Irr!AY24&lt;&gt;".",s_Irr!BX24&lt;&gt;"."),s_dir!AA24/((1/1000)*(s_Irr!Z24+s_Irr!AY24+s_Irr!BX24)),IF(AND(s_Irr!Z24&lt;&gt;".",s_Irr!AY24&lt;&gt;".",s_Irr!BX24="."),s_dir!AA24/((1/1000)*(s_Irr!Z24+s_Irr!AY24)),IF(AND(s_Irr!Z24&lt;&gt;".",s_Irr!AY24=".",s_Irr!BX24&lt;&gt;"."),s_dir!AA24/((1/1000)*(s_Irr!Z24+s_Irr!BX24)),IF(AND(s_Irr!Z24=".",s_Irr!AY24&lt;&gt;".",s_Irr!BX24&lt;&gt;"."),s_dir!AA24/((1/1000)*(s_Irr!AY24+s_Irr!BX24)),IF(AND(s_Irr!Z24=".",s_Irr!AY24=".",s_Irr!BX24&lt;&gt;"."),s_dir!AA24/((1/1000)*(s_Irr!BX24)),IF(AND(s_Irr!Z24=".",s_Irr!AY24&lt;&gt;".",s_Irr!BX24="."),s_dir!AA24/((1/1000)*(s_Irr!AY24)),IF(AND(s_Irr!Z24&lt;&gt;".",s_Irr!AY24=".",s_Irr!BX24="."),s_dir!AA24/((1/1000)*(s_Irr!Z24)),IF(AND(s_Irr!Z24=".",s_Irr!AY24=".",s_Irr!BX24="."),s_dir!AA24*1000)))))))),".")</f>
        <v>.</v>
      </c>
      <c r="AB24" s="70" t="str">
        <f>IFERROR(IF(AND(s_Irr!AA24&lt;&gt;".",s_Irr!AZ24&lt;&gt;".",s_Irr!BY24&lt;&gt;"."),s_dir!AB24/((1/1000)*(s_Irr!AA24+s_Irr!AZ24+s_Irr!BY24)),IF(AND(s_Irr!AA24&lt;&gt;".",s_Irr!AZ24&lt;&gt;".",s_Irr!BY24="."),s_dir!AB24/((1/1000)*(s_Irr!AA24+s_Irr!AZ24)),IF(AND(s_Irr!AA24&lt;&gt;".",s_Irr!AZ24=".",s_Irr!BY24&lt;&gt;"."),s_dir!AB24/((1/1000)*(s_Irr!AA24+s_Irr!BY24)),IF(AND(s_Irr!AA24=".",s_Irr!AZ24&lt;&gt;".",s_Irr!BY24&lt;&gt;"."),s_dir!AB24/((1/1000)*(s_Irr!AZ24+s_Irr!BY24)),IF(AND(s_Irr!AA24=".",s_Irr!AZ24=".",s_Irr!BY24&lt;&gt;"."),s_dir!AB24/((1/1000)*(s_Irr!BY24)),IF(AND(s_Irr!AA24=".",s_Irr!AZ24&lt;&gt;".",s_Irr!BY24="."),s_dir!AB24/((1/1000)*(s_Irr!AZ24)),IF(AND(s_Irr!AA24&lt;&gt;".",s_Irr!AZ24=".",s_Irr!BY24="."),s_dir!AB24/((1/1000)*(s_Irr!AA24)),IF(AND(s_Irr!AA24=".",s_Irr!AZ24=".",s_Irr!BY24="."),s_dir!AB24*1000)))))))),".")</f>
        <v>.</v>
      </c>
      <c r="AC24" s="87">
        <f>SUM(AD24,AU24,BA24:BB24)</f>
        <v>0</v>
      </c>
      <c r="AD24" s="87">
        <f>IFERROR(s_C*s_IFAP_res_adj*s_CF_apple*0.001*(s_Irr!C24+s_Irr!AB24+s_Irr!BA24),".")</f>
        <v>0</v>
      </c>
      <c r="AE24" s="87">
        <f>IFERROR(s_C*s_IFAS_res_adj*s_CF_asparagus*0.001*(s_Irr!D24+s_Irr!AC24+s_Irr!BB24),".")</f>
        <v>0</v>
      </c>
      <c r="AF24" s="87">
        <f>IFERROR(s_C*s_IFBT_res_adj*s_CF_beet*0.001*(s_Irr!E24+s_Irr!AD24+s_Irr!BC24),".")</f>
        <v>0</v>
      </c>
      <c r="AG24" s="87">
        <f>IFERROR(s_C*s_IFBE_res_adj*s_CF_berries*0.001*(s_Irr!F24+s_Irr!AE24+s_Irr!BD24),".")</f>
        <v>0</v>
      </c>
      <c r="AH24" s="87">
        <f>IFERROR(s_C*s_IFBR_res_adj*s_CF_broccoli*0.001*(s_Irr!G24+s_Irr!AF24+s_Irr!BE24),".")</f>
        <v>0</v>
      </c>
      <c r="AI24" s="87">
        <f>IFERROR(s_C*s_IFCB_res_adj*s_CF_cabbage*0.001*(s_Irr!H24+s_Irr!AG24+s_Irr!BF24),".")</f>
        <v>0</v>
      </c>
      <c r="AJ24" s="87">
        <f>IFERROR(s_C*s_IFCR_res_adj*s_CF_carrot*0.001*(s_Irr!I24+s_Irr!AH24+s_Irr!BG24),".")</f>
        <v>0</v>
      </c>
      <c r="AK24" s="87">
        <f>IFERROR(s_C*s_IFCI_res_adj*s_CF_citrus*0.001*(s_Irr!J24+s_Irr!AI24+s_Irr!BH24),".")</f>
        <v>0</v>
      </c>
      <c r="AL24" s="87">
        <f>IFERROR(s_C*s_IFCO_res_adj*s_CF_corn*0.001*(s_Irr!K24+s_Irr!AJ24+s_Irr!BI24),".")</f>
        <v>0</v>
      </c>
      <c r="AM24" s="87">
        <f>IFERROR(s_C*s_IFCU_res_adj*s_CF_cucumber*0.001*(s_Irr!L24+s_Irr!AK24+s_Irr!BJ24),".")</f>
        <v>0</v>
      </c>
      <c r="AN24" s="87">
        <f>IFERROR(s_C*s_IFLE_res_adj*s_CF_lettuce*0.001*(s_Irr!M24+s_Irr!AL24+s_Irr!BK24),".")</f>
        <v>0</v>
      </c>
      <c r="AO24" s="87">
        <f>IFERROR(s_C*s_IFLI_res_adj*s_CF_lima_bean*0.001*(s_Irr!N24+s_Irr!AM24+s_Irr!BL24),".")</f>
        <v>0</v>
      </c>
      <c r="AP24" s="87">
        <f>IFERROR(s_C*s_IFOK_res_adj*s_CF_okra*0.001*(s_Irr!O24+s_Irr!AN24+s_Irr!BM24),".")</f>
        <v>0</v>
      </c>
      <c r="AQ24" s="87">
        <f>IFERROR(s_C*s_IFON_res_adj*s_CF_onion*0.001*(s_Irr!P24+s_Irr!AO24+s_Irr!BN24),".")</f>
        <v>0</v>
      </c>
      <c r="AR24" s="87">
        <f>IFERROR(s_C*s_IFPC_res_adj*s_CF_peach*0.001*(s_Irr!Q24+s_Irr!AP24+s_Irr!BO24),".")</f>
        <v>0</v>
      </c>
      <c r="AS24" s="87">
        <f>IFERROR(s_C*s_IFPR_res_adj*s_CF_pear*0.001*(s_Irr!R24+s_Irr!AQ24+s_Irr!BP24),".")</f>
        <v>0</v>
      </c>
      <c r="AT24" s="87">
        <f>IFERROR(s_C*s_IFPE_res_adj*s_CF_peas*0.001*(s_Irr!S24+s_Irr!AR24+s_Irr!BQ24),".")</f>
        <v>0</v>
      </c>
      <c r="AU24" s="87">
        <f>IFERROR(s_C*s_IFPP_res_adj*s_CF_peppers*0.001*(s_Irr!T24+s_Irr!AS24+s_Irr!BR24),".")</f>
        <v>0</v>
      </c>
      <c r="AV24" s="87">
        <f>IFERROR(s_C*s_IFPT_res_adj*s_CF_potato*0.001*(s_Irr!U24+s_Irr!AT24+s_Irr!BS24),".")</f>
        <v>0</v>
      </c>
      <c r="AW24" s="87">
        <f>IFERROR(s_C*s_IFPU_res_adj*s_CF_pumpkin*0.001*(s_Irr!V24+s_Irr!AU24+s_Irr!BT24),".")</f>
        <v>0</v>
      </c>
      <c r="AX24" s="87">
        <f>IFERROR(s_C*s_IFSN_res_adj*s_CF_snap_bean*0.001*(s_Irr!W24+s_Irr!AV24+s_Irr!BU24),".")</f>
        <v>0</v>
      </c>
      <c r="AY24" s="87">
        <f>IFERROR(s_C*s_IFST_res_adj*s_CF_strawberry*0.001*(s_Irr!X24+s_Irr!AW24+s_Irr!BV24),".")</f>
        <v>0</v>
      </c>
      <c r="AZ24" s="87">
        <f>IFERROR(s_C*s_IFTO_res_adj*s_CF_tomato*0.001*(s_Irr!Y24+s_Irr!AX24+s_Irr!BW24),".")</f>
        <v>0</v>
      </c>
      <c r="BA24" s="87">
        <f>IFERROR(s_C*s_IFRI_res_adj*s_CF_rice*0.001*(s_Irr!Z24+s_Irr!AY24+s_Irr!BX24),".")</f>
        <v>0</v>
      </c>
      <c r="BB24" s="87">
        <f>IFERROR(s_C*s_IFCG_res_adj*s_CF_cereal*0.001*(s_Irr!AA24+s_Irr!AZ24+s_Irr!BY24),".")</f>
        <v>0</v>
      </c>
      <c r="BC24" s="70" t="str">
        <f t="shared" si="1"/>
        <v>.</v>
      </c>
      <c r="BD24" s="70" t="str">
        <f>IFERROR(IF(AND(s_Irr!C24&lt;&gt;".",s_Irr!AB24&lt;&gt;".",s_Irr!BA24&lt;&gt;"."),s_dir!AD24/((1/1000)*(s_Irr!C24+s_Irr!AB24+s_Irr!BA24)),IF(AND(s_Irr!C24&lt;&gt;".",s_Irr!AB24&lt;&gt;".",s_Irr!BA24="."),s_dir!AD24/((1/1000)*(s_Irr!C24+s_Irr!AB24)),IF(AND(s_Irr!C24&lt;&gt;".",s_Irr!AB24=".",s_Irr!BA24&lt;&gt;"."),s_dir!AD24/((1/1000)*(s_Irr!C24+s_Irr!BA24)),IF(AND(s_Irr!C24=".",s_Irr!AB24&lt;&gt;".",s_Irr!BA24&lt;&gt;"."),s_dir!AD24/((1/1000)*(s_Irr!AB24+s_Irr!BA24)),IF(AND(s_Irr!C24=".",s_Irr!AB24=".",s_Irr!BA24&lt;&gt;"."),s_dir!AD24/((1/1000)*(s_Irr!BA24)),IF(AND(s_Irr!C24=".",s_Irr!AB24&lt;&gt;".",s_Irr!BA24="."),s_dir!AD24/((1/1000)*(s_Irr!AB24)),IF(AND(s_Irr!C24&lt;&gt;".",s_Irr!AB24=".",s_Irr!BA24="."),s_dir!AD24/((1/1000)*(s_Irr!C24)),IF(AND(s_Irr!C24=".",s_Irr!AB24=".",s_Irr!BA24="."),s_dir!AD24*1000)))))))),".")</f>
        <v>.</v>
      </c>
      <c r="BE24" s="70" t="str">
        <f>IFERROR(IF(AND(s_Irr!D24&lt;&gt;".",s_Irr!AC24&lt;&gt;".",s_Irr!BB24&lt;&gt;"."),s_dir!AE24/((1/1000)*(s_Irr!D24+s_Irr!AC24+s_Irr!BB24)),IF(AND(s_Irr!D24&lt;&gt;".",s_Irr!AC24&lt;&gt;".",s_Irr!BB24="."),s_dir!AE24/((1/1000)*(s_Irr!D24+s_Irr!AC24)),IF(AND(s_Irr!D24&lt;&gt;".",s_Irr!AC24=".",s_Irr!BB24&lt;&gt;"."),s_dir!AE24/((1/1000)*(s_Irr!D24+s_Irr!BB24)),IF(AND(s_Irr!D24=".",s_Irr!AC24&lt;&gt;".",s_Irr!BB24&lt;&gt;"."),s_dir!AE24/((1/1000)*(s_Irr!AC24+s_Irr!BB24)),IF(AND(s_Irr!D24=".",s_Irr!AC24=".",s_Irr!BB24&lt;&gt;"."),s_dir!AE24/((1/1000)*(s_Irr!BB24)),IF(AND(s_Irr!D24=".",s_Irr!AC24&lt;&gt;".",s_Irr!BB24="."),s_dir!AE24/((1/1000)*(s_Irr!AC24)),IF(AND(s_Irr!D24&lt;&gt;".",s_Irr!AC24=".",s_Irr!BB24="."),s_dir!AE24/((1/1000)*(s_Irr!D24)),IF(AND(s_Irr!D24=".",s_Irr!AC24=".",s_Irr!BB24="."),s_dir!AE24*1000)))))))),".")</f>
        <v>.</v>
      </c>
      <c r="BF24" s="70" t="str">
        <f>IFERROR(IF(AND(s_Irr!E24&lt;&gt;".",s_Irr!AD24&lt;&gt;".",s_Irr!BC24&lt;&gt;"."),s_dir!AF24/((1/1000)*(s_Irr!E24+s_Irr!AD24+s_Irr!BC24)),IF(AND(s_Irr!E24&lt;&gt;".",s_Irr!AD24&lt;&gt;".",s_Irr!BC24="."),s_dir!AF24/((1/1000)*(s_Irr!E24+s_Irr!AD24)),IF(AND(s_Irr!E24&lt;&gt;".",s_Irr!AD24=".",s_Irr!BC24&lt;&gt;"."),s_dir!AF24/((1/1000)*(s_Irr!E24+s_Irr!BC24)),IF(AND(s_Irr!E24=".",s_Irr!AD24&lt;&gt;".",s_Irr!BC24&lt;&gt;"."),s_dir!AF24/((1/1000)*(s_Irr!AD24+s_Irr!BC24)),IF(AND(s_Irr!E24=".",s_Irr!AD24=".",s_Irr!BC24&lt;&gt;"."),s_dir!AF24/((1/1000)*(s_Irr!BC24)),IF(AND(s_Irr!E24=".",s_Irr!AD24&lt;&gt;".",s_Irr!BC24="."),s_dir!AF24/((1/1000)*(s_Irr!AD24)),IF(AND(s_Irr!E24&lt;&gt;".",s_Irr!AD24=".",s_Irr!BC24="."),s_dir!AF24/((1/1000)*(s_Irr!E24)),IF(AND(s_Irr!E24=".",s_Irr!AD24=".",s_Irr!BC24="."),s_dir!AF24*1000)))))))),".")</f>
        <v>.</v>
      </c>
      <c r="BG24" s="70" t="str">
        <f>IFERROR(IF(AND(s_Irr!F24&lt;&gt;".",s_Irr!AE24&lt;&gt;".",s_Irr!BD24&lt;&gt;"."),s_dir!AG24/((1/1000)*(s_Irr!F24+s_Irr!AE24+s_Irr!BD24)),IF(AND(s_Irr!F24&lt;&gt;".",s_Irr!AE24&lt;&gt;".",s_Irr!BD24="."),s_dir!AG24/((1/1000)*(s_Irr!F24+s_Irr!AE24)),IF(AND(s_Irr!F24&lt;&gt;".",s_Irr!AE24=".",s_Irr!BD24&lt;&gt;"."),s_dir!AG24/((1/1000)*(s_Irr!F24+s_Irr!BD24)),IF(AND(s_Irr!F24=".",s_Irr!AE24&lt;&gt;".",s_Irr!BD24&lt;&gt;"."),s_dir!AG24/((1/1000)*(s_Irr!AE24+s_Irr!BD24)),IF(AND(s_Irr!F24=".",s_Irr!AE24=".",s_Irr!BD24&lt;&gt;"."),s_dir!AG24/((1/1000)*(s_Irr!BD24)),IF(AND(s_Irr!F24=".",s_Irr!AE24&lt;&gt;".",s_Irr!BD24="."),s_dir!AG24/((1/1000)*(s_Irr!AE24)),IF(AND(s_Irr!F24&lt;&gt;".",s_Irr!AE24=".",s_Irr!BD24="."),s_dir!AG24/((1/1000)*(s_Irr!F24)),IF(AND(s_Irr!F24=".",s_Irr!AE24=".",s_Irr!BD24="."),s_dir!AG24*1000)))))))),".")</f>
        <v>.</v>
      </c>
      <c r="BH24" s="70" t="str">
        <f>IFERROR(IF(AND(s_Irr!G24&lt;&gt;".",s_Irr!AF24&lt;&gt;".",s_Irr!BE24&lt;&gt;"."),s_dir!AH24/((1/1000)*(s_Irr!G24+s_Irr!AF24+s_Irr!BE24)),IF(AND(s_Irr!G24&lt;&gt;".",s_Irr!AF24&lt;&gt;".",s_Irr!BE24="."),s_dir!AH24/((1/1000)*(s_Irr!G24+s_Irr!AF24)),IF(AND(s_Irr!G24&lt;&gt;".",s_Irr!AF24=".",s_Irr!BE24&lt;&gt;"."),s_dir!AH24/((1/1000)*(s_Irr!G24+s_Irr!BE24)),IF(AND(s_Irr!G24=".",s_Irr!AF24&lt;&gt;".",s_Irr!BE24&lt;&gt;"."),s_dir!AH24/((1/1000)*(s_Irr!AF24+s_Irr!BE24)),IF(AND(s_Irr!G24=".",s_Irr!AF24=".",s_Irr!BE24&lt;&gt;"."),s_dir!AH24/((1/1000)*(s_Irr!BE24)),IF(AND(s_Irr!G24=".",s_Irr!AF24&lt;&gt;".",s_Irr!BE24="."),s_dir!AH24/((1/1000)*(s_Irr!AF24)),IF(AND(s_Irr!G24&lt;&gt;".",s_Irr!AF24=".",s_Irr!BE24="."),s_dir!AH24/((1/1000)*(s_Irr!G24)),IF(AND(s_Irr!G24=".",s_Irr!AF24=".",s_Irr!BE24="."),s_dir!AH24*1000)))))))),".")</f>
        <v>.</v>
      </c>
      <c r="BI24" s="70" t="str">
        <f>IFERROR(IF(AND(s_Irr!H24&lt;&gt;".",s_Irr!AG24&lt;&gt;".",s_Irr!BF24&lt;&gt;"."),s_dir!AI24/((1/1000)*(s_Irr!H24+s_Irr!AG24+s_Irr!BF24)),IF(AND(s_Irr!H24&lt;&gt;".",s_Irr!AG24&lt;&gt;".",s_Irr!BF24="."),s_dir!AI24/((1/1000)*(s_Irr!H24+s_Irr!AG24)),IF(AND(s_Irr!H24&lt;&gt;".",s_Irr!AG24=".",s_Irr!BF24&lt;&gt;"."),s_dir!AI24/((1/1000)*(s_Irr!H24+s_Irr!BF24)),IF(AND(s_Irr!H24=".",s_Irr!AG24&lt;&gt;".",s_Irr!BF24&lt;&gt;"."),s_dir!AI24/((1/1000)*(s_Irr!AG24+s_Irr!BF24)),IF(AND(s_Irr!H24=".",s_Irr!AG24=".",s_Irr!BF24&lt;&gt;"."),s_dir!AI24/((1/1000)*(s_Irr!BF24)),IF(AND(s_Irr!H24=".",s_Irr!AG24&lt;&gt;".",s_Irr!BF24="."),s_dir!AI24/((1/1000)*(s_Irr!AG24)),IF(AND(s_Irr!H24&lt;&gt;".",s_Irr!AG24=".",s_Irr!BF24="."),s_dir!AI24/((1/1000)*(s_Irr!H24)),IF(AND(s_Irr!H24=".",s_Irr!AG24=".",s_Irr!BF24="."),s_dir!AI24*1000)))))))),".")</f>
        <v>.</v>
      </c>
      <c r="BJ24" s="70" t="str">
        <f>IFERROR(IF(AND(s_Irr!I24&lt;&gt;".",s_Irr!AH24&lt;&gt;".",s_Irr!BG24&lt;&gt;"."),s_dir!AJ24/((1/1000)*(s_Irr!I24+s_Irr!AH24+s_Irr!BG24)),IF(AND(s_Irr!I24&lt;&gt;".",s_Irr!AH24&lt;&gt;".",s_Irr!BG24="."),s_dir!AJ24/((1/1000)*(s_Irr!I24+s_Irr!AH24)),IF(AND(s_Irr!I24&lt;&gt;".",s_Irr!AH24=".",s_Irr!BG24&lt;&gt;"."),s_dir!AJ24/((1/1000)*(s_Irr!I24+s_Irr!BG24)),IF(AND(s_Irr!I24=".",s_Irr!AH24&lt;&gt;".",s_Irr!BG24&lt;&gt;"."),s_dir!AJ24/((1/1000)*(s_Irr!AH24+s_Irr!BG24)),IF(AND(s_Irr!I24=".",s_Irr!AH24=".",s_Irr!BG24&lt;&gt;"."),s_dir!AJ24/((1/1000)*(s_Irr!BG24)),IF(AND(s_Irr!I24=".",s_Irr!AH24&lt;&gt;".",s_Irr!BG24="."),s_dir!AJ24/((1/1000)*(s_Irr!AH24)),IF(AND(s_Irr!I24&lt;&gt;".",s_Irr!AH24=".",s_Irr!BG24="."),s_dir!AJ24/((1/1000)*(s_Irr!I24)),IF(AND(s_Irr!I24=".",s_Irr!AH24=".",s_Irr!BG24="."),s_dir!AJ24*1000)))))))),".")</f>
        <v>.</v>
      </c>
      <c r="BK24" s="70" t="str">
        <f>IFERROR(IF(AND(s_Irr!J24&lt;&gt;".",s_Irr!AI24&lt;&gt;".",s_Irr!BH24&lt;&gt;"."),s_dir!AK24/((1/1000)*(s_Irr!J24+s_Irr!AI24+s_Irr!BH24)),IF(AND(s_Irr!J24&lt;&gt;".",s_Irr!AI24&lt;&gt;".",s_Irr!BH24="."),s_dir!AK24/((1/1000)*(s_Irr!J24+s_Irr!AI24)),IF(AND(s_Irr!J24&lt;&gt;".",s_Irr!AI24=".",s_Irr!BH24&lt;&gt;"."),s_dir!AK24/((1/1000)*(s_Irr!J24+s_Irr!BH24)),IF(AND(s_Irr!J24=".",s_Irr!AI24&lt;&gt;".",s_Irr!BH24&lt;&gt;"."),s_dir!AK24/((1/1000)*(s_Irr!AI24+s_Irr!BH24)),IF(AND(s_Irr!J24=".",s_Irr!AI24=".",s_Irr!BH24&lt;&gt;"."),s_dir!AK24/((1/1000)*(s_Irr!BH24)),IF(AND(s_Irr!J24=".",s_Irr!AI24&lt;&gt;".",s_Irr!BH24="."),s_dir!AK24/((1/1000)*(s_Irr!AI24)),IF(AND(s_Irr!J24&lt;&gt;".",s_Irr!AI24=".",s_Irr!BH24="."),s_dir!AK24/((1/1000)*(s_Irr!J24)),IF(AND(s_Irr!J24=".",s_Irr!AI24=".",s_Irr!BH24="."),s_dir!AK24*1000)))))))),".")</f>
        <v>.</v>
      </c>
      <c r="BL24" s="70" t="str">
        <f>IFERROR(IF(AND(s_Irr!K24&lt;&gt;".",s_Irr!AJ24&lt;&gt;".",s_Irr!BI24&lt;&gt;"."),s_dir!AL24/((1/1000)*(s_Irr!K24+s_Irr!AJ24+s_Irr!BI24)),IF(AND(s_Irr!K24&lt;&gt;".",s_Irr!AJ24&lt;&gt;".",s_Irr!BI24="."),s_dir!AL24/((1/1000)*(s_Irr!K24+s_Irr!AJ24)),IF(AND(s_Irr!K24&lt;&gt;".",s_Irr!AJ24=".",s_Irr!BI24&lt;&gt;"."),s_dir!AL24/((1/1000)*(s_Irr!K24+s_Irr!BI24)),IF(AND(s_Irr!K24=".",s_Irr!AJ24&lt;&gt;".",s_Irr!BI24&lt;&gt;"."),s_dir!AL24/((1/1000)*(s_Irr!AJ24+s_Irr!BI24)),IF(AND(s_Irr!K24=".",s_Irr!AJ24=".",s_Irr!BI24&lt;&gt;"."),s_dir!AL24/((1/1000)*(s_Irr!BI24)),IF(AND(s_Irr!K24=".",s_Irr!AJ24&lt;&gt;".",s_Irr!BI24="."),s_dir!AL24/((1/1000)*(s_Irr!AJ24)),IF(AND(s_Irr!K24&lt;&gt;".",s_Irr!AJ24=".",s_Irr!BI24="."),s_dir!AL24/((1/1000)*(s_Irr!K24)),IF(AND(s_Irr!K24=".",s_Irr!AJ24=".",s_Irr!BI24="."),s_dir!AL24*1000)))))))),".")</f>
        <v>.</v>
      </c>
      <c r="BM24" s="70" t="str">
        <f>IFERROR(IF(AND(s_Irr!L24&lt;&gt;".",s_Irr!AK24&lt;&gt;".",s_Irr!BJ24&lt;&gt;"."),s_dir!AM24/((1/1000)*(s_Irr!L24+s_Irr!AK24+s_Irr!BJ24)),IF(AND(s_Irr!L24&lt;&gt;".",s_Irr!AK24&lt;&gt;".",s_Irr!BJ24="."),s_dir!AM24/((1/1000)*(s_Irr!L24+s_Irr!AK24)),IF(AND(s_Irr!L24&lt;&gt;".",s_Irr!AK24=".",s_Irr!BJ24&lt;&gt;"."),s_dir!AM24/((1/1000)*(s_Irr!L24+s_Irr!BJ24)),IF(AND(s_Irr!L24=".",s_Irr!AK24&lt;&gt;".",s_Irr!BJ24&lt;&gt;"."),s_dir!AM24/((1/1000)*(s_Irr!AK24+s_Irr!BJ24)),IF(AND(s_Irr!L24=".",s_Irr!AK24=".",s_Irr!BJ24&lt;&gt;"."),s_dir!AM24/((1/1000)*(s_Irr!BJ24)),IF(AND(s_Irr!L24=".",s_Irr!AK24&lt;&gt;".",s_Irr!BJ24="."),s_dir!AM24/((1/1000)*(s_Irr!AK24)),IF(AND(s_Irr!L24&lt;&gt;".",s_Irr!AK24=".",s_Irr!BJ24="."),s_dir!AM24/((1/1000)*(s_Irr!L24)),IF(AND(s_Irr!L24=".",s_Irr!AK24=".",s_Irr!BJ24="."),s_dir!AM24*1000)))))))),".")</f>
        <v>.</v>
      </c>
      <c r="BN24" s="70" t="str">
        <f>IFERROR(IF(AND(s_Irr!M24&lt;&gt;".",s_Irr!AL24&lt;&gt;".",s_Irr!BK24&lt;&gt;"."),s_dir!AN24/((1/1000)*(s_Irr!M24+s_Irr!AL24+s_Irr!BK24)),IF(AND(s_Irr!M24&lt;&gt;".",s_Irr!AL24&lt;&gt;".",s_Irr!BK24="."),s_dir!AN24/((1/1000)*(s_Irr!M24+s_Irr!AL24)),IF(AND(s_Irr!M24&lt;&gt;".",s_Irr!AL24=".",s_Irr!BK24&lt;&gt;"."),s_dir!AN24/((1/1000)*(s_Irr!M24+s_Irr!BK24)),IF(AND(s_Irr!M24=".",s_Irr!AL24&lt;&gt;".",s_Irr!BK24&lt;&gt;"."),s_dir!AN24/((1/1000)*(s_Irr!AL24+s_Irr!BK24)),IF(AND(s_Irr!M24=".",s_Irr!AL24=".",s_Irr!BK24&lt;&gt;"."),s_dir!AN24/((1/1000)*(s_Irr!BK24)),IF(AND(s_Irr!M24=".",s_Irr!AL24&lt;&gt;".",s_Irr!BK24="."),s_dir!AN24/((1/1000)*(s_Irr!AL24)),IF(AND(s_Irr!M24&lt;&gt;".",s_Irr!AL24=".",s_Irr!BK24="."),s_dir!AN24/((1/1000)*(s_Irr!M24)),IF(AND(s_Irr!M24=".",s_Irr!AL24=".",s_Irr!BK24="."),s_dir!AN24*1000)))))))),".")</f>
        <v>.</v>
      </c>
      <c r="BO24" s="70" t="str">
        <f>IFERROR(IF(AND(s_Irr!N24&lt;&gt;".",s_Irr!AM24&lt;&gt;".",s_Irr!BL24&lt;&gt;"."),s_dir!AO24/((1/1000)*(s_Irr!N24+s_Irr!AM24+s_Irr!BL24)),IF(AND(s_Irr!N24&lt;&gt;".",s_Irr!AM24&lt;&gt;".",s_Irr!BL24="."),s_dir!AO24/((1/1000)*(s_Irr!N24+s_Irr!AM24)),IF(AND(s_Irr!N24&lt;&gt;".",s_Irr!AM24=".",s_Irr!BL24&lt;&gt;"."),s_dir!AO24/((1/1000)*(s_Irr!N24+s_Irr!BL24)),IF(AND(s_Irr!N24=".",s_Irr!AM24&lt;&gt;".",s_Irr!BL24&lt;&gt;"."),s_dir!AO24/((1/1000)*(s_Irr!AM24+s_Irr!BL24)),IF(AND(s_Irr!N24=".",s_Irr!AM24=".",s_Irr!BL24&lt;&gt;"."),s_dir!AO24/((1/1000)*(s_Irr!BL24)),IF(AND(s_Irr!N24=".",s_Irr!AM24&lt;&gt;".",s_Irr!BL24="."),s_dir!AO24/((1/1000)*(s_Irr!AM24)),IF(AND(s_Irr!N24&lt;&gt;".",s_Irr!AM24=".",s_Irr!BL24="."),s_dir!AO24/((1/1000)*(s_Irr!N24)),IF(AND(s_Irr!N24=".",s_Irr!AM24=".",s_Irr!BL24="."),s_dir!AO24*1000)))))))),".")</f>
        <v>.</v>
      </c>
      <c r="BP24" s="70" t="str">
        <f>IFERROR(IF(AND(s_Irr!O24&lt;&gt;".",s_Irr!AN24&lt;&gt;".",s_Irr!BM24&lt;&gt;"."),s_dir!AP24/((1/1000)*(s_Irr!O24+s_Irr!AN24+s_Irr!BM24)),IF(AND(s_Irr!O24&lt;&gt;".",s_Irr!AN24&lt;&gt;".",s_Irr!BM24="."),s_dir!AP24/((1/1000)*(s_Irr!O24+s_Irr!AN24)),IF(AND(s_Irr!O24&lt;&gt;".",s_Irr!AN24=".",s_Irr!BM24&lt;&gt;"."),s_dir!AP24/((1/1000)*(s_Irr!O24+s_Irr!BM24)),IF(AND(s_Irr!O24=".",s_Irr!AN24&lt;&gt;".",s_Irr!BM24&lt;&gt;"."),s_dir!AP24/((1/1000)*(s_Irr!AN24+s_Irr!BM24)),IF(AND(s_Irr!O24=".",s_Irr!AN24=".",s_Irr!BM24&lt;&gt;"."),s_dir!AP24/((1/1000)*(s_Irr!BM24)),IF(AND(s_Irr!O24=".",s_Irr!AN24&lt;&gt;".",s_Irr!BM24="."),s_dir!AP24/((1/1000)*(s_Irr!AN24)),IF(AND(s_Irr!O24&lt;&gt;".",s_Irr!AN24=".",s_Irr!BM24="."),s_dir!AP24/((1/1000)*(s_Irr!O24)),IF(AND(s_Irr!O24=".",s_Irr!AN24=".",s_Irr!BM24="."),s_dir!AP24*1000)))))))),".")</f>
        <v>.</v>
      </c>
      <c r="BQ24" s="70" t="str">
        <f>IFERROR(IF(AND(s_Irr!P24&lt;&gt;".",s_Irr!AO24&lt;&gt;".",s_Irr!BN24&lt;&gt;"."),s_dir!AQ24/((1/1000)*(s_Irr!P24+s_Irr!AO24+s_Irr!BN24)),IF(AND(s_Irr!P24&lt;&gt;".",s_Irr!AO24&lt;&gt;".",s_Irr!BN24="."),s_dir!AQ24/((1/1000)*(s_Irr!P24+s_Irr!AO24)),IF(AND(s_Irr!P24&lt;&gt;".",s_Irr!AO24=".",s_Irr!BN24&lt;&gt;"."),s_dir!AQ24/((1/1000)*(s_Irr!P24+s_Irr!BN24)),IF(AND(s_Irr!P24=".",s_Irr!AO24&lt;&gt;".",s_Irr!BN24&lt;&gt;"."),s_dir!AQ24/((1/1000)*(s_Irr!AO24+s_Irr!BN24)),IF(AND(s_Irr!P24=".",s_Irr!AO24=".",s_Irr!BN24&lt;&gt;"."),s_dir!AQ24/((1/1000)*(s_Irr!BN24)),IF(AND(s_Irr!P24=".",s_Irr!AO24&lt;&gt;".",s_Irr!BN24="."),s_dir!AQ24/((1/1000)*(s_Irr!AO24)),IF(AND(s_Irr!P24&lt;&gt;".",s_Irr!AO24=".",s_Irr!BN24="."),s_dir!AQ24/((1/1000)*(s_Irr!P24)),IF(AND(s_Irr!P24=".",s_Irr!AO24=".",s_Irr!BN24="."),s_dir!AQ24*1000)))))))),".")</f>
        <v>.</v>
      </c>
      <c r="BR24" s="70" t="str">
        <f>IFERROR(IF(AND(s_Irr!Q24&lt;&gt;".",s_Irr!AP24&lt;&gt;".",s_Irr!BO24&lt;&gt;"."),s_dir!AR24/((1/1000)*(s_Irr!Q24+s_Irr!AP24+s_Irr!BO24)),IF(AND(s_Irr!Q24&lt;&gt;".",s_Irr!AP24&lt;&gt;".",s_Irr!BO24="."),s_dir!AR24/((1/1000)*(s_Irr!Q24+s_Irr!AP24)),IF(AND(s_Irr!Q24&lt;&gt;".",s_Irr!AP24=".",s_Irr!BO24&lt;&gt;"."),s_dir!AR24/((1/1000)*(s_Irr!Q24+s_Irr!BO24)),IF(AND(s_Irr!Q24=".",s_Irr!AP24&lt;&gt;".",s_Irr!BO24&lt;&gt;"."),s_dir!AR24/((1/1000)*(s_Irr!AP24+s_Irr!BO24)),IF(AND(s_Irr!Q24=".",s_Irr!AP24=".",s_Irr!BO24&lt;&gt;"."),s_dir!AR24/((1/1000)*(s_Irr!BO24)),IF(AND(s_Irr!Q24=".",s_Irr!AP24&lt;&gt;".",s_Irr!BO24="."),s_dir!AR24/((1/1000)*(s_Irr!AP24)),IF(AND(s_Irr!Q24&lt;&gt;".",s_Irr!AP24=".",s_Irr!BO24="."),s_dir!AR24/((1/1000)*(s_Irr!Q24)),IF(AND(s_Irr!Q24=".",s_Irr!AP24=".",s_Irr!BO24="."),s_dir!AR24*1000)))))))),".")</f>
        <v>.</v>
      </c>
      <c r="BS24" s="70" t="str">
        <f>IFERROR(IF(AND(s_Irr!R24&lt;&gt;".",s_Irr!AQ24&lt;&gt;".",s_Irr!BP24&lt;&gt;"."),s_dir!AS24/((1/1000)*(s_Irr!R24+s_Irr!AQ24+s_Irr!BP24)),IF(AND(s_Irr!R24&lt;&gt;".",s_Irr!AQ24&lt;&gt;".",s_Irr!BP24="."),s_dir!AS24/((1/1000)*(s_Irr!R24+s_Irr!AQ24)),IF(AND(s_Irr!R24&lt;&gt;".",s_Irr!AQ24=".",s_Irr!BP24&lt;&gt;"."),s_dir!AS24/((1/1000)*(s_Irr!R24+s_Irr!BP24)),IF(AND(s_Irr!R24=".",s_Irr!AQ24&lt;&gt;".",s_Irr!BP24&lt;&gt;"."),s_dir!AS24/((1/1000)*(s_Irr!AQ24+s_Irr!BP24)),IF(AND(s_Irr!R24=".",s_Irr!AQ24=".",s_Irr!BP24&lt;&gt;"."),s_dir!AS24/((1/1000)*(s_Irr!BP24)),IF(AND(s_Irr!R24=".",s_Irr!AQ24&lt;&gt;".",s_Irr!BP24="."),s_dir!AS24/((1/1000)*(s_Irr!AQ24)),IF(AND(s_Irr!R24&lt;&gt;".",s_Irr!AQ24=".",s_Irr!BP24="."),s_dir!AS24/((1/1000)*(s_Irr!R24)),IF(AND(s_Irr!R24=".",s_Irr!AQ24=".",s_Irr!BP24="."),s_dir!AS24*1000)))))))),".")</f>
        <v>.</v>
      </c>
      <c r="BT24" s="70" t="str">
        <f>IFERROR(IF(AND(s_Irr!S24&lt;&gt;".",s_Irr!AR24&lt;&gt;".",s_Irr!BQ24&lt;&gt;"."),s_dir!AT24/((1/1000)*(s_Irr!S24+s_Irr!AR24+s_Irr!BQ24)),IF(AND(s_Irr!S24&lt;&gt;".",s_Irr!AR24&lt;&gt;".",s_Irr!BQ24="."),s_dir!AT24/((1/1000)*(s_Irr!S24+s_Irr!AR24)),IF(AND(s_Irr!S24&lt;&gt;".",s_Irr!AR24=".",s_Irr!BQ24&lt;&gt;"."),s_dir!AT24/((1/1000)*(s_Irr!S24+s_Irr!BQ24)),IF(AND(s_Irr!S24=".",s_Irr!AR24&lt;&gt;".",s_Irr!BQ24&lt;&gt;"."),s_dir!AT24/((1/1000)*(s_Irr!AR24+s_Irr!BQ24)),IF(AND(s_Irr!S24=".",s_Irr!AR24=".",s_Irr!BQ24&lt;&gt;"."),s_dir!AT24/((1/1000)*(s_Irr!BQ24)),IF(AND(s_Irr!S24=".",s_Irr!AR24&lt;&gt;".",s_Irr!BQ24="."),s_dir!AT24/((1/1000)*(s_Irr!AR24)),IF(AND(s_Irr!S24&lt;&gt;".",s_Irr!AR24=".",s_Irr!BQ24="."),s_dir!AT24/((1/1000)*(s_Irr!S24)),IF(AND(s_Irr!S24=".",s_Irr!AR24=".",s_Irr!BQ24="."),s_dir!AT24*1000)))))))),".")</f>
        <v>.</v>
      </c>
      <c r="BU24" s="70" t="str">
        <f>IFERROR(IF(AND(s_Irr!T24&lt;&gt;".",s_Irr!AS24&lt;&gt;".",s_Irr!BR24&lt;&gt;"."),s_dir!AU24/((1/1000)*(s_Irr!T24+s_Irr!AS24+s_Irr!BR24)),IF(AND(s_Irr!T24&lt;&gt;".",s_Irr!AS24&lt;&gt;".",s_Irr!BR24="."),s_dir!AU24/((1/1000)*(s_Irr!T24+s_Irr!AS24)),IF(AND(s_Irr!T24&lt;&gt;".",s_Irr!AS24=".",s_Irr!BR24&lt;&gt;"."),s_dir!AU24/((1/1000)*(s_Irr!T24+s_Irr!BR24)),IF(AND(s_Irr!T24=".",s_Irr!AS24&lt;&gt;".",s_Irr!BR24&lt;&gt;"."),s_dir!AU24/((1/1000)*(s_Irr!AS24+s_Irr!BR24)),IF(AND(s_Irr!T24=".",s_Irr!AS24=".",s_Irr!BR24&lt;&gt;"."),s_dir!AU24/((1/1000)*(s_Irr!BR24)),IF(AND(s_Irr!T24=".",s_Irr!AS24&lt;&gt;".",s_Irr!BR24="."),s_dir!AU24/((1/1000)*(s_Irr!AS24)),IF(AND(s_Irr!T24&lt;&gt;".",s_Irr!AS24=".",s_Irr!BR24="."),s_dir!AU24/((1/1000)*(s_Irr!T24)),IF(AND(s_Irr!T24=".",s_Irr!AS24=".",s_Irr!BR24="."),s_dir!AU24*1000)))))))),".")</f>
        <v>.</v>
      </c>
      <c r="BV24" s="70" t="str">
        <f>IFERROR(IF(AND(s_Irr!U24&lt;&gt;".",s_Irr!AT24&lt;&gt;".",s_Irr!BS24&lt;&gt;"."),s_dir!AV24/((1/1000)*(s_Irr!U24+s_Irr!AT24+s_Irr!BS24)),IF(AND(s_Irr!U24&lt;&gt;".",s_Irr!AT24&lt;&gt;".",s_Irr!BS24="."),s_dir!AV24/((1/1000)*(s_Irr!U24+s_Irr!AT24)),IF(AND(s_Irr!U24&lt;&gt;".",s_Irr!AT24=".",s_Irr!BS24&lt;&gt;"."),s_dir!AV24/((1/1000)*(s_Irr!U24+s_Irr!BS24)),IF(AND(s_Irr!U24=".",s_Irr!AT24&lt;&gt;".",s_Irr!BS24&lt;&gt;"."),s_dir!AV24/((1/1000)*(s_Irr!AT24+s_Irr!BS24)),IF(AND(s_Irr!U24=".",s_Irr!AT24=".",s_Irr!BS24&lt;&gt;"."),s_dir!AV24/((1/1000)*(s_Irr!BS24)),IF(AND(s_Irr!U24=".",s_Irr!AT24&lt;&gt;".",s_Irr!BS24="."),s_dir!AV24/((1/1000)*(s_Irr!AT24)),IF(AND(s_Irr!U24&lt;&gt;".",s_Irr!AT24=".",s_Irr!BS24="."),s_dir!AV24/((1/1000)*(s_Irr!U24)),IF(AND(s_Irr!U24=".",s_Irr!AT24=".",s_Irr!BS24="."),s_dir!AV24*1000)))))))),".")</f>
        <v>.</v>
      </c>
      <c r="BW24" s="70" t="str">
        <f>IFERROR(IF(AND(s_Irr!V24&lt;&gt;".",s_Irr!AU24&lt;&gt;".",s_Irr!BT24&lt;&gt;"."),s_dir!AW24/((1/1000)*(s_Irr!V24+s_Irr!AU24+s_Irr!BT24)),IF(AND(s_Irr!V24&lt;&gt;".",s_Irr!AU24&lt;&gt;".",s_Irr!BT24="."),s_dir!AW24/((1/1000)*(s_Irr!V24+s_Irr!AU24)),IF(AND(s_Irr!V24&lt;&gt;".",s_Irr!AU24=".",s_Irr!BT24&lt;&gt;"."),s_dir!AW24/((1/1000)*(s_Irr!V24+s_Irr!BT24)),IF(AND(s_Irr!V24=".",s_Irr!AU24&lt;&gt;".",s_Irr!BT24&lt;&gt;"."),s_dir!AW24/((1/1000)*(s_Irr!AU24+s_Irr!BT24)),IF(AND(s_Irr!V24=".",s_Irr!AU24=".",s_Irr!BT24&lt;&gt;"."),s_dir!AW24/((1/1000)*(s_Irr!BT24)),IF(AND(s_Irr!V24=".",s_Irr!AU24&lt;&gt;".",s_Irr!BT24="."),s_dir!AW24/((1/1000)*(s_Irr!AU24)),IF(AND(s_Irr!V24&lt;&gt;".",s_Irr!AU24=".",s_Irr!BT24="."),s_dir!AW24/((1/1000)*(s_Irr!V24)),IF(AND(s_Irr!V24=".",s_Irr!AU24=".",s_Irr!BT24="."),s_dir!AW24*1000)))))))),".")</f>
        <v>.</v>
      </c>
      <c r="BX24" s="70" t="str">
        <f>IFERROR(IF(AND(s_Irr!W24&lt;&gt;".",s_Irr!AV24&lt;&gt;".",s_Irr!BU24&lt;&gt;"."),s_dir!AX24/((1/1000)*(s_Irr!W24+s_Irr!AV24+s_Irr!BU24)),IF(AND(s_Irr!W24&lt;&gt;".",s_Irr!AV24&lt;&gt;".",s_Irr!BU24="."),s_dir!AX24/((1/1000)*(s_Irr!W24+s_Irr!AV24)),IF(AND(s_Irr!W24&lt;&gt;".",s_Irr!AV24=".",s_Irr!BU24&lt;&gt;"."),s_dir!AX24/((1/1000)*(s_Irr!W24+s_Irr!BU24)),IF(AND(s_Irr!W24=".",s_Irr!AV24&lt;&gt;".",s_Irr!BU24&lt;&gt;"."),s_dir!AX24/((1/1000)*(s_Irr!AV24+s_Irr!BU24)),IF(AND(s_Irr!W24=".",s_Irr!AV24=".",s_Irr!BU24&lt;&gt;"."),s_dir!AX24/((1/1000)*(s_Irr!BU24)),IF(AND(s_Irr!W24=".",s_Irr!AV24&lt;&gt;".",s_Irr!BU24="."),s_dir!AX24/((1/1000)*(s_Irr!AV24)),IF(AND(s_Irr!W24&lt;&gt;".",s_Irr!AV24=".",s_Irr!BU24="."),s_dir!AX24/((1/1000)*(s_Irr!W24)),IF(AND(s_Irr!W24=".",s_Irr!AV24=".",s_Irr!BU24="."),s_dir!AX24*1000)))))))),".")</f>
        <v>.</v>
      </c>
      <c r="BY24" s="70" t="str">
        <f>IFERROR(IF(AND(s_Irr!X24&lt;&gt;".",s_Irr!AW24&lt;&gt;".",s_Irr!BV24&lt;&gt;"."),s_dir!AY24/((1/1000)*(s_Irr!X24+s_Irr!AW24+s_Irr!BV24)),IF(AND(s_Irr!X24&lt;&gt;".",s_Irr!AW24&lt;&gt;".",s_Irr!BV24="."),s_dir!AY24/((1/1000)*(s_Irr!X24+s_Irr!AW24)),IF(AND(s_Irr!X24&lt;&gt;".",s_Irr!AW24=".",s_Irr!BV24&lt;&gt;"."),s_dir!AY24/((1/1000)*(s_Irr!X24+s_Irr!BV24)),IF(AND(s_Irr!X24=".",s_Irr!AW24&lt;&gt;".",s_Irr!BV24&lt;&gt;"."),s_dir!AY24/((1/1000)*(s_Irr!AW24+s_Irr!BV24)),IF(AND(s_Irr!X24=".",s_Irr!AW24=".",s_Irr!BV24&lt;&gt;"."),s_dir!AY24/((1/1000)*(s_Irr!BV24)),IF(AND(s_Irr!X24=".",s_Irr!AW24&lt;&gt;".",s_Irr!BV24="."),s_dir!AY24/((1/1000)*(s_Irr!AW24)),IF(AND(s_Irr!X24&lt;&gt;".",s_Irr!AW24=".",s_Irr!BV24="."),s_dir!AY24/((1/1000)*(s_Irr!X24)),IF(AND(s_Irr!X24=".",s_Irr!AW24=".",s_Irr!BV24="."),s_dir!AY24*1000)))))))),".")</f>
        <v>.</v>
      </c>
      <c r="BZ24" s="70" t="str">
        <f>IFERROR(IF(AND(s_Irr!Y24&lt;&gt;".",s_Irr!AX24&lt;&gt;".",s_Irr!BW24&lt;&gt;"."),s_dir!AZ24/((1/1000)*(s_Irr!Y24+s_Irr!AX24+s_Irr!BW24)),IF(AND(s_Irr!Y24&lt;&gt;".",s_Irr!AX24&lt;&gt;".",s_Irr!BW24="."),s_dir!AZ24/((1/1000)*(s_Irr!Y24+s_Irr!AX24)),IF(AND(s_Irr!Y24&lt;&gt;".",s_Irr!AX24=".",s_Irr!BW24&lt;&gt;"."),s_dir!AZ24/((1/1000)*(s_Irr!Y24+s_Irr!BW24)),IF(AND(s_Irr!Y24=".",s_Irr!AX24&lt;&gt;".",s_Irr!BW24&lt;&gt;"."),s_dir!AZ24/((1/1000)*(s_Irr!AX24+s_Irr!BW24)),IF(AND(s_Irr!Y24=".",s_Irr!AX24=".",s_Irr!BW24&lt;&gt;"."),s_dir!AZ24/((1/1000)*(s_Irr!BW24)),IF(AND(s_Irr!Y24=".",s_Irr!AX24&lt;&gt;".",s_Irr!BW24="."),s_dir!AZ24/((1/1000)*(s_Irr!AX24)),IF(AND(s_Irr!Y24&lt;&gt;".",s_Irr!AX24=".",s_Irr!BW24="."),s_dir!AZ24/((1/1000)*(s_Irr!Y24)),IF(AND(s_Irr!Y24=".",s_Irr!AX24=".",s_Irr!BW24="."),s_dir!AZ24*1000)))))))),".")</f>
        <v>.</v>
      </c>
      <c r="CA24" s="70" t="str">
        <f>IFERROR(IF(AND(s_Irr!Z24&lt;&gt;".",s_Irr!AY24&lt;&gt;".",s_Irr!BX24&lt;&gt;"."),s_dir!BA24/((1/1000)*(s_Irr!Z24+s_Irr!AY24+s_Irr!BX24)),IF(AND(s_Irr!Z24&lt;&gt;".",s_Irr!AY24&lt;&gt;".",s_Irr!BX24="."),s_dir!BA24/((1/1000)*(s_Irr!Z24+s_Irr!AY24)),IF(AND(s_Irr!Z24&lt;&gt;".",s_Irr!AY24=".",s_Irr!BX24&lt;&gt;"."),s_dir!BA24/((1/1000)*(s_Irr!Z24+s_Irr!BX24)),IF(AND(s_Irr!Z24=".",s_Irr!AY24&lt;&gt;".",s_Irr!BX24&lt;&gt;"."),s_dir!BA24/((1/1000)*(s_Irr!AY24+s_Irr!BX24)),IF(AND(s_Irr!Z24=".",s_Irr!AY24=".",s_Irr!BX24&lt;&gt;"."),s_dir!BA24/((1/1000)*(s_Irr!BX24)),IF(AND(s_Irr!Z24=".",s_Irr!AY24&lt;&gt;".",s_Irr!BX24="."),s_dir!BA24/((1/1000)*(s_Irr!AY24)),IF(AND(s_Irr!Z24&lt;&gt;".",s_Irr!AY24=".",s_Irr!BX24="."),s_dir!BA24/((1/1000)*(s_Irr!Z24)),IF(AND(s_Irr!Z24=".",s_Irr!AY24=".",s_Irr!BX24="."),s_dir!BA24*1000)))))))),".")</f>
        <v>.</v>
      </c>
      <c r="CB24" s="70" t="str">
        <f>IFERROR(IF(AND(s_Irr!AA24&lt;&gt;".",s_Irr!AZ24&lt;&gt;".",s_Irr!BY24&lt;&gt;"."),s_dir!BB24/((1/1000)*(s_Irr!AA24+s_Irr!AZ24+s_Irr!BY24)),IF(AND(s_Irr!AA24&lt;&gt;".",s_Irr!AZ24&lt;&gt;".",s_Irr!BY24="."),s_dir!BB24/((1/1000)*(s_Irr!AA24+s_Irr!AZ24)),IF(AND(s_Irr!AA24&lt;&gt;".",s_Irr!AZ24=".",s_Irr!BY24&lt;&gt;"."),s_dir!BB24/((1/1000)*(s_Irr!AA24+s_Irr!BY24)),IF(AND(s_Irr!AA24=".",s_Irr!AZ24&lt;&gt;".",s_Irr!BY24&lt;&gt;"."),s_dir!BB24/((1/1000)*(s_Irr!AZ24+s_Irr!BY24)),IF(AND(s_Irr!AA24=".",s_Irr!AZ24=".",s_Irr!BY24&lt;&gt;"."),s_dir!BB24/((1/1000)*(s_Irr!BY24)),IF(AND(s_Irr!AA24=".",s_Irr!AZ24&lt;&gt;".",s_Irr!BY24="."),s_dir!BB24/((1/1000)*(s_Irr!AZ24)),IF(AND(s_Irr!AA24&lt;&gt;".",s_Irr!AZ24=".",s_Irr!BY24="."),s_dir!BB24/((1/1000)*(s_Irr!AA24)),IF(AND(s_Irr!AA24=".",s_Irr!AZ24=".",s_Irr!BY24="."),s_dir!BB24*1000)))))))),".")</f>
        <v>.</v>
      </c>
      <c r="CC24" s="87">
        <f t="shared" si="2"/>
        <v>0</v>
      </c>
      <c r="CD24" s="87">
        <f>IFERROR(s_C*s_IFAP_far_adj*s_CF_apple*(1/1000)*(s_Irr!C24+s_Irr!AB24+s_Irr!BA24),".")</f>
        <v>0</v>
      </c>
      <c r="CE24" s="87">
        <f>IFERROR(s_C*s_IFAS_far_adj*s_CF_asparagus*(1/1000)*(s_Irr!D24+s_Irr!AC24+s_Irr!BB24),".")</f>
        <v>0</v>
      </c>
      <c r="CF24" s="87">
        <f>IFERROR(s_C*s_IFBT_far_adj*s_CF_beet*(1/1000)*(s_Irr!E24+s_Irr!AD24+s_Irr!BC24),".")</f>
        <v>0</v>
      </c>
      <c r="CG24" s="87">
        <f>IFERROR(s_C*s_IFBE_far_adj*s_CF_berries*(1/1000)*(s_Irr!F24+s_Irr!AE24+s_Irr!BD24),".")</f>
        <v>0</v>
      </c>
      <c r="CH24" s="87">
        <f>IFERROR(s_C*s_IFBR_far_adj*s_CF_broccoli*(1/1000)*(s_Irr!G24+s_Irr!AF24+s_Irr!BE24),".")</f>
        <v>0</v>
      </c>
      <c r="CI24" s="87">
        <f>IFERROR(s_C*s_IFCB_far_adj*s_CF_cabbage*(1/1000)*(s_Irr!H24+s_Irr!AG24+s_Irr!BF24),".")</f>
        <v>0</v>
      </c>
      <c r="CJ24" s="87">
        <f>IFERROR(s_C*s_IFCR_far_adj*s_CF_carrot*(1/1000)*(s_Irr!I24+s_Irr!AH24+s_Irr!BG24),".")</f>
        <v>0</v>
      </c>
      <c r="CK24" s="87">
        <f>IFERROR(s_C*s_IFCI_far_adj*s_CF_citrus*(1/1000)*(s_Irr!J24+s_Irr!AI24+s_Irr!BH24),".")</f>
        <v>0</v>
      </c>
      <c r="CL24" s="87">
        <f>IFERROR(s_C*s_IFCO_far_adj*s_CF_corn*(1/1000)*(s_Irr!K24+s_Irr!AJ24+s_Irr!BI24),".")</f>
        <v>0</v>
      </c>
      <c r="CM24" s="87">
        <f>IFERROR(s_C*s_IFCU_far_adj*s_CF_cucumber*(1/1000)*(s_Irr!L24+s_Irr!AK24+s_Irr!BJ24),".")</f>
        <v>0</v>
      </c>
      <c r="CN24" s="87">
        <f>IFERROR(s_C*s_IFLE_far_adj*s_CF_lettuce*(1/1000)*(s_Irr!M24+s_Irr!AL24+s_Irr!BK24),".")</f>
        <v>0</v>
      </c>
      <c r="CO24" s="87">
        <f>IFERROR(s_C*s_IFLI_far_adj*s_CF_lima_bean*(1/1000)*(s_Irr!N24+s_Irr!AM24+s_Irr!BL24),".")</f>
        <v>0</v>
      </c>
      <c r="CP24" s="87">
        <f>IFERROR(s_C*s_IFOK_far_adj*s_CF_okra*(1/1000)*(s_Irr!O24+s_Irr!AN24+s_Irr!BM24),".")</f>
        <v>0</v>
      </c>
      <c r="CQ24" s="87">
        <f>IFERROR(s_C*s_IFON_far_adj*s_CF_onion*(1/1000)*(s_Irr!P24+s_Irr!AO24+s_Irr!BN24),".")</f>
        <v>0</v>
      </c>
      <c r="CR24" s="87">
        <f>IFERROR(s_C*s_IFPC_far_adj*s_CF_peach*(1/1000)*(s_Irr!Q24+s_Irr!AP24+s_Irr!BO24),".")</f>
        <v>0</v>
      </c>
      <c r="CS24" s="87">
        <f>IFERROR(s_C*s_IFPR_far_adj*s_CF_pear*(1/1000)*(s_Irr!R24+s_Irr!AQ24+s_Irr!BP24),".")</f>
        <v>0</v>
      </c>
      <c r="CT24" s="87">
        <f>IFERROR(s_C*s_IFPE_far_adj*s_CF_peas*(1/1000)*(s_Irr!S24+s_Irr!AR24+s_Irr!BQ24),".")</f>
        <v>0</v>
      </c>
      <c r="CU24" s="87">
        <f>IFERROR(s_C*s_IFPP_far_adj*s_CF_peppers*(1/1000)*(s_Irr!T24+s_Irr!AS24+s_Irr!BR24),".")</f>
        <v>0</v>
      </c>
      <c r="CV24" s="87">
        <f>IFERROR(s_C*s_IFPT_far_adj*s_CF_potato*(1/1000)*(s_Irr!U24+s_Irr!AT24+s_Irr!BS24),".")</f>
        <v>0</v>
      </c>
      <c r="CW24" s="87">
        <f>IFERROR(s_C*s_IFPU_far_adj*s_CF_pumpkin*(1/1000)*(s_Irr!V24+s_Irr!AU24+s_Irr!BT24),".")</f>
        <v>0</v>
      </c>
      <c r="CX24" s="87">
        <f>IFERROR(s_C*s_IFSN_far_adj*s_CF_snap_bean*(1/1000)*(s_Irr!W24+s_Irr!AV24+s_Irr!BU24),".")</f>
        <v>0</v>
      </c>
      <c r="CY24" s="87">
        <f>IFERROR(s_C*s_IFST_far_adj*s_CF_strawberry*(1/1000)*(s_Irr!X24+s_Irr!AW24+s_Irr!BV24),".")</f>
        <v>0</v>
      </c>
      <c r="CZ24" s="87">
        <f>IFERROR(s_C*s_IFTO_far_adj*s_CF_tomato*(1/1000)*(s_Irr!Y24+s_Irr!AX24+s_Irr!BW24),".")</f>
        <v>0</v>
      </c>
      <c r="DA24" s="87">
        <f>IFERROR(s_C*s_IFRI_far_adj*s_CF_rice*(1/1000)*(s_Irr!Z24+s_Irr!AY24+s_Irr!BX24),".")</f>
        <v>0</v>
      </c>
      <c r="DB24" s="87">
        <f>IFERROR(s_C*s_IFCG_far_adj*s_CF_cereal*(1/1000)*(s_Irr!AA24+s_Irr!AZ24+s_Irr!BY24),".")</f>
        <v>0</v>
      </c>
    </row>
    <row r="25" spans="1:106" x14ac:dyDescent="0.25">
      <c r="A25" s="88" t="s">
        <v>23</v>
      </c>
      <c r="B25" s="84" t="s">
        <v>335</v>
      </c>
      <c r="C25" s="15" t="str">
        <f t="shared" si="3"/>
        <v>.</v>
      </c>
      <c r="D25" s="70" t="str">
        <f>IFERROR(IF(AND(s_Irr!C25&lt;&gt;".",s_Irr!AB25&lt;&gt;".",s_Irr!BA25&lt;&gt;"."),s_dir!D25/((1/1000)*(s_Irr!C25+s_Irr!AB25+s_Irr!BA25)),IF(AND(s_Irr!C25&lt;&gt;".",s_Irr!AB25&lt;&gt;".",s_Irr!BA25="."),s_dir!D25/((1/1000)*(s_Irr!C25+s_Irr!AB25)),IF(AND(s_Irr!C25&lt;&gt;".",s_Irr!AB25=".",s_Irr!BA25&lt;&gt;"."),s_dir!D25/((1/1000)*(s_Irr!C25+s_Irr!BA25)),IF(AND(s_Irr!C25=".",s_Irr!AB25&lt;&gt;".",s_Irr!BA25&lt;&gt;"."),s_dir!D25/((1/1000)*(s_Irr!AB25+s_Irr!BA25)),IF(AND(s_Irr!C25=".",s_Irr!AB25=".",s_Irr!BA25&lt;&gt;"."),s_dir!D25/((1/1000)*(s_Irr!BA25)),IF(AND(s_Irr!C25=".",s_Irr!AB25&lt;&gt;".",s_Irr!BA25="."),s_dir!D25/((1/1000)*(s_Irr!AB25)),IF(AND(s_Irr!C25&lt;&gt;".",s_Irr!AB25=".",s_Irr!BA25="."),s_dir!D25/((1/1000)*(s_Irr!C25)),IF(AND(s_Irr!C25=".",s_Irr!AB25=".",s_Irr!BA25="."),s_dir!D25*1000)))))))),".")</f>
        <v>.</v>
      </c>
      <c r="E25" s="70" t="str">
        <f>IFERROR(IF(AND(s_Irr!D25&lt;&gt;".",s_Irr!AC25&lt;&gt;".",s_Irr!BB25&lt;&gt;"."),s_dir!E25/((1/1000)*(s_Irr!D25+s_Irr!AC25+s_Irr!BB25)),IF(AND(s_Irr!D25&lt;&gt;".",s_Irr!AC25&lt;&gt;".",s_Irr!BB25="."),s_dir!E25/((1/1000)*(s_Irr!D25+s_Irr!AC25)),IF(AND(s_Irr!D25&lt;&gt;".",s_Irr!AC25=".",s_Irr!BB25&lt;&gt;"."),s_dir!E25/((1/1000)*(s_Irr!D25+s_Irr!BB25)),IF(AND(s_Irr!D25=".",s_Irr!AC25&lt;&gt;".",s_Irr!BB25&lt;&gt;"."),s_dir!E25/((1/1000)*(s_Irr!AC25+s_Irr!BB25)),IF(AND(s_Irr!D25=".",s_Irr!AC25=".",s_Irr!BB25&lt;&gt;"."),s_dir!E25/((1/1000)*(s_Irr!BB25)),IF(AND(s_Irr!D25=".",s_Irr!AC25&lt;&gt;".",s_Irr!BB25="."),s_dir!E25/((1/1000)*(s_Irr!AC25)),IF(AND(s_Irr!D25&lt;&gt;".",s_Irr!AC25=".",s_Irr!BB25="."),s_dir!E25/((1/1000)*(s_Irr!D25)),IF(AND(s_Irr!D25=".",s_Irr!AC25=".",s_Irr!BB25="."),s_dir!E25*1000)))))))),".")</f>
        <v>.</v>
      </c>
      <c r="F25" s="70" t="str">
        <f>IFERROR(IF(AND(s_Irr!E25&lt;&gt;".",s_Irr!AD25&lt;&gt;".",s_Irr!BC25&lt;&gt;"."),s_dir!F25/((1/1000)*(s_Irr!E25+s_Irr!AD25+s_Irr!BC25)),IF(AND(s_Irr!E25&lt;&gt;".",s_Irr!AD25&lt;&gt;".",s_Irr!BC25="."),s_dir!F25/((1/1000)*(s_Irr!E25+s_Irr!AD25)),IF(AND(s_Irr!E25&lt;&gt;".",s_Irr!AD25=".",s_Irr!BC25&lt;&gt;"."),s_dir!F25/((1/1000)*(s_Irr!E25+s_Irr!BC25)),IF(AND(s_Irr!E25=".",s_Irr!AD25&lt;&gt;".",s_Irr!BC25&lt;&gt;"."),s_dir!F25/((1/1000)*(s_Irr!AD25+s_Irr!BC25)),IF(AND(s_Irr!E25=".",s_Irr!AD25=".",s_Irr!BC25&lt;&gt;"."),s_dir!F25/((1/1000)*(s_Irr!BC25)),IF(AND(s_Irr!E25=".",s_Irr!AD25&lt;&gt;".",s_Irr!BC25="."),s_dir!F25/((1/1000)*(s_Irr!AD25)),IF(AND(s_Irr!E25&lt;&gt;".",s_Irr!AD25=".",s_Irr!BC25="."),s_dir!F25/((1/1000)*(s_Irr!E25)),IF(AND(s_Irr!E25=".",s_Irr!AD25=".",s_Irr!BC25="."),s_dir!F25*1000)))))))),".")</f>
        <v>.</v>
      </c>
      <c r="G25" s="70" t="str">
        <f>IFERROR(IF(AND(s_Irr!F25&lt;&gt;".",s_Irr!AE25&lt;&gt;".",s_Irr!BD25&lt;&gt;"."),s_dir!G25/((1/1000)*(s_Irr!F25+s_Irr!AE25+s_Irr!BD25)),IF(AND(s_Irr!F25&lt;&gt;".",s_Irr!AE25&lt;&gt;".",s_Irr!BD25="."),s_dir!G25/((1/1000)*(s_Irr!F25+s_Irr!AE25)),IF(AND(s_Irr!F25&lt;&gt;".",s_Irr!AE25=".",s_Irr!BD25&lt;&gt;"."),s_dir!G25/((1/1000)*(s_Irr!F25+s_Irr!BD25)),IF(AND(s_Irr!F25=".",s_Irr!AE25&lt;&gt;".",s_Irr!BD25&lt;&gt;"."),s_dir!G25/((1/1000)*(s_Irr!AE25+s_Irr!BD25)),IF(AND(s_Irr!F25=".",s_Irr!AE25=".",s_Irr!BD25&lt;&gt;"."),s_dir!G25/((1/1000)*(s_Irr!BD25)),IF(AND(s_Irr!F25=".",s_Irr!AE25&lt;&gt;".",s_Irr!BD25="."),s_dir!G25/((1/1000)*(s_Irr!AE25)),IF(AND(s_Irr!F25&lt;&gt;".",s_Irr!AE25=".",s_Irr!BD25="."),s_dir!G25/((1/1000)*(s_Irr!F25)),IF(AND(s_Irr!F25=".",s_Irr!AE25=".",s_Irr!BD25="."),s_dir!G25*1000)))))))),".")</f>
        <v>.</v>
      </c>
      <c r="H25" s="70" t="str">
        <f>IFERROR(IF(AND(s_Irr!G25&lt;&gt;".",s_Irr!AF25&lt;&gt;".",s_Irr!BE25&lt;&gt;"."),s_dir!H25/((1/1000)*(s_Irr!G25+s_Irr!AF25+s_Irr!BE25)),IF(AND(s_Irr!G25&lt;&gt;".",s_Irr!AF25&lt;&gt;".",s_Irr!BE25="."),s_dir!H25/((1/1000)*(s_Irr!G25+s_Irr!AF25)),IF(AND(s_Irr!G25&lt;&gt;".",s_Irr!AF25=".",s_Irr!BE25&lt;&gt;"."),s_dir!H25/((1/1000)*(s_Irr!G25+s_Irr!BE25)),IF(AND(s_Irr!G25=".",s_Irr!AF25&lt;&gt;".",s_Irr!BE25&lt;&gt;"."),s_dir!H25/((1/1000)*(s_Irr!AF25+s_Irr!BE25)),IF(AND(s_Irr!G25=".",s_Irr!AF25=".",s_Irr!BE25&lt;&gt;"."),s_dir!H25/((1/1000)*(s_Irr!BE25)),IF(AND(s_Irr!G25=".",s_Irr!AF25&lt;&gt;".",s_Irr!BE25="."),s_dir!H25/((1/1000)*(s_Irr!AF25)),IF(AND(s_Irr!G25&lt;&gt;".",s_Irr!AF25=".",s_Irr!BE25="."),s_dir!H25/((1/1000)*(s_Irr!G25)),IF(AND(s_Irr!G25=".",s_Irr!AF25=".",s_Irr!BE25="."),s_dir!H25*1000)))))))),".")</f>
        <v>.</v>
      </c>
      <c r="I25" s="70" t="str">
        <f>IFERROR(IF(AND(s_Irr!H25&lt;&gt;".",s_Irr!AG25&lt;&gt;".",s_Irr!BF25&lt;&gt;"."),s_dir!I25/((1/1000)*(s_Irr!H25+s_Irr!AG25+s_Irr!BF25)),IF(AND(s_Irr!H25&lt;&gt;".",s_Irr!AG25&lt;&gt;".",s_Irr!BF25="."),s_dir!I25/((1/1000)*(s_Irr!H25+s_Irr!AG25)),IF(AND(s_Irr!H25&lt;&gt;".",s_Irr!AG25=".",s_Irr!BF25&lt;&gt;"."),s_dir!I25/((1/1000)*(s_Irr!H25+s_Irr!BF25)),IF(AND(s_Irr!H25=".",s_Irr!AG25&lt;&gt;".",s_Irr!BF25&lt;&gt;"."),s_dir!I25/((1/1000)*(s_Irr!AG25+s_Irr!BF25)),IF(AND(s_Irr!H25=".",s_Irr!AG25=".",s_Irr!BF25&lt;&gt;"."),s_dir!I25/((1/1000)*(s_Irr!BF25)),IF(AND(s_Irr!H25=".",s_Irr!AG25&lt;&gt;".",s_Irr!BF25="."),s_dir!I25/((1/1000)*(s_Irr!AG25)),IF(AND(s_Irr!H25&lt;&gt;".",s_Irr!AG25=".",s_Irr!BF25="."),s_dir!I25/((1/1000)*(s_Irr!H25)),IF(AND(s_Irr!H25=".",s_Irr!AG25=".",s_Irr!BF25="."),s_dir!I25*1000)))))))),".")</f>
        <v>.</v>
      </c>
      <c r="J25" s="70" t="str">
        <f>IFERROR(IF(AND(s_Irr!I25&lt;&gt;".",s_Irr!AH25&lt;&gt;".",s_Irr!BG25&lt;&gt;"."),s_dir!J25/((1/1000)*(s_Irr!I25+s_Irr!AH25+s_Irr!BG25)),IF(AND(s_Irr!I25&lt;&gt;".",s_Irr!AH25&lt;&gt;".",s_Irr!BG25="."),s_dir!J25/((1/1000)*(s_Irr!I25+s_Irr!AH25)),IF(AND(s_Irr!I25&lt;&gt;".",s_Irr!AH25=".",s_Irr!BG25&lt;&gt;"."),s_dir!J25/((1/1000)*(s_Irr!I25+s_Irr!BG25)),IF(AND(s_Irr!I25=".",s_Irr!AH25&lt;&gt;".",s_Irr!BG25&lt;&gt;"."),s_dir!J25/((1/1000)*(s_Irr!AH25+s_Irr!BG25)),IF(AND(s_Irr!I25=".",s_Irr!AH25=".",s_Irr!BG25&lt;&gt;"."),s_dir!J25/((1/1000)*(s_Irr!BG25)),IF(AND(s_Irr!I25=".",s_Irr!AH25&lt;&gt;".",s_Irr!BG25="."),s_dir!J25/((1/1000)*(s_Irr!AH25)),IF(AND(s_Irr!I25&lt;&gt;".",s_Irr!AH25=".",s_Irr!BG25="."),s_dir!J25/((1/1000)*(s_Irr!I25)),IF(AND(s_Irr!I25=".",s_Irr!AH25=".",s_Irr!BG25="."),s_dir!J25*1000)))))))),".")</f>
        <v>.</v>
      </c>
      <c r="K25" s="70" t="str">
        <f>IFERROR(IF(AND(s_Irr!J25&lt;&gt;".",s_Irr!AI25&lt;&gt;".",s_Irr!BH25&lt;&gt;"."),s_dir!K25/((1/1000)*(s_Irr!J25+s_Irr!AI25+s_Irr!BH25)),IF(AND(s_Irr!J25&lt;&gt;".",s_Irr!AI25&lt;&gt;".",s_Irr!BH25="."),s_dir!K25/((1/1000)*(s_Irr!J25+s_Irr!AI25)),IF(AND(s_Irr!J25&lt;&gt;".",s_Irr!AI25=".",s_Irr!BH25&lt;&gt;"."),s_dir!K25/((1/1000)*(s_Irr!J25+s_Irr!BH25)),IF(AND(s_Irr!J25=".",s_Irr!AI25&lt;&gt;".",s_Irr!BH25&lt;&gt;"."),s_dir!K25/((1/1000)*(s_Irr!AI25+s_Irr!BH25)),IF(AND(s_Irr!J25=".",s_Irr!AI25=".",s_Irr!BH25&lt;&gt;"."),s_dir!K25/((1/1000)*(s_Irr!BH25)),IF(AND(s_Irr!J25=".",s_Irr!AI25&lt;&gt;".",s_Irr!BH25="."),s_dir!K25/((1/1000)*(s_Irr!AI25)),IF(AND(s_Irr!J25&lt;&gt;".",s_Irr!AI25=".",s_Irr!BH25="."),s_dir!K25/((1/1000)*(s_Irr!J25)),IF(AND(s_Irr!J25=".",s_Irr!AI25=".",s_Irr!BH25="."),s_dir!K25*1000)))))))),".")</f>
        <v>.</v>
      </c>
      <c r="L25" s="70" t="str">
        <f>IFERROR(IF(AND(s_Irr!K25&lt;&gt;".",s_Irr!AJ25&lt;&gt;".",s_Irr!BI25&lt;&gt;"."),s_dir!L25/((1/1000)*(s_Irr!K25+s_Irr!AJ25+s_Irr!BI25)),IF(AND(s_Irr!K25&lt;&gt;".",s_Irr!AJ25&lt;&gt;".",s_Irr!BI25="."),s_dir!L25/((1/1000)*(s_Irr!K25+s_Irr!AJ25)),IF(AND(s_Irr!K25&lt;&gt;".",s_Irr!AJ25=".",s_Irr!BI25&lt;&gt;"."),s_dir!L25/((1/1000)*(s_Irr!K25+s_Irr!BI25)),IF(AND(s_Irr!K25=".",s_Irr!AJ25&lt;&gt;".",s_Irr!BI25&lt;&gt;"."),s_dir!L25/((1/1000)*(s_Irr!AJ25+s_Irr!BI25)),IF(AND(s_Irr!K25=".",s_Irr!AJ25=".",s_Irr!BI25&lt;&gt;"."),s_dir!L25/((1/1000)*(s_Irr!BI25)),IF(AND(s_Irr!K25=".",s_Irr!AJ25&lt;&gt;".",s_Irr!BI25="."),s_dir!L25/((1/1000)*(s_Irr!AJ25)),IF(AND(s_Irr!K25&lt;&gt;".",s_Irr!AJ25=".",s_Irr!BI25="."),s_dir!L25/((1/1000)*(s_Irr!K25)),IF(AND(s_Irr!K25=".",s_Irr!AJ25=".",s_Irr!BI25="."),s_dir!L25*1000)))))))),".")</f>
        <v>.</v>
      </c>
      <c r="M25" s="70" t="str">
        <f>IFERROR(IF(AND(s_Irr!L25&lt;&gt;".",s_Irr!AK25&lt;&gt;".",s_Irr!BJ25&lt;&gt;"."),s_dir!M25/((1/1000)*(s_Irr!L25+s_Irr!AK25+s_Irr!BJ25)),IF(AND(s_Irr!L25&lt;&gt;".",s_Irr!AK25&lt;&gt;".",s_Irr!BJ25="."),s_dir!M25/((1/1000)*(s_Irr!L25+s_Irr!AK25)),IF(AND(s_Irr!L25&lt;&gt;".",s_Irr!AK25=".",s_Irr!BJ25&lt;&gt;"."),s_dir!M25/((1/1000)*(s_Irr!L25+s_Irr!BJ25)),IF(AND(s_Irr!L25=".",s_Irr!AK25&lt;&gt;".",s_Irr!BJ25&lt;&gt;"."),s_dir!M25/((1/1000)*(s_Irr!AK25+s_Irr!BJ25)),IF(AND(s_Irr!L25=".",s_Irr!AK25=".",s_Irr!BJ25&lt;&gt;"."),s_dir!M25/((1/1000)*(s_Irr!BJ25)),IF(AND(s_Irr!L25=".",s_Irr!AK25&lt;&gt;".",s_Irr!BJ25="."),s_dir!M25/((1/1000)*(s_Irr!AK25)),IF(AND(s_Irr!L25&lt;&gt;".",s_Irr!AK25=".",s_Irr!BJ25="."),s_dir!M25/((1/1000)*(s_Irr!L25)),IF(AND(s_Irr!L25=".",s_Irr!AK25=".",s_Irr!BJ25="."),s_dir!M25*1000)))))))),".")</f>
        <v>.</v>
      </c>
      <c r="N25" s="70" t="str">
        <f>IFERROR(IF(AND(s_Irr!M25&lt;&gt;".",s_Irr!AL25&lt;&gt;".",s_Irr!BK25&lt;&gt;"."),s_dir!N25/((1/1000)*(s_Irr!M25+s_Irr!AL25+s_Irr!BK25)),IF(AND(s_Irr!M25&lt;&gt;".",s_Irr!AL25&lt;&gt;".",s_Irr!BK25="."),s_dir!N25/((1/1000)*(s_Irr!M25+s_Irr!AL25)),IF(AND(s_Irr!M25&lt;&gt;".",s_Irr!AL25=".",s_Irr!BK25&lt;&gt;"."),s_dir!N25/((1/1000)*(s_Irr!M25+s_Irr!BK25)),IF(AND(s_Irr!M25=".",s_Irr!AL25&lt;&gt;".",s_Irr!BK25&lt;&gt;"."),s_dir!N25/((1/1000)*(s_Irr!AL25+s_Irr!BK25)),IF(AND(s_Irr!M25=".",s_Irr!AL25=".",s_Irr!BK25&lt;&gt;"."),s_dir!N25/((1/1000)*(s_Irr!BK25)),IF(AND(s_Irr!M25=".",s_Irr!AL25&lt;&gt;".",s_Irr!BK25="."),s_dir!N25/((1/1000)*(s_Irr!AL25)),IF(AND(s_Irr!M25&lt;&gt;".",s_Irr!AL25=".",s_Irr!BK25="."),s_dir!N25/((1/1000)*(s_Irr!M25)),IF(AND(s_Irr!M25=".",s_Irr!AL25=".",s_Irr!BK25="."),s_dir!N25*1000)))))))),".")</f>
        <v>.</v>
      </c>
      <c r="O25" s="70" t="str">
        <f>IFERROR(IF(AND(s_Irr!N25&lt;&gt;".",s_Irr!AM25&lt;&gt;".",s_Irr!BL25&lt;&gt;"."),s_dir!O25/((1/1000)*(s_Irr!N25+s_Irr!AM25+s_Irr!BL25)),IF(AND(s_Irr!N25&lt;&gt;".",s_Irr!AM25&lt;&gt;".",s_Irr!BL25="."),s_dir!O25/((1/1000)*(s_Irr!N25+s_Irr!AM25)),IF(AND(s_Irr!N25&lt;&gt;".",s_Irr!AM25=".",s_Irr!BL25&lt;&gt;"."),s_dir!O25/((1/1000)*(s_Irr!N25+s_Irr!BL25)),IF(AND(s_Irr!N25=".",s_Irr!AM25&lt;&gt;".",s_Irr!BL25&lt;&gt;"."),s_dir!O25/((1/1000)*(s_Irr!AM25+s_Irr!BL25)),IF(AND(s_Irr!N25=".",s_Irr!AM25=".",s_Irr!BL25&lt;&gt;"."),s_dir!O25/((1/1000)*(s_Irr!BL25)),IF(AND(s_Irr!N25=".",s_Irr!AM25&lt;&gt;".",s_Irr!BL25="."),s_dir!O25/((1/1000)*(s_Irr!AM25)),IF(AND(s_Irr!N25&lt;&gt;".",s_Irr!AM25=".",s_Irr!BL25="."),s_dir!O25/((1/1000)*(s_Irr!N25)),IF(AND(s_Irr!N25=".",s_Irr!AM25=".",s_Irr!BL25="."),s_dir!O25*1000)))))))),".")</f>
        <v>.</v>
      </c>
      <c r="P25" s="70" t="str">
        <f>IFERROR(IF(AND(s_Irr!O25&lt;&gt;".",s_Irr!AN25&lt;&gt;".",s_Irr!BM25&lt;&gt;"."),s_dir!P25/((1/1000)*(s_Irr!O25+s_Irr!AN25+s_Irr!BM25)),IF(AND(s_Irr!O25&lt;&gt;".",s_Irr!AN25&lt;&gt;".",s_Irr!BM25="."),s_dir!P25/((1/1000)*(s_Irr!O25+s_Irr!AN25)),IF(AND(s_Irr!O25&lt;&gt;".",s_Irr!AN25=".",s_Irr!BM25&lt;&gt;"."),s_dir!P25/((1/1000)*(s_Irr!O25+s_Irr!BM25)),IF(AND(s_Irr!O25=".",s_Irr!AN25&lt;&gt;".",s_Irr!BM25&lt;&gt;"."),s_dir!P25/((1/1000)*(s_Irr!AN25+s_Irr!BM25)),IF(AND(s_Irr!O25=".",s_Irr!AN25=".",s_Irr!BM25&lt;&gt;"."),s_dir!P25/((1/1000)*(s_Irr!BM25)),IF(AND(s_Irr!O25=".",s_Irr!AN25&lt;&gt;".",s_Irr!BM25="."),s_dir!P25/((1/1000)*(s_Irr!AN25)),IF(AND(s_Irr!O25&lt;&gt;".",s_Irr!AN25=".",s_Irr!BM25="."),s_dir!P25/((1/1000)*(s_Irr!O25)),IF(AND(s_Irr!O25=".",s_Irr!AN25=".",s_Irr!BM25="."),s_dir!P25*1000)))))))),".")</f>
        <v>.</v>
      </c>
      <c r="Q25" s="70" t="str">
        <f>IFERROR(IF(AND(s_Irr!P25&lt;&gt;".",s_Irr!AO25&lt;&gt;".",s_Irr!BN25&lt;&gt;"."),s_dir!Q25/((1/1000)*(s_Irr!P25+s_Irr!AO25+s_Irr!BN25)),IF(AND(s_Irr!P25&lt;&gt;".",s_Irr!AO25&lt;&gt;".",s_Irr!BN25="."),s_dir!Q25/((1/1000)*(s_Irr!P25+s_Irr!AO25)),IF(AND(s_Irr!P25&lt;&gt;".",s_Irr!AO25=".",s_Irr!BN25&lt;&gt;"."),s_dir!Q25/((1/1000)*(s_Irr!P25+s_Irr!BN25)),IF(AND(s_Irr!P25=".",s_Irr!AO25&lt;&gt;".",s_Irr!BN25&lt;&gt;"."),s_dir!Q25/((1/1000)*(s_Irr!AO25+s_Irr!BN25)),IF(AND(s_Irr!P25=".",s_Irr!AO25=".",s_Irr!BN25&lt;&gt;"."),s_dir!Q25/((1/1000)*(s_Irr!BN25)),IF(AND(s_Irr!P25=".",s_Irr!AO25&lt;&gt;".",s_Irr!BN25="."),s_dir!Q25/((1/1000)*(s_Irr!AO25)),IF(AND(s_Irr!P25&lt;&gt;".",s_Irr!AO25=".",s_Irr!BN25="."),s_dir!Q25/((1/1000)*(s_Irr!P25)),IF(AND(s_Irr!P25=".",s_Irr!AO25=".",s_Irr!BN25="."),s_dir!Q25*1000)))))))),".")</f>
        <v>.</v>
      </c>
      <c r="R25" s="70" t="str">
        <f>IFERROR(IF(AND(s_Irr!Q25&lt;&gt;".",s_Irr!AP25&lt;&gt;".",s_Irr!BO25&lt;&gt;"."),s_dir!R25/((1/1000)*(s_Irr!Q25+s_Irr!AP25+s_Irr!BO25)),IF(AND(s_Irr!Q25&lt;&gt;".",s_Irr!AP25&lt;&gt;".",s_Irr!BO25="."),s_dir!R25/((1/1000)*(s_Irr!Q25+s_Irr!AP25)),IF(AND(s_Irr!Q25&lt;&gt;".",s_Irr!AP25=".",s_Irr!BO25&lt;&gt;"."),s_dir!R25/((1/1000)*(s_Irr!Q25+s_Irr!BO25)),IF(AND(s_Irr!Q25=".",s_Irr!AP25&lt;&gt;".",s_Irr!BO25&lt;&gt;"."),s_dir!R25/((1/1000)*(s_Irr!AP25+s_Irr!BO25)),IF(AND(s_Irr!Q25=".",s_Irr!AP25=".",s_Irr!BO25&lt;&gt;"."),s_dir!R25/((1/1000)*(s_Irr!BO25)),IF(AND(s_Irr!Q25=".",s_Irr!AP25&lt;&gt;".",s_Irr!BO25="."),s_dir!R25/((1/1000)*(s_Irr!AP25)),IF(AND(s_Irr!Q25&lt;&gt;".",s_Irr!AP25=".",s_Irr!BO25="."),s_dir!R25/((1/1000)*(s_Irr!Q25)),IF(AND(s_Irr!Q25=".",s_Irr!AP25=".",s_Irr!BO25="."),s_dir!R25*1000)))))))),".")</f>
        <v>.</v>
      </c>
      <c r="S25" s="70" t="str">
        <f>IFERROR(IF(AND(s_Irr!R25&lt;&gt;".",s_Irr!AQ25&lt;&gt;".",s_Irr!BP25&lt;&gt;"."),s_dir!S25/((1/1000)*(s_Irr!R25+s_Irr!AQ25+s_Irr!BP25)),IF(AND(s_Irr!R25&lt;&gt;".",s_Irr!AQ25&lt;&gt;".",s_Irr!BP25="."),s_dir!S25/((1/1000)*(s_Irr!R25+s_Irr!AQ25)),IF(AND(s_Irr!R25&lt;&gt;".",s_Irr!AQ25=".",s_Irr!BP25&lt;&gt;"."),s_dir!S25/((1/1000)*(s_Irr!R25+s_Irr!BP25)),IF(AND(s_Irr!R25=".",s_Irr!AQ25&lt;&gt;".",s_Irr!BP25&lt;&gt;"."),s_dir!S25/((1/1000)*(s_Irr!AQ25+s_Irr!BP25)),IF(AND(s_Irr!R25=".",s_Irr!AQ25=".",s_Irr!BP25&lt;&gt;"."),s_dir!S25/((1/1000)*(s_Irr!BP25)),IF(AND(s_Irr!R25=".",s_Irr!AQ25&lt;&gt;".",s_Irr!BP25="."),s_dir!S25/((1/1000)*(s_Irr!AQ25)),IF(AND(s_Irr!R25&lt;&gt;".",s_Irr!AQ25=".",s_Irr!BP25="."),s_dir!S25/((1/1000)*(s_Irr!R25)),IF(AND(s_Irr!R25=".",s_Irr!AQ25=".",s_Irr!BP25="."),s_dir!S25*1000)))))))),".")</f>
        <v>.</v>
      </c>
      <c r="T25" s="70" t="str">
        <f>IFERROR(IF(AND(s_Irr!S25&lt;&gt;".",s_Irr!AR25&lt;&gt;".",s_Irr!BQ25&lt;&gt;"."),s_dir!T25/((1/1000)*(s_Irr!S25+s_Irr!AR25+s_Irr!BQ25)),IF(AND(s_Irr!S25&lt;&gt;".",s_Irr!AR25&lt;&gt;".",s_Irr!BQ25="."),s_dir!T25/((1/1000)*(s_Irr!S25+s_Irr!AR25)),IF(AND(s_Irr!S25&lt;&gt;".",s_Irr!AR25=".",s_Irr!BQ25&lt;&gt;"."),s_dir!T25/((1/1000)*(s_Irr!S25+s_Irr!BQ25)),IF(AND(s_Irr!S25=".",s_Irr!AR25&lt;&gt;".",s_Irr!BQ25&lt;&gt;"."),s_dir!T25/((1/1000)*(s_Irr!AR25+s_Irr!BQ25)),IF(AND(s_Irr!S25=".",s_Irr!AR25=".",s_Irr!BQ25&lt;&gt;"."),s_dir!T25/((1/1000)*(s_Irr!BQ25)),IF(AND(s_Irr!S25=".",s_Irr!AR25&lt;&gt;".",s_Irr!BQ25="."),s_dir!T25/((1/1000)*(s_Irr!AR25)),IF(AND(s_Irr!S25&lt;&gt;".",s_Irr!AR25=".",s_Irr!BQ25="."),s_dir!T25/((1/1000)*(s_Irr!S25)),IF(AND(s_Irr!S25=".",s_Irr!AR25=".",s_Irr!BQ25="."),s_dir!T25*1000)))))))),".")</f>
        <v>.</v>
      </c>
      <c r="U25" s="70" t="str">
        <f>IFERROR(IF(AND(s_Irr!T25&lt;&gt;".",s_Irr!AS25&lt;&gt;".",s_Irr!BR25&lt;&gt;"."),s_dir!U25/((1/1000)*(s_Irr!T25+s_Irr!AS25+s_Irr!BR25)),IF(AND(s_Irr!T25&lt;&gt;".",s_Irr!AS25&lt;&gt;".",s_Irr!BR25="."),s_dir!U25/((1/1000)*(s_Irr!T25+s_Irr!AS25)),IF(AND(s_Irr!T25&lt;&gt;".",s_Irr!AS25=".",s_Irr!BR25&lt;&gt;"."),s_dir!U25/((1/1000)*(s_Irr!T25+s_Irr!BR25)),IF(AND(s_Irr!T25=".",s_Irr!AS25&lt;&gt;".",s_Irr!BR25&lt;&gt;"."),s_dir!U25/((1/1000)*(s_Irr!AS25+s_Irr!BR25)),IF(AND(s_Irr!T25=".",s_Irr!AS25=".",s_Irr!BR25&lt;&gt;"."),s_dir!U25/((1/1000)*(s_Irr!BR25)),IF(AND(s_Irr!T25=".",s_Irr!AS25&lt;&gt;".",s_Irr!BR25="."),s_dir!U25/((1/1000)*(s_Irr!AS25)),IF(AND(s_Irr!T25&lt;&gt;".",s_Irr!AS25=".",s_Irr!BR25="."),s_dir!U25/((1/1000)*(s_Irr!T25)),IF(AND(s_Irr!T25=".",s_Irr!AS25=".",s_Irr!BR25="."),s_dir!U25*1000)))))))),".")</f>
        <v>.</v>
      </c>
      <c r="V25" s="70" t="str">
        <f>IFERROR(IF(AND(s_Irr!U25&lt;&gt;".",s_Irr!AT25&lt;&gt;".",s_Irr!BS25&lt;&gt;"."),s_dir!V25/((1/1000)*(s_Irr!U25+s_Irr!AT25+s_Irr!BS25)),IF(AND(s_Irr!U25&lt;&gt;".",s_Irr!AT25&lt;&gt;".",s_Irr!BS25="."),s_dir!V25/((1/1000)*(s_Irr!U25+s_Irr!AT25)),IF(AND(s_Irr!U25&lt;&gt;".",s_Irr!AT25=".",s_Irr!BS25&lt;&gt;"."),s_dir!V25/((1/1000)*(s_Irr!U25+s_Irr!BS25)),IF(AND(s_Irr!U25=".",s_Irr!AT25&lt;&gt;".",s_Irr!BS25&lt;&gt;"."),s_dir!V25/((1/1000)*(s_Irr!AT25+s_Irr!BS25)),IF(AND(s_Irr!U25=".",s_Irr!AT25=".",s_Irr!BS25&lt;&gt;"."),s_dir!V25/((1/1000)*(s_Irr!BS25)),IF(AND(s_Irr!U25=".",s_Irr!AT25&lt;&gt;".",s_Irr!BS25="."),s_dir!V25/((1/1000)*(s_Irr!AT25)),IF(AND(s_Irr!U25&lt;&gt;".",s_Irr!AT25=".",s_Irr!BS25="."),s_dir!V25/((1/1000)*(s_Irr!U25)),IF(AND(s_Irr!U25=".",s_Irr!AT25=".",s_Irr!BS25="."),s_dir!V25*1000)))))))),".")</f>
        <v>.</v>
      </c>
      <c r="W25" s="70" t="str">
        <f>IFERROR(IF(AND(s_Irr!V25&lt;&gt;".",s_Irr!AU25&lt;&gt;".",s_Irr!BT25&lt;&gt;"."),s_dir!W25/((1/1000)*(s_Irr!V25+s_Irr!AU25+s_Irr!BT25)),IF(AND(s_Irr!V25&lt;&gt;".",s_Irr!AU25&lt;&gt;".",s_Irr!BT25="."),s_dir!W25/((1/1000)*(s_Irr!V25+s_Irr!AU25)),IF(AND(s_Irr!V25&lt;&gt;".",s_Irr!AU25=".",s_Irr!BT25&lt;&gt;"."),s_dir!W25/((1/1000)*(s_Irr!V25+s_Irr!BT25)),IF(AND(s_Irr!V25=".",s_Irr!AU25&lt;&gt;".",s_Irr!BT25&lt;&gt;"."),s_dir!W25/((1/1000)*(s_Irr!AU25+s_Irr!BT25)),IF(AND(s_Irr!V25=".",s_Irr!AU25=".",s_Irr!BT25&lt;&gt;"."),s_dir!W25/((1/1000)*(s_Irr!BT25)),IF(AND(s_Irr!V25=".",s_Irr!AU25&lt;&gt;".",s_Irr!BT25="."),s_dir!W25/((1/1000)*(s_Irr!AU25)),IF(AND(s_Irr!V25&lt;&gt;".",s_Irr!AU25=".",s_Irr!BT25="."),s_dir!W25/((1/1000)*(s_Irr!V25)),IF(AND(s_Irr!V25=".",s_Irr!AU25=".",s_Irr!BT25="."),s_dir!W25*1000)))))))),".")</f>
        <v>.</v>
      </c>
      <c r="X25" s="70" t="str">
        <f>IFERROR(IF(AND(s_Irr!W25&lt;&gt;".",s_Irr!AV25&lt;&gt;".",s_Irr!BU25&lt;&gt;"."),s_dir!X25/((1/1000)*(s_Irr!W25+s_Irr!AV25+s_Irr!BU25)),IF(AND(s_Irr!W25&lt;&gt;".",s_Irr!AV25&lt;&gt;".",s_Irr!BU25="."),s_dir!X25/((1/1000)*(s_Irr!W25+s_Irr!AV25)),IF(AND(s_Irr!W25&lt;&gt;".",s_Irr!AV25=".",s_Irr!BU25&lt;&gt;"."),s_dir!X25/((1/1000)*(s_Irr!W25+s_Irr!BU25)),IF(AND(s_Irr!W25=".",s_Irr!AV25&lt;&gt;".",s_Irr!BU25&lt;&gt;"."),s_dir!X25/((1/1000)*(s_Irr!AV25+s_Irr!BU25)),IF(AND(s_Irr!W25=".",s_Irr!AV25=".",s_Irr!BU25&lt;&gt;"."),s_dir!X25/((1/1000)*(s_Irr!BU25)),IF(AND(s_Irr!W25=".",s_Irr!AV25&lt;&gt;".",s_Irr!BU25="."),s_dir!X25/((1/1000)*(s_Irr!AV25)),IF(AND(s_Irr!W25&lt;&gt;".",s_Irr!AV25=".",s_Irr!BU25="."),s_dir!X25/((1/1000)*(s_Irr!W25)),IF(AND(s_Irr!W25=".",s_Irr!AV25=".",s_Irr!BU25="."),s_dir!X25*1000)))))))),".")</f>
        <v>.</v>
      </c>
      <c r="Y25" s="70" t="str">
        <f>IFERROR(IF(AND(s_Irr!X25&lt;&gt;".",s_Irr!AW25&lt;&gt;".",s_Irr!BV25&lt;&gt;"."),s_dir!Y25/((1/1000)*(s_Irr!X25+s_Irr!AW25+s_Irr!BV25)),IF(AND(s_Irr!X25&lt;&gt;".",s_Irr!AW25&lt;&gt;".",s_Irr!BV25="."),s_dir!Y25/((1/1000)*(s_Irr!X25+s_Irr!AW25)),IF(AND(s_Irr!X25&lt;&gt;".",s_Irr!AW25=".",s_Irr!BV25&lt;&gt;"."),s_dir!Y25/((1/1000)*(s_Irr!X25+s_Irr!BV25)),IF(AND(s_Irr!X25=".",s_Irr!AW25&lt;&gt;".",s_Irr!BV25&lt;&gt;"."),s_dir!Y25/((1/1000)*(s_Irr!AW25+s_Irr!BV25)),IF(AND(s_Irr!X25=".",s_Irr!AW25=".",s_Irr!BV25&lt;&gt;"."),s_dir!Y25/((1/1000)*(s_Irr!BV25)),IF(AND(s_Irr!X25=".",s_Irr!AW25&lt;&gt;".",s_Irr!BV25="."),s_dir!Y25/((1/1000)*(s_Irr!AW25)),IF(AND(s_Irr!X25&lt;&gt;".",s_Irr!AW25=".",s_Irr!BV25="."),s_dir!Y25/((1/1000)*(s_Irr!X25)),IF(AND(s_Irr!X25=".",s_Irr!AW25=".",s_Irr!BV25="."),s_dir!Y25*1000)))))))),".")</f>
        <v>.</v>
      </c>
      <c r="Z25" s="70" t="str">
        <f>IFERROR(IF(AND(s_Irr!Y25&lt;&gt;".",s_Irr!AX25&lt;&gt;".",s_Irr!BW25&lt;&gt;"."),s_dir!Z25/((1/1000)*(s_Irr!Y25+s_Irr!AX25+s_Irr!BW25)),IF(AND(s_Irr!Y25&lt;&gt;".",s_Irr!AX25&lt;&gt;".",s_Irr!BW25="."),s_dir!Z25/((1/1000)*(s_Irr!Y25+s_Irr!AX25)),IF(AND(s_Irr!Y25&lt;&gt;".",s_Irr!AX25=".",s_Irr!BW25&lt;&gt;"."),s_dir!Z25/((1/1000)*(s_Irr!Y25+s_Irr!BW25)),IF(AND(s_Irr!Y25=".",s_Irr!AX25&lt;&gt;".",s_Irr!BW25&lt;&gt;"."),s_dir!Z25/((1/1000)*(s_Irr!AX25+s_Irr!BW25)),IF(AND(s_Irr!Y25=".",s_Irr!AX25=".",s_Irr!BW25&lt;&gt;"."),s_dir!Z25/((1/1000)*(s_Irr!BW25)),IF(AND(s_Irr!Y25=".",s_Irr!AX25&lt;&gt;".",s_Irr!BW25="."),s_dir!Z25/((1/1000)*(s_Irr!AX25)),IF(AND(s_Irr!Y25&lt;&gt;".",s_Irr!AX25=".",s_Irr!BW25="."),s_dir!Z25/((1/1000)*(s_Irr!Y25)),IF(AND(s_Irr!Y25=".",s_Irr!AX25=".",s_Irr!BW25="."),s_dir!Z25*1000)))))))),".")</f>
        <v>.</v>
      </c>
      <c r="AA25" s="70" t="str">
        <f>IFERROR(IF(AND(s_Irr!Z25&lt;&gt;".",s_Irr!AY25&lt;&gt;".",s_Irr!BX25&lt;&gt;"."),s_dir!AA25/((1/1000)*(s_Irr!Z25+s_Irr!AY25+s_Irr!BX25)),IF(AND(s_Irr!Z25&lt;&gt;".",s_Irr!AY25&lt;&gt;".",s_Irr!BX25="."),s_dir!AA25/((1/1000)*(s_Irr!Z25+s_Irr!AY25)),IF(AND(s_Irr!Z25&lt;&gt;".",s_Irr!AY25=".",s_Irr!BX25&lt;&gt;"."),s_dir!AA25/((1/1000)*(s_Irr!Z25+s_Irr!BX25)),IF(AND(s_Irr!Z25=".",s_Irr!AY25&lt;&gt;".",s_Irr!BX25&lt;&gt;"."),s_dir!AA25/((1/1000)*(s_Irr!AY25+s_Irr!BX25)),IF(AND(s_Irr!Z25=".",s_Irr!AY25=".",s_Irr!BX25&lt;&gt;"."),s_dir!AA25/((1/1000)*(s_Irr!BX25)),IF(AND(s_Irr!Z25=".",s_Irr!AY25&lt;&gt;".",s_Irr!BX25="."),s_dir!AA25/((1/1000)*(s_Irr!AY25)),IF(AND(s_Irr!Z25&lt;&gt;".",s_Irr!AY25=".",s_Irr!BX25="."),s_dir!AA25/((1/1000)*(s_Irr!Z25)),IF(AND(s_Irr!Z25=".",s_Irr!AY25=".",s_Irr!BX25="."),s_dir!AA25*1000)))))))),".")</f>
        <v>.</v>
      </c>
      <c r="AB25" s="70" t="str">
        <f>IFERROR(IF(AND(s_Irr!AA25&lt;&gt;".",s_Irr!AZ25&lt;&gt;".",s_Irr!BY25&lt;&gt;"."),s_dir!AB25/((1/1000)*(s_Irr!AA25+s_Irr!AZ25+s_Irr!BY25)),IF(AND(s_Irr!AA25&lt;&gt;".",s_Irr!AZ25&lt;&gt;".",s_Irr!BY25="."),s_dir!AB25/((1/1000)*(s_Irr!AA25+s_Irr!AZ25)),IF(AND(s_Irr!AA25&lt;&gt;".",s_Irr!AZ25=".",s_Irr!BY25&lt;&gt;"."),s_dir!AB25/((1/1000)*(s_Irr!AA25+s_Irr!BY25)),IF(AND(s_Irr!AA25=".",s_Irr!AZ25&lt;&gt;".",s_Irr!BY25&lt;&gt;"."),s_dir!AB25/((1/1000)*(s_Irr!AZ25+s_Irr!BY25)),IF(AND(s_Irr!AA25=".",s_Irr!AZ25=".",s_Irr!BY25&lt;&gt;"."),s_dir!AB25/((1/1000)*(s_Irr!BY25)),IF(AND(s_Irr!AA25=".",s_Irr!AZ25&lt;&gt;".",s_Irr!BY25="."),s_dir!AB25/((1/1000)*(s_Irr!AZ25)),IF(AND(s_Irr!AA25&lt;&gt;".",s_Irr!AZ25=".",s_Irr!BY25="."),s_dir!AB25/((1/1000)*(s_Irr!AA25)),IF(AND(s_Irr!AA25=".",s_Irr!AZ25=".",s_Irr!BY25="."),s_dir!AB25*1000)))))))),".")</f>
        <v>.</v>
      </c>
      <c r="AC25" s="87">
        <f t="shared" ref="AC25:AC30" si="5">SUM(AD25,AU25,BA25:BB25)</f>
        <v>0</v>
      </c>
      <c r="AD25" s="87">
        <f>IFERROR(s_C*s_IFAP_res_adj*s_CF_apple*0.001*(s_Irr!C25+s_Irr!AB25+s_Irr!BA25),".")</f>
        <v>0</v>
      </c>
      <c r="AE25" s="87">
        <f>IFERROR(s_C*s_IFAS_res_adj*s_CF_asparagus*0.001*(s_Irr!D25+s_Irr!AC25+s_Irr!BB25),".")</f>
        <v>0</v>
      </c>
      <c r="AF25" s="87">
        <f>IFERROR(s_C*s_IFBT_res_adj*s_CF_beet*0.001*(s_Irr!E25+s_Irr!AD25+s_Irr!BC25),".")</f>
        <v>0</v>
      </c>
      <c r="AG25" s="87">
        <f>IFERROR(s_C*s_IFBE_res_adj*s_CF_berries*0.001*(s_Irr!F25+s_Irr!AE25+s_Irr!BD25),".")</f>
        <v>0</v>
      </c>
      <c r="AH25" s="87">
        <f>IFERROR(s_C*s_IFBR_res_adj*s_CF_broccoli*0.001*(s_Irr!G25+s_Irr!AF25+s_Irr!BE25),".")</f>
        <v>0</v>
      </c>
      <c r="AI25" s="87">
        <f>IFERROR(s_C*s_IFCB_res_adj*s_CF_cabbage*0.001*(s_Irr!H25+s_Irr!AG25+s_Irr!BF25),".")</f>
        <v>0</v>
      </c>
      <c r="AJ25" s="87">
        <f>IFERROR(s_C*s_IFCR_res_adj*s_CF_carrot*0.001*(s_Irr!I25+s_Irr!AH25+s_Irr!BG25),".")</f>
        <v>0</v>
      </c>
      <c r="AK25" s="87">
        <f>IFERROR(s_C*s_IFCI_res_adj*s_CF_citrus*0.001*(s_Irr!J25+s_Irr!AI25+s_Irr!BH25),".")</f>
        <v>0</v>
      </c>
      <c r="AL25" s="87">
        <f>IFERROR(s_C*s_IFCO_res_adj*s_CF_corn*0.001*(s_Irr!K25+s_Irr!AJ25+s_Irr!BI25),".")</f>
        <v>0</v>
      </c>
      <c r="AM25" s="87">
        <f>IFERROR(s_C*s_IFCU_res_adj*s_CF_cucumber*0.001*(s_Irr!L25+s_Irr!AK25+s_Irr!BJ25),".")</f>
        <v>0</v>
      </c>
      <c r="AN25" s="87">
        <f>IFERROR(s_C*s_IFLE_res_adj*s_CF_lettuce*0.001*(s_Irr!M25+s_Irr!AL25+s_Irr!BK25),".")</f>
        <v>0</v>
      </c>
      <c r="AO25" s="87">
        <f>IFERROR(s_C*s_IFLI_res_adj*s_CF_lima_bean*0.001*(s_Irr!N25+s_Irr!AM25+s_Irr!BL25),".")</f>
        <v>0</v>
      </c>
      <c r="AP25" s="87">
        <f>IFERROR(s_C*s_IFOK_res_adj*s_CF_okra*0.001*(s_Irr!O25+s_Irr!AN25+s_Irr!BM25),".")</f>
        <v>0</v>
      </c>
      <c r="AQ25" s="87">
        <f>IFERROR(s_C*s_IFON_res_adj*s_CF_onion*0.001*(s_Irr!P25+s_Irr!AO25+s_Irr!BN25),".")</f>
        <v>0</v>
      </c>
      <c r="AR25" s="87">
        <f>IFERROR(s_C*s_IFPC_res_adj*s_CF_peach*0.001*(s_Irr!Q25+s_Irr!AP25+s_Irr!BO25),".")</f>
        <v>0</v>
      </c>
      <c r="AS25" s="87">
        <f>IFERROR(s_C*s_IFPR_res_adj*s_CF_pear*0.001*(s_Irr!R25+s_Irr!AQ25+s_Irr!BP25),".")</f>
        <v>0</v>
      </c>
      <c r="AT25" s="87">
        <f>IFERROR(s_C*s_IFPE_res_adj*s_CF_peas*0.001*(s_Irr!S25+s_Irr!AR25+s_Irr!BQ25),".")</f>
        <v>0</v>
      </c>
      <c r="AU25" s="87">
        <f>IFERROR(s_C*s_IFPP_res_adj*s_CF_peppers*0.001*(s_Irr!T25+s_Irr!AS25+s_Irr!BR25),".")</f>
        <v>0</v>
      </c>
      <c r="AV25" s="87">
        <f>IFERROR(s_C*s_IFPT_res_adj*s_CF_potato*0.001*(s_Irr!U25+s_Irr!AT25+s_Irr!BS25),".")</f>
        <v>0</v>
      </c>
      <c r="AW25" s="87">
        <f>IFERROR(s_C*s_IFPU_res_adj*s_CF_pumpkin*0.001*(s_Irr!V25+s_Irr!AU25+s_Irr!BT25),".")</f>
        <v>0</v>
      </c>
      <c r="AX25" s="87">
        <f>IFERROR(s_C*s_IFSN_res_adj*s_CF_snap_bean*0.001*(s_Irr!W25+s_Irr!AV25+s_Irr!BU25),".")</f>
        <v>0</v>
      </c>
      <c r="AY25" s="87">
        <f>IFERROR(s_C*s_IFST_res_adj*s_CF_strawberry*0.001*(s_Irr!X25+s_Irr!AW25+s_Irr!BV25),".")</f>
        <v>0</v>
      </c>
      <c r="AZ25" s="87">
        <f>IFERROR(s_C*s_IFTO_res_adj*s_CF_tomato*0.001*(s_Irr!Y25+s_Irr!AX25+s_Irr!BW25),".")</f>
        <v>0</v>
      </c>
      <c r="BA25" s="87">
        <f>IFERROR(s_C*s_IFRI_res_adj*s_CF_rice*0.001*(s_Irr!Z25+s_Irr!AY25+s_Irr!BX25),".")</f>
        <v>0</v>
      </c>
      <c r="BB25" s="87">
        <f>IFERROR(s_C*s_IFCG_res_adj*s_CF_cereal*0.001*(s_Irr!AA25+s_Irr!AZ25+s_Irr!BY25),".")</f>
        <v>0</v>
      </c>
      <c r="BC25" s="70" t="str">
        <f t="shared" si="1"/>
        <v>.</v>
      </c>
      <c r="BD25" s="70" t="str">
        <f>IFERROR(IF(AND(s_Irr!C25&lt;&gt;".",s_Irr!AB25&lt;&gt;".",s_Irr!BA25&lt;&gt;"."),s_dir!AD25/((1/1000)*(s_Irr!C25+s_Irr!AB25+s_Irr!BA25)),IF(AND(s_Irr!C25&lt;&gt;".",s_Irr!AB25&lt;&gt;".",s_Irr!BA25="."),s_dir!AD25/((1/1000)*(s_Irr!C25+s_Irr!AB25)),IF(AND(s_Irr!C25&lt;&gt;".",s_Irr!AB25=".",s_Irr!BA25&lt;&gt;"."),s_dir!AD25/((1/1000)*(s_Irr!C25+s_Irr!BA25)),IF(AND(s_Irr!C25=".",s_Irr!AB25&lt;&gt;".",s_Irr!BA25&lt;&gt;"."),s_dir!AD25/((1/1000)*(s_Irr!AB25+s_Irr!BA25)),IF(AND(s_Irr!C25=".",s_Irr!AB25=".",s_Irr!BA25&lt;&gt;"."),s_dir!AD25/((1/1000)*(s_Irr!BA25)),IF(AND(s_Irr!C25=".",s_Irr!AB25&lt;&gt;".",s_Irr!BA25="."),s_dir!AD25/((1/1000)*(s_Irr!AB25)),IF(AND(s_Irr!C25&lt;&gt;".",s_Irr!AB25=".",s_Irr!BA25="."),s_dir!AD25/((1/1000)*(s_Irr!C25)),IF(AND(s_Irr!C25=".",s_Irr!AB25=".",s_Irr!BA25="."),s_dir!AD25*1000)))))))),".")</f>
        <v>.</v>
      </c>
      <c r="BE25" s="70" t="str">
        <f>IFERROR(IF(AND(s_Irr!D25&lt;&gt;".",s_Irr!AC25&lt;&gt;".",s_Irr!BB25&lt;&gt;"."),s_dir!AE25/((1/1000)*(s_Irr!D25+s_Irr!AC25+s_Irr!BB25)),IF(AND(s_Irr!D25&lt;&gt;".",s_Irr!AC25&lt;&gt;".",s_Irr!BB25="."),s_dir!AE25/((1/1000)*(s_Irr!D25+s_Irr!AC25)),IF(AND(s_Irr!D25&lt;&gt;".",s_Irr!AC25=".",s_Irr!BB25&lt;&gt;"."),s_dir!AE25/((1/1000)*(s_Irr!D25+s_Irr!BB25)),IF(AND(s_Irr!D25=".",s_Irr!AC25&lt;&gt;".",s_Irr!BB25&lt;&gt;"."),s_dir!AE25/((1/1000)*(s_Irr!AC25+s_Irr!BB25)),IF(AND(s_Irr!D25=".",s_Irr!AC25=".",s_Irr!BB25&lt;&gt;"."),s_dir!AE25/((1/1000)*(s_Irr!BB25)),IF(AND(s_Irr!D25=".",s_Irr!AC25&lt;&gt;".",s_Irr!BB25="."),s_dir!AE25/((1/1000)*(s_Irr!AC25)),IF(AND(s_Irr!D25&lt;&gt;".",s_Irr!AC25=".",s_Irr!BB25="."),s_dir!AE25/((1/1000)*(s_Irr!D25)),IF(AND(s_Irr!D25=".",s_Irr!AC25=".",s_Irr!BB25="."),s_dir!AE25*1000)))))))),".")</f>
        <v>.</v>
      </c>
      <c r="BF25" s="70" t="str">
        <f>IFERROR(IF(AND(s_Irr!E25&lt;&gt;".",s_Irr!AD25&lt;&gt;".",s_Irr!BC25&lt;&gt;"."),s_dir!AF25/((1/1000)*(s_Irr!E25+s_Irr!AD25+s_Irr!BC25)),IF(AND(s_Irr!E25&lt;&gt;".",s_Irr!AD25&lt;&gt;".",s_Irr!BC25="."),s_dir!AF25/((1/1000)*(s_Irr!E25+s_Irr!AD25)),IF(AND(s_Irr!E25&lt;&gt;".",s_Irr!AD25=".",s_Irr!BC25&lt;&gt;"."),s_dir!AF25/((1/1000)*(s_Irr!E25+s_Irr!BC25)),IF(AND(s_Irr!E25=".",s_Irr!AD25&lt;&gt;".",s_Irr!BC25&lt;&gt;"."),s_dir!AF25/((1/1000)*(s_Irr!AD25+s_Irr!BC25)),IF(AND(s_Irr!E25=".",s_Irr!AD25=".",s_Irr!BC25&lt;&gt;"."),s_dir!AF25/((1/1000)*(s_Irr!BC25)),IF(AND(s_Irr!E25=".",s_Irr!AD25&lt;&gt;".",s_Irr!BC25="."),s_dir!AF25/((1/1000)*(s_Irr!AD25)),IF(AND(s_Irr!E25&lt;&gt;".",s_Irr!AD25=".",s_Irr!BC25="."),s_dir!AF25/((1/1000)*(s_Irr!E25)),IF(AND(s_Irr!E25=".",s_Irr!AD25=".",s_Irr!BC25="."),s_dir!AF25*1000)))))))),".")</f>
        <v>.</v>
      </c>
      <c r="BG25" s="70" t="str">
        <f>IFERROR(IF(AND(s_Irr!F25&lt;&gt;".",s_Irr!AE25&lt;&gt;".",s_Irr!BD25&lt;&gt;"."),s_dir!AG25/((1/1000)*(s_Irr!F25+s_Irr!AE25+s_Irr!BD25)),IF(AND(s_Irr!F25&lt;&gt;".",s_Irr!AE25&lt;&gt;".",s_Irr!BD25="."),s_dir!AG25/((1/1000)*(s_Irr!F25+s_Irr!AE25)),IF(AND(s_Irr!F25&lt;&gt;".",s_Irr!AE25=".",s_Irr!BD25&lt;&gt;"."),s_dir!AG25/((1/1000)*(s_Irr!F25+s_Irr!BD25)),IF(AND(s_Irr!F25=".",s_Irr!AE25&lt;&gt;".",s_Irr!BD25&lt;&gt;"."),s_dir!AG25/((1/1000)*(s_Irr!AE25+s_Irr!BD25)),IF(AND(s_Irr!F25=".",s_Irr!AE25=".",s_Irr!BD25&lt;&gt;"."),s_dir!AG25/((1/1000)*(s_Irr!BD25)),IF(AND(s_Irr!F25=".",s_Irr!AE25&lt;&gt;".",s_Irr!BD25="."),s_dir!AG25/((1/1000)*(s_Irr!AE25)),IF(AND(s_Irr!F25&lt;&gt;".",s_Irr!AE25=".",s_Irr!BD25="."),s_dir!AG25/((1/1000)*(s_Irr!F25)),IF(AND(s_Irr!F25=".",s_Irr!AE25=".",s_Irr!BD25="."),s_dir!AG25*1000)))))))),".")</f>
        <v>.</v>
      </c>
      <c r="BH25" s="70" t="str">
        <f>IFERROR(IF(AND(s_Irr!G25&lt;&gt;".",s_Irr!AF25&lt;&gt;".",s_Irr!BE25&lt;&gt;"."),s_dir!AH25/((1/1000)*(s_Irr!G25+s_Irr!AF25+s_Irr!BE25)),IF(AND(s_Irr!G25&lt;&gt;".",s_Irr!AF25&lt;&gt;".",s_Irr!BE25="."),s_dir!AH25/((1/1000)*(s_Irr!G25+s_Irr!AF25)),IF(AND(s_Irr!G25&lt;&gt;".",s_Irr!AF25=".",s_Irr!BE25&lt;&gt;"."),s_dir!AH25/((1/1000)*(s_Irr!G25+s_Irr!BE25)),IF(AND(s_Irr!G25=".",s_Irr!AF25&lt;&gt;".",s_Irr!BE25&lt;&gt;"."),s_dir!AH25/((1/1000)*(s_Irr!AF25+s_Irr!BE25)),IF(AND(s_Irr!G25=".",s_Irr!AF25=".",s_Irr!BE25&lt;&gt;"."),s_dir!AH25/((1/1000)*(s_Irr!BE25)),IF(AND(s_Irr!G25=".",s_Irr!AF25&lt;&gt;".",s_Irr!BE25="."),s_dir!AH25/((1/1000)*(s_Irr!AF25)),IF(AND(s_Irr!G25&lt;&gt;".",s_Irr!AF25=".",s_Irr!BE25="."),s_dir!AH25/((1/1000)*(s_Irr!G25)),IF(AND(s_Irr!G25=".",s_Irr!AF25=".",s_Irr!BE25="."),s_dir!AH25*1000)))))))),".")</f>
        <v>.</v>
      </c>
      <c r="BI25" s="70" t="str">
        <f>IFERROR(IF(AND(s_Irr!H25&lt;&gt;".",s_Irr!AG25&lt;&gt;".",s_Irr!BF25&lt;&gt;"."),s_dir!AI25/((1/1000)*(s_Irr!H25+s_Irr!AG25+s_Irr!BF25)),IF(AND(s_Irr!H25&lt;&gt;".",s_Irr!AG25&lt;&gt;".",s_Irr!BF25="."),s_dir!AI25/((1/1000)*(s_Irr!H25+s_Irr!AG25)),IF(AND(s_Irr!H25&lt;&gt;".",s_Irr!AG25=".",s_Irr!BF25&lt;&gt;"."),s_dir!AI25/((1/1000)*(s_Irr!H25+s_Irr!BF25)),IF(AND(s_Irr!H25=".",s_Irr!AG25&lt;&gt;".",s_Irr!BF25&lt;&gt;"."),s_dir!AI25/((1/1000)*(s_Irr!AG25+s_Irr!BF25)),IF(AND(s_Irr!H25=".",s_Irr!AG25=".",s_Irr!BF25&lt;&gt;"."),s_dir!AI25/((1/1000)*(s_Irr!BF25)),IF(AND(s_Irr!H25=".",s_Irr!AG25&lt;&gt;".",s_Irr!BF25="."),s_dir!AI25/((1/1000)*(s_Irr!AG25)),IF(AND(s_Irr!H25&lt;&gt;".",s_Irr!AG25=".",s_Irr!BF25="."),s_dir!AI25/((1/1000)*(s_Irr!H25)),IF(AND(s_Irr!H25=".",s_Irr!AG25=".",s_Irr!BF25="."),s_dir!AI25*1000)))))))),".")</f>
        <v>.</v>
      </c>
      <c r="BJ25" s="70" t="str">
        <f>IFERROR(IF(AND(s_Irr!I25&lt;&gt;".",s_Irr!AH25&lt;&gt;".",s_Irr!BG25&lt;&gt;"."),s_dir!AJ25/((1/1000)*(s_Irr!I25+s_Irr!AH25+s_Irr!BG25)),IF(AND(s_Irr!I25&lt;&gt;".",s_Irr!AH25&lt;&gt;".",s_Irr!BG25="."),s_dir!AJ25/((1/1000)*(s_Irr!I25+s_Irr!AH25)),IF(AND(s_Irr!I25&lt;&gt;".",s_Irr!AH25=".",s_Irr!BG25&lt;&gt;"."),s_dir!AJ25/((1/1000)*(s_Irr!I25+s_Irr!BG25)),IF(AND(s_Irr!I25=".",s_Irr!AH25&lt;&gt;".",s_Irr!BG25&lt;&gt;"."),s_dir!AJ25/((1/1000)*(s_Irr!AH25+s_Irr!BG25)),IF(AND(s_Irr!I25=".",s_Irr!AH25=".",s_Irr!BG25&lt;&gt;"."),s_dir!AJ25/((1/1000)*(s_Irr!BG25)),IF(AND(s_Irr!I25=".",s_Irr!AH25&lt;&gt;".",s_Irr!BG25="."),s_dir!AJ25/((1/1000)*(s_Irr!AH25)),IF(AND(s_Irr!I25&lt;&gt;".",s_Irr!AH25=".",s_Irr!BG25="."),s_dir!AJ25/((1/1000)*(s_Irr!I25)),IF(AND(s_Irr!I25=".",s_Irr!AH25=".",s_Irr!BG25="."),s_dir!AJ25*1000)))))))),".")</f>
        <v>.</v>
      </c>
      <c r="BK25" s="70" t="str">
        <f>IFERROR(IF(AND(s_Irr!J25&lt;&gt;".",s_Irr!AI25&lt;&gt;".",s_Irr!BH25&lt;&gt;"."),s_dir!AK25/((1/1000)*(s_Irr!J25+s_Irr!AI25+s_Irr!BH25)),IF(AND(s_Irr!J25&lt;&gt;".",s_Irr!AI25&lt;&gt;".",s_Irr!BH25="."),s_dir!AK25/((1/1000)*(s_Irr!J25+s_Irr!AI25)),IF(AND(s_Irr!J25&lt;&gt;".",s_Irr!AI25=".",s_Irr!BH25&lt;&gt;"."),s_dir!AK25/((1/1000)*(s_Irr!J25+s_Irr!BH25)),IF(AND(s_Irr!J25=".",s_Irr!AI25&lt;&gt;".",s_Irr!BH25&lt;&gt;"."),s_dir!AK25/((1/1000)*(s_Irr!AI25+s_Irr!BH25)),IF(AND(s_Irr!J25=".",s_Irr!AI25=".",s_Irr!BH25&lt;&gt;"."),s_dir!AK25/((1/1000)*(s_Irr!BH25)),IF(AND(s_Irr!J25=".",s_Irr!AI25&lt;&gt;".",s_Irr!BH25="."),s_dir!AK25/((1/1000)*(s_Irr!AI25)),IF(AND(s_Irr!J25&lt;&gt;".",s_Irr!AI25=".",s_Irr!BH25="."),s_dir!AK25/((1/1000)*(s_Irr!J25)),IF(AND(s_Irr!J25=".",s_Irr!AI25=".",s_Irr!BH25="."),s_dir!AK25*1000)))))))),".")</f>
        <v>.</v>
      </c>
      <c r="BL25" s="70" t="str">
        <f>IFERROR(IF(AND(s_Irr!K25&lt;&gt;".",s_Irr!AJ25&lt;&gt;".",s_Irr!BI25&lt;&gt;"."),s_dir!AL25/((1/1000)*(s_Irr!K25+s_Irr!AJ25+s_Irr!BI25)),IF(AND(s_Irr!K25&lt;&gt;".",s_Irr!AJ25&lt;&gt;".",s_Irr!BI25="."),s_dir!AL25/((1/1000)*(s_Irr!K25+s_Irr!AJ25)),IF(AND(s_Irr!K25&lt;&gt;".",s_Irr!AJ25=".",s_Irr!BI25&lt;&gt;"."),s_dir!AL25/((1/1000)*(s_Irr!K25+s_Irr!BI25)),IF(AND(s_Irr!K25=".",s_Irr!AJ25&lt;&gt;".",s_Irr!BI25&lt;&gt;"."),s_dir!AL25/((1/1000)*(s_Irr!AJ25+s_Irr!BI25)),IF(AND(s_Irr!K25=".",s_Irr!AJ25=".",s_Irr!BI25&lt;&gt;"."),s_dir!AL25/((1/1000)*(s_Irr!BI25)),IF(AND(s_Irr!K25=".",s_Irr!AJ25&lt;&gt;".",s_Irr!BI25="."),s_dir!AL25/((1/1000)*(s_Irr!AJ25)),IF(AND(s_Irr!K25&lt;&gt;".",s_Irr!AJ25=".",s_Irr!BI25="."),s_dir!AL25/((1/1000)*(s_Irr!K25)),IF(AND(s_Irr!K25=".",s_Irr!AJ25=".",s_Irr!BI25="."),s_dir!AL25*1000)))))))),".")</f>
        <v>.</v>
      </c>
      <c r="BM25" s="70" t="str">
        <f>IFERROR(IF(AND(s_Irr!L25&lt;&gt;".",s_Irr!AK25&lt;&gt;".",s_Irr!BJ25&lt;&gt;"."),s_dir!AM25/((1/1000)*(s_Irr!L25+s_Irr!AK25+s_Irr!BJ25)),IF(AND(s_Irr!L25&lt;&gt;".",s_Irr!AK25&lt;&gt;".",s_Irr!BJ25="."),s_dir!AM25/((1/1000)*(s_Irr!L25+s_Irr!AK25)),IF(AND(s_Irr!L25&lt;&gt;".",s_Irr!AK25=".",s_Irr!BJ25&lt;&gt;"."),s_dir!AM25/((1/1000)*(s_Irr!L25+s_Irr!BJ25)),IF(AND(s_Irr!L25=".",s_Irr!AK25&lt;&gt;".",s_Irr!BJ25&lt;&gt;"."),s_dir!AM25/((1/1000)*(s_Irr!AK25+s_Irr!BJ25)),IF(AND(s_Irr!L25=".",s_Irr!AK25=".",s_Irr!BJ25&lt;&gt;"."),s_dir!AM25/((1/1000)*(s_Irr!BJ25)),IF(AND(s_Irr!L25=".",s_Irr!AK25&lt;&gt;".",s_Irr!BJ25="."),s_dir!AM25/((1/1000)*(s_Irr!AK25)),IF(AND(s_Irr!L25&lt;&gt;".",s_Irr!AK25=".",s_Irr!BJ25="."),s_dir!AM25/((1/1000)*(s_Irr!L25)),IF(AND(s_Irr!L25=".",s_Irr!AK25=".",s_Irr!BJ25="."),s_dir!AM25*1000)))))))),".")</f>
        <v>.</v>
      </c>
      <c r="BN25" s="70" t="str">
        <f>IFERROR(IF(AND(s_Irr!M25&lt;&gt;".",s_Irr!AL25&lt;&gt;".",s_Irr!BK25&lt;&gt;"."),s_dir!AN25/((1/1000)*(s_Irr!M25+s_Irr!AL25+s_Irr!BK25)),IF(AND(s_Irr!M25&lt;&gt;".",s_Irr!AL25&lt;&gt;".",s_Irr!BK25="."),s_dir!AN25/((1/1000)*(s_Irr!M25+s_Irr!AL25)),IF(AND(s_Irr!M25&lt;&gt;".",s_Irr!AL25=".",s_Irr!BK25&lt;&gt;"."),s_dir!AN25/((1/1000)*(s_Irr!M25+s_Irr!BK25)),IF(AND(s_Irr!M25=".",s_Irr!AL25&lt;&gt;".",s_Irr!BK25&lt;&gt;"."),s_dir!AN25/((1/1000)*(s_Irr!AL25+s_Irr!BK25)),IF(AND(s_Irr!M25=".",s_Irr!AL25=".",s_Irr!BK25&lt;&gt;"."),s_dir!AN25/((1/1000)*(s_Irr!BK25)),IF(AND(s_Irr!M25=".",s_Irr!AL25&lt;&gt;".",s_Irr!BK25="."),s_dir!AN25/((1/1000)*(s_Irr!AL25)),IF(AND(s_Irr!M25&lt;&gt;".",s_Irr!AL25=".",s_Irr!BK25="."),s_dir!AN25/((1/1000)*(s_Irr!M25)),IF(AND(s_Irr!M25=".",s_Irr!AL25=".",s_Irr!BK25="."),s_dir!AN25*1000)))))))),".")</f>
        <v>.</v>
      </c>
      <c r="BO25" s="70" t="str">
        <f>IFERROR(IF(AND(s_Irr!N25&lt;&gt;".",s_Irr!AM25&lt;&gt;".",s_Irr!BL25&lt;&gt;"."),s_dir!AO25/((1/1000)*(s_Irr!N25+s_Irr!AM25+s_Irr!BL25)),IF(AND(s_Irr!N25&lt;&gt;".",s_Irr!AM25&lt;&gt;".",s_Irr!BL25="."),s_dir!AO25/((1/1000)*(s_Irr!N25+s_Irr!AM25)),IF(AND(s_Irr!N25&lt;&gt;".",s_Irr!AM25=".",s_Irr!BL25&lt;&gt;"."),s_dir!AO25/((1/1000)*(s_Irr!N25+s_Irr!BL25)),IF(AND(s_Irr!N25=".",s_Irr!AM25&lt;&gt;".",s_Irr!BL25&lt;&gt;"."),s_dir!AO25/((1/1000)*(s_Irr!AM25+s_Irr!BL25)),IF(AND(s_Irr!N25=".",s_Irr!AM25=".",s_Irr!BL25&lt;&gt;"."),s_dir!AO25/((1/1000)*(s_Irr!BL25)),IF(AND(s_Irr!N25=".",s_Irr!AM25&lt;&gt;".",s_Irr!BL25="."),s_dir!AO25/((1/1000)*(s_Irr!AM25)),IF(AND(s_Irr!N25&lt;&gt;".",s_Irr!AM25=".",s_Irr!BL25="."),s_dir!AO25/((1/1000)*(s_Irr!N25)),IF(AND(s_Irr!N25=".",s_Irr!AM25=".",s_Irr!BL25="."),s_dir!AO25*1000)))))))),".")</f>
        <v>.</v>
      </c>
      <c r="BP25" s="70" t="str">
        <f>IFERROR(IF(AND(s_Irr!O25&lt;&gt;".",s_Irr!AN25&lt;&gt;".",s_Irr!BM25&lt;&gt;"."),s_dir!AP25/((1/1000)*(s_Irr!O25+s_Irr!AN25+s_Irr!BM25)),IF(AND(s_Irr!O25&lt;&gt;".",s_Irr!AN25&lt;&gt;".",s_Irr!BM25="."),s_dir!AP25/((1/1000)*(s_Irr!O25+s_Irr!AN25)),IF(AND(s_Irr!O25&lt;&gt;".",s_Irr!AN25=".",s_Irr!BM25&lt;&gt;"."),s_dir!AP25/((1/1000)*(s_Irr!O25+s_Irr!BM25)),IF(AND(s_Irr!O25=".",s_Irr!AN25&lt;&gt;".",s_Irr!BM25&lt;&gt;"."),s_dir!AP25/((1/1000)*(s_Irr!AN25+s_Irr!BM25)),IF(AND(s_Irr!O25=".",s_Irr!AN25=".",s_Irr!BM25&lt;&gt;"."),s_dir!AP25/((1/1000)*(s_Irr!BM25)),IF(AND(s_Irr!O25=".",s_Irr!AN25&lt;&gt;".",s_Irr!BM25="."),s_dir!AP25/((1/1000)*(s_Irr!AN25)),IF(AND(s_Irr!O25&lt;&gt;".",s_Irr!AN25=".",s_Irr!BM25="."),s_dir!AP25/((1/1000)*(s_Irr!O25)),IF(AND(s_Irr!O25=".",s_Irr!AN25=".",s_Irr!BM25="."),s_dir!AP25*1000)))))))),".")</f>
        <v>.</v>
      </c>
      <c r="BQ25" s="70" t="str">
        <f>IFERROR(IF(AND(s_Irr!P25&lt;&gt;".",s_Irr!AO25&lt;&gt;".",s_Irr!BN25&lt;&gt;"."),s_dir!AQ25/((1/1000)*(s_Irr!P25+s_Irr!AO25+s_Irr!BN25)),IF(AND(s_Irr!P25&lt;&gt;".",s_Irr!AO25&lt;&gt;".",s_Irr!BN25="."),s_dir!AQ25/((1/1000)*(s_Irr!P25+s_Irr!AO25)),IF(AND(s_Irr!P25&lt;&gt;".",s_Irr!AO25=".",s_Irr!BN25&lt;&gt;"."),s_dir!AQ25/((1/1000)*(s_Irr!P25+s_Irr!BN25)),IF(AND(s_Irr!P25=".",s_Irr!AO25&lt;&gt;".",s_Irr!BN25&lt;&gt;"."),s_dir!AQ25/((1/1000)*(s_Irr!AO25+s_Irr!BN25)),IF(AND(s_Irr!P25=".",s_Irr!AO25=".",s_Irr!BN25&lt;&gt;"."),s_dir!AQ25/((1/1000)*(s_Irr!BN25)),IF(AND(s_Irr!P25=".",s_Irr!AO25&lt;&gt;".",s_Irr!BN25="."),s_dir!AQ25/((1/1000)*(s_Irr!AO25)),IF(AND(s_Irr!P25&lt;&gt;".",s_Irr!AO25=".",s_Irr!BN25="."),s_dir!AQ25/((1/1000)*(s_Irr!P25)),IF(AND(s_Irr!P25=".",s_Irr!AO25=".",s_Irr!BN25="."),s_dir!AQ25*1000)))))))),".")</f>
        <v>.</v>
      </c>
      <c r="BR25" s="70" t="str">
        <f>IFERROR(IF(AND(s_Irr!Q25&lt;&gt;".",s_Irr!AP25&lt;&gt;".",s_Irr!BO25&lt;&gt;"."),s_dir!AR25/((1/1000)*(s_Irr!Q25+s_Irr!AP25+s_Irr!BO25)),IF(AND(s_Irr!Q25&lt;&gt;".",s_Irr!AP25&lt;&gt;".",s_Irr!BO25="."),s_dir!AR25/((1/1000)*(s_Irr!Q25+s_Irr!AP25)),IF(AND(s_Irr!Q25&lt;&gt;".",s_Irr!AP25=".",s_Irr!BO25&lt;&gt;"."),s_dir!AR25/((1/1000)*(s_Irr!Q25+s_Irr!BO25)),IF(AND(s_Irr!Q25=".",s_Irr!AP25&lt;&gt;".",s_Irr!BO25&lt;&gt;"."),s_dir!AR25/((1/1000)*(s_Irr!AP25+s_Irr!BO25)),IF(AND(s_Irr!Q25=".",s_Irr!AP25=".",s_Irr!BO25&lt;&gt;"."),s_dir!AR25/((1/1000)*(s_Irr!BO25)),IF(AND(s_Irr!Q25=".",s_Irr!AP25&lt;&gt;".",s_Irr!BO25="."),s_dir!AR25/((1/1000)*(s_Irr!AP25)),IF(AND(s_Irr!Q25&lt;&gt;".",s_Irr!AP25=".",s_Irr!BO25="."),s_dir!AR25/((1/1000)*(s_Irr!Q25)),IF(AND(s_Irr!Q25=".",s_Irr!AP25=".",s_Irr!BO25="."),s_dir!AR25*1000)))))))),".")</f>
        <v>.</v>
      </c>
      <c r="BS25" s="70" t="str">
        <f>IFERROR(IF(AND(s_Irr!R25&lt;&gt;".",s_Irr!AQ25&lt;&gt;".",s_Irr!BP25&lt;&gt;"."),s_dir!AS25/((1/1000)*(s_Irr!R25+s_Irr!AQ25+s_Irr!BP25)),IF(AND(s_Irr!R25&lt;&gt;".",s_Irr!AQ25&lt;&gt;".",s_Irr!BP25="."),s_dir!AS25/((1/1000)*(s_Irr!R25+s_Irr!AQ25)),IF(AND(s_Irr!R25&lt;&gt;".",s_Irr!AQ25=".",s_Irr!BP25&lt;&gt;"."),s_dir!AS25/((1/1000)*(s_Irr!R25+s_Irr!BP25)),IF(AND(s_Irr!R25=".",s_Irr!AQ25&lt;&gt;".",s_Irr!BP25&lt;&gt;"."),s_dir!AS25/((1/1000)*(s_Irr!AQ25+s_Irr!BP25)),IF(AND(s_Irr!R25=".",s_Irr!AQ25=".",s_Irr!BP25&lt;&gt;"."),s_dir!AS25/((1/1000)*(s_Irr!BP25)),IF(AND(s_Irr!R25=".",s_Irr!AQ25&lt;&gt;".",s_Irr!BP25="."),s_dir!AS25/((1/1000)*(s_Irr!AQ25)),IF(AND(s_Irr!R25&lt;&gt;".",s_Irr!AQ25=".",s_Irr!BP25="."),s_dir!AS25/((1/1000)*(s_Irr!R25)),IF(AND(s_Irr!R25=".",s_Irr!AQ25=".",s_Irr!BP25="."),s_dir!AS25*1000)))))))),".")</f>
        <v>.</v>
      </c>
      <c r="BT25" s="70" t="str">
        <f>IFERROR(IF(AND(s_Irr!S25&lt;&gt;".",s_Irr!AR25&lt;&gt;".",s_Irr!BQ25&lt;&gt;"."),s_dir!AT25/((1/1000)*(s_Irr!S25+s_Irr!AR25+s_Irr!BQ25)),IF(AND(s_Irr!S25&lt;&gt;".",s_Irr!AR25&lt;&gt;".",s_Irr!BQ25="."),s_dir!AT25/((1/1000)*(s_Irr!S25+s_Irr!AR25)),IF(AND(s_Irr!S25&lt;&gt;".",s_Irr!AR25=".",s_Irr!BQ25&lt;&gt;"."),s_dir!AT25/((1/1000)*(s_Irr!S25+s_Irr!BQ25)),IF(AND(s_Irr!S25=".",s_Irr!AR25&lt;&gt;".",s_Irr!BQ25&lt;&gt;"."),s_dir!AT25/((1/1000)*(s_Irr!AR25+s_Irr!BQ25)),IF(AND(s_Irr!S25=".",s_Irr!AR25=".",s_Irr!BQ25&lt;&gt;"."),s_dir!AT25/((1/1000)*(s_Irr!BQ25)),IF(AND(s_Irr!S25=".",s_Irr!AR25&lt;&gt;".",s_Irr!BQ25="."),s_dir!AT25/((1/1000)*(s_Irr!AR25)),IF(AND(s_Irr!S25&lt;&gt;".",s_Irr!AR25=".",s_Irr!BQ25="."),s_dir!AT25/((1/1000)*(s_Irr!S25)),IF(AND(s_Irr!S25=".",s_Irr!AR25=".",s_Irr!BQ25="."),s_dir!AT25*1000)))))))),".")</f>
        <v>.</v>
      </c>
      <c r="BU25" s="70" t="str">
        <f>IFERROR(IF(AND(s_Irr!T25&lt;&gt;".",s_Irr!AS25&lt;&gt;".",s_Irr!BR25&lt;&gt;"."),s_dir!AU25/((1/1000)*(s_Irr!T25+s_Irr!AS25+s_Irr!BR25)),IF(AND(s_Irr!T25&lt;&gt;".",s_Irr!AS25&lt;&gt;".",s_Irr!BR25="."),s_dir!AU25/((1/1000)*(s_Irr!T25+s_Irr!AS25)),IF(AND(s_Irr!T25&lt;&gt;".",s_Irr!AS25=".",s_Irr!BR25&lt;&gt;"."),s_dir!AU25/((1/1000)*(s_Irr!T25+s_Irr!BR25)),IF(AND(s_Irr!T25=".",s_Irr!AS25&lt;&gt;".",s_Irr!BR25&lt;&gt;"."),s_dir!AU25/((1/1000)*(s_Irr!AS25+s_Irr!BR25)),IF(AND(s_Irr!T25=".",s_Irr!AS25=".",s_Irr!BR25&lt;&gt;"."),s_dir!AU25/((1/1000)*(s_Irr!BR25)),IF(AND(s_Irr!T25=".",s_Irr!AS25&lt;&gt;".",s_Irr!BR25="."),s_dir!AU25/((1/1000)*(s_Irr!AS25)),IF(AND(s_Irr!T25&lt;&gt;".",s_Irr!AS25=".",s_Irr!BR25="."),s_dir!AU25/((1/1000)*(s_Irr!T25)),IF(AND(s_Irr!T25=".",s_Irr!AS25=".",s_Irr!BR25="."),s_dir!AU25*1000)))))))),".")</f>
        <v>.</v>
      </c>
      <c r="BV25" s="70" t="str">
        <f>IFERROR(IF(AND(s_Irr!U25&lt;&gt;".",s_Irr!AT25&lt;&gt;".",s_Irr!BS25&lt;&gt;"."),s_dir!AV25/((1/1000)*(s_Irr!U25+s_Irr!AT25+s_Irr!BS25)),IF(AND(s_Irr!U25&lt;&gt;".",s_Irr!AT25&lt;&gt;".",s_Irr!BS25="."),s_dir!AV25/((1/1000)*(s_Irr!U25+s_Irr!AT25)),IF(AND(s_Irr!U25&lt;&gt;".",s_Irr!AT25=".",s_Irr!BS25&lt;&gt;"."),s_dir!AV25/((1/1000)*(s_Irr!U25+s_Irr!BS25)),IF(AND(s_Irr!U25=".",s_Irr!AT25&lt;&gt;".",s_Irr!BS25&lt;&gt;"."),s_dir!AV25/((1/1000)*(s_Irr!AT25+s_Irr!BS25)),IF(AND(s_Irr!U25=".",s_Irr!AT25=".",s_Irr!BS25&lt;&gt;"."),s_dir!AV25/((1/1000)*(s_Irr!BS25)),IF(AND(s_Irr!U25=".",s_Irr!AT25&lt;&gt;".",s_Irr!BS25="."),s_dir!AV25/((1/1000)*(s_Irr!AT25)),IF(AND(s_Irr!U25&lt;&gt;".",s_Irr!AT25=".",s_Irr!BS25="."),s_dir!AV25/((1/1000)*(s_Irr!U25)),IF(AND(s_Irr!U25=".",s_Irr!AT25=".",s_Irr!BS25="."),s_dir!AV25*1000)))))))),".")</f>
        <v>.</v>
      </c>
      <c r="BW25" s="70" t="str">
        <f>IFERROR(IF(AND(s_Irr!V25&lt;&gt;".",s_Irr!AU25&lt;&gt;".",s_Irr!BT25&lt;&gt;"."),s_dir!AW25/((1/1000)*(s_Irr!V25+s_Irr!AU25+s_Irr!BT25)),IF(AND(s_Irr!V25&lt;&gt;".",s_Irr!AU25&lt;&gt;".",s_Irr!BT25="."),s_dir!AW25/((1/1000)*(s_Irr!V25+s_Irr!AU25)),IF(AND(s_Irr!V25&lt;&gt;".",s_Irr!AU25=".",s_Irr!BT25&lt;&gt;"."),s_dir!AW25/((1/1000)*(s_Irr!V25+s_Irr!BT25)),IF(AND(s_Irr!V25=".",s_Irr!AU25&lt;&gt;".",s_Irr!BT25&lt;&gt;"."),s_dir!AW25/((1/1000)*(s_Irr!AU25+s_Irr!BT25)),IF(AND(s_Irr!V25=".",s_Irr!AU25=".",s_Irr!BT25&lt;&gt;"."),s_dir!AW25/((1/1000)*(s_Irr!BT25)),IF(AND(s_Irr!V25=".",s_Irr!AU25&lt;&gt;".",s_Irr!BT25="."),s_dir!AW25/((1/1000)*(s_Irr!AU25)),IF(AND(s_Irr!V25&lt;&gt;".",s_Irr!AU25=".",s_Irr!BT25="."),s_dir!AW25/((1/1000)*(s_Irr!V25)),IF(AND(s_Irr!V25=".",s_Irr!AU25=".",s_Irr!BT25="."),s_dir!AW25*1000)))))))),".")</f>
        <v>.</v>
      </c>
      <c r="BX25" s="70" t="str">
        <f>IFERROR(IF(AND(s_Irr!W25&lt;&gt;".",s_Irr!AV25&lt;&gt;".",s_Irr!BU25&lt;&gt;"."),s_dir!AX25/((1/1000)*(s_Irr!W25+s_Irr!AV25+s_Irr!BU25)),IF(AND(s_Irr!W25&lt;&gt;".",s_Irr!AV25&lt;&gt;".",s_Irr!BU25="."),s_dir!AX25/((1/1000)*(s_Irr!W25+s_Irr!AV25)),IF(AND(s_Irr!W25&lt;&gt;".",s_Irr!AV25=".",s_Irr!BU25&lt;&gt;"."),s_dir!AX25/((1/1000)*(s_Irr!W25+s_Irr!BU25)),IF(AND(s_Irr!W25=".",s_Irr!AV25&lt;&gt;".",s_Irr!BU25&lt;&gt;"."),s_dir!AX25/((1/1000)*(s_Irr!AV25+s_Irr!BU25)),IF(AND(s_Irr!W25=".",s_Irr!AV25=".",s_Irr!BU25&lt;&gt;"."),s_dir!AX25/((1/1000)*(s_Irr!BU25)),IF(AND(s_Irr!W25=".",s_Irr!AV25&lt;&gt;".",s_Irr!BU25="."),s_dir!AX25/((1/1000)*(s_Irr!AV25)),IF(AND(s_Irr!W25&lt;&gt;".",s_Irr!AV25=".",s_Irr!BU25="."),s_dir!AX25/((1/1000)*(s_Irr!W25)),IF(AND(s_Irr!W25=".",s_Irr!AV25=".",s_Irr!BU25="."),s_dir!AX25*1000)))))))),".")</f>
        <v>.</v>
      </c>
      <c r="BY25" s="70" t="str">
        <f>IFERROR(IF(AND(s_Irr!X25&lt;&gt;".",s_Irr!AW25&lt;&gt;".",s_Irr!BV25&lt;&gt;"."),s_dir!AY25/((1/1000)*(s_Irr!X25+s_Irr!AW25+s_Irr!BV25)),IF(AND(s_Irr!X25&lt;&gt;".",s_Irr!AW25&lt;&gt;".",s_Irr!BV25="."),s_dir!AY25/((1/1000)*(s_Irr!X25+s_Irr!AW25)),IF(AND(s_Irr!X25&lt;&gt;".",s_Irr!AW25=".",s_Irr!BV25&lt;&gt;"."),s_dir!AY25/((1/1000)*(s_Irr!X25+s_Irr!BV25)),IF(AND(s_Irr!X25=".",s_Irr!AW25&lt;&gt;".",s_Irr!BV25&lt;&gt;"."),s_dir!AY25/((1/1000)*(s_Irr!AW25+s_Irr!BV25)),IF(AND(s_Irr!X25=".",s_Irr!AW25=".",s_Irr!BV25&lt;&gt;"."),s_dir!AY25/((1/1000)*(s_Irr!BV25)),IF(AND(s_Irr!X25=".",s_Irr!AW25&lt;&gt;".",s_Irr!BV25="."),s_dir!AY25/((1/1000)*(s_Irr!AW25)),IF(AND(s_Irr!X25&lt;&gt;".",s_Irr!AW25=".",s_Irr!BV25="."),s_dir!AY25/((1/1000)*(s_Irr!X25)),IF(AND(s_Irr!X25=".",s_Irr!AW25=".",s_Irr!BV25="."),s_dir!AY25*1000)))))))),".")</f>
        <v>.</v>
      </c>
      <c r="BZ25" s="70" t="str">
        <f>IFERROR(IF(AND(s_Irr!Y25&lt;&gt;".",s_Irr!AX25&lt;&gt;".",s_Irr!BW25&lt;&gt;"."),s_dir!AZ25/((1/1000)*(s_Irr!Y25+s_Irr!AX25+s_Irr!BW25)),IF(AND(s_Irr!Y25&lt;&gt;".",s_Irr!AX25&lt;&gt;".",s_Irr!BW25="."),s_dir!AZ25/((1/1000)*(s_Irr!Y25+s_Irr!AX25)),IF(AND(s_Irr!Y25&lt;&gt;".",s_Irr!AX25=".",s_Irr!BW25&lt;&gt;"."),s_dir!AZ25/((1/1000)*(s_Irr!Y25+s_Irr!BW25)),IF(AND(s_Irr!Y25=".",s_Irr!AX25&lt;&gt;".",s_Irr!BW25&lt;&gt;"."),s_dir!AZ25/((1/1000)*(s_Irr!AX25+s_Irr!BW25)),IF(AND(s_Irr!Y25=".",s_Irr!AX25=".",s_Irr!BW25&lt;&gt;"."),s_dir!AZ25/((1/1000)*(s_Irr!BW25)),IF(AND(s_Irr!Y25=".",s_Irr!AX25&lt;&gt;".",s_Irr!BW25="."),s_dir!AZ25/((1/1000)*(s_Irr!AX25)),IF(AND(s_Irr!Y25&lt;&gt;".",s_Irr!AX25=".",s_Irr!BW25="."),s_dir!AZ25/((1/1000)*(s_Irr!Y25)),IF(AND(s_Irr!Y25=".",s_Irr!AX25=".",s_Irr!BW25="."),s_dir!AZ25*1000)))))))),".")</f>
        <v>.</v>
      </c>
      <c r="CA25" s="70" t="str">
        <f>IFERROR(IF(AND(s_Irr!Z25&lt;&gt;".",s_Irr!AY25&lt;&gt;".",s_Irr!BX25&lt;&gt;"."),s_dir!BA25/((1/1000)*(s_Irr!Z25+s_Irr!AY25+s_Irr!BX25)),IF(AND(s_Irr!Z25&lt;&gt;".",s_Irr!AY25&lt;&gt;".",s_Irr!BX25="."),s_dir!BA25/((1/1000)*(s_Irr!Z25+s_Irr!AY25)),IF(AND(s_Irr!Z25&lt;&gt;".",s_Irr!AY25=".",s_Irr!BX25&lt;&gt;"."),s_dir!BA25/((1/1000)*(s_Irr!Z25+s_Irr!BX25)),IF(AND(s_Irr!Z25=".",s_Irr!AY25&lt;&gt;".",s_Irr!BX25&lt;&gt;"."),s_dir!BA25/((1/1000)*(s_Irr!AY25+s_Irr!BX25)),IF(AND(s_Irr!Z25=".",s_Irr!AY25=".",s_Irr!BX25&lt;&gt;"."),s_dir!BA25/((1/1000)*(s_Irr!BX25)),IF(AND(s_Irr!Z25=".",s_Irr!AY25&lt;&gt;".",s_Irr!BX25="."),s_dir!BA25/((1/1000)*(s_Irr!AY25)),IF(AND(s_Irr!Z25&lt;&gt;".",s_Irr!AY25=".",s_Irr!BX25="."),s_dir!BA25/((1/1000)*(s_Irr!Z25)),IF(AND(s_Irr!Z25=".",s_Irr!AY25=".",s_Irr!BX25="."),s_dir!BA25*1000)))))))),".")</f>
        <v>.</v>
      </c>
      <c r="CB25" s="70" t="str">
        <f>IFERROR(IF(AND(s_Irr!AA25&lt;&gt;".",s_Irr!AZ25&lt;&gt;".",s_Irr!BY25&lt;&gt;"."),s_dir!BB25/((1/1000)*(s_Irr!AA25+s_Irr!AZ25+s_Irr!BY25)),IF(AND(s_Irr!AA25&lt;&gt;".",s_Irr!AZ25&lt;&gt;".",s_Irr!BY25="."),s_dir!BB25/((1/1000)*(s_Irr!AA25+s_Irr!AZ25)),IF(AND(s_Irr!AA25&lt;&gt;".",s_Irr!AZ25=".",s_Irr!BY25&lt;&gt;"."),s_dir!BB25/((1/1000)*(s_Irr!AA25+s_Irr!BY25)),IF(AND(s_Irr!AA25=".",s_Irr!AZ25&lt;&gt;".",s_Irr!BY25&lt;&gt;"."),s_dir!BB25/((1/1000)*(s_Irr!AZ25+s_Irr!BY25)),IF(AND(s_Irr!AA25=".",s_Irr!AZ25=".",s_Irr!BY25&lt;&gt;"."),s_dir!BB25/((1/1000)*(s_Irr!BY25)),IF(AND(s_Irr!AA25=".",s_Irr!AZ25&lt;&gt;".",s_Irr!BY25="."),s_dir!BB25/((1/1000)*(s_Irr!AZ25)),IF(AND(s_Irr!AA25&lt;&gt;".",s_Irr!AZ25=".",s_Irr!BY25="."),s_dir!BB25/((1/1000)*(s_Irr!AA25)),IF(AND(s_Irr!AA25=".",s_Irr!AZ25=".",s_Irr!BY25="."),s_dir!BB25*1000)))))))),".")</f>
        <v>.</v>
      </c>
      <c r="CC25" s="87">
        <f t="shared" si="2"/>
        <v>0</v>
      </c>
      <c r="CD25" s="87">
        <f>IFERROR(s_C*s_IFAP_far_adj*s_CF_apple*(1/1000)*(s_Irr!C25+s_Irr!AB25+s_Irr!BA25),".")</f>
        <v>0</v>
      </c>
      <c r="CE25" s="87">
        <f>IFERROR(s_C*s_IFAS_far_adj*s_CF_asparagus*(1/1000)*(s_Irr!D25+s_Irr!AC25+s_Irr!BB25),".")</f>
        <v>0</v>
      </c>
      <c r="CF25" s="87">
        <f>IFERROR(s_C*s_IFBT_far_adj*s_CF_beet*(1/1000)*(s_Irr!E25+s_Irr!AD25+s_Irr!BC25),".")</f>
        <v>0</v>
      </c>
      <c r="CG25" s="87">
        <f>IFERROR(s_C*s_IFBE_far_adj*s_CF_berries*(1/1000)*(s_Irr!F25+s_Irr!AE25+s_Irr!BD25),".")</f>
        <v>0</v>
      </c>
      <c r="CH25" s="87">
        <f>IFERROR(s_C*s_IFBR_far_adj*s_CF_broccoli*(1/1000)*(s_Irr!G25+s_Irr!AF25+s_Irr!BE25),".")</f>
        <v>0</v>
      </c>
      <c r="CI25" s="87">
        <f>IFERROR(s_C*s_IFCB_far_adj*s_CF_cabbage*(1/1000)*(s_Irr!H25+s_Irr!AG25+s_Irr!BF25),".")</f>
        <v>0</v>
      </c>
      <c r="CJ25" s="87">
        <f>IFERROR(s_C*s_IFCR_far_adj*s_CF_carrot*(1/1000)*(s_Irr!I25+s_Irr!AH25+s_Irr!BG25),".")</f>
        <v>0</v>
      </c>
      <c r="CK25" s="87">
        <f>IFERROR(s_C*s_IFCI_far_adj*s_CF_citrus*(1/1000)*(s_Irr!J25+s_Irr!AI25+s_Irr!BH25),".")</f>
        <v>0</v>
      </c>
      <c r="CL25" s="87">
        <f>IFERROR(s_C*s_IFCO_far_adj*s_CF_corn*(1/1000)*(s_Irr!K25+s_Irr!AJ25+s_Irr!BI25),".")</f>
        <v>0</v>
      </c>
      <c r="CM25" s="87">
        <f>IFERROR(s_C*s_IFCU_far_adj*s_CF_cucumber*(1/1000)*(s_Irr!L25+s_Irr!AK25+s_Irr!BJ25),".")</f>
        <v>0</v>
      </c>
      <c r="CN25" s="87">
        <f>IFERROR(s_C*s_IFLE_far_adj*s_CF_lettuce*(1/1000)*(s_Irr!M25+s_Irr!AL25+s_Irr!BK25),".")</f>
        <v>0</v>
      </c>
      <c r="CO25" s="87">
        <f>IFERROR(s_C*s_IFLI_far_adj*s_CF_lima_bean*(1/1000)*(s_Irr!N25+s_Irr!AM25+s_Irr!BL25),".")</f>
        <v>0</v>
      </c>
      <c r="CP25" s="87">
        <f>IFERROR(s_C*s_IFOK_far_adj*s_CF_okra*(1/1000)*(s_Irr!O25+s_Irr!AN25+s_Irr!BM25),".")</f>
        <v>0</v>
      </c>
      <c r="CQ25" s="87">
        <f>IFERROR(s_C*s_IFON_far_adj*s_CF_onion*(1/1000)*(s_Irr!P25+s_Irr!AO25+s_Irr!BN25),".")</f>
        <v>0</v>
      </c>
      <c r="CR25" s="87">
        <f>IFERROR(s_C*s_IFPC_far_adj*s_CF_peach*(1/1000)*(s_Irr!Q25+s_Irr!AP25+s_Irr!BO25),".")</f>
        <v>0</v>
      </c>
      <c r="CS25" s="87">
        <f>IFERROR(s_C*s_IFPR_far_adj*s_CF_pear*(1/1000)*(s_Irr!R25+s_Irr!AQ25+s_Irr!BP25),".")</f>
        <v>0</v>
      </c>
      <c r="CT25" s="87">
        <f>IFERROR(s_C*s_IFPE_far_adj*s_CF_peas*(1/1000)*(s_Irr!S25+s_Irr!AR25+s_Irr!BQ25),".")</f>
        <v>0</v>
      </c>
      <c r="CU25" s="87">
        <f>IFERROR(s_C*s_IFPP_far_adj*s_CF_peppers*(1/1000)*(s_Irr!T25+s_Irr!AS25+s_Irr!BR25),".")</f>
        <v>0</v>
      </c>
      <c r="CV25" s="87">
        <f>IFERROR(s_C*s_IFPT_far_adj*s_CF_potato*(1/1000)*(s_Irr!U25+s_Irr!AT25+s_Irr!BS25),".")</f>
        <v>0</v>
      </c>
      <c r="CW25" s="87">
        <f>IFERROR(s_C*s_IFPU_far_adj*s_CF_pumpkin*(1/1000)*(s_Irr!V25+s_Irr!AU25+s_Irr!BT25),".")</f>
        <v>0</v>
      </c>
      <c r="CX25" s="87">
        <f>IFERROR(s_C*s_IFSN_far_adj*s_CF_snap_bean*(1/1000)*(s_Irr!W25+s_Irr!AV25+s_Irr!BU25),".")</f>
        <v>0</v>
      </c>
      <c r="CY25" s="87">
        <f>IFERROR(s_C*s_IFST_far_adj*s_CF_strawberry*(1/1000)*(s_Irr!X25+s_Irr!AW25+s_Irr!BV25),".")</f>
        <v>0</v>
      </c>
      <c r="CZ25" s="87">
        <f>IFERROR(s_C*s_IFTO_far_adj*s_CF_tomato*(1/1000)*(s_Irr!Y25+s_Irr!AX25+s_Irr!BW25),".")</f>
        <v>0</v>
      </c>
      <c r="DA25" s="87">
        <f>IFERROR(s_C*s_IFRI_far_adj*s_CF_rice*(1/1000)*(s_Irr!Z25+s_Irr!AY25+s_Irr!BX25),".")</f>
        <v>0</v>
      </c>
      <c r="DB25" s="87">
        <f>IFERROR(s_C*s_IFCG_far_adj*s_CF_cereal*(1/1000)*(s_Irr!AA25+s_Irr!AZ25+s_Irr!BY25),".")</f>
        <v>0</v>
      </c>
    </row>
    <row r="26" spans="1:106" ht="15" customHeight="1" x14ac:dyDescent="0.25">
      <c r="A26" s="86" t="s">
        <v>24</v>
      </c>
      <c r="B26" s="84" t="s">
        <v>1057</v>
      </c>
      <c r="C26" s="15">
        <f t="shared" si="3"/>
        <v>30.892115570245071</v>
      </c>
      <c r="D26" s="70">
        <f>IFERROR(IF(AND(s_Irr!C26&lt;&gt;".",s_Irr!AB26&lt;&gt;".",s_Irr!BA26&lt;&gt;"."),s_dir!D26/((1/1000)*(s_Irr!C26+s_Irr!AB26+s_Irr!BA26)),IF(AND(s_Irr!C26&lt;&gt;".",s_Irr!AB26&lt;&gt;".",s_Irr!BA26="."),s_dir!D26/((1/1000)*(s_Irr!C26+s_Irr!AB26)),IF(AND(s_Irr!C26&lt;&gt;".",s_Irr!AB26=".",s_Irr!BA26&lt;&gt;"."),s_dir!D26/((1/1000)*(s_Irr!C26+s_Irr!BA26)),IF(AND(s_Irr!C26=".",s_Irr!AB26&lt;&gt;".",s_Irr!BA26&lt;&gt;"."),s_dir!D26/((1/1000)*(s_Irr!AB26+s_Irr!BA26)),IF(AND(s_Irr!C26=".",s_Irr!AB26=".",s_Irr!BA26&lt;&gt;"."),s_dir!D26/((1/1000)*(s_Irr!BA26)),IF(AND(s_Irr!C26=".",s_Irr!AB26&lt;&gt;".",s_Irr!BA26="."),s_dir!D26/((1/1000)*(s_Irr!AB26)),IF(AND(s_Irr!C26&lt;&gt;".",s_Irr!AB26=".",s_Irr!BA26="."),s_dir!D26/((1/1000)*(s_Irr!C26)),IF(AND(s_Irr!C26=".",s_Irr!AB26=".",s_Irr!BA26="."),s_dir!D26*1000)))))))),".")</f>
        <v>124.36982148476007</v>
      </c>
      <c r="E26" s="70">
        <f>IFERROR(IF(AND(s_Irr!D26&lt;&gt;".",s_Irr!AC26&lt;&gt;".",s_Irr!BB26&lt;&gt;"."),s_dir!E26/((1/1000)*(s_Irr!D26+s_Irr!AC26+s_Irr!BB26)),IF(AND(s_Irr!D26&lt;&gt;".",s_Irr!AC26&lt;&gt;".",s_Irr!BB26="."),s_dir!E26/((1/1000)*(s_Irr!D26+s_Irr!AC26)),IF(AND(s_Irr!D26&lt;&gt;".",s_Irr!AC26=".",s_Irr!BB26&lt;&gt;"."),s_dir!E26/((1/1000)*(s_Irr!D26+s_Irr!BB26)),IF(AND(s_Irr!D26=".",s_Irr!AC26&lt;&gt;".",s_Irr!BB26&lt;&gt;"."),s_dir!E26/((1/1000)*(s_Irr!AC26+s_Irr!BB26)),IF(AND(s_Irr!D26=".",s_Irr!AC26=".",s_Irr!BB26&lt;&gt;"."),s_dir!E26/((1/1000)*(s_Irr!BB26)),IF(AND(s_Irr!D26=".",s_Irr!AC26&lt;&gt;".",s_Irr!BB26="."),s_dir!E26/((1/1000)*(s_Irr!AC26)),IF(AND(s_Irr!D26&lt;&gt;".",s_Irr!AC26=".",s_Irr!BB26="."),s_dir!E26/((1/1000)*(s_Irr!D26)),IF(AND(s_Irr!D26=".",s_Irr!AC26=".",s_Irr!BB26="."),s_dir!E26*1000)))))))),".")</f>
        <v>122.92044562510824</v>
      </c>
      <c r="F26" s="70">
        <f>IFERROR(IF(AND(s_Irr!E26&lt;&gt;".",s_Irr!AD26&lt;&gt;".",s_Irr!BC26&lt;&gt;"."),s_dir!F26/((1/1000)*(s_Irr!E26+s_Irr!AD26+s_Irr!BC26)),IF(AND(s_Irr!E26&lt;&gt;".",s_Irr!AD26&lt;&gt;".",s_Irr!BC26="."),s_dir!F26/((1/1000)*(s_Irr!E26+s_Irr!AD26)),IF(AND(s_Irr!E26&lt;&gt;".",s_Irr!AD26=".",s_Irr!BC26&lt;&gt;"."),s_dir!F26/((1/1000)*(s_Irr!E26+s_Irr!BC26)),IF(AND(s_Irr!E26=".",s_Irr!AD26&lt;&gt;".",s_Irr!BC26&lt;&gt;"."),s_dir!F26/((1/1000)*(s_Irr!AD26+s_Irr!BC26)),IF(AND(s_Irr!E26=".",s_Irr!AD26=".",s_Irr!BC26&lt;&gt;"."),s_dir!F26/((1/1000)*(s_Irr!BC26)),IF(AND(s_Irr!E26=".",s_Irr!AD26&lt;&gt;".",s_Irr!BC26="."),s_dir!F26/((1/1000)*(s_Irr!AD26)),IF(AND(s_Irr!E26&lt;&gt;".",s_Irr!AD26=".",s_Irr!BC26="."),s_dir!F26/((1/1000)*(s_Irr!E26)),IF(AND(s_Irr!E26=".",s_Irr!AD26=".",s_Irr!BC26="."),s_dir!F26*1000)))))))),".")</f>
        <v>123.7444961791537</v>
      </c>
      <c r="G26" s="70">
        <f>IFERROR(IF(AND(s_Irr!F26&lt;&gt;".",s_Irr!AE26&lt;&gt;".",s_Irr!BD26&lt;&gt;"."),s_dir!G26/((1/1000)*(s_Irr!F26+s_Irr!AE26+s_Irr!BD26)),IF(AND(s_Irr!F26&lt;&gt;".",s_Irr!AE26&lt;&gt;".",s_Irr!BD26="."),s_dir!G26/((1/1000)*(s_Irr!F26+s_Irr!AE26)),IF(AND(s_Irr!F26&lt;&gt;".",s_Irr!AE26=".",s_Irr!BD26&lt;&gt;"."),s_dir!G26/((1/1000)*(s_Irr!F26+s_Irr!BD26)),IF(AND(s_Irr!F26=".",s_Irr!AE26&lt;&gt;".",s_Irr!BD26&lt;&gt;"."),s_dir!G26/((1/1000)*(s_Irr!AE26+s_Irr!BD26)),IF(AND(s_Irr!F26=".",s_Irr!AE26=".",s_Irr!BD26&lt;&gt;"."),s_dir!G26/((1/1000)*(s_Irr!BD26)),IF(AND(s_Irr!F26=".",s_Irr!AE26&lt;&gt;".",s_Irr!BD26="."),s_dir!G26/((1/1000)*(s_Irr!AE26)),IF(AND(s_Irr!F26&lt;&gt;".",s_Irr!AE26=".",s_Irr!BD26="."),s_dir!G26/((1/1000)*(s_Irr!F26)),IF(AND(s_Irr!F26=".",s_Irr!AE26=".",s_Irr!BD26="."),s_dir!G26*1000)))))))),".")</f>
        <v>124.36982148476007</v>
      </c>
      <c r="H26" s="70">
        <f>IFERROR(IF(AND(s_Irr!G26&lt;&gt;".",s_Irr!AF26&lt;&gt;".",s_Irr!BE26&lt;&gt;"."),s_dir!H26/((1/1000)*(s_Irr!G26+s_Irr!AF26+s_Irr!BE26)),IF(AND(s_Irr!G26&lt;&gt;".",s_Irr!AF26&lt;&gt;".",s_Irr!BE26="."),s_dir!H26/((1/1000)*(s_Irr!G26+s_Irr!AF26)),IF(AND(s_Irr!G26&lt;&gt;".",s_Irr!AF26=".",s_Irr!BE26&lt;&gt;"."),s_dir!H26/((1/1000)*(s_Irr!G26+s_Irr!BE26)),IF(AND(s_Irr!G26=".",s_Irr!AF26&lt;&gt;".",s_Irr!BE26&lt;&gt;"."),s_dir!H26/((1/1000)*(s_Irr!AF26+s_Irr!BE26)),IF(AND(s_Irr!G26=".",s_Irr!AF26=".",s_Irr!BE26&lt;&gt;"."),s_dir!H26/((1/1000)*(s_Irr!BE26)),IF(AND(s_Irr!G26=".",s_Irr!AF26&lt;&gt;".",s_Irr!BE26="."),s_dir!H26/((1/1000)*(s_Irr!AF26)),IF(AND(s_Irr!G26&lt;&gt;".",s_Irr!AF26=".",s_Irr!BE26="."),s_dir!H26/((1/1000)*(s_Irr!G26)),IF(AND(s_Irr!G26=".",s_Irr!AF26=".",s_Irr!BE26="."),s_dir!H26*1000)))))))),".")</f>
        <v>123.78598883408308</v>
      </c>
      <c r="I26" s="70">
        <f>IFERROR(IF(AND(s_Irr!H26&lt;&gt;".",s_Irr!AG26&lt;&gt;".",s_Irr!BF26&lt;&gt;"."),s_dir!I26/((1/1000)*(s_Irr!H26+s_Irr!AG26+s_Irr!BF26)),IF(AND(s_Irr!H26&lt;&gt;".",s_Irr!AG26&lt;&gt;".",s_Irr!BF26="."),s_dir!I26/((1/1000)*(s_Irr!H26+s_Irr!AG26)),IF(AND(s_Irr!H26&lt;&gt;".",s_Irr!AG26=".",s_Irr!BF26&lt;&gt;"."),s_dir!I26/((1/1000)*(s_Irr!H26+s_Irr!BF26)),IF(AND(s_Irr!H26=".",s_Irr!AG26&lt;&gt;".",s_Irr!BF26&lt;&gt;"."),s_dir!I26/((1/1000)*(s_Irr!AG26+s_Irr!BF26)),IF(AND(s_Irr!H26=".",s_Irr!AG26=".",s_Irr!BF26&lt;&gt;"."),s_dir!I26/((1/1000)*(s_Irr!BF26)),IF(AND(s_Irr!H26=".",s_Irr!AG26&lt;&gt;".",s_Irr!BF26="."),s_dir!I26/((1/1000)*(s_Irr!AG26)),IF(AND(s_Irr!H26&lt;&gt;".",s_Irr!AG26=".",s_Irr!BF26="."),s_dir!I26/((1/1000)*(s_Irr!H26)),IF(AND(s_Irr!H26=".",s_Irr!AG26=".",s_Irr!BF26="."),s_dir!I26*1000)))))))),".")</f>
        <v>122.92044562510824</v>
      </c>
      <c r="J26" s="70">
        <f>IFERROR(IF(AND(s_Irr!I26&lt;&gt;".",s_Irr!AH26&lt;&gt;".",s_Irr!BG26&lt;&gt;"."),s_dir!J26/((1/1000)*(s_Irr!I26+s_Irr!AH26+s_Irr!BG26)),IF(AND(s_Irr!I26&lt;&gt;".",s_Irr!AH26&lt;&gt;".",s_Irr!BG26="."),s_dir!J26/((1/1000)*(s_Irr!I26+s_Irr!AH26)),IF(AND(s_Irr!I26&lt;&gt;".",s_Irr!AH26=".",s_Irr!BG26&lt;&gt;"."),s_dir!J26/((1/1000)*(s_Irr!I26+s_Irr!BG26)),IF(AND(s_Irr!I26=".",s_Irr!AH26&lt;&gt;".",s_Irr!BG26&lt;&gt;"."),s_dir!J26/((1/1000)*(s_Irr!AH26+s_Irr!BG26)),IF(AND(s_Irr!I26=".",s_Irr!AH26=".",s_Irr!BG26&lt;&gt;"."),s_dir!J26/((1/1000)*(s_Irr!BG26)),IF(AND(s_Irr!I26=".",s_Irr!AH26&lt;&gt;".",s_Irr!BG26="."),s_dir!J26/((1/1000)*(s_Irr!AH26)),IF(AND(s_Irr!I26&lt;&gt;".",s_Irr!AH26=".",s_Irr!BG26="."),s_dir!J26/((1/1000)*(s_Irr!I26)),IF(AND(s_Irr!I26=".",s_Irr!AH26=".",s_Irr!BG26="."),s_dir!J26*1000)))))))),".")</f>
        <v>123.7444961791537</v>
      </c>
      <c r="K26" s="70">
        <f>IFERROR(IF(AND(s_Irr!J26&lt;&gt;".",s_Irr!AI26&lt;&gt;".",s_Irr!BH26&lt;&gt;"."),s_dir!K26/((1/1000)*(s_Irr!J26+s_Irr!AI26+s_Irr!BH26)),IF(AND(s_Irr!J26&lt;&gt;".",s_Irr!AI26&lt;&gt;".",s_Irr!BH26="."),s_dir!K26/((1/1000)*(s_Irr!J26+s_Irr!AI26)),IF(AND(s_Irr!J26&lt;&gt;".",s_Irr!AI26=".",s_Irr!BH26&lt;&gt;"."),s_dir!K26/((1/1000)*(s_Irr!J26+s_Irr!BH26)),IF(AND(s_Irr!J26=".",s_Irr!AI26&lt;&gt;".",s_Irr!BH26&lt;&gt;"."),s_dir!K26/((1/1000)*(s_Irr!AI26+s_Irr!BH26)),IF(AND(s_Irr!J26=".",s_Irr!AI26=".",s_Irr!BH26&lt;&gt;"."),s_dir!K26/((1/1000)*(s_Irr!BH26)),IF(AND(s_Irr!J26=".",s_Irr!AI26&lt;&gt;".",s_Irr!BH26="."),s_dir!K26/((1/1000)*(s_Irr!AI26)),IF(AND(s_Irr!J26&lt;&gt;".",s_Irr!AI26=".",s_Irr!BH26="."),s_dir!K26/((1/1000)*(s_Irr!J26)),IF(AND(s_Irr!J26=".",s_Irr!AI26=".",s_Irr!BH26="."),s_dir!K26*1000)))))))),".")</f>
        <v>124.36982148476007</v>
      </c>
      <c r="L26" s="70">
        <f>IFERROR(IF(AND(s_Irr!K26&lt;&gt;".",s_Irr!AJ26&lt;&gt;".",s_Irr!BI26&lt;&gt;"."),s_dir!L26/((1/1000)*(s_Irr!K26+s_Irr!AJ26+s_Irr!BI26)),IF(AND(s_Irr!K26&lt;&gt;".",s_Irr!AJ26&lt;&gt;".",s_Irr!BI26="."),s_dir!L26/((1/1000)*(s_Irr!K26+s_Irr!AJ26)),IF(AND(s_Irr!K26&lt;&gt;".",s_Irr!AJ26=".",s_Irr!BI26&lt;&gt;"."),s_dir!L26/((1/1000)*(s_Irr!K26+s_Irr!BI26)),IF(AND(s_Irr!K26=".",s_Irr!AJ26&lt;&gt;".",s_Irr!BI26&lt;&gt;"."),s_dir!L26/((1/1000)*(s_Irr!AJ26+s_Irr!BI26)),IF(AND(s_Irr!K26=".",s_Irr!AJ26=".",s_Irr!BI26&lt;&gt;"."),s_dir!L26/((1/1000)*(s_Irr!BI26)),IF(AND(s_Irr!K26=".",s_Irr!AJ26&lt;&gt;".",s_Irr!BI26="."),s_dir!L26/((1/1000)*(s_Irr!AJ26)),IF(AND(s_Irr!K26&lt;&gt;".",s_Irr!AJ26=".",s_Irr!BI26="."),s_dir!L26/((1/1000)*(s_Irr!K26)),IF(AND(s_Irr!K26=".",s_Irr!AJ26=".",s_Irr!BI26="."),s_dir!L26*1000)))))))),".")</f>
        <v>124.07721837202871</v>
      </c>
      <c r="M26" s="70">
        <f>IFERROR(IF(AND(s_Irr!L26&lt;&gt;".",s_Irr!AK26&lt;&gt;".",s_Irr!BJ26&lt;&gt;"."),s_dir!M26/((1/1000)*(s_Irr!L26+s_Irr!AK26+s_Irr!BJ26)),IF(AND(s_Irr!L26&lt;&gt;".",s_Irr!AK26&lt;&gt;".",s_Irr!BJ26="."),s_dir!M26/((1/1000)*(s_Irr!L26+s_Irr!AK26)),IF(AND(s_Irr!L26&lt;&gt;".",s_Irr!AK26=".",s_Irr!BJ26&lt;&gt;"."),s_dir!M26/((1/1000)*(s_Irr!L26+s_Irr!BJ26)),IF(AND(s_Irr!L26=".",s_Irr!AK26&lt;&gt;".",s_Irr!BJ26&lt;&gt;"."),s_dir!M26/((1/1000)*(s_Irr!AK26+s_Irr!BJ26)),IF(AND(s_Irr!L26=".",s_Irr!AK26=".",s_Irr!BJ26&lt;&gt;"."),s_dir!M26/((1/1000)*(s_Irr!BJ26)),IF(AND(s_Irr!L26=".",s_Irr!AK26&lt;&gt;".",s_Irr!BJ26="."),s_dir!M26/((1/1000)*(s_Irr!AK26)),IF(AND(s_Irr!L26&lt;&gt;".",s_Irr!AK26=".",s_Irr!BJ26="."),s_dir!M26/((1/1000)*(s_Irr!L26)),IF(AND(s_Irr!L26=".",s_Irr!AK26=".",s_Irr!BJ26="."),s_dir!M26*1000)))))))),".")</f>
        <v>123.78598883408308</v>
      </c>
      <c r="N26" s="70">
        <f>IFERROR(IF(AND(s_Irr!M26&lt;&gt;".",s_Irr!AL26&lt;&gt;".",s_Irr!BK26&lt;&gt;"."),s_dir!N26/((1/1000)*(s_Irr!M26+s_Irr!AL26+s_Irr!BK26)),IF(AND(s_Irr!M26&lt;&gt;".",s_Irr!AL26&lt;&gt;".",s_Irr!BK26="."),s_dir!N26/((1/1000)*(s_Irr!M26+s_Irr!AL26)),IF(AND(s_Irr!M26&lt;&gt;".",s_Irr!AL26=".",s_Irr!BK26&lt;&gt;"."),s_dir!N26/((1/1000)*(s_Irr!M26+s_Irr!BK26)),IF(AND(s_Irr!M26=".",s_Irr!AL26&lt;&gt;".",s_Irr!BK26&lt;&gt;"."),s_dir!N26/((1/1000)*(s_Irr!AL26+s_Irr!BK26)),IF(AND(s_Irr!M26=".",s_Irr!AL26=".",s_Irr!BK26&lt;&gt;"."),s_dir!N26/((1/1000)*(s_Irr!BK26)),IF(AND(s_Irr!M26=".",s_Irr!AL26&lt;&gt;".",s_Irr!BK26="."),s_dir!N26/((1/1000)*(s_Irr!AL26)),IF(AND(s_Irr!M26&lt;&gt;".",s_Irr!AL26=".",s_Irr!BK26="."),s_dir!N26/((1/1000)*(s_Irr!M26)),IF(AND(s_Irr!M26=".",s_Irr!AL26=".",s_Irr!BK26="."),s_dir!N26*1000)))))))),".")</f>
        <v>122.92044562510824</v>
      </c>
      <c r="O26" s="70">
        <f>IFERROR(IF(AND(s_Irr!N26&lt;&gt;".",s_Irr!AM26&lt;&gt;".",s_Irr!BL26&lt;&gt;"."),s_dir!O26/((1/1000)*(s_Irr!N26+s_Irr!AM26+s_Irr!BL26)),IF(AND(s_Irr!N26&lt;&gt;".",s_Irr!AM26&lt;&gt;".",s_Irr!BL26="."),s_dir!O26/((1/1000)*(s_Irr!N26+s_Irr!AM26)),IF(AND(s_Irr!N26&lt;&gt;".",s_Irr!AM26=".",s_Irr!BL26&lt;&gt;"."),s_dir!O26/((1/1000)*(s_Irr!N26+s_Irr!BL26)),IF(AND(s_Irr!N26=".",s_Irr!AM26&lt;&gt;".",s_Irr!BL26&lt;&gt;"."),s_dir!O26/((1/1000)*(s_Irr!AM26+s_Irr!BL26)),IF(AND(s_Irr!N26=".",s_Irr!AM26=".",s_Irr!BL26&lt;&gt;"."),s_dir!O26/((1/1000)*(s_Irr!BL26)),IF(AND(s_Irr!N26=".",s_Irr!AM26&lt;&gt;".",s_Irr!BL26="."),s_dir!O26/((1/1000)*(s_Irr!AM26)),IF(AND(s_Irr!N26&lt;&gt;".",s_Irr!AM26=".",s_Irr!BL26="."),s_dir!O26/((1/1000)*(s_Irr!N26)),IF(AND(s_Irr!N26=".",s_Irr!AM26=".",s_Irr!BL26="."),s_dir!O26*1000)))))))),".")</f>
        <v>124.30700469847686</v>
      </c>
      <c r="P26" s="70">
        <f>IFERROR(IF(AND(s_Irr!O26&lt;&gt;".",s_Irr!AN26&lt;&gt;".",s_Irr!BM26&lt;&gt;"."),s_dir!P26/((1/1000)*(s_Irr!O26+s_Irr!AN26+s_Irr!BM26)),IF(AND(s_Irr!O26&lt;&gt;".",s_Irr!AN26&lt;&gt;".",s_Irr!BM26="."),s_dir!P26/((1/1000)*(s_Irr!O26+s_Irr!AN26)),IF(AND(s_Irr!O26&lt;&gt;".",s_Irr!AN26=".",s_Irr!BM26&lt;&gt;"."),s_dir!P26/((1/1000)*(s_Irr!O26+s_Irr!BM26)),IF(AND(s_Irr!O26=".",s_Irr!AN26&lt;&gt;".",s_Irr!BM26&lt;&gt;"."),s_dir!P26/((1/1000)*(s_Irr!AN26+s_Irr!BM26)),IF(AND(s_Irr!O26=".",s_Irr!AN26=".",s_Irr!BM26&lt;&gt;"."),s_dir!P26/((1/1000)*(s_Irr!BM26)),IF(AND(s_Irr!O26=".",s_Irr!AN26&lt;&gt;".",s_Irr!BM26="."),s_dir!P26/((1/1000)*(s_Irr!AN26)),IF(AND(s_Irr!O26&lt;&gt;".",s_Irr!AN26=".",s_Irr!BM26="."),s_dir!P26/((1/1000)*(s_Irr!O26)),IF(AND(s_Irr!O26=".",s_Irr!AN26=".",s_Irr!BM26="."),s_dir!P26*1000)))))))),".")</f>
        <v>123.78598883408308</v>
      </c>
      <c r="Q26" s="70">
        <f>IFERROR(IF(AND(s_Irr!P26&lt;&gt;".",s_Irr!AO26&lt;&gt;".",s_Irr!BN26&lt;&gt;"."),s_dir!Q26/((1/1000)*(s_Irr!P26+s_Irr!AO26+s_Irr!BN26)),IF(AND(s_Irr!P26&lt;&gt;".",s_Irr!AO26&lt;&gt;".",s_Irr!BN26="."),s_dir!Q26/((1/1000)*(s_Irr!P26+s_Irr!AO26)),IF(AND(s_Irr!P26&lt;&gt;".",s_Irr!AO26=".",s_Irr!BN26&lt;&gt;"."),s_dir!Q26/((1/1000)*(s_Irr!P26+s_Irr!BN26)),IF(AND(s_Irr!P26=".",s_Irr!AO26&lt;&gt;".",s_Irr!BN26&lt;&gt;"."),s_dir!Q26/((1/1000)*(s_Irr!AO26+s_Irr!BN26)),IF(AND(s_Irr!P26=".",s_Irr!AO26=".",s_Irr!BN26&lt;&gt;"."),s_dir!Q26/((1/1000)*(s_Irr!BN26)),IF(AND(s_Irr!P26=".",s_Irr!AO26&lt;&gt;".",s_Irr!BN26="."),s_dir!Q26/((1/1000)*(s_Irr!AO26)),IF(AND(s_Irr!P26&lt;&gt;".",s_Irr!AO26=".",s_Irr!BN26="."),s_dir!Q26/((1/1000)*(s_Irr!P26)),IF(AND(s_Irr!P26=".",s_Irr!AO26=".",s_Irr!BN26="."),s_dir!Q26*1000)))))))),".")</f>
        <v>123.7444961791537</v>
      </c>
      <c r="R26" s="70">
        <f>IFERROR(IF(AND(s_Irr!Q26&lt;&gt;".",s_Irr!AP26&lt;&gt;".",s_Irr!BO26&lt;&gt;"."),s_dir!R26/((1/1000)*(s_Irr!Q26+s_Irr!AP26+s_Irr!BO26)),IF(AND(s_Irr!Q26&lt;&gt;".",s_Irr!AP26&lt;&gt;".",s_Irr!BO26="."),s_dir!R26/((1/1000)*(s_Irr!Q26+s_Irr!AP26)),IF(AND(s_Irr!Q26&lt;&gt;".",s_Irr!AP26=".",s_Irr!BO26&lt;&gt;"."),s_dir!R26/((1/1000)*(s_Irr!Q26+s_Irr!BO26)),IF(AND(s_Irr!Q26=".",s_Irr!AP26&lt;&gt;".",s_Irr!BO26&lt;&gt;"."),s_dir!R26/((1/1000)*(s_Irr!AP26+s_Irr!BO26)),IF(AND(s_Irr!Q26=".",s_Irr!AP26=".",s_Irr!BO26&lt;&gt;"."),s_dir!R26/((1/1000)*(s_Irr!BO26)),IF(AND(s_Irr!Q26=".",s_Irr!AP26&lt;&gt;".",s_Irr!BO26="."),s_dir!R26/((1/1000)*(s_Irr!AP26)),IF(AND(s_Irr!Q26&lt;&gt;".",s_Irr!AP26=".",s_Irr!BO26="."),s_dir!R26/((1/1000)*(s_Irr!Q26)),IF(AND(s_Irr!Q26=".",s_Irr!AP26=".",s_Irr!BO26="."),s_dir!R26*1000)))))))),".")</f>
        <v>124.36982148476007</v>
      </c>
      <c r="S26" s="70">
        <f>IFERROR(IF(AND(s_Irr!R26&lt;&gt;".",s_Irr!AQ26&lt;&gt;".",s_Irr!BP26&lt;&gt;"."),s_dir!S26/((1/1000)*(s_Irr!R26+s_Irr!AQ26+s_Irr!BP26)),IF(AND(s_Irr!R26&lt;&gt;".",s_Irr!AQ26&lt;&gt;".",s_Irr!BP26="."),s_dir!S26/((1/1000)*(s_Irr!R26+s_Irr!AQ26)),IF(AND(s_Irr!R26&lt;&gt;".",s_Irr!AQ26=".",s_Irr!BP26&lt;&gt;"."),s_dir!S26/((1/1000)*(s_Irr!R26+s_Irr!BP26)),IF(AND(s_Irr!R26=".",s_Irr!AQ26&lt;&gt;".",s_Irr!BP26&lt;&gt;"."),s_dir!S26/((1/1000)*(s_Irr!AQ26+s_Irr!BP26)),IF(AND(s_Irr!R26=".",s_Irr!AQ26=".",s_Irr!BP26&lt;&gt;"."),s_dir!S26/((1/1000)*(s_Irr!BP26)),IF(AND(s_Irr!R26=".",s_Irr!AQ26&lt;&gt;".",s_Irr!BP26="."),s_dir!S26/((1/1000)*(s_Irr!AQ26)),IF(AND(s_Irr!R26&lt;&gt;".",s_Irr!AQ26=".",s_Irr!BP26="."),s_dir!S26/((1/1000)*(s_Irr!R26)),IF(AND(s_Irr!R26=".",s_Irr!AQ26=".",s_Irr!BP26="."),s_dir!S26*1000)))))))),".")</f>
        <v>124.36982148476007</v>
      </c>
      <c r="T26" s="70">
        <f>IFERROR(IF(AND(s_Irr!S26&lt;&gt;".",s_Irr!AR26&lt;&gt;".",s_Irr!BQ26&lt;&gt;"."),s_dir!T26/((1/1000)*(s_Irr!S26+s_Irr!AR26+s_Irr!BQ26)),IF(AND(s_Irr!S26&lt;&gt;".",s_Irr!AR26&lt;&gt;".",s_Irr!BQ26="."),s_dir!T26/((1/1000)*(s_Irr!S26+s_Irr!AR26)),IF(AND(s_Irr!S26&lt;&gt;".",s_Irr!AR26=".",s_Irr!BQ26&lt;&gt;"."),s_dir!T26/((1/1000)*(s_Irr!S26+s_Irr!BQ26)),IF(AND(s_Irr!S26=".",s_Irr!AR26&lt;&gt;".",s_Irr!BQ26&lt;&gt;"."),s_dir!T26/((1/1000)*(s_Irr!AR26+s_Irr!BQ26)),IF(AND(s_Irr!S26=".",s_Irr!AR26=".",s_Irr!BQ26&lt;&gt;"."),s_dir!T26/((1/1000)*(s_Irr!BQ26)),IF(AND(s_Irr!S26=".",s_Irr!AR26&lt;&gt;".",s_Irr!BQ26="."),s_dir!T26/((1/1000)*(s_Irr!AR26)),IF(AND(s_Irr!S26&lt;&gt;".",s_Irr!AR26=".",s_Irr!BQ26="."),s_dir!T26/((1/1000)*(s_Irr!S26)),IF(AND(s_Irr!S26=".",s_Irr!AR26=".",s_Irr!BQ26="."),s_dir!T26*1000)))))))),".")</f>
        <v>124.30700469847686</v>
      </c>
      <c r="U26" s="70">
        <f>IFERROR(IF(AND(s_Irr!T26&lt;&gt;".",s_Irr!AS26&lt;&gt;".",s_Irr!BR26&lt;&gt;"."),s_dir!U26/((1/1000)*(s_Irr!T26+s_Irr!AS26+s_Irr!BR26)),IF(AND(s_Irr!T26&lt;&gt;".",s_Irr!AS26&lt;&gt;".",s_Irr!BR26="."),s_dir!U26/((1/1000)*(s_Irr!T26+s_Irr!AS26)),IF(AND(s_Irr!T26&lt;&gt;".",s_Irr!AS26=".",s_Irr!BR26&lt;&gt;"."),s_dir!U26/((1/1000)*(s_Irr!T26+s_Irr!BR26)),IF(AND(s_Irr!T26=".",s_Irr!AS26&lt;&gt;".",s_Irr!BR26&lt;&gt;"."),s_dir!U26/((1/1000)*(s_Irr!AS26+s_Irr!BR26)),IF(AND(s_Irr!T26=".",s_Irr!AS26=".",s_Irr!BR26&lt;&gt;"."),s_dir!U26/((1/1000)*(s_Irr!BR26)),IF(AND(s_Irr!T26=".",s_Irr!AS26&lt;&gt;".",s_Irr!BR26="."),s_dir!U26/((1/1000)*(s_Irr!AS26)),IF(AND(s_Irr!T26&lt;&gt;".",s_Irr!AS26=".",s_Irr!BR26="."),s_dir!U26/((1/1000)*(s_Irr!T26)),IF(AND(s_Irr!T26=".",s_Irr!AS26=".",s_Irr!BR26="."),s_dir!U26*1000)))))))),".")</f>
        <v>123.78598883408308</v>
      </c>
      <c r="V26" s="70">
        <f>IFERROR(IF(AND(s_Irr!U26&lt;&gt;".",s_Irr!AT26&lt;&gt;".",s_Irr!BS26&lt;&gt;"."),s_dir!V26/((1/1000)*(s_Irr!U26+s_Irr!AT26+s_Irr!BS26)),IF(AND(s_Irr!U26&lt;&gt;".",s_Irr!AT26&lt;&gt;".",s_Irr!BS26="."),s_dir!V26/((1/1000)*(s_Irr!U26+s_Irr!AT26)),IF(AND(s_Irr!U26&lt;&gt;".",s_Irr!AT26=".",s_Irr!BS26&lt;&gt;"."),s_dir!V26/((1/1000)*(s_Irr!U26+s_Irr!BS26)),IF(AND(s_Irr!U26=".",s_Irr!AT26&lt;&gt;".",s_Irr!BS26&lt;&gt;"."),s_dir!V26/((1/1000)*(s_Irr!AT26+s_Irr!BS26)),IF(AND(s_Irr!U26=".",s_Irr!AT26=".",s_Irr!BS26&lt;&gt;"."),s_dir!V26/((1/1000)*(s_Irr!BS26)),IF(AND(s_Irr!U26=".",s_Irr!AT26&lt;&gt;".",s_Irr!BS26="."),s_dir!V26/((1/1000)*(s_Irr!AT26)),IF(AND(s_Irr!U26&lt;&gt;".",s_Irr!AT26=".",s_Irr!BS26="."),s_dir!V26/((1/1000)*(s_Irr!U26)),IF(AND(s_Irr!U26=".",s_Irr!AT26=".",s_Irr!BS26="."),s_dir!V26*1000)))))))),".")</f>
        <v>125.0014988756681</v>
      </c>
      <c r="W26" s="70">
        <f>IFERROR(IF(AND(s_Irr!V26&lt;&gt;".",s_Irr!AU26&lt;&gt;".",s_Irr!BT26&lt;&gt;"."),s_dir!W26/((1/1000)*(s_Irr!V26+s_Irr!AU26+s_Irr!BT26)),IF(AND(s_Irr!V26&lt;&gt;".",s_Irr!AU26&lt;&gt;".",s_Irr!BT26="."),s_dir!W26/((1/1000)*(s_Irr!V26+s_Irr!AU26)),IF(AND(s_Irr!V26&lt;&gt;".",s_Irr!AU26=".",s_Irr!BT26&lt;&gt;"."),s_dir!W26/((1/1000)*(s_Irr!V26+s_Irr!BT26)),IF(AND(s_Irr!V26=".",s_Irr!AU26&lt;&gt;".",s_Irr!BT26&lt;&gt;"."),s_dir!W26/((1/1000)*(s_Irr!AU26+s_Irr!BT26)),IF(AND(s_Irr!V26=".",s_Irr!AU26=".",s_Irr!BT26&lt;&gt;"."),s_dir!W26/((1/1000)*(s_Irr!BT26)),IF(AND(s_Irr!V26=".",s_Irr!AU26&lt;&gt;".",s_Irr!BT26="."),s_dir!W26/((1/1000)*(s_Irr!AU26)),IF(AND(s_Irr!V26&lt;&gt;".",s_Irr!AU26=".",s_Irr!BT26="."),s_dir!W26/((1/1000)*(s_Irr!V26)),IF(AND(s_Irr!V26=".",s_Irr!AU26=".",s_Irr!BT26="."),s_dir!W26*1000)))))))),".")</f>
        <v>123.78598883408308</v>
      </c>
      <c r="X26" s="70">
        <f>IFERROR(IF(AND(s_Irr!W26&lt;&gt;".",s_Irr!AV26&lt;&gt;".",s_Irr!BU26&lt;&gt;"."),s_dir!X26/((1/1000)*(s_Irr!W26+s_Irr!AV26+s_Irr!BU26)),IF(AND(s_Irr!W26&lt;&gt;".",s_Irr!AV26&lt;&gt;".",s_Irr!BU26="."),s_dir!X26/((1/1000)*(s_Irr!W26+s_Irr!AV26)),IF(AND(s_Irr!W26&lt;&gt;".",s_Irr!AV26=".",s_Irr!BU26&lt;&gt;"."),s_dir!X26/((1/1000)*(s_Irr!W26+s_Irr!BU26)),IF(AND(s_Irr!W26=".",s_Irr!AV26&lt;&gt;".",s_Irr!BU26&lt;&gt;"."),s_dir!X26/((1/1000)*(s_Irr!AV26+s_Irr!BU26)),IF(AND(s_Irr!W26=".",s_Irr!AV26=".",s_Irr!BU26&lt;&gt;"."),s_dir!X26/((1/1000)*(s_Irr!BU26)),IF(AND(s_Irr!W26=".",s_Irr!AV26&lt;&gt;".",s_Irr!BU26="."),s_dir!X26/((1/1000)*(s_Irr!AV26)),IF(AND(s_Irr!W26&lt;&gt;".",s_Irr!AV26=".",s_Irr!BU26="."),s_dir!X26/((1/1000)*(s_Irr!W26)),IF(AND(s_Irr!W26=".",s_Irr!AV26=".",s_Irr!BU26="."),s_dir!X26*1000)))))))),".")</f>
        <v>124.30700469847686</v>
      </c>
      <c r="Y26" s="70">
        <f>IFERROR(IF(AND(s_Irr!X26&lt;&gt;".",s_Irr!AW26&lt;&gt;".",s_Irr!BV26&lt;&gt;"."),s_dir!Y26/((1/1000)*(s_Irr!X26+s_Irr!AW26+s_Irr!BV26)),IF(AND(s_Irr!X26&lt;&gt;".",s_Irr!AW26&lt;&gt;".",s_Irr!BV26="."),s_dir!Y26/((1/1000)*(s_Irr!X26+s_Irr!AW26)),IF(AND(s_Irr!X26&lt;&gt;".",s_Irr!AW26=".",s_Irr!BV26&lt;&gt;"."),s_dir!Y26/((1/1000)*(s_Irr!X26+s_Irr!BV26)),IF(AND(s_Irr!X26=".",s_Irr!AW26&lt;&gt;".",s_Irr!BV26&lt;&gt;"."),s_dir!Y26/((1/1000)*(s_Irr!AW26+s_Irr!BV26)),IF(AND(s_Irr!X26=".",s_Irr!AW26=".",s_Irr!BV26&lt;&gt;"."),s_dir!Y26/((1/1000)*(s_Irr!BV26)),IF(AND(s_Irr!X26=".",s_Irr!AW26&lt;&gt;".",s_Irr!BV26="."),s_dir!Y26/((1/1000)*(s_Irr!AW26)),IF(AND(s_Irr!X26&lt;&gt;".",s_Irr!AW26=".",s_Irr!BV26="."),s_dir!Y26/((1/1000)*(s_Irr!X26)),IF(AND(s_Irr!X26=".",s_Irr!AW26=".",s_Irr!BV26="."),s_dir!Y26*1000)))))))),".")</f>
        <v>124.36982148476007</v>
      </c>
      <c r="Z26" s="70">
        <f>IFERROR(IF(AND(s_Irr!Y26&lt;&gt;".",s_Irr!AX26&lt;&gt;".",s_Irr!BW26&lt;&gt;"."),s_dir!Z26/((1/1000)*(s_Irr!Y26+s_Irr!AX26+s_Irr!BW26)),IF(AND(s_Irr!Y26&lt;&gt;".",s_Irr!AX26&lt;&gt;".",s_Irr!BW26="."),s_dir!Z26/((1/1000)*(s_Irr!Y26+s_Irr!AX26)),IF(AND(s_Irr!Y26&lt;&gt;".",s_Irr!AX26=".",s_Irr!BW26&lt;&gt;"."),s_dir!Z26/((1/1000)*(s_Irr!Y26+s_Irr!BW26)),IF(AND(s_Irr!Y26=".",s_Irr!AX26&lt;&gt;".",s_Irr!BW26&lt;&gt;"."),s_dir!Z26/((1/1000)*(s_Irr!AX26+s_Irr!BW26)),IF(AND(s_Irr!Y26=".",s_Irr!AX26=".",s_Irr!BW26&lt;&gt;"."),s_dir!Z26/((1/1000)*(s_Irr!BW26)),IF(AND(s_Irr!Y26=".",s_Irr!AX26&lt;&gt;".",s_Irr!BW26="."),s_dir!Z26/((1/1000)*(s_Irr!AX26)),IF(AND(s_Irr!Y26&lt;&gt;".",s_Irr!AX26=".",s_Irr!BW26="."),s_dir!Z26/((1/1000)*(s_Irr!Y26)),IF(AND(s_Irr!Y26=".",s_Irr!AX26=".",s_Irr!BW26="."),s_dir!Z26*1000)))))))),".")</f>
        <v>123.78598883408308</v>
      </c>
      <c r="AA26" s="70">
        <f>IFERROR(IF(AND(s_Irr!Z26&lt;&gt;".",s_Irr!AY26&lt;&gt;".",s_Irr!BX26&lt;&gt;"."),s_dir!AA26/((1/1000)*(s_Irr!Z26+s_Irr!AY26+s_Irr!BX26)),IF(AND(s_Irr!Z26&lt;&gt;".",s_Irr!AY26&lt;&gt;".",s_Irr!BX26="."),s_dir!AA26/((1/1000)*(s_Irr!Z26+s_Irr!AY26)),IF(AND(s_Irr!Z26&lt;&gt;".",s_Irr!AY26=".",s_Irr!BX26&lt;&gt;"."),s_dir!AA26/((1/1000)*(s_Irr!Z26+s_Irr!BX26)),IF(AND(s_Irr!Z26=".",s_Irr!AY26&lt;&gt;".",s_Irr!BX26&lt;&gt;"."),s_dir!AA26/((1/1000)*(s_Irr!AY26+s_Irr!BX26)),IF(AND(s_Irr!Z26=".",s_Irr!AY26=".",s_Irr!BX26&lt;&gt;"."),s_dir!AA26/((1/1000)*(s_Irr!BX26)),IF(AND(s_Irr!Z26=".",s_Irr!AY26&lt;&gt;".",s_Irr!BX26="."),s_dir!AA26/((1/1000)*(s_Irr!AY26)),IF(AND(s_Irr!Z26&lt;&gt;".",s_Irr!AY26=".",s_Irr!BX26="."),s_dir!AA26/((1/1000)*(s_Irr!Z26)),IF(AND(s_Irr!Z26=".",s_Irr!AY26=".",s_Irr!BX26="."),s_dir!AA26*1000)))))))),".")</f>
        <v>125.08620766686767</v>
      </c>
      <c r="AB26" s="70">
        <f>IFERROR(IF(AND(s_Irr!AA26&lt;&gt;".",s_Irr!AZ26&lt;&gt;".",s_Irr!BY26&lt;&gt;"."),s_dir!AB26/((1/1000)*(s_Irr!AA26+s_Irr!AZ26+s_Irr!BY26)),IF(AND(s_Irr!AA26&lt;&gt;".",s_Irr!AZ26&lt;&gt;".",s_Irr!BY26="."),s_dir!AB26/((1/1000)*(s_Irr!AA26+s_Irr!AZ26)),IF(AND(s_Irr!AA26&lt;&gt;".",s_Irr!AZ26=".",s_Irr!BY26&lt;&gt;"."),s_dir!AB26/((1/1000)*(s_Irr!AA26+s_Irr!BY26)),IF(AND(s_Irr!AA26=".",s_Irr!AZ26&lt;&gt;".",s_Irr!BY26&lt;&gt;"."),s_dir!AB26/((1/1000)*(s_Irr!AZ26+s_Irr!BY26)),IF(AND(s_Irr!AA26=".",s_Irr!AZ26=".",s_Irr!BY26&lt;&gt;"."),s_dir!AB26/((1/1000)*(s_Irr!BY26)),IF(AND(s_Irr!AA26=".",s_Irr!AZ26&lt;&gt;".",s_Irr!BY26="."),s_dir!AB26/((1/1000)*(s_Irr!AZ26)),IF(AND(s_Irr!AA26&lt;&gt;".",s_Irr!AZ26=".",s_Irr!BY26="."),s_dir!AB26/((1/1000)*(s_Irr!AA26)),IF(AND(s_Irr!AA26=".",s_Irr!AZ26=".",s_Irr!BY26="."),s_dir!AB26*1000)))))))),".")</f>
        <v>121.10586751706455</v>
      </c>
      <c r="AC26" s="87">
        <f t="shared" si="5"/>
        <v>359.14790800964107</v>
      </c>
      <c r="AD26" s="87">
        <f>IFERROR(s_C*s_IFAP_res_adj*s_CF_apple*0.001*(s_Irr!C26+s_Irr!AB26+s_Irr!BA26),".")</f>
        <v>89.208447423920347</v>
      </c>
      <c r="AE26" s="87">
        <f>IFERROR(s_C*s_IFAS_res_adj*s_CF_asparagus*0.001*(s_Irr!D26+s_Irr!AC26+s_Irr!BB26),".")</f>
        <v>90.260319384811112</v>
      </c>
      <c r="AF26" s="87">
        <f>IFERROR(s_C*s_IFBT_res_adj*s_CF_beet*0.001*(s_Irr!E26+s_Irr!AD26+s_Irr!BC26),".")</f>
        <v>89.65924969287353</v>
      </c>
      <c r="AG26" s="87">
        <f>IFERROR(s_C*s_IFBE_res_adj*s_CF_berries*0.001*(s_Irr!F26+s_Irr!AE26+s_Irr!BD26),".")</f>
        <v>89.208447423920347</v>
      </c>
      <c r="AH26" s="87">
        <f>IFERROR(s_C*s_IFBR_res_adj*s_CF_broccoli*0.001*(s_Irr!G26+s_Irr!AF26+s_Irr!BE26),".")</f>
        <v>89.629196208276653</v>
      </c>
      <c r="AI26" s="87">
        <f>IFERROR(s_C*s_IFCB_res_adj*s_CF_cabbage*0.001*(s_Irr!H26+s_Irr!AG26+s_Irr!BF26),".")</f>
        <v>90.260319384811112</v>
      </c>
      <c r="AJ26" s="87">
        <f>IFERROR(s_C*s_IFCR_res_adj*s_CF_carrot*0.001*(s_Irr!I26+s_Irr!AH26+s_Irr!BG26),".")</f>
        <v>89.65924969287353</v>
      </c>
      <c r="AK26" s="87">
        <f>IFERROR(s_C*s_IFCI_res_adj*s_CF_citrus*0.001*(s_Irr!J26+s_Irr!AI26+s_Irr!BH26),".")</f>
        <v>89.208447423920347</v>
      </c>
      <c r="AL26" s="87">
        <f>IFERROR(s_C*s_IFCO_res_adj*s_CF_corn*0.001*(s_Irr!K26+s_Irr!AJ26+s_Irr!BI26),".")</f>
        <v>89.418821816098486</v>
      </c>
      <c r="AM26" s="87">
        <f>IFERROR(s_C*s_IFCU_res_adj*s_CF_cucumber*0.001*(s_Irr!L26+s_Irr!AK26+s_Irr!BJ26),".")</f>
        <v>89.629196208276653</v>
      </c>
      <c r="AN26" s="87">
        <f>IFERROR(s_C*s_IFLE_res_adj*s_CF_lettuce*0.001*(s_Irr!M26+s_Irr!AL26+s_Irr!BK26),".")</f>
        <v>90.260319384811112</v>
      </c>
      <c r="AO26" s="87">
        <f>IFERROR(s_C*s_IFLI_res_adj*s_CF_lima_bean*0.001*(s_Irr!N26+s_Irr!AM26+s_Irr!BL26),".")</f>
        <v>89.25352765081567</v>
      </c>
      <c r="AP26" s="87">
        <f>IFERROR(s_C*s_IFOK_res_adj*s_CF_okra*0.001*(s_Irr!O26+s_Irr!AN26+s_Irr!BM26),".")</f>
        <v>89.629196208276653</v>
      </c>
      <c r="AQ26" s="87">
        <f>IFERROR(s_C*s_IFON_res_adj*s_CF_onion*0.001*(s_Irr!P26+s_Irr!AO26+s_Irr!BN26),".")</f>
        <v>89.65924969287353</v>
      </c>
      <c r="AR26" s="87">
        <f>IFERROR(s_C*s_IFPC_res_adj*s_CF_peach*0.001*(s_Irr!Q26+s_Irr!AP26+s_Irr!BO26),".")</f>
        <v>89.208447423920347</v>
      </c>
      <c r="AS26" s="87">
        <f>IFERROR(s_C*s_IFPR_res_adj*s_CF_pear*0.001*(s_Irr!R26+s_Irr!AQ26+s_Irr!BP26),".")</f>
        <v>89.208447423920347</v>
      </c>
      <c r="AT26" s="87">
        <f>IFERROR(s_C*s_IFPE_res_adj*s_CF_peas*0.001*(s_Irr!S26+s_Irr!AR26+s_Irr!BQ26),".")</f>
        <v>89.25352765081567</v>
      </c>
      <c r="AU26" s="87">
        <f>IFERROR(s_C*s_IFPP_res_adj*s_CF_peppers*0.001*(s_Irr!T26+s_Irr!AS26+s_Irr!BR26),".")</f>
        <v>89.629196208276653</v>
      </c>
      <c r="AV26" s="87">
        <f>IFERROR(s_C*s_IFPT_res_adj*s_CF_potato*0.001*(s_Irr!U26+s_Irr!AT26+s_Irr!BS26),".")</f>
        <v>88.757645154967165</v>
      </c>
      <c r="AW26" s="87">
        <f>IFERROR(s_C*s_IFPU_res_adj*s_CF_pumpkin*0.001*(s_Irr!V26+s_Irr!AU26+s_Irr!BT26),".")</f>
        <v>89.629196208276653</v>
      </c>
      <c r="AX26" s="87">
        <f>IFERROR(s_C*s_IFSN_res_adj*s_CF_snap_bean*0.001*(s_Irr!W26+s_Irr!AV26+s_Irr!BU26),".")</f>
        <v>89.25352765081567</v>
      </c>
      <c r="AY26" s="87">
        <f>IFERROR(s_C*s_IFST_res_adj*s_CF_strawberry*0.001*(s_Irr!X26+s_Irr!AW26+s_Irr!BV26),".")</f>
        <v>89.208447423920347</v>
      </c>
      <c r="AZ26" s="87">
        <f>IFERROR(s_C*s_IFTO_res_adj*s_CF_tomato*0.001*(s_Irr!Y26+s_Irr!AX26+s_Irr!BW26),".")</f>
        <v>89.629196208276653</v>
      </c>
      <c r="BA26" s="87">
        <f>IFERROR(s_C*s_IFRI_res_adj*s_CF_rice*0.001*(s_Irr!Z26+s_Irr!AY26+s_Irr!BX26),".")</f>
        <v>88.697538185773396</v>
      </c>
      <c r="BB26" s="87">
        <f>IFERROR(s_C*s_IFCG_res_adj*s_CF_cereal*0.001*(s_Irr!AA26+s_Irr!AZ26+s_Irr!BY26),".")</f>
        <v>91.61272619167066</v>
      </c>
      <c r="BC26" s="70">
        <f t="shared" si="1"/>
        <v>30.892115570245071</v>
      </c>
      <c r="BD26" s="70">
        <f>IFERROR(IF(AND(s_Irr!C26&lt;&gt;".",s_Irr!AB26&lt;&gt;".",s_Irr!BA26&lt;&gt;"."),s_dir!AD26/((1/1000)*(s_Irr!C26+s_Irr!AB26+s_Irr!BA26)),IF(AND(s_Irr!C26&lt;&gt;".",s_Irr!AB26&lt;&gt;".",s_Irr!BA26="."),s_dir!AD26/((1/1000)*(s_Irr!C26+s_Irr!AB26)),IF(AND(s_Irr!C26&lt;&gt;".",s_Irr!AB26=".",s_Irr!BA26&lt;&gt;"."),s_dir!AD26/((1/1000)*(s_Irr!C26+s_Irr!BA26)),IF(AND(s_Irr!C26=".",s_Irr!AB26&lt;&gt;".",s_Irr!BA26&lt;&gt;"."),s_dir!AD26/((1/1000)*(s_Irr!AB26+s_Irr!BA26)),IF(AND(s_Irr!C26=".",s_Irr!AB26=".",s_Irr!BA26&lt;&gt;"."),s_dir!AD26/((1/1000)*(s_Irr!BA26)),IF(AND(s_Irr!C26=".",s_Irr!AB26&lt;&gt;".",s_Irr!BA26="."),s_dir!AD26/((1/1000)*(s_Irr!AB26)),IF(AND(s_Irr!C26&lt;&gt;".",s_Irr!AB26=".",s_Irr!BA26="."),s_dir!AD26/((1/1000)*(s_Irr!C26)),IF(AND(s_Irr!C26=".",s_Irr!AB26=".",s_Irr!BA26="."),s_dir!AD26*1000)))))))),".")</f>
        <v>124.36982148476007</v>
      </c>
      <c r="BE26" s="70">
        <f>IFERROR(IF(AND(s_Irr!D26&lt;&gt;".",s_Irr!AC26&lt;&gt;".",s_Irr!BB26&lt;&gt;"."),s_dir!AE26/((1/1000)*(s_Irr!D26+s_Irr!AC26+s_Irr!BB26)),IF(AND(s_Irr!D26&lt;&gt;".",s_Irr!AC26&lt;&gt;".",s_Irr!BB26="."),s_dir!AE26/((1/1000)*(s_Irr!D26+s_Irr!AC26)),IF(AND(s_Irr!D26&lt;&gt;".",s_Irr!AC26=".",s_Irr!BB26&lt;&gt;"."),s_dir!AE26/((1/1000)*(s_Irr!D26+s_Irr!BB26)),IF(AND(s_Irr!D26=".",s_Irr!AC26&lt;&gt;".",s_Irr!BB26&lt;&gt;"."),s_dir!AE26/((1/1000)*(s_Irr!AC26+s_Irr!BB26)),IF(AND(s_Irr!D26=".",s_Irr!AC26=".",s_Irr!BB26&lt;&gt;"."),s_dir!AE26/((1/1000)*(s_Irr!BB26)),IF(AND(s_Irr!D26=".",s_Irr!AC26&lt;&gt;".",s_Irr!BB26="."),s_dir!AE26/((1/1000)*(s_Irr!AC26)),IF(AND(s_Irr!D26&lt;&gt;".",s_Irr!AC26=".",s_Irr!BB26="."),s_dir!AE26/((1/1000)*(s_Irr!D26)),IF(AND(s_Irr!D26=".",s_Irr!AC26=".",s_Irr!BB26="."),s_dir!AE26*1000)))))))),".")</f>
        <v>122.92044562510824</v>
      </c>
      <c r="BF26" s="70">
        <f>IFERROR(IF(AND(s_Irr!E26&lt;&gt;".",s_Irr!AD26&lt;&gt;".",s_Irr!BC26&lt;&gt;"."),s_dir!AF26/((1/1000)*(s_Irr!E26+s_Irr!AD26+s_Irr!BC26)),IF(AND(s_Irr!E26&lt;&gt;".",s_Irr!AD26&lt;&gt;".",s_Irr!BC26="."),s_dir!AF26/((1/1000)*(s_Irr!E26+s_Irr!AD26)),IF(AND(s_Irr!E26&lt;&gt;".",s_Irr!AD26=".",s_Irr!BC26&lt;&gt;"."),s_dir!AF26/((1/1000)*(s_Irr!E26+s_Irr!BC26)),IF(AND(s_Irr!E26=".",s_Irr!AD26&lt;&gt;".",s_Irr!BC26&lt;&gt;"."),s_dir!AF26/((1/1000)*(s_Irr!AD26+s_Irr!BC26)),IF(AND(s_Irr!E26=".",s_Irr!AD26=".",s_Irr!BC26&lt;&gt;"."),s_dir!AF26/((1/1000)*(s_Irr!BC26)),IF(AND(s_Irr!E26=".",s_Irr!AD26&lt;&gt;".",s_Irr!BC26="."),s_dir!AF26/((1/1000)*(s_Irr!AD26)),IF(AND(s_Irr!E26&lt;&gt;".",s_Irr!AD26=".",s_Irr!BC26="."),s_dir!AF26/((1/1000)*(s_Irr!E26)),IF(AND(s_Irr!E26=".",s_Irr!AD26=".",s_Irr!BC26="."),s_dir!AF26*1000)))))))),".")</f>
        <v>123.7444961791537</v>
      </c>
      <c r="BG26" s="70">
        <f>IFERROR(IF(AND(s_Irr!F26&lt;&gt;".",s_Irr!AE26&lt;&gt;".",s_Irr!BD26&lt;&gt;"."),s_dir!AG26/((1/1000)*(s_Irr!F26+s_Irr!AE26+s_Irr!BD26)),IF(AND(s_Irr!F26&lt;&gt;".",s_Irr!AE26&lt;&gt;".",s_Irr!BD26="."),s_dir!AG26/((1/1000)*(s_Irr!F26+s_Irr!AE26)),IF(AND(s_Irr!F26&lt;&gt;".",s_Irr!AE26=".",s_Irr!BD26&lt;&gt;"."),s_dir!AG26/((1/1000)*(s_Irr!F26+s_Irr!BD26)),IF(AND(s_Irr!F26=".",s_Irr!AE26&lt;&gt;".",s_Irr!BD26&lt;&gt;"."),s_dir!AG26/((1/1000)*(s_Irr!AE26+s_Irr!BD26)),IF(AND(s_Irr!F26=".",s_Irr!AE26=".",s_Irr!BD26&lt;&gt;"."),s_dir!AG26/((1/1000)*(s_Irr!BD26)),IF(AND(s_Irr!F26=".",s_Irr!AE26&lt;&gt;".",s_Irr!BD26="."),s_dir!AG26/((1/1000)*(s_Irr!AE26)),IF(AND(s_Irr!F26&lt;&gt;".",s_Irr!AE26=".",s_Irr!BD26="."),s_dir!AG26/((1/1000)*(s_Irr!F26)),IF(AND(s_Irr!F26=".",s_Irr!AE26=".",s_Irr!BD26="."),s_dir!AG26*1000)))))))),".")</f>
        <v>124.36982148476007</v>
      </c>
      <c r="BH26" s="70">
        <f>IFERROR(IF(AND(s_Irr!G26&lt;&gt;".",s_Irr!AF26&lt;&gt;".",s_Irr!BE26&lt;&gt;"."),s_dir!AH26/((1/1000)*(s_Irr!G26+s_Irr!AF26+s_Irr!BE26)),IF(AND(s_Irr!G26&lt;&gt;".",s_Irr!AF26&lt;&gt;".",s_Irr!BE26="."),s_dir!AH26/((1/1000)*(s_Irr!G26+s_Irr!AF26)),IF(AND(s_Irr!G26&lt;&gt;".",s_Irr!AF26=".",s_Irr!BE26&lt;&gt;"."),s_dir!AH26/((1/1000)*(s_Irr!G26+s_Irr!BE26)),IF(AND(s_Irr!G26=".",s_Irr!AF26&lt;&gt;".",s_Irr!BE26&lt;&gt;"."),s_dir!AH26/((1/1000)*(s_Irr!AF26+s_Irr!BE26)),IF(AND(s_Irr!G26=".",s_Irr!AF26=".",s_Irr!BE26&lt;&gt;"."),s_dir!AH26/((1/1000)*(s_Irr!BE26)),IF(AND(s_Irr!G26=".",s_Irr!AF26&lt;&gt;".",s_Irr!BE26="."),s_dir!AH26/((1/1000)*(s_Irr!AF26)),IF(AND(s_Irr!G26&lt;&gt;".",s_Irr!AF26=".",s_Irr!BE26="."),s_dir!AH26/((1/1000)*(s_Irr!G26)),IF(AND(s_Irr!G26=".",s_Irr!AF26=".",s_Irr!BE26="."),s_dir!AH26*1000)))))))),".")</f>
        <v>123.78598883408308</v>
      </c>
      <c r="BI26" s="70">
        <f>IFERROR(IF(AND(s_Irr!H26&lt;&gt;".",s_Irr!AG26&lt;&gt;".",s_Irr!BF26&lt;&gt;"."),s_dir!AI26/((1/1000)*(s_Irr!H26+s_Irr!AG26+s_Irr!BF26)),IF(AND(s_Irr!H26&lt;&gt;".",s_Irr!AG26&lt;&gt;".",s_Irr!BF26="."),s_dir!AI26/((1/1000)*(s_Irr!H26+s_Irr!AG26)),IF(AND(s_Irr!H26&lt;&gt;".",s_Irr!AG26=".",s_Irr!BF26&lt;&gt;"."),s_dir!AI26/((1/1000)*(s_Irr!H26+s_Irr!BF26)),IF(AND(s_Irr!H26=".",s_Irr!AG26&lt;&gt;".",s_Irr!BF26&lt;&gt;"."),s_dir!AI26/((1/1000)*(s_Irr!AG26+s_Irr!BF26)),IF(AND(s_Irr!H26=".",s_Irr!AG26=".",s_Irr!BF26&lt;&gt;"."),s_dir!AI26/((1/1000)*(s_Irr!BF26)),IF(AND(s_Irr!H26=".",s_Irr!AG26&lt;&gt;".",s_Irr!BF26="."),s_dir!AI26/((1/1000)*(s_Irr!AG26)),IF(AND(s_Irr!H26&lt;&gt;".",s_Irr!AG26=".",s_Irr!BF26="."),s_dir!AI26/((1/1000)*(s_Irr!H26)),IF(AND(s_Irr!H26=".",s_Irr!AG26=".",s_Irr!BF26="."),s_dir!AI26*1000)))))))),".")</f>
        <v>122.92044562510824</v>
      </c>
      <c r="BJ26" s="70">
        <f>IFERROR(IF(AND(s_Irr!I26&lt;&gt;".",s_Irr!AH26&lt;&gt;".",s_Irr!BG26&lt;&gt;"."),s_dir!AJ26/((1/1000)*(s_Irr!I26+s_Irr!AH26+s_Irr!BG26)),IF(AND(s_Irr!I26&lt;&gt;".",s_Irr!AH26&lt;&gt;".",s_Irr!BG26="."),s_dir!AJ26/((1/1000)*(s_Irr!I26+s_Irr!AH26)),IF(AND(s_Irr!I26&lt;&gt;".",s_Irr!AH26=".",s_Irr!BG26&lt;&gt;"."),s_dir!AJ26/((1/1000)*(s_Irr!I26+s_Irr!BG26)),IF(AND(s_Irr!I26=".",s_Irr!AH26&lt;&gt;".",s_Irr!BG26&lt;&gt;"."),s_dir!AJ26/((1/1000)*(s_Irr!AH26+s_Irr!BG26)),IF(AND(s_Irr!I26=".",s_Irr!AH26=".",s_Irr!BG26&lt;&gt;"."),s_dir!AJ26/((1/1000)*(s_Irr!BG26)),IF(AND(s_Irr!I26=".",s_Irr!AH26&lt;&gt;".",s_Irr!BG26="."),s_dir!AJ26/((1/1000)*(s_Irr!AH26)),IF(AND(s_Irr!I26&lt;&gt;".",s_Irr!AH26=".",s_Irr!BG26="."),s_dir!AJ26/((1/1000)*(s_Irr!I26)),IF(AND(s_Irr!I26=".",s_Irr!AH26=".",s_Irr!BG26="."),s_dir!AJ26*1000)))))))),".")</f>
        <v>123.7444961791537</v>
      </c>
      <c r="BK26" s="70">
        <f>IFERROR(IF(AND(s_Irr!J26&lt;&gt;".",s_Irr!AI26&lt;&gt;".",s_Irr!BH26&lt;&gt;"."),s_dir!AK26/((1/1000)*(s_Irr!J26+s_Irr!AI26+s_Irr!BH26)),IF(AND(s_Irr!J26&lt;&gt;".",s_Irr!AI26&lt;&gt;".",s_Irr!BH26="."),s_dir!AK26/((1/1000)*(s_Irr!J26+s_Irr!AI26)),IF(AND(s_Irr!J26&lt;&gt;".",s_Irr!AI26=".",s_Irr!BH26&lt;&gt;"."),s_dir!AK26/((1/1000)*(s_Irr!J26+s_Irr!BH26)),IF(AND(s_Irr!J26=".",s_Irr!AI26&lt;&gt;".",s_Irr!BH26&lt;&gt;"."),s_dir!AK26/((1/1000)*(s_Irr!AI26+s_Irr!BH26)),IF(AND(s_Irr!J26=".",s_Irr!AI26=".",s_Irr!BH26&lt;&gt;"."),s_dir!AK26/((1/1000)*(s_Irr!BH26)),IF(AND(s_Irr!J26=".",s_Irr!AI26&lt;&gt;".",s_Irr!BH26="."),s_dir!AK26/((1/1000)*(s_Irr!AI26)),IF(AND(s_Irr!J26&lt;&gt;".",s_Irr!AI26=".",s_Irr!BH26="."),s_dir!AK26/((1/1000)*(s_Irr!J26)),IF(AND(s_Irr!J26=".",s_Irr!AI26=".",s_Irr!BH26="."),s_dir!AK26*1000)))))))),".")</f>
        <v>124.36982148476007</v>
      </c>
      <c r="BL26" s="70">
        <f>IFERROR(IF(AND(s_Irr!K26&lt;&gt;".",s_Irr!AJ26&lt;&gt;".",s_Irr!BI26&lt;&gt;"."),s_dir!AL26/((1/1000)*(s_Irr!K26+s_Irr!AJ26+s_Irr!BI26)),IF(AND(s_Irr!K26&lt;&gt;".",s_Irr!AJ26&lt;&gt;".",s_Irr!BI26="."),s_dir!AL26/((1/1000)*(s_Irr!K26+s_Irr!AJ26)),IF(AND(s_Irr!K26&lt;&gt;".",s_Irr!AJ26=".",s_Irr!BI26&lt;&gt;"."),s_dir!AL26/((1/1000)*(s_Irr!K26+s_Irr!BI26)),IF(AND(s_Irr!K26=".",s_Irr!AJ26&lt;&gt;".",s_Irr!BI26&lt;&gt;"."),s_dir!AL26/((1/1000)*(s_Irr!AJ26+s_Irr!BI26)),IF(AND(s_Irr!K26=".",s_Irr!AJ26=".",s_Irr!BI26&lt;&gt;"."),s_dir!AL26/((1/1000)*(s_Irr!BI26)),IF(AND(s_Irr!K26=".",s_Irr!AJ26&lt;&gt;".",s_Irr!BI26="."),s_dir!AL26/((1/1000)*(s_Irr!AJ26)),IF(AND(s_Irr!K26&lt;&gt;".",s_Irr!AJ26=".",s_Irr!BI26="."),s_dir!AL26/((1/1000)*(s_Irr!K26)),IF(AND(s_Irr!K26=".",s_Irr!AJ26=".",s_Irr!BI26="."),s_dir!AL26*1000)))))))),".")</f>
        <v>124.07721837202871</v>
      </c>
      <c r="BM26" s="70">
        <f>IFERROR(IF(AND(s_Irr!L26&lt;&gt;".",s_Irr!AK26&lt;&gt;".",s_Irr!BJ26&lt;&gt;"."),s_dir!AM26/((1/1000)*(s_Irr!L26+s_Irr!AK26+s_Irr!BJ26)),IF(AND(s_Irr!L26&lt;&gt;".",s_Irr!AK26&lt;&gt;".",s_Irr!BJ26="."),s_dir!AM26/((1/1000)*(s_Irr!L26+s_Irr!AK26)),IF(AND(s_Irr!L26&lt;&gt;".",s_Irr!AK26=".",s_Irr!BJ26&lt;&gt;"."),s_dir!AM26/((1/1000)*(s_Irr!L26+s_Irr!BJ26)),IF(AND(s_Irr!L26=".",s_Irr!AK26&lt;&gt;".",s_Irr!BJ26&lt;&gt;"."),s_dir!AM26/((1/1000)*(s_Irr!AK26+s_Irr!BJ26)),IF(AND(s_Irr!L26=".",s_Irr!AK26=".",s_Irr!BJ26&lt;&gt;"."),s_dir!AM26/((1/1000)*(s_Irr!BJ26)),IF(AND(s_Irr!L26=".",s_Irr!AK26&lt;&gt;".",s_Irr!BJ26="."),s_dir!AM26/((1/1000)*(s_Irr!AK26)),IF(AND(s_Irr!L26&lt;&gt;".",s_Irr!AK26=".",s_Irr!BJ26="."),s_dir!AM26/((1/1000)*(s_Irr!L26)),IF(AND(s_Irr!L26=".",s_Irr!AK26=".",s_Irr!BJ26="."),s_dir!AM26*1000)))))))),".")</f>
        <v>123.78598883408308</v>
      </c>
      <c r="BN26" s="70">
        <f>IFERROR(IF(AND(s_Irr!M26&lt;&gt;".",s_Irr!AL26&lt;&gt;".",s_Irr!BK26&lt;&gt;"."),s_dir!AN26/((1/1000)*(s_Irr!M26+s_Irr!AL26+s_Irr!BK26)),IF(AND(s_Irr!M26&lt;&gt;".",s_Irr!AL26&lt;&gt;".",s_Irr!BK26="."),s_dir!AN26/((1/1000)*(s_Irr!M26+s_Irr!AL26)),IF(AND(s_Irr!M26&lt;&gt;".",s_Irr!AL26=".",s_Irr!BK26&lt;&gt;"."),s_dir!AN26/((1/1000)*(s_Irr!M26+s_Irr!BK26)),IF(AND(s_Irr!M26=".",s_Irr!AL26&lt;&gt;".",s_Irr!BK26&lt;&gt;"."),s_dir!AN26/((1/1000)*(s_Irr!AL26+s_Irr!BK26)),IF(AND(s_Irr!M26=".",s_Irr!AL26=".",s_Irr!BK26&lt;&gt;"."),s_dir!AN26/((1/1000)*(s_Irr!BK26)),IF(AND(s_Irr!M26=".",s_Irr!AL26&lt;&gt;".",s_Irr!BK26="."),s_dir!AN26/((1/1000)*(s_Irr!AL26)),IF(AND(s_Irr!M26&lt;&gt;".",s_Irr!AL26=".",s_Irr!BK26="."),s_dir!AN26/((1/1000)*(s_Irr!M26)),IF(AND(s_Irr!M26=".",s_Irr!AL26=".",s_Irr!BK26="."),s_dir!AN26*1000)))))))),".")</f>
        <v>122.92044562510824</v>
      </c>
      <c r="BO26" s="70">
        <f>IFERROR(IF(AND(s_Irr!N26&lt;&gt;".",s_Irr!AM26&lt;&gt;".",s_Irr!BL26&lt;&gt;"."),s_dir!AO26/((1/1000)*(s_Irr!N26+s_Irr!AM26+s_Irr!BL26)),IF(AND(s_Irr!N26&lt;&gt;".",s_Irr!AM26&lt;&gt;".",s_Irr!BL26="."),s_dir!AO26/((1/1000)*(s_Irr!N26+s_Irr!AM26)),IF(AND(s_Irr!N26&lt;&gt;".",s_Irr!AM26=".",s_Irr!BL26&lt;&gt;"."),s_dir!AO26/((1/1000)*(s_Irr!N26+s_Irr!BL26)),IF(AND(s_Irr!N26=".",s_Irr!AM26&lt;&gt;".",s_Irr!BL26&lt;&gt;"."),s_dir!AO26/((1/1000)*(s_Irr!AM26+s_Irr!BL26)),IF(AND(s_Irr!N26=".",s_Irr!AM26=".",s_Irr!BL26&lt;&gt;"."),s_dir!AO26/((1/1000)*(s_Irr!BL26)),IF(AND(s_Irr!N26=".",s_Irr!AM26&lt;&gt;".",s_Irr!BL26="."),s_dir!AO26/((1/1000)*(s_Irr!AM26)),IF(AND(s_Irr!N26&lt;&gt;".",s_Irr!AM26=".",s_Irr!BL26="."),s_dir!AO26/((1/1000)*(s_Irr!N26)),IF(AND(s_Irr!N26=".",s_Irr!AM26=".",s_Irr!BL26="."),s_dir!AO26*1000)))))))),".")</f>
        <v>124.30700469847686</v>
      </c>
      <c r="BP26" s="70">
        <f>IFERROR(IF(AND(s_Irr!O26&lt;&gt;".",s_Irr!AN26&lt;&gt;".",s_Irr!BM26&lt;&gt;"."),s_dir!AP26/((1/1000)*(s_Irr!O26+s_Irr!AN26+s_Irr!BM26)),IF(AND(s_Irr!O26&lt;&gt;".",s_Irr!AN26&lt;&gt;".",s_Irr!BM26="."),s_dir!AP26/((1/1000)*(s_Irr!O26+s_Irr!AN26)),IF(AND(s_Irr!O26&lt;&gt;".",s_Irr!AN26=".",s_Irr!BM26&lt;&gt;"."),s_dir!AP26/((1/1000)*(s_Irr!O26+s_Irr!BM26)),IF(AND(s_Irr!O26=".",s_Irr!AN26&lt;&gt;".",s_Irr!BM26&lt;&gt;"."),s_dir!AP26/((1/1000)*(s_Irr!AN26+s_Irr!BM26)),IF(AND(s_Irr!O26=".",s_Irr!AN26=".",s_Irr!BM26&lt;&gt;"."),s_dir!AP26/((1/1000)*(s_Irr!BM26)),IF(AND(s_Irr!O26=".",s_Irr!AN26&lt;&gt;".",s_Irr!BM26="."),s_dir!AP26/((1/1000)*(s_Irr!AN26)),IF(AND(s_Irr!O26&lt;&gt;".",s_Irr!AN26=".",s_Irr!BM26="."),s_dir!AP26/((1/1000)*(s_Irr!O26)),IF(AND(s_Irr!O26=".",s_Irr!AN26=".",s_Irr!BM26="."),s_dir!AP26*1000)))))))),".")</f>
        <v>123.78598883408308</v>
      </c>
      <c r="BQ26" s="70">
        <f>IFERROR(IF(AND(s_Irr!P26&lt;&gt;".",s_Irr!AO26&lt;&gt;".",s_Irr!BN26&lt;&gt;"."),s_dir!AQ26/((1/1000)*(s_Irr!P26+s_Irr!AO26+s_Irr!BN26)),IF(AND(s_Irr!P26&lt;&gt;".",s_Irr!AO26&lt;&gt;".",s_Irr!BN26="."),s_dir!AQ26/((1/1000)*(s_Irr!P26+s_Irr!AO26)),IF(AND(s_Irr!P26&lt;&gt;".",s_Irr!AO26=".",s_Irr!BN26&lt;&gt;"."),s_dir!AQ26/((1/1000)*(s_Irr!P26+s_Irr!BN26)),IF(AND(s_Irr!P26=".",s_Irr!AO26&lt;&gt;".",s_Irr!BN26&lt;&gt;"."),s_dir!AQ26/((1/1000)*(s_Irr!AO26+s_Irr!BN26)),IF(AND(s_Irr!P26=".",s_Irr!AO26=".",s_Irr!BN26&lt;&gt;"."),s_dir!AQ26/((1/1000)*(s_Irr!BN26)),IF(AND(s_Irr!P26=".",s_Irr!AO26&lt;&gt;".",s_Irr!BN26="."),s_dir!AQ26/((1/1000)*(s_Irr!AO26)),IF(AND(s_Irr!P26&lt;&gt;".",s_Irr!AO26=".",s_Irr!BN26="."),s_dir!AQ26/((1/1000)*(s_Irr!P26)),IF(AND(s_Irr!P26=".",s_Irr!AO26=".",s_Irr!BN26="."),s_dir!AQ26*1000)))))))),".")</f>
        <v>123.7444961791537</v>
      </c>
      <c r="BR26" s="70">
        <f>IFERROR(IF(AND(s_Irr!Q26&lt;&gt;".",s_Irr!AP26&lt;&gt;".",s_Irr!BO26&lt;&gt;"."),s_dir!AR26/((1/1000)*(s_Irr!Q26+s_Irr!AP26+s_Irr!BO26)),IF(AND(s_Irr!Q26&lt;&gt;".",s_Irr!AP26&lt;&gt;".",s_Irr!BO26="."),s_dir!AR26/((1/1000)*(s_Irr!Q26+s_Irr!AP26)),IF(AND(s_Irr!Q26&lt;&gt;".",s_Irr!AP26=".",s_Irr!BO26&lt;&gt;"."),s_dir!AR26/((1/1000)*(s_Irr!Q26+s_Irr!BO26)),IF(AND(s_Irr!Q26=".",s_Irr!AP26&lt;&gt;".",s_Irr!BO26&lt;&gt;"."),s_dir!AR26/((1/1000)*(s_Irr!AP26+s_Irr!BO26)),IF(AND(s_Irr!Q26=".",s_Irr!AP26=".",s_Irr!BO26&lt;&gt;"."),s_dir!AR26/((1/1000)*(s_Irr!BO26)),IF(AND(s_Irr!Q26=".",s_Irr!AP26&lt;&gt;".",s_Irr!BO26="."),s_dir!AR26/((1/1000)*(s_Irr!AP26)),IF(AND(s_Irr!Q26&lt;&gt;".",s_Irr!AP26=".",s_Irr!BO26="."),s_dir!AR26/((1/1000)*(s_Irr!Q26)),IF(AND(s_Irr!Q26=".",s_Irr!AP26=".",s_Irr!BO26="."),s_dir!AR26*1000)))))))),".")</f>
        <v>124.36982148476007</v>
      </c>
      <c r="BS26" s="70">
        <f>IFERROR(IF(AND(s_Irr!R26&lt;&gt;".",s_Irr!AQ26&lt;&gt;".",s_Irr!BP26&lt;&gt;"."),s_dir!AS26/((1/1000)*(s_Irr!R26+s_Irr!AQ26+s_Irr!BP26)),IF(AND(s_Irr!R26&lt;&gt;".",s_Irr!AQ26&lt;&gt;".",s_Irr!BP26="."),s_dir!AS26/((1/1000)*(s_Irr!R26+s_Irr!AQ26)),IF(AND(s_Irr!R26&lt;&gt;".",s_Irr!AQ26=".",s_Irr!BP26&lt;&gt;"."),s_dir!AS26/((1/1000)*(s_Irr!R26+s_Irr!BP26)),IF(AND(s_Irr!R26=".",s_Irr!AQ26&lt;&gt;".",s_Irr!BP26&lt;&gt;"."),s_dir!AS26/((1/1000)*(s_Irr!AQ26+s_Irr!BP26)),IF(AND(s_Irr!R26=".",s_Irr!AQ26=".",s_Irr!BP26&lt;&gt;"."),s_dir!AS26/((1/1000)*(s_Irr!BP26)),IF(AND(s_Irr!R26=".",s_Irr!AQ26&lt;&gt;".",s_Irr!BP26="."),s_dir!AS26/((1/1000)*(s_Irr!AQ26)),IF(AND(s_Irr!R26&lt;&gt;".",s_Irr!AQ26=".",s_Irr!BP26="."),s_dir!AS26/((1/1000)*(s_Irr!R26)),IF(AND(s_Irr!R26=".",s_Irr!AQ26=".",s_Irr!BP26="."),s_dir!AS26*1000)))))))),".")</f>
        <v>124.36982148476007</v>
      </c>
      <c r="BT26" s="70">
        <f>IFERROR(IF(AND(s_Irr!S26&lt;&gt;".",s_Irr!AR26&lt;&gt;".",s_Irr!BQ26&lt;&gt;"."),s_dir!AT26/((1/1000)*(s_Irr!S26+s_Irr!AR26+s_Irr!BQ26)),IF(AND(s_Irr!S26&lt;&gt;".",s_Irr!AR26&lt;&gt;".",s_Irr!BQ26="."),s_dir!AT26/((1/1000)*(s_Irr!S26+s_Irr!AR26)),IF(AND(s_Irr!S26&lt;&gt;".",s_Irr!AR26=".",s_Irr!BQ26&lt;&gt;"."),s_dir!AT26/((1/1000)*(s_Irr!S26+s_Irr!BQ26)),IF(AND(s_Irr!S26=".",s_Irr!AR26&lt;&gt;".",s_Irr!BQ26&lt;&gt;"."),s_dir!AT26/((1/1000)*(s_Irr!AR26+s_Irr!BQ26)),IF(AND(s_Irr!S26=".",s_Irr!AR26=".",s_Irr!BQ26&lt;&gt;"."),s_dir!AT26/((1/1000)*(s_Irr!BQ26)),IF(AND(s_Irr!S26=".",s_Irr!AR26&lt;&gt;".",s_Irr!BQ26="."),s_dir!AT26/((1/1000)*(s_Irr!AR26)),IF(AND(s_Irr!S26&lt;&gt;".",s_Irr!AR26=".",s_Irr!BQ26="."),s_dir!AT26/((1/1000)*(s_Irr!S26)),IF(AND(s_Irr!S26=".",s_Irr!AR26=".",s_Irr!BQ26="."),s_dir!AT26*1000)))))))),".")</f>
        <v>124.30700469847686</v>
      </c>
      <c r="BU26" s="70">
        <f>IFERROR(IF(AND(s_Irr!T26&lt;&gt;".",s_Irr!AS26&lt;&gt;".",s_Irr!BR26&lt;&gt;"."),s_dir!AU26/((1/1000)*(s_Irr!T26+s_Irr!AS26+s_Irr!BR26)),IF(AND(s_Irr!T26&lt;&gt;".",s_Irr!AS26&lt;&gt;".",s_Irr!BR26="."),s_dir!AU26/((1/1000)*(s_Irr!T26+s_Irr!AS26)),IF(AND(s_Irr!T26&lt;&gt;".",s_Irr!AS26=".",s_Irr!BR26&lt;&gt;"."),s_dir!AU26/((1/1000)*(s_Irr!T26+s_Irr!BR26)),IF(AND(s_Irr!T26=".",s_Irr!AS26&lt;&gt;".",s_Irr!BR26&lt;&gt;"."),s_dir!AU26/((1/1000)*(s_Irr!AS26+s_Irr!BR26)),IF(AND(s_Irr!T26=".",s_Irr!AS26=".",s_Irr!BR26&lt;&gt;"."),s_dir!AU26/((1/1000)*(s_Irr!BR26)),IF(AND(s_Irr!T26=".",s_Irr!AS26&lt;&gt;".",s_Irr!BR26="."),s_dir!AU26/((1/1000)*(s_Irr!AS26)),IF(AND(s_Irr!T26&lt;&gt;".",s_Irr!AS26=".",s_Irr!BR26="."),s_dir!AU26/((1/1000)*(s_Irr!T26)),IF(AND(s_Irr!T26=".",s_Irr!AS26=".",s_Irr!BR26="."),s_dir!AU26*1000)))))))),".")</f>
        <v>123.78598883408308</v>
      </c>
      <c r="BV26" s="70">
        <f>IFERROR(IF(AND(s_Irr!U26&lt;&gt;".",s_Irr!AT26&lt;&gt;".",s_Irr!BS26&lt;&gt;"."),s_dir!AV26/((1/1000)*(s_Irr!U26+s_Irr!AT26+s_Irr!BS26)),IF(AND(s_Irr!U26&lt;&gt;".",s_Irr!AT26&lt;&gt;".",s_Irr!BS26="."),s_dir!AV26/((1/1000)*(s_Irr!U26+s_Irr!AT26)),IF(AND(s_Irr!U26&lt;&gt;".",s_Irr!AT26=".",s_Irr!BS26&lt;&gt;"."),s_dir!AV26/((1/1000)*(s_Irr!U26+s_Irr!BS26)),IF(AND(s_Irr!U26=".",s_Irr!AT26&lt;&gt;".",s_Irr!BS26&lt;&gt;"."),s_dir!AV26/((1/1000)*(s_Irr!AT26+s_Irr!BS26)),IF(AND(s_Irr!U26=".",s_Irr!AT26=".",s_Irr!BS26&lt;&gt;"."),s_dir!AV26/((1/1000)*(s_Irr!BS26)),IF(AND(s_Irr!U26=".",s_Irr!AT26&lt;&gt;".",s_Irr!BS26="."),s_dir!AV26/((1/1000)*(s_Irr!AT26)),IF(AND(s_Irr!U26&lt;&gt;".",s_Irr!AT26=".",s_Irr!BS26="."),s_dir!AV26/((1/1000)*(s_Irr!U26)),IF(AND(s_Irr!U26=".",s_Irr!AT26=".",s_Irr!BS26="."),s_dir!AV26*1000)))))))),".")</f>
        <v>125.0014988756681</v>
      </c>
      <c r="BW26" s="70">
        <f>IFERROR(IF(AND(s_Irr!V26&lt;&gt;".",s_Irr!AU26&lt;&gt;".",s_Irr!BT26&lt;&gt;"."),s_dir!AW26/((1/1000)*(s_Irr!V26+s_Irr!AU26+s_Irr!BT26)),IF(AND(s_Irr!V26&lt;&gt;".",s_Irr!AU26&lt;&gt;".",s_Irr!BT26="."),s_dir!AW26/((1/1000)*(s_Irr!V26+s_Irr!AU26)),IF(AND(s_Irr!V26&lt;&gt;".",s_Irr!AU26=".",s_Irr!BT26&lt;&gt;"."),s_dir!AW26/((1/1000)*(s_Irr!V26+s_Irr!BT26)),IF(AND(s_Irr!V26=".",s_Irr!AU26&lt;&gt;".",s_Irr!BT26&lt;&gt;"."),s_dir!AW26/((1/1000)*(s_Irr!AU26+s_Irr!BT26)),IF(AND(s_Irr!V26=".",s_Irr!AU26=".",s_Irr!BT26&lt;&gt;"."),s_dir!AW26/((1/1000)*(s_Irr!BT26)),IF(AND(s_Irr!V26=".",s_Irr!AU26&lt;&gt;".",s_Irr!BT26="."),s_dir!AW26/((1/1000)*(s_Irr!AU26)),IF(AND(s_Irr!V26&lt;&gt;".",s_Irr!AU26=".",s_Irr!BT26="."),s_dir!AW26/((1/1000)*(s_Irr!V26)),IF(AND(s_Irr!V26=".",s_Irr!AU26=".",s_Irr!BT26="."),s_dir!AW26*1000)))))))),".")</f>
        <v>123.78598883408308</v>
      </c>
      <c r="BX26" s="70">
        <f>IFERROR(IF(AND(s_Irr!W26&lt;&gt;".",s_Irr!AV26&lt;&gt;".",s_Irr!BU26&lt;&gt;"."),s_dir!AX26/((1/1000)*(s_Irr!W26+s_Irr!AV26+s_Irr!BU26)),IF(AND(s_Irr!W26&lt;&gt;".",s_Irr!AV26&lt;&gt;".",s_Irr!BU26="."),s_dir!AX26/((1/1000)*(s_Irr!W26+s_Irr!AV26)),IF(AND(s_Irr!W26&lt;&gt;".",s_Irr!AV26=".",s_Irr!BU26&lt;&gt;"."),s_dir!AX26/((1/1000)*(s_Irr!W26+s_Irr!BU26)),IF(AND(s_Irr!W26=".",s_Irr!AV26&lt;&gt;".",s_Irr!BU26&lt;&gt;"."),s_dir!AX26/((1/1000)*(s_Irr!AV26+s_Irr!BU26)),IF(AND(s_Irr!W26=".",s_Irr!AV26=".",s_Irr!BU26&lt;&gt;"."),s_dir!AX26/((1/1000)*(s_Irr!BU26)),IF(AND(s_Irr!W26=".",s_Irr!AV26&lt;&gt;".",s_Irr!BU26="."),s_dir!AX26/((1/1000)*(s_Irr!AV26)),IF(AND(s_Irr!W26&lt;&gt;".",s_Irr!AV26=".",s_Irr!BU26="."),s_dir!AX26/((1/1000)*(s_Irr!W26)),IF(AND(s_Irr!W26=".",s_Irr!AV26=".",s_Irr!BU26="."),s_dir!AX26*1000)))))))),".")</f>
        <v>124.30700469847686</v>
      </c>
      <c r="BY26" s="70">
        <f>IFERROR(IF(AND(s_Irr!X26&lt;&gt;".",s_Irr!AW26&lt;&gt;".",s_Irr!BV26&lt;&gt;"."),s_dir!AY26/((1/1000)*(s_Irr!X26+s_Irr!AW26+s_Irr!BV26)),IF(AND(s_Irr!X26&lt;&gt;".",s_Irr!AW26&lt;&gt;".",s_Irr!BV26="."),s_dir!AY26/((1/1000)*(s_Irr!X26+s_Irr!AW26)),IF(AND(s_Irr!X26&lt;&gt;".",s_Irr!AW26=".",s_Irr!BV26&lt;&gt;"."),s_dir!AY26/((1/1000)*(s_Irr!X26+s_Irr!BV26)),IF(AND(s_Irr!X26=".",s_Irr!AW26&lt;&gt;".",s_Irr!BV26&lt;&gt;"."),s_dir!AY26/((1/1000)*(s_Irr!AW26+s_Irr!BV26)),IF(AND(s_Irr!X26=".",s_Irr!AW26=".",s_Irr!BV26&lt;&gt;"."),s_dir!AY26/((1/1000)*(s_Irr!BV26)),IF(AND(s_Irr!X26=".",s_Irr!AW26&lt;&gt;".",s_Irr!BV26="."),s_dir!AY26/((1/1000)*(s_Irr!AW26)),IF(AND(s_Irr!X26&lt;&gt;".",s_Irr!AW26=".",s_Irr!BV26="."),s_dir!AY26/((1/1000)*(s_Irr!X26)),IF(AND(s_Irr!X26=".",s_Irr!AW26=".",s_Irr!BV26="."),s_dir!AY26*1000)))))))),".")</f>
        <v>124.36982148476007</v>
      </c>
      <c r="BZ26" s="70">
        <f>IFERROR(IF(AND(s_Irr!Y26&lt;&gt;".",s_Irr!AX26&lt;&gt;".",s_Irr!BW26&lt;&gt;"."),s_dir!AZ26/((1/1000)*(s_Irr!Y26+s_Irr!AX26+s_Irr!BW26)),IF(AND(s_Irr!Y26&lt;&gt;".",s_Irr!AX26&lt;&gt;".",s_Irr!BW26="."),s_dir!AZ26/((1/1000)*(s_Irr!Y26+s_Irr!AX26)),IF(AND(s_Irr!Y26&lt;&gt;".",s_Irr!AX26=".",s_Irr!BW26&lt;&gt;"."),s_dir!AZ26/((1/1000)*(s_Irr!Y26+s_Irr!BW26)),IF(AND(s_Irr!Y26=".",s_Irr!AX26&lt;&gt;".",s_Irr!BW26&lt;&gt;"."),s_dir!AZ26/((1/1000)*(s_Irr!AX26+s_Irr!BW26)),IF(AND(s_Irr!Y26=".",s_Irr!AX26=".",s_Irr!BW26&lt;&gt;"."),s_dir!AZ26/((1/1000)*(s_Irr!BW26)),IF(AND(s_Irr!Y26=".",s_Irr!AX26&lt;&gt;".",s_Irr!BW26="."),s_dir!AZ26/((1/1000)*(s_Irr!AX26)),IF(AND(s_Irr!Y26&lt;&gt;".",s_Irr!AX26=".",s_Irr!BW26="."),s_dir!AZ26/((1/1000)*(s_Irr!Y26)),IF(AND(s_Irr!Y26=".",s_Irr!AX26=".",s_Irr!BW26="."),s_dir!AZ26*1000)))))))),".")</f>
        <v>123.78598883408308</v>
      </c>
      <c r="CA26" s="70">
        <f>IFERROR(IF(AND(s_Irr!Z26&lt;&gt;".",s_Irr!AY26&lt;&gt;".",s_Irr!BX26&lt;&gt;"."),s_dir!BA26/((1/1000)*(s_Irr!Z26+s_Irr!AY26+s_Irr!BX26)),IF(AND(s_Irr!Z26&lt;&gt;".",s_Irr!AY26&lt;&gt;".",s_Irr!BX26="."),s_dir!BA26/((1/1000)*(s_Irr!Z26+s_Irr!AY26)),IF(AND(s_Irr!Z26&lt;&gt;".",s_Irr!AY26=".",s_Irr!BX26&lt;&gt;"."),s_dir!BA26/((1/1000)*(s_Irr!Z26+s_Irr!BX26)),IF(AND(s_Irr!Z26=".",s_Irr!AY26&lt;&gt;".",s_Irr!BX26&lt;&gt;"."),s_dir!BA26/((1/1000)*(s_Irr!AY26+s_Irr!BX26)),IF(AND(s_Irr!Z26=".",s_Irr!AY26=".",s_Irr!BX26&lt;&gt;"."),s_dir!BA26/((1/1000)*(s_Irr!BX26)),IF(AND(s_Irr!Z26=".",s_Irr!AY26&lt;&gt;".",s_Irr!BX26="."),s_dir!BA26/((1/1000)*(s_Irr!AY26)),IF(AND(s_Irr!Z26&lt;&gt;".",s_Irr!AY26=".",s_Irr!BX26="."),s_dir!BA26/((1/1000)*(s_Irr!Z26)),IF(AND(s_Irr!Z26=".",s_Irr!AY26=".",s_Irr!BX26="."),s_dir!BA26*1000)))))))),".")</f>
        <v>125.08620766686767</v>
      </c>
      <c r="CB26" s="70">
        <f>IFERROR(IF(AND(s_Irr!AA26&lt;&gt;".",s_Irr!AZ26&lt;&gt;".",s_Irr!BY26&lt;&gt;"."),s_dir!BB26/((1/1000)*(s_Irr!AA26+s_Irr!AZ26+s_Irr!BY26)),IF(AND(s_Irr!AA26&lt;&gt;".",s_Irr!AZ26&lt;&gt;".",s_Irr!BY26="."),s_dir!BB26/((1/1000)*(s_Irr!AA26+s_Irr!AZ26)),IF(AND(s_Irr!AA26&lt;&gt;".",s_Irr!AZ26=".",s_Irr!BY26&lt;&gt;"."),s_dir!BB26/((1/1000)*(s_Irr!AA26+s_Irr!BY26)),IF(AND(s_Irr!AA26=".",s_Irr!AZ26&lt;&gt;".",s_Irr!BY26&lt;&gt;"."),s_dir!BB26/((1/1000)*(s_Irr!AZ26+s_Irr!BY26)),IF(AND(s_Irr!AA26=".",s_Irr!AZ26=".",s_Irr!BY26&lt;&gt;"."),s_dir!BB26/((1/1000)*(s_Irr!BY26)),IF(AND(s_Irr!AA26=".",s_Irr!AZ26&lt;&gt;".",s_Irr!BY26="."),s_dir!BB26/((1/1000)*(s_Irr!AZ26)),IF(AND(s_Irr!AA26&lt;&gt;".",s_Irr!AZ26=".",s_Irr!BY26="."),s_dir!BB26/((1/1000)*(s_Irr!AA26)),IF(AND(s_Irr!AA26=".",s_Irr!AZ26=".",s_Irr!BY26="."),s_dir!BB26*1000)))))))),".")</f>
        <v>121.10586751706455</v>
      </c>
      <c r="CC26" s="87">
        <f t="shared" si="2"/>
        <v>359.14790800964107</v>
      </c>
      <c r="CD26" s="87">
        <f>IFERROR(s_C*s_IFAP_far_adj*s_CF_apple*(1/1000)*(s_Irr!C26+s_Irr!AB26+s_Irr!BA26),".")</f>
        <v>89.208447423920347</v>
      </c>
      <c r="CE26" s="87">
        <f>IFERROR(s_C*s_IFAS_far_adj*s_CF_asparagus*(1/1000)*(s_Irr!D26+s_Irr!AC26+s_Irr!BB26),".")</f>
        <v>90.260319384811112</v>
      </c>
      <c r="CF26" s="87">
        <f>IFERROR(s_C*s_IFBT_far_adj*s_CF_beet*(1/1000)*(s_Irr!E26+s_Irr!AD26+s_Irr!BC26),".")</f>
        <v>89.65924969287353</v>
      </c>
      <c r="CG26" s="87">
        <f>IFERROR(s_C*s_IFBE_far_adj*s_CF_berries*(1/1000)*(s_Irr!F26+s_Irr!AE26+s_Irr!BD26),".")</f>
        <v>89.208447423920347</v>
      </c>
      <c r="CH26" s="87">
        <f>IFERROR(s_C*s_IFBR_far_adj*s_CF_broccoli*(1/1000)*(s_Irr!G26+s_Irr!AF26+s_Irr!BE26),".")</f>
        <v>89.629196208276653</v>
      </c>
      <c r="CI26" s="87">
        <f>IFERROR(s_C*s_IFCB_far_adj*s_CF_cabbage*(1/1000)*(s_Irr!H26+s_Irr!AG26+s_Irr!BF26),".")</f>
        <v>90.260319384811112</v>
      </c>
      <c r="CJ26" s="87">
        <f>IFERROR(s_C*s_IFCR_far_adj*s_CF_carrot*(1/1000)*(s_Irr!I26+s_Irr!AH26+s_Irr!BG26),".")</f>
        <v>89.65924969287353</v>
      </c>
      <c r="CK26" s="87">
        <f>IFERROR(s_C*s_IFCI_far_adj*s_CF_citrus*(1/1000)*(s_Irr!J26+s_Irr!AI26+s_Irr!BH26),".")</f>
        <v>89.208447423920347</v>
      </c>
      <c r="CL26" s="87">
        <f>IFERROR(s_C*s_IFCO_far_adj*s_CF_corn*(1/1000)*(s_Irr!K26+s_Irr!AJ26+s_Irr!BI26),".")</f>
        <v>89.418821816098486</v>
      </c>
      <c r="CM26" s="87">
        <f>IFERROR(s_C*s_IFCU_far_adj*s_CF_cucumber*(1/1000)*(s_Irr!L26+s_Irr!AK26+s_Irr!BJ26),".")</f>
        <v>89.629196208276653</v>
      </c>
      <c r="CN26" s="87">
        <f>IFERROR(s_C*s_IFLE_far_adj*s_CF_lettuce*(1/1000)*(s_Irr!M26+s_Irr!AL26+s_Irr!BK26),".")</f>
        <v>90.260319384811112</v>
      </c>
      <c r="CO26" s="87">
        <f>IFERROR(s_C*s_IFLI_far_adj*s_CF_lima_bean*(1/1000)*(s_Irr!N26+s_Irr!AM26+s_Irr!BL26),".")</f>
        <v>89.25352765081567</v>
      </c>
      <c r="CP26" s="87">
        <f>IFERROR(s_C*s_IFOK_far_adj*s_CF_okra*(1/1000)*(s_Irr!O26+s_Irr!AN26+s_Irr!BM26),".")</f>
        <v>89.629196208276653</v>
      </c>
      <c r="CQ26" s="87">
        <f>IFERROR(s_C*s_IFON_far_adj*s_CF_onion*(1/1000)*(s_Irr!P26+s_Irr!AO26+s_Irr!BN26),".")</f>
        <v>89.65924969287353</v>
      </c>
      <c r="CR26" s="87">
        <f>IFERROR(s_C*s_IFPC_far_adj*s_CF_peach*(1/1000)*(s_Irr!Q26+s_Irr!AP26+s_Irr!BO26),".")</f>
        <v>89.208447423920347</v>
      </c>
      <c r="CS26" s="87">
        <f>IFERROR(s_C*s_IFPR_far_adj*s_CF_pear*(1/1000)*(s_Irr!R26+s_Irr!AQ26+s_Irr!BP26),".")</f>
        <v>89.208447423920347</v>
      </c>
      <c r="CT26" s="87">
        <f>IFERROR(s_C*s_IFPE_far_adj*s_CF_peas*(1/1000)*(s_Irr!S26+s_Irr!AR26+s_Irr!BQ26),".")</f>
        <v>89.25352765081567</v>
      </c>
      <c r="CU26" s="87">
        <f>IFERROR(s_C*s_IFPP_far_adj*s_CF_peppers*(1/1000)*(s_Irr!T26+s_Irr!AS26+s_Irr!BR26),".")</f>
        <v>89.629196208276653</v>
      </c>
      <c r="CV26" s="87">
        <f>IFERROR(s_C*s_IFPT_far_adj*s_CF_potato*(1/1000)*(s_Irr!U26+s_Irr!AT26+s_Irr!BS26),".")</f>
        <v>88.757645154967165</v>
      </c>
      <c r="CW26" s="87">
        <f>IFERROR(s_C*s_IFPU_far_adj*s_CF_pumpkin*(1/1000)*(s_Irr!V26+s_Irr!AU26+s_Irr!BT26),".")</f>
        <v>89.629196208276653</v>
      </c>
      <c r="CX26" s="87">
        <f>IFERROR(s_C*s_IFSN_far_adj*s_CF_snap_bean*(1/1000)*(s_Irr!W26+s_Irr!AV26+s_Irr!BU26),".")</f>
        <v>89.25352765081567</v>
      </c>
      <c r="CY26" s="87">
        <f>IFERROR(s_C*s_IFST_far_adj*s_CF_strawberry*(1/1000)*(s_Irr!X26+s_Irr!AW26+s_Irr!BV26),".")</f>
        <v>89.208447423920347</v>
      </c>
      <c r="CZ26" s="87">
        <f>IFERROR(s_C*s_IFTO_far_adj*s_CF_tomato*(1/1000)*(s_Irr!Y26+s_Irr!AX26+s_Irr!BW26),".")</f>
        <v>89.629196208276653</v>
      </c>
      <c r="DA26" s="87">
        <f>IFERROR(s_C*s_IFRI_far_adj*s_CF_rice*(1/1000)*(s_Irr!Z26+s_Irr!AY26+s_Irr!BX26),".")</f>
        <v>88.697538185773396</v>
      </c>
      <c r="DB26" s="87">
        <f>IFERROR(s_C*s_IFCG_far_adj*s_CF_cereal*(1/1000)*(s_Irr!AA26+s_Irr!AZ26+s_Irr!BY26),".")</f>
        <v>91.61272619167066</v>
      </c>
    </row>
    <row r="27" spans="1:106" ht="15" customHeight="1" x14ac:dyDescent="0.25">
      <c r="A27" s="86" t="s">
        <v>25</v>
      </c>
      <c r="B27" s="84" t="s">
        <v>1057</v>
      </c>
      <c r="C27" s="15" t="str">
        <f t="shared" si="3"/>
        <v>.</v>
      </c>
      <c r="D27" s="70" t="str">
        <f>IFERROR(IF(AND(s_Irr!C27&lt;&gt;".",s_Irr!AB27&lt;&gt;".",s_Irr!BA27&lt;&gt;"."),s_dir!D27/((1/1000)*(s_Irr!C27+s_Irr!AB27+s_Irr!BA27)),IF(AND(s_Irr!C27&lt;&gt;".",s_Irr!AB27&lt;&gt;".",s_Irr!BA27="."),s_dir!D27/((1/1000)*(s_Irr!C27+s_Irr!AB27)),IF(AND(s_Irr!C27&lt;&gt;".",s_Irr!AB27=".",s_Irr!BA27&lt;&gt;"."),s_dir!D27/((1/1000)*(s_Irr!C27+s_Irr!BA27)),IF(AND(s_Irr!C27=".",s_Irr!AB27&lt;&gt;".",s_Irr!BA27&lt;&gt;"."),s_dir!D27/((1/1000)*(s_Irr!AB27+s_Irr!BA27)),IF(AND(s_Irr!C27=".",s_Irr!AB27=".",s_Irr!BA27&lt;&gt;"."),s_dir!D27/((1/1000)*(s_Irr!BA27)),IF(AND(s_Irr!C27=".",s_Irr!AB27&lt;&gt;".",s_Irr!BA27="."),s_dir!D27/((1/1000)*(s_Irr!AB27)),IF(AND(s_Irr!C27&lt;&gt;".",s_Irr!AB27=".",s_Irr!BA27="."),s_dir!D27/((1/1000)*(s_Irr!C27)),IF(AND(s_Irr!C27=".",s_Irr!AB27=".",s_Irr!BA27="."),s_dir!D27*1000)))))))),".")</f>
        <v>.</v>
      </c>
      <c r="E27" s="70" t="str">
        <f>IFERROR(IF(AND(s_Irr!D27&lt;&gt;".",s_Irr!AC27&lt;&gt;".",s_Irr!BB27&lt;&gt;"."),s_dir!E27/((1/1000)*(s_Irr!D27+s_Irr!AC27+s_Irr!BB27)),IF(AND(s_Irr!D27&lt;&gt;".",s_Irr!AC27&lt;&gt;".",s_Irr!BB27="."),s_dir!E27/((1/1000)*(s_Irr!D27+s_Irr!AC27)),IF(AND(s_Irr!D27&lt;&gt;".",s_Irr!AC27=".",s_Irr!BB27&lt;&gt;"."),s_dir!E27/((1/1000)*(s_Irr!D27+s_Irr!BB27)),IF(AND(s_Irr!D27=".",s_Irr!AC27&lt;&gt;".",s_Irr!BB27&lt;&gt;"."),s_dir!E27/((1/1000)*(s_Irr!AC27+s_Irr!BB27)),IF(AND(s_Irr!D27=".",s_Irr!AC27=".",s_Irr!BB27&lt;&gt;"."),s_dir!E27/((1/1000)*(s_Irr!BB27)),IF(AND(s_Irr!D27=".",s_Irr!AC27&lt;&gt;".",s_Irr!BB27="."),s_dir!E27/((1/1000)*(s_Irr!AC27)),IF(AND(s_Irr!D27&lt;&gt;".",s_Irr!AC27=".",s_Irr!BB27="."),s_dir!E27/((1/1000)*(s_Irr!D27)),IF(AND(s_Irr!D27=".",s_Irr!AC27=".",s_Irr!BB27="."),s_dir!E27*1000)))))))),".")</f>
        <v>.</v>
      </c>
      <c r="F27" s="70" t="str">
        <f>IFERROR(IF(AND(s_Irr!E27&lt;&gt;".",s_Irr!AD27&lt;&gt;".",s_Irr!BC27&lt;&gt;"."),s_dir!F27/((1/1000)*(s_Irr!E27+s_Irr!AD27+s_Irr!BC27)),IF(AND(s_Irr!E27&lt;&gt;".",s_Irr!AD27&lt;&gt;".",s_Irr!BC27="."),s_dir!F27/((1/1000)*(s_Irr!E27+s_Irr!AD27)),IF(AND(s_Irr!E27&lt;&gt;".",s_Irr!AD27=".",s_Irr!BC27&lt;&gt;"."),s_dir!F27/((1/1000)*(s_Irr!E27+s_Irr!BC27)),IF(AND(s_Irr!E27=".",s_Irr!AD27&lt;&gt;".",s_Irr!BC27&lt;&gt;"."),s_dir!F27/((1/1000)*(s_Irr!AD27+s_Irr!BC27)),IF(AND(s_Irr!E27=".",s_Irr!AD27=".",s_Irr!BC27&lt;&gt;"."),s_dir!F27/((1/1000)*(s_Irr!BC27)),IF(AND(s_Irr!E27=".",s_Irr!AD27&lt;&gt;".",s_Irr!BC27="."),s_dir!F27/((1/1000)*(s_Irr!AD27)),IF(AND(s_Irr!E27&lt;&gt;".",s_Irr!AD27=".",s_Irr!BC27="."),s_dir!F27/((1/1000)*(s_Irr!E27)),IF(AND(s_Irr!E27=".",s_Irr!AD27=".",s_Irr!BC27="."),s_dir!F27*1000)))))))),".")</f>
        <v>.</v>
      </c>
      <c r="G27" s="70" t="str">
        <f>IFERROR(IF(AND(s_Irr!F27&lt;&gt;".",s_Irr!AE27&lt;&gt;".",s_Irr!BD27&lt;&gt;"."),s_dir!G27/((1/1000)*(s_Irr!F27+s_Irr!AE27+s_Irr!BD27)),IF(AND(s_Irr!F27&lt;&gt;".",s_Irr!AE27&lt;&gt;".",s_Irr!BD27="."),s_dir!G27/((1/1000)*(s_Irr!F27+s_Irr!AE27)),IF(AND(s_Irr!F27&lt;&gt;".",s_Irr!AE27=".",s_Irr!BD27&lt;&gt;"."),s_dir!G27/((1/1000)*(s_Irr!F27+s_Irr!BD27)),IF(AND(s_Irr!F27=".",s_Irr!AE27&lt;&gt;".",s_Irr!BD27&lt;&gt;"."),s_dir!G27/((1/1000)*(s_Irr!AE27+s_Irr!BD27)),IF(AND(s_Irr!F27=".",s_Irr!AE27=".",s_Irr!BD27&lt;&gt;"."),s_dir!G27/((1/1000)*(s_Irr!BD27)),IF(AND(s_Irr!F27=".",s_Irr!AE27&lt;&gt;".",s_Irr!BD27="."),s_dir!G27/((1/1000)*(s_Irr!AE27)),IF(AND(s_Irr!F27&lt;&gt;".",s_Irr!AE27=".",s_Irr!BD27="."),s_dir!G27/((1/1000)*(s_Irr!F27)),IF(AND(s_Irr!F27=".",s_Irr!AE27=".",s_Irr!BD27="."),s_dir!G27*1000)))))))),".")</f>
        <v>.</v>
      </c>
      <c r="H27" s="70" t="str">
        <f>IFERROR(IF(AND(s_Irr!G27&lt;&gt;".",s_Irr!AF27&lt;&gt;".",s_Irr!BE27&lt;&gt;"."),s_dir!H27/((1/1000)*(s_Irr!G27+s_Irr!AF27+s_Irr!BE27)),IF(AND(s_Irr!G27&lt;&gt;".",s_Irr!AF27&lt;&gt;".",s_Irr!BE27="."),s_dir!H27/((1/1000)*(s_Irr!G27+s_Irr!AF27)),IF(AND(s_Irr!G27&lt;&gt;".",s_Irr!AF27=".",s_Irr!BE27&lt;&gt;"."),s_dir!H27/((1/1000)*(s_Irr!G27+s_Irr!BE27)),IF(AND(s_Irr!G27=".",s_Irr!AF27&lt;&gt;".",s_Irr!BE27&lt;&gt;"."),s_dir!H27/((1/1000)*(s_Irr!AF27+s_Irr!BE27)),IF(AND(s_Irr!G27=".",s_Irr!AF27=".",s_Irr!BE27&lt;&gt;"."),s_dir!H27/((1/1000)*(s_Irr!BE27)),IF(AND(s_Irr!G27=".",s_Irr!AF27&lt;&gt;".",s_Irr!BE27="."),s_dir!H27/((1/1000)*(s_Irr!AF27)),IF(AND(s_Irr!G27&lt;&gt;".",s_Irr!AF27=".",s_Irr!BE27="."),s_dir!H27/((1/1000)*(s_Irr!G27)),IF(AND(s_Irr!G27=".",s_Irr!AF27=".",s_Irr!BE27="."),s_dir!H27*1000)))))))),".")</f>
        <v>.</v>
      </c>
      <c r="I27" s="70" t="str">
        <f>IFERROR(IF(AND(s_Irr!H27&lt;&gt;".",s_Irr!AG27&lt;&gt;".",s_Irr!BF27&lt;&gt;"."),s_dir!I27/((1/1000)*(s_Irr!H27+s_Irr!AG27+s_Irr!BF27)),IF(AND(s_Irr!H27&lt;&gt;".",s_Irr!AG27&lt;&gt;".",s_Irr!BF27="."),s_dir!I27/((1/1000)*(s_Irr!H27+s_Irr!AG27)),IF(AND(s_Irr!H27&lt;&gt;".",s_Irr!AG27=".",s_Irr!BF27&lt;&gt;"."),s_dir!I27/((1/1000)*(s_Irr!H27+s_Irr!BF27)),IF(AND(s_Irr!H27=".",s_Irr!AG27&lt;&gt;".",s_Irr!BF27&lt;&gt;"."),s_dir!I27/((1/1000)*(s_Irr!AG27+s_Irr!BF27)),IF(AND(s_Irr!H27=".",s_Irr!AG27=".",s_Irr!BF27&lt;&gt;"."),s_dir!I27/((1/1000)*(s_Irr!BF27)),IF(AND(s_Irr!H27=".",s_Irr!AG27&lt;&gt;".",s_Irr!BF27="."),s_dir!I27/((1/1000)*(s_Irr!AG27)),IF(AND(s_Irr!H27&lt;&gt;".",s_Irr!AG27=".",s_Irr!BF27="."),s_dir!I27/((1/1000)*(s_Irr!H27)),IF(AND(s_Irr!H27=".",s_Irr!AG27=".",s_Irr!BF27="."),s_dir!I27*1000)))))))),".")</f>
        <v>.</v>
      </c>
      <c r="J27" s="70" t="str">
        <f>IFERROR(IF(AND(s_Irr!I27&lt;&gt;".",s_Irr!AH27&lt;&gt;".",s_Irr!BG27&lt;&gt;"."),s_dir!J27/((1/1000)*(s_Irr!I27+s_Irr!AH27+s_Irr!BG27)),IF(AND(s_Irr!I27&lt;&gt;".",s_Irr!AH27&lt;&gt;".",s_Irr!BG27="."),s_dir!J27/((1/1000)*(s_Irr!I27+s_Irr!AH27)),IF(AND(s_Irr!I27&lt;&gt;".",s_Irr!AH27=".",s_Irr!BG27&lt;&gt;"."),s_dir!J27/((1/1000)*(s_Irr!I27+s_Irr!BG27)),IF(AND(s_Irr!I27=".",s_Irr!AH27&lt;&gt;".",s_Irr!BG27&lt;&gt;"."),s_dir!J27/((1/1000)*(s_Irr!AH27+s_Irr!BG27)),IF(AND(s_Irr!I27=".",s_Irr!AH27=".",s_Irr!BG27&lt;&gt;"."),s_dir!J27/((1/1000)*(s_Irr!BG27)),IF(AND(s_Irr!I27=".",s_Irr!AH27&lt;&gt;".",s_Irr!BG27="."),s_dir!J27/((1/1000)*(s_Irr!AH27)),IF(AND(s_Irr!I27&lt;&gt;".",s_Irr!AH27=".",s_Irr!BG27="."),s_dir!J27/((1/1000)*(s_Irr!I27)),IF(AND(s_Irr!I27=".",s_Irr!AH27=".",s_Irr!BG27="."),s_dir!J27*1000)))))))),".")</f>
        <v>.</v>
      </c>
      <c r="K27" s="70" t="str">
        <f>IFERROR(IF(AND(s_Irr!J27&lt;&gt;".",s_Irr!AI27&lt;&gt;".",s_Irr!BH27&lt;&gt;"."),s_dir!K27/((1/1000)*(s_Irr!J27+s_Irr!AI27+s_Irr!BH27)),IF(AND(s_Irr!J27&lt;&gt;".",s_Irr!AI27&lt;&gt;".",s_Irr!BH27="."),s_dir!K27/((1/1000)*(s_Irr!J27+s_Irr!AI27)),IF(AND(s_Irr!J27&lt;&gt;".",s_Irr!AI27=".",s_Irr!BH27&lt;&gt;"."),s_dir!K27/((1/1000)*(s_Irr!J27+s_Irr!BH27)),IF(AND(s_Irr!J27=".",s_Irr!AI27&lt;&gt;".",s_Irr!BH27&lt;&gt;"."),s_dir!K27/((1/1000)*(s_Irr!AI27+s_Irr!BH27)),IF(AND(s_Irr!J27=".",s_Irr!AI27=".",s_Irr!BH27&lt;&gt;"."),s_dir!K27/((1/1000)*(s_Irr!BH27)),IF(AND(s_Irr!J27=".",s_Irr!AI27&lt;&gt;".",s_Irr!BH27="."),s_dir!K27/((1/1000)*(s_Irr!AI27)),IF(AND(s_Irr!J27&lt;&gt;".",s_Irr!AI27=".",s_Irr!BH27="."),s_dir!K27/((1/1000)*(s_Irr!J27)),IF(AND(s_Irr!J27=".",s_Irr!AI27=".",s_Irr!BH27="."),s_dir!K27*1000)))))))),".")</f>
        <v>.</v>
      </c>
      <c r="L27" s="70" t="str">
        <f>IFERROR(IF(AND(s_Irr!K27&lt;&gt;".",s_Irr!AJ27&lt;&gt;".",s_Irr!BI27&lt;&gt;"."),s_dir!L27/((1/1000)*(s_Irr!K27+s_Irr!AJ27+s_Irr!BI27)),IF(AND(s_Irr!K27&lt;&gt;".",s_Irr!AJ27&lt;&gt;".",s_Irr!BI27="."),s_dir!L27/((1/1000)*(s_Irr!K27+s_Irr!AJ27)),IF(AND(s_Irr!K27&lt;&gt;".",s_Irr!AJ27=".",s_Irr!BI27&lt;&gt;"."),s_dir!L27/((1/1000)*(s_Irr!K27+s_Irr!BI27)),IF(AND(s_Irr!K27=".",s_Irr!AJ27&lt;&gt;".",s_Irr!BI27&lt;&gt;"."),s_dir!L27/((1/1000)*(s_Irr!AJ27+s_Irr!BI27)),IF(AND(s_Irr!K27=".",s_Irr!AJ27=".",s_Irr!BI27&lt;&gt;"."),s_dir!L27/((1/1000)*(s_Irr!BI27)),IF(AND(s_Irr!K27=".",s_Irr!AJ27&lt;&gt;".",s_Irr!BI27="."),s_dir!L27/((1/1000)*(s_Irr!AJ27)),IF(AND(s_Irr!K27&lt;&gt;".",s_Irr!AJ27=".",s_Irr!BI27="."),s_dir!L27/((1/1000)*(s_Irr!K27)),IF(AND(s_Irr!K27=".",s_Irr!AJ27=".",s_Irr!BI27="."),s_dir!L27*1000)))))))),".")</f>
        <v>.</v>
      </c>
      <c r="M27" s="70" t="str">
        <f>IFERROR(IF(AND(s_Irr!L27&lt;&gt;".",s_Irr!AK27&lt;&gt;".",s_Irr!BJ27&lt;&gt;"."),s_dir!M27/((1/1000)*(s_Irr!L27+s_Irr!AK27+s_Irr!BJ27)),IF(AND(s_Irr!L27&lt;&gt;".",s_Irr!AK27&lt;&gt;".",s_Irr!BJ27="."),s_dir!M27/((1/1000)*(s_Irr!L27+s_Irr!AK27)),IF(AND(s_Irr!L27&lt;&gt;".",s_Irr!AK27=".",s_Irr!BJ27&lt;&gt;"."),s_dir!M27/((1/1000)*(s_Irr!L27+s_Irr!BJ27)),IF(AND(s_Irr!L27=".",s_Irr!AK27&lt;&gt;".",s_Irr!BJ27&lt;&gt;"."),s_dir!M27/((1/1000)*(s_Irr!AK27+s_Irr!BJ27)),IF(AND(s_Irr!L27=".",s_Irr!AK27=".",s_Irr!BJ27&lt;&gt;"."),s_dir!M27/((1/1000)*(s_Irr!BJ27)),IF(AND(s_Irr!L27=".",s_Irr!AK27&lt;&gt;".",s_Irr!BJ27="."),s_dir!M27/((1/1000)*(s_Irr!AK27)),IF(AND(s_Irr!L27&lt;&gt;".",s_Irr!AK27=".",s_Irr!BJ27="."),s_dir!M27/((1/1000)*(s_Irr!L27)),IF(AND(s_Irr!L27=".",s_Irr!AK27=".",s_Irr!BJ27="."),s_dir!M27*1000)))))))),".")</f>
        <v>.</v>
      </c>
      <c r="N27" s="70" t="str">
        <f>IFERROR(IF(AND(s_Irr!M27&lt;&gt;".",s_Irr!AL27&lt;&gt;".",s_Irr!BK27&lt;&gt;"."),s_dir!N27/((1/1000)*(s_Irr!M27+s_Irr!AL27+s_Irr!BK27)),IF(AND(s_Irr!M27&lt;&gt;".",s_Irr!AL27&lt;&gt;".",s_Irr!BK27="."),s_dir!N27/((1/1000)*(s_Irr!M27+s_Irr!AL27)),IF(AND(s_Irr!M27&lt;&gt;".",s_Irr!AL27=".",s_Irr!BK27&lt;&gt;"."),s_dir!N27/((1/1000)*(s_Irr!M27+s_Irr!BK27)),IF(AND(s_Irr!M27=".",s_Irr!AL27&lt;&gt;".",s_Irr!BK27&lt;&gt;"."),s_dir!N27/((1/1000)*(s_Irr!AL27+s_Irr!BK27)),IF(AND(s_Irr!M27=".",s_Irr!AL27=".",s_Irr!BK27&lt;&gt;"."),s_dir!N27/((1/1000)*(s_Irr!BK27)),IF(AND(s_Irr!M27=".",s_Irr!AL27&lt;&gt;".",s_Irr!BK27="."),s_dir!N27/((1/1000)*(s_Irr!AL27)),IF(AND(s_Irr!M27&lt;&gt;".",s_Irr!AL27=".",s_Irr!BK27="."),s_dir!N27/((1/1000)*(s_Irr!M27)),IF(AND(s_Irr!M27=".",s_Irr!AL27=".",s_Irr!BK27="."),s_dir!N27*1000)))))))),".")</f>
        <v>.</v>
      </c>
      <c r="O27" s="70" t="str">
        <f>IFERROR(IF(AND(s_Irr!N27&lt;&gt;".",s_Irr!AM27&lt;&gt;".",s_Irr!BL27&lt;&gt;"."),s_dir!O27/((1/1000)*(s_Irr!N27+s_Irr!AM27+s_Irr!BL27)),IF(AND(s_Irr!N27&lt;&gt;".",s_Irr!AM27&lt;&gt;".",s_Irr!BL27="."),s_dir!O27/((1/1000)*(s_Irr!N27+s_Irr!AM27)),IF(AND(s_Irr!N27&lt;&gt;".",s_Irr!AM27=".",s_Irr!BL27&lt;&gt;"."),s_dir!O27/((1/1000)*(s_Irr!N27+s_Irr!BL27)),IF(AND(s_Irr!N27=".",s_Irr!AM27&lt;&gt;".",s_Irr!BL27&lt;&gt;"."),s_dir!O27/((1/1000)*(s_Irr!AM27+s_Irr!BL27)),IF(AND(s_Irr!N27=".",s_Irr!AM27=".",s_Irr!BL27&lt;&gt;"."),s_dir!O27/((1/1000)*(s_Irr!BL27)),IF(AND(s_Irr!N27=".",s_Irr!AM27&lt;&gt;".",s_Irr!BL27="."),s_dir!O27/((1/1000)*(s_Irr!AM27)),IF(AND(s_Irr!N27&lt;&gt;".",s_Irr!AM27=".",s_Irr!BL27="."),s_dir!O27/((1/1000)*(s_Irr!N27)),IF(AND(s_Irr!N27=".",s_Irr!AM27=".",s_Irr!BL27="."),s_dir!O27*1000)))))))),".")</f>
        <v>.</v>
      </c>
      <c r="P27" s="70" t="str">
        <f>IFERROR(IF(AND(s_Irr!O27&lt;&gt;".",s_Irr!AN27&lt;&gt;".",s_Irr!BM27&lt;&gt;"."),s_dir!P27/((1/1000)*(s_Irr!O27+s_Irr!AN27+s_Irr!BM27)),IF(AND(s_Irr!O27&lt;&gt;".",s_Irr!AN27&lt;&gt;".",s_Irr!BM27="."),s_dir!P27/((1/1000)*(s_Irr!O27+s_Irr!AN27)),IF(AND(s_Irr!O27&lt;&gt;".",s_Irr!AN27=".",s_Irr!BM27&lt;&gt;"."),s_dir!P27/((1/1000)*(s_Irr!O27+s_Irr!BM27)),IF(AND(s_Irr!O27=".",s_Irr!AN27&lt;&gt;".",s_Irr!BM27&lt;&gt;"."),s_dir!P27/((1/1000)*(s_Irr!AN27+s_Irr!BM27)),IF(AND(s_Irr!O27=".",s_Irr!AN27=".",s_Irr!BM27&lt;&gt;"."),s_dir!P27/((1/1000)*(s_Irr!BM27)),IF(AND(s_Irr!O27=".",s_Irr!AN27&lt;&gt;".",s_Irr!BM27="."),s_dir!P27/((1/1000)*(s_Irr!AN27)),IF(AND(s_Irr!O27&lt;&gt;".",s_Irr!AN27=".",s_Irr!BM27="."),s_dir!P27/((1/1000)*(s_Irr!O27)),IF(AND(s_Irr!O27=".",s_Irr!AN27=".",s_Irr!BM27="."),s_dir!P27*1000)))))))),".")</f>
        <v>.</v>
      </c>
      <c r="Q27" s="70" t="str">
        <f>IFERROR(IF(AND(s_Irr!P27&lt;&gt;".",s_Irr!AO27&lt;&gt;".",s_Irr!BN27&lt;&gt;"."),s_dir!Q27/((1/1000)*(s_Irr!P27+s_Irr!AO27+s_Irr!BN27)),IF(AND(s_Irr!P27&lt;&gt;".",s_Irr!AO27&lt;&gt;".",s_Irr!BN27="."),s_dir!Q27/((1/1000)*(s_Irr!P27+s_Irr!AO27)),IF(AND(s_Irr!P27&lt;&gt;".",s_Irr!AO27=".",s_Irr!BN27&lt;&gt;"."),s_dir!Q27/((1/1000)*(s_Irr!P27+s_Irr!BN27)),IF(AND(s_Irr!P27=".",s_Irr!AO27&lt;&gt;".",s_Irr!BN27&lt;&gt;"."),s_dir!Q27/((1/1000)*(s_Irr!AO27+s_Irr!BN27)),IF(AND(s_Irr!P27=".",s_Irr!AO27=".",s_Irr!BN27&lt;&gt;"."),s_dir!Q27/((1/1000)*(s_Irr!BN27)),IF(AND(s_Irr!P27=".",s_Irr!AO27&lt;&gt;".",s_Irr!BN27="."),s_dir!Q27/((1/1000)*(s_Irr!AO27)),IF(AND(s_Irr!P27&lt;&gt;".",s_Irr!AO27=".",s_Irr!BN27="."),s_dir!Q27/((1/1000)*(s_Irr!P27)),IF(AND(s_Irr!P27=".",s_Irr!AO27=".",s_Irr!BN27="."),s_dir!Q27*1000)))))))),".")</f>
        <v>.</v>
      </c>
      <c r="R27" s="70" t="str">
        <f>IFERROR(IF(AND(s_Irr!Q27&lt;&gt;".",s_Irr!AP27&lt;&gt;".",s_Irr!BO27&lt;&gt;"."),s_dir!R27/((1/1000)*(s_Irr!Q27+s_Irr!AP27+s_Irr!BO27)),IF(AND(s_Irr!Q27&lt;&gt;".",s_Irr!AP27&lt;&gt;".",s_Irr!BO27="."),s_dir!R27/((1/1000)*(s_Irr!Q27+s_Irr!AP27)),IF(AND(s_Irr!Q27&lt;&gt;".",s_Irr!AP27=".",s_Irr!BO27&lt;&gt;"."),s_dir!R27/((1/1000)*(s_Irr!Q27+s_Irr!BO27)),IF(AND(s_Irr!Q27=".",s_Irr!AP27&lt;&gt;".",s_Irr!BO27&lt;&gt;"."),s_dir!R27/((1/1000)*(s_Irr!AP27+s_Irr!BO27)),IF(AND(s_Irr!Q27=".",s_Irr!AP27=".",s_Irr!BO27&lt;&gt;"."),s_dir!R27/((1/1000)*(s_Irr!BO27)),IF(AND(s_Irr!Q27=".",s_Irr!AP27&lt;&gt;".",s_Irr!BO27="."),s_dir!R27/((1/1000)*(s_Irr!AP27)),IF(AND(s_Irr!Q27&lt;&gt;".",s_Irr!AP27=".",s_Irr!BO27="."),s_dir!R27/((1/1000)*(s_Irr!Q27)),IF(AND(s_Irr!Q27=".",s_Irr!AP27=".",s_Irr!BO27="."),s_dir!R27*1000)))))))),".")</f>
        <v>.</v>
      </c>
      <c r="S27" s="70" t="str">
        <f>IFERROR(IF(AND(s_Irr!R27&lt;&gt;".",s_Irr!AQ27&lt;&gt;".",s_Irr!BP27&lt;&gt;"."),s_dir!S27/((1/1000)*(s_Irr!R27+s_Irr!AQ27+s_Irr!BP27)),IF(AND(s_Irr!R27&lt;&gt;".",s_Irr!AQ27&lt;&gt;".",s_Irr!BP27="."),s_dir!S27/((1/1000)*(s_Irr!R27+s_Irr!AQ27)),IF(AND(s_Irr!R27&lt;&gt;".",s_Irr!AQ27=".",s_Irr!BP27&lt;&gt;"."),s_dir!S27/((1/1000)*(s_Irr!R27+s_Irr!BP27)),IF(AND(s_Irr!R27=".",s_Irr!AQ27&lt;&gt;".",s_Irr!BP27&lt;&gt;"."),s_dir!S27/((1/1000)*(s_Irr!AQ27+s_Irr!BP27)),IF(AND(s_Irr!R27=".",s_Irr!AQ27=".",s_Irr!BP27&lt;&gt;"."),s_dir!S27/((1/1000)*(s_Irr!BP27)),IF(AND(s_Irr!R27=".",s_Irr!AQ27&lt;&gt;".",s_Irr!BP27="."),s_dir!S27/((1/1000)*(s_Irr!AQ27)),IF(AND(s_Irr!R27&lt;&gt;".",s_Irr!AQ27=".",s_Irr!BP27="."),s_dir!S27/((1/1000)*(s_Irr!R27)),IF(AND(s_Irr!R27=".",s_Irr!AQ27=".",s_Irr!BP27="."),s_dir!S27*1000)))))))),".")</f>
        <v>.</v>
      </c>
      <c r="T27" s="70" t="str">
        <f>IFERROR(IF(AND(s_Irr!S27&lt;&gt;".",s_Irr!AR27&lt;&gt;".",s_Irr!BQ27&lt;&gt;"."),s_dir!T27/((1/1000)*(s_Irr!S27+s_Irr!AR27+s_Irr!BQ27)),IF(AND(s_Irr!S27&lt;&gt;".",s_Irr!AR27&lt;&gt;".",s_Irr!BQ27="."),s_dir!T27/((1/1000)*(s_Irr!S27+s_Irr!AR27)),IF(AND(s_Irr!S27&lt;&gt;".",s_Irr!AR27=".",s_Irr!BQ27&lt;&gt;"."),s_dir!T27/((1/1000)*(s_Irr!S27+s_Irr!BQ27)),IF(AND(s_Irr!S27=".",s_Irr!AR27&lt;&gt;".",s_Irr!BQ27&lt;&gt;"."),s_dir!T27/((1/1000)*(s_Irr!AR27+s_Irr!BQ27)),IF(AND(s_Irr!S27=".",s_Irr!AR27=".",s_Irr!BQ27&lt;&gt;"."),s_dir!T27/((1/1000)*(s_Irr!BQ27)),IF(AND(s_Irr!S27=".",s_Irr!AR27&lt;&gt;".",s_Irr!BQ27="."),s_dir!T27/((1/1000)*(s_Irr!AR27)),IF(AND(s_Irr!S27&lt;&gt;".",s_Irr!AR27=".",s_Irr!BQ27="."),s_dir!T27/((1/1000)*(s_Irr!S27)),IF(AND(s_Irr!S27=".",s_Irr!AR27=".",s_Irr!BQ27="."),s_dir!T27*1000)))))))),".")</f>
        <v>.</v>
      </c>
      <c r="U27" s="70" t="str">
        <f>IFERROR(IF(AND(s_Irr!T27&lt;&gt;".",s_Irr!AS27&lt;&gt;".",s_Irr!BR27&lt;&gt;"."),s_dir!U27/((1/1000)*(s_Irr!T27+s_Irr!AS27+s_Irr!BR27)),IF(AND(s_Irr!T27&lt;&gt;".",s_Irr!AS27&lt;&gt;".",s_Irr!BR27="."),s_dir!U27/((1/1000)*(s_Irr!T27+s_Irr!AS27)),IF(AND(s_Irr!T27&lt;&gt;".",s_Irr!AS27=".",s_Irr!BR27&lt;&gt;"."),s_dir!U27/((1/1000)*(s_Irr!T27+s_Irr!BR27)),IF(AND(s_Irr!T27=".",s_Irr!AS27&lt;&gt;".",s_Irr!BR27&lt;&gt;"."),s_dir!U27/((1/1000)*(s_Irr!AS27+s_Irr!BR27)),IF(AND(s_Irr!T27=".",s_Irr!AS27=".",s_Irr!BR27&lt;&gt;"."),s_dir!U27/((1/1000)*(s_Irr!BR27)),IF(AND(s_Irr!T27=".",s_Irr!AS27&lt;&gt;".",s_Irr!BR27="."),s_dir!U27/((1/1000)*(s_Irr!AS27)),IF(AND(s_Irr!T27&lt;&gt;".",s_Irr!AS27=".",s_Irr!BR27="."),s_dir!U27/((1/1000)*(s_Irr!T27)),IF(AND(s_Irr!T27=".",s_Irr!AS27=".",s_Irr!BR27="."),s_dir!U27*1000)))))))),".")</f>
        <v>.</v>
      </c>
      <c r="V27" s="70" t="str">
        <f>IFERROR(IF(AND(s_Irr!U27&lt;&gt;".",s_Irr!AT27&lt;&gt;".",s_Irr!BS27&lt;&gt;"."),s_dir!V27/((1/1000)*(s_Irr!U27+s_Irr!AT27+s_Irr!BS27)),IF(AND(s_Irr!U27&lt;&gt;".",s_Irr!AT27&lt;&gt;".",s_Irr!BS27="."),s_dir!V27/((1/1000)*(s_Irr!U27+s_Irr!AT27)),IF(AND(s_Irr!U27&lt;&gt;".",s_Irr!AT27=".",s_Irr!BS27&lt;&gt;"."),s_dir!V27/((1/1000)*(s_Irr!U27+s_Irr!BS27)),IF(AND(s_Irr!U27=".",s_Irr!AT27&lt;&gt;".",s_Irr!BS27&lt;&gt;"."),s_dir!V27/((1/1000)*(s_Irr!AT27+s_Irr!BS27)),IF(AND(s_Irr!U27=".",s_Irr!AT27=".",s_Irr!BS27&lt;&gt;"."),s_dir!V27/((1/1000)*(s_Irr!BS27)),IF(AND(s_Irr!U27=".",s_Irr!AT27&lt;&gt;".",s_Irr!BS27="."),s_dir!V27/((1/1000)*(s_Irr!AT27)),IF(AND(s_Irr!U27&lt;&gt;".",s_Irr!AT27=".",s_Irr!BS27="."),s_dir!V27/((1/1000)*(s_Irr!U27)),IF(AND(s_Irr!U27=".",s_Irr!AT27=".",s_Irr!BS27="."),s_dir!V27*1000)))))))),".")</f>
        <v>.</v>
      </c>
      <c r="W27" s="70" t="str">
        <f>IFERROR(IF(AND(s_Irr!V27&lt;&gt;".",s_Irr!AU27&lt;&gt;".",s_Irr!BT27&lt;&gt;"."),s_dir!W27/((1/1000)*(s_Irr!V27+s_Irr!AU27+s_Irr!BT27)),IF(AND(s_Irr!V27&lt;&gt;".",s_Irr!AU27&lt;&gt;".",s_Irr!BT27="."),s_dir!W27/((1/1000)*(s_Irr!V27+s_Irr!AU27)),IF(AND(s_Irr!V27&lt;&gt;".",s_Irr!AU27=".",s_Irr!BT27&lt;&gt;"."),s_dir!W27/((1/1000)*(s_Irr!V27+s_Irr!BT27)),IF(AND(s_Irr!V27=".",s_Irr!AU27&lt;&gt;".",s_Irr!BT27&lt;&gt;"."),s_dir!W27/((1/1000)*(s_Irr!AU27+s_Irr!BT27)),IF(AND(s_Irr!V27=".",s_Irr!AU27=".",s_Irr!BT27&lt;&gt;"."),s_dir!W27/((1/1000)*(s_Irr!BT27)),IF(AND(s_Irr!V27=".",s_Irr!AU27&lt;&gt;".",s_Irr!BT27="."),s_dir!W27/((1/1000)*(s_Irr!AU27)),IF(AND(s_Irr!V27&lt;&gt;".",s_Irr!AU27=".",s_Irr!BT27="."),s_dir!W27/((1/1000)*(s_Irr!V27)),IF(AND(s_Irr!V27=".",s_Irr!AU27=".",s_Irr!BT27="."),s_dir!W27*1000)))))))),".")</f>
        <v>.</v>
      </c>
      <c r="X27" s="70" t="str">
        <f>IFERROR(IF(AND(s_Irr!W27&lt;&gt;".",s_Irr!AV27&lt;&gt;".",s_Irr!BU27&lt;&gt;"."),s_dir!X27/((1/1000)*(s_Irr!W27+s_Irr!AV27+s_Irr!BU27)),IF(AND(s_Irr!W27&lt;&gt;".",s_Irr!AV27&lt;&gt;".",s_Irr!BU27="."),s_dir!X27/((1/1000)*(s_Irr!W27+s_Irr!AV27)),IF(AND(s_Irr!W27&lt;&gt;".",s_Irr!AV27=".",s_Irr!BU27&lt;&gt;"."),s_dir!X27/((1/1000)*(s_Irr!W27+s_Irr!BU27)),IF(AND(s_Irr!W27=".",s_Irr!AV27&lt;&gt;".",s_Irr!BU27&lt;&gt;"."),s_dir!X27/((1/1000)*(s_Irr!AV27+s_Irr!BU27)),IF(AND(s_Irr!W27=".",s_Irr!AV27=".",s_Irr!BU27&lt;&gt;"."),s_dir!X27/((1/1000)*(s_Irr!BU27)),IF(AND(s_Irr!W27=".",s_Irr!AV27&lt;&gt;".",s_Irr!BU27="."),s_dir!X27/((1/1000)*(s_Irr!AV27)),IF(AND(s_Irr!W27&lt;&gt;".",s_Irr!AV27=".",s_Irr!BU27="."),s_dir!X27/((1/1000)*(s_Irr!W27)),IF(AND(s_Irr!W27=".",s_Irr!AV27=".",s_Irr!BU27="."),s_dir!X27*1000)))))))),".")</f>
        <v>.</v>
      </c>
      <c r="Y27" s="70" t="str">
        <f>IFERROR(IF(AND(s_Irr!X27&lt;&gt;".",s_Irr!AW27&lt;&gt;".",s_Irr!BV27&lt;&gt;"."),s_dir!Y27/((1/1000)*(s_Irr!X27+s_Irr!AW27+s_Irr!BV27)),IF(AND(s_Irr!X27&lt;&gt;".",s_Irr!AW27&lt;&gt;".",s_Irr!BV27="."),s_dir!Y27/((1/1000)*(s_Irr!X27+s_Irr!AW27)),IF(AND(s_Irr!X27&lt;&gt;".",s_Irr!AW27=".",s_Irr!BV27&lt;&gt;"."),s_dir!Y27/((1/1000)*(s_Irr!X27+s_Irr!BV27)),IF(AND(s_Irr!X27=".",s_Irr!AW27&lt;&gt;".",s_Irr!BV27&lt;&gt;"."),s_dir!Y27/((1/1000)*(s_Irr!AW27+s_Irr!BV27)),IF(AND(s_Irr!X27=".",s_Irr!AW27=".",s_Irr!BV27&lt;&gt;"."),s_dir!Y27/((1/1000)*(s_Irr!BV27)),IF(AND(s_Irr!X27=".",s_Irr!AW27&lt;&gt;".",s_Irr!BV27="."),s_dir!Y27/((1/1000)*(s_Irr!AW27)),IF(AND(s_Irr!X27&lt;&gt;".",s_Irr!AW27=".",s_Irr!BV27="."),s_dir!Y27/((1/1000)*(s_Irr!X27)),IF(AND(s_Irr!X27=".",s_Irr!AW27=".",s_Irr!BV27="."),s_dir!Y27*1000)))))))),".")</f>
        <v>.</v>
      </c>
      <c r="Z27" s="70" t="str">
        <f>IFERROR(IF(AND(s_Irr!Y27&lt;&gt;".",s_Irr!AX27&lt;&gt;".",s_Irr!BW27&lt;&gt;"."),s_dir!Z27/((1/1000)*(s_Irr!Y27+s_Irr!AX27+s_Irr!BW27)),IF(AND(s_Irr!Y27&lt;&gt;".",s_Irr!AX27&lt;&gt;".",s_Irr!BW27="."),s_dir!Z27/((1/1000)*(s_Irr!Y27+s_Irr!AX27)),IF(AND(s_Irr!Y27&lt;&gt;".",s_Irr!AX27=".",s_Irr!BW27&lt;&gt;"."),s_dir!Z27/((1/1000)*(s_Irr!Y27+s_Irr!BW27)),IF(AND(s_Irr!Y27=".",s_Irr!AX27&lt;&gt;".",s_Irr!BW27&lt;&gt;"."),s_dir!Z27/((1/1000)*(s_Irr!AX27+s_Irr!BW27)),IF(AND(s_Irr!Y27=".",s_Irr!AX27=".",s_Irr!BW27&lt;&gt;"."),s_dir!Z27/((1/1000)*(s_Irr!BW27)),IF(AND(s_Irr!Y27=".",s_Irr!AX27&lt;&gt;".",s_Irr!BW27="."),s_dir!Z27/((1/1000)*(s_Irr!AX27)),IF(AND(s_Irr!Y27&lt;&gt;".",s_Irr!AX27=".",s_Irr!BW27="."),s_dir!Z27/((1/1000)*(s_Irr!Y27)),IF(AND(s_Irr!Y27=".",s_Irr!AX27=".",s_Irr!BW27="."),s_dir!Z27*1000)))))))),".")</f>
        <v>.</v>
      </c>
      <c r="AA27" s="70" t="str">
        <f>IFERROR(IF(AND(s_Irr!Z27&lt;&gt;".",s_Irr!AY27&lt;&gt;".",s_Irr!BX27&lt;&gt;"."),s_dir!AA27/((1/1000)*(s_Irr!Z27+s_Irr!AY27+s_Irr!BX27)),IF(AND(s_Irr!Z27&lt;&gt;".",s_Irr!AY27&lt;&gt;".",s_Irr!BX27="."),s_dir!AA27/((1/1000)*(s_Irr!Z27+s_Irr!AY27)),IF(AND(s_Irr!Z27&lt;&gt;".",s_Irr!AY27=".",s_Irr!BX27&lt;&gt;"."),s_dir!AA27/((1/1000)*(s_Irr!Z27+s_Irr!BX27)),IF(AND(s_Irr!Z27=".",s_Irr!AY27&lt;&gt;".",s_Irr!BX27&lt;&gt;"."),s_dir!AA27/((1/1000)*(s_Irr!AY27+s_Irr!BX27)),IF(AND(s_Irr!Z27=".",s_Irr!AY27=".",s_Irr!BX27&lt;&gt;"."),s_dir!AA27/((1/1000)*(s_Irr!BX27)),IF(AND(s_Irr!Z27=".",s_Irr!AY27&lt;&gt;".",s_Irr!BX27="."),s_dir!AA27/((1/1000)*(s_Irr!AY27)),IF(AND(s_Irr!Z27&lt;&gt;".",s_Irr!AY27=".",s_Irr!BX27="."),s_dir!AA27/((1/1000)*(s_Irr!Z27)),IF(AND(s_Irr!Z27=".",s_Irr!AY27=".",s_Irr!BX27="."),s_dir!AA27*1000)))))))),".")</f>
        <v>.</v>
      </c>
      <c r="AB27" s="70" t="str">
        <f>IFERROR(IF(AND(s_Irr!AA27&lt;&gt;".",s_Irr!AZ27&lt;&gt;".",s_Irr!BY27&lt;&gt;"."),s_dir!AB27/((1/1000)*(s_Irr!AA27+s_Irr!AZ27+s_Irr!BY27)),IF(AND(s_Irr!AA27&lt;&gt;".",s_Irr!AZ27&lt;&gt;".",s_Irr!BY27="."),s_dir!AB27/((1/1000)*(s_Irr!AA27+s_Irr!AZ27)),IF(AND(s_Irr!AA27&lt;&gt;".",s_Irr!AZ27=".",s_Irr!BY27&lt;&gt;"."),s_dir!AB27/((1/1000)*(s_Irr!AA27+s_Irr!BY27)),IF(AND(s_Irr!AA27=".",s_Irr!AZ27&lt;&gt;".",s_Irr!BY27&lt;&gt;"."),s_dir!AB27/((1/1000)*(s_Irr!AZ27+s_Irr!BY27)),IF(AND(s_Irr!AA27=".",s_Irr!AZ27=".",s_Irr!BY27&lt;&gt;"."),s_dir!AB27/((1/1000)*(s_Irr!BY27)),IF(AND(s_Irr!AA27=".",s_Irr!AZ27&lt;&gt;".",s_Irr!BY27="."),s_dir!AB27/((1/1000)*(s_Irr!AZ27)),IF(AND(s_Irr!AA27&lt;&gt;".",s_Irr!AZ27=".",s_Irr!BY27="."),s_dir!AB27/((1/1000)*(s_Irr!AA27)),IF(AND(s_Irr!AA27=".",s_Irr!AZ27=".",s_Irr!BY27="."),s_dir!AB27*1000)))))))),".")</f>
        <v>.</v>
      </c>
      <c r="AC27" s="87">
        <f t="shared" si="5"/>
        <v>656.8877799109207</v>
      </c>
      <c r="AD27" s="87">
        <f>IFERROR(s_C*s_IFAP_res_adj*s_CF_apple*0.001*(s_Irr!C27+s_Irr!AB27+s_Irr!BA27),".")</f>
        <v>88.577324247385889</v>
      </c>
      <c r="AE27" s="87">
        <f>IFERROR(s_C*s_IFAS_res_adj*s_CF_asparagus*0.001*(s_Irr!D27+s_Irr!AC27+s_Irr!BB27),".")</f>
        <v>89.65924969287353</v>
      </c>
      <c r="AF27" s="87">
        <f>IFERROR(s_C*s_IFBT_res_adj*s_CF_beet*0.001*(s_Irr!E27+s_Irr!AD27+s_Irr!BC27),".")</f>
        <v>88.577324247385889</v>
      </c>
      <c r="AG27" s="87">
        <f>IFERROR(s_C*s_IFBE_res_adj*s_CF_berries*0.001*(s_Irr!F27+s_Irr!AE27+s_Irr!BD27),".")</f>
        <v>88.577324247385889</v>
      </c>
      <c r="AH27" s="87">
        <f>IFERROR(s_C*s_IFBR_res_adj*s_CF_broccoli*0.001*(s_Irr!G27+s_Irr!AF27+s_Irr!BE27),".")</f>
        <v>89.65924969287353</v>
      </c>
      <c r="AI27" s="87">
        <f>IFERROR(s_C*s_IFCB_res_adj*s_CF_cabbage*0.001*(s_Irr!H27+s_Irr!AG27+s_Irr!BF27),".")</f>
        <v>89.65924969287353</v>
      </c>
      <c r="AJ27" s="87">
        <f>IFERROR(s_C*s_IFCR_res_adj*s_CF_carrot*0.001*(s_Irr!I27+s_Irr!AH27+s_Irr!BG27),".")</f>
        <v>88.577324247385889</v>
      </c>
      <c r="AK27" s="87">
        <f>IFERROR(s_C*s_IFCI_res_adj*s_CF_citrus*0.001*(s_Irr!J27+s_Irr!AI27+s_Irr!BH27),".")</f>
        <v>88.577324247385889</v>
      </c>
      <c r="AL27" s="87">
        <f>IFERROR(s_C*s_IFCO_res_adj*s_CF_corn*0.001*(s_Irr!K27+s_Irr!AJ27+s_Irr!BI27),".")</f>
        <v>89.65924969287353</v>
      </c>
      <c r="AM27" s="87">
        <f>IFERROR(s_C*s_IFCU_res_adj*s_CF_cucumber*0.001*(s_Irr!L27+s_Irr!AK27+s_Irr!BJ27),".")</f>
        <v>89.65924969287353</v>
      </c>
      <c r="AN27" s="87">
        <f>IFERROR(s_C*s_IFLE_res_adj*s_CF_lettuce*0.001*(s_Irr!M27+s_Irr!AL27+s_Irr!BK27),".")</f>
        <v>89.65924969287353</v>
      </c>
      <c r="AO27" s="87">
        <f>IFERROR(s_C*s_IFLI_res_adj*s_CF_lima_bean*0.001*(s_Irr!N27+s_Irr!AM27+s_Irr!BL27),".")</f>
        <v>89.65924969287353</v>
      </c>
      <c r="AP27" s="87">
        <f>IFERROR(s_C*s_IFOK_res_adj*s_CF_okra*0.001*(s_Irr!O27+s_Irr!AN27+s_Irr!BM27),".")</f>
        <v>89.65924969287353</v>
      </c>
      <c r="AQ27" s="87">
        <f>IFERROR(s_C*s_IFON_res_adj*s_CF_onion*0.001*(s_Irr!P27+s_Irr!AO27+s_Irr!BN27),".")</f>
        <v>88.577324247385889</v>
      </c>
      <c r="AR27" s="87">
        <f>IFERROR(s_C*s_IFPC_res_adj*s_CF_peach*0.001*(s_Irr!Q27+s_Irr!AP27+s_Irr!BO27),".")</f>
        <v>88.577324247385889</v>
      </c>
      <c r="AS27" s="87">
        <f>IFERROR(s_C*s_IFPR_res_adj*s_CF_pear*0.001*(s_Irr!R27+s_Irr!AQ27+s_Irr!BP27),".")</f>
        <v>88.577324247385889</v>
      </c>
      <c r="AT27" s="87">
        <f>IFERROR(s_C*s_IFPE_res_adj*s_CF_peas*0.001*(s_Irr!S27+s_Irr!AR27+s_Irr!BQ27),".")</f>
        <v>89.65924969287353</v>
      </c>
      <c r="AU27" s="87">
        <f>IFERROR(s_C*s_IFPP_res_adj*s_CF_peppers*0.001*(s_Irr!T27+s_Irr!AS27+s_Irr!BR27),".")</f>
        <v>89.65924969287353</v>
      </c>
      <c r="AV27" s="87">
        <f>IFERROR(s_C*s_IFPT_res_adj*s_CF_potato*0.001*(s_Irr!U27+s_Irr!AT27+s_Irr!BS27),".")</f>
        <v>88.577324247385889</v>
      </c>
      <c r="AW27" s="87">
        <f>IFERROR(s_C*s_IFPU_res_adj*s_CF_pumpkin*0.001*(s_Irr!V27+s_Irr!AU27+s_Irr!BT27),".")</f>
        <v>89.65924969287353</v>
      </c>
      <c r="AX27" s="87">
        <f>IFERROR(s_C*s_IFSN_res_adj*s_CF_snap_bean*0.001*(s_Irr!W27+s_Irr!AV27+s_Irr!BU27),".")</f>
        <v>89.65924969287353</v>
      </c>
      <c r="AY27" s="87">
        <f>IFERROR(s_C*s_IFST_res_adj*s_CF_strawberry*0.001*(s_Irr!X27+s_Irr!AW27+s_Irr!BV27),".")</f>
        <v>88.577324247385889</v>
      </c>
      <c r="AZ27" s="87">
        <f>IFERROR(s_C*s_IFTO_res_adj*s_CF_tomato*0.001*(s_Irr!Y27+s_Irr!AX27+s_Irr!BW27),".")</f>
        <v>89.65924969287353</v>
      </c>
      <c r="BA27" s="87">
        <f>IFERROR(s_C*s_IFRI_res_adj*s_CF_rice*0.001*(s_Irr!Z27+s_Irr!AY27+s_Irr!BX27),".")</f>
        <v>388.99195627778778</v>
      </c>
      <c r="BB27" s="87">
        <f>IFERROR(s_C*s_IFCG_res_adj*s_CF_cereal*0.001*(s_Irr!AA27+s_Irr!AZ27+s_Irr!BY27),".")</f>
        <v>89.65924969287353</v>
      </c>
      <c r="BC27" s="70" t="str">
        <f t="shared" si="1"/>
        <v>.</v>
      </c>
      <c r="BD27" s="70" t="str">
        <f>IFERROR(IF(AND(s_Irr!C27&lt;&gt;".",s_Irr!AB27&lt;&gt;".",s_Irr!BA27&lt;&gt;"."),s_dir!AD27/((1/1000)*(s_Irr!C27+s_Irr!AB27+s_Irr!BA27)),IF(AND(s_Irr!C27&lt;&gt;".",s_Irr!AB27&lt;&gt;".",s_Irr!BA27="."),s_dir!AD27/((1/1000)*(s_Irr!C27+s_Irr!AB27)),IF(AND(s_Irr!C27&lt;&gt;".",s_Irr!AB27=".",s_Irr!BA27&lt;&gt;"."),s_dir!AD27/((1/1000)*(s_Irr!C27+s_Irr!BA27)),IF(AND(s_Irr!C27=".",s_Irr!AB27&lt;&gt;".",s_Irr!BA27&lt;&gt;"."),s_dir!AD27/((1/1000)*(s_Irr!AB27+s_Irr!BA27)),IF(AND(s_Irr!C27=".",s_Irr!AB27=".",s_Irr!BA27&lt;&gt;"."),s_dir!AD27/((1/1000)*(s_Irr!BA27)),IF(AND(s_Irr!C27=".",s_Irr!AB27&lt;&gt;".",s_Irr!BA27="."),s_dir!AD27/((1/1000)*(s_Irr!AB27)),IF(AND(s_Irr!C27&lt;&gt;".",s_Irr!AB27=".",s_Irr!BA27="."),s_dir!AD27/((1/1000)*(s_Irr!C27)),IF(AND(s_Irr!C27=".",s_Irr!AB27=".",s_Irr!BA27="."),s_dir!AD27*1000)))))))),".")</f>
        <v>.</v>
      </c>
      <c r="BE27" s="70" t="str">
        <f>IFERROR(IF(AND(s_Irr!D27&lt;&gt;".",s_Irr!AC27&lt;&gt;".",s_Irr!BB27&lt;&gt;"."),s_dir!AE27/((1/1000)*(s_Irr!D27+s_Irr!AC27+s_Irr!BB27)),IF(AND(s_Irr!D27&lt;&gt;".",s_Irr!AC27&lt;&gt;".",s_Irr!BB27="."),s_dir!AE27/((1/1000)*(s_Irr!D27+s_Irr!AC27)),IF(AND(s_Irr!D27&lt;&gt;".",s_Irr!AC27=".",s_Irr!BB27&lt;&gt;"."),s_dir!AE27/((1/1000)*(s_Irr!D27+s_Irr!BB27)),IF(AND(s_Irr!D27=".",s_Irr!AC27&lt;&gt;".",s_Irr!BB27&lt;&gt;"."),s_dir!AE27/((1/1000)*(s_Irr!AC27+s_Irr!BB27)),IF(AND(s_Irr!D27=".",s_Irr!AC27=".",s_Irr!BB27&lt;&gt;"."),s_dir!AE27/((1/1000)*(s_Irr!BB27)),IF(AND(s_Irr!D27=".",s_Irr!AC27&lt;&gt;".",s_Irr!BB27="."),s_dir!AE27/((1/1000)*(s_Irr!AC27)),IF(AND(s_Irr!D27&lt;&gt;".",s_Irr!AC27=".",s_Irr!BB27="."),s_dir!AE27/((1/1000)*(s_Irr!D27)),IF(AND(s_Irr!D27=".",s_Irr!AC27=".",s_Irr!BB27="."),s_dir!AE27*1000)))))))),".")</f>
        <v>.</v>
      </c>
      <c r="BF27" s="70" t="str">
        <f>IFERROR(IF(AND(s_Irr!E27&lt;&gt;".",s_Irr!AD27&lt;&gt;".",s_Irr!BC27&lt;&gt;"."),s_dir!AF27/((1/1000)*(s_Irr!E27+s_Irr!AD27+s_Irr!BC27)),IF(AND(s_Irr!E27&lt;&gt;".",s_Irr!AD27&lt;&gt;".",s_Irr!BC27="."),s_dir!AF27/((1/1000)*(s_Irr!E27+s_Irr!AD27)),IF(AND(s_Irr!E27&lt;&gt;".",s_Irr!AD27=".",s_Irr!BC27&lt;&gt;"."),s_dir!AF27/((1/1000)*(s_Irr!E27+s_Irr!BC27)),IF(AND(s_Irr!E27=".",s_Irr!AD27&lt;&gt;".",s_Irr!BC27&lt;&gt;"."),s_dir!AF27/((1/1000)*(s_Irr!AD27+s_Irr!BC27)),IF(AND(s_Irr!E27=".",s_Irr!AD27=".",s_Irr!BC27&lt;&gt;"."),s_dir!AF27/((1/1000)*(s_Irr!BC27)),IF(AND(s_Irr!E27=".",s_Irr!AD27&lt;&gt;".",s_Irr!BC27="."),s_dir!AF27/((1/1000)*(s_Irr!AD27)),IF(AND(s_Irr!E27&lt;&gt;".",s_Irr!AD27=".",s_Irr!BC27="."),s_dir!AF27/((1/1000)*(s_Irr!E27)),IF(AND(s_Irr!E27=".",s_Irr!AD27=".",s_Irr!BC27="."),s_dir!AF27*1000)))))))),".")</f>
        <v>.</v>
      </c>
      <c r="BG27" s="70" t="str">
        <f>IFERROR(IF(AND(s_Irr!F27&lt;&gt;".",s_Irr!AE27&lt;&gt;".",s_Irr!BD27&lt;&gt;"."),s_dir!AG27/((1/1000)*(s_Irr!F27+s_Irr!AE27+s_Irr!BD27)),IF(AND(s_Irr!F27&lt;&gt;".",s_Irr!AE27&lt;&gt;".",s_Irr!BD27="."),s_dir!AG27/((1/1000)*(s_Irr!F27+s_Irr!AE27)),IF(AND(s_Irr!F27&lt;&gt;".",s_Irr!AE27=".",s_Irr!BD27&lt;&gt;"."),s_dir!AG27/((1/1000)*(s_Irr!F27+s_Irr!BD27)),IF(AND(s_Irr!F27=".",s_Irr!AE27&lt;&gt;".",s_Irr!BD27&lt;&gt;"."),s_dir!AG27/((1/1000)*(s_Irr!AE27+s_Irr!BD27)),IF(AND(s_Irr!F27=".",s_Irr!AE27=".",s_Irr!BD27&lt;&gt;"."),s_dir!AG27/((1/1000)*(s_Irr!BD27)),IF(AND(s_Irr!F27=".",s_Irr!AE27&lt;&gt;".",s_Irr!BD27="."),s_dir!AG27/((1/1000)*(s_Irr!AE27)),IF(AND(s_Irr!F27&lt;&gt;".",s_Irr!AE27=".",s_Irr!BD27="."),s_dir!AG27/((1/1000)*(s_Irr!F27)),IF(AND(s_Irr!F27=".",s_Irr!AE27=".",s_Irr!BD27="."),s_dir!AG27*1000)))))))),".")</f>
        <v>.</v>
      </c>
      <c r="BH27" s="70" t="str">
        <f>IFERROR(IF(AND(s_Irr!G27&lt;&gt;".",s_Irr!AF27&lt;&gt;".",s_Irr!BE27&lt;&gt;"."),s_dir!AH27/((1/1000)*(s_Irr!G27+s_Irr!AF27+s_Irr!BE27)),IF(AND(s_Irr!G27&lt;&gt;".",s_Irr!AF27&lt;&gt;".",s_Irr!BE27="."),s_dir!AH27/((1/1000)*(s_Irr!G27+s_Irr!AF27)),IF(AND(s_Irr!G27&lt;&gt;".",s_Irr!AF27=".",s_Irr!BE27&lt;&gt;"."),s_dir!AH27/((1/1000)*(s_Irr!G27+s_Irr!BE27)),IF(AND(s_Irr!G27=".",s_Irr!AF27&lt;&gt;".",s_Irr!BE27&lt;&gt;"."),s_dir!AH27/((1/1000)*(s_Irr!AF27+s_Irr!BE27)),IF(AND(s_Irr!G27=".",s_Irr!AF27=".",s_Irr!BE27&lt;&gt;"."),s_dir!AH27/((1/1000)*(s_Irr!BE27)),IF(AND(s_Irr!G27=".",s_Irr!AF27&lt;&gt;".",s_Irr!BE27="."),s_dir!AH27/((1/1000)*(s_Irr!AF27)),IF(AND(s_Irr!G27&lt;&gt;".",s_Irr!AF27=".",s_Irr!BE27="."),s_dir!AH27/((1/1000)*(s_Irr!G27)),IF(AND(s_Irr!G27=".",s_Irr!AF27=".",s_Irr!BE27="."),s_dir!AH27*1000)))))))),".")</f>
        <v>.</v>
      </c>
      <c r="BI27" s="70" t="str">
        <f>IFERROR(IF(AND(s_Irr!H27&lt;&gt;".",s_Irr!AG27&lt;&gt;".",s_Irr!BF27&lt;&gt;"."),s_dir!AI27/((1/1000)*(s_Irr!H27+s_Irr!AG27+s_Irr!BF27)),IF(AND(s_Irr!H27&lt;&gt;".",s_Irr!AG27&lt;&gt;".",s_Irr!BF27="."),s_dir!AI27/((1/1000)*(s_Irr!H27+s_Irr!AG27)),IF(AND(s_Irr!H27&lt;&gt;".",s_Irr!AG27=".",s_Irr!BF27&lt;&gt;"."),s_dir!AI27/((1/1000)*(s_Irr!H27+s_Irr!BF27)),IF(AND(s_Irr!H27=".",s_Irr!AG27&lt;&gt;".",s_Irr!BF27&lt;&gt;"."),s_dir!AI27/((1/1000)*(s_Irr!AG27+s_Irr!BF27)),IF(AND(s_Irr!H27=".",s_Irr!AG27=".",s_Irr!BF27&lt;&gt;"."),s_dir!AI27/((1/1000)*(s_Irr!BF27)),IF(AND(s_Irr!H27=".",s_Irr!AG27&lt;&gt;".",s_Irr!BF27="."),s_dir!AI27/((1/1000)*(s_Irr!AG27)),IF(AND(s_Irr!H27&lt;&gt;".",s_Irr!AG27=".",s_Irr!BF27="."),s_dir!AI27/((1/1000)*(s_Irr!H27)),IF(AND(s_Irr!H27=".",s_Irr!AG27=".",s_Irr!BF27="."),s_dir!AI27*1000)))))))),".")</f>
        <v>.</v>
      </c>
      <c r="BJ27" s="70" t="str">
        <f>IFERROR(IF(AND(s_Irr!I27&lt;&gt;".",s_Irr!AH27&lt;&gt;".",s_Irr!BG27&lt;&gt;"."),s_dir!AJ27/((1/1000)*(s_Irr!I27+s_Irr!AH27+s_Irr!BG27)),IF(AND(s_Irr!I27&lt;&gt;".",s_Irr!AH27&lt;&gt;".",s_Irr!BG27="."),s_dir!AJ27/((1/1000)*(s_Irr!I27+s_Irr!AH27)),IF(AND(s_Irr!I27&lt;&gt;".",s_Irr!AH27=".",s_Irr!BG27&lt;&gt;"."),s_dir!AJ27/((1/1000)*(s_Irr!I27+s_Irr!BG27)),IF(AND(s_Irr!I27=".",s_Irr!AH27&lt;&gt;".",s_Irr!BG27&lt;&gt;"."),s_dir!AJ27/((1/1000)*(s_Irr!AH27+s_Irr!BG27)),IF(AND(s_Irr!I27=".",s_Irr!AH27=".",s_Irr!BG27&lt;&gt;"."),s_dir!AJ27/((1/1000)*(s_Irr!BG27)),IF(AND(s_Irr!I27=".",s_Irr!AH27&lt;&gt;".",s_Irr!BG27="."),s_dir!AJ27/((1/1000)*(s_Irr!AH27)),IF(AND(s_Irr!I27&lt;&gt;".",s_Irr!AH27=".",s_Irr!BG27="."),s_dir!AJ27/((1/1000)*(s_Irr!I27)),IF(AND(s_Irr!I27=".",s_Irr!AH27=".",s_Irr!BG27="."),s_dir!AJ27*1000)))))))),".")</f>
        <v>.</v>
      </c>
      <c r="BK27" s="70" t="str">
        <f>IFERROR(IF(AND(s_Irr!J27&lt;&gt;".",s_Irr!AI27&lt;&gt;".",s_Irr!BH27&lt;&gt;"."),s_dir!AK27/((1/1000)*(s_Irr!J27+s_Irr!AI27+s_Irr!BH27)),IF(AND(s_Irr!J27&lt;&gt;".",s_Irr!AI27&lt;&gt;".",s_Irr!BH27="."),s_dir!AK27/((1/1000)*(s_Irr!J27+s_Irr!AI27)),IF(AND(s_Irr!J27&lt;&gt;".",s_Irr!AI27=".",s_Irr!BH27&lt;&gt;"."),s_dir!AK27/((1/1000)*(s_Irr!J27+s_Irr!BH27)),IF(AND(s_Irr!J27=".",s_Irr!AI27&lt;&gt;".",s_Irr!BH27&lt;&gt;"."),s_dir!AK27/((1/1000)*(s_Irr!AI27+s_Irr!BH27)),IF(AND(s_Irr!J27=".",s_Irr!AI27=".",s_Irr!BH27&lt;&gt;"."),s_dir!AK27/((1/1000)*(s_Irr!BH27)),IF(AND(s_Irr!J27=".",s_Irr!AI27&lt;&gt;".",s_Irr!BH27="."),s_dir!AK27/((1/1000)*(s_Irr!AI27)),IF(AND(s_Irr!J27&lt;&gt;".",s_Irr!AI27=".",s_Irr!BH27="."),s_dir!AK27/((1/1000)*(s_Irr!J27)),IF(AND(s_Irr!J27=".",s_Irr!AI27=".",s_Irr!BH27="."),s_dir!AK27*1000)))))))),".")</f>
        <v>.</v>
      </c>
      <c r="BL27" s="70" t="str">
        <f>IFERROR(IF(AND(s_Irr!K27&lt;&gt;".",s_Irr!AJ27&lt;&gt;".",s_Irr!BI27&lt;&gt;"."),s_dir!AL27/((1/1000)*(s_Irr!K27+s_Irr!AJ27+s_Irr!BI27)),IF(AND(s_Irr!K27&lt;&gt;".",s_Irr!AJ27&lt;&gt;".",s_Irr!BI27="."),s_dir!AL27/((1/1000)*(s_Irr!K27+s_Irr!AJ27)),IF(AND(s_Irr!K27&lt;&gt;".",s_Irr!AJ27=".",s_Irr!BI27&lt;&gt;"."),s_dir!AL27/((1/1000)*(s_Irr!K27+s_Irr!BI27)),IF(AND(s_Irr!K27=".",s_Irr!AJ27&lt;&gt;".",s_Irr!BI27&lt;&gt;"."),s_dir!AL27/((1/1000)*(s_Irr!AJ27+s_Irr!BI27)),IF(AND(s_Irr!K27=".",s_Irr!AJ27=".",s_Irr!BI27&lt;&gt;"."),s_dir!AL27/((1/1000)*(s_Irr!BI27)),IF(AND(s_Irr!K27=".",s_Irr!AJ27&lt;&gt;".",s_Irr!BI27="."),s_dir!AL27/((1/1000)*(s_Irr!AJ27)),IF(AND(s_Irr!K27&lt;&gt;".",s_Irr!AJ27=".",s_Irr!BI27="."),s_dir!AL27/((1/1000)*(s_Irr!K27)),IF(AND(s_Irr!K27=".",s_Irr!AJ27=".",s_Irr!BI27="."),s_dir!AL27*1000)))))))),".")</f>
        <v>.</v>
      </c>
      <c r="BM27" s="70" t="str">
        <f>IFERROR(IF(AND(s_Irr!L27&lt;&gt;".",s_Irr!AK27&lt;&gt;".",s_Irr!BJ27&lt;&gt;"."),s_dir!AM27/((1/1000)*(s_Irr!L27+s_Irr!AK27+s_Irr!BJ27)),IF(AND(s_Irr!L27&lt;&gt;".",s_Irr!AK27&lt;&gt;".",s_Irr!BJ27="."),s_dir!AM27/((1/1000)*(s_Irr!L27+s_Irr!AK27)),IF(AND(s_Irr!L27&lt;&gt;".",s_Irr!AK27=".",s_Irr!BJ27&lt;&gt;"."),s_dir!AM27/((1/1000)*(s_Irr!L27+s_Irr!BJ27)),IF(AND(s_Irr!L27=".",s_Irr!AK27&lt;&gt;".",s_Irr!BJ27&lt;&gt;"."),s_dir!AM27/((1/1000)*(s_Irr!AK27+s_Irr!BJ27)),IF(AND(s_Irr!L27=".",s_Irr!AK27=".",s_Irr!BJ27&lt;&gt;"."),s_dir!AM27/((1/1000)*(s_Irr!BJ27)),IF(AND(s_Irr!L27=".",s_Irr!AK27&lt;&gt;".",s_Irr!BJ27="."),s_dir!AM27/((1/1000)*(s_Irr!AK27)),IF(AND(s_Irr!L27&lt;&gt;".",s_Irr!AK27=".",s_Irr!BJ27="."),s_dir!AM27/((1/1000)*(s_Irr!L27)),IF(AND(s_Irr!L27=".",s_Irr!AK27=".",s_Irr!BJ27="."),s_dir!AM27*1000)))))))),".")</f>
        <v>.</v>
      </c>
      <c r="BN27" s="70" t="str">
        <f>IFERROR(IF(AND(s_Irr!M27&lt;&gt;".",s_Irr!AL27&lt;&gt;".",s_Irr!BK27&lt;&gt;"."),s_dir!AN27/((1/1000)*(s_Irr!M27+s_Irr!AL27+s_Irr!BK27)),IF(AND(s_Irr!M27&lt;&gt;".",s_Irr!AL27&lt;&gt;".",s_Irr!BK27="."),s_dir!AN27/((1/1000)*(s_Irr!M27+s_Irr!AL27)),IF(AND(s_Irr!M27&lt;&gt;".",s_Irr!AL27=".",s_Irr!BK27&lt;&gt;"."),s_dir!AN27/((1/1000)*(s_Irr!M27+s_Irr!BK27)),IF(AND(s_Irr!M27=".",s_Irr!AL27&lt;&gt;".",s_Irr!BK27&lt;&gt;"."),s_dir!AN27/((1/1000)*(s_Irr!AL27+s_Irr!BK27)),IF(AND(s_Irr!M27=".",s_Irr!AL27=".",s_Irr!BK27&lt;&gt;"."),s_dir!AN27/((1/1000)*(s_Irr!BK27)),IF(AND(s_Irr!M27=".",s_Irr!AL27&lt;&gt;".",s_Irr!BK27="."),s_dir!AN27/((1/1000)*(s_Irr!AL27)),IF(AND(s_Irr!M27&lt;&gt;".",s_Irr!AL27=".",s_Irr!BK27="."),s_dir!AN27/((1/1000)*(s_Irr!M27)),IF(AND(s_Irr!M27=".",s_Irr!AL27=".",s_Irr!BK27="."),s_dir!AN27*1000)))))))),".")</f>
        <v>.</v>
      </c>
      <c r="BO27" s="70" t="str">
        <f>IFERROR(IF(AND(s_Irr!N27&lt;&gt;".",s_Irr!AM27&lt;&gt;".",s_Irr!BL27&lt;&gt;"."),s_dir!AO27/((1/1000)*(s_Irr!N27+s_Irr!AM27+s_Irr!BL27)),IF(AND(s_Irr!N27&lt;&gt;".",s_Irr!AM27&lt;&gt;".",s_Irr!BL27="."),s_dir!AO27/((1/1000)*(s_Irr!N27+s_Irr!AM27)),IF(AND(s_Irr!N27&lt;&gt;".",s_Irr!AM27=".",s_Irr!BL27&lt;&gt;"."),s_dir!AO27/((1/1000)*(s_Irr!N27+s_Irr!BL27)),IF(AND(s_Irr!N27=".",s_Irr!AM27&lt;&gt;".",s_Irr!BL27&lt;&gt;"."),s_dir!AO27/((1/1000)*(s_Irr!AM27+s_Irr!BL27)),IF(AND(s_Irr!N27=".",s_Irr!AM27=".",s_Irr!BL27&lt;&gt;"."),s_dir!AO27/((1/1000)*(s_Irr!BL27)),IF(AND(s_Irr!N27=".",s_Irr!AM27&lt;&gt;".",s_Irr!BL27="."),s_dir!AO27/((1/1000)*(s_Irr!AM27)),IF(AND(s_Irr!N27&lt;&gt;".",s_Irr!AM27=".",s_Irr!BL27="."),s_dir!AO27/((1/1000)*(s_Irr!N27)),IF(AND(s_Irr!N27=".",s_Irr!AM27=".",s_Irr!BL27="."),s_dir!AO27*1000)))))))),".")</f>
        <v>.</v>
      </c>
      <c r="BP27" s="70" t="str">
        <f>IFERROR(IF(AND(s_Irr!O27&lt;&gt;".",s_Irr!AN27&lt;&gt;".",s_Irr!BM27&lt;&gt;"."),s_dir!AP27/((1/1000)*(s_Irr!O27+s_Irr!AN27+s_Irr!BM27)),IF(AND(s_Irr!O27&lt;&gt;".",s_Irr!AN27&lt;&gt;".",s_Irr!BM27="."),s_dir!AP27/((1/1000)*(s_Irr!O27+s_Irr!AN27)),IF(AND(s_Irr!O27&lt;&gt;".",s_Irr!AN27=".",s_Irr!BM27&lt;&gt;"."),s_dir!AP27/((1/1000)*(s_Irr!O27+s_Irr!BM27)),IF(AND(s_Irr!O27=".",s_Irr!AN27&lt;&gt;".",s_Irr!BM27&lt;&gt;"."),s_dir!AP27/((1/1000)*(s_Irr!AN27+s_Irr!BM27)),IF(AND(s_Irr!O27=".",s_Irr!AN27=".",s_Irr!BM27&lt;&gt;"."),s_dir!AP27/((1/1000)*(s_Irr!BM27)),IF(AND(s_Irr!O27=".",s_Irr!AN27&lt;&gt;".",s_Irr!BM27="."),s_dir!AP27/((1/1000)*(s_Irr!AN27)),IF(AND(s_Irr!O27&lt;&gt;".",s_Irr!AN27=".",s_Irr!BM27="."),s_dir!AP27/((1/1000)*(s_Irr!O27)),IF(AND(s_Irr!O27=".",s_Irr!AN27=".",s_Irr!BM27="."),s_dir!AP27*1000)))))))),".")</f>
        <v>.</v>
      </c>
      <c r="BQ27" s="70" t="str">
        <f>IFERROR(IF(AND(s_Irr!P27&lt;&gt;".",s_Irr!AO27&lt;&gt;".",s_Irr!BN27&lt;&gt;"."),s_dir!AQ27/((1/1000)*(s_Irr!P27+s_Irr!AO27+s_Irr!BN27)),IF(AND(s_Irr!P27&lt;&gt;".",s_Irr!AO27&lt;&gt;".",s_Irr!BN27="."),s_dir!AQ27/((1/1000)*(s_Irr!P27+s_Irr!AO27)),IF(AND(s_Irr!P27&lt;&gt;".",s_Irr!AO27=".",s_Irr!BN27&lt;&gt;"."),s_dir!AQ27/((1/1000)*(s_Irr!P27+s_Irr!BN27)),IF(AND(s_Irr!P27=".",s_Irr!AO27&lt;&gt;".",s_Irr!BN27&lt;&gt;"."),s_dir!AQ27/((1/1000)*(s_Irr!AO27+s_Irr!BN27)),IF(AND(s_Irr!P27=".",s_Irr!AO27=".",s_Irr!BN27&lt;&gt;"."),s_dir!AQ27/((1/1000)*(s_Irr!BN27)),IF(AND(s_Irr!P27=".",s_Irr!AO27&lt;&gt;".",s_Irr!BN27="."),s_dir!AQ27/((1/1000)*(s_Irr!AO27)),IF(AND(s_Irr!P27&lt;&gt;".",s_Irr!AO27=".",s_Irr!BN27="."),s_dir!AQ27/((1/1000)*(s_Irr!P27)),IF(AND(s_Irr!P27=".",s_Irr!AO27=".",s_Irr!BN27="."),s_dir!AQ27*1000)))))))),".")</f>
        <v>.</v>
      </c>
      <c r="BR27" s="70" t="str">
        <f>IFERROR(IF(AND(s_Irr!Q27&lt;&gt;".",s_Irr!AP27&lt;&gt;".",s_Irr!BO27&lt;&gt;"."),s_dir!AR27/((1/1000)*(s_Irr!Q27+s_Irr!AP27+s_Irr!BO27)),IF(AND(s_Irr!Q27&lt;&gt;".",s_Irr!AP27&lt;&gt;".",s_Irr!BO27="."),s_dir!AR27/((1/1000)*(s_Irr!Q27+s_Irr!AP27)),IF(AND(s_Irr!Q27&lt;&gt;".",s_Irr!AP27=".",s_Irr!BO27&lt;&gt;"."),s_dir!AR27/((1/1000)*(s_Irr!Q27+s_Irr!BO27)),IF(AND(s_Irr!Q27=".",s_Irr!AP27&lt;&gt;".",s_Irr!BO27&lt;&gt;"."),s_dir!AR27/((1/1000)*(s_Irr!AP27+s_Irr!BO27)),IF(AND(s_Irr!Q27=".",s_Irr!AP27=".",s_Irr!BO27&lt;&gt;"."),s_dir!AR27/((1/1000)*(s_Irr!BO27)),IF(AND(s_Irr!Q27=".",s_Irr!AP27&lt;&gt;".",s_Irr!BO27="."),s_dir!AR27/((1/1000)*(s_Irr!AP27)),IF(AND(s_Irr!Q27&lt;&gt;".",s_Irr!AP27=".",s_Irr!BO27="."),s_dir!AR27/((1/1000)*(s_Irr!Q27)),IF(AND(s_Irr!Q27=".",s_Irr!AP27=".",s_Irr!BO27="."),s_dir!AR27*1000)))))))),".")</f>
        <v>.</v>
      </c>
      <c r="BS27" s="70" t="str">
        <f>IFERROR(IF(AND(s_Irr!R27&lt;&gt;".",s_Irr!AQ27&lt;&gt;".",s_Irr!BP27&lt;&gt;"."),s_dir!AS27/((1/1000)*(s_Irr!R27+s_Irr!AQ27+s_Irr!BP27)),IF(AND(s_Irr!R27&lt;&gt;".",s_Irr!AQ27&lt;&gt;".",s_Irr!BP27="."),s_dir!AS27/((1/1000)*(s_Irr!R27+s_Irr!AQ27)),IF(AND(s_Irr!R27&lt;&gt;".",s_Irr!AQ27=".",s_Irr!BP27&lt;&gt;"."),s_dir!AS27/((1/1000)*(s_Irr!R27+s_Irr!BP27)),IF(AND(s_Irr!R27=".",s_Irr!AQ27&lt;&gt;".",s_Irr!BP27&lt;&gt;"."),s_dir!AS27/((1/1000)*(s_Irr!AQ27+s_Irr!BP27)),IF(AND(s_Irr!R27=".",s_Irr!AQ27=".",s_Irr!BP27&lt;&gt;"."),s_dir!AS27/((1/1000)*(s_Irr!BP27)),IF(AND(s_Irr!R27=".",s_Irr!AQ27&lt;&gt;".",s_Irr!BP27="."),s_dir!AS27/((1/1000)*(s_Irr!AQ27)),IF(AND(s_Irr!R27&lt;&gt;".",s_Irr!AQ27=".",s_Irr!BP27="."),s_dir!AS27/((1/1000)*(s_Irr!R27)),IF(AND(s_Irr!R27=".",s_Irr!AQ27=".",s_Irr!BP27="."),s_dir!AS27*1000)))))))),".")</f>
        <v>.</v>
      </c>
      <c r="BT27" s="70" t="str">
        <f>IFERROR(IF(AND(s_Irr!S27&lt;&gt;".",s_Irr!AR27&lt;&gt;".",s_Irr!BQ27&lt;&gt;"."),s_dir!AT27/((1/1000)*(s_Irr!S27+s_Irr!AR27+s_Irr!BQ27)),IF(AND(s_Irr!S27&lt;&gt;".",s_Irr!AR27&lt;&gt;".",s_Irr!BQ27="."),s_dir!AT27/((1/1000)*(s_Irr!S27+s_Irr!AR27)),IF(AND(s_Irr!S27&lt;&gt;".",s_Irr!AR27=".",s_Irr!BQ27&lt;&gt;"."),s_dir!AT27/((1/1000)*(s_Irr!S27+s_Irr!BQ27)),IF(AND(s_Irr!S27=".",s_Irr!AR27&lt;&gt;".",s_Irr!BQ27&lt;&gt;"."),s_dir!AT27/((1/1000)*(s_Irr!AR27+s_Irr!BQ27)),IF(AND(s_Irr!S27=".",s_Irr!AR27=".",s_Irr!BQ27&lt;&gt;"."),s_dir!AT27/((1/1000)*(s_Irr!BQ27)),IF(AND(s_Irr!S27=".",s_Irr!AR27&lt;&gt;".",s_Irr!BQ27="."),s_dir!AT27/((1/1000)*(s_Irr!AR27)),IF(AND(s_Irr!S27&lt;&gt;".",s_Irr!AR27=".",s_Irr!BQ27="."),s_dir!AT27/((1/1000)*(s_Irr!S27)),IF(AND(s_Irr!S27=".",s_Irr!AR27=".",s_Irr!BQ27="."),s_dir!AT27*1000)))))))),".")</f>
        <v>.</v>
      </c>
      <c r="BU27" s="70" t="str">
        <f>IFERROR(IF(AND(s_Irr!T27&lt;&gt;".",s_Irr!AS27&lt;&gt;".",s_Irr!BR27&lt;&gt;"."),s_dir!AU27/((1/1000)*(s_Irr!T27+s_Irr!AS27+s_Irr!BR27)),IF(AND(s_Irr!T27&lt;&gt;".",s_Irr!AS27&lt;&gt;".",s_Irr!BR27="."),s_dir!AU27/((1/1000)*(s_Irr!T27+s_Irr!AS27)),IF(AND(s_Irr!T27&lt;&gt;".",s_Irr!AS27=".",s_Irr!BR27&lt;&gt;"."),s_dir!AU27/((1/1000)*(s_Irr!T27+s_Irr!BR27)),IF(AND(s_Irr!T27=".",s_Irr!AS27&lt;&gt;".",s_Irr!BR27&lt;&gt;"."),s_dir!AU27/((1/1000)*(s_Irr!AS27+s_Irr!BR27)),IF(AND(s_Irr!T27=".",s_Irr!AS27=".",s_Irr!BR27&lt;&gt;"."),s_dir!AU27/((1/1000)*(s_Irr!BR27)),IF(AND(s_Irr!T27=".",s_Irr!AS27&lt;&gt;".",s_Irr!BR27="."),s_dir!AU27/((1/1000)*(s_Irr!AS27)),IF(AND(s_Irr!T27&lt;&gt;".",s_Irr!AS27=".",s_Irr!BR27="."),s_dir!AU27/((1/1000)*(s_Irr!T27)),IF(AND(s_Irr!T27=".",s_Irr!AS27=".",s_Irr!BR27="."),s_dir!AU27*1000)))))))),".")</f>
        <v>.</v>
      </c>
      <c r="BV27" s="70" t="str">
        <f>IFERROR(IF(AND(s_Irr!U27&lt;&gt;".",s_Irr!AT27&lt;&gt;".",s_Irr!BS27&lt;&gt;"."),s_dir!AV27/((1/1000)*(s_Irr!U27+s_Irr!AT27+s_Irr!BS27)),IF(AND(s_Irr!U27&lt;&gt;".",s_Irr!AT27&lt;&gt;".",s_Irr!BS27="."),s_dir!AV27/((1/1000)*(s_Irr!U27+s_Irr!AT27)),IF(AND(s_Irr!U27&lt;&gt;".",s_Irr!AT27=".",s_Irr!BS27&lt;&gt;"."),s_dir!AV27/((1/1000)*(s_Irr!U27+s_Irr!BS27)),IF(AND(s_Irr!U27=".",s_Irr!AT27&lt;&gt;".",s_Irr!BS27&lt;&gt;"."),s_dir!AV27/((1/1000)*(s_Irr!AT27+s_Irr!BS27)),IF(AND(s_Irr!U27=".",s_Irr!AT27=".",s_Irr!BS27&lt;&gt;"."),s_dir!AV27/((1/1000)*(s_Irr!BS27)),IF(AND(s_Irr!U27=".",s_Irr!AT27&lt;&gt;".",s_Irr!BS27="."),s_dir!AV27/((1/1000)*(s_Irr!AT27)),IF(AND(s_Irr!U27&lt;&gt;".",s_Irr!AT27=".",s_Irr!BS27="."),s_dir!AV27/((1/1000)*(s_Irr!U27)),IF(AND(s_Irr!U27=".",s_Irr!AT27=".",s_Irr!BS27="."),s_dir!AV27*1000)))))))),".")</f>
        <v>.</v>
      </c>
      <c r="BW27" s="70" t="str">
        <f>IFERROR(IF(AND(s_Irr!V27&lt;&gt;".",s_Irr!AU27&lt;&gt;".",s_Irr!BT27&lt;&gt;"."),s_dir!AW27/((1/1000)*(s_Irr!V27+s_Irr!AU27+s_Irr!BT27)),IF(AND(s_Irr!V27&lt;&gt;".",s_Irr!AU27&lt;&gt;".",s_Irr!BT27="."),s_dir!AW27/((1/1000)*(s_Irr!V27+s_Irr!AU27)),IF(AND(s_Irr!V27&lt;&gt;".",s_Irr!AU27=".",s_Irr!BT27&lt;&gt;"."),s_dir!AW27/((1/1000)*(s_Irr!V27+s_Irr!BT27)),IF(AND(s_Irr!V27=".",s_Irr!AU27&lt;&gt;".",s_Irr!BT27&lt;&gt;"."),s_dir!AW27/((1/1000)*(s_Irr!AU27+s_Irr!BT27)),IF(AND(s_Irr!V27=".",s_Irr!AU27=".",s_Irr!BT27&lt;&gt;"."),s_dir!AW27/((1/1000)*(s_Irr!BT27)),IF(AND(s_Irr!V27=".",s_Irr!AU27&lt;&gt;".",s_Irr!BT27="."),s_dir!AW27/((1/1000)*(s_Irr!AU27)),IF(AND(s_Irr!V27&lt;&gt;".",s_Irr!AU27=".",s_Irr!BT27="."),s_dir!AW27/((1/1000)*(s_Irr!V27)),IF(AND(s_Irr!V27=".",s_Irr!AU27=".",s_Irr!BT27="."),s_dir!AW27*1000)))))))),".")</f>
        <v>.</v>
      </c>
      <c r="BX27" s="70" t="str">
        <f>IFERROR(IF(AND(s_Irr!W27&lt;&gt;".",s_Irr!AV27&lt;&gt;".",s_Irr!BU27&lt;&gt;"."),s_dir!AX27/((1/1000)*(s_Irr!W27+s_Irr!AV27+s_Irr!BU27)),IF(AND(s_Irr!W27&lt;&gt;".",s_Irr!AV27&lt;&gt;".",s_Irr!BU27="."),s_dir!AX27/((1/1000)*(s_Irr!W27+s_Irr!AV27)),IF(AND(s_Irr!W27&lt;&gt;".",s_Irr!AV27=".",s_Irr!BU27&lt;&gt;"."),s_dir!AX27/((1/1000)*(s_Irr!W27+s_Irr!BU27)),IF(AND(s_Irr!W27=".",s_Irr!AV27&lt;&gt;".",s_Irr!BU27&lt;&gt;"."),s_dir!AX27/((1/1000)*(s_Irr!AV27+s_Irr!BU27)),IF(AND(s_Irr!W27=".",s_Irr!AV27=".",s_Irr!BU27&lt;&gt;"."),s_dir!AX27/((1/1000)*(s_Irr!BU27)),IF(AND(s_Irr!W27=".",s_Irr!AV27&lt;&gt;".",s_Irr!BU27="."),s_dir!AX27/((1/1000)*(s_Irr!AV27)),IF(AND(s_Irr!W27&lt;&gt;".",s_Irr!AV27=".",s_Irr!BU27="."),s_dir!AX27/((1/1000)*(s_Irr!W27)),IF(AND(s_Irr!W27=".",s_Irr!AV27=".",s_Irr!BU27="."),s_dir!AX27*1000)))))))),".")</f>
        <v>.</v>
      </c>
      <c r="BY27" s="70" t="str">
        <f>IFERROR(IF(AND(s_Irr!X27&lt;&gt;".",s_Irr!AW27&lt;&gt;".",s_Irr!BV27&lt;&gt;"."),s_dir!AY27/((1/1000)*(s_Irr!X27+s_Irr!AW27+s_Irr!BV27)),IF(AND(s_Irr!X27&lt;&gt;".",s_Irr!AW27&lt;&gt;".",s_Irr!BV27="."),s_dir!AY27/((1/1000)*(s_Irr!X27+s_Irr!AW27)),IF(AND(s_Irr!X27&lt;&gt;".",s_Irr!AW27=".",s_Irr!BV27&lt;&gt;"."),s_dir!AY27/((1/1000)*(s_Irr!X27+s_Irr!BV27)),IF(AND(s_Irr!X27=".",s_Irr!AW27&lt;&gt;".",s_Irr!BV27&lt;&gt;"."),s_dir!AY27/((1/1000)*(s_Irr!AW27+s_Irr!BV27)),IF(AND(s_Irr!X27=".",s_Irr!AW27=".",s_Irr!BV27&lt;&gt;"."),s_dir!AY27/((1/1000)*(s_Irr!BV27)),IF(AND(s_Irr!X27=".",s_Irr!AW27&lt;&gt;".",s_Irr!BV27="."),s_dir!AY27/((1/1000)*(s_Irr!AW27)),IF(AND(s_Irr!X27&lt;&gt;".",s_Irr!AW27=".",s_Irr!BV27="."),s_dir!AY27/((1/1000)*(s_Irr!X27)),IF(AND(s_Irr!X27=".",s_Irr!AW27=".",s_Irr!BV27="."),s_dir!AY27*1000)))))))),".")</f>
        <v>.</v>
      </c>
      <c r="BZ27" s="70" t="str">
        <f>IFERROR(IF(AND(s_Irr!Y27&lt;&gt;".",s_Irr!AX27&lt;&gt;".",s_Irr!BW27&lt;&gt;"."),s_dir!AZ27/((1/1000)*(s_Irr!Y27+s_Irr!AX27+s_Irr!BW27)),IF(AND(s_Irr!Y27&lt;&gt;".",s_Irr!AX27&lt;&gt;".",s_Irr!BW27="."),s_dir!AZ27/((1/1000)*(s_Irr!Y27+s_Irr!AX27)),IF(AND(s_Irr!Y27&lt;&gt;".",s_Irr!AX27=".",s_Irr!BW27&lt;&gt;"."),s_dir!AZ27/((1/1000)*(s_Irr!Y27+s_Irr!BW27)),IF(AND(s_Irr!Y27=".",s_Irr!AX27&lt;&gt;".",s_Irr!BW27&lt;&gt;"."),s_dir!AZ27/((1/1000)*(s_Irr!AX27+s_Irr!BW27)),IF(AND(s_Irr!Y27=".",s_Irr!AX27=".",s_Irr!BW27&lt;&gt;"."),s_dir!AZ27/((1/1000)*(s_Irr!BW27)),IF(AND(s_Irr!Y27=".",s_Irr!AX27&lt;&gt;".",s_Irr!BW27="."),s_dir!AZ27/((1/1000)*(s_Irr!AX27)),IF(AND(s_Irr!Y27&lt;&gt;".",s_Irr!AX27=".",s_Irr!BW27="."),s_dir!AZ27/((1/1000)*(s_Irr!Y27)),IF(AND(s_Irr!Y27=".",s_Irr!AX27=".",s_Irr!BW27="."),s_dir!AZ27*1000)))))))),".")</f>
        <v>.</v>
      </c>
      <c r="CA27" s="70" t="str">
        <f>IFERROR(IF(AND(s_Irr!Z27&lt;&gt;".",s_Irr!AY27&lt;&gt;".",s_Irr!BX27&lt;&gt;"."),s_dir!BA27/((1/1000)*(s_Irr!Z27+s_Irr!AY27+s_Irr!BX27)),IF(AND(s_Irr!Z27&lt;&gt;".",s_Irr!AY27&lt;&gt;".",s_Irr!BX27="."),s_dir!BA27/((1/1000)*(s_Irr!Z27+s_Irr!AY27)),IF(AND(s_Irr!Z27&lt;&gt;".",s_Irr!AY27=".",s_Irr!BX27&lt;&gt;"."),s_dir!BA27/((1/1000)*(s_Irr!Z27+s_Irr!BX27)),IF(AND(s_Irr!Z27=".",s_Irr!AY27&lt;&gt;".",s_Irr!BX27&lt;&gt;"."),s_dir!BA27/((1/1000)*(s_Irr!AY27+s_Irr!BX27)),IF(AND(s_Irr!Z27=".",s_Irr!AY27=".",s_Irr!BX27&lt;&gt;"."),s_dir!BA27/((1/1000)*(s_Irr!BX27)),IF(AND(s_Irr!Z27=".",s_Irr!AY27&lt;&gt;".",s_Irr!BX27="."),s_dir!BA27/((1/1000)*(s_Irr!AY27)),IF(AND(s_Irr!Z27&lt;&gt;".",s_Irr!AY27=".",s_Irr!BX27="."),s_dir!BA27/((1/1000)*(s_Irr!Z27)),IF(AND(s_Irr!Z27=".",s_Irr!AY27=".",s_Irr!BX27="."),s_dir!BA27*1000)))))))),".")</f>
        <v>.</v>
      </c>
      <c r="CB27" s="70" t="str">
        <f>IFERROR(IF(AND(s_Irr!AA27&lt;&gt;".",s_Irr!AZ27&lt;&gt;".",s_Irr!BY27&lt;&gt;"."),s_dir!BB27/((1/1000)*(s_Irr!AA27+s_Irr!AZ27+s_Irr!BY27)),IF(AND(s_Irr!AA27&lt;&gt;".",s_Irr!AZ27&lt;&gt;".",s_Irr!BY27="."),s_dir!BB27/((1/1000)*(s_Irr!AA27+s_Irr!AZ27)),IF(AND(s_Irr!AA27&lt;&gt;".",s_Irr!AZ27=".",s_Irr!BY27&lt;&gt;"."),s_dir!BB27/((1/1000)*(s_Irr!AA27+s_Irr!BY27)),IF(AND(s_Irr!AA27=".",s_Irr!AZ27&lt;&gt;".",s_Irr!BY27&lt;&gt;"."),s_dir!BB27/((1/1000)*(s_Irr!AZ27+s_Irr!BY27)),IF(AND(s_Irr!AA27=".",s_Irr!AZ27=".",s_Irr!BY27&lt;&gt;"."),s_dir!BB27/((1/1000)*(s_Irr!BY27)),IF(AND(s_Irr!AA27=".",s_Irr!AZ27&lt;&gt;".",s_Irr!BY27="."),s_dir!BB27/((1/1000)*(s_Irr!AZ27)),IF(AND(s_Irr!AA27&lt;&gt;".",s_Irr!AZ27=".",s_Irr!BY27="."),s_dir!BB27/((1/1000)*(s_Irr!AA27)),IF(AND(s_Irr!AA27=".",s_Irr!AZ27=".",s_Irr!BY27="."),s_dir!BB27*1000)))))))),".")</f>
        <v>.</v>
      </c>
      <c r="CC27" s="87">
        <f t="shared" si="2"/>
        <v>656.8877799109207</v>
      </c>
      <c r="CD27" s="87">
        <f>IFERROR(s_C*s_IFAP_far_adj*s_CF_apple*(1/1000)*(s_Irr!C27+s_Irr!AB27+s_Irr!BA27),".")</f>
        <v>88.577324247385889</v>
      </c>
      <c r="CE27" s="87">
        <f>IFERROR(s_C*s_IFAS_far_adj*s_CF_asparagus*(1/1000)*(s_Irr!D27+s_Irr!AC27+s_Irr!BB27),".")</f>
        <v>89.65924969287353</v>
      </c>
      <c r="CF27" s="87">
        <f>IFERROR(s_C*s_IFBT_far_adj*s_CF_beet*(1/1000)*(s_Irr!E27+s_Irr!AD27+s_Irr!BC27),".")</f>
        <v>88.577324247385889</v>
      </c>
      <c r="CG27" s="87">
        <f>IFERROR(s_C*s_IFBE_far_adj*s_CF_berries*(1/1000)*(s_Irr!F27+s_Irr!AE27+s_Irr!BD27),".")</f>
        <v>88.577324247385889</v>
      </c>
      <c r="CH27" s="87">
        <f>IFERROR(s_C*s_IFBR_far_adj*s_CF_broccoli*(1/1000)*(s_Irr!G27+s_Irr!AF27+s_Irr!BE27),".")</f>
        <v>89.65924969287353</v>
      </c>
      <c r="CI27" s="87">
        <f>IFERROR(s_C*s_IFCB_far_adj*s_CF_cabbage*(1/1000)*(s_Irr!H27+s_Irr!AG27+s_Irr!BF27),".")</f>
        <v>89.65924969287353</v>
      </c>
      <c r="CJ27" s="87">
        <f>IFERROR(s_C*s_IFCR_far_adj*s_CF_carrot*(1/1000)*(s_Irr!I27+s_Irr!AH27+s_Irr!BG27),".")</f>
        <v>88.577324247385889</v>
      </c>
      <c r="CK27" s="87">
        <f>IFERROR(s_C*s_IFCI_far_adj*s_CF_citrus*(1/1000)*(s_Irr!J27+s_Irr!AI27+s_Irr!BH27),".")</f>
        <v>88.577324247385889</v>
      </c>
      <c r="CL27" s="87">
        <f>IFERROR(s_C*s_IFCO_far_adj*s_CF_corn*(1/1000)*(s_Irr!K27+s_Irr!AJ27+s_Irr!BI27),".")</f>
        <v>89.65924969287353</v>
      </c>
      <c r="CM27" s="87">
        <f>IFERROR(s_C*s_IFCU_far_adj*s_CF_cucumber*(1/1000)*(s_Irr!L27+s_Irr!AK27+s_Irr!BJ27),".")</f>
        <v>89.65924969287353</v>
      </c>
      <c r="CN27" s="87">
        <f>IFERROR(s_C*s_IFLE_far_adj*s_CF_lettuce*(1/1000)*(s_Irr!M27+s_Irr!AL27+s_Irr!BK27),".")</f>
        <v>89.65924969287353</v>
      </c>
      <c r="CO27" s="87">
        <f>IFERROR(s_C*s_IFLI_far_adj*s_CF_lima_bean*(1/1000)*(s_Irr!N27+s_Irr!AM27+s_Irr!BL27),".")</f>
        <v>89.65924969287353</v>
      </c>
      <c r="CP27" s="87">
        <f>IFERROR(s_C*s_IFOK_far_adj*s_CF_okra*(1/1000)*(s_Irr!O27+s_Irr!AN27+s_Irr!BM27),".")</f>
        <v>89.65924969287353</v>
      </c>
      <c r="CQ27" s="87">
        <f>IFERROR(s_C*s_IFON_far_adj*s_CF_onion*(1/1000)*(s_Irr!P27+s_Irr!AO27+s_Irr!BN27),".")</f>
        <v>88.577324247385889</v>
      </c>
      <c r="CR27" s="87">
        <f>IFERROR(s_C*s_IFPC_far_adj*s_CF_peach*(1/1000)*(s_Irr!Q27+s_Irr!AP27+s_Irr!BO27),".")</f>
        <v>88.577324247385889</v>
      </c>
      <c r="CS27" s="87">
        <f>IFERROR(s_C*s_IFPR_far_adj*s_CF_pear*(1/1000)*(s_Irr!R27+s_Irr!AQ27+s_Irr!BP27),".")</f>
        <v>88.577324247385889</v>
      </c>
      <c r="CT27" s="87">
        <f>IFERROR(s_C*s_IFPE_far_adj*s_CF_peas*(1/1000)*(s_Irr!S27+s_Irr!AR27+s_Irr!BQ27),".")</f>
        <v>89.65924969287353</v>
      </c>
      <c r="CU27" s="87">
        <f>IFERROR(s_C*s_IFPP_far_adj*s_CF_peppers*(1/1000)*(s_Irr!T27+s_Irr!AS27+s_Irr!BR27),".")</f>
        <v>89.65924969287353</v>
      </c>
      <c r="CV27" s="87">
        <f>IFERROR(s_C*s_IFPT_far_adj*s_CF_potato*(1/1000)*(s_Irr!U27+s_Irr!AT27+s_Irr!BS27),".")</f>
        <v>88.577324247385889</v>
      </c>
      <c r="CW27" s="87">
        <f>IFERROR(s_C*s_IFPU_far_adj*s_CF_pumpkin*(1/1000)*(s_Irr!V27+s_Irr!AU27+s_Irr!BT27),".")</f>
        <v>89.65924969287353</v>
      </c>
      <c r="CX27" s="87">
        <f>IFERROR(s_C*s_IFSN_far_adj*s_CF_snap_bean*(1/1000)*(s_Irr!W27+s_Irr!AV27+s_Irr!BU27),".")</f>
        <v>89.65924969287353</v>
      </c>
      <c r="CY27" s="87">
        <f>IFERROR(s_C*s_IFST_far_adj*s_CF_strawberry*(1/1000)*(s_Irr!X27+s_Irr!AW27+s_Irr!BV27),".")</f>
        <v>88.577324247385889</v>
      </c>
      <c r="CZ27" s="87">
        <f>IFERROR(s_C*s_IFTO_far_adj*s_CF_tomato*(1/1000)*(s_Irr!Y27+s_Irr!AX27+s_Irr!BW27),".")</f>
        <v>89.65924969287353</v>
      </c>
      <c r="DA27" s="87">
        <f>IFERROR(s_C*s_IFRI_far_adj*s_CF_rice*(1/1000)*(s_Irr!Z27+s_Irr!AY27+s_Irr!BX27),".")</f>
        <v>388.99195627778778</v>
      </c>
      <c r="DB27" s="87">
        <f>IFERROR(s_C*s_IFCG_far_adj*s_CF_cereal*(1/1000)*(s_Irr!AA27+s_Irr!AZ27+s_Irr!BY27),".")</f>
        <v>89.65924969287353</v>
      </c>
    </row>
    <row r="28" spans="1:106" ht="15" customHeight="1" x14ac:dyDescent="0.25">
      <c r="A28" s="86" t="s">
        <v>26</v>
      </c>
      <c r="B28" s="84" t="s">
        <v>1057</v>
      </c>
      <c r="C28" s="15" t="str">
        <f t="shared" si="3"/>
        <v>.</v>
      </c>
      <c r="D28" s="70" t="str">
        <f>IFERROR(IF(AND(s_Irr!C28&lt;&gt;".",s_Irr!AB28&lt;&gt;".",s_Irr!BA28&lt;&gt;"."),s_dir!D28/((1/1000)*(s_Irr!C28+s_Irr!AB28+s_Irr!BA28)),IF(AND(s_Irr!C28&lt;&gt;".",s_Irr!AB28&lt;&gt;".",s_Irr!BA28="."),s_dir!D28/((1/1000)*(s_Irr!C28+s_Irr!AB28)),IF(AND(s_Irr!C28&lt;&gt;".",s_Irr!AB28=".",s_Irr!BA28&lt;&gt;"."),s_dir!D28/((1/1000)*(s_Irr!C28+s_Irr!BA28)),IF(AND(s_Irr!C28=".",s_Irr!AB28&lt;&gt;".",s_Irr!BA28&lt;&gt;"."),s_dir!D28/((1/1000)*(s_Irr!AB28+s_Irr!BA28)),IF(AND(s_Irr!C28=".",s_Irr!AB28=".",s_Irr!BA28&lt;&gt;"."),s_dir!D28/((1/1000)*(s_Irr!BA28)),IF(AND(s_Irr!C28=".",s_Irr!AB28&lt;&gt;".",s_Irr!BA28="."),s_dir!D28/((1/1000)*(s_Irr!AB28)),IF(AND(s_Irr!C28&lt;&gt;".",s_Irr!AB28=".",s_Irr!BA28="."),s_dir!D28/((1/1000)*(s_Irr!C28)),IF(AND(s_Irr!C28=".",s_Irr!AB28=".",s_Irr!BA28="."),s_dir!D28*1000)))))))),".")</f>
        <v>.</v>
      </c>
      <c r="E28" s="70" t="str">
        <f>IFERROR(IF(AND(s_Irr!D28&lt;&gt;".",s_Irr!AC28&lt;&gt;".",s_Irr!BB28&lt;&gt;"."),s_dir!E28/((1/1000)*(s_Irr!D28+s_Irr!AC28+s_Irr!BB28)),IF(AND(s_Irr!D28&lt;&gt;".",s_Irr!AC28&lt;&gt;".",s_Irr!BB28="."),s_dir!E28/((1/1000)*(s_Irr!D28+s_Irr!AC28)),IF(AND(s_Irr!D28&lt;&gt;".",s_Irr!AC28=".",s_Irr!BB28&lt;&gt;"."),s_dir!E28/((1/1000)*(s_Irr!D28+s_Irr!BB28)),IF(AND(s_Irr!D28=".",s_Irr!AC28&lt;&gt;".",s_Irr!BB28&lt;&gt;"."),s_dir!E28/((1/1000)*(s_Irr!AC28+s_Irr!BB28)),IF(AND(s_Irr!D28=".",s_Irr!AC28=".",s_Irr!BB28&lt;&gt;"."),s_dir!E28/((1/1000)*(s_Irr!BB28)),IF(AND(s_Irr!D28=".",s_Irr!AC28&lt;&gt;".",s_Irr!BB28="."),s_dir!E28/((1/1000)*(s_Irr!AC28)),IF(AND(s_Irr!D28&lt;&gt;".",s_Irr!AC28=".",s_Irr!BB28="."),s_dir!E28/((1/1000)*(s_Irr!D28)),IF(AND(s_Irr!D28=".",s_Irr!AC28=".",s_Irr!BB28="."),s_dir!E28*1000)))))))),".")</f>
        <v>.</v>
      </c>
      <c r="F28" s="70" t="str">
        <f>IFERROR(IF(AND(s_Irr!E28&lt;&gt;".",s_Irr!AD28&lt;&gt;".",s_Irr!BC28&lt;&gt;"."),s_dir!F28/((1/1000)*(s_Irr!E28+s_Irr!AD28+s_Irr!BC28)),IF(AND(s_Irr!E28&lt;&gt;".",s_Irr!AD28&lt;&gt;".",s_Irr!BC28="."),s_dir!F28/((1/1000)*(s_Irr!E28+s_Irr!AD28)),IF(AND(s_Irr!E28&lt;&gt;".",s_Irr!AD28=".",s_Irr!BC28&lt;&gt;"."),s_dir!F28/((1/1000)*(s_Irr!E28+s_Irr!BC28)),IF(AND(s_Irr!E28=".",s_Irr!AD28&lt;&gt;".",s_Irr!BC28&lt;&gt;"."),s_dir!F28/((1/1000)*(s_Irr!AD28+s_Irr!BC28)),IF(AND(s_Irr!E28=".",s_Irr!AD28=".",s_Irr!BC28&lt;&gt;"."),s_dir!F28/((1/1000)*(s_Irr!BC28)),IF(AND(s_Irr!E28=".",s_Irr!AD28&lt;&gt;".",s_Irr!BC28="."),s_dir!F28/((1/1000)*(s_Irr!AD28)),IF(AND(s_Irr!E28&lt;&gt;".",s_Irr!AD28=".",s_Irr!BC28="."),s_dir!F28/((1/1000)*(s_Irr!E28)),IF(AND(s_Irr!E28=".",s_Irr!AD28=".",s_Irr!BC28="."),s_dir!F28*1000)))))))),".")</f>
        <v>.</v>
      </c>
      <c r="G28" s="70" t="str">
        <f>IFERROR(IF(AND(s_Irr!F28&lt;&gt;".",s_Irr!AE28&lt;&gt;".",s_Irr!BD28&lt;&gt;"."),s_dir!G28/((1/1000)*(s_Irr!F28+s_Irr!AE28+s_Irr!BD28)),IF(AND(s_Irr!F28&lt;&gt;".",s_Irr!AE28&lt;&gt;".",s_Irr!BD28="."),s_dir!G28/((1/1000)*(s_Irr!F28+s_Irr!AE28)),IF(AND(s_Irr!F28&lt;&gt;".",s_Irr!AE28=".",s_Irr!BD28&lt;&gt;"."),s_dir!G28/((1/1000)*(s_Irr!F28+s_Irr!BD28)),IF(AND(s_Irr!F28=".",s_Irr!AE28&lt;&gt;".",s_Irr!BD28&lt;&gt;"."),s_dir!G28/((1/1000)*(s_Irr!AE28+s_Irr!BD28)),IF(AND(s_Irr!F28=".",s_Irr!AE28=".",s_Irr!BD28&lt;&gt;"."),s_dir!G28/((1/1000)*(s_Irr!BD28)),IF(AND(s_Irr!F28=".",s_Irr!AE28&lt;&gt;".",s_Irr!BD28="."),s_dir!G28/((1/1000)*(s_Irr!AE28)),IF(AND(s_Irr!F28&lt;&gt;".",s_Irr!AE28=".",s_Irr!BD28="."),s_dir!G28/((1/1000)*(s_Irr!F28)),IF(AND(s_Irr!F28=".",s_Irr!AE28=".",s_Irr!BD28="."),s_dir!G28*1000)))))))),".")</f>
        <v>.</v>
      </c>
      <c r="H28" s="70" t="str">
        <f>IFERROR(IF(AND(s_Irr!G28&lt;&gt;".",s_Irr!AF28&lt;&gt;".",s_Irr!BE28&lt;&gt;"."),s_dir!H28/((1/1000)*(s_Irr!G28+s_Irr!AF28+s_Irr!BE28)),IF(AND(s_Irr!G28&lt;&gt;".",s_Irr!AF28&lt;&gt;".",s_Irr!BE28="."),s_dir!H28/((1/1000)*(s_Irr!G28+s_Irr!AF28)),IF(AND(s_Irr!G28&lt;&gt;".",s_Irr!AF28=".",s_Irr!BE28&lt;&gt;"."),s_dir!H28/((1/1000)*(s_Irr!G28+s_Irr!BE28)),IF(AND(s_Irr!G28=".",s_Irr!AF28&lt;&gt;".",s_Irr!BE28&lt;&gt;"."),s_dir!H28/((1/1000)*(s_Irr!AF28+s_Irr!BE28)),IF(AND(s_Irr!G28=".",s_Irr!AF28=".",s_Irr!BE28&lt;&gt;"."),s_dir!H28/((1/1000)*(s_Irr!BE28)),IF(AND(s_Irr!G28=".",s_Irr!AF28&lt;&gt;".",s_Irr!BE28="."),s_dir!H28/((1/1000)*(s_Irr!AF28)),IF(AND(s_Irr!G28&lt;&gt;".",s_Irr!AF28=".",s_Irr!BE28="."),s_dir!H28/((1/1000)*(s_Irr!G28)),IF(AND(s_Irr!G28=".",s_Irr!AF28=".",s_Irr!BE28="."),s_dir!H28*1000)))))))),".")</f>
        <v>.</v>
      </c>
      <c r="I28" s="70" t="str">
        <f>IFERROR(IF(AND(s_Irr!H28&lt;&gt;".",s_Irr!AG28&lt;&gt;".",s_Irr!BF28&lt;&gt;"."),s_dir!I28/((1/1000)*(s_Irr!H28+s_Irr!AG28+s_Irr!BF28)),IF(AND(s_Irr!H28&lt;&gt;".",s_Irr!AG28&lt;&gt;".",s_Irr!BF28="."),s_dir!I28/((1/1000)*(s_Irr!H28+s_Irr!AG28)),IF(AND(s_Irr!H28&lt;&gt;".",s_Irr!AG28=".",s_Irr!BF28&lt;&gt;"."),s_dir!I28/((1/1000)*(s_Irr!H28+s_Irr!BF28)),IF(AND(s_Irr!H28=".",s_Irr!AG28&lt;&gt;".",s_Irr!BF28&lt;&gt;"."),s_dir!I28/((1/1000)*(s_Irr!AG28+s_Irr!BF28)),IF(AND(s_Irr!H28=".",s_Irr!AG28=".",s_Irr!BF28&lt;&gt;"."),s_dir!I28/((1/1000)*(s_Irr!BF28)),IF(AND(s_Irr!H28=".",s_Irr!AG28&lt;&gt;".",s_Irr!BF28="."),s_dir!I28/((1/1000)*(s_Irr!AG28)),IF(AND(s_Irr!H28&lt;&gt;".",s_Irr!AG28=".",s_Irr!BF28="."),s_dir!I28/((1/1000)*(s_Irr!H28)),IF(AND(s_Irr!H28=".",s_Irr!AG28=".",s_Irr!BF28="."),s_dir!I28*1000)))))))),".")</f>
        <v>.</v>
      </c>
      <c r="J28" s="70" t="str">
        <f>IFERROR(IF(AND(s_Irr!I28&lt;&gt;".",s_Irr!AH28&lt;&gt;".",s_Irr!BG28&lt;&gt;"."),s_dir!J28/((1/1000)*(s_Irr!I28+s_Irr!AH28+s_Irr!BG28)),IF(AND(s_Irr!I28&lt;&gt;".",s_Irr!AH28&lt;&gt;".",s_Irr!BG28="."),s_dir!J28/((1/1000)*(s_Irr!I28+s_Irr!AH28)),IF(AND(s_Irr!I28&lt;&gt;".",s_Irr!AH28=".",s_Irr!BG28&lt;&gt;"."),s_dir!J28/((1/1000)*(s_Irr!I28+s_Irr!BG28)),IF(AND(s_Irr!I28=".",s_Irr!AH28&lt;&gt;".",s_Irr!BG28&lt;&gt;"."),s_dir!J28/((1/1000)*(s_Irr!AH28+s_Irr!BG28)),IF(AND(s_Irr!I28=".",s_Irr!AH28=".",s_Irr!BG28&lt;&gt;"."),s_dir!J28/((1/1000)*(s_Irr!BG28)),IF(AND(s_Irr!I28=".",s_Irr!AH28&lt;&gt;".",s_Irr!BG28="."),s_dir!J28/((1/1000)*(s_Irr!AH28)),IF(AND(s_Irr!I28&lt;&gt;".",s_Irr!AH28=".",s_Irr!BG28="."),s_dir!J28/((1/1000)*(s_Irr!I28)),IF(AND(s_Irr!I28=".",s_Irr!AH28=".",s_Irr!BG28="."),s_dir!J28*1000)))))))),".")</f>
        <v>.</v>
      </c>
      <c r="K28" s="70" t="str">
        <f>IFERROR(IF(AND(s_Irr!J28&lt;&gt;".",s_Irr!AI28&lt;&gt;".",s_Irr!BH28&lt;&gt;"."),s_dir!K28/((1/1000)*(s_Irr!J28+s_Irr!AI28+s_Irr!BH28)),IF(AND(s_Irr!J28&lt;&gt;".",s_Irr!AI28&lt;&gt;".",s_Irr!BH28="."),s_dir!K28/((1/1000)*(s_Irr!J28+s_Irr!AI28)),IF(AND(s_Irr!J28&lt;&gt;".",s_Irr!AI28=".",s_Irr!BH28&lt;&gt;"."),s_dir!K28/((1/1000)*(s_Irr!J28+s_Irr!BH28)),IF(AND(s_Irr!J28=".",s_Irr!AI28&lt;&gt;".",s_Irr!BH28&lt;&gt;"."),s_dir!K28/((1/1000)*(s_Irr!AI28+s_Irr!BH28)),IF(AND(s_Irr!J28=".",s_Irr!AI28=".",s_Irr!BH28&lt;&gt;"."),s_dir!K28/((1/1000)*(s_Irr!BH28)),IF(AND(s_Irr!J28=".",s_Irr!AI28&lt;&gt;".",s_Irr!BH28="."),s_dir!K28/((1/1000)*(s_Irr!AI28)),IF(AND(s_Irr!J28&lt;&gt;".",s_Irr!AI28=".",s_Irr!BH28="."),s_dir!K28/((1/1000)*(s_Irr!J28)),IF(AND(s_Irr!J28=".",s_Irr!AI28=".",s_Irr!BH28="."),s_dir!K28*1000)))))))),".")</f>
        <v>.</v>
      </c>
      <c r="L28" s="70" t="str">
        <f>IFERROR(IF(AND(s_Irr!K28&lt;&gt;".",s_Irr!AJ28&lt;&gt;".",s_Irr!BI28&lt;&gt;"."),s_dir!L28/((1/1000)*(s_Irr!K28+s_Irr!AJ28+s_Irr!BI28)),IF(AND(s_Irr!K28&lt;&gt;".",s_Irr!AJ28&lt;&gt;".",s_Irr!BI28="."),s_dir!L28/((1/1000)*(s_Irr!K28+s_Irr!AJ28)),IF(AND(s_Irr!K28&lt;&gt;".",s_Irr!AJ28=".",s_Irr!BI28&lt;&gt;"."),s_dir!L28/((1/1000)*(s_Irr!K28+s_Irr!BI28)),IF(AND(s_Irr!K28=".",s_Irr!AJ28&lt;&gt;".",s_Irr!BI28&lt;&gt;"."),s_dir!L28/((1/1000)*(s_Irr!AJ28+s_Irr!BI28)),IF(AND(s_Irr!K28=".",s_Irr!AJ28=".",s_Irr!BI28&lt;&gt;"."),s_dir!L28/((1/1000)*(s_Irr!BI28)),IF(AND(s_Irr!K28=".",s_Irr!AJ28&lt;&gt;".",s_Irr!BI28="."),s_dir!L28/((1/1000)*(s_Irr!AJ28)),IF(AND(s_Irr!K28&lt;&gt;".",s_Irr!AJ28=".",s_Irr!BI28="."),s_dir!L28/((1/1000)*(s_Irr!K28)),IF(AND(s_Irr!K28=".",s_Irr!AJ28=".",s_Irr!BI28="."),s_dir!L28*1000)))))))),".")</f>
        <v>.</v>
      </c>
      <c r="M28" s="70" t="str">
        <f>IFERROR(IF(AND(s_Irr!L28&lt;&gt;".",s_Irr!AK28&lt;&gt;".",s_Irr!BJ28&lt;&gt;"."),s_dir!M28/((1/1000)*(s_Irr!L28+s_Irr!AK28+s_Irr!BJ28)),IF(AND(s_Irr!L28&lt;&gt;".",s_Irr!AK28&lt;&gt;".",s_Irr!BJ28="."),s_dir!M28/((1/1000)*(s_Irr!L28+s_Irr!AK28)),IF(AND(s_Irr!L28&lt;&gt;".",s_Irr!AK28=".",s_Irr!BJ28&lt;&gt;"."),s_dir!M28/((1/1000)*(s_Irr!L28+s_Irr!BJ28)),IF(AND(s_Irr!L28=".",s_Irr!AK28&lt;&gt;".",s_Irr!BJ28&lt;&gt;"."),s_dir!M28/((1/1000)*(s_Irr!AK28+s_Irr!BJ28)),IF(AND(s_Irr!L28=".",s_Irr!AK28=".",s_Irr!BJ28&lt;&gt;"."),s_dir!M28/((1/1000)*(s_Irr!BJ28)),IF(AND(s_Irr!L28=".",s_Irr!AK28&lt;&gt;".",s_Irr!BJ28="."),s_dir!M28/((1/1000)*(s_Irr!AK28)),IF(AND(s_Irr!L28&lt;&gt;".",s_Irr!AK28=".",s_Irr!BJ28="."),s_dir!M28/((1/1000)*(s_Irr!L28)),IF(AND(s_Irr!L28=".",s_Irr!AK28=".",s_Irr!BJ28="."),s_dir!M28*1000)))))))),".")</f>
        <v>.</v>
      </c>
      <c r="N28" s="70" t="str">
        <f>IFERROR(IF(AND(s_Irr!M28&lt;&gt;".",s_Irr!AL28&lt;&gt;".",s_Irr!BK28&lt;&gt;"."),s_dir!N28/((1/1000)*(s_Irr!M28+s_Irr!AL28+s_Irr!BK28)),IF(AND(s_Irr!M28&lt;&gt;".",s_Irr!AL28&lt;&gt;".",s_Irr!BK28="."),s_dir!N28/((1/1000)*(s_Irr!M28+s_Irr!AL28)),IF(AND(s_Irr!M28&lt;&gt;".",s_Irr!AL28=".",s_Irr!BK28&lt;&gt;"."),s_dir!N28/((1/1000)*(s_Irr!M28+s_Irr!BK28)),IF(AND(s_Irr!M28=".",s_Irr!AL28&lt;&gt;".",s_Irr!BK28&lt;&gt;"."),s_dir!N28/((1/1000)*(s_Irr!AL28+s_Irr!BK28)),IF(AND(s_Irr!M28=".",s_Irr!AL28=".",s_Irr!BK28&lt;&gt;"."),s_dir!N28/((1/1000)*(s_Irr!BK28)),IF(AND(s_Irr!M28=".",s_Irr!AL28&lt;&gt;".",s_Irr!BK28="."),s_dir!N28/((1/1000)*(s_Irr!AL28)),IF(AND(s_Irr!M28&lt;&gt;".",s_Irr!AL28=".",s_Irr!BK28="."),s_dir!N28/((1/1000)*(s_Irr!M28)),IF(AND(s_Irr!M28=".",s_Irr!AL28=".",s_Irr!BK28="."),s_dir!N28*1000)))))))),".")</f>
        <v>.</v>
      </c>
      <c r="O28" s="70" t="str">
        <f>IFERROR(IF(AND(s_Irr!N28&lt;&gt;".",s_Irr!AM28&lt;&gt;".",s_Irr!BL28&lt;&gt;"."),s_dir!O28/((1/1000)*(s_Irr!N28+s_Irr!AM28+s_Irr!BL28)),IF(AND(s_Irr!N28&lt;&gt;".",s_Irr!AM28&lt;&gt;".",s_Irr!BL28="."),s_dir!O28/((1/1000)*(s_Irr!N28+s_Irr!AM28)),IF(AND(s_Irr!N28&lt;&gt;".",s_Irr!AM28=".",s_Irr!BL28&lt;&gt;"."),s_dir!O28/((1/1000)*(s_Irr!N28+s_Irr!BL28)),IF(AND(s_Irr!N28=".",s_Irr!AM28&lt;&gt;".",s_Irr!BL28&lt;&gt;"."),s_dir!O28/((1/1000)*(s_Irr!AM28+s_Irr!BL28)),IF(AND(s_Irr!N28=".",s_Irr!AM28=".",s_Irr!BL28&lt;&gt;"."),s_dir!O28/((1/1000)*(s_Irr!BL28)),IF(AND(s_Irr!N28=".",s_Irr!AM28&lt;&gt;".",s_Irr!BL28="."),s_dir!O28/((1/1000)*(s_Irr!AM28)),IF(AND(s_Irr!N28&lt;&gt;".",s_Irr!AM28=".",s_Irr!BL28="."),s_dir!O28/((1/1000)*(s_Irr!N28)),IF(AND(s_Irr!N28=".",s_Irr!AM28=".",s_Irr!BL28="."),s_dir!O28*1000)))))))),".")</f>
        <v>.</v>
      </c>
      <c r="P28" s="70" t="str">
        <f>IFERROR(IF(AND(s_Irr!O28&lt;&gt;".",s_Irr!AN28&lt;&gt;".",s_Irr!BM28&lt;&gt;"."),s_dir!P28/((1/1000)*(s_Irr!O28+s_Irr!AN28+s_Irr!BM28)),IF(AND(s_Irr!O28&lt;&gt;".",s_Irr!AN28&lt;&gt;".",s_Irr!BM28="."),s_dir!P28/((1/1000)*(s_Irr!O28+s_Irr!AN28)),IF(AND(s_Irr!O28&lt;&gt;".",s_Irr!AN28=".",s_Irr!BM28&lt;&gt;"."),s_dir!P28/((1/1000)*(s_Irr!O28+s_Irr!BM28)),IF(AND(s_Irr!O28=".",s_Irr!AN28&lt;&gt;".",s_Irr!BM28&lt;&gt;"."),s_dir!P28/((1/1000)*(s_Irr!AN28+s_Irr!BM28)),IF(AND(s_Irr!O28=".",s_Irr!AN28=".",s_Irr!BM28&lt;&gt;"."),s_dir!P28/((1/1000)*(s_Irr!BM28)),IF(AND(s_Irr!O28=".",s_Irr!AN28&lt;&gt;".",s_Irr!BM28="."),s_dir!P28/((1/1000)*(s_Irr!AN28)),IF(AND(s_Irr!O28&lt;&gt;".",s_Irr!AN28=".",s_Irr!BM28="."),s_dir!P28/((1/1000)*(s_Irr!O28)),IF(AND(s_Irr!O28=".",s_Irr!AN28=".",s_Irr!BM28="."),s_dir!P28*1000)))))))),".")</f>
        <v>.</v>
      </c>
      <c r="Q28" s="70" t="str">
        <f>IFERROR(IF(AND(s_Irr!P28&lt;&gt;".",s_Irr!AO28&lt;&gt;".",s_Irr!BN28&lt;&gt;"."),s_dir!Q28/((1/1000)*(s_Irr!P28+s_Irr!AO28+s_Irr!BN28)),IF(AND(s_Irr!P28&lt;&gt;".",s_Irr!AO28&lt;&gt;".",s_Irr!BN28="."),s_dir!Q28/((1/1000)*(s_Irr!P28+s_Irr!AO28)),IF(AND(s_Irr!P28&lt;&gt;".",s_Irr!AO28=".",s_Irr!BN28&lt;&gt;"."),s_dir!Q28/((1/1000)*(s_Irr!P28+s_Irr!BN28)),IF(AND(s_Irr!P28=".",s_Irr!AO28&lt;&gt;".",s_Irr!BN28&lt;&gt;"."),s_dir!Q28/((1/1000)*(s_Irr!AO28+s_Irr!BN28)),IF(AND(s_Irr!P28=".",s_Irr!AO28=".",s_Irr!BN28&lt;&gt;"."),s_dir!Q28/((1/1000)*(s_Irr!BN28)),IF(AND(s_Irr!P28=".",s_Irr!AO28&lt;&gt;".",s_Irr!BN28="."),s_dir!Q28/((1/1000)*(s_Irr!AO28)),IF(AND(s_Irr!P28&lt;&gt;".",s_Irr!AO28=".",s_Irr!BN28="."),s_dir!Q28/((1/1000)*(s_Irr!P28)),IF(AND(s_Irr!P28=".",s_Irr!AO28=".",s_Irr!BN28="."),s_dir!Q28*1000)))))))),".")</f>
        <v>.</v>
      </c>
      <c r="R28" s="70" t="str">
        <f>IFERROR(IF(AND(s_Irr!Q28&lt;&gt;".",s_Irr!AP28&lt;&gt;".",s_Irr!BO28&lt;&gt;"."),s_dir!R28/((1/1000)*(s_Irr!Q28+s_Irr!AP28+s_Irr!BO28)),IF(AND(s_Irr!Q28&lt;&gt;".",s_Irr!AP28&lt;&gt;".",s_Irr!BO28="."),s_dir!R28/((1/1000)*(s_Irr!Q28+s_Irr!AP28)),IF(AND(s_Irr!Q28&lt;&gt;".",s_Irr!AP28=".",s_Irr!BO28&lt;&gt;"."),s_dir!R28/((1/1000)*(s_Irr!Q28+s_Irr!BO28)),IF(AND(s_Irr!Q28=".",s_Irr!AP28&lt;&gt;".",s_Irr!BO28&lt;&gt;"."),s_dir!R28/((1/1000)*(s_Irr!AP28+s_Irr!BO28)),IF(AND(s_Irr!Q28=".",s_Irr!AP28=".",s_Irr!BO28&lt;&gt;"."),s_dir!R28/((1/1000)*(s_Irr!BO28)),IF(AND(s_Irr!Q28=".",s_Irr!AP28&lt;&gt;".",s_Irr!BO28="."),s_dir!R28/((1/1000)*(s_Irr!AP28)),IF(AND(s_Irr!Q28&lt;&gt;".",s_Irr!AP28=".",s_Irr!BO28="."),s_dir!R28/((1/1000)*(s_Irr!Q28)),IF(AND(s_Irr!Q28=".",s_Irr!AP28=".",s_Irr!BO28="."),s_dir!R28*1000)))))))),".")</f>
        <v>.</v>
      </c>
      <c r="S28" s="70" t="str">
        <f>IFERROR(IF(AND(s_Irr!R28&lt;&gt;".",s_Irr!AQ28&lt;&gt;".",s_Irr!BP28&lt;&gt;"."),s_dir!S28/((1/1000)*(s_Irr!R28+s_Irr!AQ28+s_Irr!BP28)),IF(AND(s_Irr!R28&lt;&gt;".",s_Irr!AQ28&lt;&gt;".",s_Irr!BP28="."),s_dir!S28/((1/1000)*(s_Irr!R28+s_Irr!AQ28)),IF(AND(s_Irr!R28&lt;&gt;".",s_Irr!AQ28=".",s_Irr!BP28&lt;&gt;"."),s_dir!S28/((1/1000)*(s_Irr!R28+s_Irr!BP28)),IF(AND(s_Irr!R28=".",s_Irr!AQ28&lt;&gt;".",s_Irr!BP28&lt;&gt;"."),s_dir!S28/((1/1000)*(s_Irr!AQ28+s_Irr!BP28)),IF(AND(s_Irr!R28=".",s_Irr!AQ28=".",s_Irr!BP28&lt;&gt;"."),s_dir!S28/((1/1000)*(s_Irr!BP28)),IF(AND(s_Irr!R28=".",s_Irr!AQ28&lt;&gt;".",s_Irr!BP28="."),s_dir!S28/((1/1000)*(s_Irr!AQ28)),IF(AND(s_Irr!R28&lt;&gt;".",s_Irr!AQ28=".",s_Irr!BP28="."),s_dir!S28/((1/1000)*(s_Irr!R28)),IF(AND(s_Irr!R28=".",s_Irr!AQ28=".",s_Irr!BP28="."),s_dir!S28*1000)))))))),".")</f>
        <v>.</v>
      </c>
      <c r="T28" s="70" t="str">
        <f>IFERROR(IF(AND(s_Irr!S28&lt;&gt;".",s_Irr!AR28&lt;&gt;".",s_Irr!BQ28&lt;&gt;"."),s_dir!T28/((1/1000)*(s_Irr!S28+s_Irr!AR28+s_Irr!BQ28)),IF(AND(s_Irr!S28&lt;&gt;".",s_Irr!AR28&lt;&gt;".",s_Irr!BQ28="."),s_dir!T28/((1/1000)*(s_Irr!S28+s_Irr!AR28)),IF(AND(s_Irr!S28&lt;&gt;".",s_Irr!AR28=".",s_Irr!BQ28&lt;&gt;"."),s_dir!T28/((1/1000)*(s_Irr!S28+s_Irr!BQ28)),IF(AND(s_Irr!S28=".",s_Irr!AR28&lt;&gt;".",s_Irr!BQ28&lt;&gt;"."),s_dir!T28/((1/1000)*(s_Irr!AR28+s_Irr!BQ28)),IF(AND(s_Irr!S28=".",s_Irr!AR28=".",s_Irr!BQ28&lt;&gt;"."),s_dir!T28/((1/1000)*(s_Irr!BQ28)),IF(AND(s_Irr!S28=".",s_Irr!AR28&lt;&gt;".",s_Irr!BQ28="."),s_dir!T28/((1/1000)*(s_Irr!AR28)),IF(AND(s_Irr!S28&lt;&gt;".",s_Irr!AR28=".",s_Irr!BQ28="."),s_dir!T28/((1/1000)*(s_Irr!S28)),IF(AND(s_Irr!S28=".",s_Irr!AR28=".",s_Irr!BQ28="."),s_dir!T28*1000)))))))),".")</f>
        <v>.</v>
      </c>
      <c r="U28" s="70" t="str">
        <f>IFERROR(IF(AND(s_Irr!T28&lt;&gt;".",s_Irr!AS28&lt;&gt;".",s_Irr!BR28&lt;&gt;"."),s_dir!U28/((1/1000)*(s_Irr!T28+s_Irr!AS28+s_Irr!BR28)),IF(AND(s_Irr!T28&lt;&gt;".",s_Irr!AS28&lt;&gt;".",s_Irr!BR28="."),s_dir!U28/((1/1000)*(s_Irr!T28+s_Irr!AS28)),IF(AND(s_Irr!T28&lt;&gt;".",s_Irr!AS28=".",s_Irr!BR28&lt;&gt;"."),s_dir!U28/((1/1000)*(s_Irr!T28+s_Irr!BR28)),IF(AND(s_Irr!T28=".",s_Irr!AS28&lt;&gt;".",s_Irr!BR28&lt;&gt;"."),s_dir!U28/((1/1000)*(s_Irr!AS28+s_Irr!BR28)),IF(AND(s_Irr!T28=".",s_Irr!AS28=".",s_Irr!BR28&lt;&gt;"."),s_dir!U28/((1/1000)*(s_Irr!BR28)),IF(AND(s_Irr!T28=".",s_Irr!AS28&lt;&gt;".",s_Irr!BR28="."),s_dir!U28/((1/1000)*(s_Irr!AS28)),IF(AND(s_Irr!T28&lt;&gt;".",s_Irr!AS28=".",s_Irr!BR28="."),s_dir!U28/((1/1000)*(s_Irr!T28)),IF(AND(s_Irr!T28=".",s_Irr!AS28=".",s_Irr!BR28="."),s_dir!U28*1000)))))))),".")</f>
        <v>.</v>
      </c>
      <c r="V28" s="70" t="str">
        <f>IFERROR(IF(AND(s_Irr!U28&lt;&gt;".",s_Irr!AT28&lt;&gt;".",s_Irr!BS28&lt;&gt;"."),s_dir!V28/((1/1000)*(s_Irr!U28+s_Irr!AT28+s_Irr!BS28)),IF(AND(s_Irr!U28&lt;&gt;".",s_Irr!AT28&lt;&gt;".",s_Irr!BS28="."),s_dir!V28/((1/1000)*(s_Irr!U28+s_Irr!AT28)),IF(AND(s_Irr!U28&lt;&gt;".",s_Irr!AT28=".",s_Irr!BS28&lt;&gt;"."),s_dir!V28/((1/1000)*(s_Irr!U28+s_Irr!BS28)),IF(AND(s_Irr!U28=".",s_Irr!AT28&lt;&gt;".",s_Irr!BS28&lt;&gt;"."),s_dir!V28/((1/1000)*(s_Irr!AT28+s_Irr!BS28)),IF(AND(s_Irr!U28=".",s_Irr!AT28=".",s_Irr!BS28&lt;&gt;"."),s_dir!V28/((1/1000)*(s_Irr!BS28)),IF(AND(s_Irr!U28=".",s_Irr!AT28&lt;&gt;".",s_Irr!BS28="."),s_dir!V28/((1/1000)*(s_Irr!AT28)),IF(AND(s_Irr!U28&lt;&gt;".",s_Irr!AT28=".",s_Irr!BS28="."),s_dir!V28/((1/1000)*(s_Irr!U28)),IF(AND(s_Irr!U28=".",s_Irr!AT28=".",s_Irr!BS28="."),s_dir!V28*1000)))))))),".")</f>
        <v>.</v>
      </c>
      <c r="W28" s="70" t="str">
        <f>IFERROR(IF(AND(s_Irr!V28&lt;&gt;".",s_Irr!AU28&lt;&gt;".",s_Irr!BT28&lt;&gt;"."),s_dir!W28/((1/1000)*(s_Irr!V28+s_Irr!AU28+s_Irr!BT28)),IF(AND(s_Irr!V28&lt;&gt;".",s_Irr!AU28&lt;&gt;".",s_Irr!BT28="."),s_dir!W28/((1/1000)*(s_Irr!V28+s_Irr!AU28)),IF(AND(s_Irr!V28&lt;&gt;".",s_Irr!AU28=".",s_Irr!BT28&lt;&gt;"."),s_dir!W28/((1/1000)*(s_Irr!V28+s_Irr!BT28)),IF(AND(s_Irr!V28=".",s_Irr!AU28&lt;&gt;".",s_Irr!BT28&lt;&gt;"."),s_dir!W28/((1/1000)*(s_Irr!AU28+s_Irr!BT28)),IF(AND(s_Irr!V28=".",s_Irr!AU28=".",s_Irr!BT28&lt;&gt;"."),s_dir!W28/((1/1000)*(s_Irr!BT28)),IF(AND(s_Irr!V28=".",s_Irr!AU28&lt;&gt;".",s_Irr!BT28="."),s_dir!W28/((1/1000)*(s_Irr!AU28)),IF(AND(s_Irr!V28&lt;&gt;".",s_Irr!AU28=".",s_Irr!BT28="."),s_dir!W28/((1/1000)*(s_Irr!V28)),IF(AND(s_Irr!V28=".",s_Irr!AU28=".",s_Irr!BT28="."),s_dir!W28*1000)))))))),".")</f>
        <v>.</v>
      </c>
      <c r="X28" s="70" t="str">
        <f>IFERROR(IF(AND(s_Irr!W28&lt;&gt;".",s_Irr!AV28&lt;&gt;".",s_Irr!BU28&lt;&gt;"."),s_dir!X28/((1/1000)*(s_Irr!W28+s_Irr!AV28+s_Irr!BU28)),IF(AND(s_Irr!W28&lt;&gt;".",s_Irr!AV28&lt;&gt;".",s_Irr!BU28="."),s_dir!X28/((1/1000)*(s_Irr!W28+s_Irr!AV28)),IF(AND(s_Irr!W28&lt;&gt;".",s_Irr!AV28=".",s_Irr!BU28&lt;&gt;"."),s_dir!X28/((1/1000)*(s_Irr!W28+s_Irr!BU28)),IF(AND(s_Irr!W28=".",s_Irr!AV28&lt;&gt;".",s_Irr!BU28&lt;&gt;"."),s_dir!X28/((1/1000)*(s_Irr!AV28+s_Irr!BU28)),IF(AND(s_Irr!W28=".",s_Irr!AV28=".",s_Irr!BU28&lt;&gt;"."),s_dir!X28/((1/1000)*(s_Irr!BU28)),IF(AND(s_Irr!W28=".",s_Irr!AV28&lt;&gt;".",s_Irr!BU28="."),s_dir!X28/((1/1000)*(s_Irr!AV28)),IF(AND(s_Irr!W28&lt;&gt;".",s_Irr!AV28=".",s_Irr!BU28="."),s_dir!X28/((1/1000)*(s_Irr!W28)),IF(AND(s_Irr!W28=".",s_Irr!AV28=".",s_Irr!BU28="."),s_dir!X28*1000)))))))),".")</f>
        <v>.</v>
      </c>
      <c r="Y28" s="70" t="str">
        <f>IFERROR(IF(AND(s_Irr!X28&lt;&gt;".",s_Irr!AW28&lt;&gt;".",s_Irr!BV28&lt;&gt;"."),s_dir!Y28/((1/1000)*(s_Irr!X28+s_Irr!AW28+s_Irr!BV28)),IF(AND(s_Irr!X28&lt;&gt;".",s_Irr!AW28&lt;&gt;".",s_Irr!BV28="."),s_dir!Y28/((1/1000)*(s_Irr!X28+s_Irr!AW28)),IF(AND(s_Irr!X28&lt;&gt;".",s_Irr!AW28=".",s_Irr!BV28&lt;&gt;"."),s_dir!Y28/((1/1000)*(s_Irr!X28+s_Irr!BV28)),IF(AND(s_Irr!X28=".",s_Irr!AW28&lt;&gt;".",s_Irr!BV28&lt;&gt;"."),s_dir!Y28/((1/1000)*(s_Irr!AW28+s_Irr!BV28)),IF(AND(s_Irr!X28=".",s_Irr!AW28=".",s_Irr!BV28&lt;&gt;"."),s_dir!Y28/((1/1000)*(s_Irr!BV28)),IF(AND(s_Irr!X28=".",s_Irr!AW28&lt;&gt;".",s_Irr!BV28="."),s_dir!Y28/((1/1000)*(s_Irr!AW28)),IF(AND(s_Irr!X28&lt;&gt;".",s_Irr!AW28=".",s_Irr!BV28="."),s_dir!Y28/((1/1000)*(s_Irr!X28)),IF(AND(s_Irr!X28=".",s_Irr!AW28=".",s_Irr!BV28="."),s_dir!Y28*1000)))))))),".")</f>
        <v>.</v>
      </c>
      <c r="Z28" s="70" t="str">
        <f>IFERROR(IF(AND(s_Irr!Y28&lt;&gt;".",s_Irr!AX28&lt;&gt;".",s_Irr!BW28&lt;&gt;"."),s_dir!Z28/((1/1000)*(s_Irr!Y28+s_Irr!AX28+s_Irr!BW28)),IF(AND(s_Irr!Y28&lt;&gt;".",s_Irr!AX28&lt;&gt;".",s_Irr!BW28="."),s_dir!Z28/((1/1000)*(s_Irr!Y28+s_Irr!AX28)),IF(AND(s_Irr!Y28&lt;&gt;".",s_Irr!AX28=".",s_Irr!BW28&lt;&gt;"."),s_dir!Z28/((1/1000)*(s_Irr!Y28+s_Irr!BW28)),IF(AND(s_Irr!Y28=".",s_Irr!AX28&lt;&gt;".",s_Irr!BW28&lt;&gt;"."),s_dir!Z28/((1/1000)*(s_Irr!AX28+s_Irr!BW28)),IF(AND(s_Irr!Y28=".",s_Irr!AX28=".",s_Irr!BW28&lt;&gt;"."),s_dir!Z28/((1/1000)*(s_Irr!BW28)),IF(AND(s_Irr!Y28=".",s_Irr!AX28&lt;&gt;".",s_Irr!BW28="."),s_dir!Z28/((1/1000)*(s_Irr!AX28)),IF(AND(s_Irr!Y28&lt;&gt;".",s_Irr!AX28=".",s_Irr!BW28="."),s_dir!Z28/((1/1000)*(s_Irr!Y28)),IF(AND(s_Irr!Y28=".",s_Irr!AX28=".",s_Irr!BW28="."),s_dir!Z28*1000)))))))),".")</f>
        <v>.</v>
      </c>
      <c r="AA28" s="70" t="str">
        <f>IFERROR(IF(AND(s_Irr!Z28&lt;&gt;".",s_Irr!AY28&lt;&gt;".",s_Irr!BX28&lt;&gt;"."),s_dir!AA28/((1/1000)*(s_Irr!Z28+s_Irr!AY28+s_Irr!BX28)),IF(AND(s_Irr!Z28&lt;&gt;".",s_Irr!AY28&lt;&gt;".",s_Irr!BX28="."),s_dir!AA28/((1/1000)*(s_Irr!Z28+s_Irr!AY28)),IF(AND(s_Irr!Z28&lt;&gt;".",s_Irr!AY28=".",s_Irr!BX28&lt;&gt;"."),s_dir!AA28/((1/1000)*(s_Irr!Z28+s_Irr!BX28)),IF(AND(s_Irr!Z28=".",s_Irr!AY28&lt;&gt;".",s_Irr!BX28&lt;&gt;"."),s_dir!AA28/((1/1000)*(s_Irr!AY28+s_Irr!BX28)),IF(AND(s_Irr!Z28=".",s_Irr!AY28=".",s_Irr!BX28&lt;&gt;"."),s_dir!AA28/((1/1000)*(s_Irr!BX28)),IF(AND(s_Irr!Z28=".",s_Irr!AY28&lt;&gt;".",s_Irr!BX28="."),s_dir!AA28/((1/1000)*(s_Irr!AY28)),IF(AND(s_Irr!Z28&lt;&gt;".",s_Irr!AY28=".",s_Irr!BX28="."),s_dir!AA28/((1/1000)*(s_Irr!Z28)),IF(AND(s_Irr!Z28=".",s_Irr!AY28=".",s_Irr!BX28="."),s_dir!AA28*1000)))))))),".")</f>
        <v>.</v>
      </c>
      <c r="AB28" s="70" t="str">
        <f>IFERROR(IF(AND(s_Irr!AA28&lt;&gt;".",s_Irr!AZ28&lt;&gt;".",s_Irr!BY28&lt;&gt;"."),s_dir!AB28/((1/1000)*(s_Irr!AA28+s_Irr!AZ28+s_Irr!BY28)),IF(AND(s_Irr!AA28&lt;&gt;".",s_Irr!AZ28&lt;&gt;".",s_Irr!BY28="."),s_dir!AB28/((1/1000)*(s_Irr!AA28+s_Irr!AZ28)),IF(AND(s_Irr!AA28&lt;&gt;".",s_Irr!AZ28=".",s_Irr!BY28&lt;&gt;"."),s_dir!AB28/((1/1000)*(s_Irr!AA28+s_Irr!BY28)),IF(AND(s_Irr!AA28=".",s_Irr!AZ28&lt;&gt;".",s_Irr!BY28&lt;&gt;"."),s_dir!AB28/((1/1000)*(s_Irr!AZ28+s_Irr!BY28)),IF(AND(s_Irr!AA28=".",s_Irr!AZ28=".",s_Irr!BY28&lt;&gt;"."),s_dir!AB28/((1/1000)*(s_Irr!BY28)),IF(AND(s_Irr!AA28=".",s_Irr!AZ28&lt;&gt;".",s_Irr!BY28="."),s_dir!AB28/((1/1000)*(s_Irr!AZ28)),IF(AND(s_Irr!AA28&lt;&gt;".",s_Irr!AZ28=".",s_Irr!BY28="."),s_dir!AB28/((1/1000)*(s_Irr!AA28)),IF(AND(s_Irr!AA28=".",s_Irr!AZ28=".",s_Irr!BY28="."),s_dir!AB28*1000)))))))),".")</f>
        <v>.</v>
      </c>
      <c r="AC28" s="87">
        <f t="shared" si="5"/>
        <v>656.8877799109207</v>
      </c>
      <c r="AD28" s="87">
        <f>IFERROR(s_C*s_IFAP_res_adj*s_CF_apple*0.001*(s_Irr!C28+s_Irr!AB28+s_Irr!BA28),".")</f>
        <v>88.577324247385889</v>
      </c>
      <c r="AE28" s="87">
        <f>IFERROR(s_C*s_IFAS_res_adj*s_CF_asparagus*0.001*(s_Irr!D28+s_Irr!AC28+s_Irr!BB28),".")</f>
        <v>89.65924969287353</v>
      </c>
      <c r="AF28" s="87">
        <f>IFERROR(s_C*s_IFBT_res_adj*s_CF_beet*0.001*(s_Irr!E28+s_Irr!AD28+s_Irr!BC28),".")</f>
        <v>88.577324247385889</v>
      </c>
      <c r="AG28" s="87">
        <f>IFERROR(s_C*s_IFBE_res_adj*s_CF_berries*0.001*(s_Irr!F28+s_Irr!AE28+s_Irr!BD28),".")</f>
        <v>88.577324247385889</v>
      </c>
      <c r="AH28" s="87">
        <f>IFERROR(s_C*s_IFBR_res_adj*s_CF_broccoli*0.001*(s_Irr!G28+s_Irr!AF28+s_Irr!BE28),".")</f>
        <v>89.65924969287353</v>
      </c>
      <c r="AI28" s="87">
        <f>IFERROR(s_C*s_IFCB_res_adj*s_CF_cabbage*0.001*(s_Irr!H28+s_Irr!AG28+s_Irr!BF28),".")</f>
        <v>89.65924969287353</v>
      </c>
      <c r="AJ28" s="87">
        <f>IFERROR(s_C*s_IFCR_res_adj*s_CF_carrot*0.001*(s_Irr!I28+s_Irr!AH28+s_Irr!BG28),".")</f>
        <v>88.577324247385889</v>
      </c>
      <c r="AK28" s="87">
        <f>IFERROR(s_C*s_IFCI_res_adj*s_CF_citrus*0.001*(s_Irr!J28+s_Irr!AI28+s_Irr!BH28),".")</f>
        <v>88.577324247385889</v>
      </c>
      <c r="AL28" s="87">
        <f>IFERROR(s_C*s_IFCO_res_adj*s_CF_corn*0.001*(s_Irr!K28+s_Irr!AJ28+s_Irr!BI28),".")</f>
        <v>89.65924969287353</v>
      </c>
      <c r="AM28" s="87">
        <f>IFERROR(s_C*s_IFCU_res_adj*s_CF_cucumber*0.001*(s_Irr!L28+s_Irr!AK28+s_Irr!BJ28),".")</f>
        <v>89.65924969287353</v>
      </c>
      <c r="AN28" s="87">
        <f>IFERROR(s_C*s_IFLE_res_adj*s_CF_lettuce*0.001*(s_Irr!M28+s_Irr!AL28+s_Irr!BK28),".")</f>
        <v>89.65924969287353</v>
      </c>
      <c r="AO28" s="87">
        <f>IFERROR(s_C*s_IFLI_res_adj*s_CF_lima_bean*0.001*(s_Irr!N28+s_Irr!AM28+s_Irr!BL28),".")</f>
        <v>89.65924969287353</v>
      </c>
      <c r="AP28" s="87">
        <f>IFERROR(s_C*s_IFOK_res_adj*s_CF_okra*0.001*(s_Irr!O28+s_Irr!AN28+s_Irr!BM28),".")</f>
        <v>89.65924969287353</v>
      </c>
      <c r="AQ28" s="87">
        <f>IFERROR(s_C*s_IFON_res_adj*s_CF_onion*0.001*(s_Irr!P28+s_Irr!AO28+s_Irr!BN28),".")</f>
        <v>88.577324247385889</v>
      </c>
      <c r="AR28" s="87">
        <f>IFERROR(s_C*s_IFPC_res_adj*s_CF_peach*0.001*(s_Irr!Q28+s_Irr!AP28+s_Irr!BO28),".")</f>
        <v>88.577324247385889</v>
      </c>
      <c r="AS28" s="87">
        <f>IFERROR(s_C*s_IFPR_res_adj*s_CF_pear*0.001*(s_Irr!R28+s_Irr!AQ28+s_Irr!BP28),".")</f>
        <v>88.577324247385889</v>
      </c>
      <c r="AT28" s="87">
        <f>IFERROR(s_C*s_IFPE_res_adj*s_CF_peas*0.001*(s_Irr!S28+s_Irr!AR28+s_Irr!BQ28),".")</f>
        <v>89.65924969287353</v>
      </c>
      <c r="AU28" s="87">
        <f>IFERROR(s_C*s_IFPP_res_adj*s_CF_peppers*0.001*(s_Irr!T28+s_Irr!AS28+s_Irr!BR28),".")</f>
        <v>89.65924969287353</v>
      </c>
      <c r="AV28" s="87">
        <f>IFERROR(s_C*s_IFPT_res_adj*s_CF_potato*0.001*(s_Irr!U28+s_Irr!AT28+s_Irr!BS28),".")</f>
        <v>88.577324247385889</v>
      </c>
      <c r="AW28" s="87">
        <f>IFERROR(s_C*s_IFPU_res_adj*s_CF_pumpkin*0.001*(s_Irr!V28+s_Irr!AU28+s_Irr!BT28),".")</f>
        <v>89.65924969287353</v>
      </c>
      <c r="AX28" s="87">
        <f>IFERROR(s_C*s_IFSN_res_adj*s_CF_snap_bean*0.001*(s_Irr!W28+s_Irr!AV28+s_Irr!BU28),".")</f>
        <v>89.65924969287353</v>
      </c>
      <c r="AY28" s="87">
        <f>IFERROR(s_C*s_IFST_res_adj*s_CF_strawberry*0.001*(s_Irr!X28+s_Irr!AW28+s_Irr!BV28),".")</f>
        <v>88.577324247385889</v>
      </c>
      <c r="AZ28" s="87">
        <f>IFERROR(s_C*s_IFTO_res_adj*s_CF_tomato*0.001*(s_Irr!Y28+s_Irr!AX28+s_Irr!BW28),".")</f>
        <v>89.65924969287353</v>
      </c>
      <c r="BA28" s="87">
        <f>IFERROR(s_C*s_IFRI_res_adj*s_CF_rice*0.001*(s_Irr!Z28+s_Irr!AY28+s_Irr!BX28),".")</f>
        <v>388.99195627778778</v>
      </c>
      <c r="BB28" s="87">
        <f>IFERROR(s_C*s_IFCG_res_adj*s_CF_cereal*0.001*(s_Irr!AA28+s_Irr!AZ28+s_Irr!BY28),".")</f>
        <v>89.65924969287353</v>
      </c>
      <c r="BC28" s="70" t="str">
        <f t="shared" si="1"/>
        <v>.</v>
      </c>
      <c r="BD28" s="70" t="str">
        <f>IFERROR(IF(AND(s_Irr!C28&lt;&gt;".",s_Irr!AB28&lt;&gt;".",s_Irr!BA28&lt;&gt;"."),s_dir!AD28/((1/1000)*(s_Irr!C28+s_Irr!AB28+s_Irr!BA28)),IF(AND(s_Irr!C28&lt;&gt;".",s_Irr!AB28&lt;&gt;".",s_Irr!BA28="."),s_dir!AD28/((1/1000)*(s_Irr!C28+s_Irr!AB28)),IF(AND(s_Irr!C28&lt;&gt;".",s_Irr!AB28=".",s_Irr!BA28&lt;&gt;"."),s_dir!AD28/((1/1000)*(s_Irr!C28+s_Irr!BA28)),IF(AND(s_Irr!C28=".",s_Irr!AB28&lt;&gt;".",s_Irr!BA28&lt;&gt;"."),s_dir!AD28/((1/1000)*(s_Irr!AB28+s_Irr!BA28)),IF(AND(s_Irr!C28=".",s_Irr!AB28=".",s_Irr!BA28&lt;&gt;"."),s_dir!AD28/((1/1000)*(s_Irr!BA28)),IF(AND(s_Irr!C28=".",s_Irr!AB28&lt;&gt;".",s_Irr!BA28="."),s_dir!AD28/((1/1000)*(s_Irr!AB28)),IF(AND(s_Irr!C28&lt;&gt;".",s_Irr!AB28=".",s_Irr!BA28="."),s_dir!AD28/((1/1000)*(s_Irr!C28)),IF(AND(s_Irr!C28=".",s_Irr!AB28=".",s_Irr!BA28="."),s_dir!AD28*1000)))))))),".")</f>
        <v>.</v>
      </c>
      <c r="BE28" s="70" t="str">
        <f>IFERROR(IF(AND(s_Irr!D28&lt;&gt;".",s_Irr!AC28&lt;&gt;".",s_Irr!BB28&lt;&gt;"."),s_dir!AE28/((1/1000)*(s_Irr!D28+s_Irr!AC28+s_Irr!BB28)),IF(AND(s_Irr!D28&lt;&gt;".",s_Irr!AC28&lt;&gt;".",s_Irr!BB28="."),s_dir!AE28/((1/1000)*(s_Irr!D28+s_Irr!AC28)),IF(AND(s_Irr!D28&lt;&gt;".",s_Irr!AC28=".",s_Irr!BB28&lt;&gt;"."),s_dir!AE28/((1/1000)*(s_Irr!D28+s_Irr!BB28)),IF(AND(s_Irr!D28=".",s_Irr!AC28&lt;&gt;".",s_Irr!BB28&lt;&gt;"."),s_dir!AE28/((1/1000)*(s_Irr!AC28+s_Irr!BB28)),IF(AND(s_Irr!D28=".",s_Irr!AC28=".",s_Irr!BB28&lt;&gt;"."),s_dir!AE28/((1/1000)*(s_Irr!BB28)),IF(AND(s_Irr!D28=".",s_Irr!AC28&lt;&gt;".",s_Irr!BB28="."),s_dir!AE28/((1/1000)*(s_Irr!AC28)),IF(AND(s_Irr!D28&lt;&gt;".",s_Irr!AC28=".",s_Irr!BB28="."),s_dir!AE28/((1/1000)*(s_Irr!D28)),IF(AND(s_Irr!D28=".",s_Irr!AC28=".",s_Irr!BB28="."),s_dir!AE28*1000)))))))),".")</f>
        <v>.</v>
      </c>
      <c r="BF28" s="70" t="str">
        <f>IFERROR(IF(AND(s_Irr!E28&lt;&gt;".",s_Irr!AD28&lt;&gt;".",s_Irr!BC28&lt;&gt;"."),s_dir!AF28/((1/1000)*(s_Irr!E28+s_Irr!AD28+s_Irr!BC28)),IF(AND(s_Irr!E28&lt;&gt;".",s_Irr!AD28&lt;&gt;".",s_Irr!BC28="."),s_dir!AF28/((1/1000)*(s_Irr!E28+s_Irr!AD28)),IF(AND(s_Irr!E28&lt;&gt;".",s_Irr!AD28=".",s_Irr!BC28&lt;&gt;"."),s_dir!AF28/((1/1000)*(s_Irr!E28+s_Irr!BC28)),IF(AND(s_Irr!E28=".",s_Irr!AD28&lt;&gt;".",s_Irr!BC28&lt;&gt;"."),s_dir!AF28/((1/1000)*(s_Irr!AD28+s_Irr!BC28)),IF(AND(s_Irr!E28=".",s_Irr!AD28=".",s_Irr!BC28&lt;&gt;"."),s_dir!AF28/((1/1000)*(s_Irr!BC28)),IF(AND(s_Irr!E28=".",s_Irr!AD28&lt;&gt;".",s_Irr!BC28="."),s_dir!AF28/((1/1000)*(s_Irr!AD28)),IF(AND(s_Irr!E28&lt;&gt;".",s_Irr!AD28=".",s_Irr!BC28="."),s_dir!AF28/((1/1000)*(s_Irr!E28)),IF(AND(s_Irr!E28=".",s_Irr!AD28=".",s_Irr!BC28="."),s_dir!AF28*1000)))))))),".")</f>
        <v>.</v>
      </c>
      <c r="BG28" s="70" t="str">
        <f>IFERROR(IF(AND(s_Irr!F28&lt;&gt;".",s_Irr!AE28&lt;&gt;".",s_Irr!BD28&lt;&gt;"."),s_dir!AG28/((1/1000)*(s_Irr!F28+s_Irr!AE28+s_Irr!BD28)),IF(AND(s_Irr!F28&lt;&gt;".",s_Irr!AE28&lt;&gt;".",s_Irr!BD28="."),s_dir!AG28/((1/1000)*(s_Irr!F28+s_Irr!AE28)),IF(AND(s_Irr!F28&lt;&gt;".",s_Irr!AE28=".",s_Irr!BD28&lt;&gt;"."),s_dir!AG28/((1/1000)*(s_Irr!F28+s_Irr!BD28)),IF(AND(s_Irr!F28=".",s_Irr!AE28&lt;&gt;".",s_Irr!BD28&lt;&gt;"."),s_dir!AG28/((1/1000)*(s_Irr!AE28+s_Irr!BD28)),IF(AND(s_Irr!F28=".",s_Irr!AE28=".",s_Irr!BD28&lt;&gt;"."),s_dir!AG28/((1/1000)*(s_Irr!BD28)),IF(AND(s_Irr!F28=".",s_Irr!AE28&lt;&gt;".",s_Irr!BD28="."),s_dir!AG28/((1/1000)*(s_Irr!AE28)),IF(AND(s_Irr!F28&lt;&gt;".",s_Irr!AE28=".",s_Irr!BD28="."),s_dir!AG28/((1/1000)*(s_Irr!F28)),IF(AND(s_Irr!F28=".",s_Irr!AE28=".",s_Irr!BD28="."),s_dir!AG28*1000)))))))),".")</f>
        <v>.</v>
      </c>
      <c r="BH28" s="70" t="str">
        <f>IFERROR(IF(AND(s_Irr!G28&lt;&gt;".",s_Irr!AF28&lt;&gt;".",s_Irr!BE28&lt;&gt;"."),s_dir!AH28/((1/1000)*(s_Irr!G28+s_Irr!AF28+s_Irr!BE28)),IF(AND(s_Irr!G28&lt;&gt;".",s_Irr!AF28&lt;&gt;".",s_Irr!BE28="."),s_dir!AH28/((1/1000)*(s_Irr!G28+s_Irr!AF28)),IF(AND(s_Irr!G28&lt;&gt;".",s_Irr!AF28=".",s_Irr!BE28&lt;&gt;"."),s_dir!AH28/((1/1000)*(s_Irr!G28+s_Irr!BE28)),IF(AND(s_Irr!G28=".",s_Irr!AF28&lt;&gt;".",s_Irr!BE28&lt;&gt;"."),s_dir!AH28/((1/1000)*(s_Irr!AF28+s_Irr!BE28)),IF(AND(s_Irr!G28=".",s_Irr!AF28=".",s_Irr!BE28&lt;&gt;"."),s_dir!AH28/((1/1000)*(s_Irr!BE28)),IF(AND(s_Irr!G28=".",s_Irr!AF28&lt;&gt;".",s_Irr!BE28="."),s_dir!AH28/((1/1000)*(s_Irr!AF28)),IF(AND(s_Irr!G28&lt;&gt;".",s_Irr!AF28=".",s_Irr!BE28="."),s_dir!AH28/((1/1000)*(s_Irr!G28)),IF(AND(s_Irr!G28=".",s_Irr!AF28=".",s_Irr!BE28="."),s_dir!AH28*1000)))))))),".")</f>
        <v>.</v>
      </c>
      <c r="BI28" s="70" t="str">
        <f>IFERROR(IF(AND(s_Irr!H28&lt;&gt;".",s_Irr!AG28&lt;&gt;".",s_Irr!BF28&lt;&gt;"."),s_dir!AI28/((1/1000)*(s_Irr!H28+s_Irr!AG28+s_Irr!BF28)),IF(AND(s_Irr!H28&lt;&gt;".",s_Irr!AG28&lt;&gt;".",s_Irr!BF28="."),s_dir!AI28/((1/1000)*(s_Irr!H28+s_Irr!AG28)),IF(AND(s_Irr!H28&lt;&gt;".",s_Irr!AG28=".",s_Irr!BF28&lt;&gt;"."),s_dir!AI28/((1/1000)*(s_Irr!H28+s_Irr!BF28)),IF(AND(s_Irr!H28=".",s_Irr!AG28&lt;&gt;".",s_Irr!BF28&lt;&gt;"."),s_dir!AI28/((1/1000)*(s_Irr!AG28+s_Irr!BF28)),IF(AND(s_Irr!H28=".",s_Irr!AG28=".",s_Irr!BF28&lt;&gt;"."),s_dir!AI28/((1/1000)*(s_Irr!BF28)),IF(AND(s_Irr!H28=".",s_Irr!AG28&lt;&gt;".",s_Irr!BF28="."),s_dir!AI28/((1/1000)*(s_Irr!AG28)),IF(AND(s_Irr!H28&lt;&gt;".",s_Irr!AG28=".",s_Irr!BF28="."),s_dir!AI28/((1/1000)*(s_Irr!H28)),IF(AND(s_Irr!H28=".",s_Irr!AG28=".",s_Irr!BF28="."),s_dir!AI28*1000)))))))),".")</f>
        <v>.</v>
      </c>
      <c r="BJ28" s="70" t="str">
        <f>IFERROR(IF(AND(s_Irr!I28&lt;&gt;".",s_Irr!AH28&lt;&gt;".",s_Irr!BG28&lt;&gt;"."),s_dir!AJ28/((1/1000)*(s_Irr!I28+s_Irr!AH28+s_Irr!BG28)),IF(AND(s_Irr!I28&lt;&gt;".",s_Irr!AH28&lt;&gt;".",s_Irr!BG28="."),s_dir!AJ28/((1/1000)*(s_Irr!I28+s_Irr!AH28)),IF(AND(s_Irr!I28&lt;&gt;".",s_Irr!AH28=".",s_Irr!BG28&lt;&gt;"."),s_dir!AJ28/((1/1000)*(s_Irr!I28+s_Irr!BG28)),IF(AND(s_Irr!I28=".",s_Irr!AH28&lt;&gt;".",s_Irr!BG28&lt;&gt;"."),s_dir!AJ28/((1/1000)*(s_Irr!AH28+s_Irr!BG28)),IF(AND(s_Irr!I28=".",s_Irr!AH28=".",s_Irr!BG28&lt;&gt;"."),s_dir!AJ28/((1/1000)*(s_Irr!BG28)),IF(AND(s_Irr!I28=".",s_Irr!AH28&lt;&gt;".",s_Irr!BG28="."),s_dir!AJ28/((1/1000)*(s_Irr!AH28)),IF(AND(s_Irr!I28&lt;&gt;".",s_Irr!AH28=".",s_Irr!BG28="."),s_dir!AJ28/((1/1000)*(s_Irr!I28)),IF(AND(s_Irr!I28=".",s_Irr!AH28=".",s_Irr!BG28="."),s_dir!AJ28*1000)))))))),".")</f>
        <v>.</v>
      </c>
      <c r="BK28" s="70" t="str">
        <f>IFERROR(IF(AND(s_Irr!J28&lt;&gt;".",s_Irr!AI28&lt;&gt;".",s_Irr!BH28&lt;&gt;"."),s_dir!AK28/((1/1000)*(s_Irr!J28+s_Irr!AI28+s_Irr!BH28)),IF(AND(s_Irr!J28&lt;&gt;".",s_Irr!AI28&lt;&gt;".",s_Irr!BH28="."),s_dir!AK28/((1/1000)*(s_Irr!J28+s_Irr!AI28)),IF(AND(s_Irr!J28&lt;&gt;".",s_Irr!AI28=".",s_Irr!BH28&lt;&gt;"."),s_dir!AK28/((1/1000)*(s_Irr!J28+s_Irr!BH28)),IF(AND(s_Irr!J28=".",s_Irr!AI28&lt;&gt;".",s_Irr!BH28&lt;&gt;"."),s_dir!AK28/((1/1000)*(s_Irr!AI28+s_Irr!BH28)),IF(AND(s_Irr!J28=".",s_Irr!AI28=".",s_Irr!BH28&lt;&gt;"."),s_dir!AK28/((1/1000)*(s_Irr!BH28)),IF(AND(s_Irr!J28=".",s_Irr!AI28&lt;&gt;".",s_Irr!BH28="."),s_dir!AK28/((1/1000)*(s_Irr!AI28)),IF(AND(s_Irr!J28&lt;&gt;".",s_Irr!AI28=".",s_Irr!BH28="."),s_dir!AK28/((1/1000)*(s_Irr!J28)),IF(AND(s_Irr!J28=".",s_Irr!AI28=".",s_Irr!BH28="."),s_dir!AK28*1000)))))))),".")</f>
        <v>.</v>
      </c>
      <c r="BL28" s="70" t="str">
        <f>IFERROR(IF(AND(s_Irr!K28&lt;&gt;".",s_Irr!AJ28&lt;&gt;".",s_Irr!BI28&lt;&gt;"."),s_dir!AL28/((1/1000)*(s_Irr!K28+s_Irr!AJ28+s_Irr!BI28)),IF(AND(s_Irr!K28&lt;&gt;".",s_Irr!AJ28&lt;&gt;".",s_Irr!BI28="."),s_dir!AL28/((1/1000)*(s_Irr!K28+s_Irr!AJ28)),IF(AND(s_Irr!K28&lt;&gt;".",s_Irr!AJ28=".",s_Irr!BI28&lt;&gt;"."),s_dir!AL28/((1/1000)*(s_Irr!K28+s_Irr!BI28)),IF(AND(s_Irr!K28=".",s_Irr!AJ28&lt;&gt;".",s_Irr!BI28&lt;&gt;"."),s_dir!AL28/((1/1000)*(s_Irr!AJ28+s_Irr!BI28)),IF(AND(s_Irr!K28=".",s_Irr!AJ28=".",s_Irr!BI28&lt;&gt;"."),s_dir!AL28/((1/1000)*(s_Irr!BI28)),IF(AND(s_Irr!K28=".",s_Irr!AJ28&lt;&gt;".",s_Irr!BI28="."),s_dir!AL28/((1/1000)*(s_Irr!AJ28)),IF(AND(s_Irr!K28&lt;&gt;".",s_Irr!AJ28=".",s_Irr!BI28="."),s_dir!AL28/((1/1000)*(s_Irr!K28)),IF(AND(s_Irr!K28=".",s_Irr!AJ28=".",s_Irr!BI28="."),s_dir!AL28*1000)))))))),".")</f>
        <v>.</v>
      </c>
      <c r="BM28" s="70" t="str">
        <f>IFERROR(IF(AND(s_Irr!L28&lt;&gt;".",s_Irr!AK28&lt;&gt;".",s_Irr!BJ28&lt;&gt;"."),s_dir!AM28/((1/1000)*(s_Irr!L28+s_Irr!AK28+s_Irr!BJ28)),IF(AND(s_Irr!L28&lt;&gt;".",s_Irr!AK28&lt;&gt;".",s_Irr!BJ28="."),s_dir!AM28/((1/1000)*(s_Irr!L28+s_Irr!AK28)),IF(AND(s_Irr!L28&lt;&gt;".",s_Irr!AK28=".",s_Irr!BJ28&lt;&gt;"."),s_dir!AM28/((1/1000)*(s_Irr!L28+s_Irr!BJ28)),IF(AND(s_Irr!L28=".",s_Irr!AK28&lt;&gt;".",s_Irr!BJ28&lt;&gt;"."),s_dir!AM28/((1/1000)*(s_Irr!AK28+s_Irr!BJ28)),IF(AND(s_Irr!L28=".",s_Irr!AK28=".",s_Irr!BJ28&lt;&gt;"."),s_dir!AM28/((1/1000)*(s_Irr!BJ28)),IF(AND(s_Irr!L28=".",s_Irr!AK28&lt;&gt;".",s_Irr!BJ28="."),s_dir!AM28/((1/1000)*(s_Irr!AK28)),IF(AND(s_Irr!L28&lt;&gt;".",s_Irr!AK28=".",s_Irr!BJ28="."),s_dir!AM28/((1/1000)*(s_Irr!L28)),IF(AND(s_Irr!L28=".",s_Irr!AK28=".",s_Irr!BJ28="."),s_dir!AM28*1000)))))))),".")</f>
        <v>.</v>
      </c>
      <c r="BN28" s="70" t="str">
        <f>IFERROR(IF(AND(s_Irr!M28&lt;&gt;".",s_Irr!AL28&lt;&gt;".",s_Irr!BK28&lt;&gt;"."),s_dir!AN28/((1/1000)*(s_Irr!M28+s_Irr!AL28+s_Irr!BK28)),IF(AND(s_Irr!M28&lt;&gt;".",s_Irr!AL28&lt;&gt;".",s_Irr!BK28="."),s_dir!AN28/((1/1000)*(s_Irr!M28+s_Irr!AL28)),IF(AND(s_Irr!M28&lt;&gt;".",s_Irr!AL28=".",s_Irr!BK28&lt;&gt;"."),s_dir!AN28/((1/1000)*(s_Irr!M28+s_Irr!BK28)),IF(AND(s_Irr!M28=".",s_Irr!AL28&lt;&gt;".",s_Irr!BK28&lt;&gt;"."),s_dir!AN28/((1/1000)*(s_Irr!AL28+s_Irr!BK28)),IF(AND(s_Irr!M28=".",s_Irr!AL28=".",s_Irr!BK28&lt;&gt;"."),s_dir!AN28/((1/1000)*(s_Irr!BK28)),IF(AND(s_Irr!M28=".",s_Irr!AL28&lt;&gt;".",s_Irr!BK28="."),s_dir!AN28/((1/1000)*(s_Irr!AL28)),IF(AND(s_Irr!M28&lt;&gt;".",s_Irr!AL28=".",s_Irr!BK28="."),s_dir!AN28/((1/1000)*(s_Irr!M28)),IF(AND(s_Irr!M28=".",s_Irr!AL28=".",s_Irr!BK28="."),s_dir!AN28*1000)))))))),".")</f>
        <v>.</v>
      </c>
      <c r="BO28" s="70" t="str">
        <f>IFERROR(IF(AND(s_Irr!N28&lt;&gt;".",s_Irr!AM28&lt;&gt;".",s_Irr!BL28&lt;&gt;"."),s_dir!AO28/((1/1000)*(s_Irr!N28+s_Irr!AM28+s_Irr!BL28)),IF(AND(s_Irr!N28&lt;&gt;".",s_Irr!AM28&lt;&gt;".",s_Irr!BL28="."),s_dir!AO28/((1/1000)*(s_Irr!N28+s_Irr!AM28)),IF(AND(s_Irr!N28&lt;&gt;".",s_Irr!AM28=".",s_Irr!BL28&lt;&gt;"."),s_dir!AO28/((1/1000)*(s_Irr!N28+s_Irr!BL28)),IF(AND(s_Irr!N28=".",s_Irr!AM28&lt;&gt;".",s_Irr!BL28&lt;&gt;"."),s_dir!AO28/((1/1000)*(s_Irr!AM28+s_Irr!BL28)),IF(AND(s_Irr!N28=".",s_Irr!AM28=".",s_Irr!BL28&lt;&gt;"."),s_dir!AO28/((1/1000)*(s_Irr!BL28)),IF(AND(s_Irr!N28=".",s_Irr!AM28&lt;&gt;".",s_Irr!BL28="."),s_dir!AO28/((1/1000)*(s_Irr!AM28)),IF(AND(s_Irr!N28&lt;&gt;".",s_Irr!AM28=".",s_Irr!BL28="."),s_dir!AO28/((1/1000)*(s_Irr!N28)),IF(AND(s_Irr!N28=".",s_Irr!AM28=".",s_Irr!BL28="."),s_dir!AO28*1000)))))))),".")</f>
        <v>.</v>
      </c>
      <c r="BP28" s="70" t="str">
        <f>IFERROR(IF(AND(s_Irr!O28&lt;&gt;".",s_Irr!AN28&lt;&gt;".",s_Irr!BM28&lt;&gt;"."),s_dir!AP28/((1/1000)*(s_Irr!O28+s_Irr!AN28+s_Irr!BM28)),IF(AND(s_Irr!O28&lt;&gt;".",s_Irr!AN28&lt;&gt;".",s_Irr!BM28="."),s_dir!AP28/((1/1000)*(s_Irr!O28+s_Irr!AN28)),IF(AND(s_Irr!O28&lt;&gt;".",s_Irr!AN28=".",s_Irr!BM28&lt;&gt;"."),s_dir!AP28/((1/1000)*(s_Irr!O28+s_Irr!BM28)),IF(AND(s_Irr!O28=".",s_Irr!AN28&lt;&gt;".",s_Irr!BM28&lt;&gt;"."),s_dir!AP28/((1/1000)*(s_Irr!AN28+s_Irr!BM28)),IF(AND(s_Irr!O28=".",s_Irr!AN28=".",s_Irr!BM28&lt;&gt;"."),s_dir!AP28/((1/1000)*(s_Irr!BM28)),IF(AND(s_Irr!O28=".",s_Irr!AN28&lt;&gt;".",s_Irr!BM28="."),s_dir!AP28/((1/1000)*(s_Irr!AN28)),IF(AND(s_Irr!O28&lt;&gt;".",s_Irr!AN28=".",s_Irr!BM28="."),s_dir!AP28/((1/1000)*(s_Irr!O28)),IF(AND(s_Irr!O28=".",s_Irr!AN28=".",s_Irr!BM28="."),s_dir!AP28*1000)))))))),".")</f>
        <v>.</v>
      </c>
      <c r="BQ28" s="70" t="str">
        <f>IFERROR(IF(AND(s_Irr!P28&lt;&gt;".",s_Irr!AO28&lt;&gt;".",s_Irr!BN28&lt;&gt;"."),s_dir!AQ28/((1/1000)*(s_Irr!P28+s_Irr!AO28+s_Irr!BN28)),IF(AND(s_Irr!P28&lt;&gt;".",s_Irr!AO28&lt;&gt;".",s_Irr!BN28="."),s_dir!AQ28/((1/1000)*(s_Irr!P28+s_Irr!AO28)),IF(AND(s_Irr!P28&lt;&gt;".",s_Irr!AO28=".",s_Irr!BN28&lt;&gt;"."),s_dir!AQ28/((1/1000)*(s_Irr!P28+s_Irr!BN28)),IF(AND(s_Irr!P28=".",s_Irr!AO28&lt;&gt;".",s_Irr!BN28&lt;&gt;"."),s_dir!AQ28/((1/1000)*(s_Irr!AO28+s_Irr!BN28)),IF(AND(s_Irr!P28=".",s_Irr!AO28=".",s_Irr!BN28&lt;&gt;"."),s_dir!AQ28/((1/1000)*(s_Irr!BN28)),IF(AND(s_Irr!P28=".",s_Irr!AO28&lt;&gt;".",s_Irr!BN28="."),s_dir!AQ28/((1/1000)*(s_Irr!AO28)),IF(AND(s_Irr!P28&lt;&gt;".",s_Irr!AO28=".",s_Irr!BN28="."),s_dir!AQ28/((1/1000)*(s_Irr!P28)),IF(AND(s_Irr!P28=".",s_Irr!AO28=".",s_Irr!BN28="."),s_dir!AQ28*1000)))))))),".")</f>
        <v>.</v>
      </c>
      <c r="BR28" s="70" t="str">
        <f>IFERROR(IF(AND(s_Irr!Q28&lt;&gt;".",s_Irr!AP28&lt;&gt;".",s_Irr!BO28&lt;&gt;"."),s_dir!AR28/((1/1000)*(s_Irr!Q28+s_Irr!AP28+s_Irr!BO28)),IF(AND(s_Irr!Q28&lt;&gt;".",s_Irr!AP28&lt;&gt;".",s_Irr!BO28="."),s_dir!AR28/((1/1000)*(s_Irr!Q28+s_Irr!AP28)),IF(AND(s_Irr!Q28&lt;&gt;".",s_Irr!AP28=".",s_Irr!BO28&lt;&gt;"."),s_dir!AR28/((1/1000)*(s_Irr!Q28+s_Irr!BO28)),IF(AND(s_Irr!Q28=".",s_Irr!AP28&lt;&gt;".",s_Irr!BO28&lt;&gt;"."),s_dir!AR28/((1/1000)*(s_Irr!AP28+s_Irr!BO28)),IF(AND(s_Irr!Q28=".",s_Irr!AP28=".",s_Irr!BO28&lt;&gt;"."),s_dir!AR28/((1/1000)*(s_Irr!BO28)),IF(AND(s_Irr!Q28=".",s_Irr!AP28&lt;&gt;".",s_Irr!BO28="."),s_dir!AR28/((1/1000)*(s_Irr!AP28)),IF(AND(s_Irr!Q28&lt;&gt;".",s_Irr!AP28=".",s_Irr!BO28="."),s_dir!AR28/((1/1000)*(s_Irr!Q28)),IF(AND(s_Irr!Q28=".",s_Irr!AP28=".",s_Irr!BO28="."),s_dir!AR28*1000)))))))),".")</f>
        <v>.</v>
      </c>
      <c r="BS28" s="70" t="str">
        <f>IFERROR(IF(AND(s_Irr!R28&lt;&gt;".",s_Irr!AQ28&lt;&gt;".",s_Irr!BP28&lt;&gt;"."),s_dir!AS28/((1/1000)*(s_Irr!R28+s_Irr!AQ28+s_Irr!BP28)),IF(AND(s_Irr!R28&lt;&gt;".",s_Irr!AQ28&lt;&gt;".",s_Irr!BP28="."),s_dir!AS28/((1/1000)*(s_Irr!R28+s_Irr!AQ28)),IF(AND(s_Irr!R28&lt;&gt;".",s_Irr!AQ28=".",s_Irr!BP28&lt;&gt;"."),s_dir!AS28/((1/1000)*(s_Irr!R28+s_Irr!BP28)),IF(AND(s_Irr!R28=".",s_Irr!AQ28&lt;&gt;".",s_Irr!BP28&lt;&gt;"."),s_dir!AS28/((1/1000)*(s_Irr!AQ28+s_Irr!BP28)),IF(AND(s_Irr!R28=".",s_Irr!AQ28=".",s_Irr!BP28&lt;&gt;"."),s_dir!AS28/((1/1000)*(s_Irr!BP28)),IF(AND(s_Irr!R28=".",s_Irr!AQ28&lt;&gt;".",s_Irr!BP28="."),s_dir!AS28/((1/1000)*(s_Irr!AQ28)),IF(AND(s_Irr!R28&lt;&gt;".",s_Irr!AQ28=".",s_Irr!BP28="."),s_dir!AS28/((1/1000)*(s_Irr!R28)),IF(AND(s_Irr!R28=".",s_Irr!AQ28=".",s_Irr!BP28="."),s_dir!AS28*1000)))))))),".")</f>
        <v>.</v>
      </c>
      <c r="BT28" s="70" t="str">
        <f>IFERROR(IF(AND(s_Irr!S28&lt;&gt;".",s_Irr!AR28&lt;&gt;".",s_Irr!BQ28&lt;&gt;"."),s_dir!AT28/((1/1000)*(s_Irr!S28+s_Irr!AR28+s_Irr!BQ28)),IF(AND(s_Irr!S28&lt;&gt;".",s_Irr!AR28&lt;&gt;".",s_Irr!BQ28="."),s_dir!AT28/((1/1000)*(s_Irr!S28+s_Irr!AR28)),IF(AND(s_Irr!S28&lt;&gt;".",s_Irr!AR28=".",s_Irr!BQ28&lt;&gt;"."),s_dir!AT28/((1/1000)*(s_Irr!S28+s_Irr!BQ28)),IF(AND(s_Irr!S28=".",s_Irr!AR28&lt;&gt;".",s_Irr!BQ28&lt;&gt;"."),s_dir!AT28/((1/1000)*(s_Irr!AR28+s_Irr!BQ28)),IF(AND(s_Irr!S28=".",s_Irr!AR28=".",s_Irr!BQ28&lt;&gt;"."),s_dir!AT28/((1/1000)*(s_Irr!BQ28)),IF(AND(s_Irr!S28=".",s_Irr!AR28&lt;&gt;".",s_Irr!BQ28="."),s_dir!AT28/((1/1000)*(s_Irr!AR28)),IF(AND(s_Irr!S28&lt;&gt;".",s_Irr!AR28=".",s_Irr!BQ28="."),s_dir!AT28/((1/1000)*(s_Irr!S28)),IF(AND(s_Irr!S28=".",s_Irr!AR28=".",s_Irr!BQ28="."),s_dir!AT28*1000)))))))),".")</f>
        <v>.</v>
      </c>
      <c r="BU28" s="70" t="str">
        <f>IFERROR(IF(AND(s_Irr!T28&lt;&gt;".",s_Irr!AS28&lt;&gt;".",s_Irr!BR28&lt;&gt;"."),s_dir!AU28/((1/1000)*(s_Irr!T28+s_Irr!AS28+s_Irr!BR28)),IF(AND(s_Irr!T28&lt;&gt;".",s_Irr!AS28&lt;&gt;".",s_Irr!BR28="."),s_dir!AU28/((1/1000)*(s_Irr!T28+s_Irr!AS28)),IF(AND(s_Irr!T28&lt;&gt;".",s_Irr!AS28=".",s_Irr!BR28&lt;&gt;"."),s_dir!AU28/((1/1000)*(s_Irr!T28+s_Irr!BR28)),IF(AND(s_Irr!T28=".",s_Irr!AS28&lt;&gt;".",s_Irr!BR28&lt;&gt;"."),s_dir!AU28/((1/1000)*(s_Irr!AS28+s_Irr!BR28)),IF(AND(s_Irr!T28=".",s_Irr!AS28=".",s_Irr!BR28&lt;&gt;"."),s_dir!AU28/((1/1000)*(s_Irr!BR28)),IF(AND(s_Irr!T28=".",s_Irr!AS28&lt;&gt;".",s_Irr!BR28="."),s_dir!AU28/((1/1000)*(s_Irr!AS28)),IF(AND(s_Irr!T28&lt;&gt;".",s_Irr!AS28=".",s_Irr!BR28="."),s_dir!AU28/((1/1000)*(s_Irr!T28)),IF(AND(s_Irr!T28=".",s_Irr!AS28=".",s_Irr!BR28="."),s_dir!AU28*1000)))))))),".")</f>
        <v>.</v>
      </c>
      <c r="BV28" s="70" t="str">
        <f>IFERROR(IF(AND(s_Irr!U28&lt;&gt;".",s_Irr!AT28&lt;&gt;".",s_Irr!BS28&lt;&gt;"."),s_dir!AV28/((1/1000)*(s_Irr!U28+s_Irr!AT28+s_Irr!BS28)),IF(AND(s_Irr!U28&lt;&gt;".",s_Irr!AT28&lt;&gt;".",s_Irr!BS28="."),s_dir!AV28/((1/1000)*(s_Irr!U28+s_Irr!AT28)),IF(AND(s_Irr!U28&lt;&gt;".",s_Irr!AT28=".",s_Irr!BS28&lt;&gt;"."),s_dir!AV28/((1/1000)*(s_Irr!U28+s_Irr!BS28)),IF(AND(s_Irr!U28=".",s_Irr!AT28&lt;&gt;".",s_Irr!BS28&lt;&gt;"."),s_dir!AV28/((1/1000)*(s_Irr!AT28+s_Irr!BS28)),IF(AND(s_Irr!U28=".",s_Irr!AT28=".",s_Irr!BS28&lt;&gt;"."),s_dir!AV28/((1/1000)*(s_Irr!BS28)),IF(AND(s_Irr!U28=".",s_Irr!AT28&lt;&gt;".",s_Irr!BS28="."),s_dir!AV28/((1/1000)*(s_Irr!AT28)),IF(AND(s_Irr!U28&lt;&gt;".",s_Irr!AT28=".",s_Irr!BS28="."),s_dir!AV28/((1/1000)*(s_Irr!U28)),IF(AND(s_Irr!U28=".",s_Irr!AT28=".",s_Irr!BS28="."),s_dir!AV28*1000)))))))),".")</f>
        <v>.</v>
      </c>
      <c r="BW28" s="70" t="str">
        <f>IFERROR(IF(AND(s_Irr!V28&lt;&gt;".",s_Irr!AU28&lt;&gt;".",s_Irr!BT28&lt;&gt;"."),s_dir!AW28/((1/1000)*(s_Irr!V28+s_Irr!AU28+s_Irr!BT28)),IF(AND(s_Irr!V28&lt;&gt;".",s_Irr!AU28&lt;&gt;".",s_Irr!BT28="."),s_dir!AW28/((1/1000)*(s_Irr!V28+s_Irr!AU28)),IF(AND(s_Irr!V28&lt;&gt;".",s_Irr!AU28=".",s_Irr!BT28&lt;&gt;"."),s_dir!AW28/((1/1000)*(s_Irr!V28+s_Irr!BT28)),IF(AND(s_Irr!V28=".",s_Irr!AU28&lt;&gt;".",s_Irr!BT28&lt;&gt;"."),s_dir!AW28/((1/1000)*(s_Irr!AU28+s_Irr!BT28)),IF(AND(s_Irr!V28=".",s_Irr!AU28=".",s_Irr!BT28&lt;&gt;"."),s_dir!AW28/((1/1000)*(s_Irr!BT28)),IF(AND(s_Irr!V28=".",s_Irr!AU28&lt;&gt;".",s_Irr!BT28="."),s_dir!AW28/((1/1000)*(s_Irr!AU28)),IF(AND(s_Irr!V28&lt;&gt;".",s_Irr!AU28=".",s_Irr!BT28="."),s_dir!AW28/((1/1000)*(s_Irr!V28)),IF(AND(s_Irr!V28=".",s_Irr!AU28=".",s_Irr!BT28="."),s_dir!AW28*1000)))))))),".")</f>
        <v>.</v>
      </c>
      <c r="BX28" s="70" t="str">
        <f>IFERROR(IF(AND(s_Irr!W28&lt;&gt;".",s_Irr!AV28&lt;&gt;".",s_Irr!BU28&lt;&gt;"."),s_dir!AX28/((1/1000)*(s_Irr!W28+s_Irr!AV28+s_Irr!BU28)),IF(AND(s_Irr!W28&lt;&gt;".",s_Irr!AV28&lt;&gt;".",s_Irr!BU28="."),s_dir!AX28/((1/1000)*(s_Irr!W28+s_Irr!AV28)),IF(AND(s_Irr!W28&lt;&gt;".",s_Irr!AV28=".",s_Irr!BU28&lt;&gt;"."),s_dir!AX28/((1/1000)*(s_Irr!W28+s_Irr!BU28)),IF(AND(s_Irr!W28=".",s_Irr!AV28&lt;&gt;".",s_Irr!BU28&lt;&gt;"."),s_dir!AX28/((1/1000)*(s_Irr!AV28+s_Irr!BU28)),IF(AND(s_Irr!W28=".",s_Irr!AV28=".",s_Irr!BU28&lt;&gt;"."),s_dir!AX28/((1/1000)*(s_Irr!BU28)),IF(AND(s_Irr!W28=".",s_Irr!AV28&lt;&gt;".",s_Irr!BU28="."),s_dir!AX28/((1/1000)*(s_Irr!AV28)),IF(AND(s_Irr!W28&lt;&gt;".",s_Irr!AV28=".",s_Irr!BU28="."),s_dir!AX28/((1/1000)*(s_Irr!W28)),IF(AND(s_Irr!W28=".",s_Irr!AV28=".",s_Irr!BU28="."),s_dir!AX28*1000)))))))),".")</f>
        <v>.</v>
      </c>
      <c r="BY28" s="70" t="str">
        <f>IFERROR(IF(AND(s_Irr!X28&lt;&gt;".",s_Irr!AW28&lt;&gt;".",s_Irr!BV28&lt;&gt;"."),s_dir!AY28/((1/1000)*(s_Irr!X28+s_Irr!AW28+s_Irr!BV28)),IF(AND(s_Irr!X28&lt;&gt;".",s_Irr!AW28&lt;&gt;".",s_Irr!BV28="."),s_dir!AY28/((1/1000)*(s_Irr!X28+s_Irr!AW28)),IF(AND(s_Irr!X28&lt;&gt;".",s_Irr!AW28=".",s_Irr!BV28&lt;&gt;"."),s_dir!AY28/((1/1000)*(s_Irr!X28+s_Irr!BV28)),IF(AND(s_Irr!X28=".",s_Irr!AW28&lt;&gt;".",s_Irr!BV28&lt;&gt;"."),s_dir!AY28/((1/1000)*(s_Irr!AW28+s_Irr!BV28)),IF(AND(s_Irr!X28=".",s_Irr!AW28=".",s_Irr!BV28&lt;&gt;"."),s_dir!AY28/((1/1000)*(s_Irr!BV28)),IF(AND(s_Irr!X28=".",s_Irr!AW28&lt;&gt;".",s_Irr!BV28="."),s_dir!AY28/((1/1000)*(s_Irr!AW28)),IF(AND(s_Irr!X28&lt;&gt;".",s_Irr!AW28=".",s_Irr!BV28="."),s_dir!AY28/((1/1000)*(s_Irr!X28)),IF(AND(s_Irr!X28=".",s_Irr!AW28=".",s_Irr!BV28="."),s_dir!AY28*1000)))))))),".")</f>
        <v>.</v>
      </c>
      <c r="BZ28" s="70" t="str">
        <f>IFERROR(IF(AND(s_Irr!Y28&lt;&gt;".",s_Irr!AX28&lt;&gt;".",s_Irr!BW28&lt;&gt;"."),s_dir!AZ28/((1/1000)*(s_Irr!Y28+s_Irr!AX28+s_Irr!BW28)),IF(AND(s_Irr!Y28&lt;&gt;".",s_Irr!AX28&lt;&gt;".",s_Irr!BW28="."),s_dir!AZ28/((1/1000)*(s_Irr!Y28+s_Irr!AX28)),IF(AND(s_Irr!Y28&lt;&gt;".",s_Irr!AX28=".",s_Irr!BW28&lt;&gt;"."),s_dir!AZ28/((1/1000)*(s_Irr!Y28+s_Irr!BW28)),IF(AND(s_Irr!Y28=".",s_Irr!AX28&lt;&gt;".",s_Irr!BW28&lt;&gt;"."),s_dir!AZ28/((1/1000)*(s_Irr!AX28+s_Irr!BW28)),IF(AND(s_Irr!Y28=".",s_Irr!AX28=".",s_Irr!BW28&lt;&gt;"."),s_dir!AZ28/((1/1000)*(s_Irr!BW28)),IF(AND(s_Irr!Y28=".",s_Irr!AX28&lt;&gt;".",s_Irr!BW28="."),s_dir!AZ28/((1/1000)*(s_Irr!AX28)),IF(AND(s_Irr!Y28&lt;&gt;".",s_Irr!AX28=".",s_Irr!BW28="."),s_dir!AZ28/((1/1000)*(s_Irr!Y28)),IF(AND(s_Irr!Y28=".",s_Irr!AX28=".",s_Irr!BW28="."),s_dir!AZ28*1000)))))))),".")</f>
        <v>.</v>
      </c>
      <c r="CA28" s="70" t="str">
        <f>IFERROR(IF(AND(s_Irr!Z28&lt;&gt;".",s_Irr!AY28&lt;&gt;".",s_Irr!BX28&lt;&gt;"."),s_dir!BA28/((1/1000)*(s_Irr!Z28+s_Irr!AY28+s_Irr!BX28)),IF(AND(s_Irr!Z28&lt;&gt;".",s_Irr!AY28&lt;&gt;".",s_Irr!BX28="."),s_dir!BA28/((1/1000)*(s_Irr!Z28+s_Irr!AY28)),IF(AND(s_Irr!Z28&lt;&gt;".",s_Irr!AY28=".",s_Irr!BX28&lt;&gt;"."),s_dir!BA28/((1/1000)*(s_Irr!Z28+s_Irr!BX28)),IF(AND(s_Irr!Z28=".",s_Irr!AY28&lt;&gt;".",s_Irr!BX28&lt;&gt;"."),s_dir!BA28/((1/1000)*(s_Irr!AY28+s_Irr!BX28)),IF(AND(s_Irr!Z28=".",s_Irr!AY28=".",s_Irr!BX28&lt;&gt;"."),s_dir!BA28/((1/1000)*(s_Irr!BX28)),IF(AND(s_Irr!Z28=".",s_Irr!AY28&lt;&gt;".",s_Irr!BX28="."),s_dir!BA28/((1/1000)*(s_Irr!AY28)),IF(AND(s_Irr!Z28&lt;&gt;".",s_Irr!AY28=".",s_Irr!BX28="."),s_dir!BA28/((1/1000)*(s_Irr!Z28)),IF(AND(s_Irr!Z28=".",s_Irr!AY28=".",s_Irr!BX28="."),s_dir!BA28*1000)))))))),".")</f>
        <v>.</v>
      </c>
      <c r="CB28" s="70" t="str">
        <f>IFERROR(IF(AND(s_Irr!AA28&lt;&gt;".",s_Irr!AZ28&lt;&gt;".",s_Irr!BY28&lt;&gt;"."),s_dir!BB28/((1/1000)*(s_Irr!AA28+s_Irr!AZ28+s_Irr!BY28)),IF(AND(s_Irr!AA28&lt;&gt;".",s_Irr!AZ28&lt;&gt;".",s_Irr!BY28="."),s_dir!BB28/((1/1000)*(s_Irr!AA28+s_Irr!AZ28)),IF(AND(s_Irr!AA28&lt;&gt;".",s_Irr!AZ28=".",s_Irr!BY28&lt;&gt;"."),s_dir!BB28/((1/1000)*(s_Irr!AA28+s_Irr!BY28)),IF(AND(s_Irr!AA28=".",s_Irr!AZ28&lt;&gt;".",s_Irr!BY28&lt;&gt;"."),s_dir!BB28/((1/1000)*(s_Irr!AZ28+s_Irr!BY28)),IF(AND(s_Irr!AA28=".",s_Irr!AZ28=".",s_Irr!BY28&lt;&gt;"."),s_dir!BB28/((1/1000)*(s_Irr!BY28)),IF(AND(s_Irr!AA28=".",s_Irr!AZ28&lt;&gt;".",s_Irr!BY28="."),s_dir!BB28/((1/1000)*(s_Irr!AZ28)),IF(AND(s_Irr!AA28&lt;&gt;".",s_Irr!AZ28=".",s_Irr!BY28="."),s_dir!BB28/((1/1000)*(s_Irr!AA28)),IF(AND(s_Irr!AA28=".",s_Irr!AZ28=".",s_Irr!BY28="."),s_dir!BB28*1000)))))))),".")</f>
        <v>.</v>
      </c>
      <c r="CC28" s="87">
        <f t="shared" si="2"/>
        <v>656.8877799109207</v>
      </c>
      <c r="CD28" s="87">
        <f>IFERROR(s_C*s_IFAP_far_adj*s_CF_apple*(1/1000)*(s_Irr!C28+s_Irr!AB28+s_Irr!BA28),".")</f>
        <v>88.577324247385889</v>
      </c>
      <c r="CE28" s="87">
        <f>IFERROR(s_C*s_IFAS_far_adj*s_CF_asparagus*(1/1000)*(s_Irr!D28+s_Irr!AC28+s_Irr!BB28),".")</f>
        <v>89.65924969287353</v>
      </c>
      <c r="CF28" s="87">
        <f>IFERROR(s_C*s_IFBT_far_adj*s_CF_beet*(1/1000)*(s_Irr!E28+s_Irr!AD28+s_Irr!BC28),".")</f>
        <v>88.577324247385889</v>
      </c>
      <c r="CG28" s="87">
        <f>IFERROR(s_C*s_IFBE_far_adj*s_CF_berries*(1/1000)*(s_Irr!F28+s_Irr!AE28+s_Irr!BD28),".")</f>
        <v>88.577324247385889</v>
      </c>
      <c r="CH28" s="87">
        <f>IFERROR(s_C*s_IFBR_far_adj*s_CF_broccoli*(1/1000)*(s_Irr!G28+s_Irr!AF28+s_Irr!BE28),".")</f>
        <v>89.65924969287353</v>
      </c>
      <c r="CI28" s="87">
        <f>IFERROR(s_C*s_IFCB_far_adj*s_CF_cabbage*(1/1000)*(s_Irr!H28+s_Irr!AG28+s_Irr!BF28),".")</f>
        <v>89.65924969287353</v>
      </c>
      <c r="CJ28" s="87">
        <f>IFERROR(s_C*s_IFCR_far_adj*s_CF_carrot*(1/1000)*(s_Irr!I28+s_Irr!AH28+s_Irr!BG28),".")</f>
        <v>88.577324247385889</v>
      </c>
      <c r="CK28" s="87">
        <f>IFERROR(s_C*s_IFCI_far_adj*s_CF_citrus*(1/1000)*(s_Irr!J28+s_Irr!AI28+s_Irr!BH28),".")</f>
        <v>88.577324247385889</v>
      </c>
      <c r="CL28" s="87">
        <f>IFERROR(s_C*s_IFCO_far_adj*s_CF_corn*(1/1000)*(s_Irr!K28+s_Irr!AJ28+s_Irr!BI28),".")</f>
        <v>89.65924969287353</v>
      </c>
      <c r="CM28" s="87">
        <f>IFERROR(s_C*s_IFCU_far_adj*s_CF_cucumber*(1/1000)*(s_Irr!L28+s_Irr!AK28+s_Irr!BJ28),".")</f>
        <v>89.65924969287353</v>
      </c>
      <c r="CN28" s="87">
        <f>IFERROR(s_C*s_IFLE_far_adj*s_CF_lettuce*(1/1000)*(s_Irr!M28+s_Irr!AL28+s_Irr!BK28),".")</f>
        <v>89.65924969287353</v>
      </c>
      <c r="CO28" s="87">
        <f>IFERROR(s_C*s_IFLI_far_adj*s_CF_lima_bean*(1/1000)*(s_Irr!N28+s_Irr!AM28+s_Irr!BL28),".")</f>
        <v>89.65924969287353</v>
      </c>
      <c r="CP28" s="87">
        <f>IFERROR(s_C*s_IFOK_far_adj*s_CF_okra*(1/1000)*(s_Irr!O28+s_Irr!AN28+s_Irr!BM28),".")</f>
        <v>89.65924969287353</v>
      </c>
      <c r="CQ28" s="87">
        <f>IFERROR(s_C*s_IFON_far_adj*s_CF_onion*(1/1000)*(s_Irr!P28+s_Irr!AO28+s_Irr!BN28),".")</f>
        <v>88.577324247385889</v>
      </c>
      <c r="CR28" s="87">
        <f>IFERROR(s_C*s_IFPC_far_adj*s_CF_peach*(1/1000)*(s_Irr!Q28+s_Irr!AP28+s_Irr!BO28),".")</f>
        <v>88.577324247385889</v>
      </c>
      <c r="CS28" s="87">
        <f>IFERROR(s_C*s_IFPR_far_adj*s_CF_pear*(1/1000)*(s_Irr!R28+s_Irr!AQ28+s_Irr!BP28),".")</f>
        <v>88.577324247385889</v>
      </c>
      <c r="CT28" s="87">
        <f>IFERROR(s_C*s_IFPE_far_adj*s_CF_peas*(1/1000)*(s_Irr!S28+s_Irr!AR28+s_Irr!BQ28),".")</f>
        <v>89.65924969287353</v>
      </c>
      <c r="CU28" s="87">
        <f>IFERROR(s_C*s_IFPP_far_adj*s_CF_peppers*(1/1000)*(s_Irr!T28+s_Irr!AS28+s_Irr!BR28),".")</f>
        <v>89.65924969287353</v>
      </c>
      <c r="CV28" s="87">
        <f>IFERROR(s_C*s_IFPT_far_adj*s_CF_potato*(1/1000)*(s_Irr!U28+s_Irr!AT28+s_Irr!BS28),".")</f>
        <v>88.577324247385889</v>
      </c>
      <c r="CW28" s="87">
        <f>IFERROR(s_C*s_IFPU_far_adj*s_CF_pumpkin*(1/1000)*(s_Irr!V28+s_Irr!AU28+s_Irr!BT28),".")</f>
        <v>89.65924969287353</v>
      </c>
      <c r="CX28" s="87">
        <f>IFERROR(s_C*s_IFSN_far_adj*s_CF_snap_bean*(1/1000)*(s_Irr!W28+s_Irr!AV28+s_Irr!BU28),".")</f>
        <v>89.65924969287353</v>
      </c>
      <c r="CY28" s="87">
        <f>IFERROR(s_C*s_IFST_far_adj*s_CF_strawberry*(1/1000)*(s_Irr!X28+s_Irr!AW28+s_Irr!BV28),".")</f>
        <v>88.577324247385889</v>
      </c>
      <c r="CZ28" s="87">
        <f>IFERROR(s_C*s_IFTO_far_adj*s_CF_tomato*(1/1000)*(s_Irr!Y28+s_Irr!AX28+s_Irr!BW28),".")</f>
        <v>89.65924969287353</v>
      </c>
      <c r="DA28" s="87">
        <f>IFERROR(s_C*s_IFRI_far_adj*s_CF_rice*(1/1000)*(s_Irr!Z28+s_Irr!AY28+s_Irr!BX28),".")</f>
        <v>388.99195627778778</v>
      </c>
      <c r="DB28" s="87">
        <f>IFERROR(s_C*s_IFCG_far_adj*s_CF_cereal*(1/1000)*(s_Irr!AA28+s_Irr!AZ28+s_Irr!BY28),".")</f>
        <v>89.65924969287353</v>
      </c>
    </row>
    <row r="29" spans="1:106" ht="15" customHeight="1" x14ac:dyDescent="0.25">
      <c r="A29" s="86" t="s">
        <v>27</v>
      </c>
      <c r="B29" s="84" t="s">
        <v>1057</v>
      </c>
      <c r="C29" s="15" t="str">
        <f t="shared" si="3"/>
        <v>.</v>
      </c>
      <c r="D29" s="70" t="str">
        <f>IFERROR(IF(AND(s_Irr!C29&lt;&gt;".",s_Irr!AB29&lt;&gt;".",s_Irr!BA29&lt;&gt;"."),s_dir!D29/((1/1000)*(s_Irr!C29+s_Irr!AB29+s_Irr!BA29)),IF(AND(s_Irr!C29&lt;&gt;".",s_Irr!AB29&lt;&gt;".",s_Irr!BA29="."),s_dir!D29/((1/1000)*(s_Irr!C29+s_Irr!AB29)),IF(AND(s_Irr!C29&lt;&gt;".",s_Irr!AB29=".",s_Irr!BA29&lt;&gt;"."),s_dir!D29/((1/1000)*(s_Irr!C29+s_Irr!BA29)),IF(AND(s_Irr!C29=".",s_Irr!AB29&lt;&gt;".",s_Irr!BA29&lt;&gt;"."),s_dir!D29/((1/1000)*(s_Irr!AB29+s_Irr!BA29)),IF(AND(s_Irr!C29=".",s_Irr!AB29=".",s_Irr!BA29&lt;&gt;"."),s_dir!D29/((1/1000)*(s_Irr!BA29)),IF(AND(s_Irr!C29=".",s_Irr!AB29&lt;&gt;".",s_Irr!BA29="."),s_dir!D29/((1/1000)*(s_Irr!AB29)),IF(AND(s_Irr!C29&lt;&gt;".",s_Irr!AB29=".",s_Irr!BA29="."),s_dir!D29/((1/1000)*(s_Irr!C29)),IF(AND(s_Irr!C29=".",s_Irr!AB29=".",s_Irr!BA29="."),s_dir!D29*1000)))))))),".")</f>
        <v>.</v>
      </c>
      <c r="E29" s="70" t="str">
        <f>IFERROR(IF(AND(s_Irr!D29&lt;&gt;".",s_Irr!AC29&lt;&gt;".",s_Irr!BB29&lt;&gt;"."),s_dir!E29/((1/1000)*(s_Irr!D29+s_Irr!AC29+s_Irr!BB29)),IF(AND(s_Irr!D29&lt;&gt;".",s_Irr!AC29&lt;&gt;".",s_Irr!BB29="."),s_dir!E29/((1/1000)*(s_Irr!D29+s_Irr!AC29)),IF(AND(s_Irr!D29&lt;&gt;".",s_Irr!AC29=".",s_Irr!BB29&lt;&gt;"."),s_dir!E29/((1/1000)*(s_Irr!D29+s_Irr!BB29)),IF(AND(s_Irr!D29=".",s_Irr!AC29&lt;&gt;".",s_Irr!BB29&lt;&gt;"."),s_dir!E29/((1/1000)*(s_Irr!AC29+s_Irr!BB29)),IF(AND(s_Irr!D29=".",s_Irr!AC29=".",s_Irr!BB29&lt;&gt;"."),s_dir!E29/((1/1000)*(s_Irr!BB29)),IF(AND(s_Irr!D29=".",s_Irr!AC29&lt;&gt;".",s_Irr!BB29="."),s_dir!E29/((1/1000)*(s_Irr!AC29)),IF(AND(s_Irr!D29&lt;&gt;".",s_Irr!AC29=".",s_Irr!BB29="."),s_dir!E29/((1/1000)*(s_Irr!D29)),IF(AND(s_Irr!D29=".",s_Irr!AC29=".",s_Irr!BB29="."),s_dir!E29*1000)))))))),".")</f>
        <v>.</v>
      </c>
      <c r="F29" s="70" t="str">
        <f>IFERROR(IF(AND(s_Irr!E29&lt;&gt;".",s_Irr!AD29&lt;&gt;".",s_Irr!BC29&lt;&gt;"."),s_dir!F29/((1/1000)*(s_Irr!E29+s_Irr!AD29+s_Irr!BC29)),IF(AND(s_Irr!E29&lt;&gt;".",s_Irr!AD29&lt;&gt;".",s_Irr!BC29="."),s_dir!F29/((1/1000)*(s_Irr!E29+s_Irr!AD29)),IF(AND(s_Irr!E29&lt;&gt;".",s_Irr!AD29=".",s_Irr!BC29&lt;&gt;"."),s_dir!F29/((1/1000)*(s_Irr!E29+s_Irr!BC29)),IF(AND(s_Irr!E29=".",s_Irr!AD29&lt;&gt;".",s_Irr!BC29&lt;&gt;"."),s_dir!F29/((1/1000)*(s_Irr!AD29+s_Irr!BC29)),IF(AND(s_Irr!E29=".",s_Irr!AD29=".",s_Irr!BC29&lt;&gt;"."),s_dir!F29/((1/1000)*(s_Irr!BC29)),IF(AND(s_Irr!E29=".",s_Irr!AD29&lt;&gt;".",s_Irr!BC29="."),s_dir!F29/((1/1000)*(s_Irr!AD29)),IF(AND(s_Irr!E29&lt;&gt;".",s_Irr!AD29=".",s_Irr!BC29="."),s_dir!F29/((1/1000)*(s_Irr!E29)),IF(AND(s_Irr!E29=".",s_Irr!AD29=".",s_Irr!BC29="."),s_dir!F29*1000)))))))),".")</f>
        <v>.</v>
      </c>
      <c r="G29" s="70" t="str">
        <f>IFERROR(IF(AND(s_Irr!F29&lt;&gt;".",s_Irr!AE29&lt;&gt;".",s_Irr!BD29&lt;&gt;"."),s_dir!G29/((1/1000)*(s_Irr!F29+s_Irr!AE29+s_Irr!BD29)),IF(AND(s_Irr!F29&lt;&gt;".",s_Irr!AE29&lt;&gt;".",s_Irr!BD29="."),s_dir!G29/((1/1000)*(s_Irr!F29+s_Irr!AE29)),IF(AND(s_Irr!F29&lt;&gt;".",s_Irr!AE29=".",s_Irr!BD29&lt;&gt;"."),s_dir!G29/((1/1000)*(s_Irr!F29+s_Irr!BD29)),IF(AND(s_Irr!F29=".",s_Irr!AE29&lt;&gt;".",s_Irr!BD29&lt;&gt;"."),s_dir!G29/((1/1000)*(s_Irr!AE29+s_Irr!BD29)),IF(AND(s_Irr!F29=".",s_Irr!AE29=".",s_Irr!BD29&lt;&gt;"."),s_dir!G29/((1/1000)*(s_Irr!BD29)),IF(AND(s_Irr!F29=".",s_Irr!AE29&lt;&gt;".",s_Irr!BD29="."),s_dir!G29/((1/1000)*(s_Irr!AE29)),IF(AND(s_Irr!F29&lt;&gt;".",s_Irr!AE29=".",s_Irr!BD29="."),s_dir!G29/((1/1000)*(s_Irr!F29)),IF(AND(s_Irr!F29=".",s_Irr!AE29=".",s_Irr!BD29="."),s_dir!G29*1000)))))))),".")</f>
        <v>.</v>
      </c>
      <c r="H29" s="70" t="str">
        <f>IFERROR(IF(AND(s_Irr!G29&lt;&gt;".",s_Irr!AF29&lt;&gt;".",s_Irr!BE29&lt;&gt;"."),s_dir!H29/((1/1000)*(s_Irr!G29+s_Irr!AF29+s_Irr!BE29)),IF(AND(s_Irr!G29&lt;&gt;".",s_Irr!AF29&lt;&gt;".",s_Irr!BE29="."),s_dir!H29/((1/1000)*(s_Irr!G29+s_Irr!AF29)),IF(AND(s_Irr!G29&lt;&gt;".",s_Irr!AF29=".",s_Irr!BE29&lt;&gt;"."),s_dir!H29/((1/1000)*(s_Irr!G29+s_Irr!BE29)),IF(AND(s_Irr!G29=".",s_Irr!AF29&lt;&gt;".",s_Irr!BE29&lt;&gt;"."),s_dir!H29/((1/1000)*(s_Irr!AF29+s_Irr!BE29)),IF(AND(s_Irr!G29=".",s_Irr!AF29=".",s_Irr!BE29&lt;&gt;"."),s_dir!H29/((1/1000)*(s_Irr!BE29)),IF(AND(s_Irr!G29=".",s_Irr!AF29&lt;&gt;".",s_Irr!BE29="."),s_dir!H29/((1/1000)*(s_Irr!AF29)),IF(AND(s_Irr!G29&lt;&gt;".",s_Irr!AF29=".",s_Irr!BE29="."),s_dir!H29/((1/1000)*(s_Irr!G29)),IF(AND(s_Irr!G29=".",s_Irr!AF29=".",s_Irr!BE29="."),s_dir!H29*1000)))))))),".")</f>
        <v>.</v>
      </c>
      <c r="I29" s="70" t="str">
        <f>IFERROR(IF(AND(s_Irr!H29&lt;&gt;".",s_Irr!AG29&lt;&gt;".",s_Irr!BF29&lt;&gt;"."),s_dir!I29/((1/1000)*(s_Irr!H29+s_Irr!AG29+s_Irr!BF29)),IF(AND(s_Irr!H29&lt;&gt;".",s_Irr!AG29&lt;&gt;".",s_Irr!BF29="."),s_dir!I29/((1/1000)*(s_Irr!H29+s_Irr!AG29)),IF(AND(s_Irr!H29&lt;&gt;".",s_Irr!AG29=".",s_Irr!BF29&lt;&gt;"."),s_dir!I29/((1/1000)*(s_Irr!H29+s_Irr!BF29)),IF(AND(s_Irr!H29=".",s_Irr!AG29&lt;&gt;".",s_Irr!BF29&lt;&gt;"."),s_dir!I29/((1/1000)*(s_Irr!AG29+s_Irr!BF29)),IF(AND(s_Irr!H29=".",s_Irr!AG29=".",s_Irr!BF29&lt;&gt;"."),s_dir!I29/((1/1000)*(s_Irr!BF29)),IF(AND(s_Irr!H29=".",s_Irr!AG29&lt;&gt;".",s_Irr!BF29="."),s_dir!I29/((1/1000)*(s_Irr!AG29)),IF(AND(s_Irr!H29&lt;&gt;".",s_Irr!AG29=".",s_Irr!BF29="."),s_dir!I29/((1/1000)*(s_Irr!H29)),IF(AND(s_Irr!H29=".",s_Irr!AG29=".",s_Irr!BF29="."),s_dir!I29*1000)))))))),".")</f>
        <v>.</v>
      </c>
      <c r="J29" s="70" t="str">
        <f>IFERROR(IF(AND(s_Irr!I29&lt;&gt;".",s_Irr!AH29&lt;&gt;".",s_Irr!BG29&lt;&gt;"."),s_dir!J29/((1/1000)*(s_Irr!I29+s_Irr!AH29+s_Irr!BG29)),IF(AND(s_Irr!I29&lt;&gt;".",s_Irr!AH29&lt;&gt;".",s_Irr!BG29="."),s_dir!J29/((1/1000)*(s_Irr!I29+s_Irr!AH29)),IF(AND(s_Irr!I29&lt;&gt;".",s_Irr!AH29=".",s_Irr!BG29&lt;&gt;"."),s_dir!J29/((1/1000)*(s_Irr!I29+s_Irr!BG29)),IF(AND(s_Irr!I29=".",s_Irr!AH29&lt;&gt;".",s_Irr!BG29&lt;&gt;"."),s_dir!J29/((1/1000)*(s_Irr!AH29+s_Irr!BG29)),IF(AND(s_Irr!I29=".",s_Irr!AH29=".",s_Irr!BG29&lt;&gt;"."),s_dir!J29/((1/1000)*(s_Irr!BG29)),IF(AND(s_Irr!I29=".",s_Irr!AH29&lt;&gt;".",s_Irr!BG29="."),s_dir!J29/((1/1000)*(s_Irr!AH29)),IF(AND(s_Irr!I29&lt;&gt;".",s_Irr!AH29=".",s_Irr!BG29="."),s_dir!J29/((1/1000)*(s_Irr!I29)),IF(AND(s_Irr!I29=".",s_Irr!AH29=".",s_Irr!BG29="."),s_dir!J29*1000)))))))),".")</f>
        <v>.</v>
      </c>
      <c r="K29" s="70" t="str">
        <f>IFERROR(IF(AND(s_Irr!J29&lt;&gt;".",s_Irr!AI29&lt;&gt;".",s_Irr!BH29&lt;&gt;"."),s_dir!K29/((1/1000)*(s_Irr!J29+s_Irr!AI29+s_Irr!BH29)),IF(AND(s_Irr!J29&lt;&gt;".",s_Irr!AI29&lt;&gt;".",s_Irr!BH29="."),s_dir!K29/((1/1000)*(s_Irr!J29+s_Irr!AI29)),IF(AND(s_Irr!J29&lt;&gt;".",s_Irr!AI29=".",s_Irr!BH29&lt;&gt;"."),s_dir!K29/((1/1000)*(s_Irr!J29+s_Irr!BH29)),IF(AND(s_Irr!J29=".",s_Irr!AI29&lt;&gt;".",s_Irr!BH29&lt;&gt;"."),s_dir!K29/((1/1000)*(s_Irr!AI29+s_Irr!BH29)),IF(AND(s_Irr!J29=".",s_Irr!AI29=".",s_Irr!BH29&lt;&gt;"."),s_dir!K29/((1/1000)*(s_Irr!BH29)),IF(AND(s_Irr!J29=".",s_Irr!AI29&lt;&gt;".",s_Irr!BH29="."),s_dir!K29/((1/1000)*(s_Irr!AI29)),IF(AND(s_Irr!J29&lt;&gt;".",s_Irr!AI29=".",s_Irr!BH29="."),s_dir!K29/((1/1000)*(s_Irr!J29)),IF(AND(s_Irr!J29=".",s_Irr!AI29=".",s_Irr!BH29="."),s_dir!K29*1000)))))))),".")</f>
        <v>.</v>
      </c>
      <c r="L29" s="70" t="str">
        <f>IFERROR(IF(AND(s_Irr!K29&lt;&gt;".",s_Irr!AJ29&lt;&gt;".",s_Irr!BI29&lt;&gt;"."),s_dir!L29/((1/1000)*(s_Irr!K29+s_Irr!AJ29+s_Irr!BI29)),IF(AND(s_Irr!K29&lt;&gt;".",s_Irr!AJ29&lt;&gt;".",s_Irr!BI29="."),s_dir!L29/((1/1000)*(s_Irr!K29+s_Irr!AJ29)),IF(AND(s_Irr!K29&lt;&gt;".",s_Irr!AJ29=".",s_Irr!BI29&lt;&gt;"."),s_dir!L29/((1/1000)*(s_Irr!K29+s_Irr!BI29)),IF(AND(s_Irr!K29=".",s_Irr!AJ29&lt;&gt;".",s_Irr!BI29&lt;&gt;"."),s_dir!L29/((1/1000)*(s_Irr!AJ29+s_Irr!BI29)),IF(AND(s_Irr!K29=".",s_Irr!AJ29=".",s_Irr!BI29&lt;&gt;"."),s_dir!L29/((1/1000)*(s_Irr!BI29)),IF(AND(s_Irr!K29=".",s_Irr!AJ29&lt;&gt;".",s_Irr!BI29="."),s_dir!L29/((1/1000)*(s_Irr!AJ29)),IF(AND(s_Irr!K29&lt;&gt;".",s_Irr!AJ29=".",s_Irr!BI29="."),s_dir!L29/((1/1000)*(s_Irr!K29)),IF(AND(s_Irr!K29=".",s_Irr!AJ29=".",s_Irr!BI29="."),s_dir!L29*1000)))))))),".")</f>
        <v>.</v>
      </c>
      <c r="M29" s="70" t="str">
        <f>IFERROR(IF(AND(s_Irr!L29&lt;&gt;".",s_Irr!AK29&lt;&gt;".",s_Irr!BJ29&lt;&gt;"."),s_dir!M29/((1/1000)*(s_Irr!L29+s_Irr!AK29+s_Irr!BJ29)),IF(AND(s_Irr!L29&lt;&gt;".",s_Irr!AK29&lt;&gt;".",s_Irr!BJ29="."),s_dir!M29/((1/1000)*(s_Irr!L29+s_Irr!AK29)),IF(AND(s_Irr!L29&lt;&gt;".",s_Irr!AK29=".",s_Irr!BJ29&lt;&gt;"."),s_dir!M29/((1/1000)*(s_Irr!L29+s_Irr!BJ29)),IF(AND(s_Irr!L29=".",s_Irr!AK29&lt;&gt;".",s_Irr!BJ29&lt;&gt;"."),s_dir!M29/((1/1000)*(s_Irr!AK29+s_Irr!BJ29)),IF(AND(s_Irr!L29=".",s_Irr!AK29=".",s_Irr!BJ29&lt;&gt;"."),s_dir!M29/((1/1000)*(s_Irr!BJ29)),IF(AND(s_Irr!L29=".",s_Irr!AK29&lt;&gt;".",s_Irr!BJ29="."),s_dir!M29/((1/1000)*(s_Irr!AK29)),IF(AND(s_Irr!L29&lt;&gt;".",s_Irr!AK29=".",s_Irr!BJ29="."),s_dir!M29/((1/1000)*(s_Irr!L29)),IF(AND(s_Irr!L29=".",s_Irr!AK29=".",s_Irr!BJ29="."),s_dir!M29*1000)))))))),".")</f>
        <v>.</v>
      </c>
      <c r="N29" s="70" t="str">
        <f>IFERROR(IF(AND(s_Irr!M29&lt;&gt;".",s_Irr!AL29&lt;&gt;".",s_Irr!BK29&lt;&gt;"."),s_dir!N29/((1/1000)*(s_Irr!M29+s_Irr!AL29+s_Irr!BK29)),IF(AND(s_Irr!M29&lt;&gt;".",s_Irr!AL29&lt;&gt;".",s_Irr!BK29="."),s_dir!N29/((1/1000)*(s_Irr!M29+s_Irr!AL29)),IF(AND(s_Irr!M29&lt;&gt;".",s_Irr!AL29=".",s_Irr!BK29&lt;&gt;"."),s_dir!N29/((1/1000)*(s_Irr!M29+s_Irr!BK29)),IF(AND(s_Irr!M29=".",s_Irr!AL29&lt;&gt;".",s_Irr!BK29&lt;&gt;"."),s_dir!N29/((1/1000)*(s_Irr!AL29+s_Irr!BK29)),IF(AND(s_Irr!M29=".",s_Irr!AL29=".",s_Irr!BK29&lt;&gt;"."),s_dir!N29/((1/1000)*(s_Irr!BK29)),IF(AND(s_Irr!M29=".",s_Irr!AL29&lt;&gt;".",s_Irr!BK29="."),s_dir!N29/((1/1000)*(s_Irr!AL29)),IF(AND(s_Irr!M29&lt;&gt;".",s_Irr!AL29=".",s_Irr!BK29="."),s_dir!N29/((1/1000)*(s_Irr!M29)),IF(AND(s_Irr!M29=".",s_Irr!AL29=".",s_Irr!BK29="."),s_dir!N29*1000)))))))),".")</f>
        <v>.</v>
      </c>
      <c r="O29" s="70" t="str">
        <f>IFERROR(IF(AND(s_Irr!N29&lt;&gt;".",s_Irr!AM29&lt;&gt;".",s_Irr!BL29&lt;&gt;"."),s_dir!O29/((1/1000)*(s_Irr!N29+s_Irr!AM29+s_Irr!BL29)),IF(AND(s_Irr!N29&lt;&gt;".",s_Irr!AM29&lt;&gt;".",s_Irr!BL29="."),s_dir!O29/((1/1000)*(s_Irr!N29+s_Irr!AM29)),IF(AND(s_Irr!N29&lt;&gt;".",s_Irr!AM29=".",s_Irr!BL29&lt;&gt;"."),s_dir!O29/((1/1000)*(s_Irr!N29+s_Irr!BL29)),IF(AND(s_Irr!N29=".",s_Irr!AM29&lt;&gt;".",s_Irr!BL29&lt;&gt;"."),s_dir!O29/((1/1000)*(s_Irr!AM29+s_Irr!BL29)),IF(AND(s_Irr!N29=".",s_Irr!AM29=".",s_Irr!BL29&lt;&gt;"."),s_dir!O29/((1/1000)*(s_Irr!BL29)),IF(AND(s_Irr!N29=".",s_Irr!AM29&lt;&gt;".",s_Irr!BL29="."),s_dir!O29/((1/1000)*(s_Irr!AM29)),IF(AND(s_Irr!N29&lt;&gt;".",s_Irr!AM29=".",s_Irr!BL29="."),s_dir!O29/((1/1000)*(s_Irr!N29)),IF(AND(s_Irr!N29=".",s_Irr!AM29=".",s_Irr!BL29="."),s_dir!O29*1000)))))))),".")</f>
        <v>.</v>
      </c>
      <c r="P29" s="70" t="str">
        <f>IFERROR(IF(AND(s_Irr!O29&lt;&gt;".",s_Irr!AN29&lt;&gt;".",s_Irr!BM29&lt;&gt;"."),s_dir!P29/((1/1000)*(s_Irr!O29+s_Irr!AN29+s_Irr!BM29)),IF(AND(s_Irr!O29&lt;&gt;".",s_Irr!AN29&lt;&gt;".",s_Irr!BM29="."),s_dir!P29/((1/1000)*(s_Irr!O29+s_Irr!AN29)),IF(AND(s_Irr!O29&lt;&gt;".",s_Irr!AN29=".",s_Irr!BM29&lt;&gt;"."),s_dir!P29/((1/1000)*(s_Irr!O29+s_Irr!BM29)),IF(AND(s_Irr!O29=".",s_Irr!AN29&lt;&gt;".",s_Irr!BM29&lt;&gt;"."),s_dir!P29/((1/1000)*(s_Irr!AN29+s_Irr!BM29)),IF(AND(s_Irr!O29=".",s_Irr!AN29=".",s_Irr!BM29&lt;&gt;"."),s_dir!P29/((1/1000)*(s_Irr!BM29)),IF(AND(s_Irr!O29=".",s_Irr!AN29&lt;&gt;".",s_Irr!BM29="."),s_dir!P29/((1/1000)*(s_Irr!AN29)),IF(AND(s_Irr!O29&lt;&gt;".",s_Irr!AN29=".",s_Irr!BM29="."),s_dir!P29/((1/1000)*(s_Irr!O29)),IF(AND(s_Irr!O29=".",s_Irr!AN29=".",s_Irr!BM29="."),s_dir!P29*1000)))))))),".")</f>
        <v>.</v>
      </c>
      <c r="Q29" s="70" t="str">
        <f>IFERROR(IF(AND(s_Irr!P29&lt;&gt;".",s_Irr!AO29&lt;&gt;".",s_Irr!BN29&lt;&gt;"."),s_dir!Q29/((1/1000)*(s_Irr!P29+s_Irr!AO29+s_Irr!BN29)),IF(AND(s_Irr!P29&lt;&gt;".",s_Irr!AO29&lt;&gt;".",s_Irr!BN29="."),s_dir!Q29/((1/1000)*(s_Irr!P29+s_Irr!AO29)),IF(AND(s_Irr!P29&lt;&gt;".",s_Irr!AO29=".",s_Irr!BN29&lt;&gt;"."),s_dir!Q29/((1/1000)*(s_Irr!P29+s_Irr!BN29)),IF(AND(s_Irr!P29=".",s_Irr!AO29&lt;&gt;".",s_Irr!BN29&lt;&gt;"."),s_dir!Q29/((1/1000)*(s_Irr!AO29+s_Irr!BN29)),IF(AND(s_Irr!P29=".",s_Irr!AO29=".",s_Irr!BN29&lt;&gt;"."),s_dir!Q29/((1/1000)*(s_Irr!BN29)),IF(AND(s_Irr!P29=".",s_Irr!AO29&lt;&gt;".",s_Irr!BN29="."),s_dir!Q29/((1/1000)*(s_Irr!AO29)),IF(AND(s_Irr!P29&lt;&gt;".",s_Irr!AO29=".",s_Irr!BN29="."),s_dir!Q29/((1/1000)*(s_Irr!P29)),IF(AND(s_Irr!P29=".",s_Irr!AO29=".",s_Irr!BN29="."),s_dir!Q29*1000)))))))),".")</f>
        <v>.</v>
      </c>
      <c r="R29" s="70" t="str">
        <f>IFERROR(IF(AND(s_Irr!Q29&lt;&gt;".",s_Irr!AP29&lt;&gt;".",s_Irr!BO29&lt;&gt;"."),s_dir!R29/((1/1000)*(s_Irr!Q29+s_Irr!AP29+s_Irr!BO29)),IF(AND(s_Irr!Q29&lt;&gt;".",s_Irr!AP29&lt;&gt;".",s_Irr!BO29="."),s_dir!R29/((1/1000)*(s_Irr!Q29+s_Irr!AP29)),IF(AND(s_Irr!Q29&lt;&gt;".",s_Irr!AP29=".",s_Irr!BO29&lt;&gt;"."),s_dir!R29/((1/1000)*(s_Irr!Q29+s_Irr!BO29)),IF(AND(s_Irr!Q29=".",s_Irr!AP29&lt;&gt;".",s_Irr!BO29&lt;&gt;"."),s_dir!R29/((1/1000)*(s_Irr!AP29+s_Irr!BO29)),IF(AND(s_Irr!Q29=".",s_Irr!AP29=".",s_Irr!BO29&lt;&gt;"."),s_dir!R29/((1/1000)*(s_Irr!BO29)),IF(AND(s_Irr!Q29=".",s_Irr!AP29&lt;&gt;".",s_Irr!BO29="."),s_dir!R29/((1/1000)*(s_Irr!AP29)),IF(AND(s_Irr!Q29&lt;&gt;".",s_Irr!AP29=".",s_Irr!BO29="."),s_dir!R29/((1/1000)*(s_Irr!Q29)),IF(AND(s_Irr!Q29=".",s_Irr!AP29=".",s_Irr!BO29="."),s_dir!R29*1000)))))))),".")</f>
        <v>.</v>
      </c>
      <c r="S29" s="70" t="str">
        <f>IFERROR(IF(AND(s_Irr!R29&lt;&gt;".",s_Irr!AQ29&lt;&gt;".",s_Irr!BP29&lt;&gt;"."),s_dir!S29/((1/1000)*(s_Irr!R29+s_Irr!AQ29+s_Irr!BP29)),IF(AND(s_Irr!R29&lt;&gt;".",s_Irr!AQ29&lt;&gt;".",s_Irr!BP29="."),s_dir!S29/((1/1000)*(s_Irr!R29+s_Irr!AQ29)),IF(AND(s_Irr!R29&lt;&gt;".",s_Irr!AQ29=".",s_Irr!BP29&lt;&gt;"."),s_dir!S29/((1/1000)*(s_Irr!R29+s_Irr!BP29)),IF(AND(s_Irr!R29=".",s_Irr!AQ29&lt;&gt;".",s_Irr!BP29&lt;&gt;"."),s_dir!S29/((1/1000)*(s_Irr!AQ29+s_Irr!BP29)),IF(AND(s_Irr!R29=".",s_Irr!AQ29=".",s_Irr!BP29&lt;&gt;"."),s_dir!S29/((1/1000)*(s_Irr!BP29)),IF(AND(s_Irr!R29=".",s_Irr!AQ29&lt;&gt;".",s_Irr!BP29="."),s_dir!S29/((1/1000)*(s_Irr!AQ29)),IF(AND(s_Irr!R29&lt;&gt;".",s_Irr!AQ29=".",s_Irr!BP29="."),s_dir!S29/((1/1000)*(s_Irr!R29)),IF(AND(s_Irr!R29=".",s_Irr!AQ29=".",s_Irr!BP29="."),s_dir!S29*1000)))))))),".")</f>
        <v>.</v>
      </c>
      <c r="T29" s="70" t="str">
        <f>IFERROR(IF(AND(s_Irr!S29&lt;&gt;".",s_Irr!AR29&lt;&gt;".",s_Irr!BQ29&lt;&gt;"."),s_dir!T29/((1/1000)*(s_Irr!S29+s_Irr!AR29+s_Irr!BQ29)),IF(AND(s_Irr!S29&lt;&gt;".",s_Irr!AR29&lt;&gt;".",s_Irr!BQ29="."),s_dir!T29/((1/1000)*(s_Irr!S29+s_Irr!AR29)),IF(AND(s_Irr!S29&lt;&gt;".",s_Irr!AR29=".",s_Irr!BQ29&lt;&gt;"."),s_dir!T29/((1/1000)*(s_Irr!S29+s_Irr!BQ29)),IF(AND(s_Irr!S29=".",s_Irr!AR29&lt;&gt;".",s_Irr!BQ29&lt;&gt;"."),s_dir!T29/((1/1000)*(s_Irr!AR29+s_Irr!BQ29)),IF(AND(s_Irr!S29=".",s_Irr!AR29=".",s_Irr!BQ29&lt;&gt;"."),s_dir!T29/((1/1000)*(s_Irr!BQ29)),IF(AND(s_Irr!S29=".",s_Irr!AR29&lt;&gt;".",s_Irr!BQ29="."),s_dir!T29/((1/1000)*(s_Irr!AR29)),IF(AND(s_Irr!S29&lt;&gt;".",s_Irr!AR29=".",s_Irr!BQ29="."),s_dir!T29/((1/1000)*(s_Irr!S29)),IF(AND(s_Irr!S29=".",s_Irr!AR29=".",s_Irr!BQ29="."),s_dir!T29*1000)))))))),".")</f>
        <v>.</v>
      </c>
      <c r="U29" s="70" t="str">
        <f>IFERROR(IF(AND(s_Irr!T29&lt;&gt;".",s_Irr!AS29&lt;&gt;".",s_Irr!BR29&lt;&gt;"."),s_dir!U29/((1/1000)*(s_Irr!T29+s_Irr!AS29+s_Irr!BR29)),IF(AND(s_Irr!T29&lt;&gt;".",s_Irr!AS29&lt;&gt;".",s_Irr!BR29="."),s_dir!U29/((1/1000)*(s_Irr!T29+s_Irr!AS29)),IF(AND(s_Irr!T29&lt;&gt;".",s_Irr!AS29=".",s_Irr!BR29&lt;&gt;"."),s_dir!U29/((1/1000)*(s_Irr!T29+s_Irr!BR29)),IF(AND(s_Irr!T29=".",s_Irr!AS29&lt;&gt;".",s_Irr!BR29&lt;&gt;"."),s_dir!U29/((1/1000)*(s_Irr!AS29+s_Irr!BR29)),IF(AND(s_Irr!T29=".",s_Irr!AS29=".",s_Irr!BR29&lt;&gt;"."),s_dir!U29/((1/1000)*(s_Irr!BR29)),IF(AND(s_Irr!T29=".",s_Irr!AS29&lt;&gt;".",s_Irr!BR29="."),s_dir!U29/((1/1000)*(s_Irr!AS29)),IF(AND(s_Irr!T29&lt;&gt;".",s_Irr!AS29=".",s_Irr!BR29="."),s_dir!U29/((1/1000)*(s_Irr!T29)),IF(AND(s_Irr!T29=".",s_Irr!AS29=".",s_Irr!BR29="."),s_dir!U29*1000)))))))),".")</f>
        <v>.</v>
      </c>
      <c r="V29" s="70" t="str">
        <f>IFERROR(IF(AND(s_Irr!U29&lt;&gt;".",s_Irr!AT29&lt;&gt;".",s_Irr!BS29&lt;&gt;"."),s_dir!V29/((1/1000)*(s_Irr!U29+s_Irr!AT29+s_Irr!BS29)),IF(AND(s_Irr!U29&lt;&gt;".",s_Irr!AT29&lt;&gt;".",s_Irr!BS29="."),s_dir!V29/((1/1000)*(s_Irr!U29+s_Irr!AT29)),IF(AND(s_Irr!U29&lt;&gt;".",s_Irr!AT29=".",s_Irr!BS29&lt;&gt;"."),s_dir!V29/((1/1000)*(s_Irr!U29+s_Irr!BS29)),IF(AND(s_Irr!U29=".",s_Irr!AT29&lt;&gt;".",s_Irr!BS29&lt;&gt;"."),s_dir!V29/((1/1000)*(s_Irr!AT29+s_Irr!BS29)),IF(AND(s_Irr!U29=".",s_Irr!AT29=".",s_Irr!BS29&lt;&gt;"."),s_dir!V29/((1/1000)*(s_Irr!BS29)),IF(AND(s_Irr!U29=".",s_Irr!AT29&lt;&gt;".",s_Irr!BS29="."),s_dir!V29/((1/1000)*(s_Irr!AT29)),IF(AND(s_Irr!U29&lt;&gt;".",s_Irr!AT29=".",s_Irr!BS29="."),s_dir!V29/((1/1000)*(s_Irr!U29)),IF(AND(s_Irr!U29=".",s_Irr!AT29=".",s_Irr!BS29="."),s_dir!V29*1000)))))))),".")</f>
        <v>.</v>
      </c>
      <c r="W29" s="70" t="str">
        <f>IFERROR(IF(AND(s_Irr!V29&lt;&gt;".",s_Irr!AU29&lt;&gt;".",s_Irr!BT29&lt;&gt;"."),s_dir!W29/((1/1000)*(s_Irr!V29+s_Irr!AU29+s_Irr!BT29)),IF(AND(s_Irr!V29&lt;&gt;".",s_Irr!AU29&lt;&gt;".",s_Irr!BT29="."),s_dir!W29/((1/1000)*(s_Irr!V29+s_Irr!AU29)),IF(AND(s_Irr!V29&lt;&gt;".",s_Irr!AU29=".",s_Irr!BT29&lt;&gt;"."),s_dir!W29/((1/1000)*(s_Irr!V29+s_Irr!BT29)),IF(AND(s_Irr!V29=".",s_Irr!AU29&lt;&gt;".",s_Irr!BT29&lt;&gt;"."),s_dir!W29/((1/1000)*(s_Irr!AU29+s_Irr!BT29)),IF(AND(s_Irr!V29=".",s_Irr!AU29=".",s_Irr!BT29&lt;&gt;"."),s_dir!W29/((1/1000)*(s_Irr!BT29)),IF(AND(s_Irr!V29=".",s_Irr!AU29&lt;&gt;".",s_Irr!BT29="."),s_dir!W29/((1/1000)*(s_Irr!AU29)),IF(AND(s_Irr!V29&lt;&gt;".",s_Irr!AU29=".",s_Irr!BT29="."),s_dir!W29/((1/1000)*(s_Irr!V29)),IF(AND(s_Irr!V29=".",s_Irr!AU29=".",s_Irr!BT29="."),s_dir!W29*1000)))))))),".")</f>
        <v>.</v>
      </c>
      <c r="X29" s="70" t="str">
        <f>IFERROR(IF(AND(s_Irr!W29&lt;&gt;".",s_Irr!AV29&lt;&gt;".",s_Irr!BU29&lt;&gt;"."),s_dir!X29/((1/1000)*(s_Irr!W29+s_Irr!AV29+s_Irr!BU29)),IF(AND(s_Irr!W29&lt;&gt;".",s_Irr!AV29&lt;&gt;".",s_Irr!BU29="."),s_dir!X29/((1/1000)*(s_Irr!W29+s_Irr!AV29)),IF(AND(s_Irr!W29&lt;&gt;".",s_Irr!AV29=".",s_Irr!BU29&lt;&gt;"."),s_dir!X29/((1/1000)*(s_Irr!W29+s_Irr!BU29)),IF(AND(s_Irr!W29=".",s_Irr!AV29&lt;&gt;".",s_Irr!BU29&lt;&gt;"."),s_dir!X29/((1/1000)*(s_Irr!AV29+s_Irr!BU29)),IF(AND(s_Irr!W29=".",s_Irr!AV29=".",s_Irr!BU29&lt;&gt;"."),s_dir!X29/((1/1000)*(s_Irr!BU29)),IF(AND(s_Irr!W29=".",s_Irr!AV29&lt;&gt;".",s_Irr!BU29="."),s_dir!X29/((1/1000)*(s_Irr!AV29)),IF(AND(s_Irr!W29&lt;&gt;".",s_Irr!AV29=".",s_Irr!BU29="."),s_dir!X29/((1/1000)*(s_Irr!W29)),IF(AND(s_Irr!W29=".",s_Irr!AV29=".",s_Irr!BU29="."),s_dir!X29*1000)))))))),".")</f>
        <v>.</v>
      </c>
      <c r="Y29" s="70" t="str">
        <f>IFERROR(IF(AND(s_Irr!X29&lt;&gt;".",s_Irr!AW29&lt;&gt;".",s_Irr!BV29&lt;&gt;"."),s_dir!Y29/((1/1000)*(s_Irr!X29+s_Irr!AW29+s_Irr!BV29)),IF(AND(s_Irr!X29&lt;&gt;".",s_Irr!AW29&lt;&gt;".",s_Irr!BV29="."),s_dir!Y29/((1/1000)*(s_Irr!X29+s_Irr!AW29)),IF(AND(s_Irr!X29&lt;&gt;".",s_Irr!AW29=".",s_Irr!BV29&lt;&gt;"."),s_dir!Y29/((1/1000)*(s_Irr!X29+s_Irr!BV29)),IF(AND(s_Irr!X29=".",s_Irr!AW29&lt;&gt;".",s_Irr!BV29&lt;&gt;"."),s_dir!Y29/((1/1000)*(s_Irr!AW29+s_Irr!BV29)),IF(AND(s_Irr!X29=".",s_Irr!AW29=".",s_Irr!BV29&lt;&gt;"."),s_dir!Y29/((1/1000)*(s_Irr!BV29)),IF(AND(s_Irr!X29=".",s_Irr!AW29&lt;&gt;".",s_Irr!BV29="."),s_dir!Y29/((1/1000)*(s_Irr!AW29)),IF(AND(s_Irr!X29&lt;&gt;".",s_Irr!AW29=".",s_Irr!BV29="."),s_dir!Y29/((1/1000)*(s_Irr!X29)),IF(AND(s_Irr!X29=".",s_Irr!AW29=".",s_Irr!BV29="."),s_dir!Y29*1000)))))))),".")</f>
        <v>.</v>
      </c>
      <c r="Z29" s="70" t="str">
        <f>IFERROR(IF(AND(s_Irr!Y29&lt;&gt;".",s_Irr!AX29&lt;&gt;".",s_Irr!BW29&lt;&gt;"."),s_dir!Z29/((1/1000)*(s_Irr!Y29+s_Irr!AX29+s_Irr!BW29)),IF(AND(s_Irr!Y29&lt;&gt;".",s_Irr!AX29&lt;&gt;".",s_Irr!BW29="."),s_dir!Z29/((1/1000)*(s_Irr!Y29+s_Irr!AX29)),IF(AND(s_Irr!Y29&lt;&gt;".",s_Irr!AX29=".",s_Irr!BW29&lt;&gt;"."),s_dir!Z29/((1/1000)*(s_Irr!Y29+s_Irr!BW29)),IF(AND(s_Irr!Y29=".",s_Irr!AX29&lt;&gt;".",s_Irr!BW29&lt;&gt;"."),s_dir!Z29/((1/1000)*(s_Irr!AX29+s_Irr!BW29)),IF(AND(s_Irr!Y29=".",s_Irr!AX29=".",s_Irr!BW29&lt;&gt;"."),s_dir!Z29/((1/1000)*(s_Irr!BW29)),IF(AND(s_Irr!Y29=".",s_Irr!AX29&lt;&gt;".",s_Irr!BW29="."),s_dir!Z29/((1/1000)*(s_Irr!AX29)),IF(AND(s_Irr!Y29&lt;&gt;".",s_Irr!AX29=".",s_Irr!BW29="."),s_dir!Z29/((1/1000)*(s_Irr!Y29)),IF(AND(s_Irr!Y29=".",s_Irr!AX29=".",s_Irr!BW29="."),s_dir!Z29*1000)))))))),".")</f>
        <v>.</v>
      </c>
      <c r="AA29" s="70" t="str">
        <f>IFERROR(IF(AND(s_Irr!Z29&lt;&gt;".",s_Irr!AY29&lt;&gt;".",s_Irr!BX29&lt;&gt;"."),s_dir!AA29/((1/1000)*(s_Irr!Z29+s_Irr!AY29+s_Irr!BX29)),IF(AND(s_Irr!Z29&lt;&gt;".",s_Irr!AY29&lt;&gt;".",s_Irr!BX29="."),s_dir!AA29/((1/1000)*(s_Irr!Z29+s_Irr!AY29)),IF(AND(s_Irr!Z29&lt;&gt;".",s_Irr!AY29=".",s_Irr!BX29&lt;&gt;"."),s_dir!AA29/((1/1000)*(s_Irr!Z29+s_Irr!BX29)),IF(AND(s_Irr!Z29=".",s_Irr!AY29&lt;&gt;".",s_Irr!BX29&lt;&gt;"."),s_dir!AA29/((1/1000)*(s_Irr!AY29+s_Irr!BX29)),IF(AND(s_Irr!Z29=".",s_Irr!AY29=".",s_Irr!BX29&lt;&gt;"."),s_dir!AA29/((1/1000)*(s_Irr!BX29)),IF(AND(s_Irr!Z29=".",s_Irr!AY29&lt;&gt;".",s_Irr!BX29="."),s_dir!AA29/((1/1000)*(s_Irr!AY29)),IF(AND(s_Irr!Z29&lt;&gt;".",s_Irr!AY29=".",s_Irr!BX29="."),s_dir!AA29/((1/1000)*(s_Irr!Z29)),IF(AND(s_Irr!Z29=".",s_Irr!AY29=".",s_Irr!BX29="."),s_dir!AA29*1000)))))))),".")</f>
        <v>.</v>
      </c>
      <c r="AB29" s="70" t="str">
        <f>IFERROR(IF(AND(s_Irr!AA29&lt;&gt;".",s_Irr!AZ29&lt;&gt;".",s_Irr!BY29&lt;&gt;"."),s_dir!AB29/((1/1000)*(s_Irr!AA29+s_Irr!AZ29+s_Irr!BY29)),IF(AND(s_Irr!AA29&lt;&gt;".",s_Irr!AZ29&lt;&gt;".",s_Irr!BY29="."),s_dir!AB29/((1/1000)*(s_Irr!AA29+s_Irr!AZ29)),IF(AND(s_Irr!AA29&lt;&gt;".",s_Irr!AZ29=".",s_Irr!BY29&lt;&gt;"."),s_dir!AB29/((1/1000)*(s_Irr!AA29+s_Irr!BY29)),IF(AND(s_Irr!AA29=".",s_Irr!AZ29&lt;&gt;".",s_Irr!BY29&lt;&gt;"."),s_dir!AB29/((1/1000)*(s_Irr!AZ29+s_Irr!BY29)),IF(AND(s_Irr!AA29=".",s_Irr!AZ29=".",s_Irr!BY29&lt;&gt;"."),s_dir!AB29/((1/1000)*(s_Irr!BY29)),IF(AND(s_Irr!AA29=".",s_Irr!AZ29&lt;&gt;".",s_Irr!BY29="."),s_dir!AB29/((1/1000)*(s_Irr!AZ29)),IF(AND(s_Irr!AA29&lt;&gt;".",s_Irr!AZ29=".",s_Irr!BY29="."),s_dir!AB29/((1/1000)*(s_Irr!AA29)),IF(AND(s_Irr!AA29=".",s_Irr!AZ29=".",s_Irr!BY29="."),s_dir!AB29*1000)))))))),".")</f>
        <v>.</v>
      </c>
      <c r="AC29" s="87">
        <f t="shared" si="5"/>
        <v>656.8877799109207</v>
      </c>
      <c r="AD29" s="87">
        <f>IFERROR(s_C*s_IFAP_res_adj*s_CF_apple*0.001*(s_Irr!C29+s_Irr!AB29+s_Irr!BA29),".")</f>
        <v>88.577324247385889</v>
      </c>
      <c r="AE29" s="87">
        <f>IFERROR(s_C*s_IFAS_res_adj*s_CF_asparagus*0.001*(s_Irr!D29+s_Irr!AC29+s_Irr!BB29),".")</f>
        <v>89.65924969287353</v>
      </c>
      <c r="AF29" s="87">
        <f>IFERROR(s_C*s_IFBT_res_adj*s_CF_beet*0.001*(s_Irr!E29+s_Irr!AD29+s_Irr!BC29),".")</f>
        <v>88.577324247385889</v>
      </c>
      <c r="AG29" s="87">
        <f>IFERROR(s_C*s_IFBE_res_adj*s_CF_berries*0.001*(s_Irr!F29+s_Irr!AE29+s_Irr!BD29),".")</f>
        <v>88.577324247385889</v>
      </c>
      <c r="AH29" s="87">
        <f>IFERROR(s_C*s_IFBR_res_adj*s_CF_broccoli*0.001*(s_Irr!G29+s_Irr!AF29+s_Irr!BE29),".")</f>
        <v>89.65924969287353</v>
      </c>
      <c r="AI29" s="87">
        <f>IFERROR(s_C*s_IFCB_res_adj*s_CF_cabbage*0.001*(s_Irr!H29+s_Irr!AG29+s_Irr!BF29),".")</f>
        <v>89.65924969287353</v>
      </c>
      <c r="AJ29" s="87">
        <f>IFERROR(s_C*s_IFCR_res_adj*s_CF_carrot*0.001*(s_Irr!I29+s_Irr!AH29+s_Irr!BG29),".")</f>
        <v>88.577324247385889</v>
      </c>
      <c r="AK29" s="87">
        <f>IFERROR(s_C*s_IFCI_res_adj*s_CF_citrus*0.001*(s_Irr!J29+s_Irr!AI29+s_Irr!BH29),".")</f>
        <v>88.577324247385889</v>
      </c>
      <c r="AL29" s="87">
        <f>IFERROR(s_C*s_IFCO_res_adj*s_CF_corn*0.001*(s_Irr!K29+s_Irr!AJ29+s_Irr!BI29),".")</f>
        <v>89.65924969287353</v>
      </c>
      <c r="AM29" s="87">
        <f>IFERROR(s_C*s_IFCU_res_adj*s_CF_cucumber*0.001*(s_Irr!L29+s_Irr!AK29+s_Irr!BJ29),".")</f>
        <v>89.65924969287353</v>
      </c>
      <c r="AN29" s="87">
        <f>IFERROR(s_C*s_IFLE_res_adj*s_CF_lettuce*0.001*(s_Irr!M29+s_Irr!AL29+s_Irr!BK29),".")</f>
        <v>89.65924969287353</v>
      </c>
      <c r="AO29" s="87">
        <f>IFERROR(s_C*s_IFLI_res_adj*s_CF_lima_bean*0.001*(s_Irr!N29+s_Irr!AM29+s_Irr!BL29),".")</f>
        <v>89.65924969287353</v>
      </c>
      <c r="AP29" s="87">
        <f>IFERROR(s_C*s_IFOK_res_adj*s_CF_okra*0.001*(s_Irr!O29+s_Irr!AN29+s_Irr!BM29),".")</f>
        <v>89.65924969287353</v>
      </c>
      <c r="AQ29" s="87">
        <f>IFERROR(s_C*s_IFON_res_adj*s_CF_onion*0.001*(s_Irr!P29+s_Irr!AO29+s_Irr!BN29),".")</f>
        <v>88.577324247385889</v>
      </c>
      <c r="AR29" s="87">
        <f>IFERROR(s_C*s_IFPC_res_adj*s_CF_peach*0.001*(s_Irr!Q29+s_Irr!AP29+s_Irr!BO29),".")</f>
        <v>88.577324247385889</v>
      </c>
      <c r="AS29" s="87">
        <f>IFERROR(s_C*s_IFPR_res_adj*s_CF_pear*0.001*(s_Irr!R29+s_Irr!AQ29+s_Irr!BP29),".")</f>
        <v>88.577324247385889</v>
      </c>
      <c r="AT29" s="87">
        <f>IFERROR(s_C*s_IFPE_res_adj*s_CF_peas*0.001*(s_Irr!S29+s_Irr!AR29+s_Irr!BQ29),".")</f>
        <v>89.65924969287353</v>
      </c>
      <c r="AU29" s="87">
        <f>IFERROR(s_C*s_IFPP_res_adj*s_CF_peppers*0.001*(s_Irr!T29+s_Irr!AS29+s_Irr!BR29),".")</f>
        <v>89.65924969287353</v>
      </c>
      <c r="AV29" s="87">
        <f>IFERROR(s_C*s_IFPT_res_adj*s_CF_potato*0.001*(s_Irr!U29+s_Irr!AT29+s_Irr!BS29),".")</f>
        <v>88.577324247385889</v>
      </c>
      <c r="AW29" s="87">
        <f>IFERROR(s_C*s_IFPU_res_adj*s_CF_pumpkin*0.001*(s_Irr!V29+s_Irr!AU29+s_Irr!BT29),".")</f>
        <v>89.65924969287353</v>
      </c>
      <c r="AX29" s="87">
        <f>IFERROR(s_C*s_IFSN_res_adj*s_CF_snap_bean*0.001*(s_Irr!W29+s_Irr!AV29+s_Irr!BU29),".")</f>
        <v>89.65924969287353</v>
      </c>
      <c r="AY29" s="87">
        <f>IFERROR(s_C*s_IFST_res_adj*s_CF_strawberry*0.001*(s_Irr!X29+s_Irr!AW29+s_Irr!BV29),".")</f>
        <v>88.577324247385889</v>
      </c>
      <c r="AZ29" s="87">
        <f>IFERROR(s_C*s_IFTO_res_adj*s_CF_tomato*0.001*(s_Irr!Y29+s_Irr!AX29+s_Irr!BW29),".")</f>
        <v>89.65924969287353</v>
      </c>
      <c r="BA29" s="87">
        <f>IFERROR(s_C*s_IFRI_res_adj*s_CF_rice*0.001*(s_Irr!Z29+s_Irr!AY29+s_Irr!BX29),".")</f>
        <v>388.99195627778778</v>
      </c>
      <c r="BB29" s="87">
        <f>IFERROR(s_C*s_IFCG_res_adj*s_CF_cereal*0.001*(s_Irr!AA29+s_Irr!AZ29+s_Irr!BY29),".")</f>
        <v>89.65924969287353</v>
      </c>
      <c r="BC29" s="70" t="str">
        <f t="shared" si="1"/>
        <v>.</v>
      </c>
      <c r="BD29" s="70" t="str">
        <f>IFERROR(IF(AND(s_Irr!C29&lt;&gt;".",s_Irr!AB29&lt;&gt;".",s_Irr!BA29&lt;&gt;"."),s_dir!AD29/((1/1000)*(s_Irr!C29+s_Irr!AB29+s_Irr!BA29)),IF(AND(s_Irr!C29&lt;&gt;".",s_Irr!AB29&lt;&gt;".",s_Irr!BA29="."),s_dir!AD29/((1/1000)*(s_Irr!C29+s_Irr!AB29)),IF(AND(s_Irr!C29&lt;&gt;".",s_Irr!AB29=".",s_Irr!BA29&lt;&gt;"."),s_dir!AD29/((1/1000)*(s_Irr!C29+s_Irr!BA29)),IF(AND(s_Irr!C29=".",s_Irr!AB29&lt;&gt;".",s_Irr!BA29&lt;&gt;"."),s_dir!AD29/((1/1000)*(s_Irr!AB29+s_Irr!BA29)),IF(AND(s_Irr!C29=".",s_Irr!AB29=".",s_Irr!BA29&lt;&gt;"."),s_dir!AD29/((1/1000)*(s_Irr!BA29)),IF(AND(s_Irr!C29=".",s_Irr!AB29&lt;&gt;".",s_Irr!BA29="."),s_dir!AD29/((1/1000)*(s_Irr!AB29)),IF(AND(s_Irr!C29&lt;&gt;".",s_Irr!AB29=".",s_Irr!BA29="."),s_dir!AD29/((1/1000)*(s_Irr!C29)),IF(AND(s_Irr!C29=".",s_Irr!AB29=".",s_Irr!BA29="."),s_dir!AD29*1000)))))))),".")</f>
        <v>.</v>
      </c>
      <c r="BE29" s="70" t="str">
        <f>IFERROR(IF(AND(s_Irr!D29&lt;&gt;".",s_Irr!AC29&lt;&gt;".",s_Irr!BB29&lt;&gt;"."),s_dir!AE29/((1/1000)*(s_Irr!D29+s_Irr!AC29+s_Irr!BB29)),IF(AND(s_Irr!D29&lt;&gt;".",s_Irr!AC29&lt;&gt;".",s_Irr!BB29="."),s_dir!AE29/((1/1000)*(s_Irr!D29+s_Irr!AC29)),IF(AND(s_Irr!D29&lt;&gt;".",s_Irr!AC29=".",s_Irr!BB29&lt;&gt;"."),s_dir!AE29/((1/1000)*(s_Irr!D29+s_Irr!BB29)),IF(AND(s_Irr!D29=".",s_Irr!AC29&lt;&gt;".",s_Irr!BB29&lt;&gt;"."),s_dir!AE29/((1/1000)*(s_Irr!AC29+s_Irr!BB29)),IF(AND(s_Irr!D29=".",s_Irr!AC29=".",s_Irr!BB29&lt;&gt;"."),s_dir!AE29/((1/1000)*(s_Irr!BB29)),IF(AND(s_Irr!D29=".",s_Irr!AC29&lt;&gt;".",s_Irr!BB29="."),s_dir!AE29/((1/1000)*(s_Irr!AC29)),IF(AND(s_Irr!D29&lt;&gt;".",s_Irr!AC29=".",s_Irr!BB29="."),s_dir!AE29/((1/1000)*(s_Irr!D29)),IF(AND(s_Irr!D29=".",s_Irr!AC29=".",s_Irr!BB29="."),s_dir!AE29*1000)))))))),".")</f>
        <v>.</v>
      </c>
      <c r="BF29" s="70" t="str">
        <f>IFERROR(IF(AND(s_Irr!E29&lt;&gt;".",s_Irr!AD29&lt;&gt;".",s_Irr!BC29&lt;&gt;"."),s_dir!AF29/((1/1000)*(s_Irr!E29+s_Irr!AD29+s_Irr!BC29)),IF(AND(s_Irr!E29&lt;&gt;".",s_Irr!AD29&lt;&gt;".",s_Irr!BC29="."),s_dir!AF29/((1/1000)*(s_Irr!E29+s_Irr!AD29)),IF(AND(s_Irr!E29&lt;&gt;".",s_Irr!AD29=".",s_Irr!BC29&lt;&gt;"."),s_dir!AF29/((1/1000)*(s_Irr!E29+s_Irr!BC29)),IF(AND(s_Irr!E29=".",s_Irr!AD29&lt;&gt;".",s_Irr!BC29&lt;&gt;"."),s_dir!AF29/((1/1000)*(s_Irr!AD29+s_Irr!BC29)),IF(AND(s_Irr!E29=".",s_Irr!AD29=".",s_Irr!BC29&lt;&gt;"."),s_dir!AF29/((1/1000)*(s_Irr!BC29)),IF(AND(s_Irr!E29=".",s_Irr!AD29&lt;&gt;".",s_Irr!BC29="."),s_dir!AF29/((1/1000)*(s_Irr!AD29)),IF(AND(s_Irr!E29&lt;&gt;".",s_Irr!AD29=".",s_Irr!BC29="."),s_dir!AF29/((1/1000)*(s_Irr!E29)),IF(AND(s_Irr!E29=".",s_Irr!AD29=".",s_Irr!BC29="."),s_dir!AF29*1000)))))))),".")</f>
        <v>.</v>
      </c>
      <c r="BG29" s="70" t="str">
        <f>IFERROR(IF(AND(s_Irr!F29&lt;&gt;".",s_Irr!AE29&lt;&gt;".",s_Irr!BD29&lt;&gt;"."),s_dir!AG29/((1/1000)*(s_Irr!F29+s_Irr!AE29+s_Irr!BD29)),IF(AND(s_Irr!F29&lt;&gt;".",s_Irr!AE29&lt;&gt;".",s_Irr!BD29="."),s_dir!AG29/((1/1000)*(s_Irr!F29+s_Irr!AE29)),IF(AND(s_Irr!F29&lt;&gt;".",s_Irr!AE29=".",s_Irr!BD29&lt;&gt;"."),s_dir!AG29/((1/1000)*(s_Irr!F29+s_Irr!BD29)),IF(AND(s_Irr!F29=".",s_Irr!AE29&lt;&gt;".",s_Irr!BD29&lt;&gt;"."),s_dir!AG29/((1/1000)*(s_Irr!AE29+s_Irr!BD29)),IF(AND(s_Irr!F29=".",s_Irr!AE29=".",s_Irr!BD29&lt;&gt;"."),s_dir!AG29/((1/1000)*(s_Irr!BD29)),IF(AND(s_Irr!F29=".",s_Irr!AE29&lt;&gt;".",s_Irr!BD29="."),s_dir!AG29/((1/1000)*(s_Irr!AE29)),IF(AND(s_Irr!F29&lt;&gt;".",s_Irr!AE29=".",s_Irr!BD29="."),s_dir!AG29/((1/1000)*(s_Irr!F29)),IF(AND(s_Irr!F29=".",s_Irr!AE29=".",s_Irr!BD29="."),s_dir!AG29*1000)))))))),".")</f>
        <v>.</v>
      </c>
      <c r="BH29" s="70" t="str">
        <f>IFERROR(IF(AND(s_Irr!G29&lt;&gt;".",s_Irr!AF29&lt;&gt;".",s_Irr!BE29&lt;&gt;"."),s_dir!AH29/((1/1000)*(s_Irr!G29+s_Irr!AF29+s_Irr!BE29)),IF(AND(s_Irr!G29&lt;&gt;".",s_Irr!AF29&lt;&gt;".",s_Irr!BE29="."),s_dir!AH29/((1/1000)*(s_Irr!G29+s_Irr!AF29)),IF(AND(s_Irr!G29&lt;&gt;".",s_Irr!AF29=".",s_Irr!BE29&lt;&gt;"."),s_dir!AH29/((1/1000)*(s_Irr!G29+s_Irr!BE29)),IF(AND(s_Irr!G29=".",s_Irr!AF29&lt;&gt;".",s_Irr!BE29&lt;&gt;"."),s_dir!AH29/((1/1000)*(s_Irr!AF29+s_Irr!BE29)),IF(AND(s_Irr!G29=".",s_Irr!AF29=".",s_Irr!BE29&lt;&gt;"."),s_dir!AH29/((1/1000)*(s_Irr!BE29)),IF(AND(s_Irr!G29=".",s_Irr!AF29&lt;&gt;".",s_Irr!BE29="."),s_dir!AH29/((1/1000)*(s_Irr!AF29)),IF(AND(s_Irr!G29&lt;&gt;".",s_Irr!AF29=".",s_Irr!BE29="."),s_dir!AH29/((1/1000)*(s_Irr!G29)),IF(AND(s_Irr!G29=".",s_Irr!AF29=".",s_Irr!BE29="."),s_dir!AH29*1000)))))))),".")</f>
        <v>.</v>
      </c>
      <c r="BI29" s="70" t="str">
        <f>IFERROR(IF(AND(s_Irr!H29&lt;&gt;".",s_Irr!AG29&lt;&gt;".",s_Irr!BF29&lt;&gt;"."),s_dir!AI29/((1/1000)*(s_Irr!H29+s_Irr!AG29+s_Irr!BF29)),IF(AND(s_Irr!H29&lt;&gt;".",s_Irr!AG29&lt;&gt;".",s_Irr!BF29="."),s_dir!AI29/((1/1000)*(s_Irr!H29+s_Irr!AG29)),IF(AND(s_Irr!H29&lt;&gt;".",s_Irr!AG29=".",s_Irr!BF29&lt;&gt;"."),s_dir!AI29/((1/1000)*(s_Irr!H29+s_Irr!BF29)),IF(AND(s_Irr!H29=".",s_Irr!AG29&lt;&gt;".",s_Irr!BF29&lt;&gt;"."),s_dir!AI29/((1/1000)*(s_Irr!AG29+s_Irr!BF29)),IF(AND(s_Irr!H29=".",s_Irr!AG29=".",s_Irr!BF29&lt;&gt;"."),s_dir!AI29/((1/1000)*(s_Irr!BF29)),IF(AND(s_Irr!H29=".",s_Irr!AG29&lt;&gt;".",s_Irr!BF29="."),s_dir!AI29/((1/1000)*(s_Irr!AG29)),IF(AND(s_Irr!H29&lt;&gt;".",s_Irr!AG29=".",s_Irr!BF29="."),s_dir!AI29/((1/1000)*(s_Irr!H29)),IF(AND(s_Irr!H29=".",s_Irr!AG29=".",s_Irr!BF29="."),s_dir!AI29*1000)))))))),".")</f>
        <v>.</v>
      </c>
      <c r="BJ29" s="70" t="str">
        <f>IFERROR(IF(AND(s_Irr!I29&lt;&gt;".",s_Irr!AH29&lt;&gt;".",s_Irr!BG29&lt;&gt;"."),s_dir!AJ29/((1/1000)*(s_Irr!I29+s_Irr!AH29+s_Irr!BG29)),IF(AND(s_Irr!I29&lt;&gt;".",s_Irr!AH29&lt;&gt;".",s_Irr!BG29="."),s_dir!AJ29/((1/1000)*(s_Irr!I29+s_Irr!AH29)),IF(AND(s_Irr!I29&lt;&gt;".",s_Irr!AH29=".",s_Irr!BG29&lt;&gt;"."),s_dir!AJ29/((1/1000)*(s_Irr!I29+s_Irr!BG29)),IF(AND(s_Irr!I29=".",s_Irr!AH29&lt;&gt;".",s_Irr!BG29&lt;&gt;"."),s_dir!AJ29/((1/1000)*(s_Irr!AH29+s_Irr!BG29)),IF(AND(s_Irr!I29=".",s_Irr!AH29=".",s_Irr!BG29&lt;&gt;"."),s_dir!AJ29/((1/1000)*(s_Irr!BG29)),IF(AND(s_Irr!I29=".",s_Irr!AH29&lt;&gt;".",s_Irr!BG29="."),s_dir!AJ29/((1/1000)*(s_Irr!AH29)),IF(AND(s_Irr!I29&lt;&gt;".",s_Irr!AH29=".",s_Irr!BG29="."),s_dir!AJ29/((1/1000)*(s_Irr!I29)),IF(AND(s_Irr!I29=".",s_Irr!AH29=".",s_Irr!BG29="."),s_dir!AJ29*1000)))))))),".")</f>
        <v>.</v>
      </c>
      <c r="BK29" s="70" t="str">
        <f>IFERROR(IF(AND(s_Irr!J29&lt;&gt;".",s_Irr!AI29&lt;&gt;".",s_Irr!BH29&lt;&gt;"."),s_dir!AK29/((1/1000)*(s_Irr!J29+s_Irr!AI29+s_Irr!BH29)),IF(AND(s_Irr!J29&lt;&gt;".",s_Irr!AI29&lt;&gt;".",s_Irr!BH29="."),s_dir!AK29/((1/1000)*(s_Irr!J29+s_Irr!AI29)),IF(AND(s_Irr!J29&lt;&gt;".",s_Irr!AI29=".",s_Irr!BH29&lt;&gt;"."),s_dir!AK29/((1/1000)*(s_Irr!J29+s_Irr!BH29)),IF(AND(s_Irr!J29=".",s_Irr!AI29&lt;&gt;".",s_Irr!BH29&lt;&gt;"."),s_dir!AK29/((1/1000)*(s_Irr!AI29+s_Irr!BH29)),IF(AND(s_Irr!J29=".",s_Irr!AI29=".",s_Irr!BH29&lt;&gt;"."),s_dir!AK29/((1/1000)*(s_Irr!BH29)),IF(AND(s_Irr!J29=".",s_Irr!AI29&lt;&gt;".",s_Irr!BH29="."),s_dir!AK29/((1/1000)*(s_Irr!AI29)),IF(AND(s_Irr!J29&lt;&gt;".",s_Irr!AI29=".",s_Irr!BH29="."),s_dir!AK29/((1/1000)*(s_Irr!J29)),IF(AND(s_Irr!J29=".",s_Irr!AI29=".",s_Irr!BH29="."),s_dir!AK29*1000)))))))),".")</f>
        <v>.</v>
      </c>
      <c r="BL29" s="70" t="str">
        <f>IFERROR(IF(AND(s_Irr!K29&lt;&gt;".",s_Irr!AJ29&lt;&gt;".",s_Irr!BI29&lt;&gt;"."),s_dir!AL29/((1/1000)*(s_Irr!K29+s_Irr!AJ29+s_Irr!BI29)),IF(AND(s_Irr!K29&lt;&gt;".",s_Irr!AJ29&lt;&gt;".",s_Irr!BI29="."),s_dir!AL29/((1/1000)*(s_Irr!K29+s_Irr!AJ29)),IF(AND(s_Irr!K29&lt;&gt;".",s_Irr!AJ29=".",s_Irr!BI29&lt;&gt;"."),s_dir!AL29/((1/1000)*(s_Irr!K29+s_Irr!BI29)),IF(AND(s_Irr!K29=".",s_Irr!AJ29&lt;&gt;".",s_Irr!BI29&lt;&gt;"."),s_dir!AL29/((1/1000)*(s_Irr!AJ29+s_Irr!BI29)),IF(AND(s_Irr!K29=".",s_Irr!AJ29=".",s_Irr!BI29&lt;&gt;"."),s_dir!AL29/((1/1000)*(s_Irr!BI29)),IF(AND(s_Irr!K29=".",s_Irr!AJ29&lt;&gt;".",s_Irr!BI29="."),s_dir!AL29/((1/1000)*(s_Irr!AJ29)),IF(AND(s_Irr!K29&lt;&gt;".",s_Irr!AJ29=".",s_Irr!BI29="."),s_dir!AL29/((1/1000)*(s_Irr!K29)),IF(AND(s_Irr!K29=".",s_Irr!AJ29=".",s_Irr!BI29="."),s_dir!AL29*1000)))))))),".")</f>
        <v>.</v>
      </c>
      <c r="BM29" s="70" t="str">
        <f>IFERROR(IF(AND(s_Irr!L29&lt;&gt;".",s_Irr!AK29&lt;&gt;".",s_Irr!BJ29&lt;&gt;"."),s_dir!AM29/((1/1000)*(s_Irr!L29+s_Irr!AK29+s_Irr!BJ29)),IF(AND(s_Irr!L29&lt;&gt;".",s_Irr!AK29&lt;&gt;".",s_Irr!BJ29="."),s_dir!AM29/((1/1000)*(s_Irr!L29+s_Irr!AK29)),IF(AND(s_Irr!L29&lt;&gt;".",s_Irr!AK29=".",s_Irr!BJ29&lt;&gt;"."),s_dir!AM29/((1/1000)*(s_Irr!L29+s_Irr!BJ29)),IF(AND(s_Irr!L29=".",s_Irr!AK29&lt;&gt;".",s_Irr!BJ29&lt;&gt;"."),s_dir!AM29/((1/1000)*(s_Irr!AK29+s_Irr!BJ29)),IF(AND(s_Irr!L29=".",s_Irr!AK29=".",s_Irr!BJ29&lt;&gt;"."),s_dir!AM29/((1/1000)*(s_Irr!BJ29)),IF(AND(s_Irr!L29=".",s_Irr!AK29&lt;&gt;".",s_Irr!BJ29="."),s_dir!AM29/((1/1000)*(s_Irr!AK29)),IF(AND(s_Irr!L29&lt;&gt;".",s_Irr!AK29=".",s_Irr!BJ29="."),s_dir!AM29/((1/1000)*(s_Irr!L29)),IF(AND(s_Irr!L29=".",s_Irr!AK29=".",s_Irr!BJ29="."),s_dir!AM29*1000)))))))),".")</f>
        <v>.</v>
      </c>
      <c r="BN29" s="70" t="str">
        <f>IFERROR(IF(AND(s_Irr!M29&lt;&gt;".",s_Irr!AL29&lt;&gt;".",s_Irr!BK29&lt;&gt;"."),s_dir!AN29/((1/1000)*(s_Irr!M29+s_Irr!AL29+s_Irr!BK29)),IF(AND(s_Irr!M29&lt;&gt;".",s_Irr!AL29&lt;&gt;".",s_Irr!BK29="."),s_dir!AN29/((1/1000)*(s_Irr!M29+s_Irr!AL29)),IF(AND(s_Irr!M29&lt;&gt;".",s_Irr!AL29=".",s_Irr!BK29&lt;&gt;"."),s_dir!AN29/((1/1000)*(s_Irr!M29+s_Irr!BK29)),IF(AND(s_Irr!M29=".",s_Irr!AL29&lt;&gt;".",s_Irr!BK29&lt;&gt;"."),s_dir!AN29/((1/1000)*(s_Irr!AL29+s_Irr!BK29)),IF(AND(s_Irr!M29=".",s_Irr!AL29=".",s_Irr!BK29&lt;&gt;"."),s_dir!AN29/((1/1000)*(s_Irr!BK29)),IF(AND(s_Irr!M29=".",s_Irr!AL29&lt;&gt;".",s_Irr!BK29="."),s_dir!AN29/((1/1000)*(s_Irr!AL29)),IF(AND(s_Irr!M29&lt;&gt;".",s_Irr!AL29=".",s_Irr!BK29="."),s_dir!AN29/((1/1000)*(s_Irr!M29)),IF(AND(s_Irr!M29=".",s_Irr!AL29=".",s_Irr!BK29="."),s_dir!AN29*1000)))))))),".")</f>
        <v>.</v>
      </c>
      <c r="BO29" s="70" t="str">
        <f>IFERROR(IF(AND(s_Irr!N29&lt;&gt;".",s_Irr!AM29&lt;&gt;".",s_Irr!BL29&lt;&gt;"."),s_dir!AO29/((1/1000)*(s_Irr!N29+s_Irr!AM29+s_Irr!BL29)),IF(AND(s_Irr!N29&lt;&gt;".",s_Irr!AM29&lt;&gt;".",s_Irr!BL29="."),s_dir!AO29/((1/1000)*(s_Irr!N29+s_Irr!AM29)),IF(AND(s_Irr!N29&lt;&gt;".",s_Irr!AM29=".",s_Irr!BL29&lt;&gt;"."),s_dir!AO29/((1/1000)*(s_Irr!N29+s_Irr!BL29)),IF(AND(s_Irr!N29=".",s_Irr!AM29&lt;&gt;".",s_Irr!BL29&lt;&gt;"."),s_dir!AO29/((1/1000)*(s_Irr!AM29+s_Irr!BL29)),IF(AND(s_Irr!N29=".",s_Irr!AM29=".",s_Irr!BL29&lt;&gt;"."),s_dir!AO29/((1/1000)*(s_Irr!BL29)),IF(AND(s_Irr!N29=".",s_Irr!AM29&lt;&gt;".",s_Irr!BL29="."),s_dir!AO29/((1/1000)*(s_Irr!AM29)),IF(AND(s_Irr!N29&lt;&gt;".",s_Irr!AM29=".",s_Irr!BL29="."),s_dir!AO29/((1/1000)*(s_Irr!N29)),IF(AND(s_Irr!N29=".",s_Irr!AM29=".",s_Irr!BL29="."),s_dir!AO29*1000)))))))),".")</f>
        <v>.</v>
      </c>
      <c r="BP29" s="70" t="str">
        <f>IFERROR(IF(AND(s_Irr!O29&lt;&gt;".",s_Irr!AN29&lt;&gt;".",s_Irr!BM29&lt;&gt;"."),s_dir!AP29/((1/1000)*(s_Irr!O29+s_Irr!AN29+s_Irr!BM29)),IF(AND(s_Irr!O29&lt;&gt;".",s_Irr!AN29&lt;&gt;".",s_Irr!BM29="."),s_dir!AP29/((1/1000)*(s_Irr!O29+s_Irr!AN29)),IF(AND(s_Irr!O29&lt;&gt;".",s_Irr!AN29=".",s_Irr!BM29&lt;&gt;"."),s_dir!AP29/((1/1000)*(s_Irr!O29+s_Irr!BM29)),IF(AND(s_Irr!O29=".",s_Irr!AN29&lt;&gt;".",s_Irr!BM29&lt;&gt;"."),s_dir!AP29/((1/1000)*(s_Irr!AN29+s_Irr!BM29)),IF(AND(s_Irr!O29=".",s_Irr!AN29=".",s_Irr!BM29&lt;&gt;"."),s_dir!AP29/((1/1000)*(s_Irr!BM29)),IF(AND(s_Irr!O29=".",s_Irr!AN29&lt;&gt;".",s_Irr!BM29="."),s_dir!AP29/((1/1000)*(s_Irr!AN29)),IF(AND(s_Irr!O29&lt;&gt;".",s_Irr!AN29=".",s_Irr!BM29="."),s_dir!AP29/((1/1000)*(s_Irr!O29)),IF(AND(s_Irr!O29=".",s_Irr!AN29=".",s_Irr!BM29="."),s_dir!AP29*1000)))))))),".")</f>
        <v>.</v>
      </c>
      <c r="BQ29" s="70" t="str">
        <f>IFERROR(IF(AND(s_Irr!P29&lt;&gt;".",s_Irr!AO29&lt;&gt;".",s_Irr!BN29&lt;&gt;"."),s_dir!AQ29/((1/1000)*(s_Irr!P29+s_Irr!AO29+s_Irr!BN29)),IF(AND(s_Irr!P29&lt;&gt;".",s_Irr!AO29&lt;&gt;".",s_Irr!BN29="."),s_dir!AQ29/((1/1000)*(s_Irr!P29+s_Irr!AO29)),IF(AND(s_Irr!P29&lt;&gt;".",s_Irr!AO29=".",s_Irr!BN29&lt;&gt;"."),s_dir!AQ29/((1/1000)*(s_Irr!P29+s_Irr!BN29)),IF(AND(s_Irr!P29=".",s_Irr!AO29&lt;&gt;".",s_Irr!BN29&lt;&gt;"."),s_dir!AQ29/((1/1000)*(s_Irr!AO29+s_Irr!BN29)),IF(AND(s_Irr!P29=".",s_Irr!AO29=".",s_Irr!BN29&lt;&gt;"."),s_dir!AQ29/((1/1000)*(s_Irr!BN29)),IF(AND(s_Irr!P29=".",s_Irr!AO29&lt;&gt;".",s_Irr!BN29="."),s_dir!AQ29/((1/1000)*(s_Irr!AO29)),IF(AND(s_Irr!P29&lt;&gt;".",s_Irr!AO29=".",s_Irr!BN29="."),s_dir!AQ29/((1/1000)*(s_Irr!P29)),IF(AND(s_Irr!P29=".",s_Irr!AO29=".",s_Irr!BN29="."),s_dir!AQ29*1000)))))))),".")</f>
        <v>.</v>
      </c>
      <c r="BR29" s="70" t="str">
        <f>IFERROR(IF(AND(s_Irr!Q29&lt;&gt;".",s_Irr!AP29&lt;&gt;".",s_Irr!BO29&lt;&gt;"."),s_dir!AR29/((1/1000)*(s_Irr!Q29+s_Irr!AP29+s_Irr!BO29)),IF(AND(s_Irr!Q29&lt;&gt;".",s_Irr!AP29&lt;&gt;".",s_Irr!BO29="."),s_dir!AR29/((1/1000)*(s_Irr!Q29+s_Irr!AP29)),IF(AND(s_Irr!Q29&lt;&gt;".",s_Irr!AP29=".",s_Irr!BO29&lt;&gt;"."),s_dir!AR29/((1/1000)*(s_Irr!Q29+s_Irr!BO29)),IF(AND(s_Irr!Q29=".",s_Irr!AP29&lt;&gt;".",s_Irr!BO29&lt;&gt;"."),s_dir!AR29/((1/1000)*(s_Irr!AP29+s_Irr!BO29)),IF(AND(s_Irr!Q29=".",s_Irr!AP29=".",s_Irr!BO29&lt;&gt;"."),s_dir!AR29/((1/1000)*(s_Irr!BO29)),IF(AND(s_Irr!Q29=".",s_Irr!AP29&lt;&gt;".",s_Irr!BO29="."),s_dir!AR29/((1/1000)*(s_Irr!AP29)),IF(AND(s_Irr!Q29&lt;&gt;".",s_Irr!AP29=".",s_Irr!BO29="."),s_dir!AR29/((1/1000)*(s_Irr!Q29)),IF(AND(s_Irr!Q29=".",s_Irr!AP29=".",s_Irr!BO29="."),s_dir!AR29*1000)))))))),".")</f>
        <v>.</v>
      </c>
      <c r="BS29" s="70" t="str">
        <f>IFERROR(IF(AND(s_Irr!R29&lt;&gt;".",s_Irr!AQ29&lt;&gt;".",s_Irr!BP29&lt;&gt;"."),s_dir!AS29/((1/1000)*(s_Irr!R29+s_Irr!AQ29+s_Irr!BP29)),IF(AND(s_Irr!R29&lt;&gt;".",s_Irr!AQ29&lt;&gt;".",s_Irr!BP29="."),s_dir!AS29/((1/1000)*(s_Irr!R29+s_Irr!AQ29)),IF(AND(s_Irr!R29&lt;&gt;".",s_Irr!AQ29=".",s_Irr!BP29&lt;&gt;"."),s_dir!AS29/((1/1000)*(s_Irr!R29+s_Irr!BP29)),IF(AND(s_Irr!R29=".",s_Irr!AQ29&lt;&gt;".",s_Irr!BP29&lt;&gt;"."),s_dir!AS29/((1/1000)*(s_Irr!AQ29+s_Irr!BP29)),IF(AND(s_Irr!R29=".",s_Irr!AQ29=".",s_Irr!BP29&lt;&gt;"."),s_dir!AS29/((1/1000)*(s_Irr!BP29)),IF(AND(s_Irr!R29=".",s_Irr!AQ29&lt;&gt;".",s_Irr!BP29="."),s_dir!AS29/((1/1000)*(s_Irr!AQ29)),IF(AND(s_Irr!R29&lt;&gt;".",s_Irr!AQ29=".",s_Irr!BP29="."),s_dir!AS29/((1/1000)*(s_Irr!R29)),IF(AND(s_Irr!R29=".",s_Irr!AQ29=".",s_Irr!BP29="."),s_dir!AS29*1000)))))))),".")</f>
        <v>.</v>
      </c>
      <c r="BT29" s="70" t="str">
        <f>IFERROR(IF(AND(s_Irr!S29&lt;&gt;".",s_Irr!AR29&lt;&gt;".",s_Irr!BQ29&lt;&gt;"."),s_dir!AT29/((1/1000)*(s_Irr!S29+s_Irr!AR29+s_Irr!BQ29)),IF(AND(s_Irr!S29&lt;&gt;".",s_Irr!AR29&lt;&gt;".",s_Irr!BQ29="."),s_dir!AT29/((1/1000)*(s_Irr!S29+s_Irr!AR29)),IF(AND(s_Irr!S29&lt;&gt;".",s_Irr!AR29=".",s_Irr!BQ29&lt;&gt;"."),s_dir!AT29/((1/1000)*(s_Irr!S29+s_Irr!BQ29)),IF(AND(s_Irr!S29=".",s_Irr!AR29&lt;&gt;".",s_Irr!BQ29&lt;&gt;"."),s_dir!AT29/((1/1000)*(s_Irr!AR29+s_Irr!BQ29)),IF(AND(s_Irr!S29=".",s_Irr!AR29=".",s_Irr!BQ29&lt;&gt;"."),s_dir!AT29/((1/1000)*(s_Irr!BQ29)),IF(AND(s_Irr!S29=".",s_Irr!AR29&lt;&gt;".",s_Irr!BQ29="."),s_dir!AT29/((1/1000)*(s_Irr!AR29)),IF(AND(s_Irr!S29&lt;&gt;".",s_Irr!AR29=".",s_Irr!BQ29="."),s_dir!AT29/((1/1000)*(s_Irr!S29)),IF(AND(s_Irr!S29=".",s_Irr!AR29=".",s_Irr!BQ29="."),s_dir!AT29*1000)))))))),".")</f>
        <v>.</v>
      </c>
      <c r="BU29" s="70" t="str">
        <f>IFERROR(IF(AND(s_Irr!T29&lt;&gt;".",s_Irr!AS29&lt;&gt;".",s_Irr!BR29&lt;&gt;"."),s_dir!AU29/((1/1000)*(s_Irr!T29+s_Irr!AS29+s_Irr!BR29)),IF(AND(s_Irr!T29&lt;&gt;".",s_Irr!AS29&lt;&gt;".",s_Irr!BR29="."),s_dir!AU29/((1/1000)*(s_Irr!T29+s_Irr!AS29)),IF(AND(s_Irr!T29&lt;&gt;".",s_Irr!AS29=".",s_Irr!BR29&lt;&gt;"."),s_dir!AU29/((1/1000)*(s_Irr!T29+s_Irr!BR29)),IF(AND(s_Irr!T29=".",s_Irr!AS29&lt;&gt;".",s_Irr!BR29&lt;&gt;"."),s_dir!AU29/((1/1000)*(s_Irr!AS29+s_Irr!BR29)),IF(AND(s_Irr!T29=".",s_Irr!AS29=".",s_Irr!BR29&lt;&gt;"."),s_dir!AU29/((1/1000)*(s_Irr!BR29)),IF(AND(s_Irr!T29=".",s_Irr!AS29&lt;&gt;".",s_Irr!BR29="."),s_dir!AU29/((1/1000)*(s_Irr!AS29)),IF(AND(s_Irr!T29&lt;&gt;".",s_Irr!AS29=".",s_Irr!BR29="."),s_dir!AU29/((1/1000)*(s_Irr!T29)),IF(AND(s_Irr!T29=".",s_Irr!AS29=".",s_Irr!BR29="."),s_dir!AU29*1000)))))))),".")</f>
        <v>.</v>
      </c>
      <c r="BV29" s="70" t="str">
        <f>IFERROR(IF(AND(s_Irr!U29&lt;&gt;".",s_Irr!AT29&lt;&gt;".",s_Irr!BS29&lt;&gt;"."),s_dir!AV29/((1/1000)*(s_Irr!U29+s_Irr!AT29+s_Irr!BS29)),IF(AND(s_Irr!U29&lt;&gt;".",s_Irr!AT29&lt;&gt;".",s_Irr!BS29="."),s_dir!AV29/((1/1000)*(s_Irr!U29+s_Irr!AT29)),IF(AND(s_Irr!U29&lt;&gt;".",s_Irr!AT29=".",s_Irr!BS29&lt;&gt;"."),s_dir!AV29/((1/1000)*(s_Irr!U29+s_Irr!BS29)),IF(AND(s_Irr!U29=".",s_Irr!AT29&lt;&gt;".",s_Irr!BS29&lt;&gt;"."),s_dir!AV29/((1/1000)*(s_Irr!AT29+s_Irr!BS29)),IF(AND(s_Irr!U29=".",s_Irr!AT29=".",s_Irr!BS29&lt;&gt;"."),s_dir!AV29/((1/1000)*(s_Irr!BS29)),IF(AND(s_Irr!U29=".",s_Irr!AT29&lt;&gt;".",s_Irr!BS29="."),s_dir!AV29/((1/1000)*(s_Irr!AT29)),IF(AND(s_Irr!U29&lt;&gt;".",s_Irr!AT29=".",s_Irr!BS29="."),s_dir!AV29/((1/1000)*(s_Irr!U29)),IF(AND(s_Irr!U29=".",s_Irr!AT29=".",s_Irr!BS29="."),s_dir!AV29*1000)))))))),".")</f>
        <v>.</v>
      </c>
      <c r="BW29" s="70" t="str">
        <f>IFERROR(IF(AND(s_Irr!V29&lt;&gt;".",s_Irr!AU29&lt;&gt;".",s_Irr!BT29&lt;&gt;"."),s_dir!AW29/((1/1000)*(s_Irr!V29+s_Irr!AU29+s_Irr!BT29)),IF(AND(s_Irr!V29&lt;&gt;".",s_Irr!AU29&lt;&gt;".",s_Irr!BT29="."),s_dir!AW29/((1/1000)*(s_Irr!V29+s_Irr!AU29)),IF(AND(s_Irr!V29&lt;&gt;".",s_Irr!AU29=".",s_Irr!BT29&lt;&gt;"."),s_dir!AW29/((1/1000)*(s_Irr!V29+s_Irr!BT29)),IF(AND(s_Irr!V29=".",s_Irr!AU29&lt;&gt;".",s_Irr!BT29&lt;&gt;"."),s_dir!AW29/((1/1000)*(s_Irr!AU29+s_Irr!BT29)),IF(AND(s_Irr!V29=".",s_Irr!AU29=".",s_Irr!BT29&lt;&gt;"."),s_dir!AW29/((1/1000)*(s_Irr!BT29)),IF(AND(s_Irr!V29=".",s_Irr!AU29&lt;&gt;".",s_Irr!BT29="."),s_dir!AW29/((1/1000)*(s_Irr!AU29)),IF(AND(s_Irr!V29&lt;&gt;".",s_Irr!AU29=".",s_Irr!BT29="."),s_dir!AW29/((1/1000)*(s_Irr!V29)),IF(AND(s_Irr!V29=".",s_Irr!AU29=".",s_Irr!BT29="."),s_dir!AW29*1000)))))))),".")</f>
        <v>.</v>
      </c>
      <c r="BX29" s="70" t="str">
        <f>IFERROR(IF(AND(s_Irr!W29&lt;&gt;".",s_Irr!AV29&lt;&gt;".",s_Irr!BU29&lt;&gt;"."),s_dir!AX29/((1/1000)*(s_Irr!W29+s_Irr!AV29+s_Irr!BU29)),IF(AND(s_Irr!W29&lt;&gt;".",s_Irr!AV29&lt;&gt;".",s_Irr!BU29="."),s_dir!AX29/((1/1000)*(s_Irr!W29+s_Irr!AV29)),IF(AND(s_Irr!W29&lt;&gt;".",s_Irr!AV29=".",s_Irr!BU29&lt;&gt;"."),s_dir!AX29/((1/1000)*(s_Irr!W29+s_Irr!BU29)),IF(AND(s_Irr!W29=".",s_Irr!AV29&lt;&gt;".",s_Irr!BU29&lt;&gt;"."),s_dir!AX29/((1/1000)*(s_Irr!AV29+s_Irr!BU29)),IF(AND(s_Irr!W29=".",s_Irr!AV29=".",s_Irr!BU29&lt;&gt;"."),s_dir!AX29/((1/1000)*(s_Irr!BU29)),IF(AND(s_Irr!W29=".",s_Irr!AV29&lt;&gt;".",s_Irr!BU29="."),s_dir!AX29/((1/1000)*(s_Irr!AV29)),IF(AND(s_Irr!W29&lt;&gt;".",s_Irr!AV29=".",s_Irr!BU29="."),s_dir!AX29/((1/1000)*(s_Irr!W29)),IF(AND(s_Irr!W29=".",s_Irr!AV29=".",s_Irr!BU29="."),s_dir!AX29*1000)))))))),".")</f>
        <v>.</v>
      </c>
      <c r="BY29" s="70" t="str">
        <f>IFERROR(IF(AND(s_Irr!X29&lt;&gt;".",s_Irr!AW29&lt;&gt;".",s_Irr!BV29&lt;&gt;"."),s_dir!AY29/((1/1000)*(s_Irr!X29+s_Irr!AW29+s_Irr!BV29)),IF(AND(s_Irr!X29&lt;&gt;".",s_Irr!AW29&lt;&gt;".",s_Irr!BV29="."),s_dir!AY29/((1/1000)*(s_Irr!X29+s_Irr!AW29)),IF(AND(s_Irr!X29&lt;&gt;".",s_Irr!AW29=".",s_Irr!BV29&lt;&gt;"."),s_dir!AY29/((1/1000)*(s_Irr!X29+s_Irr!BV29)),IF(AND(s_Irr!X29=".",s_Irr!AW29&lt;&gt;".",s_Irr!BV29&lt;&gt;"."),s_dir!AY29/((1/1000)*(s_Irr!AW29+s_Irr!BV29)),IF(AND(s_Irr!X29=".",s_Irr!AW29=".",s_Irr!BV29&lt;&gt;"."),s_dir!AY29/((1/1000)*(s_Irr!BV29)),IF(AND(s_Irr!X29=".",s_Irr!AW29&lt;&gt;".",s_Irr!BV29="."),s_dir!AY29/((1/1000)*(s_Irr!AW29)),IF(AND(s_Irr!X29&lt;&gt;".",s_Irr!AW29=".",s_Irr!BV29="."),s_dir!AY29/((1/1000)*(s_Irr!X29)),IF(AND(s_Irr!X29=".",s_Irr!AW29=".",s_Irr!BV29="."),s_dir!AY29*1000)))))))),".")</f>
        <v>.</v>
      </c>
      <c r="BZ29" s="70" t="str">
        <f>IFERROR(IF(AND(s_Irr!Y29&lt;&gt;".",s_Irr!AX29&lt;&gt;".",s_Irr!BW29&lt;&gt;"."),s_dir!AZ29/((1/1000)*(s_Irr!Y29+s_Irr!AX29+s_Irr!BW29)),IF(AND(s_Irr!Y29&lt;&gt;".",s_Irr!AX29&lt;&gt;".",s_Irr!BW29="."),s_dir!AZ29/((1/1000)*(s_Irr!Y29+s_Irr!AX29)),IF(AND(s_Irr!Y29&lt;&gt;".",s_Irr!AX29=".",s_Irr!BW29&lt;&gt;"."),s_dir!AZ29/((1/1000)*(s_Irr!Y29+s_Irr!BW29)),IF(AND(s_Irr!Y29=".",s_Irr!AX29&lt;&gt;".",s_Irr!BW29&lt;&gt;"."),s_dir!AZ29/((1/1000)*(s_Irr!AX29+s_Irr!BW29)),IF(AND(s_Irr!Y29=".",s_Irr!AX29=".",s_Irr!BW29&lt;&gt;"."),s_dir!AZ29/((1/1000)*(s_Irr!BW29)),IF(AND(s_Irr!Y29=".",s_Irr!AX29&lt;&gt;".",s_Irr!BW29="."),s_dir!AZ29/((1/1000)*(s_Irr!AX29)),IF(AND(s_Irr!Y29&lt;&gt;".",s_Irr!AX29=".",s_Irr!BW29="."),s_dir!AZ29/((1/1000)*(s_Irr!Y29)),IF(AND(s_Irr!Y29=".",s_Irr!AX29=".",s_Irr!BW29="."),s_dir!AZ29*1000)))))))),".")</f>
        <v>.</v>
      </c>
      <c r="CA29" s="70" t="str">
        <f>IFERROR(IF(AND(s_Irr!Z29&lt;&gt;".",s_Irr!AY29&lt;&gt;".",s_Irr!BX29&lt;&gt;"."),s_dir!BA29/((1/1000)*(s_Irr!Z29+s_Irr!AY29+s_Irr!BX29)),IF(AND(s_Irr!Z29&lt;&gt;".",s_Irr!AY29&lt;&gt;".",s_Irr!BX29="."),s_dir!BA29/((1/1000)*(s_Irr!Z29+s_Irr!AY29)),IF(AND(s_Irr!Z29&lt;&gt;".",s_Irr!AY29=".",s_Irr!BX29&lt;&gt;"."),s_dir!BA29/((1/1000)*(s_Irr!Z29+s_Irr!BX29)),IF(AND(s_Irr!Z29=".",s_Irr!AY29&lt;&gt;".",s_Irr!BX29&lt;&gt;"."),s_dir!BA29/((1/1000)*(s_Irr!AY29+s_Irr!BX29)),IF(AND(s_Irr!Z29=".",s_Irr!AY29=".",s_Irr!BX29&lt;&gt;"."),s_dir!BA29/((1/1000)*(s_Irr!BX29)),IF(AND(s_Irr!Z29=".",s_Irr!AY29&lt;&gt;".",s_Irr!BX29="."),s_dir!BA29/((1/1000)*(s_Irr!AY29)),IF(AND(s_Irr!Z29&lt;&gt;".",s_Irr!AY29=".",s_Irr!BX29="."),s_dir!BA29/((1/1000)*(s_Irr!Z29)),IF(AND(s_Irr!Z29=".",s_Irr!AY29=".",s_Irr!BX29="."),s_dir!BA29*1000)))))))),".")</f>
        <v>.</v>
      </c>
      <c r="CB29" s="70" t="str">
        <f>IFERROR(IF(AND(s_Irr!AA29&lt;&gt;".",s_Irr!AZ29&lt;&gt;".",s_Irr!BY29&lt;&gt;"."),s_dir!BB29/((1/1000)*(s_Irr!AA29+s_Irr!AZ29+s_Irr!BY29)),IF(AND(s_Irr!AA29&lt;&gt;".",s_Irr!AZ29&lt;&gt;".",s_Irr!BY29="."),s_dir!BB29/((1/1000)*(s_Irr!AA29+s_Irr!AZ29)),IF(AND(s_Irr!AA29&lt;&gt;".",s_Irr!AZ29=".",s_Irr!BY29&lt;&gt;"."),s_dir!BB29/((1/1000)*(s_Irr!AA29+s_Irr!BY29)),IF(AND(s_Irr!AA29=".",s_Irr!AZ29&lt;&gt;".",s_Irr!BY29&lt;&gt;"."),s_dir!BB29/((1/1000)*(s_Irr!AZ29+s_Irr!BY29)),IF(AND(s_Irr!AA29=".",s_Irr!AZ29=".",s_Irr!BY29&lt;&gt;"."),s_dir!BB29/((1/1000)*(s_Irr!BY29)),IF(AND(s_Irr!AA29=".",s_Irr!AZ29&lt;&gt;".",s_Irr!BY29="."),s_dir!BB29/((1/1000)*(s_Irr!AZ29)),IF(AND(s_Irr!AA29&lt;&gt;".",s_Irr!AZ29=".",s_Irr!BY29="."),s_dir!BB29/((1/1000)*(s_Irr!AA29)),IF(AND(s_Irr!AA29=".",s_Irr!AZ29=".",s_Irr!BY29="."),s_dir!BB29*1000)))))))),".")</f>
        <v>.</v>
      </c>
      <c r="CC29" s="87">
        <f t="shared" si="2"/>
        <v>656.8877799109207</v>
      </c>
      <c r="CD29" s="87">
        <f>IFERROR(s_C*s_IFAP_far_adj*s_CF_apple*(1/1000)*(s_Irr!C29+s_Irr!AB29+s_Irr!BA29),".")</f>
        <v>88.577324247385889</v>
      </c>
      <c r="CE29" s="87">
        <f>IFERROR(s_C*s_IFAS_far_adj*s_CF_asparagus*(1/1000)*(s_Irr!D29+s_Irr!AC29+s_Irr!BB29),".")</f>
        <v>89.65924969287353</v>
      </c>
      <c r="CF29" s="87">
        <f>IFERROR(s_C*s_IFBT_far_adj*s_CF_beet*(1/1000)*(s_Irr!E29+s_Irr!AD29+s_Irr!BC29),".")</f>
        <v>88.577324247385889</v>
      </c>
      <c r="CG29" s="87">
        <f>IFERROR(s_C*s_IFBE_far_adj*s_CF_berries*(1/1000)*(s_Irr!F29+s_Irr!AE29+s_Irr!BD29),".")</f>
        <v>88.577324247385889</v>
      </c>
      <c r="CH29" s="87">
        <f>IFERROR(s_C*s_IFBR_far_adj*s_CF_broccoli*(1/1000)*(s_Irr!G29+s_Irr!AF29+s_Irr!BE29),".")</f>
        <v>89.65924969287353</v>
      </c>
      <c r="CI29" s="87">
        <f>IFERROR(s_C*s_IFCB_far_adj*s_CF_cabbage*(1/1000)*(s_Irr!H29+s_Irr!AG29+s_Irr!BF29),".")</f>
        <v>89.65924969287353</v>
      </c>
      <c r="CJ29" s="87">
        <f>IFERROR(s_C*s_IFCR_far_adj*s_CF_carrot*(1/1000)*(s_Irr!I29+s_Irr!AH29+s_Irr!BG29),".")</f>
        <v>88.577324247385889</v>
      </c>
      <c r="CK29" s="87">
        <f>IFERROR(s_C*s_IFCI_far_adj*s_CF_citrus*(1/1000)*(s_Irr!J29+s_Irr!AI29+s_Irr!BH29),".")</f>
        <v>88.577324247385889</v>
      </c>
      <c r="CL29" s="87">
        <f>IFERROR(s_C*s_IFCO_far_adj*s_CF_corn*(1/1000)*(s_Irr!K29+s_Irr!AJ29+s_Irr!BI29),".")</f>
        <v>89.65924969287353</v>
      </c>
      <c r="CM29" s="87">
        <f>IFERROR(s_C*s_IFCU_far_adj*s_CF_cucumber*(1/1000)*(s_Irr!L29+s_Irr!AK29+s_Irr!BJ29),".")</f>
        <v>89.65924969287353</v>
      </c>
      <c r="CN29" s="87">
        <f>IFERROR(s_C*s_IFLE_far_adj*s_CF_lettuce*(1/1000)*(s_Irr!M29+s_Irr!AL29+s_Irr!BK29),".")</f>
        <v>89.65924969287353</v>
      </c>
      <c r="CO29" s="87">
        <f>IFERROR(s_C*s_IFLI_far_adj*s_CF_lima_bean*(1/1000)*(s_Irr!N29+s_Irr!AM29+s_Irr!BL29),".")</f>
        <v>89.65924969287353</v>
      </c>
      <c r="CP29" s="87">
        <f>IFERROR(s_C*s_IFOK_far_adj*s_CF_okra*(1/1000)*(s_Irr!O29+s_Irr!AN29+s_Irr!BM29),".")</f>
        <v>89.65924969287353</v>
      </c>
      <c r="CQ29" s="87">
        <f>IFERROR(s_C*s_IFON_far_adj*s_CF_onion*(1/1000)*(s_Irr!P29+s_Irr!AO29+s_Irr!BN29),".")</f>
        <v>88.577324247385889</v>
      </c>
      <c r="CR29" s="87">
        <f>IFERROR(s_C*s_IFPC_far_adj*s_CF_peach*(1/1000)*(s_Irr!Q29+s_Irr!AP29+s_Irr!BO29),".")</f>
        <v>88.577324247385889</v>
      </c>
      <c r="CS29" s="87">
        <f>IFERROR(s_C*s_IFPR_far_adj*s_CF_pear*(1/1000)*(s_Irr!R29+s_Irr!AQ29+s_Irr!BP29),".")</f>
        <v>88.577324247385889</v>
      </c>
      <c r="CT29" s="87">
        <f>IFERROR(s_C*s_IFPE_far_adj*s_CF_peas*(1/1000)*(s_Irr!S29+s_Irr!AR29+s_Irr!BQ29),".")</f>
        <v>89.65924969287353</v>
      </c>
      <c r="CU29" s="87">
        <f>IFERROR(s_C*s_IFPP_far_adj*s_CF_peppers*(1/1000)*(s_Irr!T29+s_Irr!AS29+s_Irr!BR29),".")</f>
        <v>89.65924969287353</v>
      </c>
      <c r="CV29" s="87">
        <f>IFERROR(s_C*s_IFPT_far_adj*s_CF_potato*(1/1000)*(s_Irr!U29+s_Irr!AT29+s_Irr!BS29),".")</f>
        <v>88.577324247385889</v>
      </c>
      <c r="CW29" s="87">
        <f>IFERROR(s_C*s_IFPU_far_adj*s_CF_pumpkin*(1/1000)*(s_Irr!V29+s_Irr!AU29+s_Irr!BT29),".")</f>
        <v>89.65924969287353</v>
      </c>
      <c r="CX29" s="87">
        <f>IFERROR(s_C*s_IFSN_far_adj*s_CF_snap_bean*(1/1000)*(s_Irr!W29+s_Irr!AV29+s_Irr!BU29),".")</f>
        <v>89.65924969287353</v>
      </c>
      <c r="CY29" s="87">
        <f>IFERROR(s_C*s_IFST_far_adj*s_CF_strawberry*(1/1000)*(s_Irr!X29+s_Irr!AW29+s_Irr!BV29),".")</f>
        <v>88.577324247385889</v>
      </c>
      <c r="CZ29" s="87">
        <f>IFERROR(s_C*s_IFTO_far_adj*s_CF_tomato*(1/1000)*(s_Irr!Y29+s_Irr!AX29+s_Irr!BW29),".")</f>
        <v>89.65924969287353</v>
      </c>
      <c r="DA29" s="87">
        <f>IFERROR(s_C*s_IFRI_far_adj*s_CF_rice*(1/1000)*(s_Irr!Z29+s_Irr!AY29+s_Irr!BX29),".")</f>
        <v>388.99195627778778</v>
      </c>
      <c r="DB29" s="87">
        <f>IFERROR(s_C*s_IFCG_far_adj*s_CF_cereal*(1/1000)*(s_Irr!AA29+s_Irr!AZ29+s_Irr!BY29),".")</f>
        <v>89.65924969287353</v>
      </c>
    </row>
    <row r="30" spans="1:106" ht="15" customHeight="1" x14ac:dyDescent="0.25">
      <c r="A30" s="86" t="s">
        <v>28</v>
      </c>
      <c r="B30" s="84" t="s">
        <v>1057</v>
      </c>
      <c r="C30" s="15">
        <f t="shared" si="3"/>
        <v>289.60812124349638</v>
      </c>
      <c r="D30" s="70">
        <f>IFERROR(IF(AND(s_Irr!C30&lt;&gt;".",s_Irr!AB30&lt;&gt;".",s_Irr!BA30&lt;&gt;"."),s_dir!D30/((1/1000)*(s_Irr!C30+s_Irr!AB30+s_Irr!BA30)),IF(AND(s_Irr!C30&lt;&gt;".",s_Irr!AB30&lt;&gt;".",s_Irr!BA30="."),s_dir!D30/((1/1000)*(s_Irr!C30+s_Irr!AB30)),IF(AND(s_Irr!C30&lt;&gt;".",s_Irr!AB30=".",s_Irr!BA30&lt;&gt;"."),s_dir!D30/((1/1000)*(s_Irr!C30+s_Irr!BA30)),IF(AND(s_Irr!C30=".",s_Irr!AB30&lt;&gt;".",s_Irr!BA30&lt;&gt;"."),s_dir!D30/((1/1000)*(s_Irr!AB30+s_Irr!BA30)),IF(AND(s_Irr!C30=".",s_Irr!AB30=".",s_Irr!BA30&lt;&gt;"."),s_dir!D30/((1/1000)*(s_Irr!BA30)),IF(AND(s_Irr!C30=".",s_Irr!AB30&lt;&gt;".",s_Irr!BA30="."),s_dir!D30/((1/1000)*(s_Irr!AB30)),IF(AND(s_Irr!C30&lt;&gt;".",s_Irr!AB30=".",s_Irr!BA30="."),s_dir!D30/((1/1000)*(s_Irr!C30)),IF(AND(s_Irr!C30=".",s_Irr!AB30=".",s_Irr!BA30="."),s_dir!D30*1000)))))))),".")</f>
        <v>1247.6517691418646</v>
      </c>
      <c r="E30" s="70">
        <f>IFERROR(IF(AND(s_Irr!D30&lt;&gt;".",s_Irr!AC30&lt;&gt;".",s_Irr!BB30&lt;&gt;"."),s_dir!E30/((1/1000)*(s_Irr!D30+s_Irr!AC30+s_Irr!BB30)),IF(AND(s_Irr!D30&lt;&gt;".",s_Irr!AC30&lt;&gt;".",s_Irr!BB30="."),s_dir!E30/((1/1000)*(s_Irr!D30+s_Irr!AC30)),IF(AND(s_Irr!D30&lt;&gt;".",s_Irr!AC30=".",s_Irr!BB30&lt;&gt;"."),s_dir!E30/((1/1000)*(s_Irr!D30+s_Irr!BB30)),IF(AND(s_Irr!D30=".",s_Irr!AC30&lt;&gt;".",s_Irr!BB30&lt;&gt;"."),s_dir!E30/((1/1000)*(s_Irr!AC30+s_Irr!BB30)),IF(AND(s_Irr!D30=".",s_Irr!AC30=".",s_Irr!BB30&lt;&gt;"."),s_dir!E30/((1/1000)*(s_Irr!BB30)),IF(AND(s_Irr!D30=".",s_Irr!AC30&lt;&gt;".",s_Irr!BB30="."),s_dir!E30/((1/1000)*(s_Irr!AC30)),IF(AND(s_Irr!D30&lt;&gt;".",s_Irr!AC30=".",s_Irr!BB30="."),s_dir!E30/((1/1000)*(s_Irr!D30)),IF(AND(s_Irr!D30=".",s_Irr!AC30=".",s_Irr!BB30="."),s_dir!E30*1000)))))))),".")</f>
        <v>947.0755287377375</v>
      </c>
      <c r="F30" s="70">
        <f>IFERROR(IF(AND(s_Irr!E30&lt;&gt;".",s_Irr!AD30&lt;&gt;".",s_Irr!BC30&lt;&gt;"."),s_dir!F30/((1/1000)*(s_Irr!E30+s_Irr!AD30+s_Irr!BC30)),IF(AND(s_Irr!E30&lt;&gt;".",s_Irr!AD30&lt;&gt;".",s_Irr!BC30="."),s_dir!F30/((1/1000)*(s_Irr!E30+s_Irr!AD30)),IF(AND(s_Irr!E30&lt;&gt;".",s_Irr!AD30=".",s_Irr!BC30&lt;&gt;"."),s_dir!F30/((1/1000)*(s_Irr!E30+s_Irr!BC30)),IF(AND(s_Irr!E30=".",s_Irr!AD30&lt;&gt;".",s_Irr!BC30&lt;&gt;"."),s_dir!F30/((1/1000)*(s_Irr!AD30+s_Irr!BC30)),IF(AND(s_Irr!E30=".",s_Irr!AD30=".",s_Irr!BC30&lt;&gt;"."),s_dir!F30/((1/1000)*(s_Irr!BC30)),IF(AND(s_Irr!E30=".",s_Irr!AD30&lt;&gt;".",s_Irr!BC30="."),s_dir!F30/((1/1000)*(s_Irr!AD30)),IF(AND(s_Irr!E30&lt;&gt;".",s_Irr!AD30=".",s_Irr!BC30="."),s_dir!F30/((1/1000)*(s_Irr!E30)),IF(AND(s_Irr!E30=".",s_Irr!AD30=".",s_Irr!BC30="."),s_dir!F30*1000)))))))),".")</f>
        <v>1110.3972847127168</v>
      </c>
      <c r="G30" s="70">
        <f>IFERROR(IF(AND(s_Irr!F30&lt;&gt;".",s_Irr!AE30&lt;&gt;".",s_Irr!BD30&lt;&gt;"."),s_dir!G30/((1/1000)*(s_Irr!F30+s_Irr!AE30+s_Irr!BD30)),IF(AND(s_Irr!F30&lt;&gt;".",s_Irr!AE30&lt;&gt;".",s_Irr!BD30="."),s_dir!G30/((1/1000)*(s_Irr!F30+s_Irr!AE30)),IF(AND(s_Irr!F30&lt;&gt;".",s_Irr!AE30=".",s_Irr!BD30&lt;&gt;"."),s_dir!G30/((1/1000)*(s_Irr!F30+s_Irr!BD30)),IF(AND(s_Irr!F30=".",s_Irr!AE30&lt;&gt;".",s_Irr!BD30&lt;&gt;"."),s_dir!G30/((1/1000)*(s_Irr!AE30+s_Irr!BD30)),IF(AND(s_Irr!F30=".",s_Irr!AE30=".",s_Irr!BD30&lt;&gt;"."),s_dir!G30/((1/1000)*(s_Irr!BD30)),IF(AND(s_Irr!F30=".",s_Irr!AE30&lt;&gt;".",s_Irr!BD30="."),s_dir!G30/((1/1000)*(s_Irr!AE30)),IF(AND(s_Irr!F30&lt;&gt;".",s_Irr!AE30=".",s_Irr!BD30="."),s_dir!G30/((1/1000)*(s_Irr!F30)),IF(AND(s_Irr!F30=".",s_Irr!AE30=".",s_Irr!BD30="."),s_dir!G30*1000)))))))),".")</f>
        <v>1247.6517691418646</v>
      </c>
      <c r="H30" s="70">
        <f>IFERROR(IF(AND(s_Irr!G30&lt;&gt;".",s_Irr!AF30&lt;&gt;".",s_Irr!BE30&lt;&gt;"."),s_dir!H30/((1/1000)*(s_Irr!G30+s_Irr!AF30+s_Irr!BE30)),IF(AND(s_Irr!G30&lt;&gt;".",s_Irr!AF30&lt;&gt;".",s_Irr!BE30="."),s_dir!H30/((1/1000)*(s_Irr!G30+s_Irr!AF30)),IF(AND(s_Irr!G30&lt;&gt;".",s_Irr!AF30=".",s_Irr!BE30&lt;&gt;"."),s_dir!H30/((1/1000)*(s_Irr!G30+s_Irr!BE30)),IF(AND(s_Irr!G30=".",s_Irr!AF30&lt;&gt;".",s_Irr!BE30&lt;&gt;"."),s_dir!H30/((1/1000)*(s_Irr!AF30+s_Irr!BE30)),IF(AND(s_Irr!G30=".",s_Irr!AF30=".",s_Irr!BE30&lt;&gt;"."),s_dir!H30/((1/1000)*(s_Irr!BE30)),IF(AND(s_Irr!G30=".",s_Irr!AF30&lt;&gt;".",s_Irr!BE30="."),s_dir!H30/((1/1000)*(s_Irr!AF30)),IF(AND(s_Irr!G30&lt;&gt;".",s_Irr!AF30=".",s_Irr!BE30="."),s_dir!H30/((1/1000)*(s_Irr!G30)),IF(AND(s_Irr!G30=".",s_Irr!AF30=".",s_Irr!BE30="."),s_dir!H30*1000)))))))),".")</f>
        <v>1011.182807396798</v>
      </c>
      <c r="I30" s="70">
        <f>IFERROR(IF(AND(s_Irr!H30&lt;&gt;".",s_Irr!AG30&lt;&gt;".",s_Irr!BF30&lt;&gt;"."),s_dir!I30/((1/1000)*(s_Irr!H30+s_Irr!AG30+s_Irr!BF30)),IF(AND(s_Irr!H30&lt;&gt;".",s_Irr!AG30&lt;&gt;".",s_Irr!BF30="."),s_dir!I30/((1/1000)*(s_Irr!H30+s_Irr!AG30)),IF(AND(s_Irr!H30&lt;&gt;".",s_Irr!AG30=".",s_Irr!BF30&lt;&gt;"."),s_dir!I30/((1/1000)*(s_Irr!H30+s_Irr!BF30)),IF(AND(s_Irr!H30=".",s_Irr!AG30&lt;&gt;".",s_Irr!BF30&lt;&gt;"."),s_dir!I30/((1/1000)*(s_Irr!AG30+s_Irr!BF30)),IF(AND(s_Irr!H30=".",s_Irr!AG30=".",s_Irr!BF30&lt;&gt;"."),s_dir!I30/((1/1000)*(s_Irr!BF30)),IF(AND(s_Irr!H30=".",s_Irr!AG30&lt;&gt;".",s_Irr!BF30="."),s_dir!I30/((1/1000)*(s_Irr!AG30)),IF(AND(s_Irr!H30&lt;&gt;".",s_Irr!AG30=".",s_Irr!BF30="."),s_dir!I30/((1/1000)*(s_Irr!H30)),IF(AND(s_Irr!H30=".",s_Irr!AG30=".",s_Irr!BF30="."),s_dir!I30*1000)))))))),".")</f>
        <v>947.0755287377375</v>
      </c>
      <c r="J30" s="70">
        <f>IFERROR(IF(AND(s_Irr!I30&lt;&gt;".",s_Irr!AH30&lt;&gt;".",s_Irr!BG30&lt;&gt;"."),s_dir!J30/((1/1000)*(s_Irr!I30+s_Irr!AH30+s_Irr!BG30)),IF(AND(s_Irr!I30&lt;&gt;".",s_Irr!AH30&lt;&gt;".",s_Irr!BG30="."),s_dir!J30/((1/1000)*(s_Irr!I30+s_Irr!AH30)),IF(AND(s_Irr!I30&lt;&gt;".",s_Irr!AH30=".",s_Irr!BG30&lt;&gt;"."),s_dir!J30/((1/1000)*(s_Irr!I30+s_Irr!BG30)),IF(AND(s_Irr!I30=".",s_Irr!AH30&lt;&gt;".",s_Irr!BG30&lt;&gt;"."),s_dir!J30/((1/1000)*(s_Irr!AH30+s_Irr!BG30)),IF(AND(s_Irr!I30=".",s_Irr!AH30=".",s_Irr!BG30&lt;&gt;"."),s_dir!J30/((1/1000)*(s_Irr!BG30)),IF(AND(s_Irr!I30=".",s_Irr!AH30&lt;&gt;".",s_Irr!BG30="."),s_dir!J30/((1/1000)*(s_Irr!AH30)),IF(AND(s_Irr!I30&lt;&gt;".",s_Irr!AH30=".",s_Irr!BG30="."),s_dir!J30/((1/1000)*(s_Irr!I30)),IF(AND(s_Irr!I30=".",s_Irr!AH30=".",s_Irr!BG30="."),s_dir!J30*1000)))))))),".")</f>
        <v>1110.3972847127168</v>
      </c>
      <c r="K30" s="70">
        <f>IFERROR(IF(AND(s_Irr!J30&lt;&gt;".",s_Irr!AI30&lt;&gt;".",s_Irr!BH30&lt;&gt;"."),s_dir!K30/((1/1000)*(s_Irr!J30+s_Irr!AI30+s_Irr!BH30)),IF(AND(s_Irr!J30&lt;&gt;".",s_Irr!AI30&lt;&gt;".",s_Irr!BH30="."),s_dir!K30/((1/1000)*(s_Irr!J30+s_Irr!AI30)),IF(AND(s_Irr!J30&lt;&gt;".",s_Irr!AI30=".",s_Irr!BH30&lt;&gt;"."),s_dir!K30/((1/1000)*(s_Irr!J30+s_Irr!BH30)),IF(AND(s_Irr!J30=".",s_Irr!AI30&lt;&gt;".",s_Irr!BH30&lt;&gt;"."),s_dir!K30/((1/1000)*(s_Irr!AI30+s_Irr!BH30)),IF(AND(s_Irr!J30=".",s_Irr!AI30=".",s_Irr!BH30&lt;&gt;"."),s_dir!K30/((1/1000)*(s_Irr!BH30)),IF(AND(s_Irr!J30=".",s_Irr!AI30&lt;&gt;".",s_Irr!BH30="."),s_dir!K30/((1/1000)*(s_Irr!AI30)),IF(AND(s_Irr!J30&lt;&gt;".",s_Irr!AI30=".",s_Irr!BH30="."),s_dir!K30/((1/1000)*(s_Irr!J30)),IF(AND(s_Irr!J30=".",s_Irr!AI30=".",s_Irr!BH30="."),s_dir!K30*1000)))))))),".")</f>
        <v>1247.6517691418646</v>
      </c>
      <c r="L30" s="70">
        <f>IFERROR(IF(AND(s_Irr!K30&lt;&gt;".",s_Irr!AJ30&lt;&gt;".",s_Irr!BI30&lt;&gt;"."),s_dir!L30/((1/1000)*(s_Irr!K30+s_Irr!AJ30+s_Irr!BI30)),IF(AND(s_Irr!K30&lt;&gt;".",s_Irr!AJ30&lt;&gt;".",s_Irr!BI30="."),s_dir!L30/((1/1000)*(s_Irr!K30+s_Irr!AJ30)),IF(AND(s_Irr!K30&lt;&gt;".",s_Irr!AJ30=".",s_Irr!BI30&lt;&gt;"."),s_dir!L30/((1/1000)*(s_Irr!K30+s_Irr!BI30)),IF(AND(s_Irr!K30=".",s_Irr!AJ30&lt;&gt;".",s_Irr!BI30&lt;&gt;"."),s_dir!L30/((1/1000)*(s_Irr!AJ30+s_Irr!BI30)),IF(AND(s_Irr!K30=".",s_Irr!AJ30=".",s_Irr!BI30&lt;&gt;"."),s_dir!L30/((1/1000)*(s_Irr!BI30)),IF(AND(s_Irr!K30=".",s_Irr!AJ30&lt;&gt;".",s_Irr!BI30="."),s_dir!L30/((1/1000)*(s_Irr!AJ30)),IF(AND(s_Irr!K30&lt;&gt;".",s_Irr!AJ30=".",s_Irr!BI30="."),s_dir!L30/((1/1000)*(s_Irr!K30)),IF(AND(s_Irr!K30=".",s_Irr!AJ30=".",s_Irr!BI30="."),s_dir!L30*1000)))))))),".")</f>
        <v>1011.182807396798</v>
      </c>
      <c r="M30" s="70">
        <f>IFERROR(IF(AND(s_Irr!L30&lt;&gt;".",s_Irr!AK30&lt;&gt;".",s_Irr!BJ30&lt;&gt;"."),s_dir!M30/((1/1000)*(s_Irr!L30+s_Irr!AK30+s_Irr!BJ30)),IF(AND(s_Irr!L30&lt;&gt;".",s_Irr!AK30&lt;&gt;".",s_Irr!BJ30="."),s_dir!M30/((1/1000)*(s_Irr!L30+s_Irr!AK30)),IF(AND(s_Irr!L30&lt;&gt;".",s_Irr!AK30=".",s_Irr!BJ30&lt;&gt;"."),s_dir!M30/((1/1000)*(s_Irr!L30+s_Irr!BJ30)),IF(AND(s_Irr!L30=".",s_Irr!AK30&lt;&gt;".",s_Irr!BJ30&lt;&gt;"."),s_dir!M30/((1/1000)*(s_Irr!AK30+s_Irr!BJ30)),IF(AND(s_Irr!L30=".",s_Irr!AK30=".",s_Irr!BJ30&lt;&gt;"."),s_dir!M30/((1/1000)*(s_Irr!BJ30)),IF(AND(s_Irr!L30=".",s_Irr!AK30&lt;&gt;".",s_Irr!BJ30="."),s_dir!M30/((1/1000)*(s_Irr!AK30)),IF(AND(s_Irr!L30&lt;&gt;".",s_Irr!AK30=".",s_Irr!BJ30="."),s_dir!M30/((1/1000)*(s_Irr!L30)),IF(AND(s_Irr!L30=".",s_Irr!AK30=".",s_Irr!BJ30="."),s_dir!M30*1000)))))))),".")</f>
        <v>1011.182807396798</v>
      </c>
      <c r="N30" s="70">
        <f>IFERROR(IF(AND(s_Irr!M30&lt;&gt;".",s_Irr!AL30&lt;&gt;".",s_Irr!BK30&lt;&gt;"."),s_dir!N30/((1/1000)*(s_Irr!M30+s_Irr!AL30+s_Irr!BK30)),IF(AND(s_Irr!M30&lt;&gt;".",s_Irr!AL30&lt;&gt;".",s_Irr!BK30="."),s_dir!N30/((1/1000)*(s_Irr!M30+s_Irr!AL30)),IF(AND(s_Irr!M30&lt;&gt;".",s_Irr!AL30=".",s_Irr!BK30&lt;&gt;"."),s_dir!N30/((1/1000)*(s_Irr!M30+s_Irr!BK30)),IF(AND(s_Irr!M30=".",s_Irr!AL30&lt;&gt;".",s_Irr!BK30&lt;&gt;"."),s_dir!N30/((1/1000)*(s_Irr!AL30+s_Irr!BK30)),IF(AND(s_Irr!M30=".",s_Irr!AL30=".",s_Irr!BK30&lt;&gt;"."),s_dir!N30/((1/1000)*(s_Irr!BK30)),IF(AND(s_Irr!M30=".",s_Irr!AL30&lt;&gt;".",s_Irr!BK30="."),s_dir!N30/((1/1000)*(s_Irr!AL30)),IF(AND(s_Irr!M30&lt;&gt;".",s_Irr!AL30=".",s_Irr!BK30="."),s_dir!N30/((1/1000)*(s_Irr!M30)),IF(AND(s_Irr!M30=".",s_Irr!AL30=".",s_Irr!BK30="."),s_dir!N30*1000)))))))),".")</f>
        <v>947.0755287377375</v>
      </c>
      <c r="O30" s="70">
        <f>IFERROR(IF(AND(s_Irr!N30&lt;&gt;".",s_Irr!AM30&lt;&gt;".",s_Irr!BL30&lt;&gt;"."),s_dir!O30/((1/1000)*(s_Irr!N30+s_Irr!AM30+s_Irr!BL30)),IF(AND(s_Irr!N30&lt;&gt;".",s_Irr!AM30&lt;&gt;".",s_Irr!BL30="."),s_dir!O30/((1/1000)*(s_Irr!N30+s_Irr!AM30)),IF(AND(s_Irr!N30&lt;&gt;".",s_Irr!AM30=".",s_Irr!BL30&lt;&gt;"."),s_dir!O30/((1/1000)*(s_Irr!N30+s_Irr!BL30)),IF(AND(s_Irr!N30=".",s_Irr!AM30&lt;&gt;".",s_Irr!BL30&lt;&gt;"."),s_dir!O30/((1/1000)*(s_Irr!AM30+s_Irr!BL30)),IF(AND(s_Irr!N30=".",s_Irr!AM30=".",s_Irr!BL30&lt;&gt;"."),s_dir!O30/((1/1000)*(s_Irr!BL30)),IF(AND(s_Irr!N30=".",s_Irr!AM30&lt;&gt;".",s_Irr!BL30="."),s_dir!O30/((1/1000)*(s_Irr!AM30)),IF(AND(s_Irr!N30&lt;&gt;".",s_Irr!AM30=".",s_Irr!BL30="."),s_dir!O30/((1/1000)*(s_Irr!N30)),IF(AND(s_Irr!N30=".",s_Irr!AM30=".",s_Irr!BL30="."),s_dir!O30*1000)))))))),".")</f>
        <v>1223.1345110953582</v>
      </c>
      <c r="P30" s="70">
        <f>IFERROR(IF(AND(s_Irr!O30&lt;&gt;".",s_Irr!AN30&lt;&gt;".",s_Irr!BM30&lt;&gt;"."),s_dir!P30/((1/1000)*(s_Irr!O30+s_Irr!AN30+s_Irr!BM30)),IF(AND(s_Irr!O30&lt;&gt;".",s_Irr!AN30&lt;&gt;".",s_Irr!BM30="."),s_dir!P30/((1/1000)*(s_Irr!O30+s_Irr!AN30)),IF(AND(s_Irr!O30&lt;&gt;".",s_Irr!AN30=".",s_Irr!BM30&lt;&gt;"."),s_dir!P30/((1/1000)*(s_Irr!O30+s_Irr!BM30)),IF(AND(s_Irr!O30=".",s_Irr!AN30&lt;&gt;".",s_Irr!BM30&lt;&gt;"."),s_dir!P30/((1/1000)*(s_Irr!AN30+s_Irr!BM30)),IF(AND(s_Irr!O30=".",s_Irr!AN30=".",s_Irr!BM30&lt;&gt;"."),s_dir!P30/((1/1000)*(s_Irr!BM30)),IF(AND(s_Irr!O30=".",s_Irr!AN30&lt;&gt;".",s_Irr!BM30="."),s_dir!P30/((1/1000)*(s_Irr!AN30)),IF(AND(s_Irr!O30&lt;&gt;".",s_Irr!AN30=".",s_Irr!BM30="."),s_dir!P30/((1/1000)*(s_Irr!O30)),IF(AND(s_Irr!O30=".",s_Irr!AN30=".",s_Irr!BM30="."),s_dir!P30*1000)))))))),".")</f>
        <v>1011.182807396798</v>
      </c>
      <c r="Q30" s="70">
        <f>IFERROR(IF(AND(s_Irr!P30&lt;&gt;".",s_Irr!AO30&lt;&gt;".",s_Irr!BN30&lt;&gt;"."),s_dir!Q30/((1/1000)*(s_Irr!P30+s_Irr!AO30+s_Irr!BN30)),IF(AND(s_Irr!P30&lt;&gt;".",s_Irr!AO30&lt;&gt;".",s_Irr!BN30="."),s_dir!Q30/((1/1000)*(s_Irr!P30+s_Irr!AO30)),IF(AND(s_Irr!P30&lt;&gt;".",s_Irr!AO30=".",s_Irr!BN30&lt;&gt;"."),s_dir!Q30/((1/1000)*(s_Irr!P30+s_Irr!BN30)),IF(AND(s_Irr!P30=".",s_Irr!AO30&lt;&gt;".",s_Irr!BN30&lt;&gt;"."),s_dir!Q30/((1/1000)*(s_Irr!AO30+s_Irr!BN30)),IF(AND(s_Irr!P30=".",s_Irr!AO30=".",s_Irr!BN30&lt;&gt;"."),s_dir!Q30/((1/1000)*(s_Irr!BN30)),IF(AND(s_Irr!P30=".",s_Irr!AO30&lt;&gt;".",s_Irr!BN30="."),s_dir!Q30/((1/1000)*(s_Irr!AO30)),IF(AND(s_Irr!P30&lt;&gt;".",s_Irr!AO30=".",s_Irr!BN30="."),s_dir!Q30/((1/1000)*(s_Irr!P30)),IF(AND(s_Irr!P30=".",s_Irr!AO30=".",s_Irr!BN30="."),s_dir!Q30*1000)))))))),".")</f>
        <v>1110.3972847127168</v>
      </c>
      <c r="R30" s="70">
        <f>IFERROR(IF(AND(s_Irr!Q30&lt;&gt;".",s_Irr!AP30&lt;&gt;".",s_Irr!BO30&lt;&gt;"."),s_dir!R30/((1/1000)*(s_Irr!Q30+s_Irr!AP30+s_Irr!BO30)),IF(AND(s_Irr!Q30&lt;&gt;".",s_Irr!AP30&lt;&gt;".",s_Irr!BO30="."),s_dir!R30/((1/1000)*(s_Irr!Q30+s_Irr!AP30)),IF(AND(s_Irr!Q30&lt;&gt;".",s_Irr!AP30=".",s_Irr!BO30&lt;&gt;"."),s_dir!R30/((1/1000)*(s_Irr!Q30+s_Irr!BO30)),IF(AND(s_Irr!Q30=".",s_Irr!AP30&lt;&gt;".",s_Irr!BO30&lt;&gt;"."),s_dir!R30/((1/1000)*(s_Irr!AP30+s_Irr!BO30)),IF(AND(s_Irr!Q30=".",s_Irr!AP30=".",s_Irr!BO30&lt;&gt;"."),s_dir!R30/((1/1000)*(s_Irr!BO30)),IF(AND(s_Irr!Q30=".",s_Irr!AP30&lt;&gt;".",s_Irr!BO30="."),s_dir!R30/((1/1000)*(s_Irr!AP30)),IF(AND(s_Irr!Q30&lt;&gt;".",s_Irr!AP30=".",s_Irr!BO30="."),s_dir!R30/((1/1000)*(s_Irr!Q30)),IF(AND(s_Irr!Q30=".",s_Irr!AP30=".",s_Irr!BO30="."),s_dir!R30*1000)))))))),".")</f>
        <v>1247.6517691418646</v>
      </c>
      <c r="S30" s="70">
        <f>IFERROR(IF(AND(s_Irr!R30&lt;&gt;".",s_Irr!AQ30&lt;&gt;".",s_Irr!BP30&lt;&gt;"."),s_dir!S30/((1/1000)*(s_Irr!R30+s_Irr!AQ30+s_Irr!BP30)),IF(AND(s_Irr!R30&lt;&gt;".",s_Irr!AQ30&lt;&gt;".",s_Irr!BP30="."),s_dir!S30/((1/1000)*(s_Irr!R30+s_Irr!AQ30)),IF(AND(s_Irr!R30&lt;&gt;".",s_Irr!AQ30=".",s_Irr!BP30&lt;&gt;"."),s_dir!S30/((1/1000)*(s_Irr!R30+s_Irr!BP30)),IF(AND(s_Irr!R30=".",s_Irr!AQ30&lt;&gt;".",s_Irr!BP30&lt;&gt;"."),s_dir!S30/((1/1000)*(s_Irr!AQ30+s_Irr!BP30)),IF(AND(s_Irr!R30=".",s_Irr!AQ30=".",s_Irr!BP30&lt;&gt;"."),s_dir!S30/((1/1000)*(s_Irr!BP30)),IF(AND(s_Irr!R30=".",s_Irr!AQ30&lt;&gt;".",s_Irr!BP30="."),s_dir!S30/((1/1000)*(s_Irr!AQ30)),IF(AND(s_Irr!R30&lt;&gt;".",s_Irr!AQ30=".",s_Irr!BP30="."),s_dir!S30/((1/1000)*(s_Irr!R30)),IF(AND(s_Irr!R30=".",s_Irr!AQ30=".",s_Irr!BP30="."),s_dir!S30*1000)))))))),".")</f>
        <v>1247.6517691418646</v>
      </c>
      <c r="T30" s="70">
        <f>IFERROR(IF(AND(s_Irr!S30&lt;&gt;".",s_Irr!AR30&lt;&gt;".",s_Irr!BQ30&lt;&gt;"."),s_dir!T30/((1/1000)*(s_Irr!S30+s_Irr!AR30+s_Irr!BQ30)),IF(AND(s_Irr!S30&lt;&gt;".",s_Irr!AR30&lt;&gt;".",s_Irr!BQ30="."),s_dir!T30/((1/1000)*(s_Irr!S30+s_Irr!AR30)),IF(AND(s_Irr!S30&lt;&gt;".",s_Irr!AR30=".",s_Irr!BQ30&lt;&gt;"."),s_dir!T30/((1/1000)*(s_Irr!S30+s_Irr!BQ30)),IF(AND(s_Irr!S30=".",s_Irr!AR30&lt;&gt;".",s_Irr!BQ30&lt;&gt;"."),s_dir!T30/((1/1000)*(s_Irr!AR30+s_Irr!BQ30)),IF(AND(s_Irr!S30=".",s_Irr!AR30=".",s_Irr!BQ30&lt;&gt;"."),s_dir!T30/((1/1000)*(s_Irr!BQ30)),IF(AND(s_Irr!S30=".",s_Irr!AR30&lt;&gt;".",s_Irr!BQ30="."),s_dir!T30/((1/1000)*(s_Irr!AR30)),IF(AND(s_Irr!S30&lt;&gt;".",s_Irr!AR30=".",s_Irr!BQ30="."),s_dir!T30/((1/1000)*(s_Irr!S30)),IF(AND(s_Irr!S30=".",s_Irr!AR30=".",s_Irr!BQ30="."),s_dir!T30*1000)))))))),".")</f>
        <v>1223.1345110953582</v>
      </c>
      <c r="U30" s="70">
        <f>IFERROR(IF(AND(s_Irr!T30&lt;&gt;".",s_Irr!AS30&lt;&gt;".",s_Irr!BR30&lt;&gt;"."),s_dir!U30/((1/1000)*(s_Irr!T30+s_Irr!AS30+s_Irr!BR30)),IF(AND(s_Irr!T30&lt;&gt;".",s_Irr!AS30&lt;&gt;".",s_Irr!BR30="."),s_dir!U30/((1/1000)*(s_Irr!T30+s_Irr!AS30)),IF(AND(s_Irr!T30&lt;&gt;".",s_Irr!AS30=".",s_Irr!BR30&lt;&gt;"."),s_dir!U30/((1/1000)*(s_Irr!T30+s_Irr!BR30)),IF(AND(s_Irr!T30=".",s_Irr!AS30&lt;&gt;".",s_Irr!BR30&lt;&gt;"."),s_dir!U30/((1/1000)*(s_Irr!AS30+s_Irr!BR30)),IF(AND(s_Irr!T30=".",s_Irr!AS30=".",s_Irr!BR30&lt;&gt;"."),s_dir!U30/((1/1000)*(s_Irr!BR30)),IF(AND(s_Irr!T30=".",s_Irr!AS30&lt;&gt;".",s_Irr!BR30="."),s_dir!U30/((1/1000)*(s_Irr!AS30)),IF(AND(s_Irr!T30&lt;&gt;".",s_Irr!AS30=".",s_Irr!BR30="."),s_dir!U30/((1/1000)*(s_Irr!T30)),IF(AND(s_Irr!T30=".",s_Irr!AS30=".",s_Irr!BR30="."),s_dir!U30*1000)))))))),".")</f>
        <v>1011.182807396798</v>
      </c>
      <c r="V30" s="70">
        <f>IFERROR(IF(AND(s_Irr!U30&lt;&gt;".",s_Irr!AT30&lt;&gt;".",s_Irr!BS30&lt;&gt;"."),s_dir!V30/((1/1000)*(s_Irr!U30+s_Irr!AT30+s_Irr!BS30)),IF(AND(s_Irr!U30&lt;&gt;".",s_Irr!AT30&lt;&gt;".",s_Irr!BS30="."),s_dir!V30/((1/1000)*(s_Irr!U30+s_Irr!AT30)),IF(AND(s_Irr!U30&lt;&gt;".",s_Irr!AT30=".",s_Irr!BS30&lt;&gt;"."),s_dir!V30/((1/1000)*(s_Irr!U30+s_Irr!BS30)),IF(AND(s_Irr!U30=".",s_Irr!AT30&lt;&gt;".",s_Irr!BS30&lt;&gt;"."),s_dir!V30/((1/1000)*(s_Irr!AT30+s_Irr!BS30)),IF(AND(s_Irr!U30=".",s_Irr!AT30=".",s_Irr!BS30&lt;&gt;"."),s_dir!V30/((1/1000)*(s_Irr!BS30)),IF(AND(s_Irr!U30=".",s_Irr!AT30&lt;&gt;".",s_Irr!BS30="."),s_dir!V30/((1/1000)*(s_Irr!AT30)),IF(AND(s_Irr!U30&lt;&gt;".",s_Irr!AT30=".",s_Irr!BS30="."),s_dir!V30/((1/1000)*(s_Irr!U30)),IF(AND(s_Irr!U30=".",s_Irr!AT30=".",s_Irr!BS30="."),s_dir!V30*1000)))))))),".")</f>
        <v>1169.5104851627939</v>
      </c>
      <c r="W30" s="70">
        <f>IFERROR(IF(AND(s_Irr!V30&lt;&gt;".",s_Irr!AU30&lt;&gt;".",s_Irr!BT30&lt;&gt;"."),s_dir!W30/((1/1000)*(s_Irr!V30+s_Irr!AU30+s_Irr!BT30)),IF(AND(s_Irr!V30&lt;&gt;".",s_Irr!AU30&lt;&gt;".",s_Irr!BT30="."),s_dir!W30/((1/1000)*(s_Irr!V30+s_Irr!AU30)),IF(AND(s_Irr!V30&lt;&gt;".",s_Irr!AU30=".",s_Irr!BT30&lt;&gt;"."),s_dir!W30/((1/1000)*(s_Irr!V30+s_Irr!BT30)),IF(AND(s_Irr!V30=".",s_Irr!AU30&lt;&gt;".",s_Irr!BT30&lt;&gt;"."),s_dir!W30/((1/1000)*(s_Irr!AU30+s_Irr!BT30)),IF(AND(s_Irr!V30=".",s_Irr!AU30=".",s_Irr!BT30&lt;&gt;"."),s_dir!W30/((1/1000)*(s_Irr!BT30)),IF(AND(s_Irr!V30=".",s_Irr!AU30&lt;&gt;".",s_Irr!BT30="."),s_dir!W30/((1/1000)*(s_Irr!AU30)),IF(AND(s_Irr!V30&lt;&gt;".",s_Irr!AU30=".",s_Irr!BT30="."),s_dir!W30/((1/1000)*(s_Irr!V30)),IF(AND(s_Irr!V30=".",s_Irr!AU30=".",s_Irr!BT30="."),s_dir!W30*1000)))))))),".")</f>
        <v>1011.182807396798</v>
      </c>
      <c r="X30" s="70">
        <f>IFERROR(IF(AND(s_Irr!W30&lt;&gt;".",s_Irr!AV30&lt;&gt;".",s_Irr!BU30&lt;&gt;"."),s_dir!X30/((1/1000)*(s_Irr!W30+s_Irr!AV30+s_Irr!BU30)),IF(AND(s_Irr!W30&lt;&gt;".",s_Irr!AV30&lt;&gt;".",s_Irr!BU30="."),s_dir!X30/((1/1000)*(s_Irr!W30+s_Irr!AV30)),IF(AND(s_Irr!W30&lt;&gt;".",s_Irr!AV30=".",s_Irr!BU30&lt;&gt;"."),s_dir!X30/((1/1000)*(s_Irr!W30+s_Irr!BU30)),IF(AND(s_Irr!W30=".",s_Irr!AV30&lt;&gt;".",s_Irr!BU30&lt;&gt;"."),s_dir!X30/((1/1000)*(s_Irr!AV30+s_Irr!BU30)),IF(AND(s_Irr!W30=".",s_Irr!AV30=".",s_Irr!BU30&lt;&gt;"."),s_dir!X30/((1/1000)*(s_Irr!BU30)),IF(AND(s_Irr!W30=".",s_Irr!AV30&lt;&gt;".",s_Irr!BU30="."),s_dir!X30/((1/1000)*(s_Irr!AV30)),IF(AND(s_Irr!W30&lt;&gt;".",s_Irr!AV30=".",s_Irr!BU30="."),s_dir!X30/((1/1000)*(s_Irr!W30)),IF(AND(s_Irr!W30=".",s_Irr!AV30=".",s_Irr!BU30="."),s_dir!X30*1000)))))))),".")</f>
        <v>1223.1345110953582</v>
      </c>
      <c r="Y30" s="70">
        <f>IFERROR(IF(AND(s_Irr!X30&lt;&gt;".",s_Irr!AW30&lt;&gt;".",s_Irr!BV30&lt;&gt;"."),s_dir!Y30/((1/1000)*(s_Irr!X30+s_Irr!AW30+s_Irr!BV30)),IF(AND(s_Irr!X30&lt;&gt;".",s_Irr!AW30&lt;&gt;".",s_Irr!BV30="."),s_dir!Y30/((1/1000)*(s_Irr!X30+s_Irr!AW30)),IF(AND(s_Irr!X30&lt;&gt;".",s_Irr!AW30=".",s_Irr!BV30&lt;&gt;"."),s_dir!Y30/((1/1000)*(s_Irr!X30+s_Irr!BV30)),IF(AND(s_Irr!X30=".",s_Irr!AW30&lt;&gt;".",s_Irr!BV30&lt;&gt;"."),s_dir!Y30/((1/1000)*(s_Irr!AW30+s_Irr!BV30)),IF(AND(s_Irr!X30=".",s_Irr!AW30=".",s_Irr!BV30&lt;&gt;"."),s_dir!Y30/((1/1000)*(s_Irr!BV30)),IF(AND(s_Irr!X30=".",s_Irr!AW30&lt;&gt;".",s_Irr!BV30="."),s_dir!Y30/((1/1000)*(s_Irr!AW30)),IF(AND(s_Irr!X30&lt;&gt;".",s_Irr!AW30=".",s_Irr!BV30="."),s_dir!Y30/((1/1000)*(s_Irr!X30)),IF(AND(s_Irr!X30=".",s_Irr!AW30=".",s_Irr!BV30="."),s_dir!Y30*1000)))))))),".")</f>
        <v>1247.6517691418646</v>
      </c>
      <c r="Z30" s="70">
        <f>IFERROR(IF(AND(s_Irr!Y30&lt;&gt;".",s_Irr!AX30&lt;&gt;".",s_Irr!BW30&lt;&gt;"."),s_dir!Z30/((1/1000)*(s_Irr!Y30+s_Irr!AX30+s_Irr!BW30)),IF(AND(s_Irr!Y30&lt;&gt;".",s_Irr!AX30&lt;&gt;".",s_Irr!BW30="."),s_dir!Z30/((1/1000)*(s_Irr!Y30+s_Irr!AX30)),IF(AND(s_Irr!Y30&lt;&gt;".",s_Irr!AX30=".",s_Irr!BW30&lt;&gt;"."),s_dir!Z30/((1/1000)*(s_Irr!Y30+s_Irr!BW30)),IF(AND(s_Irr!Y30=".",s_Irr!AX30&lt;&gt;".",s_Irr!BW30&lt;&gt;"."),s_dir!Z30/((1/1000)*(s_Irr!AX30+s_Irr!BW30)),IF(AND(s_Irr!Y30=".",s_Irr!AX30=".",s_Irr!BW30&lt;&gt;"."),s_dir!Z30/((1/1000)*(s_Irr!BW30)),IF(AND(s_Irr!Y30=".",s_Irr!AX30&lt;&gt;".",s_Irr!BW30="."),s_dir!Z30/((1/1000)*(s_Irr!AX30)),IF(AND(s_Irr!Y30&lt;&gt;".",s_Irr!AX30=".",s_Irr!BW30="."),s_dir!Z30/((1/1000)*(s_Irr!Y30)),IF(AND(s_Irr!Y30=".",s_Irr!AX30=".",s_Irr!BW30="."),s_dir!Z30*1000)))))))),".")</f>
        <v>1011.182807396798</v>
      </c>
      <c r="AA30" s="70">
        <f>IFERROR(IF(AND(s_Irr!Z30&lt;&gt;".",s_Irr!AY30&lt;&gt;".",s_Irr!BX30&lt;&gt;"."),s_dir!AA30/((1/1000)*(s_Irr!Z30+s_Irr!AY30+s_Irr!BX30)),IF(AND(s_Irr!Z30&lt;&gt;".",s_Irr!AY30&lt;&gt;".",s_Irr!BX30="."),s_dir!AA30/((1/1000)*(s_Irr!Z30+s_Irr!AY30)),IF(AND(s_Irr!Z30&lt;&gt;".",s_Irr!AY30=".",s_Irr!BX30&lt;&gt;"."),s_dir!AA30/((1/1000)*(s_Irr!Z30+s_Irr!BX30)),IF(AND(s_Irr!Z30=".",s_Irr!AY30&lt;&gt;".",s_Irr!BX30&lt;&gt;"."),s_dir!AA30/((1/1000)*(s_Irr!AY30+s_Irr!BX30)),IF(AND(s_Irr!Z30=".",s_Irr!AY30=".",s_Irr!BX30&lt;&gt;"."),s_dir!AA30/((1/1000)*(s_Irr!BX30)),IF(AND(s_Irr!Z30=".",s_Irr!AY30&lt;&gt;".",s_Irr!BX30="."),s_dir!AA30/((1/1000)*(s_Irr!AY30)),IF(AND(s_Irr!Z30&lt;&gt;".",s_Irr!AY30=".",s_Irr!BX30="."),s_dir!AA30/((1/1000)*(s_Irr!Z30)),IF(AND(s_Irr!Z30=".",s_Irr!AY30=".",s_Irr!BX30="."),s_dir!AA30*1000)))))))),".")</f>
        <v>1263.6301321982003</v>
      </c>
      <c r="AB30" s="70">
        <f>IFERROR(IF(AND(s_Irr!AA30&lt;&gt;".",s_Irr!AZ30&lt;&gt;".",s_Irr!BY30&lt;&gt;"."),s_dir!AB30/((1/1000)*(s_Irr!AA30+s_Irr!AZ30+s_Irr!BY30)),IF(AND(s_Irr!AA30&lt;&gt;".",s_Irr!AZ30&lt;&gt;".",s_Irr!BY30="."),s_dir!AB30/((1/1000)*(s_Irr!AA30+s_Irr!AZ30)),IF(AND(s_Irr!AA30&lt;&gt;".",s_Irr!AZ30=".",s_Irr!BY30&lt;&gt;"."),s_dir!AB30/((1/1000)*(s_Irr!AA30+s_Irr!BY30)),IF(AND(s_Irr!AA30=".",s_Irr!AZ30&lt;&gt;".",s_Irr!BY30&lt;&gt;"."),s_dir!AB30/((1/1000)*(s_Irr!AZ30+s_Irr!BY30)),IF(AND(s_Irr!AA30=".",s_Irr!AZ30=".",s_Irr!BY30&lt;&gt;"."),s_dir!AB30/((1/1000)*(s_Irr!BY30)),IF(AND(s_Irr!AA30=".",s_Irr!AZ30&lt;&gt;".",s_Irr!BY30="."),s_dir!AB30/((1/1000)*(s_Irr!AZ30)),IF(AND(s_Irr!AA30&lt;&gt;".",s_Irr!AZ30=".",s_Irr!BY30="."),s_dir!AB30/((1/1000)*(s_Irr!AA30)),IF(AND(s_Irr!AA30=".",s_Irr!AZ30=".",s_Irr!BY30="."),s_dir!AB30*1000)))))))),".")</f>
        <v>1147.941575269087</v>
      </c>
      <c r="AC30" s="87">
        <f t="shared" si="5"/>
        <v>387.55295897638121</v>
      </c>
      <c r="AD30" s="87">
        <f>IFERROR(s_C*s_IFAP_res_adj*s_CF_apple*0.001*(s_Irr!C30+s_Irr!AB30+s_Irr!BA30),".")</f>
        <v>89.959784538842314</v>
      </c>
      <c r="AE30" s="87">
        <f>IFERROR(s_C*s_IFAS_res_adj*s_CF_asparagus*0.001*(s_Irr!D30+s_Irr!AC30+s_Irr!BB30),".")</f>
        <v>118.51059490587731</v>
      </c>
      <c r="AF30" s="87">
        <f>IFERROR(s_C*s_IFBT_res_adj*s_CF_beet*0.001*(s_Irr!E30+s_Irr!AD30+s_Irr!BC30),".")</f>
        <v>101.07957383968753</v>
      </c>
      <c r="AG30" s="87">
        <f>IFERROR(s_C*s_IFBE_res_adj*s_CF_berries*0.001*(s_Irr!F30+s_Irr!AE30+s_Irr!BD30),".")</f>
        <v>89.959784538842314</v>
      </c>
      <c r="AH30" s="87">
        <f>IFERROR(s_C*s_IFBR_res_adj*s_CF_broccoli*0.001*(s_Irr!G30+s_Irr!AF30+s_Irr!BE30),".")</f>
        <v>110.99722375665758</v>
      </c>
      <c r="AI30" s="87">
        <f>IFERROR(s_C*s_IFCB_res_adj*s_CF_cabbage*0.001*(s_Irr!H30+s_Irr!AG30+s_Irr!BF30),".")</f>
        <v>118.51059490587731</v>
      </c>
      <c r="AJ30" s="87">
        <f>IFERROR(s_C*s_IFCR_res_adj*s_CF_carrot*0.001*(s_Irr!I30+s_Irr!AH30+s_Irr!BG30),".")</f>
        <v>101.07957383968753</v>
      </c>
      <c r="AK30" s="87">
        <f>IFERROR(s_C*s_IFCI_res_adj*s_CF_citrus*0.001*(s_Irr!J30+s_Irr!AI30+s_Irr!BH30),".")</f>
        <v>89.959784538842314</v>
      </c>
      <c r="AL30" s="87">
        <f>IFERROR(s_C*s_IFCO_res_adj*s_CF_corn*0.001*(s_Irr!K30+s_Irr!AJ30+s_Irr!BI30),".")</f>
        <v>110.99722375665758</v>
      </c>
      <c r="AM30" s="87">
        <f>IFERROR(s_C*s_IFCU_res_adj*s_CF_cucumber*0.001*(s_Irr!L30+s_Irr!AK30+s_Irr!BJ30),".")</f>
        <v>110.99722375665758</v>
      </c>
      <c r="AN30" s="87">
        <f>IFERROR(s_C*s_IFLE_res_adj*s_CF_lettuce*0.001*(s_Irr!M30+s_Irr!AL30+s_Irr!BK30),".")</f>
        <v>118.51059490587731</v>
      </c>
      <c r="AO30" s="87">
        <f>IFERROR(s_C*s_IFLI_res_adj*s_CF_lima_bean*0.001*(s_Irr!N30+s_Irr!AM30+s_Irr!BL30),".")</f>
        <v>91.762993614655059</v>
      </c>
      <c r="AP30" s="87">
        <f>IFERROR(s_C*s_IFOK_res_adj*s_CF_okra*0.001*(s_Irr!O30+s_Irr!AN30+s_Irr!BM30),".")</f>
        <v>110.99722375665758</v>
      </c>
      <c r="AQ30" s="87">
        <f>IFERROR(s_C*s_IFON_res_adj*s_CF_onion*0.001*(s_Irr!P30+s_Irr!AO30+s_Irr!BN30),".")</f>
        <v>101.07957383968753</v>
      </c>
      <c r="AR30" s="87">
        <f>IFERROR(s_C*s_IFPC_res_adj*s_CF_peach*0.001*(s_Irr!Q30+s_Irr!AP30+s_Irr!BO30),".")</f>
        <v>89.959784538842314</v>
      </c>
      <c r="AS30" s="87">
        <f>IFERROR(s_C*s_IFPR_res_adj*s_CF_pear*0.001*(s_Irr!R30+s_Irr!AQ30+s_Irr!BP30),".")</f>
        <v>89.959784538842314</v>
      </c>
      <c r="AT30" s="87">
        <f>IFERROR(s_C*s_IFPE_res_adj*s_CF_peas*0.001*(s_Irr!S30+s_Irr!AR30+s_Irr!BQ30),".")</f>
        <v>91.762993614655059</v>
      </c>
      <c r="AU30" s="87">
        <f>IFERROR(s_C*s_IFPP_res_adj*s_CF_peppers*0.001*(s_Irr!T30+s_Irr!AS30+s_Irr!BR30),".")</f>
        <v>110.99722375665758</v>
      </c>
      <c r="AV30" s="87">
        <f>IFERROR(s_C*s_IFPT_res_adj*s_CF_potato*0.001*(s_Irr!U30+s_Irr!AT30+s_Irr!BS30),".")</f>
        <v>95.970481458218103</v>
      </c>
      <c r="AW30" s="87">
        <f>IFERROR(s_C*s_IFPU_res_adj*s_CF_pumpkin*0.001*(s_Irr!V30+s_Irr!AU30+s_Irr!BT30),".")</f>
        <v>110.99722375665758</v>
      </c>
      <c r="AX30" s="87">
        <f>IFERROR(s_C*s_IFSN_res_adj*s_CF_snap_bean*0.001*(s_Irr!W30+s_Irr!AV30+s_Irr!BU30),".")</f>
        <v>91.762993614655059</v>
      </c>
      <c r="AY30" s="87">
        <f>IFERROR(s_C*s_IFST_res_adj*s_CF_strawberry*0.001*(s_Irr!X30+s_Irr!AW30+s_Irr!BV30),".")</f>
        <v>89.959784538842314</v>
      </c>
      <c r="AZ30" s="87">
        <f>IFERROR(s_C*s_IFTO_res_adj*s_CF_tomato*0.001*(s_Irr!Y30+s_Irr!AX30+s_Irr!BW30),".")</f>
        <v>110.99722375665758</v>
      </c>
      <c r="BA30" s="87">
        <f>IFERROR(s_C*s_IFRI_res_adj*s_CF_rice*0.001*(s_Irr!Z30+s_Irr!AY30+s_Irr!BX30),".")</f>
        <v>88.822260146850454</v>
      </c>
      <c r="BB30" s="87">
        <f>IFERROR(s_C*s_IFCG_res_adj*s_CF_cereal*0.001*(s_Irr!AA30+s_Irr!AZ30+s_Irr!BY30),".")</f>
        <v>97.773690534030834</v>
      </c>
      <c r="BC30" s="70">
        <f t="shared" si="1"/>
        <v>289.60812124349638</v>
      </c>
      <c r="BD30" s="70">
        <f>IFERROR(IF(AND(s_Irr!C30&lt;&gt;".",s_Irr!AB30&lt;&gt;".",s_Irr!BA30&lt;&gt;"."),s_dir!AD30/((1/1000)*(s_Irr!C30+s_Irr!AB30+s_Irr!BA30)),IF(AND(s_Irr!C30&lt;&gt;".",s_Irr!AB30&lt;&gt;".",s_Irr!BA30="."),s_dir!AD30/((1/1000)*(s_Irr!C30+s_Irr!AB30)),IF(AND(s_Irr!C30&lt;&gt;".",s_Irr!AB30=".",s_Irr!BA30&lt;&gt;"."),s_dir!AD30/((1/1000)*(s_Irr!C30+s_Irr!BA30)),IF(AND(s_Irr!C30=".",s_Irr!AB30&lt;&gt;".",s_Irr!BA30&lt;&gt;"."),s_dir!AD30/((1/1000)*(s_Irr!AB30+s_Irr!BA30)),IF(AND(s_Irr!C30=".",s_Irr!AB30=".",s_Irr!BA30&lt;&gt;"."),s_dir!AD30/((1/1000)*(s_Irr!BA30)),IF(AND(s_Irr!C30=".",s_Irr!AB30&lt;&gt;".",s_Irr!BA30="."),s_dir!AD30/((1/1000)*(s_Irr!AB30)),IF(AND(s_Irr!C30&lt;&gt;".",s_Irr!AB30=".",s_Irr!BA30="."),s_dir!AD30/((1/1000)*(s_Irr!C30)),IF(AND(s_Irr!C30=".",s_Irr!AB30=".",s_Irr!BA30="."),s_dir!AD30*1000)))))))),".")</f>
        <v>1247.6517691418646</v>
      </c>
      <c r="BE30" s="70">
        <f>IFERROR(IF(AND(s_Irr!D30&lt;&gt;".",s_Irr!AC30&lt;&gt;".",s_Irr!BB30&lt;&gt;"."),s_dir!AE30/((1/1000)*(s_Irr!D30+s_Irr!AC30+s_Irr!BB30)),IF(AND(s_Irr!D30&lt;&gt;".",s_Irr!AC30&lt;&gt;".",s_Irr!BB30="."),s_dir!AE30/((1/1000)*(s_Irr!D30+s_Irr!AC30)),IF(AND(s_Irr!D30&lt;&gt;".",s_Irr!AC30=".",s_Irr!BB30&lt;&gt;"."),s_dir!AE30/((1/1000)*(s_Irr!D30+s_Irr!BB30)),IF(AND(s_Irr!D30=".",s_Irr!AC30&lt;&gt;".",s_Irr!BB30&lt;&gt;"."),s_dir!AE30/((1/1000)*(s_Irr!AC30+s_Irr!BB30)),IF(AND(s_Irr!D30=".",s_Irr!AC30=".",s_Irr!BB30&lt;&gt;"."),s_dir!AE30/((1/1000)*(s_Irr!BB30)),IF(AND(s_Irr!D30=".",s_Irr!AC30&lt;&gt;".",s_Irr!BB30="."),s_dir!AE30/((1/1000)*(s_Irr!AC30)),IF(AND(s_Irr!D30&lt;&gt;".",s_Irr!AC30=".",s_Irr!BB30="."),s_dir!AE30/((1/1000)*(s_Irr!D30)),IF(AND(s_Irr!D30=".",s_Irr!AC30=".",s_Irr!BB30="."),s_dir!AE30*1000)))))))),".")</f>
        <v>947.0755287377375</v>
      </c>
      <c r="BF30" s="70">
        <f>IFERROR(IF(AND(s_Irr!E30&lt;&gt;".",s_Irr!AD30&lt;&gt;".",s_Irr!BC30&lt;&gt;"."),s_dir!AF30/((1/1000)*(s_Irr!E30+s_Irr!AD30+s_Irr!BC30)),IF(AND(s_Irr!E30&lt;&gt;".",s_Irr!AD30&lt;&gt;".",s_Irr!BC30="."),s_dir!AF30/((1/1000)*(s_Irr!E30+s_Irr!AD30)),IF(AND(s_Irr!E30&lt;&gt;".",s_Irr!AD30=".",s_Irr!BC30&lt;&gt;"."),s_dir!AF30/((1/1000)*(s_Irr!E30+s_Irr!BC30)),IF(AND(s_Irr!E30=".",s_Irr!AD30&lt;&gt;".",s_Irr!BC30&lt;&gt;"."),s_dir!AF30/((1/1000)*(s_Irr!AD30+s_Irr!BC30)),IF(AND(s_Irr!E30=".",s_Irr!AD30=".",s_Irr!BC30&lt;&gt;"."),s_dir!AF30/((1/1000)*(s_Irr!BC30)),IF(AND(s_Irr!E30=".",s_Irr!AD30&lt;&gt;".",s_Irr!BC30="."),s_dir!AF30/((1/1000)*(s_Irr!AD30)),IF(AND(s_Irr!E30&lt;&gt;".",s_Irr!AD30=".",s_Irr!BC30="."),s_dir!AF30/((1/1000)*(s_Irr!E30)),IF(AND(s_Irr!E30=".",s_Irr!AD30=".",s_Irr!BC30="."),s_dir!AF30*1000)))))))),".")</f>
        <v>1110.3972847127168</v>
      </c>
      <c r="BG30" s="70">
        <f>IFERROR(IF(AND(s_Irr!F30&lt;&gt;".",s_Irr!AE30&lt;&gt;".",s_Irr!BD30&lt;&gt;"."),s_dir!AG30/((1/1000)*(s_Irr!F30+s_Irr!AE30+s_Irr!BD30)),IF(AND(s_Irr!F30&lt;&gt;".",s_Irr!AE30&lt;&gt;".",s_Irr!BD30="."),s_dir!AG30/((1/1000)*(s_Irr!F30+s_Irr!AE30)),IF(AND(s_Irr!F30&lt;&gt;".",s_Irr!AE30=".",s_Irr!BD30&lt;&gt;"."),s_dir!AG30/((1/1000)*(s_Irr!F30+s_Irr!BD30)),IF(AND(s_Irr!F30=".",s_Irr!AE30&lt;&gt;".",s_Irr!BD30&lt;&gt;"."),s_dir!AG30/((1/1000)*(s_Irr!AE30+s_Irr!BD30)),IF(AND(s_Irr!F30=".",s_Irr!AE30=".",s_Irr!BD30&lt;&gt;"."),s_dir!AG30/((1/1000)*(s_Irr!BD30)),IF(AND(s_Irr!F30=".",s_Irr!AE30&lt;&gt;".",s_Irr!BD30="."),s_dir!AG30/((1/1000)*(s_Irr!AE30)),IF(AND(s_Irr!F30&lt;&gt;".",s_Irr!AE30=".",s_Irr!BD30="."),s_dir!AG30/((1/1000)*(s_Irr!F30)),IF(AND(s_Irr!F30=".",s_Irr!AE30=".",s_Irr!BD30="."),s_dir!AG30*1000)))))))),".")</f>
        <v>1247.6517691418646</v>
      </c>
      <c r="BH30" s="70">
        <f>IFERROR(IF(AND(s_Irr!G30&lt;&gt;".",s_Irr!AF30&lt;&gt;".",s_Irr!BE30&lt;&gt;"."),s_dir!AH30/((1/1000)*(s_Irr!G30+s_Irr!AF30+s_Irr!BE30)),IF(AND(s_Irr!G30&lt;&gt;".",s_Irr!AF30&lt;&gt;".",s_Irr!BE30="."),s_dir!AH30/((1/1000)*(s_Irr!G30+s_Irr!AF30)),IF(AND(s_Irr!G30&lt;&gt;".",s_Irr!AF30=".",s_Irr!BE30&lt;&gt;"."),s_dir!AH30/((1/1000)*(s_Irr!G30+s_Irr!BE30)),IF(AND(s_Irr!G30=".",s_Irr!AF30&lt;&gt;".",s_Irr!BE30&lt;&gt;"."),s_dir!AH30/((1/1000)*(s_Irr!AF30+s_Irr!BE30)),IF(AND(s_Irr!G30=".",s_Irr!AF30=".",s_Irr!BE30&lt;&gt;"."),s_dir!AH30/((1/1000)*(s_Irr!BE30)),IF(AND(s_Irr!G30=".",s_Irr!AF30&lt;&gt;".",s_Irr!BE30="."),s_dir!AH30/((1/1000)*(s_Irr!AF30)),IF(AND(s_Irr!G30&lt;&gt;".",s_Irr!AF30=".",s_Irr!BE30="."),s_dir!AH30/((1/1000)*(s_Irr!G30)),IF(AND(s_Irr!G30=".",s_Irr!AF30=".",s_Irr!BE30="."),s_dir!AH30*1000)))))))),".")</f>
        <v>1011.182807396798</v>
      </c>
      <c r="BI30" s="70">
        <f>IFERROR(IF(AND(s_Irr!H30&lt;&gt;".",s_Irr!AG30&lt;&gt;".",s_Irr!BF30&lt;&gt;"."),s_dir!AI30/((1/1000)*(s_Irr!H30+s_Irr!AG30+s_Irr!BF30)),IF(AND(s_Irr!H30&lt;&gt;".",s_Irr!AG30&lt;&gt;".",s_Irr!BF30="."),s_dir!AI30/((1/1000)*(s_Irr!H30+s_Irr!AG30)),IF(AND(s_Irr!H30&lt;&gt;".",s_Irr!AG30=".",s_Irr!BF30&lt;&gt;"."),s_dir!AI30/((1/1000)*(s_Irr!H30+s_Irr!BF30)),IF(AND(s_Irr!H30=".",s_Irr!AG30&lt;&gt;".",s_Irr!BF30&lt;&gt;"."),s_dir!AI30/((1/1000)*(s_Irr!AG30+s_Irr!BF30)),IF(AND(s_Irr!H30=".",s_Irr!AG30=".",s_Irr!BF30&lt;&gt;"."),s_dir!AI30/((1/1000)*(s_Irr!BF30)),IF(AND(s_Irr!H30=".",s_Irr!AG30&lt;&gt;".",s_Irr!BF30="."),s_dir!AI30/((1/1000)*(s_Irr!AG30)),IF(AND(s_Irr!H30&lt;&gt;".",s_Irr!AG30=".",s_Irr!BF30="."),s_dir!AI30/((1/1000)*(s_Irr!H30)),IF(AND(s_Irr!H30=".",s_Irr!AG30=".",s_Irr!BF30="."),s_dir!AI30*1000)))))))),".")</f>
        <v>947.0755287377375</v>
      </c>
      <c r="BJ30" s="70">
        <f>IFERROR(IF(AND(s_Irr!I30&lt;&gt;".",s_Irr!AH30&lt;&gt;".",s_Irr!BG30&lt;&gt;"."),s_dir!AJ30/((1/1000)*(s_Irr!I30+s_Irr!AH30+s_Irr!BG30)),IF(AND(s_Irr!I30&lt;&gt;".",s_Irr!AH30&lt;&gt;".",s_Irr!BG30="."),s_dir!AJ30/((1/1000)*(s_Irr!I30+s_Irr!AH30)),IF(AND(s_Irr!I30&lt;&gt;".",s_Irr!AH30=".",s_Irr!BG30&lt;&gt;"."),s_dir!AJ30/((1/1000)*(s_Irr!I30+s_Irr!BG30)),IF(AND(s_Irr!I30=".",s_Irr!AH30&lt;&gt;".",s_Irr!BG30&lt;&gt;"."),s_dir!AJ30/((1/1000)*(s_Irr!AH30+s_Irr!BG30)),IF(AND(s_Irr!I30=".",s_Irr!AH30=".",s_Irr!BG30&lt;&gt;"."),s_dir!AJ30/((1/1000)*(s_Irr!BG30)),IF(AND(s_Irr!I30=".",s_Irr!AH30&lt;&gt;".",s_Irr!BG30="."),s_dir!AJ30/((1/1000)*(s_Irr!AH30)),IF(AND(s_Irr!I30&lt;&gt;".",s_Irr!AH30=".",s_Irr!BG30="."),s_dir!AJ30/((1/1000)*(s_Irr!I30)),IF(AND(s_Irr!I30=".",s_Irr!AH30=".",s_Irr!BG30="."),s_dir!AJ30*1000)))))))),".")</f>
        <v>1110.3972847127168</v>
      </c>
      <c r="BK30" s="70">
        <f>IFERROR(IF(AND(s_Irr!J30&lt;&gt;".",s_Irr!AI30&lt;&gt;".",s_Irr!BH30&lt;&gt;"."),s_dir!AK30/((1/1000)*(s_Irr!J30+s_Irr!AI30+s_Irr!BH30)),IF(AND(s_Irr!J30&lt;&gt;".",s_Irr!AI30&lt;&gt;".",s_Irr!BH30="."),s_dir!AK30/((1/1000)*(s_Irr!J30+s_Irr!AI30)),IF(AND(s_Irr!J30&lt;&gt;".",s_Irr!AI30=".",s_Irr!BH30&lt;&gt;"."),s_dir!AK30/((1/1000)*(s_Irr!J30+s_Irr!BH30)),IF(AND(s_Irr!J30=".",s_Irr!AI30&lt;&gt;".",s_Irr!BH30&lt;&gt;"."),s_dir!AK30/((1/1000)*(s_Irr!AI30+s_Irr!BH30)),IF(AND(s_Irr!J30=".",s_Irr!AI30=".",s_Irr!BH30&lt;&gt;"."),s_dir!AK30/((1/1000)*(s_Irr!BH30)),IF(AND(s_Irr!J30=".",s_Irr!AI30&lt;&gt;".",s_Irr!BH30="."),s_dir!AK30/((1/1000)*(s_Irr!AI30)),IF(AND(s_Irr!J30&lt;&gt;".",s_Irr!AI30=".",s_Irr!BH30="."),s_dir!AK30/((1/1000)*(s_Irr!J30)),IF(AND(s_Irr!J30=".",s_Irr!AI30=".",s_Irr!BH30="."),s_dir!AK30*1000)))))))),".")</f>
        <v>1247.6517691418646</v>
      </c>
      <c r="BL30" s="70">
        <f>IFERROR(IF(AND(s_Irr!K30&lt;&gt;".",s_Irr!AJ30&lt;&gt;".",s_Irr!BI30&lt;&gt;"."),s_dir!AL30/((1/1000)*(s_Irr!K30+s_Irr!AJ30+s_Irr!BI30)),IF(AND(s_Irr!K30&lt;&gt;".",s_Irr!AJ30&lt;&gt;".",s_Irr!BI30="."),s_dir!AL30/((1/1000)*(s_Irr!K30+s_Irr!AJ30)),IF(AND(s_Irr!K30&lt;&gt;".",s_Irr!AJ30=".",s_Irr!BI30&lt;&gt;"."),s_dir!AL30/((1/1000)*(s_Irr!K30+s_Irr!BI30)),IF(AND(s_Irr!K30=".",s_Irr!AJ30&lt;&gt;".",s_Irr!BI30&lt;&gt;"."),s_dir!AL30/((1/1000)*(s_Irr!AJ30+s_Irr!BI30)),IF(AND(s_Irr!K30=".",s_Irr!AJ30=".",s_Irr!BI30&lt;&gt;"."),s_dir!AL30/((1/1000)*(s_Irr!BI30)),IF(AND(s_Irr!K30=".",s_Irr!AJ30&lt;&gt;".",s_Irr!BI30="."),s_dir!AL30/((1/1000)*(s_Irr!AJ30)),IF(AND(s_Irr!K30&lt;&gt;".",s_Irr!AJ30=".",s_Irr!BI30="."),s_dir!AL30/((1/1000)*(s_Irr!K30)),IF(AND(s_Irr!K30=".",s_Irr!AJ30=".",s_Irr!BI30="."),s_dir!AL30*1000)))))))),".")</f>
        <v>1011.182807396798</v>
      </c>
      <c r="BM30" s="70">
        <f>IFERROR(IF(AND(s_Irr!L30&lt;&gt;".",s_Irr!AK30&lt;&gt;".",s_Irr!BJ30&lt;&gt;"."),s_dir!AM30/((1/1000)*(s_Irr!L30+s_Irr!AK30+s_Irr!BJ30)),IF(AND(s_Irr!L30&lt;&gt;".",s_Irr!AK30&lt;&gt;".",s_Irr!BJ30="."),s_dir!AM30/((1/1000)*(s_Irr!L30+s_Irr!AK30)),IF(AND(s_Irr!L30&lt;&gt;".",s_Irr!AK30=".",s_Irr!BJ30&lt;&gt;"."),s_dir!AM30/((1/1000)*(s_Irr!L30+s_Irr!BJ30)),IF(AND(s_Irr!L30=".",s_Irr!AK30&lt;&gt;".",s_Irr!BJ30&lt;&gt;"."),s_dir!AM30/((1/1000)*(s_Irr!AK30+s_Irr!BJ30)),IF(AND(s_Irr!L30=".",s_Irr!AK30=".",s_Irr!BJ30&lt;&gt;"."),s_dir!AM30/((1/1000)*(s_Irr!BJ30)),IF(AND(s_Irr!L30=".",s_Irr!AK30&lt;&gt;".",s_Irr!BJ30="."),s_dir!AM30/((1/1000)*(s_Irr!AK30)),IF(AND(s_Irr!L30&lt;&gt;".",s_Irr!AK30=".",s_Irr!BJ30="."),s_dir!AM30/((1/1000)*(s_Irr!L30)),IF(AND(s_Irr!L30=".",s_Irr!AK30=".",s_Irr!BJ30="."),s_dir!AM30*1000)))))))),".")</f>
        <v>1011.182807396798</v>
      </c>
      <c r="BN30" s="70">
        <f>IFERROR(IF(AND(s_Irr!M30&lt;&gt;".",s_Irr!AL30&lt;&gt;".",s_Irr!BK30&lt;&gt;"."),s_dir!AN30/((1/1000)*(s_Irr!M30+s_Irr!AL30+s_Irr!BK30)),IF(AND(s_Irr!M30&lt;&gt;".",s_Irr!AL30&lt;&gt;".",s_Irr!BK30="."),s_dir!AN30/((1/1000)*(s_Irr!M30+s_Irr!AL30)),IF(AND(s_Irr!M30&lt;&gt;".",s_Irr!AL30=".",s_Irr!BK30&lt;&gt;"."),s_dir!AN30/((1/1000)*(s_Irr!M30+s_Irr!BK30)),IF(AND(s_Irr!M30=".",s_Irr!AL30&lt;&gt;".",s_Irr!BK30&lt;&gt;"."),s_dir!AN30/((1/1000)*(s_Irr!AL30+s_Irr!BK30)),IF(AND(s_Irr!M30=".",s_Irr!AL30=".",s_Irr!BK30&lt;&gt;"."),s_dir!AN30/((1/1000)*(s_Irr!BK30)),IF(AND(s_Irr!M30=".",s_Irr!AL30&lt;&gt;".",s_Irr!BK30="."),s_dir!AN30/((1/1000)*(s_Irr!AL30)),IF(AND(s_Irr!M30&lt;&gt;".",s_Irr!AL30=".",s_Irr!BK30="."),s_dir!AN30/((1/1000)*(s_Irr!M30)),IF(AND(s_Irr!M30=".",s_Irr!AL30=".",s_Irr!BK30="."),s_dir!AN30*1000)))))))),".")</f>
        <v>947.0755287377375</v>
      </c>
      <c r="BO30" s="70">
        <f>IFERROR(IF(AND(s_Irr!N30&lt;&gt;".",s_Irr!AM30&lt;&gt;".",s_Irr!BL30&lt;&gt;"."),s_dir!AO30/((1/1000)*(s_Irr!N30+s_Irr!AM30+s_Irr!BL30)),IF(AND(s_Irr!N30&lt;&gt;".",s_Irr!AM30&lt;&gt;".",s_Irr!BL30="."),s_dir!AO30/((1/1000)*(s_Irr!N30+s_Irr!AM30)),IF(AND(s_Irr!N30&lt;&gt;".",s_Irr!AM30=".",s_Irr!BL30&lt;&gt;"."),s_dir!AO30/((1/1000)*(s_Irr!N30+s_Irr!BL30)),IF(AND(s_Irr!N30=".",s_Irr!AM30&lt;&gt;".",s_Irr!BL30&lt;&gt;"."),s_dir!AO30/((1/1000)*(s_Irr!AM30+s_Irr!BL30)),IF(AND(s_Irr!N30=".",s_Irr!AM30=".",s_Irr!BL30&lt;&gt;"."),s_dir!AO30/((1/1000)*(s_Irr!BL30)),IF(AND(s_Irr!N30=".",s_Irr!AM30&lt;&gt;".",s_Irr!BL30="."),s_dir!AO30/((1/1000)*(s_Irr!AM30)),IF(AND(s_Irr!N30&lt;&gt;".",s_Irr!AM30=".",s_Irr!BL30="."),s_dir!AO30/((1/1000)*(s_Irr!N30)),IF(AND(s_Irr!N30=".",s_Irr!AM30=".",s_Irr!BL30="."),s_dir!AO30*1000)))))))),".")</f>
        <v>1223.1345110953582</v>
      </c>
      <c r="BP30" s="70">
        <f>IFERROR(IF(AND(s_Irr!O30&lt;&gt;".",s_Irr!AN30&lt;&gt;".",s_Irr!BM30&lt;&gt;"."),s_dir!AP30/((1/1000)*(s_Irr!O30+s_Irr!AN30+s_Irr!BM30)),IF(AND(s_Irr!O30&lt;&gt;".",s_Irr!AN30&lt;&gt;".",s_Irr!BM30="."),s_dir!AP30/((1/1000)*(s_Irr!O30+s_Irr!AN30)),IF(AND(s_Irr!O30&lt;&gt;".",s_Irr!AN30=".",s_Irr!BM30&lt;&gt;"."),s_dir!AP30/((1/1000)*(s_Irr!O30+s_Irr!BM30)),IF(AND(s_Irr!O30=".",s_Irr!AN30&lt;&gt;".",s_Irr!BM30&lt;&gt;"."),s_dir!AP30/((1/1000)*(s_Irr!AN30+s_Irr!BM30)),IF(AND(s_Irr!O30=".",s_Irr!AN30=".",s_Irr!BM30&lt;&gt;"."),s_dir!AP30/((1/1000)*(s_Irr!BM30)),IF(AND(s_Irr!O30=".",s_Irr!AN30&lt;&gt;".",s_Irr!BM30="."),s_dir!AP30/((1/1000)*(s_Irr!AN30)),IF(AND(s_Irr!O30&lt;&gt;".",s_Irr!AN30=".",s_Irr!BM30="."),s_dir!AP30/((1/1000)*(s_Irr!O30)),IF(AND(s_Irr!O30=".",s_Irr!AN30=".",s_Irr!BM30="."),s_dir!AP30*1000)))))))),".")</f>
        <v>1011.182807396798</v>
      </c>
      <c r="BQ30" s="70">
        <f>IFERROR(IF(AND(s_Irr!P30&lt;&gt;".",s_Irr!AO30&lt;&gt;".",s_Irr!BN30&lt;&gt;"."),s_dir!AQ30/((1/1000)*(s_Irr!P30+s_Irr!AO30+s_Irr!BN30)),IF(AND(s_Irr!P30&lt;&gt;".",s_Irr!AO30&lt;&gt;".",s_Irr!BN30="."),s_dir!AQ30/((1/1000)*(s_Irr!P30+s_Irr!AO30)),IF(AND(s_Irr!P30&lt;&gt;".",s_Irr!AO30=".",s_Irr!BN30&lt;&gt;"."),s_dir!AQ30/((1/1000)*(s_Irr!P30+s_Irr!BN30)),IF(AND(s_Irr!P30=".",s_Irr!AO30&lt;&gt;".",s_Irr!BN30&lt;&gt;"."),s_dir!AQ30/((1/1000)*(s_Irr!AO30+s_Irr!BN30)),IF(AND(s_Irr!P30=".",s_Irr!AO30=".",s_Irr!BN30&lt;&gt;"."),s_dir!AQ30/((1/1000)*(s_Irr!BN30)),IF(AND(s_Irr!P30=".",s_Irr!AO30&lt;&gt;".",s_Irr!BN30="."),s_dir!AQ30/((1/1000)*(s_Irr!AO30)),IF(AND(s_Irr!P30&lt;&gt;".",s_Irr!AO30=".",s_Irr!BN30="."),s_dir!AQ30/((1/1000)*(s_Irr!P30)),IF(AND(s_Irr!P30=".",s_Irr!AO30=".",s_Irr!BN30="."),s_dir!AQ30*1000)))))))),".")</f>
        <v>1110.3972847127168</v>
      </c>
      <c r="BR30" s="70">
        <f>IFERROR(IF(AND(s_Irr!Q30&lt;&gt;".",s_Irr!AP30&lt;&gt;".",s_Irr!BO30&lt;&gt;"."),s_dir!AR30/((1/1000)*(s_Irr!Q30+s_Irr!AP30+s_Irr!BO30)),IF(AND(s_Irr!Q30&lt;&gt;".",s_Irr!AP30&lt;&gt;".",s_Irr!BO30="."),s_dir!AR30/((1/1000)*(s_Irr!Q30+s_Irr!AP30)),IF(AND(s_Irr!Q30&lt;&gt;".",s_Irr!AP30=".",s_Irr!BO30&lt;&gt;"."),s_dir!AR30/((1/1000)*(s_Irr!Q30+s_Irr!BO30)),IF(AND(s_Irr!Q30=".",s_Irr!AP30&lt;&gt;".",s_Irr!BO30&lt;&gt;"."),s_dir!AR30/((1/1000)*(s_Irr!AP30+s_Irr!BO30)),IF(AND(s_Irr!Q30=".",s_Irr!AP30=".",s_Irr!BO30&lt;&gt;"."),s_dir!AR30/((1/1000)*(s_Irr!BO30)),IF(AND(s_Irr!Q30=".",s_Irr!AP30&lt;&gt;".",s_Irr!BO30="."),s_dir!AR30/((1/1000)*(s_Irr!AP30)),IF(AND(s_Irr!Q30&lt;&gt;".",s_Irr!AP30=".",s_Irr!BO30="."),s_dir!AR30/((1/1000)*(s_Irr!Q30)),IF(AND(s_Irr!Q30=".",s_Irr!AP30=".",s_Irr!BO30="."),s_dir!AR30*1000)))))))),".")</f>
        <v>1247.6517691418646</v>
      </c>
      <c r="BS30" s="70">
        <f>IFERROR(IF(AND(s_Irr!R30&lt;&gt;".",s_Irr!AQ30&lt;&gt;".",s_Irr!BP30&lt;&gt;"."),s_dir!AS30/((1/1000)*(s_Irr!R30+s_Irr!AQ30+s_Irr!BP30)),IF(AND(s_Irr!R30&lt;&gt;".",s_Irr!AQ30&lt;&gt;".",s_Irr!BP30="."),s_dir!AS30/((1/1000)*(s_Irr!R30+s_Irr!AQ30)),IF(AND(s_Irr!R30&lt;&gt;".",s_Irr!AQ30=".",s_Irr!BP30&lt;&gt;"."),s_dir!AS30/((1/1000)*(s_Irr!R30+s_Irr!BP30)),IF(AND(s_Irr!R30=".",s_Irr!AQ30&lt;&gt;".",s_Irr!BP30&lt;&gt;"."),s_dir!AS30/((1/1000)*(s_Irr!AQ30+s_Irr!BP30)),IF(AND(s_Irr!R30=".",s_Irr!AQ30=".",s_Irr!BP30&lt;&gt;"."),s_dir!AS30/((1/1000)*(s_Irr!BP30)),IF(AND(s_Irr!R30=".",s_Irr!AQ30&lt;&gt;".",s_Irr!BP30="."),s_dir!AS30/((1/1000)*(s_Irr!AQ30)),IF(AND(s_Irr!R30&lt;&gt;".",s_Irr!AQ30=".",s_Irr!BP30="."),s_dir!AS30/((1/1000)*(s_Irr!R30)),IF(AND(s_Irr!R30=".",s_Irr!AQ30=".",s_Irr!BP30="."),s_dir!AS30*1000)))))))),".")</f>
        <v>1247.6517691418646</v>
      </c>
      <c r="BT30" s="70">
        <f>IFERROR(IF(AND(s_Irr!S30&lt;&gt;".",s_Irr!AR30&lt;&gt;".",s_Irr!BQ30&lt;&gt;"."),s_dir!AT30/((1/1000)*(s_Irr!S30+s_Irr!AR30+s_Irr!BQ30)),IF(AND(s_Irr!S30&lt;&gt;".",s_Irr!AR30&lt;&gt;".",s_Irr!BQ30="."),s_dir!AT30/((1/1000)*(s_Irr!S30+s_Irr!AR30)),IF(AND(s_Irr!S30&lt;&gt;".",s_Irr!AR30=".",s_Irr!BQ30&lt;&gt;"."),s_dir!AT30/((1/1000)*(s_Irr!S30+s_Irr!BQ30)),IF(AND(s_Irr!S30=".",s_Irr!AR30&lt;&gt;".",s_Irr!BQ30&lt;&gt;"."),s_dir!AT30/((1/1000)*(s_Irr!AR30+s_Irr!BQ30)),IF(AND(s_Irr!S30=".",s_Irr!AR30=".",s_Irr!BQ30&lt;&gt;"."),s_dir!AT30/((1/1000)*(s_Irr!BQ30)),IF(AND(s_Irr!S30=".",s_Irr!AR30&lt;&gt;".",s_Irr!BQ30="."),s_dir!AT30/((1/1000)*(s_Irr!AR30)),IF(AND(s_Irr!S30&lt;&gt;".",s_Irr!AR30=".",s_Irr!BQ30="."),s_dir!AT30/((1/1000)*(s_Irr!S30)),IF(AND(s_Irr!S30=".",s_Irr!AR30=".",s_Irr!BQ30="."),s_dir!AT30*1000)))))))),".")</f>
        <v>1223.1345110953582</v>
      </c>
      <c r="BU30" s="70">
        <f>IFERROR(IF(AND(s_Irr!T30&lt;&gt;".",s_Irr!AS30&lt;&gt;".",s_Irr!BR30&lt;&gt;"."),s_dir!AU30/((1/1000)*(s_Irr!T30+s_Irr!AS30+s_Irr!BR30)),IF(AND(s_Irr!T30&lt;&gt;".",s_Irr!AS30&lt;&gt;".",s_Irr!BR30="."),s_dir!AU30/((1/1000)*(s_Irr!T30+s_Irr!AS30)),IF(AND(s_Irr!T30&lt;&gt;".",s_Irr!AS30=".",s_Irr!BR30&lt;&gt;"."),s_dir!AU30/((1/1000)*(s_Irr!T30+s_Irr!BR30)),IF(AND(s_Irr!T30=".",s_Irr!AS30&lt;&gt;".",s_Irr!BR30&lt;&gt;"."),s_dir!AU30/((1/1000)*(s_Irr!AS30+s_Irr!BR30)),IF(AND(s_Irr!T30=".",s_Irr!AS30=".",s_Irr!BR30&lt;&gt;"."),s_dir!AU30/((1/1000)*(s_Irr!BR30)),IF(AND(s_Irr!T30=".",s_Irr!AS30&lt;&gt;".",s_Irr!BR30="."),s_dir!AU30/((1/1000)*(s_Irr!AS30)),IF(AND(s_Irr!T30&lt;&gt;".",s_Irr!AS30=".",s_Irr!BR30="."),s_dir!AU30/((1/1000)*(s_Irr!T30)),IF(AND(s_Irr!T30=".",s_Irr!AS30=".",s_Irr!BR30="."),s_dir!AU30*1000)))))))),".")</f>
        <v>1011.182807396798</v>
      </c>
      <c r="BV30" s="70">
        <f>IFERROR(IF(AND(s_Irr!U30&lt;&gt;".",s_Irr!AT30&lt;&gt;".",s_Irr!BS30&lt;&gt;"."),s_dir!AV30/((1/1000)*(s_Irr!U30+s_Irr!AT30+s_Irr!BS30)),IF(AND(s_Irr!U30&lt;&gt;".",s_Irr!AT30&lt;&gt;".",s_Irr!BS30="."),s_dir!AV30/((1/1000)*(s_Irr!U30+s_Irr!AT30)),IF(AND(s_Irr!U30&lt;&gt;".",s_Irr!AT30=".",s_Irr!BS30&lt;&gt;"."),s_dir!AV30/((1/1000)*(s_Irr!U30+s_Irr!BS30)),IF(AND(s_Irr!U30=".",s_Irr!AT30&lt;&gt;".",s_Irr!BS30&lt;&gt;"."),s_dir!AV30/((1/1000)*(s_Irr!AT30+s_Irr!BS30)),IF(AND(s_Irr!U30=".",s_Irr!AT30=".",s_Irr!BS30&lt;&gt;"."),s_dir!AV30/((1/1000)*(s_Irr!BS30)),IF(AND(s_Irr!U30=".",s_Irr!AT30&lt;&gt;".",s_Irr!BS30="."),s_dir!AV30/((1/1000)*(s_Irr!AT30)),IF(AND(s_Irr!U30&lt;&gt;".",s_Irr!AT30=".",s_Irr!BS30="."),s_dir!AV30/((1/1000)*(s_Irr!U30)),IF(AND(s_Irr!U30=".",s_Irr!AT30=".",s_Irr!BS30="."),s_dir!AV30*1000)))))))),".")</f>
        <v>1169.5104851627939</v>
      </c>
      <c r="BW30" s="70">
        <f>IFERROR(IF(AND(s_Irr!V30&lt;&gt;".",s_Irr!AU30&lt;&gt;".",s_Irr!BT30&lt;&gt;"."),s_dir!AW30/((1/1000)*(s_Irr!V30+s_Irr!AU30+s_Irr!BT30)),IF(AND(s_Irr!V30&lt;&gt;".",s_Irr!AU30&lt;&gt;".",s_Irr!BT30="."),s_dir!AW30/((1/1000)*(s_Irr!V30+s_Irr!AU30)),IF(AND(s_Irr!V30&lt;&gt;".",s_Irr!AU30=".",s_Irr!BT30&lt;&gt;"."),s_dir!AW30/((1/1000)*(s_Irr!V30+s_Irr!BT30)),IF(AND(s_Irr!V30=".",s_Irr!AU30&lt;&gt;".",s_Irr!BT30&lt;&gt;"."),s_dir!AW30/((1/1000)*(s_Irr!AU30+s_Irr!BT30)),IF(AND(s_Irr!V30=".",s_Irr!AU30=".",s_Irr!BT30&lt;&gt;"."),s_dir!AW30/((1/1000)*(s_Irr!BT30)),IF(AND(s_Irr!V30=".",s_Irr!AU30&lt;&gt;".",s_Irr!BT30="."),s_dir!AW30/((1/1000)*(s_Irr!AU30)),IF(AND(s_Irr!V30&lt;&gt;".",s_Irr!AU30=".",s_Irr!BT30="."),s_dir!AW30/((1/1000)*(s_Irr!V30)),IF(AND(s_Irr!V30=".",s_Irr!AU30=".",s_Irr!BT30="."),s_dir!AW30*1000)))))))),".")</f>
        <v>1011.182807396798</v>
      </c>
      <c r="BX30" s="70">
        <f>IFERROR(IF(AND(s_Irr!W30&lt;&gt;".",s_Irr!AV30&lt;&gt;".",s_Irr!BU30&lt;&gt;"."),s_dir!AX30/((1/1000)*(s_Irr!W30+s_Irr!AV30+s_Irr!BU30)),IF(AND(s_Irr!W30&lt;&gt;".",s_Irr!AV30&lt;&gt;".",s_Irr!BU30="."),s_dir!AX30/((1/1000)*(s_Irr!W30+s_Irr!AV30)),IF(AND(s_Irr!W30&lt;&gt;".",s_Irr!AV30=".",s_Irr!BU30&lt;&gt;"."),s_dir!AX30/((1/1000)*(s_Irr!W30+s_Irr!BU30)),IF(AND(s_Irr!W30=".",s_Irr!AV30&lt;&gt;".",s_Irr!BU30&lt;&gt;"."),s_dir!AX30/((1/1000)*(s_Irr!AV30+s_Irr!BU30)),IF(AND(s_Irr!W30=".",s_Irr!AV30=".",s_Irr!BU30&lt;&gt;"."),s_dir!AX30/((1/1000)*(s_Irr!BU30)),IF(AND(s_Irr!W30=".",s_Irr!AV30&lt;&gt;".",s_Irr!BU30="."),s_dir!AX30/((1/1000)*(s_Irr!AV30)),IF(AND(s_Irr!W30&lt;&gt;".",s_Irr!AV30=".",s_Irr!BU30="."),s_dir!AX30/((1/1000)*(s_Irr!W30)),IF(AND(s_Irr!W30=".",s_Irr!AV30=".",s_Irr!BU30="."),s_dir!AX30*1000)))))))),".")</f>
        <v>1223.1345110953582</v>
      </c>
      <c r="BY30" s="70">
        <f>IFERROR(IF(AND(s_Irr!X30&lt;&gt;".",s_Irr!AW30&lt;&gt;".",s_Irr!BV30&lt;&gt;"."),s_dir!AY30/((1/1000)*(s_Irr!X30+s_Irr!AW30+s_Irr!BV30)),IF(AND(s_Irr!X30&lt;&gt;".",s_Irr!AW30&lt;&gt;".",s_Irr!BV30="."),s_dir!AY30/((1/1000)*(s_Irr!X30+s_Irr!AW30)),IF(AND(s_Irr!X30&lt;&gt;".",s_Irr!AW30=".",s_Irr!BV30&lt;&gt;"."),s_dir!AY30/((1/1000)*(s_Irr!X30+s_Irr!BV30)),IF(AND(s_Irr!X30=".",s_Irr!AW30&lt;&gt;".",s_Irr!BV30&lt;&gt;"."),s_dir!AY30/((1/1000)*(s_Irr!AW30+s_Irr!BV30)),IF(AND(s_Irr!X30=".",s_Irr!AW30=".",s_Irr!BV30&lt;&gt;"."),s_dir!AY30/((1/1000)*(s_Irr!BV30)),IF(AND(s_Irr!X30=".",s_Irr!AW30&lt;&gt;".",s_Irr!BV30="."),s_dir!AY30/((1/1000)*(s_Irr!AW30)),IF(AND(s_Irr!X30&lt;&gt;".",s_Irr!AW30=".",s_Irr!BV30="."),s_dir!AY30/((1/1000)*(s_Irr!X30)),IF(AND(s_Irr!X30=".",s_Irr!AW30=".",s_Irr!BV30="."),s_dir!AY30*1000)))))))),".")</f>
        <v>1247.6517691418646</v>
      </c>
      <c r="BZ30" s="70">
        <f>IFERROR(IF(AND(s_Irr!Y30&lt;&gt;".",s_Irr!AX30&lt;&gt;".",s_Irr!BW30&lt;&gt;"."),s_dir!AZ30/((1/1000)*(s_Irr!Y30+s_Irr!AX30+s_Irr!BW30)),IF(AND(s_Irr!Y30&lt;&gt;".",s_Irr!AX30&lt;&gt;".",s_Irr!BW30="."),s_dir!AZ30/((1/1000)*(s_Irr!Y30+s_Irr!AX30)),IF(AND(s_Irr!Y30&lt;&gt;".",s_Irr!AX30=".",s_Irr!BW30&lt;&gt;"."),s_dir!AZ30/((1/1000)*(s_Irr!Y30+s_Irr!BW30)),IF(AND(s_Irr!Y30=".",s_Irr!AX30&lt;&gt;".",s_Irr!BW30&lt;&gt;"."),s_dir!AZ30/((1/1000)*(s_Irr!AX30+s_Irr!BW30)),IF(AND(s_Irr!Y30=".",s_Irr!AX30=".",s_Irr!BW30&lt;&gt;"."),s_dir!AZ30/((1/1000)*(s_Irr!BW30)),IF(AND(s_Irr!Y30=".",s_Irr!AX30&lt;&gt;".",s_Irr!BW30="."),s_dir!AZ30/((1/1000)*(s_Irr!AX30)),IF(AND(s_Irr!Y30&lt;&gt;".",s_Irr!AX30=".",s_Irr!BW30="."),s_dir!AZ30/((1/1000)*(s_Irr!Y30)),IF(AND(s_Irr!Y30=".",s_Irr!AX30=".",s_Irr!BW30="."),s_dir!AZ30*1000)))))))),".")</f>
        <v>1011.182807396798</v>
      </c>
      <c r="CA30" s="70">
        <f>IFERROR(IF(AND(s_Irr!Z30&lt;&gt;".",s_Irr!AY30&lt;&gt;".",s_Irr!BX30&lt;&gt;"."),s_dir!BA30/((1/1000)*(s_Irr!Z30+s_Irr!AY30+s_Irr!BX30)),IF(AND(s_Irr!Z30&lt;&gt;".",s_Irr!AY30&lt;&gt;".",s_Irr!BX30="."),s_dir!BA30/((1/1000)*(s_Irr!Z30+s_Irr!AY30)),IF(AND(s_Irr!Z30&lt;&gt;".",s_Irr!AY30=".",s_Irr!BX30&lt;&gt;"."),s_dir!BA30/((1/1000)*(s_Irr!Z30+s_Irr!BX30)),IF(AND(s_Irr!Z30=".",s_Irr!AY30&lt;&gt;".",s_Irr!BX30&lt;&gt;"."),s_dir!BA30/((1/1000)*(s_Irr!AY30+s_Irr!BX30)),IF(AND(s_Irr!Z30=".",s_Irr!AY30=".",s_Irr!BX30&lt;&gt;"."),s_dir!BA30/((1/1000)*(s_Irr!BX30)),IF(AND(s_Irr!Z30=".",s_Irr!AY30&lt;&gt;".",s_Irr!BX30="."),s_dir!BA30/((1/1000)*(s_Irr!AY30)),IF(AND(s_Irr!Z30&lt;&gt;".",s_Irr!AY30=".",s_Irr!BX30="."),s_dir!BA30/((1/1000)*(s_Irr!Z30)),IF(AND(s_Irr!Z30=".",s_Irr!AY30=".",s_Irr!BX30="."),s_dir!BA30*1000)))))))),".")</f>
        <v>1263.6301321982003</v>
      </c>
      <c r="CB30" s="70">
        <f>IFERROR(IF(AND(s_Irr!AA30&lt;&gt;".",s_Irr!AZ30&lt;&gt;".",s_Irr!BY30&lt;&gt;"."),s_dir!BB30/((1/1000)*(s_Irr!AA30+s_Irr!AZ30+s_Irr!BY30)),IF(AND(s_Irr!AA30&lt;&gt;".",s_Irr!AZ30&lt;&gt;".",s_Irr!BY30="."),s_dir!BB30/((1/1000)*(s_Irr!AA30+s_Irr!AZ30)),IF(AND(s_Irr!AA30&lt;&gt;".",s_Irr!AZ30=".",s_Irr!BY30&lt;&gt;"."),s_dir!BB30/((1/1000)*(s_Irr!AA30+s_Irr!BY30)),IF(AND(s_Irr!AA30=".",s_Irr!AZ30&lt;&gt;".",s_Irr!BY30&lt;&gt;"."),s_dir!BB30/((1/1000)*(s_Irr!AZ30+s_Irr!BY30)),IF(AND(s_Irr!AA30=".",s_Irr!AZ30=".",s_Irr!BY30&lt;&gt;"."),s_dir!BB30/((1/1000)*(s_Irr!BY30)),IF(AND(s_Irr!AA30=".",s_Irr!AZ30&lt;&gt;".",s_Irr!BY30="."),s_dir!BB30/((1/1000)*(s_Irr!AZ30)),IF(AND(s_Irr!AA30&lt;&gt;".",s_Irr!AZ30=".",s_Irr!BY30="."),s_dir!BB30/((1/1000)*(s_Irr!AA30)),IF(AND(s_Irr!AA30=".",s_Irr!AZ30=".",s_Irr!BY30="."),s_dir!BB30*1000)))))))),".")</f>
        <v>1147.941575269087</v>
      </c>
      <c r="CC30" s="87">
        <f t="shared" si="2"/>
        <v>387.55295897638121</v>
      </c>
      <c r="CD30" s="87">
        <f>IFERROR(s_C*s_IFAP_far_adj*s_CF_apple*(1/1000)*(s_Irr!C30+s_Irr!AB30+s_Irr!BA30),".")</f>
        <v>89.959784538842314</v>
      </c>
      <c r="CE30" s="87">
        <f>IFERROR(s_C*s_IFAS_far_adj*s_CF_asparagus*(1/1000)*(s_Irr!D30+s_Irr!AC30+s_Irr!BB30),".")</f>
        <v>118.51059490587731</v>
      </c>
      <c r="CF30" s="87">
        <f>IFERROR(s_C*s_IFBT_far_adj*s_CF_beet*(1/1000)*(s_Irr!E30+s_Irr!AD30+s_Irr!BC30),".")</f>
        <v>101.07957383968753</v>
      </c>
      <c r="CG30" s="87">
        <f>IFERROR(s_C*s_IFBE_far_adj*s_CF_berries*(1/1000)*(s_Irr!F30+s_Irr!AE30+s_Irr!BD30),".")</f>
        <v>89.959784538842314</v>
      </c>
      <c r="CH30" s="87">
        <f>IFERROR(s_C*s_IFBR_far_adj*s_CF_broccoli*(1/1000)*(s_Irr!G30+s_Irr!AF30+s_Irr!BE30),".")</f>
        <v>110.99722375665758</v>
      </c>
      <c r="CI30" s="87">
        <f>IFERROR(s_C*s_IFCB_far_adj*s_CF_cabbage*(1/1000)*(s_Irr!H30+s_Irr!AG30+s_Irr!BF30),".")</f>
        <v>118.51059490587731</v>
      </c>
      <c r="CJ30" s="87">
        <f>IFERROR(s_C*s_IFCR_far_adj*s_CF_carrot*(1/1000)*(s_Irr!I30+s_Irr!AH30+s_Irr!BG30),".")</f>
        <v>101.07957383968753</v>
      </c>
      <c r="CK30" s="87">
        <f>IFERROR(s_C*s_IFCI_far_adj*s_CF_citrus*(1/1000)*(s_Irr!J30+s_Irr!AI30+s_Irr!BH30),".")</f>
        <v>89.959784538842314</v>
      </c>
      <c r="CL30" s="87">
        <f>IFERROR(s_C*s_IFCO_far_adj*s_CF_corn*(1/1000)*(s_Irr!K30+s_Irr!AJ30+s_Irr!BI30),".")</f>
        <v>110.99722375665758</v>
      </c>
      <c r="CM30" s="87">
        <f>IFERROR(s_C*s_IFCU_far_adj*s_CF_cucumber*(1/1000)*(s_Irr!L30+s_Irr!AK30+s_Irr!BJ30),".")</f>
        <v>110.99722375665758</v>
      </c>
      <c r="CN30" s="87">
        <f>IFERROR(s_C*s_IFLE_far_adj*s_CF_lettuce*(1/1000)*(s_Irr!M30+s_Irr!AL30+s_Irr!BK30),".")</f>
        <v>118.51059490587731</v>
      </c>
      <c r="CO30" s="87">
        <f>IFERROR(s_C*s_IFLI_far_adj*s_CF_lima_bean*(1/1000)*(s_Irr!N30+s_Irr!AM30+s_Irr!BL30),".")</f>
        <v>91.762993614655059</v>
      </c>
      <c r="CP30" s="87">
        <f>IFERROR(s_C*s_IFOK_far_adj*s_CF_okra*(1/1000)*(s_Irr!O30+s_Irr!AN30+s_Irr!BM30),".")</f>
        <v>110.99722375665758</v>
      </c>
      <c r="CQ30" s="87">
        <f>IFERROR(s_C*s_IFON_far_adj*s_CF_onion*(1/1000)*(s_Irr!P30+s_Irr!AO30+s_Irr!BN30),".")</f>
        <v>101.07957383968753</v>
      </c>
      <c r="CR30" s="87">
        <f>IFERROR(s_C*s_IFPC_far_adj*s_CF_peach*(1/1000)*(s_Irr!Q30+s_Irr!AP30+s_Irr!BO30),".")</f>
        <v>89.959784538842314</v>
      </c>
      <c r="CS30" s="87">
        <f>IFERROR(s_C*s_IFPR_far_adj*s_CF_pear*(1/1000)*(s_Irr!R30+s_Irr!AQ30+s_Irr!BP30),".")</f>
        <v>89.959784538842314</v>
      </c>
      <c r="CT30" s="87">
        <f>IFERROR(s_C*s_IFPE_far_adj*s_CF_peas*(1/1000)*(s_Irr!S30+s_Irr!AR30+s_Irr!BQ30),".")</f>
        <v>91.762993614655059</v>
      </c>
      <c r="CU30" s="87">
        <f>IFERROR(s_C*s_IFPP_far_adj*s_CF_peppers*(1/1000)*(s_Irr!T30+s_Irr!AS30+s_Irr!BR30),".")</f>
        <v>110.99722375665758</v>
      </c>
      <c r="CV30" s="87">
        <f>IFERROR(s_C*s_IFPT_far_adj*s_CF_potato*(1/1000)*(s_Irr!U30+s_Irr!AT30+s_Irr!BS30),".")</f>
        <v>95.970481458218103</v>
      </c>
      <c r="CW30" s="87">
        <f>IFERROR(s_C*s_IFPU_far_adj*s_CF_pumpkin*(1/1000)*(s_Irr!V30+s_Irr!AU30+s_Irr!BT30),".")</f>
        <v>110.99722375665758</v>
      </c>
      <c r="CX30" s="87">
        <f>IFERROR(s_C*s_IFSN_far_adj*s_CF_snap_bean*(1/1000)*(s_Irr!W30+s_Irr!AV30+s_Irr!BU30),".")</f>
        <v>91.762993614655059</v>
      </c>
      <c r="CY30" s="87">
        <f>IFERROR(s_C*s_IFST_far_adj*s_CF_strawberry*(1/1000)*(s_Irr!X30+s_Irr!AW30+s_Irr!BV30),".")</f>
        <v>89.959784538842314</v>
      </c>
      <c r="CZ30" s="87">
        <f>IFERROR(s_C*s_IFTO_far_adj*s_CF_tomato*(1/1000)*(s_Irr!Y30+s_Irr!AX30+s_Irr!BW30),".")</f>
        <v>110.99722375665758</v>
      </c>
      <c r="DA30" s="87">
        <f>IFERROR(s_C*s_IFRI_far_adj*s_CF_rice*(1/1000)*(s_Irr!Z30+s_Irr!AY30+s_Irr!BX30),".")</f>
        <v>88.822260146850454</v>
      </c>
      <c r="DB30" s="87">
        <f>IFERROR(s_C*s_IFCG_far_adj*s_CF_cereal*(1/1000)*(s_Irr!AA30+s_Irr!AZ30+s_Irr!BY30),".")</f>
        <v>97.773690534030834</v>
      </c>
    </row>
    <row r="31" spans="1:106" s="42" customFormat="1" x14ac:dyDescent="0.25">
      <c r="A31" s="76" t="s">
        <v>1</v>
      </c>
      <c r="B31" s="76" t="s">
        <v>1057</v>
      </c>
      <c r="C31" s="58">
        <f t="shared" ref="C31:AB31" si="6">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13.550199793579592</v>
      </c>
      <c r="D31" s="58">
        <f t="shared" si="6"/>
        <v>55.627995350243495</v>
      </c>
      <c r="E31" s="58">
        <f t="shared" si="6"/>
        <v>42.791460390555471</v>
      </c>
      <c r="F31" s="58">
        <f t="shared" si="6"/>
        <v>45.601235301467057</v>
      </c>
      <c r="G31" s="58">
        <f t="shared" si="6"/>
        <v>55.502324534837278</v>
      </c>
      <c r="H31" s="58">
        <f t="shared" si="6"/>
        <v>52.405470541715083</v>
      </c>
      <c r="I31" s="58">
        <f t="shared" si="6"/>
        <v>42.791460390555471</v>
      </c>
      <c r="J31" s="58">
        <f t="shared" si="6"/>
        <v>45.601235301467057</v>
      </c>
      <c r="K31" s="58">
        <f t="shared" si="6"/>
        <v>55.627995350243495</v>
      </c>
      <c r="L31" s="58">
        <f t="shared" si="6"/>
        <v>55.845192512489838</v>
      </c>
      <c r="M31" s="58">
        <f t="shared" si="6"/>
        <v>52.405470541715083</v>
      </c>
      <c r="N31" s="58">
        <f t="shared" si="6"/>
        <v>42.791460390555471</v>
      </c>
      <c r="O31" s="58">
        <f t="shared" si="6"/>
        <v>53.501525947399969</v>
      </c>
      <c r="P31" s="58">
        <f t="shared" si="6"/>
        <v>52.405470541715083</v>
      </c>
      <c r="Q31" s="58">
        <f t="shared" si="6"/>
        <v>45.601235301467057</v>
      </c>
      <c r="R31" s="58">
        <f t="shared" si="6"/>
        <v>55.627995350243495</v>
      </c>
      <c r="S31" s="58">
        <f t="shared" si="6"/>
        <v>55.627995350243495</v>
      </c>
      <c r="T31" s="58">
        <f t="shared" si="6"/>
        <v>53.501525947399969</v>
      </c>
      <c r="U31" s="58">
        <f t="shared" si="6"/>
        <v>52.405470541715083</v>
      </c>
      <c r="V31" s="58">
        <f t="shared" si="6"/>
        <v>54.93943442946992</v>
      </c>
      <c r="W31" s="58">
        <f t="shared" si="6"/>
        <v>52.405470541715083</v>
      </c>
      <c r="X31" s="58">
        <f t="shared" si="6"/>
        <v>53.501525947399969</v>
      </c>
      <c r="Y31" s="58">
        <f t="shared" si="6"/>
        <v>55.615058861553621</v>
      </c>
      <c r="Z31" s="58">
        <f t="shared" si="6"/>
        <v>52.405470541715083</v>
      </c>
      <c r="AA31" s="58">
        <f t="shared" si="6"/>
        <v>55.444970857874225</v>
      </c>
      <c r="AB31" s="58">
        <f t="shared" si="6"/>
        <v>53.461036637823213</v>
      </c>
      <c r="AC31" s="91">
        <f>IFERROR(SUM(AD32:AD44,AU32:AU44,BA32:BA44,BB32:BB44),".")</f>
        <v>1.8449912459479454</v>
      </c>
      <c r="AD31" s="91">
        <f>IFERROR(SUM(AD32:AD44),".")</f>
        <v>0.44941400175569268</v>
      </c>
      <c r="AE31" s="91">
        <f t="shared" ref="AE31:BB31" si="7">IFERROR(SUM(AE32:AE44),".")</f>
        <v>0.58422871694086342</v>
      </c>
      <c r="AF31" s="91">
        <f t="shared" si="7"/>
        <v>0.54823076249418434</v>
      </c>
      <c r="AG31" s="91">
        <f t="shared" si="7"/>
        <v>0.45043158479440232</v>
      </c>
      <c r="AH31" s="91">
        <f t="shared" si="7"/>
        <v>0.47704943284689783</v>
      </c>
      <c r="AI31" s="91">
        <f t="shared" si="7"/>
        <v>0.58422871694086342</v>
      </c>
      <c r="AJ31" s="91">
        <f t="shared" si="7"/>
        <v>0.54823076249418434</v>
      </c>
      <c r="AK31" s="91">
        <f t="shared" si="7"/>
        <v>0.44941400175569268</v>
      </c>
      <c r="AL31" s="91">
        <f t="shared" si="7"/>
        <v>0.44766610831198628</v>
      </c>
      <c r="AM31" s="91">
        <f t="shared" si="7"/>
        <v>0.47704943284689783</v>
      </c>
      <c r="AN31" s="91">
        <f t="shared" si="7"/>
        <v>0.58422871694086342</v>
      </c>
      <c r="AO31" s="91">
        <f t="shared" si="7"/>
        <v>0.46727639179074532</v>
      </c>
      <c r="AP31" s="91">
        <f t="shared" si="7"/>
        <v>0.47704943284689783</v>
      </c>
      <c r="AQ31" s="91">
        <f t="shared" si="7"/>
        <v>0.54823076249418434</v>
      </c>
      <c r="AR31" s="91">
        <f t="shared" si="7"/>
        <v>0.44941400175569268</v>
      </c>
      <c r="AS31" s="91">
        <f t="shared" si="7"/>
        <v>0.44941400175569268</v>
      </c>
      <c r="AT31" s="91">
        <f t="shared" si="7"/>
        <v>0.46727639179074532</v>
      </c>
      <c r="AU31" s="91">
        <f t="shared" si="7"/>
        <v>0.47704943284689783</v>
      </c>
      <c r="AV31" s="91">
        <f t="shared" si="7"/>
        <v>0.45504654825113772</v>
      </c>
      <c r="AW31" s="91">
        <f t="shared" si="7"/>
        <v>0.47704943284689783</v>
      </c>
      <c r="AX31" s="91">
        <f t="shared" si="7"/>
        <v>0.46727639179074532</v>
      </c>
      <c r="AY31" s="91">
        <f t="shared" si="7"/>
        <v>0.44951853889490989</v>
      </c>
      <c r="AZ31" s="91">
        <f t="shared" si="7"/>
        <v>0.47704943284689783</v>
      </c>
      <c r="BA31" s="91">
        <f t="shared" si="7"/>
        <v>0.45089752259197963</v>
      </c>
      <c r="BB31" s="91">
        <f t="shared" si="7"/>
        <v>0.46763028875337442</v>
      </c>
      <c r="BC31" s="58">
        <f t="shared" ref="BC31:CB31" si="8">IFERROR(1/SUM(IFERROR(1/SUMIF(BC32,"&lt;&gt;.",BC32),0),IFERROR(1/SUMIF(BC33,"&lt;&gt;.",BC33),0),IFERROR(1/SUMIF(BC34,"&lt;&gt;.",BC34),0),IFERROR(1/SUMIF(BC35,"&lt;&gt;.",BC35),0),IFERROR(1/SUMIF(BC36,"&lt;&gt;.",BC36),0),IFERROR(1/SUMIF(BC37,"&lt;&gt;.",BC37),0),IFERROR(1/SUMIF(BC38,"&lt;&gt;.",BC38),0),IFERROR(1/SUMIF(BC39,"&lt;&gt;.",BC39),0),IFERROR(1/SUMIF(BC40,"&lt;&gt;.",BC40),0),IFERROR(1/SUMIF(BC41,"&lt;&gt;.",BC41),0),IFERROR(1/SUMIF(BC42,"&lt;&gt;.",BC42),0),IFERROR(1/SUMIF(BC43,"&lt;&gt;.",BC43),0),IFERROR(1/SUMIF(BC44,"&lt;&gt;.",BC44),0)),".")</f>
        <v>13.550199793579592</v>
      </c>
      <c r="BD31" s="58">
        <f t="shared" si="8"/>
        <v>55.627995350243495</v>
      </c>
      <c r="BE31" s="58">
        <f t="shared" si="8"/>
        <v>42.791460390555471</v>
      </c>
      <c r="BF31" s="58">
        <f t="shared" si="8"/>
        <v>45.601235301467057</v>
      </c>
      <c r="BG31" s="58">
        <f t="shared" si="8"/>
        <v>55.502324534837278</v>
      </c>
      <c r="BH31" s="58">
        <f t="shared" si="8"/>
        <v>52.405470541715083</v>
      </c>
      <c r="BI31" s="58">
        <f t="shared" si="8"/>
        <v>42.791460390555471</v>
      </c>
      <c r="BJ31" s="58">
        <f t="shared" si="8"/>
        <v>45.601235301467057</v>
      </c>
      <c r="BK31" s="58">
        <f t="shared" si="8"/>
        <v>55.627995350243495</v>
      </c>
      <c r="BL31" s="58">
        <f t="shared" si="8"/>
        <v>55.845192512489838</v>
      </c>
      <c r="BM31" s="58">
        <f t="shared" si="8"/>
        <v>52.405470541715083</v>
      </c>
      <c r="BN31" s="58">
        <f t="shared" si="8"/>
        <v>42.791460390555471</v>
      </c>
      <c r="BO31" s="58">
        <f t="shared" si="8"/>
        <v>53.501525947399969</v>
      </c>
      <c r="BP31" s="58">
        <f t="shared" si="8"/>
        <v>52.405470541715083</v>
      </c>
      <c r="BQ31" s="58">
        <f t="shared" si="8"/>
        <v>45.601235301467057</v>
      </c>
      <c r="BR31" s="58">
        <f t="shared" si="8"/>
        <v>55.627995350243495</v>
      </c>
      <c r="BS31" s="58">
        <f t="shared" si="8"/>
        <v>55.627995350243495</v>
      </c>
      <c r="BT31" s="58">
        <f t="shared" si="8"/>
        <v>53.501525947399969</v>
      </c>
      <c r="BU31" s="58">
        <f t="shared" si="8"/>
        <v>52.405470541715083</v>
      </c>
      <c r="BV31" s="58">
        <f t="shared" si="8"/>
        <v>54.93943442946992</v>
      </c>
      <c r="BW31" s="58">
        <f t="shared" si="8"/>
        <v>52.405470541715083</v>
      </c>
      <c r="BX31" s="58">
        <f t="shared" si="8"/>
        <v>53.501525947399969</v>
      </c>
      <c r="BY31" s="58">
        <f t="shared" si="8"/>
        <v>55.615058861553621</v>
      </c>
      <c r="BZ31" s="58">
        <f t="shared" si="8"/>
        <v>52.405470541715083</v>
      </c>
      <c r="CA31" s="58">
        <f t="shared" si="8"/>
        <v>55.444970857874225</v>
      </c>
      <c r="CB31" s="58">
        <f t="shared" si="8"/>
        <v>53.461036637823213</v>
      </c>
      <c r="CC31" s="91">
        <f>IFERROR(SUM(CD32:CD44,CU32:CU44,DA32:DA44,DB32:DB44),".")</f>
        <v>1.8449912459479454</v>
      </c>
      <c r="CD31" s="91">
        <f>IFERROR(SUM(CD32:CD44),".")</f>
        <v>0.44941400175569268</v>
      </c>
      <c r="CE31" s="91">
        <f t="shared" ref="CE31:DB31" si="9">IFERROR(SUM(CE32:CE44),".")</f>
        <v>0.58422871694086342</v>
      </c>
      <c r="CF31" s="91">
        <f t="shared" si="9"/>
        <v>0.54823076249418434</v>
      </c>
      <c r="CG31" s="91">
        <f t="shared" si="9"/>
        <v>0.45043158479440232</v>
      </c>
      <c r="CH31" s="91">
        <f t="shared" si="9"/>
        <v>0.47704943284689783</v>
      </c>
      <c r="CI31" s="91">
        <f t="shared" si="9"/>
        <v>0.58422871694086342</v>
      </c>
      <c r="CJ31" s="91">
        <f t="shared" si="9"/>
        <v>0.54823076249418434</v>
      </c>
      <c r="CK31" s="91">
        <f t="shared" si="9"/>
        <v>0.44941400175569268</v>
      </c>
      <c r="CL31" s="91">
        <f t="shared" si="9"/>
        <v>0.44766610831198628</v>
      </c>
      <c r="CM31" s="91">
        <f t="shared" si="9"/>
        <v>0.47704943284689783</v>
      </c>
      <c r="CN31" s="91">
        <f t="shared" si="9"/>
        <v>0.58422871694086342</v>
      </c>
      <c r="CO31" s="91">
        <f t="shared" si="9"/>
        <v>0.46727639179074532</v>
      </c>
      <c r="CP31" s="91">
        <f t="shared" si="9"/>
        <v>0.47704943284689783</v>
      </c>
      <c r="CQ31" s="91">
        <f t="shared" si="9"/>
        <v>0.54823076249418434</v>
      </c>
      <c r="CR31" s="91">
        <f t="shared" si="9"/>
        <v>0.44941400175569268</v>
      </c>
      <c r="CS31" s="91">
        <f t="shared" si="9"/>
        <v>0.44941400175569268</v>
      </c>
      <c r="CT31" s="91">
        <f t="shared" si="9"/>
        <v>0.46727639179074532</v>
      </c>
      <c r="CU31" s="91">
        <f t="shared" si="9"/>
        <v>0.47704943284689783</v>
      </c>
      <c r="CV31" s="91">
        <f t="shared" si="9"/>
        <v>0.45504654825113772</v>
      </c>
      <c r="CW31" s="91">
        <f t="shared" si="9"/>
        <v>0.47704943284689783</v>
      </c>
      <c r="CX31" s="91">
        <f t="shared" si="9"/>
        <v>0.46727639179074532</v>
      </c>
      <c r="CY31" s="91">
        <f t="shared" si="9"/>
        <v>0.44951853889490989</v>
      </c>
      <c r="CZ31" s="91">
        <f t="shared" si="9"/>
        <v>0.47704943284689783</v>
      </c>
      <c r="DA31" s="91">
        <f t="shared" si="9"/>
        <v>0.45089752259197963</v>
      </c>
      <c r="DB31" s="91">
        <f t="shared" si="9"/>
        <v>0.46763028875337442</v>
      </c>
    </row>
    <row r="32" spans="1:106" s="42" customFormat="1" x14ac:dyDescent="0.25">
      <c r="A32" s="77" t="s">
        <v>1085</v>
      </c>
      <c r="B32" s="42">
        <v>1</v>
      </c>
      <c r="C32" s="60">
        <f t="shared" ref="C32:AB32" si="10">IFERROR(C3/$B32,".")</f>
        <v>79.757261120264914</v>
      </c>
      <c r="D32" s="60">
        <f t="shared" si="10"/>
        <v>320.77457157279218</v>
      </c>
      <c r="E32" s="60">
        <f t="shared" si="10"/>
        <v>319.47816112739247</v>
      </c>
      <c r="F32" s="60">
        <f t="shared" si="10"/>
        <v>317.33172401136619</v>
      </c>
      <c r="G32" s="60">
        <f t="shared" si="10"/>
        <v>316.64032845842269</v>
      </c>
      <c r="H32" s="60">
        <f t="shared" si="10"/>
        <v>318.9926849535459</v>
      </c>
      <c r="I32" s="60">
        <f t="shared" si="10"/>
        <v>319.47816112739247</v>
      </c>
      <c r="J32" s="60">
        <f t="shared" si="10"/>
        <v>317.33172401136619</v>
      </c>
      <c r="K32" s="60">
        <f t="shared" si="10"/>
        <v>320.77457157279218</v>
      </c>
      <c r="L32" s="60">
        <f t="shared" si="10"/>
        <v>320.67112481093869</v>
      </c>
      <c r="M32" s="60">
        <f t="shared" si="10"/>
        <v>318.9926849535459</v>
      </c>
      <c r="N32" s="60">
        <f t="shared" si="10"/>
        <v>319.47816112739247</v>
      </c>
      <c r="O32" s="60">
        <f t="shared" si="10"/>
        <v>318.88500166154716</v>
      </c>
      <c r="P32" s="60">
        <f t="shared" si="10"/>
        <v>318.9926849535459</v>
      </c>
      <c r="Q32" s="60">
        <f t="shared" si="10"/>
        <v>317.33172401136619</v>
      </c>
      <c r="R32" s="60">
        <f t="shared" si="10"/>
        <v>320.77457157279218</v>
      </c>
      <c r="S32" s="60">
        <f t="shared" si="10"/>
        <v>320.77457157279218</v>
      </c>
      <c r="T32" s="60">
        <f t="shared" si="10"/>
        <v>318.88500166154716</v>
      </c>
      <c r="U32" s="60">
        <f t="shared" si="10"/>
        <v>318.9926849535459</v>
      </c>
      <c r="V32" s="60">
        <f t="shared" si="10"/>
        <v>319.80263368598327</v>
      </c>
      <c r="W32" s="60">
        <f t="shared" si="10"/>
        <v>318.9926849535459</v>
      </c>
      <c r="X32" s="60">
        <f t="shared" si="10"/>
        <v>318.88500166154716</v>
      </c>
      <c r="Y32" s="60">
        <f t="shared" si="10"/>
        <v>320.34488841166677</v>
      </c>
      <c r="Z32" s="60">
        <f t="shared" si="10"/>
        <v>318.9926849535459</v>
      </c>
      <c r="AA32" s="60">
        <f t="shared" si="10"/>
        <v>315.58250631235398</v>
      </c>
      <c r="AB32" s="60">
        <f t="shared" si="10"/>
        <v>320.82359596931764</v>
      </c>
      <c r="AC32" s="94">
        <f t="shared" ref="AC32:AC44" si="11">IF(AND(AD32&lt;&gt;".",AU32&lt;&gt;".",BA32&lt;&gt;".",BB32&lt;&gt;"."),SUM(AD32,AU32,BA32:BB32),".")</f>
        <v>0.31345108456398507</v>
      </c>
      <c r="AD32" s="94">
        <f>IF(D32=".",".",s_RadSpec!$F$3*(AD3*$B32))</f>
        <v>7.7936352240834797E-2</v>
      </c>
      <c r="AE32" s="94">
        <f>IF(E32=".",".",s_RadSpec!$F$3*(AE3*$B32))</f>
        <v>7.8252610168340134E-2</v>
      </c>
      <c r="AF32" s="94">
        <f>IF(F32=".",".",s_RadSpec!$F$3*(AF3*$B32))</f>
        <v>7.8781912139060356E-2</v>
      </c>
      <c r="AG32" s="94">
        <f>IF(G32=".",".",s_RadSpec!$F$3*(AG3*$B32))</f>
        <v>7.8953935279544432E-2</v>
      </c>
      <c r="AH32" s="94">
        <f>IF(H32=".",".",s_RadSpec!$F$3*(AH3*$B32))</f>
        <v>7.8371703111752178E-2</v>
      </c>
      <c r="AI32" s="94">
        <f>IF(I32=".",".",s_RadSpec!$F$3*(AI3*$B32))</f>
        <v>7.8252610168340134E-2</v>
      </c>
      <c r="AJ32" s="94">
        <f>IF(J32=".",".",s_RadSpec!$F$3*(AJ3*$B32))</f>
        <v>7.8781912139060356E-2</v>
      </c>
      <c r="AK32" s="94">
        <f>IF(K32=".",".",s_RadSpec!$F$3*(AK3*$B32))</f>
        <v>7.7936352240834797E-2</v>
      </c>
      <c r="AL32" s="94">
        <f>IF(L32=".",".",s_RadSpec!$F$3*(AL3*$B32))</f>
        <v>7.7961494084444E-2</v>
      </c>
      <c r="AM32" s="94">
        <f>IF(M32=".",".",s_RadSpec!$F$3*(AM3*$B32))</f>
        <v>7.8371703111752178E-2</v>
      </c>
      <c r="AN32" s="94">
        <f>IF(N32=".",".",s_RadSpec!$F$3*(AN3*$B32))</f>
        <v>7.8252610168340134E-2</v>
      </c>
      <c r="AO32" s="94">
        <f>IF(O32=".",".",s_RadSpec!$F$3*(AO3*$B32))</f>
        <v>7.839816821028818E-2</v>
      </c>
      <c r="AP32" s="94">
        <f>IF(P32=".",".",s_RadSpec!$F$3*(AP3*$B32))</f>
        <v>7.8371703111752178E-2</v>
      </c>
      <c r="AQ32" s="94">
        <f>IF(Q32=".",".",s_RadSpec!$F$3*(AQ3*$B32))</f>
        <v>7.8781912139060356E-2</v>
      </c>
      <c r="AR32" s="94">
        <f>IF(R32=".",".",s_RadSpec!$F$3*(AR3*$B32))</f>
        <v>7.7936352240834797E-2</v>
      </c>
      <c r="AS32" s="94">
        <f>IF(S32=".",".",s_RadSpec!$F$3*(AS3*$B32))</f>
        <v>7.7936352240834797E-2</v>
      </c>
      <c r="AT32" s="94">
        <f>IF(T32=".",".",s_RadSpec!$F$3*(AT3*$B32))</f>
        <v>7.839816821028818E-2</v>
      </c>
      <c r="AU32" s="94">
        <f>IF(U32=".",".",s_RadSpec!$F$3*(AU3*$B32))</f>
        <v>7.8371703111752178E-2</v>
      </c>
      <c r="AV32" s="94">
        <f>IF(V32=".",".",s_RadSpec!$F$3*(AV3*$B32))</f>
        <v>7.8173214872732086E-2</v>
      </c>
      <c r="AW32" s="94">
        <f>IF(W32=".",".",s_RadSpec!$F$3*(AW3*$B32))</f>
        <v>7.8371703111752178E-2</v>
      </c>
      <c r="AX32" s="94">
        <f>IF(X32=".",".",s_RadSpec!$F$3*(AX3*$B32))</f>
        <v>7.839816821028818E-2</v>
      </c>
      <c r="AY32" s="94">
        <f>IF(Y32=".",".",s_RadSpec!$F$3*(AY3*$B32))</f>
        <v>7.804088938005202E-2</v>
      </c>
      <c r="AZ32" s="94">
        <f>IF(Z32=".",".",s_RadSpec!$F$3*(AZ3*$B32))</f>
        <v>7.8371703111752178E-2</v>
      </c>
      <c r="BA32" s="94">
        <f>IF(AA32=".",".",s_RadSpec!$F$3*(BA3*$B32))</f>
        <v>7.921858626490455E-2</v>
      </c>
      <c r="BB32" s="94">
        <f>IF(AB32=".",".",s_RadSpec!$F$3*(BB3*$B32))</f>
        <v>7.7924442946493588E-2</v>
      </c>
      <c r="BC32" s="60">
        <f t="shared" ref="BC32:CB32" si="12">IFERROR(BC3/$B32,".")</f>
        <v>79.757261120264914</v>
      </c>
      <c r="BD32" s="60">
        <f t="shared" si="12"/>
        <v>320.77457157279218</v>
      </c>
      <c r="BE32" s="60">
        <f t="shared" si="12"/>
        <v>319.47816112739247</v>
      </c>
      <c r="BF32" s="60">
        <f t="shared" si="12"/>
        <v>317.33172401136619</v>
      </c>
      <c r="BG32" s="60">
        <f t="shared" si="12"/>
        <v>316.64032845842269</v>
      </c>
      <c r="BH32" s="60">
        <f t="shared" si="12"/>
        <v>318.9926849535459</v>
      </c>
      <c r="BI32" s="60">
        <f t="shared" si="12"/>
        <v>319.47816112739247</v>
      </c>
      <c r="BJ32" s="60">
        <f t="shared" si="12"/>
        <v>317.33172401136619</v>
      </c>
      <c r="BK32" s="60">
        <f t="shared" si="12"/>
        <v>320.77457157279218</v>
      </c>
      <c r="BL32" s="60">
        <f t="shared" si="12"/>
        <v>320.67112481093869</v>
      </c>
      <c r="BM32" s="60">
        <f t="shared" si="12"/>
        <v>318.9926849535459</v>
      </c>
      <c r="BN32" s="60">
        <f t="shared" si="12"/>
        <v>319.47816112739247</v>
      </c>
      <c r="BO32" s="60">
        <f t="shared" si="12"/>
        <v>318.88500166154716</v>
      </c>
      <c r="BP32" s="60">
        <f t="shared" si="12"/>
        <v>318.9926849535459</v>
      </c>
      <c r="BQ32" s="60">
        <f t="shared" si="12"/>
        <v>317.33172401136619</v>
      </c>
      <c r="BR32" s="60">
        <f t="shared" si="12"/>
        <v>320.77457157279218</v>
      </c>
      <c r="BS32" s="60">
        <f t="shared" si="12"/>
        <v>320.77457157279218</v>
      </c>
      <c r="BT32" s="60">
        <f t="shared" si="12"/>
        <v>318.88500166154716</v>
      </c>
      <c r="BU32" s="60">
        <f t="shared" si="12"/>
        <v>318.9926849535459</v>
      </c>
      <c r="BV32" s="60">
        <f t="shared" si="12"/>
        <v>319.80263368598327</v>
      </c>
      <c r="BW32" s="60">
        <f t="shared" si="12"/>
        <v>318.9926849535459</v>
      </c>
      <c r="BX32" s="60">
        <f t="shared" si="12"/>
        <v>318.88500166154716</v>
      </c>
      <c r="BY32" s="60">
        <f t="shared" si="12"/>
        <v>320.34488841166677</v>
      </c>
      <c r="BZ32" s="60">
        <f t="shared" si="12"/>
        <v>318.9926849535459</v>
      </c>
      <c r="CA32" s="60">
        <f t="shared" si="12"/>
        <v>315.58250631235398</v>
      </c>
      <c r="CB32" s="60">
        <f t="shared" si="12"/>
        <v>320.82359596931764</v>
      </c>
      <c r="CC32" s="94">
        <f t="shared" ref="CC32:CC44" si="13">IF(AND(CD32&lt;&gt;".",CU32&lt;&gt;".",DA32&lt;&gt;".",DB32&lt;&gt;"."),SUM(CD32,CU32,DA32:DB32),".")</f>
        <v>0.31345108456398507</v>
      </c>
      <c r="CD32" s="94">
        <f>IF(BD32=".",".",s_RadSpec!$F$3*(CD3*$B32))</f>
        <v>7.7936352240834797E-2</v>
      </c>
      <c r="CE32" s="94">
        <f>IF(BE32=".",".",s_RadSpec!$F$3*(CE3*$B32))</f>
        <v>7.8252610168340134E-2</v>
      </c>
      <c r="CF32" s="94">
        <f>IF(BF32=".",".",s_RadSpec!$F$3*(CF3*$B32))</f>
        <v>7.8781912139060356E-2</v>
      </c>
      <c r="CG32" s="94">
        <f>IF(BG32=".",".",s_RadSpec!$F$3*(CG3*$B32))</f>
        <v>7.8953935279544432E-2</v>
      </c>
      <c r="CH32" s="94">
        <f>IF(BH32=".",".",s_RadSpec!$F$3*(CH3*$B32))</f>
        <v>7.8371703111752178E-2</v>
      </c>
      <c r="CI32" s="94">
        <f>IF(BI32=".",".",s_RadSpec!$F$3*(CI3*$B32))</f>
        <v>7.8252610168340134E-2</v>
      </c>
      <c r="CJ32" s="94">
        <f>IF(BJ32=".",".",s_RadSpec!$F$3*(CJ3*$B32))</f>
        <v>7.8781912139060356E-2</v>
      </c>
      <c r="CK32" s="94">
        <f>IF(BK32=".",".",s_RadSpec!$F$3*(CK3*$B32))</f>
        <v>7.7936352240834797E-2</v>
      </c>
      <c r="CL32" s="94">
        <f>IF(BL32=".",".",s_RadSpec!$F$3*(CL3*$B32))</f>
        <v>7.7961494084444E-2</v>
      </c>
      <c r="CM32" s="94">
        <f>IF(BM32=".",".",s_RadSpec!$F$3*(CM3*$B32))</f>
        <v>7.8371703111752178E-2</v>
      </c>
      <c r="CN32" s="94">
        <f>IF(BN32=".",".",s_RadSpec!$F$3*(CN3*$B32))</f>
        <v>7.8252610168340134E-2</v>
      </c>
      <c r="CO32" s="94">
        <f>IF(BO32=".",".",s_RadSpec!$F$3*(CO3*$B32))</f>
        <v>7.839816821028818E-2</v>
      </c>
      <c r="CP32" s="94">
        <f>IF(BP32=".",".",s_RadSpec!$F$3*(CP3*$B32))</f>
        <v>7.8371703111752178E-2</v>
      </c>
      <c r="CQ32" s="94">
        <f>IF(BQ32=".",".",s_RadSpec!$F$3*(CQ3*$B32))</f>
        <v>7.8781912139060356E-2</v>
      </c>
      <c r="CR32" s="94">
        <f>IF(BR32=".",".",s_RadSpec!$F$3*(CR3*$B32))</f>
        <v>7.7936352240834797E-2</v>
      </c>
      <c r="CS32" s="94">
        <f>IF(BS32=".",".",s_RadSpec!$F$3*(CS3*$B32))</f>
        <v>7.7936352240834797E-2</v>
      </c>
      <c r="CT32" s="94">
        <f>IF(BT32=".",".",s_RadSpec!$F$3*(CT3*$B32))</f>
        <v>7.839816821028818E-2</v>
      </c>
      <c r="CU32" s="94">
        <f>IF(BU32=".",".",s_RadSpec!$F$3*(CU3*$B32))</f>
        <v>7.8371703111752178E-2</v>
      </c>
      <c r="CV32" s="94">
        <f>IF(BV32=".",".",s_RadSpec!$F$3*(CV3*$B32))</f>
        <v>7.8173214872732086E-2</v>
      </c>
      <c r="CW32" s="94">
        <f>IF(BW32=".",".",s_RadSpec!$F$3*(CW3*$B32))</f>
        <v>7.8371703111752178E-2</v>
      </c>
      <c r="CX32" s="94">
        <f>IF(BX32=".",".",s_RadSpec!$F$3*(CX3*$B32))</f>
        <v>7.839816821028818E-2</v>
      </c>
      <c r="CY32" s="94">
        <f>IF(BY32=".",".",s_RadSpec!$F$3*(CY3*$B32))</f>
        <v>7.804088938005202E-2</v>
      </c>
      <c r="CZ32" s="94">
        <f>IF(BZ32=".",".",s_RadSpec!$F$3*(CZ3*$B32))</f>
        <v>7.8371703111752178E-2</v>
      </c>
      <c r="DA32" s="94">
        <f>IF(CA32=".",".",s_RadSpec!$F$3*(DA3*$B32))</f>
        <v>7.921858626490455E-2</v>
      </c>
      <c r="DB32" s="94">
        <f>IF(CB32=".",".",s_RadSpec!$F$3*(DB3*$B32))</f>
        <v>7.7924442946493588E-2</v>
      </c>
    </row>
    <row r="33" spans="1:106" s="42" customFormat="1" x14ac:dyDescent="0.25">
      <c r="A33" s="77" t="s">
        <v>1061</v>
      </c>
      <c r="B33" s="42">
        <v>1</v>
      </c>
      <c r="C33" s="60">
        <f t="shared" ref="C33:AB34" si="14">IFERROR(C13/$B33,".")</f>
        <v>130.0193234834432</v>
      </c>
      <c r="D33" s="60">
        <f t="shared" si="14"/>
        <v>607.97799078525463</v>
      </c>
      <c r="E33" s="60">
        <f t="shared" si="14"/>
        <v>418.92847572913536</v>
      </c>
      <c r="F33" s="60">
        <f t="shared" si="14"/>
        <v>444.83096256298921</v>
      </c>
      <c r="G33" s="60">
        <f t="shared" si="14"/>
        <v>607.97799078525463</v>
      </c>
      <c r="H33" s="60">
        <f t="shared" si="14"/>
        <v>467.97921061738339</v>
      </c>
      <c r="I33" s="60">
        <f t="shared" si="14"/>
        <v>418.92847572913536</v>
      </c>
      <c r="J33" s="60">
        <f t="shared" si="14"/>
        <v>444.83096256298921</v>
      </c>
      <c r="K33" s="60">
        <f t="shared" si="14"/>
        <v>607.97799078525463</v>
      </c>
      <c r="L33" s="60">
        <f t="shared" si="14"/>
        <v>565.00558397022371</v>
      </c>
      <c r="M33" s="60">
        <f t="shared" si="14"/>
        <v>467.97921061738339</v>
      </c>
      <c r="N33" s="60">
        <f t="shared" si="14"/>
        <v>418.92847572913536</v>
      </c>
      <c r="O33" s="60">
        <f t="shared" si="14"/>
        <v>474.14767055847085</v>
      </c>
      <c r="P33" s="60">
        <f t="shared" si="14"/>
        <v>467.97921061738339</v>
      </c>
      <c r="Q33" s="60">
        <f t="shared" si="14"/>
        <v>444.83096256298921</v>
      </c>
      <c r="R33" s="60">
        <f t="shared" si="14"/>
        <v>607.97799078525463</v>
      </c>
      <c r="S33" s="60">
        <f t="shared" si="14"/>
        <v>607.97799078525463</v>
      </c>
      <c r="T33" s="60">
        <f t="shared" si="14"/>
        <v>474.14767055847085</v>
      </c>
      <c r="U33" s="60">
        <f t="shared" si="14"/>
        <v>467.97921061738339</v>
      </c>
      <c r="V33" s="60">
        <f t="shared" si="14"/>
        <v>557.12989995775479</v>
      </c>
      <c r="W33" s="60">
        <f t="shared" si="14"/>
        <v>467.97921061738339</v>
      </c>
      <c r="X33" s="60">
        <f t="shared" si="14"/>
        <v>474.14767055847085</v>
      </c>
      <c r="Y33" s="60">
        <f t="shared" si="14"/>
        <v>607.97799078525463</v>
      </c>
      <c r="Z33" s="60">
        <f t="shared" si="14"/>
        <v>467.97921061738339</v>
      </c>
      <c r="AA33" s="60">
        <f t="shared" si="14"/>
        <v>456.11157464009437</v>
      </c>
      <c r="AB33" s="60">
        <f t="shared" si="14"/>
        <v>582.3857387376944</v>
      </c>
      <c r="AC33" s="94">
        <f t="shared" si="11"/>
        <v>0.1922791115213234</v>
      </c>
      <c r="AD33" s="94">
        <f>IF(D33=".",".",s_RadSpec!$F$13*(AD13*$B33))</f>
        <v>4.111990956730259E-2</v>
      </c>
      <c r="AE33" s="94">
        <f>IF(E33=".",".",s_RadSpec!$F$13*(AE13*$B33))</f>
        <v>5.9676057963088038E-2</v>
      </c>
      <c r="AF33" s="94">
        <f>IF(F33=".",".",s_RadSpec!$F$13*(AF13*$B33))</f>
        <v>5.6201123806573917E-2</v>
      </c>
      <c r="AG33" s="94">
        <f>IF(G33=".",".",s_RadSpec!$F$13*(AG13*$B33))</f>
        <v>4.111990956730259E-2</v>
      </c>
      <c r="AH33" s="94">
        <f>IF(H33=".",".",s_RadSpec!$F$13*(AH13*$B33))</f>
        <v>5.342117648136261E-2</v>
      </c>
      <c r="AI33" s="94">
        <f>IF(I33=".",".",s_RadSpec!$F$13*(AI13*$B33))</f>
        <v>5.9676057963088038E-2</v>
      </c>
      <c r="AJ33" s="94">
        <f>IF(J33=".",".",s_RadSpec!$F$13*(AJ13*$B33))</f>
        <v>5.6201123806573917E-2</v>
      </c>
      <c r="AK33" s="94">
        <f>IF(K33=".",".",s_RadSpec!$F$13*(AK13*$B33))</f>
        <v>4.111990956730259E-2</v>
      </c>
      <c r="AL33" s="94">
        <f>IF(L33=".",".",s_RadSpec!$F$13*(AL13*$B33))</f>
        <v>4.4247350308165311E-2</v>
      </c>
      <c r="AM33" s="94">
        <f>IF(M33=".",".",s_RadSpec!$F$13*(AM13*$B33))</f>
        <v>5.342117648136261E-2</v>
      </c>
      <c r="AN33" s="94">
        <f>IF(N33=".",".",s_RadSpec!$F$13*(AN13*$B33))</f>
        <v>5.9676057963088038E-2</v>
      </c>
      <c r="AO33" s="94">
        <f>IF(O33=".",".",s_RadSpec!$F$13*(AO13*$B33))</f>
        <v>5.2726189650059783E-2</v>
      </c>
      <c r="AP33" s="94">
        <f>IF(P33=".",".",s_RadSpec!$F$13*(AP13*$B33))</f>
        <v>5.342117648136261E-2</v>
      </c>
      <c r="AQ33" s="94">
        <f>IF(Q33=".",".",s_RadSpec!$F$13*(AQ13*$B33))</f>
        <v>5.6201123806573917E-2</v>
      </c>
      <c r="AR33" s="94">
        <f>IF(R33=".",".",s_RadSpec!$F$13*(AR13*$B33))</f>
        <v>4.111990956730259E-2</v>
      </c>
      <c r="AS33" s="94">
        <f>IF(S33=".",".",s_RadSpec!$F$13*(AS13*$B33))</f>
        <v>4.111990956730259E-2</v>
      </c>
      <c r="AT33" s="94">
        <f>IF(T33=".",".",s_RadSpec!$F$13*(AT13*$B33))</f>
        <v>5.2726189650059783E-2</v>
      </c>
      <c r="AU33" s="94">
        <f>IF(U33=".",".",s_RadSpec!$F$13*(AU13*$B33))</f>
        <v>5.342117648136261E-2</v>
      </c>
      <c r="AV33" s="94">
        <f>IF(V33=".",".",s_RadSpec!$F$13*(AV13*$B33))</f>
        <v>4.4872838456337855E-2</v>
      </c>
      <c r="AW33" s="94">
        <f>IF(W33=".",".",s_RadSpec!$F$13*(AW13*$B33))</f>
        <v>5.342117648136261E-2</v>
      </c>
      <c r="AX33" s="94">
        <f>IF(X33=".",".",s_RadSpec!$F$13*(AX13*$B33))</f>
        <v>5.2726189650059783E-2</v>
      </c>
      <c r="AY33" s="94">
        <f>IF(Y33=".",".",s_RadSpec!$F$13*(AY13*$B33))</f>
        <v>4.111990956730259E-2</v>
      </c>
      <c r="AZ33" s="94">
        <f>IF(Z33=".",".",s_RadSpec!$F$13*(AZ13*$B33))</f>
        <v>5.342117648136261E-2</v>
      </c>
      <c r="BA33" s="94">
        <f>IF(AA33=".",".",s_RadSpec!$F$13*(BA13*$B33))</f>
        <v>5.4811150143968257E-2</v>
      </c>
      <c r="BB33" s="94">
        <f>IF(AB33=".",".",s_RadSpec!$F$13*(BB13*$B33))</f>
        <v>4.2926875328689947E-2</v>
      </c>
      <c r="BC33" s="60">
        <f t="shared" ref="BC33:CB34" si="15">IFERROR(BC13/$B33,".")</f>
        <v>130.0193234834432</v>
      </c>
      <c r="BD33" s="60">
        <f t="shared" si="15"/>
        <v>607.97799078525463</v>
      </c>
      <c r="BE33" s="60">
        <f t="shared" si="15"/>
        <v>418.92847572913536</v>
      </c>
      <c r="BF33" s="60">
        <f t="shared" si="15"/>
        <v>444.83096256298921</v>
      </c>
      <c r="BG33" s="60">
        <f t="shared" si="15"/>
        <v>607.97799078525463</v>
      </c>
      <c r="BH33" s="60">
        <f t="shared" si="15"/>
        <v>467.97921061738339</v>
      </c>
      <c r="BI33" s="60">
        <f t="shared" si="15"/>
        <v>418.92847572913536</v>
      </c>
      <c r="BJ33" s="60">
        <f t="shared" si="15"/>
        <v>444.83096256298921</v>
      </c>
      <c r="BK33" s="60">
        <f t="shared" si="15"/>
        <v>607.97799078525463</v>
      </c>
      <c r="BL33" s="60">
        <f t="shared" si="15"/>
        <v>565.00558397022371</v>
      </c>
      <c r="BM33" s="60">
        <f t="shared" si="15"/>
        <v>467.97921061738339</v>
      </c>
      <c r="BN33" s="60">
        <f t="shared" si="15"/>
        <v>418.92847572913536</v>
      </c>
      <c r="BO33" s="60">
        <f t="shared" si="15"/>
        <v>474.14767055847085</v>
      </c>
      <c r="BP33" s="60">
        <f t="shared" si="15"/>
        <v>467.97921061738339</v>
      </c>
      <c r="BQ33" s="60">
        <f t="shared" si="15"/>
        <v>444.83096256298921</v>
      </c>
      <c r="BR33" s="60">
        <f t="shared" si="15"/>
        <v>607.97799078525463</v>
      </c>
      <c r="BS33" s="60">
        <f t="shared" si="15"/>
        <v>607.97799078525463</v>
      </c>
      <c r="BT33" s="60">
        <f t="shared" si="15"/>
        <v>474.14767055847085</v>
      </c>
      <c r="BU33" s="60">
        <f t="shared" si="15"/>
        <v>467.97921061738339</v>
      </c>
      <c r="BV33" s="60">
        <f t="shared" si="15"/>
        <v>557.12989995775479</v>
      </c>
      <c r="BW33" s="60">
        <f t="shared" si="15"/>
        <v>467.97921061738339</v>
      </c>
      <c r="BX33" s="60">
        <f t="shared" si="15"/>
        <v>474.14767055847085</v>
      </c>
      <c r="BY33" s="60">
        <f t="shared" si="15"/>
        <v>607.97799078525463</v>
      </c>
      <c r="BZ33" s="60">
        <f t="shared" si="15"/>
        <v>467.97921061738339</v>
      </c>
      <c r="CA33" s="60">
        <f t="shared" si="15"/>
        <v>456.11157464009437</v>
      </c>
      <c r="CB33" s="60">
        <f t="shared" si="15"/>
        <v>582.3857387376944</v>
      </c>
      <c r="CC33" s="94">
        <f t="shared" si="13"/>
        <v>0.1922791115213234</v>
      </c>
      <c r="CD33" s="94">
        <f>IF(BD33=".",".",s_RadSpec!$F$13*(CD13*$B33))</f>
        <v>4.111990956730259E-2</v>
      </c>
      <c r="CE33" s="94">
        <f>IF(BE33=".",".",s_RadSpec!$F$13*(CE13*$B33))</f>
        <v>5.9676057963088038E-2</v>
      </c>
      <c r="CF33" s="94">
        <f>IF(BF33=".",".",s_RadSpec!$F$13*(CF13*$B33))</f>
        <v>5.6201123806573917E-2</v>
      </c>
      <c r="CG33" s="94">
        <f>IF(BG33=".",".",s_RadSpec!$F$13*(CG13*$B33))</f>
        <v>4.111990956730259E-2</v>
      </c>
      <c r="CH33" s="94">
        <f>IF(BH33=".",".",s_RadSpec!$F$13*(CH13*$B33))</f>
        <v>5.342117648136261E-2</v>
      </c>
      <c r="CI33" s="94">
        <f>IF(BI33=".",".",s_RadSpec!$F$13*(CI13*$B33))</f>
        <v>5.9676057963088038E-2</v>
      </c>
      <c r="CJ33" s="94">
        <f>IF(BJ33=".",".",s_RadSpec!$F$13*(CJ13*$B33))</f>
        <v>5.6201123806573917E-2</v>
      </c>
      <c r="CK33" s="94">
        <f>IF(BK33=".",".",s_RadSpec!$F$13*(CK13*$B33))</f>
        <v>4.111990956730259E-2</v>
      </c>
      <c r="CL33" s="94">
        <f>IF(BL33=".",".",s_RadSpec!$F$13*(CL13*$B33))</f>
        <v>4.4247350308165311E-2</v>
      </c>
      <c r="CM33" s="94">
        <f>IF(BM33=".",".",s_RadSpec!$F$13*(CM13*$B33))</f>
        <v>5.342117648136261E-2</v>
      </c>
      <c r="CN33" s="94">
        <f>IF(BN33=".",".",s_RadSpec!$F$13*(CN13*$B33))</f>
        <v>5.9676057963088038E-2</v>
      </c>
      <c r="CO33" s="94">
        <f>IF(BO33=".",".",s_RadSpec!$F$13*(CO13*$B33))</f>
        <v>5.2726189650059783E-2</v>
      </c>
      <c r="CP33" s="94">
        <f>IF(BP33=".",".",s_RadSpec!$F$13*(CP13*$B33))</f>
        <v>5.342117648136261E-2</v>
      </c>
      <c r="CQ33" s="94">
        <f>IF(BQ33=".",".",s_RadSpec!$F$13*(CQ13*$B33))</f>
        <v>5.6201123806573917E-2</v>
      </c>
      <c r="CR33" s="94">
        <f>IF(BR33=".",".",s_RadSpec!$F$13*(CR13*$B33))</f>
        <v>4.111990956730259E-2</v>
      </c>
      <c r="CS33" s="94">
        <f>IF(BS33=".",".",s_RadSpec!$F$13*(CS13*$B33))</f>
        <v>4.111990956730259E-2</v>
      </c>
      <c r="CT33" s="94">
        <f>IF(BT33=".",".",s_RadSpec!$F$13*(CT13*$B33))</f>
        <v>5.2726189650059783E-2</v>
      </c>
      <c r="CU33" s="94">
        <f>IF(BU33=".",".",s_RadSpec!$F$13*(CU13*$B33))</f>
        <v>5.342117648136261E-2</v>
      </c>
      <c r="CV33" s="94">
        <f>IF(BV33=".",".",s_RadSpec!$F$13*(CV13*$B33))</f>
        <v>4.4872838456337855E-2</v>
      </c>
      <c r="CW33" s="94">
        <f>IF(BW33=".",".",s_RadSpec!$F$13*(CW13*$B33))</f>
        <v>5.342117648136261E-2</v>
      </c>
      <c r="CX33" s="94">
        <f>IF(BX33=".",".",s_RadSpec!$F$13*(CX13*$B33))</f>
        <v>5.2726189650059783E-2</v>
      </c>
      <c r="CY33" s="94">
        <f>IF(BY33=".",".",s_RadSpec!$F$13*(CY13*$B33))</f>
        <v>4.111990956730259E-2</v>
      </c>
      <c r="CZ33" s="94">
        <f>IF(BZ33=".",".",s_RadSpec!$F$13*(CZ13*$B33))</f>
        <v>5.342117648136261E-2</v>
      </c>
      <c r="DA33" s="94">
        <f>IF(CA33=".",".",s_RadSpec!$F$13*(DA13*$B33))</f>
        <v>5.4811150143968257E-2</v>
      </c>
      <c r="DB33" s="94">
        <f>IF(CB33=".",".",s_RadSpec!$F$13*(DB13*$B33))</f>
        <v>4.2926875328689947E-2</v>
      </c>
    </row>
    <row r="34" spans="1:106" s="42" customFormat="1" x14ac:dyDescent="0.25">
      <c r="A34" s="77" t="s">
        <v>1062</v>
      </c>
      <c r="B34" s="42">
        <v>1</v>
      </c>
      <c r="C34" s="60">
        <f t="shared" si="14"/>
        <v>12366.0720725506</v>
      </c>
      <c r="D34" s="60">
        <f t="shared" si="14"/>
        <v>49464.288290202407</v>
      </c>
      <c r="E34" s="60">
        <f t="shared" si="14"/>
        <v>49464.288290202407</v>
      </c>
      <c r="F34" s="60">
        <f t="shared" si="14"/>
        <v>49464.288290202407</v>
      </c>
      <c r="G34" s="60">
        <f t="shared" si="14"/>
        <v>49464.288290202407</v>
      </c>
      <c r="H34" s="60">
        <f t="shared" si="14"/>
        <v>49464.288290202407</v>
      </c>
      <c r="I34" s="60">
        <f t="shared" si="14"/>
        <v>49464.288290202407</v>
      </c>
      <c r="J34" s="60">
        <f t="shared" si="14"/>
        <v>49464.288290202407</v>
      </c>
      <c r="K34" s="60">
        <f t="shared" si="14"/>
        <v>49464.288290202407</v>
      </c>
      <c r="L34" s="60">
        <f t="shared" si="14"/>
        <v>49464.288290202407</v>
      </c>
      <c r="M34" s="60">
        <f t="shared" si="14"/>
        <v>49464.288290202407</v>
      </c>
      <c r="N34" s="60">
        <f t="shared" si="14"/>
        <v>49464.288290202407</v>
      </c>
      <c r="O34" s="60">
        <f t="shared" si="14"/>
        <v>49464.288290202407</v>
      </c>
      <c r="P34" s="60">
        <f t="shared" si="14"/>
        <v>49464.288290202407</v>
      </c>
      <c r="Q34" s="60">
        <f t="shared" si="14"/>
        <v>49464.288290202407</v>
      </c>
      <c r="R34" s="60">
        <f t="shared" si="14"/>
        <v>49464.288290202407</v>
      </c>
      <c r="S34" s="60">
        <f t="shared" si="14"/>
        <v>49464.288290202407</v>
      </c>
      <c r="T34" s="60">
        <f t="shared" si="14"/>
        <v>49464.288290202407</v>
      </c>
      <c r="U34" s="60">
        <f t="shared" si="14"/>
        <v>49464.288290202407</v>
      </c>
      <c r="V34" s="60">
        <f t="shared" si="14"/>
        <v>49464.288290202407</v>
      </c>
      <c r="W34" s="60">
        <f t="shared" si="14"/>
        <v>49464.288290202407</v>
      </c>
      <c r="X34" s="60">
        <f t="shared" si="14"/>
        <v>49464.288290202407</v>
      </c>
      <c r="Y34" s="60">
        <f t="shared" si="14"/>
        <v>49464.288290202407</v>
      </c>
      <c r="Z34" s="60">
        <f t="shared" si="14"/>
        <v>49464.288290202407</v>
      </c>
      <c r="AA34" s="60">
        <f t="shared" si="14"/>
        <v>49464.288290202407</v>
      </c>
      <c r="AB34" s="60">
        <f t="shared" si="14"/>
        <v>49464.288290202407</v>
      </c>
      <c r="AC34" s="94">
        <f t="shared" si="11"/>
        <v>2.0216605445389055E-3</v>
      </c>
      <c r="AD34" s="94">
        <f>IF(D34=".",".",s_RadSpec!$F$14*(AD14*$B34))</f>
        <v>5.0541513613472637E-4</v>
      </c>
      <c r="AE34" s="94">
        <f>IF(E34=".",".",s_RadSpec!$F$14*(AE14*$B34))</f>
        <v>5.0541513613472637E-4</v>
      </c>
      <c r="AF34" s="94">
        <f>IF(F34=".",".",s_RadSpec!$F$14*(AF14*$B34))</f>
        <v>5.0541513613472637E-4</v>
      </c>
      <c r="AG34" s="94">
        <f>IF(G34=".",".",s_RadSpec!$F$14*(AG14*$B34))</f>
        <v>5.0541513613472637E-4</v>
      </c>
      <c r="AH34" s="94">
        <f>IF(H34=".",".",s_RadSpec!$F$14*(AH14*$B34))</f>
        <v>5.0541513613472637E-4</v>
      </c>
      <c r="AI34" s="94">
        <f>IF(I34=".",".",s_RadSpec!$F$14*(AI14*$B34))</f>
        <v>5.0541513613472637E-4</v>
      </c>
      <c r="AJ34" s="94">
        <f>IF(J34=".",".",s_RadSpec!$F$14*(AJ14*$B34))</f>
        <v>5.0541513613472637E-4</v>
      </c>
      <c r="AK34" s="94">
        <f>IF(K34=".",".",s_RadSpec!$F$14*(AK14*$B34))</f>
        <v>5.0541513613472637E-4</v>
      </c>
      <c r="AL34" s="94">
        <f>IF(L34=".",".",s_RadSpec!$F$14*(AL14*$B34))</f>
        <v>5.0541513613472637E-4</v>
      </c>
      <c r="AM34" s="94">
        <f>IF(M34=".",".",s_RadSpec!$F$14*(AM14*$B34))</f>
        <v>5.0541513613472637E-4</v>
      </c>
      <c r="AN34" s="94">
        <f>IF(N34=".",".",s_RadSpec!$F$14*(AN14*$B34))</f>
        <v>5.0541513613472637E-4</v>
      </c>
      <c r="AO34" s="94">
        <f>IF(O34=".",".",s_RadSpec!$F$14*(AO14*$B34))</f>
        <v>5.0541513613472637E-4</v>
      </c>
      <c r="AP34" s="94">
        <f>IF(P34=".",".",s_RadSpec!$F$14*(AP14*$B34))</f>
        <v>5.0541513613472637E-4</v>
      </c>
      <c r="AQ34" s="94">
        <f>IF(Q34=".",".",s_RadSpec!$F$14*(AQ14*$B34))</f>
        <v>5.0541513613472637E-4</v>
      </c>
      <c r="AR34" s="94">
        <f>IF(R34=".",".",s_RadSpec!$F$14*(AR14*$B34))</f>
        <v>5.0541513613472637E-4</v>
      </c>
      <c r="AS34" s="94">
        <f>IF(S34=".",".",s_RadSpec!$F$14*(AS14*$B34))</f>
        <v>5.0541513613472637E-4</v>
      </c>
      <c r="AT34" s="94">
        <f>IF(T34=".",".",s_RadSpec!$F$14*(AT14*$B34))</f>
        <v>5.0541513613472637E-4</v>
      </c>
      <c r="AU34" s="94">
        <f>IF(U34=".",".",s_RadSpec!$F$14*(AU14*$B34))</f>
        <v>5.0541513613472637E-4</v>
      </c>
      <c r="AV34" s="94">
        <f>IF(V34=".",".",s_RadSpec!$F$14*(AV14*$B34))</f>
        <v>5.0541513613472637E-4</v>
      </c>
      <c r="AW34" s="94">
        <f>IF(W34=".",".",s_RadSpec!$F$14*(AW14*$B34))</f>
        <v>5.0541513613472637E-4</v>
      </c>
      <c r="AX34" s="94">
        <f>IF(X34=".",".",s_RadSpec!$F$14*(AX14*$B34))</f>
        <v>5.0541513613472637E-4</v>
      </c>
      <c r="AY34" s="94">
        <f>IF(Y34=".",".",s_RadSpec!$F$14*(AY14*$B34))</f>
        <v>5.0541513613472637E-4</v>
      </c>
      <c r="AZ34" s="94">
        <f>IF(Z34=".",".",s_RadSpec!$F$14*(AZ14*$B34))</f>
        <v>5.0541513613472637E-4</v>
      </c>
      <c r="BA34" s="94">
        <f>IF(AA34=".",".",s_RadSpec!$F$14*(BA14*$B34))</f>
        <v>5.0541513613472637E-4</v>
      </c>
      <c r="BB34" s="94">
        <f>IF(AB34=".",".",s_RadSpec!$F$14*(BB14*$B34))</f>
        <v>5.0541513613472637E-4</v>
      </c>
      <c r="BC34" s="60">
        <f t="shared" si="15"/>
        <v>12366.0720725506</v>
      </c>
      <c r="BD34" s="60">
        <f t="shared" si="15"/>
        <v>49464.288290202407</v>
      </c>
      <c r="BE34" s="60">
        <f t="shared" si="15"/>
        <v>49464.288290202407</v>
      </c>
      <c r="BF34" s="60">
        <f t="shared" si="15"/>
        <v>49464.288290202407</v>
      </c>
      <c r="BG34" s="60">
        <f t="shared" si="15"/>
        <v>49464.288290202407</v>
      </c>
      <c r="BH34" s="60">
        <f t="shared" si="15"/>
        <v>49464.288290202407</v>
      </c>
      <c r="BI34" s="60">
        <f t="shared" si="15"/>
        <v>49464.288290202407</v>
      </c>
      <c r="BJ34" s="60">
        <f t="shared" si="15"/>
        <v>49464.288290202407</v>
      </c>
      <c r="BK34" s="60">
        <f t="shared" si="15"/>
        <v>49464.288290202407</v>
      </c>
      <c r="BL34" s="60">
        <f t="shared" si="15"/>
        <v>49464.288290202407</v>
      </c>
      <c r="BM34" s="60">
        <f t="shared" si="15"/>
        <v>49464.288290202407</v>
      </c>
      <c r="BN34" s="60">
        <f t="shared" si="15"/>
        <v>49464.288290202407</v>
      </c>
      <c r="BO34" s="60">
        <f t="shared" si="15"/>
        <v>49464.288290202407</v>
      </c>
      <c r="BP34" s="60">
        <f t="shared" si="15"/>
        <v>49464.288290202407</v>
      </c>
      <c r="BQ34" s="60">
        <f t="shared" si="15"/>
        <v>49464.288290202407</v>
      </c>
      <c r="BR34" s="60">
        <f t="shared" si="15"/>
        <v>49464.288290202407</v>
      </c>
      <c r="BS34" s="60">
        <f t="shared" si="15"/>
        <v>49464.288290202407</v>
      </c>
      <c r="BT34" s="60">
        <f t="shared" si="15"/>
        <v>49464.288290202407</v>
      </c>
      <c r="BU34" s="60">
        <f t="shared" si="15"/>
        <v>49464.288290202407</v>
      </c>
      <c r="BV34" s="60">
        <f t="shared" si="15"/>
        <v>49464.288290202407</v>
      </c>
      <c r="BW34" s="60">
        <f t="shared" si="15"/>
        <v>49464.288290202407</v>
      </c>
      <c r="BX34" s="60">
        <f t="shared" si="15"/>
        <v>49464.288290202407</v>
      </c>
      <c r="BY34" s="60">
        <f t="shared" si="15"/>
        <v>49464.288290202407</v>
      </c>
      <c r="BZ34" s="60">
        <f t="shared" si="15"/>
        <v>49464.288290202407</v>
      </c>
      <c r="CA34" s="60">
        <f t="shared" si="15"/>
        <v>49464.288290202407</v>
      </c>
      <c r="CB34" s="60">
        <f t="shared" si="15"/>
        <v>49464.288290202407</v>
      </c>
      <c r="CC34" s="94">
        <f t="shared" si="13"/>
        <v>2.0216605445389055E-3</v>
      </c>
      <c r="CD34" s="94">
        <f>IF(BD34=".",".",s_RadSpec!$F$14*(CD14*$B34))</f>
        <v>5.0541513613472637E-4</v>
      </c>
      <c r="CE34" s="94">
        <f>IF(BE34=".",".",s_RadSpec!$F$14*(CE14*$B34))</f>
        <v>5.0541513613472637E-4</v>
      </c>
      <c r="CF34" s="94">
        <f>IF(BF34=".",".",s_RadSpec!$F$14*(CF14*$B34))</f>
        <v>5.0541513613472637E-4</v>
      </c>
      <c r="CG34" s="94">
        <f>IF(BG34=".",".",s_RadSpec!$F$14*(CG14*$B34))</f>
        <v>5.0541513613472637E-4</v>
      </c>
      <c r="CH34" s="94">
        <f>IF(BH34=".",".",s_RadSpec!$F$14*(CH14*$B34))</f>
        <v>5.0541513613472637E-4</v>
      </c>
      <c r="CI34" s="94">
        <f>IF(BI34=".",".",s_RadSpec!$F$14*(CI14*$B34))</f>
        <v>5.0541513613472637E-4</v>
      </c>
      <c r="CJ34" s="94">
        <f>IF(BJ34=".",".",s_RadSpec!$F$14*(CJ14*$B34))</f>
        <v>5.0541513613472637E-4</v>
      </c>
      <c r="CK34" s="94">
        <f>IF(BK34=".",".",s_RadSpec!$F$14*(CK14*$B34))</f>
        <v>5.0541513613472637E-4</v>
      </c>
      <c r="CL34" s="94">
        <f>IF(BL34=".",".",s_RadSpec!$F$14*(CL14*$B34))</f>
        <v>5.0541513613472637E-4</v>
      </c>
      <c r="CM34" s="94">
        <f>IF(BM34=".",".",s_RadSpec!$F$14*(CM14*$B34))</f>
        <v>5.0541513613472637E-4</v>
      </c>
      <c r="CN34" s="94">
        <f>IF(BN34=".",".",s_RadSpec!$F$14*(CN14*$B34))</f>
        <v>5.0541513613472637E-4</v>
      </c>
      <c r="CO34" s="94">
        <f>IF(BO34=".",".",s_RadSpec!$F$14*(CO14*$B34))</f>
        <v>5.0541513613472637E-4</v>
      </c>
      <c r="CP34" s="94">
        <f>IF(BP34=".",".",s_RadSpec!$F$14*(CP14*$B34))</f>
        <v>5.0541513613472637E-4</v>
      </c>
      <c r="CQ34" s="94">
        <f>IF(BQ34=".",".",s_RadSpec!$F$14*(CQ14*$B34))</f>
        <v>5.0541513613472637E-4</v>
      </c>
      <c r="CR34" s="94">
        <f>IF(BR34=".",".",s_RadSpec!$F$14*(CR14*$B34))</f>
        <v>5.0541513613472637E-4</v>
      </c>
      <c r="CS34" s="94">
        <f>IF(BS34=".",".",s_RadSpec!$F$14*(CS14*$B34))</f>
        <v>5.0541513613472637E-4</v>
      </c>
      <c r="CT34" s="94">
        <f>IF(BT34=".",".",s_RadSpec!$F$14*(CT14*$B34))</f>
        <v>5.0541513613472637E-4</v>
      </c>
      <c r="CU34" s="94">
        <f>IF(BU34=".",".",s_RadSpec!$F$14*(CU14*$B34))</f>
        <v>5.0541513613472637E-4</v>
      </c>
      <c r="CV34" s="94">
        <f>IF(BV34=".",".",s_RadSpec!$F$14*(CV14*$B34))</f>
        <v>5.0541513613472637E-4</v>
      </c>
      <c r="CW34" s="94">
        <f>IF(BW34=".",".",s_RadSpec!$F$14*(CW14*$B34))</f>
        <v>5.0541513613472637E-4</v>
      </c>
      <c r="CX34" s="94">
        <f>IF(BX34=".",".",s_RadSpec!$F$14*(CX14*$B34))</f>
        <v>5.0541513613472637E-4</v>
      </c>
      <c r="CY34" s="94">
        <f>IF(BY34=".",".",s_RadSpec!$F$14*(CY14*$B34))</f>
        <v>5.0541513613472637E-4</v>
      </c>
      <c r="CZ34" s="94">
        <f>IF(BZ34=".",".",s_RadSpec!$F$14*(CZ14*$B34))</f>
        <v>5.0541513613472637E-4</v>
      </c>
      <c r="DA34" s="94">
        <f>IF(CA34=".",".",s_RadSpec!$F$14*(DA14*$B34))</f>
        <v>5.0541513613472637E-4</v>
      </c>
      <c r="DB34" s="94">
        <f>IF(CB34=".",".",s_RadSpec!$F$14*(DB14*$B34))</f>
        <v>5.0541513613472637E-4</v>
      </c>
    </row>
    <row r="35" spans="1:106" s="42" customFormat="1" x14ac:dyDescent="0.25">
      <c r="A35" s="77" t="s">
        <v>1063</v>
      </c>
      <c r="B35" s="42">
        <v>1</v>
      </c>
      <c r="C35" s="60">
        <f t="shared" ref="C35:AB35" si="16">IFERROR(C30/$B35,".")</f>
        <v>289.60812124349638</v>
      </c>
      <c r="D35" s="60">
        <f t="shared" si="16"/>
        <v>1247.6517691418646</v>
      </c>
      <c r="E35" s="60">
        <f t="shared" si="16"/>
        <v>947.0755287377375</v>
      </c>
      <c r="F35" s="60">
        <f t="shared" si="16"/>
        <v>1110.3972847127168</v>
      </c>
      <c r="G35" s="60">
        <f t="shared" si="16"/>
        <v>1247.6517691418646</v>
      </c>
      <c r="H35" s="60">
        <f t="shared" si="16"/>
        <v>1011.182807396798</v>
      </c>
      <c r="I35" s="60">
        <f t="shared" si="16"/>
        <v>947.0755287377375</v>
      </c>
      <c r="J35" s="60">
        <f t="shared" si="16"/>
        <v>1110.3972847127168</v>
      </c>
      <c r="K35" s="60">
        <f t="shared" si="16"/>
        <v>1247.6517691418646</v>
      </c>
      <c r="L35" s="60">
        <f t="shared" si="16"/>
        <v>1011.182807396798</v>
      </c>
      <c r="M35" s="60">
        <f t="shared" si="16"/>
        <v>1011.182807396798</v>
      </c>
      <c r="N35" s="60">
        <f t="shared" si="16"/>
        <v>947.0755287377375</v>
      </c>
      <c r="O35" s="60">
        <f t="shared" si="16"/>
        <v>1223.1345110953582</v>
      </c>
      <c r="P35" s="60">
        <f t="shared" si="16"/>
        <v>1011.182807396798</v>
      </c>
      <c r="Q35" s="60">
        <f t="shared" si="16"/>
        <v>1110.3972847127168</v>
      </c>
      <c r="R35" s="60">
        <f t="shared" si="16"/>
        <v>1247.6517691418646</v>
      </c>
      <c r="S35" s="60">
        <f t="shared" si="16"/>
        <v>1247.6517691418646</v>
      </c>
      <c r="T35" s="60">
        <f t="shared" si="16"/>
        <v>1223.1345110953582</v>
      </c>
      <c r="U35" s="60">
        <f t="shared" si="16"/>
        <v>1011.182807396798</v>
      </c>
      <c r="V35" s="60">
        <f t="shared" si="16"/>
        <v>1169.5104851627939</v>
      </c>
      <c r="W35" s="60">
        <f t="shared" si="16"/>
        <v>1011.182807396798</v>
      </c>
      <c r="X35" s="60">
        <f t="shared" si="16"/>
        <v>1223.1345110953582</v>
      </c>
      <c r="Y35" s="60">
        <f t="shared" si="16"/>
        <v>1247.6517691418646</v>
      </c>
      <c r="Z35" s="60">
        <f t="shared" si="16"/>
        <v>1011.182807396798</v>
      </c>
      <c r="AA35" s="60">
        <f t="shared" si="16"/>
        <v>1263.6301321982003</v>
      </c>
      <c r="AB35" s="60">
        <f t="shared" si="16"/>
        <v>1147.941575269087</v>
      </c>
      <c r="AC35" s="94">
        <f t="shared" si="11"/>
        <v>8.6323546082399144E-2</v>
      </c>
      <c r="AD35" s="94">
        <f>IF(D35=".",".",s_RadSpec!$F$30*(AD30*$B35))</f>
        <v>2.0037642408181736E-2</v>
      </c>
      <c r="AE35" s="94">
        <f>IF(E35=".",".",s_RadSpec!$F$30*(AE30*$B35))</f>
        <v>2.6397049909335113E-2</v>
      </c>
      <c r="AF35" s="94">
        <f>IF(F35=".",".",s_RadSpec!$F$30*(AF30*$B35))</f>
        <v>2.2514464277052001E-2</v>
      </c>
      <c r="AG35" s="94">
        <f>IF(G35=".",".",s_RadSpec!$F$30*(AG30*$B35))</f>
        <v>2.0037642408181736E-2</v>
      </c>
      <c r="AH35" s="94">
        <f>IF(H35=".",".",s_RadSpec!$F$30*(AH30*$B35))</f>
        <v>2.4723521619557907E-2</v>
      </c>
      <c r="AI35" s="94">
        <f>IF(I35=".",".",s_RadSpec!$F$30*(AI30*$B35))</f>
        <v>2.6397049909335113E-2</v>
      </c>
      <c r="AJ35" s="94">
        <f>IF(J35=".",".",s_RadSpec!$F$30*(AJ30*$B35))</f>
        <v>2.2514464277052001E-2</v>
      </c>
      <c r="AK35" s="94">
        <f>IF(K35=".",".",s_RadSpec!$F$30*(AK30*$B35))</f>
        <v>2.0037642408181736E-2</v>
      </c>
      <c r="AL35" s="94">
        <f>IF(L35=".",".",s_RadSpec!$F$30*(AL30*$B35))</f>
        <v>2.4723521619557907E-2</v>
      </c>
      <c r="AM35" s="94">
        <f>IF(M35=".",".",s_RadSpec!$F$30*(AM30*$B35))</f>
        <v>2.4723521619557907E-2</v>
      </c>
      <c r="AN35" s="94">
        <f>IF(N35=".",".",s_RadSpec!$F$30*(AN30*$B35))</f>
        <v>2.6397049909335113E-2</v>
      </c>
      <c r="AO35" s="94">
        <f>IF(O35=".",".",s_RadSpec!$F$30*(AO30*$B35))</f>
        <v>2.0439289197728267E-2</v>
      </c>
      <c r="AP35" s="94">
        <f>IF(P35=".",".",s_RadSpec!$F$30*(AP30*$B35))</f>
        <v>2.4723521619557907E-2</v>
      </c>
      <c r="AQ35" s="94">
        <f>IF(Q35=".",".",s_RadSpec!$F$30*(AQ30*$B35))</f>
        <v>2.2514464277052001E-2</v>
      </c>
      <c r="AR35" s="94">
        <f>IF(R35=".",".",s_RadSpec!$F$30*(AR30*$B35))</f>
        <v>2.0037642408181736E-2</v>
      </c>
      <c r="AS35" s="94">
        <f>IF(S35=".",".",s_RadSpec!$F$30*(AS30*$B35))</f>
        <v>2.0037642408181736E-2</v>
      </c>
      <c r="AT35" s="94">
        <f>IF(T35=".",".",s_RadSpec!$F$30*(AT30*$B35))</f>
        <v>2.0439289197728267E-2</v>
      </c>
      <c r="AU35" s="94">
        <f>IF(U35=".",".",s_RadSpec!$F$30*(AU30*$B35))</f>
        <v>2.4723521619557907E-2</v>
      </c>
      <c r="AV35" s="94">
        <f>IF(V35=".",".",s_RadSpec!$F$30*(AV30*$B35))</f>
        <v>2.1376465040003501E-2</v>
      </c>
      <c r="AW35" s="94">
        <f>IF(W35=".",".",s_RadSpec!$F$30*(AW30*$B35))</f>
        <v>2.4723521619557907E-2</v>
      </c>
      <c r="AX35" s="94">
        <f>IF(X35=".",".",s_RadSpec!$F$30*(AX30*$B35))</f>
        <v>2.0439289197728267E-2</v>
      </c>
      <c r="AY35" s="94">
        <f>IF(Y35=".",".",s_RadSpec!$F$30*(AY30*$B35))</f>
        <v>2.0037642408181736E-2</v>
      </c>
      <c r="AZ35" s="94">
        <f>IF(Z35=".",".",s_RadSpec!$F$30*(AZ30*$B35))</f>
        <v>2.4723521619557907E-2</v>
      </c>
      <c r="BA35" s="94">
        <f>IF(AA35=".",".",s_RadSpec!$F$30*(BA30*$B35))</f>
        <v>1.9784270225109469E-2</v>
      </c>
      <c r="BB35" s="94">
        <f>IF(AB35=".",".",s_RadSpec!$F$30*(BB30*$B35))</f>
        <v>2.1778111829550029E-2</v>
      </c>
      <c r="BC35" s="60">
        <f t="shared" ref="BC35:CB35" si="17">IFERROR(BC30/$B35,".")</f>
        <v>289.60812124349638</v>
      </c>
      <c r="BD35" s="60">
        <f t="shared" si="17"/>
        <v>1247.6517691418646</v>
      </c>
      <c r="BE35" s="60">
        <f t="shared" si="17"/>
        <v>947.0755287377375</v>
      </c>
      <c r="BF35" s="60">
        <f t="shared" si="17"/>
        <v>1110.3972847127168</v>
      </c>
      <c r="BG35" s="60">
        <f t="shared" si="17"/>
        <v>1247.6517691418646</v>
      </c>
      <c r="BH35" s="60">
        <f t="shared" si="17"/>
        <v>1011.182807396798</v>
      </c>
      <c r="BI35" s="60">
        <f t="shared" si="17"/>
        <v>947.0755287377375</v>
      </c>
      <c r="BJ35" s="60">
        <f t="shared" si="17"/>
        <v>1110.3972847127168</v>
      </c>
      <c r="BK35" s="60">
        <f t="shared" si="17"/>
        <v>1247.6517691418646</v>
      </c>
      <c r="BL35" s="60">
        <f t="shared" si="17"/>
        <v>1011.182807396798</v>
      </c>
      <c r="BM35" s="60">
        <f t="shared" si="17"/>
        <v>1011.182807396798</v>
      </c>
      <c r="BN35" s="60">
        <f t="shared" si="17"/>
        <v>947.0755287377375</v>
      </c>
      <c r="BO35" s="60">
        <f t="shared" si="17"/>
        <v>1223.1345110953582</v>
      </c>
      <c r="BP35" s="60">
        <f t="shared" si="17"/>
        <v>1011.182807396798</v>
      </c>
      <c r="BQ35" s="60">
        <f t="shared" si="17"/>
        <v>1110.3972847127168</v>
      </c>
      <c r="BR35" s="60">
        <f t="shared" si="17"/>
        <v>1247.6517691418646</v>
      </c>
      <c r="BS35" s="60">
        <f t="shared" si="17"/>
        <v>1247.6517691418646</v>
      </c>
      <c r="BT35" s="60">
        <f t="shared" si="17"/>
        <v>1223.1345110953582</v>
      </c>
      <c r="BU35" s="60">
        <f t="shared" si="17"/>
        <v>1011.182807396798</v>
      </c>
      <c r="BV35" s="60">
        <f t="shared" si="17"/>
        <v>1169.5104851627939</v>
      </c>
      <c r="BW35" s="60">
        <f t="shared" si="17"/>
        <v>1011.182807396798</v>
      </c>
      <c r="BX35" s="60">
        <f t="shared" si="17"/>
        <v>1223.1345110953582</v>
      </c>
      <c r="BY35" s="60">
        <f t="shared" si="17"/>
        <v>1247.6517691418646</v>
      </c>
      <c r="BZ35" s="60">
        <f t="shared" si="17"/>
        <v>1011.182807396798</v>
      </c>
      <c r="CA35" s="60">
        <f t="shared" si="17"/>
        <v>1263.6301321982003</v>
      </c>
      <c r="CB35" s="60">
        <f t="shared" si="17"/>
        <v>1147.941575269087</v>
      </c>
      <c r="CC35" s="94">
        <f t="shared" si="13"/>
        <v>8.6323546082399144E-2</v>
      </c>
      <c r="CD35" s="94">
        <f>IF(BD35=".",".",s_RadSpec!$F$30*(CD30*$B35))</f>
        <v>2.0037642408181736E-2</v>
      </c>
      <c r="CE35" s="94">
        <f>IF(BE35=".",".",s_RadSpec!$F$30*(CE30*$B35))</f>
        <v>2.6397049909335113E-2</v>
      </c>
      <c r="CF35" s="94">
        <f>IF(BF35=".",".",s_RadSpec!$F$30*(CF30*$B35))</f>
        <v>2.2514464277052001E-2</v>
      </c>
      <c r="CG35" s="94">
        <f>IF(BG35=".",".",s_RadSpec!$F$30*(CG30*$B35))</f>
        <v>2.0037642408181736E-2</v>
      </c>
      <c r="CH35" s="94">
        <f>IF(BH35=".",".",s_RadSpec!$F$30*(CH30*$B35))</f>
        <v>2.4723521619557907E-2</v>
      </c>
      <c r="CI35" s="94">
        <f>IF(BI35=".",".",s_RadSpec!$F$30*(CI30*$B35))</f>
        <v>2.6397049909335113E-2</v>
      </c>
      <c r="CJ35" s="94">
        <f>IF(BJ35=".",".",s_RadSpec!$F$30*(CJ30*$B35))</f>
        <v>2.2514464277052001E-2</v>
      </c>
      <c r="CK35" s="94">
        <f>IF(BK35=".",".",s_RadSpec!$F$30*(CK30*$B35))</f>
        <v>2.0037642408181736E-2</v>
      </c>
      <c r="CL35" s="94">
        <f>IF(BL35=".",".",s_RadSpec!$F$30*(CL30*$B35))</f>
        <v>2.4723521619557907E-2</v>
      </c>
      <c r="CM35" s="94">
        <f>IF(BM35=".",".",s_RadSpec!$F$30*(CM30*$B35))</f>
        <v>2.4723521619557907E-2</v>
      </c>
      <c r="CN35" s="94">
        <f>IF(BN35=".",".",s_RadSpec!$F$30*(CN30*$B35))</f>
        <v>2.6397049909335113E-2</v>
      </c>
      <c r="CO35" s="94">
        <f>IF(BO35=".",".",s_RadSpec!$F$30*(CO30*$B35))</f>
        <v>2.0439289197728267E-2</v>
      </c>
      <c r="CP35" s="94">
        <f>IF(BP35=".",".",s_RadSpec!$F$30*(CP30*$B35))</f>
        <v>2.4723521619557907E-2</v>
      </c>
      <c r="CQ35" s="94">
        <f>IF(BQ35=".",".",s_RadSpec!$F$30*(CQ30*$B35))</f>
        <v>2.2514464277052001E-2</v>
      </c>
      <c r="CR35" s="94">
        <f>IF(BR35=".",".",s_RadSpec!$F$30*(CR30*$B35))</f>
        <v>2.0037642408181736E-2</v>
      </c>
      <c r="CS35" s="94">
        <f>IF(BS35=".",".",s_RadSpec!$F$30*(CS30*$B35))</f>
        <v>2.0037642408181736E-2</v>
      </c>
      <c r="CT35" s="94">
        <f>IF(BT35=".",".",s_RadSpec!$F$30*(CT30*$B35))</f>
        <v>2.0439289197728267E-2</v>
      </c>
      <c r="CU35" s="94">
        <f>IF(BU35=".",".",s_RadSpec!$F$30*(CU30*$B35))</f>
        <v>2.4723521619557907E-2</v>
      </c>
      <c r="CV35" s="94">
        <f>IF(BV35=".",".",s_RadSpec!$F$30*(CV30*$B35))</f>
        <v>2.1376465040003501E-2</v>
      </c>
      <c r="CW35" s="94">
        <f>IF(BW35=".",".",s_RadSpec!$F$30*(CW30*$B35))</f>
        <v>2.4723521619557907E-2</v>
      </c>
      <c r="CX35" s="94">
        <f>IF(BX35=".",".",s_RadSpec!$F$30*(CX30*$B35))</f>
        <v>2.0439289197728267E-2</v>
      </c>
      <c r="CY35" s="94">
        <f>IF(BY35=".",".",s_RadSpec!$F$30*(CY30*$B35))</f>
        <v>2.0037642408181736E-2</v>
      </c>
      <c r="CZ35" s="94">
        <f>IF(BZ35=".",".",s_RadSpec!$F$30*(CZ30*$B35))</f>
        <v>2.4723521619557907E-2</v>
      </c>
      <c r="DA35" s="94">
        <f>IF(CA35=".",".",s_RadSpec!$F$30*(DA30*$B35))</f>
        <v>1.9784270225109469E-2</v>
      </c>
      <c r="DB35" s="94">
        <f>IF(CB35=".",".",s_RadSpec!$F$30*(DB30*$B35))</f>
        <v>2.1778111829550029E-2</v>
      </c>
    </row>
    <row r="36" spans="1:106" s="42" customFormat="1" x14ac:dyDescent="0.25">
      <c r="A36" s="77" t="s">
        <v>1064</v>
      </c>
      <c r="B36" s="42">
        <v>1</v>
      </c>
      <c r="C36" s="60">
        <f t="shared" ref="C36:AB36" si="18">IFERROR(C26/$B36,".")</f>
        <v>30.892115570245071</v>
      </c>
      <c r="D36" s="60">
        <f t="shared" si="18"/>
        <v>124.36982148476007</v>
      </c>
      <c r="E36" s="60">
        <f t="shared" si="18"/>
        <v>122.92044562510824</v>
      </c>
      <c r="F36" s="60">
        <f t="shared" si="18"/>
        <v>123.7444961791537</v>
      </c>
      <c r="G36" s="60">
        <f t="shared" si="18"/>
        <v>124.36982148476007</v>
      </c>
      <c r="H36" s="60">
        <f t="shared" si="18"/>
        <v>123.78598883408308</v>
      </c>
      <c r="I36" s="60">
        <f t="shared" si="18"/>
        <v>122.92044562510824</v>
      </c>
      <c r="J36" s="60">
        <f t="shared" si="18"/>
        <v>123.7444961791537</v>
      </c>
      <c r="K36" s="60">
        <f t="shared" si="18"/>
        <v>124.36982148476007</v>
      </c>
      <c r="L36" s="60">
        <f t="shared" si="18"/>
        <v>124.07721837202871</v>
      </c>
      <c r="M36" s="60">
        <f t="shared" si="18"/>
        <v>123.78598883408308</v>
      </c>
      <c r="N36" s="60">
        <f t="shared" si="18"/>
        <v>122.92044562510824</v>
      </c>
      <c r="O36" s="60">
        <f t="shared" si="18"/>
        <v>124.30700469847686</v>
      </c>
      <c r="P36" s="60">
        <f t="shared" si="18"/>
        <v>123.78598883408308</v>
      </c>
      <c r="Q36" s="60">
        <f t="shared" si="18"/>
        <v>123.7444961791537</v>
      </c>
      <c r="R36" s="60">
        <f t="shared" si="18"/>
        <v>124.36982148476007</v>
      </c>
      <c r="S36" s="60">
        <f t="shared" si="18"/>
        <v>124.36982148476007</v>
      </c>
      <c r="T36" s="60">
        <f t="shared" si="18"/>
        <v>124.30700469847686</v>
      </c>
      <c r="U36" s="60">
        <f t="shared" si="18"/>
        <v>123.78598883408308</v>
      </c>
      <c r="V36" s="60">
        <f t="shared" si="18"/>
        <v>125.0014988756681</v>
      </c>
      <c r="W36" s="60">
        <f t="shared" si="18"/>
        <v>123.78598883408308</v>
      </c>
      <c r="X36" s="60">
        <f t="shared" si="18"/>
        <v>124.30700469847686</v>
      </c>
      <c r="Y36" s="60">
        <f t="shared" si="18"/>
        <v>124.36982148476007</v>
      </c>
      <c r="Z36" s="60">
        <f t="shared" si="18"/>
        <v>123.78598883408308</v>
      </c>
      <c r="AA36" s="60">
        <f t="shared" si="18"/>
        <v>125.08620766686767</v>
      </c>
      <c r="AB36" s="60">
        <f t="shared" si="18"/>
        <v>121.10586751706455</v>
      </c>
      <c r="AC36" s="94">
        <f t="shared" si="11"/>
        <v>0.80926798111812426</v>
      </c>
      <c r="AD36" s="94">
        <f>IF(D36=".",".",s_RadSpec!$F$26*(AD26*$B36))</f>
        <v>0.20101339458031975</v>
      </c>
      <c r="AE36" s="94">
        <f>IF(E36=".",".",s_RadSpec!$F$26*(AE26*$B36))</f>
        <v>0.2033835776697949</v>
      </c>
      <c r="AF36" s="94">
        <f>IF(F36=".",".",s_RadSpec!$F$26*(AF26*$B36))</f>
        <v>0.20202918733295194</v>
      </c>
      <c r="AG36" s="94">
        <f>IF(G36=".",".",s_RadSpec!$F$26*(AG26*$B36))</f>
        <v>0.20101339458031975</v>
      </c>
      <c r="AH36" s="94">
        <f>IF(H36=".",".",s_RadSpec!$F$26*(AH26*$B36))</f>
        <v>0.2019614678161098</v>
      </c>
      <c r="AI36" s="94">
        <f>IF(I36=".",".",s_RadSpec!$F$26*(AI26*$B36))</f>
        <v>0.2033835776697949</v>
      </c>
      <c r="AJ36" s="94">
        <f>IF(J36=".",".",s_RadSpec!$F$26*(AJ26*$B36))</f>
        <v>0.20202918733295194</v>
      </c>
      <c r="AK36" s="94">
        <f>IF(K36=".",".",s_RadSpec!$F$26*(AK26*$B36))</f>
        <v>0.20101339458031975</v>
      </c>
      <c r="AL36" s="94">
        <f>IF(L36=".",".",s_RadSpec!$F$26*(AL26*$B36))</f>
        <v>0.20148743119821474</v>
      </c>
      <c r="AM36" s="94">
        <f>IF(M36=".",".",s_RadSpec!$F$26*(AM26*$B36))</f>
        <v>0.2019614678161098</v>
      </c>
      <c r="AN36" s="94">
        <f>IF(N36=".",".",s_RadSpec!$F$26*(AN26*$B36))</f>
        <v>0.2033835776697949</v>
      </c>
      <c r="AO36" s="94">
        <f>IF(O36=".",".",s_RadSpec!$F$26*(AO26*$B36))</f>
        <v>0.20111497385558297</v>
      </c>
      <c r="AP36" s="94">
        <f>IF(P36=".",".",s_RadSpec!$F$26*(AP26*$B36))</f>
        <v>0.2019614678161098</v>
      </c>
      <c r="AQ36" s="94">
        <f>IF(Q36=".",".",s_RadSpec!$F$26*(AQ26*$B36))</f>
        <v>0.20202918733295194</v>
      </c>
      <c r="AR36" s="94">
        <f>IF(R36=".",".",s_RadSpec!$F$26*(AR26*$B36))</f>
        <v>0.20101339458031975</v>
      </c>
      <c r="AS36" s="94">
        <f>IF(S36=".",".",s_RadSpec!$F$26*(AS26*$B36))</f>
        <v>0.20101339458031975</v>
      </c>
      <c r="AT36" s="94">
        <f>IF(T36=".",".",s_RadSpec!$F$26*(AT26*$B36))</f>
        <v>0.20111497385558297</v>
      </c>
      <c r="AU36" s="94">
        <f>IF(U36=".",".",s_RadSpec!$F$26*(AU26*$B36))</f>
        <v>0.2019614678161098</v>
      </c>
      <c r="AV36" s="94">
        <f>IF(V36=".",".",s_RadSpec!$F$26*(AV26*$B36))</f>
        <v>0.19999760182768753</v>
      </c>
      <c r="AW36" s="94">
        <f>IF(W36=".",".",s_RadSpec!$F$26*(AW26*$B36))</f>
        <v>0.2019614678161098</v>
      </c>
      <c r="AX36" s="94">
        <f>IF(X36=".",".",s_RadSpec!$F$26*(AX26*$B36))</f>
        <v>0.20111497385558297</v>
      </c>
      <c r="AY36" s="94">
        <f>IF(Y36=".",".",s_RadSpec!$F$26*(AY26*$B36))</f>
        <v>0.20101339458031975</v>
      </c>
      <c r="AZ36" s="94">
        <f>IF(Z36=".",".",s_RadSpec!$F$26*(AZ26*$B36))</f>
        <v>0.2019614678161098</v>
      </c>
      <c r="BA36" s="94">
        <f>IF(AA36=".",".",s_RadSpec!$F$26*(BA26*$B36))</f>
        <v>0.19986216279400321</v>
      </c>
      <c r="BB36" s="94">
        <f>IF(AB36=".",".",s_RadSpec!$F$26*(BB26*$B36))</f>
        <v>0.20643095592769151</v>
      </c>
      <c r="BC36" s="60">
        <f t="shared" ref="BC36:CB36" si="19">IFERROR(BC26/$B36,".")</f>
        <v>30.892115570245071</v>
      </c>
      <c r="BD36" s="60">
        <f t="shared" si="19"/>
        <v>124.36982148476007</v>
      </c>
      <c r="BE36" s="60">
        <f t="shared" si="19"/>
        <v>122.92044562510824</v>
      </c>
      <c r="BF36" s="60">
        <f t="shared" si="19"/>
        <v>123.7444961791537</v>
      </c>
      <c r="BG36" s="60">
        <f t="shared" si="19"/>
        <v>124.36982148476007</v>
      </c>
      <c r="BH36" s="60">
        <f t="shared" si="19"/>
        <v>123.78598883408308</v>
      </c>
      <c r="BI36" s="60">
        <f t="shared" si="19"/>
        <v>122.92044562510824</v>
      </c>
      <c r="BJ36" s="60">
        <f t="shared" si="19"/>
        <v>123.7444961791537</v>
      </c>
      <c r="BK36" s="60">
        <f t="shared" si="19"/>
        <v>124.36982148476007</v>
      </c>
      <c r="BL36" s="60">
        <f t="shared" si="19"/>
        <v>124.07721837202871</v>
      </c>
      <c r="BM36" s="60">
        <f t="shared" si="19"/>
        <v>123.78598883408308</v>
      </c>
      <c r="BN36" s="60">
        <f t="shared" si="19"/>
        <v>122.92044562510824</v>
      </c>
      <c r="BO36" s="60">
        <f t="shared" si="19"/>
        <v>124.30700469847686</v>
      </c>
      <c r="BP36" s="60">
        <f t="shared" si="19"/>
        <v>123.78598883408308</v>
      </c>
      <c r="BQ36" s="60">
        <f t="shared" si="19"/>
        <v>123.7444961791537</v>
      </c>
      <c r="BR36" s="60">
        <f t="shared" si="19"/>
        <v>124.36982148476007</v>
      </c>
      <c r="BS36" s="60">
        <f t="shared" si="19"/>
        <v>124.36982148476007</v>
      </c>
      <c r="BT36" s="60">
        <f t="shared" si="19"/>
        <v>124.30700469847686</v>
      </c>
      <c r="BU36" s="60">
        <f t="shared" si="19"/>
        <v>123.78598883408308</v>
      </c>
      <c r="BV36" s="60">
        <f t="shared" si="19"/>
        <v>125.0014988756681</v>
      </c>
      <c r="BW36" s="60">
        <f t="shared" si="19"/>
        <v>123.78598883408308</v>
      </c>
      <c r="BX36" s="60">
        <f t="shared" si="19"/>
        <v>124.30700469847686</v>
      </c>
      <c r="BY36" s="60">
        <f t="shared" si="19"/>
        <v>124.36982148476007</v>
      </c>
      <c r="BZ36" s="60">
        <f t="shared" si="19"/>
        <v>123.78598883408308</v>
      </c>
      <c r="CA36" s="60">
        <f t="shared" si="19"/>
        <v>125.08620766686767</v>
      </c>
      <c r="CB36" s="60">
        <f t="shared" si="19"/>
        <v>121.10586751706455</v>
      </c>
      <c r="CC36" s="94">
        <f t="shared" si="13"/>
        <v>0.80926798111812426</v>
      </c>
      <c r="CD36" s="94">
        <f>IF(BD36=".",".",s_RadSpec!$F$26*(CD26*$B36))</f>
        <v>0.20101339458031975</v>
      </c>
      <c r="CE36" s="94">
        <f>IF(BE36=".",".",s_RadSpec!$F$26*(CE26*$B36))</f>
        <v>0.2033835776697949</v>
      </c>
      <c r="CF36" s="94">
        <f>IF(BF36=".",".",s_RadSpec!$F$26*(CF26*$B36))</f>
        <v>0.20202918733295194</v>
      </c>
      <c r="CG36" s="94">
        <f>IF(BG36=".",".",s_RadSpec!$F$26*(CG26*$B36))</f>
        <v>0.20101339458031975</v>
      </c>
      <c r="CH36" s="94">
        <f>IF(BH36=".",".",s_RadSpec!$F$26*(CH26*$B36))</f>
        <v>0.2019614678161098</v>
      </c>
      <c r="CI36" s="94">
        <f>IF(BI36=".",".",s_RadSpec!$F$26*(CI26*$B36))</f>
        <v>0.2033835776697949</v>
      </c>
      <c r="CJ36" s="94">
        <f>IF(BJ36=".",".",s_RadSpec!$F$26*(CJ26*$B36))</f>
        <v>0.20202918733295194</v>
      </c>
      <c r="CK36" s="94">
        <f>IF(BK36=".",".",s_RadSpec!$F$26*(CK26*$B36))</f>
        <v>0.20101339458031975</v>
      </c>
      <c r="CL36" s="94">
        <f>IF(BL36=".",".",s_RadSpec!$F$26*(CL26*$B36))</f>
        <v>0.20148743119821474</v>
      </c>
      <c r="CM36" s="94">
        <f>IF(BM36=".",".",s_RadSpec!$F$26*(CM26*$B36))</f>
        <v>0.2019614678161098</v>
      </c>
      <c r="CN36" s="94">
        <f>IF(BN36=".",".",s_RadSpec!$F$26*(CN26*$B36))</f>
        <v>0.2033835776697949</v>
      </c>
      <c r="CO36" s="94">
        <f>IF(BO36=".",".",s_RadSpec!$F$26*(CO26*$B36))</f>
        <v>0.20111497385558297</v>
      </c>
      <c r="CP36" s="94">
        <f>IF(BP36=".",".",s_RadSpec!$F$26*(CP26*$B36))</f>
        <v>0.2019614678161098</v>
      </c>
      <c r="CQ36" s="94">
        <f>IF(BQ36=".",".",s_RadSpec!$F$26*(CQ26*$B36))</f>
        <v>0.20202918733295194</v>
      </c>
      <c r="CR36" s="94">
        <f>IF(BR36=".",".",s_RadSpec!$F$26*(CR26*$B36))</f>
        <v>0.20101339458031975</v>
      </c>
      <c r="CS36" s="94">
        <f>IF(BS36=".",".",s_RadSpec!$F$26*(CS26*$B36))</f>
        <v>0.20101339458031975</v>
      </c>
      <c r="CT36" s="94">
        <f>IF(BT36=".",".",s_RadSpec!$F$26*(CT26*$B36))</f>
        <v>0.20111497385558297</v>
      </c>
      <c r="CU36" s="94">
        <f>IF(BU36=".",".",s_RadSpec!$F$26*(CU26*$B36))</f>
        <v>0.2019614678161098</v>
      </c>
      <c r="CV36" s="94">
        <f>IF(BV36=".",".",s_RadSpec!$F$26*(CV26*$B36))</f>
        <v>0.19999760182768753</v>
      </c>
      <c r="CW36" s="94">
        <f>IF(BW36=".",".",s_RadSpec!$F$26*(CW26*$B36))</f>
        <v>0.2019614678161098</v>
      </c>
      <c r="CX36" s="94">
        <f>IF(BX36=".",".",s_RadSpec!$F$26*(CX26*$B36))</f>
        <v>0.20111497385558297</v>
      </c>
      <c r="CY36" s="94">
        <f>IF(BY36=".",".",s_RadSpec!$F$26*(CY26*$B36))</f>
        <v>0.20101339458031975</v>
      </c>
      <c r="CZ36" s="94">
        <f>IF(BZ36=".",".",s_RadSpec!$F$26*(CZ26*$B36))</f>
        <v>0.2019614678161098</v>
      </c>
      <c r="DA36" s="94">
        <f>IF(CA36=".",".",s_RadSpec!$F$26*(DA26*$B36))</f>
        <v>0.19986216279400321</v>
      </c>
      <c r="DB36" s="94">
        <f>IF(CB36=".",".",s_RadSpec!$F$26*(DB26*$B36))</f>
        <v>0.20643095592769151</v>
      </c>
    </row>
    <row r="37" spans="1:106" s="42" customFormat="1" x14ac:dyDescent="0.25">
      <c r="A37" s="77" t="s">
        <v>1065</v>
      </c>
      <c r="B37" s="42">
        <v>1</v>
      </c>
      <c r="C37" s="60">
        <f t="shared" ref="C37:AB37" si="20">IFERROR(C22/$B37,".")</f>
        <v>67.393478570114127</v>
      </c>
      <c r="D37" s="60">
        <f t="shared" si="20"/>
        <v>274.33975018095447</v>
      </c>
      <c r="E37" s="60">
        <f t="shared" si="20"/>
        <v>126.06427896917651</v>
      </c>
      <c r="F37" s="60">
        <f t="shared" si="20"/>
        <v>146.60763747799754</v>
      </c>
      <c r="G37" s="60">
        <f t="shared" si="20"/>
        <v>274.33975018095447</v>
      </c>
      <c r="H37" s="60">
        <f t="shared" si="20"/>
        <v>249.02713789835653</v>
      </c>
      <c r="I37" s="60">
        <f t="shared" si="20"/>
        <v>126.06427896917651</v>
      </c>
      <c r="J37" s="60">
        <f t="shared" si="20"/>
        <v>146.60763747799754</v>
      </c>
      <c r="K37" s="60">
        <f t="shared" si="20"/>
        <v>274.33975018095447</v>
      </c>
      <c r="L37" s="60">
        <f t="shared" si="20"/>
        <v>308.37112966216239</v>
      </c>
      <c r="M37" s="60">
        <f t="shared" si="20"/>
        <v>249.02713789835653</v>
      </c>
      <c r="N37" s="60">
        <f t="shared" si="20"/>
        <v>126.06427896917651</v>
      </c>
      <c r="O37" s="60">
        <f t="shared" si="20"/>
        <v>259.27988557215792</v>
      </c>
      <c r="P37" s="60">
        <f t="shared" si="20"/>
        <v>249.02713789835653</v>
      </c>
      <c r="Q37" s="60">
        <f t="shared" si="20"/>
        <v>146.60763747799754</v>
      </c>
      <c r="R37" s="60">
        <f t="shared" si="20"/>
        <v>274.33975018095447</v>
      </c>
      <c r="S37" s="60">
        <f t="shared" si="20"/>
        <v>274.33975018095447</v>
      </c>
      <c r="T37" s="60">
        <f t="shared" si="20"/>
        <v>259.27988557215792</v>
      </c>
      <c r="U37" s="60">
        <f t="shared" si="20"/>
        <v>249.02713789835653</v>
      </c>
      <c r="V37" s="60">
        <f t="shared" si="20"/>
        <v>270.41311992431514</v>
      </c>
      <c r="W37" s="60">
        <f t="shared" si="20"/>
        <v>249.02713789835653</v>
      </c>
      <c r="X37" s="60">
        <f t="shared" si="20"/>
        <v>259.27988557215792</v>
      </c>
      <c r="Y37" s="60">
        <f t="shared" si="20"/>
        <v>274.33975018095447</v>
      </c>
      <c r="Z37" s="60">
        <f t="shared" si="20"/>
        <v>249.02713789835653</v>
      </c>
      <c r="AA37" s="60">
        <f t="shared" si="20"/>
        <v>316.26928498649107</v>
      </c>
      <c r="AB37" s="60">
        <f t="shared" si="20"/>
        <v>249.02713789835653</v>
      </c>
      <c r="AC37" s="94">
        <f t="shared" si="11"/>
        <v>0.37095577391795787</v>
      </c>
      <c r="AD37" s="94">
        <f>IF(D37=".",".",s_RadSpec!$F$22*(AD22*$B37))</f>
        <v>9.1127880606109768E-2</v>
      </c>
      <c r="AE37" s="94">
        <f>IF(E37=".",".",s_RadSpec!$F$22*(AE22*$B37))</f>
        <v>0.19831152967695673</v>
      </c>
      <c r="AF37" s="94">
        <f>IF(F37=".",".",s_RadSpec!$F$22*(AF22*$B37))</f>
        <v>0.17052317621414456</v>
      </c>
      <c r="AG37" s="94">
        <f>IF(G37=".",".",s_RadSpec!$F$22*(AG22*$B37))</f>
        <v>9.1127880606109768E-2</v>
      </c>
      <c r="AH37" s="94">
        <f>IF(H37=".",".",s_RadSpec!$F$22*(AH22*$B37))</f>
        <v>0.10039066509371383</v>
      </c>
      <c r="AI37" s="94">
        <f>IF(I37=".",".",s_RadSpec!$F$22*(AI22*$B37))</f>
        <v>0.19831152967695673</v>
      </c>
      <c r="AJ37" s="94">
        <f>IF(J37=".",".",s_RadSpec!$F$22*(AJ22*$B37))</f>
        <v>0.17052317621414456</v>
      </c>
      <c r="AK37" s="94">
        <f>IF(K37=".",".",s_RadSpec!$F$22*(AK22*$B37))</f>
        <v>9.1127880606109768E-2</v>
      </c>
      <c r="AL37" s="94">
        <f>IF(L37=".",".",s_RadSpec!$F$22*(AL22*$B37))</f>
        <v>8.1071143162425363E-2</v>
      </c>
      <c r="AM37" s="94">
        <f>IF(M37=".",".",s_RadSpec!$F$22*(AM22*$B37))</f>
        <v>0.10039066509371383</v>
      </c>
      <c r="AN37" s="94">
        <f>IF(N37=".",".",s_RadSpec!$F$22*(AN22*$B37))</f>
        <v>0.19831152967695673</v>
      </c>
      <c r="AO37" s="94">
        <f>IF(O37=".",".",s_RadSpec!$F$22*(AO22*$B37))</f>
        <v>9.6420900313312088E-2</v>
      </c>
      <c r="AP37" s="94">
        <f>IF(P37=".",".",s_RadSpec!$F$22*(AP22*$B37))</f>
        <v>0.10039066509371383</v>
      </c>
      <c r="AQ37" s="94">
        <f>IF(Q37=".",".",s_RadSpec!$F$22*(AQ22*$B37))</f>
        <v>0.17052317621414456</v>
      </c>
      <c r="AR37" s="94">
        <f>IF(R37=".",".",s_RadSpec!$F$22*(AR22*$B37))</f>
        <v>9.1127880606109768E-2</v>
      </c>
      <c r="AS37" s="94">
        <f>IF(S37=".",".",s_RadSpec!$F$22*(AS22*$B37))</f>
        <v>9.1127880606109768E-2</v>
      </c>
      <c r="AT37" s="94">
        <f>IF(T37=".",".",s_RadSpec!$F$22*(AT22*$B37))</f>
        <v>9.6420900313312088E-2</v>
      </c>
      <c r="AU37" s="94">
        <f>IF(U37=".",".",s_RadSpec!$F$22*(AU22*$B37))</f>
        <v>0.10039066509371383</v>
      </c>
      <c r="AV37" s="94">
        <f>IF(V37=".",".",s_RadSpec!$F$22*(AV22*$B37))</f>
        <v>9.2451135532910345E-2</v>
      </c>
      <c r="AW37" s="94">
        <f>IF(W37=".",".",s_RadSpec!$F$22*(AW22*$B37))</f>
        <v>0.10039066509371383</v>
      </c>
      <c r="AX37" s="94">
        <f>IF(X37=".",".",s_RadSpec!$F$22*(AX22*$B37))</f>
        <v>9.6420900313312088E-2</v>
      </c>
      <c r="AY37" s="94">
        <f>IF(Y37=".",".",s_RadSpec!$F$22*(AY22*$B37))</f>
        <v>9.1127880606109768E-2</v>
      </c>
      <c r="AZ37" s="94">
        <f>IF(Z37=".",".",s_RadSpec!$F$22*(AZ22*$B37))</f>
        <v>0.10039066509371383</v>
      </c>
      <c r="BA37" s="94">
        <f>IF(AA37=".",".",s_RadSpec!$F$22*(BA22*$B37))</f>
        <v>7.9046563124420474E-2</v>
      </c>
      <c r="BB37" s="94">
        <f>IF(AB37=".",".",s_RadSpec!$F$22*(BB22*$B37))</f>
        <v>0.10039066509371383</v>
      </c>
      <c r="BC37" s="60">
        <f t="shared" ref="BC37:CB37" si="21">IFERROR(BC22/$B37,".")</f>
        <v>67.393478570114127</v>
      </c>
      <c r="BD37" s="60">
        <f t="shared" si="21"/>
        <v>274.33975018095447</v>
      </c>
      <c r="BE37" s="60">
        <f t="shared" si="21"/>
        <v>126.06427896917651</v>
      </c>
      <c r="BF37" s="60">
        <f t="shared" si="21"/>
        <v>146.60763747799754</v>
      </c>
      <c r="BG37" s="60">
        <f t="shared" si="21"/>
        <v>274.33975018095447</v>
      </c>
      <c r="BH37" s="60">
        <f t="shared" si="21"/>
        <v>249.02713789835653</v>
      </c>
      <c r="BI37" s="60">
        <f t="shared" si="21"/>
        <v>126.06427896917651</v>
      </c>
      <c r="BJ37" s="60">
        <f t="shared" si="21"/>
        <v>146.60763747799754</v>
      </c>
      <c r="BK37" s="60">
        <f t="shared" si="21"/>
        <v>274.33975018095447</v>
      </c>
      <c r="BL37" s="60">
        <f t="shared" si="21"/>
        <v>308.37112966216239</v>
      </c>
      <c r="BM37" s="60">
        <f t="shared" si="21"/>
        <v>249.02713789835653</v>
      </c>
      <c r="BN37" s="60">
        <f t="shared" si="21"/>
        <v>126.06427896917651</v>
      </c>
      <c r="BO37" s="60">
        <f t="shared" si="21"/>
        <v>259.27988557215792</v>
      </c>
      <c r="BP37" s="60">
        <f t="shared" si="21"/>
        <v>249.02713789835653</v>
      </c>
      <c r="BQ37" s="60">
        <f t="shared" si="21"/>
        <v>146.60763747799754</v>
      </c>
      <c r="BR37" s="60">
        <f t="shared" si="21"/>
        <v>274.33975018095447</v>
      </c>
      <c r="BS37" s="60">
        <f t="shared" si="21"/>
        <v>274.33975018095447</v>
      </c>
      <c r="BT37" s="60">
        <f t="shared" si="21"/>
        <v>259.27988557215792</v>
      </c>
      <c r="BU37" s="60">
        <f t="shared" si="21"/>
        <v>249.02713789835653</v>
      </c>
      <c r="BV37" s="60">
        <f t="shared" si="21"/>
        <v>270.41311992431514</v>
      </c>
      <c r="BW37" s="60">
        <f t="shared" si="21"/>
        <v>249.02713789835653</v>
      </c>
      <c r="BX37" s="60">
        <f t="shared" si="21"/>
        <v>259.27988557215792</v>
      </c>
      <c r="BY37" s="60">
        <f t="shared" si="21"/>
        <v>274.33975018095447</v>
      </c>
      <c r="BZ37" s="60">
        <f t="shared" si="21"/>
        <v>249.02713789835653</v>
      </c>
      <c r="CA37" s="60">
        <f t="shared" si="21"/>
        <v>316.26928498649107</v>
      </c>
      <c r="CB37" s="60">
        <f t="shared" si="21"/>
        <v>249.02713789835653</v>
      </c>
      <c r="CC37" s="94">
        <f t="shared" si="13"/>
        <v>0.37095577391795787</v>
      </c>
      <c r="CD37" s="94">
        <f>IF(BD37=".",".",s_RadSpec!$F$22*(CD22*$B37))</f>
        <v>9.1127880606109768E-2</v>
      </c>
      <c r="CE37" s="94">
        <f>IF(BE37=".",".",s_RadSpec!$F$22*(CE22*$B37))</f>
        <v>0.19831152967695673</v>
      </c>
      <c r="CF37" s="94">
        <f>IF(BF37=".",".",s_RadSpec!$F$22*(CF22*$B37))</f>
        <v>0.17052317621414456</v>
      </c>
      <c r="CG37" s="94">
        <f>IF(BG37=".",".",s_RadSpec!$F$22*(CG22*$B37))</f>
        <v>9.1127880606109768E-2</v>
      </c>
      <c r="CH37" s="94">
        <f>IF(BH37=".",".",s_RadSpec!$F$22*(CH22*$B37))</f>
        <v>0.10039066509371383</v>
      </c>
      <c r="CI37" s="94">
        <f>IF(BI37=".",".",s_RadSpec!$F$22*(CI22*$B37))</f>
        <v>0.19831152967695673</v>
      </c>
      <c r="CJ37" s="94">
        <f>IF(BJ37=".",".",s_RadSpec!$F$22*(CJ22*$B37))</f>
        <v>0.17052317621414456</v>
      </c>
      <c r="CK37" s="94">
        <f>IF(BK37=".",".",s_RadSpec!$F$22*(CK22*$B37))</f>
        <v>9.1127880606109768E-2</v>
      </c>
      <c r="CL37" s="94">
        <f>IF(BL37=".",".",s_RadSpec!$F$22*(CL22*$B37))</f>
        <v>8.1071143162425363E-2</v>
      </c>
      <c r="CM37" s="94">
        <f>IF(BM37=".",".",s_RadSpec!$F$22*(CM22*$B37))</f>
        <v>0.10039066509371383</v>
      </c>
      <c r="CN37" s="94">
        <f>IF(BN37=".",".",s_RadSpec!$F$22*(CN22*$B37))</f>
        <v>0.19831152967695673</v>
      </c>
      <c r="CO37" s="94">
        <f>IF(BO37=".",".",s_RadSpec!$F$22*(CO22*$B37))</f>
        <v>9.6420900313312088E-2</v>
      </c>
      <c r="CP37" s="94">
        <f>IF(BP37=".",".",s_RadSpec!$F$22*(CP22*$B37))</f>
        <v>0.10039066509371383</v>
      </c>
      <c r="CQ37" s="94">
        <f>IF(BQ37=".",".",s_RadSpec!$F$22*(CQ22*$B37))</f>
        <v>0.17052317621414456</v>
      </c>
      <c r="CR37" s="94">
        <f>IF(BR37=".",".",s_RadSpec!$F$22*(CR22*$B37))</f>
        <v>9.1127880606109768E-2</v>
      </c>
      <c r="CS37" s="94">
        <f>IF(BS37=".",".",s_RadSpec!$F$22*(CS22*$B37))</f>
        <v>9.1127880606109768E-2</v>
      </c>
      <c r="CT37" s="94">
        <f>IF(BT37=".",".",s_RadSpec!$F$22*(CT22*$B37))</f>
        <v>9.6420900313312088E-2</v>
      </c>
      <c r="CU37" s="94">
        <f>IF(BU37=".",".",s_RadSpec!$F$22*(CU22*$B37))</f>
        <v>0.10039066509371383</v>
      </c>
      <c r="CV37" s="94">
        <f>IF(BV37=".",".",s_RadSpec!$F$22*(CV22*$B37))</f>
        <v>9.2451135532910345E-2</v>
      </c>
      <c r="CW37" s="94">
        <f>IF(BW37=".",".",s_RadSpec!$F$22*(CW22*$B37))</f>
        <v>0.10039066509371383</v>
      </c>
      <c r="CX37" s="94">
        <f>IF(BX37=".",".",s_RadSpec!$F$22*(CX22*$B37))</f>
        <v>9.6420900313312088E-2</v>
      </c>
      <c r="CY37" s="94">
        <f>IF(BY37=".",".",s_RadSpec!$F$22*(CY22*$B37))</f>
        <v>9.1127880606109768E-2</v>
      </c>
      <c r="CZ37" s="94">
        <f>IF(BZ37=".",".",s_RadSpec!$F$22*(CZ22*$B37))</f>
        <v>0.10039066509371383</v>
      </c>
      <c r="DA37" s="94">
        <f>IF(CA37=".",".",s_RadSpec!$F$22*(DA22*$B37))</f>
        <v>7.9046563124420474E-2</v>
      </c>
      <c r="DB37" s="94">
        <f>IF(CB37=".",".",s_RadSpec!$F$22*(DB22*$B37))</f>
        <v>0.10039066509371383</v>
      </c>
    </row>
    <row r="38" spans="1:106" s="42" customFormat="1" x14ac:dyDescent="0.25">
      <c r="A38" s="77" t="s">
        <v>1066</v>
      </c>
      <c r="B38" s="42">
        <v>1</v>
      </c>
      <c r="C38" s="60">
        <f t="shared" ref="C38:AB38" si="22">IFERROR(C2/$B38,".")</f>
        <v>359.02789915076602</v>
      </c>
      <c r="D38" s="60">
        <f t="shared" si="22"/>
        <v>1436.1115966030641</v>
      </c>
      <c r="E38" s="60">
        <f t="shared" si="22"/>
        <v>1436.1115966030641</v>
      </c>
      <c r="F38" s="60">
        <f t="shared" si="22"/>
        <v>1436.1115966030641</v>
      </c>
      <c r="G38" s="60">
        <f t="shared" si="22"/>
        <v>1436.1115966030641</v>
      </c>
      <c r="H38" s="60">
        <f t="shared" si="22"/>
        <v>1436.1115966030641</v>
      </c>
      <c r="I38" s="60">
        <f t="shared" si="22"/>
        <v>1436.1115966030641</v>
      </c>
      <c r="J38" s="60">
        <f t="shared" si="22"/>
        <v>1436.1115966030641</v>
      </c>
      <c r="K38" s="60">
        <f t="shared" si="22"/>
        <v>1436.1115966030641</v>
      </c>
      <c r="L38" s="60">
        <f t="shared" si="22"/>
        <v>1436.1115966030641</v>
      </c>
      <c r="M38" s="60">
        <f t="shared" si="22"/>
        <v>1436.1115966030641</v>
      </c>
      <c r="N38" s="60">
        <f t="shared" si="22"/>
        <v>1436.1115966030641</v>
      </c>
      <c r="O38" s="60">
        <f t="shared" si="22"/>
        <v>1436.1115966030641</v>
      </c>
      <c r="P38" s="60">
        <f t="shared" si="22"/>
        <v>1436.1115966030641</v>
      </c>
      <c r="Q38" s="60">
        <f t="shared" si="22"/>
        <v>1436.1115966030641</v>
      </c>
      <c r="R38" s="60">
        <f t="shared" si="22"/>
        <v>1436.1115966030641</v>
      </c>
      <c r="S38" s="60">
        <f t="shared" si="22"/>
        <v>1436.1115966030641</v>
      </c>
      <c r="T38" s="60">
        <f t="shared" si="22"/>
        <v>1436.1115966030641</v>
      </c>
      <c r="U38" s="60">
        <f t="shared" si="22"/>
        <v>1436.1115966030641</v>
      </c>
      <c r="V38" s="60">
        <f t="shared" si="22"/>
        <v>1436.1115966030641</v>
      </c>
      <c r="W38" s="60">
        <f t="shared" si="22"/>
        <v>1436.1115966030641</v>
      </c>
      <c r="X38" s="60">
        <f t="shared" si="22"/>
        <v>1436.1115966030641</v>
      </c>
      <c r="Y38" s="60">
        <f t="shared" si="22"/>
        <v>1436.1115966030641</v>
      </c>
      <c r="Z38" s="60">
        <f t="shared" si="22"/>
        <v>1436.1115966030641</v>
      </c>
      <c r="AA38" s="60">
        <f t="shared" si="22"/>
        <v>1436.1115966030641</v>
      </c>
      <c r="AB38" s="60">
        <f t="shared" si="22"/>
        <v>1436.1115966030641</v>
      </c>
      <c r="AC38" s="94">
        <f t="shared" si="11"/>
        <v>6.9632471624445511E-2</v>
      </c>
      <c r="AD38" s="94">
        <f>IF(D38=".",".",s_RadSpec!$F$2*(AD2*$B38))</f>
        <v>1.7408117906111378E-2</v>
      </c>
      <c r="AE38" s="94">
        <f>IF(E38=".",".",s_RadSpec!$F$2*(AE2*$B38))</f>
        <v>1.7408117906111378E-2</v>
      </c>
      <c r="AF38" s="94">
        <f>IF(F38=".",".",s_RadSpec!$F$2*(AF2*$B38))</f>
        <v>1.7408117906111378E-2</v>
      </c>
      <c r="AG38" s="94">
        <f>IF(G38=".",".",s_RadSpec!$F$2*(AG2*$B38))</f>
        <v>1.7408117906111378E-2</v>
      </c>
      <c r="AH38" s="94">
        <f>IF(H38=".",".",s_RadSpec!$F$2*(AH2*$B38))</f>
        <v>1.7408117906111378E-2</v>
      </c>
      <c r="AI38" s="94">
        <f>IF(I38=".",".",s_RadSpec!$F$2*(AI2*$B38))</f>
        <v>1.7408117906111378E-2</v>
      </c>
      <c r="AJ38" s="94">
        <f>IF(J38=".",".",s_RadSpec!$F$2*(AJ2*$B38))</f>
        <v>1.7408117906111378E-2</v>
      </c>
      <c r="AK38" s="94">
        <f>IF(K38=".",".",s_RadSpec!$F$2*(AK2*$B38))</f>
        <v>1.7408117906111378E-2</v>
      </c>
      <c r="AL38" s="94">
        <f>IF(L38=".",".",s_RadSpec!$F$2*(AL2*$B38))</f>
        <v>1.7408117906111378E-2</v>
      </c>
      <c r="AM38" s="94">
        <f>IF(M38=".",".",s_RadSpec!$F$2*(AM2*$B38))</f>
        <v>1.7408117906111378E-2</v>
      </c>
      <c r="AN38" s="94">
        <f>IF(N38=".",".",s_RadSpec!$F$2*(AN2*$B38))</f>
        <v>1.7408117906111378E-2</v>
      </c>
      <c r="AO38" s="94">
        <f>IF(O38=".",".",s_RadSpec!$F$2*(AO2*$B38))</f>
        <v>1.7408117906111378E-2</v>
      </c>
      <c r="AP38" s="94">
        <f>IF(P38=".",".",s_RadSpec!$F$2*(AP2*$B38))</f>
        <v>1.7408117906111378E-2</v>
      </c>
      <c r="AQ38" s="94">
        <f>IF(Q38=".",".",s_RadSpec!$F$2*(AQ2*$B38))</f>
        <v>1.7408117906111378E-2</v>
      </c>
      <c r="AR38" s="94">
        <f>IF(R38=".",".",s_RadSpec!$F$2*(AR2*$B38))</f>
        <v>1.7408117906111378E-2</v>
      </c>
      <c r="AS38" s="94">
        <f>IF(S38=".",".",s_RadSpec!$F$2*(AS2*$B38))</f>
        <v>1.7408117906111378E-2</v>
      </c>
      <c r="AT38" s="94">
        <f>IF(T38=".",".",s_RadSpec!$F$2*(AT2*$B38))</f>
        <v>1.7408117906111378E-2</v>
      </c>
      <c r="AU38" s="94">
        <f>IF(U38=".",".",s_RadSpec!$F$2*(AU2*$B38))</f>
        <v>1.7408117906111378E-2</v>
      </c>
      <c r="AV38" s="94">
        <f>IF(V38=".",".",s_RadSpec!$F$2*(AV2*$B38))</f>
        <v>1.7408117906111378E-2</v>
      </c>
      <c r="AW38" s="94">
        <f>IF(W38=".",".",s_RadSpec!$F$2*(AW2*$B38))</f>
        <v>1.7408117906111378E-2</v>
      </c>
      <c r="AX38" s="94">
        <f>IF(X38=".",".",s_RadSpec!$F$2*(AX2*$B38))</f>
        <v>1.7408117906111378E-2</v>
      </c>
      <c r="AY38" s="94">
        <f>IF(Y38=".",".",s_RadSpec!$F$2*(AY2*$B38))</f>
        <v>1.7408117906111378E-2</v>
      </c>
      <c r="AZ38" s="94">
        <f>IF(Z38=".",".",s_RadSpec!$F$2*(AZ2*$B38))</f>
        <v>1.7408117906111378E-2</v>
      </c>
      <c r="BA38" s="94">
        <f>IF(AA38=".",".",s_RadSpec!$F$2*(BA2*$B38))</f>
        <v>1.7408117906111378E-2</v>
      </c>
      <c r="BB38" s="94">
        <f>IF(AB38=".",".",s_RadSpec!$F$2*(BB2*$B38))</f>
        <v>1.7408117906111378E-2</v>
      </c>
      <c r="BC38" s="60">
        <f t="shared" ref="BC38:CB38" si="23">IFERROR(BC2/$B38,".")</f>
        <v>359.02789915076602</v>
      </c>
      <c r="BD38" s="60">
        <f t="shared" si="23"/>
        <v>1436.1115966030641</v>
      </c>
      <c r="BE38" s="60">
        <f t="shared" si="23"/>
        <v>1436.1115966030641</v>
      </c>
      <c r="BF38" s="60">
        <f t="shared" si="23"/>
        <v>1436.1115966030641</v>
      </c>
      <c r="BG38" s="60">
        <f t="shared" si="23"/>
        <v>1436.1115966030641</v>
      </c>
      <c r="BH38" s="60">
        <f t="shared" si="23"/>
        <v>1436.1115966030641</v>
      </c>
      <c r="BI38" s="60">
        <f t="shared" si="23"/>
        <v>1436.1115966030641</v>
      </c>
      <c r="BJ38" s="60">
        <f t="shared" si="23"/>
        <v>1436.1115966030641</v>
      </c>
      <c r="BK38" s="60">
        <f t="shared" si="23"/>
        <v>1436.1115966030641</v>
      </c>
      <c r="BL38" s="60">
        <f t="shared" si="23"/>
        <v>1436.1115966030641</v>
      </c>
      <c r="BM38" s="60">
        <f t="shared" si="23"/>
        <v>1436.1115966030641</v>
      </c>
      <c r="BN38" s="60">
        <f t="shared" si="23"/>
        <v>1436.1115966030641</v>
      </c>
      <c r="BO38" s="60">
        <f t="shared" si="23"/>
        <v>1436.1115966030641</v>
      </c>
      <c r="BP38" s="60">
        <f t="shared" si="23"/>
        <v>1436.1115966030641</v>
      </c>
      <c r="BQ38" s="60">
        <f t="shared" si="23"/>
        <v>1436.1115966030641</v>
      </c>
      <c r="BR38" s="60">
        <f t="shared" si="23"/>
        <v>1436.1115966030641</v>
      </c>
      <c r="BS38" s="60">
        <f t="shared" si="23"/>
        <v>1436.1115966030641</v>
      </c>
      <c r="BT38" s="60">
        <f t="shared" si="23"/>
        <v>1436.1115966030641</v>
      </c>
      <c r="BU38" s="60">
        <f t="shared" si="23"/>
        <v>1436.1115966030641</v>
      </c>
      <c r="BV38" s="60">
        <f t="shared" si="23"/>
        <v>1436.1115966030641</v>
      </c>
      <c r="BW38" s="60">
        <f t="shared" si="23"/>
        <v>1436.1115966030641</v>
      </c>
      <c r="BX38" s="60">
        <f t="shared" si="23"/>
        <v>1436.1115966030641</v>
      </c>
      <c r="BY38" s="60">
        <f t="shared" si="23"/>
        <v>1436.1115966030641</v>
      </c>
      <c r="BZ38" s="60">
        <f t="shared" si="23"/>
        <v>1436.1115966030641</v>
      </c>
      <c r="CA38" s="60">
        <f t="shared" si="23"/>
        <v>1436.1115966030641</v>
      </c>
      <c r="CB38" s="60">
        <f t="shared" si="23"/>
        <v>1436.1115966030641</v>
      </c>
      <c r="CC38" s="94">
        <f t="shared" si="13"/>
        <v>6.9632471624445511E-2</v>
      </c>
      <c r="CD38" s="94">
        <f>IF(BD38=".",".",s_RadSpec!$F$2*(CD2*$B38))</f>
        <v>1.7408117906111378E-2</v>
      </c>
      <c r="CE38" s="94">
        <f>IF(BE38=".",".",s_RadSpec!$F$2*(CE2*$B38))</f>
        <v>1.7408117906111378E-2</v>
      </c>
      <c r="CF38" s="94">
        <f>IF(BF38=".",".",s_RadSpec!$F$2*(CF2*$B38))</f>
        <v>1.7408117906111378E-2</v>
      </c>
      <c r="CG38" s="94">
        <f>IF(BG38=".",".",s_RadSpec!$F$2*(CG2*$B38))</f>
        <v>1.7408117906111378E-2</v>
      </c>
      <c r="CH38" s="94">
        <f>IF(BH38=".",".",s_RadSpec!$F$2*(CH2*$B38))</f>
        <v>1.7408117906111378E-2</v>
      </c>
      <c r="CI38" s="94">
        <f>IF(BI38=".",".",s_RadSpec!$F$2*(CI2*$B38))</f>
        <v>1.7408117906111378E-2</v>
      </c>
      <c r="CJ38" s="94">
        <f>IF(BJ38=".",".",s_RadSpec!$F$2*(CJ2*$B38))</f>
        <v>1.7408117906111378E-2</v>
      </c>
      <c r="CK38" s="94">
        <f>IF(BK38=".",".",s_RadSpec!$F$2*(CK2*$B38))</f>
        <v>1.7408117906111378E-2</v>
      </c>
      <c r="CL38" s="94">
        <f>IF(BL38=".",".",s_RadSpec!$F$2*(CL2*$B38))</f>
        <v>1.7408117906111378E-2</v>
      </c>
      <c r="CM38" s="94">
        <f>IF(BM38=".",".",s_RadSpec!$F$2*(CM2*$B38))</f>
        <v>1.7408117906111378E-2</v>
      </c>
      <c r="CN38" s="94">
        <f>IF(BN38=".",".",s_RadSpec!$F$2*(CN2*$B38))</f>
        <v>1.7408117906111378E-2</v>
      </c>
      <c r="CO38" s="94">
        <f>IF(BO38=".",".",s_RadSpec!$F$2*(CO2*$B38))</f>
        <v>1.7408117906111378E-2</v>
      </c>
      <c r="CP38" s="94">
        <f>IF(BP38=".",".",s_RadSpec!$F$2*(CP2*$B38))</f>
        <v>1.7408117906111378E-2</v>
      </c>
      <c r="CQ38" s="94">
        <f>IF(BQ38=".",".",s_RadSpec!$F$2*(CQ2*$B38))</f>
        <v>1.7408117906111378E-2</v>
      </c>
      <c r="CR38" s="94">
        <f>IF(BR38=".",".",s_RadSpec!$F$2*(CR2*$B38))</f>
        <v>1.7408117906111378E-2</v>
      </c>
      <c r="CS38" s="94">
        <f>IF(BS38=".",".",s_RadSpec!$F$2*(CS2*$B38))</f>
        <v>1.7408117906111378E-2</v>
      </c>
      <c r="CT38" s="94">
        <f>IF(BT38=".",".",s_RadSpec!$F$2*(CT2*$B38))</f>
        <v>1.7408117906111378E-2</v>
      </c>
      <c r="CU38" s="94">
        <f>IF(BU38=".",".",s_RadSpec!$F$2*(CU2*$B38))</f>
        <v>1.7408117906111378E-2</v>
      </c>
      <c r="CV38" s="94">
        <f>IF(BV38=".",".",s_RadSpec!$F$2*(CV2*$B38))</f>
        <v>1.7408117906111378E-2</v>
      </c>
      <c r="CW38" s="94">
        <f>IF(BW38=".",".",s_RadSpec!$F$2*(CW2*$B38))</f>
        <v>1.7408117906111378E-2</v>
      </c>
      <c r="CX38" s="94">
        <f>IF(BX38=".",".",s_RadSpec!$F$2*(CX2*$B38))</f>
        <v>1.7408117906111378E-2</v>
      </c>
      <c r="CY38" s="94">
        <f>IF(BY38=".",".",s_RadSpec!$F$2*(CY2*$B38))</f>
        <v>1.7408117906111378E-2</v>
      </c>
      <c r="CZ38" s="94">
        <f>IF(BZ38=".",".",s_RadSpec!$F$2*(CZ2*$B38))</f>
        <v>1.7408117906111378E-2</v>
      </c>
      <c r="DA38" s="94">
        <f>IF(CA38=".",".",s_RadSpec!$F$2*(DA2*$B38))</f>
        <v>1.7408117906111378E-2</v>
      </c>
      <c r="DB38" s="94">
        <f>IF(CB38=".",".",s_RadSpec!$F$2*(DB2*$B38))</f>
        <v>1.7408117906111378E-2</v>
      </c>
    </row>
    <row r="39" spans="1:106" s="42" customFormat="1" x14ac:dyDescent="0.25">
      <c r="A39" s="77" t="s">
        <v>1067</v>
      </c>
      <c r="B39" s="42">
        <v>1</v>
      </c>
      <c r="C39" s="60" t="str">
        <f t="shared" ref="C39:AB39" si="24">IFERROR(C11/$B39,".")</f>
        <v>.</v>
      </c>
      <c r="D39" s="60" t="str">
        <f t="shared" si="24"/>
        <v>.</v>
      </c>
      <c r="E39" s="60" t="str">
        <f t="shared" si="24"/>
        <v>.</v>
      </c>
      <c r="F39" s="60" t="str">
        <f t="shared" si="24"/>
        <v>.</v>
      </c>
      <c r="G39" s="60" t="str">
        <f t="shared" si="24"/>
        <v>.</v>
      </c>
      <c r="H39" s="60" t="str">
        <f t="shared" si="24"/>
        <v>.</v>
      </c>
      <c r="I39" s="60" t="str">
        <f t="shared" si="24"/>
        <v>.</v>
      </c>
      <c r="J39" s="60" t="str">
        <f t="shared" si="24"/>
        <v>.</v>
      </c>
      <c r="K39" s="60" t="str">
        <f t="shared" si="24"/>
        <v>.</v>
      </c>
      <c r="L39" s="60" t="str">
        <f t="shared" si="24"/>
        <v>.</v>
      </c>
      <c r="M39" s="60" t="str">
        <f t="shared" si="24"/>
        <v>.</v>
      </c>
      <c r="N39" s="60" t="str">
        <f t="shared" si="24"/>
        <v>.</v>
      </c>
      <c r="O39" s="60" t="str">
        <f t="shared" si="24"/>
        <v>.</v>
      </c>
      <c r="P39" s="60" t="str">
        <f t="shared" si="24"/>
        <v>.</v>
      </c>
      <c r="Q39" s="60" t="str">
        <f t="shared" si="24"/>
        <v>.</v>
      </c>
      <c r="R39" s="60" t="str">
        <f t="shared" si="24"/>
        <v>.</v>
      </c>
      <c r="S39" s="60" t="str">
        <f t="shared" si="24"/>
        <v>.</v>
      </c>
      <c r="T39" s="60" t="str">
        <f t="shared" si="24"/>
        <v>.</v>
      </c>
      <c r="U39" s="60" t="str">
        <f t="shared" si="24"/>
        <v>.</v>
      </c>
      <c r="V39" s="60" t="str">
        <f t="shared" si="24"/>
        <v>.</v>
      </c>
      <c r="W39" s="60" t="str">
        <f t="shared" si="24"/>
        <v>.</v>
      </c>
      <c r="X39" s="60" t="str">
        <f t="shared" si="24"/>
        <v>.</v>
      </c>
      <c r="Y39" s="60" t="str">
        <f t="shared" si="24"/>
        <v>.</v>
      </c>
      <c r="Z39" s="60" t="str">
        <f t="shared" si="24"/>
        <v>.</v>
      </c>
      <c r="AA39" s="60" t="str">
        <f t="shared" si="24"/>
        <v>.</v>
      </c>
      <c r="AB39" s="60" t="str">
        <f t="shared" si="24"/>
        <v>.</v>
      </c>
      <c r="AC39" s="94" t="str">
        <f t="shared" si="11"/>
        <v>.</v>
      </c>
      <c r="AD39" s="94" t="str">
        <f>IF(D39=".",".",s_RadSpec!$F$11*(AD11*$B39))</f>
        <v>.</v>
      </c>
      <c r="AE39" s="94" t="str">
        <f>IF(E39=".",".",s_RadSpec!$F$11*(AE11*$B39))</f>
        <v>.</v>
      </c>
      <c r="AF39" s="94" t="str">
        <f>IF(F39=".",".",s_RadSpec!$F$11*(AF11*$B39))</f>
        <v>.</v>
      </c>
      <c r="AG39" s="94" t="str">
        <f>IF(G39=".",".",s_RadSpec!$F$11*(AG11*$B39))</f>
        <v>.</v>
      </c>
      <c r="AH39" s="94" t="str">
        <f>IF(H39=".",".",s_RadSpec!$F$11*(AH11*$B39))</f>
        <v>.</v>
      </c>
      <c r="AI39" s="94" t="str">
        <f>IF(I39=".",".",s_RadSpec!$F$11*(AI11*$B39))</f>
        <v>.</v>
      </c>
      <c r="AJ39" s="94" t="str">
        <f>IF(J39=".",".",s_RadSpec!$F$11*(AJ11*$B39))</f>
        <v>.</v>
      </c>
      <c r="AK39" s="94" t="str">
        <f>IF(K39=".",".",s_RadSpec!$F$11*(AK11*$B39))</f>
        <v>.</v>
      </c>
      <c r="AL39" s="94" t="str">
        <f>IF(L39=".",".",s_RadSpec!$F$11*(AL11*$B39))</f>
        <v>.</v>
      </c>
      <c r="AM39" s="94" t="str">
        <f>IF(M39=".",".",s_RadSpec!$F$11*(AM11*$B39))</f>
        <v>.</v>
      </c>
      <c r="AN39" s="94" t="str">
        <f>IF(N39=".",".",s_RadSpec!$F$11*(AN11*$B39))</f>
        <v>.</v>
      </c>
      <c r="AO39" s="94" t="str">
        <f>IF(O39=".",".",s_RadSpec!$F$11*(AO11*$B39))</f>
        <v>.</v>
      </c>
      <c r="AP39" s="94" t="str">
        <f>IF(P39=".",".",s_RadSpec!$F$11*(AP11*$B39))</f>
        <v>.</v>
      </c>
      <c r="AQ39" s="94" t="str">
        <f>IF(Q39=".",".",s_RadSpec!$F$11*(AQ11*$B39))</f>
        <v>.</v>
      </c>
      <c r="AR39" s="94" t="str">
        <f>IF(R39=".",".",s_RadSpec!$F$11*(AR11*$B39))</f>
        <v>.</v>
      </c>
      <c r="AS39" s="94" t="str">
        <f>IF(S39=".",".",s_RadSpec!$F$11*(AS11*$B39))</f>
        <v>.</v>
      </c>
      <c r="AT39" s="94" t="str">
        <f>IF(T39=".",".",s_RadSpec!$F$11*(AT11*$B39))</f>
        <v>.</v>
      </c>
      <c r="AU39" s="94" t="str">
        <f>IF(U39=".",".",s_RadSpec!$F$11*(AU11*$B39))</f>
        <v>.</v>
      </c>
      <c r="AV39" s="94" t="str">
        <f>IF(V39=".",".",s_RadSpec!$F$11*(AV11*$B39))</f>
        <v>.</v>
      </c>
      <c r="AW39" s="94" t="str">
        <f>IF(W39=".",".",s_RadSpec!$F$11*(AW11*$B39))</f>
        <v>.</v>
      </c>
      <c r="AX39" s="94" t="str">
        <f>IF(X39=".",".",s_RadSpec!$F$11*(AX11*$B39))</f>
        <v>.</v>
      </c>
      <c r="AY39" s="94" t="str">
        <f>IF(Y39=".",".",s_RadSpec!$F$11*(AY11*$B39))</f>
        <v>.</v>
      </c>
      <c r="AZ39" s="94" t="str">
        <f>IF(Z39=".",".",s_RadSpec!$F$11*(AZ11*$B39))</f>
        <v>.</v>
      </c>
      <c r="BA39" s="94" t="str">
        <f>IF(AA39=".",".",s_RadSpec!$F$11*(BA11*$B39))</f>
        <v>.</v>
      </c>
      <c r="BB39" s="94" t="str">
        <f>IF(AB39=".",".",s_RadSpec!$F$11*(BB11*$B39))</f>
        <v>.</v>
      </c>
      <c r="BC39" s="60" t="str">
        <f t="shared" ref="BC39:CB39" si="25">IFERROR(BC11/$B39,".")</f>
        <v>.</v>
      </c>
      <c r="BD39" s="60" t="str">
        <f t="shared" si="25"/>
        <v>.</v>
      </c>
      <c r="BE39" s="60" t="str">
        <f t="shared" si="25"/>
        <v>.</v>
      </c>
      <c r="BF39" s="60" t="str">
        <f t="shared" si="25"/>
        <v>.</v>
      </c>
      <c r="BG39" s="60" t="str">
        <f t="shared" si="25"/>
        <v>.</v>
      </c>
      <c r="BH39" s="60" t="str">
        <f t="shared" si="25"/>
        <v>.</v>
      </c>
      <c r="BI39" s="60" t="str">
        <f t="shared" si="25"/>
        <v>.</v>
      </c>
      <c r="BJ39" s="60" t="str">
        <f t="shared" si="25"/>
        <v>.</v>
      </c>
      <c r="BK39" s="60" t="str">
        <f t="shared" si="25"/>
        <v>.</v>
      </c>
      <c r="BL39" s="60" t="str">
        <f t="shared" si="25"/>
        <v>.</v>
      </c>
      <c r="BM39" s="60" t="str">
        <f t="shared" si="25"/>
        <v>.</v>
      </c>
      <c r="BN39" s="60" t="str">
        <f t="shared" si="25"/>
        <v>.</v>
      </c>
      <c r="BO39" s="60" t="str">
        <f t="shared" si="25"/>
        <v>.</v>
      </c>
      <c r="BP39" s="60" t="str">
        <f t="shared" si="25"/>
        <v>.</v>
      </c>
      <c r="BQ39" s="60" t="str">
        <f t="shared" si="25"/>
        <v>.</v>
      </c>
      <c r="BR39" s="60" t="str">
        <f t="shared" si="25"/>
        <v>.</v>
      </c>
      <c r="BS39" s="60" t="str">
        <f t="shared" si="25"/>
        <v>.</v>
      </c>
      <c r="BT39" s="60" t="str">
        <f t="shared" si="25"/>
        <v>.</v>
      </c>
      <c r="BU39" s="60" t="str">
        <f t="shared" si="25"/>
        <v>.</v>
      </c>
      <c r="BV39" s="60" t="str">
        <f t="shared" si="25"/>
        <v>.</v>
      </c>
      <c r="BW39" s="60" t="str">
        <f t="shared" si="25"/>
        <v>.</v>
      </c>
      <c r="BX39" s="60" t="str">
        <f t="shared" si="25"/>
        <v>.</v>
      </c>
      <c r="BY39" s="60" t="str">
        <f t="shared" si="25"/>
        <v>.</v>
      </c>
      <c r="BZ39" s="60" t="str">
        <f t="shared" si="25"/>
        <v>.</v>
      </c>
      <c r="CA39" s="60" t="str">
        <f t="shared" si="25"/>
        <v>.</v>
      </c>
      <c r="CB39" s="60" t="str">
        <f t="shared" si="25"/>
        <v>.</v>
      </c>
      <c r="CC39" s="94" t="str">
        <f t="shared" si="13"/>
        <v>.</v>
      </c>
      <c r="CD39" s="94" t="str">
        <f>IF(BD39=".",".",s_RadSpec!$F$11*(CD11*$B39))</f>
        <v>.</v>
      </c>
      <c r="CE39" s="94" t="str">
        <f>IF(BE39=".",".",s_RadSpec!$F$11*(CE11*$B39))</f>
        <v>.</v>
      </c>
      <c r="CF39" s="94" t="str">
        <f>IF(BF39=".",".",s_RadSpec!$F$11*(CF11*$B39))</f>
        <v>.</v>
      </c>
      <c r="CG39" s="94" t="str">
        <f>IF(BG39=".",".",s_RadSpec!$F$11*(CG11*$B39))</f>
        <v>.</v>
      </c>
      <c r="CH39" s="94" t="str">
        <f>IF(BH39=".",".",s_RadSpec!$F$11*(CH11*$B39))</f>
        <v>.</v>
      </c>
      <c r="CI39" s="94" t="str">
        <f>IF(BI39=".",".",s_RadSpec!$F$11*(CI11*$B39))</f>
        <v>.</v>
      </c>
      <c r="CJ39" s="94" t="str">
        <f>IF(BJ39=".",".",s_RadSpec!$F$11*(CJ11*$B39))</f>
        <v>.</v>
      </c>
      <c r="CK39" s="94" t="str">
        <f>IF(BK39=".",".",s_RadSpec!$F$11*(CK11*$B39))</f>
        <v>.</v>
      </c>
      <c r="CL39" s="94" t="str">
        <f>IF(BL39=".",".",s_RadSpec!$F$11*(CL11*$B39))</f>
        <v>.</v>
      </c>
      <c r="CM39" s="94" t="str">
        <f>IF(BM39=".",".",s_RadSpec!$F$11*(CM11*$B39))</f>
        <v>.</v>
      </c>
      <c r="CN39" s="94" t="str">
        <f>IF(BN39=".",".",s_RadSpec!$F$11*(CN11*$B39))</f>
        <v>.</v>
      </c>
      <c r="CO39" s="94" t="str">
        <f>IF(BO39=".",".",s_RadSpec!$F$11*(CO11*$B39))</f>
        <v>.</v>
      </c>
      <c r="CP39" s="94" t="str">
        <f>IF(BP39=".",".",s_RadSpec!$F$11*(CP11*$B39))</f>
        <v>.</v>
      </c>
      <c r="CQ39" s="94" t="str">
        <f>IF(BQ39=".",".",s_RadSpec!$F$11*(CQ11*$B39))</f>
        <v>.</v>
      </c>
      <c r="CR39" s="94" t="str">
        <f>IF(BR39=".",".",s_RadSpec!$F$11*(CR11*$B39))</f>
        <v>.</v>
      </c>
      <c r="CS39" s="94" t="str">
        <f>IF(BS39=".",".",s_RadSpec!$F$11*(CS11*$B39))</f>
        <v>.</v>
      </c>
      <c r="CT39" s="94" t="str">
        <f>IF(BT39=".",".",s_RadSpec!$F$11*(CT11*$B39))</f>
        <v>.</v>
      </c>
      <c r="CU39" s="94" t="str">
        <f>IF(BU39=".",".",s_RadSpec!$F$11*(CU11*$B39))</f>
        <v>.</v>
      </c>
      <c r="CV39" s="94" t="str">
        <f>IF(BV39=".",".",s_RadSpec!$F$11*(CV11*$B39))</f>
        <v>.</v>
      </c>
      <c r="CW39" s="94" t="str">
        <f>IF(BW39=".",".",s_RadSpec!$F$11*(CW11*$B39))</f>
        <v>.</v>
      </c>
      <c r="CX39" s="94" t="str">
        <f>IF(BX39=".",".",s_RadSpec!$F$11*(CX11*$B39))</f>
        <v>.</v>
      </c>
      <c r="CY39" s="94" t="str">
        <f>IF(BY39=".",".",s_RadSpec!$F$11*(CY11*$B39))</f>
        <v>.</v>
      </c>
      <c r="CZ39" s="94" t="str">
        <f>IF(BZ39=".",".",s_RadSpec!$F$11*(CZ11*$B39))</f>
        <v>.</v>
      </c>
      <c r="DA39" s="94" t="str">
        <f>IF(CA39=".",".",s_RadSpec!$F$11*(DA11*$B39))</f>
        <v>.</v>
      </c>
      <c r="DB39" s="94" t="str">
        <f>IF(CB39=".",".",s_RadSpec!$F$11*(DB11*$B39))</f>
        <v>.</v>
      </c>
    </row>
    <row r="40" spans="1:106" s="42" customFormat="1" x14ac:dyDescent="0.25">
      <c r="A40" s="77" t="s">
        <v>1068</v>
      </c>
      <c r="B40" s="42">
        <v>1</v>
      </c>
      <c r="C40" s="60" t="str">
        <f t="shared" ref="C40:AB40" si="26">IFERROR(C4/$B40,".")</f>
        <v>.</v>
      </c>
      <c r="D40" s="60" t="str">
        <f t="shared" si="26"/>
        <v>.</v>
      </c>
      <c r="E40" s="60" t="str">
        <f t="shared" si="26"/>
        <v>.</v>
      </c>
      <c r="F40" s="60" t="str">
        <f t="shared" si="26"/>
        <v>.</v>
      </c>
      <c r="G40" s="60" t="str">
        <f t="shared" si="26"/>
        <v>.</v>
      </c>
      <c r="H40" s="60" t="str">
        <f t="shared" si="26"/>
        <v>.</v>
      </c>
      <c r="I40" s="60" t="str">
        <f t="shared" si="26"/>
        <v>.</v>
      </c>
      <c r="J40" s="60" t="str">
        <f t="shared" si="26"/>
        <v>.</v>
      </c>
      <c r="K40" s="60" t="str">
        <f t="shared" si="26"/>
        <v>.</v>
      </c>
      <c r="L40" s="60" t="str">
        <f t="shared" si="26"/>
        <v>.</v>
      </c>
      <c r="M40" s="60" t="str">
        <f t="shared" si="26"/>
        <v>.</v>
      </c>
      <c r="N40" s="60" t="str">
        <f t="shared" si="26"/>
        <v>.</v>
      </c>
      <c r="O40" s="60" t="str">
        <f t="shared" si="26"/>
        <v>.</v>
      </c>
      <c r="P40" s="60" t="str">
        <f t="shared" si="26"/>
        <v>.</v>
      </c>
      <c r="Q40" s="60" t="str">
        <f t="shared" si="26"/>
        <v>.</v>
      </c>
      <c r="R40" s="60" t="str">
        <f t="shared" si="26"/>
        <v>.</v>
      </c>
      <c r="S40" s="60" t="str">
        <f t="shared" si="26"/>
        <v>.</v>
      </c>
      <c r="T40" s="60" t="str">
        <f t="shared" si="26"/>
        <v>.</v>
      </c>
      <c r="U40" s="60" t="str">
        <f t="shared" si="26"/>
        <v>.</v>
      </c>
      <c r="V40" s="60" t="str">
        <f t="shared" si="26"/>
        <v>.</v>
      </c>
      <c r="W40" s="60" t="str">
        <f t="shared" si="26"/>
        <v>.</v>
      </c>
      <c r="X40" s="60" t="str">
        <f t="shared" si="26"/>
        <v>.</v>
      </c>
      <c r="Y40" s="60" t="str">
        <f t="shared" si="26"/>
        <v>.</v>
      </c>
      <c r="Z40" s="60" t="str">
        <f t="shared" si="26"/>
        <v>.</v>
      </c>
      <c r="AA40" s="60" t="str">
        <f t="shared" si="26"/>
        <v>.</v>
      </c>
      <c r="AB40" s="60" t="str">
        <f t="shared" si="26"/>
        <v>.</v>
      </c>
      <c r="AC40" s="94" t="str">
        <f t="shared" si="11"/>
        <v>.</v>
      </c>
      <c r="AD40" s="94" t="str">
        <f>IF(D40=".",".",s_RadSpec!$F$4*(AD4*$B40))</f>
        <v>.</v>
      </c>
      <c r="AE40" s="94" t="str">
        <f>IF(E40=".",".",s_RadSpec!$F$4*(AE4*$B40))</f>
        <v>.</v>
      </c>
      <c r="AF40" s="94" t="str">
        <f>IF(F40=".",".",s_RadSpec!$F$4*(AF4*$B40))</f>
        <v>.</v>
      </c>
      <c r="AG40" s="94" t="str">
        <f>IF(G40=".",".",s_RadSpec!$F$4*(AG4*$B40))</f>
        <v>.</v>
      </c>
      <c r="AH40" s="94" t="str">
        <f>IF(H40=".",".",s_RadSpec!$F$4*(AH4*$B40))</f>
        <v>.</v>
      </c>
      <c r="AI40" s="94" t="str">
        <f>IF(I40=".",".",s_RadSpec!$F$4*(AI4*$B40))</f>
        <v>.</v>
      </c>
      <c r="AJ40" s="94" t="str">
        <f>IF(J40=".",".",s_RadSpec!$F$4*(AJ4*$B40))</f>
        <v>.</v>
      </c>
      <c r="AK40" s="94" t="str">
        <f>IF(K40=".",".",s_RadSpec!$F$4*(AK4*$B40))</f>
        <v>.</v>
      </c>
      <c r="AL40" s="94" t="str">
        <f>IF(L40=".",".",s_RadSpec!$F$4*(AL4*$B40))</f>
        <v>.</v>
      </c>
      <c r="AM40" s="94" t="str">
        <f>IF(M40=".",".",s_RadSpec!$F$4*(AM4*$B40))</f>
        <v>.</v>
      </c>
      <c r="AN40" s="94" t="str">
        <f>IF(N40=".",".",s_RadSpec!$F$4*(AN4*$B40))</f>
        <v>.</v>
      </c>
      <c r="AO40" s="94" t="str">
        <f>IF(O40=".",".",s_RadSpec!$F$4*(AO4*$B40))</f>
        <v>.</v>
      </c>
      <c r="AP40" s="94" t="str">
        <f>IF(P40=".",".",s_RadSpec!$F$4*(AP4*$B40))</f>
        <v>.</v>
      </c>
      <c r="AQ40" s="94" t="str">
        <f>IF(Q40=".",".",s_RadSpec!$F$4*(AQ4*$B40))</f>
        <v>.</v>
      </c>
      <c r="AR40" s="94" t="str">
        <f>IF(R40=".",".",s_RadSpec!$F$4*(AR4*$B40))</f>
        <v>.</v>
      </c>
      <c r="AS40" s="94" t="str">
        <f>IF(S40=".",".",s_RadSpec!$F$4*(AS4*$B40))</f>
        <v>.</v>
      </c>
      <c r="AT40" s="94" t="str">
        <f>IF(T40=".",".",s_RadSpec!$F$4*(AT4*$B40))</f>
        <v>.</v>
      </c>
      <c r="AU40" s="94" t="str">
        <f>IF(U40=".",".",s_RadSpec!$F$4*(AU4*$B40))</f>
        <v>.</v>
      </c>
      <c r="AV40" s="94" t="str">
        <f>IF(V40=".",".",s_RadSpec!$F$4*(AV4*$B40))</f>
        <v>.</v>
      </c>
      <c r="AW40" s="94" t="str">
        <f>IF(W40=".",".",s_RadSpec!$F$4*(AW4*$B40))</f>
        <v>.</v>
      </c>
      <c r="AX40" s="94" t="str">
        <f>IF(X40=".",".",s_RadSpec!$F$4*(AX4*$B40))</f>
        <v>.</v>
      </c>
      <c r="AY40" s="94" t="str">
        <f>IF(Y40=".",".",s_RadSpec!$F$4*(AY4*$B40))</f>
        <v>.</v>
      </c>
      <c r="AZ40" s="94" t="str">
        <f>IF(Z40=".",".",s_RadSpec!$F$4*(AZ4*$B40))</f>
        <v>.</v>
      </c>
      <c r="BA40" s="94" t="str">
        <f>IF(AA40=".",".",s_RadSpec!$F$4*(BA4*$B40))</f>
        <v>.</v>
      </c>
      <c r="BB40" s="94" t="str">
        <f>IF(AB40=".",".",s_RadSpec!$F$4*(BB4*$B40))</f>
        <v>.</v>
      </c>
      <c r="BC40" s="60" t="str">
        <f t="shared" ref="BC40:CB40" si="27">IFERROR(BC4/$B40,".")</f>
        <v>.</v>
      </c>
      <c r="BD40" s="60" t="str">
        <f t="shared" si="27"/>
        <v>.</v>
      </c>
      <c r="BE40" s="60" t="str">
        <f t="shared" si="27"/>
        <v>.</v>
      </c>
      <c r="BF40" s="60" t="str">
        <f t="shared" si="27"/>
        <v>.</v>
      </c>
      <c r="BG40" s="60" t="str">
        <f t="shared" si="27"/>
        <v>.</v>
      </c>
      <c r="BH40" s="60" t="str">
        <f t="shared" si="27"/>
        <v>.</v>
      </c>
      <c r="BI40" s="60" t="str">
        <f t="shared" si="27"/>
        <v>.</v>
      </c>
      <c r="BJ40" s="60" t="str">
        <f t="shared" si="27"/>
        <v>.</v>
      </c>
      <c r="BK40" s="60" t="str">
        <f t="shared" si="27"/>
        <v>.</v>
      </c>
      <c r="BL40" s="60" t="str">
        <f t="shared" si="27"/>
        <v>.</v>
      </c>
      <c r="BM40" s="60" t="str">
        <f t="shared" si="27"/>
        <v>.</v>
      </c>
      <c r="BN40" s="60" t="str">
        <f t="shared" si="27"/>
        <v>.</v>
      </c>
      <c r="BO40" s="60" t="str">
        <f t="shared" si="27"/>
        <v>.</v>
      </c>
      <c r="BP40" s="60" t="str">
        <f t="shared" si="27"/>
        <v>.</v>
      </c>
      <c r="BQ40" s="60" t="str">
        <f t="shared" si="27"/>
        <v>.</v>
      </c>
      <c r="BR40" s="60" t="str">
        <f t="shared" si="27"/>
        <v>.</v>
      </c>
      <c r="BS40" s="60" t="str">
        <f t="shared" si="27"/>
        <v>.</v>
      </c>
      <c r="BT40" s="60" t="str">
        <f t="shared" si="27"/>
        <v>.</v>
      </c>
      <c r="BU40" s="60" t="str">
        <f t="shared" si="27"/>
        <v>.</v>
      </c>
      <c r="BV40" s="60" t="str">
        <f t="shared" si="27"/>
        <v>.</v>
      </c>
      <c r="BW40" s="60" t="str">
        <f t="shared" si="27"/>
        <v>.</v>
      </c>
      <c r="BX40" s="60" t="str">
        <f t="shared" si="27"/>
        <v>.</v>
      </c>
      <c r="BY40" s="60" t="str">
        <f t="shared" si="27"/>
        <v>.</v>
      </c>
      <c r="BZ40" s="60" t="str">
        <f t="shared" si="27"/>
        <v>.</v>
      </c>
      <c r="CA40" s="60" t="str">
        <f t="shared" si="27"/>
        <v>.</v>
      </c>
      <c r="CB40" s="60" t="str">
        <f t="shared" si="27"/>
        <v>.</v>
      </c>
      <c r="CC40" s="94" t="str">
        <f t="shared" si="13"/>
        <v>.</v>
      </c>
      <c r="CD40" s="94" t="str">
        <f>IF(BD40=".",".",s_RadSpec!$F$4*(CD4*$B40))</f>
        <v>.</v>
      </c>
      <c r="CE40" s="94" t="str">
        <f>IF(BE40=".",".",s_RadSpec!$F$4*(CE4*$B40))</f>
        <v>.</v>
      </c>
      <c r="CF40" s="94" t="str">
        <f>IF(BF40=".",".",s_RadSpec!$F$4*(CF4*$B40))</f>
        <v>.</v>
      </c>
      <c r="CG40" s="94" t="str">
        <f>IF(BG40=".",".",s_RadSpec!$F$4*(CG4*$B40))</f>
        <v>.</v>
      </c>
      <c r="CH40" s="94" t="str">
        <f>IF(BH40=".",".",s_RadSpec!$F$4*(CH4*$B40))</f>
        <v>.</v>
      </c>
      <c r="CI40" s="94" t="str">
        <f>IF(BI40=".",".",s_RadSpec!$F$4*(CI4*$B40))</f>
        <v>.</v>
      </c>
      <c r="CJ40" s="94" t="str">
        <f>IF(BJ40=".",".",s_RadSpec!$F$4*(CJ4*$B40))</f>
        <v>.</v>
      </c>
      <c r="CK40" s="94" t="str">
        <f>IF(BK40=".",".",s_RadSpec!$F$4*(CK4*$B40))</f>
        <v>.</v>
      </c>
      <c r="CL40" s="94" t="str">
        <f>IF(BL40=".",".",s_RadSpec!$F$4*(CL4*$B40))</f>
        <v>.</v>
      </c>
      <c r="CM40" s="94" t="str">
        <f>IF(BM40=".",".",s_RadSpec!$F$4*(CM4*$B40))</f>
        <v>.</v>
      </c>
      <c r="CN40" s="94" t="str">
        <f>IF(BN40=".",".",s_RadSpec!$F$4*(CN4*$B40))</f>
        <v>.</v>
      </c>
      <c r="CO40" s="94" t="str">
        <f>IF(BO40=".",".",s_RadSpec!$F$4*(CO4*$B40))</f>
        <v>.</v>
      </c>
      <c r="CP40" s="94" t="str">
        <f>IF(BP40=".",".",s_RadSpec!$F$4*(CP4*$B40))</f>
        <v>.</v>
      </c>
      <c r="CQ40" s="94" t="str">
        <f>IF(BQ40=".",".",s_RadSpec!$F$4*(CQ4*$B40))</f>
        <v>.</v>
      </c>
      <c r="CR40" s="94" t="str">
        <f>IF(BR40=".",".",s_RadSpec!$F$4*(CR4*$B40))</f>
        <v>.</v>
      </c>
      <c r="CS40" s="94" t="str">
        <f>IF(BS40=".",".",s_RadSpec!$F$4*(CS4*$B40))</f>
        <v>.</v>
      </c>
      <c r="CT40" s="94" t="str">
        <f>IF(BT40=".",".",s_RadSpec!$F$4*(CT4*$B40))</f>
        <v>.</v>
      </c>
      <c r="CU40" s="94" t="str">
        <f>IF(BU40=".",".",s_RadSpec!$F$4*(CU4*$B40))</f>
        <v>.</v>
      </c>
      <c r="CV40" s="94" t="str">
        <f>IF(BV40=".",".",s_RadSpec!$F$4*(CV4*$B40))</f>
        <v>.</v>
      </c>
      <c r="CW40" s="94" t="str">
        <f>IF(BW40=".",".",s_RadSpec!$F$4*(CW4*$B40))</f>
        <v>.</v>
      </c>
      <c r="CX40" s="94" t="str">
        <f>IF(BX40=".",".",s_RadSpec!$F$4*(CX4*$B40))</f>
        <v>.</v>
      </c>
      <c r="CY40" s="94" t="str">
        <f>IF(BY40=".",".",s_RadSpec!$F$4*(CY4*$B40))</f>
        <v>.</v>
      </c>
      <c r="CZ40" s="94" t="str">
        <f>IF(BZ40=".",".",s_RadSpec!$F$4*(CZ4*$B40))</f>
        <v>.</v>
      </c>
      <c r="DA40" s="94" t="str">
        <f>IF(CA40=".",".",s_RadSpec!$F$4*(DA4*$B40))</f>
        <v>.</v>
      </c>
      <c r="DB40" s="94" t="str">
        <f>IF(CB40=".",".",s_RadSpec!$F$4*(DB4*$B40))</f>
        <v>.</v>
      </c>
    </row>
    <row r="41" spans="1:106" s="42" customFormat="1" x14ac:dyDescent="0.25">
      <c r="A41" s="77" t="s">
        <v>1069</v>
      </c>
      <c r="B41" s="78">
        <v>0.99987999999999999</v>
      </c>
      <c r="C41" s="60">
        <f t="shared" ref="C41:AB41" si="28">IFERROR(C8/$B41,".")</f>
        <v>26405.753497378853</v>
      </c>
      <c r="D41" s="60">
        <f t="shared" si="28"/>
        <v>105623.01398951541</v>
      </c>
      <c r="E41" s="60">
        <f t="shared" si="28"/>
        <v>105623.01398951541</v>
      </c>
      <c r="F41" s="60">
        <f t="shared" si="28"/>
        <v>105623.01398951541</v>
      </c>
      <c r="G41" s="60">
        <f t="shared" si="28"/>
        <v>105623.01398951541</v>
      </c>
      <c r="H41" s="60">
        <f t="shared" si="28"/>
        <v>105623.01398951541</v>
      </c>
      <c r="I41" s="60">
        <f t="shared" si="28"/>
        <v>105623.01398951541</v>
      </c>
      <c r="J41" s="60">
        <f t="shared" si="28"/>
        <v>105623.01398951541</v>
      </c>
      <c r="K41" s="60">
        <f t="shared" si="28"/>
        <v>105623.01398951541</v>
      </c>
      <c r="L41" s="60">
        <f t="shared" si="28"/>
        <v>105623.01398951541</v>
      </c>
      <c r="M41" s="60">
        <f t="shared" si="28"/>
        <v>105623.01398951541</v>
      </c>
      <c r="N41" s="60">
        <f t="shared" si="28"/>
        <v>105623.01398951541</v>
      </c>
      <c r="O41" s="60">
        <f t="shared" si="28"/>
        <v>105623.01398951541</v>
      </c>
      <c r="P41" s="60">
        <f t="shared" si="28"/>
        <v>105623.01398951541</v>
      </c>
      <c r="Q41" s="60">
        <f t="shared" si="28"/>
        <v>105623.01398951541</v>
      </c>
      <c r="R41" s="60">
        <f t="shared" si="28"/>
        <v>105623.01398951541</v>
      </c>
      <c r="S41" s="60">
        <f t="shared" si="28"/>
        <v>105623.01398951541</v>
      </c>
      <c r="T41" s="60">
        <f t="shared" si="28"/>
        <v>105623.01398951541</v>
      </c>
      <c r="U41" s="60">
        <f t="shared" si="28"/>
        <v>105623.01398951541</v>
      </c>
      <c r="V41" s="60">
        <f t="shared" si="28"/>
        <v>105623.01398951541</v>
      </c>
      <c r="W41" s="60">
        <f t="shared" si="28"/>
        <v>105623.01398951541</v>
      </c>
      <c r="X41" s="60">
        <f t="shared" si="28"/>
        <v>105623.01398951541</v>
      </c>
      <c r="Y41" s="60">
        <f t="shared" si="28"/>
        <v>105623.01398951541</v>
      </c>
      <c r="Z41" s="60">
        <f t="shared" si="28"/>
        <v>105623.01398951541</v>
      </c>
      <c r="AA41" s="60">
        <f t="shared" si="28"/>
        <v>105623.01398951541</v>
      </c>
      <c r="AB41" s="60">
        <f t="shared" si="28"/>
        <v>105623.01398951541</v>
      </c>
      <c r="AC41" s="94">
        <f t="shared" si="11"/>
        <v>9.4676336361625157E-4</v>
      </c>
      <c r="AD41" s="94">
        <f>IF(D41=".",".",s_RadSpec!$F$8*(AD8*$B41))</f>
        <v>2.3669084090406289E-4</v>
      </c>
      <c r="AE41" s="94">
        <f>IF(E41=".",".",s_RadSpec!$F$8*(AE8*$B41))</f>
        <v>2.3669084090406289E-4</v>
      </c>
      <c r="AF41" s="94">
        <f>IF(F41=".",".",s_RadSpec!$F$8*(AF8*$B41))</f>
        <v>2.3669084090406289E-4</v>
      </c>
      <c r="AG41" s="94">
        <f>IF(G41=".",".",s_RadSpec!$F$8*(AG8*$B41))</f>
        <v>2.3669084090406289E-4</v>
      </c>
      <c r="AH41" s="94">
        <f>IF(H41=".",".",s_RadSpec!$F$8*(AH8*$B41))</f>
        <v>2.3669084090406289E-4</v>
      </c>
      <c r="AI41" s="94">
        <f>IF(I41=".",".",s_RadSpec!$F$8*(AI8*$B41))</f>
        <v>2.3669084090406289E-4</v>
      </c>
      <c r="AJ41" s="94">
        <f>IF(J41=".",".",s_RadSpec!$F$8*(AJ8*$B41))</f>
        <v>2.3669084090406289E-4</v>
      </c>
      <c r="AK41" s="94">
        <f>IF(K41=".",".",s_RadSpec!$F$8*(AK8*$B41))</f>
        <v>2.3669084090406289E-4</v>
      </c>
      <c r="AL41" s="94">
        <f>IF(L41=".",".",s_RadSpec!$F$8*(AL8*$B41))</f>
        <v>2.3669084090406289E-4</v>
      </c>
      <c r="AM41" s="94">
        <f>IF(M41=".",".",s_RadSpec!$F$8*(AM8*$B41))</f>
        <v>2.3669084090406289E-4</v>
      </c>
      <c r="AN41" s="94">
        <f>IF(N41=".",".",s_RadSpec!$F$8*(AN8*$B41))</f>
        <v>2.3669084090406289E-4</v>
      </c>
      <c r="AO41" s="94">
        <f>IF(O41=".",".",s_RadSpec!$F$8*(AO8*$B41))</f>
        <v>2.3669084090406289E-4</v>
      </c>
      <c r="AP41" s="94">
        <f>IF(P41=".",".",s_RadSpec!$F$8*(AP8*$B41))</f>
        <v>2.3669084090406289E-4</v>
      </c>
      <c r="AQ41" s="94">
        <f>IF(Q41=".",".",s_RadSpec!$F$8*(AQ8*$B41))</f>
        <v>2.3669084090406289E-4</v>
      </c>
      <c r="AR41" s="94">
        <f>IF(R41=".",".",s_RadSpec!$F$8*(AR8*$B41))</f>
        <v>2.3669084090406289E-4</v>
      </c>
      <c r="AS41" s="94">
        <f>IF(S41=".",".",s_RadSpec!$F$8*(AS8*$B41))</f>
        <v>2.3669084090406289E-4</v>
      </c>
      <c r="AT41" s="94">
        <f>IF(T41=".",".",s_RadSpec!$F$8*(AT8*$B41))</f>
        <v>2.3669084090406289E-4</v>
      </c>
      <c r="AU41" s="94">
        <f>IF(U41=".",".",s_RadSpec!$F$8*(AU8*$B41))</f>
        <v>2.3669084090406289E-4</v>
      </c>
      <c r="AV41" s="94">
        <f>IF(V41=".",".",s_RadSpec!$F$8*(AV8*$B41))</f>
        <v>2.3669084090406289E-4</v>
      </c>
      <c r="AW41" s="94">
        <f>IF(W41=".",".",s_RadSpec!$F$8*(AW8*$B41))</f>
        <v>2.3669084090406289E-4</v>
      </c>
      <c r="AX41" s="94">
        <f>IF(X41=".",".",s_RadSpec!$F$8*(AX8*$B41))</f>
        <v>2.3669084090406289E-4</v>
      </c>
      <c r="AY41" s="94">
        <f>IF(Y41=".",".",s_RadSpec!$F$8*(AY8*$B41))</f>
        <v>2.3669084090406289E-4</v>
      </c>
      <c r="AZ41" s="94">
        <f>IF(Z41=".",".",s_RadSpec!$F$8*(AZ8*$B41))</f>
        <v>2.3669084090406289E-4</v>
      </c>
      <c r="BA41" s="94">
        <f>IF(AA41=".",".",s_RadSpec!$F$8*(BA8*$B41))</f>
        <v>2.3669084090406289E-4</v>
      </c>
      <c r="BB41" s="94">
        <f>IF(AB41=".",".",s_RadSpec!$F$8*(BB8*$B41))</f>
        <v>2.3669084090406289E-4</v>
      </c>
      <c r="BC41" s="60">
        <f t="shared" ref="BC41:CB41" si="29">IFERROR(BC8/$B41,".")</f>
        <v>26405.753497378853</v>
      </c>
      <c r="BD41" s="60">
        <f t="shared" si="29"/>
        <v>105623.01398951541</v>
      </c>
      <c r="BE41" s="60">
        <f t="shared" si="29"/>
        <v>105623.01398951541</v>
      </c>
      <c r="BF41" s="60">
        <f t="shared" si="29"/>
        <v>105623.01398951541</v>
      </c>
      <c r="BG41" s="60">
        <f t="shared" si="29"/>
        <v>105623.01398951541</v>
      </c>
      <c r="BH41" s="60">
        <f t="shared" si="29"/>
        <v>105623.01398951541</v>
      </c>
      <c r="BI41" s="60">
        <f t="shared" si="29"/>
        <v>105623.01398951541</v>
      </c>
      <c r="BJ41" s="60">
        <f t="shared" si="29"/>
        <v>105623.01398951541</v>
      </c>
      <c r="BK41" s="60">
        <f t="shared" si="29"/>
        <v>105623.01398951541</v>
      </c>
      <c r="BL41" s="60">
        <f t="shared" si="29"/>
        <v>105623.01398951541</v>
      </c>
      <c r="BM41" s="60">
        <f t="shared" si="29"/>
        <v>105623.01398951541</v>
      </c>
      <c r="BN41" s="60">
        <f t="shared" si="29"/>
        <v>105623.01398951541</v>
      </c>
      <c r="BO41" s="60">
        <f t="shared" si="29"/>
        <v>105623.01398951541</v>
      </c>
      <c r="BP41" s="60">
        <f t="shared" si="29"/>
        <v>105623.01398951541</v>
      </c>
      <c r="BQ41" s="60">
        <f t="shared" si="29"/>
        <v>105623.01398951541</v>
      </c>
      <c r="BR41" s="60">
        <f t="shared" si="29"/>
        <v>105623.01398951541</v>
      </c>
      <c r="BS41" s="60">
        <f t="shared" si="29"/>
        <v>105623.01398951541</v>
      </c>
      <c r="BT41" s="60">
        <f t="shared" si="29"/>
        <v>105623.01398951541</v>
      </c>
      <c r="BU41" s="60">
        <f t="shared" si="29"/>
        <v>105623.01398951541</v>
      </c>
      <c r="BV41" s="60">
        <f t="shared" si="29"/>
        <v>105623.01398951541</v>
      </c>
      <c r="BW41" s="60">
        <f t="shared" si="29"/>
        <v>105623.01398951541</v>
      </c>
      <c r="BX41" s="60">
        <f t="shared" si="29"/>
        <v>105623.01398951541</v>
      </c>
      <c r="BY41" s="60">
        <f t="shared" si="29"/>
        <v>105623.01398951541</v>
      </c>
      <c r="BZ41" s="60">
        <f t="shared" si="29"/>
        <v>105623.01398951541</v>
      </c>
      <c r="CA41" s="60">
        <f t="shared" si="29"/>
        <v>105623.01398951541</v>
      </c>
      <c r="CB41" s="60">
        <f t="shared" si="29"/>
        <v>105623.01398951541</v>
      </c>
      <c r="CC41" s="94">
        <f t="shared" si="13"/>
        <v>9.4676336361625157E-4</v>
      </c>
      <c r="CD41" s="94">
        <f>IF(BD41=".",".",s_RadSpec!$F$8*(CD8*$B41))</f>
        <v>2.3669084090406289E-4</v>
      </c>
      <c r="CE41" s="94">
        <f>IF(BE41=".",".",s_RadSpec!$F$8*(CE8*$B41))</f>
        <v>2.3669084090406289E-4</v>
      </c>
      <c r="CF41" s="94">
        <f>IF(BF41=".",".",s_RadSpec!$F$8*(CF8*$B41))</f>
        <v>2.3669084090406289E-4</v>
      </c>
      <c r="CG41" s="94">
        <f>IF(BG41=".",".",s_RadSpec!$F$8*(CG8*$B41))</f>
        <v>2.3669084090406289E-4</v>
      </c>
      <c r="CH41" s="94">
        <f>IF(BH41=".",".",s_RadSpec!$F$8*(CH8*$B41))</f>
        <v>2.3669084090406289E-4</v>
      </c>
      <c r="CI41" s="94">
        <f>IF(BI41=".",".",s_RadSpec!$F$8*(CI8*$B41))</f>
        <v>2.3669084090406289E-4</v>
      </c>
      <c r="CJ41" s="94">
        <f>IF(BJ41=".",".",s_RadSpec!$F$8*(CJ8*$B41))</f>
        <v>2.3669084090406289E-4</v>
      </c>
      <c r="CK41" s="94">
        <f>IF(BK41=".",".",s_RadSpec!$F$8*(CK8*$B41))</f>
        <v>2.3669084090406289E-4</v>
      </c>
      <c r="CL41" s="94">
        <f>IF(BL41=".",".",s_RadSpec!$F$8*(CL8*$B41))</f>
        <v>2.3669084090406289E-4</v>
      </c>
      <c r="CM41" s="94">
        <f>IF(BM41=".",".",s_RadSpec!$F$8*(CM8*$B41))</f>
        <v>2.3669084090406289E-4</v>
      </c>
      <c r="CN41" s="94">
        <f>IF(BN41=".",".",s_RadSpec!$F$8*(CN8*$B41))</f>
        <v>2.3669084090406289E-4</v>
      </c>
      <c r="CO41" s="94">
        <f>IF(BO41=".",".",s_RadSpec!$F$8*(CO8*$B41))</f>
        <v>2.3669084090406289E-4</v>
      </c>
      <c r="CP41" s="94">
        <f>IF(BP41=".",".",s_RadSpec!$F$8*(CP8*$B41))</f>
        <v>2.3669084090406289E-4</v>
      </c>
      <c r="CQ41" s="94">
        <f>IF(BQ41=".",".",s_RadSpec!$F$8*(CQ8*$B41))</f>
        <v>2.3669084090406289E-4</v>
      </c>
      <c r="CR41" s="94">
        <f>IF(BR41=".",".",s_RadSpec!$F$8*(CR8*$B41))</f>
        <v>2.3669084090406289E-4</v>
      </c>
      <c r="CS41" s="94">
        <f>IF(BS41=".",".",s_RadSpec!$F$8*(CS8*$B41))</f>
        <v>2.3669084090406289E-4</v>
      </c>
      <c r="CT41" s="94">
        <f>IF(BT41=".",".",s_RadSpec!$F$8*(CT8*$B41))</f>
        <v>2.3669084090406289E-4</v>
      </c>
      <c r="CU41" s="94">
        <f>IF(BU41=".",".",s_RadSpec!$F$8*(CU8*$B41))</f>
        <v>2.3669084090406289E-4</v>
      </c>
      <c r="CV41" s="94">
        <f>IF(BV41=".",".",s_RadSpec!$F$8*(CV8*$B41))</f>
        <v>2.3669084090406289E-4</v>
      </c>
      <c r="CW41" s="94">
        <f>IF(BW41=".",".",s_RadSpec!$F$8*(CW8*$B41))</f>
        <v>2.3669084090406289E-4</v>
      </c>
      <c r="CX41" s="94">
        <f>IF(BX41=".",".",s_RadSpec!$F$8*(CX8*$B41))</f>
        <v>2.3669084090406289E-4</v>
      </c>
      <c r="CY41" s="94">
        <f>IF(BY41=".",".",s_RadSpec!$F$8*(CY8*$B41))</f>
        <v>2.3669084090406289E-4</v>
      </c>
      <c r="CZ41" s="94">
        <f>IF(BZ41=".",".",s_RadSpec!$F$8*(CZ8*$B41))</f>
        <v>2.3669084090406289E-4</v>
      </c>
      <c r="DA41" s="94">
        <f>IF(CA41=".",".",s_RadSpec!$F$8*(DA8*$B41))</f>
        <v>2.3669084090406289E-4</v>
      </c>
      <c r="DB41" s="94">
        <f>IF(CB41=".",".",s_RadSpec!$F$8*(DB8*$B41))</f>
        <v>2.3669084090406289E-4</v>
      </c>
    </row>
    <row r="42" spans="1:106" s="42" customFormat="1" x14ac:dyDescent="0.25">
      <c r="A42" s="77" t="s">
        <v>1070</v>
      </c>
      <c r="B42" s="42">
        <v>0.97898250799999997</v>
      </c>
      <c r="C42" s="60" t="str">
        <f t="shared" ref="C42:AB42" si="30">IFERROR(C19/$B42,".")</f>
        <v>.</v>
      </c>
      <c r="D42" s="60" t="str">
        <f t="shared" si="30"/>
        <v>.</v>
      </c>
      <c r="E42" s="60" t="str">
        <f t="shared" si="30"/>
        <v>.</v>
      </c>
      <c r="F42" s="60" t="str">
        <f t="shared" si="30"/>
        <v>.</v>
      </c>
      <c r="G42" s="60" t="str">
        <f t="shared" si="30"/>
        <v>.</v>
      </c>
      <c r="H42" s="60" t="str">
        <f t="shared" si="30"/>
        <v>.</v>
      </c>
      <c r="I42" s="60" t="str">
        <f t="shared" si="30"/>
        <v>.</v>
      </c>
      <c r="J42" s="60" t="str">
        <f t="shared" si="30"/>
        <v>.</v>
      </c>
      <c r="K42" s="60" t="str">
        <f t="shared" si="30"/>
        <v>.</v>
      </c>
      <c r="L42" s="60" t="str">
        <f t="shared" si="30"/>
        <v>.</v>
      </c>
      <c r="M42" s="60" t="str">
        <f t="shared" si="30"/>
        <v>.</v>
      </c>
      <c r="N42" s="60" t="str">
        <f t="shared" si="30"/>
        <v>.</v>
      </c>
      <c r="O42" s="60" t="str">
        <f t="shared" si="30"/>
        <v>.</v>
      </c>
      <c r="P42" s="60" t="str">
        <f t="shared" si="30"/>
        <v>.</v>
      </c>
      <c r="Q42" s="60" t="str">
        <f t="shared" si="30"/>
        <v>.</v>
      </c>
      <c r="R42" s="60" t="str">
        <f t="shared" si="30"/>
        <v>.</v>
      </c>
      <c r="S42" s="60" t="str">
        <f t="shared" si="30"/>
        <v>.</v>
      </c>
      <c r="T42" s="60" t="str">
        <f t="shared" si="30"/>
        <v>.</v>
      </c>
      <c r="U42" s="60" t="str">
        <f t="shared" si="30"/>
        <v>.</v>
      </c>
      <c r="V42" s="60" t="str">
        <f t="shared" si="30"/>
        <v>.</v>
      </c>
      <c r="W42" s="60" t="str">
        <f t="shared" si="30"/>
        <v>.</v>
      </c>
      <c r="X42" s="60" t="str">
        <f t="shared" si="30"/>
        <v>.</v>
      </c>
      <c r="Y42" s="60" t="str">
        <f t="shared" si="30"/>
        <v>.</v>
      </c>
      <c r="Z42" s="60" t="str">
        <f t="shared" si="30"/>
        <v>.</v>
      </c>
      <c r="AA42" s="60" t="str">
        <f t="shared" si="30"/>
        <v>.</v>
      </c>
      <c r="AB42" s="60" t="str">
        <f t="shared" si="30"/>
        <v>.</v>
      </c>
      <c r="AC42" s="94" t="str">
        <f t="shared" si="11"/>
        <v>.</v>
      </c>
      <c r="AD42" s="94" t="str">
        <f>IF(D42=".",".",s_RadSpec!$F$19*(AD19*$B42))</f>
        <v>.</v>
      </c>
      <c r="AE42" s="94" t="str">
        <f>IF(E42=".",".",s_RadSpec!$F$19*(AE19*$B42))</f>
        <v>.</v>
      </c>
      <c r="AF42" s="94" t="str">
        <f>IF(F42=".",".",s_RadSpec!$F$19*(AF19*$B42))</f>
        <v>.</v>
      </c>
      <c r="AG42" s="94" t="str">
        <f>IF(G42=".",".",s_RadSpec!$F$19*(AG19*$B42))</f>
        <v>.</v>
      </c>
      <c r="AH42" s="94" t="str">
        <f>IF(H42=".",".",s_RadSpec!$F$19*(AH19*$B42))</f>
        <v>.</v>
      </c>
      <c r="AI42" s="94" t="str">
        <f>IF(I42=".",".",s_RadSpec!$F$19*(AI19*$B42))</f>
        <v>.</v>
      </c>
      <c r="AJ42" s="94" t="str">
        <f>IF(J42=".",".",s_RadSpec!$F$19*(AJ19*$B42))</f>
        <v>.</v>
      </c>
      <c r="AK42" s="94" t="str">
        <f>IF(K42=".",".",s_RadSpec!$F$19*(AK19*$B42))</f>
        <v>.</v>
      </c>
      <c r="AL42" s="94" t="str">
        <f>IF(L42=".",".",s_RadSpec!$F$19*(AL19*$B42))</f>
        <v>.</v>
      </c>
      <c r="AM42" s="94" t="str">
        <f>IF(M42=".",".",s_RadSpec!$F$19*(AM19*$B42))</f>
        <v>.</v>
      </c>
      <c r="AN42" s="94" t="str">
        <f>IF(N42=".",".",s_RadSpec!$F$19*(AN19*$B42))</f>
        <v>.</v>
      </c>
      <c r="AO42" s="94" t="str">
        <f>IF(O42=".",".",s_RadSpec!$F$19*(AO19*$B42))</f>
        <v>.</v>
      </c>
      <c r="AP42" s="94" t="str">
        <f>IF(P42=".",".",s_RadSpec!$F$19*(AP19*$B42))</f>
        <v>.</v>
      </c>
      <c r="AQ42" s="94" t="str">
        <f>IF(Q42=".",".",s_RadSpec!$F$19*(AQ19*$B42))</f>
        <v>.</v>
      </c>
      <c r="AR42" s="94" t="str">
        <f>IF(R42=".",".",s_RadSpec!$F$19*(AR19*$B42))</f>
        <v>.</v>
      </c>
      <c r="AS42" s="94" t="str">
        <f>IF(S42=".",".",s_RadSpec!$F$19*(AS19*$B42))</f>
        <v>.</v>
      </c>
      <c r="AT42" s="94" t="str">
        <f>IF(T42=".",".",s_RadSpec!$F$19*(AT19*$B42))</f>
        <v>.</v>
      </c>
      <c r="AU42" s="94" t="str">
        <f>IF(U42=".",".",s_RadSpec!$F$19*(AU19*$B42))</f>
        <v>.</v>
      </c>
      <c r="AV42" s="94" t="str">
        <f>IF(V42=".",".",s_RadSpec!$F$19*(AV19*$B42))</f>
        <v>.</v>
      </c>
      <c r="AW42" s="94" t="str">
        <f>IF(W42=".",".",s_RadSpec!$F$19*(AW19*$B42))</f>
        <v>.</v>
      </c>
      <c r="AX42" s="94" t="str">
        <f>IF(X42=".",".",s_RadSpec!$F$19*(AX19*$B42))</f>
        <v>.</v>
      </c>
      <c r="AY42" s="94" t="str">
        <f>IF(Y42=".",".",s_RadSpec!$F$19*(AY19*$B42))</f>
        <v>.</v>
      </c>
      <c r="AZ42" s="94" t="str">
        <f>IF(Z42=".",".",s_RadSpec!$F$19*(AZ19*$B42))</f>
        <v>.</v>
      </c>
      <c r="BA42" s="94" t="str">
        <f>IF(AA42=".",".",s_RadSpec!$F$19*(BA19*$B42))</f>
        <v>.</v>
      </c>
      <c r="BB42" s="94" t="str">
        <f>IF(AB42=".",".",s_RadSpec!$F$19*(BB19*$B42))</f>
        <v>.</v>
      </c>
      <c r="BC42" s="60" t="str">
        <f t="shared" ref="BC42:CB42" si="31">IFERROR(BC19/$B42,".")</f>
        <v>.</v>
      </c>
      <c r="BD42" s="60" t="str">
        <f t="shared" si="31"/>
        <v>.</v>
      </c>
      <c r="BE42" s="60" t="str">
        <f t="shared" si="31"/>
        <v>.</v>
      </c>
      <c r="BF42" s="60" t="str">
        <f t="shared" si="31"/>
        <v>.</v>
      </c>
      <c r="BG42" s="60" t="str">
        <f t="shared" si="31"/>
        <v>.</v>
      </c>
      <c r="BH42" s="60" t="str">
        <f t="shared" si="31"/>
        <v>.</v>
      </c>
      <c r="BI42" s="60" t="str">
        <f t="shared" si="31"/>
        <v>.</v>
      </c>
      <c r="BJ42" s="60" t="str">
        <f t="shared" si="31"/>
        <v>.</v>
      </c>
      <c r="BK42" s="60" t="str">
        <f t="shared" si="31"/>
        <v>.</v>
      </c>
      <c r="BL42" s="60" t="str">
        <f t="shared" si="31"/>
        <v>.</v>
      </c>
      <c r="BM42" s="60" t="str">
        <f t="shared" si="31"/>
        <v>.</v>
      </c>
      <c r="BN42" s="60" t="str">
        <f t="shared" si="31"/>
        <v>.</v>
      </c>
      <c r="BO42" s="60" t="str">
        <f t="shared" si="31"/>
        <v>.</v>
      </c>
      <c r="BP42" s="60" t="str">
        <f t="shared" si="31"/>
        <v>.</v>
      </c>
      <c r="BQ42" s="60" t="str">
        <f t="shared" si="31"/>
        <v>.</v>
      </c>
      <c r="BR42" s="60" t="str">
        <f t="shared" si="31"/>
        <v>.</v>
      </c>
      <c r="BS42" s="60" t="str">
        <f t="shared" si="31"/>
        <v>.</v>
      </c>
      <c r="BT42" s="60" t="str">
        <f t="shared" si="31"/>
        <v>.</v>
      </c>
      <c r="BU42" s="60" t="str">
        <f t="shared" si="31"/>
        <v>.</v>
      </c>
      <c r="BV42" s="60" t="str">
        <f t="shared" si="31"/>
        <v>.</v>
      </c>
      <c r="BW42" s="60" t="str">
        <f t="shared" si="31"/>
        <v>.</v>
      </c>
      <c r="BX42" s="60" t="str">
        <f t="shared" si="31"/>
        <v>.</v>
      </c>
      <c r="BY42" s="60" t="str">
        <f t="shared" si="31"/>
        <v>.</v>
      </c>
      <c r="BZ42" s="60" t="str">
        <f t="shared" si="31"/>
        <v>.</v>
      </c>
      <c r="CA42" s="60" t="str">
        <f t="shared" si="31"/>
        <v>.</v>
      </c>
      <c r="CB42" s="60" t="str">
        <f t="shared" si="31"/>
        <v>.</v>
      </c>
      <c r="CC42" s="94" t="str">
        <f t="shared" si="13"/>
        <v>.</v>
      </c>
      <c r="CD42" s="94" t="str">
        <f>IF(BD42=".",".",s_RadSpec!$F$19*(CD19*$B42))</f>
        <v>.</v>
      </c>
      <c r="CE42" s="94" t="str">
        <f>IF(BE42=".",".",s_RadSpec!$F$19*(CE19*$B42))</f>
        <v>.</v>
      </c>
      <c r="CF42" s="94" t="str">
        <f>IF(BF42=".",".",s_RadSpec!$F$19*(CF19*$B42))</f>
        <v>.</v>
      </c>
      <c r="CG42" s="94" t="str">
        <f>IF(BG42=".",".",s_RadSpec!$F$19*(CG19*$B42))</f>
        <v>.</v>
      </c>
      <c r="CH42" s="94" t="str">
        <f>IF(BH42=".",".",s_RadSpec!$F$19*(CH19*$B42))</f>
        <v>.</v>
      </c>
      <c r="CI42" s="94" t="str">
        <f>IF(BI42=".",".",s_RadSpec!$F$19*(CI19*$B42))</f>
        <v>.</v>
      </c>
      <c r="CJ42" s="94" t="str">
        <f>IF(BJ42=".",".",s_RadSpec!$F$19*(CJ19*$B42))</f>
        <v>.</v>
      </c>
      <c r="CK42" s="94" t="str">
        <f>IF(BK42=".",".",s_RadSpec!$F$19*(CK19*$B42))</f>
        <v>.</v>
      </c>
      <c r="CL42" s="94" t="str">
        <f>IF(BL42=".",".",s_RadSpec!$F$19*(CL19*$B42))</f>
        <v>.</v>
      </c>
      <c r="CM42" s="94" t="str">
        <f>IF(BM42=".",".",s_RadSpec!$F$19*(CM19*$B42))</f>
        <v>.</v>
      </c>
      <c r="CN42" s="94" t="str">
        <f>IF(BN42=".",".",s_RadSpec!$F$19*(CN19*$B42))</f>
        <v>.</v>
      </c>
      <c r="CO42" s="94" t="str">
        <f>IF(BO42=".",".",s_RadSpec!$F$19*(CO19*$B42))</f>
        <v>.</v>
      </c>
      <c r="CP42" s="94" t="str">
        <f>IF(BP42=".",".",s_RadSpec!$F$19*(CP19*$B42))</f>
        <v>.</v>
      </c>
      <c r="CQ42" s="94" t="str">
        <f>IF(BQ42=".",".",s_RadSpec!$F$19*(CQ19*$B42))</f>
        <v>.</v>
      </c>
      <c r="CR42" s="94" t="str">
        <f>IF(BR42=".",".",s_RadSpec!$F$19*(CR19*$B42))</f>
        <v>.</v>
      </c>
      <c r="CS42" s="94" t="str">
        <f>IF(BS42=".",".",s_RadSpec!$F$19*(CS19*$B42))</f>
        <v>.</v>
      </c>
      <c r="CT42" s="94" t="str">
        <f>IF(BT42=".",".",s_RadSpec!$F$19*(CT19*$B42))</f>
        <v>.</v>
      </c>
      <c r="CU42" s="94" t="str">
        <f>IF(BU42=".",".",s_RadSpec!$F$19*(CU19*$B42))</f>
        <v>.</v>
      </c>
      <c r="CV42" s="94" t="str">
        <f>IF(BV42=".",".",s_RadSpec!$F$19*(CV19*$B42))</f>
        <v>.</v>
      </c>
      <c r="CW42" s="94" t="str">
        <f>IF(BW42=".",".",s_RadSpec!$F$19*(CW19*$B42))</f>
        <v>.</v>
      </c>
      <c r="CX42" s="94" t="str">
        <f>IF(BX42=".",".",s_RadSpec!$F$19*(CX19*$B42))</f>
        <v>.</v>
      </c>
      <c r="CY42" s="94" t="str">
        <f>IF(BY42=".",".",s_RadSpec!$F$19*(CY19*$B42))</f>
        <v>.</v>
      </c>
      <c r="CZ42" s="94" t="str">
        <f>IF(BZ42=".",".",s_RadSpec!$F$19*(CZ19*$B42))</f>
        <v>.</v>
      </c>
      <c r="DA42" s="94" t="str">
        <f>IF(CA42=".",".",s_RadSpec!$F$19*(DA19*$B42))</f>
        <v>.</v>
      </c>
      <c r="DB42" s="94" t="str">
        <f>IF(CB42=".",".",s_RadSpec!$F$19*(DB19*$B42))</f>
        <v>.</v>
      </c>
    </row>
    <row r="43" spans="1:106" s="42" customFormat="1" x14ac:dyDescent="0.25">
      <c r="A43" s="77" t="s">
        <v>1071</v>
      </c>
      <c r="B43" s="42">
        <v>2.0897492E-2</v>
      </c>
      <c r="C43" s="60" t="str">
        <f t="shared" ref="C43:AB43" si="32">IFERROR(C28/$B43,".")</f>
        <v>.</v>
      </c>
      <c r="D43" s="60" t="str">
        <f t="shared" si="32"/>
        <v>.</v>
      </c>
      <c r="E43" s="60" t="str">
        <f t="shared" si="32"/>
        <v>.</v>
      </c>
      <c r="F43" s="60" t="str">
        <f t="shared" si="32"/>
        <v>.</v>
      </c>
      <c r="G43" s="60" t="str">
        <f t="shared" si="32"/>
        <v>.</v>
      </c>
      <c r="H43" s="60" t="str">
        <f t="shared" si="32"/>
        <v>.</v>
      </c>
      <c r="I43" s="60" t="str">
        <f t="shared" si="32"/>
        <v>.</v>
      </c>
      <c r="J43" s="60" t="str">
        <f t="shared" si="32"/>
        <v>.</v>
      </c>
      <c r="K43" s="60" t="str">
        <f t="shared" si="32"/>
        <v>.</v>
      </c>
      <c r="L43" s="60" t="str">
        <f t="shared" si="32"/>
        <v>.</v>
      </c>
      <c r="M43" s="60" t="str">
        <f t="shared" si="32"/>
        <v>.</v>
      </c>
      <c r="N43" s="60" t="str">
        <f t="shared" si="32"/>
        <v>.</v>
      </c>
      <c r="O43" s="60" t="str">
        <f t="shared" si="32"/>
        <v>.</v>
      </c>
      <c r="P43" s="60" t="str">
        <f t="shared" si="32"/>
        <v>.</v>
      </c>
      <c r="Q43" s="60" t="str">
        <f t="shared" si="32"/>
        <v>.</v>
      </c>
      <c r="R43" s="60" t="str">
        <f t="shared" si="32"/>
        <v>.</v>
      </c>
      <c r="S43" s="60" t="str">
        <f t="shared" si="32"/>
        <v>.</v>
      </c>
      <c r="T43" s="60" t="str">
        <f t="shared" si="32"/>
        <v>.</v>
      </c>
      <c r="U43" s="60" t="str">
        <f t="shared" si="32"/>
        <v>.</v>
      </c>
      <c r="V43" s="60" t="str">
        <f t="shared" si="32"/>
        <v>.</v>
      </c>
      <c r="W43" s="60" t="str">
        <f t="shared" si="32"/>
        <v>.</v>
      </c>
      <c r="X43" s="60" t="str">
        <f t="shared" si="32"/>
        <v>.</v>
      </c>
      <c r="Y43" s="60" t="str">
        <f t="shared" si="32"/>
        <v>.</v>
      </c>
      <c r="Z43" s="60" t="str">
        <f t="shared" si="32"/>
        <v>.</v>
      </c>
      <c r="AA43" s="60" t="str">
        <f t="shared" si="32"/>
        <v>.</v>
      </c>
      <c r="AB43" s="60" t="str">
        <f t="shared" si="32"/>
        <v>.</v>
      </c>
      <c r="AC43" s="94" t="str">
        <f t="shared" si="11"/>
        <v>.</v>
      </c>
      <c r="AD43" s="94" t="str">
        <f>IF(D43=".",".",s_RadSpec!$F$28*(AD28*$B43))</f>
        <v>.</v>
      </c>
      <c r="AE43" s="94" t="str">
        <f>IF(E43=".",".",s_RadSpec!$F$28*(AE28*$B43))</f>
        <v>.</v>
      </c>
      <c r="AF43" s="94" t="str">
        <f>IF(F43=".",".",s_RadSpec!$F$28*(AF28*$B43))</f>
        <v>.</v>
      </c>
      <c r="AG43" s="94" t="str">
        <f>IF(G43=".",".",s_RadSpec!$F$28*(AG28*$B43))</f>
        <v>.</v>
      </c>
      <c r="AH43" s="94" t="str">
        <f>IF(H43=".",".",s_RadSpec!$F$28*(AH28*$B43))</f>
        <v>.</v>
      </c>
      <c r="AI43" s="94" t="str">
        <f>IF(I43=".",".",s_RadSpec!$F$28*(AI28*$B43))</f>
        <v>.</v>
      </c>
      <c r="AJ43" s="94" t="str">
        <f>IF(J43=".",".",s_RadSpec!$F$28*(AJ28*$B43))</f>
        <v>.</v>
      </c>
      <c r="AK43" s="94" t="str">
        <f>IF(K43=".",".",s_RadSpec!$F$28*(AK28*$B43))</f>
        <v>.</v>
      </c>
      <c r="AL43" s="94" t="str">
        <f>IF(L43=".",".",s_RadSpec!$F$28*(AL28*$B43))</f>
        <v>.</v>
      </c>
      <c r="AM43" s="94" t="str">
        <f>IF(M43=".",".",s_RadSpec!$F$28*(AM28*$B43))</f>
        <v>.</v>
      </c>
      <c r="AN43" s="94" t="str">
        <f>IF(N43=".",".",s_RadSpec!$F$28*(AN28*$B43))</f>
        <v>.</v>
      </c>
      <c r="AO43" s="94" t="str">
        <f>IF(O43=".",".",s_RadSpec!$F$28*(AO28*$B43))</f>
        <v>.</v>
      </c>
      <c r="AP43" s="94" t="str">
        <f>IF(P43=".",".",s_RadSpec!$F$28*(AP28*$B43))</f>
        <v>.</v>
      </c>
      <c r="AQ43" s="94" t="str">
        <f>IF(Q43=".",".",s_RadSpec!$F$28*(AQ28*$B43))</f>
        <v>.</v>
      </c>
      <c r="AR43" s="94" t="str">
        <f>IF(R43=".",".",s_RadSpec!$F$28*(AR28*$B43))</f>
        <v>.</v>
      </c>
      <c r="AS43" s="94" t="str">
        <f>IF(S43=".",".",s_RadSpec!$F$28*(AS28*$B43))</f>
        <v>.</v>
      </c>
      <c r="AT43" s="94" t="str">
        <f>IF(T43=".",".",s_RadSpec!$F$28*(AT28*$B43))</f>
        <v>.</v>
      </c>
      <c r="AU43" s="94" t="str">
        <f>IF(U43=".",".",s_RadSpec!$F$28*(AU28*$B43))</f>
        <v>.</v>
      </c>
      <c r="AV43" s="94" t="str">
        <f>IF(V43=".",".",s_RadSpec!$F$28*(AV28*$B43))</f>
        <v>.</v>
      </c>
      <c r="AW43" s="94" t="str">
        <f>IF(W43=".",".",s_RadSpec!$F$28*(AW28*$B43))</f>
        <v>.</v>
      </c>
      <c r="AX43" s="94" t="str">
        <f>IF(X43=".",".",s_RadSpec!$F$28*(AX28*$B43))</f>
        <v>.</v>
      </c>
      <c r="AY43" s="94" t="str">
        <f>IF(Y43=".",".",s_RadSpec!$F$28*(AY28*$B43))</f>
        <v>.</v>
      </c>
      <c r="AZ43" s="94" t="str">
        <f>IF(Z43=".",".",s_RadSpec!$F$28*(AZ28*$B43))</f>
        <v>.</v>
      </c>
      <c r="BA43" s="94" t="str">
        <f>IF(AA43=".",".",s_RadSpec!$F$28*(BA28*$B43))</f>
        <v>.</v>
      </c>
      <c r="BB43" s="94" t="str">
        <f>IF(AB43=".",".",s_RadSpec!$F$28*(BB28*$B43))</f>
        <v>.</v>
      </c>
      <c r="BC43" s="60" t="str">
        <f t="shared" ref="BC43:CB43" si="33">IFERROR(BC28/$B43,".")</f>
        <v>.</v>
      </c>
      <c r="BD43" s="60" t="str">
        <f t="shared" si="33"/>
        <v>.</v>
      </c>
      <c r="BE43" s="60" t="str">
        <f t="shared" si="33"/>
        <v>.</v>
      </c>
      <c r="BF43" s="60" t="str">
        <f t="shared" si="33"/>
        <v>.</v>
      </c>
      <c r="BG43" s="60" t="str">
        <f t="shared" si="33"/>
        <v>.</v>
      </c>
      <c r="BH43" s="60" t="str">
        <f t="shared" si="33"/>
        <v>.</v>
      </c>
      <c r="BI43" s="60" t="str">
        <f t="shared" si="33"/>
        <v>.</v>
      </c>
      <c r="BJ43" s="60" t="str">
        <f t="shared" si="33"/>
        <v>.</v>
      </c>
      <c r="BK43" s="60" t="str">
        <f t="shared" si="33"/>
        <v>.</v>
      </c>
      <c r="BL43" s="60" t="str">
        <f t="shared" si="33"/>
        <v>.</v>
      </c>
      <c r="BM43" s="60" t="str">
        <f t="shared" si="33"/>
        <v>.</v>
      </c>
      <c r="BN43" s="60" t="str">
        <f t="shared" si="33"/>
        <v>.</v>
      </c>
      <c r="BO43" s="60" t="str">
        <f t="shared" si="33"/>
        <v>.</v>
      </c>
      <c r="BP43" s="60" t="str">
        <f t="shared" si="33"/>
        <v>.</v>
      </c>
      <c r="BQ43" s="60" t="str">
        <f t="shared" si="33"/>
        <v>.</v>
      </c>
      <c r="BR43" s="60" t="str">
        <f t="shared" si="33"/>
        <v>.</v>
      </c>
      <c r="BS43" s="60" t="str">
        <f t="shared" si="33"/>
        <v>.</v>
      </c>
      <c r="BT43" s="60" t="str">
        <f t="shared" si="33"/>
        <v>.</v>
      </c>
      <c r="BU43" s="60" t="str">
        <f t="shared" si="33"/>
        <v>.</v>
      </c>
      <c r="BV43" s="60" t="str">
        <f t="shared" si="33"/>
        <v>.</v>
      </c>
      <c r="BW43" s="60" t="str">
        <f t="shared" si="33"/>
        <v>.</v>
      </c>
      <c r="BX43" s="60" t="str">
        <f t="shared" si="33"/>
        <v>.</v>
      </c>
      <c r="BY43" s="60" t="str">
        <f t="shared" si="33"/>
        <v>.</v>
      </c>
      <c r="BZ43" s="60" t="str">
        <f t="shared" si="33"/>
        <v>.</v>
      </c>
      <c r="CA43" s="60" t="str">
        <f t="shared" si="33"/>
        <v>.</v>
      </c>
      <c r="CB43" s="60" t="str">
        <f t="shared" si="33"/>
        <v>.</v>
      </c>
      <c r="CC43" s="94" t="str">
        <f t="shared" si="13"/>
        <v>.</v>
      </c>
      <c r="CD43" s="94" t="str">
        <f>IF(BD43=".",".",s_RadSpec!$F$28*(CD28*$B43))</f>
        <v>.</v>
      </c>
      <c r="CE43" s="94" t="str">
        <f>IF(BE43=".",".",s_RadSpec!$F$28*(CE28*$B43))</f>
        <v>.</v>
      </c>
      <c r="CF43" s="94" t="str">
        <f>IF(BF43=".",".",s_RadSpec!$F$28*(CF28*$B43))</f>
        <v>.</v>
      </c>
      <c r="CG43" s="94" t="str">
        <f>IF(BG43=".",".",s_RadSpec!$F$28*(CG28*$B43))</f>
        <v>.</v>
      </c>
      <c r="CH43" s="94" t="str">
        <f>IF(BH43=".",".",s_RadSpec!$F$28*(CH28*$B43))</f>
        <v>.</v>
      </c>
      <c r="CI43" s="94" t="str">
        <f>IF(BI43=".",".",s_RadSpec!$F$28*(CI28*$B43))</f>
        <v>.</v>
      </c>
      <c r="CJ43" s="94" t="str">
        <f>IF(BJ43=".",".",s_RadSpec!$F$28*(CJ28*$B43))</f>
        <v>.</v>
      </c>
      <c r="CK43" s="94" t="str">
        <f>IF(BK43=".",".",s_RadSpec!$F$28*(CK28*$B43))</f>
        <v>.</v>
      </c>
      <c r="CL43" s="94" t="str">
        <f>IF(BL43=".",".",s_RadSpec!$F$28*(CL28*$B43))</f>
        <v>.</v>
      </c>
      <c r="CM43" s="94" t="str">
        <f>IF(BM43=".",".",s_RadSpec!$F$28*(CM28*$B43))</f>
        <v>.</v>
      </c>
      <c r="CN43" s="94" t="str">
        <f>IF(BN43=".",".",s_RadSpec!$F$28*(CN28*$B43))</f>
        <v>.</v>
      </c>
      <c r="CO43" s="94" t="str">
        <f>IF(BO43=".",".",s_RadSpec!$F$28*(CO28*$B43))</f>
        <v>.</v>
      </c>
      <c r="CP43" s="94" t="str">
        <f>IF(BP43=".",".",s_RadSpec!$F$28*(CP28*$B43))</f>
        <v>.</v>
      </c>
      <c r="CQ43" s="94" t="str">
        <f>IF(BQ43=".",".",s_RadSpec!$F$28*(CQ28*$B43))</f>
        <v>.</v>
      </c>
      <c r="CR43" s="94" t="str">
        <f>IF(BR43=".",".",s_RadSpec!$F$28*(CR28*$B43))</f>
        <v>.</v>
      </c>
      <c r="CS43" s="94" t="str">
        <f>IF(BS43=".",".",s_RadSpec!$F$28*(CS28*$B43))</f>
        <v>.</v>
      </c>
      <c r="CT43" s="94" t="str">
        <f>IF(BT43=".",".",s_RadSpec!$F$28*(CT28*$B43))</f>
        <v>.</v>
      </c>
      <c r="CU43" s="94" t="str">
        <f>IF(BU43=".",".",s_RadSpec!$F$28*(CU28*$B43))</f>
        <v>.</v>
      </c>
      <c r="CV43" s="94" t="str">
        <f>IF(BV43=".",".",s_RadSpec!$F$28*(CV28*$B43))</f>
        <v>.</v>
      </c>
      <c r="CW43" s="94" t="str">
        <f>IF(BW43=".",".",s_RadSpec!$F$28*(CW28*$B43))</f>
        <v>.</v>
      </c>
      <c r="CX43" s="94" t="str">
        <f>IF(BX43=".",".",s_RadSpec!$F$28*(CX28*$B43))</f>
        <v>.</v>
      </c>
      <c r="CY43" s="94" t="str">
        <f>IF(BY43=".",".",s_RadSpec!$F$28*(CY28*$B43))</f>
        <v>.</v>
      </c>
      <c r="CZ43" s="94" t="str">
        <f>IF(BZ43=".",".",s_RadSpec!$F$28*(CZ28*$B43))</f>
        <v>.</v>
      </c>
      <c r="DA43" s="94" t="str">
        <f>IF(CA43=".",".",s_RadSpec!$F$28*(DA28*$B43))</f>
        <v>.</v>
      </c>
      <c r="DB43" s="94" t="str">
        <f>IF(CB43=".",".",s_RadSpec!$F$28*(DB28*$B43))</f>
        <v>.</v>
      </c>
    </row>
    <row r="44" spans="1:106" s="42" customFormat="1" x14ac:dyDescent="0.25">
      <c r="A44" s="77" t="s">
        <v>1072</v>
      </c>
      <c r="B44" s="42">
        <v>0.99987999999999999</v>
      </c>
      <c r="C44" s="60">
        <f t="shared" ref="C44:AB44" si="34">IFERROR(C15/$B44,".")</f>
        <v>221526.70407590651</v>
      </c>
      <c r="D44" s="60">
        <f t="shared" si="34"/>
        <v>874172.6456045832</v>
      </c>
      <c r="E44" s="60">
        <f t="shared" si="34"/>
        <v>433518.46734984982</v>
      </c>
      <c r="F44" s="60">
        <f t="shared" si="34"/>
        <v>815000.1427920647</v>
      </c>
      <c r="G44" s="60">
        <f t="shared" si="34"/>
        <v>874172.6456045832</v>
      </c>
      <c r="H44" s="60">
        <f t="shared" si="34"/>
        <v>815000.1427920647</v>
      </c>
      <c r="I44" s="60">
        <f t="shared" si="34"/>
        <v>433518.46734984982</v>
      </c>
      <c r="J44" s="60">
        <f t="shared" si="34"/>
        <v>815000.1427920647</v>
      </c>
      <c r="K44" s="60">
        <f t="shared" si="34"/>
        <v>874172.6456045832</v>
      </c>
      <c r="L44" s="60">
        <f t="shared" si="34"/>
        <v>1002242.7776432357</v>
      </c>
      <c r="M44" s="60">
        <f t="shared" si="34"/>
        <v>815000.1427920647</v>
      </c>
      <c r="N44" s="60">
        <f t="shared" si="34"/>
        <v>433518.46734984982</v>
      </c>
      <c r="O44" s="60">
        <f t="shared" si="34"/>
        <v>938203.16131827759</v>
      </c>
      <c r="P44" s="60">
        <f t="shared" si="34"/>
        <v>815000.1427920647</v>
      </c>
      <c r="Q44" s="60">
        <f t="shared" si="34"/>
        <v>815000.1427920647</v>
      </c>
      <c r="R44" s="60">
        <f t="shared" si="34"/>
        <v>874172.6456045832</v>
      </c>
      <c r="S44" s="60">
        <f t="shared" si="34"/>
        <v>874172.6456045832</v>
      </c>
      <c r="T44" s="60">
        <f t="shared" si="34"/>
        <v>938203.16131827759</v>
      </c>
      <c r="U44" s="60">
        <f t="shared" si="34"/>
        <v>815000.1427920647</v>
      </c>
      <c r="V44" s="60">
        <f t="shared" si="34"/>
        <v>997261.98466034187</v>
      </c>
      <c r="W44" s="60">
        <f t="shared" si="34"/>
        <v>815000.1427920647</v>
      </c>
      <c r="X44" s="60">
        <f t="shared" si="34"/>
        <v>938203.16131827759</v>
      </c>
      <c r="Y44" s="60">
        <f t="shared" si="34"/>
        <v>874172.6456045832</v>
      </c>
      <c r="Z44" s="60">
        <f t="shared" si="34"/>
        <v>815000.1427920647</v>
      </c>
      <c r="AA44" s="60">
        <f t="shared" si="34"/>
        <v>1017660.2138718724</v>
      </c>
      <c r="AB44" s="60">
        <f t="shared" si="34"/>
        <v>861660.59528196929</v>
      </c>
      <c r="AC44" s="94">
        <f t="shared" si="11"/>
        <v>1.12853211554277E-4</v>
      </c>
      <c r="AD44" s="94">
        <f>IF(D44=".",".",s_RadSpec!$F$15*(AD15*$B44))</f>
        <v>2.8598469793927084E-5</v>
      </c>
      <c r="AE44" s="94">
        <f>IF(E44=".",".",s_RadSpec!$F$15*(AE15*$B44))</f>
        <v>5.7667670198291634E-5</v>
      </c>
      <c r="AF44" s="94">
        <f>IF(F44=".",".",s_RadSpec!$F$15*(AF15*$B44))</f>
        <v>3.0674841251381691E-5</v>
      </c>
      <c r="AG44" s="94">
        <f>IF(G44=".",".",s_RadSpec!$F$15*(AG15*$B44))</f>
        <v>2.8598469793927084E-5</v>
      </c>
      <c r="AH44" s="94">
        <f>IF(H44=".",".",s_RadSpec!$F$15*(AH15*$B44))</f>
        <v>3.0674841251381691E-5</v>
      </c>
      <c r="AI44" s="94">
        <f>IF(I44=".",".",s_RadSpec!$F$15*(AI15*$B44))</f>
        <v>5.7667670198291634E-5</v>
      </c>
      <c r="AJ44" s="94">
        <f>IF(J44=".",".",s_RadSpec!$F$15*(AJ15*$B44))</f>
        <v>3.0674841251381691E-5</v>
      </c>
      <c r="AK44" s="94">
        <f>IF(K44=".",".",s_RadSpec!$F$15*(AK15*$B44))</f>
        <v>2.8598469793927084E-5</v>
      </c>
      <c r="AL44" s="94">
        <f>IF(L44=".",".",s_RadSpec!$F$15*(AL15*$B44))</f>
        <v>2.4944056028806971E-5</v>
      </c>
      <c r="AM44" s="94">
        <f>IF(M44=".",".",s_RadSpec!$F$15*(AM15*$B44))</f>
        <v>3.0674841251381691E-5</v>
      </c>
      <c r="AN44" s="94">
        <f>IF(N44=".",".",s_RadSpec!$F$15*(AN15*$B44))</f>
        <v>5.7667670198291634E-5</v>
      </c>
      <c r="AO44" s="94">
        <f>IF(O44=".",".",s_RadSpec!$F$15*(AO15*$B44))</f>
        <v>2.6646680623919748E-5</v>
      </c>
      <c r="AP44" s="94">
        <f>IF(P44=".",".",s_RadSpec!$F$15*(AP15*$B44))</f>
        <v>3.0674841251381691E-5</v>
      </c>
      <c r="AQ44" s="94">
        <f>IF(Q44=".",".",s_RadSpec!$F$15*(AQ15*$B44))</f>
        <v>3.0674841251381691E-5</v>
      </c>
      <c r="AR44" s="94">
        <f>IF(R44=".",".",s_RadSpec!$F$15*(AR15*$B44))</f>
        <v>2.8598469793927084E-5</v>
      </c>
      <c r="AS44" s="94">
        <f>IF(S44=".",".",s_RadSpec!$F$15*(AS15*$B44))</f>
        <v>2.8598469793927084E-5</v>
      </c>
      <c r="AT44" s="94">
        <f>IF(T44=".",".",s_RadSpec!$F$15*(AT15*$B44))</f>
        <v>2.6646680623919748E-5</v>
      </c>
      <c r="AU44" s="94">
        <f>IF(U44=".",".",s_RadSpec!$F$15*(AU15*$B44))</f>
        <v>3.0674841251381691E-5</v>
      </c>
      <c r="AV44" s="94">
        <f>IF(V44=".",".",s_RadSpec!$F$15*(AV15*$B44))</f>
        <v>2.5068638316254245E-5</v>
      </c>
      <c r="AW44" s="94">
        <f>IF(W44=".",".",s_RadSpec!$F$15*(AW15*$B44))</f>
        <v>3.0674841251381691E-5</v>
      </c>
      <c r="AX44" s="94">
        <f>IF(X44=".",".",s_RadSpec!$F$15*(AX15*$B44))</f>
        <v>2.6646680623919748E-5</v>
      </c>
      <c r="AY44" s="94">
        <f>IF(Y44=".",".",s_RadSpec!$F$15*(AY15*$B44))</f>
        <v>2.8598469793927084E-5</v>
      </c>
      <c r="AZ44" s="94">
        <f>IF(Z44=".",".",s_RadSpec!$F$15*(AZ15*$B44))</f>
        <v>3.0674841251381691E-5</v>
      </c>
      <c r="BA44" s="94">
        <f>IF(AA44=".",".",s_RadSpec!$F$15*(BA15*$B44))</f>
        <v>2.4566156423550231E-5</v>
      </c>
      <c r="BB44" s="94">
        <f>IF(AB44=".",".",s_RadSpec!$F$15*(BB15*$B44))</f>
        <v>2.9013744085418004E-5</v>
      </c>
      <c r="BC44" s="60">
        <f t="shared" ref="BC44:CB44" si="35">IFERROR(BC15/$B44,".")</f>
        <v>221526.70407590651</v>
      </c>
      <c r="BD44" s="60">
        <f t="shared" si="35"/>
        <v>874172.6456045832</v>
      </c>
      <c r="BE44" s="60">
        <f t="shared" si="35"/>
        <v>433518.46734984982</v>
      </c>
      <c r="BF44" s="60">
        <f t="shared" si="35"/>
        <v>815000.1427920647</v>
      </c>
      <c r="BG44" s="60">
        <f t="shared" si="35"/>
        <v>874172.6456045832</v>
      </c>
      <c r="BH44" s="60">
        <f t="shared" si="35"/>
        <v>815000.1427920647</v>
      </c>
      <c r="BI44" s="60">
        <f t="shared" si="35"/>
        <v>433518.46734984982</v>
      </c>
      <c r="BJ44" s="60">
        <f t="shared" si="35"/>
        <v>815000.1427920647</v>
      </c>
      <c r="BK44" s="60">
        <f t="shared" si="35"/>
        <v>874172.6456045832</v>
      </c>
      <c r="BL44" s="60">
        <f t="shared" si="35"/>
        <v>1002242.7776432357</v>
      </c>
      <c r="BM44" s="60">
        <f t="shared" si="35"/>
        <v>815000.1427920647</v>
      </c>
      <c r="BN44" s="60">
        <f t="shared" si="35"/>
        <v>433518.46734984982</v>
      </c>
      <c r="BO44" s="60">
        <f t="shared" si="35"/>
        <v>938203.16131827759</v>
      </c>
      <c r="BP44" s="60">
        <f t="shared" si="35"/>
        <v>815000.1427920647</v>
      </c>
      <c r="BQ44" s="60">
        <f t="shared" si="35"/>
        <v>815000.1427920647</v>
      </c>
      <c r="BR44" s="60">
        <f t="shared" si="35"/>
        <v>874172.6456045832</v>
      </c>
      <c r="BS44" s="60">
        <f t="shared" si="35"/>
        <v>874172.6456045832</v>
      </c>
      <c r="BT44" s="60">
        <f t="shared" si="35"/>
        <v>938203.16131827759</v>
      </c>
      <c r="BU44" s="60">
        <f t="shared" si="35"/>
        <v>815000.1427920647</v>
      </c>
      <c r="BV44" s="60">
        <f t="shared" si="35"/>
        <v>997261.98466034187</v>
      </c>
      <c r="BW44" s="60">
        <f t="shared" si="35"/>
        <v>815000.1427920647</v>
      </c>
      <c r="BX44" s="60">
        <f t="shared" si="35"/>
        <v>938203.16131827759</v>
      </c>
      <c r="BY44" s="60">
        <f t="shared" si="35"/>
        <v>874172.6456045832</v>
      </c>
      <c r="BZ44" s="60">
        <f t="shared" si="35"/>
        <v>815000.1427920647</v>
      </c>
      <c r="CA44" s="60">
        <f t="shared" si="35"/>
        <v>1017660.2138718724</v>
      </c>
      <c r="CB44" s="60">
        <f t="shared" si="35"/>
        <v>861660.59528196929</v>
      </c>
      <c r="CC44" s="94">
        <f t="shared" si="13"/>
        <v>1.12853211554277E-4</v>
      </c>
      <c r="CD44" s="94">
        <f>IF(BD44=".",".",s_RadSpec!$F$15*(CD15*$B44))</f>
        <v>2.8598469793927084E-5</v>
      </c>
      <c r="CE44" s="94">
        <f>IF(BE44=".",".",s_RadSpec!$F$15*(CE15*$B44))</f>
        <v>5.7667670198291634E-5</v>
      </c>
      <c r="CF44" s="94">
        <f>IF(BF44=".",".",s_RadSpec!$F$15*(CF15*$B44))</f>
        <v>3.0674841251381691E-5</v>
      </c>
      <c r="CG44" s="94">
        <f>IF(BG44=".",".",s_RadSpec!$F$15*(CG15*$B44))</f>
        <v>2.8598469793927084E-5</v>
      </c>
      <c r="CH44" s="94">
        <f>IF(BH44=".",".",s_RadSpec!$F$15*(CH15*$B44))</f>
        <v>3.0674841251381691E-5</v>
      </c>
      <c r="CI44" s="94">
        <f>IF(BI44=".",".",s_RadSpec!$F$15*(CI15*$B44))</f>
        <v>5.7667670198291634E-5</v>
      </c>
      <c r="CJ44" s="94">
        <f>IF(BJ44=".",".",s_RadSpec!$F$15*(CJ15*$B44))</f>
        <v>3.0674841251381691E-5</v>
      </c>
      <c r="CK44" s="94">
        <f>IF(BK44=".",".",s_RadSpec!$F$15*(CK15*$B44))</f>
        <v>2.8598469793927084E-5</v>
      </c>
      <c r="CL44" s="94">
        <f>IF(BL44=".",".",s_RadSpec!$F$15*(CL15*$B44))</f>
        <v>2.4944056028806971E-5</v>
      </c>
      <c r="CM44" s="94">
        <f>IF(BM44=".",".",s_RadSpec!$F$15*(CM15*$B44))</f>
        <v>3.0674841251381691E-5</v>
      </c>
      <c r="CN44" s="94">
        <f>IF(BN44=".",".",s_RadSpec!$F$15*(CN15*$B44))</f>
        <v>5.7667670198291634E-5</v>
      </c>
      <c r="CO44" s="94">
        <f>IF(BO44=".",".",s_RadSpec!$F$15*(CO15*$B44))</f>
        <v>2.6646680623919748E-5</v>
      </c>
      <c r="CP44" s="94">
        <f>IF(BP44=".",".",s_RadSpec!$F$15*(CP15*$B44))</f>
        <v>3.0674841251381691E-5</v>
      </c>
      <c r="CQ44" s="94">
        <f>IF(BQ44=".",".",s_RadSpec!$F$15*(CQ15*$B44))</f>
        <v>3.0674841251381691E-5</v>
      </c>
      <c r="CR44" s="94">
        <f>IF(BR44=".",".",s_RadSpec!$F$15*(CR15*$B44))</f>
        <v>2.8598469793927084E-5</v>
      </c>
      <c r="CS44" s="94">
        <f>IF(BS44=".",".",s_RadSpec!$F$15*(CS15*$B44))</f>
        <v>2.8598469793927084E-5</v>
      </c>
      <c r="CT44" s="94">
        <f>IF(BT44=".",".",s_RadSpec!$F$15*(CT15*$B44))</f>
        <v>2.6646680623919748E-5</v>
      </c>
      <c r="CU44" s="94">
        <f>IF(BU44=".",".",s_RadSpec!$F$15*(CU15*$B44))</f>
        <v>3.0674841251381691E-5</v>
      </c>
      <c r="CV44" s="94">
        <f>IF(BV44=".",".",s_RadSpec!$F$15*(CV15*$B44))</f>
        <v>2.5068638316254245E-5</v>
      </c>
      <c r="CW44" s="94">
        <f>IF(BW44=".",".",s_RadSpec!$F$15*(CW15*$B44))</f>
        <v>3.0674841251381691E-5</v>
      </c>
      <c r="CX44" s="94">
        <f>IF(BX44=".",".",s_RadSpec!$F$15*(CX15*$B44))</f>
        <v>2.6646680623919748E-5</v>
      </c>
      <c r="CY44" s="94">
        <f>IF(BY44=".",".",s_RadSpec!$F$15*(CY15*$B44))</f>
        <v>2.8598469793927084E-5</v>
      </c>
      <c r="CZ44" s="94">
        <f>IF(BZ44=".",".",s_RadSpec!$F$15*(CZ15*$B44))</f>
        <v>3.0674841251381691E-5</v>
      </c>
      <c r="DA44" s="94">
        <f>IF(CA44=".",".",s_RadSpec!$F$15*(DA15*$B44))</f>
        <v>2.4566156423550231E-5</v>
      </c>
      <c r="DB44" s="94">
        <f>IF(CB44=".",".",s_RadSpec!$F$15*(DB15*$B44))</f>
        <v>2.9013744085418004E-5</v>
      </c>
    </row>
    <row r="45" spans="1:106" s="42" customFormat="1" x14ac:dyDescent="0.25">
      <c r="A45" s="76" t="s">
        <v>8</v>
      </c>
      <c r="B45" s="76" t="s">
        <v>1057</v>
      </c>
      <c r="C45" s="58">
        <f t="shared" ref="C45:AB45" si="36">IFERROR(1/SUM(IFERROR(1/SUMIF(C46,"&lt;&gt;.",C46),0),IFERROR(1/SUMIF(C47,"&lt;&gt;.",C47),0)),".")</f>
        <v>1157.8309362686086</v>
      </c>
      <c r="D45" s="58">
        <f t="shared" si="36"/>
        <v>5228.0860535998863</v>
      </c>
      <c r="E45" s="58">
        <f t="shared" si="36"/>
        <v>2844.2153848482308</v>
      </c>
      <c r="F45" s="58">
        <f t="shared" si="36"/>
        <v>3351.776348606239</v>
      </c>
      <c r="G45" s="58">
        <f t="shared" si="36"/>
        <v>5545.3739336761137</v>
      </c>
      <c r="H45" s="58">
        <f t="shared" si="36"/>
        <v>4233.0887865555706</v>
      </c>
      <c r="I45" s="58">
        <f t="shared" si="36"/>
        <v>2844.2153848482308</v>
      </c>
      <c r="J45" s="58">
        <f t="shared" si="36"/>
        <v>3351.776348606239</v>
      </c>
      <c r="K45" s="58">
        <f t="shared" si="36"/>
        <v>5228.0860535998863</v>
      </c>
      <c r="L45" s="58">
        <f t="shared" si="36"/>
        <v>3680.1441512192068</v>
      </c>
      <c r="M45" s="58">
        <f t="shared" si="36"/>
        <v>4233.0887865555706</v>
      </c>
      <c r="N45" s="58">
        <f t="shared" si="36"/>
        <v>2844.2153848482308</v>
      </c>
      <c r="O45" s="58">
        <f t="shared" si="36"/>
        <v>3419.5804633035282</v>
      </c>
      <c r="P45" s="58">
        <f t="shared" si="36"/>
        <v>4233.0887865555706</v>
      </c>
      <c r="Q45" s="58">
        <f t="shared" si="36"/>
        <v>3351.776348606239</v>
      </c>
      <c r="R45" s="58">
        <f t="shared" si="36"/>
        <v>5228.0860535998863</v>
      </c>
      <c r="S45" s="58">
        <f t="shared" si="36"/>
        <v>5228.0860535998863</v>
      </c>
      <c r="T45" s="58">
        <f t="shared" si="36"/>
        <v>3419.5804633035282</v>
      </c>
      <c r="U45" s="58">
        <f t="shared" si="36"/>
        <v>4233.0887865555706</v>
      </c>
      <c r="V45" s="58">
        <f t="shared" si="36"/>
        <v>2943.2596287478368</v>
      </c>
      <c r="W45" s="58">
        <f t="shared" si="36"/>
        <v>4233.0887865555706</v>
      </c>
      <c r="X45" s="58">
        <f t="shared" si="36"/>
        <v>3419.5804633035282</v>
      </c>
      <c r="Y45" s="58">
        <f t="shared" si="36"/>
        <v>5473.5501761061505</v>
      </c>
      <c r="Z45" s="58">
        <f t="shared" si="36"/>
        <v>4233.0887865555706</v>
      </c>
      <c r="AA45" s="58">
        <f t="shared" si="36"/>
        <v>5672.8506742453901</v>
      </c>
      <c r="AB45" s="58">
        <f t="shared" si="36"/>
        <v>3847.6776656332872</v>
      </c>
      <c r="AC45" s="91">
        <f>IFERROR(SUM(AD46:AD47,AU46:AU47,BA46:BA47,BB46:BB47),".")</f>
        <v>2.1592098826248823E-2</v>
      </c>
      <c r="AD45" s="91">
        <f>IFERROR(SUM(AD46:AD47),".")</f>
        <v>4.7818646716394093E-3</v>
      </c>
      <c r="AE45" s="91">
        <f t="shared" ref="AE45:BB45" si="37">IFERROR(SUM(AE46:AE47),".")</f>
        <v>8.7897703293430482E-3</v>
      </c>
      <c r="AF45" s="91">
        <f t="shared" si="37"/>
        <v>7.4587315500318756E-3</v>
      </c>
      <c r="AG45" s="91">
        <f t="shared" si="37"/>
        <v>4.5082622558921129E-3</v>
      </c>
      <c r="AH45" s="91">
        <f t="shared" si="37"/>
        <v>5.9058529741688433E-3</v>
      </c>
      <c r="AI45" s="91">
        <f t="shared" si="37"/>
        <v>8.7897703293430482E-3</v>
      </c>
      <c r="AJ45" s="91">
        <f t="shared" si="37"/>
        <v>7.4587315500318756E-3</v>
      </c>
      <c r="AK45" s="91">
        <f t="shared" si="37"/>
        <v>4.7818646716394093E-3</v>
      </c>
      <c r="AL45" s="91">
        <f t="shared" si="37"/>
        <v>6.7932121603762902E-3</v>
      </c>
      <c r="AM45" s="91">
        <f t="shared" si="37"/>
        <v>5.9058529741688433E-3</v>
      </c>
      <c r="AN45" s="91">
        <f t="shared" si="37"/>
        <v>8.7897703293430482E-3</v>
      </c>
      <c r="AO45" s="91">
        <f t="shared" si="37"/>
        <v>7.3108383523306361E-3</v>
      </c>
      <c r="AP45" s="91">
        <f t="shared" si="37"/>
        <v>5.9058529741688433E-3</v>
      </c>
      <c r="AQ45" s="91">
        <f t="shared" si="37"/>
        <v>7.4587315500318756E-3</v>
      </c>
      <c r="AR45" s="91">
        <f t="shared" si="37"/>
        <v>4.7818646716394093E-3</v>
      </c>
      <c r="AS45" s="91">
        <f t="shared" si="37"/>
        <v>4.7818646716394093E-3</v>
      </c>
      <c r="AT45" s="91">
        <f t="shared" si="37"/>
        <v>7.3108383523306361E-3</v>
      </c>
      <c r="AU45" s="91">
        <f t="shared" si="37"/>
        <v>5.9058529741688433E-3</v>
      </c>
      <c r="AV45" s="91">
        <f t="shared" si="37"/>
        <v>8.4939839339405639E-3</v>
      </c>
      <c r="AW45" s="91">
        <f t="shared" si="37"/>
        <v>5.9058529741688433E-3</v>
      </c>
      <c r="AX45" s="91">
        <f t="shared" si="37"/>
        <v>7.3108383523306361E-3</v>
      </c>
      <c r="AY45" s="91">
        <f t="shared" si="37"/>
        <v>4.5674195349726101E-3</v>
      </c>
      <c r="AZ45" s="91">
        <f t="shared" si="37"/>
        <v>5.9058529741688433E-3</v>
      </c>
      <c r="BA45" s="91">
        <f t="shared" si="37"/>
        <v>4.4069554154667631E-3</v>
      </c>
      <c r="BB45" s="91">
        <f t="shared" si="37"/>
        <v>6.4974257649738068E-3</v>
      </c>
      <c r="BC45" s="58">
        <f t="shared" ref="BC45:CB45" si="38">IFERROR(1/SUM(IFERROR(1/SUMIF(BC46,"&lt;&gt;.",BC46),0),IFERROR(1/SUMIF(BC47,"&lt;&gt;.",BC47),0)),".")</f>
        <v>1157.8309362686086</v>
      </c>
      <c r="BD45" s="58">
        <f t="shared" si="38"/>
        <v>5228.0860535998863</v>
      </c>
      <c r="BE45" s="58">
        <f t="shared" si="38"/>
        <v>2844.2153848482308</v>
      </c>
      <c r="BF45" s="58">
        <f t="shared" si="38"/>
        <v>3351.776348606239</v>
      </c>
      <c r="BG45" s="58">
        <f t="shared" si="38"/>
        <v>5545.3739336761137</v>
      </c>
      <c r="BH45" s="58">
        <f t="shared" si="38"/>
        <v>4233.0887865555706</v>
      </c>
      <c r="BI45" s="58">
        <f t="shared" si="38"/>
        <v>2844.2153848482308</v>
      </c>
      <c r="BJ45" s="58">
        <f t="shared" si="38"/>
        <v>3351.776348606239</v>
      </c>
      <c r="BK45" s="58">
        <f t="shared" si="38"/>
        <v>5228.0860535998863</v>
      </c>
      <c r="BL45" s="58">
        <f t="shared" si="38"/>
        <v>3680.1441512192068</v>
      </c>
      <c r="BM45" s="58">
        <f t="shared" si="38"/>
        <v>4233.0887865555706</v>
      </c>
      <c r="BN45" s="58">
        <f t="shared" si="38"/>
        <v>2844.2153848482308</v>
      </c>
      <c r="BO45" s="58">
        <f t="shared" si="38"/>
        <v>3419.5804633035282</v>
      </c>
      <c r="BP45" s="58">
        <f t="shared" si="38"/>
        <v>4233.0887865555706</v>
      </c>
      <c r="BQ45" s="58">
        <f t="shared" si="38"/>
        <v>3351.776348606239</v>
      </c>
      <c r="BR45" s="58">
        <f t="shared" si="38"/>
        <v>5228.0860535998863</v>
      </c>
      <c r="BS45" s="58">
        <f t="shared" si="38"/>
        <v>5228.0860535998863</v>
      </c>
      <c r="BT45" s="58">
        <f t="shared" si="38"/>
        <v>3419.5804633035282</v>
      </c>
      <c r="BU45" s="58">
        <f t="shared" si="38"/>
        <v>4233.0887865555706</v>
      </c>
      <c r="BV45" s="58">
        <f t="shared" si="38"/>
        <v>2943.2596287478368</v>
      </c>
      <c r="BW45" s="58">
        <f t="shared" si="38"/>
        <v>4233.0887865555706</v>
      </c>
      <c r="BX45" s="58">
        <f t="shared" si="38"/>
        <v>3419.5804633035282</v>
      </c>
      <c r="BY45" s="58">
        <f t="shared" si="38"/>
        <v>5473.5501761061505</v>
      </c>
      <c r="BZ45" s="58">
        <f t="shared" si="38"/>
        <v>4233.0887865555706</v>
      </c>
      <c r="CA45" s="58">
        <f t="shared" si="38"/>
        <v>5672.8506742453901</v>
      </c>
      <c r="CB45" s="58">
        <f t="shared" si="38"/>
        <v>3847.6776656332872</v>
      </c>
      <c r="CC45" s="91">
        <f>IFERROR(SUM(CD46:CD47,CU46:CU47,DA46:DA47,DB46:DB47),".")</f>
        <v>2.1592098826248823E-2</v>
      </c>
      <c r="CD45" s="91">
        <f>IFERROR(SUM(CD46:CD47),".")</f>
        <v>4.7818646716394093E-3</v>
      </c>
      <c r="CE45" s="91">
        <f t="shared" ref="CE45:DB45" si="39">IFERROR(SUM(CE46:CE47),".")</f>
        <v>8.7897703293430482E-3</v>
      </c>
      <c r="CF45" s="91">
        <f t="shared" si="39"/>
        <v>7.4587315500318756E-3</v>
      </c>
      <c r="CG45" s="91">
        <f t="shared" si="39"/>
        <v>4.5082622558921129E-3</v>
      </c>
      <c r="CH45" s="91">
        <f t="shared" si="39"/>
        <v>5.9058529741688433E-3</v>
      </c>
      <c r="CI45" s="91">
        <f t="shared" si="39"/>
        <v>8.7897703293430482E-3</v>
      </c>
      <c r="CJ45" s="91">
        <f t="shared" si="39"/>
        <v>7.4587315500318756E-3</v>
      </c>
      <c r="CK45" s="91">
        <f t="shared" si="39"/>
        <v>4.7818646716394093E-3</v>
      </c>
      <c r="CL45" s="91">
        <f t="shared" si="39"/>
        <v>6.7932121603762902E-3</v>
      </c>
      <c r="CM45" s="91">
        <f t="shared" si="39"/>
        <v>5.9058529741688433E-3</v>
      </c>
      <c r="CN45" s="91">
        <f t="shared" si="39"/>
        <v>8.7897703293430482E-3</v>
      </c>
      <c r="CO45" s="91">
        <f t="shared" si="39"/>
        <v>7.3108383523306361E-3</v>
      </c>
      <c r="CP45" s="91">
        <f t="shared" si="39"/>
        <v>5.9058529741688433E-3</v>
      </c>
      <c r="CQ45" s="91">
        <f t="shared" si="39"/>
        <v>7.4587315500318756E-3</v>
      </c>
      <c r="CR45" s="91">
        <f t="shared" si="39"/>
        <v>4.7818646716394093E-3</v>
      </c>
      <c r="CS45" s="91">
        <f t="shared" si="39"/>
        <v>4.7818646716394093E-3</v>
      </c>
      <c r="CT45" s="91">
        <f t="shared" si="39"/>
        <v>7.3108383523306361E-3</v>
      </c>
      <c r="CU45" s="91">
        <f t="shared" si="39"/>
        <v>5.9058529741688433E-3</v>
      </c>
      <c r="CV45" s="91">
        <f t="shared" si="39"/>
        <v>8.4939839339405639E-3</v>
      </c>
      <c r="CW45" s="91">
        <f t="shared" si="39"/>
        <v>5.9058529741688433E-3</v>
      </c>
      <c r="CX45" s="91">
        <f t="shared" si="39"/>
        <v>7.3108383523306361E-3</v>
      </c>
      <c r="CY45" s="91">
        <f t="shared" si="39"/>
        <v>4.5674195349726101E-3</v>
      </c>
      <c r="CZ45" s="91">
        <f t="shared" si="39"/>
        <v>5.9058529741688433E-3</v>
      </c>
      <c r="DA45" s="91">
        <f t="shared" si="39"/>
        <v>4.4069554154667631E-3</v>
      </c>
      <c r="DB45" s="91">
        <f t="shared" si="39"/>
        <v>6.4974257649738068E-3</v>
      </c>
    </row>
    <row r="46" spans="1:106" s="42" customFormat="1" x14ac:dyDescent="0.25">
      <c r="A46" s="77" t="s">
        <v>1084</v>
      </c>
      <c r="B46" s="42">
        <v>1</v>
      </c>
      <c r="C46" s="60">
        <f t="shared" ref="C46:AB46" si="40">IFERROR(C10/$B46,".")</f>
        <v>1157.8309362686086</v>
      </c>
      <c r="D46" s="60">
        <f t="shared" si="40"/>
        <v>5228.0860535998863</v>
      </c>
      <c r="E46" s="60">
        <f t="shared" si="40"/>
        <v>2844.2153848482308</v>
      </c>
      <c r="F46" s="60">
        <f t="shared" si="40"/>
        <v>3351.776348606239</v>
      </c>
      <c r="G46" s="60">
        <f t="shared" si="40"/>
        <v>5545.3739336761137</v>
      </c>
      <c r="H46" s="60">
        <f t="shared" si="40"/>
        <v>4233.0887865555706</v>
      </c>
      <c r="I46" s="60">
        <f t="shared" si="40"/>
        <v>2844.2153848482308</v>
      </c>
      <c r="J46" s="60">
        <f t="shared" si="40"/>
        <v>3351.776348606239</v>
      </c>
      <c r="K46" s="60">
        <f t="shared" si="40"/>
        <v>5228.0860535998863</v>
      </c>
      <c r="L46" s="60">
        <f t="shared" si="40"/>
        <v>3680.1441512192068</v>
      </c>
      <c r="M46" s="60">
        <f t="shared" si="40"/>
        <v>4233.0887865555706</v>
      </c>
      <c r="N46" s="60">
        <f t="shared" si="40"/>
        <v>2844.2153848482308</v>
      </c>
      <c r="O46" s="60">
        <f t="shared" si="40"/>
        <v>3419.5804633035277</v>
      </c>
      <c r="P46" s="60">
        <f t="shared" si="40"/>
        <v>4233.0887865555706</v>
      </c>
      <c r="Q46" s="60">
        <f t="shared" si="40"/>
        <v>3351.776348606239</v>
      </c>
      <c r="R46" s="60">
        <f t="shared" si="40"/>
        <v>5228.0860535998863</v>
      </c>
      <c r="S46" s="60">
        <f t="shared" si="40"/>
        <v>5228.0860535998863</v>
      </c>
      <c r="T46" s="60">
        <f t="shared" si="40"/>
        <v>3419.5804633035277</v>
      </c>
      <c r="U46" s="60">
        <f t="shared" si="40"/>
        <v>4233.0887865555706</v>
      </c>
      <c r="V46" s="60">
        <f t="shared" si="40"/>
        <v>2943.2596287478368</v>
      </c>
      <c r="W46" s="60">
        <f t="shared" si="40"/>
        <v>4233.0887865555706</v>
      </c>
      <c r="X46" s="60">
        <f t="shared" si="40"/>
        <v>3419.5804633035277</v>
      </c>
      <c r="Y46" s="60">
        <f t="shared" si="40"/>
        <v>5473.5501761061505</v>
      </c>
      <c r="Z46" s="60">
        <f t="shared" si="40"/>
        <v>4233.0887865555706</v>
      </c>
      <c r="AA46" s="60">
        <f t="shared" si="40"/>
        <v>5672.8506742453901</v>
      </c>
      <c r="AB46" s="60">
        <f t="shared" si="40"/>
        <v>3847.6776656332872</v>
      </c>
      <c r="AC46" s="94">
        <f>IF(AND(AD46&lt;&gt;".",AU46&lt;&gt;".",BA46&lt;&gt;".",BB46&lt;&gt;"."),SUM(AD46,AU46,BA46:BB46),".")</f>
        <v>2.1592098826248823E-2</v>
      </c>
      <c r="AD46" s="94">
        <f>IF(D46=".",".",s_RadSpec!$F$10*(AD10*$B46))</f>
        <v>4.7818646716394093E-3</v>
      </c>
      <c r="AE46" s="94">
        <f>IF(E46=".",".",s_RadSpec!$F$10*(AE10*$B46))</f>
        <v>8.7897703293430482E-3</v>
      </c>
      <c r="AF46" s="94">
        <f>IF(F46=".",".",s_RadSpec!$F$10*(AF10*$B46))</f>
        <v>7.4587315500318756E-3</v>
      </c>
      <c r="AG46" s="94">
        <f>IF(G46=".",".",s_RadSpec!$F$10*(AG10*$B46))</f>
        <v>4.5082622558921129E-3</v>
      </c>
      <c r="AH46" s="94">
        <f>IF(H46=".",".",s_RadSpec!$F$10*(AH10*$B46))</f>
        <v>5.9058529741688433E-3</v>
      </c>
      <c r="AI46" s="94">
        <f>IF(I46=".",".",s_RadSpec!$F$10*(AI10*$B46))</f>
        <v>8.7897703293430482E-3</v>
      </c>
      <c r="AJ46" s="94">
        <f>IF(J46=".",".",s_RadSpec!$F$10*(AJ10*$B46))</f>
        <v>7.4587315500318756E-3</v>
      </c>
      <c r="AK46" s="94">
        <f>IF(K46=".",".",s_RadSpec!$F$10*(AK10*$B46))</f>
        <v>4.7818646716394093E-3</v>
      </c>
      <c r="AL46" s="94">
        <f>IF(L46=".",".",s_RadSpec!$F$10*(AL10*$B46))</f>
        <v>6.7932121603762902E-3</v>
      </c>
      <c r="AM46" s="94">
        <f>IF(M46=".",".",s_RadSpec!$F$10*(AM10*$B46))</f>
        <v>5.9058529741688433E-3</v>
      </c>
      <c r="AN46" s="94">
        <f>IF(N46=".",".",s_RadSpec!$F$10*(AN10*$B46))</f>
        <v>8.7897703293430482E-3</v>
      </c>
      <c r="AO46" s="94">
        <f>IF(O46=".",".",s_RadSpec!$F$10*(AO10*$B46))</f>
        <v>7.3108383523306361E-3</v>
      </c>
      <c r="AP46" s="94">
        <f>IF(P46=".",".",s_RadSpec!$F$10*(AP10*$B46))</f>
        <v>5.9058529741688433E-3</v>
      </c>
      <c r="AQ46" s="94">
        <f>IF(Q46=".",".",s_RadSpec!$F$10*(AQ10*$B46))</f>
        <v>7.4587315500318756E-3</v>
      </c>
      <c r="AR46" s="94">
        <f>IF(R46=".",".",s_RadSpec!$F$10*(AR10*$B46))</f>
        <v>4.7818646716394093E-3</v>
      </c>
      <c r="AS46" s="94">
        <f>IF(S46=".",".",s_RadSpec!$F$10*(AS10*$B46))</f>
        <v>4.7818646716394093E-3</v>
      </c>
      <c r="AT46" s="94">
        <f>IF(T46=".",".",s_RadSpec!$F$10*(AT10*$B46))</f>
        <v>7.3108383523306361E-3</v>
      </c>
      <c r="AU46" s="94">
        <f>IF(U46=".",".",s_RadSpec!$F$10*(AU10*$B46))</f>
        <v>5.9058529741688433E-3</v>
      </c>
      <c r="AV46" s="94">
        <f>IF(V46=".",".",s_RadSpec!$F$10*(AV10*$B46))</f>
        <v>8.4939839339405639E-3</v>
      </c>
      <c r="AW46" s="94">
        <f>IF(W46=".",".",s_RadSpec!$F$10*(AW10*$B46))</f>
        <v>5.9058529741688433E-3</v>
      </c>
      <c r="AX46" s="94">
        <f>IF(X46=".",".",s_RadSpec!$F$10*(AX10*$B46))</f>
        <v>7.3108383523306361E-3</v>
      </c>
      <c r="AY46" s="94">
        <f>IF(Y46=".",".",s_RadSpec!$F$10*(AY10*$B46))</f>
        <v>4.5674195349726101E-3</v>
      </c>
      <c r="AZ46" s="94">
        <f>IF(Z46=".",".",s_RadSpec!$F$10*(AZ10*$B46))</f>
        <v>5.9058529741688433E-3</v>
      </c>
      <c r="BA46" s="94">
        <f>IF(AA46=".",".",s_RadSpec!$F$10*(BA10*$B46))</f>
        <v>4.4069554154667631E-3</v>
      </c>
      <c r="BB46" s="94">
        <f>IF(AB46=".",".",s_RadSpec!$F$10*(BB10*$B46))</f>
        <v>6.4974257649738068E-3</v>
      </c>
      <c r="BC46" s="60">
        <f t="shared" ref="BC46:CB46" si="41">IFERROR(BC10/$B46,".")</f>
        <v>1157.8309362686086</v>
      </c>
      <c r="BD46" s="60">
        <f t="shared" si="41"/>
        <v>5228.0860535998863</v>
      </c>
      <c r="BE46" s="60">
        <f t="shared" si="41"/>
        <v>2844.2153848482308</v>
      </c>
      <c r="BF46" s="60">
        <f t="shared" si="41"/>
        <v>3351.776348606239</v>
      </c>
      <c r="BG46" s="60">
        <f t="shared" si="41"/>
        <v>5545.3739336761137</v>
      </c>
      <c r="BH46" s="60">
        <f t="shared" si="41"/>
        <v>4233.0887865555706</v>
      </c>
      <c r="BI46" s="60">
        <f t="shared" si="41"/>
        <v>2844.2153848482308</v>
      </c>
      <c r="BJ46" s="60">
        <f t="shared" si="41"/>
        <v>3351.776348606239</v>
      </c>
      <c r="BK46" s="60">
        <f t="shared" si="41"/>
        <v>5228.0860535998863</v>
      </c>
      <c r="BL46" s="60">
        <f t="shared" si="41"/>
        <v>3680.1441512192068</v>
      </c>
      <c r="BM46" s="60">
        <f t="shared" si="41"/>
        <v>4233.0887865555706</v>
      </c>
      <c r="BN46" s="60">
        <f t="shared" si="41"/>
        <v>2844.2153848482308</v>
      </c>
      <c r="BO46" s="60">
        <f t="shared" si="41"/>
        <v>3419.5804633035277</v>
      </c>
      <c r="BP46" s="60">
        <f t="shared" si="41"/>
        <v>4233.0887865555706</v>
      </c>
      <c r="BQ46" s="60">
        <f t="shared" si="41"/>
        <v>3351.776348606239</v>
      </c>
      <c r="BR46" s="60">
        <f t="shared" si="41"/>
        <v>5228.0860535998863</v>
      </c>
      <c r="BS46" s="60">
        <f t="shared" si="41"/>
        <v>5228.0860535998863</v>
      </c>
      <c r="BT46" s="60">
        <f t="shared" si="41"/>
        <v>3419.5804633035277</v>
      </c>
      <c r="BU46" s="60">
        <f t="shared" si="41"/>
        <v>4233.0887865555706</v>
      </c>
      <c r="BV46" s="60">
        <f t="shared" si="41"/>
        <v>2943.2596287478368</v>
      </c>
      <c r="BW46" s="60">
        <f t="shared" si="41"/>
        <v>4233.0887865555706</v>
      </c>
      <c r="BX46" s="60">
        <f t="shared" si="41"/>
        <v>3419.5804633035277</v>
      </c>
      <c r="BY46" s="60">
        <f t="shared" si="41"/>
        <v>5473.5501761061505</v>
      </c>
      <c r="BZ46" s="60">
        <f t="shared" si="41"/>
        <v>4233.0887865555706</v>
      </c>
      <c r="CA46" s="60">
        <f t="shared" si="41"/>
        <v>5672.8506742453901</v>
      </c>
      <c r="CB46" s="60">
        <f t="shared" si="41"/>
        <v>3847.6776656332872</v>
      </c>
      <c r="CC46" s="94">
        <f>IF(AND(CD46&lt;&gt;".",CU46&lt;&gt;".",DA46&lt;&gt;".",DB46&lt;&gt;"."),SUM(CD46,CU46,DA46:DB46),".")</f>
        <v>2.1592098826248823E-2</v>
      </c>
      <c r="CD46" s="94">
        <f>IF(BD46=".",".",s_RadSpec!$F$10*(CD10*$B46))</f>
        <v>4.7818646716394093E-3</v>
      </c>
      <c r="CE46" s="94">
        <f>IF(BE46=".",".",s_RadSpec!$F$10*(CE10*$B46))</f>
        <v>8.7897703293430482E-3</v>
      </c>
      <c r="CF46" s="94">
        <f>IF(BF46=".",".",s_RadSpec!$F$10*(CF10*$B46))</f>
        <v>7.4587315500318756E-3</v>
      </c>
      <c r="CG46" s="94">
        <f>IF(BG46=".",".",s_RadSpec!$F$10*(CG10*$B46))</f>
        <v>4.5082622558921129E-3</v>
      </c>
      <c r="CH46" s="94">
        <f>IF(BH46=".",".",s_RadSpec!$F$10*(CH10*$B46))</f>
        <v>5.9058529741688433E-3</v>
      </c>
      <c r="CI46" s="94">
        <f>IF(BI46=".",".",s_RadSpec!$F$10*(CI10*$B46))</f>
        <v>8.7897703293430482E-3</v>
      </c>
      <c r="CJ46" s="94">
        <f>IF(BJ46=".",".",s_RadSpec!$F$10*(CJ10*$B46))</f>
        <v>7.4587315500318756E-3</v>
      </c>
      <c r="CK46" s="94">
        <f>IF(BK46=".",".",s_RadSpec!$F$10*(CK10*$B46))</f>
        <v>4.7818646716394093E-3</v>
      </c>
      <c r="CL46" s="94">
        <f>IF(BL46=".",".",s_RadSpec!$F$10*(CL10*$B46))</f>
        <v>6.7932121603762902E-3</v>
      </c>
      <c r="CM46" s="94">
        <f>IF(BM46=".",".",s_RadSpec!$F$10*(CM10*$B46))</f>
        <v>5.9058529741688433E-3</v>
      </c>
      <c r="CN46" s="94">
        <f>IF(BN46=".",".",s_RadSpec!$F$10*(CN10*$B46))</f>
        <v>8.7897703293430482E-3</v>
      </c>
      <c r="CO46" s="94">
        <f>IF(BO46=".",".",s_RadSpec!$F$10*(CO10*$B46))</f>
        <v>7.3108383523306361E-3</v>
      </c>
      <c r="CP46" s="94">
        <f>IF(BP46=".",".",s_RadSpec!$F$10*(CP10*$B46))</f>
        <v>5.9058529741688433E-3</v>
      </c>
      <c r="CQ46" s="94">
        <f>IF(BQ46=".",".",s_RadSpec!$F$10*(CQ10*$B46))</f>
        <v>7.4587315500318756E-3</v>
      </c>
      <c r="CR46" s="94">
        <f>IF(BR46=".",".",s_RadSpec!$F$10*(CR10*$B46))</f>
        <v>4.7818646716394093E-3</v>
      </c>
      <c r="CS46" s="94">
        <f>IF(BS46=".",".",s_RadSpec!$F$10*(CS10*$B46))</f>
        <v>4.7818646716394093E-3</v>
      </c>
      <c r="CT46" s="94">
        <f>IF(BT46=".",".",s_RadSpec!$F$10*(CT10*$B46))</f>
        <v>7.3108383523306361E-3</v>
      </c>
      <c r="CU46" s="94">
        <f>IF(BU46=".",".",s_RadSpec!$F$10*(CU10*$B46))</f>
        <v>5.9058529741688433E-3</v>
      </c>
      <c r="CV46" s="94">
        <f>IF(BV46=".",".",s_RadSpec!$F$10*(CV10*$B46))</f>
        <v>8.4939839339405639E-3</v>
      </c>
      <c r="CW46" s="94">
        <f>IF(BW46=".",".",s_RadSpec!$F$10*(CW10*$B46))</f>
        <v>5.9058529741688433E-3</v>
      </c>
      <c r="CX46" s="94">
        <f>IF(BX46=".",".",s_RadSpec!$F$10*(CX10*$B46))</f>
        <v>7.3108383523306361E-3</v>
      </c>
      <c r="CY46" s="94">
        <f>IF(BY46=".",".",s_RadSpec!$F$10*(CY10*$B46))</f>
        <v>4.5674195349726101E-3</v>
      </c>
      <c r="CZ46" s="94">
        <f>IF(BZ46=".",".",s_RadSpec!$F$10*(CZ10*$B46))</f>
        <v>5.9058529741688433E-3</v>
      </c>
      <c r="DA46" s="94">
        <f>IF(CA46=".",".",s_RadSpec!$F$10*(DA10*$B46))</f>
        <v>4.4069554154667631E-3</v>
      </c>
      <c r="DB46" s="94">
        <f>IF(CB46=".",".",s_RadSpec!$F$10*(DB10*$B46))</f>
        <v>6.4974257649738068E-3</v>
      </c>
    </row>
    <row r="47" spans="1:106" s="42" customFormat="1" x14ac:dyDescent="0.25">
      <c r="A47" s="77" t="s">
        <v>1058</v>
      </c>
      <c r="B47" s="79">
        <v>0.94399</v>
      </c>
      <c r="C47" s="60" t="str">
        <f t="shared" ref="C47:AB47" si="42">IFERROR(C6/$B$47,".")</f>
        <v>.</v>
      </c>
      <c r="D47" s="60" t="str">
        <f t="shared" si="42"/>
        <v>.</v>
      </c>
      <c r="E47" s="60" t="str">
        <f t="shared" si="42"/>
        <v>.</v>
      </c>
      <c r="F47" s="60" t="str">
        <f t="shared" si="42"/>
        <v>.</v>
      </c>
      <c r="G47" s="60" t="str">
        <f t="shared" si="42"/>
        <v>.</v>
      </c>
      <c r="H47" s="60" t="str">
        <f t="shared" si="42"/>
        <v>.</v>
      </c>
      <c r="I47" s="60" t="str">
        <f t="shared" si="42"/>
        <v>.</v>
      </c>
      <c r="J47" s="60" t="str">
        <f t="shared" si="42"/>
        <v>.</v>
      </c>
      <c r="K47" s="60" t="str">
        <f t="shared" si="42"/>
        <v>.</v>
      </c>
      <c r="L47" s="60" t="str">
        <f t="shared" si="42"/>
        <v>.</v>
      </c>
      <c r="M47" s="60" t="str">
        <f t="shared" si="42"/>
        <v>.</v>
      </c>
      <c r="N47" s="60" t="str">
        <f t="shared" si="42"/>
        <v>.</v>
      </c>
      <c r="O47" s="60" t="str">
        <f t="shared" si="42"/>
        <v>.</v>
      </c>
      <c r="P47" s="60" t="str">
        <f t="shared" si="42"/>
        <v>.</v>
      </c>
      <c r="Q47" s="60" t="str">
        <f t="shared" si="42"/>
        <v>.</v>
      </c>
      <c r="R47" s="60" t="str">
        <f t="shared" si="42"/>
        <v>.</v>
      </c>
      <c r="S47" s="60" t="str">
        <f t="shared" si="42"/>
        <v>.</v>
      </c>
      <c r="T47" s="60" t="str">
        <f t="shared" si="42"/>
        <v>.</v>
      </c>
      <c r="U47" s="60" t="str">
        <f t="shared" si="42"/>
        <v>.</v>
      </c>
      <c r="V47" s="60" t="str">
        <f t="shared" si="42"/>
        <v>.</v>
      </c>
      <c r="W47" s="60" t="str">
        <f t="shared" si="42"/>
        <v>.</v>
      </c>
      <c r="X47" s="60" t="str">
        <f t="shared" si="42"/>
        <v>.</v>
      </c>
      <c r="Y47" s="60" t="str">
        <f t="shared" si="42"/>
        <v>.</v>
      </c>
      <c r="Z47" s="60" t="str">
        <f t="shared" si="42"/>
        <v>.</v>
      </c>
      <c r="AA47" s="60" t="str">
        <f t="shared" si="42"/>
        <v>.</v>
      </c>
      <c r="AB47" s="60" t="str">
        <f t="shared" si="42"/>
        <v>.</v>
      </c>
      <c r="AC47" s="94" t="str">
        <f>IF(AND(AD47&lt;&gt;".",AU47&lt;&gt;".",BA47&lt;&gt;".",BB47&lt;&gt;"."),SUM(AD47,AU47,BA47:BB47),".")</f>
        <v>.</v>
      </c>
      <c r="AD47" s="94" t="str">
        <f>IF(D47=".",".",s_RadSpec!$F$6*(AD6*$B47))</f>
        <v>.</v>
      </c>
      <c r="AE47" s="94" t="str">
        <f>IF(E47=".",".",s_RadSpec!$F$6*(AE6*$B47))</f>
        <v>.</v>
      </c>
      <c r="AF47" s="94" t="str">
        <f>IF(F47=".",".",s_RadSpec!$F$6*(AF6*$B47))</f>
        <v>.</v>
      </c>
      <c r="AG47" s="94" t="str">
        <f>IF(G47=".",".",s_RadSpec!$F$6*(AG6*$B47))</f>
        <v>.</v>
      </c>
      <c r="AH47" s="94" t="str">
        <f>IF(H47=".",".",s_RadSpec!$F$6*(AH6*$B47))</f>
        <v>.</v>
      </c>
      <c r="AI47" s="94" t="str">
        <f>IF(I47=".",".",s_RadSpec!$F$6*(AI6*$B47))</f>
        <v>.</v>
      </c>
      <c r="AJ47" s="94" t="str">
        <f>IF(J47=".",".",s_RadSpec!$F$6*(AJ6*$B47))</f>
        <v>.</v>
      </c>
      <c r="AK47" s="94" t="str">
        <f>IF(K47=".",".",s_RadSpec!$F$6*(AK6*$B47))</f>
        <v>.</v>
      </c>
      <c r="AL47" s="94" t="str">
        <f>IF(L47=".",".",s_RadSpec!$F$6*(AL6*$B47))</f>
        <v>.</v>
      </c>
      <c r="AM47" s="94" t="str">
        <f>IF(M47=".",".",s_RadSpec!$F$6*(AM6*$B47))</f>
        <v>.</v>
      </c>
      <c r="AN47" s="94" t="str">
        <f>IF(N47=".",".",s_RadSpec!$F$6*(AN6*$B47))</f>
        <v>.</v>
      </c>
      <c r="AO47" s="94" t="str">
        <f>IF(O47=".",".",s_RadSpec!$F$6*(AO6*$B47))</f>
        <v>.</v>
      </c>
      <c r="AP47" s="94" t="str">
        <f>IF(P47=".",".",s_RadSpec!$F$6*(AP6*$B47))</f>
        <v>.</v>
      </c>
      <c r="AQ47" s="94" t="str">
        <f>IF(Q47=".",".",s_RadSpec!$F$6*(AQ6*$B47))</f>
        <v>.</v>
      </c>
      <c r="AR47" s="94" t="str">
        <f>IF(R47=".",".",s_RadSpec!$F$6*(AR6*$B47))</f>
        <v>.</v>
      </c>
      <c r="AS47" s="94" t="str">
        <f>IF(S47=".",".",s_RadSpec!$F$6*(AS6*$B47))</f>
        <v>.</v>
      </c>
      <c r="AT47" s="94" t="str">
        <f>IF(T47=".",".",s_RadSpec!$F$6*(AT6*$B47))</f>
        <v>.</v>
      </c>
      <c r="AU47" s="94" t="str">
        <f>IF(U47=".",".",s_RadSpec!$F$6*(AU6*$B47))</f>
        <v>.</v>
      </c>
      <c r="AV47" s="94" t="str">
        <f>IF(V47=".",".",s_RadSpec!$F$6*(AV6*$B47))</f>
        <v>.</v>
      </c>
      <c r="AW47" s="94" t="str">
        <f>IF(W47=".",".",s_RadSpec!$F$6*(AW6*$B47))</f>
        <v>.</v>
      </c>
      <c r="AX47" s="94" t="str">
        <f>IF(X47=".",".",s_RadSpec!$F$6*(AX6*$B47))</f>
        <v>.</v>
      </c>
      <c r="AY47" s="94" t="str">
        <f>IF(Y47=".",".",s_RadSpec!$F$6*(AY6*$B47))</f>
        <v>.</v>
      </c>
      <c r="AZ47" s="94" t="str">
        <f>IF(Z47=".",".",s_RadSpec!$F$6*(AZ6*$B47))</f>
        <v>.</v>
      </c>
      <c r="BA47" s="94" t="str">
        <f>IF(AA47=".",".",s_RadSpec!$F$6*(BA6*$B47))</f>
        <v>.</v>
      </c>
      <c r="BB47" s="94" t="str">
        <f>IF(AB47=".",".",s_RadSpec!$F$6*(BB6*$B47))</f>
        <v>.</v>
      </c>
      <c r="BC47" s="60" t="str">
        <f t="shared" ref="BC47:CB47" si="43">IFERROR(BC6/$B$47,".")</f>
        <v>.</v>
      </c>
      <c r="BD47" s="60" t="str">
        <f t="shared" si="43"/>
        <v>.</v>
      </c>
      <c r="BE47" s="60" t="str">
        <f t="shared" si="43"/>
        <v>.</v>
      </c>
      <c r="BF47" s="60" t="str">
        <f t="shared" si="43"/>
        <v>.</v>
      </c>
      <c r="BG47" s="60" t="str">
        <f t="shared" si="43"/>
        <v>.</v>
      </c>
      <c r="BH47" s="60" t="str">
        <f t="shared" si="43"/>
        <v>.</v>
      </c>
      <c r="BI47" s="60" t="str">
        <f t="shared" si="43"/>
        <v>.</v>
      </c>
      <c r="BJ47" s="60" t="str">
        <f t="shared" si="43"/>
        <v>.</v>
      </c>
      <c r="BK47" s="60" t="str">
        <f t="shared" si="43"/>
        <v>.</v>
      </c>
      <c r="BL47" s="60" t="str">
        <f t="shared" si="43"/>
        <v>.</v>
      </c>
      <c r="BM47" s="60" t="str">
        <f t="shared" si="43"/>
        <v>.</v>
      </c>
      <c r="BN47" s="60" t="str">
        <f t="shared" si="43"/>
        <v>.</v>
      </c>
      <c r="BO47" s="60" t="str">
        <f t="shared" si="43"/>
        <v>.</v>
      </c>
      <c r="BP47" s="60" t="str">
        <f t="shared" si="43"/>
        <v>.</v>
      </c>
      <c r="BQ47" s="60" t="str">
        <f t="shared" si="43"/>
        <v>.</v>
      </c>
      <c r="BR47" s="60" t="str">
        <f t="shared" si="43"/>
        <v>.</v>
      </c>
      <c r="BS47" s="60" t="str">
        <f t="shared" si="43"/>
        <v>.</v>
      </c>
      <c r="BT47" s="60" t="str">
        <f t="shared" si="43"/>
        <v>.</v>
      </c>
      <c r="BU47" s="60" t="str">
        <f t="shared" si="43"/>
        <v>.</v>
      </c>
      <c r="BV47" s="60" t="str">
        <f t="shared" si="43"/>
        <v>.</v>
      </c>
      <c r="BW47" s="60" t="str">
        <f t="shared" si="43"/>
        <v>.</v>
      </c>
      <c r="BX47" s="60" t="str">
        <f t="shared" si="43"/>
        <v>.</v>
      </c>
      <c r="BY47" s="60" t="str">
        <f t="shared" si="43"/>
        <v>.</v>
      </c>
      <c r="BZ47" s="60" t="str">
        <f t="shared" si="43"/>
        <v>.</v>
      </c>
      <c r="CA47" s="60" t="str">
        <f t="shared" si="43"/>
        <v>.</v>
      </c>
      <c r="CB47" s="60" t="str">
        <f t="shared" si="43"/>
        <v>.</v>
      </c>
      <c r="CC47" s="94" t="str">
        <f>IF(AND(CD47&lt;&gt;".",CU47&lt;&gt;".",DA47&lt;&gt;".",DB47&lt;&gt;"."),SUM(CD47,CU47,DA47:DB47),".")</f>
        <v>.</v>
      </c>
      <c r="CD47" s="94" t="str">
        <f>IF(BD47=".",".",s_RadSpec!$F$6*(CD6*$B47))</f>
        <v>.</v>
      </c>
      <c r="CE47" s="94" t="str">
        <f>IF(BE47=".",".",s_RadSpec!$F$6*(CE6*$B47))</f>
        <v>.</v>
      </c>
      <c r="CF47" s="94" t="str">
        <f>IF(BF47=".",".",s_RadSpec!$F$6*(CF6*$B47))</f>
        <v>.</v>
      </c>
      <c r="CG47" s="94" t="str">
        <f>IF(BG47=".",".",s_RadSpec!$F$6*(CG6*$B47))</f>
        <v>.</v>
      </c>
      <c r="CH47" s="94" t="str">
        <f>IF(BH47=".",".",s_RadSpec!$F$6*(CH6*$B47))</f>
        <v>.</v>
      </c>
      <c r="CI47" s="94" t="str">
        <f>IF(BI47=".",".",s_RadSpec!$F$6*(CI6*$B47))</f>
        <v>.</v>
      </c>
      <c r="CJ47" s="94" t="str">
        <f>IF(BJ47=".",".",s_RadSpec!$F$6*(CJ6*$B47))</f>
        <v>.</v>
      </c>
      <c r="CK47" s="94" t="str">
        <f>IF(BK47=".",".",s_RadSpec!$F$6*(CK6*$B47))</f>
        <v>.</v>
      </c>
      <c r="CL47" s="94" t="str">
        <f>IF(BL47=".",".",s_RadSpec!$F$6*(CL6*$B47))</f>
        <v>.</v>
      </c>
      <c r="CM47" s="94" t="str">
        <f>IF(BM47=".",".",s_RadSpec!$F$6*(CM6*$B47))</f>
        <v>.</v>
      </c>
      <c r="CN47" s="94" t="str">
        <f>IF(BN47=".",".",s_RadSpec!$F$6*(CN6*$B47))</f>
        <v>.</v>
      </c>
      <c r="CO47" s="94" t="str">
        <f>IF(BO47=".",".",s_RadSpec!$F$6*(CO6*$B47))</f>
        <v>.</v>
      </c>
      <c r="CP47" s="94" t="str">
        <f>IF(BP47=".",".",s_RadSpec!$F$6*(CP6*$B47))</f>
        <v>.</v>
      </c>
      <c r="CQ47" s="94" t="str">
        <f>IF(BQ47=".",".",s_RadSpec!$F$6*(CQ6*$B47))</f>
        <v>.</v>
      </c>
      <c r="CR47" s="94" t="str">
        <f>IF(BR47=".",".",s_RadSpec!$F$6*(CR6*$B47))</f>
        <v>.</v>
      </c>
      <c r="CS47" s="94" t="str">
        <f>IF(BS47=".",".",s_RadSpec!$F$6*(CS6*$B47))</f>
        <v>.</v>
      </c>
      <c r="CT47" s="94" t="str">
        <f>IF(BT47=".",".",s_RadSpec!$F$6*(CT6*$B47))</f>
        <v>.</v>
      </c>
      <c r="CU47" s="94" t="str">
        <f>IF(BU47=".",".",s_RadSpec!$F$6*(CU6*$B47))</f>
        <v>.</v>
      </c>
      <c r="CV47" s="94" t="str">
        <f>IF(BV47=".",".",s_RadSpec!$F$6*(CV6*$B47))</f>
        <v>.</v>
      </c>
      <c r="CW47" s="94" t="str">
        <f>IF(BW47=".",".",s_RadSpec!$F$6*(CW6*$B47))</f>
        <v>.</v>
      </c>
      <c r="CX47" s="94" t="str">
        <f>IF(BX47=".",".",s_RadSpec!$F$6*(CX6*$B47))</f>
        <v>.</v>
      </c>
      <c r="CY47" s="94" t="str">
        <f>IF(BY47=".",".",s_RadSpec!$F$6*(CY6*$B47))</f>
        <v>.</v>
      </c>
      <c r="CZ47" s="94" t="str">
        <f>IF(BZ47=".",".",s_RadSpec!$F$6*(CZ6*$B47))</f>
        <v>.</v>
      </c>
      <c r="DA47" s="94" t="str">
        <f>IF(CA47=".",".",s_RadSpec!$F$6*(DA6*$B47))</f>
        <v>.</v>
      </c>
      <c r="DB47" s="94" t="str">
        <f>IF(CB47=".",".",s_RadSpec!$F$6*(DB6*$B47))</f>
        <v>.</v>
      </c>
    </row>
    <row r="48" spans="1:106" s="42" customFormat="1" x14ac:dyDescent="0.25">
      <c r="A48" s="76" t="s">
        <v>21</v>
      </c>
      <c r="B48" s="76" t="s">
        <v>1057</v>
      </c>
      <c r="C48" s="58">
        <f t="shared" ref="C48:AB48" si="44">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5.3439860995934136</v>
      </c>
      <c r="D48" s="58">
        <f t="shared" si="44"/>
        <v>21.920195219685112</v>
      </c>
      <c r="E48" s="58">
        <f t="shared" si="44"/>
        <v>13.799814227641075</v>
      </c>
      <c r="F48" s="58">
        <f t="shared" si="44"/>
        <v>18.188872958099093</v>
      </c>
      <c r="G48" s="58">
        <f t="shared" si="44"/>
        <v>21.920195219685112</v>
      </c>
      <c r="H48" s="58">
        <f t="shared" si="44"/>
        <v>21.070513369739128</v>
      </c>
      <c r="I48" s="58">
        <f t="shared" si="44"/>
        <v>13.799814227641075</v>
      </c>
      <c r="J48" s="58">
        <f t="shared" si="44"/>
        <v>18.188872958099093</v>
      </c>
      <c r="K48" s="58">
        <f t="shared" si="44"/>
        <v>21.920195219685112</v>
      </c>
      <c r="L48" s="58">
        <f t="shared" si="44"/>
        <v>23.324528448304374</v>
      </c>
      <c r="M48" s="58">
        <f t="shared" si="44"/>
        <v>21.070513369739128</v>
      </c>
      <c r="N48" s="58">
        <f t="shared" si="44"/>
        <v>13.799814227641075</v>
      </c>
      <c r="O48" s="58">
        <f t="shared" si="44"/>
        <v>22.230184111571354</v>
      </c>
      <c r="P48" s="58">
        <f t="shared" si="44"/>
        <v>21.070513369739128</v>
      </c>
      <c r="Q48" s="58">
        <f t="shared" si="44"/>
        <v>18.188872958099093</v>
      </c>
      <c r="R48" s="58">
        <f t="shared" si="44"/>
        <v>21.920195219685112</v>
      </c>
      <c r="S48" s="58">
        <f t="shared" si="44"/>
        <v>21.920195219685112</v>
      </c>
      <c r="T48" s="58">
        <f t="shared" si="44"/>
        <v>22.230184111571354</v>
      </c>
      <c r="U48" s="58">
        <f t="shared" si="44"/>
        <v>21.070513369739128</v>
      </c>
      <c r="V48" s="58">
        <f t="shared" si="44"/>
        <v>22.338775554741016</v>
      </c>
      <c r="W48" s="58">
        <f t="shared" si="44"/>
        <v>21.070513369739128</v>
      </c>
      <c r="X48" s="58">
        <f t="shared" si="44"/>
        <v>22.230184111571354</v>
      </c>
      <c r="Y48" s="58">
        <f t="shared" si="44"/>
        <v>21.920195219685112</v>
      </c>
      <c r="Z48" s="58">
        <f t="shared" si="44"/>
        <v>21.070513369739128</v>
      </c>
      <c r="AA48" s="58">
        <f t="shared" si="44"/>
        <v>21.062027117725194</v>
      </c>
      <c r="AB48" s="58">
        <f t="shared" si="44"/>
        <v>21.474109875709122</v>
      </c>
      <c r="AC48" s="91">
        <f>IFERROR(SUM(AD49:AD62,AU49:AU62,BA49:BA62,BB49:BB62),".")</f>
        <v>4.6781558810383279</v>
      </c>
      <c r="AD48" s="91">
        <f>IFERROR(SUM(AD49:AD62),".")</f>
        <v>1.1405007915964689</v>
      </c>
      <c r="AE48" s="91">
        <f t="shared" ref="AE48:BB48" si="45">IFERROR(SUM(AE49:AE62),".")</f>
        <v>1.8116185904825381</v>
      </c>
      <c r="AF48" s="91">
        <f t="shared" si="45"/>
        <v>1.3744666894750102</v>
      </c>
      <c r="AG48" s="91">
        <f t="shared" si="45"/>
        <v>1.1405007915964689</v>
      </c>
      <c r="AH48" s="91">
        <f t="shared" si="45"/>
        <v>1.1864922112388725</v>
      </c>
      <c r="AI48" s="91">
        <f t="shared" si="45"/>
        <v>1.8116185904825381</v>
      </c>
      <c r="AJ48" s="91">
        <f t="shared" si="45"/>
        <v>1.3744666894750102</v>
      </c>
      <c r="AK48" s="91">
        <f t="shared" si="45"/>
        <v>1.1405007915964689</v>
      </c>
      <c r="AL48" s="91">
        <f t="shared" si="45"/>
        <v>1.0718330299971162</v>
      </c>
      <c r="AM48" s="91">
        <f t="shared" si="45"/>
        <v>1.1864922112388725</v>
      </c>
      <c r="AN48" s="91">
        <f t="shared" si="45"/>
        <v>1.8116185904825381</v>
      </c>
      <c r="AO48" s="91">
        <f t="shared" si="45"/>
        <v>1.1245970737141529</v>
      </c>
      <c r="AP48" s="91">
        <f t="shared" si="45"/>
        <v>1.1864922112388725</v>
      </c>
      <c r="AQ48" s="91">
        <f t="shared" si="45"/>
        <v>1.3744666894750102</v>
      </c>
      <c r="AR48" s="91">
        <f t="shared" si="45"/>
        <v>1.1405007915964689</v>
      </c>
      <c r="AS48" s="91">
        <f t="shared" si="45"/>
        <v>1.1405007915964689</v>
      </c>
      <c r="AT48" s="91">
        <f t="shared" si="45"/>
        <v>1.1245970737141529</v>
      </c>
      <c r="AU48" s="91">
        <f t="shared" si="45"/>
        <v>1.1864922112388725</v>
      </c>
      <c r="AV48" s="91">
        <f t="shared" si="45"/>
        <v>1.1191302736686564</v>
      </c>
      <c r="AW48" s="91">
        <f t="shared" si="45"/>
        <v>1.1864922112388725</v>
      </c>
      <c r="AX48" s="91">
        <f t="shared" si="45"/>
        <v>1.1245970737141529</v>
      </c>
      <c r="AY48" s="91">
        <f t="shared" si="45"/>
        <v>1.1405007915964689</v>
      </c>
      <c r="AZ48" s="91">
        <f t="shared" si="45"/>
        <v>1.1864922112388725</v>
      </c>
      <c r="BA48" s="91">
        <f t="shared" si="45"/>
        <v>1.1869702693033151</v>
      </c>
      <c r="BB48" s="91">
        <f t="shared" si="45"/>
        <v>1.1641926088996715</v>
      </c>
      <c r="BC48" s="58">
        <f t="shared" ref="BC48:CB48" si="46">IFERROR(1/SUM(IFERROR(1/SUMIF(BC49,"&lt;&gt;.",BC49),0),IFERROR(1/SUMIF(BC50,"&lt;&gt;.",BC50),0),IFERROR(1/SUMIF(BC51,"&lt;&gt;.",BC51),0),IFERROR(1/SUMIF(BC52,"&lt;&gt;.",BC52),0),IFERROR(1/SUMIF(BC53,"&lt;&gt;.",BC53),0),IFERROR(1/SUMIF(BC54,"&lt;&gt;.",BC54),0),IFERROR(1/SUMIF(BC55,"&lt;&gt;.",BC55),0),IFERROR(1/SUMIF(BC56,"&lt;&gt;.",BC56),0),IFERROR(1/SUMIF(BC57,"&lt;&gt;.",BC57),0),IFERROR(1/SUMIF(BC58,"&lt;&gt;.",BC58),0),IFERROR(1/SUMIF(BC59,"&lt;&gt;.",BC59),0),IFERROR(1/SUMIF(BC60,"&lt;&gt;.",BC60),0),IFERROR(1/SUMIF(BC61,"&lt;&gt;.",BC61),0),IFERROR(1/SUMIF(BC62,"&lt;&gt;.",BC62),0)),".")</f>
        <v>5.3439860995934136</v>
      </c>
      <c r="BD48" s="58">
        <f t="shared" si="46"/>
        <v>21.920195219685112</v>
      </c>
      <c r="BE48" s="58">
        <f t="shared" si="46"/>
        <v>13.799814227641075</v>
      </c>
      <c r="BF48" s="58">
        <f t="shared" si="46"/>
        <v>18.188872958099093</v>
      </c>
      <c r="BG48" s="58">
        <f t="shared" si="46"/>
        <v>21.920195219685112</v>
      </c>
      <c r="BH48" s="58">
        <f t="shared" si="46"/>
        <v>21.070513369739128</v>
      </c>
      <c r="BI48" s="58">
        <f t="shared" si="46"/>
        <v>13.799814227641075</v>
      </c>
      <c r="BJ48" s="58">
        <f t="shared" si="46"/>
        <v>18.188872958099093</v>
      </c>
      <c r="BK48" s="58">
        <f t="shared" si="46"/>
        <v>21.920195219685112</v>
      </c>
      <c r="BL48" s="58">
        <f t="shared" si="46"/>
        <v>23.324528448304374</v>
      </c>
      <c r="BM48" s="58">
        <f t="shared" si="46"/>
        <v>21.070513369739128</v>
      </c>
      <c r="BN48" s="58">
        <f t="shared" si="46"/>
        <v>13.799814227641075</v>
      </c>
      <c r="BO48" s="58">
        <f t="shared" si="46"/>
        <v>22.230184111571354</v>
      </c>
      <c r="BP48" s="58">
        <f t="shared" si="46"/>
        <v>21.070513369739128</v>
      </c>
      <c r="BQ48" s="58">
        <f t="shared" si="46"/>
        <v>18.188872958099093</v>
      </c>
      <c r="BR48" s="58">
        <f t="shared" si="46"/>
        <v>21.920195219685112</v>
      </c>
      <c r="BS48" s="58">
        <f t="shared" si="46"/>
        <v>21.920195219685112</v>
      </c>
      <c r="BT48" s="58">
        <f t="shared" si="46"/>
        <v>22.230184111571354</v>
      </c>
      <c r="BU48" s="58">
        <f t="shared" si="46"/>
        <v>21.070513369739128</v>
      </c>
      <c r="BV48" s="58">
        <f t="shared" si="46"/>
        <v>22.338775554741016</v>
      </c>
      <c r="BW48" s="58">
        <f t="shared" si="46"/>
        <v>21.070513369739128</v>
      </c>
      <c r="BX48" s="58">
        <f t="shared" si="46"/>
        <v>22.230184111571354</v>
      </c>
      <c r="BY48" s="58">
        <f t="shared" si="46"/>
        <v>21.920195219685112</v>
      </c>
      <c r="BZ48" s="58">
        <f t="shared" si="46"/>
        <v>21.070513369739128</v>
      </c>
      <c r="CA48" s="58">
        <f t="shared" si="46"/>
        <v>21.062027117725194</v>
      </c>
      <c r="CB48" s="58">
        <f t="shared" si="46"/>
        <v>21.474109875709122</v>
      </c>
      <c r="CC48" s="91">
        <f>IFERROR(SUM(CD49:CD62,CU49:CU62,DA49:DA62,DB49:DB62),".")</f>
        <v>4.6781558810383279</v>
      </c>
      <c r="CD48" s="91">
        <f>IFERROR(SUM(CD49:CD62),".")</f>
        <v>1.1405007915964689</v>
      </c>
      <c r="CE48" s="91">
        <f t="shared" ref="CE48:DB48" si="47">IFERROR(SUM(CE49:CE62),".")</f>
        <v>1.8116185904825381</v>
      </c>
      <c r="CF48" s="91">
        <f t="shared" si="47"/>
        <v>1.3744666894750102</v>
      </c>
      <c r="CG48" s="91">
        <f t="shared" si="47"/>
        <v>1.1405007915964689</v>
      </c>
      <c r="CH48" s="91">
        <f t="shared" si="47"/>
        <v>1.1864922112388725</v>
      </c>
      <c r="CI48" s="91">
        <f t="shared" si="47"/>
        <v>1.8116185904825381</v>
      </c>
      <c r="CJ48" s="91">
        <f t="shared" si="47"/>
        <v>1.3744666894750102</v>
      </c>
      <c r="CK48" s="91">
        <f t="shared" si="47"/>
        <v>1.1405007915964689</v>
      </c>
      <c r="CL48" s="91">
        <f t="shared" si="47"/>
        <v>1.0718330299971162</v>
      </c>
      <c r="CM48" s="91">
        <f t="shared" si="47"/>
        <v>1.1864922112388725</v>
      </c>
      <c r="CN48" s="91">
        <f t="shared" si="47"/>
        <v>1.8116185904825381</v>
      </c>
      <c r="CO48" s="91">
        <f t="shared" si="47"/>
        <v>1.1245970737141529</v>
      </c>
      <c r="CP48" s="91">
        <f t="shared" si="47"/>
        <v>1.1864922112388725</v>
      </c>
      <c r="CQ48" s="91">
        <f t="shared" si="47"/>
        <v>1.3744666894750102</v>
      </c>
      <c r="CR48" s="91">
        <f t="shared" si="47"/>
        <v>1.1405007915964689</v>
      </c>
      <c r="CS48" s="91">
        <f t="shared" si="47"/>
        <v>1.1405007915964689</v>
      </c>
      <c r="CT48" s="91">
        <f t="shared" si="47"/>
        <v>1.1245970737141529</v>
      </c>
      <c r="CU48" s="91">
        <f t="shared" si="47"/>
        <v>1.1864922112388725</v>
      </c>
      <c r="CV48" s="91">
        <f t="shared" si="47"/>
        <v>1.1191302736686564</v>
      </c>
      <c r="CW48" s="91">
        <f t="shared" si="47"/>
        <v>1.1864922112388725</v>
      </c>
      <c r="CX48" s="91">
        <f t="shared" si="47"/>
        <v>1.1245970737141529</v>
      </c>
      <c r="CY48" s="91">
        <f t="shared" si="47"/>
        <v>1.1405007915964689</v>
      </c>
      <c r="CZ48" s="91">
        <f t="shared" si="47"/>
        <v>1.1864922112388725</v>
      </c>
      <c r="DA48" s="91">
        <f t="shared" si="47"/>
        <v>1.1869702693033151</v>
      </c>
      <c r="DB48" s="91">
        <f t="shared" si="47"/>
        <v>1.1641926088996715</v>
      </c>
    </row>
    <row r="49" spans="1:106" s="42" customFormat="1" x14ac:dyDescent="0.25">
      <c r="A49" s="77" t="s">
        <v>1086</v>
      </c>
      <c r="B49" s="42">
        <v>1</v>
      </c>
      <c r="C49" s="60">
        <f t="shared" ref="C49:AB49" si="48">IFERROR(C23/$B49,".")</f>
        <v>35.407611257587568</v>
      </c>
      <c r="D49" s="60">
        <f t="shared" si="48"/>
        <v>144.13434998469575</v>
      </c>
      <c r="E49" s="60">
        <f t="shared" si="48"/>
        <v>66.232446787337778</v>
      </c>
      <c r="F49" s="60">
        <f t="shared" si="48"/>
        <v>77.025646180493197</v>
      </c>
      <c r="G49" s="60">
        <f t="shared" si="48"/>
        <v>144.13434998469575</v>
      </c>
      <c r="H49" s="60">
        <f t="shared" si="48"/>
        <v>130.83544993335289</v>
      </c>
      <c r="I49" s="60">
        <f t="shared" si="48"/>
        <v>66.232446787337778</v>
      </c>
      <c r="J49" s="60">
        <f t="shared" si="48"/>
        <v>77.025646180493197</v>
      </c>
      <c r="K49" s="60">
        <f t="shared" si="48"/>
        <v>144.13434998469575</v>
      </c>
      <c r="L49" s="60">
        <f t="shared" si="48"/>
        <v>162.01397099248268</v>
      </c>
      <c r="M49" s="60">
        <f t="shared" si="48"/>
        <v>130.83544993335289</v>
      </c>
      <c r="N49" s="60">
        <f t="shared" si="48"/>
        <v>66.232446787337778</v>
      </c>
      <c r="O49" s="60">
        <f t="shared" si="48"/>
        <v>136.22210323658629</v>
      </c>
      <c r="P49" s="60">
        <f t="shared" si="48"/>
        <v>130.83544993335289</v>
      </c>
      <c r="Q49" s="60">
        <f t="shared" si="48"/>
        <v>77.025646180493197</v>
      </c>
      <c r="R49" s="60">
        <f t="shared" si="48"/>
        <v>144.13434998469575</v>
      </c>
      <c r="S49" s="60">
        <f t="shared" si="48"/>
        <v>144.13434998469575</v>
      </c>
      <c r="T49" s="60">
        <f t="shared" si="48"/>
        <v>136.22210323658629</v>
      </c>
      <c r="U49" s="60">
        <f t="shared" si="48"/>
        <v>130.83544993335289</v>
      </c>
      <c r="V49" s="60">
        <f t="shared" si="48"/>
        <v>142.07135218981679</v>
      </c>
      <c r="W49" s="60">
        <f t="shared" si="48"/>
        <v>130.83544993335289</v>
      </c>
      <c r="X49" s="60">
        <f t="shared" si="48"/>
        <v>136.22210323658629</v>
      </c>
      <c r="Y49" s="60">
        <f t="shared" si="48"/>
        <v>144.13434998469575</v>
      </c>
      <c r="Z49" s="60">
        <f t="shared" si="48"/>
        <v>130.83544993335289</v>
      </c>
      <c r="AA49" s="60">
        <f t="shared" si="48"/>
        <v>166.16355370151189</v>
      </c>
      <c r="AB49" s="60">
        <f t="shared" si="48"/>
        <v>130.83544993335289</v>
      </c>
      <c r="AC49" s="94">
        <f t="shared" ref="AC49:AC62" si="49">IF(AND(AD49&lt;&gt;".",AU49&lt;&gt;".",BA49&lt;&gt;".",BB49&lt;&gt;"."),SUM(AD49,AU49,BA49:BB49),".")</f>
        <v>0.70606288060855016</v>
      </c>
      <c r="AD49" s="94">
        <f>IF(D49=".",".",s_RadSpec!$F$23*(AD23*$B49))</f>
        <v>0.17344928535532655</v>
      </c>
      <c r="AE49" s="94">
        <f>IF(E49=".",".",s_RadSpec!$F$23*(AE23*$B49))</f>
        <v>0.37745849976328316</v>
      </c>
      <c r="AF49" s="94">
        <f>IF(F49=".",".",s_RadSpec!$F$23*(AF23*$B49))</f>
        <v>0.32456722195381293</v>
      </c>
      <c r="AG49" s="94">
        <f>IF(G49=".",".",s_RadSpec!$F$23*(AG23*$B49))</f>
        <v>0.17344928535532655</v>
      </c>
      <c r="AH49" s="94">
        <f>IF(H49=".",".",s_RadSpec!$F$23*(AH23*$B49))</f>
        <v>0.19107971129181664</v>
      </c>
      <c r="AI49" s="94">
        <f>IF(I49=".",".",s_RadSpec!$F$23*(AI23*$B49))</f>
        <v>0.37745849976328316</v>
      </c>
      <c r="AJ49" s="94">
        <f>IF(J49=".",".",s_RadSpec!$F$23*(AJ23*$B49))</f>
        <v>0.32456722195381293</v>
      </c>
      <c r="AK49" s="94">
        <f>IF(K49=".",".",s_RadSpec!$F$23*(AK23*$B49))</f>
        <v>0.17344928535532655</v>
      </c>
      <c r="AL49" s="94">
        <f>IF(L49=".",".",s_RadSpec!$F$23*(AL23*$B49))</f>
        <v>0.15430768005285161</v>
      </c>
      <c r="AM49" s="94">
        <f>IF(M49=".",".",s_RadSpec!$F$23*(AM23*$B49))</f>
        <v>0.19107971129181664</v>
      </c>
      <c r="AN49" s="94">
        <f>IF(N49=".",".",s_RadSpec!$F$23*(AN23*$B49))</f>
        <v>0.37745849976328316</v>
      </c>
      <c r="AO49" s="94">
        <f>IF(O49=".",".",s_RadSpec!$F$23*(AO23*$B49))</f>
        <v>0.18352381446189234</v>
      </c>
      <c r="AP49" s="94">
        <f>IF(P49=".",".",s_RadSpec!$F$23*(AP23*$B49))</f>
        <v>0.19107971129181664</v>
      </c>
      <c r="AQ49" s="94">
        <f>IF(Q49=".",".",s_RadSpec!$F$23*(AQ23*$B49))</f>
        <v>0.32456722195381293</v>
      </c>
      <c r="AR49" s="94">
        <f>IF(R49=".",".",s_RadSpec!$F$23*(AR23*$B49))</f>
        <v>0.17344928535532655</v>
      </c>
      <c r="AS49" s="94">
        <f>IF(S49=".",".",s_RadSpec!$F$23*(AS23*$B49))</f>
        <v>0.17344928535532655</v>
      </c>
      <c r="AT49" s="94">
        <f>IF(T49=".",".",s_RadSpec!$F$23*(AT23*$B49))</f>
        <v>0.18352381446189234</v>
      </c>
      <c r="AU49" s="94">
        <f>IF(U49=".",".",s_RadSpec!$F$23*(AU23*$B49))</f>
        <v>0.19107971129181664</v>
      </c>
      <c r="AV49" s="94">
        <f>IF(V49=".",".",s_RadSpec!$F$23*(AV23*$B49))</f>
        <v>0.17596791763196801</v>
      </c>
      <c r="AW49" s="94">
        <f>IF(W49=".",".",s_RadSpec!$F$23*(AW23*$B49))</f>
        <v>0.19107971129181664</v>
      </c>
      <c r="AX49" s="94">
        <f>IF(X49=".",".",s_RadSpec!$F$23*(AX23*$B49))</f>
        <v>0.18352381446189234</v>
      </c>
      <c r="AY49" s="94">
        <f>IF(Y49=".",".",s_RadSpec!$F$23*(AY23*$B49))</f>
        <v>0.17344928535532655</v>
      </c>
      <c r="AZ49" s="94">
        <f>IF(Z49=".",".",s_RadSpec!$F$23*(AZ23*$B49))</f>
        <v>0.19107971129181664</v>
      </c>
      <c r="BA49" s="94">
        <f>IF(AA49=".",".",s_RadSpec!$F$23*(BA23*$B49))</f>
        <v>0.15045417266959021</v>
      </c>
      <c r="BB49" s="94">
        <f>IF(AB49=".",".",s_RadSpec!$F$23*(BB23*$B49))</f>
        <v>0.19107971129181664</v>
      </c>
      <c r="BC49" s="60">
        <f t="shared" ref="BC49:CB49" si="50">IFERROR(BC23/$B49,".")</f>
        <v>35.407611257587568</v>
      </c>
      <c r="BD49" s="60">
        <f t="shared" si="50"/>
        <v>144.13434998469575</v>
      </c>
      <c r="BE49" s="60">
        <f t="shared" si="50"/>
        <v>66.232446787337778</v>
      </c>
      <c r="BF49" s="60">
        <f t="shared" si="50"/>
        <v>77.025646180493197</v>
      </c>
      <c r="BG49" s="60">
        <f t="shared" si="50"/>
        <v>144.13434998469575</v>
      </c>
      <c r="BH49" s="60">
        <f t="shared" si="50"/>
        <v>130.83544993335289</v>
      </c>
      <c r="BI49" s="60">
        <f t="shared" si="50"/>
        <v>66.232446787337778</v>
      </c>
      <c r="BJ49" s="60">
        <f t="shared" si="50"/>
        <v>77.025646180493197</v>
      </c>
      <c r="BK49" s="60">
        <f t="shared" si="50"/>
        <v>144.13434998469575</v>
      </c>
      <c r="BL49" s="60">
        <f t="shared" si="50"/>
        <v>162.01397099248268</v>
      </c>
      <c r="BM49" s="60">
        <f t="shared" si="50"/>
        <v>130.83544993335289</v>
      </c>
      <c r="BN49" s="60">
        <f t="shared" si="50"/>
        <v>66.232446787337778</v>
      </c>
      <c r="BO49" s="60">
        <f t="shared" si="50"/>
        <v>136.22210323658629</v>
      </c>
      <c r="BP49" s="60">
        <f t="shared" si="50"/>
        <v>130.83544993335289</v>
      </c>
      <c r="BQ49" s="60">
        <f t="shared" si="50"/>
        <v>77.025646180493197</v>
      </c>
      <c r="BR49" s="60">
        <f t="shared" si="50"/>
        <v>144.13434998469575</v>
      </c>
      <c r="BS49" s="60">
        <f t="shared" si="50"/>
        <v>144.13434998469575</v>
      </c>
      <c r="BT49" s="60">
        <f t="shared" si="50"/>
        <v>136.22210323658629</v>
      </c>
      <c r="BU49" s="60">
        <f t="shared" si="50"/>
        <v>130.83544993335289</v>
      </c>
      <c r="BV49" s="60">
        <f t="shared" si="50"/>
        <v>142.07135218981679</v>
      </c>
      <c r="BW49" s="60">
        <f t="shared" si="50"/>
        <v>130.83544993335289</v>
      </c>
      <c r="BX49" s="60">
        <f t="shared" si="50"/>
        <v>136.22210323658629</v>
      </c>
      <c r="BY49" s="60">
        <f t="shared" si="50"/>
        <v>144.13434998469575</v>
      </c>
      <c r="BZ49" s="60">
        <f t="shared" si="50"/>
        <v>130.83544993335289</v>
      </c>
      <c r="CA49" s="60">
        <f t="shared" si="50"/>
        <v>166.16355370151189</v>
      </c>
      <c r="CB49" s="60">
        <f t="shared" si="50"/>
        <v>130.83544993335289</v>
      </c>
      <c r="CC49" s="94">
        <f t="shared" ref="CC49:CC62" si="51">IF(AND(CD49&lt;&gt;".",CU49&lt;&gt;".",DA49&lt;&gt;".",DB49&lt;&gt;"."),SUM(CD49,CU49,DA49:DB49),".")</f>
        <v>0.70606288060855016</v>
      </c>
      <c r="CD49" s="94">
        <f>IF(BD49=".",".",s_RadSpec!$F$23*(CD23*$B49))</f>
        <v>0.17344928535532655</v>
      </c>
      <c r="CE49" s="94">
        <f>IF(BE49=".",".",s_RadSpec!$F$23*(CE23*$B49))</f>
        <v>0.37745849976328316</v>
      </c>
      <c r="CF49" s="94">
        <f>IF(BF49=".",".",s_RadSpec!$F$23*(CF23*$B49))</f>
        <v>0.32456722195381293</v>
      </c>
      <c r="CG49" s="94">
        <f>IF(BG49=".",".",s_RadSpec!$F$23*(CG23*$B49))</f>
        <v>0.17344928535532655</v>
      </c>
      <c r="CH49" s="94">
        <f>IF(BH49=".",".",s_RadSpec!$F$23*(CH23*$B49))</f>
        <v>0.19107971129181664</v>
      </c>
      <c r="CI49" s="94">
        <f>IF(BI49=".",".",s_RadSpec!$F$23*(CI23*$B49))</f>
        <v>0.37745849976328316</v>
      </c>
      <c r="CJ49" s="94">
        <f>IF(BJ49=".",".",s_RadSpec!$F$23*(CJ23*$B49))</f>
        <v>0.32456722195381293</v>
      </c>
      <c r="CK49" s="94">
        <f>IF(BK49=".",".",s_RadSpec!$F$23*(CK23*$B49))</f>
        <v>0.17344928535532655</v>
      </c>
      <c r="CL49" s="94">
        <f>IF(BL49=".",".",s_RadSpec!$F$23*(CL23*$B49))</f>
        <v>0.15430768005285161</v>
      </c>
      <c r="CM49" s="94">
        <f>IF(BM49=".",".",s_RadSpec!$F$23*(CM23*$B49))</f>
        <v>0.19107971129181664</v>
      </c>
      <c r="CN49" s="94">
        <f>IF(BN49=".",".",s_RadSpec!$F$23*(CN23*$B49))</f>
        <v>0.37745849976328316</v>
      </c>
      <c r="CO49" s="94">
        <f>IF(BO49=".",".",s_RadSpec!$F$23*(CO23*$B49))</f>
        <v>0.18352381446189234</v>
      </c>
      <c r="CP49" s="94">
        <f>IF(BP49=".",".",s_RadSpec!$F$23*(CP23*$B49))</f>
        <v>0.19107971129181664</v>
      </c>
      <c r="CQ49" s="94">
        <f>IF(BQ49=".",".",s_RadSpec!$F$23*(CQ23*$B49))</f>
        <v>0.32456722195381293</v>
      </c>
      <c r="CR49" s="94">
        <f>IF(BR49=".",".",s_RadSpec!$F$23*(CR23*$B49))</f>
        <v>0.17344928535532655</v>
      </c>
      <c r="CS49" s="94">
        <f>IF(BS49=".",".",s_RadSpec!$F$23*(CS23*$B49))</f>
        <v>0.17344928535532655</v>
      </c>
      <c r="CT49" s="94">
        <f>IF(BT49=".",".",s_RadSpec!$F$23*(CT23*$B49))</f>
        <v>0.18352381446189234</v>
      </c>
      <c r="CU49" s="94">
        <f>IF(BU49=".",".",s_RadSpec!$F$23*(CU23*$B49))</f>
        <v>0.19107971129181664</v>
      </c>
      <c r="CV49" s="94">
        <f>IF(BV49=".",".",s_RadSpec!$F$23*(CV23*$B49))</f>
        <v>0.17596791763196801</v>
      </c>
      <c r="CW49" s="94">
        <f>IF(BW49=".",".",s_RadSpec!$F$23*(CW23*$B49))</f>
        <v>0.19107971129181664</v>
      </c>
      <c r="CX49" s="94">
        <f>IF(BX49=".",".",s_RadSpec!$F$23*(CX23*$B49))</f>
        <v>0.18352381446189234</v>
      </c>
      <c r="CY49" s="94">
        <f>IF(BY49=".",".",s_RadSpec!$F$23*(CY23*$B49))</f>
        <v>0.17344928535532655</v>
      </c>
      <c r="CZ49" s="94">
        <f>IF(BZ49=".",".",s_RadSpec!$F$23*(CZ23*$B49))</f>
        <v>0.19107971129181664</v>
      </c>
      <c r="DA49" s="94">
        <f>IF(CA49=".",".",s_RadSpec!$F$23*(DA23*$B49))</f>
        <v>0.15045417266959021</v>
      </c>
      <c r="DB49" s="94">
        <f>IF(CB49=".",".",s_RadSpec!$F$23*(DB23*$B49))</f>
        <v>0.19107971129181664</v>
      </c>
    </row>
    <row r="50" spans="1:106" s="42" customFormat="1" x14ac:dyDescent="0.25">
      <c r="A50" s="77" t="s">
        <v>1073</v>
      </c>
      <c r="B50" s="42">
        <v>1</v>
      </c>
      <c r="C50" s="60" t="str">
        <f t="shared" ref="C50:AB50" si="52">IFERROR(C25/$B50,".")</f>
        <v>.</v>
      </c>
      <c r="D50" s="60" t="str">
        <f t="shared" si="52"/>
        <v>.</v>
      </c>
      <c r="E50" s="60" t="str">
        <f t="shared" si="52"/>
        <v>.</v>
      </c>
      <c r="F50" s="60" t="str">
        <f t="shared" si="52"/>
        <v>.</v>
      </c>
      <c r="G50" s="60" t="str">
        <f t="shared" si="52"/>
        <v>.</v>
      </c>
      <c r="H50" s="60" t="str">
        <f t="shared" si="52"/>
        <v>.</v>
      </c>
      <c r="I50" s="60" t="str">
        <f t="shared" si="52"/>
        <v>.</v>
      </c>
      <c r="J50" s="60" t="str">
        <f t="shared" si="52"/>
        <v>.</v>
      </c>
      <c r="K50" s="60" t="str">
        <f t="shared" si="52"/>
        <v>.</v>
      </c>
      <c r="L50" s="60" t="str">
        <f t="shared" si="52"/>
        <v>.</v>
      </c>
      <c r="M50" s="60" t="str">
        <f t="shared" si="52"/>
        <v>.</v>
      </c>
      <c r="N50" s="60" t="str">
        <f t="shared" si="52"/>
        <v>.</v>
      </c>
      <c r="O50" s="60" t="str">
        <f t="shared" si="52"/>
        <v>.</v>
      </c>
      <c r="P50" s="60" t="str">
        <f t="shared" si="52"/>
        <v>.</v>
      </c>
      <c r="Q50" s="60" t="str">
        <f t="shared" si="52"/>
        <v>.</v>
      </c>
      <c r="R50" s="60" t="str">
        <f t="shared" si="52"/>
        <v>.</v>
      </c>
      <c r="S50" s="60" t="str">
        <f t="shared" si="52"/>
        <v>.</v>
      </c>
      <c r="T50" s="60" t="str">
        <f t="shared" si="52"/>
        <v>.</v>
      </c>
      <c r="U50" s="60" t="str">
        <f t="shared" si="52"/>
        <v>.</v>
      </c>
      <c r="V50" s="60" t="str">
        <f t="shared" si="52"/>
        <v>.</v>
      </c>
      <c r="W50" s="60" t="str">
        <f t="shared" si="52"/>
        <v>.</v>
      </c>
      <c r="X50" s="60" t="str">
        <f t="shared" si="52"/>
        <v>.</v>
      </c>
      <c r="Y50" s="60" t="str">
        <f t="shared" si="52"/>
        <v>.</v>
      </c>
      <c r="Z50" s="60" t="str">
        <f t="shared" si="52"/>
        <v>.</v>
      </c>
      <c r="AA50" s="60" t="str">
        <f t="shared" si="52"/>
        <v>.</v>
      </c>
      <c r="AB50" s="60" t="str">
        <f t="shared" si="52"/>
        <v>.</v>
      </c>
      <c r="AC50" s="94" t="str">
        <f t="shared" si="49"/>
        <v>.</v>
      </c>
      <c r="AD50" s="94" t="str">
        <f>IF(D50=".",".",s_RadSpec!$F$25*(AD25*$B50))</f>
        <v>.</v>
      </c>
      <c r="AE50" s="94" t="str">
        <f>IF(E50=".",".",s_RadSpec!$F$25*(AE25*$B50))</f>
        <v>.</v>
      </c>
      <c r="AF50" s="94" t="str">
        <f>IF(F50=".",".",s_RadSpec!$F$25*(AF25*$B50))</f>
        <v>.</v>
      </c>
      <c r="AG50" s="94" t="str">
        <f>IF(G50=".",".",s_RadSpec!$F$25*(AG25*$B50))</f>
        <v>.</v>
      </c>
      <c r="AH50" s="94" t="str">
        <f>IF(H50=".",".",s_RadSpec!$F$25*(AH25*$B50))</f>
        <v>.</v>
      </c>
      <c r="AI50" s="94" t="str">
        <f>IF(I50=".",".",s_RadSpec!$F$25*(AI25*$B50))</f>
        <v>.</v>
      </c>
      <c r="AJ50" s="94" t="str">
        <f>IF(J50=".",".",s_RadSpec!$F$25*(AJ25*$B50))</f>
        <v>.</v>
      </c>
      <c r="AK50" s="94" t="str">
        <f>IF(K50=".",".",s_RadSpec!$F$25*(AK25*$B50))</f>
        <v>.</v>
      </c>
      <c r="AL50" s="94" t="str">
        <f>IF(L50=".",".",s_RadSpec!$F$25*(AL25*$B50))</f>
        <v>.</v>
      </c>
      <c r="AM50" s="94" t="str">
        <f>IF(M50=".",".",s_RadSpec!$F$25*(AM25*$B50))</f>
        <v>.</v>
      </c>
      <c r="AN50" s="94" t="str">
        <f>IF(N50=".",".",s_RadSpec!$F$25*(AN25*$B50))</f>
        <v>.</v>
      </c>
      <c r="AO50" s="94" t="str">
        <f>IF(O50=".",".",s_RadSpec!$F$25*(AO25*$B50))</f>
        <v>.</v>
      </c>
      <c r="AP50" s="94" t="str">
        <f>IF(P50=".",".",s_RadSpec!$F$25*(AP25*$B50))</f>
        <v>.</v>
      </c>
      <c r="AQ50" s="94" t="str">
        <f>IF(Q50=".",".",s_RadSpec!$F$25*(AQ25*$B50))</f>
        <v>.</v>
      </c>
      <c r="AR50" s="94" t="str">
        <f>IF(R50=".",".",s_RadSpec!$F$25*(AR25*$B50))</f>
        <v>.</v>
      </c>
      <c r="AS50" s="94" t="str">
        <f>IF(S50=".",".",s_RadSpec!$F$25*(AS25*$B50))</f>
        <v>.</v>
      </c>
      <c r="AT50" s="94" t="str">
        <f>IF(T50=".",".",s_RadSpec!$F$25*(AT25*$B50))</f>
        <v>.</v>
      </c>
      <c r="AU50" s="94" t="str">
        <f>IF(U50=".",".",s_RadSpec!$F$25*(AU25*$B50))</f>
        <v>.</v>
      </c>
      <c r="AV50" s="94" t="str">
        <f>IF(V50=".",".",s_RadSpec!$F$25*(AV25*$B50))</f>
        <v>.</v>
      </c>
      <c r="AW50" s="94" t="str">
        <f>IF(W50=".",".",s_RadSpec!$F$25*(AW25*$B50))</f>
        <v>.</v>
      </c>
      <c r="AX50" s="94" t="str">
        <f>IF(X50=".",".",s_RadSpec!$F$25*(AX25*$B50))</f>
        <v>.</v>
      </c>
      <c r="AY50" s="94" t="str">
        <f>IF(Y50=".",".",s_RadSpec!$F$25*(AY25*$B50))</f>
        <v>.</v>
      </c>
      <c r="AZ50" s="94" t="str">
        <f>IF(Z50=".",".",s_RadSpec!$F$25*(AZ25*$B50))</f>
        <v>.</v>
      </c>
      <c r="BA50" s="94" t="str">
        <f>IF(AA50=".",".",s_RadSpec!$F$25*(BA25*$B50))</f>
        <v>.</v>
      </c>
      <c r="BB50" s="94" t="str">
        <f>IF(AB50=".",".",s_RadSpec!$F$25*(BB25*$B50))</f>
        <v>.</v>
      </c>
      <c r="BC50" s="60" t="str">
        <f t="shared" ref="BC50:CB50" si="53">IFERROR(BC25/$B50,".")</f>
        <v>.</v>
      </c>
      <c r="BD50" s="60" t="str">
        <f t="shared" si="53"/>
        <v>.</v>
      </c>
      <c r="BE50" s="60" t="str">
        <f t="shared" si="53"/>
        <v>.</v>
      </c>
      <c r="BF50" s="60" t="str">
        <f t="shared" si="53"/>
        <v>.</v>
      </c>
      <c r="BG50" s="60" t="str">
        <f t="shared" si="53"/>
        <v>.</v>
      </c>
      <c r="BH50" s="60" t="str">
        <f t="shared" si="53"/>
        <v>.</v>
      </c>
      <c r="BI50" s="60" t="str">
        <f t="shared" si="53"/>
        <v>.</v>
      </c>
      <c r="BJ50" s="60" t="str">
        <f t="shared" si="53"/>
        <v>.</v>
      </c>
      <c r="BK50" s="60" t="str">
        <f t="shared" si="53"/>
        <v>.</v>
      </c>
      <c r="BL50" s="60" t="str">
        <f t="shared" si="53"/>
        <v>.</v>
      </c>
      <c r="BM50" s="60" t="str">
        <f t="shared" si="53"/>
        <v>.</v>
      </c>
      <c r="BN50" s="60" t="str">
        <f t="shared" si="53"/>
        <v>.</v>
      </c>
      <c r="BO50" s="60" t="str">
        <f t="shared" si="53"/>
        <v>.</v>
      </c>
      <c r="BP50" s="60" t="str">
        <f t="shared" si="53"/>
        <v>.</v>
      </c>
      <c r="BQ50" s="60" t="str">
        <f t="shared" si="53"/>
        <v>.</v>
      </c>
      <c r="BR50" s="60" t="str">
        <f t="shared" si="53"/>
        <v>.</v>
      </c>
      <c r="BS50" s="60" t="str">
        <f t="shared" si="53"/>
        <v>.</v>
      </c>
      <c r="BT50" s="60" t="str">
        <f t="shared" si="53"/>
        <v>.</v>
      </c>
      <c r="BU50" s="60" t="str">
        <f t="shared" si="53"/>
        <v>.</v>
      </c>
      <c r="BV50" s="60" t="str">
        <f t="shared" si="53"/>
        <v>.</v>
      </c>
      <c r="BW50" s="60" t="str">
        <f t="shared" si="53"/>
        <v>.</v>
      </c>
      <c r="BX50" s="60" t="str">
        <f t="shared" si="53"/>
        <v>.</v>
      </c>
      <c r="BY50" s="60" t="str">
        <f t="shared" si="53"/>
        <v>.</v>
      </c>
      <c r="BZ50" s="60" t="str">
        <f t="shared" si="53"/>
        <v>.</v>
      </c>
      <c r="CA50" s="60" t="str">
        <f t="shared" si="53"/>
        <v>.</v>
      </c>
      <c r="CB50" s="60" t="str">
        <f t="shared" si="53"/>
        <v>.</v>
      </c>
      <c r="CC50" s="94" t="str">
        <f t="shared" si="51"/>
        <v>.</v>
      </c>
      <c r="CD50" s="94" t="str">
        <f>IF(BD50=".",".",s_RadSpec!$F$25*(CD25*$B50))</f>
        <v>.</v>
      </c>
      <c r="CE50" s="94" t="str">
        <f>IF(BE50=".",".",s_RadSpec!$F$25*(CE25*$B50))</f>
        <v>.</v>
      </c>
      <c r="CF50" s="94" t="str">
        <f>IF(BF50=".",".",s_RadSpec!$F$25*(CF25*$B50))</f>
        <v>.</v>
      </c>
      <c r="CG50" s="94" t="str">
        <f>IF(BG50=".",".",s_RadSpec!$F$25*(CG25*$B50))</f>
        <v>.</v>
      </c>
      <c r="CH50" s="94" t="str">
        <f>IF(BH50=".",".",s_RadSpec!$F$25*(CH25*$B50))</f>
        <v>.</v>
      </c>
      <c r="CI50" s="94" t="str">
        <f>IF(BI50=".",".",s_RadSpec!$F$25*(CI25*$B50))</f>
        <v>.</v>
      </c>
      <c r="CJ50" s="94" t="str">
        <f>IF(BJ50=".",".",s_RadSpec!$F$25*(CJ25*$B50))</f>
        <v>.</v>
      </c>
      <c r="CK50" s="94" t="str">
        <f>IF(BK50=".",".",s_RadSpec!$F$25*(CK25*$B50))</f>
        <v>.</v>
      </c>
      <c r="CL50" s="94" t="str">
        <f>IF(BL50=".",".",s_RadSpec!$F$25*(CL25*$B50))</f>
        <v>.</v>
      </c>
      <c r="CM50" s="94" t="str">
        <f>IF(BM50=".",".",s_RadSpec!$F$25*(CM25*$B50))</f>
        <v>.</v>
      </c>
      <c r="CN50" s="94" t="str">
        <f>IF(BN50=".",".",s_RadSpec!$F$25*(CN25*$B50))</f>
        <v>.</v>
      </c>
      <c r="CO50" s="94" t="str">
        <f>IF(BO50=".",".",s_RadSpec!$F$25*(CO25*$B50))</f>
        <v>.</v>
      </c>
      <c r="CP50" s="94" t="str">
        <f>IF(BP50=".",".",s_RadSpec!$F$25*(CP25*$B50))</f>
        <v>.</v>
      </c>
      <c r="CQ50" s="94" t="str">
        <f>IF(BQ50=".",".",s_RadSpec!$F$25*(CQ25*$B50))</f>
        <v>.</v>
      </c>
      <c r="CR50" s="94" t="str">
        <f>IF(BR50=".",".",s_RadSpec!$F$25*(CR25*$B50))</f>
        <v>.</v>
      </c>
      <c r="CS50" s="94" t="str">
        <f>IF(BS50=".",".",s_RadSpec!$F$25*(CS25*$B50))</f>
        <v>.</v>
      </c>
      <c r="CT50" s="94" t="str">
        <f>IF(BT50=".",".",s_RadSpec!$F$25*(CT25*$B50))</f>
        <v>.</v>
      </c>
      <c r="CU50" s="94" t="str">
        <f>IF(BU50=".",".",s_RadSpec!$F$25*(CU25*$B50))</f>
        <v>.</v>
      </c>
      <c r="CV50" s="94" t="str">
        <f>IF(BV50=".",".",s_RadSpec!$F$25*(CV25*$B50))</f>
        <v>.</v>
      </c>
      <c r="CW50" s="94" t="str">
        <f>IF(BW50=".",".",s_RadSpec!$F$25*(CW25*$B50))</f>
        <v>.</v>
      </c>
      <c r="CX50" s="94" t="str">
        <f>IF(BX50=".",".",s_RadSpec!$F$25*(CX25*$B50))</f>
        <v>.</v>
      </c>
      <c r="CY50" s="94" t="str">
        <f>IF(BY50=".",".",s_RadSpec!$F$25*(CY25*$B50))</f>
        <v>.</v>
      </c>
      <c r="CZ50" s="94" t="str">
        <f>IF(BZ50=".",".",s_RadSpec!$F$25*(CZ25*$B50))</f>
        <v>.</v>
      </c>
      <c r="DA50" s="94" t="str">
        <f>IF(CA50=".",".",s_RadSpec!$F$25*(DA25*$B50))</f>
        <v>.</v>
      </c>
      <c r="DB50" s="94" t="str">
        <f>IF(CB50=".",".",s_RadSpec!$F$25*(DB25*$B50))</f>
        <v>.</v>
      </c>
    </row>
    <row r="51" spans="1:106" s="42" customFormat="1" x14ac:dyDescent="0.25">
      <c r="A51" s="77" t="s">
        <v>1059</v>
      </c>
      <c r="B51" s="42">
        <v>1</v>
      </c>
      <c r="C51" s="60" t="str">
        <f t="shared" ref="C51:AB51" si="54">IFERROR(C21/$B51,".")</f>
        <v>.</v>
      </c>
      <c r="D51" s="60" t="str">
        <f t="shared" si="54"/>
        <v>.</v>
      </c>
      <c r="E51" s="60" t="str">
        <f t="shared" si="54"/>
        <v>.</v>
      </c>
      <c r="F51" s="60" t="str">
        <f t="shared" si="54"/>
        <v>.</v>
      </c>
      <c r="G51" s="60" t="str">
        <f t="shared" si="54"/>
        <v>.</v>
      </c>
      <c r="H51" s="60" t="str">
        <f t="shared" si="54"/>
        <v>.</v>
      </c>
      <c r="I51" s="60" t="str">
        <f t="shared" si="54"/>
        <v>.</v>
      </c>
      <c r="J51" s="60" t="str">
        <f t="shared" si="54"/>
        <v>.</v>
      </c>
      <c r="K51" s="60" t="str">
        <f t="shared" si="54"/>
        <v>.</v>
      </c>
      <c r="L51" s="60" t="str">
        <f t="shared" si="54"/>
        <v>.</v>
      </c>
      <c r="M51" s="60" t="str">
        <f t="shared" si="54"/>
        <v>.</v>
      </c>
      <c r="N51" s="60" t="str">
        <f t="shared" si="54"/>
        <v>.</v>
      </c>
      <c r="O51" s="60" t="str">
        <f t="shared" si="54"/>
        <v>.</v>
      </c>
      <c r="P51" s="60" t="str">
        <f t="shared" si="54"/>
        <v>.</v>
      </c>
      <c r="Q51" s="60" t="str">
        <f t="shared" si="54"/>
        <v>.</v>
      </c>
      <c r="R51" s="60" t="str">
        <f t="shared" si="54"/>
        <v>.</v>
      </c>
      <c r="S51" s="60" t="str">
        <f t="shared" si="54"/>
        <v>.</v>
      </c>
      <c r="T51" s="60" t="str">
        <f t="shared" si="54"/>
        <v>.</v>
      </c>
      <c r="U51" s="60" t="str">
        <f t="shared" si="54"/>
        <v>.</v>
      </c>
      <c r="V51" s="60" t="str">
        <f t="shared" si="54"/>
        <v>.</v>
      </c>
      <c r="W51" s="60" t="str">
        <f t="shared" si="54"/>
        <v>.</v>
      </c>
      <c r="X51" s="60" t="str">
        <f t="shared" si="54"/>
        <v>.</v>
      </c>
      <c r="Y51" s="60" t="str">
        <f t="shared" si="54"/>
        <v>.</v>
      </c>
      <c r="Z51" s="60" t="str">
        <f t="shared" si="54"/>
        <v>.</v>
      </c>
      <c r="AA51" s="60" t="str">
        <f t="shared" si="54"/>
        <v>.</v>
      </c>
      <c r="AB51" s="60" t="str">
        <f t="shared" si="54"/>
        <v>.</v>
      </c>
      <c r="AC51" s="94" t="str">
        <f t="shared" si="49"/>
        <v>.</v>
      </c>
      <c r="AD51" s="94" t="str">
        <f>IF(D51=".",".",s_RadSpec!$F$21*(AD21*$B51))</f>
        <v>.</v>
      </c>
      <c r="AE51" s="94" t="str">
        <f>IF(E51=".",".",s_RadSpec!$F$21*(AE21*$B51))</f>
        <v>.</v>
      </c>
      <c r="AF51" s="94" t="str">
        <f>IF(F51=".",".",s_RadSpec!$F$21*(AF21*$B51))</f>
        <v>.</v>
      </c>
      <c r="AG51" s="94" t="str">
        <f>IF(G51=".",".",s_RadSpec!$F$21*(AG21*$B51))</f>
        <v>.</v>
      </c>
      <c r="AH51" s="94" t="str">
        <f>IF(H51=".",".",s_RadSpec!$F$21*(AH21*$B51))</f>
        <v>.</v>
      </c>
      <c r="AI51" s="94" t="str">
        <f>IF(I51=".",".",s_RadSpec!$F$21*(AI21*$B51))</f>
        <v>.</v>
      </c>
      <c r="AJ51" s="94" t="str">
        <f>IF(J51=".",".",s_RadSpec!$F$21*(AJ21*$B51))</f>
        <v>.</v>
      </c>
      <c r="AK51" s="94" t="str">
        <f>IF(K51=".",".",s_RadSpec!$F$21*(AK21*$B51))</f>
        <v>.</v>
      </c>
      <c r="AL51" s="94" t="str">
        <f>IF(L51=".",".",s_RadSpec!$F$21*(AL21*$B51))</f>
        <v>.</v>
      </c>
      <c r="AM51" s="94" t="str">
        <f>IF(M51=".",".",s_RadSpec!$F$21*(AM21*$B51))</f>
        <v>.</v>
      </c>
      <c r="AN51" s="94" t="str">
        <f>IF(N51=".",".",s_RadSpec!$F$21*(AN21*$B51))</f>
        <v>.</v>
      </c>
      <c r="AO51" s="94" t="str">
        <f>IF(O51=".",".",s_RadSpec!$F$21*(AO21*$B51))</f>
        <v>.</v>
      </c>
      <c r="AP51" s="94" t="str">
        <f>IF(P51=".",".",s_RadSpec!$F$21*(AP21*$B51))</f>
        <v>.</v>
      </c>
      <c r="AQ51" s="94" t="str">
        <f>IF(Q51=".",".",s_RadSpec!$F$21*(AQ21*$B51))</f>
        <v>.</v>
      </c>
      <c r="AR51" s="94" t="str">
        <f>IF(R51=".",".",s_RadSpec!$F$21*(AR21*$B51))</f>
        <v>.</v>
      </c>
      <c r="AS51" s="94" t="str">
        <f>IF(S51=".",".",s_RadSpec!$F$21*(AS21*$B51))</f>
        <v>.</v>
      </c>
      <c r="AT51" s="94" t="str">
        <f>IF(T51=".",".",s_RadSpec!$F$21*(AT21*$B51))</f>
        <v>.</v>
      </c>
      <c r="AU51" s="94" t="str">
        <f>IF(U51=".",".",s_RadSpec!$F$21*(AU21*$B51))</f>
        <v>.</v>
      </c>
      <c r="AV51" s="94" t="str">
        <f>IF(V51=".",".",s_RadSpec!$F$21*(AV21*$B51))</f>
        <v>.</v>
      </c>
      <c r="AW51" s="94" t="str">
        <f>IF(W51=".",".",s_RadSpec!$F$21*(AW21*$B51))</f>
        <v>.</v>
      </c>
      <c r="AX51" s="94" t="str">
        <f>IF(X51=".",".",s_RadSpec!$F$21*(AX21*$B51))</f>
        <v>.</v>
      </c>
      <c r="AY51" s="94" t="str">
        <f>IF(Y51=".",".",s_RadSpec!$F$21*(AY21*$B51))</f>
        <v>.</v>
      </c>
      <c r="AZ51" s="94" t="str">
        <f>IF(Z51=".",".",s_RadSpec!$F$21*(AZ21*$B51))</f>
        <v>.</v>
      </c>
      <c r="BA51" s="94" t="str">
        <f>IF(AA51=".",".",s_RadSpec!$F$21*(BA21*$B51))</f>
        <v>.</v>
      </c>
      <c r="BB51" s="94" t="str">
        <f>IF(AB51=".",".",s_RadSpec!$F$21*(BB21*$B51))</f>
        <v>.</v>
      </c>
      <c r="BC51" s="60" t="str">
        <f t="shared" ref="BC51:CB51" si="55">IFERROR(BC21/$B51,".")</f>
        <v>.</v>
      </c>
      <c r="BD51" s="60" t="str">
        <f t="shared" si="55"/>
        <v>.</v>
      </c>
      <c r="BE51" s="60" t="str">
        <f t="shared" si="55"/>
        <v>.</v>
      </c>
      <c r="BF51" s="60" t="str">
        <f t="shared" si="55"/>
        <v>.</v>
      </c>
      <c r="BG51" s="60" t="str">
        <f t="shared" si="55"/>
        <v>.</v>
      </c>
      <c r="BH51" s="60" t="str">
        <f t="shared" si="55"/>
        <v>.</v>
      </c>
      <c r="BI51" s="60" t="str">
        <f t="shared" si="55"/>
        <v>.</v>
      </c>
      <c r="BJ51" s="60" t="str">
        <f t="shared" si="55"/>
        <v>.</v>
      </c>
      <c r="BK51" s="60" t="str">
        <f t="shared" si="55"/>
        <v>.</v>
      </c>
      <c r="BL51" s="60" t="str">
        <f t="shared" si="55"/>
        <v>.</v>
      </c>
      <c r="BM51" s="60" t="str">
        <f t="shared" si="55"/>
        <v>.</v>
      </c>
      <c r="BN51" s="60" t="str">
        <f t="shared" si="55"/>
        <v>.</v>
      </c>
      <c r="BO51" s="60" t="str">
        <f t="shared" si="55"/>
        <v>.</v>
      </c>
      <c r="BP51" s="60" t="str">
        <f t="shared" si="55"/>
        <v>.</v>
      </c>
      <c r="BQ51" s="60" t="str">
        <f t="shared" si="55"/>
        <v>.</v>
      </c>
      <c r="BR51" s="60" t="str">
        <f t="shared" si="55"/>
        <v>.</v>
      </c>
      <c r="BS51" s="60" t="str">
        <f t="shared" si="55"/>
        <v>.</v>
      </c>
      <c r="BT51" s="60" t="str">
        <f t="shared" si="55"/>
        <v>.</v>
      </c>
      <c r="BU51" s="60" t="str">
        <f t="shared" si="55"/>
        <v>.</v>
      </c>
      <c r="BV51" s="60" t="str">
        <f t="shared" si="55"/>
        <v>.</v>
      </c>
      <c r="BW51" s="60" t="str">
        <f t="shared" si="55"/>
        <v>.</v>
      </c>
      <c r="BX51" s="60" t="str">
        <f t="shared" si="55"/>
        <v>.</v>
      </c>
      <c r="BY51" s="60" t="str">
        <f t="shared" si="55"/>
        <v>.</v>
      </c>
      <c r="BZ51" s="60" t="str">
        <f t="shared" si="55"/>
        <v>.</v>
      </c>
      <c r="CA51" s="60" t="str">
        <f t="shared" si="55"/>
        <v>.</v>
      </c>
      <c r="CB51" s="60" t="str">
        <f t="shared" si="55"/>
        <v>.</v>
      </c>
      <c r="CC51" s="94" t="str">
        <f t="shared" si="51"/>
        <v>.</v>
      </c>
      <c r="CD51" s="94" t="str">
        <f>IF(BD51=".",".",s_RadSpec!$F$21*(CD21*$B51))</f>
        <v>.</v>
      </c>
      <c r="CE51" s="94" t="str">
        <f>IF(BE51=".",".",s_RadSpec!$F$21*(CE21*$B51))</f>
        <v>.</v>
      </c>
      <c r="CF51" s="94" t="str">
        <f>IF(BF51=".",".",s_RadSpec!$F$21*(CF21*$B51))</f>
        <v>.</v>
      </c>
      <c r="CG51" s="94" t="str">
        <f>IF(BG51=".",".",s_RadSpec!$F$21*(CG21*$B51))</f>
        <v>.</v>
      </c>
      <c r="CH51" s="94" t="str">
        <f>IF(BH51=".",".",s_RadSpec!$F$21*(CH21*$B51))</f>
        <v>.</v>
      </c>
      <c r="CI51" s="94" t="str">
        <f>IF(BI51=".",".",s_RadSpec!$F$21*(CI21*$B51))</f>
        <v>.</v>
      </c>
      <c r="CJ51" s="94" t="str">
        <f>IF(BJ51=".",".",s_RadSpec!$F$21*(CJ21*$B51))</f>
        <v>.</v>
      </c>
      <c r="CK51" s="94" t="str">
        <f>IF(BK51=".",".",s_RadSpec!$F$21*(CK21*$B51))</f>
        <v>.</v>
      </c>
      <c r="CL51" s="94" t="str">
        <f>IF(BL51=".",".",s_RadSpec!$F$21*(CL21*$B51))</f>
        <v>.</v>
      </c>
      <c r="CM51" s="94" t="str">
        <f>IF(BM51=".",".",s_RadSpec!$F$21*(CM21*$B51))</f>
        <v>.</v>
      </c>
      <c r="CN51" s="94" t="str">
        <f>IF(BN51=".",".",s_RadSpec!$F$21*(CN21*$B51))</f>
        <v>.</v>
      </c>
      <c r="CO51" s="94" t="str">
        <f>IF(BO51=".",".",s_RadSpec!$F$21*(CO21*$B51))</f>
        <v>.</v>
      </c>
      <c r="CP51" s="94" t="str">
        <f>IF(BP51=".",".",s_RadSpec!$F$21*(CP21*$B51))</f>
        <v>.</v>
      </c>
      <c r="CQ51" s="94" t="str">
        <f>IF(BQ51=".",".",s_RadSpec!$F$21*(CQ21*$B51))</f>
        <v>.</v>
      </c>
      <c r="CR51" s="94" t="str">
        <f>IF(BR51=".",".",s_RadSpec!$F$21*(CR21*$B51))</f>
        <v>.</v>
      </c>
      <c r="CS51" s="94" t="str">
        <f>IF(BS51=".",".",s_RadSpec!$F$21*(CS21*$B51))</f>
        <v>.</v>
      </c>
      <c r="CT51" s="94" t="str">
        <f>IF(BT51=".",".",s_RadSpec!$F$21*(CT21*$B51))</f>
        <v>.</v>
      </c>
      <c r="CU51" s="94" t="str">
        <f>IF(BU51=".",".",s_RadSpec!$F$21*(CU21*$B51))</f>
        <v>.</v>
      </c>
      <c r="CV51" s="94" t="str">
        <f>IF(BV51=".",".",s_RadSpec!$F$21*(CV21*$B51))</f>
        <v>.</v>
      </c>
      <c r="CW51" s="94" t="str">
        <f>IF(BW51=".",".",s_RadSpec!$F$21*(CW21*$B51))</f>
        <v>.</v>
      </c>
      <c r="CX51" s="94" t="str">
        <f>IF(BX51=".",".",s_RadSpec!$F$21*(CX21*$B51))</f>
        <v>.</v>
      </c>
      <c r="CY51" s="94" t="str">
        <f>IF(BY51=".",".",s_RadSpec!$F$21*(CY21*$B51))</f>
        <v>.</v>
      </c>
      <c r="CZ51" s="94" t="str">
        <f>IF(BZ51=".",".",s_RadSpec!$F$21*(CZ21*$B51))</f>
        <v>.</v>
      </c>
      <c r="DA51" s="94" t="str">
        <f>IF(CA51=".",".",s_RadSpec!$F$21*(DA21*$B51))</f>
        <v>.</v>
      </c>
      <c r="DB51" s="94" t="str">
        <f>IF(CB51=".",".",s_RadSpec!$F$21*(DB21*$B51))</f>
        <v>.</v>
      </c>
    </row>
    <row r="52" spans="1:106" s="42" customFormat="1" x14ac:dyDescent="0.25">
      <c r="A52" s="77" t="s">
        <v>1060</v>
      </c>
      <c r="B52" s="79">
        <v>0.99980000000000002</v>
      </c>
      <c r="C52" s="60">
        <f t="shared" ref="C52:AB52" si="56">IFERROR(C17/$B52,".")</f>
        <v>83162.65780339425</v>
      </c>
      <c r="D52" s="60">
        <f t="shared" si="56"/>
        <v>328170.46094177209</v>
      </c>
      <c r="E52" s="60">
        <f t="shared" si="56"/>
        <v>162745.83284240996</v>
      </c>
      <c r="F52" s="60">
        <f t="shared" si="56"/>
        <v>305956.69387790741</v>
      </c>
      <c r="G52" s="60">
        <f t="shared" si="56"/>
        <v>328170.46094177209</v>
      </c>
      <c r="H52" s="60">
        <f t="shared" si="56"/>
        <v>305956.69387790741</v>
      </c>
      <c r="I52" s="60">
        <f t="shared" si="56"/>
        <v>162745.83284240996</v>
      </c>
      <c r="J52" s="60">
        <f t="shared" si="56"/>
        <v>305956.69387790741</v>
      </c>
      <c r="K52" s="60">
        <f t="shared" si="56"/>
        <v>328170.46094177209</v>
      </c>
      <c r="L52" s="60">
        <f t="shared" si="56"/>
        <v>376248.87482868897</v>
      </c>
      <c r="M52" s="60">
        <f t="shared" si="56"/>
        <v>305956.69387790741</v>
      </c>
      <c r="N52" s="60">
        <f t="shared" si="56"/>
        <v>162745.83284240996</v>
      </c>
      <c r="O52" s="60">
        <f t="shared" si="56"/>
        <v>352207.95966900548</v>
      </c>
      <c r="P52" s="60">
        <f t="shared" si="56"/>
        <v>305956.69387790741</v>
      </c>
      <c r="Q52" s="60">
        <f t="shared" si="56"/>
        <v>305956.69387790741</v>
      </c>
      <c r="R52" s="60">
        <f t="shared" si="56"/>
        <v>328170.46094177209</v>
      </c>
      <c r="S52" s="60">
        <f t="shared" si="56"/>
        <v>328170.46094177209</v>
      </c>
      <c r="T52" s="60">
        <f t="shared" si="56"/>
        <v>352207.95966900548</v>
      </c>
      <c r="U52" s="60">
        <f t="shared" si="56"/>
        <v>305956.69387790741</v>
      </c>
      <c r="V52" s="60">
        <f t="shared" si="56"/>
        <v>374379.05067293375</v>
      </c>
      <c r="W52" s="60">
        <f t="shared" si="56"/>
        <v>305956.69387790741</v>
      </c>
      <c r="X52" s="60">
        <f t="shared" si="56"/>
        <v>352207.95966900548</v>
      </c>
      <c r="Y52" s="60">
        <f t="shared" si="56"/>
        <v>328170.46094177209</v>
      </c>
      <c r="Z52" s="60">
        <f t="shared" si="56"/>
        <v>305956.69387790741</v>
      </c>
      <c r="AA52" s="60">
        <f t="shared" si="56"/>
        <v>382036.68708652142</v>
      </c>
      <c r="AB52" s="60">
        <f t="shared" si="56"/>
        <v>323473.35066001641</v>
      </c>
      <c r="AC52" s="94">
        <f t="shared" si="49"/>
        <v>3.0061569291234985E-4</v>
      </c>
      <c r="AD52" s="94">
        <f>IF(D52=".",".",s_RadSpec!$F$17*(AD17*$B52))</f>
        <v>7.6179921642721522E-5</v>
      </c>
      <c r="AE52" s="94">
        <f>IF(E52=".",".",s_RadSpec!$F$17*(AE17*$B52))</f>
        <v>1.5361376425661232E-4</v>
      </c>
      <c r="AF52" s="94">
        <f>IF(F52=".",".",s_RadSpec!$F$17*(AF17*$B52))</f>
        <v>8.1710910400856578E-5</v>
      </c>
      <c r="AG52" s="94">
        <f>IF(G52=".",".",s_RadSpec!$F$17*(AG17*$B52))</f>
        <v>7.6179921642721522E-5</v>
      </c>
      <c r="AH52" s="94">
        <f>IF(H52=".",".",s_RadSpec!$F$17*(AH17*$B52))</f>
        <v>8.1710910400856578E-5</v>
      </c>
      <c r="AI52" s="94">
        <f>IF(I52=".",".",s_RadSpec!$F$17*(AI17*$B52))</f>
        <v>1.5361376425661232E-4</v>
      </c>
      <c r="AJ52" s="94">
        <f>IF(J52=".",".",s_RadSpec!$F$17*(AJ17*$B52))</f>
        <v>8.1710910400856578E-5</v>
      </c>
      <c r="AK52" s="94">
        <f>IF(K52=".",".",s_RadSpec!$F$17*(AK17*$B52))</f>
        <v>7.6179921642721522E-5</v>
      </c>
      <c r="AL52" s="94">
        <f>IF(L52=".",".",s_RadSpec!$F$17*(AL17*$B52))</f>
        <v>6.6445381428403814E-5</v>
      </c>
      <c r="AM52" s="94">
        <f>IF(M52=".",".",s_RadSpec!$F$17*(AM17*$B52))</f>
        <v>8.1710910400856578E-5</v>
      </c>
      <c r="AN52" s="94">
        <f>IF(N52=".",".",s_RadSpec!$F$17*(AN17*$B52))</f>
        <v>1.5361376425661232E-4</v>
      </c>
      <c r="AO52" s="94">
        <f>IF(O52=".",".",s_RadSpec!$F$17*(AO17*$B52))</f>
        <v>7.098079221007456E-5</v>
      </c>
      <c r="AP52" s="94">
        <f>IF(P52=".",".",s_RadSpec!$F$17*(AP17*$B52))</f>
        <v>8.1710910400856578E-5</v>
      </c>
      <c r="AQ52" s="94">
        <f>IF(Q52=".",".",s_RadSpec!$F$17*(AQ17*$B52))</f>
        <v>8.1710910400856578E-5</v>
      </c>
      <c r="AR52" s="94">
        <f>IF(R52=".",".",s_RadSpec!$F$17*(AR17*$B52))</f>
        <v>7.6179921642721522E-5</v>
      </c>
      <c r="AS52" s="94">
        <f>IF(S52=".",".",s_RadSpec!$F$17*(AS17*$B52))</f>
        <v>7.6179921642721522E-5</v>
      </c>
      <c r="AT52" s="94">
        <f>IF(T52=".",".",s_RadSpec!$F$17*(AT17*$B52))</f>
        <v>7.098079221007456E-5</v>
      </c>
      <c r="AU52" s="94">
        <f>IF(U52=".",".",s_RadSpec!$F$17*(AU17*$B52))</f>
        <v>8.1710910400856578E-5</v>
      </c>
      <c r="AV52" s="94">
        <f>IF(V52=".",".",s_RadSpec!$F$17*(AV17*$B52))</f>
        <v>6.6777240753891921E-5</v>
      </c>
      <c r="AW52" s="94">
        <f>IF(W52=".",".",s_RadSpec!$F$17*(AW17*$B52))</f>
        <v>8.1710910400856578E-5</v>
      </c>
      <c r="AX52" s="94">
        <f>IF(X52=".",".",s_RadSpec!$F$17*(AX17*$B52))</f>
        <v>7.098079221007456E-5</v>
      </c>
      <c r="AY52" s="94">
        <f>IF(Y52=".",".",s_RadSpec!$F$17*(AY17*$B52))</f>
        <v>7.6179921642721522E-5</v>
      </c>
      <c r="AZ52" s="94">
        <f>IF(Z52=".",".",s_RadSpec!$F$17*(AZ17*$B52))</f>
        <v>8.1710910400856578E-5</v>
      </c>
      <c r="BA52" s="94">
        <f>IF(AA52=".",".",s_RadSpec!$F$17*(BA17*$B52))</f>
        <v>6.5438741474423235E-5</v>
      </c>
      <c r="BB52" s="94">
        <f>IF(AB52=".",".",s_RadSpec!$F$17*(BB17*$B52))</f>
        <v>7.7286119394348525E-5</v>
      </c>
      <c r="BC52" s="60">
        <f t="shared" ref="BC52:CB52" si="57">IFERROR(BC17/$B52,".")</f>
        <v>83162.65780339425</v>
      </c>
      <c r="BD52" s="60">
        <f t="shared" si="57"/>
        <v>328170.46094177209</v>
      </c>
      <c r="BE52" s="60">
        <f t="shared" si="57"/>
        <v>162745.83284240996</v>
      </c>
      <c r="BF52" s="60">
        <f t="shared" si="57"/>
        <v>305956.69387790741</v>
      </c>
      <c r="BG52" s="60">
        <f t="shared" si="57"/>
        <v>328170.46094177209</v>
      </c>
      <c r="BH52" s="60">
        <f t="shared" si="57"/>
        <v>305956.69387790741</v>
      </c>
      <c r="BI52" s="60">
        <f t="shared" si="57"/>
        <v>162745.83284240996</v>
      </c>
      <c r="BJ52" s="60">
        <f t="shared" si="57"/>
        <v>305956.69387790741</v>
      </c>
      <c r="BK52" s="60">
        <f t="shared" si="57"/>
        <v>328170.46094177209</v>
      </c>
      <c r="BL52" s="60">
        <f t="shared" si="57"/>
        <v>376248.87482868897</v>
      </c>
      <c r="BM52" s="60">
        <f t="shared" si="57"/>
        <v>305956.69387790741</v>
      </c>
      <c r="BN52" s="60">
        <f t="shared" si="57"/>
        <v>162745.83284240996</v>
      </c>
      <c r="BO52" s="60">
        <f t="shared" si="57"/>
        <v>352207.95966900548</v>
      </c>
      <c r="BP52" s="60">
        <f t="shared" si="57"/>
        <v>305956.69387790741</v>
      </c>
      <c r="BQ52" s="60">
        <f t="shared" si="57"/>
        <v>305956.69387790741</v>
      </c>
      <c r="BR52" s="60">
        <f t="shared" si="57"/>
        <v>328170.46094177209</v>
      </c>
      <c r="BS52" s="60">
        <f t="shared" si="57"/>
        <v>328170.46094177209</v>
      </c>
      <c r="BT52" s="60">
        <f t="shared" si="57"/>
        <v>352207.95966900548</v>
      </c>
      <c r="BU52" s="60">
        <f t="shared" si="57"/>
        <v>305956.69387790741</v>
      </c>
      <c r="BV52" s="60">
        <f t="shared" si="57"/>
        <v>374379.05067293375</v>
      </c>
      <c r="BW52" s="60">
        <f t="shared" si="57"/>
        <v>305956.69387790741</v>
      </c>
      <c r="BX52" s="60">
        <f t="shared" si="57"/>
        <v>352207.95966900548</v>
      </c>
      <c r="BY52" s="60">
        <f t="shared" si="57"/>
        <v>328170.46094177209</v>
      </c>
      <c r="BZ52" s="60">
        <f t="shared" si="57"/>
        <v>305956.69387790741</v>
      </c>
      <c r="CA52" s="60">
        <f t="shared" si="57"/>
        <v>382036.68708652142</v>
      </c>
      <c r="CB52" s="60">
        <f t="shared" si="57"/>
        <v>323473.35066001641</v>
      </c>
      <c r="CC52" s="94">
        <f t="shared" si="51"/>
        <v>3.0061569291234985E-4</v>
      </c>
      <c r="CD52" s="94">
        <f>IF(BD52=".",".",s_RadSpec!$F$17*(CD17*$B52))</f>
        <v>7.6179921642721522E-5</v>
      </c>
      <c r="CE52" s="94">
        <f>IF(BE52=".",".",s_RadSpec!$F$17*(CE17*$B52))</f>
        <v>1.5361376425661232E-4</v>
      </c>
      <c r="CF52" s="94">
        <f>IF(BF52=".",".",s_RadSpec!$F$17*(CF17*$B52))</f>
        <v>8.1710910400856578E-5</v>
      </c>
      <c r="CG52" s="94">
        <f>IF(BG52=".",".",s_RadSpec!$F$17*(CG17*$B52))</f>
        <v>7.6179921642721522E-5</v>
      </c>
      <c r="CH52" s="94">
        <f>IF(BH52=".",".",s_RadSpec!$F$17*(CH17*$B52))</f>
        <v>8.1710910400856578E-5</v>
      </c>
      <c r="CI52" s="94">
        <f>IF(BI52=".",".",s_RadSpec!$F$17*(CI17*$B52))</f>
        <v>1.5361376425661232E-4</v>
      </c>
      <c r="CJ52" s="94">
        <f>IF(BJ52=".",".",s_RadSpec!$F$17*(CJ17*$B52))</f>
        <v>8.1710910400856578E-5</v>
      </c>
      <c r="CK52" s="94">
        <f>IF(BK52=".",".",s_RadSpec!$F$17*(CK17*$B52))</f>
        <v>7.6179921642721522E-5</v>
      </c>
      <c r="CL52" s="94">
        <f>IF(BL52=".",".",s_RadSpec!$F$17*(CL17*$B52))</f>
        <v>6.6445381428403814E-5</v>
      </c>
      <c r="CM52" s="94">
        <f>IF(BM52=".",".",s_RadSpec!$F$17*(CM17*$B52))</f>
        <v>8.1710910400856578E-5</v>
      </c>
      <c r="CN52" s="94">
        <f>IF(BN52=".",".",s_RadSpec!$F$17*(CN17*$B52))</f>
        <v>1.5361376425661232E-4</v>
      </c>
      <c r="CO52" s="94">
        <f>IF(BO52=".",".",s_RadSpec!$F$17*(CO17*$B52))</f>
        <v>7.098079221007456E-5</v>
      </c>
      <c r="CP52" s="94">
        <f>IF(BP52=".",".",s_RadSpec!$F$17*(CP17*$B52))</f>
        <v>8.1710910400856578E-5</v>
      </c>
      <c r="CQ52" s="94">
        <f>IF(BQ52=".",".",s_RadSpec!$F$17*(CQ17*$B52))</f>
        <v>8.1710910400856578E-5</v>
      </c>
      <c r="CR52" s="94">
        <f>IF(BR52=".",".",s_RadSpec!$F$17*(CR17*$B52))</f>
        <v>7.6179921642721522E-5</v>
      </c>
      <c r="CS52" s="94">
        <f>IF(BS52=".",".",s_RadSpec!$F$17*(CS17*$B52))</f>
        <v>7.6179921642721522E-5</v>
      </c>
      <c r="CT52" s="94">
        <f>IF(BT52=".",".",s_RadSpec!$F$17*(CT17*$B52))</f>
        <v>7.098079221007456E-5</v>
      </c>
      <c r="CU52" s="94">
        <f>IF(BU52=".",".",s_RadSpec!$F$17*(CU17*$B52))</f>
        <v>8.1710910400856578E-5</v>
      </c>
      <c r="CV52" s="94">
        <f>IF(BV52=".",".",s_RadSpec!$F$17*(CV17*$B52))</f>
        <v>6.6777240753891921E-5</v>
      </c>
      <c r="CW52" s="94">
        <f>IF(BW52=".",".",s_RadSpec!$F$17*(CW17*$B52))</f>
        <v>8.1710910400856578E-5</v>
      </c>
      <c r="CX52" s="94">
        <f>IF(BX52=".",".",s_RadSpec!$F$17*(CX17*$B52))</f>
        <v>7.098079221007456E-5</v>
      </c>
      <c r="CY52" s="94">
        <f>IF(BY52=".",".",s_RadSpec!$F$17*(CY17*$B52))</f>
        <v>7.6179921642721522E-5</v>
      </c>
      <c r="CZ52" s="94">
        <f>IF(BZ52=".",".",s_RadSpec!$F$17*(CZ17*$B52))</f>
        <v>8.1710910400856578E-5</v>
      </c>
      <c r="DA52" s="94">
        <f>IF(CA52=".",".",s_RadSpec!$F$17*(DA17*$B52))</f>
        <v>6.5438741474423235E-5</v>
      </c>
      <c r="DB52" s="94">
        <f>IF(CB52=".",".",s_RadSpec!$F$17*(DB17*$B52))</f>
        <v>7.7286119394348525E-5</v>
      </c>
    </row>
    <row r="53" spans="1:106" s="42" customFormat="1" x14ac:dyDescent="0.25">
      <c r="A53" s="77" t="s">
        <v>1074</v>
      </c>
      <c r="B53" s="42">
        <v>2.0000000000000001E-4</v>
      </c>
      <c r="C53" s="60" t="str">
        <f t="shared" ref="C53:AB53" si="58">IFERROR(C5/$B53,".")</f>
        <v>.</v>
      </c>
      <c r="D53" s="60" t="str">
        <f t="shared" si="58"/>
        <v>.</v>
      </c>
      <c r="E53" s="60" t="str">
        <f t="shared" si="58"/>
        <v>.</v>
      </c>
      <c r="F53" s="60" t="str">
        <f t="shared" si="58"/>
        <v>.</v>
      </c>
      <c r="G53" s="60" t="str">
        <f t="shared" si="58"/>
        <v>.</v>
      </c>
      <c r="H53" s="60" t="str">
        <f t="shared" si="58"/>
        <v>.</v>
      </c>
      <c r="I53" s="60" t="str">
        <f t="shared" si="58"/>
        <v>.</v>
      </c>
      <c r="J53" s="60" t="str">
        <f t="shared" si="58"/>
        <v>.</v>
      </c>
      <c r="K53" s="60" t="str">
        <f t="shared" si="58"/>
        <v>.</v>
      </c>
      <c r="L53" s="60" t="str">
        <f t="shared" si="58"/>
        <v>.</v>
      </c>
      <c r="M53" s="60" t="str">
        <f t="shared" si="58"/>
        <v>.</v>
      </c>
      <c r="N53" s="60" t="str">
        <f t="shared" si="58"/>
        <v>.</v>
      </c>
      <c r="O53" s="60" t="str">
        <f t="shared" si="58"/>
        <v>.</v>
      </c>
      <c r="P53" s="60" t="str">
        <f t="shared" si="58"/>
        <v>.</v>
      </c>
      <c r="Q53" s="60" t="str">
        <f t="shared" si="58"/>
        <v>.</v>
      </c>
      <c r="R53" s="60" t="str">
        <f t="shared" si="58"/>
        <v>.</v>
      </c>
      <c r="S53" s="60" t="str">
        <f t="shared" si="58"/>
        <v>.</v>
      </c>
      <c r="T53" s="60" t="str">
        <f t="shared" si="58"/>
        <v>.</v>
      </c>
      <c r="U53" s="60" t="str">
        <f t="shared" si="58"/>
        <v>.</v>
      </c>
      <c r="V53" s="60" t="str">
        <f t="shared" si="58"/>
        <v>.</v>
      </c>
      <c r="W53" s="60" t="str">
        <f t="shared" si="58"/>
        <v>.</v>
      </c>
      <c r="X53" s="60" t="str">
        <f t="shared" si="58"/>
        <v>.</v>
      </c>
      <c r="Y53" s="60" t="str">
        <f t="shared" si="58"/>
        <v>.</v>
      </c>
      <c r="Z53" s="60" t="str">
        <f t="shared" si="58"/>
        <v>.</v>
      </c>
      <c r="AA53" s="60" t="str">
        <f t="shared" si="58"/>
        <v>.</v>
      </c>
      <c r="AB53" s="60" t="str">
        <f t="shared" si="58"/>
        <v>.</v>
      </c>
      <c r="AC53" s="94" t="str">
        <f t="shared" si="49"/>
        <v>.</v>
      </c>
      <c r="AD53" s="94" t="str">
        <f>IF(D53=".",".",s_RadSpec!$F$5*(AD5*$B53))</f>
        <v>.</v>
      </c>
      <c r="AE53" s="94" t="str">
        <f>IF(E53=".",".",s_RadSpec!$F$5*(AE5*$B53))</f>
        <v>.</v>
      </c>
      <c r="AF53" s="94" t="str">
        <f>IF(F53=".",".",s_RadSpec!$F$5*(AF5*$B53))</f>
        <v>.</v>
      </c>
      <c r="AG53" s="94" t="str">
        <f>IF(G53=".",".",s_RadSpec!$F$5*(AG5*$B53))</f>
        <v>.</v>
      </c>
      <c r="AH53" s="94" t="str">
        <f>IF(H53=".",".",s_RadSpec!$F$5*(AH5*$B53))</f>
        <v>.</v>
      </c>
      <c r="AI53" s="94" t="str">
        <f>IF(I53=".",".",s_RadSpec!$F$5*(AI5*$B53))</f>
        <v>.</v>
      </c>
      <c r="AJ53" s="94" t="str">
        <f>IF(J53=".",".",s_RadSpec!$F$5*(AJ5*$B53))</f>
        <v>.</v>
      </c>
      <c r="AK53" s="94" t="str">
        <f>IF(K53=".",".",s_RadSpec!$F$5*(AK5*$B53))</f>
        <v>.</v>
      </c>
      <c r="AL53" s="94" t="str">
        <f>IF(L53=".",".",s_RadSpec!$F$5*(AL5*$B53))</f>
        <v>.</v>
      </c>
      <c r="AM53" s="94" t="str">
        <f>IF(M53=".",".",s_RadSpec!$F$5*(AM5*$B53))</f>
        <v>.</v>
      </c>
      <c r="AN53" s="94" t="str">
        <f>IF(N53=".",".",s_RadSpec!$F$5*(AN5*$B53))</f>
        <v>.</v>
      </c>
      <c r="AO53" s="94" t="str">
        <f>IF(O53=".",".",s_RadSpec!$F$5*(AO5*$B53))</f>
        <v>.</v>
      </c>
      <c r="AP53" s="94" t="str">
        <f>IF(P53=".",".",s_RadSpec!$F$5*(AP5*$B53))</f>
        <v>.</v>
      </c>
      <c r="AQ53" s="94" t="str">
        <f>IF(Q53=".",".",s_RadSpec!$F$5*(AQ5*$B53))</f>
        <v>.</v>
      </c>
      <c r="AR53" s="94" t="str">
        <f>IF(R53=".",".",s_RadSpec!$F$5*(AR5*$B53))</f>
        <v>.</v>
      </c>
      <c r="AS53" s="94" t="str">
        <f>IF(S53=".",".",s_RadSpec!$F$5*(AS5*$B53))</f>
        <v>.</v>
      </c>
      <c r="AT53" s="94" t="str">
        <f>IF(T53=".",".",s_RadSpec!$F$5*(AT5*$B53))</f>
        <v>.</v>
      </c>
      <c r="AU53" s="94" t="str">
        <f>IF(U53=".",".",s_RadSpec!$F$5*(AU5*$B53))</f>
        <v>.</v>
      </c>
      <c r="AV53" s="94" t="str">
        <f>IF(V53=".",".",s_RadSpec!$F$5*(AV5*$B53))</f>
        <v>.</v>
      </c>
      <c r="AW53" s="94" t="str">
        <f>IF(W53=".",".",s_RadSpec!$F$5*(AW5*$B53))</f>
        <v>.</v>
      </c>
      <c r="AX53" s="94" t="str">
        <f>IF(X53=".",".",s_RadSpec!$F$5*(AX5*$B53))</f>
        <v>.</v>
      </c>
      <c r="AY53" s="94" t="str">
        <f>IF(Y53=".",".",s_RadSpec!$F$5*(AY5*$B53))</f>
        <v>.</v>
      </c>
      <c r="AZ53" s="94" t="str">
        <f>IF(Z53=".",".",s_RadSpec!$F$5*(AZ5*$B53))</f>
        <v>.</v>
      </c>
      <c r="BA53" s="94" t="str">
        <f>IF(AA53=".",".",s_RadSpec!$F$5*(BA5*$B53))</f>
        <v>.</v>
      </c>
      <c r="BB53" s="94" t="str">
        <f>IF(AB53=".",".",s_RadSpec!$F$5*(BB5*$B53))</f>
        <v>.</v>
      </c>
      <c r="BC53" s="60" t="str">
        <f t="shared" ref="BC53:CB53" si="59">IFERROR(BC5/$B53,".")</f>
        <v>.</v>
      </c>
      <c r="BD53" s="60" t="str">
        <f t="shared" si="59"/>
        <v>.</v>
      </c>
      <c r="BE53" s="60" t="str">
        <f t="shared" si="59"/>
        <v>.</v>
      </c>
      <c r="BF53" s="60" t="str">
        <f t="shared" si="59"/>
        <v>.</v>
      </c>
      <c r="BG53" s="60" t="str">
        <f t="shared" si="59"/>
        <v>.</v>
      </c>
      <c r="BH53" s="60" t="str">
        <f t="shared" si="59"/>
        <v>.</v>
      </c>
      <c r="BI53" s="60" t="str">
        <f t="shared" si="59"/>
        <v>.</v>
      </c>
      <c r="BJ53" s="60" t="str">
        <f t="shared" si="59"/>
        <v>.</v>
      </c>
      <c r="BK53" s="60" t="str">
        <f t="shared" si="59"/>
        <v>.</v>
      </c>
      <c r="BL53" s="60" t="str">
        <f t="shared" si="59"/>
        <v>.</v>
      </c>
      <c r="BM53" s="60" t="str">
        <f t="shared" si="59"/>
        <v>.</v>
      </c>
      <c r="BN53" s="60" t="str">
        <f t="shared" si="59"/>
        <v>.</v>
      </c>
      <c r="BO53" s="60" t="str">
        <f t="shared" si="59"/>
        <v>.</v>
      </c>
      <c r="BP53" s="60" t="str">
        <f t="shared" si="59"/>
        <v>.</v>
      </c>
      <c r="BQ53" s="60" t="str">
        <f t="shared" si="59"/>
        <v>.</v>
      </c>
      <c r="BR53" s="60" t="str">
        <f t="shared" si="59"/>
        <v>.</v>
      </c>
      <c r="BS53" s="60" t="str">
        <f t="shared" si="59"/>
        <v>.</v>
      </c>
      <c r="BT53" s="60" t="str">
        <f t="shared" si="59"/>
        <v>.</v>
      </c>
      <c r="BU53" s="60" t="str">
        <f t="shared" si="59"/>
        <v>.</v>
      </c>
      <c r="BV53" s="60" t="str">
        <f t="shared" si="59"/>
        <v>.</v>
      </c>
      <c r="BW53" s="60" t="str">
        <f t="shared" si="59"/>
        <v>.</v>
      </c>
      <c r="BX53" s="60" t="str">
        <f t="shared" si="59"/>
        <v>.</v>
      </c>
      <c r="BY53" s="60" t="str">
        <f t="shared" si="59"/>
        <v>.</v>
      </c>
      <c r="BZ53" s="60" t="str">
        <f t="shared" si="59"/>
        <v>.</v>
      </c>
      <c r="CA53" s="60" t="str">
        <f t="shared" si="59"/>
        <v>.</v>
      </c>
      <c r="CB53" s="60" t="str">
        <f t="shared" si="59"/>
        <v>.</v>
      </c>
      <c r="CC53" s="94" t="str">
        <f t="shared" si="51"/>
        <v>.</v>
      </c>
      <c r="CD53" s="94" t="str">
        <f>IF(BD53=".",".",s_RadSpec!$F$5*(CD5*$B53))</f>
        <v>.</v>
      </c>
      <c r="CE53" s="94" t="str">
        <f>IF(BE53=".",".",s_RadSpec!$F$5*(CE5*$B53))</f>
        <v>.</v>
      </c>
      <c r="CF53" s="94" t="str">
        <f>IF(BF53=".",".",s_RadSpec!$F$5*(CF5*$B53))</f>
        <v>.</v>
      </c>
      <c r="CG53" s="94" t="str">
        <f>IF(BG53=".",".",s_RadSpec!$F$5*(CG5*$B53))</f>
        <v>.</v>
      </c>
      <c r="CH53" s="94" t="str">
        <f>IF(BH53=".",".",s_RadSpec!$F$5*(CH5*$B53))</f>
        <v>.</v>
      </c>
      <c r="CI53" s="94" t="str">
        <f>IF(BI53=".",".",s_RadSpec!$F$5*(CI5*$B53))</f>
        <v>.</v>
      </c>
      <c r="CJ53" s="94" t="str">
        <f>IF(BJ53=".",".",s_RadSpec!$F$5*(CJ5*$B53))</f>
        <v>.</v>
      </c>
      <c r="CK53" s="94" t="str">
        <f>IF(BK53=".",".",s_RadSpec!$F$5*(CK5*$B53))</f>
        <v>.</v>
      </c>
      <c r="CL53" s="94" t="str">
        <f>IF(BL53=".",".",s_RadSpec!$F$5*(CL5*$B53))</f>
        <v>.</v>
      </c>
      <c r="CM53" s="94" t="str">
        <f>IF(BM53=".",".",s_RadSpec!$F$5*(CM5*$B53))</f>
        <v>.</v>
      </c>
      <c r="CN53" s="94" t="str">
        <f>IF(BN53=".",".",s_RadSpec!$F$5*(CN5*$B53))</f>
        <v>.</v>
      </c>
      <c r="CO53" s="94" t="str">
        <f>IF(BO53=".",".",s_RadSpec!$F$5*(CO5*$B53))</f>
        <v>.</v>
      </c>
      <c r="CP53" s="94" t="str">
        <f>IF(BP53=".",".",s_RadSpec!$F$5*(CP5*$B53))</f>
        <v>.</v>
      </c>
      <c r="CQ53" s="94" t="str">
        <f>IF(BQ53=".",".",s_RadSpec!$F$5*(CQ5*$B53))</f>
        <v>.</v>
      </c>
      <c r="CR53" s="94" t="str">
        <f>IF(BR53=".",".",s_RadSpec!$F$5*(CR5*$B53))</f>
        <v>.</v>
      </c>
      <c r="CS53" s="94" t="str">
        <f>IF(BS53=".",".",s_RadSpec!$F$5*(CS5*$B53))</f>
        <v>.</v>
      </c>
      <c r="CT53" s="94" t="str">
        <f>IF(BT53=".",".",s_RadSpec!$F$5*(CT5*$B53))</f>
        <v>.</v>
      </c>
      <c r="CU53" s="94" t="str">
        <f>IF(BU53=".",".",s_RadSpec!$F$5*(CU5*$B53))</f>
        <v>.</v>
      </c>
      <c r="CV53" s="94" t="str">
        <f>IF(BV53=".",".",s_RadSpec!$F$5*(CV5*$B53))</f>
        <v>.</v>
      </c>
      <c r="CW53" s="94" t="str">
        <f>IF(BW53=".",".",s_RadSpec!$F$5*(CW5*$B53))</f>
        <v>.</v>
      </c>
      <c r="CX53" s="94" t="str">
        <f>IF(BX53=".",".",s_RadSpec!$F$5*(CX5*$B53))</f>
        <v>.</v>
      </c>
      <c r="CY53" s="94" t="str">
        <f>IF(BY53=".",".",s_RadSpec!$F$5*(CY5*$B53))</f>
        <v>.</v>
      </c>
      <c r="CZ53" s="94" t="str">
        <f>IF(BZ53=".",".",s_RadSpec!$F$5*(CZ5*$B53))</f>
        <v>.</v>
      </c>
      <c r="DA53" s="94" t="str">
        <f>IF(CA53=".",".",s_RadSpec!$F$5*(DA5*$B53))</f>
        <v>.</v>
      </c>
      <c r="DB53" s="94" t="str">
        <f>IF(CB53=".",".",s_RadSpec!$F$5*(DB5*$B53))</f>
        <v>.</v>
      </c>
    </row>
    <row r="54" spans="1:106" s="42" customFormat="1" x14ac:dyDescent="0.25">
      <c r="A54" s="77" t="s">
        <v>1075</v>
      </c>
      <c r="B54" s="42">
        <v>0.99999979999999999</v>
      </c>
      <c r="C54" s="60">
        <f t="shared" ref="C54:AB54" si="60">IFERROR(C9/$B54,".")</f>
        <v>47489.222439220706</v>
      </c>
      <c r="D54" s="60">
        <f t="shared" si="60"/>
        <v>189956.88975688283</v>
      </c>
      <c r="E54" s="60">
        <f t="shared" si="60"/>
        <v>189956.88975688283</v>
      </c>
      <c r="F54" s="60">
        <f t="shared" si="60"/>
        <v>189956.88975688283</v>
      </c>
      <c r="G54" s="60">
        <f t="shared" si="60"/>
        <v>189956.88975688283</v>
      </c>
      <c r="H54" s="60">
        <f t="shared" si="60"/>
        <v>189956.88975688283</v>
      </c>
      <c r="I54" s="60">
        <f t="shared" si="60"/>
        <v>189956.88975688283</v>
      </c>
      <c r="J54" s="60">
        <f t="shared" si="60"/>
        <v>189956.88975688283</v>
      </c>
      <c r="K54" s="60">
        <f t="shared" si="60"/>
        <v>189956.88975688283</v>
      </c>
      <c r="L54" s="60">
        <f t="shared" si="60"/>
        <v>189956.88975688283</v>
      </c>
      <c r="M54" s="60">
        <f t="shared" si="60"/>
        <v>189956.88975688283</v>
      </c>
      <c r="N54" s="60">
        <f t="shared" si="60"/>
        <v>189956.88975688283</v>
      </c>
      <c r="O54" s="60">
        <f t="shared" si="60"/>
        <v>189956.88975688283</v>
      </c>
      <c r="P54" s="60">
        <f t="shared" si="60"/>
        <v>189956.88975688283</v>
      </c>
      <c r="Q54" s="60">
        <f t="shared" si="60"/>
        <v>189956.88975688283</v>
      </c>
      <c r="R54" s="60">
        <f t="shared" si="60"/>
        <v>189956.88975688283</v>
      </c>
      <c r="S54" s="60">
        <f t="shared" si="60"/>
        <v>189956.88975688283</v>
      </c>
      <c r="T54" s="60">
        <f t="shared" si="60"/>
        <v>189956.88975688283</v>
      </c>
      <c r="U54" s="60">
        <f t="shared" si="60"/>
        <v>189956.88975688283</v>
      </c>
      <c r="V54" s="60">
        <f t="shared" si="60"/>
        <v>189956.88975688283</v>
      </c>
      <c r="W54" s="60">
        <f t="shared" si="60"/>
        <v>189956.88975688283</v>
      </c>
      <c r="X54" s="60">
        <f t="shared" si="60"/>
        <v>189956.88975688283</v>
      </c>
      <c r="Y54" s="60">
        <f t="shared" si="60"/>
        <v>189956.88975688283</v>
      </c>
      <c r="Z54" s="60">
        <f t="shared" si="60"/>
        <v>189956.88975688283</v>
      </c>
      <c r="AA54" s="60">
        <f t="shared" si="60"/>
        <v>189956.88975688283</v>
      </c>
      <c r="AB54" s="60">
        <f t="shared" si="60"/>
        <v>189956.88975688283</v>
      </c>
      <c r="AC54" s="94">
        <f t="shared" si="49"/>
        <v>5.2643523553152225E-4</v>
      </c>
      <c r="AD54" s="94">
        <f>IF(D54=".",".",s_RadSpec!$F$9*(AD9*$B54))</f>
        <v>1.3160880888288056E-4</v>
      </c>
      <c r="AE54" s="94">
        <f>IF(E54=".",".",s_RadSpec!$F$9*(AE9*$B54))</f>
        <v>1.3160880888288056E-4</v>
      </c>
      <c r="AF54" s="94">
        <f>IF(F54=".",".",s_RadSpec!$F$9*(AF9*$B54))</f>
        <v>1.3160880888288056E-4</v>
      </c>
      <c r="AG54" s="94">
        <f>IF(G54=".",".",s_RadSpec!$F$9*(AG9*$B54))</f>
        <v>1.3160880888288056E-4</v>
      </c>
      <c r="AH54" s="94">
        <f>IF(H54=".",".",s_RadSpec!$F$9*(AH9*$B54))</f>
        <v>1.3160880888288056E-4</v>
      </c>
      <c r="AI54" s="94">
        <f>IF(I54=".",".",s_RadSpec!$F$9*(AI9*$B54))</f>
        <v>1.3160880888288056E-4</v>
      </c>
      <c r="AJ54" s="94">
        <f>IF(J54=".",".",s_RadSpec!$F$9*(AJ9*$B54))</f>
        <v>1.3160880888288056E-4</v>
      </c>
      <c r="AK54" s="94">
        <f>IF(K54=".",".",s_RadSpec!$F$9*(AK9*$B54))</f>
        <v>1.3160880888288056E-4</v>
      </c>
      <c r="AL54" s="94">
        <f>IF(L54=".",".",s_RadSpec!$F$9*(AL9*$B54))</f>
        <v>1.3160880888288056E-4</v>
      </c>
      <c r="AM54" s="94">
        <f>IF(M54=".",".",s_RadSpec!$F$9*(AM9*$B54))</f>
        <v>1.3160880888288056E-4</v>
      </c>
      <c r="AN54" s="94">
        <f>IF(N54=".",".",s_RadSpec!$F$9*(AN9*$B54))</f>
        <v>1.3160880888288056E-4</v>
      </c>
      <c r="AO54" s="94">
        <f>IF(O54=".",".",s_RadSpec!$F$9*(AO9*$B54))</f>
        <v>1.3160880888288056E-4</v>
      </c>
      <c r="AP54" s="94">
        <f>IF(P54=".",".",s_RadSpec!$F$9*(AP9*$B54))</f>
        <v>1.3160880888288056E-4</v>
      </c>
      <c r="AQ54" s="94">
        <f>IF(Q54=".",".",s_RadSpec!$F$9*(AQ9*$B54))</f>
        <v>1.3160880888288056E-4</v>
      </c>
      <c r="AR54" s="94">
        <f>IF(R54=".",".",s_RadSpec!$F$9*(AR9*$B54))</f>
        <v>1.3160880888288056E-4</v>
      </c>
      <c r="AS54" s="94">
        <f>IF(S54=".",".",s_RadSpec!$F$9*(AS9*$B54))</f>
        <v>1.3160880888288056E-4</v>
      </c>
      <c r="AT54" s="94">
        <f>IF(T54=".",".",s_RadSpec!$F$9*(AT9*$B54))</f>
        <v>1.3160880888288056E-4</v>
      </c>
      <c r="AU54" s="94">
        <f>IF(U54=".",".",s_RadSpec!$F$9*(AU9*$B54))</f>
        <v>1.3160880888288056E-4</v>
      </c>
      <c r="AV54" s="94">
        <f>IF(V54=".",".",s_RadSpec!$F$9*(AV9*$B54))</f>
        <v>1.3160880888288056E-4</v>
      </c>
      <c r="AW54" s="94">
        <f>IF(W54=".",".",s_RadSpec!$F$9*(AW9*$B54))</f>
        <v>1.3160880888288056E-4</v>
      </c>
      <c r="AX54" s="94">
        <f>IF(X54=".",".",s_RadSpec!$F$9*(AX9*$B54))</f>
        <v>1.3160880888288056E-4</v>
      </c>
      <c r="AY54" s="94">
        <f>IF(Y54=".",".",s_RadSpec!$F$9*(AY9*$B54))</f>
        <v>1.3160880888288056E-4</v>
      </c>
      <c r="AZ54" s="94">
        <f>IF(Z54=".",".",s_RadSpec!$F$9*(AZ9*$B54))</f>
        <v>1.3160880888288056E-4</v>
      </c>
      <c r="BA54" s="94">
        <f>IF(AA54=".",".",s_RadSpec!$F$9*(BA9*$B54))</f>
        <v>1.3160880888288056E-4</v>
      </c>
      <c r="BB54" s="94">
        <f>IF(AB54=".",".",s_RadSpec!$F$9*(BB9*$B54))</f>
        <v>1.3160880888288056E-4</v>
      </c>
      <c r="BC54" s="60">
        <f t="shared" ref="BC54:CB54" si="61">IFERROR(BC9/$B54,".")</f>
        <v>47489.222439220706</v>
      </c>
      <c r="BD54" s="60">
        <f t="shared" si="61"/>
        <v>189956.88975688283</v>
      </c>
      <c r="BE54" s="60">
        <f t="shared" si="61"/>
        <v>189956.88975688283</v>
      </c>
      <c r="BF54" s="60">
        <f t="shared" si="61"/>
        <v>189956.88975688283</v>
      </c>
      <c r="BG54" s="60">
        <f t="shared" si="61"/>
        <v>189956.88975688283</v>
      </c>
      <c r="BH54" s="60">
        <f t="shared" si="61"/>
        <v>189956.88975688283</v>
      </c>
      <c r="BI54" s="60">
        <f t="shared" si="61"/>
        <v>189956.88975688283</v>
      </c>
      <c r="BJ54" s="60">
        <f t="shared" si="61"/>
        <v>189956.88975688283</v>
      </c>
      <c r="BK54" s="60">
        <f t="shared" si="61"/>
        <v>189956.88975688283</v>
      </c>
      <c r="BL54" s="60">
        <f t="shared" si="61"/>
        <v>189956.88975688283</v>
      </c>
      <c r="BM54" s="60">
        <f t="shared" si="61"/>
        <v>189956.88975688283</v>
      </c>
      <c r="BN54" s="60">
        <f t="shared" si="61"/>
        <v>189956.88975688283</v>
      </c>
      <c r="BO54" s="60">
        <f t="shared" si="61"/>
        <v>189956.88975688283</v>
      </c>
      <c r="BP54" s="60">
        <f t="shared" si="61"/>
        <v>189956.88975688283</v>
      </c>
      <c r="BQ54" s="60">
        <f t="shared" si="61"/>
        <v>189956.88975688283</v>
      </c>
      <c r="BR54" s="60">
        <f t="shared" si="61"/>
        <v>189956.88975688283</v>
      </c>
      <c r="BS54" s="60">
        <f t="shared" si="61"/>
        <v>189956.88975688283</v>
      </c>
      <c r="BT54" s="60">
        <f t="shared" si="61"/>
        <v>189956.88975688283</v>
      </c>
      <c r="BU54" s="60">
        <f t="shared" si="61"/>
        <v>189956.88975688283</v>
      </c>
      <c r="BV54" s="60">
        <f t="shared" si="61"/>
        <v>189956.88975688283</v>
      </c>
      <c r="BW54" s="60">
        <f t="shared" si="61"/>
        <v>189956.88975688283</v>
      </c>
      <c r="BX54" s="60">
        <f t="shared" si="61"/>
        <v>189956.88975688283</v>
      </c>
      <c r="BY54" s="60">
        <f t="shared" si="61"/>
        <v>189956.88975688283</v>
      </c>
      <c r="BZ54" s="60">
        <f t="shared" si="61"/>
        <v>189956.88975688283</v>
      </c>
      <c r="CA54" s="60">
        <f t="shared" si="61"/>
        <v>189956.88975688283</v>
      </c>
      <c r="CB54" s="60">
        <f t="shared" si="61"/>
        <v>189956.88975688283</v>
      </c>
      <c r="CC54" s="94">
        <f t="shared" si="51"/>
        <v>5.2643523553152225E-4</v>
      </c>
      <c r="CD54" s="94">
        <f>IF(BD54=".",".",s_RadSpec!$F$9*(CD9*$B54))</f>
        <v>1.3160880888288056E-4</v>
      </c>
      <c r="CE54" s="94">
        <f>IF(BE54=".",".",s_RadSpec!$F$9*(CE9*$B54))</f>
        <v>1.3160880888288056E-4</v>
      </c>
      <c r="CF54" s="94">
        <f>IF(BF54=".",".",s_RadSpec!$F$9*(CF9*$B54))</f>
        <v>1.3160880888288056E-4</v>
      </c>
      <c r="CG54" s="94">
        <f>IF(BG54=".",".",s_RadSpec!$F$9*(CG9*$B54))</f>
        <v>1.3160880888288056E-4</v>
      </c>
      <c r="CH54" s="94">
        <f>IF(BH54=".",".",s_RadSpec!$F$9*(CH9*$B54))</f>
        <v>1.3160880888288056E-4</v>
      </c>
      <c r="CI54" s="94">
        <f>IF(BI54=".",".",s_RadSpec!$F$9*(CI9*$B54))</f>
        <v>1.3160880888288056E-4</v>
      </c>
      <c r="CJ54" s="94">
        <f>IF(BJ54=".",".",s_RadSpec!$F$9*(CJ9*$B54))</f>
        <v>1.3160880888288056E-4</v>
      </c>
      <c r="CK54" s="94">
        <f>IF(BK54=".",".",s_RadSpec!$F$9*(CK9*$B54))</f>
        <v>1.3160880888288056E-4</v>
      </c>
      <c r="CL54" s="94">
        <f>IF(BL54=".",".",s_RadSpec!$F$9*(CL9*$B54))</f>
        <v>1.3160880888288056E-4</v>
      </c>
      <c r="CM54" s="94">
        <f>IF(BM54=".",".",s_RadSpec!$F$9*(CM9*$B54))</f>
        <v>1.3160880888288056E-4</v>
      </c>
      <c r="CN54" s="94">
        <f>IF(BN54=".",".",s_RadSpec!$F$9*(CN9*$B54))</f>
        <v>1.3160880888288056E-4</v>
      </c>
      <c r="CO54" s="94">
        <f>IF(BO54=".",".",s_RadSpec!$F$9*(CO9*$B54))</f>
        <v>1.3160880888288056E-4</v>
      </c>
      <c r="CP54" s="94">
        <f>IF(BP54=".",".",s_RadSpec!$F$9*(CP9*$B54))</f>
        <v>1.3160880888288056E-4</v>
      </c>
      <c r="CQ54" s="94">
        <f>IF(BQ54=".",".",s_RadSpec!$F$9*(CQ9*$B54))</f>
        <v>1.3160880888288056E-4</v>
      </c>
      <c r="CR54" s="94">
        <f>IF(BR54=".",".",s_RadSpec!$F$9*(CR9*$B54))</f>
        <v>1.3160880888288056E-4</v>
      </c>
      <c r="CS54" s="94">
        <f>IF(BS54=".",".",s_RadSpec!$F$9*(CS9*$B54))</f>
        <v>1.3160880888288056E-4</v>
      </c>
      <c r="CT54" s="94">
        <f>IF(BT54=".",".",s_RadSpec!$F$9*(CT9*$B54))</f>
        <v>1.3160880888288056E-4</v>
      </c>
      <c r="CU54" s="94">
        <f>IF(BU54=".",".",s_RadSpec!$F$9*(CU9*$B54))</f>
        <v>1.3160880888288056E-4</v>
      </c>
      <c r="CV54" s="94">
        <f>IF(BV54=".",".",s_RadSpec!$F$9*(CV9*$B54))</f>
        <v>1.3160880888288056E-4</v>
      </c>
      <c r="CW54" s="94">
        <f>IF(BW54=".",".",s_RadSpec!$F$9*(CW9*$B54))</f>
        <v>1.3160880888288056E-4</v>
      </c>
      <c r="CX54" s="94">
        <f>IF(BX54=".",".",s_RadSpec!$F$9*(CX9*$B54))</f>
        <v>1.3160880888288056E-4</v>
      </c>
      <c r="CY54" s="94">
        <f>IF(BY54=".",".",s_RadSpec!$F$9*(CY9*$B54))</f>
        <v>1.3160880888288056E-4</v>
      </c>
      <c r="CZ54" s="94">
        <f>IF(BZ54=".",".",s_RadSpec!$F$9*(CZ9*$B54))</f>
        <v>1.3160880888288056E-4</v>
      </c>
      <c r="DA54" s="94">
        <f>IF(CA54=".",".",s_RadSpec!$F$9*(DA9*$B54))</f>
        <v>1.3160880888288056E-4</v>
      </c>
      <c r="DB54" s="94">
        <f>IF(CB54=".",".",s_RadSpec!$F$9*(DB9*$B54))</f>
        <v>1.3160880888288056E-4</v>
      </c>
    </row>
    <row r="55" spans="1:106" s="42" customFormat="1" x14ac:dyDescent="0.25">
      <c r="A55" s="77" t="s">
        <v>1076</v>
      </c>
      <c r="B55" s="42">
        <v>1.9999999999999999E-7</v>
      </c>
      <c r="C55" s="60" t="str">
        <f t="shared" ref="C55:AB55" si="62">IFERROR(C24/$B55,".")</f>
        <v>.</v>
      </c>
      <c r="D55" s="60" t="str">
        <f t="shared" si="62"/>
        <v>.</v>
      </c>
      <c r="E55" s="60" t="str">
        <f t="shared" si="62"/>
        <v>.</v>
      </c>
      <c r="F55" s="60" t="str">
        <f t="shared" si="62"/>
        <v>.</v>
      </c>
      <c r="G55" s="60" t="str">
        <f t="shared" si="62"/>
        <v>.</v>
      </c>
      <c r="H55" s="60" t="str">
        <f t="shared" si="62"/>
        <v>.</v>
      </c>
      <c r="I55" s="60" t="str">
        <f t="shared" si="62"/>
        <v>.</v>
      </c>
      <c r="J55" s="60" t="str">
        <f t="shared" si="62"/>
        <v>.</v>
      </c>
      <c r="K55" s="60" t="str">
        <f t="shared" si="62"/>
        <v>.</v>
      </c>
      <c r="L55" s="60" t="str">
        <f t="shared" si="62"/>
        <v>.</v>
      </c>
      <c r="M55" s="60" t="str">
        <f t="shared" si="62"/>
        <v>.</v>
      </c>
      <c r="N55" s="60" t="str">
        <f t="shared" si="62"/>
        <v>.</v>
      </c>
      <c r="O55" s="60" t="str">
        <f t="shared" si="62"/>
        <v>.</v>
      </c>
      <c r="P55" s="60" t="str">
        <f t="shared" si="62"/>
        <v>.</v>
      </c>
      <c r="Q55" s="60" t="str">
        <f t="shared" si="62"/>
        <v>.</v>
      </c>
      <c r="R55" s="60" t="str">
        <f t="shared" si="62"/>
        <v>.</v>
      </c>
      <c r="S55" s="60" t="str">
        <f t="shared" si="62"/>
        <v>.</v>
      </c>
      <c r="T55" s="60" t="str">
        <f t="shared" si="62"/>
        <v>.</v>
      </c>
      <c r="U55" s="60" t="str">
        <f t="shared" si="62"/>
        <v>.</v>
      </c>
      <c r="V55" s="60" t="str">
        <f t="shared" si="62"/>
        <v>.</v>
      </c>
      <c r="W55" s="60" t="str">
        <f t="shared" si="62"/>
        <v>.</v>
      </c>
      <c r="X55" s="60" t="str">
        <f t="shared" si="62"/>
        <v>.</v>
      </c>
      <c r="Y55" s="60" t="str">
        <f t="shared" si="62"/>
        <v>.</v>
      </c>
      <c r="Z55" s="60" t="str">
        <f t="shared" si="62"/>
        <v>.</v>
      </c>
      <c r="AA55" s="60" t="str">
        <f t="shared" si="62"/>
        <v>.</v>
      </c>
      <c r="AB55" s="60" t="str">
        <f t="shared" si="62"/>
        <v>.</v>
      </c>
      <c r="AC55" s="94" t="str">
        <f t="shared" si="49"/>
        <v>.</v>
      </c>
      <c r="AD55" s="94" t="str">
        <f>IF(D55=".",".",s_RadSpec!$F$24*(AD24*$B55))</f>
        <v>.</v>
      </c>
      <c r="AE55" s="94" t="str">
        <f>IF(E55=".",".",s_RadSpec!$F$24*(AE24*$B55))</f>
        <v>.</v>
      </c>
      <c r="AF55" s="94" t="str">
        <f>IF(F55=".",".",s_RadSpec!$F$24*(AF24*$B55))</f>
        <v>.</v>
      </c>
      <c r="AG55" s="94" t="str">
        <f>IF(G55=".",".",s_RadSpec!$F$24*(AG24*$B55))</f>
        <v>.</v>
      </c>
      <c r="AH55" s="94" t="str">
        <f>IF(H55=".",".",s_RadSpec!$F$24*(AH24*$B55))</f>
        <v>.</v>
      </c>
      <c r="AI55" s="94" t="str">
        <f>IF(I55=".",".",s_RadSpec!$F$24*(AI24*$B55))</f>
        <v>.</v>
      </c>
      <c r="AJ55" s="94" t="str">
        <f>IF(J55=".",".",s_RadSpec!$F$24*(AJ24*$B55))</f>
        <v>.</v>
      </c>
      <c r="AK55" s="94" t="str">
        <f>IF(K55=".",".",s_RadSpec!$F$24*(AK24*$B55))</f>
        <v>.</v>
      </c>
      <c r="AL55" s="94" t="str">
        <f>IF(L55=".",".",s_RadSpec!$F$24*(AL24*$B55))</f>
        <v>.</v>
      </c>
      <c r="AM55" s="94" t="str">
        <f>IF(M55=".",".",s_RadSpec!$F$24*(AM24*$B55))</f>
        <v>.</v>
      </c>
      <c r="AN55" s="94" t="str">
        <f>IF(N55=".",".",s_RadSpec!$F$24*(AN24*$B55))</f>
        <v>.</v>
      </c>
      <c r="AO55" s="94" t="str">
        <f>IF(O55=".",".",s_RadSpec!$F$24*(AO24*$B55))</f>
        <v>.</v>
      </c>
      <c r="AP55" s="94" t="str">
        <f>IF(P55=".",".",s_RadSpec!$F$24*(AP24*$B55))</f>
        <v>.</v>
      </c>
      <c r="AQ55" s="94" t="str">
        <f>IF(Q55=".",".",s_RadSpec!$F$24*(AQ24*$B55))</f>
        <v>.</v>
      </c>
      <c r="AR55" s="94" t="str">
        <f>IF(R55=".",".",s_RadSpec!$F$24*(AR24*$B55))</f>
        <v>.</v>
      </c>
      <c r="AS55" s="94" t="str">
        <f>IF(S55=".",".",s_RadSpec!$F$24*(AS24*$B55))</f>
        <v>.</v>
      </c>
      <c r="AT55" s="94" t="str">
        <f>IF(T55=".",".",s_RadSpec!$F$24*(AT24*$B55))</f>
        <v>.</v>
      </c>
      <c r="AU55" s="94" t="str">
        <f>IF(U55=".",".",s_RadSpec!$F$24*(AU24*$B55))</f>
        <v>.</v>
      </c>
      <c r="AV55" s="94" t="str">
        <f>IF(V55=".",".",s_RadSpec!$F$24*(AV24*$B55))</f>
        <v>.</v>
      </c>
      <c r="AW55" s="94" t="str">
        <f>IF(W55=".",".",s_RadSpec!$F$24*(AW24*$B55))</f>
        <v>.</v>
      </c>
      <c r="AX55" s="94" t="str">
        <f>IF(X55=".",".",s_RadSpec!$F$24*(AX24*$B55))</f>
        <v>.</v>
      </c>
      <c r="AY55" s="94" t="str">
        <f>IF(Y55=".",".",s_RadSpec!$F$24*(AY24*$B55))</f>
        <v>.</v>
      </c>
      <c r="AZ55" s="94" t="str">
        <f>IF(Z55=".",".",s_RadSpec!$F$24*(AZ24*$B55))</f>
        <v>.</v>
      </c>
      <c r="BA55" s="94" t="str">
        <f>IF(AA55=".",".",s_RadSpec!$F$24*(BA24*$B55))</f>
        <v>.</v>
      </c>
      <c r="BB55" s="94" t="str">
        <f>IF(AB55=".",".",s_RadSpec!$F$24*(BB24*$B55))</f>
        <v>.</v>
      </c>
      <c r="BC55" s="60" t="str">
        <f t="shared" ref="BC55:CB55" si="63">IFERROR(BC24/$B55,".")</f>
        <v>.</v>
      </c>
      <c r="BD55" s="60" t="str">
        <f t="shared" si="63"/>
        <v>.</v>
      </c>
      <c r="BE55" s="60" t="str">
        <f t="shared" si="63"/>
        <v>.</v>
      </c>
      <c r="BF55" s="60" t="str">
        <f t="shared" si="63"/>
        <v>.</v>
      </c>
      <c r="BG55" s="60" t="str">
        <f t="shared" si="63"/>
        <v>.</v>
      </c>
      <c r="BH55" s="60" t="str">
        <f t="shared" si="63"/>
        <v>.</v>
      </c>
      <c r="BI55" s="60" t="str">
        <f t="shared" si="63"/>
        <v>.</v>
      </c>
      <c r="BJ55" s="60" t="str">
        <f t="shared" si="63"/>
        <v>.</v>
      </c>
      <c r="BK55" s="60" t="str">
        <f t="shared" si="63"/>
        <v>.</v>
      </c>
      <c r="BL55" s="60" t="str">
        <f t="shared" si="63"/>
        <v>.</v>
      </c>
      <c r="BM55" s="60" t="str">
        <f t="shared" si="63"/>
        <v>.</v>
      </c>
      <c r="BN55" s="60" t="str">
        <f t="shared" si="63"/>
        <v>.</v>
      </c>
      <c r="BO55" s="60" t="str">
        <f t="shared" si="63"/>
        <v>.</v>
      </c>
      <c r="BP55" s="60" t="str">
        <f t="shared" si="63"/>
        <v>.</v>
      </c>
      <c r="BQ55" s="60" t="str">
        <f t="shared" si="63"/>
        <v>.</v>
      </c>
      <c r="BR55" s="60" t="str">
        <f t="shared" si="63"/>
        <v>.</v>
      </c>
      <c r="BS55" s="60" t="str">
        <f t="shared" si="63"/>
        <v>.</v>
      </c>
      <c r="BT55" s="60" t="str">
        <f t="shared" si="63"/>
        <v>.</v>
      </c>
      <c r="BU55" s="60" t="str">
        <f t="shared" si="63"/>
        <v>.</v>
      </c>
      <c r="BV55" s="60" t="str">
        <f t="shared" si="63"/>
        <v>.</v>
      </c>
      <c r="BW55" s="60" t="str">
        <f t="shared" si="63"/>
        <v>.</v>
      </c>
      <c r="BX55" s="60" t="str">
        <f t="shared" si="63"/>
        <v>.</v>
      </c>
      <c r="BY55" s="60" t="str">
        <f t="shared" si="63"/>
        <v>.</v>
      </c>
      <c r="BZ55" s="60" t="str">
        <f t="shared" si="63"/>
        <v>.</v>
      </c>
      <c r="CA55" s="60" t="str">
        <f t="shared" si="63"/>
        <v>.</v>
      </c>
      <c r="CB55" s="60" t="str">
        <f t="shared" si="63"/>
        <v>.</v>
      </c>
      <c r="CC55" s="94" t="str">
        <f t="shared" si="51"/>
        <v>.</v>
      </c>
      <c r="CD55" s="94" t="str">
        <f>IF(BD55=".",".",s_RadSpec!$F$24*(CD24*$B55))</f>
        <v>.</v>
      </c>
      <c r="CE55" s="94" t="str">
        <f>IF(BE55=".",".",s_RadSpec!$F$24*(CE24*$B55))</f>
        <v>.</v>
      </c>
      <c r="CF55" s="94" t="str">
        <f>IF(BF55=".",".",s_RadSpec!$F$24*(CF24*$B55))</f>
        <v>.</v>
      </c>
      <c r="CG55" s="94" t="str">
        <f>IF(BG55=".",".",s_RadSpec!$F$24*(CG24*$B55))</f>
        <v>.</v>
      </c>
      <c r="CH55" s="94" t="str">
        <f>IF(BH55=".",".",s_RadSpec!$F$24*(CH24*$B55))</f>
        <v>.</v>
      </c>
      <c r="CI55" s="94" t="str">
        <f>IF(BI55=".",".",s_RadSpec!$F$24*(CI24*$B55))</f>
        <v>.</v>
      </c>
      <c r="CJ55" s="94" t="str">
        <f>IF(BJ55=".",".",s_RadSpec!$F$24*(CJ24*$B55))</f>
        <v>.</v>
      </c>
      <c r="CK55" s="94" t="str">
        <f>IF(BK55=".",".",s_RadSpec!$F$24*(CK24*$B55))</f>
        <v>.</v>
      </c>
      <c r="CL55" s="94" t="str">
        <f>IF(BL55=".",".",s_RadSpec!$F$24*(CL24*$B55))</f>
        <v>.</v>
      </c>
      <c r="CM55" s="94" t="str">
        <f>IF(BM55=".",".",s_RadSpec!$F$24*(CM24*$B55))</f>
        <v>.</v>
      </c>
      <c r="CN55" s="94" t="str">
        <f>IF(BN55=".",".",s_RadSpec!$F$24*(CN24*$B55))</f>
        <v>.</v>
      </c>
      <c r="CO55" s="94" t="str">
        <f>IF(BO55=".",".",s_RadSpec!$F$24*(CO24*$B55))</f>
        <v>.</v>
      </c>
      <c r="CP55" s="94" t="str">
        <f>IF(BP55=".",".",s_RadSpec!$F$24*(CP24*$B55))</f>
        <v>.</v>
      </c>
      <c r="CQ55" s="94" t="str">
        <f>IF(BQ55=".",".",s_RadSpec!$F$24*(CQ24*$B55))</f>
        <v>.</v>
      </c>
      <c r="CR55" s="94" t="str">
        <f>IF(BR55=".",".",s_RadSpec!$F$24*(CR24*$B55))</f>
        <v>.</v>
      </c>
      <c r="CS55" s="94" t="str">
        <f>IF(BS55=".",".",s_RadSpec!$F$24*(CS24*$B55))</f>
        <v>.</v>
      </c>
      <c r="CT55" s="94" t="str">
        <f>IF(BT55=".",".",s_RadSpec!$F$24*(CT24*$B55))</f>
        <v>.</v>
      </c>
      <c r="CU55" s="94" t="str">
        <f>IF(BU55=".",".",s_RadSpec!$F$24*(CU24*$B55))</f>
        <v>.</v>
      </c>
      <c r="CV55" s="94" t="str">
        <f>IF(BV55=".",".",s_RadSpec!$F$24*(CV24*$B55))</f>
        <v>.</v>
      </c>
      <c r="CW55" s="94" t="str">
        <f>IF(BW55=".",".",s_RadSpec!$F$24*(CW24*$B55))</f>
        <v>.</v>
      </c>
      <c r="CX55" s="94" t="str">
        <f>IF(BX55=".",".",s_RadSpec!$F$24*(CX24*$B55))</f>
        <v>.</v>
      </c>
      <c r="CY55" s="94" t="str">
        <f>IF(BY55=".",".",s_RadSpec!$F$24*(CY24*$B55))</f>
        <v>.</v>
      </c>
      <c r="CZ55" s="94" t="str">
        <f>IF(BZ55=".",".",s_RadSpec!$F$24*(CZ24*$B55))</f>
        <v>.</v>
      </c>
      <c r="DA55" s="94" t="str">
        <f>IF(CA55=".",".",s_RadSpec!$F$24*(DA24*$B55))</f>
        <v>.</v>
      </c>
      <c r="DB55" s="94" t="str">
        <f>IF(CB55=".",".",s_RadSpec!$F$24*(DB24*$B55))</f>
        <v>.</v>
      </c>
    </row>
    <row r="56" spans="1:106" s="42" customFormat="1" x14ac:dyDescent="0.25">
      <c r="A56" s="77" t="s">
        <v>1077</v>
      </c>
      <c r="B56" s="42">
        <v>0.99979000004200003</v>
      </c>
      <c r="C56" s="60" t="str">
        <f t="shared" ref="C56:AB56" si="64">IFERROR(C20/$B56,".")</f>
        <v>.</v>
      </c>
      <c r="D56" s="60" t="str">
        <f t="shared" si="64"/>
        <v>.</v>
      </c>
      <c r="E56" s="60" t="str">
        <f t="shared" si="64"/>
        <v>.</v>
      </c>
      <c r="F56" s="60" t="str">
        <f t="shared" si="64"/>
        <v>.</v>
      </c>
      <c r="G56" s="60" t="str">
        <f t="shared" si="64"/>
        <v>.</v>
      </c>
      <c r="H56" s="60" t="str">
        <f t="shared" si="64"/>
        <v>.</v>
      </c>
      <c r="I56" s="60" t="str">
        <f t="shared" si="64"/>
        <v>.</v>
      </c>
      <c r="J56" s="60" t="str">
        <f t="shared" si="64"/>
        <v>.</v>
      </c>
      <c r="K56" s="60" t="str">
        <f t="shared" si="64"/>
        <v>.</v>
      </c>
      <c r="L56" s="60" t="str">
        <f t="shared" si="64"/>
        <v>.</v>
      </c>
      <c r="M56" s="60" t="str">
        <f t="shared" si="64"/>
        <v>.</v>
      </c>
      <c r="N56" s="60" t="str">
        <f t="shared" si="64"/>
        <v>.</v>
      </c>
      <c r="O56" s="60" t="str">
        <f t="shared" si="64"/>
        <v>.</v>
      </c>
      <c r="P56" s="60" t="str">
        <f t="shared" si="64"/>
        <v>.</v>
      </c>
      <c r="Q56" s="60" t="str">
        <f t="shared" si="64"/>
        <v>.</v>
      </c>
      <c r="R56" s="60" t="str">
        <f t="shared" si="64"/>
        <v>.</v>
      </c>
      <c r="S56" s="60" t="str">
        <f t="shared" si="64"/>
        <v>.</v>
      </c>
      <c r="T56" s="60" t="str">
        <f t="shared" si="64"/>
        <v>.</v>
      </c>
      <c r="U56" s="60" t="str">
        <f t="shared" si="64"/>
        <v>.</v>
      </c>
      <c r="V56" s="60" t="str">
        <f t="shared" si="64"/>
        <v>.</v>
      </c>
      <c r="W56" s="60" t="str">
        <f t="shared" si="64"/>
        <v>.</v>
      </c>
      <c r="X56" s="60" t="str">
        <f t="shared" si="64"/>
        <v>.</v>
      </c>
      <c r="Y56" s="60" t="str">
        <f t="shared" si="64"/>
        <v>.</v>
      </c>
      <c r="Z56" s="60" t="str">
        <f t="shared" si="64"/>
        <v>.</v>
      </c>
      <c r="AA56" s="60" t="str">
        <f t="shared" si="64"/>
        <v>.</v>
      </c>
      <c r="AB56" s="60" t="str">
        <f t="shared" si="64"/>
        <v>.</v>
      </c>
      <c r="AC56" s="94" t="str">
        <f t="shared" si="49"/>
        <v>.</v>
      </c>
      <c r="AD56" s="94" t="str">
        <f>IF(D56=".",".",s_RadSpec!$F$20*(AD20*$B56))</f>
        <v>.</v>
      </c>
      <c r="AE56" s="94" t="str">
        <f>IF(E56=".",".",s_RadSpec!$F$20*(AE20*$B56))</f>
        <v>.</v>
      </c>
      <c r="AF56" s="94" t="str">
        <f>IF(F56=".",".",s_RadSpec!$F$20*(AF20*$B56))</f>
        <v>.</v>
      </c>
      <c r="AG56" s="94" t="str">
        <f>IF(G56=".",".",s_RadSpec!$F$20*(AG20*$B56))</f>
        <v>.</v>
      </c>
      <c r="AH56" s="94" t="str">
        <f>IF(H56=".",".",s_RadSpec!$F$20*(AH20*$B56))</f>
        <v>.</v>
      </c>
      <c r="AI56" s="94" t="str">
        <f>IF(I56=".",".",s_RadSpec!$F$20*(AI20*$B56))</f>
        <v>.</v>
      </c>
      <c r="AJ56" s="94" t="str">
        <f>IF(J56=".",".",s_RadSpec!$F$20*(AJ20*$B56))</f>
        <v>.</v>
      </c>
      <c r="AK56" s="94" t="str">
        <f>IF(K56=".",".",s_RadSpec!$F$20*(AK20*$B56))</f>
        <v>.</v>
      </c>
      <c r="AL56" s="94" t="str">
        <f>IF(L56=".",".",s_RadSpec!$F$20*(AL20*$B56))</f>
        <v>.</v>
      </c>
      <c r="AM56" s="94" t="str">
        <f>IF(M56=".",".",s_RadSpec!$F$20*(AM20*$B56))</f>
        <v>.</v>
      </c>
      <c r="AN56" s="94" t="str">
        <f>IF(N56=".",".",s_RadSpec!$F$20*(AN20*$B56))</f>
        <v>.</v>
      </c>
      <c r="AO56" s="94" t="str">
        <f>IF(O56=".",".",s_RadSpec!$F$20*(AO20*$B56))</f>
        <v>.</v>
      </c>
      <c r="AP56" s="94" t="str">
        <f>IF(P56=".",".",s_RadSpec!$F$20*(AP20*$B56))</f>
        <v>.</v>
      </c>
      <c r="AQ56" s="94" t="str">
        <f>IF(Q56=".",".",s_RadSpec!$F$20*(AQ20*$B56))</f>
        <v>.</v>
      </c>
      <c r="AR56" s="94" t="str">
        <f>IF(R56=".",".",s_RadSpec!$F$20*(AR20*$B56))</f>
        <v>.</v>
      </c>
      <c r="AS56" s="94" t="str">
        <f>IF(S56=".",".",s_RadSpec!$F$20*(AS20*$B56))</f>
        <v>.</v>
      </c>
      <c r="AT56" s="94" t="str">
        <f>IF(T56=".",".",s_RadSpec!$F$20*(AT20*$B56))</f>
        <v>.</v>
      </c>
      <c r="AU56" s="94" t="str">
        <f>IF(U56=".",".",s_RadSpec!$F$20*(AU20*$B56))</f>
        <v>.</v>
      </c>
      <c r="AV56" s="94" t="str">
        <f>IF(V56=".",".",s_RadSpec!$F$20*(AV20*$B56))</f>
        <v>.</v>
      </c>
      <c r="AW56" s="94" t="str">
        <f>IF(W56=".",".",s_RadSpec!$F$20*(AW20*$B56))</f>
        <v>.</v>
      </c>
      <c r="AX56" s="94" t="str">
        <f>IF(X56=".",".",s_RadSpec!$F$20*(AX20*$B56))</f>
        <v>.</v>
      </c>
      <c r="AY56" s="94" t="str">
        <f>IF(Y56=".",".",s_RadSpec!$F$20*(AY20*$B56))</f>
        <v>.</v>
      </c>
      <c r="AZ56" s="94" t="str">
        <f>IF(Z56=".",".",s_RadSpec!$F$20*(AZ20*$B56))</f>
        <v>.</v>
      </c>
      <c r="BA56" s="94" t="str">
        <f>IF(AA56=".",".",s_RadSpec!$F$20*(BA20*$B56))</f>
        <v>.</v>
      </c>
      <c r="BB56" s="94" t="str">
        <f>IF(AB56=".",".",s_RadSpec!$F$20*(BB20*$B56))</f>
        <v>.</v>
      </c>
      <c r="BC56" s="60" t="str">
        <f t="shared" ref="BC56:CB56" si="65">IFERROR(BC20/$B56,".")</f>
        <v>.</v>
      </c>
      <c r="BD56" s="60" t="str">
        <f t="shared" si="65"/>
        <v>.</v>
      </c>
      <c r="BE56" s="60" t="str">
        <f t="shared" si="65"/>
        <v>.</v>
      </c>
      <c r="BF56" s="60" t="str">
        <f t="shared" si="65"/>
        <v>.</v>
      </c>
      <c r="BG56" s="60" t="str">
        <f t="shared" si="65"/>
        <v>.</v>
      </c>
      <c r="BH56" s="60" t="str">
        <f t="shared" si="65"/>
        <v>.</v>
      </c>
      <c r="BI56" s="60" t="str">
        <f t="shared" si="65"/>
        <v>.</v>
      </c>
      <c r="BJ56" s="60" t="str">
        <f t="shared" si="65"/>
        <v>.</v>
      </c>
      <c r="BK56" s="60" t="str">
        <f t="shared" si="65"/>
        <v>.</v>
      </c>
      <c r="BL56" s="60" t="str">
        <f t="shared" si="65"/>
        <v>.</v>
      </c>
      <c r="BM56" s="60" t="str">
        <f t="shared" si="65"/>
        <v>.</v>
      </c>
      <c r="BN56" s="60" t="str">
        <f t="shared" si="65"/>
        <v>.</v>
      </c>
      <c r="BO56" s="60" t="str">
        <f t="shared" si="65"/>
        <v>.</v>
      </c>
      <c r="BP56" s="60" t="str">
        <f t="shared" si="65"/>
        <v>.</v>
      </c>
      <c r="BQ56" s="60" t="str">
        <f t="shared" si="65"/>
        <v>.</v>
      </c>
      <c r="BR56" s="60" t="str">
        <f t="shared" si="65"/>
        <v>.</v>
      </c>
      <c r="BS56" s="60" t="str">
        <f t="shared" si="65"/>
        <v>.</v>
      </c>
      <c r="BT56" s="60" t="str">
        <f t="shared" si="65"/>
        <v>.</v>
      </c>
      <c r="BU56" s="60" t="str">
        <f t="shared" si="65"/>
        <v>.</v>
      </c>
      <c r="BV56" s="60" t="str">
        <f t="shared" si="65"/>
        <v>.</v>
      </c>
      <c r="BW56" s="60" t="str">
        <f t="shared" si="65"/>
        <v>.</v>
      </c>
      <c r="BX56" s="60" t="str">
        <f t="shared" si="65"/>
        <v>.</v>
      </c>
      <c r="BY56" s="60" t="str">
        <f t="shared" si="65"/>
        <v>.</v>
      </c>
      <c r="BZ56" s="60" t="str">
        <f t="shared" si="65"/>
        <v>.</v>
      </c>
      <c r="CA56" s="60" t="str">
        <f t="shared" si="65"/>
        <v>.</v>
      </c>
      <c r="CB56" s="60" t="str">
        <f t="shared" si="65"/>
        <v>.</v>
      </c>
      <c r="CC56" s="94" t="str">
        <f t="shared" si="51"/>
        <v>.</v>
      </c>
      <c r="CD56" s="94" t="str">
        <f>IF(BD56=".",".",s_RadSpec!$F$20*(CD20*$B56))</f>
        <v>.</v>
      </c>
      <c r="CE56" s="94" t="str">
        <f>IF(BE56=".",".",s_RadSpec!$F$20*(CE20*$B56))</f>
        <v>.</v>
      </c>
      <c r="CF56" s="94" t="str">
        <f>IF(BF56=".",".",s_RadSpec!$F$20*(CF20*$B56))</f>
        <v>.</v>
      </c>
      <c r="CG56" s="94" t="str">
        <f>IF(BG56=".",".",s_RadSpec!$F$20*(CG20*$B56))</f>
        <v>.</v>
      </c>
      <c r="CH56" s="94" t="str">
        <f>IF(BH56=".",".",s_RadSpec!$F$20*(CH20*$B56))</f>
        <v>.</v>
      </c>
      <c r="CI56" s="94" t="str">
        <f>IF(BI56=".",".",s_RadSpec!$F$20*(CI20*$B56))</f>
        <v>.</v>
      </c>
      <c r="CJ56" s="94" t="str">
        <f>IF(BJ56=".",".",s_RadSpec!$F$20*(CJ20*$B56))</f>
        <v>.</v>
      </c>
      <c r="CK56" s="94" t="str">
        <f>IF(BK56=".",".",s_RadSpec!$F$20*(CK20*$B56))</f>
        <v>.</v>
      </c>
      <c r="CL56" s="94" t="str">
        <f>IF(BL56=".",".",s_RadSpec!$F$20*(CL20*$B56))</f>
        <v>.</v>
      </c>
      <c r="CM56" s="94" t="str">
        <f>IF(BM56=".",".",s_RadSpec!$F$20*(CM20*$B56))</f>
        <v>.</v>
      </c>
      <c r="CN56" s="94" t="str">
        <f>IF(BN56=".",".",s_RadSpec!$F$20*(CN20*$B56))</f>
        <v>.</v>
      </c>
      <c r="CO56" s="94" t="str">
        <f>IF(BO56=".",".",s_RadSpec!$F$20*(CO20*$B56))</f>
        <v>.</v>
      </c>
      <c r="CP56" s="94" t="str">
        <f>IF(BP56=".",".",s_RadSpec!$F$20*(CP20*$B56))</f>
        <v>.</v>
      </c>
      <c r="CQ56" s="94" t="str">
        <f>IF(BQ56=".",".",s_RadSpec!$F$20*(CQ20*$B56))</f>
        <v>.</v>
      </c>
      <c r="CR56" s="94" t="str">
        <f>IF(BR56=".",".",s_RadSpec!$F$20*(CR20*$B56))</f>
        <v>.</v>
      </c>
      <c r="CS56" s="94" t="str">
        <f>IF(BS56=".",".",s_RadSpec!$F$20*(CS20*$B56))</f>
        <v>.</v>
      </c>
      <c r="CT56" s="94" t="str">
        <f>IF(BT56=".",".",s_RadSpec!$F$20*(CT20*$B56))</f>
        <v>.</v>
      </c>
      <c r="CU56" s="94" t="str">
        <f>IF(BU56=".",".",s_RadSpec!$F$20*(CU20*$B56))</f>
        <v>.</v>
      </c>
      <c r="CV56" s="94" t="str">
        <f>IF(BV56=".",".",s_RadSpec!$F$20*(CV20*$B56))</f>
        <v>.</v>
      </c>
      <c r="CW56" s="94" t="str">
        <f>IF(BW56=".",".",s_RadSpec!$F$20*(CW20*$B56))</f>
        <v>.</v>
      </c>
      <c r="CX56" s="94" t="str">
        <f>IF(BX56=".",".",s_RadSpec!$F$20*(CX20*$B56))</f>
        <v>.</v>
      </c>
      <c r="CY56" s="94" t="str">
        <f>IF(BY56=".",".",s_RadSpec!$F$20*(CY20*$B56))</f>
        <v>.</v>
      </c>
      <c r="CZ56" s="94" t="str">
        <f>IF(BZ56=".",".",s_RadSpec!$F$20*(CZ20*$B56))</f>
        <v>.</v>
      </c>
      <c r="DA56" s="94" t="str">
        <f>IF(CA56=".",".",s_RadSpec!$F$20*(DA20*$B56))</f>
        <v>.</v>
      </c>
      <c r="DB56" s="94" t="str">
        <f>IF(CB56=".",".",s_RadSpec!$F$20*(DB20*$B56))</f>
        <v>.</v>
      </c>
    </row>
    <row r="57" spans="1:106" s="42" customFormat="1" x14ac:dyDescent="0.25">
      <c r="A57" s="77" t="s">
        <v>1078</v>
      </c>
      <c r="B57" s="42">
        <v>2.0999995799999999E-4</v>
      </c>
      <c r="C57" s="60" t="str">
        <f t="shared" ref="C57:AB57" si="66">IFERROR(C29/$B57,".")</f>
        <v>.</v>
      </c>
      <c r="D57" s="60" t="str">
        <f t="shared" si="66"/>
        <v>.</v>
      </c>
      <c r="E57" s="60" t="str">
        <f t="shared" si="66"/>
        <v>.</v>
      </c>
      <c r="F57" s="60" t="str">
        <f t="shared" si="66"/>
        <v>.</v>
      </c>
      <c r="G57" s="60" t="str">
        <f t="shared" si="66"/>
        <v>.</v>
      </c>
      <c r="H57" s="60" t="str">
        <f t="shared" si="66"/>
        <v>.</v>
      </c>
      <c r="I57" s="60" t="str">
        <f t="shared" si="66"/>
        <v>.</v>
      </c>
      <c r="J57" s="60" t="str">
        <f t="shared" si="66"/>
        <v>.</v>
      </c>
      <c r="K57" s="60" t="str">
        <f t="shared" si="66"/>
        <v>.</v>
      </c>
      <c r="L57" s="60" t="str">
        <f t="shared" si="66"/>
        <v>.</v>
      </c>
      <c r="M57" s="60" t="str">
        <f t="shared" si="66"/>
        <v>.</v>
      </c>
      <c r="N57" s="60" t="str">
        <f t="shared" si="66"/>
        <v>.</v>
      </c>
      <c r="O57" s="60" t="str">
        <f t="shared" si="66"/>
        <v>.</v>
      </c>
      <c r="P57" s="60" t="str">
        <f t="shared" si="66"/>
        <v>.</v>
      </c>
      <c r="Q57" s="60" t="str">
        <f t="shared" si="66"/>
        <v>.</v>
      </c>
      <c r="R57" s="60" t="str">
        <f t="shared" si="66"/>
        <v>.</v>
      </c>
      <c r="S57" s="60" t="str">
        <f t="shared" si="66"/>
        <v>.</v>
      </c>
      <c r="T57" s="60" t="str">
        <f t="shared" si="66"/>
        <v>.</v>
      </c>
      <c r="U57" s="60" t="str">
        <f t="shared" si="66"/>
        <v>.</v>
      </c>
      <c r="V57" s="60" t="str">
        <f t="shared" si="66"/>
        <v>.</v>
      </c>
      <c r="W57" s="60" t="str">
        <f t="shared" si="66"/>
        <v>.</v>
      </c>
      <c r="X57" s="60" t="str">
        <f t="shared" si="66"/>
        <v>.</v>
      </c>
      <c r="Y57" s="60" t="str">
        <f t="shared" si="66"/>
        <v>.</v>
      </c>
      <c r="Z57" s="60" t="str">
        <f t="shared" si="66"/>
        <v>.</v>
      </c>
      <c r="AA57" s="60" t="str">
        <f t="shared" si="66"/>
        <v>.</v>
      </c>
      <c r="AB57" s="60" t="str">
        <f t="shared" si="66"/>
        <v>.</v>
      </c>
      <c r="AC57" s="94" t="str">
        <f t="shared" si="49"/>
        <v>.</v>
      </c>
      <c r="AD57" s="94" t="str">
        <f>IF(D57=".",".",s_RadSpec!$F$29*(AD29*$B57))</f>
        <v>.</v>
      </c>
      <c r="AE57" s="94" t="str">
        <f>IF(E57=".",".",s_RadSpec!$F$29*(AE29*$B57))</f>
        <v>.</v>
      </c>
      <c r="AF57" s="94" t="str">
        <f>IF(F57=".",".",s_RadSpec!$F$29*(AF29*$B57))</f>
        <v>.</v>
      </c>
      <c r="AG57" s="94" t="str">
        <f>IF(G57=".",".",s_RadSpec!$F$29*(AG29*$B57))</f>
        <v>.</v>
      </c>
      <c r="AH57" s="94" t="str">
        <f>IF(H57=".",".",s_RadSpec!$F$29*(AH29*$B57))</f>
        <v>.</v>
      </c>
      <c r="AI57" s="94" t="str">
        <f>IF(I57=".",".",s_RadSpec!$F$29*(AI29*$B57))</f>
        <v>.</v>
      </c>
      <c r="AJ57" s="94" t="str">
        <f>IF(J57=".",".",s_RadSpec!$F$29*(AJ29*$B57))</f>
        <v>.</v>
      </c>
      <c r="AK57" s="94" t="str">
        <f>IF(K57=".",".",s_RadSpec!$F$29*(AK29*$B57))</f>
        <v>.</v>
      </c>
      <c r="AL57" s="94" t="str">
        <f>IF(L57=".",".",s_RadSpec!$F$29*(AL29*$B57))</f>
        <v>.</v>
      </c>
      <c r="AM57" s="94" t="str">
        <f>IF(M57=".",".",s_RadSpec!$F$29*(AM29*$B57))</f>
        <v>.</v>
      </c>
      <c r="AN57" s="94" t="str">
        <f>IF(N57=".",".",s_RadSpec!$F$29*(AN29*$B57))</f>
        <v>.</v>
      </c>
      <c r="AO57" s="94" t="str">
        <f>IF(O57=".",".",s_RadSpec!$F$29*(AO29*$B57))</f>
        <v>.</v>
      </c>
      <c r="AP57" s="94" t="str">
        <f>IF(P57=".",".",s_RadSpec!$F$29*(AP29*$B57))</f>
        <v>.</v>
      </c>
      <c r="AQ57" s="94" t="str">
        <f>IF(Q57=".",".",s_RadSpec!$F$29*(AQ29*$B57))</f>
        <v>.</v>
      </c>
      <c r="AR57" s="94" t="str">
        <f>IF(R57=".",".",s_RadSpec!$F$29*(AR29*$B57))</f>
        <v>.</v>
      </c>
      <c r="AS57" s="94" t="str">
        <f>IF(S57=".",".",s_RadSpec!$F$29*(AS29*$B57))</f>
        <v>.</v>
      </c>
      <c r="AT57" s="94" t="str">
        <f>IF(T57=".",".",s_RadSpec!$F$29*(AT29*$B57))</f>
        <v>.</v>
      </c>
      <c r="AU57" s="94" t="str">
        <f>IF(U57=".",".",s_RadSpec!$F$29*(AU29*$B57))</f>
        <v>.</v>
      </c>
      <c r="AV57" s="94" t="str">
        <f>IF(V57=".",".",s_RadSpec!$F$29*(AV29*$B57))</f>
        <v>.</v>
      </c>
      <c r="AW57" s="94" t="str">
        <f>IF(W57=".",".",s_RadSpec!$F$29*(AW29*$B57))</f>
        <v>.</v>
      </c>
      <c r="AX57" s="94" t="str">
        <f>IF(X57=".",".",s_RadSpec!$F$29*(AX29*$B57))</f>
        <v>.</v>
      </c>
      <c r="AY57" s="94" t="str">
        <f>IF(Y57=".",".",s_RadSpec!$F$29*(AY29*$B57))</f>
        <v>.</v>
      </c>
      <c r="AZ57" s="94" t="str">
        <f>IF(Z57=".",".",s_RadSpec!$F$29*(AZ29*$B57))</f>
        <v>.</v>
      </c>
      <c r="BA57" s="94" t="str">
        <f>IF(AA57=".",".",s_RadSpec!$F$29*(BA29*$B57))</f>
        <v>.</v>
      </c>
      <c r="BB57" s="94" t="str">
        <f>IF(AB57=".",".",s_RadSpec!$F$29*(BB29*$B57))</f>
        <v>.</v>
      </c>
      <c r="BC57" s="60" t="str">
        <f t="shared" ref="BC57:CB57" si="67">IFERROR(BC29/$B57,".")</f>
        <v>.</v>
      </c>
      <c r="BD57" s="60" t="str">
        <f t="shared" si="67"/>
        <v>.</v>
      </c>
      <c r="BE57" s="60" t="str">
        <f t="shared" si="67"/>
        <v>.</v>
      </c>
      <c r="BF57" s="60" t="str">
        <f t="shared" si="67"/>
        <v>.</v>
      </c>
      <c r="BG57" s="60" t="str">
        <f t="shared" si="67"/>
        <v>.</v>
      </c>
      <c r="BH57" s="60" t="str">
        <f t="shared" si="67"/>
        <v>.</v>
      </c>
      <c r="BI57" s="60" t="str">
        <f t="shared" si="67"/>
        <v>.</v>
      </c>
      <c r="BJ57" s="60" t="str">
        <f t="shared" si="67"/>
        <v>.</v>
      </c>
      <c r="BK57" s="60" t="str">
        <f t="shared" si="67"/>
        <v>.</v>
      </c>
      <c r="BL57" s="60" t="str">
        <f t="shared" si="67"/>
        <v>.</v>
      </c>
      <c r="BM57" s="60" t="str">
        <f t="shared" si="67"/>
        <v>.</v>
      </c>
      <c r="BN57" s="60" t="str">
        <f t="shared" si="67"/>
        <v>.</v>
      </c>
      <c r="BO57" s="60" t="str">
        <f t="shared" si="67"/>
        <v>.</v>
      </c>
      <c r="BP57" s="60" t="str">
        <f t="shared" si="67"/>
        <v>.</v>
      </c>
      <c r="BQ57" s="60" t="str">
        <f t="shared" si="67"/>
        <v>.</v>
      </c>
      <c r="BR57" s="60" t="str">
        <f t="shared" si="67"/>
        <v>.</v>
      </c>
      <c r="BS57" s="60" t="str">
        <f t="shared" si="67"/>
        <v>.</v>
      </c>
      <c r="BT57" s="60" t="str">
        <f t="shared" si="67"/>
        <v>.</v>
      </c>
      <c r="BU57" s="60" t="str">
        <f t="shared" si="67"/>
        <v>.</v>
      </c>
      <c r="BV57" s="60" t="str">
        <f t="shared" si="67"/>
        <v>.</v>
      </c>
      <c r="BW57" s="60" t="str">
        <f t="shared" si="67"/>
        <v>.</v>
      </c>
      <c r="BX57" s="60" t="str">
        <f t="shared" si="67"/>
        <v>.</v>
      </c>
      <c r="BY57" s="60" t="str">
        <f t="shared" si="67"/>
        <v>.</v>
      </c>
      <c r="BZ57" s="60" t="str">
        <f t="shared" si="67"/>
        <v>.</v>
      </c>
      <c r="CA57" s="60" t="str">
        <f t="shared" si="67"/>
        <v>.</v>
      </c>
      <c r="CB57" s="60" t="str">
        <f t="shared" si="67"/>
        <v>.</v>
      </c>
      <c r="CC57" s="94" t="str">
        <f t="shared" si="51"/>
        <v>.</v>
      </c>
      <c r="CD57" s="94" t="str">
        <f>IF(BD57=".",".",s_RadSpec!$F$29*(CD29*$B57))</f>
        <v>.</v>
      </c>
      <c r="CE57" s="94" t="str">
        <f>IF(BE57=".",".",s_RadSpec!$F$29*(CE29*$B57))</f>
        <v>.</v>
      </c>
      <c r="CF57" s="94" t="str">
        <f>IF(BF57=".",".",s_RadSpec!$F$29*(CF29*$B57))</f>
        <v>.</v>
      </c>
      <c r="CG57" s="94" t="str">
        <f>IF(BG57=".",".",s_RadSpec!$F$29*(CG29*$B57))</f>
        <v>.</v>
      </c>
      <c r="CH57" s="94" t="str">
        <f>IF(BH57=".",".",s_RadSpec!$F$29*(CH29*$B57))</f>
        <v>.</v>
      </c>
      <c r="CI57" s="94" t="str">
        <f>IF(BI57=".",".",s_RadSpec!$F$29*(CI29*$B57))</f>
        <v>.</v>
      </c>
      <c r="CJ57" s="94" t="str">
        <f>IF(BJ57=".",".",s_RadSpec!$F$29*(CJ29*$B57))</f>
        <v>.</v>
      </c>
      <c r="CK57" s="94" t="str">
        <f>IF(BK57=".",".",s_RadSpec!$F$29*(CK29*$B57))</f>
        <v>.</v>
      </c>
      <c r="CL57" s="94" t="str">
        <f>IF(BL57=".",".",s_RadSpec!$F$29*(CL29*$B57))</f>
        <v>.</v>
      </c>
      <c r="CM57" s="94" t="str">
        <f>IF(BM57=".",".",s_RadSpec!$F$29*(CM29*$B57))</f>
        <v>.</v>
      </c>
      <c r="CN57" s="94" t="str">
        <f>IF(BN57=".",".",s_RadSpec!$F$29*(CN29*$B57))</f>
        <v>.</v>
      </c>
      <c r="CO57" s="94" t="str">
        <f>IF(BO57=".",".",s_RadSpec!$F$29*(CO29*$B57))</f>
        <v>.</v>
      </c>
      <c r="CP57" s="94" t="str">
        <f>IF(BP57=".",".",s_RadSpec!$F$29*(CP29*$B57))</f>
        <v>.</v>
      </c>
      <c r="CQ57" s="94" t="str">
        <f>IF(BQ57=".",".",s_RadSpec!$F$29*(CQ29*$B57))</f>
        <v>.</v>
      </c>
      <c r="CR57" s="94" t="str">
        <f>IF(BR57=".",".",s_RadSpec!$F$29*(CR29*$B57))</f>
        <v>.</v>
      </c>
      <c r="CS57" s="94" t="str">
        <f>IF(BS57=".",".",s_RadSpec!$F$29*(CS29*$B57))</f>
        <v>.</v>
      </c>
      <c r="CT57" s="94" t="str">
        <f>IF(BT57=".",".",s_RadSpec!$F$29*(CT29*$B57))</f>
        <v>.</v>
      </c>
      <c r="CU57" s="94" t="str">
        <f>IF(BU57=".",".",s_RadSpec!$F$29*(CU29*$B57))</f>
        <v>.</v>
      </c>
      <c r="CV57" s="94" t="str">
        <f>IF(BV57=".",".",s_RadSpec!$F$29*(CV29*$B57))</f>
        <v>.</v>
      </c>
      <c r="CW57" s="94" t="str">
        <f>IF(BW57=".",".",s_RadSpec!$F$29*(CW29*$B57))</f>
        <v>.</v>
      </c>
      <c r="CX57" s="94" t="str">
        <f>IF(BX57=".",".",s_RadSpec!$F$29*(CX29*$B57))</f>
        <v>.</v>
      </c>
      <c r="CY57" s="94" t="str">
        <f>IF(BY57=".",".",s_RadSpec!$F$29*(CY29*$B57))</f>
        <v>.</v>
      </c>
      <c r="CZ57" s="94" t="str">
        <f>IF(BZ57=".",".",s_RadSpec!$F$29*(CZ29*$B57))</f>
        <v>.</v>
      </c>
      <c r="DA57" s="94" t="str">
        <f>IF(CA57=".",".",s_RadSpec!$F$29*(DA29*$B57))</f>
        <v>.</v>
      </c>
      <c r="DB57" s="94" t="str">
        <f>IF(CB57=".",".",s_RadSpec!$F$29*(DB29*$B57))</f>
        <v>.</v>
      </c>
    </row>
    <row r="58" spans="1:106" s="42" customFormat="1" x14ac:dyDescent="0.25">
      <c r="A58" s="77" t="s">
        <v>1079</v>
      </c>
      <c r="B58" s="42">
        <v>1</v>
      </c>
      <c r="C58" s="60">
        <f t="shared" ref="C58:AB58" si="68">IFERROR(C16/$B58,".")</f>
        <v>16.221626499112627</v>
      </c>
      <c r="D58" s="60">
        <f t="shared" si="68"/>
        <v>64.012608375556056</v>
      </c>
      <c r="E58" s="60">
        <f t="shared" si="68"/>
        <v>31.745042599502412</v>
      </c>
      <c r="F58" s="60">
        <f t="shared" si="68"/>
        <v>59.67961275028162</v>
      </c>
      <c r="G58" s="60">
        <f t="shared" si="68"/>
        <v>64.012608375556056</v>
      </c>
      <c r="H58" s="60">
        <f t="shared" si="68"/>
        <v>59.67961275028162</v>
      </c>
      <c r="I58" s="60">
        <f t="shared" si="68"/>
        <v>31.745042599502412</v>
      </c>
      <c r="J58" s="60">
        <f t="shared" si="68"/>
        <v>59.67961275028162</v>
      </c>
      <c r="K58" s="60">
        <f t="shared" si="68"/>
        <v>64.012608375556056</v>
      </c>
      <c r="L58" s="60">
        <f t="shared" si="68"/>
        <v>73.390736652638168</v>
      </c>
      <c r="M58" s="60">
        <f t="shared" si="68"/>
        <v>59.67961275028162</v>
      </c>
      <c r="N58" s="60">
        <f t="shared" si="68"/>
        <v>31.745042599502412</v>
      </c>
      <c r="O58" s="60">
        <f t="shared" si="68"/>
        <v>68.701339311114978</v>
      </c>
      <c r="P58" s="60">
        <f t="shared" si="68"/>
        <v>59.67961275028162</v>
      </c>
      <c r="Q58" s="60">
        <f t="shared" si="68"/>
        <v>59.67961275028162</v>
      </c>
      <c r="R58" s="60">
        <f t="shared" si="68"/>
        <v>64.012608375556056</v>
      </c>
      <c r="S58" s="60">
        <f t="shared" si="68"/>
        <v>64.012608375556056</v>
      </c>
      <c r="T58" s="60">
        <f t="shared" si="68"/>
        <v>68.701339311114978</v>
      </c>
      <c r="U58" s="60">
        <f t="shared" si="68"/>
        <v>59.67961275028162</v>
      </c>
      <c r="V58" s="60">
        <f t="shared" si="68"/>
        <v>73.026010585977502</v>
      </c>
      <c r="W58" s="60">
        <f t="shared" si="68"/>
        <v>59.67961275028162</v>
      </c>
      <c r="X58" s="60">
        <f t="shared" si="68"/>
        <v>68.701339311114978</v>
      </c>
      <c r="Y58" s="60">
        <f t="shared" si="68"/>
        <v>64.012608375556056</v>
      </c>
      <c r="Z58" s="60">
        <f t="shared" si="68"/>
        <v>59.67961275028162</v>
      </c>
      <c r="AA58" s="60">
        <f t="shared" si="68"/>
        <v>74.519701637325213</v>
      </c>
      <c r="AB58" s="60">
        <f t="shared" si="68"/>
        <v>63.096394649006868</v>
      </c>
      <c r="AC58" s="94">
        <f t="shared" si="49"/>
        <v>1.5411524856257524</v>
      </c>
      <c r="AD58" s="94">
        <f>IF(D58=".",".",s_RadSpec!$F$16*(AD16*$B58))</f>
        <v>0.39054805974047041</v>
      </c>
      <c r="AE58" s="94">
        <f>IF(E58=".",".",s_RadSpec!$F$16*(AE16*$B58))</f>
        <v>0.78752453778064435</v>
      </c>
      <c r="AF58" s="94">
        <f>IF(F58=".",".",s_RadSpec!$F$16*(AF16*$B58))</f>
        <v>0.41890352245762569</v>
      </c>
      <c r="AG58" s="94">
        <f>IF(G58=".",".",s_RadSpec!$F$16*(AG16*$B58))</f>
        <v>0.39054805974047041</v>
      </c>
      <c r="AH58" s="94">
        <f>IF(H58=".",".",s_RadSpec!$F$16*(AH16*$B58))</f>
        <v>0.41890352245762569</v>
      </c>
      <c r="AI58" s="94">
        <f>IF(I58=".",".",s_RadSpec!$F$16*(AI16*$B58))</f>
        <v>0.78752453778064435</v>
      </c>
      <c r="AJ58" s="94">
        <f>IF(J58=".",".",s_RadSpec!$F$16*(AJ16*$B58))</f>
        <v>0.41890352245762569</v>
      </c>
      <c r="AK58" s="94">
        <f>IF(K58=".",".",s_RadSpec!$F$16*(AK16*$B58))</f>
        <v>0.39054805974047041</v>
      </c>
      <c r="AL58" s="94">
        <f>IF(L58=".",".",s_RadSpec!$F$16*(AL16*$B58))</f>
        <v>0.34064244535827715</v>
      </c>
      <c r="AM58" s="94">
        <f>IF(M58=".",".",s_RadSpec!$F$16*(AM16*$B58))</f>
        <v>0.41890352245762569</v>
      </c>
      <c r="AN58" s="94">
        <f>IF(N58=".",".",s_RadSpec!$F$16*(AN16*$B58))</f>
        <v>0.78752453778064435</v>
      </c>
      <c r="AO58" s="94">
        <f>IF(O58=".",".",s_RadSpec!$F$16*(AO16*$B58))</f>
        <v>0.36389392478634441</v>
      </c>
      <c r="AP58" s="94">
        <f>IF(P58=".",".",s_RadSpec!$F$16*(AP16*$B58))</f>
        <v>0.41890352245762569</v>
      </c>
      <c r="AQ58" s="94">
        <f>IF(Q58=".",".",s_RadSpec!$F$16*(AQ16*$B58))</f>
        <v>0.41890352245762569</v>
      </c>
      <c r="AR58" s="94">
        <f>IF(R58=".",".",s_RadSpec!$F$16*(AR16*$B58))</f>
        <v>0.39054805974047041</v>
      </c>
      <c r="AS58" s="94">
        <f>IF(S58=".",".",s_RadSpec!$F$16*(AS16*$B58))</f>
        <v>0.39054805974047041</v>
      </c>
      <c r="AT58" s="94">
        <f>IF(T58=".",".",s_RadSpec!$F$16*(AT16*$B58))</f>
        <v>0.36389392478634441</v>
      </c>
      <c r="AU58" s="94">
        <f>IF(U58=".",".",s_RadSpec!$F$16*(AU16*$B58))</f>
        <v>0.41890352245762569</v>
      </c>
      <c r="AV58" s="94">
        <f>IF(V58=".",".",s_RadSpec!$F$16*(AV16*$B58))</f>
        <v>0.34234377312130643</v>
      </c>
      <c r="AW58" s="94">
        <f>IF(W58=".",".",s_RadSpec!$F$16*(AW16*$B58))</f>
        <v>0.41890352245762569</v>
      </c>
      <c r="AX58" s="94">
        <f>IF(X58=".",".",s_RadSpec!$F$16*(AX16*$B58))</f>
        <v>0.36389392478634441</v>
      </c>
      <c r="AY58" s="94">
        <f>IF(Y58=".",".",s_RadSpec!$F$16*(AY16*$B58))</f>
        <v>0.39054805974047041</v>
      </c>
      <c r="AZ58" s="94">
        <f>IF(Z58=".",".",s_RadSpec!$F$16*(AZ16*$B58))</f>
        <v>0.41890352245762569</v>
      </c>
      <c r="BA58" s="94">
        <f>IF(AA58=".",".",s_RadSpec!$F$16*(BA16*$B58))</f>
        <v>0.33548175114375489</v>
      </c>
      <c r="BB58" s="94">
        <f>IF(AB58=".",".",s_RadSpec!$F$16*(BB16*$B58))</f>
        <v>0.39621915228390148</v>
      </c>
      <c r="BC58" s="60">
        <f t="shared" ref="BC58:CB58" si="69">IFERROR(BC16/$B58,".")</f>
        <v>16.221626499112627</v>
      </c>
      <c r="BD58" s="60">
        <f t="shared" si="69"/>
        <v>64.012608375556056</v>
      </c>
      <c r="BE58" s="60">
        <f t="shared" si="69"/>
        <v>31.745042599502412</v>
      </c>
      <c r="BF58" s="60">
        <f t="shared" si="69"/>
        <v>59.67961275028162</v>
      </c>
      <c r="BG58" s="60">
        <f t="shared" si="69"/>
        <v>64.012608375556056</v>
      </c>
      <c r="BH58" s="60">
        <f t="shared" si="69"/>
        <v>59.67961275028162</v>
      </c>
      <c r="BI58" s="60">
        <f t="shared" si="69"/>
        <v>31.745042599502412</v>
      </c>
      <c r="BJ58" s="60">
        <f t="shared" si="69"/>
        <v>59.67961275028162</v>
      </c>
      <c r="BK58" s="60">
        <f t="shared" si="69"/>
        <v>64.012608375556056</v>
      </c>
      <c r="BL58" s="60">
        <f t="shared" si="69"/>
        <v>73.390736652638168</v>
      </c>
      <c r="BM58" s="60">
        <f t="shared" si="69"/>
        <v>59.67961275028162</v>
      </c>
      <c r="BN58" s="60">
        <f t="shared" si="69"/>
        <v>31.745042599502412</v>
      </c>
      <c r="BO58" s="60">
        <f t="shared" si="69"/>
        <v>68.701339311114978</v>
      </c>
      <c r="BP58" s="60">
        <f t="shared" si="69"/>
        <v>59.67961275028162</v>
      </c>
      <c r="BQ58" s="60">
        <f t="shared" si="69"/>
        <v>59.67961275028162</v>
      </c>
      <c r="BR58" s="60">
        <f t="shared" si="69"/>
        <v>64.012608375556056</v>
      </c>
      <c r="BS58" s="60">
        <f t="shared" si="69"/>
        <v>64.012608375556056</v>
      </c>
      <c r="BT58" s="60">
        <f t="shared" si="69"/>
        <v>68.701339311114978</v>
      </c>
      <c r="BU58" s="60">
        <f t="shared" si="69"/>
        <v>59.67961275028162</v>
      </c>
      <c r="BV58" s="60">
        <f t="shared" si="69"/>
        <v>73.026010585977502</v>
      </c>
      <c r="BW58" s="60">
        <f t="shared" si="69"/>
        <v>59.67961275028162</v>
      </c>
      <c r="BX58" s="60">
        <f t="shared" si="69"/>
        <v>68.701339311114978</v>
      </c>
      <c r="BY58" s="60">
        <f t="shared" si="69"/>
        <v>64.012608375556056</v>
      </c>
      <c r="BZ58" s="60">
        <f t="shared" si="69"/>
        <v>59.67961275028162</v>
      </c>
      <c r="CA58" s="60">
        <f t="shared" si="69"/>
        <v>74.519701637325213</v>
      </c>
      <c r="CB58" s="60">
        <f t="shared" si="69"/>
        <v>63.096394649006868</v>
      </c>
      <c r="CC58" s="94">
        <f t="shared" si="51"/>
        <v>1.5411524856257524</v>
      </c>
      <c r="CD58" s="94">
        <f>IF(BD58=".",".",s_RadSpec!$F$16*(CD16*$B58))</f>
        <v>0.39054805974047041</v>
      </c>
      <c r="CE58" s="94">
        <f>IF(BE58=".",".",s_RadSpec!$F$16*(CE16*$B58))</f>
        <v>0.78752453778064435</v>
      </c>
      <c r="CF58" s="94">
        <f>IF(BF58=".",".",s_RadSpec!$F$16*(CF16*$B58))</f>
        <v>0.41890352245762569</v>
      </c>
      <c r="CG58" s="94">
        <f>IF(BG58=".",".",s_RadSpec!$F$16*(CG16*$B58))</f>
        <v>0.39054805974047041</v>
      </c>
      <c r="CH58" s="94">
        <f>IF(BH58=".",".",s_RadSpec!$F$16*(CH16*$B58))</f>
        <v>0.41890352245762569</v>
      </c>
      <c r="CI58" s="94">
        <f>IF(BI58=".",".",s_RadSpec!$F$16*(CI16*$B58))</f>
        <v>0.78752453778064435</v>
      </c>
      <c r="CJ58" s="94">
        <f>IF(BJ58=".",".",s_RadSpec!$F$16*(CJ16*$B58))</f>
        <v>0.41890352245762569</v>
      </c>
      <c r="CK58" s="94">
        <f>IF(BK58=".",".",s_RadSpec!$F$16*(CK16*$B58))</f>
        <v>0.39054805974047041</v>
      </c>
      <c r="CL58" s="94">
        <f>IF(BL58=".",".",s_RadSpec!$F$16*(CL16*$B58))</f>
        <v>0.34064244535827715</v>
      </c>
      <c r="CM58" s="94">
        <f>IF(BM58=".",".",s_RadSpec!$F$16*(CM16*$B58))</f>
        <v>0.41890352245762569</v>
      </c>
      <c r="CN58" s="94">
        <f>IF(BN58=".",".",s_RadSpec!$F$16*(CN16*$B58))</f>
        <v>0.78752453778064435</v>
      </c>
      <c r="CO58" s="94">
        <f>IF(BO58=".",".",s_RadSpec!$F$16*(CO16*$B58))</f>
        <v>0.36389392478634441</v>
      </c>
      <c r="CP58" s="94">
        <f>IF(BP58=".",".",s_RadSpec!$F$16*(CP16*$B58))</f>
        <v>0.41890352245762569</v>
      </c>
      <c r="CQ58" s="94">
        <f>IF(BQ58=".",".",s_RadSpec!$F$16*(CQ16*$B58))</f>
        <v>0.41890352245762569</v>
      </c>
      <c r="CR58" s="94">
        <f>IF(BR58=".",".",s_RadSpec!$F$16*(CR16*$B58))</f>
        <v>0.39054805974047041</v>
      </c>
      <c r="CS58" s="94">
        <f>IF(BS58=".",".",s_RadSpec!$F$16*(CS16*$B58))</f>
        <v>0.39054805974047041</v>
      </c>
      <c r="CT58" s="94">
        <f>IF(BT58=".",".",s_RadSpec!$F$16*(CT16*$B58))</f>
        <v>0.36389392478634441</v>
      </c>
      <c r="CU58" s="94">
        <f>IF(BU58=".",".",s_RadSpec!$F$16*(CU16*$B58))</f>
        <v>0.41890352245762569</v>
      </c>
      <c r="CV58" s="94">
        <f>IF(BV58=".",".",s_RadSpec!$F$16*(CV16*$B58))</f>
        <v>0.34234377312130643</v>
      </c>
      <c r="CW58" s="94">
        <f>IF(BW58=".",".",s_RadSpec!$F$16*(CW16*$B58))</f>
        <v>0.41890352245762569</v>
      </c>
      <c r="CX58" s="94">
        <f>IF(BX58=".",".",s_RadSpec!$F$16*(CX16*$B58))</f>
        <v>0.36389392478634441</v>
      </c>
      <c r="CY58" s="94">
        <f>IF(BY58=".",".",s_RadSpec!$F$16*(CY16*$B58))</f>
        <v>0.39054805974047041</v>
      </c>
      <c r="CZ58" s="94">
        <f>IF(BZ58=".",".",s_RadSpec!$F$16*(CZ16*$B58))</f>
        <v>0.41890352245762569</v>
      </c>
      <c r="DA58" s="94">
        <f>IF(CA58=".",".",s_RadSpec!$F$16*(DA16*$B58))</f>
        <v>0.33548175114375489</v>
      </c>
      <c r="DB58" s="94">
        <f>IF(CB58=".",".",s_RadSpec!$F$16*(DB16*$B58))</f>
        <v>0.39621915228390148</v>
      </c>
    </row>
    <row r="59" spans="1:106" s="42" customFormat="1" x14ac:dyDescent="0.25">
      <c r="A59" s="77" t="s">
        <v>1080</v>
      </c>
      <c r="B59" s="42">
        <v>1</v>
      </c>
      <c r="C59" s="60">
        <f t="shared" ref="C59:AB59" si="70">IFERROR(C7/$B59,".")</f>
        <v>3931.0515157028094</v>
      </c>
      <c r="D59" s="60">
        <f t="shared" si="70"/>
        <v>15724.206062811239</v>
      </c>
      <c r="E59" s="60">
        <f t="shared" si="70"/>
        <v>15724.206062811239</v>
      </c>
      <c r="F59" s="60">
        <f t="shared" si="70"/>
        <v>15724.206062811239</v>
      </c>
      <c r="G59" s="60">
        <f t="shared" si="70"/>
        <v>15724.206062811239</v>
      </c>
      <c r="H59" s="60">
        <f t="shared" si="70"/>
        <v>15724.206062811239</v>
      </c>
      <c r="I59" s="60">
        <f t="shared" si="70"/>
        <v>15724.206062811239</v>
      </c>
      <c r="J59" s="60">
        <f t="shared" si="70"/>
        <v>15724.206062811239</v>
      </c>
      <c r="K59" s="60">
        <f t="shared" si="70"/>
        <v>15724.206062811239</v>
      </c>
      <c r="L59" s="60">
        <f t="shared" si="70"/>
        <v>15724.206062811239</v>
      </c>
      <c r="M59" s="60">
        <f t="shared" si="70"/>
        <v>15724.206062811239</v>
      </c>
      <c r="N59" s="60">
        <f t="shared" si="70"/>
        <v>15724.206062811239</v>
      </c>
      <c r="O59" s="60">
        <f t="shared" si="70"/>
        <v>15724.206062811239</v>
      </c>
      <c r="P59" s="60">
        <f t="shared" si="70"/>
        <v>15724.206062811239</v>
      </c>
      <c r="Q59" s="60">
        <f t="shared" si="70"/>
        <v>15724.206062811239</v>
      </c>
      <c r="R59" s="60">
        <f t="shared" si="70"/>
        <v>15724.206062811239</v>
      </c>
      <c r="S59" s="60">
        <f t="shared" si="70"/>
        <v>15724.206062811239</v>
      </c>
      <c r="T59" s="60">
        <f t="shared" si="70"/>
        <v>15724.206062811239</v>
      </c>
      <c r="U59" s="60">
        <f t="shared" si="70"/>
        <v>15724.206062811239</v>
      </c>
      <c r="V59" s="60">
        <f t="shared" si="70"/>
        <v>15724.206062811239</v>
      </c>
      <c r="W59" s="60">
        <f t="shared" si="70"/>
        <v>15724.206062811239</v>
      </c>
      <c r="X59" s="60">
        <f t="shared" si="70"/>
        <v>15724.206062811239</v>
      </c>
      <c r="Y59" s="60">
        <f t="shared" si="70"/>
        <v>15724.206062811239</v>
      </c>
      <c r="Z59" s="60">
        <f t="shared" si="70"/>
        <v>15724.206062811239</v>
      </c>
      <c r="AA59" s="60">
        <f t="shared" si="70"/>
        <v>15724.206062811239</v>
      </c>
      <c r="AB59" s="60">
        <f t="shared" si="70"/>
        <v>15724.206062811239</v>
      </c>
      <c r="AC59" s="94">
        <f t="shared" si="49"/>
        <v>6.3596215669359905E-3</v>
      </c>
      <c r="AD59" s="94">
        <f>IF(D59=".",".",s_RadSpec!$F$7*(AD7*$B59))</f>
        <v>1.5899053917339976E-3</v>
      </c>
      <c r="AE59" s="94">
        <f>IF(E59=".",".",s_RadSpec!$F$7*(AE7*$B59))</f>
        <v>1.5899053917339976E-3</v>
      </c>
      <c r="AF59" s="94">
        <f>IF(F59=".",".",s_RadSpec!$F$7*(AF7*$B59))</f>
        <v>1.5899053917339976E-3</v>
      </c>
      <c r="AG59" s="94">
        <f>IF(G59=".",".",s_RadSpec!$F$7*(AG7*$B59))</f>
        <v>1.5899053917339976E-3</v>
      </c>
      <c r="AH59" s="94">
        <f>IF(H59=".",".",s_RadSpec!$F$7*(AH7*$B59))</f>
        <v>1.5899053917339976E-3</v>
      </c>
      <c r="AI59" s="94">
        <f>IF(I59=".",".",s_RadSpec!$F$7*(AI7*$B59))</f>
        <v>1.5899053917339976E-3</v>
      </c>
      <c r="AJ59" s="94">
        <f>IF(J59=".",".",s_RadSpec!$F$7*(AJ7*$B59))</f>
        <v>1.5899053917339976E-3</v>
      </c>
      <c r="AK59" s="94">
        <f>IF(K59=".",".",s_RadSpec!$F$7*(AK7*$B59))</f>
        <v>1.5899053917339976E-3</v>
      </c>
      <c r="AL59" s="94">
        <f>IF(L59=".",".",s_RadSpec!$F$7*(AL7*$B59))</f>
        <v>1.5899053917339976E-3</v>
      </c>
      <c r="AM59" s="94">
        <f>IF(M59=".",".",s_RadSpec!$F$7*(AM7*$B59))</f>
        <v>1.5899053917339976E-3</v>
      </c>
      <c r="AN59" s="94">
        <f>IF(N59=".",".",s_RadSpec!$F$7*(AN7*$B59))</f>
        <v>1.5899053917339976E-3</v>
      </c>
      <c r="AO59" s="94">
        <f>IF(O59=".",".",s_RadSpec!$F$7*(AO7*$B59))</f>
        <v>1.5899053917339976E-3</v>
      </c>
      <c r="AP59" s="94">
        <f>IF(P59=".",".",s_RadSpec!$F$7*(AP7*$B59))</f>
        <v>1.5899053917339976E-3</v>
      </c>
      <c r="AQ59" s="94">
        <f>IF(Q59=".",".",s_RadSpec!$F$7*(AQ7*$B59))</f>
        <v>1.5899053917339976E-3</v>
      </c>
      <c r="AR59" s="94">
        <f>IF(R59=".",".",s_RadSpec!$F$7*(AR7*$B59))</f>
        <v>1.5899053917339976E-3</v>
      </c>
      <c r="AS59" s="94">
        <f>IF(S59=".",".",s_RadSpec!$F$7*(AS7*$B59))</f>
        <v>1.5899053917339976E-3</v>
      </c>
      <c r="AT59" s="94">
        <f>IF(T59=".",".",s_RadSpec!$F$7*(AT7*$B59))</f>
        <v>1.5899053917339976E-3</v>
      </c>
      <c r="AU59" s="94">
        <f>IF(U59=".",".",s_RadSpec!$F$7*(AU7*$B59))</f>
        <v>1.5899053917339976E-3</v>
      </c>
      <c r="AV59" s="94">
        <f>IF(V59=".",".",s_RadSpec!$F$7*(AV7*$B59))</f>
        <v>1.5899053917339976E-3</v>
      </c>
      <c r="AW59" s="94">
        <f>IF(W59=".",".",s_RadSpec!$F$7*(AW7*$B59))</f>
        <v>1.5899053917339976E-3</v>
      </c>
      <c r="AX59" s="94">
        <f>IF(X59=".",".",s_RadSpec!$F$7*(AX7*$B59))</f>
        <v>1.5899053917339976E-3</v>
      </c>
      <c r="AY59" s="94">
        <f>IF(Y59=".",".",s_RadSpec!$F$7*(AY7*$B59))</f>
        <v>1.5899053917339976E-3</v>
      </c>
      <c r="AZ59" s="94">
        <f>IF(Z59=".",".",s_RadSpec!$F$7*(AZ7*$B59))</f>
        <v>1.5899053917339976E-3</v>
      </c>
      <c r="BA59" s="94">
        <f>IF(AA59=".",".",s_RadSpec!$F$7*(BA7*$B59))</f>
        <v>1.5899053917339976E-3</v>
      </c>
      <c r="BB59" s="94">
        <f>IF(AB59=".",".",s_RadSpec!$F$7*(BB7*$B59))</f>
        <v>1.5899053917339976E-3</v>
      </c>
      <c r="BC59" s="60">
        <f t="shared" ref="BC59:CB59" si="71">IFERROR(BC7/$B59,".")</f>
        <v>3931.0515157028094</v>
      </c>
      <c r="BD59" s="60">
        <f t="shared" si="71"/>
        <v>15724.206062811239</v>
      </c>
      <c r="BE59" s="60">
        <f t="shared" si="71"/>
        <v>15724.206062811239</v>
      </c>
      <c r="BF59" s="60">
        <f t="shared" si="71"/>
        <v>15724.206062811239</v>
      </c>
      <c r="BG59" s="60">
        <f t="shared" si="71"/>
        <v>15724.206062811239</v>
      </c>
      <c r="BH59" s="60">
        <f t="shared" si="71"/>
        <v>15724.206062811239</v>
      </c>
      <c r="BI59" s="60">
        <f t="shared" si="71"/>
        <v>15724.206062811239</v>
      </c>
      <c r="BJ59" s="60">
        <f t="shared" si="71"/>
        <v>15724.206062811239</v>
      </c>
      <c r="BK59" s="60">
        <f t="shared" si="71"/>
        <v>15724.206062811239</v>
      </c>
      <c r="BL59" s="60">
        <f t="shared" si="71"/>
        <v>15724.206062811239</v>
      </c>
      <c r="BM59" s="60">
        <f t="shared" si="71"/>
        <v>15724.206062811239</v>
      </c>
      <c r="BN59" s="60">
        <f t="shared" si="71"/>
        <v>15724.206062811239</v>
      </c>
      <c r="BO59" s="60">
        <f t="shared" si="71"/>
        <v>15724.206062811239</v>
      </c>
      <c r="BP59" s="60">
        <f t="shared" si="71"/>
        <v>15724.206062811239</v>
      </c>
      <c r="BQ59" s="60">
        <f t="shared" si="71"/>
        <v>15724.206062811239</v>
      </c>
      <c r="BR59" s="60">
        <f t="shared" si="71"/>
        <v>15724.206062811239</v>
      </c>
      <c r="BS59" s="60">
        <f t="shared" si="71"/>
        <v>15724.206062811239</v>
      </c>
      <c r="BT59" s="60">
        <f t="shared" si="71"/>
        <v>15724.206062811239</v>
      </c>
      <c r="BU59" s="60">
        <f t="shared" si="71"/>
        <v>15724.206062811239</v>
      </c>
      <c r="BV59" s="60">
        <f t="shared" si="71"/>
        <v>15724.206062811239</v>
      </c>
      <c r="BW59" s="60">
        <f t="shared" si="71"/>
        <v>15724.206062811239</v>
      </c>
      <c r="BX59" s="60">
        <f t="shared" si="71"/>
        <v>15724.206062811239</v>
      </c>
      <c r="BY59" s="60">
        <f t="shared" si="71"/>
        <v>15724.206062811239</v>
      </c>
      <c r="BZ59" s="60">
        <f t="shared" si="71"/>
        <v>15724.206062811239</v>
      </c>
      <c r="CA59" s="60">
        <f t="shared" si="71"/>
        <v>15724.206062811239</v>
      </c>
      <c r="CB59" s="60">
        <f t="shared" si="71"/>
        <v>15724.206062811239</v>
      </c>
      <c r="CC59" s="94">
        <f t="shared" si="51"/>
        <v>6.3596215669359905E-3</v>
      </c>
      <c r="CD59" s="94">
        <f>IF(BD59=".",".",s_RadSpec!$F$7*(CD7*$B59))</f>
        <v>1.5899053917339976E-3</v>
      </c>
      <c r="CE59" s="94">
        <f>IF(BE59=".",".",s_RadSpec!$F$7*(CE7*$B59))</f>
        <v>1.5899053917339976E-3</v>
      </c>
      <c r="CF59" s="94">
        <f>IF(BF59=".",".",s_RadSpec!$F$7*(CF7*$B59))</f>
        <v>1.5899053917339976E-3</v>
      </c>
      <c r="CG59" s="94">
        <f>IF(BG59=".",".",s_RadSpec!$F$7*(CG7*$B59))</f>
        <v>1.5899053917339976E-3</v>
      </c>
      <c r="CH59" s="94">
        <f>IF(BH59=".",".",s_RadSpec!$F$7*(CH7*$B59))</f>
        <v>1.5899053917339976E-3</v>
      </c>
      <c r="CI59" s="94">
        <f>IF(BI59=".",".",s_RadSpec!$F$7*(CI7*$B59))</f>
        <v>1.5899053917339976E-3</v>
      </c>
      <c r="CJ59" s="94">
        <f>IF(BJ59=".",".",s_RadSpec!$F$7*(CJ7*$B59))</f>
        <v>1.5899053917339976E-3</v>
      </c>
      <c r="CK59" s="94">
        <f>IF(BK59=".",".",s_RadSpec!$F$7*(CK7*$B59))</f>
        <v>1.5899053917339976E-3</v>
      </c>
      <c r="CL59" s="94">
        <f>IF(BL59=".",".",s_RadSpec!$F$7*(CL7*$B59))</f>
        <v>1.5899053917339976E-3</v>
      </c>
      <c r="CM59" s="94">
        <f>IF(BM59=".",".",s_RadSpec!$F$7*(CM7*$B59))</f>
        <v>1.5899053917339976E-3</v>
      </c>
      <c r="CN59" s="94">
        <f>IF(BN59=".",".",s_RadSpec!$F$7*(CN7*$B59))</f>
        <v>1.5899053917339976E-3</v>
      </c>
      <c r="CO59" s="94">
        <f>IF(BO59=".",".",s_RadSpec!$F$7*(CO7*$B59))</f>
        <v>1.5899053917339976E-3</v>
      </c>
      <c r="CP59" s="94">
        <f>IF(BP59=".",".",s_RadSpec!$F$7*(CP7*$B59))</f>
        <v>1.5899053917339976E-3</v>
      </c>
      <c r="CQ59" s="94">
        <f>IF(BQ59=".",".",s_RadSpec!$F$7*(CQ7*$B59))</f>
        <v>1.5899053917339976E-3</v>
      </c>
      <c r="CR59" s="94">
        <f>IF(BR59=".",".",s_RadSpec!$F$7*(CR7*$B59))</f>
        <v>1.5899053917339976E-3</v>
      </c>
      <c r="CS59" s="94">
        <f>IF(BS59=".",".",s_RadSpec!$F$7*(CS7*$B59))</f>
        <v>1.5899053917339976E-3</v>
      </c>
      <c r="CT59" s="94">
        <f>IF(BT59=".",".",s_RadSpec!$F$7*(CT7*$B59))</f>
        <v>1.5899053917339976E-3</v>
      </c>
      <c r="CU59" s="94">
        <f>IF(BU59=".",".",s_RadSpec!$F$7*(CU7*$B59))</f>
        <v>1.5899053917339976E-3</v>
      </c>
      <c r="CV59" s="94">
        <f>IF(BV59=".",".",s_RadSpec!$F$7*(CV7*$B59))</f>
        <v>1.5899053917339976E-3</v>
      </c>
      <c r="CW59" s="94">
        <f>IF(BW59=".",".",s_RadSpec!$F$7*(CW7*$B59))</f>
        <v>1.5899053917339976E-3</v>
      </c>
      <c r="CX59" s="94">
        <f>IF(BX59=".",".",s_RadSpec!$F$7*(CX7*$B59))</f>
        <v>1.5899053917339976E-3</v>
      </c>
      <c r="CY59" s="94">
        <f>IF(BY59=".",".",s_RadSpec!$F$7*(CY7*$B59))</f>
        <v>1.5899053917339976E-3</v>
      </c>
      <c r="CZ59" s="94">
        <f>IF(BZ59=".",".",s_RadSpec!$F$7*(CZ7*$B59))</f>
        <v>1.5899053917339976E-3</v>
      </c>
      <c r="DA59" s="94">
        <f>IF(CA59=".",".",s_RadSpec!$F$7*(DA7*$B59))</f>
        <v>1.5899053917339976E-3</v>
      </c>
      <c r="DB59" s="94">
        <f>IF(CB59=".",".",s_RadSpec!$F$7*(DB7*$B59))</f>
        <v>1.5899053917339976E-3</v>
      </c>
    </row>
    <row r="60" spans="1:106" s="42" customFormat="1" x14ac:dyDescent="0.25">
      <c r="A60" s="77" t="s">
        <v>1081</v>
      </c>
      <c r="B60" s="80">
        <v>1.9000000000000001E-8</v>
      </c>
      <c r="C60" s="60" t="str">
        <f t="shared" ref="C60:AB60" si="72">IFERROR(C12/$B60,".")</f>
        <v>.</v>
      </c>
      <c r="D60" s="60" t="str">
        <f t="shared" si="72"/>
        <v>.</v>
      </c>
      <c r="E60" s="60" t="str">
        <f t="shared" si="72"/>
        <v>.</v>
      </c>
      <c r="F60" s="60" t="str">
        <f t="shared" si="72"/>
        <v>.</v>
      </c>
      <c r="G60" s="60" t="str">
        <f t="shared" si="72"/>
        <v>.</v>
      </c>
      <c r="H60" s="60" t="str">
        <f t="shared" si="72"/>
        <v>.</v>
      </c>
      <c r="I60" s="60" t="str">
        <f t="shared" si="72"/>
        <v>.</v>
      </c>
      <c r="J60" s="60" t="str">
        <f t="shared" si="72"/>
        <v>.</v>
      </c>
      <c r="K60" s="60" t="str">
        <f t="shared" si="72"/>
        <v>.</v>
      </c>
      <c r="L60" s="60" t="str">
        <f t="shared" si="72"/>
        <v>.</v>
      </c>
      <c r="M60" s="60" t="str">
        <f t="shared" si="72"/>
        <v>.</v>
      </c>
      <c r="N60" s="60" t="str">
        <f t="shared" si="72"/>
        <v>.</v>
      </c>
      <c r="O60" s="60" t="str">
        <f t="shared" si="72"/>
        <v>.</v>
      </c>
      <c r="P60" s="60" t="str">
        <f t="shared" si="72"/>
        <v>.</v>
      </c>
      <c r="Q60" s="60" t="str">
        <f t="shared" si="72"/>
        <v>.</v>
      </c>
      <c r="R60" s="60" t="str">
        <f t="shared" si="72"/>
        <v>.</v>
      </c>
      <c r="S60" s="60" t="str">
        <f t="shared" si="72"/>
        <v>.</v>
      </c>
      <c r="T60" s="60" t="str">
        <f t="shared" si="72"/>
        <v>.</v>
      </c>
      <c r="U60" s="60" t="str">
        <f t="shared" si="72"/>
        <v>.</v>
      </c>
      <c r="V60" s="60" t="str">
        <f t="shared" si="72"/>
        <v>.</v>
      </c>
      <c r="W60" s="60" t="str">
        <f t="shared" si="72"/>
        <v>.</v>
      </c>
      <c r="X60" s="60" t="str">
        <f t="shared" si="72"/>
        <v>.</v>
      </c>
      <c r="Y60" s="60" t="str">
        <f t="shared" si="72"/>
        <v>.</v>
      </c>
      <c r="Z60" s="60" t="str">
        <f t="shared" si="72"/>
        <v>.</v>
      </c>
      <c r="AA60" s="60" t="str">
        <f t="shared" si="72"/>
        <v>.</v>
      </c>
      <c r="AB60" s="60" t="str">
        <f t="shared" si="72"/>
        <v>.</v>
      </c>
      <c r="AC60" s="94" t="str">
        <f t="shared" si="49"/>
        <v>.</v>
      </c>
      <c r="AD60" s="94" t="str">
        <f>IF(D60=".",".",s_RadSpec!$F$12*(AD12*$B60))</f>
        <v>.</v>
      </c>
      <c r="AE60" s="94" t="str">
        <f>IF(E60=".",".",s_RadSpec!$F$12*(AE12*$B60))</f>
        <v>.</v>
      </c>
      <c r="AF60" s="94" t="str">
        <f>IF(F60=".",".",s_RadSpec!$F$12*(AF12*$B60))</f>
        <v>.</v>
      </c>
      <c r="AG60" s="94" t="str">
        <f>IF(G60=".",".",s_RadSpec!$F$12*(AG12*$B60))</f>
        <v>.</v>
      </c>
      <c r="AH60" s="94" t="str">
        <f>IF(H60=".",".",s_RadSpec!$F$12*(AH12*$B60))</f>
        <v>.</v>
      </c>
      <c r="AI60" s="94" t="str">
        <f>IF(I60=".",".",s_RadSpec!$F$12*(AI12*$B60))</f>
        <v>.</v>
      </c>
      <c r="AJ60" s="94" t="str">
        <f>IF(J60=".",".",s_RadSpec!$F$12*(AJ12*$B60))</f>
        <v>.</v>
      </c>
      <c r="AK60" s="94" t="str">
        <f>IF(K60=".",".",s_RadSpec!$F$12*(AK12*$B60))</f>
        <v>.</v>
      </c>
      <c r="AL60" s="94" t="str">
        <f>IF(L60=".",".",s_RadSpec!$F$12*(AL12*$B60))</f>
        <v>.</v>
      </c>
      <c r="AM60" s="94" t="str">
        <f>IF(M60=".",".",s_RadSpec!$F$12*(AM12*$B60))</f>
        <v>.</v>
      </c>
      <c r="AN60" s="94" t="str">
        <f>IF(N60=".",".",s_RadSpec!$F$12*(AN12*$B60))</f>
        <v>.</v>
      </c>
      <c r="AO60" s="94" t="str">
        <f>IF(O60=".",".",s_RadSpec!$F$12*(AO12*$B60))</f>
        <v>.</v>
      </c>
      <c r="AP60" s="94" t="str">
        <f>IF(P60=".",".",s_RadSpec!$F$12*(AP12*$B60))</f>
        <v>.</v>
      </c>
      <c r="AQ60" s="94" t="str">
        <f>IF(Q60=".",".",s_RadSpec!$F$12*(AQ12*$B60))</f>
        <v>.</v>
      </c>
      <c r="AR60" s="94" t="str">
        <f>IF(R60=".",".",s_RadSpec!$F$12*(AR12*$B60))</f>
        <v>.</v>
      </c>
      <c r="AS60" s="94" t="str">
        <f>IF(S60=".",".",s_RadSpec!$F$12*(AS12*$B60))</f>
        <v>.</v>
      </c>
      <c r="AT60" s="94" t="str">
        <f>IF(T60=".",".",s_RadSpec!$F$12*(AT12*$B60))</f>
        <v>.</v>
      </c>
      <c r="AU60" s="94" t="str">
        <f>IF(U60=".",".",s_RadSpec!$F$12*(AU12*$B60))</f>
        <v>.</v>
      </c>
      <c r="AV60" s="94" t="str">
        <f>IF(V60=".",".",s_RadSpec!$F$12*(AV12*$B60))</f>
        <v>.</v>
      </c>
      <c r="AW60" s="94" t="str">
        <f>IF(W60=".",".",s_RadSpec!$F$12*(AW12*$B60))</f>
        <v>.</v>
      </c>
      <c r="AX60" s="94" t="str">
        <f>IF(X60=".",".",s_RadSpec!$F$12*(AX12*$B60))</f>
        <v>.</v>
      </c>
      <c r="AY60" s="94" t="str">
        <f>IF(Y60=".",".",s_RadSpec!$F$12*(AY12*$B60))</f>
        <v>.</v>
      </c>
      <c r="AZ60" s="94" t="str">
        <f>IF(Z60=".",".",s_RadSpec!$F$12*(AZ12*$B60))</f>
        <v>.</v>
      </c>
      <c r="BA60" s="94" t="str">
        <f>IF(AA60=".",".",s_RadSpec!$F$12*(BA12*$B60))</f>
        <v>.</v>
      </c>
      <c r="BB60" s="94" t="str">
        <f>IF(AB60=".",".",s_RadSpec!$F$12*(BB12*$B60))</f>
        <v>.</v>
      </c>
      <c r="BC60" s="60" t="str">
        <f t="shared" ref="BC60:CB60" si="73">IFERROR(BC12/$B60,".")</f>
        <v>.</v>
      </c>
      <c r="BD60" s="60" t="str">
        <f t="shared" si="73"/>
        <v>.</v>
      </c>
      <c r="BE60" s="60" t="str">
        <f t="shared" si="73"/>
        <v>.</v>
      </c>
      <c r="BF60" s="60" t="str">
        <f t="shared" si="73"/>
        <v>.</v>
      </c>
      <c r="BG60" s="60" t="str">
        <f t="shared" si="73"/>
        <v>.</v>
      </c>
      <c r="BH60" s="60" t="str">
        <f t="shared" si="73"/>
        <v>.</v>
      </c>
      <c r="BI60" s="60" t="str">
        <f t="shared" si="73"/>
        <v>.</v>
      </c>
      <c r="BJ60" s="60" t="str">
        <f t="shared" si="73"/>
        <v>.</v>
      </c>
      <c r="BK60" s="60" t="str">
        <f t="shared" si="73"/>
        <v>.</v>
      </c>
      <c r="BL60" s="60" t="str">
        <f t="shared" si="73"/>
        <v>.</v>
      </c>
      <c r="BM60" s="60" t="str">
        <f t="shared" si="73"/>
        <v>.</v>
      </c>
      <c r="BN60" s="60" t="str">
        <f t="shared" si="73"/>
        <v>.</v>
      </c>
      <c r="BO60" s="60" t="str">
        <f t="shared" si="73"/>
        <v>.</v>
      </c>
      <c r="BP60" s="60" t="str">
        <f t="shared" si="73"/>
        <v>.</v>
      </c>
      <c r="BQ60" s="60" t="str">
        <f t="shared" si="73"/>
        <v>.</v>
      </c>
      <c r="BR60" s="60" t="str">
        <f t="shared" si="73"/>
        <v>.</v>
      </c>
      <c r="BS60" s="60" t="str">
        <f t="shared" si="73"/>
        <v>.</v>
      </c>
      <c r="BT60" s="60" t="str">
        <f t="shared" si="73"/>
        <v>.</v>
      </c>
      <c r="BU60" s="60" t="str">
        <f t="shared" si="73"/>
        <v>.</v>
      </c>
      <c r="BV60" s="60" t="str">
        <f t="shared" si="73"/>
        <v>.</v>
      </c>
      <c r="BW60" s="60" t="str">
        <f t="shared" si="73"/>
        <v>.</v>
      </c>
      <c r="BX60" s="60" t="str">
        <f t="shared" si="73"/>
        <v>.</v>
      </c>
      <c r="BY60" s="60" t="str">
        <f t="shared" si="73"/>
        <v>.</v>
      </c>
      <c r="BZ60" s="60" t="str">
        <f t="shared" si="73"/>
        <v>.</v>
      </c>
      <c r="CA60" s="60" t="str">
        <f t="shared" si="73"/>
        <v>.</v>
      </c>
      <c r="CB60" s="60" t="str">
        <f t="shared" si="73"/>
        <v>.</v>
      </c>
      <c r="CC60" s="94" t="str">
        <f t="shared" si="51"/>
        <v>.</v>
      </c>
      <c r="CD60" s="94" t="str">
        <f>IF(BD60=".",".",s_RadSpec!$F$12*(CD12*$B60))</f>
        <v>.</v>
      </c>
      <c r="CE60" s="94" t="str">
        <f>IF(BE60=".",".",s_RadSpec!$F$12*(CE12*$B60))</f>
        <v>.</v>
      </c>
      <c r="CF60" s="94" t="str">
        <f>IF(BF60=".",".",s_RadSpec!$F$12*(CF12*$B60))</f>
        <v>.</v>
      </c>
      <c r="CG60" s="94" t="str">
        <f>IF(BG60=".",".",s_RadSpec!$F$12*(CG12*$B60))</f>
        <v>.</v>
      </c>
      <c r="CH60" s="94" t="str">
        <f>IF(BH60=".",".",s_RadSpec!$F$12*(CH12*$B60))</f>
        <v>.</v>
      </c>
      <c r="CI60" s="94" t="str">
        <f>IF(BI60=".",".",s_RadSpec!$F$12*(CI12*$B60))</f>
        <v>.</v>
      </c>
      <c r="CJ60" s="94" t="str">
        <f>IF(BJ60=".",".",s_RadSpec!$F$12*(CJ12*$B60))</f>
        <v>.</v>
      </c>
      <c r="CK60" s="94" t="str">
        <f>IF(BK60=".",".",s_RadSpec!$F$12*(CK12*$B60))</f>
        <v>.</v>
      </c>
      <c r="CL60" s="94" t="str">
        <f>IF(BL60=".",".",s_RadSpec!$F$12*(CL12*$B60))</f>
        <v>.</v>
      </c>
      <c r="CM60" s="94" t="str">
        <f>IF(BM60=".",".",s_RadSpec!$F$12*(CM12*$B60))</f>
        <v>.</v>
      </c>
      <c r="CN60" s="94" t="str">
        <f>IF(BN60=".",".",s_RadSpec!$F$12*(CN12*$B60))</f>
        <v>.</v>
      </c>
      <c r="CO60" s="94" t="str">
        <f>IF(BO60=".",".",s_RadSpec!$F$12*(CO12*$B60))</f>
        <v>.</v>
      </c>
      <c r="CP60" s="94" t="str">
        <f>IF(BP60=".",".",s_RadSpec!$F$12*(CP12*$B60))</f>
        <v>.</v>
      </c>
      <c r="CQ60" s="94" t="str">
        <f>IF(BQ60=".",".",s_RadSpec!$F$12*(CQ12*$B60))</f>
        <v>.</v>
      </c>
      <c r="CR60" s="94" t="str">
        <f>IF(BR60=".",".",s_RadSpec!$F$12*(CR12*$B60))</f>
        <v>.</v>
      </c>
      <c r="CS60" s="94" t="str">
        <f>IF(BS60=".",".",s_RadSpec!$F$12*(CS12*$B60))</f>
        <v>.</v>
      </c>
      <c r="CT60" s="94" t="str">
        <f>IF(BT60=".",".",s_RadSpec!$F$12*(CT12*$B60))</f>
        <v>.</v>
      </c>
      <c r="CU60" s="94" t="str">
        <f>IF(BU60=".",".",s_RadSpec!$F$12*(CU12*$B60))</f>
        <v>.</v>
      </c>
      <c r="CV60" s="94" t="str">
        <f>IF(BV60=".",".",s_RadSpec!$F$12*(CV12*$B60))</f>
        <v>.</v>
      </c>
      <c r="CW60" s="94" t="str">
        <f>IF(BW60=".",".",s_RadSpec!$F$12*(CW12*$B60))</f>
        <v>.</v>
      </c>
      <c r="CX60" s="94" t="str">
        <f>IF(BX60=".",".",s_RadSpec!$F$12*(CX12*$B60))</f>
        <v>.</v>
      </c>
      <c r="CY60" s="94" t="str">
        <f>IF(BY60=".",".",s_RadSpec!$F$12*(CY12*$B60))</f>
        <v>.</v>
      </c>
      <c r="CZ60" s="94" t="str">
        <f>IF(BZ60=".",".",s_RadSpec!$F$12*(CZ12*$B60))</f>
        <v>.</v>
      </c>
      <c r="DA60" s="94" t="str">
        <f>IF(CA60=".",".",s_RadSpec!$F$12*(DA12*$B60))</f>
        <v>.</v>
      </c>
      <c r="DB60" s="94" t="str">
        <f>IF(CB60=".",".",s_RadSpec!$F$12*(DB12*$B60))</f>
        <v>.</v>
      </c>
    </row>
    <row r="61" spans="1:106" s="42" customFormat="1" x14ac:dyDescent="0.25">
      <c r="A61" s="77" t="s">
        <v>1082</v>
      </c>
      <c r="B61" s="42">
        <v>1</v>
      </c>
      <c r="C61" s="60">
        <f t="shared" ref="C61:AB61" si="74">IFERROR(C18/$B61,".")</f>
        <v>10.314578800703334</v>
      </c>
      <c r="D61" s="60">
        <f t="shared" si="74"/>
        <v>43.500521608732512</v>
      </c>
      <c r="E61" s="60">
        <f t="shared" si="74"/>
        <v>38.7740919443347</v>
      </c>
      <c r="F61" s="60">
        <f t="shared" si="74"/>
        <v>39.733454007359143</v>
      </c>
      <c r="G61" s="60">
        <f t="shared" si="74"/>
        <v>43.500521608732512</v>
      </c>
      <c r="H61" s="60">
        <f t="shared" si="74"/>
        <v>43.500521608732512</v>
      </c>
      <c r="I61" s="60">
        <f t="shared" si="74"/>
        <v>38.7740919443347</v>
      </c>
      <c r="J61" s="60">
        <f t="shared" si="74"/>
        <v>39.733454007359143</v>
      </c>
      <c r="K61" s="60">
        <f t="shared" si="74"/>
        <v>43.500521608732512</v>
      </c>
      <c r="L61" s="60">
        <f t="shared" si="74"/>
        <v>43.471082848465379</v>
      </c>
      <c r="M61" s="60">
        <f t="shared" si="74"/>
        <v>43.500521608732512</v>
      </c>
      <c r="N61" s="60">
        <f t="shared" si="74"/>
        <v>38.7740919443347</v>
      </c>
      <c r="O61" s="60">
        <f t="shared" si="74"/>
        <v>43.449029913325383</v>
      </c>
      <c r="P61" s="60">
        <f t="shared" si="74"/>
        <v>43.500521608732512</v>
      </c>
      <c r="Q61" s="60">
        <f t="shared" si="74"/>
        <v>39.733454007359143</v>
      </c>
      <c r="R61" s="60">
        <f t="shared" si="74"/>
        <v>43.500521608732512</v>
      </c>
      <c r="S61" s="60">
        <f t="shared" si="74"/>
        <v>43.500521608732512</v>
      </c>
      <c r="T61" s="60">
        <f t="shared" si="74"/>
        <v>43.449029913325383</v>
      </c>
      <c r="U61" s="60">
        <f t="shared" si="74"/>
        <v>43.500521608732512</v>
      </c>
      <c r="V61" s="60">
        <f t="shared" si="74"/>
        <v>41.734116547734914</v>
      </c>
      <c r="W61" s="60">
        <f t="shared" si="74"/>
        <v>43.500521608732512</v>
      </c>
      <c r="X61" s="60">
        <f t="shared" si="74"/>
        <v>43.449029913325383</v>
      </c>
      <c r="Y61" s="60">
        <f t="shared" si="74"/>
        <v>43.500521608732512</v>
      </c>
      <c r="Z61" s="60">
        <f t="shared" si="74"/>
        <v>43.500521608732512</v>
      </c>
      <c r="AA61" s="60">
        <f t="shared" si="74"/>
        <v>35.752725382223296</v>
      </c>
      <c r="AB61" s="60">
        <f t="shared" si="74"/>
        <v>43.471082848465379</v>
      </c>
      <c r="AC61" s="94">
        <f t="shared" si="49"/>
        <v>2.4237538423086455</v>
      </c>
      <c r="AD61" s="94">
        <f>IF(D61=".",".",s_RadSpec!$F$18*(AD18*$B61))</f>
        <v>0.57470575237841237</v>
      </c>
      <c r="AE61" s="94">
        <f>IF(E61=".",".",s_RadSpec!$F$18*(AE18*$B61))</f>
        <v>0.6447604249737372</v>
      </c>
      <c r="AF61" s="94">
        <f>IF(F61=".",".",s_RadSpec!$F$18*(AF18*$B61))</f>
        <v>0.62919271995255388</v>
      </c>
      <c r="AG61" s="94">
        <f>IF(G61=".",".",s_RadSpec!$F$18*(AG18*$B61))</f>
        <v>0.57470575237841237</v>
      </c>
      <c r="AH61" s="94">
        <f>IF(H61=".",".",s_RadSpec!$F$18*(AH18*$B61))</f>
        <v>0.57470575237841237</v>
      </c>
      <c r="AI61" s="94">
        <f>IF(I61=".",".",s_RadSpec!$F$18*(AI18*$B61))</f>
        <v>0.6447604249737372</v>
      </c>
      <c r="AJ61" s="94">
        <f>IF(J61=".",".",s_RadSpec!$F$18*(AJ18*$B61))</f>
        <v>0.62919271995255388</v>
      </c>
      <c r="AK61" s="94">
        <f>IF(K61=".",".",s_RadSpec!$F$18*(AK18*$B61))</f>
        <v>0.57470575237841237</v>
      </c>
      <c r="AL61" s="94">
        <f>IF(L61=".",".",s_RadSpec!$F$18*(AL18*$B61))</f>
        <v>0.57509494500394198</v>
      </c>
      <c r="AM61" s="94">
        <f>IF(M61=".",".",s_RadSpec!$F$18*(AM18*$B61))</f>
        <v>0.57470575237841237</v>
      </c>
      <c r="AN61" s="94">
        <f>IF(N61=".",".",s_RadSpec!$F$18*(AN18*$B61))</f>
        <v>0.6447604249737372</v>
      </c>
      <c r="AO61" s="94">
        <f>IF(O61=".",".",s_RadSpec!$F$18*(AO18*$B61))</f>
        <v>0.57538683947308911</v>
      </c>
      <c r="AP61" s="94">
        <f>IF(P61=".",".",s_RadSpec!$F$18*(AP18*$B61))</f>
        <v>0.57470575237841237</v>
      </c>
      <c r="AQ61" s="94">
        <f>IF(Q61=".",".",s_RadSpec!$F$18*(AQ18*$B61))</f>
        <v>0.62919271995255388</v>
      </c>
      <c r="AR61" s="94">
        <f>IF(R61=".",".",s_RadSpec!$F$18*(AR18*$B61))</f>
        <v>0.57470575237841237</v>
      </c>
      <c r="AS61" s="94">
        <f>IF(S61=".",".",s_RadSpec!$F$18*(AS18*$B61))</f>
        <v>0.57470575237841237</v>
      </c>
      <c r="AT61" s="94">
        <f>IF(T61=".",".",s_RadSpec!$F$18*(AT18*$B61))</f>
        <v>0.57538683947308911</v>
      </c>
      <c r="AU61" s="94">
        <f>IF(U61=".",".",s_RadSpec!$F$18*(AU18*$B61))</f>
        <v>0.57470575237841237</v>
      </c>
      <c r="AV61" s="94">
        <f>IF(V61=".",".",s_RadSpec!$F$18*(AV18*$B61))</f>
        <v>0.59903029147401121</v>
      </c>
      <c r="AW61" s="94">
        <f>IF(W61=".",".",s_RadSpec!$F$18*(AW18*$B61))</f>
        <v>0.57470575237841237</v>
      </c>
      <c r="AX61" s="94">
        <f>IF(X61=".",".",s_RadSpec!$F$18*(AX18*$B61))</f>
        <v>0.57538683947308911</v>
      </c>
      <c r="AY61" s="94">
        <f>IF(Y61=".",".",s_RadSpec!$F$18*(AY18*$B61))</f>
        <v>0.57470575237841237</v>
      </c>
      <c r="AZ61" s="94">
        <f>IF(Z61=".",".",s_RadSpec!$F$18*(AZ18*$B61))</f>
        <v>0.57470575237841237</v>
      </c>
      <c r="BA61" s="94">
        <f>IF(AA61=".",".",s_RadSpec!$F$18*(BA18*$B61))</f>
        <v>0.69924739254787871</v>
      </c>
      <c r="BB61" s="94">
        <f>IF(AB61=".",".",s_RadSpec!$F$18*(BB18*$B61))</f>
        <v>0.57509494500394198</v>
      </c>
      <c r="BC61" s="60">
        <f t="shared" ref="BC61:CB61" si="75">IFERROR(BC18/$B61,".")</f>
        <v>10.314578800703334</v>
      </c>
      <c r="BD61" s="60">
        <f t="shared" si="75"/>
        <v>43.500521608732512</v>
      </c>
      <c r="BE61" s="60">
        <f t="shared" si="75"/>
        <v>38.7740919443347</v>
      </c>
      <c r="BF61" s="60">
        <f t="shared" si="75"/>
        <v>39.733454007359143</v>
      </c>
      <c r="BG61" s="60">
        <f t="shared" si="75"/>
        <v>43.500521608732512</v>
      </c>
      <c r="BH61" s="60">
        <f t="shared" si="75"/>
        <v>43.500521608732512</v>
      </c>
      <c r="BI61" s="60">
        <f t="shared" si="75"/>
        <v>38.7740919443347</v>
      </c>
      <c r="BJ61" s="60">
        <f t="shared" si="75"/>
        <v>39.733454007359143</v>
      </c>
      <c r="BK61" s="60">
        <f t="shared" si="75"/>
        <v>43.500521608732512</v>
      </c>
      <c r="BL61" s="60">
        <f t="shared" si="75"/>
        <v>43.471082848465379</v>
      </c>
      <c r="BM61" s="60">
        <f t="shared" si="75"/>
        <v>43.500521608732512</v>
      </c>
      <c r="BN61" s="60">
        <f t="shared" si="75"/>
        <v>38.7740919443347</v>
      </c>
      <c r="BO61" s="60">
        <f t="shared" si="75"/>
        <v>43.449029913325383</v>
      </c>
      <c r="BP61" s="60">
        <f t="shared" si="75"/>
        <v>43.500521608732512</v>
      </c>
      <c r="BQ61" s="60">
        <f t="shared" si="75"/>
        <v>39.733454007359143</v>
      </c>
      <c r="BR61" s="60">
        <f t="shared" si="75"/>
        <v>43.500521608732512</v>
      </c>
      <c r="BS61" s="60">
        <f t="shared" si="75"/>
        <v>43.500521608732512</v>
      </c>
      <c r="BT61" s="60">
        <f t="shared" si="75"/>
        <v>43.449029913325383</v>
      </c>
      <c r="BU61" s="60">
        <f t="shared" si="75"/>
        <v>43.500521608732512</v>
      </c>
      <c r="BV61" s="60">
        <f t="shared" si="75"/>
        <v>41.734116547734914</v>
      </c>
      <c r="BW61" s="60">
        <f t="shared" si="75"/>
        <v>43.500521608732512</v>
      </c>
      <c r="BX61" s="60">
        <f t="shared" si="75"/>
        <v>43.449029913325383</v>
      </c>
      <c r="BY61" s="60">
        <f t="shared" si="75"/>
        <v>43.500521608732512</v>
      </c>
      <c r="BZ61" s="60">
        <f t="shared" si="75"/>
        <v>43.500521608732512</v>
      </c>
      <c r="CA61" s="60">
        <f t="shared" si="75"/>
        <v>35.752725382223296</v>
      </c>
      <c r="CB61" s="60">
        <f t="shared" si="75"/>
        <v>43.471082848465379</v>
      </c>
      <c r="CC61" s="94">
        <f t="shared" si="51"/>
        <v>2.4237538423086455</v>
      </c>
      <c r="CD61" s="94">
        <f>IF(BD61=".",".",s_RadSpec!$F$18*(CD18*$B61))</f>
        <v>0.57470575237841237</v>
      </c>
      <c r="CE61" s="94">
        <f>IF(BE61=".",".",s_RadSpec!$F$18*(CE18*$B61))</f>
        <v>0.6447604249737372</v>
      </c>
      <c r="CF61" s="94">
        <f>IF(BF61=".",".",s_RadSpec!$F$18*(CF18*$B61))</f>
        <v>0.62919271995255388</v>
      </c>
      <c r="CG61" s="94">
        <f>IF(BG61=".",".",s_RadSpec!$F$18*(CG18*$B61))</f>
        <v>0.57470575237841237</v>
      </c>
      <c r="CH61" s="94">
        <f>IF(BH61=".",".",s_RadSpec!$F$18*(CH18*$B61))</f>
        <v>0.57470575237841237</v>
      </c>
      <c r="CI61" s="94">
        <f>IF(BI61=".",".",s_RadSpec!$F$18*(CI18*$B61))</f>
        <v>0.6447604249737372</v>
      </c>
      <c r="CJ61" s="94">
        <f>IF(BJ61=".",".",s_RadSpec!$F$18*(CJ18*$B61))</f>
        <v>0.62919271995255388</v>
      </c>
      <c r="CK61" s="94">
        <f>IF(BK61=".",".",s_RadSpec!$F$18*(CK18*$B61))</f>
        <v>0.57470575237841237</v>
      </c>
      <c r="CL61" s="94">
        <f>IF(BL61=".",".",s_RadSpec!$F$18*(CL18*$B61))</f>
        <v>0.57509494500394198</v>
      </c>
      <c r="CM61" s="94">
        <f>IF(BM61=".",".",s_RadSpec!$F$18*(CM18*$B61))</f>
        <v>0.57470575237841237</v>
      </c>
      <c r="CN61" s="94">
        <f>IF(BN61=".",".",s_RadSpec!$F$18*(CN18*$B61))</f>
        <v>0.6447604249737372</v>
      </c>
      <c r="CO61" s="94">
        <f>IF(BO61=".",".",s_RadSpec!$F$18*(CO18*$B61))</f>
        <v>0.57538683947308911</v>
      </c>
      <c r="CP61" s="94">
        <f>IF(BP61=".",".",s_RadSpec!$F$18*(CP18*$B61))</f>
        <v>0.57470575237841237</v>
      </c>
      <c r="CQ61" s="94">
        <f>IF(BQ61=".",".",s_RadSpec!$F$18*(CQ18*$B61))</f>
        <v>0.62919271995255388</v>
      </c>
      <c r="CR61" s="94">
        <f>IF(BR61=".",".",s_RadSpec!$F$18*(CR18*$B61))</f>
        <v>0.57470575237841237</v>
      </c>
      <c r="CS61" s="94">
        <f>IF(BS61=".",".",s_RadSpec!$F$18*(CS18*$B61))</f>
        <v>0.57470575237841237</v>
      </c>
      <c r="CT61" s="94">
        <f>IF(BT61=".",".",s_RadSpec!$F$18*(CT18*$B61))</f>
        <v>0.57538683947308911</v>
      </c>
      <c r="CU61" s="94">
        <f>IF(BU61=".",".",s_RadSpec!$F$18*(CU18*$B61))</f>
        <v>0.57470575237841237</v>
      </c>
      <c r="CV61" s="94">
        <f>IF(BV61=".",".",s_RadSpec!$F$18*(CV18*$B61))</f>
        <v>0.59903029147401121</v>
      </c>
      <c r="CW61" s="94">
        <f>IF(BW61=".",".",s_RadSpec!$F$18*(CW18*$B61))</f>
        <v>0.57470575237841237</v>
      </c>
      <c r="CX61" s="94">
        <f>IF(BX61=".",".",s_RadSpec!$F$18*(CX18*$B61))</f>
        <v>0.57538683947308911</v>
      </c>
      <c r="CY61" s="94">
        <f>IF(BY61=".",".",s_RadSpec!$F$18*(CY18*$B61))</f>
        <v>0.57470575237841237</v>
      </c>
      <c r="CZ61" s="94">
        <f>IF(BZ61=".",".",s_RadSpec!$F$18*(CZ18*$B61))</f>
        <v>0.57470575237841237</v>
      </c>
      <c r="DA61" s="94">
        <f>IF(CA61=".",".",s_RadSpec!$F$18*(DA18*$B61))</f>
        <v>0.69924739254787871</v>
      </c>
      <c r="DB61" s="94">
        <f>IF(CB61=".",".",s_RadSpec!$F$18*(DB18*$B61))</f>
        <v>0.57509494500394198</v>
      </c>
    </row>
    <row r="62" spans="1:106" s="42" customFormat="1" x14ac:dyDescent="0.25">
      <c r="A62" s="77" t="s">
        <v>1083</v>
      </c>
      <c r="B62" s="42">
        <v>1.339E-6</v>
      </c>
      <c r="C62" s="60" t="str">
        <f t="shared" ref="C62:AB62" si="76">IFERROR(C27/$B62,".")</f>
        <v>.</v>
      </c>
      <c r="D62" s="60" t="str">
        <f t="shared" si="76"/>
        <v>.</v>
      </c>
      <c r="E62" s="60" t="str">
        <f t="shared" si="76"/>
        <v>.</v>
      </c>
      <c r="F62" s="60" t="str">
        <f t="shared" si="76"/>
        <v>.</v>
      </c>
      <c r="G62" s="60" t="str">
        <f t="shared" si="76"/>
        <v>.</v>
      </c>
      <c r="H62" s="60" t="str">
        <f t="shared" si="76"/>
        <v>.</v>
      </c>
      <c r="I62" s="60" t="str">
        <f t="shared" si="76"/>
        <v>.</v>
      </c>
      <c r="J62" s="60" t="str">
        <f t="shared" si="76"/>
        <v>.</v>
      </c>
      <c r="K62" s="60" t="str">
        <f t="shared" si="76"/>
        <v>.</v>
      </c>
      <c r="L62" s="60" t="str">
        <f t="shared" si="76"/>
        <v>.</v>
      </c>
      <c r="M62" s="60" t="str">
        <f t="shared" si="76"/>
        <v>.</v>
      </c>
      <c r="N62" s="60" t="str">
        <f t="shared" si="76"/>
        <v>.</v>
      </c>
      <c r="O62" s="60" t="str">
        <f t="shared" si="76"/>
        <v>.</v>
      </c>
      <c r="P62" s="60" t="str">
        <f t="shared" si="76"/>
        <v>.</v>
      </c>
      <c r="Q62" s="60" t="str">
        <f t="shared" si="76"/>
        <v>.</v>
      </c>
      <c r="R62" s="60" t="str">
        <f t="shared" si="76"/>
        <v>.</v>
      </c>
      <c r="S62" s="60" t="str">
        <f t="shared" si="76"/>
        <v>.</v>
      </c>
      <c r="T62" s="60" t="str">
        <f t="shared" si="76"/>
        <v>.</v>
      </c>
      <c r="U62" s="60" t="str">
        <f t="shared" si="76"/>
        <v>.</v>
      </c>
      <c r="V62" s="60" t="str">
        <f t="shared" si="76"/>
        <v>.</v>
      </c>
      <c r="W62" s="60" t="str">
        <f t="shared" si="76"/>
        <v>.</v>
      </c>
      <c r="X62" s="60" t="str">
        <f t="shared" si="76"/>
        <v>.</v>
      </c>
      <c r="Y62" s="60" t="str">
        <f t="shared" si="76"/>
        <v>.</v>
      </c>
      <c r="Z62" s="60" t="str">
        <f t="shared" si="76"/>
        <v>.</v>
      </c>
      <c r="AA62" s="60" t="str">
        <f t="shared" si="76"/>
        <v>.</v>
      </c>
      <c r="AB62" s="60" t="str">
        <f t="shared" si="76"/>
        <v>.</v>
      </c>
      <c r="AC62" s="94" t="str">
        <f t="shared" si="49"/>
        <v>.</v>
      </c>
      <c r="AD62" s="94" t="str">
        <f>IF(D62=".",".",s_RadSpec!$F$27*(AD27*$B62))</f>
        <v>.</v>
      </c>
      <c r="AE62" s="94" t="str">
        <f>IF(E62=".",".",s_RadSpec!$F$27*(AE27*$B62))</f>
        <v>.</v>
      </c>
      <c r="AF62" s="94" t="str">
        <f>IF(F62=".",".",s_RadSpec!$F$27*(AF27*$B62))</f>
        <v>.</v>
      </c>
      <c r="AG62" s="94" t="str">
        <f>IF(G62=".",".",s_RadSpec!$F$27*(AG27*$B62))</f>
        <v>.</v>
      </c>
      <c r="AH62" s="94" t="str">
        <f>IF(H62=".",".",s_RadSpec!$F$27*(AH27*$B62))</f>
        <v>.</v>
      </c>
      <c r="AI62" s="94" t="str">
        <f>IF(I62=".",".",s_RadSpec!$F$27*(AI27*$B62))</f>
        <v>.</v>
      </c>
      <c r="AJ62" s="94" t="str">
        <f>IF(J62=".",".",s_RadSpec!$F$27*(AJ27*$B62))</f>
        <v>.</v>
      </c>
      <c r="AK62" s="94" t="str">
        <f>IF(K62=".",".",s_RadSpec!$F$27*(AK27*$B62))</f>
        <v>.</v>
      </c>
      <c r="AL62" s="94" t="str">
        <f>IF(L62=".",".",s_RadSpec!$F$27*(AL27*$B62))</f>
        <v>.</v>
      </c>
      <c r="AM62" s="94" t="str">
        <f>IF(M62=".",".",s_RadSpec!$F$27*(AM27*$B62))</f>
        <v>.</v>
      </c>
      <c r="AN62" s="94" t="str">
        <f>IF(N62=".",".",s_RadSpec!$F$27*(AN27*$B62))</f>
        <v>.</v>
      </c>
      <c r="AO62" s="94" t="str">
        <f>IF(O62=".",".",s_RadSpec!$F$27*(AO27*$B62))</f>
        <v>.</v>
      </c>
      <c r="AP62" s="94" t="str">
        <f>IF(P62=".",".",s_RadSpec!$F$27*(AP27*$B62))</f>
        <v>.</v>
      </c>
      <c r="AQ62" s="94" t="str">
        <f>IF(Q62=".",".",s_RadSpec!$F$27*(AQ27*$B62))</f>
        <v>.</v>
      </c>
      <c r="AR62" s="94" t="str">
        <f>IF(R62=".",".",s_RadSpec!$F$27*(AR27*$B62))</f>
        <v>.</v>
      </c>
      <c r="AS62" s="94" t="str">
        <f>IF(S62=".",".",s_RadSpec!$F$27*(AS27*$B62))</f>
        <v>.</v>
      </c>
      <c r="AT62" s="94" t="str">
        <f>IF(T62=".",".",s_RadSpec!$F$27*(AT27*$B62))</f>
        <v>.</v>
      </c>
      <c r="AU62" s="94" t="str">
        <f>IF(U62=".",".",s_RadSpec!$F$27*(AU27*$B62))</f>
        <v>.</v>
      </c>
      <c r="AV62" s="94" t="str">
        <f>IF(V62=".",".",s_RadSpec!$F$27*(AV27*$B62))</f>
        <v>.</v>
      </c>
      <c r="AW62" s="94" t="str">
        <f>IF(W62=".",".",s_RadSpec!$F$27*(AW27*$B62))</f>
        <v>.</v>
      </c>
      <c r="AX62" s="94" t="str">
        <f>IF(X62=".",".",s_RadSpec!$F$27*(AX27*$B62))</f>
        <v>.</v>
      </c>
      <c r="AY62" s="94" t="str">
        <f>IF(Y62=".",".",s_RadSpec!$F$27*(AY27*$B62))</f>
        <v>.</v>
      </c>
      <c r="AZ62" s="94" t="str">
        <f>IF(Z62=".",".",s_RadSpec!$F$27*(AZ27*$B62))</f>
        <v>.</v>
      </c>
      <c r="BA62" s="94" t="str">
        <f>IF(AA62=".",".",s_RadSpec!$F$27*(BA27*$B62))</f>
        <v>.</v>
      </c>
      <c r="BB62" s="94" t="str">
        <f>IF(AB62=".",".",s_RadSpec!$F$27*(BB27*$B62))</f>
        <v>.</v>
      </c>
      <c r="BC62" s="60" t="str">
        <f t="shared" ref="BC62:CB62" si="77">IFERROR(BC27/$B62,".")</f>
        <v>.</v>
      </c>
      <c r="BD62" s="60" t="str">
        <f t="shared" si="77"/>
        <v>.</v>
      </c>
      <c r="BE62" s="60" t="str">
        <f t="shared" si="77"/>
        <v>.</v>
      </c>
      <c r="BF62" s="60" t="str">
        <f t="shared" si="77"/>
        <v>.</v>
      </c>
      <c r="BG62" s="60" t="str">
        <f t="shared" si="77"/>
        <v>.</v>
      </c>
      <c r="BH62" s="60" t="str">
        <f t="shared" si="77"/>
        <v>.</v>
      </c>
      <c r="BI62" s="60" t="str">
        <f t="shared" si="77"/>
        <v>.</v>
      </c>
      <c r="BJ62" s="60" t="str">
        <f t="shared" si="77"/>
        <v>.</v>
      </c>
      <c r="BK62" s="60" t="str">
        <f t="shared" si="77"/>
        <v>.</v>
      </c>
      <c r="BL62" s="60" t="str">
        <f t="shared" si="77"/>
        <v>.</v>
      </c>
      <c r="BM62" s="60" t="str">
        <f t="shared" si="77"/>
        <v>.</v>
      </c>
      <c r="BN62" s="60" t="str">
        <f t="shared" si="77"/>
        <v>.</v>
      </c>
      <c r="BO62" s="60" t="str">
        <f t="shared" si="77"/>
        <v>.</v>
      </c>
      <c r="BP62" s="60" t="str">
        <f t="shared" si="77"/>
        <v>.</v>
      </c>
      <c r="BQ62" s="60" t="str">
        <f t="shared" si="77"/>
        <v>.</v>
      </c>
      <c r="BR62" s="60" t="str">
        <f t="shared" si="77"/>
        <v>.</v>
      </c>
      <c r="BS62" s="60" t="str">
        <f t="shared" si="77"/>
        <v>.</v>
      </c>
      <c r="BT62" s="60" t="str">
        <f t="shared" si="77"/>
        <v>.</v>
      </c>
      <c r="BU62" s="60" t="str">
        <f t="shared" si="77"/>
        <v>.</v>
      </c>
      <c r="BV62" s="60" t="str">
        <f t="shared" si="77"/>
        <v>.</v>
      </c>
      <c r="BW62" s="60" t="str">
        <f t="shared" si="77"/>
        <v>.</v>
      </c>
      <c r="BX62" s="60" t="str">
        <f t="shared" si="77"/>
        <v>.</v>
      </c>
      <c r="BY62" s="60" t="str">
        <f t="shared" si="77"/>
        <v>.</v>
      </c>
      <c r="BZ62" s="60" t="str">
        <f t="shared" si="77"/>
        <v>.</v>
      </c>
      <c r="CA62" s="60" t="str">
        <f t="shared" si="77"/>
        <v>.</v>
      </c>
      <c r="CB62" s="60" t="str">
        <f t="shared" si="77"/>
        <v>.</v>
      </c>
      <c r="CC62" s="94" t="str">
        <f t="shared" si="51"/>
        <v>.</v>
      </c>
      <c r="CD62" s="94" t="str">
        <f>IF(BD62=".",".",s_RadSpec!$F$27*(CD27*$B62))</f>
        <v>.</v>
      </c>
      <c r="CE62" s="94" t="str">
        <f>IF(BE62=".",".",s_RadSpec!$F$27*(CE27*$B62))</f>
        <v>.</v>
      </c>
      <c r="CF62" s="94" t="str">
        <f>IF(BF62=".",".",s_RadSpec!$F$27*(CF27*$B62))</f>
        <v>.</v>
      </c>
      <c r="CG62" s="94" t="str">
        <f>IF(BG62=".",".",s_RadSpec!$F$27*(CG27*$B62))</f>
        <v>.</v>
      </c>
      <c r="CH62" s="94" t="str">
        <f>IF(BH62=".",".",s_RadSpec!$F$27*(CH27*$B62))</f>
        <v>.</v>
      </c>
      <c r="CI62" s="94" t="str">
        <f>IF(BI62=".",".",s_RadSpec!$F$27*(CI27*$B62))</f>
        <v>.</v>
      </c>
      <c r="CJ62" s="94" t="str">
        <f>IF(BJ62=".",".",s_RadSpec!$F$27*(CJ27*$B62))</f>
        <v>.</v>
      </c>
      <c r="CK62" s="94" t="str">
        <f>IF(BK62=".",".",s_RadSpec!$F$27*(CK27*$B62))</f>
        <v>.</v>
      </c>
      <c r="CL62" s="94" t="str">
        <f>IF(BL62=".",".",s_RadSpec!$F$27*(CL27*$B62))</f>
        <v>.</v>
      </c>
      <c r="CM62" s="94" t="str">
        <f>IF(BM62=".",".",s_RadSpec!$F$27*(CM27*$B62))</f>
        <v>.</v>
      </c>
      <c r="CN62" s="94" t="str">
        <f>IF(BN62=".",".",s_RadSpec!$F$27*(CN27*$B62))</f>
        <v>.</v>
      </c>
      <c r="CO62" s="94" t="str">
        <f>IF(BO62=".",".",s_RadSpec!$F$27*(CO27*$B62))</f>
        <v>.</v>
      </c>
      <c r="CP62" s="94" t="str">
        <f>IF(BP62=".",".",s_RadSpec!$F$27*(CP27*$B62))</f>
        <v>.</v>
      </c>
      <c r="CQ62" s="94" t="str">
        <f>IF(BQ62=".",".",s_RadSpec!$F$27*(CQ27*$B62))</f>
        <v>.</v>
      </c>
      <c r="CR62" s="94" t="str">
        <f>IF(BR62=".",".",s_RadSpec!$F$27*(CR27*$B62))</f>
        <v>.</v>
      </c>
      <c r="CS62" s="94" t="str">
        <f>IF(BS62=".",".",s_RadSpec!$F$27*(CS27*$B62))</f>
        <v>.</v>
      </c>
      <c r="CT62" s="94" t="str">
        <f>IF(BT62=".",".",s_RadSpec!$F$27*(CT27*$B62))</f>
        <v>.</v>
      </c>
      <c r="CU62" s="94" t="str">
        <f>IF(BU62=".",".",s_RadSpec!$F$27*(CU27*$B62))</f>
        <v>.</v>
      </c>
      <c r="CV62" s="94" t="str">
        <f>IF(BV62=".",".",s_RadSpec!$F$27*(CV27*$B62))</f>
        <v>.</v>
      </c>
      <c r="CW62" s="94" t="str">
        <f>IF(BW62=".",".",s_RadSpec!$F$27*(CW27*$B62))</f>
        <v>.</v>
      </c>
      <c r="CX62" s="94" t="str">
        <f>IF(BX62=".",".",s_RadSpec!$F$27*(CX27*$B62))</f>
        <v>.</v>
      </c>
      <c r="CY62" s="94" t="str">
        <f>IF(BY62=".",".",s_RadSpec!$F$27*(CY27*$B62))</f>
        <v>.</v>
      </c>
      <c r="CZ62" s="94" t="str">
        <f>IF(BZ62=".",".",s_RadSpec!$F$27*(CZ27*$B62))</f>
        <v>.</v>
      </c>
      <c r="DA62" s="94" t="str">
        <f>IF(CA62=".",".",s_RadSpec!$F$27*(DA27*$B62))</f>
        <v>.</v>
      </c>
      <c r="DB62" s="94" t="str">
        <f>IF(CB62=".",".",s_RadSpec!$F$27*(DB27*$B62))</f>
        <v>.</v>
      </c>
    </row>
    <row r="63" spans="1:106" s="42" customFormat="1" x14ac:dyDescent="0.25">
      <c r="A63" s="76" t="s">
        <v>23</v>
      </c>
      <c r="B63" s="76" t="s">
        <v>1057</v>
      </c>
      <c r="C63" s="58">
        <f t="shared" ref="C63:AB63" si="78">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6.2939110431943615</v>
      </c>
      <c r="D63" s="58">
        <f t="shared" si="78"/>
        <v>25.851777116994679</v>
      </c>
      <c r="E63" s="58">
        <f t="shared" si="78"/>
        <v>17.43180566924163</v>
      </c>
      <c r="F63" s="58">
        <f t="shared" si="78"/>
        <v>23.811803675855522</v>
      </c>
      <c r="G63" s="58">
        <f t="shared" si="78"/>
        <v>25.851777116994679</v>
      </c>
      <c r="H63" s="58">
        <f t="shared" si="78"/>
        <v>25.115216054981939</v>
      </c>
      <c r="I63" s="58">
        <f t="shared" si="78"/>
        <v>17.43180566924163</v>
      </c>
      <c r="J63" s="58">
        <f t="shared" si="78"/>
        <v>23.811803675855522</v>
      </c>
      <c r="K63" s="58">
        <f t="shared" si="78"/>
        <v>25.851777116994679</v>
      </c>
      <c r="L63" s="58">
        <f t="shared" si="78"/>
        <v>27.24720358028107</v>
      </c>
      <c r="M63" s="58">
        <f t="shared" si="78"/>
        <v>25.115216054981939</v>
      </c>
      <c r="N63" s="58">
        <f t="shared" si="78"/>
        <v>17.43180566924163</v>
      </c>
      <c r="O63" s="58">
        <f t="shared" si="78"/>
        <v>26.565413217525709</v>
      </c>
      <c r="P63" s="58">
        <f t="shared" si="78"/>
        <v>25.115216054981939</v>
      </c>
      <c r="Q63" s="58">
        <f t="shared" si="78"/>
        <v>23.811803675855522</v>
      </c>
      <c r="R63" s="58">
        <f t="shared" si="78"/>
        <v>25.851777116994679</v>
      </c>
      <c r="S63" s="58">
        <f t="shared" si="78"/>
        <v>25.851777116994679</v>
      </c>
      <c r="T63" s="58">
        <f t="shared" si="78"/>
        <v>26.565413217525709</v>
      </c>
      <c r="U63" s="58">
        <f t="shared" si="78"/>
        <v>25.115216054981939</v>
      </c>
      <c r="V63" s="58">
        <f t="shared" si="78"/>
        <v>26.506571047909294</v>
      </c>
      <c r="W63" s="58">
        <f t="shared" si="78"/>
        <v>25.115216054981939</v>
      </c>
      <c r="X63" s="58">
        <f t="shared" si="78"/>
        <v>26.565413217525709</v>
      </c>
      <c r="Y63" s="58">
        <f t="shared" si="78"/>
        <v>25.851777116994679</v>
      </c>
      <c r="Z63" s="58">
        <f t="shared" si="78"/>
        <v>25.115216054981939</v>
      </c>
      <c r="AA63" s="58">
        <f t="shared" si="78"/>
        <v>24.119258814399561</v>
      </c>
      <c r="AB63" s="58">
        <f t="shared" si="78"/>
        <v>25.690749820967337</v>
      </c>
      <c r="AC63" s="91">
        <f>IFERROR(SUM(AD64:AD76,AU64:AU76,BA64:BA76,BB64:BB76),".")</f>
        <v>3.9720930004297781</v>
      </c>
      <c r="AD63" s="91">
        <f>IFERROR(SUM(AD64:AD76),".")</f>
        <v>0.96705150624114244</v>
      </c>
      <c r="AE63" s="91">
        <f t="shared" ref="AE63:BB63" si="79">IFERROR(SUM(AE64:AE76),".")</f>
        <v>1.4341600907192551</v>
      </c>
      <c r="AF63" s="91">
        <f t="shared" si="79"/>
        <v>1.0498994675211972</v>
      </c>
      <c r="AG63" s="91">
        <f t="shared" si="79"/>
        <v>0.96705150624114244</v>
      </c>
      <c r="AH63" s="91">
        <f t="shared" si="79"/>
        <v>0.99541249994705572</v>
      </c>
      <c r="AI63" s="91">
        <f t="shared" si="79"/>
        <v>1.4341600907192551</v>
      </c>
      <c r="AJ63" s="91">
        <f t="shared" si="79"/>
        <v>1.0498994675211972</v>
      </c>
      <c r="AK63" s="91">
        <f t="shared" si="79"/>
        <v>0.96705150624114244</v>
      </c>
      <c r="AL63" s="91">
        <f t="shared" si="79"/>
        <v>0.91752534994426438</v>
      </c>
      <c r="AM63" s="91">
        <f t="shared" si="79"/>
        <v>0.99541249994705572</v>
      </c>
      <c r="AN63" s="91">
        <f t="shared" si="79"/>
        <v>1.4341600907192551</v>
      </c>
      <c r="AO63" s="91">
        <f t="shared" si="79"/>
        <v>0.94107325925226037</v>
      </c>
      <c r="AP63" s="91">
        <f t="shared" si="79"/>
        <v>0.99541249994705572</v>
      </c>
      <c r="AQ63" s="91">
        <f t="shared" si="79"/>
        <v>1.0498994675211972</v>
      </c>
      <c r="AR63" s="91">
        <f t="shared" si="79"/>
        <v>0.96705150624114244</v>
      </c>
      <c r="AS63" s="91">
        <f t="shared" si="79"/>
        <v>0.96705150624114244</v>
      </c>
      <c r="AT63" s="91">
        <f t="shared" si="79"/>
        <v>0.94107325925226037</v>
      </c>
      <c r="AU63" s="91">
        <f t="shared" si="79"/>
        <v>0.99541249994705572</v>
      </c>
      <c r="AV63" s="91">
        <f t="shared" si="79"/>
        <v>0.94316235603668841</v>
      </c>
      <c r="AW63" s="91">
        <f t="shared" si="79"/>
        <v>0.99541249994705572</v>
      </c>
      <c r="AX63" s="91">
        <f t="shared" si="79"/>
        <v>0.94107325925226037</v>
      </c>
      <c r="AY63" s="91">
        <f t="shared" si="79"/>
        <v>0.96705150624114244</v>
      </c>
      <c r="AZ63" s="91">
        <f t="shared" si="79"/>
        <v>0.99541249994705572</v>
      </c>
      <c r="BA63" s="91">
        <f t="shared" si="79"/>
        <v>1.0365160966337248</v>
      </c>
      <c r="BB63" s="91">
        <f t="shared" si="79"/>
        <v>0.97311289760785469</v>
      </c>
      <c r="BC63" s="58">
        <f t="shared" ref="BC63:CB63" si="80">IFERROR(1/SUM(IFERROR(1/SUMIF(BC64,"&lt;&gt;.",BC64),0),IFERROR(1/SUMIF(BC65,"&lt;&gt;.",BC65),0),IFERROR(1/SUMIF(BC66,"&lt;&gt;.",BC66),0),IFERROR(1/SUMIF(BC67,"&lt;&gt;.",BC67),0),IFERROR(1/SUMIF(BC68,"&lt;&gt;.",BC68),0),IFERROR(1/SUMIF(BC69,"&lt;&gt;.",BC69),0),IFERROR(1/SUMIF(BC70,"&lt;&gt;.",BC70),0),IFERROR(1/SUMIF(BC71,"&lt;&gt;.",BC71),0),IFERROR(1/SUMIF(BC72,"&lt;&gt;.",BC72),0),IFERROR(1/SUMIF(BC73,"&lt;&gt;.",BC73),0),IFERROR(1/SUMIF(BC74,"&lt;&gt;.",BC74),0),IFERROR(1/SUMIF(BC75,"&lt;&gt;.",BC75),0),IFERROR(1/SUMIF(BC76,"&lt;&gt;.",BC76),0)),".")</f>
        <v>6.2939110431943615</v>
      </c>
      <c r="BD63" s="58">
        <f t="shared" si="80"/>
        <v>25.851777116994679</v>
      </c>
      <c r="BE63" s="58">
        <f t="shared" si="80"/>
        <v>17.43180566924163</v>
      </c>
      <c r="BF63" s="58">
        <f t="shared" si="80"/>
        <v>23.811803675855522</v>
      </c>
      <c r="BG63" s="58">
        <f t="shared" si="80"/>
        <v>25.851777116994679</v>
      </c>
      <c r="BH63" s="58">
        <f t="shared" si="80"/>
        <v>25.115216054981939</v>
      </c>
      <c r="BI63" s="58">
        <f t="shared" si="80"/>
        <v>17.43180566924163</v>
      </c>
      <c r="BJ63" s="58">
        <f t="shared" si="80"/>
        <v>23.811803675855522</v>
      </c>
      <c r="BK63" s="58">
        <f t="shared" si="80"/>
        <v>25.851777116994679</v>
      </c>
      <c r="BL63" s="58">
        <f t="shared" si="80"/>
        <v>27.24720358028107</v>
      </c>
      <c r="BM63" s="58">
        <f t="shared" si="80"/>
        <v>25.115216054981939</v>
      </c>
      <c r="BN63" s="58">
        <f t="shared" si="80"/>
        <v>17.43180566924163</v>
      </c>
      <c r="BO63" s="58">
        <f t="shared" si="80"/>
        <v>26.565413217525709</v>
      </c>
      <c r="BP63" s="58">
        <f t="shared" si="80"/>
        <v>25.115216054981939</v>
      </c>
      <c r="BQ63" s="58">
        <f t="shared" si="80"/>
        <v>23.811803675855522</v>
      </c>
      <c r="BR63" s="58">
        <f t="shared" si="80"/>
        <v>25.851777116994679</v>
      </c>
      <c r="BS63" s="58">
        <f t="shared" si="80"/>
        <v>25.851777116994679</v>
      </c>
      <c r="BT63" s="58">
        <f t="shared" si="80"/>
        <v>26.565413217525709</v>
      </c>
      <c r="BU63" s="58">
        <f t="shared" si="80"/>
        <v>25.115216054981939</v>
      </c>
      <c r="BV63" s="58">
        <f t="shared" si="80"/>
        <v>26.506571047909294</v>
      </c>
      <c r="BW63" s="58">
        <f t="shared" si="80"/>
        <v>25.115216054981939</v>
      </c>
      <c r="BX63" s="58">
        <f t="shared" si="80"/>
        <v>26.565413217525709</v>
      </c>
      <c r="BY63" s="58">
        <f t="shared" si="80"/>
        <v>25.851777116994679</v>
      </c>
      <c r="BZ63" s="58">
        <f t="shared" si="80"/>
        <v>25.115216054981939</v>
      </c>
      <c r="CA63" s="58">
        <f t="shared" si="80"/>
        <v>24.119258814399561</v>
      </c>
      <c r="CB63" s="58">
        <f t="shared" si="80"/>
        <v>25.690749820967337</v>
      </c>
      <c r="CC63" s="91">
        <f>IFERROR(SUM(CD64:CD76,CU64:CU76,DA64:DA76,DB64:DB76),".")</f>
        <v>3.9720930004297781</v>
      </c>
      <c r="CD63" s="91">
        <f>IFERROR(SUM(CD64:CD76),".")</f>
        <v>0.96705150624114244</v>
      </c>
      <c r="CE63" s="91">
        <f t="shared" ref="CE63:DB63" si="81">IFERROR(SUM(CE64:CE76),".")</f>
        <v>1.4341600907192551</v>
      </c>
      <c r="CF63" s="91">
        <f t="shared" si="81"/>
        <v>1.0498994675211972</v>
      </c>
      <c r="CG63" s="91">
        <f t="shared" si="81"/>
        <v>0.96705150624114244</v>
      </c>
      <c r="CH63" s="91">
        <f t="shared" si="81"/>
        <v>0.99541249994705572</v>
      </c>
      <c r="CI63" s="91">
        <f t="shared" si="81"/>
        <v>1.4341600907192551</v>
      </c>
      <c r="CJ63" s="91">
        <f t="shared" si="81"/>
        <v>1.0498994675211972</v>
      </c>
      <c r="CK63" s="91">
        <f t="shared" si="81"/>
        <v>0.96705150624114244</v>
      </c>
      <c r="CL63" s="91">
        <f t="shared" si="81"/>
        <v>0.91752534994426438</v>
      </c>
      <c r="CM63" s="91">
        <f t="shared" si="81"/>
        <v>0.99541249994705572</v>
      </c>
      <c r="CN63" s="91">
        <f t="shared" si="81"/>
        <v>1.4341600907192551</v>
      </c>
      <c r="CO63" s="91">
        <f t="shared" si="81"/>
        <v>0.94107325925226037</v>
      </c>
      <c r="CP63" s="91">
        <f t="shared" si="81"/>
        <v>0.99541249994705572</v>
      </c>
      <c r="CQ63" s="91">
        <f t="shared" si="81"/>
        <v>1.0498994675211972</v>
      </c>
      <c r="CR63" s="91">
        <f t="shared" si="81"/>
        <v>0.96705150624114244</v>
      </c>
      <c r="CS63" s="91">
        <f t="shared" si="81"/>
        <v>0.96705150624114244</v>
      </c>
      <c r="CT63" s="91">
        <f t="shared" si="81"/>
        <v>0.94107325925226037</v>
      </c>
      <c r="CU63" s="91">
        <f t="shared" si="81"/>
        <v>0.99541249994705572</v>
      </c>
      <c r="CV63" s="91">
        <f t="shared" si="81"/>
        <v>0.94316235603668841</v>
      </c>
      <c r="CW63" s="91">
        <f t="shared" si="81"/>
        <v>0.99541249994705572</v>
      </c>
      <c r="CX63" s="91">
        <f t="shared" si="81"/>
        <v>0.94107325925226037</v>
      </c>
      <c r="CY63" s="91">
        <f t="shared" si="81"/>
        <v>0.96705150624114244</v>
      </c>
      <c r="CZ63" s="91">
        <f t="shared" si="81"/>
        <v>0.99541249994705572</v>
      </c>
      <c r="DA63" s="91">
        <f t="shared" si="81"/>
        <v>1.0365160966337248</v>
      </c>
      <c r="DB63" s="91">
        <f t="shared" si="81"/>
        <v>0.97311289760785469</v>
      </c>
    </row>
    <row r="64" spans="1:106" s="42" customFormat="1" x14ac:dyDescent="0.25">
      <c r="A64" s="77" t="s">
        <v>1073</v>
      </c>
      <c r="B64" s="42">
        <v>1</v>
      </c>
      <c r="C64" s="60" t="str">
        <f t="shared" ref="C64:AB64" si="82">IFERROR(C25/$B50,".")</f>
        <v>.</v>
      </c>
      <c r="D64" s="60" t="str">
        <f t="shared" si="82"/>
        <v>.</v>
      </c>
      <c r="E64" s="60" t="str">
        <f t="shared" si="82"/>
        <v>.</v>
      </c>
      <c r="F64" s="60" t="str">
        <f t="shared" si="82"/>
        <v>.</v>
      </c>
      <c r="G64" s="60" t="str">
        <f t="shared" si="82"/>
        <v>.</v>
      </c>
      <c r="H64" s="60" t="str">
        <f t="shared" si="82"/>
        <v>.</v>
      </c>
      <c r="I64" s="60" t="str">
        <f t="shared" si="82"/>
        <v>.</v>
      </c>
      <c r="J64" s="60" t="str">
        <f t="shared" si="82"/>
        <v>.</v>
      </c>
      <c r="K64" s="60" t="str">
        <f t="shared" si="82"/>
        <v>.</v>
      </c>
      <c r="L64" s="60" t="str">
        <f t="shared" si="82"/>
        <v>.</v>
      </c>
      <c r="M64" s="60" t="str">
        <f t="shared" si="82"/>
        <v>.</v>
      </c>
      <c r="N64" s="60" t="str">
        <f t="shared" si="82"/>
        <v>.</v>
      </c>
      <c r="O64" s="60" t="str">
        <f t="shared" si="82"/>
        <v>.</v>
      </c>
      <c r="P64" s="60" t="str">
        <f t="shared" si="82"/>
        <v>.</v>
      </c>
      <c r="Q64" s="60" t="str">
        <f t="shared" si="82"/>
        <v>.</v>
      </c>
      <c r="R64" s="60" t="str">
        <f t="shared" si="82"/>
        <v>.</v>
      </c>
      <c r="S64" s="60" t="str">
        <f t="shared" si="82"/>
        <v>.</v>
      </c>
      <c r="T64" s="60" t="str">
        <f t="shared" si="82"/>
        <v>.</v>
      </c>
      <c r="U64" s="60" t="str">
        <f t="shared" si="82"/>
        <v>.</v>
      </c>
      <c r="V64" s="60" t="str">
        <f t="shared" si="82"/>
        <v>.</v>
      </c>
      <c r="W64" s="60" t="str">
        <f t="shared" si="82"/>
        <v>.</v>
      </c>
      <c r="X64" s="60" t="str">
        <f t="shared" si="82"/>
        <v>.</v>
      </c>
      <c r="Y64" s="60" t="str">
        <f t="shared" si="82"/>
        <v>.</v>
      </c>
      <c r="Z64" s="60" t="str">
        <f t="shared" si="82"/>
        <v>.</v>
      </c>
      <c r="AA64" s="60" t="str">
        <f t="shared" si="82"/>
        <v>.</v>
      </c>
      <c r="AB64" s="60" t="str">
        <f t="shared" si="82"/>
        <v>.</v>
      </c>
      <c r="AC64" s="94" t="str">
        <f t="shared" ref="AC64:AC76" si="83">IF(AND(AD64&lt;&gt;".",AU64&lt;&gt;".",BA64&lt;&gt;".",BB64&lt;&gt;"."),SUM(AD64,AU64,BA64:BB64),".")</f>
        <v>.</v>
      </c>
      <c r="AD64" s="94" t="str">
        <f>IF(D64=".",".",s_RadSpec!$F$25*(AD25*$B64))</f>
        <v>.</v>
      </c>
      <c r="AE64" s="94" t="str">
        <f>IF(E64=".",".",s_RadSpec!$F$25*(AE25*$B64))</f>
        <v>.</v>
      </c>
      <c r="AF64" s="94" t="str">
        <f>IF(F64=".",".",s_RadSpec!$F$25*(AF25*$B64))</f>
        <v>.</v>
      </c>
      <c r="AG64" s="94" t="str">
        <f>IF(G64=".",".",s_RadSpec!$F$25*(AG25*$B64))</f>
        <v>.</v>
      </c>
      <c r="AH64" s="94" t="str">
        <f>IF(H64=".",".",s_RadSpec!$F$25*(AH25*$B64))</f>
        <v>.</v>
      </c>
      <c r="AI64" s="94" t="str">
        <f>IF(I64=".",".",s_RadSpec!$F$25*(AI25*$B64))</f>
        <v>.</v>
      </c>
      <c r="AJ64" s="94" t="str">
        <f>IF(J64=".",".",s_RadSpec!$F$25*(AJ25*$B64))</f>
        <v>.</v>
      </c>
      <c r="AK64" s="94" t="str">
        <f>IF(K64=".",".",s_RadSpec!$F$25*(AK25*$B64))</f>
        <v>.</v>
      </c>
      <c r="AL64" s="94" t="str">
        <f>IF(L64=".",".",s_RadSpec!$F$25*(AL25*$B64))</f>
        <v>.</v>
      </c>
      <c r="AM64" s="94" t="str">
        <f>IF(M64=".",".",s_RadSpec!$F$25*(AM25*$B64))</f>
        <v>.</v>
      </c>
      <c r="AN64" s="94" t="str">
        <f>IF(N64=".",".",s_RadSpec!$F$25*(AN25*$B64))</f>
        <v>.</v>
      </c>
      <c r="AO64" s="94" t="str">
        <f>IF(O64=".",".",s_RadSpec!$F$25*(AO25*$B64))</f>
        <v>.</v>
      </c>
      <c r="AP64" s="94" t="str">
        <f>IF(P64=".",".",s_RadSpec!$F$25*(AP25*$B64))</f>
        <v>.</v>
      </c>
      <c r="AQ64" s="94" t="str">
        <f>IF(Q64=".",".",s_RadSpec!$F$25*(AQ25*$B64))</f>
        <v>.</v>
      </c>
      <c r="AR64" s="94" t="str">
        <f>IF(R64=".",".",s_RadSpec!$F$25*(AR25*$B64))</f>
        <v>.</v>
      </c>
      <c r="AS64" s="94" t="str">
        <f>IF(S64=".",".",s_RadSpec!$F$25*(AS25*$B64))</f>
        <v>.</v>
      </c>
      <c r="AT64" s="94" t="str">
        <f>IF(T64=".",".",s_RadSpec!$F$25*(AT25*$B64))</f>
        <v>.</v>
      </c>
      <c r="AU64" s="94" t="str">
        <f>IF(U64=".",".",s_RadSpec!$F$25*(AU25*$B64))</f>
        <v>.</v>
      </c>
      <c r="AV64" s="94" t="str">
        <f>IF(V64=".",".",s_RadSpec!$F$25*(AV25*$B64))</f>
        <v>.</v>
      </c>
      <c r="AW64" s="94" t="str">
        <f>IF(W64=".",".",s_RadSpec!$F$25*(AW25*$B64))</f>
        <v>.</v>
      </c>
      <c r="AX64" s="94" t="str">
        <f>IF(X64=".",".",s_RadSpec!$F$25*(AX25*$B64))</f>
        <v>.</v>
      </c>
      <c r="AY64" s="94" t="str">
        <f>IF(Y64=".",".",s_RadSpec!$F$25*(AY25*$B64))</f>
        <v>.</v>
      </c>
      <c r="AZ64" s="94" t="str">
        <f>IF(Z64=".",".",s_RadSpec!$F$25*(AZ25*$B64))</f>
        <v>.</v>
      </c>
      <c r="BA64" s="94" t="str">
        <f>IF(AA64=".",".",s_RadSpec!$F$25*(BA25*$B64))</f>
        <v>.</v>
      </c>
      <c r="BB64" s="94" t="str">
        <f>IF(AB64=".",".",s_RadSpec!$F$25*(BB25*$B64))</f>
        <v>.</v>
      </c>
      <c r="BC64" s="60" t="str">
        <f t="shared" ref="BC64:CB64" si="84">IFERROR(BC25/$B50,".")</f>
        <v>.</v>
      </c>
      <c r="BD64" s="60" t="str">
        <f t="shared" si="84"/>
        <v>.</v>
      </c>
      <c r="BE64" s="60" t="str">
        <f t="shared" si="84"/>
        <v>.</v>
      </c>
      <c r="BF64" s="60" t="str">
        <f t="shared" si="84"/>
        <v>.</v>
      </c>
      <c r="BG64" s="60" t="str">
        <f t="shared" si="84"/>
        <v>.</v>
      </c>
      <c r="BH64" s="60" t="str">
        <f t="shared" si="84"/>
        <v>.</v>
      </c>
      <c r="BI64" s="60" t="str">
        <f t="shared" si="84"/>
        <v>.</v>
      </c>
      <c r="BJ64" s="60" t="str">
        <f t="shared" si="84"/>
        <v>.</v>
      </c>
      <c r="BK64" s="60" t="str">
        <f t="shared" si="84"/>
        <v>.</v>
      </c>
      <c r="BL64" s="60" t="str">
        <f t="shared" si="84"/>
        <v>.</v>
      </c>
      <c r="BM64" s="60" t="str">
        <f t="shared" si="84"/>
        <v>.</v>
      </c>
      <c r="BN64" s="60" t="str">
        <f t="shared" si="84"/>
        <v>.</v>
      </c>
      <c r="BO64" s="60" t="str">
        <f t="shared" si="84"/>
        <v>.</v>
      </c>
      <c r="BP64" s="60" t="str">
        <f t="shared" si="84"/>
        <v>.</v>
      </c>
      <c r="BQ64" s="60" t="str">
        <f t="shared" si="84"/>
        <v>.</v>
      </c>
      <c r="BR64" s="60" t="str">
        <f t="shared" si="84"/>
        <v>.</v>
      </c>
      <c r="BS64" s="60" t="str">
        <f t="shared" si="84"/>
        <v>.</v>
      </c>
      <c r="BT64" s="60" t="str">
        <f t="shared" si="84"/>
        <v>.</v>
      </c>
      <c r="BU64" s="60" t="str">
        <f t="shared" si="84"/>
        <v>.</v>
      </c>
      <c r="BV64" s="60" t="str">
        <f t="shared" si="84"/>
        <v>.</v>
      </c>
      <c r="BW64" s="60" t="str">
        <f t="shared" si="84"/>
        <v>.</v>
      </c>
      <c r="BX64" s="60" t="str">
        <f t="shared" si="84"/>
        <v>.</v>
      </c>
      <c r="BY64" s="60" t="str">
        <f t="shared" si="84"/>
        <v>.</v>
      </c>
      <c r="BZ64" s="60" t="str">
        <f t="shared" si="84"/>
        <v>.</v>
      </c>
      <c r="CA64" s="60" t="str">
        <f t="shared" si="84"/>
        <v>.</v>
      </c>
      <c r="CB64" s="60" t="str">
        <f t="shared" si="84"/>
        <v>.</v>
      </c>
      <c r="CC64" s="94" t="str">
        <f t="shared" ref="CC64:CC76" si="85">IF(AND(CD64&lt;&gt;".",CU64&lt;&gt;".",DA64&lt;&gt;".",DB64&lt;&gt;"."),SUM(CD64,CU64,DA64:DB64),".")</f>
        <v>.</v>
      </c>
      <c r="CD64" s="94" t="str">
        <f>IF(BD64=".",".",s_RadSpec!$F$25*(CD25*$B64))</f>
        <v>.</v>
      </c>
      <c r="CE64" s="94" t="str">
        <f>IF(BE64=".",".",s_RadSpec!$F$25*(CE25*$B64))</f>
        <v>.</v>
      </c>
      <c r="CF64" s="94" t="str">
        <f>IF(BF64=".",".",s_RadSpec!$F$25*(CF25*$B64))</f>
        <v>.</v>
      </c>
      <c r="CG64" s="94" t="str">
        <f>IF(BG64=".",".",s_RadSpec!$F$25*(CG25*$B64))</f>
        <v>.</v>
      </c>
      <c r="CH64" s="94" t="str">
        <f>IF(BH64=".",".",s_RadSpec!$F$25*(CH25*$B64))</f>
        <v>.</v>
      </c>
      <c r="CI64" s="94" t="str">
        <f>IF(BI64=".",".",s_RadSpec!$F$25*(CI25*$B64))</f>
        <v>.</v>
      </c>
      <c r="CJ64" s="94" t="str">
        <f>IF(BJ64=".",".",s_RadSpec!$F$25*(CJ25*$B64))</f>
        <v>.</v>
      </c>
      <c r="CK64" s="94" t="str">
        <f>IF(BK64=".",".",s_RadSpec!$F$25*(CK25*$B64))</f>
        <v>.</v>
      </c>
      <c r="CL64" s="94" t="str">
        <f>IF(BL64=".",".",s_RadSpec!$F$25*(CL25*$B64))</f>
        <v>.</v>
      </c>
      <c r="CM64" s="94" t="str">
        <f>IF(BM64=".",".",s_RadSpec!$F$25*(CM25*$B64))</f>
        <v>.</v>
      </c>
      <c r="CN64" s="94" t="str">
        <f>IF(BN64=".",".",s_RadSpec!$F$25*(CN25*$B64))</f>
        <v>.</v>
      </c>
      <c r="CO64" s="94" t="str">
        <f>IF(BO64=".",".",s_RadSpec!$F$25*(CO25*$B64))</f>
        <v>.</v>
      </c>
      <c r="CP64" s="94" t="str">
        <f>IF(BP64=".",".",s_RadSpec!$F$25*(CP25*$B64))</f>
        <v>.</v>
      </c>
      <c r="CQ64" s="94" t="str">
        <f>IF(BQ64=".",".",s_RadSpec!$F$25*(CQ25*$B64))</f>
        <v>.</v>
      </c>
      <c r="CR64" s="94" t="str">
        <f>IF(BR64=".",".",s_RadSpec!$F$25*(CR25*$B64))</f>
        <v>.</v>
      </c>
      <c r="CS64" s="94" t="str">
        <f>IF(BS64=".",".",s_RadSpec!$F$25*(CS25*$B64))</f>
        <v>.</v>
      </c>
      <c r="CT64" s="94" t="str">
        <f>IF(BT64=".",".",s_RadSpec!$F$25*(CT25*$B64))</f>
        <v>.</v>
      </c>
      <c r="CU64" s="94" t="str">
        <f>IF(BU64=".",".",s_RadSpec!$F$25*(CU25*$B64))</f>
        <v>.</v>
      </c>
      <c r="CV64" s="94" t="str">
        <f>IF(BV64=".",".",s_RadSpec!$F$25*(CV25*$B64))</f>
        <v>.</v>
      </c>
      <c r="CW64" s="94" t="str">
        <f>IF(BW64=".",".",s_RadSpec!$F$25*(CW25*$B64))</f>
        <v>.</v>
      </c>
      <c r="CX64" s="94" t="str">
        <f>IF(BX64=".",".",s_RadSpec!$F$25*(CX25*$B64))</f>
        <v>.</v>
      </c>
      <c r="CY64" s="94" t="str">
        <f>IF(BY64=".",".",s_RadSpec!$F$25*(CY25*$B64))</f>
        <v>.</v>
      </c>
      <c r="CZ64" s="94" t="str">
        <f>IF(BZ64=".",".",s_RadSpec!$F$25*(CZ25*$B64))</f>
        <v>.</v>
      </c>
      <c r="DA64" s="94" t="str">
        <f>IF(CA64=".",".",s_RadSpec!$F$25*(DA25*$B64))</f>
        <v>.</v>
      </c>
      <c r="DB64" s="94" t="str">
        <f>IF(CB64=".",".",s_RadSpec!$F$25*(DB25*$B64))</f>
        <v>.</v>
      </c>
    </row>
    <row r="65" spans="1:106" s="42" customFormat="1" x14ac:dyDescent="0.25">
      <c r="A65" s="77" t="s">
        <v>1059</v>
      </c>
      <c r="B65" s="42">
        <v>1</v>
      </c>
      <c r="C65" s="60" t="str">
        <f t="shared" ref="C65:AB65" si="86">IFERROR(C21/$B51,".")</f>
        <v>.</v>
      </c>
      <c r="D65" s="60" t="str">
        <f t="shared" si="86"/>
        <v>.</v>
      </c>
      <c r="E65" s="60" t="str">
        <f t="shared" si="86"/>
        <v>.</v>
      </c>
      <c r="F65" s="60" t="str">
        <f t="shared" si="86"/>
        <v>.</v>
      </c>
      <c r="G65" s="60" t="str">
        <f t="shared" si="86"/>
        <v>.</v>
      </c>
      <c r="H65" s="60" t="str">
        <f t="shared" si="86"/>
        <v>.</v>
      </c>
      <c r="I65" s="60" t="str">
        <f t="shared" si="86"/>
        <v>.</v>
      </c>
      <c r="J65" s="60" t="str">
        <f t="shared" si="86"/>
        <v>.</v>
      </c>
      <c r="K65" s="60" t="str">
        <f t="shared" si="86"/>
        <v>.</v>
      </c>
      <c r="L65" s="60" t="str">
        <f t="shared" si="86"/>
        <v>.</v>
      </c>
      <c r="M65" s="60" t="str">
        <f t="shared" si="86"/>
        <v>.</v>
      </c>
      <c r="N65" s="60" t="str">
        <f t="shared" si="86"/>
        <v>.</v>
      </c>
      <c r="O65" s="60" t="str">
        <f t="shared" si="86"/>
        <v>.</v>
      </c>
      <c r="P65" s="60" t="str">
        <f t="shared" si="86"/>
        <v>.</v>
      </c>
      <c r="Q65" s="60" t="str">
        <f t="shared" si="86"/>
        <v>.</v>
      </c>
      <c r="R65" s="60" t="str">
        <f t="shared" si="86"/>
        <v>.</v>
      </c>
      <c r="S65" s="60" t="str">
        <f t="shared" si="86"/>
        <v>.</v>
      </c>
      <c r="T65" s="60" t="str">
        <f t="shared" si="86"/>
        <v>.</v>
      </c>
      <c r="U65" s="60" t="str">
        <f t="shared" si="86"/>
        <v>.</v>
      </c>
      <c r="V65" s="60" t="str">
        <f t="shared" si="86"/>
        <v>.</v>
      </c>
      <c r="W65" s="60" t="str">
        <f t="shared" si="86"/>
        <v>.</v>
      </c>
      <c r="X65" s="60" t="str">
        <f t="shared" si="86"/>
        <v>.</v>
      </c>
      <c r="Y65" s="60" t="str">
        <f t="shared" si="86"/>
        <v>.</v>
      </c>
      <c r="Z65" s="60" t="str">
        <f t="shared" si="86"/>
        <v>.</v>
      </c>
      <c r="AA65" s="60" t="str">
        <f t="shared" si="86"/>
        <v>.</v>
      </c>
      <c r="AB65" s="60" t="str">
        <f t="shared" si="86"/>
        <v>.</v>
      </c>
      <c r="AC65" s="94" t="str">
        <f t="shared" si="83"/>
        <v>.</v>
      </c>
      <c r="AD65" s="94" t="str">
        <f>IF(D65=".",".",s_RadSpec!$F$21*(AD21*$B65))</f>
        <v>.</v>
      </c>
      <c r="AE65" s="94" t="str">
        <f>IF(E65=".",".",s_RadSpec!$F$21*(AE21*$B65))</f>
        <v>.</v>
      </c>
      <c r="AF65" s="94" t="str">
        <f>IF(F65=".",".",s_RadSpec!$F$21*(AF21*$B65))</f>
        <v>.</v>
      </c>
      <c r="AG65" s="94" t="str">
        <f>IF(G65=".",".",s_RadSpec!$F$21*(AG21*$B65))</f>
        <v>.</v>
      </c>
      <c r="AH65" s="94" t="str">
        <f>IF(H65=".",".",s_RadSpec!$F$21*(AH21*$B65))</f>
        <v>.</v>
      </c>
      <c r="AI65" s="94" t="str">
        <f>IF(I65=".",".",s_RadSpec!$F$21*(AI21*$B65))</f>
        <v>.</v>
      </c>
      <c r="AJ65" s="94" t="str">
        <f>IF(J65=".",".",s_RadSpec!$F$21*(AJ21*$B65))</f>
        <v>.</v>
      </c>
      <c r="AK65" s="94" t="str">
        <f>IF(K65=".",".",s_RadSpec!$F$21*(AK21*$B65))</f>
        <v>.</v>
      </c>
      <c r="AL65" s="94" t="str">
        <f>IF(L65=".",".",s_RadSpec!$F$21*(AL21*$B65))</f>
        <v>.</v>
      </c>
      <c r="AM65" s="94" t="str">
        <f>IF(M65=".",".",s_RadSpec!$F$21*(AM21*$B65))</f>
        <v>.</v>
      </c>
      <c r="AN65" s="94" t="str">
        <f>IF(N65=".",".",s_RadSpec!$F$21*(AN21*$B65))</f>
        <v>.</v>
      </c>
      <c r="AO65" s="94" t="str">
        <f>IF(O65=".",".",s_RadSpec!$F$21*(AO21*$B65))</f>
        <v>.</v>
      </c>
      <c r="AP65" s="94" t="str">
        <f>IF(P65=".",".",s_RadSpec!$F$21*(AP21*$B65))</f>
        <v>.</v>
      </c>
      <c r="AQ65" s="94" t="str">
        <f>IF(Q65=".",".",s_RadSpec!$F$21*(AQ21*$B65))</f>
        <v>.</v>
      </c>
      <c r="AR65" s="94" t="str">
        <f>IF(R65=".",".",s_RadSpec!$F$21*(AR21*$B65))</f>
        <v>.</v>
      </c>
      <c r="AS65" s="94" t="str">
        <f>IF(S65=".",".",s_RadSpec!$F$21*(AS21*$B65))</f>
        <v>.</v>
      </c>
      <c r="AT65" s="94" t="str">
        <f>IF(T65=".",".",s_RadSpec!$F$21*(AT21*$B65))</f>
        <v>.</v>
      </c>
      <c r="AU65" s="94" t="str">
        <f>IF(U65=".",".",s_RadSpec!$F$21*(AU21*$B65))</f>
        <v>.</v>
      </c>
      <c r="AV65" s="94" t="str">
        <f>IF(V65=".",".",s_RadSpec!$F$21*(AV21*$B65))</f>
        <v>.</v>
      </c>
      <c r="AW65" s="94" t="str">
        <f>IF(W65=".",".",s_RadSpec!$F$21*(AW21*$B65))</f>
        <v>.</v>
      </c>
      <c r="AX65" s="94" t="str">
        <f>IF(X65=".",".",s_RadSpec!$F$21*(AX21*$B65))</f>
        <v>.</v>
      </c>
      <c r="AY65" s="94" t="str">
        <f>IF(Y65=".",".",s_RadSpec!$F$21*(AY21*$B65))</f>
        <v>.</v>
      </c>
      <c r="AZ65" s="94" t="str">
        <f>IF(Z65=".",".",s_RadSpec!$F$21*(AZ21*$B65))</f>
        <v>.</v>
      </c>
      <c r="BA65" s="94" t="str">
        <f>IF(AA65=".",".",s_RadSpec!$F$21*(BA21*$B65))</f>
        <v>.</v>
      </c>
      <c r="BB65" s="94" t="str">
        <f>IF(AB65=".",".",s_RadSpec!$F$21*(BB21*$B65))</f>
        <v>.</v>
      </c>
      <c r="BC65" s="60" t="str">
        <f t="shared" ref="BC65:CB65" si="87">IFERROR(BC21/$B51,".")</f>
        <v>.</v>
      </c>
      <c r="BD65" s="60" t="str">
        <f t="shared" si="87"/>
        <v>.</v>
      </c>
      <c r="BE65" s="60" t="str">
        <f t="shared" si="87"/>
        <v>.</v>
      </c>
      <c r="BF65" s="60" t="str">
        <f t="shared" si="87"/>
        <v>.</v>
      </c>
      <c r="BG65" s="60" t="str">
        <f t="shared" si="87"/>
        <v>.</v>
      </c>
      <c r="BH65" s="60" t="str">
        <f t="shared" si="87"/>
        <v>.</v>
      </c>
      <c r="BI65" s="60" t="str">
        <f t="shared" si="87"/>
        <v>.</v>
      </c>
      <c r="BJ65" s="60" t="str">
        <f t="shared" si="87"/>
        <v>.</v>
      </c>
      <c r="BK65" s="60" t="str">
        <f t="shared" si="87"/>
        <v>.</v>
      </c>
      <c r="BL65" s="60" t="str">
        <f t="shared" si="87"/>
        <v>.</v>
      </c>
      <c r="BM65" s="60" t="str">
        <f t="shared" si="87"/>
        <v>.</v>
      </c>
      <c r="BN65" s="60" t="str">
        <f t="shared" si="87"/>
        <v>.</v>
      </c>
      <c r="BO65" s="60" t="str">
        <f t="shared" si="87"/>
        <v>.</v>
      </c>
      <c r="BP65" s="60" t="str">
        <f t="shared" si="87"/>
        <v>.</v>
      </c>
      <c r="BQ65" s="60" t="str">
        <f t="shared" si="87"/>
        <v>.</v>
      </c>
      <c r="BR65" s="60" t="str">
        <f t="shared" si="87"/>
        <v>.</v>
      </c>
      <c r="BS65" s="60" t="str">
        <f t="shared" si="87"/>
        <v>.</v>
      </c>
      <c r="BT65" s="60" t="str">
        <f t="shared" si="87"/>
        <v>.</v>
      </c>
      <c r="BU65" s="60" t="str">
        <f t="shared" si="87"/>
        <v>.</v>
      </c>
      <c r="BV65" s="60" t="str">
        <f t="shared" si="87"/>
        <v>.</v>
      </c>
      <c r="BW65" s="60" t="str">
        <f t="shared" si="87"/>
        <v>.</v>
      </c>
      <c r="BX65" s="60" t="str">
        <f t="shared" si="87"/>
        <v>.</v>
      </c>
      <c r="BY65" s="60" t="str">
        <f t="shared" si="87"/>
        <v>.</v>
      </c>
      <c r="BZ65" s="60" t="str">
        <f t="shared" si="87"/>
        <v>.</v>
      </c>
      <c r="CA65" s="60" t="str">
        <f t="shared" si="87"/>
        <v>.</v>
      </c>
      <c r="CB65" s="60" t="str">
        <f t="shared" si="87"/>
        <v>.</v>
      </c>
      <c r="CC65" s="94" t="str">
        <f t="shared" si="85"/>
        <v>.</v>
      </c>
      <c r="CD65" s="94" t="str">
        <f>IF(BD65=".",".",s_RadSpec!$F$21*(CD21*$B65))</f>
        <v>.</v>
      </c>
      <c r="CE65" s="94" t="str">
        <f>IF(BE65=".",".",s_RadSpec!$F$21*(CE21*$B65))</f>
        <v>.</v>
      </c>
      <c r="CF65" s="94" t="str">
        <f>IF(BF65=".",".",s_RadSpec!$F$21*(CF21*$B65))</f>
        <v>.</v>
      </c>
      <c r="CG65" s="94" t="str">
        <f>IF(BG65=".",".",s_RadSpec!$F$21*(CG21*$B65))</f>
        <v>.</v>
      </c>
      <c r="CH65" s="94" t="str">
        <f>IF(BH65=".",".",s_RadSpec!$F$21*(CH21*$B65))</f>
        <v>.</v>
      </c>
      <c r="CI65" s="94" t="str">
        <f>IF(BI65=".",".",s_RadSpec!$F$21*(CI21*$B65))</f>
        <v>.</v>
      </c>
      <c r="CJ65" s="94" t="str">
        <f>IF(BJ65=".",".",s_RadSpec!$F$21*(CJ21*$B65))</f>
        <v>.</v>
      </c>
      <c r="CK65" s="94" t="str">
        <f>IF(BK65=".",".",s_RadSpec!$F$21*(CK21*$B65))</f>
        <v>.</v>
      </c>
      <c r="CL65" s="94" t="str">
        <f>IF(BL65=".",".",s_RadSpec!$F$21*(CL21*$B65))</f>
        <v>.</v>
      </c>
      <c r="CM65" s="94" t="str">
        <f>IF(BM65=".",".",s_RadSpec!$F$21*(CM21*$B65))</f>
        <v>.</v>
      </c>
      <c r="CN65" s="94" t="str">
        <f>IF(BN65=".",".",s_RadSpec!$F$21*(CN21*$B65))</f>
        <v>.</v>
      </c>
      <c r="CO65" s="94" t="str">
        <f>IF(BO65=".",".",s_RadSpec!$F$21*(CO21*$B65))</f>
        <v>.</v>
      </c>
      <c r="CP65" s="94" t="str">
        <f>IF(BP65=".",".",s_RadSpec!$F$21*(CP21*$B65))</f>
        <v>.</v>
      </c>
      <c r="CQ65" s="94" t="str">
        <f>IF(BQ65=".",".",s_RadSpec!$F$21*(CQ21*$B65))</f>
        <v>.</v>
      </c>
      <c r="CR65" s="94" t="str">
        <f>IF(BR65=".",".",s_RadSpec!$F$21*(CR21*$B65))</f>
        <v>.</v>
      </c>
      <c r="CS65" s="94" t="str">
        <f>IF(BS65=".",".",s_RadSpec!$F$21*(CS21*$B65))</f>
        <v>.</v>
      </c>
      <c r="CT65" s="94" t="str">
        <f>IF(BT65=".",".",s_RadSpec!$F$21*(CT21*$B65))</f>
        <v>.</v>
      </c>
      <c r="CU65" s="94" t="str">
        <f>IF(BU65=".",".",s_RadSpec!$F$21*(CU21*$B65))</f>
        <v>.</v>
      </c>
      <c r="CV65" s="94" t="str">
        <f>IF(BV65=".",".",s_RadSpec!$F$21*(CV21*$B65))</f>
        <v>.</v>
      </c>
      <c r="CW65" s="94" t="str">
        <f>IF(BW65=".",".",s_RadSpec!$F$21*(CW21*$B65))</f>
        <v>.</v>
      </c>
      <c r="CX65" s="94" t="str">
        <f>IF(BX65=".",".",s_RadSpec!$F$21*(CX21*$B65))</f>
        <v>.</v>
      </c>
      <c r="CY65" s="94" t="str">
        <f>IF(BY65=".",".",s_RadSpec!$F$21*(CY21*$B65))</f>
        <v>.</v>
      </c>
      <c r="CZ65" s="94" t="str">
        <f>IF(BZ65=".",".",s_RadSpec!$F$21*(CZ21*$B65))</f>
        <v>.</v>
      </c>
      <c r="DA65" s="94" t="str">
        <f>IF(CA65=".",".",s_RadSpec!$F$21*(DA21*$B65))</f>
        <v>.</v>
      </c>
      <c r="DB65" s="94" t="str">
        <f>IF(CB65=".",".",s_RadSpec!$F$21*(DB21*$B65))</f>
        <v>.</v>
      </c>
    </row>
    <row r="66" spans="1:106" s="42" customFormat="1" x14ac:dyDescent="0.25">
      <c r="A66" s="77" t="s">
        <v>1060</v>
      </c>
      <c r="B66" s="79">
        <v>0.99980000000000002</v>
      </c>
      <c r="C66" s="60">
        <f t="shared" ref="C66:AB66" si="88">IFERROR(C17/$B52,".")</f>
        <v>83162.65780339425</v>
      </c>
      <c r="D66" s="60">
        <f t="shared" si="88"/>
        <v>328170.46094177209</v>
      </c>
      <c r="E66" s="60">
        <f t="shared" si="88"/>
        <v>162745.83284240996</v>
      </c>
      <c r="F66" s="60">
        <f t="shared" si="88"/>
        <v>305956.69387790741</v>
      </c>
      <c r="G66" s="60">
        <f t="shared" si="88"/>
        <v>328170.46094177209</v>
      </c>
      <c r="H66" s="60">
        <f t="shared" si="88"/>
        <v>305956.69387790741</v>
      </c>
      <c r="I66" s="60">
        <f t="shared" si="88"/>
        <v>162745.83284240996</v>
      </c>
      <c r="J66" s="60">
        <f t="shared" si="88"/>
        <v>305956.69387790741</v>
      </c>
      <c r="K66" s="60">
        <f t="shared" si="88"/>
        <v>328170.46094177209</v>
      </c>
      <c r="L66" s="60">
        <f t="shared" si="88"/>
        <v>376248.87482868897</v>
      </c>
      <c r="M66" s="60">
        <f t="shared" si="88"/>
        <v>305956.69387790741</v>
      </c>
      <c r="N66" s="60">
        <f t="shared" si="88"/>
        <v>162745.83284240996</v>
      </c>
      <c r="O66" s="60">
        <f t="shared" si="88"/>
        <v>352207.95966900548</v>
      </c>
      <c r="P66" s="60">
        <f t="shared" si="88"/>
        <v>305956.69387790741</v>
      </c>
      <c r="Q66" s="60">
        <f t="shared" si="88"/>
        <v>305956.69387790741</v>
      </c>
      <c r="R66" s="60">
        <f t="shared" si="88"/>
        <v>328170.46094177209</v>
      </c>
      <c r="S66" s="60">
        <f t="shared" si="88"/>
        <v>328170.46094177209</v>
      </c>
      <c r="T66" s="60">
        <f t="shared" si="88"/>
        <v>352207.95966900548</v>
      </c>
      <c r="U66" s="60">
        <f t="shared" si="88"/>
        <v>305956.69387790741</v>
      </c>
      <c r="V66" s="60">
        <f t="shared" si="88"/>
        <v>374379.05067293375</v>
      </c>
      <c r="W66" s="60">
        <f t="shared" si="88"/>
        <v>305956.69387790741</v>
      </c>
      <c r="X66" s="60">
        <f t="shared" si="88"/>
        <v>352207.95966900548</v>
      </c>
      <c r="Y66" s="60">
        <f t="shared" si="88"/>
        <v>328170.46094177209</v>
      </c>
      <c r="Z66" s="60">
        <f t="shared" si="88"/>
        <v>305956.69387790741</v>
      </c>
      <c r="AA66" s="60">
        <f t="shared" si="88"/>
        <v>382036.68708652142</v>
      </c>
      <c r="AB66" s="60">
        <f t="shared" si="88"/>
        <v>323473.35066001641</v>
      </c>
      <c r="AC66" s="94">
        <f t="shared" si="83"/>
        <v>3.0061569291234985E-4</v>
      </c>
      <c r="AD66" s="94">
        <f>IF(D66=".",".",s_RadSpec!$F$17*(AD17*$B66))</f>
        <v>7.6179921642721522E-5</v>
      </c>
      <c r="AE66" s="94">
        <f>IF(E66=".",".",s_RadSpec!$F$17*(AE17*$B66))</f>
        <v>1.5361376425661232E-4</v>
      </c>
      <c r="AF66" s="94">
        <f>IF(F66=".",".",s_RadSpec!$F$17*(AF17*$B66))</f>
        <v>8.1710910400856578E-5</v>
      </c>
      <c r="AG66" s="94">
        <f>IF(G66=".",".",s_RadSpec!$F$17*(AG17*$B66))</f>
        <v>7.6179921642721522E-5</v>
      </c>
      <c r="AH66" s="94">
        <f>IF(H66=".",".",s_RadSpec!$F$17*(AH17*$B66))</f>
        <v>8.1710910400856578E-5</v>
      </c>
      <c r="AI66" s="94">
        <f>IF(I66=".",".",s_RadSpec!$F$17*(AI17*$B66))</f>
        <v>1.5361376425661232E-4</v>
      </c>
      <c r="AJ66" s="94">
        <f>IF(J66=".",".",s_RadSpec!$F$17*(AJ17*$B66))</f>
        <v>8.1710910400856578E-5</v>
      </c>
      <c r="AK66" s="94">
        <f>IF(K66=".",".",s_RadSpec!$F$17*(AK17*$B66))</f>
        <v>7.6179921642721522E-5</v>
      </c>
      <c r="AL66" s="94">
        <f>IF(L66=".",".",s_RadSpec!$F$17*(AL17*$B66))</f>
        <v>6.6445381428403814E-5</v>
      </c>
      <c r="AM66" s="94">
        <f>IF(M66=".",".",s_RadSpec!$F$17*(AM17*$B66))</f>
        <v>8.1710910400856578E-5</v>
      </c>
      <c r="AN66" s="94">
        <f>IF(N66=".",".",s_RadSpec!$F$17*(AN17*$B66))</f>
        <v>1.5361376425661232E-4</v>
      </c>
      <c r="AO66" s="94">
        <f>IF(O66=".",".",s_RadSpec!$F$17*(AO17*$B66))</f>
        <v>7.098079221007456E-5</v>
      </c>
      <c r="AP66" s="94">
        <f>IF(P66=".",".",s_RadSpec!$F$17*(AP17*$B66))</f>
        <v>8.1710910400856578E-5</v>
      </c>
      <c r="AQ66" s="94">
        <f>IF(Q66=".",".",s_RadSpec!$F$17*(AQ17*$B66))</f>
        <v>8.1710910400856578E-5</v>
      </c>
      <c r="AR66" s="94">
        <f>IF(R66=".",".",s_RadSpec!$F$17*(AR17*$B66))</f>
        <v>7.6179921642721522E-5</v>
      </c>
      <c r="AS66" s="94">
        <f>IF(S66=".",".",s_RadSpec!$F$17*(AS17*$B66))</f>
        <v>7.6179921642721522E-5</v>
      </c>
      <c r="AT66" s="94">
        <f>IF(T66=".",".",s_RadSpec!$F$17*(AT17*$B66))</f>
        <v>7.098079221007456E-5</v>
      </c>
      <c r="AU66" s="94">
        <f>IF(U66=".",".",s_RadSpec!$F$17*(AU17*$B66))</f>
        <v>8.1710910400856578E-5</v>
      </c>
      <c r="AV66" s="94">
        <f>IF(V66=".",".",s_RadSpec!$F$17*(AV17*$B66))</f>
        <v>6.6777240753891921E-5</v>
      </c>
      <c r="AW66" s="94">
        <f>IF(W66=".",".",s_RadSpec!$F$17*(AW17*$B66))</f>
        <v>8.1710910400856578E-5</v>
      </c>
      <c r="AX66" s="94">
        <f>IF(X66=".",".",s_RadSpec!$F$17*(AX17*$B66))</f>
        <v>7.098079221007456E-5</v>
      </c>
      <c r="AY66" s="94">
        <f>IF(Y66=".",".",s_RadSpec!$F$17*(AY17*$B66))</f>
        <v>7.6179921642721522E-5</v>
      </c>
      <c r="AZ66" s="94">
        <f>IF(Z66=".",".",s_RadSpec!$F$17*(AZ17*$B66))</f>
        <v>8.1710910400856578E-5</v>
      </c>
      <c r="BA66" s="94">
        <f>IF(AA66=".",".",s_RadSpec!$F$17*(BA17*$B66))</f>
        <v>6.5438741474423235E-5</v>
      </c>
      <c r="BB66" s="94">
        <f>IF(AB66=".",".",s_RadSpec!$F$17*(BB17*$B66))</f>
        <v>7.7286119394348525E-5</v>
      </c>
      <c r="BC66" s="60">
        <f t="shared" ref="BC66:CB66" si="89">IFERROR(BC17/$B52,".")</f>
        <v>83162.65780339425</v>
      </c>
      <c r="BD66" s="60">
        <f t="shared" si="89"/>
        <v>328170.46094177209</v>
      </c>
      <c r="BE66" s="60">
        <f t="shared" si="89"/>
        <v>162745.83284240996</v>
      </c>
      <c r="BF66" s="60">
        <f t="shared" si="89"/>
        <v>305956.69387790741</v>
      </c>
      <c r="BG66" s="60">
        <f t="shared" si="89"/>
        <v>328170.46094177209</v>
      </c>
      <c r="BH66" s="60">
        <f t="shared" si="89"/>
        <v>305956.69387790741</v>
      </c>
      <c r="BI66" s="60">
        <f t="shared" si="89"/>
        <v>162745.83284240996</v>
      </c>
      <c r="BJ66" s="60">
        <f t="shared" si="89"/>
        <v>305956.69387790741</v>
      </c>
      <c r="BK66" s="60">
        <f t="shared" si="89"/>
        <v>328170.46094177209</v>
      </c>
      <c r="BL66" s="60">
        <f t="shared" si="89"/>
        <v>376248.87482868897</v>
      </c>
      <c r="BM66" s="60">
        <f t="shared" si="89"/>
        <v>305956.69387790741</v>
      </c>
      <c r="BN66" s="60">
        <f t="shared" si="89"/>
        <v>162745.83284240996</v>
      </c>
      <c r="BO66" s="60">
        <f t="shared" si="89"/>
        <v>352207.95966900548</v>
      </c>
      <c r="BP66" s="60">
        <f t="shared" si="89"/>
        <v>305956.69387790741</v>
      </c>
      <c r="BQ66" s="60">
        <f t="shared" si="89"/>
        <v>305956.69387790741</v>
      </c>
      <c r="BR66" s="60">
        <f t="shared" si="89"/>
        <v>328170.46094177209</v>
      </c>
      <c r="BS66" s="60">
        <f t="shared" si="89"/>
        <v>328170.46094177209</v>
      </c>
      <c r="BT66" s="60">
        <f t="shared" si="89"/>
        <v>352207.95966900548</v>
      </c>
      <c r="BU66" s="60">
        <f t="shared" si="89"/>
        <v>305956.69387790741</v>
      </c>
      <c r="BV66" s="60">
        <f t="shared" si="89"/>
        <v>374379.05067293375</v>
      </c>
      <c r="BW66" s="60">
        <f t="shared" si="89"/>
        <v>305956.69387790741</v>
      </c>
      <c r="BX66" s="60">
        <f t="shared" si="89"/>
        <v>352207.95966900548</v>
      </c>
      <c r="BY66" s="60">
        <f t="shared" si="89"/>
        <v>328170.46094177209</v>
      </c>
      <c r="BZ66" s="60">
        <f t="shared" si="89"/>
        <v>305956.69387790741</v>
      </c>
      <c r="CA66" s="60">
        <f t="shared" si="89"/>
        <v>382036.68708652142</v>
      </c>
      <c r="CB66" s="60">
        <f t="shared" si="89"/>
        <v>323473.35066001641</v>
      </c>
      <c r="CC66" s="94">
        <f t="shared" si="85"/>
        <v>3.0061569291234985E-4</v>
      </c>
      <c r="CD66" s="94">
        <f>IF(BD66=".",".",s_RadSpec!$F$17*(CD17*$B66))</f>
        <v>7.6179921642721522E-5</v>
      </c>
      <c r="CE66" s="94">
        <f>IF(BE66=".",".",s_RadSpec!$F$17*(CE17*$B66))</f>
        <v>1.5361376425661232E-4</v>
      </c>
      <c r="CF66" s="94">
        <f>IF(BF66=".",".",s_RadSpec!$F$17*(CF17*$B66))</f>
        <v>8.1710910400856578E-5</v>
      </c>
      <c r="CG66" s="94">
        <f>IF(BG66=".",".",s_RadSpec!$F$17*(CG17*$B66))</f>
        <v>7.6179921642721522E-5</v>
      </c>
      <c r="CH66" s="94">
        <f>IF(BH66=".",".",s_RadSpec!$F$17*(CH17*$B66))</f>
        <v>8.1710910400856578E-5</v>
      </c>
      <c r="CI66" s="94">
        <f>IF(BI66=".",".",s_RadSpec!$F$17*(CI17*$B66))</f>
        <v>1.5361376425661232E-4</v>
      </c>
      <c r="CJ66" s="94">
        <f>IF(BJ66=".",".",s_RadSpec!$F$17*(CJ17*$B66))</f>
        <v>8.1710910400856578E-5</v>
      </c>
      <c r="CK66" s="94">
        <f>IF(BK66=".",".",s_RadSpec!$F$17*(CK17*$B66))</f>
        <v>7.6179921642721522E-5</v>
      </c>
      <c r="CL66" s="94">
        <f>IF(BL66=".",".",s_RadSpec!$F$17*(CL17*$B66))</f>
        <v>6.6445381428403814E-5</v>
      </c>
      <c r="CM66" s="94">
        <f>IF(BM66=".",".",s_RadSpec!$F$17*(CM17*$B66))</f>
        <v>8.1710910400856578E-5</v>
      </c>
      <c r="CN66" s="94">
        <f>IF(BN66=".",".",s_RadSpec!$F$17*(CN17*$B66))</f>
        <v>1.5361376425661232E-4</v>
      </c>
      <c r="CO66" s="94">
        <f>IF(BO66=".",".",s_RadSpec!$F$17*(CO17*$B66))</f>
        <v>7.098079221007456E-5</v>
      </c>
      <c r="CP66" s="94">
        <f>IF(BP66=".",".",s_RadSpec!$F$17*(CP17*$B66))</f>
        <v>8.1710910400856578E-5</v>
      </c>
      <c r="CQ66" s="94">
        <f>IF(BQ66=".",".",s_RadSpec!$F$17*(CQ17*$B66))</f>
        <v>8.1710910400856578E-5</v>
      </c>
      <c r="CR66" s="94">
        <f>IF(BR66=".",".",s_RadSpec!$F$17*(CR17*$B66))</f>
        <v>7.6179921642721522E-5</v>
      </c>
      <c r="CS66" s="94">
        <f>IF(BS66=".",".",s_RadSpec!$F$17*(CS17*$B66))</f>
        <v>7.6179921642721522E-5</v>
      </c>
      <c r="CT66" s="94">
        <f>IF(BT66=".",".",s_RadSpec!$F$17*(CT17*$B66))</f>
        <v>7.098079221007456E-5</v>
      </c>
      <c r="CU66" s="94">
        <f>IF(BU66=".",".",s_RadSpec!$F$17*(CU17*$B66))</f>
        <v>8.1710910400856578E-5</v>
      </c>
      <c r="CV66" s="94">
        <f>IF(BV66=".",".",s_RadSpec!$F$17*(CV17*$B66))</f>
        <v>6.6777240753891921E-5</v>
      </c>
      <c r="CW66" s="94">
        <f>IF(BW66=".",".",s_RadSpec!$F$17*(CW17*$B66))</f>
        <v>8.1710910400856578E-5</v>
      </c>
      <c r="CX66" s="94">
        <f>IF(BX66=".",".",s_RadSpec!$F$17*(CX17*$B66))</f>
        <v>7.098079221007456E-5</v>
      </c>
      <c r="CY66" s="94">
        <f>IF(BY66=".",".",s_RadSpec!$F$17*(CY17*$B66))</f>
        <v>7.6179921642721522E-5</v>
      </c>
      <c r="CZ66" s="94">
        <f>IF(BZ66=".",".",s_RadSpec!$F$17*(CZ17*$B66))</f>
        <v>8.1710910400856578E-5</v>
      </c>
      <c r="DA66" s="94">
        <f>IF(CA66=".",".",s_RadSpec!$F$17*(DA17*$B66))</f>
        <v>6.5438741474423235E-5</v>
      </c>
      <c r="DB66" s="94">
        <f>IF(CB66=".",".",s_RadSpec!$F$17*(DB17*$B66))</f>
        <v>7.7286119394348525E-5</v>
      </c>
    </row>
    <row r="67" spans="1:106" s="42" customFormat="1" x14ac:dyDescent="0.25">
      <c r="A67" s="77" t="s">
        <v>1074</v>
      </c>
      <c r="B67" s="42">
        <v>2.0000000000000001E-4</v>
      </c>
      <c r="C67" s="60" t="str">
        <f t="shared" ref="C67:AB67" si="90">IFERROR(C5/$B53,".")</f>
        <v>.</v>
      </c>
      <c r="D67" s="60" t="str">
        <f t="shared" si="90"/>
        <v>.</v>
      </c>
      <c r="E67" s="60" t="str">
        <f t="shared" si="90"/>
        <v>.</v>
      </c>
      <c r="F67" s="60" t="str">
        <f t="shared" si="90"/>
        <v>.</v>
      </c>
      <c r="G67" s="60" t="str">
        <f t="shared" si="90"/>
        <v>.</v>
      </c>
      <c r="H67" s="60" t="str">
        <f t="shared" si="90"/>
        <v>.</v>
      </c>
      <c r="I67" s="60" t="str">
        <f t="shared" si="90"/>
        <v>.</v>
      </c>
      <c r="J67" s="60" t="str">
        <f t="shared" si="90"/>
        <v>.</v>
      </c>
      <c r="K67" s="60" t="str">
        <f t="shared" si="90"/>
        <v>.</v>
      </c>
      <c r="L67" s="60" t="str">
        <f t="shared" si="90"/>
        <v>.</v>
      </c>
      <c r="M67" s="60" t="str">
        <f t="shared" si="90"/>
        <v>.</v>
      </c>
      <c r="N67" s="60" t="str">
        <f t="shared" si="90"/>
        <v>.</v>
      </c>
      <c r="O67" s="60" t="str">
        <f t="shared" si="90"/>
        <v>.</v>
      </c>
      <c r="P67" s="60" t="str">
        <f t="shared" si="90"/>
        <v>.</v>
      </c>
      <c r="Q67" s="60" t="str">
        <f t="shared" si="90"/>
        <v>.</v>
      </c>
      <c r="R67" s="60" t="str">
        <f t="shared" si="90"/>
        <v>.</v>
      </c>
      <c r="S67" s="60" t="str">
        <f t="shared" si="90"/>
        <v>.</v>
      </c>
      <c r="T67" s="60" t="str">
        <f t="shared" si="90"/>
        <v>.</v>
      </c>
      <c r="U67" s="60" t="str">
        <f t="shared" si="90"/>
        <v>.</v>
      </c>
      <c r="V67" s="60" t="str">
        <f t="shared" si="90"/>
        <v>.</v>
      </c>
      <c r="W67" s="60" t="str">
        <f t="shared" si="90"/>
        <v>.</v>
      </c>
      <c r="X67" s="60" t="str">
        <f t="shared" si="90"/>
        <v>.</v>
      </c>
      <c r="Y67" s="60" t="str">
        <f t="shared" si="90"/>
        <v>.</v>
      </c>
      <c r="Z67" s="60" t="str">
        <f t="shared" si="90"/>
        <v>.</v>
      </c>
      <c r="AA67" s="60" t="str">
        <f t="shared" si="90"/>
        <v>.</v>
      </c>
      <c r="AB67" s="60" t="str">
        <f t="shared" si="90"/>
        <v>.</v>
      </c>
      <c r="AC67" s="94" t="str">
        <f t="shared" si="83"/>
        <v>.</v>
      </c>
      <c r="AD67" s="94" t="str">
        <f>IF(D67=".",".",s_RadSpec!$F$5*(AD5*$B67))</f>
        <v>.</v>
      </c>
      <c r="AE67" s="94" t="str">
        <f>IF(E67=".",".",s_RadSpec!$F$5*(AE5*$B67))</f>
        <v>.</v>
      </c>
      <c r="AF67" s="94" t="str">
        <f>IF(F67=".",".",s_RadSpec!$F$5*(AF5*$B67))</f>
        <v>.</v>
      </c>
      <c r="AG67" s="94" t="str">
        <f>IF(G67=".",".",s_RadSpec!$F$5*(AG5*$B67))</f>
        <v>.</v>
      </c>
      <c r="AH67" s="94" t="str">
        <f>IF(H67=".",".",s_RadSpec!$F$5*(AH5*$B67))</f>
        <v>.</v>
      </c>
      <c r="AI67" s="94" t="str">
        <f>IF(I67=".",".",s_RadSpec!$F$5*(AI5*$B67))</f>
        <v>.</v>
      </c>
      <c r="AJ67" s="94" t="str">
        <f>IF(J67=".",".",s_RadSpec!$F$5*(AJ5*$B67))</f>
        <v>.</v>
      </c>
      <c r="AK67" s="94" t="str">
        <f>IF(K67=".",".",s_RadSpec!$F$5*(AK5*$B67))</f>
        <v>.</v>
      </c>
      <c r="AL67" s="94" t="str">
        <f>IF(L67=".",".",s_RadSpec!$F$5*(AL5*$B67))</f>
        <v>.</v>
      </c>
      <c r="AM67" s="94" t="str">
        <f>IF(M67=".",".",s_RadSpec!$F$5*(AM5*$B67))</f>
        <v>.</v>
      </c>
      <c r="AN67" s="94" t="str">
        <f>IF(N67=".",".",s_RadSpec!$F$5*(AN5*$B67))</f>
        <v>.</v>
      </c>
      <c r="AO67" s="94" t="str">
        <f>IF(O67=".",".",s_RadSpec!$F$5*(AO5*$B67))</f>
        <v>.</v>
      </c>
      <c r="AP67" s="94" t="str">
        <f>IF(P67=".",".",s_RadSpec!$F$5*(AP5*$B67))</f>
        <v>.</v>
      </c>
      <c r="AQ67" s="94" t="str">
        <f>IF(Q67=".",".",s_RadSpec!$F$5*(AQ5*$B67))</f>
        <v>.</v>
      </c>
      <c r="AR67" s="94" t="str">
        <f>IF(R67=".",".",s_RadSpec!$F$5*(AR5*$B67))</f>
        <v>.</v>
      </c>
      <c r="AS67" s="94" t="str">
        <f>IF(S67=".",".",s_RadSpec!$F$5*(AS5*$B67))</f>
        <v>.</v>
      </c>
      <c r="AT67" s="94" t="str">
        <f>IF(T67=".",".",s_RadSpec!$F$5*(AT5*$B67))</f>
        <v>.</v>
      </c>
      <c r="AU67" s="94" t="str">
        <f>IF(U67=".",".",s_RadSpec!$F$5*(AU5*$B67))</f>
        <v>.</v>
      </c>
      <c r="AV67" s="94" t="str">
        <f>IF(V67=".",".",s_RadSpec!$F$5*(AV5*$B67))</f>
        <v>.</v>
      </c>
      <c r="AW67" s="94" t="str">
        <f>IF(W67=".",".",s_RadSpec!$F$5*(AW5*$B67))</f>
        <v>.</v>
      </c>
      <c r="AX67" s="94" t="str">
        <f>IF(X67=".",".",s_RadSpec!$F$5*(AX5*$B67))</f>
        <v>.</v>
      </c>
      <c r="AY67" s="94" t="str">
        <f>IF(Y67=".",".",s_RadSpec!$F$5*(AY5*$B67))</f>
        <v>.</v>
      </c>
      <c r="AZ67" s="94" t="str">
        <f>IF(Z67=".",".",s_RadSpec!$F$5*(AZ5*$B67))</f>
        <v>.</v>
      </c>
      <c r="BA67" s="94" t="str">
        <f>IF(AA67=".",".",s_RadSpec!$F$5*(BA5*$B67))</f>
        <v>.</v>
      </c>
      <c r="BB67" s="94" t="str">
        <f>IF(AB67=".",".",s_RadSpec!$F$5*(BB5*$B67))</f>
        <v>.</v>
      </c>
      <c r="BC67" s="60" t="str">
        <f t="shared" ref="BC67:CB67" si="91">IFERROR(BC5/$B53,".")</f>
        <v>.</v>
      </c>
      <c r="BD67" s="60" t="str">
        <f t="shared" si="91"/>
        <v>.</v>
      </c>
      <c r="BE67" s="60" t="str">
        <f t="shared" si="91"/>
        <v>.</v>
      </c>
      <c r="BF67" s="60" t="str">
        <f t="shared" si="91"/>
        <v>.</v>
      </c>
      <c r="BG67" s="60" t="str">
        <f t="shared" si="91"/>
        <v>.</v>
      </c>
      <c r="BH67" s="60" t="str">
        <f t="shared" si="91"/>
        <v>.</v>
      </c>
      <c r="BI67" s="60" t="str">
        <f t="shared" si="91"/>
        <v>.</v>
      </c>
      <c r="BJ67" s="60" t="str">
        <f t="shared" si="91"/>
        <v>.</v>
      </c>
      <c r="BK67" s="60" t="str">
        <f t="shared" si="91"/>
        <v>.</v>
      </c>
      <c r="BL67" s="60" t="str">
        <f t="shared" si="91"/>
        <v>.</v>
      </c>
      <c r="BM67" s="60" t="str">
        <f t="shared" si="91"/>
        <v>.</v>
      </c>
      <c r="BN67" s="60" t="str">
        <f t="shared" si="91"/>
        <v>.</v>
      </c>
      <c r="BO67" s="60" t="str">
        <f t="shared" si="91"/>
        <v>.</v>
      </c>
      <c r="BP67" s="60" t="str">
        <f t="shared" si="91"/>
        <v>.</v>
      </c>
      <c r="BQ67" s="60" t="str">
        <f t="shared" si="91"/>
        <v>.</v>
      </c>
      <c r="BR67" s="60" t="str">
        <f t="shared" si="91"/>
        <v>.</v>
      </c>
      <c r="BS67" s="60" t="str">
        <f t="shared" si="91"/>
        <v>.</v>
      </c>
      <c r="BT67" s="60" t="str">
        <f t="shared" si="91"/>
        <v>.</v>
      </c>
      <c r="BU67" s="60" t="str">
        <f t="shared" si="91"/>
        <v>.</v>
      </c>
      <c r="BV67" s="60" t="str">
        <f t="shared" si="91"/>
        <v>.</v>
      </c>
      <c r="BW67" s="60" t="str">
        <f t="shared" si="91"/>
        <v>.</v>
      </c>
      <c r="BX67" s="60" t="str">
        <f t="shared" si="91"/>
        <v>.</v>
      </c>
      <c r="BY67" s="60" t="str">
        <f t="shared" si="91"/>
        <v>.</v>
      </c>
      <c r="BZ67" s="60" t="str">
        <f t="shared" si="91"/>
        <v>.</v>
      </c>
      <c r="CA67" s="60" t="str">
        <f t="shared" si="91"/>
        <v>.</v>
      </c>
      <c r="CB67" s="60" t="str">
        <f t="shared" si="91"/>
        <v>.</v>
      </c>
      <c r="CC67" s="94" t="str">
        <f t="shared" si="85"/>
        <v>.</v>
      </c>
      <c r="CD67" s="94" t="str">
        <f>IF(BD67=".",".",s_RadSpec!$F$5*(CD5*$B67))</f>
        <v>.</v>
      </c>
      <c r="CE67" s="94" t="str">
        <f>IF(BE67=".",".",s_RadSpec!$F$5*(CE5*$B67))</f>
        <v>.</v>
      </c>
      <c r="CF67" s="94" t="str">
        <f>IF(BF67=".",".",s_RadSpec!$F$5*(CF5*$B67))</f>
        <v>.</v>
      </c>
      <c r="CG67" s="94" t="str">
        <f>IF(BG67=".",".",s_RadSpec!$F$5*(CG5*$B67))</f>
        <v>.</v>
      </c>
      <c r="CH67" s="94" t="str">
        <f>IF(BH67=".",".",s_RadSpec!$F$5*(CH5*$B67))</f>
        <v>.</v>
      </c>
      <c r="CI67" s="94" t="str">
        <f>IF(BI67=".",".",s_RadSpec!$F$5*(CI5*$B67))</f>
        <v>.</v>
      </c>
      <c r="CJ67" s="94" t="str">
        <f>IF(BJ67=".",".",s_RadSpec!$F$5*(CJ5*$B67))</f>
        <v>.</v>
      </c>
      <c r="CK67" s="94" t="str">
        <f>IF(BK67=".",".",s_RadSpec!$F$5*(CK5*$B67))</f>
        <v>.</v>
      </c>
      <c r="CL67" s="94" t="str">
        <f>IF(BL67=".",".",s_RadSpec!$F$5*(CL5*$B67))</f>
        <v>.</v>
      </c>
      <c r="CM67" s="94" t="str">
        <f>IF(BM67=".",".",s_RadSpec!$F$5*(CM5*$B67))</f>
        <v>.</v>
      </c>
      <c r="CN67" s="94" t="str">
        <f>IF(BN67=".",".",s_RadSpec!$F$5*(CN5*$B67))</f>
        <v>.</v>
      </c>
      <c r="CO67" s="94" t="str">
        <f>IF(BO67=".",".",s_RadSpec!$F$5*(CO5*$B67))</f>
        <v>.</v>
      </c>
      <c r="CP67" s="94" t="str">
        <f>IF(BP67=".",".",s_RadSpec!$F$5*(CP5*$B67))</f>
        <v>.</v>
      </c>
      <c r="CQ67" s="94" t="str">
        <f>IF(BQ67=".",".",s_RadSpec!$F$5*(CQ5*$B67))</f>
        <v>.</v>
      </c>
      <c r="CR67" s="94" t="str">
        <f>IF(BR67=".",".",s_RadSpec!$F$5*(CR5*$B67))</f>
        <v>.</v>
      </c>
      <c r="CS67" s="94" t="str">
        <f>IF(BS67=".",".",s_RadSpec!$F$5*(CS5*$B67))</f>
        <v>.</v>
      </c>
      <c r="CT67" s="94" t="str">
        <f>IF(BT67=".",".",s_RadSpec!$F$5*(CT5*$B67))</f>
        <v>.</v>
      </c>
      <c r="CU67" s="94" t="str">
        <f>IF(BU67=".",".",s_RadSpec!$F$5*(CU5*$B67))</f>
        <v>.</v>
      </c>
      <c r="CV67" s="94" t="str">
        <f>IF(BV67=".",".",s_RadSpec!$F$5*(CV5*$B67))</f>
        <v>.</v>
      </c>
      <c r="CW67" s="94" t="str">
        <f>IF(BW67=".",".",s_RadSpec!$F$5*(CW5*$B67))</f>
        <v>.</v>
      </c>
      <c r="CX67" s="94" t="str">
        <f>IF(BX67=".",".",s_RadSpec!$F$5*(CX5*$B67))</f>
        <v>.</v>
      </c>
      <c r="CY67" s="94" t="str">
        <f>IF(BY67=".",".",s_RadSpec!$F$5*(CY5*$B67))</f>
        <v>.</v>
      </c>
      <c r="CZ67" s="94" t="str">
        <f>IF(BZ67=".",".",s_RadSpec!$F$5*(CZ5*$B67))</f>
        <v>.</v>
      </c>
      <c r="DA67" s="94" t="str">
        <f>IF(CA67=".",".",s_RadSpec!$F$5*(DA5*$B67))</f>
        <v>.</v>
      </c>
      <c r="DB67" s="94" t="str">
        <f>IF(CB67=".",".",s_RadSpec!$F$5*(DB5*$B67))</f>
        <v>.</v>
      </c>
    </row>
    <row r="68" spans="1:106" s="42" customFormat="1" x14ac:dyDescent="0.25">
      <c r="A68" s="77" t="s">
        <v>1075</v>
      </c>
      <c r="B68" s="42">
        <v>0.99999979999999999</v>
      </c>
      <c r="C68" s="60">
        <f t="shared" ref="C68:AB68" si="92">IFERROR(C9/$B54,".")</f>
        <v>47489.222439220706</v>
      </c>
      <c r="D68" s="60">
        <f t="shared" si="92"/>
        <v>189956.88975688283</v>
      </c>
      <c r="E68" s="60">
        <f t="shared" si="92"/>
        <v>189956.88975688283</v>
      </c>
      <c r="F68" s="60">
        <f t="shared" si="92"/>
        <v>189956.88975688283</v>
      </c>
      <c r="G68" s="60">
        <f t="shared" si="92"/>
        <v>189956.88975688283</v>
      </c>
      <c r="H68" s="60">
        <f t="shared" si="92"/>
        <v>189956.88975688283</v>
      </c>
      <c r="I68" s="60">
        <f t="shared" si="92"/>
        <v>189956.88975688283</v>
      </c>
      <c r="J68" s="60">
        <f t="shared" si="92"/>
        <v>189956.88975688283</v>
      </c>
      <c r="K68" s="60">
        <f t="shared" si="92"/>
        <v>189956.88975688283</v>
      </c>
      <c r="L68" s="60">
        <f t="shared" si="92"/>
        <v>189956.88975688283</v>
      </c>
      <c r="M68" s="60">
        <f t="shared" si="92"/>
        <v>189956.88975688283</v>
      </c>
      <c r="N68" s="60">
        <f t="shared" si="92"/>
        <v>189956.88975688283</v>
      </c>
      <c r="O68" s="60">
        <f t="shared" si="92"/>
        <v>189956.88975688283</v>
      </c>
      <c r="P68" s="60">
        <f t="shared" si="92"/>
        <v>189956.88975688283</v>
      </c>
      <c r="Q68" s="60">
        <f t="shared" si="92"/>
        <v>189956.88975688283</v>
      </c>
      <c r="R68" s="60">
        <f t="shared" si="92"/>
        <v>189956.88975688283</v>
      </c>
      <c r="S68" s="60">
        <f t="shared" si="92"/>
        <v>189956.88975688283</v>
      </c>
      <c r="T68" s="60">
        <f t="shared" si="92"/>
        <v>189956.88975688283</v>
      </c>
      <c r="U68" s="60">
        <f t="shared" si="92"/>
        <v>189956.88975688283</v>
      </c>
      <c r="V68" s="60">
        <f t="shared" si="92"/>
        <v>189956.88975688283</v>
      </c>
      <c r="W68" s="60">
        <f t="shared" si="92"/>
        <v>189956.88975688283</v>
      </c>
      <c r="X68" s="60">
        <f t="shared" si="92"/>
        <v>189956.88975688283</v>
      </c>
      <c r="Y68" s="60">
        <f t="shared" si="92"/>
        <v>189956.88975688283</v>
      </c>
      <c r="Z68" s="60">
        <f t="shared" si="92"/>
        <v>189956.88975688283</v>
      </c>
      <c r="AA68" s="60">
        <f t="shared" si="92"/>
        <v>189956.88975688283</v>
      </c>
      <c r="AB68" s="60">
        <f t="shared" si="92"/>
        <v>189956.88975688283</v>
      </c>
      <c r="AC68" s="94">
        <f t="shared" si="83"/>
        <v>5.2643523553152225E-4</v>
      </c>
      <c r="AD68" s="94">
        <f>IF(D68=".",".",s_RadSpec!$F$9*(AD9*$B68))</f>
        <v>1.3160880888288056E-4</v>
      </c>
      <c r="AE68" s="94">
        <f>IF(E68=".",".",s_RadSpec!$F$9*(AE9*$B68))</f>
        <v>1.3160880888288056E-4</v>
      </c>
      <c r="AF68" s="94">
        <f>IF(F68=".",".",s_RadSpec!$F$9*(AF9*$B68))</f>
        <v>1.3160880888288056E-4</v>
      </c>
      <c r="AG68" s="94">
        <f>IF(G68=".",".",s_RadSpec!$F$9*(AG9*$B68))</f>
        <v>1.3160880888288056E-4</v>
      </c>
      <c r="AH68" s="94">
        <f>IF(H68=".",".",s_RadSpec!$F$9*(AH9*$B68))</f>
        <v>1.3160880888288056E-4</v>
      </c>
      <c r="AI68" s="94">
        <f>IF(I68=".",".",s_RadSpec!$F$9*(AI9*$B68))</f>
        <v>1.3160880888288056E-4</v>
      </c>
      <c r="AJ68" s="94">
        <f>IF(J68=".",".",s_RadSpec!$F$9*(AJ9*$B68))</f>
        <v>1.3160880888288056E-4</v>
      </c>
      <c r="AK68" s="94">
        <f>IF(K68=".",".",s_RadSpec!$F$9*(AK9*$B68))</f>
        <v>1.3160880888288056E-4</v>
      </c>
      <c r="AL68" s="94">
        <f>IF(L68=".",".",s_RadSpec!$F$9*(AL9*$B68))</f>
        <v>1.3160880888288056E-4</v>
      </c>
      <c r="AM68" s="94">
        <f>IF(M68=".",".",s_RadSpec!$F$9*(AM9*$B68))</f>
        <v>1.3160880888288056E-4</v>
      </c>
      <c r="AN68" s="94">
        <f>IF(N68=".",".",s_RadSpec!$F$9*(AN9*$B68))</f>
        <v>1.3160880888288056E-4</v>
      </c>
      <c r="AO68" s="94">
        <f>IF(O68=".",".",s_RadSpec!$F$9*(AO9*$B68))</f>
        <v>1.3160880888288056E-4</v>
      </c>
      <c r="AP68" s="94">
        <f>IF(P68=".",".",s_RadSpec!$F$9*(AP9*$B68))</f>
        <v>1.3160880888288056E-4</v>
      </c>
      <c r="AQ68" s="94">
        <f>IF(Q68=".",".",s_RadSpec!$F$9*(AQ9*$B68))</f>
        <v>1.3160880888288056E-4</v>
      </c>
      <c r="AR68" s="94">
        <f>IF(R68=".",".",s_RadSpec!$F$9*(AR9*$B68))</f>
        <v>1.3160880888288056E-4</v>
      </c>
      <c r="AS68" s="94">
        <f>IF(S68=".",".",s_RadSpec!$F$9*(AS9*$B68))</f>
        <v>1.3160880888288056E-4</v>
      </c>
      <c r="AT68" s="94">
        <f>IF(T68=".",".",s_RadSpec!$F$9*(AT9*$B68))</f>
        <v>1.3160880888288056E-4</v>
      </c>
      <c r="AU68" s="94">
        <f>IF(U68=".",".",s_RadSpec!$F$9*(AU9*$B68))</f>
        <v>1.3160880888288056E-4</v>
      </c>
      <c r="AV68" s="94">
        <f>IF(V68=".",".",s_RadSpec!$F$9*(AV9*$B68))</f>
        <v>1.3160880888288056E-4</v>
      </c>
      <c r="AW68" s="94">
        <f>IF(W68=".",".",s_RadSpec!$F$9*(AW9*$B68))</f>
        <v>1.3160880888288056E-4</v>
      </c>
      <c r="AX68" s="94">
        <f>IF(X68=".",".",s_RadSpec!$F$9*(AX9*$B68))</f>
        <v>1.3160880888288056E-4</v>
      </c>
      <c r="AY68" s="94">
        <f>IF(Y68=".",".",s_RadSpec!$F$9*(AY9*$B68))</f>
        <v>1.3160880888288056E-4</v>
      </c>
      <c r="AZ68" s="94">
        <f>IF(Z68=".",".",s_RadSpec!$F$9*(AZ9*$B68))</f>
        <v>1.3160880888288056E-4</v>
      </c>
      <c r="BA68" s="94">
        <f>IF(AA68=".",".",s_RadSpec!$F$9*(BA9*$B68))</f>
        <v>1.3160880888288056E-4</v>
      </c>
      <c r="BB68" s="94">
        <f>IF(AB68=".",".",s_RadSpec!$F$9*(BB9*$B68))</f>
        <v>1.3160880888288056E-4</v>
      </c>
      <c r="BC68" s="60">
        <f t="shared" ref="BC68:CB68" si="93">IFERROR(BC9/$B54,".")</f>
        <v>47489.222439220706</v>
      </c>
      <c r="BD68" s="60">
        <f t="shared" si="93"/>
        <v>189956.88975688283</v>
      </c>
      <c r="BE68" s="60">
        <f t="shared" si="93"/>
        <v>189956.88975688283</v>
      </c>
      <c r="BF68" s="60">
        <f t="shared" si="93"/>
        <v>189956.88975688283</v>
      </c>
      <c r="BG68" s="60">
        <f t="shared" si="93"/>
        <v>189956.88975688283</v>
      </c>
      <c r="BH68" s="60">
        <f t="shared" si="93"/>
        <v>189956.88975688283</v>
      </c>
      <c r="BI68" s="60">
        <f t="shared" si="93"/>
        <v>189956.88975688283</v>
      </c>
      <c r="BJ68" s="60">
        <f t="shared" si="93"/>
        <v>189956.88975688283</v>
      </c>
      <c r="BK68" s="60">
        <f t="shared" si="93"/>
        <v>189956.88975688283</v>
      </c>
      <c r="BL68" s="60">
        <f t="shared" si="93"/>
        <v>189956.88975688283</v>
      </c>
      <c r="BM68" s="60">
        <f t="shared" si="93"/>
        <v>189956.88975688283</v>
      </c>
      <c r="BN68" s="60">
        <f t="shared" si="93"/>
        <v>189956.88975688283</v>
      </c>
      <c r="BO68" s="60">
        <f t="shared" si="93"/>
        <v>189956.88975688283</v>
      </c>
      <c r="BP68" s="60">
        <f t="shared" si="93"/>
        <v>189956.88975688283</v>
      </c>
      <c r="BQ68" s="60">
        <f t="shared" si="93"/>
        <v>189956.88975688283</v>
      </c>
      <c r="BR68" s="60">
        <f t="shared" si="93"/>
        <v>189956.88975688283</v>
      </c>
      <c r="BS68" s="60">
        <f t="shared" si="93"/>
        <v>189956.88975688283</v>
      </c>
      <c r="BT68" s="60">
        <f t="shared" si="93"/>
        <v>189956.88975688283</v>
      </c>
      <c r="BU68" s="60">
        <f t="shared" si="93"/>
        <v>189956.88975688283</v>
      </c>
      <c r="BV68" s="60">
        <f t="shared" si="93"/>
        <v>189956.88975688283</v>
      </c>
      <c r="BW68" s="60">
        <f t="shared" si="93"/>
        <v>189956.88975688283</v>
      </c>
      <c r="BX68" s="60">
        <f t="shared" si="93"/>
        <v>189956.88975688283</v>
      </c>
      <c r="BY68" s="60">
        <f t="shared" si="93"/>
        <v>189956.88975688283</v>
      </c>
      <c r="BZ68" s="60">
        <f t="shared" si="93"/>
        <v>189956.88975688283</v>
      </c>
      <c r="CA68" s="60">
        <f t="shared" si="93"/>
        <v>189956.88975688283</v>
      </c>
      <c r="CB68" s="60">
        <f t="shared" si="93"/>
        <v>189956.88975688283</v>
      </c>
      <c r="CC68" s="94">
        <f t="shared" si="85"/>
        <v>5.2643523553152225E-4</v>
      </c>
      <c r="CD68" s="94">
        <f>IF(BD68=".",".",s_RadSpec!$F$9*(CD9*$B68))</f>
        <v>1.3160880888288056E-4</v>
      </c>
      <c r="CE68" s="94">
        <f>IF(BE68=".",".",s_RadSpec!$F$9*(CE9*$B68))</f>
        <v>1.3160880888288056E-4</v>
      </c>
      <c r="CF68" s="94">
        <f>IF(BF68=".",".",s_RadSpec!$F$9*(CF9*$B68))</f>
        <v>1.3160880888288056E-4</v>
      </c>
      <c r="CG68" s="94">
        <f>IF(BG68=".",".",s_RadSpec!$F$9*(CG9*$B68))</f>
        <v>1.3160880888288056E-4</v>
      </c>
      <c r="CH68" s="94">
        <f>IF(BH68=".",".",s_RadSpec!$F$9*(CH9*$B68))</f>
        <v>1.3160880888288056E-4</v>
      </c>
      <c r="CI68" s="94">
        <f>IF(BI68=".",".",s_RadSpec!$F$9*(CI9*$B68))</f>
        <v>1.3160880888288056E-4</v>
      </c>
      <c r="CJ68" s="94">
        <f>IF(BJ68=".",".",s_RadSpec!$F$9*(CJ9*$B68))</f>
        <v>1.3160880888288056E-4</v>
      </c>
      <c r="CK68" s="94">
        <f>IF(BK68=".",".",s_RadSpec!$F$9*(CK9*$B68))</f>
        <v>1.3160880888288056E-4</v>
      </c>
      <c r="CL68" s="94">
        <f>IF(BL68=".",".",s_RadSpec!$F$9*(CL9*$B68))</f>
        <v>1.3160880888288056E-4</v>
      </c>
      <c r="CM68" s="94">
        <f>IF(BM68=".",".",s_RadSpec!$F$9*(CM9*$B68))</f>
        <v>1.3160880888288056E-4</v>
      </c>
      <c r="CN68" s="94">
        <f>IF(BN68=".",".",s_RadSpec!$F$9*(CN9*$B68))</f>
        <v>1.3160880888288056E-4</v>
      </c>
      <c r="CO68" s="94">
        <f>IF(BO68=".",".",s_RadSpec!$F$9*(CO9*$B68))</f>
        <v>1.3160880888288056E-4</v>
      </c>
      <c r="CP68" s="94">
        <f>IF(BP68=".",".",s_RadSpec!$F$9*(CP9*$B68))</f>
        <v>1.3160880888288056E-4</v>
      </c>
      <c r="CQ68" s="94">
        <f>IF(BQ68=".",".",s_RadSpec!$F$9*(CQ9*$B68))</f>
        <v>1.3160880888288056E-4</v>
      </c>
      <c r="CR68" s="94">
        <f>IF(BR68=".",".",s_RadSpec!$F$9*(CR9*$B68))</f>
        <v>1.3160880888288056E-4</v>
      </c>
      <c r="CS68" s="94">
        <f>IF(BS68=".",".",s_RadSpec!$F$9*(CS9*$B68))</f>
        <v>1.3160880888288056E-4</v>
      </c>
      <c r="CT68" s="94">
        <f>IF(BT68=".",".",s_RadSpec!$F$9*(CT9*$B68))</f>
        <v>1.3160880888288056E-4</v>
      </c>
      <c r="CU68" s="94">
        <f>IF(BU68=".",".",s_RadSpec!$F$9*(CU9*$B68))</f>
        <v>1.3160880888288056E-4</v>
      </c>
      <c r="CV68" s="94">
        <f>IF(BV68=".",".",s_RadSpec!$F$9*(CV9*$B68))</f>
        <v>1.3160880888288056E-4</v>
      </c>
      <c r="CW68" s="94">
        <f>IF(BW68=".",".",s_RadSpec!$F$9*(CW9*$B68))</f>
        <v>1.3160880888288056E-4</v>
      </c>
      <c r="CX68" s="94">
        <f>IF(BX68=".",".",s_RadSpec!$F$9*(CX9*$B68))</f>
        <v>1.3160880888288056E-4</v>
      </c>
      <c r="CY68" s="94">
        <f>IF(BY68=".",".",s_RadSpec!$F$9*(CY9*$B68))</f>
        <v>1.3160880888288056E-4</v>
      </c>
      <c r="CZ68" s="94">
        <f>IF(BZ68=".",".",s_RadSpec!$F$9*(CZ9*$B68))</f>
        <v>1.3160880888288056E-4</v>
      </c>
      <c r="DA68" s="94">
        <f>IF(CA68=".",".",s_RadSpec!$F$9*(DA9*$B68))</f>
        <v>1.3160880888288056E-4</v>
      </c>
      <c r="DB68" s="94">
        <f>IF(CB68=".",".",s_RadSpec!$F$9*(DB9*$B68))</f>
        <v>1.3160880888288056E-4</v>
      </c>
    </row>
    <row r="69" spans="1:106" s="42" customFormat="1" x14ac:dyDescent="0.25">
      <c r="A69" s="77" t="s">
        <v>1076</v>
      </c>
      <c r="B69" s="42">
        <v>1.9999999999999999E-7</v>
      </c>
      <c r="C69" s="60" t="str">
        <f t="shared" ref="C69:AB69" si="94">IFERROR(C24/$B55,".")</f>
        <v>.</v>
      </c>
      <c r="D69" s="60" t="str">
        <f t="shared" si="94"/>
        <v>.</v>
      </c>
      <c r="E69" s="60" t="str">
        <f t="shared" si="94"/>
        <v>.</v>
      </c>
      <c r="F69" s="60" t="str">
        <f t="shared" si="94"/>
        <v>.</v>
      </c>
      <c r="G69" s="60" t="str">
        <f t="shared" si="94"/>
        <v>.</v>
      </c>
      <c r="H69" s="60" t="str">
        <f t="shared" si="94"/>
        <v>.</v>
      </c>
      <c r="I69" s="60" t="str">
        <f t="shared" si="94"/>
        <v>.</v>
      </c>
      <c r="J69" s="60" t="str">
        <f t="shared" si="94"/>
        <v>.</v>
      </c>
      <c r="K69" s="60" t="str">
        <f t="shared" si="94"/>
        <v>.</v>
      </c>
      <c r="L69" s="60" t="str">
        <f t="shared" si="94"/>
        <v>.</v>
      </c>
      <c r="M69" s="60" t="str">
        <f t="shared" si="94"/>
        <v>.</v>
      </c>
      <c r="N69" s="60" t="str">
        <f t="shared" si="94"/>
        <v>.</v>
      </c>
      <c r="O69" s="60" t="str">
        <f t="shared" si="94"/>
        <v>.</v>
      </c>
      <c r="P69" s="60" t="str">
        <f t="shared" si="94"/>
        <v>.</v>
      </c>
      <c r="Q69" s="60" t="str">
        <f t="shared" si="94"/>
        <v>.</v>
      </c>
      <c r="R69" s="60" t="str">
        <f t="shared" si="94"/>
        <v>.</v>
      </c>
      <c r="S69" s="60" t="str">
        <f t="shared" si="94"/>
        <v>.</v>
      </c>
      <c r="T69" s="60" t="str">
        <f t="shared" si="94"/>
        <v>.</v>
      </c>
      <c r="U69" s="60" t="str">
        <f t="shared" si="94"/>
        <v>.</v>
      </c>
      <c r="V69" s="60" t="str">
        <f t="shared" si="94"/>
        <v>.</v>
      </c>
      <c r="W69" s="60" t="str">
        <f t="shared" si="94"/>
        <v>.</v>
      </c>
      <c r="X69" s="60" t="str">
        <f t="shared" si="94"/>
        <v>.</v>
      </c>
      <c r="Y69" s="60" t="str">
        <f t="shared" si="94"/>
        <v>.</v>
      </c>
      <c r="Z69" s="60" t="str">
        <f t="shared" si="94"/>
        <v>.</v>
      </c>
      <c r="AA69" s="60" t="str">
        <f t="shared" si="94"/>
        <v>.</v>
      </c>
      <c r="AB69" s="60" t="str">
        <f t="shared" si="94"/>
        <v>.</v>
      </c>
      <c r="AC69" s="94" t="str">
        <f t="shared" si="83"/>
        <v>.</v>
      </c>
      <c r="AD69" s="94" t="str">
        <f>IF(D69=".",".",s_RadSpec!$F$24*(AD24*$B69))</f>
        <v>.</v>
      </c>
      <c r="AE69" s="94" t="str">
        <f>IF(E69=".",".",s_RadSpec!$F$24*(AE24*$B69))</f>
        <v>.</v>
      </c>
      <c r="AF69" s="94" t="str">
        <f>IF(F69=".",".",s_RadSpec!$F$24*(AF24*$B69))</f>
        <v>.</v>
      </c>
      <c r="AG69" s="94" t="str">
        <f>IF(G69=".",".",s_RadSpec!$F$24*(AG24*$B69))</f>
        <v>.</v>
      </c>
      <c r="AH69" s="94" t="str">
        <f>IF(H69=".",".",s_RadSpec!$F$24*(AH24*$B69))</f>
        <v>.</v>
      </c>
      <c r="AI69" s="94" t="str">
        <f>IF(I69=".",".",s_RadSpec!$F$24*(AI24*$B69))</f>
        <v>.</v>
      </c>
      <c r="AJ69" s="94" t="str">
        <f>IF(J69=".",".",s_RadSpec!$F$24*(AJ24*$B69))</f>
        <v>.</v>
      </c>
      <c r="AK69" s="94" t="str">
        <f>IF(K69=".",".",s_RadSpec!$F$24*(AK24*$B69))</f>
        <v>.</v>
      </c>
      <c r="AL69" s="94" t="str">
        <f>IF(L69=".",".",s_RadSpec!$F$24*(AL24*$B69))</f>
        <v>.</v>
      </c>
      <c r="AM69" s="94" t="str">
        <f>IF(M69=".",".",s_RadSpec!$F$24*(AM24*$B69))</f>
        <v>.</v>
      </c>
      <c r="AN69" s="94" t="str">
        <f>IF(N69=".",".",s_RadSpec!$F$24*(AN24*$B69))</f>
        <v>.</v>
      </c>
      <c r="AO69" s="94" t="str">
        <f>IF(O69=".",".",s_RadSpec!$F$24*(AO24*$B69))</f>
        <v>.</v>
      </c>
      <c r="AP69" s="94" t="str">
        <f>IF(P69=".",".",s_RadSpec!$F$24*(AP24*$B69))</f>
        <v>.</v>
      </c>
      <c r="AQ69" s="94" t="str">
        <f>IF(Q69=".",".",s_RadSpec!$F$24*(AQ24*$B69))</f>
        <v>.</v>
      </c>
      <c r="AR69" s="94" t="str">
        <f>IF(R69=".",".",s_RadSpec!$F$24*(AR24*$B69))</f>
        <v>.</v>
      </c>
      <c r="AS69" s="94" t="str">
        <f>IF(S69=".",".",s_RadSpec!$F$24*(AS24*$B69))</f>
        <v>.</v>
      </c>
      <c r="AT69" s="94" t="str">
        <f>IF(T69=".",".",s_RadSpec!$F$24*(AT24*$B69))</f>
        <v>.</v>
      </c>
      <c r="AU69" s="94" t="str">
        <f>IF(U69=".",".",s_RadSpec!$F$24*(AU24*$B69))</f>
        <v>.</v>
      </c>
      <c r="AV69" s="94" t="str">
        <f>IF(V69=".",".",s_RadSpec!$F$24*(AV24*$B69))</f>
        <v>.</v>
      </c>
      <c r="AW69" s="94" t="str">
        <f>IF(W69=".",".",s_RadSpec!$F$24*(AW24*$B69))</f>
        <v>.</v>
      </c>
      <c r="AX69" s="94" t="str">
        <f>IF(X69=".",".",s_RadSpec!$F$24*(AX24*$B69))</f>
        <v>.</v>
      </c>
      <c r="AY69" s="94" t="str">
        <f>IF(Y69=".",".",s_RadSpec!$F$24*(AY24*$B69))</f>
        <v>.</v>
      </c>
      <c r="AZ69" s="94" t="str">
        <f>IF(Z69=".",".",s_RadSpec!$F$24*(AZ24*$B69))</f>
        <v>.</v>
      </c>
      <c r="BA69" s="94" t="str">
        <f>IF(AA69=".",".",s_RadSpec!$F$24*(BA24*$B69))</f>
        <v>.</v>
      </c>
      <c r="BB69" s="94" t="str">
        <f>IF(AB69=".",".",s_RadSpec!$F$24*(BB24*$B69))</f>
        <v>.</v>
      </c>
      <c r="BC69" s="60" t="str">
        <f t="shared" ref="BC69:CB69" si="95">IFERROR(BC24/$B55,".")</f>
        <v>.</v>
      </c>
      <c r="BD69" s="60" t="str">
        <f t="shared" si="95"/>
        <v>.</v>
      </c>
      <c r="BE69" s="60" t="str">
        <f t="shared" si="95"/>
        <v>.</v>
      </c>
      <c r="BF69" s="60" t="str">
        <f t="shared" si="95"/>
        <v>.</v>
      </c>
      <c r="BG69" s="60" t="str">
        <f t="shared" si="95"/>
        <v>.</v>
      </c>
      <c r="BH69" s="60" t="str">
        <f t="shared" si="95"/>
        <v>.</v>
      </c>
      <c r="BI69" s="60" t="str">
        <f t="shared" si="95"/>
        <v>.</v>
      </c>
      <c r="BJ69" s="60" t="str">
        <f t="shared" si="95"/>
        <v>.</v>
      </c>
      <c r="BK69" s="60" t="str">
        <f t="shared" si="95"/>
        <v>.</v>
      </c>
      <c r="BL69" s="60" t="str">
        <f t="shared" si="95"/>
        <v>.</v>
      </c>
      <c r="BM69" s="60" t="str">
        <f t="shared" si="95"/>
        <v>.</v>
      </c>
      <c r="BN69" s="60" t="str">
        <f t="shared" si="95"/>
        <v>.</v>
      </c>
      <c r="BO69" s="60" t="str">
        <f t="shared" si="95"/>
        <v>.</v>
      </c>
      <c r="BP69" s="60" t="str">
        <f t="shared" si="95"/>
        <v>.</v>
      </c>
      <c r="BQ69" s="60" t="str">
        <f t="shared" si="95"/>
        <v>.</v>
      </c>
      <c r="BR69" s="60" t="str">
        <f t="shared" si="95"/>
        <v>.</v>
      </c>
      <c r="BS69" s="60" t="str">
        <f t="shared" si="95"/>
        <v>.</v>
      </c>
      <c r="BT69" s="60" t="str">
        <f t="shared" si="95"/>
        <v>.</v>
      </c>
      <c r="BU69" s="60" t="str">
        <f t="shared" si="95"/>
        <v>.</v>
      </c>
      <c r="BV69" s="60" t="str">
        <f t="shared" si="95"/>
        <v>.</v>
      </c>
      <c r="BW69" s="60" t="str">
        <f t="shared" si="95"/>
        <v>.</v>
      </c>
      <c r="BX69" s="60" t="str">
        <f t="shared" si="95"/>
        <v>.</v>
      </c>
      <c r="BY69" s="60" t="str">
        <f t="shared" si="95"/>
        <v>.</v>
      </c>
      <c r="BZ69" s="60" t="str">
        <f t="shared" si="95"/>
        <v>.</v>
      </c>
      <c r="CA69" s="60" t="str">
        <f t="shared" si="95"/>
        <v>.</v>
      </c>
      <c r="CB69" s="60" t="str">
        <f t="shared" si="95"/>
        <v>.</v>
      </c>
      <c r="CC69" s="94" t="str">
        <f t="shared" si="85"/>
        <v>.</v>
      </c>
      <c r="CD69" s="94" t="str">
        <f>IF(BD69=".",".",s_RadSpec!$F$24*(CD24*$B69))</f>
        <v>.</v>
      </c>
      <c r="CE69" s="94" t="str">
        <f>IF(BE69=".",".",s_RadSpec!$F$24*(CE24*$B69))</f>
        <v>.</v>
      </c>
      <c r="CF69" s="94" t="str">
        <f>IF(BF69=".",".",s_RadSpec!$F$24*(CF24*$B69))</f>
        <v>.</v>
      </c>
      <c r="CG69" s="94" t="str">
        <f>IF(BG69=".",".",s_RadSpec!$F$24*(CG24*$B69))</f>
        <v>.</v>
      </c>
      <c r="CH69" s="94" t="str">
        <f>IF(BH69=".",".",s_RadSpec!$F$24*(CH24*$B69))</f>
        <v>.</v>
      </c>
      <c r="CI69" s="94" t="str">
        <f>IF(BI69=".",".",s_RadSpec!$F$24*(CI24*$B69))</f>
        <v>.</v>
      </c>
      <c r="CJ69" s="94" t="str">
        <f>IF(BJ69=".",".",s_RadSpec!$F$24*(CJ24*$B69))</f>
        <v>.</v>
      </c>
      <c r="CK69" s="94" t="str">
        <f>IF(BK69=".",".",s_RadSpec!$F$24*(CK24*$B69))</f>
        <v>.</v>
      </c>
      <c r="CL69" s="94" t="str">
        <f>IF(BL69=".",".",s_RadSpec!$F$24*(CL24*$B69))</f>
        <v>.</v>
      </c>
      <c r="CM69" s="94" t="str">
        <f>IF(BM69=".",".",s_RadSpec!$F$24*(CM24*$B69))</f>
        <v>.</v>
      </c>
      <c r="CN69" s="94" t="str">
        <f>IF(BN69=".",".",s_RadSpec!$F$24*(CN24*$B69))</f>
        <v>.</v>
      </c>
      <c r="CO69" s="94" t="str">
        <f>IF(BO69=".",".",s_RadSpec!$F$24*(CO24*$B69))</f>
        <v>.</v>
      </c>
      <c r="CP69" s="94" t="str">
        <f>IF(BP69=".",".",s_RadSpec!$F$24*(CP24*$B69))</f>
        <v>.</v>
      </c>
      <c r="CQ69" s="94" t="str">
        <f>IF(BQ69=".",".",s_RadSpec!$F$24*(CQ24*$B69))</f>
        <v>.</v>
      </c>
      <c r="CR69" s="94" t="str">
        <f>IF(BR69=".",".",s_RadSpec!$F$24*(CR24*$B69))</f>
        <v>.</v>
      </c>
      <c r="CS69" s="94" t="str">
        <f>IF(BS69=".",".",s_RadSpec!$F$24*(CS24*$B69))</f>
        <v>.</v>
      </c>
      <c r="CT69" s="94" t="str">
        <f>IF(BT69=".",".",s_RadSpec!$F$24*(CT24*$B69))</f>
        <v>.</v>
      </c>
      <c r="CU69" s="94" t="str">
        <f>IF(BU69=".",".",s_RadSpec!$F$24*(CU24*$B69))</f>
        <v>.</v>
      </c>
      <c r="CV69" s="94" t="str">
        <f>IF(BV69=".",".",s_RadSpec!$F$24*(CV24*$B69))</f>
        <v>.</v>
      </c>
      <c r="CW69" s="94" t="str">
        <f>IF(BW69=".",".",s_RadSpec!$F$24*(CW24*$B69))</f>
        <v>.</v>
      </c>
      <c r="CX69" s="94" t="str">
        <f>IF(BX69=".",".",s_RadSpec!$F$24*(CX24*$B69))</f>
        <v>.</v>
      </c>
      <c r="CY69" s="94" t="str">
        <f>IF(BY69=".",".",s_RadSpec!$F$24*(CY24*$B69))</f>
        <v>.</v>
      </c>
      <c r="CZ69" s="94" t="str">
        <f>IF(BZ69=".",".",s_RadSpec!$F$24*(CZ24*$B69))</f>
        <v>.</v>
      </c>
      <c r="DA69" s="94" t="str">
        <f>IF(CA69=".",".",s_RadSpec!$F$24*(DA24*$B69))</f>
        <v>.</v>
      </c>
      <c r="DB69" s="94" t="str">
        <f>IF(CB69=".",".",s_RadSpec!$F$24*(DB24*$B69))</f>
        <v>.</v>
      </c>
    </row>
    <row r="70" spans="1:106" s="42" customFormat="1" x14ac:dyDescent="0.25">
      <c r="A70" s="77" t="s">
        <v>1077</v>
      </c>
      <c r="B70" s="42">
        <v>0.99979000004200003</v>
      </c>
      <c r="C70" s="60" t="str">
        <f t="shared" ref="C70:AB70" si="96">IFERROR(C20/$B56,".")</f>
        <v>.</v>
      </c>
      <c r="D70" s="60" t="str">
        <f t="shared" si="96"/>
        <v>.</v>
      </c>
      <c r="E70" s="60" t="str">
        <f t="shared" si="96"/>
        <v>.</v>
      </c>
      <c r="F70" s="60" t="str">
        <f t="shared" si="96"/>
        <v>.</v>
      </c>
      <c r="G70" s="60" t="str">
        <f t="shared" si="96"/>
        <v>.</v>
      </c>
      <c r="H70" s="60" t="str">
        <f t="shared" si="96"/>
        <v>.</v>
      </c>
      <c r="I70" s="60" t="str">
        <f t="shared" si="96"/>
        <v>.</v>
      </c>
      <c r="J70" s="60" t="str">
        <f t="shared" si="96"/>
        <v>.</v>
      </c>
      <c r="K70" s="60" t="str">
        <f t="shared" si="96"/>
        <v>.</v>
      </c>
      <c r="L70" s="60" t="str">
        <f t="shared" si="96"/>
        <v>.</v>
      </c>
      <c r="M70" s="60" t="str">
        <f t="shared" si="96"/>
        <v>.</v>
      </c>
      <c r="N70" s="60" t="str">
        <f t="shared" si="96"/>
        <v>.</v>
      </c>
      <c r="O70" s="60" t="str">
        <f t="shared" si="96"/>
        <v>.</v>
      </c>
      <c r="P70" s="60" t="str">
        <f t="shared" si="96"/>
        <v>.</v>
      </c>
      <c r="Q70" s="60" t="str">
        <f t="shared" si="96"/>
        <v>.</v>
      </c>
      <c r="R70" s="60" t="str">
        <f t="shared" si="96"/>
        <v>.</v>
      </c>
      <c r="S70" s="60" t="str">
        <f t="shared" si="96"/>
        <v>.</v>
      </c>
      <c r="T70" s="60" t="str">
        <f t="shared" si="96"/>
        <v>.</v>
      </c>
      <c r="U70" s="60" t="str">
        <f t="shared" si="96"/>
        <v>.</v>
      </c>
      <c r="V70" s="60" t="str">
        <f t="shared" si="96"/>
        <v>.</v>
      </c>
      <c r="W70" s="60" t="str">
        <f t="shared" si="96"/>
        <v>.</v>
      </c>
      <c r="X70" s="60" t="str">
        <f t="shared" si="96"/>
        <v>.</v>
      </c>
      <c r="Y70" s="60" t="str">
        <f t="shared" si="96"/>
        <v>.</v>
      </c>
      <c r="Z70" s="60" t="str">
        <f t="shared" si="96"/>
        <v>.</v>
      </c>
      <c r="AA70" s="60" t="str">
        <f t="shared" si="96"/>
        <v>.</v>
      </c>
      <c r="AB70" s="60" t="str">
        <f t="shared" si="96"/>
        <v>.</v>
      </c>
      <c r="AC70" s="94" t="str">
        <f t="shared" si="83"/>
        <v>.</v>
      </c>
      <c r="AD70" s="94" t="str">
        <f>IF(D70=".",".",s_RadSpec!$F$20*(AD20*$B70))</f>
        <v>.</v>
      </c>
      <c r="AE70" s="94" t="str">
        <f>IF(E70=".",".",s_RadSpec!$F$20*(AE20*$B70))</f>
        <v>.</v>
      </c>
      <c r="AF70" s="94" t="str">
        <f>IF(F70=".",".",s_RadSpec!$F$20*(AF20*$B70))</f>
        <v>.</v>
      </c>
      <c r="AG70" s="94" t="str">
        <f>IF(G70=".",".",s_RadSpec!$F$20*(AG20*$B70))</f>
        <v>.</v>
      </c>
      <c r="AH70" s="94" t="str">
        <f>IF(H70=".",".",s_RadSpec!$F$20*(AH20*$B70))</f>
        <v>.</v>
      </c>
      <c r="AI70" s="94" t="str">
        <f>IF(I70=".",".",s_RadSpec!$F$20*(AI20*$B70))</f>
        <v>.</v>
      </c>
      <c r="AJ70" s="94" t="str">
        <f>IF(J70=".",".",s_RadSpec!$F$20*(AJ20*$B70))</f>
        <v>.</v>
      </c>
      <c r="AK70" s="94" t="str">
        <f>IF(K70=".",".",s_RadSpec!$F$20*(AK20*$B70))</f>
        <v>.</v>
      </c>
      <c r="AL70" s="94" t="str">
        <f>IF(L70=".",".",s_RadSpec!$F$20*(AL20*$B70))</f>
        <v>.</v>
      </c>
      <c r="AM70" s="94" t="str">
        <f>IF(M70=".",".",s_RadSpec!$F$20*(AM20*$B70))</f>
        <v>.</v>
      </c>
      <c r="AN70" s="94" t="str">
        <f>IF(N70=".",".",s_RadSpec!$F$20*(AN20*$B70))</f>
        <v>.</v>
      </c>
      <c r="AO70" s="94" t="str">
        <f>IF(O70=".",".",s_RadSpec!$F$20*(AO20*$B70))</f>
        <v>.</v>
      </c>
      <c r="AP70" s="94" t="str">
        <f>IF(P70=".",".",s_RadSpec!$F$20*(AP20*$B70))</f>
        <v>.</v>
      </c>
      <c r="AQ70" s="94" t="str">
        <f>IF(Q70=".",".",s_RadSpec!$F$20*(AQ20*$B70))</f>
        <v>.</v>
      </c>
      <c r="AR70" s="94" t="str">
        <f>IF(R70=".",".",s_RadSpec!$F$20*(AR20*$B70))</f>
        <v>.</v>
      </c>
      <c r="AS70" s="94" t="str">
        <f>IF(S70=".",".",s_RadSpec!$F$20*(AS20*$B70))</f>
        <v>.</v>
      </c>
      <c r="AT70" s="94" t="str">
        <f>IF(T70=".",".",s_RadSpec!$F$20*(AT20*$B70))</f>
        <v>.</v>
      </c>
      <c r="AU70" s="94" t="str">
        <f>IF(U70=".",".",s_RadSpec!$F$20*(AU20*$B70))</f>
        <v>.</v>
      </c>
      <c r="AV70" s="94" t="str">
        <f>IF(V70=".",".",s_RadSpec!$F$20*(AV20*$B70))</f>
        <v>.</v>
      </c>
      <c r="AW70" s="94" t="str">
        <f>IF(W70=".",".",s_RadSpec!$F$20*(AW20*$B70))</f>
        <v>.</v>
      </c>
      <c r="AX70" s="94" t="str">
        <f>IF(X70=".",".",s_RadSpec!$F$20*(AX20*$B70))</f>
        <v>.</v>
      </c>
      <c r="AY70" s="94" t="str">
        <f>IF(Y70=".",".",s_RadSpec!$F$20*(AY20*$B70))</f>
        <v>.</v>
      </c>
      <c r="AZ70" s="94" t="str">
        <f>IF(Z70=".",".",s_RadSpec!$F$20*(AZ20*$B70))</f>
        <v>.</v>
      </c>
      <c r="BA70" s="94" t="str">
        <f>IF(AA70=".",".",s_RadSpec!$F$20*(BA20*$B70))</f>
        <v>.</v>
      </c>
      <c r="BB70" s="94" t="str">
        <f>IF(AB70=".",".",s_RadSpec!$F$20*(BB20*$B70))</f>
        <v>.</v>
      </c>
      <c r="BC70" s="60" t="str">
        <f t="shared" ref="BC70:CB70" si="97">IFERROR(BC20/$B56,".")</f>
        <v>.</v>
      </c>
      <c r="BD70" s="60" t="str">
        <f t="shared" si="97"/>
        <v>.</v>
      </c>
      <c r="BE70" s="60" t="str">
        <f t="shared" si="97"/>
        <v>.</v>
      </c>
      <c r="BF70" s="60" t="str">
        <f t="shared" si="97"/>
        <v>.</v>
      </c>
      <c r="BG70" s="60" t="str">
        <f t="shared" si="97"/>
        <v>.</v>
      </c>
      <c r="BH70" s="60" t="str">
        <f t="shared" si="97"/>
        <v>.</v>
      </c>
      <c r="BI70" s="60" t="str">
        <f t="shared" si="97"/>
        <v>.</v>
      </c>
      <c r="BJ70" s="60" t="str">
        <f t="shared" si="97"/>
        <v>.</v>
      </c>
      <c r="BK70" s="60" t="str">
        <f t="shared" si="97"/>
        <v>.</v>
      </c>
      <c r="BL70" s="60" t="str">
        <f t="shared" si="97"/>
        <v>.</v>
      </c>
      <c r="BM70" s="60" t="str">
        <f t="shared" si="97"/>
        <v>.</v>
      </c>
      <c r="BN70" s="60" t="str">
        <f t="shared" si="97"/>
        <v>.</v>
      </c>
      <c r="BO70" s="60" t="str">
        <f t="shared" si="97"/>
        <v>.</v>
      </c>
      <c r="BP70" s="60" t="str">
        <f t="shared" si="97"/>
        <v>.</v>
      </c>
      <c r="BQ70" s="60" t="str">
        <f t="shared" si="97"/>
        <v>.</v>
      </c>
      <c r="BR70" s="60" t="str">
        <f t="shared" si="97"/>
        <v>.</v>
      </c>
      <c r="BS70" s="60" t="str">
        <f t="shared" si="97"/>
        <v>.</v>
      </c>
      <c r="BT70" s="60" t="str">
        <f t="shared" si="97"/>
        <v>.</v>
      </c>
      <c r="BU70" s="60" t="str">
        <f t="shared" si="97"/>
        <v>.</v>
      </c>
      <c r="BV70" s="60" t="str">
        <f t="shared" si="97"/>
        <v>.</v>
      </c>
      <c r="BW70" s="60" t="str">
        <f t="shared" si="97"/>
        <v>.</v>
      </c>
      <c r="BX70" s="60" t="str">
        <f t="shared" si="97"/>
        <v>.</v>
      </c>
      <c r="BY70" s="60" t="str">
        <f t="shared" si="97"/>
        <v>.</v>
      </c>
      <c r="BZ70" s="60" t="str">
        <f t="shared" si="97"/>
        <v>.</v>
      </c>
      <c r="CA70" s="60" t="str">
        <f t="shared" si="97"/>
        <v>.</v>
      </c>
      <c r="CB70" s="60" t="str">
        <f t="shared" si="97"/>
        <v>.</v>
      </c>
      <c r="CC70" s="94" t="str">
        <f t="shared" si="85"/>
        <v>.</v>
      </c>
      <c r="CD70" s="94" t="str">
        <f>IF(BD70=".",".",s_RadSpec!$F$20*(CD20*$B70))</f>
        <v>.</v>
      </c>
      <c r="CE70" s="94" t="str">
        <f>IF(BE70=".",".",s_RadSpec!$F$20*(CE20*$B70))</f>
        <v>.</v>
      </c>
      <c r="CF70" s="94" t="str">
        <f>IF(BF70=".",".",s_RadSpec!$F$20*(CF20*$B70))</f>
        <v>.</v>
      </c>
      <c r="CG70" s="94" t="str">
        <f>IF(BG70=".",".",s_RadSpec!$F$20*(CG20*$B70))</f>
        <v>.</v>
      </c>
      <c r="CH70" s="94" t="str">
        <f>IF(BH70=".",".",s_RadSpec!$F$20*(CH20*$B70))</f>
        <v>.</v>
      </c>
      <c r="CI70" s="94" t="str">
        <f>IF(BI70=".",".",s_RadSpec!$F$20*(CI20*$B70))</f>
        <v>.</v>
      </c>
      <c r="CJ70" s="94" t="str">
        <f>IF(BJ70=".",".",s_RadSpec!$F$20*(CJ20*$B70))</f>
        <v>.</v>
      </c>
      <c r="CK70" s="94" t="str">
        <f>IF(BK70=".",".",s_RadSpec!$F$20*(CK20*$B70))</f>
        <v>.</v>
      </c>
      <c r="CL70" s="94" t="str">
        <f>IF(BL70=".",".",s_RadSpec!$F$20*(CL20*$B70))</f>
        <v>.</v>
      </c>
      <c r="CM70" s="94" t="str">
        <f>IF(BM70=".",".",s_RadSpec!$F$20*(CM20*$B70))</f>
        <v>.</v>
      </c>
      <c r="CN70" s="94" t="str">
        <f>IF(BN70=".",".",s_RadSpec!$F$20*(CN20*$B70))</f>
        <v>.</v>
      </c>
      <c r="CO70" s="94" t="str">
        <f>IF(BO70=".",".",s_RadSpec!$F$20*(CO20*$B70))</f>
        <v>.</v>
      </c>
      <c r="CP70" s="94" t="str">
        <f>IF(BP70=".",".",s_RadSpec!$F$20*(CP20*$B70))</f>
        <v>.</v>
      </c>
      <c r="CQ70" s="94" t="str">
        <f>IF(BQ70=".",".",s_RadSpec!$F$20*(CQ20*$B70))</f>
        <v>.</v>
      </c>
      <c r="CR70" s="94" t="str">
        <f>IF(BR70=".",".",s_RadSpec!$F$20*(CR20*$B70))</f>
        <v>.</v>
      </c>
      <c r="CS70" s="94" t="str">
        <f>IF(BS70=".",".",s_RadSpec!$F$20*(CS20*$B70))</f>
        <v>.</v>
      </c>
      <c r="CT70" s="94" t="str">
        <f>IF(BT70=".",".",s_RadSpec!$F$20*(CT20*$B70))</f>
        <v>.</v>
      </c>
      <c r="CU70" s="94" t="str">
        <f>IF(BU70=".",".",s_RadSpec!$F$20*(CU20*$B70))</f>
        <v>.</v>
      </c>
      <c r="CV70" s="94" t="str">
        <f>IF(BV70=".",".",s_RadSpec!$F$20*(CV20*$B70))</f>
        <v>.</v>
      </c>
      <c r="CW70" s="94" t="str">
        <f>IF(BW70=".",".",s_RadSpec!$F$20*(CW20*$B70))</f>
        <v>.</v>
      </c>
      <c r="CX70" s="94" t="str">
        <f>IF(BX70=".",".",s_RadSpec!$F$20*(CX20*$B70))</f>
        <v>.</v>
      </c>
      <c r="CY70" s="94" t="str">
        <f>IF(BY70=".",".",s_RadSpec!$F$20*(CY20*$B70))</f>
        <v>.</v>
      </c>
      <c r="CZ70" s="94" t="str">
        <f>IF(BZ70=".",".",s_RadSpec!$F$20*(CZ20*$B70))</f>
        <v>.</v>
      </c>
      <c r="DA70" s="94" t="str">
        <f>IF(CA70=".",".",s_RadSpec!$F$20*(DA20*$B70))</f>
        <v>.</v>
      </c>
      <c r="DB70" s="94" t="str">
        <f>IF(CB70=".",".",s_RadSpec!$F$20*(DB20*$B70))</f>
        <v>.</v>
      </c>
    </row>
    <row r="71" spans="1:106" s="42" customFormat="1" x14ac:dyDescent="0.25">
      <c r="A71" s="77" t="s">
        <v>1078</v>
      </c>
      <c r="B71" s="42">
        <v>2.0999995799999999E-4</v>
      </c>
      <c r="C71" s="60" t="str">
        <f t="shared" ref="C71:AB71" si="98">IFERROR(C29/$B57,".")</f>
        <v>.</v>
      </c>
      <c r="D71" s="60" t="str">
        <f t="shared" si="98"/>
        <v>.</v>
      </c>
      <c r="E71" s="60" t="str">
        <f t="shared" si="98"/>
        <v>.</v>
      </c>
      <c r="F71" s="60" t="str">
        <f t="shared" si="98"/>
        <v>.</v>
      </c>
      <c r="G71" s="60" t="str">
        <f t="shared" si="98"/>
        <v>.</v>
      </c>
      <c r="H71" s="60" t="str">
        <f t="shared" si="98"/>
        <v>.</v>
      </c>
      <c r="I71" s="60" t="str">
        <f t="shared" si="98"/>
        <v>.</v>
      </c>
      <c r="J71" s="60" t="str">
        <f t="shared" si="98"/>
        <v>.</v>
      </c>
      <c r="K71" s="60" t="str">
        <f t="shared" si="98"/>
        <v>.</v>
      </c>
      <c r="L71" s="60" t="str">
        <f t="shared" si="98"/>
        <v>.</v>
      </c>
      <c r="M71" s="60" t="str">
        <f t="shared" si="98"/>
        <v>.</v>
      </c>
      <c r="N71" s="60" t="str">
        <f t="shared" si="98"/>
        <v>.</v>
      </c>
      <c r="O71" s="60" t="str">
        <f t="shared" si="98"/>
        <v>.</v>
      </c>
      <c r="P71" s="60" t="str">
        <f t="shared" si="98"/>
        <v>.</v>
      </c>
      <c r="Q71" s="60" t="str">
        <f t="shared" si="98"/>
        <v>.</v>
      </c>
      <c r="R71" s="60" t="str">
        <f t="shared" si="98"/>
        <v>.</v>
      </c>
      <c r="S71" s="60" t="str">
        <f t="shared" si="98"/>
        <v>.</v>
      </c>
      <c r="T71" s="60" t="str">
        <f t="shared" si="98"/>
        <v>.</v>
      </c>
      <c r="U71" s="60" t="str">
        <f t="shared" si="98"/>
        <v>.</v>
      </c>
      <c r="V71" s="60" t="str">
        <f t="shared" si="98"/>
        <v>.</v>
      </c>
      <c r="W71" s="60" t="str">
        <f t="shared" si="98"/>
        <v>.</v>
      </c>
      <c r="X71" s="60" t="str">
        <f t="shared" si="98"/>
        <v>.</v>
      </c>
      <c r="Y71" s="60" t="str">
        <f t="shared" si="98"/>
        <v>.</v>
      </c>
      <c r="Z71" s="60" t="str">
        <f t="shared" si="98"/>
        <v>.</v>
      </c>
      <c r="AA71" s="60" t="str">
        <f t="shared" si="98"/>
        <v>.</v>
      </c>
      <c r="AB71" s="60" t="str">
        <f t="shared" si="98"/>
        <v>.</v>
      </c>
      <c r="AC71" s="94" t="str">
        <f t="shared" si="83"/>
        <v>.</v>
      </c>
      <c r="AD71" s="94" t="str">
        <f>IF(D71=".",".",s_RadSpec!$F$29*(AD29*$B71))</f>
        <v>.</v>
      </c>
      <c r="AE71" s="94" t="str">
        <f>IF(E71=".",".",s_RadSpec!$F$29*(AE29*$B71))</f>
        <v>.</v>
      </c>
      <c r="AF71" s="94" t="str">
        <f>IF(F71=".",".",s_RadSpec!$F$29*(AF29*$B71))</f>
        <v>.</v>
      </c>
      <c r="AG71" s="94" t="str">
        <f>IF(G71=".",".",s_RadSpec!$F$29*(AG29*$B71))</f>
        <v>.</v>
      </c>
      <c r="AH71" s="94" t="str">
        <f>IF(H71=".",".",s_RadSpec!$F$29*(AH29*$B71))</f>
        <v>.</v>
      </c>
      <c r="AI71" s="94" t="str">
        <f>IF(I71=".",".",s_RadSpec!$F$29*(AI29*$B71))</f>
        <v>.</v>
      </c>
      <c r="AJ71" s="94" t="str">
        <f>IF(J71=".",".",s_RadSpec!$F$29*(AJ29*$B71))</f>
        <v>.</v>
      </c>
      <c r="AK71" s="94" t="str">
        <f>IF(K71=".",".",s_RadSpec!$F$29*(AK29*$B71))</f>
        <v>.</v>
      </c>
      <c r="AL71" s="94" t="str">
        <f>IF(L71=".",".",s_RadSpec!$F$29*(AL29*$B71))</f>
        <v>.</v>
      </c>
      <c r="AM71" s="94" t="str">
        <f>IF(M71=".",".",s_RadSpec!$F$29*(AM29*$B71))</f>
        <v>.</v>
      </c>
      <c r="AN71" s="94" t="str">
        <f>IF(N71=".",".",s_RadSpec!$F$29*(AN29*$B71))</f>
        <v>.</v>
      </c>
      <c r="AO71" s="94" t="str">
        <f>IF(O71=".",".",s_RadSpec!$F$29*(AO29*$B71))</f>
        <v>.</v>
      </c>
      <c r="AP71" s="94" t="str">
        <f>IF(P71=".",".",s_RadSpec!$F$29*(AP29*$B71))</f>
        <v>.</v>
      </c>
      <c r="AQ71" s="94" t="str">
        <f>IF(Q71=".",".",s_RadSpec!$F$29*(AQ29*$B71))</f>
        <v>.</v>
      </c>
      <c r="AR71" s="94" t="str">
        <f>IF(R71=".",".",s_RadSpec!$F$29*(AR29*$B71))</f>
        <v>.</v>
      </c>
      <c r="AS71" s="94" t="str">
        <f>IF(S71=".",".",s_RadSpec!$F$29*(AS29*$B71))</f>
        <v>.</v>
      </c>
      <c r="AT71" s="94" t="str">
        <f>IF(T71=".",".",s_RadSpec!$F$29*(AT29*$B71))</f>
        <v>.</v>
      </c>
      <c r="AU71" s="94" t="str">
        <f>IF(U71=".",".",s_RadSpec!$F$29*(AU29*$B71))</f>
        <v>.</v>
      </c>
      <c r="AV71" s="94" t="str">
        <f>IF(V71=".",".",s_RadSpec!$F$29*(AV29*$B71))</f>
        <v>.</v>
      </c>
      <c r="AW71" s="94" t="str">
        <f>IF(W71=".",".",s_RadSpec!$F$29*(AW29*$B71))</f>
        <v>.</v>
      </c>
      <c r="AX71" s="94" t="str">
        <f>IF(X71=".",".",s_RadSpec!$F$29*(AX29*$B71))</f>
        <v>.</v>
      </c>
      <c r="AY71" s="94" t="str">
        <f>IF(Y71=".",".",s_RadSpec!$F$29*(AY29*$B71))</f>
        <v>.</v>
      </c>
      <c r="AZ71" s="94" t="str">
        <f>IF(Z71=".",".",s_RadSpec!$F$29*(AZ29*$B71))</f>
        <v>.</v>
      </c>
      <c r="BA71" s="94" t="str">
        <f>IF(AA71=".",".",s_RadSpec!$F$29*(BA29*$B71))</f>
        <v>.</v>
      </c>
      <c r="BB71" s="94" t="str">
        <f>IF(AB71=".",".",s_RadSpec!$F$29*(BB29*$B71))</f>
        <v>.</v>
      </c>
      <c r="BC71" s="60" t="str">
        <f t="shared" ref="BC71:CB71" si="99">IFERROR(BC29/$B57,".")</f>
        <v>.</v>
      </c>
      <c r="BD71" s="60" t="str">
        <f t="shared" si="99"/>
        <v>.</v>
      </c>
      <c r="BE71" s="60" t="str">
        <f t="shared" si="99"/>
        <v>.</v>
      </c>
      <c r="BF71" s="60" t="str">
        <f t="shared" si="99"/>
        <v>.</v>
      </c>
      <c r="BG71" s="60" t="str">
        <f t="shared" si="99"/>
        <v>.</v>
      </c>
      <c r="BH71" s="60" t="str">
        <f t="shared" si="99"/>
        <v>.</v>
      </c>
      <c r="BI71" s="60" t="str">
        <f t="shared" si="99"/>
        <v>.</v>
      </c>
      <c r="BJ71" s="60" t="str">
        <f t="shared" si="99"/>
        <v>.</v>
      </c>
      <c r="BK71" s="60" t="str">
        <f t="shared" si="99"/>
        <v>.</v>
      </c>
      <c r="BL71" s="60" t="str">
        <f t="shared" si="99"/>
        <v>.</v>
      </c>
      <c r="BM71" s="60" t="str">
        <f t="shared" si="99"/>
        <v>.</v>
      </c>
      <c r="BN71" s="60" t="str">
        <f t="shared" si="99"/>
        <v>.</v>
      </c>
      <c r="BO71" s="60" t="str">
        <f t="shared" si="99"/>
        <v>.</v>
      </c>
      <c r="BP71" s="60" t="str">
        <f t="shared" si="99"/>
        <v>.</v>
      </c>
      <c r="BQ71" s="60" t="str">
        <f t="shared" si="99"/>
        <v>.</v>
      </c>
      <c r="BR71" s="60" t="str">
        <f t="shared" si="99"/>
        <v>.</v>
      </c>
      <c r="BS71" s="60" t="str">
        <f t="shared" si="99"/>
        <v>.</v>
      </c>
      <c r="BT71" s="60" t="str">
        <f t="shared" si="99"/>
        <v>.</v>
      </c>
      <c r="BU71" s="60" t="str">
        <f t="shared" si="99"/>
        <v>.</v>
      </c>
      <c r="BV71" s="60" t="str">
        <f t="shared" si="99"/>
        <v>.</v>
      </c>
      <c r="BW71" s="60" t="str">
        <f t="shared" si="99"/>
        <v>.</v>
      </c>
      <c r="BX71" s="60" t="str">
        <f t="shared" si="99"/>
        <v>.</v>
      </c>
      <c r="BY71" s="60" t="str">
        <f t="shared" si="99"/>
        <v>.</v>
      </c>
      <c r="BZ71" s="60" t="str">
        <f t="shared" si="99"/>
        <v>.</v>
      </c>
      <c r="CA71" s="60" t="str">
        <f t="shared" si="99"/>
        <v>.</v>
      </c>
      <c r="CB71" s="60" t="str">
        <f t="shared" si="99"/>
        <v>.</v>
      </c>
      <c r="CC71" s="94" t="str">
        <f t="shared" si="85"/>
        <v>.</v>
      </c>
      <c r="CD71" s="94" t="str">
        <f>IF(BD71=".",".",s_RadSpec!$F$29*(CD29*$B71))</f>
        <v>.</v>
      </c>
      <c r="CE71" s="94" t="str">
        <f>IF(BE71=".",".",s_RadSpec!$F$29*(CE29*$B71))</f>
        <v>.</v>
      </c>
      <c r="CF71" s="94" t="str">
        <f>IF(BF71=".",".",s_RadSpec!$F$29*(CF29*$B71))</f>
        <v>.</v>
      </c>
      <c r="CG71" s="94" t="str">
        <f>IF(BG71=".",".",s_RadSpec!$F$29*(CG29*$B71))</f>
        <v>.</v>
      </c>
      <c r="CH71" s="94" t="str">
        <f>IF(BH71=".",".",s_RadSpec!$F$29*(CH29*$B71))</f>
        <v>.</v>
      </c>
      <c r="CI71" s="94" t="str">
        <f>IF(BI71=".",".",s_RadSpec!$F$29*(CI29*$B71))</f>
        <v>.</v>
      </c>
      <c r="CJ71" s="94" t="str">
        <f>IF(BJ71=".",".",s_RadSpec!$F$29*(CJ29*$B71))</f>
        <v>.</v>
      </c>
      <c r="CK71" s="94" t="str">
        <f>IF(BK71=".",".",s_RadSpec!$F$29*(CK29*$B71))</f>
        <v>.</v>
      </c>
      <c r="CL71" s="94" t="str">
        <f>IF(BL71=".",".",s_RadSpec!$F$29*(CL29*$B71))</f>
        <v>.</v>
      </c>
      <c r="CM71" s="94" t="str">
        <f>IF(BM71=".",".",s_RadSpec!$F$29*(CM29*$B71))</f>
        <v>.</v>
      </c>
      <c r="CN71" s="94" t="str">
        <f>IF(BN71=".",".",s_RadSpec!$F$29*(CN29*$B71))</f>
        <v>.</v>
      </c>
      <c r="CO71" s="94" t="str">
        <f>IF(BO71=".",".",s_RadSpec!$F$29*(CO29*$B71))</f>
        <v>.</v>
      </c>
      <c r="CP71" s="94" t="str">
        <f>IF(BP71=".",".",s_RadSpec!$F$29*(CP29*$B71))</f>
        <v>.</v>
      </c>
      <c r="CQ71" s="94" t="str">
        <f>IF(BQ71=".",".",s_RadSpec!$F$29*(CQ29*$B71))</f>
        <v>.</v>
      </c>
      <c r="CR71" s="94" t="str">
        <f>IF(BR71=".",".",s_RadSpec!$F$29*(CR29*$B71))</f>
        <v>.</v>
      </c>
      <c r="CS71" s="94" t="str">
        <f>IF(BS71=".",".",s_RadSpec!$F$29*(CS29*$B71))</f>
        <v>.</v>
      </c>
      <c r="CT71" s="94" t="str">
        <f>IF(BT71=".",".",s_RadSpec!$F$29*(CT29*$B71))</f>
        <v>.</v>
      </c>
      <c r="CU71" s="94" t="str">
        <f>IF(BU71=".",".",s_RadSpec!$F$29*(CU29*$B71))</f>
        <v>.</v>
      </c>
      <c r="CV71" s="94" t="str">
        <f>IF(BV71=".",".",s_RadSpec!$F$29*(CV29*$B71))</f>
        <v>.</v>
      </c>
      <c r="CW71" s="94" t="str">
        <f>IF(BW71=".",".",s_RadSpec!$F$29*(CW29*$B71))</f>
        <v>.</v>
      </c>
      <c r="CX71" s="94" t="str">
        <f>IF(BX71=".",".",s_RadSpec!$F$29*(CX29*$B71))</f>
        <v>.</v>
      </c>
      <c r="CY71" s="94" t="str">
        <f>IF(BY71=".",".",s_RadSpec!$F$29*(CY29*$B71))</f>
        <v>.</v>
      </c>
      <c r="CZ71" s="94" t="str">
        <f>IF(BZ71=".",".",s_RadSpec!$F$29*(CZ29*$B71))</f>
        <v>.</v>
      </c>
      <c r="DA71" s="94" t="str">
        <f>IF(CA71=".",".",s_RadSpec!$F$29*(DA29*$B71))</f>
        <v>.</v>
      </c>
      <c r="DB71" s="94" t="str">
        <f>IF(CB71=".",".",s_RadSpec!$F$29*(DB29*$B71))</f>
        <v>.</v>
      </c>
    </row>
    <row r="72" spans="1:106" s="42" customFormat="1" x14ac:dyDescent="0.25">
      <c r="A72" s="77" t="s">
        <v>1079</v>
      </c>
      <c r="B72" s="42">
        <v>1</v>
      </c>
      <c r="C72" s="60">
        <f t="shared" ref="C72:AB72" si="100">IFERROR(C16/$B58,".")</f>
        <v>16.221626499112627</v>
      </c>
      <c r="D72" s="60">
        <f t="shared" si="100"/>
        <v>64.012608375556056</v>
      </c>
      <c r="E72" s="60">
        <f t="shared" si="100"/>
        <v>31.745042599502412</v>
      </c>
      <c r="F72" s="60">
        <f t="shared" si="100"/>
        <v>59.67961275028162</v>
      </c>
      <c r="G72" s="60">
        <f t="shared" si="100"/>
        <v>64.012608375556056</v>
      </c>
      <c r="H72" s="60">
        <f t="shared" si="100"/>
        <v>59.67961275028162</v>
      </c>
      <c r="I72" s="60">
        <f t="shared" si="100"/>
        <v>31.745042599502412</v>
      </c>
      <c r="J72" s="60">
        <f t="shared" si="100"/>
        <v>59.67961275028162</v>
      </c>
      <c r="K72" s="60">
        <f t="shared" si="100"/>
        <v>64.012608375556056</v>
      </c>
      <c r="L72" s="60">
        <f t="shared" si="100"/>
        <v>73.390736652638168</v>
      </c>
      <c r="M72" s="60">
        <f t="shared" si="100"/>
        <v>59.67961275028162</v>
      </c>
      <c r="N72" s="60">
        <f t="shared" si="100"/>
        <v>31.745042599502412</v>
      </c>
      <c r="O72" s="60">
        <f t="shared" si="100"/>
        <v>68.701339311114978</v>
      </c>
      <c r="P72" s="60">
        <f t="shared" si="100"/>
        <v>59.67961275028162</v>
      </c>
      <c r="Q72" s="60">
        <f t="shared" si="100"/>
        <v>59.67961275028162</v>
      </c>
      <c r="R72" s="60">
        <f t="shared" si="100"/>
        <v>64.012608375556056</v>
      </c>
      <c r="S72" s="60">
        <f t="shared" si="100"/>
        <v>64.012608375556056</v>
      </c>
      <c r="T72" s="60">
        <f t="shared" si="100"/>
        <v>68.701339311114978</v>
      </c>
      <c r="U72" s="60">
        <f t="shared" si="100"/>
        <v>59.67961275028162</v>
      </c>
      <c r="V72" s="60">
        <f t="shared" si="100"/>
        <v>73.026010585977502</v>
      </c>
      <c r="W72" s="60">
        <f t="shared" si="100"/>
        <v>59.67961275028162</v>
      </c>
      <c r="X72" s="60">
        <f t="shared" si="100"/>
        <v>68.701339311114978</v>
      </c>
      <c r="Y72" s="60">
        <f t="shared" si="100"/>
        <v>64.012608375556056</v>
      </c>
      <c r="Z72" s="60">
        <f t="shared" si="100"/>
        <v>59.67961275028162</v>
      </c>
      <c r="AA72" s="60">
        <f t="shared" si="100"/>
        <v>74.519701637325213</v>
      </c>
      <c r="AB72" s="60">
        <f t="shared" si="100"/>
        <v>63.096394649006868</v>
      </c>
      <c r="AC72" s="94">
        <f t="shared" si="83"/>
        <v>1.5411524856257524</v>
      </c>
      <c r="AD72" s="94">
        <f>IF(D72=".",".",s_RadSpec!$F$16*(AD16*$B72))</f>
        <v>0.39054805974047041</v>
      </c>
      <c r="AE72" s="94">
        <f>IF(E72=".",".",s_RadSpec!$F$16*(AE16*$B72))</f>
        <v>0.78752453778064435</v>
      </c>
      <c r="AF72" s="94">
        <f>IF(F72=".",".",s_RadSpec!$F$16*(AF16*$B72))</f>
        <v>0.41890352245762569</v>
      </c>
      <c r="AG72" s="94">
        <f>IF(G72=".",".",s_RadSpec!$F$16*(AG16*$B72))</f>
        <v>0.39054805974047041</v>
      </c>
      <c r="AH72" s="94">
        <f>IF(H72=".",".",s_RadSpec!$F$16*(AH16*$B72))</f>
        <v>0.41890352245762569</v>
      </c>
      <c r="AI72" s="94">
        <f>IF(I72=".",".",s_RadSpec!$F$16*(AI16*$B72))</f>
        <v>0.78752453778064435</v>
      </c>
      <c r="AJ72" s="94">
        <f>IF(J72=".",".",s_RadSpec!$F$16*(AJ16*$B72))</f>
        <v>0.41890352245762569</v>
      </c>
      <c r="AK72" s="94">
        <f>IF(K72=".",".",s_RadSpec!$F$16*(AK16*$B72))</f>
        <v>0.39054805974047041</v>
      </c>
      <c r="AL72" s="94">
        <f>IF(L72=".",".",s_RadSpec!$F$16*(AL16*$B72))</f>
        <v>0.34064244535827715</v>
      </c>
      <c r="AM72" s="94">
        <f>IF(M72=".",".",s_RadSpec!$F$16*(AM16*$B72))</f>
        <v>0.41890352245762569</v>
      </c>
      <c r="AN72" s="94">
        <f>IF(N72=".",".",s_RadSpec!$F$16*(AN16*$B72))</f>
        <v>0.78752453778064435</v>
      </c>
      <c r="AO72" s="94">
        <f>IF(O72=".",".",s_RadSpec!$F$16*(AO16*$B72))</f>
        <v>0.36389392478634441</v>
      </c>
      <c r="AP72" s="94">
        <f>IF(P72=".",".",s_RadSpec!$F$16*(AP16*$B72))</f>
        <v>0.41890352245762569</v>
      </c>
      <c r="AQ72" s="94">
        <f>IF(Q72=".",".",s_RadSpec!$F$16*(AQ16*$B72))</f>
        <v>0.41890352245762569</v>
      </c>
      <c r="AR72" s="94">
        <f>IF(R72=".",".",s_RadSpec!$F$16*(AR16*$B72))</f>
        <v>0.39054805974047041</v>
      </c>
      <c r="AS72" s="94">
        <f>IF(S72=".",".",s_RadSpec!$F$16*(AS16*$B72))</f>
        <v>0.39054805974047041</v>
      </c>
      <c r="AT72" s="94">
        <f>IF(T72=".",".",s_RadSpec!$F$16*(AT16*$B72))</f>
        <v>0.36389392478634441</v>
      </c>
      <c r="AU72" s="94">
        <f>IF(U72=".",".",s_RadSpec!$F$16*(AU16*$B72))</f>
        <v>0.41890352245762569</v>
      </c>
      <c r="AV72" s="94">
        <f>IF(V72=".",".",s_RadSpec!$F$16*(AV16*$B72))</f>
        <v>0.34234377312130643</v>
      </c>
      <c r="AW72" s="94">
        <f>IF(W72=".",".",s_RadSpec!$F$16*(AW16*$B72))</f>
        <v>0.41890352245762569</v>
      </c>
      <c r="AX72" s="94">
        <f>IF(X72=".",".",s_RadSpec!$F$16*(AX16*$B72))</f>
        <v>0.36389392478634441</v>
      </c>
      <c r="AY72" s="94">
        <f>IF(Y72=".",".",s_RadSpec!$F$16*(AY16*$B72))</f>
        <v>0.39054805974047041</v>
      </c>
      <c r="AZ72" s="94">
        <f>IF(Z72=".",".",s_RadSpec!$F$16*(AZ16*$B72))</f>
        <v>0.41890352245762569</v>
      </c>
      <c r="BA72" s="94">
        <f>IF(AA72=".",".",s_RadSpec!$F$16*(BA16*$B72))</f>
        <v>0.33548175114375489</v>
      </c>
      <c r="BB72" s="94">
        <f>IF(AB72=".",".",s_RadSpec!$F$16*(BB16*$B72))</f>
        <v>0.39621915228390148</v>
      </c>
      <c r="BC72" s="60">
        <f t="shared" ref="BC72:CB72" si="101">IFERROR(BC16/$B58,".")</f>
        <v>16.221626499112627</v>
      </c>
      <c r="BD72" s="60">
        <f t="shared" si="101"/>
        <v>64.012608375556056</v>
      </c>
      <c r="BE72" s="60">
        <f t="shared" si="101"/>
        <v>31.745042599502412</v>
      </c>
      <c r="BF72" s="60">
        <f t="shared" si="101"/>
        <v>59.67961275028162</v>
      </c>
      <c r="BG72" s="60">
        <f t="shared" si="101"/>
        <v>64.012608375556056</v>
      </c>
      <c r="BH72" s="60">
        <f t="shared" si="101"/>
        <v>59.67961275028162</v>
      </c>
      <c r="BI72" s="60">
        <f t="shared" si="101"/>
        <v>31.745042599502412</v>
      </c>
      <c r="BJ72" s="60">
        <f t="shared" si="101"/>
        <v>59.67961275028162</v>
      </c>
      <c r="BK72" s="60">
        <f t="shared" si="101"/>
        <v>64.012608375556056</v>
      </c>
      <c r="BL72" s="60">
        <f t="shared" si="101"/>
        <v>73.390736652638168</v>
      </c>
      <c r="BM72" s="60">
        <f t="shared" si="101"/>
        <v>59.67961275028162</v>
      </c>
      <c r="BN72" s="60">
        <f t="shared" si="101"/>
        <v>31.745042599502412</v>
      </c>
      <c r="BO72" s="60">
        <f t="shared" si="101"/>
        <v>68.701339311114978</v>
      </c>
      <c r="BP72" s="60">
        <f t="shared" si="101"/>
        <v>59.67961275028162</v>
      </c>
      <c r="BQ72" s="60">
        <f t="shared" si="101"/>
        <v>59.67961275028162</v>
      </c>
      <c r="BR72" s="60">
        <f t="shared" si="101"/>
        <v>64.012608375556056</v>
      </c>
      <c r="BS72" s="60">
        <f t="shared" si="101"/>
        <v>64.012608375556056</v>
      </c>
      <c r="BT72" s="60">
        <f t="shared" si="101"/>
        <v>68.701339311114978</v>
      </c>
      <c r="BU72" s="60">
        <f t="shared" si="101"/>
        <v>59.67961275028162</v>
      </c>
      <c r="BV72" s="60">
        <f t="shared" si="101"/>
        <v>73.026010585977502</v>
      </c>
      <c r="BW72" s="60">
        <f t="shared" si="101"/>
        <v>59.67961275028162</v>
      </c>
      <c r="BX72" s="60">
        <f t="shared" si="101"/>
        <v>68.701339311114978</v>
      </c>
      <c r="BY72" s="60">
        <f t="shared" si="101"/>
        <v>64.012608375556056</v>
      </c>
      <c r="BZ72" s="60">
        <f t="shared" si="101"/>
        <v>59.67961275028162</v>
      </c>
      <c r="CA72" s="60">
        <f t="shared" si="101"/>
        <v>74.519701637325213</v>
      </c>
      <c r="CB72" s="60">
        <f t="shared" si="101"/>
        <v>63.096394649006868</v>
      </c>
      <c r="CC72" s="94">
        <f t="shared" si="85"/>
        <v>1.5411524856257524</v>
      </c>
      <c r="CD72" s="94">
        <f>IF(BD72=".",".",s_RadSpec!$F$16*(CD16*$B72))</f>
        <v>0.39054805974047041</v>
      </c>
      <c r="CE72" s="94">
        <f>IF(BE72=".",".",s_RadSpec!$F$16*(CE16*$B72))</f>
        <v>0.78752453778064435</v>
      </c>
      <c r="CF72" s="94">
        <f>IF(BF72=".",".",s_RadSpec!$F$16*(CF16*$B72))</f>
        <v>0.41890352245762569</v>
      </c>
      <c r="CG72" s="94">
        <f>IF(BG72=".",".",s_RadSpec!$F$16*(CG16*$B72))</f>
        <v>0.39054805974047041</v>
      </c>
      <c r="CH72" s="94">
        <f>IF(BH72=".",".",s_RadSpec!$F$16*(CH16*$B72))</f>
        <v>0.41890352245762569</v>
      </c>
      <c r="CI72" s="94">
        <f>IF(BI72=".",".",s_RadSpec!$F$16*(CI16*$B72))</f>
        <v>0.78752453778064435</v>
      </c>
      <c r="CJ72" s="94">
        <f>IF(BJ72=".",".",s_RadSpec!$F$16*(CJ16*$B72))</f>
        <v>0.41890352245762569</v>
      </c>
      <c r="CK72" s="94">
        <f>IF(BK72=".",".",s_RadSpec!$F$16*(CK16*$B72))</f>
        <v>0.39054805974047041</v>
      </c>
      <c r="CL72" s="94">
        <f>IF(BL72=".",".",s_RadSpec!$F$16*(CL16*$B72))</f>
        <v>0.34064244535827715</v>
      </c>
      <c r="CM72" s="94">
        <f>IF(BM72=".",".",s_RadSpec!$F$16*(CM16*$B72))</f>
        <v>0.41890352245762569</v>
      </c>
      <c r="CN72" s="94">
        <f>IF(BN72=".",".",s_RadSpec!$F$16*(CN16*$B72))</f>
        <v>0.78752453778064435</v>
      </c>
      <c r="CO72" s="94">
        <f>IF(BO72=".",".",s_RadSpec!$F$16*(CO16*$B72))</f>
        <v>0.36389392478634441</v>
      </c>
      <c r="CP72" s="94">
        <f>IF(BP72=".",".",s_RadSpec!$F$16*(CP16*$B72))</f>
        <v>0.41890352245762569</v>
      </c>
      <c r="CQ72" s="94">
        <f>IF(BQ72=".",".",s_RadSpec!$F$16*(CQ16*$B72))</f>
        <v>0.41890352245762569</v>
      </c>
      <c r="CR72" s="94">
        <f>IF(BR72=".",".",s_RadSpec!$F$16*(CR16*$B72))</f>
        <v>0.39054805974047041</v>
      </c>
      <c r="CS72" s="94">
        <f>IF(BS72=".",".",s_RadSpec!$F$16*(CS16*$B72))</f>
        <v>0.39054805974047041</v>
      </c>
      <c r="CT72" s="94">
        <f>IF(BT72=".",".",s_RadSpec!$F$16*(CT16*$B72))</f>
        <v>0.36389392478634441</v>
      </c>
      <c r="CU72" s="94">
        <f>IF(BU72=".",".",s_RadSpec!$F$16*(CU16*$B72))</f>
        <v>0.41890352245762569</v>
      </c>
      <c r="CV72" s="94">
        <f>IF(BV72=".",".",s_RadSpec!$F$16*(CV16*$B72))</f>
        <v>0.34234377312130643</v>
      </c>
      <c r="CW72" s="94">
        <f>IF(BW72=".",".",s_RadSpec!$F$16*(CW16*$B72))</f>
        <v>0.41890352245762569</v>
      </c>
      <c r="CX72" s="94">
        <f>IF(BX72=".",".",s_RadSpec!$F$16*(CX16*$B72))</f>
        <v>0.36389392478634441</v>
      </c>
      <c r="CY72" s="94">
        <f>IF(BY72=".",".",s_RadSpec!$F$16*(CY16*$B72))</f>
        <v>0.39054805974047041</v>
      </c>
      <c r="CZ72" s="94">
        <f>IF(BZ72=".",".",s_RadSpec!$F$16*(CZ16*$B72))</f>
        <v>0.41890352245762569</v>
      </c>
      <c r="DA72" s="94">
        <f>IF(CA72=".",".",s_RadSpec!$F$16*(DA16*$B72))</f>
        <v>0.33548175114375489</v>
      </c>
      <c r="DB72" s="94">
        <f>IF(CB72=".",".",s_RadSpec!$F$16*(DB16*$B72))</f>
        <v>0.39621915228390148</v>
      </c>
    </row>
    <row r="73" spans="1:106" s="42" customFormat="1" x14ac:dyDescent="0.25">
      <c r="A73" s="77" t="s">
        <v>1080</v>
      </c>
      <c r="B73" s="42">
        <v>1</v>
      </c>
      <c r="C73" s="60">
        <f t="shared" ref="C73:AB73" si="102">IFERROR(C7/$B59,".")</f>
        <v>3931.0515157028094</v>
      </c>
      <c r="D73" s="60">
        <f t="shared" si="102"/>
        <v>15724.206062811239</v>
      </c>
      <c r="E73" s="60">
        <f t="shared" si="102"/>
        <v>15724.206062811239</v>
      </c>
      <c r="F73" s="60">
        <f t="shared" si="102"/>
        <v>15724.206062811239</v>
      </c>
      <c r="G73" s="60">
        <f t="shared" si="102"/>
        <v>15724.206062811239</v>
      </c>
      <c r="H73" s="60">
        <f t="shared" si="102"/>
        <v>15724.206062811239</v>
      </c>
      <c r="I73" s="60">
        <f t="shared" si="102"/>
        <v>15724.206062811239</v>
      </c>
      <c r="J73" s="60">
        <f t="shared" si="102"/>
        <v>15724.206062811239</v>
      </c>
      <c r="K73" s="60">
        <f t="shared" si="102"/>
        <v>15724.206062811239</v>
      </c>
      <c r="L73" s="60">
        <f t="shared" si="102"/>
        <v>15724.206062811239</v>
      </c>
      <c r="M73" s="60">
        <f t="shared" si="102"/>
        <v>15724.206062811239</v>
      </c>
      <c r="N73" s="60">
        <f t="shared" si="102"/>
        <v>15724.206062811239</v>
      </c>
      <c r="O73" s="60">
        <f t="shared" si="102"/>
        <v>15724.206062811239</v>
      </c>
      <c r="P73" s="60">
        <f t="shared" si="102"/>
        <v>15724.206062811239</v>
      </c>
      <c r="Q73" s="60">
        <f t="shared" si="102"/>
        <v>15724.206062811239</v>
      </c>
      <c r="R73" s="60">
        <f t="shared" si="102"/>
        <v>15724.206062811239</v>
      </c>
      <c r="S73" s="60">
        <f t="shared" si="102"/>
        <v>15724.206062811239</v>
      </c>
      <c r="T73" s="60">
        <f t="shared" si="102"/>
        <v>15724.206062811239</v>
      </c>
      <c r="U73" s="60">
        <f t="shared" si="102"/>
        <v>15724.206062811239</v>
      </c>
      <c r="V73" s="60">
        <f t="shared" si="102"/>
        <v>15724.206062811239</v>
      </c>
      <c r="W73" s="60">
        <f t="shared" si="102"/>
        <v>15724.206062811239</v>
      </c>
      <c r="X73" s="60">
        <f t="shared" si="102"/>
        <v>15724.206062811239</v>
      </c>
      <c r="Y73" s="60">
        <f t="shared" si="102"/>
        <v>15724.206062811239</v>
      </c>
      <c r="Z73" s="60">
        <f t="shared" si="102"/>
        <v>15724.206062811239</v>
      </c>
      <c r="AA73" s="60">
        <f t="shared" si="102"/>
        <v>15724.206062811239</v>
      </c>
      <c r="AB73" s="60">
        <f t="shared" si="102"/>
        <v>15724.206062811239</v>
      </c>
      <c r="AC73" s="94">
        <f t="shared" si="83"/>
        <v>6.3596215669359905E-3</v>
      </c>
      <c r="AD73" s="94">
        <f>IF(D73=".",".",s_RadSpec!$F$7*(AD7*$B73))</f>
        <v>1.5899053917339976E-3</v>
      </c>
      <c r="AE73" s="94">
        <f>IF(E73=".",".",s_RadSpec!$F$7*(AE7*$B73))</f>
        <v>1.5899053917339976E-3</v>
      </c>
      <c r="AF73" s="94">
        <f>IF(F73=".",".",s_RadSpec!$F$7*(AF7*$B73))</f>
        <v>1.5899053917339976E-3</v>
      </c>
      <c r="AG73" s="94">
        <f>IF(G73=".",".",s_RadSpec!$F$7*(AG7*$B73))</f>
        <v>1.5899053917339976E-3</v>
      </c>
      <c r="AH73" s="94">
        <f>IF(H73=".",".",s_RadSpec!$F$7*(AH7*$B73))</f>
        <v>1.5899053917339976E-3</v>
      </c>
      <c r="AI73" s="94">
        <f>IF(I73=".",".",s_RadSpec!$F$7*(AI7*$B73))</f>
        <v>1.5899053917339976E-3</v>
      </c>
      <c r="AJ73" s="94">
        <f>IF(J73=".",".",s_RadSpec!$F$7*(AJ7*$B73))</f>
        <v>1.5899053917339976E-3</v>
      </c>
      <c r="AK73" s="94">
        <f>IF(K73=".",".",s_RadSpec!$F$7*(AK7*$B73))</f>
        <v>1.5899053917339976E-3</v>
      </c>
      <c r="AL73" s="94">
        <f>IF(L73=".",".",s_RadSpec!$F$7*(AL7*$B73))</f>
        <v>1.5899053917339976E-3</v>
      </c>
      <c r="AM73" s="94">
        <f>IF(M73=".",".",s_RadSpec!$F$7*(AM7*$B73))</f>
        <v>1.5899053917339976E-3</v>
      </c>
      <c r="AN73" s="94">
        <f>IF(N73=".",".",s_RadSpec!$F$7*(AN7*$B73))</f>
        <v>1.5899053917339976E-3</v>
      </c>
      <c r="AO73" s="94">
        <f>IF(O73=".",".",s_RadSpec!$F$7*(AO7*$B73))</f>
        <v>1.5899053917339976E-3</v>
      </c>
      <c r="AP73" s="94">
        <f>IF(P73=".",".",s_RadSpec!$F$7*(AP7*$B73))</f>
        <v>1.5899053917339976E-3</v>
      </c>
      <c r="AQ73" s="94">
        <f>IF(Q73=".",".",s_RadSpec!$F$7*(AQ7*$B73))</f>
        <v>1.5899053917339976E-3</v>
      </c>
      <c r="AR73" s="94">
        <f>IF(R73=".",".",s_RadSpec!$F$7*(AR7*$B73))</f>
        <v>1.5899053917339976E-3</v>
      </c>
      <c r="AS73" s="94">
        <f>IF(S73=".",".",s_RadSpec!$F$7*(AS7*$B73))</f>
        <v>1.5899053917339976E-3</v>
      </c>
      <c r="AT73" s="94">
        <f>IF(T73=".",".",s_RadSpec!$F$7*(AT7*$B73))</f>
        <v>1.5899053917339976E-3</v>
      </c>
      <c r="AU73" s="94">
        <f>IF(U73=".",".",s_RadSpec!$F$7*(AU7*$B73))</f>
        <v>1.5899053917339976E-3</v>
      </c>
      <c r="AV73" s="94">
        <f>IF(V73=".",".",s_RadSpec!$F$7*(AV7*$B73))</f>
        <v>1.5899053917339976E-3</v>
      </c>
      <c r="AW73" s="94">
        <f>IF(W73=".",".",s_RadSpec!$F$7*(AW7*$B73))</f>
        <v>1.5899053917339976E-3</v>
      </c>
      <c r="AX73" s="94">
        <f>IF(X73=".",".",s_RadSpec!$F$7*(AX7*$B73))</f>
        <v>1.5899053917339976E-3</v>
      </c>
      <c r="AY73" s="94">
        <f>IF(Y73=".",".",s_RadSpec!$F$7*(AY7*$B73))</f>
        <v>1.5899053917339976E-3</v>
      </c>
      <c r="AZ73" s="94">
        <f>IF(Z73=".",".",s_RadSpec!$F$7*(AZ7*$B73))</f>
        <v>1.5899053917339976E-3</v>
      </c>
      <c r="BA73" s="94">
        <f>IF(AA73=".",".",s_RadSpec!$F$7*(BA7*$B73))</f>
        <v>1.5899053917339976E-3</v>
      </c>
      <c r="BB73" s="94">
        <f>IF(AB73=".",".",s_RadSpec!$F$7*(BB7*$B73))</f>
        <v>1.5899053917339976E-3</v>
      </c>
      <c r="BC73" s="60">
        <f t="shared" ref="BC73:CB73" si="103">IFERROR(BC7/$B59,".")</f>
        <v>3931.0515157028094</v>
      </c>
      <c r="BD73" s="60">
        <f t="shared" si="103"/>
        <v>15724.206062811239</v>
      </c>
      <c r="BE73" s="60">
        <f t="shared" si="103"/>
        <v>15724.206062811239</v>
      </c>
      <c r="BF73" s="60">
        <f t="shared" si="103"/>
        <v>15724.206062811239</v>
      </c>
      <c r="BG73" s="60">
        <f t="shared" si="103"/>
        <v>15724.206062811239</v>
      </c>
      <c r="BH73" s="60">
        <f t="shared" si="103"/>
        <v>15724.206062811239</v>
      </c>
      <c r="BI73" s="60">
        <f t="shared" si="103"/>
        <v>15724.206062811239</v>
      </c>
      <c r="BJ73" s="60">
        <f t="shared" si="103"/>
        <v>15724.206062811239</v>
      </c>
      <c r="BK73" s="60">
        <f t="shared" si="103"/>
        <v>15724.206062811239</v>
      </c>
      <c r="BL73" s="60">
        <f t="shared" si="103"/>
        <v>15724.206062811239</v>
      </c>
      <c r="BM73" s="60">
        <f t="shared" si="103"/>
        <v>15724.206062811239</v>
      </c>
      <c r="BN73" s="60">
        <f t="shared" si="103"/>
        <v>15724.206062811239</v>
      </c>
      <c r="BO73" s="60">
        <f t="shared" si="103"/>
        <v>15724.206062811239</v>
      </c>
      <c r="BP73" s="60">
        <f t="shared" si="103"/>
        <v>15724.206062811239</v>
      </c>
      <c r="BQ73" s="60">
        <f t="shared" si="103"/>
        <v>15724.206062811239</v>
      </c>
      <c r="BR73" s="60">
        <f t="shared" si="103"/>
        <v>15724.206062811239</v>
      </c>
      <c r="BS73" s="60">
        <f t="shared" si="103"/>
        <v>15724.206062811239</v>
      </c>
      <c r="BT73" s="60">
        <f t="shared" si="103"/>
        <v>15724.206062811239</v>
      </c>
      <c r="BU73" s="60">
        <f t="shared" si="103"/>
        <v>15724.206062811239</v>
      </c>
      <c r="BV73" s="60">
        <f t="shared" si="103"/>
        <v>15724.206062811239</v>
      </c>
      <c r="BW73" s="60">
        <f t="shared" si="103"/>
        <v>15724.206062811239</v>
      </c>
      <c r="BX73" s="60">
        <f t="shared" si="103"/>
        <v>15724.206062811239</v>
      </c>
      <c r="BY73" s="60">
        <f t="shared" si="103"/>
        <v>15724.206062811239</v>
      </c>
      <c r="BZ73" s="60">
        <f t="shared" si="103"/>
        <v>15724.206062811239</v>
      </c>
      <c r="CA73" s="60">
        <f t="shared" si="103"/>
        <v>15724.206062811239</v>
      </c>
      <c r="CB73" s="60">
        <f t="shared" si="103"/>
        <v>15724.206062811239</v>
      </c>
      <c r="CC73" s="94">
        <f t="shared" si="85"/>
        <v>6.3596215669359905E-3</v>
      </c>
      <c r="CD73" s="94">
        <f>IF(BD73=".",".",s_RadSpec!$F$7*(CD7*$B73))</f>
        <v>1.5899053917339976E-3</v>
      </c>
      <c r="CE73" s="94">
        <f>IF(BE73=".",".",s_RadSpec!$F$7*(CE7*$B73))</f>
        <v>1.5899053917339976E-3</v>
      </c>
      <c r="CF73" s="94">
        <f>IF(BF73=".",".",s_RadSpec!$F$7*(CF7*$B73))</f>
        <v>1.5899053917339976E-3</v>
      </c>
      <c r="CG73" s="94">
        <f>IF(BG73=".",".",s_RadSpec!$F$7*(CG7*$B73))</f>
        <v>1.5899053917339976E-3</v>
      </c>
      <c r="CH73" s="94">
        <f>IF(BH73=".",".",s_RadSpec!$F$7*(CH7*$B73))</f>
        <v>1.5899053917339976E-3</v>
      </c>
      <c r="CI73" s="94">
        <f>IF(BI73=".",".",s_RadSpec!$F$7*(CI7*$B73))</f>
        <v>1.5899053917339976E-3</v>
      </c>
      <c r="CJ73" s="94">
        <f>IF(BJ73=".",".",s_RadSpec!$F$7*(CJ7*$B73))</f>
        <v>1.5899053917339976E-3</v>
      </c>
      <c r="CK73" s="94">
        <f>IF(BK73=".",".",s_RadSpec!$F$7*(CK7*$B73))</f>
        <v>1.5899053917339976E-3</v>
      </c>
      <c r="CL73" s="94">
        <f>IF(BL73=".",".",s_RadSpec!$F$7*(CL7*$B73))</f>
        <v>1.5899053917339976E-3</v>
      </c>
      <c r="CM73" s="94">
        <f>IF(BM73=".",".",s_RadSpec!$F$7*(CM7*$B73))</f>
        <v>1.5899053917339976E-3</v>
      </c>
      <c r="CN73" s="94">
        <f>IF(BN73=".",".",s_RadSpec!$F$7*(CN7*$B73))</f>
        <v>1.5899053917339976E-3</v>
      </c>
      <c r="CO73" s="94">
        <f>IF(BO73=".",".",s_RadSpec!$F$7*(CO7*$B73))</f>
        <v>1.5899053917339976E-3</v>
      </c>
      <c r="CP73" s="94">
        <f>IF(BP73=".",".",s_RadSpec!$F$7*(CP7*$B73))</f>
        <v>1.5899053917339976E-3</v>
      </c>
      <c r="CQ73" s="94">
        <f>IF(BQ73=".",".",s_RadSpec!$F$7*(CQ7*$B73))</f>
        <v>1.5899053917339976E-3</v>
      </c>
      <c r="CR73" s="94">
        <f>IF(BR73=".",".",s_RadSpec!$F$7*(CR7*$B73))</f>
        <v>1.5899053917339976E-3</v>
      </c>
      <c r="CS73" s="94">
        <f>IF(BS73=".",".",s_RadSpec!$F$7*(CS7*$B73))</f>
        <v>1.5899053917339976E-3</v>
      </c>
      <c r="CT73" s="94">
        <f>IF(BT73=".",".",s_RadSpec!$F$7*(CT7*$B73))</f>
        <v>1.5899053917339976E-3</v>
      </c>
      <c r="CU73" s="94">
        <f>IF(BU73=".",".",s_RadSpec!$F$7*(CU7*$B73))</f>
        <v>1.5899053917339976E-3</v>
      </c>
      <c r="CV73" s="94">
        <f>IF(BV73=".",".",s_RadSpec!$F$7*(CV7*$B73))</f>
        <v>1.5899053917339976E-3</v>
      </c>
      <c r="CW73" s="94">
        <f>IF(BW73=".",".",s_RadSpec!$F$7*(CW7*$B73))</f>
        <v>1.5899053917339976E-3</v>
      </c>
      <c r="CX73" s="94">
        <f>IF(BX73=".",".",s_RadSpec!$F$7*(CX7*$B73))</f>
        <v>1.5899053917339976E-3</v>
      </c>
      <c r="CY73" s="94">
        <f>IF(BY73=".",".",s_RadSpec!$F$7*(CY7*$B73))</f>
        <v>1.5899053917339976E-3</v>
      </c>
      <c r="CZ73" s="94">
        <f>IF(BZ73=".",".",s_RadSpec!$F$7*(CZ7*$B73))</f>
        <v>1.5899053917339976E-3</v>
      </c>
      <c r="DA73" s="94">
        <f>IF(CA73=".",".",s_RadSpec!$F$7*(DA7*$B73))</f>
        <v>1.5899053917339976E-3</v>
      </c>
      <c r="DB73" s="94">
        <f>IF(CB73=".",".",s_RadSpec!$F$7*(DB7*$B73))</f>
        <v>1.5899053917339976E-3</v>
      </c>
    </row>
    <row r="74" spans="1:106" s="42" customFormat="1" x14ac:dyDescent="0.25">
      <c r="A74" s="77" t="s">
        <v>1081</v>
      </c>
      <c r="B74" s="80">
        <v>1.9000000000000001E-8</v>
      </c>
      <c r="C74" s="60" t="str">
        <f t="shared" ref="C74:AB74" si="104">IFERROR(C12/$B60,".")</f>
        <v>.</v>
      </c>
      <c r="D74" s="60" t="str">
        <f t="shared" si="104"/>
        <v>.</v>
      </c>
      <c r="E74" s="60" t="str">
        <f t="shared" si="104"/>
        <v>.</v>
      </c>
      <c r="F74" s="60" t="str">
        <f t="shared" si="104"/>
        <v>.</v>
      </c>
      <c r="G74" s="60" t="str">
        <f t="shared" si="104"/>
        <v>.</v>
      </c>
      <c r="H74" s="60" t="str">
        <f t="shared" si="104"/>
        <v>.</v>
      </c>
      <c r="I74" s="60" t="str">
        <f t="shared" si="104"/>
        <v>.</v>
      </c>
      <c r="J74" s="60" t="str">
        <f t="shared" si="104"/>
        <v>.</v>
      </c>
      <c r="K74" s="60" t="str">
        <f t="shared" si="104"/>
        <v>.</v>
      </c>
      <c r="L74" s="60" t="str">
        <f t="shared" si="104"/>
        <v>.</v>
      </c>
      <c r="M74" s="60" t="str">
        <f t="shared" si="104"/>
        <v>.</v>
      </c>
      <c r="N74" s="60" t="str">
        <f t="shared" si="104"/>
        <v>.</v>
      </c>
      <c r="O74" s="60" t="str">
        <f t="shared" si="104"/>
        <v>.</v>
      </c>
      <c r="P74" s="60" t="str">
        <f t="shared" si="104"/>
        <v>.</v>
      </c>
      <c r="Q74" s="60" t="str">
        <f t="shared" si="104"/>
        <v>.</v>
      </c>
      <c r="R74" s="60" t="str">
        <f t="shared" si="104"/>
        <v>.</v>
      </c>
      <c r="S74" s="60" t="str">
        <f t="shared" si="104"/>
        <v>.</v>
      </c>
      <c r="T74" s="60" t="str">
        <f t="shared" si="104"/>
        <v>.</v>
      </c>
      <c r="U74" s="60" t="str">
        <f t="shared" si="104"/>
        <v>.</v>
      </c>
      <c r="V74" s="60" t="str">
        <f t="shared" si="104"/>
        <v>.</v>
      </c>
      <c r="W74" s="60" t="str">
        <f t="shared" si="104"/>
        <v>.</v>
      </c>
      <c r="X74" s="60" t="str">
        <f t="shared" si="104"/>
        <v>.</v>
      </c>
      <c r="Y74" s="60" t="str">
        <f t="shared" si="104"/>
        <v>.</v>
      </c>
      <c r="Z74" s="60" t="str">
        <f t="shared" si="104"/>
        <v>.</v>
      </c>
      <c r="AA74" s="60" t="str">
        <f t="shared" si="104"/>
        <v>.</v>
      </c>
      <c r="AB74" s="60" t="str">
        <f t="shared" si="104"/>
        <v>.</v>
      </c>
      <c r="AC74" s="94" t="str">
        <f t="shared" si="83"/>
        <v>.</v>
      </c>
      <c r="AD74" s="94" t="str">
        <f>IF(D74=".",".",s_RadSpec!$F$12*(AD12*$B74))</f>
        <v>.</v>
      </c>
      <c r="AE74" s="94" t="str">
        <f>IF(E74=".",".",s_RadSpec!$F$12*(AE12*$B74))</f>
        <v>.</v>
      </c>
      <c r="AF74" s="94" t="str">
        <f>IF(F74=".",".",s_RadSpec!$F$12*(AF12*$B74))</f>
        <v>.</v>
      </c>
      <c r="AG74" s="94" t="str">
        <f>IF(G74=".",".",s_RadSpec!$F$12*(AG12*$B74))</f>
        <v>.</v>
      </c>
      <c r="AH74" s="94" t="str">
        <f>IF(H74=".",".",s_RadSpec!$F$12*(AH12*$B74))</f>
        <v>.</v>
      </c>
      <c r="AI74" s="94" t="str">
        <f>IF(I74=".",".",s_RadSpec!$F$12*(AI12*$B74))</f>
        <v>.</v>
      </c>
      <c r="AJ74" s="94" t="str">
        <f>IF(J74=".",".",s_RadSpec!$F$12*(AJ12*$B74))</f>
        <v>.</v>
      </c>
      <c r="AK74" s="94" t="str">
        <f>IF(K74=".",".",s_RadSpec!$F$12*(AK12*$B74))</f>
        <v>.</v>
      </c>
      <c r="AL74" s="94" t="str">
        <f>IF(L74=".",".",s_RadSpec!$F$12*(AL12*$B74))</f>
        <v>.</v>
      </c>
      <c r="AM74" s="94" t="str">
        <f>IF(M74=".",".",s_RadSpec!$F$12*(AM12*$B74))</f>
        <v>.</v>
      </c>
      <c r="AN74" s="94" t="str">
        <f>IF(N74=".",".",s_RadSpec!$F$12*(AN12*$B74))</f>
        <v>.</v>
      </c>
      <c r="AO74" s="94" t="str">
        <f>IF(O74=".",".",s_RadSpec!$F$12*(AO12*$B74))</f>
        <v>.</v>
      </c>
      <c r="AP74" s="94" t="str">
        <f>IF(P74=".",".",s_RadSpec!$F$12*(AP12*$B74))</f>
        <v>.</v>
      </c>
      <c r="AQ74" s="94" t="str">
        <f>IF(Q74=".",".",s_RadSpec!$F$12*(AQ12*$B74))</f>
        <v>.</v>
      </c>
      <c r="AR74" s="94" t="str">
        <f>IF(R74=".",".",s_RadSpec!$F$12*(AR12*$B74))</f>
        <v>.</v>
      </c>
      <c r="AS74" s="94" t="str">
        <f>IF(S74=".",".",s_RadSpec!$F$12*(AS12*$B74))</f>
        <v>.</v>
      </c>
      <c r="AT74" s="94" t="str">
        <f>IF(T74=".",".",s_RadSpec!$F$12*(AT12*$B74))</f>
        <v>.</v>
      </c>
      <c r="AU74" s="94" t="str">
        <f>IF(U74=".",".",s_RadSpec!$F$12*(AU12*$B74))</f>
        <v>.</v>
      </c>
      <c r="AV74" s="94" t="str">
        <f>IF(V74=".",".",s_RadSpec!$F$12*(AV12*$B74))</f>
        <v>.</v>
      </c>
      <c r="AW74" s="94" t="str">
        <f>IF(W74=".",".",s_RadSpec!$F$12*(AW12*$B74))</f>
        <v>.</v>
      </c>
      <c r="AX74" s="94" t="str">
        <f>IF(X74=".",".",s_RadSpec!$F$12*(AX12*$B74))</f>
        <v>.</v>
      </c>
      <c r="AY74" s="94" t="str">
        <f>IF(Y74=".",".",s_RadSpec!$F$12*(AY12*$B74))</f>
        <v>.</v>
      </c>
      <c r="AZ74" s="94" t="str">
        <f>IF(Z74=".",".",s_RadSpec!$F$12*(AZ12*$B74))</f>
        <v>.</v>
      </c>
      <c r="BA74" s="94" t="str">
        <f>IF(AA74=".",".",s_RadSpec!$F$12*(BA12*$B74))</f>
        <v>.</v>
      </c>
      <c r="BB74" s="94" t="str">
        <f>IF(AB74=".",".",s_RadSpec!$F$12*(BB12*$B74))</f>
        <v>.</v>
      </c>
      <c r="BC74" s="60" t="str">
        <f t="shared" ref="BC74:CB74" si="105">IFERROR(BC12/$B60,".")</f>
        <v>.</v>
      </c>
      <c r="BD74" s="60" t="str">
        <f t="shared" si="105"/>
        <v>.</v>
      </c>
      <c r="BE74" s="60" t="str">
        <f t="shared" si="105"/>
        <v>.</v>
      </c>
      <c r="BF74" s="60" t="str">
        <f t="shared" si="105"/>
        <v>.</v>
      </c>
      <c r="BG74" s="60" t="str">
        <f t="shared" si="105"/>
        <v>.</v>
      </c>
      <c r="BH74" s="60" t="str">
        <f t="shared" si="105"/>
        <v>.</v>
      </c>
      <c r="BI74" s="60" t="str">
        <f t="shared" si="105"/>
        <v>.</v>
      </c>
      <c r="BJ74" s="60" t="str">
        <f t="shared" si="105"/>
        <v>.</v>
      </c>
      <c r="BK74" s="60" t="str">
        <f t="shared" si="105"/>
        <v>.</v>
      </c>
      <c r="BL74" s="60" t="str">
        <f t="shared" si="105"/>
        <v>.</v>
      </c>
      <c r="BM74" s="60" t="str">
        <f t="shared" si="105"/>
        <v>.</v>
      </c>
      <c r="BN74" s="60" t="str">
        <f t="shared" si="105"/>
        <v>.</v>
      </c>
      <c r="BO74" s="60" t="str">
        <f t="shared" si="105"/>
        <v>.</v>
      </c>
      <c r="BP74" s="60" t="str">
        <f t="shared" si="105"/>
        <v>.</v>
      </c>
      <c r="BQ74" s="60" t="str">
        <f t="shared" si="105"/>
        <v>.</v>
      </c>
      <c r="BR74" s="60" t="str">
        <f t="shared" si="105"/>
        <v>.</v>
      </c>
      <c r="BS74" s="60" t="str">
        <f t="shared" si="105"/>
        <v>.</v>
      </c>
      <c r="BT74" s="60" t="str">
        <f t="shared" si="105"/>
        <v>.</v>
      </c>
      <c r="BU74" s="60" t="str">
        <f t="shared" si="105"/>
        <v>.</v>
      </c>
      <c r="BV74" s="60" t="str">
        <f t="shared" si="105"/>
        <v>.</v>
      </c>
      <c r="BW74" s="60" t="str">
        <f t="shared" si="105"/>
        <v>.</v>
      </c>
      <c r="BX74" s="60" t="str">
        <f t="shared" si="105"/>
        <v>.</v>
      </c>
      <c r="BY74" s="60" t="str">
        <f t="shared" si="105"/>
        <v>.</v>
      </c>
      <c r="BZ74" s="60" t="str">
        <f t="shared" si="105"/>
        <v>.</v>
      </c>
      <c r="CA74" s="60" t="str">
        <f t="shared" si="105"/>
        <v>.</v>
      </c>
      <c r="CB74" s="60" t="str">
        <f t="shared" si="105"/>
        <v>.</v>
      </c>
      <c r="CC74" s="94" t="str">
        <f t="shared" si="85"/>
        <v>.</v>
      </c>
      <c r="CD74" s="94" t="str">
        <f>IF(BD74=".",".",s_RadSpec!$F$12*(CD12*$B74))</f>
        <v>.</v>
      </c>
      <c r="CE74" s="94" t="str">
        <f>IF(BE74=".",".",s_RadSpec!$F$12*(CE12*$B74))</f>
        <v>.</v>
      </c>
      <c r="CF74" s="94" t="str">
        <f>IF(BF74=".",".",s_RadSpec!$F$12*(CF12*$B74))</f>
        <v>.</v>
      </c>
      <c r="CG74" s="94" t="str">
        <f>IF(BG74=".",".",s_RadSpec!$F$12*(CG12*$B74))</f>
        <v>.</v>
      </c>
      <c r="CH74" s="94" t="str">
        <f>IF(BH74=".",".",s_RadSpec!$F$12*(CH12*$B74))</f>
        <v>.</v>
      </c>
      <c r="CI74" s="94" t="str">
        <f>IF(BI74=".",".",s_RadSpec!$F$12*(CI12*$B74))</f>
        <v>.</v>
      </c>
      <c r="CJ74" s="94" t="str">
        <f>IF(BJ74=".",".",s_RadSpec!$F$12*(CJ12*$B74))</f>
        <v>.</v>
      </c>
      <c r="CK74" s="94" t="str">
        <f>IF(BK74=".",".",s_RadSpec!$F$12*(CK12*$B74))</f>
        <v>.</v>
      </c>
      <c r="CL74" s="94" t="str">
        <f>IF(BL74=".",".",s_RadSpec!$F$12*(CL12*$B74))</f>
        <v>.</v>
      </c>
      <c r="CM74" s="94" t="str">
        <f>IF(BM74=".",".",s_RadSpec!$F$12*(CM12*$B74))</f>
        <v>.</v>
      </c>
      <c r="CN74" s="94" t="str">
        <f>IF(BN74=".",".",s_RadSpec!$F$12*(CN12*$B74))</f>
        <v>.</v>
      </c>
      <c r="CO74" s="94" t="str">
        <f>IF(BO74=".",".",s_RadSpec!$F$12*(CO12*$B74))</f>
        <v>.</v>
      </c>
      <c r="CP74" s="94" t="str">
        <f>IF(BP74=".",".",s_RadSpec!$F$12*(CP12*$B74))</f>
        <v>.</v>
      </c>
      <c r="CQ74" s="94" t="str">
        <f>IF(BQ74=".",".",s_RadSpec!$F$12*(CQ12*$B74))</f>
        <v>.</v>
      </c>
      <c r="CR74" s="94" t="str">
        <f>IF(BR74=".",".",s_RadSpec!$F$12*(CR12*$B74))</f>
        <v>.</v>
      </c>
      <c r="CS74" s="94" t="str">
        <f>IF(BS74=".",".",s_RadSpec!$F$12*(CS12*$B74))</f>
        <v>.</v>
      </c>
      <c r="CT74" s="94" t="str">
        <f>IF(BT74=".",".",s_RadSpec!$F$12*(CT12*$B74))</f>
        <v>.</v>
      </c>
      <c r="CU74" s="94" t="str">
        <f>IF(BU74=".",".",s_RadSpec!$F$12*(CU12*$B74))</f>
        <v>.</v>
      </c>
      <c r="CV74" s="94" t="str">
        <f>IF(BV74=".",".",s_RadSpec!$F$12*(CV12*$B74))</f>
        <v>.</v>
      </c>
      <c r="CW74" s="94" t="str">
        <f>IF(BW74=".",".",s_RadSpec!$F$12*(CW12*$B74))</f>
        <v>.</v>
      </c>
      <c r="CX74" s="94" t="str">
        <f>IF(BX74=".",".",s_RadSpec!$F$12*(CX12*$B74))</f>
        <v>.</v>
      </c>
      <c r="CY74" s="94" t="str">
        <f>IF(BY74=".",".",s_RadSpec!$F$12*(CY12*$B74))</f>
        <v>.</v>
      </c>
      <c r="CZ74" s="94" t="str">
        <f>IF(BZ74=".",".",s_RadSpec!$F$12*(CZ12*$B74))</f>
        <v>.</v>
      </c>
      <c r="DA74" s="94" t="str">
        <f>IF(CA74=".",".",s_RadSpec!$F$12*(DA12*$B74))</f>
        <v>.</v>
      </c>
      <c r="DB74" s="94" t="str">
        <f>IF(CB74=".",".",s_RadSpec!$F$12*(DB12*$B74))</f>
        <v>.</v>
      </c>
    </row>
    <row r="75" spans="1:106" s="42" customFormat="1" x14ac:dyDescent="0.25">
      <c r="A75" s="77" t="s">
        <v>1082</v>
      </c>
      <c r="B75" s="42">
        <v>1</v>
      </c>
      <c r="C75" s="60">
        <f t="shared" ref="C75:AB75" si="106">IFERROR(C18/$B61,".")</f>
        <v>10.314578800703334</v>
      </c>
      <c r="D75" s="60">
        <f t="shared" si="106"/>
        <v>43.500521608732512</v>
      </c>
      <c r="E75" s="60">
        <f t="shared" si="106"/>
        <v>38.7740919443347</v>
      </c>
      <c r="F75" s="60">
        <f t="shared" si="106"/>
        <v>39.733454007359143</v>
      </c>
      <c r="G75" s="60">
        <f t="shared" si="106"/>
        <v>43.500521608732512</v>
      </c>
      <c r="H75" s="60">
        <f t="shared" si="106"/>
        <v>43.500521608732512</v>
      </c>
      <c r="I75" s="60">
        <f t="shared" si="106"/>
        <v>38.7740919443347</v>
      </c>
      <c r="J75" s="60">
        <f t="shared" si="106"/>
        <v>39.733454007359143</v>
      </c>
      <c r="K75" s="60">
        <f t="shared" si="106"/>
        <v>43.500521608732512</v>
      </c>
      <c r="L75" s="60">
        <f t="shared" si="106"/>
        <v>43.471082848465379</v>
      </c>
      <c r="M75" s="60">
        <f t="shared" si="106"/>
        <v>43.500521608732512</v>
      </c>
      <c r="N75" s="60">
        <f t="shared" si="106"/>
        <v>38.7740919443347</v>
      </c>
      <c r="O75" s="60">
        <f t="shared" si="106"/>
        <v>43.449029913325383</v>
      </c>
      <c r="P75" s="60">
        <f t="shared" si="106"/>
        <v>43.500521608732512</v>
      </c>
      <c r="Q75" s="60">
        <f t="shared" si="106"/>
        <v>39.733454007359143</v>
      </c>
      <c r="R75" s="60">
        <f t="shared" si="106"/>
        <v>43.500521608732512</v>
      </c>
      <c r="S75" s="60">
        <f t="shared" si="106"/>
        <v>43.500521608732512</v>
      </c>
      <c r="T75" s="60">
        <f t="shared" si="106"/>
        <v>43.449029913325383</v>
      </c>
      <c r="U75" s="60">
        <f t="shared" si="106"/>
        <v>43.500521608732512</v>
      </c>
      <c r="V75" s="60">
        <f t="shared" si="106"/>
        <v>41.734116547734914</v>
      </c>
      <c r="W75" s="60">
        <f t="shared" si="106"/>
        <v>43.500521608732512</v>
      </c>
      <c r="X75" s="60">
        <f t="shared" si="106"/>
        <v>43.449029913325383</v>
      </c>
      <c r="Y75" s="60">
        <f t="shared" si="106"/>
        <v>43.500521608732512</v>
      </c>
      <c r="Z75" s="60">
        <f t="shared" si="106"/>
        <v>43.500521608732512</v>
      </c>
      <c r="AA75" s="60">
        <f t="shared" si="106"/>
        <v>35.752725382223296</v>
      </c>
      <c r="AB75" s="60">
        <f t="shared" si="106"/>
        <v>43.471082848465379</v>
      </c>
      <c r="AC75" s="94">
        <f t="shared" si="83"/>
        <v>2.4237538423086455</v>
      </c>
      <c r="AD75" s="94">
        <f>IF(D75=".",".",s_RadSpec!$F$18*(AD18*$B75))</f>
        <v>0.57470575237841237</v>
      </c>
      <c r="AE75" s="94">
        <f>IF(E75=".",".",s_RadSpec!$F$18*(AE18*$B75))</f>
        <v>0.6447604249737372</v>
      </c>
      <c r="AF75" s="94">
        <f>IF(F75=".",".",s_RadSpec!$F$18*(AF18*$B75))</f>
        <v>0.62919271995255388</v>
      </c>
      <c r="AG75" s="94">
        <f>IF(G75=".",".",s_RadSpec!$F$18*(AG18*$B75))</f>
        <v>0.57470575237841237</v>
      </c>
      <c r="AH75" s="94">
        <f>IF(H75=".",".",s_RadSpec!$F$18*(AH18*$B75))</f>
        <v>0.57470575237841237</v>
      </c>
      <c r="AI75" s="94">
        <f>IF(I75=".",".",s_RadSpec!$F$18*(AI18*$B75))</f>
        <v>0.6447604249737372</v>
      </c>
      <c r="AJ75" s="94">
        <f>IF(J75=".",".",s_RadSpec!$F$18*(AJ18*$B75))</f>
        <v>0.62919271995255388</v>
      </c>
      <c r="AK75" s="94">
        <f>IF(K75=".",".",s_RadSpec!$F$18*(AK18*$B75))</f>
        <v>0.57470575237841237</v>
      </c>
      <c r="AL75" s="94">
        <f>IF(L75=".",".",s_RadSpec!$F$18*(AL18*$B75))</f>
        <v>0.57509494500394198</v>
      </c>
      <c r="AM75" s="94">
        <f>IF(M75=".",".",s_RadSpec!$F$18*(AM18*$B75))</f>
        <v>0.57470575237841237</v>
      </c>
      <c r="AN75" s="94">
        <f>IF(N75=".",".",s_RadSpec!$F$18*(AN18*$B75))</f>
        <v>0.6447604249737372</v>
      </c>
      <c r="AO75" s="94">
        <f>IF(O75=".",".",s_RadSpec!$F$18*(AO18*$B75))</f>
        <v>0.57538683947308911</v>
      </c>
      <c r="AP75" s="94">
        <f>IF(P75=".",".",s_RadSpec!$F$18*(AP18*$B75))</f>
        <v>0.57470575237841237</v>
      </c>
      <c r="AQ75" s="94">
        <f>IF(Q75=".",".",s_RadSpec!$F$18*(AQ18*$B75))</f>
        <v>0.62919271995255388</v>
      </c>
      <c r="AR75" s="94">
        <f>IF(R75=".",".",s_RadSpec!$F$18*(AR18*$B75))</f>
        <v>0.57470575237841237</v>
      </c>
      <c r="AS75" s="94">
        <f>IF(S75=".",".",s_RadSpec!$F$18*(AS18*$B75))</f>
        <v>0.57470575237841237</v>
      </c>
      <c r="AT75" s="94">
        <f>IF(T75=".",".",s_RadSpec!$F$18*(AT18*$B75))</f>
        <v>0.57538683947308911</v>
      </c>
      <c r="AU75" s="94">
        <f>IF(U75=".",".",s_RadSpec!$F$18*(AU18*$B75))</f>
        <v>0.57470575237841237</v>
      </c>
      <c r="AV75" s="94">
        <f>IF(V75=".",".",s_RadSpec!$F$18*(AV18*$B75))</f>
        <v>0.59903029147401121</v>
      </c>
      <c r="AW75" s="94">
        <f>IF(W75=".",".",s_RadSpec!$F$18*(AW18*$B75))</f>
        <v>0.57470575237841237</v>
      </c>
      <c r="AX75" s="94">
        <f>IF(X75=".",".",s_RadSpec!$F$18*(AX18*$B75))</f>
        <v>0.57538683947308911</v>
      </c>
      <c r="AY75" s="94">
        <f>IF(Y75=".",".",s_RadSpec!$F$18*(AY18*$B75))</f>
        <v>0.57470575237841237</v>
      </c>
      <c r="AZ75" s="94">
        <f>IF(Z75=".",".",s_RadSpec!$F$18*(AZ18*$B75))</f>
        <v>0.57470575237841237</v>
      </c>
      <c r="BA75" s="94">
        <f>IF(AA75=".",".",s_RadSpec!$F$18*(BA18*$B75))</f>
        <v>0.69924739254787871</v>
      </c>
      <c r="BB75" s="94">
        <f>IF(AB75=".",".",s_RadSpec!$F$18*(BB18*$B75))</f>
        <v>0.57509494500394198</v>
      </c>
      <c r="BC75" s="60">
        <f t="shared" ref="BC75:CB75" si="107">IFERROR(BC18/$B61,".")</f>
        <v>10.314578800703334</v>
      </c>
      <c r="BD75" s="60">
        <f t="shared" si="107"/>
        <v>43.500521608732512</v>
      </c>
      <c r="BE75" s="60">
        <f t="shared" si="107"/>
        <v>38.7740919443347</v>
      </c>
      <c r="BF75" s="60">
        <f t="shared" si="107"/>
        <v>39.733454007359143</v>
      </c>
      <c r="BG75" s="60">
        <f t="shared" si="107"/>
        <v>43.500521608732512</v>
      </c>
      <c r="BH75" s="60">
        <f t="shared" si="107"/>
        <v>43.500521608732512</v>
      </c>
      <c r="BI75" s="60">
        <f t="shared" si="107"/>
        <v>38.7740919443347</v>
      </c>
      <c r="BJ75" s="60">
        <f t="shared" si="107"/>
        <v>39.733454007359143</v>
      </c>
      <c r="BK75" s="60">
        <f t="shared" si="107"/>
        <v>43.500521608732512</v>
      </c>
      <c r="BL75" s="60">
        <f t="shared" si="107"/>
        <v>43.471082848465379</v>
      </c>
      <c r="BM75" s="60">
        <f t="shared" si="107"/>
        <v>43.500521608732512</v>
      </c>
      <c r="BN75" s="60">
        <f t="shared" si="107"/>
        <v>38.7740919443347</v>
      </c>
      <c r="BO75" s="60">
        <f t="shared" si="107"/>
        <v>43.449029913325383</v>
      </c>
      <c r="BP75" s="60">
        <f t="shared" si="107"/>
        <v>43.500521608732512</v>
      </c>
      <c r="BQ75" s="60">
        <f t="shared" si="107"/>
        <v>39.733454007359143</v>
      </c>
      <c r="BR75" s="60">
        <f t="shared" si="107"/>
        <v>43.500521608732512</v>
      </c>
      <c r="BS75" s="60">
        <f t="shared" si="107"/>
        <v>43.500521608732512</v>
      </c>
      <c r="BT75" s="60">
        <f t="shared" si="107"/>
        <v>43.449029913325383</v>
      </c>
      <c r="BU75" s="60">
        <f t="shared" si="107"/>
        <v>43.500521608732512</v>
      </c>
      <c r="BV75" s="60">
        <f t="shared" si="107"/>
        <v>41.734116547734914</v>
      </c>
      <c r="BW75" s="60">
        <f t="shared" si="107"/>
        <v>43.500521608732512</v>
      </c>
      <c r="BX75" s="60">
        <f t="shared" si="107"/>
        <v>43.449029913325383</v>
      </c>
      <c r="BY75" s="60">
        <f t="shared" si="107"/>
        <v>43.500521608732512</v>
      </c>
      <c r="BZ75" s="60">
        <f t="shared" si="107"/>
        <v>43.500521608732512</v>
      </c>
      <c r="CA75" s="60">
        <f t="shared" si="107"/>
        <v>35.752725382223296</v>
      </c>
      <c r="CB75" s="60">
        <f t="shared" si="107"/>
        <v>43.471082848465379</v>
      </c>
      <c r="CC75" s="94">
        <f t="shared" si="85"/>
        <v>2.4237538423086455</v>
      </c>
      <c r="CD75" s="94">
        <f>IF(BD75=".",".",s_RadSpec!$F$18*(CD18*$B75))</f>
        <v>0.57470575237841237</v>
      </c>
      <c r="CE75" s="94">
        <f>IF(BE75=".",".",s_RadSpec!$F$18*(CE18*$B75))</f>
        <v>0.6447604249737372</v>
      </c>
      <c r="CF75" s="94">
        <f>IF(BF75=".",".",s_RadSpec!$F$18*(CF18*$B75))</f>
        <v>0.62919271995255388</v>
      </c>
      <c r="CG75" s="94">
        <f>IF(BG75=".",".",s_RadSpec!$F$18*(CG18*$B75))</f>
        <v>0.57470575237841237</v>
      </c>
      <c r="CH75" s="94">
        <f>IF(BH75=".",".",s_RadSpec!$F$18*(CH18*$B75))</f>
        <v>0.57470575237841237</v>
      </c>
      <c r="CI75" s="94">
        <f>IF(BI75=".",".",s_RadSpec!$F$18*(CI18*$B75))</f>
        <v>0.6447604249737372</v>
      </c>
      <c r="CJ75" s="94">
        <f>IF(BJ75=".",".",s_RadSpec!$F$18*(CJ18*$B75))</f>
        <v>0.62919271995255388</v>
      </c>
      <c r="CK75" s="94">
        <f>IF(BK75=".",".",s_RadSpec!$F$18*(CK18*$B75))</f>
        <v>0.57470575237841237</v>
      </c>
      <c r="CL75" s="94">
        <f>IF(BL75=".",".",s_RadSpec!$F$18*(CL18*$B75))</f>
        <v>0.57509494500394198</v>
      </c>
      <c r="CM75" s="94">
        <f>IF(BM75=".",".",s_RadSpec!$F$18*(CM18*$B75))</f>
        <v>0.57470575237841237</v>
      </c>
      <c r="CN75" s="94">
        <f>IF(BN75=".",".",s_RadSpec!$F$18*(CN18*$B75))</f>
        <v>0.6447604249737372</v>
      </c>
      <c r="CO75" s="94">
        <f>IF(BO75=".",".",s_RadSpec!$F$18*(CO18*$B75))</f>
        <v>0.57538683947308911</v>
      </c>
      <c r="CP75" s="94">
        <f>IF(BP75=".",".",s_RadSpec!$F$18*(CP18*$B75))</f>
        <v>0.57470575237841237</v>
      </c>
      <c r="CQ75" s="94">
        <f>IF(BQ75=".",".",s_RadSpec!$F$18*(CQ18*$B75))</f>
        <v>0.62919271995255388</v>
      </c>
      <c r="CR75" s="94">
        <f>IF(BR75=".",".",s_RadSpec!$F$18*(CR18*$B75))</f>
        <v>0.57470575237841237</v>
      </c>
      <c r="CS75" s="94">
        <f>IF(BS75=".",".",s_RadSpec!$F$18*(CS18*$B75))</f>
        <v>0.57470575237841237</v>
      </c>
      <c r="CT75" s="94">
        <f>IF(BT75=".",".",s_RadSpec!$F$18*(CT18*$B75))</f>
        <v>0.57538683947308911</v>
      </c>
      <c r="CU75" s="94">
        <f>IF(BU75=".",".",s_RadSpec!$F$18*(CU18*$B75))</f>
        <v>0.57470575237841237</v>
      </c>
      <c r="CV75" s="94">
        <f>IF(BV75=".",".",s_RadSpec!$F$18*(CV18*$B75))</f>
        <v>0.59903029147401121</v>
      </c>
      <c r="CW75" s="94">
        <f>IF(BW75=".",".",s_RadSpec!$F$18*(CW18*$B75))</f>
        <v>0.57470575237841237</v>
      </c>
      <c r="CX75" s="94">
        <f>IF(BX75=".",".",s_RadSpec!$F$18*(CX18*$B75))</f>
        <v>0.57538683947308911</v>
      </c>
      <c r="CY75" s="94">
        <f>IF(BY75=".",".",s_RadSpec!$F$18*(CY18*$B75))</f>
        <v>0.57470575237841237</v>
      </c>
      <c r="CZ75" s="94">
        <f>IF(BZ75=".",".",s_RadSpec!$F$18*(CZ18*$B75))</f>
        <v>0.57470575237841237</v>
      </c>
      <c r="DA75" s="94">
        <f>IF(CA75=".",".",s_RadSpec!$F$18*(DA18*$B75))</f>
        <v>0.69924739254787871</v>
      </c>
      <c r="DB75" s="94">
        <f>IF(CB75=".",".",s_RadSpec!$F$18*(DB18*$B75))</f>
        <v>0.57509494500394198</v>
      </c>
    </row>
    <row r="76" spans="1:106" s="42" customFormat="1" x14ac:dyDescent="0.25">
      <c r="A76" s="77" t="s">
        <v>1083</v>
      </c>
      <c r="B76" s="42">
        <v>1.339E-6</v>
      </c>
      <c r="C76" s="60" t="str">
        <f t="shared" ref="C76:AB76" si="108">IFERROR(C27/$B62,".")</f>
        <v>.</v>
      </c>
      <c r="D76" s="60" t="str">
        <f t="shared" si="108"/>
        <v>.</v>
      </c>
      <c r="E76" s="60" t="str">
        <f t="shared" si="108"/>
        <v>.</v>
      </c>
      <c r="F76" s="60" t="str">
        <f t="shared" si="108"/>
        <v>.</v>
      </c>
      <c r="G76" s="60" t="str">
        <f t="shared" si="108"/>
        <v>.</v>
      </c>
      <c r="H76" s="60" t="str">
        <f t="shared" si="108"/>
        <v>.</v>
      </c>
      <c r="I76" s="60" t="str">
        <f t="shared" si="108"/>
        <v>.</v>
      </c>
      <c r="J76" s="60" t="str">
        <f t="shared" si="108"/>
        <v>.</v>
      </c>
      <c r="K76" s="60" t="str">
        <f t="shared" si="108"/>
        <v>.</v>
      </c>
      <c r="L76" s="60" t="str">
        <f t="shared" si="108"/>
        <v>.</v>
      </c>
      <c r="M76" s="60" t="str">
        <f t="shared" si="108"/>
        <v>.</v>
      </c>
      <c r="N76" s="60" t="str">
        <f t="shared" si="108"/>
        <v>.</v>
      </c>
      <c r="O76" s="60" t="str">
        <f t="shared" si="108"/>
        <v>.</v>
      </c>
      <c r="P76" s="60" t="str">
        <f t="shared" si="108"/>
        <v>.</v>
      </c>
      <c r="Q76" s="60" t="str">
        <f t="shared" si="108"/>
        <v>.</v>
      </c>
      <c r="R76" s="60" t="str">
        <f t="shared" si="108"/>
        <v>.</v>
      </c>
      <c r="S76" s="60" t="str">
        <f t="shared" si="108"/>
        <v>.</v>
      </c>
      <c r="T76" s="60" t="str">
        <f t="shared" si="108"/>
        <v>.</v>
      </c>
      <c r="U76" s="60" t="str">
        <f t="shared" si="108"/>
        <v>.</v>
      </c>
      <c r="V76" s="60" t="str">
        <f t="shared" si="108"/>
        <v>.</v>
      </c>
      <c r="W76" s="60" t="str">
        <f t="shared" si="108"/>
        <v>.</v>
      </c>
      <c r="X76" s="60" t="str">
        <f t="shared" si="108"/>
        <v>.</v>
      </c>
      <c r="Y76" s="60" t="str">
        <f t="shared" si="108"/>
        <v>.</v>
      </c>
      <c r="Z76" s="60" t="str">
        <f t="shared" si="108"/>
        <v>.</v>
      </c>
      <c r="AA76" s="60" t="str">
        <f t="shared" si="108"/>
        <v>.</v>
      </c>
      <c r="AB76" s="60" t="str">
        <f t="shared" si="108"/>
        <v>.</v>
      </c>
      <c r="AC76" s="94" t="str">
        <f t="shared" si="83"/>
        <v>.</v>
      </c>
      <c r="AD76" s="94" t="str">
        <f>IF(D76=".",".",s_RadSpec!$F$27*(AD27*$B76))</f>
        <v>.</v>
      </c>
      <c r="AE76" s="94" t="str">
        <f>IF(E76=".",".",s_RadSpec!$F$27*(AE27*$B76))</f>
        <v>.</v>
      </c>
      <c r="AF76" s="94" t="str">
        <f>IF(F76=".",".",s_RadSpec!$F$27*(AF27*$B76))</f>
        <v>.</v>
      </c>
      <c r="AG76" s="94" t="str">
        <f>IF(G76=".",".",s_RadSpec!$F$27*(AG27*$B76))</f>
        <v>.</v>
      </c>
      <c r="AH76" s="94" t="str">
        <f>IF(H76=".",".",s_RadSpec!$F$27*(AH27*$B76))</f>
        <v>.</v>
      </c>
      <c r="AI76" s="94" t="str">
        <f>IF(I76=".",".",s_RadSpec!$F$27*(AI27*$B76))</f>
        <v>.</v>
      </c>
      <c r="AJ76" s="94" t="str">
        <f>IF(J76=".",".",s_RadSpec!$F$27*(AJ27*$B76))</f>
        <v>.</v>
      </c>
      <c r="AK76" s="94" t="str">
        <f>IF(K76=".",".",s_RadSpec!$F$27*(AK27*$B76))</f>
        <v>.</v>
      </c>
      <c r="AL76" s="94" t="str">
        <f>IF(L76=".",".",s_RadSpec!$F$27*(AL27*$B76))</f>
        <v>.</v>
      </c>
      <c r="AM76" s="94" t="str">
        <f>IF(M76=".",".",s_RadSpec!$F$27*(AM27*$B76))</f>
        <v>.</v>
      </c>
      <c r="AN76" s="94" t="str">
        <f>IF(N76=".",".",s_RadSpec!$F$27*(AN27*$B76))</f>
        <v>.</v>
      </c>
      <c r="AO76" s="94" t="str">
        <f>IF(O76=".",".",s_RadSpec!$F$27*(AO27*$B76))</f>
        <v>.</v>
      </c>
      <c r="AP76" s="94" t="str">
        <f>IF(P76=".",".",s_RadSpec!$F$27*(AP27*$B76))</f>
        <v>.</v>
      </c>
      <c r="AQ76" s="94" t="str">
        <f>IF(Q76=".",".",s_RadSpec!$F$27*(AQ27*$B76))</f>
        <v>.</v>
      </c>
      <c r="AR76" s="94" t="str">
        <f>IF(R76=".",".",s_RadSpec!$F$27*(AR27*$B76))</f>
        <v>.</v>
      </c>
      <c r="AS76" s="94" t="str">
        <f>IF(S76=".",".",s_RadSpec!$F$27*(AS27*$B76))</f>
        <v>.</v>
      </c>
      <c r="AT76" s="94" t="str">
        <f>IF(T76=".",".",s_RadSpec!$F$27*(AT27*$B76))</f>
        <v>.</v>
      </c>
      <c r="AU76" s="94" t="str">
        <f>IF(U76=".",".",s_RadSpec!$F$27*(AU27*$B76))</f>
        <v>.</v>
      </c>
      <c r="AV76" s="94" t="str">
        <f>IF(V76=".",".",s_RadSpec!$F$27*(AV27*$B76))</f>
        <v>.</v>
      </c>
      <c r="AW76" s="94" t="str">
        <f>IF(W76=".",".",s_RadSpec!$F$27*(AW27*$B76))</f>
        <v>.</v>
      </c>
      <c r="AX76" s="94" t="str">
        <f>IF(X76=".",".",s_RadSpec!$F$27*(AX27*$B76))</f>
        <v>.</v>
      </c>
      <c r="AY76" s="94" t="str">
        <f>IF(Y76=".",".",s_RadSpec!$F$27*(AY27*$B76))</f>
        <v>.</v>
      </c>
      <c r="AZ76" s="94" t="str">
        <f>IF(Z76=".",".",s_RadSpec!$F$27*(AZ27*$B76))</f>
        <v>.</v>
      </c>
      <c r="BA76" s="94" t="str">
        <f>IF(AA76=".",".",s_RadSpec!$F$27*(BA27*$B76))</f>
        <v>.</v>
      </c>
      <c r="BB76" s="94" t="str">
        <f>IF(AB76=".",".",s_RadSpec!$F$27*(BB27*$B76))</f>
        <v>.</v>
      </c>
      <c r="BC76" s="60" t="str">
        <f t="shared" ref="BC76:CB76" si="109">IFERROR(BC27/$B62,".")</f>
        <v>.</v>
      </c>
      <c r="BD76" s="60" t="str">
        <f t="shared" si="109"/>
        <v>.</v>
      </c>
      <c r="BE76" s="60" t="str">
        <f t="shared" si="109"/>
        <v>.</v>
      </c>
      <c r="BF76" s="60" t="str">
        <f t="shared" si="109"/>
        <v>.</v>
      </c>
      <c r="BG76" s="60" t="str">
        <f t="shared" si="109"/>
        <v>.</v>
      </c>
      <c r="BH76" s="60" t="str">
        <f t="shared" si="109"/>
        <v>.</v>
      </c>
      <c r="BI76" s="60" t="str">
        <f t="shared" si="109"/>
        <v>.</v>
      </c>
      <c r="BJ76" s="60" t="str">
        <f t="shared" si="109"/>
        <v>.</v>
      </c>
      <c r="BK76" s="60" t="str">
        <f t="shared" si="109"/>
        <v>.</v>
      </c>
      <c r="BL76" s="60" t="str">
        <f t="shared" si="109"/>
        <v>.</v>
      </c>
      <c r="BM76" s="60" t="str">
        <f t="shared" si="109"/>
        <v>.</v>
      </c>
      <c r="BN76" s="60" t="str">
        <f t="shared" si="109"/>
        <v>.</v>
      </c>
      <c r="BO76" s="60" t="str">
        <f t="shared" si="109"/>
        <v>.</v>
      </c>
      <c r="BP76" s="60" t="str">
        <f t="shared" si="109"/>
        <v>.</v>
      </c>
      <c r="BQ76" s="60" t="str">
        <f t="shared" si="109"/>
        <v>.</v>
      </c>
      <c r="BR76" s="60" t="str">
        <f t="shared" si="109"/>
        <v>.</v>
      </c>
      <c r="BS76" s="60" t="str">
        <f t="shared" si="109"/>
        <v>.</v>
      </c>
      <c r="BT76" s="60" t="str">
        <f t="shared" si="109"/>
        <v>.</v>
      </c>
      <c r="BU76" s="60" t="str">
        <f t="shared" si="109"/>
        <v>.</v>
      </c>
      <c r="BV76" s="60" t="str">
        <f t="shared" si="109"/>
        <v>.</v>
      </c>
      <c r="BW76" s="60" t="str">
        <f t="shared" si="109"/>
        <v>.</v>
      </c>
      <c r="BX76" s="60" t="str">
        <f t="shared" si="109"/>
        <v>.</v>
      </c>
      <c r="BY76" s="60" t="str">
        <f t="shared" si="109"/>
        <v>.</v>
      </c>
      <c r="BZ76" s="60" t="str">
        <f t="shared" si="109"/>
        <v>.</v>
      </c>
      <c r="CA76" s="60" t="str">
        <f t="shared" si="109"/>
        <v>.</v>
      </c>
      <c r="CB76" s="60" t="str">
        <f t="shared" si="109"/>
        <v>.</v>
      </c>
      <c r="CC76" s="94" t="str">
        <f t="shared" si="85"/>
        <v>.</v>
      </c>
      <c r="CD76" s="94" t="str">
        <f>IF(BD76=".",".",s_RadSpec!$F$27*(CD27*$B76))</f>
        <v>.</v>
      </c>
      <c r="CE76" s="94" t="str">
        <f>IF(BE76=".",".",s_RadSpec!$F$27*(CE27*$B76))</f>
        <v>.</v>
      </c>
      <c r="CF76" s="94" t="str">
        <f>IF(BF76=".",".",s_RadSpec!$F$27*(CF27*$B76))</f>
        <v>.</v>
      </c>
      <c r="CG76" s="94" t="str">
        <f>IF(BG76=".",".",s_RadSpec!$F$27*(CG27*$B76))</f>
        <v>.</v>
      </c>
      <c r="CH76" s="94" t="str">
        <f>IF(BH76=".",".",s_RadSpec!$F$27*(CH27*$B76))</f>
        <v>.</v>
      </c>
      <c r="CI76" s="94" t="str">
        <f>IF(BI76=".",".",s_RadSpec!$F$27*(CI27*$B76))</f>
        <v>.</v>
      </c>
      <c r="CJ76" s="94" t="str">
        <f>IF(BJ76=".",".",s_RadSpec!$F$27*(CJ27*$B76))</f>
        <v>.</v>
      </c>
      <c r="CK76" s="94" t="str">
        <f>IF(BK76=".",".",s_RadSpec!$F$27*(CK27*$B76))</f>
        <v>.</v>
      </c>
      <c r="CL76" s="94" t="str">
        <f>IF(BL76=".",".",s_RadSpec!$F$27*(CL27*$B76))</f>
        <v>.</v>
      </c>
      <c r="CM76" s="94" t="str">
        <f>IF(BM76=".",".",s_RadSpec!$F$27*(CM27*$B76))</f>
        <v>.</v>
      </c>
      <c r="CN76" s="94" t="str">
        <f>IF(BN76=".",".",s_RadSpec!$F$27*(CN27*$B76))</f>
        <v>.</v>
      </c>
      <c r="CO76" s="94" t="str">
        <f>IF(BO76=".",".",s_RadSpec!$F$27*(CO27*$B76))</f>
        <v>.</v>
      </c>
      <c r="CP76" s="94" t="str">
        <f>IF(BP76=".",".",s_RadSpec!$F$27*(CP27*$B76))</f>
        <v>.</v>
      </c>
      <c r="CQ76" s="94" t="str">
        <f>IF(BQ76=".",".",s_RadSpec!$F$27*(CQ27*$B76))</f>
        <v>.</v>
      </c>
      <c r="CR76" s="94" t="str">
        <f>IF(BR76=".",".",s_RadSpec!$F$27*(CR27*$B76))</f>
        <v>.</v>
      </c>
      <c r="CS76" s="94" t="str">
        <f>IF(BS76=".",".",s_RadSpec!$F$27*(CS27*$B76))</f>
        <v>.</v>
      </c>
      <c r="CT76" s="94" t="str">
        <f>IF(BT76=".",".",s_RadSpec!$F$27*(CT27*$B76))</f>
        <v>.</v>
      </c>
      <c r="CU76" s="94" t="str">
        <f>IF(BU76=".",".",s_RadSpec!$F$27*(CU27*$B76))</f>
        <v>.</v>
      </c>
      <c r="CV76" s="94" t="str">
        <f>IF(BV76=".",".",s_RadSpec!$F$27*(CV27*$B76))</f>
        <v>.</v>
      </c>
      <c r="CW76" s="94" t="str">
        <f>IF(BW76=".",".",s_RadSpec!$F$27*(CW27*$B76))</f>
        <v>.</v>
      </c>
      <c r="CX76" s="94" t="str">
        <f>IF(BX76=".",".",s_RadSpec!$F$27*(CX27*$B76))</f>
        <v>.</v>
      </c>
      <c r="CY76" s="94" t="str">
        <f>IF(BY76=".",".",s_RadSpec!$F$27*(CY27*$B76))</f>
        <v>.</v>
      </c>
      <c r="CZ76" s="94" t="str">
        <f>IF(BZ76=".",".",s_RadSpec!$F$27*(CZ27*$B76))</f>
        <v>.</v>
      </c>
      <c r="DA76" s="94" t="str">
        <f>IF(CA76=".",".",s_RadSpec!$F$27*(DA27*$B76))</f>
        <v>.</v>
      </c>
      <c r="DB76" s="94" t="str">
        <f>IF(CB76=".",".",s_RadSpec!$F$27*(DB27*$B76))</f>
        <v>.</v>
      </c>
    </row>
  </sheetData>
  <sheetProtection algorithmName="SHA-512" hashValue="v6Ti5VSQ5G5xOoqd2JgS5ny85ZAfB7Ud6nlmLQFqckTMBh6ZK7YvU7kS65X9JvzDotknjrcJZvs3M0dnm/7Z1Q==" saltValue="x32uE7yvT+wFbk9L1g1jsw==" spinCount="100000" sheet="1" formatColumns="0" formatRows="0" autoFilter="0"/>
  <autoFilter ref="A1:DB76" xr:uid="{39D6BB68-1553-488F-8118-EF63F6CFFA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E30"/>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3" width="10.28515625" style="4" bestFit="1" customWidth="1"/>
    <col min="4" max="4" width="12" style="4" bestFit="1" customWidth="1"/>
    <col min="5" max="5" width="12.5703125" style="4" bestFit="1" customWidth="1"/>
    <col min="6" max="6" width="13.42578125" style="5" bestFit="1" customWidth="1"/>
    <col min="7" max="8" width="8.5703125" style="5" bestFit="1" customWidth="1"/>
    <col min="9" max="9" width="12.7109375" style="5" bestFit="1" customWidth="1"/>
    <col min="10" max="10" width="12" style="5" bestFit="1" customWidth="1"/>
    <col min="11" max="11" width="12.140625" style="5" bestFit="1" customWidth="1"/>
    <col min="12" max="12" width="11" style="5" bestFit="1" customWidth="1"/>
    <col min="13" max="13" width="12" style="5" bestFit="1" customWidth="1"/>
    <col min="14" max="15" width="11.85546875" style="5" bestFit="1" customWidth="1"/>
    <col min="16" max="16" width="12.85546875" style="5" bestFit="1" customWidth="1"/>
    <col min="17" max="17" width="9.7109375" style="5" bestFit="1" customWidth="1"/>
    <col min="18" max="18" width="9.5703125" style="2" bestFit="1" customWidth="1"/>
    <col min="19" max="20" width="10.5703125" style="2" bestFit="1" customWidth="1"/>
    <col min="21" max="21" width="11.5703125" style="2" bestFit="1" customWidth="1"/>
    <col min="22" max="22" width="9.85546875" style="2" bestFit="1" customWidth="1"/>
    <col min="23" max="23" width="9.7109375" style="2" bestFit="1" customWidth="1"/>
    <col min="24" max="25" width="10.7109375" style="2" bestFit="1" customWidth="1"/>
    <col min="26" max="26" width="11.7109375" style="2" bestFit="1" customWidth="1"/>
    <col min="27" max="27" width="10.42578125" style="2" bestFit="1" customWidth="1"/>
    <col min="28" max="28" width="10.28515625" style="2" bestFit="1" customWidth="1"/>
    <col min="29" max="30" width="11.28515625" style="2" bestFit="1" customWidth="1"/>
    <col min="31" max="32" width="12.28515625" style="2" bestFit="1" customWidth="1"/>
    <col min="33" max="33" width="10.5703125" style="2" bestFit="1" customWidth="1"/>
    <col min="34" max="34" width="10.85546875" style="2" bestFit="1" customWidth="1"/>
    <col min="35" max="35" width="10.5703125" style="2" bestFit="1" customWidth="1"/>
    <col min="36" max="36" width="10.28515625" style="2" bestFit="1" customWidth="1"/>
    <col min="37" max="37" width="12.85546875" style="2" bestFit="1" customWidth="1"/>
    <col min="38" max="38" width="14.5703125" style="2" bestFit="1" customWidth="1"/>
    <col min="39" max="39" width="10.28515625" style="2" bestFit="1" customWidth="1"/>
    <col min="40" max="40" width="12.42578125" style="2" bestFit="1" customWidth="1"/>
    <col min="41" max="41" width="14.5703125" style="2" bestFit="1" customWidth="1"/>
    <col min="42" max="42" width="16.28515625" style="2" bestFit="1" customWidth="1"/>
    <col min="43" max="43" width="11.5703125" style="2" bestFit="1" customWidth="1"/>
    <col min="44" max="44" width="16.140625" style="2" bestFit="1" customWidth="1"/>
    <col min="45" max="45" width="9.7109375" style="2" bestFit="1" customWidth="1"/>
    <col min="46" max="46" width="9.28515625" style="2" bestFit="1" customWidth="1"/>
    <col min="47" max="47" width="8.5703125" style="2" bestFit="1" customWidth="1"/>
    <col min="48" max="48" width="11.85546875" style="2" bestFit="1" customWidth="1"/>
    <col min="49" max="49" width="11" style="2" bestFit="1" customWidth="1"/>
    <col min="50" max="50" width="12" style="2" bestFit="1" customWidth="1"/>
    <col min="51" max="51" width="8.42578125" style="3" bestFit="1" customWidth="1"/>
    <col min="52" max="52" width="11.42578125" style="3" bestFit="1" customWidth="1"/>
    <col min="53" max="53" width="11.28515625" style="2" bestFit="1" customWidth="1"/>
    <col min="54" max="54" width="10.85546875" style="3" bestFit="1" customWidth="1"/>
    <col min="55" max="55" width="12.42578125" style="3" bestFit="1" customWidth="1"/>
    <col min="56" max="57" width="8.5703125" style="3" bestFit="1" customWidth="1"/>
    <col min="58" max="16384" width="9.140625" style="3"/>
  </cols>
  <sheetData>
    <row r="1" spans="1:57" s="9" customFormat="1" x14ac:dyDescent="0.25">
      <c r="A1" s="72" t="s">
        <v>39</v>
      </c>
      <c r="B1" s="73" t="s">
        <v>334</v>
      </c>
      <c r="C1" s="73" t="s">
        <v>346</v>
      </c>
      <c r="D1" s="72" t="s">
        <v>1269</v>
      </c>
      <c r="E1" s="243" t="s">
        <v>1346</v>
      </c>
      <c r="F1" s="243" t="s">
        <v>1347</v>
      </c>
      <c r="G1" s="243" t="s">
        <v>1348</v>
      </c>
      <c r="H1" s="243" t="s">
        <v>1349</v>
      </c>
      <c r="I1" s="243" t="s">
        <v>1350</v>
      </c>
      <c r="J1" s="243" t="s">
        <v>1351</v>
      </c>
      <c r="K1" s="243" t="s">
        <v>1352</v>
      </c>
      <c r="L1" s="243" t="s">
        <v>1353</v>
      </c>
      <c r="M1" s="243" t="s">
        <v>1354</v>
      </c>
      <c r="N1" s="243" t="s">
        <v>1355</v>
      </c>
      <c r="O1" s="243" t="s">
        <v>1356</v>
      </c>
      <c r="P1" s="243" t="s">
        <v>1357</v>
      </c>
      <c r="Q1" s="154" t="s">
        <v>29</v>
      </c>
      <c r="R1" s="154" t="s">
        <v>30</v>
      </c>
      <c r="S1" s="154" t="s">
        <v>31</v>
      </c>
      <c r="T1" s="154" t="s">
        <v>32</v>
      </c>
      <c r="U1" s="154" t="s">
        <v>33</v>
      </c>
      <c r="V1" s="154" t="s">
        <v>34</v>
      </c>
      <c r="W1" s="154" t="s">
        <v>35</v>
      </c>
      <c r="X1" s="154" t="s">
        <v>36</v>
      </c>
      <c r="Y1" s="154" t="s">
        <v>37</v>
      </c>
      <c r="Z1" s="154" t="s">
        <v>38</v>
      </c>
      <c r="AA1" s="154" t="s">
        <v>347</v>
      </c>
      <c r="AB1" s="154" t="s">
        <v>348</v>
      </c>
      <c r="AC1" s="154" t="s">
        <v>349</v>
      </c>
      <c r="AD1" s="154" t="s">
        <v>350</v>
      </c>
      <c r="AE1" s="154" t="s">
        <v>351</v>
      </c>
      <c r="AF1" s="157" t="s">
        <v>322</v>
      </c>
      <c r="AG1" s="157" t="s">
        <v>323</v>
      </c>
      <c r="AH1" s="8" t="s">
        <v>324</v>
      </c>
      <c r="AI1" s="8" t="s">
        <v>325</v>
      </c>
      <c r="AJ1" s="8" t="s">
        <v>326</v>
      </c>
      <c r="AK1" s="8" t="s">
        <v>1280</v>
      </c>
      <c r="AL1" s="8" t="s">
        <v>327</v>
      </c>
      <c r="AM1" s="8" t="s">
        <v>328</v>
      </c>
      <c r="AN1" s="8" t="s">
        <v>329</v>
      </c>
      <c r="AO1" s="8" t="s">
        <v>1311</v>
      </c>
      <c r="AP1" s="8" t="s">
        <v>1056</v>
      </c>
      <c r="AQ1" s="8" t="s">
        <v>1054</v>
      </c>
      <c r="AR1" s="8" t="s">
        <v>1055</v>
      </c>
      <c r="AS1" s="8" t="s">
        <v>330</v>
      </c>
      <c r="AT1" s="8" t="s">
        <v>331</v>
      </c>
      <c r="AU1" s="158" t="s">
        <v>196</v>
      </c>
      <c r="AV1" s="158" t="s">
        <v>332</v>
      </c>
      <c r="AW1" s="158" t="s">
        <v>333</v>
      </c>
      <c r="AX1" s="159" t="s">
        <v>338</v>
      </c>
      <c r="AY1" s="159" t="s">
        <v>339</v>
      </c>
      <c r="AZ1" s="160" t="s">
        <v>344</v>
      </c>
      <c r="BA1" s="160" t="s">
        <v>343</v>
      </c>
      <c r="BB1" s="160" t="s">
        <v>342</v>
      </c>
      <c r="BC1" s="161" t="s">
        <v>345</v>
      </c>
      <c r="BD1" s="159" t="s">
        <v>357</v>
      </c>
      <c r="BE1" s="159" t="s">
        <v>360</v>
      </c>
    </row>
    <row r="2" spans="1:57" x14ac:dyDescent="0.25">
      <c r="A2" s="42" t="s">
        <v>0</v>
      </c>
      <c r="B2" s="42" t="s">
        <v>1057</v>
      </c>
      <c r="C2" s="42"/>
      <c r="D2" s="42"/>
      <c r="E2" s="2">
        <v>1.9351000000000001E-4</v>
      </c>
      <c r="F2" s="2">
        <v>1.9351000000000001E-4</v>
      </c>
      <c r="G2" s="2">
        <v>5.2864399999999999E-2</v>
      </c>
      <c r="H2" s="2">
        <v>3.3966000000000003E-2</v>
      </c>
      <c r="I2" s="2">
        <v>1.9351000000000001E-4</v>
      </c>
      <c r="J2" s="2">
        <v>1.4281999999999999E-4</v>
      </c>
      <c r="K2" s="2">
        <v>6.6087925919999994E-5</v>
      </c>
      <c r="L2" s="2">
        <v>1.54308E-2</v>
      </c>
      <c r="M2" s="2">
        <v>1.4712153120000001E-4</v>
      </c>
      <c r="N2" s="2">
        <v>1.4589080000000001E-2</v>
      </c>
      <c r="O2" s="2">
        <v>3.8107200000000001E-2</v>
      </c>
      <c r="P2" s="2">
        <v>5.1369999999999999E-2</v>
      </c>
      <c r="Q2" s="15">
        <v>1</v>
      </c>
      <c r="R2" s="15">
        <v>1</v>
      </c>
      <c r="S2" s="15">
        <v>1</v>
      </c>
      <c r="T2" s="15">
        <v>1</v>
      </c>
      <c r="U2" s="15">
        <v>1</v>
      </c>
      <c r="V2" s="15">
        <v>1</v>
      </c>
      <c r="W2" s="15">
        <v>1</v>
      </c>
      <c r="X2" s="15">
        <v>1</v>
      </c>
      <c r="Y2" s="15">
        <v>1</v>
      </c>
      <c r="Z2" s="15">
        <v>1</v>
      </c>
      <c r="AA2" s="98">
        <f t="shared" ref="AA2:AE3" si="0">0.4*V2</f>
        <v>0.4</v>
      </c>
      <c r="AB2" s="98">
        <f t="shared" si="0"/>
        <v>0.4</v>
      </c>
      <c r="AC2" s="98">
        <f t="shared" si="0"/>
        <v>0.4</v>
      </c>
      <c r="AD2" s="98">
        <f t="shared" si="0"/>
        <v>0.4</v>
      </c>
      <c r="AE2" s="98">
        <f t="shared" si="0"/>
        <v>0.4</v>
      </c>
      <c r="AF2" s="15">
        <v>2.7397260273972601E-2</v>
      </c>
      <c r="AG2" s="15">
        <v>225</v>
      </c>
      <c r="AH2" s="2">
        <v>1.9999999999999999E-6</v>
      </c>
      <c r="AI2" s="2">
        <v>2.0000000000000002E-5</v>
      </c>
      <c r="AJ2" s="2">
        <v>15</v>
      </c>
      <c r="AK2" s="2" t="s">
        <v>1281</v>
      </c>
      <c r="AL2" s="2" t="s">
        <v>1281</v>
      </c>
      <c r="AM2" s="2" t="s">
        <v>1281</v>
      </c>
      <c r="AN2" s="2" t="s">
        <v>1281</v>
      </c>
      <c r="AO2" s="2" t="s">
        <v>1281</v>
      </c>
      <c r="AP2" s="2" t="s">
        <v>1281</v>
      </c>
      <c r="AQ2" s="2" t="s">
        <v>1281</v>
      </c>
      <c r="AR2" s="2" t="s">
        <v>1281</v>
      </c>
      <c r="AS2" s="2">
        <v>1E-3</v>
      </c>
      <c r="AT2" s="2">
        <v>0.1</v>
      </c>
      <c r="AU2" s="15">
        <v>1700</v>
      </c>
      <c r="AV2" s="15">
        <v>5.0000000000000001E-4</v>
      </c>
      <c r="AW2" s="15">
        <v>25.294499999999999</v>
      </c>
      <c r="AX2" s="42">
        <v>15</v>
      </c>
      <c r="AY2" s="42">
        <v>225</v>
      </c>
      <c r="AZ2" s="98">
        <f>BB2+lambda_HL</f>
        <v>2.6999999999999999E-5</v>
      </c>
      <c r="BA2" s="98">
        <f>BB2+(0.693/t_w)</f>
        <v>4.9499999999999995E-2</v>
      </c>
      <c r="BB2" s="98">
        <v>0</v>
      </c>
      <c r="BC2" s="15">
        <v>10</v>
      </c>
      <c r="BD2" s="98">
        <f t="shared" ref="BD2" si="1">AT2</f>
        <v>0.1</v>
      </c>
      <c r="BE2" s="98">
        <f t="shared" ref="BE2" si="2">AS2</f>
        <v>1E-3</v>
      </c>
    </row>
    <row r="3" spans="1:57" x14ac:dyDescent="0.25">
      <c r="A3" s="42" t="s">
        <v>1</v>
      </c>
      <c r="B3" s="42" t="s">
        <v>335</v>
      </c>
      <c r="C3" s="42"/>
      <c r="D3" s="42"/>
      <c r="E3" s="2">
        <v>8.8060000000000005E-4</v>
      </c>
      <c r="F3" s="2">
        <v>8.8060000000000005E-4</v>
      </c>
      <c r="G3" s="2">
        <v>3.7173200000000003E-2</v>
      </c>
      <c r="H3" s="2">
        <v>0.36297000000000001</v>
      </c>
      <c r="I3" s="2">
        <v>8.8060000000000005E-4</v>
      </c>
      <c r="J3" s="2">
        <v>7.5480000000000002E-4</v>
      </c>
      <c r="K3" s="2">
        <v>7.8464816639999994E-5</v>
      </c>
      <c r="L3" s="2">
        <v>2.5484199999999999E-2</v>
      </c>
      <c r="M3" s="2">
        <v>1.7981520480000001E-4</v>
      </c>
      <c r="N3" s="2">
        <v>1.83064E-2</v>
      </c>
      <c r="O3" s="2">
        <v>3.4557999999999998E-2</v>
      </c>
      <c r="P3" s="2">
        <v>3.7173200000000003E-2</v>
      </c>
      <c r="Q3" s="15">
        <v>1</v>
      </c>
      <c r="R3" s="15">
        <v>1</v>
      </c>
      <c r="S3" s="15">
        <v>1</v>
      </c>
      <c r="T3" s="15">
        <v>1</v>
      </c>
      <c r="U3" s="15">
        <v>1</v>
      </c>
      <c r="V3" s="15">
        <v>1</v>
      </c>
      <c r="W3" s="15">
        <v>1</v>
      </c>
      <c r="X3" s="15">
        <v>1</v>
      </c>
      <c r="Y3" s="15">
        <v>1</v>
      </c>
      <c r="Z3" s="15">
        <v>1</v>
      </c>
      <c r="AA3" s="98">
        <f t="shared" si="0"/>
        <v>0.4</v>
      </c>
      <c r="AB3" s="98">
        <f t="shared" si="0"/>
        <v>0.4</v>
      </c>
      <c r="AC3" s="98">
        <f t="shared" si="0"/>
        <v>0.4</v>
      </c>
      <c r="AD3" s="98">
        <f t="shared" si="0"/>
        <v>0.4</v>
      </c>
      <c r="AE3" s="98">
        <f t="shared" si="0"/>
        <v>0.4</v>
      </c>
      <c r="AF3" s="15">
        <v>432.2</v>
      </c>
      <c r="AG3" s="15">
        <v>241</v>
      </c>
      <c r="AH3" s="2">
        <v>4.2E-7</v>
      </c>
      <c r="AI3" s="2">
        <v>5.0000000000000001E-4</v>
      </c>
      <c r="AJ3" s="2">
        <v>240</v>
      </c>
      <c r="AK3" s="2">
        <v>2400</v>
      </c>
      <c r="AL3" s="2">
        <v>6.0000000000000001E-3</v>
      </c>
      <c r="AM3" s="2">
        <v>3.0000000000000001E-3</v>
      </c>
      <c r="AN3" s="2">
        <v>1.7000000000000001E-4</v>
      </c>
      <c r="AO3" s="228">
        <v>1.1E-4</v>
      </c>
      <c r="AP3" s="2" t="s">
        <v>1281</v>
      </c>
      <c r="AQ3" s="2" t="s">
        <v>1281</v>
      </c>
      <c r="AR3" s="228">
        <v>6.9E-6</v>
      </c>
      <c r="AS3" s="2">
        <v>2.1999999999999999E-5</v>
      </c>
      <c r="AT3" s="2">
        <v>2.5287356321838999E-5</v>
      </c>
      <c r="AU3" s="15">
        <v>4</v>
      </c>
      <c r="AV3" s="15">
        <v>5.0000000000000001E-4</v>
      </c>
      <c r="AW3" s="15">
        <v>1.60342434058306E-3</v>
      </c>
      <c r="AX3" s="42">
        <v>15</v>
      </c>
      <c r="AY3" s="42">
        <v>241</v>
      </c>
      <c r="AZ3" s="98">
        <f t="shared" ref="AZ3" si="3">BB3+lambda_HL</f>
        <v>2.6999999999999999E-5</v>
      </c>
      <c r="BA3" s="98">
        <f>BB3+(0.693/t_w)</f>
        <v>4.9499999999999995E-2</v>
      </c>
      <c r="BB3" s="98">
        <v>0</v>
      </c>
      <c r="BC3" s="15">
        <v>157753</v>
      </c>
      <c r="BD3" s="98">
        <f>AT3</f>
        <v>2.5287356321838999E-5</v>
      </c>
      <c r="BE3" s="98">
        <f>AS3</f>
        <v>2.1999999999999999E-5</v>
      </c>
    </row>
    <row r="4" spans="1:57" x14ac:dyDescent="0.25">
      <c r="A4" s="42" t="s">
        <v>2</v>
      </c>
      <c r="B4" s="42" t="s">
        <v>1057</v>
      </c>
      <c r="C4" s="42"/>
      <c r="D4" s="42"/>
      <c r="E4" s="2">
        <v>0</v>
      </c>
      <c r="F4" s="2">
        <v>0</v>
      </c>
      <c r="G4" s="2">
        <v>1.18618E-3</v>
      </c>
      <c r="H4" s="2">
        <v>0</v>
      </c>
      <c r="I4" s="2">
        <v>0</v>
      </c>
      <c r="J4" s="2">
        <v>0</v>
      </c>
      <c r="K4" s="2">
        <v>1.237689072E-6</v>
      </c>
      <c r="L4" s="2">
        <v>2.6536300000000001E-4</v>
      </c>
      <c r="M4" s="2">
        <v>2.697228072E-6</v>
      </c>
      <c r="N4" s="2">
        <v>2.6899200000000002E-4</v>
      </c>
      <c r="O4" s="2">
        <v>7.5093600000000001E-4</v>
      </c>
      <c r="P4" s="2">
        <v>1.109592E-3</v>
      </c>
      <c r="Q4" s="15">
        <v>1</v>
      </c>
      <c r="R4" s="15">
        <v>1</v>
      </c>
      <c r="S4" s="15">
        <v>1</v>
      </c>
      <c r="T4" s="15">
        <v>1</v>
      </c>
      <c r="U4" s="15">
        <v>1</v>
      </c>
      <c r="V4" s="15">
        <v>1</v>
      </c>
      <c r="W4" s="15">
        <v>1</v>
      </c>
      <c r="X4" s="15">
        <v>1</v>
      </c>
      <c r="Y4" s="15">
        <v>1</v>
      </c>
      <c r="Z4" s="15">
        <v>1</v>
      </c>
      <c r="AA4" s="98">
        <f t="shared" ref="AA4:AE5" si="4">0.4*V4</f>
        <v>0.4</v>
      </c>
      <c r="AB4" s="98">
        <f t="shared" si="4"/>
        <v>0.4</v>
      </c>
      <c r="AC4" s="98">
        <f t="shared" si="4"/>
        <v>0.4</v>
      </c>
      <c r="AD4" s="98">
        <f t="shared" si="4"/>
        <v>0.4</v>
      </c>
      <c r="AE4" s="98">
        <f t="shared" si="4"/>
        <v>0.4</v>
      </c>
      <c r="AF4" s="15">
        <v>1.0242262810756E-9</v>
      </c>
      <c r="AG4" s="15">
        <v>217</v>
      </c>
      <c r="AH4" s="2">
        <v>0.01</v>
      </c>
      <c r="AI4" s="2">
        <v>0.01</v>
      </c>
      <c r="AJ4" s="2" t="s">
        <v>1281</v>
      </c>
      <c r="AK4" s="2" t="s">
        <v>1281</v>
      </c>
      <c r="AL4" s="2" t="s">
        <v>1281</v>
      </c>
      <c r="AM4" s="2" t="s">
        <v>1281</v>
      </c>
      <c r="AN4" s="2" t="s">
        <v>1281</v>
      </c>
      <c r="AO4" s="2" t="s">
        <v>1281</v>
      </c>
      <c r="AP4" s="2" t="s">
        <v>1281</v>
      </c>
      <c r="AQ4" s="2" t="s">
        <v>1281</v>
      </c>
      <c r="AR4" s="2" t="s">
        <v>1281</v>
      </c>
      <c r="AS4" s="2">
        <v>0.2</v>
      </c>
      <c r="AT4" s="2">
        <v>0.9</v>
      </c>
      <c r="AU4" s="15">
        <v>10</v>
      </c>
      <c r="AV4" s="15"/>
      <c r="AW4" s="15">
        <v>676608297.21362197</v>
      </c>
      <c r="AX4" s="42">
        <v>15</v>
      </c>
      <c r="AY4" s="42">
        <v>217</v>
      </c>
      <c r="AZ4" s="98">
        <f t="shared" ref="AZ4:AZ5" si="5">BB4+lambda_HL</f>
        <v>2.6999999999999999E-5</v>
      </c>
      <c r="BA4" s="98">
        <f t="shared" ref="BA4:BA5" si="6">BB4+(0.693/t_w)</f>
        <v>4.9499999999999995E-2</v>
      </c>
      <c r="BB4" s="98">
        <v>0</v>
      </c>
      <c r="BC4" s="15">
        <v>3.7384259259259298E-7</v>
      </c>
      <c r="BD4" s="98">
        <f t="shared" ref="BD4:BD5" si="7">AT4</f>
        <v>0.9</v>
      </c>
      <c r="BE4" s="98">
        <f t="shared" ref="BE4:BE5" si="8">AS4</f>
        <v>0.2</v>
      </c>
    </row>
    <row r="5" spans="1:57" x14ac:dyDescent="0.25">
      <c r="A5" s="42" t="s">
        <v>3</v>
      </c>
      <c r="B5" s="42" t="s">
        <v>1057</v>
      </c>
      <c r="C5" s="42">
        <v>1</v>
      </c>
      <c r="D5" s="14">
        <v>1.97331E-4</v>
      </c>
      <c r="E5" s="2">
        <v>0</v>
      </c>
      <c r="F5" s="2">
        <v>0</v>
      </c>
      <c r="G5" s="2">
        <v>5.56664E-5</v>
      </c>
      <c r="H5" s="2">
        <v>0</v>
      </c>
      <c r="I5" s="2">
        <v>0</v>
      </c>
      <c r="J5" s="2">
        <v>0</v>
      </c>
      <c r="K5" s="2">
        <v>1.144278576E-7</v>
      </c>
      <c r="L5" s="2">
        <v>1.4612499999999999E-4</v>
      </c>
      <c r="M5" s="2">
        <v>1.4595389999999999E-7</v>
      </c>
      <c r="N5" s="2">
        <v>3.1569200000000003E-5</v>
      </c>
      <c r="O5" s="2">
        <v>4.4271599999999998E-5</v>
      </c>
      <c r="P5" s="2">
        <v>5.3424799999999997E-5</v>
      </c>
      <c r="Q5" s="15">
        <v>0.9</v>
      </c>
      <c r="R5" s="15">
        <v>0.9</v>
      </c>
      <c r="S5" s="15">
        <v>0.9</v>
      </c>
      <c r="T5" s="15">
        <v>0.9</v>
      </c>
      <c r="U5" s="15">
        <v>0.9</v>
      </c>
      <c r="V5" s="15">
        <v>1</v>
      </c>
      <c r="W5" s="15">
        <v>1</v>
      </c>
      <c r="X5" s="15">
        <v>1</v>
      </c>
      <c r="Y5" s="15">
        <v>1</v>
      </c>
      <c r="Z5" s="15">
        <v>1</v>
      </c>
      <c r="AA5" s="98">
        <f t="shared" si="4"/>
        <v>0.4</v>
      </c>
      <c r="AB5" s="98">
        <f t="shared" si="4"/>
        <v>0.4</v>
      </c>
      <c r="AC5" s="98">
        <f t="shared" si="4"/>
        <v>0.4</v>
      </c>
      <c r="AD5" s="98">
        <f t="shared" si="4"/>
        <v>0.4</v>
      </c>
      <c r="AE5" s="98">
        <f t="shared" si="4"/>
        <v>0.4</v>
      </c>
      <c r="AF5" s="15">
        <v>4.7564687975646899E-8</v>
      </c>
      <c r="AG5" s="15">
        <v>218</v>
      </c>
      <c r="AH5" s="2">
        <v>0.01</v>
      </c>
      <c r="AI5" s="2">
        <v>0.01</v>
      </c>
      <c r="AJ5" s="2" t="s">
        <v>1281</v>
      </c>
      <c r="AK5" s="2" t="s">
        <v>1281</v>
      </c>
      <c r="AL5" s="2" t="s">
        <v>1281</v>
      </c>
      <c r="AM5" s="2" t="s">
        <v>1281</v>
      </c>
      <c r="AN5" s="2" t="s">
        <v>1281</v>
      </c>
      <c r="AO5" s="2" t="s">
        <v>1281</v>
      </c>
      <c r="AP5" s="2" t="s">
        <v>1281</v>
      </c>
      <c r="AQ5" s="2" t="s">
        <v>1281</v>
      </c>
      <c r="AR5" s="2" t="s">
        <v>1281</v>
      </c>
      <c r="AS5" s="2">
        <v>0.2</v>
      </c>
      <c r="AT5" s="2">
        <v>0.9</v>
      </c>
      <c r="AU5" s="15">
        <v>10</v>
      </c>
      <c r="AV5" s="15"/>
      <c r="AW5" s="15">
        <v>14569632</v>
      </c>
      <c r="AX5" s="42">
        <v>15</v>
      </c>
      <c r="AY5" s="42">
        <v>218</v>
      </c>
      <c r="AZ5" s="98">
        <f t="shared" si="5"/>
        <v>2.6999999999999999E-5</v>
      </c>
      <c r="BA5" s="98">
        <f t="shared" si="6"/>
        <v>4.9499999999999995E-2</v>
      </c>
      <c r="BB5" s="98">
        <v>0</v>
      </c>
      <c r="BC5" s="15">
        <v>1.7361111111111101E-5</v>
      </c>
      <c r="BD5" s="98">
        <f t="shared" si="7"/>
        <v>0.9</v>
      </c>
      <c r="BE5" s="98">
        <f t="shared" si="8"/>
        <v>0.2</v>
      </c>
    </row>
    <row r="6" spans="1:57" x14ac:dyDescent="0.25">
      <c r="A6" s="42" t="s">
        <v>4</v>
      </c>
      <c r="B6" s="42" t="s">
        <v>1057</v>
      </c>
      <c r="C6" s="42"/>
      <c r="D6" s="42"/>
      <c r="E6" s="2">
        <v>0</v>
      </c>
      <c r="F6" s="2">
        <v>0</v>
      </c>
      <c r="G6" s="2">
        <v>3.3810799999999999</v>
      </c>
      <c r="H6" s="2">
        <v>0</v>
      </c>
      <c r="I6" s="2">
        <v>0</v>
      </c>
      <c r="J6" s="2">
        <v>0</v>
      </c>
      <c r="K6" s="2">
        <v>3.1409279280000002E-3</v>
      </c>
      <c r="L6" s="2">
        <v>0.67451300000000003</v>
      </c>
      <c r="M6" s="2">
        <v>6.8072898960000001E-3</v>
      </c>
      <c r="N6" s="2">
        <v>0.67247999999999997</v>
      </c>
      <c r="O6" s="2">
        <v>1.92404</v>
      </c>
      <c r="P6" s="2">
        <v>3.0074800000000002</v>
      </c>
      <c r="Q6" s="15">
        <v>1</v>
      </c>
      <c r="R6" s="15">
        <v>1</v>
      </c>
      <c r="S6" s="15">
        <v>1</v>
      </c>
      <c r="T6" s="15">
        <v>1</v>
      </c>
      <c r="U6" s="15">
        <v>1</v>
      </c>
      <c r="V6" s="15">
        <v>1</v>
      </c>
      <c r="W6" s="15">
        <v>1</v>
      </c>
      <c r="X6" s="15">
        <v>1</v>
      </c>
      <c r="Y6" s="15">
        <v>1</v>
      </c>
      <c r="Z6" s="15">
        <v>1</v>
      </c>
      <c r="AA6" s="98">
        <f t="shared" ref="AA6:AE7" si="9">0.4*V6</f>
        <v>0.4</v>
      </c>
      <c r="AB6" s="98">
        <f t="shared" si="9"/>
        <v>0.4</v>
      </c>
      <c r="AC6" s="98">
        <f t="shared" si="9"/>
        <v>0.4</v>
      </c>
      <c r="AD6" s="98">
        <f t="shared" si="9"/>
        <v>0.4</v>
      </c>
      <c r="AE6" s="98">
        <f t="shared" si="9"/>
        <v>0.4</v>
      </c>
      <c r="AF6" s="15">
        <v>4.8554033485540298E-6</v>
      </c>
      <c r="AG6" s="15">
        <v>137</v>
      </c>
      <c r="AH6" s="2">
        <v>1.6000000000000001E-4</v>
      </c>
      <c r="AI6" s="2">
        <v>1.3999999999999999E-4</v>
      </c>
      <c r="AJ6" s="2">
        <v>1.2</v>
      </c>
      <c r="AK6" s="2">
        <v>140</v>
      </c>
      <c r="AL6" s="2">
        <v>1.9E-2</v>
      </c>
      <c r="AM6" s="2">
        <v>0.87</v>
      </c>
      <c r="AN6" s="2" t="s">
        <v>1281</v>
      </c>
      <c r="AO6" s="228">
        <v>5.0000000000000001E-3</v>
      </c>
      <c r="AP6" s="228">
        <v>4.1000000000000002E-2</v>
      </c>
      <c r="AQ6" s="228">
        <v>1.2999999999999999E-5</v>
      </c>
      <c r="AR6" s="228">
        <v>1.0999999999999999E-2</v>
      </c>
      <c r="AS6" s="2">
        <v>1E-3</v>
      </c>
      <c r="AT6" s="2">
        <v>1.1494252873562999E-3</v>
      </c>
      <c r="AU6" s="15">
        <v>0.4</v>
      </c>
      <c r="AV6" s="15"/>
      <c r="AW6" s="15">
        <v>142727.58620689699</v>
      </c>
      <c r="AX6" s="42"/>
      <c r="AY6" s="42">
        <v>137</v>
      </c>
      <c r="AZ6" s="98">
        <f t="shared" ref="AZ6:AZ9" si="10">BB6+lambda_HL</f>
        <v>2.6999999999999999E-5</v>
      </c>
      <c r="BA6" s="98">
        <f t="shared" ref="BA6:BA9" si="11">BB6+(0.693/t_w)</f>
        <v>4.9499999999999995E-2</v>
      </c>
      <c r="BB6" s="98">
        <v>0</v>
      </c>
      <c r="BC6" s="15">
        <v>1.77222222222222E-3</v>
      </c>
      <c r="BD6" s="98">
        <f t="shared" ref="BD6:BD9" si="12">AT6</f>
        <v>1.1494252873562999E-3</v>
      </c>
      <c r="BE6" s="98">
        <f t="shared" ref="BE6:BE9" si="13">AS6</f>
        <v>1E-3</v>
      </c>
    </row>
    <row r="7" spans="1:57" x14ac:dyDescent="0.25">
      <c r="A7" s="42" t="s">
        <v>5</v>
      </c>
      <c r="B7" s="42" t="s">
        <v>1057</v>
      </c>
      <c r="C7" s="42">
        <v>1</v>
      </c>
      <c r="D7" s="14">
        <v>0</v>
      </c>
      <c r="E7" s="2">
        <v>6.6599999999999998E-6</v>
      </c>
      <c r="F7" s="2">
        <v>6.6599999999999998E-6</v>
      </c>
      <c r="G7" s="2">
        <v>5.4732399999999999E-3</v>
      </c>
      <c r="H7" s="2">
        <v>5.4020000000000001E-4</v>
      </c>
      <c r="I7" s="2">
        <v>6.6599999999999998E-6</v>
      </c>
      <c r="J7" s="2">
        <v>4.8470000000000003E-6</v>
      </c>
      <c r="K7" s="2">
        <v>3.012488496E-5</v>
      </c>
      <c r="L7" s="2">
        <v>4.1031900000000003E-2</v>
      </c>
      <c r="M7" s="2">
        <v>3.479540976E-5</v>
      </c>
      <c r="N7" s="2">
        <v>3.13824E-3</v>
      </c>
      <c r="O7" s="2">
        <v>4.5392399999999999E-3</v>
      </c>
      <c r="P7" s="2">
        <v>5.3611600000000002E-3</v>
      </c>
      <c r="Q7" s="15">
        <v>1</v>
      </c>
      <c r="R7" s="15">
        <v>1</v>
      </c>
      <c r="S7" s="15">
        <v>1</v>
      </c>
      <c r="T7" s="15">
        <v>1</v>
      </c>
      <c r="U7" s="15">
        <v>1</v>
      </c>
      <c r="V7" s="15">
        <v>1</v>
      </c>
      <c r="W7" s="15">
        <v>1</v>
      </c>
      <c r="X7" s="15">
        <v>1</v>
      </c>
      <c r="Y7" s="15">
        <v>1</v>
      </c>
      <c r="Z7" s="15">
        <v>1</v>
      </c>
      <c r="AA7" s="98">
        <f t="shared" si="9"/>
        <v>0.4</v>
      </c>
      <c r="AB7" s="98">
        <f t="shared" si="9"/>
        <v>0.4</v>
      </c>
      <c r="AC7" s="98">
        <f t="shared" si="9"/>
        <v>0.4</v>
      </c>
      <c r="AD7" s="98">
        <f t="shared" si="9"/>
        <v>0.4</v>
      </c>
      <c r="AE7" s="98">
        <f t="shared" si="9"/>
        <v>0.4</v>
      </c>
      <c r="AF7" s="15">
        <v>1.37342465753425E-2</v>
      </c>
      <c r="AG7" s="15">
        <v>210</v>
      </c>
      <c r="AH7" s="2">
        <v>1E-3</v>
      </c>
      <c r="AI7" s="2">
        <v>2E-3</v>
      </c>
      <c r="AJ7" s="2">
        <v>15</v>
      </c>
      <c r="AK7" s="2" t="s">
        <v>1281</v>
      </c>
      <c r="AL7" s="2" t="s">
        <v>1281</v>
      </c>
      <c r="AM7" s="2" t="s">
        <v>1281</v>
      </c>
      <c r="AN7" s="2" t="s">
        <v>1281</v>
      </c>
      <c r="AO7" s="2" t="s">
        <v>1281</v>
      </c>
      <c r="AP7" s="2" t="s">
        <v>1281</v>
      </c>
      <c r="AQ7" s="2" t="s">
        <v>1281</v>
      </c>
      <c r="AR7" s="2" t="s">
        <v>1281</v>
      </c>
      <c r="AS7" s="2">
        <v>0.1</v>
      </c>
      <c r="AT7" s="2">
        <v>0.5</v>
      </c>
      <c r="AU7" s="15">
        <v>480</v>
      </c>
      <c r="AV7" s="15">
        <v>0.05</v>
      </c>
      <c r="AW7" s="15">
        <v>50.457809694793497</v>
      </c>
      <c r="AX7" s="42">
        <v>15</v>
      </c>
      <c r="AY7" s="42">
        <v>210</v>
      </c>
      <c r="AZ7" s="98">
        <f t="shared" si="10"/>
        <v>2.6999999999999999E-5</v>
      </c>
      <c r="BA7" s="98">
        <f t="shared" si="11"/>
        <v>4.9499999999999995E-2</v>
      </c>
      <c r="BB7" s="98">
        <v>0</v>
      </c>
      <c r="BC7" s="15">
        <v>5.0129999999999999</v>
      </c>
      <c r="BD7" s="98">
        <f t="shared" si="12"/>
        <v>0.5</v>
      </c>
      <c r="BE7" s="98">
        <f t="shared" si="13"/>
        <v>0.1</v>
      </c>
    </row>
    <row r="8" spans="1:57" x14ac:dyDescent="0.25">
      <c r="A8" s="42" t="s">
        <v>6</v>
      </c>
      <c r="B8" s="42" t="s">
        <v>1057</v>
      </c>
      <c r="C8" s="42"/>
      <c r="D8" s="42"/>
      <c r="E8" s="2">
        <v>9.9159999999999996E-7</v>
      </c>
      <c r="F8" s="2">
        <v>9.9159999999999996E-7</v>
      </c>
      <c r="G8" s="2">
        <v>0.68742400000000004</v>
      </c>
      <c r="H8" s="2">
        <v>1.3134999999999999E-4</v>
      </c>
      <c r="I8" s="2">
        <v>9.9159999999999996E-7</v>
      </c>
      <c r="J8" s="2">
        <v>7.3259999999999998E-7</v>
      </c>
      <c r="K8" s="2">
        <v>6.9357293280000005E-4</v>
      </c>
      <c r="L8" s="2">
        <v>0.191716</v>
      </c>
      <c r="M8" s="2">
        <v>1.4712153119999999E-3</v>
      </c>
      <c r="N8" s="2">
        <v>0.148506</v>
      </c>
      <c r="O8" s="2">
        <v>0.41469600000000001</v>
      </c>
      <c r="P8" s="2">
        <v>0.62951599999999996</v>
      </c>
      <c r="Q8" s="15">
        <v>1</v>
      </c>
      <c r="R8" s="15">
        <v>1</v>
      </c>
      <c r="S8" s="15">
        <v>1</v>
      </c>
      <c r="T8" s="15">
        <v>1</v>
      </c>
      <c r="U8" s="15">
        <v>1</v>
      </c>
      <c r="V8" s="15">
        <v>1</v>
      </c>
      <c r="W8" s="15">
        <v>1</v>
      </c>
      <c r="X8" s="15">
        <v>1</v>
      </c>
      <c r="Y8" s="15">
        <v>1</v>
      </c>
      <c r="Z8" s="15">
        <v>1</v>
      </c>
      <c r="AA8" s="98">
        <f t="shared" ref="AA8:AE9" si="14">0.4*V8</f>
        <v>0.4</v>
      </c>
      <c r="AB8" s="98">
        <f t="shared" si="14"/>
        <v>0.4</v>
      </c>
      <c r="AC8" s="98">
        <f t="shared" si="14"/>
        <v>0.4</v>
      </c>
      <c r="AD8" s="98">
        <f t="shared" si="14"/>
        <v>0.4</v>
      </c>
      <c r="AE8" s="98">
        <f t="shared" si="14"/>
        <v>0.4</v>
      </c>
      <c r="AF8" s="15">
        <v>8.6738964992389594E-5</v>
      </c>
      <c r="AG8" s="15">
        <v>213</v>
      </c>
      <c r="AH8" s="2">
        <v>1E-3</v>
      </c>
      <c r="AI8" s="2">
        <v>2E-3</v>
      </c>
      <c r="AJ8" s="2">
        <v>15</v>
      </c>
      <c r="AK8" s="2" t="s">
        <v>1281</v>
      </c>
      <c r="AL8" s="2" t="s">
        <v>1281</v>
      </c>
      <c r="AM8" s="2" t="s">
        <v>1281</v>
      </c>
      <c r="AN8" s="2" t="s">
        <v>1281</v>
      </c>
      <c r="AO8" s="2" t="s">
        <v>1281</v>
      </c>
      <c r="AP8" s="2" t="s">
        <v>1281</v>
      </c>
      <c r="AQ8" s="2" t="s">
        <v>1281</v>
      </c>
      <c r="AR8" s="2" t="s">
        <v>1281</v>
      </c>
      <c r="AS8" s="2">
        <v>0.1</v>
      </c>
      <c r="AT8" s="2">
        <v>0.5</v>
      </c>
      <c r="AU8" s="15">
        <v>480</v>
      </c>
      <c r="AV8" s="15">
        <v>0.05</v>
      </c>
      <c r="AW8" s="15">
        <v>7989.4889230094304</v>
      </c>
      <c r="AX8" s="42">
        <v>15</v>
      </c>
      <c r="AY8" s="42">
        <v>213</v>
      </c>
      <c r="AZ8" s="98">
        <f t="shared" si="10"/>
        <v>2.6999999999999999E-5</v>
      </c>
      <c r="BA8" s="98">
        <f t="shared" si="11"/>
        <v>4.9499999999999995E-2</v>
      </c>
      <c r="BB8" s="98">
        <v>0</v>
      </c>
      <c r="BC8" s="15">
        <v>3.16597222222222E-2</v>
      </c>
      <c r="BD8" s="98">
        <f t="shared" si="12"/>
        <v>0.5</v>
      </c>
      <c r="BE8" s="98">
        <f t="shared" si="13"/>
        <v>0.1</v>
      </c>
    </row>
    <row r="9" spans="1:57" x14ac:dyDescent="0.25">
      <c r="A9" s="42" t="s">
        <v>7</v>
      </c>
      <c r="B9" s="42" t="s">
        <v>1057</v>
      </c>
      <c r="C9" s="42">
        <v>1</v>
      </c>
      <c r="D9" s="14">
        <v>0.81426522800000001</v>
      </c>
      <c r="E9" s="2">
        <v>5.5130000000000002E-7</v>
      </c>
      <c r="F9" s="2">
        <v>5.5130000000000002E-7</v>
      </c>
      <c r="G9" s="2">
        <v>9.1345200000000002</v>
      </c>
      <c r="H9" s="2">
        <v>3.6600000000000002E-5</v>
      </c>
      <c r="I9" s="2">
        <v>5.5130000000000002E-7</v>
      </c>
      <c r="J9" s="2">
        <v>4.144E-7</v>
      </c>
      <c r="K9" s="2">
        <v>8.3018578319999994E-3</v>
      </c>
      <c r="L9" s="2">
        <v>1.65998</v>
      </c>
      <c r="M9" s="2">
        <v>1.7981520479999999E-2</v>
      </c>
      <c r="N9" s="2">
        <v>1.6288959999999999</v>
      </c>
      <c r="O9" s="2">
        <v>4.7073600000000004</v>
      </c>
      <c r="P9" s="2">
        <v>7.6214399999999998</v>
      </c>
      <c r="Q9" s="15">
        <v>1</v>
      </c>
      <c r="R9" s="15">
        <v>1</v>
      </c>
      <c r="S9" s="15">
        <v>1</v>
      </c>
      <c r="T9" s="15">
        <v>1</v>
      </c>
      <c r="U9" s="15">
        <v>1</v>
      </c>
      <c r="V9" s="15">
        <v>1</v>
      </c>
      <c r="W9" s="15">
        <v>1</v>
      </c>
      <c r="X9" s="15">
        <v>1</v>
      </c>
      <c r="Y9" s="15">
        <v>1</v>
      </c>
      <c r="Z9" s="15">
        <v>1</v>
      </c>
      <c r="AA9" s="98">
        <f t="shared" si="14"/>
        <v>0.4</v>
      </c>
      <c r="AB9" s="98">
        <f t="shared" si="14"/>
        <v>0.4</v>
      </c>
      <c r="AC9" s="98">
        <f t="shared" si="14"/>
        <v>0.4</v>
      </c>
      <c r="AD9" s="98">
        <f t="shared" si="14"/>
        <v>0.4</v>
      </c>
      <c r="AE9" s="98">
        <f t="shared" si="14"/>
        <v>0.4</v>
      </c>
      <c r="AF9" s="15">
        <v>3.7861491628614902E-5</v>
      </c>
      <c r="AG9" s="15">
        <v>214</v>
      </c>
      <c r="AH9" s="2">
        <v>1E-3</v>
      </c>
      <c r="AI9" s="2">
        <v>2E-3</v>
      </c>
      <c r="AJ9" s="2">
        <v>15</v>
      </c>
      <c r="AK9" s="2" t="s">
        <v>1281</v>
      </c>
      <c r="AL9" s="2" t="s">
        <v>1281</v>
      </c>
      <c r="AM9" s="2" t="s">
        <v>1281</v>
      </c>
      <c r="AN9" s="2" t="s">
        <v>1281</v>
      </c>
      <c r="AO9" s="2" t="s">
        <v>1281</v>
      </c>
      <c r="AP9" s="2" t="s">
        <v>1281</v>
      </c>
      <c r="AQ9" s="2" t="s">
        <v>1281</v>
      </c>
      <c r="AR9" s="2" t="s">
        <v>1281</v>
      </c>
      <c r="AS9" s="2">
        <v>0.1</v>
      </c>
      <c r="AT9" s="2">
        <v>0.5</v>
      </c>
      <c r="AU9" s="15">
        <v>480</v>
      </c>
      <c r="AV9" s="15">
        <v>0.05</v>
      </c>
      <c r="AW9" s="15">
        <v>18303.557788944701</v>
      </c>
      <c r="AX9" s="42">
        <v>15</v>
      </c>
      <c r="AY9" s="42">
        <v>214</v>
      </c>
      <c r="AZ9" s="98">
        <f t="shared" si="10"/>
        <v>2.6999999999999999E-5</v>
      </c>
      <c r="BA9" s="98">
        <f t="shared" si="11"/>
        <v>4.9499999999999995E-2</v>
      </c>
      <c r="BB9" s="98">
        <v>0</v>
      </c>
      <c r="BC9" s="15">
        <v>1.38194444444444E-2</v>
      </c>
      <c r="BD9" s="98">
        <f t="shared" si="12"/>
        <v>0.5</v>
      </c>
      <c r="BE9" s="98">
        <f t="shared" si="13"/>
        <v>0.1</v>
      </c>
    </row>
    <row r="10" spans="1:57" x14ac:dyDescent="0.25">
      <c r="A10" s="42" t="s">
        <v>8</v>
      </c>
      <c r="B10" s="42" t="s">
        <v>335</v>
      </c>
      <c r="C10" s="42"/>
      <c r="D10" s="42"/>
      <c r="E10" s="2">
        <v>4.9209999999999998E-5</v>
      </c>
      <c r="F10" s="2">
        <v>4.9209999999999998E-5</v>
      </c>
      <c r="G10" s="2">
        <v>8.6861999999999996E-4</v>
      </c>
      <c r="H10" s="2">
        <v>1.5428999999999999E-4</v>
      </c>
      <c r="I10" s="2">
        <v>4.9209999999999998E-5</v>
      </c>
      <c r="J10" s="2">
        <v>5.0319999999999999E-5</v>
      </c>
      <c r="K10" s="2">
        <v>1.0975733279999999E-5</v>
      </c>
      <c r="L10" s="2">
        <v>3.6589700000000001E-3</v>
      </c>
      <c r="M10" s="2">
        <v>1.22601276E-5</v>
      </c>
      <c r="N10" s="2">
        <v>4.0161999999999999E-4</v>
      </c>
      <c r="O10" s="2">
        <v>7.0049999999999995E-4</v>
      </c>
      <c r="P10" s="2">
        <v>8.5367600000000004E-4</v>
      </c>
      <c r="Q10" s="15">
        <v>1</v>
      </c>
      <c r="R10" s="15">
        <v>1</v>
      </c>
      <c r="S10" s="15">
        <v>1</v>
      </c>
      <c r="T10" s="15">
        <v>1</v>
      </c>
      <c r="U10" s="15">
        <v>1</v>
      </c>
      <c r="V10" s="15">
        <v>1</v>
      </c>
      <c r="W10" s="15">
        <v>1</v>
      </c>
      <c r="X10" s="15">
        <v>1</v>
      </c>
      <c r="Y10" s="15">
        <v>1</v>
      </c>
      <c r="Z10" s="15">
        <v>1</v>
      </c>
      <c r="AA10" s="98">
        <f t="shared" ref="AA10:AE10" si="15">0.4*V10</f>
        <v>0.4</v>
      </c>
      <c r="AB10" s="98">
        <f t="shared" si="15"/>
        <v>0.4</v>
      </c>
      <c r="AC10" s="98">
        <f t="shared" si="15"/>
        <v>0.4</v>
      </c>
      <c r="AD10" s="98">
        <f t="shared" si="15"/>
        <v>0.4</v>
      </c>
      <c r="AE10" s="98">
        <f t="shared" si="15"/>
        <v>0.4</v>
      </c>
      <c r="AF10" s="15">
        <v>30.167100000000001</v>
      </c>
      <c r="AG10" s="15">
        <v>137</v>
      </c>
      <c r="AH10" s="2">
        <v>4.5999999999999999E-3</v>
      </c>
      <c r="AI10" s="2">
        <v>2.1999999999999999E-2</v>
      </c>
      <c r="AJ10" s="2">
        <v>2500</v>
      </c>
      <c r="AK10" s="2">
        <v>23</v>
      </c>
      <c r="AL10" s="2">
        <v>2.7</v>
      </c>
      <c r="AM10" s="2">
        <v>0.4</v>
      </c>
      <c r="AN10" s="2">
        <v>0.2</v>
      </c>
      <c r="AO10" s="228">
        <v>0.19</v>
      </c>
      <c r="AP10" s="228">
        <v>5.8000000000000003E-2</v>
      </c>
      <c r="AQ10" s="228">
        <v>0.32</v>
      </c>
      <c r="AR10" s="228">
        <v>0.11</v>
      </c>
      <c r="AS10" s="2">
        <v>2.9000000000000001E-2</v>
      </c>
      <c r="AT10" s="2">
        <v>3.3333333333333E-2</v>
      </c>
      <c r="AU10" s="15">
        <v>10</v>
      </c>
      <c r="AV10" s="15">
        <v>1</v>
      </c>
      <c r="AW10" s="15">
        <v>2.2972045705420802E-2</v>
      </c>
      <c r="AX10" s="42">
        <v>200</v>
      </c>
      <c r="AY10" s="42">
        <v>137</v>
      </c>
      <c r="AZ10" s="98">
        <f t="shared" ref="AZ10" si="16">BB10+lambda_HL</f>
        <v>2.6999999999999999E-5</v>
      </c>
      <c r="BA10" s="98">
        <f t="shared" ref="BA10" si="17">BB10+(0.693/t_w)</f>
        <v>4.9499999999999995E-2</v>
      </c>
      <c r="BB10" s="98">
        <v>0</v>
      </c>
      <c r="BC10" s="15">
        <v>11010.9915</v>
      </c>
      <c r="BD10" s="98">
        <f t="shared" ref="BD10" si="18">AT10</f>
        <v>3.3333333333333E-2</v>
      </c>
      <c r="BE10" s="98">
        <f t="shared" ref="BE10" si="19">AS10</f>
        <v>2.9000000000000001E-2</v>
      </c>
    </row>
    <row r="11" spans="1:57" x14ac:dyDescent="0.25">
      <c r="A11" s="42" t="s">
        <v>9</v>
      </c>
      <c r="B11" s="42" t="s">
        <v>1057</v>
      </c>
      <c r="C11" s="42"/>
      <c r="D11" s="42"/>
      <c r="E11" s="2">
        <v>0</v>
      </c>
      <c r="F11" s="2">
        <v>0</v>
      </c>
      <c r="G11" s="2">
        <v>0.13318840000000001</v>
      </c>
      <c r="H11" s="2">
        <v>0</v>
      </c>
      <c r="I11" s="2">
        <v>0</v>
      </c>
      <c r="J11" s="2">
        <v>0</v>
      </c>
      <c r="K11" s="2">
        <v>1.459539E-4</v>
      </c>
      <c r="L11" s="2">
        <v>3.1446099999999998E-2</v>
      </c>
      <c r="M11" s="2">
        <v>3.2109857999999998E-4</v>
      </c>
      <c r="N11" s="2">
        <v>3.19428E-2</v>
      </c>
      <c r="O11" s="2">
        <v>8.9290400000000006E-2</v>
      </c>
      <c r="P11" s="2">
        <v>0.1281448</v>
      </c>
      <c r="Q11" s="15">
        <v>1</v>
      </c>
      <c r="R11" s="15">
        <v>1</v>
      </c>
      <c r="S11" s="15">
        <v>1</v>
      </c>
      <c r="T11" s="15">
        <v>1</v>
      </c>
      <c r="U11" s="15">
        <v>1</v>
      </c>
      <c r="V11" s="15">
        <v>1</v>
      </c>
      <c r="W11" s="15">
        <v>1</v>
      </c>
      <c r="X11" s="15">
        <v>1</v>
      </c>
      <c r="Y11" s="15">
        <v>1</v>
      </c>
      <c r="Z11" s="15">
        <v>1</v>
      </c>
      <c r="AA11" s="98">
        <f t="shared" ref="AA11:AE11" si="20">0.4*V11</f>
        <v>0.4</v>
      </c>
      <c r="AB11" s="98">
        <f t="shared" si="20"/>
        <v>0.4</v>
      </c>
      <c r="AC11" s="98">
        <f t="shared" si="20"/>
        <v>0.4</v>
      </c>
      <c r="AD11" s="98">
        <f t="shared" si="20"/>
        <v>0.4</v>
      </c>
      <c r="AE11" s="98">
        <f t="shared" si="20"/>
        <v>0.4</v>
      </c>
      <c r="AF11" s="15">
        <v>9.3226788432267907E-6</v>
      </c>
      <c r="AG11" s="15">
        <v>221</v>
      </c>
      <c r="AH11" s="2">
        <v>8.0000000000000002E-3</v>
      </c>
      <c r="AI11" s="2">
        <v>0.03</v>
      </c>
      <c r="AJ11" s="2" t="s">
        <v>1281</v>
      </c>
      <c r="AK11" s="2" t="s">
        <v>1281</v>
      </c>
      <c r="AL11" s="2" t="s">
        <v>1281</v>
      </c>
      <c r="AM11" s="2" t="s">
        <v>1281</v>
      </c>
      <c r="AN11" s="2" t="s">
        <v>1281</v>
      </c>
      <c r="AO11" s="2" t="s">
        <v>1281</v>
      </c>
      <c r="AP11" s="2" t="s">
        <v>1281</v>
      </c>
      <c r="AQ11" s="2" t="s">
        <v>1281</v>
      </c>
      <c r="AR11" s="2" t="s">
        <v>1281</v>
      </c>
      <c r="AS11" s="2">
        <v>0.03</v>
      </c>
      <c r="AT11" s="2">
        <v>0.1</v>
      </c>
      <c r="AU11" s="15">
        <v>250</v>
      </c>
      <c r="AV11" s="15"/>
      <c r="AW11" s="15">
        <v>74334.857142857101</v>
      </c>
      <c r="AX11" s="42">
        <v>15</v>
      </c>
      <c r="AY11" s="42">
        <v>221</v>
      </c>
      <c r="AZ11" s="98">
        <f t="shared" ref="AZ11" si="21">BB11+lambda_HL</f>
        <v>2.6999999999999999E-5</v>
      </c>
      <c r="BA11" s="98">
        <f t="shared" ref="BA11" si="22">BB11+(0.693/t_w)</f>
        <v>4.9499999999999995E-2</v>
      </c>
      <c r="BB11" s="98">
        <v>0</v>
      </c>
      <c r="BC11" s="15">
        <v>3.4027777777777802E-3</v>
      </c>
      <c r="BD11" s="98">
        <f t="shared" ref="BD11" si="23">AT11</f>
        <v>0.1</v>
      </c>
      <c r="BE11" s="98">
        <f t="shared" ref="BE11" si="24">AS11</f>
        <v>0.03</v>
      </c>
    </row>
    <row r="12" spans="1:57" x14ac:dyDescent="0.25">
      <c r="A12" s="42" t="s">
        <v>10</v>
      </c>
      <c r="B12" s="42" t="s">
        <v>1057</v>
      </c>
      <c r="C12" s="42">
        <v>1</v>
      </c>
      <c r="D12" s="14">
        <v>0</v>
      </c>
      <c r="E12" s="2">
        <v>0</v>
      </c>
      <c r="F12" s="2">
        <v>0</v>
      </c>
      <c r="G12" s="2">
        <v>0.61270400000000003</v>
      </c>
      <c r="H12" s="2">
        <v>0</v>
      </c>
      <c r="I12" s="2">
        <v>0</v>
      </c>
      <c r="J12" s="2">
        <v>0</v>
      </c>
      <c r="K12" s="2">
        <v>6.4920294719999995E-4</v>
      </c>
      <c r="L12" s="2">
        <v>0.174181</v>
      </c>
      <c r="M12" s="2">
        <v>1.3894811280000001E-3</v>
      </c>
      <c r="N12" s="2">
        <v>0.1386056</v>
      </c>
      <c r="O12" s="2">
        <v>0.38667600000000002</v>
      </c>
      <c r="P12" s="2">
        <v>0.57347599999999999</v>
      </c>
      <c r="Q12" s="15">
        <v>1</v>
      </c>
      <c r="R12" s="15">
        <v>1</v>
      </c>
      <c r="S12" s="15">
        <v>1</v>
      </c>
      <c r="T12" s="15">
        <v>1</v>
      </c>
      <c r="U12" s="15">
        <v>1</v>
      </c>
      <c r="V12" s="15">
        <v>1</v>
      </c>
      <c r="W12" s="15">
        <v>1</v>
      </c>
      <c r="X12" s="15">
        <v>1</v>
      </c>
      <c r="Y12" s="15">
        <v>1</v>
      </c>
      <c r="Z12" s="15">
        <v>1</v>
      </c>
      <c r="AA12" s="98">
        <f t="shared" ref="AA12:AE12" si="25">0.4*V12</f>
        <v>0.4</v>
      </c>
      <c r="AB12" s="98">
        <f t="shared" si="25"/>
        <v>0.4</v>
      </c>
      <c r="AC12" s="98">
        <f t="shared" si="25"/>
        <v>0.4</v>
      </c>
      <c r="AD12" s="98">
        <f t="shared" si="25"/>
        <v>0.4</v>
      </c>
      <c r="AE12" s="98">
        <f t="shared" si="25"/>
        <v>0.4</v>
      </c>
      <c r="AF12" s="15">
        <v>1.5506088280060901E-5</v>
      </c>
      <c r="AG12" s="15">
        <v>206</v>
      </c>
      <c r="AH12" s="2">
        <v>5.0000000000000001E-4</v>
      </c>
      <c r="AI12" s="2">
        <v>0.01</v>
      </c>
      <c r="AJ12" s="2">
        <v>6100</v>
      </c>
      <c r="AK12" s="2">
        <v>750</v>
      </c>
      <c r="AL12" s="2">
        <v>0.03</v>
      </c>
      <c r="AM12" s="2" t="s">
        <v>1281</v>
      </c>
      <c r="AN12" s="2" t="s">
        <v>1281</v>
      </c>
      <c r="AO12" s="2" t="s">
        <v>1281</v>
      </c>
      <c r="AP12" s="2" t="s">
        <v>1281</v>
      </c>
      <c r="AQ12" s="2" t="s">
        <v>1281</v>
      </c>
      <c r="AR12" s="2" t="s">
        <v>1281</v>
      </c>
      <c r="AS12" s="2">
        <v>0.3</v>
      </c>
      <c r="AT12" s="2">
        <v>1</v>
      </c>
      <c r="AU12" s="15">
        <v>6300</v>
      </c>
      <c r="AV12" s="15"/>
      <c r="AW12" s="15">
        <v>44692.122699386498</v>
      </c>
      <c r="AX12" s="42"/>
      <c r="AY12" s="42">
        <v>206</v>
      </c>
      <c r="AZ12" s="98">
        <f t="shared" ref="AZ12" si="26">BB12+lambda_HL</f>
        <v>2.6999999999999999E-5</v>
      </c>
      <c r="BA12" s="98">
        <f t="shared" ref="BA12" si="27">BB12+(0.693/t_w)</f>
        <v>4.9499999999999995E-2</v>
      </c>
      <c r="BB12" s="98">
        <v>0</v>
      </c>
      <c r="BC12" s="15">
        <v>5.6597222222222196E-3</v>
      </c>
      <c r="BD12" s="98">
        <f t="shared" ref="BD12" si="28">AT12</f>
        <v>1</v>
      </c>
      <c r="BE12" s="98">
        <f t="shared" ref="BE12" si="29">AS12</f>
        <v>0.3</v>
      </c>
    </row>
    <row r="13" spans="1:57" x14ac:dyDescent="0.25">
      <c r="A13" s="42" t="s">
        <v>11</v>
      </c>
      <c r="B13" s="42" t="s">
        <v>1057</v>
      </c>
      <c r="C13" s="42"/>
      <c r="D13" s="42"/>
      <c r="E13" s="2">
        <v>4.6250000000000002E-4</v>
      </c>
      <c r="F13" s="2">
        <v>4.6250000000000002E-4</v>
      </c>
      <c r="G13" s="2">
        <v>6.7061200000000001E-2</v>
      </c>
      <c r="H13" s="2">
        <v>4.6620000000000002E-2</v>
      </c>
      <c r="I13" s="2">
        <v>4.6250000000000002E-4</v>
      </c>
      <c r="J13" s="2">
        <v>3.9589999999999997E-4</v>
      </c>
      <c r="K13" s="2">
        <v>1.004162832E-4</v>
      </c>
      <c r="L13" s="2">
        <v>2.85236E-2</v>
      </c>
      <c r="M13" s="2">
        <v>2.2535282160000001E-4</v>
      </c>
      <c r="N13" s="2">
        <v>2.2415999999999998E-2</v>
      </c>
      <c r="O13" s="2">
        <v>5.3424800000000001E-2</v>
      </c>
      <c r="P13" s="2">
        <v>6.6874400000000001E-2</v>
      </c>
      <c r="Q13" s="15">
        <v>1</v>
      </c>
      <c r="R13" s="15">
        <v>1</v>
      </c>
      <c r="S13" s="15">
        <v>1</v>
      </c>
      <c r="T13" s="15">
        <v>1</v>
      </c>
      <c r="U13" s="15">
        <v>1</v>
      </c>
      <c r="V13" s="15">
        <v>1</v>
      </c>
      <c r="W13" s="15">
        <v>1</v>
      </c>
      <c r="X13" s="15">
        <v>1</v>
      </c>
      <c r="Y13" s="15">
        <v>1</v>
      </c>
      <c r="Z13" s="15">
        <v>1</v>
      </c>
      <c r="AA13" s="98">
        <f t="shared" ref="AA13:AE13" si="30">0.4*V13</f>
        <v>0.4</v>
      </c>
      <c r="AB13" s="98">
        <f t="shared" si="30"/>
        <v>0.4</v>
      </c>
      <c r="AC13" s="98">
        <f t="shared" si="30"/>
        <v>0.4</v>
      </c>
      <c r="AD13" s="98">
        <f t="shared" si="30"/>
        <v>0.4</v>
      </c>
      <c r="AE13" s="98">
        <f t="shared" si="30"/>
        <v>0.4</v>
      </c>
      <c r="AF13" s="15">
        <v>2144000</v>
      </c>
      <c r="AG13" s="15">
        <v>237</v>
      </c>
      <c r="AH13" s="2">
        <v>9.9999999999999995E-7</v>
      </c>
      <c r="AI13" s="2">
        <v>1E-4</v>
      </c>
      <c r="AJ13" s="2">
        <v>30</v>
      </c>
      <c r="AK13" s="2">
        <v>9500</v>
      </c>
      <c r="AL13" s="2" t="s">
        <v>1281</v>
      </c>
      <c r="AM13" s="2" t="s">
        <v>1281</v>
      </c>
      <c r="AN13" s="2" t="s">
        <v>1281</v>
      </c>
      <c r="AO13" s="228">
        <v>4.0000000000000002E-4</v>
      </c>
      <c r="AP13" s="2" t="s">
        <v>1281</v>
      </c>
      <c r="AQ13" s="2" t="s">
        <v>1281</v>
      </c>
      <c r="AR13" s="228">
        <v>5.3000000000000001E-5</v>
      </c>
      <c r="AS13" s="2">
        <v>2.8999999999999998E-3</v>
      </c>
      <c r="AT13" s="2">
        <v>3.3333333333333002E-3</v>
      </c>
      <c r="AU13" s="15">
        <v>0.2</v>
      </c>
      <c r="AV13" s="15">
        <v>5.0000000000000001E-4</v>
      </c>
      <c r="AW13" s="15">
        <v>3.2322761194029798E-7</v>
      </c>
      <c r="AX13" s="42">
        <v>15</v>
      </c>
      <c r="AY13" s="42">
        <v>237</v>
      </c>
      <c r="AZ13" s="98">
        <f t="shared" ref="AZ13:AZ14" si="31">BB13+lambda_HL</f>
        <v>2.6999999999999999E-5</v>
      </c>
      <c r="BA13" s="98">
        <f t="shared" ref="BA13:BA14" si="32">BB13+(0.693/t_w)</f>
        <v>4.9499999999999995E-2</v>
      </c>
      <c r="BB13" s="98">
        <v>0</v>
      </c>
      <c r="BC13" s="15">
        <v>782560000</v>
      </c>
      <c r="BD13" s="98">
        <f t="shared" ref="BD13:BD14" si="33">AT13</f>
        <v>3.3333333333333002E-3</v>
      </c>
      <c r="BE13" s="98">
        <f t="shared" ref="BE13:BE14" si="34">AS13</f>
        <v>2.8999999999999998E-3</v>
      </c>
    </row>
    <row r="14" spans="1:57" x14ac:dyDescent="0.25">
      <c r="A14" s="42" t="s">
        <v>12</v>
      </c>
      <c r="B14" s="42" t="s">
        <v>1057</v>
      </c>
      <c r="C14" s="42"/>
      <c r="D14" s="42"/>
      <c r="E14" s="2">
        <v>4.8840000000000002E-6</v>
      </c>
      <c r="F14" s="2">
        <v>4.8840000000000002E-6</v>
      </c>
      <c r="G14" s="2">
        <v>1.01806</v>
      </c>
      <c r="H14" s="2">
        <v>1.6872E-5</v>
      </c>
      <c r="I14" s="2">
        <v>4.8840000000000002E-6</v>
      </c>
      <c r="J14" s="2">
        <v>3.5742E-6</v>
      </c>
      <c r="K14" s="2">
        <v>1.0823941224000001E-3</v>
      </c>
      <c r="L14" s="2">
        <v>0.23613799999999999</v>
      </c>
      <c r="M14" s="2">
        <v>2.370291336E-3</v>
      </c>
      <c r="N14" s="2">
        <v>0.237236</v>
      </c>
      <c r="O14" s="2">
        <v>0.65940399999999999</v>
      </c>
      <c r="P14" s="2">
        <v>0.96388799999999997</v>
      </c>
      <c r="Q14" s="15">
        <v>1</v>
      </c>
      <c r="R14" s="15">
        <v>1</v>
      </c>
      <c r="S14" s="15">
        <v>1</v>
      </c>
      <c r="T14" s="15">
        <v>1</v>
      </c>
      <c r="U14" s="15">
        <v>1</v>
      </c>
      <c r="V14" s="15">
        <v>1</v>
      </c>
      <c r="W14" s="15">
        <v>1</v>
      </c>
      <c r="X14" s="15">
        <v>1</v>
      </c>
      <c r="Y14" s="15">
        <v>1</v>
      </c>
      <c r="Z14" s="15">
        <v>1</v>
      </c>
      <c r="AA14" s="98">
        <f t="shared" ref="AA14:AE14" si="35">0.4*V14</f>
        <v>0.4</v>
      </c>
      <c r="AB14" s="98">
        <f t="shared" si="35"/>
        <v>0.4</v>
      </c>
      <c r="AC14" s="98">
        <f t="shared" si="35"/>
        <v>0.4</v>
      </c>
      <c r="AD14" s="98">
        <f t="shared" si="35"/>
        <v>0.4</v>
      </c>
      <c r="AE14" s="98">
        <f t="shared" si="35"/>
        <v>0.4</v>
      </c>
      <c r="AF14" s="15">
        <v>7.3882191780821893E-2</v>
      </c>
      <c r="AG14" s="15">
        <v>233</v>
      </c>
      <c r="AH14" s="2">
        <v>5.0000000000000004E-6</v>
      </c>
      <c r="AI14" s="2">
        <v>5.0000000000000004E-6</v>
      </c>
      <c r="AJ14" s="2">
        <v>10</v>
      </c>
      <c r="AK14" s="2" t="s">
        <v>1281</v>
      </c>
      <c r="AL14" s="2" t="s">
        <v>1281</v>
      </c>
      <c r="AM14" s="2" t="s">
        <v>1281</v>
      </c>
      <c r="AN14" s="2" t="s">
        <v>1281</v>
      </c>
      <c r="AO14" s="2" t="s">
        <v>1281</v>
      </c>
      <c r="AP14" s="2" t="s">
        <v>1281</v>
      </c>
      <c r="AQ14" s="2" t="s">
        <v>1281</v>
      </c>
      <c r="AR14" s="2" t="s">
        <v>1281</v>
      </c>
      <c r="AS14" s="2">
        <v>0.01</v>
      </c>
      <c r="AT14" s="2">
        <v>0.1</v>
      </c>
      <c r="AU14" s="15">
        <v>2000</v>
      </c>
      <c r="AV14" s="15">
        <v>5.0000000000000001E-4</v>
      </c>
      <c r="AW14" s="15">
        <v>9.3797975303148302</v>
      </c>
      <c r="AX14" s="42">
        <v>300</v>
      </c>
      <c r="AY14" s="42">
        <v>233</v>
      </c>
      <c r="AZ14" s="98">
        <f t="shared" si="31"/>
        <v>2.6999999999999999E-5</v>
      </c>
      <c r="BA14" s="98">
        <f t="shared" si="32"/>
        <v>4.9499999999999995E-2</v>
      </c>
      <c r="BB14" s="98">
        <v>0</v>
      </c>
      <c r="BC14" s="15">
        <v>26.966999999999999</v>
      </c>
      <c r="BD14" s="98">
        <f t="shared" si="33"/>
        <v>0.1</v>
      </c>
      <c r="BE14" s="98">
        <f t="shared" si="34"/>
        <v>0.01</v>
      </c>
    </row>
    <row r="15" spans="1:57" x14ac:dyDescent="0.25">
      <c r="A15" s="42" t="s">
        <v>13</v>
      </c>
      <c r="B15" s="42" t="s">
        <v>1057</v>
      </c>
      <c r="C15" s="42"/>
      <c r="D15" s="42"/>
      <c r="E15" s="2">
        <v>2.7639E-7</v>
      </c>
      <c r="F15" s="2">
        <v>2.7639E-7</v>
      </c>
      <c r="G15" s="2">
        <v>7.5280400000000004E-4</v>
      </c>
      <c r="H15" s="2">
        <v>2.5825999999999998E-7</v>
      </c>
      <c r="I15" s="2">
        <v>2.7639E-7</v>
      </c>
      <c r="J15" s="2">
        <v>2.0979E-7</v>
      </c>
      <c r="K15" s="2">
        <v>1.1676312E-5</v>
      </c>
      <c r="L15" s="2">
        <v>3.7291099999999999E-3</v>
      </c>
      <c r="M15" s="2">
        <v>1.3077469440000001E-5</v>
      </c>
      <c r="N15" s="2">
        <v>2.9514400000000001E-4</v>
      </c>
      <c r="O15" s="2">
        <v>5.9589199999999999E-4</v>
      </c>
      <c r="P15" s="2">
        <v>7.4159599999999997E-4</v>
      </c>
      <c r="Q15" s="15">
        <v>0.9</v>
      </c>
      <c r="R15" s="15">
        <v>0.9</v>
      </c>
      <c r="S15" s="15">
        <v>0.9</v>
      </c>
      <c r="T15" s="15">
        <v>0.9</v>
      </c>
      <c r="U15" s="15">
        <v>0.9</v>
      </c>
      <c r="V15" s="15">
        <v>1</v>
      </c>
      <c r="W15" s="15">
        <v>1</v>
      </c>
      <c r="X15" s="15">
        <v>1</v>
      </c>
      <c r="Y15" s="15">
        <v>1</v>
      </c>
      <c r="Z15" s="15">
        <v>1</v>
      </c>
      <c r="AA15" s="98">
        <f t="shared" ref="AA15:AE17" si="36">0.4*V15</f>
        <v>0.4</v>
      </c>
      <c r="AB15" s="98">
        <f t="shared" si="36"/>
        <v>0.4</v>
      </c>
      <c r="AC15" s="98">
        <f t="shared" si="36"/>
        <v>0.4</v>
      </c>
      <c r="AD15" s="98">
        <f t="shared" si="36"/>
        <v>0.4</v>
      </c>
      <c r="AE15" s="98">
        <f t="shared" si="36"/>
        <v>0.4</v>
      </c>
      <c r="AF15" s="15">
        <v>3.7134703196347002E-4</v>
      </c>
      <c r="AG15" s="15">
        <v>209</v>
      </c>
      <c r="AH15" s="2">
        <v>1.9000000000000001E-4</v>
      </c>
      <c r="AI15" s="2">
        <v>6.9999999999999999E-4</v>
      </c>
      <c r="AJ15" s="2">
        <v>25</v>
      </c>
      <c r="AK15" s="2">
        <v>22</v>
      </c>
      <c r="AL15" s="2" t="s">
        <v>1281</v>
      </c>
      <c r="AM15" s="2" t="s">
        <v>1281</v>
      </c>
      <c r="AN15" s="2" t="s">
        <v>1281</v>
      </c>
      <c r="AO15" s="228">
        <v>7.1000000000000004E-3</v>
      </c>
      <c r="AP15" s="228">
        <v>3.5000000000000003E-2</v>
      </c>
      <c r="AQ15" s="2" t="s">
        <v>1281</v>
      </c>
      <c r="AR15" s="228">
        <v>6.0000000000000001E-3</v>
      </c>
      <c r="AS15" s="2">
        <v>1.0999999999999999E-2</v>
      </c>
      <c r="AT15" s="2">
        <v>1.264367816092E-2</v>
      </c>
      <c r="AU15" s="15">
        <v>150</v>
      </c>
      <c r="AV15" s="15">
        <v>0.2</v>
      </c>
      <c r="AW15" s="15">
        <v>1866.1789117737501</v>
      </c>
      <c r="AX15" s="42"/>
      <c r="AY15" s="42">
        <v>209</v>
      </c>
      <c r="AZ15" s="98">
        <f t="shared" ref="AZ15:AZ21" si="37">BB15+lambda_HL</f>
        <v>2.6999999999999999E-5</v>
      </c>
      <c r="BA15" s="98">
        <f t="shared" ref="BA15:BA21" si="38">BB15+(0.693/t_w)</f>
        <v>4.9499999999999995E-2</v>
      </c>
      <c r="BB15" s="98">
        <v>0</v>
      </c>
      <c r="BC15" s="15">
        <v>0.135541666666667</v>
      </c>
      <c r="BD15" s="98">
        <f t="shared" ref="BD15:BD21" si="39">AT15</f>
        <v>1.264367816092E-2</v>
      </c>
      <c r="BE15" s="98">
        <f t="shared" ref="BE15:BE21" si="40">AS15</f>
        <v>1.0999999999999999E-2</v>
      </c>
    </row>
    <row r="16" spans="1:57" x14ac:dyDescent="0.25">
      <c r="A16" s="42" t="s">
        <v>14</v>
      </c>
      <c r="B16" s="42" t="s">
        <v>1057</v>
      </c>
      <c r="C16" s="42">
        <v>1</v>
      </c>
      <c r="D16" s="14">
        <v>0</v>
      </c>
      <c r="E16" s="2">
        <v>3.774E-3</v>
      </c>
      <c r="F16" s="2">
        <v>3.774E-3</v>
      </c>
      <c r="G16" s="2">
        <v>2.09216E-3</v>
      </c>
      <c r="H16" s="2">
        <v>2.2311000000000001E-2</v>
      </c>
      <c r="I16" s="2">
        <v>3.774E-3</v>
      </c>
      <c r="J16" s="2">
        <v>2.5752000000000001E-3</v>
      </c>
      <c r="K16" s="2">
        <v>5.4995429520000004E-6</v>
      </c>
      <c r="L16" s="2">
        <v>2.5367300000000001E-3</v>
      </c>
      <c r="M16" s="2">
        <v>1.272718008E-5</v>
      </c>
      <c r="N16" s="2">
        <v>1.3300160000000001E-3</v>
      </c>
      <c r="O16" s="2">
        <v>2.0547999999999999E-3</v>
      </c>
      <c r="P16" s="2">
        <v>2.09216E-3</v>
      </c>
      <c r="Q16" s="15">
        <v>1</v>
      </c>
      <c r="R16" s="15">
        <v>1</v>
      </c>
      <c r="S16" s="15">
        <v>1</v>
      </c>
      <c r="T16" s="15">
        <v>1</v>
      </c>
      <c r="U16" s="15">
        <v>1</v>
      </c>
      <c r="V16" s="15">
        <v>1</v>
      </c>
      <c r="W16" s="15">
        <v>1</v>
      </c>
      <c r="X16" s="15">
        <v>1</v>
      </c>
      <c r="Y16" s="15">
        <v>1</v>
      </c>
      <c r="Z16" s="15">
        <v>1</v>
      </c>
      <c r="AA16" s="98">
        <f t="shared" si="36"/>
        <v>0.4</v>
      </c>
      <c r="AB16" s="98">
        <f t="shared" si="36"/>
        <v>0.4</v>
      </c>
      <c r="AC16" s="98">
        <f t="shared" si="36"/>
        <v>0.4</v>
      </c>
      <c r="AD16" s="98">
        <f t="shared" si="36"/>
        <v>0.4</v>
      </c>
      <c r="AE16" s="98">
        <f t="shared" si="36"/>
        <v>0.4</v>
      </c>
      <c r="AF16" s="15">
        <v>22.2</v>
      </c>
      <c r="AG16" s="15">
        <v>210</v>
      </c>
      <c r="AH16" s="2">
        <v>1.9000000000000001E-4</v>
      </c>
      <c r="AI16" s="2">
        <v>6.9999999999999999E-4</v>
      </c>
      <c r="AJ16" s="2">
        <v>25</v>
      </c>
      <c r="AK16" s="2">
        <v>22</v>
      </c>
      <c r="AL16" s="2" t="s">
        <v>1281</v>
      </c>
      <c r="AM16" s="2" t="s">
        <v>1281</v>
      </c>
      <c r="AN16" s="2" t="s">
        <v>1281</v>
      </c>
      <c r="AO16" s="228">
        <v>7.1000000000000004E-3</v>
      </c>
      <c r="AP16" s="228">
        <v>3.5000000000000003E-2</v>
      </c>
      <c r="AQ16" s="2" t="s">
        <v>1281</v>
      </c>
      <c r="AR16" s="228">
        <v>6.0000000000000001E-3</v>
      </c>
      <c r="AS16" s="2">
        <v>1.0999999999999999E-2</v>
      </c>
      <c r="AT16" s="2">
        <v>1.264367816092E-2</v>
      </c>
      <c r="AU16" s="15">
        <v>150</v>
      </c>
      <c r="AV16" s="15">
        <v>0.2</v>
      </c>
      <c r="AW16" s="15">
        <v>3.1216216216216199E-2</v>
      </c>
      <c r="AX16" s="42"/>
      <c r="AY16" s="42">
        <v>210</v>
      </c>
      <c r="AZ16" s="98">
        <f t="shared" si="37"/>
        <v>2.6999999999999999E-5</v>
      </c>
      <c r="BA16" s="98">
        <f t="shared" si="38"/>
        <v>4.9499999999999995E-2</v>
      </c>
      <c r="BB16" s="98">
        <v>0</v>
      </c>
      <c r="BC16" s="15">
        <v>8103</v>
      </c>
      <c r="BD16" s="98">
        <f t="shared" si="39"/>
        <v>1.264367816092E-2</v>
      </c>
      <c r="BE16" s="98">
        <f t="shared" si="40"/>
        <v>1.0999999999999999E-2</v>
      </c>
    </row>
    <row r="17" spans="1:57" x14ac:dyDescent="0.25">
      <c r="A17" s="42" t="s">
        <v>15</v>
      </c>
      <c r="B17" s="42" t="s">
        <v>1057</v>
      </c>
      <c r="C17" s="42">
        <v>1</v>
      </c>
      <c r="D17" s="14">
        <v>0.88419985800000001</v>
      </c>
      <c r="E17" s="2">
        <v>7.3630000000000005E-7</v>
      </c>
      <c r="F17" s="2">
        <v>7.3630000000000005E-7</v>
      </c>
      <c r="G17" s="2">
        <v>1.2571639999999999</v>
      </c>
      <c r="H17" s="2">
        <v>4.6600000000000001E-5</v>
      </c>
      <c r="I17" s="2">
        <v>7.3630000000000005E-7</v>
      </c>
      <c r="J17" s="2">
        <v>5.1429999999999999E-7</v>
      </c>
      <c r="K17" s="2">
        <v>1.2960706319999999E-3</v>
      </c>
      <c r="L17" s="2">
        <v>0.28406700000000001</v>
      </c>
      <c r="M17" s="2">
        <v>2.8139911920000002E-3</v>
      </c>
      <c r="N17" s="2">
        <v>0.2802</v>
      </c>
      <c r="O17" s="2">
        <v>0.79016399999999998</v>
      </c>
      <c r="P17" s="2">
        <v>1.1749719999999999</v>
      </c>
      <c r="Q17" s="15">
        <v>1</v>
      </c>
      <c r="R17" s="15">
        <v>1</v>
      </c>
      <c r="S17" s="15">
        <v>1</v>
      </c>
      <c r="T17" s="15">
        <v>1</v>
      </c>
      <c r="U17" s="15">
        <v>1</v>
      </c>
      <c r="V17" s="15">
        <v>1</v>
      </c>
      <c r="W17" s="15">
        <v>1</v>
      </c>
      <c r="X17" s="15">
        <v>1</v>
      </c>
      <c r="Y17" s="15">
        <v>1</v>
      </c>
      <c r="Z17" s="15">
        <v>1</v>
      </c>
      <c r="AA17" s="98">
        <f t="shared" si="36"/>
        <v>0.4</v>
      </c>
      <c r="AB17" s="98">
        <f t="shared" si="36"/>
        <v>0.4</v>
      </c>
      <c r="AC17" s="98">
        <f t="shared" si="36"/>
        <v>0.4</v>
      </c>
      <c r="AD17" s="98">
        <f t="shared" si="36"/>
        <v>0.4</v>
      </c>
      <c r="AE17" s="98">
        <f t="shared" si="36"/>
        <v>0.4</v>
      </c>
      <c r="AF17" s="15">
        <v>5.0989345509893397E-5</v>
      </c>
      <c r="AG17" s="15">
        <v>214</v>
      </c>
      <c r="AH17" s="2">
        <v>1.9000000000000001E-4</v>
      </c>
      <c r="AI17" s="2">
        <v>6.9999999999999999E-4</v>
      </c>
      <c r="AJ17" s="2">
        <v>25</v>
      </c>
      <c r="AK17" s="2">
        <v>22</v>
      </c>
      <c r="AL17" s="2" t="s">
        <v>1281</v>
      </c>
      <c r="AM17" s="2" t="s">
        <v>1281</v>
      </c>
      <c r="AN17" s="2" t="s">
        <v>1281</v>
      </c>
      <c r="AO17" s="228">
        <v>7.1000000000000004E-3</v>
      </c>
      <c r="AP17" s="228">
        <v>3.5000000000000003E-2</v>
      </c>
      <c r="AQ17" s="2" t="s">
        <v>1281</v>
      </c>
      <c r="AR17" s="228">
        <v>6.0000000000000001E-3</v>
      </c>
      <c r="AS17" s="2">
        <v>1.0999999999999999E-2</v>
      </c>
      <c r="AT17" s="2">
        <v>1.264367816092E-2</v>
      </c>
      <c r="AU17" s="15">
        <v>150</v>
      </c>
      <c r="AV17" s="15">
        <v>0.2</v>
      </c>
      <c r="AW17" s="15">
        <v>13591.0746268657</v>
      </c>
      <c r="AX17" s="42"/>
      <c r="AY17" s="42">
        <v>214</v>
      </c>
      <c r="AZ17" s="98">
        <f t="shared" si="37"/>
        <v>2.6999999999999999E-5</v>
      </c>
      <c r="BA17" s="98">
        <f t="shared" si="38"/>
        <v>4.9499999999999995E-2</v>
      </c>
      <c r="BB17" s="98">
        <v>0</v>
      </c>
      <c r="BC17" s="15">
        <v>1.8611111111111099E-2</v>
      </c>
      <c r="BD17" s="98">
        <f t="shared" si="39"/>
        <v>1.264367816092E-2</v>
      </c>
      <c r="BE17" s="98">
        <f t="shared" si="40"/>
        <v>1.0999999999999999E-2</v>
      </c>
    </row>
    <row r="18" spans="1:57" x14ac:dyDescent="0.25">
      <c r="A18" s="42" t="s">
        <v>16</v>
      </c>
      <c r="B18" s="42" t="s">
        <v>1057</v>
      </c>
      <c r="C18" s="42">
        <v>1</v>
      </c>
      <c r="D18" s="14">
        <v>0</v>
      </c>
      <c r="E18" s="2">
        <v>6.4749999999999999E-3</v>
      </c>
      <c r="F18" s="2">
        <v>6.4749999999999999E-3</v>
      </c>
      <c r="G18" s="2">
        <v>5.6413599999999998E-5</v>
      </c>
      <c r="H18" s="2">
        <v>1.7316000000000002E-2</v>
      </c>
      <c r="I18" s="2">
        <v>6.4749999999999999E-3</v>
      </c>
      <c r="J18" s="2">
        <v>4.4770000000000001E-3</v>
      </c>
      <c r="K18" s="2">
        <v>5.1959588399999998E-8</v>
      </c>
      <c r="L18" s="2">
        <v>1.077818E-5</v>
      </c>
      <c r="M18" s="2">
        <v>1.126764108E-7</v>
      </c>
      <c r="N18" s="2">
        <v>1.094648E-5</v>
      </c>
      <c r="O18" s="2">
        <v>3.13824E-5</v>
      </c>
      <c r="P18" s="2">
        <v>4.9315199999999998E-5</v>
      </c>
      <c r="Q18" s="15">
        <v>1</v>
      </c>
      <c r="R18" s="15">
        <v>1</v>
      </c>
      <c r="S18" s="15">
        <v>1</v>
      </c>
      <c r="T18" s="15">
        <v>1</v>
      </c>
      <c r="U18" s="15">
        <v>1</v>
      </c>
      <c r="V18" s="15">
        <v>1</v>
      </c>
      <c r="W18" s="15">
        <v>1</v>
      </c>
      <c r="X18" s="15">
        <v>1</v>
      </c>
      <c r="Y18" s="15">
        <v>1</v>
      </c>
      <c r="Z18" s="15">
        <v>1</v>
      </c>
      <c r="AA18" s="98">
        <f t="shared" ref="AA18:AE21" si="41">0.4*V18</f>
        <v>0.4</v>
      </c>
      <c r="AB18" s="98">
        <f t="shared" si="41"/>
        <v>0.4</v>
      </c>
      <c r="AC18" s="98">
        <f t="shared" si="41"/>
        <v>0.4</v>
      </c>
      <c r="AD18" s="98">
        <f t="shared" si="41"/>
        <v>0.4</v>
      </c>
      <c r="AE18" s="98">
        <f t="shared" si="41"/>
        <v>0.4</v>
      </c>
      <c r="AF18" s="15">
        <v>0.37911232876712297</v>
      </c>
      <c r="AG18" s="15">
        <v>210</v>
      </c>
      <c r="AH18" s="2">
        <v>2.1000000000000001E-4</v>
      </c>
      <c r="AI18" s="2">
        <v>3.0000000000000001E-3</v>
      </c>
      <c r="AJ18" s="2">
        <v>36</v>
      </c>
      <c r="AK18" s="2" t="s">
        <v>1281</v>
      </c>
      <c r="AL18" s="2">
        <v>2.4</v>
      </c>
      <c r="AM18" s="2">
        <v>3.1</v>
      </c>
      <c r="AN18" s="2" t="s">
        <v>1281</v>
      </c>
      <c r="AO18" s="228">
        <v>0.05</v>
      </c>
      <c r="AP18" s="2" t="s">
        <v>1281</v>
      </c>
      <c r="AQ18" s="2" t="s">
        <v>1281</v>
      </c>
      <c r="AR18" s="228">
        <v>2.3E-3</v>
      </c>
      <c r="AS18" s="2">
        <v>2.4000000000000001E-4</v>
      </c>
      <c r="AT18" s="2">
        <v>2.7586206896552002E-4</v>
      </c>
      <c r="AU18" s="15">
        <v>210</v>
      </c>
      <c r="AV18" s="15"/>
      <c r="AW18" s="15">
        <v>1.8279542695265101</v>
      </c>
      <c r="AX18" s="42">
        <v>15</v>
      </c>
      <c r="AY18" s="42">
        <v>210</v>
      </c>
      <c r="AZ18" s="98">
        <f t="shared" si="37"/>
        <v>2.6999999999999999E-5</v>
      </c>
      <c r="BA18" s="98">
        <f t="shared" si="38"/>
        <v>4.9499999999999995E-2</v>
      </c>
      <c r="BB18" s="98">
        <v>0</v>
      </c>
      <c r="BC18" s="15">
        <v>138.376</v>
      </c>
      <c r="BD18" s="98">
        <f t="shared" si="39"/>
        <v>2.7586206896552002E-4</v>
      </c>
      <c r="BE18" s="98">
        <f t="shared" si="40"/>
        <v>2.4000000000000001E-4</v>
      </c>
    </row>
    <row r="19" spans="1:57" x14ac:dyDescent="0.25">
      <c r="A19" s="42" t="s">
        <v>17</v>
      </c>
      <c r="B19" s="42" t="s">
        <v>1057</v>
      </c>
      <c r="C19" s="42"/>
      <c r="D19" s="42"/>
      <c r="E19" s="2">
        <v>0</v>
      </c>
      <c r="F19" s="2">
        <v>0</v>
      </c>
      <c r="G19" s="2">
        <v>2.1668800000000001E-4</v>
      </c>
      <c r="H19" s="2">
        <v>0</v>
      </c>
      <c r="I19" s="2">
        <v>0</v>
      </c>
      <c r="J19" s="2">
        <v>0</v>
      </c>
      <c r="K19" s="2">
        <v>1.996649352E-7</v>
      </c>
      <c r="L19" s="2">
        <v>4.1733300000000002E-5</v>
      </c>
      <c r="M19" s="2">
        <v>4.3319117519999999E-7</v>
      </c>
      <c r="N19" s="2">
        <v>4.2216799999999999E-5</v>
      </c>
      <c r="O19" s="2">
        <v>1.208596E-4</v>
      </c>
      <c r="P19" s="2">
        <v>1.9053599999999999E-4</v>
      </c>
      <c r="Q19" s="15">
        <v>1</v>
      </c>
      <c r="R19" s="15">
        <v>1</v>
      </c>
      <c r="S19" s="15">
        <v>1</v>
      </c>
      <c r="T19" s="15">
        <v>1</v>
      </c>
      <c r="U19" s="15">
        <v>1</v>
      </c>
      <c r="V19" s="15">
        <v>1</v>
      </c>
      <c r="W19" s="15">
        <v>1</v>
      </c>
      <c r="X19" s="15">
        <v>1</v>
      </c>
      <c r="Y19" s="15">
        <v>1</v>
      </c>
      <c r="Z19" s="15">
        <v>1</v>
      </c>
      <c r="AA19" s="98">
        <f t="shared" si="41"/>
        <v>0.4</v>
      </c>
      <c r="AB19" s="98">
        <f t="shared" si="41"/>
        <v>0.4</v>
      </c>
      <c r="AC19" s="98">
        <f t="shared" si="41"/>
        <v>0.4</v>
      </c>
      <c r="AD19" s="98">
        <f t="shared" si="41"/>
        <v>0.4</v>
      </c>
      <c r="AE19" s="98">
        <f t="shared" si="41"/>
        <v>0.4</v>
      </c>
      <c r="AF19" s="15">
        <v>1.3318112633181101E-13</v>
      </c>
      <c r="AG19" s="15">
        <v>213</v>
      </c>
      <c r="AH19" s="2">
        <v>2.1000000000000001E-4</v>
      </c>
      <c r="AI19" s="2">
        <v>3.0000000000000001E-3</v>
      </c>
      <c r="AJ19" s="2">
        <v>36</v>
      </c>
      <c r="AK19" s="2" t="s">
        <v>1281</v>
      </c>
      <c r="AL19" s="2">
        <v>2.4</v>
      </c>
      <c r="AM19" s="2">
        <v>3.1</v>
      </c>
      <c r="AN19" s="2" t="s">
        <v>1281</v>
      </c>
      <c r="AO19" s="228">
        <v>0.05</v>
      </c>
      <c r="AP19" s="2" t="s">
        <v>1281</v>
      </c>
      <c r="AQ19" s="2" t="s">
        <v>1281</v>
      </c>
      <c r="AR19" s="228">
        <v>2.3E-3</v>
      </c>
      <c r="AS19" s="2">
        <v>2.4000000000000001E-4</v>
      </c>
      <c r="AT19" s="2">
        <v>2.7586206896552002E-4</v>
      </c>
      <c r="AU19" s="15">
        <v>210</v>
      </c>
      <c r="AV19" s="15"/>
      <c r="AW19" s="15">
        <v>5203440000000</v>
      </c>
      <c r="AX19" s="42">
        <v>15</v>
      </c>
      <c r="AY19" s="42">
        <v>213</v>
      </c>
      <c r="AZ19" s="98">
        <f t="shared" si="37"/>
        <v>2.6999999999999999E-5</v>
      </c>
      <c r="BA19" s="98">
        <f t="shared" si="38"/>
        <v>4.9499999999999995E-2</v>
      </c>
      <c r="BB19" s="98">
        <v>0</v>
      </c>
      <c r="BC19" s="15">
        <v>4.8611111111111103E-11</v>
      </c>
      <c r="BD19" s="98">
        <f t="shared" si="39"/>
        <v>2.7586206896552002E-4</v>
      </c>
      <c r="BE19" s="98">
        <f t="shared" si="40"/>
        <v>2.4000000000000001E-4</v>
      </c>
    </row>
    <row r="20" spans="1:57" x14ac:dyDescent="0.25">
      <c r="A20" s="42" t="s">
        <v>18</v>
      </c>
      <c r="B20" s="42" t="s">
        <v>1057</v>
      </c>
      <c r="C20" s="42">
        <v>1</v>
      </c>
      <c r="D20" s="14">
        <v>0.81426541600000002</v>
      </c>
      <c r="E20" s="2">
        <v>0</v>
      </c>
      <c r="F20" s="2">
        <v>0</v>
      </c>
      <c r="G20" s="2">
        <v>4.8007600000000002E-4</v>
      </c>
      <c r="H20" s="2">
        <v>0</v>
      </c>
      <c r="I20" s="2">
        <v>0</v>
      </c>
      <c r="J20" s="2">
        <v>0</v>
      </c>
      <c r="K20" s="2">
        <v>4.4369985599999999E-7</v>
      </c>
      <c r="L20" s="2">
        <v>9.2000299999999994E-5</v>
      </c>
      <c r="M20" s="2">
        <v>9.609604775999999E-7</v>
      </c>
      <c r="N20" s="2">
        <v>9.3399999999999993E-5</v>
      </c>
      <c r="O20" s="2">
        <v>2.6712399999999999E-4</v>
      </c>
      <c r="P20" s="2">
        <v>4.22168E-4</v>
      </c>
      <c r="Q20" s="15">
        <v>1</v>
      </c>
      <c r="R20" s="15">
        <v>1</v>
      </c>
      <c r="S20" s="15">
        <v>1</v>
      </c>
      <c r="T20" s="15">
        <v>1</v>
      </c>
      <c r="U20" s="15">
        <v>1</v>
      </c>
      <c r="V20" s="15">
        <v>1</v>
      </c>
      <c r="W20" s="15">
        <v>1</v>
      </c>
      <c r="X20" s="15">
        <v>1</v>
      </c>
      <c r="Y20" s="15">
        <v>1</v>
      </c>
      <c r="Z20" s="15">
        <v>1</v>
      </c>
      <c r="AA20" s="98">
        <f t="shared" si="41"/>
        <v>0.4</v>
      </c>
      <c r="AB20" s="98">
        <f t="shared" si="41"/>
        <v>0.4</v>
      </c>
      <c r="AC20" s="98">
        <f t="shared" si="41"/>
        <v>0.4</v>
      </c>
      <c r="AD20" s="98">
        <f t="shared" si="41"/>
        <v>0.4</v>
      </c>
      <c r="AE20" s="98">
        <f t="shared" si="41"/>
        <v>0.4</v>
      </c>
      <c r="AF20" s="15">
        <v>5.20991882293252E-12</v>
      </c>
      <c r="AG20" s="15">
        <v>214</v>
      </c>
      <c r="AH20" s="2">
        <v>2.1000000000000001E-4</v>
      </c>
      <c r="AI20" s="2">
        <v>3.0000000000000001E-3</v>
      </c>
      <c r="AJ20" s="2">
        <v>36</v>
      </c>
      <c r="AK20" s="2" t="s">
        <v>1281</v>
      </c>
      <c r="AL20" s="2">
        <v>2.4</v>
      </c>
      <c r="AM20" s="2">
        <v>3.1</v>
      </c>
      <c r="AN20" s="2" t="s">
        <v>1281</v>
      </c>
      <c r="AO20" s="228">
        <v>0.05</v>
      </c>
      <c r="AP20" s="2" t="s">
        <v>1281</v>
      </c>
      <c r="AQ20" s="2" t="s">
        <v>1281</v>
      </c>
      <c r="AR20" s="228">
        <v>2.3E-3</v>
      </c>
      <c r="AS20" s="2">
        <v>2.4000000000000001E-4</v>
      </c>
      <c r="AT20" s="2">
        <v>2.7586206896552002E-4</v>
      </c>
      <c r="AU20" s="15">
        <v>210</v>
      </c>
      <c r="AV20" s="15"/>
      <c r="AW20" s="15">
        <v>133015508216.677</v>
      </c>
      <c r="AX20" s="42">
        <v>15</v>
      </c>
      <c r="AY20" s="42">
        <v>214</v>
      </c>
      <c r="AZ20" s="98">
        <f t="shared" si="37"/>
        <v>2.6999999999999999E-5</v>
      </c>
      <c r="BA20" s="98">
        <f t="shared" si="38"/>
        <v>4.9499999999999995E-2</v>
      </c>
      <c r="BB20" s="98">
        <v>0</v>
      </c>
      <c r="BC20" s="15">
        <v>1.9016203703703698E-9</v>
      </c>
      <c r="BD20" s="98">
        <f t="shared" si="39"/>
        <v>2.7586206896552002E-4</v>
      </c>
      <c r="BE20" s="98">
        <f t="shared" si="40"/>
        <v>2.4000000000000001E-4</v>
      </c>
    </row>
    <row r="21" spans="1:57" x14ac:dyDescent="0.25">
      <c r="A21" s="42" t="s">
        <v>19</v>
      </c>
      <c r="B21" s="42" t="s">
        <v>1057</v>
      </c>
      <c r="C21" s="42">
        <v>1</v>
      </c>
      <c r="D21" s="14">
        <v>0.98676056999999995</v>
      </c>
      <c r="E21" s="2">
        <v>0</v>
      </c>
      <c r="F21" s="2">
        <v>0</v>
      </c>
      <c r="G21" s="2">
        <v>9.2279199999999993E-9</v>
      </c>
      <c r="H21" s="2">
        <v>7.6199999999999999E-6</v>
      </c>
      <c r="I21" s="2">
        <v>0</v>
      </c>
      <c r="J21" s="2">
        <v>0</v>
      </c>
      <c r="K21" s="2">
        <v>3.0591937440000002E-10</v>
      </c>
      <c r="L21" s="2">
        <v>7.7738500000000008E-9</v>
      </c>
      <c r="M21" s="2">
        <v>3.339425232E-10</v>
      </c>
      <c r="N21" s="2">
        <v>4.3337599999999997E-9</v>
      </c>
      <c r="O21" s="2">
        <v>8.1071199999999996E-9</v>
      </c>
      <c r="P21" s="2">
        <v>9.2279199999999993E-9</v>
      </c>
      <c r="Q21" s="15">
        <v>0.9</v>
      </c>
      <c r="R21" s="15">
        <v>0.9</v>
      </c>
      <c r="S21" s="15">
        <v>0.9</v>
      </c>
      <c r="T21" s="15">
        <v>0.9</v>
      </c>
      <c r="U21" s="15">
        <v>0.9</v>
      </c>
      <c r="V21" s="15">
        <v>1</v>
      </c>
      <c r="W21" s="15">
        <v>1</v>
      </c>
      <c r="X21" s="15">
        <v>1</v>
      </c>
      <c r="Y21" s="15">
        <v>1</v>
      </c>
      <c r="Z21" s="15">
        <v>1</v>
      </c>
      <c r="AA21" s="98">
        <f t="shared" si="41"/>
        <v>0.4</v>
      </c>
      <c r="AB21" s="98">
        <f t="shared" si="41"/>
        <v>0.4</v>
      </c>
      <c r="AC21" s="98">
        <f t="shared" si="41"/>
        <v>0.4</v>
      </c>
      <c r="AD21" s="98">
        <f t="shared" si="41"/>
        <v>0.4</v>
      </c>
      <c r="AE21" s="98">
        <f t="shared" si="41"/>
        <v>0.4</v>
      </c>
      <c r="AF21" s="15">
        <v>5.8980213089802101E-6</v>
      </c>
      <c r="AG21" s="15">
        <v>218</v>
      </c>
      <c r="AH21" s="2">
        <v>2.1000000000000001E-4</v>
      </c>
      <c r="AI21" s="2">
        <v>3.0000000000000001E-3</v>
      </c>
      <c r="AJ21" s="2">
        <v>36</v>
      </c>
      <c r="AK21" s="2" t="s">
        <v>1281</v>
      </c>
      <c r="AL21" s="2">
        <v>2.4</v>
      </c>
      <c r="AM21" s="2">
        <v>3.1</v>
      </c>
      <c r="AN21" s="2" t="s">
        <v>1281</v>
      </c>
      <c r="AO21" s="228">
        <v>0.05</v>
      </c>
      <c r="AP21" s="2" t="s">
        <v>1281</v>
      </c>
      <c r="AQ21" s="2" t="s">
        <v>1281</v>
      </c>
      <c r="AR21" s="228">
        <v>2.3E-3</v>
      </c>
      <c r="AS21" s="2">
        <v>2.4000000000000001E-4</v>
      </c>
      <c r="AT21" s="2">
        <v>2.7586206896552002E-4</v>
      </c>
      <c r="AU21" s="15">
        <v>210</v>
      </c>
      <c r="AV21" s="15"/>
      <c r="AW21" s="15">
        <v>117497.032258065</v>
      </c>
      <c r="AX21" s="42">
        <v>15</v>
      </c>
      <c r="AY21" s="42">
        <v>218</v>
      </c>
      <c r="AZ21" s="98">
        <f t="shared" si="37"/>
        <v>2.6999999999999999E-5</v>
      </c>
      <c r="BA21" s="98">
        <f t="shared" si="38"/>
        <v>4.9499999999999995E-2</v>
      </c>
      <c r="BB21" s="98">
        <v>0</v>
      </c>
      <c r="BC21" s="15">
        <v>2.1527777777777799E-3</v>
      </c>
      <c r="BD21" s="98">
        <f t="shared" si="39"/>
        <v>2.7586206896552002E-4</v>
      </c>
      <c r="BE21" s="98">
        <f t="shared" si="40"/>
        <v>2.4000000000000001E-4</v>
      </c>
    </row>
    <row r="22" spans="1:57" x14ac:dyDescent="0.25">
      <c r="A22" s="42" t="s">
        <v>20</v>
      </c>
      <c r="B22" s="42" t="s">
        <v>1057</v>
      </c>
      <c r="C22" s="42"/>
      <c r="D22" s="42"/>
      <c r="E22" s="2">
        <v>8.8060000000000005E-4</v>
      </c>
      <c r="F22" s="2">
        <v>8.8060000000000005E-4</v>
      </c>
      <c r="G22" s="2">
        <v>8.9103600000000008E-3</v>
      </c>
      <c r="H22" s="2">
        <v>3.1116999999999999E-2</v>
      </c>
      <c r="I22" s="2">
        <v>8.8060000000000005E-4</v>
      </c>
      <c r="J22" s="2">
        <v>3.6852E-4</v>
      </c>
      <c r="K22" s="2">
        <v>2.8840490640000001E-5</v>
      </c>
      <c r="L22" s="2">
        <v>1.2859000000000001E-2</v>
      </c>
      <c r="M22" s="2">
        <v>6.3402374159999994E-5</v>
      </c>
      <c r="N22" s="2">
        <v>6.4632800000000001E-3</v>
      </c>
      <c r="O22" s="2">
        <v>8.8730000000000007E-3</v>
      </c>
      <c r="P22" s="2">
        <v>8.9103600000000008E-3</v>
      </c>
      <c r="Q22" s="15">
        <v>1</v>
      </c>
      <c r="R22" s="15">
        <v>1</v>
      </c>
      <c r="S22" s="15">
        <v>1</v>
      </c>
      <c r="T22" s="15">
        <v>1</v>
      </c>
      <c r="U22" s="15">
        <v>1</v>
      </c>
      <c r="V22" s="15">
        <v>1</v>
      </c>
      <c r="W22" s="15">
        <v>1</v>
      </c>
      <c r="X22" s="15">
        <v>1</v>
      </c>
      <c r="Y22" s="15">
        <v>1</v>
      </c>
      <c r="Z22" s="15">
        <v>1</v>
      </c>
      <c r="AA22" s="98">
        <f t="shared" ref="AA22:AE23" si="42">0.4*V22</f>
        <v>0.4</v>
      </c>
      <c r="AB22" s="98">
        <f t="shared" si="42"/>
        <v>0.4</v>
      </c>
      <c r="AC22" s="98">
        <f t="shared" si="42"/>
        <v>0.4</v>
      </c>
      <c r="AD22" s="98">
        <f t="shared" si="42"/>
        <v>0.4</v>
      </c>
      <c r="AE22" s="98">
        <f t="shared" si="42"/>
        <v>0.4</v>
      </c>
      <c r="AF22" s="15">
        <v>4.0821917808219199E-2</v>
      </c>
      <c r="AG22" s="15">
        <v>225</v>
      </c>
      <c r="AH22" s="2">
        <v>3.8000000000000002E-4</v>
      </c>
      <c r="AI22" s="2">
        <v>1.6999999999999999E-3</v>
      </c>
      <c r="AJ22" s="2">
        <v>4</v>
      </c>
      <c r="AK22" s="2">
        <v>100</v>
      </c>
      <c r="AL22" s="2" t="s">
        <v>1281</v>
      </c>
      <c r="AM22" s="2" t="s">
        <v>1281</v>
      </c>
      <c r="AN22" s="2" t="s">
        <v>1281</v>
      </c>
      <c r="AO22" s="228">
        <v>5.0000000000000001E-3</v>
      </c>
      <c r="AP22" s="2" t="s">
        <v>1281</v>
      </c>
      <c r="AQ22" s="2" t="s">
        <v>1281</v>
      </c>
      <c r="AR22" s="2" t="s">
        <v>1281</v>
      </c>
      <c r="AS22" s="2">
        <v>1.7000000000000001E-2</v>
      </c>
      <c r="AT22" s="2">
        <v>1.9540229885056999E-2</v>
      </c>
      <c r="AU22" s="15">
        <v>1</v>
      </c>
      <c r="AV22" s="15">
        <v>0.2</v>
      </c>
      <c r="AW22" s="15">
        <v>16.976174496644301</v>
      </c>
      <c r="AX22" s="42"/>
      <c r="AY22" s="42">
        <v>225</v>
      </c>
      <c r="AZ22" s="98">
        <f t="shared" ref="AZ22:AZ23" si="43">BB22+lambda_HL</f>
        <v>2.6999999999999999E-5</v>
      </c>
      <c r="BA22" s="98">
        <f t="shared" ref="BA22:BA23" si="44">BB22+(0.693/t_w)</f>
        <v>4.9499999999999995E-2</v>
      </c>
      <c r="BB22" s="98">
        <v>0</v>
      </c>
      <c r="BC22" s="15">
        <v>14.9</v>
      </c>
      <c r="BD22" s="98">
        <f>AT22</f>
        <v>1.9540229885056999E-2</v>
      </c>
      <c r="BE22" s="98">
        <f t="shared" ref="BE22:BE23" si="45">AS22</f>
        <v>1.7000000000000001E-2</v>
      </c>
    </row>
    <row r="23" spans="1:57" x14ac:dyDescent="0.25">
      <c r="A23" s="42" t="s">
        <v>21</v>
      </c>
      <c r="B23" s="42" t="s">
        <v>335</v>
      </c>
      <c r="C23" s="42"/>
      <c r="D23" s="42"/>
      <c r="E23" s="2">
        <v>1.6761E-3</v>
      </c>
      <c r="F23" s="2">
        <v>1.6761E-3</v>
      </c>
      <c r="G23" s="2">
        <v>3.1756E-2</v>
      </c>
      <c r="H23" s="2">
        <v>3.8109999999999998E-2</v>
      </c>
      <c r="I23" s="2">
        <v>1.6761E-3</v>
      </c>
      <c r="J23" s="2">
        <v>1.036E-3</v>
      </c>
      <c r="K23" s="2">
        <v>3.631333032E-5</v>
      </c>
      <c r="L23" s="2">
        <v>7.8089199999999996E-3</v>
      </c>
      <c r="M23" s="2">
        <v>7.9865974080000005E-5</v>
      </c>
      <c r="N23" s="2">
        <v>7.9203199999999998E-3</v>
      </c>
      <c r="O23" s="2">
        <v>2.1855599999999999E-2</v>
      </c>
      <c r="P23" s="2">
        <v>3.10088E-2</v>
      </c>
      <c r="Q23" s="15">
        <v>1</v>
      </c>
      <c r="R23" s="15">
        <v>1</v>
      </c>
      <c r="S23" s="15">
        <v>1</v>
      </c>
      <c r="T23" s="15">
        <v>1</v>
      </c>
      <c r="U23" s="15">
        <v>1</v>
      </c>
      <c r="V23" s="15">
        <v>1</v>
      </c>
      <c r="W23" s="15">
        <v>1</v>
      </c>
      <c r="X23" s="15">
        <v>1</v>
      </c>
      <c r="Y23" s="15">
        <v>1</v>
      </c>
      <c r="Z23" s="15">
        <v>1</v>
      </c>
      <c r="AA23" s="98">
        <f t="shared" si="42"/>
        <v>0.4</v>
      </c>
      <c r="AB23" s="98">
        <f t="shared" si="42"/>
        <v>0.4</v>
      </c>
      <c r="AC23" s="98">
        <f t="shared" si="42"/>
        <v>0.4</v>
      </c>
      <c r="AD23" s="98">
        <f t="shared" si="42"/>
        <v>0.4</v>
      </c>
      <c r="AE23" s="98">
        <f t="shared" si="42"/>
        <v>0.4</v>
      </c>
      <c r="AF23" s="15">
        <v>1600</v>
      </c>
      <c r="AG23" s="15">
        <v>226</v>
      </c>
      <c r="AH23" s="2">
        <v>3.8000000000000002E-4</v>
      </c>
      <c r="AI23" s="2">
        <v>1.6999999999999999E-3</v>
      </c>
      <c r="AJ23" s="2">
        <v>4</v>
      </c>
      <c r="AK23" s="2">
        <v>100</v>
      </c>
      <c r="AL23" s="2" t="s">
        <v>1281</v>
      </c>
      <c r="AM23" s="2" t="s">
        <v>1281</v>
      </c>
      <c r="AN23" s="2" t="s">
        <v>1281</v>
      </c>
      <c r="AO23" s="228">
        <v>5.0000000000000001E-3</v>
      </c>
      <c r="AP23" s="2" t="s">
        <v>1281</v>
      </c>
      <c r="AQ23" s="2" t="s">
        <v>1281</v>
      </c>
      <c r="AR23" s="2" t="s">
        <v>1281</v>
      </c>
      <c r="AS23" s="2">
        <v>1.7000000000000001E-2</v>
      </c>
      <c r="AT23" s="2">
        <v>1.9540229885056999E-2</v>
      </c>
      <c r="AU23" s="15">
        <v>1</v>
      </c>
      <c r="AV23" s="15">
        <v>0.2</v>
      </c>
      <c r="AW23" s="15">
        <v>4.3312500000000002E-4</v>
      </c>
      <c r="AX23" s="42">
        <v>5</v>
      </c>
      <c r="AY23" s="42">
        <v>226</v>
      </c>
      <c r="AZ23" s="98">
        <f t="shared" si="43"/>
        <v>2.6999999999999999E-5</v>
      </c>
      <c r="BA23" s="98">
        <f t="shared" si="44"/>
        <v>4.9499999999999995E-2</v>
      </c>
      <c r="BB23" s="98">
        <v>0</v>
      </c>
      <c r="BC23" s="15">
        <v>584000</v>
      </c>
      <c r="BD23" s="98">
        <f t="shared" ref="BD23" si="46">AT23</f>
        <v>1.9540229885056999E-2</v>
      </c>
      <c r="BE23" s="98">
        <f t="shared" si="45"/>
        <v>1.7000000000000001E-2</v>
      </c>
    </row>
    <row r="24" spans="1:57" x14ac:dyDescent="0.25">
      <c r="A24" s="42" t="s">
        <v>22</v>
      </c>
      <c r="B24" s="42" t="s">
        <v>1057</v>
      </c>
      <c r="C24" s="42">
        <v>1</v>
      </c>
      <c r="D24" s="14">
        <v>1.9733000000000001E-7</v>
      </c>
      <c r="E24" s="2">
        <v>0</v>
      </c>
      <c r="F24" s="2">
        <v>0</v>
      </c>
      <c r="G24" s="2">
        <v>4.2590400000000004E-3</v>
      </c>
      <c r="H24" s="2">
        <v>0</v>
      </c>
      <c r="I24" s="2">
        <v>0</v>
      </c>
      <c r="J24" s="2">
        <v>0</v>
      </c>
      <c r="K24" s="2">
        <v>3.9699460800000002E-6</v>
      </c>
      <c r="L24" s="2">
        <v>8.4635600000000004E-4</v>
      </c>
      <c r="M24" s="2">
        <v>8.6287945679999992E-6</v>
      </c>
      <c r="N24" s="2">
        <v>8.57412E-4</v>
      </c>
      <c r="O24" s="2">
        <v>2.4470799999999999E-3</v>
      </c>
      <c r="P24" s="2">
        <v>3.8107200000000001E-3</v>
      </c>
      <c r="Q24" s="15">
        <v>1</v>
      </c>
      <c r="R24" s="15">
        <v>1</v>
      </c>
      <c r="S24" s="15">
        <v>1</v>
      </c>
      <c r="T24" s="15">
        <v>1</v>
      </c>
      <c r="U24" s="15">
        <v>1</v>
      </c>
      <c r="V24" s="15">
        <v>1</v>
      </c>
      <c r="W24" s="15">
        <v>1</v>
      </c>
      <c r="X24" s="15">
        <v>1</v>
      </c>
      <c r="Y24" s="15">
        <v>1</v>
      </c>
      <c r="Z24" s="15">
        <v>1</v>
      </c>
      <c r="AA24" s="98">
        <f t="shared" ref="AA24:AE25" si="47">0.4*V24</f>
        <v>0.4</v>
      </c>
      <c r="AB24" s="98">
        <f t="shared" si="47"/>
        <v>0.4</v>
      </c>
      <c r="AC24" s="98">
        <f t="shared" si="47"/>
        <v>0.4</v>
      </c>
      <c r="AD24" s="98">
        <f t="shared" si="47"/>
        <v>0.4</v>
      </c>
      <c r="AE24" s="98">
        <f t="shared" si="47"/>
        <v>0.4</v>
      </c>
      <c r="AF24" s="15">
        <v>1.1098427194317601E-9</v>
      </c>
      <c r="AG24" s="15">
        <v>218</v>
      </c>
      <c r="AH24" s="2">
        <v>0</v>
      </c>
      <c r="AI24" s="2">
        <v>0</v>
      </c>
      <c r="AJ24" s="2">
        <v>0</v>
      </c>
      <c r="AK24" s="2" t="s">
        <v>1281</v>
      </c>
      <c r="AL24" s="2" t="s">
        <v>1281</v>
      </c>
      <c r="AM24" s="2" t="s">
        <v>1281</v>
      </c>
      <c r="AN24" s="2" t="s">
        <v>1281</v>
      </c>
      <c r="AO24" s="2" t="s">
        <v>1281</v>
      </c>
      <c r="AP24" s="2" t="s">
        <v>1281</v>
      </c>
      <c r="AQ24" s="2" t="s">
        <v>1281</v>
      </c>
      <c r="AR24" s="2" t="s">
        <v>1281</v>
      </c>
      <c r="AS24" s="2">
        <v>0</v>
      </c>
      <c r="AT24" s="2">
        <v>0</v>
      </c>
      <c r="AU24" s="15">
        <v>0</v>
      </c>
      <c r="AV24" s="15"/>
      <c r="AW24" s="15">
        <v>624412800</v>
      </c>
      <c r="AX24" s="42"/>
      <c r="AY24" s="42">
        <v>218</v>
      </c>
      <c r="AZ24" s="98">
        <f t="shared" ref="AZ24:AZ25" si="48">BB24+lambda_HL</f>
        <v>2.6999999999999999E-5</v>
      </c>
      <c r="BA24" s="98">
        <f t="shared" ref="BA24:BA25" si="49">BB24+(0.693/t_w)</f>
        <v>4.9499999999999995E-2</v>
      </c>
      <c r="BB24" s="98">
        <v>0</v>
      </c>
      <c r="BC24" s="15">
        <v>4.05092592592593E-7</v>
      </c>
      <c r="BD24" s="98">
        <f t="shared" ref="BD24:BD25" si="50">AT24</f>
        <v>0</v>
      </c>
      <c r="BE24" s="98">
        <f t="shared" ref="BE24:BE25" si="51">AS24</f>
        <v>0</v>
      </c>
    </row>
    <row r="25" spans="1:57" x14ac:dyDescent="0.25">
      <c r="A25" s="42" t="s">
        <v>23</v>
      </c>
      <c r="B25" s="42" t="s">
        <v>335</v>
      </c>
      <c r="C25" s="42">
        <v>1</v>
      </c>
      <c r="D25" s="14">
        <v>1</v>
      </c>
      <c r="E25" s="2">
        <v>0</v>
      </c>
      <c r="F25" s="2">
        <v>0</v>
      </c>
      <c r="G25" s="2">
        <v>2.1295200000000002E-3</v>
      </c>
      <c r="H25" s="2">
        <v>6.55E-6</v>
      </c>
      <c r="I25" s="2">
        <v>0</v>
      </c>
      <c r="J25" s="2">
        <v>0</v>
      </c>
      <c r="K25" s="2">
        <v>2.0200019760000001E-6</v>
      </c>
      <c r="L25" s="2">
        <v>4.3486799999999998E-4</v>
      </c>
      <c r="M25" s="2">
        <v>4.3902933119999996E-6</v>
      </c>
      <c r="N25" s="2">
        <v>4.4084799999999998E-4</v>
      </c>
      <c r="O25" s="2">
        <v>1.2571640000000001E-3</v>
      </c>
      <c r="P25" s="2">
        <v>1.94272E-3</v>
      </c>
      <c r="Q25" s="15">
        <v>1</v>
      </c>
      <c r="R25" s="15">
        <v>1</v>
      </c>
      <c r="S25" s="15">
        <v>1</v>
      </c>
      <c r="T25" s="15">
        <v>1</v>
      </c>
      <c r="U25" s="15">
        <v>1</v>
      </c>
      <c r="V25" s="15">
        <v>1</v>
      </c>
      <c r="W25" s="15">
        <v>1</v>
      </c>
      <c r="X25" s="15">
        <v>1</v>
      </c>
      <c r="Y25" s="15">
        <v>1</v>
      </c>
      <c r="Z25" s="15">
        <v>1</v>
      </c>
      <c r="AA25" s="98">
        <f t="shared" si="47"/>
        <v>0.4</v>
      </c>
      <c r="AB25" s="98">
        <f t="shared" si="47"/>
        <v>0.4</v>
      </c>
      <c r="AC25" s="98">
        <f t="shared" si="47"/>
        <v>0.4</v>
      </c>
      <c r="AD25" s="98">
        <f t="shared" si="47"/>
        <v>0.4</v>
      </c>
      <c r="AE25" s="98">
        <f t="shared" si="47"/>
        <v>0.4</v>
      </c>
      <c r="AF25" s="15">
        <v>1.04753424657534E-2</v>
      </c>
      <c r="AG25" s="15">
        <v>222</v>
      </c>
      <c r="AH25" s="2">
        <v>0</v>
      </c>
      <c r="AI25" s="2">
        <v>0</v>
      </c>
      <c r="AJ25" s="2">
        <v>0</v>
      </c>
      <c r="AK25" s="2" t="s">
        <v>1281</v>
      </c>
      <c r="AL25" s="2" t="s">
        <v>1281</v>
      </c>
      <c r="AM25" s="2" t="s">
        <v>1281</v>
      </c>
      <c r="AN25" s="2" t="s">
        <v>1281</v>
      </c>
      <c r="AO25" s="2" t="s">
        <v>1281</v>
      </c>
      <c r="AP25" s="2" t="s">
        <v>1281</v>
      </c>
      <c r="AQ25" s="2" t="s">
        <v>1281</v>
      </c>
      <c r="AR25" s="2" t="s">
        <v>1281</v>
      </c>
      <c r="AS25" s="2">
        <v>0</v>
      </c>
      <c r="AT25" s="2">
        <v>0</v>
      </c>
      <c r="AU25" s="15">
        <v>0</v>
      </c>
      <c r="AV25" s="15"/>
      <c r="AW25" s="15">
        <v>66.155355041192607</v>
      </c>
      <c r="AX25" s="42"/>
      <c r="AY25" s="42">
        <v>222</v>
      </c>
      <c r="AZ25" s="98">
        <f t="shared" si="48"/>
        <v>2.6999999999999999E-5</v>
      </c>
      <c r="BA25" s="98">
        <f t="shared" si="49"/>
        <v>4.9499999999999995E-2</v>
      </c>
      <c r="BB25" s="98">
        <v>0</v>
      </c>
      <c r="BC25" s="15">
        <v>3.8235000000000001</v>
      </c>
      <c r="BD25" s="98">
        <f t="shared" si="50"/>
        <v>0</v>
      </c>
      <c r="BE25" s="98">
        <f t="shared" si="51"/>
        <v>0</v>
      </c>
    </row>
    <row r="26" spans="1:57" x14ac:dyDescent="0.25">
      <c r="A26" s="42" t="s">
        <v>24</v>
      </c>
      <c r="B26" s="42" t="s">
        <v>1057</v>
      </c>
      <c r="C26" s="42"/>
      <c r="D26" s="42"/>
      <c r="E26" s="2">
        <v>2.2533000000000002E-3</v>
      </c>
      <c r="F26" s="2">
        <v>2.2533000000000002E-3</v>
      </c>
      <c r="G26" s="2">
        <v>0.28767199999999998</v>
      </c>
      <c r="H26" s="2">
        <v>0.27934999999999999</v>
      </c>
      <c r="I26" s="2">
        <v>2.2533000000000002E-3</v>
      </c>
      <c r="J26" s="2">
        <v>1.8462999999999999E-3</v>
      </c>
      <c r="K26" s="2">
        <v>3.8765355840000002E-4</v>
      </c>
      <c r="L26" s="2">
        <v>9.0597499999999997E-2</v>
      </c>
      <c r="M26" s="2">
        <v>8.6404708800000003E-4</v>
      </c>
      <c r="N26" s="2">
        <v>8.5741200000000004E-2</v>
      </c>
      <c r="O26" s="2">
        <v>0.218556</v>
      </c>
      <c r="P26" s="2">
        <v>0.28393600000000002</v>
      </c>
      <c r="Q26" s="15">
        <v>1</v>
      </c>
      <c r="R26" s="15">
        <v>1</v>
      </c>
      <c r="S26" s="15">
        <v>1</v>
      </c>
      <c r="T26" s="15">
        <v>1</v>
      </c>
      <c r="U26" s="15">
        <v>1</v>
      </c>
      <c r="V26" s="15">
        <v>1</v>
      </c>
      <c r="W26" s="15">
        <v>1</v>
      </c>
      <c r="X26" s="15">
        <v>1</v>
      </c>
      <c r="Y26" s="15">
        <v>1</v>
      </c>
      <c r="Z26" s="15">
        <v>1</v>
      </c>
      <c r="AA26" s="98">
        <f t="shared" ref="AA26:AE26" si="52">0.4*V26</f>
        <v>0.4</v>
      </c>
      <c r="AB26" s="98">
        <f t="shared" si="52"/>
        <v>0.4</v>
      </c>
      <c r="AC26" s="98">
        <f t="shared" si="52"/>
        <v>0.4</v>
      </c>
      <c r="AD26" s="98">
        <f t="shared" si="52"/>
        <v>0.4</v>
      </c>
      <c r="AE26" s="98">
        <f t="shared" si="52"/>
        <v>0.4</v>
      </c>
      <c r="AF26" s="15">
        <v>7340</v>
      </c>
      <c r="AG26" s="15">
        <v>229</v>
      </c>
      <c r="AH26" s="2">
        <v>5.0000000000000004E-6</v>
      </c>
      <c r="AI26" s="2">
        <v>2.3000000000000001E-4</v>
      </c>
      <c r="AJ26" s="2">
        <v>6</v>
      </c>
      <c r="AK26" s="2">
        <v>2900</v>
      </c>
      <c r="AL26" s="2" t="s">
        <v>1281</v>
      </c>
      <c r="AM26" s="2" t="s">
        <v>1281</v>
      </c>
      <c r="AN26" s="2" t="s">
        <v>1281</v>
      </c>
      <c r="AO26" s="228">
        <v>1E-3</v>
      </c>
      <c r="AP26" s="2" t="s">
        <v>1281</v>
      </c>
      <c r="AQ26" s="2" t="s">
        <v>1281</v>
      </c>
      <c r="AR26" s="2" t="s">
        <v>1281</v>
      </c>
      <c r="AS26" s="2">
        <v>2.0999999999999999E-3</v>
      </c>
      <c r="AT26" s="2">
        <v>2.4137931034482999E-3</v>
      </c>
      <c r="AU26" s="15">
        <v>20</v>
      </c>
      <c r="AV26" s="15">
        <v>5.0000000000000001E-4</v>
      </c>
      <c r="AW26" s="15">
        <v>9.4414168937329696E-5</v>
      </c>
      <c r="AX26" s="42">
        <v>15</v>
      </c>
      <c r="AY26" s="42">
        <v>229</v>
      </c>
      <c r="AZ26" s="98">
        <f t="shared" ref="AZ26" si="53">BB26+lambda_HL</f>
        <v>2.6999999999999999E-5</v>
      </c>
      <c r="BA26" s="98">
        <f t="shared" ref="BA26" si="54">BB26+(0.693/t_w)</f>
        <v>4.9499999999999995E-2</v>
      </c>
      <c r="BB26" s="98">
        <v>0</v>
      </c>
      <c r="BC26" s="15">
        <v>2679100</v>
      </c>
      <c r="BD26" s="98">
        <f t="shared" ref="BD26" si="55">AT26</f>
        <v>2.4137931034482999E-3</v>
      </c>
      <c r="BE26" s="98">
        <f t="shared" ref="BE26" si="56">AS26</f>
        <v>2.0999999999999999E-3</v>
      </c>
    </row>
    <row r="27" spans="1:57" x14ac:dyDescent="0.25">
      <c r="A27" s="42" t="s">
        <v>25</v>
      </c>
      <c r="B27" s="42" t="s">
        <v>1057</v>
      </c>
      <c r="C27" s="42">
        <v>1</v>
      </c>
      <c r="D27" s="14">
        <v>0</v>
      </c>
      <c r="E27" s="2">
        <v>0</v>
      </c>
      <c r="F27" s="2">
        <v>0</v>
      </c>
      <c r="G27" s="2">
        <v>1.2777119999999999E-2</v>
      </c>
      <c r="H27" s="2">
        <v>0</v>
      </c>
      <c r="I27" s="2">
        <v>0</v>
      </c>
      <c r="J27" s="2">
        <v>0</v>
      </c>
      <c r="K27" s="2">
        <v>4.635495864E-5</v>
      </c>
      <c r="L27" s="2">
        <v>7.1542800000000004E-2</v>
      </c>
      <c r="M27" s="2">
        <v>5.5462481999999997E-5</v>
      </c>
      <c r="N27" s="2">
        <v>7.58408E-3</v>
      </c>
      <c r="O27" s="2">
        <v>1.057288E-2</v>
      </c>
      <c r="P27" s="2">
        <v>1.245956E-2</v>
      </c>
      <c r="Q27" s="15">
        <v>1</v>
      </c>
      <c r="R27" s="15">
        <v>1</v>
      </c>
      <c r="S27" s="15">
        <v>1</v>
      </c>
      <c r="T27" s="15">
        <v>1</v>
      </c>
      <c r="U27" s="15">
        <v>1</v>
      </c>
      <c r="V27" s="15">
        <v>1</v>
      </c>
      <c r="W27" s="15">
        <v>1</v>
      </c>
      <c r="X27" s="15">
        <v>1</v>
      </c>
      <c r="Y27" s="15">
        <v>1</v>
      </c>
      <c r="Z27" s="15">
        <v>1</v>
      </c>
      <c r="AA27" s="98">
        <f t="shared" ref="AA27:AE30" si="57">0.4*V27</f>
        <v>0.4</v>
      </c>
      <c r="AB27" s="98">
        <f t="shared" si="57"/>
        <v>0.4</v>
      </c>
      <c r="AC27" s="98">
        <f t="shared" si="57"/>
        <v>0.4</v>
      </c>
      <c r="AD27" s="98">
        <f t="shared" si="57"/>
        <v>0.4</v>
      </c>
      <c r="AE27" s="98">
        <f t="shared" si="57"/>
        <v>0.4</v>
      </c>
      <c r="AF27" s="15">
        <v>7.9908675799086794E-6</v>
      </c>
      <c r="AG27" s="15">
        <v>206</v>
      </c>
      <c r="AH27" s="2">
        <v>2E-3</v>
      </c>
      <c r="AI27" s="2">
        <v>0.04</v>
      </c>
      <c r="AJ27" s="2">
        <v>900</v>
      </c>
      <c r="AK27" s="2" t="s">
        <v>1281</v>
      </c>
      <c r="AL27" s="2" t="s">
        <v>1281</v>
      </c>
      <c r="AM27" s="2" t="s">
        <v>1281</v>
      </c>
      <c r="AN27" s="2" t="s">
        <v>1281</v>
      </c>
      <c r="AO27" s="228">
        <v>0.4</v>
      </c>
      <c r="AP27" s="2" t="s">
        <v>1281</v>
      </c>
      <c r="AQ27" s="2" t="s">
        <v>1281</v>
      </c>
      <c r="AR27" s="2" t="s">
        <v>1281</v>
      </c>
      <c r="AS27" s="2">
        <v>8.0000000000000004E-4</v>
      </c>
      <c r="AT27" s="2">
        <v>8.0000000000000002E-3</v>
      </c>
      <c r="AU27" s="15">
        <v>1500</v>
      </c>
      <c r="AV27" s="15"/>
      <c r="AW27" s="15">
        <v>86724</v>
      </c>
      <c r="AX27" s="42"/>
      <c r="AY27" s="42">
        <v>206</v>
      </c>
      <c r="AZ27" s="98">
        <f t="shared" ref="AZ27:AZ30" si="58">BB27+lambda_HL</f>
        <v>2.6999999999999999E-5</v>
      </c>
      <c r="BA27" s="98">
        <f t="shared" ref="BA27:BA30" si="59">BB27+(0.693/t_w)</f>
        <v>4.9499999999999995E-2</v>
      </c>
      <c r="BB27" s="98">
        <v>0</v>
      </c>
      <c r="BC27" s="15">
        <v>2.9166666666666698E-3</v>
      </c>
      <c r="BD27" s="98">
        <f t="shared" ref="BD27:BD30" si="60">AT27</f>
        <v>8.0000000000000002E-3</v>
      </c>
      <c r="BE27" s="98">
        <f t="shared" ref="BE27:BE30" si="61">AS27</f>
        <v>8.0000000000000004E-4</v>
      </c>
    </row>
    <row r="28" spans="1:57" x14ac:dyDescent="0.25">
      <c r="A28" s="42" t="s">
        <v>26</v>
      </c>
      <c r="B28" s="42" t="s">
        <v>1057</v>
      </c>
      <c r="C28" s="42"/>
      <c r="D28" s="42"/>
      <c r="E28" s="2">
        <v>0</v>
      </c>
      <c r="F28" s="2">
        <v>0</v>
      </c>
      <c r="G28" s="2">
        <v>12.870520000000001</v>
      </c>
      <c r="H28" s="2">
        <v>0</v>
      </c>
      <c r="I28" s="2">
        <v>0</v>
      </c>
      <c r="J28" s="2">
        <v>0</v>
      </c>
      <c r="K28" s="2">
        <v>1.190983824E-2</v>
      </c>
      <c r="L28" s="2">
        <v>2.36138</v>
      </c>
      <c r="M28" s="2">
        <v>2.5687886399999998E-2</v>
      </c>
      <c r="N28" s="2">
        <v>2.3536800000000002</v>
      </c>
      <c r="O28" s="2">
        <v>6.7621599999999997</v>
      </c>
      <c r="P28" s="2">
        <v>10.815720000000001</v>
      </c>
      <c r="Q28" s="15">
        <v>1</v>
      </c>
      <c r="R28" s="15">
        <v>1</v>
      </c>
      <c r="S28" s="15">
        <v>1</v>
      </c>
      <c r="T28" s="15">
        <v>1</v>
      </c>
      <c r="U28" s="15">
        <v>1</v>
      </c>
      <c r="V28" s="15">
        <v>1</v>
      </c>
      <c r="W28" s="15">
        <v>1</v>
      </c>
      <c r="X28" s="15">
        <v>1</v>
      </c>
      <c r="Y28" s="15">
        <v>1</v>
      </c>
      <c r="Z28" s="15">
        <v>1</v>
      </c>
      <c r="AA28" s="98">
        <f t="shared" si="57"/>
        <v>0.4</v>
      </c>
      <c r="AB28" s="98">
        <f t="shared" si="57"/>
        <v>0.4</v>
      </c>
      <c r="AC28" s="98">
        <f t="shared" si="57"/>
        <v>0.4</v>
      </c>
      <c r="AD28" s="98">
        <f t="shared" si="57"/>
        <v>0.4</v>
      </c>
      <c r="AE28" s="98">
        <f t="shared" si="57"/>
        <v>0.4</v>
      </c>
      <c r="AF28" s="15">
        <v>4.1114916286149197E-6</v>
      </c>
      <c r="AG28" s="15">
        <v>209</v>
      </c>
      <c r="AH28" s="2">
        <v>2E-3</v>
      </c>
      <c r="AI28" s="2">
        <v>0.04</v>
      </c>
      <c r="AJ28" s="2">
        <v>900</v>
      </c>
      <c r="AK28" s="2" t="s">
        <v>1281</v>
      </c>
      <c r="AL28" s="2" t="s">
        <v>1281</v>
      </c>
      <c r="AM28" s="2" t="s">
        <v>1281</v>
      </c>
      <c r="AN28" s="2" t="s">
        <v>1281</v>
      </c>
      <c r="AO28" s="228">
        <v>0.4</v>
      </c>
      <c r="AP28" s="2" t="s">
        <v>1281</v>
      </c>
      <c r="AQ28" s="2" t="s">
        <v>1281</v>
      </c>
      <c r="AR28" s="2" t="s">
        <v>1281</v>
      </c>
      <c r="AS28" s="2">
        <v>8.0000000000000004E-4</v>
      </c>
      <c r="AT28" s="2">
        <v>8.0000000000000002E-3</v>
      </c>
      <c r="AU28" s="15">
        <v>1500</v>
      </c>
      <c r="AV28" s="15"/>
      <c r="AW28" s="15">
        <v>168551.966682092</v>
      </c>
      <c r="AX28" s="42"/>
      <c r="AY28" s="42">
        <v>209</v>
      </c>
      <c r="AZ28" s="98">
        <f t="shared" si="58"/>
        <v>2.6999999999999999E-5</v>
      </c>
      <c r="BA28" s="98">
        <f t="shared" si="59"/>
        <v>4.9499999999999995E-2</v>
      </c>
      <c r="BB28" s="98">
        <v>0</v>
      </c>
      <c r="BC28" s="15">
        <v>1.5006944444444399E-3</v>
      </c>
      <c r="BD28" s="98">
        <f t="shared" si="60"/>
        <v>8.0000000000000002E-3</v>
      </c>
      <c r="BE28" s="98">
        <f t="shared" si="61"/>
        <v>8.0000000000000004E-4</v>
      </c>
    </row>
    <row r="29" spans="1:57" x14ac:dyDescent="0.25">
      <c r="A29" s="42" t="s">
        <v>27</v>
      </c>
      <c r="B29" s="42" t="s">
        <v>1057</v>
      </c>
      <c r="C29" s="42">
        <v>1</v>
      </c>
      <c r="D29" s="14">
        <v>1.70039E-4</v>
      </c>
      <c r="E29" s="2">
        <v>0</v>
      </c>
      <c r="F29" s="2">
        <v>0</v>
      </c>
      <c r="G29" s="2">
        <v>16.774640000000002</v>
      </c>
      <c r="H29" s="2">
        <v>0</v>
      </c>
      <c r="I29" s="2">
        <v>0</v>
      </c>
      <c r="J29" s="2">
        <v>0</v>
      </c>
      <c r="K29" s="2">
        <v>1.5412731840000001E-2</v>
      </c>
      <c r="L29" s="2">
        <v>3.08616</v>
      </c>
      <c r="M29" s="2">
        <v>3.3277489200000003E-2</v>
      </c>
      <c r="N29" s="2">
        <v>3.06352</v>
      </c>
      <c r="O29" s="2">
        <v>8.7982800000000001</v>
      </c>
      <c r="P29" s="2">
        <v>14.14076</v>
      </c>
      <c r="Q29" s="15">
        <v>1</v>
      </c>
      <c r="R29" s="15">
        <v>1</v>
      </c>
      <c r="S29" s="15">
        <v>1</v>
      </c>
      <c r="T29" s="15">
        <v>1</v>
      </c>
      <c r="U29" s="15">
        <v>1</v>
      </c>
      <c r="V29" s="15">
        <v>1</v>
      </c>
      <c r="W29" s="15">
        <v>1</v>
      </c>
      <c r="X29" s="15">
        <v>1</v>
      </c>
      <c r="Y29" s="15">
        <v>1</v>
      </c>
      <c r="Z29" s="15">
        <v>1</v>
      </c>
      <c r="AA29" s="98">
        <f t="shared" si="57"/>
        <v>0.4</v>
      </c>
      <c r="AB29" s="98">
        <f t="shared" si="57"/>
        <v>0.4</v>
      </c>
      <c r="AC29" s="98">
        <f t="shared" si="57"/>
        <v>0.4</v>
      </c>
      <c r="AD29" s="98">
        <f t="shared" si="57"/>
        <v>0.4</v>
      </c>
      <c r="AE29" s="98">
        <f t="shared" si="57"/>
        <v>0.4</v>
      </c>
      <c r="AF29" s="15">
        <v>2.4733637747336398E-6</v>
      </c>
      <c r="AG29" s="15">
        <v>210</v>
      </c>
      <c r="AH29" s="2">
        <v>2E-3</v>
      </c>
      <c r="AI29" s="2">
        <v>0.04</v>
      </c>
      <c r="AJ29" s="2">
        <v>900</v>
      </c>
      <c r="AK29" s="2" t="s">
        <v>1281</v>
      </c>
      <c r="AL29" s="2" t="s">
        <v>1281</v>
      </c>
      <c r="AM29" s="2" t="s">
        <v>1281</v>
      </c>
      <c r="AN29" s="2" t="s">
        <v>1281</v>
      </c>
      <c r="AO29" s="228">
        <v>0.4</v>
      </c>
      <c r="AP29" s="2" t="s">
        <v>1281</v>
      </c>
      <c r="AQ29" s="2" t="s">
        <v>1281</v>
      </c>
      <c r="AR29" s="2" t="s">
        <v>1281</v>
      </c>
      <c r="AS29" s="2">
        <v>8.0000000000000004E-4</v>
      </c>
      <c r="AT29" s="2">
        <v>8.0000000000000002E-3</v>
      </c>
      <c r="AU29" s="15">
        <v>1500</v>
      </c>
      <c r="AV29" s="15"/>
      <c r="AW29" s="15">
        <v>280185.23076923098</v>
      </c>
      <c r="AX29" s="42"/>
      <c r="AY29" s="42">
        <v>210</v>
      </c>
      <c r="AZ29" s="98">
        <f t="shared" si="58"/>
        <v>2.6999999999999999E-5</v>
      </c>
      <c r="BA29" s="98">
        <f t="shared" si="59"/>
        <v>4.9499999999999995E-2</v>
      </c>
      <c r="BB29" s="98">
        <v>0</v>
      </c>
      <c r="BC29" s="15">
        <v>9.0277777777777795E-4</v>
      </c>
      <c r="BD29" s="98">
        <f t="shared" si="60"/>
        <v>8.0000000000000002E-3</v>
      </c>
      <c r="BE29" s="98">
        <f t="shared" si="61"/>
        <v>8.0000000000000004E-4</v>
      </c>
    </row>
    <row r="30" spans="1:57" x14ac:dyDescent="0.25">
      <c r="A30" s="42" t="s">
        <v>28</v>
      </c>
      <c r="B30" s="42" t="s">
        <v>1057</v>
      </c>
      <c r="C30" s="42"/>
      <c r="D30" s="42"/>
      <c r="E30" s="2">
        <v>2.2274E-4</v>
      </c>
      <c r="F30" s="2">
        <v>2.2274E-4</v>
      </c>
      <c r="G30" s="2">
        <v>9.1905600000000002E-4</v>
      </c>
      <c r="H30" s="2">
        <v>3.8109999999999998E-2</v>
      </c>
      <c r="I30" s="2">
        <v>2.2274E-4</v>
      </c>
      <c r="J30" s="2">
        <v>1.8944E-4</v>
      </c>
      <c r="K30" s="2">
        <v>1.237689072E-6</v>
      </c>
      <c r="L30" s="2">
        <v>5.5644400000000001E-4</v>
      </c>
      <c r="M30" s="2">
        <v>2.7439333199999998E-6</v>
      </c>
      <c r="N30" s="2">
        <v>2.7085999999999999E-4</v>
      </c>
      <c r="O30" s="2">
        <v>6.5566799999999998E-4</v>
      </c>
      <c r="P30" s="2">
        <v>8.8916799999999997E-4</v>
      </c>
      <c r="Q30" s="15">
        <v>1</v>
      </c>
      <c r="R30" s="15">
        <v>1</v>
      </c>
      <c r="S30" s="15">
        <v>1</v>
      </c>
      <c r="T30" s="15">
        <v>1</v>
      </c>
      <c r="U30" s="15">
        <v>1</v>
      </c>
      <c r="V30" s="15">
        <v>1</v>
      </c>
      <c r="W30" s="15">
        <v>1</v>
      </c>
      <c r="X30" s="15">
        <v>1</v>
      </c>
      <c r="Y30" s="15">
        <v>1</v>
      </c>
      <c r="Z30" s="15">
        <v>1</v>
      </c>
      <c r="AA30" s="98">
        <f t="shared" si="57"/>
        <v>0.4</v>
      </c>
      <c r="AB30" s="98">
        <f t="shared" si="57"/>
        <v>0.4</v>
      </c>
      <c r="AC30" s="98">
        <f t="shared" si="57"/>
        <v>0.4</v>
      </c>
      <c r="AD30" s="98">
        <f t="shared" si="57"/>
        <v>0.4</v>
      </c>
      <c r="AE30" s="98">
        <f t="shared" si="57"/>
        <v>0.4</v>
      </c>
      <c r="AF30" s="15">
        <v>159200</v>
      </c>
      <c r="AG30" s="15">
        <v>233</v>
      </c>
      <c r="AH30" s="2">
        <v>1.8E-3</v>
      </c>
      <c r="AI30" s="2">
        <v>3.8999999999999999E-4</v>
      </c>
      <c r="AJ30" s="2">
        <v>0.96</v>
      </c>
      <c r="AK30" s="2">
        <v>170</v>
      </c>
      <c r="AL30" s="2">
        <v>0.75</v>
      </c>
      <c r="AM30" s="2">
        <v>1.1000000000000001</v>
      </c>
      <c r="AN30" s="2">
        <v>4.3999999999999997E-2</v>
      </c>
      <c r="AO30" s="228">
        <v>2E-3</v>
      </c>
      <c r="AP30" s="2" t="s">
        <v>1281</v>
      </c>
      <c r="AQ30" s="2" t="s">
        <v>1281</v>
      </c>
      <c r="AR30" s="228">
        <v>1.4E-3</v>
      </c>
      <c r="AS30" s="2">
        <v>6.1999999999999998E-3</v>
      </c>
      <c r="AT30" s="2">
        <v>7.1264367816092E-3</v>
      </c>
      <c r="AU30" s="15">
        <v>0.4</v>
      </c>
      <c r="AV30" s="15">
        <v>0.02</v>
      </c>
      <c r="AW30" s="15">
        <v>4.3530150753768799E-6</v>
      </c>
      <c r="AX30" s="42">
        <v>289207.91735594597</v>
      </c>
      <c r="AY30" s="42">
        <v>233</v>
      </c>
      <c r="AZ30" s="98">
        <f t="shared" si="58"/>
        <v>2.6999999999999999E-5</v>
      </c>
      <c r="BA30" s="98">
        <f t="shared" si="59"/>
        <v>4.9499999999999995E-2</v>
      </c>
      <c r="BB30" s="98">
        <v>0</v>
      </c>
      <c r="BC30" s="15">
        <v>58108000</v>
      </c>
      <c r="BD30" s="98">
        <f t="shared" si="60"/>
        <v>7.1264367816092E-3</v>
      </c>
      <c r="BE30" s="98">
        <f t="shared" si="61"/>
        <v>6.1999999999999998E-3</v>
      </c>
    </row>
  </sheetData>
  <sheetProtection algorithmName="SHA-512" hashValue="zfHJUm3RuEnzX3zqFHzzIf08tReaPCScdYWn2ffdUYedz7MMo6H2toYfk9R0bp95O9NLHpkD5wUNAI9qojFBGg==" saltValue="1AYH42zXDTqL7M8OMwCPPQ==" spinCount="100000" sheet="1" formatColumns="0" formatRows="0" autoFilter="0"/>
  <autoFilter ref="A1:BE30" xr:uid="{00000000-0009-0000-0000-00000000000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9" tint="-0.499984740745262"/>
  </sheetPr>
  <dimension ref="A1:AY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5703125" style="15" bestFit="1" customWidth="1"/>
    <col min="2" max="2" width="11.85546875" style="15" bestFit="1" customWidth="1"/>
    <col min="3" max="3" width="13.28515625" style="4" customWidth="1"/>
    <col min="4" max="4" width="15.140625" style="15" bestFit="1" customWidth="1"/>
    <col min="5" max="5" width="15.28515625" style="15" bestFit="1" customWidth="1"/>
    <col min="6" max="6" width="15" style="15" bestFit="1" customWidth="1"/>
    <col min="7" max="7" width="19.85546875" style="15" bestFit="1" customWidth="1"/>
    <col min="8" max="8" width="16.7109375" style="15" bestFit="1" customWidth="1"/>
    <col min="9" max="9" width="14.7109375" style="15" bestFit="1" customWidth="1"/>
    <col min="10" max="10" width="17" style="2" bestFit="1" customWidth="1"/>
    <col min="11" max="13" width="14.28515625" style="15" bestFit="1" customWidth="1"/>
    <col min="14" max="14" width="18.42578125" style="15" bestFit="1" customWidth="1"/>
    <col min="15" max="15" width="14.7109375" style="15" bestFit="1" customWidth="1"/>
    <col min="16" max="16" width="14.140625" style="15" bestFit="1" customWidth="1"/>
    <col min="17" max="18" width="15.7109375" style="15" bestFit="1" customWidth="1"/>
    <col min="19" max="19" width="17" style="15" bestFit="1" customWidth="1"/>
    <col min="20" max="20" width="14.42578125" style="15" bestFit="1" customWidth="1"/>
    <col min="21" max="21" width="15.42578125" style="3" bestFit="1" customWidth="1"/>
    <col min="22" max="23" width="17.28515625" style="3" bestFit="1" customWidth="1"/>
    <col min="24" max="24" width="18.42578125" style="3" bestFit="1" customWidth="1"/>
    <col min="25" max="25" width="15.5703125" style="3" bestFit="1" customWidth="1"/>
    <col min="26" max="26" width="13.42578125" style="15" bestFit="1" customWidth="1"/>
    <col min="27" max="28" width="15.28515625" style="15" bestFit="1" customWidth="1"/>
    <col min="29" max="29" width="16.42578125" style="15" bestFit="1" customWidth="1"/>
    <col min="30" max="30" width="13.7109375" style="15" bestFit="1" customWidth="1"/>
    <col min="31" max="31" width="14.28515625" style="15" bestFit="1" customWidth="1"/>
    <col min="32" max="32" width="14.5703125" style="15" bestFit="1" customWidth="1"/>
    <col min="33" max="33" width="13.7109375" style="15" bestFit="1" customWidth="1"/>
    <col min="34" max="34" width="15" style="3" bestFit="1" customWidth="1"/>
    <col min="35" max="35" width="13.5703125" style="15" bestFit="1" customWidth="1"/>
    <col min="36" max="36" width="13.85546875" style="15" bestFit="1" customWidth="1"/>
    <col min="37" max="37" width="14.140625" style="15" bestFit="1" customWidth="1"/>
    <col min="38" max="38" width="14.5703125" style="15" bestFit="1" customWidth="1"/>
    <col min="39" max="39" width="14.7109375" style="15" bestFit="1" customWidth="1"/>
    <col min="40" max="40" width="15.7109375" style="15" bestFit="1" customWidth="1"/>
    <col min="41" max="41" width="19.28515625" style="15" bestFit="1" customWidth="1"/>
    <col min="42" max="42" width="14.28515625" style="15" bestFit="1" customWidth="1"/>
    <col min="43" max="43" width="15.42578125" style="3" bestFit="1" customWidth="1"/>
    <col min="44" max="45" width="14.140625" style="15" bestFit="1" customWidth="1"/>
    <col min="46" max="46" width="15.42578125" style="15" bestFit="1" customWidth="1"/>
    <col min="47" max="47" width="18.5703125" style="15" bestFit="1" customWidth="1"/>
    <col min="48" max="48" width="14.5703125" style="15" bestFit="1" customWidth="1"/>
    <col min="49" max="49" width="14.42578125" style="15" bestFit="1" customWidth="1"/>
    <col min="50" max="50" width="15.42578125" style="3" bestFit="1" customWidth="1"/>
    <col min="51" max="51" width="13.85546875" style="15" bestFit="1" customWidth="1"/>
    <col min="52" max="16384" width="9.140625" style="15"/>
  </cols>
  <sheetData>
    <row r="1" spans="1:51" x14ac:dyDescent="0.25">
      <c r="A1" s="39" t="s">
        <v>39</v>
      </c>
      <c r="B1" s="39" t="s">
        <v>334</v>
      </c>
      <c r="C1" s="72"/>
      <c r="D1" s="15" t="s">
        <v>1372</v>
      </c>
      <c r="E1" s="15" t="s">
        <v>1373</v>
      </c>
      <c r="F1" s="15" t="s">
        <v>1374</v>
      </c>
      <c r="G1" s="15" t="s">
        <v>1375</v>
      </c>
      <c r="H1" s="15" t="s">
        <v>1484</v>
      </c>
      <c r="I1" s="15" t="s">
        <v>1377</v>
      </c>
      <c r="J1" s="189" t="s">
        <v>1255</v>
      </c>
      <c r="K1" s="43" t="s">
        <v>1169</v>
      </c>
      <c r="L1" s="43" t="s">
        <v>1170</v>
      </c>
      <c r="M1" s="43" t="s">
        <v>1171</v>
      </c>
      <c r="N1" s="43" t="s">
        <v>1172</v>
      </c>
      <c r="O1" s="41" t="s">
        <v>1510</v>
      </c>
      <c r="P1" s="42" t="s">
        <v>1378</v>
      </c>
      <c r="Q1" s="42" t="s">
        <v>1379</v>
      </c>
      <c r="R1" s="42" t="s">
        <v>1380</v>
      </c>
      <c r="S1" s="42" t="s">
        <v>1381</v>
      </c>
      <c r="T1" s="42" t="s">
        <v>1382</v>
      </c>
      <c r="U1" s="188" t="s">
        <v>1256</v>
      </c>
      <c r="V1" s="188" t="s">
        <v>1257</v>
      </c>
      <c r="W1" s="188" t="s">
        <v>1258</v>
      </c>
      <c r="X1" s="188" t="s">
        <v>1259</v>
      </c>
      <c r="Y1" s="188" t="s">
        <v>1260</v>
      </c>
      <c r="Z1" s="43" t="s">
        <v>1173</v>
      </c>
      <c r="AA1" s="43" t="s">
        <v>1174</v>
      </c>
      <c r="AB1" s="43" t="s">
        <v>1175</v>
      </c>
      <c r="AC1" s="43" t="s">
        <v>1176</v>
      </c>
      <c r="AD1" s="43" t="s">
        <v>1177</v>
      </c>
      <c r="AE1" s="42" t="s">
        <v>1383</v>
      </c>
      <c r="AF1" s="42" t="s">
        <v>1384</v>
      </c>
      <c r="AG1" s="42" t="s">
        <v>1385</v>
      </c>
      <c r="AH1" s="188" t="s">
        <v>1261</v>
      </c>
      <c r="AI1" s="43" t="s">
        <v>1178</v>
      </c>
      <c r="AJ1" s="43" t="s">
        <v>1179</v>
      </c>
      <c r="AK1" s="41" t="s">
        <v>1511</v>
      </c>
      <c r="AL1" s="15" t="s">
        <v>1386</v>
      </c>
      <c r="AM1" s="15" t="s">
        <v>1387</v>
      </c>
      <c r="AN1" s="15" t="s">
        <v>1388</v>
      </c>
      <c r="AO1" s="15" t="s">
        <v>1389</v>
      </c>
      <c r="AP1" s="15" t="s">
        <v>1390</v>
      </c>
      <c r="AQ1" s="189" t="s">
        <v>1262</v>
      </c>
      <c r="AR1" s="43" t="s">
        <v>1180</v>
      </c>
      <c r="AS1" s="43" t="s">
        <v>1181</v>
      </c>
      <c r="AT1" s="43" t="s">
        <v>1182</v>
      </c>
      <c r="AU1" s="43" t="s">
        <v>1183</v>
      </c>
      <c r="AV1" s="41" t="s">
        <v>1512</v>
      </c>
      <c r="AW1" s="42" t="s">
        <v>1391</v>
      </c>
      <c r="AX1" s="189" t="s">
        <v>1518</v>
      </c>
      <c r="AY1" s="43" t="s">
        <v>1184</v>
      </c>
    </row>
    <row r="2" spans="1:51" x14ac:dyDescent="0.25">
      <c r="A2" s="44" t="s">
        <v>0</v>
      </c>
      <c r="B2" s="42" t="s">
        <v>1057</v>
      </c>
      <c r="C2" s="42"/>
      <c r="D2" s="15">
        <f>IFERROR(((s_DL/(s_RadSpec!E2*s_IFS_res_adj*(1/1000)))*1),".")</f>
        <v>8541.6389953153375</v>
      </c>
      <c r="E2" s="15">
        <f>IFERROR(IF(A2="H-3",(s_DL/((s_RadSpec!H2*s_IFA_res_adj*(1/17)*1000))*1),(s_DL/((s_RadSpec!H2*s_IFA_res_adj*(1/s_PEF_wind)*1000))*1)),".")</f>
        <v>454865.42206828768</v>
      </c>
      <c r="F2" s="15">
        <f>IFERROR((s_DL/(s_RadSpec!G2*s_EF_res*(1/365)*1*s_RadSpec!R2*((s_ET_res_o*(1/24)*s_RadSpec!W2)+(s_ET_res_i*(1/24)*s_RadSpec!AB2))))*1,".")</f>
        <v>88850.25206824101</v>
      </c>
      <c r="G2" s="15">
        <f>s_b2s!C2</f>
        <v>294.53927570052889</v>
      </c>
      <c r="H2" s="15">
        <f>s_dir!C2</f>
        <v>4.2708194976576683</v>
      </c>
      <c r="I2" s="15">
        <f>(IF(AND(D2&lt;&gt;".",E2&lt;&gt;".",F2&lt;&gt;".",G2&lt;&gt;"."),1/((1/D2)+(1/E2)+(1/F2)+(1/G2)),IF(AND(D2&lt;&gt;".",E2&lt;&gt;".",F2&lt;&gt;".",G2="."),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283.63484967134895</v>
      </c>
      <c r="J2" s="189">
        <f>IFERROR(I2*(0.0000000000028)*s_RadSpec!$AY2*s_RadSpec!$AF2,0)</f>
        <v>4.8956152135054749E-9</v>
      </c>
      <c r="K2" s="40">
        <f t="shared" ref="K2:K30" si="0">s_C*s_IFS_res_adj*(1/1000)</f>
        <v>15.125</v>
      </c>
      <c r="L2" s="40">
        <f t="shared" ref="L2:L30" si="1">s_C*s_IFA_res_adj*(1/s_PEF_wind)*1000</f>
        <v>1.6181272791589674E-3</v>
      </c>
      <c r="M2" s="40">
        <f>IFERROR((s_C*s_EF_res*(1/365)*1*s_RadSpec!R2*((s_ET_res_o*(1/24)*s_RadSpec!W2)+(s_ET_res_i*(1/24)*s_RadSpec!AB2))),".")</f>
        <v>5.3225290077224567E-3</v>
      </c>
      <c r="N2" s="40">
        <f>s_b2s!AC2</f>
        <v>438.62499999999994</v>
      </c>
      <c r="O2" s="18"/>
      <c r="P2" s="15">
        <f>IFERROR((s_DL/(s_RadSpec!G2*s_EF_res*(1/365)*1*s_RadSpec!R2*((s_ET_res_o*(1/24)*s_RadSpec!W2)+(s_ET_res_i*(1/24)*s_RadSpec!AB2))))*1,".")</f>
        <v>88850.25206824101</v>
      </c>
      <c r="Q2" s="15">
        <f>IFERROR((s_DL/(s_RadSpec!N2*s_EF_res*(1/365)*1*s_RadSpec!S2*((s_ET_res_o*(1/24)*s_RadSpec!X2)+(s_ET_res_i*(1/24)*s_RadSpec!AC2))))*1,".")</f>
        <v>650970.7870362656</v>
      </c>
      <c r="R2" s="15">
        <f>IFERROR((s_DL/(s_RadSpec!O2*s_EF_res*(1/365)*1*s_RadSpec!T2*((s_ET_res_o*(1/24)*s_RadSpec!Y2)+(s_ET_res_i*(1/24)*s_RadSpec!AD2))))*1,".")</f>
        <v>169267.1559753856</v>
      </c>
      <c r="S2" s="15">
        <f>IFERROR((s_DL/(s_RadSpec!P2*s_EF_res*(1/365)*1*s_RadSpec!U2*((s_ET_res_o*(1/24)*s_RadSpec!Z2)+(s_ET_res_i*(1/24)*s_RadSpec!AE2))))*1,".")</f>
        <v>104372.64480404025</v>
      </c>
      <c r="T2" s="15">
        <f>IFERROR((s_DL/(s_RadSpec!L2*s_EF_res*(1/365)*1*s_RadSpec!Q2*((s_ET_res_o*(1/24)*s_RadSpec!V2)+(s_ET_res_i*(1/24)*s_RadSpec!AA2))))*1,".")</f>
        <v>4870344.0898505608</v>
      </c>
      <c r="U2" s="189">
        <f>IFERROR(P2*(0.0000000000028)*s_RadSpec!$AY2*s_RadSpec!$AF2,0)</f>
        <v>1.5335796932326528E-6</v>
      </c>
      <c r="V2" s="189">
        <f>IFERROR(Q2*(0.0000000000028)*s_RadSpec!$AY2*s_RadSpec!$AF2,0)</f>
        <v>1.1235934132406776E-5</v>
      </c>
      <c r="W2" s="189">
        <f>IFERROR(R2*(0.0000000000028)*s_RadSpec!$AY2*s_RadSpec!$AF2,0)</f>
        <v>2.9215974866984364E-6</v>
      </c>
      <c r="X2" s="189">
        <f>IFERROR(S2*(0.0000000000028)*s_RadSpec!$AY2*s_RadSpec!$AF2,0)</f>
        <v>1.8015004445628864E-6</v>
      </c>
      <c r="Y2" s="189">
        <f>IFERROR(T2*(0.0000000000028)*s_RadSpec!$AY2*s_RadSpec!$AF2,0)</f>
        <v>8.4063473331667221E-5</v>
      </c>
      <c r="Z2" s="40">
        <f>IFERROR((s_C*s_EF_res*(1/365)*1*s_RadSpec!R2*((s_ET_res_o*(1/24)*s_RadSpec!W2)+(s_ET_res_i*(1/24)*s_RadSpec!AB2))),".")</f>
        <v>5.3225290077224567E-3</v>
      </c>
      <c r="AA2" s="40">
        <f>IFERROR((s_C*s_EF_res*(1/365)*1*s_RadSpec!S2*((s_ET_res_o*(1/24)*s_RadSpec!X2)+(s_ET_res_i*(1/24)*s_RadSpec!AC2))),".")</f>
        <v>2.6323922485800206E-3</v>
      </c>
      <c r="AB2" s="40">
        <f>IFERROR((s_C*s_EF_res*(1/365)*1*s_RadSpec!T2*((s_ET_res_o*(1/24)*s_RadSpec!Y2)+(s_ET_res_i*(1/24)*s_RadSpec!AD2))),".")</f>
        <v>3.8757903055848275E-3</v>
      </c>
      <c r="AC2" s="40">
        <f>IFERROR((s_C*s_EF_res*(1/365)*1*s_RadSpec!U2*((s_ET_res_o*(1/24)*s_RadSpec!Z2)+(s_ET_res_i*(1/24)*s_RadSpec!AE2))),".")</f>
        <v>4.6627674311220573E-3</v>
      </c>
      <c r="AD2" s="40">
        <f>IFERROR((s_C*s_EF_res*(1/365)*1*s_RadSpec!Q2*((s_ET_res_o*(1/24)*s_RadSpec!V2)+(s_ET_res_i*(1/24)*s_RadSpec!AA2))),".")</f>
        <v>3.3265336509827271E-4</v>
      </c>
      <c r="AE2" s="15">
        <f>IFERROR((s_DL/(s_RadSpec!H2*s_IFA_res_adj)),".")</f>
        <v>1.4682367623544095</v>
      </c>
      <c r="AF2" s="15">
        <f>IFERROR((s_DL/(s_RadSpec!K2*s_EF_res*(1/365)*1*s_ET_res*(1/24)*s_GSF_a)),".")</f>
        <v>4820024.991116479</v>
      </c>
      <c r="AG2" s="15">
        <f>IFERROR(IF(AND(AE2&lt;&gt;".",AF2&lt;&gt;"."),1/((1/AE2)+(1/AF2)),IF(AND(AE2&lt;&gt;".",AF2="."),1/((1/AE2)),IF(AND(AE2=".",AF2&lt;&gt;"."),1/((1/AF2)),IF(AND(AE2=".",AF2="."),".")))),".")</f>
        <v>1.4682363151122193</v>
      </c>
      <c r="AH2" s="189">
        <f>AG2*(0.0000000000000028)*s_RadSpec!$AY2*s_RadSpec!$AF2</f>
        <v>2.5342161055361594E-14</v>
      </c>
      <c r="AI2" s="40">
        <f t="shared" ref="AI2:AI30" si="2">s_C*s_IFA_res_adj</f>
        <v>501.30208333333326</v>
      </c>
      <c r="AJ2" s="40">
        <f t="shared" ref="AJ2:AJ30" si="3">IFERROR((s_C*s_EF_res*(1/365)*1*s_ET_res*(1/24)*s_GSF_a),".")</f>
        <v>7.8481735159817351E-2</v>
      </c>
      <c r="AK2" s="18"/>
      <c r="AL2" s="15">
        <f>IFERROR((s_DL/(s_RadSpec!I2*s_IFW_res_adj)),".")</f>
        <v>93.958028948468709</v>
      </c>
      <c r="AM2" s="15" t="str">
        <f>IFERROR(IF(AND(s_RadSpec!C2=1,s_RadSpec!D2&lt;&gt;0),(s_DL/(s_RadSpec!H2*s_IFA_res_adj*s_K*s_RadSpec!D2)),"."),".")</f>
        <v>.</v>
      </c>
      <c r="AN2" s="15">
        <f>IFERROR((s_DL/(s_RadSpec!M2*(1/8760)*s_DFA_res_adj)),".")</f>
        <v>1353241.1433392495</v>
      </c>
      <c r="AO2" s="15">
        <f>s_b2w!C2</f>
        <v>359.02789915076602</v>
      </c>
      <c r="AP2" s="15">
        <f>(IF(AND(AL2&lt;&gt;".",AM2&lt;&gt;".",AN2&lt;&gt;".",AO2&lt;&gt;"."),1/((1/AL2)+(1/AM2)+(1/AN2)+(1/AO2)),IF(AND(AL2&lt;&gt;".",AM2&lt;&gt;".",AN2&lt;&gt;".",AO2="."), 1/((1/AL2)+(1/AM2)+(1/AN2)),IF(AND(AL2&lt;&gt;".",AM2&lt;&gt;".",AN2=".",AO2&lt;&gt;"."),1/((1/AL2)+(1/AM2)+(1/AO2)),IF(AND(AL2&lt;&gt;".",AM2=".",AN2&lt;&gt;".",AO2&lt;&gt;"."),1/((1/AL2)+(1/AN2)+(1/AO2)),IF(AND(AL2=".",AM2&lt;&gt;".",AN2&lt;&gt;".",AO2&lt;&gt;"."),1/((1/AM2)+(1/AN2)+(1/AO2)),IF(AND(AL2&lt;&gt;".",AM2&lt;&gt;".",AN2=".",AO2="."),1/((1/AL2)+(1/AM2)),IF(AND(AL2&lt;&gt;".",AM2=".",AN2&lt;&gt;".",AO2="."),1/((1/AL2)+(1/AN2)),IF(AND(AL2&lt;&gt;".",AM2=".",AN2=".",AO2&lt;&gt;"."),1/((1/AL2)+(1/AO2)),IF(AND(AL2=".",AM2=".",AN2&lt;&gt;".",AO2&lt;&gt;"."),1/((1/AN2)+(1/AO2)),IF(AND(AL2=".",AM2&lt;&gt;".",AN2=".",AO2&lt;&gt;"."),1/((1/AM2)+(1/AO2)),IF(AND(AL2=".",AM2&lt;&gt;".",AN2&lt;&gt;".",AO2="."),1/((1/AM2)+(1/AN2)),IF(AND(AL2&lt;&gt;".",AM2=".",AN2=".",AO2="."),1/((1/AL2)),IF(AND(AL2=".",AM2&lt;&gt;".",AN2=".",AO2="."),1/((1/AM2)),IF(AND(AL2=".",AM2=".",AN2&lt;&gt;".",AO2="."),1/((1/AN2)),IF(AND(AL2=".",AM2=".",AN2=".",AO2&lt;&gt;"."),1/((1/AO2)),IF(AND(AL2=".",AM2=".",AN2=".",AO2="."),".")))))))))))))))))</f>
        <v>74.465221505880521</v>
      </c>
      <c r="AQ2" s="189">
        <f>AP2*(0.0000000000000028)*s_RadSpec!$AY2*s_RadSpec!$AF2</f>
        <v>1.2852901246220473E-12</v>
      </c>
      <c r="AR2" s="40">
        <f t="shared" ref="AR2:AR30" si="4">s_C*s_IFW_res_adj</f>
        <v>1375</v>
      </c>
      <c r="AS2" s="40">
        <f>IF(s_RadSpec!D2&lt;&gt;"",s_C*s_IFA_res_adj*s_K*s_RadSpec!D2,0)</f>
        <v>0</v>
      </c>
      <c r="AT2" s="40">
        <f t="shared" ref="AT2:AT30" si="5">s_C*(1/8760)*s_DFA_res_adj</f>
        <v>0.12557077625570776</v>
      </c>
      <c r="AU2" s="40">
        <f>s_b2w!AC2</f>
        <v>449.79892269421157</v>
      </c>
      <c r="AV2" s="18"/>
      <c r="AW2" s="15">
        <f>IFERROR(s_DL/(s_RadSpec!F2*s_EF_res*1*s_IRF_res*0.001*s_CF_res_fish),".")</f>
        <v>17.083277990630673</v>
      </c>
      <c r="AX2" s="189">
        <f>IFERROR(AW2*(0.0000000000028)*s_RadSpec!$AY2*s_RadSpec!$AF2,0)</f>
        <v>2.9486205846841986E-10</v>
      </c>
      <c r="AY2" s="40">
        <f t="shared" ref="AY2:AY30" si="6">s_C*s_EF_res*1*s_IRF_res*0.001*s_CF_res_fish</f>
        <v>7562.5</v>
      </c>
    </row>
    <row r="3" spans="1:51" x14ac:dyDescent="0.25">
      <c r="A3" s="46" t="s">
        <v>1</v>
      </c>
      <c r="B3" s="42" t="s">
        <v>335</v>
      </c>
      <c r="C3" s="42"/>
      <c r="D3" s="15">
        <f>IFERROR(((s_DL/(s_RadSpec!E3*s_IFS_res_adj*(1/1000)))*1),".")</f>
        <v>1877.0072246008076</v>
      </c>
      <c r="E3" s="15">
        <f>IFERROR(IF(A3="H-3",(s_DL/((s_RadSpec!H3*s_IFA_res_adj*(1/17)*1000))*1),(s_DL/((s_RadSpec!H3*s_IFA_res_adj*(1/s_PEF_wind)*1000))*1)),".")</f>
        <v>42565.388120151685</v>
      </c>
      <c r="F3" s="15">
        <f>IFERROR((s_DL/(s_RadSpec!G3*s_EF_res*(1/365)*1*s_RadSpec!R3*((s_ET_res_o*(1/24)*s_RadSpec!W3)+(s_ET_res_i*(1/24)*s_RadSpec!AB3))))*1,".")</f>
        <v>16577366.657531947</v>
      </c>
      <c r="G3" s="15">
        <f>s_b2s!C3</f>
        <v>67.746096569426214</v>
      </c>
      <c r="H3" s="15">
        <f>s_dir!C3</f>
        <v>0.9385036123004038</v>
      </c>
      <c r="I3" s="15">
        <f t="shared" ref="I3" si="7">(IF(AND(D3&lt;&gt;".",E3&lt;&gt;".",F3&lt;&gt;".",G3&lt;&gt;"."),1/((1/D3)+(1/E3)+(1/F3)+(1/G3)),IF(AND(D3&lt;&gt;".",E3&lt;&gt;".",F3&lt;&gt;".",G3="."), 1/((1/D3)+(1/E3)+(1/F3)),IF(AND(D3&lt;&gt;".",E3&lt;&gt;".",F3=".",G3&lt;&gt;"."),1/((1/D3)+(1/E3)+(1/G3)),IF(AND(D3&lt;&gt;".",E3=".",F3&lt;&gt;".",G3&lt;&gt;"."),1/((1/D3)+(1/F3)+(1/G3)),IF(AND(D3=".",E3&lt;&gt;".",F3&lt;&gt;".",G3&lt;&gt;"."),1/((1/E3)+(1/F3)+(1/G3)),IF(AND(D3&lt;&gt;".",E3&lt;&gt;".",F3=".",G3="."),1/((1/D3)+(1/E3)),IF(AND(D3&lt;&gt;".",E3=".",F3&lt;&gt;".",G3="."),1/((1/D3)+(1/F3)),IF(AND(D3&lt;&gt;".",E3=".",F3=".",G3&lt;&gt;"."),1/((1/D3)+(1/G3)),IF(AND(D3=".",E3=".",F3&lt;&gt;".",G3&lt;&gt;"."),1/((1/F3)+(1/G3)),IF(AND(D3=".",E3&lt;&gt;".",F3=".",G3&lt;&gt;"."),1/((1/E3)+(1/G3)),IF(AND(D3=".",E3&lt;&gt;".",F3&lt;&gt;".",G3="."),1/((1/E3)+(1/F3)),IF(AND(D3&lt;&gt;".",E3=".",F3=".",G3="."),1/((1/D3)),IF(AND(D3=".",E3&lt;&gt;".",F3=".",G3="."),1/((1/E3)),IF(AND(D3=".",E3=".",F3&lt;&gt;".",G3="."),1/((1/F3)),IF(AND(D3=".",E3=".",F3=".",G3&lt;&gt;"."),1/((1/G3)),IF(AND(D3=".",E3=".",F3=".",G3="."),".")))))))))))))))))</f>
        <v>65.285594956545523</v>
      </c>
      <c r="J3" s="189">
        <f>IFERROR(I3*(0.0000000000028)*s_RadSpec!$AY3*s_RadSpec!$AF3,0)</f>
        <v>1.9040449757819767E-5</v>
      </c>
      <c r="K3" s="40">
        <f t="shared" si="0"/>
        <v>15.125</v>
      </c>
      <c r="L3" s="40">
        <f t="shared" si="1"/>
        <v>1.6181272791589674E-3</v>
      </c>
      <c r="M3" s="40">
        <f>IFERROR((s_C*s_EF_res*(1/365)*1*s_RadSpec!R3*((s_ET_res_o*(1/24)*s_RadSpec!W3)+(s_ET_res_i*(1/24)*s_RadSpec!AB3))),".")</f>
        <v>4.0569020021074795E-5</v>
      </c>
      <c r="N3" s="40">
        <f>s_b2s!AC3</f>
        <v>419.0608125</v>
      </c>
      <c r="O3" s="18"/>
      <c r="P3" s="15">
        <f>IFERROR((s_DL/(s_RadSpec!G3*s_EF_res*(1/365)*1*s_RadSpec!R3*((s_ET_res_o*(1/24)*s_RadSpec!W3)+(s_ET_res_i*(1/24)*s_RadSpec!AB3))))*1,".")</f>
        <v>16577366.657531947</v>
      </c>
      <c r="Q3" s="15">
        <f>IFERROR((s_DL/(s_RadSpec!N3*s_EF_res*(1/365)*1*s_RadSpec!S3*((s_ET_res_o*(1/24)*s_RadSpec!X3)+(s_ET_res_i*(1/24)*s_RadSpec!AC3))))*1,".")</f>
        <v>47199909.340030849</v>
      </c>
      <c r="R3" s="15">
        <f>IFERROR((s_DL/(s_RadSpec!O3*s_EF_res*(1/365)*1*s_RadSpec!T3*((s_ET_res_o*(1/24)*s_RadSpec!Y3)+(s_ET_res_i*(1/24)*s_RadSpec!AD3))))*1,".")</f>
        <v>18955992.786839738</v>
      </c>
      <c r="S3" s="15">
        <f>IFERROR((s_DL/(s_RadSpec!P3*s_EF_res*(1/365)*1*s_RadSpec!U3*((s_ET_res_o*(1/24)*s_RadSpec!Z3)+(s_ET_res_i*(1/24)*s_RadSpec!AE3))))*1,".")</f>
        <v>18165479.085292459</v>
      </c>
      <c r="T3" s="15">
        <f>IFERROR((s_DL/(s_RadSpec!L3*s_EF_res*(1/365)*1*s_RadSpec!Q3*((s_ET_res_o*(1/24)*s_RadSpec!V3)+(s_ET_res_i*(1/24)*s_RadSpec!AA3))))*1,".")</f>
        <v>52568721.698091842</v>
      </c>
      <c r="U3" s="189">
        <f>IFERROR(P3*(0.0000000000028)*s_RadSpec!$AY3*s_RadSpec!$AF3,0)</f>
        <v>4.8347651142612058</v>
      </c>
      <c r="V3" s="189">
        <f>IFERROR(Q3*(0.0000000000028)*s_RadSpec!$AY3*s_RadSpec!$AF3,0)</f>
        <v>13.765785591150548</v>
      </c>
      <c r="W3" s="189">
        <f>IFERROR(R3*(0.0000000000028)*s_RadSpec!$AY3*s_RadSpec!$AF3,0)</f>
        <v>5.5284879996521967</v>
      </c>
      <c r="X3" s="189">
        <f>IFERROR(S3*(0.0000000000028)*s_RadSpec!$AY3*s_RadSpec!$AF3,0)</f>
        <v>5.297935816935663</v>
      </c>
      <c r="Y3" s="189">
        <f>IFERROR(T3*(0.0000000000028)*s_RadSpec!$AY3*s_RadSpec!$AF3,0)</f>
        <v>15.331591984289242</v>
      </c>
      <c r="Z3" s="40">
        <f>IFERROR((s_C*s_EF_res*(1/365)*1*s_RadSpec!R3*((s_ET_res_o*(1/24)*s_RadSpec!W3)+(s_ET_res_i*(1/24)*s_RadSpec!AB3))),".")</f>
        <v>4.0569020021074795E-5</v>
      </c>
      <c r="AA3" s="40">
        <f>IFERROR((s_C*s_EF_res*(1/365)*1*s_RadSpec!S3*((s_ET_res_o*(1/24)*s_RadSpec!X3)+(s_ET_res_i*(1/24)*s_RadSpec!AC3))),".")</f>
        <v>2.8933161861638099E-5</v>
      </c>
      <c r="AB3" s="40">
        <f>IFERROR((s_C*s_EF_res*(1/365)*1*s_RadSpec!T3*((s_ET_res_o*(1/24)*s_RadSpec!Y3)+(s_ET_res_i*(1/24)*s_RadSpec!AD3))),".")</f>
        <v>3.8163207932938039E-5</v>
      </c>
      <c r="AC3" s="40">
        <f>IFERROR((s_C*s_EF_res*(1/365)*1*s_RadSpec!U3*((s_ET_res_o*(1/24)*s_RadSpec!Z3)+(s_ET_res_i*(1/24)*s_RadSpec!AE3))),".")</f>
        <v>3.7022283677099273E-5</v>
      </c>
      <c r="AD3" s="40">
        <f>IFERROR((s_C*s_EF_res*(1/365)*1*s_RadSpec!Q3*((s_ET_res_o*(1/24)*s_RadSpec!V3)+(s_ET_res_i*(1/24)*s_RadSpec!AA3))),".")</f>
        <v>1.8661286796852221E-5</v>
      </c>
      <c r="AE3" s="15">
        <f>IFERROR((s_DL/(s_RadSpec!H3*s_IFA_res_adj)),".")</f>
        <v>0.13739463280747685</v>
      </c>
      <c r="AF3" s="15">
        <f>IFERROR((s_DL/(s_RadSpec!K3*s_EF_res*(1/365)*1*s_ET_res*(1/24)*s_GSF_a)),".")</f>
        <v>4059723.4300177488</v>
      </c>
      <c r="AG3" s="15">
        <f>IFERROR(IF(AND(AE3&lt;&gt;".",AF3&lt;&gt;"."),1/((1/AE3)+(1/AF3)),IF(AND(AE3&lt;&gt;".",AF3="."),1/((1/AE3)),IF(AND(AE3=".",AF3&lt;&gt;"."),1/((1/AF3)),IF(AND(AE3=".",AF3="."),".")))),".")</f>
        <v>0.13739462815758263</v>
      </c>
      <c r="AH3" s="189">
        <f>AG3*(0.0000000000000028)*s_RadSpec!$AY3*s_RadSpec!$AF3</f>
        <v>4.0070945453894429E-11</v>
      </c>
      <c r="AI3" s="40">
        <f t="shared" si="2"/>
        <v>501.30208333333326</v>
      </c>
      <c r="AJ3" s="40">
        <f t="shared" si="3"/>
        <v>7.8481735159817351E-2</v>
      </c>
      <c r="AK3" s="18"/>
      <c r="AL3" s="15">
        <f>IFERROR((s_DL/(s_RadSpec!I3*s_IFW_res_adj)),".")</f>
        <v>20.64707947060888</v>
      </c>
      <c r="AM3" s="15" t="str">
        <f>IFERROR(IF(AND(s_RadSpec!C3=1,s_RadSpec!D3&lt;&gt;0),(s_DL/(s_RadSpec!H3*s_IFA_res_adj*s_K*s_RadSpec!D3)),"."),".")</f>
        <v>.</v>
      </c>
      <c r="AN3" s="15">
        <f>IFERROR((s_DL/(s_RadSpec!M3*(1/8760)*s_DFA_res_adj)),".")</f>
        <v>1107197.2990957496</v>
      </c>
      <c r="AO3" s="15">
        <f>s_b2w!C3</f>
        <v>79.757261120264914</v>
      </c>
      <c r="AP3" s="15">
        <f>(IF(AND(AL3&lt;&gt;".",AM3&lt;&gt;".",AN3&lt;&gt;".",AO3&lt;&gt;"."),1/((1/AL3)+(1/AM3)+(1/AN3)+(1/AO3)),IF(AND(AL3&lt;&gt;".",AM3&lt;&gt;".",AN3&lt;&gt;".",AO3="."), 1/((1/AL3)+(1/AM3)+(1/AN3)),IF(AND(AL3&lt;&gt;".",AM3&lt;&gt;".",AN3=".",AO3&lt;&gt;"."),1/((1/AL3)+(1/AM3)+(1/AO3)),IF(AND(AL3&lt;&gt;".",AM3=".",AN3&lt;&gt;".",AO3&lt;&gt;"."),1/((1/AL3)+(1/AN3)+(1/AO3)),IF(AND(AL3=".",AM3&lt;&gt;".",AN3&lt;&gt;".",AO3&lt;&gt;"."),1/((1/AM3)+(1/AN3)+(1/AO3)),IF(AND(AL3&lt;&gt;".",AM3&lt;&gt;".",AN3=".",AO3="."),1/((1/AL3)+(1/AM3)),IF(AND(AL3&lt;&gt;".",AM3=".",AN3&lt;&gt;".",AO3="."),1/((1/AL3)+(1/AN3)),IF(AND(AL3&lt;&gt;".",AM3=".",AN3=".",AO3&lt;&gt;"."),1/((1/AL3)+(1/AO3)),IF(AND(AL3=".",AM3=".",AN3&lt;&gt;".",AO3&lt;&gt;"."),1/((1/AN3)+(1/AO3)),IF(AND(AL3=".",AM3&lt;&gt;".",AN3=".",AO3&lt;&gt;"."),1/((1/AM3)+(1/AO3)),IF(AND(AL3=".",AM3&lt;&gt;".",AN3&lt;&gt;".",AO3="."),1/((1/AM3)+(1/AN3)),IF(AND(AL3&lt;&gt;".",AM3=".",AN3=".",AO3="."),1/((1/AL3)),IF(AND(AL3=".",AM3&lt;&gt;".",AN3=".",AO3="."),1/((1/AM3)),IF(AND(AL3=".",AM3=".",AN3&lt;&gt;".",AO3="."),1/((1/AN3)),IF(AND(AL3=".",AM3=".",AN3=".",AO3&lt;&gt;"."),1/((1/AO3)),IF(AND(AL3=".",AM3=".",AN3=".",AO3="."),".")))))))))))))))))</f>
        <v>16.400985311353008</v>
      </c>
      <c r="AQ3" s="189">
        <f>AP3*(0.0000000000000028)*s_RadSpec!$AY3*s_RadSpec!$AF3</f>
        <v>4.7833237486372567E-9</v>
      </c>
      <c r="AR3" s="40">
        <f t="shared" si="4"/>
        <v>1375</v>
      </c>
      <c r="AS3" s="40">
        <f>IF(s_RadSpec!D3&lt;&gt;"",s_C*s_IFA_res_adj*s_K*s_RadSpec!D3,0)</f>
        <v>0</v>
      </c>
      <c r="AT3" s="40">
        <f t="shared" si="5"/>
        <v>0.12557077625570776</v>
      </c>
      <c r="AU3" s="40">
        <f>s_b2w!AC3</f>
        <v>444.81455227381923</v>
      </c>
      <c r="AV3" s="18"/>
      <c r="AW3" s="15">
        <f>IFERROR(s_DL/(s_RadSpec!F3*s_EF_res*1*s_IRF_res*0.001*s_CF_res_fish),".")</f>
        <v>3.7540144492016148</v>
      </c>
      <c r="AX3" s="189">
        <f>IFERROR(AW3*(0.0000000000028)*s_RadSpec!$AY3*s_RadSpec!$AF3,0)</f>
        <v>1.094852908328844E-6</v>
      </c>
      <c r="AY3" s="40">
        <f t="shared" si="6"/>
        <v>7562.5</v>
      </c>
    </row>
    <row r="4" spans="1:51" x14ac:dyDescent="0.25">
      <c r="A4" s="44" t="s">
        <v>2</v>
      </c>
      <c r="B4" s="42" t="s">
        <v>1057</v>
      </c>
      <c r="C4" s="42"/>
      <c r="D4" s="15" t="str">
        <f>IFERROR(((s_DL/(s_RadSpec!E4*s_IFS_res_adj*(1/1000)))*1),".")</f>
        <v>.</v>
      </c>
      <c r="E4" s="15" t="str">
        <f>IFERROR(IF(A4="H-3",(s_DL/((s_RadSpec!H4*s_IFA_res_adj*(1/17)*1000))*1),(s_DL/((s_RadSpec!H4*s_IFA_res_adj*(1/s_PEF_wind)*1000))*1)),".")</f>
        <v>.</v>
      </c>
      <c r="F4" s="15">
        <f>IFERROR((s_DL/(s_RadSpec!G4*s_EF_res*(1/365)*1*s_RadSpec!R4*((s_ET_res_o*(1/24)*s_RadSpec!W4)+(s_ET_res_i*(1/24)*s_RadSpec!AB4))))*1,".")</f>
        <v>1933982.7238572233</v>
      </c>
      <c r="G4" s="15" t="str">
        <f>s_b2s!C4</f>
        <v>.</v>
      </c>
      <c r="H4" s="15" t="str">
        <f>s_dir!C4</f>
        <v>.</v>
      </c>
      <c r="I4" s="15">
        <f t="shared" ref="I4:I6" si="8">(IF(AND(D4&lt;&gt;".",E4&lt;&gt;".",F4&lt;&gt;".",G4&lt;&gt;"."),1/((1/D4)+(1/E4)+(1/F4)+(1/G4)),IF(AND(D4&lt;&gt;".",E4&lt;&gt;".",F4&lt;&gt;".",G4="."), 1/((1/D4)+(1/E4)+(1/F4)),IF(AND(D4&lt;&gt;".",E4&lt;&gt;".",F4=".",G4&lt;&gt;"."),1/((1/D4)+(1/E4)+(1/G4)),IF(AND(D4&lt;&gt;".",E4=".",F4&lt;&gt;".",G4&lt;&gt;"."),1/((1/D4)+(1/F4)+(1/G4)),IF(AND(D4=".",E4&lt;&gt;".",F4&lt;&gt;".",G4&lt;&gt;"."),1/((1/E4)+(1/F4)+(1/G4)),IF(AND(D4&lt;&gt;".",E4&lt;&gt;".",F4=".",G4="."),1/((1/D4)+(1/E4)),IF(AND(D4&lt;&gt;".",E4=".",F4&lt;&gt;".",G4="."),1/((1/D4)+(1/F4)),IF(AND(D4&lt;&gt;".",E4=".",F4=".",G4&lt;&gt;"."),1/((1/D4)+(1/G4)),IF(AND(D4=".",E4=".",F4&lt;&gt;".",G4&lt;&gt;"."),1/((1/F4)+(1/G4)),IF(AND(D4=".",E4&lt;&gt;".",F4=".",G4&lt;&gt;"."),1/((1/E4)+(1/G4)),IF(AND(D4=".",E4&lt;&gt;".",F4&lt;&gt;".",G4="."),1/((1/E4)+(1/F4)),IF(AND(D4&lt;&gt;".",E4=".",F4=".",G4="."),1/((1/D4)),IF(AND(D4=".",E4&lt;&gt;".",F4=".",G4="."),1/((1/E4)),IF(AND(D4=".",E4=".",F4&lt;&gt;".",G4="."),1/((1/F4)),IF(AND(D4=".",E4=".",F4=".",G4&lt;&gt;"."),1/((1/G4)),IF(AND(D4=".",E4=".",F4=".",G4="."),".")))))))))))))))))</f>
        <v>1933982.7238572233</v>
      </c>
      <c r="J4" s="189">
        <f>IFERROR(I4*(0.0000000000028)*s_RadSpec!$AY4*s_RadSpec!$AF4,0)</f>
        <v>1.2035559128426434E-12</v>
      </c>
      <c r="K4" s="40">
        <f t="shared" si="0"/>
        <v>15.125</v>
      </c>
      <c r="L4" s="40">
        <f t="shared" si="1"/>
        <v>1.6181272791589674E-3</v>
      </c>
      <c r="M4" s="40">
        <f>IFERROR((s_C*s_EF_res*(1/365)*1*s_RadSpec!R4*((s_ET_res_o*(1/24)*s_RadSpec!W4)+(s_ET_res_i*(1/24)*s_RadSpec!AB4))),".")</f>
        <v>1.0897749510763206E-2</v>
      </c>
      <c r="N4" s="40">
        <f>s_b2s!AC4</f>
        <v>6458.3750000000009</v>
      </c>
      <c r="O4" s="18"/>
      <c r="P4" s="15">
        <f>IFERROR((s_DL/(s_RadSpec!G4*s_EF_res*(1/365)*1*s_RadSpec!R4*((s_ET_res_o*(1/24)*s_RadSpec!W4)+(s_ET_res_i*(1/24)*s_RadSpec!AB4))))*1,".")</f>
        <v>1933982.7238572233</v>
      </c>
      <c r="Q4" s="15">
        <f>IFERROR((s_DL/(s_RadSpec!N4*s_EF_res*(1/365)*1*s_RadSpec!S4*((s_ET_res_o*(1/24)*s_RadSpec!X4)+(s_ET_res_i*(1/24)*s_RadSpec!AC4))))*1,".")</f>
        <v>13917104.388196468</v>
      </c>
      <c r="R4" s="15">
        <f>IFERROR((s_DL/(s_RadSpec!O4*s_EF_res*(1/365)*1*s_RadSpec!T4*((s_ET_res_o*(1/24)*s_RadSpec!Y4)+(s_ET_res_i*(1/24)*s_RadSpec!AD4))))*1,".")</f>
        <v>3586213.9087748304</v>
      </c>
      <c r="S4" s="15">
        <f>IFERROR((s_DL/(s_RadSpec!P4*s_EF_res*(1/365)*1*s_RadSpec!U4*((s_ET_res_o*(1/24)*s_RadSpec!Z4)+(s_ET_res_i*(1/24)*s_RadSpec!AE4))))*1,".")</f>
        <v>2112723.9303408028</v>
      </c>
      <c r="T4" s="15">
        <f>IFERROR((s_DL/(s_RadSpec!L4*s_EF_res*(1/365)*1*s_RadSpec!Q4*((s_ET_res_o*(1/24)*s_RadSpec!V4)+(s_ET_res_i*(1/24)*s_RadSpec!AA4))))*1,".")</f>
        <v>26053059.324318554</v>
      </c>
      <c r="U4" s="189">
        <f>IFERROR(P4*(0.0000000000028)*s_RadSpec!$AY4*s_RadSpec!$AF4,0)</f>
        <v>1.2035559128426434E-12</v>
      </c>
      <c r="V4" s="189">
        <f>IFERROR(Q4*(0.0000000000028)*s_RadSpec!$AY4*s_RadSpec!$AF4,0)</f>
        <v>8.660890849456592E-12</v>
      </c>
      <c r="W4" s="189">
        <f>IFERROR(R4*(0.0000000000028)*s_RadSpec!$AY4*s_RadSpec!$AF4,0)</f>
        <v>2.2317722394210591E-12</v>
      </c>
      <c r="X4" s="189">
        <f>IFERROR(S4*(0.0000000000028)*s_RadSpec!$AY4*s_RadSpec!$AF4,0)</f>
        <v>1.3147901205106854E-12</v>
      </c>
      <c r="Y4" s="189">
        <f>IFERROR(T4*(0.0000000000028)*s_RadSpec!$AY4*s_RadSpec!$AF4,0)</f>
        <v>1.621333697070742E-11</v>
      </c>
      <c r="Z4" s="40">
        <f>IFERROR((s_C*s_EF_res*(1/365)*1*s_RadSpec!R4*((s_ET_res_o*(1/24)*s_RadSpec!W4)+(s_ET_res_i*(1/24)*s_RadSpec!AB4))),".")</f>
        <v>1.0897749510763206E-2</v>
      </c>
      <c r="AA4" s="40">
        <f>IFERROR((s_C*s_EF_res*(1/365)*1*s_RadSpec!S4*((s_ET_res_o*(1/24)*s_RadSpec!X4)+(s_ET_res_i*(1/24)*s_RadSpec!AC4))),".")</f>
        <v>6.6780821917808196E-3</v>
      </c>
      <c r="AB4" s="40">
        <f>IFERROR((s_C*s_EF_res*(1/365)*1*s_RadSpec!T4*((s_ET_res_o*(1/24)*s_RadSpec!Y4)+(s_ET_res_i*(1/24)*s_RadSpec!AD4))),".")</f>
        <v>9.2832681017612547E-3</v>
      </c>
      <c r="AC4" s="40">
        <f>IFERROR((s_C*s_EF_res*(1/365)*1*s_RadSpec!U4*((s_ET_res_o*(1/24)*s_RadSpec!Z4)+(s_ET_res_i*(1/24)*s_RadSpec!AE4))),".")</f>
        <v>1.0664338956842375E-2</v>
      </c>
      <c r="AD4" s="40">
        <f>IFERROR((s_C*s_EF_res*(1/365)*1*s_RadSpec!Q4*((s_ET_res_o*(1/24)*s_RadSpec!V4)+(s_ET_res_i*(1/24)*s_RadSpec!AA4))),".")</f>
        <v>3.6161039961092657E-3</v>
      </c>
      <c r="AE4" s="15" t="str">
        <f>IFERROR((s_DL/(s_RadSpec!H4*s_IFA_res_adj)),".")</f>
        <v>.</v>
      </c>
      <c r="AF4" s="15">
        <f>IFERROR((s_DL/(s_RadSpec!K4*s_EF_res*(1/365)*1*s_ET_res*(1/24)*s_GSF_a)),".")</f>
        <v>257371145.75206867</v>
      </c>
      <c r="AG4" s="15">
        <f t="shared" ref="AG4:AG5" si="9">IFERROR(IF(AND(AE4&lt;&gt;".",AF4&lt;&gt;"."),1/((1/AE4)+(1/AF4)),IF(AND(AE4&lt;&gt;".",AF4="."),1/((1/AE4)),IF(AND(AE4=".",AF4&lt;&gt;"."),1/((1/AF4)),IF(AND(AE4=".",AF4="."),".")))),".")</f>
        <v>257371145.7520687</v>
      </c>
      <c r="AH4" s="189">
        <f>AG4*(0.0000000000000028)*s_RadSpec!$AY4*s_RadSpec!$AF4</f>
        <v>1.6016718269705504E-13</v>
      </c>
      <c r="AI4" s="40">
        <f t="shared" si="2"/>
        <v>501.30208333333326</v>
      </c>
      <c r="AJ4" s="40">
        <f t="shared" si="3"/>
        <v>7.8481735159817351E-2</v>
      </c>
      <c r="AK4" s="18"/>
      <c r="AL4" s="15" t="str">
        <f>IFERROR((s_DL/(s_RadSpec!I4*s_IFW_res_adj)),".")</f>
        <v>.</v>
      </c>
      <c r="AM4" s="15" t="str">
        <f>IFERROR(IF(AND(s_RadSpec!C4=1,s_RadSpec!D4&lt;&gt;0),(s_DL/(s_RadSpec!H4*s_IFA_res_adj*s_K*s_RadSpec!D4)),"."),".")</f>
        <v>.</v>
      </c>
      <c r="AN4" s="15">
        <f>IFERROR((s_DL/(s_RadSpec!M4*(1/8760)*s_DFA_res_adj)),".")</f>
        <v>73813153.27304998</v>
      </c>
      <c r="AO4" s="15" t="str">
        <f>s_b2w!C4</f>
        <v>.</v>
      </c>
      <c r="AP4" s="15">
        <f t="shared" ref="AP4:AP5" si="10">(IF(AND(AL4&lt;&gt;".",AM4&lt;&gt;".",AN4&lt;&gt;".",AO4&lt;&gt;"."),1/((1/AL4)+(1/AM4)+(1/AN4)+(1/AO4)),IF(AND(AL4&lt;&gt;".",AM4&lt;&gt;".",AN4&lt;&gt;".",AO4="."), 1/((1/AL4)+(1/AM4)+(1/AN4)),IF(AND(AL4&lt;&gt;".",AM4&lt;&gt;".",AN4=".",AO4&lt;&gt;"."),1/((1/AL4)+(1/AM4)+(1/AO4)),IF(AND(AL4&lt;&gt;".",AM4=".",AN4&lt;&gt;".",AO4&lt;&gt;"."),1/((1/AL4)+(1/AN4)+(1/AO4)),IF(AND(AL4=".",AM4&lt;&gt;".",AN4&lt;&gt;".",AO4&lt;&gt;"."),1/((1/AM4)+(1/AN4)+(1/AO4)),IF(AND(AL4&lt;&gt;".",AM4&lt;&gt;".",AN4=".",AO4="."),1/((1/AL4)+(1/AM4)),IF(AND(AL4&lt;&gt;".",AM4=".",AN4&lt;&gt;".",AO4="."),1/((1/AL4)+(1/AN4)),IF(AND(AL4&lt;&gt;".",AM4=".",AN4=".",AO4&lt;&gt;"."),1/((1/AL4)+(1/AO4)),IF(AND(AL4=".",AM4=".",AN4&lt;&gt;".",AO4&lt;&gt;"."),1/((1/AN4)+(1/AO4)),IF(AND(AL4=".",AM4&lt;&gt;".",AN4=".",AO4&lt;&gt;"."),1/((1/AM4)+(1/AO4)),IF(AND(AL4=".",AM4&lt;&gt;".",AN4&lt;&gt;".",AO4="."),1/((1/AM4)+(1/AN4)),IF(AND(AL4&lt;&gt;".",AM4=".",AN4=".",AO4="."),1/((1/AL4)),IF(AND(AL4=".",AM4&lt;&gt;".",AN4=".",AO4="."),1/((1/AM4)),IF(AND(AL4=".",AM4=".",AN4&lt;&gt;".",AO4="."),1/((1/AN4)),IF(AND(AL4=".",AM4=".",AN4=".",AO4&lt;&gt;"."),1/((1/AO4)),IF(AND(AL4=".",AM4=".",AN4=".",AO4="."),".")))))))))))))))))</f>
        <v>73813153.27304998</v>
      </c>
      <c r="AQ4" s="189">
        <f>AP4*(0.0000000000000028)*s_RadSpec!$AY4*s_RadSpec!$AF4</f>
        <v>4.5935393305973574E-14</v>
      </c>
      <c r="AR4" s="40">
        <f t="shared" si="4"/>
        <v>1375</v>
      </c>
      <c r="AS4" s="40">
        <f>IF(s_RadSpec!D4&lt;&gt;"",s_C*s_IFA_res_adj*s_K*s_RadSpec!D4,0)</f>
        <v>0</v>
      </c>
      <c r="AT4" s="40">
        <f t="shared" si="5"/>
        <v>0.12557077625570776</v>
      </c>
      <c r="AU4" s="40">
        <f>s_b2w!AC4</f>
        <v>1555.9678251111511</v>
      </c>
      <c r="AV4" s="18"/>
      <c r="AW4" s="15" t="str">
        <f>IFERROR(s_DL/(s_RadSpec!F4*s_EF_res*1*s_IRF_res*0.001*s_CF_res_fish),".")</f>
        <v>.</v>
      </c>
      <c r="AX4" s="189">
        <f>IFERROR(AW4*(0.0000000000028)*s_RadSpec!$AY4*s_RadSpec!$AF4,0)</f>
        <v>0</v>
      </c>
      <c r="AY4" s="40">
        <f t="shared" si="6"/>
        <v>7562.5</v>
      </c>
    </row>
    <row r="5" spans="1:51" x14ac:dyDescent="0.25">
      <c r="A5" s="44" t="s">
        <v>3</v>
      </c>
      <c r="B5" s="42" t="s">
        <v>1057</v>
      </c>
      <c r="C5" s="238"/>
      <c r="D5" s="15" t="str">
        <f>IFERROR(((s_DL/(s_RadSpec!E5*s_IFS_res_adj*(1/1000)))*1),".")</f>
        <v>.</v>
      </c>
      <c r="E5" s="15" t="str">
        <f>IFERROR(IF(A5="H-3",(s_DL/((s_RadSpec!H5*s_IFA_res_adj*(1/17)*1000))*1),(s_DL/((s_RadSpec!H5*s_IFA_res_adj*(1/s_PEF_wind)*1000))*1)),".")</f>
        <v>.</v>
      </c>
      <c r="F5" s="15" t="str">
        <f>IFERROR((s_DL/(s_RadSpec!G5*s_EF_res*(1/365)*1*s_RadSpec!R5*((s_ET_res_o*(1/24)*s_RadSpec!W5)+(s_ET_res_i*(1/24)*s_RadSpec!AB5))))*1,".")</f>
        <v>.</v>
      </c>
      <c r="G5" s="15" t="str">
        <f>s_b2s!C5</f>
        <v>.</v>
      </c>
      <c r="H5" s="15" t="str">
        <f>s_dir!C5</f>
        <v>.</v>
      </c>
      <c r="I5" s="15" t="str">
        <f t="shared" si="8"/>
        <v>.</v>
      </c>
      <c r="J5" s="189">
        <f>IFERROR(I5*(0.0000000000028)*s_RadSpec!$AY5*s_RadSpec!$AF5,0)</f>
        <v>0</v>
      </c>
      <c r="K5" s="40">
        <f t="shared" si="0"/>
        <v>15.125</v>
      </c>
      <c r="L5" s="40">
        <f t="shared" si="1"/>
        <v>1.6181272791589674E-3</v>
      </c>
      <c r="M5" s="40">
        <f>IFERROR((s_C*s_EF_res*(1/365)*1*s_RadSpec!R5*((s_ET_res_o*(1/24)*s_RadSpec!W5)+(s_ET_res_i*(1/24)*s_RadSpec!AB5))),".")</f>
        <v>0</v>
      </c>
      <c r="N5" s="40">
        <f>s_b2s!AC5</f>
        <v>6458.3750000000009</v>
      </c>
      <c r="O5" s="18"/>
      <c r="P5" s="15" t="str">
        <f>IFERROR((s_DL/(s_RadSpec!G5*s_EF_res*(1/365)*1*s_RadSpec!R5*((s_ET_res_o*(1/24)*s_RadSpec!W5)+(s_ET_res_i*(1/24)*s_RadSpec!AB5))))*1,".")</f>
        <v>.</v>
      </c>
      <c r="Q5" s="15" t="str">
        <f>IFERROR((s_DL/(s_RadSpec!N5*s_EF_res*(1/365)*1*s_RadSpec!S5*((s_ET_res_o*(1/24)*s_RadSpec!X5)+(s_ET_res_i*(1/24)*s_RadSpec!AC5))))*1,".")</f>
        <v>.</v>
      </c>
      <c r="R5" s="15" t="str">
        <f>IFERROR((s_DL/(s_RadSpec!O5*s_EF_res*(1/365)*1*s_RadSpec!T5*((s_ET_res_o*(1/24)*s_RadSpec!Y5)+(s_ET_res_i*(1/24)*s_RadSpec!AD5))))*1,".")</f>
        <v>.</v>
      </c>
      <c r="S5" s="15" t="str">
        <f>IFERROR((s_DL/(s_RadSpec!P5*s_EF_res*(1/365)*1*s_RadSpec!U5*((s_ET_res_o*(1/24)*s_RadSpec!Z5)+(s_ET_res_i*(1/24)*s_RadSpec!AE5))))*1,".")</f>
        <v>.</v>
      </c>
      <c r="T5" s="15" t="str">
        <f>IFERROR((s_DL/(s_RadSpec!L5*s_EF_res*(1/365)*1*s_RadSpec!Q5*((s_ET_res_o*(1/24)*s_RadSpec!V5)+(s_ET_res_i*(1/24)*s_RadSpec!AA5))))*1,".")</f>
        <v>.</v>
      </c>
      <c r="U5" s="189">
        <f>IFERROR(P5*(0.0000000000028)*s_RadSpec!$AY5*s_RadSpec!$AF5,0)</f>
        <v>0</v>
      </c>
      <c r="V5" s="189">
        <f>IFERROR(Q5*(0.0000000000028)*s_RadSpec!$AY5*s_RadSpec!$AF5,0)</f>
        <v>0</v>
      </c>
      <c r="W5" s="189">
        <f>IFERROR(R5*(0.0000000000028)*s_RadSpec!$AY5*s_RadSpec!$AF5,0)</f>
        <v>0</v>
      </c>
      <c r="X5" s="189">
        <f>IFERROR(S5*(0.0000000000028)*s_RadSpec!$AY5*s_RadSpec!$AF5,0)</f>
        <v>0</v>
      </c>
      <c r="Y5" s="189">
        <f>IFERROR(T5*(0.0000000000028)*s_RadSpec!$AY5*s_RadSpec!$AF5,0)</f>
        <v>0</v>
      </c>
      <c r="Z5" s="40">
        <f>IFERROR((s_C*s_EF_res*(1/365)*1*s_RadSpec!R5*((s_ET_res_o*(1/24)*s_RadSpec!W5)+(s_ET_res_i*(1/24)*s_RadSpec!AB5))),".")</f>
        <v>0</v>
      </c>
      <c r="AA5" s="40">
        <f>IFERROR((s_C*s_EF_res*(1/365)*1*s_RadSpec!S5*((s_ET_res_o*(1/24)*s_RadSpec!X5)+(s_ET_res_i*(1/24)*s_RadSpec!AC5))),".")</f>
        <v>0</v>
      </c>
      <c r="AB5" s="40">
        <f>IFERROR((s_C*s_EF_res*(1/365)*1*s_RadSpec!T5*((s_ET_res_o*(1/24)*s_RadSpec!Y5)+(s_ET_res_i*(1/24)*s_RadSpec!AD5))),".")</f>
        <v>0</v>
      </c>
      <c r="AC5" s="40">
        <f>IFERROR((s_C*s_EF_res*(1/365)*1*s_RadSpec!U5*((s_ET_res_o*(1/24)*s_RadSpec!Z5)+(s_ET_res_i*(1/24)*s_RadSpec!AE5))),".")</f>
        <v>0</v>
      </c>
      <c r="AD5" s="40">
        <f>IFERROR((s_C*s_EF_res*(1/365)*1*s_RadSpec!Q5*((s_ET_res_o*(1/24)*s_RadSpec!V5)+(s_ET_res_i*(1/24)*s_RadSpec!AA5))),".")</f>
        <v>0</v>
      </c>
      <c r="AE5" s="15" t="str">
        <f>IFERROR((s_DL/(s_RadSpec!H5*s_IFA_res_adj)),".")</f>
        <v>.</v>
      </c>
      <c r="AF5" s="15">
        <f>IFERROR((s_DL/(s_RadSpec!K5*s_EF_res*(1/365)*1*s_ET_res*(1/24)*s_GSF_a)),".")</f>
        <v>2783810352.0121703</v>
      </c>
      <c r="AG5" s="15">
        <f t="shared" si="9"/>
        <v>2783810352.0121703</v>
      </c>
      <c r="AH5" s="189">
        <f>AG5*(0.0000000000000028)*s_RadSpec!$AY5*s_RadSpec!$AF5</f>
        <v>8.0823717602179866E-11</v>
      </c>
      <c r="AI5" s="40">
        <f t="shared" si="2"/>
        <v>501.30208333333326</v>
      </c>
      <c r="AJ5" s="40">
        <f t="shared" si="3"/>
        <v>7.8481735159817351E-2</v>
      </c>
      <c r="AK5" s="18"/>
      <c r="AL5" s="15" t="str">
        <f>IFERROR((s_DL/(s_RadSpec!I5*s_IFW_res_adj)),".")</f>
        <v>.</v>
      </c>
      <c r="AM5" s="15" t="str">
        <f>IFERROR(IF(AND(s_RadSpec!C5=1,s_RadSpec!D5&lt;&gt;0),(s_DL/(s_RadSpec!H5*s_IFA_res_adj*s_K*s_RadSpec!D5)),"."),".")</f>
        <v>.</v>
      </c>
      <c r="AN5" s="15">
        <f>IFERROR((s_DL/(s_RadSpec!M5*(1/8760)*s_DFA_res_adj)),".")</f>
        <v>1364067072.4859638</v>
      </c>
      <c r="AO5" s="15" t="str">
        <f>s_b2w!C5</f>
        <v>.</v>
      </c>
      <c r="AP5" s="15">
        <f t="shared" si="10"/>
        <v>1364067072.4859638</v>
      </c>
      <c r="AQ5" s="189">
        <f>AP5*(0.0000000000000028)*s_RadSpec!$AY5*s_RadSpec!$AF5</f>
        <v>3.9603621625068142E-11</v>
      </c>
      <c r="AR5" s="40">
        <f t="shared" si="4"/>
        <v>1375</v>
      </c>
      <c r="AS5" s="40">
        <f>IF(s_RadSpec!D5&lt;&gt;"",s_C*s_IFA_res_adj*s_K*s_RadSpec!D5,0)</f>
        <v>3.6410071614583331E-2</v>
      </c>
      <c r="AT5" s="40">
        <f t="shared" si="5"/>
        <v>0.12557077625570776</v>
      </c>
      <c r="AU5" s="40">
        <f>s_b2w!AC5</f>
        <v>1555.9678251111511</v>
      </c>
      <c r="AV5" s="18"/>
      <c r="AW5" s="15" t="str">
        <f>IFERROR(s_DL/(s_RadSpec!F5*s_EF_res*1*s_IRF_res*0.001*s_CF_res_fish),".")</f>
        <v>.</v>
      </c>
      <c r="AX5" s="189">
        <f>IFERROR(AW5*(0.0000000000028)*s_RadSpec!$AY5*s_RadSpec!$AF5,0)</f>
        <v>0</v>
      </c>
      <c r="AY5" s="40">
        <f t="shared" si="6"/>
        <v>7562.5</v>
      </c>
    </row>
    <row r="6" spans="1:51" x14ac:dyDescent="0.25">
      <c r="A6" s="44" t="s">
        <v>4</v>
      </c>
      <c r="B6" s="42" t="s">
        <v>1057</v>
      </c>
      <c r="C6" s="42"/>
      <c r="D6" s="15" t="str">
        <f>IFERROR(((s_DL/(s_RadSpec!E6*s_IFS_res_adj*(1/1000)))*1),".")</f>
        <v>.</v>
      </c>
      <c r="E6" s="15" t="str">
        <f>IFERROR(IF(A6="H-3",(s_DL/((s_RadSpec!H6*s_IFA_res_adj*(1/17)*1000))*1),(s_DL/((s_RadSpec!H6*s_IFA_res_adj*(1/s_PEF_wind)*1000))*1)),".")</f>
        <v>.</v>
      </c>
      <c r="F6" s="15">
        <f>IFERROR((s_DL/(s_RadSpec!G6*s_EF_res*(1/365)*1*s_RadSpec!R6*((s_ET_res_o*(1/24)*s_RadSpec!W6)+(s_ET_res_i*(1/24)*s_RadSpec!AB6))))*1,".")</f>
        <v>348.72757025037981</v>
      </c>
      <c r="G6" s="15" t="str">
        <f>s_b2s!C6</f>
        <v>.</v>
      </c>
      <c r="H6" s="15" t="str">
        <f>s_dir!C6</f>
        <v>.</v>
      </c>
      <c r="I6" s="15">
        <f t="shared" si="8"/>
        <v>348.72757025037981</v>
      </c>
      <c r="J6" s="189">
        <f>IFERROR(I6*(0.0000000000028)*s_RadSpec!$AY6*s_RadSpec!$AF6,0)</f>
        <v>6.4951651152856235E-13</v>
      </c>
      <c r="K6" s="40">
        <f t="shared" si="0"/>
        <v>15.125</v>
      </c>
      <c r="L6" s="40">
        <f t="shared" si="1"/>
        <v>1.6181272791589674E-3</v>
      </c>
      <c r="M6" s="40">
        <f>IFERROR((s_C*s_EF_res*(1/365)*1*s_RadSpec!R6*((s_ET_res_o*(1/24)*s_RadSpec!W6)+(s_ET_res_i*(1/24)*s_RadSpec!AB6))),".")</f>
        <v>2.1203047098117052E-2</v>
      </c>
      <c r="N6" s="40">
        <f>s_b2s!AC6</f>
        <v>574.29624999999999</v>
      </c>
      <c r="O6" s="18"/>
      <c r="P6" s="15">
        <f>IFERROR((s_DL/(s_RadSpec!G6*s_EF_res*(1/365)*1*s_RadSpec!R6*((s_ET_res_o*(1/24)*s_RadSpec!W6)+(s_ET_res_i*(1/24)*s_RadSpec!AB6))))*1,".")</f>
        <v>348.72757025037981</v>
      </c>
      <c r="Q6" s="15">
        <f>IFERROR((s_DL/(s_RadSpec!N6*s_EF_res*(1/365)*1*s_RadSpec!S6*((s_ET_res_o*(1/24)*s_RadSpec!X6)+(s_ET_res_i*(1/24)*s_RadSpec!AC6))))*1,".")</f>
        <v>3273.1659530763609</v>
      </c>
      <c r="R6" s="15">
        <f>IFERROR((s_DL/(s_RadSpec!O6*s_EF_res*(1/365)*1*s_RadSpec!T6*((s_ET_res_o*(1/24)*s_RadSpec!Y6)+(s_ET_res_i*(1/24)*s_RadSpec!AD6))))*1,".")</f>
        <v>808.43452663345477</v>
      </c>
      <c r="S6" s="15">
        <f>IFERROR((s_DL/(s_RadSpec!P6*s_EF_res*(1/365)*1*s_RadSpec!U6*((s_ET_res_o*(1/24)*s_RadSpec!Z6)+(s_ET_res_i*(1/24)*s_RadSpec!AE6))))*1,".")</f>
        <v>427.70276764628613</v>
      </c>
      <c r="T6" s="15">
        <f>IFERROR((s_DL/(s_RadSpec!L6*s_EF_res*(1/365)*1*s_RadSpec!Q6*((s_ET_res_o*(1/24)*s_RadSpec!V6)+(s_ET_res_i*(1/24)*s_RadSpec!AA6))))*1,".")</f>
        <v>5481.5438490606948</v>
      </c>
      <c r="U6" s="189">
        <f>IFERROR(P6*(0.0000000000028)*s_RadSpec!$AY6*s_RadSpec!$AF6,0)</f>
        <v>6.4951651152856235E-13</v>
      </c>
      <c r="V6" s="189">
        <f>IFERROR(Q6*(0.0000000000028)*s_RadSpec!$AY6*s_RadSpec!$AF6,0)</f>
        <v>6.0963787003413869E-12</v>
      </c>
      <c r="W6" s="189">
        <f>IFERROR(R6*(0.0000000000028)*s_RadSpec!$AY6*s_RadSpec!$AF6,0)</f>
        <v>1.5057357614747819E-12</v>
      </c>
      <c r="X6" s="189">
        <f>IFERROR(S6*(0.0000000000028)*s_RadSpec!$AY6*s_RadSpec!$AF6,0)</f>
        <v>7.9661040110270577E-13</v>
      </c>
      <c r="Y6" s="189">
        <f>IFERROR(T6*(0.0000000000028)*s_RadSpec!$AY6*s_RadSpec!$AF6,0)</f>
        <v>1.0209554799686428E-11</v>
      </c>
      <c r="Z6" s="40">
        <f>IFERROR((s_C*s_EF_res*(1/365)*1*s_RadSpec!R6*((s_ET_res_o*(1/24)*s_RadSpec!W6)+(s_ET_res_i*(1/24)*s_RadSpec!AB6))),".")</f>
        <v>2.1203047098117052E-2</v>
      </c>
      <c r="AA6" s="40">
        <f>IFERROR((s_C*s_EF_res*(1/365)*1*s_RadSpec!S6*((s_ET_res_o*(1/24)*s_RadSpec!X6)+(s_ET_res_i*(1/24)*s_RadSpec!AC6))),".")</f>
        <v>1.1357758000460459E-2</v>
      </c>
      <c r="AB6" s="40">
        <f>IFERROR((s_C*s_EF_res*(1/365)*1*s_RadSpec!T6*((s_ET_res_o*(1/24)*s_RadSpec!Y6)+(s_ET_res_i*(1/24)*s_RadSpec!AD6))),".")</f>
        <v>1.6072412088688034E-2</v>
      </c>
      <c r="AC6" s="40">
        <f>IFERROR((s_C*s_EF_res*(1/365)*1*s_RadSpec!U6*((s_ET_res_o*(1/24)*s_RadSpec!Z6)+(s_ET_res_i*(1/24)*s_RadSpec!AE6))),".")</f>
        <v>1.9435476834482164E-2</v>
      </c>
      <c r="AD6" s="40">
        <f>IFERROR((s_C*s_EF_res*(1/365)*1*s_RadSpec!Q6*((s_ET_res_o*(1/24)*s_RadSpec!V6)+(s_ET_res_i*(1/24)*s_RadSpec!AA6))),".")</f>
        <v>6.7615582191780793E-3</v>
      </c>
      <c r="AE6" s="15" t="str">
        <f>IFERROR((s_DL/(s_RadSpec!H6*s_IFA_res_adj)),".")</f>
        <v>.</v>
      </c>
      <c r="AF6" s="15">
        <f>IFERROR((s_DL/(s_RadSpec!K6*s_EF_res*(1/365)*1*s_ET_res*(1/24)*s_GSF_a)),".")</f>
        <v>101417.62620713483</v>
      </c>
      <c r="AG6" s="15">
        <f t="shared" ref="AG6:AG14" si="11">IFERROR(IF(AND(AE6&lt;&gt;".",AF6&lt;&gt;"."),1/((1/AE6)+(1/AF6)),IF(AND(AE6&lt;&gt;".",AF6="."),1/((1/AE6)),IF(AND(AE6=".",AF6&lt;&gt;"."),1/((1/AF6)),IF(AND(AE6=".",AF6="."),".")))),".")</f>
        <v>101417.62620713483</v>
      </c>
      <c r="AH6" s="189">
        <f>AG6*(0.0000000000000028)*s_RadSpec!$AY6*s_RadSpec!$AF6</f>
        <v>1.8889364765243757E-13</v>
      </c>
      <c r="AI6" s="40">
        <f t="shared" si="2"/>
        <v>501.30208333333326</v>
      </c>
      <c r="AJ6" s="40">
        <f t="shared" si="3"/>
        <v>7.8481735159817351E-2</v>
      </c>
      <c r="AK6" s="18"/>
      <c r="AL6" s="15" t="str">
        <f>IFERROR((s_DL/(s_RadSpec!I6*s_IFW_res_adj)),".")</f>
        <v>.</v>
      </c>
      <c r="AM6" s="15" t="str">
        <f>IFERROR(IF(AND(s_RadSpec!C6=1,s_RadSpec!D6&lt;&gt;0),(s_DL/(s_RadSpec!H6*s_IFA_res_adj*s_K*s_RadSpec!D6)),"."),".")</f>
        <v>.</v>
      </c>
      <c r="AN6" s="15">
        <f>IFERROR((s_DL/(s_RadSpec!M6*(1/8760)*s_DFA_res_adj)),".")</f>
        <v>29246.721108189617</v>
      </c>
      <c r="AO6" s="15" t="str">
        <f>s_b2w!C6</f>
        <v>.</v>
      </c>
      <c r="AP6" s="15">
        <f>(IF(AND(AL6&lt;&gt;".",AM6&lt;&gt;".",AN6&lt;&gt;".",AO6&lt;&gt;"."),1/((1/AL6)+(1/AM6)+(1/AN6)+(1/AO6)),IF(AND(AL6&lt;&gt;".",AM6&lt;&gt;".",AN6&lt;&gt;".",AO6="."), 1/((1/AL6)+(1/AM6)+(1/AN6)),IF(AND(AL6&lt;&gt;".",AM6&lt;&gt;".",AN6=".",AO6&lt;&gt;"."),1/((1/AL6)+(1/AM6)+(1/AO6)),IF(AND(AL6&lt;&gt;".",AM6=".",AN6&lt;&gt;".",AO6&lt;&gt;"."),1/((1/AL6)+(1/AN6)+(1/AO6)),IF(AND(AL6=".",AM6&lt;&gt;".",AN6&lt;&gt;".",AO6&lt;&gt;"."),1/((1/AM6)+(1/AN6)+(1/AO6)),IF(AND(AL6&lt;&gt;".",AM6&lt;&gt;".",AN6=".",AO6="."),1/((1/AL6)+(1/AM6)),IF(AND(AL6&lt;&gt;".",AM6=".",AN6&lt;&gt;".",AO6="."),1/((1/AL6)+(1/AN6)),IF(AND(AL6&lt;&gt;".",AM6=".",AN6=".",AO6&lt;&gt;"."),1/((1/AL6)+(1/AO6)),IF(AND(AL6=".",AM6=".",AN6&lt;&gt;".",AO6&lt;&gt;"."),1/((1/AN6)+(1/AO6)),IF(AND(AL6=".",AM6&lt;&gt;".",AN6=".",AO6&lt;&gt;"."),1/((1/AM6)+(1/AO6)),IF(AND(AL6=".",AM6&lt;&gt;".",AN6&lt;&gt;".",AO6="."),1/((1/AM6)+(1/AN6)),IF(AND(AL6&lt;&gt;".",AM6=".",AN6=".",AO6="."),1/((1/AL6)),IF(AND(AL6=".",AM6&lt;&gt;".",AN6=".",AO6="."),1/((1/AM6)),IF(AND(AL6=".",AM6=".",AN6&lt;&gt;".",AO6="."),1/((1/AN6)),IF(AND(AL6=".",AM6=".",AN6=".",AO6&lt;&gt;"."),1/((1/AO6)),IF(AND(AL6=".",AM6=".",AN6=".",AO6="."),".")))))))))))))))))</f>
        <v>29246.72110818962</v>
      </c>
      <c r="AQ6" s="189">
        <f>AP6*(0.0000000000000028)*s_RadSpec!$AY6*s_RadSpec!$AF6</f>
        <v>5.4472975148483844E-14</v>
      </c>
      <c r="AR6" s="40">
        <f t="shared" si="4"/>
        <v>1375</v>
      </c>
      <c r="AS6" s="40">
        <f>IF(s_RadSpec!D6&lt;&gt;"",s_C*s_IFA_res_adj*s_K*s_RadSpec!D6,0)</f>
        <v>0</v>
      </c>
      <c r="AT6" s="40">
        <f t="shared" si="5"/>
        <v>0.12557077625570776</v>
      </c>
      <c r="AU6" s="40">
        <f>s_b2w!AC6</f>
        <v>386.79711383876969</v>
      </c>
      <c r="AV6" s="18"/>
      <c r="AW6" s="15" t="str">
        <f>IFERROR(s_DL/(s_RadSpec!F6*s_EF_res*1*s_IRF_res*0.001*s_CF_res_fish),".")</f>
        <v>.</v>
      </c>
      <c r="AX6" s="189">
        <f>IFERROR(AW6*(0.0000000000028)*s_RadSpec!$AY6*s_RadSpec!$AF6,0)</f>
        <v>0</v>
      </c>
      <c r="AY6" s="40">
        <f t="shared" si="6"/>
        <v>7562.5</v>
      </c>
    </row>
    <row r="7" spans="1:51" x14ac:dyDescent="0.25">
      <c r="A7" s="44" t="s">
        <v>5</v>
      </c>
      <c r="B7" s="42" t="s">
        <v>1057</v>
      </c>
      <c r="C7" s="238"/>
      <c r="D7" s="15">
        <f>IFERROR(((s_DL/(s_RadSpec!E7*s_IFS_res_adj*(1/1000)))*1),".")</f>
        <v>248182.06636388457</v>
      </c>
      <c r="E7" s="15">
        <f>IFERROR(IF(A7="H-3",(s_DL/((s_RadSpec!H7*s_IFA_res_adj*(1/17)*1000))*1),(s_DL/((s_RadSpec!H7*s_IFA_res_adj*(1/s_PEF_wind)*1000))*1)),".")</f>
        <v>28600442.291690964</v>
      </c>
      <c r="F7" s="15">
        <f>IFERROR((s_DL/(s_RadSpec!G7*s_EF_res*(1/365)*1*s_RadSpec!R7*((s_ET_res_o*(1/24)*s_RadSpec!W7)+(s_ET_res_i*(1/24)*s_RadSpec!AB7))))*1,".")</f>
        <v>466123.44525583641</v>
      </c>
      <c r="G7" s="15">
        <f>s_b2s!C7</f>
        <v>1093.3130676823109</v>
      </c>
      <c r="H7" s="15">
        <f>s_dir!C7</f>
        <v>124.09103318194229</v>
      </c>
      <c r="I7" s="15">
        <f t="shared" ref="I7:I9" si="12">(IF(AND(D7&lt;&gt;".",E7&lt;&gt;".",F7&lt;&gt;".",G7&lt;&gt;"."),1/((1/D7)+(1/E7)+(1/F7)+(1/G7)),IF(AND(D7&lt;&gt;".",E7&lt;&gt;".",F7&lt;&gt;".",G7="."), 1/((1/D7)+(1/E7)+(1/F7)),IF(AND(D7&lt;&gt;".",E7&lt;&gt;".",F7=".",G7&lt;&gt;"."),1/((1/D7)+(1/E7)+(1/G7)),IF(AND(D7&lt;&gt;".",E7=".",F7&lt;&gt;".",G7&lt;&gt;"."),1/((1/D7)+(1/F7)+(1/G7)),IF(AND(D7=".",E7&lt;&gt;".",F7&lt;&gt;".",G7&lt;&gt;"."),1/((1/E7)+(1/F7)+(1/G7)),IF(AND(D7&lt;&gt;".",E7&lt;&gt;".",F7=".",G7="."),1/((1/D7)+(1/E7)),IF(AND(D7&lt;&gt;".",E7=".",F7&lt;&gt;".",G7="."),1/((1/D7)+(1/F7)),IF(AND(D7&lt;&gt;".",E7=".",F7=".",G7&lt;&gt;"."),1/((1/D7)+(1/G7)),IF(AND(D7=".",E7=".",F7&lt;&gt;".",G7&lt;&gt;"."),1/((1/F7)+(1/G7)),IF(AND(D7=".",E7&lt;&gt;".",F7=".",G7&lt;&gt;"."),1/((1/E7)+(1/G7)),IF(AND(D7=".",E7&lt;&gt;".",F7&lt;&gt;".",G7="."),1/((1/E7)+(1/F7)),IF(AND(D7&lt;&gt;".",E7=".",F7=".",G7="."),1/((1/D7)),IF(AND(D7=".",E7&lt;&gt;".",F7=".",G7="."),1/((1/E7)),IF(AND(D7=".",E7=".",F7&lt;&gt;".",G7="."),1/((1/F7)),IF(AND(D7=".",E7=".",F7=".",G7&lt;&gt;"."),1/((1/G7)),IF(AND(D7=".",E7=".",F7=".",G7="."),".")))))))))))))))))</f>
        <v>1085.9405547931553</v>
      </c>
      <c r="J7" s="189">
        <f>IFERROR(I7*(0.0000000000028)*s_RadSpec!$AY7*s_RadSpec!$AF7,0)</f>
        <v>8.769770303267737E-9</v>
      </c>
      <c r="K7" s="40">
        <f t="shared" si="0"/>
        <v>15.125</v>
      </c>
      <c r="L7" s="40">
        <f t="shared" si="1"/>
        <v>1.6181272791589674E-3</v>
      </c>
      <c r="M7" s="40">
        <f>IFERROR((s_C*s_EF_res*(1/365)*1*s_RadSpec!R7*((s_ET_res_o*(1/24)*s_RadSpec!W7)+(s_ET_res_i*(1/24)*s_RadSpec!AB7))),".")</f>
        <v>9.7992890584359324E-3</v>
      </c>
      <c r="N7" s="40">
        <f>s_b2s!AC7</f>
        <v>3433.375</v>
      </c>
      <c r="O7" s="18"/>
      <c r="P7" s="15">
        <f>IFERROR((s_DL/(s_RadSpec!G7*s_EF_res*(1/365)*1*s_RadSpec!R7*((s_ET_res_o*(1/24)*s_RadSpec!W7)+(s_ET_res_i*(1/24)*s_RadSpec!AB7))))*1,".")</f>
        <v>466123.44525583641</v>
      </c>
      <c r="Q7" s="15">
        <f>IFERROR((s_DL/(s_RadSpec!N7*s_EF_res*(1/365)*1*s_RadSpec!S7*((s_ET_res_o*(1/24)*s_RadSpec!X7)+(s_ET_res_i*(1/24)*s_RadSpec!AC7))))*1,".")</f>
        <v>1293289.7944504307</v>
      </c>
      <c r="R7" s="15">
        <f>IFERROR((s_DL/(s_RadSpec!O7*s_EF_res*(1/365)*1*s_RadSpec!T7*((s_ET_res_o*(1/24)*s_RadSpec!Y7)+(s_ET_res_i*(1/24)*s_RadSpec!AD7))))*1,".")</f>
        <v>655062.26779920189</v>
      </c>
      <c r="S7" s="15">
        <f>IFERROR((s_DL/(s_RadSpec!P7*s_EF_res*(1/365)*1*s_RadSpec!U7*((s_ET_res_o*(1/24)*s_RadSpec!Z7)+(s_ET_res_i*(1/24)*s_RadSpec!AE7))))*1,".")</f>
        <v>510209.64616092033</v>
      </c>
      <c r="T7" s="15">
        <f>IFERROR((s_DL/(s_RadSpec!L7*s_EF_res*(1/365)*1*s_RadSpec!Q7*((s_ET_res_o*(1/24)*s_RadSpec!V7)+(s_ET_res_i*(1/24)*s_RadSpec!AA7))))*1,".")</f>
        <v>169273.6925098786</v>
      </c>
      <c r="U7" s="189">
        <f>IFERROR(P7*(0.0000000000028)*s_RadSpec!$AY7*s_RadSpec!$AF7,0)</f>
        <v>3.7642903470347897E-6</v>
      </c>
      <c r="V7" s="189">
        <f>IFERROR(Q7*(0.0000000000028)*s_RadSpec!$AY7*s_RadSpec!$AF7,0)</f>
        <v>1.0444268227049465E-5</v>
      </c>
      <c r="W7" s="189">
        <f>IFERROR(R7*(0.0000000000028)*s_RadSpec!$AY7*s_RadSpec!$AF7,0)</f>
        <v>5.2901105843964807E-6</v>
      </c>
      <c r="X7" s="189">
        <f>IFERROR(S7*(0.0000000000028)*s_RadSpec!$AY7*s_RadSpec!$AF7,0)</f>
        <v>4.120318910269489E-6</v>
      </c>
      <c r="Y7" s="189">
        <f>IFERROR(T7*(0.0000000000028)*s_RadSpec!$AY7*s_RadSpec!$AF7,0)</f>
        <v>1.3670098194098351E-6</v>
      </c>
      <c r="Z7" s="40">
        <f>IFERROR((s_C*s_EF_res*(1/365)*1*s_RadSpec!R7*((s_ET_res_o*(1/24)*s_RadSpec!W7)+(s_ET_res_i*(1/24)*s_RadSpec!AB7))),".")</f>
        <v>9.7992890584359324E-3</v>
      </c>
      <c r="AA7" s="40">
        <f>IFERROR((s_C*s_EF_res*(1/365)*1*s_RadSpec!S7*((s_ET_res_o*(1/24)*s_RadSpec!X7)+(s_ET_res_i*(1/24)*s_RadSpec!AC7))),".")</f>
        <v>6.1596779253372336E-3</v>
      </c>
      <c r="AB7" s="40">
        <f>IFERROR((s_C*s_EF_res*(1/365)*1*s_RadSpec!T7*((s_ET_res_o*(1/24)*s_RadSpec!Y7)+(s_ET_res_i*(1/24)*s_RadSpec!AD7))),".")</f>
        <v>8.4076433121019097E-3</v>
      </c>
      <c r="AC7" s="40">
        <f>IFERROR((s_C*s_EF_res*(1/365)*1*s_RadSpec!U7*((s_ET_res_o*(1/24)*s_RadSpec!Z7)+(s_ET_res_i*(1/24)*s_RadSpec!AE7))),".")</f>
        <v>9.1397133434804687E-3</v>
      </c>
      <c r="AD7" s="40">
        <f>IFERROR((s_C*s_EF_res*(1/365)*1*s_RadSpec!Q7*((s_ET_res_o*(1/24)*s_RadSpec!V7)+(s_ET_res_i*(1/24)*s_RadSpec!AA7))),".")</f>
        <v>3.5993900609939014E-3</v>
      </c>
      <c r="AE7" s="15">
        <f>IFERROR((s_DL/(s_RadSpec!H7*s_IFA_res_adj)),".")</f>
        <v>92.317900537078629</v>
      </c>
      <c r="AF7" s="15">
        <f>IFERROR((s_DL/(s_RadSpec!K7*s_EF_res*(1/365)*1*s_ET_res*(1/24)*s_GSF_a)),".")</f>
        <v>10574163.352604371</v>
      </c>
      <c r="AG7" s="15">
        <f t="shared" si="11"/>
        <v>92.3170945612232</v>
      </c>
      <c r="AH7" s="189">
        <f>AG7*(0.0000000000000028)*s_RadSpec!$AY7*s_RadSpec!$AF7</f>
        <v>7.4552857501595305E-13</v>
      </c>
      <c r="AI7" s="40">
        <f t="shared" si="2"/>
        <v>501.30208333333326</v>
      </c>
      <c r="AJ7" s="40">
        <f t="shared" si="3"/>
        <v>7.8481735159817351E-2</v>
      </c>
      <c r="AK7" s="18"/>
      <c r="AL7" s="15">
        <f>IFERROR((s_DL/(s_RadSpec!I7*s_IFW_res_adj)),".")</f>
        <v>2730.00273000273</v>
      </c>
      <c r="AM7" s="15" t="str">
        <f>IFERROR(IF(AND(s_RadSpec!C7=1,s_RadSpec!D7&lt;&gt;0),(s_DL/(s_RadSpec!H7*s_IFA_res_adj*s_K*s_RadSpec!D7)),"."),".")</f>
        <v>.</v>
      </c>
      <c r="AN7" s="15">
        <f>IFERROR((s_DL/(s_RadSpec!M7*(1/8760)*s_DFA_res_adj)),".")</f>
        <v>5721757.8543874314</v>
      </c>
      <c r="AO7" s="15">
        <f>s_b2w!C7</f>
        <v>3931.0515157028094</v>
      </c>
      <c r="AP7" s="15">
        <f>(IF(AND(AL7&lt;&gt;".",AM7&lt;&gt;".",AN7&lt;&gt;".",AO7&lt;&gt;"."),1/((1/AL7)+(1/AM7)+(1/AN7)+(1/AO7)),IF(AND(AL7&lt;&gt;".",AM7&lt;&gt;".",AN7&lt;&gt;".",AO7="."), 1/((1/AL7)+(1/AM7)+(1/AN7)),IF(AND(AL7&lt;&gt;".",AM7&lt;&gt;".",AN7=".",AO7&lt;&gt;"."),1/((1/AL7)+(1/AM7)+(1/AO7)),IF(AND(AL7&lt;&gt;".",AM7=".",AN7&lt;&gt;".",AO7&lt;&gt;"."),1/((1/AL7)+(1/AN7)+(1/AO7)),IF(AND(AL7=".",AM7&lt;&gt;".",AN7&lt;&gt;".",AO7&lt;&gt;"."),1/((1/AM7)+(1/AN7)+(1/AO7)),IF(AND(AL7&lt;&gt;".",AM7&lt;&gt;".",AN7=".",AO7="."),1/((1/AL7)+(1/AM7)),IF(AND(AL7&lt;&gt;".",AM7=".",AN7&lt;&gt;".",AO7="."),1/((1/AL7)+(1/AN7)),IF(AND(AL7&lt;&gt;".",AM7=".",AN7=".",AO7&lt;&gt;"."),1/((1/AL7)+(1/AO7)),IF(AND(AL7=".",AM7=".",AN7&lt;&gt;".",AO7&lt;&gt;"."),1/((1/AN7)+(1/AO7)),IF(AND(AL7=".",AM7&lt;&gt;".",AN7=".",AO7&lt;&gt;"."),1/((1/AM7)+(1/AO7)),IF(AND(AL7=".",AM7&lt;&gt;".",AN7&lt;&gt;".",AO7="."),1/((1/AM7)+(1/AN7)),IF(AND(AL7&lt;&gt;".",AM7=".",AN7=".",AO7="."),1/((1/AL7)),IF(AND(AL7=".",AM7&lt;&gt;".",AN7=".",AO7="."),1/((1/AM7)),IF(AND(AL7=".",AM7=".",AN7&lt;&gt;".",AO7="."),1/((1/AN7)),IF(AND(AL7=".",AM7=".",AN7=".",AO7&lt;&gt;"."),1/((1/AO7)),IF(AND(AL7=".",AM7=".",AN7=".",AO7="."),".")))))))))))))))))</f>
        <v>1610.6700210619667</v>
      </c>
      <c r="AQ7" s="189">
        <f>AP7*(0.0000000000000028)*s_RadSpec!$AY7*s_RadSpec!$AF7</f>
        <v>1.3007347461816963E-11</v>
      </c>
      <c r="AR7" s="40">
        <f t="shared" si="4"/>
        <v>1375</v>
      </c>
      <c r="AS7" s="40">
        <f>IF(s_RadSpec!D7&lt;&gt;"",s_C*s_IFA_res_adj*s_K*s_RadSpec!D7,0)</f>
        <v>0</v>
      </c>
      <c r="AT7" s="40">
        <f t="shared" si="5"/>
        <v>0.12557077625570776</v>
      </c>
      <c r="AU7" s="40">
        <f>s_b2w!AC7</f>
        <v>954.89813317357221</v>
      </c>
      <c r="AV7" s="18"/>
      <c r="AW7" s="15">
        <f>IFERROR(s_DL/(s_RadSpec!F7*s_EF_res*1*s_IRF_res*0.001*s_CF_res_fish),".")</f>
        <v>496.36413272776906</v>
      </c>
      <c r="AX7" s="189">
        <f>IFERROR(AW7*(0.0000000000028)*s_RadSpec!$AY7*s_RadSpec!$AF7,0)</f>
        <v>4.0085061853430571E-9</v>
      </c>
      <c r="AY7" s="40">
        <f t="shared" si="6"/>
        <v>7562.5</v>
      </c>
    </row>
    <row r="8" spans="1:51" x14ac:dyDescent="0.25">
      <c r="A8" s="44" t="s">
        <v>6</v>
      </c>
      <c r="B8" s="42" t="s">
        <v>1057</v>
      </c>
      <c r="C8" s="42"/>
      <c r="D8" s="15">
        <f>IFERROR(((s_DL/(s_RadSpec!E8*s_IFS_res_adj*(1/1000)))*1),".")</f>
        <v>1666894.4755783291</v>
      </c>
      <c r="E8" s="15">
        <f>IFERROR(IF(A8="H-3",(s_DL/((s_RadSpec!H8*s_IFA_res_adj*(1/17)*1000))*1),(s_DL/((s_RadSpec!H8*s_IFA_res_adj*(1/s_PEF_wind)*1000))*1)),".")</f>
        <v>117624354.21371496</v>
      </c>
      <c r="F8" s="15">
        <f>IFERROR((s_DL/(s_RadSpec!G8*s_EF_res*(1/365)*1*s_RadSpec!R8*((s_ET_res_o*(1/24)*s_RadSpec!W8)+(s_ET_res_i*(1/24)*s_RadSpec!AB8))))*1,".")</f>
        <v>2133.4717709068905</v>
      </c>
      <c r="G8" s="15">
        <f>s_b2s!C8</f>
        <v>7343.1474695080569</v>
      </c>
      <c r="H8" s="15">
        <f>s_dir!C8</f>
        <v>833.44723778916455</v>
      </c>
      <c r="I8" s="15">
        <f t="shared" si="12"/>
        <v>1651.5020540264295</v>
      </c>
      <c r="J8" s="189">
        <f>IFERROR(I8*(0.0000000000028)*s_RadSpec!$AY8*s_RadSpec!$AF8,0)</f>
        <v>8.5434048825578189E-11</v>
      </c>
      <c r="K8" s="40">
        <f t="shared" si="0"/>
        <v>15.125</v>
      </c>
      <c r="L8" s="40">
        <f t="shared" si="1"/>
        <v>1.6181272791589674E-3</v>
      </c>
      <c r="M8" s="40">
        <f>IFERROR((s_C*s_EF_res*(1/365)*1*s_RadSpec!R8*((s_ET_res_o*(1/24)*s_RadSpec!W8)+(s_ET_res_i*(1/24)*s_RadSpec!AB8))),".")</f>
        <v>1.7046232876712322E-2</v>
      </c>
      <c r="N8" s="40">
        <f>s_b2s!AC8</f>
        <v>3433.375</v>
      </c>
      <c r="O8" s="18"/>
      <c r="P8" s="15">
        <f>IFERROR((s_DL/(s_RadSpec!G8*s_EF_res*(1/365)*1*s_RadSpec!R8*((s_ET_res_o*(1/24)*s_RadSpec!W8)+(s_ET_res_i*(1/24)*s_RadSpec!AB8))))*1,".")</f>
        <v>2133.4717709068905</v>
      </c>
      <c r="Q8" s="15">
        <f>IFERROR((s_DL/(s_RadSpec!N8*s_EF_res*(1/365)*1*s_RadSpec!S8*((s_ET_res_o*(1/24)*s_RadSpec!X8)+(s_ET_res_i*(1/24)*s_RadSpec!AC8))))*1,".")</f>
        <v>18128.808057020433</v>
      </c>
      <c r="R8" s="15">
        <f>IFERROR((s_DL/(s_RadSpec!O8*s_EF_res*(1/365)*1*s_RadSpec!T8*((s_ET_res_o*(1/24)*s_RadSpec!Y8)+(s_ET_res_i*(1/24)*s_RadSpec!AD8))))*1,".")</f>
        <v>4738.6092343102755</v>
      </c>
      <c r="S8" s="15">
        <f>IFERROR((s_DL/(s_RadSpec!P8*s_EF_res*(1/365)*1*s_RadSpec!U8*((s_ET_res_o*(1/24)*s_RadSpec!Z8)+(s_ET_res_i*(1/24)*s_RadSpec!AE8))))*1,".")</f>
        <v>2861.9928216847816</v>
      </c>
      <c r="T8" s="15">
        <f>IFERROR((s_DL/(s_RadSpec!L8*s_EF_res*(1/365)*1*s_RadSpec!Q8*((s_ET_res_o*(1/24)*s_RadSpec!V8)+(s_ET_res_i*(1/24)*s_RadSpec!AA8))))*1,".")</f>
        <v>26019.776990907241</v>
      </c>
      <c r="U8" s="189">
        <f>IFERROR(P8*(0.0000000000028)*s_RadSpec!$AY8*s_RadSpec!$AF8,0)</f>
        <v>1.1036688146967034E-10</v>
      </c>
      <c r="V8" s="189">
        <f>IFERROR(Q8*(0.0000000000028)*s_RadSpec!$AY8*s_RadSpec!$AF8,0)</f>
        <v>9.3782352187630551E-10</v>
      </c>
      <c r="W8" s="189">
        <f>IFERROR(R8*(0.0000000000028)*s_RadSpec!$AY8*s_RadSpec!$AF8,0)</f>
        <v>2.45133556874717E-10</v>
      </c>
      <c r="X8" s="189">
        <f>IFERROR(S8*(0.0000000000028)*s_RadSpec!$AY8*s_RadSpec!$AF8,0)</f>
        <v>1.4805409043854504E-10</v>
      </c>
      <c r="Y8" s="189">
        <f>IFERROR(T8*(0.0000000000028)*s_RadSpec!$AY8*s_RadSpec!$AF8,0)</f>
        <v>1.3460321726225657E-9</v>
      </c>
      <c r="Z8" s="40">
        <f>IFERROR((s_C*s_EF_res*(1/365)*1*s_RadSpec!R8*((s_ET_res_o*(1/24)*s_RadSpec!W8)+(s_ET_res_i*(1/24)*s_RadSpec!AB8))),".")</f>
        <v>1.7046232876712322E-2</v>
      </c>
      <c r="AA8" s="40">
        <f>IFERROR((s_C*s_EF_res*(1/365)*1*s_RadSpec!S8*((s_ET_res_o*(1/24)*s_RadSpec!X8)+(s_ET_res_i*(1/24)*s_RadSpec!AC8))),".")</f>
        <v>9.2859589041095897E-3</v>
      </c>
      <c r="AB8" s="40">
        <f>IFERROR((s_C*s_EF_res*(1/365)*1*s_RadSpec!T8*((s_ET_res_o*(1/24)*s_RadSpec!Y8)+(s_ET_res_i*(1/24)*s_RadSpec!AD8))),".")</f>
        <v>1.2722113502935419E-2</v>
      </c>
      <c r="AC8" s="40">
        <f>IFERROR((s_C*s_EF_res*(1/365)*1*s_RadSpec!U8*((s_ET_res_o*(1/24)*s_RadSpec!Z8)+(s_ET_res_i*(1/24)*s_RadSpec!AE8))),".")</f>
        <v>1.3876012926876321E-2</v>
      </c>
      <c r="AD8" s="40">
        <f>IFERROR((s_C*s_EF_res*(1/365)*1*s_RadSpec!Q8*((s_ET_res_o*(1/24)*s_RadSpec!V8)+(s_ET_res_i*(1/24)*s_RadSpec!AA8))),".")</f>
        <v>5.011619373776908E-3</v>
      </c>
      <c r="AE8" s="15">
        <f>IFERROR((s_DL/(s_RadSpec!H8*s_IFA_res_adj)),".")</f>
        <v>379.67361911023892</v>
      </c>
      <c r="AF8" s="15">
        <f>IFERROR((s_DL/(s_RadSpec!K8*s_EF_res*(1/365)*1*s_ET_res*(1/24)*s_GSF_a)),".")</f>
        <v>459281.84258786659</v>
      </c>
      <c r="AG8" s="15">
        <f t="shared" si="11"/>
        <v>379.36001431200003</v>
      </c>
      <c r="AH8" s="189">
        <f>AG8*(0.0000000000000028)*s_RadSpec!$AY8*s_RadSpec!$AF8</f>
        <v>1.9624717938549274E-14</v>
      </c>
      <c r="AI8" s="40">
        <f t="shared" si="2"/>
        <v>501.30208333333326</v>
      </c>
      <c r="AJ8" s="40">
        <f t="shared" si="3"/>
        <v>7.8481735159817351E-2</v>
      </c>
      <c r="AK8" s="18"/>
      <c r="AL8" s="15">
        <f>IFERROR((s_DL/(s_RadSpec!I8*s_IFW_res_adj)),".")</f>
        <v>18335.83923136162</v>
      </c>
      <c r="AM8" s="15" t="str">
        <f>IFERROR(IF(AND(s_RadSpec!C8=1,s_RadSpec!D8&lt;&gt;0),(s_DL/(s_RadSpec!H8*s_IFA_res_adj*s_K*s_RadSpec!D8)),"."),".")</f>
        <v>.</v>
      </c>
      <c r="AN8" s="15">
        <f>IFERROR((s_DL/(s_RadSpec!M8*(1/8760)*s_DFA_res_adj)),".")</f>
        <v>135324.11433392498</v>
      </c>
      <c r="AO8" s="15">
        <f>s_b2w!C8</f>
        <v>26402.584806959167</v>
      </c>
      <c r="AP8" s="15">
        <f t="shared" ref="AP8:AP9" si="13">(IF(AND(AL8&lt;&gt;".",AM8&lt;&gt;".",AN8&lt;&gt;".",AO8&lt;&gt;"."),1/((1/AL8)+(1/AM8)+(1/AN8)+(1/AO8)),IF(AND(AL8&lt;&gt;".",AM8&lt;&gt;".",AN8&lt;&gt;".",AO8="."), 1/((1/AL8)+(1/AM8)+(1/AN8)),IF(AND(AL8&lt;&gt;".",AM8&lt;&gt;".",AN8=".",AO8&lt;&gt;"."),1/((1/AL8)+(1/AM8)+(1/AO8)),IF(AND(AL8&lt;&gt;".",AM8=".",AN8&lt;&gt;".",AO8&lt;&gt;"."),1/((1/AL8)+(1/AN8)+(1/AO8)),IF(AND(AL8=".",AM8&lt;&gt;".",AN8&lt;&gt;".",AO8&lt;&gt;"."),1/((1/AM8)+(1/AN8)+(1/AO8)),IF(AND(AL8&lt;&gt;".",AM8&lt;&gt;".",AN8=".",AO8="."),1/((1/AL8)+(1/AM8)),IF(AND(AL8&lt;&gt;".",AM8=".",AN8&lt;&gt;".",AO8="."),1/((1/AL8)+(1/AN8)),IF(AND(AL8&lt;&gt;".",AM8=".",AN8=".",AO8&lt;&gt;"."),1/((1/AL8)+(1/AO8)),IF(AND(AL8=".",AM8=".",AN8&lt;&gt;".",AO8&lt;&gt;"."),1/((1/AN8)+(1/AO8)),IF(AND(AL8=".",AM8&lt;&gt;".",AN8=".",AO8&lt;&gt;"."),1/((1/AM8)+(1/AO8)),IF(AND(AL8=".",AM8&lt;&gt;".",AN8&lt;&gt;".",AO8="."),1/((1/AM8)+(1/AN8)),IF(AND(AL8&lt;&gt;".",AM8=".",AN8=".",AO8="."),1/((1/AL8)),IF(AND(AL8=".",AM8&lt;&gt;".",AN8=".",AO8="."),1/((1/AM8)),IF(AND(AL8=".",AM8=".",AN8&lt;&gt;".",AO8="."),1/((1/AN8)),IF(AND(AL8=".",AM8=".",AN8=".",AO8&lt;&gt;"."),1/((1/AO8)),IF(AND(AL8=".",AM8=".",AN8=".",AO8="."),".")))))))))))))))))</f>
        <v>10019.764435749803</v>
      </c>
      <c r="AQ8" s="189">
        <f>AP8*(0.0000000000000028)*s_RadSpec!$AY8*s_RadSpec!$AF8</f>
        <v>5.1833362358684729E-13</v>
      </c>
      <c r="AR8" s="40">
        <f t="shared" si="4"/>
        <v>1375</v>
      </c>
      <c r="AS8" s="40">
        <f>IF(s_RadSpec!D8&lt;&gt;"",s_C*s_IFA_res_adj*s_K*s_RadSpec!D8,0)</f>
        <v>0</v>
      </c>
      <c r="AT8" s="40">
        <f t="shared" si="5"/>
        <v>0.12557077625570776</v>
      </c>
      <c r="AU8" s="40">
        <f>s_b2w!AC8</f>
        <v>954.89813317357221</v>
      </c>
      <c r="AV8" s="18"/>
      <c r="AW8" s="15">
        <f>IFERROR(s_DL/(s_RadSpec!F8*s_EF_res*1*s_IRF_res*0.001*s_CF_res_fish),".")</f>
        <v>3333.7889511566582</v>
      </c>
      <c r="AX8" s="189">
        <f>IFERROR(AW8*(0.0000000000028)*s_RadSpec!$AY8*s_RadSpec!$AF8,0)</f>
        <v>1.7246063202458057E-10</v>
      </c>
      <c r="AY8" s="40">
        <f t="shared" si="6"/>
        <v>7562.5</v>
      </c>
    </row>
    <row r="9" spans="1:51" x14ac:dyDescent="0.25">
      <c r="A9" s="44" t="s">
        <v>7</v>
      </c>
      <c r="B9" s="42" t="s">
        <v>1057</v>
      </c>
      <c r="C9" s="238"/>
      <c r="D9" s="15">
        <f>IFERROR(((s_DL/(s_RadSpec!E9*s_IFS_res_adj*(1/1000)))*1),".")</f>
        <v>2998172.6137918937</v>
      </c>
      <c r="E9" s="15">
        <f>IFERROR(IF(A9="H-3",(s_DL/((s_RadSpec!H9*s_IFA_res_adj*(1/17)*1000))*1),(s_DL/((s_RadSpec!H9*s_IFA_res_adj*(1/s_PEF_wind)*1000))*1)),".")</f>
        <v>422130025.29976654</v>
      </c>
      <c r="F9" s="15">
        <f>IFERROR((s_DL/(s_RadSpec!G9*s_EF_res*(1/365)*1*s_RadSpec!R9*((s_ET_res_o*(1/24)*s_RadSpec!W9)+(s_ET_res_i*(1/24)*s_RadSpec!AB9))))*1,".")</f>
        <v>79.071786369281938</v>
      </c>
      <c r="G9" s="15">
        <f>s_b2s!C9</f>
        <v>13207.808871329929</v>
      </c>
      <c r="H9" s="15">
        <f>s_dir!C9</f>
        <v>1499.0863068959468</v>
      </c>
      <c r="I9" s="15">
        <f t="shared" si="12"/>
        <v>78.599145667343265</v>
      </c>
      <c r="J9" s="189">
        <f>IFERROR(I9*(0.0000000000028)*s_RadSpec!$AY9*s_RadSpec!$AF9,0)</f>
        <v>1.7831478327036799E-12</v>
      </c>
      <c r="K9" s="40">
        <f t="shared" si="0"/>
        <v>15.125</v>
      </c>
      <c r="L9" s="40">
        <f t="shared" si="1"/>
        <v>1.6181272791589674E-3</v>
      </c>
      <c r="M9" s="40">
        <f>IFERROR((s_C*s_EF_res*(1/365)*1*s_RadSpec!R9*((s_ET_res_o*(1/24)*s_RadSpec!W9)+(s_ET_res_i*(1/24)*s_RadSpec!AB9))),".")</f>
        <v>3.4612480754806371E-2</v>
      </c>
      <c r="N9" s="40">
        <f>s_b2s!AC9</f>
        <v>3433.375</v>
      </c>
      <c r="O9" s="18"/>
      <c r="P9" s="15">
        <f>IFERROR((s_DL/(s_RadSpec!G9*s_EF_res*(1/365)*1*s_RadSpec!R9*((s_ET_res_o*(1/24)*s_RadSpec!W9)+(s_ET_res_i*(1/24)*s_RadSpec!AB9))))*1,".")</f>
        <v>79.071786369281938</v>
      </c>
      <c r="Q9" s="15">
        <f>IFERROR((s_DL/(s_RadSpec!N9*s_EF_res*(1/365)*1*s_RadSpec!S9*((s_ET_res_o*(1/24)*s_RadSpec!X9)+(s_ET_res_i*(1/24)*s_RadSpec!AC9))))*1,".")</f>
        <v>908.19552666717914</v>
      </c>
      <c r="R9" s="15">
        <f>IFERROR((s_DL/(s_RadSpec!O9*s_EF_res*(1/365)*1*s_RadSpec!T9*((s_ET_res_o*(1/24)*s_RadSpec!Y9)+(s_ET_res_i*(1/24)*s_RadSpec!AD9))))*1,".")</f>
        <v>221.12264047741672</v>
      </c>
      <c r="S9" s="15">
        <f>IFERROR((s_DL/(s_RadSpec!P9*s_EF_res*(1/365)*1*s_RadSpec!U9*((s_ET_res_o*(1/24)*s_RadSpec!Z9)+(s_ET_res_i*(1/24)*s_RadSpec!AE9))))*1,".")</f>
        <v>112.58172922682995</v>
      </c>
      <c r="T9" s="15">
        <f>IFERROR((s_DL/(s_RadSpec!L9*s_EF_res*(1/365)*1*s_RadSpec!Q9*((s_ET_res_o*(1/24)*s_RadSpec!V9)+(s_ET_res_i*(1/24)*s_RadSpec!AA9))))*1,".")</f>
        <v>1578.5449480645884</v>
      </c>
      <c r="U9" s="189">
        <f>IFERROR(P9*(0.0000000000028)*s_RadSpec!$AY9*s_RadSpec!$AF9,0)</f>
        <v>1.7938704459859724E-12</v>
      </c>
      <c r="V9" s="189">
        <f>IFERROR(Q9*(0.0000000000028)*s_RadSpec!$AY9*s_RadSpec!$AF9,0)</f>
        <v>2.0603873888168899E-11</v>
      </c>
      <c r="W9" s="189">
        <f>IFERROR(R9*(0.0000000000028)*s_RadSpec!$AY9*s_RadSpec!$AF9,0)</f>
        <v>5.0165221743986952E-12</v>
      </c>
      <c r="X9" s="189">
        <f>IFERROR(S9*(0.0000000000028)*s_RadSpec!$AY9*s_RadSpec!$AF9,0)</f>
        <v>2.5540973094350416E-12</v>
      </c>
      <c r="Y9" s="189">
        <f>IFERROR(T9*(0.0000000000028)*s_RadSpec!$AY9*s_RadSpec!$AF9,0)</f>
        <v>3.5811826948854626E-11</v>
      </c>
      <c r="Z9" s="40">
        <f>IFERROR((s_C*s_EF_res*(1/365)*1*s_RadSpec!R9*((s_ET_res_o*(1/24)*s_RadSpec!W9)+(s_ET_res_i*(1/24)*s_RadSpec!AB9))),".")</f>
        <v>3.4612480754806371E-2</v>
      </c>
      <c r="AA9" s="40">
        <f>IFERROR((s_C*s_EF_res*(1/365)*1*s_RadSpec!S9*((s_ET_res_o*(1/24)*s_RadSpec!X9)+(s_ET_res_i*(1/24)*s_RadSpec!AC9))),".")</f>
        <v>1.6899244654973746E-2</v>
      </c>
      <c r="AB9" s="40">
        <f>IFERROR((s_C*s_EF_res*(1/365)*1*s_RadSpec!T9*((s_ET_res_o*(1/24)*s_RadSpec!Y9)+(s_ET_res_i*(1/24)*s_RadSpec!AD9))),".")</f>
        <v>2.4017587648014843E-2</v>
      </c>
      <c r="AC9" s="40">
        <f>IFERROR((s_C*s_EF_res*(1/365)*1*s_RadSpec!U9*((s_ET_res_o*(1/24)*s_RadSpec!Z9)+(s_ET_res_i*(1/24)*s_RadSpec!AE9))),".")</f>
        <v>2.9136344178082189E-2</v>
      </c>
      <c r="AD9" s="40">
        <f>IFERROR((s_C*s_EF_res*(1/365)*1*s_RadSpec!Q9*((s_ET_res_o*(1/24)*s_RadSpec!V9)+(s_ET_res_i*(1/24)*s_RadSpec!AA9))),".")</f>
        <v>9.5406991313063769E-3</v>
      </c>
      <c r="AE9" s="15">
        <f>IFERROR((s_DL/(s_RadSpec!H9*s_IFA_res_adj)),".")</f>
        <v>1362.5718543751329</v>
      </c>
      <c r="AF9" s="15">
        <f>IFERROR((s_DL/(s_RadSpec!K9*s_EF_res*(1/365)*1*s_ET_res*(1/24)*s_GSF_a)),".")</f>
        <v>38370.381785821774</v>
      </c>
      <c r="AG9" s="15">
        <f t="shared" si="11"/>
        <v>1315.844845979336</v>
      </c>
      <c r="AH9" s="189">
        <f>AG9*(0.0000000000000028)*s_RadSpec!$AY9*s_RadSpec!$AF9</f>
        <v>2.9852053293465133E-14</v>
      </c>
      <c r="AI9" s="40">
        <f t="shared" si="2"/>
        <v>501.30208333333326</v>
      </c>
      <c r="AJ9" s="40">
        <f t="shared" si="3"/>
        <v>7.8481735159817351E-2</v>
      </c>
      <c r="AK9" s="18"/>
      <c r="AL9" s="15">
        <f>IFERROR((s_DL/(s_RadSpec!I9*s_IFW_res_adj)),".")</f>
        <v>32979.898751710833</v>
      </c>
      <c r="AM9" s="15">
        <f>IFERROR(IF(AND(s_RadSpec!C9=1,s_RadSpec!D9&lt;&gt;0),(s_DL/(s_RadSpec!H9*s_IFA_res_adj*s_K*s_RadSpec!D9)),"."),".")</f>
        <v>53534.634988975027</v>
      </c>
      <c r="AN9" s="15">
        <f>IFERROR((s_DL/(s_RadSpec!M9*(1/8760)*s_DFA_res_adj)),".")</f>
        <v>11071.9729909575</v>
      </c>
      <c r="AO9" s="15">
        <f>s_b2w!C9</f>
        <v>47489.212941376216</v>
      </c>
      <c r="AP9" s="15">
        <f t="shared" si="13"/>
        <v>6235.3255888365047</v>
      </c>
      <c r="AQ9" s="189">
        <f>AP9*(0.0000000000000028)*s_RadSpec!$AY9*s_RadSpec!$AF9</f>
        <v>1.4145837356798626E-13</v>
      </c>
      <c r="AR9" s="40">
        <f t="shared" si="4"/>
        <v>1375</v>
      </c>
      <c r="AS9" s="40">
        <f>IF(s_RadSpec!D9&lt;&gt;"",s_C*s_IFA_res_adj*s_K*s_RadSpec!D9,0)</f>
        <v>12.759218577473957</v>
      </c>
      <c r="AT9" s="40">
        <f t="shared" si="5"/>
        <v>0.12557077625570776</v>
      </c>
      <c r="AU9" s="40">
        <f>s_b2w!AC9</f>
        <v>954.89813317357221</v>
      </c>
      <c r="AV9" s="18"/>
      <c r="AW9" s="15">
        <f>IFERROR(s_DL/(s_RadSpec!F9*s_EF_res*1*s_IRF_res*0.001*s_CF_res_fish),".")</f>
        <v>5996.3452275837881</v>
      </c>
      <c r="AX9" s="189">
        <f>IFERROR(AW9*(0.0000000000028)*s_RadSpec!$AY9*s_RadSpec!$AF9,0)</f>
        <v>1.3603672032215996E-10</v>
      </c>
      <c r="AY9" s="40">
        <f t="shared" si="6"/>
        <v>7562.5</v>
      </c>
    </row>
    <row r="10" spans="1:51" x14ac:dyDescent="0.25">
      <c r="A10" s="46" t="s">
        <v>8</v>
      </c>
      <c r="B10" s="42" t="s">
        <v>335</v>
      </c>
      <c r="C10" s="42"/>
      <c r="D10" s="15">
        <f>IFERROR(((s_DL/(s_RadSpec!E10*s_IFS_res_adj*(1/1000)))*1),".")</f>
        <v>33588.550334961816</v>
      </c>
      <c r="E10" s="15">
        <f>IFERROR(IF(A10="H-3",(s_DL/((s_RadSpec!H10*s_IFA_res_adj*(1/17)*1000))*1),(s_DL/((s_RadSpec!H10*s_IFA_res_adj*(1/s_PEF_wind)*1000))*1)),".")</f>
        <v>100135841.11719139</v>
      </c>
      <c r="F10" s="15">
        <f>IFERROR((s_DL/(s_RadSpec!G10*s_EF_res*(1/365)*1*s_RadSpec!R10*((s_ET_res_o*(1/24)*s_RadSpec!W10)+(s_ET_res_i*(1/24)*s_RadSpec!AB10))))*1,".")</f>
        <v>1591085.9317642492</v>
      </c>
      <c r="G10" s="15">
        <f>s_b2s!C10</f>
        <v>607.77255649980668</v>
      </c>
      <c r="H10" s="15">
        <f>s_dir!C10</f>
        <v>16.794275167480908</v>
      </c>
      <c r="I10" s="15">
        <f t="shared" ref="I10" si="14">(IF(AND(D10&lt;&gt;".",E10&lt;&gt;".",F10&lt;&gt;".",G10&lt;&gt;"."),1/((1/D10)+(1/E10)+(1/F10)+(1/G10)),IF(AND(D10&lt;&gt;".",E10&lt;&gt;".",F10&lt;&gt;".",G10="."), 1/((1/D10)+(1/E10)+(1/F10)),IF(AND(D10&lt;&gt;".",E10&lt;&gt;".",F10=".",G10&lt;&gt;"."),1/((1/D10)+(1/E10)+(1/G10)),IF(AND(D10&lt;&gt;".",E10=".",F10&lt;&gt;".",G10&lt;&gt;"."),1/((1/D10)+(1/F10)+(1/G10)),IF(AND(D10=".",E10&lt;&gt;".",F10&lt;&gt;".",G10&lt;&gt;"."),1/((1/E10)+(1/F10)+(1/G10)),IF(AND(D10&lt;&gt;".",E10&lt;&gt;".",F10=".",G10="."),1/((1/D10)+(1/E10)),IF(AND(D10&lt;&gt;".",E10=".",F10&lt;&gt;".",G10="."),1/((1/D10)+(1/F10)),IF(AND(D10&lt;&gt;".",E10=".",F10=".",G10&lt;&gt;"."),1/((1/D10)+(1/G10)),IF(AND(D10=".",E10=".",F10&lt;&gt;".",G10&lt;&gt;"."),1/((1/F10)+(1/G10)),IF(AND(D10=".",E10&lt;&gt;".",F10=".",G10&lt;&gt;"."),1/((1/E10)+(1/G10)),IF(AND(D10=".",E10&lt;&gt;".",F10&lt;&gt;".",G10="."),1/((1/E10)+(1/F10)),IF(AND(D10&lt;&gt;".",E10=".",F10=".",G10="."),1/((1/D10)),IF(AND(D10=".",E10&lt;&gt;".",F10=".",G10="."),1/((1/E10)),IF(AND(D10=".",E10=".",F10&lt;&gt;".",G10="."),1/((1/F10)),IF(AND(D10=".",E10=".",F10=".",G10&lt;&gt;"."),1/((1/G10)),IF(AND(D10=".",E10=".",F10=".",G10="."),".")))))))))))))))))</f>
        <v>596.7431378201851</v>
      </c>
      <c r="J10" s="189">
        <f>IFERROR(I10*(0.0000000000028)*s_RadSpec!$AY10*s_RadSpec!$AF10,0)</f>
        <v>6.9055710026019847E-6</v>
      </c>
      <c r="K10" s="40">
        <f t="shared" si="0"/>
        <v>15.125</v>
      </c>
      <c r="L10" s="40">
        <f t="shared" si="1"/>
        <v>1.6181272791589674E-3</v>
      </c>
      <c r="M10" s="40">
        <f>IFERROR((s_C*s_EF_res*(1/365)*1*s_RadSpec!R10*((s_ET_res_o*(1/24)*s_RadSpec!W10)+(s_ET_res_i*(1/24)*s_RadSpec!AB10))),".")</f>
        <v>1.8089082860006683E-2</v>
      </c>
      <c r="N10" s="40">
        <f>s_b2s!AC10</f>
        <v>835.88312500000006</v>
      </c>
      <c r="O10" s="18"/>
      <c r="P10" s="15">
        <f>IFERROR((s_DL/(s_RadSpec!G10*s_EF_res*(1/365)*1*s_RadSpec!R10*((s_ET_res_o*(1/24)*s_RadSpec!W10)+(s_ET_res_i*(1/24)*s_RadSpec!AB10))))*1,".")</f>
        <v>1591085.9317642492</v>
      </c>
      <c r="Q10" s="15">
        <f>IFERROR((s_DL/(s_RadSpec!N10*s_EF_res*(1/365)*1*s_RadSpec!S10*((s_ET_res_o*(1/24)*s_RadSpec!X10)+(s_ET_res_i*(1/24)*s_RadSpec!AC10))))*1,".")</f>
        <v>5362281.4773487858</v>
      </c>
      <c r="R10" s="15">
        <f>IFERROR((s_DL/(s_RadSpec!O10*s_EF_res*(1/365)*1*s_RadSpec!T10*((s_ET_res_o*(1/24)*s_RadSpec!Y10)+(s_ET_res_i*(1/24)*s_RadSpec!AD10))))*1,".")</f>
        <v>2195505.8060417143</v>
      </c>
      <c r="S10" s="15">
        <f>IFERROR((s_DL/(s_RadSpec!P10*s_EF_res*(1/365)*1*s_RadSpec!U10*((s_ET_res_o*(1/24)*s_RadSpec!Z10)+(s_ET_res_i*(1/24)*s_RadSpec!AE10))))*1,".")</f>
        <v>1647740.6505518521</v>
      </c>
      <c r="T10" s="15">
        <f>IFERROR((s_DL/(s_RadSpec!L10*s_EF_res*(1/365)*1*s_RadSpec!Q10*((s_ET_res_o*(1/24)*s_RadSpec!V10)+(s_ET_res_i*(1/24)*s_RadSpec!AA10))))*1,".")</f>
        <v>989453.49471011455</v>
      </c>
      <c r="U10" s="189">
        <f>IFERROR(P10*(0.0000000000028)*s_RadSpec!$AY10*s_RadSpec!$AF10,0)</f>
        <v>1.8412204810891262E-2</v>
      </c>
      <c r="V10" s="189">
        <f>IFERROR(Q10*(0.0000000000028)*s_RadSpec!$AY10*s_RadSpec!$AF10,0)</f>
        <v>6.2052855124624037E-2</v>
      </c>
      <c r="W10" s="189">
        <f>IFERROR(R10*(0.0000000000028)*s_RadSpec!$AY10*s_RadSpec!$AF10,0)</f>
        <v>2.5406611772072769E-2</v>
      </c>
      <c r="X10" s="189">
        <f>IFERROR(S10*(0.0000000000028)*s_RadSpec!$AY10*s_RadSpec!$AF10,0)</f>
        <v>1.9067818857245202E-2</v>
      </c>
      <c r="Y10" s="189">
        <f>IFERROR(T10*(0.0000000000028)*s_RadSpec!$AY10*s_RadSpec!$AF10,0)</f>
        <v>1.1450054350775379E-2</v>
      </c>
      <c r="Z10" s="40">
        <f>IFERROR((s_C*s_EF_res*(1/365)*1*s_RadSpec!R10*((s_ET_res_o*(1/24)*s_RadSpec!W10)+(s_ET_res_i*(1/24)*s_RadSpec!AB10))),".")</f>
        <v>1.8089082860006683E-2</v>
      </c>
      <c r="AA10" s="40">
        <f>IFERROR((s_C*s_EF_res*(1/365)*1*s_RadSpec!S10*((s_ET_res_o*(1/24)*s_RadSpec!X10)+(s_ET_res_i*(1/24)*s_RadSpec!AC10))),".")</f>
        <v>1.1608472304943423E-2</v>
      </c>
      <c r="AB10" s="40">
        <f>IFERROR((s_C*s_EF_res*(1/365)*1*s_RadSpec!T10*((s_ET_res_o*(1/24)*s_RadSpec!Y10)+(s_ET_res_i*(1/24)*s_RadSpec!AD10))),".")</f>
        <v>1.6255385715930205E-2</v>
      </c>
      <c r="AC10" s="40">
        <f>IFERROR((s_C*s_EF_res*(1/365)*1*s_RadSpec!U10*((s_ET_res_o*(1/24)*s_RadSpec!Z10)+(s_ET_res_i*(1/24)*s_RadSpec!AE10))),".")</f>
        <v>1.7772891131939438E-2</v>
      </c>
      <c r="AD10" s="40">
        <f>IFERROR((s_C*s_EF_res*(1/365)*1*s_RadSpec!Q10*((s_ET_res_o*(1/24)*s_RadSpec!V10)+(s_ET_res_i*(1/24)*s_RadSpec!AA10))),".")</f>
        <v>6.905351230279814E-3</v>
      </c>
      <c r="AE10" s="15">
        <f>IFERROR((s_DL/(s_RadSpec!H10*s_IFA_res_adj)),".")</f>
        <v>323.22334480607867</v>
      </c>
      <c r="AF10" s="15">
        <f>IFERROR((s_DL/(s_RadSpec!K10*s_EF_res*(1/365)*1*s_ET_res*(1/24)*s_GSF_a)),".")</f>
        <v>29022703.669914123</v>
      </c>
      <c r="AG10" s="15">
        <f t="shared" si="11"/>
        <v>323.21974513568551</v>
      </c>
      <c r="AH10" s="189">
        <f>AG10*(0.0000000000000028)*s_RadSpec!$AY10*s_RadSpec!$AF10</f>
        <v>3.7403310704679783E-9</v>
      </c>
      <c r="AI10" s="40">
        <f t="shared" si="2"/>
        <v>501.30208333333326</v>
      </c>
      <c r="AJ10" s="40">
        <f t="shared" si="3"/>
        <v>7.8481735159817351E-2</v>
      </c>
      <c r="AK10" s="18"/>
      <c r="AL10" s="15">
        <f>IFERROR((s_DL/(s_RadSpec!I10*s_IFW_res_adj)),".")</f>
        <v>369.47405368457999</v>
      </c>
      <c r="AM10" s="15" t="str">
        <f>IFERROR(IF(AND(s_RadSpec!C10=1,s_RadSpec!D10&lt;&gt;0),(s_DL/(s_RadSpec!H10*s_IFA_res_adj*s_K*s_RadSpec!D10)),"."),".")</f>
        <v>.</v>
      </c>
      <c r="AN10" s="15">
        <f>IFERROR((s_DL/(s_RadSpec!M10*(1/8760)*s_DFA_res_adj)),".")</f>
        <v>16238893.720070997</v>
      </c>
      <c r="AO10" s="15">
        <f>s_b2w!C10</f>
        <v>1157.8309362686086</v>
      </c>
      <c r="AP10" s="15">
        <f>(IF(AND(AL10&lt;&gt;".",AM10&lt;&gt;".",AN10&lt;&gt;".",AO10&lt;&gt;"."),1/((1/AL10)+(1/AM10)+(1/AN10)+(1/AO10)),IF(AND(AL10&lt;&gt;".",AM10&lt;&gt;".",AN10&lt;&gt;".",AO10="."), 1/((1/AL10)+(1/AM10)+(1/AN10)),IF(AND(AL10&lt;&gt;".",AM10&lt;&gt;".",AN10=".",AO10&lt;&gt;"."),1/((1/AL10)+(1/AM10)+(1/AO10)),IF(AND(AL10&lt;&gt;".",AM10=".",AN10&lt;&gt;".",AO10&lt;&gt;"."),1/((1/AL10)+(1/AN10)+(1/AO10)),IF(AND(AL10=".",AM10&lt;&gt;".",AN10&lt;&gt;".",AO10&lt;&gt;"."),1/((1/AM10)+(1/AN10)+(1/AO10)),IF(AND(AL10&lt;&gt;".",AM10&lt;&gt;".",AN10=".",AO10="."),1/((1/AL10)+(1/AM10)),IF(AND(AL10&lt;&gt;".",AM10=".",AN10&lt;&gt;".",AO10="."),1/((1/AL10)+(1/AN10)),IF(AND(AL10&lt;&gt;".",AM10=".",AN10=".",AO10&lt;&gt;"."),1/((1/AL10)+(1/AO10)),IF(AND(AL10=".",AM10=".",AN10&lt;&gt;".",AO10&lt;&gt;"."),1/((1/AN10)+(1/AO10)),IF(AND(AL10=".",AM10&lt;&gt;".",AN10=".",AO10&lt;&gt;"."),1/((1/AM10)+(1/AO10)),IF(AND(AL10=".",AM10&lt;&gt;".",AN10&lt;&gt;".",AO10="."),1/((1/AM10)+(1/AN10)),IF(AND(AL10&lt;&gt;".",AM10=".",AN10=".",AO10="."),1/((1/AL10)),IF(AND(AL10=".",AM10&lt;&gt;".",AN10=".",AO10="."),1/((1/AM10)),IF(AND(AL10=".",AM10=".",AN10&lt;&gt;".",AO10="."),1/((1/AN10)),IF(AND(AL10=".",AM10=".",AN10=".",AO10&lt;&gt;"."),1/((1/AO10)),IF(AND(AL10=".",AM10=".",AN10=".",AO10="."),".")))))))))))))))))</f>
        <v>280.08885835616201</v>
      </c>
      <c r="AQ10" s="189">
        <f>AP10*(0.0000000000000028)*s_RadSpec!$AY10*s_RadSpec!$AF10</f>
        <v>3.241216154544245E-9</v>
      </c>
      <c r="AR10" s="40">
        <f t="shared" si="4"/>
        <v>1375</v>
      </c>
      <c r="AS10" s="40">
        <f>IF(s_RadSpec!D10&lt;&gt;"",s_C*s_IFA_res_adj*s_K*s_RadSpec!D10,0)</f>
        <v>0</v>
      </c>
      <c r="AT10" s="40">
        <f t="shared" si="5"/>
        <v>0.12557077625570776</v>
      </c>
      <c r="AU10" s="40">
        <f>s_b2w!AC10</f>
        <v>438.7746154490718</v>
      </c>
      <c r="AV10" s="18"/>
      <c r="AW10" s="15">
        <f>IFERROR(s_DL/(s_RadSpec!F10*s_EF_res*1*s_IRF_res*0.001*s_CF_res_fish),".")</f>
        <v>67.177100669923647</v>
      </c>
      <c r="AX10" s="189">
        <f>IFERROR(AW10*(0.0000000000028)*s_RadSpec!$AY10*s_RadSpec!$AF10,0)</f>
        <v>7.7738009710449927E-7</v>
      </c>
      <c r="AY10" s="40">
        <f t="shared" si="6"/>
        <v>7562.5</v>
      </c>
    </row>
    <row r="11" spans="1:51" x14ac:dyDescent="0.25">
      <c r="A11" s="44" t="s">
        <v>9</v>
      </c>
      <c r="B11" s="42" t="s">
        <v>1057</v>
      </c>
      <c r="C11" s="42"/>
      <c r="D11" s="15" t="str">
        <f>IFERROR(((s_DL/(s_RadSpec!E11*s_IFS_res_adj*(1/1000)))*1),".")</f>
        <v>.</v>
      </c>
      <c r="E11" s="15" t="str">
        <f>IFERROR(IF(A11="H-3",(s_DL/((s_RadSpec!H11*s_IFA_res_adj*(1/17)*1000))*1),(s_DL/((s_RadSpec!H11*s_IFA_res_adj*(1/s_PEF_wind)*1000))*1)),".")</f>
        <v>.</v>
      </c>
      <c r="F11" s="15">
        <f>IFERROR((s_DL/(s_RadSpec!G11*s_EF_res*(1/365)*1*s_RadSpec!R11*((s_ET_res_o*(1/24)*s_RadSpec!W11)+(s_ET_res_i*(1/24)*s_RadSpec!AB11))))*1,".")</f>
        <v>31027.733139929096</v>
      </c>
      <c r="G11" s="15" t="str">
        <f>s_b2s!C11</f>
        <v>.</v>
      </c>
      <c r="H11" s="15" t="str">
        <f>s_dir!C11</f>
        <v>.</v>
      </c>
      <c r="I11" s="15">
        <f>(IF(AND(D11&lt;&gt;".",E11&lt;&gt;".",F11&lt;&gt;".",G11&lt;&gt;"."),1/((1/D11)+(1/E11)+(1/F11)+(1/G11)),IF(AND(D11&lt;&gt;".",E11&lt;&gt;".",F11&lt;&gt;".",G11="."), 1/((1/D11)+(1/E11)+(1/F11)),IF(AND(D11&lt;&gt;".",E11&lt;&gt;".",F11=".",G11&lt;&gt;"."),1/((1/D11)+(1/E11)+(1/G11)),IF(AND(D11&lt;&gt;".",E11=".",F11&lt;&gt;".",G11&lt;&gt;"."),1/((1/D11)+(1/F11)+(1/G11)),IF(AND(D11=".",E11&lt;&gt;".",F11&lt;&gt;".",G11&lt;&gt;"."),1/((1/E11)+(1/F11)+(1/G11)),IF(AND(D11&lt;&gt;".",E11&lt;&gt;".",F11=".",G11="."),1/((1/D11)+(1/E11)),IF(AND(D11&lt;&gt;".",E11=".",F11&lt;&gt;".",G11="."),1/((1/D11)+(1/F11)),IF(AND(D11&lt;&gt;".",E11=".",F11=".",G11&lt;&gt;"."),1/((1/D11)+(1/G11)),IF(AND(D11=".",E11=".",F11&lt;&gt;".",G11&lt;&gt;"."),1/((1/F11)+(1/G11)),IF(AND(D11=".",E11&lt;&gt;".",F11=".",G11&lt;&gt;"."),1/((1/E11)+(1/G11)),IF(AND(D11=".",E11&lt;&gt;".",F11&lt;&gt;".",G11="."),1/((1/E11)+(1/F11)),IF(AND(D11&lt;&gt;".",E11=".",F11=".",G11="."),1/((1/D11)),IF(AND(D11=".",E11&lt;&gt;".",F11=".",G11="."),1/((1/E11)),IF(AND(D11=".",E11=".",F11&lt;&gt;".",G11="."),1/((1/F11)),IF(AND(D11=".",E11=".",F11=".",G11&lt;&gt;"."),1/((1/G11)),IF(AND(D11=".",E11=".",F11=".",G11="."),".")))))))))))))))))</f>
        <v>31027.733139929096</v>
      </c>
      <c r="J11" s="189">
        <f>IFERROR(I11*(0.0000000000028)*s_RadSpec!$AY11*s_RadSpec!$AF11,0)</f>
        <v>1.7899507269452403E-10</v>
      </c>
      <c r="K11" s="40">
        <f t="shared" si="0"/>
        <v>15.125</v>
      </c>
      <c r="L11" s="40">
        <f t="shared" si="1"/>
        <v>1.6181272791589674E-3</v>
      </c>
      <c r="M11" s="40">
        <f>IFERROR((s_C*s_EF_res*(1/365)*1*s_RadSpec!R11*((s_ET_res_o*(1/24)*s_RadSpec!W11)+(s_ET_res_i*(1/24)*s_RadSpec!AB11))),".")</f>
        <v>6.0495568090249792E-3</v>
      </c>
      <c r="N11" s="40">
        <f>s_b2s!AC11</f>
        <v>1315.8749999999998</v>
      </c>
      <c r="O11" s="18"/>
      <c r="P11" s="15">
        <f>IFERROR((s_DL/(s_RadSpec!G11*s_EF_res*(1/365)*1*s_RadSpec!R11*((s_ET_res_o*(1/24)*s_RadSpec!W11)+(s_ET_res_i*(1/24)*s_RadSpec!AB11))))*1,".")</f>
        <v>31027.733139929096</v>
      </c>
      <c r="Q11" s="15">
        <f>IFERROR((s_DL/(s_RadSpec!N11*s_EF_res*(1/365)*1*s_RadSpec!S11*((s_ET_res_o*(1/24)*s_RadSpec!X11)+(s_ET_res_i*(1/24)*s_RadSpec!AC11))))*1,".")</f>
        <v>163699.53532909328</v>
      </c>
      <c r="R11" s="15">
        <f>IFERROR((s_DL/(s_RadSpec!O11*s_EF_res*(1/365)*1*s_RadSpec!T11*((s_ET_res_o*(1/24)*s_RadSpec!Y11)+(s_ET_res_i*(1/24)*s_RadSpec!AD11))))*1,".")</f>
        <v>45449.544173520189</v>
      </c>
      <c r="S11" s="15">
        <f>IFERROR((s_DL/(s_RadSpec!P11*s_EF_res*(1/365)*1*s_RadSpec!U11*((s_ET_res_o*(1/24)*s_RadSpec!Z11)+(s_ET_res_i*(1/24)*s_RadSpec!AE11))))*1,".")</f>
        <v>30166.368999639955</v>
      </c>
      <c r="T11" s="15">
        <f>IFERROR((s_DL/(s_RadSpec!L11*s_EF_res*(1/365)*1*s_RadSpec!Q11*((s_ET_res_o*(1/24)*s_RadSpec!V11)+(s_ET_res_i*(1/24)*s_RadSpec!AA11))))*1,".")</f>
        <v>309560.2305724661</v>
      </c>
      <c r="U11" s="189">
        <f>IFERROR(P11*(0.0000000000028)*s_RadSpec!$AY11*s_RadSpec!$AF11,0)</f>
        <v>1.7899507269452403E-10</v>
      </c>
      <c r="V11" s="189">
        <f>IFERROR(Q11*(0.0000000000028)*s_RadSpec!$AY11*s_RadSpec!$AF11,0)</f>
        <v>9.4436193885473845E-10</v>
      </c>
      <c r="W11" s="189">
        <f>IFERROR(R11*(0.0000000000028)*s_RadSpec!$AY11*s_RadSpec!$AF11,0)</f>
        <v>2.6219267861380152E-10</v>
      </c>
      <c r="X11" s="189">
        <f>IFERROR(S11*(0.0000000000028)*s_RadSpec!$AY11*s_RadSpec!$AF11,0)</f>
        <v>1.7402597178688797E-10</v>
      </c>
      <c r="Y11" s="189">
        <f>IFERROR(T11*(0.0000000000028)*s_RadSpec!$AY11*s_RadSpec!$AF11,0)</f>
        <v>1.7858138628679341E-9</v>
      </c>
      <c r="Z11" s="40">
        <f>IFERROR((s_C*s_EF_res*(1/365)*1*s_RadSpec!R11*((s_ET_res_o*(1/24)*s_RadSpec!W11)+(s_ET_res_i*(1/24)*s_RadSpec!AB11))),".")</f>
        <v>6.0495568090249792E-3</v>
      </c>
      <c r="AA11" s="40">
        <f>IFERROR((s_C*s_EF_res*(1/365)*1*s_RadSpec!S11*((s_ET_res_o*(1/24)*s_RadSpec!X11)+(s_ET_res_i*(1/24)*s_RadSpec!AC11))),".")</f>
        <v>4.7810092037671231E-3</v>
      </c>
      <c r="AB11" s="40">
        <f>IFERROR((s_C*s_EF_res*(1/365)*1*s_RadSpec!T11*((s_ET_res_o*(1/24)*s_RadSpec!Y11)+(s_ET_res_i*(1/24)*s_RadSpec!AD11))),".")</f>
        <v>6.1603545527800178E-3</v>
      </c>
      <c r="AC11" s="40">
        <f>IFERROR((s_C*s_EF_res*(1/365)*1*s_RadSpec!U11*((s_ET_res_o*(1/24)*s_RadSpec!Z11)+(s_ET_res_i*(1/24)*s_RadSpec!AE11))),".")</f>
        <v>6.4671953857245827E-3</v>
      </c>
      <c r="AD11" s="40">
        <f>IFERROR((s_C*s_EF_res*(1/365)*1*s_RadSpec!Q11*((s_ET_res_o*(1/24)*s_RadSpec!V11)+(s_ET_res_i*(1/24)*s_RadSpec!AA11))),".")</f>
        <v>2.5681953543776055E-3</v>
      </c>
      <c r="AE11" s="15" t="str">
        <f>IFERROR((s_DL/(s_RadSpec!H11*s_IFA_res_adj)),".")</f>
        <v>.</v>
      </c>
      <c r="AF11" s="15">
        <f>IFERROR((s_DL/(s_RadSpec!K11*s_EF_res*(1/365)*1*s_ET_res*(1/24)*s_GSF_a)),".")</f>
        <v>2182507.3159775422</v>
      </c>
      <c r="AG11" s="15">
        <f t="shared" si="11"/>
        <v>2182507.3159775422</v>
      </c>
      <c r="AH11" s="189">
        <f>AG11*(0.0000000000000028)*s_RadSpec!$AY11*s_RadSpec!$AF11</f>
        <v>1.2590608985772122E-11</v>
      </c>
      <c r="AI11" s="40">
        <f t="shared" si="2"/>
        <v>501.30208333333326</v>
      </c>
      <c r="AJ11" s="40">
        <f t="shared" si="3"/>
        <v>7.8481735159817351E-2</v>
      </c>
      <c r="AK11" s="18"/>
      <c r="AL11" s="15" t="str">
        <f>IFERROR((s_DL/(s_RadSpec!I11*s_IFW_res_adj)),".")</f>
        <v>.</v>
      </c>
      <c r="AM11" s="15" t="str">
        <f>IFERROR(IF(AND(s_RadSpec!C11=1,s_RadSpec!D11&lt;&gt;0),(s_DL/(s_RadSpec!H11*s_IFA_res_adj*s_K*s_RadSpec!D11)),"."),".")</f>
        <v>.</v>
      </c>
      <c r="AN11" s="15">
        <f>IFERROR((s_DL/(s_RadSpec!M11*(1/8760)*s_DFA_res_adj)),".")</f>
        <v>620030.4874936199</v>
      </c>
      <c r="AO11" s="15" t="str">
        <f>s_b2w!C11</f>
        <v>.</v>
      </c>
      <c r="AP11" s="15">
        <f>(IF(AND(AL11&lt;&gt;".",AM11&lt;&gt;".",AN11&lt;&gt;".",AO11&lt;&gt;"."),1/((1/AL11)+(1/AM11)+(1/AN11)+(1/AO11)),IF(AND(AL11&lt;&gt;".",AM11&lt;&gt;".",AN11&lt;&gt;".",AO11="."), 1/((1/AL11)+(1/AM11)+(1/AN11)),IF(AND(AL11&lt;&gt;".",AM11&lt;&gt;".",AN11=".",AO11&lt;&gt;"."),1/((1/AL11)+(1/AM11)+(1/AO11)),IF(AND(AL11&lt;&gt;".",AM11=".",AN11&lt;&gt;".",AO11&lt;&gt;"."),1/((1/AL11)+(1/AN11)+(1/AO11)),IF(AND(AL11=".",AM11&lt;&gt;".",AN11&lt;&gt;".",AO11&lt;&gt;"."),1/((1/AM11)+(1/AN11)+(1/AO11)),IF(AND(AL11&lt;&gt;".",AM11&lt;&gt;".",AN11=".",AO11="."),1/((1/AL11)+(1/AM11)),IF(AND(AL11&lt;&gt;".",AM11=".",AN11&lt;&gt;".",AO11="."),1/((1/AL11)+(1/AN11)),IF(AND(AL11&lt;&gt;".",AM11=".",AN11=".",AO11&lt;&gt;"."),1/((1/AL11)+(1/AO11)),IF(AND(AL11=".",AM11=".",AN11&lt;&gt;".",AO11&lt;&gt;"."),1/((1/AN11)+(1/AO11)),IF(AND(AL11=".",AM11&lt;&gt;".",AN11=".",AO11&lt;&gt;"."),1/((1/AM11)+(1/AO11)),IF(AND(AL11=".",AM11&lt;&gt;".",AN11&lt;&gt;".",AO11="."),1/((1/AM11)+(1/AN11)),IF(AND(AL11&lt;&gt;".",AM11=".",AN11=".",AO11="."),1/((1/AL11)),IF(AND(AL11=".",AM11&lt;&gt;".",AN11=".",AO11="."),1/((1/AM11)),IF(AND(AL11=".",AM11=".",AN11&lt;&gt;".",AO11="."),1/((1/AN11)),IF(AND(AL11=".",AM11=".",AN11=".",AO11&lt;&gt;"."),1/((1/AO11)),IF(AND(AL11=".",AM11=".",AN11=".",AO11="."),".")))))))))))))))))</f>
        <v>620030.4874936199</v>
      </c>
      <c r="AQ11" s="189">
        <f>AP11*(0.0000000000000028)*s_RadSpec!$AY11*s_RadSpec!$AF11</f>
        <v>3.576877552776171E-12</v>
      </c>
      <c r="AR11" s="40">
        <f t="shared" si="4"/>
        <v>1375</v>
      </c>
      <c r="AS11" s="40">
        <f>IF(s_RadSpec!D11&lt;&gt;"",s_C*s_IFA_res_adj*s_K*s_RadSpec!D11,0)</f>
        <v>0</v>
      </c>
      <c r="AT11" s="40">
        <f t="shared" si="5"/>
        <v>0.12557077625570776</v>
      </c>
      <c r="AU11" s="40">
        <f>s_b2w!AC11</f>
        <v>534.14934881726708</v>
      </c>
      <c r="AV11" s="18"/>
      <c r="AW11" s="15" t="str">
        <f>IFERROR(s_DL/(s_RadSpec!F11*s_EF_res*1*s_IRF_res*0.001*s_CF_res_fish),".")</f>
        <v>.</v>
      </c>
      <c r="AX11" s="189">
        <f>IFERROR(AW11*(0.0000000000028)*s_RadSpec!$AY11*s_RadSpec!$AF11,0)</f>
        <v>0</v>
      </c>
      <c r="AY11" s="40">
        <f t="shared" si="6"/>
        <v>7562.5</v>
      </c>
    </row>
    <row r="12" spans="1:51" x14ac:dyDescent="0.25">
      <c r="A12" s="44" t="s">
        <v>10</v>
      </c>
      <c r="B12" s="42" t="s">
        <v>1057</v>
      </c>
      <c r="C12" s="238"/>
      <c r="D12" s="15" t="str">
        <f>IFERROR(((s_DL/(s_RadSpec!E12*s_IFS_res_adj*(1/1000)))*1),".")</f>
        <v>.</v>
      </c>
      <c r="E12" s="15" t="str">
        <f>IFERROR(IF(A12="H-3",(s_DL/((s_RadSpec!H12*s_IFA_res_adj*(1/17)*1000))*1),(s_DL/((s_RadSpec!H12*s_IFA_res_adj*(1/s_PEF_wind)*1000))*1)),".")</f>
        <v>.</v>
      </c>
      <c r="F12" s="15">
        <f>IFERROR((s_DL/(s_RadSpec!G12*s_EF_res*(1/365)*1*s_RadSpec!R12*((s_ET_res_o*(1/24)*s_RadSpec!W12)+(s_ET_res_i*(1/24)*s_RadSpec!AB12))))*1,".")</f>
        <v>3231.6700650377238</v>
      </c>
      <c r="G12" s="15" t="str">
        <f>s_b2s!C12</f>
        <v>.</v>
      </c>
      <c r="H12" s="15" t="str">
        <f>s_dir!C12</f>
        <v>.</v>
      </c>
      <c r="I12" s="15">
        <f t="shared" ref="I12" si="15">(IF(AND(D12&lt;&gt;".",E12&lt;&gt;".",F12&lt;&gt;".",G12&lt;&gt;"."),1/((1/D12)+(1/E12)+(1/F12)+(1/G12)),IF(AND(D12&lt;&gt;".",E12&lt;&gt;".",F12&lt;&gt;".",G12="."), 1/((1/D12)+(1/E12)+(1/F12)),IF(AND(D12&lt;&gt;".",E12&lt;&gt;".",F12=".",G12&lt;&gt;"."),1/((1/D12)+(1/E12)+(1/G12)),IF(AND(D12&lt;&gt;".",E12=".",F12&lt;&gt;".",G12&lt;&gt;"."),1/((1/D12)+(1/F12)+(1/G12)),IF(AND(D12=".",E12&lt;&gt;".",F12&lt;&gt;".",G12&lt;&gt;"."),1/((1/E12)+(1/F12)+(1/G12)),IF(AND(D12&lt;&gt;".",E12&lt;&gt;".",F12=".",G12="."),1/((1/D12)+(1/E12)),IF(AND(D12&lt;&gt;".",E12=".",F12&lt;&gt;".",G12="."),1/((1/D12)+(1/F12)),IF(AND(D12&lt;&gt;".",E12=".",F12=".",G12&lt;&gt;"."),1/((1/D12)+(1/G12)),IF(AND(D12=".",E12=".",F12&lt;&gt;".",G12&lt;&gt;"."),1/((1/F12)+(1/G12)),IF(AND(D12=".",E12&lt;&gt;".",F12=".",G12&lt;&gt;"."),1/((1/E12)+(1/G12)),IF(AND(D12=".",E12&lt;&gt;".",F12&lt;&gt;".",G12="."),1/((1/E12)+(1/F12)),IF(AND(D12&lt;&gt;".",E12=".",F12=".",G12="."),1/((1/D12)),IF(AND(D12=".",E12&lt;&gt;".",F12=".",G12="."),1/((1/E12)),IF(AND(D12=".",E12=".",F12&lt;&gt;".",G12="."),1/((1/F12)),IF(AND(D12=".",E12=".",F12=".",G12&lt;&gt;"."),1/((1/G12)),IF(AND(D12=".",E12=".",F12=".",G12="."),".")))))))))))))))))</f>
        <v>3231.6700650377238</v>
      </c>
      <c r="J12" s="189">
        <f>IFERROR(I12*(0.0000000000028)*s_RadSpec!$AY12*s_RadSpec!$AF12,0)</f>
        <v>2.890377176966734E-11</v>
      </c>
      <c r="K12" s="40">
        <f t="shared" si="0"/>
        <v>15.125</v>
      </c>
      <c r="L12" s="40">
        <f t="shared" si="1"/>
        <v>1.6181272791589674E-3</v>
      </c>
      <c r="M12" s="40">
        <f>IFERROR((s_C*s_EF_res*(1/365)*1*s_RadSpec!R12*((s_ET_res_o*(1/24)*s_RadSpec!W12)+(s_ET_res_i*(1/24)*s_RadSpec!AB12))),".")</f>
        <v>1.2625898034142624E-2</v>
      </c>
      <c r="N12" s="40">
        <f>s_b2s!AC12</f>
        <v>9483.375</v>
      </c>
      <c r="O12" s="18"/>
      <c r="P12" s="15">
        <f>IFERROR((s_DL/(s_RadSpec!G12*s_EF_res*(1/365)*1*s_RadSpec!R12*((s_ET_res_o*(1/24)*s_RadSpec!W12)+(s_ET_res_i*(1/24)*s_RadSpec!AB12))))*1,".")</f>
        <v>3231.6700650377238</v>
      </c>
      <c r="Q12" s="15">
        <f>IFERROR((s_DL/(s_RadSpec!N12*s_EF_res*(1/365)*1*s_RadSpec!S12*((s_ET_res_o*(1/24)*s_RadSpec!X12)+(s_ET_res_i*(1/24)*s_RadSpec!AC12))))*1,".")</f>
        <v>25629.192234854567</v>
      </c>
      <c r="R12" s="15">
        <f>IFERROR((s_DL/(s_RadSpec!O12*s_EF_res*(1/365)*1*s_RadSpec!T12*((s_ET_res_o*(1/24)*s_RadSpec!Y12)+(s_ET_res_i*(1/24)*s_RadSpec!AD12))))*1,".")</f>
        <v>6661.2997636095015</v>
      </c>
      <c r="S12" s="15">
        <f>IFERROR((s_DL/(s_RadSpec!P12*s_EF_res*(1/365)*1*s_RadSpec!U12*((s_ET_res_o*(1/24)*s_RadSpec!Z12)+(s_ET_res_i*(1/24)*s_RadSpec!AE12))))*1,".")</f>
        <v>3966.6167680609656</v>
      </c>
      <c r="T12" s="15">
        <f>IFERROR((s_DL/(s_RadSpec!L12*s_EF_res*(1/365)*1*s_RadSpec!Q12*((s_ET_res_o*(1/24)*s_RadSpec!V12)+(s_ET_res_i*(1/24)*s_RadSpec!AA12))))*1,".")</f>
        <v>35206.140595690216</v>
      </c>
      <c r="U12" s="189">
        <f>IFERROR(P12*(0.0000000000028)*s_RadSpec!$AY12*s_RadSpec!$AF12,0)</f>
        <v>2.890377176966734E-11</v>
      </c>
      <c r="V12" s="189">
        <f>IFERROR(Q12*(0.0000000000028)*s_RadSpec!$AY12*s_RadSpec!$AF12,0)</f>
        <v>2.2922523280188867E-10</v>
      </c>
      <c r="W12" s="189">
        <f>IFERROR(R12*(0.0000000000028)*s_RadSpec!$AY12*s_RadSpec!$AF12,0)</f>
        <v>5.9578077025774765E-11</v>
      </c>
      <c r="X12" s="189">
        <f>IFERROR(S12*(0.0000000000028)*s_RadSpec!$AY12*s_RadSpec!$AF12,0)</f>
        <v>3.5477070200367532E-11</v>
      </c>
      <c r="Y12" s="189">
        <f>IFERROR(T12*(0.0000000000028)*s_RadSpec!$AY12*s_RadSpec!$AF12,0)</f>
        <v>3.1488061348761844E-10</v>
      </c>
      <c r="Z12" s="40">
        <f>IFERROR((s_C*s_EF_res*(1/365)*1*s_RadSpec!R12*((s_ET_res_o*(1/24)*s_RadSpec!W12)+(s_ET_res_i*(1/24)*s_RadSpec!AB12))),".")</f>
        <v>1.2625898034142624E-2</v>
      </c>
      <c r="AA12" s="40">
        <f>IFERROR((s_C*s_EF_res*(1/365)*1*s_RadSpec!S12*((s_ET_res_o*(1/24)*s_RadSpec!X12)+(s_ET_res_i*(1/24)*s_RadSpec!AC12))),".")</f>
        <v>7.0375956889605134E-3</v>
      </c>
      <c r="AB12" s="40">
        <f>IFERROR((s_C*s_EF_res*(1/365)*1*s_RadSpec!T12*((s_ET_res_o*(1/24)*s_RadSpec!Y12)+(s_ET_res_i*(1/24)*s_RadSpec!AD12))),".")</f>
        <v>9.7058553291012404E-3</v>
      </c>
      <c r="AC12" s="40">
        <f>IFERROR((s_C*s_EF_res*(1/365)*1*s_RadSpec!U12*((s_ET_res_o*(1/24)*s_RadSpec!Z12)+(s_ET_res_i*(1/24)*s_RadSpec!AE12))),".")</f>
        <v>1.099017272185825E-2</v>
      </c>
      <c r="AD12" s="40">
        <f>IFERROR((s_C*s_EF_res*(1/365)*1*s_RadSpec!Q12*((s_ET_res_o*(1/24)*s_RadSpec!V12)+(s_ET_res_i*(1/24)*s_RadSpec!AA12))),".")</f>
        <v>4.0768131775779483E-3</v>
      </c>
      <c r="AE12" s="15" t="str">
        <f>IFERROR((s_DL/(s_RadSpec!H12*s_IFA_res_adj)),".")</f>
        <v>.</v>
      </c>
      <c r="AF12" s="15">
        <f>IFERROR((s_DL/(s_RadSpec!K12*s_EF_res*(1/365)*1*s_ET_res*(1/24)*s_GSF_a)),".")</f>
        <v>490671.60880790063</v>
      </c>
      <c r="AG12" s="15">
        <f t="shared" si="11"/>
        <v>490671.60880790063</v>
      </c>
      <c r="AH12" s="189">
        <f>AG12*(0.0000000000000028)*s_RadSpec!$AY12*s_RadSpec!$AF12</f>
        <v>4.3885235526583691E-12</v>
      </c>
      <c r="AI12" s="40">
        <f t="shared" si="2"/>
        <v>501.30208333333326</v>
      </c>
      <c r="AJ12" s="40">
        <f t="shared" si="3"/>
        <v>7.8481735159817351E-2</v>
      </c>
      <c r="AK12" s="18"/>
      <c r="AL12" s="15" t="str">
        <f>IFERROR((s_DL/(s_RadSpec!I12*s_IFW_res_adj)),".")</f>
        <v>.</v>
      </c>
      <c r="AM12" s="15" t="str">
        <f>IFERROR(IF(AND(s_RadSpec!C12=1,s_RadSpec!D12&lt;&gt;0),(s_DL/(s_RadSpec!H12*s_IFA_res_adj*s_K*s_RadSpec!D12)),"."),".")</f>
        <v>.</v>
      </c>
      <c r="AN12" s="15">
        <f>IFERROR((s_DL/(s_RadSpec!M12*(1/8760)*s_DFA_res_adj)),".")</f>
        <v>143284.35635356759</v>
      </c>
      <c r="AO12" s="15" t="str">
        <f>s_b2w!C12</f>
        <v>.</v>
      </c>
      <c r="AP12" s="15">
        <f>(IF(AND(AL12&lt;&gt;".",AM12&lt;&gt;".",AN12&lt;&gt;".",AO12&lt;&gt;"."),1/((1/AL12)+(1/AM12)+(1/AN12)+(1/AO12)),IF(AND(AL12&lt;&gt;".",AM12&lt;&gt;".",AN12&lt;&gt;".",AO12="."), 1/((1/AL12)+(1/AM12)+(1/AN12)),IF(AND(AL12&lt;&gt;".",AM12&lt;&gt;".",AN12=".",AO12&lt;&gt;"."),1/((1/AL12)+(1/AM12)+(1/AO12)),IF(AND(AL12&lt;&gt;".",AM12=".",AN12&lt;&gt;".",AO12&lt;&gt;"."),1/((1/AL12)+(1/AN12)+(1/AO12)),IF(AND(AL12=".",AM12&lt;&gt;".",AN12&lt;&gt;".",AO12&lt;&gt;"."),1/((1/AM12)+(1/AN12)+(1/AO12)),IF(AND(AL12&lt;&gt;".",AM12&lt;&gt;".",AN12=".",AO12="."),1/((1/AL12)+(1/AM12)),IF(AND(AL12&lt;&gt;".",AM12=".",AN12&lt;&gt;".",AO12="."),1/((1/AL12)+(1/AN12)),IF(AND(AL12&lt;&gt;".",AM12=".",AN12=".",AO12&lt;&gt;"."),1/((1/AL12)+(1/AO12)),IF(AND(AL12=".",AM12=".",AN12&lt;&gt;".",AO12&lt;&gt;"."),1/((1/AN12)+(1/AO12)),IF(AND(AL12=".",AM12&lt;&gt;".",AN12=".",AO12&lt;&gt;"."),1/((1/AM12)+(1/AO12)),IF(AND(AL12=".",AM12&lt;&gt;".",AN12&lt;&gt;".",AO12="."),1/((1/AM12)+(1/AN12)),IF(AND(AL12&lt;&gt;".",AM12=".",AN12=".",AO12="."),1/((1/AL12)),IF(AND(AL12=".",AM12&lt;&gt;".",AN12=".",AO12="."),1/((1/AM12)),IF(AND(AL12=".",AM12=".",AN12&lt;&gt;".",AO12="."),1/((1/AN12)),IF(AND(AL12=".",AM12=".",AN12=".",AO12&lt;&gt;"."),1/((1/AO12)),IF(AND(AL12=".",AM12=".",AN12=".",AO12="."),".")))))))))))))))))</f>
        <v>143284.35635356759</v>
      </c>
      <c r="AQ12" s="189">
        <f>AP12*(0.0000000000000028)*s_RadSpec!$AY12*s_RadSpec!$AF12</f>
        <v>1.2815226340746078E-12</v>
      </c>
      <c r="AR12" s="40">
        <f t="shared" si="4"/>
        <v>1375</v>
      </c>
      <c r="AS12" s="40">
        <f>IF(s_RadSpec!D12&lt;&gt;"",s_C*s_IFA_res_adj*s_K*s_RadSpec!D12,0)</f>
        <v>0</v>
      </c>
      <c r="AT12" s="40">
        <f t="shared" si="5"/>
        <v>0.12557077625570776</v>
      </c>
      <c r="AU12" s="40">
        <f>s_b2w!AC12</f>
        <v>2157.03751704873</v>
      </c>
      <c r="AV12" s="18"/>
      <c r="AW12" s="15" t="str">
        <f>IFERROR(s_DL/(s_RadSpec!F12*s_EF_res*1*s_IRF_res*0.001*s_CF_res_fish),".")</f>
        <v>.</v>
      </c>
      <c r="AX12" s="189">
        <f>IFERROR(AW12*(0.0000000000028)*s_RadSpec!$AY12*s_RadSpec!$AF12,0)</f>
        <v>0</v>
      </c>
      <c r="AY12" s="40">
        <f t="shared" si="6"/>
        <v>7562.5</v>
      </c>
    </row>
    <row r="13" spans="1:51" x14ac:dyDescent="0.25">
      <c r="A13" s="44" t="s">
        <v>11</v>
      </c>
      <c r="B13" s="42" t="s">
        <v>1057</v>
      </c>
      <c r="C13" s="42"/>
      <c r="D13" s="15">
        <f>IFERROR(((s_DL/(s_RadSpec!E13*s_IFS_res_adj*(1/1000)))*1),".")</f>
        <v>3573.8217556399372</v>
      </c>
      <c r="E13" s="15">
        <f>IFERROR(IF(A13="H-3",(s_DL/((s_RadSpec!H13*s_IFA_res_adj*(1/17)*1000))*1),(s_DL/((s_RadSpec!H13*s_IFA_res_adj*(1/s_PEF_wind)*1000))*1)),".")</f>
        <v>331401.95036403817</v>
      </c>
      <c r="F13" s="15">
        <f>IFERROR((s_DL/(s_RadSpec!G13*s_EF_res*(1/365)*1*s_RadSpec!R13*((s_ET_res_o*(1/24)*s_RadSpec!W13)+(s_ET_res_i*(1/24)*s_RadSpec!AB13))))*1,".")</f>
        <v>226951.14497758663</v>
      </c>
      <c r="G13" s="15">
        <f>s_b2s!C13</f>
        <v>75.080288984032308</v>
      </c>
      <c r="H13" s="15">
        <f>s_dir!C13</f>
        <v>1.7869108778199687</v>
      </c>
      <c r="I13" s="15">
        <f t="shared" ref="I13:I14" si="16">(IF(AND(D13&lt;&gt;".",E13&lt;&gt;".",F13&lt;&gt;".",G13&lt;&gt;"."),1/((1/D13)+(1/E13)+(1/F13)+(1/G13)),IF(AND(D13&lt;&gt;".",E13&lt;&gt;".",F13&lt;&gt;".",G13="."), 1/((1/D13)+(1/E13)+(1/F13)),IF(AND(D13&lt;&gt;".",E13&lt;&gt;".",F13=".",G13&lt;&gt;"."),1/((1/D13)+(1/E13)+(1/G13)),IF(AND(D13&lt;&gt;".",E13=".",F13&lt;&gt;".",G13&lt;&gt;"."),1/((1/D13)+(1/F13)+(1/G13)),IF(AND(D13=".",E13&lt;&gt;".",F13&lt;&gt;".",G13&lt;&gt;"."),1/((1/E13)+(1/F13)+(1/G13)),IF(AND(D13&lt;&gt;".",E13&lt;&gt;".",F13=".",G13="."),1/((1/D13)+(1/E13)),IF(AND(D13&lt;&gt;".",E13=".",F13&lt;&gt;".",G13="."),1/((1/D13)+(1/F13)),IF(AND(D13&lt;&gt;".",E13=".",F13=".",G13&lt;&gt;"."),1/((1/D13)+(1/G13)),IF(AND(D13=".",E13=".",F13&lt;&gt;".",G13&lt;&gt;"."),1/((1/F13)+(1/G13)),IF(AND(D13=".",E13&lt;&gt;".",F13=".",G13&lt;&gt;"."),1/((1/E13)+(1/G13)),IF(AND(D13=".",E13&lt;&gt;".",F13&lt;&gt;".",G13="."),1/((1/E13)+(1/F13)),IF(AND(D13&lt;&gt;".",E13=".",F13=".",G13="."),1/((1/D13)),IF(AND(D13=".",E13&lt;&gt;".",F13=".",G13="."),1/((1/E13)),IF(AND(D13=".",E13=".",F13&lt;&gt;".",G13="."),1/((1/F13)),IF(AND(D13=".",E13=".",F13=".",G13&lt;&gt;"."),1/((1/G13)),IF(AND(D13=".",E13=".",F13=".",G13="."),".")))))))))))))))))</f>
        <v>73.495305520228257</v>
      </c>
      <c r="J13" s="189">
        <f>IFERROR(I13*(0.0000000000028)*s_RadSpec!$AY13*s_RadSpec!$AF13,0)</f>
        <v>0.10456606328947113</v>
      </c>
      <c r="K13" s="40">
        <f t="shared" si="0"/>
        <v>15.125</v>
      </c>
      <c r="L13" s="40">
        <f t="shared" si="1"/>
        <v>1.6181272791589674E-3</v>
      </c>
      <c r="M13" s="40">
        <f>IFERROR((s_C*s_EF_res*(1/365)*1*s_RadSpec!R13*((s_ET_res_o*(1/24)*s_RadSpec!W13)+(s_ET_res_i*(1/24)*s_RadSpec!AB13))),".")</f>
        <v>1.6426169883011689E-3</v>
      </c>
      <c r="N13" s="40">
        <f>s_b2s!AC13</f>
        <v>719.95</v>
      </c>
      <c r="O13" s="18"/>
      <c r="P13" s="15">
        <f>IFERROR((s_DL/(s_RadSpec!G13*s_EF_res*(1/365)*1*s_RadSpec!R13*((s_ET_res_o*(1/24)*s_RadSpec!W13)+(s_ET_res_i*(1/24)*s_RadSpec!AB13))))*1,".")</f>
        <v>226951.14497758663</v>
      </c>
      <c r="Q13" s="15">
        <f>IFERROR((s_DL/(s_RadSpec!N13*s_EF_res*(1/365)*1*s_RadSpec!S13*((s_ET_res_o*(1/24)*s_RadSpec!X13)+(s_ET_res_i*(1/24)*s_RadSpec!AC13))))*1,".")</f>
        <v>1480667.6249620041</v>
      </c>
      <c r="R13" s="15">
        <f>IFERROR((s_DL/(s_RadSpec!O13*s_EF_res*(1/365)*1*s_RadSpec!T13*((s_ET_res_o*(1/24)*s_RadSpec!Y13)+(s_ET_res_i*(1/24)*s_RadSpec!AD13))))*1,".")</f>
        <v>369085.65973383986</v>
      </c>
      <c r="S13" s="15">
        <f>IFERROR((s_DL/(s_RadSpec!P13*s_EF_res*(1/365)*1*s_RadSpec!U13*((s_ET_res_o*(1/24)*s_RadSpec!Z13)+(s_ET_res_i*(1/24)*s_RadSpec!AE13))))*1,".")</f>
        <v>243409.37874457389</v>
      </c>
      <c r="T13" s="15">
        <f>IFERROR((s_DL/(s_RadSpec!L13*s_EF_res*(1/365)*1*s_RadSpec!Q13*((s_ET_res_o*(1/24)*s_RadSpec!V13)+(s_ET_res_i*(1/24)*s_RadSpec!AA13))))*1,".")</f>
        <v>11194560.401182281</v>
      </c>
      <c r="U13" s="189">
        <f>IFERROR(P13*(0.0000000000028)*s_RadSpec!$AY13*s_RadSpec!$AF13,0)</f>
        <v>322.89664790647919</v>
      </c>
      <c r="V13" s="189">
        <f>IFERROR(Q13*(0.0000000000028)*s_RadSpec!$AY13*s_RadSpec!$AF13,0)</f>
        <v>2106.6323010227416</v>
      </c>
      <c r="W13" s="189">
        <f>IFERROR(R13*(0.0000000000028)*s_RadSpec!$AY13*s_RadSpec!$AF13,0)</f>
        <v>525.1197227058625</v>
      </c>
      <c r="X13" s="189">
        <f>IFERROR(S13*(0.0000000000028)*s_RadSpec!$AY13*s_RadSpec!$AF13,0)</f>
        <v>346.31273824762394</v>
      </c>
      <c r="Y13" s="189">
        <f>IFERROR(T13*(0.0000000000028)*s_RadSpec!$AY13*s_RadSpec!$AF13,0)</f>
        <v>15927.154845089459</v>
      </c>
      <c r="Z13" s="40">
        <f>IFERROR((s_C*s_EF_res*(1/365)*1*s_RadSpec!R13*((s_ET_res_o*(1/24)*s_RadSpec!W13)+(s_ET_res_i*(1/24)*s_RadSpec!AB13))),".")</f>
        <v>1.6426169883011689E-3</v>
      </c>
      <c r="AA13" s="40">
        <f>IFERROR((s_C*s_EF_res*(1/365)*1*s_RadSpec!S13*((s_ET_res_o*(1/24)*s_RadSpec!X13)+(s_ET_res_i*(1/24)*s_RadSpec!AC13))),".")</f>
        <v>7.5322427863596612E-4</v>
      </c>
      <c r="AB13" s="40">
        <f>IFERROR((s_C*s_EF_res*(1/365)*1*s_RadSpec!T13*((s_ET_res_o*(1/24)*s_RadSpec!Y13)+(s_ET_res_i*(1/24)*s_RadSpec!AD13))),".")</f>
        <v>1.267856005097165E-3</v>
      </c>
      <c r="AC13" s="40">
        <f>IFERROR((s_C*s_EF_res*(1/365)*1*s_RadSpec!U13*((s_ET_res_o*(1/24)*s_RadSpec!Z13)+(s_ET_res_i*(1/24)*s_RadSpec!AE13))),".")</f>
        <v>1.5358287822098843E-3</v>
      </c>
      <c r="AD13" s="40">
        <f>IFERROR((s_C*s_EF_res*(1/365)*1*s_RadSpec!Q13*((s_ET_res_o*(1/24)*s_RadSpec!V13)+(s_ET_res_i*(1/24)*s_RadSpec!AA13))),".")</f>
        <v>7.8294026267476373E-5</v>
      </c>
      <c r="AE13" s="15">
        <f>IFERROR((s_DL/(s_RadSpec!H13*s_IFA_res_adj)),".")</f>
        <v>1.0697153554296412</v>
      </c>
      <c r="AF13" s="15">
        <f>IFERROR((s_DL/(s_RadSpec!K13*s_EF_res*(1/365)*1*s_ET_res*(1/24)*s_GSF_a)),".")</f>
        <v>3172249.0057813111</v>
      </c>
      <c r="AG13" s="15">
        <f t="shared" si="11"/>
        <v>1.0697149947106201</v>
      </c>
      <c r="AH13" s="189">
        <f>AG13*(0.0000000000000028)*s_RadSpec!$AY13*s_RadSpec!$AF13</f>
        <v>1.5219459943304904E-6</v>
      </c>
      <c r="AI13" s="40">
        <f t="shared" si="2"/>
        <v>501.30208333333326</v>
      </c>
      <c r="AJ13" s="40">
        <f t="shared" si="3"/>
        <v>7.8481735159817351E-2</v>
      </c>
      <c r="AK13" s="18"/>
      <c r="AL13" s="15">
        <f>IFERROR((s_DL/(s_RadSpec!I13*s_IFW_res_adj)),".")</f>
        <v>39.31203931203931</v>
      </c>
      <c r="AM13" s="15" t="str">
        <f>IFERROR(IF(AND(s_RadSpec!C13=1,s_RadSpec!D13&lt;&gt;0),(s_DL/(s_RadSpec!H13*s_IFA_res_adj*s_K*s_RadSpec!D13)),"."),".")</f>
        <v>.</v>
      </c>
      <c r="AN13" s="15">
        <f>IFERROR((s_DL/(s_RadSpec!M13*(1/8760)*s_DFA_res_adj)),".")</f>
        <v>883463.12984842202</v>
      </c>
      <c r="AO13" s="15">
        <f>s_b2w!C13</f>
        <v>130.0193234834432</v>
      </c>
      <c r="AP13" s="15">
        <f>(IF(AND(AL13&lt;&gt;".",AM13&lt;&gt;".",AN13&lt;&gt;".",AO13&lt;&gt;"."),1/((1/AL13)+(1/AM13)+(1/AN13)+(1/AO13)),IF(AND(AL13&lt;&gt;".",AM13&lt;&gt;".",AN13&lt;&gt;".",AO13="."), 1/((1/AL13)+(1/AM13)+(1/AN13)),IF(AND(AL13&lt;&gt;".",AM13&lt;&gt;".",AN13=".",AO13&lt;&gt;"."),1/((1/AL13)+(1/AM13)+(1/AO13)),IF(AND(AL13&lt;&gt;".",AM13=".",AN13&lt;&gt;".",AO13&lt;&gt;"."),1/((1/AL13)+(1/AN13)+(1/AO13)),IF(AND(AL13=".",AM13&lt;&gt;".",AN13&lt;&gt;".",AO13&lt;&gt;"."),1/((1/AM13)+(1/AN13)+(1/AO13)),IF(AND(AL13&lt;&gt;".",AM13&lt;&gt;".",AN13=".",AO13="."),1/((1/AL13)+(1/AM13)),IF(AND(AL13&lt;&gt;".",AM13=".",AN13&lt;&gt;".",AO13="."),1/((1/AL13)+(1/AN13)),IF(AND(AL13&lt;&gt;".",AM13=".",AN13=".",AO13&lt;&gt;"."),1/((1/AL13)+(1/AO13)),IF(AND(AL13=".",AM13=".",AN13&lt;&gt;".",AO13&lt;&gt;"."),1/((1/AN13)+(1/AO13)),IF(AND(AL13=".",AM13&lt;&gt;".",AN13=".",AO13&lt;&gt;"."),1/((1/AM13)+(1/AO13)),IF(AND(AL13=".",AM13&lt;&gt;".",AN13&lt;&gt;".",AO13="."),1/((1/AM13)+(1/AN13)),IF(AND(AL13&lt;&gt;".",AM13=".",AN13=".",AO13="."),1/((1/AL13)),IF(AND(AL13=".",AM13&lt;&gt;".",AN13=".",AO13="."),1/((1/AM13)),IF(AND(AL13=".",AM13=".",AN13&lt;&gt;".",AO13="."),1/((1/AN13)),IF(AND(AL13=".",AM13=".",AN13=".",AO13&lt;&gt;"."),1/((1/AO13)),IF(AND(AL13=".",AM13=".",AN13=".",AO13="."),".")))))))))))))))))</f>
        <v>30.184308675843624</v>
      </c>
      <c r="AQ13" s="189">
        <f>AP13*(0.0000000000000028)*s_RadSpec!$AY13*s_RadSpec!$AF13</f>
        <v>4.2944978716749396E-5</v>
      </c>
      <c r="AR13" s="40">
        <f t="shared" si="4"/>
        <v>1375</v>
      </c>
      <c r="AS13" s="40">
        <f>IF(s_RadSpec!D13&lt;&gt;"",s_C*s_IFA_res_adj*s_K*s_RadSpec!D13,0)</f>
        <v>0</v>
      </c>
      <c r="AT13" s="40">
        <f t="shared" si="5"/>
        <v>0.12557077625570776</v>
      </c>
      <c r="AU13" s="40">
        <f>s_b2w!AC13</f>
        <v>415.73861950556409</v>
      </c>
      <c r="AV13" s="18"/>
      <c r="AW13" s="15">
        <f>IFERROR(s_DL/(s_RadSpec!F13*s_EF_res*1*s_IRF_res*0.001*s_CF_res_fish),".")</f>
        <v>7.1476435112798749</v>
      </c>
      <c r="AX13" s="189">
        <f>IFERROR(AW13*(0.0000000000028)*s_RadSpec!$AY13*s_RadSpec!$AF13,0)</f>
        <v>1.0169369845878937E-2</v>
      </c>
      <c r="AY13" s="40">
        <f t="shared" si="6"/>
        <v>7562.5</v>
      </c>
    </row>
    <row r="14" spans="1:51" x14ac:dyDescent="0.25">
      <c r="A14" s="44" t="s">
        <v>12</v>
      </c>
      <c r="B14" s="42" t="s">
        <v>1057</v>
      </c>
      <c r="C14" s="42"/>
      <c r="D14" s="15">
        <f>IFERROR(((s_DL/(s_RadSpec!E14*s_IFS_res_adj*(1/1000)))*1),".")</f>
        <v>338430.09049620619</v>
      </c>
      <c r="E14" s="15">
        <f>IFERROR(IF(A14="H-3",(s_DL/((s_RadSpec!H14*s_IFA_res_adj*(1/17)*1000))*1),(s_DL/((s_RadSpec!H14*s_IFA_res_adj*(1/s_PEF_wind)*1000))*1)),".")</f>
        <v>915715915.47957909</v>
      </c>
      <c r="F14" s="15">
        <f>IFERROR((s_DL/(s_RadSpec!G14*s_EF_res*(1/365)*1*s_RadSpec!R14*((s_ET_res_o*(1/24)*s_RadSpec!W14)+(s_ET_res_i*(1/24)*s_RadSpec!AB14))))*1,".")</f>
        <v>2244.1970085463927</v>
      </c>
      <c r="G14" s="15">
        <f>s_b2s!C14</f>
        <v>7200.6402233235358</v>
      </c>
      <c r="H14" s="15">
        <f>s_dir!C14</f>
        <v>169.21504524810311</v>
      </c>
      <c r="I14" s="15">
        <f t="shared" si="16"/>
        <v>1702.3417043401678</v>
      </c>
      <c r="J14" s="189">
        <f>IFERROR(I14*(0.0000000000028)*s_RadSpec!$AY14*s_RadSpec!$AF14,0)</f>
        <v>8.2054133146822197E-8</v>
      </c>
      <c r="K14" s="40">
        <f t="shared" si="0"/>
        <v>15.125</v>
      </c>
      <c r="L14" s="40">
        <f t="shared" si="1"/>
        <v>1.6181272791589674E-3</v>
      </c>
      <c r="M14" s="40">
        <f>IFERROR((s_C*s_EF_res*(1/365)*1*s_RadSpec!R14*((s_ET_res_o*(1/24)*s_RadSpec!W14)+(s_ET_res_i*(1/24)*s_RadSpec!AB14))),".")</f>
        <v>1.0942225368809278E-2</v>
      </c>
      <c r="N14" s="40">
        <f>s_b2s!AC14</f>
        <v>710.875</v>
      </c>
      <c r="O14" s="18"/>
      <c r="P14" s="15">
        <f>IFERROR((s_DL/(s_RadSpec!G14*s_EF_res*(1/365)*1*s_RadSpec!R14*((s_ET_res_o*(1/24)*s_RadSpec!W14)+(s_ET_res_i*(1/24)*s_RadSpec!AB14))))*1,".")</f>
        <v>2244.1970085463927</v>
      </c>
      <c r="Q14" s="15">
        <f>IFERROR((s_DL/(s_RadSpec!N14*s_EF_res*(1/365)*1*s_RadSpec!S14*((s_ET_res_o*(1/24)*s_RadSpec!X14)+(s_ET_res_i*(1/24)*s_RadSpec!AC14))))*1,".")</f>
        <v>17490.182286907551</v>
      </c>
      <c r="R14" s="15">
        <f>IFERROR((s_DL/(s_RadSpec!O14*s_EF_res*(1/365)*1*s_RadSpec!T14*((s_ET_res_o*(1/24)*s_RadSpec!Y14)+(s_ET_res_i*(1/24)*s_RadSpec!AD14))))*1,".")</f>
        <v>4652.3213284485228</v>
      </c>
      <c r="S14" s="15">
        <f>IFERROR((s_DL/(s_RadSpec!P14*s_EF_res*(1/365)*1*s_RadSpec!U14*((s_ET_res_o*(1/24)*s_RadSpec!Z14)+(s_ET_res_i*(1/24)*s_RadSpec!AE14))))*1,".")</f>
        <v>2788.9828245151784</v>
      </c>
      <c r="T14" s="15">
        <f>IFERROR((s_DL/(s_RadSpec!L14*s_EF_res*(1/365)*1*s_RadSpec!Q14*((s_ET_res_o*(1/24)*s_RadSpec!V14)+(s_ET_res_i*(1/24)*s_RadSpec!AA14))))*1,".")</f>
        <v>49029.241007515826</v>
      </c>
      <c r="U14" s="189">
        <f>IFERROR(P14*(0.0000000000028)*s_RadSpec!$AY14*s_RadSpec!$AF14,0)</f>
        <v>1.0817196082166189E-7</v>
      </c>
      <c r="V14" s="189">
        <f>IFERROR(Q14*(0.0000000000028)*s_RadSpec!$AY14*s_RadSpec!$AF14,0)</f>
        <v>8.4303976250665143E-7</v>
      </c>
      <c r="W14" s="189">
        <f>IFERROR(R14*(0.0000000000028)*s_RadSpec!$AY14*s_RadSpec!$AF14,0)</f>
        <v>2.242453396712619E-7</v>
      </c>
      <c r="X14" s="189">
        <f>IFERROR(S14*(0.0000000000028)*s_RadSpec!$AY14*s_RadSpec!$AF14,0)</f>
        <v>1.3443104133765588E-7</v>
      </c>
      <c r="Y14" s="189">
        <f>IFERROR(T14*(0.0000000000028)*s_RadSpec!$AY14*s_RadSpec!$AF14,0)</f>
        <v>2.363245792229289E-6</v>
      </c>
      <c r="Z14" s="40">
        <f>IFERROR((s_C*s_EF_res*(1/365)*1*s_RadSpec!R14*((s_ET_res_o*(1/24)*s_RadSpec!W14)+(s_ET_res_i*(1/24)*s_RadSpec!AB14))),".")</f>
        <v>1.0942225368809278E-2</v>
      </c>
      <c r="AA14" s="40">
        <f>IFERROR((s_C*s_EF_res*(1/365)*1*s_RadSpec!S14*((s_ET_res_o*(1/24)*s_RadSpec!X14)+(s_ET_res_i*(1/24)*s_RadSpec!AC14))),".")</f>
        <v>6.0251113844926154E-3</v>
      </c>
      <c r="AB14" s="40">
        <f>IFERROR((s_C*s_EF_res*(1/365)*1*s_RadSpec!T14*((s_ET_res_o*(1/24)*s_RadSpec!Y14)+(s_ET_res_i*(1/24)*s_RadSpec!AD14))),".")</f>
        <v>8.1492703990470473E-3</v>
      </c>
      <c r="AC14" s="40">
        <f>IFERROR((s_C*s_EF_res*(1/365)*1*s_RadSpec!U14*((s_ET_res_o*(1/24)*s_RadSpec!Z14)+(s_ET_res_i*(1/24)*s_RadSpec!AE14))),".")</f>
        <v>9.2996712328767099E-3</v>
      </c>
      <c r="AD14" s="40">
        <f>IFERROR((s_C*s_EF_res*(1/365)*1*s_RadSpec!Q14*((s_ET_res_o*(1/24)*s_RadSpec!V14)+(s_ET_res_i*(1/24)*s_RadSpec!AA14))),".")</f>
        <v>2.1593296980981507E-3</v>
      </c>
      <c r="AE14" s="15">
        <f>IFERROR((s_DL/(s_RadSpec!H14*s_IFA_res_adj)),".")</f>
        <v>2955.7924294766399</v>
      </c>
      <c r="AF14" s="15">
        <f>IFERROR((s_DL/(s_RadSpec!K14*s_EF_res*(1/365)*1*s_ET_res*(1/24)*s_GSF_a)),".")</f>
        <v>294297.10301746789</v>
      </c>
      <c r="AG14" s="15">
        <f t="shared" si="11"/>
        <v>2926.4009280986129</v>
      </c>
      <c r="AH14" s="189">
        <f>AG14*(0.0000000000000028)*s_RadSpec!$AY14*s_RadSpec!$AF14</f>
        <v>1.4105469588331564E-10</v>
      </c>
      <c r="AI14" s="40">
        <f t="shared" si="2"/>
        <v>501.30208333333326</v>
      </c>
      <c r="AJ14" s="40">
        <f t="shared" si="3"/>
        <v>7.8481735159817351E-2</v>
      </c>
      <c r="AK14" s="18"/>
      <c r="AL14" s="15">
        <f>IFERROR((s_DL/(s_RadSpec!I14*s_IFW_res_adj)),".")</f>
        <v>3722.7309954582679</v>
      </c>
      <c r="AM14" s="15" t="str">
        <f>IFERROR(IF(AND(s_RadSpec!C14=1,s_RadSpec!D14&lt;&gt;0),(s_DL/(s_RadSpec!H14*s_IFA_res_adj*s_K*s_RadSpec!D14)),"."),".")</f>
        <v>.</v>
      </c>
      <c r="AN14" s="15">
        <f>IFERROR((s_DL/(s_RadSpec!M14*(1/8760)*s_DFA_res_adj)),".")</f>
        <v>83994.277862436182</v>
      </c>
      <c r="AO14" s="15">
        <f>s_b2w!C14</f>
        <v>12366.0720725506</v>
      </c>
      <c r="AP14" s="15">
        <f>(IF(AND(AL14&lt;&gt;".",AM14&lt;&gt;".",AN14&lt;&gt;".",AO14&lt;&gt;"."),1/((1/AL14)+(1/AM14)+(1/AN14)+(1/AO14)),IF(AND(AL14&lt;&gt;".",AM14&lt;&gt;".",AN14&lt;&gt;".",AO14="."), 1/((1/AL14)+(1/AM14)+(1/AN14)),IF(AND(AL14&lt;&gt;".",AM14&lt;&gt;".",AN14=".",AO14&lt;&gt;"."),1/((1/AL14)+(1/AM14)+(1/AO14)),IF(AND(AL14&lt;&gt;".",AM14=".",AN14&lt;&gt;".",AO14&lt;&gt;"."),1/((1/AL14)+(1/AN14)+(1/AO14)),IF(AND(AL14=".",AM14&lt;&gt;".",AN14&lt;&gt;".",AO14&lt;&gt;"."),1/((1/AM14)+(1/AN14)+(1/AO14)),IF(AND(AL14&lt;&gt;".",AM14&lt;&gt;".",AN14=".",AO14="."),1/((1/AL14)+(1/AM14)),IF(AND(AL14&lt;&gt;".",AM14=".",AN14&lt;&gt;".",AO14="."),1/((1/AL14)+(1/AN14)),IF(AND(AL14&lt;&gt;".",AM14=".",AN14=".",AO14&lt;&gt;"."),1/((1/AL14)+(1/AO14)),IF(AND(AL14=".",AM14=".",AN14&lt;&gt;".",AO14&lt;&gt;"."),1/((1/AN14)+(1/AO14)),IF(AND(AL14=".",AM14&lt;&gt;".",AN14=".",AO14&lt;&gt;"."),1/((1/AM14)+(1/AO14)),IF(AND(AL14=".",AM14&lt;&gt;".",AN14&lt;&gt;".",AO14="."),1/((1/AM14)+(1/AN14)),IF(AND(AL14&lt;&gt;".",AM14=".",AN14=".",AO14="."),1/((1/AL14)),IF(AND(AL14=".",AM14&lt;&gt;".",AN14=".",AO14="."),1/((1/AM14)),IF(AND(AL14=".",AM14=".",AN14&lt;&gt;".",AO14="."),1/((1/AN14)),IF(AND(AL14=".",AM14=".",AN14=".",AO14&lt;&gt;"."),1/((1/AO14)),IF(AND(AL14=".",AM14=".",AN14=".",AO14="."),".")))))))))))))))))</f>
        <v>2767.0784484982883</v>
      </c>
      <c r="AQ14" s="189">
        <f>AP14*(0.0000000000000028)*s_RadSpec!$AY14*s_RadSpec!$AF14</f>
        <v>1.3337523416239513E-10</v>
      </c>
      <c r="AR14" s="40">
        <f t="shared" si="4"/>
        <v>1375</v>
      </c>
      <c r="AS14" s="40">
        <f>IF(s_RadSpec!D14&lt;&gt;"",s_C*s_IFA_res_adj*s_K*s_RadSpec!D14,0)</f>
        <v>0</v>
      </c>
      <c r="AT14" s="40">
        <f t="shared" si="5"/>
        <v>0.12557077625570776</v>
      </c>
      <c r="AU14" s="40">
        <f>s_b2w!AC14</f>
        <v>413.93541042975136</v>
      </c>
      <c r="AV14" s="18"/>
      <c r="AW14" s="15">
        <f>IFERROR(s_DL/(s_RadSpec!F14*s_EF_res*1*s_IRF_res*0.001*s_CF_res_fish),".")</f>
        <v>676.86018099241232</v>
      </c>
      <c r="AX14" s="189">
        <f>IFERROR(AW14*(0.0000000000028)*s_RadSpec!$AY14*s_RadSpec!$AF14,0)</f>
        <v>3.262516289845622E-8</v>
      </c>
      <c r="AY14" s="40">
        <f t="shared" si="6"/>
        <v>7562.5</v>
      </c>
    </row>
    <row r="15" spans="1:51" x14ac:dyDescent="0.25">
      <c r="A15" s="44" t="s">
        <v>13</v>
      </c>
      <c r="B15" s="42" t="s">
        <v>1057</v>
      </c>
      <c r="C15" s="42"/>
      <c r="D15" s="15">
        <f>IFERROR(((s_DL/(s_RadSpec!E15*s_IFS_res_adj*(1/1000)))*1),".")</f>
        <v>5980290.7557562534</v>
      </c>
      <c r="E15" s="15">
        <f>IFERROR(IF(A15="H-3",(s_DL/((s_RadSpec!H15*s_IFA_res_adj*(1/17)*1000))*1),(s_DL/((s_RadSpec!H15*s_IFA_res_adj*(1/s_PEF_wind)*1000))*1)),".")</f>
        <v>59823274707.548439</v>
      </c>
      <c r="F15" s="15" t="str">
        <f>IFERROR((s_DL/(s_RadSpec!G15*s_EF_res*(1/365)*1*s_RadSpec!R15*((s_ET_res_o*(1/24)*s_RadSpec!W15)+(s_ET_res_i*(1/24)*s_RadSpec!AB15))))*1,".")</f>
        <v>.</v>
      </c>
      <c r="G15" s="15">
        <f>s_b2s!C15</f>
        <v>132468.50716039989</v>
      </c>
      <c r="H15" s="15">
        <f>s_dir!C15</f>
        <v>2990.145377878127</v>
      </c>
      <c r="I15" s="15">
        <f t="shared" ref="I15:I21" si="17">(IF(AND(D15&lt;&gt;".",E15&lt;&gt;".",F15&lt;&gt;".",G15&lt;&gt;"."),1/((1/D15)+(1/E15)+(1/F15)+(1/G15)),IF(AND(D15&lt;&gt;".",E15&lt;&gt;".",F15&lt;&gt;".",G15="."), 1/((1/D15)+(1/E15)+(1/F15)),IF(AND(D15&lt;&gt;".",E15&lt;&gt;".",F15=".",G15&lt;&gt;"."),1/((1/D15)+(1/E15)+(1/G15)),IF(AND(D15&lt;&gt;".",E15=".",F15&lt;&gt;".",G15&lt;&gt;"."),1/((1/D15)+(1/F15)+(1/G15)),IF(AND(D15=".",E15&lt;&gt;".",F15&lt;&gt;".",G15&lt;&gt;"."),1/((1/E15)+(1/F15)+(1/G15)),IF(AND(D15&lt;&gt;".",E15&lt;&gt;".",F15=".",G15="."),1/((1/D15)+(1/E15)),IF(AND(D15&lt;&gt;".",E15=".",F15&lt;&gt;".",G15="."),1/((1/D15)+(1/F15)),IF(AND(D15&lt;&gt;".",E15=".",F15=".",G15&lt;&gt;"."),1/((1/D15)+(1/G15)),IF(AND(D15=".",E15=".",F15&lt;&gt;".",G15&lt;&gt;"."),1/((1/F15)+(1/G15)),IF(AND(D15=".",E15&lt;&gt;".",F15=".",G15&lt;&gt;"."),1/((1/E15)+(1/G15)),IF(AND(D15=".",E15&lt;&gt;".",F15&lt;&gt;".",G15="."),1/((1/E15)+(1/F15)),IF(AND(D15&lt;&gt;".",E15=".",F15=".",G15="."),1/((1/D15)),IF(AND(D15=".",E15&lt;&gt;".",F15=".",G15="."),1/((1/E15)),IF(AND(D15=".",E15=".",F15&lt;&gt;".",G15="."),1/((1/F15)),IF(AND(D15=".",E15=".",F15=".",G15&lt;&gt;"."),1/((1/G15)),IF(AND(D15=".",E15=".",F15=".",G15="."),".")))))))))))))))))</f>
        <v>129597.52520134249</v>
      </c>
      <c r="J15" s="189">
        <f>IFERROR(I15*(0.0000000000028)*s_RadSpec!$AY15*s_RadSpec!$AF15,0)</f>
        <v>2.8163134086264451E-8</v>
      </c>
      <c r="K15" s="40">
        <f t="shared" si="0"/>
        <v>15.125</v>
      </c>
      <c r="L15" s="40">
        <f t="shared" si="1"/>
        <v>1.6181272791589674E-3</v>
      </c>
      <c r="M15" s="40">
        <f>IFERROR((s_C*s_EF_res*(1/365)*1*s_RadSpec!R15*((s_ET_res_o*(1/24)*s_RadSpec!W15)+(s_ET_res_i*(1/24)*s_RadSpec!AB15))),".")</f>
        <v>0</v>
      </c>
      <c r="N15" s="40">
        <f>s_b2s!AC15</f>
        <v>682.81812500000001</v>
      </c>
      <c r="O15" s="18"/>
      <c r="P15" s="15" t="str">
        <f>IFERROR((s_DL/(s_RadSpec!G15*s_EF_res*(1/365)*1*s_RadSpec!R15*((s_ET_res_o*(1/24)*s_RadSpec!W15)+(s_ET_res_i*(1/24)*s_RadSpec!AB15))))*1,".")</f>
        <v>.</v>
      </c>
      <c r="Q15" s="15" t="str">
        <f>IFERROR((s_DL/(s_RadSpec!N15*s_EF_res*(1/365)*1*s_RadSpec!S15*((s_ET_res_o*(1/24)*s_RadSpec!X15)+(s_ET_res_i*(1/24)*s_RadSpec!AC15))))*1,".")</f>
        <v>.</v>
      </c>
      <c r="R15" s="15" t="str">
        <f>IFERROR((s_DL/(s_RadSpec!O15*s_EF_res*(1/365)*1*s_RadSpec!T15*((s_ET_res_o*(1/24)*s_RadSpec!Y15)+(s_ET_res_i*(1/24)*s_RadSpec!AD15))))*1,".")</f>
        <v>.</v>
      </c>
      <c r="S15" s="15" t="str">
        <f>IFERROR((s_DL/(s_RadSpec!P15*s_EF_res*(1/365)*1*s_RadSpec!U15*((s_ET_res_o*(1/24)*s_RadSpec!Z15)+(s_ET_res_i*(1/24)*s_RadSpec!AE15))))*1,".")</f>
        <v>.</v>
      </c>
      <c r="T15" s="15" t="str">
        <f>IFERROR((s_DL/(s_RadSpec!L15*s_EF_res*(1/365)*1*s_RadSpec!Q15*((s_ET_res_o*(1/24)*s_RadSpec!V15)+(s_ET_res_i*(1/24)*s_RadSpec!AA15))))*1,".")</f>
        <v>.</v>
      </c>
      <c r="U15" s="189">
        <f>IFERROR(P15*(0.0000000000028)*s_RadSpec!$AY15*s_RadSpec!$AF15,0)</f>
        <v>0</v>
      </c>
      <c r="V15" s="189">
        <f>IFERROR(Q15*(0.0000000000028)*s_RadSpec!$AY15*s_RadSpec!$AF15,0)</f>
        <v>0</v>
      </c>
      <c r="W15" s="189">
        <f>IFERROR(R15*(0.0000000000028)*s_RadSpec!$AY15*s_RadSpec!$AF15,0)</f>
        <v>0</v>
      </c>
      <c r="X15" s="189">
        <f>IFERROR(S15*(0.0000000000028)*s_RadSpec!$AY15*s_RadSpec!$AF15,0)</f>
        <v>0</v>
      </c>
      <c r="Y15" s="189">
        <f>IFERROR(T15*(0.0000000000028)*s_RadSpec!$AY15*s_RadSpec!$AF15,0)</f>
        <v>0</v>
      </c>
      <c r="Z15" s="40">
        <f>IFERROR((s_C*s_EF_res*(1/365)*1*s_RadSpec!R15*((s_ET_res_o*(1/24)*s_RadSpec!W15)+(s_ET_res_i*(1/24)*s_RadSpec!AB15))),".")</f>
        <v>0</v>
      </c>
      <c r="AA15" s="40">
        <f>IFERROR((s_C*s_EF_res*(1/365)*1*s_RadSpec!S15*((s_ET_res_o*(1/24)*s_RadSpec!X15)+(s_ET_res_i*(1/24)*s_RadSpec!AC15))),".")</f>
        <v>0</v>
      </c>
      <c r="AB15" s="40">
        <f>IFERROR((s_C*s_EF_res*(1/365)*1*s_RadSpec!T15*((s_ET_res_o*(1/24)*s_RadSpec!Y15)+(s_ET_res_i*(1/24)*s_RadSpec!AD15))),".")</f>
        <v>0</v>
      </c>
      <c r="AC15" s="40">
        <f>IFERROR((s_C*s_EF_res*(1/365)*1*s_RadSpec!U15*((s_ET_res_o*(1/24)*s_RadSpec!Z15)+(s_ET_res_i*(1/24)*s_RadSpec!AE15))),".")</f>
        <v>0</v>
      </c>
      <c r="AD15" s="40">
        <f>IFERROR((s_C*s_EF_res*(1/365)*1*s_RadSpec!Q15*((s_ET_res_o*(1/24)*s_RadSpec!V15)+(s_ET_res_i*(1/24)*s_RadSpec!AA15))),".")</f>
        <v>0</v>
      </c>
      <c r="AE15" s="15">
        <f>IFERROR((s_DL/(s_RadSpec!H15*s_IFA_res_adj)),".")</f>
        <v>193100.47963343095</v>
      </c>
      <c r="AF15" s="15">
        <f>IFERROR((s_DL/(s_RadSpec!K15*s_EF_res*(1/365)*1*s_ET_res*(1/24)*s_GSF_a)),".")</f>
        <v>27281341.449719276</v>
      </c>
      <c r="AG15" s="15">
        <f t="shared" ref="AG15:AG16" si="18">IFERROR(IF(AND(AE15&lt;&gt;".",AF15&lt;&gt;"."),1/((1/AE15)+(1/AF15)),IF(AND(AE15&lt;&gt;".",AF15="."),1/((1/AE15)),IF(AND(AE15=".",AF15&lt;&gt;"."),1/((1/AF15)),IF(AND(AE15=".",AF15="."),".")))),".")</f>
        <v>191743.29846372633</v>
      </c>
      <c r="AH15" s="189">
        <f>AG15*(0.0000000000000028)*s_RadSpec!$AY15*s_RadSpec!$AF15</f>
        <v>4.1668173959240148E-11</v>
      </c>
      <c r="AI15" s="40">
        <f t="shared" si="2"/>
        <v>501.30208333333326</v>
      </c>
      <c r="AJ15" s="40">
        <f t="shared" si="3"/>
        <v>7.8481735159817351E-2</v>
      </c>
      <c r="AK15" s="18"/>
      <c r="AL15" s="15">
        <f>IFERROR((s_DL/(s_RadSpec!I15*s_IFW_res_adj)),".")</f>
        <v>65783.198313318804</v>
      </c>
      <c r="AM15" s="15" t="str">
        <f>IFERROR(IF(AND(s_RadSpec!C15=1,s_RadSpec!D15&lt;&gt;0),(s_DL/(s_RadSpec!H15*s_IFA_res_adj*s_K*s_RadSpec!D15)),"."),".")</f>
        <v>.</v>
      </c>
      <c r="AN15" s="15">
        <f>IFERROR((s_DL/(s_RadSpec!M15*(1/8760)*s_DFA_res_adj)),".")</f>
        <v>15223962.862566557</v>
      </c>
      <c r="AO15" s="15">
        <f>s_b2w!C15</f>
        <v>221500.1208714174</v>
      </c>
      <c r="AP15" s="15">
        <f t="shared" ref="AP15:AP16" si="19">(IF(AND(AL15&lt;&gt;".",AM15&lt;&gt;".",AN15&lt;&gt;".",AO15&lt;&gt;"."),1/((1/AL15)+(1/AM15)+(1/AN15)+(1/AO15)),IF(AND(AL15&lt;&gt;".",AM15&lt;&gt;".",AN15&lt;&gt;".",AO15="."), 1/((1/AL15)+(1/AM15)+(1/AN15)),IF(AND(AL15&lt;&gt;".",AM15&lt;&gt;".",AN15=".",AO15&lt;&gt;"."),1/((1/AL15)+(1/AM15)+(1/AO15)),IF(AND(AL15&lt;&gt;".",AM15=".",AN15&lt;&gt;".",AO15&lt;&gt;"."),1/((1/AL15)+(1/AN15)+(1/AO15)),IF(AND(AL15=".",AM15&lt;&gt;".",AN15&lt;&gt;".",AO15&lt;&gt;"."),1/((1/AM15)+(1/AN15)+(1/AO15)),IF(AND(AL15&lt;&gt;".",AM15&lt;&gt;".",AN15=".",AO15="."),1/((1/AL15)+(1/AM15)),IF(AND(AL15&lt;&gt;".",AM15=".",AN15&lt;&gt;".",AO15="."),1/((1/AL15)+(1/AN15)),IF(AND(AL15&lt;&gt;".",AM15=".",AN15=".",AO15&lt;&gt;"."),1/((1/AL15)+(1/AO15)),IF(AND(AL15=".",AM15=".",AN15&lt;&gt;".",AO15&lt;&gt;"."),1/((1/AN15)+(1/AO15)),IF(AND(AL15=".",AM15&lt;&gt;".",AN15=".",AO15&lt;&gt;"."),1/((1/AM15)+(1/AO15)),IF(AND(AL15=".",AM15&lt;&gt;".",AN15&lt;&gt;".",AO15="."),1/((1/AM15)+(1/AN15)),IF(AND(AL15&lt;&gt;".",AM15=".",AN15=".",AO15="."),1/((1/AL15)),IF(AND(AL15=".",AM15&lt;&gt;".",AN15=".",AO15="."),1/((1/AM15)),IF(AND(AL15=".",AM15=".",AN15&lt;&gt;".",AO15="."),1/((1/AN15)),IF(AND(AL15=".",AM15=".",AN15=".",AO15&lt;&gt;"."),1/((1/AO15)),IF(AND(AL15=".",AM15=".",AN15=".",AO15="."),".")))))))))))))))))</f>
        <v>50551.501355014159</v>
      </c>
      <c r="AQ15" s="189">
        <f>AP15*(0.0000000000000028)*s_RadSpec!$AY15*s_RadSpec!$AF15</f>
        <v>1.0985462173844774E-11</v>
      </c>
      <c r="AR15" s="40">
        <f t="shared" si="4"/>
        <v>1375</v>
      </c>
      <c r="AS15" s="40">
        <f>IF(s_RadSpec!D15&lt;&gt;"",s_C*s_IFA_res_adj*s_K*s_RadSpec!D15,0)</f>
        <v>0</v>
      </c>
      <c r="AT15" s="40">
        <f t="shared" si="5"/>
        <v>0.12557077625570776</v>
      </c>
      <c r="AU15" s="40">
        <f>s_b2w!AC15</f>
        <v>408.36048903703033</v>
      </c>
      <c r="AV15" s="18"/>
      <c r="AW15" s="15">
        <f>IFERROR(s_DL/(s_RadSpec!F15*s_EF_res*1*s_IRF_res*0.001*s_CF_res_fish),".")</f>
        <v>11960.581511512508</v>
      </c>
      <c r="AX15" s="189">
        <f>IFERROR(AW15*(0.0000000000028)*s_RadSpec!$AY15*s_RadSpec!$AF15,0)</f>
        <v>2.5991812755305062E-9</v>
      </c>
      <c r="AY15" s="40">
        <f t="shared" si="6"/>
        <v>7562.5</v>
      </c>
    </row>
    <row r="16" spans="1:51" x14ac:dyDescent="0.25">
      <c r="A16" s="44" t="s">
        <v>14</v>
      </c>
      <c r="B16" s="42" t="s">
        <v>1057</v>
      </c>
      <c r="C16" s="238"/>
      <c r="D16" s="15">
        <f>IFERROR(((s_DL/(s_RadSpec!E16*s_IFS_res_adj*(1/1000)))*1),".")</f>
        <v>437.96835240685505</v>
      </c>
      <c r="E16" s="15">
        <f>IFERROR(IF(A16="H-3",(s_DL/((s_RadSpec!H16*s_IFA_res_adj*(1/17)*1000))*1),(s_DL/((s_RadSpec!H16*s_IFA_res_adj*(1/s_PEF_wind)*1000))*1)),".")</f>
        <v>692481.68732784083</v>
      </c>
      <c r="F16" s="15">
        <f>IFERROR((s_DL/(s_RadSpec!G16*s_EF_res*(1/365)*1*s_RadSpec!R16*((s_ET_res_o*(1/24)*s_RadSpec!W16)+(s_ET_res_i*(1/24)*s_RadSpec!AB16))))*1,".")</f>
        <v>10156252695.580772</v>
      </c>
      <c r="G16" s="15">
        <f>s_b2s!C16</f>
        <v>9.7013700832175243</v>
      </c>
      <c r="H16" s="15">
        <f>s_dir!C16</f>
        <v>0.21898417620342756</v>
      </c>
      <c r="I16" s="15">
        <f t="shared" si="17"/>
        <v>9.4910033437777575</v>
      </c>
      <c r="J16" s="189">
        <f>IFERROR(I16*(0.0000000000028)*s_RadSpec!$AY16*s_RadSpec!$AF16,0)</f>
        <v>1.2389176124833734E-7</v>
      </c>
      <c r="K16" s="40">
        <f t="shared" si="0"/>
        <v>15.125</v>
      </c>
      <c r="L16" s="40">
        <f t="shared" si="1"/>
        <v>1.6181272791589674E-3</v>
      </c>
      <c r="M16" s="40">
        <f>IFERROR((s_C*s_EF_res*(1/365)*1*s_RadSpec!R16*((s_ET_res_o*(1/24)*s_RadSpec!W16)+(s_ET_res_i*(1/24)*s_RadSpec!AB16))),".")</f>
        <v>1.1765533268101753E-6</v>
      </c>
      <c r="N16" s="40">
        <f>s_b2s!AC16</f>
        <v>682.81812500000001</v>
      </c>
      <c r="O16" s="18"/>
      <c r="P16" s="15">
        <f>IFERROR((s_DL/(s_RadSpec!G16*s_EF_res*(1/365)*1*s_RadSpec!R16*((s_ET_res_o*(1/24)*s_RadSpec!W16)+(s_ET_res_i*(1/24)*s_RadSpec!AB16))))*1,".")</f>
        <v>10156252695.580772</v>
      </c>
      <c r="Q16" s="15">
        <f>IFERROR((s_DL/(s_RadSpec!N16*s_EF_res*(1/365)*1*s_RadSpec!S16*((s_ET_res_o*(1/24)*s_RadSpec!X16)+(s_ET_res_i*(1/24)*s_RadSpec!AC16))))*1,".")</f>
        <v>28452935520.47567</v>
      </c>
      <c r="R16" s="15">
        <f>IFERROR((s_DL/(s_RadSpec!O16*s_EF_res*(1/365)*1*s_RadSpec!T16*((s_ET_res_o*(1/24)*s_RadSpec!Y16)+(s_ET_res_i*(1/24)*s_RadSpec!AD16))))*1,".")</f>
        <v>11063712683.84836</v>
      </c>
      <c r="S16" s="15">
        <f>IFERROR((s_DL/(s_RadSpec!P16*s_EF_res*(1/365)*1*s_RadSpec!U16*((s_ET_res_o*(1/24)*s_RadSpec!Z16)+(s_ET_res_i*(1/24)*s_RadSpec!AE16))))*1,".")</f>
        <v>10922291021.461842</v>
      </c>
      <c r="T16" s="15">
        <f>IFERROR((s_DL/(s_RadSpec!L16*s_EF_res*(1/365)*1*s_RadSpec!Q16*((s_ET_res_o*(1/24)*s_RadSpec!V16)+(s_ET_res_i*(1/24)*s_RadSpec!AA16))))*1,".")</f>
        <v>348814609693.77307</v>
      </c>
      <c r="U16" s="189">
        <f>IFERROR(P16*(0.0000000000028)*s_RadSpec!$AY16*s_RadSpec!$AF16,0)</f>
        <v>132.57566018703318</v>
      </c>
      <c r="V16" s="189">
        <f>IFERROR(Q16*(0.0000000000028)*s_RadSpec!$AY16*s_RadSpec!$AF16,0)</f>
        <v>371.41323911008124</v>
      </c>
      <c r="W16" s="189">
        <f>IFERROR(R16*(0.0000000000028)*s_RadSpec!$AY16*s_RadSpec!$AF16,0)</f>
        <v>144.42127988988295</v>
      </c>
      <c r="X16" s="189">
        <f>IFERROR(S16*(0.0000000000028)*s_RadSpec!$AY16*s_RadSpec!$AF16,0)</f>
        <v>142.5752180777543</v>
      </c>
      <c r="Y16" s="189">
        <f>IFERROR(T16*(0.0000000000028)*s_RadSpec!$AY16*s_RadSpec!$AF16,0)</f>
        <v>4553.2863890986355</v>
      </c>
      <c r="Z16" s="40">
        <f>IFERROR((s_C*s_EF_res*(1/365)*1*s_RadSpec!R16*((s_ET_res_o*(1/24)*s_RadSpec!W16)+(s_ET_res_i*(1/24)*s_RadSpec!AB16))),".")</f>
        <v>1.1765533268101753E-6</v>
      </c>
      <c r="AA16" s="40">
        <f>IFERROR((s_C*s_EF_res*(1/365)*1*s_RadSpec!S16*((s_ET_res_o*(1/24)*s_RadSpec!X16)+(s_ET_res_i*(1/24)*s_RadSpec!AC16))),".")</f>
        <v>6.6062661060626578E-7</v>
      </c>
      <c r="AB16" s="40">
        <f>IFERROR((s_C*s_EF_res*(1/365)*1*s_RadSpec!T16*((s_ET_res_o*(1/24)*s_RadSpec!Y16)+(s_ET_res_i*(1/24)*s_RadSpec!AD16))),".")</f>
        <v>1.0996881941873374E-6</v>
      </c>
      <c r="AC16" s="40">
        <f>IFERROR((s_C*s_EF_res*(1/365)*1*s_RadSpec!U16*((s_ET_res_o*(1/24)*s_RadSpec!Z16)+(s_ET_res_i*(1/24)*s_RadSpec!AE16))),".")</f>
        <v>1.0940353881278531E-6</v>
      </c>
      <c r="AD16" s="40">
        <f>IFERROR((s_C*s_EF_res*(1/365)*1*s_RadSpec!Q16*((s_ET_res_o*(1/24)*s_RadSpec!V16)+(s_ET_res_i*(1/24)*s_RadSpec!AA16))),".")</f>
        <v>2.8253424657534244E-8</v>
      </c>
      <c r="AE16" s="15">
        <f>IFERROR((s_DL/(s_RadSpec!H16*s_IFA_res_adj)),".")</f>
        <v>2.2352261158231306</v>
      </c>
      <c r="AF16" s="15">
        <f>IFERROR((s_DL/(s_RadSpec!K16*s_EF_res*(1/365)*1*s_ET_res*(1/24)*s_GSF_a)),".")</f>
        <v>57922168.683055773</v>
      </c>
      <c r="AG16" s="15">
        <f t="shared" si="18"/>
        <v>2.2352260295653865</v>
      </c>
      <c r="AH16" s="189">
        <f>AG16*(0.0000000000000028)*s_RadSpec!$AY16*s_RadSpec!$AF16</f>
        <v>2.9177746499534728E-11</v>
      </c>
      <c r="AI16" s="40">
        <f t="shared" si="2"/>
        <v>501.30208333333326</v>
      </c>
      <c r="AJ16" s="40">
        <f t="shared" si="3"/>
        <v>7.8481735159817351E-2</v>
      </c>
      <c r="AK16" s="18"/>
      <c r="AL16" s="15">
        <f>IFERROR((s_DL/(s_RadSpec!I16*s_IFW_res_adj)),".")</f>
        <v>4.8176518764754066</v>
      </c>
      <c r="AM16" s="15" t="str">
        <f>IFERROR(IF(AND(s_RadSpec!C16=1,s_RadSpec!D16&lt;&gt;0),(s_DL/(s_RadSpec!H16*s_IFA_res_adj*s_K*s_RadSpec!D16)),"."),".")</f>
        <v>.</v>
      </c>
      <c r="AN16" s="15">
        <f>IFERROR((s_DL/(s_RadSpec!M16*(1/8760)*s_DFA_res_adj)),".")</f>
        <v>15642971.01474729</v>
      </c>
      <c r="AO16" s="15">
        <f>s_b2w!C16</f>
        <v>16.221626499112627</v>
      </c>
      <c r="AP16" s="15">
        <f t="shared" si="19"/>
        <v>3.7144872267358551</v>
      </c>
      <c r="AQ16" s="189">
        <f>AP16*(0.0000000000000028)*s_RadSpec!$AY16*s_RadSpec!$AF16</f>
        <v>4.8487430462919159E-11</v>
      </c>
      <c r="AR16" s="40">
        <f t="shared" si="4"/>
        <v>1375</v>
      </c>
      <c r="AS16" s="40">
        <f>IF(s_RadSpec!D16&lt;&gt;"",s_C*s_IFA_res_adj*s_K*s_RadSpec!D16,0)</f>
        <v>0</v>
      </c>
      <c r="AT16" s="40">
        <f t="shared" si="5"/>
        <v>0.12557077625570776</v>
      </c>
      <c r="AU16" s="40">
        <f>s_b2w!AC16</f>
        <v>408.36048903703033</v>
      </c>
      <c r="AV16" s="18"/>
      <c r="AW16" s="15">
        <f>IFERROR(s_DL/(s_RadSpec!F16*s_EF_res*1*s_IRF_res*0.001*s_CF_res_fish),".")</f>
        <v>0.87593670481371011</v>
      </c>
      <c r="AX16" s="189">
        <f>IFERROR(AW16*(0.0000000000028)*s_RadSpec!$AY16*s_RadSpec!$AF16,0)</f>
        <v>1.1434127369956245E-8</v>
      </c>
      <c r="AY16" s="40">
        <f t="shared" si="6"/>
        <v>7562.5</v>
      </c>
    </row>
    <row r="17" spans="1:51" x14ac:dyDescent="0.25">
      <c r="A17" s="44" t="s">
        <v>15</v>
      </c>
      <c r="B17" s="42" t="s">
        <v>1057</v>
      </c>
      <c r="C17" s="238"/>
      <c r="D17" s="15">
        <f>IFERROR(((s_DL/(s_RadSpec!E17*s_IFS_res_adj*(1/1000)))*1),".")</f>
        <v>2244862.911834131</v>
      </c>
      <c r="E17" s="15">
        <f>IFERROR(IF(A17="H-3",(s_DL/((s_RadSpec!H17*s_IFA_res_adj*(1/17)*1000))*1),(s_DL/((s_RadSpec!H17*s_IFA_res_adj*(1/s_PEF_wind)*1000))*1)),".")</f>
        <v>331544182.96076089</v>
      </c>
      <c r="F17" s="15">
        <f>IFERROR((s_DL/(s_RadSpec!G17*s_EF_res*(1/365)*1*s_RadSpec!R17*((s_ET_res_o*(1/24)*s_RadSpec!W17)+(s_ET_res_i*(1/24)*s_RadSpec!AB17))))*1,".")</f>
        <v>1553.9433120302724</v>
      </c>
      <c r="G17" s="15">
        <f>s_b2s!C17</f>
        <v>49725.615501918954</v>
      </c>
      <c r="H17" s="15">
        <f>s_dir!C17</f>
        <v>1122.4314559170657</v>
      </c>
      <c r="I17" s="15">
        <f t="shared" si="17"/>
        <v>1505.8359676726234</v>
      </c>
      <c r="J17" s="189">
        <f>IFERROR(I17*(0.0000000000028)*s_RadSpec!$AY17*s_RadSpec!$AF17,0)</f>
        <v>4.6007528989780933E-11</v>
      </c>
      <c r="K17" s="40">
        <f t="shared" si="0"/>
        <v>15.125</v>
      </c>
      <c r="L17" s="40">
        <f t="shared" si="1"/>
        <v>1.6181272791589674E-3</v>
      </c>
      <c r="M17" s="40">
        <f>IFERROR((s_C*s_EF_res*(1/365)*1*s_RadSpec!R17*((s_ET_res_o*(1/24)*s_RadSpec!W17)+(s_ET_res_i*(1/24)*s_RadSpec!AB17))),".")</f>
        <v>1.2797139403706694E-2</v>
      </c>
      <c r="N17" s="40">
        <f>s_b2s!AC17</f>
        <v>682.81812500000001</v>
      </c>
      <c r="O17" s="18"/>
      <c r="P17" s="15">
        <f>IFERROR((s_DL/(s_RadSpec!G17*s_EF_res*(1/365)*1*s_RadSpec!R17*((s_ET_res_o*(1/24)*s_RadSpec!W17)+(s_ET_res_i*(1/24)*s_RadSpec!AB17))))*1,".")</f>
        <v>1553.9433120302724</v>
      </c>
      <c r="Q17" s="15">
        <f>IFERROR((s_DL/(s_RadSpec!N17*s_EF_res*(1/365)*1*s_RadSpec!S17*((s_ET_res_o*(1/24)*s_RadSpec!X17)+(s_ET_res_i*(1/24)*s_RadSpec!AC17))))*1,".")</f>
        <v>12185.072927758523</v>
      </c>
      <c r="R17" s="15">
        <f>IFERROR((s_DL/(s_RadSpec!O17*s_EF_res*(1/365)*1*s_RadSpec!T17*((s_ET_res_o*(1/24)*s_RadSpec!Y17)+(s_ET_res_i*(1/24)*s_RadSpec!AD17))))*1,".")</f>
        <v>3255.4644449062798</v>
      </c>
      <c r="S17" s="15">
        <f>IFERROR((s_DL/(s_RadSpec!P17*s_EF_res*(1/365)*1*s_RadSpec!U17*((s_ET_res_o*(1/24)*s_RadSpec!Z17)+(s_ET_res_i*(1/24)*s_RadSpec!AE17))))*1,".")</f>
        <v>1946.7828161421853</v>
      </c>
      <c r="T17" s="15">
        <f>IFERROR((s_DL/(s_RadSpec!L17*s_EF_res*(1/365)*1*s_RadSpec!Q17*((s_ET_res_o*(1/24)*s_RadSpec!V17)+(s_ET_res_i*(1/24)*s_RadSpec!AA17))))*1,".")</f>
        <v>23030.41868309625</v>
      </c>
      <c r="U17" s="189">
        <f>IFERROR(P17*(0.0000000000028)*s_RadSpec!$AY17*s_RadSpec!$AF17,0)</f>
        <v>4.7477343821987868E-11</v>
      </c>
      <c r="V17" s="189">
        <f>IFERROR(Q17*(0.0000000000028)*s_RadSpec!$AY17*s_RadSpec!$AF17,0)</f>
        <v>3.7228828903117525E-10</v>
      </c>
      <c r="W17" s="189">
        <f>IFERROR(R17*(0.0000000000028)*s_RadSpec!$AY17*s_RadSpec!$AF17,0)</f>
        <v>9.9463605624798589E-11</v>
      </c>
      <c r="X17" s="189">
        <f>IFERROR(S17*(0.0000000000028)*s_RadSpec!$AY17*s_RadSpec!$AF17,0)</f>
        <v>5.9479696841682294E-11</v>
      </c>
      <c r="Y17" s="189">
        <f>IFERROR(T17*(0.0000000000028)*s_RadSpec!$AY17*s_RadSpec!$AF17,0)</f>
        <v>7.0364414050156334E-10</v>
      </c>
      <c r="Z17" s="40">
        <f>IFERROR((s_C*s_EF_res*(1/365)*1*s_RadSpec!R17*((s_ET_res_o*(1/24)*s_RadSpec!W17)+(s_ET_res_i*(1/24)*s_RadSpec!AB17))),".")</f>
        <v>1.2797139403706694E-2</v>
      </c>
      <c r="AA17" s="40">
        <f>IFERROR((s_C*s_EF_res*(1/365)*1*s_RadSpec!S17*((s_ET_res_o*(1/24)*s_RadSpec!X17)+(s_ET_res_i*(1/24)*s_RadSpec!AC17))),".")</f>
        <v>7.322236381013059E-3</v>
      </c>
      <c r="AB17" s="40">
        <f>IFERROR((s_C*s_EF_res*(1/365)*1*s_RadSpec!T17*((s_ET_res_o*(1/24)*s_RadSpec!Y17)+(s_ET_res_i*(1/24)*s_RadSpec!AD17))),".")</f>
        <v>9.718736622431506E-3</v>
      </c>
      <c r="AC17" s="40">
        <f>IFERROR((s_C*s_EF_res*(1/365)*1*s_RadSpec!U17*((s_ET_res_o*(1/24)*s_RadSpec!Z17)+(s_ET_res_i*(1/24)*s_RadSpec!AE17))),".")</f>
        <v>1.0929366438356168E-2</v>
      </c>
      <c r="AD17" s="40">
        <f>IFERROR((s_C*s_EF_res*(1/365)*1*s_RadSpec!Q17*((s_ET_res_o*(1/24)*s_RadSpec!V17)+(s_ET_res_i*(1/24)*s_RadSpec!AA17))),".")</f>
        <v>3.8213550484839159E-3</v>
      </c>
      <c r="AE17" s="15">
        <f>IFERROR((s_DL/(s_RadSpec!H17*s_IFA_res_adj)),".")</f>
        <v>1070.1744607324008</v>
      </c>
      <c r="AF17" s="15">
        <f>IFERROR((s_DL/(s_RadSpec!K17*s_EF_res*(1/365)*1*s_ET_res*(1/24)*s_GSF_a)),".")</f>
        <v>245777.85089837183</v>
      </c>
      <c r="AG17" s="15">
        <f>IFERROR(IF(AND(AE17&lt;&gt;".",AF17&lt;&gt;"."),1/((1/AE17)+(1/AF17)),IF(AND(AE17&lt;&gt;".",AF17="."),1/((1/AE17)),IF(AND(AE17=".",AF17&lt;&gt;"."),1/((1/AF17)),IF(AND(AE17=".",AF17="."),".")))),".")</f>
        <v>1065.5348717596401</v>
      </c>
      <c r="AH17" s="189">
        <f>AG17*(0.0000000000000028)*s_RadSpec!$AY17*s_RadSpec!$AF17</f>
        <v>3.2555090696812149E-14</v>
      </c>
      <c r="AI17" s="40">
        <f t="shared" si="2"/>
        <v>501.30208333333326</v>
      </c>
      <c r="AJ17" s="40">
        <f t="shared" si="3"/>
        <v>7.8481735159817351E-2</v>
      </c>
      <c r="AK17" s="18"/>
      <c r="AL17" s="15">
        <f>IFERROR((s_DL/(s_RadSpec!I17*s_IFW_res_adj)),".")</f>
        <v>24693.492030175446</v>
      </c>
      <c r="AM17" s="15">
        <f>IFERROR(IF(AND(s_RadSpec!C17=1,s_RadSpec!D17&lt;&gt;0),(s_DL/(s_RadSpec!H17*s_IFA_res_adj*s_K*s_RadSpec!D17)),"."),".")</f>
        <v>12404.49794598369</v>
      </c>
      <c r="AN17" s="15">
        <f>IFERROR((s_DL/(s_RadSpec!M17*(1/8760)*s_DFA_res_adj)),".")</f>
        <v>70750.366830184837</v>
      </c>
      <c r="AO17" s="15">
        <f>s_b2w!C17</f>
        <v>83146.025271833569</v>
      </c>
      <c r="AP17" s="15">
        <f>(IF(AND(AL17&lt;&gt;".",AM17&lt;&gt;".",AN17&lt;&gt;".",AO17&lt;&gt;"."),1/((1/AL17)+(1/AM17)+(1/AN17)+(1/AO17)),IF(AND(AL17&lt;&gt;".",AM17&lt;&gt;".",AN17&lt;&gt;".",AO17="."), 1/((1/AL17)+(1/AM17)+(1/AN17)),IF(AND(AL17&lt;&gt;".",AM17&lt;&gt;".",AN17=".",AO17&lt;&gt;"."),1/((1/AL17)+(1/AM17)+(1/AO17)),IF(AND(AL17&lt;&gt;".",AM17=".",AN17&lt;&gt;".",AO17&lt;&gt;"."),1/((1/AL17)+(1/AN17)+(1/AO17)),IF(AND(AL17=".",AM17&lt;&gt;".",AN17&lt;&gt;".",AO17&lt;&gt;"."),1/((1/AM17)+(1/AN17)+(1/AO17)),IF(AND(AL17&lt;&gt;".",AM17&lt;&gt;".",AN17=".",AO17="."),1/((1/AL17)+(1/AM17)),IF(AND(AL17&lt;&gt;".",AM17=".",AN17&lt;&gt;".",AO17="."),1/((1/AL17)+(1/AN17)),IF(AND(AL17&lt;&gt;".",AM17=".",AN17=".",AO17&lt;&gt;"."),1/((1/AL17)+(1/AO17)),IF(AND(AL17=".",AM17=".",AN17&lt;&gt;".",AO17&lt;&gt;"."),1/((1/AN17)+(1/AO17)),IF(AND(AL17=".",AM17&lt;&gt;".",AN17=".",AO17&lt;&gt;"."),1/((1/AM17)+(1/AO17)),IF(AND(AL17=".",AM17&lt;&gt;".",AN17&lt;&gt;".",AO17="."),1/((1/AM17)+(1/AN17)),IF(AND(AL17&lt;&gt;".",AM17=".",AN17=".",AO17="."),1/((1/AL17)),IF(AND(AL17=".",AM17&lt;&gt;".",AN17=".",AO17="."),1/((1/AM17)),IF(AND(AL17=".",AM17=".",AN17&lt;&gt;".",AO17="."),1/((1/AN17)),IF(AND(AL17=".",AM17=".",AN17=".",AO17&lt;&gt;"."),1/((1/AO17)),IF(AND(AL17=".",AM17=".",AN17=".",AO17="."),".")))))))))))))))))</f>
        <v>6790.080714620859</v>
      </c>
      <c r="AQ17" s="189">
        <f>AP17*(0.0000000000000028)*s_RadSpec!$AY17*s_RadSpec!$AF17</f>
        <v>2.0745608554144184E-13</v>
      </c>
      <c r="AR17" s="40">
        <f t="shared" si="4"/>
        <v>1375</v>
      </c>
      <c r="AS17" s="40">
        <f>IF(s_RadSpec!D17&lt;&gt;"",s_C*s_IFA_res_adj*s_K*s_RadSpec!D17,0)</f>
        <v>43.248883512369787</v>
      </c>
      <c r="AT17" s="40">
        <f t="shared" si="5"/>
        <v>0.12557077625570776</v>
      </c>
      <c r="AU17" s="40">
        <f>s_b2w!AC17</f>
        <v>408.36048903703033</v>
      </c>
      <c r="AV17" s="18"/>
      <c r="AW17" s="15">
        <f>IFERROR(s_DL/(s_RadSpec!F17*s_EF_res*1*s_IRF_res*0.001*s_CF_res_fish),".")</f>
        <v>4489.7258236682628</v>
      </c>
      <c r="AX17" s="189">
        <f>IFERROR(AW17*(0.0000000000028)*s_RadSpec!$AY17*s_RadSpec!$AF17,0)</f>
        <v>1.3717376621561289E-10</v>
      </c>
      <c r="AY17" s="40">
        <f t="shared" si="6"/>
        <v>7562.5</v>
      </c>
    </row>
    <row r="18" spans="1:51" x14ac:dyDescent="0.25">
      <c r="A18" s="44" t="s">
        <v>16</v>
      </c>
      <c r="B18" s="42" t="s">
        <v>1057</v>
      </c>
      <c r="C18" s="238"/>
      <c r="D18" s="15">
        <f>IFERROR(((s_DL/(s_RadSpec!E18*s_IFS_res_adj*(1/1000)))*1),".")</f>
        <v>255.27298254570982</v>
      </c>
      <c r="E18" s="15">
        <f>IFERROR(IF(A18="H-3",(s_DL/((s_RadSpec!H18*s_IFA_res_adj*(1/17)*1000))*1),(s_DL/((s_RadSpec!H18*s_IFA_res_adj*(1/s_PEF_wind)*1000))*1)),".")</f>
        <v>892236.02021087182</v>
      </c>
      <c r="F18" s="15">
        <f>IFERROR((s_DL/(s_RadSpec!G18*s_EF_res*(1/365)*1*s_RadSpec!R18*((s_ET_res_o*(1/24)*s_RadSpec!W18)+(s_ET_res_i*(1/24)*s_RadSpec!AB18))))*1,".")</f>
        <v>17637150.232935164</v>
      </c>
      <c r="G18" s="15">
        <f>s_b2s!C18</f>
        <v>7.5479888393172621</v>
      </c>
      <c r="H18" s="15">
        <f>s_dir!C18</f>
        <v>0.12763649127285492</v>
      </c>
      <c r="I18" s="15">
        <f t="shared" si="17"/>
        <v>7.331153904636424</v>
      </c>
      <c r="J18" s="189">
        <f>IFERROR(I18*(0.0000000000028)*s_RadSpec!$AY18*s_RadSpec!$AF18,0)</f>
        <v>1.634246527650098E-9</v>
      </c>
      <c r="K18" s="40">
        <f t="shared" si="0"/>
        <v>15.125</v>
      </c>
      <c r="L18" s="40">
        <f t="shared" si="1"/>
        <v>1.6181272791589674E-3</v>
      </c>
      <c r="M18" s="40">
        <f>IFERROR((s_C*s_EF_res*(1/365)*1*s_RadSpec!R18*((s_ET_res_o*(1/24)*s_RadSpec!W18)+(s_ET_res_i*(1/24)*s_RadSpec!AB18))),".")</f>
        <v>2.512625595920584E-2</v>
      </c>
      <c r="N18" s="40">
        <f>s_b2s!AC18</f>
        <v>511.52749999999997</v>
      </c>
      <c r="O18" s="18"/>
      <c r="P18" s="15">
        <f>IFERROR((s_DL/(s_RadSpec!G18*s_EF_res*(1/365)*1*s_RadSpec!R18*((s_ET_res_o*(1/24)*s_RadSpec!W18)+(s_ET_res_i*(1/24)*s_RadSpec!AB18))))*1,".")</f>
        <v>17637150.232935164</v>
      </c>
      <c r="Q18" s="15">
        <f>IFERROR((s_DL/(s_RadSpec!N18*s_EF_res*(1/365)*1*s_RadSpec!S18*((s_ET_res_o*(1/24)*s_RadSpec!X18)+(s_ET_res_i*(1/24)*s_RadSpec!AC18))))*1,".")</f>
        <v>179853888.19177029</v>
      </c>
      <c r="R18" s="15">
        <f>IFERROR((s_DL/(s_RadSpec!O18*s_EF_res*(1/365)*1*s_RadSpec!T18*((s_ET_res_o*(1/24)*s_RadSpec!Y18)+(s_ET_res_i*(1/24)*s_RadSpec!AD18))))*1,".")</f>
        <v>43932867.045393184</v>
      </c>
      <c r="S18" s="15">
        <f>IFERROR((s_DL/(s_RadSpec!P18*s_EF_res*(1/365)*1*s_RadSpec!U18*((s_ET_res_o*(1/24)*s_RadSpec!Z18)+(s_ET_res_i*(1/24)*s_RadSpec!AE18))))*1,".")</f>
        <v>23163110.588672746</v>
      </c>
      <c r="T18" s="15">
        <f>IFERROR((s_DL/(s_RadSpec!L18*s_EF_res*(1/365)*1*s_RadSpec!Q18*((s_ET_res_o*(1/24)*s_RadSpec!V18)+(s_ET_res_i*(1/24)*s_RadSpec!AA18))))*1,".")</f>
        <v>310492341.61447906</v>
      </c>
      <c r="U18" s="189">
        <f>IFERROR(P18*(0.0000000000028)*s_RadSpec!$AY18*s_RadSpec!$AF18,0)</f>
        <v>3.9316391254027097E-3</v>
      </c>
      <c r="V18" s="189">
        <f>IFERROR(Q18*(0.0000000000028)*s_RadSpec!$AY18*s_RadSpec!$AF18,0)</f>
        <v>4.0092677917439833E-2</v>
      </c>
      <c r="W18" s="189">
        <f>IFERROR(R18*(0.0000000000028)*s_RadSpec!$AY18*s_RadSpec!$AF18,0)</f>
        <v>9.7934290225772987E-3</v>
      </c>
      <c r="X18" s="189">
        <f>IFERROR(S18*(0.0000000000028)*s_RadSpec!$AY18*s_RadSpec!$AF18,0)</f>
        <v>5.1634754284961316E-3</v>
      </c>
      <c r="Y18" s="189">
        <f>IFERROR(T18*(0.0000000000028)*s_RadSpec!$AY18*s_RadSpec!$AF18,0)</f>
        <v>6.921434711996749E-2</v>
      </c>
      <c r="Z18" s="40">
        <f>IFERROR((s_C*s_EF_res*(1/365)*1*s_RadSpec!R18*((s_ET_res_o*(1/24)*s_RadSpec!W18)+(s_ET_res_i*(1/24)*s_RadSpec!AB18))),".")</f>
        <v>2.512625595920584E-2</v>
      </c>
      <c r="AA18" s="40">
        <f>IFERROR((s_C*s_EF_res*(1/365)*1*s_RadSpec!S18*((s_ET_res_o*(1/24)*s_RadSpec!X18)+(s_ET_res_i*(1/24)*s_RadSpec!AC18))),".")</f>
        <v>1.269830311398568E-2</v>
      </c>
      <c r="AB18" s="40">
        <f>IFERROR((s_C*s_EF_res*(1/365)*1*s_RadSpec!T18*((s_ET_res_o*(1/24)*s_RadSpec!Y18)+(s_ET_res_i*(1/24)*s_RadSpec!AD18))),".")</f>
        <v>1.8132776514924922E-2</v>
      </c>
      <c r="AC18" s="40">
        <f>IFERROR((s_C*s_EF_res*(1/365)*1*s_RadSpec!U18*((s_ET_res_o*(1/24)*s_RadSpec!Z18)+(s_ET_res_i*(1/24)*s_RadSpec!AE18))),".")</f>
        <v>2.1885795116140552E-2</v>
      </c>
      <c r="AD18" s="40">
        <f>IFERROR((s_C*s_EF_res*(1/365)*1*s_RadSpec!Q18*((s_ET_res_o*(1/24)*s_RadSpec!V18)+(s_ET_res_i*(1/24)*s_RadSpec!AA18))),".")</f>
        <v>7.4703970280938026E-3</v>
      </c>
      <c r="AE18" s="15">
        <f>IFERROR((s_DL/(s_RadSpec!H18*s_IFA_res_adj)),".")</f>
        <v>2.8800028800028801</v>
      </c>
      <c r="AF18" s="15">
        <f>IFERROR((s_DL/(s_RadSpec!K18*s_EF_res*(1/365)*1*s_ET_res*(1/24)*s_GSF_a)),".")</f>
        <v>6130638528.026804</v>
      </c>
      <c r="AG18" s="15">
        <f t="shared" ref="AG18" si="20">IFERROR(IF(AND(AE18&lt;&gt;".",AF18&lt;&gt;"."),1/((1/AE18)+(1/AF18)),IF(AND(AE18&lt;&gt;".",AF18="."),1/((1/AE18)),IF(AND(AE18=".",AF18&lt;&gt;"."),1/((1/AF18)),IF(AND(AE18=".",AF18="."),".")))),".")</f>
        <v>2.8800028786499352</v>
      </c>
      <c r="AH18" s="189">
        <f>AG18*(0.0000000000000028)*s_RadSpec!$AY18*s_RadSpec!$AF18</f>
        <v>6.4200462373042502E-13</v>
      </c>
      <c r="AI18" s="40">
        <f t="shared" si="2"/>
        <v>501.30208333333326</v>
      </c>
      <c r="AJ18" s="40">
        <f t="shared" si="3"/>
        <v>7.8481735159817351E-2</v>
      </c>
      <c r="AK18" s="18"/>
      <c r="AL18" s="15">
        <f>IFERROR((s_DL/(s_RadSpec!I18*s_IFW_res_adj)),".")</f>
        <v>2.8080028080028083</v>
      </c>
      <c r="AM18" s="15" t="str">
        <f>IFERROR(IF(AND(s_RadSpec!C18=1,s_RadSpec!D18&lt;&gt;0),(s_DL/(s_RadSpec!H18*s_IFA_res_adj*s_K*s_RadSpec!D18)),"."),".")</f>
        <v>.</v>
      </c>
      <c r="AN18" s="15">
        <f>IFERROR((s_DL/(s_RadSpec!M18*(1/8760)*s_DFA_res_adj)),".")</f>
        <v>1766926259.6968441</v>
      </c>
      <c r="AO18" s="15">
        <f>s_b2w!C18</f>
        <v>10.314578800703334</v>
      </c>
      <c r="AP18" s="15">
        <f t="shared" ref="AP18" si="21">(IF(AND(AL18&lt;&gt;".",AM18&lt;&gt;".",AN18&lt;&gt;".",AO18&lt;&gt;"."),1/((1/AL18)+(1/AM18)+(1/AN18)+(1/AO18)),IF(AND(AL18&lt;&gt;".",AM18&lt;&gt;".",AN18&lt;&gt;".",AO18="."), 1/((1/AL18)+(1/AM18)+(1/AN18)),IF(AND(AL18&lt;&gt;".",AM18&lt;&gt;".",AN18=".",AO18&lt;&gt;"."),1/((1/AL18)+(1/AM18)+(1/AO18)),IF(AND(AL18&lt;&gt;".",AM18=".",AN18&lt;&gt;".",AO18&lt;&gt;"."),1/((1/AL18)+(1/AN18)+(1/AO18)),IF(AND(AL18=".",AM18&lt;&gt;".",AN18&lt;&gt;".",AO18&lt;&gt;"."),1/((1/AM18)+(1/AN18)+(1/AO18)),IF(AND(AL18&lt;&gt;".",AM18&lt;&gt;".",AN18=".",AO18="."),1/((1/AL18)+(1/AM18)),IF(AND(AL18&lt;&gt;".",AM18=".",AN18&lt;&gt;".",AO18="."),1/((1/AL18)+(1/AN18)),IF(AND(AL18&lt;&gt;".",AM18=".",AN18=".",AO18&lt;&gt;"."),1/((1/AL18)+(1/AO18)),IF(AND(AL18=".",AM18=".",AN18&lt;&gt;".",AO18&lt;&gt;"."),1/((1/AN18)+(1/AO18)),IF(AND(AL18=".",AM18&lt;&gt;".",AN18=".",AO18&lt;&gt;"."),1/((1/AM18)+(1/AO18)),IF(AND(AL18=".",AM18&lt;&gt;".",AN18&lt;&gt;".",AO18="."),1/((1/AM18)+(1/AN18)),IF(AND(AL18&lt;&gt;".",AM18=".",AN18=".",AO18="."),1/((1/AL18)),IF(AND(AL18=".",AM18&lt;&gt;".",AN18=".",AO18="."),1/((1/AM18)),IF(AND(AL18=".",AM18=".",AN18&lt;&gt;".",AO18="."),1/((1/AN18)),IF(AND(AL18=".",AM18=".",AN18=".",AO18&lt;&gt;"."),1/((1/AO18)),IF(AND(AL18=".",AM18=".",AN18=".",AO18="."),".")))))))))))))))))</f>
        <v>2.2071393467537068</v>
      </c>
      <c r="AQ18" s="189">
        <f>AP18*(0.0000000000000028)*s_RadSpec!$AY18*s_RadSpec!$AF18</f>
        <v>4.9201119774487041E-13</v>
      </c>
      <c r="AR18" s="40">
        <f t="shared" si="4"/>
        <v>1375</v>
      </c>
      <c r="AS18" s="40">
        <f>IF(s_RadSpec!D18&lt;&gt;"",s_C*s_IFA_res_adj*s_K*s_RadSpec!D18,0)</f>
        <v>0</v>
      </c>
      <c r="AT18" s="40">
        <f t="shared" si="5"/>
        <v>0.12557077625570776</v>
      </c>
      <c r="AU18" s="40">
        <f>s_b2w!AC18</f>
        <v>374.32491773106489</v>
      </c>
      <c r="AV18" s="18"/>
      <c r="AW18" s="15">
        <f>IFERROR(s_DL/(s_RadSpec!F18*s_EF_res*1*s_IRF_res*0.001*s_CF_res_fish),".")</f>
        <v>0.5105459650914197</v>
      </c>
      <c r="AX18" s="189">
        <f>IFERROR(AW18*(0.0000000000028)*s_RadSpec!$AY18*s_RadSpec!$AF18,0)</f>
        <v>1.1380991062385825E-10</v>
      </c>
      <c r="AY18" s="40">
        <f t="shared" si="6"/>
        <v>7562.5</v>
      </c>
    </row>
    <row r="19" spans="1:51" x14ac:dyDescent="0.25">
      <c r="A19" s="44" t="s">
        <v>17</v>
      </c>
      <c r="B19" s="42" t="s">
        <v>1057</v>
      </c>
      <c r="C19" s="42"/>
      <c r="D19" s="15" t="str">
        <f>IFERROR(((s_DL/(s_RadSpec!E19*s_IFS_res_adj*(1/1000)))*1),".")</f>
        <v>.</v>
      </c>
      <c r="E19" s="15" t="str">
        <f>IFERROR(IF(A19="H-3",(s_DL/((s_RadSpec!H19*s_IFA_res_adj*(1/17)*1000))*1),(s_DL/((s_RadSpec!H19*s_IFA_res_adj*(1/s_PEF_wind)*1000))*1)),".")</f>
        <v>.</v>
      </c>
      <c r="F19" s="15">
        <f>IFERROR((s_DL/(s_RadSpec!G19*s_EF_res*(1/365)*1*s_RadSpec!R19*((s_ET_res_o*(1/24)*s_RadSpec!W19)+(s_ET_res_i*(1/24)*s_RadSpec!AB19))))*1,".")</f>
        <v>4685385.2124159075</v>
      </c>
      <c r="G19" s="15" t="str">
        <f>s_b2s!C19</f>
        <v>.</v>
      </c>
      <c r="H19" s="15" t="str">
        <f>s_dir!C19</f>
        <v>.</v>
      </c>
      <c r="I19" s="15">
        <f t="shared" si="17"/>
        <v>4685385.2124159075</v>
      </c>
      <c r="J19" s="189">
        <f>IFERROR(I19*(0.0000000000028)*s_RadSpec!$AY19*s_RadSpec!$AF19,0)</f>
        <v>3.7215651036518063E-16</v>
      </c>
      <c r="K19" s="40">
        <f t="shared" si="0"/>
        <v>15.125</v>
      </c>
      <c r="L19" s="40">
        <f t="shared" si="1"/>
        <v>1.6181272791589674E-3</v>
      </c>
      <c r="M19" s="40">
        <f>IFERROR((s_C*s_EF_res*(1/365)*1*s_RadSpec!R19*((s_ET_res_o*(1/24)*s_RadSpec!W19)+(s_ET_res_i*(1/24)*s_RadSpec!AB19))),".")</f>
        <v>2.4624070450097846E-2</v>
      </c>
      <c r="N19" s="40">
        <f>s_b2s!AC19</f>
        <v>511.52749999999997</v>
      </c>
      <c r="O19" s="18"/>
      <c r="P19" s="15">
        <f>IFERROR((s_DL/(s_RadSpec!G19*s_EF_res*(1/365)*1*s_RadSpec!R19*((s_ET_res_o*(1/24)*s_RadSpec!W19)+(s_ET_res_i*(1/24)*s_RadSpec!AB19))))*1,".")</f>
        <v>4685385.2124159075</v>
      </c>
      <c r="Q19" s="15">
        <f>IFERROR((s_DL/(s_RadSpec!N19*s_EF_res*(1/365)*1*s_RadSpec!S19*((s_ET_res_o*(1/24)*s_RadSpec!X19)+(s_ET_res_i*(1/24)*s_RadSpec!AC19))))*1,".")</f>
        <v>47698634.567550734</v>
      </c>
      <c r="R19" s="15">
        <f>IFERROR((s_DL/(s_RadSpec!O19*s_EF_res*(1/365)*1*s_RadSpec!T19*((s_ET_res_o*(1/24)*s_RadSpec!Y19)+(s_ET_res_i*(1/24)*s_RadSpec!AD19))))*1,".")</f>
        <v>11549632.577172862</v>
      </c>
      <c r="S19" s="15">
        <f>IFERROR((s_DL/(s_RadSpec!P19*s_EF_res*(1/365)*1*s_RadSpec!U19*((s_ET_res_o*(1/24)*s_RadSpec!Z19)+(s_ET_res_i*(1/24)*s_RadSpec!AE19))))*1,".")</f>
        <v>6118778.9491102239</v>
      </c>
      <c r="T19" s="15">
        <f>IFERROR((s_DL/(s_RadSpec!L19*s_EF_res*(1/365)*1*s_RadSpec!Q19*((s_ET_res_o*(1/24)*s_RadSpec!V19)+(s_ET_res_i*(1/24)*s_RadSpec!AA19))))*1,".")</f>
        <v>83089973.079392612</v>
      </c>
      <c r="U19" s="189">
        <f>IFERROR(P19*(0.0000000000028)*s_RadSpec!$AY19*s_RadSpec!$AF19,0)</f>
        <v>3.7215651036518063E-16</v>
      </c>
      <c r="V19" s="189">
        <f>IFERROR(Q19*(0.0000000000028)*s_RadSpec!$AY19*s_RadSpec!$AF19,0)</f>
        <v>3.788665517363212E-15</v>
      </c>
      <c r="W19" s="189">
        <f>IFERROR(R19*(0.0000000000028)*s_RadSpec!$AY19*s_RadSpec!$AF19,0)</f>
        <v>9.1737835013662818E-16</v>
      </c>
      <c r="X19" s="189">
        <f>IFERROR(S19*(0.0000000000028)*s_RadSpec!$AY19*s_RadSpec!$AF19,0)</f>
        <v>4.860098621907404E-16</v>
      </c>
      <c r="Y19" s="189">
        <f>IFERROR(T19*(0.0000000000028)*s_RadSpec!$AY19*s_RadSpec!$AF19,0)</f>
        <v>6.5997720626302823E-15</v>
      </c>
      <c r="Z19" s="40">
        <f>IFERROR((s_C*s_EF_res*(1/365)*1*s_RadSpec!R19*((s_ET_res_o*(1/24)*s_RadSpec!W19)+(s_ET_res_i*(1/24)*s_RadSpec!AB19))),".")</f>
        <v>2.4624070450097846E-2</v>
      </c>
      <c r="AA19" s="40">
        <f>IFERROR((s_C*s_EF_res*(1/365)*1*s_RadSpec!S19*((s_ET_res_o*(1/24)*s_RadSpec!X19)+(s_ET_res_i*(1/24)*s_RadSpec!AC19))),".")</f>
        <v>1.2415057937699378E-2</v>
      </c>
      <c r="AB19" s="40">
        <f>IFERROR((s_C*s_EF_res*(1/365)*1*s_RadSpec!T19*((s_ET_res_o*(1/24)*s_RadSpec!Y19)+(s_ET_res_i*(1/24)*s_RadSpec!AD19))),".")</f>
        <v>1.7909798003250512E-2</v>
      </c>
      <c r="AC19" s="40">
        <f>IFERROR((s_C*s_EF_res*(1/365)*1*s_RadSpec!U19*((s_ET_res_o*(1/24)*s_RadSpec!Z19)+(s_ET_res_i*(1/24)*s_RadSpec!AE19))),".")</f>
        <v>2.1443624868282409E-2</v>
      </c>
      <c r="AD19" s="40">
        <f>IFERROR((s_C*s_EF_res*(1/365)*1*s_RadSpec!Q19*((s_ET_res_o*(1/24)*s_RadSpec!V19)+(s_ET_res_i*(1/24)*s_RadSpec!AA19))),".")</f>
        <v>7.2095583836812773E-3</v>
      </c>
      <c r="AE19" s="15" t="str">
        <f>IFERROR((s_DL/(s_RadSpec!H19*s_IFA_res_adj)),".")</f>
        <v>.</v>
      </c>
      <c r="AF19" s="15">
        <f>IFERROR((s_DL/(s_RadSpec!K19*s_EF_res*(1/365)*1*s_ET_res*(1/24)*s_GSF_a)),".")</f>
        <v>1595400084.7789047</v>
      </c>
      <c r="AG19" s="15">
        <f t="shared" ref="AG19:AG20" si="22">IFERROR(IF(AND(AE19&lt;&gt;".",AF19&lt;&gt;"."),1/((1/AE19)+(1/AF19)),IF(AND(AE19&lt;&gt;".",AF19="."),1/((1/AE19)),IF(AND(AE19=".",AF19&lt;&gt;"."),1/((1/AF19)),IF(AND(AE19=".",AF19="."),".")))),".")</f>
        <v>1595400084.7789047</v>
      </c>
      <c r="AH19" s="189">
        <f>AG19*(0.0000000000000028)*s_RadSpec!$AY19*s_RadSpec!$AF19</f>
        <v>1.2672139029556618E-16</v>
      </c>
      <c r="AI19" s="40">
        <f t="shared" si="2"/>
        <v>501.30208333333326</v>
      </c>
      <c r="AJ19" s="40">
        <f t="shared" si="3"/>
        <v>7.8481735159817351E-2</v>
      </c>
      <c r="AK19" s="18"/>
      <c r="AL19" s="15" t="str">
        <f>IFERROR((s_DL/(s_RadSpec!I19*s_IFW_res_adj)),".")</f>
        <v>.</v>
      </c>
      <c r="AM19" s="15" t="str">
        <f>IFERROR(IF(AND(s_RadSpec!C19=1,s_RadSpec!D19&lt;&gt;0),(s_DL/(s_RadSpec!H19*s_IFA_res_adj*s_K*s_RadSpec!D19)),"."),".")</f>
        <v>.</v>
      </c>
      <c r="AN19" s="15">
        <f>IFERROR((s_DL/(s_RadSpec!M19*(1/8760)*s_DFA_res_adj)),".")</f>
        <v>459591331.70012259</v>
      </c>
      <c r="AO19" s="15" t="str">
        <f>s_b2w!C19</f>
        <v>.</v>
      </c>
      <c r="AP19" s="15">
        <f t="shared" ref="AP19:AP20" si="23">(IF(AND(AL19&lt;&gt;".",AM19&lt;&gt;".",AN19&lt;&gt;".",AO19&lt;&gt;"."),1/((1/AL19)+(1/AM19)+(1/AN19)+(1/AO19)),IF(AND(AL19&lt;&gt;".",AM19&lt;&gt;".",AN19&lt;&gt;".",AO19="."), 1/((1/AL19)+(1/AM19)+(1/AN19)),IF(AND(AL19&lt;&gt;".",AM19&lt;&gt;".",AN19=".",AO19&lt;&gt;"."),1/((1/AL19)+(1/AM19)+(1/AO19)),IF(AND(AL19&lt;&gt;".",AM19=".",AN19&lt;&gt;".",AO19&lt;&gt;"."),1/((1/AL19)+(1/AN19)+(1/AO19)),IF(AND(AL19=".",AM19&lt;&gt;".",AN19&lt;&gt;".",AO19&lt;&gt;"."),1/((1/AM19)+(1/AN19)+(1/AO19)),IF(AND(AL19&lt;&gt;".",AM19&lt;&gt;".",AN19=".",AO19="."),1/((1/AL19)+(1/AM19)),IF(AND(AL19&lt;&gt;".",AM19=".",AN19&lt;&gt;".",AO19="."),1/((1/AL19)+(1/AN19)),IF(AND(AL19&lt;&gt;".",AM19=".",AN19=".",AO19&lt;&gt;"."),1/((1/AL19)+(1/AO19)),IF(AND(AL19=".",AM19=".",AN19&lt;&gt;".",AO19&lt;&gt;"."),1/((1/AN19)+(1/AO19)),IF(AND(AL19=".",AM19&lt;&gt;".",AN19=".",AO19&lt;&gt;"."),1/((1/AM19)+(1/AO19)),IF(AND(AL19=".",AM19&lt;&gt;".",AN19&lt;&gt;".",AO19="."),1/((1/AM19)+(1/AN19)),IF(AND(AL19&lt;&gt;".",AM19=".",AN19=".",AO19="."),1/((1/AL19)),IF(AND(AL19=".",AM19&lt;&gt;".",AN19=".",AO19="."),1/((1/AM19)),IF(AND(AL19=".",AM19=".",AN19&lt;&gt;".",AO19="."),1/((1/AN19)),IF(AND(AL19=".",AM19=".",AN19=".",AO19&lt;&gt;"."),1/((1/AO19)),IF(AND(AL19=".",AM19=".",AN19=".",AO19="."),".")))))))))))))))))</f>
        <v>459591331.70012265</v>
      </c>
      <c r="AQ19" s="189">
        <f>AP19*(0.0000000000000028)*s_RadSpec!$AY19*s_RadSpec!$AF19</f>
        <v>3.6504982716546205E-17</v>
      </c>
      <c r="AR19" s="40">
        <f t="shared" si="4"/>
        <v>1375</v>
      </c>
      <c r="AS19" s="40">
        <f>IF(s_RadSpec!D19&lt;&gt;"",s_C*s_IFA_res_adj*s_K*s_RadSpec!D19,0)</f>
        <v>0</v>
      </c>
      <c r="AT19" s="40">
        <f t="shared" si="5"/>
        <v>0.12557077625570776</v>
      </c>
      <c r="AU19" s="40">
        <f>s_b2w!AC19</f>
        <v>374.32491773106489</v>
      </c>
      <c r="AV19" s="18"/>
      <c r="AW19" s="15" t="str">
        <f>IFERROR(s_DL/(s_RadSpec!F19*s_EF_res*1*s_IRF_res*0.001*s_CF_res_fish),".")</f>
        <v>.</v>
      </c>
      <c r="AX19" s="189">
        <f>IFERROR(AW19*(0.0000000000028)*s_RadSpec!$AY19*s_RadSpec!$AF19,0)</f>
        <v>0</v>
      </c>
      <c r="AY19" s="40">
        <f t="shared" si="6"/>
        <v>7562.5</v>
      </c>
    </row>
    <row r="20" spans="1:51" x14ac:dyDescent="0.25">
      <c r="A20" s="44" t="s">
        <v>18</v>
      </c>
      <c r="B20" s="42" t="s">
        <v>1057</v>
      </c>
      <c r="C20" s="238"/>
      <c r="D20" s="15" t="str">
        <f>IFERROR(((s_DL/(s_RadSpec!E20*s_IFS_res_adj*(1/1000)))*1),".")</f>
        <v>.</v>
      </c>
      <c r="E20" s="15" t="str">
        <f>IFERROR(IF(A20="H-3",(s_DL/((s_RadSpec!H20*s_IFA_res_adj*(1/17)*1000))*1),(s_DL/((s_RadSpec!H20*s_IFA_res_adj*(1/s_PEF_wind)*1000))*1)),".")</f>
        <v>.</v>
      </c>
      <c r="F20" s="15">
        <f>IFERROR((s_DL/(s_RadSpec!G20*s_EF_res*(1/365)*1*s_RadSpec!R20*((s_ET_res_o*(1/24)*s_RadSpec!W20)+(s_ET_res_i*(1/24)*s_RadSpec!AB20))))*1,".")</f>
        <v>2079497.8041993934</v>
      </c>
      <c r="G20" s="15" t="str">
        <f>s_b2s!C20</f>
        <v>.</v>
      </c>
      <c r="H20" s="15" t="str">
        <f>s_dir!C20</f>
        <v>.</v>
      </c>
      <c r="I20" s="15">
        <f t="shared" si="17"/>
        <v>2079497.8041993934</v>
      </c>
      <c r="J20" s="189">
        <f>IFERROR(I20*(0.0000000000028)*s_RadSpec!$AY20*s_RadSpec!$AF20,0)</f>
        <v>6.4917416396052829E-15</v>
      </c>
      <c r="K20" s="40">
        <f t="shared" si="0"/>
        <v>15.125</v>
      </c>
      <c r="L20" s="40">
        <f t="shared" si="1"/>
        <v>1.6181272791589674E-3</v>
      </c>
      <c r="M20" s="40">
        <f>IFERROR((s_C*s_EF_res*(1/365)*1*s_RadSpec!R20*((s_ET_res_o*(1/24)*s_RadSpec!W20)+(s_ET_res_i*(1/24)*s_RadSpec!AB20))),".")</f>
        <v>2.5042146236407301E-2</v>
      </c>
      <c r="N20" s="40">
        <f>s_b2s!AC20</f>
        <v>511.52749999999997</v>
      </c>
      <c r="O20" s="18"/>
      <c r="P20" s="15">
        <f>IFERROR((s_DL/(s_RadSpec!G20*s_EF_res*(1/365)*1*s_RadSpec!R20*((s_ET_res_o*(1/24)*s_RadSpec!W20)+(s_ET_res_i*(1/24)*s_RadSpec!AB20))))*1,".")</f>
        <v>2079497.8041993934</v>
      </c>
      <c r="Q20" s="15">
        <f>IFERROR((s_DL/(s_RadSpec!N20*s_EF_res*(1/365)*1*s_RadSpec!S20*((s_ET_res_o*(1/24)*s_RadSpec!X20)+(s_ET_res_i*(1/24)*s_RadSpec!AC20))))*1,".")</f>
        <v>21078968.41935429</v>
      </c>
      <c r="R20" s="15">
        <f>IFERROR((s_DL/(s_RadSpec!O20*s_EF_res*(1/365)*1*s_RadSpec!T20*((s_ET_res_o*(1/24)*s_RadSpec!Y20)+(s_ET_res_i*(1/24)*s_RadSpec!AD20))))*1,".")</f>
        <v>5156823.712999871</v>
      </c>
      <c r="S20" s="15">
        <f>IFERROR((s_DL/(s_RadSpec!P20*s_EF_res*(1/365)*1*s_RadSpec!U20*((s_ET_res_o*(1/24)*s_RadSpec!Z20)+(s_ET_res_i*(1/24)*s_RadSpec!AE20))))*1,".")</f>
        <v>2739820.8440157748</v>
      </c>
      <c r="T20" s="15">
        <f>IFERROR((s_DL/(s_RadSpec!L20*s_EF_res*(1/365)*1*s_RadSpec!Q20*((s_ET_res_o*(1/24)*s_RadSpec!V20)+(s_ET_res_i*(1/24)*s_RadSpec!AA20))))*1,".")</f>
        <v>36464211.03755483</v>
      </c>
      <c r="U20" s="189">
        <f>IFERROR(P20*(0.0000000000028)*s_RadSpec!$AY20*s_RadSpec!$AF20,0)</f>
        <v>6.4917416396052829E-15</v>
      </c>
      <c r="V20" s="189">
        <f>IFERROR(Q20*(0.0000000000028)*s_RadSpec!$AY20*s_RadSpec!$AF20,0)</f>
        <v>6.5803972830127645E-14</v>
      </c>
      <c r="W20" s="189">
        <f>IFERROR(R20*(0.0000000000028)*s_RadSpec!$AY20*s_RadSpec!$AF20,0)</f>
        <v>1.6098486450998558E-14</v>
      </c>
      <c r="X20" s="189">
        <f>IFERROR(S20*(0.0000000000028)*s_RadSpec!$AY20*s_RadSpec!$AF20,0)</f>
        <v>8.5531271166710282E-15</v>
      </c>
      <c r="Y20" s="189">
        <f>IFERROR(T20*(0.0000000000028)*s_RadSpec!$AY20*s_RadSpec!$AF20,0)</f>
        <v>1.1383336720520606E-13</v>
      </c>
      <c r="Z20" s="40">
        <f>IFERROR((s_C*s_EF_res*(1/365)*1*s_RadSpec!R20*((s_ET_res_o*(1/24)*s_RadSpec!W20)+(s_ET_res_i*(1/24)*s_RadSpec!AB20))),".")</f>
        <v>2.5042146236407301E-2</v>
      </c>
      <c r="AA20" s="40">
        <f>IFERROR((s_C*s_EF_res*(1/365)*1*s_RadSpec!S20*((s_ET_res_o*(1/24)*s_RadSpec!X20)+(s_ET_res_i*(1/24)*s_RadSpec!AC20))),".")</f>
        <v>1.2698247256019738E-2</v>
      </c>
      <c r="AB20" s="40">
        <f>IFERROR((s_C*s_EF_res*(1/365)*1*s_RadSpec!T20*((s_ET_res_o*(1/24)*s_RadSpec!Y20)+(s_ET_res_i*(1/24)*s_RadSpec!AD20))),".")</f>
        <v>1.8148670427074937E-2</v>
      </c>
      <c r="AC20" s="40">
        <f>IFERROR((s_C*s_EF_res*(1/365)*1*s_RadSpec!U20*((s_ET_res_o*(1/24)*s_RadSpec!Z20)+(s_ET_res_i*(1/24)*s_RadSpec!AE20))),".")</f>
        <v>2.1613869863013689E-2</v>
      </c>
      <c r="AD20" s="40">
        <f>IFERROR((s_C*s_EF_res*(1/365)*1*s_RadSpec!Q20*((s_ET_res_o*(1/24)*s_RadSpec!V20)+(s_ET_res_i*(1/24)*s_RadSpec!AA20))),".")</f>
        <v>7.452190424521902E-3</v>
      </c>
      <c r="AE20" s="15" t="str">
        <f>IFERROR((s_DL/(s_RadSpec!H20*s_IFA_res_adj)),".")</f>
        <v>.</v>
      </c>
      <c r="AF20" s="15">
        <f>IFERROR((s_DL/(s_RadSpec!K20*s_EF_res*(1/365)*1*s_ET_res*(1/24)*s_GSF_a)),".")</f>
        <v>717930038.15050721</v>
      </c>
      <c r="AG20" s="15">
        <f t="shared" si="22"/>
        <v>717930038.15050721</v>
      </c>
      <c r="AH20" s="189">
        <f>AG20*(0.0000000000000028)*s_RadSpec!$AY20*s_RadSpec!$AF20</f>
        <v>2.2412220458099469E-15</v>
      </c>
      <c r="AI20" s="40">
        <f t="shared" si="2"/>
        <v>501.30208333333326</v>
      </c>
      <c r="AJ20" s="40">
        <f t="shared" si="3"/>
        <v>7.8481735159817351E-2</v>
      </c>
      <c r="AK20" s="18"/>
      <c r="AL20" s="15" t="str">
        <f>IFERROR((s_DL/(s_RadSpec!I20*s_IFW_res_adj)),".")</f>
        <v>.</v>
      </c>
      <c r="AM20" s="15" t="str">
        <f>IFERROR(IF(AND(s_RadSpec!C20=1,s_RadSpec!D20&lt;&gt;0),(s_DL/(s_RadSpec!H20*s_IFA_res_adj*s_K*s_RadSpec!D20)),"."),".")</f>
        <v>.</v>
      </c>
      <c r="AN20" s="15">
        <f>IFERROR((s_DL/(s_RadSpec!M20*(1/8760)*s_DFA_res_adj)),".")</f>
        <v>207179081.48328736</v>
      </c>
      <c r="AO20" s="15" t="str">
        <f>s_b2w!C20</f>
        <v>.</v>
      </c>
      <c r="AP20" s="15">
        <f t="shared" si="23"/>
        <v>207179081.48328736</v>
      </c>
      <c r="AQ20" s="189">
        <f>AP20*(0.0000000000000028)*s_RadSpec!$AY20*s_RadSpec!$AF20</f>
        <v>6.467682088455194E-16</v>
      </c>
      <c r="AR20" s="40">
        <f t="shared" si="4"/>
        <v>1375</v>
      </c>
      <c r="AS20" s="40">
        <f>IF(s_RadSpec!D20&lt;&gt;"",s_C*s_IFA_res_adj*s_K*s_RadSpec!D20,0)</f>
        <v>12.759250911458333</v>
      </c>
      <c r="AT20" s="40">
        <f t="shared" si="5"/>
        <v>0.12557077625570776</v>
      </c>
      <c r="AU20" s="40">
        <f>s_b2w!AC20</f>
        <v>374.32491773106489</v>
      </c>
      <c r="AV20" s="18"/>
      <c r="AW20" s="15" t="str">
        <f>IFERROR(s_DL/(s_RadSpec!F20*s_EF_res*1*s_IRF_res*0.001*s_CF_res_fish),".")</f>
        <v>.</v>
      </c>
      <c r="AX20" s="189">
        <f>IFERROR(AW20*(0.0000000000028)*s_RadSpec!$AY20*s_RadSpec!$AF20,0)</f>
        <v>0</v>
      </c>
      <c r="AY20" s="40">
        <f t="shared" si="6"/>
        <v>7562.5</v>
      </c>
    </row>
    <row r="21" spans="1:51" x14ac:dyDescent="0.25">
      <c r="A21" s="44" t="s">
        <v>19</v>
      </c>
      <c r="B21" s="42" t="s">
        <v>1057</v>
      </c>
      <c r="C21" s="238"/>
      <c r="D21" s="15" t="str">
        <f>IFERROR(((s_DL/(s_RadSpec!E21*s_IFS_res_adj*(1/1000)))*1),".")</f>
        <v>.</v>
      </c>
      <c r="E21" s="15">
        <f>IFERROR(IF(A21="H-3",(s_DL/((s_RadSpec!H21*s_IFA_res_adj*(1/17)*1000))*1),(s_DL/((s_RadSpec!H21*s_IFA_res_adj*(1/s_PEF_wind)*1000))*1)),".")</f>
        <v>2027553664.8256507</v>
      </c>
      <c r="F21" s="15" t="str">
        <f>IFERROR((s_DL/(s_RadSpec!G21*s_EF_res*(1/365)*1*s_RadSpec!R21*((s_ET_res_o*(1/24)*s_RadSpec!W21)+(s_ET_res_i*(1/24)*s_RadSpec!AB21))))*1,".")</f>
        <v>.</v>
      </c>
      <c r="G21" s="15" t="str">
        <f>s_b2s!C21</f>
        <v>.</v>
      </c>
      <c r="H21" s="15" t="str">
        <f>s_dir!C21</f>
        <v>.</v>
      </c>
      <c r="I21" s="15">
        <f t="shared" si="17"/>
        <v>2027553664.8256507</v>
      </c>
      <c r="J21" s="189">
        <f>IFERROR(I21*(0.0000000000028)*s_RadSpec!$AY21*s_RadSpec!$AF21,0)</f>
        <v>7.2995018012360878E-6</v>
      </c>
      <c r="K21" s="40">
        <f t="shared" si="0"/>
        <v>15.125</v>
      </c>
      <c r="L21" s="40">
        <f t="shared" si="1"/>
        <v>1.6181272791589674E-3</v>
      </c>
      <c r="M21" s="40">
        <f>IFERROR((s_C*s_EF_res*(1/365)*1*s_RadSpec!R21*((s_ET_res_o*(1/24)*s_RadSpec!W21)+(s_ET_res_i*(1/24)*s_RadSpec!AB21))),".")</f>
        <v>0</v>
      </c>
      <c r="N21" s="40">
        <f>s_b2s!AC21</f>
        <v>511.52749999999997</v>
      </c>
      <c r="O21" s="18"/>
      <c r="P21" s="15" t="str">
        <f>IFERROR((s_DL/(s_RadSpec!G21*s_EF_res*(1/365)*1*s_RadSpec!R21*((s_ET_res_o*(1/24)*s_RadSpec!W21)+(s_ET_res_i*(1/24)*s_RadSpec!AB21))))*1,".")</f>
        <v>.</v>
      </c>
      <c r="Q21" s="15" t="str">
        <f>IFERROR((s_DL/(s_RadSpec!N21*s_EF_res*(1/365)*1*s_RadSpec!S21*((s_ET_res_o*(1/24)*s_RadSpec!X21)+(s_ET_res_i*(1/24)*s_RadSpec!AC21))))*1,".")</f>
        <v>.</v>
      </c>
      <c r="R21" s="15" t="str">
        <f>IFERROR((s_DL/(s_RadSpec!O21*s_EF_res*(1/365)*1*s_RadSpec!T21*((s_ET_res_o*(1/24)*s_RadSpec!Y21)+(s_ET_res_i*(1/24)*s_RadSpec!AD21))))*1,".")</f>
        <v>.</v>
      </c>
      <c r="S21" s="15" t="str">
        <f>IFERROR((s_DL/(s_RadSpec!P21*s_EF_res*(1/365)*1*s_RadSpec!U21*((s_ET_res_o*(1/24)*s_RadSpec!Z21)+(s_ET_res_i*(1/24)*s_RadSpec!AE21))))*1,".")</f>
        <v>.</v>
      </c>
      <c r="T21" s="15" t="str">
        <f>IFERROR((s_DL/(s_RadSpec!L21*s_EF_res*(1/365)*1*s_RadSpec!Q21*((s_ET_res_o*(1/24)*s_RadSpec!V21)+(s_ET_res_i*(1/24)*s_RadSpec!AA21))))*1,".")</f>
        <v>.</v>
      </c>
      <c r="U21" s="189">
        <f>IFERROR(P21*(0.0000000000028)*s_RadSpec!$AY21*s_RadSpec!$AF21,0)</f>
        <v>0</v>
      </c>
      <c r="V21" s="189">
        <f>IFERROR(Q21*(0.0000000000028)*s_RadSpec!$AY21*s_RadSpec!$AF21,0)</f>
        <v>0</v>
      </c>
      <c r="W21" s="189">
        <f>IFERROR(R21*(0.0000000000028)*s_RadSpec!$AY21*s_RadSpec!$AF21,0)</f>
        <v>0</v>
      </c>
      <c r="X21" s="189">
        <f>IFERROR(S21*(0.0000000000028)*s_RadSpec!$AY21*s_RadSpec!$AF21,0)</f>
        <v>0</v>
      </c>
      <c r="Y21" s="189">
        <f>IFERROR(T21*(0.0000000000028)*s_RadSpec!$AY21*s_RadSpec!$AF21,0)</f>
        <v>0</v>
      </c>
      <c r="Z21" s="40">
        <f>IFERROR((s_C*s_EF_res*(1/365)*1*s_RadSpec!R21*((s_ET_res_o*(1/24)*s_RadSpec!W21)+(s_ET_res_i*(1/24)*s_RadSpec!AB21))),".")</f>
        <v>0</v>
      </c>
      <c r="AA21" s="40">
        <f>IFERROR((s_C*s_EF_res*(1/365)*1*s_RadSpec!S21*((s_ET_res_o*(1/24)*s_RadSpec!X21)+(s_ET_res_i*(1/24)*s_RadSpec!AC21))),".")</f>
        <v>0</v>
      </c>
      <c r="AB21" s="40">
        <f>IFERROR((s_C*s_EF_res*(1/365)*1*s_RadSpec!T21*((s_ET_res_o*(1/24)*s_RadSpec!Y21)+(s_ET_res_i*(1/24)*s_RadSpec!AD21))),".")</f>
        <v>0</v>
      </c>
      <c r="AC21" s="40">
        <f>IFERROR((s_C*s_EF_res*(1/365)*1*s_RadSpec!U21*((s_ET_res_o*(1/24)*s_RadSpec!Z21)+(s_ET_res_i*(1/24)*s_RadSpec!AE21))),".")</f>
        <v>0</v>
      </c>
      <c r="AD21" s="40">
        <f>IFERROR((s_C*s_EF_res*(1/365)*1*s_RadSpec!Q21*((s_ET_res_o*(1/24)*s_RadSpec!V21)+(s_ET_res_i*(1/24)*s_RadSpec!AA21))),".")</f>
        <v>0</v>
      </c>
      <c r="AE21" s="15">
        <f>IFERROR((s_DL/(s_RadSpec!H21*s_IFA_res_adj)),".")</f>
        <v>6544.6364658963093</v>
      </c>
      <c r="AF21" s="15">
        <f>IFERROR((s_DL/(s_RadSpec!K21*s_EF_res*(1/365)*1*s_ET_res*(1/24)*s_GSF_a)),".")</f>
        <v>1041272574416.7661</v>
      </c>
      <c r="AG21" s="15">
        <f>IFERROR(IF(AND(AE21&lt;&gt;".",AF21&lt;&gt;"."),1/((1/AE21)+(1/AF21)),IF(AND(AE21&lt;&gt;".",AF21="."),1/((1/AE21)),IF(AND(AE21=".",AF21&lt;&gt;"."),1/((1/AF21)),IF(AND(AE21=".",AF21="."),".")))),".")</f>
        <v>6544.6364247617721</v>
      </c>
      <c r="AH21" s="189">
        <f>AG21*(0.0000000000000028)*s_RadSpec!$AY21*s_RadSpec!$AF21</f>
        <v>2.3561687268628635E-14</v>
      </c>
      <c r="AI21" s="40">
        <f t="shared" si="2"/>
        <v>501.30208333333326</v>
      </c>
      <c r="AJ21" s="40">
        <f t="shared" si="3"/>
        <v>7.8481735159817351E-2</v>
      </c>
      <c r="AK21" s="18"/>
      <c r="AL21" s="15" t="str">
        <f>IFERROR((s_DL/(s_RadSpec!I21*s_IFW_res_adj)),".")</f>
        <v>.</v>
      </c>
      <c r="AM21" s="15">
        <f>IFERROR(IF(AND(s_RadSpec!C21=1,s_RadSpec!D21&lt;&gt;0),(s_DL/(s_RadSpec!H21*s_IFA_res_adj*s_K*s_RadSpec!D21)),"."),".")</f>
        <v>17967.595465634375</v>
      </c>
      <c r="AN21" s="15">
        <f>IFERROR((s_DL/(s_RadSpec!M21*(1/8760)*s_DFA_res_adj)),".")</f>
        <v>596183161051.55762</v>
      </c>
      <c r="AO21" s="15" t="str">
        <f>s_b2w!C21</f>
        <v>.</v>
      </c>
      <c r="AP21" s="15">
        <f>(IF(AND(AL21&lt;&gt;".",AM21&lt;&gt;".",AN21&lt;&gt;".",AO21&lt;&gt;"."),1/((1/AL21)+(1/AM21)+(1/AN21)+(1/AO21)),IF(AND(AL21&lt;&gt;".",AM21&lt;&gt;".",AN21&lt;&gt;".",AO21="."), 1/((1/AL21)+(1/AM21)+(1/AN21)),IF(AND(AL21&lt;&gt;".",AM21&lt;&gt;".",AN21=".",AO21&lt;&gt;"."),1/((1/AL21)+(1/AM21)+(1/AO21)),IF(AND(AL21&lt;&gt;".",AM21=".",AN21&lt;&gt;".",AO21&lt;&gt;"."),1/((1/AL21)+(1/AN21)+(1/AO21)),IF(AND(AL21=".",AM21&lt;&gt;".",AN21&lt;&gt;".",AO21&lt;&gt;"."),1/((1/AM21)+(1/AN21)+(1/AO21)),IF(AND(AL21&lt;&gt;".",AM21&lt;&gt;".",AN21=".",AO21="."),1/((1/AL21)+(1/AM21)),IF(AND(AL21&lt;&gt;".",AM21=".",AN21&lt;&gt;".",AO21="."),1/((1/AL21)+(1/AN21)),IF(AND(AL21&lt;&gt;".",AM21=".",AN21=".",AO21&lt;&gt;"."),1/((1/AL21)+(1/AO21)),IF(AND(AL21=".",AM21=".",AN21&lt;&gt;".",AO21&lt;&gt;"."),1/((1/AN21)+(1/AO21)),IF(AND(AL21=".",AM21&lt;&gt;".",AN21=".",AO21&lt;&gt;"."),1/((1/AM21)+(1/AO21)),IF(AND(AL21=".",AM21&lt;&gt;".",AN21&lt;&gt;".",AO21="."),1/((1/AM21)+(1/AN21)),IF(AND(AL21&lt;&gt;".",AM21=".",AN21=".",AO21="."),1/((1/AL21)),IF(AND(AL21=".",AM21&lt;&gt;".",AN21=".",AO21="."),1/((1/AM21)),IF(AND(AL21=".",AM21=".",AN21&lt;&gt;".",AO21="."),1/((1/AN21)),IF(AND(AL21=".",AM21=".",AN21=".",AO21&lt;&gt;"."),1/((1/AO21)),IF(AND(AL21=".",AM21=".",AN21=".",AO21="."),".")))))))))))))))))</f>
        <v>17967.594924132201</v>
      </c>
      <c r="AQ21" s="189">
        <f>AP21*(0.0000000000000028)*s_RadSpec!$AY21*s_RadSpec!$AF21</f>
        <v>6.4686076520623862E-14</v>
      </c>
      <c r="AR21" s="40">
        <f t="shared" si="4"/>
        <v>1375</v>
      </c>
      <c r="AS21" s="40">
        <f>IF(s_RadSpec!D21&lt;&gt;"",s_C*s_IFA_res_adj*s_K*s_RadSpec!D21,0)</f>
        <v>182.59760474283851</v>
      </c>
      <c r="AT21" s="40">
        <f t="shared" si="5"/>
        <v>0.12557077625570776</v>
      </c>
      <c r="AU21" s="40">
        <f>s_b2w!AC21</f>
        <v>374.32491773106489</v>
      </c>
      <c r="AV21" s="18"/>
      <c r="AW21" s="15" t="str">
        <f>IFERROR(s_DL/(s_RadSpec!F21*s_EF_res*1*s_IRF_res*0.001*s_CF_res_fish),".")</f>
        <v>.</v>
      </c>
      <c r="AX21" s="189">
        <f>IFERROR(AW21*(0.0000000000028)*s_RadSpec!$AY21*s_RadSpec!$AF21,0)</f>
        <v>0</v>
      </c>
      <c r="AY21" s="40">
        <f t="shared" si="6"/>
        <v>7562.5</v>
      </c>
    </row>
    <row r="22" spans="1:51" x14ac:dyDescent="0.25">
      <c r="A22" s="44" t="s">
        <v>20</v>
      </c>
      <c r="B22" s="42" t="s">
        <v>1057</v>
      </c>
      <c r="C22" s="42"/>
      <c r="D22" s="15">
        <f>IFERROR(((s_DL/(s_RadSpec!E22*s_IFS_res_adj*(1/1000)))*1),".")</f>
        <v>1877.0072246008076</v>
      </c>
      <c r="E22" s="15">
        <f>IFERROR(IF(A22="H-3",(s_DL/((s_RadSpec!H22*s_IFA_res_adj*(1/17)*1000))*1),(s_DL/((s_RadSpec!H22*s_IFA_res_adj*(1/s_PEF_wind)*1000))*1)),".")</f>
        <v>496511.84002222132</v>
      </c>
      <c r="F22" s="15">
        <f>IFERROR((s_DL/(s_RadSpec!G22*s_EF_res*(1/365)*1*s_RadSpec!R22*((s_ET_res_o*(1/24)*s_RadSpec!W22)+(s_ET_res_i*(1/24)*s_RadSpec!AB22))))*1,".")</f>
        <v>476506622885.85052</v>
      </c>
      <c r="G22" s="15">
        <f>s_b2s!C22</f>
        <v>37.96919641146571</v>
      </c>
      <c r="H22" s="15">
        <f>s_dir!C22</f>
        <v>0.9385036123004038</v>
      </c>
      <c r="I22" s="15">
        <f t="shared" ref="I22:I23" si="24">(IF(AND(D22&lt;&gt;".",E22&lt;&gt;".",F22&lt;&gt;".",G22&lt;&gt;"."),1/((1/D22)+(1/E22)+(1/F22)+(1/G22)),IF(AND(D22&lt;&gt;".",E22&lt;&gt;".",F22&lt;&gt;".",G22="."), 1/((1/D22)+(1/E22)+(1/F22)),IF(AND(D22&lt;&gt;".",E22&lt;&gt;".",F22=".",G22&lt;&gt;"."),1/((1/D22)+(1/E22)+(1/G22)),IF(AND(D22&lt;&gt;".",E22=".",F22&lt;&gt;".",G22&lt;&gt;"."),1/((1/D22)+(1/F22)+(1/G22)),IF(AND(D22=".",E22&lt;&gt;".",F22&lt;&gt;".",G22&lt;&gt;"."),1/((1/E22)+(1/F22)+(1/G22)),IF(AND(D22&lt;&gt;".",E22&lt;&gt;".",F22=".",G22="."),1/((1/D22)+(1/E22)),IF(AND(D22&lt;&gt;".",E22=".",F22&lt;&gt;".",G22="."),1/((1/D22)+(1/F22)),IF(AND(D22&lt;&gt;".",E22=".",F22=".",G22&lt;&gt;"."),1/((1/D22)+(1/G22)),IF(AND(D22=".",E22=".",F22&lt;&gt;".",G22&lt;&gt;"."),1/((1/F22)+(1/G22)),IF(AND(D22=".",E22&lt;&gt;".",F22=".",G22&lt;&gt;"."),1/((1/E22)+(1/G22)),IF(AND(D22=".",E22&lt;&gt;".",F22&lt;&gt;".",G22="."),1/((1/E22)+(1/F22)),IF(AND(D22&lt;&gt;".",E22=".",F22=".",G22="."),1/((1/D22)),IF(AND(D22=".",E22&lt;&gt;".",F22=".",G22="."),1/((1/E22)),IF(AND(D22=".",E22=".",F22&lt;&gt;".",G22="."),1/((1/F22)),IF(AND(D22=".",E22=".",F22=".",G22&lt;&gt;"."),1/((1/G22)),IF(AND(D22=".",E22=".",F22=".",G22="."),".")))))))))))))))))</f>
        <v>37.213572771360447</v>
      </c>
      <c r="J22" s="189">
        <f>IFERROR(I22*(0.0000000000028)*s_RadSpec!$AY22*s_RadSpec!$AF22,0)</f>
        <v>9.5705152768427594E-10</v>
      </c>
      <c r="K22" s="40">
        <f t="shared" si="0"/>
        <v>15.125</v>
      </c>
      <c r="L22" s="40">
        <f t="shared" si="1"/>
        <v>1.6181272791589674E-3</v>
      </c>
      <c r="M22" s="40">
        <f>IFERROR((s_C*s_EF_res*(1/365)*1*s_RadSpec!R22*((s_ET_res_o*(1/24)*s_RadSpec!W22)+(s_ET_res_i*(1/24)*s_RadSpec!AB22))),".")</f>
        <v>5.8881086681247815E-9</v>
      </c>
      <c r="N22" s="40">
        <f>s_b2s!AC22</f>
        <v>747.70437500000003</v>
      </c>
      <c r="O22" s="18"/>
      <c r="P22" s="15">
        <f>IFERROR((s_DL/(s_RadSpec!G22*s_EF_res*(1/365)*1*s_RadSpec!R22*((s_ET_res_o*(1/24)*s_RadSpec!W22)+(s_ET_res_i*(1/24)*s_RadSpec!AB22))))*1,".")</f>
        <v>476506622885.85052</v>
      </c>
      <c r="Q22" s="15">
        <f>IFERROR((s_DL/(s_RadSpec!N22*s_EF_res*(1/365)*1*s_RadSpec!S22*((s_ET_res_o*(1/24)*s_RadSpec!X22)+(s_ET_res_i*(1/24)*s_RadSpec!AC22))))*1,".")</f>
        <v>601947684550.59961</v>
      </c>
      <c r="R22" s="15">
        <f>IFERROR((s_DL/(s_RadSpec!O22*s_EF_res*(1/365)*1*s_RadSpec!T22*((s_ET_res_o*(1/24)*s_RadSpec!Y22)+(s_ET_res_i*(1/24)*s_RadSpec!AD22))))*1,".")</f>
        <v>336863417081.2663</v>
      </c>
      <c r="S22" s="15">
        <f>IFERROR((s_DL/(s_RadSpec!P22*s_EF_res*(1/365)*1*s_RadSpec!U22*((s_ET_res_o*(1/24)*s_RadSpec!Z22)+(s_ET_res_i*(1/24)*s_RadSpec!AE22))))*1,".")</f>
        <v>345673075927.52112</v>
      </c>
      <c r="T22" s="15">
        <f>IFERROR((s_DL/(s_RadSpec!L22*s_EF_res*(1/365)*1*s_RadSpec!Q22*((s_ET_res_o*(1/24)*s_RadSpec!V22)+(s_ET_res_i*(1/24)*s_RadSpec!AA22))))*1,".")</f>
        <v>1699606565948.9568</v>
      </c>
      <c r="U22" s="189">
        <f>IFERROR(P22*(0.0000000000028)*s_RadSpec!$AY22*s_RadSpec!$AF22,0)</f>
        <v>12.254705942546524</v>
      </c>
      <c r="V22" s="189">
        <f>IFERROR(Q22*(0.0000000000028)*s_RadSpec!$AY22*s_RadSpec!$AF22,0)</f>
        <v>15.480775109250636</v>
      </c>
      <c r="W22" s="189">
        <f>IFERROR(R22*(0.0000000000028)*s_RadSpec!$AY22*s_RadSpec!$AF22,0)</f>
        <v>8.6633887565530099</v>
      </c>
      <c r="X22" s="189">
        <f>IFERROR(S22*(0.0000000000028)*s_RadSpec!$AY22*s_RadSpec!$AF22,0)</f>
        <v>8.8899538732373777</v>
      </c>
      <c r="Y22" s="189">
        <f>IFERROR(T22*(0.0000000000028)*s_RadSpec!$AY22*s_RadSpec!$AF22,0)</f>
        <v>43.710155711131144</v>
      </c>
      <c r="Z22" s="40">
        <f>IFERROR((s_C*s_EF_res*(1/365)*1*s_RadSpec!R22*((s_ET_res_o*(1/24)*s_RadSpec!W22)+(s_ET_res_i*(1/24)*s_RadSpec!AB22))),".")</f>
        <v>5.8881086681247815E-9</v>
      </c>
      <c r="AA22" s="40">
        <f>IFERROR((s_C*s_EF_res*(1/365)*1*s_RadSpec!S22*((s_ET_res_o*(1/24)*s_RadSpec!X22)+(s_ET_res_i*(1/24)*s_RadSpec!AC22))),".")</f>
        <v>6.4258160615165197E-9</v>
      </c>
      <c r="AB22" s="40">
        <f>IFERROR((s_C*s_EF_res*(1/365)*1*s_RadSpec!T22*((s_ET_res_o*(1/24)*s_RadSpec!Y22)+(s_ET_res_i*(1/24)*s_RadSpec!AD22))),".")</f>
        <v>8.3640318400592386E-9</v>
      </c>
      <c r="AC22" s="40">
        <f>IFERROR((s_C*s_EF_res*(1/365)*1*s_RadSpec!U22*((s_ET_res_o*(1/24)*s_RadSpec!Z22)+(s_ET_res_i*(1/24)*s_RadSpec!AE22))),".")</f>
        <v>8.1166945649574738E-9</v>
      </c>
      <c r="AD22" s="40">
        <f>IFERROR((s_C*s_EF_res*(1/365)*1*s_RadSpec!Q22*((s_ET_res_o*(1/24)*s_RadSpec!V22)+(s_ET_res_i*(1/24)*s_RadSpec!AA22))),".")</f>
        <v>1.1438903919065673E-9</v>
      </c>
      <c r="AE22" s="15">
        <f>IFERROR((s_DL/(s_RadSpec!H22*s_IFA_res_adj)),".")</f>
        <v>1.6026650985033866</v>
      </c>
      <c r="AF22" s="15">
        <f>IFERROR((s_DL/(s_RadSpec!K22*s_EF_res*(1/365)*1*s_ET_res*(1/24)*s_GSF_a)),".")</f>
        <v>11045077.510007802</v>
      </c>
      <c r="AG22" s="15">
        <f t="shared" ref="AG22:AG23" si="25">IFERROR(IF(AND(AE22&lt;&gt;".",AF22&lt;&gt;"."),1/((1/AE22)+(1/AF22)),IF(AND(AE22&lt;&gt;".",AF22="."),1/((1/AE22)),IF(AND(AE22=".",AF22&lt;&gt;"."),1/((1/AF22)),IF(AND(AE22=".",AF22="."),".")))),".")</f>
        <v>1.602664865953181</v>
      </c>
      <c r="AH22" s="189">
        <f>AG22*(0.0000000000000028)*s_RadSpec!$AY22*s_RadSpec!$AF22</f>
        <v>4.1217027662198683E-14</v>
      </c>
      <c r="AI22" s="40">
        <f t="shared" si="2"/>
        <v>501.30208333333326</v>
      </c>
      <c r="AJ22" s="40">
        <f t="shared" si="3"/>
        <v>7.8481735159817351E-2</v>
      </c>
      <c r="AK22" s="18"/>
      <c r="AL22" s="15">
        <f>IFERROR((s_DL/(s_RadSpec!I22*s_IFW_res_adj)),".")</f>
        <v>20.64707947060888</v>
      </c>
      <c r="AM22" s="15" t="str">
        <f>IFERROR(IF(AND(s_RadSpec!C22=1,s_RadSpec!D22&lt;&gt;0),(s_DL/(s_RadSpec!H22*s_IFA_res_adj*s_K*s_RadSpec!D22)),"."),".")</f>
        <v>.</v>
      </c>
      <c r="AN22" s="15">
        <f>IFERROR((s_DL/(s_RadSpec!M22*(1/8760)*s_DFA_res_adj)),".")</f>
        <v>3140117.570179475</v>
      </c>
      <c r="AO22" s="15">
        <f>s_b2w!C22</f>
        <v>67.393478570114127</v>
      </c>
      <c r="AP22" s="15">
        <f t="shared" ref="AP22:AP23" si="26">(IF(AND(AL22&lt;&gt;".",AM22&lt;&gt;".",AN22&lt;&gt;".",AO22&lt;&gt;"."),1/((1/AL22)+(1/AM22)+(1/AN22)+(1/AO22)),IF(AND(AL22&lt;&gt;".",AM22&lt;&gt;".",AN22&lt;&gt;".",AO22="."), 1/((1/AL22)+(1/AM22)+(1/AN22)),IF(AND(AL22&lt;&gt;".",AM22&lt;&gt;".",AN22=".",AO22&lt;&gt;"."),1/((1/AL22)+(1/AM22)+(1/AO22)),IF(AND(AL22&lt;&gt;".",AM22=".",AN22&lt;&gt;".",AO22&lt;&gt;"."),1/((1/AL22)+(1/AN22)+(1/AO22)),IF(AND(AL22=".",AM22&lt;&gt;".",AN22&lt;&gt;".",AO22&lt;&gt;"."),1/((1/AM22)+(1/AN22)+(1/AO22)),IF(AND(AL22&lt;&gt;".",AM22&lt;&gt;".",AN22=".",AO22="."),1/((1/AL22)+(1/AM22)),IF(AND(AL22&lt;&gt;".",AM22=".",AN22&lt;&gt;".",AO22="."),1/((1/AL22)+(1/AN22)),IF(AND(AL22&lt;&gt;".",AM22=".",AN22=".",AO22&lt;&gt;"."),1/((1/AL22)+(1/AO22)),IF(AND(AL22=".",AM22=".",AN22&lt;&gt;".",AO22&lt;&gt;"."),1/((1/AN22)+(1/AO22)),IF(AND(AL22=".",AM22&lt;&gt;".",AN22=".",AO22&lt;&gt;"."),1/((1/AM22)+(1/AO22)),IF(AND(AL22=".",AM22&lt;&gt;".",AN22&lt;&gt;".",AO22="."),1/((1/AM22)+(1/AN22)),IF(AND(AL22&lt;&gt;".",AM22=".",AN22=".",AO22="."),1/((1/AL22)),IF(AND(AL22=".",AM22&lt;&gt;".",AN22=".",AO22="."),1/((1/AM22)),IF(AND(AL22=".",AM22=".",AN22&lt;&gt;".",AO22="."),1/((1/AN22)),IF(AND(AL22=".",AM22=".",AN22=".",AO22&lt;&gt;"."),1/((1/AO22)),IF(AND(AL22=".",AM22=".",AN22=".",AO22="."),".")))))))))))))))))</f>
        <v>15.804891917899466</v>
      </c>
      <c r="AQ22" s="189">
        <f>AP22*(0.0000000000000028)*s_RadSpec!$AY22*s_RadSpec!$AF22</f>
        <v>4.0646717926937638E-13</v>
      </c>
      <c r="AR22" s="40">
        <f t="shared" si="4"/>
        <v>1375</v>
      </c>
      <c r="AS22" s="40">
        <f>IF(s_RadSpec!D22&lt;&gt;"",s_C*s_IFA_res_adj*s_K*s_RadSpec!D22,0)</f>
        <v>0</v>
      </c>
      <c r="AT22" s="40">
        <f t="shared" si="5"/>
        <v>0.12557077625570776</v>
      </c>
      <c r="AU22" s="40">
        <f>s_b2w!AC22</f>
        <v>421.25343392909139</v>
      </c>
      <c r="AV22" s="18"/>
      <c r="AW22" s="15">
        <f>IFERROR(s_DL/(s_RadSpec!F22*s_EF_res*1*s_IRF_res*0.001*s_CF_res_fish),".")</f>
        <v>3.7540144492016148</v>
      </c>
      <c r="AX22" s="189">
        <f>IFERROR(AW22*(0.0000000000028)*s_RadSpec!$AY22*s_RadSpec!$AF22,0)</f>
        <v>9.654502365659062E-11</v>
      </c>
      <c r="AY22" s="40">
        <f t="shared" si="6"/>
        <v>7562.5</v>
      </c>
    </row>
    <row r="23" spans="1:51" x14ac:dyDescent="0.25">
      <c r="A23" s="46" t="s">
        <v>21</v>
      </c>
      <c r="B23" s="42" t="s">
        <v>335</v>
      </c>
      <c r="C23" s="238"/>
      <c r="D23" s="15">
        <f>IFERROR(((s_DL/(s_RadSpec!E23*s_IFS_res_adj*(1/1000)))*1),".")</f>
        <v>986.15390608166047</v>
      </c>
      <c r="E23" s="15">
        <f>IFERROR(IF(A23="H-3",(s_DL/((s_RadSpec!H23*s_IFA_res_adj*(1/17)*1000))*1),(s_DL/((s_RadSpec!H23*s_IFA_res_adj*(1/s_PEF_wind)*1000))*1)),".")</f>
        <v>405404.32762979425</v>
      </c>
      <c r="F23" s="15">
        <f>IFERROR((s_DL/(s_RadSpec!G23*s_EF_res*(1/365)*1*s_RadSpec!R23*((s_ET_res_o*(1/24)*s_RadSpec!W23)+(s_ET_res_i*(1/24)*s_RadSpec!AB23))))*1,".")</f>
        <v>30618.818782145412</v>
      </c>
      <c r="G23" s="15">
        <f>s_b2s!C23</f>
        <v>19.948496127878233</v>
      </c>
      <c r="H23" s="15">
        <f>s_dir!C23</f>
        <v>0.49307695304083027</v>
      </c>
      <c r="I23" s="15">
        <f t="shared" si="24"/>
        <v>19.539547077939705</v>
      </c>
      <c r="J23" s="189">
        <f>IFERROR(I23*(0.0000000000028)*s_RadSpec!$AY23*s_RadSpec!$AF23,0)</f>
        <v>1.9783400625472396E-5</v>
      </c>
      <c r="K23" s="40">
        <f t="shared" si="0"/>
        <v>15.125</v>
      </c>
      <c r="L23" s="40">
        <f t="shared" si="1"/>
        <v>1.6181272791589674E-3</v>
      </c>
      <c r="M23" s="40">
        <f>IFERROR((s_C*s_EF_res*(1/365)*1*s_RadSpec!R23*((s_ET_res_o*(1/24)*s_RadSpec!W23)+(s_ET_res_i*(1/24)*s_RadSpec!AB23))),".")</f>
        <v>2.5711403441828522E-2</v>
      </c>
      <c r="N23" s="40">
        <f>s_b2s!AC23</f>
        <v>747.70437500000003</v>
      </c>
      <c r="O23" s="18"/>
      <c r="P23" s="15">
        <f>IFERROR((s_DL/(s_RadSpec!G23*s_EF_res*(1/365)*1*s_RadSpec!R23*((s_ET_res_o*(1/24)*s_RadSpec!W23)+(s_ET_res_i*(1/24)*s_RadSpec!AB23))))*1,".")</f>
        <v>30618.818782145412</v>
      </c>
      <c r="Q23" s="15">
        <f>IFERROR((s_DL/(s_RadSpec!N23*s_EF_res*(1/365)*1*s_RadSpec!S23*((s_ET_res_o*(1/24)*s_RadSpec!X23)+(s_ET_res_i*(1/24)*s_RadSpec!AC23))))*1,".")</f>
        <v>218522.46435973141</v>
      </c>
      <c r="R23" s="15">
        <f>IFERROR((s_DL/(s_RadSpec!O23*s_EF_res*(1/365)*1*s_RadSpec!T23*((s_ET_res_o*(1/24)*s_RadSpec!Y23)+(s_ET_res_i*(1/24)*s_RadSpec!AD23))))*1,".")</f>
        <v>55997.996554244797</v>
      </c>
      <c r="S23" s="15">
        <f>IFERROR((s_DL/(s_RadSpec!P23*s_EF_res*(1/365)*1*s_RadSpec!U23*((s_ET_res_o*(1/24)*s_RadSpec!Z23)+(s_ET_res_i*(1/24)*s_RadSpec!AE23))))*1,".")</f>
        <v>32298.308916559214</v>
      </c>
      <c r="T23" s="15">
        <f>IFERROR((s_DL/(s_RadSpec!L23*s_EF_res*(1/365)*1*s_RadSpec!Q23*((s_ET_res_o*(1/24)*s_RadSpec!V23)+(s_ET_res_i*(1/24)*s_RadSpec!AA23))))*1,".")</f>
        <v>348895.7246544598</v>
      </c>
      <c r="U23" s="189">
        <f>IFERROR(P23*(0.0000000000028)*s_RadSpec!$AY23*s_RadSpec!$AF23,0)</f>
        <v>3.1000941640546592E-2</v>
      </c>
      <c r="V23" s="189">
        <f>IFERROR(Q23*(0.0000000000028)*s_RadSpec!$AY23*s_RadSpec!$AF23,0)</f>
        <v>0.22124962471494089</v>
      </c>
      <c r="W23" s="189">
        <f>IFERROR(R23*(0.0000000000028)*s_RadSpec!$AY23*s_RadSpec!$AF23,0)</f>
        <v>5.6696851551241774E-2</v>
      </c>
      <c r="X23" s="189">
        <f>IFERROR(S23*(0.0000000000028)*s_RadSpec!$AY23*s_RadSpec!$AF23,0)</f>
        <v>3.2701391811837878E-2</v>
      </c>
      <c r="Y23" s="189">
        <f>IFERROR(T23*(0.0000000000028)*s_RadSpec!$AY23*s_RadSpec!$AF23,0)</f>
        <v>0.35324994329814746</v>
      </c>
      <c r="Z23" s="40">
        <f>IFERROR((s_C*s_EF_res*(1/365)*1*s_RadSpec!R23*((s_ET_res_o*(1/24)*s_RadSpec!W23)+(s_ET_res_i*(1/24)*s_RadSpec!AB23))),".")</f>
        <v>2.5711403441828522E-2</v>
      </c>
      <c r="AA23" s="40">
        <f>IFERROR((s_C*s_EF_res*(1/365)*1*s_RadSpec!S23*((s_ET_res_o*(1/24)*s_RadSpec!X23)+(s_ET_res_i*(1/24)*s_RadSpec!AC23))),".")</f>
        <v>1.4444456010326007E-2</v>
      </c>
      <c r="AB23" s="40">
        <f>IFERROR((s_C*s_EF_res*(1/365)*1*s_RadSpec!T23*((s_ET_res_o*(1/24)*s_RadSpec!Y23)+(s_ET_res_i*(1/24)*s_RadSpec!AD23))),".")</f>
        <v>2.0427009249202967E-2</v>
      </c>
      <c r="AC23" s="40">
        <f>IFERROR((s_C*s_EF_res*(1/365)*1*s_RadSpec!U23*((s_ET_res_o*(1/24)*s_RadSpec!Z23)+(s_ET_res_i*(1/24)*s_RadSpec!AE23))),".")</f>
        <v>2.4961763532384631E-2</v>
      </c>
      <c r="AD23" s="40">
        <f>IFERROR((s_C*s_EF_res*(1/365)*1*s_RadSpec!Q23*((s_ET_res_o*(1/24)*s_RadSpec!V23)+(s_ET_res_i*(1/24)*s_RadSpec!AA23))),".")</f>
        <v>9.175999629766755E-3</v>
      </c>
      <c r="AE23" s="15">
        <f>IFERROR((s_DL/(s_RadSpec!H23*s_IFA_res_adj)),".")</f>
        <v>1.3085838328556778</v>
      </c>
      <c r="AF23" s="15">
        <f>IFERROR((s_DL/(s_RadSpec!K23*s_EF_res*(1/365)*1*s_ET_res*(1/24)*s_GSF_a)),".")</f>
        <v>8772135.5143791866</v>
      </c>
      <c r="AG23" s="15">
        <f t="shared" si="25"/>
        <v>1.3085836376476365</v>
      </c>
      <c r="AH23" s="189">
        <f>AG23*(0.0000000000000028)*s_RadSpec!$AY23*s_RadSpec!$AF23</f>
        <v>1.3249147614454791E-9</v>
      </c>
      <c r="AI23" s="40">
        <f t="shared" si="2"/>
        <v>501.30208333333326</v>
      </c>
      <c r="AJ23" s="40">
        <f t="shared" si="3"/>
        <v>7.8481735159817351E-2</v>
      </c>
      <c r="AK23" s="18"/>
      <c r="AL23" s="15">
        <f>IFERROR((s_DL/(s_RadSpec!I23*s_IFW_res_adj)),".")</f>
        <v>10.847692966898265</v>
      </c>
      <c r="AM23" s="15" t="str">
        <f>IFERROR(IF(AND(s_RadSpec!C23=1,s_RadSpec!D23&lt;&gt;0),(s_DL/(s_RadSpec!H23*s_IFA_res_adj*s_K*s_RadSpec!D23)),"."),".")</f>
        <v>.</v>
      </c>
      <c r="AN23" s="15">
        <f>IFERROR((s_DL/(s_RadSpec!M23*(1/8760)*s_DFA_res_adj)),".")</f>
        <v>2492812.6324670389</v>
      </c>
      <c r="AO23" s="15">
        <f>s_b2w!C23</f>
        <v>35.407611257587568</v>
      </c>
      <c r="AP23" s="15">
        <f t="shared" si="26"/>
        <v>8.3036880337629331</v>
      </c>
      <c r="AQ23" s="189">
        <f>AP23*(0.0000000000000028)*s_RadSpec!$AY23*s_RadSpec!$AF23</f>
        <v>8.4073180604242956E-9</v>
      </c>
      <c r="AR23" s="40">
        <f t="shared" si="4"/>
        <v>1375</v>
      </c>
      <c r="AS23" s="40">
        <f>IF(s_RadSpec!D23&lt;&gt;"",s_C*s_IFA_res_adj*s_K*s_RadSpec!D23,0)</f>
        <v>0</v>
      </c>
      <c r="AT23" s="40">
        <f t="shared" si="5"/>
        <v>0.12557077625570776</v>
      </c>
      <c r="AU23" s="40">
        <f>s_b2w!AC23</f>
        <v>421.25343392909139</v>
      </c>
      <c r="AV23" s="18"/>
      <c r="AW23" s="15">
        <f>IFERROR(s_DL/(s_RadSpec!F23*s_EF_res*1*s_IRF_res*0.001*s_CF_res_fish),".")</f>
        <v>1.9723078121633206</v>
      </c>
      <c r="AX23" s="189">
        <f>IFERROR(AW23*(0.0000000000028)*s_RadSpec!$AY23*s_RadSpec!$AF23,0)</f>
        <v>1.996922213659119E-6</v>
      </c>
      <c r="AY23" s="40">
        <f t="shared" si="6"/>
        <v>7562.5</v>
      </c>
    </row>
    <row r="24" spans="1:51" x14ac:dyDescent="0.25">
      <c r="A24" s="44" t="s">
        <v>22</v>
      </c>
      <c r="B24" s="42" t="s">
        <v>1057</v>
      </c>
      <c r="C24" s="238"/>
      <c r="D24" s="15" t="str">
        <f>IFERROR(((s_DL/(s_RadSpec!E24*s_IFS_res_adj*(1/1000)))*1),".")</f>
        <v>.</v>
      </c>
      <c r="E24" s="15" t="str">
        <f>IFERROR(IF(A24="H-3",(s_DL/((s_RadSpec!H24*s_IFA_res_adj*(1/17)*1000))*1),(s_DL/((s_RadSpec!H24*s_IFA_res_adj*(1/s_PEF_wind)*1000))*1)),".")</f>
        <v>.</v>
      </c>
      <c r="F24" s="15">
        <f>IFERROR((s_DL/(s_RadSpec!G24*s_EF_res*(1/365)*1*s_RadSpec!R24*((s_ET_res_o*(1/24)*s_RadSpec!W24)+(s_ET_res_i*(1/24)*s_RadSpec!AB24))))*1,".")</f>
        <v>299280.81260083482</v>
      </c>
      <c r="G24" s="15" t="str">
        <f>s_b2s!C24</f>
        <v>.</v>
      </c>
      <c r="H24" s="15" t="str">
        <f>s_dir!C24</f>
        <v>.</v>
      </c>
      <c r="I24" s="15">
        <f t="shared" ref="I24:I25" si="27">(IF(AND(D24&lt;&gt;".",E24&lt;&gt;".",F24&lt;&gt;".",G24&lt;&gt;"."),1/((1/D24)+(1/E24)+(1/F24)+(1/G24)),IF(AND(D24&lt;&gt;".",E24&lt;&gt;".",F24&lt;&gt;".",G24="."), 1/((1/D24)+(1/E24)+(1/F24)),IF(AND(D24&lt;&gt;".",E24&lt;&gt;".",F24=".",G24&lt;&gt;"."),1/((1/D24)+(1/E24)+(1/G24)),IF(AND(D24&lt;&gt;".",E24=".",F24&lt;&gt;".",G24&lt;&gt;"."),1/((1/D24)+(1/F24)+(1/G24)),IF(AND(D24=".",E24&lt;&gt;".",F24&lt;&gt;".",G24&lt;&gt;"."),1/((1/E24)+(1/F24)+(1/G24)),IF(AND(D24&lt;&gt;".",E24&lt;&gt;".",F24=".",G24="."),1/((1/D24)+(1/E24)),IF(AND(D24&lt;&gt;".",E24=".",F24&lt;&gt;".",G24="."),1/((1/D24)+(1/F24)),IF(AND(D24&lt;&gt;".",E24=".",F24=".",G24&lt;&gt;"."),1/((1/D24)+(1/G24)),IF(AND(D24=".",E24=".",F24&lt;&gt;".",G24&lt;&gt;"."),1/((1/F24)+(1/G24)),IF(AND(D24=".",E24&lt;&gt;".",F24=".",G24&lt;&gt;"."),1/((1/E24)+(1/G24)),IF(AND(D24=".",E24&lt;&gt;".",F24&lt;&gt;".",G24="."),1/((1/E24)+(1/F24)),IF(AND(D24&lt;&gt;".",E24=".",F24=".",G24="."),1/((1/D24)),IF(AND(D24=".",E24&lt;&gt;".",F24=".",G24="."),1/((1/E24)),IF(AND(D24=".",E24=".",F24&lt;&gt;".",G24="."),1/((1/F24)),IF(AND(D24=".",E24=".",F24=".",G24&lt;&gt;"."),1/((1/G24)),IF(AND(D24=".",E24=".",F24=".",G24="."),".")))))))))))))))))</f>
        <v>299280.81260083482</v>
      </c>
      <c r="J24" s="189">
        <f>IFERROR(I24*(0.0000000000028)*s_RadSpec!$AY24*s_RadSpec!$AF24,0)</f>
        <v>2.0274718672007335E-13</v>
      </c>
      <c r="K24" s="40">
        <f t="shared" si="0"/>
        <v>15.125</v>
      </c>
      <c r="L24" s="40">
        <f t="shared" si="1"/>
        <v>1.6181272791589674E-3</v>
      </c>
      <c r="M24" s="40">
        <f>IFERROR((s_C*s_EF_res*(1/365)*1*s_RadSpec!R24*((s_ET_res_o*(1/24)*s_RadSpec!W24)+(s_ET_res_i*(1/24)*s_RadSpec!AB24))),".")</f>
        <v>1.9613243284610078E-2</v>
      </c>
      <c r="N24" s="40">
        <f>s_b2s!AC24</f>
        <v>408.375</v>
      </c>
      <c r="O24" s="18"/>
      <c r="P24" s="15">
        <f>IFERROR((s_DL/(s_RadSpec!G24*s_EF_res*(1/365)*1*s_RadSpec!R24*((s_ET_res_o*(1/24)*s_RadSpec!W24)+(s_ET_res_i*(1/24)*s_RadSpec!AB24))))*1,".")</f>
        <v>299280.81260083482</v>
      </c>
      <c r="Q24" s="15">
        <f>IFERROR((s_DL/(s_RadSpec!N24*s_EF_res*(1/365)*1*s_RadSpec!S24*((s_ET_res_o*(1/24)*s_RadSpec!X24)+(s_ET_res_i*(1/24)*s_RadSpec!AC24))))*1,".")</f>
        <v>2695270.9115927531</v>
      </c>
      <c r="R24" s="15">
        <f>IFERROR((s_DL/(s_RadSpec!O24*s_EF_res*(1/365)*1*s_RadSpec!T24*((s_ET_res_o*(1/24)*s_RadSpec!Y24)+(s_ET_res_i*(1/24)*s_RadSpec!AD24))))*1,".")</f>
        <v>666788.74871165422</v>
      </c>
      <c r="S24" s="15">
        <f>IFERROR((s_DL/(s_RadSpec!P24*s_EF_res*(1/365)*1*s_RadSpec!U24*((s_ET_res_o*(1/24)*s_RadSpec!Z24)+(s_ET_res_i*(1/24)*s_RadSpec!AE24))))*1,".")</f>
        <v>357560.54285546154</v>
      </c>
      <c r="T24" s="15">
        <f>IFERROR((s_DL/(s_RadSpec!L24*s_EF_res*(1/365)*1*s_RadSpec!Q24*((s_ET_res_o*(1/24)*s_RadSpec!V24)+(s_ET_res_i*(1/24)*s_RadSpec!AA24))))*1,".")</f>
        <v>4538073.6248408938</v>
      </c>
      <c r="U24" s="189">
        <f>IFERROR(P24*(0.0000000000028)*s_RadSpec!$AY24*s_RadSpec!$AF24,0)</f>
        <v>2.0274718672007335E-13</v>
      </c>
      <c r="V24" s="189">
        <f>IFERROR(Q24*(0.0000000000028)*s_RadSpec!$AY24*s_RadSpec!$AF24,0)</f>
        <v>1.8259058775769773E-12</v>
      </c>
      <c r="W24" s="189">
        <f>IFERROR(R24*(0.0000000000028)*s_RadSpec!$AY24*s_RadSpec!$AF24,0)</f>
        <v>4.5171470153081484E-13</v>
      </c>
      <c r="X24" s="189">
        <f>IFERROR(S24*(0.0000000000028)*s_RadSpec!$AY24*s_RadSpec!$AF24,0)</f>
        <v>2.4222867318506084E-13</v>
      </c>
      <c r="Y24" s="189">
        <f>IFERROR(T24*(0.0000000000028)*s_RadSpec!$AY24*s_RadSpec!$AF24,0)</f>
        <v>3.0743088825818375E-12</v>
      </c>
      <c r="Z24" s="40">
        <f>IFERROR((s_C*s_EF_res*(1/365)*1*s_RadSpec!R24*((s_ET_res_o*(1/24)*s_RadSpec!W24)+(s_ET_res_i*(1/24)*s_RadSpec!AB24))),".")</f>
        <v>1.9613243284610078E-2</v>
      </c>
      <c r="AA24" s="40">
        <f>IFERROR((s_C*s_EF_res*(1/365)*1*s_RadSpec!S24*((s_ET_res_o*(1/24)*s_RadSpec!X24)+(s_ET_res_i*(1/24)*s_RadSpec!AC24))),".")</f>
        <v>1.081802615193026E-2</v>
      </c>
      <c r="AB24" s="40">
        <f>IFERROR((s_C*s_EF_res*(1/365)*1*s_RadSpec!T24*((s_ET_res_o*(1/24)*s_RadSpec!Y24)+(s_ET_res_i*(1/24)*s_RadSpec!AD24))),".")</f>
        <v>1.5321580880995464E-2</v>
      </c>
      <c r="AC24" s="40">
        <f>IFERROR((s_C*s_EF_res*(1/365)*1*s_RadSpec!U24*((s_ET_res_o*(1/24)*s_RadSpec!Z24)+(s_ET_res_i*(1/24)*s_RadSpec!AE24))),".")</f>
        <v>1.8347773972602739E-2</v>
      </c>
      <c r="AD24" s="40">
        <f>IFERROR((s_C*s_EF_res*(1/365)*1*s_RadSpec!Q24*((s_ET_res_o*(1/24)*s_RadSpec!V24)+(s_ET_res_i*(1/24)*s_RadSpec!AA24))),".")</f>
        <v>6.509016819837005E-3</v>
      </c>
      <c r="AE24" s="15" t="str">
        <f>IFERROR((s_DL/(s_RadSpec!H24*s_IFA_res_adj)),".")</f>
        <v>.</v>
      </c>
      <c r="AF24" s="15">
        <f>IFERROR((s_DL/(s_RadSpec!K24*s_EF_res*(1/365)*1*s_ET_res*(1/24)*s_GSF_a)),".")</f>
        <v>80239239.557997867</v>
      </c>
      <c r="AG24" s="15">
        <f t="shared" ref="AG24" si="28">IFERROR(IF(AND(AE24&lt;&gt;".",AF24&lt;&gt;"."),1/((1/AE24)+(1/AF24)),IF(AND(AE24&lt;&gt;".",AF24="."),1/((1/AE24)),IF(AND(AE24=".",AF24&lt;&gt;"."),1/((1/AF24)),IF(AND(AE24=".",AF24="."),".")))),".")</f>
        <v>80239239.557997867</v>
      </c>
      <c r="AH24" s="189">
        <f>AG24*(0.0000000000000028)*s_RadSpec!$AY24*s_RadSpec!$AF24</f>
        <v>5.4357912034407215E-14</v>
      </c>
      <c r="AI24" s="40">
        <f t="shared" si="2"/>
        <v>501.30208333333326</v>
      </c>
      <c r="AJ24" s="40">
        <f t="shared" si="3"/>
        <v>7.8481735159817351E-2</v>
      </c>
      <c r="AK24" s="18"/>
      <c r="AL24" s="15" t="str">
        <f>IFERROR((s_DL/(s_RadSpec!I24*s_IFW_res_adj)),".")</f>
        <v>.</v>
      </c>
      <c r="AM24" s="15" t="str">
        <f>IFERROR(IF(AND(s_RadSpec!C24=1,s_RadSpec!D24&lt;&gt;0),(s_DL/(s_RadSpec!H24*s_IFA_res_adj*s_K*s_RadSpec!D24)),"."),".")</f>
        <v>.</v>
      </c>
      <c r="AN24" s="15">
        <f>IFERROR((s_DL/(s_RadSpec!M24*(1/8760)*s_DFA_res_adj)),".")</f>
        <v>23072853.052874897</v>
      </c>
      <c r="AO24" s="15" t="str">
        <f>s_b2w!C24</f>
        <v>.</v>
      </c>
      <c r="AP24" s="15">
        <f t="shared" ref="AP24" si="29">(IF(AND(AL24&lt;&gt;".",AM24&lt;&gt;".",AN24&lt;&gt;".",AO24&lt;&gt;"."),1/((1/AL24)+(1/AM24)+(1/AN24)+(1/AO24)),IF(AND(AL24&lt;&gt;".",AM24&lt;&gt;".",AN24&lt;&gt;".",AO24="."), 1/((1/AL24)+(1/AM24)+(1/AN24)),IF(AND(AL24&lt;&gt;".",AM24&lt;&gt;".",AN24=".",AO24&lt;&gt;"."),1/((1/AL24)+(1/AM24)+(1/AO24)),IF(AND(AL24&lt;&gt;".",AM24=".",AN24&lt;&gt;".",AO24&lt;&gt;"."),1/((1/AL24)+(1/AN24)+(1/AO24)),IF(AND(AL24=".",AM24&lt;&gt;".",AN24&lt;&gt;".",AO24&lt;&gt;"."),1/((1/AM24)+(1/AN24)+(1/AO24)),IF(AND(AL24&lt;&gt;".",AM24&lt;&gt;".",AN24=".",AO24="."),1/((1/AL24)+(1/AM24)),IF(AND(AL24&lt;&gt;".",AM24=".",AN24&lt;&gt;".",AO24="."),1/((1/AL24)+(1/AN24)),IF(AND(AL24&lt;&gt;".",AM24=".",AN24=".",AO24&lt;&gt;"."),1/((1/AL24)+(1/AO24)),IF(AND(AL24=".",AM24=".",AN24&lt;&gt;".",AO24&lt;&gt;"."),1/((1/AN24)+(1/AO24)),IF(AND(AL24=".",AM24&lt;&gt;".",AN24=".",AO24&lt;&gt;"."),1/((1/AM24)+(1/AO24)),IF(AND(AL24=".",AM24&lt;&gt;".",AN24&lt;&gt;".",AO24="."),1/((1/AM24)+(1/AN24)),IF(AND(AL24&lt;&gt;".",AM24=".",AN24=".",AO24="."),1/((1/AL24)),IF(AND(AL24=".",AM24&lt;&gt;".",AN24=".",AO24="."),1/((1/AM24)),IF(AND(AL24=".",AM24=".",AN24&lt;&gt;".",AO24="."),1/((1/AN24)),IF(AND(AL24=".",AM24=".",AN24=".",AO24&lt;&gt;"."),1/((1/AO24)),IF(AND(AL24=".",AM24=".",AN24=".",AO24="."),".")))))))))))))))))</f>
        <v>23072853.052874897</v>
      </c>
      <c r="AQ24" s="189">
        <f>AP24*(0.0000000000000028)*s_RadSpec!$AY24*s_RadSpec!$AF24</f>
        <v>1.5630658061314659E-14</v>
      </c>
      <c r="AR24" s="40">
        <f t="shared" si="4"/>
        <v>1375</v>
      </c>
      <c r="AS24" s="40">
        <f>IF(s_RadSpec!D24&lt;&gt;"",s_C*s_IFA_res_adj*s_K*s_RadSpec!D24,0)</f>
        <v>3.6407565104166666E-5</v>
      </c>
      <c r="AT24" s="40">
        <f t="shared" si="5"/>
        <v>0.12557077625570776</v>
      </c>
      <c r="AU24" s="40">
        <f>s_b2w!AC24</f>
        <v>0</v>
      </c>
      <c r="AV24" s="18"/>
      <c r="AW24" s="15" t="str">
        <f>IFERROR(s_DL/(s_RadSpec!F24*s_EF_res*1*s_IRF_res*0.001*s_CF_res_fish),".")</f>
        <v>.</v>
      </c>
      <c r="AX24" s="189">
        <f>IFERROR(AW24*(0.0000000000028)*s_RadSpec!$AY24*s_RadSpec!$AF24,0)</f>
        <v>0</v>
      </c>
      <c r="AY24" s="40">
        <f t="shared" si="6"/>
        <v>7562.5</v>
      </c>
    </row>
    <row r="25" spans="1:51" x14ac:dyDescent="0.25">
      <c r="A25" s="46" t="s">
        <v>23</v>
      </c>
      <c r="B25" s="42" t="s">
        <v>335</v>
      </c>
      <c r="C25" s="238"/>
      <c r="D25" s="15" t="str">
        <f>IFERROR(((s_DL/(s_RadSpec!E25*s_IFS_res_adj*(1/1000)))*1),".")</f>
        <v>.</v>
      </c>
      <c r="E25" s="15">
        <f>IFERROR(IF(A25="H-3",(s_DL/((s_RadSpec!H25*s_IFA_res_adj*(1/17)*1000))*1),(s_DL/((s_RadSpec!H25*s_IFA_res_adj*(1/s_PEF_wind)*1000))*1)),".")</f>
        <v>2358772355.1101465</v>
      </c>
      <c r="F25" s="15">
        <f>IFERROR((s_DL/(s_RadSpec!G25*s_EF_res*(1/365)*1*s_RadSpec!R25*((s_ET_res_o*(1/24)*s_RadSpec!W25)+(s_ET_res_i*(1/24)*s_RadSpec!AB25))))*1,".")</f>
        <v>667494.71672216873</v>
      </c>
      <c r="G25" s="15" t="str">
        <f>s_b2s!C25</f>
        <v>.</v>
      </c>
      <c r="H25" s="15" t="str">
        <f>s_dir!C25</f>
        <v>.</v>
      </c>
      <c r="I25" s="15">
        <f t="shared" si="27"/>
        <v>667305.87986884324</v>
      </c>
      <c r="J25" s="189">
        <f>IFERROR(I25*(0.0000000000028)*s_RadSpec!$AY25*s_RadSpec!$AF25,0)</f>
        <v>4.3451441372366183E-6</v>
      </c>
      <c r="K25" s="40">
        <f t="shared" si="0"/>
        <v>15.125</v>
      </c>
      <c r="L25" s="40">
        <f t="shared" si="1"/>
        <v>1.6181272791589674E-3</v>
      </c>
      <c r="M25" s="40">
        <f>IFERROR((s_C*s_EF_res*(1/365)*1*s_RadSpec!R25*((s_ET_res_o*(1/24)*s_RadSpec!W25)+(s_ET_res_i*(1/24)*s_RadSpec!AB25))),".")</f>
        <v>1.7587756849315066E-2</v>
      </c>
      <c r="N25" s="40">
        <f>s_b2s!AC25</f>
        <v>408.375</v>
      </c>
      <c r="O25" s="18"/>
      <c r="P25" s="15">
        <f>IFERROR((s_DL/(s_RadSpec!G25*s_EF_res*(1/365)*1*s_RadSpec!R25*((s_ET_res_o*(1/24)*s_RadSpec!W25)+(s_ET_res_i*(1/24)*s_RadSpec!AB25))))*1,".")</f>
        <v>667494.71672216873</v>
      </c>
      <c r="Q25" s="15">
        <f>IFERROR((s_DL/(s_RadSpec!N25*s_EF_res*(1/365)*1*s_RadSpec!S25*((s_ET_res_o*(1/24)*s_RadSpec!X25)+(s_ET_res_i*(1/24)*s_RadSpec!AC25))))*1,".")</f>
        <v>5774121.8536407091</v>
      </c>
      <c r="R25" s="15">
        <f>IFERROR((s_DL/(s_RadSpec!O25*s_EF_res*(1/365)*1*s_RadSpec!T25*((s_ET_res_o*(1/24)*s_RadSpec!Y25)+(s_ET_res_i*(1/24)*s_RadSpec!AD25))))*1,".")</f>
        <v>1452402.529998299</v>
      </c>
      <c r="S25" s="15">
        <f>IFERROR((s_DL/(s_RadSpec!P25*s_EF_res*(1/365)*1*s_RadSpec!U25*((s_ET_res_o*(1/24)*s_RadSpec!Z25)+(s_ET_res_i*(1/24)*s_RadSpec!AE25))))*1,".")</f>
        <v>839282.05673987919</v>
      </c>
      <c r="T25" s="15">
        <f>IFERROR((s_DL/(s_RadSpec!L25*s_EF_res*(1/365)*1*s_RadSpec!Q25*((s_ET_res_o*(1/24)*s_RadSpec!V25)+(s_ET_res_i*(1/24)*s_RadSpec!AA25))))*1,".")</f>
        <v>10494724.878274495</v>
      </c>
      <c r="U25" s="189">
        <f>IFERROR(P25*(0.0000000000028)*s_RadSpec!$AY25*s_RadSpec!$AF25,0)</f>
        <v>4.3463737432851712E-6</v>
      </c>
      <c r="V25" s="189">
        <f>IFERROR(Q25*(0.0000000000028)*s_RadSpec!$AY25*s_RadSpec!$AF25,0)</f>
        <v>3.7598037836813308E-5</v>
      </c>
      <c r="W25" s="189">
        <f>IFERROR(R25*(0.0000000000028)*s_RadSpec!$AY25*s_RadSpec!$AF25,0)</f>
        <v>9.4572796801522652E-6</v>
      </c>
      <c r="X25" s="189">
        <f>IFERROR(S25*(0.0000000000028)*s_RadSpec!$AY25*s_RadSpec!$AF25,0)</f>
        <v>5.464962348373049E-6</v>
      </c>
      <c r="Y25" s="189">
        <f>IFERROR(T25*(0.0000000000028)*s_RadSpec!$AY25*s_RadSpec!$AF25,0)</f>
        <v>6.833611639344232E-5</v>
      </c>
      <c r="Z25" s="40">
        <f>IFERROR((s_C*s_EF_res*(1/365)*1*s_RadSpec!R25*((s_ET_res_o*(1/24)*s_RadSpec!W25)+(s_ET_res_i*(1/24)*s_RadSpec!AB25))),".")</f>
        <v>1.7587756849315066E-2</v>
      </c>
      <c r="AA25" s="40">
        <f>IFERROR((s_C*s_EF_res*(1/365)*1*s_RadSpec!S25*((s_ET_res_o*(1/24)*s_RadSpec!X25)+(s_ET_res_i*(1/24)*s_RadSpec!AC25))),".")</f>
        <v>9.8212143355728143E-3</v>
      </c>
      <c r="AB25" s="40">
        <f>IFERROR((s_C*s_EF_res*(1/365)*1*s_RadSpec!T25*((s_ET_res_o*(1/24)*s_RadSpec!Y25)+(s_ET_res_i*(1/24)*s_RadSpec!AD25))),".")</f>
        <v>1.369181668220612E-2</v>
      </c>
      <c r="AC25" s="40">
        <f>IFERROR((s_C*s_EF_res*(1/365)*1*s_RadSpec!U25*((s_ET_res_o*(1/24)*s_RadSpec!Z25)+(s_ET_res_i*(1/24)*s_RadSpec!AE25))),".")</f>
        <v>1.5332813711553374E-2</v>
      </c>
      <c r="AD25" s="40">
        <f>IFERROR((s_C*s_EF_res*(1/365)*1*s_RadSpec!Q25*((s_ET_res_o*(1/24)*s_RadSpec!V25)+(s_ET_res_i*(1/24)*s_RadSpec!AA25))),".")</f>
        <v>5.4778672032193164E-3</v>
      </c>
      <c r="AE25" s="15">
        <f>IFERROR((s_DL/(s_RadSpec!H25*s_IFA_res_adj)),".")</f>
        <v>7613.7602855160121</v>
      </c>
      <c r="AF25" s="15">
        <f>IFERROR((s_DL/(s_RadSpec!K25*s_EF_res*(1/365)*1*s_ET_res*(1/24)*s_GSF_a)),".")</f>
        <v>157695615.31629637</v>
      </c>
      <c r="AG25" s="15">
        <f>IFERROR(IF(AND(AE25&lt;&gt;".",AF25&lt;&gt;"."),1/((1/AE25)+(1/AF25)),IF(AND(AE25&lt;&gt;".",AF25="."),1/((1/AE25)),IF(AND(AE25=".",AF25&lt;&gt;"."),1/((1/AF25)),IF(AND(AE25=".",AF25="."),".")))),".")</f>
        <v>7613.3927004892203</v>
      </c>
      <c r="AH25" s="189">
        <f>AG25*(0.0000000000000028)*s_RadSpec!$AY25*s_RadSpec!$AF25</f>
        <v>4.9574400068995074E-11</v>
      </c>
      <c r="AI25" s="40">
        <f t="shared" si="2"/>
        <v>501.30208333333326</v>
      </c>
      <c r="AJ25" s="40">
        <f t="shared" si="3"/>
        <v>7.8481735159817351E-2</v>
      </c>
      <c r="AK25" s="18"/>
      <c r="AL25" s="15" t="str">
        <f>IFERROR((s_DL/(s_RadSpec!I25*s_IFW_res_adj)),".")</f>
        <v>.</v>
      </c>
      <c r="AM25" s="15">
        <f>IFERROR(IF(AND(s_RadSpec!C25=1,s_RadSpec!D25&lt;&gt;0),(s_DL/(s_RadSpec!H25*s_IFA_res_adj*s_K*s_RadSpec!D25)),"."),".")</f>
        <v>15227.520571032024</v>
      </c>
      <c r="AN25" s="15">
        <f>IFERROR((s_DL/(s_RadSpec!M25*(1/8760)*s_DFA_res_adj)),".")</f>
        <v>45347974.484240822</v>
      </c>
      <c r="AO25" s="15" t="str">
        <f>s_b2w!C25</f>
        <v>.</v>
      </c>
      <c r="AP25" s="15">
        <f>(IF(AND(AL25&lt;&gt;".",AM25&lt;&gt;".",AN25&lt;&gt;".",AO25&lt;&gt;"."),1/((1/AL25)+(1/AM25)+(1/AN25)+(1/AO25)),IF(AND(AL25&lt;&gt;".",AM25&lt;&gt;".",AN25&lt;&gt;".",AO25="."), 1/((1/AL25)+(1/AM25)+(1/AN25)),IF(AND(AL25&lt;&gt;".",AM25&lt;&gt;".",AN25=".",AO25&lt;&gt;"."),1/((1/AL25)+(1/AM25)+(1/AO25)),IF(AND(AL25&lt;&gt;".",AM25=".",AN25&lt;&gt;".",AO25&lt;&gt;"."),1/((1/AL25)+(1/AN25)+(1/AO25)),IF(AND(AL25=".",AM25&lt;&gt;".",AN25&lt;&gt;".",AO25&lt;&gt;"."),1/((1/AM25)+(1/AN25)+(1/AO25)),IF(AND(AL25&lt;&gt;".",AM25&lt;&gt;".",AN25=".",AO25="."),1/((1/AL25)+(1/AM25)),IF(AND(AL25&lt;&gt;".",AM25=".",AN25&lt;&gt;".",AO25="."),1/((1/AL25)+(1/AN25)),IF(AND(AL25&lt;&gt;".",AM25=".",AN25=".",AO25&lt;&gt;"."),1/((1/AL25)+(1/AO25)),IF(AND(AL25=".",AM25=".",AN25&lt;&gt;".",AO25&lt;&gt;"."),1/((1/AN25)+(1/AO25)),IF(AND(AL25=".",AM25&lt;&gt;".",AN25=".",AO25&lt;&gt;"."),1/((1/AM25)+(1/AO25)),IF(AND(AL25=".",AM25&lt;&gt;".",AN25&lt;&gt;".",AO25="."),1/((1/AM25)+(1/AN25)),IF(AND(AL25&lt;&gt;".",AM25=".",AN25=".",AO25="."),1/((1/AL25)),IF(AND(AL25=".",AM25&lt;&gt;".",AN25=".",AO25="."),1/((1/AM25)),IF(AND(AL25=".",AM25=".",AN25&lt;&gt;".",AO25="."),1/((1/AN25)),IF(AND(AL25=".",AM25=".",AN25=".",AO25&lt;&gt;"."),1/((1/AO25)),IF(AND(AL25=".",AM25=".",AN25=".",AO25="."),".")))))))))))))))))</f>
        <v>15222.408996617225</v>
      </c>
      <c r="AQ25" s="189">
        <f>AP25*(0.0000000000000028)*s_RadSpec!$AY25*s_RadSpec!$AF25</f>
        <v>9.912030329969457E-11</v>
      </c>
      <c r="AR25" s="40">
        <f t="shared" si="4"/>
        <v>1375</v>
      </c>
      <c r="AS25" s="40">
        <f>IF(s_RadSpec!D25&lt;&gt;"",s_C*s_IFA_res_adj*s_K*s_RadSpec!D25,0)</f>
        <v>250.65104166666663</v>
      </c>
      <c r="AT25" s="40">
        <f t="shared" si="5"/>
        <v>0.12557077625570776</v>
      </c>
      <c r="AU25" s="40">
        <f>s_b2w!AC25</f>
        <v>0</v>
      </c>
      <c r="AV25" s="18"/>
      <c r="AW25" s="15" t="str">
        <f>IFERROR(s_DL/(s_RadSpec!F25*s_EF_res*1*s_IRF_res*0.001*s_CF_res_fish),".")</f>
        <v>.</v>
      </c>
      <c r="AX25" s="189">
        <f>IFERROR(AW25*(0.0000000000028)*s_RadSpec!$AY25*s_RadSpec!$AF25,0)</f>
        <v>0</v>
      </c>
      <c r="AY25" s="40">
        <f t="shared" si="6"/>
        <v>7562.5</v>
      </c>
    </row>
    <row r="26" spans="1:51" x14ac:dyDescent="0.25">
      <c r="A26" s="44" t="s">
        <v>24</v>
      </c>
      <c r="B26" s="42" t="s">
        <v>1057</v>
      </c>
      <c r="C26" s="42"/>
      <c r="D26" s="15">
        <f>IFERROR(((s_DL/(s_RadSpec!E26*s_IFS_res_adj*(1/1000)))*1),".")</f>
        <v>733.54305329226952</v>
      </c>
      <c r="E26" s="15">
        <f>IFERROR(IF(A26="H-3",(s_DL/((s_RadSpec!H26*s_IFA_res_adj*(1/17)*1000))*1),(s_DL/((s_RadSpec!H26*s_IFA_res_adj*(1/s_PEF_wind)*1000))*1)),".")</f>
        <v>55306.815557442133</v>
      </c>
      <c r="F26" s="15">
        <f>IFERROR((s_DL/(s_RadSpec!G26*s_EF_res*(1/365)*1*s_RadSpec!R26*((s_ET_res_o*(1/24)*s_RadSpec!W26)+(s_ET_res_i*(1/24)*s_RadSpec!AB26))))*1,".")</f>
        <v>26940.225201737314</v>
      </c>
      <c r="G26" s="15">
        <f>s_b2s!C26</f>
        <v>25.496804076895014</v>
      </c>
      <c r="H26" s="15">
        <f>s_dir!C26</f>
        <v>0.36677152664613477</v>
      </c>
      <c r="I26" s="15">
        <f t="shared" ref="I26" si="30">(IF(AND(D26&lt;&gt;".",E26&lt;&gt;".",F26&lt;&gt;".",G26&lt;&gt;"."),1/((1/D26)+(1/E26)+(1/F26)+(1/G26)),IF(AND(D26&lt;&gt;".",E26&lt;&gt;".",F26&lt;&gt;".",G26="."), 1/((1/D26)+(1/E26)+(1/F26)),IF(AND(D26&lt;&gt;".",E26&lt;&gt;".",F26=".",G26&lt;&gt;"."),1/((1/D26)+(1/E26)+(1/G26)),IF(AND(D26&lt;&gt;".",E26=".",F26&lt;&gt;".",G26&lt;&gt;"."),1/((1/D26)+(1/F26)+(1/G26)),IF(AND(D26=".",E26&lt;&gt;".",F26&lt;&gt;".",G26&lt;&gt;"."),1/((1/E26)+(1/F26)+(1/G26)),IF(AND(D26&lt;&gt;".",E26&lt;&gt;".",F26=".",G26="."),1/((1/D26)+(1/E26)),IF(AND(D26&lt;&gt;".",E26=".",F26&lt;&gt;".",G26="."),1/((1/D26)+(1/F26)),IF(AND(D26&lt;&gt;".",E26=".",F26=".",G26&lt;&gt;"."),1/((1/D26)+(1/G26)),IF(AND(D26=".",E26=".",F26&lt;&gt;".",G26&lt;&gt;"."),1/((1/F26)+(1/G26)),IF(AND(D26=".",E26&lt;&gt;".",F26=".",G26&lt;&gt;"."),1/((1/E26)+(1/G26)),IF(AND(D26=".",E26&lt;&gt;".",F26&lt;&gt;".",G26="."),1/((1/E26)+(1/F26)),IF(AND(D26&lt;&gt;".",E26=".",F26=".",G26="."),1/((1/D26)),IF(AND(D26=".",E26&lt;&gt;".",F26=".",G26="."),1/((1/E26)),IF(AND(D26=".",E26=".",F26&lt;&gt;".",G26="."),1/((1/F26)),IF(AND(D26=".",E26=".",F26=".",G26&lt;&gt;"."),1/((1/G26)),IF(AND(D26=".",E26=".",F26=".",G26="."),".")))))))))))))))))</f>
        <v>24.606875346622701</v>
      </c>
      <c r="J26" s="189">
        <f>IFERROR(I26*(0.0000000000028)*s_RadSpec!$AY26*s_RadSpec!$AF26,0)</f>
        <v>1.1580999498634787E-4</v>
      </c>
      <c r="K26" s="40">
        <f t="shared" si="0"/>
        <v>15.125</v>
      </c>
      <c r="L26" s="40">
        <f t="shared" si="1"/>
        <v>1.6181272791589674E-3</v>
      </c>
      <c r="M26" s="40">
        <f>IFERROR((s_C*s_EF_res*(1/365)*1*s_RadSpec!R26*((s_ET_res_o*(1/24)*s_RadSpec!W26)+(s_ET_res_i*(1/24)*s_RadSpec!AB26))),".")</f>
        <v>3.2258279026466299E-3</v>
      </c>
      <c r="N26" s="40">
        <f>s_b2s!AC26</f>
        <v>435.14625000000001</v>
      </c>
      <c r="O26" s="18"/>
      <c r="P26" s="15">
        <f>IFERROR((s_DL/(s_RadSpec!G26*s_EF_res*(1/365)*1*s_RadSpec!R26*((s_ET_res_o*(1/24)*s_RadSpec!W26)+(s_ET_res_i*(1/24)*s_RadSpec!AB26))))*1,".")</f>
        <v>26940.225201737314</v>
      </c>
      <c r="Q26" s="15">
        <f>IFERROR((s_DL/(s_RadSpec!N26*s_EF_res*(1/365)*1*s_RadSpec!S26*((s_ET_res_o*(1/24)*s_RadSpec!X26)+(s_ET_res_i*(1/24)*s_RadSpec!AC26))))*1,".")</f>
        <v>165025.56920742252</v>
      </c>
      <c r="R26" s="15">
        <f>IFERROR((s_DL/(s_RadSpec!O26*s_EF_res*(1/365)*1*s_RadSpec!T26*((s_ET_res_o*(1/24)*s_RadSpec!Y26)+(s_ET_res_i*(1/24)*s_RadSpec!AD26))))*1,".")</f>
        <v>46793.433472121607</v>
      </c>
      <c r="S26" s="15">
        <f>IFERROR((s_DL/(s_RadSpec!P26*s_EF_res*(1/365)*1*s_RadSpec!U26*((s_ET_res_o*(1/24)*s_RadSpec!Z26)+(s_ET_res_i*(1/24)*s_RadSpec!AE26))))*1,".")</f>
        <v>30809.527091659795</v>
      </c>
      <c r="T26" s="15">
        <f>IFERROR((s_DL/(s_RadSpec!L26*s_EF_res*(1/365)*1*s_RadSpec!Q26*((s_ET_res_o*(1/24)*s_RadSpec!V26)+(s_ET_res_i*(1/24)*s_RadSpec!AA26))))*1,".")</f>
        <v>910299.09613230173</v>
      </c>
      <c r="U26" s="189">
        <f>IFERROR(P26*(0.0000000000028)*s_RadSpec!$AY26*s_RadSpec!$AF26,0)</f>
        <v>0.1267916914112581</v>
      </c>
      <c r="V26" s="189">
        <f>IFERROR(Q26*(0.0000000000028)*s_RadSpec!$AY26*s_RadSpec!$AF26,0)</f>
        <v>0.77667765912236708</v>
      </c>
      <c r="W26" s="189">
        <f>IFERROR(R26*(0.0000000000028)*s_RadSpec!$AY26*s_RadSpec!$AF26,0)</f>
        <v>0.22022898964066093</v>
      </c>
      <c r="X26" s="189">
        <f>IFERROR(S26*(0.0000000000028)*s_RadSpec!$AY26*s_RadSpec!$AF26,0)</f>
        <v>0.1450022047804044</v>
      </c>
      <c r="Y26" s="189">
        <f>IFERROR(T26*(0.0000000000028)*s_RadSpec!$AY26*s_RadSpec!$AF26,0)</f>
        <v>4.2842389484298344</v>
      </c>
      <c r="Z26" s="40">
        <f>IFERROR((s_C*s_EF_res*(1/365)*1*s_RadSpec!R26*((s_ET_res_o*(1/24)*s_RadSpec!W26)+(s_ET_res_i*(1/24)*s_RadSpec!AB26))),".")</f>
        <v>3.2258279026466299E-3</v>
      </c>
      <c r="AA26" s="40">
        <f>IFERROR((s_C*s_EF_res*(1/365)*1*s_RadSpec!S26*((s_ET_res_o*(1/24)*s_RadSpec!X26)+(s_ET_res_i*(1/24)*s_RadSpec!AC26))),".")</f>
        <v>1.7668480919765164E-3</v>
      </c>
      <c r="AB26" s="40">
        <f>IFERROR((s_C*s_EF_res*(1/365)*1*s_RadSpec!T26*((s_ET_res_o*(1/24)*s_RadSpec!Y26)+(s_ET_res_i*(1/24)*s_RadSpec!AD26))),".")</f>
        <v>2.4445130623549677E-3</v>
      </c>
      <c r="AC26" s="40">
        <f>IFERROR((s_C*s_EF_res*(1/365)*1*s_RadSpec!U26*((s_ET_res_o*(1/24)*s_RadSpec!Z26)+(s_ET_res_i*(1/24)*s_RadSpec!AE26))),".")</f>
        <v>2.8578176665092123E-3</v>
      </c>
      <c r="AD26" s="40">
        <f>IFERROR((s_C*s_EF_res*(1/365)*1*s_RadSpec!Q26*((s_ET_res_o*(1/24)*s_RadSpec!V26)+(s_ET_res_i*(1/24)*s_RadSpec!AA26))),".")</f>
        <v>3.0313751317175962E-4</v>
      </c>
      <c r="AE26" s="15">
        <f>IFERROR((s_DL/(s_RadSpec!H26*s_IFA_res_adj)),".")</f>
        <v>0.17852203282666859</v>
      </c>
      <c r="AF26" s="15">
        <f>IFERROR((s_DL/(s_RadSpec!K26*s_EF_res*(1/365)*1*s_ET_res*(1/24)*s_GSF_a)),".")</f>
        <v>821727.15209997806</v>
      </c>
      <c r="AG26" s="15">
        <f>IFERROR(IF(AND(AE26&lt;&gt;".",AF26&lt;&gt;"."),1/((1/AE26)+(1/AF26)),IF(AND(AE26&lt;&gt;".",AF26="."),1/((1/AE26)),IF(AND(AE26=".",AF26&lt;&gt;"."),1/((1/AF26)),IF(AND(AE26=".",AF26="."),".")))),".")</f>
        <v>0.17852199404237237</v>
      </c>
      <c r="AH26" s="189">
        <f>AG26*(0.0000000000000028)*s_RadSpec!$AY26*s_RadSpec!$AF26</f>
        <v>8.4019734093697374E-10</v>
      </c>
      <c r="AI26" s="40">
        <f t="shared" si="2"/>
        <v>501.30208333333326</v>
      </c>
      <c r="AJ26" s="40">
        <f t="shared" si="3"/>
        <v>7.8481735159817351E-2</v>
      </c>
      <c r="AK26" s="18"/>
      <c r="AL26" s="15">
        <f>IFERROR((s_DL/(s_RadSpec!I26*s_IFW_res_adj)),".")</f>
        <v>8.0689735862149643</v>
      </c>
      <c r="AM26" s="15" t="str">
        <f>IFERROR(IF(AND(s_RadSpec!C26=1,s_RadSpec!D26&lt;&gt;0),(s_DL/(s_RadSpec!H26*s_IFA_res_adj*s_K*s_RadSpec!D26)),"."),".")</f>
        <v>.</v>
      </c>
      <c r="AN26" s="15">
        <f>IFERROR((s_DL/(s_RadSpec!M26*(1/8760)*s_DFA_res_adj)),".")</f>
        <v>230416.73521722358</v>
      </c>
      <c r="AO26" s="15">
        <f>s_b2w!C26</f>
        <v>30.892115570245071</v>
      </c>
      <c r="AP26" s="15">
        <f>(IF(AND(AL26&lt;&gt;".",AM26&lt;&gt;".",AN26&lt;&gt;".",AO26&lt;&gt;"."),1/((1/AL26)+(1/AM26)+(1/AN26)+(1/AO26)),IF(AND(AL26&lt;&gt;".",AM26&lt;&gt;".",AN26&lt;&gt;".",AO26="."), 1/((1/AL26)+(1/AM26)+(1/AN26)),IF(AND(AL26&lt;&gt;".",AM26&lt;&gt;".",AN26=".",AO26&lt;&gt;"."),1/((1/AL26)+(1/AM26)+(1/AO26)),IF(AND(AL26&lt;&gt;".",AM26=".",AN26&lt;&gt;".",AO26&lt;&gt;"."),1/((1/AL26)+(1/AN26)+(1/AO26)),IF(AND(AL26=".",AM26&lt;&gt;".",AN26&lt;&gt;".",AO26&lt;&gt;"."),1/((1/AM26)+(1/AN26)+(1/AO26)),IF(AND(AL26&lt;&gt;".",AM26&lt;&gt;".",AN26=".",AO26="."),1/((1/AL26)+(1/AM26)),IF(AND(AL26&lt;&gt;".",AM26=".",AN26&lt;&gt;".",AO26="."),1/((1/AL26)+(1/AN26)),IF(AND(AL26&lt;&gt;".",AM26=".",AN26=".",AO26&lt;&gt;"."),1/((1/AL26)+(1/AO26)),IF(AND(AL26=".",AM26=".",AN26&lt;&gt;".",AO26&lt;&gt;"."),1/((1/AN26)+(1/AO26)),IF(AND(AL26=".",AM26&lt;&gt;".",AN26=".",AO26&lt;&gt;"."),1/((1/AM26)+(1/AO26)),IF(AND(AL26=".",AM26&lt;&gt;".",AN26&lt;&gt;".",AO26="."),1/((1/AM26)+(1/AN26)),IF(AND(AL26&lt;&gt;".",AM26=".",AN26=".",AO26="."),1/((1/AL26)),IF(AND(AL26=".",AM26&lt;&gt;".",AN26=".",AO26="."),1/((1/AM26)),IF(AND(AL26=".",AM26=".",AN26&lt;&gt;".",AO26="."),1/((1/AN26)),IF(AND(AL26=".",AM26=".",AN26=".",AO26&lt;&gt;"."),1/((1/AO26)),IF(AND(AL26=".",AM26=".",AN26=".",AO26="."),".")))))))))))))))))</f>
        <v>6.3976841731508429</v>
      </c>
      <c r="AQ26" s="189">
        <f>AP26*(0.0000000000000028)*s_RadSpec!$AY26*s_RadSpec!$AF26</f>
        <v>3.0110111973990516E-8</v>
      </c>
      <c r="AR26" s="40">
        <f t="shared" si="4"/>
        <v>1375</v>
      </c>
      <c r="AS26" s="40">
        <f>IF(s_RadSpec!D26&lt;&gt;"",s_C*s_IFA_res_adj*s_K*s_RadSpec!D26,0)</f>
        <v>0</v>
      </c>
      <c r="AT26" s="40">
        <f t="shared" si="5"/>
        <v>0.12557077625570776</v>
      </c>
      <c r="AU26" s="40">
        <f>s_b2w!AC26</f>
        <v>359.14790800964107</v>
      </c>
      <c r="AV26" s="18"/>
      <c r="AW26" s="15">
        <f>IFERROR(s_DL/(s_RadSpec!F26*s_EF_res*1*s_IRF_res*0.001*s_CF_res_fish),".")</f>
        <v>1.4670861065845391</v>
      </c>
      <c r="AX26" s="189">
        <f>IFERROR(AW26*(0.0000000000028)*s_RadSpec!$AY26*s_RadSpec!$AF26,0)</f>
        <v>6.9047057887183275E-6</v>
      </c>
      <c r="AY26" s="40">
        <f t="shared" si="6"/>
        <v>7562.5</v>
      </c>
    </row>
    <row r="27" spans="1:51" x14ac:dyDescent="0.25">
      <c r="A27" s="44" t="s">
        <v>25</v>
      </c>
      <c r="B27" s="42" t="s">
        <v>1057</v>
      </c>
      <c r="C27" s="238"/>
      <c r="D27" s="15" t="str">
        <f>IFERROR(((s_DL/(s_RadSpec!E27*s_IFS_res_adj*(1/1000)))*1),".")</f>
        <v>.</v>
      </c>
      <c r="E27" s="15" t="str">
        <f>IFERROR(IF(A27="H-3",(s_DL/((s_RadSpec!H27*s_IFA_res_adj*(1/17)*1000))*1),(s_DL/((s_RadSpec!H27*s_IFA_res_adj*(1/s_PEF_wind)*1000))*1)),".")</f>
        <v>.</v>
      </c>
      <c r="F27" s="15">
        <f>IFERROR((s_DL/(s_RadSpec!G27*s_EF_res*(1/365)*1*s_RadSpec!R27*((s_ET_res_o*(1/24)*s_RadSpec!W27)+(s_ET_res_i*(1/24)*s_RadSpec!AB27))))*1,".")</f>
        <v>127796.67381087026</v>
      </c>
      <c r="G27" s="15" t="str">
        <f>s_b2s!C27</f>
        <v>.</v>
      </c>
      <c r="H27" s="15" t="str">
        <f>s_dir!C27</f>
        <v>.</v>
      </c>
      <c r="I27" s="15">
        <f t="shared" ref="I27:I29" si="31">(IF(AND(D27&lt;&gt;".",E27&lt;&gt;".",F27&lt;&gt;".",G27&lt;&gt;"."),1/((1/D27)+(1/E27)+(1/F27)+(1/G27)),IF(AND(D27&lt;&gt;".",E27&lt;&gt;".",F27&lt;&gt;".",G27="."), 1/((1/D27)+(1/E27)+(1/F27)),IF(AND(D27&lt;&gt;".",E27&lt;&gt;".",F27=".",G27&lt;&gt;"."),1/((1/D27)+(1/E27)+(1/G27)),IF(AND(D27&lt;&gt;".",E27=".",F27&lt;&gt;".",G27&lt;&gt;"."),1/((1/D27)+(1/F27)+(1/G27)),IF(AND(D27=".",E27&lt;&gt;".",F27&lt;&gt;".",G27&lt;&gt;"."),1/((1/E27)+(1/F27)+(1/G27)),IF(AND(D27&lt;&gt;".",E27&lt;&gt;".",F27=".",G27="."),1/((1/D27)+(1/E27)),IF(AND(D27&lt;&gt;".",E27=".",F27&lt;&gt;".",G27="."),1/((1/D27)+(1/F27)),IF(AND(D27&lt;&gt;".",E27=".",F27=".",G27&lt;&gt;"."),1/((1/D27)+(1/G27)),IF(AND(D27=".",E27=".",F27&lt;&gt;".",G27&lt;&gt;"."),1/((1/F27)+(1/G27)),IF(AND(D27=".",E27&lt;&gt;".",F27=".",G27&lt;&gt;"."),1/((1/E27)+(1/G27)),IF(AND(D27=".",E27&lt;&gt;".",F27&lt;&gt;".",G27="."),1/((1/E27)+(1/F27)),IF(AND(D27&lt;&gt;".",E27=".",F27=".",G27="."),1/((1/D27)),IF(AND(D27=".",E27&lt;&gt;".",F27=".",G27="."),1/((1/E27)),IF(AND(D27=".",E27=".",F27&lt;&gt;".",G27="."),1/((1/F27)),IF(AND(D27=".",E27=".",F27=".",G27&lt;&gt;"."),1/((1/G27)),IF(AND(D27=".",E27=".",F27=".",G27="."),".")))))))))))))))))</f>
        <v>127796.67381087026</v>
      </c>
      <c r="J27" s="189">
        <f>IFERROR(I27*(0.0000000000028)*s_RadSpec!$AY27*s_RadSpec!$AF27,0)</f>
        <v>5.8903179244151828E-10</v>
      </c>
      <c r="K27" s="40">
        <f t="shared" si="0"/>
        <v>15.125</v>
      </c>
      <c r="L27" s="40">
        <f t="shared" si="1"/>
        <v>1.6181272791589674E-3</v>
      </c>
      <c r="M27" s="40">
        <f>IFERROR((s_C*s_EF_res*(1/365)*1*s_RadSpec!R27*((s_ET_res_o*(1/24)*s_RadSpec!W27)+(s_ET_res_i*(1/24)*s_RadSpec!AB27))),".")</f>
        <v>1.5310433396315533E-2</v>
      </c>
      <c r="N27" s="40">
        <f>s_b2s!AC27</f>
        <v>1933.5800000000002</v>
      </c>
      <c r="O27" s="18"/>
      <c r="P27" s="15">
        <f>IFERROR((s_DL/(s_RadSpec!G27*s_EF_res*(1/365)*1*s_RadSpec!R27*((s_ET_res_o*(1/24)*s_RadSpec!W27)+(s_ET_res_i*(1/24)*s_RadSpec!AB27))))*1,".")</f>
        <v>127796.67381087026</v>
      </c>
      <c r="Q27" s="15">
        <f>IFERROR((s_DL/(s_RadSpec!N27*s_EF_res*(1/365)*1*s_RadSpec!S27*((s_ET_res_o*(1/24)*s_RadSpec!X27)+(s_ET_res_i*(1/24)*s_RadSpec!AC27))))*1,".")</f>
        <v>638624.74818610668</v>
      </c>
      <c r="R27" s="15">
        <f>IFERROR((s_DL/(s_RadSpec!O27*s_EF_res*(1/365)*1*s_RadSpec!T27*((s_ET_res_o*(1/24)*s_RadSpec!Y27)+(s_ET_res_i*(1/24)*s_RadSpec!AD27))))*1,".")</f>
        <v>280846.54969570891</v>
      </c>
      <c r="S27" s="15">
        <f>IFERROR((s_DL/(s_RadSpec!P27*s_EF_res*(1/365)*1*s_RadSpec!U27*((s_ET_res_o*(1/24)*s_RadSpec!Z27)+(s_ET_res_i*(1/24)*s_RadSpec!AE27))))*1,".")</f>
        <v>173368.27370048311</v>
      </c>
      <c r="T27" s="15">
        <f>IFERROR((s_DL/(s_RadSpec!L27*s_EF_res*(1/365)*1*s_RadSpec!Q27*((s_ET_res_o*(1/24)*s_RadSpec!V27)+(s_ET_res_i*(1/24)*s_RadSpec!AA27))))*1,".")</f>
        <v>211761.50890157421</v>
      </c>
      <c r="U27" s="189">
        <f>IFERROR(P27*(0.0000000000028)*s_RadSpec!$AY27*s_RadSpec!$AF27,0)</f>
        <v>5.8903179244151828E-10</v>
      </c>
      <c r="V27" s="189">
        <f>IFERROR(Q27*(0.0000000000028)*s_RadSpec!$AY27*s_RadSpec!$AF27,0)</f>
        <v>2.9435060311372437E-9</v>
      </c>
      <c r="W27" s="189">
        <f>IFERROR(R27*(0.0000000000028)*s_RadSpec!$AY27*s_RadSpec!$AF27,0)</f>
        <v>1.294458937273282E-9</v>
      </c>
      <c r="X27" s="189">
        <f>IFERROR(S27*(0.0000000000028)*s_RadSpec!$AY27*s_RadSpec!$AF27,0)</f>
        <v>7.9907733092816323E-10</v>
      </c>
      <c r="Y27" s="189">
        <f>IFERROR(T27*(0.0000000000028)*s_RadSpec!$AY27*s_RadSpec!$AF27,0)</f>
        <v>9.760368360057037E-10</v>
      </c>
      <c r="Z27" s="40">
        <f>IFERROR((s_C*s_EF_res*(1/365)*1*s_RadSpec!R27*((s_ET_res_o*(1/24)*s_RadSpec!W27)+(s_ET_res_i*(1/24)*s_RadSpec!AB27))),".")</f>
        <v>1.5310433396315533E-2</v>
      </c>
      <c r="AA27" s="40">
        <f>IFERROR((s_C*s_EF_res*(1/365)*1*s_RadSpec!S27*((s_ET_res_o*(1/24)*s_RadSpec!X27)+(s_ET_res_i*(1/24)*s_RadSpec!AC27))),".")</f>
        <v>5.1616833508956773E-3</v>
      </c>
      <c r="AB27" s="40">
        <f>IFERROR((s_C*s_EF_res*(1/365)*1*s_RadSpec!T27*((s_ET_res_o*(1/24)*s_RadSpec!Y27)+(s_ET_res_i*(1/24)*s_RadSpec!AD27))),".")</f>
        <v>8.4193315618270939E-3</v>
      </c>
      <c r="AC27" s="40">
        <f>IFERROR((s_C*s_EF_res*(1/365)*1*s_RadSpec!U27*((s_ET_res_o*(1/24)*s_RadSpec!Z27)+(s_ET_res_i*(1/24)*s_RadSpec!AE27))),".")</f>
        <v>1.1573578937787281E-2</v>
      </c>
      <c r="AD27" s="40">
        <f>IFERROR((s_C*s_EF_res*(1/365)*1*s_RadSpec!Q27*((s_ET_res_o*(1/24)*s_RadSpec!V27)+(s_ET_res_i*(1/24)*s_RadSpec!AA27))),".")</f>
        <v>1.6501637879690284E-3</v>
      </c>
      <c r="AE27" s="15" t="str">
        <f>IFERROR((s_DL/(s_RadSpec!H27*s_IFA_res_adj)),".")</f>
        <v>.</v>
      </c>
      <c r="AF27" s="15">
        <f>IFERROR((s_DL/(s_RadSpec!K27*s_EF_res*(1/365)*1*s_ET_res*(1/24)*s_GSF_a)),".")</f>
        <v>6871874.4205842</v>
      </c>
      <c r="AG27" s="15">
        <f>IFERROR(IF(AND(AE27&lt;&gt;".",AF27&lt;&gt;"."),1/((1/AE27)+(1/AF27)),IF(AND(AE27&lt;&gt;".",AF27="."),1/((1/AE27)),IF(AND(AE27=".",AF27&lt;&gt;"."),1/((1/AF27)),IF(AND(AE27=".",AF27="."),".")))),".")</f>
        <v>6871874.4205842</v>
      </c>
      <c r="AH27" s="189">
        <f>AG27*(0.0000000000000028)*s_RadSpec!$AY27*s_RadSpec!$AF27</f>
        <v>3.1673379178710941E-11</v>
      </c>
      <c r="AI27" s="40">
        <f t="shared" si="2"/>
        <v>501.30208333333326</v>
      </c>
      <c r="AJ27" s="40">
        <f t="shared" si="3"/>
        <v>7.8481735159817351E-2</v>
      </c>
      <c r="AK27" s="18"/>
      <c r="AL27" s="15" t="str">
        <f>IFERROR((s_DL/(s_RadSpec!I27*s_IFW_res_adj)),".")</f>
        <v>.</v>
      </c>
      <c r="AM27" s="15" t="str">
        <f>IFERROR(IF(AND(s_RadSpec!C27=1,s_RadSpec!D27&lt;&gt;0),(s_DL/(s_RadSpec!H27*s_IFA_res_adj*s_K*s_RadSpec!D27)),"."),".")</f>
        <v>.</v>
      </c>
      <c r="AN27" s="15">
        <f>IFERROR((s_DL/(s_RadSpec!M27*(1/8760)*s_DFA_res_adj)),".")</f>
        <v>3589650.1907525365</v>
      </c>
      <c r="AO27" s="15" t="str">
        <f>s_b2w!C27</f>
        <v>.</v>
      </c>
      <c r="AP27" s="15">
        <f>(IF(AND(AL27&lt;&gt;".",AM27&lt;&gt;".",AN27&lt;&gt;".",AO27&lt;&gt;"."),1/((1/AL27)+(1/AM27)+(1/AN27)+(1/AO27)),IF(AND(AL27&lt;&gt;".",AM27&lt;&gt;".",AN27&lt;&gt;".",AO27="."), 1/((1/AL27)+(1/AM27)+(1/AN27)),IF(AND(AL27&lt;&gt;".",AM27&lt;&gt;".",AN27=".",AO27&lt;&gt;"."),1/((1/AL27)+(1/AM27)+(1/AO27)),IF(AND(AL27&lt;&gt;".",AM27=".",AN27&lt;&gt;".",AO27&lt;&gt;"."),1/((1/AL27)+(1/AN27)+(1/AO27)),IF(AND(AL27=".",AM27&lt;&gt;".",AN27&lt;&gt;".",AO27&lt;&gt;"."),1/((1/AM27)+(1/AN27)+(1/AO27)),IF(AND(AL27&lt;&gt;".",AM27&lt;&gt;".",AN27=".",AO27="."),1/((1/AL27)+(1/AM27)),IF(AND(AL27&lt;&gt;".",AM27=".",AN27&lt;&gt;".",AO27="."),1/((1/AL27)+(1/AN27)),IF(AND(AL27&lt;&gt;".",AM27=".",AN27=".",AO27&lt;&gt;"."),1/((1/AL27)+(1/AO27)),IF(AND(AL27=".",AM27=".",AN27&lt;&gt;".",AO27&lt;&gt;"."),1/((1/AN27)+(1/AO27)),IF(AND(AL27=".",AM27&lt;&gt;".",AN27=".",AO27&lt;&gt;"."),1/((1/AM27)+(1/AO27)),IF(AND(AL27=".",AM27&lt;&gt;".",AN27&lt;&gt;".",AO27="."),1/((1/AM27)+(1/AN27)),IF(AND(AL27&lt;&gt;".",AM27=".",AN27=".",AO27="."),1/((1/AL27)),IF(AND(AL27=".",AM27&lt;&gt;".",AN27=".",AO27="."),1/((1/AM27)),IF(AND(AL27=".",AM27=".",AN27&lt;&gt;".",AO27="."),1/((1/AN27)),IF(AND(AL27=".",AM27=".",AN27=".",AO27&lt;&gt;"."),1/((1/AO27)),IF(AND(AL27=".",AM27=".",AN27=".",AO27="."),".")))))))))))))))))</f>
        <v>3589650.1907525365</v>
      </c>
      <c r="AQ27" s="189">
        <f>AP27*(0.0000000000000028)*s_RadSpec!$AY27*s_RadSpec!$AF27</f>
        <v>1.6545173070984529E-11</v>
      </c>
      <c r="AR27" s="40">
        <f t="shared" si="4"/>
        <v>1375</v>
      </c>
      <c r="AS27" s="40">
        <f>IF(s_RadSpec!D27&lt;&gt;"",s_C*s_IFA_res_adj*s_K*s_RadSpec!D27,0)</f>
        <v>0</v>
      </c>
      <c r="AT27" s="40">
        <f t="shared" si="5"/>
        <v>0.12557077625570776</v>
      </c>
      <c r="AU27" s="40">
        <f>s_b2w!AC27</f>
        <v>656.8877799109207</v>
      </c>
      <c r="AV27" s="18"/>
      <c r="AW27" s="15" t="str">
        <f>IFERROR(s_DL/(s_RadSpec!F27*s_EF_res*1*s_IRF_res*0.001*s_CF_res_fish),".")</f>
        <v>.</v>
      </c>
      <c r="AX27" s="189">
        <f>IFERROR(AW27*(0.0000000000028)*s_RadSpec!$AY27*s_RadSpec!$AF27,0)</f>
        <v>0</v>
      </c>
      <c r="AY27" s="40">
        <f t="shared" si="6"/>
        <v>7562.5</v>
      </c>
    </row>
    <row r="28" spans="1:51" x14ac:dyDescent="0.25">
      <c r="A28" s="44" t="s">
        <v>26</v>
      </c>
      <c r="B28" s="42" t="s">
        <v>1057</v>
      </c>
      <c r="C28" s="42"/>
      <c r="D28" s="15" t="str">
        <f>IFERROR(((s_DL/(s_RadSpec!E28*s_IFS_res_adj*(1/1000)))*1),".")</f>
        <v>.</v>
      </c>
      <c r="E28" s="15" t="str">
        <f>IFERROR(IF(A28="H-3",(s_DL/((s_RadSpec!H28*s_IFA_res_adj*(1/17)*1000))*1),(s_DL/((s_RadSpec!H28*s_IFA_res_adj*(1/s_PEF_wind)*1000))*1)),".")</f>
        <v>.</v>
      </c>
      <c r="F28" s="15">
        <f>IFERROR((s_DL/(s_RadSpec!G28*s_EF_res*(1/365)*1*s_RadSpec!R28*((s_ET_res_o*(1/24)*s_RadSpec!W28)+(s_ET_res_i*(1/24)*s_RadSpec!AB28))))*1,".")</f>
        <v>56.140795563456045</v>
      </c>
      <c r="G28" s="15" t="str">
        <f>s_b2s!C28</f>
        <v>.</v>
      </c>
      <c r="H28" s="15" t="str">
        <f>s_dir!C28</f>
        <v>.</v>
      </c>
      <c r="I28" s="15">
        <f t="shared" si="31"/>
        <v>56.140795563456045</v>
      </c>
      <c r="J28" s="189">
        <f>IFERROR(I28*(0.0000000000028)*s_RadSpec!$AY28*s_RadSpec!$AF28,0)</f>
        <v>1.3507727490721131E-13</v>
      </c>
      <c r="K28" s="40">
        <f t="shared" si="0"/>
        <v>15.125</v>
      </c>
      <c r="L28" s="40">
        <f t="shared" si="1"/>
        <v>1.6181272791589674E-3</v>
      </c>
      <c r="M28" s="40">
        <f>IFERROR((s_C*s_EF_res*(1/365)*1*s_RadSpec!R28*((s_ET_res_o*(1/24)*s_RadSpec!W28)+(s_ET_res_i*(1/24)*s_RadSpec!AB28))),".")</f>
        <v>3.4599143835616436E-2</v>
      </c>
      <c r="N28" s="40">
        <f>s_b2s!AC28</f>
        <v>1933.5800000000002</v>
      </c>
      <c r="O28" s="18"/>
      <c r="P28" s="15">
        <f>IFERROR((s_DL/(s_RadSpec!G28*s_EF_res*(1/365)*1*s_RadSpec!R28*((s_ET_res_o*(1/24)*s_RadSpec!W28)+(s_ET_res_i*(1/24)*s_RadSpec!AB28))))*1,".")</f>
        <v>56.140795563456045</v>
      </c>
      <c r="Q28" s="15">
        <f>IFERROR((s_DL/(s_RadSpec!N28*s_EF_res*(1/365)*1*s_RadSpec!S28*((s_ET_res_o*(1/24)*s_RadSpec!X28)+(s_ET_res_i*(1/24)*s_RadSpec!AC28))))*1,".")</f>
        <v>684.54955400115625</v>
      </c>
      <c r="R28" s="15">
        <f>IFERROR((s_DL/(s_RadSpec!O28*s_EF_res*(1/365)*1*s_RadSpec!T28*((s_ET_res_o*(1/24)*s_RadSpec!Y28)+(s_ET_res_i*(1/24)*s_RadSpec!AD28))))*1,".")</f>
        <v>165.42722538848187</v>
      </c>
      <c r="S28" s="15">
        <f>IFERROR((s_DL/(s_RadSpec!P28*s_EF_res*(1/365)*1*s_RadSpec!U28*((s_ET_res_o*(1/24)*s_RadSpec!Z28)+(s_ET_res_i*(1/24)*s_RadSpec!AE28))))*1,".")</f>
        <v>89.54801986103368</v>
      </c>
      <c r="T28" s="15">
        <f>IFERROR((s_DL/(s_RadSpec!L28*s_EF_res*(1/365)*1*s_RadSpec!Q28*((s_ET_res_o*(1/24)*s_RadSpec!V28)+(s_ET_res_i*(1/24)*s_RadSpec!AA28))))*1,".")</f>
        <v>1199.4899165395518</v>
      </c>
      <c r="U28" s="189">
        <f>IFERROR(P28*(0.0000000000028)*s_RadSpec!$AY28*s_RadSpec!$AF28,0)</f>
        <v>1.3507727490721131E-13</v>
      </c>
      <c r="V28" s="189">
        <f>IFERROR(Q28*(0.0000000000028)*s_RadSpec!$AY28*s_RadSpec!$AF28,0)</f>
        <v>1.6470569639311108E-12</v>
      </c>
      <c r="W28" s="189">
        <f>IFERROR(R28*(0.0000000000028)*s_RadSpec!$AY28*s_RadSpec!$AF28,0)</f>
        <v>3.9802533214336193E-13</v>
      </c>
      <c r="X28" s="189">
        <f>IFERROR(S28*(0.0000000000028)*s_RadSpec!$AY28*s_RadSpec!$AF28,0)</f>
        <v>2.1545655658714782E-13</v>
      </c>
      <c r="Y28" s="189">
        <f>IFERROR(T28*(0.0000000000028)*s_RadSpec!$AY28*s_RadSpec!$AF28,0)</f>
        <v>2.8860265975694122E-12</v>
      </c>
      <c r="Z28" s="40">
        <f>IFERROR((s_C*s_EF_res*(1/365)*1*s_RadSpec!R28*((s_ET_res_o*(1/24)*s_RadSpec!W28)+(s_ET_res_i*(1/24)*s_RadSpec!AB28))),".")</f>
        <v>3.4599143835616436E-2</v>
      </c>
      <c r="AA28" s="40">
        <f>IFERROR((s_C*s_EF_res*(1/365)*1*s_RadSpec!S28*((s_ET_res_o*(1/24)*s_RadSpec!X28)+(s_ET_res_i*(1/24)*s_RadSpec!AC28))),".")</f>
        <v>1.5516283277332642E-2</v>
      </c>
      <c r="AB28" s="40">
        <f>IFERROR((s_C*s_EF_res*(1/365)*1*s_RadSpec!T28*((s_ET_res_o*(1/24)*s_RadSpec!Y28)+(s_ET_res_i*(1/24)*s_RadSpec!AD28))),".")</f>
        <v>2.2348458904109598E-2</v>
      </c>
      <c r="AC28" s="40">
        <f>IFERROR((s_C*s_EF_res*(1/365)*1*s_RadSpec!U28*((s_ET_res_o*(1/24)*s_RadSpec!Z28)+(s_ET_res_i*(1/24)*s_RadSpec!AE28))),".")</f>
        <v>2.581241186543112E-2</v>
      </c>
      <c r="AD28" s="40">
        <f>IFERROR((s_C*s_EF_res*(1/365)*1*s_RadSpec!Q28*((s_ET_res_o*(1/24)*s_RadSpec!V28)+(s_ET_res_i*(1/24)*s_RadSpec!AA28))),".")</f>
        <v>8.826276463262759E-3</v>
      </c>
      <c r="AE28" s="15" t="str">
        <f>IFERROR((s_DL/(s_RadSpec!H28*s_IFA_res_adj)),".")</f>
        <v>.</v>
      </c>
      <c r="AF28" s="15">
        <f>IFERROR((s_DL/(s_RadSpec!K28*s_EF_res*(1/365)*1*s_ET_res*(1/24)*s_GSF_a)),".")</f>
        <v>26746.413185999292</v>
      </c>
      <c r="AG28" s="15">
        <f t="shared" ref="AG28:AG29" si="32">IFERROR(IF(AND(AE28&lt;&gt;".",AF28&lt;&gt;"."),1/((1/AE28)+(1/AF28)),IF(AND(AE28&lt;&gt;".",AF28="."),1/((1/AE28)),IF(AND(AE28=".",AF28&lt;&gt;"."),1/((1/AF28)),IF(AND(AE28=".",AF28="."),".")))),".")</f>
        <v>26746.413185999296</v>
      </c>
      <c r="AH28" s="189">
        <f>AG28*(0.0000000000000028)*s_RadSpec!$AY28*s_RadSpec!$AF28</f>
        <v>6.4353071067963353E-14</v>
      </c>
      <c r="AI28" s="40">
        <f t="shared" si="2"/>
        <v>501.30208333333326</v>
      </c>
      <c r="AJ28" s="40">
        <f t="shared" si="3"/>
        <v>7.8481735159817351E-2</v>
      </c>
      <c r="AK28" s="18"/>
      <c r="AL28" s="15" t="str">
        <f>IFERROR((s_DL/(s_RadSpec!I28*s_IFW_res_adj)),".")</f>
        <v>.</v>
      </c>
      <c r="AM28" s="15" t="str">
        <f>IFERROR(IF(AND(s_RadSpec!C28=1,s_RadSpec!D28&lt;&gt;0),(s_DL/(s_RadSpec!H28*s_IFA_res_adj*s_K*s_RadSpec!D28)),"."),".")</f>
        <v>.</v>
      </c>
      <c r="AN28" s="15">
        <f>IFERROR((s_DL/(s_RadSpec!M28*(1/8760)*s_DFA_res_adj)),".")</f>
        <v>7750.3810936702484</v>
      </c>
      <c r="AO28" s="15" t="str">
        <f>s_b2w!C28</f>
        <v>.</v>
      </c>
      <c r="AP28" s="15">
        <f t="shared" ref="AP28:AP29" si="33">(IF(AND(AL28&lt;&gt;".",AM28&lt;&gt;".",AN28&lt;&gt;".",AO28&lt;&gt;"."),1/((1/AL28)+(1/AM28)+(1/AN28)+(1/AO28)),IF(AND(AL28&lt;&gt;".",AM28&lt;&gt;".",AN28&lt;&gt;".",AO28="."), 1/((1/AL28)+(1/AM28)+(1/AN28)),IF(AND(AL28&lt;&gt;".",AM28&lt;&gt;".",AN28=".",AO28&lt;&gt;"."),1/((1/AL28)+(1/AM28)+(1/AO28)),IF(AND(AL28&lt;&gt;".",AM28=".",AN28&lt;&gt;".",AO28&lt;&gt;"."),1/((1/AL28)+(1/AN28)+(1/AO28)),IF(AND(AL28=".",AM28&lt;&gt;".",AN28&lt;&gt;".",AO28&lt;&gt;"."),1/((1/AM28)+(1/AN28)+(1/AO28)),IF(AND(AL28&lt;&gt;".",AM28&lt;&gt;".",AN28=".",AO28="."),1/((1/AL28)+(1/AM28)),IF(AND(AL28&lt;&gt;".",AM28=".",AN28&lt;&gt;".",AO28="."),1/((1/AL28)+(1/AN28)),IF(AND(AL28&lt;&gt;".",AM28=".",AN28=".",AO28&lt;&gt;"."),1/((1/AL28)+(1/AO28)),IF(AND(AL28=".",AM28=".",AN28&lt;&gt;".",AO28&lt;&gt;"."),1/((1/AN28)+(1/AO28)),IF(AND(AL28=".",AM28&lt;&gt;".",AN28=".",AO28&lt;&gt;"."),1/((1/AM28)+(1/AO28)),IF(AND(AL28=".",AM28&lt;&gt;".",AN28&lt;&gt;".",AO28="."),1/((1/AM28)+(1/AN28)),IF(AND(AL28&lt;&gt;".",AM28=".",AN28=".",AO28="."),1/((1/AL28)),IF(AND(AL28=".",AM28&lt;&gt;".",AN28=".",AO28="."),1/((1/AM28)),IF(AND(AL28=".",AM28=".",AN28&lt;&gt;".",AO28="."),1/((1/AN28)),IF(AND(AL28=".",AM28=".",AN28=".",AO28&lt;&gt;"."),1/((1/AO28)),IF(AND(AL28=".",AM28=".",AN28=".",AO28="."),".")))))))))))))))))</f>
        <v>7750.3810936702484</v>
      </c>
      <c r="AQ28" s="189">
        <f>AP28*(0.0000000000000028)*s_RadSpec!$AY28*s_RadSpec!$AF28</f>
        <v>1.8647764911739373E-14</v>
      </c>
      <c r="AR28" s="40">
        <f t="shared" si="4"/>
        <v>1375</v>
      </c>
      <c r="AS28" s="40">
        <f>IF(s_RadSpec!D28&lt;&gt;"",s_C*s_IFA_res_adj*s_K*s_RadSpec!D28,0)</f>
        <v>0</v>
      </c>
      <c r="AT28" s="40">
        <f t="shared" si="5"/>
        <v>0.12557077625570776</v>
      </c>
      <c r="AU28" s="40">
        <f>s_b2w!AC28</f>
        <v>656.8877799109207</v>
      </c>
      <c r="AV28" s="18"/>
      <c r="AW28" s="15" t="str">
        <f>IFERROR(s_DL/(s_RadSpec!F28*s_EF_res*1*s_IRF_res*0.001*s_CF_res_fish),".")</f>
        <v>.</v>
      </c>
      <c r="AX28" s="189">
        <f>IFERROR(AW28*(0.0000000000028)*s_RadSpec!$AY28*s_RadSpec!$AF28,0)</f>
        <v>0</v>
      </c>
      <c r="AY28" s="40">
        <f t="shared" si="6"/>
        <v>7562.5</v>
      </c>
    </row>
    <row r="29" spans="1:51" x14ac:dyDescent="0.25">
      <c r="A29" s="44" t="s">
        <v>27</v>
      </c>
      <c r="B29" s="42" t="s">
        <v>1057</v>
      </c>
      <c r="C29" s="238"/>
      <c r="D29" s="15" t="str">
        <f>IFERROR(((s_DL/(s_RadSpec!E29*s_IFS_res_adj*(1/1000)))*1),".")</f>
        <v>.</v>
      </c>
      <c r="E29" s="15" t="str">
        <f>IFERROR(IF(A29="H-3",(s_DL/((s_RadSpec!H29*s_IFA_res_adj*(1/17)*1000))*1),(s_DL/((s_RadSpec!H29*s_IFA_res_adj*(1/s_PEF_wind)*1000))*1)),".")</f>
        <v>.</v>
      </c>
      <c r="F29" s="15">
        <f>IFERROR((s_DL/(s_RadSpec!G29*s_EF_res*(1/365)*1*s_RadSpec!R29*((s_ET_res_o*(1/24)*s_RadSpec!W29)+(s_ET_res_i*(1/24)*s_RadSpec!AB29))))*1,".")</f>
        <v>46.840117796564712</v>
      </c>
      <c r="G29" s="15" t="str">
        <f>s_b2s!C29</f>
        <v>.</v>
      </c>
      <c r="H29" s="15" t="str">
        <f>s_dir!C29</f>
        <v>.</v>
      </c>
      <c r="I29" s="15">
        <f t="shared" si="31"/>
        <v>46.840117796564712</v>
      </c>
      <c r="J29" s="189">
        <f>IFERROR(I29*(0.0000000000028)*s_RadSpec!$AY29*s_RadSpec!$AF29,0)</f>
        <v>6.8121358530620434E-14</v>
      </c>
      <c r="K29" s="40">
        <f t="shared" si="0"/>
        <v>15.125</v>
      </c>
      <c r="L29" s="40">
        <f t="shared" si="1"/>
        <v>1.6181272791589674E-3</v>
      </c>
      <c r="M29" s="40">
        <f>IFERROR((s_C*s_EF_res*(1/365)*1*s_RadSpec!R29*((s_ET_res_o*(1/24)*s_RadSpec!W29)+(s_ET_res_i*(1/24)*s_RadSpec!AB29))),".")</f>
        <v>3.181770284510009E-2</v>
      </c>
      <c r="N29" s="40">
        <f>s_b2s!AC29</f>
        <v>1933.5800000000002</v>
      </c>
      <c r="O29" s="18"/>
      <c r="P29" s="15">
        <f>IFERROR((s_DL/(s_RadSpec!G29*s_EF_res*(1/365)*1*s_RadSpec!R29*((s_ET_res_o*(1/24)*s_RadSpec!W29)+(s_ET_res_i*(1/24)*s_RadSpec!AB29))))*1,".")</f>
        <v>46.840117796564712</v>
      </c>
      <c r="Q29" s="15">
        <f>IFERROR((s_DL/(s_RadSpec!N29*s_EF_res*(1/365)*1*s_RadSpec!S29*((s_ET_res_o*(1/24)*s_RadSpec!X29)+(s_ET_res_i*(1/24)*s_RadSpec!AC29))))*1,".")</f>
        <v>511.79343386725031</v>
      </c>
      <c r="R29" s="15">
        <f>IFERROR((s_DL/(s_RadSpec!O29*s_EF_res*(1/365)*1*s_RadSpec!T29*((s_ET_res_o*(1/24)*s_RadSpec!Y29)+(s_ET_res_i*(1/24)*s_RadSpec!AD29))))*1,".")</f>
        <v>126.95183091340459</v>
      </c>
      <c r="S29" s="15">
        <f>IFERROR((s_DL/(s_RadSpec!P29*s_EF_res*(1/365)*1*s_RadSpec!U29*((s_ET_res_o*(1/24)*s_RadSpec!Z29)+(s_ET_res_i*(1/24)*s_RadSpec!AE29))))*1,".")</f>
        <v>67.002659791166153</v>
      </c>
      <c r="T29" s="15">
        <f>IFERROR((s_DL/(s_RadSpec!L29*s_EF_res*(1/365)*1*s_RadSpec!Q29*((s_ET_res_o*(1/24)*s_RadSpec!V29)+(s_ET_res_i*(1/24)*s_RadSpec!AA29))))*1,".")</f>
        <v>912.2751241818894</v>
      </c>
      <c r="U29" s="189">
        <f>IFERROR(P29*(0.0000000000028)*s_RadSpec!$AY29*s_RadSpec!$AF29,0)</f>
        <v>6.8121358530620434E-14</v>
      </c>
      <c r="V29" s="189">
        <f>IFERROR(Q29*(0.0000000000028)*s_RadSpec!$AY29*s_RadSpec!$AF29,0)</f>
        <v>7.4432058761059082E-13</v>
      </c>
      <c r="W29" s="189">
        <f>IFERROR(R29*(0.0000000000028)*s_RadSpec!$AY29*s_RadSpec!$AF29,0)</f>
        <v>1.8463085911378721E-13</v>
      </c>
      <c r="X29" s="189">
        <f>IFERROR(S29*(0.0000000000028)*s_RadSpec!$AY29*s_RadSpec!$AF29,0)</f>
        <v>9.7444507504504281E-14</v>
      </c>
      <c r="Y29" s="189">
        <f>IFERROR(T29*(0.0000000000028)*s_RadSpec!$AY29*s_RadSpec!$AF29,0)</f>
        <v>1.3267562879083655E-12</v>
      </c>
      <c r="Z29" s="40">
        <f>IFERROR((s_C*s_EF_res*(1/365)*1*s_RadSpec!R29*((s_ET_res_o*(1/24)*s_RadSpec!W29)+(s_ET_res_i*(1/24)*s_RadSpec!AB29))),".")</f>
        <v>3.181770284510009E-2</v>
      </c>
      <c r="AA29" s="40">
        <f>IFERROR((s_C*s_EF_res*(1/365)*1*s_RadSpec!S29*((s_ET_res_o*(1/24)*s_RadSpec!X29)+(s_ET_res_i*(1/24)*s_RadSpec!AC29))),".")</f>
        <v>1.5945002034450029E-2</v>
      </c>
      <c r="AB29" s="40">
        <f>IFERROR((s_C*s_EF_res*(1/365)*1*s_RadSpec!T29*((s_ET_res_o*(1/24)*s_RadSpec!Y29)+(s_ET_res_i*(1/24)*s_RadSpec!AD29))),".")</f>
        <v>2.2382225192114937E-2</v>
      </c>
      <c r="AC29" s="40">
        <f>IFERROR((s_C*s_EF_res*(1/365)*1*s_RadSpec!U29*((s_ET_res_o*(1/24)*s_RadSpec!Z29)+(s_ET_res_i*(1/24)*s_RadSpec!AE29))),".")</f>
        <v>2.6386100614076542E-2</v>
      </c>
      <c r="AD29" s="40">
        <f>IFERROR((s_C*s_EF_res*(1/365)*1*s_RadSpec!Q29*((s_ET_res_o*(1/24)*s_RadSpec!V29)+(s_ET_res_i*(1/24)*s_RadSpec!AA29))),".")</f>
        <v>8.8796477495107617E-3</v>
      </c>
      <c r="AE29" s="15" t="str">
        <f>IFERROR((s_DL/(s_RadSpec!H29*s_IFA_res_adj)),".")</f>
        <v>.</v>
      </c>
      <c r="AF29" s="15">
        <f>IFERROR((s_DL/(s_RadSpec!K29*s_EF_res*(1/365)*1*s_ET_res*(1/24)*s_GSF_a)),".")</f>
        <v>20667.682916453996</v>
      </c>
      <c r="AG29" s="15">
        <f t="shared" si="32"/>
        <v>20667.682916453996</v>
      </c>
      <c r="AH29" s="189">
        <f>AG29*(0.0000000000000028)*s_RadSpec!$AY29*s_RadSpec!$AF29</f>
        <v>3.0057794561144309E-14</v>
      </c>
      <c r="AI29" s="40">
        <f t="shared" si="2"/>
        <v>501.30208333333326</v>
      </c>
      <c r="AJ29" s="40">
        <f t="shared" si="3"/>
        <v>7.8481735159817351E-2</v>
      </c>
      <c r="AK29" s="18"/>
      <c r="AL29" s="15" t="str">
        <f>IFERROR((s_DL/(s_RadSpec!I29*s_IFW_res_adj)),".")</f>
        <v>.</v>
      </c>
      <c r="AM29" s="15" t="str">
        <f>IFERROR(IF(AND(s_RadSpec!C29=1,s_RadSpec!D29&lt;&gt;0),(s_DL/(s_RadSpec!H29*s_IFA_res_adj*s_K*s_RadSpec!D29)),"."),".")</f>
        <v>.</v>
      </c>
      <c r="AN29" s="15">
        <f>IFERROR((s_DL/(s_RadSpec!M29*(1/8760)*s_DFA_res_adj)),".")</f>
        <v>5982.7503179208934</v>
      </c>
      <c r="AO29" s="15" t="str">
        <f>s_b2w!C29</f>
        <v>.</v>
      </c>
      <c r="AP29" s="15">
        <f t="shared" si="33"/>
        <v>5982.7503179208934</v>
      </c>
      <c r="AQ29" s="189">
        <f>AP29*(0.0000000000000028)*s_RadSpec!$AY29*s_RadSpec!$AF29</f>
        <v>8.7009405308575624E-15</v>
      </c>
      <c r="AR29" s="40">
        <f t="shared" si="4"/>
        <v>1375</v>
      </c>
      <c r="AS29" s="40">
        <f>IF(s_RadSpec!D29&lt;&gt;"",s_C*s_IFA_res_adj*s_K*s_RadSpec!D29,0)</f>
        <v>2.317266373697916E-3</v>
      </c>
      <c r="AT29" s="40">
        <f t="shared" si="5"/>
        <v>0.12557077625570776</v>
      </c>
      <c r="AU29" s="40">
        <f>s_b2w!AC29</f>
        <v>656.8877799109207</v>
      </c>
      <c r="AV29" s="18"/>
      <c r="AW29" s="15" t="str">
        <f>IFERROR(s_DL/(s_RadSpec!F29*s_EF_res*1*s_IRF_res*0.001*s_CF_res_fish),".")</f>
        <v>.</v>
      </c>
      <c r="AX29" s="189">
        <f>IFERROR(AW29*(0.0000000000028)*s_RadSpec!$AY29*s_RadSpec!$AF29,0)</f>
        <v>0</v>
      </c>
      <c r="AY29" s="40">
        <f t="shared" si="6"/>
        <v>7562.5</v>
      </c>
    </row>
    <row r="30" spans="1:51" x14ac:dyDescent="0.25">
      <c r="A30" s="44" t="s">
        <v>28</v>
      </c>
      <c r="B30" s="42" t="s">
        <v>1057</v>
      </c>
      <c r="C30" s="42"/>
      <c r="D30" s="15">
        <f>IFERROR(((s_DL/(s_RadSpec!E30*s_IFS_res_adj*(1/1000)))*1),".")</f>
        <v>7420.7262367938902</v>
      </c>
      <c r="E30" s="15">
        <f>IFERROR(IF(A30="H-3",(s_DL/((s_RadSpec!H30*s_IFA_res_adj*(1/17)*1000))*1),(s_DL/((s_RadSpec!H30*s_IFA_res_adj*(1/s_PEF_wind)*1000))*1)),".")</f>
        <v>405404.32762979425</v>
      </c>
      <c r="F30" s="15">
        <f>IFERROR((s_DL/(s_RadSpec!G30*s_EF_res*(1/365)*1*s_RadSpec!R30*((s_ET_res_o*(1/24)*s_RadSpec!W30)+(s_ET_res_i*(1/24)*s_RadSpec!AB30))))*1,".")</f>
        <v>8023164.3923083842</v>
      </c>
      <c r="G30" s="15">
        <f>s_b2s!C30</f>
        <v>194.15057590083828</v>
      </c>
      <c r="H30" s="15">
        <f>s_dir!C30</f>
        <v>3.7103631183969448</v>
      </c>
      <c r="I30" s="15">
        <f>(IF(AND(D30&lt;&gt;".",E30&lt;&gt;".",F30&lt;&gt;".",G30&lt;&gt;"."),1/((1/D30)+(1/E30)+(1/F30)+(1/G30)),IF(AND(D30&lt;&gt;".",E30&lt;&gt;".",F30&lt;&gt;".",G30="."), 1/((1/D30)+(1/E30)+(1/F30)),IF(AND(D30&lt;&gt;".",E30&lt;&gt;".",F30=".",G30&lt;&gt;"."),1/((1/D30)+(1/E30)+(1/G30)),IF(AND(D30&lt;&gt;".",E30=".",F30&lt;&gt;".",G30&lt;&gt;"."),1/((1/D30)+(1/F30)+(1/G30)),IF(AND(D30=".",E30&lt;&gt;".",F30&lt;&gt;".",G30&lt;&gt;"."),1/((1/E30)+(1/F30)+(1/G30)),IF(AND(D30&lt;&gt;".",E30&lt;&gt;".",F30=".",G30="."),1/((1/D30)+(1/E30)),IF(AND(D30&lt;&gt;".",E30=".",F30&lt;&gt;".",G30="."),1/((1/D30)+(1/F30)),IF(AND(D30&lt;&gt;".",E30=".",F30=".",G30&lt;&gt;"."),1/((1/D30)+(1/G30)),IF(AND(D30=".",E30=".",F30&lt;&gt;".",G30&lt;&gt;"."),1/((1/F30)+(1/G30)),IF(AND(D30=".",E30&lt;&gt;".",F30=".",G30&lt;&gt;"."),1/((1/E30)+(1/G30)),IF(AND(D30=".",E30&lt;&gt;".",F30&lt;&gt;".",G30="."),1/((1/E30)+(1/F30)),IF(AND(D30&lt;&gt;".",E30=".",F30=".",G30="."),1/((1/D30)),IF(AND(D30=".",E30&lt;&gt;".",F30=".",G30="."),1/((1/E30)),IF(AND(D30=".",E30=".",F30&lt;&gt;".",G30="."),1/((1/F30)),IF(AND(D30=".",E30=".",F30=".",G30&lt;&gt;"."),1/((1/G30)),IF(AND(D30=".",E30=".",F30=".",G30="."),".")))))))))))))))))</f>
        <v>189.10775478939388</v>
      </c>
      <c r="J30" s="189">
        <f>IFERROR(I30*(0.0000000000028)*s_RadSpec!$AY30*s_RadSpec!$AF30,0)</f>
        <v>1.9641124756556411E-2</v>
      </c>
      <c r="K30" s="40">
        <f t="shared" si="0"/>
        <v>15.125</v>
      </c>
      <c r="L30" s="40">
        <f t="shared" si="1"/>
        <v>1.6181272791589674E-3</v>
      </c>
      <c r="M30" s="40">
        <f>IFERROR((s_C*s_EF_res*(1/365)*1*s_RadSpec!R30*((s_ET_res_o*(1/24)*s_RadSpec!W30)+(s_ET_res_i*(1/24)*s_RadSpec!AB30))),".")</f>
        <v>3.3904109589041093E-3</v>
      </c>
      <c r="N30" s="40">
        <f>s_b2s!AC30</f>
        <v>578.10018749999995</v>
      </c>
      <c r="O30" s="18"/>
      <c r="P30" s="15">
        <f>IFERROR((s_DL/(s_RadSpec!G30*s_EF_res*(1/365)*1*s_RadSpec!R30*((s_ET_res_o*(1/24)*s_RadSpec!W30)+(s_ET_res_i*(1/24)*s_RadSpec!AB30))))*1,".")</f>
        <v>8023164.3923083842</v>
      </c>
      <c r="Q30" s="15">
        <f>IFERROR((s_DL/(s_RadSpec!N30*s_EF_res*(1/365)*1*s_RadSpec!S30*((s_ET_res_o*(1/24)*s_RadSpec!X30)+(s_ET_res_i*(1/24)*s_RadSpec!AC30))))*1,".")</f>
        <v>133366725.76314768</v>
      </c>
      <c r="R30" s="15">
        <f>IFERROR((s_DL/(s_RadSpec!O30*s_EF_res*(1/365)*1*s_RadSpec!T30*((s_ET_res_o*(1/24)*s_RadSpec!Y30)+(s_ET_res_i*(1/24)*s_RadSpec!AD30))))*1,".")</f>
        <v>19854192.604176376</v>
      </c>
      <c r="S30" s="15">
        <f>IFERROR((s_DL/(s_RadSpec!P30*s_EF_res*(1/365)*1*s_RadSpec!U30*((s_ET_res_o*(1/24)*s_RadSpec!Z30)+(s_ET_res_i*(1/24)*s_RadSpec!AE30))))*1,".")</f>
        <v>10897565.971045399</v>
      </c>
      <c r="T30" s="15">
        <f>IFERROR((s_DL/(s_RadSpec!L30*s_EF_res*(1/365)*1*s_RadSpec!Q30*((s_ET_res_o*(1/24)*s_RadSpec!V30)+(s_ET_res_i*(1/24)*s_RadSpec!AA30))))*1,".")</f>
        <v>1590184250.0745533</v>
      </c>
      <c r="U30" s="189">
        <f>IFERROR(P30*(0.0000000000028)*s_RadSpec!$AY30*s_RadSpec!$AF30,0)</f>
        <v>833.30254196708484</v>
      </c>
      <c r="V30" s="189">
        <f>IFERROR(Q30*(0.0000000000028)*s_RadSpec!$AY30*s_RadSpec!$AF30,0)</f>
        <v>13851.745540550108</v>
      </c>
      <c r="W30" s="189">
        <f>IFERROR(R30*(0.0000000000028)*s_RadSpec!$AY30*s_RadSpec!$AF30,0)</f>
        <v>2062.0977405903755</v>
      </c>
      <c r="X30" s="189">
        <f>IFERROR(S30*(0.0000000000028)*s_RadSpec!$AY30*s_RadSpec!$AF30,0)</f>
        <v>1131.8438686899951</v>
      </c>
      <c r="Y30" s="189">
        <f>IFERROR(T30*(0.0000000000028)*s_RadSpec!$AY30*s_RadSpec!$AF30,0)</f>
        <v>165159.84379598324</v>
      </c>
      <c r="Z30" s="40">
        <f>IFERROR((s_C*s_EF_res*(1/365)*1*s_RadSpec!R30*((s_ET_res_o*(1/24)*s_RadSpec!W30)+(s_ET_res_i*(1/24)*s_RadSpec!AB30))),".")</f>
        <v>3.3904109589041093E-3</v>
      </c>
      <c r="AA30" s="40">
        <f>IFERROR((s_C*s_EF_res*(1/365)*1*s_RadSpec!S30*((s_ET_res_o*(1/24)*s_RadSpec!X30)+(s_ET_res_i*(1/24)*s_RadSpec!AC30))),".")</f>
        <v>6.9206621004566215E-4</v>
      </c>
      <c r="AB30" s="40">
        <f>IFERROR((s_C*s_EF_res*(1/365)*1*s_RadSpec!T30*((s_ET_res_o*(1/24)*s_RadSpec!Y30)+(s_ET_res_i*(1/24)*s_RadSpec!AD30))),".")</f>
        <v>1.9204534718941905E-3</v>
      </c>
      <c r="AC30" s="40">
        <f>IFERROR((s_C*s_EF_res*(1/365)*1*s_RadSpec!U30*((s_ET_res_o*(1/24)*s_RadSpec!Z30)+(s_ET_res_i*(1/24)*s_RadSpec!AE30))),".")</f>
        <v>2.5800414144632037E-3</v>
      </c>
      <c r="AD30" s="40">
        <f>IFERROR((s_C*s_EF_res*(1/365)*1*s_RadSpec!Q30*((s_ET_res_o*(1/24)*s_RadSpec!V30)+(s_ET_res_i*(1/24)*s_RadSpec!AA30))),".")</f>
        <v>2.825342465753425E-5</v>
      </c>
      <c r="AE30" s="15">
        <f>IFERROR((s_DL/(s_RadSpec!H30*s_IFA_res_adj)),".")</f>
        <v>1.3085838328556778</v>
      </c>
      <c r="AF30" s="15">
        <f>IFERROR((s_DL/(s_RadSpec!K30*s_EF_res*(1/365)*1*s_ET_res*(1/24)*s_GSF_a)),".")</f>
        <v>257371145.75206867</v>
      </c>
      <c r="AG30" s="15">
        <f>IFERROR(IF(AND(AE30&lt;&gt;".",AF30&lt;&gt;"."),1/((1/AE30)+(1/AF30)),IF(AND(AE30&lt;&gt;".",AF30="."),1/((1/AE30)),IF(AND(AE30=".",AF30&lt;&gt;"."),1/((1/AF30)),IF(AND(AE30=".",AF30="."),".")))),".")</f>
        <v>1.3085838262022838</v>
      </c>
      <c r="AH30" s="189">
        <f>AG30*(0.0000000000000028)*s_RadSpec!$AY30*s_RadSpec!$AF30</f>
        <v>1.359122380437277E-7</v>
      </c>
      <c r="AI30" s="40">
        <f t="shared" si="2"/>
        <v>501.30208333333326</v>
      </c>
      <c r="AJ30" s="40">
        <f t="shared" si="3"/>
        <v>7.8481735159817351E-2</v>
      </c>
      <c r="AK30" s="18"/>
      <c r="AL30" s="15">
        <f>IFERROR((s_DL/(s_RadSpec!I30*s_IFW_res_adj)),".")</f>
        <v>81.627988604732792</v>
      </c>
      <c r="AM30" s="15" t="str">
        <f>IFERROR(IF(AND(s_RadSpec!C30=1,s_RadSpec!D30&lt;&gt;0),(s_DL/(s_RadSpec!H30*s_IFA_res_adj*s_K*s_RadSpec!D30)),"."),".")</f>
        <v>.</v>
      </c>
      <c r="AN30" s="15">
        <f>IFERROR((s_DL/(s_RadSpec!M30*(1/8760)*s_DFA_res_adj)),".")</f>
        <v>72556759.174785301</v>
      </c>
      <c r="AO30" s="15">
        <f>s_b2w!C30</f>
        <v>289.60812124349638</v>
      </c>
      <c r="AP30" s="15">
        <f>(IF(AND(AL30&lt;&gt;".",AM30&lt;&gt;".",AN30&lt;&gt;".",AO30&lt;&gt;"."),1/((1/AL30)+(1/AM30)+(1/AN30)+(1/AO30)),IF(AND(AL30&lt;&gt;".",AM30&lt;&gt;".",AN30&lt;&gt;".",AO30="."), 1/((1/AL30)+(1/AM30)+(1/AN30)),IF(AND(AL30&lt;&gt;".",AM30&lt;&gt;".",AN30=".",AO30&lt;&gt;"."),1/((1/AL30)+(1/AM30)+(1/AO30)),IF(AND(AL30&lt;&gt;".",AM30=".",AN30&lt;&gt;".",AO30&lt;&gt;"."),1/((1/AL30)+(1/AN30)+(1/AO30)),IF(AND(AL30=".",AM30&lt;&gt;".",AN30&lt;&gt;".",AO30&lt;&gt;"."),1/((1/AM30)+(1/AN30)+(1/AO30)),IF(AND(AL30&lt;&gt;".",AM30&lt;&gt;".",AN30=".",AO30="."),1/((1/AL30)+(1/AM30)),IF(AND(AL30&lt;&gt;".",AM30=".",AN30&lt;&gt;".",AO30="."),1/((1/AL30)+(1/AN30)),IF(AND(AL30&lt;&gt;".",AM30=".",AN30=".",AO30&lt;&gt;"."),1/((1/AL30)+(1/AO30)),IF(AND(AL30=".",AM30=".",AN30&lt;&gt;".",AO30&lt;&gt;"."),1/((1/AN30)+(1/AO30)),IF(AND(AL30=".",AM30&lt;&gt;".",AN30=".",AO30&lt;&gt;"."),1/((1/AM30)+(1/AO30)),IF(AND(AL30=".",AM30&lt;&gt;".",AN30&lt;&gt;".",AO30="."),1/((1/AM30)+(1/AN30)),IF(AND(AL30&lt;&gt;".",AM30=".",AN30=".",AO30="."),1/((1/AL30)),IF(AND(AL30=".",AM30&lt;&gt;".",AN30=".",AO30="."),1/((1/AM30)),IF(AND(AL30=".",AM30=".",AN30&lt;&gt;".",AO30="."),1/((1/AN30)),IF(AND(AL30=".",AM30=".",AN30=".",AO30&lt;&gt;"."),1/((1/AO30)),IF(AND(AL30=".",AM30=".",AN30=".",AO30="."),".")))))))))))))))))</f>
        <v>63.67944024251301</v>
      </c>
      <c r="AQ30" s="189">
        <f>AP30*(0.0000000000000028)*s_RadSpec!$AY30*s_RadSpec!$AF30</f>
        <v>6.6138791168231063E-6</v>
      </c>
      <c r="AR30" s="40">
        <f t="shared" si="4"/>
        <v>1375</v>
      </c>
      <c r="AS30" s="40">
        <f>IF(s_RadSpec!D30&lt;&gt;"",s_C*s_IFA_res_adj*s_K*s_RadSpec!D30,0)</f>
        <v>0</v>
      </c>
      <c r="AT30" s="40">
        <f t="shared" si="5"/>
        <v>0.12557077625570776</v>
      </c>
      <c r="AU30" s="40">
        <f>s_b2w!AC30</f>
        <v>387.55295897638121</v>
      </c>
      <c r="AV30" s="18"/>
      <c r="AW30" s="15">
        <f>IFERROR(s_DL/(s_RadSpec!F30*s_EF_res*1*s_IRF_res*0.001*s_CF_res_fish),".")</f>
        <v>14.841452473587779</v>
      </c>
      <c r="AX30" s="189">
        <f>IFERROR(AW30*(0.0000000000028)*s_RadSpec!$AY30*s_RadSpec!$AF30,0)</f>
        <v>1.541464124127972E-3</v>
      </c>
      <c r="AY30" s="40">
        <f t="shared" si="6"/>
        <v>7562.5</v>
      </c>
    </row>
    <row r="31" spans="1:51" x14ac:dyDescent="0.25">
      <c r="A31" s="57" t="s">
        <v>1</v>
      </c>
      <c r="B31" s="57" t="s">
        <v>1185</v>
      </c>
      <c r="C31" s="57"/>
      <c r="D31" s="58">
        <f t="shared" ref="D31:I31" si="34">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337.36619626035349</v>
      </c>
      <c r="E31" s="58">
        <f t="shared" si="34"/>
        <v>19500.593689093945</v>
      </c>
      <c r="F31" s="58">
        <f t="shared" si="34"/>
        <v>728.6445968710068</v>
      </c>
      <c r="G31" s="58">
        <f t="shared" si="34"/>
        <v>9.7593178699935894</v>
      </c>
      <c r="H31" s="58">
        <f t="shared" si="34"/>
        <v>0.16868309813017673</v>
      </c>
      <c r="I31" s="59">
        <f t="shared" si="34"/>
        <v>9.3585633574688494</v>
      </c>
      <c r="J31" s="190">
        <f>I31*(0.0000000000028)*s_RadSpec!$AY3*s_RadSpec!$AF3</f>
        <v>2.7294115268745553E-6</v>
      </c>
      <c r="K31" s="47">
        <f>IFERROR(SUM(K32:K44),".")</f>
        <v>7.4103452797348146E-2</v>
      </c>
      <c r="L31" s="47">
        <f>IFERROR(SUM(L32:L44),".")</f>
        <v>1.282012250426083E-3</v>
      </c>
      <c r="M31" s="47">
        <f>IFERROR(SUM(M32:M44),".")</f>
        <v>3.4310279809054559E-2</v>
      </c>
      <c r="N31" s="47">
        <f>IFERROR(SUM(N32:N44),".")</f>
        <v>2.5616544448117691</v>
      </c>
      <c r="O31" s="47">
        <f>IFERROR(SUM(K32:N44),".")</f>
        <v>2.6713501896685976</v>
      </c>
      <c r="P31" s="59">
        <f>IFERROR(1/SUM(IFERROR(1/SUMIF(P32,"&lt;&gt;.",P32),0),IFERROR(1/SUMIF(P33,"&lt;&gt;.",P33),0),IFERROR(1/SUMIF(P34,"&lt;&gt;.",P34),0),IFERROR(1/SUMIF(P35,"&lt;&gt;.",P35),0),IFERROR(1/SUMIF(P36,"&lt;&gt;.",P36),0),IFERROR(1/SUMIF(P37,"&lt;&gt;.",P37),0),IFERROR(1/SUMIF(P38,"&lt;&gt;.",P38),0),IFERROR(1/SUMIF(P39,"&lt;&gt;.",P39),0),IFERROR(1/SUMIF(P40,"&lt;&gt;.",P40),0),IFERROR(1/SUMIF(P41,"&lt;&gt;.",P41),0),IFERROR(1/SUMIF(P42,"&lt;&gt;.",P42),0),IFERROR(1/SUMIF(P43,"&lt;&gt;.",P43),0),IFERROR(1/SUMIF(P44,"&lt;&gt;.",P44),0)),".")</f>
        <v>728.6445968710068</v>
      </c>
      <c r="Q31" s="59">
        <f>IFERROR(1/SUM(IFERROR(1/SUMIF(Q32,"&lt;&gt;.",Q32),0),IFERROR(1/SUMIF(Q33,"&lt;&gt;.",Q33),0),IFERROR(1/SUMIF(Q34,"&lt;&gt;.",Q34),0),IFERROR(1/SUMIF(Q35,"&lt;&gt;.",Q35),0),IFERROR(1/SUMIF(Q36,"&lt;&gt;.",Q36),0),IFERROR(1/SUMIF(Q37,"&lt;&gt;.",Q37),0),IFERROR(1/SUMIF(Q38,"&lt;&gt;.",Q38),0),IFERROR(1/SUMIF(Q39,"&lt;&gt;.",Q39),0),IFERROR(1/SUMIF(Q40,"&lt;&gt;.",Q40),0),IFERROR(1/SUMIF(Q41,"&lt;&gt;.",Q41),0),IFERROR(1/SUMIF(Q42,"&lt;&gt;.",Q42),0),IFERROR(1/SUMIF(Q43,"&lt;&gt;.",Q43),0),IFERROR(1/SUMIF(Q44,"&lt;&gt;.",Q44),0)),".")</f>
        <v>6354.9551474691416</v>
      </c>
      <c r="R31" s="59">
        <f>IFERROR(1/SUM(IFERROR(1/SUMIF(R32,"&lt;&gt;.",R32),0),IFERROR(1/SUMIF(R33,"&lt;&gt;.",R33),0),IFERROR(1/SUMIF(R34,"&lt;&gt;.",R34),0),IFERROR(1/SUMIF(R35,"&lt;&gt;.",R35),0),IFERROR(1/SUMIF(R36,"&lt;&gt;.",R36),0),IFERROR(1/SUMIF(R37,"&lt;&gt;.",R37),0),IFERROR(1/SUMIF(R38,"&lt;&gt;.",R38),0),IFERROR(1/SUMIF(R39,"&lt;&gt;.",R39),0),IFERROR(1/SUMIF(R40,"&lt;&gt;.",R40),0),IFERROR(1/SUMIF(R41,"&lt;&gt;.",R41),0),IFERROR(1/SUMIF(R42,"&lt;&gt;.",R42),0),IFERROR(1/SUMIF(R43,"&lt;&gt;.",R43),0),IFERROR(1/SUMIF(R44,"&lt;&gt;.",R44),0)),".")</f>
        <v>1653.6174384701199</v>
      </c>
      <c r="S31" s="59">
        <f>IFERROR(1/SUM(IFERROR(1/SUMIF(S32,"&lt;&gt;.",S32),0),IFERROR(1/SUMIF(S33,"&lt;&gt;.",S33),0),IFERROR(1/SUMIF(S34,"&lt;&gt;.",S34),0),IFERROR(1/SUMIF(S35,"&lt;&gt;.",S35),0),IFERROR(1/SUMIF(S36,"&lt;&gt;.",S36),0),IFERROR(1/SUMIF(S37,"&lt;&gt;.",S37),0),IFERROR(1/SUMIF(S38,"&lt;&gt;.",S38),0),IFERROR(1/SUMIF(S39,"&lt;&gt;.",S39),0),IFERROR(1/SUMIF(S40,"&lt;&gt;.",S40),0),IFERROR(1/SUMIF(S41,"&lt;&gt;.",S41),0),IFERROR(1/SUMIF(S42,"&lt;&gt;.",S42),0),IFERROR(1/SUMIF(S43,"&lt;&gt;.",S43),0),IFERROR(1/SUMIF(S44,"&lt;&gt;.",S44),0)),".")</f>
        <v>979.08534211061487</v>
      </c>
      <c r="T31" s="59">
        <f>IFERROR(1/SUM(IFERROR(1/SUMIF(T32,"&lt;&gt;.",T32),0),IFERROR(1/SUMIF(T33,"&lt;&gt;.",T33),0),IFERROR(1/SUMIF(T34,"&lt;&gt;.",T34),0),IFERROR(1/SUMIF(T35,"&lt;&gt;.",T35),0),IFERROR(1/SUMIF(T36,"&lt;&gt;.",T36),0),IFERROR(1/SUMIF(T37,"&lt;&gt;.",T37),0),IFERROR(1/SUMIF(T38,"&lt;&gt;.",T38),0),IFERROR(1/SUMIF(T39,"&lt;&gt;.",T39),0),IFERROR(1/SUMIF(T40,"&lt;&gt;.",T40),0),IFERROR(1/SUMIF(T41,"&lt;&gt;.",T41),0),IFERROR(1/SUMIF(T42,"&lt;&gt;.",T42),0),IFERROR(1/SUMIF(T43,"&lt;&gt;.",T43),0),IFERROR(1/SUMIF(T44,"&lt;&gt;.",T44),0)),".")</f>
        <v>12354.973138137249</v>
      </c>
      <c r="U31" s="190">
        <f>P31*(0.0000000000028)*s_RadSpec!$AY3*s_RadSpec!$AF3</f>
        <v>2.1250814742920966E-4</v>
      </c>
      <c r="V31" s="190">
        <f>Q31*(0.0000000000028)*s_RadSpec!$AY3*s_RadSpec!$AF3</f>
        <v>1.8534135176239627E-3</v>
      </c>
      <c r="W31" s="190">
        <f>R31*(0.0000000000028)*s_RadSpec!$AY3*s_RadSpec!$AF3</f>
        <v>4.8227514472069913E-4</v>
      </c>
      <c r="X31" s="190">
        <f>S31*(0.0000000000028)*s_RadSpec!$AY3*s_RadSpec!$AF3</f>
        <v>2.8554883014366821E-4</v>
      </c>
      <c r="Y31" s="190">
        <f>T31*(0.0000000000000028)*s_RadSpec!$AY3*s_RadSpec!$AF3</f>
        <v>3.6033101245764103E-6</v>
      </c>
      <c r="Z31" s="47">
        <f>IFERROR(SUM(Z32:Z44),".")</f>
        <v>3.4310279809054559E-2</v>
      </c>
      <c r="AA31" s="47">
        <f t="shared" ref="AA31:AD31" si="35">IFERROR(SUM(AA32:AA44),".")</f>
        <v>3.9339380719242752E-3</v>
      </c>
      <c r="AB31" s="47">
        <f t="shared" si="35"/>
        <v>1.5118369834760146E-2</v>
      </c>
      <c r="AC31" s="47">
        <f t="shared" si="35"/>
        <v>2.5534035619517583E-2</v>
      </c>
      <c r="AD31" s="47">
        <f t="shared" si="35"/>
        <v>2.0234766778108298E-3</v>
      </c>
      <c r="AE31" s="58">
        <f>IFERROR(1/SUM(IFERROR(1/SUMIF(AE32,"&lt;&gt;.",AE32),0),IFERROR(1/SUMIF(AE33,"&lt;&gt;.",AE33),0),IFERROR(1/SUMIF(AE34,"&lt;&gt;.",AE34),0),IFERROR(1/SUMIF(AE35,"&lt;&gt;.",AE35),0),IFERROR(1/SUMIF(AE36,"&lt;&gt;.",AE36),0),IFERROR(1/SUMIF(AE37,"&lt;&gt;.",AE37),0),IFERROR(1/SUMIF(AE38,"&lt;&gt;.",AE38),0),IFERROR(1/SUMIF(AE39,"&lt;&gt;.",AE39),0),IFERROR(1/SUMIF(AE40,"&lt;&gt;.",AE40),0),IFERROR(1/SUMIF(AE41,"&lt;&gt;.",AE41),0),IFERROR(1/SUMIF(AE42,"&lt;&gt;.",AE42),0),IFERROR(1/SUMIF(AE43,"&lt;&gt;.",AE43),0),IFERROR(1/SUMIF(AE44,"&lt;&gt;.",AE44),0)),".")</f>
        <v>6.2944966033856395E-2</v>
      </c>
      <c r="AF31" s="58">
        <f>IFERROR(1/SUM(IFERROR(1/SUMIF(AF32,"&lt;&gt;.",AF32),0),IFERROR(1/SUMIF(AF33,"&lt;&gt;.",AF33),0),IFERROR(1/SUMIF(AF34,"&lt;&gt;.",AF34),0),IFERROR(1/SUMIF(AF35,"&lt;&gt;.",AF35),0),IFERROR(1/SUMIF(AF36,"&lt;&gt;.",AF36),0),IFERROR(1/SUMIF(AF37,"&lt;&gt;.",AF37),0),IFERROR(1/SUMIF(AF38,"&lt;&gt;.",AF38),0),IFERROR(1/SUMIF(AF39,"&lt;&gt;.",AF39),0),IFERROR(1/SUMIF(AF40,"&lt;&gt;.",AF40),0),IFERROR(1/SUMIF(AF41,"&lt;&gt;.",AF41),0),IFERROR(1/SUMIF(AF42,"&lt;&gt;.",AF42),0),IFERROR(1/SUMIF(AF43,"&lt;&gt;.",AF43),0),IFERROR(1/SUMIF(AF44,"&lt;&gt;.",AF44),0)),".")</f>
        <v>111906.49536771805</v>
      </c>
      <c r="AG31" s="59">
        <f>IFERROR(1/SUM(IFERROR(1/SUMIF(AG32,"&lt;&gt;.",AG32),0),IFERROR(1/SUMIF(AG33,"&lt;&gt;.",AG33),0),IFERROR(1/SUMIF(AG34,"&lt;&gt;.",AG34),0),IFERROR(1/SUMIF(AG35,"&lt;&gt;.",AG35),0),IFERROR(1/SUMIF(AG36,"&lt;&gt;.",AG36),0),IFERROR(1/SUMIF(AG37,"&lt;&gt;.",AG37),0),IFERROR(1/SUMIF(AG38,"&lt;&gt;.",AG38),0),IFERROR(1/SUMIF(AG39,"&lt;&gt;.",AG39),0),IFERROR(1/SUMIF(AG40,"&lt;&gt;.",AG40),0),IFERROR(1/SUMIF(AG41,"&lt;&gt;.",AG41),0),IFERROR(1/SUMIF(AG42,"&lt;&gt;.",AG42),0),IFERROR(1/SUMIF(AG43,"&lt;&gt;.",AG43),0),IFERROR(1/SUMIF(AG44,"&lt;&gt;.",AG44),0)),".")</f>
        <v>6.2944930628704016E-2</v>
      </c>
      <c r="AH31" s="190">
        <f>AG31*(0.0000000000000028)*s_RadSpec!$AY3*s_RadSpec!$AF3</f>
        <v>1.8357798377161421E-11</v>
      </c>
      <c r="AI31" s="47">
        <f t="shared" ref="AI31" si="36">IFERROR(SUM(AI32:AI44),".")</f>
        <v>397.17234872369573</v>
      </c>
      <c r="AJ31" s="47">
        <f t="shared" ref="AJ31" si="37">IFERROR(SUM(AJ32:AJ44),".")</f>
        <v>2.234007947246628E-4</v>
      </c>
      <c r="AK31" s="47">
        <f t="shared" ref="AK31" si="38">IFERROR(SUM(AK32:AK44),".")</f>
        <v>397.17257212449044</v>
      </c>
      <c r="AL31" s="58">
        <f>IFERROR(1/SUM(IFERROR(1/SUMIF(AL32,"&lt;&gt;.",AL32),0),IFERROR(1/SUMIF(AL33,"&lt;&gt;.",AL33),0),IFERROR(1/SUMIF(AL34,"&lt;&gt;.",AL34),0),IFERROR(1/SUMIF(AL35,"&lt;&gt;.",AL35),0),IFERROR(1/SUMIF(AL36,"&lt;&gt;.",AL36),0),IFERROR(1/SUMIF(AL37,"&lt;&gt;.",AL37),0),IFERROR(1/SUMIF(AL38,"&lt;&gt;.",AL38),0),IFERROR(1/SUMIF(AL39,"&lt;&gt;.",AL39),0),IFERROR(1/SUMIF(AL40,"&lt;&gt;.",AL40),0),IFERROR(1/SUMIF(AL41,"&lt;&gt;.",AL41),0),IFERROR(1/SUMIF(AL42,"&lt;&gt;.",AL42),0),IFERROR(1/SUMIF(AL43,"&lt;&gt;.",AL43),0),IFERROR(1/SUMIF(AL44,"&lt;&gt;.",AL44),0)),".")</f>
        <v>3.7110281588638885</v>
      </c>
      <c r="AM31" s="58" t="str">
        <f>IFERROR(1/SUM(IFERROR(1/SUMIF(AM32,"&lt;&gt;.",AM32),0),IFERROR(1/SUMIF(AM33,"&lt;&gt;.",AM33),0),IFERROR(1/SUMIF(AM34,"&lt;&gt;.",AM34),0),IFERROR(1/SUMIF(AM35,"&lt;&gt;.",AM35),0),IFERROR(1/SUMIF(AM36,"&lt;&gt;.",AM36),0),IFERROR(1/SUMIF(AM37,"&lt;&gt;.",AM37),0),IFERROR(1/SUMIF(AM38,"&lt;&gt;.",AM38),0),IFERROR(1/SUMIF(AM39,"&lt;&gt;.",AM39),0),IFERROR(1/SUMIF(AM40,"&lt;&gt;.",AM40),0),IFERROR(1/SUMIF(AM41,"&lt;&gt;.",AM41),0),IFERROR(1/SUMIF(AM42,"&lt;&gt;.",AM42),0),IFERROR(1/SUMIF(AM43,"&lt;&gt;.",AM43),0),IFERROR(1/SUMIF(AM44,"&lt;&gt;.",AM44),0)),".")</f>
        <v>.</v>
      </c>
      <c r="AN31" s="58">
        <f>IFERROR(1/SUM(IFERROR(1/SUMIF(AN32,"&lt;&gt;.",AN32),0),IFERROR(1/SUMIF(AN33,"&lt;&gt;.",AN33),0),IFERROR(1/SUMIF(AN34,"&lt;&gt;.",AN34),0),IFERROR(1/SUMIF(AN35,"&lt;&gt;.",AN35),0),IFERROR(1/SUMIF(AN36,"&lt;&gt;.",AN36),0),IFERROR(1/SUMIF(AN37,"&lt;&gt;.",AN37),0),IFERROR(1/SUMIF(AN38,"&lt;&gt;.",AN38),0),IFERROR(1/SUMIF(AN39,"&lt;&gt;.",AN39),0),IFERROR(1/SUMIF(AN40,"&lt;&gt;.",AN40),0),IFERROR(1/SUMIF(AN41,"&lt;&gt;.",AN41),0),IFERROR(1/SUMIF(AN42,"&lt;&gt;.",AN42),0),IFERROR(1/SUMIF(AN43,"&lt;&gt;.",AN43),0),IFERROR(1/SUMIF(AN44,"&lt;&gt;.",AN44),0)),".")</f>
        <v>32122.206953211124</v>
      </c>
      <c r="AO31" s="58">
        <f>IFERROR(1/SUM(IFERROR(1/SUMIF(AO32,"&lt;&gt;.",AO32),0),IFERROR(1/SUMIF(AO33,"&lt;&gt;.",AO33),0),IFERROR(1/SUMIF(AO34,"&lt;&gt;.",AO34),0),IFERROR(1/SUMIF(AO35,"&lt;&gt;.",AO35),0),IFERROR(1/SUMIF(AO36,"&lt;&gt;.",AO36),0),IFERROR(1/SUMIF(AO37,"&lt;&gt;.",AO37),0),IFERROR(1/SUMIF(AO38,"&lt;&gt;.",AO38),0),IFERROR(1/SUMIF(AO39,"&lt;&gt;.",AO39),0),IFERROR(1/SUMIF(AO40,"&lt;&gt;.",AO40),0),IFERROR(1/SUMIF(AO41,"&lt;&gt;.",AO41),0),IFERROR(1/SUMIF(AO42,"&lt;&gt;.",AO42),0),IFERROR(1/SUMIF(AO43,"&lt;&gt;.",AO43),0),IFERROR(1/SUMIF(AO44,"&lt;&gt;.",AO44),0)),".")</f>
        <v>13.550199793579592</v>
      </c>
      <c r="AP31" s="59">
        <f>IFERROR(1/SUM(IFERROR(1/SUMIF(AP32,"&lt;&gt;.",AP32),0),IFERROR(1/SUMIF(AP33,"&lt;&gt;.",AP33),0),IFERROR(1/SUMIF(AP34,"&lt;&gt;.",AP34),0),IFERROR(1/SUMIF(AP35,"&lt;&gt;.",AP35),0),IFERROR(1/SUMIF(AP36,"&lt;&gt;.",AP36),0),IFERROR(1/SUMIF(AP37,"&lt;&gt;.",AP37),0),IFERROR(1/SUMIF(AP38,"&lt;&gt;.",AP38),0),IFERROR(1/SUMIF(AP39,"&lt;&gt;.",AP39),0),IFERROR(1/SUMIF(AP40,"&lt;&gt;.",AP40),0),IFERROR(1/SUMIF(AP41,"&lt;&gt;.",AP41),0),IFERROR(1/SUMIF(AP42,"&lt;&gt;.",AP42),0),IFERROR(1/SUMIF(AP43,"&lt;&gt;.",AP43),0),IFERROR(1/SUMIF(AP44,"&lt;&gt;.",AP44),0)),".")</f>
        <v>2.9129221365577509</v>
      </c>
      <c r="AQ31" s="190">
        <f>AP31*(0.0000000000000028)*s_RadSpec!$AY3*s_RadSpec!$AF3</f>
        <v>8.495495465191913E-10</v>
      </c>
      <c r="AR31" s="47">
        <f t="shared" ref="AR31" si="39">IFERROR(SUM(AR32:AR44),".")</f>
        <v>6.7366775270316497</v>
      </c>
      <c r="AS31" s="47">
        <f t="shared" ref="AS31" si="40">IFERROR(SUM(AS32:AS44),".")</f>
        <v>0</v>
      </c>
      <c r="AT31" s="47">
        <f t="shared" ref="AT31" si="41">IFERROR(SUM(AT32:AT44),".")</f>
        <v>7.7827778260736332E-4</v>
      </c>
      <c r="AU31" s="47">
        <f t="shared" ref="AU31" si="42">IFERROR(SUM(AU32:AU44),".")</f>
        <v>1.8449912459479443</v>
      </c>
      <c r="AV31" s="47">
        <f t="shared" ref="AV31" si="43">IFERROR(SUM(AV32:AV44),".")</f>
        <v>8.5824470507621999</v>
      </c>
      <c r="AW31" s="59">
        <f>IFERROR(1/SUM(IFERROR(1/SUMIF(AW32,"&lt;&gt;.",AW32),0),IFERROR(1/SUMIF(AW33,"&lt;&gt;.",AW33),0),IFERROR(1/SUMIF(AW34,"&lt;&gt;.",AW34),0),IFERROR(1/SUMIF(AW35,"&lt;&gt;.",AW35),0),IFERROR(1/SUMIF(AW36,"&lt;&gt;.",AW36),0),IFERROR(1/SUMIF(AW37,"&lt;&gt;.",AW37),0),IFERROR(1/SUMIF(AW38,"&lt;&gt;.",AW38),0),IFERROR(1/SUMIF(AW39,"&lt;&gt;.",AW39),0),IFERROR(1/SUMIF(AW40,"&lt;&gt;.",AW40),0),IFERROR(1/SUMIF(AW41,"&lt;&gt;.",AW41),0),IFERROR(1/SUMIF(AW42,"&lt;&gt;.",AW42),0),IFERROR(1/SUMIF(AW43,"&lt;&gt;.",AW43),0),IFERROR(1/SUMIF(AW44,"&lt;&gt;.",AW44),0)),".")</f>
        <v>0.67473239252070694</v>
      </c>
      <c r="AX31" s="190">
        <f>AW31*(0.0000000000028)*s_RadSpec!$AY3*s_RadSpec!$AF3</f>
        <v>1.9678473066401896E-7</v>
      </c>
      <c r="AY31" s="47">
        <f t="shared" ref="AY31" si="44">IFERROR(SUM(AY32:AY44),".")</f>
        <v>37.051726398674084</v>
      </c>
    </row>
    <row r="32" spans="1:51" x14ac:dyDescent="0.25">
      <c r="A32" s="48" t="s">
        <v>1085</v>
      </c>
      <c r="B32" s="15">
        <v>1</v>
      </c>
      <c r="C32" s="42"/>
      <c r="D32" s="60">
        <f t="shared" ref="D32:I32" si="45">IFERROR(D3/$B32,".")</f>
        <v>1877.0072246008076</v>
      </c>
      <c r="E32" s="60">
        <f t="shared" si="45"/>
        <v>42565.388120151685</v>
      </c>
      <c r="F32" s="60">
        <f t="shared" si="45"/>
        <v>16577366.657531947</v>
      </c>
      <c r="G32" s="60">
        <f t="shared" si="45"/>
        <v>67.746096569426214</v>
      </c>
      <c r="H32" s="60">
        <f t="shared" si="45"/>
        <v>0.9385036123004038</v>
      </c>
      <c r="I32" s="60">
        <f t="shared" si="45"/>
        <v>65.285594956545523</v>
      </c>
      <c r="J32" s="189">
        <f>IFERROR(J3/$B32,0)</f>
        <v>1.9040449757819767E-5</v>
      </c>
      <c r="K32" s="49">
        <f>IF(D32=".",".",s_RadSpec!$E$3*K3*$B$32)</f>
        <v>1.3319075000000001E-2</v>
      </c>
      <c r="L32" s="49">
        <f>IF(E32=".",".",s_RadSpec!$H$3*L3*$B$32)</f>
        <v>5.8733165851633041E-4</v>
      </c>
      <c r="M32" s="49">
        <f>IF(F32=".",".",s_RadSpec!$G$3*M3*$B$32)</f>
        <v>1.5080802950474178E-6</v>
      </c>
      <c r="N32" s="49">
        <f>s_b2s!AC32</f>
        <v>0.36902495148749997</v>
      </c>
      <c r="O32" s="49">
        <f>IFERROR(SUM(K32:N32),".")</f>
        <v>0.38293286622631134</v>
      </c>
      <c r="P32" s="60">
        <f>IFERROR(P3/$B32,".")</f>
        <v>16577366.657531947</v>
      </c>
      <c r="Q32" s="60">
        <f>IFERROR(Q3/$B32,".")</f>
        <v>47199909.340030849</v>
      </c>
      <c r="R32" s="60">
        <f>IFERROR(R3/$B32,".")</f>
        <v>18955992.786839738</v>
      </c>
      <c r="S32" s="60">
        <f>IFERROR(S3/$B32,".")</f>
        <v>18165479.085292459</v>
      </c>
      <c r="T32" s="60">
        <f>IFERROR(T3/$B32,".")</f>
        <v>52568721.698091842</v>
      </c>
      <c r="U32" s="189">
        <f t="shared" ref="U32:Y32" si="46">IFERROR(U3/$B32,0)</f>
        <v>4.8347651142612058</v>
      </c>
      <c r="V32" s="189">
        <f t="shared" si="46"/>
        <v>13.765785591150548</v>
      </c>
      <c r="W32" s="189">
        <f t="shared" si="46"/>
        <v>5.5284879996521967</v>
      </c>
      <c r="X32" s="189">
        <f t="shared" si="46"/>
        <v>5.297935816935663</v>
      </c>
      <c r="Y32" s="189">
        <f t="shared" si="46"/>
        <v>15.331591984289242</v>
      </c>
      <c r="Z32" s="49">
        <f>IF(P32=".",".",s_RadSpec!$G$3*Z3*$B$32)</f>
        <v>1.5080802950474178E-6</v>
      </c>
      <c r="AA32" s="49">
        <f>IF(Q32=".",".",s_RadSpec!$N$3*AA3*$B$32)</f>
        <v>5.2966203430389172E-7</v>
      </c>
      <c r="AB32" s="49">
        <f>IF(R32=".",".",s_RadSpec!$O$3*AB3*$B$32)</f>
        <v>1.3188441397464727E-6</v>
      </c>
      <c r="AC32" s="49">
        <f>IF(S32=".",".",s_RadSpec!$P$3*AC3*$B$32)</f>
        <v>1.3762367555855468E-6</v>
      </c>
      <c r="AD32" s="49">
        <f>IF(T32=".",".",s_RadSpec!$L$3*AD3*$B$32)</f>
        <v>4.7556796498834133E-7</v>
      </c>
      <c r="AE32" s="60">
        <f>IFERROR(AE3/$B32,".")</f>
        <v>0.13739463280747685</v>
      </c>
      <c r="AF32" s="60">
        <f>IFERROR(AF3/$B32,".")</f>
        <v>4059723.4300177488</v>
      </c>
      <c r="AG32" s="60">
        <f>IFERROR(AG3/$B32,".")</f>
        <v>0.13739462815758263</v>
      </c>
      <c r="AH32" s="189">
        <f t="shared" ref="AH32" si="47">IFERROR(AH3/$B32,0)</f>
        <v>4.0070945453894429E-11</v>
      </c>
      <c r="AI32" s="49">
        <f>IF(AE32=".",".",s_RadSpec!$H$3*AI3*$B$32)</f>
        <v>181.95761718749998</v>
      </c>
      <c r="AJ32" s="49">
        <f>IF(AF32=".",".",s_RadSpec!$K$3*AJ3*$B$32)</f>
        <v>6.1580549589041093E-6</v>
      </c>
      <c r="AK32" s="49">
        <f>IFERROR(SUM(AI32:AJ32),".")</f>
        <v>181.95762334555494</v>
      </c>
      <c r="AL32" s="60">
        <f>IFERROR(AL3/$B32,".")</f>
        <v>20.64707947060888</v>
      </c>
      <c r="AM32" s="60" t="str">
        <f>IFERROR(AM3,".")</f>
        <v>.</v>
      </c>
      <c r="AN32" s="60">
        <f>IFERROR(AN3/$B32,".")</f>
        <v>1107197.2990957496</v>
      </c>
      <c r="AO32" s="60">
        <f>IFERROR(AO3/$B32,".")</f>
        <v>79.757261120264914</v>
      </c>
      <c r="AP32" s="60">
        <f>IFERROR(AP3/$B32,".")</f>
        <v>16.400985311353008</v>
      </c>
      <c r="AQ32" s="189">
        <f t="shared" ref="AQ32" si="48">IFERROR(AQ3/$B32,0)</f>
        <v>4.7833237486372567E-9</v>
      </c>
      <c r="AR32" s="49">
        <f>IF(AL32=".",".",s_RadSpec!$I$3*AR3*$B$32)</f>
        <v>1.210825</v>
      </c>
      <c r="AS32" s="49" t="str">
        <f>IF(AM32=".",".",s_RadSpec!$H$3*AS3*$B$32)</f>
        <v>.</v>
      </c>
      <c r="AT32" s="49">
        <f>IF(AN32=".",".",s_RadSpec!$M$3*AT3*$B$32)</f>
        <v>2.257953484931507E-5</v>
      </c>
      <c r="AU32" s="49">
        <f>s_b2w!AC32</f>
        <v>0.31345108456398507</v>
      </c>
      <c r="AV32" s="49">
        <f>IFERROR(SUM(AR32:AU32),".")</f>
        <v>1.5242986640988345</v>
      </c>
      <c r="AW32" s="60">
        <f>IFERROR(AW3/$B32,".")</f>
        <v>3.7540144492016148</v>
      </c>
      <c r="AX32" s="189">
        <f t="shared" ref="AX32" si="49">IFERROR(AX3/$B32,0)</f>
        <v>1.094852908328844E-6</v>
      </c>
      <c r="AY32" s="49">
        <f>IF(AW32=".",".",s_RadSpec!$F$3*AY3*$B$32)</f>
        <v>6.6595375000000008</v>
      </c>
    </row>
    <row r="33" spans="1:51" x14ac:dyDescent="0.25">
      <c r="A33" s="48" t="s">
        <v>1061</v>
      </c>
      <c r="B33" s="15">
        <v>1</v>
      </c>
      <c r="C33" s="42"/>
      <c r="D33" s="60">
        <f t="shared" ref="D33:I34" si="50">IFERROR(D13/$B33,".")</f>
        <v>3573.8217556399372</v>
      </c>
      <c r="E33" s="60">
        <f t="shared" si="50"/>
        <v>331401.95036403817</v>
      </c>
      <c r="F33" s="60">
        <f t="shared" si="50"/>
        <v>226951.14497758663</v>
      </c>
      <c r="G33" s="60">
        <f t="shared" si="50"/>
        <v>75.080288984032308</v>
      </c>
      <c r="H33" s="60">
        <f t="shared" si="50"/>
        <v>1.7869108778199687</v>
      </c>
      <c r="I33" s="60">
        <f t="shared" si="50"/>
        <v>73.495305520228257</v>
      </c>
      <c r="J33" s="189">
        <f t="shared" ref="J33:J34" si="51">IFERROR(J13/$B33,0)</f>
        <v>0.10456606328947113</v>
      </c>
      <c r="K33" s="49">
        <f>IF(D33=".",".",s_RadSpec!$E$13*K13*$B$33)</f>
        <v>6.9953125000000007E-3</v>
      </c>
      <c r="L33" s="49">
        <f>IF(E33=".",".",s_RadSpec!$H$13*L13*$B$33)</f>
        <v>7.5437093754391067E-5</v>
      </c>
      <c r="M33" s="49">
        <f>IF(F33=".",".",s_RadSpec!$G$13*M13*$B$33)</f>
        <v>1.1015586637586235E-4</v>
      </c>
      <c r="N33" s="49">
        <f>s_b2s!AC33</f>
        <v>0.33297687500000006</v>
      </c>
      <c r="O33" s="49">
        <f t="shared" ref="O33:O44" si="52">IFERROR(SUM(K33:N33),".")</f>
        <v>0.34015778046013029</v>
      </c>
      <c r="P33" s="60">
        <f t="shared" ref="P33:T34" si="53">IFERROR(P13/$B33,".")</f>
        <v>226951.14497758663</v>
      </c>
      <c r="Q33" s="60">
        <f t="shared" si="53"/>
        <v>1480667.6249620041</v>
      </c>
      <c r="R33" s="60">
        <f t="shared" si="53"/>
        <v>369085.65973383986</v>
      </c>
      <c r="S33" s="60">
        <f t="shared" si="53"/>
        <v>243409.37874457389</v>
      </c>
      <c r="T33" s="60">
        <f t="shared" si="53"/>
        <v>11194560.401182281</v>
      </c>
      <c r="U33" s="189">
        <f t="shared" ref="U33:Y34" si="54">IFERROR(U13/$B33,0)</f>
        <v>322.89664790647919</v>
      </c>
      <c r="V33" s="189">
        <f t="shared" si="54"/>
        <v>2106.6323010227416</v>
      </c>
      <c r="W33" s="189">
        <f t="shared" si="54"/>
        <v>525.1197227058625</v>
      </c>
      <c r="X33" s="189">
        <f t="shared" si="54"/>
        <v>346.31273824762394</v>
      </c>
      <c r="Y33" s="189">
        <f t="shared" si="54"/>
        <v>15927.154845089459</v>
      </c>
      <c r="Z33" s="49">
        <f>IF(P33=".",".",s_RadSpec!$G$13*Z13*$B$33)</f>
        <v>1.1015586637586235E-4</v>
      </c>
      <c r="AA33" s="49">
        <f>IF(Q33=".",".",s_RadSpec!$N$13*AA13*$B$33)</f>
        <v>1.6884275429903815E-5</v>
      </c>
      <c r="AB33" s="49">
        <f>IF(R33=".",".",s_RadSpec!$O$13*AB13*$B$33)</f>
        <v>6.7734953501115018E-5</v>
      </c>
      <c r="AC33" s="49">
        <f>IF(S33=".",".",s_RadSpec!$P$13*AC13*$B$33)</f>
        <v>1.0270762831301668E-4</v>
      </c>
      <c r="AD33" s="49">
        <f>IF(T33=".",".",s_RadSpec!$L$13*AD13*$B$33)</f>
        <v>2.233227487642989E-6</v>
      </c>
      <c r="AE33" s="60">
        <f t="shared" ref="AE33:AG34" si="55">IFERROR(AE13/$B33,".")</f>
        <v>1.0697153554296412</v>
      </c>
      <c r="AF33" s="60">
        <f t="shared" si="55"/>
        <v>3172249.0057813111</v>
      </c>
      <c r="AG33" s="60">
        <f t="shared" si="55"/>
        <v>1.0697149947106201</v>
      </c>
      <c r="AH33" s="189">
        <f t="shared" ref="AH33:AH34" si="56">IFERROR(AH13/$B33,0)</f>
        <v>1.5219459943304904E-6</v>
      </c>
      <c r="AI33" s="49">
        <f>IF(AE33=".",".",s_RadSpec!$H$13*AI13*$B$33)</f>
        <v>23.370703124999999</v>
      </c>
      <c r="AJ33" s="49">
        <f>IF(AF33=".",".",s_RadSpec!$K$13*AJ13*$B$33)</f>
        <v>7.8808441438356164E-6</v>
      </c>
      <c r="AK33" s="49">
        <f t="shared" ref="AK33:AK76" si="57">IFERROR(SUM(AI33:AJ33),".")</f>
        <v>23.370711005844143</v>
      </c>
      <c r="AL33" s="60">
        <f t="shared" ref="AL33:AL34" si="58">IFERROR(AL13/$B33,".")</f>
        <v>39.31203931203931</v>
      </c>
      <c r="AM33" s="60" t="str">
        <f>IFERROR(AM13,".")</f>
        <v>.</v>
      </c>
      <c r="AN33" s="60">
        <f t="shared" ref="AN33:AP34" si="59">IFERROR(AN13/$B33,".")</f>
        <v>883463.12984842202</v>
      </c>
      <c r="AO33" s="60">
        <f t="shared" si="59"/>
        <v>130.0193234834432</v>
      </c>
      <c r="AP33" s="60">
        <f t="shared" si="59"/>
        <v>30.184308675843624</v>
      </c>
      <c r="AQ33" s="189">
        <f t="shared" ref="AQ33:AQ34" si="60">IFERROR(AQ13/$B33,0)</f>
        <v>4.2944978716749396E-5</v>
      </c>
      <c r="AR33" s="49">
        <f>IF(AL33=".",".",s_RadSpec!$I$13*AR13*$B$33)</f>
        <v>0.63593750000000004</v>
      </c>
      <c r="AS33" s="49" t="str">
        <f>IF(AM33=".",".",s_RadSpec!$H$13*AS13*$B$33)</f>
        <v>.</v>
      </c>
      <c r="AT33" s="49">
        <f>IF(AN33=".",".",s_RadSpec!$M$13*AT13*$B$33)</f>
        <v>2.8297728739726028E-5</v>
      </c>
      <c r="AU33" s="49">
        <f>s_b2w!AC33</f>
        <v>0.1922791115213234</v>
      </c>
      <c r="AV33" s="49">
        <f t="shared" ref="AV33:AV76" si="61">IFERROR(SUM(AR33:AU33),".")</f>
        <v>0.82824490925006311</v>
      </c>
      <c r="AW33" s="60">
        <f t="shared" ref="AW33:AW34" si="62">IFERROR(AW13/$B33,".")</f>
        <v>7.1476435112798749</v>
      </c>
      <c r="AX33" s="189">
        <f t="shared" ref="AX33:AX34" si="63">IFERROR(AX13/$B33,0)</f>
        <v>1.0169369845878937E-2</v>
      </c>
      <c r="AY33" s="49">
        <f>IF(AW33=".",".",s_RadSpec!$F$13*AY13*$B$33)</f>
        <v>3.4976562500000004</v>
      </c>
    </row>
    <row r="34" spans="1:51" x14ac:dyDescent="0.25">
      <c r="A34" s="48" t="s">
        <v>1062</v>
      </c>
      <c r="B34" s="15">
        <v>1</v>
      </c>
      <c r="C34" s="42"/>
      <c r="D34" s="60">
        <f t="shared" si="50"/>
        <v>338430.09049620619</v>
      </c>
      <c r="E34" s="60">
        <f t="shared" si="50"/>
        <v>915715915.47957909</v>
      </c>
      <c r="F34" s="60">
        <f t="shared" si="50"/>
        <v>2244.1970085463927</v>
      </c>
      <c r="G34" s="60">
        <f t="shared" si="50"/>
        <v>7200.6402233235358</v>
      </c>
      <c r="H34" s="60">
        <f t="shared" si="50"/>
        <v>169.21504524810311</v>
      </c>
      <c r="I34" s="60">
        <f t="shared" si="50"/>
        <v>1702.3417043401678</v>
      </c>
      <c r="J34" s="189">
        <f t="shared" si="51"/>
        <v>8.2054133146822197E-8</v>
      </c>
      <c r="K34" s="49">
        <f>IF(D34=".",".",s_RadSpec!$E$14*K14*$B$34)</f>
        <v>7.3870500000000004E-5</v>
      </c>
      <c r="L34" s="49">
        <f>IF(E34=".",".",s_RadSpec!$H$14*L14*$B$34)</f>
        <v>2.7301043453970099E-8</v>
      </c>
      <c r="M34" s="49">
        <f>IF(F34=".",".",s_RadSpec!$G$14*M14*$B$34)</f>
        <v>1.1139841958969974E-2</v>
      </c>
      <c r="N34" s="49">
        <f>s_b2s!AC34</f>
        <v>3.4719135000000003E-3</v>
      </c>
      <c r="O34" s="49">
        <f t="shared" si="52"/>
        <v>1.4685653260013427E-2</v>
      </c>
      <c r="P34" s="60">
        <f t="shared" si="53"/>
        <v>2244.1970085463927</v>
      </c>
      <c r="Q34" s="60">
        <f t="shared" si="53"/>
        <v>17490.182286907551</v>
      </c>
      <c r="R34" s="60">
        <f t="shared" si="53"/>
        <v>4652.3213284485228</v>
      </c>
      <c r="S34" s="60">
        <f t="shared" si="53"/>
        <v>2788.9828245151784</v>
      </c>
      <c r="T34" s="60">
        <f t="shared" si="53"/>
        <v>49029.241007515826</v>
      </c>
      <c r="U34" s="189">
        <f t="shared" si="54"/>
        <v>1.0817196082166189E-7</v>
      </c>
      <c r="V34" s="189">
        <f t="shared" si="54"/>
        <v>8.4303976250665143E-7</v>
      </c>
      <c r="W34" s="189">
        <f t="shared" si="54"/>
        <v>2.242453396712619E-7</v>
      </c>
      <c r="X34" s="189">
        <f t="shared" si="54"/>
        <v>1.3443104133765588E-7</v>
      </c>
      <c r="Y34" s="189">
        <f t="shared" si="54"/>
        <v>2.363245792229289E-6</v>
      </c>
      <c r="Z34" s="49">
        <f>IF(P34=".",".",s_RadSpec!$G$14*Z14*$B$34)</f>
        <v>1.1139841958969974E-2</v>
      </c>
      <c r="AA34" s="49">
        <f>IF(Q34=".",".",s_RadSpec!$N$14*AA14*$B$34)</f>
        <v>1.4293733244114901E-3</v>
      </c>
      <c r="AB34" s="49">
        <f>IF(R34=".",".",s_RadSpec!$O$14*AB14*$B$34)</f>
        <v>5.373661498213219E-3</v>
      </c>
      <c r="AC34" s="49">
        <f>IF(S34=".",".",s_RadSpec!$P$14*AC14*$B$34)</f>
        <v>8.963841505315066E-3</v>
      </c>
      <c r="AD34" s="49">
        <f>IF(T34=".",".",s_RadSpec!$L$14*AD14*$B$34)</f>
        <v>5.0989979624950109E-4</v>
      </c>
      <c r="AE34" s="60">
        <f t="shared" si="55"/>
        <v>2955.7924294766399</v>
      </c>
      <c r="AF34" s="60">
        <f t="shared" si="55"/>
        <v>294297.10301746789</v>
      </c>
      <c r="AG34" s="60">
        <f t="shared" si="55"/>
        <v>2926.4009280986129</v>
      </c>
      <c r="AH34" s="189">
        <f t="shared" si="56"/>
        <v>1.4105469588331564E-10</v>
      </c>
      <c r="AI34" s="49">
        <f>IF(AE34=".",".",s_RadSpec!$H$14*AI14*$B$34)</f>
        <v>8.4579687499999993E-3</v>
      </c>
      <c r="AJ34" s="49">
        <f>IF(AF34=".",".",s_RadSpec!$K$14*AJ14*$B$34)</f>
        <v>8.4948168852739734E-5</v>
      </c>
      <c r="AK34" s="49">
        <f t="shared" si="57"/>
        <v>8.5429169188527398E-3</v>
      </c>
      <c r="AL34" s="60">
        <f t="shared" si="58"/>
        <v>3722.7309954582679</v>
      </c>
      <c r="AM34" s="60" t="str">
        <f>IFERROR(AM14,".")</f>
        <v>.</v>
      </c>
      <c r="AN34" s="60">
        <f t="shared" si="59"/>
        <v>83994.277862436182</v>
      </c>
      <c r="AO34" s="60">
        <f t="shared" si="59"/>
        <v>12366.0720725506</v>
      </c>
      <c r="AP34" s="60">
        <f t="shared" si="59"/>
        <v>2767.0784484982883</v>
      </c>
      <c r="AQ34" s="189">
        <f t="shared" si="60"/>
        <v>1.3337523416239513E-10</v>
      </c>
      <c r="AR34" s="49">
        <f>IF(AL34=".",".",s_RadSpec!$I$14*AR14*$B$34)</f>
        <v>6.7155000000000001E-3</v>
      </c>
      <c r="AS34" s="49" t="str">
        <f>IF(AM34=".",".",s_RadSpec!$H$14*AS14*$B$34)</f>
        <v>.</v>
      </c>
      <c r="AT34" s="49">
        <f>IF(AN34=".",".",s_RadSpec!$M$14*AT14*$B$34)</f>
        <v>2.9763932301369862E-4</v>
      </c>
      <c r="AU34" s="49">
        <f>s_b2w!AC34</f>
        <v>2.0216605445389055E-3</v>
      </c>
      <c r="AV34" s="49">
        <f t="shared" si="61"/>
        <v>9.034799867552604E-3</v>
      </c>
      <c r="AW34" s="60">
        <f t="shared" si="62"/>
        <v>676.86018099241232</v>
      </c>
      <c r="AX34" s="189">
        <f t="shared" si="63"/>
        <v>3.262516289845622E-8</v>
      </c>
      <c r="AY34" s="49">
        <f>IF(AW34=".",".",s_RadSpec!$F$14*AY14*$B$34)</f>
        <v>3.6935250000000003E-2</v>
      </c>
    </row>
    <row r="35" spans="1:51" x14ac:dyDescent="0.25">
      <c r="A35" s="48" t="s">
        <v>1063</v>
      </c>
      <c r="B35" s="15">
        <v>1</v>
      </c>
      <c r="C35" s="42"/>
      <c r="D35" s="60">
        <f t="shared" ref="D35:I35" si="64">IFERROR(D30/$B35,".")</f>
        <v>7420.7262367938902</v>
      </c>
      <c r="E35" s="60">
        <f t="shared" si="64"/>
        <v>405404.32762979425</v>
      </c>
      <c r="F35" s="60">
        <f t="shared" si="64"/>
        <v>8023164.3923083842</v>
      </c>
      <c r="G35" s="60">
        <f t="shared" si="64"/>
        <v>194.15057590083828</v>
      </c>
      <c r="H35" s="60">
        <f t="shared" si="64"/>
        <v>3.7103631183969448</v>
      </c>
      <c r="I35" s="60">
        <f t="shared" si="64"/>
        <v>189.10775478939388</v>
      </c>
      <c r="J35" s="189">
        <f>IFERROR(J30/$B35,0)</f>
        <v>1.9641124756556411E-2</v>
      </c>
      <c r="K35" s="49">
        <f>IF(D35=".",".",s_RadSpec!$E$30*K30*$B$35)</f>
        <v>3.3689424999999999E-3</v>
      </c>
      <c r="L35" s="49">
        <f>IF(E35=".",".",s_RadSpec!$H$30*L30*$B$35)</f>
        <v>6.1666830608748247E-5</v>
      </c>
      <c r="M35" s="49">
        <f>IF(F35=".",".",s_RadSpec!$G$30*M30*$B$35)</f>
        <v>3.115977534246575E-6</v>
      </c>
      <c r="N35" s="49">
        <f>s_b2s!AC35</f>
        <v>0.12876603576374998</v>
      </c>
      <c r="O35" s="49">
        <f t="shared" si="52"/>
        <v>0.13219976107189296</v>
      </c>
      <c r="P35" s="60">
        <f>IFERROR(P30/$B35,".")</f>
        <v>8023164.3923083842</v>
      </c>
      <c r="Q35" s="60">
        <f>IFERROR(Q30/$B35,".")</f>
        <v>133366725.76314768</v>
      </c>
      <c r="R35" s="60">
        <f>IFERROR(R30/$B35,".")</f>
        <v>19854192.604176376</v>
      </c>
      <c r="S35" s="60">
        <f>IFERROR(S30/$B35,".")</f>
        <v>10897565.971045399</v>
      </c>
      <c r="T35" s="60">
        <f>IFERROR(T30/$B35,".")</f>
        <v>1590184250.0745533</v>
      </c>
      <c r="U35" s="189">
        <f t="shared" ref="U35:Y35" si="65">IFERROR(U30/$B35,0)</f>
        <v>833.30254196708484</v>
      </c>
      <c r="V35" s="189">
        <f t="shared" si="65"/>
        <v>13851.745540550108</v>
      </c>
      <c r="W35" s="189">
        <f t="shared" si="65"/>
        <v>2062.0977405903755</v>
      </c>
      <c r="X35" s="189">
        <f t="shared" si="65"/>
        <v>1131.8438686899951</v>
      </c>
      <c r="Y35" s="189">
        <f t="shared" si="65"/>
        <v>165159.84379598324</v>
      </c>
      <c r="Z35" s="49">
        <f>IF(P35=".",".",s_RadSpec!$G$30*Z30*$B$35)</f>
        <v>3.115977534246575E-6</v>
      </c>
      <c r="AA35" s="49">
        <f>IF(Q35=".",".",s_RadSpec!$N$30*AA30*$B$35)</f>
        <v>1.8745305365296805E-7</v>
      </c>
      <c r="AB35" s="49">
        <f>IF(R35=".",".",s_RadSpec!$O$30*AB30*$B$35)</f>
        <v>1.2591798870099202E-6</v>
      </c>
      <c r="AC35" s="49">
        <f>IF(S35=".",".",s_RadSpec!$P$30*AC30*$B$35)</f>
        <v>2.294090264415418E-6</v>
      </c>
      <c r="AD35" s="49">
        <f>IF(T35=".",".",s_RadSpec!$L$30*AD30*$B$35)</f>
        <v>1.5721448630136989E-8</v>
      </c>
      <c r="AE35" s="60">
        <f>IFERROR(AE30/$B35,".")</f>
        <v>1.3085838328556778</v>
      </c>
      <c r="AF35" s="60">
        <f>IFERROR(AF30/$B35,".")</f>
        <v>257371145.75206867</v>
      </c>
      <c r="AG35" s="60">
        <f>IFERROR(AG30/$B35,".")</f>
        <v>1.3085838262022838</v>
      </c>
      <c r="AH35" s="189">
        <f t="shared" ref="AH35" si="66">IFERROR(AH30/$B35,0)</f>
        <v>1.359122380437277E-7</v>
      </c>
      <c r="AI35" s="49">
        <f>IF(AE35=".",".",s_RadSpec!$H$30*AI30*$B$35)</f>
        <v>19.104622395833328</v>
      </c>
      <c r="AJ35" s="49">
        <f>IF(AF35=".",".",s_RadSpec!$K$30*AJ30*$B$35)</f>
        <v>9.7135985958904111E-8</v>
      </c>
      <c r="AK35" s="49">
        <f t="shared" si="57"/>
        <v>19.104622492969312</v>
      </c>
      <c r="AL35" s="60">
        <f>IFERROR(AL30/$B35,".")</f>
        <v>81.627988604732792</v>
      </c>
      <c r="AM35" s="60" t="str">
        <f>IFERROR(AM30,".")</f>
        <v>.</v>
      </c>
      <c r="AN35" s="60">
        <f>IFERROR(AN30/$B35,".")</f>
        <v>72556759.174785301</v>
      </c>
      <c r="AO35" s="60">
        <f>IFERROR(AO30/$B35,".")</f>
        <v>289.60812124349638</v>
      </c>
      <c r="AP35" s="60">
        <f>IFERROR(AP30/$B35,".")</f>
        <v>63.67944024251301</v>
      </c>
      <c r="AQ35" s="189">
        <f t="shared" ref="AQ35" si="67">IFERROR(AQ30/$B35,0)</f>
        <v>6.6138791168231063E-6</v>
      </c>
      <c r="AR35" s="49">
        <f>IF(AL35=".",".",s_RadSpec!$I$30*AR30*$B$35)</f>
        <v>0.30626749999999997</v>
      </c>
      <c r="AS35" s="49" t="str">
        <f>IF(AM35=".",".",s_RadSpec!$H$30*AS30*$B$35)</f>
        <v>.</v>
      </c>
      <c r="AT35" s="49">
        <f>IF(AN35=".",".",s_RadSpec!$M$30*AT30*$B$35)</f>
        <v>3.4455783698630136E-7</v>
      </c>
      <c r="AU35" s="49">
        <f>s_b2w!AC35</f>
        <v>8.6323546082399144E-2</v>
      </c>
      <c r="AV35" s="49">
        <f t="shared" si="61"/>
        <v>0.39259139064023607</v>
      </c>
      <c r="AW35" s="60">
        <f>IFERROR(AW30/$B35,".")</f>
        <v>14.841452473587779</v>
      </c>
      <c r="AX35" s="189">
        <f t="shared" ref="AX35" si="68">IFERROR(AX30/$B35,0)</f>
        <v>1.541464124127972E-3</v>
      </c>
      <c r="AY35" s="49">
        <f>IF(AW35=".",".",s_RadSpec!$F$30*AY30*$B$35)</f>
        <v>1.6844712500000001</v>
      </c>
    </row>
    <row r="36" spans="1:51" x14ac:dyDescent="0.25">
      <c r="A36" s="48" t="s">
        <v>1064</v>
      </c>
      <c r="B36" s="15">
        <v>1</v>
      </c>
      <c r="C36" s="42"/>
      <c r="D36" s="60">
        <f t="shared" ref="D36:I36" si="69">IFERROR(D26/$B36,".")</f>
        <v>733.54305329226952</v>
      </c>
      <c r="E36" s="60">
        <f t="shared" si="69"/>
        <v>55306.815557442133</v>
      </c>
      <c r="F36" s="60">
        <f t="shared" si="69"/>
        <v>26940.225201737314</v>
      </c>
      <c r="G36" s="60">
        <f t="shared" si="69"/>
        <v>25.496804076895014</v>
      </c>
      <c r="H36" s="60">
        <f t="shared" si="69"/>
        <v>0.36677152664613477</v>
      </c>
      <c r="I36" s="60">
        <f t="shared" si="69"/>
        <v>24.606875346622701</v>
      </c>
      <c r="J36" s="189">
        <f>IFERROR(J26/$B36,0)</f>
        <v>1.1580999498634787E-4</v>
      </c>
      <c r="K36" s="49">
        <f>IF(D36=".",".",s_RadSpec!$E$26*K26*$B$36)</f>
        <v>3.4081162500000005E-2</v>
      </c>
      <c r="L36" s="49">
        <f>IF(E36=".",".",s_RadSpec!$H$26*L26*$B$36)</f>
        <v>4.5202385543305752E-4</v>
      </c>
      <c r="M36" s="49">
        <f>IF(F36=".",".",s_RadSpec!$G$26*M26*$B$36)</f>
        <v>9.2798036441016124E-4</v>
      </c>
      <c r="N36" s="49">
        <f>s_b2s!AC36</f>
        <v>0.9805150451250001</v>
      </c>
      <c r="O36" s="49">
        <f t="shared" si="52"/>
        <v>1.0159762118448432</v>
      </c>
      <c r="P36" s="60">
        <f>IFERROR(P26/$B36,".")</f>
        <v>26940.225201737314</v>
      </c>
      <c r="Q36" s="60">
        <f>IFERROR(Q26/$B36,".")</f>
        <v>165025.56920742252</v>
      </c>
      <c r="R36" s="60">
        <f>IFERROR(R26/$B36,".")</f>
        <v>46793.433472121607</v>
      </c>
      <c r="S36" s="60">
        <f>IFERROR(S26/$B36,".")</f>
        <v>30809.527091659795</v>
      </c>
      <c r="T36" s="60">
        <f>IFERROR(T26/$B36,".")</f>
        <v>910299.09613230173</v>
      </c>
      <c r="U36" s="189">
        <f t="shared" ref="U36:Y36" si="70">IFERROR(U26/$B36,0)</f>
        <v>0.1267916914112581</v>
      </c>
      <c r="V36" s="189">
        <f t="shared" si="70"/>
        <v>0.77667765912236708</v>
      </c>
      <c r="W36" s="189">
        <f t="shared" si="70"/>
        <v>0.22022898964066093</v>
      </c>
      <c r="X36" s="189">
        <f t="shared" si="70"/>
        <v>0.1450022047804044</v>
      </c>
      <c r="Y36" s="189">
        <f t="shared" si="70"/>
        <v>4.2842389484298344</v>
      </c>
      <c r="Z36" s="49">
        <f>IF(P36=".",".",s_RadSpec!$G$26*Z26*$B$36)</f>
        <v>9.2798036441016124E-4</v>
      </c>
      <c r="AA36" s="49">
        <f>IF(Q36=".",".",s_RadSpec!$N$26*AA26*$B$36)</f>
        <v>1.5149167562377689E-4</v>
      </c>
      <c r="AB36" s="49">
        <f>IF(R36=".",".",s_RadSpec!$O$26*AB26*$B$36)</f>
        <v>5.3426299685605232E-4</v>
      </c>
      <c r="AC36" s="49">
        <f>IF(S36=".",".",s_RadSpec!$P$26*AC26*$B$36)</f>
        <v>8.114373169579598E-4</v>
      </c>
      <c r="AD36" s="49">
        <f>IF(T36=".",".",s_RadSpec!$L$26*AD26*$B$36)</f>
        <v>2.746350084957849E-5</v>
      </c>
      <c r="AE36" s="60">
        <f>IFERROR(AE26/$B36,".")</f>
        <v>0.17852203282666859</v>
      </c>
      <c r="AF36" s="60">
        <f>IFERROR(AF26/$B36,".")</f>
        <v>821727.15209997806</v>
      </c>
      <c r="AG36" s="60">
        <f>IFERROR(AG26/$B36,".")</f>
        <v>0.17852199404237237</v>
      </c>
      <c r="AH36" s="189">
        <f t="shared" ref="AH36" si="71">IFERROR(AH26/$B36,0)</f>
        <v>8.4019734093697374E-10</v>
      </c>
      <c r="AI36" s="49">
        <f>IF(AE36=".",".",s_RadSpec!$H$26*AI26*$B$36)</f>
        <v>140.03873697916663</v>
      </c>
      <c r="AJ36" s="49">
        <f>IF(AF36=".",".",s_RadSpec!$K$26*AJ26*$B$36)</f>
        <v>3.0423723904109589E-5</v>
      </c>
      <c r="AK36" s="49">
        <f t="shared" si="57"/>
        <v>140.03876740289053</v>
      </c>
      <c r="AL36" s="60">
        <f>IFERROR(AL26/$B36,".")</f>
        <v>8.0689735862149643</v>
      </c>
      <c r="AM36" s="60" t="str">
        <f>IFERROR(AM26,".")</f>
        <v>.</v>
      </c>
      <c r="AN36" s="60">
        <f>IFERROR(AN26/$B36,".")</f>
        <v>230416.73521722358</v>
      </c>
      <c r="AO36" s="60">
        <f>IFERROR(AO26/$B36,".")</f>
        <v>30.892115570245071</v>
      </c>
      <c r="AP36" s="60">
        <f>IFERROR(AP26/$B36,".")</f>
        <v>6.3976841731508429</v>
      </c>
      <c r="AQ36" s="189">
        <f t="shared" ref="AQ36" si="72">IFERROR(AQ26/$B36,0)</f>
        <v>3.0110111973990516E-8</v>
      </c>
      <c r="AR36" s="49">
        <f>IF(AL36=".",".",s_RadSpec!$I$26*AR26*$B$36)</f>
        <v>3.0982875000000001</v>
      </c>
      <c r="AS36" s="49" t="str">
        <f>IF(AM36=".",".",s_RadSpec!$H$26*AS26*$B$36)</f>
        <v>.</v>
      </c>
      <c r="AT36" s="49">
        <f>IF(AN36=".",".",s_RadSpec!$M$26*AT26*$B$36)</f>
        <v>1.0849906356164383E-4</v>
      </c>
      <c r="AU36" s="49">
        <f>s_b2w!AC36</f>
        <v>0.80926798111812426</v>
      </c>
      <c r="AV36" s="49">
        <f t="shared" si="61"/>
        <v>3.9076639801816859</v>
      </c>
      <c r="AW36" s="60">
        <f>IFERROR(AW26/$B36,".")</f>
        <v>1.4670861065845391</v>
      </c>
      <c r="AX36" s="189">
        <f t="shared" ref="AX36" si="73">IFERROR(AX26/$B36,0)</f>
        <v>6.9047057887183275E-6</v>
      </c>
      <c r="AY36" s="49">
        <f>IF(AW36=".",".",s_RadSpec!$F$26*AY26*$B$36)</f>
        <v>17.040581250000002</v>
      </c>
    </row>
    <row r="37" spans="1:51" x14ac:dyDescent="0.25">
      <c r="A37" s="48" t="s">
        <v>1065</v>
      </c>
      <c r="B37" s="15">
        <v>1</v>
      </c>
      <c r="C37" s="42"/>
      <c r="D37" s="60">
        <f t="shared" ref="D37:I37" si="74">IFERROR(D22/$B37,".")</f>
        <v>1877.0072246008076</v>
      </c>
      <c r="E37" s="60">
        <f t="shared" si="74"/>
        <v>496511.84002222132</v>
      </c>
      <c r="F37" s="60">
        <f t="shared" si="74"/>
        <v>476506622885.85052</v>
      </c>
      <c r="G37" s="60">
        <f t="shared" si="74"/>
        <v>37.96919641146571</v>
      </c>
      <c r="H37" s="60">
        <f t="shared" si="74"/>
        <v>0.9385036123004038</v>
      </c>
      <c r="I37" s="60">
        <f t="shared" si="74"/>
        <v>37.213572771360447</v>
      </c>
      <c r="J37" s="189">
        <f>IFERROR(J22/$B37,0)</f>
        <v>9.5705152768427594E-10</v>
      </c>
      <c r="K37" s="49">
        <f>IF(D37=".",".",s_RadSpec!$E$22*K22*$B$37)</f>
        <v>1.3319075000000001E-2</v>
      </c>
      <c r="L37" s="49">
        <f>IF(E37=".",".",s_RadSpec!$H$22*L22*$B$37)</f>
        <v>5.0351266545589589E-5</v>
      </c>
      <c r="M37" s="49">
        <f>IF(F37=".",".",s_RadSpec!$G$22*M22*$B$37)</f>
        <v>5.2465167952112333E-11</v>
      </c>
      <c r="N37" s="49">
        <f>s_b2s!AC37</f>
        <v>0.65842847262500004</v>
      </c>
      <c r="O37" s="49">
        <f t="shared" si="52"/>
        <v>0.67179789894401076</v>
      </c>
      <c r="P37" s="60">
        <f>IFERROR(P22/$B37,".")</f>
        <v>476506622885.85052</v>
      </c>
      <c r="Q37" s="60">
        <f>IFERROR(Q22/$B37,".")</f>
        <v>601947684550.59961</v>
      </c>
      <c r="R37" s="60">
        <f>IFERROR(R22/$B37,".")</f>
        <v>336863417081.2663</v>
      </c>
      <c r="S37" s="60">
        <f>IFERROR(S22/$B37,".")</f>
        <v>345673075927.52112</v>
      </c>
      <c r="T37" s="60">
        <f>IFERROR(T22/$B37,".")</f>
        <v>1699606565948.9568</v>
      </c>
      <c r="U37" s="189">
        <f t="shared" ref="U37:Y37" si="75">IFERROR(U22/$B37,0)</f>
        <v>12.254705942546524</v>
      </c>
      <c r="V37" s="189">
        <f t="shared" si="75"/>
        <v>15.480775109250636</v>
      </c>
      <c r="W37" s="189">
        <f t="shared" si="75"/>
        <v>8.6633887565530099</v>
      </c>
      <c r="X37" s="189">
        <f t="shared" si="75"/>
        <v>8.8899538732373777</v>
      </c>
      <c r="Y37" s="189">
        <f t="shared" si="75"/>
        <v>43.710155711131144</v>
      </c>
      <c r="Z37" s="49">
        <f>IF(P37=".",".",s_RadSpec!$G$22*Z22*$B$37)</f>
        <v>5.2465167952112333E-11</v>
      </c>
      <c r="AA37" s="49">
        <f>IF(Q37=".",".",s_RadSpec!$N$22*AA22*$B$37)</f>
        <v>4.1531848434078489E-11</v>
      </c>
      <c r="AB37" s="49">
        <f>IF(R37=".",".",s_RadSpec!$O$22*AB22*$B$37)</f>
        <v>7.4214054516845629E-11</v>
      </c>
      <c r="AC37" s="49">
        <f>IF(S37=".",".",s_RadSpec!$P$22*AC22*$B$37)</f>
        <v>7.2322670583814479E-11</v>
      </c>
      <c r="AD37" s="49">
        <f>IF(T37=".",".",s_RadSpec!$L$22*AD22*$B$37)</f>
        <v>1.4709286549526549E-11</v>
      </c>
      <c r="AE37" s="60">
        <f>IFERROR(AE22/$B37,".")</f>
        <v>1.6026650985033866</v>
      </c>
      <c r="AF37" s="60">
        <f>IFERROR(AF22/$B37,".")</f>
        <v>11045077.510007802</v>
      </c>
      <c r="AG37" s="60">
        <f>IFERROR(AG22/$B37,".")</f>
        <v>1.602664865953181</v>
      </c>
      <c r="AH37" s="189">
        <f t="shared" ref="AH37" si="76">IFERROR(AH22/$B37,0)</f>
        <v>4.1217027662198683E-14</v>
      </c>
      <c r="AI37" s="49">
        <f>IF(AE37=".",".",s_RadSpec!$H$22*AI22*$B$37)</f>
        <v>15.59901692708333</v>
      </c>
      <c r="AJ37" s="49">
        <f>IF(AF37=".",".",s_RadSpec!$K$22*AJ22*$B$37)</f>
        <v>2.2634517482876713E-6</v>
      </c>
      <c r="AK37" s="49">
        <f t="shared" si="57"/>
        <v>15.599019190535078</v>
      </c>
      <c r="AL37" s="60">
        <f>IFERROR(AL22/$B37,".")</f>
        <v>20.64707947060888</v>
      </c>
      <c r="AM37" s="60" t="str">
        <f>IFERROR(AM22,".")</f>
        <v>.</v>
      </c>
      <c r="AN37" s="60">
        <f>IFERROR(AN22/$B37,".")</f>
        <v>3140117.570179475</v>
      </c>
      <c r="AO37" s="60">
        <f>IFERROR(AO22/$B37,".")</f>
        <v>67.393478570114127</v>
      </c>
      <c r="AP37" s="60">
        <f>IFERROR(AP22/$B37,".")</f>
        <v>15.804891917899466</v>
      </c>
      <c r="AQ37" s="189">
        <f t="shared" ref="AQ37" si="77">IFERROR(AQ22/$B37,0)</f>
        <v>4.0646717926937638E-13</v>
      </c>
      <c r="AR37" s="49">
        <f>IF(AL37=".",".",s_RadSpec!$I$22*AR22*$B$37)</f>
        <v>1.210825</v>
      </c>
      <c r="AS37" s="49" t="str">
        <f>IF(AM37=".",".",s_RadSpec!$H$22*AS22*$B$37)</f>
        <v>.</v>
      </c>
      <c r="AT37" s="49">
        <f>IF(AN37=".",".",s_RadSpec!$M$22*AT22*$B$37)</f>
        <v>7.9614853397260269E-6</v>
      </c>
      <c r="AU37" s="49">
        <f>s_b2w!AC37</f>
        <v>0.37095577391795787</v>
      </c>
      <c r="AV37" s="49">
        <f t="shared" si="61"/>
        <v>1.5817887354032976</v>
      </c>
      <c r="AW37" s="60">
        <f>IFERROR(AW22/$B37,".")</f>
        <v>3.7540144492016148</v>
      </c>
      <c r="AX37" s="189">
        <f t="shared" ref="AX37" si="78">IFERROR(AX22/$B37,0)</f>
        <v>9.654502365659062E-11</v>
      </c>
      <c r="AY37" s="49">
        <f>IF(AW37=".",".",s_RadSpec!$F$22*AY22*$B$37)</f>
        <v>6.6595375000000008</v>
      </c>
    </row>
    <row r="38" spans="1:51" x14ac:dyDescent="0.25">
      <c r="A38" s="48" t="s">
        <v>1066</v>
      </c>
      <c r="B38" s="15">
        <v>1</v>
      </c>
      <c r="C38" s="42"/>
      <c r="D38" s="60">
        <f t="shared" ref="D38:I38" si="79">IFERROR(D2/$B38,".")</f>
        <v>8541.6389953153375</v>
      </c>
      <c r="E38" s="60">
        <f t="shared" si="79"/>
        <v>454865.42206828768</v>
      </c>
      <c r="F38" s="60">
        <f t="shared" si="79"/>
        <v>88850.25206824101</v>
      </c>
      <c r="G38" s="60">
        <f t="shared" si="79"/>
        <v>294.53927570052889</v>
      </c>
      <c r="H38" s="60">
        <f t="shared" si="79"/>
        <v>4.2708194976576683</v>
      </c>
      <c r="I38" s="60">
        <f t="shared" si="79"/>
        <v>283.63484967134895</v>
      </c>
      <c r="J38" s="189">
        <f>IFERROR(J2/$B38,0)</f>
        <v>4.8956152135054749E-9</v>
      </c>
      <c r="K38" s="49">
        <f>IF(D38=".",".",s_RadSpec!$E$2*K2*$B$38)</f>
        <v>2.9268387500000002E-3</v>
      </c>
      <c r="L38" s="49">
        <f>IF(E38=".",".",s_RadSpec!$H$2*L2*$B$38)</f>
        <v>5.4961311163913495E-5</v>
      </c>
      <c r="M38" s="49">
        <f>IF(F38=".",".",s_RadSpec!$G$2*M2*$B$38)</f>
        <v>2.8137230247584304E-4</v>
      </c>
      <c r="N38" s="49">
        <f>s_b2s!AC38</f>
        <v>8.4878323749999998E-2</v>
      </c>
      <c r="O38" s="49">
        <f t="shared" si="52"/>
        <v>8.814149611363975E-2</v>
      </c>
      <c r="P38" s="60">
        <f>IFERROR(P2/$B38,".")</f>
        <v>88850.25206824101</v>
      </c>
      <c r="Q38" s="60">
        <f>IFERROR(Q2/$B38,".")</f>
        <v>650970.7870362656</v>
      </c>
      <c r="R38" s="60">
        <f>IFERROR(R2/$B38,".")</f>
        <v>169267.1559753856</v>
      </c>
      <c r="S38" s="60">
        <f>IFERROR(S2/$B38,".")</f>
        <v>104372.64480404025</v>
      </c>
      <c r="T38" s="60">
        <f>IFERROR(T2/$B38,".")</f>
        <v>4870344.0898505608</v>
      </c>
      <c r="U38" s="189">
        <f t="shared" ref="U38:Y38" si="80">IFERROR(U2/$B38,0)</f>
        <v>1.5335796932326528E-6</v>
      </c>
      <c r="V38" s="189">
        <f t="shared" si="80"/>
        <v>1.1235934132406776E-5</v>
      </c>
      <c r="W38" s="189">
        <f t="shared" si="80"/>
        <v>2.9215974866984364E-6</v>
      </c>
      <c r="X38" s="189">
        <f t="shared" si="80"/>
        <v>1.8015004445628864E-6</v>
      </c>
      <c r="Y38" s="189">
        <f t="shared" si="80"/>
        <v>8.4063473331667221E-5</v>
      </c>
      <c r="Z38" s="49">
        <f>IF(P38=".",".",s_RadSpec!$G$2*Z2*$B$38)</f>
        <v>2.8137230247584304E-4</v>
      </c>
      <c r="AA38" s="49">
        <f>IF(Q38=".",".",s_RadSpec!$N$2*AA2*$B$38)</f>
        <v>3.8404181105913808E-5</v>
      </c>
      <c r="AB38" s="49">
        <f>IF(R38=".",".",s_RadSpec!$O$2*AB2*$B$38)</f>
        <v>1.4769551633298214E-4</v>
      </c>
      <c r="AC38" s="49">
        <f>IF(S38=".",".",s_RadSpec!$P$2*AC2*$B$38)</f>
        <v>2.3952636293674007E-4</v>
      </c>
      <c r="AD38" s="49">
        <f>IF(T38=".",".",s_RadSpec!$L$2*AD2*$B$38)</f>
        <v>5.1331075461584266E-6</v>
      </c>
      <c r="AE38" s="60">
        <f>IFERROR(AE2/$B38,".")</f>
        <v>1.4682367623544095</v>
      </c>
      <c r="AF38" s="60">
        <f>IFERROR(AF2/$B38,".")</f>
        <v>4820024.991116479</v>
      </c>
      <c r="AG38" s="60">
        <f>IFERROR(AG2/$B38,".")</f>
        <v>1.4682363151122193</v>
      </c>
      <c r="AH38" s="189">
        <f t="shared" ref="AH38" si="81">IFERROR(AH2/$B38,0)</f>
        <v>2.5342161055361594E-14</v>
      </c>
      <c r="AI38" s="49">
        <f>IF(AE38=".",".",s_RadSpec!$H$2*AI2*$B$38)</f>
        <v>17.027226562499997</v>
      </c>
      <c r="AJ38" s="49">
        <f>IF(AF38=".",".",s_RadSpec!$K$2*AJ2*$B$38)</f>
        <v>5.1866950993150682E-6</v>
      </c>
      <c r="AK38" s="49">
        <f t="shared" si="57"/>
        <v>17.027231749195096</v>
      </c>
      <c r="AL38" s="60">
        <f>IFERROR(AL2/$B38,".")</f>
        <v>93.958028948468709</v>
      </c>
      <c r="AM38" s="60" t="str">
        <f>IFERROR(AM2,".")</f>
        <v>.</v>
      </c>
      <c r="AN38" s="60">
        <f>IFERROR(AN2/$B38,".")</f>
        <v>1353241.1433392495</v>
      </c>
      <c r="AO38" s="60">
        <f>IFERROR(AO2/$B38,".")</f>
        <v>359.02789915076602</v>
      </c>
      <c r="AP38" s="60">
        <f>IFERROR(AP2/$B38,".")</f>
        <v>74.465221505880521</v>
      </c>
      <c r="AQ38" s="189">
        <f t="shared" ref="AQ38" si="82">IFERROR(AQ2/$B38,0)</f>
        <v>1.2852901246220473E-12</v>
      </c>
      <c r="AR38" s="49">
        <f>IF(AL38=".",".",s_RadSpec!$I$2*AR2*$B$38)</f>
        <v>0.26607625000000001</v>
      </c>
      <c r="AS38" s="49" t="str">
        <f>IF(AM38=".",".",s_RadSpec!$H$2*AS2*$B$38)</f>
        <v>.</v>
      </c>
      <c r="AT38" s="49">
        <f>IF(AN38=".",".",s_RadSpec!$M$2*AT2*$B$38)</f>
        <v>1.8474164876712329E-5</v>
      </c>
      <c r="AU38" s="49">
        <f>s_b2w!AC38</f>
        <v>6.9632471624445511E-2</v>
      </c>
      <c r="AV38" s="49">
        <f t="shared" si="61"/>
        <v>0.33572719578932225</v>
      </c>
      <c r="AW38" s="60">
        <f>IFERROR(AW2/$B38,".")</f>
        <v>17.083277990630673</v>
      </c>
      <c r="AX38" s="189">
        <f t="shared" ref="AX38" si="83">IFERROR(AX2/$B38,0)</f>
        <v>2.9486205846841986E-10</v>
      </c>
      <c r="AY38" s="49">
        <f>IF(AW38=".",".",s_RadSpec!$F$2*AY2*$B$38)</f>
        <v>1.463419375</v>
      </c>
    </row>
    <row r="39" spans="1:51" x14ac:dyDescent="0.25">
      <c r="A39" s="48" t="s">
        <v>1067</v>
      </c>
      <c r="B39" s="15">
        <v>1</v>
      </c>
      <c r="C39" s="42"/>
      <c r="D39" s="60" t="str">
        <f t="shared" ref="D39:I39" si="84">IFERROR(D11/$B39,".")</f>
        <v>.</v>
      </c>
      <c r="E39" s="60" t="str">
        <f t="shared" si="84"/>
        <v>.</v>
      </c>
      <c r="F39" s="60">
        <f t="shared" si="84"/>
        <v>31027.733139929096</v>
      </c>
      <c r="G39" s="60" t="str">
        <f t="shared" si="84"/>
        <v>.</v>
      </c>
      <c r="H39" s="60" t="str">
        <f t="shared" si="84"/>
        <v>.</v>
      </c>
      <c r="I39" s="60">
        <f t="shared" si="84"/>
        <v>31027.733139929096</v>
      </c>
      <c r="J39" s="189">
        <f>IFERROR(J11/$B39,0)</f>
        <v>1.7899507269452403E-10</v>
      </c>
      <c r="K39" s="49" t="str">
        <f>IF(D39=".",".",s_RadSpec!$E$11*K11*$B$39)</f>
        <v>.</v>
      </c>
      <c r="L39" s="49" t="str">
        <f>IF(E39=".",".",s_RadSpec!$H$11*L11*$B$39)</f>
        <v>.</v>
      </c>
      <c r="M39" s="49">
        <f>IF(F39=".",".",s_RadSpec!$G$11*M11*$B$39)</f>
        <v>8.0573079210314257E-4</v>
      </c>
      <c r="N39" s="49" t="str">
        <f>s_b2s!AC39</f>
        <v>.</v>
      </c>
      <c r="O39" s="49">
        <f t="shared" si="52"/>
        <v>8.0573079210314257E-4</v>
      </c>
      <c r="P39" s="60">
        <f>IFERROR(P11/$B39,".")</f>
        <v>31027.733139929096</v>
      </c>
      <c r="Q39" s="60">
        <f>IFERROR(Q11/$B39,".")</f>
        <v>163699.53532909328</v>
      </c>
      <c r="R39" s="60">
        <f>IFERROR(R11/$B39,".")</f>
        <v>45449.544173520189</v>
      </c>
      <c r="S39" s="60">
        <f>IFERROR(S11/$B39,".")</f>
        <v>30166.368999639955</v>
      </c>
      <c r="T39" s="60">
        <f>IFERROR(T11/$B39,".")</f>
        <v>309560.2305724661</v>
      </c>
      <c r="U39" s="189">
        <f t="shared" ref="U39:Y39" si="85">IFERROR(U11/$B39,0)</f>
        <v>1.7899507269452403E-10</v>
      </c>
      <c r="V39" s="189">
        <f t="shared" si="85"/>
        <v>9.4436193885473845E-10</v>
      </c>
      <c r="W39" s="189">
        <f t="shared" si="85"/>
        <v>2.6219267861380152E-10</v>
      </c>
      <c r="X39" s="189">
        <f t="shared" si="85"/>
        <v>1.7402597178688797E-10</v>
      </c>
      <c r="Y39" s="189">
        <f t="shared" si="85"/>
        <v>1.7858138628679341E-9</v>
      </c>
      <c r="Z39" s="49">
        <f>IF(P39=".",".",s_RadSpec!$G$11*Z11*$B$39)</f>
        <v>8.0573079210314257E-4</v>
      </c>
      <c r="AA39" s="49">
        <f>IF(Q39=".",".",s_RadSpec!$N$11*AA11*$B$39)</f>
        <v>1.5271882079409245E-4</v>
      </c>
      <c r="AB39" s="49">
        <f>IF(R39=".",".",s_RadSpec!$O$11*AB11*$B$39)</f>
        <v>5.5006052215954889E-4</v>
      </c>
      <c r="AC39" s="49">
        <f>IF(S39=".",".",s_RadSpec!$P$11*AC11*$B$39)</f>
        <v>8.2873745926459951E-4</v>
      </c>
      <c r="AD39" s="49">
        <f>IF(T39=".",".",s_RadSpec!$L$11*AD11*$B$39)</f>
        <v>8.0759727933293616E-5</v>
      </c>
      <c r="AE39" s="60" t="str">
        <f>IFERROR(AE11/$B39,".")</f>
        <v>.</v>
      </c>
      <c r="AF39" s="60">
        <f>IFERROR(AF11/$B39,".")</f>
        <v>2182507.3159775422</v>
      </c>
      <c r="AG39" s="60">
        <f>IFERROR(AG11/$B39,".")</f>
        <v>2182507.3159775422</v>
      </c>
      <c r="AH39" s="189">
        <f t="shared" ref="AH39" si="86">IFERROR(AH11/$B39,0)</f>
        <v>1.2590608985772122E-11</v>
      </c>
      <c r="AI39" s="49" t="str">
        <f>IF(AE39=".",".",s_RadSpec!$H$11*AI11*$B$39)</f>
        <v>.</v>
      </c>
      <c r="AJ39" s="49">
        <f>IF(AF39=".",".",s_RadSpec!$K$11*AJ11*$B$39)</f>
        <v>1.1454715325342465E-5</v>
      </c>
      <c r="AK39" s="49">
        <f t="shared" si="57"/>
        <v>1.1454715325342465E-5</v>
      </c>
      <c r="AL39" s="60" t="str">
        <f>IFERROR(AL11/$B39,".")</f>
        <v>.</v>
      </c>
      <c r="AM39" s="60" t="str">
        <f>IFERROR(AM11,".")</f>
        <v>.</v>
      </c>
      <c r="AN39" s="60">
        <f>IFERROR(AN11/$B39,".")</f>
        <v>620030.4874936199</v>
      </c>
      <c r="AO39" s="60" t="str">
        <f>IFERROR(AO11/$B39,".")</f>
        <v>.</v>
      </c>
      <c r="AP39" s="60">
        <f>IFERROR(AP11/$B39,".")</f>
        <v>620030.4874936199</v>
      </c>
      <c r="AQ39" s="189">
        <f t="shared" ref="AQ39" si="87">IFERROR(AQ11/$B39,0)</f>
        <v>3.576877552776171E-12</v>
      </c>
      <c r="AR39" s="49" t="str">
        <f>IF(AL39=".",".",s_RadSpec!$I$11*AR11*$B$39)</f>
        <v>.</v>
      </c>
      <c r="AS39" s="49" t="str">
        <f>IF(AM39=".",".",s_RadSpec!$H$11*AS11*$B$39)</f>
        <v>.</v>
      </c>
      <c r="AT39" s="49">
        <f>IF(AN39=".",".",s_RadSpec!$M$11*AT11*$B$39)</f>
        <v>4.0320597945205475E-5</v>
      </c>
      <c r="AU39" s="49" t="str">
        <f>s_b2w!AC39</f>
        <v>.</v>
      </c>
      <c r="AV39" s="49">
        <f t="shared" si="61"/>
        <v>4.0320597945205475E-5</v>
      </c>
      <c r="AW39" s="60" t="str">
        <f>IFERROR(AW11/$B39,".")</f>
        <v>.</v>
      </c>
      <c r="AX39" s="189">
        <f t="shared" ref="AX39" si="88">IFERROR(AX11/$B39,0)</f>
        <v>0</v>
      </c>
      <c r="AY39" s="49" t="str">
        <f>IF(AW39=".",".",s_RadSpec!$F$11*AY11*$B$39)</f>
        <v>.</v>
      </c>
    </row>
    <row r="40" spans="1:51" x14ac:dyDescent="0.25">
      <c r="A40" s="48" t="s">
        <v>1068</v>
      </c>
      <c r="B40" s="15">
        <v>1</v>
      </c>
      <c r="C40" s="42"/>
      <c r="D40" s="60" t="str">
        <f t="shared" ref="D40:I40" si="89">IFERROR(D4/$B40,".")</f>
        <v>.</v>
      </c>
      <c r="E40" s="60" t="str">
        <f t="shared" si="89"/>
        <v>.</v>
      </c>
      <c r="F40" s="60">
        <f t="shared" si="89"/>
        <v>1933982.7238572233</v>
      </c>
      <c r="G40" s="60" t="str">
        <f t="shared" si="89"/>
        <v>.</v>
      </c>
      <c r="H40" s="60" t="str">
        <f t="shared" si="89"/>
        <v>.</v>
      </c>
      <c r="I40" s="60">
        <f t="shared" si="89"/>
        <v>1933982.7238572233</v>
      </c>
      <c r="J40" s="189">
        <f>IFERROR(J4/$B40,0)</f>
        <v>1.2035559128426434E-12</v>
      </c>
      <c r="K40" s="49" t="str">
        <f>IF(D40=".",".",s_RadSpec!$E$4*K4*$B$40)</f>
        <v>.</v>
      </c>
      <c r="L40" s="49" t="str">
        <f>IF(E40=".",".",s_RadSpec!$H$4*L4*$B$40)</f>
        <v>.</v>
      </c>
      <c r="M40" s="49">
        <f>IF(F40=".",".",s_RadSpec!$G$4*M4*$B$40)</f>
        <v>1.2926692514677099E-5</v>
      </c>
      <c r="N40" s="49" t="str">
        <f>s_b2s!AC40</f>
        <v>.</v>
      </c>
      <c r="O40" s="49">
        <f t="shared" si="52"/>
        <v>1.2926692514677099E-5</v>
      </c>
      <c r="P40" s="60">
        <f>IFERROR(P4/$B40,".")</f>
        <v>1933982.7238572233</v>
      </c>
      <c r="Q40" s="60">
        <f>IFERROR(Q4/$B40,".")</f>
        <v>13917104.388196468</v>
      </c>
      <c r="R40" s="60">
        <f>IFERROR(R4/$B40,".")</f>
        <v>3586213.9087748304</v>
      </c>
      <c r="S40" s="60">
        <f>IFERROR(S4/$B40,".")</f>
        <v>2112723.9303408028</v>
      </c>
      <c r="T40" s="60">
        <f>IFERROR(T4/$B40,".")</f>
        <v>26053059.324318554</v>
      </c>
      <c r="U40" s="189">
        <f t="shared" ref="U40:Y40" si="90">IFERROR(U4/$B40,0)</f>
        <v>1.2035559128426434E-12</v>
      </c>
      <c r="V40" s="189">
        <f t="shared" si="90"/>
        <v>8.660890849456592E-12</v>
      </c>
      <c r="W40" s="189">
        <f t="shared" si="90"/>
        <v>2.2317722394210591E-12</v>
      </c>
      <c r="X40" s="189">
        <f t="shared" si="90"/>
        <v>1.3147901205106854E-12</v>
      </c>
      <c r="Y40" s="189">
        <f t="shared" si="90"/>
        <v>1.621333697070742E-11</v>
      </c>
      <c r="Z40" s="49">
        <f>IF(P40=".",".",s_RadSpec!$G$4*Z4*$B$40)</f>
        <v>1.2926692514677099E-5</v>
      </c>
      <c r="AA40" s="49">
        <f>IF(Q40=".",".",s_RadSpec!$N$4*AA4*$B$40)</f>
        <v>1.7963506849315064E-6</v>
      </c>
      <c r="AB40" s="49">
        <f>IF(R40=".",".",s_RadSpec!$O$4*AB4*$B$40)</f>
        <v>6.9711402152641895E-6</v>
      </c>
      <c r="AC40" s="49">
        <f>IF(S40=".",".",s_RadSpec!$P$4*AC4*$B$40)</f>
        <v>1.1833065191800644E-5</v>
      </c>
      <c r="AD40" s="49">
        <f>IF(T40=".",".",s_RadSpec!$L$4*AD4*$B$40)</f>
        <v>9.5958020471954313E-7</v>
      </c>
      <c r="AE40" s="60" t="str">
        <f>IFERROR(AE4/$B40,".")</f>
        <v>.</v>
      </c>
      <c r="AF40" s="60">
        <f>IFERROR(AF4/$B40,".")</f>
        <v>257371145.75206867</v>
      </c>
      <c r="AG40" s="60">
        <f>IFERROR(AG4/$B40,".")</f>
        <v>257371145.7520687</v>
      </c>
      <c r="AH40" s="189">
        <f t="shared" ref="AH40" si="91">IFERROR(AH4/$B40,0)</f>
        <v>1.6016718269705504E-13</v>
      </c>
      <c r="AI40" s="49" t="str">
        <f>IF(AE40=".",".",s_RadSpec!$H$4*AI4*$B$40)</f>
        <v>.</v>
      </c>
      <c r="AJ40" s="49">
        <f>IF(AF40=".",".",s_RadSpec!$K$4*AJ4*$B$40)</f>
        <v>9.7135985958904111E-8</v>
      </c>
      <c r="AK40" s="49">
        <f t="shared" si="57"/>
        <v>9.7135985958904111E-8</v>
      </c>
      <c r="AL40" s="60" t="str">
        <f>IFERROR(AL4/$B40,".")</f>
        <v>.</v>
      </c>
      <c r="AM40" s="60" t="str">
        <f>IFERROR(AM4,".")</f>
        <v>.</v>
      </c>
      <c r="AN40" s="60">
        <f>IFERROR(AN4/$B40,".")</f>
        <v>73813153.27304998</v>
      </c>
      <c r="AO40" s="60" t="str">
        <f>IFERROR(AO4/$B40,".")</f>
        <v>.</v>
      </c>
      <c r="AP40" s="60">
        <f>IFERROR(AP4/$B40,".")</f>
        <v>73813153.27304998</v>
      </c>
      <c r="AQ40" s="189">
        <f t="shared" ref="AQ40" si="92">IFERROR(AQ4/$B40,0)</f>
        <v>4.5935393305973574E-14</v>
      </c>
      <c r="AR40" s="49" t="str">
        <f>IF(AL40=".",".",s_RadSpec!$I$4*AR4*$B$40)</f>
        <v>.</v>
      </c>
      <c r="AS40" s="49" t="str">
        <f>IF(AM40=".",".",s_RadSpec!$H$4*AS4*$B$40)</f>
        <v>.</v>
      </c>
      <c r="AT40" s="49">
        <f>IF(AN40=".",".",s_RadSpec!$M$4*AT4*$B$40)</f>
        <v>3.3869302273972602E-7</v>
      </c>
      <c r="AU40" s="49" t="str">
        <f>s_b2w!AC40</f>
        <v>.</v>
      </c>
      <c r="AV40" s="49">
        <f t="shared" si="61"/>
        <v>3.3869302273972602E-7</v>
      </c>
      <c r="AW40" s="60" t="str">
        <f>IFERROR(AW4/$B40,".")</f>
        <v>.</v>
      </c>
      <c r="AX40" s="189">
        <f t="shared" ref="AX40" si="93">IFERROR(AX4/$B40,0)</f>
        <v>0</v>
      </c>
      <c r="AY40" s="49" t="str">
        <f>IF(AW40=".",".",s_RadSpec!$F$4*AY4*$B$40)</f>
        <v>.</v>
      </c>
    </row>
    <row r="41" spans="1:51" x14ac:dyDescent="0.25">
      <c r="A41" s="48" t="s">
        <v>1069</v>
      </c>
      <c r="B41" s="50">
        <v>0.99987999999999999</v>
      </c>
      <c r="C41" s="78"/>
      <c r="D41" s="60">
        <f t="shared" ref="D41:I41" si="94">IFERROR(D8/$B41,".")</f>
        <v>1667094.5269215596</v>
      </c>
      <c r="E41" s="60">
        <f t="shared" si="94"/>
        <v>117638470.83021459</v>
      </c>
      <c r="F41" s="60">
        <f t="shared" si="94"/>
        <v>2133.72781824508</v>
      </c>
      <c r="G41" s="60">
        <f t="shared" si="94"/>
        <v>7344.028752958412</v>
      </c>
      <c r="H41" s="60">
        <f t="shared" si="94"/>
        <v>833.54726346077985</v>
      </c>
      <c r="I41" s="60">
        <f t="shared" si="94"/>
        <v>1651.7002580573965</v>
      </c>
      <c r="J41" s="189">
        <f>IFERROR(J8/$B41,0)</f>
        <v>8.5444302141835205E-11</v>
      </c>
      <c r="K41" s="49">
        <f>IF(D41=".",".",s_RadSpec!$E$8*K8*$B$41)</f>
        <v>1.4996150246E-5</v>
      </c>
      <c r="L41" s="49">
        <f>IF(E41=".",".",s_RadSpec!$H$8*L8*$B$41)</f>
        <v>2.1251551319535624E-7</v>
      </c>
      <c r="M41" s="49">
        <f>IF(F41=".",".",s_RadSpec!$G$8*M8*$B$41)</f>
        <v>1.1716583430290407E-2</v>
      </c>
      <c r="N41" s="49">
        <f>s_b2s!AC41</f>
        <v>3.4041261058419996E-3</v>
      </c>
      <c r="O41" s="49">
        <f t="shared" si="52"/>
        <v>1.5135918201891602E-2</v>
      </c>
      <c r="P41" s="60">
        <f>IFERROR(P8/$B41,".")</f>
        <v>2133.72781824508</v>
      </c>
      <c r="Q41" s="60">
        <f>IFERROR(Q8/$B41,".")</f>
        <v>18130.98377507344</v>
      </c>
      <c r="R41" s="60">
        <f>IFERROR(R8/$B41,".")</f>
        <v>4739.1779356625548</v>
      </c>
      <c r="S41" s="60">
        <f>IFERROR(S8/$B41,".")</f>
        <v>2862.3363020410266</v>
      </c>
      <c r="T41" s="60">
        <f>IFERROR(T8/$B41,".")</f>
        <v>26022.899738875905</v>
      </c>
      <c r="U41" s="189">
        <f t="shared" ref="U41:Y41" si="95">IFERROR(U8/$B41,0)</f>
        <v>1.1038012708492053E-10</v>
      </c>
      <c r="V41" s="189">
        <f t="shared" si="95"/>
        <v>9.3793607420521008E-10</v>
      </c>
      <c r="W41" s="189">
        <f t="shared" si="95"/>
        <v>2.451629764318888E-10</v>
      </c>
      <c r="X41" s="189">
        <f t="shared" si="95"/>
        <v>1.4807185906163243E-10</v>
      </c>
      <c r="Y41" s="189">
        <f t="shared" si="95"/>
        <v>1.3461937158684699E-9</v>
      </c>
      <c r="Z41" s="49">
        <f>IF(P41=".",".",s_RadSpec!$G$8*Z8*$B$41)</f>
        <v>1.1716583430290407E-2</v>
      </c>
      <c r="AA41" s="49">
        <f>IF(Q41=".",".",s_RadSpec!$N$8*AA8*$B$41)</f>
        <v>1.3788551305401371E-3</v>
      </c>
      <c r="AB41" s="49">
        <f>IF(R41=".",".",s_RadSpec!$O$8*AB8*$B$41)</f>
        <v>5.2751764840635613E-3</v>
      </c>
      <c r="AC41" s="49">
        <f>IF(S41=".",".",s_RadSpec!$P$8*AC8*$B$41)</f>
        <v>8.7341239330170316E-3</v>
      </c>
      <c r="AD41" s="49">
        <f>IF(T41=".",".",s_RadSpec!$L$8*AD8*$B$41)</f>
        <v>9.6069232294863016E-4</v>
      </c>
      <c r="AE41" s="60">
        <f>IFERROR(AE8/$B41,".")</f>
        <v>379.7191854124884</v>
      </c>
      <c r="AF41" s="60">
        <f>IFERROR(AF8/$B41,".")</f>
        <v>459336.96302342939</v>
      </c>
      <c r="AG41" s="60">
        <f>IFERROR(AG8/$B41,".")</f>
        <v>379.40554297715727</v>
      </c>
      <c r="AH41" s="189">
        <f t="shared" ref="AH41" si="96">IFERROR(AH8/$B41,0)</f>
        <v>1.9627073187331753E-14</v>
      </c>
      <c r="AI41" s="49">
        <f>IF(AE41=".",".",s_RadSpec!$H$8*AI8*$B$41)</f>
        <v>6.5838127122395812E-2</v>
      </c>
      <c r="AJ41" s="49">
        <f>IF(AF41=".",".",s_RadSpec!$K$8*AJ8*$B$41)</f>
        <v>5.4426275289160273E-5</v>
      </c>
      <c r="AK41" s="49">
        <f t="shared" si="57"/>
        <v>6.5892553397684975E-2</v>
      </c>
      <c r="AL41" s="60">
        <f>IFERROR(AL8/$B41,".")</f>
        <v>18338.039796137156</v>
      </c>
      <c r="AM41" s="60" t="str">
        <f>IFERROR(AM8,".")</f>
        <v>.</v>
      </c>
      <c r="AN41" s="60">
        <f>IFERROR(AN8/$B41,".")</f>
        <v>135340.35517654617</v>
      </c>
      <c r="AO41" s="60">
        <f>IFERROR(AO8/$B41,".")</f>
        <v>26405.753497378853</v>
      </c>
      <c r="AP41" s="60">
        <f>IFERROR(AP8/$B41,".")</f>
        <v>10020.966951784018</v>
      </c>
      <c r="AQ41" s="189">
        <f t="shared" ref="AQ41" si="97">IFERROR(AQ8/$B41,0)</f>
        <v>5.1839583108657772E-13</v>
      </c>
      <c r="AR41" s="49">
        <f>IF(AL41=".",".",s_RadSpec!$I$8*AR8*$B$41)</f>
        <v>1.363286386E-3</v>
      </c>
      <c r="AS41" s="49" t="str">
        <f>IF(AM41=".",".",s_RadSpec!$H$8*AS8*$B$41)</f>
        <v>.</v>
      </c>
      <c r="AT41" s="49">
        <f>IF(AN41=".",".",s_RadSpec!$M$8*AT8*$B$41)</f>
        <v>1.847194797692712E-4</v>
      </c>
      <c r="AU41" s="49">
        <f>s_b2w!AC41</f>
        <v>9.4676336361625157E-4</v>
      </c>
      <c r="AV41" s="49">
        <f t="shared" si="61"/>
        <v>2.4947692293855227E-3</v>
      </c>
      <c r="AW41" s="60">
        <f>IFERROR(AW8/$B41,".")</f>
        <v>3334.1890538431194</v>
      </c>
      <c r="AX41" s="189">
        <f t="shared" ref="AX41" si="98">IFERROR(AX8/$B41,0)</f>
        <v>1.7248132978415468E-10</v>
      </c>
      <c r="AY41" s="49">
        <f>IF(AW41=".",".",s_RadSpec!$F$8*AY8*$B$41)</f>
        <v>7.4980751229999998E-3</v>
      </c>
    </row>
    <row r="42" spans="1:51" x14ac:dyDescent="0.25">
      <c r="A42" s="48" t="s">
        <v>1070</v>
      </c>
      <c r="B42" s="15">
        <v>0.97898250799999997</v>
      </c>
      <c r="C42" s="42"/>
      <c r="D42" s="60" t="str">
        <f t="shared" ref="D42:I42" si="99">IFERROR(D19/$B42,".")</f>
        <v>.</v>
      </c>
      <c r="E42" s="60" t="str">
        <f t="shared" si="99"/>
        <v>.</v>
      </c>
      <c r="F42" s="60">
        <f t="shared" si="99"/>
        <v>4785974.3908886136</v>
      </c>
      <c r="G42" s="60" t="str">
        <f t="shared" si="99"/>
        <v>.</v>
      </c>
      <c r="H42" s="60" t="str">
        <f t="shared" si="99"/>
        <v>.</v>
      </c>
      <c r="I42" s="60">
        <f t="shared" si="99"/>
        <v>4785974.3908886136</v>
      </c>
      <c r="J42" s="189">
        <f>IFERROR(J19/$B42,0)</f>
        <v>3.8014623072834375E-16</v>
      </c>
      <c r="K42" s="246" t="str">
        <f>IF(D42=".",".",s_RadSpec!$E$19*K19*$B$42)</f>
        <v>.</v>
      </c>
      <c r="L42" s="246" t="str">
        <f>IF(E42=".",".",s_RadSpec!$H$19*L19*$B$42)</f>
        <v>.</v>
      </c>
      <c r="M42" s="246">
        <f>IF(F42=".",".",s_RadSpec!$G$19*M19*$B$42)</f>
        <v>5.2235966927851103E-6</v>
      </c>
      <c r="N42" s="49" t="str">
        <f>s_b2s!AC42</f>
        <v>.</v>
      </c>
      <c r="O42" s="49">
        <f t="shared" si="52"/>
        <v>5.2235966927851103E-6</v>
      </c>
      <c r="P42" s="60">
        <f>IFERROR(P19/$B42,".")</f>
        <v>4785974.3908886136</v>
      </c>
      <c r="Q42" s="60">
        <f>IFERROR(Q19/$B42,".")</f>
        <v>48722662.741948329</v>
      </c>
      <c r="R42" s="60">
        <f>IFERROR(R19/$B42,".")</f>
        <v>11797588.294777645</v>
      </c>
      <c r="S42" s="60">
        <f>IFERROR(S19/$B42,".")</f>
        <v>6250141.242677059</v>
      </c>
      <c r="T42" s="60">
        <f>IFERROR(T19/$B42,".")</f>
        <v>84873807.652743697</v>
      </c>
      <c r="U42" s="189">
        <f t="shared" ref="U42:Y42" si="100">IFERROR(U19/$B42,0)</f>
        <v>3.8014623072834375E-16</v>
      </c>
      <c r="V42" s="189">
        <f t="shared" si="100"/>
        <v>3.8700032803478975E-15</v>
      </c>
      <c r="W42" s="189">
        <f t="shared" si="100"/>
        <v>9.3707328030893495E-16</v>
      </c>
      <c r="X42" s="189">
        <f t="shared" si="100"/>
        <v>4.9644386719802398E-16</v>
      </c>
      <c r="Y42" s="189">
        <f t="shared" si="100"/>
        <v>6.7414606580797891E-15</v>
      </c>
      <c r="Z42" s="246">
        <f>IF(P42=".",".",s_RadSpec!$G$19*Z19*$B$42)</f>
        <v>5.2235966927851103E-6</v>
      </c>
      <c r="AA42" s="246">
        <f>IF(Q42=".",".",s_RadSpec!$N$19*AA19*$B$42)</f>
        <v>5.1310824559011563E-7</v>
      </c>
      <c r="AB42" s="246">
        <f>IF(R42=".",".",s_RadSpec!$O$19*AB19*$B$42)</f>
        <v>2.1190771685994989E-6</v>
      </c>
      <c r="AC42" s="246">
        <f>IF(S42=".",".",s_RadSpec!$P$19*AC19*$B$42)</f>
        <v>3.9999096067294639E-6</v>
      </c>
      <c r="AD42" s="246">
        <f>IF(T42=".",".",s_RadSpec!$L$19*AD19*$B$42)</f>
        <v>2.9455494800334711E-7</v>
      </c>
      <c r="AE42" s="60" t="str">
        <f>IFERROR(AE19/$B42,".")</f>
        <v>.</v>
      </c>
      <c r="AF42" s="60">
        <f>IFERROR(AF19/$B42,".")</f>
        <v>1629651267.2511456</v>
      </c>
      <c r="AG42" s="60">
        <f>IFERROR(AG19/$B42,".")</f>
        <v>1629651267.2511456</v>
      </c>
      <c r="AH42" s="189">
        <f t="shared" ref="AH42" si="101">IFERROR(AH19/$B42,0)</f>
        <v>1.2944193513166038E-16</v>
      </c>
      <c r="AI42" s="246" t="str">
        <f>IF(AE42=".",".",s_RadSpec!$H$19*AI19*$B$42)</f>
        <v>.</v>
      </c>
      <c r="AJ42" s="246">
        <f>IF(AF42=".",".",s_RadSpec!$K$19*AJ19*$B$42)</f>
        <v>1.5340705402677571E-8</v>
      </c>
      <c r="AK42" s="49">
        <f t="shared" si="57"/>
        <v>1.5340705402677571E-8</v>
      </c>
      <c r="AL42" s="60" t="str">
        <f>IFERROR(AL19/$B42,".")</f>
        <v>.</v>
      </c>
      <c r="AM42" s="60" t="str">
        <f>IFERROR(AM19,".")</f>
        <v>.</v>
      </c>
      <c r="AN42" s="60">
        <f>IFERROR(AN19/$B42,".")</f>
        <v>469458164.92578495</v>
      </c>
      <c r="AO42" s="60" t="str">
        <f>IFERROR(AO19/$B42,".")</f>
        <v>.</v>
      </c>
      <c r="AP42" s="60">
        <f>IFERROR(AP19/$B42,".")</f>
        <v>469458164.92578501</v>
      </c>
      <c r="AQ42" s="189">
        <f t="shared" ref="AQ42" si="102">IFERROR(AQ19/$B42,0)</f>
        <v>3.7288697620474959E-17</v>
      </c>
      <c r="AR42" s="246" t="str">
        <f>IF(AL42=".",".",s_RadSpec!$I$19*AR19*$B$42)</f>
        <v>.</v>
      </c>
      <c r="AS42" s="246" t="str">
        <f>IF(AM42=".",".",s_RadSpec!$H$19*AS19*$B$42)</f>
        <v>.</v>
      </c>
      <c r="AT42" s="246">
        <f>IF(AN42=".",".",s_RadSpec!$M$19*AT19*$B$42)</f>
        <v>5.3252881444616407E-8</v>
      </c>
      <c r="AU42" s="49" t="str">
        <f>s_b2w!AC42</f>
        <v>.</v>
      </c>
      <c r="AV42" s="49">
        <f t="shared" si="61"/>
        <v>5.3252881444616407E-8</v>
      </c>
      <c r="AW42" s="60" t="str">
        <f>IFERROR(AW19/$B42,".")</f>
        <v>.</v>
      </c>
      <c r="AX42" s="189">
        <f t="shared" ref="AX42" si="103">IFERROR(AX19/$B42,0)</f>
        <v>0</v>
      </c>
      <c r="AY42" s="246" t="str">
        <f>IF(AW42=".",".",s_RadSpec!$F$19*AY19*$B$42)</f>
        <v>.</v>
      </c>
    </row>
    <row r="43" spans="1:51" x14ac:dyDescent="0.25">
      <c r="A43" s="48" t="s">
        <v>1071</v>
      </c>
      <c r="B43" s="15">
        <v>2.0897492E-2</v>
      </c>
      <c r="C43" s="42"/>
      <c r="D43" s="60" t="str">
        <f t="shared" ref="D43:I43" si="104">IFERROR(D28/$B43,".")</f>
        <v>.</v>
      </c>
      <c r="E43" s="60" t="str">
        <f t="shared" si="104"/>
        <v>.</v>
      </c>
      <c r="F43" s="60">
        <f t="shared" si="104"/>
        <v>2686.4848453324466</v>
      </c>
      <c r="G43" s="60" t="str">
        <f t="shared" si="104"/>
        <v>.</v>
      </c>
      <c r="H43" s="60" t="str">
        <f t="shared" si="104"/>
        <v>.</v>
      </c>
      <c r="I43" s="60">
        <f t="shared" si="104"/>
        <v>2686.4848453324466</v>
      </c>
      <c r="J43" s="189">
        <f>IFERROR(J28/$B43,0)</f>
        <v>6.4638031639017405E-12</v>
      </c>
      <c r="K43" s="246" t="str">
        <f>IF(D43=".",".",s_RadSpec!E28*K28*$B$43)</f>
        <v>.</v>
      </c>
      <c r="L43" s="246" t="str">
        <f>IF(E43=".",".",s_RadSpec!F28*L28*$B$43)</f>
        <v>.</v>
      </c>
      <c r="M43" s="246">
        <f>IF(F43=".",".",s_RadSpec!G28*M28*$B$43)</f>
        <v>9.3058406949272417E-3</v>
      </c>
      <c r="N43" s="49" t="str">
        <f>s_b2s!AC43</f>
        <v>.</v>
      </c>
      <c r="O43" s="49">
        <f t="shared" si="52"/>
        <v>9.3058406949272417E-3</v>
      </c>
      <c r="P43" s="60">
        <f>IFERROR(P28/$B43,".")</f>
        <v>2686.4848453324466</v>
      </c>
      <c r="Q43" s="60">
        <f>IFERROR(Q28/$B43,".")</f>
        <v>32757.498076858039</v>
      </c>
      <c r="R43" s="60">
        <f>IFERROR(R28/$B43,".")</f>
        <v>7916.1281836347571</v>
      </c>
      <c r="S43" s="60">
        <f>IFERROR(S28/$B43,".")</f>
        <v>4285.1084647398684</v>
      </c>
      <c r="T43" s="60">
        <f>IFERROR(T28/$B43,".")</f>
        <v>57398.749885371501</v>
      </c>
      <c r="U43" s="189">
        <f t="shared" ref="U43:Y43" si="105">IFERROR(U28/$B43,0)</f>
        <v>6.4638031639017405E-12</v>
      </c>
      <c r="V43" s="189">
        <f t="shared" si="105"/>
        <v>7.8816011219485613E-11</v>
      </c>
      <c r="W43" s="189">
        <f t="shared" si="105"/>
        <v>1.9046559852414919E-11</v>
      </c>
      <c r="X43" s="189">
        <f t="shared" si="105"/>
        <v>1.0310163372099764E-11</v>
      </c>
      <c r="Y43" s="189">
        <f t="shared" si="105"/>
        <v>1.3810396948922923E-10</v>
      </c>
      <c r="Z43" s="246">
        <f>IF(P43=".",".",s_RadSpec!$G$28*Z28*$B$43)</f>
        <v>9.3058406949272417E-3</v>
      </c>
      <c r="AA43" s="246">
        <f>IF(Q43=".",".",s_RadSpec!$N$28*AA28*$B$43)</f>
        <v>7.6318404846863349E-4</v>
      </c>
      <c r="AB43" s="246">
        <f>IF(R43=".",".",s_RadSpec!$O$28*AB28*$B$43)</f>
        <v>3.1581095480089907E-3</v>
      </c>
      <c r="AC43" s="246">
        <f>IF(S43=".",".",s_RadSpec!$P$28*AC28*$B$43)</f>
        <v>5.8341580395719697E-3</v>
      </c>
      <c r="AD43" s="246">
        <f>IF(T43=".",".",s_RadSpec!$L$28*AD28*$B$43)</f>
        <v>4.3554955552039702E-4</v>
      </c>
      <c r="AE43" s="60" t="str">
        <f>IFERROR(AE28/$B43,".")</f>
        <v>.</v>
      </c>
      <c r="AF43" s="60">
        <f>IFERROR(AF28/$B43,".")</f>
        <v>1279886.2746782864</v>
      </c>
      <c r="AG43" s="60">
        <f>IFERROR(AG28/$B43,".")</f>
        <v>1279886.2746782866</v>
      </c>
      <c r="AH43" s="189">
        <f t="shared" ref="AH43" si="106">IFERROR(AH28/$B43,0)</f>
        <v>3.0794638451333468E-12</v>
      </c>
      <c r="AI43" s="246" t="str">
        <f>IF(AE43=".",".",s_RadSpec!$H$28*AI28*$B$43)</f>
        <v>.</v>
      </c>
      <c r="AJ43" s="246">
        <f>IF(AF43=".",".",s_RadSpec!$K$28*AJ28*$B$43)</f>
        <v>1.9532985464887521E-5</v>
      </c>
      <c r="AK43" s="49">
        <f t="shared" si="57"/>
        <v>1.9532985464887521E-5</v>
      </c>
      <c r="AL43" s="60" t="str">
        <f>IFERROR(AL28/$B43,".")</f>
        <v>.</v>
      </c>
      <c r="AM43" s="60" t="str">
        <f>IFERROR(AM28,".")</f>
        <v>.</v>
      </c>
      <c r="AN43" s="60">
        <f>IFERROR(AN28/$B43,".")</f>
        <v>370876.13641245791</v>
      </c>
      <c r="AO43" s="60" t="str">
        <f>IFERROR(AO28/$B43,".")</f>
        <v>.</v>
      </c>
      <c r="AP43" s="60">
        <f>IFERROR(AP28/$B43,".")</f>
        <v>370876.13641245791</v>
      </c>
      <c r="AQ43" s="189">
        <f t="shared" ref="AQ43" si="107">IFERROR(AQ28/$B43,0)</f>
        <v>8.9234463694204897E-13</v>
      </c>
      <c r="AR43" s="246" t="str">
        <f>IF(AL43=".",".",s_RadSpec!$I$28*AR28*$B$43)</f>
        <v>.</v>
      </c>
      <c r="AS43" s="246" t="str">
        <f>IF(AM43=".",".",s_RadSpec!$H$28*AS28*$B$43)</f>
        <v>.</v>
      </c>
      <c r="AT43" s="246">
        <f>IF(AN43=".",".",s_RadSpec!$M$28*AT28*$B$43)</f>
        <v>6.740794983961183E-5</v>
      </c>
      <c r="AU43" s="49" t="str">
        <f>s_b2w!AC43</f>
        <v>.</v>
      </c>
      <c r="AV43" s="49">
        <f t="shared" si="61"/>
        <v>6.740794983961183E-5</v>
      </c>
      <c r="AW43" s="60" t="str">
        <f>IFERROR(AW28/$B43,".")</f>
        <v>.</v>
      </c>
      <c r="AX43" s="189">
        <f t="shared" ref="AX43" si="108">IFERROR(AX28/$B43,0)</f>
        <v>0</v>
      </c>
      <c r="AY43" s="246" t="str">
        <f>IF(AW43=".",".",s_RadSpec!$F$28*AY28*$B$43)</f>
        <v>.</v>
      </c>
    </row>
    <row r="44" spans="1:51" x14ac:dyDescent="0.25">
      <c r="A44" s="48" t="s">
        <v>1072</v>
      </c>
      <c r="B44" s="15">
        <v>0.99987999999999999</v>
      </c>
      <c r="C44" s="42"/>
      <c r="D44" s="60">
        <f t="shared" ref="D44:I44" si="109">IFERROR(D15/$B44,".")</f>
        <v>5981008.476773466</v>
      </c>
      <c r="E44" s="60">
        <f t="shared" si="109"/>
        <v>59830454362.071892</v>
      </c>
      <c r="F44" s="60" t="str">
        <f t="shared" si="109"/>
        <v>.</v>
      </c>
      <c r="G44" s="60">
        <f t="shared" si="109"/>
        <v>132484.40528903459</v>
      </c>
      <c r="H44" s="60">
        <f t="shared" si="109"/>
        <v>2990.5042383867335</v>
      </c>
      <c r="I44" s="60">
        <f t="shared" si="109"/>
        <v>129613.07877079499</v>
      </c>
      <c r="J44" s="189">
        <f>IFERROR(J15/$B44,0)</f>
        <v>2.8166514067952607E-8</v>
      </c>
      <c r="K44" s="49">
        <f>IF(D44=".",".",s_RadSpec!$E$15*K15*$B$44)</f>
        <v>4.1798971021499997E-6</v>
      </c>
      <c r="L44" s="49">
        <f>IF(E44=".",".",s_RadSpec!$H$15*L15*$B$44)</f>
        <v>4.1784740340946101E-10</v>
      </c>
      <c r="M44" s="49" t="str">
        <f>IF(F44=".",".",s_RadSpec!$G$15*M15*$B$44)</f>
        <v>.</v>
      </c>
      <c r="N44" s="49">
        <f>s_b2s!AC44</f>
        <v>1.8870145467656175E-4</v>
      </c>
      <c r="O44" s="49">
        <f t="shared" si="52"/>
        <v>1.9288176962611517E-4</v>
      </c>
      <c r="P44" s="60" t="str">
        <f>IFERROR(P15/$B44,".")</f>
        <v>.</v>
      </c>
      <c r="Q44" s="60" t="str">
        <f>IFERROR(Q15/$B44,".")</f>
        <v>.</v>
      </c>
      <c r="R44" s="60" t="str">
        <f>IFERROR(R15/$B44,".")</f>
        <v>.</v>
      </c>
      <c r="S44" s="60" t="str">
        <f>IFERROR(S15/$B44,".")</f>
        <v>.</v>
      </c>
      <c r="T44" s="60" t="str">
        <f>IFERROR(T15/$B44,".")</f>
        <v>.</v>
      </c>
      <c r="U44" s="189">
        <f t="shared" ref="U44:Y44" si="110">IFERROR(U15/$B44,0)</f>
        <v>0</v>
      </c>
      <c r="V44" s="189">
        <f t="shared" si="110"/>
        <v>0</v>
      </c>
      <c r="W44" s="189">
        <f t="shared" si="110"/>
        <v>0</v>
      </c>
      <c r="X44" s="189">
        <f t="shared" si="110"/>
        <v>0</v>
      </c>
      <c r="Y44" s="189">
        <f t="shared" si="110"/>
        <v>0</v>
      </c>
      <c r="Z44" s="49" t="str">
        <f>IF(P44=".",".",s_RadSpec!$G$15*Z15*$B$44)</f>
        <v>.</v>
      </c>
      <c r="AA44" s="49" t="str">
        <f>IF(Q44=".",".",s_RadSpec!$N$15*AA15*$B$44)</f>
        <v>.</v>
      </c>
      <c r="AB44" s="49" t="str">
        <f>IF(R44=".",".",s_RadSpec!$O$15*AB15*$B$44)</f>
        <v>.</v>
      </c>
      <c r="AC44" s="49" t="str">
        <f>IF(S44=".",".",s_RadSpec!$P$15*AC15*$B$44)</f>
        <v>.</v>
      </c>
      <c r="AD44" s="49" t="str">
        <f>IF(T44=".",".",s_RadSpec!$L$15*AD15*$B$44)</f>
        <v>.</v>
      </c>
      <c r="AE44" s="60">
        <f>IFERROR(AE15/$B44,".")</f>
        <v>193123.6544719676</v>
      </c>
      <c r="AF44" s="60">
        <f>IFERROR(AF15/$B44,".")</f>
        <v>27284615.603591707</v>
      </c>
      <c r="AG44" s="60">
        <f>IFERROR(AG15/$B44,".")</f>
        <v>191766.31042097684</v>
      </c>
      <c r="AH44" s="189">
        <f t="shared" ref="AH44" si="111">IFERROR(AH15/$B44,0)</f>
        <v>4.1673174740208975E-11</v>
      </c>
      <c r="AI44" s="49">
        <f>IF(AE44=".",".",s_RadSpec!$H$15*AI15*$B$44)</f>
        <v>1.2945074008854164E-4</v>
      </c>
      <c r="AJ44" s="49">
        <f>IF(AF44=".",".",s_RadSpec!$K$15*AJ15*$B$44)</f>
        <v>9.1626726076027395E-7</v>
      </c>
      <c r="AK44" s="49">
        <f t="shared" si="57"/>
        <v>1.3036700734930191E-4</v>
      </c>
      <c r="AL44" s="60">
        <f>IFERROR(AL15/$B44,".")</f>
        <v>65791.093244508142</v>
      </c>
      <c r="AM44" s="60" t="str">
        <f>IFERROR(AM15,".")</f>
        <v>.</v>
      </c>
      <c r="AN44" s="60">
        <f>IFERROR(AN15/$B44,".")</f>
        <v>15225789.957361441</v>
      </c>
      <c r="AO44" s="60">
        <f>IFERROR(AO15/$B44,".")</f>
        <v>221526.70407590651</v>
      </c>
      <c r="AP44" s="60">
        <f>IFERROR(AP15/$B44,".")</f>
        <v>50557.568263205743</v>
      </c>
      <c r="AQ44" s="189">
        <f t="shared" ref="AQ44" si="112">IFERROR(AQ15/$B44,0)</f>
        <v>1.0986780587515276E-11</v>
      </c>
      <c r="AR44" s="49">
        <f>IF(AL44=".",".",s_RadSpec!$I$15*AR15*$B$44)</f>
        <v>3.7999064565000002E-4</v>
      </c>
      <c r="AS44" s="49" t="str">
        <f>IF(AM44=".",".",s_RadSpec!$H$15*AS15*$B$44)</f>
        <v>.</v>
      </c>
      <c r="AT44" s="49">
        <f>IF(AN44=".",".",s_RadSpec!$M$15*AT15*$B$44)</f>
        <v>1.6419509312824111E-6</v>
      </c>
      <c r="AU44" s="49">
        <f>s_b2w!AC44</f>
        <v>1.12853211554277E-4</v>
      </c>
      <c r="AV44" s="49">
        <f t="shared" si="61"/>
        <v>4.9448580813555947E-4</v>
      </c>
      <c r="AW44" s="60">
        <f>IFERROR(AW15/$B44,".")</f>
        <v>11962.016953546934</v>
      </c>
      <c r="AX44" s="189">
        <f t="shared" ref="AX44" si="113">IFERROR(AX15/$B44,0)</f>
        <v>2.5994932147162721E-9</v>
      </c>
      <c r="AY44" s="49">
        <f>IF(AW44=".",".",s_RadSpec!$F$15*AY15*$B$44)</f>
        <v>2.0899485510749998E-3</v>
      </c>
    </row>
    <row r="45" spans="1:51" x14ac:dyDescent="0.25">
      <c r="A45" s="57" t="s">
        <v>8</v>
      </c>
      <c r="B45" s="57" t="s">
        <v>1185</v>
      </c>
      <c r="C45" s="57"/>
      <c r="D45" s="58">
        <f t="shared" ref="D45:I45" si="114">IFERROR(1/SUM(IFERROR(1/SUMIF(D46,"&lt;&gt;.",D46),0),IFERROR(1/SUMIF(D47,"&lt;&gt;.",D47),0)),".")</f>
        <v>33588.550334961816</v>
      </c>
      <c r="E45" s="58">
        <f t="shared" si="114"/>
        <v>100135841.11719139</v>
      </c>
      <c r="F45" s="58">
        <f t="shared" si="114"/>
        <v>369.33296051272322</v>
      </c>
      <c r="G45" s="58">
        <f t="shared" si="114"/>
        <v>607.77255649980668</v>
      </c>
      <c r="H45" s="58">
        <f t="shared" si="114"/>
        <v>16.794275167480908</v>
      </c>
      <c r="I45" s="59">
        <f t="shared" si="114"/>
        <v>228.16889481844208</v>
      </c>
      <c r="J45" s="190">
        <f>I45*(0.0000000000028)*s_RadSpec!$AY10*s_RadSpec!$AF10</f>
        <v>2.6403931673341804E-6</v>
      </c>
      <c r="K45" s="47">
        <f>IFERROR(SUM(K46:K47),".")</f>
        <v>7.4430124999999992E-4</v>
      </c>
      <c r="L45" s="47">
        <f>IFERROR(SUM(L46:L47),".")</f>
        <v>2.4966085790143709E-7</v>
      </c>
      <c r="M45" s="47">
        <f>IFERROR(SUM(M46:M47),".")</f>
        <v>6.7689599014650548E-2</v>
      </c>
      <c r="N45" s="47">
        <f>IFERROR(SUM(N46:N47),".")</f>
        <v>4.113380858125E-2</v>
      </c>
      <c r="O45" s="47">
        <f>IFERROR(SUM(O46:O47),".")</f>
        <v>0.10956795850675845</v>
      </c>
      <c r="P45" s="59">
        <f>IFERROR(1/SUM(IFERROR(1/SUMIF(P46,"&lt;&gt;.",P46),0),IFERROR(1/SUMIF(P47,"&lt;&gt;.",P47),0)),".")</f>
        <v>369.33296051272322</v>
      </c>
      <c r="Q45" s="59">
        <f>IFERROR(1/SUM(IFERROR(1/SUMIF(Q46,"&lt;&gt;.",Q46),0),IFERROR(1/SUMIF(Q47,"&lt;&gt;.",Q47),0)),".")</f>
        <v>3465.1329113529468</v>
      </c>
      <c r="R45" s="59">
        <f>IFERROR(1/SUM(IFERROR(1/SUMIF(R46,"&lt;&gt;.",R46),0),IFERROR(1/SUMIF(R47,"&lt;&gt;.",R47),0)),".")</f>
        <v>856.06765252298965</v>
      </c>
      <c r="S45" s="59">
        <f>IFERROR(1/SUM(IFERROR(1/SUMIF(S46,"&lt;&gt;.",S46),0),IFERROR(1/SUMIF(S47,"&lt;&gt;.",S47),0)),".")</f>
        <v>452.95521606245688</v>
      </c>
      <c r="T45" s="59">
        <f>IFERROR(1/SUM(IFERROR(1/SUMIF(T46,"&lt;&gt;.",T46),0),IFERROR(1/SUMIF(T47,"&lt;&gt;.",T47),0)),".")</f>
        <v>5772.9023995134175</v>
      </c>
      <c r="U45" s="190">
        <f>P45*(0.0000000000028)*s_RadSpec!$AY10*s_RadSpec!$AF10</f>
        <v>4.2739577898427819E-6</v>
      </c>
      <c r="V45" s="190">
        <f>Q45*(0.0000000000028)*s_RadSpec!$AY10*s_RadSpec!$AF10</f>
        <v>4.0098863038808958E-5</v>
      </c>
      <c r="W45" s="190">
        <f>R45*(0.0000000000028)*s_RadSpec!$AY10*s_RadSpec!$AF10</f>
        <v>9.9065001050915225E-6</v>
      </c>
      <c r="X45" s="190">
        <f>S45*(0.0000000000028)*s_RadSpec!$AY10*s_RadSpec!$AF10</f>
        <v>5.2416428564960627E-6</v>
      </c>
      <c r="Y45" s="190">
        <f>T45*(0.0000000000000028)*s_RadSpec!$AY10*s_RadSpec!$AF10</f>
        <v>6.6804601317332175E-8</v>
      </c>
      <c r="Z45" s="47">
        <f>IFERROR(SUM(Z46:Z47),".")</f>
        <v>6.7689599014650548E-2</v>
      </c>
      <c r="AA45" s="47">
        <f t="shared" ref="AA45:AD45" si="115">IFERROR(SUM(AA46:AA47),".")</f>
        <v>7.214730470537379E-3</v>
      </c>
      <c r="AB45" s="47">
        <f t="shared" si="115"/>
        <v>2.9203299442889099E-2</v>
      </c>
      <c r="AC45" s="47">
        <f t="shared" si="115"/>
        <v>5.519309440197024E-2</v>
      </c>
      <c r="AD45" s="47">
        <f t="shared" si="115"/>
        <v>4.3305772850251523E-3</v>
      </c>
      <c r="AE45" s="58">
        <f>IFERROR(1/SUM(IFERROR(1/SUMIF(AE46,"&lt;&gt;.",AE46),0),IFERROR(1/SUMIF(AE47,"&lt;&gt;.",AE47),0)),".")</f>
        <v>323.22334480607867</v>
      </c>
      <c r="AF45" s="58">
        <f>IFERROR(1/SUM(IFERROR(1/SUMIF(AF46,"&lt;&gt;.",AF46),0),IFERROR(1/SUMIF(AF47,"&lt;&gt;.",AF47),0)),".")</f>
        <v>107038.83215437218</v>
      </c>
      <c r="AG45" s="59">
        <f>IFERROR(1/SUM(IFERROR(1/SUMIF(AG46,"&lt;&gt;.",AG46),0),IFERROR(1/SUMIF(AG47,"&lt;&gt;.",AG47),0)),".")</f>
        <v>322.25025119174836</v>
      </c>
      <c r="AH45" s="190">
        <f>AG45*(0.0000000000000028)*s_RadSpec!$AY10*s_RadSpec!$AF10</f>
        <v>3.7291119900259207E-9</v>
      </c>
      <c r="AI45" s="47">
        <f t="shared" ref="AI45" si="116">IFERROR(SUM(AI46:AI47),".")</f>
        <v>7.7345898437499977E-2</v>
      </c>
      <c r="AJ45" s="47">
        <f t="shared" ref="AJ45" si="117">IFERROR(SUM(AJ46:AJ47),".")</f>
        <v>2.335600968062209E-4</v>
      </c>
      <c r="AK45" s="47">
        <f>IFERROR(SUM(AK46:AK47),".")</f>
        <v>7.7579458534306187E-2</v>
      </c>
      <c r="AL45" s="58">
        <f>IFERROR(1/SUM(IFERROR(1/SUMIF(AL46,"&lt;&gt;.",AL46),0),IFERROR(1/SUMIF(AL47,"&lt;&gt;.",AL47),0)),".")</f>
        <v>369.47405368457999</v>
      </c>
      <c r="AM45" s="58" t="str">
        <f>IFERROR(1/SUM(IFERROR(1/SUMIF(AM46,"&lt;&gt;.",AM46),0),IFERROR(1/SUMIF(AM47,"&lt;&gt;.",AM47),0)),".")</f>
        <v>.</v>
      </c>
      <c r="AN45" s="58">
        <f>IFERROR(1/SUM(IFERROR(1/SUMIF(AN46,"&lt;&gt;.",AN46),0),IFERROR(1/SUMIF(AN47,"&lt;&gt;.",AN47),0)),".")</f>
        <v>30923.026552894895</v>
      </c>
      <c r="AO45" s="58">
        <f>IFERROR(1/SUM(IFERROR(1/SUMIF(AO46,"&lt;&gt;.",AO46),0),IFERROR(1/SUMIF(AO47,"&lt;&gt;.",AO47),0)),".")</f>
        <v>1157.8309362686086</v>
      </c>
      <c r="AP45" s="59">
        <f>IFERROR(1/SUM(IFERROR(1/SUMIF(AP46,"&lt;&gt;.",AP46),0),IFERROR(1/SUMIF(AP47,"&lt;&gt;.",AP47),0)),".")</f>
        <v>277.5794384648546</v>
      </c>
      <c r="AQ45" s="190">
        <f>AP45*(0.0000000000000028)*s_RadSpec!$AY10*s_RadSpec!$AF10</f>
        <v>3.2121768977241918E-9</v>
      </c>
      <c r="AR45" s="47">
        <f t="shared" ref="AR45" si="118">IFERROR(SUM(AR46:AR47),".")</f>
        <v>6.7663749999999995E-2</v>
      </c>
      <c r="AS45" s="47">
        <f t="shared" ref="AS45" si="119">IFERROR(SUM(AS46:AS47),".")</f>
        <v>0</v>
      </c>
      <c r="AT45" s="47">
        <f t="shared" ref="AT45" si="120">IFERROR(SUM(AT46:AT47),".")</f>
        <v>8.0845902833076989E-4</v>
      </c>
      <c r="AU45" s="47">
        <f>IFERROR(SUM(AU46:AU47),".")</f>
        <v>2.1592098826248823E-2</v>
      </c>
      <c r="AV45" s="47">
        <f t="shared" ref="AV45" si="121">IFERROR(SUM(AV46:AV47),".")</f>
        <v>9.0064307854579584E-2</v>
      </c>
      <c r="AW45" s="59">
        <f>IFERROR(1/SUM(IFERROR(1/SUMIF(AW46,"&lt;&gt;.",AW46),0),IFERROR(1/SUMIF(AW47,"&lt;&gt;.",AW47),0)),".")</f>
        <v>67.177100669923647</v>
      </c>
      <c r="AX45" s="190">
        <f>AW45*(0.0000000000028)*s_RadSpec!$AY10*s_RadSpec!$AF10</f>
        <v>7.7738009710449927E-7</v>
      </c>
      <c r="AY45" s="47">
        <f t="shared" ref="AY45" si="122">IFERROR(SUM(AY46:AY47),".")</f>
        <v>0.37215062500000001</v>
      </c>
    </row>
    <row r="46" spans="1:51" x14ac:dyDescent="0.25">
      <c r="A46" s="48" t="s">
        <v>1084</v>
      </c>
      <c r="B46" s="15">
        <v>1</v>
      </c>
      <c r="C46" s="42"/>
      <c r="D46" s="60">
        <f t="shared" ref="D46:I46" si="123">IFERROR(D10/$B46,".")</f>
        <v>33588.550334961816</v>
      </c>
      <c r="E46" s="60">
        <f t="shared" si="123"/>
        <v>100135841.11719139</v>
      </c>
      <c r="F46" s="60">
        <f t="shared" si="123"/>
        <v>1591085.9317642492</v>
      </c>
      <c r="G46" s="60">
        <f t="shared" si="123"/>
        <v>607.77255649980668</v>
      </c>
      <c r="H46" s="60">
        <f t="shared" si="123"/>
        <v>16.794275167480908</v>
      </c>
      <c r="I46" s="60">
        <f t="shared" si="123"/>
        <v>596.7431378201851</v>
      </c>
      <c r="J46" s="189">
        <f>IFERROR(J10/$B46,0)</f>
        <v>6.9055710026019847E-6</v>
      </c>
      <c r="K46" s="49">
        <f>IF(D46=".",".",s_RadSpec!$E$10*K10*$B$46)</f>
        <v>7.4430124999999992E-4</v>
      </c>
      <c r="L46" s="49">
        <f>IF(E46=".",".",s_RadSpec!$H$10*L10*$B$46)</f>
        <v>2.4966085790143709E-7</v>
      </c>
      <c r="M46" s="49">
        <f>IF(F46=".",".",s_RadSpec!$G$10*M10*$B$46)</f>
        <v>1.5712539153859004E-5</v>
      </c>
      <c r="N46" s="49">
        <f>s_b2s!AC46</f>
        <v>4.113380858125E-2</v>
      </c>
      <c r="O46" s="49">
        <f t="shared" ref="O46:O47" si="124">IFERROR(SUM(K46:N46),".")</f>
        <v>4.1894072031261761E-2</v>
      </c>
      <c r="P46" s="60">
        <f>IFERROR(P10/$B46,".")</f>
        <v>1591085.9317642492</v>
      </c>
      <c r="Q46" s="60">
        <f>IFERROR(Q10/$B46,".")</f>
        <v>5362281.4773487858</v>
      </c>
      <c r="R46" s="60">
        <f>IFERROR(R10/$B46,".")</f>
        <v>2195505.8060417143</v>
      </c>
      <c r="S46" s="60">
        <f>IFERROR(S10/$B46,".")</f>
        <v>1647740.6505518521</v>
      </c>
      <c r="T46" s="60">
        <f>IFERROR(T10/$B46,".")</f>
        <v>989453.49471011455</v>
      </c>
      <c r="U46" s="189">
        <f t="shared" ref="U46:Y46" si="125">IFERROR(U10/$B46,0)</f>
        <v>1.8412204810891262E-2</v>
      </c>
      <c r="V46" s="189">
        <f t="shared" si="125"/>
        <v>6.2052855124624037E-2</v>
      </c>
      <c r="W46" s="189">
        <f t="shared" si="125"/>
        <v>2.5406611772072769E-2</v>
      </c>
      <c r="X46" s="189">
        <f t="shared" si="125"/>
        <v>1.9067818857245202E-2</v>
      </c>
      <c r="Y46" s="189">
        <f t="shared" si="125"/>
        <v>1.1450054350775379E-2</v>
      </c>
      <c r="Z46" s="49">
        <f>IF(P46=".",".",s_RadSpec!$G$10*Z10*$B46)</f>
        <v>1.5712539153859004E-5</v>
      </c>
      <c r="AA46" s="49">
        <f>IF(Q46=".",".",s_RadSpec!$N$10*AA10*$B46)</f>
        <v>4.6621946471113778E-6</v>
      </c>
      <c r="AB46" s="49">
        <f>IF(R46=".",".",s_RadSpec!$O$10*AB10*$B46)</f>
        <v>1.1386897694009108E-5</v>
      </c>
      <c r="AC46" s="49">
        <f>IF(S46=".",".",s_RadSpec!$P$10*AC10*$B46)</f>
        <v>1.5172290609949531E-5</v>
      </c>
      <c r="AD46" s="49">
        <f>IF(T46=".",".",s_RadSpec!$L$10*AD10*$B46)</f>
        <v>2.526647299105693E-5</v>
      </c>
      <c r="AE46" s="60">
        <f>IFERROR(AE10/$B46,".")</f>
        <v>323.22334480607867</v>
      </c>
      <c r="AF46" s="60">
        <f>IFERROR(AF10/$B46,".")</f>
        <v>29022703.669914123</v>
      </c>
      <c r="AG46" s="60">
        <f>IFERROR(AG10/$B46,".")</f>
        <v>323.21974513568551</v>
      </c>
      <c r="AH46" s="189">
        <f t="shared" ref="AH46" si="126">IFERROR(AH10/$B46,0)</f>
        <v>3.7403310704679783E-9</v>
      </c>
      <c r="AI46" s="49">
        <f>IF(AE46=".",".",s_RadSpec!$H$10*AI10*$B46)</f>
        <v>7.7345898437499977E-2</v>
      </c>
      <c r="AJ46" s="49">
        <f>IF(AF46=".",".",s_RadSpec!$K$10*AJ10*$B46)</f>
        <v>8.6139459246575334E-7</v>
      </c>
      <c r="AK46" s="49">
        <f t="shared" si="57"/>
        <v>7.7346759832092438E-2</v>
      </c>
      <c r="AL46" s="60">
        <f>IFERROR(AL10/$B46,".")</f>
        <v>369.47405368457999</v>
      </c>
      <c r="AM46" s="60" t="str">
        <f>IFERROR(AM10,".")</f>
        <v>.</v>
      </c>
      <c r="AN46" s="60">
        <f>IFERROR(AN10/$B46,".")</f>
        <v>16238893.720070997</v>
      </c>
      <c r="AO46" s="60">
        <f>IFERROR(AO10/$B46,".")</f>
        <v>1157.8309362686086</v>
      </c>
      <c r="AP46" s="60">
        <f>IFERROR(AP10/$B46,".")</f>
        <v>280.08885835616201</v>
      </c>
      <c r="AQ46" s="189">
        <f t="shared" ref="AQ46" si="127">IFERROR(AQ10/$B46,0)</f>
        <v>3.241216154544245E-9</v>
      </c>
      <c r="AR46" s="49">
        <f>IF(AL46=".",".",s_RadSpec!$I$10*AR10*$B46)</f>
        <v>6.7663749999999995E-2</v>
      </c>
      <c r="AS46" s="49" t="str">
        <f>IF(AM46=".",".",s_RadSpec!$H$10*AS10*$B46)</f>
        <v>.</v>
      </c>
      <c r="AT46" s="49">
        <f>IF(AN46=".",".",s_RadSpec!$M$10*AT10*$B46)</f>
        <v>1.5395137397260273E-6</v>
      </c>
      <c r="AU46" s="49">
        <f>s_b2w!AC46</f>
        <v>2.1592098826248823E-2</v>
      </c>
      <c r="AV46" s="49">
        <f t="shared" si="61"/>
        <v>8.9257388339988544E-2</v>
      </c>
      <c r="AW46" s="60">
        <f>IFERROR(AW10/$B46,".")</f>
        <v>67.177100669923647</v>
      </c>
      <c r="AX46" s="189">
        <f t="shared" ref="AX46" si="128">IFERROR(AX10/$B46,0)</f>
        <v>7.7738009710449927E-7</v>
      </c>
      <c r="AY46" s="49">
        <f>IF(AW46=".",".",s_RadSpec!$F$10*AY10*$B46)</f>
        <v>0.37215062500000001</v>
      </c>
    </row>
    <row r="47" spans="1:51" x14ac:dyDescent="0.25">
      <c r="A47" s="48" t="s">
        <v>1058</v>
      </c>
      <c r="B47" s="51">
        <v>0.94399</v>
      </c>
      <c r="C47" s="79"/>
      <c r="D47" s="60" t="str">
        <f t="shared" ref="D47:I47" si="129">IFERROR(D6/$B$47,".")</f>
        <v>.</v>
      </c>
      <c r="E47" s="60" t="str">
        <f t="shared" si="129"/>
        <v>.</v>
      </c>
      <c r="F47" s="60">
        <f t="shared" si="129"/>
        <v>369.41871232786343</v>
      </c>
      <c r="G47" s="60" t="str">
        <f t="shared" si="129"/>
        <v>.</v>
      </c>
      <c r="H47" s="60" t="str">
        <f t="shared" si="129"/>
        <v>.</v>
      </c>
      <c r="I47" s="60">
        <f t="shared" si="129"/>
        <v>369.41871232786343</v>
      </c>
      <c r="J47" s="189">
        <f>IFERROR(J6/$B$47,0)</f>
        <v>6.8805444075526471E-13</v>
      </c>
      <c r="K47" s="49" t="str">
        <f>IF(D47=".",".",s_RadSpec!$E$6*K6*$B$47)</f>
        <v>.</v>
      </c>
      <c r="L47" s="49" t="str">
        <f>IF(E47=".",".",s_RadSpec!$H$6*L6*$B$47)</f>
        <v>.</v>
      </c>
      <c r="M47" s="49">
        <f>IF(F47=".",".",s_RadSpec!$G$6*M6*$B$47)</f>
        <v>6.7673886475496686E-2</v>
      </c>
      <c r="N47" s="49" t="str">
        <f>s_b2s!AC47</f>
        <v>.</v>
      </c>
      <c r="O47" s="49">
        <f t="shared" si="124"/>
        <v>6.7673886475496686E-2</v>
      </c>
      <c r="P47" s="60">
        <f>IFERROR(P6/$B$47,".")</f>
        <v>369.41871232786343</v>
      </c>
      <c r="Q47" s="60">
        <f>IFERROR(Q6/$B$47,".")</f>
        <v>3467.3735453514983</v>
      </c>
      <c r="R47" s="60">
        <f>IFERROR(R6/$B$47,".")</f>
        <v>856.40157907759067</v>
      </c>
      <c r="S47" s="60">
        <f>IFERROR(S6/$B$47,".")</f>
        <v>453.07976530078298</v>
      </c>
      <c r="T47" s="60">
        <f>IFERROR(T6/$B$47,".")</f>
        <v>5806.781691607639</v>
      </c>
      <c r="U47" s="189">
        <f t="shared" ref="U47:Y47" si="130">IFERROR(U6/$B$47,0)</f>
        <v>6.8805444075526471E-13</v>
      </c>
      <c r="V47" s="189">
        <f t="shared" si="130"/>
        <v>6.4580966963012185E-12</v>
      </c>
      <c r="W47" s="189">
        <f t="shared" si="130"/>
        <v>1.5950759663500481E-12</v>
      </c>
      <c r="X47" s="189">
        <f t="shared" si="130"/>
        <v>8.4387588968390109E-13</v>
      </c>
      <c r="Y47" s="189">
        <f t="shared" si="130"/>
        <v>1.0815320924677621E-11</v>
      </c>
      <c r="Z47" s="49">
        <f>IF(P47=".",".",s_RadSpec!$G$6*Z6*$B47)</f>
        <v>6.7673886475496686E-2</v>
      </c>
      <c r="AA47" s="49">
        <f>IF(Q47=".",".",s_RadSpec!$N$6*AA6*$B47)</f>
        <v>7.2100682758902673E-3</v>
      </c>
      <c r="AB47" s="49">
        <f>IF(R47=".",".",s_RadSpec!$O$6*AB6*$B47)</f>
        <v>2.9191912545195091E-2</v>
      </c>
      <c r="AC47" s="49">
        <f>IF(S47=".",".",s_RadSpec!$P$6*AC6*$B47)</f>
        <v>5.5177922111360293E-2</v>
      </c>
      <c r="AD47" s="49">
        <f>IF(T47=".",".",s_RadSpec!$L$6*AD6*$B47)</f>
        <v>4.305310812034095E-3</v>
      </c>
      <c r="AE47" s="60" t="str">
        <f>IFERROR(AE6/$B$47,".")</f>
        <v>.</v>
      </c>
      <c r="AF47" s="60">
        <f>IFERROR(AF6/$B$47,".")</f>
        <v>107435.06415018679</v>
      </c>
      <c r="AG47" s="60">
        <f>IFERROR(AG6/$B$47,".")</f>
        <v>107435.06415018679</v>
      </c>
      <c r="AH47" s="189">
        <f t="shared" ref="AH47" si="131">IFERROR(AH6/$B$47,0)</f>
        <v>2.0010132273905188E-13</v>
      </c>
      <c r="AI47" s="49" t="str">
        <f>IF(AE47=".",".",s_RadSpec!$H$6*AI6*$B47)</f>
        <v>.</v>
      </c>
      <c r="AJ47" s="49">
        <f>IF(AF47=".",".",s_RadSpec!$K$6*AJ6*$B47)</f>
        <v>2.3269870221375515E-4</v>
      </c>
      <c r="AK47" s="49">
        <f t="shared" si="57"/>
        <v>2.3269870221375515E-4</v>
      </c>
      <c r="AL47" s="60" t="str">
        <f>IFERROR(AL6/$B$47,".")</f>
        <v>.</v>
      </c>
      <c r="AM47" s="60" t="str">
        <f>IFERROR(AM6,".")</f>
        <v>.</v>
      </c>
      <c r="AN47" s="60">
        <f>IFERROR(AN6/$B$47,".")</f>
        <v>30982.024288593751</v>
      </c>
      <c r="AO47" s="60" t="str">
        <f>IFERROR(AO6/$B$47,".")</f>
        <v>.</v>
      </c>
      <c r="AP47" s="60">
        <f>IFERROR(AP6/$B$47,".")</f>
        <v>30982.024288593755</v>
      </c>
      <c r="AQ47" s="189">
        <f t="shared" ref="AQ47" si="132">IFERROR(AQ6/$B$47,0)</f>
        <v>5.7705034108924714E-14</v>
      </c>
      <c r="AR47" s="49" t="str">
        <f>IF(AL47=".",".",s_RadSpec!$I$6*AR6*$B47)</f>
        <v>.</v>
      </c>
      <c r="AS47" s="49" t="str">
        <f>IF(AM47=".",".",s_RadSpec!$H$6*AS6*$B47)</f>
        <v>.</v>
      </c>
      <c r="AT47" s="49">
        <f>IF(AN47=".",".",s_RadSpec!$M$6*AT6*$B47)</f>
        <v>8.0691951459104384E-4</v>
      </c>
      <c r="AU47" s="49" t="str">
        <f>s_b2w!AC47</f>
        <v>.</v>
      </c>
      <c r="AV47" s="49">
        <f t="shared" si="61"/>
        <v>8.0691951459104384E-4</v>
      </c>
      <c r="AW47" s="60" t="str">
        <f>IFERROR(AW6/$B$47,".")</f>
        <v>.</v>
      </c>
      <c r="AX47" s="189">
        <f t="shared" ref="AX47" si="133">IFERROR(AX6/$B$47,0)</f>
        <v>0</v>
      </c>
      <c r="AY47" s="49" t="str">
        <f>IF(AW47=".",".",s_RadSpec!$F$6*AY6*$B47)</f>
        <v>.</v>
      </c>
    </row>
    <row r="48" spans="1:51" x14ac:dyDescent="0.25">
      <c r="A48" s="57" t="s">
        <v>21</v>
      </c>
      <c r="B48" s="57" t="s">
        <v>1185</v>
      </c>
      <c r="C48" s="239"/>
      <c r="D48" s="58">
        <f t="shared" ref="D48:I48" si="134">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138.51386819208662</v>
      </c>
      <c r="E48" s="58">
        <f t="shared" si="134"/>
        <v>197129.76753382999</v>
      </c>
      <c r="F48" s="58">
        <f t="shared" si="134"/>
        <v>75.010579081776513</v>
      </c>
      <c r="G48" s="58">
        <f t="shared" si="134"/>
        <v>3.4879250427276567</v>
      </c>
      <c r="H48" s="58">
        <f t="shared" si="134"/>
        <v>6.9256934096043332E-2</v>
      </c>
      <c r="I48" s="59">
        <f t="shared" si="134"/>
        <v>3.2545787295948885</v>
      </c>
      <c r="J48" s="190">
        <f>I48*(0.0000000000028)*s_RadSpec!$AY23*s_RadSpec!$AF23</f>
        <v>3.2951958721402327E-6</v>
      </c>
      <c r="K48" s="47">
        <f>IFERROR(SUM(K49:K62),".")</f>
        <v>0.18048734272102485</v>
      </c>
      <c r="L48" s="47">
        <f>IFERROR(SUM(L49:L62),".")</f>
        <v>1.268200146165631E-4</v>
      </c>
      <c r="M48" s="47">
        <f>IFERROR(SUM(M49:M62),".")</f>
        <v>0.33328632182328588</v>
      </c>
      <c r="N48" s="47">
        <f>IFERROR(SUM(N49:N62),".")</f>
        <v>7.1675852243800762</v>
      </c>
      <c r="O48" s="47">
        <f>IFERROR(SUM(O49:O62),".")</f>
        <v>7.6814857089390038</v>
      </c>
      <c r="P48" s="59">
        <f>IFERROR(1/SUM(IFERROR(1/SUMIF(P49,"&lt;&gt;.",P49),0),IFERROR(1/SUMIF(P50,"&lt;&gt;.",P50),0),IFERROR(1/SUMIF(P51,"&lt;&gt;.",P51),0),IFERROR(1/SUMIF(P52,"&lt;&gt;.",P52),0),IFERROR(1/SUMIF(P53,"&lt;&gt;.",P53),0),IFERROR(1/SUMIF(P54,"&lt;&gt;.",P54),0),IFERROR(1/SUMIF(P55,"&lt;&gt;.",P55),0),IFERROR(1/SUMIF(P56,"&lt;&gt;.",P56),0),IFERROR(1/SUMIF(P57,"&lt;&gt;.",P57),0),IFERROR(1/SUMIF(P58,"&lt;&gt;.",P58),0),IFERROR(1/SUMIF(P59,"&lt;&gt;.",P59),0),IFERROR(1/SUMIF(P60,"&lt;&gt;.",P60),0),IFERROR(1/SUMIF(P61,"&lt;&gt;.",P61),0),IFERROR(1/SUMIF(P62,"&lt;&gt;.",P62),0)),".")</f>
        <v>75.010579081776513</v>
      </c>
      <c r="Q48" s="59">
        <f>IFERROR(1/SUM(IFERROR(1/SUMIF(Q49,"&lt;&gt;.",Q49),0),IFERROR(1/SUMIF(Q50,"&lt;&gt;.",Q50),0),IFERROR(1/SUMIF(Q51,"&lt;&gt;.",Q51),0),IFERROR(1/SUMIF(Q52,"&lt;&gt;.",Q52),0),IFERROR(1/SUMIF(Q53,"&lt;&gt;.",Q53),0),IFERROR(1/SUMIF(Q54,"&lt;&gt;.",Q54),0),IFERROR(1/SUMIF(Q55,"&lt;&gt;.",Q55),0),IFERROR(1/SUMIF(Q56,"&lt;&gt;.",Q56),0),IFERROR(1/SUMIF(Q57,"&lt;&gt;.",Q57),0),IFERROR(1/SUMIF(Q58,"&lt;&gt;.",Q58),0),IFERROR(1/SUMIF(Q59,"&lt;&gt;.",Q59),0),IFERROR(1/SUMIF(Q60,"&lt;&gt;.",Q60),0),IFERROR(1/SUMIF(Q61,"&lt;&gt;.",Q61),0),IFERROR(1/SUMIF(Q62,"&lt;&gt;.",Q62),0)),".")</f>
        <v>840.95701515795099</v>
      </c>
      <c r="R48" s="59">
        <f>IFERROR(1/SUM(IFERROR(1/SUMIF(R49,"&lt;&gt;.",R49),0),IFERROR(1/SUMIF(R50,"&lt;&gt;.",R50),0),IFERROR(1/SUMIF(R51,"&lt;&gt;.",R51),0),IFERROR(1/SUMIF(R52,"&lt;&gt;.",R52),0),IFERROR(1/SUMIF(R53,"&lt;&gt;.",R53),0),IFERROR(1/SUMIF(R54,"&lt;&gt;.",R54),0),IFERROR(1/SUMIF(R55,"&lt;&gt;.",R55),0),IFERROR(1/SUMIF(R56,"&lt;&gt;.",R56),0),IFERROR(1/SUMIF(R57,"&lt;&gt;.",R57),0),IFERROR(1/SUMIF(R58,"&lt;&gt;.",R58),0),IFERROR(1/SUMIF(R59,"&lt;&gt;.",R59),0),IFERROR(1/SUMIF(R60,"&lt;&gt;.",R60),0),IFERROR(1/SUMIF(R61,"&lt;&gt;.",R61),0),IFERROR(1/SUMIF(R62,"&lt;&gt;.",R62),0)),".")</f>
        <v>206.12459983840296</v>
      </c>
      <c r="S48" s="59">
        <f>IFERROR(1/SUM(IFERROR(1/SUMIF(S49,"&lt;&gt;.",S49),0),IFERROR(1/SUMIF(S50,"&lt;&gt;.",S50),0),IFERROR(1/SUMIF(S51,"&lt;&gt;.",S51),0),IFERROR(1/SUMIF(S52,"&lt;&gt;.",S52),0),IFERROR(1/SUMIF(S53,"&lt;&gt;.",S53),0),IFERROR(1/SUMIF(S54,"&lt;&gt;.",S54),0),IFERROR(1/SUMIF(S55,"&lt;&gt;.",S55),0),IFERROR(1/SUMIF(S56,"&lt;&gt;.",S56),0),IFERROR(1/SUMIF(S57,"&lt;&gt;.",S57),0),IFERROR(1/SUMIF(S58,"&lt;&gt;.",S58),0),IFERROR(1/SUMIF(S59,"&lt;&gt;.",S59),0),IFERROR(1/SUMIF(S60,"&lt;&gt;.",S60),0),IFERROR(1/SUMIF(S61,"&lt;&gt;.",S61),0),IFERROR(1/SUMIF(S62,"&lt;&gt;.",S62),0)),".")</f>
        <v>106.00345626546658</v>
      </c>
      <c r="T48" s="59">
        <f>IFERROR(1/SUM(IFERROR(1/SUMIF(T49,"&lt;&gt;.",T49),0),IFERROR(1/SUMIF(T50,"&lt;&gt;.",T50),0),IFERROR(1/SUMIF(T51,"&lt;&gt;.",T51),0),IFERROR(1/SUMIF(T52,"&lt;&gt;.",T52),0),IFERROR(1/SUMIF(T53,"&lt;&gt;.",T53),0),IFERROR(1/SUMIF(T54,"&lt;&gt;.",T54),0),IFERROR(1/SUMIF(T55,"&lt;&gt;.",T55),0),IFERROR(1/SUMIF(T56,"&lt;&gt;.",T56),0),IFERROR(1/SUMIF(T57,"&lt;&gt;.",T57),0),IFERROR(1/SUMIF(T58,"&lt;&gt;.",T58),0),IFERROR(1/SUMIF(T59,"&lt;&gt;.",T59),0),IFERROR(1/SUMIF(T60,"&lt;&gt;.",T60),0),IFERROR(1/SUMIF(T61,"&lt;&gt;.",T61),0),IFERROR(1/SUMIF(T62,"&lt;&gt;.",T62),0)),".")</f>
        <v>1457.6479221991797</v>
      </c>
      <c r="U48" s="190">
        <f>P48*(0.0000000000028)*s_RadSpec!$AY23*s_RadSpec!$AF23</f>
        <v>7.5946711108717085E-5</v>
      </c>
      <c r="V48" s="190">
        <f>Q48*(0.0000000000028)*s_RadSpec!$AY23*s_RadSpec!$AF23</f>
        <v>8.5145215870712225E-4</v>
      </c>
      <c r="W48" s="190">
        <f>R48*(0.0000000000028)*s_RadSpec!$AY23*s_RadSpec!$AF23</f>
        <v>2.0869703484438629E-4</v>
      </c>
      <c r="X48" s="190">
        <f>S48*(0.0000000000028)*s_RadSpec!$AY23*s_RadSpec!$AF23</f>
        <v>1.0732637939965961E-4</v>
      </c>
      <c r="Y48" s="190">
        <f>T48*(0.0000000000000028)*s_RadSpec!$AY23*s_RadSpec!$AF23</f>
        <v>1.4758393682682255E-6</v>
      </c>
      <c r="Z48" s="47">
        <f>IFERROR(SUM(Z49:Z62),".")</f>
        <v>0.33328632182328588</v>
      </c>
      <c r="AA48" s="47">
        <f t="shared" ref="AA48:AD48" si="135">IFERROR(SUM(AA49:AA62),".")</f>
        <v>2.9728035499298883E-2</v>
      </c>
      <c r="AB48" s="47">
        <f t="shared" si="135"/>
        <v>0.12128586311192079</v>
      </c>
      <c r="AC48" s="47">
        <f t="shared" si="135"/>
        <v>0.23584136669461048</v>
      </c>
      <c r="AD48" s="47">
        <f t="shared" si="135"/>
        <v>1.715091800925566E-2</v>
      </c>
      <c r="AE48" s="58">
        <f>IFERROR(1/SUM(IFERROR(1/SUMIF(AE49,"&lt;&gt;.",AE49),0),IFERROR(1/SUMIF(AE50,"&lt;&gt;.",AE50),0),IFERROR(1/SUMIF(AE51,"&lt;&gt;.",AE51),0),IFERROR(1/SUMIF(AE52,"&lt;&gt;.",AE52),0),IFERROR(1/SUMIF(AE53,"&lt;&gt;.",AE53),0),IFERROR(1/SUMIF(AE54,"&lt;&gt;.",AE54),0),IFERROR(1/SUMIF(AE55,"&lt;&gt;.",AE55),0),IFERROR(1/SUMIF(AE56,"&lt;&gt;.",AE56),0),IFERROR(1/SUMIF(AE57,"&lt;&gt;.",AE57),0),IFERROR(1/SUMIF(AE58,"&lt;&gt;.",AE58),0),IFERROR(1/SUMIF(AE59,"&lt;&gt;.",AE59),0),IFERROR(1/SUMIF(AE60,"&lt;&gt;.",AE60),0),IFERROR(1/SUMIF(AE61,"&lt;&gt;.",AE61),0),IFERROR(1/SUMIF(AE62,"&lt;&gt;.",AE62),0)),".")</f>
        <v>0.63630506432317047</v>
      </c>
      <c r="AF48" s="58">
        <f>IFERROR(1/SUM(IFERROR(1/SUMIF(AF49,"&lt;&gt;.",AF49),0),IFERROR(1/SUMIF(AF50,"&lt;&gt;.",AF50),0),IFERROR(1/SUMIF(AF51,"&lt;&gt;.",AF51),0),IFERROR(1/SUMIF(AF52,"&lt;&gt;.",AF52),0),IFERROR(1/SUMIF(AF53,"&lt;&gt;.",AF53),0),IFERROR(1/SUMIF(AF54,"&lt;&gt;.",AF54),0),IFERROR(1/SUMIF(AF55,"&lt;&gt;.",AF55),0),IFERROR(1/SUMIF(AF56,"&lt;&gt;.",AF56),0),IFERROR(1/SUMIF(AF57,"&lt;&gt;.",AF57),0),IFERROR(1/SUMIF(AF58,"&lt;&gt;.",AF58),0),IFERROR(1/SUMIF(AF59,"&lt;&gt;.",AF59),0),IFERROR(1/SUMIF(AF60,"&lt;&gt;.",AF60),0),IFERROR(1/SUMIF(AF61,"&lt;&gt;.",AF61),0),IFERROR(1/SUMIF(AF62,"&lt;&gt;.",AF62),0)),".")</f>
        <v>32923.376558807642</v>
      </c>
      <c r="AG48" s="59">
        <f>IFERROR(1/SUM(IFERROR(1/SUMIF(AG49,"&lt;&gt;.",AG49),0),IFERROR(1/SUMIF(AG50,"&lt;&gt;.",AG50),0),IFERROR(1/SUMIF(AG51,"&lt;&gt;.",AG51),0),IFERROR(1/SUMIF(AG52,"&lt;&gt;.",AG52),0),IFERROR(1/SUMIF(AG53,"&lt;&gt;.",AG53),0),IFERROR(1/SUMIF(AG54,"&lt;&gt;.",AG54),0),IFERROR(1/SUMIF(AG55,"&lt;&gt;.",AG55),0),IFERROR(1/SUMIF(AG56,"&lt;&gt;.",AG56),0),IFERROR(1/SUMIF(AG57,"&lt;&gt;.",AG57),0),IFERROR(1/SUMIF(AG58,"&lt;&gt;.",AG58),0),IFERROR(1/SUMIF(AG59,"&lt;&gt;.",AG59),0),IFERROR(1/SUMIF(AG60,"&lt;&gt;.",AG60),0),IFERROR(1/SUMIF(AG61,"&lt;&gt;.",AG61),0),IFERROR(1/SUMIF(AG62,"&lt;&gt;.",AG62),0)),".")</f>
        <v>0.63629276679016444</v>
      </c>
      <c r="AH48" s="190">
        <f>AG48*(0.0000000000000028)*s_RadSpec!$AY23*s_RadSpec!$AF23</f>
        <v>6.4423370051970579E-10</v>
      </c>
      <c r="AI48" s="47">
        <f t="shared" ref="AI48" si="136">IFERROR(SUM(AI49:AI62),".")</f>
        <v>39.289330545549213</v>
      </c>
      <c r="AJ48" s="47">
        <f t="shared" ref="AJ48" si="137">IFERROR(SUM(AJ49:AJ62),".")</f>
        <v>7.5933888358458844E-4</v>
      </c>
      <c r="AK48" s="47">
        <f t="shared" ref="AK48" si="138">IFERROR(SUM(AK49:AK62),".")</f>
        <v>39.290089884432803</v>
      </c>
      <c r="AL48" s="58">
        <f>IFERROR(1/SUM(IFERROR(1/SUMIF(AL49,"&lt;&gt;.",AL49),0),IFERROR(1/SUMIF(AL50,"&lt;&gt;.",AL50),0),IFERROR(1/SUMIF(AL51,"&lt;&gt;.",AL51),0),IFERROR(1/SUMIF(AL52,"&lt;&gt;.",AL52),0),IFERROR(1/SUMIF(AL53,"&lt;&gt;.",AL53),0),IFERROR(1/SUMIF(AL54,"&lt;&gt;.",AL54),0),IFERROR(1/SUMIF(AL55,"&lt;&gt;.",AL55),0),IFERROR(1/SUMIF(AL56,"&lt;&gt;.",AL56),0),IFERROR(1/SUMIF(AL57,"&lt;&gt;.",AL57),0),IFERROR(1/SUMIF(AL58,"&lt;&gt;.",AL58),0),IFERROR(1/SUMIF(AL59,"&lt;&gt;.",AL59),0),IFERROR(1/SUMIF(AL60,"&lt;&gt;.",AL60),0),IFERROR(1/SUMIF(AL61,"&lt;&gt;.",AL61),0),IFERROR(1/SUMIF(AL62,"&lt;&gt;.",AL62),0)),".")</f>
        <v>1.5236525501129532</v>
      </c>
      <c r="AM48" s="58">
        <f>IFERROR(1/SUM(IFERROR(1/SUMIF(AM49,"&lt;&gt;.",AM49),0),IFERROR(1/SUMIF(AM50,"&lt;&gt;.",AM50),0),IFERROR(1/SUMIF(AM51,"&lt;&gt;.",AM51),0),IFERROR(1/SUMIF(AM52,"&lt;&gt;.",AM52),0),IFERROR(1/SUMIF(AM53,"&lt;&gt;.",AM53),0),IFERROR(1/SUMIF(AM54,"&lt;&gt;.",AM54),0),IFERROR(1/SUMIF(AM55,"&lt;&gt;.",AM55),0),IFERROR(1/SUMIF(AM56,"&lt;&gt;.",AM56),0),IFERROR(1/SUMIF(AM57,"&lt;&gt;.",AM57),0),IFERROR(1/SUMIF(AM58,"&lt;&gt;.",AM58),0),IFERROR(1/SUMIF(AM59,"&lt;&gt;.",AM59),0),IFERROR(1/SUMIF(AM60,"&lt;&gt;.",AM60),0),IFERROR(1/SUMIF(AM61,"&lt;&gt;.",AM61),0),IFERROR(1/SUMIF(AM62,"&lt;&gt;.",AM62),0)),".")</f>
        <v>4532.6449260822128</v>
      </c>
      <c r="AN48" s="58">
        <f>IFERROR(1/SUM(IFERROR(1/SUMIF(AN49,"&lt;&gt;.",AN49),0),IFERROR(1/SUMIF(AN50,"&lt;&gt;.",AN50),0),IFERROR(1/SUMIF(AN51,"&lt;&gt;.",AN51),0),IFERROR(1/SUMIF(AN52,"&lt;&gt;.",AN52),0),IFERROR(1/SUMIF(AN53,"&lt;&gt;.",AN53),0),IFERROR(1/SUMIF(AN54,"&lt;&gt;.",AN54),0),IFERROR(1/SUMIF(AN55,"&lt;&gt;.",AN55),0),IFERROR(1/SUMIF(AN56,"&lt;&gt;.",AN56),0),IFERROR(1/SUMIF(AN57,"&lt;&gt;.",AN57),0),IFERROR(1/SUMIF(AN58,"&lt;&gt;.",AN58),0),IFERROR(1/SUMIF(AN59,"&lt;&gt;.",AN59),0),IFERROR(1/SUMIF(AN60,"&lt;&gt;.",AN60),0),IFERROR(1/SUMIF(AN61,"&lt;&gt;.",AN61),0),IFERROR(1/SUMIF(AN62,"&lt;&gt;.",AN62),0)),".")</f>
        <v>9510.0521292552639</v>
      </c>
      <c r="AO48" s="58">
        <f>IFERROR(1/SUM(IFERROR(1/SUMIF(AO49,"&lt;&gt;.",AO49),0),IFERROR(1/SUMIF(AO50,"&lt;&gt;.",AO50),0),IFERROR(1/SUMIF(AO51,"&lt;&gt;.",AO51),0),IFERROR(1/SUMIF(AO52,"&lt;&gt;.",AO52),0),IFERROR(1/SUMIF(AO53,"&lt;&gt;.",AO53),0),IFERROR(1/SUMIF(AO54,"&lt;&gt;.",AO54),0),IFERROR(1/SUMIF(AO55,"&lt;&gt;.",AO55),0),IFERROR(1/SUMIF(AO56,"&lt;&gt;.",AO56),0),IFERROR(1/SUMIF(AO57,"&lt;&gt;.",AO57),0),IFERROR(1/SUMIF(AO58,"&lt;&gt;.",AO58),0),IFERROR(1/SUMIF(AO59,"&lt;&gt;.",AO59),0),IFERROR(1/SUMIF(AO60,"&lt;&gt;.",AO60),0),IFERROR(1/SUMIF(AO61,"&lt;&gt;.",AO61),0),IFERROR(1/SUMIF(AO62,"&lt;&gt;.",AO62),0)),".")</f>
        <v>5.3439860995934136</v>
      </c>
      <c r="AP48" s="59">
        <f>IFERROR(1/SUM(IFERROR(1/SUMIF(AP49,"&lt;&gt;.",AP49),0),IFERROR(1/SUMIF(AP50,"&lt;&gt;.",AP50),0),IFERROR(1/SUMIF(AP51,"&lt;&gt;.",AP51),0),IFERROR(1/SUMIF(AP52,"&lt;&gt;.",AP52),0),IFERROR(1/SUMIF(AP53,"&lt;&gt;.",AP53),0),IFERROR(1/SUMIF(AP54,"&lt;&gt;.",AP54),0),IFERROR(1/SUMIF(AP55,"&lt;&gt;.",AP55),0),IFERROR(1/SUMIF(AP56,"&lt;&gt;.",AP56),0),IFERROR(1/SUMIF(AP57,"&lt;&gt;.",AP57),0),IFERROR(1/SUMIF(AP58,"&lt;&gt;.",AP58),0),IFERROR(1/SUMIF(AP59,"&lt;&gt;.",AP59),0),IFERROR(1/SUMIF(AP60,"&lt;&gt;.",AP60),0),IFERROR(1/SUMIF(AP61,"&lt;&gt;.",AP61),0),IFERROR(1/SUMIF(AP62,"&lt;&gt;.",AP62),0)),".")</f>
        <v>1.185157650701367</v>
      </c>
      <c r="AQ48" s="190">
        <f>AP48*(0.0000000000000028)*s_RadSpec!$AY23*s_RadSpec!$AF23</f>
        <v>1.1999484181821202E-9</v>
      </c>
      <c r="AR48" s="47">
        <f t="shared" ref="AR48" si="139">IFERROR(SUM(AR49:AR62),".")</f>
        <v>16.407940247365893</v>
      </c>
      <c r="AS48" s="47">
        <f t="shared" ref="AS48" si="140">IFERROR(SUM(AS49:AS62),".")</f>
        <v>5.5151402696772597E-3</v>
      </c>
      <c r="AT48" s="47">
        <f t="shared" ref="AT48" si="141">IFERROR(SUM(AT49:AT62),".")</f>
        <v>2.628797367271399E-3</v>
      </c>
      <c r="AU48" s="47">
        <f t="shared" ref="AU48" si="142">IFERROR(SUM(AU49:AU62),".")</f>
        <v>4.6781558810383279</v>
      </c>
      <c r="AV48" s="47">
        <f t="shared" ref="AV48" si="143">IFERROR(SUM(AV49:AV62),".")</f>
        <v>21.09424006604117</v>
      </c>
      <c r="AW48" s="59">
        <f>IFERROR(1/SUM(IFERROR(1/SUMIF(AW49,"&lt;&gt;.",AW49),0),IFERROR(1/SUMIF(AW50,"&lt;&gt;.",AW50),0),IFERROR(1/SUMIF(AW51,"&lt;&gt;.",AW51),0),IFERROR(1/SUMIF(AW52,"&lt;&gt;.",AW52),0),IFERROR(1/SUMIF(AW53,"&lt;&gt;.",AW53),0),IFERROR(1/SUMIF(AW54,"&lt;&gt;.",AW54),0),IFERROR(1/SUMIF(AW55,"&lt;&gt;.",AW55),0),IFERROR(1/SUMIF(AW56,"&lt;&gt;.",AW56),0),IFERROR(1/SUMIF(AW57,"&lt;&gt;.",AW57),0),IFERROR(1/SUMIF(AW58,"&lt;&gt;.",AW58),0),IFERROR(1/SUMIF(AW59,"&lt;&gt;.",AW59),0),IFERROR(1/SUMIF(AW60,"&lt;&gt;.",AW60),0),IFERROR(1/SUMIF(AW61,"&lt;&gt;.",AW61),0),IFERROR(1/SUMIF(AW62,"&lt;&gt;.",AW62),0)),".")</f>
        <v>0.27702773638417327</v>
      </c>
      <c r="AX48" s="190">
        <f>AW48*(0.0000000000028)*s_RadSpec!$AY23*s_RadSpec!$AF23</f>
        <v>2.8048504253424777E-7</v>
      </c>
      <c r="AY48" s="47">
        <f t="shared" ref="AY48" si="144">IFERROR(SUM(AY49:AY62),".")</f>
        <v>90.243671360512408</v>
      </c>
    </row>
    <row r="49" spans="1:51" x14ac:dyDescent="0.25">
      <c r="A49" s="48" t="s">
        <v>1086</v>
      </c>
      <c r="B49" s="15">
        <v>1</v>
      </c>
      <c r="C49" s="238"/>
      <c r="D49" s="60">
        <f t="shared" ref="D49:I49" si="145">IFERROR(D23/$B49,".")</f>
        <v>986.15390608166047</v>
      </c>
      <c r="E49" s="60">
        <f t="shared" si="145"/>
        <v>405404.32762979425</v>
      </c>
      <c r="F49" s="60">
        <f t="shared" si="145"/>
        <v>30618.818782145412</v>
      </c>
      <c r="G49" s="60">
        <f t="shared" si="145"/>
        <v>19.948496127878233</v>
      </c>
      <c r="H49" s="60">
        <f t="shared" si="145"/>
        <v>0.49307695304083027</v>
      </c>
      <c r="I49" s="60">
        <f t="shared" si="145"/>
        <v>19.539547077939705</v>
      </c>
      <c r="J49" s="189">
        <f>IFERROR(J23/$B49,0)</f>
        <v>1.9783400625472396E-5</v>
      </c>
      <c r="K49" s="49">
        <f>IF(D49=".",".",s_RadSpec!$E$23*K23*$B$49)</f>
        <v>2.5351012499999999E-2</v>
      </c>
      <c r="L49" s="49">
        <f>IF(E49=".",".",s_RadSpec!$H$23*L23*$B$49)</f>
        <v>6.1666830608748247E-5</v>
      </c>
      <c r="M49" s="49">
        <f>IF(F49=".",".",s_RadSpec!$G$23*M23*$B$49)</f>
        <v>8.1649132769870652E-4</v>
      </c>
      <c r="N49" s="49">
        <f>s_b2s!AC49</f>
        <v>1.2532273029374998</v>
      </c>
      <c r="O49" s="49">
        <f t="shared" ref="O49:O62" si="146">IFERROR(SUM(K49:N49),".")</f>
        <v>1.2794564735958074</v>
      </c>
      <c r="P49" s="60">
        <f>IFERROR(P23/$B49,".")</f>
        <v>30618.818782145412</v>
      </c>
      <c r="Q49" s="60">
        <f>IFERROR(Q23/$B49,".")</f>
        <v>218522.46435973141</v>
      </c>
      <c r="R49" s="60">
        <f>IFERROR(R23/$B49,".")</f>
        <v>55997.996554244797</v>
      </c>
      <c r="S49" s="60">
        <f>IFERROR(S23/$B49,".")</f>
        <v>32298.308916559214</v>
      </c>
      <c r="T49" s="60">
        <f>IFERROR(T23/$B49,".")</f>
        <v>348895.7246544598</v>
      </c>
      <c r="U49" s="189">
        <f t="shared" ref="U49:Y49" si="147">IFERROR(U23/$B49,0)</f>
        <v>3.1000941640546592E-2</v>
      </c>
      <c r="V49" s="189">
        <f t="shared" si="147"/>
        <v>0.22124962471494089</v>
      </c>
      <c r="W49" s="189">
        <f t="shared" si="147"/>
        <v>5.6696851551241774E-2</v>
      </c>
      <c r="X49" s="189">
        <f t="shared" si="147"/>
        <v>3.2701391811837878E-2</v>
      </c>
      <c r="Y49" s="189">
        <f t="shared" si="147"/>
        <v>0.35324994329814746</v>
      </c>
      <c r="Z49" s="49">
        <f>IF(P49=".",".",s_RadSpec!$G$23*Z23*$B$49)</f>
        <v>8.1649132769870652E-4</v>
      </c>
      <c r="AA49" s="49">
        <f>IF(Q49=".",".",s_RadSpec!$N$23*AA23*$B$49)</f>
        <v>1.1440471382770528E-4</v>
      </c>
      <c r="AB49" s="49">
        <f>IF(R49=".",".",s_RadSpec!$O$23*AB23*$B$49)</f>
        <v>4.4644454334688034E-4</v>
      </c>
      <c r="AC49" s="49">
        <f>IF(S49=".",".",s_RadSpec!$P$23*AC23*$B$49)</f>
        <v>7.7403433302300853E-4</v>
      </c>
      <c r="AD49" s="49">
        <f>IF(T49=".",".",s_RadSpec!$L$23*AD23*$B$49)</f>
        <v>7.1654647028878205E-5</v>
      </c>
      <c r="AE49" s="60">
        <f>IFERROR(AE23/$B49,".")</f>
        <v>1.3085838328556778</v>
      </c>
      <c r="AF49" s="60">
        <f>IFERROR(AF23/$B49,".")</f>
        <v>8772135.5143791866</v>
      </c>
      <c r="AG49" s="60">
        <f>IFERROR(AG23/$B49,".")</f>
        <v>1.3085836376476365</v>
      </c>
      <c r="AH49" s="189">
        <f t="shared" ref="AH49" si="148">IFERROR(AH23/$B49,0)</f>
        <v>1.3249147614454791E-9</v>
      </c>
      <c r="AI49" s="49">
        <f>IF(AE49=".",".",s_RadSpec!$H$23*AI23*$B$49)</f>
        <v>19.104622395833328</v>
      </c>
      <c r="AJ49" s="49">
        <f>IF(AF49=".",".",s_RadSpec!$K$23*AJ23*$B$49)</f>
        <v>2.8499331729452054E-6</v>
      </c>
      <c r="AK49" s="49">
        <f t="shared" si="57"/>
        <v>19.104625245766499</v>
      </c>
      <c r="AL49" s="60">
        <f>IFERROR(AL23/$B49,".")</f>
        <v>10.847692966898265</v>
      </c>
      <c r="AM49" s="60" t="str">
        <f>IFERROR(AM23,".")</f>
        <v>.</v>
      </c>
      <c r="AN49" s="60">
        <f>IFERROR(AN23/$B49,".")</f>
        <v>2492812.6324670389</v>
      </c>
      <c r="AO49" s="60">
        <f>IFERROR(AO23/$B49,".")</f>
        <v>35.407611257587568</v>
      </c>
      <c r="AP49" s="60">
        <f>IFERROR(AP23/$B49,".")</f>
        <v>8.3036880337629331</v>
      </c>
      <c r="AQ49" s="189">
        <f t="shared" ref="AQ49" si="149">IFERROR(AQ23/$B49,0)</f>
        <v>8.4073180604242956E-9</v>
      </c>
      <c r="AR49" s="49">
        <f>IF(AL49=".",".",s_RadSpec!$I$23*AR23*$B$49)</f>
        <v>2.3046375000000001</v>
      </c>
      <c r="AS49" s="49" t="str">
        <f>IF(AM49=".",".",s_RadSpec!$H$23*AS23*$B$49)</f>
        <v>.</v>
      </c>
      <c r="AT49" s="49">
        <f>IF(AN49=".",".",s_RadSpec!$M$23*AT23*$B$49)</f>
        <v>1.0028832361643836E-5</v>
      </c>
      <c r="AU49" s="49">
        <f>s_b2w!AC49</f>
        <v>0.70606288060855016</v>
      </c>
      <c r="AV49" s="49">
        <f t="shared" si="61"/>
        <v>3.0107104094409118</v>
      </c>
      <c r="AW49" s="60">
        <f>IFERROR(AW23/$B49,".")</f>
        <v>1.9723078121633206</v>
      </c>
      <c r="AX49" s="189">
        <f t="shared" ref="AX49" si="150">IFERROR(AX23/$B49,0)</f>
        <v>1.996922213659119E-6</v>
      </c>
      <c r="AY49" s="49">
        <f>IF(AW49=".",".",s_RadSpec!$F$23*AY23*$B$49)</f>
        <v>12.67550625</v>
      </c>
    </row>
    <row r="50" spans="1:51" x14ac:dyDescent="0.25">
      <c r="A50" s="48" t="s">
        <v>1073</v>
      </c>
      <c r="B50" s="15">
        <v>1</v>
      </c>
      <c r="C50" s="238"/>
      <c r="D50" s="60" t="str">
        <f t="shared" ref="D50:I50" si="151">IFERROR(D25/$B50,".")</f>
        <v>.</v>
      </c>
      <c r="E50" s="60">
        <f t="shared" si="151"/>
        <v>2358772355.1101465</v>
      </c>
      <c r="F50" s="60">
        <f t="shared" si="151"/>
        <v>667494.71672216873</v>
      </c>
      <c r="G50" s="60" t="str">
        <f t="shared" si="151"/>
        <v>.</v>
      </c>
      <c r="H50" s="60" t="str">
        <f t="shared" si="151"/>
        <v>.</v>
      </c>
      <c r="I50" s="60">
        <f t="shared" si="151"/>
        <v>667305.87986884324</v>
      </c>
      <c r="J50" s="189">
        <f>IFERROR(J25/$B50,0)</f>
        <v>4.3451441372366183E-6</v>
      </c>
      <c r="K50" s="49" t="str">
        <f>IF(D50=".",".",s_RadSpec!$E$25*K25*$B$50)</f>
        <v>.</v>
      </c>
      <c r="L50" s="49">
        <f>IF(E50=".",".",s_RadSpec!$H$25*L25*$B$50)</f>
        <v>1.0598733678491237E-8</v>
      </c>
      <c r="M50" s="49">
        <f>IF(F50=".",".",s_RadSpec!$G$25*M25*$B$50)</f>
        <v>3.7453479965753423E-5</v>
      </c>
      <c r="N50" s="49" t="str">
        <f>s_b2s!AC50</f>
        <v>.</v>
      </c>
      <c r="O50" s="49">
        <f t="shared" si="146"/>
        <v>3.7464078699431912E-5</v>
      </c>
      <c r="P50" s="60">
        <f>IFERROR(P25/$B50,".")</f>
        <v>667494.71672216873</v>
      </c>
      <c r="Q50" s="60">
        <f>IFERROR(Q25/$B50,".")</f>
        <v>5774121.8536407091</v>
      </c>
      <c r="R50" s="60">
        <f>IFERROR(R25/$B50,".")</f>
        <v>1452402.529998299</v>
      </c>
      <c r="S50" s="60">
        <f>IFERROR(S25/$B50,".")</f>
        <v>839282.05673987919</v>
      </c>
      <c r="T50" s="60">
        <f>IFERROR(T25/$B50,".")</f>
        <v>10494724.878274495</v>
      </c>
      <c r="U50" s="189">
        <f t="shared" ref="U50:Y50" si="152">IFERROR(U25/$B50,0)</f>
        <v>4.3463737432851712E-6</v>
      </c>
      <c r="V50" s="189">
        <f t="shared" si="152"/>
        <v>3.7598037836813308E-5</v>
      </c>
      <c r="W50" s="189">
        <f t="shared" si="152"/>
        <v>9.4572796801522652E-6</v>
      </c>
      <c r="X50" s="189">
        <f t="shared" si="152"/>
        <v>5.464962348373049E-6</v>
      </c>
      <c r="Y50" s="189">
        <f t="shared" si="152"/>
        <v>6.833611639344232E-5</v>
      </c>
      <c r="Z50" s="49">
        <f>IF(P50=".",".",s_RadSpec!$G$25*Z25*$B$50)</f>
        <v>3.7453479965753423E-5</v>
      </c>
      <c r="AA50" s="49">
        <f>IF(Q50=".",".",s_RadSpec!$N$25*AA25*$B$50)</f>
        <v>4.3296626974086035E-6</v>
      </c>
      <c r="AB50" s="49">
        <f>IF(R50=".",".",s_RadSpec!$O$25*AB25*$B$50)</f>
        <v>1.7212859027468977E-5</v>
      </c>
      <c r="AC50" s="49">
        <f>IF(S50=".",".",s_RadSpec!$P$25*AC25*$B$50)</f>
        <v>2.978736385370897E-5</v>
      </c>
      <c r="AD50" s="49">
        <f>IF(T50=".",".",s_RadSpec!$L$25*AD25*$B$50)</f>
        <v>2.3821491549295774E-6</v>
      </c>
      <c r="AE50" s="60">
        <f>IFERROR(AE25/$B50,".")</f>
        <v>7613.7602855160121</v>
      </c>
      <c r="AF50" s="60">
        <f>IFERROR(AF25/$B50,".")</f>
        <v>157695615.31629637</v>
      </c>
      <c r="AG50" s="60">
        <f>IFERROR(AG25/$B50,".")</f>
        <v>7613.3927004892203</v>
      </c>
      <c r="AH50" s="189">
        <f t="shared" ref="AH50" si="153">IFERROR(AH25/$B50,0)</f>
        <v>4.9574400068995074E-11</v>
      </c>
      <c r="AI50" s="49">
        <f>IF(AE50=".",".",s_RadSpec!$H$25*AI25*$B$50)</f>
        <v>3.283528645833333E-3</v>
      </c>
      <c r="AJ50" s="49">
        <f>IF(AF50=".",".",s_RadSpec!$K$25*AJ25*$B$50)</f>
        <v>1.5853326010273972E-7</v>
      </c>
      <c r="AK50" s="49">
        <f t="shared" si="57"/>
        <v>3.2836871790934358E-3</v>
      </c>
      <c r="AL50" s="60" t="str">
        <f>IFERROR(AL25/$B50,".")</f>
        <v>.</v>
      </c>
      <c r="AM50" s="60">
        <f>IFERROR(AM25,".")</f>
        <v>15227.520571032024</v>
      </c>
      <c r="AN50" s="60">
        <f>IFERROR(AN25/$B50,".")</f>
        <v>45347974.484240822</v>
      </c>
      <c r="AO50" s="60" t="str">
        <f>IFERROR(AO25/$B50,".")</f>
        <v>.</v>
      </c>
      <c r="AP50" s="60">
        <f>IFERROR(AP25/$B50,".")</f>
        <v>15222.408996617225</v>
      </c>
      <c r="AQ50" s="189">
        <f t="shared" ref="AQ50" si="154">IFERROR(AQ25/$B50,0)</f>
        <v>9.912030329969457E-11</v>
      </c>
      <c r="AR50" s="49" t="str">
        <f>IF(AL50=".",".",s_RadSpec!$I$25*AR25*$B$50)</f>
        <v>.</v>
      </c>
      <c r="AS50" s="49">
        <f>IF(AM50=".",".",s_RadSpec!$H$25*AS25*$B$50)</f>
        <v>1.6417643229166665E-3</v>
      </c>
      <c r="AT50" s="49">
        <f>IF(AN50=".",".",s_RadSpec!$M$25*AT25*$B$50)</f>
        <v>5.5129253917808207E-7</v>
      </c>
      <c r="AU50" s="49" t="str">
        <f>s_b2w!AC50</f>
        <v>.</v>
      </c>
      <c r="AV50" s="49">
        <f t="shared" si="61"/>
        <v>1.6423156154558446E-3</v>
      </c>
      <c r="AW50" s="60" t="str">
        <f>IFERROR(AW25/$B50,".")</f>
        <v>.</v>
      </c>
      <c r="AX50" s="189">
        <f t="shared" ref="AX50" si="155">IFERROR(AX25/$B50,0)</f>
        <v>0</v>
      </c>
      <c r="AY50" s="49" t="str">
        <f>IF(AW50=".",".",s_RadSpec!$F$25*AY25*$B$50)</f>
        <v>.</v>
      </c>
    </row>
    <row r="51" spans="1:51" x14ac:dyDescent="0.25">
      <c r="A51" s="48" t="s">
        <v>1059</v>
      </c>
      <c r="B51" s="15">
        <v>1</v>
      </c>
      <c r="C51" s="238"/>
      <c r="D51" s="60" t="str">
        <f t="shared" ref="D51:I51" si="156">IFERROR(D21/$B51,".")</f>
        <v>.</v>
      </c>
      <c r="E51" s="60">
        <f t="shared" si="156"/>
        <v>2027553664.8256507</v>
      </c>
      <c r="F51" s="60" t="str">
        <f t="shared" si="156"/>
        <v>.</v>
      </c>
      <c r="G51" s="60" t="str">
        <f t="shared" si="156"/>
        <v>.</v>
      </c>
      <c r="H51" s="60" t="str">
        <f t="shared" si="156"/>
        <v>.</v>
      </c>
      <c r="I51" s="60">
        <f t="shared" si="156"/>
        <v>2027553664.8256507</v>
      </c>
      <c r="J51" s="189">
        <f>IFERROR(J21/$B51,0)</f>
        <v>7.2995018012360878E-6</v>
      </c>
      <c r="K51" s="49" t="str">
        <f>IF(D51=".",".",s_RadSpec!$E$21*K21*$B$51)</f>
        <v>.</v>
      </c>
      <c r="L51" s="49">
        <f>IF(E51=".",".",s_RadSpec!$H$21*L21*$B$51)</f>
        <v>1.2330129867191332E-8</v>
      </c>
      <c r="M51" s="49" t="str">
        <f>IF(F51=".",".",s_RadSpec!$G$21*M21*$B$51)</f>
        <v>.</v>
      </c>
      <c r="N51" s="49" t="str">
        <f>s_b2s!AC51</f>
        <v>.</v>
      </c>
      <c r="O51" s="49">
        <f t="shared" si="146"/>
        <v>1.2330129867191332E-8</v>
      </c>
      <c r="P51" s="60" t="str">
        <f>IFERROR(P21/$B51,".")</f>
        <v>.</v>
      </c>
      <c r="Q51" s="60" t="str">
        <f>IFERROR(Q21/$B51,".")</f>
        <v>.</v>
      </c>
      <c r="R51" s="60" t="str">
        <f>IFERROR(R21/$B51,".")</f>
        <v>.</v>
      </c>
      <c r="S51" s="60" t="str">
        <f>IFERROR(S21/$B51,".")</f>
        <v>.</v>
      </c>
      <c r="T51" s="60" t="str">
        <f>IFERROR(T21/$B51,".")</f>
        <v>.</v>
      </c>
      <c r="U51" s="189">
        <f t="shared" ref="U51:Y51" si="157">IFERROR(U21/$B51,0)</f>
        <v>0</v>
      </c>
      <c r="V51" s="189">
        <f t="shared" si="157"/>
        <v>0</v>
      </c>
      <c r="W51" s="189">
        <f t="shared" si="157"/>
        <v>0</v>
      </c>
      <c r="X51" s="189">
        <f t="shared" si="157"/>
        <v>0</v>
      </c>
      <c r="Y51" s="189">
        <f t="shared" si="157"/>
        <v>0</v>
      </c>
      <c r="Z51" s="49" t="str">
        <f>IF(P51=".",".",s_RadSpec!$G$21*Z21*$B$51)</f>
        <v>.</v>
      </c>
      <c r="AA51" s="49" t="str">
        <f>IF(Q51=".",".",s_RadSpec!$N$21*AA21*$B$51)</f>
        <v>.</v>
      </c>
      <c r="AB51" s="49" t="str">
        <f>IF(R51=".",".",s_RadSpec!$O$21*AB21*$B$51)</f>
        <v>.</v>
      </c>
      <c r="AC51" s="49" t="str">
        <f>IF(S51=".",".",s_RadSpec!$P$21*AC21*$B$51)</f>
        <v>.</v>
      </c>
      <c r="AD51" s="49" t="str">
        <f>IF(T51=".",".",s_RadSpec!$L$21*AD21*$B$51)</f>
        <v>.</v>
      </c>
      <c r="AE51" s="60">
        <f>IFERROR(AE21/$B51,".")</f>
        <v>6544.6364658963093</v>
      </c>
      <c r="AF51" s="60">
        <f>IFERROR(AF21/$B51,".")</f>
        <v>1041272574416.7661</v>
      </c>
      <c r="AG51" s="60">
        <f>IFERROR(AG21/$B51,".")</f>
        <v>6544.6364247617721</v>
      </c>
      <c r="AH51" s="189">
        <f t="shared" ref="AH51" si="158">IFERROR(AH21/$B51,0)</f>
        <v>2.3561687268628635E-14</v>
      </c>
      <c r="AI51" s="49">
        <f>IF(AE51=".",".",s_RadSpec!$H$21*AI21*$B$51)</f>
        <v>3.8199218749999995E-3</v>
      </c>
      <c r="AJ51" s="49">
        <f>IF(AF51=".",".",s_RadSpec!$K$21*AJ21*$B$51)</f>
        <v>2.4009083321917808E-11</v>
      </c>
      <c r="AK51" s="49">
        <f t="shared" si="57"/>
        <v>3.8199218990090829E-3</v>
      </c>
      <c r="AL51" s="60" t="str">
        <f>IFERROR(AL21/$B51,".")</f>
        <v>.</v>
      </c>
      <c r="AM51" s="60">
        <f>IFERROR(AM21,".")</f>
        <v>17967.595465634375</v>
      </c>
      <c r="AN51" s="60">
        <f>IFERROR(AN21/$B51,".")</f>
        <v>596183161051.55762</v>
      </c>
      <c r="AO51" s="60" t="str">
        <f>IFERROR(AO21/$B51,".")</f>
        <v>.</v>
      </c>
      <c r="AP51" s="60">
        <f>IFERROR(AP21/$B51,".")</f>
        <v>17967.594924132201</v>
      </c>
      <c r="AQ51" s="189">
        <f t="shared" ref="AQ51" si="159">IFERROR(AQ21/$B51,0)</f>
        <v>6.4686076520623862E-14</v>
      </c>
      <c r="AR51" s="49" t="str">
        <f>IF(AL51=".",".",s_RadSpec!$I$21*AR21*$B$51)</f>
        <v>.</v>
      </c>
      <c r="AS51" s="49">
        <f>IF(AM51=".",".",s_RadSpec!$H$21*AS21*$B$51)</f>
        <v>1.3913937481404295E-3</v>
      </c>
      <c r="AT51" s="49">
        <f>IF(AN51=".",".",s_RadSpec!$M$21*AT21*$B$51)</f>
        <v>4.1933421863013697E-11</v>
      </c>
      <c r="AU51" s="49" t="str">
        <f>s_b2w!AC51</f>
        <v>.</v>
      </c>
      <c r="AV51" s="49">
        <f t="shared" si="61"/>
        <v>1.3913937900738513E-3</v>
      </c>
      <c r="AW51" s="60" t="str">
        <f>IFERROR(AW21/$B51,".")</f>
        <v>.</v>
      </c>
      <c r="AX51" s="189">
        <f t="shared" ref="AX51" si="160">IFERROR(AX21/$B51,0)</f>
        <v>0</v>
      </c>
      <c r="AY51" s="49" t="str">
        <f>IF(AW51=".",".",s_RadSpec!$F$21*AY21*$B$51)</f>
        <v>.</v>
      </c>
    </row>
    <row r="52" spans="1:51" x14ac:dyDescent="0.25">
      <c r="A52" s="48" t="s">
        <v>1060</v>
      </c>
      <c r="B52" s="51">
        <v>0.99980000000000002</v>
      </c>
      <c r="C52" s="240"/>
      <c r="D52" s="60">
        <f t="shared" ref="D52:I52" si="161">IFERROR(D17/$B52,".")</f>
        <v>2245311.9742289768</v>
      </c>
      <c r="E52" s="60">
        <f t="shared" si="161"/>
        <v>331610505.06177324</v>
      </c>
      <c r="F52" s="60">
        <f t="shared" si="161"/>
        <v>1554.2541628628449</v>
      </c>
      <c r="G52" s="60">
        <f t="shared" si="161"/>
        <v>49735.562614441842</v>
      </c>
      <c r="H52" s="60">
        <f t="shared" si="161"/>
        <v>1122.6559871144887</v>
      </c>
      <c r="I52" s="60">
        <f t="shared" si="161"/>
        <v>1506.1371951116457</v>
      </c>
      <c r="J52" s="189">
        <f>IFERROR(J17/$B52,0)</f>
        <v>4.6016732336248183E-11</v>
      </c>
      <c r="K52" s="49">
        <f>IF(D52=".",".",s_RadSpec!$E$17*K17*$B$52)</f>
        <v>1.1134310192500001E-5</v>
      </c>
      <c r="L52" s="49">
        <f>IF(E52=".",".",s_RadSpec!$H$17*L17*$B$52)</f>
        <v>7.5389650262566122E-8</v>
      </c>
      <c r="M52" s="49">
        <f>IF(F52=".",".",s_RadSpec!$G$17*M17*$B$52)</f>
        <v>1.6084885340729257E-2</v>
      </c>
      <c r="N52" s="49">
        <f>s_b2s!AC52</f>
        <v>5.0265843364041254E-4</v>
      </c>
      <c r="O52" s="49">
        <f t="shared" si="146"/>
        <v>1.6598753474212431E-2</v>
      </c>
      <c r="P52" s="60">
        <f>IFERROR(P17/$B52,".")</f>
        <v>1554.2541628628449</v>
      </c>
      <c r="Q52" s="60">
        <f>IFERROR(Q17/$B52,".")</f>
        <v>12187.510429844491</v>
      </c>
      <c r="R52" s="60">
        <f>IFERROR(R17/$B52,".")</f>
        <v>3256.1156680398876</v>
      </c>
      <c r="S52" s="60">
        <f>IFERROR(S17/$B52,".")</f>
        <v>1947.1722505923037</v>
      </c>
      <c r="T52" s="60">
        <f>IFERROR(T17/$B52,".")</f>
        <v>23035.025688233894</v>
      </c>
      <c r="U52" s="189">
        <f t="shared" ref="U52:Y52" si="162">IFERROR(U17/$B52,0)</f>
        <v>4.7486841190225912E-11</v>
      </c>
      <c r="V52" s="189">
        <f t="shared" si="162"/>
        <v>3.7236276158349194E-10</v>
      </c>
      <c r="W52" s="189">
        <f t="shared" si="162"/>
        <v>9.9483502325263645E-11</v>
      </c>
      <c r="X52" s="189">
        <f t="shared" si="162"/>
        <v>5.9491595160714436E-11</v>
      </c>
      <c r="Y52" s="189">
        <f t="shared" si="162"/>
        <v>7.037848974810595E-10</v>
      </c>
      <c r="Z52" s="49">
        <f>IF(P52=".",".",s_RadSpec!$G$17*Z17*$B$52)</f>
        <v>1.6084885340729257E-2</v>
      </c>
      <c r="AA52" s="49">
        <f>IF(Q52=".",".",s_RadSpec!$N$17*AA17*$B$52)</f>
        <v>2.0512802958330672E-3</v>
      </c>
      <c r="AB52" s="49">
        <f>IF(R52=".",".",s_RadSpec!$O$17*AB17*$B$52)</f>
        <v>7.6778599253660628E-3</v>
      </c>
      <c r="AC52" s="49">
        <f>IF(S52=".",".",s_RadSpec!$P$17*AC17*$B$52)</f>
        <v>1.2839131202899663E-2</v>
      </c>
      <c r="AD52" s="49">
        <f>IF(T52=".",".",s_RadSpec!$L$17*AD17*$B$52)</f>
        <v>1.0853037603847692E-3</v>
      </c>
      <c r="AE52" s="60">
        <f>IFERROR(AE17/$B52,".")</f>
        <v>1070.3885384400887</v>
      </c>
      <c r="AF52" s="60">
        <f>IFERROR(AF17/$B52,".")</f>
        <v>245827.01630163216</v>
      </c>
      <c r="AG52" s="60">
        <f>IFERROR(AG17/$B52,".")</f>
        <v>1065.7480213639128</v>
      </c>
      <c r="AH52" s="189">
        <f t="shared" ref="AH52" si="163">IFERROR(AH17/$B52,0)</f>
        <v>3.2561603017415629E-14</v>
      </c>
      <c r="AI52" s="49">
        <f>IF(AE52=".",".",s_RadSpec!$H$17*AI17*$B$52)</f>
        <v>2.3356004947916665E-2</v>
      </c>
      <c r="AJ52" s="49">
        <f>IF(AF52=".",".",s_RadSpec!$K$17*AJ17*$B$52)</f>
        <v>1.0169752851462329E-4</v>
      </c>
      <c r="AK52" s="49">
        <f t="shared" si="57"/>
        <v>2.3457702476431287E-2</v>
      </c>
      <c r="AL52" s="60">
        <f>IFERROR(AL17/$B52,".")</f>
        <v>24698.431716518749</v>
      </c>
      <c r="AM52" s="60">
        <f>IFERROR(AM17,".")</f>
        <v>12404.49794598369</v>
      </c>
      <c r="AN52" s="60">
        <f>IFERROR(AN17/$B52,".")</f>
        <v>70764.519734131667</v>
      </c>
      <c r="AO52" s="60">
        <f>IFERROR(AO17/$B52,".")</f>
        <v>83162.65780339425</v>
      </c>
      <c r="AP52" s="60">
        <f>IFERROR(AP17/$B52,".")</f>
        <v>6791.4390024213435</v>
      </c>
      <c r="AQ52" s="189">
        <f t="shared" ref="AQ52" si="164">IFERROR(AQ17/$B52,0)</f>
        <v>2.0749758505845353E-13</v>
      </c>
      <c r="AR52" s="49">
        <f>IF(AL52=".",".",s_RadSpec!$I$17*AR17*$B$52)</f>
        <v>1.0122100175000001E-3</v>
      </c>
      <c r="AS52" s="49">
        <f>IF(AM52=".",".",s_RadSpec!$H$17*AS17*$B$52)</f>
        <v>2.0149948920820965E-3</v>
      </c>
      <c r="AT52" s="49">
        <f>IF(AN52=".",".",s_RadSpec!$M$17*AT17*$B$52)</f>
        <v>3.5328438734449316E-4</v>
      </c>
      <c r="AU52" s="49">
        <f>s_b2w!AC52</f>
        <v>3.0061569291234985E-4</v>
      </c>
      <c r="AV52" s="49">
        <f t="shared" si="61"/>
        <v>3.6811049898389393E-3</v>
      </c>
      <c r="AW52" s="60">
        <f>IFERROR(AW17/$B52,".")</f>
        <v>4490.6239484579546</v>
      </c>
      <c r="AX52" s="189">
        <f t="shared" ref="AX52" si="165">IFERROR(AX17/$B52,0)</f>
        <v>1.3720120645690426E-10</v>
      </c>
      <c r="AY52" s="49">
        <f>IF(AW52=".",".",s_RadSpec!$F$17*AY17*$B$52)</f>
        <v>5.56715509625E-3</v>
      </c>
    </row>
    <row r="53" spans="1:51" x14ac:dyDescent="0.25">
      <c r="A53" s="48" t="s">
        <v>1074</v>
      </c>
      <c r="B53" s="15">
        <v>2.0000000000000001E-4</v>
      </c>
      <c r="C53" s="238"/>
      <c r="D53" s="60" t="str">
        <f t="shared" ref="D53:I53" si="166">IFERROR(D5/$B53,".")</f>
        <v>.</v>
      </c>
      <c r="E53" s="60" t="str">
        <f t="shared" si="166"/>
        <v>.</v>
      </c>
      <c r="F53" s="60" t="str">
        <f t="shared" si="166"/>
        <v>.</v>
      </c>
      <c r="G53" s="60" t="str">
        <f t="shared" si="166"/>
        <v>.</v>
      </c>
      <c r="H53" s="60" t="str">
        <f t="shared" si="166"/>
        <v>.</v>
      </c>
      <c r="I53" s="60" t="str">
        <f t="shared" si="166"/>
        <v>.</v>
      </c>
      <c r="J53" s="189">
        <f>IFERROR(J5/$B53,0)</f>
        <v>0</v>
      </c>
      <c r="K53" s="49" t="str">
        <f>IF(D53=".",".",s_RadSpec!$E$5*K5*$B$53)</f>
        <v>.</v>
      </c>
      <c r="L53" s="49" t="str">
        <f>IF(E53=".",".",s_RadSpec!$H$5*L5*$B$53)</f>
        <v>.</v>
      </c>
      <c r="M53" s="49" t="str">
        <f>IF(F53=".",".",s_RadSpec!$G$5*M5*$B$53)</f>
        <v>.</v>
      </c>
      <c r="N53" s="49" t="str">
        <f>s_b2s!AC53</f>
        <v>.</v>
      </c>
      <c r="O53" s="49">
        <f t="shared" si="146"/>
        <v>0</v>
      </c>
      <c r="P53" s="60" t="str">
        <f>IFERROR(P5/$B53,".")</f>
        <v>.</v>
      </c>
      <c r="Q53" s="60" t="str">
        <f>IFERROR(Q5/$B53,".")</f>
        <v>.</v>
      </c>
      <c r="R53" s="60" t="str">
        <f>IFERROR(R5/$B53,".")</f>
        <v>.</v>
      </c>
      <c r="S53" s="60" t="str">
        <f>IFERROR(S5/$B53,".")</f>
        <v>.</v>
      </c>
      <c r="T53" s="60" t="str">
        <f>IFERROR(T5/$B53,".")</f>
        <v>.</v>
      </c>
      <c r="U53" s="189">
        <f t="shared" ref="U53:Y53" si="167">IFERROR(U5/$B53,0)</f>
        <v>0</v>
      </c>
      <c r="V53" s="189">
        <f t="shared" si="167"/>
        <v>0</v>
      </c>
      <c r="W53" s="189">
        <f t="shared" si="167"/>
        <v>0</v>
      </c>
      <c r="X53" s="189">
        <f t="shared" si="167"/>
        <v>0</v>
      </c>
      <c r="Y53" s="189">
        <f t="shared" si="167"/>
        <v>0</v>
      </c>
      <c r="Z53" s="49" t="str">
        <f>IF(P53=".",".",s_RadSpec!$G$5*Z5*$B$53)</f>
        <v>.</v>
      </c>
      <c r="AA53" s="49" t="str">
        <f>IF(Q53=".",".",s_RadSpec!$N$5*AA5*$B$53)</f>
        <v>.</v>
      </c>
      <c r="AB53" s="49" t="str">
        <f>IF(R53=".",".",s_RadSpec!$O$5*AB5*$B$53)</f>
        <v>.</v>
      </c>
      <c r="AC53" s="49" t="str">
        <f>IF(S53=".",".",s_RadSpec!$P$5*AC5*$B$53)</f>
        <v>.</v>
      </c>
      <c r="AD53" s="49" t="str">
        <f>IF(T53=".",".",s_RadSpec!$L$5*AD5*$B$53)</f>
        <v>.</v>
      </c>
      <c r="AE53" s="60" t="str">
        <f>IFERROR(AE5/$B53,".")</f>
        <v>.</v>
      </c>
      <c r="AF53" s="60">
        <f>IFERROR(AF5/$B53,".")</f>
        <v>13919051760060.852</v>
      </c>
      <c r="AG53" s="60">
        <f>IFERROR(AG5/$B53,".")</f>
        <v>13919051760060.852</v>
      </c>
      <c r="AH53" s="189">
        <f t="shared" ref="AH53" si="168">IFERROR(AH5/$B53,0)</f>
        <v>4.0411858801089931E-7</v>
      </c>
      <c r="AI53" s="49" t="str">
        <f>IF(AE53=".",".",s_RadSpec!$H$5*AI5*$B$53)</f>
        <v>.</v>
      </c>
      <c r="AJ53" s="49">
        <f>IF(AF53=".",".",s_RadSpec!$K$5*AJ5*$B$53)</f>
        <v>1.796099363013699E-12</v>
      </c>
      <c r="AK53" s="49">
        <f t="shared" si="57"/>
        <v>1.796099363013699E-12</v>
      </c>
      <c r="AL53" s="60" t="str">
        <f>IFERROR(AL5/$B53,".")</f>
        <v>.</v>
      </c>
      <c r="AM53" s="60" t="str">
        <f>IFERROR(AM5,".")</f>
        <v>.</v>
      </c>
      <c r="AN53" s="60">
        <f>IFERROR(AN5/$B53,".")</f>
        <v>6820335362429.8184</v>
      </c>
      <c r="AO53" s="60" t="str">
        <f>IFERROR(AO5/$B53,".")</f>
        <v>.</v>
      </c>
      <c r="AP53" s="60">
        <f>IFERROR(AP5/$B53,".")</f>
        <v>6820335362429.8184</v>
      </c>
      <c r="AQ53" s="189">
        <f t="shared" ref="AQ53" si="169">IFERROR(AQ5/$B53,0)</f>
        <v>1.9801810812534069E-7</v>
      </c>
      <c r="AR53" s="49" t="str">
        <f>IF(AL53=".",".",s_RadSpec!$I$5*AR5*$B$53)</f>
        <v>.</v>
      </c>
      <c r="AS53" s="49" t="str">
        <f>IF(AM53=".",".",s_RadSpec!$H$5*AS5*$B$53)</f>
        <v>.</v>
      </c>
      <c r="AT53" s="49">
        <f>IF(AN53=".",".",s_RadSpec!$M$5*AT5*$B$53)</f>
        <v>3.6655089041095892E-12</v>
      </c>
      <c r="AU53" s="49" t="str">
        <f>s_b2w!AC53</f>
        <v>.</v>
      </c>
      <c r="AV53" s="49">
        <f t="shared" si="61"/>
        <v>3.6655089041095892E-12</v>
      </c>
      <c r="AW53" s="60" t="str">
        <f>IFERROR(AW5/$B53,".")</f>
        <v>.</v>
      </c>
      <c r="AX53" s="189">
        <f t="shared" ref="AX53" si="170">IFERROR(AX5/$B53,0)</f>
        <v>0</v>
      </c>
      <c r="AY53" s="49" t="str">
        <f>IF(AW53=".",".",s_RadSpec!$F$5*AY5*$B$53)</f>
        <v>.</v>
      </c>
    </row>
    <row r="54" spans="1:51" x14ac:dyDescent="0.25">
      <c r="A54" s="48" t="s">
        <v>1075</v>
      </c>
      <c r="B54" s="15">
        <v>0.99999979999999999</v>
      </c>
      <c r="C54" s="238"/>
      <c r="D54" s="60">
        <f t="shared" ref="D54:I54" si="171">IFERROR(D9/$B54,".")</f>
        <v>2998173.2134265364</v>
      </c>
      <c r="E54" s="60">
        <f t="shared" si="171"/>
        <v>422130109.72578847</v>
      </c>
      <c r="F54" s="60">
        <f t="shared" si="171"/>
        <v>79.071802183642376</v>
      </c>
      <c r="G54" s="60">
        <f t="shared" si="171"/>
        <v>13207.811512892233</v>
      </c>
      <c r="H54" s="60">
        <f t="shared" si="171"/>
        <v>1499.0866067132681</v>
      </c>
      <c r="I54" s="60">
        <f t="shared" si="171"/>
        <v>78.599161387175542</v>
      </c>
      <c r="J54" s="189">
        <f>IFERROR(J9/$B54,0)</f>
        <v>1.7831481893333179E-12</v>
      </c>
      <c r="K54" s="49">
        <f>IF(D54=".",".",s_RadSpec!$E$9*K9*$B$54)</f>
        <v>8.3384108323175001E-6</v>
      </c>
      <c r="L54" s="49">
        <f>IF(E54=".",".",s_RadSpec!$H$9*L9*$B$54)</f>
        <v>5.9223446572526526E-8</v>
      </c>
      <c r="M54" s="49">
        <f>IF(F54=".",".",s_RadSpec!$G$9*M9*$B$54)</f>
        <v>0.31616833447071435</v>
      </c>
      <c r="N54" s="49">
        <f>s_b2s!AC54</f>
        <v>1.8928192589360725E-3</v>
      </c>
      <c r="O54" s="49">
        <f t="shared" si="146"/>
        <v>0.31806955136392934</v>
      </c>
      <c r="P54" s="60">
        <f>IFERROR(P9/$B54,".")</f>
        <v>79.071802183642376</v>
      </c>
      <c r="Q54" s="60">
        <f>IFERROR(Q9/$B54,".")</f>
        <v>908.19570830632085</v>
      </c>
      <c r="R54" s="60">
        <f>IFERROR(R9/$B54,".")</f>
        <v>221.12268470195366</v>
      </c>
      <c r="S54" s="60">
        <f>IFERROR(S9/$B54,".")</f>
        <v>112.58175174318031</v>
      </c>
      <c r="T54" s="60">
        <f>IFERROR(T9/$B54,".")</f>
        <v>1578.5452637736412</v>
      </c>
      <c r="U54" s="189">
        <f t="shared" ref="U54:Y54" si="172">IFERROR(U9/$B54,0)</f>
        <v>1.7938708047601334E-12</v>
      </c>
      <c r="V54" s="189">
        <f t="shared" si="172"/>
        <v>2.0603878008944502E-11</v>
      </c>
      <c r="W54" s="189">
        <f t="shared" si="172"/>
        <v>5.0165231777033308E-12</v>
      </c>
      <c r="X54" s="189">
        <f t="shared" si="172"/>
        <v>2.5540978202546055E-12</v>
      </c>
      <c r="Y54" s="189">
        <f t="shared" si="172"/>
        <v>3.5811834111221447E-11</v>
      </c>
      <c r="Z54" s="49">
        <f>IF(P54=".",".",s_RadSpec!$G$9*Z9*$B$54)</f>
        <v>0.31616833447071435</v>
      </c>
      <c r="AA54" s="49">
        <f>IF(Q54=".",".",s_RadSpec!$N$9*AA9*$B$54)</f>
        <v>2.7527106516085708E-2</v>
      </c>
      <c r="AB54" s="49">
        <f>IF(R54=".",".",s_RadSpec!$O$9*AB9*$B$54)</f>
        <v>0.11305940877887288</v>
      </c>
      <c r="AC54" s="49">
        <f>IF(S54=".",".",s_RadSpec!$P$9*AC9*$B$54)</f>
        <v>0.22206085456042293</v>
      </c>
      <c r="AD54" s="49">
        <f>IF(T54=".",".",s_RadSpec!$L$9*AD9*$B$54)</f>
        <v>1.583736657651201E-2</v>
      </c>
      <c r="AE54" s="60">
        <f>IFERROR(AE9/$B54,".")</f>
        <v>1362.5721268895584</v>
      </c>
      <c r="AF54" s="60">
        <f>IFERROR(AF9/$B54,".")</f>
        <v>38370.389459899663</v>
      </c>
      <c r="AG54" s="60">
        <f>IFERROR(AG9/$B54,".")</f>
        <v>1315.8451091483578</v>
      </c>
      <c r="AH54" s="189">
        <f t="shared" ref="AH54" si="173">IFERROR(AH9/$B54,0)</f>
        <v>2.9852059263876985E-14</v>
      </c>
      <c r="AI54" s="49">
        <f>IF(AE54=".",".",s_RadSpec!$H$9*AI9*$B$54)</f>
        <v>1.8347652580468745E-2</v>
      </c>
      <c r="AJ54" s="49">
        <f>IF(AF54=".",".",s_RadSpec!$K$9*AJ9*$B$54)</f>
        <v>6.5154407739663792E-4</v>
      </c>
      <c r="AK54" s="49">
        <f t="shared" si="57"/>
        <v>1.8999196657865383E-2</v>
      </c>
      <c r="AL54" s="60">
        <f>IFERROR(AL9/$B54,".")</f>
        <v>32979.9053476919</v>
      </c>
      <c r="AM54" s="60">
        <f>IFERROR(AM9,".")</f>
        <v>53534.634988975027</v>
      </c>
      <c r="AN54" s="60">
        <f>IFERROR(AN9/$B54,".")</f>
        <v>11071.975205352541</v>
      </c>
      <c r="AO54" s="60">
        <f>IFERROR(AO9/$B54,".")</f>
        <v>47489.222439220706</v>
      </c>
      <c r="AP54" s="60">
        <f>IFERROR(AP9/$B54,".")</f>
        <v>6235.3268359018721</v>
      </c>
      <c r="AQ54" s="189">
        <f t="shared" ref="AQ54" si="174">IFERROR(AQ9/$B54,0)</f>
        <v>1.4145840185966663E-13</v>
      </c>
      <c r="AR54" s="49">
        <f>IF(AL54=".",".",s_RadSpec!$I$9*AR9*$B$54)</f>
        <v>7.580373483925E-4</v>
      </c>
      <c r="AS54" s="49">
        <f>IF(AM54=".",".",s_RadSpec!$H$9*AS9*$B$54)</f>
        <v>4.6698730653806683E-4</v>
      </c>
      <c r="AT54" s="49">
        <f>IF(AN54=".",".",s_RadSpec!$M$9*AT9*$B$54)</f>
        <v>2.2579530333408093E-3</v>
      </c>
      <c r="AU54" s="49">
        <f>s_b2w!AC54</f>
        <v>5.2643523553152225E-4</v>
      </c>
      <c r="AV54" s="49">
        <f t="shared" si="61"/>
        <v>4.0094129238028983E-3</v>
      </c>
      <c r="AW54" s="60">
        <f>IFERROR(AW9/$B54,".")</f>
        <v>5996.3464268530734</v>
      </c>
      <c r="AX54" s="189">
        <f t="shared" ref="AX54" si="175">IFERROR(AX9/$B54,0)</f>
        <v>1.3603674752950948E-10</v>
      </c>
      <c r="AY54" s="49">
        <f>IF(AW54=".",".",s_RadSpec!$F$9*AY9*$B$54)</f>
        <v>4.1692054161587494E-3</v>
      </c>
    </row>
    <row r="55" spans="1:51" x14ac:dyDescent="0.25">
      <c r="A55" s="48" t="s">
        <v>1076</v>
      </c>
      <c r="B55" s="15">
        <v>1.9999999999999999E-7</v>
      </c>
      <c r="C55" s="238"/>
      <c r="D55" s="60" t="str">
        <f t="shared" ref="D55:I55" si="176">IFERROR(D24/$B55,".")</f>
        <v>.</v>
      </c>
      <c r="E55" s="60" t="str">
        <f t="shared" si="176"/>
        <v>.</v>
      </c>
      <c r="F55" s="60">
        <f t="shared" si="176"/>
        <v>1496404063004.1741</v>
      </c>
      <c r="G55" s="60" t="str">
        <f t="shared" si="176"/>
        <v>.</v>
      </c>
      <c r="H55" s="60" t="str">
        <f t="shared" si="176"/>
        <v>.</v>
      </c>
      <c r="I55" s="60">
        <f t="shared" si="176"/>
        <v>1496404063004.1741</v>
      </c>
      <c r="J55" s="189">
        <f>IFERROR(J24/$B55,0)</f>
        <v>1.0137359336003667E-6</v>
      </c>
      <c r="K55" s="49" t="str">
        <f>IF(D55=".",".",s_RadSpec!$E$24*K24*$B$55)</f>
        <v>.</v>
      </c>
      <c r="L55" s="49" t="str">
        <f>IF(E55=".",".",s_RadSpec!$H$24*L24*$B$55)</f>
        <v>.</v>
      </c>
      <c r="M55" s="49">
        <f>IF(F55=".",".",s_RadSpec!$G$24*M24*$B$55)</f>
        <v>1.6706717535777143E-11</v>
      </c>
      <c r="N55" s="49" t="str">
        <f>s_b2s!AC55</f>
        <v>.</v>
      </c>
      <c r="O55" s="49">
        <f t="shared" si="146"/>
        <v>1.6706717535777143E-11</v>
      </c>
      <c r="P55" s="60">
        <f>IFERROR(P24/$B55,".")</f>
        <v>1496404063004.1741</v>
      </c>
      <c r="Q55" s="60">
        <f>IFERROR(Q24/$B55,".")</f>
        <v>13476354557963.766</v>
      </c>
      <c r="R55" s="60">
        <f>IFERROR(R24/$B55,".")</f>
        <v>3333943743558.2715</v>
      </c>
      <c r="S55" s="60">
        <f>IFERROR(S24/$B55,".")</f>
        <v>1787802714277.3079</v>
      </c>
      <c r="T55" s="60">
        <f>IFERROR(T24/$B55,".")</f>
        <v>22690368124204.469</v>
      </c>
      <c r="U55" s="189">
        <f t="shared" ref="U55:Y55" si="177">IFERROR(U24/$B55,0)</f>
        <v>1.0137359336003667E-6</v>
      </c>
      <c r="V55" s="189">
        <f t="shared" si="177"/>
        <v>9.1295293878848864E-6</v>
      </c>
      <c r="W55" s="189">
        <f t="shared" si="177"/>
        <v>2.2585735076540742E-6</v>
      </c>
      <c r="X55" s="189">
        <f t="shared" si="177"/>
        <v>1.2111433659253043E-6</v>
      </c>
      <c r="Y55" s="189">
        <f t="shared" si="177"/>
        <v>1.5371544412909189E-5</v>
      </c>
      <c r="Z55" s="49">
        <f>IF(P55=".",".",s_RadSpec!$G$24*Z24*$B$55)</f>
        <v>1.6706717535777143E-11</v>
      </c>
      <c r="AA55" s="49">
        <f>IF(Q55=".",".",s_RadSpec!$N$24*AA24*$B$55)</f>
        <v>1.8551010877957654E-12</v>
      </c>
      <c r="AB55" s="49">
        <f>IF(R55=".",".",s_RadSpec!$O$24*AB24*$B$55)</f>
        <v>7.4986268284532752E-12</v>
      </c>
      <c r="AC55" s="49">
        <f>IF(S55=".",".",s_RadSpec!$P$24*AC24*$B$55)</f>
        <v>1.3983645846575342E-11</v>
      </c>
      <c r="AD55" s="49">
        <f>IF(T55=".",".",s_RadSpec!$L$24*AD24*$B$55)</f>
        <v>1.1017890879139936E-12</v>
      </c>
      <c r="AE55" s="60" t="str">
        <f>IFERROR(AE24/$B55,".")</f>
        <v>.</v>
      </c>
      <c r="AF55" s="60">
        <f>IFERROR(AF24/$B55,".")</f>
        <v>401196197789989.38</v>
      </c>
      <c r="AG55" s="60">
        <f>IFERROR(AG24/$B55,".")</f>
        <v>401196197789989.38</v>
      </c>
      <c r="AH55" s="189">
        <f t="shared" ref="AH55" si="178">IFERROR(AH24/$B55,0)</f>
        <v>2.7178956017203606E-7</v>
      </c>
      <c r="AI55" s="49" t="str">
        <f>IF(AE55=".",".",s_RadSpec!$H$24*AI24*$B$55)</f>
        <v>.</v>
      </c>
      <c r="AJ55" s="49">
        <f>IF(AF55=".",".",s_RadSpec!$K$24*AJ24*$B$55)</f>
        <v>6.2313651369863008E-14</v>
      </c>
      <c r="AK55" s="49">
        <f t="shared" si="57"/>
        <v>6.2313651369863008E-14</v>
      </c>
      <c r="AL55" s="60" t="str">
        <f>IFERROR(AL24/$B55,".")</f>
        <v>.</v>
      </c>
      <c r="AM55" s="60" t="str">
        <f>IFERROR(AM24,".")</f>
        <v>.</v>
      </c>
      <c r="AN55" s="60">
        <f>IFERROR(AN24/$B55,".")</f>
        <v>115364265264374.48</v>
      </c>
      <c r="AO55" s="60" t="str">
        <f>IFERROR(AO24/$B55,".")</f>
        <v>.</v>
      </c>
      <c r="AP55" s="60">
        <f>IFERROR(AP24/$B55,".")</f>
        <v>115364265264374.48</v>
      </c>
      <c r="AQ55" s="189">
        <f t="shared" ref="AQ55" si="179">IFERROR(AQ24/$B55,0)</f>
        <v>7.8153290306573297E-8</v>
      </c>
      <c r="AR55" s="49" t="str">
        <f>IF(AL55=".",".",s_RadSpec!$I$24*AR24*$B$55)</f>
        <v>.</v>
      </c>
      <c r="AS55" s="49" t="str">
        <f>IF(AM55=".",".",s_RadSpec!$H$24*AS24*$B$55)</f>
        <v>.</v>
      </c>
      <c r="AT55" s="49">
        <f>IF(AN55=".",".",s_RadSpec!$M$24*AT24*$B$55)</f>
        <v>2.1670488641095886E-13</v>
      </c>
      <c r="AU55" s="49" t="str">
        <f>s_b2w!AC55</f>
        <v>.</v>
      </c>
      <c r="AV55" s="49">
        <f t="shared" si="61"/>
        <v>2.1670488641095886E-13</v>
      </c>
      <c r="AW55" s="60" t="str">
        <f>IFERROR(AW24/$B55,".")</f>
        <v>.</v>
      </c>
      <c r="AX55" s="189">
        <f t="shared" ref="AX55" si="180">IFERROR(AX24/$B55,0)</f>
        <v>0</v>
      </c>
      <c r="AY55" s="49" t="str">
        <f>IF(AW55=".",".",s_RadSpec!$F$24*AY24*$B$55)</f>
        <v>.</v>
      </c>
    </row>
    <row r="56" spans="1:51" x14ac:dyDescent="0.25">
      <c r="A56" s="48" t="s">
        <v>1077</v>
      </c>
      <c r="B56" s="15">
        <v>0.99979000004200003</v>
      </c>
      <c r="C56" s="238"/>
      <c r="D56" s="60" t="str">
        <f t="shared" ref="D56:I56" si="181">IFERROR(D20/$B56,".")</f>
        <v>.</v>
      </c>
      <c r="E56" s="60" t="str">
        <f t="shared" si="181"/>
        <v>.</v>
      </c>
      <c r="F56" s="60">
        <f t="shared" si="181"/>
        <v>2079934.5903760151</v>
      </c>
      <c r="G56" s="60" t="str">
        <f t="shared" si="181"/>
        <v>.</v>
      </c>
      <c r="H56" s="60" t="str">
        <f t="shared" si="181"/>
        <v>.</v>
      </c>
      <c r="I56" s="60">
        <f t="shared" si="181"/>
        <v>2079934.5903760151</v>
      </c>
      <c r="J56" s="189">
        <f>IFERROR(J20/$B56,0)</f>
        <v>6.493105191422771E-15</v>
      </c>
      <c r="K56" s="49" t="str">
        <f>IF(D56=".",".",s_RadSpec!$E$20*K20*$B$56)</f>
        <v>.</v>
      </c>
      <c r="L56" s="49" t="str">
        <f>IF(E56=".",".",s_RadSpec!$H$20*L20*$B$56)</f>
        <v>.</v>
      </c>
      <c r="M56" s="49">
        <f>IF(F56=".",".",s_RadSpec!$G$20*M20*$B$56)</f>
        <v>1.2019608749081118E-5</v>
      </c>
      <c r="N56" s="49" t="str">
        <f>s_b2s!AC56</f>
        <v>.</v>
      </c>
      <c r="O56" s="49">
        <f t="shared" si="146"/>
        <v>1.2019608749081118E-5</v>
      </c>
      <c r="P56" s="60">
        <f>IFERROR(P20/$B56,".")</f>
        <v>2079934.5903760151</v>
      </c>
      <c r="Q56" s="60">
        <f>IFERROR(Q20/$B56,".")</f>
        <v>21083395.931614425</v>
      </c>
      <c r="R56" s="60">
        <f>IFERROR(R20/$B56,".")</f>
        <v>5157906.8732266165</v>
      </c>
      <c r="S56" s="60">
        <f>IFERROR(S20/$B56,".")</f>
        <v>2740396.3271293752</v>
      </c>
      <c r="T56" s="60">
        <f>IFERROR(T20/$B56,".")</f>
        <v>36471870.128750049</v>
      </c>
      <c r="U56" s="189">
        <f t="shared" ref="U56:Y56" si="182">IFERROR(U20/$B56,0)</f>
        <v>6.493105191422771E-15</v>
      </c>
      <c r="V56" s="189">
        <f t="shared" si="182"/>
        <v>6.5817794564221779E-14</v>
      </c>
      <c r="W56" s="189">
        <f t="shared" si="182"/>
        <v>1.6101867842569219E-14</v>
      </c>
      <c r="X56" s="189">
        <f t="shared" si="182"/>
        <v>8.5549236502782793E-15</v>
      </c>
      <c r="Y56" s="189">
        <f t="shared" si="182"/>
        <v>1.1385727722864207E-13</v>
      </c>
      <c r="Z56" s="49">
        <f>IF(P56=".",".",s_RadSpec!$G$20*Z20*$B$56)</f>
        <v>1.2019608749081118E-5</v>
      </c>
      <c r="AA56" s="49">
        <f>IF(Q56=".",".",s_RadSpec!$N$20*AA20*$B$56)</f>
        <v>1.1857672303403765E-6</v>
      </c>
      <c r="AB56" s="49">
        <f>IF(R56=".",".",s_RadSpec!$O$20*AB20*$B$56)</f>
        <v>4.8469273708233551E-6</v>
      </c>
      <c r="AC56" s="49">
        <f>IF(S56=".",".",s_RadSpec!$P$20*AC20*$B$56)</f>
        <v>9.1227680290274118E-6</v>
      </c>
      <c r="AD56" s="49">
        <f>IF(T56=".",".",s_RadSpec!$L$20*AD20*$B$56)</f>
        <v>6.8545977795344785E-7</v>
      </c>
      <c r="AE56" s="60" t="str">
        <f>IFERROR(AE20/$B56,".")</f>
        <v>.</v>
      </c>
      <c r="AF56" s="60">
        <f>IFERROR(AF20/$B56,".")</f>
        <v>718080835.09571791</v>
      </c>
      <c r="AG56" s="60">
        <f>IFERROR(AG20/$B56,".")</f>
        <v>718080835.09571791</v>
      </c>
      <c r="AH56" s="189">
        <f t="shared" ref="AH56" si="183">IFERROR(AH20/$B56,0)</f>
        <v>2.2416928012040485E-15</v>
      </c>
      <c r="AI56" s="49" t="str">
        <f>IF(AE56=".",".",s_RadSpec!$H$20*AI20*$B$56)</f>
        <v>.</v>
      </c>
      <c r="AJ56" s="49">
        <f>IF(AF56=".",".",s_RadSpec!$K$20*AJ20*$B$56)</f>
        <v>3.4815021900239938E-8</v>
      </c>
      <c r="AK56" s="49">
        <f t="shared" si="57"/>
        <v>3.4815021900239938E-8</v>
      </c>
      <c r="AL56" s="60" t="str">
        <f>IFERROR(AL20/$B56,".")</f>
        <v>.</v>
      </c>
      <c r="AM56" s="60" t="str">
        <f>IFERROR(AM20,".")</f>
        <v>.</v>
      </c>
      <c r="AN56" s="60">
        <f>IFERROR(AN20/$B56,".")</f>
        <v>207222598.22021025</v>
      </c>
      <c r="AO56" s="60" t="str">
        <f>IFERROR(AO20/$B56,".")</f>
        <v>.</v>
      </c>
      <c r="AP56" s="60">
        <f>IFERROR(AP20/$B56,".")</f>
        <v>207222598.22021025</v>
      </c>
      <c r="AQ56" s="189">
        <f t="shared" ref="AQ56" si="184">IFERROR(AQ20/$B56,0)</f>
        <v>6.4690405867067025E-16</v>
      </c>
      <c r="AR56" s="49" t="str">
        <f>IF(AL56=".",".",s_RadSpec!$I$20*AR20*$B$56)</f>
        <v>.</v>
      </c>
      <c r="AS56" s="49" t="str">
        <f>IF(AM56=".",".",s_RadSpec!$H$20*AS20*$B$56)</f>
        <v>.</v>
      </c>
      <c r="AT56" s="49">
        <f>IF(AN56=".",".",s_RadSpec!$M$20*AT20*$B$56)</f>
        <v>1.2064321273219985E-7</v>
      </c>
      <c r="AU56" s="49" t="str">
        <f>s_b2w!AC56</f>
        <v>.</v>
      </c>
      <c r="AV56" s="49">
        <f t="shared" si="61"/>
        <v>1.2064321273219985E-7</v>
      </c>
      <c r="AW56" s="60" t="str">
        <f>IFERROR(AW20/$B56,".")</f>
        <v>.</v>
      </c>
      <c r="AX56" s="189">
        <f t="shared" ref="AX56" si="185">IFERROR(AX20/$B56,0)</f>
        <v>0</v>
      </c>
      <c r="AY56" s="49" t="str">
        <f>IF(AW56=".",".",s_RadSpec!$F$20*AY20*$B$56)</f>
        <v>.</v>
      </c>
    </row>
    <row r="57" spans="1:51" x14ac:dyDescent="0.25">
      <c r="A57" s="48" t="s">
        <v>1078</v>
      </c>
      <c r="B57" s="15">
        <v>2.0999995799999999E-4</v>
      </c>
      <c r="C57" s="238"/>
      <c r="D57" s="60" t="str">
        <f t="shared" ref="D57:I57" si="186">IFERROR(D29/$B57,".")</f>
        <v>.</v>
      </c>
      <c r="E57" s="60" t="str">
        <f t="shared" si="186"/>
        <v>.</v>
      </c>
      <c r="F57" s="60">
        <f t="shared" si="186"/>
        <v>223048.22459328643</v>
      </c>
      <c r="G57" s="60" t="str">
        <f t="shared" si="186"/>
        <v>.</v>
      </c>
      <c r="H57" s="60" t="str">
        <f t="shared" si="186"/>
        <v>.</v>
      </c>
      <c r="I57" s="60">
        <f t="shared" si="186"/>
        <v>223048.22459328643</v>
      </c>
      <c r="J57" s="189">
        <f>IFERROR(J29/$B57,0)</f>
        <v>3.243874864518803E-10</v>
      </c>
      <c r="K57" s="49" t="str">
        <f>IF(D57=".",".",s_RadSpec!$E$29*K29*$B$57)</f>
        <v>.</v>
      </c>
      <c r="L57" s="49" t="str">
        <f>IF(E57=".",".",s_RadSpec!$H$29*L29*$B$57)</f>
        <v>.</v>
      </c>
      <c r="M57" s="49">
        <f>IF(F57=".",".",s_RadSpec!$G$29*M29*$B$57)</f>
        <v>1.1208338486255981E-4</v>
      </c>
      <c r="N57" s="49" t="str">
        <f>s_b2s!AC57</f>
        <v>.</v>
      </c>
      <c r="O57" s="49">
        <f t="shared" si="146"/>
        <v>1.1208338486255981E-4</v>
      </c>
      <c r="P57" s="60">
        <f>IFERROR(P29/$B57,".")</f>
        <v>223048.22459328643</v>
      </c>
      <c r="Q57" s="60">
        <f>IFERROR(Q29/$B57,".")</f>
        <v>2437112.0772664649</v>
      </c>
      <c r="R57" s="60">
        <f>IFERROR(R29/$B57,".")</f>
        <v>604532.64906559931</v>
      </c>
      <c r="S57" s="60">
        <f>IFERROR(S29/$B57,".")</f>
        <v>319060.34853190853</v>
      </c>
      <c r="T57" s="60">
        <f>IFERROR(T29/$B57,".")</f>
        <v>4344168.1268426226</v>
      </c>
      <c r="U57" s="189">
        <f t="shared" ref="U57:Y57" si="187">IFERROR(U29/$B57,0)</f>
        <v>3.243874864518803E-10</v>
      </c>
      <c r="V57" s="189">
        <f t="shared" si="187"/>
        <v>3.5443844594035152E-9</v>
      </c>
      <c r="W57" s="189">
        <f t="shared" si="187"/>
        <v>8.7919474304745917E-10</v>
      </c>
      <c r="X57" s="189">
        <f t="shared" si="187"/>
        <v>4.6402155711147469E-10</v>
      </c>
      <c r="Y57" s="189">
        <f t="shared" si="187"/>
        <v>6.3178883488556013E-9</v>
      </c>
      <c r="Z57" s="49">
        <f>IF(P57=".",".",s_RadSpec!$G$29*Z29*$B$57)</f>
        <v>1.1208338486255981E-4</v>
      </c>
      <c r="AA57" s="49">
        <f>IF(Q57=".",".",s_RadSpec!$N$29*AA29*$B$57)</f>
        <v>1.0258042801232482E-5</v>
      </c>
      <c r="AB57" s="49">
        <f>IF(R57=".",".",s_RadSpec!$O$29*AB29*$B$57)</f>
        <v>4.135425942443547E-5</v>
      </c>
      <c r="AC57" s="49">
        <f>IF(S57=".",".",s_RadSpec!$P$29*AC29*$B$57)</f>
        <v>7.835508271407721E-5</v>
      </c>
      <c r="AD57" s="49">
        <f>IF(T57=".",".",s_RadSpec!$L$29*AD29*$B$57)</f>
        <v>5.7548417257437517E-6</v>
      </c>
      <c r="AE57" s="60" t="str">
        <f>IFERROR(AE29/$B57,".")</f>
        <v>.</v>
      </c>
      <c r="AF57" s="60">
        <f>IFERROR(AF29/$B57,".")</f>
        <v>98417557.380911469</v>
      </c>
      <c r="AG57" s="60">
        <f>IFERROR(AG29/$B57,".")</f>
        <v>98417557.380911469</v>
      </c>
      <c r="AH57" s="189">
        <f t="shared" ref="AH57" si="188">IFERROR(AH29/$B57,0)</f>
        <v>1.4313238367954489E-10</v>
      </c>
      <c r="AI57" s="49" t="str">
        <f>IF(AE57=".",".",s_RadSpec!$H$29*AI29*$B$57)</f>
        <v>.</v>
      </c>
      <c r="AJ57" s="49">
        <f>IF(AF57=".",".",s_RadSpec!$K$29*AJ29*$B$57)</f>
        <v>2.540197162508411E-7</v>
      </c>
      <c r="AK57" s="49">
        <f t="shared" si="57"/>
        <v>2.540197162508411E-7</v>
      </c>
      <c r="AL57" s="60" t="str">
        <f>IFERROR(AL29/$B57,".")</f>
        <v>.</v>
      </c>
      <c r="AM57" s="60" t="str">
        <f>IFERROR(AM29,".")</f>
        <v>.</v>
      </c>
      <c r="AN57" s="60">
        <f>IFERROR(AN29/$B57,".")</f>
        <v>28489292.926053319</v>
      </c>
      <c r="AO57" s="60" t="str">
        <f>IFERROR(AO29/$B57,".")</f>
        <v>.</v>
      </c>
      <c r="AP57" s="60">
        <f>IFERROR(AP29/$B57,".")</f>
        <v>28489292.926053319</v>
      </c>
      <c r="AQ57" s="189">
        <f t="shared" ref="AQ57" si="189">IFERROR(AQ29/$B57,0)</f>
        <v>4.1433058433552463E-11</v>
      </c>
      <c r="AR57" s="49" t="str">
        <f>IF(AL57=".",".",s_RadSpec!$I$29*AR29*$B$57)</f>
        <v>.</v>
      </c>
      <c r="AS57" s="49" t="str">
        <f>IF(AM57=".",".",s_RadSpec!$H$29*AS29*$B$57)</f>
        <v>.</v>
      </c>
      <c r="AT57" s="49">
        <f>IF(AN57=".",".",s_RadSpec!$M$29*AT29*$B$57)</f>
        <v>8.7752265613926914E-7</v>
      </c>
      <c r="AU57" s="49" t="str">
        <f>s_b2w!AC57</f>
        <v>.</v>
      </c>
      <c r="AV57" s="49">
        <f t="shared" si="61"/>
        <v>8.7752265613926914E-7</v>
      </c>
      <c r="AW57" s="60" t="str">
        <f>IFERROR(AW29/$B57,".")</f>
        <v>.</v>
      </c>
      <c r="AX57" s="189">
        <f t="shared" ref="AX57" si="190">IFERROR(AX29/$B57,0)</f>
        <v>0</v>
      </c>
      <c r="AY57" s="49" t="str">
        <f>IF(AW57=".",".",s_RadSpec!$F$29*AY29*$B$57)</f>
        <v>.</v>
      </c>
    </row>
    <row r="58" spans="1:51" x14ac:dyDescent="0.25">
      <c r="A58" s="48" t="s">
        <v>1079</v>
      </c>
      <c r="B58" s="15">
        <v>1</v>
      </c>
      <c r="C58" s="238"/>
      <c r="D58" s="60">
        <f t="shared" ref="D58:I58" si="191">IFERROR(D16/$B58,".")</f>
        <v>437.96835240685505</v>
      </c>
      <c r="E58" s="60">
        <f t="shared" si="191"/>
        <v>692481.68732784083</v>
      </c>
      <c r="F58" s="60">
        <f t="shared" si="191"/>
        <v>10156252695.580772</v>
      </c>
      <c r="G58" s="60">
        <f t="shared" si="191"/>
        <v>9.7013700832175243</v>
      </c>
      <c r="H58" s="60">
        <f t="shared" si="191"/>
        <v>0.21898417620342756</v>
      </c>
      <c r="I58" s="60">
        <f t="shared" si="191"/>
        <v>9.4910033437777575</v>
      </c>
      <c r="J58" s="189">
        <f>IFERROR(J16/$B58,0)</f>
        <v>1.2389176124833734E-7</v>
      </c>
      <c r="K58" s="49">
        <f>IF(D58=".",".",s_RadSpec!$E$16*K16*$B$58)</f>
        <v>5.7081750000000001E-2</v>
      </c>
      <c r="L58" s="49">
        <f>IF(E58=".",".",s_RadSpec!$H$16*L16*$B$58)</f>
        <v>3.6102037725315724E-5</v>
      </c>
      <c r="M58" s="49">
        <f>IF(F58=".",".",s_RadSpec!$G$16*M16*$B$58)</f>
        <v>2.4615378082191766E-9</v>
      </c>
      <c r="N58" s="49">
        <f>s_b2s!AC58</f>
        <v>2.5769556037500001</v>
      </c>
      <c r="O58" s="49">
        <f t="shared" si="146"/>
        <v>2.6340734582492633</v>
      </c>
      <c r="P58" s="60">
        <f>IFERROR(P16/$B58,".")</f>
        <v>10156252695.580772</v>
      </c>
      <c r="Q58" s="60">
        <f>IFERROR(Q16/$B58,".")</f>
        <v>28452935520.47567</v>
      </c>
      <c r="R58" s="60">
        <f>IFERROR(R16/$B58,".")</f>
        <v>11063712683.84836</v>
      </c>
      <c r="S58" s="60">
        <f>IFERROR(S16/$B58,".")</f>
        <v>10922291021.461842</v>
      </c>
      <c r="T58" s="60">
        <f>IFERROR(T16/$B58,".")</f>
        <v>348814609693.77307</v>
      </c>
      <c r="U58" s="189">
        <f t="shared" ref="U58:Y58" si="192">IFERROR(U16/$B58,0)</f>
        <v>132.57566018703318</v>
      </c>
      <c r="V58" s="189">
        <f t="shared" si="192"/>
        <v>371.41323911008124</v>
      </c>
      <c r="W58" s="189">
        <f t="shared" si="192"/>
        <v>144.42127988988295</v>
      </c>
      <c r="X58" s="189">
        <f t="shared" si="192"/>
        <v>142.5752180777543</v>
      </c>
      <c r="Y58" s="189">
        <f t="shared" si="192"/>
        <v>4553.2863890986355</v>
      </c>
      <c r="Z58" s="49">
        <f>IF(P58=".",".",s_RadSpec!$G$16*Z16*$B$58)</f>
        <v>2.4615378082191766E-9</v>
      </c>
      <c r="AA58" s="49">
        <f>IF(Q58=".",".",s_RadSpec!$N$16*AA16*$B$58)</f>
        <v>8.7864396213210325E-10</v>
      </c>
      <c r="AB58" s="49">
        <f>IF(R58=".",".",s_RadSpec!$O$16*AB16*$B$58)</f>
        <v>2.2596393014161407E-9</v>
      </c>
      <c r="AC58" s="49">
        <f>IF(S58=".",".",s_RadSpec!$P$16*AC16*$B$58)</f>
        <v>2.2888970776255694E-9</v>
      </c>
      <c r="AD58" s="49">
        <f>IF(T58=".",".",s_RadSpec!$L$16*AD16*$B$58)</f>
        <v>7.1671309931506851E-11</v>
      </c>
      <c r="AE58" s="60">
        <f>IFERROR(AE16/$B58,".")</f>
        <v>2.2352261158231306</v>
      </c>
      <c r="AF58" s="60">
        <f>IFERROR(AF16/$B58,".")</f>
        <v>57922168.683055773</v>
      </c>
      <c r="AG58" s="60">
        <f>IFERROR(AG16/$B58,".")</f>
        <v>2.2352260295653865</v>
      </c>
      <c r="AH58" s="189">
        <f t="shared" ref="AH58" si="193">IFERROR(AH16/$B58,0)</f>
        <v>2.9177746499534728E-11</v>
      </c>
      <c r="AI58" s="49">
        <f>IF(AE58=".",".",s_RadSpec!$H$16*AI16*$B$58)</f>
        <v>11.18455078125</v>
      </c>
      <c r="AJ58" s="49">
        <f>IF(AF58=".",".",s_RadSpec!$K$16*AJ16*$B$58)</f>
        <v>4.3161367345890415E-7</v>
      </c>
      <c r="AK58" s="49">
        <f t="shared" si="57"/>
        <v>11.184551212863672</v>
      </c>
      <c r="AL58" s="60">
        <f>IFERROR(AL16/$B58,".")</f>
        <v>4.8176518764754066</v>
      </c>
      <c r="AM58" s="60" t="str">
        <f>IFERROR(AM16,".")</f>
        <v>.</v>
      </c>
      <c r="AN58" s="60">
        <f>IFERROR(AN16/$B58,".")</f>
        <v>15642971.01474729</v>
      </c>
      <c r="AO58" s="60">
        <f>IFERROR(AO16/$B58,".")</f>
        <v>16.221626499112627</v>
      </c>
      <c r="AP58" s="60">
        <f>IFERROR(AP16/$B58,".")</f>
        <v>3.7144872267358551</v>
      </c>
      <c r="AQ58" s="189">
        <f t="shared" ref="AQ58" si="194">IFERROR(AQ16/$B58,0)</f>
        <v>4.8487430462919159E-11</v>
      </c>
      <c r="AR58" s="49">
        <f>IF(AL58=".",".",s_RadSpec!$I$16*AR16*$B$58)</f>
        <v>5.1892500000000004</v>
      </c>
      <c r="AS58" s="49" t="str">
        <f>IF(AM58=".",".",s_RadSpec!$H$16*AS16*$B$58)</f>
        <v>.</v>
      </c>
      <c r="AT58" s="49">
        <f>IF(AN58=".",".",s_RadSpec!$M$16*AT16*$B$58)</f>
        <v>1.5981618821917808E-6</v>
      </c>
      <c r="AU58" s="49">
        <f>s_b2w!AC58</f>
        <v>1.5411524856257524</v>
      </c>
      <c r="AV58" s="49">
        <f t="shared" si="61"/>
        <v>6.7304040837876347</v>
      </c>
      <c r="AW58" s="60">
        <f>IFERROR(AW16/$B58,".")</f>
        <v>0.87593670481371011</v>
      </c>
      <c r="AX58" s="189">
        <f t="shared" ref="AX58" si="195">IFERROR(AX16/$B58,0)</f>
        <v>1.1434127369956245E-8</v>
      </c>
      <c r="AY58" s="49">
        <f>IF(AW58=".",".",s_RadSpec!$F$16*AY16*$B$58)</f>
        <v>28.540875</v>
      </c>
    </row>
    <row r="59" spans="1:51" x14ac:dyDescent="0.25">
      <c r="A59" s="48" t="s">
        <v>1080</v>
      </c>
      <c r="B59" s="15">
        <v>1</v>
      </c>
      <c r="C59" s="238"/>
      <c r="D59" s="60">
        <f t="shared" ref="D59:I59" si="196">IFERROR(D7/$B59,".")</f>
        <v>248182.06636388457</v>
      </c>
      <c r="E59" s="60">
        <f t="shared" si="196"/>
        <v>28600442.291690964</v>
      </c>
      <c r="F59" s="60">
        <f t="shared" si="196"/>
        <v>466123.44525583641</v>
      </c>
      <c r="G59" s="60">
        <f t="shared" si="196"/>
        <v>1093.3130676823109</v>
      </c>
      <c r="H59" s="60">
        <f t="shared" si="196"/>
        <v>124.09103318194229</v>
      </c>
      <c r="I59" s="60">
        <f t="shared" si="196"/>
        <v>1085.9405547931553</v>
      </c>
      <c r="J59" s="189">
        <f>IFERROR(J7/$B59,0)</f>
        <v>8.769770303267737E-9</v>
      </c>
      <c r="K59" s="49">
        <f>IF(D59=".",".",s_RadSpec!$E$7*K7*$B$59)</f>
        <v>1.0073249999999999E-4</v>
      </c>
      <c r="L59" s="49">
        <f>IF(E59=".",".",s_RadSpec!$H$7*L7*$B$59)</f>
        <v>8.7411235620167426E-7</v>
      </c>
      <c r="M59" s="49">
        <f>IF(F59=".",".",s_RadSpec!$G$7*M7*$B$59)</f>
        <v>5.3633860846193882E-5</v>
      </c>
      <c r="N59" s="49">
        <f>s_b2s!AC59</f>
        <v>2.2866277500000001E-2</v>
      </c>
      <c r="O59" s="49">
        <f t="shared" si="146"/>
        <v>2.3021517973202395E-2</v>
      </c>
      <c r="P59" s="60">
        <f>IFERROR(P7/$B59,".")</f>
        <v>466123.44525583641</v>
      </c>
      <c r="Q59" s="60">
        <f>IFERROR(Q7/$B59,".")</f>
        <v>1293289.7944504307</v>
      </c>
      <c r="R59" s="60">
        <f>IFERROR(R7/$B59,".")</f>
        <v>655062.26779920189</v>
      </c>
      <c r="S59" s="60">
        <f>IFERROR(S7/$B59,".")</f>
        <v>510209.64616092033</v>
      </c>
      <c r="T59" s="60">
        <f>IFERROR(T7/$B59,".")</f>
        <v>169273.6925098786</v>
      </c>
      <c r="U59" s="189">
        <f t="shared" ref="U59:Y59" si="197">IFERROR(U7/$B59,0)</f>
        <v>3.7642903470347897E-6</v>
      </c>
      <c r="V59" s="189">
        <f t="shared" si="197"/>
        <v>1.0444268227049465E-5</v>
      </c>
      <c r="W59" s="189">
        <f t="shared" si="197"/>
        <v>5.2901105843964807E-6</v>
      </c>
      <c r="X59" s="189">
        <f t="shared" si="197"/>
        <v>4.120318910269489E-6</v>
      </c>
      <c r="Y59" s="189">
        <f t="shared" si="197"/>
        <v>1.3670098194098351E-6</v>
      </c>
      <c r="Z59" s="49">
        <f>IF(P59=".",".",s_RadSpec!$G$7*Z7*$B$59)</f>
        <v>5.3633860846193882E-5</v>
      </c>
      <c r="AA59" s="49">
        <f>IF(Q59=".",".",s_RadSpec!$N$7*AA7*$B$59)</f>
        <v>1.9330547652410322E-5</v>
      </c>
      <c r="AB59" s="49">
        <f>IF(R59=".",".",s_RadSpec!$O$7*AB7*$B$59)</f>
        <v>3.8164310828025471E-5</v>
      </c>
      <c r="AC59" s="49">
        <f>IF(S59=".",".",s_RadSpec!$P$7*AC7*$B$59)</f>
        <v>4.8999465588533754E-5</v>
      </c>
      <c r="AD59" s="49">
        <f>IF(T59=".",".",s_RadSpec!$L$7*AD7*$B$59)</f>
        <v>1.4768981304369568E-4</v>
      </c>
      <c r="AE59" s="60">
        <f>IFERROR(AE7/$B59,".")</f>
        <v>92.317900537078629</v>
      </c>
      <c r="AF59" s="60">
        <f>IFERROR(AF7/$B59,".")</f>
        <v>10574163.352604371</v>
      </c>
      <c r="AG59" s="60">
        <f>IFERROR(AG7/$B59,".")</f>
        <v>92.3170945612232</v>
      </c>
      <c r="AH59" s="189">
        <f t="shared" ref="AH59" si="198">IFERROR(AH7/$B59,0)</f>
        <v>7.4552857501595305E-13</v>
      </c>
      <c r="AI59" s="49">
        <f>IF(AE59=".",".",s_RadSpec!$H$7*AI7*$B$59)</f>
        <v>0.27080338541666665</v>
      </c>
      <c r="AJ59" s="49">
        <f>IF(AF59=".",".",s_RadSpec!$K$7*AJ7*$B$59)</f>
        <v>2.3642532431506849E-6</v>
      </c>
      <c r="AK59" s="49">
        <f t="shared" si="57"/>
        <v>0.27080574966990978</v>
      </c>
      <c r="AL59" s="60">
        <f>IFERROR(AL7/$B59,".")</f>
        <v>2730.00273000273</v>
      </c>
      <c r="AM59" s="60" t="str">
        <f>IFERROR(AM7,".")</f>
        <v>.</v>
      </c>
      <c r="AN59" s="60">
        <f>IFERROR(AN7/$B59,".")</f>
        <v>5721757.8543874314</v>
      </c>
      <c r="AO59" s="60">
        <f>IFERROR(AO7/$B59,".")</f>
        <v>3931.0515157028094</v>
      </c>
      <c r="AP59" s="60">
        <f>IFERROR(AP7/$B59,".")</f>
        <v>1610.6700210619667</v>
      </c>
      <c r="AQ59" s="189">
        <f t="shared" ref="AQ59" si="199">IFERROR(AQ7/$B59,0)</f>
        <v>1.3007347461816963E-11</v>
      </c>
      <c r="AR59" s="49">
        <f>IF(AL59=".",".",s_RadSpec!$I$7*AR7*$B$59)</f>
        <v>9.157499999999999E-3</v>
      </c>
      <c r="AS59" s="49" t="str">
        <f>IF(AM59=".",".",s_RadSpec!$H$7*AS7*$B$59)</f>
        <v>.</v>
      </c>
      <c r="AT59" s="49">
        <f>IF(AN59=".",".",s_RadSpec!$M$7*AT7*$B$59)</f>
        <v>4.3692866136986297E-6</v>
      </c>
      <c r="AU59" s="49">
        <f>s_b2w!AC59</f>
        <v>6.3596215669359905E-3</v>
      </c>
      <c r="AV59" s="49">
        <f t="shared" si="61"/>
        <v>1.5521490853549688E-2</v>
      </c>
      <c r="AW59" s="60">
        <f>IFERROR(AW7/$B59,".")</f>
        <v>496.36413272776906</v>
      </c>
      <c r="AX59" s="189">
        <f t="shared" ref="AX59" si="200">IFERROR(AX7/$B59,0)</f>
        <v>4.0085061853430571E-9</v>
      </c>
      <c r="AY59" s="49">
        <f>IF(AW59=".",".",s_RadSpec!$F$7*AY7*$B$59)</f>
        <v>5.0366250000000001E-2</v>
      </c>
    </row>
    <row r="60" spans="1:51" x14ac:dyDescent="0.25">
      <c r="A60" s="48" t="s">
        <v>1081</v>
      </c>
      <c r="B60" s="15">
        <v>1.9000000000000001E-8</v>
      </c>
      <c r="C60" s="241"/>
      <c r="D60" s="60" t="str">
        <f t="shared" ref="D60:I60" si="201">IFERROR(D12/$B60,".")</f>
        <v>.</v>
      </c>
      <c r="E60" s="60" t="str">
        <f t="shared" si="201"/>
        <v>.</v>
      </c>
      <c r="F60" s="60">
        <f t="shared" si="201"/>
        <v>170087898159.88019</v>
      </c>
      <c r="G60" s="60" t="str">
        <f t="shared" si="201"/>
        <v>.</v>
      </c>
      <c r="H60" s="60" t="str">
        <f t="shared" si="201"/>
        <v>.</v>
      </c>
      <c r="I60" s="60">
        <f t="shared" si="201"/>
        <v>170087898159.88019</v>
      </c>
      <c r="J60" s="189">
        <f>IFERROR(J12/$B60,0)</f>
        <v>1.5212511457719652E-3</v>
      </c>
      <c r="K60" s="49" t="str">
        <f>IF(D60=".",".",s_RadSpec!$E$12*K12*$B$60)</f>
        <v>.</v>
      </c>
      <c r="L60" s="49" t="str">
        <f>IF(E60=".",".",s_RadSpec!$H$12*L12*$B$60)</f>
        <v>.</v>
      </c>
      <c r="M60" s="49">
        <f>IF(F60=".",".",s_RadSpec!$G$12*M12*$B$60)</f>
        <v>1.4698282635311514E-10</v>
      </c>
      <c r="N60" s="49" t="str">
        <f>s_b2s!AC60</f>
        <v>.</v>
      </c>
      <c r="O60" s="49">
        <f t="shared" si="146"/>
        <v>1.4698282635311514E-10</v>
      </c>
      <c r="P60" s="60">
        <f>IFERROR(P12/$B60,".")</f>
        <v>170087898159.88019</v>
      </c>
      <c r="Q60" s="60">
        <f>IFERROR(Q12/$B60,".")</f>
        <v>1348904854466.0298</v>
      </c>
      <c r="R60" s="60">
        <f>IFERROR(R12/$B60,".")</f>
        <v>350594724400.50006</v>
      </c>
      <c r="S60" s="60">
        <f>IFERROR(S12/$B60,".")</f>
        <v>208769303582.15607</v>
      </c>
      <c r="T60" s="60">
        <f>IFERROR(T12/$B60,".")</f>
        <v>1852954768194.2217</v>
      </c>
      <c r="U60" s="189">
        <f t="shared" ref="U60:Y60" si="202">IFERROR(U12/$B60,0)</f>
        <v>1.5212511457719652E-3</v>
      </c>
      <c r="V60" s="189">
        <f t="shared" si="202"/>
        <v>1.2064485936941509E-2</v>
      </c>
      <c r="W60" s="189">
        <f t="shared" si="202"/>
        <v>3.1356882645144609E-3</v>
      </c>
      <c r="X60" s="189">
        <f t="shared" si="202"/>
        <v>1.8672142210719752E-3</v>
      </c>
      <c r="Y60" s="189">
        <f t="shared" si="202"/>
        <v>1.6572663867769389E-2</v>
      </c>
      <c r="Z60" s="49">
        <f>IF(P60=".",".",s_RadSpec!$G$12*Z12*$B$60)</f>
        <v>1.4698282635311514E-10</v>
      </c>
      <c r="AA60" s="49">
        <f>IF(Q60=".",".",s_RadSpec!$N$12*AA12*$B$60)</f>
        <v>1.8533553287489923E-11</v>
      </c>
      <c r="AB60" s="49">
        <f>IF(R60=".",".",s_RadSpec!$O$12*AB12*$B$60)</f>
        <v>7.1307404989475476E-11</v>
      </c>
      <c r="AC60" s="49">
        <f>IF(S60=".",".",s_RadSpec!$P$12*AC12*$B$60)</f>
        <v>1.1974940554496725E-10</v>
      </c>
      <c r="AD60" s="49">
        <f>IF(T60=".",".",s_RadSpec!$L$12*AD12*$B$60)</f>
        <v>1.3491964525590388E-11</v>
      </c>
      <c r="AE60" s="60" t="str">
        <f>IFERROR(AE12/$B60,".")</f>
        <v>.</v>
      </c>
      <c r="AF60" s="60">
        <f>IFERROR(AF12/$B60,".")</f>
        <v>25824821516205.293</v>
      </c>
      <c r="AG60" s="60">
        <f>IFERROR(AG12/$B60,".")</f>
        <v>25824821516205.293</v>
      </c>
      <c r="AH60" s="189">
        <f t="shared" ref="AH60" si="203">IFERROR(AH12/$B60,0)</f>
        <v>2.3097492382412468E-4</v>
      </c>
      <c r="AI60" s="49" t="str">
        <f>IF(AE60=".",".",s_RadSpec!$H$12*AI12*$B$60)</f>
        <v>.</v>
      </c>
      <c r="AJ60" s="49">
        <f>IF(AF60=".",".",s_RadSpec!$K$12*AJ12*$B$60)</f>
        <v>9.6806090157534239E-13</v>
      </c>
      <c r="AK60" s="49">
        <f t="shared" si="57"/>
        <v>9.6806090157534239E-13</v>
      </c>
      <c r="AL60" s="60" t="str">
        <f>IFERROR(AL12/$B60,".")</f>
        <v>.</v>
      </c>
      <c r="AM60" s="60" t="str">
        <f>IFERROR(AM12,".")</f>
        <v>.</v>
      </c>
      <c r="AN60" s="60">
        <f>IFERROR(AN12/$B60,".")</f>
        <v>7541281913345.6621</v>
      </c>
      <c r="AO60" s="60" t="str">
        <f>IFERROR(AO12/$B60,".")</f>
        <v>.</v>
      </c>
      <c r="AP60" s="60">
        <f>IFERROR(AP12/$B60,".")</f>
        <v>7541281913345.6621</v>
      </c>
      <c r="AQ60" s="189">
        <f t="shared" ref="AQ60" si="204">IFERROR(AQ12/$B60,0)</f>
        <v>6.7448559688137248E-5</v>
      </c>
      <c r="AR60" s="49" t="str">
        <f>IF(AL60=".",".",s_RadSpec!$I$12*AR12*$B$60)</f>
        <v>.</v>
      </c>
      <c r="AS60" s="49" t="str">
        <f>IF(AM60=".",".",s_RadSpec!$H$12*AS12*$B$60)</f>
        <v>.</v>
      </c>
      <c r="AT60" s="49">
        <f>IF(AN60=".",".",s_RadSpec!$M$12*AT12*$B$60)</f>
        <v>3.3150862528767125E-12</v>
      </c>
      <c r="AU60" s="49" t="str">
        <f>s_b2w!AC60</f>
        <v>.</v>
      </c>
      <c r="AV60" s="49">
        <f t="shared" si="61"/>
        <v>3.3150862528767125E-12</v>
      </c>
      <c r="AW60" s="60" t="str">
        <f>IFERROR(AW12/$B60,".")</f>
        <v>.</v>
      </c>
      <c r="AX60" s="189">
        <f t="shared" ref="AX60" si="205">IFERROR(AX12/$B60,0)</f>
        <v>0</v>
      </c>
      <c r="AY60" s="49" t="str">
        <f>IF(AW60=".",".",s_RadSpec!$F$12*AY12*$B$60)</f>
        <v>.</v>
      </c>
    </row>
    <row r="61" spans="1:51" x14ac:dyDescent="0.25">
      <c r="A61" s="48" t="s">
        <v>1082</v>
      </c>
      <c r="B61" s="15">
        <v>1</v>
      </c>
      <c r="C61" s="238"/>
      <c r="D61" s="60">
        <f t="shared" ref="D61:I61" si="206">IFERROR(D18/$B61,".")</f>
        <v>255.27298254570982</v>
      </c>
      <c r="E61" s="60">
        <f t="shared" si="206"/>
        <v>892236.02021087182</v>
      </c>
      <c r="F61" s="60">
        <f t="shared" si="206"/>
        <v>17637150.232935164</v>
      </c>
      <c r="G61" s="60">
        <f t="shared" si="206"/>
        <v>7.5479888393172621</v>
      </c>
      <c r="H61" s="60">
        <f t="shared" si="206"/>
        <v>0.12763649127285492</v>
      </c>
      <c r="I61" s="60">
        <f t="shared" si="206"/>
        <v>7.331153904636424</v>
      </c>
      <c r="J61" s="189">
        <f>IFERROR(J18/$B61,0)</f>
        <v>1.634246527650098E-9</v>
      </c>
      <c r="K61" s="49">
        <f>IF(D61=".",".",s_RadSpec!$E$18*K18*$B$61)</f>
        <v>9.7934375000000004E-2</v>
      </c>
      <c r="L61" s="49">
        <f>IF(E61=".",".",s_RadSpec!$H$18*L18*$B$61)</f>
        <v>2.8019491965916681E-5</v>
      </c>
      <c r="M61" s="49">
        <f>IF(F61=".",".",s_RadSpec!$G$18*M18*$B$61)</f>
        <v>1.4174625531802545E-6</v>
      </c>
      <c r="N61" s="49">
        <f>s_b2s!AC61</f>
        <v>3.3121405625000002</v>
      </c>
      <c r="O61" s="49">
        <f t="shared" si="146"/>
        <v>3.4101043744545194</v>
      </c>
      <c r="P61" s="60">
        <f>IFERROR(P18/$B61,".")</f>
        <v>17637150.232935164</v>
      </c>
      <c r="Q61" s="60">
        <f>IFERROR(Q18/$B61,".")</f>
        <v>179853888.19177029</v>
      </c>
      <c r="R61" s="60">
        <f>IFERROR(R18/$B61,".")</f>
        <v>43932867.045393184</v>
      </c>
      <c r="S61" s="60">
        <f>IFERROR(S18/$B61,".")</f>
        <v>23163110.588672746</v>
      </c>
      <c r="T61" s="60">
        <f>IFERROR(T18/$B61,".")</f>
        <v>310492341.61447906</v>
      </c>
      <c r="U61" s="189">
        <f t="shared" ref="U61:Y61" si="207">IFERROR(U18/$B61,0)</f>
        <v>3.9316391254027097E-3</v>
      </c>
      <c r="V61" s="189">
        <f t="shared" si="207"/>
        <v>4.0092677917439833E-2</v>
      </c>
      <c r="W61" s="189">
        <f t="shared" si="207"/>
        <v>9.7934290225772987E-3</v>
      </c>
      <c r="X61" s="189">
        <f t="shared" si="207"/>
        <v>5.1634754284961316E-3</v>
      </c>
      <c r="Y61" s="189">
        <f t="shared" si="207"/>
        <v>6.921434711996749E-2</v>
      </c>
      <c r="Z61" s="49">
        <f>IF(P61=".",".",s_RadSpec!$G$18*Z18*$B$61)</f>
        <v>1.4174625531802545E-6</v>
      </c>
      <c r="AA61" s="49">
        <f>IF(Q61=".",".",s_RadSpec!$N$18*AA18*$B$61)</f>
        <v>1.3900172107118196E-7</v>
      </c>
      <c r="AB61" s="49">
        <f>IF(R61=".",".",s_RadSpec!$O$18*AB18*$B$61)</f>
        <v>5.6905004570197986E-7</v>
      </c>
      <c r="AC61" s="49">
        <f>IF(S61=".",".",s_RadSpec!$P$18*AC18*$B$61)</f>
        <v>1.0793023633114944E-6</v>
      </c>
      <c r="AD61" s="49">
        <f>IF(T61=".",".",s_RadSpec!$L$18*AD18*$B$61)</f>
        <v>8.0517283840260058E-8</v>
      </c>
      <c r="AE61" s="60">
        <f>IFERROR(AE18/$B61,".")</f>
        <v>2.8800028800028801</v>
      </c>
      <c r="AF61" s="60">
        <f>IFERROR(AF18/$B61,".")</f>
        <v>6130638528.026804</v>
      </c>
      <c r="AG61" s="60">
        <f>IFERROR(AG18/$B61,".")</f>
        <v>2.8800028786499352</v>
      </c>
      <c r="AH61" s="189">
        <f t="shared" ref="AH61" si="208">IFERROR(AH18/$B61,0)</f>
        <v>6.4200462373042502E-13</v>
      </c>
      <c r="AI61" s="49">
        <f>IF(AE61=".",".",s_RadSpec!$H$18*AI18*$B$61)</f>
        <v>8.6805468749999992</v>
      </c>
      <c r="AJ61" s="49">
        <f>IF(AF61=".",".",s_RadSpec!$K$18*AJ18*$B$61)</f>
        <v>4.0778786558219176E-9</v>
      </c>
      <c r="AK61" s="49">
        <f t="shared" si="57"/>
        <v>8.6805468790778786</v>
      </c>
      <c r="AL61" s="60">
        <f>IFERROR(AL18/$B61,".")</f>
        <v>2.8080028080028083</v>
      </c>
      <c r="AM61" s="60" t="str">
        <f>IFERROR(AM18,".")</f>
        <v>.</v>
      </c>
      <c r="AN61" s="60">
        <f>IFERROR(AN18/$B61,".")</f>
        <v>1766926259.6968441</v>
      </c>
      <c r="AO61" s="60">
        <f>IFERROR(AO18/$B61,".")</f>
        <v>10.314578800703334</v>
      </c>
      <c r="AP61" s="60">
        <f>IFERROR(AP18/$B61,".")</f>
        <v>2.2071393467537068</v>
      </c>
      <c r="AQ61" s="189">
        <f t="shared" ref="AQ61" si="209">IFERROR(AQ18/$B61,0)</f>
        <v>4.9201119774487041E-13</v>
      </c>
      <c r="AR61" s="49">
        <f>IF(AL61=".",".",s_RadSpec!$I$18*AR18*$B$61)</f>
        <v>8.9031249999999993</v>
      </c>
      <c r="AS61" s="49" t="str">
        <f>IF(AM61=".",".",s_RadSpec!$H$18*AS18*$B$61)</f>
        <v>.</v>
      </c>
      <c r="AT61" s="49">
        <f>IF(AN61=".",".",s_RadSpec!$M$18*AT18*$B$61)</f>
        <v>1.4148864369863012E-8</v>
      </c>
      <c r="AU61" s="49">
        <f>s_b2w!AC61</f>
        <v>2.4237538423086455</v>
      </c>
      <c r="AV61" s="49">
        <f t="shared" si="61"/>
        <v>11.32687885645751</v>
      </c>
      <c r="AW61" s="60">
        <f>IFERROR(AW18/$B61,".")</f>
        <v>0.5105459650914197</v>
      </c>
      <c r="AX61" s="189">
        <f t="shared" ref="AX61" si="210">IFERROR(AX18/$B61,0)</f>
        <v>1.1380991062385825E-10</v>
      </c>
      <c r="AY61" s="49">
        <f>IF(AW61=".",".",s_RadSpec!$F$18*AY18*$B$61)</f>
        <v>48.967187500000001</v>
      </c>
    </row>
    <row r="62" spans="1:51" x14ac:dyDescent="0.25">
      <c r="A62" s="48" t="s">
        <v>1083</v>
      </c>
      <c r="B62" s="15">
        <v>1.339E-6</v>
      </c>
      <c r="C62" s="238"/>
      <c r="D62" s="60" t="str">
        <f t="shared" ref="D62:I62" si="211">IFERROR(D27/$B62,".")</f>
        <v>.</v>
      </c>
      <c r="E62" s="60" t="str">
        <f t="shared" si="211"/>
        <v>.</v>
      </c>
      <c r="F62" s="60">
        <f t="shared" si="211"/>
        <v>95441877379.29071</v>
      </c>
      <c r="G62" s="60" t="str">
        <f t="shared" si="211"/>
        <v>.</v>
      </c>
      <c r="H62" s="60" t="str">
        <f t="shared" si="211"/>
        <v>.</v>
      </c>
      <c r="I62" s="60">
        <f t="shared" si="211"/>
        <v>95441877379.29071</v>
      </c>
      <c r="J62" s="189">
        <f>IFERROR(J27/$B62,0)</f>
        <v>4.3990425126326982E-4</v>
      </c>
      <c r="K62" s="49" t="str">
        <f>IF(D62=".",".",s_RadSpec!$E$27*K27*$B$62)</f>
        <v>.</v>
      </c>
      <c r="L62" s="49" t="str">
        <f>IF(E62=".",".",s_RadSpec!$H$27*L27*$B$62)</f>
        <v>.</v>
      </c>
      <c r="M62" s="49">
        <f>IF(F62=".",".",s_RadSpec!$G$27*M27*$B$62)</f>
        <v>2.6193952472926294E-10</v>
      </c>
      <c r="N62" s="49" t="str">
        <f>s_b2s!AC62</f>
        <v>.</v>
      </c>
      <c r="O62" s="49">
        <f t="shared" si="146"/>
        <v>2.6193952472926294E-10</v>
      </c>
      <c r="P62" s="60">
        <f>IFERROR(P27/$B62,".")</f>
        <v>95441877379.29071</v>
      </c>
      <c r="Q62" s="60">
        <f>IFERROR(Q27/$B62,".")</f>
        <v>476941559511.65546</v>
      </c>
      <c r="R62" s="60">
        <f>IFERROR(R27/$B62,".")</f>
        <v>209743502386.63846</v>
      </c>
      <c r="S62" s="60">
        <f>IFERROR(S27/$B62,".")</f>
        <v>129475932561.97394</v>
      </c>
      <c r="T62" s="60">
        <f>IFERROR(T27/$B62,".")</f>
        <v>158148998432.84109</v>
      </c>
      <c r="U62" s="189">
        <f t="shared" ref="U62:Y62" si="212">IFERROR(U27/$B62,0)</f>
        <v>4.3990425126326982E-4</v>
      </c>
      <c r="V62" s="189">
        <f t="shared" si="212"/>
        <v>2.1982868044340877E-3</v>
      </c>
      <c r="W62" s="189">
        <f t="shared" si="212"/>
        <v>9.6673557675375796E-4</v>
      </c>
      <c r="X62" s="189">
        <f t="shared" si="212"/>
        <v>5.9677171839295239E-4</v>
      </c>
      <c r="Y62" s="189">
        <f t="shared" si="212"/>
        <v>7.2892967588178024E-4</v>
      </c>
      <c r="Z62" s="49">
        <f>IF(P62=".",".",s_RadSpec!$G$27*Z27*$B$62)</f>
        <v>2.6193952472926294E-10</v>
      </c>
      <c r="AA62" s="49">
        <f>IF(Q62=".",".",s_RadSpec!$N$27*AA27*$B$62)</f>
        <v>5.2417323467465727E-11</v>
      </c>
      <c r="AB62" s="49">
        <f>IF(R62=".",".",s_RadSpec!$O$27*AB27*$B$62)</f>
        <v>1.1919320367748659E-10</v>
      </c>
      <c r="AC62" s="49">
        <f>IF(S62=".",".",s_RadSpec!$P$27*AC27*$B$62)</f>
        <v>1.9308607789353974E-10</v>
      </c>
      <c r="AD62" s="49">
        <f>IF(T62=".",".",s_RadSpec!$L$27*AD27*$B$62)</f>
        <v>1.5807877538103031E-10</v>
      </c>
      <c r="AE62" s="60" t="str">
        <f>IFERROR(AE27/$B62,".")</f>
        <v>.</v>
      </c>
      <c r="AF62" s="60">
        <f>IFERROR(AF27/$B62,".")</f>
        <v>5132094414177.8936</v>
      </c>
      <c r="AG62" s="60">
        <f>IFERROR(AG27/$B62,".")</f>
        <v>5132094414177.8936</v>
      </c>
      <c r="AH62" s="189">
        <f t="shared" ref="AH62" si="213">IFERROR(AH27/$B62,0)</f>
        <v>2.365450274735694E-5</v>
      </c>
      <c r="AI62" s="49" t="str">
        <f>IF(AE62=".",".",s_RadSpec!$H$27*AI27*$B$62)</f>
        <v>.</v>
      </c>
      <c r="AJ62" s="49">
        <f>IF(AF62=".",".",s_RadSpec!$K$27*AJ27*$B$62)</f>
        <v>4.8713055494332189E-12</v>
      </c>
      <c r="AK62" s="49">
        <f t="shared" si="57"/>
        <v>4.8713055494332189E-12</v>
      </c>
      <c r="AL62" s="60" t="str">
        <f>IFERROR(AL27/$B62,".")</f>
        <v>.</v>
      </c>
      <c r="AM62" s="60" t="str">
        <f>IFERROR(AM27,".")</f>
        <v>.</v>
      </c>
      <c r="AN62" s="60">
        <f>IFERROR(AN27/$B62,".")</f>
        <v>2680844055827.1372</v>
      </c>
      <c r="AO62" s="60" t="str">
        <f>IFERROR(AO27/$B62,".")</f>
        <v>.</v>
      </c>
      <c r="AP62" s="60">
        <f>IFERROR(AP27/$B62,".")</f>
        <v>2680844055827.1372</v>
      </c>
      <c r="AQ62" s="189">
        <f t="shared" ref="AQ62" si="214">IFERROR(AQ27/$B62,0)</f>
        <v>1.2356365250921979E-5</v>
      </c>
      <c r="AR62" s="49" t="str">
        <f>IF(AL62=".",".",s_RadSpec!$I$27*AR27*$B$62)</f>
        <v>.</v>
      </c>
      <c r="AS62" s="49" t="str">
        <f>IF(AM62=".",".",s_RadSpec!$H$27*AS27*$B$62)</f>
        <v>.</v>
      </c>
      <c r="AT62" s="49">
        <f>IF(AN62=".",".",s_RadSpec!$M$27*AT27*$B$62)</f>
        <v>9.3254212029452056E-12</v>
      </c>
      <c r="AU62" s="49" t="str">
        <f>s_b2w!AC62</f>
        <v>.</v>
      </c>
      <c r="AV62" s="49">
        <f t="shared" si="61"/>
        <v>9.3254212029452056E-12</v>
      </c>
      <c r="AW62" s="60" t="str">
        <f>IFERROR(AW27/$B62,".")</f>
        <v>.</v>
      </c>
      <c r="AX62" s="189">
        <f t="shared" ref="AX62" si="215">IFERROR(AX27/$B62,0)</f>
        <v>0</v>
      </c>
      <c r="AY62" s="49" t="str">
        <f>IF(AW62=".",".",s_RadSpec!$F$27*AY27*$B$62)</f>
        <v>.</v>
      </c>
    </row>
    <row r="63" spans="1:51" x14ac:dyDescent="0.25">
      <c r="A63" s="57" t="s">
        <v>23</v>
      </c>
      <c r="B63" s="57" t="s">
        <v>1185</v>
      </c>
      <c r="C63" s="57"/>
      <c r="D63" s="58">
        <f t="shared" ref="D63:I63" si="216">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161.14858437338413</v>
      </c>
      <c r="E63" s="58">
        <f t="shared" si="216"/>
        <v>383711.10147128574</v>
      </c>
      <c r="F63" s="58">
        <f t="shared" si="216"/>
        <v>75.194792750772081</v>
      </c>
      <c r="G63" s="58">
        <f t="shared" si="216"/>
        <v>4.2270015328903572</v>
      </c>
      <c r="H63" s="58">
        <f t="shared" si="216"/>
        <v>8.057429218669207E-2</v>
      </c>
      <c r="I63" s="59">
        <f t="shared" si="216"/>
        <v>3.9050118456167611</v>
      </c>
      <c r="J63" s="190">
        <f>I63*(0.0000000000028)*s_RadSpec!$AY25*s_RadSpec!$AF25</f>
        <v>2.5427378715973829E-11</v>
      </c>
      <c r="K63" s="47">
        <f>IFERROR(SUM(K64:K76),".")</f>
        <v>0.15513633022102483</v>
      </c>
      <c r="L63" s="47">
        <f>IFERROR(SUM(L64:L76),".")</f>
        <v>6.5153184007814849E-5</v>
      </c>
      <c r="M63" s="47">
        <f>IFERROR(SUM(M64:M76),".")</f>
        <v>0.3324698304955872</v>
      </c>
      <c r="N63" s="47">
        <f>IFERROR(SUM(N64:N76),".")</f>
        <v>5.9143579214425763</v>
      </c>
      <c r="O63" s="47">
        <f>IFERROR(SUM(O64:O76),".")</f>
        <v>6.402029235343198</v>
      </c>
      <c r="P63" s="59">
        <f>IFERROR(1/SUM(IFERROR(1/SUMIF(P64,"&lt;&gt;.",P64),0),IFERROR(1/SUMIF(P65,"&lt;&gt;.",P65),0),IFERROR(1/SUMIF(P66,"&lt;&gt;.",P66),0),IFERROR(1/SUMIF(P67,"&lt;&gt;.",P67),0),IFERROR(1/SUMIF(P68,"&lt;&gt;.",P68),0),IFERROR(1/SUMIF(P69,"&lt;&gt;.",P69),0),IFERROR(1/SUMIF(P70,"&lt;&gt;.",P70),0),IFERROR(1/SUMIF(P71,"&lt;&gt;.",P71),0),IFERROR(1/SUMIF(P72,"&lt;&gt;.",P72),0),IFERROR(1/SUMIF(P73,"&lt;&gt;.",P73),0),IFERROR(1/SUMIF(P74,"&lt;&gt;.",P74),0),IFERROR(1/SUMIF(P75,"&lt;&gt;.",P75),0),IFERROR(1/SUMIF(P76,"&lt;&gt;.",P76),0)),".")</f>
        <v>75.194792750772081</v>
      </c>
      <c r="Q63" s="59">
        <f>IFERROR(1/SUM(IFERROR(1/SUMIF(Q64,"&lt;&gt;.",Q64),0),IFERROR(1/SUMIF(Q65,"&lt;&gt;.",Q65),0),IFERROR(1/SUMIF(Q66,"&lt;&gt;.",Q66),0),IFERROR(1/SUMIF(Q67,"&lt;&gt;.",Q67),0),IFERROR(1/SUMIF(Q68,"&lt;&gt;.",Q68),0),IFERROR(1/SUMIF(Q69,"&lt;&gt;.",Q69),0),IFERROR(1/SUMIF(Q70,"&lt;&gt;.",Q70),0),IFERROR(1/SUMIF(Q71,"&lt;&gt;.",Q71),0),IFERROR(1/SUMIF(Q72,"&lt;&gt;.",Q72),0),IFERROR(1/SUMIF(Q73,"&lt;&gt;.",Q73),0),IFERROR(1/SUMIF(Q74,"&lt;&gt;.",Q74),0),IFERROR(1/SUMIF(Q75,"&lt;&gt;.",Q75),0),IFERROR(1/SUMIF(Q76,"&lt;&gt;.",Q76),0)),".")</f>
        <v>844.20583822046274</v>
      </c>
      <c r="R63" s="59">
        <f>IFERROR(1/SUM(IFERROR(1/SUMIF(R64,"&lt;&gt;.",R64),0),IFERROR(1/SUMIF(R65,"&lt;&gt;.",R65),0),IFERROR(1/SUMIF(R66,"&lt;&gt;.",R66),0),IFERROR(1/SUMIF(R67,"&lt;&gt;.",R67),0),IFERROR(1/SUMIF(R68,"&lt;&gt;.",R68),0),IFERROR(1/SUMIF(R69,"&lt;&gt;.",R69),0),IFERROR(1/SUMIF(R70,"&lt;&gt;.",R70),0),IFERROR(1/SUMIF(R71,"&lt;&gt;.",R71),0),IFERROR(1/SUMIF(R72,"&lt;&gt;.",R72),0),IFERROR(1/SUMIF(R73,"&lt;&gt;.",R73),0),IFERROR(1/SUMIF(R74,"&lt;&gt;.",R74),0),IFERROR(1/SUMIF(R75,"&lt;&gt;.",R75),0),IFERROR(1/SUMIF(R76,"&lt;&gt;.",R76),0)),".")</f>
        <v>206.8861328210794</v>
      </c>
      <c r="S63" s="59">
        <f>IFERROR(1/SUM(IFERROR(1/SUMIF(S64,"&lt;&gt;.",S64),0),IFERROR(1/SUMIF(S65,"&lt;&gt;.",S65),0),IFERROR(1/SUMIF(S66,"&lt;&gt;.",S66),0),IFERROR(1/SUMIF(S67,"&lt;&gt;.",S67),0),IFERROR(1/SUMIF(S68,"&lt;&gt;.",S68),0),IFERROR(1/SUMIF(S69,"&lt;&gt;.",S69),0),IFERROR(1/SUMIF(S70,"&lt;&gt;.",S70),0),IFERROR(1/SUMIF(S71,"&lt;&gt;.",S71),0),IFERROR(1/SUMIF(S72,"&lt;&gt;.",S72),0),IFERROR(1/SUMIF(S73,"&lt;&gt;.",S73),0),IFERROR(1/SUMIF(S74,"&lt;&gt;.",S74),0),IFERROR(1/SUMIF(S75,"&lt;&gt;.",S75),0),IFERROR(1/SUMIF(S76,"&lt;&gt;.",S76),0)),".")</f>
        <v>106.35250653010462</v>
      </c>
      <c r="T63" s="59">
        <f>IFERROR(1/SUM(IFERROR(1/SUMIF(T64,"&lt;&gt;.",T64),0),IFERROR(1/SUMIF(T65,"&lt;&gt;.",T65),0),IFERROR(1/SUMIF(T66,"&lt;&gt;.",T66),0),IFERROR(1/SUMIF(T67,"&lt;&gt;.",T67),0),IFERROR(1/SUMIF(T68,"&lt;&gt;.",T68),0),IFERROR(1/SUMIF(T69,"&lt;&gt;.",T69),0),IFERROR(1/SUMIF(T70,"&lt;&gt;.",T70),0),IFERROR(1/SUMIF(T71,"&lt;&gt;.",T71),0),IFERROR(1/SUMIF(T72,"&lt;&gt;.",T72),0),IFERROR(1/SUMIF(T73,"&lt;&gt;.",T73),0),IFERROR(1/SUMIF(T74,"&lt;&gt;.",T74),0),IFERROR(1/SUMIF(T75,"&lt;&gt;.",T75),0),IFERROR(1/SUMIF(T76,"&lt;&gt;.",T76),0)),".")</f>
        <v>1463.7633643668182</v>
      </c>
      <c r="U63" s="190">
        <f>P63*(0.0000000000028)*s_RadSpec!$AY25*s_RadSpec!$AF25</f>
        <v>4.8962885346665609E-10</v>
      </c>
      <c r="V63" s="190">
        <f>Q63*(0.0000000000028)*s_RadSpec!$AY25*s_RadSpec!$AF25</f>
        <v>5.4970234179347261E-9</v>
      </c>
      <c r="W63" s="190">
        <f>R63*(0.0000000000028)*s_RadSpec!$AY25*s_RadSpec!$AF25</f>
        <v>1.3471334424323596E-9</v>
      </c>
      <c r="X63" s="190">
        <f>S63*(0.0000000000028)*s_RadSpec!$AY25*s_RadSpec!$AF25</f>
        <v>6.9251146164114547E-10</v>
      </c>
      <c r="Y63" s="190">
        <f>T63*(0.0000000000000028)*s_RadSpec!$AY25*s_RadSpec!$AF25</f>
        <v>9.531255444999699E-12</v>
      </c>
      <c r="Z63" s="47">
        <f>IFERROR(SUM(Z64:Z76),".")</f>
        <v>0.3324698304955872</v>
      </c>
      <c r="AA63" s="47">
        <f t="shared" ref="AA63:AD63" si="217">IFERROR(SUM(AA64:AA76),".")</f>
        <v>2.961363078547118E-2</v>
      </c>
      <c r="AB63" s="47">
        <f t="shared" si="217"/>
        <v>0.12083941856857391</v>
      </c>
      <c r="AC63" s="47">
        <f t="shared" si="217"/>
        <v>0.23506733236158747</v>
      </c>
      <c r="AD63" s="47">
        <f t="shared" si="217"/>
        <v>1.7079263362226781E-2</v>
      </c>
      <c r="AE63" s="58">
        <f>IFERROR(1/SUM(IFERROR(1/SUMIF(AE64,"&lt;&gt;.",AE64),0),IFERROR(1/SUMIF(AE65,"&lt;&gt;.",AE65),0),IFERROR(1/SUMIF(AE66,"&lt;&gt;.",AE66),0),IFERROR(1/SUMIF(AE67,"&lt;&gt;.",AE67),0),IFERROR(1/SUMIF(AE68,"&lt;&gt;.",AE68),0),IFERROR(1/SUMIF(AE69,"&lt;&gt;.",AE69),0),IFERROR(1/SUMIF(AE70,"&lt;&gt;.",AE70),0),IFERROR(1/SUMIF(AE71,"&lt;&gt;.",AE71),0),IFERROR(1/SUMIF(AE72,"&lt;&gt;.",AE72),0),IFERROR(1/SUMIF(AE73,"&lt;&gt;.",AE73),0),IFERROR(1/SUMIF(AE74,"&lt;&gt;.",AE74),0),IFERROR(1/SUMIF(AE75,"&lt;&gt;.",AE75),0),IFERROR(1/SUMIF(AE76,"&lt;&gt;.",AE76),0)),".")</f>
        <v>1.2385613809507516</v>
      </c>
      <c r="AF63" s="58">
        <f>IFERROR(1/SUM(IFERROR(1/SUMIF(AF64,"&lt;&gt;.",AF64),0),IFERROR(1/SUMIF(AF65,"&lt;&gt;.",AF65),0),IFERROR(1/SUMIF(AF66,"&lt;&gt;.",AF66),0),IFERROR(1/SUMIF(AF67,"&lt;&gt;.",AF67),0),IFERROR(1/SUMIF(AF68,"&lt;&gt;.",AF68),0),IFERROR(1/SUMIF(AF69,"&lt;&gt;.",AF69),0),IFERROR(1/SUMIF(AF70,"&lt;&gt;.",AF70),0),IFERROR(1/SUMIF(AF71,"&lt;&gt;.",AF71),0),IFERROR(1/SUMIF(AF72,"&lt;&gt;.",AF72),0),IFERROR(1/SUMIF(AF73,"&lt;&gt;.",AF73),0),IFERROR(1/SUMIF(AF74,"&lt;&gt;.",AF74),0),IFERROR(1/SUMIF(AF75,"&lt;&gt;.",AF75),0),IFERROR(1/SUMIF(AF76,"&lt;&gt;.",AF76),0)),".")</f>
        <v>33047.40933280818</v>
      </c>
      <c r="AG63" s="59">
        <f>IFERROR(1/SUM(IFERROR(1/SUMIF(AG64,"&lt;&gt;.",AG64),0),IFERROR(1/SUMIF(AG65,"&lt;&gt;.",AG65),0),IFERROR(1/SUMIF(AG66,"&lt;&gt;.",AG66),0),IFERROR(1/SUMIF(AG67,"&lt;&gt;.",AG67),0),IFERROR(1/SUMIF(AG68,"&lt;&gt;.",AG68),0),IFERROR(1/SUMIF(AG69,"&lt;&gt;.",AG69),0),IFERROR(1/SUMIF(AG70,"&lt;&gt;.",AG70),0),IFERROR(1/SUMIF(AG71,"&lt;&gt;.",AG71),0),IFERROR(1/SUMIF(AG72,"&lt;&gt;.",AG72),0),IFERROR(1/SUMIF(AG73,"&lt;&gt;.",AG73),0),IFERROR(1/SUMIF(AG74,"&lt;&gt;.",AG74),0),IFERROR(1/SUMIF(AG75,"&lt;&gt;.",AG75),0),IFERROR(1/SUMIF(AG76,"&lt;&gt;.",AG76),0)),".")</f>
        <v>1.23851496349067</v>
      </c>
      <c r="AH63" s="190">
        <f>AG63*(0.0000000000000028)*s_RadSpec!$AY25*s_RadSpec!$AF25</f>
        <v>8.0645565921718391E-15</v>
      </c>
      <c r="AI63" s="47">
        <f t="shared" ref="AI63" si="218">IFERROR(SUM(AI64:AI76),".")</f>
        <v>20.184708149715885</v>
      </c>
      <c r="AJ63" s="47">
        <f t="shared" ref="AJ63" si="219">IFERROR(SUM(AJ64:AJ76),".")</f>
        <v>7.564889504116432E-4</v>
      </c>
      <c r="AK63" s="47">
        <f t="shared" ref="AK63" si="220">IFERROR(SUM(AK64:AK76),".")</f>
        <v>20.185464638666293</v>
      </c>
      <c r="AL63" s="58">
        <f>IFERROR(1/SUM(IFERROR(1/SUMIF(AL64,"&lt;&gt;.",AL64),0),IFERROR(1/SUMIF(AL65,"&lt;&gt;.",AL65),0),IFERROR(1/SUMIF(AL66,"&lt;&gt;.",AL66),0),IFERROR(1/SUMIF(AL67,"&lt;&gt;.",AL67),0),IFERROR(1/SUMIF(AL68,"&lt;&gt;.",AL68),0),IFERROR(1/SUMIF(AL69,"&lt;&gt;.",AL69),0),IFERROR(1/SUMIF(AL70,"&lt;&gt;.",AL70),0),IFERROR(1/SUMIF(AL71,"&lt;&gt;.",AL71),0),IFERROR(1/SUMIF(AL72,"&lt;&gt;.",AL72),0),IFERROR(1/SUMIF(AL73,"&lt;&gt;.",AL73),0),IFERROR(1/SUMIF(AL74,"&lt;&gt;.",AL74),0),IFERROR(1/SUMIF(AL75,"&lt;&gt;.",AL75),0),IFERROR(1/SUMIF(AL76,"&lt;&gt;.",AL76),0)),".")</f>
        <v>1.7726344281072255</v>
      </c>
      <c r="AM63" s="58">
        <f>IFERROR(1/SUM(IFERROR(1/SUMIF(AM64,"&lt;&gt;.",AM64),0),IFERROR(1/SUMIF(AM65,"&lt;&gt;.",AM65),0),IFERROR(1/SUMIF(AM66,"&lt;&gt;.",AM66),0),IFERROR(1/SUMIF(AM67,"&lt;&gt;.",AM67),0),IFERROR(1/SUMIF(AM68,"&lt;&gt;.",AM68),0),IFERROR(1/SUMIF(AM69,"&lt;&gt;.",AM69),0),IFERROR(1/SUMIF(AM70,"&lt;&gt;.",AM70),0),IFERROR(1/SUMIF(AM71,"&lt;&gt;.",AM71),0),IFERROR(1/SUMIF(AM72,"&lt;&gt;.",AM72),0),IFERROR(1/SUMIF(AM73,"&lt;&gt;.",AM73),0),IFERROR(1/SUMIF(AM74,"&lt;&gt;.",AM74),0),IFERROR(1/SUMIF(AM75,"&lt;&gt;.",AM75),0),IFERROR(1/SUMIF(AM76,"&lt;&gt;.",AM76),0)),".")</f>
        <v>4532.6449260822128</v>
      </c>
      <c r="AN63" s="58">
        <f>IFERROR(1/SUM(IFERROR(1/SUMIF(AN64,"&lt;&gt;.",AN64),0),IFERROR(1/SUMIF(AN65,"&lt;&gt;.",AN65),0),IFERROR(1/SUMIF(AN66,"&lt;&gt;.",AN66),0),IFERROR(1/SUMIF(AN67,"&lt;&gt;.",AN67),0),IFERROR(1/SUMIF(AN68,"&lt;&gt;.",AN68),0),IFERROR(1/SUMIF(AN69,"&lt;&gt;.",AN69),0),IFERROR(1/SUMIF(AN70,"&lt;&gt;.",AN70),0),IFERROR(1/SUMIF(AN71,"&lt;&gt;.",AN71),0),IFERROR(1/SUMIF(AN72,"&lt;&gt;.",AN72),0),IFERROR(1/SUMIF(AN73,"&lt;&gt;.",AN73),0),IFERROR(1/SUMIF(AN74,"&lt;&gt;.",AN74),0),IFERROR(1/SUMIF(AN75,"&lt;&gt;.",AN75),0),IFERROR(1/SUMIF(AN76,"&lt;&gt;.",AN76),0)),".")</f>
        <v>9546.471811744721</v>
      </c>
      <c r="AO63" s="58">
        <f>IFERROR(1/SUM(IFERROR(1/SUMIF(AO64,"&lt;&gt;.",AO64),0),IFERROR(1/SUMIF(AO65,"&lt;&gt;.",AO65),0),IFERROR(1/SUMIF(AO66,"&lt;&gt;.",AO66),0),IFERROR(1/SUMIF(AO67,"&lt;&gt;.",AO67),0),IFERROR(1/SUMIF(AO68,"&lt;&gt;.",AO68),0),IFERROR(1/SUMIF(AO69,"&lt;&gt;.",AO69),0),IFERROR(1/SUMIF(AO70,"&lt;&gt;.",AO70),0),IFERROR(1/SUMIF(AO71,"&lt;&gt;.",AO71),0),IFERROR(1/SUMIF(AO72,"&lt;&gt;.",AO72),0),IFERROR(1/SUMIF(AO73,"&lt;&gt;.",AO73),0),IFERROR(1/SUMIF(AO74,"&lt;&gt;.",AO74),0),IFERROR(1/SUMIF(AO75,"&lt;&gt;.",AO75),0),IFERROR(1/SUMIF(AO76,"&lt;&gt;.",AO76),0)),".")</f>
        <v>6.2939110431943615</v>
      </c>
      <c r="AP63" s="59">
        <f>IFERROR(1/SUM(IFERROR(1/SUMIF(AP64,"&lt;&gt;.",AP64),0),IFERROR(1/SUMIF(AP65,"&lt;&gt;.",AP65),0),IFERROR(1/SUMIF(AP66,"&lt;&gt;.",AP66),0),IFERROR(1/SUMIF(AP67,"&lt;&gt;.",AP67),0),IFERROR(1/SUMIF(AP68,"&lt;&gt;.",AP68),0),IFERROR(1/SUMIF(AP69,"&lt;&gt;.",AP69),0),IFERROR(1/SUMIF(AP70,"&lt;&gt;.",AP70),0),IFERROR(1/SUMIF(AP71,"&lt;&gt;.",AP71),0),IFERROR(1/SUMIF(AP72,"&lt;&gt;.",AP72),0),IFERROR(1/SUMIF(AP73,"&lt;&gt;.",AP73),0),IFERROR(1/SUMIF(AP74,"&lt;&gt;.",AP74),0),IFERROR(1/SUMIF(AP75,"&lt;&gt;.",AP75),0),IFERROR(1/SUMIF(AP76,"&lt;&gt;.",AP76),0)),".")</f>
        <v>1.3824734703202879</v>
      </c>
      <c r="AQ63" s="190">
        <f>AP63*(0.0000000000000028)*s_RadSpec!$AY25*s_RadSpec!$AF25</f>
        <v>9.0019385047649005E-15</v>
      </c>
      <c r="AR63" s="47">
        <f t="shared" ref="AR63" si="221">IFERROR(SUM(AR64:AR76),".")</f>
        <v>14.103302747365891</v>
      </c>
      <c r="AS63" s="47">
        <f t="shared" ref="AS63" si="222">IFERROR(SUM(AS64:AS76),".")</f>
        <v>5.5151402696772597E-3</v>
      </c>
      <c r="AT63" s="47">
        <f t="shared" ref="AT63" si="223">IFERROR(SUM(AT64:AT76),".")</f>
        <v>2.6187685349097554E-3</v>
      </c>
      <c r="AU63" s="47">
        <f t="shared" ref="AU63" si="224">IFERROR(SUM(AU64:AU76),".")</f>
        <v>3.9720930004297776</v>
      </c>
      <c r="AV63" s="47">
        <f t="shared" ref="AV63" si="225">IFERROR(SUM(AV64:AV76),".")</f>
        <v>18.083529656600259</v>
      </c>
      <c r="AW63" s="59">
        <f>IFERROR(1/SUM(IFERROR(1/SUMIF(AW64,"&lt;&gt;.",AW64),0),IFERROR(1/SUMIF(AW65,"&lt;&gt;.",AW65),0),IFERROR(1/SUMIF(AW66,"&lt;&gt;.",AW66),0),IFERROR(1/SUMIF(AW67,"&lt;&gt;.",AW67),0),IFERROR(1/SUMIF(AW68,"&lt;&gt;.",AW68),0),IFERROR(1/SUMIF(AW69,"&lt;&gt;.",AW69),0),IFERROR(1/SUMIF(AW70,"&lt;&gt;.",AW70),0),IFERROR(1/SUMIF(AW71,"&lt;&gt;.",AW71),0),IFERROR(1/SUMIF(AW72,"&lt;&gt;.",AW72),0),IFERROR(1/SUMIF(AW73,"&lt;&gt;.",AW73),0),IFERROR(1/SUMIF(AW74,"&lt;&gt;.",AW74),0),IFERROR(1/SUMIF(AW75,"&lt;&gt;.",AW75),0),IFERROR(1/SUMIF(AW76,"&lt;&gt;.",AW76),0)),".")</f>
        <v>0.32229716874676823</v>
      </c>
      <c r="AX63" s="190">
        <f>AW63*(0.0000000000028)*s_RadSpec!$AY25*s_RadSpec!$AF25</f>
        <v>2.0986292725357529E-12</v>
      </c>
      <c r="AY63" s="47">
        <f t="shared" ref="AY63" si="226">IFERROR(SUM(AY64:AY76),".")</f>
        <v>77.56816511051241</v>
      </c>
    </row>
    <row r="64" spans="1:51" x14ac:dyDescent="0.25">
      <c r="A64" s="48" t="s">
        <v>1073</v>
      </c>
      <c r="B64" s="45">
        <v>1</v>
      </c>
      <c r="C64" s="170"/>
      <c r="D64" s="60" t="str">
        <f t="shared" ref="D64:I64" si="227">IFERROR(D25/$B50,".")</f>
        <v>.</v>
      </c>
      <c r="E64" s="60">
        <f t="shared" si="227"/>
        <v>2358772355.1101465</v>
      </c>
      <c r="F64" s="60">
        <f t="shared" si="227"/>
        <v>667494.71672216873</v>
      </c>
      <c r="G64" s="60" t="str">
        <f t="shared" si="227"/>
        <v>.</v>
      </c>
      <c r="H64" s="60" t="str">
        <f t="shared" si="227"/>
        <v>.</v>
      </c>
      <c r="I64" s="60">
        <f t="shared" si="227"/>
        <v>667305.87986884324</v>
      </c>
      <c r="J64" s="189">
        <f>IFERROR(J25/$B50,0)</f>
        <v>4.3451441372366183E-6</v>
      </c>
      <c r="K64" s="49" t="str">
        <f>IF(D64=".",".",s_RadSpec!$E$25*K25*$B$64)</f>
        <v>.</v>
      </c>
      <c r="L64" s="49">
        <f>IF(E64=".",".",s_RadSpec!$H$25*L25*$B$64)</f>
        <v>1.0598733678491237E-8</v>
      </c>
      <c r="M64" s="49">
        <f>IF(F64=".",".",s_RadSpec!$G$25*M25*$B$64)</f>
        <v>3.7453479965753423E-5</v>
      </c>
      <c r="N64" s="49" t="str">
        <f>s_b2s!AC64</f>
        <v>.</v>
      </c>
      <c r="O64" s="49">
        <f t="shared" ref="O64:O76" si="228">IFERROR(SUM(K64:N64),".")</f>
        <v>3.7464078699431912E-5</v>
      </c>
      <c r="P64" s="60">
        <f>IFERROR(P25/$B50,".")</f>
        <v>667494.71672216873</v>
      </c>
      <c r="Q64" s="60">
        <f>IFERROR(Q25/$B50,".")</f>
        <v>5774121.8536407091</v>
      </c>
      <c r="R64" s="60">
        <f>IFERROR(R25/$B50,".")</f>
        <v>1452402.529998299</v>
      </c>
      <c r="S64" s="60">
        <f>IFERROR(S25/$B50,".")</f>
        <v>839282.05673987919</v>
      </c>
      <c r="T64" s="60">
        <f>IFERROR(T25/$B50,".")</f>
        <v>10494724.878274495</v>
      </c>
      <c r="U64" s="189">
        <f t="shared" ref="U64:Y64" si="229">IFERROR(U25/$B50,0)</f>
        <v>4.3463737432851712E-6</v>
      </c>
      <c r="V64" s="189">
        <f t="shared" si="229"/>
        <v>3.7598037836813308E-5</v>
      </c>
      <c r="W64" s="189">
        <f t="shared" si="229"/>
        <v>9.4572796801522652E-6</v>
      </c>
      <c r="X64" s="189">
        <f t="shared" si="229"/>
        <v>5.464962348373049E-6</v>
      </c>
      <c r="Y64" s="189">
        <f t="shared" si="229"/>
        <v>6.833611639344232E-5</v>
      </c>
      <c r="Z64" s="49">
        <f>IF(P64=".",".",s_RadSpec!$G$25*Z25*$B$64)</f>
        <v>3.7453479965753423E-5</v>
      </c>
      <c r="AA64" s="49">
        <f>IF(Q64=".",".",s_RadSpec!$N$25*AA25*$B$64)</f>
        <v>4.3296626974086035E-6</v>
      </c>
      <c r="AB64" s="49">
        <f>IF(R64=".",".",s_RadSpec!$O$25*AB25*$B$64)</f>
        <v>1.7212859027468977E-5</v>
      </c>
      <c r="AC64" s="49">
        <f>IF(S64=".",".",s_RadSpec!$P$25*AC25*$B$64)</f>
        <v>2.978736385370897E-5</v>
      </c>
      <c r="AD64" s="49">
        <f>IF(T64=".",".",s_RadSpec!$L$25*AD25*$B$64)</f>
        <v>2.3821491549295774E-6</v>
      </c>
      <c r="AE64" s="60">
        <f>IFERROR(AE25/$B50,".")</f>
        <v>7613.7602855160121</v>
      </c>
      <c r="AF64" s="60">
        <f>IFERROR(AF25/$B50,".")</f>
        <v>157695615.31629637</v>
      </c>
      <c r="AG64" s="60">
        <f>IFERROR(AG25/$B50,".")</f>
        <v>7613.3927004892203</v>
      </c>
      <c r="AH64" s="189">
        <f t="shared" ref="AH64" si="230">IFERROR(AH25/$B50,0)</f>
        <v>4.9574400068995074E-11</v>
      </c>
      <c r="AI64" s="49">
        <f>IF(AE64=".",".",s_RadSpec!$H$25*AI25*$B$64)</f>
        <v>3.283528645833333E-3</v>
      </c>
      <c r="AJ64" s="49">
        <f>IF(AF64=".",".",s_RadSpec!$K$25*AJ25*$B$64)</f>
        <v>1.5853326010273972E-7</v>
      </c>
      <c r="AK64" s="49">
        <f t="shared" si="57"/>
        <v>3.2836871790934358E-3</v>
      </c>
      <c r="AL64" s="60" t="str">
        <f>IFERROR(AL25/$B50,".")</f>
        <v>.</v>
      </c>
      <c r="AM64" s="60">
        <f>IFERROR(AM25,".")</f>
        <v>15227.520571032024</v>
      </c>
      <c r="AN64" s="60">
        <f>IFERROR(AN25/$B50,".")</f>
        <v>45347974.484240822</v>
      </c>
      <c r="AO64" s="60" t="str">
        <f>IFERROR(AO25/$B50,".")</f>
        <v>.</v>
      </c>
      <c r="AP64" s="60">
        <f>IFERROR(AP25/$B50,".")</f>
        <v>15222.408996617225</v>
      </c>
      <c r="AQ64" s="189">
        <f t="shared" ref="AQ64" si="231">IFERROR(AQ25/$B50,0)</f>
        <v>9.912030329969457E-11</v>
      </c>
      <c r="AR64" s="49" t="str">
        <f>IF(AL64=".",".",s_RadSpec!$I$25*AR25*$B$64)</f>
        <v>.</v>
      </c>
      <c r="AS64" s="49">
        <f>IF(AM64=".",".",s_RadSpec!$H$25*AS25*$B$64)</f>
        <v>1.6417643229166665E-3</v>
      </c>
      <c r="AT64" s="49">
        <f>IF(AN64=".",".",s_RadSpec!$M$25*AT25*$B$64)</f>
        <v>5.5129253917808207E-7</v>
      </c>
      <c r="AU64" s="49" t="str">
        <f>s_b2w!AC64</f>
        <v>.</v>
      </c>
      <c r="AV64" s="49">
        <f t="shared" si="61"/>
        <v>1.6423156154558446E-3</v>
      </c>
      <c r="AW64" s="60" t="str">
        <f>IFERROR(AW25/$B50,".")</f>
        <v>.</v>
      </c>
      <c r="AX64" s="189">
        <f t="shared" ref="AX64" si="232">IFERROR(AX25/$B50,0)</f>
        <v>0</v>
      </c>
      <c r="AY64" s="49" t="str">
        <f>IF(AW64=".",".",s_RadSpec!$F$25*AY25*$B$64)</f>
        <v>.</v>
      </c>
    </row>
    <row r="65" spans="1:51" x14ac:dyDescent="0.25">
      <c r="A65" s="48" t="s">
        <v>1059</v>
      </c>
      <c r="B65" s="45">
        <v>1</v>
      </c>
      <c r="C65" s="170"/>
      <c r="D65" s="60" t="str">
        <f t="shared" ref="D65:I65" si="233">IFERROR(D21/$B51,".")</f>
        <v>.</v>
      </c>
      <c r="E65" s="60">
        <f t="shared" si="233"/>
        <v>2027553664.8256507</v>
      </c>
      <c r="F65" s="60" t="str">
        <f t="shared" si="233"/>
        <v>.</v>
      </c>
      <c r="G65" s="60" t="str">
        <f t="shared" si="233"/>
        <v>.</v>
      </c>
      <c r="H65" s="60" t="str">
        <f t="shared" si="233"/>
        <v>.</v>
      </c>
      <c r="I65" s="60">
        <f t="shared" si="233"/>
        <v>2027553664.8256507</v>
      </c>
      <c r="J65" s="189">
        <f>IFERROR(J21/$B51,0)</f>
        <v>7.2995018012360878E-6</v>
      </c>
      <c r="K65" s="49" t="str">
        <f>IF(D65=".",".",s_RadSpec!$E$21*K21*$B$65)</f>
        <v>.</v>
      </c>
      <c r="L65" s="49">
        <f>IF(E65=".",".",s_RadSpec!$H$21*L21*$B$65)</f>
        <v>1.2330129867191332E-8</v>
      </c>
      <c r="M65" s="49" t="str">
        <f>IF(F65=".",".",s_RadSpec!$G$21*M21*$B$65)</f>
        <v>.</v>
      </c>
      <c r="N65" s="49" t="str">
        <f>s_b2s!AC65</f>
        <v>.</v>
      </c>
      <c r="O65" s="49">
        <f t="shared" si="228"/>
        <v>1.2330129867191332E-8</v>
      </c>
      <c r="P65" s="60" t="str">
        <f>IFERROR(P21/$B51,".")</f>
        <v>.</v>
      </c>
      <c r="Q65" s="60" t="str">
        <f>IFERROR(Q21/$B51,".")</f>
        <v>.</v>
      </c>
      <c r="R65" s="60" t="str">
        <f>IFERROR(R21/$B51,".")</f>
        <v>.</v>
      </c>
      <c r="S65" s="60" t="str">
        <f>IFERROR(S21/$B51,".")</f>
        <v>.</v>
      </c>
      <c r="T65" s="60" t="str">
        <f>IFERROR(T21/$B51,".")</f>
        <v>.</v>
      </c>
      <c r="U65" s="189">
        <f t="shared" ref="U65:Y65" si="234">IFERROR(U21/$B51,0)</f>
        <v>0</v>
      </c>
      <c r="V65" s="189">
        <f t="shared" si="234"/>
        <v>0</v>
      </c>
      <c r="W65" s="189">
        <f t="shared" si="234"/>
        <v>0</v>
      </c>
      <c r="X65" s="189">
        <f t="shared" si="234"/>
        <v>0</v>
      </c>
      <c r="Y65" s="189">
        <f t="shared" si="234"/>
        <v>0</v>
      </c>
      <c r="Z65" s="49" t="str">
        <f>IF(P65=".",".",s_RadSpec!$G$21*Z21*$B$65)</f>
        <v>.</v>
      </c>
      <c r="AA65" s="49" t="str">
        <f>IF(Q65=".",".",s_RadSpec!$N$21*AA21*$B$65)</f>
        <v>.</v>
      </c>
      <c r="AB65" s="49" t="str">
        <f>IF(R65=".",".",s_RadSpec!$O$21*AB21*$B$65)</f>
        <v>.</v>
      </c>
      <c r="AC65" s="49" t="str">
        <f>IF(S65=".",".",s_RadSpec!$P$21*AC21*$B$65)</f>
        <v>.</v>
      </c>
      <c r="AD65" s="49" t="str">
        <f>IF(T65=".",".",s_RadSpec!$L$21*AD21*$B$65)</f>
        <v>.</v>
      </c>
      <c r="AE65" s="60">
        <f>IFERROR(AE21/$B51,".")</f>
        <v>6544.6364658963093</v>
      </c>
      <c r="AF65" s="60">
        <f>IFERROR(AF21/$B51,".")</f>
        <v>1041272574416.7661</v>
      </c>
      <c r="AG65" s="60">
        <f>IFERROR(AG21/$B51,".")</f>
        <v>6544.6364247617721</v>
      </c>
      <c r="AH65" s="189">
        <f t="shared" ref="AH65" si="235">IFERROR(AH21/$B51,0)</f>
        <v>2.3561687268628635E-14</v>
      </c>
      <c r="AI65" s="49">
        <f>IF(AE65=".",".",s_RadSpec!$H$21*AI21*$B$65)</f>
        <v>3.8199218749999995E-3</v>
      </c>
      <c r="AJ65" s="49">
        <f>IF(AF65=".",".",s_RadSpec!$K$21*AJ21*$B$65)</f>
        <v>2.4009083321917808E-11</v>
      </c>
      <c r="AK65" s="49">
        <f t="shared" si="57"/>
        <v>3.8199218990090829E-3</v>
      </c>
      <c r="AL65" s="60" t="str">
        <f>IFERROR(AL21/$B51,".")</f>
        <v>.</v>
      </c>
      <c r="AM65" s="60">
        <f>IFERROR(AM21,".")</f>
        <v>17967.595465634375</v>
      </c>
      <c r="AN65" s="60">
        <f>IFERROR(AN21/$B51,".")</f>
        <v>596183161051.55762</v>
      </c>
      <c r="AO65" s="60" t="str">
        <f>IFERROR(AO21/$B51,".")</f>
        <v>.</v>
      </c>
      <c r="AP65" s="60">
        <f>IFERROR(AP21/$B51,".")</f>
        <v>17967.594924132201</v>
      </c>
      <c r="AQ65" s="189">
        <f t="shared" ref="AQ65" si="236">IFERROR(AQ21/$B51,0)</f>
        <v>6.4686076520623862E-14</v>
      </c>
      <c r="AR65" s="49" t="str">
        <f>IF(AL65=".",".",s_RadSpec!$I$21*AR21*$B$65)</f>
        <v>.</v>
      </c>
      <c r="AS65" s="49">
        <f>IF(AM65=".",".",s_RadSpec!$H$21*AS21*$B$65)</f>
        <v>1.3913937481404295E-3</v>
      </c>
      <c r="AT65" s="49">
        <f>IF(AN65=".",".",s_RadSpec!$M$21*AT21*$B$65)</f>
        <v>4.1933421863013697E-11</v>
      </c>
      <c r="AU65" s="49" t="str">
        <f>s_b2w!AC65</f>
        <v>.</v>
      </c>
      <c r="AV65" s="49">
        <f t="shared" si="61"/>
        <v>1.3913937900738513E-3</v>
      </c>
      <c r="AW65" s="60" t="str">
        <f>IFERROR(AW21/$B51,".")</f>
        <v>.</v>
      </c>
      <c r="AX65" s="189">
        <f t="shared" ref="AX65" si="237">IFERROR(AX21/$B51,0)</f>
        <v>0</v>
      </c>
      <c r="AY65" s="49" t="str">
        <f>IF(AW65=".",".",s_RadSpec!$F$21*AY21*$B$65)</f>
        <v>.</v>
      </c>
    </row>
    <row r="66" spans="1:51" x14ac:dyDescent="0.25">
      <c r="A66" s="48" t="s">
        <v>1060</v>
      </c>
      <c r="B66" s="52">
        <v>0.99980000000000002</v>
      </c>
      <c r="C66" s="173"/>
      <c r="D66" s="60">
        <f t="shared" ref="D66:I66" si="238">IFERROR(D17/$B52,".")</f>
        <v>2245311.9742289768</v>
      </c>
      <c r="E66" s="60">
        <f t="shared" si="238"/>
        <v>331610505.06177324</v>
      </c>
      <c r="F66" s="60">
        <f t="shared" si="238"/>
        <v>1554.2541628628449</v>
      </c>
      <c r="G66" s="60">
        <f t="shared" si="238"/>
        <v>49735.562614441842</v>
      </c>
      <c r="H66" s="60">
        <f t="shared" si="238"/>
        <v>1122.6559871144887</v>
      </c>
      <c r="I66" s="60">
        <f t="shared" si="238"/>
        <v>1506.1371951116457</v>
      </c>
      <c r="J66" s="189">
        <f>IFERROR(J17/$B52,0)</f>
        <v>4.6016732336248183E-11</v>
      </c>
      <c r="K66" s="49">
        <f>IF(D66=".",".",s_RadSpec!$E$17*K17*$B$66)</f>
        <v>1.1134310192500001E-5</v>
      </c>
      <c r="L66" s="49">
        <f>IF(E66=".",".",s_RadSpec!$H$17*L17*$B$66)</f>
        <v>7.5389650262566122E-8</v>
      </c>
      <c r="M66" s="49">
        <f>IF(F66=".",".",s_RadSpec!$G$17*M17*$B$66)</f>
        <v>1.6084885340729257E-2</v>
      </c>
      <c r="N66" s="49">
        <f>s_b2s!AC66</f>
        <v>5.0265843364041254E-4</v>
      </c>
      <c r="O66" s="49">
        <f t="shared" si="228"/>
        <v>1.6598753474212431E-2</v>
      </c>
      <c r="P66" s="60">
        <f>IFERROR(P17/$B52,".")</f>
        <v>1554.2541628628449</v>
      </c>
      <c r="Q66" s="60">
        <f>IFERROR(Q17/$B52,".")</f>
        <v>12187.510429844491</v>
      </c>
      <c r="R66" s="60">
        <f>IFERROR(R17/$B52,".")</f>
        <v>3256.1156680398876</v>
      </c>
      <c r="S66" s="60">
        <f>IFERROR(S17/$B52,".")</f>
        <v>1947.1722505923037</v>
      </c>
      <c r="T66" s="60">
        <f>IFERROR(T17/$B52,".")</f>
        <v>23035.025688233894</v>
      </c>
      <c r="U66" s="189">
        <f t="shared" ref="U66:Y66" si="239">IFERROR(U17/$B52,0)</f>
        <v>4.7486841190225912E-11</v>
      </c>
      <c r="V66" s="189">
        <f t="shared" si="239"/>
        <v>3.7236276158349194E-10</v>
      </c>
      <c r="W66" s="189">
        <f t="shared" si="239"/>
        <v>9.9483502325263645E-11</v>
      </c>
      <c r="X66" s="189">
        <f t="shared" si="239"/>
        <v>5.9491595160714436E-11</v>
      </c>
      <c r="Y66" s="189">
        <f t="shared" si="239"/>
        <v>7.037848974810595E-10</v>
      </c>
      <c r="Z66" s="49">
        <f>IF(P66=".",".",s_RadSpec!$G$17*Z17*$B$66)</f>
        <v>1.6084885340729257E-2</v>
      </c>
      <c r="AA66" s="49">
        <f>IF(Q66=".",".",s_RadSpec!$N$17*AA17*$B$66)</f>
        <v>2.0512802958330672E-3</v>
      </c>
      <c r="AB66" s="49">
        <f>IF(R66=".",".",s_RadSpec!$O$17*AB17*$B$66)</f>
        <v>7.6778599253660628E-3</v>
      </c>
      <c r="AC66" s="49">
        <f>IF(S66=".",".",s_RadSpec!$P$17*AC17*$B$66)</f>
        <v>1.2839131202899663E-2</v>
      </c>
      <c r="AD66" s="49">
        <f>IF(T66=".",".",s_RadSpec!$L$17*AD17*$B$66)</f>
        <v>1.0853037603847692E-3</v>
      </c>
      <c r="AE66" s="60">
        <f>IFERROR(AE17/$B52,".")</f>
        <v>1070.3885384400887</v>
      </c>
      <c r="AF66" s="60">
        <f>IFERROR(AF17/$B52,".")</f>
        <v>245827.01630163216</v>
      </c>
      <c r="AG66" s="60">
        <f>IFERROR(AG17/$B52,".")</f>
        <v>1065.7480213639128</v>
      </c>
      <c r="AH66" s="189">
        <f t="shared" ref="AH66" si="240">IFERROR(AH17/$B52,0)</f>
        <v>3.2561603017415629E-14</v>
      </c>
      <c r="AI66" s="49">
        <f>IF(AE66=".",".",s_RadSpec!$H$17*AI17*$B$66)</f>
        <v>2.3356004947916665E-2</v>
      </c>
      <c r="AJ66" s="49">
        <f>IF(AF66=".",".",s_RadSpec!$K$17*AJ17*$B$66)</f>
        <v>1.0169752851462329E-4</v>
      </c>
      <c r="AK66" s="49">
        <f t="shared" si="57"/>
        <v>2.3457702476431287E-2</v>
      </c>
      <c r="AL66" s="60">
        <f>IFERROR(AL17/$B52,".")</f>
        <v>24698.431716518749</v>
      </c>
      <c r="AM66" s="60">
        <f>IFERROR(AM17,".")</f>
        <v>12404.49794598369</v>
      </c>
      <c r="AN66" s="60">
        <f>IFERROR(AN17/$B52,".")</f>
        <v>70764.519734131667</v>
      </c>
      <c r="AO66" s="60">
        <f>IFERROR(AO17/$B52,".")</f>
        <v>83162.65780339425</v>
      </c>
      <c r="AP66" s="60">
        <f>IFERROR(AP17/$B52,".")</f>
        <v>6791.4390024213435</v>
      </c>
      <c r="AQ66" s="189">
        <f t="shared" ref="AQ66" si="241">IFERROR(AQ17/$B52,0)</f>
        <v>2.0749758505845353E-13</v>
      </c>
      <c r="AR66" s="49">
        <f>IF(AL66=".",".",s_RadSpec!$I$17*AR17*$B$66)</f>
        <v>1.0122100175000001E-3</v>
      </c>
      <c r="AS66" s="49">
        <f>IF(AM66=".",".",s_RadSpec!$H$17*AS17*$B$66)</f>
        <v>2.0149948920820965E-3</v>
      </c>
      <c r="AT66" s="49">
        <f>IF(AN66=".",".",s_RadSpec!$M$17*AT17*$B$66)</f>
        <v>3.5328438734449316E-4</v>
      </c>
      <c r="AU66" s="49">
        <f>s_b2w!AC66</f>
        <v>3.0061569291234985E-4</v>
      </c>
      <c r="AV66" s="49">
        <f t="shared" si="61"/>
        <v>3.6811049898389393E-3</v>
      </c>
      <c r="AW66" s="60">
        <f>IFERROR(AW17/$B52,".")</f>
        <v>4490.6239484579546</v>
      </c>
      <c r="AX66" s="189">
        <f t="shared" ref="AX66" si="242">IFERROR(AX17/$B52,0)</f>
        <v>1.3720120645690426E-10</v>
      </c>
      <c r="AY66" s="49">
        <f>IF(AW66=".",".",s_RadSpec!$F$17*AY17*$B$66)</f>
        <v>5.56715509625E-3</v>
      </c>
    </row>
    <row r="67" spans="1:51" x14ac:dyDescent="0.25">
      <c r="A67" s="48" t="s">
        <v>1074</v>
      </c>
      <c r="B67" s="45">
        <v>2.0000000000000001E-4</v>
      </c>
      <c r="C67" s="170"/>
      <c r="D67" s="60" t="str">
        <f t="shared" ref="D67:I67" si="243">IFERROR(D5/$B53,".")</f>
        <v>.</v>
      </c>
      <c r="E67" s="60" t="str">
        <f t="shared" si="243"/>
        <v>.</v>
      </c>
      <c r="F67" s="60" t="str">
        <f t="shared" si="243"/>
        <v>.</v>
      </c>
      <c r="G67" s="60" t="str">
        <f t="shared" si="243"/>
        <v>.</v>
      </c>
      <c r="H67" s="60" t="str">
        <f t="shared" si="243"/>
        <v>.</v>
      </c>
      <c r="I67" s="60" t="str">
        <f t="shared" si="243"/>
        <v>.</v>
      </c>
      <c r="J67" s="189">
        <f>IFERROR(J5/$B53,0)</f>
        <v>0</v>
      </c>
      <c r="K67" s="49" t="str">
        <f>IF(D67=".",".",s_RadSpec!$E$5*K5*$B$67)</f>
        <v>.</v>
      </c>
      <c r="L67" s="49" t="str">
        <f>IF(E67=".",".",s_RadSpec!$H$5*L5*$B$67)</f>
        <v>.</v>
      </c>
      <c r="M67" s="49" t="str">
        <f>IF(F67=".",".",s_RadSpec!$G$5*M5*$B$67)</f>
        <v>.</v>
      </c>
      <c r="N67" s="49" t="str">
        <f>s_b2s!AC67</f>
        <v>.</v>
      </c>
      <c r="O67" s="49">
        <f t="shared" si="228"/>
        <v>0</v>
      </c>
      <c r="P67" s="60" t="str">
        <f>IFERROR(P5/$B53,".")</f>
        <v>.</v>
      </c>
      <c r="Q67" s="60" t="str">
        <f>IFERROR(Q5/$B53,".")</f>
        <v>.</v>
      </c>
      <c r="R67" s="60" t="str">
        <f>IFERROR(R5/$B53,".")</f>
        <v>.</v>
      </c>
      <c r="S67" s="60" t="str">
        <f>IFERROR(S5/$B53,".")</f>
        <v>.</v>
      </c>
      <c r="T67" s="60" t="str">
        <f>IFERROR(T5/$B53,".")</f>
        <v>.</v>
      </c>
      <c r="U67" s="189">
        <f t="shared" ref="U67:Y67" si="244">IFERROR(U5/$B53,0)</f>
        <v>0</v>
      </c>
      <c r="V67" s="189">
        <f t="shared" si="244"/>
        <v>0</v>
      </c>
      <c r="W67" s="189">
        <f t="shared" si="244"/>
        <v>0</v>
      </c>
      <c r="X67" s="189">
        <f t="shared" si="244"/>
        <v>0</v>
      </c>
      <c r="Y67" s="189">
        <f t="shared" si="244"/>
        <v>0</v>
      </c>
      <c r="Z67" s="49" t="str">
        <f>IF(P67=".",".",s_RadSpec!$G$5*Z5*$B$67)</f>
        <v>.</v>
      </c>
      <c r="AA67" s="49" t="str">
        <f>IF(Q67=".",".",s_RadSpec!$N$5*AA5*$B$67)</f>
        <v>.</v>
      </c>
      <c r="AB67" s="49" t="str">
        <f>IF(R67=".",".",s_RadSpec!$O$5*AB5*$B$67)</f>
        <v>.</v>
      </c>
      <c r="AC67" s="49" t="str">
        <f>IF(S67=".",".",s_RadSpec!$P$5*AC5*$B$67)</f>
        <v>.</v>
      </c>
      <c r="AD67" s="49" t="str">
        <f>IF(T67=".",".",s_RadSpec!$L$5*AD5*$B$67)</f>
        <v>.</v>
      </c>
      <c r="AE67" s="60" t="str">
        <f>IFERROR(AE5/$B53,".")</f>
        <v>.</v>
      </c>
      <c r="AF67" s="60">
        <f>IFERROR(AF5/$B53,".")</f>
        <v>13919051760060.852</v>
      </c>
      <c r="AG67" s="60">
        <f>IFERROR(AG5/$B53,".")</f>
        <v>13919051760060.852</v>
      </c>
      <c r="AH67" s="189">
        <f t="shared" ref="AH67" si="245">IFERROR(AH5/$B53,0)</f>
        <v>4.0411858801089931E-7</v>
      </c>
      <c r="AI67" s="49" t="str">
        <f>IF(AE67=".",".",s_RadSpec!$H$5*AI5*$B$67)</f>
        <v>.</v>
      </c>
      <c r="AJ67" s="49">
        <f>IF(AF67=".",".",s_RadSpec!$K$5*AJ5*$B$67)</f>
        <v>1.796099363013699E-12</v>
      </c>
      <c r="AK67" s="49">
        <f t="shared" si="57"/>
        <v>1.796099363013699E-12</v>
      </c>
      <c r="AL67" s="60" t="str">
        <f>IFERROR(AL5/$B53,".")</f>
        <v>.</v>
      </c>
      <c r="AM67" s="60" t="str">
        <f>IFERROR(AM5,".")</f>
        <v>.</v>
      </c>
      <c r="AN67" s="60">
        <f>IFERROR(AN5/$B53,".")</f>
        <v>6820335362429.8184</v>
      </c>
      <c r="AO67" s="60" t="str">
        <f>IFERROR(AO5/$B53,".")</f>
        <v>.</v>
      </c>
      <c r="AP67" s="60">
        <f>IFERROR(AP5/$B53,".")</f>
        <v>6820335362429.8184</v>
      </c>
      <c r="AQ67" s="189">
        <f t="shared" ref="AQ67" si="246">IFERROR(AQ5/$B53,0)</f>
        <v>1.9801810812534069E-7</v>
      </c>
      <c r="AR67" s="49" t="str">
        <f>IF(AL67=".",".",s_RadSpec!$I$5*AR5*$B$67)</f>
        <v>.</v>
      </c>
      <c r="AS67" s="49" t="str">
        <f>IF(AM67=".",".",s_RadSpec!$H$5*AS5*$B$67)</f>
        <v>.</v>
      </c>
      <c r="AT67" s="49">
        <f>IF(AN67=".",".",s_RadSpec!$M$5*AT5*$B$67)</f>
        <v>3.6655089041095892E-12</v>
      </c>
      <c r="AU67" s="49" t="str">
        <f>s_b2w!AC67</f>
        <v>.</v>
      </c>
      <c r="AV67" s="49">
        <f t="shared" si="61"/>
        <v>3.6655089041095892E-12</v>
      </c>
      <c r="AW67" s="60" t="str">
        <f>IFERROR(AW5/$B53,".")</f>
        <v>.</v>
      </c>
      <c r="AX67" s="189">
        <f t="shared" ref="AX67" si="247">IFERROR(AX5/$B53,0)</f>
        <v>0</v>
      </c>
      <c r="AY67" s="49" t="str">
        <f>IF(AW67=".",".",s_RadSpec!$F$5*AY5*$B$67)</f>
        <v>.</v>
      </c>
    </row>
    <row r="68" spans="1:51" x14ac:dyDescent="0.25">
      <c r="A68" s="48" t="s">
        <v>1075</v>
      </c>
      <c r="B68" s="45">
        <v>0.99999979999999999</v>
      </c>
      <c r="C68" s="170"/>
      <c r="D68" s="60">
        <f t="shared" ref="D68:I68" si="248">IFERROR(D9/$B54,".")</f>
        <v>2998173.2134265364</v>
      </c>
      <c r="E68" s="60">
        <f t="shared" si="248"/>
        <v>422130109.72578847</v>
      </c>
      <c r="F68" s="60">
        <f t="shared" si="248"/>
        <v>79.071802183642376</v>
      </c>
      <c r="G68" s="60">
        <f t="shared" si="248"/>
        <v>13207.811512892233</v>
      </c>
      <c r="H68" s="60">
        <f t="shared" si="248"/>
        <v>1499.0866067132681</v>
      </c>
      <c r="I68" s="60">
        <f t="shared" si="248"/>
        <v>78.599161387175542</v>
      </c>
      <c r="J68" s="189">
        <f>IFERROR(J9/$B54,0)</f>
        <v>1.7831481893333179E-12</v>
      </c>
      <c r="K68" s="49">
        <f>IF(D68=".",".",s_RadSpec!$E$9*K9*$B$68)</f>
        <v>8.3384108323175001E-6</v>
      </c>
      <c r="L68" s="49">
        <f>IF(E68=".",".",s_RadSpec!$H$9*L9*$B$68)</f>
        <v>5.9223446572526526E-8</v>
      </c>
      <c r="M68" s="49">
        <f>IF(F68=".",".",s_RadSpec!$G$9*M9*$B$68)</f>
        <v>0.31616833447071435</v>
      </c>
      <c r="N68" s="49">
        <f>s_b2s!AC68</f>
        <v>1.8928192589360725E-3</v>
      </c>
      <c r="O68" s="49">
        <f t="shared" si="228"/>
        <v>0.31806955136392934</v>
      </c>
      <c r="P68" s="60">
        <f>IFERROR(P9/$B54,".")</f>
        <v>79.071802183642376</v>
      </c>
      <c r="Q68" s="60">
        <f>IFERROR(Q9/$B54,".")</f>
        <v>908.19570830632085</v>
      </c>
      <c r="R68" s="60">
        <f>IFERROR(R9/$B54,".")</f>
        <v>221.12268470195366</v>
      </c>
      <c r="S68" s="60">
        <f>IFERROR(S9/$B54,".")</f>
        <v>112.58175174318031</v>
      </c>
      <c r="T68" s="60">
        <f>IFERROR(T9/$B54,".")</f>
        <v>1578.5452637736412</v>
      </c>
      <c r="U68" s="189">
        <f t="shared" ref="U68:Y68" si="249">IFERROR(U9/$B54,0)</f>
        <v>1.7938708047601334E-12</v>
      </c>
      <c r="V68" s="189">
        <f t="shared" si="249"/>
        <v>2.0603878008944502E-11</v>
      </c>
      <c r="W68" s="189">
        <f t="shared" si="249"/>
        <v>5.0165231777033308E-12</v>
      </c>
      <c r="X68" s="189">
        <f t="shared" si="249"/>
        <v>2.5540978202546055E-12</v>
      </c>
      <c r="Y68" s="189">
        <f t="shared" si="249"/>
        <v>3.5811834111221447E-11</v>
      </c>
      <c r="Z68" s="49">
        <f>IF(P68=".",".",s_RadSpec!$G$9*Z9*$B$68)</f>
        <v>0.31616833447071435</v>
      </c>
      <c r="AA68" s="49">
        <f>IF(Q68=".",".",s_RadSpec!$N$9*AA9*$B$68)</f>
        <v>2.7527106516085708E-2</v>
      </c>
      <c r="AB68" s="49">
        <f>IF(R68=".",".",s_RadSpec!$O$9*AB9*$B$68)</f>
        <v>0.11305940877887288</v>
      </c>
      <c r="AC68" s="49">
        <f>IF(S68=".",".",s_RadSpec!$P$9*AC9*$B$68)</f>
        <v>0.22206085456042293</v>
      </c>
      <c r="AD68" s="49">
        <f>IF(T68=".",".",s_RadSpec!$L$9*AD9*$B$68)</f>
        <v>1.583736657651201E-2</v>
      </c>
      <c r="AE68" s="60">
        <f>IFERROR(AE9/$B54,".")</f>
        <v>1362.5721268895584</v>
      </c>
      <c r="AF68" s="60">
        <f>IFERROR(AF9/$B54,".")</f>
        <v>38370.389459899663</v>
      </c>
      <c r="AG68" s="60">
        <f>IFERROR(AG9/$B54,".")</f>
        <v>1315.8451091483578</v>
      </c>
      <c r="AH68" s="189">
        <f t="shared" ref="AH68" si="250">IFERROR(AH9/$B54,0)</f>
        <v>2.9852059263876985E-14</v>
      </c>
      <c r="AI68" s="49">
        <f>IF(AE68=".",".",s_RadSpec!$H$9*AI9*$B$68)</f>
        <v>1.8347652580468745E-2</v>
      </c>
      <c r="AJ68" s="49">
        <f>IF(AF68=".",".",s_RadSpec!$K$9*AJ9*$B$68)</f>
        <v>6.5154407739663792E-4</v>
      </c>
      <c r="AK68" s="49">
        <f t="shared" si="57"/>
        <v>1.8999196657865383E-2</v>
      </c>
      <c r="AL68" s="60">
        <f>IFERROR(AL9/$B54,".")</f>
        <v>32979.9053476919</v>
      </c>
      <c r="AM68" s="60">
        <f>IFERROR(AM9,".")</f>
        <v>53534.634988975027</v>
      </c>
      <c r="AN68" s="60">
        <f>IFERROR(AN9/$B54,".")</f>
        <v>11071.975205352541</v>
      </c>
      <c r="AO68" s="60">
        <f>IFERROR(AO9/$B54,".")</f>
        <v>47489.222439220706</v>
      </c>
      <c r="AP68" s="60">
        <f>IFERROR(AP9/$B54,".")</f>
        <v>6235.3268359018721</v>
      </c>
      <c r="AQ68" s="189">
        <f t="shared" ref="AQ68" si="251">IFERROR(AQ9/$B54,0)</f>
        <v>1.4145840185966663E-13</v>
      </c>
      <c r="AR68" s="49">
        <f>IF(AL68=".",".",s_RadSpec!$I$9*AR9*$B$68)</f>
        <v>7.580373483925E-4</v>
      </c>
      <c r="AS68" s="49">
        <f>IF(AM68=".",".",s_RadSpec!$H$9*AS9*$B$68)</f>
        <v>4.6698730653806683E-4</v>
      </c>
      <c r="AT68" s="49">
        <f>IF(AN68=".",".",s_RadSpec!$M$9*AT9*$B$68)</f>
        <v>2.2579530333408093E-3</v>
      </c>
      <c r="AU68" s="49">
        <f>s_b2w!AC68</f>
        <v>5.2643523553152225E-4</v>
      </c>
      <c r="AV68" s="49">
        <f t="shared" si="61"/>
        <v>4.0094129238028983E-3</v>
      </c>
      <c r="AW68" s="60">
        <f>IFERROR(AW9/$B54,".")</f>
        <v>5996.3464268530734</v>
      </c>
      <c r="AX68" s="189">
        <f t="shared" ref="AX68" si="252">IFERROR(AX9/$B54,0)</f>
        <v>1.3603674752950948E-10</v>
      </c>
      <c r="AY68" s="49">
        <f>IF(AW68=".",".",s_RadSpec!$F$9*AY9*$B$68)</f>
        <v>4.1692054161587494E-3</v>
      </c>
    </row>
    <row r="69" spans="1:51" x14ac:dyDescent="0.25">
      <c r="A69" s="48" t="s">
        <v>1076</v>
      </c>
      <c r="B69" s="45">
        <v>1.9999999999999999E-7</v>
      </c>
      <c r="C69" s="170"/>
      <c r="D69" s="60" t="str">
        <f t="shared" ref="D69:I69" si="253">IFERROR(D24/$B55,".")</f>
        <v>.</v>
      </c>
      <c r="E69" s="60" t="str">
        <f t="shared" si="253"/>
        <v>.</v>
      </c>
      <c r="F69" s="60">
        <f t="shared" si="253"/>
        <v>1496404063004.1741</v>
      </c>
      <c r="G69" s="60" t="str">
        <f t="shared" si="253"/>
        <v>.</v>
      </c>
      <c r="H69" s="60" t="str">
        <f t="shared" si="253"/>
        <v>.</v>
      </c>
      <c r="I69" s="60">
        <f t="shared" si="253"/>
        <v>1496404063004.1741</v>
      </c>
      <c r="J69" s="189">
        <f>IFERROR(J24/$B55,0)</f>
        <v>1.0137359336003667E-6</v>
      </c>
      <c r="K69" s="49" t="str">
        <f>IF(D69=".",".",s_RadSpec!$E$24*K24*$B$69)</f>
        <v>.</v>
      </c>
      <c r="L69" s="49" t="str">
        <f>IF(E69=".",".",s_RadSpec!$H$24*L24*$B$69)</f>
        <v>.</v>
      </c>
      <c r="M69" s="49">
        <f>IF(F69=".",".",s_RadSpec!$G$24*M24*$B$69)</f>
        <v>1.6706717535777143E-11</v>
      </c>
      <c r="N69" s="49" t="str">
        <f>s_b2s!AC69</f>
        <v>.</v>
      </c>
      <c r="O69" s="49">
        <f t="shared" si="228"/>
        <v>1.6706717535777143E-11</v>
      </c>
      <c r="P69" s="60">
        <f>IFERROR(P24/$B55,".")</f>
        <v>1496404063004.1741</v>
      </c>
      <c r="Q69" s="60">
        <f>IFERROR(Q24/$B55,".")</f>
        <v>13476354557963.766</v>
      </c>
      <c r="R69" s="60">
        <f>IFERROR(R24/$B55,".")</f>
        <v>3333943743558.2715</v>
      </c>
      <c r="S69" s="60">
        <f>IFERROR(S24/$B55,".")</f>
        <v>1787802714277.3079</v>
      </c>
      <c r="T69" s="60">
        <f>IFERROR(T24/$B55,".")</f>
        <v>22690368124204.469</v>
      </c>
      <c r="U69" s="189">
        <f t="shared" ref="U69:Y69" si="254">IFERROR(U24/$B55,0)</f>
        <v>1.0137359336003667E-6</v>
      </c>
      <c r="V69" s="189">
        <f t="shared" si="254"/>
        <v>9.1295293878848864E-6</v>
      </c>
      <c r="W69" s="189">
        <f t="shared" si="254"/>
        <v>2.2585735076540742E-6</v>
      </c>
      <c r="X69" s="189">
        <f t="shared" si="254"/>
        <v>1.2111433659253043E-6</v>
      </c>
      <c r="Y69" s="189">
        <f t="shared" si="254"/>
        <v>1.5371544412909189E-5</v>
      </c>
      <c r="Z69" s="49">
        <f>IF(P69=".",".",s_RadSpec!$G$24*Z24*$B$69)</f>
        <v>1.6706717535777143E-11</v>
      </c>
      <c r="AA69" s="49">
        <f>IF(Q69=".",".",s_RadSpec!$N$24*AA24*$B$69)</f>
        <v>1.8551010877957654E-12</v>
      </c>
      <c r="AB69" s="49">
        <f>IF(R69=".",".",s_RadSpec!$O$24*AB24*$B$69)</f>
        <v>7.4986268284532752E-12</v>
      </c>
      <c r="AC69" s="49">
        <f>IF(S69=".",".",s_RadSpec!$P$24*AC24*$B$69)</f>
        <v>1.3983645846575342E-11</v>
      </c>
      <c r="AD69" s="49">
        <f>IF(T69=".",".",s_RadSpec!$L$24*AD24*$B$69)</f>
        <v>1.1017890879139936E-12</v>
      </c>
      <c r="AE69" s="60" t="str">
        <f>IFERROR(AE24/$B55,".")</f>
        <v>.</v>
      </c>
      <c r="AF69" s="60">
        <f>IFERROR(AF24/$B55,".")</f>
        <v>401196197789989.38</v>
      </c>
      <c r="AG69" s="60">
        <f>IFERROR(AG24/$B55,".")</f>
        <v>401196197789989.38</v>
      </c>
      <c r="AH69" s="189">
        <f t="shared" ref="AH69" si="255">IFERROR(AH24/$B55,0)</f>
        <v>2.7178956017203606E-7</v>
      </c>
      <c r="AI69" s="49" t="str">
        <f>IF(AE69=".",".",s_RadSpec!$H$24*AI24*$B$69)</f>
        <v>.</v>
      </c>
      <c r="AJ69" s="49">
        <f>IF(AF69=".",".",s_RadSpec!$K$24*AJ24*$B$69)</f>
        <v>6.2313651369863008E-14</v>
      </c>
      <c r="AK69" s="49">
        <f t="shared" si="57"/>
        <v>6.2313651369863008E-14</v>
      </c>
      <c r="AL69" s="60" t="str">
        <f>IFERROR(AL24/$B55,".")</f>
        <v>.</v>
      </c>
      <c r="AM69" s="60" t="str">
        <f>IFERROR(AM24,".")</f>
        <v>.</v>
      </c>
      <c r="AN69" s="60">
        <f>IFERROR(AN24/$B55,".")</f>
        <v>115364265264374.48</v>
      </c>
      <c r="AO69" s="60" t="str">
        <f>IFERROR(AO24/$B55,".")</f>
        <v>.</v>
      </c>
      <c r="AP69" s="60">
        <f>IFERROR(AP24/$B55,".")</f>
        <v>115364265264374.48</v>
      </c>
      <c r="AQ69" s="189">
        <f t="shared" ref="AQ69" si="256">IFERROR(AQ24/$B55,0)</f>
        <v>7.8153290306573297E-8</v>
      </c>
      <c r="AR69" s="49" t="str">
        <f>IF(AL69=".",".",s_RadSpec!$I$24*AR24*$B$69)</f>
        <v>.</v>
      </c>
      <c r="AS69" s="49" t="str">
        <f>IF(AM69=".",".",s_RadSpec!$H$24*AS24*$B$69)</f>
        <v>.</v>
      </c>
      <c r="AT69" s="49">
        <f>IF(AN69=".",".",s_RadSpec!$M$24*AT24*$B$69)</f>
        <v>2.1670488641095886E-13</v>
      </c>
      <c r="AU69" s="49" t="str">
        <f>s_b2w!AC69</f>
        <v>.</v>
      </c>
      <c r="AV69" s="49">
        <f t="shared" si="61"/>
        <v>2.1670488641095886E-13</v>
      </c>
      <c r="AW69" s="60" t="str">
        <f>IFERROR(AW24/$B55,".")</f>
        <v>.</v>
      </c>
      <c r="AX69" s="189">
        <f t="shared" ref="AX69" si="257">IFERROR(AX24/$B55,0)</f>
        <v>0</v>
      </c>
      <c r="AY69" s="49" t="str">
        <f>IF(AW69=".",".",s_RadSpec!$F$24*AY24*$B$69)</f>
        <v>.</v>
      </c>
    </row>
    <row r="70" spans="1:51" x14ac:dyDescent="0.25">
      <c r="A70" s="48" t="s">
        <v>1077</v>
      </c>
      <c r="B70" s="45">
        <v>0.99979000004200003</v>
      </c>
      <c r="C70" s="170"/>
      <c r="D70" s="60" t="str">
        <f t="shared" ref="D70:I70" si="258">IFERROR(D20/$B56,".")</f>
        <v>.</v>
      </c>
      <c r="E70" s="60" t="str">
        <f t="shared" si="258"/>
        <v>.</v>
      </c>
      <c r="F70" s="60">
        <f t="shared" si="258"/>
        <v>2079934.5903760151</v>
      </c>
      <c r="G70" s="60" t="str">
        <f t="shared" si="258"/>
        <v>.</v>
      </c>
      <c r="H70" s="60" t="str">
        <f t="shared" si="258"/>
        <v>.</v>
      </c>
      <c r="I70" s="60">
        <f t="shared" si="258"/>
        <v>2079934.5903760151</v>
      </c>
      <c r="J70" s="189">
        <f>IFERROR(J20/$B56,0)</f>
        <v>6.493105191422771E-15</v>
      </c>
      <c r="K70" s="49" t="str">
        <f>IF(D70=".",".",s_RadSpec!$E$20*K20*$B$70)</f>
        <v>.</v>
      </c>
      <c r="L70" s="49" t="str">
        <f>IF(E70=".",".",s_RadSpec!$H$20*L20*$B$70)</f>
        <v>.</v>
      </c>
      <c r="M70" s="49">
        <f>IF(F70=".",".",s_RadSpec!$G$20*M20*$B$70)</f>
        <v>1.2019608749081118E-5</v>
      </c>
      <c r="N70" s="49" t="str">
        <f>s_b2s!AC70</f>
        <v>.</v>
      </c>
      <c r="O70" s="49">
        <f t="shared" si="228"/>
        <v>1.2019608749081118E-5</v>
      </c>
      <c r="P70" s="60">
        <f>IFERROR(P20/$B56,".")</f>
        <v>2079934.5903760151</v>
      </c>
      <c r="Q70" s="60">
        <f>IFERROR(Q20/$B56,".")</f>
        <v>21083395.931614425</v>
      </c>
      <c r="R70" s="60">
        <f>IFERROR(R20/$B56,".")</f>
        <v>5157906.8732266165</v>
      </c>
      <c r="S70" s="60">
        <f>IFERROR(S20/$B56,".")</f>
        <v>2740396.3271293752</v>
      </c>
      <c r="T70" s="60">
        <f>IFERROR(T20/$B56,".")</f>
        <v>36471870.128750049</v>
      </c>
      <c r="U70" s="189">
        <f t="shared" ref="U70:Y70" si="259">IFERROR(U20/$B56,0)</f>
        <v>6.493105191422771E-15</v>
      </c>
      <c r="V70" s="189">
        <f t="shared" si="259"/>
        <v>6.5817794564221779E-14</v>
      </c>
      <c r="W70" s="189">
        <f t="shared" si="259"/>
        <v>1.6101867842569219E-14</v>
      </c>
      <c r="X70" s="189">
        <f t="shared" si="259"/>
        <v>8.5549236502782793E-15</v>
      </c>
      <c r="Y70" s="189">
        <f t="shared" si="259"/>
        <v>1.1385727722864207E-13</v>
      </c>
      <c r="Z70" s="49">
        <f>IF(P70=".",".",s_RadSpec!$G$20*Z20*$B$70)</f>
        <v>1.2019608749081118E-5</v>
      </c>
      <c r="AA70" s="49">
        <f>IF(Q70=".",".",s_RadSpec!$N$20*AA20*$B$70)</f>
        <v>1.1857672303403765E-6</v>
      </c>
      <c r="AB70" s="49">
        <f>IF(R70=".",".",s_RadSpec!$O$20*AB20*$B$70)</f>
        <v>4.8469273708233551E-6</v>
      </c>
      <c r="AC70" s="49">
        <f>IF(S70=".",".",s_RadSpec!$P$20*AC20*$B$70)</f>
        <v>9.1227680290274118E-6</v>
      </c>
      <c r="AD70" s="49">
        <f>IF(T70=".",".",s_RadSpec!$L$20*AD20*$B$70)</f>
        <v>6.8545977795344785E-7</v>
      </c>
      <c r="AE70" s="60" t="str">
        <f>IFERROR(AE20/$B56,".")</f>
        <v>.</v>
      </c>
      <c r="AF70" s="60">
        <f>IFERROR(AF20/$B56,".")</f>
        <v>718080835.09571791</v>
      </c>
      <c r="AG70" s="60">
        <f>IFERROR(AG20/$B56,".")</f>
        <v>718080835.09571791</v>
      </c>
      <c r="AH70" s="189">
        <f t="shared" ref="AH70" si="260">IFERROR(AH20/$B56,0)</f>
        <v>2.2416928012040485E-15</v>
      </c>
      <c r="AI70" s="49" t="str">
        <f>IF(AE70=".",".",s_RadSpec!$H$20*AI20*$B$70)</f>
        <v>.</v>
      </c>
      <c r="AJ70" s="49">
        <f>IF(AF70=".",".",s_RadSpec!$K$20*AJ20*$B$70)</f>
        <v>3.4815021900239938E-8</v>
      </c>
      <c r="AK70" s="49">
        <f t="shared" si="57"/>
        <v>3.4815021900239938E-8</v>
      </c>
      <c r="AL70" s="60" t="str">
        <f>IFERROR(AL20/$B56,".")</f>
        <v>.</v>
      </c>
      <c r="AM70" s="60" t="str">
        <f>IFERROR(AM20,".")</f>
        <v>.</v>
      </c>
      <c r="AN70" s="60">
        <f>IFERROR(AN20/$B56,".")</f>
        <v>207222598.22021025</v>
      </c>
      <c r="AO70" s="60" t="str">
        <f>IFERROR(AO20/$B56,".")</f>
        <v>.</v>
      </c>
      <c r="AP70" s="60">
        <f>IFERROR(AP20/$B56,".")</f>
        <v>207222598.22021025</v>
      </c>
      <c r="AQ70" s="189">
        <f t="shared" ref="AQ70" si="261">IFERROR(AQ20/$B56,0)</f>
        <v>6.4690405867067025E-16</v>
      </c>
      <c r="AR70" s="49" t="str">
        <f>IF(AL70=".",".",s_RadSpec!$I$20*AR20*$B$70)</f>
        <v>.</v>
      </c>
      <c r="AS70" s="49" t="str">
        <f>IF(AM70=".",".",s_RadSpec!$H$20*AS20*$B$70)</f>
        <v>.</v>
      </c>
      <c r="AT70" s="49">
        <f>IF(AN70=".",".",s_RadSpec!$M$20*AT20*$B$70)</f>
        <v>1.2064321273219985E-7</v>
      </c>
      <c r="AU70" s="49" t="str">
        <f>s_b2w!AC70</f>
        <v>.</v>
      </c>
      <c r="AV70" s="49">
        <f t="shared" si="61"/>
        <v>1.2064321273219985E-7</v>
      </c>
      <c r="AW70" s="60" t="str">
        <f>IFERROR(AW20/$B56,".")</f>
        <v>.</v>
      </c>
      <c r="AX70" s="189">
        <f t="shared" ref="AX70" si="262">IFERROR(AX20/$B56,0)</f>
        <v>0</v>
      </c>
      <c r="AY70" s="49" t="str">
        <f>IF(AW70=".",".",s_RadSpec!$F$20*AY20*$B$70)</f>
        <v>.</v>
      </c>
    </row>
    <row r="71" spans="1:51" x14ac:dyDescent="0.25">
      <c r="A71" s="48" t="s">
        <v>1078</v>
      </c>
      <c r="B71" s="45">
        <v>2.0999995799999999E-4</v>
      </c>
      <c r="C71" s="170"/>
      <c r="D71" s="60" t="str">
        <f t="shared" ref="D71:I71" si="263">IFERROR(D29/$B57,".")</f>
        <v>.</v>
      </c>
      <c r="E71" s="60" t="str">
        <f t="shared" si="263"/>
        <v>.</v>
      </c>
      <c r="F71" s="60">
        <f t="shared" si="263"/>
        <v>223048.22459328643</v>
      </c>
      <c r="G71" s="60" t="str">
        <f t="shared" si="263"/>
        <v>.</v>
      </c>
      <c r="H71" s="60" t="str">
        <f t="shared" si="263"/>
        <v>.</v>
      </c>
      <c r="I71" s="60">
        <f t="shared" si="263"/>
        <v>223048.22459328643</v>
      </c>
      <c r="J71" s="189">
        <f>IFERROR(J29/$B57,0)</f>
        <v>3.243874864518803E-10</v>
      </c>
      <c r="K71" s="49" t="str">
        <f>IF(D71=".",".",s_RadSpec!$E$29*K29*$B$71)</f>
        <v>.</v>
      </c>
      <c r="L71" s="49" t="str">
        <f>IF(E71=".",".",s_RadSpec!$H$29*L29*$B$71)</f>
        <v>.</v>
      </c>
      <c r="M71" s="49">
        <f>IF(F71=".",".",s_RadSpec!$G$29*M29*$B$71)</f>
        <v>1.1208338486255981E-4</v>
      </c>
      <c r="N71" s="49" t="str">
        <f>s_b2s!AC71</f>
        <v>.</v>
      </c>
      <c r="O71" s="49">
        <f t="shared" si="228"/>
        <v>1.1208338486255981E-4</v>
      </c>
      <c r="P71" s="60">
        <f>IFERROR(P29/$B57,".")</f>
        <v>223048.22459328643</v>
      </c>
      <c r="Q71" s="60">
        <f>IFERROR(Q29/$B57,".")</f>
        <v>2437112.0772664649</v>
      </c>
      <c r="R71" s="60">
        <f>IFERROR(R29/$B57,".")</f>
        <v>604532.64906559931</v>
      </c>
      <c r="S71" s="60">
        <f>IFERROR(S29/$B57,".")</f>
        <v>319060.34853190853</v>
      </c>
      <c r="T71" s="60">
        <f>IFERROR(T29/$B57,".")</f>
        <v>4344168.1268426226</v>
      </c>
      <c r="U71" s="189">
        <f t="shared" ref="U71:Y71" si="264">IFERROR(U29/$B57,0)</f>
        <v>3.243874864518803E-10</v>
      </c>
      <c r="V71" s="189">
        <f t="shared" si="264"/>
        <v>3.5443844594035152E-9</v>
      </c>
      <c r="W71" s="189">
        <f t="shared" si="264"/>
        <v>8.7919474304745917E-10</v>
      </c>
      <c r="X71" s="189">
        <f t="shared" si="264"/>
        <v>4.6402155711147469E-10</v>
      </c>
      <c r="Y71" s="189">
        <f t="shared" si="264"/>
        <v>6.3178883488556013E-9</v>
      </c>
      <c r="Z71" s="49">
        <f>IF(P71=".",".",s_RadSpec!$G$29*Z29*$B$71)</f>
        <v>1.1208338486255981E-4</v>
      </c>
      <c r="AA71" s="49">
        <f>IF(Q71=".",".",s_RadSpec!$N$29*AA29*$B$71)</f>
        <v>1.0258042801232482E-5</v>
      </c>
      <c r="AB71" s="49">
        <f>IF(R71=".",".",s_RadSpec!$O$29*AB29*$B$71)</f>
        <v>4.135425942443547E-5</v>
      </c>
      <c r="AC71" s="49">
        <f>IF(S71=".",".",s_RadSpec!$P$29*AC29*$B$71)</f>
        <v>7.835508271407721E-5</v>
      </c>
      <c r="AD71" s="49">
        <f>IF(T71=".",".",s_RadSpec!$L$29*AD29*$B$71)</f>
        <v>5.7548417257437517E-6</v>
      </c>
      <c r="AE71" s="60" t="str">
        <f>IFERROR(AE29/$B57,".")</f>
        <v>.</v>
      </c>
      <c r="AF71" s="60">
        <f>IFERROR(AF29/$B57,".")</f>
        <v>98417557.380911469</v>
      </c>
      <c r="AG71" s="60">
        <f>IFERROR(AG29/$B57,".")</f>
        <v>98417557.380911469</v>
      </c>
      <c r="AH71" s="189">
        <f t="shared" ref="AH71" si="265">IFERROR(AH29/$B57,0)</f>
        <v>1.4313238367954489E-10</v>
      </c>
      <c r="AI71" s="49" t="str">
        <f>IF(AE71=".",".",s_RadSpec!$H$29*AI29*$B$71)</f>
        <v>.</v>
      </c>
      <c r="AJ71" s="49">
        <f>IF(AF71=".",".",s_RadSpec!$K$29*AJ29*$B$71)</f>
        <v>2.540197162508411E-7</v>
      </c>
      <c r="AK71" s="49">
        <f t="shared" si="57"/>
        <v>2.540197162508411E-7</v>
      </c>
      <c r="AL71" s="60" t="str">
        <f>IFERROR(AL29/$B57,".")</f>
        <v>.</v>
      </c>
      <c r="AM71" s="60" t="str">
        <f>IFERROR(AM29,".")</f>
        <v>.</v>
      </c>
      <c r="AN71" s="60">
        <f>IFERROR(AN29/$B57,".")</f>
        <v>28489292.926053319</v>
      </c>
      <c r="AO71" s="60" t="str">
        <f>IFERROR(AO29/$B57,".")</f>
        <v>.</v>
      </c>
      <c r="AP71" s="60">
        <f>IFERROR(AP29/$B57,".")</f>
        <v>28489292.926053319</v>
      </c>
      <c r="AQ71" s="189">
        <f t="shared" ref="AQ71" si="266">IFERROR(AQ29/$B57,0)</f>
        <v>4.1433058433552463E-11</v>
      </c>
      <c r="AR71" s="49" t="str">
        <f>IF(AL71=".",".",s_RadSpec!$I$29*AR29*$B$71)</f>
        <v>.</v>
      </c>
      <c r="AS71" s="49" t="str">
        <f>IF(AM71=".",".",s_RadSpec!$H$29*AS29*$B$71)</f>
        <v>.</v>
      </c>
      <c r="AT71" s="49">
        <f>IF(AN71=".",".",s_RadSpec!$M$29*AT29*$B$71)</f>
        <v>8.7752265613926914E-7</v>
      </c>
      <c r="AU71" s="49" t="str">
        <f>s_b2w!AC71</f>
        <v>.</v>
      </c>
      <c r="AV71" s="49">
        <f t="shared" si="61"/>
        <v>8.7752265613926914E-7</v>
      </c>
      <c r="AW71" s="60" t="str">
        <f>IFERROR(AW29/$B57,".")</f>
        <v>.</v>
      </c>
      <c r="AX71" s="189">
        <f t="shared" ref="AX71" si="267">IFERROR(AX29/$B57,0)</f>
        <v>0</v>
      </c>
      <c r="AY71" s="49" t="str">
        <f>IF(AW71=".",".",s_RadSpec!$F$29*AY29*$B$71)</f>
        <v>.</v>
      </c>
    </row>
    <row r="72" spans="1:51" x14ac:dyDescent="0.25">
      <c r="A72" s="48" t="s">
        <v>1079</v>
      </c>
      <c r="B72" s="45">
        <v>1</v>
      </c>
      <c r="C72" s="170"/>
      <c r="D72" s="60">
        <f t="shared" ref="D72:I72" si="268">IFERROR(D16/$B58,".")</f>
        <v>437.96835240685505</v>
      </c>
      <c r="E72" s="60">
        <f t="shared" si="268"/>
        <v>692481.68732784083</v>
      </c>
      <c r="F72" s="60">
        <f t="shared" si="268"/>
        <v>10156252695.580772</v>
      </c>
      <c r="G72" s="60">
        <f t="shared" si="268"/>
        <v>9.7013700832175243</v>
      </c>
      <c r="H72" s="60">
        <f t="shared" si="268"/>
        <v>0.21898417620342756</v>
      </c>
      <c r="I72" s="60">
        <f t="shared" si="268"/>
        <v>9.4910033437777575</v>
      </c>
      <c r="J72" s="189">
        <f>IFERROR(J16/$B58,0)</f>
        <v>1.2389176124833734E-7</v>
      </c>
      <c r="K72" s="49">
        <f>IF(D72=".",".",s_RadSpec!$E$16*K16*$B$72)</f>
        <v>5.7081750000000001E-2</v>
      </c>
      <c r="L72" s="49">
        <f>IF(E72=".",".",s_RadSpec!$H$16*L16*$B$72)</f>
        <v>3.6102037725315724E-5</v>
      </c>
      <c r="M72" s="49">
        <f>IF(F72=".",".",s_RadSpec!$G$16*M16*$B$72)</f>
        <v>2.4615378082191766E-9</v>
      </c>
      <c r="N72" s="49">
        <f>s_b2s!AC72</f>
        <v>2.5769556037500001</v>
      </c>
      <c r="O72" s="49">
        <f t="shared" si="228"/>
        <v>2.6340734582492633</v>
      </c>
      <c r="P72" s="60">
        <f>IFERROR(P16/$B58,".")</f>
        <v>10156252695.580772</v>
      </c>
      <c r="Q72" s="60">
        <f>IFERROR(Q16/$B58,".")</f>
        <v>28452935520.47567</v>
      </c>
      <c r="R72" s="60">
        <f>IFERROR(R16/$B58,".")</f>
        <v>11063712683.84836</v>
      </c>
      <c r="S72" s="60">
        <f>IFERROR(S16/$B58,".")</f>
        <v>10922291021.461842</v>
      </c>
      <c r="T72" s="60">
        <f>IFERROR(T16/$B58,".")</f>
        <v>348814609693.77307</v>
      </c>
      <c r="U72" s="189">
        <f t="shared" ref="U72:Y72" si="269">IFERROR(U16/$B58,0)</f>
        <v>132.57566018703318</v>
      </c>
      <c r="V72" s="189">
        <f t="shared" si="269"/>
        <v>371.41323911008124</v>
      </c>
      <c r="W72" s="189">
        <f t="shared" si="269"/>
        <v>144.42127988988295</v>
      </c>
      <c r="X72" s="189">
        <f t="shared" si="269"/>
        <v>142.5752180777543</v>
      </c>
      <c r="Y72" s="189">
        <f t="shared" si="269"/>
        <v>4553.2863890986355</v>
      </c>
      <c r="Z72" s="49">
        <f>IF(P72=".",".",s_RadSpec!$G$16*Z16*$B$72)</f>
        <v>2.4615378082191766E-9</v>
      </c>
      <c r="AA72" s="49">
        <f>IF(Q72=".",".",s_RadSpec!$N$16*AA16*$B$72)</f>
        <v>8.7864396213210325E-10</v>
      </c>
      <c r="AB72" s="49">
        <f>IF(R72=".",".",s_RadSpec!$O$16*AB16*$B$72)</f>
        <v>2.2596393014161407E-9</v>
      </c>
      <c r="AC72" s="49">
        <f>IF(S72=".",".",s_RadSpec!$P$16*AC16*$B$72)</f>
        <v>2.2888970776255694E-9</v>
      </c>
      <c r="AD72" s="49">
        <f>IF(T72=".",".",s_RadSpec!$L$16*AD16*$B$72)</f>
        <v>7.1671309931506851E-11</v>
      </c>
      <c r="AE72" s="60">
        <f>IFERROR(AE16/$B58,".")</f>
        <v>2.2352261158231306</v>
      </c>
      <c r="AF72" s="60">
        <f>IFERROR(AF16/$B58,".")</f>
        <v>57922168.683055773</v>
      </c>
      <c r="AG72" s="60">
        <f>IFERROR(AG16/$B58,".")</f>
        <v>2.2352260295653865</v>
      </c>
      <c r="AH72" s="189">
        <f t="shared" ref="AH72" si="270">IFERROR(AH16/$B58,0)</f>
        <v>2.9177746499534728E-11</v>
      </c>
      <c r="AI72" s="49">
        <f>IF(AE72=".",".",s_RadSpec!$H$16*AI16*$B$72)</f>
        <v>11.18455078125</v>
      </c>
      <c r="AJ72" s="49">
        <f>IF(AF72=".",".",s_RadSpec!$K$16*AJ16*$B$72)</f>
        <v>4.3161367345890415E-7</v>
      </c>
      <c r="AK72" s="49">
        <f t="shared" si="57"/>
        <v>11.184551212863672</v>
      </c>
      <c r="AL72" s="60">
        <f>IFERROR(AL16/$B58,".")</f>
        <v>4.8176518764754066</v>
      </c>
      <c r="AM72" s="60" t="str">
        <f>IFERROR(AM16,".")</f>
        <v>.</v>
      </c>
      <c r="AN72" s="60">
        <f>IFERROR(AN16/$B58,".")</f>
        <v>15642971.01474729</v>
      </c>
      <c r="AO72" s="60">
        <f>IFERROR(AO16/$B58,".")</f>
        <v>16.221626499112627</v>
      </c>
      <c r="AP72" s="60">
        <f>IFERROR(AP16/$B58,".")</f>
        <v>3.7144872267358551</v>
      </c>
      <c r="AQ72" s="189">
        <f t="shared" ref="AQ72" si="271">IFERROR(AQ16/$B58,0)</f>
        <v>4.8487430462919159E-11</v>
      </c>
      <c r="AR72" s="49">
        <f>IF(AL72=".",".",s_RadSpec!$I$16*AR16*$B$72)</f>
        <v>5.1892500000000004</v>
      </c>
      <c r="AS72" s="49" t="str">
        <f>IF(AM72=".",".",s_RadSpec!$H$16*AS16*$B$72)</f>
        <v>.</v>
      </c>
      <c r="AT72" s="49">
        <f>IF(AN72=".",".",s_RadSpec!$M$16*AT16*$B$72)</f>
        <v>1.5981618821917808E-6</v>
      </c>
      <c r="AU72" s="49">
        <f>s_b2w!AC72</f>
        <v>1.5411524856257524</v>
      </c>
      <c r="AV72" s="49">
        <f t="shared" si="61"/>
        <v>6.7304040837876347</v>
      </c>
      <c r="AW72" s="60">
        <f>IFERROR(AW16/$B58,".")</f>
        <v>0.87593670481371011</v>
      </c>
      <c r="AX72" s="189">
        <f t="shared" ref="AX72" si="272">IFERROR(AX16/$B58,0)</f>
        <v>1.1434127369956245E-8</v>
      </c>
      <c r="AY72" s="49">
        <f>IF(AW72=".",".",s_RadSpec!$F$16*AY16*$B$72)</f>
        <v>28.540875</v>
      </c>
    </row>
    <row r="73" spans="1:51" x14ac:dyDescent="0.25">
      <c r="A73" s="48" t="s">
        <v>1080</v>
      </c>
      <c r="B73" s="45">
        <v>1</v>
      </c>
      <c r="C73" s="170"/>
      <c r="D73" s="60">
        <f t="shared" ref="D73:I73" si="273">IFERROR(D7/$B59,".")</f>
        <v>248182.06636388457</v>
      </c>
      <c r="E73" s="60">
        <f t="shared" si="273"/>
        <v>28600442.291690964</v>
      </c>
      <c r="F73" s="60">
        <f t="shared" si="273"/>
        <v>466123.44525583641</v>
      </c>
      <c r="G73" s="60">
        <f t="shared" si="273"/>
        <v>1093.3130676823109</v>
      </c>
      <c r="H73" s="60">
        <f t="shared" si="273"/>
        <v>124.09103318194229</v>
      </c>
      <c r="I73" s="60">
        <f t="shared" si="273"/>
        <v>1085.9405547931553</v>
      </c>
      <c r="J73" s="189">
        <f>IFERROR(J7/$B59,0)</f>
        <v>8.769770303267737E-9</v>
      </c>
      <c r="K73" s="49">
        <f>IF(D73=".",".",s_RadSpec!$E$7*K7*$B$73)</f>
        <v>1.0073249999999999E-4</v>
      </c>
      <c r="L73" s="49">
        <f>IF(E73=".",".",s_RadSpec!$H$7*L7*$B$73)</f>
        <v>8.7411235620167426E-7</v>
      </c>
      <c r="M73" s="49">
        <f>IF(F73=".",".",s_RadSpec!$G$7*M7*$B$73)</f>
        <v>5.3633860846193882E-5</v>
      </c>
      <c r="N73" s="49">
        <f>s_b2s!AC73</f>
        <v>2.2866277500000001E-2</v>
      </c>
      <c r="O73" s="49">
        <f t="shared" si="228"/>
        <v>2.3021517973202395E-2</v>
      </c>
      <c r="P73" s="60">
        <f>IFERROR(P7/$B59,".")</f>
        <v>466123.44525583641</v>
      </c>
      <c r="Q73" s="60">
        <f>IFERROR(Q7/$B59,".")</f>
        <v>1293289.7944504307</v>
      </c>
      <c r="R73" s="60">
        <f>IFERROR(R7/$B59,".")</f>
        <v>655062.26779920189</v>
      </c>
      <c r="S73" s="60">
        <f>IFERROR(S7/$B59,".")</f>
        <v>510209.64616092033</v>
      </c>
      <c r="T73" s="60">
        <f>IFERROR(T7/$B59,".")</f>
        <v>169273.6925098786</v>
      </c>
      <c r="U73" s="189">
        <f t="shared" ref="U73:Y73" si="274">IFERROR(U7/$B59,0)</f>
        <v>3.7642903470347897E-6</v>
      </c>
      <c r="V73" s="189">
        <f t="shared" si="274"/>
        <v>1.0444268227049465E-5</v>
      </c>
      <c r="W73" s="189">
        <f t="shared" si="274"/>
        <v>5.2901105843964807E-6</v>
      </c>
      <c r="X73" s="189">
        <f t="shared" si="274"/>
        <v>4.120318910269489E-6</v>
      </c>
      <c r="Y73" s="189">
        <f t="shared" si="274"/>
        <v>1.3670098194098351E-6</v>
      </c>
      <c r="Z73" s="49">
        <f>IF(P73=".",".",s_RadSpec!$G$7*Z7*$B$73)</f>
        <v>5.3633860846193882E-5</v>
      </c>
      <c r="AA73" s="49">
        <f>IF(Q73=".",".",s_RadSpec!$N$7*AA7*$B$73)</f>
        <v>1.9330547652410322E-5</v>
      </c>
      <c r="AB73" s="49">
        <f>IF(R73=".",".",s_RadSpec!$O$7*AB7*$B$73)</f>
        <v>3.8164310828025471E-5</v>
      </c>
      <c r="AC73" s="49">
        <f>IF(S73=".",".",s_RadSpec!$P$7*AC7*$B$73)</f>
        <v>4.8999465588533754E-5</v>
      </c>
      <c r="AD73" s="49">
        <f>IF(T73=".",".",s_RadSpec!$L$7*AD7*$B$73)</f>
        <v>1.4768981304369568E-4</v>
      </c>
      <c r="AE73" s="60">
        <f>IFERROR(AE7/$B59,".")</f>
        <v>92.317900537078629</v>
      </c>
      <c r="AF73" s="60">
        <f>IFERROR(AF7/$B59,".")</f>
        <v>10574163.352604371</v>
      </c>
      <c r="AG73" s="60">
        <f>IFERROR(AG7/$B59,".")</f>
        <v>92.3170945612232</v>
      </c>
      <c r="AH73" s="189">
        <f t="shared" ref="AH73" si="275">IFERROR(AH7/$B59,0)</f>
        <v>7.4552857501595305E-13</v>
      </c>
      <c r="AI73" s="49">
        <f>IF(AE73=".",".",s_RadSpec!$H$7*AI7*$B$73)</f>
        <v>0.27080338541666665</v>
      </c>
      <c r="AJ73" s="49">
        <f>IF(AF73=".",".",s_RadSpec!$K$7*AJ7*$B$73)</f>
        <v>2.3642532431506849E-6</v>
      </c>
      <c r="AK73" s="49">
        <f t="shared" si="57"/>
        <v>0.27080574966990978</v>
      </c>
      <c r="AL73" s="60">
        <f>IFERROR(AL7/$B59,".")</f>
        <v>2730.00273000273</v>
      </c>
      <c r="AM73" s="60" t="str">
        <f>IFERROR(AM7,".")</f>
        <v>.</v>
      </c>
      <c r="AN73" s="60">
        <f>IFERROR(AN7/$B59,".")</f>
        <v>5721757.8543874314</v>
      </c>
      <c r="AO73" s="60">
        <f>IFERROR(AO7/$B59,".")</f>
        <v>3931.0515157028094</v>
      </c>
      <c r="AP73" s="60">
        <f>IFERROR(AP7/$B59,".")</f>
        <v>1610.6700210619667</v>
      </c>
      <c r="AQ73" s="189">
        <f t="shared" ref="AQ73" si="276">IFERROR(AQ7/$B59,0)</f>
        <v>1.3007347461816963E-11</v>
      </c>
      <c r="AR73" s="49">
        <f>IF(AL73=".",".",s_RadSpec!$I$7*AR7*$B$73)</f>
        <v>9.157499999999999E-3</v>
      </c>
      <c r="AS73" s="49" t="str">
        <f>IF(AM73=".",".",s_RadSpec!$H$7*AS7*$B$73)</f>
        <v>.</v>
      </c>
      <c r="AT73" s="49">
        <f>IF(AN73=".",".",s_RadSpec!$M$7*AT7*$B$73)</f>
        <v>4.3692866136986297E-6</v>
      </c>
      <c r="AU73" s="49">
        <f>s_b2w!AC73</f>
        <v>6.3596215669359905E-3</v>
      </c>
      <c r="AV73" s="49">
        <f t="shared" si="61"/>
        <v>1.5521490853549688E-2</v>
      </c>
      <c r="AW73" s="60">
        <f>IFERROR(AW7/$B59,".")</f>
        <v>496.36413272776906</v>
      </c>
      <c r="AX73" s="189">
        <f t="shared" ref="AX73" si="277">IFERROR(AX7/$B59,0)</f>
        <v>4.0085061853430571E-9</v>
      </c>
      <c r="AY73" s="49">
        <f>IF(AW73=".",".",s_RadSpec!$F$7*AY7*$B$73)</f>
        <v>5.0366250000000001E-2</v>
      </c>
    </row>
    <row r="74" spans="1:51" x14ac:dyDescent="0.25">
      <c r="A74" s="48" t="s">
        <v>1081</v>
      </c>
      <c r="B74" s="45">
        <v>1.9000000000000001E-8</v>
      </c>
      <c r="C74" s="174"/>
      <c r="D74" s="60" t="str">
        <f t="shared" ref="D74:I74" si="278">IFERROR(D12/$B60,".")</f>
        <v>.</v>
      </c>
      <c r="E74" s="60" t="str">
        <f t="shared" si="278"/>
        <v>.</v>
      </c>
      <c r="F74" s="60">
        <f t="shared" si="278"/>
        <v>170087898159.88019</v>
      </c>
      <c r="G74" s="60" t="str">
        <f t="shared" si="278"/>
        <v>.</v>
      </c>
      <c r="H74" s="60" t="str">
        <f t="shared" si="278"/>
        <v>.</v>
      </c>
      <c r="I74" s="60">
        <f t="shared" si="278"/>
        <v>170087898159.88019</v>
      </c>
      <c r="J74" s="189">
        <f>IFERROR(J12/$B60,0)</f>
        <v>1.5212511457719652E-3</v>
      </c>
      <c r="K74" s="49" t="str">
        <f>IF(D74=".",".",s_RadSpec!$E$12*K12*$B$74)</f>
        <v>.</v>
      </c>
      <c r="L74" s="49" t="str">
        <f>IF(E74=".",".",s_RadSpec!$H$12*L12*$B$74)</f>
        <v>.</v>
      </c>
      <c r="M74" s="49">
        <f>IF(F74=".",".",s_RadSpec!$G$12*M12*$B$74)</f>
        <v>1.4698282635311514E-10</v>
      </c>
      <c r="N74" s="49" t="str">
        <f>s_b2s!AC74</f>
        <v>.</v>
      </c>
      <c r="O74" s="49">
        <f t="shared" si="228"/>
        <v>1.4698282635311514E-10</v>
      </c>
      <c r="P74" s="60">
        <f>IFERROR(P12/$B60,".")</f>
        <v>170087898159.88019</v>
      </c>
      <c r="Q74" s="60">
        <f>IFERROR(Q12/$B60,".")</f>
        <v>1348904854466.0298</v>
      </c>
      <c r="R74" s="60">
        <f>IFERROR(R12/$B60,".")</f>
        <v>350594724400.50006</v>
      </c>
      <c r="S74" s="60">
        <f>IFERROR(S12/$B60,".")</f>
        <v>208769303582.15607</v>
      </c>
      <c r="T74" s="60">
        <f>IFERROR(T12/$B60,".")</f>
        <v>1852954768194.2217</v>
      </c>
      <c r="U74" s="189">
        <f t="shared" ref="U74:Y74" si="279">IFERROR(U12/$B60,0)</f>
        <v>1.5212511457719652E-3</v>
      </c>
      <c r="V74" s="189">
        <f t="shared" si="279"/>
        <v>1.2064485936941509E-2</v>
      </c>
      <c r="W74" s="189">
        <f t="shared" si="279"/>
        <v>3.1356882645144609E-3</v>
      </c>
      <c r="X74" s="189">
        <f t="shared" si="279"/>
        <v>1.8672142210719752E-3</v>
      </c>
      <c r="Y74" s="189">
        <f t="shared" si="279"/>
        <v>1.6572663867769389E-2</v>
      </c>
      <c r="Z74" s="49">
        <f>IF(P74=".",".",s_RadSpec!$G$12*Z12*$B$74)</f>
        <v>1.4698282635311514E-10</v>
      </c>
      <c r="AA74" s="49">
        <f>IF(Q74=".",".",s_RadSpec!$N$12*AA12*$B$74)</f>
        <v>1.8533553287489923E-11</v>
      </c>
      <c r="AB74" s="49">
        <f>IF(R74=".",".",s_RadSpec!$O$12*AB12*$B$74)</f>
        <v>7.1307404989475476E-11</v>
      </c>
      <c r="AC74" s="49">
        <f>IF(S74=".",".",s_RadSpec!$P$12*AC12*$B$74)</f>
        <v>1.1974940554496725E-10</v>
      </c>
      <c r="AD74" s="49">
        <f>IF(T74=".",".",s_RadSpec!$L$12*AD12*$B$74)</f>
        <v>1.3491964525590388E-11</v>
      </c>
      <c r="AE74" s="60" t="str">
        <f>IFERROR(AE12/$B60,".")</f>
        <v>.</v>
      </c>
      <c r="AF74" s="60">
        <f>IFERROR(AF12/$B60,".")</f>
        <v>25824821516205.293</v>
      </c>
      <c r="AG74" s="60">
        <f>IFERROR(AG12/$B60,".")</f>
        <v>25824821516205.293</v>
      </c>
      <c r="AH74" s="189">
        <f t="shared" ref="AH74" si="280">IFERROR(AH12/$B60,0)</f>
        <v>2.3097492382412468E-4</v>
      </c>
      <c r="AI74" s="49" t="str">
        <f>IF(AE74=".",".",s_RadSpec!$H$12*AI12*$B$74)</f>
        <v>.</v>
      </c>
      <c r="AJ74" s="49">
        <f>IF(AF74=".",".",s_RadSpec!$K$12*AJ12*$B$74)</f>
        <v>9.6806090157534239E-13</v>
      </c>
      <c r="AK74" s="49">
        <f t="shared" si="57"/>
        <v>9.6806090157534239E-13</v>
      </c>
      <c r="AL74" s="60" t="str">
        <f>IFERROR(AL12/$B60,".")</f>
        <v>.</v>
      </c>
      <c r="AM74" s="60" t="str">
        <f>IFERROR(AM12,".")</f>
        <v>.</v>
      </c>
      <c r="AN74" s="60">
        <f>IFERROR(AN12/$B60,".")</f>
        <v>7541281913345.6621</v>
      </c>
      <c r="AO74" s="60" t="str">
        <f>IFERROR(AO12/$B60,".")</f>
        <v>.</v>
      </c>
      <c r="AP74" s="60">
        <f>IFERROR(AP12/$B60,".")</f>
        <v>7541281913345.6621</v>
      </c>
      <c r="AQ74" s="189">
        <f t="shared" ref="AQ74" si="281">IFERROR(AQ12/$B60,0)</f>
        <v>6.7448559688137248E-5</v>
      </c>
      <c r="AR74" s="49" t="str">
        <f>IF(AL74=".",".",s_RadSpec!$I$12*AR12*$B$74)</f>
        <v>.</v>
      </c>
      <c r="AS74" s="49" t="str">
        <f>IF(AM74=".",".",s_RadSpec!$H$12*AS12*$B$74)</f>
        <v>.</v>
      </c>
      <c r="AT74" s="49">
        <f>IF(AN74=".",".",s_RadSpec!$M$12*AT12*$B$74)</f>
        <v>3.3150862528767125E-12</v>
      </c>
      <c r="AU74" s="49" t="str">
        <f>s_b2w!AC74</f>
        <v>.</v>
      </c>
      <c r="AV74" s="49">
        <f t="shared" si="61"/>
        <v>3.3150862528767125E-12</v>
      </c>
      <c r="AW74" s="60" t="str">
        <f>IFERROR(AW12/$B60,".")</f>
        <v>.</v>
      </c>
      <c r="AX74" s="189">
        <f t="shared" ref="AX74" si="282">IFERROR(AX12/$B60,0)</f>
        <v>0</v>
      </c>
      <c r="AY74" s="49" t="str">
        <f>IF(AW74=".",".",s_RadSpec!$F$12*AY12*$B$74)</f>
        <v>.</v>
      </c>
    </row>
    <row r="75" spans="1:51" x14ac:dyDescent="0.25">
      <c r="A75" s="48" t="s">
        <v>1082</v>
      </c>
      <c r="B75" s="45">
        <v>1</v>
      </c>
      <c r="C75" s="170"/>
      <c r="D75" s="60">
        <f t="shared" ref="D75:I75" si="283">IFERROR(D18/$B61,".")</f>
        <v>255.27298254570982</v>
      </c>
      <c r="E75" s="60">
        <f t="shared" si="283"/>
        <v>892236.02021087182</v>
      </c>
      <c r="F75" s="60">
        <f t="shared" si="283"/>
        <v>17637150.232935164</v>
      </c>
      <c r="G75" s="60">
        <f t="shared" si="283"/>
        <v>7.5479888393172621</v>
      </c>
      <c r="H75" s="60">
        <f t="shared" si="283"/>
        <v>0.12763649127285492</v>
      </c>
      <c r="I75" s="60">
        <f t="shared" si="283"/>
        <v>7.331153904636424</v>
      </c>
      <c r="J75" s="189">
        <f>IFERROR(J18/$B61,0)</f>
        <v>1.634246527650098E-9</v>
      </c>
      <c r="K75" s="49">
        <f>IF(D75=".",".",s_RadSpec!$E$18*K18*$B$75)</f>
        <v>9.7934375000000004E-2</v>
      </c>
      <c r="L75" s="49">
        <f>IF(E75=".",".",s_RadSpec!$H$18*L18*$B$75)</f>
        <v>2.8019491965916681E-5</v>
      </c>
      <c r="M75" s="49">
        <f>IF(F75=".",".",s_RadSpec!$G$18*M18*$B$75)</f>
        <v>1.4174625531802545E-6</v>
      </c>
      <c r="N75" s="49">
        <f>s_b2s!AC75</f>
        <v>3.3121405625000002</v>
      </c>
      <c r="O75" s="49">
        <f t="shared" si="228"/>
        <v>3.4101043744545194</v>
      </c>
      <c r="P75" s="60">
        <f>IFERROR(P18/$B61,".")</f>
        <v>17637150.232935164</v>
      </c>
      <c r="Q75" s="60">
        <f>IFERROR(Q18/$B61,".")</f>
        <v>179853888.19177029</v>
      </c>
      <c r="R75" s="60">
        <f>IFERROR(R18/$B61,".")</f>
        <v>43932867.045393184</v>
      </c>
      <c r="S75" s="60">
        <f>IFERROR(S18/$B61,".")</f>
        <v>23163110.588672746</v>
      </c>
      <c r="T75" s="60">
        <f>IFERROR(T18/$B61,".")</f>
        <v>310492341.61447906</v>
      </c>
      <c r="U75" s="189">
        <f t="shared" ref="U75:Y75" si="284">IFERROR(U18/$B61,0)</f>
        <v>3.9316391254027097E-3</v>
      </c>
      <c r="V75" s="189">
        <f t="shared" si="284"/>
        <v>4.0092677917439833E-2</v>
      </c>
      <c r="W75" s="189">
        <f t="shared" si="284"/>
        <v>9.7934290225772987E-3</v>
      </c>
      <c r="X75" s="189">
        <f t="shared" si="284"/>
        <v>5.1634754284961316E-3</v>
      </c>
      <c r="Y75" s="189">
        <f t="shared" si="284"/>
        <v>6.921434711996749E-2</v>
      </c>
      <c r="Z75" s="49">
        <f>IF(P75=".",".",s_RadSpec!$G$18*Z18*$B$75)</f>
        <v>1.4174625531802545E-6</v>
      </c>
      <c r="AA75" s="49">
        <f>IF(Q75=".",".",s_RadSpec!$N$18*AA18*$B$75)</f>
        <v>1.3900172107118196E-7</v>
      </c>
      <c r="AB75" s="49">
        <f>IF(R75=".",".",s_RadSpec!$O$18*AB18*$B$75)</f>
        <v>5.6905004570197986E-7</v>
      </c>
      <c r="AC75" s="49">
        <f>IF(S75=".",".",s_RadSpec!$P$18*AC18*$B$75)</f>
        <v>1.0793023633114944E-6</v>
      </c>
      <c r="AD75" s="49">
        <f>IF(T75=".",".",s_RadSpec!$L$18*AD18*$B$75)</f>
        <v>8.0517283840260058E-8</v>
      </c>
      <c r="AE75" s="60">
        <f>IFERROR(AE18/$B61,".")</f>
        <v>2.8800028800028801</v>
      </c>
      <c r="AF75" s="60">
        <f>IFERROR(AF18/$B61,".")</f>
        <v>6130638528.026804</v>
      </c>
      <c r="AG75" s="60">
        <f>IFERROR(AG18/$B61,".")</f>
        <v>2.8800028786499352</v>
      </c>
      <c r="AH75" s="189">
        <f t="shared" ref="AH75" si="285">IFERROR(AH18/$B61,0)</f>
        <v>6.4200462373042502E-13</v>
      </c>
      <c r="AI75" s="49">
        <f>IF(AE75=".",".",s_RadSpec!$H$18*AI18*$B$75)</f>
        <v>8.6805468749999992</v>
      </c>
      <c r="AJ75" s="49">
        <f>IF(AF75=".",".",s_RadSpec!$K$18*AJ18*$B$75)</f>
        <v>4.0778786558219176E-9</v>
      </c>
      <c r="AK75" s="49">
        <f t="shared" si="57"/>
        <v>8.6805468790778786</v>
      </c>
      <c r="AL75" s="60">
        <f>IFERROR(AL18/$B61,".")</f>
        <v>2.8080028080028083</v>
      </c>
      <c r="AM75" s="60" t="str">
        <f>IFERROR(AM18,".")</f>
        <v>.</v>
      </c>
      <c r="AN75" s="60">
        <f>IFERROR(AN18/$B61,".")</f>
        <v>1766926259.6968441</v>
      </c>
      <c r="AO75" s="60">
        <f>IFERROR(AO18/$B61,".")</f>
        <v>10.314578800703334</v>
      </c>
      <c r="AP75" s="60">
        <f>IFERROR(AP18/$B61,".")</f>
        <v>2.2071393467537068</v>
      </c>
      <c r="AQ75" s="189">
        <f t="shared" ref="AQ75" si="286">IFERROR(AQ18/$B61,0)</f>
        <v>4.9201119774487041E-13</v>
      </c>
      <c r="AR75" s="49">
        <f>IF(AL75=".",".",s_RadSpec!$I$18*AR18*$B$75)</f>
        <v>8.9031249999999993</v>
      </c>
      <c r="AS75" s="49" t="str">
        <f>IF(AM75=".",".",s_RadSpec!$H$18*AS18*$B$75)</f>
        <v>.</v>
      </c>
      <c r="AT75" s="49">
        <f>IF(AN75=".",".",s_RadSpec!$M$18*AT18*$B$75)</f>
        <v>1.4148864369863012E-8</v>
      </c>
      <c r="AU75" s="49">
        <f>s_b2w!AC75</f>
        <v>2.4237538423086455</v>
      </c>
      <c r="AV75" s="49">
        <f t="shared" si="61"/>
        <v>11.32687885645751</v>
      </c>
      <c r="AW75" s="60">
        <f>IFERROR(AW18/$B61,".")</f>
        <v>0.5105459650914197</v>
      </c>
      <c r="AX75" s="189">
        <f t="shared" ref="AX75" si="287">IFERROR(AX18/$B61,0)</f>
        <v>1.1380991062385825E-10</v>
      </c>
      <c r="AY75" s="49">
        <f>IF(AW75=".",".",s_RadSpec!$F$18*AY18*$B$75)</f>
        <v>48.967187500000001</v>
      </c>
    </row>
    <row r="76" spans="1:51" x14ac:dyDescent="0.25">
      <c r="A76" s="48" t="s">
        <v>1083</v>
      </c>
      <c r="B76" s="45">
        <v>1.339E-6</v>
      </c>
      <c r="C76" s="170"/>
      <c r="D76" s="60" t="str">
        <f t="shared" ref="D76:I76" si="288">IFERROR(D27/$B62,".")</f>
        <v>.</v>
      </c>
      <c r="E76" s="60" t="str">
        <f t="shared" si="288"/>
        <v>.</v>
      </c>
      <c r="F76" s="60">
        <f t="shared" si="288"/>
        <v>95441877379.29071</v>
      </c>
      <c r="G76" s="60" t="str">
        <f t="shared" si="288"/>
        <v>.</v>
      </c>
      <c r="H76" s="60" t="str">
        <f t="shared" si="288"/>
        <v>.</v>
      </c>
      <c r="I76" s="60">
        <f t="shared" si="288"/>
        <v>95441877379.29071</v>
      </c>
      <c r="J76" s="189">
        <f>IFERROR(J27/$B62,0)</f>
        <v>4.3990425126326982E-4</v>
      </c>
      <c r="K76" s="49" t="str">
        <f>IF(D76=".",".",s_RadSpec!$E$27*K27*$B$76)</f>
        <v>.</v>
      </c>
      <c r="L76" s="49" t="str">
        <f>IF(E76=".",".",s_RadSpec!$H$27*L27*$B$76)</f>
        <v>.</v>
      </c>
      <c r="M76" s="49">
        <f>IF(F76=".",".",s_RadSpec!$G$27*M27*$B$76)</f>
        <v>2.6193952472926294E-10</v>
      </c>
      <c r="N76" s="49" t="str">
        <f>s_b2s!AC76</f>
        <v>.</v>
      </c>
      <c r="O76" s="49">
        <f t="shared" si="228"/>
        <v>2.6193952472926294E-10</v>
      </c>
      <c r="P76" s="60">
        <f>IFERROR(P27/$B62,".")</f>
        <v>95441877379.29071</v>
      </c>
      <c r="Q76" s="60">
        <f>IFERROR(Q27/$B62,".")</f>
        <v>476941559511.65546</v>
      </c>
      <c r="R76" s="60">
        <f>IFERROR(R27/$B62,".")</f>
        <v>209743502386.63846</v>
      </c>
      <c r="S76" s="60">
        <f>IFERROR(S27/$B62,".")</f>
        <v>129475932561.97394</v>
      </c>
      <c r="T76" s="60">
        <f>IFERROR(T27/$B62,".")</f>
        <v>158148998432.84109</v>
      </c>
      <c r="U76" s="189">
        <f t="shared" ref="U76:Y76" si="289">IFERROR(U27/$B62,0)</f>
        <v>4.3990425126326982E-4</v>
      </c>
      <c r="V76" s="189">
        <f t="shared" si="289"/>
        <v>2.1982868044340877E-3</v>
      </c>
      <c r="W76" s="189">
        <f t="shared" si="289"/>
        <v>9.6673557675375796E-4</v>
      </c>
      <c r="X76" s="189">
        <f t="shared" si="289"/>
        <v>5.9677171839295239E-4</v>
      </c>
      <c r="Y76" s="189">
        <f t="shared" si="289"/>
        <v>7.2892967588178024E-4</v>
      </c>
      <c r="Z76" s="49">
        <f>IF(P76=".",".",s_RadSpec!$G$27*Z27*$B$76)</f>
        <v>2.6193952472926294E-10</v>
      </c>
      <c r="AA76" s="49">
        <f>IF(Q76=".",".",s_RadSpec!$N$27*AA27*$B$76)</f>
        <v>5.2417323467465727E-11</v>
      </c>
      <c r="AB76" s="49">
        <f>IF(R76=".",".",s_RadSpec!$O$27*AB27*$B$76)</f>
        <v>1.1919320367748659E-10</v>
      </c>
      <c r="AC76" s="49">
        <f>IF(S76=".",".",s_RadSpec!$P$27*AC27*$B$76)</f>
        <v>1.9308607789353974E-10</v>
      </c>
      <c r="AD76" s="49">
        <f>IF(T76=".",".",s_RadSpec!$L$27*AD27*$B$76)</f>
        <v>1.5807877538103031E-10</v>
      </c>
      <c r="AE76" s="60" t="str">
        <f>IFERROR(AE27/$B62,".")</f>
        <v>.</v>
      </c>
      <c r="AF76" s="60">
        <f>IFERROR(AF27/$B62,".")</f>
        <v>5132094414177.8936</v>
      </c>
      <c r="AG76" s="60">
        <f>IFERROR(AG27/$B62,".")</f>
        <v>5132094414177.8936</v>
      </c>
      <c r="AH76" s="189">
        <f t="shared" ref="AH76" si="290">IFERROR(AH27/$B62,0)</f>
        <v>2.365450274735694E-5</v>
      </c>
      <c r="AI76" s="49" t="str">
        <f>IF(AE76=".",".",s_RadSpec!$H$27*AI27*$B$76)</f>
        <v>.</v>
      </c>
      <c r="AJ76" s="49">
        <f>IF(AF76=".",".",s_RadSpec!$K$27*AJ27*$B$76)</f>
        <v>4.8713055494332189E-12</v>
      </c>
      <c r="AK76" s="49">
        <f t="shared" si="57"/>
        <v>4.8713055494332189E-12</v>
      </c>
      <c r="AL76" s="60" t="str">
        <f>IFERROR(AL27/$B62,".")</f>
        <v>.</v>
      </c>
      <c r="AM76" s="60" t="str">
        <f>IFERROR(AM27,".")</f>
        <v>.</v>
      </c>
      <c r="AN76" s="60">
        <f>IFERROR(AN27/$B62,".")</f>
        <v>2680844055827.1372</v>
      </c>
      <c r="AO76" s="60" t="str">
        <f>IFERROR(AO27/$B62,".")</f>
        <v>.</v>
      </c>
      <c r="AP76" s="60">
        <f>IFERROR(AP27/$B62,".")</f>
        <v>2680844055827.1372</v>
      </c>
      <c r="AQ76" s="189">
        <f t="shared" ref="AQ76" si="291">IFERROR(AQ27/$B62,0)</f>
        <v>1.2356365250921979E-5</v>
      </c>
      <c r="AR76" s="49" t="str">
        <f>IF(AL76=".",".",s_RadSpec!$I$27*AR27*$B$76)</f>
        <v>.</v>
      </c>
      <c r="AS76" s="49" t="str">
        <f>IF(AM76=".",".",s_RadSpec!$H$27*AS27*$B$76)</f>
        <v>.</v>
      </c>
      <c r="AT76" s="49">
        <f>IF(AN76=".",".",s_RadSpec!$M$27*AT27*$B$76)</f>
        <v>9.3254212029452056E-12</v>
      </c>
      <c r="AU76" s="49" t="str">
        <f>s_b2w!AC76</f>
        <v>.</v>
      </c>
      <c r="AV76" s="49">
        <f t="shared" si="61"/>
        <v>9.3254212029452056E-12</v>
      </c>
      <c r="AW76" s="60" t="str">
        <f>IFERROR(AW27/$B62,".")</f>
        <v>.</v>
      </c>
      <c r="AX76" s="189">
        <f t="shared" ref="AX76" si="292">IFERROR(AX27/$B62,0)</f>
        <v>0</v>
      </c>
      <c r="AY76" s="49" t="str">
        <f>IF(AW76=".",".",s_RadSpec!$F$27*AY27*$B$76)</f>
        <v>.</v>
      </c>
    </row>
  </sheetData>
  <sheetProtection algorithmName="SHA-512" hashValue="+C/5bsfGoplbXOdR6umiQ8mbWotX1uHB49WtmwjXsaY80EFF+ahMrpQ4fQXgY1K8b1NB59L+remqOS3edfmpAQ==" saltValue="mIjBK670BjotZ09gQ2Fn9g==" spinCount="100000" sheet="1" formatColumns="0" formatRows="0" autoFilter="0"/>
  <autoFilter ref="A1:AY76" xr:uid="{07DD4F8B-0CD7-41C0-A701-7E5E2F1E8003}"/>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499984740745262"/>
  </sheetPr>
  <dimension ref="A1:EN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5.140625" style="4" bestFit="1" customWidth="1"/>
    <col min="2" max="2" width="12" style="4" bestFit="1" customWidth="1"/>
    <col min="3" max="3" width="13.28515625" style="4" customWidth="1"/>
    <col min="4" max="4" width="13.7109375" style="3" bestFit="1" customWidth="1"/>
    <col min="5" max="5" width="12.85546875" style="3" bestFit="1" customWidth="1"/>
    <col min="6" max="6" width="9.85546875" style="3" bestFit="1" customWidth="1"/>
    <col min="7" max="7" width="10.5703125" style="3" bestFit="1" customWidth="1"/>
    <col min="8" max="8" width="11" style="3" bestFit="1" customWidth="1"/>
    <col min="9" max="9" width="11.7109375" style="3" bestFit="1" customWidth="1"/>
    <col min="10" max="10" width="10" style="3" bestFit="1" customWidth="1"/>
    <col min="11" max="11" width="12.42578125" style="3" bestFit="1" customWidth="1"/>
    <col min="12" max="12" width="10.5703125" style="3" bestFit="1" customWidth="1"/>
    <col min="13" max="13" width="11.7109375" style="3" bestFit="1" customWidth="1"/>
    <col min="14" max="14" width="12.5703125" style="3" bestFit="1" customWidth="1"/>
    <col min="15" max="15" width="13.42578125" style="3" bestFit="1" customWidth="1"/>
    <col min="16" max="16" width="13" style="3" bestFit="1" customWidth="1"/>
    <col min="17" max="17" width="12.42578125" style="3" bestFit="1" customWidth="1"/>
    <col min="18" max="18" width="10" style="3" bestFit="1" customWidth="1"/>
    <col min="19" max="19" width="10.42578125" style="3" bestFit="1" customWidth="1"/>
    <col min="20" max="20" width="11" style="3" bestFit="1" customWidth="1"/>
    <col min="21" max="21" width="11.42578125" style="3" bestFit="1" customWidth="1"/>
    <col min="22" max="22" width="10" style="3" bestFit="1" customWidth="1"/>
    <col min="23" max="23" width="12" style="3" bestFit="1" customWidth="1"/>
    <col min="24" max="27" width="12" style="3" customWidth="1"/>
    <col min="28" max="28" width="13.140625" style="3" bestFit="1" customWidth="1"/>
    <col min="29" max="29" width="18.28515625" style="3" bestFit="1" customWidth="1"/>
    <col min="30" max="30" width="13.85546875" style="3" bestFit="1" customWidth="1"/>
    <col min="31" max="31" width="13" style="3" bestFit="1" customWidth="1"/>
    <col min="32" max="32" width="10.28515625" style="3" bestFit="1" customWidth="1"/>
    <col min="33" max="33" width="10.85546875" style="3" bestFit="1" customWidth="1"/>
    <col min="34" max="34" width="11.28515625" style="3" bestFit="1" customWidth="1"/>
    <col min="35" max="35" width="12" style="3" bestFit="1" customWidth="1"/>
    <col min="36" max="36" width="10.140625" style="3" bestFit="1" customWidth="1"/>
    <col min="37" max="37" width="12.5703125" style="3" bestFit="1" customWidth="1"/>
    <col min="38" max="38" width="11" style="3" bestFit="1" customWidth="1"/>
    <col min="39" max="39" width="12" style="3" bestFit="1" customWidth="1"/>
    <col min="40" max="40" width="13" style="3" bestFit="1" customWidth="1"/>
    <col min="41" max="41" width="13.85546875" style="3" bestFit="1" customWidth="1"/>
    <col min="42" max="42" width="13.140625" style="3" bestFit="1" customWidth="1"/>
    <col min="43" max="43" width="13.28515625" style="3" bestFit="1" customWidth="1"/>
    <col min="44" max="44" width="13.140625" style="2" bestFit="1" customWidth="1"/>
    <col min="45" max="45" width="17.42578125" style="3" bestFit="1" customWidth="1"/>
    <col min="46" max="46" width="13.7109375" style="3" bestFit="1" customWidth="1"/>
    <col min="47" max="47" width="16.140625" style="3" bestFit="1" customWidth="1"/>
    <col min="48" max="48" width="14.28515625" style="3" bestFit="1" customWidth="1"/>
    <col min="49" max="49" width="14.7109375" style="3" bestFit="1" customWidth="1"/>
    <col min="50" max="50" width="15.28515625" style="3" bestFit="1" customWidth="1"/>
    <col min="51" max="51" width="16.5703125" style="3" bestFit="1" customWidth="1"/>
    <col min="52" max="52" width="13.5703125" style="3" bestFit="1" customWidth="1"/>
    <col min="53" max="53" width="14.28515625" style="3" bestFit="1" customWidth="1"/>
    <col min="54" max="54" width="16.42578125" style="3" bestFit="1" customWidth="1"/>
    <col min="55" max="55" width="15.42578125" style="3" bestFit="1" customWidth="1"/>
    <col min="56" max="56" width="17.28515625" style="3" bestFit="1" customWidth="1"/>
    <col min="57" max="58" width="8.7109375" style="3" bestFit="1" customWidth="1"/>
    <col min="59" max="59" width="8.85546875" style="3" bestFit="1" customWidth="1"/>
    <col min="60" max="60" width="11.85546875" style="3" bestFit="1" customWidth="1"/>
    <col min="61" max="61" width="9" style="3" bestFit="1" customWidth="1"/>
    <col min="62" max="62" width="10.85546875" style="3" bestFit="1" customWidth="1"/>
    <col min="63" max="63" width="9.5703125" style="3" bestFit="1" customWidth="1"/>
    <col min="64" max="64" width="10" style="3" bestFit="1" customWidth="1"/>
    <col min="65" max="65" width="10.42578125" style="3" bestFit="1" customWidth="1"/>
    <col min="66" max="66" width="11.28515625" style="3" bestFit="1" customWidth="1"/>
    <col min="67" max="67" width="9" style="3" bestFit="1" customWidth="1"/>
    <col min="68" max="68" width="9.7109375" style="3" bestFit="1" customWidth="1"/>
    <col min="69" max="69" width="11.140625" style="3" bestFit="1" customWidth="1"/>
    <col min="70" max="70" width="10.42578125" style="3" bestFit="1" customWidth="1"/>
    <col min="71" max="71" width="11.85546875" style="3" bestFit="1" customWidth="1"/>
    <col min="72" max="72" width="13" style="3" bestFit="1" customWidth="1"/>
    <col min="73" max="73" width="17" style="2" bestFit="1" customWidth="1"/>
    <col min="74" max="76" width="13.42578125" style="3" bestFit="1" customWidth="1"/>
    <col min="77" max="77" width="17.5703125" style="3" bestFit="1" customWidth="1"/>
    <col min="78" max="78" width="13.85546875" style="3" bestFit="1" customWidth="1"/>
    <col min="79" max="79" width="16.42578125" style="3" bestFit="1" customWidth="1"/>
    <col min="80" max="80" width="14.42578125" style="3" bestFit="1" customWidth="1"/>
    <col min="81" max="81" width="15" style="3" bestFit="1" customWidth="1"/>
    <col min="82" max="82" width="15.5703125" style="3" bestFit="1" customWidth="1"/>
    <col min="83" max="83" width="16.85546875" style="3" bestFit="1" customWidth="1"/>
    <col min="84" max="84" width="14" style="3" bestFit="1" customWidth="1"/>
    <col min="85" max="85" width="14.7109375" style="3" bestFit="1" customWidth="1"/>
    <col min="86" max="86" width="16.85546875" style="3" bestFit="1" customWidth="1"/>
    <col min="87" max="87" width="15.7109375" style="3" bestFit="1" customWidth="1"/>
    <col min="88" max="88" width="17.5703125" style="3" bestFit="1" customWidth="1"/>
    <col min="89" max="89" width="17.28515625" style="3" bestFit="1" customWidth="1"/>
    <col min="90" max="91" width="13.42578125" style="3" bestFit="1" customWidth="1"/>
    <col min="92" max="92" width="14.5703125" style="3" bestFit="1" customWidth="1"/>
    <col min="93" max="93" width="17.7109375" style="3" bestFit="1" customWidth="1"/>
    <col min="94" max="94" width="13.85546875" style="3" bestFit="1" customWidth="1"/>
    <col min="95" max="95" width="16.42578125" style="3" bestFit="1" customWidth="1"/>
    <col min="96" max="96" width="14.42578125" style="3" bestFit="1" customWidth="1"/>
    <col min="97" max="97" width="15" style="3" bestFit="1" customWidth="1"/>
    <col min="98" max="98" width="15.5703125" style="3" bestFit="1" customWidth="1"/>
    <col min="99" max="99" width="16.85546875" style="3" bestFit="1" customWidth="1"/>
    <col min="100" max="100" width="13.85546875" style="3" bestFit="1" customWidth="1"/>
    <col min="101" max="101" width="14.42578125" style="3" bestFit="1" customWidth="1"/>
    <col min="102" max="102" width="16.5703125" style="3" bestFit="1" customWidth="1"/>
    <col min="103" max="103" width="15.7109375" style="3" bestFit="1" customWidth="1"/>
    <col min="104" max="104" width="17.42578125" style="3" bestFit="1" customWidth="1"/>
    <col min="105" max="106" width="9" style="2" bestFit="1" customWidth="1"/>
    <col min="107" max="107" width="9.85546875" style="2" bestFit="1" customWidth="1"/>
    <col min="108" max="108" width="12" style="2" bestFit="1" customWidth="1"/>
    <col min="109" max="109" width="9.28515625" style="2" bestFit="1" customWidth="1"/>
    <col min="110" max="110" width="11.140625" style="2" bestFit="1" customWidth="1"/>
    <col min="111" max="111" width="9.85546875" style="2" bestFit="1" customWidth="1"/>
    <col min="112" max="112" width="10.140625" style="2" bestFit="1" customWidth="1"/>
    <col min="113" max="113" width="10.7109375" style="2" bestFit="1" customWidth="1"/>
    <col min="114" max="114" width="11.5703125" style="2" bestFit="1" customWidth="1"/>
    <col min="115" max="115" width="9.28515625" style="2" bestFit="1" customWidth="1"/>
    <col min="116" max="116" width="9.85546875" style="2" bestFit="1" customWidth="1"/>
    <col min="117" max="117" width="11.42578125" style="2" bestFit="1" customWidth="1"/>
    <col min="118" max="118" width="10.7109375" style="2" bestFit="1" customWidth="1"/>
    <col min="119" max="119" width="12" style="2" bestFit="1" customWidth="1"/>
    <col min="120" max="120" width="13.28515625" style="3" bestFit="1" customWidth="1"/>
    <col min="121" max="121" width="15.42578125" style="3" bestFit="1" customWidth="1"/>
    <col min="122" max="123" width="13.85546875" style="3" bestFit="1" customWidth="1"/>
    <col min="124" max="124" width="14.85546875" style="3" bestFit="1" customWidth="1"/>
    <col min="125" max="125" width="17.85546875" style="3" bestFit="1" customWidth="1"/>
    <col min="126" max="126" width="14.140625" style="3" bestFit="1" customWidth="1"/>
    <col min="127" max="127" width="16.7109375" style="3" bestFit="1" customWidth="1"/>
    <col min="128" max="128" width="14.85546875" style="3" bestFit="1" customWidth="1"/>
    <col min="129" max="129" width="15.28515625" style="3" bestFit="1" customWidth="1"/>
    <col min="130" max="130" width="16" style="3" bestFit="1" customWidth="1"/>
    <col min="131" max="131" width="17" style="3" bestFit="1" customWidth="1"/>
    <col min="132" max="132" width="14.28515625" style="3" bestFit="1" customWidth="1"/>
    <col min="133" max="133" width="15" style="3" bestFit="1" customWidth="1"/>
    <col min="134" max="134" width="17" style="3" bestFit="1" customWidth="1"/>
    <col min="135" max="135" width="16" style="3" bestFit="1" customWidth="1"/>
    <col min="136" max="136" width="17.85546875" style="3" bestFit="1" customWidth="1"/>
    <col min="137" max="137" width="14.140625" style="3" bestFit="1" customWidth="1"/>
    <col min="138" max="138" width="12.5703125" style="3" bestFit="1" customWidth="1"/>
    <col min="139" max="139" width="13" style="3" bestFit="1" customWidth="1"/>
    <col min="140" max="140" width="12.42578125" style="3" bestFit="1" customWidth="1"/>
    <col min="141" max="141" width="15" style="3" bestFit="1" customWidth="1"/>
    <col min="142" max="142" width="13" style="3" bestFit="1" customWidth="1"/>
    <col min="143" max="144" width="13.28515625" style="3" bestFit="1" customWidth="1"/>
    <col min="145" max="16384" width="15.5703125" style="3"/>
  </cols>
  <sheetData>
    <row r="1" spans="1:144" s="14" customFormat="1" x14ac:dyDescent="0.25">
      <c r="A1" s="72" t="s">
        <v>39</v>
      </c>
      <c r="B1" s="73" t="s">
        <v>334</v>
      </c>
      <c r="C1" s="72"/>
      <c r="D1" s="64" t="s">
        <v>1392</v>
      </c>
      <c r="E1" s="64" t="s">
        <v>1393</v>
      </c>
      <c r="F1" s="64" t="s">
        <v>1394</v>
      </c>
      <c r="G1" s="64" t="s">
        <v>1395</v>
      </c>
      <c r="H1" s="64" t="s">
        <v>1396</v>
      </c>
      <c r="I1" s="64" t="s">
        <v>1397</v>
      </c>
      <c r="J1" s="64" t="s">
        <v>1398</v>
      </c>
      <c r="K1" s="64" t="s">
        <v>1399</v>
      </c>
      <c r="L1" s="64" t="s">
        <v>1485</v>
      </c>
      <c r="M1" s="64" t="s">
        <v>1486</v>
      </c>
      <c r="N1" s="64" t="s">
        <v>1487</v>
      </c>
      <c r="O1" s="64" t="s">
        <v>1488</v>
      </c>
      <c r="P1" s="38" t="s">
        <v>1523</v>
      </c>
      <c r="Q1" s="38" t="s">
        <v>1524</v>
      </c>
      <c r="R1" s="38" t="s">
        <v>1525</v>
      </c>
      <c r="S1" s="38" t="s">
        <v>1526</v>
      </c>
      <c r="T1" s="38" t="s">
        <v>1527</v>
      </c>
      <c r="U1" s="38" t="s">
        <v>1528</v>
      </c>
      <c r="V1" s="38" t="s">
        <v>1529</v>
      </c>
      <c r="W1" s="38" t="s">
        <v>1530</v>
      </c>
      <c r="X1" s="38" t="s">
        <v>1531</v>
      </c>
      <c r="Y1" s="38" t="s">
        <v>1532</v>
      </c>
      <c r="Z1" s="38" t="s">
        <v>1533</v>
      </c>
      <c r="AA1" s="38" t="s">
        <v>1534</v>
      </c>
      <c r="AB1" s="64" t="s">
        <v>1400</v>
      </c>
      <c r="AC1" s="247" t="s">
        <v>1516</v>
      </c>
      <c r="AD1" s="109" t="s">
        <v>1192</v>
      </c>
      <c r="AE1" s="109" t="s">
        <v>1193</v>
      </c>
      <c r="AF1" s="109" t="s">
        <v>1194</v>
      </c>
      <c r="AG1" s="109" t="s">
        <v>1195</v>
      </c>
      <c r="AH1" s="109" t="s">
        <v>1196</v>
      </c>
      <c r="AI1" s="109" t="s">
        <v>1197</v>
      </c>
      <c r="AJ1" s="109" t="s">
        <v>1198</v>
      </c>
      <c r="AK1" s="109" t="s">
        <v>1308</v>
      </c>
      <c r="AL1" s="109" t="s">
        <v>1199</v>
      </c>
      <c r="AM1" s="109" t="s">
        <v>1200</v>
      </c>
      <c r="AN1" s="109" t="s">
        <v>1201</v>
      </c>
      <c r="AO1" s="109" t="s">
        <v>1202</v>
      </c>
      <c r="AP1" s="64" t="s">
        <v>1372</v>
      </c>
      <c r="AQ1" s="64" t="s">
        <v>1373</v>
      </c>
      <c r="AR1" s="65" t="s">
        <v>1374</v>
      </c>
      <c r="AS1" s="64" t="s">
        <v>1375</v>
      </c>
      <c r="AT1" s="64" t="s">
        <v>1406</v>
      </c>
      <c r="AU1" s="64" t="s">
        <v>1407</v>
      </c>
      <c r="AV1" s="64" t="s">
        <v>1403</v>
      </c>
      <c r="AW1" s="64" t="s">
        <v>1404</v>
      </c>
      <c r="AX1" s="64" t="s">
        <v>1405</v>
      </c>
      <c r="AY1" s="64" t="s">
        <v>1401</v>
      </c>
      <c r="AZ1" s="64" t="s">
        <v>1402</v>
      </c>
      <c r="BA1" s="64" t="s">
        <v>1489</v>
      </c>
      <c r="BB1" s="64" t="s">
        <v>1490</v>
      </c>
      <c r="BC1" s="64" t="s">
        <v>1491</v>
      </c>
      <c r="BD1" s="64" t="s">
        <v>1492</v>
      </c>
      <c r="BE1" s="38" t="s">
        <v>1149</v>
      </c>
      <c r="BF1" s="38" t="s">
        <v>1150</v>
      </c>
      <c r="BG1" s="38" t="s">
        <v>1151</v>
      </c>
      <c r="BH1" s="38" t="s">
        <v>1152</v>
      </c>
      <c r="BI1" s="38" t="s">
        <v>1158</v>
      </c>
      <c r="BJ1" s="38" t="s">
        <v>1287</v>
      </c>
      <c r="BK1" s="38" t="s">
        <v>1155</v>
      </c>
      <c r="BL1" s="38" t="s">
        <v>1156</v>
      </c>
      <c r="BM1" s="38" t="s">
        <v>1157</v>
      </c>
      <c r="BN1" s="38" t="s">
        <v>1153</v>
      </c>
      <c r="BO1" s="38" t="s">
        <v>1154</v>
      </c>
      <c r="BP1" s="38" t="s">
        <v>1188</v>
      </c>
      <c r="BQ1" s="38" t="s">
        <v>1190</v>
      </c>
      <c r="BR1" s="38" t="s">
        <v>1189</v>
      </c>
      <c r="BS1" s="38" t="s">
        <v>1191</v>
      </c>
      <c r="BT1" s="64" t="s">
        <v>1377</v>
      </c>
      <c r="BU1" s="189" t="s">
        <v>1255</v>
      </c>
      <c r="BV1" s="109" t="s">
        <v>1169</v>
      </c>
      <c r="BW1" s="109" t="s">
        <v>1170</v>
      </c>
      <c r="BX1" s="109" t="s">
        <v>1171</v>
      </c>
      <c r="BY1" s="109" t="s">
        <v>1172</v>
      </c>
      <c r="BZ1" s="109" t="s">
        <v>1208</v>
      </c>
      <c r="CA1" s="109" t="s">
        <v>1309</v>
      </c>
      <c r="CB1" s="109" t="s">
        <v>1205</v>
      </c>
      <c r="CC1" s="109" t="s">
        <v>1206</v>
      </c>
      <c r="CD1" s="109" t="s">
        <v>1207</v>
      </c>
      <c r="CE1" s="109" t="s">
        <v>1203</v>
      </c>
      <c r="CF1" s="109" t="s">
        <v>1204</v>
      </c>
      <c r="CG1" s="109" t="s">
        <v>1209</v>
      </c>
      <c r="CH1" s="109" t="s">
        <v>1211</v>
      </c>
      <c r="CI1" s="109" t="s">
        <v>1210</v>
      </c>
      <c r="CJ1" s="109" t="s">
        <v>1212</v>
      </c>
      <c r="CK1" s="110" t="s">
        <v>1510</v>
      </c>
      <c r="CL1" s="64" t="s">
        <v>1422</v>
      </c>
      <c r="CM1" s="64" t="s">
        <v>1493</v>
      </c>
      <c r="CN1" s="64" t="s">
        <v>1423</v>
      </c>
      <c r="CO1" s="64" t="s">
        <v>1494</v>
      </c>
      <c r="CP1" s="64" t="s">
        <v>1495</v>
      </c>
      <c r="CQ1" s="64" t="s">
        <v>1496</v>
      </c>
      <c r="CR1" s="64" t="s">
        <v>1497</v>
      </c>
      <c r="CS1" s="64" t="s">
        <v>1498</v>
      </c>
      <c r="CT1" s="64" t="s">
        <v>1499</v>
      </c>
      <c r="CU1" s="64" t="s">
        <v>1500</v>
      </c>
      <c r="CV1" s="64" t="s">
        <v>1501</v>
      </c>
      <c r="CW1" s="64" t="s">
        <v>1502</v>
      </c>
      <c r="CX1" s="64" t="s">
        <v>1503</v>
      </c>
      <c r="CY1" s="64" t="s">
        <v>1504</v>
      </c>
      <c r="CZ1" s="64" t="s">
        <v>1505</v>
      </c>
      <c r="DA1" s="38" t="s">
        <v>1317</v>
      </c>
      <c r="DB1" s="38" t="s">
        <v>1318</v>
      </c>
      <c r="DC1" s="38" t="s">
        <v>1319</v>
      </c>
      <c r="DD1" s="38" t="s">
        <v>1320</v>
      </c>
      <c r="DE1" s="38" t="s">
        <v>1321</v>
      </c>
      <c r="DF1" s="38" t="s">
        <v>1322</v>
      </c>
      <c r="DG1" s="38" t="s">
        <v>1323</v>
      </c>
      <c r="DH1" s="38" t="s">
        <v>1324</v>
      </c>
      <c r="DI1" s="38" t="s">
        <v>1325</v>
      </c>
      <c r="DJ1" s="38" t="s">
        <v>1326</v>
      </c>
      <c r="DK1" s="38" t="s">
        <v>1327</v>
      </c>
      <c r="DL1" s="38" t="s">
        <v>1328</v>
      </c>
      <c r="DM1" s="38" t="s">
        <v>1329</v>
      </c>
      <c r="DN1" s="38" t="s">
        <v>1330</v>
      </c>
      <c r="DO1" s="38" t="s">
        <v>1331</v>
      </c>
      <c r="DP1" s="64" t="s">
        <v>1426</v>
      </c>
      <c r="DQ1" s="189" t="s">
        <v>1262</v>
      </c>
      <c r="DR1" s="109" t="s">
        <v>1213</v>
      </c>
      <c r="DS1" s="109" t="s">
        <v>1332</v>
      </c>
      <c r="DT1" s="109" t="s">
        <v>1214</v>
      </c>
      <c r="DU1" s="109" t="s">
        <v>1333</v>
      </c>
      <c r="DV1" s="109" t="s">
        <v>1334</v>
      </c>
      <c r="DW1" s="109" t="s">
        <v>1335</v>
      </c>
      <c r="DX1" s="109" t="s">
        <v>1336</v>
      </c>
      <c r="DY1" s="109" t="s">
        <v>1337</v>
      </c>
      <c r="DZ1" s="109" t="s">
        <v>1338</v>
      </c>
      <c r="EA1" s="109" t="s">
        <v>1339</v>
      </c>
      <c r="EB1" s="109" t="s">
        <v>1340</v>
      </c>
      <c r="EC1" s="109" t="s">
        <v>1341</v>
      </c>
      <c r="ED1" s="109" t="s">
        <v>1342</v>
      </c>
      <c r="EE1" s="109" t="s">
        <v>1343</v>
      </c>
      <c r="EF1" s="109" t="s">
        <v>1344</v>
      </c>
      <c r="EG1" s="110" t="s">
        <v>1513</v>
      </c>
      <c r="EH1" s="64" t="s">
        <v>1383</v>
      </c>
      <c r="EI1" s="64" t="s">
        <v>1384</v>
      </c>
      <c r="EJ1" s="64" t="s">
        <v>1385</v>
      </c>
      <c r="EK1" s="188" t="s">
        <v>1261</v>
      </c>
      <c r="EL1" s="109" t="s">
        <v>1178</v>
      </c>
      <c r="EM1" s="109" t="s">
        <v>1179</v>
      </c>
      <c r="EN1" s="110" t="s">
        <v>1511</v>
      </c>
    </row>
    <row r="2" spans="1:144" customFormat="1" x14ac:dyDescent="0.25">
      <c r="A2" s="44" t="s">
        <v>0</v>
      </c>
      <c r="B2" s="42" t="s">
        <v>1057</v>
      </c>
      <c r="C2" s="42"/>
      <c r="D2" s="15">
        <f>s_dir!AC2</f>
        <v>4.2708194976576683</v>
      </c>
      <c r="E2" s="15">
        <f>IFERROR(s_DL/(s_RadSpec!F2*s_IFP_far_adj*s_CF_far_poultry),".")</f>
        <v>17.083277990630673</v>
      </c>
      <c r="F2" s="15">
        <f>IFERROR(s_DL/(s_RadSpec!F2*s_IFE_far_adj*s_CF_far_egg),".")</f>
        <v>17.083277990630673</v>
      </c>
      <c r="G2" s="15">
        <f>IFERROR(s_DL/(s_RadSpec!F2*s_IFB_far_adj*s_CF_far_beef),".")</f>
        <v>17.083277990630673</v>
      </c>
      <c r="H2" s="15">
        <f>IFERROR(s_DL/(s_RadSpec!F2*s_IFD_far_adj*s_CF_far_dairy),".")</f>
        <v>17.083277990630673</v>
      </c>
      <c r="I2" s="15">
        <f>IFERROR(s_DL/(s_RadSpec!F2*s_IFSW_far_adj*s_CF_far_swine),".")</f>
        <v>17.083277990630673</v>
      </c>
      <c r="J2" s="15">
        <f>IFERROR(s_DL/(s_RadSpec!F2*s_IFFI_far_adj*s_CF_far_fish),".")</f>
        <v>17.083277990630673</v>
      </c>
      <c r="K2" s="15">
        <f>IFERROR(s_DL/(s_RadSpec!F2*s_IFSF_far_adj*s_CF_far_shellfish),".")</f>
        <v>17.083277990630673</v>
      </c>
      <c r="L2" s="15">
        <f>IFERROR(s_DL/(s_RadSpec!F2*s_IFGO_far_adj*s_CF_far_goat),".")</f>
        <v>17.083277990630673</v>
      </c>
      <c r="M2" s="15">
        <f>IFERROR(s_DL/(s_RadSpec!F2*s_IFSH_far_adj*s_CF_far_sheep),".")</f>
        <v>17.083277990630673</v>
      </c>
      <c r="N2" s="15">
        <f>IFERROR(s_DL/(s_RadSpec!F2*s_IFGM_far_adj*s_CF_far_goat_milk),".")</f>
        <v>17.083277990630673</v>
      </c>
      <c r="O2" s="15">
        <f>IFERROR(s_DL/(s_RadSpec!F2*s_IFSM_far_adj*s_CF_far_sheep_milk),".")</f>
        <v>17.083277990630673</v>
      </c>
      <c r="P2" s="111">
        <f>IFERROR(1/D2,".")</f>
        <v>0.23414710000000005</v>
      </c>
      <c r="Q2" s="111">
        <f t="shared" ref="Q2:AA17" si="0">IFERROR(1/E2,".")</f>
        <v>5.8536775000000013E-2</v>
      </c>
      <c r="R2" s="111">
        <f t="shared" si="0"/>
        <v>5.8536775000000013E-2</v>
      </c>
      <c r="S2" s="111">
        <f t="shared" si="0"/>
        <v>5.8536775000000013E-2</v>
      </c>
      <c r="T2" s="111">
        <f t="shared" si="0"/>
        <v>5.8536775000000013E-2</v>
      </c>
      <c r="U2" s="111">
        <f t="shared" si="0"/>
        <v>5.8536775000000013E-2</v>
      </c>
      <c r="V2" s="111">
        <f t="shared" si="0"/>
        <v>5.8536775000000013E-2</v>
      </c>
      <c r="W2" s="111">
        <f t="shared" si="0"/>
        <v>5.8536775000000013E-2</v>
      </c>
      <c r="X2" s="111">
        <f t="shared" si="0"/>
        <v>5.8536775000000013E-2</v>
      </c>
      <c r="Y2" s="111">
        <f t="shared" si="0"/>
        <v>5.8536775000000013E-2</v>
      </c>
      <c r="Z2" s="111">
        <f t="shared" si="0"/>
        <v>5.8536775000000013E-2</v>
      </c>
      <c r="AA2" s="111">
        <f t="shared" si="0"/>
        <v>5.8536775000000013E-2</v>
      </c>
      <c r="AB2" s="15">
        <f>IFERROR(1/(SUMIF(P2:AA2,"&lt;&gt;0")),".")</f>
        <v>1.1388851993753786</v>
      </c>
      <c r="AC2" s="247">
        <f>IFERROR(AB2*(0.0000000000028)*s_RadSpec!$AY2*s_RadSpec!$AF2,0)</f>
        <v>1.9657470564561331E-11</v>
      </c>
      <c r="AD2" s="40">
        <f>s_dir!BC2</f>
        <v>30250</v>
      </c>
      <c r="AE2" s="40">
        <f t="shared" ref="AE2:AE30" si="1">IFERROR(s_C*s_IFP_far_adj*s_CF_far_poultry,".")</f>
        <v>7562.5</v>
      </c>
      <c r="AF2" s="40">
        <f t="shared" ref="AF2:AF30" si="2">IFERROR(s_C*s_IFE_far_adj*s_CF_far_egg,".")</f>
        <v>7562.5</v>
      </c>
      <c r="AG2" s="40">
        <f t="shared" ref="AG2:AG30" si="3">IFERROR(s_C*s_IFB_far_adj*s_CF_far_beef,".")</f>
        <v>7562.5</v>
      </c>
      <c r="AH2" s="40">
        <f t="shared" ref="AH2:AH30" si="4">IFERROR(s_C*s_IFD_far_adj*s_CF_far_dairy,".")</f>
        <v>7562.5</v>
      </c>
      <c r="AI2" s="40">
        <f t="shared" ref="AI2:AI30" si="5">IFERROR(s_C*s_IFS_far_adj*s_CF_far_swine,".")</f>
        <v>7562.5</v>
      </c>
      <c r="AJ2" s="40">
        <f t="shared" ref="AJ2:AJ30" si="6">IFERROR(s_C*s_IFFI_far_adj*s_CF_far_fish,".")</f>
        <v>7562.5</v>
      </c>
      <c r="AK2" s="40">
        <f t="shared" ref="AK2:AK30" si="7">IFERROR(s_C*s_IFSF_far_adj*s_CF_far_shellfish,".")</f>
        <v>7562.5</v>
      </c>
      <c r="AL2" s="40">
        <f t="shared" ref="AL2:AL30" si="8">IFERROR(s_C*s_IFGO_far_adj*s_CF_far_goat,".")</f>
        <v>7562.5</v>
      </c>
      <c r="AM2" s="40">
        <f t="shared" ref="AM2:AM30" si="9">IFERROR(s_C*s_IFSH_far_adj*s_CF_far_sheep,".")</f>
        <v>7562.5</v>
      </c>
      <c r="AN2" s="40">
        <f t="shared" ref="AN2:AN30" si="10">IFERROR(s_C*s_IFGM_far_adj*s_CF_far_goat_milk,".")</f>
        <v>7562.5</v>
      </c>
      <c r="AO2" s="40">
        <f t="shared" ref="AO2:AO30" si="11">IFERROR(s_C*s_IFSM_far_adj*s_CF_far_sheep_milk,".")</f>
        <v>7562.5</v>
      </c>
      <c r="AP2" s="45">
        <f>IFERROR((s_DL/(s_RadSpec!E2*s_IFS_far_adj*(1/1000)))*1,".")</f>
        <v>8541.6389953153375</v>
      </c>
      <c r="AQ2" s="45">
        <f>IFERROR(IF(A2="H-3",(s_DL/(s_RadSpec!H2*s_IFA_far_adj*(1/17)*1000))*1,(s_DL/(s_RadSpec!H2*s_IFA_far_adj*(1/s_PEF_wind)*1000))*1),".")</f>
        <v>454865.42206828768</v>
      </c>
      <c r="AR2" s="45">
        <f>IFERROR((s_DL/(s_RadSpec!G2*s_EF_far*(1/365)*1*s_RadSpec!R2*((s_ET_far_o*(1/24)*s_RadSpec!W2)+(s_ET_far_i*(1/24)*s_RadSpec!AB2))))*1,".")</f>
        <v>66637.689051180758</v>
      </c>
      <c r="AS2" s="45">
        <f>s_b2s!BC2</f>
        <v>294.53927570052889</v>
      </c>
      <c r="AT2" s="45">
        <f>IFERROR(((J2*s_RadSpec!AU2)/s_RadSpec!AJ2)*1,".")</f>
        <v>1936.1048389381431</v>
      </c>
      <c r="AU2" s="45" t="str">
        <f>IFERROR(((K2*s_RadSpec!AU2)/s_RadSpec!AK2)*1,".")</f>
        <v>.</v>
      </c>
      <c r="AV2" s="45">
        <f>IFERROR((G2/(s_RadSpec!AI2*((s_Q_p_beef*s_f_p_beef*s_f_s_beef*(s_RadSpec!BD2+s_R_es_past))+(s_Q_s_beef*s_f_p_beef))))*1,".")</f>
        <v>8541.6389953153357</v>
      </c>
      <c r="AW2" s="45">
        <f>IFERROR(((H2*s_D_milk)/(s_RadSpec!AH2*((s_Q_p_dairy*s_f_p_dairy*s_f_s_dairy*(s_RadSpec!BD2+s_R_es_past))+(s_Q_s_dairy*s_f_p_dairy))))*1,".")</f>
        <v>87978.881651747972</v>
      </c>
      <c r="AX2" s="45" t="str">
        <f>IFERROR((I2/(s_RadSpec!AN2*((s_Q_p_swine*s_f_p_swine*s_f_s_swine*(s_RadSpec!BD2+s_R_es_past))+(s_Q_s_swine*s_f_p_swine))))*1,".")</f>
        <v>.</v>
      </c>
      <c r="AY2" s="45" t="str">
        <f>IFERROR((E2/(s_RadSpec!AL2*((s_Q_p_poultry*s_f_p_poultry*s_f_s_poultry*(s_RadSpec!BD2+s_R_es_past))+(s_Q_s_poultry*s_f_p_poultry))))*1,".")</f>
        <v>.</v>
      </c>
      <c r="AZ2" s="45" t="str">
        <f>IFERROR((F2/(s_RadSpec!AM2*((s_Q_p_poultry*s_f_p_poultry*s_f_s_poultry*(s_RadSpec!BD2+s_R_es_past))+(s_Q_s_poultry*s_f_p_poultry))))*1,".")</f>
        <v>.</v>
      </c>
      <c r="BA2" s="45" t="str">
        <f>IFERROR((L2/(s_RadSpec!AQ2*((s_Q_p_goat*s_f_p_goat*s_f_s_goat*(s_RadSpec!BD2+s_R_es_past))+(s_Q_s_goat*s_f_p_goat))))*1,".")</f>
        <v>.</v>
      </c>
      <c r="BB2" s="45" t="str">
        <f>IFERROR((N2*s_D_milk/(s_RadSpec!AR2*((s_Q_p_goat_milk*s_f_p_goat_milk*s_f_s_goat_milk*(s_RadSpec!BD2+s_R_es_past))+(s_Q_s_goat_milk*s_f_p_goat_milk))))*1,".")</f>
        <v>.</v>
      </c>
      <c r="BC2" s="45" t="str">
        <f>IFERROR((M2/(s_RadSpec!AO2*((s_Q_p_sheep*s_f_p_sheep*s_f_s_sheep*(s_RadSpec!BD2+s_R_es_past))+(s_Q_s_sheep*s_f_p_sheep))))*1,".")</f>
        <v>.</v>
      </c>
      <c r="BD2" s="45" t="str">
        <f>IFERROR((O2*s_D_milk/(s_RadSpec!AP2*((s_Q_p_sheep_milk*s_f_p_sheep_milk*s_f_s_sheep_milk*(s_RadSpec!BD2+s_R_es_past))+(s_Q_s_sheep_milk*s_f_p_sheep_milk))))*1,".")</f>
        <v>.</v>
      </c>
      <c r="BE2" s="111">
        <f t="shared" ref="BE2:BE30" si="12">IFERROR(1/AP2,".")</f>
        <v>1.1707355000000001E-4</v>
      </c>
      <c r="BF2" s="111">
        <f t="shared" ref="BF2:BF30" si="13">IFERROR(1/AQ2,".")</f>
        <v>2.1984524465565395E-6</v>
      </c>
      <c r="BG2" s="111">
        <f t="shared" ref="BG2:BG30" si="14">IFERROR(1/AR2,".")</f>
        <v>1.5006522798711623E-5</v>
      </c>
      <c r="BH2" s="111">
        <f t="shared" ref="BH2:BH30" si="15">IFERROR(1/AS2,".")</f>
        <v>3.39513295E-3</v>
      </c>
      <c r="BI2" s="111">
        <f t="shared" ref="BI2:BJ30" si="16">IFERROR(1/AT2,".")</f>
        <v>5.1650095588235301E-4</v>
      </c>
      <c r="BJ2" s="111" t="str">
        <f t="shared" si="16"/>
        <v>.</v>
      </c>
      <c r="BK2" s="111">
        <f t="shared" ref="BK2:BK30" si="17">IFERROR(1/AV2,".")</f>
        <v>1.1707355000000003E-4</v>
      </c>
      <c r="BL2" s="111">
        <f t="shared" ref="BL2:BL30" si="18">IFERROR(1/AW2,".")</f>
        <v>1.1366364077669904E-5</v>
      </c>
      <c r="BM2" s="111" t="str">
        <f t="shared" ref="BM2:BM30" si="19">IFERROR(1/AX2,".")</f>
        <v>.</v>
      </c>
      <c r="BN2" s="111" t="str">
        <f t="shared" ref="BN2:BN30" si="20">IFERROR(1/AY2,".")</f>
        <v>.</v>
      </c>
      <c r="BO2" s="111" t="str">
        <f t="shared" ref="BO2:BO30" si="21">IFERROR(1/AZ2,".")</f>
        <v>.</v>
      </c>
      <c r="BP2" s="111" t="str">
        <f t="shared" ref="BP2:BP30" si="22">IFERROR(1/BA2,".")</f>
        <v>.</v>
      </c>
      <c r="BQ2" s="111" t="str">
        <f t="shared" ref="BQ2:BQ30" si="23">IFERROR(1/BB2,".")</f>
        <v>.</v>
      </c>
      <c r="BR2" s="111" t="str">
        <f t="shared" ref="BR2:BR30" si="24">IFERROR(1/BC2,".")</f>
        <v>.</v>
      </c>
      <c r="BS2" s="111" t="str">
        <f t="shared" ref="BS2:BS30" si="25">IFERROR(1/BD2,".")</f>
        <v>.</v>
      </c>
      <c r="BT2" s="15">
        <f>IFERROR(1/(SUMIF(BE2:BS2,"&lt;&gt;0")),".")</f>
        <v>239.55811999162253</v>
      </c>
      <c r="BU2" s="189">
        <f>IFERROR(BT2*(0.0000000000028)*s_RadSpec!$AY2*s_RadSpec!$AF2,0)</f>
        <v>4.1348387834170464E-9</v>
      </c>
      <c r="BV2" s="40">
        <f t="shared" ref="BV2:BV30" si="26">IFERROR(s_C*s_IFS_far_adj*(1/1000),".")</f>
        <v>15.125</v>
      </c>
      <c r="BW2" s="40">
        <f t="shared" ref="BW2:BW30" si="27">IFERROR(s_C*s_IFA_far_adj*(1/s_PEF_wind)*1000,".")</f>
        <v>1.6181272791589674E-3</v>
      </c>
      <c r="BX2" s="40">
        <f>IFERROR((s_C*s_EF_far*(1/365)*1*s_RadSpec!R2*((s_ET_far_o*(1/24)*s_RadSpec!W2)+(s_ET_far_i*(1/24)*s_RadSpec!AB2))),".")</f>
        <v>7.0967053436299422E-3</v>
      </c>
      <c r="BY2" s="40">
        <f>s_b2s!CC2</f>
        <v>438.62499999999994</v>
      </c>
      <c r="BZ2" s="40">
        <f>IFERROR(((s_C*s_RadSpec!AJ2)/s_RadSpec!AU2)*s_IFFI_far_adj*s_CF_far_fish,0)</f>
        <v>66.727941176470594</v>
      </c>
      <c r="CA2" s="40">
        <f>IFERROR(((s_C*s_RadSpec!AK2)/s_RadSpec!AU2)*s_IFSF_far_adj*s_CF_far_shellfish,0)</f>
        <v>0</v>
      </c>
      <c r="CB2" s="40">
        <f>(s_C*s_IFB_far_adj*s_CF_far_beef*s_RadSpec!AI2*((s_Q_p_beef*s_f_p_beef*s_f_s_beef*(s_RadSpec!$AT2+s_R_es_past))+(s_Q_s_beef*s_f_p_beef)))</f>
        <v>15.125000000000002</v>
      </c>
      <c r="CC2" s="40">
        <f>(s_C*s_IFD_far_adj*s_CF_far_dairy*s_RadSpec!AH2*1/s_D_milk*((s_Q_p_dairy*s_f_p_dairy*s_f_s_dairy*(s_RadSpec!$AT2+s_R_es_past))+(s_Q_s_dairy*s_f_p_dairy)))</f>
        <v>1.4684466019417475</v>
      </c>
      <c r="CD2" s="40">
        <f>IFERROR((s_C*s_IFSW_far_adj*s_CF_far_swine*s_RadSpec!AN2*((s_Q_p_swine*s_f_p_swine*s_f_s_swine*(s_RadSpec!$AT2+s_R_es_past))+(s_Q_s_swine*s_f_p_swine))),0)</f>
        <v>0</v>
      </c>
      <c r="CE2" s="40">
        <f>IFERROR((s_C*s_IFP_far_adj*s_CF_far_poultry*s_RadSpec!AL2*((s_Q_p_poultry*s_f_p_poultry*s_f_s_poultry*(s_RadSpec!AT2+s_R_es_past))+(s_Q_s_poultry*s_f_p_poultry))),0)</f>
        <v>0</v>
      </c>
      <c r="CF2" s="40">
        <f>IFERROR((s_C*s_IFE_far_adj*s_CF_far_egg*s_RadSpec!AM2*((s_Q_p_egg*s_f_p_egg*s_f_s_egg*(s_RadSpec!$AT2+s_R_es_past))+(s_Q_s_egg*s_f_p_egg))),0)</f>
        <v>0</v>
      </c>
      <c r="CG2" s="40">
        <f>IFERROR((s_C*s_IFGO_far_adj*s_CF_far_goat*s_RadSpec!AQ2*((s_Q_p_goat*s_f_p_goat*s_f_s_goat*(s_RadSpec!$AT2+s_R_es_past))+(s_Q_s_goat*s_f_p_goat))),0)</f>
        <v>0</v>
      </c>
      <c r="CH2" s="40">
        <f>IFERROR((s_C*s_IFGM_far_adj*s_CF_far_goat_milk*s_RadSpec!AR2*1/s_D_milk*((s_Q_p_goat_milk*s_f_p_goat_milk*s_f_s_goat_milk*(s_RadSpec!$AT2+s_R_es_past))+(s_Q_s_goat_milk*s_f_p_goat_milk))),0)</f>
        <v>0</v>
      </c>
      <c r="CI2" s="40">
        <f>IFERROR((s_C*s_IFSH_far_adj*s_CF_far_sheep*s_RadSpec!AO2*((s_Q_p_sheep*s_f_p_sheep*s_f_s_sheep*(s_RadSpec!$AT2+s_R_es_past))+(s_Q_s_sheep*s_f_p_sheep))),0)</f>
        <v>0</v>
      </c>
      <c r="CJ2" s="40">
        <f>IFERROR((s_C*s_IFSM_far_adj*s_CF_far_sheep_milk*s_RadSpec!AP2*1/s_D_milk*((s_Q_p_sheep_milk*s_f_p_sheep_milk*s_f_s_sheep_milk*(s_RadSpec!$AT2+s_R_es_past))+(s_Q_s_sheep_milk*s_f_p_sheep_milk))),0)</f>
        <v>0</v>
      </c>
      <c r="CK2" s="18"/>
      <c r="CL2" s="15">
        <f>IFERROR(s_DL/(s_RadSpec!I2*s_IFW_far_adj),".")</f>
        <v>93.958028948468709</v>
      </c>
      <c r="CM2" s="15" t="str">
        <f>IFERROR(IF(AND(s_RadSpec!C2=1,s_RadSpec!D2&lt;&gt;0),s_DL/(s_RadSpec!H2*s_IFA_far_adj*s_K*s_RadSpec!D2),"."),".")</f>
        <v>.</v>
      </c>
      <c r="CN2" s="15">
        <f>IFERROR((s_DL/(s_RadSpec!M2*(1/8760)*s_DFA_far_adj)),".")</f>
        <v>1353241.1433392495</v>
      </c>
      <c r="CO2" s="15">
        <f>s_b2w!BC2</f>
        <v>359.02789915076602</v>
      </c>
      <c r="CP2" s="15">
        <f>IFERROR(J2/(s_RadSpec!AJ2*(1/1000)),".")</f>
        <v>1138.8851993753783</v>
      </c>
      <c r="CQ2" s="15" t="str">
        <f>IFERROR(K2/(s_RadSpec!AK2*(1/1000)),".")</f>
        <v>.</v>
      </c>
      <c r="CR2" s="15">
        <f>IFERROR(G2/(s_RadSpec!AI2*s_Q_w_beef*(1/1000)),".")</f>
        <v>170832779.90630671</v>
      </c>
      <c r="CS2" s="15">
        <f>IFERROR((H2*s_D_milk)/(s_RadSpec!AH2*s_Q_w_dairy*(1/1000)),".")</f>
        <v>1759577633.0349596</v>
      </c>
      <c r="CT2" s="15" t="str">
        <f>IFERROR(I2/(s_RadSpec!AN2*s_Q_w_swine*(1/1000)),".")</f>
        <v>.</v>
      </c>
      <c r="CU2" s="15" t="str">
        <f>IFERROR(E2/(s_RadSpec!AL2*s_Q_w_poultry*(1/1000)),".")</f>
        <v>.</v>
      </c>
      <c r="CV2" s="15" t="str">
        <f>IFERROR(F2/(s_RadSpec!AM2*s_Q_w_poultry*(1/1000)),".")</f>
        <v>.</v>
      </c>
      <c r="CW2" s="15" t="str">
        <f>IFERROR(L2/(s_RadSpec!AQ2*s_Q_w_goat*(1/1000)),".")</f>
        <v>.</v>
      </c>
      <c r="CX2" s="15" t="str">
        <f>IFERROR(N2*s_D_milk/(s_RadSpec!AR2*s_Q_w_goat_milk*(1/1000)),".")</f>
        <v>.</v>
      </c>
      <c r="CY2" s="15" t="str">
        <f>IFERROR(M2/(s_RadSpec!AO2*s_Q_w_sheep*(1/1000)),".")</f>
        <v>.</v>
      </c>
      <c r="CZ2" s="15" t="str">
        <f>IFERROR(O2*s_D_milk/(s_RadSpec!AP2*s_Q_w_sheep_milk*(1/1000)),".")</f>
        <v>.</v>
      </c>
      <c r="DA2" s="111">
        <f t="shared" ref="DA2:DA30" si="28">IFERROR(1/CL2,".")</f>
        <v>1.0643050000000001E-2</v>
      </c>
      <c r="DB2" s="111" t="str">
        <f t="shared" ref="DB2:DB30" si="29">IFERROR(1/CM2,".")</f>
        <v>.</v>
      </c>
      <c r="DC2" s="111">
        <f t="shared" ref="DC2:DC30" si="30">IFERROR(1/CN2,".")</f>
        <v>7.3896659506849319E-7</v>
      </c>
      <c r="DD2" s="111">
        <f t="shared" ref="DD2:DD30" si="31">IFERROR(1/CO2,".")</f>
        <v>2.7852988649778206E-3</v>
      </c>
      <c r="DE2" s="111">
        <f t="shared" ref="DE2:DF30" si="32">IFERROR(1/CP2,".")</f>
        <v>8.7805162500000013E-4</v>
      </c>
      <c r="DF2" s="111" t="str">
        <f t="shared" si="32"/>
        <v>.</v>
      </c>
      <c r="DG2" s="111">
        <f t="shared" ref="DG2:DG30" si="33">IFERROR(1/CR2,".")</f>
        <v>5.8536775000000013E-9</v>
      </c>
      <c r="DH2" s="111">
        <f t="shared" ref="DH2:DH30" si="34">IFERROR(1/CS2,".")</f>
        <v>5.6831820388349521E-10</v>
      </c>
      <c r="DI2" s="111" t="str">
        <f t="shared" ref="DI2:DI30" si="35">IFERROR(1/CT2,".")</f>
        <v>.</v>
      </c>
      <c r="DJ2" s="111" t="str">
        <f t="shared" ref="DJ2:DJ30" si="36">IFERROR(1/CU2,".")</f>
        <v>.</v>
      </c>
      <c r="DK2" s="111" t="str">
        <f t="shared" ref="DK2:DK30" si="37">IFERROR(1/CV2,".")</f>
        <v>.</v>
      </c>
      <c r="DL2" s="111" t="str">
        <f t="shared" ref="DL2:DL30" si="38">IFERROR(1/CW2,".")</f>
        <v>.</v>
      </c>
      <c r="DM2" s="111" t="str">
        <f t="shared" ref="DM2:DM30" si="39">IFERROR(1/CX2,".")</f>
        <v>.</v>
      </c>
      <c r="DN2" s="111" t="str">
        <f t="shared" ref="DN2:DN30" si="40">IFERROR(1/CY2,".")</f>
        <v>.</v>
      </c>
      <c r="DO2" s="111" t="str">
        <f t="shared" ref="DO2:DO30" si="41">IFERROR(1/CZ2,".")</f>
        <v>.</v>
      </c>
      <c r="DP2" s="15">
        <f>IFERROR(1/(SUMIF(DA2:DO2,"&lt;&gt;0")),".")</f>
        <v>69.895142503436077</v>
      </c>
      <c r="DQ2" s="189">
        <f>DP2*(0.0000000000000028)*s_RadSpec!$AY2*s_RadSpec!$AF2</f>
        <v>1.2064093089634173E-12</v>
      </c>
      <c r="DR2" s="40">
        <f t="shared" ref="DR2:DR30" si="42">IFERROR(s_C*s_IFW_far_adj,".")</f>
        <v>1375</v>
      </c>
      <c r="DS2" s="40">
        <f>IFERROR(IF(s_RadSpec!D2&lt;&gt;"",s_C*s_IFA_far_adj*s_K*s_RadSpec!D2,0),".")</f>
        <v>0</v>
      </c>
      <c r="DT2" s="40">
        <f t="shared" ref="DT2:DT30" si="43">IFERROR((s_C*s_DFA_far_adj*(1/8760)),".")</f>
        <v>0.12557077625570776</v>
      </c>
      <c r="DU2" s="40">
        <f>s_b2w!CC2</f>
        <v>359.83913815536926</v>
      </c>
      <c r="DV2" s="40">
        <f>IFERROR(s_C*s_RadSpec!AJ2*(1/1000)*s_IFFI_far_adj*s_CF_far_fish,0)</f>
        <v>113.4375</v>
      </c>
      <c r="DW2" s="40">
        <f>IFERROR(s_C*s_RadSpec!AK2*(1/1000)*s_IFSF_far_adj*s_CF_far_shellfish,0)</f>
        <v>0</v>
      </c>
      <c r="DX2" s="40">
        <f>(s_C*s_IFB_far_adj*s_CF_far_beef*s_RadSpec!AI2*s_Q_w_beef*(1/1000))</f>
        <v>7.5625000000000009E-4</v>
      </c>
      <c r="DY2" s="40">
        <f>(s_C*s_IFD_far_adj*s_CF_far_dairy*s_RadSpec!AH2*(1/s_D_milk)*s_Q_w_dairy*(1/1000))</f>
        <v>7.3422330097087376E-5</v>
      </c>
      <c r="DZ2" s="40">
        <f>IFERROR((s_C*s_IFSW_far_adj*s_CF_far_swine*s_RadSpec!AN2*s_Q_w_swine*(1/1000)),0)</f>
        <v>0</v>
      </c>
      <c r="EA2" s="40">
        <f>IFERROR((s_C*s_IFP_far_adj*s_CF_far_poultry*s_RadSpec!AL2*s_Q_w_poultry*(1/1000)),0)</f>
        <v>0</v>
      </c>
      <c r="EB2" s="40">
        <f>IFERROR((s_C*s_IFE_far_adj*s_CF_far_egg*s_RadSpec!AM2*s_Q_w_egg*(1/1000)),0)</f>
        <v>0</v>
      </c>
      <c r="EC2" s="40">
        <f>IFERROR((s_C*s_IFGO_far_adj*s_CF_far_goat*s_RadSpec!AQ2*s_Q_p_goat*(1/1000)),0)</f>
        <v>0</v>
      </c>
      <c r="ED2" s="40">
        <f>IFERROR((s_C*s_IFGM_far_adj*s_CF_far_goat_milk*s_RadSpec!AR2*(1/s_D_milk)*s_Q_p_goat_milk*(1/1000)),0)</f>
        <v>0</v>
      </c>
      <c r="EE2" s="40">
        <f>IFERROR((s_C*s_IFSH_far_adj*s_CF_far_sheep*s_RadSpec!AO2*s_Q_p_sheep*(1/1000)),0)</f>
        <v>0</v>
      </c>
      <c r="EF2" s="40">
        <f>IFERROR((s_C*s_IFSM_far_adj*s_CF_far_sheep_milk*s_RadSpec!AP2*(1/s_D_milk)*s_Q_p_sheep_milk*(1/1000)),0)</f>
        <v>0</v>
      </c>
      <c r="EG2" s="5"/>
      <c r="EH2" s="15">
        <f>IFERROR((s_DL/(s_RadSpec!H2*s_IFA_far_adj)),".")</f>
        <v>1.4682367623544095</v>
      </c>
      <c r="EI2" s="15">
        <f>IFERROR((s_DL/(s_RadSpec!K2*s_EF_far*(1/365)*1*s_ET_far*(1/24)*s_GSF_a)),".")</f>
        <v>4820024.991116479</v>
      </c>
      <c r="EJ2" s="15">
        <f t="shared" ref="EJ2" si="44">IFERROR(IF(AND(ISNUMBER(EH2),ISNUMBER(EI2)),1/((1/EH2)+(1/EI2)),IF(AND(ISNUMBER(EH2),NOT(ISNUMBER(EI2))),1/((1/EH2)),IF(AND(NOT(ISNUMBER(EH2)),ISNUMBER(EI2)),1/((1/EI2)),IF(AND(NOT(ISNUMBER(EH2)),NOT(ISNUMBER(EI2))),".")))),".")</f>
        <v>1.4682363151122193</v>
      </c>
      <c r="EK2" s="189">
        <f>EJ2*(0.0000000000000028)*s_RadSpec!$AY2*s_RadSpec!$AF2</f>
        <v>2.5342161055361594E-14</v>
      </c>
      <c r="EL2" s="40">
        <f t="shared" ref="EL2:EL30" si="45">s_C*s_IFA_far_adj</f>
        <v>501.30208333333326</v>
      </c>
      <c r="EM2" s="40">
        <f t="shared" ref="EM2:EM30" si="46">s_C*s_EF_far*(1/365)*1*s_ET_far*(1/24)*s_GSF_a</f>
        <v>7.8481735159817351E-2</v>
      </c>
      <c r="EN2" s="113"/>
    </row>
    <row r="3" spans="1:144" x14ac:dyDescent="0.25">
      <c r="A3" s="46" t="s">
        <v>1</v>
      </c>
      <c r="B3" s="42" t="s">
        <v>335</v>
      </c>
      <c r="C3" s="42"/>
      <c r="D3" s="15">
        <f>s_dir!AC3</f>
        <v>0.9385036123004038</v>
      </c>
      <c r="E3" s="15">
        <f>IFERROR(s_DL/(s_RadSpec!F3*s_IFP_far_adj*s_CF_far_poultry),".")</f>
        <v>3.7540144492016148</v>
      </c>
      <c r="F3" s="15">
        <f>IFERROR(s_DL/(s_RadSpec!F3*s_IFE_far_adj*s_CF_far_egg),".")</f>
        <v>3.7540144492016148</v>
      </c>
      <c r="G3" s="15">
        <f>IFERROR(s_DL/(s_RadSpec!F3*s_IFB_far_adj*s_CF_far_beef),".")</f>
        <v>3.7540144492016148</v>
      </c>
      <c r="H3" s="15">
        <f>IFERROR(s_DL/(s_RadSpec!F3*s_IFD_far_adj*s_CF_far_dairy),".")</f>
        <v>3.7540144492016148</v>
      </c>
      <c r="I3" s="15">
        <f>IFERROR(s_DL/(s_RadSpec!F3*s_IFSW_far_adj*s_CF_far_swine),".")</f>
        <v>3.7540144492016148</v>
      </c>
      <c r="J3" s="15">
        <f>IFERROR(s_DL/(s_RadSpec!F3*s_IFFI_far_adj*s_CF_far_fish),".")</f>
        <v>3.7540144492016148</v>
      </c>
      <c r="K3" s="15">
        <f>IFERROR(s_DL/(s_RadSpec!F3*s_IFSF_far_adj*s_CF_far_shellfish),".")</f>
        <v>3.7540144492016148</v>
      </c>
      <c r="L3" s="15">
        <f>IFERROR(s_DL/(s_RadSpec!F3*s_IFGO_far_adj*s_CF_far_goat),".")</f>
        <v>3.7540144492016148</v>
      </c>
      <c r="M3" s="15">
        <f>IFERROR(s_DL/(s_RadSpec!F3*s_IFSH_far_adj*s_CF_far_sheep),".")</f>
        <v>3.7540144492016148</v>
      </c>
      <c r="N3" s="15">
        <f>IFERROR(s_DL/(s_RadSpec!F3*s_IFGM_far_adj*s_CF_far_goat_milk),".")</f>
        <v>3.7540144492016148</v>
      </c>
      <c r="O3" s="15">
        <f>IFERROR(s_DL/(s_RadSpec!F3*s_IFSM_far_adj*s_CF_far_sheep_milk),".")</f>
        <v>3.7540144492016148</v>
      </c>
      <c r="P3" s="111">
        <f t="shared" ref="P3:W30" si="47">IFERROR(1/H3,".")</f>
        <v>0.26638149999999999</v>
      </c>
      <c r="Q3" s="111">
        <f t="shared" ref="Q3:W17" si="48">IFERROR(1/I3,".")</f>
        <v>0.26638149999999999</v>
      </c>
      <c r="R3" s="111">
        <f t="shared" si="48"/>
        <v>0.26638149999999999</v>
      </c>
      <c r="S3" s="111">
        <f t="shared" si="48"/>
        <v>0.26638149999999999</v>
      </c>
      <c r="T3" s="111">
        <f t="shared" si="48"/>
        <v>0.26638149999999999</v>
      </c>
      <c r="U3" s="111">
        <f t="shared" si="48"/>
        <v>0.26638149999999999</v>
      </c>
      <c r="V3" s="111">
        <f t="shared" si="48"/>
        <v>0.26638149999999999</v>
      </c>
      <c r="W3" s="111">
        <f t="shared" si="48"/>
        <v>0.26638149999999999</v>
      </c>
      <c r="X3" s="111">
        <f t="shared" si="0"/>
        <v>0.26638149999999999</v>
      </c>
      <c r="Y3" s="111">
        <f t="shared" si="0"/>
        <v>0.26638149999999999</v>
      </c>
      <c r="Z3" s="111">
        <f t="shared" si="0"/>
        <v>0.26638149999999999</v>
      </c>
      <c r="AA3" s="111">
        <f t="shared" si="0"/>
        <v>0.26638149999999999</v>
      </c>
      <c r="AB3" s="15">
        <f t="shared" ref="AB3:AB30" si="49">IFERROR(1/(SUMIF(P3:AA3,"&lt;&gt;0")),".")</f>
        <v>0.3128345374334679</v>
      </c>
      <c r="AC3" s="247">
        <f>IFERROR(AB3*(0.0000000000028)*s_RadSpec!$AY3*s_RadSpec!$AF3,0)</f>
        <v>9.1237742360737002E-8</v>
      </c>
      <c r="AD3" s="40">
        <f>s_dir!BC3</f>
        <v>30250</v>
      </c>
      <c r="AE3" s="40">
        <f t="shared" si="1"/>
        <v>7562.5</v>
      </c>
      <c r="AF3" s="40">
        <f t="shared" si="2"/>
        <v>7562.5</v>
      </c>
      <c r="AG3" s="40">
        <f t="shared" si="3"/>
        <v>7562.5</v>
      </c>
      <c r="AH3" s="40">
        <f t="shared" si="4"/>
        <v>7562.5</v>
      </c>
      <c r="AI3" s="40">
        <f t="shared" si="5"/>
        <v>7562.5</v>
      </c>
      <c r="AJ3" s="40">
        <f t="shared" si="6"/>
        <v>7562.5</v>
      </c>
      <c r="AK3" s="40">
        <f t="shared" si="7"/>
        <v>7562.5</v>
      </c>
      <c r="AL3" s="40">
        <f t="shared" si="8"/>
        <v>7562.5</v>
      </c>
      <c r="AM3" s="40">
        <f t="shared" si="9"/>
        <v>7562.5</v>
      </c>
      <c r="AN3" s="40">
        <f t="shared" si="10"/>
        <v>7562.5</v>
      </c>
      <c r="AO3" s="40">
        <f t="shared" si="11"/>
        <v>7562.5</v>
      </c>
      <c r="AP3" s="45">
        <f>IFERROR((s_DL/(s_RadSpec!E3*s_IFS_far_adj*(1/1000)))*1,".")</f>
        <v>1877.0072246008076</v>
      </c>
      <c r="AQ3" s="45">
        <f>IFERROR(IF(A3="H-3",(s_DL/(s_RadSpec!H3*s_IFA_far_adj*(1/17)*1000))*1,(s_DL/(s_RadSpec!H3*s_IFA_far_adj*(1/s_PEF_wind)*1000))*1),".")</f>
        <v>42565.388120151685</v>
      </c>
      <c r="AR3" s="45">
        <f>IFERROR((s_DL/(s_RadSpec!G3*s_EF_far*(1/365)*1*s_RadSpec!R3*((s_ET_far_o*(1/24)*s_RadSpec!W3)+(s_ET_far_i*(1/24)*s_RadSpec!AB3))))*1,".")</f>
        <v>12433024.99314896</v>
      </c>
      <c r="AS3" s="45">
        <f>s_b2s!BC3</f>
        <v>67.746096569426214</v>
      </c>
      <c r="AT3" s="45">
        <f>IFERROR(((J3*s_RadSpec!AU3)/s_RadSpec!AJ3)*1,".")</f>
        <v>6.2566907486693579E-2</v>
      </c>
      <c r="AU3" s="45">
        <f>IFERROR(((K3*s_RadSpec!AU3)/s_RadSpec!AK3)*1,".")</f>
        <v>6.2566907486693579E-3</v>
      </c>
      <c r="AV3" s="45">
        <f>IFERROR((G3/(s_RadSpec!AI3*((s_Q_p_beef*s_f_p_beef*s_f_s_beef*(s_RadSpec!AT3+s_R_es_past))+(s_Q_s_beef*s_f_p_beef))))*1,".")</f>
        <v>85.802944939405279</v>
      </c>
      <c r="AW3" s="45">
        <f>IFERROR(((H3*s_D_milk)/(s_RadSpec!AH3*((s_Q_p_dairy*s_f_p_dairy*s_f_s_dairy*(s_RadSpec!AT3+s_R_es_past))+(s_Q_s_dairy*s_f_p_dairy))))*1,".")</f>
        <v>105210.75391379457</v>
      </c>
      <c r="AX3" s="45">
        <f>IFERROR((I3/(s_RadSpec!AN3*((s_Q_p_swine*s_f_p_swine*s_f_s_swine*(s_RadSpec!AT3+s_R_es_past))+(s_Q_s_swine*s_f_p_swine))))*1,".")</f>
        <v>252.36160276295669</v>
      </c>
      <c r="AY3" s="45">
        <f>IFERROR((E3/(s_RadSpec!AL3*((s_Q_p_poultry*s_f_p_poultry*s_f_s_poultry*(s_RadSpec!BD3+s_R_es_past))+(s_Q_s_poultry*s_f_p_poultry))))*1,".")</f>
        <v>7.1502454116171066</v>
      </c>
      <c r="AZ3" s="45">
        <f>IFERROR((F3/(s_RadSpec!AM3*((s_Q_p_poultry*s_f_p_poultry*s_f_s_poultry*(s_RadSpec!AT3+s_R_es_past))+(s_Q_s_poultry*s_f_p_poultry))))*1,".")</f>
        <v>14.300490823234213</v>
      </c>
      <c r="BA3" s="45" t="str">
        <f>IFERROR((L3/(s_RadSpec!AQ3*((s_Q_p_goat*s_f_p_goat*s_f_s_goat*(s_RadSpec!AT3+s_R_es_past))+(s_Q_s_goat*s_f_p_goat))))*1,".")</f>
        <v>.</v>
      </c>
      <c r="BB3" s="45">
        <f>IFERROR((N3*s_D_milk/(s_RadSpec!AR3*((s_Q_p_goat_milk*s_f_p_goat_milk*s_f_s_goat_milk*(s_RadSpec!AT3+s_R_es_past))+(s_Q_s_goat_milk*s_f_p_goat_milk))))*1,".")</f>
        <v>6404.1328469266264</v>
      </c>
      <c r="BC3" s="45">
        <f>IFERROR((M3/(s_RadSpec!AO3*((s_Q_p_sheep*s_f_p_sheep*s_f_s_sheep*(s_RadSpec!AT3+s_R_es_past))+(s_Q_s_sheep*s_f_p_sheep))))*1,".")</f>
        <v>390.01338608820583</v>
      </c>
      <c r="BD3" s="45" t="str">
        <f>IFERROR((O3*s_D_milk/(s_RadSpec!AP3*((s_Q_p_sheep_milk*s_f_p_sheep_milk*s_f_s_sheep_milk*(s_RadSpec!AT3+s_R_es_past))+(s_Q_s_sheep_milk*s_f_p_sheep_milk))))*1,".")</f>
        <v>.</v>
      </c>
      <c r="BE3" s="111">
        <f t="shared" si="12"/>
        <v>5.3276300000000001E-4</v>
      </c>
      <c r="BF3" s="111">
        <f t="shared" si="13"/>
        <v>2.349326634065322E-5</v>
      </c>
      <c r="BG3" s="111">
        <f t="shared" si="14"/>
        <v>8.0430949069195605E-8</v>
      </c>
      <c r="BH3" s="111">
        <f t="shared" si="15"/>
        <v>1.4760998059500001E-2</v>
      </c>
      <c r="BI3" s="111">
        <f t="shared" si="16"/>
        <v>15.982890000000001</v>
      </c>
      <c r="BJ3" s="111">
        <f t="shared" si="16"/>
        <v>159.8289</v>
      </c>
      <c r="BK3" s="111">
        <f t="shared" si="17"/>
        <v>1.1654611630244253E-2</v>
      </c>
      <c r="BL3" s="111">
        <f t="shared" si="18"/>
        <v>9.5047318149564775E-6</v>
      </c>
      <c r="BM3" s="111">
        <f t="shared" si="19"/>
        <v>3.962567954283046E-3</v>
      </c>
      <c r="BN3" s="111">
        <f t="shared" si="20"/>
        <v>0.13985533956293103</v>
      </c>
      <c r="BO3" s="111">
        <f t="shared" si="21"/>
        <v>6.9927669781465515E-2</v>
      </c>
      <c r="BP3" s="111" t="str">
        <f t="shared" si="22"/>
        <v>.</v>
      </c>
      <c r="BQ3" s="111">
        <f t="shared" si="23"/>
        <v>1.5614916553142785E-4</v>
      </c>
      <c r="BR3" s="111">
        <f t="shared" si="24"/>
        <v>2.5640145586537356E-3</v>
      </c>
      <c r="BS3" s="111" t="str">
        <f t="shared" si="25"/>
        <v>.</v>
      </c>
      <c r="BT3" s="15">
        <f t="shared" ref="BT3:BT30" si="50">IFERROR(1/(SUMIF(BE3:BS3,"&lt;&gt;0")),".")</f>
        <v>5.6800355158343188E-3</v>
      </c>
      <c r="BU3" s="189">
        <f>IFERROR(BT3*(0.0000000000028)*s_RadSpec!$AY3*s_RadSpec!$AF3,0)</f>
        <v>1.6565741789419365E-9</v>
      </c>
      <c r="BV3" s="40">
        <f t="shared" si="26"/>
        <v>15.125</v>
      </c>
      <c r="BW3" s="40">
        <f t="shared" si="27"/>
        <v>1.6181272791589674E-3</v>
      </c>
      <c r="BX3" s="40">
        <f>IFERROR((s_C*s_EF_far*(1/365)*1*s_RadSpec!R3*((s_ET_far_o*(1/24)*s_RadSpec!W3)+(s_ET_far_i*(1/24)*s_RadSpec!AB3))),".")</f>
        <v>5.4092026694766396E-5</v>
      </c>
      <c r="BY3" s="40">
        <f>s_b2s!CC3</f>
        <v>419.0608125</v>
      </c>
      <c r="BZ3" s="40">
        <f>IFERROR(((s_C*s_RadSpec!AJ3)/s_RadSpec!AU3)*s_IFFI_far_adj*s_CF_far_fish,0)</f>
        <v>453750</v>
      </c>
      <c r="CA3" s="40">
        <f>IFERROR(((s_C*s_RadSpec!AK3)/s_RadSpec!AU3)*s_IFSF_far_adj*s_CF_far_shellfish,0)</f>
        <v>4537500</v>
      </c>
      <c r="CB3" s="40">
        <f>(s_C*s_IFB_far_adj*s_CF_far_beef*s_RadSpec!AI3*((s_Q_p_beef*s_f_p_beef*s_f_s_beef*(s_RadSpec!$AT3+s_R_es_past))+(s_Q_s_beef*s_f_p_beef)))</f>
        <v>330.87132722701148</v>
      </c>
      <c r="CC3" s="40">
        <f>(s_C*s_IFD_far_adj*s_CF_far_dairy*s_RadSpec!AH3*1/s_D_milk*((s_Q_p_dairy*s_f_p_dairy*s_f_s_dairy*(s_RadSpec!$AT3+s_R_es_past))+(s_Q_s_dairy*s_f_p_dairy)))</f>
        <v>0.26983681055406761</v>
      </c>
      <c r="CD3" s="40">
        <f>IFERROR((s_C*s_IFSW_far_adj*s_CF_far_swine*s_RadSpec!AN3*((s_Q_p_swine*s_f_p_swine*s_f_s_swine*(s_RadSpec!$AT3+s_R_es_past))+(s_Q_s_swine*s_f_p_swine))),0)</f>
        <v>112.4962512571839</v>
      </c>
      <c r="CE3" s="40">
        <f>IFERROR((s_C*s_IFP_far_adj*s_CF_far_poultry*s_RadSpec!AL3*((s_Q_p_poultry*s_f_p_poultry*s_f_s_poultry*(s_RadSpec!AT3+s_R_es_past))+(s_Q_s_poultry*s_f_p_poultry))),0)</f>
        <v>3970.4559267241375</v>
      </c>
      <c r="CF3" s="40">
        <f>IFERROR((s_C*s_IFE_far_adj*s_CF_far_egg*s_RadSpec!AM3*((s_Q_p_egg*s_f_p_egg*s_f_s_egg*(s_RadSpec!$AT3+s_R_es_past))+(s_Q_s_egg*s_f_p_egg))),0)</f>
        <v>1985.2279633620687</v>
      </c>
      <c r="CG3" s="40">
        <f>IFERROR((s_C*s_IFGO_far_adj*s_CF_far_goat*s_RadSpec!AQ3*((s_Q_p_goat*s_f_p_goat*s_f_s_goat*(s_RadSpec!$AT3+s_R_es_past))+(s_Q_s_goat*s_f_p_goat))),0)</f>
        <v>0</v>
      </c>
      <c r="CH3" s="40">
        <f>IFERROR((s_C*s_IFGM_far_adj*s_CF_far_goat_milk*s_RadSpec!AR3*1/s_D_milk*((s_Q_p_goat_milk*s_f_p_goat_milk*s_f_s_goat_milk*(s_RadSpec!$AT3+s_R_es_past))+(s_Q_s_goat_milk*s_f_p_goat_milk))),0)</f>
        <v>4.4330333162453961</v>
      </c>
      <c r="CI3" s="40">
        <f>IFERROR((s_C*s_IFSH_far_adj*s_CF_far_sheep*s_RadSpec!AO3*((s_Q_p_sheep*s_f_p_sheep*s_f_s_sheep*(s_RadSpec!$AT3+s_R_es_past))+(s_Q_s_sheep*s_f_p_sheep))),0)</f>
        <v>72.791691989942521</v>
      </c>
      <c r="CJ3" s="40">
        <f>IFERROR((s_C*s_IFSM_far_adj*s_CF_far_sheep_milk*s_RadSpec!AP3*1/s_D_milk*((s_Q_p_sheep_milk*s_f_p_sheep_milk*s_f_s_sheep_milk*(s_RadSpec!$AT3+s_R_es_past))+(s_Q_s_sheep_milk*s_f_p_sheep_milk))),0)</f>
        <v>0</v>
      </c>
      <c r="CK3" s="18"/>
      <c r="CL3" s="15">
        <f>IFERROR(s_DL/(s_RadSpec!I3*s_IFW_far_adj),".")</f>
        <v>20.64707947060888</v>
      </c>
      <c r="CM3" s="15" t="str">
        <f>IFERROR(IF(AND(s_RadSpec!C3=1,s_RadSpec!D3&lt;&gt;0),s_DL/(s_RadSpec!H3*s_IFA_far_adj*s_K*s_RadSpec!D3),"."),".")</f>
        <v>.</v>
      </c>
      <c r="CN3" s="15">
        <f>IFERROR((s_DL/(s_RadSpec!M3*(1/8760)*s_DFA_far_adj)),".")</f>
        <v>1107197.2990957496</v>
      </c>
      <c r="CO3" s="15">
        <f>s_b2w!BC3</f>
        <v>79.757261120264914</v>
      </c>
      <c r="CP3" s="15">
        <f>IFERROR(J3/(s_RadSpec!AJ3*(1/1000)),".")</f>
        <v>15.641726871673395</v>
      </c>
      <c r="CQ3" s="15">
        <f>IFERROR(K3/(s_RadSpec!AK3*(1/1000)),".")</f>
        <v>1.5641726871673396</v>
      </c>
      <c r="CR3" s="15">
        <f>IFERROR(G3/(s_RadSpec!AI3*s_Q_w_beef*(1/1000)),".")</f>
        <v>1501605.7796806458</v>
      </c>
      <c r="CS3" s="15">
        <f>IFERROR((H3*s_D_milk)/(s_RadSpec!AH3*s_Q_w_dairy*(1/1000)),".")</f>
        <v>1841254706.0369823</v>
      </c>
      <c r="CT3" s="15">
        <f>IFERROR(I3/(s_RadSpec!AN3*s_Q_w_swine*(1/1000)),".")</f>
        <v>4416487.5872960165</v>
      </c>
      <c r="CU3" s="15">
        <f>IFERROR(E3/(s_RadSpec!AL3*s_Q_w_poultry*(1/1000)),".")</f>
        <v>125133.81497338715</v>
      </c>
      <c r="CV3" s="15">
        <f>IFERROR(F3/(s_RadSpec!AM3*s_Q_w_poultry*(1/1000)),".")</f>
        <v>250267.62994677431</v>
      </c>
      <c r="CW3" s="15" t="str">
        <f>IFERROR(L3/(s_RadSpec!AQ3*s_Q_w_goat*(1/1000)),".")</f>
        <v>.</v>
      </c>
      <c r="CX3" s="15">
        <f>IFERROR(N3*s_D_milk/(s_RadSpec!AR3*s_Q_w_goat_milk*(1/1000)),".")</f>
        <v>112076373.41094677</v>
      </c>
      <c r="CY3" s="15">
        <f>IFERROR(M3/(s_RadSpec!AO3*s_Q_w_sheep*(1/1000)),".")</f>
        <v>6825480.8167302087</v>
      </c>
      <c r="CZ3" s="15" t="str">
        <f>IFERROR(O3*s_D_milk/(s_RadSpec!AP3*s_Q_w_sheep_milk*(1/1000)),".")</f>
        <v>.</v>
      </c>
      <c r="DA3" s="111">
        <f t="shared" si="28"/>
        <v>4.8433000000000004E-2</v>
      </c>
      <c r="DB3" s="111" t="str">
        <f t="shared" si="29"/>
        <v>.</v>
      </c>
      <c r="DC3" s="111">
        <f t="shared" si="30"/>
        <v>9.0318139397260287E-7</v>
      </c>
      <c r="DD3" s="111">
        <f t="shared" si="31"/>
        <v>1.2538043382559405E-2</v>
      </c>
      <c r="DE3" s="111">
        <f t="shared" si="32"/>
        <v>6.3931559999999998E-2</v>
      </c>
      <c r="DF3" s="111">
        <f t="shared" si="32"/>
        <v>0.63931559999999998</v>
      </c>
      <c r="DG3" s="111">
        <f t="shared" si="33"/>
        <v>6.6595375000000011E-7</v>
      </c>
      <c r="DH3" s="111">
        <f t="shared" si="34"/>
        <v>5.4310791262135934E-10</v>
      </c>
      <c r="DI3" s="111">
        <f t="shared" si="35"/>
        <v>2.2642427500000006E-7</v>
      </c>
      <c r="DJ3" s="111">
        <f t="shared" si="36"/>
        <v>7.9914450000000009E-6</v>
      </c>
      <c r="DK3" s="111">
        <f t="shared" si="37"/>
        <v>3.9957225000000004E-6</v>
      </c>
      <c r="DL3" s="111" t="str">
        <f t="shared" si="38"/>
        <v>.</v>
      </c>
      <c r="DM3" s="111">
        <f t="shared" si="39"/>
        <v>8.92248713592233E-9</v>
      </c>
      <c r="DN3" s="111">
        <f t="shared" si="40"/>
        <v>1.4650982500000001E-7</v>
      </c>
      <c r="DO3" s="111" t="str">
        <f t="shared" si="41"/>
        <v>.</v>
      </c>
      <c r="DP3" s="15">
        <f t="shared" ref="DP3:DP30" si="51">IFERROR(1/(SUMIF(DA3:DO3,"&lt;&gt;0")),".")</f>
        <v>1.3085029337707574</v>
      </c>
      <c r="DQ3" s="189">
        <f>DP3*(0.0000000000000028)*s_RadSpec!$AY3*s_RadSpec!$AF3</f>
        <v>3.8162299639001682E-10</v>
      </c>
      <c r="DR3" s="40">
        <f t="shared" si="42"/>
        <v>1375</v>
      </c>
      <c r="DS3" s="40">
        <f>IFERROR(IF(s_RadSpec!D3&lt;&gt;"",s_C*s_IFA_far_adj*s_K*s_RadSpec!D3,0),".")</f>
        <v>0</v>
      </c>
      <c r="DT3" s="40">
        <f t="shared" si="43"/>
        <v>0.12557077625570776</v>
      </c>
      <c r="DU3" s="40">
        <f>s_b2w!CC3</f>
        <v>355.951719922763</v>
      </c>
      <c r="DV3" s="40">
        <f>IFERROR(s_C*s_RadSpec!AJ3*(1/1000)*s_IFFI_far_adj*s_CF_far_fish,0)</f>
        <v>1815</v>
      </c>
      <c r="DW3" s="40">
        <f>IFERROR(s_C*s_RadSpec!AK3*(1/1000)*s_IFSF_far_adj*s_CF_far_shellfish,0)</f>
        <v>18150</v>
      </c>
      <c r="DX3" s="40">
        <f>(s_C*s_IFB_far_adj*s_CF_far_beef*s_RadSpec!AI3*s_Q_w_beef*(1/1000))</f>
        <v>1.8906249999999999E-2</v>
      </c>
      <c r="DY3" s="40">
        <f>(s_C*s_IFD_far_adj*s_CF_far_dairy*s_RadSpec!AH3*(1/s_D_milk)*s_Q_w_dairy*(1/1000))</f>
        <v>1.5418689320388351E-5</v>
      </c>
      <c r="DZ3" s="40">
        <f>IFERROR((s_C*s_IFSW_far_adj*s_CF_far_swine*s_RadSpec!AN3*s_Q_w_swine*(1/1000)),0)</f>
        <v>6.4281249999999998E-3</v>
      </c>
      <c r="EA3" s="40">
        <f>IFERROR((s_C*s_IFP_far_adj*s_CF_far_poultry*s_RadSpec!AL3*s_Q_w_poultry*(1/1000)),0)</f>
        <v>0.22687499999999999</v>
      </c>
      <c r="EB3" s="40">
        <f>IFERROR((s_C*s_IFE_far_adj*s_CF_far_egg*s_RadSpec!AM3*s_Q_w_egg*(1/1000)),0)</f>
        <v>0.1134375</v>
      </c>
      <c r="EC3" s="40">
        <f>IFERROR((s_C*s_IFGO_far_adj*s_CF_far_goat*s_RadSpec!AQ3*s_Q_p_goat*(1/1000)),0)</f>
        <v>0</v>
      </c>
      <c r="ED3" s="40">
        <f>IFERROR((s_C*s_IFGM_far_adj*s_CF_far_goat_milk*s_RadSpec!AR3*(1/s_D_milk)*s_Q_p_goat_milk*(1/1000)),0)</f>
        <v>2.5330703883495146E-4</v>
      </c>
      <c r="EE3" s="40">
        <f>IFERROR((s_C*s_IFSH_far_adj*s_CF_far_sheep*s_RadSpec!AO3*s_Q_p_sheep*(1/1000)),0)</f>
        <v>4.1593749999999999E-3</v>
      </c>
      <c r="EF3" s="40">
        <f>IFERROR((s_C*s_IFSM_far_adj*s_CF_far_sheep_milk*s_RadSpec!AP3*(1/s_D_milk)*s_Q_p_sheep_milk*(1/1000)),0)</f>
        <v>0</v>
      </c>
      <c r="EG3" s="5"/>
      <c r="EH3" s="15">
        <f>IFERROR((s_DL/(s_RadSpec!H3*s_IFA_far_adj)),".")</f>
        <v>0.13739463280747685</v>
      </c>
      <c r="EI3" s="15">
        <f>IFERROR((s_DL/(s_RadSpec!K3*s_EF_far*(1/365)*1*s_ET_far*(1/24)*s_GSF_a)),".")</f>
        <v>4059723.4300177488</v>
      </c>
      <c r="EJ3" s="15">
        <f>IFERROR(IF(AND(ISNUMBER(EH3),ISNUMBER(EI3)),1/((1/EH3)+(1/EI3)),IF(AND(ISNUMBER(EH3),NOT(ISNUMBER(EI3))),1/((1/EH3)),IF(AND(NOT(ISNUMBER(EH3)),ISNUMBER(EI3)),1/((1/EI3)),IF(AND(NOT(ISNUMBER(EH3)),NOT(ISNUMBER(EI3))),".")))),".")</f>
        <v>0.13739462815758263</v>
      </c>
      <c r="EK3" s="189">
        <f>EJ3*(0.0000000000000028)*s_RadSpec!$AY3*s_RadSpec!$AF3</f>
        <v>4.0070945453894429E-11</v>
      </c>
      <c r="EL3" s="40">
        <f t="shared" si="45"/>
        <v>501.30208333333326</v>
      </c>
      <c r="EM3" s="40">
        <f t="shared" si="46"/>
        <v>7.8481735159817351E-2</v>
      </c>
      <c r="EN3" s="4"/>
    </row>
    <row r="4" spans="1:144" customFormat="1" x14ac:dyDescent="0.25">
      <c r="A4" s="44" t="s">
        <v>2</v>
      </c>
      <c r="B4" s="42" t="s">
        <v>1057</v>
      </c>
      <c r="C4" s="42"/>
      <c r="D4" s="15" t="str">
        <f>s_dir!AC4</f>
        <v>.</v>
      </c>
      <c r="E4" s="15" t="str">
        <f>IFERROR(s_DL/(s_RadSpec!F4*s_IFP_far_adj*s_CF_far_poultry),".")</f>
        <v>.</v>
      </c>
      <c r="F4" s="15" t="str">
        <f>IFERROR(s_DL/(s_RadSpec!F4*s_IFE_far_adj*s_CF_far_egg),".")</f>
        <v>.</v>
      </c>
      <c r="G4" s="15" t="str">
        <f>IFERROR(s_DL/(s_RadSpec!F4*s_IFB_far_adj*s_CF_far_beef),".")</f>
        <v>.</v>
      </c>
      <c r="H4" s="15" t="str">
        <f>IFERROR(s_DL/(s_RadSpec!F4*s_IFD_far_adj*s_CF_far_dairy),".")</f>
        <v>.</v>
      </c>
      <c r="I4" s="15" t="str">
        <f>IFERROR(s_DL/(s_RadSpec!F4*s_IFSW_far_adj*s_CF_far_swine),".")</f>
        <v>.</v>
      </c>
      <c r="J4" s="15" t="str">
        <f>IFERROR(s_DL/(s_RadSpec!F4*s_IFFI_far_adj*s_CF_far_fish),".")</f>
        <v>.</v>
      </c>
      <c r="K4" s="15" t="str">
        <f>IFERROR(s_DL/(s_RadSpec!F4*s_IFSF_far_adj*s_CF_far_shellfish),".")</f>
        <v>.</v>
      </c>
      <c r="L4" s="15" t="str">
        <f>IFERROR(s_DL/(s_RadSpec!F4*s_IFGO_far_adj*s_CF_far_goat),".")</f>
        <v>.</v>
      </c>
      <c r="M4" s="15" t="str">
        <f>IFERROR(s_DL/(s_RadSpec!F4*s_IFSH_far_adj*s_CF_far_sheep),".")</f>
        <v>.</v>
      </c>
      <c r="N4" s="15" t="str">
        <f>IFERROR(s_DL/(s_RadSpec!F4*s_IFGM_far_adj*s_CF_far_goat_milk),".")</f>
        <v>.</v>
      </c>
      <c r="O4" s="15" t="str">
        <f>IFERROR(s_DL/(s_RadSpec!F4*s_IFSM_far_adj*s_CF_far_sheep_milk),".")</f>
        <v>.</v>
      </c>
      <c r="P4" s="111" t="str">
        <f t="shared" si="47"/>
        <v>.</v>
      </c>
      <c r="Q4" s="111" t="str">
        <f t="shared" si="48"/>
        <v>.</v>
      </c>
      <c r="R4" s="111" t="str">
        <f t="shared" si="48"/>
        <v>.</v>
      </c>
      <c r="S4" s="111" t="str">
        <f t="shared" si="48"/>
        <v>.</v>
      </c>
      <c r="T4" s="111" t="str">
        <f t="shared" si="48"/>
        <v>.</v>
      </c>
      <c r="U4" s="111" t="str">
        <f t="shared" si="48"/>
        <v>.</v>
      </c>
      <c r="V4" s="111" t="str">
        <f t="shared" si="48"/>
        <v>.</v>
      </c>
      <c r="W4" s="111" t="str">
        <f t="shared" si="48"/>
        <v>.</v>
      </c>
      <c r="X4" s="111" t="str">
        <f t="shared" si="0"/>
        <v>.</v>
      </c>
      <c r="Y4" s="111" t="str">
        <f t="shared" si="0"/>
        <v>.</v>
      </c>
      <c r="Z4" s="111" t="str">
        <f t="shared" si="0"/>
        <v>.</v>
      </c>
      <c r="AA4" s="111" t="str">
        <f t="shared" si="0"/>
        <v>.</v>
      </c>
      <c r="AB4" s="15" t="str">
        <f t="shared" si="49"/>
        <v>.</v>
      </c>
      <c r="AC4" s="247">
        <f>IFERROR(AB4*(0.0000000000028)*s_RadSpec!$AY4*s_RadSpec!$AF4,0)</f>
        <v>0</v>
      </c>
      <c r="AD4" s="40">
        <f>s_dir!BC4</f>
        <v>30250</v>
      </c>
      <c r="AE4" s="40">
        <f t="shared" si="1"/>
        <v>7562.5</v>
      </c>
      <c r="AF4" s="40">
        <f t="shared" si="2"/>
        <v>7562.5</v>
      </c>
      <c r="AG4" s="40">
        <f t="shared" si="3"/>
        <v>7562.5</v>
      </c>
      <c r="AH4" s="40">
        <f t="shared" si="4"/>
        <v>7562.5</v>
      </c>
      <c r="AI4" s="40">
        <f t="shared" si="5"/>
        <v>7562.5</v>
      </c>
      <c r="AJ4" s="40">
        <f t="shared" si="6"/>
        <v>7562.5</v>
      </c>
      <c r="AK4" s="40">
        <f t="shared" si="7"/>
        <v>7562.5</v>
      </c>
      <c r="AL4" s="40">
        <f t="shared" si="8"/>
        <v>7562.5</v>
      </c>
      <c r="AM4" s="40">
        <f t="shared" si="9"/>
        <v>7562.5</v>
      </c>
      <c r="AN4" s="40">
        <f t="shared" si="10"/>
        <v>7562.5</v>
      </c>
      <c r="AO4" s="40">
        <f t="shared" si="11"/>
        <v>7562.5</v>
      </c>
      <c r="AP4" s="45" t="str">
        <f>IFERROR((s_DL/(s_RadSpec!E4*s_IFS_far_adj*(1/1000)))*1,".")</f>
        <v>.</v>
      </c>
      <c r="AQ4" s="45" t="str">
        <f>IFERROR(IF(A4="H-3",(s_DL/(s_RadSpec!H4*s_IFA_far_adj*(1/17)*1000))*1,(s_DL/(s_RadSpec!H4*s_IFA_far_adj*(1/s_PEF_wind)*1000))*1),".")</f>
        <v>.</v>
      </c>
      <c r="AR4" s="45">
        <f>IFERROR((s_DL/(s_RadSpec!G4*s_EF_far*(1/365)*1*s_RadSpec!R4*((s_ET_far_o*(1/24)*s_RadSpec!W4)+(s_ET_far_i*(1/24)*s_RadSpec!AB4))))*1,".")</f>
        <v>1450487.0428929173</v>
      </c>
      <c r="AS4" s="45" t="str">
        <f>s_b2s!BC4</f>
        <v>.</v>
      </c>
      <c r="AT4" s="45" t="str">
        <f>IFERROR(((J4*s_RadSpec!AU4)/s_RadSpec!AJ4)*1,".")</f>
        <v>.</v>
      </c>
      <c r="AU4" s="45" t="str">
        <f>IFERROR(((K4*s_RadSpec!AU4)/s_RadSpec!AK4)*1,".")</f>
        <v>.</v>
      </c>
      <c r="AV4" s="45" t="str">
        <f>IFERROR((G4/(s_RadSpec!AI4*((s_Q_p_beef*s_f_p_beef*s_f_s_beef*(s_RadSpec!BD4+s_R_es_past))+(s_Q_s_beef*s_f_p_beef))))*1,".")</f>
        <v>.</v>
      </c>
      <c r="AW4" s="45" t="str">
        <f>IFERROR(((H4*s_D_milk)/(s_RadSpec!AH4*((s_Q_p_dairy*s_f_p_dairy*s_f_s_dairy*(s_RadSpec!BD4+s_R_es_past))+(s_Q_s_dairy*s_f_p_dairy))))*1,".")</f>
        <v>.</v>
      </c>
      <c r="AX4" s="45" t="str">
        <f>IFERROR((I4/(s_RadSpec!AN4*((s_Q_p_swine*s_f_p_swine*s_f_s_swine*(s_RadSpec!BD4+s_R_es_past))+(s_Q_s_swine*s_f_p_swine))))*1,".")</f>
        <v>.</v>
      </c>
      <c r="AY4" s="45" t="str">
        <f>IFERROR((E4/(s_RadSpec!AL4*((s_Q_p_poultry*s_f_p_poultry*s_f_s_poultry*(s_RadSpec!BD4+s_R_es_past))+(s_Q_s_poultry*s_f_p_poultry))))*1,".")</f>
        <v>.</v>
      </c>
      <c r="AZ4" s="45" t="str">
        <f>IFERROR((F4/(s_RadSpec!AM4*((s_Q_p_poultry*s_f_p_poultry*s_f_s_poultry*(s_RadSpec!BD4+s_R_es_past))+(s_Q_s_poultry*s_f_p_poultry))))*1,".")</f>
        <v>.</v>
      </c>
      <c r="BA4" s="45" t="str">
        <f>IFERROR((L4/(s_RadSpec!AQ4*((s_Q_p_goat*s_f_p_goat*s_f_s_goat*(s_RadSpec!BD4+s_R_es_past))+(s_Q_s_goat*s_f_p_goat))))*1,".")</f>
        <v>.</v>
      </c>
      <c r="BB4" s="45" t="str">
        <f>IFERROR((N4*s_D_milk/(s_RadSpec!AR4*((s_Q_p_goat_milk*s_f_p_goat_milk*s_f_s_goat_milk*(s_RadSpec!BD4+s_R_es_past))+(s_Q_s_goat_milk*s_f_p_goat_milk))))*1,".")</f>
        <v>.</v>
      </c>
      <c r="BC4" s="45" t="str">
        <f>IFERROR((M4/(s_RadSpec!AO4*((s_Q_p_sheep*s_f_p_sheep*s_f_s_sheep*(s_RadSpec!BD4+s_R_es_past))+(s_Q_s_sheep*s_f_p_sheep))))*1,".")</f>
        <v>.</v>
      </c>
      <c r="BD4" s="45" t="str">
        <f>IFERROR((O4*s_D_milk/(s_RadSpec!AP4*((s_Q_p_sheep_milk*s_f_p_sheep_milk*s_f_s_sheep_milk*(s_RadSpec!BD4+s_R_es_past))+(s_Q_s_sheep_milk*s_f_p_sheep_milk))))*1,".")</f>
        <v>.</v>
      </c>
      <c r="BE4" s="111" t="str">
        <f t="shared" si="12"/>
        <v>.</v>
      </c>
      <c r="BF4" s="111" t="str">
        <f t="shared" si="13"/>
        <v>.</v>
      </c>
      <c r="BG4" s="111">
        <f t="shared" si="14"/>
        <v>6.894236007827788E-7</v>
      </c>
      <c r="BH4" s="111" t="str">
        <f t="shared" si="15"/>
        <v>.</v>
      </c>
      <c r="BI4" s="111" t="str">
        <f t="shared" si="16"/>
        <v>.</v>
      </c>
      <c r="BJ4" s="111" t="str">
        <f t="shared" si="16"/>
        <v>.</v>
      </c>
      <c r="BK4" s="111" t="str">
        <f t="shared" si="17"/>
        <v>.</v>
      </c>
      <c r="BL4" s="111" t="str">
        <f t="shared" si="18"/>
        <v>.</v>
      </c>
      <c r="BM4" s="111" t="str">
        <f t="shared" si="19"/>
        <v>.</v>
      </c>
      <c r="BN4" s="111" t="str">
        <f t="shared" si="20"/>
        <v>.</v>
      </c>
      <c r="BO4" s="111" t="str">
        <f t="shared" si="21"/>
        <v>.</v>
      </c>
      <c r="BP4" s="111" t="str">
        <f t="shared" si="22"/>
        <v>.</v>
      </c>
      <c r="BQ4" s="111" t="str">
        <f t="shared" si="23"/>
        <v>.</v>
      </c>
      <c r="BR4" s="111" t="str">
        <f t="shared" si="24"/>
        <v>.</v>
      </c>
      <c r="BS4" s="111" t="str">
        <f t="shared" si="25"/>
        <v>.</v>
      </c>
      <c r="BT4" s="15">
        <f t="shared" si="50"/>
        <v>1450487.0428929173</v>
      </c>
      <c r="BU4" s="189">
        <f>IFERROR(BT4*(0.0000000000028)*s_RadSpec!$AY4*s_RadSpec!$AF4,0)</f>
        <v>9.0266693463198244E-13</v>
      </c>
      <c r="BV4" s="40">
        <f t="shared" si="26"/>
        <v>15.125</v>
      </c>
      <c r="BW4" s="40">
        <f t="shared" si="27"/>
        <v>1.6181272791589674E-3</v>
      </c>
      <c r="BX4" s="40">
        <f>IFERROR((s_C*s_EF_far*(1/365)*1*s_RadSpec!R4*((s_ET_far_o*(1/24)*s_RadSpec!W4)+(s_ET_far_i*(1/24)*s_RadSpec!AB4))),".")</f>
        <v>1.4530332681017609E-2</v>
      </c>
      <c r="BY4" s="40">
        <f>s_b2s!CC4</f>
        <v>6458.3750000000009</v>
      </c>
      <c r="BZ4" s="40">
        <f>IFERROR(((s_C*s_RadSpec!AJ4)/s_RadSpec!AU4)*s_IFFI_far_adj*s_CF_far_fish,0)</f>
        <v>0</v>
      </c>
      <c r="CA4" s="40">
        <f>IFERROR(((s_C*s_RadSpec!AK4)/s_RadSpec!AU4)*s_IFSF_far_adj*s_CF_far_shellfish,0)</f>
        <v>0</v>
      </c>
      <c r="CB4" s="40">
        <f>(s_C*s_IFB_far_adj*s_CF_far_beef*s_RadSpec!AI4*((s_Q_p_beef*s_f_p_beef*s_f_s_beef*(s_RadSpec!$AT4+s_R_es_past))+(s_Q_s_beef*s_f_p_beef)))</f>
        <v>15125</v>
      </c>
      <c r="CC4" s="40">
        <f>(s_C*s_IFD_far_adj*s_CF_far_dairy*s_RadSpec!AH4*1/s_D_milk*((s_Q_p_dairy*s_f_p_dairy*s_f_s_dairy*(s_RadSpec!$AT4+s_R_es_past))+(s_Q_s_dairy*s_f_p_dairy)))</f>
        <v>14684.466019417476</v>
      </c>
      <c r="CD4" s="40">
        <f>IFERROR((s_C*s_IFSW_far_adj*s_CF_far_swine*s_RadSpec!AN4*((s_Q_p_swine*s_f_p_swine*s_f_s_swine*(s_RadSpec!$AT4+s_R_es_past))+(s_Q_s_swine*s_f_p_swine))),0)</f>
        <v>0</v>
      </c>
      <c r="CE4" s="40">
        <f>IFERROR((s_C*s_IFP_far_adj*s_CF_far_poultry*s_RadSpec!AL4*((s_Q_p_poultry*s_f_p_poultry*s_f_s_poultry*(s_RadSpec!AT4+s_R_es_past))+(s_Q_s_poultry*s_f_p_poultry))),0)</f>
        <v>0</v>
      </c>
      <c r="CF4" s="40">
        <f>IFERROR((s_C*s_IFE_far_adj*s_CF_far_egg*s_RadSpec!AM4*((s_Q_p_egg*s_f_p_egg*s_f_s_egg*(s_RadSpec!$AT4+s_R_es_past))+(s_Q_s_egg*s_f_p_egg))),0)</f>
        <v>0</v>
      </c>
      <c r="CG4" s="40">
        <f>IFERROR((s_C*s_IFGO_far_adj*s_CF_far_goat*s_RadSpec!AQ4*((s_Q_p_goat*s_f_p_goat*s_f_s_goat*(s_RadSpec!$AT4+s_R_es_past))+(s_Q_s_goat*s_f_p_goat))),0)</f>
        <v>0</v>
      </c>
      <c r="CH4" s="40">
        <f>IFERROR((s_C*s_IFGM_far_adj*s_CF_far_goat_milk*s_RadSpec!AR4*1/s_D_milk*((s_Q_p_goat_milk*s_f_p_goat_milk*s_f_s_goat_milk*(s_RadSpec!$AT4+s_R_es_past))+(s_Q_s_goat_milk*s_f_p_goat_milk))),0)</f>
        <v>0</v>
      </c>
      <c r="CI4" s="40">
        <f>IFERROR((s_C*s_IFSH_far_adj*s_CF_far_sheep*s_RadSpec!AO4*((s_Q_p_sheep*s_f_p_sheep*s_f_s_sheep*(s_RadSpec!$AT4+s_R_es_past))+(s_Q_s_sheep*s_f_p_sheep))),0)</f>
        <v>0</v>
      </c>
      <c r="CJ4" s="40">
        <f>IFERROR((s_C*s_IFSM_far_adj*s_CF_far_sheep_milk*s_RadSpec!AP4*1/s_D_milk*((s_Q_p_sheep_milk*s_f_p_sheep_milk*s_f_s_sheep_milk*(s_RadSpec!$AT4+s_R_es_past))+(s_Q_s_sheep_milk*s_f_p_sheep_milk))),0)</f>
        <v>0</v>
      </c>
      <c r="CK4" s="18"/>
      <c r="CL4" s="15" t="str">
        <f>IFERROR(s_DL/(s_RadSpec!I4*s_IFW_far_adj),".")</f>
        <v>.</v>
      </c>
      <c r="CM4" s="15" t="str">
        <f>IFERROR(IF(AND(s_RadSpec!C4=1,s_RadSpec!D4&lt;&gt;0),s_DL/(s_RadSpec!H4*s_IFA_far_adj*s_K*s_RadSpec!D4),"."),".")</f>
        <v>.</v>
      </c>
      <c r="CN4" s="15">
        <f>IFERROR((s_DL/(s_RadSpec!M4*(1/8760)*s_DFA_far_adj)),".")</f>
        <v>73813153.27304998</v>
      </c>
      <c r="CO4" s="15" t="str">
        <f>s_b2w!BC4</f>
        <v>.</v>
      </c>
      <c r="CP4" s="15" t="str">
        <f>IFERROR(J4/(s_RadSpec!AJ4*(1/1000)),".")</f>
        <v>.</v>
      </c>
      <c r="CQ4" s="15" t="str">
        <f>IFERROR(K4/(s_RadSpec!AK4*(1/1000)),".")</f>
        <v>.</v>
      </c>
      <c r="CR4" s="15" t="str">
        <f>IFERROR(G4/(s_RadSpec!AI4*s_Q_w_beef*(1/1000)),".")</f>
        <v>.</v>
      </c>
      <c r="CS4" s="15" t="str">
        <f>IFERROR((H4*s_D_milk)/(s_RadSpec!AH4*s_Q_w_dairy*(1/1000)),".")</f>
        <v>.</v>
      </c>
      <c r="CT4" s="15" t="str">
        <f>IFERROR(I4/(s_RadSpec!AN4*s_Q_w_swine*(1/1000)),".")</f>
        <v>.</v>
      </c>
      <c r="CU4" s="15" t="str">
        <f>IFERROR(E4/(s_RadSpec!AL4*s_Q_w_poultry*(1/1000)),".")</f>
        <v>.</v>
      </c>
      <c r="CV4" s="15" t="str">
        <f>IFERROR(F4/(s_RadSpec!AM4*s_Q_w_poultry*(1/1000)),".")</f>
        <v>.</v>
      </c>
      <c r="CW4" s="15" t="str">
        <f>IFERROR(L4/(s_RadSpec!AQ4*s_Q_w_goat*(1/1000)),".")</f>
        <v>.</v>
      </c>
      <c r="CX4" s="15" t="str">
        <f>IFERROR(N4*s_D_milk/(s_RadSpec!AR4*s_Q_w_goat_milk*(1/1000)),".")</f>
        <v>.</v>
      </c>
      <c r="CY4" s="15" t="str">
        <f>IFERROR(M4/(s_RadSpec!AO4*s_Q_w_sheep*(1/1000)),".")</f>
        <v>.</v>
      </c>
      <c r="CZ4" s="15" t="str">
        <f>IFERROR(O4*s_D_milk/(s_RadSpec!AP4*s_Q_w_sheep_milk*(1/1000)),".")</f>
        <v>.</v>
      </c>
      <c r="DA4" s="111" t="str">
        <f t="shared" si="28"/>
        <v>.</v>
      </c>
      <c r="DB4" s="111" t="str">
        <f t="shared" si="29"/>
        <v>.</v>
      </c>
      <c r="DC4" s="111">
        <f t="shared" si="30"/>
        <v>1.3547720909589042E-8</v>
      </c>
      <c r="DD4" s="111" t="str">
        <f t="shared" si="31"/>
        <v>.</v>
      </c>
      <c r="DE4" s="111" t="str">
        <f t="shared" si="32"/>
        <v>.</v>
      </c>
      <c r="DF4" s="111" t="str">
        <f t="shared" si="32"/>
        <v>.</v>
      </c>
      <c r="DG4" s="111" t="str">
        <f t="shared" si="33"/>
        <v>.</v>
      </c>
      <c r="DH4" s="111" t="str">
        <f t="shared" si="34"/>
        <v>.</v>
      </c>
      <c r="DI4" s="111" t="str">
        <f t="shared" si="35"/>
        <v>.</v>
      </c>
      <c r="DJ4" s="111" t="str">
        <f t="shared" si="36"/>
        <v>.</v>
      </c>
      <c r="DK4" s="111" t="str">
        <f t="shared" si="37"/>
        <v>.</v>
      </c>
      <c r="DL4" s="111" t="str">
        <f t="shared" si="38"/>
        <v>.</v>
      </c>
      <c r="DM4" s="111" t="str">
        <f t="shared" si="39"/>
        <v>.</v>
      </c>
      <c r="DN4" s="111" t="str">
        <f t="shared" si="40"/>
        <v>.</v>
      </c>
      <c r="DO4" s="111" t="str">
        <f t="shared" si="41"/>
        <v>.</v>
      </c>
      <c r="DP4" s="15">
        <f t="shared" si="51"/>
        <v>73813153.27304998</v>
      </c>
      <c r="DQ4" s="189">
        <f>DP4*(0.0000000000000028)*s_RadSpec!$AY4*s_RadSpec!$AF4</f>
        <v>4.5935393305973574E-14</v>
      </c>
      <c r="DR4" s="40">
        <f t="shared" si="42"/>
        <v>1375</v>
      </c>
      <c r="DS4" s="40">
        <f>IFERROR(IF(s_RadSpec!D4&lt;&gt;"",s_C*s_IFA_far_adj*s_K*s_RadSpec!D4,0),".")</f>
        <v>0</v>
      </c>
      <c r="DT4" s="40">
        <f t="shared" si="43"/>
        <v>0.12557077625570776</v>
      </c>
      <c r="DU4" s="40">
        <f>s_b2w!CC4</f>
        <v>1555.9678251111511</v>
      </c>
      <c r="DV4" s="40">
        <f>IFERROR(s_C*s_RadSpec!AJ4*(1/1000)*s_IFFI_far_adj*s_CF_far_fish,0)</f>
        <v>0</v>
      </c>
      <c r="DW4" s="40">
        <f>IFERROR(s_C*s_RadSpec!AK4*(1/1000)*s_IFSF_far_adj*s_CF_far_shellfish,0)</f>
        <v>0</v>
      </c>
      <c r="DX4" s="40">
        <f>(s_C*s_IFB_far_adj*s_CF_far_beef*s_RadSpec!AI4*s_Q_w_beef*(1/1000))</f>
        <v>0.37812499999999999</v>
      </c>
      <c r="DY4" s="40">
        <f>(s_C*s_IFD_far_adj*s_CF_far_dairy*s_RadSpec!AH4*(1/s_D_milk)*s_Q_w_dairy*(1/1000))</f>
        <v>0.36711165048543692</v>
      </c>
      <c r="DZ4" s="40">
        <f>IFERROR((s_C*s_IFSW_far_adj*s_CF_far_swine*s_RadSpec!AN4*s_Q_w_swine*(1/1000)),0)</f>
        <v>0</v>
      </c>
      <c r="EA4" s="40">
        <f>IFERROR((s_C*s_IFP_far_adj*s_CF_far_poultry*s_RadSpec!AL4*s_Q_w_poultry*(1/1000)),0)</f>
        <v>0</v>
      </c>
      <c r="EB4" s="40">
        <f>IFERROR((s_C*s_IFE_far_adj*s_CF_far_egg*s_RadSpec!AM4*s_Q_w_egg*(1/1000)),0)</f>
        <v>0</v>
      </c>
      <c r="EC4" s="40">
        <f>IFERROR((s_C*s_IFGO_far_adj*s_CF_far_goat*s_RadSpec!AQ4*s_Q_p_goat*(1/1000)),0)</f>
        <v>0</v>
      </c>
      <c r="ED4" s="40">
        <f>IFERROR((s_C*s_IFGM_far_adj*s_CF_far_goat_milk*s_RadSpec!AR4*(1/s_D_milk)*s_Q_p_goat_milk*(1/1000)),0)</f>
        <v>0</v>
      </c>
      <c r="EE4" s="40">
        <f>IFERROR((s_C*s_IFSH_far_adj*s_CF_far_sheep*s_RadSpec!AO4*s_Q_p_sheep*(1/1000)),0)</f>
        <v>0</v>
      </c>
      <c r="EF4" s="40">
        <f>IFERROR((s_C*s_IFSM_far_adj*s_CF_far_sheep_milk*s_RadSpec!AP4*(1/s_D_milk)*s_Q_p_sheep_milk*(1/1000)),0)</f>
        <v>0</v>
      </c>
      <c r="EG4" s="5"/>
      <c r="EH4" s="15" t="str">
        <f>IFERROR((s_DL/(s_RadSpec!H4*s_IFA_far_adj)),".")</f>
        <v>.</v>
      </c>
      <c r="EI4" s="15">
        <f>IFERROR((s_DL/(s_RadSpec!K4*s_EF_far*(1/365)*1*s_ET_far*(1/24)*s_GSF_a)),".")</f>
        <v>257371145.75206867</v>
      </c>
      <c r="EJ4" s="15">
        <f t="shared" ref="EJ4:EJ5" si="52">IFERROR(IF(AND(ISNUMBER(EH4),ISNUMBER(EI4)),1/((1/EH4)+(1/EI4)),IF(AND(ISNUMBER(EH4),NOT(ISNUMBER(EI4))),1/((1/EH4)),IF(AND(NOT(ISNUMBER(EH4)),ISNUMBER(EI4)),1/((1/EI4)),IF(AND(NOT(ISNUMBER(EH4)),NOT(ISNUMBER(EI4))),".")))),".")</f>
        <v>257371145.7520687</v>
      </c>
      <c r="EK4" s="189">
        <f>EJ4*(0.0000000000000028)*s_RadSpec!$AY4*s_RadSpec!$AF4</f>
        <v>1.6016718269705504E-13</v>
      </c>
      <c r="EL4" s="40">
        <f t="shared" si="45"/>
        <v>501.30208333333326</v>
      </c>
      <c r="EM4" s="40">
        <f t="shared" si="46"/>
        <v>7.8481735159817351E-2</v>
      </c>
      <c r="EN4" s="113"/>
    </row>
    <row r="5" spans="1:144" customFormat="1" x14ac:dyDescent="0.25">
      <c r="A5" s="44" t="s">
        <v>3</v>
      </c>
      <c r="B5" s="42" t="s">
        <v>1057</v>
      </c>
      <c r="C5" s="238"/>
      <c r="D5" s="15" t="str">
        <f>s_dir!AC5</f>
        <v>.</v>
      </c>
      <c r="E5" s="15" t="str">
        <f>IFERROR(s_DL/(s_RadSpec!F5*s_IFP_far_adj*s_CF_far_poultry),".")</f>
        <v>.</v>
      </c>
      <c r="F5" s="15" t="str">
        <f>IFERROR(s_DL/(s_RadSpec!F5*s_IFE_far_adj*s_CF_far_egg),".")</f>
        <v>.</v>
      </c>
      <c r="G5" s="15" t="str">
        <f>IFERROR(s_DL/(s_RadSpec!F5*s_IFB_far_adj*s_CF_far_beef),".")</f>
        <v>.</v>
      </c>
      <c r="H5" s="15" t="str">
        <f>IFERROR(s_DL/(s_RadSpec!F5*s_IFD_far_adj*s_CF_far_dairy),".")</f>
        <v>.</v>
      </c>
      <c r="I5" s="15" t="str">
        <f>IFERROR(s_DL/(s_RadSpec!F5*s_IFSW_far_adj*s_CF_far_swine),".")</f>
        <v>.</v>
      </c>
      <c r="J5" s="15" t="str">
        <f>IFERROR(s_DL/(s_RadSpec!F5*s_IFFI_far_adj*s_CF_far_fish),".")</f>
        <v>.</v>
      </c>
      <c r="K5" s="15" t="str">
        <f>IFERROR(s_DL/(s_RadSpec!F5*s_IFSF_far_adj*s_CF_far_shellfish),".")</f>
        <v>.</v>
      </c>
      <c r="L5" s="15" t="str">
        <f>IFERROR(s_DL/(s_RadSpec!F5*s_IFGO_far_adj*s_CF_far_goat),".")</f>
        <v>.</v>
      </c>
      <c r="M5" s="15" t="str">
        <f>IFERROR(s_DL/(s_RadSpec!F5*s_IFSH_far_adj*s_CF_far_sheep),".")</f>
        <v>.</v>
      </c>
      <c r="N5" s="15" t="str">
        <f>IFERROR(s_DL/(s_RadSpec!F5*s_IFGM_far_adj*s_CF_far_goat_milk),".")</f>
        <v>.</v>
      </c>
      <c r="O5" s="15" t="str">
        <f>IFERROR(s_DL/(s_RadSpec!F5*s_IFSM_far_adj*s_CF_far_sheep_milk),".")</f>
        <v>.</v>
      </c>
      <c r="P5" s="111" t="str">
        <f t="shared" si="47"/>
        <v>.</v>
      </c>
      <c r="Q5" s="111" t="str">
        <f t="shared" si="48"/>
        <v>.</v>
      </c>
      <c r="R5" s="111" t="str">
        <f t="shared" si="48"/>
        <v>.</v>
      </c>
      <c r="S5" s="111" t="str">
        <f t="shared" si="48"/>
        <v>.</v>
      </c>
      <c r="T5" s="111" t="str">
        <f t="shared" si="48"/>
        <v>.</v>
      </c>
      <c r="U5" s="111" t="str">
        <f t="shared" si="48"/>
        <v>.</v>
      </c>
      <c r="V5" s="111" t="str">
        <f t="shared" si="48"/>
        <v>.</v>
      </c>
      <c r="W5" s="111" t="str">
        <f t="shared" si="48"/>
        <v>.</v>
      </c>
      <c r="X5" s="111" t="str">
        <f t="shared" si="0"/>
        <v>.</v>
      </c>
      <c r="Y5" s="111" t="str">
        <f t="shared" si="0"/>
        <v>.</v>
      </c>
      <c r="Z5" s="111" t="str">
        <f t="shared" si="0"/>
        <v>.</v>
      </c>
      <c r="AA5" s="111" t="str">
        <f t="shared" si="0"/>
        <v>.</v>
      </c>
      <c r="AB5" s="15" t="str">
        <f t="shared" si="49"/>
        <v>.</v>
      </c>
      <c r="AC5" s="247">
        <f>IFERROR(AB5*(0.0000000000028)*s_RadSpec!$AY5*s_RadSpec!$AF5,0)</f>
        <v>0</v>
      </c>
      <c r="AD5" s="40">
        <f>s_dir!BC5</f>
        <v>30250</v>
      </c>
      <c r="AE5" s="40">
        <f t="shared" si="1"/>
        <v>7562.5</v>
      </c>
      <c r="AF5" s="40">
        <f t="shared" si="2"/>
        <v>7562.5</v>
      </c>
      <c r="AG5" s="40">
        <f t="shared" si="3"/>
        <v>7562.5</v>
      </c>
      <c r="AH5" s="40">
        <f t="shared" si="4"/>
        <v>7562.5</v>
      </c>
      <c r="AI5" s="40">
        <f t="shared" si="5"/>
        <v>7562.5</v>
      </c>
      <c r="AJ5" s="40">
        <f t="shared" si="6"/>
        <v>7562.5</v>
      </c>
      <c r="AK5" s="40">
        <f t="shared" si="7"/>
        <v>7562.5</v>
      </c>
      <c r="AL5" s="40">
        <f t="shared" si="8"/>
        <v>7562.5</v>
      </c>
      <c r="AM5" s="40">
        <f t="shared" si="9"/>
        <v>7562.5</v>
      </c>
      <c r="AN5" s="40">
        <f t="shared" si="10"/>
        <v>7562.5</v>
      </c>
      <c r="AO5" s="40">
        <f t="shared" si="11"/>
        <v>7562.5</v>
      </c>
      <c r="AP5" s="45" t="str">
        <f>IFERROR((s_DL/(s_RadSpec!E5*s_IFS_far_adj*(1/1000)))*1,".")</f>
        <v>.</v>
      </c>
      <c r="AQ5" s="45" t="str">
        <f>IFERROR(IF(A5="H-3",(s_DL/(s_RadSpec!H5*s_IFA_far_adj*(1/17)*1000))*1,(s_DL/(s_RadSpec!H5*s_IFA_far_adj*(1/s_PEF_wind)*1000))*1),".")</f>
        <v>.</v>
      </c>
      <c r="AR5" s="45" t="str">
        <f>IFERROR((s_DL/(s_RadSpec!G5*s_EF_far*(1/365)*1*s_RadSpec!R5*((s_ET_far_o*(1/24)*s_RadSpec!W5)+(s_ET_far_i*(1/24)*s_RadSpec!AB5))))*1,".")</f>
        <v>.</v>
      </c>
      <c r="AS5" s="45" t="str">
        <f>s_b2s!BC5</f>
        <v>.</v>
      </c>
      <c r="AT5" s="45" t="str">
        <f>IFERROR(((J5*s_RadSpec!AU5)/s_RadSpec!AJ5)*1,".")</f>
        <v>.</v>
      </c>
      <c r="AU5" s="45" t="str">
        <f>IFERROR(((K5*s_RadSpec!AU5)/s_RadSpec!AK5)*1,".")</f>
        <v>.</v>
      </c>
      <c r="AV5" s="45" t="str">
        <f>IFERROR((G5/(s_RadSpec!AI5*((s_Q_p_beef*s_f_p_beef*s_f_s_beef*(s_RadSpec!BD5+s_R_es_past))+(s_Q_s_beef*s_f_p_beef))))*1,".")</f>
        <v>.</v>
      </c>
      <c r="AW5" s="45" t="str">
        <f>IFERROR(((H5*s_D_milk)/(s_RadSpec!AH5*((s_Q_p_dairy*s_f_p_dairy*s_f_s_dairy*(s_RadSpec!BD5+s_R_es_past))+(s_Q_s_dairy*s_f_p_dairy))))*1,".")</f>
        <v>.</v>
      </c>
      <c r="AX5" s="45" t="str">
        <f>IFERROR((I5/(s_RadSpec!AN5*((s_Q_p_swine*s_f_p_swine*s_f_s_swine*(s_RadSpec!BD5+s_R_es_past))+(s_Q_s_swine*s_f_p_swine))))*1,".")</f>
        <v>.</v>
      </c>
      <c r="AY5" s="45" t="str">
        <f>IFERROR((E5/(s_RadSpec!AL5*((s_Q_p_poultry*s_f_p_poultry*s_f_s_poultry*(s_RadSpec!BD5+s_R_es_past))+(s_Q_s_poultry*s_f_p_poultry))))*1,".")</f>
        <v>.</v>
      </c>
      <c r="AZ5" s="45" t="str">
        <f>IFERROR((F5/(s_RadSpec!AM5*((s_Q_p_poultry*s_f_p_poultry*s_f_s_poultry*(s_RadSpec!BD5+s_R_es_past))+(s_Q_s_poultry*s_f_p_poultry))))*1,".")</f>
        <v>.</v>
      </c>
      <c r="BA5" s="45" t="str">
        <f>IFERROR((L5/(s_RadSpec!AQ5*((s_Q_p_goat*s_f_p_goat*s_f_s_goat*(s_RadSpec!BD5+s_R_es_past))+(s_Q_s_goat*s_f_p_goat))))*1,".")</f>
        <v>.</v>
      </c>
      <c r="BB5" s="45" t="str">
        <f>IFERROR((N5*s_D_milk/(s_RadSpec!AR5*((s_Q_p_goat_milk*s_f_p_goat_milk*s_f_s_goat_milk*(s_RadSpec!BD5+s_R_es_past))+(s_Q_s_goat_milk*s_f_p_goat_milk))))*1,".")</f>
        <v>.</v>
      </c>
      <c r="BC5" s="45" t="str">
        <f>IFERROR((M5/(s_RadSpec!AO5*((s_Q_p_sheep*s_f_p_sheep*s_f_s_sheep*(s_RadSpec!BD5+s_R_es_past))+(s_Q_s_sheep*s_f_p_sheep))))*1,".")</f>
        <v>.</v>
      </c>
      <c r="BD5" s="45" t="str">
        <f>IFERROR((O5*s_D_milk/(s_RadSpec!AP5*((s_Q_p_sheep_milk*s_f_p_sheep_milk*s_f_s_sheep_milk*(s_RadSpec!BD5+s_R_es_past))+(s_Q_s_sheep_milk*s_f_p_sheep_milk))))*1,".")</f>
        <v>.</v>
      </c>
      <c r="BE5" s="111" t="str">
        <f t="shared" si="12"/>
        <v>.</v>
      </c>
      <c r="BF5" s="111" t="str">
        <f t="shared" si="13"/>
        <v>.</v>
      </c>
      <c r="BG5" s="111" t="str">
        <f t="shared" si="14"/>
        <v>.</v>
      </c>
      <c r="BH5" s="111" t="str">
        <f t="shared" si="15"/>
        <v>.</v>
      </c>
      <c r="BI5" s="111" t="str">
        <f t="shared" si="16"/>
        <v>.</v>
      </c>
      <c r="BJ5" s="111" t="str">
        <f t="shared" si="16"/>
        <v>.</v>
      </c>
      <c r="BK5" s="111" t="str">
        <f t="shared" si="17"/>
        <v>.</v>
      </c>
      <c r="BL5" s="111" t="str">
        <f t="shared" si="18"/>
        <v>.</v>
      </c>
      <c r="BM5" s="111" t="str">
        <f t="shared" si="19"/>
        <v>.</v>
      </c>
      <c r="BN5" s="111" t="str">
        <f t="shared" si="20"/>
        <v>.</v>
      </c>
      <c r="BO5" s="111" t="str">
        <f t="shared" si="21"/>
        <v>.</v>
      </c>
      <c r="BP5" s="111" t="str">
        <f t="shared" si="22"/>
        <v>.</v>
      </c>
      <c r="BQ5" s="111" t="str">
        <f t="shared" si="23"/>
        <v>.</v>
      </c>
      <c r="BR5" s="111" t="str">
        <f t="shared" si="24"/>
        <v>.</v>
      </c>
      <c r="BS5" s="111" t="str">
        <f t="shared" si="25"/>
        <v>.</v>
      </c>
      <c r="BT5" s="15" t="str">
        <f t="shared" si="50"/>
        <v>.</v>
      </c>
      <c r="BU5" s="189">
        <f>IFERROR(BT5*(0.0000000000028)*s_RadSpec!$AY5*s_RadSpec!$AF5,0)</f>
        <v>0</v>
      </c>
      <c r="BV5" s="40">
        <f t="shared" si="26"/>
        <v>15.125</v>
      </c>
      <c r="BW5" s="40">
        <f t="shared" si="27"/>
        <v>1.6181272791589674E-3</v>
      </c>
      <c r="BX5" s="40">
        <f>IFERROR((s_C*s_EF_far*(1/365)*1*s_RadSpec!R5*((s_ET_far_o*(1/24)*s_RadSpec!W5)+(s_ET_far_i*(1/24)*s_RadSpec!AB5))),".")</f>
        <v>0</v>
      </c>
      <c r="BY5" s="40">
        <f>s_b2s!CC5</f>
        <v>6458.3750000000009</v>
      </c>
      <c r="BZ5" s="40">
        <f>IFERROR(((s_C*s_RadSpec!AJ5)/s_RadSpec!AU5)*s_IFFI_far_adj*s_CF_far_fish,0)</f>
        <v>0</v>
      </c>
      <c r="CA5" s="40">
        <f>IFERROR(((s_C*s_RadSpec!AK5)/s_RadSpec!AU5)*s_IFSF_far_adj*s_CF_far_shellfish,0)</f>
        <v>0</v>
      </c>
      <c r="CB5" s="40">
        <f>(s_C*s_IFB_far_adj*s_CF_far_beef*s_RadSpec!AI5*((s_Q_p_beef*s_f_p_beef*s_f_s_beef*(s_RadSpec!$AT5+s_R_es_past))+(s_Q_s_beef*s_f_p_beef)))</f>
        <v>15125</v>
      </c>
      <c r="CC5" s="40">
        <f>(s_C*s_IFD_far_adj*s_CF_far_dairy*s_RadSpec!AH5*1/s_D_milk*((s_Q_p_dairy*s_f_p_dairy*s_f_s_dairy*(s_RadSpec!$AT5+s_R_es_past))+(s_Q_s_dairy*s_f_p_dairy)))</f>
        <v>14684.466019417476</v>
      </c>
      <c r="CD5" s="40">
        <f>IFERROR((s_C*s_IFSW_far_adj*s_CF_far_swine*s_RadSpec!AN5*((s_Q_p_swine*s_f_p_swine*s_f_s_swine*(s_RadSpec!$AT5+s_R_es_past))+(s_Q_s_swine*s_f_p_swine))),0)</f>
        <v>0</v>
      </c>
      <c r="CE5" s="40">
        <f>IFERROR((s_C*s_IFP_far_adj*s_CF_far_poultry*s_RadSpec!AL5*((s_Q_p_poultry*s_f_p_poultry*s_f_s_poultry*(s_RadSpec!AT5+s_R_es_past))+(s_Q_s_poultry*s_f_p_poultry))),0)</f>
        <v>0</v>
      </c>
      <c r="CF5" s="40">
        <f>IFERROR((s_C*s_IFE_far_adj*s_CF_far_egg*s_RadSpec!AM5*((s_Q_p_egg*s_f_p_egg*s_f_s_egg*(s_RadSpec!$AT5+s_R_es_past))+(s_Q_s_egg*s_f_p_egg))),0)</f>
        <v>0</v>
      </c>
      <c r="CG5" s="40">
        <f>IFERROR((s_C*s_IFGO_far_adj*s_CF_far_goat*s_RadSpec!AQ5*((s_Q_p_goat*s_f_p_goat*s_f_s_goat*(s_RadSpec!$AT5+s_R_es_past))+(s_Q_s_goat*s_f_p_goat))),0)</f>
        <v>0</v>
      </c>
      <c r="CH5" s="40">
        <f>IFERROR((s_C*s_IFGM_far_adj*s_CF_far_goat_milk*s_RadSpec!AR5*1/s_D_milk*((s_Q_p_goat_milk*s_f_p_goat_milk*s_f_s_goat_milk*(s_RadSpec!$AT5+s_R_es_past))+(s_Q_s_goat_milk*s_f_p_goat_milk))),0)</f>
        <v>0</v>
      </c>
      <c r="CI5" s="40">
        <f>IFERROR((s_C*s_IFSH_far_adj*s_CF_far_sheep*s_RadSpec!AO5*((s_Q_p_sheep*s_f_p_sheep*s_f_s_sheep*(s_RadSpec!$AT5+s_R_es_past))+(s_Q_s_sheep*s_f_p_sheep))),0)</f>
        <v>0</v>
      </c>
      <c r="CJ5" s="40">
        <f>IFERROR((s_C*s_IFSM_far_adj*s_CF_far_sheep_milk*s_RadSpec!AP5*1/s_D_milk*((s_Q_p_sheep_milk*s_f_p_sheep_milk*s_f_s_sheep_milk*(s_RadSpec!$AT5+s_R_es_past))+(s_Q_s_sheep_milk*s_f_p_sheep_milk))),0)</f>
        <v>0</v>
      </c>
      <c r="CK5" s="18"/>
      <c r="CL5" s="15" t="str">
        <f>IFERROR(s_DL/(s_RadSpec!I5*s_IFW_far_adj),".")</f>
        <v>.</v>
      </c>
      <c r="CM5" s="15" t="str">
        <f>IFERROR(IF(AND(s_RadSpec!C5=1,s_RadSpec!D5&lt;&gt;0),s_DL/(s_RadSpec!H5*s_IFA_far_adj*s_K*s_RadSpec!D5),"."),".")</f>
        <v>.</v>
      </c>
      <c r="CN5" s="15">
        <f>IFERROR((s_DL/(s_RadSpec!M5*(1/8760)*s_DFA_far_adj)),".")</f>
        <v>1364067072.4859638</v>
      </c>
      <c r="CO5" s="15" t="str">
        <f>s_b2w!BC5</f>
        <v>.</v>
      </c>
      <c r="CP5" s="15" t="str">
        <f>IFERROR(J5/(s_RadSpec!AJ5*(1/1000)),".")</f>
        <v>.</v>
      </c>
      <c r="CQ5" s="15" t="str">
        <f>IFERROR(K5/(s_RadSpec!AK5*(1/1000)),".")</f>
        <v>.</v>
      </c>
      <c r="CR5" s="15" t="str">
        <f>IFERROR(G5/(s_RadSpec!AI5*s_Q_w_beef*(1/1000)),".")</f>
        <v>.</v>
      </c>
      <c r="CS5" s="15" t="str">
        <f>IFERROR((H5*s_D_milk)/(s_RadSpec!AH5*s_Q_w_dairy*(1/1000)),".")</f>
        <v>.</v>
      </c>
      <c r="CT5" s="15" t="str">
        <f>IFERROR(I5/(s_RadSpec!AN5*s_Q_w_swine*(1/1000)),".")</f>
        <v>.</v>
      </c>
      <c r="CU5" s="15" t="str">
        <f>IFERROR(E5/(s_RadSpec!AL5*s_Q_w_poultry*(1/1000)),".")</f>
        <v>.</v>
      </c>
      <c r="CV5" s="15" t="str">
        <f>IFERROR(F5/(s_RadSpec!AM5*s_Q_w_poultry*(1/1000)),".")</f>
        <v>.</v>
      </c>
      <c r="CW5" s="15" t="str">
        <f>IFERROR(L5/(s_RadSpec!AQ5*s_Q_w_goat*(1/1000)),".")</f>
        <v>.</v>
      </c>
      <c r="CX5" s="15" t="str">
        <f>IFERROR(N5*s_D_milk/(s_RadSpec!AR5*s_Q_w_goat_milk*(1/1000)),".")</f>
        <v>.</v>
      </c>
      <c r="CY5" s="15" t="str">
        <f>IFERROR(M5/(s_RadSpec!AO5*s_Q_w_sheep*(1/1000)),".")</f>
        <v>.</v>
      </c>
      <c r="CZ5" s="15" t="str">
        <f>IFERROR(O5*s_D_milk/(s_RadSpec!AP5*s_Q_w_sheep_milk*(1/1000)),".")</f>
        <v>.</v>
      </c>
      <c r="DA5" s="111" t="str">
        <f t="shared" si="28"/>
        <v>.</v>
      </c>
      <c r="DB5" s="111" t="str">
        <f t="shared" si="29"/>
        <v>.</v>
      </c>
      <c r="DC5" s="111">
        <f t="shared" si="30"/>
        <v>7.3310178082191773E-10</v>
      </c>
      <c r="DD5" s="111" t="str">
        <f t="shared" si="31"/>
        <v>.</v>
      </c>
      <c r="DE5" s="111" t="str">
        <f t="shared" si="32"/>
        <v>.</v>
      </c>
      <c r="DF5" s="111" t="str">
        <f t="shared" si="32"/>
        <v>.</v>
      </c>
      <c r="DG5" s="111" t="str">
        <f t="shared" si="33"/>
        <v>.</v>
      </c>
      <c r="DH5" s="111" t="str">
        <f t="shared" si="34"/>
        <v>.</v>
      </c>
      <c r="DI5" s="111" t="str">
        <f t="shared" si="35"/>
        <v>.</v>
      </c>
      <c r="DJ5" s="111" t="str">
        <f t="shared" si="36"/>
        <v>.</v>
      </c>
      <c r="DK5" s="111" t="str">
        <f t="shared" si="37"/>
        <v>.</v>
      </c>
      <c r="DL5" s="111" t="str">
        <f t="shared" si="38"/>
        <v>.</v>
      </c>
      <c r="DM5" s="111" t="str">
        <f t="shared" si="39"/>
        <v>.</v>
      </c>
      <c r="DN5" s="111" t="str">
        <f t="shared" si="40"/>
        <v>.</v>
      </c>
      <c r="DO5" s="111" t="str">
        <f t="shared" si="41"/>
        <v>.</v>
      </c>
      <c r="DP5" s="15">
        <f t="shared" si="51"/>
        <v>1364067072.4859638</v>
      </c>
      <c r="DQ5" s="189">
        <f>DP5*(0.0000000000000028)*s_RadSpec!$AY5*s_RadSpec!$AF5</f>
        <v>3.9603621625068142E-11</v>
      </c>
      <c r="DR5" s="40">
        <f t="shared" si="42"/>
        <v>1375</v>
      </c>
      <c r="DS5" s="40">
        <f>IFERROR(IF(s_RadSpec!D5&lt;&gt;"",s_C*s_IFA_far_adj*s_K*s_RadSpec!D5,0),".")</f>
        <v>3.6410071614583331E-2</v>
      </c>
      <c r="DT5" s="40">
        <f t="shared" si="43"/>
        <v>0.12557077625570776</v>
      </c>
      <c r="DU5" s="40">
        <f>s_b2w!CC5</f>
        <v>1555.9678251111511</v>
      </c>
      <c r="DV5" s="40">
        <f>IFERROR(s_C*s_RadSpec!AJ5*(1/1000)*s_IFFI_far_adj*s_CF_far_fish,0)</f>
        <v>0</v>
      </c>
      <c r="DW5" s="40">
        <f>IFERROR(s_C*s_RadSpec!AK5*(1/1000)*s_IFSF_far_adj*s_CF_far_shellfish,0)</f>
        <v>0</v>
      </c>
      <c r="DX5" s="40">
        <f>(s_C*s_IFB_far_adj*s_CF_far_beef*s_RadSpec!AI5*s_Q_w_beef*(1/1000))</f>
        <v>0.37812499999999999</v>
      </c>
      <c r="DY5" s="40">
        <f>(s_C*s_IFD_far_adj*s_CF_far_dairy*s_RadSpec!AH5*(1/s_D_milk)*s_Q_w_dairy*(1/1000))</f>
        <v>0.36711165048543692</v>
      </c>
      <c r="DZ5" s="40">
        <f>IFERROR((s_C*s_IFSW_far_adj*s_CF_far_swine*s_RadSpec!AN5*s_Q_w_swine*(1/1000)),0)</f>
        <v>0</v>
      </c>
      <c r="EA5" s="40">
        <f>IFERROR((s_C*s_IFP_far_adj*s_CF_far_poultry*s_RadSpec!AL5*s_Q_w_poultry*(1/1000)),0)</f>
        <v>0</v>
      </c>
      <c r="EB5" s="40">
        <f>IFERROR((s_C*s_IFE_far_adj*s_CF_far_egg*s_RadSpec!AM5*s_Q_w_egg*(1/1000)),0)</f>
        <v>0</v>
      </c>
      <c r="EC5" s="40">
        <f>IFERROR((s_C*s_IFGO_far_adj*s_CF_far_goat*s_RadSpec!AQ5*s_Q_p_goat*(1/1000)),0)</f>
        <v>0</v>
      </c>
      <c r="ED5" s="40">
        <f>IFERROR((s_C*s_IFGM_far_adj*s_CF_far_goat_milk*s_RadSpec!AR5*(1/s_D_milk)*s_Q_p_goat_milk*(1/1000)),0)</f>
        <v>0</v>
      </c>
      <c r="EE5" s="40">
        <f>IFERROR((s_C*s_IFSH_far_adj*s_CF_far_sheep*s_RadSpec!AO5*s_Q_p_sheep*(1/1000)),0)</f>
        <v>0</v>
      </c>
      <c r="EF5" s="40">
        <f>IFERROR((s_C*s_IFSM_far_adj*s_CF_far_sheep_milk*s_RadSpec!AP5*(1/s_D_milk)*s_Q_p_sheep_milk*(1/1000)),0)</f>
        <v>0</v>
      </c>
      <c r="EG5" s="5"/>
      <c r="EH5" s="15" t="str">
        <f>IFERROR((s_DL/(s_RadSpec!H5*s_IFA_far_adj)),".")</f>
        <v>.</v>
      </c>
      <c r="EI5" s="15">
        <f>IFERROR((s_DL/(s_RadSpec!K5*s_EF_far*(1/365)*1*s_ET_far*(1/24)*s_GSF_a)),".")</f>
        <v>2783810352.0121703</v>
      </c>
      <c r="EJ5" s="15">
        <f t="shared" si="52"/>
        <v>2783810352.0121703</v>
      </c>
      <c r="EK5" s="189">
        <f>EJ5*(0.0000000000000028)*s_RadSpec!$AY5*s_RadSpec!$AF5</f>
        <v>8.0823717602179866E-11</v>
      </c>
      <c r="EL5" s="40">
        <f t="shared" si="45"/>
        <v>501.30208333333326</v>
      </c>
      <c r="EM5" s="40">
        <f t="shared" si="46"/>
        <v>7.8481735159817351E-2</v>
      </c>
      <c r="EN5" s="113"/>
    </row>
    <row r="6" spans="1:144" customFormat="1" x14ac:dyDescent="0.25">
      <c r="A6" s="44" t="s">
        <v>4</v>
      </c>
      <c r="B6" s="42" t="s">
        <v>1057</v>
      </c>
      <c r="C6" s="42"/>
      <c r="D6" s="15" t="str">
        <f>s_dir!AC6</f>
        <v>.</v>
      </c>
      <c r="E6" s="15" t="str">
        <f>IFERROR(s_DL/(s_RadSpec!F6*s_IFP_far_adj*s_CF_far_poultry),".")</f>
        <v>.</v>
      </c>
      <c r="F6" s="15" t="str">
        <f>IFERROR(s_DL/(s_RadSpec!F6*s_IFE_far_adj*s_CF_far_egg),".")</f>
        <v>.</v>
      </c>
      <c r="G6" s="15" t="str">
        <f>IFERROR(s_DL/(s_RadSpec!F6*s_IFB_far_adj*s_CF_far_beef),".")</f>
        <v>.</v>
      </c>
      <c r="H6" s="15" t="str">
        <f>IFERROR(s_DL/(s_RadSpec!F6*s_IFD_far_adj*s_CF_far_dairy),".")</f>
        <v>.</v>
      </c>
      <c r="I6" s="15" t="str">
        <f>IFERROR(s_DL/(s_RadSpec!F6*s_IFSW_far_adj*s_CF_far_swine),".")</f>
        <v>.</v>
      </c>
      <c r="J6" s="15" t="str">
        <f>IFERROR(s_DL/(s_RadSpec!F6*s_IFFI_far_adj*s_CF_far_fish),".")</f>
        <v>.</v>
      </c>
      <c r="K6" s="15" t="str">
        <f>IFERROR(s_DL/(s_RadSpec!F6*s_IFSF_far_adj*s_CF_far_shellfish),".")</f>
        <v>.</v>
      </c>
      <c r="L6" s="15" t="str">
        <f>IFERROR(s_DL/(s_RadSpec!F6*s_IFGO_far_adj*s_CF_far_goat),".")</f>
        <v>.</v>
      </c>
      <c r="M6" s="15" t="str">
        <f>IFERROR(s_DL/(s_RadSpec!F6*s_IFSH_far_adj*s_CF_far_sheep),".")</f>
        <v>.</v>
      </c>
      <c r="N6" s="15" t="str">
        <f>IFERROR(s_DL/(s_RadSpec!F6*s_IFGM_far_adj*s_CF_far_goat_milk),".")</f>
        <v>.</v>
      </c>
      <c r="O6" s="15" t="str">
        <f>IFERROR(s_DL/(s_RadSpec!F6*s_IFSM_far_adj*s_CF_far_sheep_milk),".")</f>
        <v>.</v>
      </c>
      <c r="P6" s="111" t="str">
        <f t="shared" si="47"/>
        <v>.</v>
      </c>
      <c r="Q6" s="111" t="str">
        <f t="shared" si="48"/>
        <v>.</v>
      </c>
      <c r="R6" s="111" t="str">
        <f t="shared" si="48"/>
        <v>.</v>
      </c>
      <c r="S6" s="111" t="str">
        <f t="shared" si="48"/>
        <v>.</v>
      </c>
      <c r="T6" s="111" t="str">
        <f t="shared" si="48"/>
        <v>.</v>
      </c>
      <c r="U6" s="111" t="str">
        <f t="shared" si="48"/>
        <v>.</v>
      </c>
      <c r="V6" s="111" t="str">
        <f t="shared" si="48"/>
        <v>.</v>
      </c>
      <c r="W6" s="111" t="str">
        <f t="shared" si="48"/>
        <v>.</v>
      </c>
      <c r="X6" s="111" t="str">
        <f t="shared" si="0"/>
        <v>.</v>
      </c>
      <c r="Y6" s="111" t="str">
        <f t="shared" si="0"/>
        <v>.</v>
      </c>
      <c r="Z6" s="111" t="str">
        <f t="shared" si="0"/>
        <v>.</v>
      </c>
      <c r="AA6" s="111" t="str">
        <f t="shared" si="0"/>
        <v>.</v>
      </c>
      <c r="AB6" s="15" t="str">
        <f t="shared" si="49"/>
        <v>.</v>
      </c>
      <c r="AC6" s="247">
        <f>IFERROR(AB6*(0.0000000000028)*s_RadSpec!$AY6*s_RadSpec!$AF6,0)</f>
        <v>0</v>
      </c>
      <c r="AD6" s="40">
        <f>s_dir!BC6</f>
        <v>30250</v>
      </c>
      <c r="AE6" s="40">
        <f t="shared" si="1"/>
        <v>7562.5</v>
      </c>
      <c r="AF6" s="40">
        <f t="shared" si="2"/>
        <v>7562.5</v>
      </c>
      <c r="AG6" s="40">
        <f t="shared" si="3"/>
        <v>7562.5</v>
      </c>
      <c r="AH6" s="40">
        <f t="shared" si="4"/>
        <v>7562.5</v>
      </c>
      <c r="AI6" s="40">
        <f t="shared" si="5"/>
        <v>7562.5</v>
      </c>
      <c r="AJ6" s="40">
        <f t="shared" si="6"/>
        <v>7562.5</v>
      </c>
      <c r="AK6" s="40">
        <f t="shared" si="7"/>
        <v>7562.5</v>
      </c>
      <c r="AL6" s="40">
        <f t="shared" si="8"/>
        <v>7562.5</v>
      </c>
      <c r="AM6" s="40">
        <f t="shared" si="9"/>
        <v>7562.5</v>
      </c>
      <c r="AN6" s="40">
        <f t="shared" si="10"/>
        <v>7562.5</v>
      </c>
      <c r="AO6" s="40">
        <f t="shared" si="11"/>
        <v>7562.5</v>
      </c>
      <c r="AP6" s="45" t="str">
        <f>IFERROR((s_DL/(s_RadSpec!E6*s_IFS_far_adj*(1/1000)))*1,".")</f>
        <v>.</v>
      </c>
      <c r="AQ6" s="45" t="str">
        <f>IFERROR(IF(A6="H-3",(s_DL/(s_RadSpec!H6*s_IFA_far_adj*(1/17)*1000))*1,(s_DL/(s_RadSpec!H6*s_IFA_far_adj*(1/s_PEF_wind)*1000))*1),".")</f>
        <v>.</v>
      </c>
      <c r="AR6" s="45">
        <f>IFERROR((s_DL/(s_RadSpec!G6*s_EF_far*(1/365)*1*s_RadSpec!R6*((s_ET_far_o*(1/24)*s_RadSpec!W6)+(s_ET_far_i*(1/24)*s_RadSpec!AB6))))*1,".")</f>
        <v>261.54567768778486</v>
      </c>
      <c r="AS6" s="45" t="str">
        <f>s_b2s!BC6</f>
        <v>.</v>
      </c>
      <c r="AT6" s="45" t="str">
        <f>IFERROR(((J6*s_RadSpec!AU6)/s_RadSpec!AJ6)*1,".")</f>
        <v>.</v>
      </c>
      <c r="AU6" s="45" t="str">
        <f>IFERROR(((K6*s_RadSpec!AU6)/s_RadSpec!AK6)*1,".")</f>
        <v>.</v>
      </c>
      <c r="AV6" s="45" t="str">
        <f>IFERROR((G6/(s_RadSpec!AI6*((s_Q_p_beef*s_f_p_beef*s_f_s_beef*(s_RadSpec!BD6+s_R_es_past))+(s_Q_s_beef*s_f_p_beef))))*1,".")</f>
        <v>.</v>
      </c>
      <c r="AW6" s="45" t="str">
        <f>IFERROR(((H6*s_D_milk)/(s_RadSpec!AH6*((s_Q_p_dairy*s_f_p_dairy*s_f_s_dairy*(s_RadSpec!BD6+s_R_es_past))+(s_Q_s_dairy*s_f_p_dairy))))*1,".")</f>
        <v>.</v>
      </c>
      <c r="AX6" s="45" t="str">
        <f>IFERROR((I6/(s_RadSpec!AN6*((s_Q_p_swine*s_f_p_swine*s_f_s_swine*(s_RadSpec!BD6+s_R_es_past))+(s_Q_s_swine*s_f_p_swine))))*1,".")</f>
        <v>.</v>
      </c>
      <c r="AY6" s="45" t="str">
        <f>IFERROR((E6/(s_RadSpec!AL6*((s_Q_p_poultry*s_f_p_poultry*s_f_s_poultry*(s_RadSpec!BD6+s_R_es_past))+(s_Q_s_poultry*s_f_p_poultry))))*1,".")</f>
        <v>.</v>
      </c>
      <c r="AZ6" s="45" t="str">
        <f>IFERROR((F6/(s_RadSpec!AM6*((s_Q_p_poultry*s_f_p_poultry*s_f_s_poultry*(s_RadSpec!BD6+s_R_es_past))+(s_Q_s_poultry*s_f_p_poultry))))*1,".")</f>
        <v>.</v>
      </c>
      <c r="BA6" s="45" t="str">
        <f>IFERROR((L6/(s_RadSpec!AQ6*((s_Q_p_goat*s_f_p_goat*s_f_s_goat*(s_RadSpec!BD6+s_R_es_past))+(s_Q_s_goat*s_f_p_goat))))*1,".")</f>
        <v>.</v>
      </c>
      <c r="BB6" s="45" t="str">
        <f>IFERROR((N6*s_D_milk/(s_RadSpec!AR6*((s_Q_p_goat_milk*s_f_p_goat_milk*s_f_s_goat_milk*(s_RadSpec!BD6+s_R_es_past))+(s_Q_s_goat_milk*s_f_p_goat_milk))))*1,".")</f>
        <v>.</v>
      </c>
      <c r="BC6" s="45" t="str">
        <f>IFERROR((M6/(s_RadSpec!AO6*((s_Q_p_sheep*s_f_p_sheep*s_f_s_sheep*(s_RadSpec!BD6+s_R_es_past))+(s_Q_s_sheep*s_f_p_sheep))))*1,".")</f>
        <v>.</v>
      </c>
      <c r="BD6" s="45" t="str">
        <f>IFERROR((O6*s_D_milk/(s_RadSpec!AP6*((s_Q_p_sheep_milk*s_f_p_sheep_milk*s_f_s_sheep_milk*(s_RadSpec!BD6+s_R_es_past))+(s_Q_s_sheep_milk*s_f_p_sheep_milk))))*1,".")</f>
        <v>.</v>
      </c>
      <c r="BE6" s="111" t="str">
        <f t="shared" si="12"/>
        <v>.</v>
      </c>
      <c r="BF6" s="111" t="str">
        <f t="shared" si="13"/>
        <v>.</v>
      </c>
      <c r="BG6" s="111">
        <f t="shared" si="14"/>
        <v>3.8234239190667522E-3</v>
      </c>
      <c r="BH6" s="111" t="str">
        <f t="shared" si="15"/>
        <v>.</v>
      </c>
      <c r="BI6" s="111" t="str">
        <f t="shared" si="16"/>
        <v>.</v>
      </c>
      <c r="BJ6" s="111" t="str">
        <f t="shared" si="16"/>
        <v>.</v>
      </c>
      <c r="BK6" s="111" t="str">
        <f t="shared" si="17"/>
        <v>.</v>
      </c>
      <c r="BL6" s="111" t="str">
        <f t="shared" si="18"/>
        <v>.</v>
      </c>
      <c r="BM6" s="111" t="str">
        <f t="shared" si="19"/>
        <v>.</v>
      </c>
      <c r="BN6" s="111" t="str">
        <f t="shared" si="20"/>
        <v>.</v>
      </c>
      <c r="BO6" s="111" t="str">
        <f t="shared" si="21"/>
        <v>.</v>
      </c>
      <c r="BP6" s="111" t="str">
        <f t="shared" si="22"/>
        <v>.</v>
      </c>
      <c r="BQ6" s="111" t="str">
        <f t="shared" si="23"/>
        <v>.</v>
      </c>
      <c r="BR6" s="111" t="str">
        <f t="shared" si="24"/>
        <v>.</v>
      </c>
      <c r="BS6" s="111" t="str">
        <f t="shared" si="25"/>
        <v>.</v>
      </c>
      <c r="BT6" s="15">
        <f t="shared" si="50"/>
        <v>261.54567768778486</v>
      </c>
      <c r="BU6" s="189">
        <f>IFERROR(BT6*(0.0000000000028)*s_RadSpec!$AY6*s_RadSpec!$AF6,0)</f>
        <v>4.8713738364642179E-13</v>
      </c>
      <c r="BV6" s="40">
        <f t="shared" si="26"/>
        <v>15.125</v>
      </c>
      <c r="BW6" s="40">
        <f t="shared" si="27"/>
        <v>1.6181272791589674E-3</v>
      </c>
      <c r="BX6" s="40">
        <f>IFERROR((s_C*s_EF_far*(1/365)*1*s_RadSpec!R6*((s_ET_far_o*(1/24)*s_RadSpec!W6)+(s_ET_far_i*(1/24)*s_RadSpec!AB6))),".")</f>
        <v>2.8270729464156066E-2</v>
      </c>
      <c r="BY6" s="40">
        <f>s_b2s!CC6</f>
        <v>574.29624999999999</v>
      </c>
      <c r="BZ6" s="40">
        <f>IFERROR(((s_C*s_RadSpec!AJ6)/s_RadSpec!AU6)*s_IFFI_far_adj*s_CF_far_fish,0)</f>
        <v>22687.5</v>
      </c>
      <c r="CA6" s="40">
        <f>IFERROR(((s_C*s_RadSpec!AK6)/s_RadSpec!AU6)*s_IFSF_far_adj*s_CF_far_shellfish,0)</f>
        <v>2646875</v>
      </c>
      <c r="CB6" s="40">
        <f>(s_C*s_IFB_far_adj*s_CF_far_beef*s_RadSpec!AI6*((s_Q_p_beef*s_f_p_beef*s_f_s_beef*(s_RadSpec!$AT6+s_R_es_past))+(s_Q_s_beef*s_f_p_beef)))</f>
        <v>92.792744252873547</v>
      </c>
      <c r="CC6" s="40">
        <f>(s_C*s_IFD_far_adj*s_CF_far_dairy*s_RadSpec!AH6*1/s_D_milk*((s_Q_p_dairy*s_f_p_dairy*s_f_s_dairy*(s_RadSpec!$AT6+s_R_es_past))+(s_Q_s_dairy*s_f_p_dairy)))</f>
        <v>102.96004910166276</v>
      </c>
      <c r="CD6" s="40">
        <f>IFERROR((s_C*s_IFSW_far_adj*s_CF_far_swine*s_RadSpec!AN6*((s_Q_p_swine*s_f_p_swine*s_f_s_swine*(s_RadSpec!$AT6+s_R_es_past))+(s_Q_s_swine*s_f_p_swine))),0)</f>
        <v>0</v>
      </c>
      <c r="CE6" s="40">
        <f>IFERROR((s_C*s_IFP_far_adj*s_CF_far_poultry*s_RadSpec!AL6*((s_Q_p_poultry*s_f_p_poultry*s_f_s_poultry*(s_RadSpec!AT6+s_R_es_past))+(s_Q_s_poultry*s_f_p_poultry))),0)</f>
        <v>12593.301005747126</v>
      </c>
      <c r="CF6" s="40">
        <f>IFERROR((s_C*s_IFE_far_adj*s_CF_far_egg*s_RadSpec!AM6*((s_Q_p_egg*s_f_p_egg*s_f_s_egg*(s_RadSpec!$AT6+s_R_es_past))+(s_Q_s_egg*s_f_p_egg))),0)</f>
        <v>576640.625</v>
      </c>
      <c r="CG6" s="40">
        <f>IFERROR((s_C*s_IFGO_far_adj*s_CF_far_goat*s_RadSpec!AQ6*((s_Q_p_goat*s_f_p_goat*s_f_s_goat*(s_RadSpec!$AT6+s_R_es_past))+(s_Q_s_goat*s_f_p_goat))),0)</f>
        <v>8.6164691091954015</v>
      </c>
      <c r="CH6" s="40">
        <f>IFERROR((s_C*s_IFGM_far_adj*s_CF_far_goat_milk*s_RadSpec!AR6*1/s_D_milk*((s_Q_p_goat_milk*s_f_p_goat_milk*s_f_s_goat_milk*(s_RadSpec!$AT6+s_R_es_past))+(s_Q_s_goat_milk*s_f_p_goat_milk))),0)</f>
        <v>7078.5033757393148</v>
      </c>
      <c r="CI6" s="40">
        <f>IFERROR((s_C*s_IFSH_far_adj*s_CF_far_sheep*s_RadSpec!AO6*((s_Q_p_sheep*s_f_p_sheep*s_f_s_sheep*(s_RadSpec!$AT6+s_R_es_past))+(s_Q_s_sheep*s_f_p_sheep))),0)</f>
        <v>3314.0265804597698</v>
      </c>
      <c r="CJ6" s="40">
        <f>IFERROR((s_C*s_IFSM_far_adj*s_CF_far_sheep_milk*s_RadSpec!AP6*1/s_D_milk*((s_Q_p_sheep_milk*s_f_p_sheep_milk*s_f_s_sheep_milk*(s_RadSpec!$AT6+s_R_es_past))+(s_Q_s_sheep_milk*s_f_p_sheep_milk))),0)</f>
        <v>26383.512582301079</v>
      </c>
      <c r="CK6" s="18"/>
      <c r="CL6" s="15" t="str">
        <f>IFERROR(s_DL/(s_RadSpec!I6*s_IFW_far_adj),".")</f>
        <v>.</v>
      </c>
      <c r="CM6" s="15" t="str">
        <f>IFERROR(IF(AND(s_RadSpec!C6=1,s_RadSpec!D6&lt;&gt;0),s_DL/(s_RadSpec!H6*s_IFA_far_adj*s_K*s_RadSpec!D6),"."),".")</f>
        <v>.</v>
      </c>
      <c r="CN6" s="15">
        <f>IFERROR((s_DL/(s_RadSpec!M6*(1/8760)*s_DFA_far_adj)),".")</f>
        <v>29246.721108189617</v>
      </c>
      <c r="CO6" s="15" t="str">
        <f>s_b2w!BC6</f>
        <v>.</v>
      </c>
      <c r="CP6" s="15" t="str">
        <f>IFERROR(J6/(s_RadSpec!AJ6*(1/1000)),".")</f>
        <v>.</v>
      </c>
      <c r="CQ6" s="15" t="str">
        <f>IFERROR(K6/(s_RadSpec!AK6*(1/1000)),".")</f>
        <v>.</v>
      </c>
      <c r="CR6" s="15" t="str">
        <f>IFERROR(G6/(s_RadSpec!AI6*s_Q_w_beef*(1/1000)),".")</f>
        <v>.</v>
      </c>
      <c r="CS6" s="15" t="str">
        <f>IFERROR((H6*s_D_milk)/(s_RadSpec!AH6*s_Q_w_dairy*(1/1000)),".")</f>
        <v>.</v>
      </c>
      <c r="CT6" s="15" t="str">
        <f>IFERROR(I6/(s_RadSpec!AN6*s_Q_w_swine*(1/1000)),".")</f>
        <v>.</v>
      </c>
      <c r="CU6" s="15" t="str">
        <f>IFERROR(E6/(s_RadSpec!AL6*s_Q_w_poultry*(1/1000)),".")</f>
        <v>.</v>
      </c>
      <c r="CV6" s="15" t="str">
        <f>IFERROR(F6/(s_RadSpec!AM6*s_Q_w_poultry*(1/1000)),".")</f>
        <v>.</v>
      </c>
      <c r="CW6" s="15" t="str">
        <f>IFERROR(L6/(s_RadSpec!AQ6*s_Q_w_goat*(1/1000)),".")</f>
        <v>.</v>
      </c>
      <c r="CX6" s="15" t="str">
        <f>IFERROR(N6*s_D_milk/(s_RadSpec!AR6*s_Q_w_goat_milk*(1/1000)),".")</f>
        <v>.</v>
      </c>
      <c r="CY6" s="15" t="str">
        <f>IFERROR(M6/(s_RadSpec!AO6*s_Q_w_sheep*(1/1000)),".")</f>
        <v>.</v>
      </c>
      <c r="CZ6" s="15" t="str">
        <f>IFERROR(O6*s_D_milk/(s_RadSpec!AP6*s_Q_w_sheep_milk*(1/1000)),".")</f>
        <v>.</v>
      </c>
      <c r="DA6" s="111" t="str">
        <f t="shared" si="28"/>
        <v>.</v>
      </c>
      <c r="DB6" s="111" t="str">
        <f t="shared" si="29"/>
        <v>.</v>
      </c>
      <c r="DC6" s="111">
        <f t="shared" si="30"/>
        <v>3.4191867057534242E-5</v>
      </c>
      <c r="DD6" s="111" t="str">
        <f t="shared" si="31"/>
        <v>.</v>
      </c>
      <c r="DE6" s="111" t="str">
        <f t="shared" si="32"/>
        <v>.</v>
      </c>
      <c r="DF6" s="111" t="str">
        <f t="shared" si="32"/>
        <v>.</v>
      </c>
      <c r="DG6" s="111" t="str">
        <f t="shared" si="33"/>
        <v>.</v>
      </c>
      <c r="DH6" s="111" t="str">
        <f t="shared" si="34"/>
        <v>.</v>
      </c>
      <c r="DI6" s="111" t="str">
        <f t="shared" si="35"/>
        <v>.</v>
      </c>
      <c r="DJ6" s="111" t="str">
        <f t="shared" si="36"/>
        <v>.</v>
      </c>
      <c r="DK6" s="111" t="str">
        <f t="shared" si="37"/>
        <v>.</v>
      </c>
      <c r="DL6" s="111" t="str">
        <f t="shared" si="38"/>
        <v>.</v>
      </c>
      <c r="DM6" s="111" t="str">
        <f t="shared" si="39"/>
        <v>.</v>
      </c>
      <c r="DN6" s="111" t="str">
        <f t="shared" si="40"/>
        <v>.</v>
      </c>
      <c r="DO6" s="111" t="str">
        <f t="shared" si="41"/>
        <v>.</v>
      </c>
      <c r="DP6" s="15">
        <f t="shared" si="51"/>
        <v>29246.72110818962</v>
      </c>
      <c r="DQ6" s="189">
        <f>DP6*(0.0000000000000028)*s_RadSpec!$AY6*s_RadSpec!$AF6</f>
        <v>5.4472975148483844E-14</v>
      </c>
      <c r="DR6" s="40">
        <f t="shared" si="42"/>
        <v>1375</v>
      </c>
      <c r="DS6" s="40">
        <f>IFERROR(IF(s_RadSpec!D6&lt;&gt;"",s_C*s_IFA_far_adj*s_K*s_RadSpec!D6,0),".")</f>
        <v>0</v>
      </c>
      <c r="DT6" s="40">
        <f t="shared" si="43"/>
        <v>0.12557077625570776</v>
      </c>
      <c r="DU6" s="40">
        <f>s_b2w!CC6</f>
        <v>386.79711383876969</v>
      </c>
      <c r="DV6" s="40">
        <f>IFERROR(s_C*s_RadSpec!AJ6*(1/1000)*s_IFFI_far_adj*s_CF_far_fish,0)</f>
        <v>9.0750000000000011</v>
      </c>
      <c r="DW6" s="40">
        <f>IFERROR(s_C*s_RadSpec!AK6*(1/1000)*s_IFSF_far_adj*s_CF_far_shellfish,0)</f>
        <v>1058.75</v>
      </c>
      <c r="DX6" s="40">
        <f>(s_C*s_IFB_far_adj*s_CF_far_beef*s_RadSpec!AI6*s_Q_w_beef*(1/1000))</f>
        <v>5.293749999999999E-3</v>
      </c>
      <c r="DY6" s="40">
        <f>(s_C*s_IFD_far_adj*s_CF_far_dairy*s_RadSpec!AH6*(1/s_D_milk)*s_Q_w_dairy*(1/1000))</f>
        <v>5.8737864077669909E-3</v>
      </c>
      <c r="DZ6" s="40">
        <f>IFERROR((s_C*s_IFSW_far_adj*s_CF_far_swine*s_RadSpec!AN6*s_Q_w_swine*(1/1000)),0)</f>
        <v>0</v>
      </c>
      <c r="EA6" s="40">
        <f>IFERROR((s_C*s_IFP_far_adj*s_CF_far_poultry*s_RadSpec!AL6*s_Q_w_poultry*(1/1000)),0)</f>
        <v>0.71843750000000006</v>
      </c>
      <c r="EB6" s="40">
        <f>IFERROR((s_C*s_IFE_far_adj*s_CF_far_egg*s_RadSpec!AM6*s_Q_w_egg*(1/1000)),0)</f>
        <v>32.896875000000001</v>
      </c>
      <c r="EC6" s="40">
        <f>IFERROR((s_C*s_IFGO_far_adj*s_CF_far_goat*s_RadSpec!AQ6*s_Q_p_goat*(1/1000)),0)</f>
        <v>4.9156250000000003E-4</v>
      </c>
      <c r="ED6" s="40">
        <f>IFERROR((s_C*s_IFGM_far_adj*s_CF_far_goat_milk*s_RadSpec!AR6*(1/s_D_milk)*s_Q_p_goat_milk*(1/1000)),0)</f>
        <v>0.40382281553398058</v>
      </c>
      <c r="EE6" s="40">
        <f>IFERROR((s_C*s_IFSH_far_adj*s_CF_far_sheep*s_RadSpec!AO6*s_Q_p_sheep*(1/1000)),0)</f>
        <v>0.18906249999999999</v>
      </c>
      <c r="EF6" s="40">
        <f>IFERROR((s_C*s_IFSM_far_adj*s_CF_far_sheep_milk*s_RadSpec!AP6*(1/s_D_milk)*s_Q_p_sheep_milk*(1/1000)),0)</f>
        <v>1.5051577669902914</v>
      </c>
      <c r="EG6" s="5"/>
      <c r="EH6" s="15" t="str">
        <f>IFERROR((s_DL/(s_RadSpec!H6*s_IFA_far_adj)),".")</f>
        <v>.</v>
      </c>
      <c r="EI6" s="15">
        <f>IFERROR((s_DL/(s_RadSpec!K6*s_EF_far*(1/365)*1*s_ET_far*(1/24)*s_GSF_a)),".")</f>
        <v>101417.62620713483</v>
      </c>
      <c r="EJ6" s="15">
        <f t="shared" ref="EJ6:EJ9" si="53">IFERROR(IF(AND(ISNUMBER(EH6),ISNUMBER(EI6)),1/((1/EH6)+(1/EI6)),IF(AND(ISNUMBER(EH6),NOT(ISNUMBER(EI6))),1/((1/EH6)),IF(AND(NOT(ISNUMBER(EH6)),ISNUMBER(EI6)),1/((1/EI6)),IF(AND(NOT(ISNUMBER(EH6)),NOT(ISNUMBER(EI6))),".")))),".")</f>
        <v>101417.62620713483</v>
      </c>
      <c r="EK6" s="189">
        <f>EJ6*(0.0000000000000028)*s_RadSpec!$AY6*s_RadSpec!$AF6</f>
        <v>1.8889364765243757E-13</v>
      </c>
      <c r="EL6" s="40">
        <f t="shared" si="45"/>
        <v>501.30208333333326</v>
      </c>
      <c r="EM6" s="40">
        <f t="shared" si="46"/>
        <v>7.8481735159817351E-2</v>
      </c>
      <c r="EN6" s="113"/>
    </row>
    <row r="7" spans="1:144" customFormat="1" x14ac:dyDescent="0.25">
      <c r="A7" s="44" t="s">
        <v>5</v>
      </c>
      <c r="B7" s="42" t="s">
        <v>1057</v>
      </c>
      <c r="C7" s="238"/>
      <c r="D7" s="15">
        <f>s_dir!AC7</f>
        <v>124.09103318194229</v>
      </c>
      <c r="E7" s="15">
        <f>IFERROR(s_DL/(s_RadSpec!F7*s_IFP_far_adj*s_CF_far_poultry),".")</f>
        <v>496.36413272776917</v>
      </c>
      <c r="F7" s="15">
        <f>IFERROR(s_DL/(s_RadSpec!F7*s_IFE_far_adj*s_CF_far_egg),".")</f>
        <v>496.36413272776917</v>
      </c>
      <c r="G7" s="15">
        <f>IFERROR(s_DL/(s_RadSpec!F7*s_IFB_far_adj*s_CF_far_beef),".")</f>
        <v>496.36413272776917</v>
      </c>
      <c r="H7" s="15">
        <f>IFERROR(s_DL/(s_RadSpec!F7*s_IFD_far_adj*s_CF_far_dairy),".")</f>
        <v>496.36413272776917</v>
      </c>
      <c r="I7" s="15">
        <f>IFERROR(s_DL/(s_RadSpec!F7*s_IFSW_far_adj*s_CF_far_swine),".")</f>
        <v>496.36413272776917</v>
      </c>
      <c r="J7" s="15">
        <f>IFERROR(s_DL/(s_RadSpec!F7*s_IFFI_far_adj*s_CF_far_fish),".")</f>
        <v>496.36413272776917</v>
      </c>
      <c r="K7" s="15">
        <f>IFERROR(s_DL/(s_RadSpec!F7*s_IFSF_far_adj*s_CF_far_shellfish),".")</f>
        <v>496.36413272776917</v>
      </c>
      <c r="L7" s="15">
        <f>IFERROR(s_DL/(s_RadSpec!F7*s_IFGO_far_adj*s_CF_far_goat),".")</f>
        <v>496.36413272776917</v>
      </c>
      <c r="M7" s="15">
        <f>IFERROR(s_DL/(s_RadSpec!F7*s_IFSH_far_adj*s_CF_far_sheep),".")</f>
        <v>496.36413272776917</v>
      </c>
      <c r="N7" s="15">
        <f>IFERROR(s_DL/(s_RadSpec!F7*s_IFGM_far_adj*s_CF_far_goat_milk),".")</f>
        <v>496.36413272776917</v>
      </c>
      <c r="O7" s="15">
        <f>IFERROR(s_DL/(s_RadSpec!F7*s_IFSM_far_adj*s_CF_far_sheep_milk),".")</f>
        <v>496.36413272776917</v>
      </c>
      <c r="P7" s="111">
        <f t="shared" si="47"/>
        <v>2.0146499999999998E-3</v>
      </c>
      <c r="Q7" s="111">
        <f t="shared" si="48"/>
        <v>2.0146499999999998E-3</v>
      </c>
      <c r="R7" s="111">
        <f t="shared" si="48"/>
        <v>2.0146499999999998E-3</v>
      </c>
      <c r="S7" s="111">
        <f t="shared" si="48"/>
        <v>2.0146499999999998E-3</v>
      </c>
      <c r="T7" s="111">
        <f t="shared" si="48"/>
        <v>2.0146499999999998E-3</v>
      </c>
      <c r="U7" s="111">
        <f t="shared" si="48"/>
        <v>2.0146499999999998E-3</v>
      </c>
      <c r="V7" s="111">
        <f t="shared" si="48"/>
        <v>2.0146499999999998E-3</v>
      </c>
      <c r="W7" s="111">
        <f t="shared" si="48"/>
        <v>2.0146499999999998E-3</v>
      </c>
      <c r="X7" s="111">
        <f t="shared" si="0"/>
        <v>2.0146499999999998E-3</v>
      </c>
      <c r="Y7" s="111">
        <f t="shared" si="0"/>
        <v>2.0146499999999998E-3</v>
      </c>
      <c r="Z7" s="111">
        <f t="shared" si="0"/>
        <v>2.0146499999999998E-3</v>
      </c>
      <c r="AA7" s="111">
        <f t="shared" si="0"/>
        <v>2.0146499999999998E-3</v>
      </c>
      <c r="AB7" s="15">
        <f t="shared" si="49"/>
        <v>41.363677727314098</v>
      </c>
      <c r="AC7" s="247">
        <f>IFERROR(AB7*(0.0000000000028)*s_RadSpec!$AY7*s_RadSpec!$AF7,0)</f>
        <v>3.3404218211192151E-10</v>
      </c>
      <c r="AD7" s="40">
        <f>s_dir!BC7</f>
        <v>30250</v>
      </c>
      <c r="AE7" s="40">
        <f t="shared" si="1"/>
        <v>7562.5</v>
      </c>
      <c r="AF7" s="40">
        <f t="shared" si="2"/>
        <v>7562.5</v>
      </c>
      <c r="AG7" s="40">
        <f t="shared" si="3"/>
        <v>7562.5</v>
      </c>
      <c r="AH7" s="40">
        <f t="shared" si="4"/>
        <v>7562.5</v>
      </c>
      <c r="AI7" s="40">
        <f t="shared" si="5"/>
        <v>7562.5</v>
      </c>
      <c r="AJ7" s="40">
        <f t="shared" si="6"/>
        <v>7562.5</v>
      </c>
      <c r="AK7" s="40">
        <f t="shared" si="7"/>
        <v>7562.5</v>
      </c>
      <c r="AL7" s="40">
        <f t="shared" si="8"/>
        <v>7562.5</v>
      </c>
      <c r="AM7" s="40">
        <f t="shared" si="9"/>
        <v>7562.5</v>
      </c>
      <c r="AN7" s="40">
        <f t="shared" si="10"/>
        <v>7562.5</v>
      </c>
      <c r="AO7" s="40">
        <f t="shared" si="11"/>
        <v>7562.5</v>
      </c>
      <c r="AP7" s="45">
        <f>IFERROR((s_DL/(s_RadSpec!E7*s_IFS_far_adj*(1/1000)))*1,".")</f>
        <v>248182.06636388457</v>
      </c>
      <c r="AQ7" s="45">
        <f>IFERROR(IF(A7="H-3",(s_DL/(s_RadSpec!H7*s_IFA_far_adj*(1/17)*1000))*1,(s_DL/(s_RadSpec!H7*s_IFA_far_adj*(1/s_PEF_wind)*1000))*1),".")</f>
        <v>28600442.291690964</v>
      </c>
      <c r="AR7" s="45">
        <f>IFERROR((s_DL/(s_RadSpec!G7*s_EF_far*(1/365)*1*s_RadSpec!R7*((s_ET_far_o*(1/24)*s_RadSpec!W7)+(s_ET_far_i*(1/24)*s_RadSpec!AB7))))*1,".")</f>
        <v>349592.5839418773</v>
      </c>
      <c r="AS7" s="45">
        <f>s_b2s!BC7</f>
        <v>1093.3130676823109</v>
      </c>
      <c r="AT7" s="45">
        <f>IFERROR(((J7*s_RadSpec!AU7)/s_RadSpec!AJ7)*1,".")</f>
        <v>15883.652247288614</v>
      </c>
      <c r="AU7" s="45" t="str">
        <f>IFERROR(((K7*s_RadSpec!AU7)/s_RadSpec!AK7)*1,".")</f>
        <v>.</v>
      </c>
      <c r="AV7" s="45">
        <f>IFERROR((G7/(s_RadSpec!AI7*((s_Q_p_beef*s_f_p_beef*s_f_s_beef*(s_RadSpec!BD7+s_R_es_past))+(s_Q_s_beef*s_f_p_beef))))*1,".")</f>
        <v>1654.5471090925639</v>
      </c>
      <c r="AW7" s="45">
        <f>IFERROR(((H7*s_D_milk)/(s_RadSpec!AH7*((s_Q_p_dairy*s_f_p_dairy*s_f_s_dairy*(s_RadSpec!BD7+s_R_es_past))+(s_Q_s_dairy*s_f_p_dairy))))*1,".")</f>
        <v>3408.3670447306822</v>
      </c>
      <c r="AX7" s="45" t="str">
        <f>IFERROR((I7/(s_RadSpec!AN7*((s_Q_p_swine*s_f_p_swine*s_f_s_swine*(s_RadSpec!BD7+s_R_es_past))+(s_Q_s_swine*s_f_p_swine))))*1,".")</f>
        <v>.</v>
      </c>
      <c r="AY7" s="45" t="str">
        <f>IFERROR((E7/(s_RadSpec!AL7*((s_Q_p_poultry*s_f_p_poultry*s_f_s_poultry*(s_RadSpec!BD7+s_R_es_past))+(s_Q_s_poultry*s_f_p_poultry))))*1,".")</f>
        <v>.</v>
      </c>
      <c r="AZ7" s="45" t="str">
        <f>IFERROR((F7/(s_RadSpec!AM7*((s_Q_p_poultry*s_f_p_poultry*s_f_s_poultry*(s_RadSpec!BD7+s_R_es_past))+(s_Q_s_poultry*s_f_p_poultry))))*1,".")</f>
        <v>.</v>
      </c>
      <c r="BA7" s="45" t="str">
        <f>IFERROR((L7/(s_RadSpec!AQ7*((s_Q_p_goat*s_f_p_goat*s_f_s_goat*(s_RadSpec!BD7+s_R_es_past))+(s_Q_s_goat*s_f_p_goat))))*1,".")</f>
        <v>.</v>
      </c>
      <c r="BB7" s="45" t="str">
        <f>IFERROR((N7*s_D_milk/(s_RadSpec!AR7*((s_Q_p_goat_milk*s_f_p_goat_milk*s_f_s_goat_milk*(s_RadSpec!BD7+s_R_es_past))+(s_Q_s_goat_milk*s_f_p_goat_milk))))*1,".")</f>
        <v>.</v>
      </c>
      <c r="BC7" s="45" t="str">
        <f>IFERROR((M7/(s_RadSpec!AO7*((s_Q_p_sheep*s_f_p_sheep*s_f_s_sheep*(s_RadSpec!BD7+s_R_es_past))+(s_Q_s_sheep*s_f_p_sheep))))*1,".")</f>
        <v>.</v>
      </c>
      <c r="BD7" s="45" t="str">
        <f>IFERROR((O7*s_D_milk/(s_RadSpec!AP7*((s_Q_p_sheep_milk*s_f_p_sheep_milk*s_f_s_sheep_milk*(s_RadSpec!BD7+s_R_es_past))+(s_Q_s_sheep_milk*s_f_p_sheep_milk))))*1,".")</f>
        <v>.</v>
      </c>
      <c r="BE7" s="111">
        <f t="shared" si="12"/>
        <v>4.0292999999999997E-6</v>
      </c>
      <c r="BF7" s="111">
        <f t="shared" si="13"/>
        <v>3.4964494248066966E-8</v>
      </c>
      <c r="BG7" s="111">
        <f t="shared" si="14"/>
        <v>2.8604725784636737E-6</v>
      </c>
      <c r="BH7" s="111">
        <f t="shared" si="15"/>
        <v>9.1465109999999987E-4</v>
      </c>
      <c r="BI7" s="111">
        <f t="shared" si="16"/>
        <v>6.2957812499999993E-5</v>
      </c>
      <c r="BJ7" s="111" t="str">
        <f t="shared" si="16"/>
        <v>.</v>
      </c>
      <c r="BK7" s="111">
        <f t="shared" si="17"/>
        <v>6.0439499999999987E-4</v>
      </c>
      <c r="BL7" s="111">
        <f t="shared" si="18"/>
        <v>2.9339563106796108E-4</v>
      </c>
      <c r="BM7" s="111" t="str">
        <f t="shared" si="19"/>
        <v>.</v>
      </c>
      <c r="BN7" s="111" t="str">
        <f t="shared" si="20"/>
        <v>.</v>
      </c>
      <c r="BO7" s="111" t="str">
        <f t="shared" si="21"/>
        <v>.</v>
      </c>
      <c r="BP7" s="111" t="str">
        <f t="shared" si="22"/>
        <v>.</v>
      </c>
      <c r="BQ7" s="111" t="str">
        <f t="shared" si="23"/>
        <v>.</v>
      </c>
      <c r="BR7" s="111" t="str">
        <f t="shared" si="24"/>
        <v>.</v>
      </c>
      <c r="BS7" s="111" t="str">
        <f t="shared" si="25"/>
        <v>.</v>
      </c>
      <c r="BT7" s="15">
        <f t="shared" si="50"/>
        <v>531.25808888765835</v>
      </c>
      <c r="BU7" s="189">
        <f>IFERROR(BT7*(0.0000000000028)*s_RadSpec!$AY7*s_RadSpec!$AF7,0)</f>
        <v>4.2903005977018538E-9</v>
      </c>
      <c r="BV7" s="40">
        <f t="shared" si="26"/>
        <v>15.125</v>
      </c>
      <c r="BW7" s="40">
        <f t="shared" si="27"/>
        <v>1.6181272791589674E-3</v>
      </c>
      <c r="BX7" s="40">
        <f>IFERROR((s_C*s_EF_far*(1/365)*1*s_RadSpec!R7*((s_ET_far_o*(1/24)*s_RadSpec!W7)+(s_ET_far_i*(1/24)*s_RadSpec!AB7))),".")</f>
        <v>1.3065718744581243E-2</v>
      </c>
      <c r="BY7" s="40">
        <f>s_b2s!CC7</f>
        <v>3433.375</v>
      </c>
      <c r="BZ7" s="40">
        <f>IFERROR(((s_C*s_RadSpec!AJ7)/s_RadSpec!AU7)*s_IFFI_far_adj*s_CF_far_fish,0)</f>
        <v>236.328125</v>
      </c>
      <c r="CA7" s="40">
        <f>IFERROR(((s_C*s_RadSpec!AK7)/s_RadSpec!AU7)*s_IFSF_far_adj*s_CF_far_shellfish,0)</f>
        <v>0</v>
      </c>
      <c r="CB7" s="40">
        <f>(s_C*s_IFB_far_adj*s_CF_far_beef*s_RadSpec!AI7*((s_Q_p_beef*s_f_p_beef*s_f_s_beef*(s_RadSpec!$AT7+s_R_es_past))+(s_Q_s_beef*s_f_p_beef)))</f>
        <v>2268.75</v>
      </c>
      <c r="CC7" s="40">
        <f>(s_C*s_IFD_far_adj*s_CF_far_dairy*s_RadSpec!AH7*1/s_D_milk*((s_Q_p_dairy*s_f_p_dairy*s_f_s_dairy*(s_RadSpec!$AT7+s_R_es_past))+(s_Q_s_dairy*s_f_p_dairy)))</f>
        <v>1101.3349514563108</v>
      </c>
      <c r="CD7" s="40">
        <f>IFERROR((s_C*s_IFSW_far_adj*s_CF_far_swine*s_RadSpec!AN7*((s_Q_p_swine*s_f_p_swine*s_f_s_swine*(s_RadSpec!$AT7+s_R_es_past))+(s_Q_s_swine*s_f_p_swine))),0)</f>
        <v>0</v>
      </c>
      <c r="CE7" s="40">
        <f>IFERROR((s_C*s_IFP_far_adj*s_CF_far_poultry*s_RadSpec!AL7*((s_Q_p_poultry*s_f_p_poultry*s_f_s_poultry*(s_RadSpec!AT7+s_R_es_past))+(s_Q_s_poultry*s_f_p_poultry))),0)</f>
        <v>0</v>
      </c>
      <c r="CF7" s="40">
        <f>IFERROR((s_C*s_IFE_far_adj*s_CF_far_egg*s_RadSpec!AM7*((s_Q_p_egg*s_f_p_egg*s_f_s_egg*(s_RadSpec!$AT7+s_R_es_past))+(s_Q_s_egg*s_f_p_egg))),0)</f>
        <v>0</v>
      </c>
      <c r="CG7" s="40">
        <f>IFERROR((s_C*s_IFGO_far_adj*s_CF_far_goat*s_RadSpec!AQ7*((s_Q_p_goat*s_f_p_goat*s_f_s_goat*(s_RadSpec!$AT7+s_R_es_past))+(s_Q_s_goat*s_f_p_goat))),0)</f>
        <v>0</v>
      </c>
      <c r="CH7" s="40">
        <f>IFERROR((s_C*s_IFGM_far_adj*s_CF_far_goat_milk*s_RadSpec!AR7*1/s_D_milk*((s_Q_p_goat_milk*s_f_p_goat_milk*s_f_s_goat_milk*(s_RadSpec!$AT7+s_R_es_past))+(s_Q_s_goat_milk*s_f_p_goat_milk))),0)</f>
        <v>0</v>
      </c>
      <c r="CI7" s="40">
        <f>IFERROR((s_C*s_IFSH_far_adj*s_CF_far_sheep*s_RadSpec!AO7*((s_Q_p_sheep*s_f_p_sheep*s_f_s_sheep*(s_RadSpec!$AT7+s_R_es_past))+(s_Q_s_sheep*s_f_p_sheep))),0)</f>
        <v>0</v>
      </c>
      <c r="CJ7" s="40">
        <f>IFERROR((s_C*s_IFSM_far_adj*s_CF_far_sheep_milk*s_RadSpec!AP7*1/s_D_milk*((s_Q_p_sheep_milk*s_f_p_sheep_milk*s_f_s_sheep_milk*(s_RadSpec!$AT7+s_R_es_past))+(s_Q_s_sheep_milk*s_f_p_sheep_milk))),0)</f>
        <v>0</v>
      </c>
      <c r="CK7" s="18"/>
      <c r="CL7" s="15">
        <f>IFERROR(s_DL/(s_RadSpec!I7*s_IFW_far_adj),".")</f>
        <v>2730.00273000273</v>
      </c>
      <c r="CM7" s="15" t="str">
        <f>IFERROR(IF(AND(s_RadSpec!C7=1,s_RadSpec!D7&lt;&gt;0),s_DL/(s_RadSpec!H7*s_IFA_far_adj*s_K*s_RadSpec!D7),"."),".")</f>
        <v>.</v>
      </c>
      <c r="CN7" s="15">
        <f>IFERROR((s_DL/(s_RadSpec!M7*(1/8760)*s_DFA_far_adj)),".")</f>
        <v>5721757.8543874314</v>
      </c>
      <c r="CO7" s="15">
        <f>s_b2w!BC7</f>
        <v>3931.0515157028094</v>
      </c>
      <c r="CP7" s="15">
        <f>IFERROR(J7/(s_RadSpec!AJ7*(1/1000)),".")</f>
        <v>33090.942181851278</v>
      </c>
      <c r="CQ7" s="15" t="str">
        <f>IFERROR(K7/(s_RadSpec!AK7*(1/1000)),".")</f>
        <v>.</v>
      </c>
      <c r="CR7" s="15">
        <f>IFERROR(G7/(s_RadSpec!AI7*s_Q_w_beef*(1/1000)),".")</f>
        <v>49636413.272776917</v>
      </c>
      <c r="CS7" s="15">
        <f>IFERROR((H7*s_D_milk)/(s_RadSpec!AH7*s_Q_w_dairy*(1/1000)),".")</f>
        <v>102251011.34192045</v>
      </c>
      <c r="CT7" s="15" t="str">
        <f>IFERROR(I7/(s_RadSpec!AN7*s_Q_w_swine*(1/1000)),".")</f>
        <v>.</v>
      </c>
      <c r="CU7" s="15" t="str">
        <f>IFERROR(E7/(s_RadSpec!AL7*s_Q_w_poultry*(1/1000)),".")</f>
        <v>.</v>
      </c>
      <c r="CV7" s="15" t="str">
        <f>IFERROR(F7/(s_RadSpec!AM7*s_Q_w_poultry*(1/1000)),".")</f>
        <v>.</v>
      </c>
      <c r="CW7" s="15" t="str">
        <f>IFERROR(L7/(s_RadSpec!AQ7*s_Q_w_goat*(1/1000)),".")</f>
        <v>.</v>
      </c>
      <c r="CX7" s="15" t="str">
        <f>IFERROR(N7*s_D_milk/(s_RadSpec!AR7*s_Q_w_goat_milk*(1/1000)),".")</f>
        <v>.</v>
      </c>
      <c r="CY7" s="15" t="str">
        <f>IFERROR(M7/(s_RadSpec!AO7*s_Q_w_sheep*(1/1000)),".")</f>
        <v>.</v>
      </c>
      <c r="CZ7" s="15" t="str">
        <f>IFERROR(O7*s_D_milk/(s_RadSpec!AP7*s_Q_w_sheep_milk*(1/1000)),".")</f>
        <v>.</v>
      </c>
      <c r="DA7" s="111">
        <f t="shared" si="28"/>
        <v>3.6630000000000001E-4</v>
      </c>
      <c r="DB7" s="111" t="str">
        <f t="shared" si="29"/>
        <v>.</v>
      </c>
      <c r="DC7" s="111">
        <f t="shared" si="30"/>
        <v>1.747714645479452E-7</v>
      </c>
      <c r="DD7" s="111">
        <f t="shared" si="31"/>
        <v>2.543848626774396E-4</v>
      </c>
      <c r="DE7" s="111">
        <f t="shared" si="32"/>
        <v>3.0219749999999995E-5</v>
      </c>
      <c r="DF7" s="111" t="str">
        <f t="shared" si="32"/>
        <v>.</v>
      </c>
      <c r="DG7" s="111">
        <f t="shared" si="33"/>
        <v>2.0146499999999998E-8</v>
      </c>
      <c r="DH7" s="111">
        <f t="shared" si="34"/>
        <v>9.779854368932038E-9</v>
      </c>
      <c r="DI7" s="111" t="str">
        <f t="shared" si="35"/>
        <v>.</v>
      </c>
      <c r="DJ7" s="111" t="str">
        <f t="shared" si="36"/>
        <v>.</v>
      </c>
      <c r="DK7" s="111" t="str">
        <f t="shared" si="37"/>
        <v>.</v>
      </c>
      <c r="DL7" s="111" t="str">
        <f t="shared" si="38"/>
        <v>.</v>
      </c>
      <c r="DM7" s="111" t="str">
        <f t="shared" si="39"/>
        <v>.</v>
      </c>
      <c r="DN7" s="111" t="str">
        <f t="shared" si="40"/>
        <v>.</v>
      </c>
      <c r="DO7" s="111" t="str">
        <f t="shared" si="41"/>
        <v>.</v>
      </c>
      <c r="DP7" s="15">
        <f t="shared" si="51"/>
        <v>1535.8404247632027</v>
      </c>
      <c r="DQ7" s="189">
        <f>DP7*(0.0000000000000028)*s_RadSpec!$AY7*s_RadSpec!$AF7</f>
        <v>1.2403043323317032E-11</v>
      </c>
      <c r="DR7" s="40">
        <f t="shared" si="42"/>
        <v>1375</v>
      </c>
      <c r="DS7" s="40">
        <f>IFERROR(IF(s_RadSpec!D7&lt;&gt;"",s_C*s_IFA_far_adj*s_K*s_RadSpec!D7,0),".")</f>
        <v>0</v>
      </c>
      <c r="DT7" s="40">
        <f t="shared" si="43"/>
        <v>0.12557077625570776</v>
      </c>
      <c r="DU7" s="40">
        <f>s_b2w!CC7</f>
        <v>954.89813317357221</v>
      </c>
      <c r="DV7" s="40">
        <f>IFERROR(s_C*s_RadSpec!AJ7*(1/1000)*s_IFFI_far_adj*s_CF_far_fish,0)</f>
        <v>113.4375</v>
      </c>
      <c r="DW7" s="40">
        <f>IFERROR(s_C*s_RadSpec!AK7*(1/1000)*s_IFSF_far_adj*s_CF_far_shellfish,0)</f>
        <v>0</v>
      </c>
      <c r="DX7" s="40">
        <f>(s_C*s_IFB_far_adj*s_CF_far_beef*s_RadSpec!AI7*s_Q_w_beef*(1/1000))</f>
        <v>7.5624999999999998E-2</v>
      </c>
      <c r="DY7" s="40">
        <f>(s_C*s_IFD_far_adj*s_CF_far_dairy*s_RadSpec!AH7*(1/s_D_milk)*s_Q_w_dairy*(1/1000))</f>
        <v>3.6711165048543694E-2</v>
      </c>
      <c r="DZ7" s="40">
        <f>IFERROR((s_C*s_IFSW_far_adj*s_CF_far_swine*s_RadSpec!AN7*s_Q_w_swine*(1/1000)),0)</f>
        <v>0</v>
      </c>
      <c r="EA7" s="40">
        <f>IFERROR((s_C*s_IFP_far_adj*s_CF_far_poultry*s_RadSpec!AL7*s_Q_w_poultry*(1/1000)),0)</f>
        <v>0</v>
      </c>
      <c r="EB7" s="40">
        <f>IFERROR((s_C*s_IFE_far_adj*s_CF_far_egg*s_RadSpec!AM7*s_Q_w_egg*(1/1000)),0)</f>
        <v>0</v>
      </c>
      <c r="EC7" s="40">
        <f>IFERROR((s_C*s_IFGO_far_adj*s_CF_far_goat*s_RadSpec!AQ7*s_Q_p_goat*(1/1000)),0)</f>
        <v>0</v>
      </c>
      <c r="ED7" s="40">
        <f>IFERROR((s_C*s_IFGM_far_adj*s_CF_far_goat_milk*s_RadSpec!AR7*(1/s_D_milk)*s_Q_p_goat_milk*(1/1000)),0)</f>
        <v>0</v>
      </c>
      <c r="EE7" s="40">
        <f>IFERROR((s_C*s_IFSH_far_adj*s_CF_far_sheep*s_RadSpec!AO7*s_Q_p_sheep*(1/1000)),0)</f>
        <v>0</v>
      </c>
      <c r="EF7" s="40">
        <f>IFERROR((s_C*s_IFSM_far_adj*s_CF_far_sheep_milk*s_RadSpec!AP7*(1/s_D_milk)*s_Q_p_sheep_milk*(1/1000)),0)</f>
        <v>0</v>
      </c>
      <c r="EG7" s="5"/>
      <c r="EH7" s="15">
        <f>IFERROR((s_DL/(s_RadSpec!H7*s_IFA_far_adj)),".")</f>
        <v>92.317900537078629</v>
      </c>
      <c r="EI7" s="15">
        <f>IFERROR((s_DL/(s_RadSpec!K7*s_EF_far*(1/365)*1*s_ET_far*(1/24)*s_GSF_a)),".")</f>
        <v>10574163.352604371</v>
      </c>
      <c r="EJ7" s="15">
        <f t="shared" si="53"/>
        <v>92.3170945612232</v>
      </c>
      <c r="EK7" s="189">
        <f>EJ7*(0.0000000000000028)*s_RadSpec!$AY7*s_RadSpec!$AF7</f>
        <v>7.4552857501595305E-13</v>
      </c>
      <c r="EL7" s="40">
        <f t="shared" si="45"/>
        <v>501.30208333333326</v>
      </c>
      <c r="EM7" s="40">
        <f t="shared" si="46"/>
        <v>7.8481735159817351E-2</v>
      </c>
      <c r="EN7" s="113"/>
    </row>
    <row r="8" spans="1:144" customFormat="1" x14ac:dyDescent="0.25">
      <c r="A8" s="44" t="s">
        <v>6</v>
      </c>
      <c r="B8" s="42" t="s">
        <v>1057</v>
      </c>
      <c r="C8" s="42"/>
      <c r="D8" s="15">
        <f>s_dir!AC8</f>
        <v>833.44723778916455</v>
      </c>
      <c r="E8" s="15">
        <f>IFERROR(s_DL/(s_RadSpec!F8*s_IFP_far_adj*s_CF_far_poultry),".")</f>
        <v>3333.7889511566582</v>
      </c>
      <c r="F8" s="15">
        <f>IFERROR(s_DL/(s_RadSpec!F8*s_IFE_far_adj*s_CF_far_egg),".")</f>
        <v>3333.7889511566582</v>
      </c>
      <c r="G8" s="15">
        <f>IFERROR(s_DL/(s_RadSpec!F8*s_IFB_far_adj*s_CF_far_beef),".")</f>
        <v>3333.7889511566582</v>
      </c>
      <c r="H8" s="15">
        <f>IFERROR(s_DL/(s_RadSpec!F8*s_IFD_far_adj*s_CF_far_dairy),".")</f>
        <v>3333.7889511566582</v>
      </c>
      <c r="I8" s="15">
        <f>IFERROR(s_DL/(s_RadSpec!F8*s_IFSW_far_adj*s_CF_far_swine),".")</f>
        <v>3333.7889511566582</v>
      </c>
      <c r="J8" s="15">
        <f>IFERROR(s_DL/(s_RadSpec!F8*s_IFFI_far_adj*s_CF_far_fish),".")</f>
        <v>3333.7889511566582</v>
      </c>
      <c r="K8" s="15">
        <f>IFERROR(s_DL/(s_RadSpec!F8*s_IFSF_far_adj*s_CF_far_shellfish),".")</f>
        <v>3333.7889511566582</v>
      </c>
      <c r="L8" s="15">
        <f>IFERROR(s_DL/(s_RadSpec!F8*s_IFGO_far_adj*s_CF_far_goat),".")</f>
        <v>3333.7889511566582</v>
      </c>
      <c r="M8" s="15">
        <f>IFERROR(s_DL/(s_RadSpec!F8*s_IFSH_far_adj*s_CF_far_sheep),".")</f>
        <v>3333.7889511566582</v>
      </c>
      <c r="N8" s="15">
        <f>IFERROR(s_DL/(s_RadSpec!F8*s_IFGM_far_adj*s_CF_far_goat_milk),".")</f>
        <v>3333.7889511566582</v>
      </c>
      <c r="O8" s="15">
        <f>IFERROR(s_DL/(s_RadSpec!F8*s_IFSM_far_adj*s_CF_far_sheep_milk),".")</f>
        <v>3333.7889511566582</v>
      </c>
      <c r="P8" s="111">
        <f t="shared" si="47"/>
        <v>2.9995899999999998E-4</v>
      </c>
      <c r="Q8" s="111">
        <f t="shared" si="48"/>
        <v>2.9995899999999998E-4</v>
      </c>
      <c r="R8" s="111">
        <f t="shared" si="48"/>
        <v>2.9995899999999998E-4</v>
      </c>
      <c r="S8" s="111">
        <f t="shared" si="48"/>
        <v>2.9995899999999998E-4</v>
      </c>
      <c r="T8" s="111">
        <f t="shared" si="48"/>
        <v>2.9995899999999998E-4</v>
      </c>
      <c r="U8" s="111">
        <f t="shared" si="48"/>
        <v>2.9995899999999998E-4</v>
      </c>
      <c r="V8" s="111">
        <f t="shared" si="48"/>
        <v>2.9995899999999998E-4</v>
      </c>
      <c r="W8" s="111">
        <f t="shared" si="48"/>
        <v>2.9995899999999998E-4</v>
      </c>
      <c r="X8" s="111">
        <f t="shared" si="0"/>
        <v>2.9995899999999998E-4</v>
      </c>
      <c r="Y8" s="111">
        <f t="shared" si="0"/>
        <v>2.9995899999999998E-4</v>
      </c>
      <c r="Z8" s="111">
        <f t="shared" si="0"/>
        <v>2.9995899999999998E-4</v>
      </c>
      <c r="AA8" s="111">
        <f t="shared" si="0"/>
        <v>2.9995899999999998E-4</v>
      </c>
      <c r="AB8" s="15">
        <f t="shared" si="49"/>
        <v>277.81574592972157</v>
      </c>
      <c r="AC8" s="247">
        <f>IFERROR(AB8*(0.0000000000028)*s_RadSpec!$AY8*s_RadSpec!$AF8,0)</f>
        <v>1.4371719335381715E-11</v>
      </c>
      <c r="AD8" s="40">
        <f>s_dir!BC8</f>
        <v>30250</v>
      </c>
      <c r="AE8" s="40">
        <f t="shared" si="1"/>
        <v>7562.5</v>
      </c>
      <c r="AF8" s="40">
        <f t="shared" si="2"/>
        <v>7562.5</v>
      </c>
      <c r="AG8" s="40">
        <f t="shared" si="3"/>
        <v>7562.5</v>
      </c>
      <c r="AH8" s="40">
        <f t="shared" si="4"/>
        <v>7562.5</v>
      </c>
      <c r="AI8" s="40">
        <f t="shared" si="5"/>
        <v>7562.5</v>
      </c>
      <c r="AJ8" s="40">
        <f t="shared" si="6"/>
        <v>7562.5</v>
      </c>
      <c r="AK8" s="40">
        <f t="shared" si="7"/>
        <v>7562.5</v>
      </c>
      <c r="AL8" s="40">
        <f t="shared" si="8"/>
        <v>7562.5</v>
      </c>
      <c r="AM8" s="40">
        <f t="shared" si="9"/>
        <v>7562.5</v>
      </c>
      <c r="AN8" s="40">
        <f t="shared" si="10"/>
        <v>7562.5</v>
      </c>
      <c r="AO8" s="40">
        <f t="shared" si="11"/>
        <v>7562.5</v>
      </c>
      <c r="AP8" s="45">
        <f>IFERROR((s_DL/(s_RadSpec!E8*s_IFS_far_adj*(1/1000)))*1,".")</f>
        <v>1666894.4755783291</v>
      </c>
      <c r="AQ8" s="45">
        <f>IFERROR(IF(A8="H-3",(s_DL/(s_RadSpec!H8*s_IFA_far_adj*(1/17)*1000))*1,(s_DL/(s_RadSpec!H8*s_IFA_far_adj*(1/s_PEF_wind)*1000))*1),".")</f>
        <v>117624354.21371496</v>
      </c>
      <c r="AR8" s="45">
        <f>IFERROR((s_DL/(s_RadSpec!G8*s_EF_far*(1/365)*1*s_RadSpec!R8*((s_ET_far_o*(1/24)*s_RadSpec!W8)+(s_ET_far_i*(1/24)*s_RadSpec!AB8))))*1,".")</f>
        <v>1600.1038281801677</v>
      </c>
      <c r="AS8" s="45">
        <f>s_b2s!BC8</f>
        <v>7343.1474695080569</v>
      </c>
      <c r="AT8" s="45">
        <f>IFERROR(((J8*s_RadSpec!AU8)/s_RadSpec!AJ8)*1,".")</f>
        <v>106681.24643701306</v>
      </c>
      <c r="AU8" s="45" t="str">
        <f>IFERROR(((K8*s_RadSpec!AU8)/s_RadSpec!AK8)*1,".")</f>
        <v>.</v>
      </c>
      <c r="AV8" s="45">
        <f>IFERROR((G8/(s_RadSpec!AI8*((s_Q_p_beef*s_f_p_beef*s_f_s_beef*(s_RadSpec!BD8+s_R_es_past))+(s_Q_s_beef*s_f_p_beef))))*1,".")</f>
        <v>11112.629837188861</v>
      </c>
      <c r="AW8" s="45">
        <f>IFERROR(((H8*s_D_milk)/(s_RadSpec!AH8*((s_Q_p_dairy*s_f_p_dairy*s_f_s_dairy*(s_RadSpec!BD8+s_R_es_past))+(s_Q_s_dairy*s_f_p_dairy))))*1,".")</f>
        <v>22892.017464609053</v>
      </c>
      <c r="AX8" s="45" t="str">
        <f>IFERROR((I8/(s_RadSpec!AN8*((s_Q_p_swine*s_f_p_swine*s_f_s_swine*(s_RadSpec!BD8+s_R_es_past))+(s_Q_s_swine*s_f_p_swine))))*1,".")</f>
        <v>.</v>
      </c>
      <c r="AY8" s="45" t="str">
        <f>IFERROR((E8/(s_RadSpec!AL8*((s_Q_p_poultry*s_f_p_poultry*s_f_s_poultry*(s_RadSpec!BD8+s_R_es_past))+(s_Q_s_poultry*s_f_p_poultry))))*1,".")</f>
        <v>.</v>
      </c>
      <c r="AZ8" s="45" t="str">
        <f>IFERROR((F8/(s_RadSpec!AM8*((s_Q_p_poultry*s_f_p_poultry*s_f_s_poultry*(s_RadSpec!BD8+s_R_es_past))+(s_Q_s_poultry*s_f_p_poultry))))*1,".")</f>
        <v>.</v>
      </c>
      <c r="BA8" s="45" t="str">
        <f>IFERROR((L8/(s_RadSpec!AQ8*((s_Q_p_goat*s_f_p_goat*s_f_s_goat*(s_RadSpec!BD8+s_R_es_past))+(s_Q_s_goat*s_f_p_goat))))*1,".")</f>
        <v>.</v>
      </c>
      <c r="BB8" s="45" t="str">
        <f>IFERROR((N8*s_D_milk/(s_RadSpec!AR8*((s_Q_p_goat_milk*s_f_p_goat_milk*s_f_s_goat_milk*(s_RadSpec!BD8+s_R_es_past))+(s_Q_s_goat_milk*s_f_p_goat_milk))))*1,".")</f>
        <v>.</v>
      </c>
      <c r="BC8" s="45" t="str">
        <f>IFERROR((M8/(s_RadSpec!AO8*((s_Q_p_sheep*s_f_p_sheep*s_f_s_sheep*(s_RadSpec!BD8+s_R_es_past))+(s_Q_s_sheep*s_f_p_sheep))))*1,".")</f>
        <v>.</v>
      </c>
      <c r="BD8" s="45" t="str">
        <f>IFERROR((O8*s_D_milk/(s_RadSpec!AP8*((s_Q_p_sheep_milk*s_f_p_sheep_milk*s_f_s_sheep_milk*(s_RadSpec!BD8+s_R_es_past))+(s_Q_s_sheep_milk*s_f_p_sheep_milk))))*1,".")</f>
        <v>.</v>
      </c>
      <c r="BE8" s="111">
        <f t="shared" si="12"/>
        <v>5.9991800000000004E-7</v>
      </c>
      <c r="BF8" s="111">
        <f t="shared" si="13"/>
        <v>8.5016407247012148E-9</v>
      </c>
      <c r="BG8" s="111">
        <f t="shared" si="14"/>
        <v>6.249594447488582E-4</v>
      </c>
      <c r="BH8" s="111">
        <f t="shared" si="15"/>
        <v>1.3618138600000001E-4</v>
      </c>
      <c r="BI8" s="111">
        <f t="shared" si="16"/>
        <v>9.3737187499999993E-6</v>
      </c>
      <c r="BJ8" s="111" t="str">
        <f t="shared" si="16"/>
        <v>.</v>
      </c>
      <c r="BK8" s="111">
        <f t="shared" si="17"/>
        <v>8.9987699999999999E-5</v>
      </c>
      <c r="BL8" s="111">
        <f t="shared" si="18"/>
        <v>4.3683349514563106E-5</v>
      </c>
      <c r="BM8" s="111" t="str">
        <f t="shared" si="19"/>
        <v>.</v>
      </c>
      <c r="BN8" s="111" t="str">
        <f t="shared" si="20"/>
        <v>.</v>
      </c>
      <c r="BO8" s="111" t="str">
        <f t="shared" si="21"/>
        <v>.</v>
      </c>
      <c r="BP8" s="111" t="str">
        <f t="shared" si="22"/>
        <v>.</v>
      </c>
      <c r="BQ8" s="111" t="str">
        <f t="shared" si="23"/>
        <v>.</v>
      </c>
      <c r="BR8" s="111" t="str">
        <f t="shared" si="24"/>
        <v>.</v>
      </c>
      <c r="BS8" s="111" t="str">
        <f t="shared" si="25"/>
        <v>.</v>
      </c>
      <c r="BT8" s="15">
        <f t="shared" si="50"/>
        <v>1105.2239287428868</v>
      </c>
      <c r="BU8" s="189">
        <f>IFERROR(BT8*(0.0000000000028)*s_RadSpec!$AY8*s_RadSpec!$AF8,0)</f>
        <v>5.7174470271598004E-11</v>
      </c>
      <c r="BV8" s="40">
        <f t="shared" si="26"/>
        <v>15.125</v>
      </c>
      <c r="BW8" s="40">
        <f t="shared" si="27"/>
        <v>1.6181272791589674E-3</v>
      </c>
      <c r="BX8" s="40">
        <f>IFERROR((s_C*s_EF_far*(1/365)*1*s_RadSpec!R8*((s_ET_far_o*(1/24)*s_RadSpec!W8)+(s_ET_far_i*(1/24)*s_RadSpec!AB8))),".")</f>
        <v>2.2728310502283095E-2</v>
      </c>
      <c r="BY8" s="40">
        <f>s_b2s!CC8</f>
        <v>3433.375</v>
      </c>
      <c r="BZ8" s="40">
        <f>IFERROR(((s_C*s_RadSpec!AJ8)/s_RadSpec!AU8)*s_IFFI_far_adj*s_CF_far_fish,0)</f>
        <v>236.328125</v>
      </c>
      <c r="CA8" s="40">
        <f>IFERROR(((s_C*s_RadSpec!AK8)/s_RadSpec!AU8)*s_IFSF_far_adj*s_CF_far_shellfish,0)</f>
        <v>0</v>
      </c>
      <c r="CB8" s="40">
        <f>(s_C*s_IFB_far_adj*s_CF_far_beef*s_RadSpec!AI8*((s_Q_p_beef*s_f_p_beef*s_f_s_beef*(s_RadSpec!$AT8+s_R_es_past))+(s_Q_s_beef*s_f_p_beef)))</f>
        <v>2268.75</v>
      </c>
      <c r="CC8" s="40">
        <f>(s_C*s_IFD_far_adj*s_CF_far_dairy*s_RadSpec!AH8*1/s_D_milk*((s_Q_p_dairy*s_f_p_dairy*s_f_s_dairy*(s_RadSpec!$AT8+s_R_es_past))+(s_Q_s_dairy*s_f_p_dairy)))</f>
        <v>1101.3349514563108</v>
      </c>
      <c r="CD8" s="40">
        <f>IFERROR((s_C*s_IFSW_far_adj*s_CF_far_swine*s_RadSpec!AN8*((s_Q_p_swine*s_f_p_swine*s_f_s_swine*(s_RadSpec!$AT8+s_R_es_past))+(s_Q_s_swine*s_f_p_swine))),0)</f>
        <v>0</v>
      </c>
      <c r="CE8" s="40">
        <f>IFERROR((s_C*s_IFP_far_adj*s_CF_far_poultry*s_RadSpec!AL8*((s_Q_p_poultry*s_f_p_poultry*s_f_s_poultry*(s_RadSpec!AT8+s_R_es_past))+(s_Q_s_poultry*s_f_p_poultry))),0)</f>
        <v>0</v>
      </c>
      <c r="CF8" s="40">
        <f>IFERROR((s_C*s_IFE_far_adj*s_CF_far_egg*s_RadSpec!AM8*((s_Q_p_egg*s_f_p_egg*s_f_s_egg*(s_RadSpec!$AT8+s_R_es_past))+(s_Q_s_egg*s_f_p_egg))),0)</f>
        <v>0</v>
      </c>
      <c r="CG8" s="40">
        <f>IFERROR((s_C*s_IFGO_far_adj*s_CF_far_goat*s_RadSpec!AQ8*((s_Q_p_goat*s_f_p_goat*s_f_s_goat*(s_RadSpec!$AT8+s_R_es_past))+(s_Q_s_goat*s_f_p_goat))),0)</f>
        <v>0</v>
      </c>
      <c r="CH8" s="40">
        <f>IFERROR((s_C*s_IFGM_far_adj*s_CF_far_goat_milk*s_RadSpec!AR8*1/s_D_milk*((s_Q_p_goat_milk*s_f_p_goat_milk*s_f_s_goat_milk*(s_RadSpec!$AT8+s_R_es_past))+(s_Q_s_goat_milk*s_f_p_goat_milk))),0)</f>
        <v>0</v>
      </c>
      <c r="CI8" s="40">
        <f>IFERROR((s_C*s_IFSH_far_adj*s_CF_far_sheep*s_RadSpec!AO8*((s_Q_p_sheep*s_f_p_sheep*s_f_s_sheep*(s_RadSpec!$AT8+s_R_es_past))+(s_Q_s_sheep*s_f_p_sheep))),0)</f>
        <v>0</v>
      </c>
      <c r="CJ8" s="40">
        <f>IFERROR((s_C*s_IFSM_far_adj*s_CF_far_sheep_milk*s_RadSpec!AP8*1/s_D_milk*((s_Q_p_sheep_milk*s_f_p_sheep_milk*s_f_s_sheep_milk*(s_RadSpec!$AT8+s_R_es_past))+(s_Q_s_sheep_milk*s_f_p_sheep_milk))),0)</f>
        <v>0</v>
      </c>
      <c r="CK8" s="18"/>
      <c r="CL8" s="15">
        <f>IFERROR(s_DL/(s_RadSpec!I8*s_IFW_far_adj),".")</f>
        <v>18335.83923136162</v>
      </c>
      <c r="CM8" s="15" t="str">
        <f>IFERROR(IF(AND(s_RadSpec!C8=1,s_RadSpec!D8&lt;&gt;0),s_DL/(s_RadSpec!H8*s_IFA_far_adj*s_K*s_RadSpec!D8),"."),".")</f>
        <v>.</v>
      </c>
      <c r="CN8" s="15">
        <f>IFERROR((s_DL/(s_RadSpec!M8*(1/8760)*s_DFA_far_adj)),".")</f>
        <v>135324.11433392498</v>
      </c>
      <c r="CO8" s="15">
        <f>s_b2w!BC8</f>
        <v>26402.584806959167</v>
      </c>
      <c r="CP8" s="15">
        <f>IFERROR(J8/(s_RadSpec!AJ8*(1/1000)),".")</f>
        <v>222252.59674377722</v>
      </c>
      <c r="CQ8" s="15" t="str">
        <f>IFERROR(K8/(s_RadSpec!AK8*(1/1000)),".")</f>
        <v>.</v>
      </c>
      <c r="CR8" s="15">
        <f>IFERROR(G8/(s_RadSpec!AI8*s_Q_w_beef*(1/1000)),".")</f>
        <v>333378895.11566579</v>
      </c>
      <c r="CS8" s="15">
        <f>IFERROR((H8*s_D_milk)/(s_RadSpec!AH8*s_Q_w_dairy*(1/1000)),".")</f>
        <v>686760523.93827152</v>
      </c>
      <c r="CT8" s="15" t="str">
        <f>IFERROR(I8/(s_RadSpec!AN8*s_Q_w_swine*(1/1000)),".")</f>
        <v>.</v>
      </c>
      <c r="CU8" s="15" t="str">
        <f>IFERROR(E8/(s_RadSpec!AL8*s_Q_w_poultry*(1/1000)),".")</f>
        <v>.</v>
      </c>
      <c r="CV8" s="15" t="str">
        <f>IFERROR(F8/(s_RadSpec!AM8*s_Q_w_poultry*(1/1000)),".")</f>
        <v>.</v>
      </c>
      <c r="CW8" s="15" t="str">
        <f>IFERROR(L8/(s_RadSpec!AQ8*s_Q_w_goat*(1/1000)),".")</f>
        <v>.</v>
      </c>
      <c r="CX8" s="15" t="str">
        <f>IFERROR(N8*s_D_milk/(s_RadSpec!AR8*s_Q_w_goat_milk*(1/1000)),".")</f>
        <v>.</v>
      </c>
      <c r="CY8" s="15" t="str">
        <f>IFERROR(M8/(s_RadSpec!AO8*s_Q_w_sheep*(1/1000)),".")</f>
        <v>.</v>
      </c>
      <c r="CZ8" s="15" t="str">
        <f>IFERROR(O8*s_D_milk/(s_RadSpec!AP8*s_Q_w_sheep_milk*(1/1000)),".")</f>
        <v>.</v>
      </c>
      <c r="DA8" s="111">
        <f t="shared" si="28"/>
        <v>5.4537999999999999E-5</v>
      </c>
      <c r="DB8" s="111" t="str">
        <f t="shared" si="29"/>
        <v>.</v>
      </c>
      <c r="DC8" s="111">
        <f t="shared" si="30"/>
        <v>7.3896659506849304E-6</v>
      </c>
      <c r="DD8" s="111">
        <f t="shared" si="31"/>
        <v>3.7875079554196563E-5</v>
      </c>
      <c r="DE8" s="111">
        <f t="shared" si="32"/>
        <v>4.4993849999999994E-6</v>
      </c>
      <c r="DF8" s="111" t="str">
        <f t="shared" si="32"/>
        <v>.</v>
      </c>
      <c r="DG8" s="111">
        <f t="shared" si="33"/>
        <v>2.99959E-9</v>
      </c>
      <c r="DH8" s="111">
        <f t="shared" si="34"/>
        <v>1.4561116504854369E-9</v>
      </c>
      <c r="DI8" s="111" t="str">
        <f t="shared" si="35"/>
        <v>.</v>
      </c>
      <c r="DJ8" s="111" t="str">
        <f t="shared" si="36"/>
        <v>.</v>
      </c>
      <c r="DK8" s="111" t="str">
        <f t="shared" si="37"/>
        <v>.</v>
      </c>
      <c r="DL8" s="111" t="str">
        <f t="shared" si="38"/>
        <v>.</v>
      </c>
      <c r="DM8" s="111" t="str">
        <f t="shared" si="39"/>
        <v>.</v>
      </c>
      <c r="DN8" s="111" t="str">
        <f t="shared" si="40"/>
        <v>.</v>
      </c>
      <c r="DO8" s="111" t="str">
        <f t="shared" si="41"/>
        <v>.</v>
      </c>
      <c r="DP8" s="15">
        <f t="shared" si="51"/>
        <v>9587.122312870566</v>
      </c>
      <c r="DQ8" s="189">
        <f>DP8*(0.0000000000000028)*s_RadSpec!$AY8*s_RadSpec!$AF8</f>
        <v>4.9595256256427652E-13</v>
      </c>
      <c r="DR8" s="40">
        <f t="shared" si="42"/>
        <v>1375</v>
      </c>
      <c r="DS8" s="40">
        <f>IFERROR(IF(s_RadSpec!D8&lt;&gt;"",s_C*s_IFA_far_adj*s_K*s_RadSpec!D8,0),".")</f>
        <v>0</v>
      </c>
      <c r="DT8" s="40">
        <f t="shared" si="43"/>
        <v>0.12557077625570776</v>
      </c>
      <c r="DU8" s="40">
        <f>s_b2w!CC8</f>
        <v>954.89813317357221</v>
      </c>
      <c r="DV8" s="40">
        <f>IFERROR(s_C*s_RadSpec!AJ8*(1/1000)*s_IFFI_far_adj*s_CF_far_fish,0)</f>
        <v>113.4375</v>
      </c>
      <c r="DW8" s="40">
        <f>IFERROR(s_C*s_RadSpec!AK8*(1/1000)*s_IFSF_far_adj*s_CF_far_shellfish,0)</f>
        <v>0</v>
      </c>
      <c r="DX8" s="40">
        <f>(s_C*s_IFB_far_adj*s_CF_far_beef*s_RadSpec!AI8*s_Q_w_beef*(1/1000))</f>
        <v>7.5624999999999998E-2</v>
      </c>
      <c r="DY8" s="40">
        <f>(s_C*s_IFD_far_adj*s_CF_far_dairy*s_RadSpec!AH8*(1/s_D_milk)*s_Q_w_dairy*(1/1000))</f>
        <v>3.6711165048543694E-2</v>
      </c>
      <c r="DZ8" s="40">
        <f>IFERROR((s_C*s_IFSW_far_adj*s_CF_far_swine*s_RadSpec!AN8*s_Q_w_swine*(1/1000)),0)</f>
        <v>0</v>
      </c>
      <c r="EA8" s="40">
        <f>IFERROR((s_C*s_IFP_far_adj*s_CF_far_poultry*s_RadSpec!AL8*s_Q_w_poultry*(1/1000)),0)</f>
        <v>0</v>
      </c>
      <c r="EB8" s="40">
        <f>IFERROR((s_C*s_IFE_far_adj*s_CF_far_egg*s_RadSpec!AM8*s_Q_w_egg*(1/1000)),0)</f>
        <v>0</v>
      </c>
      <c r="EC8" s="40">
        <f>IFERROR((s_C*s_IFGO_far_adj*s_CF_far_goat*s_RadSpec!AQ8*s_Q_p_goat*(1/1000)),0)</f>
        <v>0</v>
      </c>
      <c r="ED8" s="40">
        <f>IFERROR((s_C*s_IFGM_far_adj*s_CF_far_goat_milk*s_RadSpec!AR8*(1/s_D_milk)*s_Q_p_goat_milk*(1/1000)),0)</f>
        <v>0</v>
      </c>
      <c r="EE8" s="40">
        <f>IFERROR((s_C*s_IFSH_far_adj*s_CF_far_sheep*s_RadSpec!AO8*s_Q_p_sheep*(1/1000)),0)</f>
        <v>0</v>
      </c>
      <c r="EF8" s="40">
        <f>IFERROR((s_C*s_IFSM_far_adj*s_CF_far_sheep_milk*s_RadSpec!AP8*(1/s_D_milk)*s_Q_p_sheep_milk*(1/1000)),0)</f>
        <v>0</v>
      </c>
      <c r="EG8" s="5"/>
      <c r="EH8" s="15">
        <f>IFERROR((s_DL/(s_RadSpec!H8*s_IFA_far_adj)),".")</f>
        <v>379.67361911023892</v>
      </c>
      <c r="EI8" s="15">
        <f>IFERROR((s_DL/(s_RadSpec!K8*s_EF_far*(1/365)*1*s_ET_far*(1/24)*s_GSF_a)),".")</f>
        <v>459281.84258786659</v>
      </c>
      <c r="EJ8" s="15">
        <f t="shared" si="53"/>
        <v>379.36001431200003</v>
      </c>
      <c r="EK8" s="189">
        <f>EJ8*(0.0000000000000028)*s_RadSpec!$AY8*s_RadSpec!$AF8</f>
        <v>1.9624717938549274E-14</v>
      </c>
      <c r="EL8" s="40">
        <f t="shared" si="45"/>
        <v>501.30208333333326</v>
      </c>
      <c r="EM8" s="40">
        <f t="shared" si="46"/>
        <v>7.8481735159817351E-2</v>
      </c>
      <c r="EN8" s="113"/>
    </row>
    <row r="9" spans="1:144" customFormat="1" x14ac:dyDescent="0.25">
      <c r="A9" s="44" t="s">
        <v>7</v>
      </c>
      <c r="B9" s="42" t="s">
        <v>1057</v>
      </c>
      <c r="C9" s="238"/>
      <c r="D9" s="15">
        <f>s_dir!AC9</f>
        <v>1499.0863068959468</v>
      </c>
      <c r="E9" s="15">
        <f>IFERROR(s_DL/(s_RadSpec!F9*s_IFP_far_adj*s_CF_far_poultry),".")</f>
        <v>5996.3452275837872</v>
      </c>
      <c r="F9" s="15">
        <f>IFERROR(s_DL/(s_RadSpec!F9*s_IFE_far_adj*s_CF_far_egg),".")</f>
        <v>5996.3452275837872</v>
      </c>
      <c r="G9" s="15">
        <f>IFERROR(s_DL/(s_RadSpec!F9*s_IFB_far_adj*s_CF_far_beef),".")</f>
        <v>5996.3452275837872</v>
      </c>
      <c r="H9" s="15">
        <f>IFERROR(s_DL/(s_RadSpec!F9*s_IFD_far_adj*s_CF_far_dairy),".")</f>
        <v>5996.3452275837872</v>
      </c>
      <c r="I9" s="15">
        <f>IFERROR(s_DL/(s_RadSpec!F9*s_IFSW_far_adj*s_CF_far_swine),".")</f>
        <v>5996.3452275837872</v>
      </c>
      <c r="J9" s="15">
        <f>IFERROR(s_DL/(s_RadSpec!F9*s_IFFI_far_adj*s_CF_far_fish),".")</f>
        <v>5996.3452275837872</v>
      </c>
      <c r="K9" s="15">
        <f>IFERROR(s_DL/(s_RadSpec!F9*s_IFSF_far_adj*s_CF_far_shellfish),".")</f>
        <v>5996.3452275837872</v>
      </c>
      <c r="L9" s="15">
        <f>IFERROR(s_DL/(s_RadSpec!F9*s_IFGO_far_adj*s_CF_far_goat),".")</f>
        <v>5996.3452275837872</v>
      </c>
      <c r="M9" s="15">
        <f>IFERROR(s_DL/(s_RadSpec!F9*s_IFSH_far_adj*s_CF_far_sheep),".")</f>
        <v>5996.3452275837872</v>
      </c>
      <c r="N9" s="15">
        <f>IFERROR(s_DL/(s_RadSpec!F9*s_IFGM_far_adj*s_CF_far_goat_milk),".")</f>
        <v>5996.3452275837872</v>
      </c>
      <c r="O9" s="15">
        <f>IFERROR(s_DL/(s_RadSpec!F9*s_IFSM_far_adj*s_CF_far_sheep_milk),".")</f>
        <v>5996.3452275837872</v>
      </c>
      <c r="P9" s="111">
        <f t="shared" si="47"/>
        <v>1.6676825E-4</v>
      </c>
      <c r="Q9" s="111">
        <f t="shared" si="48"/>
        <v>1.6676825E-4</v>
      </c>
      <c r="R9" s="111">
        <f t="shared" si="48"/>
        <v>1.6676825E-4</v>
      </c>
      <c r="S9" s="111">
        <f t="shared" si="48"/>
        <v>1.6676825E-4</v>
      </c>
      <c r="T9" s="111">
        <f t="shared" si="48"/>
        <v>1.6676825E-4</v>
      </c>
      <c r="U9" s="111">
        <f t="shared" si="48"/>
        <v>1.6676825E-4</v>
      </c>
      <c r="V9" s="111">
        <f t="shared" si="48"/>
        <v>1.6676825E-4</v>
      </c>
      <c r="W9" s="111">
        <f t="shared" si="48"/>
        <v>1.6676825E-4</v>
      </c>
      <c r="X9" s="111">
        <f t="shared" si="0"/>
        <v>1.6676825E-4</v>
      </c>
      <c r="Y9" s="111">
        <f t="shared" si="0"/>
        <v>1.6676825E-4</v>
      </c>
      <c r="Z9" s="111">
        <f t="shared" si="0"/>
        <v>1.6676825E-4</v>
      </c>
      <c r="AA9" s="111">
        <f t="shared" si="0"/>
        <v>1.6676825E-4</v>
      </c>
      <c r="AB9" s="15">
        <f t="shared" si="49"/>
        <v>499.69543563198238</v>
      </c>
      <c r="AC9" s="247">
        <f>IFERROR(AB9*(0.0000000000028)*s_RadSpec!$AY9*s_RadSpec!$AF9,0)</f>
        <v>1.1336393360179997E-11</v>
      </c>
      <c r="AD9" s="40">
        <f>s_dir!BC9</f>
        <v>30250</v>
      </c>
      <c r="AE9" s="40">
        <f t="shared" si="1"/>
        <v>7562.5</v>
      </c>
      <c r="AF9" s="40">
        <f t="shared" si="2"/>
        <v>7562.5</v>
      </c>
      <c r="AG9" s="40">
        <f t="shared" si="3"/>
        <v>7562.5</v>
      </c>
      <c r="AH9" s="40">
        <f t="shared" si="4"/>
        <v>7562.5</v>
      </c>
      <c r="AI9" s="40">
        <f t="shared" si="5"/>
        <v>7562.5</v>
      </c>
      <c r="AJ9" s="40">
        <f t="shared" si="6"/>
        <v>7562.5</v>
      </c>
      <c r="AK9" s="40">
        <f t="shared" si="7"/>
        <v>7562.5</v>
      </c>
      <c r="AL9" s="40">
        <f t="shared" si="8"/>
        <v>7562.5</v>
      </c>
      <c r="AM9" s="40">
        <f t="shared" si="9"/>
        <v>7562.5</v>
      </c>
      <c r="AN9" s="40">
        <f t="shared" si="10"/>
        <v>7562.5</v>
      </c>
      <c r="AO9" s="40">
        <f t="shared" si="11"/>
        <v>7562.5</v>
      </c>
      <c r="AP9" s="45">
        <f>IFERROR((s_DL/(s_RadSpec!E9*s_IFS_far_adj*(1/1000)))*1,".")</f>
        <v>2998172.6137918937</v>
      </c>
      <c r="AQ9" s="45">
        <f>IFERROR(IF(A9="H-3",(s_DL/(s_RadSpec!H9*s_IFA_far_adj*(1/17)*1000))*1,(s_DL/(s_RadSpec!H9*s_IFA_far_adj*(1/s_PEF_wind)*1000))*1),".")</f>
        <v>422130025.29976654</v>
      </c>
      <c r="AR9" s="45">
        <f>IFERROR((s_DL/(s_RadSpec!G9*s_EF_far*(1/365)*1*s_RadSpec!R9*((s_ET_far_o*(1/24)*s_RadSpec!W9)+(s_ET_far_i*(1/24)*s_RadSpec!AB9))))*1,".")</f>
        <v>59.303839776961446</v>
      </c>
      <c r="AS9" s="45">
        <f>s_b2s!BC9</f>
        <v>13207.808871329929</v>
      </c>
      <c r="AT9" s="45">
        <f>IFERROR(((J9*s_RadSpec!AU9)/s_RadSpec!AJ9)*1,".")</f>
        <v>191883.04728268119</v>
      </c>
      <c r="AU9" s="45" t="str">
        <f>IFERROR(((K9*s_RadSpec!AU9)/s_RadSpec!AK9)*1,".")</f>
        <v>.</v>
      </c>
      <c r="AV9" s="45">
        <f>IFERROR((G9/(s_RadSpec!AI9*((s_Q_p_beef*s_f_p_beef*s_f_s_beef*(s_RadSpec!BD9+s_R_es_past))+(s_Q_s_beef*s_f_p_beef))))*1,".")</f>
        <v>19987.817425279292</v>
      </c>
      <c r="AW9" s="45">
        <f>IFERROR(((H9*s_D_milk)/(s_RadSpec!AH9*((s_Q_p_dairy*s_f_p_dairy*s_f_s_dairy*(s_RadSpec!BD9+s_R_es_past))+(s_Q_s_dairy*s_f_p_dairy))))*1,".")</f>
        <v>41174.903896075339</v>
      </c>
      <c r="AX9" s="45" t="str">
        <f>IFERROR((I9/(s_RadSpec!AN9*((s_Q_p_swine*s_f_p_swine*s_f_s_swine*(s_RadSpec!BD9+s_R_es_past))+(s_Q_s_swine*s_f_p_swine))))*1,".")</f>
        <v>.</v>
      </c>
      <c r="AY9" s="45" t="str">
        <f>IFERROR((E9/(s_RadSpec!AL9*((s_Q_p_poultry*s_f_p_poultry*s_f_s_poultry*(s_RadSpec!BD9+s_R_es_past))+(s_Q_s_poultry*s_f_p_poultry))))*1,".")</f>
        <v>.</v>
      </c>
      <c r="AZ9" s="45" t="str">
        <f>IFERROR((F9/(s_RadSpec!AM9*((s_Q_p_poultry*s_f_p_poultry*s_f_s_poultry*(s_RadSpec!BD9+s_R_es_past))+(s_Q_s_poultry*s_f_p_poultry))))*1,".")</f>
        <v>.</v>
      </c>
      <c r="BA9" s="45" t="str">
        <f>IFERROR((L9/(s_RadSpec!AQ9*((s_Q_p_goat*s_f_p_goat*s_f_s_goat*(s_RadSpec!BD9+s_R_es_past))+(s_Q_s_goat*s_f_p_goat))))*1,".")</f>
        <v>.</v>
      </c>
      <c r="BB9" s="45" t="str">
        <f>IFERROR((N9*s_D_milk/(s_RadSpec!AR9*((s_Q_p_goat_milk*s_f_p_goat_milk*s_f_s_goat_milk*(s_RadSpec!BD9+s_R_es_past))+(s_Q_s_goat_milk*s_f_p_goat_milk))))*1,".")</f>
        <v>.</v>
      </c>
      <c r="BC9" s="45" t="str">
        <f>IFERROR((M9/(s_RadSpec!AO9*((s_Q_p_sheep*s_f_p_sheep*s_f_s_sheep*(s_RadSpec!BD9+s_R_es_past))+(s_Q_s_sheep*s_f_p_sheep))))*1,".")</f>
        <v>.</v>
      </c>
      <c r="BD9" s="45" t="str">
        <f>IFERROR((O9*s_D_milk/(s_RadSpec!AP9*((s_Q_p_sheep_milk*s_f_p_sheep_milk*s_f_s_sheep_milk*(s_RadSpec!BD9+s_R_es_past))+(s_Q_s_sheep_milk*s_f_p_sheep_milk))))*1,".")</f>
        <v>.</v>
      </c>
      <c r="BE9" s="111">
        <f t="shared" si="12"/>
        <v>3.3353650000000002E-7</v>
      </c>
      <c r="BF9" s="111">
        <f t="shared" si="13"/>
        <v>2.3689383366887289E-9</v>
      </c>
      <c r="BG9" s="111">
        <f t="shared" si="14"/>
        <v>1.6862314544234341E-2</v>
      </c>
      <c r="BH9" s="111">
        <f t="shared" si="15"/>
        <v>7.5712785500000002E-5</v>
      </c>
      <c r="BI9" s="111">
        <f t="shared" si="16"/>
        <v>5.2115078125000001E-6</v>
      </c>
      <c r="BJ9" s="111" t="str">
        <f t="shared" si="16"/>
        <v>.</v>
      </c>
      <c r="BK9" s="111">
        <f t="shared" si="17"/>
        <v>5.0030475E-5</v>
      </c>
      <c r="BL9" s="111">
        <f t="shared" si="18"/>
        <v>2.4286638349514566E-5</v>
      </c>
      <c r="BM9" s="111" t="str">
        <f t="shared" si="19"/>
        <v>.</v>
      </c>
      <c r="BN9" s="111" t="str">
        <f t="shared" si="20"/>
        <v>.</v>
      </c>
      <c r="BO9" s="111" t="str">
        <f t="shared" si="21"/>
        <v>.</v>
      </c>
      <c r="BP9" s="111" t="str">
        <f t="shared" si="22"/>
        <v>.</v>
      </c>
      <c r="BQ9" s="111" t="str">
        <f t="shared" si="23"/>
        <v>.</v>
      </c>
      <c r="BR9" s="111" t="str">
        <f t="shared" si="24"/>
        <v>.</v>
      </c>
      <c r="BS9" s="111" t="str">
        <f t="shared" si="25"/>
        <v>.</v>
      </c>
      <c r="BT9" s="15">
        <f t="shared" si="50"/>
        <v>58.761684963214925</v>
      </c>
      <c r="BU9" s="189">
        <f>IFERROR(BT9*(0.0000000000028)*s_RadSpec!$AY9*s_RadSpec!$AF9,0)</f>
        <v>1.3331031819561865E-12</v>
      </c>
      <c r="BV9" s="40">
        <f t="shared" si="26"/>
        <v>15.125</v>
      </c>
      <c r="BW9" s="40">
        <f t="shared" si="27"/>
        <v>1.6181272791589674E-3</v>
      </c>
      <c r="BX9" s="40">
        <f>IFERROR((s_C*s_EF_far*(1/365)*1*s_RadSpec!R9*((s_ET_far_o*(1/24)*s_RadSpec!W9)+(s_ET_far_i*(1/24)*s_RadSpec!AB9))),".")</f>
        <v>4.6149974339741835E-2</v>
      </c>
      <c r="BY9" s="40">
        <f>s_b2s!CC9</f>
        <v>3433.375</v>
      </c>
      <c r="BZ9" s="40">
        <f>IFERROR(((s_C*s_RadSpec!AJ9)/s_RadSpec!AU9)*s_IFFI_far_adj*s_CF_far_fish,0)</f>
        <v>236.328125</v>
      </c>
      <c r="CA9" s="40">
        <f>IFERROR(((s_C*s_RadSpec!AK9)/s_RadSpec!AU9)*s_IFSF_far_adj*s_CF_far_shellfish,0)</f>
        <v>0</v>
      </c>
      <c r="CB9" s="40">
        <f>(s_C*s_IFB_far_adj*s_CF_far_beef*s_RadSpec!AI9*((s_Q_p_beef*s_f_p_beef*s_f_s_beef*(s_RadSpec!$AT9+s_R_es_past))+(s_Q_s_beef*s_f_p_beef)))</f>
        <v>2268.75</v>
      </c>
      <c r="CC9" s="40">
        <f>(s_C*s_IFD_far_adj*s_CF_far_dairy*s_RadSpec!AH9*1/s_D_milk*((s_Q_p_dairy*s_f_p_dairy*s_f_s_dairy*(s_RadSpec!$AT9+s_R_es_past))+(s_Q_s_dairy*s_f_p_dairy)))</f>
        <v>1101.3349514563108</v>
      </c>
      <c r="CD9" s="40">
        <f>IFERROR((s_C*s_IFSW_far_adj*s_CF_far_swine*s_RadSpec!AN9*((s_Q_p_swine*s_f_p_swine*s_f_s_swine*(s_RadSpec!$AT9+s_R_es_past))+(s_Q_s_swine*s_f_p_swine))),0)</f>
        <v>0</v>
      </c>
      <c r="CE9" s="40">
        <f>IFERROR((s_C*s_IFP_far_adj*s_CF_far_poultry*s_RadSpec!AL9*((s_Q_p_poultry*s_f_p_poultry*s_f_s_poultry*(s_RadSpec!AT9+s_R_es_past))+(s_Q_s_poultry*s_f_p_poultry))),0)</f>
        <v>0</v>
      </c>
      <c r="CF9" s="40">
        <f>IFERROR((s_C*s_IFE_far_adj*s_CF_far_egg*s_RadSpec!AM9*((s_Q_p_egg*s_f_p_egg*s_f_s_egg*(s_RadSpec!$AT9+s_R_es_past))+(s_Q_s_egg*s_f_p_egg))),0)</f>
        <v>0</v>
      </c>
      <c r="CG9" s="40">
        <f>IFERROR((s_C*s_IFGO_far_adj*s_CF_far_goat*s_RadSpec!AQ9*((s_Q_p_goat*s_f_p_goat*s_f_s_goat*(s_RadSpec!$AT9+s_R_es_past))+(s_Q_s_goat*s_f_p_goat))),0)</f>
        <v>0</v>
      </c>
      <c r="CH9" s="40">
        <f>IFERROR((s_C*s_IFGM_far_adj*s_CF_far_goat_milk*s_RadSpec!AR9*1/s_D_milk*((s_Q_p_goat_milk*s_f_p_goat_milk*s_f_s_goat_milk*(s_RadSpec!$AT9+s_R_es_past))+(s_Q_s_goat_milk*s_f_p_goat_milk))),0)</f>
        <v>0</v>
      </c>
      <c r="CI9" s="40">
        <f>IFERROR((s_C*s_IFSH_far_adj*s_CF_far_sheep*s_RadSpec!AO9*((s_Q_p_sheep*s_f_p_sheep*s_f_s_sheep*(s_RadSpec!$AT9+s_R_es_past))+(s_Q_s_sheep*s_f_p_sheep))),0)</f>
        <v>0</v>
      </c>
      <c r="CJ9" s="40">
        <f>IFERROR((s_C*s_IFSM_far_adj*s_CF_far_sheep_milk*s_RadSpec!AP9*1/s_D_milk*((s_Q_p_sheep_milk*s_f_p_sheep_milk*s_f_s_sheep_milk*(s_RadSpec!$AT9+s_R_es_past))+(s_Q_s_sheep_milk*s_f_p_sheep_milk))),0)</f>
        <v>0</v>
      </c>
      <c r="CK9" s="18"/>
      <c r="CL9" s="15">
        <f>IFERROR(s_DL/(s_RadSpec!I9*s_IFW_far_adj),".")</f>
        <v>32979.898751710833</v>
      </c>
      <c r="CM9" s="15">
        <f>IFERROR(IF(AND(s_RadSpec!C9=1,s_RadSpec!D9&lt;&gt;0),s_DL/(s_RadSpec!H9*s_IFA_far_adj*s_K*s_RadSpec!D9),"."),".")</f>
        <v>53534.634988975027</v>
      </c>
      <c r="CN9" s="15">
        <f>IFERROR((s_DL/(s_RadSpec!M9*(1/8760)*s_DFA_far_adj)),".")</f>
        <v>11071.9729909575</v>
      </c>
      <c r="CO9" s="15">
        <f>s_b2w!BC9</f>
        <v>47489.212941376216</v>
      </c>
      <c r="CP9" s="15">
        <f>IFERROR(J9/(s_RadSpec!AJ9*(1/1000)),".")</f>
        <v>399756.3485055858</v>
      </c>
      <c r="CQ9" s="15" t="str">
        <f>IFERROR(K9/(s_RadSpec!AK9*(1/1000)),".")</f>
        <v>.</v>
      </c>
      <c r="CR9" s="15">
        <f>IFERROR(G9/(s_RadSpec!AI9*s_Q_w_beef*(1/1000)),".")</f>
        <v>599634522.75837862</v>
      </c>
      <c r="CS9" s="15">
        <f>IFERROR((H9*s_D_milk)/(s_RadSpec!AH9*s_Q_w_dairy*(1/1000)),".")</f>
        <v>1235247116.8822601</v>
      </c>
      <c r="CT9" s="15" t="str">
        <f>IFERROR(I9/(s_RadSpec!AN9*s_Q_w_swine*(1/1000)),".")</f>
        <v>.</v>
      </c>
      <c r="CU9" s="15" t="str">
        <f>IFERROR(E9/(s_RadSpec!AL9*s_Q_w_poultry*(1/1000)),".")</f>
        <v>.</v>
      </c>
      <c r="CV9" s="15" t="str">
        <f>IFERROR(F9/(s_RadSpec!AM9*s_Q_w_poultry*(1/1000)),".")</f>
        <v>.</v>
      </c>
      <c r="CW9" s="15" t="str">
        <f>IFERROR(L9/(s_RadSpec!AQ9*s_Q_w_goat*(1/1000)),".")</f>
        <v>.</v>
      </c>
      <c r="CX9" s="15" t="str">
        <f>IFERROR(N9*s_D_milk/(s_RadSpec!AR9*s_Q_w_goat_milk*(1/1000)),".")</f>
        <v>.</v>
      </c>
      <c r="CY9" s="15" t="str">
        <f>IFERROR(M9/(s_RadSpec!AO9*s_Q_w_sheep*(1/1000)),".")</f>
        <v>.</v>
      </c>
      <c r="CZ9" s="15" t="str">
        <f>IFERROR(O9*s_D_milk/(s_RadSpec!AP9*s_Q_w_sheep_milk*(1/1000)),".")</f>
        <v>.</v>
      </c>
      <c r="DA9" s="111">
        <f t="shared" si="28"/>
        <v>3.0321500000000001E-5</v>
      </c>
      <c r="DB9" s="111">
        <f t="shared" si="29"/>
        <v>1.8679495997421874E-5</v>
      </c>
      <c r="DC9" s="111">
        <f t="shared" si="30"/>
        <v>9.0318139397260253E-5</v>
      </c>
      <c r="DD9" s="111">
        <f t="shared" si="31"/>
        <v>2.1057413632743615E-5</v>
      </c>
      <c r="DE9" s="111">
        <f t="shared" si="32"/>
        <v>2.5015237500000001E-6</v>
      </c>
      <c r="DF9" s="111" t="str">
        <f t="shared" si="32"/>
        <v>.</v>
      </c>
      <c r="DG9" s="111">
        <f t="shared" si="33"/>
        <v>1.6676825000000004E-9</v>
      </c>
      <c r="DH9" s="111">
        <f t="shared" si="34"/>
        <v>8.095546116504856E-10</v>
      </c>
      <c r="DI9" s="111" t="str">
        <f t="shared" si="35"/>
        <v>.</v>
      </c>
      <c r="DJ9" s="111" t="str">
        <f t="shared" si="36"/>
        <v>.</v>
      </c>
      <c r="DK9" s="111" t="str">
        <f t="shared" si="37"/>
        <v>.</v>
      </c>
      <c r="DL9" s="111" t="str">
        <f t="shared" si="38"/>
        <v>.</v>
      </c>
      <c r="DM9" s="111" t="str">
        <f t="shared" si="39"/>
        <v>.</v>
      </c>
      <c r="DN9" s="111" t="str">
        <f t="shared" si="40"/>
        <v>.</v>
      </c>
      <c r="DO9" s="111" t="str">
        <f t="shared" si="41"/>
        <v>.</v>
      </c>
      <c r="DP9" s="15">
        <f t="shared" si="51"/>
        <v>6139.4684626909002</v>
      </c>
      <c r="DQ9" s="189">
        <f>DP9*(0.0000000000000028)*s_RadSpec!$AY9*s_RadSpec!$AF9</f>
        <v>1.3928370073554661E-13</v>
      </c>
      <c r="DR9" s="40">
        <f t="shared" si="42"/>
        <v>1375</v>
      </c>
      <c r="DS9" s="40">
        <f>IFERROR(IF(s_RadSpec!D9&lt;&gt;"",s_C*s_IFA_far_adj*s_K*s_RadSpec!D9,0),".")</f>
        <v>12.759218577473957</v>
      </c>
      <c r="DT9" s="40">
        <f t="shared" si="43"/>
        <v>0.12557077625570776</v>
      </c>
      <c r="DU9" s="40">
        <f>s_b2w!CC9</f>
        <v>954.89813317357221</v>
      </c>
      <c r="DV9" s="40">
        <f>IFERROR(s_C*s_RadSpec!AJ9*(1/1000)*s_IFFI_far_adj*s_CF_far_fish,0)</f>
        <v>113.4375</v>
      </c>
      <c r="DW9" s="40">
        <f>IFERROR(s_C*s_RadSpec!AK9*(1/1000)*s_IFSF_far_adj*s_CF_far_shellfish,0)</f>
        <v>0</v>
      </c>
      <c r="DX9" s="40">
        <f>(s_C*s_IFB_far_adj*s_CF_far_beef*s_RadSpec!AI9*s_Q_w_beef*(1/1000))</f>
        <v>7.5624999999999998E-2</v>
      </c>
      <c r="DY9" s="40">
        <f>(s_C*s_IFD_far_adj*s_CF_far_dairy*s_RadSpec!AH9*(1/s_D_milk)*s_Q_w_dairy*(1/1000))</f>
        <v>3.6711165048543694E-2</v>
      </c>
      <c r="DZ9" s="40">
        <f>IFERROR((s_C*s_IFSW_far_adj*s_CF_far_swine*s_RadSpec!AN9*s_Q_w_swine*(1/1000)),0)</f>
        <v>0</v>
      </c>
      <c r="EA9" s="40">
        <f>IFERROR((s_C*s_IFP_far_adj*s_CF_far_poultry*s_RadSpec!AL9*s_Q_w_poultry*(1/1000)),0)</f>
        <v>0</v>
      </c>
      <c r="EB9" s="40">
        <f>IFERROR((s_C*s_IFE_far_adj*s_CF_far_egg*s_RadSpec!AM9*s_Q_w_egg*(1/1000)),0)</f>
        <v>0</v>
      </c>
      <c r="EC9" s="40">
        <f>IFERROR((s_C*s_IFGO_far_adj*s_CF_far_goat*s_RadSpec!AQ9*s_Q_p_goat*(1/1000)),0)</f>
        <v>0</v>
      </c>
      <c r="ED9" s="40">
        <f>IFERROR((s_C*s_IFGM_far_adj*s_CF_far_goat_milk*s_RadSpec!AR9*(1/s_D_milk)*s_Q_p_goat_milk*(1/1000)),0)</f>
        <v>0</v>
      </c>
      <c r="EE9" s="40">
        <f>IFERROR((s_C*s_IFSH_far_adj*s_CF_far_sheep*s_RadSpec!AO9*s_Q_p_sheep*(1/1000)),0)</f>
        <v>0</v>
      </c>
      <c r="EF9" s="40">
        <f>IFERROR((s_C*s_IFSM_far_adj*s_CF_far_sheep_milk*s_RadSpec!AP9*(1/s_D_milk)*s_Q_p_sheep_milk*(1/1000)),0)</f>
        <v>0</v>
      </c>
      <c r="EG9" s="5"/>
      <c r="EH9" s="15">
        <f>IFERROR((s_DL/(s_RadSpec!H9*s_IFA_far_adj)),".")</f>
        <v>1362.5718543751329</v>
      </c>
      <c r="EI9" s="15">
        <f>IFERROR((s_DL/(s_RadSpec!K9*s_EF_far*(1/365)*1*s_ET_far*(1/24)*s_GSF_a)),".")</f>
        <v>38370.381785821774</v>
      </c>
      <c r="EJ9" s="15">
        <f t="shared" si="53"/>
        <v>1315.844845979336</v>
      </c>
      <c r="EK9" s="189">
        <f>EJ9*(0.0000000000000028)*s_RadSpec!$AY9*s_RadSpec!$AF9</f>
        <v>2.9852053293465133E-14</v>
      </c>
      <c r="EL9" s="40">
        <f t="shared" si="45"/>
        <v>501.30208333333326</v>
      </c>
      <c r="EM9" s="40">
        <f t="shared" si="46"/>
        <v>7.8481735159817351E-2</v>
      </c>
      <c r="EN9" s="113"/>
    </row>
    <row r="10" spans="1:144" customFormat="1" x14ac:dyDescent="0.25">
      <c r="A10" s="46" t="s">
        <v>8</v>
      </c>
      <c r="B10" s="42" t="s">
        <v>335</v>
      </c>
      <c r="C10" s="42"/>
      <c r="D10" s="15">
        <f>s_dir!AC10</f>
        <v>16.794275167480908</v>
      </c>
      <c r="E10" s="15">
        <f>IFERROR(s_DL/(s_RadSpec!F10*s_IFP_far_adj*s_CF_far_poultry),".")</f>
        <v>67.177100669923632</v>
      </c>
      <c r="F10" s="15">
        <f>IFERROR(s_DL/(s_RadSpec!F10*s_IFE_far_adj*s_CF_far_egg),".")</f>
        <v>67.177100669923632</v>
      </c>
      <c r="G10" s="15">
        <f>IFERROR(s_DL/(s_RadSpec!F10*s_IFB_far_adj*s_CF_far_beef),".")</f>
        <v>67.177100669923632</v>
      </c>
      <c r="H10" s="15">
        <f>IFERROR(s_DL/(s_RadSpec!F10*s_IFD_far_adj*s_CF_far_dairy),".")</f>
        <v>67.177100669923632</v>
      </c>
      <c r="I10" s="15">
        <f>IFERROR(s_DL/(s_RadSpec!F10*s_IFSW_far_adj*s_CF_far_swine),".")</f>
        <v>67.177100669923632</v>
      </c>
      <c r="J10" s="15">
        <f>IFERROR(s_DL/(s_RadSpec!F10*s_IFFI_far_adj*s_CF_far_fish),".")</f>
        <v>67.177100669923632</v>
      </c>
      <c r="K10" s="15">
        <f>IFERROR(s_DL/(s_RadSpec!F10*s_IFSF_far_adj*s_CF_far_shellfish),".")</f>
        <v>67.177100669923632</v>
      </c>
      <c r="L10" s="15">
        <f>IFERROR(s_DL/(s_RadSpec!F10*s_IFGO_far_adj*s_CF_far_goat),".")</f>
        <v>67.177100669923632</v>
      </c>
      <c r="M10" s="15">
        <f>IFERROR(s_DL/(s_RadSpec!F10*s_IFSH_far_adj*s_CF_far_sheep),".")</f>
        <v>67.177100669923632</v>
      </c>
      <c r="N10" s="15">
        <f>IFERROR(s_DL/(s_RadSpec!F10*s_IFGM_far_adj*s_CF_far_goat_milk),".")</f>
        <v>67.177100669923632</v>
      </c>
      <c r="O10" s="15">
        <f>IFERROR(s_DL/(s_RadSpec!F10*s_IFSM_far_adj*s_CF_far_sheep_milk),".")</f>
        <v>67.177100669923632</v>
      </c>
      <c r="P10" s="111">
        <f t="shared" si="47"/>
        <v>1.4886025000000001E-2</v>
      </c>
      <c r="Q10" s="111">
        <f t="shared" si="48"/>
        <v>1.4886025000000001E-2</v>
      </c>
      <c r="R10" s="111">
        <f t="shared" si="48"/>
        <v>1.4886025000000001E-2</v>
      </c>
      <c r="S10" s="111">
        <f t="shared" si="48"/>
        <v>1.4886025000000001E-2</v>
      </c>
      <c r="T10" s="111">
        <f t="shared" si="48"/>
        <v>1.4886025000000001E-2</v>
      </c>
      <c r="U10" s="111">
        <f t="shared" si="48"/>
        <v>1.4886025000000001E-2</v>
      </c>
      <c r="V10" s="111">
        <f t="shared" si="48"/>
        <v>1.4886025000000001E-2</v>
      </c>
      <c r="W10" s="111">
        <f t="shared" si="48"/>
        <v>1.4886025000000001E-2</v>
      </c>
      <c r="X10" s="111">
        <f t="shared" si="0"/>
        <v>1.4886025000000001E-2</v>
      </c>
      <c r="Y10" s="111">
        <f t="shared" si="0"/>
        <v>1.4886025000000001E-2</v>
      </c>
      <c r="Z10" s="111">
        <f t="shared" si="0"/>
        <v>1.4886025000000001E-2</v>
      </c>
      <c r="AA10" s="111">
        <f t="shared" si="0"/>
        <v>1.4886025000000001E-2</v>
      </c>
      <c r="AB10" s="15">
        <f t="shared" si="49"/>
        <v>5.5980917224936366</v>
      </c>
      <c r="AC10" s="247">
        <f>IFERROR(AB10*(0.0000000000028)*s_RadSpec!$AY10*s_RadSpec!$AF10,0)</f>
        <v>6.4781674758708268E-8</v>
      </c>
      <c r="AD10" s="40">
        <f>s_dir!BC10</f>
        <v>30250</v>
      </c>
      <c r="AE10" s="40">
        <f t="shared" si="1"/>
        <v>7562.5</v>
      </c>
      <c r="AF10" s="40">
        <f t="shared" si="2"/>
        <v>7562.5</v>
      </c>
      <c r="AG10" s="40">
        <f t="shared" si="3"/>
        <v>7562.5</v>
      </c>
      <c r="AH10" s="40">
        <f t="shared" si="4"/>
        <v>7562.5</v>
      </c>
      <c r="AI10" s="40">
        <f t="shared" si="5"/>
        <v>7562.5</v>
      </c>
      <c r="AJ10" s="40">
        <f t="shared" si="6"/>
        <v>7562.5</v>
      </c>
      <c r="AK10" s="40">
        <f t="shared" si="7"/>
        <v>7562.5</v>
      </c>
      <c r="AL10" s="40">
        <f t="shared" si="8"/>
        <v>7562.5</v>
      </c>
      <c r="AM10" s="40">
        <f t="shared" si="9"/>
        <v>7562.5</v>
      </c>
      <c r="AN10" s="40">
        <f t="shared" si="10"/>
        <v>7562.5</v>
      </c>
      <c r="AO10" s="40">
        <f t="shared" si="11"/>
        <v>7562.5</v>
      </c>
      <c r="AP10" s="45">
        <f>IFERROR((s_DL/(s_RadSpec!E10*s_IFS_far_adj*(1/1000)))*1,".")</f>
        <v>33588.550334961816</v>
      </c>
      <c r="AQ10" s="45">
        <f>IFERROR(IF(A10="H-3",(s_DL/(s_RadSpec!H10*s_IFA_far_adj*(1/17)*1000))*1,(s_DL/(s_RadSpec!H10*s_IFA_far_adj*(1/s_PEF_wind)*1000))*1),".")</f>
        <v>100135841.11719139</v>
      </c>
      <c r="AR10" s="45">
        <f>IFERROR((s_DL/(s_RadSpec!G10*s_EF_far*(1/365)*1*s_RadSpec!R10*((s_ET_far_o*(1/24)*s_RadSpec!W10)+(s_ET_far_i*(1/24)*s_RadSpec!AB10))))*1,".")</f>
        <v>1193314.448823187</v>
      </c>
      <c r="AS10" s="45">
        <f>s_b2s!BC10</f>
        <v>607.77255649980668</v>
      </c>
      <c r="AT10" s="45">
        <f>IFERROR(((J10*s_RadSpec!AU10)/s_RadSpec!AJ10)*1,".")</f>
        <v>0.26870840267969454</v>
      </c>
      <c r="AU10" s="45">
        <f>IFERROR(((K10*s_RadSpec!AU10)/s_RadSpec!AK10)*1,".")</f>
        <v>29.207435073879839</v>
      </c>
      <c r="AV10" s="45">
        <f>IFERROR((G10/(s_RadSpec!AI10*((s_Q_p_beef*s_f_p_beef*s_f_s_beef*(s_RadSpec!BD10+s_R_es_past))+(s_Q_s_beef*s_f_p_beef))))*1,".")</f>
        <v>33.310959009879504</v>
      </c>
      <c r="AW10" s="45">
        <f>IFERROR(((H10*s_D_milk)/(s_RadSpec!AH10*((s_Q_p_dairy*s_f_p_dairy*s_f_s_dairy*(s_RadSpec!BD10+s_R_es_past))+(s_Q_s_dairy*s_f_p_dairy))))*1,".")</f>
        <v>164.09268068779772</v>
      </c>
      <c r="AX10" s="45">
        <f>IFERROR((I10/(s_RadSpec!AN10*((s_Q_p_swine*s_f_p_swine*s_f_s_swine*(s_RadSpec!BD10+s_R_es_past))+(s_Q_s_swine*s_f_p_swine))))*1,".")</f>
        <v>3.6642054910867454</v>
      </c>
      <c r="AY10" s="45">
        <f>IFERROR((E10/(s_RadSpec!AL10*((s_Q_p_poultry*s_f_p_poultry*s_f_s_poultry*(s_RadSpec!BD10+s_R_es_past))+(s_Q_s_poultry*s_f_p_poultry))))*1,".")</f>
        <v>0.27142262896938851</v>
      </c>
      <c r="AZ10" s="45">
        <f>IFERROR((F10/(s_RadSpec!AM10*((s_Q_p_poultry*s_f_p_poultry*s_f_s_poultry*(s_RadSpec!BD10+s_R_es_past))+(s_Q_s_poultry*s_f_p_poultry))))*1,".")</f>
        <v>1.8321027455433727</v>
      </c>
      <c r="BA10" s="45">
        <f>IFERROR((L10/(s_RadSpec!AQ10*((s_Q_p_goat*s_f_p_goat*s_f_s_goat*(s_RadSpec!BD10+s_R_es_past))+(s_Q_s_goat*s_f_p_goat))))*1,".")</f>
        <v>2.2901284319292157</v>
      </c>
      <c r="BB10" s="45">
        <f>IFERROR((N10*s_D_milk/(s_RadSpec!AR10*((s_Q_p_goat_milk*s_f_p_goat_milk*s_f_s_goat_milk*(s_RadSpec!BD10+s_R_es_past))+(s_Q_s_goat_milk*s_f_p_goat_milk))))*1,".")</f>
        <v>6.8620575560351771</v>
      </c>
      <c r="BC10" s="45">
        <f>IFERROR((M10/(s_RadSpec!AO10*((s_Q_p_sheep*s_f_p_sheep*s_f_s_sheep*(s_RadSpec!BD10+s_R_es_past))+(s_Q_s_sheep*s_f_p_sheep))))*1,".")</f>
        <v>3.8570584116702578</v>
      </c>
      <c r="BD10" s="45">
        <f>IFERROR((O10*s_D_milk/(s_RadSpec!AP10*((s_Q_p_sheep_milk*s_f_p_sheep_milk*s_f_s_sheep_milk*(s_RadSpec!BD10+s_R_es_past))+(s_Q_s_sheep_milk*s_f_p_sheep_milk))))*1,".")</f>
        <v>13.014247089032231</v>
      </c>
      <c r="BE10" s="111">
        <f t="shared" si="12"/>
        <v>2.9772050000000002E-5</v>
      </c>
      <c r="BF10" s="111">
        <f t="shared" si="13"/>
        <v>9.9864343160574835E-9</v>
      </c>
      <c r="BG10" s="111">
        <f t="shared" si="14"/>
        <v>8.3800208820581346E-7</v>
      </c>
      <c r="BH10" s="111">
        <f t="shared" si="15"/>
        <v>1.6453523432500001E-3</v>
      </c>
      <c r="BI10" s="111">
        <f t="shared" si="16"/>
        <v>3.72150625</v>
      </c>
      <c r="BJ10" s="111">
        <f t="shared" si="16"/>
        <v>3.4237857500000003E-2</v>
      </c>
      <c r="BK10" s="111">
        <f t="shared" si="17"/>
        <v>3.0020150416666655E-2</v>
      </c>
      <c r="BL10" s="111">
        <f t="shared" si="18"/>
        <v>6.0941170307443338E-3</v>
      </c>
      <c r="BM10" s="111">
        <f t="shared" si="19"/>
        <v>0.27291045833333322</v>
      </c>
      <c r="BN10" s="111">
        <f t="shared" si="20"/>
        <v>3.6842911874999991</v>
      </c>
      <c r="BO10" s="111">
        <f t="shared" si="21"/>
        <v>0.54582091666666643</v>
      </c>
      <c r="BP10" s="111">
        <f t="shared" si="22"/>
        <v>0.43665673333333316</v>
      </c>
      <c r="BQ10" s="111">
        <f t="shared" si="23"/>
        <v>0.14572888551779931</v>
      </c>
      <c r="BR10" s="111">
        <f t="shared" si="24"/>
        <v>0.25926493541666656</v>
      </c>
      <c r="BS10" s="111">
        <f t="shared" si="25"/>
        <v>7.6838866909385087E-2</v>
      </c>
      <c r="BT10" s="15">
        <f t="shared" si="50"/>
        <v>0.10851817387344495</v>
      </c>
      <c r="BU10" s="189">
        <f>IFERROR(BT10*(0.0000000000028)*s_RadSpec!$AY10*s_RadSpec!$AF10,0)</f>
        <v>1.2557831121328959E-9</v>
      </c>
      <c r="BV10" s="40">
        <f t="shared" si="26"/>
        <v>15.125</v>
      </c>
      <c r="BW10" s="40">
        <f t="shared" si="27"/>
        <v>1.6181272791589674E-3</v>
      </c>
      <c r="BX10" s="40">
        <f>IFERROR((s_C*s_EF_far*(1/365)*1*s_RadSpec!R10*((s_ET_far_o*(1/24)*s_RadSpec!W10)+(s_ET_far_i*(1/24)*s_RadSpec!AB10))),".")</f>
        <v>2.4118777146675579E-2</v>
      </c>
      <c r="BY10" s="40">
        <f>s_b2s!CC10</f>
        <v>835.88312500000006</v>
      </c>
      <c r="BZ10" s="40">
        <f>IFERROR(((s_C*s_RadSpec!AJ10)/s_RadSpec!AU10)*s_IFFI_far_adj*s_CF_far_fish,0)</f>
        <v>1890625</v>
      </c>
      <c r="CA10" s="40">
        <f>IFERROR(((s_C*s_RadSpec!AK10)/s_RadSpec!AU10)*s_IFSF_far_adj*s_CF_far_shellfish,0)</f>
        <v>17393.75</v>
      </c>
      <c r="CB10" s="40">
        <f>(s_C*s_IFB_far_adj*s_CF_far_beef*s_RadSpec!AI10*((s_Q_p_beef*s_f_p_beef*s_f_s_beef*(s_RadSpec!$AT10+s_R_es_past))+(s_Q_s_beef*s_f_p_beef)))</f>
        <v>15251.041666666661</v>
      </c>
      <c r="CC10" s="40">
        <f>(s_C*s_IFD_far_adj*s_CF_far_dairy*s_RadSpec!AH10*1/s_D_milk*((s_Q_p_dairy*s_f_p_dairy*s_f_s_dairy*(s_RadSpec!$AT10+s_R_es_past))+(s_Q_s_dairy*s_f_p_dairy)))</f>
        <v>3095.9749190938496</v>
      </c>
      <c r="CD10" s="40">
        <f>IFERROR((s_C*s_IFSW_far_adj*s_CF_far_swine*s_RadSpec!AN10*((s_Q_p_swine*s_f_p_swine*s_f_s_swine*(s_RadSpec!$AT10+s_R_es_past))+(s_Q_s_swine*s_f_p_swine))),0)</f>
        <v>138645.83333333328</v>
      </c>
      <c r="CE10" s="40">
        <f>IFERROR((s_C*s_IFP_far_adj*s_CF_far_poultry*s_RadSpec!AL10*((s_Q_p_poultry*s_f_p_poultry*s_f_s_poultry*(s_RadSpec!AT10+s_R_es_past))+(s_Q_s_poultry*s_f_p_poultry))),0)</f>
        <v>1871718.7499999993</v>
      </c>
      <c r="CF10" s="40">
        <f>IFERROR((s_C*s_IFE_far_adj*s_CF_far_egg*s_RadSpec!AM10*((s_Q_p_egg*s_f_p_egg*s_f_s_egg*(s_RadSpec!$AT10+s_R_es_past))+(s_Q_s_egg*s_f_p_egg))),0)</f>
        <v>277291.66666666657</v>
      </c>
      <c r="CG10" s="40">
        <f>IFERROR((s_C*s_IFGO_far_adj*s_CF_far_goat*s_RadSpec!AQ10*((s_Q_p_goat*s_f_p_goat*s_f_s_goat*(s_RadSpec!$AT10+s_R_es_past))+(s_Q_s_goat*s_f_p_goat))),0)</f>
        <v>221833.33333333326</v>
      </c>
      <c r="CH10" s="40">
        <f>IFERROR((s_C*s_IFGM_far_adj*s_CF_far_goat_milk*s_RadSpec!AR10*1/s_D_milk*((s_Q_p_goat_milk*s_f_p_goat_milk*s_f_s_goat_milk*(s_RadSpec!$AT10+s_R_es_past))+(s_Q_s_goat_milk*s_f_p_goat_milk))),0)</f>
        <v>74034.182847896416</v>
      </c>
      <c r="CI10" s="40">
        <f>IFERROR((s_C*s_IFSH_far_adj*s_CF_far_sheep*s_RadSpec!AO10*((s_Q_p_sheep*s_f_p_sheep*s_f_s_sheep*(s_RadSpec!$AT10+s_R_es_past))+(s_Q_s_sheep*s_f_p_sheep))),0)</f>
        <v>131713.5416666666</v>
      </c>
      <c r="CJ10" s="40">
        <f>IFERROR((s_C*s_IFSM_far_adj*s_CF_far_sheep_milk*s_RadSpec!AP10*1/s_D_milk*((s_Q_p_sheep_milk*s_f_p_sheep_milk*s_f_s_sheep_milk*(s_RadSpec!$AT10+s_R_es_past))+(s_Q_s_sheep_milk*s_f_p_sheep_milk))),0)</f>
        <v>39036.205501618104</v>
      </c>
      <c r="CK10" s="18"/>
      <c r="CL10" s="15">
        <f>IFERROR(s_DL/(s_RadSpec!I10*s_IFW_far_adj),".")</f>
        <v>369.47405368457999</v>
      </c>
      <c r="CM10" s="15" t="str">
        <f>IFERROR(IF(AND(s_RadSpec!C10=1,s_RadSpec!D10&lt;&gt;0),s_DL/(s_RadSpec!H10*s_IFA_far_adj*s_K*s_RadSpec!D10),"."),".")</f>
        <v>.</v>
      </c>
      <c r="CN10" s="15">
        <f>IFERROR((s_DL/(s_RadSpec!M10*(1/8760)*s_DFA_far_adj)),".")</f>
        <v>16238893.720070997</v>
      </c>
      <c r="CO10" s="15">
        <f>s_b2w!BC10</f>
        <v>1157.8309362686086</v>
      </c>
      <c r="CP10" s="15">
        <f>IFERROR(J10/(s_RadSpec!AJ10*(1/1000)),".")</f>
        <v>26.870840267969452</v>
      </c>
      <c r="CQ10" s="15">
        <f>IFERROR(K10/(s_RadSpec!AK10*(1/1000)),".")</f>
        <v>2920.7435073879842</v>
      </c>
      <c r="CR10" s="15">
        <f>IFERROR(G10/(s_RadSpec!AI10*s_Q_w_beef*(1/1000)),".")</f>
        <v>610700.915181124</v>
      </c>
      <c r="CS10" s="15">
        <f>IFERROR((H10*s_D_milk)/(s_RadSpec!AH10*s_Q_w_dairy*(1/1000)),".")</f>
        <v>3008365.8126096237</v>
      </c>
      <c r="CT10" s="15">
        <f>IFERROR(I10/(s_RadSpec!AN10*s_Q_w_swine*(1/1000)),".")</f>
        <v>67177.100669923631</v>
      </c>
      <c r="CU10" s="15">
        <f>IFERROR(E10/(s_RadSpec!AL10*s_Q_w_poultry*(1/1000)),".")</f>
        <v>4976.0815311054539</v>
      </c>
      <c r="CV10" s="15">
        <f>IFERROR(F10/(s_RadSpec!AM10*s_Q_w_poultry*(1/1000)),".")</f>
        <v>33588.550334961816</v>
      </c>
      <c r="CW10" s="15">
        <f>IFERROR(L10/(s_RadSpec!AQ10*s_Q_w_goat*(1/1000)),".")</f>
        <v>41985.687918702271</v>
      </c>
      <c r="CX10" s="15">
        <f>IFERROR(N10*s_D_milk/(s_RadSpec!AR10*s_Q_w_goat_milk*(1/1000)),".")</f>
        <v>125804.38852731152</v>
      </c>
      <c r="CY10" s="15">
        <f>IFERROR(M10/(s_RadSpec!AO10*s_Q_w_sheep*(1/1000)),".")</f>
        <v>70712.737547288038</v>
      </c>
      <c r="CZ10" s="15">
        <f>IFERROR(O10*s_D_milk/(s_RadSpec!AP10*s_Q_w_sheep_milk*(1/1000)),".")</f>
        <v>238594.52996559077</v>
      </c>
      <c r="DA10" s="111">
        <f t="shared" si="28"/>
        <v>2.7065500000000003E-3</v>
      </c>
      <c r="DB10" s="111" t="str">
        <f t="shared" si="29"/>
        <v>.</v>
      </c>
      <c r="DC10" s="111">
        <f t="shared" si="30"/>
        <v>6.158054958904109E-8</v>
      </c>
      <c r="DD10" s="111">
        <f t="shared" si="31"/>
        <v>8.6368395304995294E-4</v>
      </c>
      <c r="DE10" s="111">
        <f t="shared" si="32"/>
        <v>3.72150625E-2</v>
      </c>
      <c r="DF10" s="111">
        <f t="shared" si="32"/>
        <v>3.4237857499999999E-4</v>
      </c>
      <c r="DG10" s="111">
        <f t="shared" si="33"/>
        <v>1.63746275E-6</v>
      </c>
      <c r="DH10" s="111">
        <f t="shared" si="34"/>
        <v>3.3240638349514566E-7</v>
      </c>
      <c r="DI10" s="111">
        <f t="shared" si="35"/>
        <v>1.4886025000000001E-5</v>
      </c>
      <c r="DJ10" s="111">
        <f t="shared" si="36"/>
        <v>2.0096133750000002E-4</v>
      </c>
      <c r="DK10" s="111">
        <f t="shared" si="37"/>
        <v>2.9772050000000002E-5</v>
      </c>
      <c r="DL10" s="111">
        <f t="shared" si="38"/>
        <v>2.381764E-5</v>
      </c>
      <c r="DM10" s="111">
        <f t="shared" si="39"/>
        <v>7.9488483009708746E-6</v>
      </c>
      <c r="DN10" s="111">
        <f t="shared" si="40"/>
        <v>1.414172375E-5</v>
      </c>
      <c r="DO10" s="111">
        <f t="shared" si="41"/>
        <v>4.1912109223300983E-6</v>
      </c>
      <c r="DP10" s="15">
        <f t="shared" si="51"/>
        <v>24.139764225455089</v>
      </c>
      <c r="DQ10" s="189">
        <f>DP10*(0.0000000000000028)*s_RadSpec!$AY10*s_RadSpec!$AF10</f>
        <v>2.7934775497189261E-10</v>
      </c>
      <c r="DR10" s="40">
        <f t="shared" si="42"/>
        <v>1375</v>
      </c>
      <c r="DS10" s="40">
        <f>IFERROR(IF(s_RadSpec!D10&lt;&gt;"",s_C*s_IFA_far_adj*s_K*s_RadSpec!D10,0),".")</f>
        <v>0</v>
      </c>
      <c r="DT10" s="40">
        <f t="shared" si="43"/>
        <v>0.12557077625570776</v>
      </c>
      <c r="DU10" s="40">
        <f>s_b2w!CC10</f>
        <v>438.7746154490718</v>
      </c>
      <c r="DV10" s="40">
        <f>IFERROR(s_C*s_RadSpec!AJ10*(1/1000)*s_IFFI_far_adj*s_CF_far_fish,0)</f>
        <v>18906.25</v>
      </c>
      <c r="DW10" s="40">
        <f>IFERROR(s_C*s_RadSpec!AK10*(1/1000)*s_IFSF_far_adj*s_CF_far_shellfish,0)</f>
        <v>173.9375</v>
      </c>
      <c r="DX10" s="40">
        <f>(s_C*s_IFB_far_adj*s_CF_far_beef*s_RadSpec!AI10*s_Q_w_beef*(1/1000))</f>
        <v>0.83187500000000003</v>
      </c>
      <c r="DY10" s="40">
        <f>(s_C*s_IFD_far_adj*s_CF_far_dairy*s_RadSpec!AH10*(1/s_D_milk)*s_Q_w_dairy*(1/1000))</f>
        <v>0.16887135922330102</v>
      </c>
      <c r="DZ10" s="40">
        <f>IFERROR((s_C*s_IFSW_far_adj*s_CF_far_swine*s_RadSpec!AN10*s_Q_w_swine*(1/1000)),0)</f>
        <v>7.5625</v>
      </c>
      <c r="EA10" s="40">
        <f>IFERROR((s_C*s_IFP_far_adj*s_CF_far_poultry*s_RadSpec!AL10*s_Q_w_poultry*(1/1000)),0)</f>
        <v>102.09375</v>
      </c>
      <c r="EB10" s="40">
        <f>IFERROR((s_C*s_IFE_far_adj*s_CF_far_egg*s_RadSpec!AM10*s_Q_w_egg*(1/1000)),0)</f>
        <v>15.125</v>
      </c>
      <c r="EC10" s="40">
        <f>IFERROR((s_C*s_IFGO_far_adj*s_CF_far_goat*s_RadSpec!AQ10*s_Q_p_goat*(1/1000)),0)</f>
        <v>12.1</v>
      </c>
      <c r="ED10" s="40">
        <f>IFERROR((s_C*s_IFGM_far_adj*s_CF_far_goat_milk*s_RadSpec!AR10*(1/s_D_milk)*s_Q_p_goat_milk*(1/1000)),0)</f>
        <v>4.0382281553398061</v>
      </c>
      <c r="EE10" s="40">
        <f>IFERROR((s_C*s_IFSH_far_adj*s_CF_far_sheep*s_RadSpec!AO10*s_Q_p_sheep*(1/1000)),0)</f>
        <v>7.1843750000000002</v>
      </c>
      <c r="EF10" s="40">
        <f>IFERROR((s_C*s_IFSM_far_adj*s_CF_far_sheep_milk*s_RadSpec!AP10*(1/s_D_milk)*s_Q_p_sheep_milk*(1/1000)),0)</f>
        <v>2.129247572815534</v>
      </c>
      <c r="EG10" s="5"/>
      <c r="EH10" s="15">
        <f>IFERROR((s_DL/(s_RadSpec!H10*s_IFA_far_adj)),".")</f>
        <v>323.22334480607867</v>
      </c>
      <c r="EI10" s="15">
        <f>IFERROR((s_DL/(s_RadSpec!K10*s_EF_far*(1/365)*1*s_ET_far*(1/24)*s_GSF_a)),".")</f>
        <v>29022703.669914123</v>
      </c>
      <c r="EJ10" s="15">
        <f t="shared" ref="EJ10" si="54">IFERROR(IF(AND(ISNUMBER(EH10),ISNUMBER(EI10)),1/((1/EH10)+(1/EI10)),IF(AND(ISNUMBER(EH10),NOT(ISNUMBER(EI10))),1/((1/EH10)),IF(AND(NOT(ISNUMBER(EH10)),ISNUMBER(EI10)),1/((1/EI10)),IF(AND(NOT(ISNUMBER(EH10)),NOT(ISNUMBER(EI10))),".")))),".")</f>
        <v>323.21974513568551</v>
      </c>
      <c r="EK10" s="189">
        <f>EJ10*(0.0000000000000028)*s_RadSpec!$AY10*s_RadSpec!$AF10</f>
        <v>3.7403310704679783E-9</v>
      </c>
      <c r="EL10" s="40">
        <f t="shared" si="45"/>
        <v>501.30208333333326</v>
      </c>
      <c r="EM10" s="40">
        <f t="shared" si="46"/>
        <v>7.8481735159817351E-2</v>
      </c>
      <c r="EN10" s="113"/>
    </row>
    <row r="11" spans="1:144" customFormat="1" x14ac:dyDescent="0.25">
      <c r="A11" s="44" t="s">
        <v>9</v>
      </c>
      <c r="B11" s="42" t="s">
        <v>1057</v>
      </c>
      <c r="C11" s="42"/>
      <c r="D11" s="15" t="str">
        <f>s_dir!AC11</f>
        <v>.</v>
      </c>
      <c r="E11" s="15" t="str">
        <f>IFERROR(s_DL/(s_RadSpec!F11*s_IFP_far_adj*s_CF_far_poultry),".")</f>
        <v>.</v>
      </c>
      <c r="F11" s="15" t="str">
        <f>IFERROR(s_DL/(s_RadSpec!F11*s_IFE_far_adj*s_CF_far_egg),".")</f>
        <v>.</v>
      </c>
      <c r="G11" s="15" t="str">
        <f>IFERROR(s_DL/(s_RadSpec!F11*s_IFB_far_adj*s_CF_far_beef),".")</f>
        <v>.</v>
      </c>
      <c r="H11" s="15" t="str">
        <f>IFERROR(s_DL/(s_RadSpec!F11*s_IFD_far_adj*s_CF_far_dairy),".")</f>
        <v>.</v>
      </c>
      <c r="I11" s="15" t="str">
        <f>IFERROR(s_DL/(s_RadSpec!F11*s_IFSW_far_adj*s_CF_far_swine),".")</f>
        <v>.</v>
      </c>
      <c r="J11" s="15" t="str">
        <f>IFERROR(s_DL/(s_RadSpec!F11*s_IFFI_far_adj*s_CF_far_fish),".")</f>
        <v>.</v>
      </c>
      <c r="K11" s="15" t="str">
        <f>IFERROR(s_DL/(s_RadSpec!F11*s_IFSF_far_adj*s_CF_far_shellfish),".")</f>
        <v>.</v>
      </c>
      <c r="L11" s="15" t="str">
        <f>IFERROR(s_DL/(s_RadSpec!F11*s_IFGO_far_adj*s_CF_far_goat),".")</f>
        <v>.</v>
      </c>
      <c r="M11" s="15" t="str">
        <f>IFERROR(s_DL/(s_RadSpec!F11*s_IFSH_far_adj*s_CF_far_sheep),".")</f>
        <v>.</v>
      </c>
      <c r="N11" s="15" t="str">
        <f>IFERROR(s_DL/(s_RadSpec!F11*s_IFGM_far_adj*s_CF_far_goat_milk),".")</f>
        <v>.</v>
      </c>
      <c r="O11" s="15" t="str">
        <f>IFERROR(s_DL/(s_RadSpec!F11*s_IFSM_far_adj*s_CF_far_sheep_milk),".")</f>
        <v>.</v>
      </c>
      <c r="P11" s="111" t="str">
        <f t="shared" si="47"/>
        <v>.</v>
      </c>
      <c r="Q11" s="111" t="str">
        <f t="shared" si="48"/>
        <v>.</v>
      </c>
      <c r="R11" s="111" t="str">
        <f t="shared" si="48"/>
        <v>.</v>
      </c>
      <c r="S11" s="111" t="str">
        <f t="shared" si="48"/>
        <v>.</v>
      </c>
      <c r="T11" s="111" t="str">
        <f t="shared" si="48"/>
        <v>.</v>
      </c>
      <c r="U11" s="111" t="str">
        <f t="shared" si="48"/>
        <v>.</v>
      </c>
      <c r="V11" s="111" t="str">
        <f t="shared" si="48"/>
        <v>.</v>
      </c>
      <c r="W11" s="111" t="str">
        <f t="shared" si="48"/>
        <v>.</v>
      </c>
      <c r="X11" s="111" t="str">
        <f t="shared" si="0"/>
        <v>.</v>
      </c>
      <c r="Y11" s="111" t="str">
        <f t="shared" si="0"/>
        <v>.</v>
      </c>
      <c r="Z11" s="111" t="str">
        <f t="shared" si="0"/>
        <v>.</v>
      </c>
      <c r="AA11" s="111" t="str">
        <f t="shared" si="0"/>
        <v>.</v>
      </c>
      <c r="AB11" s="15" t="str">
        <f t="shared" si="49"/>
        <v>.</v>
      </c>
      <c r="AC11" s="247">
        <f>IFERROR(AB11*(0.0000000000028)*s_RadSpec!$AY11*s_RadSpec!$AF11,0)</f>
        <v>0</v>
      </c>
      <c r="AD11" s="40">
        <f>s_dir!BC11</f>
        <v>30250</v>
      </c>
      <c r="AE11" s="40">
        <f t="shared" si="1"/>
        <v>7562.5</v>
      </c>
      <c r="AF11" s="40">
        <f t="shared" si="2"/>
        <v>7562.5</v>
      </c>
      <c r="AG11" s="40">
        <f t="shared" si="3"/>
        <v>7562.5</v>
      </c>
      <c r="AH11" s="40">
        <f t="shared" si="4"/>
        <v>7562.5</v>
      </c>
      <c r="AI11" s="40">
        <f t="shared" si="5"/>
        <v>7562.5</v>
      </c>
      <c r="AJ11" s="40">
        <f t="shared" si="6"/>
        <v>7562.5</v>
      </c>
      <c r="AK11" s="40">
        <f t="shared" si="7"/>
        <v>7562.5</v>
      </c>
      <c r="AL11" s="40">
        <f t="shared" si="8"/>
        <v>7562.5</v>
      </c>
      <c r="AM11" s="40">
        <f t="shared" si="9"/>
        <v>7562.5</v>
      </c>
      <c r="AN11" s="40">
        <f t="shared" si="10"/>
        <v>7562.5</v>
      </c>
      <c r="AO11" s="40">
        <f t="shared" si="11"/>
        <v>7562.5</v>
      </c>
      <c r="AP11" s="45" t="str">
        <f>IFERROR((s_DL/(s_RadSpec!E11*s_IFS_far_adj*(1/1000)))*1,".")</f>
        <v>.</v>
      </c>
      <c r="AQ11" s="45" t="str">
        <f>IFERROR(IF(A11="H-3",(s_DL/(s_RadSpec!H11*s_IFA_far_adj*(1/17)*1000))*1,(s_DL/(s_RadSpec!H11*s_IFA_far_adj*(1/s_PEF_wind)*1000))*1),".")</f>
        <v>.</v>
      </c>
      <c r="AR11" s="45">
        <f>IFERROR((s_DL/(s_RadSpec!G11*s_EF_far*(1/365)*1*s_RadSpec!R11*((s_ET_far_o*(1/24)*s_RadSpec!W11)+(s_ET_far_i*(1/24)*s_RadSpec!AB11))))*1,".")</f>
        <v>23270.799854946821</v>
      </c>
      <c r="AS11" s="45" t="str">
        <f>s_b2s!BC11</f>
        <v>.</v>
      </c>
      <c r="AT11" s="45" t="str">
        <f>IFERROR(((J11*s_RadSpec!AU11)/s_RadSpec!AJ11)*1,".")</f>
        <v>.</v>
      </c>
      <c r="AU11" s="45" t="str">
        <f>IFERROR(((K11*s_RadSpec!AU11)/s_RadSpec!AK11)*1,".")</f>
        <v>.</v>
      </c>
      <c r="AV11" s="45" t="str">
        <f>IFERROR((G11/(s_RadSpec!AI11*((s_Q_p_beef*s_f_p_beef*s_f_s_beef*(s_RadSpec!BD11+s_R_es_past))+(s_Q_s_beef*s_f_p_beef))))*1,".")</f>
        <v>.</v>
      </c>
      <c r="AW11" s="45" t="str">
        <f>IFERROR(((H11*s_D_milk)/(s_RadSpec!AH11*((s_Q_p_dairy*s_f_p_dairy*s_f_s_dairy*(s_RadSpec!BD11+s_R_es_past))+(s_Q_s_dairy*s_f_p_dairy))))*1,".")</f>
        <v>.</v>
      </c>
      <c r="AX11" s="45" t="str">
        <f>IFERROR((I11/(s_RadSpec!AN11*((s_Q_p_swine*s_f_p_swine*s_f_s_swine*(s_RadSpec!BD11+s_R_es_past))+(s_Q_s_swine*s_f_p_swine))))*1,".")</f>
        <v>.</v>
      </c>
      <c r="AY11" s="45" t="str">
        <f>IFERROR((E11/(s_RadSpec!AL11*((s_Q_p_poultry*s_f_p_poultry*s_f_s_poultry*(s_RadSpec!BD11+s_R_es_past))+(s_Q_s_poultry*s_f_p_poultry))))*1,".")</f>
        <v>.</v>
      </c>
      <c r="AZ11" s="45" t="str">
        <f>IFERROR((F11/(s_RadSpec!AM11*((s_Q_p_poultry*s_f_p_poultry*s_f_s_poultry*(s_RadSpec!BD11+s_R_es_past))+(s_Q_s_poultry*s_f_p_poultry))))*1,".")</f>
        <v>.</v>
      </c>
      <c r="BA11" s="45" t="str">
        <f>IFERROR((L11/(s_RadSpec!AQ11*((s_Q_p_goat*s_f_p_goat*s_f_s_goat*(s_RadSpec!BD11+s_R_es_past))+(s_Q_s_goat*s_f_p_goat))))*1,".")</f>
        <v>.</v>
      </c>
      <c r="BB11" s="45" t="str">
        <f>IFERROR((N11*s_D_milk/(s_RadSpec!AR11*((s_Q_p_goat_milk*s_f_p_goat_milk*s_f_s_goat_milk*(s_RadSpec!BD11+s_R_es_past))+(s_Q_s_goat_milk*s_f_p_goat_milk))))*1,".")</f>
        <v>.</v>
      </c>
      <c r="BC11" s="45" t="str">
        <f>IFERROR((M11/(s_RadSpec!AO11*((s_Q_p_sheep*s_f_p_sheep*s_f_s_sheep*(s_RadSpec!BD11+s_R_es_past))+(s_Q_s_sheep*s_f_p_sheep))))*1,".")</f>
        <v>.</v>
      </c>
      <c r="BD11" s="45" t="str">
        <f>IFERROR((O11*s_D_milk/(s_RadSpec!AP11*((s_Q_p_sheep_milk*s_f_p_sheep_milk*s_f_s_sheep_milk*(s_RadSpec!BD11+s_R_es_past))+(s_Q_s_sheep_milk*s_f_p_sheep_milk))))*1,".")</f>
        <v>.</v>
      </c>
      <c r="BE11" s="111" t="str">
        <f t="shared" si="12"/>
        <v>.</v>
      </c>
      <c r="BF11" s="111" t="str">
        <f t="shared" si="13"/>
        <v>.</v>
      </c>
      <c r="BG11" s="111">
        <f t="shared" si="14"/>
        <v>4.297230891216761E-5</v>
      </c>
      <c r="BH11" s="111" t="str">
        <f t="shared" si="15"/>
        <v>.</v>
      </c>
      <c r="BI11" s="111" t="str">
        <f t="shared" si="16"/>
        <v>.</v>
      </c>
      <c r="BJ11" s="111" t="str">
        <f t="shared" si="16"/>
        <v>.</v>
      </c>
      <c r="BK11" s="111" t="str">
        <f t="shared" si="17"/>
        <v>.</v>
      </c>
      <c r="BL11" s="111" t="str">
        <f t="shared" si="18"/>
        <v>.</v>
      </c>
      <c r="BM11" s="111" t="str">
        <f t="shared" si="19"/>
        <v>.</v>
      </c>
      <c r="BN11" s="111" t="str">
        <f t="shared" si="20"/>
        <v>.</v>
      </c>
      <c r="BO11" s="111" t="str">
        <f t="shared" si="21"/>
        <v>.</v>
      </c>
      <c r="BP11" s="111" t="str">
        <f t="shared" si="22"/>
        <v>.</v>
      </c>
      <c r="BQ11" s="111" t="str">
        <f t="shared" si="23"/>
        <v>.</v>
      </c>
      <c r="BR11" s="111" t="str">
        <f t="shared" si="24"/>
        <v>.</v>
      </c>
      <c r="BS11" s="111" t="str">
        <f t="shared" si="25"/>
        <v>.</v>
      </c>
      <c r="BT11" s="15">
        <f t="shared" si="50"/>
        <v>23270.799854946821</v>
      </c>
      <c r="BU11" s="189">
        <f>IFERROR(BT11*(0.0000000000028)*s_RadSpec!$AY11*s_RadSpec!$AF11,0)</f>
        <v>1.3424630452089304E-10</v>
      </c>
      <c r="BV11" s="40">
        <f t="shared" si="26"/>
        <v>15.125</v>
      </c>
      <c r="BW11" s="40">
        <f t="shared" si="27"/>
        <v>1.6181272791589674E-3</v>
      </c>
      <c r="BX11" s="40">
        <f>IFERROR((s_C*s_EF_far*(1/365)*1*s_RadSpec!R11*((s_ET_far_o*(1/24)*s_RadSpec!W11)+(s_ET_far_i*(1/24)*s_RadSpec!AB11))),".")</f>
        <v>8.0660757453666389E-3</v>
      </c>
      <c r="BY11" s="40">
        <f>s_b2s!CC11</f>
        <v>1315.8749999999998</v>
      </c>
      <c r="BZ11" s="40">
        <f>IFERROR(((s_C*s_RadSpec!AJ11)/s_RadSpec!AU11)*s_IFFI_far_adj*s_CF_far_fish,0)</f>
        <v>0</v>
      </c>
      <c r="CA11" s="40">
        <f>IFERROR(((s_C*s_RadSpec!AK11)/s_RadSpec!AU11)*s_IFSF_far_adj*s_CF_far_shellfish,0)</f>
        <v>0</v>
      </c>
      <c r="CB11" s="40">
        <f>(s_C*s_IFB_far_adj*s_CF_far_beef*s_RadSpec!AI11*((s_Q_p_beef*s_f_p_beef*s_f_s_beef*(s_RadSpec!$AT11+s_R_es_past))+(s_Q_s_beef*s_f_p_beef)))</f>
        <v>22687.5</v>
      </c>
      <c r="CC11" s="40">
        <f>(s_C*s_IFD_far_adj*s_CF_far_dairy*s_RadSpec!AH11*1/s_D_milk*((s_Q_p_dairy*s_f_p_dairy*s_f_s_dairy*(s_RadSpec!$AT11+s_R_es_past))+(s_Q_s_dairy*s_f_p_dairy)))</f>
        <v>5873.7864077669901</v>
      </c>
      <c r="CD11" s="40">
        <f>IFERROR((s_C*s_IFSW_far_adj*s_CF_far_swine*s_RadSpec!AN11*((s_Q_p_swine*s_f_p_swine*s_f_s_swine*(s_RadSpec!$AT11+s_R_es_past))+(s_Q_s_swine*s_f_p_swine))),0)</f>
        <v>0</v>
      </c>
      <c r="CE11" s="40">
        <f>IFERROR((s_C*s_IFP_far_adj*s_CF_far_poultry*s_RadSpec!AL11*((s_Q_p_poultry*s_f_p_poultry*s_f_s_poultry*(s_RadSpec!AT11+s_R_es_past))+(s_Q_s_poultry*s_f_p_poultry))),0)</f>
        <v>0</v>
      </c>
      <c r="CF11" s="40">
        <f>IFERROR((s_C*s_IFE_far_adj*s_CF_far_egg*s_RadSpec!AM11*((s_Q_p_egg*s_f_p_egg*s_f_s_egg*(s_RadSpec!$AT11+s_R_es_past))+(s_Q_s_egg*s_f_p_egg))),0)</f>
        <v>0</v>
      </c>
      <c r="CG11" s="40">
        <f>IFERROR((s_C*s_IFGO_far_adj*s_CF_far_goat*s_RadSpec!AQ11*((s_Q_p_goat*s_f_p_goat*s_f_s_goat*(s_RadSpec!$AT11+s_R_es_past))+(s_Q_s_goat*s_f_p_goat))),0)</f>
        <v>0</v>
      </c>
      <c r="CH11" s="40">
        <f>IFERROR((s_C*s_IFGM_far_adj*s_CF_far_goat_milk*s_RadSpec!AR11*1/s_D_milk*((s_Q_p_goat_milk*s_f_p_goat_milk*s_f_s_goat_milk*(s_RadSpec!$AT11+s_R_es_past))+(s_Q_s_goat_milk*s_f_p_goat_milk))),0)</f>
        <v>0</v>
      </c>
      <c r="CI11" s="40">
        <f>IFERROR((s_C*s_IFSH_far_adj*s_CF_far_sheep*s_RadSpec!AO11*((s_Q_p_sheep*s_f_p_sheep*s_f_s_sheep*(s_RadSpec!$AT11+s_R_es_past))+(s_Q_s_sheep*s_f_p_sheep))),0)</f>
        <v>0</v>
      </c>
      <c r="CJ11" s="40">
        <f>IFERROR((s_C*s_IFSM_far_adj*s_CF_far_sheep_milk*s_RadSpec!AP11*1/s_D_milk*((s_Q_p_sheep_milk*s_f_p_sheep_milk*s_f_s_sheep_milk*(s_RadSpec!$AT11+s_R_es_past))+(s_Q_s_sheep_milk*s_f_p_sheep_milk))),0)</f>
        <v>0</v>
      </c>
      <c r="CK11" s="18"/>
      <c r="CL11" s="15" t="str">
        <f>IFERROR(s_DL/(s_RadSpec!I11*s_IFW_far_adj),".")</f>
        <v>.</v>
      </c>
      <c r="CM11" s="15" t="str">
        <f>IFERROR(IF(AND(s_RadSpec!C11=1,s_RadSpec!D11&lt;&gt;0),s_DL/(s_RadSpec!H11*s_IFA_far_adj*s_K*s_RadSpec!D11),"."),".")</f>
        <v>.</v>
      </c>
      <c r="CN11" s="15">
        <f>IFERROR((s_DL/(s_RadSpec!M11*(1/8760)*s_DFA_far_adj)),".")</f>
        <v>620030.4874936199</v>
      </c>
      <c r="CO11" s="15" t="str">
        <f>s_b2w!BC11</f>
        <v>.</v>
      </c>
      <c r="CP11" s="15" t="str">
        <f>IFERROR(J11/(s_RadSpec!AJ11*(1/1000)),".")</f>
        <v>.</v>
      </c>
      <c r="CQ11" s="15" t="str">
        <f>IFERROR(K11/(s_RadSpec!AK11*(1/1000)),".")</f>
        <v>.</v>
      </c>
      <c r="CR11" s="15" t="str">
        <f>IFERROR(G11/(s_RadSpec!AI11*s_Q_w_beef*(1/1000)),".")</f>
        <v>.</v>
      </c>
      <c r="CS11" s="15" t="str">
        <f>IFERROR((H11*s_D_milk)/(s_RadSpec!AH11*s_Q_w_dairy*(1/1000)),".")</f>
        <v>.</v>
      </c>
      <c r="CT11" s="15" t="str">
        <f>IFERROR(I11/(s_RadSpec!AN11*s_Q_w_swine*(1/1000)),".")</f>
        <v>.</v>
      </c>
      <c r="CU11" s="15" t="str">
        <f>IFERROR(E11/(s_RadSpec!AL11*s_Q_w_poultry*(1/1000)),".")</f>
        <v>.</v>
      </c>
      <c r="CV11" s="15" t="str">
        <f>IFERROR(F11/(s_RadSpec!AM11*s_Q_w_poultry*(1/1000)),".")</f>
        <v>.</v>
      </c>
      <c r="CW11" s="15" t="str">
        <f>IFERROR(L11/(s_RadSpec!AQ11*s_Q_w_goat*(1/1000)),".")</f>
        <v>.</v>
      </c>
      <c r="CX11" s="15" t="str">
        <f>IFERROR(N11*s_D_milk/(s_RadSpec!AR11*s_Q_w_goat_milk*(1/1000)),".")</f>
        <v>.</v>
      </c>
      <c r="CY11" s="15" t="str">
        <f>IFERROR(M11/(s_RadSpec!AO11*s_Q_w_sheep*(1/1000)),".")</f>
        <v>.</v>
      </c>
      <c r="CZ11" s="15" t="str">
        <f>IFERROR(O11*s_D_milk/(s_RadSpec!AP11*s_Q_w_sheep_milk*(1/1000)),".")</f>
        <v>.</v>
      </c>
      <c r="DA11" s="111" t="str">
        <f t="shared" si="28"/>
        <v>.</v>
      </c>
      <c r="DB11" s="111" t="str">
        <f t="shared" si="29"/>
        <v>.</v>
      </c>
      <c r="DC11" s="111">
        <f t="shared" si="30"/>
        <v>1.612823917808219E-6</v>
      </c>
      <c r="DD11" s="111" t="str">
        <f t="shared" si="31"/>
        <v>.</v>
      </c>
      <c r="DE11" s="111" t="str">
        <f t="shared" si="32"/>
        <v>.</v>
      </c>
      <c r="DF11" s="111" t="str">
        <f t="shared" si="32"/>
        <v>.</v>
      </c>
      <c r="DG11" s="111" t="str">
        <f t="shared" si="33"/>
        <v>.</v>
      </c>
      <c r="DH11" s="111" t="str">
        <f t="shared" si="34"/>
        <v>.</v>
      </c>
      <c r="DI11" s="111" t="str">
        <f t="shared" si="35"/>
        <v>.</v>
      </c>
      <c r="DJ11" s="111" t="str">
        <f t="shared" si="36"/>
        <v>.</v>
      </c>
      <c r="DK11" s="111" t="str">
        <f t="shared" si="37"/>
        <v>.</v>
      </c>
      <c r="DL11" s="111" t="str">
        <f t="shared" si="38"/>
        <v>.</v>
      </c>
      <c r="DM11" s="111" t="str">
        <f t="shared" si="39"/>
        <v>.</v>
      </c>
      <c r="DN11" s="111" t="str">
        <f t="shared" si="40"/>
        <v>.</v>
      </c>
      <c r="DO11" s="111" t="str">
        <f t="shared" si="41"/>
        <v>.</v>
      </c>
      <c r="DP11" s="15">
        <f t="shared" si="51"/>
        <v>620030.4874936199</v>
      </c>
      <c r="DQ11" s="189">
        <f>DP11*(0.0000000000000028)*s_RadSpec!$AY11*s_RadSpec!$AF11</f>
        <v>3.576877552776171E-12</v>
      </c>
      <c r="DR11" s="40">
        <f t="shared" si="42"/>
        <v>1375</v>
      </c>
      <c r="DS11" s="40">
        <f>IFERROR(IF(s_RadSpec!D11&lt;&gt;"",s_C*s_IFA_far_adj*s_K*s_RadSpec!D11,0),".")</f>
        <v>0</v>
      </c>
      <c r="DT11" s="40">
        <f t="shared" si="43"/>
        <v>0.12557077625570776</v>
      </c>
      <c r="DU11" s="40">
        <f>s_b2w!CC11</f>
        <v>534.14934881726708</v>
      </c>
      <c r="DV11" s="40">
        <f>IFERROR(s_C*s_RadSpec!AJ11*(1/1000)*s_IFFI_far_adj*s_CF_far_fish,0)</f>
        <v>0</v>
      </c>
      <c r="DW11" s="40">
        <f>IFERROR(s_C*s_RadSpec!AK11*(1/1000)*s_IFSF_far_adj*s_CF_far_shellfish,0)</f>
        <v>0</v>
      </c>
      <c r="DX11" s="40">
        <f>(s_C*s_IFB_far_adj*s_CF_far_beef*s_RadSpec!AI11*s_Q_w_beef*(1/1000))</f>
        <v>1.1343750000000001</v>
      </c>
      <c r="DY11" s="40">
        <f>(s_C*s_IFD_far_adj*s_CF_far_dairy*s_RadSpec!AH11*(1/s_D_milk)*s_Q_w_dairy*(1/1000))</f>
        <v>0.29368932038834955</v>
      </c>
      <c r="DZ11" s="40">
        <f>IFERROR((s_C*s_IFSW_far_adj*s_CF_far_swine*s_RadSpec!AN11*s_Q_w_swine*(1/1000)),0)</f>
        <v>0</v>
      </c>
      <c r="EA11" s="40">
        <f>IFERROR((s_C*s_IFP_far_adj*s_CF_far_poultry*s_RadSpec!AL11*s_Q_w_poultry*(1/1000)),0)</f>
        <v>0</v>
      </c>
      <c r="EB11" s="40">
        <f>IFERROR((s_C*s_IFE_far_adj*s_CF_far_egg*s_RadSpec!AM11*s_Q_w_egg*(1/1000)),0)</f>
        <v>0</v>
      </c>
      <c r="EC11" s="40">
        <f>IFERROR((s_C*s_IFGO_far_adj*s_CF_far_goat*s_RadSpec!AQ11*s_Q_p_goat*(1/1000)),0)</f>
        <v>0</v>
      </c>
      <c r="ED11" s="40">
        <f>IFERROR((s_C*s_IFGM_far_adj*s_CF_far_goat_milk*s_RadSpec!AR11*(1/s_D_milk)*s_Q_p_goat_milk*(1/1000)),0)</f>
        <v>0</v>
      </c>
      <c r="EE11" s="40">
        <f>IFERROR((s_C*s_IFSH_far_adj*s_CF_far_sheep*s_RadSpec!AO11*s_Q_p_sheep*(1/1000)),0)</f>
        <v>0</v>
      </c>
      <c r="EF11" s="40">
        <f>IFERROR((s_C*s_IFSM_far_adj*s_CF_far_sheep_milk*s_RadSpec!AP11*(1/s_D_milk)*s_Q_p_sheep_milk*(1/1000)),0)</f>
        <v>0</v>
      </c>
      <c r="EG11" s="5"/>
      <c r="EH11" s="15" t="str">
        <f>IFERROR((s_DL/(s_RadSpec!H11*s_IFA_far_adj)),".")</f>
        <v>.</v>
      </c>
      <c r="EI11" s="15">
        <f>IFERROR((s_DL/(s_RadSpec!K11*s_EF_far*(1/365)*1*s_ET_far*(1/24)*s_GSF_a)),".")</f>
        <v>2182507.3159775422</v>
      </c>
      <c r="EJ11" s="15">
        <f t="shared" ref="EJ11" si="55">IFERROR(IF(AND(ISNUMBER(EH11),ISNUMBER(EI11)),1/((1/EH11)+(1/EI11)),IF(AND(ISNUMBER(EH11),NOT(ISNUMBER(EI11))),1/((1/EH11)),IF(AND(NOT(ISNUMBER(EH11)),ISNUMBER(EI11)),1/((1/EI11)),IF(AND(NOT(ISNUMBER(EH11)),NOT(ISNUMBER(EI11))),".")))),".")</f>
        <v>2182507.3159775422</v>
      </c>
      <c r="EK11" s="189">
        <f>EJ11*(0.0000000000000028)*s_RadSpec!$AY11*s_RadSpec!$AF11</f>
        <v>1.2590608985772122E-11</v>
      </c>
      <c r="EL11" s="40">
        <f t="shared" si="45"/>
        <v>501.30208333333326</v>
      </c>
      <c r="EM11" s="40">
        <f t="shared" si="46"/>
        <v>7.8481735159817351E-2</v>
      </c>
      <c r="EN11" s="113"/>
    </row>
    <row r="12" spans="1:144" customFormat="1" x14ac:dyDescent="0.25">
      <c r="A12" s="44" t="s">
        <v>10</v>
      </c>
      <c r="B12" s="42" t="s">
        <v>1057</v>
      </c>
      <c r="C12" s="238"/>
      <c r="D12" s="15" t="str">
        <f>s_dir!AC12</f>
        <v>.</v>
      </c>
      <c r="E12" s="15" t="str">
        <f>IFERROR(s_DL/(s_RadSpec!F12*s_IFP_far_adj*s_CF_far_poultry),".")</f>
        <v>.</v>
      </c>
      <c r="F12" s="15" t="str">
        <f>IFERROR(s_DL/(s_RadSpec!F12*s_IFE_far_adj*s_CF_far_egg),".")</f>
        <v>.</v>
      </c>
      <c r="G12" s="15" t="str">
        <f>IFERROR(s_DL/(s_RadSpec!F12*s_IFB_far_adj*s_CF_far_beef),".")</f>
        <v>.</v>
      </c>
      <c r="H12" s="15" t="str">
        <f>IFERROR(s_DL/(s_RadSpec!F12*s_IFD_far_adj*s_CF_far_dairy),".")</f>
        <v>.</v>
      </c>
      <c r="I12" s="15" t="str">
        <f>IFERROR(s_DL/(s_RadSpec!F12*s_IFSW_far_adj*s_CF_far_swine),".")</f>
        <v>.</v>
      </c>
      <c r="J12" s="15" t="str">
        <f>IFERROR(s_DL/(s_RadSpec!F12*s_IFFI_far_adj*s_CF_far_fish),".")</f>
        <v>.</v>
      </c>
      <c r="K12" s="15" t="str">
        <f>IFERROR(s_DL/(s_RadSpec!F12*s_IFSF_far_adj*s_CF_far_shellfish),".")</f>
        <v>.</v>
      </c>
      <c r="L12" s="15" t="str">
        <f>IFERROR(s_DL/(s_RadSpec!F12*s_IFGO_far_adj*s_CF_far_goat),".")</f>
        <v>.</v>
      </c>
      <c r="M12" s="15" t="str">
        <f>IFERROR(s_DL/(s_RadSpec!F12*s_IFSH_far_adj*s_CF_far_sheep),".")</f>
        <v>.</v>
      </c>
      <c r="N12" s="15" t="str">
        <f>IFERROR(s_DL/(s_RadSpec!F12*s_IFGM_far_adj*s_CF_far_goat_milk),".")</f>
        <v>.</v>
      </c>
      <c r="O12" s="15" t="str">
        <f>IFERROR(s_DL/(s_RadSpec!F12*s_IFSM_far_adj*s_CF_far_sheep_milk),".")</f>
        <v>.</v>
      </c>
      <c r="P12" s="111" t="str">
        <f t="shared" si="47"/>
        <v>.</v>
      </c>
      <c r="Q12" s="111" t="str">
        <f t="shared" si="48"/>
        <v>.</v>
      </c>
      <c r="R12" s="111" t="str">
        <f t="shared" si="48"/>
        <v>.</v>
      </c>
      <c r="S12" s="111" t="str">
        <f t="shared" si="48"/>
        <v>.</v>
      </c>
      <c r="T12" s="111" t="str">
        <f t="shared" si="48"/>
        <v>.</v>
      </c>
      <c r="U12" s="111" t="str">
        <f t="shared" si="48"/>
        <v>.</v>
      </c>
      <c r="V12" s="111" t="str">
        <f t="shared" si="48"/>
        <v>.</v>
      </c>
      <c r="W12" s="111" t="str">
        <f t="shared" si="48"/>
        <v>.</v>
      </c>
      <c r="X12" s="111" t="str">
        <f t="shared" si="0"/>
        <v>.</v>
      </c>
      <c r="Y12" s="111" t="str">
        <f t="shared" si="0"/>
        <v>.</v>
      </c>
      <c r="Z12" s="111" t="str">
        <f t="shared" si="0"/>
        <v>.</v>
      </c>
      <c r="AA12" s="111" t="str">
        <f t="shared" si="0"/>
        <v>.</v>
      </c>
      <c r="AB12" s="15" t="str">
        <f t="shared" si="49"/>
        <v>.</v>
      </c>
      <c r="AC12" s="247">
        <f>IFERROR(AB12*(0.0000000000028)*s_RadSpec!$AY12*s_RadSpec!$AF12,0)</f>
        <v>0</v>
      </c>
      <c r="AD12" s="40">
        <f>s_dir!BC12</f>
        <v>30250</v>
      </c>
      <c r="AE12" s="40">
        <f t="shared" si="1"/>
        <v>7562.5</v>
      </c>
      <c r="AF12" s="40">
        <f t="shared" si="2"/>
        <v>7562.5</v>
      </c>
      <c r="AG12" s="40">
        <f t="shared" si="3"/>
        <v>7562.5</v>
      </c>
      <c r="AH12" s="40">
        <f t="shared" si="4"/>
        <v>7562.5</v>
      </c>
      <c r="AI12" s="40">
        <f t="shared" si="5"/>
        <v>7562.5</v>
      </c>
      <c r="AJ12" s="40">
        <f t="shared" si="6"/>
        <v>7562.5</v>
      </c>
      <c r="AK12" s="40">
        <f t="shared" si="7"/>
        <v>7562.5</v>
      </c>
      <c r="AL12" s="40">
        <f t="shared" si="8"/>
        <v>7562.5</v>
      </c>
      <c r="AM12" s="40">
        <f t="shared" si="9"/>
        <v>7562.5</v>
      </c>
      <c r="AN12" s="40">
        <f t="shared" si="10"/>
        <v>7562.5</v>
      </c>
      <c r="AO12" s="40">
        <f t="shared" si="11"/>
        <v>7562.5</v>
      </c>
      <c r="AP12" s="45" t="str">
        <f>IFERROR((s_DL/(s_RadSpec!E12*s_IFS_far_adj*(1/1000)))*1,".")</f>
        <v>.</v>
      </c>
      <c r="AQ12" s="45" t="str">
        <f>IFERROR(IF(A12="H-3",(s_DL/(s_RadSpec!H12*s_IFA_far_adj*(1/17)*1000))*1,(s_DL/(s_RadSpec!H12*s_IFA_far_adj*(1/s_PEF_wind)*1000))*1),".")</f>
        <v>.</v>
      </c>
      <c r="AR12" s="45">
        <f>IFERROR((s_DL/(s_RadSpec!G12*s_EF_far*(1/365)*1*s_RadSpec!R12*((s_ET_far_o*(1/24)*s_RadSpec!W12)+(s_ET_far_i*(1/24)*s_RadSpec!AB12))))*1,".")</f>
        <v>2423.7525487782932</v>
      </c>
      <c r="AS12" s="45" t="str">
        <f>s_b2s!BC12</f>
        <v>.</v>
      </c>
      <c r="AT12" s="45" t="str">
        <f>IFERROR(((J12*s_RadSpec!AU12)/s_RadSpec!AJ12)*1,".")</f>
        <v>.</v>
      </c>
      <c r="AU12" s="45" t="str">
        <f>IFERROR(((K12*s_RadSpec!AU12)/s_RadSpec!AK12)*1,".")</f>
        <v>.</v>
      </c>
      <c r="AV12" s="45" t="str">
        <f>IFERROR((G12/(s_RadSpec!AI12*((s_Q_p_beef*s_f_p_beef*s_f_s_beef*(s_RadSpec!BD12+s_R_es_past))+(s_Q_s_beef*s_f_p_beef))))*1,".")</f>
        <v>.</v>
      </c>
      <c r="AW12" s="45" t="str">
        <f>IFERROR(((H12*s_D_milk)/(s_RadSpec!AH12*((s_Q_p_dairy*s_f_p_dairy*s_f_s_dairy*(s_RadSpec!BD12+s_R_es_past))+(s_Q_s_dairy*s_f_p_dairy))))*1,".")</f>
        <v>.</v>
      </c>
      <c r="AX12" s="45" t="str">
        <f>IFERROR((I12/(s_RadSpec!AN12*((s_Q_p_swine*s_f_p_swine*s_f_s_swine*(s_RadSpec!BD12+s_R_es_past))+(s_Q_s_swine*s_f_p_swine))))*1,".")</f>
        <v>.</v>
      </c>
      <c r="AY12" s="45" t="str">
        <f>IFERROR((E12/(s_RadSpec!AL12*((s_Q_p_poultry*s_f_p_poultry*s_f_s_poultry*(s_RadSpec!BD12+s_R_es_past))+(s_Q_s_poultry*s_f_p_poultry))))*1,".")</f>
        <v>.</v>
      </c>
      <c r="AZ12" s="45" t="str">
        <f>IFERROR((F12/(s_RadSpec!AM12*((s_Q_p_poultry*s_f_p_poultry*s_f_s_poultry*(s_RadSpec!BD12+s_R_es_past))+(s_Q_s_poultry*s_f_p_poultry))))*1,".")</f>
        <v>.</v>
      </c>
      <c r="BA12" s="45" t="str">
        <f>IFERROR((L12/(s_RadSpec!AQ12*((s_Q_p_goat*s_f_p_goat*s_f_s_goat*(s_RadSpec!BD12+s_R_es_past))+(s_Q_s_goat*s_f_p_goat))))*1,".")</f>
        <v>.</v>
      </c>
      <c r="BB12" s="45" t="str">
        <f>IFERROR((N12*s_D_milk/(s_RadSpec!AR12*((s_Q_p_goat_milk*s_f_p_goat_milk*s_f_s_goat_milk*(s_RadSpec!BD12+s_R_es_past))+(s_Q_s_goat_milk*s_f_p_goat_milk))))*1,".")</f>
        <v>.</v>
      </c>
      <c r="BC12" s="45" t="str">
        <f>IFERROR((M12/(s_RadSpec!AO12*((s_Q_p_sheep*s_f_p_sheep*s_f_s_sheep*(s_RadSpec!BD12+s_R_es_past))+(s_Q_s_sheep*s_f_p_sheep))))*1,".")</f>
        <v>.</v>
      </c>
      <c r="BD12" s="45" t="str">
        <f>IFERROR((O12*s_D_milk/(s_RadSpec!AP12*((s_Q_p_sheep_milk*s_f_p_sheep_milk*s_f_s_sheep_milk*(s_RadSpec!BD12+s_R_es_past))+(s_Q_s_sheep_milk*s_f_p_sheep_milk))))*1,".")</f>
        <v>.</v>
      </c>
      <c r="BE12" s="111" t="str">
        <f t="shared" si="12"/>
        <v>.</v>
      </c>
      <c r="BF12" s="111" t="str">
        <f t="shared" si="13"/>
        <v>.</v>
      </c>
      <c r="BG12" s="111">
        <f t="shared" si="14"/>
        <v>4.1258337221927044E-4</v>
      </c>
      <c r="BH12" s="111" t="str">
        <f t="shared" si="15"/>
        <v>.</v>
      </c>
      <c r="BI12" s="111" t="str">
        <f t="shared" si="16"/>
        <v>.</v>
      </c>
      <c r="BJ12" s="111" t="str">
        <f t="shared" si="16"/>
        <v>.</v>
      </c>
      <c r="BK12" s="111" t="str">
        <f t="shared" si="17"/>
        <v>.</v>
      </c>
      <c r="BL12" s="111" t="str">
        <f t="shared" si="18"/>
        <v>.</v>
      </c>
      <c r="BM12" s="111" t="str">
        <f t="shared" si="19"/>
        <v>.</v>
      </c>
      <c r="BN12" s="111" t="str">
        <f t="shared" si="20"/>
        <v>.</v>
      </c>
      <c r="BO12" s="111" t="str">
        <f t="shared" si="21"/>
        <v>.</v>
      </c>
      <c r="BP12" s="111" t="str">
        <f t="shared" si="22"/>
        <v>.</v>
      </c>
      <c r="BQ12" s="111" t="str">
        <f t="shared" si="23"/>
        <v>.</v>
      </c>
      <c r="BR12" s="111" t="str">
        <f t="shared" si="24"/>
        <v>.</v>
      </c>
      <c r="BS12" s="111" t="str">
        <f t="shared" si="25"/>
        <v>.</v>
      </c>
      <c r="BT12" s="15">
        <f t="shared" si="50"/>
        <v>2423.7525487782932</v>
      </c>
      <c r="BU12" s="189">
        <f>IFERROR(BT12*(0.0000000000028)*s_RadSpec!$AY12*s_RadSpec!$AF12,0)</f>
        <v>2.1677828827250509E-11</v>
      </c>
      <c r="BV12" s="40">
        <f t="shared" si="26"/>
        <v>15.125</v>
      </c>
      <c r="BW12" s="40">
        <f t="shared" si="27"/>
        <v>1.6181272791589674E-3</v>
      </c>
      <c r="BX12" s="40">
        <f>IFERROR((s_C*s_EF_far*(1/365)*1*s_RadSpec!R12*((s_ET_far_o*(1/24)*s_RadSpec!W12)+(s_ET_far_i*(1/24)*s_RadSpec!AB12))),".")</f>
        <v>1.6834530712190165E-2</v>
      </c>
      <c r="BY12" s="40">
        <f>s_b2s!CC12</f>
        <v>9483.375</v>
      </c>
      <c r="BZ12" s="40">
        <f>IFERROR(((s_C*s_RadSpec!AJ12)/s_RadSpec!AU12)*s_IFFI_far_adj*s_CF_far_fish,0)</f>
        <v>7322.4206349206343</v>
      </c>
      <c r="CA12" s="40">
        <f>IFERROR(((s_C*s_RadSpec!AK12)/s_RadSpec!AU12)*s_IFSF_far_adj*s_CF_far_shellfish,0)</f>
        <v>900.29761904761904</v>
      </c>
      <c r="CB12" s="40">
        <f>(s_C*s_IFB_far_adj*s_CF_far_beef*s_RadSpec!AI12*((s_Q_p_beef*s_f_p_beef*s_f_s_beef*(s_RadSpec!$AT12+s_R_es_past))+(s_Q_s_beef*s_f_p_beef)))</f>
        <v>16070.3125</v>
      </c>
      <c r="CC12" s="40">
        <f>(s_C*s_IFD_far_adj*s_CF_far_dairy*s_RadSpec!AH12*1/s_D_milk*((s_Q_p_dairy*s_f_p_dairy*s_f_s_dairy*(s_RadSpec!$AT12+s_R_es_past))+(s_Q_s_dairy*s_f_p_dairy)))</f>
        <v>780.11225728155341</v>
      </c>
      <c r="CD12" s="40">
        <f>IFERROR((s_C*s_IFSW_far_adj*s_CF_far_swine*s_RadSpec!AN12*((s_Q_p_swine*s_f_p_swine*s_f_s_swine*(s_RadSpec!$AT12+s_R_es_past))+(s_Q_s_swine*s_f_p_swine))),0)</f>
        <v>0</v>
      </c>
      <c r="CE12" s="40">
        <f>IFERROR((s_C*s_IFP_far_adj*s_CF_far_poultry*s_RadSpec!AL12*((s_Q_p_poultry*s_f_p_poultry*s_f_s_poultry*(s_RadSpec!AT12+s_R_es_past))+(s_Q_s_poultry*s_f_p_poultry))),0)</f>
        <v>48210.9375</v>
      </c>
      <c r="CF12" s="40">
        <f>IFERROR((s_C*s_IFE_far_adj*s_CF_far_egg*s_RadSpec!AM12*((s_Q_p_egg*s_f_p_egg*s_f_s_egg*(s_RadSpec!$AT12+s_R_es_past))+(s_Q_s_egg*s_f_p_egg))),0)</f>
        <v>0</v>
      </c>
      <c r="CG12" s="40">
        <f>IFERROR((s_C*s_IFGO_far_adj*s_CF_far_goat*s_RadSpec!AQ12*((s_Q_p_goat*s_f_p_goat*s_f_s_goat*(s_RadSpec!$AT12+s_R_es_past))+(s_Q_s_goat*s_f_p_goat))),0)</f>
        <v>0</v>
      </c>
      <c r="CH12" s="40">
        <f>IFERROR((s_C*s_IFGM_far_adj*s_CF_far_goat_milk*s_RadSpec!AR12*1/s_D_milk*((s_Q_p_goat_milk*s_f_p_goat_milk*s_f_s_goat_milk*(s_RadSpec!$AT12+s_R_es_past))+(s_Q_s_goat_milk*s_f_p_goat_milk))),0)</f>
        <v>0</v>
      </c>
      <c r="CI12" s="40">
        <f>IFERROR((s_C*s_IFSH_far_adj*s_CF_far_sheep*s_RadSpec!AO12*((s_Q_p_sheep*s_f_p_sheep*s_f_s_sheep*(s_RadSpec!$AT12+s_R_es_past))+(s_Q_s_sheep*s_f_p_sheep))),0)</f>
        <v>0</v>
      </c>
      <c r="CJ12" s="40">
        <f>IFERROR((s_C*s_IFSM_far_adj*s_CF_far_sheep_milk*s_RadSpec!AP12*1/s_D_milk*((s_Q_p_sheep_milk*s_f_p_sheep_milk*s_f_s_sheep_milk*(s_RadSpec!$AT12+s_R_es_past))+(s_Q_s_sheep_milk*s_f_p_sheep_milk))),0)</f>
        <v>0</v>
      </c>
      <c r="CK12" s="18"/>
      <c r="CL12" s="15" t="str">
        <f>IFERROR(s_DL/(s_RadSpec!I12*s_IFW_far_adj),".")</f>
        <v>.</v>
      </c>
      <c r="CM12" s="15" t="str">
        <f>IFERROR(IF(AND(s_RadSpec!C12=1,s_RadSpec!D12&lt;&gt;0),s_DL/(s_RadSpec!H12*s_IFA_far_adj*s_K*s_RadSpec!D12),"."),".")</f>
        <v>.</v>
      </c>
      <c r="CN12" s="15">
        <f>IFERROR((s_DL/(s_RadSpec!M12*(1/8760)*s_DFA_far_adj)),".")</f>
        <v>143284.35635356759</v>
      </c>
      <c r="CO12" s="15" t="str">
        <f>s_b2w!BC12</f>
        <v>.</v>
      </c>
      <c r="CP12" s="15" t="str">
        <f>IFERROR(J12/(s_RadSpec!AJ12*(1/1000)),".")</f>
        <v>.</v>
      </c>
      <c r="CQ12" s="15" t="str">
        <f>IFERROR(K12/(s_RadSpec!AK12*(1/1000)),".")</f>
        <v>.</v>
      </c>
      <c r="CR12" s="15" t="str">
        <f>IFERROR(G12/(s_RadSpec!AI12*s_Q_w_beef*(1/1000)),".")</f>
        <v>.</v>
      </c>
      <c r="CS12" s="15" t="str">
        <f>IFERROR((H12*s_D_milk)/(s_RadSpec!AH12*s_Q_w_dairy*(1/1000)),".")</f>
        <v>.</v>
      </c>
      <c r="CT12" s="15" t="str">
        <f>IFERROR(I12/(s_RadSpec!AN12*s_Q_w_swine*(1/1000)),".")</f>
        <v>.</v>
      </c>
      <c r="CU12" s="15" t="str">
        <f>IFERROR(E12/(s_RadSpec!AL12*s_Q_w_poultry*(1/1000)),".")</f>
        <v>.</v>
      </c>
      <c r="CV12" s="15" t="str">
        <f>IFERROR(F12/(s_RadSpec!AM12*s_Q_w_poultry*(1/1000)),".")</f>
        <v>.</v>
      </c>
      <c r="CW12" s="15" t="str">
        <f>IFERROR(L12/(s_RadSpec!AQ12*s_Q_w_goat*(1/1000)),".")</f>
        <v>.</v>
      </c>
      <c r="CX12" s="15" t="str">
        <f>IFERROR(N12*s_D_milk/(s_RadSpec!AR12*s_Q_w_goat_milk*(1/1000)),".")</f>
        <v>.</v>
      </c>
      <c r="CY12" s="15" t="str">
        <f>IFERROR(M12/(s_RadSpec!AO12*s_Q_w_sheep*(1/1000)),".")</f>
        <v>.</v>
      </c>
      <c r="CZ12" s="15" t="str">
        <f>IFERROR(O12*s_D_milk/(s_RadSpec!AP12*s_Q_w_sheep_milk*(1/1000)),".")</f>
        <v>.</v>
      </c>
      <c r="DA12" s="111" t="str">
        <f t="shared" si="28"/>
        <v>.</v>
      </c>
      <c r="DB12" s="111" t="str">
        <f t="shared" si="29"/>
        <v>.</v>
      </c>
      <c r="DC12" s="111">
        <f t="shared" si="30"/>
        <v>6.9791289534246584E-6</v>
      </c>
      <c r="DD12" s="111" t="str">
        <f t="shared" si="31"/>
        <v>.</v>
      </c>
      <c r="DE12" s="111" t="str">
        <f t="shared" si="32"/>
        <v>.</v>
      </c>
      <c r="DF12" s="111" t="str">
        <f t="shared" si="32"/>
        <v>.</v>
      </c>
      <c r="DG12" s="111" t="str">
        <f t="shared" si="33"/>
        <v>.</v>
      </c>
      <c r="DH12" s="111" t="str">
        <f t="shared" si="34"/>
        <v>.</v>
      </c>
      <c r="DI12" s="111" t="str">
        <f t="shared" si="35"/>
        <v>.</v>
      </c>
      <c r="DJ12" s="111" t="str">
        <f t="shared" si="36"/>
        <v>.</v>
      </c>
      <c r="DK12" s="111" t="str">
        <f t="shared" si="37"/>
        <v>.</v>
      </c>
      <c r="DL12" s="111" t="str">
        <f t="shared" si="38"/>
        <v>.</v>
      </c>
      <c r="DM12" s="111" t="str">
        <f t="shared" si="39"/>
        <v>.</v>
      </c>
      <c r="DN12" s="111" t="str">
        <f t="shared" si="40"/>
        <v>.</v>
      </c>
      <c r="DO12" s="111" t="str">
        <f t="shared" si="41"/>
        <v>.</v>
      </c>
      <c r="DP12" s="15">
        <f t="shared" si="51"/>
        <v>143284.35635356759</v>
      </c>
      <c r="DQ12" s="189">
        <f>DP12*(0.0000000000000028)*s_RadSpec!$AY12*s_RadSpec!$AF12</f>
        <v>1.2815226340746078E-12</v>
      </c>
      <c r="DR12" s="40">
        <f t="shared" si="42"/>
        <v>1375</v>
      </c>
      <c r="DS12" s="40">
        <f>IFERROR(IF(s_RadSpec!D12&lt;&gt;"",s_C*s_IFA_far_adj*s_K*s_RadSpec!D12,0),".")</f>
        <v>0</v>
      </c>
      <c r="DT12" s="40">
        <f t="shared" si="43"/>
        <v>0.12557077625570776</v>
      </c>
      <c r="DU12" s="40">
        <f>s_b2w!CC12</f>
        <v>2157.03751704873</v>
      </c>
      <c r="DV12" s="40">
        <f>IFERROR(s_C*s_RadSpec!AJ12*(1/1000)*s_IFFI_far_adj*s_CF_far_fish,0)</f>
        <v>46131.25</v>
      </c>
      <c r="DW12" s="40">
        <f>IFERROR(s_C*s_RadSpec!AK12*(1/1000)*s_IFSF_far_adj*s_CF_far_shellfish,0)</f>
        <v>5671.875</v>
      </c>
      <c r="DX12" s="40">
        <f>(s_C*s_IFB_far_adj*s_CF_far_beef*s_RadSpec!AI12*s_Q_w_beef*(1/1000))</f>
        <v>0.37812499999999999</v>
      </c>
      <c r="DY12" s="40">
        <f>(s_C*s_IFD_far_adj*s_CF_far_dairy*s_RadSpec!AH12*(1/s_D_milk)*s_Q_w_dairy*(1/1000))</f>
        <v>1.8355582524271847E-2</v>
      </c>
      <c r="DZ12" s="40">
        <f>IFERROR((s_C*s_IFSW_far_adj*s_CF_far_swine*s_RadSpec!AN12*s_Q_w_swine*(1/1000)),0)</f>
        <v>0</v>
      </c>
      <c r="EA12" s="40">
        <f>IFERROR((s_C*s_IFP_far_adj*s_CF_far_poultry*s_RadSpec!AL12*s_Q_w_poultry*(1/1000)),0)</f>
        <v>1.1343750000000001</v>
      </c>
      <c r="EB12" s="40">
        <f>IFERROR((s_C*s_IFE_far_adj*s_CF_far_egg*s_RadSpec!AM12*s_Q_w_egg*(1/1000)),0)</f>
        <v>0</v>
      </c>
      <c r="EC12" s="40">
        <f>IFERROR((s_C*s_IFGO_far_adj*s_CF_far_goat*s_RadSpec!AQ12*s_Q_p_goat*(1/1000)),0)</f>
        <v>0</v>
      </c>
      <c r="ED12" s="40">
        <f>IFERROR((s_C*s_IFGM_far_adj*s_CF_far_goat_milk*s_RadSpec!AR12*(1/s_D_milk)*s_Q_p_goat_milk*(1/1000)),0)</f>
        <v>0</v>
      </c>
      <c r="EE12" s="40">
        <f>IFERROR((s_C*s_IFSH_far_adj*s_CF_far_sheep*s_RadSpec!AO12*s_Q_p_sheep*(1/1000)),0)</f>
        <v>0</v>
      </c>
      <c r="EF12" s="40">
        <f>IFERROR((s_C*s_IFSM_far_adj*s_CF_far_sheep_milk*s_RadSpec!AP12*(1/s_D_milk)*s_Q_p_sheep_milk*(1/1000)),0)</f>
        <v>0</v>
      </c>
      <c r="EG12" s="5"/>
      <c r="EH12" s="15" t="str">
        <f>IFERROR((s_DL/(s_RadSpec!H12*s_IFA_far_adj)),".")</f>
        <v>.</v>
      </c>
      <c r="EI12" s="15">
        <f>IFERROR((s_DL/(s_RadSpec!K12*s_EF_far*(1/365)*1*s_ET_far*(1/24)*s_GSF_a)),".")</f>
        <v>490671.60880790063</v>
      </c>
      <c r="EJ12" s="15">
        <f t="shared" ref="EJ12" si="56">IFERROR(IF(AND(ISNUMBER(EH12),ISNUMBER(EI12)),1/((1/EH12)+(1/EI12)),IF(AND(ISNUMBER(EH12),NOT(ISNUMBER(EI12))),1/((1/EH12)),IF(AND(NOT(ISNUMBER(EH12)),ISNUMBER(EI12)),1/((1/EI12)),IF(AND(NOT(ISNUMBER(EH12)),NOT(ISNUMBER(EI12))),".")))),".")</f>
        <v>490671.60880790063</v>
      </c>
      <c r="EK12" s="189">
        <f>EJ12*(0.0000000000000028)*s_RadSpec!$AY12*s_RadSpec!$AF12</f>
        <v>4.3885235526583691E-12</v>
      </c>
      <c r="EL12" s="40">
        <f t="shared" si="45"/>
        <v>501.30208333333326</v>
      </c>
      <c r="EM12" s="40">
        <f t="shared" si="46"/>
        <v>7.8481735159817351E-2</v>
      </c>
      <c r="EN12" s="113"/>
    </row>
    <row r="13" spans="1:144" customFormat="1" x14ac:dyDescent="0.25">
      <c r="A13" s="44" t="s">
        <v>11</v>
      </c>
      <c r="B13" s="42" t="s">
        <v>1057</v>
      </c>
      <c r="C13" s="42"/>
      <c r="D13" s="15">
        <f>s_dir!AC13</f>
        <v>1.7869108778199687</v>
      </c>
      <c r="E13" s="15">
        <f>IFERROR(s_DL/(s_RadSpec!F13*s_IFP_far_adj*s_CF_far_poultry),".")</f>
        <v>7.1476435112798749</v>
      </c>
      <c r="F13" s="15">
        <f>IFERROR(s_DL/(s_RadSpec!F13*s_IFE_far_adj*s_CF_far_egg),".")</f>
        <v>7.1476435112798749</v>
      </c>
      <c r="G13" s="15">
        <f>IFERROR(s_DL/(s_RadSpec!F13*s_IFB_far_adj*s_CF_far_beef),".")</f>
        <v>7.1476435112798749</v>
      </c>
      <c r="H13" s="15">
        <f>IFERROR(s_DL/(s_RadSpec!F13*s_IFD_far_adj*s_CF_far_dairy),".")</f>
        <v>7.1476435112798749</v>
      </c>
      <c r="I13" s="15">
        <f>IFERROR(s_DL/(s_RadSpec!F13*s_IFSW_far_adj*s_CF_far_swine),".")</f>
        <v>7.1476435112798749</v>
      </c>
      <c r="J13" s="15">
        <f>IFERROR(s_DL/(s_RadSpec!F13*s_IFFI_far_adj*s_CF_far_fish),".")</f>
        <v>7.1476435112798749</v>
      </c>
      <c r="K13" s="15">
        <f>IFERROR(s_DL/(s_RadSpec!F13*s_IFSF_far_adj*s_CF_far_shellfish),".")</f>
        <v>7.1476435112798749</v>
      </c>
      <c r="L13" s="15">
        <f>IFERROR(s_DL/(s_RadSpec!F13*s_IFGO_far_adj*s_CF_far_goat),".")</f>
        <v>7.1476435112798749</v>
      </c>
      <c r="M13" s="15">
        <f>IFERROR(s_DL/(s_RadSpec!F13*s_IFSH_far_adj*s_CF_far_sheep),".")</f>
        <v>7.1476435112798749</v>
      </c>
      <c r="N13" s="15">
        <f>IFERROR(s_DL/(s_RadSpec!F13*s_IFGM_far_adj*s_CF_far_goat_milk),".")</f>
        <v>7.1476435112798749</v>
      </c>
      <c r="O13" s="15">
        <f>IFERROR(s_DL/(s_RadSpec!F13*s_IFSM_far_adj*s_CF_far_sheep_milk),".")</f>
        <v>7.1476435112798749</v>
      </c>
      <c r="P13" s="111">
        <f t="shared" si="47"/>
        <v>0.13990625000000001</v>
      </c>
      <c r="Q13" s="111">
        <f t="shared" si="48"/>
        <v>0.13990625000000001</v>
      </c>
      <c r="R13" s="111">
        <f t="shared" si="48"/>
        <v>0.13990625000000001</v>
      </c>
      <c r="S13" s="111">
        <f t="shared" si="48"/>
        <v>0.13990625000000001</v>
      </c>
      <c r="T13" s="111">
        <f t="shared" si="48"/>
        <v>0.13990625000000001</v>
      </c>
      <c r="U13" s="111">
        <f t="shared" si="48"/>
        <v>0.13990625000000001</v>
      </c>
      <c r="V13" s="111">
        <f t="shared" si="48"/>
        <v>0.13990625000000001</v>
      </c>
      <c r="W13" s="111">
        <f t="shared" si="48"/>
        <v>0.13990625000000001</v>
      </c>
      <c r="X13" s="111">
        <f t="shared" si="0"/>
        <v>0.13990625000000001</v>
      </c>
      <c r="Y13" s="111">
        <f t="shared" si="0"/>
        <v>0.13990625000000001</v>
      </c>
      <c r="Z13" s="111">
        <f t="shared" si="0"/>
        <v>0.13990625000000001</v>
      </c>
      <c r="AA13" s="111">
        <f t="shared" si="0"/>
        <v>0.13990625000000001</v>
      </c>
      <c r="AB13" s="15">
        <f t="shared" si="49"/>
        <v>0.59563695927332272</v>
      </c>
      <c r="AC13" s="247">
        <f>IFERROR(AB13*(0.0000000000028)*s_RadSpec!$AY13*s_RadSpec!$AF13,0)</f>
        <v>8.4744748715657786E-4</v>
      </c>
      <c r="AD13" s="40">
        <f>s_dir!BC13</f>
        <v>30250</v>
      </c>
      <c r="AE13" s="40">
        <f t="shared" si="1"/>
        <v>7562.5</v>
      </c>
      <c r="AF13" s="40">
        <f t="shared" si="2"/>
        <v>7562.5</v>
      </c>
      <c r="AG13" s="40">
        <f t="shared" si="3"/>
        <v>7562.5</v>
      </c>
      <c r="AH13" s="40">
        <f t="shared" si="4"/>
        <v>7562.5</v>
      </c>
      <c r="AI13" s="40">
        <f t="shared" si="5"/>
        <v>7562.5</v>
      </c>
      <c r="AJ13" s="40">
        <f t="shared" si="6"/>
        <v>7562.5</v>
      </c>
      <c r="AK13" s="40">
        <f t="shared" si="7"/>
        <v>7562.5</v>
      </c>
      <c r="AL13" s="40">
        <f t="shared" si="8"/>
        <v>7562.5</v>
      </c>
      <c r="AM13" s="40">
        <f t="shared" si="9"/>
        <v>7562.5</v>
      </c>
      <c r="AN13" s="40">
        <f t="shared" si="10"/>
        <v>7562.5</v>
      </c>
      <c r="AO13" s="40">
        <f t="shared" si="11"/>
        <v>7562.5</v>
      </c>
      <c r="AP13" s="45">
        <f>IFERROR((s_DL/(s_RadSpec!E13*s_IFS_far_adj*(1/1000)))*1,".")</f>
        <v>3573.8217556399372</v>
      </c>
      <c r="AQ13" s="45">
        <f>IFERROR(IF(A13="H-3",(s_DL/(s_RadSpec!H13*s_IFA_far_adj*(1/17)*1000))*1,(s_DL/(s_RadSpec!H13*s_IFA_far_adj*(1/s_PEF_wind)*1000))*1),".")</f>
        <v>331401.95036403817</v>
      </c>
      <c r="AR13" s="45">
        <f>IFERROR((s_DL/(s_RadSpec!G13*s_EF_far*(1/365)*1*s_RadSpec!R13*((s_ET_far_o*(1/24)*s_RadSpec!W13)+(s_ET_far_i*(1/24)*s_RadSpec!AB13))))*1,".")</f>
        <v>170213.35873318999</v>
      </c>
      <c r="AS13" s="45">
        <f>s_b2s!BC13</f>
        <v>75.080288984032308</v>
      </c>
      <c r="AT13" s="45">
        <f>IFERROR(((J13*s_RadSpec!AU13)/s_RadSpec!AJ13)*1,".")</f>
        <v>4.7650956741865834E-2</v>
      </c>
      <c r="AU13" s="45">
        <f>IFERROR(((K13*s_RadSpec!AU13)/s_RadSpec!AK13)*1,".")</f>
        <v>1.5047670550062895E-4</v>
      </c>
      <c r="AV13" s="45">
        <f>IFERROR((G13/(s_RadSpec!AI13*((s_Q_p_beef*s_f_p_beef*s_f_s_beef*(s_RadSpec!BD13+s_R_es_past))+(s_Q_s_beef*s_f_p_beef))))*1,".")</f>
        <v>813.00210554842181</v>
      </c>
      <c r="AW13" s="45">
        <f>IFERROR(((H13*s_D_milk)/(s_RadSpec!AH13*((s_Q_p_dairy*s_f_p_dairy*s_f_s_dairy*(s_RadSpec!BD13+s_R_es_past))+(s_Q_s_dairy*s_f_p_dairy))))*1,".")</f>
        <v>83739.216871487457</v>
      </c>
      <c r="AX13" s="45" t="str">
        <f>IFERROR((I13/(s_RadSpec!AN13*((s_Q_p_swine*s_f_p_swine*s_f_s_swine*(s_RadSpec!BD13+s_R_es_past))+(s_Q_s_swine*s_f_p_swine))))*1,".")</f>
        <v>.</v>
      </c>
      <c r="AY13" s="45" t="str">
        <f>IFERROR((E13/(s_RadSpec!AL13*((s_Q_p_poultry*s_f_p_poultry*s_f_s_poultry*(s_RadSpec!BD13+s_R_es_past))+(s_Q_s_poultry*s_f_p_poultry))))*1,".")</f>
        <v>.</v>
      </c>
      <c r="AZ13" s="45" t="str">
        <f>IFERROR((F13/(s_RadSpec!AM13*((s_Q_p_poultry*s_f_p_poultry*s_f_s_poultry*(s_RadSpec!BD13+s_R_es_past))+(s_Q_s_poultry*s_f_p_poultry))))*1,".")</f>
        <v>.</v>
      </c>
      <c r="BA13" s="45" t="str">
        <f>IFERROR((L13/(s_RadSpec!AQ13*((s_Q_p_goat*s_f_p_goat*s_f_s_goat*(s_RadSpec!BD13+s_R_es_past))+(s_Q_s_goat*s_f_p_goat))))*1,".")</f>
        <v>.</v>
      </c>
      <c r="BB13" s="45">
        <f>IFERROR((N13*s_D_milk/(s_RadSpec!AR13*((s_Q_p_goat_milk*s_f_p_goat_milk*s_f_s_goat_milk*(s_RadSpec!BD13+s_R_es_past))+(s_Q_s_goat_milk*s_f_p_goat_milk))))*1,".")</f>
        <v>1579.9852239903291</v>
      </c>
      <c r="BC13" s="45">
        <f>IFERROR((M13/(s_RadSpec!AO13*((s_Q_p_sheep*s_f_p_sheep*s_f_s_sheep*(s_RadSpec!BD13+s_R_es_past))+(s_Q_s_sheep*s_f_p_sheep))))*1,".")</f>
        <v>203.25052638710545</v>
      </c>
      <c r="BD13" s="45" t="str">
        <f>IFERROR((O13*s_D_milk/(s_RadSpec!AP13*((s_Q_p_sheep_milk*s_f_p_sheep_milk*s_f_s_sheep_milk*(s_RadSpec!BD13+s_R_es_past))+(s_Q_s_sheep_milk*s_f_p_sheep_milk))))*1,".")</f>
        <v>.</v>
      </c>
      <c r="BE13" s="111">
        <f t="shared" si="12"/>
        <v>2.798125E-4</v>
      </c>
      <c r="BF13" s="111">
        <f t="shared" si="13"/>
        <v>3.0174837501756425E-6</v>
      </c>
      <c r="BG13" s="111">
        <f t="shared" si="14"/>
        <v>5.8749795400459926E-6</v>
      </c>
      <c r="BH13" s="111">
        <f t="shared" si="15"/>
        <v>1.3319074999999998E-2</v>
      </c>
      <c r="BI13" s="111">
        <f t="shared" si="16"/>
        <v>20.985937499999999</v>
      </c>
      <c r="BJ13" s="111">
        <f t="shared" si="16"/>
        <v>6645.546875</v>
      </c>
      <c r="BK13" s="111">
        <f t="shared" si="17"/>
        <v>1.2300091145833333E-3</v>
      </c>
      <c r="BL13" s="111">
        <f t="shared" si="18"/>
        <v>1.1941836063915856E-5</v>
      </c>
      <c r="BM13" s="111" t="str">
        <f t="shared" si="19"/>
        <v>.</v>
      </c>
      <c r="BN13" s="111" t="str">
        <f t="shared" si="20"/>
        <v>.</v>
      </c>
      <c r="BO13" s="111" t="str">
        <f t="shared" si="21"/>
        <v>.</v>
      </c>
      <c r="BP13" s="111" t="str">
        <f t="shared" si="22"/>
        <v>.</v>
      </c>
      <c r="BQ13" s="111">
        <f t="shared" si="23"/>
        <v>6.3291731138754041E-4</v>
      </c>
      <c r="BR13" s="111">
        <f t="shared" si="24"/>
        <v>4.9200364583333331E-3</v>
      </c>
      <c r="BS13" s="111" t="str">
        <f t="shared" si="25"/>
        <v>.</v>
      </c>
      <c r="BT13" s="15">
        <f t="shared" si="50"/>
        <v>1.5000255270178578E-4</v>
      </c>
      <c r="BU13" s="189">
        <f>IFERROR(BT13*(0.0000000000028)*s_RadSpec!$AY13*s_RadSpec!$AF13,0)</f>
        <v>2.1341739187790844E-7</v>
      </c>
      <c r="BV13" s="40">
        <f t="shared" si="26"/>
        <v>15.125</v>
      </c>
      <c r="BW13" s="40">
        <f t="shared" si="27"/>
        <v>1.6181272791589674E-3</v>
      </c>
      <c r="BX13" s="40">
        <f>IFERROR((s_C*s_EF_far*(1/365)*1*s_RadSpec!R13*((s_ET_far_o*(1/24)*s_RadSpec!W13)+(s_ET_far_i*(1/24)*s_RadSpec!AB13))),".")</f>
        <v>2.1901559844015586E-3</v>
      </c>
      <c r="BY13" s="40">
        <f>s_b2s!CC13</f>
        <v>719.95</v>
      </c>
      <c r="BZ13" s="40">
        <f>IFERROR(((s_C*s_RadSpec!AJ13)/s_RadSpec!AU13)*s_IFFI_far_adj*s_CF_far_fish,0)</f>
        <v>1134375</v>
      </c>
      <c r="CA13" s="40">
        <f>IFERROR(((s_C*s_RadSpec!AK13)/s_RadSpec!AU13)*s_IFSF_far_adj*s_CF_far_shellfish,0)</f>
        <v>359218750</v>
      </c>
      <c r="CB13" s="40">
        <f>(s_C*s_IFB_far_adj*s_CF_far_beef*s_RadSpec!AI13*((s_Q_p_beef*s_f_p_beef*s_f_s_beef*(s_RadSpec!$AT13+s_R_es_past))+(s_Q_s_beef*s_f_p_beef)))</f>
        <v>66.486979166666671</v>
      </c>
      <c r="CC13" s="40">
        <f>(s_C*s_IFD_far_adj*s_CF_far_dairy*s_RadSpec!AH13*1/s_D_milk*((s_Q_p_dairy*s_f_p_dairy*s_f_s_dairy*(s_RadSpec!$AT13+s_R_es_past))+(s_Q_s_dairy*s_f_p_dairy)))</f>
        <v>0.64550465210355978</v>
      </c>
      <c r="CD13" s="40">
        <f>IFERROR((s_C*s_IFSW_far_adj*s_CF_far_swine*s_RadSpec!AN13*((s_Q_p_swine*s_f_p_swine*s_f_s_swine*(s_RadSpec!$AT13+s_R_es_past))+(s_Q_s_swine*s_f_p_swine))),0)</f>
        <v>0</v>
      </c>
      <c r="CE13" s="40">
        <f>IFERROR((s_C*s_IFP_far_adj*s_CF_far_poultry*s_RadSpec!AL13*((s_Q_p_poultry*s_f_p_poultry*s_f_s_poultry*(s_RadSpec!AT13+s_R_es_past))+(s_Q_s_poultry*s_f_p_poultry))),0)</f>
        <v>0</v>
      </c>
      <c r="CF13" s="40">
        <f>IFERROR((s_C*s_IFE_far_adj*s_CF_far_egg*s_RadSpec!AM13*((s_Q_p_egg*s_f_p_egg*s_f_s_egg*(s_RadSpec!$AT13+s_R_es_past))+(s_Q_s_egg*s_f_p_egg))),0)</f>
        <v>0</v>
      </c>
      <c r="CG13" s="40">
        <f>IFERROR((s_C*s_IFGO_far_adj*s_CF_far_goat*s_RadSpec!AQ13*((s_Q_p_goat*s_f_p_goat*s_f_s_goat*(s_RadSpec!$AT13+s_R_es_past))+(s_Q_s_goat*s_f_p_goat))),0)</f>
        <v>0</v>
      </c>
      <c r="CH13" s="40">
        <f>IFERROR((s_C*s_IFGM_far_adj*s_CF_far_goat_milk*s_RadSpec!AR13*1/s_D_milk*((s_Q_p_goat_milk*s_f_p_goat_milk*s_f_s_goat_milk*(s_RadSpec!$AT13+s_R_es_past))+(s_Q_s_goat_milk*s_f_p_goat_milk))),0)</f>
        <v>34.211746561488667</v>
      </c>
      <c r="CI13" s="40">
        <f>IFERROR((s_C*s_IFSH_far_adj*s_CF_far_sheep*s_RadSpec!AO13*((s_Q_p_sheep*s_f_p_sheep*s_f_s_sheep*(s_RadSpec!$AT13+s_R_es_past))+(s_Q_s_sheep*s_f_p_sheep))),0)</f>
        <v>265.94791666666669</v>
      </c>
      <c r="CJ13" s="40">
        <f>IFERROR((s_C*s_IFSM_far_adj*s_CF_far_sheep_milk*s_RadSpec!AP13*1/s_D_milk*((s_Q_p_sheep_milk*s_f_p_sheep_milk*s_f_s_sheep_milk*(s_RadSpec!$AT13+s_R_es_past))+(s_Q_s_sheep_milk*s_f_p_sheep_milk))),0)</f>
        <v>0</v>
      </c>
      <c r="CK13" s="18"/>
      <c r="CL13" s="15">
        <f>IFERROR(s_DL/(s_RadSpec!I13*s_IFW_far_adj),".")</f>
        <v>39.31203931203931</v>
      </c>
      <c r="CM13" s="15" t="str">
        <f>IFERROR(IF(AND(s_RadSpec!C13=1,s_RadSpec!D13&lt;&gt;0),s_DL/(s_RadSpec!H13*s_IFA_far_adj*s_K*s_RadSpec!D13),"."),".")</f>
        <v>.</v>
      </c>
      <c r="CN13" s="15">
        <f>IFERROR((s_DL/(s_RadSpec!M13*(1/8760)*s_DFA_far_adj)),".")</f>
        <v>883463.12984842202</v>
      </c>
      <c r="CO13" s="15">
        <f>s_b2w!BC13</f>
        <v>130.0193234834432</v>
      </c>
      <c r="CP13" s="15">
        <f>IFERROR(J13/(s_RadSpec!AJ13*(1/1000)),".")</f>
        <v>238.25478370932916</v>
      </c>
      <c r="CQ13" s="15">
        <f>IFERROR(K13/(s_RadSpec!AK13*(1/1000)),".")</f>
        <v>0.75238352750314474</v>
      </c>
      <c r="CR13" s="15">
        <f>IFERROR(G13/(s_RadSpec!AI13*s_Q_w_beef*(1/1000)),".")</f>
        <v>14295287.022559751</v>
      </c>
      <c r="CS13" s="15">
        <f>IFERROR((H13*s_D_milk)/(s_RadSpec!AH13*s_Q_w_dairy*(1/1000)),".")</f>
        <v>1472414563.3236544</v>
      </c>
      <c r="CT13" s="15" t="str">
        <f>IFERROR(I13/(s_RadSpec!AN13*s_Q_w_swine*(1/1000)),".")</f>
        <v>.</v>
      </c>
      <c r="CU13" s="15" t="str">
        <f>IFERROR(E13/(s_RadSpec!AL13*s_Q_w_poultry*(1/1000)),".")</f>
        <v>.</v>
      </c>
      <c r="CV13" s="15" t="str">
        <f>IFERROR(F13/(s_RadSpec!AM13*s_Q_w_poultry*(1/1000)),".")</f>
        <v>.</v>
      </c>
      <c r="CW13" s="15" t="str">
        <f>IFERROR(L13/(s_RadSpec!AQ13*s_Q_w_goat*(1/1000)),".")</f>
        <v>.</v>
      </c>
      <c r="CX13" s="15">
        <f>IFERROR(N13*s_D_milk/(s_RadSpec!AR13*s_Q_w_goat_milk*(1/1000)),".")</f>
        <v>27781406.855163287</v>
      </c>
      <c r="CY13" s="15">
        <f>IFERROR(M13/(s_RadSpec!AO13*s_Q_w_sheep*(1/1000)),".")</f>
        <v>3573821.7556399377</v>
      </c>
      <c r="CZ13" s="15" t="str">
        <f>IFERROR(O13*s_D_milk/(s_RadSpec!AP13*s_Q_w_sheep_milk*(1/1000)),".")</f>
        <v>.</v>
      </c>
      <c r="DA13" s="111">
        <f t="shared" si="28"/>
        <v>2.5437500000000002E-2</v>
      </c>
      <c r="DB13" s="111" t="str">
        <f t="shared" si="29"/>
        <v>.</v>
      </c>
      <c r="DC13" s="111">
        <f t="shared" si="30"/>
        <v>1.1319091495890411E-6</v>
      </c>
      <c r="DD13" s="111">
        <f t="shared" si="31"/>
        <v>7.6911644608529369E-3</v>
      </c>
      <c r="DE13" s="111">
        <f t="shared" si="32"/>
        <v>4.1971875000000004E-3</v>
      </c>
      <c r="DF13" s="111">
        <f t="shared" si="32"/>
        <v>1.329109375</v>
      </c>
      <c r="DG13" s="111">
        <f t="shared" si="33"/>
        <v>6.9953124999999995E-8</v>
      </c>
      <c r="DH13" s="111">
        <f t="shared" si="34"/>
        <v>6.7915655339805816E-10</v>
      </c>
      <c r="DI13" s="111" t="str">
        <f t="shared" si="35"/>
        <v>.</v>
      </c>
      <c r="DJ13" s="111" t="str">
        <f t="shared" si="36"/>
        <v>.</v>
      </c>
      <c r="DK13" s="111" t="str">
        <f t="shared" si="37"/>
        <v>.</v>
      </c>
      <c r="DL13" s="111" t="str">
        <f t="shared" si="38"/>
        <v>.</v>
      </c>
      <c r="DM13" s="111">
        <f t="shared" si="39"/>
        <v>3.5995297330097089E-8</v>
      </c>
      <c r="DN13" s="111">
        <f t="shared" si="40"/>
        <v>2.7981249999999998E-7</v>
      </c>
      <c r="DO13" s="111" t="str">
        <f t="shared" si="41"/>
        <v>.</v>
      </c>
      <c r="DP13" s="15">
        <f t="shared" si="51"/>
        <v>0.73183043666838221</v>
      </c>
      <c r="DQ13" s="189">
        <f>DP13*(0.0000000000000028)*s_RadSpec!$AY13*s_RadSpec!$AF13</f>
        <v>1.0412179011456087E-6</v>
      </c>
      <c r="DR13" s="40">
        <f t="shared" si="42"/>
        <v>1375</v>
      </c>
      <c r="DS13" s="40">
        <f>IFERROR(IF(s_RadSpec!D13&lt;&gt;"",s_C*s_IFA_far_adj*s_K*s_RadSpec!D13,0),".")</f>
        <v>0</v>
      </c>
      <c r="DT13" s="40">
        <f t="shared" si="43"/>
        <v>0.12557077625570776</v>
      </c>
      <c r="DU13" s="40">
        <f>s_b2w!CC13</f>
        <v>415.73861950556409</v>
      </c>
      <c r="DV13" s="40">
        <f>IFERROR(s_C*s_RadSpec!AJ13*(1/1000)*s_IFFI_far_adj*s_CF_far_fish,0)</f>
        <v>226.875</v>
      </c>
      <c r="DW13" s="40">
        <f>IFERROR(s_C*s_RadSpec!AK13*(1/1000)*s_IFSF_far_adj*s_CF_far_shellfish,0)</f>
        <v>71843.75</v>
      </c>
      <c r="DX13" s="40">
        <f>(s_C*s_IFB_far_adj*s_CF_far_beef*s_RadSpec!AI13*s_Q_w_beef*(1/1000))</f>
        <v>3.7812500000000003E-3</v>
      </c>
      <c r="DY13" s="40">
        <f>(s_C*s_IFD_far_adj*s_CF_far_dairy*s_RadSpec!AH13*(1/s_D_milk)*s_Q_w_dairy*(1/1000))</f>
        <v>3.6711165048543688E-5</v>
      </c>
      <c r="DZ13" s="40">
        <f>IFERROR((s_C*s_IFSW_far_adj*s_CF_far_swine*s_RadSpec!AN13*s_Q_w_swine*(1/1000)),0)</f>
        <v>0</v>
      </c>
      <c r="EA13" s="40">
        <f>IFERROR((s_C*s_IFP_far_adj*s_CF_far_poultry*s_RadSpec!AL13*s_Q_w_poultry*(1/1000)),0)</f>
        <v>0</v>
      </c>
      <c r="EB13" s="40">
        <f>IFERROR((s_C*s_IFE_far_adj*s_CF_far_egg*s_RadSpec!AM13*s_Q_w_egg*(1/1000)),0)</f>
        <v>0</v>
      </c>
      <c r="EC13" s="40">
        <f>IFERROR((s_C*s_IFGO_far_adj*s_CF_far_goat*s_RadSpec!AQ13*s_Q_p_goat*(1/1000)),0)</f>
        <v>0</v>
      </c>
      <c r="ED13" s="40">
        <f>IFERROR((s_C*s_IFGM_far_adj*s_CF_far_goat_milk*s_RadSpec!AR13*(1/s_D_milk)*s_Q_p_goat_milk*(1/1000)),0)</f>
        <v>1.9456917475728155E-3</v>
      </c>
      <c r="EE13" s="40">
        <f>IFERROR((s_C*s_IFSH_far_adj*s_CF_far_sheep*s_RadSpec!AO13*s_Q_p_sheep*(1/1000)),0)</f>
        <v>1.5125000000000001E-2</v>
      </c>
      <c r="EF13" s="40">
        <f>IFERROR((s_C*s_IFSM_far_adj*s_CF_far_sheep_milk*s_RadSpec!AP13*(1/s_D_milk)*s_Q_p_sheep_milk*(1/1000)),0)</f>
        <v>0</v>
      </c>
      <c r="EG13" s="5"/>
      <c r="EH13" s="15">
        <f>IFERROR((s_DL/(s_RadSpec!H13*s_IFA_far_adj)),".")</f>
        <v>1.0697153554296412</v>
      </c>
      <c r="EI13" s="15">
        <f>IFERROR((s_DL/(s_RadSpec!K13*s_EF_far*(1/365)*1*s_ET_far*(1/24)*s_GSF_a)),".")</f>
        <v>3172249.0057813111</v>
      </c>
      <c r="EJ13" s="15">
        <f t="shared" ref="EJ13:EJ14" si="57">IFERROR(IF(AND(ISNUMBER(EH13),ISNUMBER(EI13)),1/((1/EH13)+(1/EI13)),IF(AND(ISNUMBER(EH13),NOT(ISNUMBER(EI13))),1/((1/EH13)),IF(AND(NOT(ISNUMBER(EH13)),ISNUMBER(EI13)),1/((1/EI13)),IF(AND(NOT(ISNUMBER(EH13)),NOT(ISNUMBER(EI13))),".")))),".")</f>
        <v>1.0697149947106201</v>
      </c>
      <c r="EK13" s="189">
        <f>EJ13*(0.0000000000000028)*s_RadSpec!$AY13*s_RadSpec!$AF13</f>
        <v>1.5219459943304904E-6</v>
      </c>
      <c r="EL13" s="40">
        <f t="shared" si="45"/>
        <v>501.30208333333326</v>
      </c>
      <c r="EM13" s="40">
        <f t="shared" si="46"/>
        <v>7.8481735159817351E-2</v>
      </c>
      <c r="EN13" s="113"/>
    </row>
    <row r="14" spans="1:144" customFormat="1" x14ac:dyDescent="0.25">
      <c r="A14" s="44" t="s">
        <v>12</v>
      </c>
      <c r="B14" s="42" t="s">
        <v>1057</v>
      </c>
      <c r="C14" s="42"/>
      <c r="D14" s="15">
        <f>s_dir!AC14</f>
        <v>169.21504524810311</v>
      </c>
      <c r="E14" s="15">
        <f>IFERROR(s_DL/(s_RadSpec!F14*s_IFP_far_adj*s_CF_far_poultry),".")</f>
        <v>676.86018099241244</v>
      </c>
      <c r="F14" s="15">
        <f>IFERROR(s_DL/(s_RadSpec!F14*s_IFE_far_adj*s_CF_far_egg),".")</f>
        <v>676.86018099241244</v>
      </c>
      <c r="G14" s="15">
        <f>IFERROR(s_DL/(s_RadSpec!F14*s_IFB_far_adj*s_CF_far_beef),".")</f>
        <v>676.86018099241244</v>
      </c>
      <c r="H14" s="15">
        <f>IFERROR(s_DL/(s_RadSpec!F14*s_IFD_far_adj*s_CF_far_dairy),".")</f>
        <v>676.86018099241244</v>
      </c>
      <c r="I14" s="15">
        <f>IFERROR(s_DL/(s_RadSpec!F14*s_IFSW_far_adj*s_CF_far_swine),".")</f>
        <v>676.86018099241244</v>
      </c>
      <c r="J14" s="15">
        <f>IFERROR(s_DL/(s_RadSpec!F14*s_IFFI_far_adj*s_CF_far_fish),".")</f>
        <v>676.86018099241244</v>
      </c>
      <c r="K14" s="15">
        <f>IFERROR(s_DL/(s_RadSpec!F14*s_IFSF_far_adj*s_CF_far_shellfish),".")</f>
        <v>676.86018099241244</v>
      </c>
      <c r="L14" s="15">
        <f>IFERROR(s_DL/(s_RadSpec!F14*s_IFGO_far_adj*s_CF_far_goat),".")</f>
        <v>676.86018099241244</v>
      </c>
      <c r="M14" s="15">
        <f>IFERROR(s_DL/(s_RadSpec!F14*s_IFSH_far_adj*s_CF_far_sheep),".")</f>
        <v>676.86018099241244</v>
      </c>
      <c r="N14" s="15">
        <f>IFERROR(s_DL/(s_RadSpec!F14*s_IFGM_far_adj*s_CF_far_goat_milk),".")</f>
        <v>676.86018099241244</v>
      </c>
      <c r="O14" s="15">
        <f>IFERROR(s_DL/(s_RadSpec!F14*s_IFSM_far_adj*s_CF_far_sheep_milk),".")</f>
        <v>676.86018099241244</v>
      </c>
      <c r="P14" s="111">
        <f t="shared" si="47"/>
        <v>1.47741E-3</v>
      </c>
      <c r="Q14" s="111">
        <f t="shared" si="48"/>
        <v>1.47741E-3</v>
      </c>
      <c r="R14" s="111">
        <f t="shared" si="48"/>
        <v>1.47741E-3</v>
      </c>
      <c r="S14" s="111">
        <f t="shared" si="48"/>
        <v>1.47741E-3</v>
      </c>
      <c r="T14" s="111">
        <f t="shared" si="48"/>
        <v>1.47741E-3</v>
      </c>
      <c r="U14" s="111">
        <f t="shared" si="48"/>
        <v>1.47741E-3</v>
      </c>
      <c r="V14" s="111">
        <f t="shared" si="48"/>
        <v>1.47741E-3</v>
      </c>
      <c r="W14" s="111">
        <f t="shared" si="48"/>
        <v>1.47741E-3</v>
      </c>
      <c r="X14" s="111">
        <f t="shared" si="0"/>
        <v>1.47741E-3</v>
      </c>
      <c r="Y14" s="111">
        <f t="shared" si="0"/>
        <v>1.47741E-3</v>
      </c>
      <c r="Z14" s="111">
        <f t="shared" si="0"/>
        <v>1.47741E-3</v>
      </c>
      <c r="AA14" s="111">
        <f t="shared" si="0"/>
        <v>1.47741E-3</v>
      </c>
      <c r="AB14" s="15">
        <f t="shared" si="49"/>
        <v>56.405015082701034</v>
      </c>
      <c r="AC14" s="247">
        <f>IFERROR(AB14*(0.0000000000028)*s_RadSpec!$AY14*s_RadSpec!$AF14,0)</f>
        <v>2.7187635748713516E-9</v>
      </c>
      <c r="AD14" s="40">
        <f>s_dir!BC14</f>
        <v>30250</v>
      </c>
      <c r="AE14" s="40">
        <f t="shared" si="1"/>
        <v>7562.5</v>
      </c>
      <c r="AF14" s="40">
        <f t="shared" si="2"/>
        <v>7562.5</v>
      </c>
      <c r="AG14" s="40">
        <f t="shared" si="3"/>
        <v>7562.5</v>
      </c>
      <c r="AH14" s="40">
        <f t="shared" si="4"/>
        <v>7562.5</v>
      </c>
      <c r="AI14" s="40">
        <f t="shared" si="5"/>
        <v>7562.5</v>
      </c>
      <c r="AJ14" s="40">
        <f t="shared" si="6"/>
        <v>7562.5</v>
      </c>
      <c r="AK14" s="40">
        <f t="shared" si="7"/>
        <v>7562.5</v>
      </c>
      <c r="AL14" s="40">
        <f t="shared" si="8"/>
        <v>7562.5</v>
      </c>
      <c r="AM14" s="40">
        <f t="shared" si="9"/>
        <v>7562.5</v>
      </c>
      <c r="AN14" s="40">
        <f t="shared" si="10"/>
        <v>7562.5</v>
      </c>
      <c r="AO14" s="40">
        <f t="shared" si="11"/>
        <v>7562.5</v>
      </c>
      <c r="AP14" s="45">
        <f>IFERROR((s_DL/(s_RadSpec!E14*s_IFS_far_adj*(1/1000)))*1,".")</f>
        <v>338430.09049620619</v>
      </c>
      <c r="AQ14" s="45">
        <f>IFERROR(IF(A14="H-3",(s_DL/(s_RadSpec!H14*s_IFA_far_adj*(1/17)*1000))*1,(s_DL/(s_RadSpec!H14*s_IFA_far_adj*(1/s_PEF_wind)*1000))*1),".")</f>
        <v>915715915.47957909</v>
      </c>
      <c r="AR14" s="45">
        <f>IFERROR((s_DL/(s_RadSpec!G14*s_EF_far*(1/365)*1*s_RadSpec!R14*((s_ET_far_o*(1/24)*s_RadSpec!W14)+(s_ET_far_i*(1/24)*s_RadSpec!AB14))))*1,".")</f>
        <v>1683.1477564097947</v>
      </c>
      <c r="AS14" s="45">
        <f>s_b2s!BC14</f>
        <v>7200.6402233235358</v>
      </c>
      <c r="AT14" s="45">
        <f>IFERROR(((J14*s_RadSpec!AU14)/s_RadSpec!AJ14)*1,".")</f>
        <v>135372.03619848247</v>
      </c>
      <c r="AU14" s="45" t="str">
        <f>IFERROR(((K14*s_RadSpec!AU14)/s_RadSpec!AK14)*1,".")</f>
        <v>.</v>
      </c>
      <c r="AV14" s="45">
        <f>IFERROR((G14/(s_RadSpec!AI14*((s_Q_p_beef*s_f_p_beef*s_f_s_beef*(s_RadSpec!BD14+s_R_es_past))+(s_Q_s_beef*s_f_p_beef))))*1,".")</f>
        <v>1353720.3619848248</v>
      </c>
      <c r="AW14" s="45">
        <f>IFERROR(((H14*s_D_milk)/(s_RadSpec!AH14*((s_Q_p_dairy*s_f_p_dairy*s_f_s_dairy*(s_RadSpec!BD14+s_R_es_past))+(s_Q_s_dairy*s_f_p_dairy))))*1,".")</f>
        <v>1394331.9728443695</v>
      </c>
      <c r="AX14" s="45" t="str">
        <f>IFERROR((I14/(s_RadSpec!AN14*((s_Q_p_swine*s_f_p_swine*s_f_s_swine*(s_RadSpec!BD14+s_R_es_past))+(s_Q_s_swine*s_f_p_swine))))*1,".")</f>
        <v>.</v>
      </c>
      <c r="AY14" s="45" t="str">
        <f>IFERROR((E14/(s_RadSpec!AL14*((s_Q_p_poultry*s_f_p_poultry*s_f_s_poultry*(s_RadSpec!BD14+s_R_es_past))+(s_Q_s_poultry*s_f_p_poultry))))*1,".")</f>
        <v>.</v>
      </c>
      <c r="AZ14" s="45" t="str">
        <f>IFERROR((F14/(s_RadSpec!AM14*((s_Q_p_poultry*s_f_p_poultry*s_f_s_poultry*(s_RadSpec!BD14+s_R_es_past))+(s_Q_s_poultry*s_f_p_poultry))))*1,".")</f>
        <v>.</v>
      </c>
      <c r="BA14" s="45" t="str">
        <f>IFERROR((L14/(s_RadSpec!AQ14*((s_Q_p_goat*s_f_p_goat*s_f_s_goat*(s_RadSpec!BD14+s_R_es_past))+(s_Q_s_goat*s_f_p_goat))))*1,".")</f>
        <v>.</v>
      </c>
      <c r="BB14" s="45" t="str">
        <f>IFERROR((N14*s_D_milk/(s_RadSpec!AR14*((s_Q_p_goat_milk*s_f_p_goat_milk*s_f_s_goat_milk*(s_RadSpec!BD14+s_R_es_past))+(s_Q_s_goat_milk*s_f_p_goat_milk))))*1,".")</f>
        <v>.</v>
      </c>
      <c r="BC14" s="45" t="str">
        <f>IFERROR((M14/(s_RadSpec!AO14*((s_Q_p_sheep*s_f_p_sheep*s_f_s_sheep*(s_RadSpec!BD14+s_R_es_past))+(s_Q_s_sheep*s_f_p_sheep))))*1,".")</f>
        <v>.</v>
      </c>
      <c r="BD14" s="45" t="str">
        <f>IFERROR((O14*s_D_milk/(s_RadSpec!AP14*((s_Q_p_sheep_milk*s_f_p_sheep_milk*s_f_s_sheep_milk*(s_RadSpec!BD14+s_R_es_past))+(s_Q_s_sheep_milk*s_f_p_sheep_milk))))*1,".")</f>
        <v>.</v>
      </c>
      <c r="BE14" s="111">
        <f t="shared" si="12"/>
        <v>2.9548200000000002E-6</v>
      </c>
      <c r="BF14" s="111">
        <f t="shared" si="13"/>
        <v>1.0920417381588041E-9</v>
      </c>
      <c r="BG14" s="111">
        <f t="shared" si="14"/>
        <v>5.9412490447839845E-4</v>
      </c>
      <c r="BH14" s="111">
        <f t="shared" si="15"/>
        <v>1.3887654E-4</v>
      </c>
      <c r="BI14" s="111">
        <f t="shared" si="16"/>
        <v>7.3870500000000007E-6</v>
      </c>
      <c r="BJ14" s="111" t="str">
        <f t="shared" si="16"/>
        <v>.</v>
      </c>
      <c r="BK14" s="111">
        <f t="shared" si="17"/>
        <v>7.3870500000000005E-7</v>
      </c>
      <c r="BL14" s="111">
        <f t="shared" si="18"/>
        <v>7.1718932038834957E-7</v>
      </c>
      <c r="BM14" s="111" t="str">
        <f t="shared" si="19"/>
        <v>.</v>
      </c>
      <c r="BN14" s="111" t="str">
        <f t="shared" si="20"/>
        <v>.</v>
      </c>
      <c r="BO14" s="111" t="str">
        <f t="shared" si="21"/>
        <v>.</v>
      </c>
      <c r="BP14" s="111" t="str">
        <f t="shared" si="22"/>
        <v>.</v>
      </c>
      <c r="BQ14" s="111" t="str">
        <f t="shared" si="23"/>
        <v>.</v>
      </c>
      <c r="BR14" s="111" t="str">
        <f t="shared" si="24"/>
        <v>.</v>
      </c>
      <c r="BS14" s="111" t="str">
        <f t="shared" si="25"/>
        <v>.</v>
      </c>
      <c r="BT14" s="15">
        <f t="shared" si="50"/>
        <v>1342.6417777644235</v>
      </c>
      <c r="BU14" s="189">
        <f>IFERROR(BT14*(0.0000000000028)*s_RadSpec!$AY14*s_RadSpec!$AF14,0)</f>
        <v>6.4716329818090186E-8</v>
      </c>
      <c r="BV14" s="40">
        <f t="shared" si="26"/>
        <v>15.125</v>
      </c>
      <c r="BW14" s="40">
        <f t="shared" si="27"/>
        <v>1.6181272791589674E-3</v>
      </c>
      <c r="BX14" s="40">
        <f>IFERROR((s_C*s_EF_far*(1/365)*1*s_RadSpec!R14*((s_ET_far_o*(1/24)*s_RadSpec!W14)+(s_ET_far_i*(1/24)*s_RadSpec!AB14))),".")</f>
        <v>1.4589633825079034E-2</v>
      </c>
      <c r="BY14" s="40">
        <f>s_b2s!CC14</f>
        <v>710.875</v>
      </c>
      <c r="BZ14" s="40">
        <f>IFERROR(((s_C*s_RadSpec!AJ14)/s_RadSpec!AU14)*s_IFFI_far_adj*s_CF_far_fish,0)</f>
        <v>37.8125</v>
      </c>
      <c r="CA14" s="40">
        <f>IFERROR(((s_C*s_RadSpec!AK14)/s_RadSpec!AU14)*s_IFSF_far_adj*s_CF_far_shellfish,0)</f>
        <v>0</v>
      </c>
      <c r="CB14" s="40">
        <f>(s_C*s_IFB_far_adj*s_CF_far_beef*s_RadSpec!AI14*((s_Q_p_beef*s_f_p_beef*s_f_s_beef*(s_RadSpec!$AT14+s_R_es_past))+(s_Q_s_beef*s_f_p_beef)))</f>
        <v>3.7812500000000004</v>
      </c>
      <c r="CC14" s="40">
        <f>(s_C*s_IFD_far_adj*s_CF_far_dairy*s_RadSpec!AH14*1/s_D_milk*((s_Q_p_dairy*s_f_p_dairy*s_f_s_dairy*(s_RadSpec!$AT14+s_R_es_past))+(s_Q_s_dairy*s_f_p_dairy)))</f>
        <v>3.6711165048543695</v>
      </c>
      <c r="CD14" s="40">
        <f>IFERROR((s_C*s_IFSW_far_adj*s_CF_far_swine*s_RadSpec!AN14*((s_Q_p_swine*s_f_p_swine*s_f_s_swine*(s_RadSpec!$AT14+s_R_es_past))+(s_Q_s_swine*s_f_p_swine))),0)</f>
        <v>0</v>
      </c>
      <c r="CE14" s="40">
        <f>IFERROR((s_C*s_IFP_far_adj*s_CF_far_poultry*s_RadSpec!AL14*((s_Q_p_poultry*s_f_p_poultry*s_f_s_poultry*(s_RadSpec!AT14+s_R_es_past))+(s_Q_s_poultry*s_f_p_poultry))),0)</f>
        <v>0</v>
      </c>
      <c r="CF14" s="40">
        <f>IFERROR((s_C*s_IFE_far_adj*s_CF_far_egg*s_RadSpec!AM14*((s_Q_p_egg*s_f_p_egg*s_f_s_egg*(s_RadSpec!$AT14+s_R_es_past))+(s_Q_s_egg*s_f_p_egg))),0)</f>
        <v>0</v>
      </c>
      <c r="CG14" s="40">
        <f>IFERROR((s_C*s_IFGO_far_adj*s_CF_far_goat*s_RadSpec!AQ14*((s_Q_p_goat*s_f_p_goat*s_f_s_goat*(s_RadSpec!$AT14+s_R_es_past))+(s_Q_s_goat*s_f_p_goat))),0)</f>
        <v>0</v>
      </c>
      <c r="CH14" s="40">
        <f>IFERROR((s_C*s_IFGM_far_adj*s_CF_far_goat_milk*s_RadSpec!AR14*1/s_D_milk*((s_Q_p_goat_milk*s_f_p_goat_milk*s_f_s_goat_milk*(s_RadSpec!$AT14+s_R_es_past))+(s_Q_s_goat_milk*s_f_p_goat_milk))),0)</f>
        <v>0</v>
      </c>
      <c r="CI14" s="40">
        <f>IFERROR((s_C*s_IFSH_far_adj*s_CF_far_sheep*s_RadSpec!AO14*((s_Q_p_sheep*s_f_p_sheep*s_f_s_sheep*(s_RadSpec!$AT14+s_R_es_past))+(s_Q_s_sheep*s_f_p_sheep))),0)</f>
        <v>0</v>
      </c>
      <c r="CJ14" s="40">
        <f>IFERROR((s_C*s_IFSM_far_adj*s_CF_far_sheep_milk*s_RadSpec!AP14*1/s_D_milk*((s_Q_p_sheep_milk*s_f_p_sheep_milk*s_f_s_sheep_milk*(s_RadSpec!$AT14+s_R_es_past))+(s_Q_s_sheep_milk*s_f_p_sheep_milk))),0)</f>
        <v>0</v>
      </c>
      <c r="CK14" s="18"/>
      <c r="CL14" s="15">
        <f>IFERROR(s_DL/(s_RadSpec!I14*s_IFW_far_adj),".")</f>
        <v>3722.7309954582679</v>
      </c>
      <c r="CM14" s="15" t="str">
        <f>IFERROR(IF(AND(s_RadSpec!C14=1,s_RadSpec!D14&lt;&gt;0),s_DL/(s_RadSpec!H14*s_IFA_far_adj*s_K*s_RadSpec!D14),"."),".")</f>
        <v>.</v>
      </c>
      <c r="CN14" s="15">
        <f>IFERROR((s_DL/(s_RadSpec!M14*(1/8760)*s_DFA_far_adj)),".")</f>
        <v>83994.277862436182</v>
      </c>
      <c r="CO14" s="15">
        <f>s_b2w!BC14</f>
        <v>12366.0720725506</v>
      </c>
      <c r="CP14" s="15">
        <f>IFERROR(J14/(s_RadSpec!AJ14*(1/1000)),".")</f>
        <v>67686.018099241235</v>
      </c>
      <c r="CQ14" s="15" t="str">
        <f>IFERROR(K14/(s_RadSpec!AK14*(1/1000)),".")</f>
        <v>.</v>
      </c>
      <c r="CR14" s="15">
        <f>IFERROR(G14/(s_RadSpec!AI14*s_Q_w_beef*(1/1000)),".")</f>
        <v>27074407239.696495</v>
      </c>
      <c r="CS14" s="15">
        <f>IFERROR((H14*s_D_milk)/(s_RadSpec!AH14*s_Q_w_dairy*(1/1000)),".")</f>
        <v>27886639456.88739</v>
      </c>
      <c r="CT14" s="15" t="str">
        <f>IFERROR(I14/(s_RadSpec!AN14*s_Q_w_swine*(1/1000)),".")</f>
        <v>.</v>
      </c>
      <c r="CU14" s="15" t="str">
        <f>IFERROR(E14/(s_RadSpec!AL14*s_Q_w_poultry*(1/1000)),".")</f>
        <v>.</v>
      </c>
      <c r="CV14" s="15" t="str">
        <f>IFERROR(F14/(s_RadSpec!AM14*s_Q_w_poultry*(1/1000)),".")</f>
        <v>.</v>
      </c>
      <c r="CW14" s="15" t="str">
        <f>IFERROR(L14/(s_RadSpec!AQ14*s_Q_w_goat*(1/1000)),".")</f>
        <v>.</v>
      </c>
      <c r="CX14" s="15" t="str">
        <f>IFERROR(N14*s_D_milk/(s_RadSpec!AR14*s_Q_w_goat_milk*(1/1000)),".")</f>
        <v>.</v>
      </c>
      <c r="CY14" s="15" t="str">
        <f>IFERROR(M14/(s_RadSpec!AO14*s_Q_w_sheep*(1/1000)),".")</f>
        <v>.</v>
      </c>
      <c r="CZ14" s="15" t="str">
        <f>IFERROR(O14*s_D_milk/(s_RadSpec!AP14*s_Q_w_sheep_milk*(1/1000)),".")</f>
        <v>.</v>
      </c>
      <c r="DA14" s="111">
        <f t="shared" si="28"/>
        <v>2.6862000000000001E-4</v>
      </c>
      <c r="DB14" s="111" t="str">
        <f t="shared" si="29"/>
        <v>.</v>
      </c>
      <c r="DC14" s="111">
        <f t="shared" si="30"/>
        <v>1.1905572920547946E-5</v>
      </c>
      <c r="DD14" s="111">
        <f t="shared" si="31"/>
        <v>8.0866421781556223E-5</v>
      </c>
      <c r="DE14" s="111">
        <f t="shared" si="32"/>
        <v>1.4774100000000001E-5</v>
      </c>
      <c r="DF14" s="111" t="str">
        <f t="shared" si="32"/>
        <v>.</v>
      </c>
      <c r="DG14" s="111">
        <f t="shared" si="33"/>
        <v>3.6935250000000002E-11</v>
      </c>
      <c r="DH14" s="111">
        <f t="shared" si="34"/>
        <v>3.5859466019417478E-11</v>
      </c>
      <c r="DI14" s="111" t="str">
        <f t="shared" si="35"/>
        <v>.</v>
      </c>
      <c r="DJ14" s="111" t="str">
        <f t="shared" si="36"/>
        <v>.</v>
      </c>
      <c r="DK14" s="111" t="str">
        <f t="shared" si="37"/>
        <v>.</v>
      </c>
      <c r="DL14" s="111" t="str">
        <f t="shared" si="38"/>
        <v>.</v>
      </c>
      <c r="DM14" s="111" t="str">
        <f t="shared" si="39"/>
        <v>.</v>
      </c>
      <c r="DN14" s="111" t="str">
        <f t="shared" si="40"/>
        <v>.</v>
      </c>
      <c r="DO14" s="111" t="str">
        <f t="shared" si="41"/>
        <v>.</v>
      </c>
      <c r="DP14" s="15">
        <f t="shared" si="51"/>
        <v>2658.399628691895</v>
      </c>
      <c r="DQ14" s="189">
        <f>DP14*(0.0000000000000028)*s_RadSpec!$AY14*s_RadSpec!$AF14</f>
        <v>1.2813683441697519E-10</v>
      </c>
      <c r="DR14" s="40">
        <f t="shared" si="42"/>
        <v>1375</v>
      </c>
      <c r="DS14" s="40">
        <f>IFERROR(IF(s_RadSpec!D14&lt;&gt;"",s_C*s_IFA_far_adj*s_K*s_RadSpec!D14,0),".")</f>
        <v>0</v>
      </c>
      <c r="DT14" s="40">
        <f t="shared" si="43"/>
        <v>0.12557077625570776</v>
      </c>
      <c r="DU14" s="40">
        <f>s_b2w!CC14</f>
        <v>413.93541042975136</v>
      </c>
      <c r="DV14" s="40">
        <f>IFERROR(s_C*s_RadSpec!AJ14*(1/1000)*s_IFFI_far_adj*s_CF_far_fish,0)</f>
        <v>75.625</v>
      </c>
      <c r="DW14" s="40">
        <f>IFERROR(s_C*s_RadSpec!AK14*(1/1000)*s_IFSF_far_adj*s_CF_far_shellfish,0)</f>
        <v>0</v>
      </c>
      <c r="DX14" s="40">
        <f>(s_C*s_IFB_far_adj*s_CF_far_beef*s_RadSpec!AI14*s_Q_w_beef*(1/1000))</f>
        <v>1.8906250000000002E-4</v>
      </c>
      <c r="DY14" s="40">
        <f>(s_C*s_IFD_far_adj*s_CF_far_dairy*s_RadSpec!AH14*(1/s_D_milk)*s_Q_w_dairy*(1/1000))</f>
        <v>1.8355582524271847E-4</v>
      </c>
      <c r="DZ14" s="40">
        <f>IFERROR((s_C*s_IFSW_far_adj*s_CF_far_swine*s_RadSpec!AN14*s_Q_w_swine*(1/1000)),0)</f>
        <v>0</v>
      </c>
      <c r="EA14" s="40">
        <f>IFERROR((s_C*s_IFP_far_adj*s_CF_far_poultry*s_RadSpec!AL14*s_Q_w_poultry*(1/1000)),0)</f>
        <v>0</v>
      </c>
      <c r="EB14" s="40">
        <f>IFERROR((s_C*s_IFE_far_adj*s_CF_far_egg*s_RadSpec!AM14*s_Q_w_egg*(1/1000)),0)</f>
        <v>0</v>
      </c>
      <c r="EC14" s="40">
        <f>IFERROR((s_C*s_IFGO_far_adj*s_CF_far_goat*s_RadSpec!AQ14*s_Q_p_goat*(1/1000)),0)</f>
        <v>0</v>
      </c>
      <c r="ED14" s="40">
        <f>IFERROR((s_C*s_IFGM_far_adj*s_CF_far_goat_milk*s_RadSpec!AR14*(1/s_D_milk)*s_Q_p_goat_milk*(1/1000)),0)</f>
        <v>0</v>
      </c>
      <c r="EE14" s="40">
        <f>IFERROR((s_C*s_IFSH_far_adj*s_CF_far_sheep*s_RadSpec!AO14*s_Q_p_sheep*(1/1000)),0)</f>
        <v>0</v>
      </c>
      <c r="EF14" s="40">
        <f>IFERROR((s_C*s_IFSM_far_adj*s_CF_far_sheep_milk*s_RadSpec!AP14*(1/s_D_milk)*s_Q_p_sheep_milk*(1/1000)),0)</f>
        <v>0</v>
      </c>
      <c r="EG14" s="5"/>
      <c r="EH14" s="15">
        <f>IFERROR((s_DL/(s_RadSpec!H14*s_IFA_far_adj)),".")</f>
        <v>2955.7924294766399</v>
      </c>
      <c r="EI14" s="15">
        <f>IFERROR((s_DL/(s_RadSpec!K14*s_EF_far*(1/365)*1*s_ET_far*(1/24)*s_GSF_a)),".")</f>
        <v>294297.10301746789</v>
      </c>
      <c r="EJ14" s="15">
        <f t="shared" si="57"/>
        <v>2926.4009280986129</v>
      </c>
      <c r="EK14" s="189">
        <f>EJ14*(0.0000000000000028)*s_RadSpec!$AY14*s_RadSpec!$AF14</f>
        <v>1.4105469588331564E-10</v>
      </c>
      <c r="EL14" s="40">
        <f t="shared" si="45"/>
        <v>501.30208333333326</v>
      </c>
      <c r="EM14" s="40">
        <f t="shared" si="46"/>
        <v>7.8481735159817351E-2</v>
      </c>
      <c r="EN14" s="113"/>
    </row>
    <row r="15" spans="1:144" customFormat="1" x14ac:dyDescent="0.25">
      <c r="A15" s="44" t="s">
        <v>13</v>
      </c>
      <c r="B15" s="42" t="s">
        <v>1057</v>
      </c>
      <c r="C15" s="42"/>
      <c r="D15" s="15">
        <f>s_dir!AC15</f>
        <v>2990.145377878127</v>
      </c>
      <c r="E15" s="15">
        <f>IFERROR(s_DL/(s_RadSpec!F15*s_IFP_far_adj*s_CF_far_poultry),".")</f>
        <v>11960.581511512508</v>
      </c>
      <c r="F15" s="15">
        <f>IFERROR(s_DL/(s_RadSpec!F15*s_IFE_far_adj*s_CF_far_egg),".")</f>
        <v>11960.581511512508</v>
      </c>
      <c r="G15" s="15">
        <f>IFERROR(s_DL/(s_RadSpec!F15*s_IFB_far_adj*s_CF_far_beef),".")</f>
        <v>11960.581511512508</v>
      </c>
      <c r="H15" s="15">
        <f>IFERROR(s_DL/(s_RadSpec!F15*s_IFD_far_adj*s_CF_far_dairy),".")</f>
        <v>11960.581511512508</v>
      </c>
      <c r="I15" s="15">
        <f>IFERROR(s_DL/(s_RadSpec!F15*s_IFSW_far_adj*s_CF_far_swine),".")</f>
        <v>11960.581511512508</v>
      </c>
      <c r="J15" s="15">
        <f>IFERROR(s_DL/(s_RadSpec!F15*s_IFFI_far_adj*s_CF_far_fish),".")</f>
        <v>11960.581511512508</v>
      </c>
      <c r="K15" s="15">
        <f>IFERROR(s_DL/(s_RadSpec!F15*s_IFSF_far_adj*s_CF_far_shellfish),".")</f>
        <v>11960.581511512508</v>
      </c>
      <c r="L15" s="15">
        <f>IFERROR(s_DL/(s_RadSpec!F15*s_IFGO_far_adj*s_CF_far_goat),".")</f>
        <v>11960.581511512508</v>
      </c>
      <c r="M15" s="15">
        <f>IFERROR(s_DL/(s_RadSpec!F15*s_IFSH_far_adj*s_CF_far_sheep),".")</f>
        <v>11960.581511512508</v>
      </c>
      <c r="N15" s="15">
        <f>IFERROR(s_DL/(s_RadSpec!F15*s_IFGM_far_adj*s_CF_far_goat_milk),".")</f>
        <v>11960.581511512508</v>
      </c>
      <c r="O15" s="15">
        <f>IFERROR(s_DL/(s_RadSpec!F15*s_IFSM_far_adj*s_CF_far_sheep_milk),".")</f>
        <v>11960.581511512508</v>
      </c>
      <c r="P15" s="111">
        <f t="shared" si="47"/>
        <v>8.3607975000000008E-5</v>
      </c>
      <c r="Q15" s="111">
        <f t="shared" si="48"/>
        <v>8.3607975000000008E-5</v>
      </c>
      <c r="R15" s="111">
        <f t="shared" si="48"/>
        <v>8.3607975000000008E-5</v>
      </c>
      <c r="S15" s="111">
        <f t="shared" si="48"/>
        <v>8.3607975000000008E-5</v>
      </c>
      <c r="T15" s="111">
        <f t="shared" si="48"/>
        <v>8.3607975000000008E-5</v>
      </c>
      <c r="U15" s="111">
        <f t="shared" si="48"/>
        <v>8.3607975000000008E-5</v>
      </c>
      <c r="V15" s="111">
        <f t="shared" si="48"/>
        <v>8.3607975000000008E-5</v>
      </c>
      <c r="W15" s="111">
        <f t="shared" si="48"/>
        <v>8.3607975000000008E-5</v>
      </c>
      <c r="X15" s="111">
        <f t="shared" si="0"/>
        <v>8.3607975000000008E-5</v>
      </c>
      <c r="Y15" s="111">
        <f t="shared" si="0"/>
        <v>8.3607975000000008E-5</v>
      </c>
      <c r="Z15" s="111">
        <f t="shared" si="0"/>
        <v>8.3607975000000008E-5</v>
      </c>
      <c r="AA15" s="111">
        <f t="shared" si="0"/>
        <v>8.3607975000000008E-5</v>
      </c>
      <c r="AB15" s="15">
        <f t="shared" si="49"/>
        <v>996.71512595937565</v>
      </c>
      <c r="AC15" s="247">
        <f>IFERROR(AB15*(0.0000000000028)*s_RadSpec!$AY15*s_RadSpec!$AF15,0)</f>
        <v>2.1659843962754217E-10</v>
      </c>
      <c r="AD15" s="40">
        <f>s_dir!BC15</f>
        <v>30250</v>
      </c>
      <c r="AE15" s="40">
        <f t="shared" si="1"/>
        <v>7562.5</v>
      </c>
      <c r="AF15" s="40">
        <f t="shared" si="2"/>
        <v>7562.5</v>
      </c>
      <c r="AG15" s="40">
        <f t="shared" si="3"/>
        <v>7562.5</v>
      </c>
      <c r="AH15" s="40">
        <f t="shared" si="4"/>
        <v>7562.5</v>
      </c>
      <c r="AI15" s="40">
        <f t="shared" si="5"/>
        <v>7562.5</v>
      </c>
      <c r="AJ15" s="40">
        <f t="shared" si="6"/>
        <v>7562.5</v>
      </c>
      <c r="AK15" s="40">
        <f t="shared" si="7"/>
        <v>7562.5</v>
      </c>
      <c r="AL15" s="40">
        <f t="shared" si="8"/>
        <v>7562.5</v>
      </c>
      <c r="AM15" s="40">
        <f t="shared" si="9"/>
        <v>7562.5</v>
      </c>
      <c r="AN15" s="40">
        <f t="shared" si="10"/>
        <v>7562.5</v>
      </c>
      <c r="AO15" s="40">
        <f t="shared" si="11"/>
        <v>7562.5</v>
      </c>
      <c r="AP15" s="45">
        <f>IFERROR((s_DL/(s_RadSpec!E15*s_IFS_far_adj*(1/1000)))*1,".")</f>
        <v>5980290.7557562534</v>
      </c>
      <c r="AQ15" s="45">
        <f>IFERROR(IF(A15="H-3",(s_DL/(s_RadSpec!H15*s_IFA_far_adj*(1/17)*1000))*1,(s_DL/(s_RadSpec!H15*s_IFA_far_adj*(1/s_PEF_wind)*1000))*1),".")</f>
        <v>59823274707.548439</v>
      </c>
      <c r="AR15" s="45" t="str">
        <f>IFERROR((s_DL/(s_RadSpec!G15*s_EF_far*(1/365)*1*s_RadSpec!R15*((s_ET_far_o*(1/24)*s_RadSpec!W15)+(s_ET_far_i*(1/24)*s_RadSpec!AB15))))*1,".")</f>
        <v>.</v>
      </c>
      <c r="AS15" s="45">
        <f>s_b2s!BC15</f>
        <v>132468.50716039989</v>
      </c>
      <c r="AT15" s="45">
        <f>IFERROR(((J15*s_RadSpec!AU15)/s_RadSpec!AJ15)*1,".")</f>
        <v>71763.489069075047</v>
      </c>
      <c r="AU15" s="45">
        <f>IFERROR(((K15*s_RadSpec!AU15)/s_RadSpec!AK15)*1,".")</f>
        <v>81549.419396676181</v>
      </c>
      <c r="AV15" s="45">
        <f>IFERROR((G15/(s_RadSpec!AI15*((s_Q_p_beef*s_f_p_beef*s_f_s_beef*(s_RadSpec!BD15+s_R_es_past))+(s_Q_s_beef*s_f_p_beef))))*1,".")</f>
        <v>191810.24728139862</v>
      </c>
      <c r="AW15" s="45">
        <f>IFERROR(((H15*s_D_milk)/(s_RadSpec!AH15*((s_Q_p_dairy*s_f_p_dairy*s_f_s_dairy*(s_RadSpec!BD15+s_R_es_past))+(s_Q_s_dairy*s_f_p_dairy))))*1,".")</f>
        <v>727869.41205204418</v>
      </c>
      <c r="AX15" s="45" t="str">
        <f>IFERROR((I15/(s_RadSpec!AN15*((s_Q_p_swine*s_f_p_swine*s_f_s_swine*(s_RadSpec!BD15+s_R_es_past))+(s_Q_s_swine*s_f_p_swine))))*1,".")</f>
        <v>.</v>
      </c>
      <c r="AY15" s="45" t="str">
        <f>IFERROR((E15/(s_RadSpec!AL15*((s_Q_p_poultry*s_f_p_poultry*s_f_s_poultry*(s_RadSpec!BD15+s_R_es_past))+(s_Q_s_poultry*s_f_p_poultry))))*1,".")</f>
        <v>.</v>
      </c>
      <c r="AZ15" s="45" t="str">
        <f>IFERROR((F15/(s_RadSpec!AM15*((s_Q_p_poultry*s_f_p_poultry*s_f_s_poultry*(s_RadSpec!BD15+s_R_es_past))+(s_Q_s_poultry*s_f_p_poultry))))*1,".")</f>
        <v>.</v>
      </c>
      <c r="BA15" s="45" t="str">
        <f>IFERROR((L15/(s_RadSpec!AQ15*((s_Q_p_goat*s_f_p_goat*s_f_s_goat*(s_RadSpec!BD15+s_R_es_past))+(s_Q_s_goat*s_f_p_goat))))*1,".")</f>
        <v>.</v>
      </c>
      <c r="BB15" s="45">
        <f>IFERROR((N15*s_D_milk/(s_RadSpec!AR15*((s_Q_p_goat_milk*s_f_p_goat_milk*s_f_s_goat_milk*(s_RadSpec!BD15+s_R_es_past))+(s_Q_s_goat_milk*s_f_p_goat_milk))))*1,".")</f>
        <v>23049.198048314731</v>
      </c>
      <c r="BC15" s="45">
        <f>IFERROR((M15/(s_RadSpec!AO15*((s_Q_p_sheep*s_f_p_sheep*s_f_s_sheep*(s_RadSpec!BD15+s_R_es_past))+(s_Q_s_sheep*s_f_p_sheep))))*1,".")</f>
        <v>18910.869450278737</v>
      </c>
      <c r="BD15" s="45">
        <f>IFERROR((O15*s_D_milk/(s_RadSpec!AP15*((s_Q_p_sheep_milk*s_f_p_sheep_milk*s_f_s_sheep_milk*(s_RadSpec!BD15+s_R_es_past))+(s_Q_s_sheep_milk*s_f_p_sheep_milk))))*1,".")</f>
        <v>3951.2910939968115</v>
      </c>
      <c r="BE15" s="111">
        <f t="shared" si="12"/>
        <v>1.6721595000000001E-7</v>
      </c>
      <c r="BF15" s="111">
        <f t="shared" si="13"/>
        <v>1.6715902044623797E-11</v>
      </c>
      <c r="BG15" s="111" t="str">
        <f t="shared" si="14"/>
        <v>.</v>
      </c>
      <c r="BH15" s="111">
        <f t="shared" si="15"/>
        <v>7.5489640627500014E-6</v>
      </c>
      <c r="BI15" s="111">
        <f t="shared" si="16"/>
        <v>1.39346625E-5</v>
      </c>
      <c r="BJ15" s="111">
        <f t="shared" si="16"/>
        <v>1.2262503000000001E-5</v>
      </c>
      <c r="BK15" s="111">
        <f t="shared" si="17"/>
        <v>5.2134857974137961E-6</v>
      </c>
      <c r="BL15" s="111">
        <f t="shared" si="18"/>
        <v>1.373872817626382E-6</v>
      </c>
      <c r="BM15" s="111" t="str">
        <f t="shared" si="19"/>
        <v>.</v>
      </c>
      <c r="BN15" s="111" t="str">
        <f t="shared" si="20"/>
        <v>.</v>
      </c>
      <c r="BO15" s="111" t="str">
        <f t="shared" si="21"/>
        <v>.</v>
      </c>
      <c r="BP15" s="111" t="str">
        <f t="shared" si="22"/>
        <v>.</v>
      </c>
      <c r="BQ15" s="111">
        <f t="shared" si="23"/>
        <v>4.3385457398727853E-5</v>
      </c>
      <c r="BR15" s="111">
        <f t="shared" si="24"/>
        <v>5.2879641659482797E-5</v>
      </c>
      <c r="BS15" s="111">
        <f t="shared" si="25"/>
        <v>2.5308183482591244E-4</v>
      </c>
      <c r="BT15" s="15">
        <f t="shared" si="50"/>
        <v>2565.1045680861725</v>
      </c>
      <c r="BU15" s="189">
        <f>IFERROR(BT15*(0.0000000000028)*s_RadSpec!$AY15*s_RadSpec!$AF15,0)</f>
        <v>5.5742873009392929E-10</v>
      </c>
      <c r="BV15" s="40">
        <f t="shared" si="26"/>
        <v>15.125</v>
      </c>
      <c r="BW15" s="40">
        <f t="shared" si="27"/>
        <v>1.6181272791589674E-3</v>
      </c>
      <c r="BX15" s="40">
        <f>IFERROR((s_C*s_EF_far*(1/365)*1*s_RadSpec!R15*((s_ET_far_o*(1/24)*s_RadSpec!W15)+(s_ET_far_i*(1/24)*s_RadSpec!AB15))),".")</f>
        <v>0</v>
      </c>
      <c r="BY15" s="40">
        <f>s_b2s!CC15</f>
        <v>682.81812500000001</v>
      </c>
      <c r="BZ15" s="40">
        <f>IFERROR(((s_C*s_RadSpec!AJ15)/s_RadSpec!AU15)*s_IFFI_far_adj*s_CF_far_fish,0)</f>
        <v>1260.4166666666667</v>
      </c>
      <c r="CA15" s="40">
        <f>IFERROR(((s_C*s_RadSpec!AK15)/s_RadSpec!AU15)*s_IFSF_far_adj*s_CF_far_shellfish,0)</f>
        <v>1109.1666666666665</v>
      </c>
      <c r="CB15" s="40">
        <f>(s_C*s_IFB_far_adj*s_CF_far_beef*s_RadSpec!AI15*((s_Q_p_beef*s_f_p_beef*s_f_s_beef*(s_RadSpec!$AT15+s_R_es_past))+(s_Q_s_beef*s_f_p_beef)))</f>
        <v>471.56968390804627</v>
      </c>
      <c r="CC15" s="40">
        <f>(s_C*s_IFD_far_adj*s_CF_far_dairy*s_RadSpec!AH15*1/s_D_milk*((s_Q_p_dairy*s_f_p_dairy*s_f_s_dairy*(s_RadSpec!$AT15+s_R_es_past))+(s_Q_s_dairy*s_f_p_dairy)))</f>
        <v>124.26940352639224</v>
      </c>
      <c r="CD15" s="40">
        <f>IFERROR((s_C*s_IFSW_far_adj*s_CF_far_swine*s_RadSpec!AN15*((s_Q_p_swine*s_f_p_swine*s_f_s_swine*(s_RadSpec!$AT15+s_R_es_past))+(s_Q_s_swine*s_f_p_swine))),0)</f>
        <v>0</v>
      </c>
      <c r="CE15" s="40">
        <f>IFERROR((s_C*s_IFP_far_adj*s_CF_far_poultry*s_RadSpec!AL15*((s_Q_p_poultry*s_f_p_poultry*s_f_s_poultry*(s_RadSpec!AT15+s_R_es_past))+(s_Q_s_poultry*s_f_p_poultry))),0)</f>
        <v>0</v>
      </c>
      <c r="CF15" s="40">
        <f>IFERROR((s_C*s_IFE_far_adj*s_CF_far_egg*s_RadSpec!AM15*((s_Q_p_egg*s_f_p_egg*s_f_s_egg*(s_RadSpec!$AT15+s_R_es_past))+(s_Q_s_egg*s_f_p_egg))),0)</f>
        <v>0</v>
      </c>
      <c r="CG15" s="40">
        <f>IFERROR((s_C*s_IFGO_far_adj*s_CF_far_goat*s_RadSpec!AQ15*((s_Q_p_goat*s_f_p_goat*s_f_s_goat*(s_RadSpec!$AT15+s_R_es_past))+(s_Q_s_goat*s_f_p_goat))),0)</f>
        <v>0</v>
      </c>
      <c r="CH15" s="40">
        <f>IFERROR((s_C*s_IFGM_far_adj*s_CF_far_goat_milk*s_RadSpec!AR15*1/s_D_milk*((s_Q_p_goat_milk*s_f_p_goat_milk*s_f_s_goat_milk*(s_RadSpec!$AT15+s_R_es_past))+(s_Q_s_goat_milk*s_f_p_goat_milk))),0)</f>
        <v>3924.2969534650174</v>
      </c>
      <c r="CI15" s="40">
        <f>IFERROR((s_C*s_IFSH_far_adj*s_CF_far_sheep*s_RadSpec!AO15*((s_Q_p_sheep*s_f_p_sheep*s_f_s_sheep*(s_RadSpec!$AT15+s_R_es_past))+(s_Q_s_sheep*s_f_p_sheep))),0)</f>
        <v>4783.063936781612</v>
      </c>
      <c r="CJ15" s="40">
        <f>IFERROR((s_C*s_IFSM_far_adj*s_CF_far_sheep_milk*s_RadSpec!AP15*1/s_D_milk*((s_Q_p_sheep_milk*s_f_p_sheep_milk*s_f_s_sheep_milk*(s_RadSpec!$AT15+s_R_es_past))+(s_Q_s_sheep_milk*s_f_p_sheep_milk))),0)</f>
        <v>22891.732228545934</v>
      </c>
      <c r="CK15" s="18"/>
      <c r="CL15" s="15">
        <f>IFERROR(s_DL/(s_RadSpec!I15*s_IFW_far_adj),".")</f>
        <v>65783.198313318804</v>
      </c>
      <c r="CM15" s="15" t="str">
        <f>IFERROR(IF(AND(s_RadSpec!C15=1,s_RadSpec!D15&lt;&gt;0),s_DL/(s_RadSpec!H15*s_IFA_far_adj*s_K*s_RadSpec!D15),"."),".")</f>
        <v>.</v>
      </c>
      <c r="CN15" s="15">
        <f>IFERROR((s_DL/(s_RadSpec!M15*(1/8760)*s_DFA_far_adj)),".")</f>
        <v>15223962.862566557</v>
      </c>
      <c r="CO15" s="15">
        <f>s_b2w!BC15</f>
        <v>221500.1208714174</v>
      </c>
      <c r="CP15" s="15">
        <f>IFERROR(J15/(s_RadSpec!AJ15*(1/1000)),".")</f>
        <v>478423.26046050031</v>
      </c>
      <c r="CQ15" s="15">
        <f>IFERROR(K15/(s_RadSpec!AK15*(1/1000)),".")</f>
        <v>543662.79597784125</v>
      </c>
      <c r="CR15" s="15">
        <f>IFERROR(G15/(s_RadSpec!AI15*s_Q_w_beef*(1/1000)),".")</f>
        <v>3417309003.289288</v>
      </c>
      <c r="CS15" s="15">
        <f>IFERROR((H15*s_D_milk)/(s_RadSpec!AH15*s_Q_w_dairy*(1/1000)),".")</f>
        <v>12967788375.639875</v>
      </c>
      <c r="CT15" s="15" t="str">
        <f>IFERROR(I15/(s_RadSpec!AN15*s_Q_w_swine*(1/1000)),".")</f>
        <v>.</v>
      </c>
      <c r="CU15" s="15" t="str">
        <f>IFERROR(E15/(s_RadSpec!AL15*s_Q_w_poultry*(1/1000)),".")</f>
        <v>.</v>
      </c>
      <c r="CV15" s="15" t="str">
        <f>IFERROR(F15/(s_RadSpec!AM15*s_Q_w_poultry*(1/1000)),".")</f>
        <v>.</v>
      </c>
      <c r="CW15" s="15" t="str">
        <f>IFERROR(L15/(s_RadSpec!AQ15*s_Q_w_goat*(1/1000)),".")</f>
        <v>.</v>
      </c>
      <c r="CX15" s="15">
        <f>IFERROR(N15*s_D_milk/(s_RadSpec!AR15*s_Q_w_goat_milk*(1/1000)),".")</f>
        <v>410646631.89526278</v>
      </c>
      <c r="CY15" s="15">
        <f>IFERROR(M15/(s_RadSpec!AO15*s_Q_w_sheep*(1/1000)),".")</f>
        <v>336917789.05669034</v>
      </c>
      <c r="CZ15" s="15">
        <f>IFERROR(O15*s_D_milk/(s_RadSpec!AP15*s_Q_w_sheep_milk*(1/1000)),".")</f>
        <v>70396565.467759326</v>
      </c>
      <c r="DA15" s="111">
        <f t="shared" si="28"/>
        <v>1.5201449999999998E-5</v>
      </c>
      <c r="DB15" s="111" t="str">
        <f t="shared" si="29"/>
        <v>.</v>
      </c>
      <c r="DC15" s="111">
        <f t="shared" si="30"/>
        <v>6.5685919561643838E-8</v>
      </c>
      <c r="DD15" s="111">
        <f t="shared" si="31"/>
        <v>4.5146702225977926E-6</v>
      </c>
      <c r="DE15" s="111">
        <f t="shared" si="32"/>
        <v>2.0901993749999999E-6</v>
      </c>
      <c r="DF15" s="111">
        <f t="shared" si="32"/>
        <v>1.8393754500000002E-6</v>
      </c>
      <c r="DG15" s="111">
        <f t="shared" si="33"/>
        <v>2.9262791250000001E-10</v>
      </c>
      <c r="DH15" s="111">
        <f t="shared" si="34"/>
        <v>7.7114151699029144E-11</v>
      </c>
      <c r="DI15" s="111" t="str">
        <f t="shared" si="35"/>
        <v>.</v>
      </c>
      <c r="DJ15" s="111" t="str">
        <f t="shared" si="36"/>
        <v>.</v>
      </c>
      <c r="DK15" s="111" t="str">
        <f t="shared" si="37"/>
        <v>.</v>
      </c>
      <c r="DL15" s="111" t="str">
        <f t="shared" si="38"/>
        <v>.</v>
      </c>
      <c r="DM15" s="111">
        <f t="shared" si="39"/>
        <v>2.4351837378640778E-9</v>
      </c>
      <c r="DN15" s="111">
        <f t="shared" si="40"/>
        <v>2.9680831125000003E-9</v>
      </c>
      <c r="DO15" s="111">
        <f t="shared" si="41"/>
        <v>1.4205238470873788E-8</v>
      </c>
      <c r="DP15" s="15">
        <f t="shared" si="51"/>
        <v>42138.336492209986</v>
      </c>
      <c r="DQ15" s="189">
        <f>DP15*(0.0000000000000028)*s_RadSpec!$AY15*s_RadSpec!$AF15</f>
        <v>9.1571781093698432E-12</v>
      </c>
      <c r="DR15" s="40">
        <f t="shared" si="42"/>
        <v>1375</v>
      </c>
      <c r="DS15" s="40">
        <f>IFERROR(IF(s_RadSpec!D15&lt;&gt;"",s_C*s_IFA_far_adj*s_K*s_RadSpec!D15,0),".")</f>
        <v>0</v>
      </c>
      <c r="DT15" s="40">
        <f t="shared" si="43"/>
        <v>0.12557077625570776</v>
      </c>
      <c r="DU15" s="40">
        <f>s_b2w!CC15</f>
        <v>408.36048903703033</v>
      </c>
      <c r="DV15" s="40">
        <f>IFERROR(s_C*s_RadSpec!AJ15*(1/1000)*s_IFFI_far_adj*s_CF_far_fish,0)</f>
        <v>189.0625</v>
      </c>
      <c r="DW15" s="40">
        <f>IFERROR(s_C*s_RadSpec!AK15*(1/1000)*s_IFSF_far_adj*s_CF_far_shellfish,0)</f>
        <v>166.375</v>
      </c>
      <c r="DX15" s="40">
        <f>(s_C*s_IFB_far_adj*s_CF_far_beef*s_RadSpec!AI15*s_Q_w_beef*(1/1000))</f>
        <v>2.6468749999999999E-2</v>
      </c>
      <c r="DY15" s="40">
        <f>(s_C*s_IFD_far_adj*s_CF_far_dairy*s_RadSpec!AH15*(1/s_D_milk)*s_Q_w_dairy*(1/1000))</f>
        <v>6.9751213592233012E-3</v>
      </c>
      <c r="DZ15" s="40">
        <f>IFERROR((s_C*s_IFSW_far_adj*s_CF_far_swine*s_RadSpec!AN15*s_Q_w_swine*(1/1000)),0)</f>
        <v>0</v>
      </c>
      <c r="EA15" s="40">
        <f>IFERROR((s_C*s_IFP_far_adj*s_CF_far_poultry*s_RadSpec!AL15*s_Q_w_poultry*(1/1000)),0)</f>
        <v>0</v>
      </c>
      <c r="EB15" s="40">
        <f>IFERROR((s_C*s_IFE_far_adj*s_CF_far_egg*s_RadSpec!AM15*s_Q_w_egg*(1/1000)),0)</f>
        <v>0</v>
      </c>
      <c r="EC15" s="40">
        <f>IFERROR((s_C*s_IFGO_far_adj*s_CF_far_goat*s_RadSpec!AQ15*s_Q_p_goat*(1/1000)),0)</f>
        <v>0</v>
      </c>
      <c r="ED15" s="40">
        <f>IFERROR((s_C*s_IFGM_far_adj*s_CF_far_goat_milk*s_RadSpec!AR15*(1/s_D_milk)*s_Q_p_goat_milk*(1/1000)),0)</f>
        <v>0.22026699029126212</v>
      </c>
      <c r="EE15" s="40">
        <f>IFERROR((s_C*s_IFSH_far_adj*s_CF_far_sheep*s_RadSpec!AO15*s_Q_p_sheep*(1/1000)),0)</f>
        <v>0.26846874999999998</v>
      </c>
      <c r="EF15" s="40">
        <f>IFERROR((s_C*s_IFSM_far_adj*s_CF_far_sheep_milk*s_RadSpec!AP15*(1/s_D_milk)*s_Q_p_sheep_milk*(1/1000)),0)</f>
        <v>1.2848907766990292</v>
      </c>
      <c r="EG15" s="5"/>
      <c r="EH15" s="15">
        <f>IFERROR((s_DL/(s_RadSpec!H15*s_IFA_far_adj)),".")</f>
        <v>193100.47963343095</v>
      </c>
      <c r="EI15" s="15">
        <f>IFERROR((s_DL/(s_RadSpec!K15*s_EF_far*(1/365)*1*s_ET_far*(1/24)*s_GSF_a)),".")</f>
        <v>27281341.449719276</v>
      </c>
      <c r="EJ15" s="15">
        <f t="shared" ref="EJ15:EJ17" si="58">IFERROR(IF(AND(ISNUMBER(EH15),ISNUMBER(EI15)),1/((1/EH15)+(1/EI15)),IF(AND(ISNUMBER(EH15),NOT(ISNUMBER(EI15))),1/((1/EH15)),IF(AND(NOT(ISNUMBER(EH15)),ISNUMBER(EI15)),1/((1/EI15)),IF(AND(NOT(ISNUMBER(EH15)),NOT(ISNUMBER(EI15))),".")))),".")</f>
        <v>191743.29846372633</v>
      </c>
      <c r="EK15" s="189">
        <f>EJ15*(0.0000000000000028)*s_RadSpec!$AY15*s_RadSpec!$AF15</f>
        <v>4.1668173959240148E-11</v>
      </c>
      <c r="EL15" s="40">
        <f t="shared" si="45"/>
        <v>501.30208333333326</v>
      </c>
      <c r="EM15" s="40">
        <f t="shared" si="46"/>
        <v>7.8481735159817351E-2</v>
      </c>
      <c r="EN15" s="113"/>
    </row>
    <row r="16" spans="1:144" customFormat="1" x14ac:dyDescent="0.25">
      <c r="A16" s="44" t="s">
        <v>14</v>
      </c>
      <c r="B16" s="42" t="s">
        <v>1057</v>
      </c>
      <c r="C16" s="238"/>
      <c r="D16" s="15">
        <f>s_dir!AC16</f>
        <v>0.21898417620342756</v>
      </c>
      <c r="E16" s="15">
        <f>IFERROR(s_DL/(s_RadSpec!F16*s_IFP_far_adj*s_CF_far_poultry),".")</f>
        <v>0.87593670481371022</v>
      </c>
      <c r="F16" s="15">
        <f>IFERROR(s_DL/(s_RadSpec!F16*s_IFE_far_adj*s_CF_far_egg),".")</f>
        <v>0.87593670481371022</v>
      </c>
      <c r="G16" s="15">
        <f>IFERROR(s_DL/(s_RadSpec!F16*s_IFB_far_adj*s_CF_far_beef),".")</f>
        <v>0.87593670481371022</v>
      </c>
      <c r="H16" s="15">
        <f>IFERROR(s_DL/(s_RadSpec!F16*s_IFD_far_adj*s_CF_far_dairy),".")</f>
        <v>0.87593670481371022</v>
      </c>
      <c r="I16" s="15">
        <f>IFERROR(s_DL/(s_RadSpec!F16*s_IFSW_far_adj*s_CF_far_swine),".")</f>
        <v>0.87593670481371022</v>
      </c>
      <c r="J16" s="15">
        <f>IFERROR(s_DL/(s_RadSpec!F16*s_IFFI_far_adj*s_CF_far_fish),".")</f>
        <v>0.87593670481371022</v>
      </c>
      <c r="K16" s="15">
        <f>IFERROR(s_DL/(s_RadSpec!F16*s_IFSF_far_adj*s_CF_far_shellfish),".")</f>
        <v>0.87593670481371022</v>
      </c>
      <c r="L16" s="15">
        <f>IFERROR(s_DL/(s_RadSpec!F16*s_IFGO_far_adj*s_CF_far_goat),".")</f>
        <v>0.87593670481371022</v>
      </c>
      <c r="M16" s="15">
        <f>IFERROR(s_DL/(s_RadSpec!F16*s_IFSH_far_adj*s_CF_far_sheep),".")</f>
        <v>0.87593670481371022</v>
      </c>
      <c r="N16" s="15">
        <f>IFERROR(s_DL/(s_RadSpec!F16*s_IFGM_far_adj*s_CF_far_goat_milk),".")</f>
        <v>0.87593670481371022</v>
      </c>
      <c r="O16" s="15">
        <f>IFERROR(s_DL/(s_RadSpec!F16*s_IFSM_far_adj*s_CF_far_sheep_milk),".")</f>
        <v>0.87593670481371022</v>
      </c>
      <c r="P16" s="111">
        <f t="shared" si="47"/>
        <v>1.141635</v>
      </c>
      <c r="Q16" s="111">
        <f t="shared" si="48"/>
        <v>1.141635</v>
      </c>
      <c r="R16" s="111">
        <f t="shared" si="48"/>
        <v>1.141635</v>
      </c>
      <c r="S16" s="111">
        <f t="shared" si="48"/>
        <v>1.141635</v>
      </c>
      <c r="T16" s="111">
        <f t="shared" si="48"/>
        <v>1.141635</v>
      </c>
      <c r="U16" s="111">
        <f t="shared" si="48"/>
        <v>1.141635</v>
      </c>
      <c r="V16" s="111">
        <f t="shared" si="48"/>
        <v>1.141635</v>
      </c>
      <c r="W16" s="111">
        <f t="shared" si="48"/>
        <v>1.141635</v>
      </c>
      <c r="X16" s="111">
        <f t="shared" si="0"/>
        <v>1.141635</v>
      </c>
      <c r="Y16" s="111">
        <f t="shared" si="0"/>
        <v>1.141635</v>
      </c>
      <c r="Z16" s="111">
        <f t="shared" si="0"/>
        <v>1.141635</v>
      </c>
      <c r="AA16" s="111">
        <f t="shared" si="0"/>
        <v>1.141635</v>
      </c>
      <c r="AB16" s="15">
        <f t="shared" si="49"/>
        <v>7.2994725401142491E-2</v>
      </c>
      <c r="AC16" s="247">
        <f>IFERROR(AB16*(0.0000000000028)*s_RadSpec!$AY16*s_RadSpec!$AF16,0)</f>
        <v>9.5284394749635363E-10</v>
      </c>
      <c r="AD16" s="40">
        <f>s_dir!BC16</f>
        <v>30250</v>
      </c>
      <c r="AE16" s="40">
        <f t="shared" si="1"/>
        <v>7562.5</v>
      </c>
      <c r="AF16" s="40">
        <f t="shared" si="2"/>
        <v>7562.5</v>
      </c>
      <c r="AG16" s="40">
        <f t="shared" si="3"/>
        <v>7562.5</v>
      </c>
      <c r="AH16" s="40">
        <f t="shared" si="4"/>
        <v>7562.5</v>
      </c>
      <c r="AI16" s="40">
        <f t="shared" si="5"/>
        <v>7562.5</v>
      </c>
      <c r="AJ16" s="40">
        <f t="shared" si="6"/>
        <v>7562.5</v>
      </c>
      <c r="AK16" s="40">
        <f t="shared" si="7"/>
        <v>7562.5</v>
      </c>
      <c r="AL16" s="40">
        <f t="shared" si="8"/>
        <v>7562.5</v>
      </c>
      <c r="AM16" s="40">
        <f t="shared" si="9"/>
        <v>7562.5</v>
      </c>
      <c r="AN16" s="40">
        <f t="shared" si="10"/>
        <v>7562.5</v>
      </c>
      <c r="AO16" s="40">
        <f t="shared" si="11"/>
        <v>7562.5</v>
      </c>
      <c r="AP16" s="45">
        <f>IFERROR((s_DL/(s_RadSpec!E16*s_IFS_far_adj*(1/1000)))*1,".")</f>
        <v>437.96835240685505</v>
      </c>
      <c r="AQ16" s="45">
        <f>IFERROR(IF(A16="H-3",(s_DL/(s_RadSpec!H16*s_IFA_far_adj*(1/17)*1000))*1,(s_DL/(s_RadSpec!H16*s_IFA_far_adj*(1/s_PEF_wind)*1000))*1),".")</f>
        <v>692481.68732784083</v>
      </c>
      <c r="AR16" s="45">
        <f>IFERROR((s_DL/(s_RadSpec!G16*s_EF_far*(1/365)*1*s_RadSpec!R16*((s_ET_far_o*(1/24)*s_RadSpec!W16)+(s_ET_far_i*(1/24)*s_RadSpec!AB16))))*1,".")</f>
        <v>7617189521.6855774</v>
      </c>
      <c r="AS16" s="45">
        <f>s_b2s!BC16</f>
        <v>9.7013700832175243</v>
      </c>
      <c r="AT16" s="45">
        <f>IFERROR(((J16*s_RadSpec!AU16)/s_RadSpec!AJ16)*1,".")</f>
        <v>5.2556202288822611</v>
      </c>
      <c r="AU16" s="45">
        <f>IFERROR(((K16*s_RadSpec!AU16)/s_RadSpec!AK16)*1,".")</f>
        <v>5.9722957146389328</v>
      </c>
      <c r="AV16" s="45">
        <f>IFERROR((G16/(s_RadSpec!AI16*((s_Q_p_beef*s_f_p_beef*s_f_s_beef*(s_RadSpec!BD16+s_R_es_past))+(s_Q_s_beef*s_f_p_beef))))*1,".")</f>
        <v>14.047279874431842</v>
      </c>
      <c r="AW16" s="45">
        <f>IFERROR(((H16*s_D_milk)/(s_RadSpec!AH16*((s_Q_p_dairy*s_f_p_dairy*s_f_s_dairy*(s_RadSpec!BD16+s_R_es_past))+(s_Q_s_dairy*s_f_p_dairy))))*1,".")</f>
        <v>53.305730470870301</v>
      </c>
      <c r="AX16" s="45" t="str">
        <f>IFERROR((I16/(s_RadSpec!AN16*((s_Q_p_swine*s_f_p_swine*s_f_s_swine*(s_RadSpec!BD16+s_R_es_past))+(s_Q_s_swine*s_f_p_swine))))*1,".")</f>
        <v>.</v>
      </c>
      <c r="AY16" s="45" t="str">
        <f>IFERROR((E16/(s_RadSpec!AL16*((s_Q_p_poultry*s_f_p_poultry*s_f_s_poultry*(s_RadSpec!BD16+s_R_es_past))+(s_Q_s_poultry*s_f_p_poultry))))*1,".")</f>
        <v>.</v>
      </c>
      <c r="AZ16" s="45" t="str">
        <f>IFERROR((F16/(s_RadSpec!AM16*((s_Q_p_poultry*s_f_p_poultry*s_f_s_poultry*(s_RadSpec!BD16+s_R_es_past))+(s_Q_s_poultry*s_f_p_poultry))))*1,".")</f>
        <v>.</v>
      </c>
      <c r="BA16" s="45" t="str">
        <f>IFERROR((L16/(s_RadSpec!AQ16*((s_Q_p_goat*s_f_p_goat*s_f_s_goat*(s_RadSpec!BD16+s_R_es_past))+(s_Q_s_goat*s_f_p_goat))))*1,".")</f>
        <v>.</v>
      </c>
      <c r="BB16" s="45">
        <f>IFERROR((N16*s_D_milk/(s_RadSpec!AR16*((s_Q_p_goat_milk*s_f_p_goat_milk*s_f_s_goat_milk*(s_RadSpec!BD16+s_R_es_past))+(s_Q_s_goat_milk*s_f_p_goat_milk))))*1,".")</f>
        <v>1.6880147982442262</v>
      </c>
      <c r="BC16" s="45">
        <f>IFERROR((M16/(s_RadSpec!AO16*((s_Q_p_sheep*s_f_p_sheep*s_f_s_sheep*(s_RadSpec!BD16+s_R_es_past))+(s_Q_s_sheep*s_f_p_sheep))))*1,".")</f>
        <v>1.3849430862115899</v>
      </c>
      <c r="BD16" s="45">
        <f>IFERROR((O16*s_D_milk/(s_RadSpec!AP16*((s_Q_p_sheep_milk*s_f_p_sheep_milk*s_f_s_sheep_milk*(s_RadSpec!BD16+s_R_es_past))+(s_Q_s_sheep_milk*s_f_p_sheep_milk))))*1,".")</f>
        <v>0.28937396541329591</v>
      </c>
      <c r="BE16" s="111">
        <f t="shared" si="12"/>
        <v>2.28327E-3</v>
      </c>
      <c r="BF16" s="111">
        <f t="shared" si="13"/>
        <v>1.4440815090126291E-6</v>
      </c>
      <c r="BG16" s="111">
        <f t="shared" si="14"/>
        <v>1.3128201643835613E-10</v>
      </c>
      <c r="BH16" s="111">
        <f t="shared" si="15"/>
        <v>0.10307822414999999</v>
      </c>
      <c r="BI16" s="111">
        <f t="shared" si="16"/>
        <v>0.19027249999999998</v>
      </c>
      <c r="BJ16" s="111">
        <f t="shared" si="16"/>
        <v>0.1674398</v>
      </c>
      <c r="BK16" s="111">
        <f t="shared" si="17"/>
        <v>7.1188159482758653E-2</v>
      </c>
      <c r="BL16" s="111">
        <f t="shared" si="18"/>
        <v>1.875970915634417E-2</v>
      </c>
      <c r="BM16" s="111" t="str">
        <f t="shared" si="19"/>
        <v>.</v>
      </c>
      <c r="BN16" s="111" t="str">
        <f t="shared" si="20"/>
        <v>.</v>
      </c>
      <c r="BO16" s="111" t="str">
        <f t="shared" si="21"/>
        <v>.</v>
      </c>
      <c r="BP16" s="111" t="str">
        <f t="shared" si="22"/>
        <v>.</v>
      </c>
      <c r="BQ16" s="111">
        <f t="shared" si="23"/>
        <v>0.59241186809507906</v>
      </c>
      <c r="BR16" s="111">
        <f t="shared" si="24"/>
        <v>0.72205133189655224</v>
      </c>
      <c r="BS16" s="111">
        <f t="shared" si="25"/>
        <v>3.4557358972212944</v>
      </c>
      <c r="BT16" s="15">
        <f t="shared" si="50"/>
        <v>0.18785614457503205</v>
      </c>
      <c r="BU16" s="189">
        <f>IFERROR(BT16*(0.0000000000028)*s_RadSpec!$AY16*s_RadSpec!$AF16,0)</f>
        <v>2.4521989688246384E-9</v>
      </c>
      <c r="BV16" s="40">
        <f t="shared" si="26"/>
        <v>15.125</v>
      </c>
      <c r="BW16" s="40">
        <f t="shared" si="27"/>
        <v>1.6181272791589674E-3</v>
      </c>
      <c r="BX16" s="40">
        <f>IFERROR((s_C*s_EF_far*(1/365)*1*s_RadSpec!R16*((s_ET_far_o*(1/24)*s_RadSpec!W16)+(s_ET_far_i*(1/24)*s_RadSpec!AB16))),".")</f>
        <v>1.5687377690802341E-6</v>
      </c>
      <c r="BY16" s="40">
        <f>s_b2s!CC16</f>
        <v>682.81812500000001</v>
      </c>
      <c r="BZ16" s="40">
        <f>IFERROR(((s_C*s_RadSpec!AJ16)/s_RadSpec!AU16)*s_IFFI_far_adj*s_CF_far_fish,0)</f>
        <v>1260.4166666666667</v>
      </c>
      <c r="CA16" s="40">
        <f>IFERROR(((s_C*s_RadSpec!AK16)/s_RadSpec!AU16)*s_IFSF_far_adj*s_CF_far_shellfish,0)</f>
        <v>1109.1666666666665</v>
      </c>
      <c r="CB16" s="40">
        <f>(s_C*s_IFB_far_adj*s_CF_far_beef*s_RadSpec!AI16*((s_Q_p_beef*s_f_p_beef*s_f_s_beef*(s_RadSpec!$AT16+s_R_es_past))+(s_Q_s_beef*s_f_p_beef)))</f>
        <v>471.56968390804627</v>
      </c>
      <c r="CC16" s="40">
        <f>(s_C*s_IFD_far_adj*s_CF_far_dairy*s_RadSpec!AH16*1/s_D_milk*((s_Q_p_dairy*s_f_p_dairy*s_f_s_dairy*(s_RadSpec!$AT16+s_R_es_past))+(s_Q_s_dairy*s_f_p_dairy)))</f>
        <v>124.26940352639224</v>
      </c>
      <c r="CD16" s="40">
        <f>IFERROR((s_C*s_IFSW_far_adj*s_CF_far_swine*s_RadSpec!AN16*((s_Q_p_swine*s_f_p_swine*s_f_s_swine*(s_RadSpec!$AT16+s_R_es_past))+(s_Q_s_swine*s_f_p_swine))),0)</f>
        <v>0</v>
      </c>
      <c r="CE16" s="40">
        <f>IFERROR((s_C*s_IFP_far_adj*s_CF_far_poultry*s_RadSpec!AL16*((s_Q_p_poultry*s_f_p_poultry*s_f_s_poultry*(s_RadSpec!AT16+s_R_es_past))+(s_Q_s_poultry*s_f_p_poultry))),0)</f>
        <v>0</v>
      </c>
      <c r="CF16" s="40">
        <f>IFERROR((s_C*s_IFE_far_adj*s_CF_far_egg*s_RadSpec!AM16*((s_Q_p_egg*s_f_p_egg*s_f_s_egg*(s_RadSpec!$AT16+s_R_es_past))+(s_Q_s_egg*s_f_p_egg))),0)</f>
        <v>0</v>
      </c>
      <c r="CG16" s="40">
        <f>IFERROR((s_C*s_IFGO_far_adj*s_CF_far_goat*s_RadSpec!AQ16*((s_Q_p_goat*s_f_p_goat*s_f_s_goat*(s_RadSpec!$AT16+s_R_es_past))+(s_Q_s_goat*s_f_p_goat))),0)</f>
        <v>0</v>
      </c>
      <c r="CH16" s="40">
        <f>IFERROR((s_C*s_IFGM_far_adj*s_CF_far_goat_milk*s_RadSpec!AR16*1/s_D_milk*((s_Q_p_goat_milk*s_f_p_goat_milk*s_f_s_goat_milk*(s_RadSpec!$AT16+s_R_es_past))+(s_Q_s_goat_milk*s_f_p_goat_milk))),0)</f>
        <v>3924.2969534650174</v>
      </c>
      <c r="CI16" s="40">
        <f>IFERROR((s_C*s_IFSH_far_adj*s_CF_far_sheep*s_RadSpec!AO16*((s_Q_p_sheep*s_f_p_sheep*s_f_s_sheep*(s_RadSpec!$AT16+s_R_es_past))+(s_Q_s_sheep*s_f_p_sheep))),0)</f>
        <v>4783.063936781612</v>
      </c>
      <c r="CJ16" s="40">
        <f>IFERROR((s_C*s_IFSM_far_adj*s_CF_far_sheep_milk*s_RadSpec!AP16*1/s_D_milk*((s_Q_p_sheep_milk*s_f_p_sheep_milk*s_f_s_sheep_milk*(s_RadSpec!$AT16+s_R_es_past))+(s_Q_s_sheep_milk*s_f_p_sheep_milk))),0)</f>
        <v>22891.732228545934</v>
      </c>
      <c r="CK16" s="18"/>
      <c r="CL16" s="15">
        <f>IFERROR(s_DL/(s_RadSpec!I16*s_IFW_far_adj),".")</f>
        <v>4.8176518764754066</v>
      </c>
      <c r="CM16" s="15" t="str">
        <f>IFERROR(IF(AND(s_RadSpec!C16=1,s_RadSpec!D16&lt;&gt;0),s_DL/(s_RadSpec!H16*s_IFA_far_adj*s_K*s_RadSpec!D16),"."),".")</f>
        <v>.</v>
      </c>
      <c r="CN16" s="15">
        <f>IFERROR((s_DL/(s_RadSpec!M16*(1/8760)*s_DFA_far_adj)),".")</f>
        <v>15642971.01474729</v>
      </c>
      <c r="CO16" s="15">
        <f>s_b2w!BC16</f>
        <v>16.221626499112627</v>
      </c>
      <c r="CP16" s="15">
        <f>IFERROR(J16/(s_RadSpec!AJ16*(1/1000)),".")</f>
        <v>35.03746819254841</v>
      </c>
      <c r="CQ16" s="15">
        <f>IFERROR(K16/(s_RadSpec!AK16*(1/1000)),".")</f>
        <v>39.815304764259558</v>
      </c>
      <c r="CR16" s="15">
        <f>IFERROR(G16/(s_RadSpec!AI16*s_Q_w_beef*(1/1000)),".")</f>
        <v>250267.62994677437</v>
      </c>
      <c r="CS16" s="15">
        <f>IFERROR((H16*s_D_milk)/(s_RadSpec!AH16*s_Q_w_dairy*(1/1000)),".")</f>
        <v>949699.79574539093</v>
      </c>
      <c r="CT16" s="15" t="str">
        <f>IFERROR(I16/(s_RadSpec!AN16*s_Q_w_swine*(1/1000)),".")</f>
        <v>.</v>
      </c>
      <c r="CU16" s="15" t="str">
        <f>IFERROR(E16/(s_RadSpec!AL16*s_Q_w_poultry*(1/1000)),".")</f>
        <v>.</v>
      </c>
      <c r="CV16" s="15" t="str">
        <f>IFERROR(F16/(s_RadSpec!AM16*s_Q_w_poultry*(1/1000)),".")</f>
        <v>.</v>
      </c>
      <c r="CW16" s="15" t="str">
        <f>IFERROR(L16/(s_RadSpec!AQ16*s_Q_w_goat*(1/1000)),".")</f>
        <v>.</v>
      </c>
      <c r="CX16" s="15">
        <f>IFERROR(N16*s_D_milk/(s_RadSpec!AR16*s_Q_w_goat_milk*(1/1000)),".")</f>
        <v>30073.826865270716</v>
      </c>
      <c r="CY16" s="15">
        <f>IFERROR(M16/(s_RadSpec!AO16*s_Q_w_sheep*(1/1000)),".")</f>
        <v>24674.273375034089</v>
      </c>
      <c r="CZ16" s="15">
        <f>IFERROR(O16*s_D_milk/(s_RadSpec!AP16*s_Q_w_sheep_milk*(1/1000)),".")</f>
        <v>5155.5131769035506</v>
      </c>
      <c r="DA16" s="111">
        <f t="shared" si="28"/>
        <v>0.20756999999999998</v>
      </c>
      <c r="DB16" s="111" t="str">
        <f t="shared" si="29"/>
        <v>.</v>
      </c>
      <c r="DC16" s="111">
        <f t="shared" si="30"/>
        <v>6.3926475287671237E-8</v>
      </c>
      <c r="DD16" s="111">
        <f t="shared" si="31"/>
        <v>6.1646099425030104E-2</v>
      </c>
      <c r="DE16" s="111">
        <f t="shared" si="32"/>
        <v>2.8540874999999997E-2</v>
      </c>
      <c r="DF16" s="111">
        <f t="shared" si="32"/>
        <v>2.5115969999999998E-2</v>
      </c>
      <c r="DG16" s="111">
        <f t="shared" si="33"/>
        <v>3.9957224999999996E-6</v>
      </c>
      <c r="DH16" s="111">
        <f t="shared" si="34"/>
        <v>1.0529643203883497E-6</v>
      </c>
      <c r="DI16" s="111" t="str">
        <f t="shared" si="35"/>
        <v>.</v>
      </c>
      <c r="DJ16" s="111" t="str">
        <f t="shared" si="36"/>
        <v>.</v>
      </c>
      <c r="DK16" s="111" t="str">
        <f t="shared" si="37"/>
        <v>.</v>
      </c>
      <c r="DL16" s="111" t="str">
        <f t="shared" si="38"/>
        <v>.</v>
      </c>
      <c r="DM16" s="111">
        <f t="shared" si="39"/>
        <v>3.3251504854368933E-5</v>
      </c>
      <c r="DN16" s="111">
        <f t="shared" si="40"/>
        <v>4.0528042500000002E-5</v>
      </c>
      <c r="DO16" s="111">
        <f t="shared" si="41"/>
        <v>1.9396711165048546E-4</v>
      </c>
      <c r="DP16" s="15">
        <f t="shared" si="51"/>
        <v>3.0945783251966166</v>
      </c>
      <c r="DQ16" s="189">
        <f>DP16*(0.0000000000000028)*s_RadSpec!$AY16*s_RadSpec!$AF16</f>
        <v>4.0395387625786552E-11</v>
      </c>
      <c r="DR16" s="40">
        <f t="shared" si="42"/>
        <v>1375</v>
      </c>
      <c r="DS16" s="40">
        <f>IFERROR(IF(s_RadSpec!D16&lt;&gt;"",s_C*s_IFA_far_adj*s_K*s_RadSpec!D16,0),".")</f>
        <v>0</v>
      </c>
      <c r="DT16" s="40">
        <f t="shared" si="43"/>
        <v>0.12557077625570776</v>
      </c>
      <c r="DU16" s="40">
        <f>s_b2w!CC16</f>
        <v>408.36048903703033</v>
      </c>
      <c r="DV16" s="40">
        <f>IFERROR(s_C*s_RadSpec!AJ16*(1/1000)*s_IFFI_far_adj*s_CF_far_fish,0)</f>
        <v>189.0625</v>
      </c>
      <c r="DW16" s="40">
        <f>IFERROR(s_C*s_RadSpec!AK16*(1/1000)*s_IFSF_far_adj*s_CF_far_shellfish,0)</f>
        <v>166.375</v>
      </c>
      <c r="DX16" s="40">
        <f>(s_C*s_IFB_far_adj*s_CF_far_beef*s_RadSpec!AI16*s_Q_w_beef*(1/1000))</f>
        <v>2.6468749999999999E-2</v>
      </c>
      <c r="DY16" s="40">
        <f>(s_C*s_IFD_far_adj*s_CF_far_dairy*s_RadSpec!AH16*(1/s_D_milk)*s_Q_w_dairy*(1/1000))</f>
        <v>6.9751213592233012E-3</v>
      </c>
      <c r="DZ16" s="40">
        <f>IFERROR((s_C*s_IFSW_far_adj*s_CF_far_swine*s_RadSpec!AN16*s_Q_w_swine*(1/1000)),0)</f>
        <v>0</v>
      </c>
      <c r="EA16" s="40">
        <f>IFERROR((s_C*s_IFP_far_adj*s_CF_far_poultry*s_RadSpec!AL16*s_Q_w_poultry*(1/1000)),0)</f>
        <v>0</v>
      </c>
      <c r="EB16" s="40">
        <f>IFERROR((s_C*s_IFE_far_adj*s_CF_far_egg*s_RadSpec!AM16*s_Q_w_egg*(1/1000)),0)</f>
        <v>0</v>
      </c>
      <c r="EC16" s="40">
        <f>IFERROR((s_C*s_IFGO_far_adj*s_CF_far_goat*s_RadSpec!AQ16*s_Q_p_goat*(1/1000)),0)</f>
        <v>0</v>
      </c>
      <c r="ED16" s="40">
        <f>IFERROR((s_C*s_IFGM_far_adj*s_CF_far_goat_milk*s_RadSpec!AR16*(1/s_D_milk)*s_Q_p_goat_milk*(1/1000)),0)</f>
        <v>0.22026699029126212</v>
      </c>
      <c r="EE16" s="40">
        <f>IFERROR((s_C*s_IFSH_far_adj*s_CF_far_sheep*s_RadSpec!AO16*s_Q_p_sheep*(1/1000)),0)</f>
        <v>0.26846874999999998</v>
      </c>
      <c r="EF16" s="40">
        <f>IFERROR((s_C*s_IFSM_far_adj*s_CF_far_sheep_milk*s_RadSpec!AP16*(1/s_D_milk)*s_Q_p_sheep_milk*(1/1000)),0)</f>
        <v>1.2848907766990292</v>
      </c>
      <c r="EG16" s="5"/>
      <c r="EH16" s="15">
        <f>IFERROR((s_DL/(s_RadSpec!H16*s_IFA_far_adj)),".")</f>
        <v>2.2352261158231306</v>
      </c>
      <c r="EI16" s="15">
        <f>IFERROR((s_DL/(s_RadSpec!K16*s_EF_far*(1/365)*1*s_ET_far*(1/24)*s_GSF_a)),".")</f>
        <v>57922168.683055773</v>
      </c>
      <c r="EJ16" s="15">
        <f t="shared" si="58"/>
        <v>2.2352260295653865</v>
      </c>
      <c r="EK16" s="189">
        <f>EJ16*(0.0000000000000028)*s_RadSpec!$AY16*s_RadSpec!$AF16</f>
        <v>2.9177746499534728E-11</v>
      </c>
      <c r="EL16" s="40">
        <f t="shared" si="45"/>
        <v>501.30208333333326</v>
      </c>
      <c r="EM16" s="40">
        <f t="shared" si="46"/>
        <v>7.8481735159817351E-2</v>
      </c>
      <c r="EN16" s="113"/>
    </row>
    <row r="17" spans="1:144" customFormat="1" x14ac:dyDescent="0.25">
      <c r="A17" s="44" t="s">
        <v>15</v>
      </c>
      <c r="B17" s="42" t="s">
        <v>1057</v>
      </c>
      <c r="C17" s="238"/>
      <c r="D17" s="15">
        <f>s_dir!AC17</f>
        <v>1122.4314559170657</v>
      </c>
      <c r="E17" s="15">
        <f>IFERROR(s_DL/(s_RadSpec!F17*s_IFP_far_adj*s_CF_far_poultry),".")</f>
        <v>4489.7258236682628</v>
      </c>
      <c r="F17" s="15">
        <f>IFERROR(s_DL/(s_RadSpec!F17*s_IFE_far_adj*s_CF_far_egg),".")</f>
        <v>4489.7258236682628</v>
      </c>
      <c r="G17" s="15">
        <f>IFERROR(s_DL/(s_RadSpec!F17*s_IFB_far_adj*s_CF_far_beef),".")</f>
        <v>4489.7258236682628</v>
      </c>
      <c r="H17" s="15">
        <f>IFERROR(s_DL/(s_RadSpec!F17*s_IFD_far_adj*s_CF_far_dairy),".")</f>
        <v>4489.7258236682628</v>
      </c>
      <c r="I17" s="15">
        <f>IFERROR(s_DL/(s_RadSpec!F17*s_IFSW_far_adj*s_CF_far_swine),".")</f>
        <v>4489.7258236682628</v>
      </c>
      <c r="J17" s="15">
        <f>IFERROR(s_DL/(s_RadSpec!F17*s_IFFI_far_adj*s_CF_far_fish),".")</f>
        <v>4489.7258236682628</v>
      </c>
      <c r="K17" s="15">
        <f>IFERROR(s_DL/(s_RadSpec!F17*s_IFSF_far_adj*s_CF_far_shellfish),".")</f>
        <v>4489.7258236682628</v>
      </c>
      <c r="L17" s="15">
        <f>IFERROR(s_DL/(s_RadSpec!F17*s_IFGO_far_adj*s_CF_far_goat),".")</f>
        <v>4489.7258236682628</v>
      </c>
      <c r="M17" s="15">
        <f>IFERROR(s_DL/(s_RadSpec!F17*s_IFSH_far_adj*s_CF_far_sheep),".")</f>
        <v>4489.7258236682628</v>
      </c>
      <c r="N17" s="15">
        <f>IFERROR(s_DL/(s_RadSpec!F17*s_IFGM_far_adj*s_CF_far_goat_milk),".")</f>
        <v>4489.7258236682628</v>
      </c>
      <c r="O17" s="15">
        <f>IFERROR(s_DL/(s_RadSpec!F17*s_IFSM_far_adj*s_CF_far_sheep_milk),".")</f>
        <v>4489.7258236682628</v>
      </c>
      <c r="P17" s="111">
        <f t="shared" si="47"/>
        <v>2.2273075000000002E-4</v>
      </c>
      <c r="Q17" s="111">
        <f t="shared" si="48"/>
        <v>2.2273075000000002E-4</v>
      </c>
      <c r="R17" s="111">
        <f t="shared" si="48"/>
        <v>2.2273075000000002E-4</v>
      </c>
      <c r="S17" s="111">
        <f t="shared" si="48"/>
        <v>2.2273075000000002E-4</v>
      </c>
      <c r="T17" s="111">
        <f t="shared" si="48"/>
        <v>2.2273075000000002E-4</v>
      </c>
      <c r="U17" s="111">
        <f t="shared" si="48"/>
        <v>2.2273075000000002E-4</v>
      </c>
      <c r="V17" s="111">
        <f t="shared" si="48"/>
        <v>2.2273075000000002E-4</v>
      </c>
      <c r="W17" s="111">
        <f t="shared" si="48"/>
        <v>2.2273075000000002E-4</v>
      </c>
      <c r="X17" s="111">
        <f t="shared" si="0"/>
        <v>2.2273075000000002E-4</v>
      </c>
      <c r="Y17" s="111">
        <f t="shared" si="0"/>
        <v>2.2273075000000002E-4</v>
      </c>
      <c r="Z17" s="111">
        <f t="shared" si="0"/>
        <v>2.2273075000000002E-4</v>
      </c>
      <c r="AA17" s="111">
        <f t="shared" si="0"/>
        <v>2.2273075000000002E-4</v>
      </c>
      <c r="AB17" s="15">
        <f t="shared" si="49"/>
        <v>374.1438186390219</v>
      </c>
      <c r="AC17" s="247">
        <f>IFERROR(AB17*(0.0000000000028)*s_RadSpec!$AY17*s_RadSpec!$AF17,0)</f>
        <v>1.1431147184634409E-11</v>
      </c>
      <c r="AD17" s="40">
        <f>s_dir!BC17</f>
        <v>30250</v>
      </c>
      <c r="AE17" s="40">
        <f t="shared" si="1"/>
        <v>7562.5</v>
      </c>
      <c r="AF17" s="40">
        <f t="shared" si="2"/>
        <v>7562.5</v>
      </c>
      <c r="AG17" s="40">
        <f t="shared" si="3"/>
        <v>7562.5</v>
      </c>
      <c r="AH17" s="40">
        <f t="shared" si="4"/>
        <v>7562.5</v>
      </c>
      <c r="AI17" s="40">
        <f t="shared" si="5"/>
        <v>7562.5</v>
      </c>
      <c r="AJ17" s="40">
        <f t="shared" si="6"/>
        <v>7562.5</v>
      </c>
      <c r="AK17" s="40">
        <f t="shared" si="7"/>
        <v>7562.5</v>
      </c>
      <c r="AL17" s="40">
        <f t="shared" si="8"/>
        <v>7562.5</v>
      </c>
      <c r="AM17" s="40">
        <f t="shared" si="9"/>
        <v>7562.5</v>
      </c>
      <c r="AN17" s="40">
        <f t="shared" si="10"/>
        <v>7562.5</v>
      </c>
      <c r="AO17" s="40">
        <f t="shared" si="11"/>
        <v>7562.5</v>
      </c>
      <c r="AP17" s="45">
        <f>IFERROR((s_DL/(s_RadSpec!E17*s_IFS_far_adj*(1/1000)))*1,".")</f>
        <v>2244862.911834131</v>
      </c>
      <c r="AQ17" s="45">
        <f>IFERROR(IF(A17="H-3",(s_DL/(s_RadSpec!H17*s_IFA_far_adj*(1/17)*1000))*1,(s_DL/(s_RadSpec!H17*s_IFA_far_adj*(1/s_PEF_wind)*1000))*1),".")</f>
        <v>331544182.96076089</v>
      </c>
      <c r="AR17" s="45">
        <f>IFERROR((s_DL/(s_RadSpec!G17*s_EF_far*(1/365)*1*s_RadSpec!R17*((s_ET_far_o*(1/24)*s_RadSpec!W17)+(s_ET_far_i*(1/24)*s_RadSpec!AB17))))*1,".")</f>
        <v>1165.4574840227044</v>
      </c>
      <c r="AS17" s="45">
        <f>s_b2s!BC17</f>
        <v>49725.615501918954</v>
      </c>
      <c r="AT17" s="45">
        <f>IFERROR(((J17*s_RadSpec!AU17)/s_RadSpec!AJ17)*1,".")</f>
        <v>26938.354942009573</v>
      </c>
      <c r="AU17" s="45">
        <f>IFERROR(((K17*s_RadSpec!AU17)/s_RadSpec!AK17)*1,".")</f>
        <v>30611.766979556334</v>
      </c>
      <c r="AV17" s="45">
        <f>IFERROR((G17/(s_RadSpec!AI17*((s_Q_p_beef*s_f_p_beef*s_f_s_beef*(s_RadSpec!BD17+s_R_es_past))+(s_Q_s_beef*s_f_p_beef))))*1,".")</f>
        <v>72001.133024726019</v>
      </c>
      <c r="AW17" s="45">
        <f>IFERROR(((H17*s_D_milk)/(s_RadSpec!AH17*((s_Q_p_dairy*s_f_p_dairy*s_f_s_dairy*(s_RadSpec!BD17+s_R_es_past))+(s_Q_s_dairy*s_f_p_dairy))))*1,".")</f>
        <v>273225.35216224974</v>
      </c>
      <c r="AX17" s="45" t="str">
        <f>IFERROR((I17/(s_RadSpec!AN17*((s_Q_p_swine*s_f_p_swine*s_f_s_swine*(s_RadSpec!BD17+s_R_es_past))+(s_Q_s_swine*s_f_p_swine))))*1,".")</f>
        <v>.</v>
      </c>
      <c r="AY17" s="45" t="str">
        <f>IFERROR((E17/(s_RadSpec!AL17*((s_Q_p_poultry*s_f_p_poultry*s_f_s_poultry*(s_RadSpec!BD17+s_R_es_past))+(s_Q_s_poultry*s_f_p_poultry))))*1,".")</f>
        <v>.</v>
      </c>
      <c r="AZ17" s="45" t="str">
        <f>IFERROR((F17/(s_RadSpec!AM17*((s_Q_p_poultry*s_f_p_poultry*s_f_s_poultry*(s_RadSpec!BD17+s_R_es_past))+(s_Q_s_poultry*s_f_p_poultry))))*1,".")</f>
        <v>.</v>
      </c>
      <c r="BA17" s="45" t="str">
        <f>IFERROR((L17/(s_RadSpec!AQ17*((s_Q_p_goat*s_f_p_goat*s_f_s_goat*(s_RadSpec!BD17+s_R_es_past))+(s_Q_s_goat*s_f_p_goat))))*1,".")</f>
        <v>.</v>
      </c>
      <c r="BB17" s="45">
        <f>IFERROR((N17*s_D_milk/(s_RadSpec!AR17*((s_Q_p_goat_milk*s_f_p_goat_milk*s_f_s_goat_milk*(s_RadSpec!BD17+s_R_es_past))+(s_Q_s_goat_milk*s_f_p_goat_milk))))*1,".")</f>
        <v>8652.1361518045742</v>
      </c>
      <c r="BC17" s="45">
        <f>IFERROR((M17/(s_RadSpec!AO17*((s_Q_p_sheep*s_f_p_sheep*s_f_s_sheep*(s_RadSpec!BD17+s_R_es_past))+(s_Q_s_sheep*s_f_p_sheep))))*1,".")</f>
        <v>7098.7032559589024</v>
      </c>
      <c r="BD17" s="45">
        <f>IFERROR((O17*s_D_milk/(s_RadSpec!AP17*((s_Q_p_sheep_milk*s_f_p_sheep_milk*s_f_s_sheep_milk*(s_RadSpec!BD17+s_R_es_past))+(s_Q_s_sheep_milk*s_f_p_sheep_milk))))*1,".")</f>
        <v>1483.2233403093558</v>
      </c>
      <c r="BE17" s="111">
        <f t="shared" si="12"/>
        <v>4.4546150000000011E-7</v>
      </c>
      <c r="BF17" s="111">
        <f t="shared" si="13"/>
        <v>3.0161892483523156E-9</v>
      </c>
      <c r="BG17" s="111">
        <f t="shared" si="14"/>
        <v>8.5803215793714774E-4</v>
      </c>
      <c r="BH17" s="111">
        <f t="shared" si="15"/>
        <v>2.0110359417500003E-5</v>
      </c>
      <c r="BI17" s="111">
        <f t="shared" si="16"/>
        <v>3.7121791666666676E-5</v>
      </c>
      <c r="BJ17" s="111">
        <f t="shared" si="16"/>
        <v>3.2667176666666672E-5</v>
      </c>
      <c r="BK17" s="111">
        <f t="shared" si="17"/>
        <v>1.3888670330459778E-5</v>
      </c>
      <c r="BL17" s="111">
        <f t="shared" si="18"/>
        <v>3.6599824726593042E-6</v>
      </c>
      <c r="BM17" s="111" t="str">
        <f t="shared" si="19"/>
        <v>.</v>
      </c>
      <c r="BN17" s="111" t="str">
        <f t="shared" si="20"/>
        <v>.</v>
      </c>
      <c r="BO17" s="111" t="str">
        <f t="shared" si="21"/>
        <v>.</v>
      </c>
      <c r="BP17" s="111" t="str">
        <f t="shared" si="22"/>
        <v>.</v>
      </c>
      <c r="BQ17" s="111">
        <f t="shared" si="23"/>
        <v>1.1557839387345173E-4</v>
      </c>
      <c r="BR17" s="111">
        <f t="shared" si="24"/>
        <v>1.4087079906609205E-4</v>
      </c>
      <c r="BS17" s="111">
        <f t="shared" si="25"/>
        <v>6.7420729759513497E-4</v>
      </c>
      <c r="BT17" s="15">
        <f t="shared" si="50"/>
        <v>527.2634465278735</v>
      </c>
      <c r="BU17" s="189">
        <f>IFERROR(BT17*(0.0000000000028)*s_RadSpec!$AY17*s_RadSpec!$AF17,0)</f>
        <v>1.6109382975408372E-11</v>
      </c>
      <c r="BV17" s="40">
        <f t="shared" si="26"/>
        <v>15.125</v>
      </c>
      <c r="BW17" s="40">
        <f t="shared" si="27"/>
        <v>1.6181272791589674E-3</v>
      </c>
      <c r="BX17" s="40">
        <f>IFERROR((s_C*s_EF_far*(1/365)*1*s_RadSpec!R17*((s_ET_far_o*(1/24)*s_RadSpec!W17)+(s_ET_far_i*(1/24)*s_RadSpec!AB17))),".")</f>
        <v>1.7062852538275591E-2</v>
      </c>
      <c r="BY17" s="40">
        <f>s_b2s!CC17</f>
        <v>682.81812500000001</v>
      </c>
      <c r="BZ17" s="40">
        <f>IFERROR(((s_C*s_RadSpec!AJ17)/s_RadSpec!AU17)*s_IFFI_far_adj*s_CF_far_fish,0)</f>
        <v>1260.4166666666667</v>
      </c>
      <c r="CA17" s="40">
        <f>IFERROR(((s_C*s_RadSpec!AK17)/s_RadSpec!AU17)*s_IFSF_far_adj*s_CF_far_shellfish,0)</f>
        <v>1109.1666666666665</v>
      </c>
      <c r="CB17" s="40">
        <f>(s_C*s_IFB_far_adj*s_CF_far_beef*s_RadSpec!AI17*((s_Q_p_beef*s_f_p_beef*s_f_s_beef*(s_RadSpec!$AT17+s_R_es_past))+(s_Q_s_beef*s_f_p_beef)))</f>
        <v>471.56968390804627</v>
      </c>
      <c r="CC17" s="40">
        <f>(s_C*s_IFD_far_adj*s_CF_far_dairy*s_RadSpec!AH17*1/s_D_milk*((s_Q_p_dairy*s_f_p_dairy*s_f_s_dairy*(s_RadSpec!$AT17+s_R_es_past))+(s_Q_s_dairy*s_f_p_dairy)))</f>
        <v>124.26940352639224</v>
      </c>
      <c r="CD17" s="40">
        <f>IFERROR((s_C*s_IFSW_far_adj*s_CF_far_swine*s_RadSpec!AN17*((s_Q_p_swine*s_f_p_swine*s_f_s_swine*(s_RadSpec!$AT17+s_R_es_past))+(s_Q_s_swine*s_f_p_swine))),0)</f>
        <v>0</v>
      </c>
      <c r="CE17" s="40">
        <f>IFERROR((s_C*s_IFP_far_adj*s_CF_far_poultry*s_RadSpec!AL17*((s_Q_p_poultry*s_f_p_poultry*s_f_s_poultry*(s_RadSpec!AT17+s_R_es_past))+(s_Q_s_poultry*s_f_p_poultry))),0)</f>
        <v>0</v>
      </c>
      <c r="CF17" s="40">
        <f>IFERROR((s_C*s_IFE_far_adj*s_CF_far_egg*s_RadSpec!AM17*((s_Q_p_egg*s_f_p_egg*s_f_s_egg*(s_RadSpec!$AT17+s_R_es_past))+(s_Q_s_egg*s_f_p_egg))),0)</f>
        <v>0</v>
      </c>
      <c r="CG17" s="40">
        <f>IFERROR((s_C*s_IFGO_far_adj*s_CF_far_goat*s_RadSpec!AQ17*((s_Q_p_goat*s_f_p_goat*s_f_s_goat*(s_RadSpec!$AT17+s_R_es_past))+(s_Q_s_goat*s_f_p_goat))),0)</f>
        <v>0</v>
      </c>
      <c r="CH17" s="40">
        <f>IFERROR((s_C*s_IFGM_far_adj*s_CF_far_goat_milk*s_RadSpec!AR17*1/s_D_milk*((s_Q_p_goat_milk*s_f_p_goat_milk*s_f_s_goat_milk*(s_RadSpec!$AT17+s_R_es_past))+(s_Q_s_goat_milk*s_f_p_goat_milk))),0)</f>
        <v>3924.2969534650174</v>
      </c>
      <c r="CI17" s="40">
        <f>IFERROR((s_C*s_IFSH_far_adj*s_CF_far_sheep*s_RadSpec!AO17*((s_Q_p_sheep*s_f_p_sheep*s_f_s_sheep*(s_RadSpec!$AT17+s_R_es_past))+(s_Q_s_sheep*s_f_p_sheep))),0)</f>
        <v>4783.063936781612</v>
      </c>
      <c r="CJ17" s="40">
        <f>IFERROR((s_C*s_IFSM_far_adj*s_CF_far_sheep_milk*s_RadSpec!AP17*1/s_D_milk*((s_Q_p_sheep_milk*s_f_p_sheep_milk*s_f_s_sheep_milk*(s_RadSpec!$AT17+s_R_es_past))+(s_Q_s_sheep_milk*s_f_p_sheep_milk))),0)</f>
        <v>22891.732228545934</v>
      </c>
      <c r="CK17" s="18"/>
      <c r="CL17" s="15">
        <f>IFERROR(s_DL/(s_RadSpec!I17*s_IFW_far_adj),".")</f>
        <v>24693.492030175446</v>
      </c>
      <c r="CM17" s="15">
        <f>IFERROR(IF(AND(s_RadSpec!C17=1,s_RadSpec!D17&lt;&gt;0),s_DL/(s_RadSpec!H17*s_IFA_far_adj*s_K*s_RadSpec!D17),"."),".")</f>
        <v>12404.49794598369</v>
      </c>
      <c r="CN17" s="15">
        <f>IFERROR((s_DL/(s_RadSpec!M17*(1/8760)*s_DFA_far_adj)),".")</f>
        <v>70750.366830184837</v>
      </c>
      <c r="CO17" s="15">
        <f>s_b2w!BC17</f>
        <v>83146.025271833569</v>
      </c>
      <c r="CP17" s="15">
        <f>IFERROR(J17/(s_RadSpec!AJ17*(1/1000)),".")</f>
        <v>179589.0329467305</v>
      </c>
      <c r="CQ17" s="15">
        <f>IFERROR(K17/(s_RadSpec!AK17*(1/1000)),".")</f>
        <v>204078.4465303756</v>
      </c>
      <c r="CR17" s="15">
        <f>IFERROR(G17/(s_RadSpec!AI17*s_Q_w_beef*(1/1000)),".")</f>
        <v>1282778806.7623608</v>
      </c>
      <c r="CS17" s="15">
        <f>IFERROR((H17*s_D_milk)/(s_RadSpec!AH17*s_Q_w_dairy*(1/1000)),".")</f>
        <v>4867807998.2929583</v>
      </c>
      <c r="CT17" s="15" t="str">
        <f>IFERROR(I17/(s_RadSpec!AN17*s_Q_w_swine*(1/1000)),".")</f>
        <v>.</v>
      </c>
      <c r="CU17" s="15" t="str">
        <f>IFERROR(E17/(s_RadSpec!AL17*s_Q_w_poultry*(1/1000)),".")</f>
        <v>.</v>
      </c>
      <c r="CV17" s="15" t="str">
        <f>IFERROR(F17/(s_RadSpec!AM17*s_Q_w_poultry*(1/1000)),".")</f>
        <v>.</v>
      </c>
      <c r="CW17" s="15" t="str">
        <f>IFERROR(L17/(s_RadSpec!AQ17*s_Q_w_goat*(1/1000)),".")</f>
        <v>.</v>
      </c>
      <c r="CX17" s="15">
        <f>IFERROR(N17*s_D_milk/(s_RadSpec!AR17*s_Q_w_goat_milk*(1/1000)),".")</f>
        <v>154147253.27927703</v>
      </c>
      <c r="CY17" s="15">
        <f>IFERROR(M17/(s_RadSpec!AO17*s_Q_w_sheep*(1/1000)),".")</f>
        <v>126471149.96248627</v>
      </c>
      <c r="CZ17" s="15">
        <f>IFERROR(O17*s_D_milk/(s_RadSpec!AP17*s_Q_w_sheep_milk*(1/1000)),".")</f>
        <v>26425243.419304628</v>
      </c>
      <c r="DA17" s="111">
        <f t="shared" si="28"/>
        <v>4.0496500000000001E-5</v>
      </c>
      <c r="DB17" s="111">
        <f t="shared" si="29"/>
        <v>8.0615918867057285E-5</v>
      </c>
      <c r="DC17" s="111">
        <f t="shared" si="30"/>
        <v>1.4134202334246575E-5</v>
      </c>
      <c r="DD17" s="111">
        <f t="shared" si="31"/>
        <v>1.2027033123118618E-5</v>
      </c>
      <c r="DE17" s="111">
        <f t="shared" si="32"/>
        <v>5.5682687500000009E-6</v>
      </c>
      <c r="DF17" s="111">
        <f t="shared" si="32"/>
        <v>4.9000764999999998E-6</v>
      </c>
      <c r="DG17" s="111">
        <f t="shared" si="33"/>
        <v>7.7955762500000001E-10</v>
      </c>
      <c r="DH17" s="111">
        <f t="shared" si="34"/>
        <v>2.054312742718447E-10</v>
      </c>
      <c r="DI17" s="111" t="str">
        <f t="shared" si="35"/>
        <v>.</v>
      </c>
      <c r="DJ17" s="111" t="str">
        <f t="shared" si="36"/>
        <v>.</v>
      </c>
      <c r="DK17" s="111" t="str">
        <f t="shared" si="37"/>
        <v>.</v>
      </c>
      <c r="DL17" s="111" t="str">
        <f t="shared" si="38"/>
        <v>.</v>
      </c>
      <c r="DM17" s="111">
        <f t="shared" si="39"/>
        <v>6.4873033980582526E-9</v>
      </c>
      <c r="DN17" s="111">
        <f t="shared" si="40"/>
        <v>7.9069416250000009E-9</v>
      </c>
      <c r="DO17" s="111">
        <f t="shared" si="41"/>
        <v>3.7842603155339813E-8</v>
      </c>
      <c r="DP17" s="15">
        <f t="shared" si="51"/>
        <v>6337.3275252245376</v>
      </c>
      <c r="DQ17" s="189">
        <f>DP17*(0.0000000000000028)*s_RadSpec!$AY17*s_RadSpec!$AF17</f>
        <v>1.9362320072958452E-13</v>
      </c>
      <c r="DR17" s="40">
        <f t="shared" si="42"/>
        <v>1375</v>
      </c>
      <c r="DS17" s="40">
        <f>IFERROR(IF(s_RadSpec!D17&lt;&gt;"",s_C*s_IFA_far_adj*s_K*s_RadSpec!D17,0),".")</f>
        <v>43.248883512369787</v>
      </c>
      <c r="DT17" s="40">
        <f t="shared" si="43"/>
        <v>0.12557077625570776</v>
      </c>
      <c r="DU17" s="40">
        <f>s_b2w!CC17</f>
        <v>408.36048903703033</v>
      </c>
      <c r="DV17" s="40">
        <f>IFERROR(s_C*s_RadSpec!AJ17*(1/1000)*s_IFFI_far_adj*s_CF_far_fish,0)</f>
        <v>189.0625</v>
      </c>
      <c r="DW17" s="40">
        <f>IFERROR(s_C*s_RadSpec!AK17*(1/1000)*s_IFSF_far_adj*s_CF_far_shellfish,0)</f>
        <v>166.375</v>
      </c>
      <c r="DX17" s="40">
        <f>(s_C*s_IFB_far_adj*s_CF_far_beef*s_RadSpec!AI17*s_Q_w_beef*(1/1000))</f>
        <v>2.6468749999999999E-2</v>
      </c>
      <c r="DY17" s="40">
        <f>(s_C*s_IFD_far_adj*s_CF_far_dairy*s_RadSpec!AH17*(1/s_D_milk)*s_Q_w_dairy*(1/1000))</f>
        <v>6.9751213592233012E-3</v>
      </c>
      <c r="DZ17" s="40">
        <f>IFERROR((s_C*s_IFSW_far_adj*s_CF_far_swine*s_RadSpec!AN17*s_Q_w_swine*(1/1000)),0)</f>
        <v>0</v>
      </c>
      <c r="EA17" s="40">
        <f>IFERROR((s_C*s_IFP_far_adj*s_CF_far_poultry*s_RadSpec!AL17*s_Q_w_poultry*(1/1000)),0)</f>
        <v>0</v>
      </c>
      <c r="EB17" s="40">
        <f>IFERROR((s_C*s_IFE_far_adj*s_CF_far_egg*s_RadSpec!AM17*s_Q_w_egg*(1/1000)),0)</f>
        <v>0</v>
      </c>
      <c r="EC17" s="40">
        <f>IFERROR((s_C*s_IFGO_far_adj*s_CF_far_goat*s_RadSpec!AQ17*s_Q_p_goat*(1/1000)),0)</f>
        <v>0</v>
      </c>
      <c r="ED17" s="40">
        <f>IFERROR((s_C*s_IFGM_far_adj*s_CF_far_goat_milk*s_RadSpec!AR17*(1/s_D_milk)*s_Q_p_goat_milk*(1/1000)),0)</f>
        <v>0.22026699029126212</v>
      </c>
      <c r="EE17" s="40">
        <f>IFERROR((s_C*s_IFSH_far_adj*s_CF_far_sheep*s_RadSpec!AO17*s_Q_p_sheep*(1/1000)),0)</f>
        <v>0.26846874999999998</v>
      </c>
      <c r="EF17" s="40">
        <f>IFERROR((s_C*s_IFSM_far_adj*s_CF_far_sheep_milk*s_RadSpec!AP17*(1/s_D_milk)*s_Q_p_sheep_milk*(1/1000)),0)</f>
        <v>1.2848907766990292</v>
      </c>
      <c r="EG17" s="5"/>
      <c r="EH17" s="15">
        <f>IFERROR((s_DL/(s_RadSpec!H17*s_IFA_far_adj)),".")</f>
        <v>1070.1744607324008</v>
      </c>
      <c r="EI17" s="15">
        <f>IFERROR((s_DL/(s_RadSpec!K17*s_EF_far*(1/365)*1*s_ET_far*(1/24)*s_GSF_a)),".")</f>
        <v>245777.85089837183</v>
      </c>
      <c r="EJ17" s="15">
        <f t="shared" si="58"/>
        <v>1065.5348717596401</v>
      </c>
      <c r="EK17" s="189">
        <f>EJ17*(0.0000000000000028)*s_RadSpec!$AY17*s_RadSpec!$AF17</f>
        <v>3.2555090696812149E-14</v>
      </c>
      <c r="EL17" s="40">
        <f t="shared" si="45"/>
        <v>501.30208333333326</v>
      </c>
      <c r="EM17" s="40">
        <f t="shared" si="46"/>
        <v>7.8481735159817351E-2</v>
      </c>
      <c r="EN17" s="113"/>
    </row>
    <row r="18" spans="1:144" customFormat="1" x14ac:dyDescent="0.25">
      <c r="A18" s="44" t="s">
        <v>16</v>
      </c>
      <c r="B18" s="42" t="s">
        <v>1057</v>
      </c>
      <c r="C18" s="238"/>
      <c r="D18" s="15">
        <f>s_dir!AC18</f>
        <v>0.12763649127285492</v>
      </c>
      <c r="E18" s="15">
        <f>IFERROR(s_DL/(s_RadSpec!F18*s_IFP_far_adj*s_CF_far_poultry),".")</f>
        <v>0.5105459650914197</v>
      </c>
      <c r="F18" s="15">
        <f>IFERROR(s_DL/(s_RadSpec!F18*s_IFE_far_adj*s_CF_far_egg),".")</f>
        <v>0.5105459650914197</v>
      </c>
      <c r="G18" s="15">
        <f>IFERROR(s_DL/(s_RadSpec!F18*s_IFB_far_adj*s_CF_far_beef),".")</f>
        <v>0.5105459650914197</v>
      </c>
      <c r="H18" s="15">
        <f>IFERROR(s_DL/(s_RadSpec!F18*s_IFD_far_adj*s_CF_far_dairy),".")</f>
        <v>0.5105459650914197</v>
      </c>
      <c r="I18" s="15">
        <f>IFERROR(s_DL/(s_RadSpec!F18*s_IFSW_far_adj*s_CF_far_swine),".")</f>
        <v>0.5105459650914197</v>
      </c>
      <c r="J18" s="15">
        <f>IFERROR(s_DL/(s_RadSpec!F18*s_IFFI_far_adj*s_CF_far_fish),".")</f>
        <v>0.5105459650914197</v>
      </c>
      <c r="K18" s="15">
        <f>IFERROR(s_DL/(s_RadSpec!F18*s_IFSF_far_adj*s_CF_far_shellfish),".")</f>
        <v>0.5105459650914197</v>
      </c>
      <c r="L18" s="15">
        <f>IFERROR(s_DL/(s_RadSpec!F18*s_IFGO_far_adj*s_CF_far_goat),".")</f>
        <v>0.5105459650914197</v>
      </c>
      <c r="M18" s="15">
        <f>IFERROR(s_DL/(s_RadSpec!F18*s_IFSH_far_adj*s_CF_far_sheep),".")</f>
        <v>0.5105459650914197</v>
      </c>
      <c r="N18" s="15">
        <f>IFERROR(s_DL/(s_RadSpec!F18*s_IFGM_far_adj*s_CF_far_goat_milk),".")</f>
        <v>0.5105459650914197</v>
      </c>
      <c r="O18" s="15">
        <f>IFERROR(s_DL/(s_RadSpec!F18*s_IFSM_far_adj*s_CF_far_sheep_milk),".")</f>
        <v>0.5105459650914197</v>
      </c>
      <c r="P18" s="111">
        <f t="shared" si="47"/>
        <v>1.9586874999999997</v>
      </c>
      <c r="Q18" s="111">
        <f t="shared" si="47"/>
        <v>1.9586874999999997</v>
      </c>
      <c r="R18" s="111">
        <f t="shared" si="47"/>
        <v>1.9586874999999997</v>
      </c>
      <c r="S18" s="111">
        <f t="shared" si="47"/>
        <v>1.9586874999999997</v>
      </c>
      <c r="T18" s="111">
        <f t="shared" si="47"/>
        <v>1.9586874999999997</v>
      </c>
      <c r="U18" s="111">
        <f t="shared" si="47"/>
        <v>1.9586874999999997</v>
      </c>
      <c r="V18" s="111">
        <f t="shared" si="47"/>
        <v>1.9586874999999997</v>
      </c>
      <c r="W18" s="111">
        <f t="shared" si="47"/>
        <v>1.9586874999999997</v>
      </c>
      <c r="X18" s="111">
        <f t="shared" ref="X18:AA76" si="59">IFERROR(1/L18,".")</f>
        <v>1.9586874999999997</v>
      </c>
      <c r="Y18" s="111">
        <f t="shared" si="59"/>
        <v>1.9586874999999997</v>
      </c>
      <c r="Z18" s="111">
        <f t="shared" si="59"/>
        <v>1.9586874999999997</v>
      </c>
      <c r="AA18" s="111">
        <f t="shared" si="59"/>
        <v>1.9586874999999997</v>
      </c>
      <c r="AB18" s="15">
        <f t="shared" si="49"/>
        <v>4.2545497090951644E-2</v>
      </c>
      <c r="AC18" s="247">
        <f>IFERROR(AB18*(0.0000000000028)*s_RadSpec!$AY18*s_RadSpec!$AF18,0)</f>
        <v>9.4841592186548544E-12</v>
      </c>
      <c r="AD18" s="40">
        <f>s_dir!BC18</f>
        <v>30250</v>
      </c>
      <c r="AE18" s="40">
        <f t="shared" si="1"/>
        <v>7562.5</v>
      </c>
      <c r="AF18" s="40">
        <f t="shared" si="2"/>
        <v>7562.5</v>
      </c>
      <c r="AG18" s="40">
        <f t="shared" si="3"/>
        <v>7562.5</v>
      </c>
      <c r="AH18" s="40">
        <f t="shared" si="4"/>
        <v>7562.5</v>
      </c>
      <c r="AI18" s="40">
        <f t="shared" si="5"/>
        <v>7562.5</v>
      </c>
      <c r="AJ18" s="40">
        <f t="shared" si="6"/>
        <v>7562.5</v>
      </c>
      <c r="AK18" s="40">
        <f t="shared" si="7"/>
        <v>7562.5</v>
      </c>
      <c r="AL18" s="40">
        <f t="shared" si="8"/>
        <v>7562.5</v>
      </c>
      <c r="AM18" s="40">
        <f t="shared" si="9"/>
        <v>7562.5</v>
      </c>
      <c r="AN18" s="40">
        <f t="shared" si="10"/>
        <v>7562.5</v>
      </c>
      <c r="AO18" s="40">
        <f t="shared" si="11"/>
        <v>7562.5</v>
      </c>
      <c r="AP18" s="45">
        <f>IFERROR((s_DL/(s_RadSpec!E18*s_IFS_far_adj*(1/1000)))*1,".")</f>
        <v>255.27298254570982</v>
      </c>
      <c r="AQ18" s="45">
        <f>IFERROR(IF(A18="H-3",(s_DL/(s_RadSpec!H18*s_IFA_far_adj*(1/17)*1000))*1,(s_DL/(s_RadSpec!H18*s_IFA_far_adj*(1/s_PEF_wind)*1000))*1),".")</f>
        <v>892236.02021087182</v>
      </c>
      <c r="AR18" s="45">
        <f>IFERROR((s_DL/(s_RadSpec!G18*s_EF_far*(1/365)*1*s_RadSpec!R18*((s_ET_far_o*(1/24)*s_RadSpec!W18)+(s_ET_far_i*(1/24)*s_RadSpec!AB18))))*1,".")</f>
        <v>13227862.674701374</v>
      </c>
      <c r="AS18" s="45">
        <f>s_b2s!BC18</f>
        <v>7.5479888393172621</v>
      </c>
      <c r="AT18" s="45">
        <f>IFERROR(((J18*s_RadSpec!AU18)/s_RadSpec!AJ18)*1,".")</f>
        <v>2.9781847963666146</v>
      </c>
      <c r="AU18" s="45" t="str">
        <f>IFERROR(((K18*s_RadSpec!AU18)/s_RadSpec!AK18)*1,".")</f>
        <v>.</v>
      </c>
      <c r="AV18" s="45">
        <f>IFERROR((G18/(s_RadSpec!AI18*((s_Q_p_beef*s_f_p_beef*s_f_s_beef*(s_RadSpec!BD18+s_R_es_past))+(s_Q_s_beef*s_f_p_beef))))*1,".")</f>
        <v>1.9441708341738784</v>
      </c>
      <c r="AW18" s="45">
        <f>IFERROR(((H18*s_D_milk)/(s_RadSpec!AH18*((s_Q_p_dairy*s_f_p_dairy*s_f_s_dairy*(s_RadSpec!BD18+s_R_es_past))+(s_Q_s_dairy*s_f_p_dairy))))*1,".")</f>
        <v>28.607085131415637</v>
      </c>
      <c r="AX18" s="45" t="str">
        <f>IFERROR((I18/(s_RadSpec!AN18*((s_Q_p_swine*s_f_p_swine*s_f_s_swine*(s_RadSpec!BD18+s_R_es_past))+(s_Q_s_swine*s_f_p_swine))))*1,".")</f>
        <v>.</v>
      </c>
      <c r="AY18" s="45">
        <f>IFERROR((E18/(s_RadSpec!AL18*((s_Q_p_poultry*s_f_p_poultry*s_f_s_poultry*(s_RadSpec!BD18+s_R_es_past))+(s_Q_s_poultry*s_f_p_poultry))))*1,".")</f>
        <v>2.4302135427173477E-3</v>
      </c>
      <c r="AZ18" s="45">
        <f>IFERROR((F18/(s_RadSpec!AM18*((s_Q_p_poultry*s_f_p_poultry*s_f_s_poultry*(s_RadSpec!BD18+s_R_es_past))+(s_Q_s_poultry*s_f_p_poultry))))*1,".")</f>
        <v>1.881455645974721E-3</v>
      </c>
      <c r="BA18" s="45" t="str">
        <f>IFERROR((L18/(s_RadSpec!AQ18*((s_Q_p_goat*s_f_p_goat*s_f_s_goat*(s_RadSpec!BD18+s_R_es_past))+(s_Q_s_goat*s_f_p_goat))))*1,".")</f>
        <v>.</v>
      </c>
      <c r="BB18" s="45">
        <f>IFERROR((N18*s_D_milk/(s_RadSpec!AR18*((s_Q_p_goat_milk*s_f_p_goat_milk*s_f_s_goat_milk*(s_RadSpec!BD18+s_R_es_past))+(s_Q_s_goat_milk*s_f_p_goat_milk))))*1,".")</f>
        <v>2.6119512511292542</v>
      </c>
      <c r="BC18" s="45">
        <f>IFERROR((M18/(s_RadSpec!AO18*((s_Q_p_sheep*s_f_p_sheep*s_f_s_sheep*(s_RadSpec!BD18+s_R_es_past))+(s_Q_s_sheep*s_f_p_sheep))))*1,".")</f>
        <v>0.1166502500504327</v>
      </c>
      <c r="BD18" s="45" t="str">
        <f>IFERROR((O18*s_D_milk/(s_RadSpec!AP18*((s_Q_p_sheep_milk*s_f_p_sheep_milk*s_f_s_sheep_milk*(s_RadSpec!BD18+s_R_es_past))+(s_Q_s_sheep_milk*s_f_p_sheep_milk))))*1,".")</f>
        <v>.</v>
      </c>
      <c r="BE18" s="111">
        <f t="shared" si="12"/>
        <v>3.9173749999999999E-3</v>
      </c>
      <c r="BF18" s="111">
        <f t="shared" si="13"/>
        <v>1.1207796786366673E-6</v>
      </c>
      <c r="BG18" s="111">
        <f t="shared" si="14"/>
        <v>7.5598002836280242E-8</v>
      </c>
      <c r="BH18" s="111">
        <f t="shared" si="15"/>
        <v>0.13248562250000001</v>
      </c>
      <c r="BI18" s="111">
        <f t="shared" si="16"/>
        <v>0.33577499999999999</v>
      </c>
      <c r="BJ18" s="111" t="str">
        <f t="shared" si="16"/>
        <v>.</v>
      </c>
      <c r="BK18" s="111">
        <f t="shared" si="17"/>
        <v>0.51435809159482759</v>
      </c>
      <c r="BL18" s="111">
        <f t="shared" si="18"/>
        <v>3.4956375156930029E-2</v>
      </c>
      <c r="BM18" s="111" t="str">
        <f t="shared" si="19"/>
        <v>.</v>
      </c>
      <c r="BN18" s="111">
        <f t="shared" si="20"/>
        <v>411.48647327586207</v>
      </c>
      <c r="BO18" s="111">
        <f t="shared" si="21"/>
        <v>531.50336131465519</v>
      </c>
      <c r="BP18" s="111" t="str">
        <f t="shared" si="22"/>
        <v>.</v>
      </c>
      <c r="BQ18" s="111">
        <f t="shared" si="23"/>
        <v>0.38285553743304312</v>
      </c>
      <c r="BR18" s="111">
        <f t="shared" si="24"/>
        <v>8.5726348599137925</v>
      </c>
      <c r="BS18" s="111" t="str">
        <f t="shared" si="25"/>
        <v>.</v>
      </c>
      <c r="BT18" s="15">
        <f t="shared" si="50"/>
        <v>1.0493544795381327E-3</v>
      </c>
      <c r="BU18" s="189">
        <f>IFERROR(BT18*(0.0000000000028)*s_RadSpec!$AY18*s_RadSpec!$AF18,0)</f>
        <v>2.3392005361866931E-13</v>
      </c>
      <c r="BV18" s="40">
        <f t="shared" si="26"/>
        <v>15.125</v>
      </c>
      <c r="BW18" s="40">
        <f t="shared" si="27"/>
        <v>1.6181272791589674E-3</v>
      </c>
      <c r="BX18" s="40">
        <f>IFERROR((s_C*s_EF_far*(1/365)*1*s_RadSpec!R18*((s_ET_far_o*(1/24)*s_RadSpec!W18)+(s_ET_far_i*(1/24)*s_RadSpec!AB18))),".")</f>
        <v>3.3501674612274449E-2</v>
      </c>
      <c r="BY18" s="40">
        <f>s_b2s!CC18</f>
        <v>511.52749999999997</v>
      </c>
      <c r="BZ18" s="40">
        <f>IFERROR(((s_C*s_RadSpec!AJ18)/s_RadSpec!AU18)*s_IFFI_far_adj*s_CF_far_fish,0)</f>
        <v>1296.4285714285713</v>
      </c>
      <c r="CA18" s="40">
        <f>IFERROR(((s_C*s_RadSpec!AK18)/s_RadSpec!AU18)*s_IFSF_far_adj*s_CF_far_shellfish,0)</f>
        <v>0</v>
      </c>
      <c r="CB18" s="40">
        <f>(s_C*s_IFB_far_adj*s_CF_far_beef*s_RadSpec!AI18*((s_Q_p_beef*s_f_p_beef*s_f_s_beef*(s_RadSpec!$AT18+s_R_es_past))+(s_Q_s_beef*s_f_p_beef)))</f>
        <v>1985.938577586207</v>
      </c>
      <c r="CC18" s="40">
        <f>(s_C*s_IFD_far_adj*s_CF_far_dairy*s_RadSpec!AH18*1/s_D_milk*((s_Q_p_dairy*s_f_p_dairy*s_f_s_dairy*(s_RadSpec!$AT18+s_R_es_past))+(s_Q_s_dairy*s_f_p_dairy)))</f>
        <v>134.96669944760632</v>
      </c>
      <c r="CD18" s="40">
        <f>IFERROR((s_C*s_IFSW_far_adj*s_CF_far_swine*s_RadSpec!AN18*((s_Q_p_swine*s_f_p_swine*s_f_s_swine*(s_RadSpec!$AT18+s_R_es_past))+(s_Q_s_swine*s_f_p_swine))),0)</f>
        <v>0</v>
      </c>
      <c r="CE18" s="40">
        <f>IFERROR((s_C*s_IFP_far_adj*s_CF_far_poultry*s_RadSpec!AL18*((s_Q_p_poultry*s_f_p_poultry*s_f_s_poultry*(s_RadSpec!AT18+s_R_es_past))+(s_Q_s_poultry*s_f_p_poultry))),0)</f>
        <v>1588750.8620689656</v>
      </c>
      <c r="CF18" s="40">
        <f>IFERROR((s_C*s_IFE_far_adj*s_CF_far_egg*s_RadSpec!AM18*((s_Q_p_egg*s_f_p_egg*s_f_s_egg*(s_RadSpec!$AT18+s_R_es_past))+(s_Q_s_egg*s_f_p_egg))),0)</f>
        <v>2052136.5301724139</v>
      </c>
      <c r="CG18" s="40">
        <f>IFERROR((s_C*s_IFGO_far_adj*s_CF_far_goat*s_RadSpec!AQ18*((s_Q_p_goat*s_f_p_goat*s_f_s_goat*(s_RadSpec!$AT18+s_R_es_past))+(s_Q_s_goat*s_f_p_goat))),0)</f>
        <v>0</v>
      </c>
      <c r="CH18" s="40">
        <f>IFERROR((s_C*s_IFGM_far_adj*s_CF_far_goat_milk*s_RadSpec!AR18*1/s_D_milk*((s_Q_p_goat_milk*s_f_p_goat_milk*s_f_s_goat_milk*(s_RadSpec!$AT18+s_R_es_past))+(s_Q_s_goat_milk*s_f_p_goat_milk))),0)</f>
        <v>1478.206708235688</v>
      </c>
      <c r="CI18" s="40">
        <f>IFERROR((s_C*s_IFSH_far_adj*s_CF_far_sheep*s_RadSpec!AO18*((s_Q_p_sheep*s_f_p_sheep*s_f_s_sheep*(s_RadSpec!$AT18+s_R_es_past))+(s_Q_s_sheep*s_f_p_sheep))),0)</f>
        <v>33098.976293103449</v>
      </c>
      <c r="CJ18" s="40">
        <f>IFERROR((s_C*s_IFSM_far_adj*s_CF_far_sheep_milk*s_RadSpec!AP18*1/s_D_milk*((s_Q_p_sheep_milk*s_f_p_sheep_milk*s_f_s_sheep_milk*(s_RadSpec!$AT18+s_R_es_past))+(s_Q_s_sheep_milk*s_f_p_sheep_milk))),0)</f>
        <v>0</v>
      </c>
      <c r="CK18" s="18"/>
      <c r="CL18" s="15">
        <f>IFERROR(s_DL/(s_RadSpec!I18*s_IFW_far_adj),".")</f>
        <v>2.8080028080028083</v>
      </c>
      <c r="CM18" s="15" t="str">
        <f>IFERROR(IF(AND(s_RadSpec!C18=1,s_RadSpec!D18&lt;&gt;0),s_DL/(s_RadSpec!H18*s_IFA_far_adj*s_K*s_RadSpec!D18),"."),".")</f>
        <v>.</v>
      </c>
      <c r="CN18" s="15">
        <f>IFERROR((s_DL/(s_RadSpec!M18*(1/8760)*s_DFA_far_adj)),".")</f>
        <v>1766926259.6968441</v>
      </c>
      <c r="CO18" s="15">
        <f>s_b2w!BC18</f>
        <v>10.314578800703334</v>
      </c>
      <c r="CP18" s="15">
        <f>IFERROR(J18/(s_RadSpec!AJ18*(1/1000)),".")</f>
        <v>14.181832363650546</v>
      </c>
      <c r="CQ18" s="15" t="str">
        <f>IFERROR(K18/(s_RadSpec!AK18*(1/1000)),".")</f>
        <v>.</v>
      </c>
      <c r="CR18" s="15">
        <f>IFERROR(G18/(s_RadSpec!AI18*s_Q_w_beef*(1/1000)),".")</f>
        <v>34036.397672761312</v>
      </c>
      <c r="CS18" s="15">
        <f>IFERROR((H18*s_D_milk)/(s_RadSpec!AH18*s_Q_w_dairy*(1/1000)),".")</f>
        <v>500821.28004205931</v>
      </c>
      <c r="CT18" s="15" t="str">
        <f>IFERROR(I18/(s_RadSpec!AN18*s_Q_w_swine*(1/1000)),".")</f>
        <v>.</v>
      </c>
      <c r="CU18" s="15">
        <f>IFERROR(E18/(s_RadSpec!AL18*s_Q_w_poultry*(1/1000)),".")</f>
        <v>42.545497090951642</v>
      </c>
      <c r="CV18" s="15">
        <f>IFERROR(F18/(s_RadSpec!AM18*s_Q_w_poultry*(1/1000)),".")</f>
        <v>32.938449360736755</v>
      </c>
      <c r="CW18" s="15" t="str">
        <f>IFERROR(L18/(s_RadSpec!AQ18*s_Q_w_goat*(1/1000)),".")</f>
        <v>.</v>
      </c>
      <c r="CX18" s="15">
        <f>IFERROR(N18*s_D_milk/(s_RadSpec!AR18*s_Q_w_goat_milk*(1/1000)),".")</f>
        <v>45727.160351666287</v>
      </c>
      <c r="CY18" s="15">
        <f>IFERROR(M18/(s_RadSpec!AO18*s_Q_w_sheep*(1/1000)),".")</f>
        <v>2042.1838603656788</v>
      </c>
      <c r="CZ18" s="15" t="str">
        <f>IFERROR(O18*s_D_milk/(s_RadSpec!AP18*s_Q_w_sheep_milk*(1/1000)),".")</f>
        <v>.</v>
      </c>
      <c r="DA18" s="111">
        <f t="shared" si="28"/>
        <v>0.35612499999999997</v>
      </c>
      <c r="DB18" s="111" t="str">
        <f t="shared" si="29"/>
        <v>.</v>
      </c>
      <c r="DC18" s="111">
        <f t="shared" si="30"/>
        <v>5.6595457479452059E-10</v>
      </c>
      <c r="DD18" s="111">
        <f t="shared" si="31"/>
        <v>9.6950153692345803E-2</v>
      </c>
      <c r="DE18" s="111">
        <f t="shared" si="32"/>
        <v>7.0512749999999999E-2</v>
      </c>
      <c r="DF18" s="111" t="str">
        <f t="shared" si="32"/>
        <v>.</v>
      </c>
      <c r="DG18" s="111">
        <f t="shared" si="33"/>
        <v>2.9380312499999998E-5</v>
      </c>
      <c r="DH18" s="111">
        <f t="shared" si="34"/>
        <v>1.9967202669902911E-6</v>
      </c>
      <c r="DI18" s="111" t="str">
        <f t="shared" si="35"/>
        <v>.</v>
      </c>
      <c r="DJ18" s="111">
        <f t="shared" si="36"/>
        <v>2.3504249999999997E-2</v>
      </c>
      <c r="DK18" s="111">
        <f t="shared" si="37"/>
        <v>3.0359656249999995E-2</v>
      </c>
      <c r="DL18" s="111" t="str">
        <f t="shared" si="38"/>
        <v>.</v>
      </c>
      <c r="DM18" s="111">
        <f t="shared" si="39"/>
        <v>2.1868841019417473E-5</v>
      </c>
      <c r="DN18" s="111">
        <f t="shared" si="40"/>
        <v>4.8967187499999998E-4</v>
      </c>
      <c r="DO18" s="111" t="str">
        <f t="shared" si="41"/>
        <v>.</v>
      </c>
      <c r="DP18" s="15">
        <f t="shared" si="51"/>
        <v>1.7301195860651672</v>
      </c>
      <c r="DQ18" s="189">
        <f>DP18*(0.0000000000000028)*s_RadSpec!$AY18*s_RadSpec!$AF18</f>
        <v>3.8567488320744048E-13</v>
      </c>
      <c r="DR18" s="40">
        <f t="shared" si="42"/>
        <v>1375</v>
      </c>
      <c r="DS18" s="40">
        <f>IFERROR(IF(s_RadSpec!D18&lt;&gt;"",s_C*s_IFA_far_adj*s_K*s_RadSpec!D18,0),".")</f>
        <v>0</v>
      </c>
      <c r="DT18" s="40">
        <f t="shared" si="43"/>
        <v>0.12557077625570776</v>
      </c>
      <c r="DU18" s="40">
        <f>s_b2w!CC18</f>
        <v>374.32491773106489</v>
      </c>
      <c r="DV18" s="40">
        <f>IFERROR(s_C*s_RadSpec!AJ18*(1/1000)*s_IFFI_far_adj*s_CF_far_fish,0)</f>
        <v>272.25</v>
      </c>
      <c r="DW18" s="40">
        <f>IFERROR(s_C*s_RadSpec!AK18*(1/1000)*s_IFSF_far_adj*s_CF_far_shellfish,0)</f>
        <v>0</v>
      </c>
      <c r="DX18" s="40">
        <f>(s_C*s_IFB_far_adj*s_CF_far_beef*s_RadSpec!AI18*s_Q_w_beef*(1/1000))</f>
        <v>0.1134375</v>
      </c>
      <c r="DY18" s="40">
        <f>(s_C*s_IFD_far_adj*s_CF_far_dairy*s_RadSpec!AH18*(1/s_D_milk)*s_Q_w_dairy*(1/1000))</f>
        <v>7.7093446601941744E-3</v>
      </c>
      <c r="DZ18" s="40">
        <f>IFERROR((s_C*s_IFSW_far_adj*s_CF_far_swine*s_RadSpec!AN18*s_Q_w_swine*(1/1000)),0)</f>
        <v>0</v>
      </c>
      <c r="EA18" s="40">
        <f>IFERROR((s_C*s_IFP_far_adj*s_CF_far_poultry*s_RadSpec!AL18*s_Q_w_poultry*(1/1000)),0)</f>
        <v>90.75</v>
      </c>
      <c r="EB18" s="40">
        <f>IFERROR((s_C*s_IFE_far_adj*s_CF_far_egg*s_RadSpec!AM18*s_Q_w_egg*(1/1000)),0)</f>
        <v>117.21875</v>
      </c>
      <c r="EC18" s="40">
        <f>IFERROR((s_C*s_IFGO_far_adj*s_CF_far_goat*s_RadSpec!AQ18*s_Q_p_goat*(1/1000)),0)</f>
        <v>0</v>
      </c>
      <c r="ED18" s="40">
        <f>IFERROR((s_C*s_IFGM_far_adj*s_CF_far_goat_milk*s_RadSpec!AR18*(1/s_D_milk)*s_Q_p_goat_milk*(1/1000)),0)</f>
        <v>8.4435679611650508E-2</v>
      </c>
      <c r="EE18" s="40">
        <f>IFERROR((s_C*s_IFSH_far_adj*s_CF_far_sheep*s_RadSpec!AO18*s_Q_p_sheep*(1/1000)),0)</f>
        <v>1.890625</v>
      </c>
      <c r="EF18" s="40">
        <f>IFERROR((s_C*s_IFSM_far_adj*s_CF_far_sheep_milk*s_RadSpec!AP18*(1/s_D_milk)*s_Q_p_sheep_milk*(1/1000)),0)</f>
        <v>0</v>
      </c>
      <c r="EG18" s="5"/>
      <c r="EH18" s="15">
        <f>IFERROR((s_DL/(s_RadSpec!H18*s_IFA_far_adj)),".")</f>
        <v>2.8800028800028801</v>
      </c>
      <c r="EI18" s="15">
        <f>IFERROR((s_DL/(s_RadSpec!K18*s_EF_far*(1/365)*1*s_ET_far*(1/24)*s_GSF_a)),".")</f>
        <v>6130638528.026804</v>
      </c>
      <c r="EJ18" s="15">
        <f t="shared" ref="EJ18:EJ21" si="60">IFERROR(IF(AND(ISNUMBER(EH18),ISNUMBER(EI18)),1/((1/EH18)+(1/EI18)),IF(AND(ISNUMBER(EH18),NOT(ISNUMBER(EI18))),1/((1/EH18)),IF(AND(NOT(ISNUMBER(EH18)),ISNUMBER(EI18)),1/((1/EI18)),IF(AND(NOT(ISNUMBER(EH18)),NOT(ISNUMBER(EI18))),".")))),".")</f>
        <v>2.8800028786499352</v>
      </c>
      <c r="EK18" s="189">
        <f>EJ18*(0.0000000000000028)*s_RadSpec!$AY18*s_RadSpec!$AF18</f>
        <v>6.4200462373042502E-13</v>
      </c>
      <c r="EL18" s="40">
        <f t="shared" si="45"/>
        <v>501.30208333333326</v>
      </c>
      <c r="EM18" s="40">
        <f t="shared" si="46"/>
        <v>7.8481735159817351E-2</v>
      </c>
      <c r="EN18" s="113"/>
    </row>
    <row r="19" spans="1:144" customFormat="1" x14ac:dyDescent="0.25">
      <c r="A19" s="44" t="s">
        <v>17</v>
      </c>
      <c r="B19" s="42" t="s">
        <v>1057</v>
      </c>
      <c r="C19" s="42"/>
      <c r="D19" s="15" t="str">
        <f>s_dir!AC19</f>
        <v>.</v>
      </c>
      <c r="E19" s="15" t="str">
        <f>IFERROR(s_DL/(s_RadSpec!F19*s_IFP_far_adj*s_CF_far_poultry),".")</f>
        <v>.</v>
      </c>
      <c r="F19" s="15" t="str">
        <f>IFERROR(s_DL/(s_RadSpec!F19*s_IFE_far_adj*s_CF_far_egg),".")</f>
        <v>.</v>
      </c>
      <c r="G19" s="15" t="str">
        <f>IFERROR(s_DL/(s_RadSpec!F19*s_IFB_far_adj*s_CF_far_beef),".")</f>
        <v>.</v>
      </c>
      <c r="H19" s="15" t="str">
        <f>IFERROR(s_DL/(s_RadSpec!F19*s_IFD_far_adj*s_CF_far_dairy),".")</f>
        <v>.</v>
      </c>
      <c r="I19" s="15" t="str">
        <f>IFERROR(s_DL/(s_RadSpec!F19*s_IFSW_far_adj*s_CF_far_swine),".")</f>
        <v>.</v>
      </c>
      <c r="J19" s="15" t="str">
        <f>IFERROR(s_DL/(s_RadSpec!F19*s_IFFI_far_adj*s_CF_far_fish),".")</f>
        <v>.</v>
      </c>
      <c r="K19" s="15" t="str">
        <f>IFERROR(s_DL/(s_RadSpec!F19*s_IFSF_far_adj*s_CF_far_shellfish),".")</f>
        <v>.</v>
      </c>
      <c r="L19" s="15" t="str">
        <f>IFERROR(s_DL/(s_RadSpec!F19*s_IFGO_far_adj*s_CF_far_goat),".")</f>
        <v>.</v>
      </c>
      <c r="M19" s="15" t="str">
        <f>IFERROR(s_DL/(s_RadSpec!F19*s_IFSH_far_adj*s_CF_far_sheep),".")</f>
        <v>.</v>
      </c>
      <c r="N19" s="15" t="str">
        <f>IFERROR(s_DL/(s_RadSpec!F19*s_IFGM_far_adj*s_CF_far_goat_milk),".")</f>
        <v>.</v>
      </c>
      <c r="O19" s="15" t="str">
        <f>IFERROR(s_DL/(s_RadSpec!F19*s_IFSM_far_adj*s_CF_far_sheep_milk),".")</f>
        <v>.</v>
      </c>
      <c r="P19" s="111" t="str">
        <f t="shared" si="47"/>
        <v>.</v>
      </c>
      <c r="Q19" s="111" t="str">
        <f t="shared" si="47"/>
        <v>.</v>
      </c>
      <c r="R19" s="111" t="str">
        <f t="shared" si="47"/>
        <v>.</v>
      </c>
      <c r="S19" s="111" t="str">
        <f t="shared" si="47"/>
        <v>.</v>
      </c>
      <c r="T19" s="111" t="str">
        <f t="shared" si="47"/>
        <v>.</v>
      </c>
      <c r="U19" s="111" t="str">
        <f t="shared" si="47"/>
        <v>.</v>
      </c>
      <c r="V19" s="111" t="str">
        <f t="shared" si="47"/>
        <v>.</v>
      </c>
      <c r="W19" s="111" t="str">
        <f t="shared" si="47"/>
        <v>.</v>
      </c>
      <c r="X19" s="111" t="str">
        <f t="shared" si="59"/>
        <v>.</v>
      </c>
      <c r="Y19" s="111" t="str">
        <f t="shared" si="59"/>
        <v>.</v>
      </c>
      <c r="Z19" s="111" t="str">
        <f t="shared" si="59"/>
        <v>.</v>
      </c>
      <c r="AA19" s="111" t="str">
        <f t="shared" si="59"/>
        <v>.</v>
      </c>
      <c r="AB19" s="15" t="str">
        <f t="shared" si="49"/>
        <v>.</v>
      </c>
      <c r="AC19" s="247">
        <f>IFERROR(AB19*(0.0000000000028)*s_RadSpec!$AY19*s_RadSpec!$AF19,0)</f>
        <v>0</v>
      </c>
      <c r="AD19" s="40">
        <f>s_dir!BC19</f>
        <v>30250</v>
      </c>
      <c r="AE19" s="40">
        <f t="shared" si="1"/>
        <v>7562.5</v>
      </c>
      <c r="AF19" s="40">
        <f t="shared" si="2"/>
        <v>7562.5</v>
      </c>
      <c r="AG19" s="40">
        <f t="shared" si="3"/>
        <v>7562.5</v>
      </c>
      <c r="AH19" s="40">
        <f t="shared" si="4"/>
        <v>7562.5</v>
      </c>
      <c r="AI19" s="40">
        <f t="shared" si="5"/>
        <v>7562.5</v>
      </c>
      <c r="AJ19" s="40">
        <f t="shared" si="6"/>
        <v>7562.5</v>
      </c>
      <c r="AK19" s="40">
        <f t="shared" si="7"/>
        <v>7562.5</v>
      </c>
      <c r="AL19" s="40">
        <f t="shared" si="8"/>
        <v>7562.5</v>
      </c>
      <c r="AM19" s="40">
        <f t="shared" si="9"/>
        <v>7562.5</v>
      </c>
      <c r="AN19" s="40">
        <f t="shared" si="10"/>
        <v>7562.5</v>
      </c>
      <c r="AO19" s="40">
        <f t="shared" si="11"/>
        <v>7562.5</v>
      </c>
      <c r="AP19" s="45" t="str">
        <f>IFERROR((s_DL/(s_RadSpec!E19*s_IFS_far_adj*(1/1000)))*1,".")</f>
        <v>.</v>
      </c>
      <c r="AQ19" s="45" t="str">
        <f>IFERROR(IF(A19="H-3",(s_DL/(s_RadSpec!H19*s_IFA_far_adj*(1/17)*1000))*1,(s_DL/(s_RadSpec!H19*s_IFA_far_adj*(1/s_PEF_wind)*1000))*1),".")</f>
        <v>.</v>
      </c>
      <c r="AR19" s="45">
        <f>IFERROR((s_DL/(s_RadSpec!G19*s_EF_far*(1/365)*1*s_RadSpec!R19*((s_ET_far_o*(1/24)*s_RadSpec!W19)+(s_ET_far_i*(1/24)*s_RadSpec!AB19))))*1,".")</f>
        <v>3514038.9093119306</v>
      </c>
      <c r="AS19" s="45" t="str">
        <f>s_b2s!BC19</f>
        <v>.</v>
      </c>
      <c r="AT19" s="45" t="str">
        <f>IFERROR(((J19*s_RadSpec!AU19)/s_RadSpec!AJ19)*1,".")</f>
        <v>.</v>
      </c>
      <c r="AU19" s="45" t="str">
        <f>IFERROR(((K19*s_RadSpec!AU19)/s_RadSpec!AK19)*1,".")</f>
        <v>.</v>
      </c>
      <c r="AV19" s="45" t="str">
        <f>IFERROR((G19/(s_RadSpec!AI19*((s_Q_p_beef*s_f_p_beef*s_f_s_beef*(s_RadSpec!BD19+s_R_es_past))+(s_Q_s_beef*s_f_p_beef))))*1,".")</f>
        <v>.</v>
      </c>
      <c r="AW19" s="45" t="str">
        <f>IFERROR(((H19*s_D_milk)/(s_RadSpec!AH19*((s_Q_p_dairy*s_f_p_dairy*s_f_s_dairy*(s_RadSpec!BD19+s_R_es_past))+(s_Q_s_dairy*s_f_p_dairy))))*1,".")</f>
        <v>.</v>
      </c>
      <c r="AX19" s="45" t="str">
        <f>IFERROR((I19/(s_RadSpec!AN19*((s_Q_p_swine*s_f_p_swine*s_f_s_swine*(s_RadSpec!BD19+s_R_es_past))+(s_Q_s_swine*s_f_p_swine))))*1,".")</f>
        <v>.</v>
      </c>
      <c r="AY19" s="45" t="str">
        <f>IFERROR((E19/(s_RadSpec!AL19*((s_Q_p_poultry*s_f_p_poultry*s_f_s_poultry*(s_RadSpec!BD19+s_R_es_past))+(s_Q_s_poultry*s_f_p_poultry))))*1,".")</f>
        <v>.</v>
      </c>
      <c r="AZ19" s="45" t="str">
        <f>IFERROR((F19/(s_RadSpec!AM19*((s_Q_p_poultry*s_f_p_poultry*s_f_s_poultry*(s_RadSpec!BD19+s_R_es_past))+(s_Q_s_poultry*s_f_p_poultry))))*1,".")</f>
        <v>.</v>
      </c>
      <c r="BA19" s="45" t="str">
        <f>IFERROR((L19/(s_RadSpec!AQ19*((s_Q_p_goat*s_f_p_goat*s_f_s_goat*(s_RadSpec!BD19+s_R_es_past))+(s_Q_s_goat*s_f_p_goat))))*1,".")</f>
        <v>.</v>
      </c>
      <c r="BB19" s="45" t="str">
        <f>IFERROR((N19*s_D_milk/(s_RadSpec!AR19*((s_Q_p_goat_milk*s_f_p_goat_milk*s_f_s_goat_milk*(s_RadSpec!BD19+s_R_es_past))+(s_Q_s_goat_milk*s_f_p_goat_milk))))*1,".")</f>
        <v>.</v>
      </c>
      <c r="BC19" s="45" t="str">
        <f>IFERROR((M19/(s_RadSpec!AO19*((s_Q_p_sheep*s_f_p_sheep*s_f_s_sheep*(s_RadSpec!BD19+s_R_es_past))+(s_Q_s_sheep*s_f_p_sheep))))*1,".")</f>
        <v>.</v>
      </c>
      <c r="BD19" s="45" t="str">
        <f>IFERROR((O19*s_D_milk/(s_RadSpec!AP19*((s_Q_p_sheep_milk*s_f_p_sheep_milk*s_f_s_sheep_milk*(s_RadSpec!BD19+s_R_es_past))+(s_Q_s_sheep_milk*s_f_p_sheep_milk))))*1,".")</f>
        <v>.</v>
      </c>
      <c r="BE19" s="111" t="str">
        <f t="shared" si="12"/>
        <v>.</v>
      </c>
      <c r="BF19" s="111" t="str">
        <f t="shared" si="13"/>
        <v>.</v>
      </c>
      <c r="BG19" s="111">
        <f t="shared" si="14"/>
        <v>2.8457283081017617E-7</v>
      </c>
      <c r="BH19" s="111" t="str">
        <f t="shared" si="15"/>
        <v>.</v>
      </c>
      <c r="BI19" s="111" t="str">
        <f t="shared" si="16"/>
        <v>.</v>
      </c>
      <c r="BJ19" s="111" t="str">
        <f t="shared" si="16"/>
        <v>.</v>
      </c>
      <c r="BK19" s="111" t="str">
        <f t="shared" si="17"/>
        <v>.</v>
      </c>
      <c r="BL19" s="111" t="str">
        <f t="shared" si="18"/>
        <v>.</v>
      </c>
      <c r="BM19" s="111" t="str">
        <f t="shared" si="19"/>
        <v>.</v>
      </c>
      <c r="BN19" s="111" t="str">
        <f t="shared" si="20"/>
        <v>.</v>
      </c>
      <c r="BO19" s="111" t="str">
        <f t="shared" si="21"/>
        <v>.</v>
      </c>
      <c r="BP19" s="111" t="str">
        <f t="shared" si="22"/>
        <v>.</v>
      </c>
      <c r="BQ19" s="111" t="str">
        <f t="shared" si="23"/>
        <v>.</v>
      </c>
      <c r="BR19" s="111" t="str">
        <f t="shared" si="24"/>
        <v>.</v>
      </c>
      <c r="BS19" s="111" t="str">
        <f t="shared" si="25"/>
        <v>.</v>
      </c>
      <c r="BT19" s="15">
        <f t="shared" si="50"/>
        <v>3514038.9093119306</v>
      </c>
      <c r="BU19" s="189">
        <f>IFERROR(BT19*(0.0000000000028)*s_RadSpec!$AY19*s_RadSpec!$AF19,0)</f>
        <v>2.7911738277388552E-16</v>
      </c>
      <c r="BV19" s="40">
        <f t="shared" si="26"/>
        <v>15.125</v>
      </c>
      <c r="BW19" s="40">
        <f t="shared" si="27"/>
        <v>1.6181272791589674E-3</v>
      </c>
      <c r="BX19" s="40">
        <f>IFERROR((s_C*s_EF_far*(1/365)*1*s_RadSpec!R19*((s_ET_far_o*(1/24)*s_RadSpec!W19)+(s_ET_far_i*(1/24)*s_RadSpec!AB19))),".")</f>
        <v>3.2832093933463792E-2</v>
      </c>
      <c r="BY19" s="40">
        <f>s_b2s!CC19</f>
        <v>511.52749999999997</v>
      </c>
      <c r="BZ19" s="40">
        <f>IFERROR(((s_C*s_RadSpec!AJ19)/s_RadSpec!AU19)*s_IFFI_far_adj*s_CF_far_fish,0)</f>
        <v>1296.4285714285713</v>
      </c>
      <c r="CA19" s="40">
        <f>IFERROR(((s_C*s_RadSpec!AK19)/s_RadSpec!AU19)*s_IFSF_far_adj*s_CF_far_shellfish,0)</f>
        <v>0</v>
      </c>
      <c r="CB19" s="40">
        <f>(s_C*s_IFB_far_adj*s_CF_far_beef*s_RadSpec!AI19*((s_Q_p_beef*s_f_p_beef*s_f_s_beef*(s_RadSpec!$AT19+s_R_es_past))+(s_Q_s_beef*s_f_p_beef)))</f>
        <v>1985.938577586207</v>
      </c>
      <c r="CC19" s="40">
        <f>(s_C*s_IFD_far_adj*s_CF_far_dairy*s_RadSpec!AH19*1/s_D_milk*((s_Q_p_dairy*s_f_p_dairy*s_f_s_dairy*(s_RadSpec!$AT19+s_R_es_past))+(s_Q_s_dairy*s_f_p_dairy)))</f>
        <v>134.96669944760632</v>
      </c>
      <c r="CD19" s="40">
        <f>IFERROR((s_C*s_IFSW_far_adj*s_CF_far_swine*s_RadSpec!AN19*((s_Q_p_swine*s_f_p_swine*s_f_s_swine*(s_RadSpec!$AT19+s_R_es_past))+(s_Q_s_swine*s_f_p_swine))),0)</f>
        <v>0</v>
      </c>
      <c r="CE19" s="40">
        <f>IFERROR((s_C*s_IFP_far_adj*s_CF_far_poultry*s_RadSpec!AL19*((s_Q_p_poultry*s_f_p_poultry*s_f_s_poultry*(s_RadSpec!AT19+s_R_es_past))+(s_Q_s_poultry*s_f_p_poultry))),0)</f>
        <v>1588750.8620689656</v>
      </c>
      <c r="CF19" s="40">
        <f>IFERROR((s_C*s_IFE_far_adj*s_CF_far_egg*s_RadSpec!AM19*((s_Q_p_egg*s_f_p_egg*s_f_s_egg*(s_RadSpec!$AT19+s_R_es_past))+(s_Q_s_egg*s_f_p_egg))),0)</f>
        <v>2052136.5301724139</v>
      </c>
      <c r="CG19" s="40">
        <f>IFERROR((s_C*s_IFGO_far_adj*s_CF_far_goat*s_RadSpec!AQ19*((s_Q_p_goat*s_f_p_goat*s_f_s_goat*(s_RadSpec!$AT19+s_R_es_past))+(s_Q_s_goat*s_f_p_goat))),0)</f>
        <v>0</v>
      </c>
      <c r="CH19" s="40">
        <f>IFERROR((s_C*s_IFGM_far_adj*s_CF_far_goat_milk*s_RadSpec!AR19*1/s_D_milk*((s_Q_p_goat_milk*s_f_p_goat_milk*s_f_s_goat_milk*(s_RadSpec!$AT19+s_R_es_past))+(s_Q_s_goat_milk*s_f_p_goat_milk))),0)</f>
        <v>1478.206708235688</v>
      </c>
      <c r="CI19" s="40">
        <f>IFERROR((s_C*s_IFSH_far_adj*s_CF_far_sheep*s_RadSpec!AO19*((s_Q_p_sheep*s_f_p_sheep*s_f_s_sheep*(s_RadSpec!$AT19+s_R_es_past))+(s_Q_s_sheep*s_f_p_sheep))),0)</f>
        <v>33098.976293103449</v>
      </c>
      <c r="CJ19" s="40">
        <f>IFERROR((s_C*s_IFSM_far_adj*s_CF_far_sheep_milk*s_RadSpec!AP19*1/s_D_milk*((s_Q_p_sheep_milk*s_f_p_sheep_milk*s_f_s_sheep_milk*(s_RadSpec!$AT19+s_R_es_past))+(s_Q_s_sheep_milk*s_f_p_sheep_milk))),0)</f>
        <v>0</v>
      </c>
      <c r="CK19" s="18"/>
      <c r="CL19" s="15" t="str">
        <f>IFERROR(s_DL/(s_RadSpec!I19*s_IFW_far_adj),".")</f>
        <v>.</v>
      </c>
      <c r="CM19" s="15" t="str">
        <f>IFERROR(IF(AND(s_RadSpec!C19=1,s_RadSpec!D19&lt;&gt;0),s_DL/(s_RadSpec!H19*s_IFA_far_adj*s_K*s_RadSpec!D19),"."),".")</f>
        <v>.</v>
      </c>
      <c r="CN19" s="15">
        <f>IFERROR((s_DL/(s_RadSpec!M19*(1/8760)*s_DFA_far_adj)),".")</f>
        <v>459591331.70012259</v>
      </c>
      <c r="CO19" s="15" t="str">
        <f>s_b2w!BC19</f>
        <v>.</v>
      </c>
      <c r="CP19" s="15" t="str">
        <f>IFERROR(J19/(s_RadSpec!AJ19*(1/1000)),".")</f>
        <v>.</v>
      </c>
      <c r="CQ19" s="15" t="str">
        <f>IFERROR(K19/(s_RadSpec!AK19*(1/1000)),".")</f>
        <v>.</v>
      </c>
      <c r="CR19" s="15" t="str">
        <f>IFERROR(G19/(s_RadSpec!AI19*s_Q_w_beef*(1/1000)),".")</f>
        <v>.</v>
      </c>
      <c r="CS19" s="15" t="str">
        <f>IFERROR((H19*s_D_milk)/(s_RadSpec!AH19*s_Q_w_dairy*(1/1000)),".")</f>
        <v>.</v>
      </c>
      <c r="CT19" s="15" t="str">
        <f>IFERROR(I19/(s_RadSpec!AN19*s_Q_w_swine*(1/1000)),".")</f>
        <v>.</v>
      </c>
      <c r="CU19" s="15" t="str">
        <f>IFERROR(E19/(s_RadSpec!AL19*s_Q_w_poultry*(1/1000)),".")</f>
        <v>.</v>
      </c>
      <c r="CV19" s="15" t="str">
        <f>IFERROR(F19/(s_RadSpec!AM19*s_Q_w_poultry*(1/1000)),".")</f>
        <v>.</v>
      </c>
      <c r="CW19" s="15" t="str">
        <f>IFERROR(L19/(s_RadSpec!AQ19*s_Q_w_goat*(1/1000)),".")</f>
        <v>.</v>
      </c>
      <c r="CX19" s="15" t="str">
        <f>IFERROR(N19*s_D_milk/(s_RadSpec!AR19*s_Q_w_goat_milk*(1/1000)),".")</f>
        <v>.</v>
      </c>
      <c r="CY19" s="15" t="str">
        <f>IFERROR(M19/(s_RadSpec!AO19*s_Q_w_sheep*(1/1000)),".")</f>
        <v>.</v>
      </c>
      <c r="CZ19" s="15" t="str">
        <f>IFERROR(O19*s_D_milk/(s_RadSpec!AP19*s_Q_w_sheep_milk*(1/1000)),".")</f>
        <v>.</v>
      </c>
      <c r="DA19" s="111" t="str">
        <f t="shared" si="28"/>
        <v>.</v>
      </c>
      <c r="DB19" s="111" t="str">
        <f t="shared" si="29"/>
        <v>.</v>
      </c>
      <c r="DC19" s="111">
        <f t="shared" si="30"/>
        <v>2.1758460854794516E-9</v>
      </c>
      <c r="DD19" s="111" t="str">
        <f t="shared" si="31"/>
        <v>.</v>
      </c>
      <c r="DE19" s="111" t="str">
        <f t="shared" si="32"/>
        <v>.</v>
      </c>
      <c r="DF19" s="111" t="str">
        <f t="shared" si="32"/>
        <v>.</v>
      </c>
      <c r="DG19" s="111" t="str">
        <f t="shared" si="33"/>
        <v>.</v>
      </c>
      <c r="DH19" s="111" t="str">
        <f t="shared" si="34"/>
        <v>.</v>
      </c>
      <c r="DI19" s="111" t="str">
        <f t="shared" si="35"/>
        <v>.</v>
      </c>
      <c r="DJ19" s="111" t="str">
        <f t="shared" si="36"/>
        <v>.</v>
      </c>
      <c r="DK19" s="111" t="str">
        <f t="shared" si="37"/>
        <v>.</v>
      </c>
      <c r="DL19" s="111" t="str">
        <f t="shared" si="38"/>
        <v>.</v>
      </c>
      <c r="DM19" s="111" t="str">
        <f t="shared" si="39"/>
        <v>.</v>
      </c>
      <c r="DN19" s="111" t="str">
        <f t="shared" si="40"/>
        <v>.</v>
      </c>
      <c r="DO19" s="111" t="str">
        <f t="shared" si="41"/>
        <v>.</v>
      </c>
      <c r="DP19" s="15">
        <f t="shared" si="51"/>
        <v>459591331.70012265</v>
      </c>
      <c r="DQ19" s="189">
        <f>DP19*(0.0000000000000028)*s_RadSpec!$AY19*s_RadSpec!$AF19</f>
        <v>3.6504982716546205E-17</v>
      </c>
      <c r="DR19" s="40">
        <f t="shared" si="42"/>
        <v>1375</v>
      </c>
      <c r="DS19" s="40">
        <f>IFERROR(IF(s_RadSpec!D19&lt;&gt;"",s_C*s_IFA_far_adj*s_K*s_RadSpec!D19,0),".")</f>
        <v>0</v>
      </c>
      <c r="DT19" s="40">
        <f t="shared" si="43"/>
        <v>0.12557077625570776</v>
      </c>
      <c r="DU19" s="40">
        <f>s_b2w!CC19</f>
        <v>374.32491773106489</v>
      </c>
      <c r="DV19" s="40">
        <f>IFERROR(s_C*s_RadSpec!AJ19*(1/1000)*s_IFFI_far_adj*s_CF_far_fish,0)</f>
        <v>272.25</v>
      </c>
      <c r="DW19" s="40">
        <f>IFERROR(s_C*s_RadSpec!AK19*(1/1000)*s_IFSF_far_adj*s_CF_far_shellfish,0)</f>
        <v>0</v>
      </c>
      <c r="DX19" s="40">
        <f>(s_C*s_IFB_far_adj*s_CF_far_beef*s_RadSpec!AI19*s_Q_w_beef*(1/1000))</f>
        <v>0.1134375</v>
      </c>
      <c r="DY19" s="40">
        <f>(s_C*s_IFD_far_adj*s_CF_far_dairy*s_RadSpec!AH19*(1/s_D_milk)*s_Q_w_dairy*(1/1000))</f>
        <v>7.7093446601941744E-3</v>
      </c>
      <c r="DZ19" s="40">
        <f>IFERROR((s_C*s_IFSW_far_adj*s_CF_far_swine*s_RadSpec!AN19*s_Q_w_swine*(1/1000)),0)</f>
        <v>0</v>
      </c>
      <c r="EA19" s="40">
        <f>IFERROR((s_C*s_IFP_far_adj*s_CF_far_poultry*s_RadSpec!AL19*s_Q_w_poultry*(1/1000)),0)</f>
        <v>90.75</v>
      </c>
      <c r="EB19" s="40">
        <f>IFERROR((s_C*s_IFE_far_adj*s_CF_far_egg*s_RadSpec!AM19*s_Q_w_egg*(1/1000)),0)</f>
        <v>117.21875</v>
      </c>
      <c r="EC19" s="40">
        <f>IFERROR((s_C*s_IFGO_far_adj*s_CF_far_goat*s_RadSpec!AQ19*s_Q_p_goat*(1/1000)),0)</f>
        <v>0</v>
      </c>
      <c r="ED19" s="40">
        <f>IFERROR((s_C*s_IFGM_far_adj*s_CF_far_goat_milk*s_RadSpec!AR19*(1/s_D_milk)*s_Q_p_goat_milk*(1/1000)),0)</f>
        <v>8.4435679611650508E-2</v>
      </c>
      <c r="EE19" s="40">
        <f>IFERROR((s_C*s_IFSH_far_adj*s_CF_far_sheep*s_RadSpec!AO19*s_Q_p_sheep*(1/1000)),0)</f>
        <v>1.890625</v>
      </c>
      <c r="EF19" s="40">
        <f>IFERROR((s_C*s_IFSM_far_adj*s_CF_far_sheep_milk*s_RadSpec!AP19*(1/s_D_milk)*s_Q_p_sheep_milk*(1/1000)),0)</f>
        <v>0</v>
      </c>
      <c r="EG19" s="5"/>
      <c r="EH19" s="15" t="str">
        <f>IFERROR((s_DL/(s_RadSpec!H19*s_IFA_far_adj)),".")</f>
        <v>.</v>
      </c>
      <c r="EI19" s="15">
        <f>IFERROR((s_DL/(s_RadSpec!K19*s_EF_far*(1/365)*1*s_ET_far*(1/24)*s_GSF_a)),".")</f>
        <v>1595400084.7789047</v>
      </c>
      <c r="EJ19" s="15">
        <f t="shared" si="60"/>
        <v>1595400084.7789047</v>
      </c>
      <c r="EK19" s="189">
        <f>EJ19*(0.0000000000000028)*s_RadSpec!$AY19*s_RadSpec!$AF19</f>
        <v>1.2672139029556618E-16</v>
      </c>
      <c r="EL19" s="40">
        <f t="shared" si="45"/>
        <v>501.30208333333326</v>
      </c>
      <c r="EM19" s="40">
        <f t="shared" si="46"/>
        <v>7.8481735159817351E-2</v>
      </c>
      <c r="EN19" s="113"/>
    </row>
    <row r="20" spans="1:144" customFormat="1" x14ac:dyDescent="0.25">
      <c r="A20" s="44" t="s">
        <v>18</v>
      </c>
      <c r="B20" s="42" t="s">
        <v>1057</v>
      </c>
      <c r="C20" s="238"/>
      <c r="D20" s="15" t="str">
        <f>s_dir!AC20</f>
        <v>.</v>
      </c>
      <c r="E20" s="15" t="str">
        <f>IFERROR(s_DL/(s_RadSpec!F20*s_IFP_far_adj*s_CF_far_poultry),".")</f>
        <v>.</v>
      </c>
      <c r="F20" s="15" t="str">
        <f>IFERROR(s_DL/(s_RadSpec!F20*s_IFE_far_adj*s_CF_far_egg),".")</f>
        <v>.</v>
      </c>
      <c r="G20" s="15" t="str">
        <f>IFERROR(s_DL/(s_RadSpec!F20*s_IFB_far_adj*s_CF_far_beef),".")</f>
        <v>.</v>
      </c>
      <c r="H20" s="15" t="str">
        <f>IFERROR(s_DL/(s_RadSpec!F20*s_IFD_far_adj*s_CF_far_dairy),".")</f>
        <v>.</v>
      </c>
      <c r="I20" s="15" t="str">
        <f>IFERROR(s_DL/(s_RadSpec!F20*s_IFSW_far_adj*s_CF_far_swine),".")</f>
        <v>.</v>
      </c>
      <c r="J20" s="15" t="str">
        <f>IFERROR(s_DL/(s_RadSpec!F20*s_IFFI_far_adj*s_CF_far_fish),".")</f>
        <v>.</v>
      </c>
      <c r="K20" s="15" t="str">
        <f>IFERROR(s_DL/(s_RadSpec!F20*s_IFSF_far_adj*s_CF_far_shellfish),".")</f>
        <v>.</v>
      </c>
      <c r="L20" s="15" t="str">
        <f>IFERROR(s_DL/(s_RadSpec!F20*s_IFGO_far_adj*s_CF_far_goat),".")</f>
        <v>.</v>
      </c>
      <c r="M20" s="15" t="str">
        <f>IFERROR(s_DL/(s_RadSpec!F20*s_IFSH_far_adj*s_CF_far_sheep),".")</f>
        <v>.</v>
      </c>
      <c r="N20" s="15" t="str">
        <f>IFERROR(s_DL/(s_RadSpec!F20*s_IFGM_far_adj*s_CF_far_goat_milk),".")</f>
        <v>.</v>
      </c>
      <c r="O20" s="15" t="str">
        <f>IFERROR(s_DL/(s_RadSpec!F20*s_IFSM_far_adj*s_CF_far_sheep_milk),".")</f>
        <v>.</v>
      </c>
      <c r="P20" s="111" t="str">
        <f t="shared" si="47"/>
        <v>.</v>
      </c>
      <c r="Q20" s="111" t="str">
        <f t="shared" si="47"/>
        <v>.</v>
      </c>
      <c r="R20" s="111" t="str">
        <f t="shared" si="47"/>
        <v>.</v>
      </c>
      <c r="S20" s="111" t="str">
        <f t="shared" si="47"/>
        <v>.</v>
      </c>
      <c r="T20" s="111" t="str">
        <f t="shared" si="47"/>
        <v>.</v>
      </c>
      <c r="U20" s="111" t="str">
        <f t="shared" si="47"/>
        <v>.</v>
      </c>
      <c r="V20" s="111" t="str">
        <f t="shared" si="47"/>
        <v>.</v>
      </c>
      <c r="W20" s="111" t="str">
        <f t="shared" si="47"/>
        <v>.</v>
      </c>
      <c r="X20" s="111" t="str">
        <f t="shared" si="59"/>
        <v>.</v>
      </c>
      <c r="Y20" s="111" t="str">
        <f t="shared" si="59"/>
        <v>.</v>
      </c>
      <c r="Z20" s="111" t="str">
        <f t="shared" si="59"/>
        <v>.</v>
      </c>
      <c r="AA20" s="111" t="str">
        <f t="shared" si="59"/>
        <v>.</v>
      </c>
      <c r="AB20" s="15" t="str">
        <f t="shared" si="49"/>
        <v>.</v>
      </c>
      <c r="AC20" s="247">
        <f>IFERROR(AB20*(0.0000000000028)*s_RadSpec!$AY20*s_RadSpec!$AF20,0)</f>
        <v>0</v>
      </c>
      <c r="AD20" s="40">
        <f>s_dir!BC20</f>
        <v>30250</v>
      </c>
      <c r="AE20" s="40">
        <f t="shared" si="1"/>
        <v>7562.5</v>
      </c>
      <c r="AF20" s="40">
        <f t="shared" si="2"/>
        <v>7562.5</v>
      </c>
      <c r="AG20" s="40">
        <f t="shared" si="3"/>
        <v>7562.5</v>
      </c>
      <c r="AH20" s="40">
        <f t="shared" si="4"/>
        <v>7562.5</v>
      </c>
      <c r="AI20" s="40">
        <f t="shared" si="5"/>
        <v>7562.5</v>
      </c>
      <c r="AJ20" s="40">
        <f t="shared" si="6"/>
        <v>7562.5</v>
      </c>
      <c r="AK20" s="40">
        <f t="shared" si="7"/>
        <v>7562.5</v>
      </c>
      <c r="AL20" s="40">
        <f t="shared" si="8"/>
        <v>7562.5</v>
      </c>
      <c r="AM20" s="40">
        <f t="shared" si="9"/>
        <v>7562.5</v>
      </c>
      <c r="AN20" s="40">
        <f t="shared" si="10"/>
        <v>7562.5</v>
      </c>
      <c r="AO20" s="40">
        <f t="shared" si="11"/>
        <v>7562.5</v>
      </c>
      <c r="AP20" s="45" t="str">
        <f>IFERROR((s_DL/(s_RadSpec!E20*s_IFS_far_adj*(1/1000)))*1,".")</f>
        <v>.</v>
      </c>
      <c r="AQ20" s="45" t="str">
        <f>IFERROR(IF(A20="H-3",(s_DL/(s_RadSpec!H20*s_IFA_far_adj*(1/17)*1000))*1,(s_DL/(s_RadSpec!H20*s_IFA_far_adj*(1/s_PEF_wind)*1000))*1),".")</f>
        <v>.</v>
      </c>
      <c r="AR20" s="45">
        <f>IFERROR((s_DL/(s_RadSpec!G20*s_EF_far*(1/365)*1*s_RadSpec!R20*((s_ET_far_o*(1/24)*s_RadSpec!W20)+(s_ET_far_i*(1/24)*s_RadSpec!AB20))))*1,".")</f>
        <v>1559623.3531495451</v>
      </c>
      <c r="AS20" s="45" t="str">
        <f>s_b2s!BC20</f>
        <v>.</v>
      </c>
      <c r="AT20" s="45" t="str">
        <f>IFERROR(((J20*s_RadSpec!AU20)/s_RadSpec!AJ20)*1,".")</f>
        <v>.</v>
      </c>
      <c r="AU20" s="45" t="str">
        <f>IFERROR(((K20*s_RadSpec!AU20)/s_RadSpec!AK20)*1,".")</f>
        <v>.</v>
      </c>
      <c r="AV20" s="45" t="str">
        <f>IFERROR((G20/(s_RadSpec!AI20*((s_Q_p_beef*s_f_p_beef*s_f_s_beef*(s_RadSpec!BD20+s_R_es_past))+(s_Q_s_beef*s_f_p_beef))))*1,".")</f>
        <v>.</v>
      </c>
      <c r="AW20" s="45" t="str">
        <f>IFERROR(((H20*s_D_milk)/(s_RadSpec!AH20*((s_Q_p_dairy*s_f_p_dairy*s_f_s_dairy*(s_RadSpec!BD20+s_R_es_past))+(s_Q_s_dairy*s_f_p_dairy))))*1,".")</f>
        <v>.</v>
      </c>
      <c r="AX20" s="45" t="str">
        <f>IFERROR((I20/(s_RadSpec!AN20*((s_Q_p_swine*s_f_p_swine*s_f_s_swine*(s_RadSpec!BD20+s_R_es_past))+(s_Q_s_swine*s_f_p_swine))))*1,".")</f>
        <v>.</v>
      </c>
      <c r="AY20" s="45" t="str">
        <f>IFERROR((E20/(s_RadSpec!AL20*((s_Q_p_poultry*s_f_p_poultry*s_f_s_poultry*(s_RadSpec!BD20+s_R_es_past))+(s_Q_s_poultry*s_f_p_poultry))))*1,".")</f>
        <v>.</v>
      </c>
      <c r="AZ20" s="45" t="str">
        <f>IFERROR((F20/(s_RadSpec!AM20*((s_Q_p_poultry*s_f_p_poultry*s_f_s_poultry*(s_RadSpec!BD20+s_R_es_past))+(s_Q_s_poultry*s_f_p_poultry))))*1,".")</f>
        <v>.</v>
      </c>
      <c r="BA20" s="45" t="str">
        <f>IFERROR((L20/(s_RadSpec!AQ20*((s_Q_p_goat*s_f_p_goat*s_f_s_goat*(s_RadSpec!BD20+s_R_es_past))+(s_Q_s_goat*s_f_p_goat))))*1,".")</f>
        <v>.</v>
      </c>
      <c r="BB20" s="45" t="str">
        <f>IFERROR((N20*s_D_milk/(s_RadSpec!AR20*((s_Q_p_goat_milk*s_f_p_goat_milk*s_f_s_goat_milk*(s_RadSpec!BD20+s_R_es_past))+(s_Q_s_goat_milk*s_f_p_goat_milk))))*1,".")</f>
        <v>.</v>
      </c>
      <c r="BC20" s="45" t="str">
        <f>IFERROR((M20/(s_RadSpec!AO20*((s_Q_p_sheep*s_f_p_sheep*s_f_s_sheep*(s_RadSpec!BD20+s_R_es_past))+(s_Q_s_sheep*s_f_p_sheep))))*1,".")</f>
        <v>.</v>
      </c>
      <c r="BD20" s="45" t="str">
        <f>IFERROR((O20*s_D_milk/(s_RadSpec!AP20*((s_Q_p_sheep_milk*s_f_p_sheep_milk*s_f_s_sheep_milk*(s_RadSpec!BD20+s_R_es_past))+(s_Q_s_sheep_milk*s_f_p_sheep_milk))))*1,".")</f>
        <v>.</v>
      </c>
      <c r="BE20" s="111" t="str">
        <f t="shared" si="12"/>
        <v>.</v>
      </c>
      <c r="BF20" s="111" t="str">
        <f t="shared" si="13"/>
        <v>.</v>
      </c>
      <c r="BG20" s="111">
        <f t="shared" si="14"/>
        <v>6.4118044781810509E-7</v>
      </c>
      <c r="BH20" s="111" t="str">
        <f t="shared" si="15"/>
        <v>.</v>
      </c>
      <c r="BI20" s="111" t="str">
        <f t="shared" si="16"/>
        <v>.</v>
      </c>
      <c r="BJ20" s="111" t="str">
        <f t="shared" si="16"/>
        <v>.</v>
      </c>
      <c r="BK20" s="111" t="str">
        <f t="shared" si="17"/>
        <v>.</v>
      </c>
      <c r="BL20" s="111" t="str">
        <f t="shared" si="18"/>
        <v>.</v>
      </c>
      <c r="BM20" s="111" t="str">
        <f t="shared" si="19"/>
        <v>.</v>
      </c>
      <c r="BN20" s="111" t="str">
        <f t="shared" si="20"/>
        <v>.</v>
      </c>
      <c r="BO20" s="111" t="str">
        <f t="shared" si="21"/>
        <v>.</v>
      </c>
      <c r="BP20" s="111" t="str">
        <f t="shared" si="22"/>
        <v>.</v>
      </c>
      <c r="BQ20" s="111" t="str">
        <f t="shared" si="23"/>
        <v>.</v>
      </c>
      <c r="BR20" s="111" t="str">
        <f t="shared" si="24"/>
        <v>.</v>
      </c>
      <c r="BS20" s="111" t="str">
        <f t="shared" si="25"/>
        <v>.</v>
      </c>
      <c r="BT20" s="15">
        <f t="shared" si="50"/>
        <v>1559623.3531495451</v>
      </c>
      <c r="BU20" s="189">
        <f>IFERROR(BT20*(0.0000000000028)*s_RadSpec!$AY20*s_RadSpec!$AF20,0)</f>
        <v>4.868806229703962E-15</v>
      </c>
      <c r="BV20" s="40">
        <f t="shared" si="26"/>
        <v>15.125</v>
      </c>
      <c r="BW20" s="40">
        <f t="shared" si="27"/>
        <v>1.6181272791589674E-3</v>
      </c>
      <c r="BX20" s="40">
        <f>IFERROR((s_C*s_EF_far*(1/365)*1*s_RadSpec!R20*((s_ET_far_o*(1/24)*s_RadSpec!W20)+(s_ET_far_i*(1/24)*s_RadSpec!AB20))),".")</f>
        <v>3.3389528315209728E-2</v>
      </c>
      <c r="BY20" s="40">
        <f>s_b2s!CC20</f>
        <v>511.52749999999997</v>
      </c>
      <c r="BZ20" s="40">
        <f>IFERROR(((s_C*s_RadSpec!AJ20)/s_RadSpec!AU20)*s_IFFI_far_adj*s_CF_far_fish,0)</f>
        <v>1296.4285714285713</v>
      </c>
      <c r="CA20" s="40">
        <f>IFERROR(((s_C*s_RadSpec!AK20)/s_RadSpec!AU20)*s_IFSF_far_adj*s_CF_far_shellfish,0)</f>
        <v>0</v>
      </c>
      <c r="CB20" s="40">
        <f>(s_C*s_IFB_far_adj*s_CF_far_beef*s_RadSpec!AI20*((s_Q_p_beef*s_f_p_beef*s_f_s_beef*(s_RadSpec!$AT20+s_R_es_past))+(s_Q_s_beef*s_f_p_beef)))</f>
        <v>1985.938577586207</v>
      </c>
      <c r="CC20" s="40">
        <f>(s_C*s_IFD_far_adj*s_CF_far_dairy*s_RadSpec!AH20*1/s_D_milk*((s_Q_p_dairy*s_f_p_dairy*s_f_s_dairy*(s_RadSpec!$AT20+s_R_es_past))+(s_Q_s_dairy*s_f_p_dairy)))</f>
        <v>134.96669944760632</v>
      </c>
      <c r="CD20" s="40">
        <f>IFERROR((s_C*s_IFSW_far_adj*s_CF_far_swine*s_RadSpec!AN20*((s_Q_p_swine*s_f_p_swine*s_f_s_swine*(s_RadSpec!$AT20+s_R_es_past))+(s_Q_s_swine*s_f_p_swine))),0)</f>
        <v>0</v>
      </c>
      <c r="CE20" s="40">
        <f>IFERROR((s_C*s_IFP_far_adj*s_CF_far_poultry*s_RadSpec!AL20*((s_Q_p_poultry*s_f_p_poultry*s_f_s_poultry*(s_RadSpec!AT20+s_R_es_past))+(s_Q_s_poultry*s_f_p_poultry))),0)</f>
        <v>1588750.8620689656</v>
      </c>
      <c r="CF20" s="40">
        <f>IFERROR((s_C*s_IFE_far_adj*s_CF_far_egg*s_RadSpec!AM20*((s_Q_p_egg*s_f_p_egg*s_f_s_egg*(s_RadSpec!$AT20+s_R_es_past))+(s_Q_s_egg*s_f_p_egg))),0)</f>
        <v>2052136.5301724139</v>
      </c>
      <c r="CG20" s="40">
        <f>IFERROR((s_C*s_IFGO_far_adj*s_CF_far_goat*s_RadSpec!AQ20*((s_Q_p_goat*s_f_p_goat*s_f_s_goat*(s_RadSpec!$AT20+s_R_es_past))+(s_Q_s_goat*s_f_p_goat))),0)</f>
        <v>0</v>
      </c>
      <c r="CH20" s="40">
        <f>IFERROR((s_C*s_IFGM_far_adj*s_CF_far_goat_milk*s_RadSpec!AR20*1/s_D_milk*((s_Q_p_goat_milk*s_f_p_goat_milk*s_f_s_goat_milk*(s_RadSpec!$AT20+s_R_es_past))+(s_Q_s_goat_milk*s_f_p_goat_milk))),0)</f>
        <v>1478.206708235688</v>
      </c>
      <c r="CI20" s="40">
        <f>IFERROR((s_C*s_IFSH_far_adj*s_CF_far_sheep*s_RadSpec!AO20*((s_Q_p_sheep*s_f_p_sheep*s_f_s_sheep*(s_RadSpec!$AT20+s_R_es_past))+(s_Q_s_sheep*s_f_p_sheep))),0)</f>
        <v>33098.976293103449</v>
      </c>
      <c r="CJ20" s="40">
        <f>IFERROR((s_C*s_IFSM_far_adj*s_CF_far_sheep_milk*s_RadSpec!AP20*1/s_D_milk*((s_Q_p_sheep_milk*s_f_p_sheep_milk*s_f_s_sheep_milk*(s_RadSpec!$AT20+s_R_es_past))+(s_Q_s_sheep_milk*s_f_p_sheep_milk))),0)</f>
        <v>0</v>
      </c>
      <c r="CK20" s="18"/>
      <c r="CL20" s="15" t="str">
        <f>IFERROR(s_DL/(s_RadSpec!I20*s_IFW_far_adj),".")</f>
        <v>.</v>
      </c>
      <c r="CM20" s="15" t="str">
        <f>IFERROR(IF(AND(s_RadSpec!C20=1,s_RadSpec!D20&lt;&gt;0),s_DL/(s_RadSpec!H20*s_IFA_far_adj*s_K*s_RadSpec!D20),"."),".")</f>
        <v>.</v>
      </c>
      <c r="CN20" s="15">
        <f>IFERROR((s_DL/(s_RadSpec!M20*(1/8760)*s_DFA_far_adj)),".")</f>
        <v>207179081.48328736</v>
      </c>
      <c r="CO20" s="15" t="str">
        <f>s_b2w!BC20</f>
        <v>.</v>
      </c>
      <c r="CP20" s="15" t="str">
        <f>IFERROR(J20/(s_RadSpec!AJ20*(1/1000)),".")</f>
        <v>.</v>
      </c>
      <c r="CQ20" s="15" t="str">
        <f>IFERROR(K20/(s_RadSpec!AK20*(1/1000)),".")</f>
        <v>.</v>
      </c>
      <c r="CR20" s="15" t="str">
        <f>IFERROR(G20/(s_RadSpec!AI20*s_Q_w_beef*(1/1000)),".")</f>
        <v>.</v>
      </c>
      <c r="CS20" s="15" t="str">
        <f>IFERROR((H20*s_D_milk)/(s_RadSpec!AH20*s_Q_w_dairy*(1/1000)),".")</f>
        <v>.</v>
      </c>
      <c r="CT20" s="15" t="str">
        <f>IFERROR(I20/(s_RadSpec!AN20*s_Q_w_swine*(1/1000)),".")</f>
        <v>.</v>
      </c>
      <c r="CU20" s="15" t="str">
        <f>IFERROR(E20/(s_RadSpec!AL20*s_Q_w_poultry*(1/1000)),".")</f>
        <v>.</v>
      </c>
      <c r="CV20" s="15" t="str">
        <f>IFERROR(F20/(s_RadSpec!AM20*s_Q_w_poultry*(1/1000)),".")</f>
        <v>.</v>
      </c>
      <c r="CW20" s="15" t="str">
        <f>IFERROR(L20/(s_RadSpec!AQ20*s_Q_w_goat*(1/1000)),".")</f>
        <v>.</v>
      </c>
      <c r="CX20" s="15" t="str">
        <f>IFERROR(N20*s_D_milk/(s_RadSpec!AR20*s_Q_w_goat_milk*(1/1000)),".")</f>
        <v>.</v>
      </c>
      <c r="CY20" s="15" t="str">
        <f>IFERROR(M20/(s_RadSpec!AO20*s_Q_w_sheep*(1/1000)),".")</f>
        <v>.</v>
      </c>
      <c r="CZ20" s="15" t="str">
        <f>IFERROR(O20*s_D_milk/(s_RadSpec!AP20*s_Q_w_sheep_milk*(1/1000)),".")</f>
        <v>.</v>
      </c>
      <c r="DA20" s="111" t="str">
        <f t="shared" si="28"/>
        <v>.</v>
      </c>
      <c r="DB20" s="111" t="str">
        <f t="shared" si="29"/>
        <v>.</v>
      </c>
      <c r="DC20" s="111">
        <f t="shared" si="30"/>
        <v>4.8267421249315054E-9</v>
      </c>
      <c r="DD20" s="111" t="str">
        <f t="shared" si="31"/>
        <v>.</v>
      </c>
      <c r="DE20" s="111" t="str">
        <f t="shared" si="32"/>
        <v>.</v>
      </c>
      <c r="DF20" s="111" t="str">
        <f t="shared" si="32"/>
        <v>.</v>
      </c>
      <c r="DG20" s="111" t="str">
        <f t="shared" si="33"/>
        <v>.</v>
      </c>
      <c r="DH20" s="111" t="str">
        <f t="shared" si="34"/>
        <v>.</v>
      </c>
      <c r="DI20" s="111" t="str">
        <f t="shared" si="35"/>
        <v>.</v>
      </c>
      <c r="DJ20" s="111" t="str">
        <f t="shared" si="36"/>
        <v>.</v>
      </c>
      <c r="DK20" s="111" t="str">
        <f t="shared" si="37"/>
        <v>.</v>
      </c>
      <c r="DL20" s="111" t="str">
        <f t="shared" si="38"/>
        <v>.</v>
      </c>
      <c r="DM20" s="111" t="str">
        <f t="shared" si="39"/>
        <v>.</v>
      </c>
      <c r="DN20" s="111" t="str">
        <f t="shared" si="40"/>
        <v>.</v>
      </c>
      <c r="DO20" s="111" t="str">
        <f t="shared" si="41"/>
        <v>.</v>
      </c>
      <c r="DP20" s="15">
        <f t="shared" si="51"/>
        <v>207179081.48328736</v>
      </c>
      <c r="DQ20" s="189">
        <f>DP20*(0.0000000000000028)*s_RadSpec!$AY20*s_RadSpec!$AF20</f>
        <v>6.467682088455194E-16</v>
      </c>
      <c r="DR20" s="40">
        <f t="shared" si="42"/>
        <v>1375</v>
      </c>
      <c r="DS20" s="40">
        <f>IFERROR(IF(s_RadSpec!D20&lt;&gt;"",s_C*s_IFA_far_adj*s_K*s_RadSpec!D20,0),".")</f>
        <v>12.759250911458333</v>
      </c>
      <c r="DT20" s="40">
        <f t="shared" si="43"/>
        <v>0.12557077625570776</v>
      </c>
      <c r="DU20" s="40">
        <f>s_b2w!CC20</f>
        <v>374.32491773106489</v>
      </c>
      <c r="DV20" s="40">
        <f>IFERROR(s_C*s_RadSpec!AJ20*(1/1000)*s_IFFI_far_adj*s_CF_far_fish,0)</f>
        <v>272.25</v>
      </c>
      <c r="DW20" s="40">
        <f>IFERROR(s_C*s_RadSpec!AK20*(1/1000)*s_IFSF_far_adj*s_CF_far_shellfish,0)</f>
        <v>0</v>
      </c>
      <c r="DX20" s="40">
        <f>(s_C*s_IFB_far_adj*s_CF_far_beef*s_RadSpec!AI20*s_Q_w_beef*(1/1000))</f>
        <v>0.1134375</v>
      </c>
      <c r="DY20" s="40">
        <f>(s_C*s_IFD_far_adj*s_CF_far_dairy*s_RadSpec!AH20*(1/s_D_milk)*s_Q_w_dairy*(1/1000))</f>
        <v>7.7093446601941744E-3</v>
      </c>
      <c r="DZ20" s="40">
        <f>IFERROR((s_C*s_IFSW_far_adj*s_CF_far_swine*s_RadSpec!AN20*s_Q_w_swine*(1/1000)),0)</f>
        <v>0</v>
      </c>
      <c r="EA20" s="40">
        <f>IFERROR((s_C*s_IFP_far_adj*s_CF_far_poultry*s_RadSpec!AL20*s_Q_w_poultry*(1/1000)),0)</f>
        <v>90.75</v>
      </c>
      <c r="EB20" s="40">
        <f>IFERROR((s_C*s_IFE_far_adj*s_CF_far_egg*s_RadSpec!AM20*s_Q_w_egg*(1/1000)),0)</f>
        <v>117.21875</v>
      </c>
      <c r="EC20" s="40">
        <f>IFERROR((s_C*s_IFGO_far_adj*s_CF_far_goat*s_RadSpec!AQ20*s_Q_p_goat*(1/1000)),0)</f>
        <v>0</v>
      </c>
      <c r="ED20" s="40">
        <f>IFERROR((s_C*s_IFGM_far_adj*s_CF_far_goat_milk*s_RadSpec!AR20*(1/s_D_milk)*s_Q_p_goat_milk*(1/1000)),0)</f>
        <v>8.4435679611650508E-2</v>
      </c>
      <c r="EE20" s="40">
        <f>IFERROR((s_C*s_IFSH_far_adj*s_CF_far_sheep*s_RadSpec!AO20*s_Q_p_sheep*(1/1000)),0)</f>
        <v>1.890625</v>
      </c>
      <c r="EF20" s="40">
        <f>IFERROR((s_C*s_IFSM_far_adj*s_CF_far_sheep_milk*s_RadSpec!AP20*(1/s_D_milk)*s_Q_p_sheep_milk*(1/1000)),0)</f>
        <v>0</v>
      </c>
      <c r="EG20" s="5"/>
      <c r="EH20" s="15" t="str">
        <f>IFERROR((s_DL/(s_RadSpec!H20*s_IFA_far_adj)),".")</f>
        <v>.</v>
      </c>
      <c r="EI20" s="15">
        <f>IFERROR((s_DL/(s_RadSpec!K20*s_EF_far*(1/365)*1*s_ET_far*(1/24)*s_GSF_a)),".")</f>
        <v>717930038.15050721</v>
      </c>
      <c r="EJ20" s="15">
        <f t="shared" si="60"/>
        <v>717930038.15050721</v>
      </c>
      <c r="EK20" s="189">
        <f>EJ20*(0.0000000000000028)*s_RadSpec!$AY20*s_RadSpec!$AF20</f>
        <v>2.2412220458099469E-15</v>
      </c>
      <c r="EL20" s="40">
        <f t="shared" si="45"/>
        <v>501.30208333333326</v>
      </c>
      <c r="EM20" s="40">
        <f t="shared" si="46"/>
        <v>7.8481735159817351E-2</v>
      </c>
      <c r="EN20" s="113"/>
    </row>
    <row r="21" spans="1:144" customFormat="1" x14ac:dyDescent="0.25">
      <c r="A21" s="44" t="s">
        <v>19</v>
      </c>
      <c r="B21" s="42" t="s">
        <v>1057</v>
      </c>
      <c r="C21" s="238"/>
      <c r="D21" s="15" t="str">
        <f>s_dir!AC21</f>
        <v>.</v>
      </c>
      <c r="E21" s="15" t="str">
        <f>IFERROR(s_DL/(s_RadSpec!F21*s_IFP_far_adj*s_CF_far_poultry),".")</f>
        <v>.</v>
      </c>
      <c r="F21" s="15" t="str">
        <f>IFERROR(s_DL/(s_RadSpec!F21*s_IFE_far_adj*s_CF_far_egg),".")</f>
        <v>.</v>
      </c>
      <c r="G21" s="15" t="str">
        <f>IFERROR(s_DL/(s_RadSpec!F21*s_IFB_far_adj*s_CF_far_beef),".")</f>
        <v>.</v>
      </c>
      <c r="H21" s="15" t="str">
        <f>IFERROR(s_DL/(s_RadSpec!F21*s_IFD_far_adj*s_CF_far_dairy),".")</f>
        <v>.</v>
      </c>
      <c r="I21" s="15" t="str">
        <f>IFERROR(s_DL/(s_RadSpec!F21*s_IFSW_far_adj*s_CF_far_swine),".")</f>
        <v>.</v>
      </c>
      <c r="J21" s="15" t="str">
        <f>IFERROR(s_DL/(s_RadSpec!F21*s_IFFI_far_adj*s_CF_far_fish),".")</f>
        <v>.</v>
      </c>
      <c r="K21" s="15" t="str">
        <f>IFERROR(s_DL/(s_RadSpec!F21*s_IFSF_far_adj*s_CF_far_shellfish),".")</f>
        <v>.</v>
      </c>
      <c r="L21" s="15" t="str">
        <f>IFERROR(s_DL/(s_RadSpec!F21*s_IFGO_far_adj*s_CF_far_goat),".")</f>
        <v>.</v>
      </c>
      <c r="M21" s="15" t="str">
        <f>IFERROR(s_DL/(s_RadSpec!F21*s_IFSH_far_adj*s_CF_far_sheep),".")</f>
        <v>.</v>
      </c>
      <c r="N21" s="15" t="str">
        <f>IFERROR(s_DL/(s_RadSpec!F21*s_IFGM_far_adj*s_CF_far_goat_milk),".")</f>
        <v>.</v>
      </c>
      <c r="O21" s="15" t="str">
        <f>IFERROR(s_DL/(s_RadSpec!F21*s_IFSM_far_adj*s_CF_far_sheep_milk),".")</f>
        <v>.</v>
      </c>
      <c r="P21" s="111" t="str">
        <f t="shared" si="47"/>
        <v>.</v>
      </c>
      <c r="Q21" s="111" t="str">
        <f t="shared" si="47"/>
        <v>.</v>
      </c>
      <c r="R21" s="111" t="str">
        <f t="shared" si="47"/>
        <v>.</v>
      </c>
      <c r="S21" s="111" t="str">
        <f t="shared" si="47"/>
        <v>.</v>
      </c>
      <c r="T21" s="111" t="str">
        <f t="shared" si="47"/>
        <v>.</v>
      </c>
      <c r="U21" s="111" t="str">
        <f t="shared" si="47"/>
        <v>.</v>
      </c>
      <c r="V21" s="111" t="str">
        <f t="shared" si="47"/>
        <v>.</v>
      </c>
      <c r="W21" s="111" t="str">
        <f t="shared" si="47"/>
        <v>.</v>
      </c>
      <c r="X21" s="111" t="str">
        <f t="shared" si="59"/>
        <v>.</v>
      </c>
      <c r="Y21" s="111" t="str">
        <f t="shared" si="59"/>
        <v>.</v>
      </c>
      <c r="Z21" s="111" t="str">
        <f t="shared" si="59"/>
        <v>.</v>
      </c>
      <c r="AA21" s="111" t="str">
        <f t="shared" si="59"/>
        <v>.</v>
      </c>
      <c r="AB21" s="15" t="str">
        <f t="shared" si="49"/>
        <v>.</v>
      </c>
      <c r="AC21" s="247">
        <f>IFERROR(AB21*(0.0000000000028)*s_RadSpec!$AY21*s_RadSpec!$AF21,0)</f>
        <v>0</v>
      </c>
      <c r="AD21" s="40">
        <f>s_dir!BC21</f>
        <v>30250</v>
      </c>
      <c r="AE21" s="40">
        <f t="shared" si="1"/>
        <v>7562.5</v>
      </c>
      <c r="AF21" s="40">
        <f t="shared" si="2"/>
        <v>7562.5</v>
      </c>
      <c r="AG21" s="40">
        <f t="shared" si="3"/>
        <v>7562.5</v>
      </c>
      <c r="AH21" s="40">
        <f t="shared" si="4"/>
        <v>7562.5</v>
      </c>
      <c r="AI21" s="40">
        <f t="shared" si="5"/>
        <v>7562.5</v>
      </c>
      <c r="AJ21" s="40">
        <f t="shared" si="6"/>
        <v>7562.5</v>
      </c>
      <c r="AK21" s="40">
        <f t="shared" si="7"/>
        <v>7562.5</v>
      </c>
      <c r="AL21" s="40">
        <f t="shared" si="8"/>
        <v>7562.5</v>
      </c>
      <c r="AM21" s="40">
        <f t="shared" si="9"/>
        <v>7562.5</v>
      </c>
      <c r="AN21" s="40">
        <f t="shared" si="10"/>
        <v>7562.5</v>
      </c>
      <c r="AO21" s="40">
        <f t="shared" si="11"/>
        <v>7562.5</v>
      </c>
      <c r="AP21" s="45" t="str">
        <f>IFERROR((s_DL/(s_RadSpec!E21*s_IFS_far_adj*(1/1000)))*1,".")</f>
        <v>.</v>
      </c>
      <c r="AQ21" s="45">
        <f>IFERROR(IF(A21="H-3",(s_DL/(s_RadSpec!H21*s_IFA_far_adj*(1/17)*1000))*1,(s_DL/(s_RadSpec!H21*s_IFA_far_adj*(1/s_PEF_wind)*1000))*1),".")</f>
        <v>2027553664.8256507</v>
      </c>
      <c r="AR21" s="45" t="str">
        <f>IFERROR((s_DL/(s_RadSpec!G21*s_EF_far*(1/365)*1*s_RadSpec!R21*((s_ET_far_o*(1/24)*s_RadSpec!W21)+(s_ET_far_i*(1/24)*s_RadSpec!AB21))))*1,".")</f>
        <v>.</v>
      </c>
      <c r="AS21" s="45" t="str">
        <f>s_b2s!BC21</f>
        <v>.</v>
      </c>
      <c r="AT21" s="45" t="str">
        <f>IFERROR(((J21*s_RadSpec!AU21)/s_RadSpec!AJ21)*1,".")</f>
        <v>.</v>
      </c>
      <c r="AU21" s="45" t="str">
        <f>IFERROR(((K21*s_RadSpec!AU21)/s_RadSpec!AK21)*1,".")</f>
        <v>.</v>
      </c>
      <c r="AV21" s="45" t="str">
        <f>IFERROR((G21/(s_RadSpec!AI21*((s_Q_p_beef*s_f_p_beef*s_f_s_beef*(s_RadSpec!BD21+s_R_es_past))+(s_Q_s_beef*s_f_p_beef))))*1,".")</f>
        <v>.</v>
      </c>
      <c r="AW21" s="45" t="str">
        <f>IFERROR(((H21*s_D_milk)/(s_RadSpec!AH21*((s_Q_p_dairy*s_f_p_dairy*s_f_s_dairy*(s_RadSpec!BD21+s_R_es_past))+(s_Q_s_dairy*s_f_p_dairy))))*1,".")</f>
        <v>.</v>
      </c>
      <c r="AX21" s="45" t="str">
        <f>IFERROR((I21/(s_RadSpec!AN21*((s_Q_p_swine*s_f_p_swine*s_f_s_swine*(s_RadSpec!BD21+s_R_es_past))+(s_Q_s_swine*s_f_p_swine))))*1,".")</f>
        <v>.</v>
      </c>
      <c r="AY21" s="45" t="str">
        <f>IFERROR((E21/(s_RadSpec!AL21*((s_Q_p_poultry*s_f_p_poultry*s_f_s_poultry*(s_RadSpec!BD21+s_R_es_past))+(s_Q_s_poultry*s_f_p_poultry))))*1,".")</f>
        <v>.</v>
      </c>
      <c r="AZ21" s="45" t="str">
        <f>IFERROR((F21/(s_RadSpec!AM21*((s_Q_p_poultry*s_f_p_poultry*s_f_s_poultry*(s_RadSpec!BD21+s_R_es_past))+(s_Q_s_poultry*s_f_p_poultry))))*1,".")</f>
        <v>.</v>
      </c>
      <c r="BA21" s="45" t="str">
        <f>IFERROR((L21/(s_RadSpec!AQ21*((s_Q_p_goat*s_f_p_goat*s_f_s_goat*(s_RadSpec!BD21+s_R_es_past))+(s_Q_s_goat*s_f_p_goat))))*1,".")</f>
        <v>.</v>
      </c>
      <c r="BB21" s="45" t="str">
        <f>IFERROR((N21*s_D_milk/(s_RadSpec!AR21*((s_Q_p_goat_milk*s_f_p_goat_milk*s_f_s_goat_milk*(s_RadSpec!BD21+s_R_es_past))+(s_Q_s_goat_milk*s_f_p_goat_milk))))*1,".")</f>
        <v>.</v>
      </c>
      <c r="BC21" s="45" t="str">
        <f>IFERROR((M21/(s_RadSpec!AO21*((s_Q_p_sheep*s_f_p_sheep*s_f_s_sheep*(s_RadSpec!BD21+s_R_es_past))+(s_Q_s_sheep*s_f_p_sheep))))*1,".")</f>
        <v>.</v>
      </c>
      <c r="BD21" s="45" t="str">
        <f>IFERROR((O21*s_D_milk/(s_RadSpec!AP21*((s_Q_p_sheep_milk*s_f_p_sheep_milk*s_f_s_sheep_milk*(s_RadSpec!BD21+s_R_es_past))+(s_Q_s_sheep_milk*s_f_p_sheep_milk))))*1,".")</f>
        <v>.</v>
      </c>
      <c r="BE21" s="111" t="str">
        <f t="shared" si="12"/>
        <v>.</v>
      </c>
      <c r="BF21" s="111">
        <f t="shared" si="13"/>
        <v>4.9320519468765329E-10</v>
      </c>
      <c r="BG21" s="111" t="str">
        <f t="shared" si="14"/>
        <v>.</v>
      </c>
      <c r="BH21" s="111" t="str">
        <f t="shared" si="15"/>
        <v>.</v>
      </c>
      <c r="BI21" s="111" t="str">
        <f t="shared" si="16"/>
        <v>.</v>
      </c>
      <c r="BJ21" s="111" t="str">
        <f t="shared" si="16"/>
        <v>.</v>
      </c>
      <c r="BK21" s="111" t="str">
        <f t="shared" si="17"/>
        <v>.</v>
      </c>
      <c r="BL21" s="111" t="str">
        <f t="shared" si="18"/>
        <v>.</v>
      </c>
      <c r="BM21" s="111" t="str">
        <f t="shared" si="19"/>
        <v>.</v>
      </c>
      <c r="BN21" s="111" t="str">
        <f t="shared" si="20"/>
        <v>.</v>
      </c>
      <c r="BO21" s="111" t="str">
        <f t="shared" si="21"/>
        <v>.</v>
      </c>
      <c r="BP21" s="111" t="str">
        <f t="shared" si="22"/>
        <v>.</v>
      </c>
      <c r="BQ21" s="111" t="str">
        <f t="shared" si="23"/>
        <v>.</v>
      </c>
      <c r="BR21" s="111" t="str">
        <f t="shared" si="24"/>
        <v>.</v>
      </c>
      <c r="BS21" s="111" t="str">
        <f t="shared" si="25"/>
        <v>.</v>
      </c>
      <c r="BT21" s="15">
        <f t="shared" si="50"/>
        <v>2027553664.8256507</v>
      </c>
      <c r="BU21" s="189">
        <f>IFERROR(BT21*(0.0000000000028)*s_RadSpec!$AY21*s_RadSpec!$AF21,0)</f>
        <v>7.2995018012360878E-6</v>
      </c>
      <c r="BV21" s="40">
        <f t="shared" si="26"/>
        <v>15.125</v>
      </c>
      <c r="BW21" s="40">
        <f t="shared" si="27"/>
        <v>1.6181272791589674E-3</v>
      </c>
      <c r="BX21" s="40">
        <f>IFERROR((s_C*s_EF_far*(1/365)*1*s_RadSpec!R21*((s_ET_far_o*(1/24)*s_RadSpec!W21)+(s_ET_far_i*(1/24)*s_RadSpec!AB21))),".")</f>
        <v>0</v>
      </c>
      <c r="BY21" s="40">
        <f>s_b2s!CC21</f>
        <v>511.52749999999997</v>
      </c>
      <c r="BZ21" s="40">
        <f>IFERROR(((s_C*s_RadSpec!AJ21)/s_RadSpec!AU21)*s_IFFI_far_adj*s_CF_far_fish,0)</f>
        <v>1296.4285714285713</v>
      </c>
      <c r="CA21" s="40">
        <f>IFERROR(((s_C*s_RadSpec!AK21)/s_RadSpec!AU21)*s_IFSF_far_adj*s_CF_far_shellfish,0)</f>
        <v>0</v>
      </c>
      <c r="CB21" s="40">
        <f>(s_C*s_IFB_far_adj*s_CF_far_beef*s_RadSpec!AI21*((s_Q_p_beef*s_f_p_beef*s_f_s_beef*(s_RadSpec!$AT21+s_R_es_past))+(s_Q_s_beef*s_f_p_beef)))</f>
        <v>1985.938577586207</v>
      </c>
      <c r="CC21" s="40">
        <f>(s_C*s_IFD_far_adj*s_CF_far_dairy*s_RadSpec!AH21*1/s_D_milk*((s_Q_p_dairy*s_f_p_dairy*s_f_s_dairy*(s_RadSpec!$AT21+s_R_es_past))+(s_Q_s_dairy*s_f_p_dairy)))</f>
        <v>134.96669944760632</v>
      </c>
      <c r="CD21" s="40">
        <f>IFERROR((s_C*s_IFSW_far_adj*s_CF_far_swine*s_RadSpec!AN21*((s_Q_p_swine*s_f_p_swine*s_f_s_swine*(s_RadSpec!$AT21+s_R_es_past))+(s_Q_s_swine*s_f_p_swine))),0)</f>
        <v>0</v>
      </c>
      <c r="CE21" s="40">
        <f>IFERROR((s_C*s_IFP_far_adj*s_CF_far_poultry*s_RadSpec!AL21*((s_Q_p_poultry*s_f_p_poultry*s_f_s_poultry*(s_RadSpec!AT21+s_R_es_past))+(s_Q_s_poultry*s_f_p_poultry))),0)</f>
        <v>1588750.8620689656</v>
      </c>
      <c r="CF21" s="40">
        <f>IFERROR((s_C*s_IFE_far_adj*s_CF_far_egg*s_RadSpec!AM21*((s_Q_p_egg*s_f_p_egg*s_f_s_egg*(s_RadSpec!$AT21+s_R_es_past))+(s_Q_s_egg*s_f_p_egg))),0)</f>
        <v>2052136.5301724139</v>
      </c>
      <c r="CG21" s="40">
        <f>IFERROR((s_C*s_IFGO_far_adj*s_CF_far_goat*s_RadSpec!AQ21*((s_Q_p_goat*s_f_p_goat*s_f_s_goat*(s_RadSpec!$AT21+s_R_es_past))+(s_Q_s_goat*s_f_p_goat))),0)</f>
        <v>0</v>
      </c>
      <c r="CH21" s="40">
        <f>IFERROR((s_C*s_IFGM_far_adj*s_CF_far_goat_milk*s_RadSpec!AR21*1/s_D_milk*((s_Q_p_goat_milk*s_f_p_goat_milk*s_f_s_goat_milk*(s_RadSpec!$AT21+s_R_es_past))+(s_Q_s_goat_milk*s_f_p_goat_milk))),0)</f>
        <v>1478.206708235688</v>
      </c>
      <c r="CI21" s="40">
        <f>IFERROR((s_C*s_IFSH_far_adj*s_CF_far_sheep*s_RadSpec!AO21*((s_Q_p_sheep*s_f_p_sheep*s_f_s_sheep*(s_RadSpec!$AT21+s_R_es_past))+(s_Q_s_sheep*s_f_p_sheep))),0)</f>
        <v>33098.976293103449</v>
      </c>
      <c r="CJ21" s="40">
        <f>IFERROR((s_C*s_IFSM_far_adj*s_CF_far_sheep_milk*s_RadSpec!AP21*1/s_D_milk*((s_Q_p_sheep_milk*s_f_p_sheep_milk*s_f_s_sheep_milk*(s_RadSpec!$AT21+s_R_es_past))+(s_Q_s_sheep_milk*s_f_p_sheep_milk))),0)</f>
        <v>0</v>
      </c>
      <c r="CK21" s="18"/>
      <c r="CL21" s="15" t="str">
        <f>IFERROR(s_DL/(s_RadSpec!I21*s_IFW_far_adj),".")</f>
        <v>.</v>
      </c>
      <c r="CM21" s="15">
        <f>IFERROR(IF(AND(s_RadSpec!C21=1,s_RadSpec!D21&lt;&gt;0),s_DL/(s_RadSpec!H21*s_IFA_far_adj*s_K*s_RadSpec!D21),"."),".")</f>
        <v>17967.595465634375</v>
      </c>
      <c r="CN21" s="15">
        <f>IFERROR((s_DL/(s_RadSpec!M21*(1/8760)*s_DFA_far_adj)),".")</f>
        <v>596183161051.55762</v>
      </c>
      <c r="CO21" s="15" t="str">
        <f>s_b2w!BC21</f>
        <v>.</v>
      </c>
      <c r="CP21" s="15" t="str">
        <f>IFERROR(J21/(s_RadSpec!AJ21*(1/1000)),".")</f>
        <v>.</v>
      </c>
      <c r="CQ21" s="15" t="str">
        <f>IFERROR(K21/(s_RadSpec!AK21*(1/1000)),".")</f>
        <v>.</v>
      </c>
      <c r="CR21" s="15" t="str">
        <f>IFERROR(G21/(s_RadSpec!AI21*s_Q_w_beef*(1/1000)),".")</f>
        <v>.</v>
      </c>
      <c r="CS21" s="15" t="str">
        <f>IFERROR((H21*s_D_milk)/(s_RadSpec!AH21*s_Q_w_dairy*(1/1000)),".")</f>
        <v>.</v>
      </c>
      <c r="CT21" s="15" t="str">
        <f>IFERROR(I21/(s_RadSpec!AN21*s_Q_w_swine*(1/1000)),".")</f>
        <v>.</v>
      </c>
      <c r="CU21" s="15" t="str">
        <f>IFERROR(E21/(s_RadSpec!AL21*s_Q_w_poultry*(1/1000)),".")</f>
        <v>.</v>
      </c>
      <c r="CV21" s="15" t="str">
        <f>IFERROR(F21/(s_RadSpec!AM21*s_Q_w_poultry*(1/1000)),".")</f>
        <v>.</v>
      </c>
      <c r="CW21" s="15" t="str">
        <f>IFERROR(L21/(s_RadSpec!AQ21*s_Q_w_goat*(1/1000)),".")</f>
        <v>.</v>
      </c>
      <c r="CX21" s="15" t="str">
        <f>IFERROR(N21*s_D_milk/(s_RadSpec!AR21*s_Q_w_goat_milk*(1/1000)),".")</f>
        <v>.</v>
      </c>
      <c r="CY21" s="15" t="str">
        <f>IFERROR(M21/(s_RadSpec!AO21*s_Q_w_sheep*(1/1000)),".")</f>
        <v>.</v>
      </c>
      <c r="CZ21" s="15" t="str">
        <f>IFERROR(O21*s_D_milk/(s_RadSpec!AP21*s_Q_w_sheep_milk*(1/1000)),".")</f>
        <v>.</v>
      </c>
      <c r="DA21" s="111" t="str">
        <f t="shared" si="28"/>
        <v>.</v>
      </c>
      <c r="DB21" s="111">
        <f>IFERROR(1/CM21,".")</f>
        <v>5.5655749925617185E-5</v>
      </c>
      <c r="DC21" s="111">
        <f t="shared" si="30"/>
        <v>1.6773368745205477E-12</v>
      </c>
      <c r="DD21" s="111" t="str">
        <f t="shared" si="31"/>
        <v>.</v>
      </c>
      <c r="DE21" s="111" t="str">
        <f t="shared" si="32"/>
        <v>.</v>
      </c>
      <c r="DF21" s="111" t="str">
        <f t="shared" si="32"/>
        <v>.</v>
      </c>
      <c r="DG21" s="111" t="str">
        <f t="shared" si="33"/>
        <v>.</v>
      </c>
      <c r="DH21" s="111" t="str">
        <f t="shared" si="34"/>
        <v>.</v>
      </c>
      <c r="DI21" s="111" t="str">
        <f t="shared" si="35"/>
        <v>.</v>
      </c>
      <c r="DJ21" s="111" t="str">
        <f t="shared" si="36"/>
        <v>.</v>
      </c>
      <c r="DK21" s="111" t="str">
        <f t="shared" si="37"/>
        <v>.</v>
      </c>
      <c r="DL21" s="111" t="str">
        <f t="shared" si="38"/>
        <v>.</v>
      </c>
      <c r="DM21" s="111" t="str">
        <f t="shared" si="39"/>
        <v>.</v>
      </c>
      <c r="DN21" s="111" t="str">
        <f t="shared" si="40"/>
        <v>.</v>
      </c>
      <c r="DO21" s="111" t="str">
        <f t="shared" si="41"/>
        <v>.</v>
      </c>
      <c r="DP21" s="15">
        <f>IFERROR(1/(SUMIF(DA21:DO21,"&lt;&gt;0")),".")</f>
        <v>17967.594924132201</v>
      </c>
      <c r="DQ21" s="189">
        <f>DP21*(0.0000000000000028)*s_RadSpec!$AY21*s_RadSpec!$AF21</f>
        <v>6.4686076520623862E-14</v>
      </c>
      <c r="DR21" s="40">
        <f t="shared" si="42"/>
        <v>1375</v>
      </c>
      <c r="DS21" s="40">
        <f>IFERROR(IF(s_RadSpec!D21&lt;&gt;"",s_C*s_IFA_far_adj*s_K*s_RadSpec!D21,0),".")</f>
        <v>182.59760474283851</v>
      </c>
      <c r="DT21" s="40">
        <f t="shared" si="43"/>
        <v>0.12557077625570776</v>
      </c>
      <c r="DU21" s="40">
        <f>s_b2w!CC21</f>
        <v>374.32491773106489</v>
      </c>
      <c r="DV21" s="40">
        <f>IFERROR(s_C*s_RadSpec!AJ21*(1/1000)*s_IFFI_far_adj*s_CF_far_fish,0)</f>
        <v>272.25</v>
      </c>
      <c r="DW21" s="40">
        <f>IFERROR(s_C*s_RadSpec!AK21*(1/1000)*s_IFSF_far_adj*s_CF_far_shellfish,0)</f>
        <v>0</v>
      </c>
      <c r="DX21" s="40">
        <f>(s_C*s_IFB_far_adj*s_CF_far_beef*s_RadSpec!AI21*s_Q_w_beef*(1/1000))</f>
        <v>0.1134375</v>
      </c>
      <c r="DY21" s="40">
        <f>(s_C*s_IFD_far_adj*s_CF_far_dairy*s_RadSpec!AH21*(1/s_D_milk)*s_Q_w_dairy*(1/1000))</f>
        <v>7.7093446601941744E-3</v>
      </c>
      <c r="DZ21" s="40">
        <f>IFERROR((s_C*s_IFSW_far_adj*s_CF_far_swine*s_RadSpec!AN21*s_Q_w_swine*(1/1000)),0)</f>
        <v>0</v>
      </c>
      <c r="EA21" s="40">
        <f>IFERROR((s_C*s_IFP_far_adj*s_CF_far_poultry*s_RadSpec!AL21*s_Q_w_poultry*(1/1000)),0)</f>
        <v>90.75</v>
      </c>
      <c r="EB21" s="40">
        <f>IFERROR((s_C*s_IFE_far_adj*s_CF_far_egg*s_RadSpec!AM21*s_Q_w_egg*(1/1000)),0)</f>
        <v>117.21875</v>
      </c>
      <c r="EC21" s="40">
        <f>IFERROR((s_C*s_IFGO_far_adj*s_CF_far_goat*s_RadSpec!AQ21*s_Q_p_goat*(1/1000)),0)</f>
        <v>0</v>
      </c>
      <c r="ED21" s="40">
        <f>IFERROR((s_C*s_IFGM_far_adj*s_CF_far_goat_milk*s_RadSpec!AR21*(1/s_D_milk)*s_Q_p_goat_milk*(1/1000)),0)</f>
        <v>8.4435679611650508E-2</v>
      </c>
      <c r="EE21" s="40">
        <f>IFERROR((s_C*s_IFSH_far_adj*s_CF_far_sheep*s_RadSpec!AO21*s_Q_p_sheep*(1/1000)),0)</f>
        <v>1.890625</v>
      </c>
      <c r="EF21" s="40">
        <f>IFERROR((s_C*s_IFSM_far_adj*s_CF_far_sheep_milk*s_RadSpec!AP21*(1/s_D_milk)*s_Q_p_sheep_milk*(1/1000)),0)</f>
        <v>0</v>
      </c>
      <c r="EG21" s="5"/>
      <c r="EH21" s="15">
        <f>IFERROR((s_DL/(s_RadSpec!H21*s_IFA_far_adj)),".")</f>
        <v>6544.6364658963093</v>
      </c>
      <c r="EI21" s="15">
        <f>IFERROR((s_DL/(s_RadSpec!K21*s_EF_far*(1/365)*1*s_ET_far*(1/24)*s_GSF_a)),".")</f>
        <v>1041272574416.7661</v>
      </c>
      <c r="EJ21" s="15">
        <f t="shared" si="60"/>
        <v>6544.6364247617721</v>
      </c>
      <c r="EK21" s="189">
        <f>EJ21*(0.0000000000000028)*s_RadSpec!$AY21*s_RadSpec!$AF21</f>
        <v>2.3561687268628635E-14</v>
      </c>
      <c r="EL21" s="40">
        <f t="shared" si="45"/>
        <v>501.30208333333326</v>
      </c>
      <c r="EM21" s="40">
        <f t="shared" si="46"/>
        <v>7.8481735159817351E-2</v>
      </c>
      <c r="EN21" s="113"/>
    </row>
    <row r="22" spans="1:144" customFormat="1" x14ac:dyDescent="0.25">
      <c r="A22" s="44" t="s">
        <v>20</v>
      </c>
      <c r="B22" s="42" t="s">
        <v>1057</v>
      </c>
      <c r="C22" s="42"/>
      <c r="D22" s="15">
        <f>s_dir!AC22</f>
        <v>0.9385036123004038</v>
      </c>
      <c r="E22" s="15">
        <f>IFERROR(s_DL/(s_RadSpec!F22*s_IFP_far_adj*s_CF_far_poultry),".")</f>
        <v>3.7540144492016148</v>
      </c>
      <c r="F22" s="15">
        <f>IFERROR(s_DL/(s_RadSpec!F22*s_IFE_far_adj*s_CF_far_egg),".")</f>
        <v>3.7540144492016148</v>
      </c>
      <c r="G22" s="15">
        <f>IFERROR(s_DL/(s_RadSpec!F22*s_IFB_far_adj*s_CF_far_beef),".")</f>
        <v>3.7540144492016148</v>
      </c>
      <c r="H22" s="15">
        <f>IFERROR(s_DL/(s_RadSpec!F22*s_IFD_far_adj*s_CF_far_dairy),".")</f>
        <v>3.7540144492016148</v>
      </c>
      <c r="I22" s="15">
        <f>IFERROR(s_DL/(s_RadSpec!F22*s_IFSW_far_adj*s_CF_far_swine),".")</f>
        <v>3.7540144492016148</v>
      </c>
      <c r="J22" s="15">
        <f>IFERROR(s_DL/(s_RadSpec!F22*s_IFFI_far_adj*s_CF_far_fish),".")</f>
        <v>3.7540144492016148</v>
      </c>
      <c r="K22" s="15">
        <f>IFERROR(s_DL/(s_RadSpec!F22*s_IFSF_far_adj*s_CF_far_shellfish),".")</f>
        <v>3.7540144492016148</v>
      </c>
      <c r="L22" s="15">
        <f>IFERROR(s_DL/(s_RadSpec!F22*s_IFGO_far_adj*s_CF_far_goat),".")</f>
        <v>3.7540144492016148</v>
      </c>
      <c r="M22" s="15">
        <f>IFERROR(s_DL/(s_RadSpec!F22*s_IFSH_far_adj*s_CF_far_sheep),".")</f>
        <v>3.7540144492016148</v>
      </c>
      <c r="N22" s="15">
        <f>IFERROR(s_DL/(s_RadSpec!F22*s_IFGM_far_adj*s_CF_far_goat_milk),".")</f>
        <v>3.7540144492016148</v>
      </c>
      <c r="O22" s="15">
        <f>IFERROR(s_DL/(s_RadSpec!F22*s_IFSM_far_adj*s_CF_far_sheep_milk),".")</f>
        <v>3.7540144492016148</v>
      </c>
      <c r="P22" s="111">
        <f t="shared" si="47"/>
        <v>0.26638149999999999</v>
      </c>
      <c r="Q22" s="111">
        <f t="shared" si="47"/>
        <v>0.26638149999999999</v>
      </c>
      <c r="R22" s="111">
        <f t="shared" si="47"/>
        <v>0.26638149999999999</v>
      </c>
      <c r="S22" s="111">
        <f t="shared" si="47"/>
        <v>0.26638149999999999</v>
      </c>
      <c r="T22" s="111">
        <f t="shared" si="47"/>
        <v>0.26638149999999999</v>
      </c>
      <c r="U22" s="111">
        <f t="shared" si="47"/>
        <v>0.26638149999999999</v>
      </c>
      <c r="V22" s="111">
        <f t="shared" si="47"/>
        <v>0.26638149999999999</v>
      </c>
      <c r="W22" s="111">
        <f t="shared" si="47"/>
        <v>0.26638149999999999</v>
      </c>
      <c r="X22" s="111">
        <f t="shared" si="59"/>
        <v>0.26638149999999999</v>
      </c>
      <c r="Y22" s="111">
        <f t="shared" si="59"/>
        <v>0.26638149999999999</v>
      </c>
      <c r="Z22" s="111">
        <f t="shared" si="59"/>
        <v>0.26638149999999999</v>
      </c>
      <c r="AA22" s="111">
        <f t="shared" si="59"/>
        <v>0.26638149999999999</v>
      </c>
      <c r="AB22" s="15">
        <f t="shared" si="49"/>
        <v>0.3128345374334679</v>
      </c>
      <c r="AC22" s="247">
        <f>IFERROR(AB22*(0.0000000000028)*s_RadSpec!$AY22*s_RadSpec!$AF22,0)</f>
        <v>8.0454186380492183E-12</v>
      </c>
      <c r="AD22" s="40">
        <f>s_dir!BC22</f>
        <v>30250</v>
      </c>
      <c r="AE22" s="40">
        <f t="shared" si="1"/>
        <v>7562.5</v>
      </c>
      <c r="AF22" s="40">
        <f t="shared" si="2"/>
        <v>7562.5</v>
      </c>
      <c r="AG22" s="40">
        <f t="shared" si="3"/>
        <v>7562.5</v>
      </c>
      <c r="AH22" s="40">
        <f t="shared" si="4"/>
        <v>7562.5</v>
      </c>
      <c r="AI22" s="40">
        <f t="shared" si="5"/>
        <v>7562.5</v>
      </c>
      <c r="AJ22" s="40">
        <f t="shared" si="6"/>
        <v>7562.5</v>
      </c>
      <c r="AK22" s="40">
        <f t="shared" si="7"/>
        <v>7562.5</v>
      </c>
      <c r="AL22" s="40">
        <f t="shared" si="8"/>
        <v>7562.5</v>
      </c>
      <c r="AM22" s="40">
        <f t="shared" si="9"/>
        <v>7562.5</v>
      </c>
      <c r="AN22" s="40">
        <f t="shared" si="10"/>
        <v>7562.5</v>
      </c>
      <c r="AO22" s="40">
        <f t="shared" si="11"/>
        <v>7562.5</v>
      </c>
      <c r="AP22" s="45">
        <f>IFERROR((s_DL/(s_RadSpec!E22*s_IFS_far_adj*(1/1000)))*1,".")</f>
        <v>1877.0072246008076</v>
      </c>
      <c r="AQ22" s="45">
        <f>IFERROR(IF(A22="H-3",(s_DL/(s_RadSpec!H22*s_IFA_far_adj*(1/17)*1000))*1,(s_DL/(s_RadSpec!H22*s_IFA_far_adj*(1/s_PEF_wind)*1000))*1),".")</f>
        <v>496511.84002222132</v>
      </c>
      <c r="AR22" s="45">
        <f>IFERROR((s_DL/(s_RadSpec!G22*s_EF_far*(1/365)*1*s_RadSpec!R22*((s_ET_far_o*(1/24)*s_RadSpec!W22)+(s_ET_far_i*(1/24)*s_RadSpec!AB22))))*1,".")</f>
        <v>357379967164.38788</v>
      </c>
      <c r="AS22" s="45">
        <f>s_b2s!BC22</f>
        <v>37.96919641146571</v>
      </c>
      <c r="AT22" s="45">
        <f>IFERROR(((J22*s_RadSpec!AU22)/s_RadSpec!AJ22)*1,".")</f>
        <v>0.93850361230040369</v>
      </c>
      <c r="AU22" s="45">
        <f>IFERROR(((K22*s_RadSpec!AU22)/s_RadSpec!AK22)*1,".")</f>
        <v>3.7540144492016148E-2</v>
      </c>
      <c r="AV22" s="45">
        <f>IFERROR((G22/(s_RadSpec!AI22*((s_Q_p_beef*s_f_p_beef*s_f_s_beef*(s_RadSpec!BD22+s_R_es_past))+(s_Q_s_beef*s_f_p_beef))))*1,".")</f>
        <v>24.551720133850083</v>
      </c>
      <c r="AW22" s="45">
        <f>IFERROR(((H22*s_D_milk)/(s_RadSpec!AH22*((s_Q_p_dairy*s_f_p_dairy*s_f_s_dairy*(s_RadSpec!BD22+s_R_es_past))+(s_Q_s_dairy*s_f_p_dairy))))*1,".")</f>
        <v>113.13174198518814</v>
      </c>
      <c r="AX22" s="45" t="str">
        <f>IFERROR((I22/(s_RadSpec!AN22*((s_Q_p_swine*s_f_p_swine*s_f_s_swine*(s_RadSpec!BD22+s_R_es_past))+(s_Q_s_swine*s_f_p_swine))))*1,".")</f>
        <v>.</v>
      </c>
      <c r="AY22" s="45" t="str">
        <f>IFERROR((E22/(s_RadSpec!AL22*((s_Q_p_poultry*s_f_p_poultry*s_f_s_poultry*(s_RadSpec!BD22+s_R_es_past))+(s_Q_s_poultry*s_f_p_poultry))))*1,".")</f>
        <v>.</v>
      </c>
      <c r="AZ22" s="45" t="str">
        <f>IFERROR((F22/(s_RadSpec!AM22*((s_Q_p_poultry*s_f_p_poultry*s_f_s_poultry*(s_RadSpec!BD22+s_R_es_past))+(s_Q_s_poultry*s_f_p_poultry))))*1,".")</f>
        <v>.</v>
      </c>
      <c r="BA22" s="45" t="str">
        <f>IFERROR((L22/(s_RadSpec!AQ22*((s_Q_p_goat*s_f_p_goat*s_f_s_goat*(s_RadSpec!BD22+s_R_es_past))+(s_Q_s_goat*s_f_p_goat))))*1,".")</f>
        <v>.</v>
      </c>
      <c r="BB22" s="45" t="str">
        <f>IFERROR((N22*s_D_milk/(s_RadSpec!AR22*((s_Q_p_goat_milk*s_f_p_goat_milk*s_f_s_goat_milk*(s_RadSpec!BD22+s_R_es_past))+(s_Q_s_goat_milk*s_f_p_goat_milk))))*1,".")</f>
        <v>.</v>
      </c>
      <c r="BC22" s="45">
        <f>IFERROR((M22/(s_RadSpec!AO22*((s_Q_p_sheep*s_f_p_sheep*s_f_s_sheep*(s_RadSpec!BD22+s_R_es_past))+(s_Q_s_sheep*s_f_p_sheep))))*1,".")</f>
        <v>8.3475848455090276</v>
      </c>
      <c r="BD22" s="45" t="str">
        <f>IFERROR((O22*s_D_milk/(s_RadSpec!AP22*((s_Q_p_sheep_milk*s_f_p_sheep_milk*s_f_s_sheep_milk*(s_RadSpec!BD22+s_R_es_past))+(s_Q_s_sheep_milk*s_f_p_sheep_milk))))*1,".")</f>
        <v>.</v>
      </c>
      <c r="BE22" s="111">
        <f t="shared" si="12"/>
        <v>5.3276300000000001E-4</v>
      </c>
      <c r="BF22" s="111">
        <f t="shared" si="13"/>
        <v>2.0140506618235832E-6</v>
      </c>
      <c r="BG22" s="111">
        <f t="shared" si="14"/>
        <v>2.7981422907793242E-12</v>
      </c>
      <c r="BH22" s="111">
        <f t="shared" si="15"/>
        <v>2.6337138905000002E-2</v>
      </c>
      <c r="BI22" s="111">
        <f t="shared" si="16"/>
        <v>1.065526</v>
      </c>
      <c r="BJ22" s="111">
        <f t="shared" si="16"/>
        <v>26.638150000000003</v>
      </c>
      <c r="BK22" s="111">
        <f t="shared" si="17"/>
        <v>4.0730343721264342E-2</v>
      </c>
      <c r="BL22" s="111">
        <f t="shared" si="18"/>
        <v>8.8392522067849508E-3</v>
      </c>
      <c r="BM22" s="111" t="str">
        <f t="shared" si="19"/>
        <v>.</v>
      </c>
      <c r="BN22" s="111" t="str">
        <f t="shared" si="20"/>
        <v>.</v>
      </c>
      <c r="BO22" s="111" t="str">
        <f t="shared" si="21"/>
        <v>.</v>
      </c>
      <c r="BP22" s="111" t="str">
        <f t="shared" si="22"/>
        <v>.</v>
      </c>
      <c r="BQ22" s="111" t="str">
        <f t="shared" si="23"/>
        <v>.</v>
      </c>
      <c r="BR22" s="111">
        <f t="shared" si="24"/>
        <v>0.11979512859195394</v>
      </c>
      <c r="BS22" s="111" t="str">
        <f t="shared" si="25"/>
        <v>.</v>
      </c>
      <c r="BT22" s="15">
        <f t="shared" si="50"/>
        <v>3.584240613532081E-2</v>
      </c>
      <c r="BU22" s="189">
        <f>IFERROR(BT22*(0.0000000000028)*s_RadSpec!$AY22*s_RadSpec!$AF22,0)</f>
        <v>9.2178812710207291E-13</v>
      </c>
      <c r="BV22" s="40">
        <f t="shared" si="26"/>
        <v>15.125</v>
      </c>
      <c r="BW22" s="40">
        <f t="shared" si="27"/>
        <v>1.6181272791589674E-3</v>
      </c>
      <c r="BX22" s="40">
        <f>IFERROR((s_C*s_EF_far*(1/365)*1*s_RadSpec!R22*((s_ET_far_o*(1/24)*s_RadSpec!W22)+(s_ET_far_i*(1/24)*s_RadSpec!AB22))),".")</f>
        <v>7.8508115574997097E-9</v>
      </c>
      <c r="BY22" s="40">
        <f>s_b2s!CC22</f>
        <v>747.70437500000003</v>
      </c>
      <c r="BZ22" s="40">
        <f>IFERROR(((s_C*s_RadSpec!AJ22)/s_RadSpec!AU22)*s_IFFI_far_adj*s_CF_far_fish,0)</f>
        <v>30250</v>
      </c>
      <c r="CA22" s="40">
        <f>IFERROR(((s_C*s_RadSpec!AK22)/s_RadSpec!AU22)*s_IFSF_far_adj*s_CF_far_shellfish,0)</f>
        <v>756250</v>
      </c>
      <c r="CB22" s="40">
        <f>(s_C*s_IFB_far_adj*s_CF_far_beef*s_RadSpec!AI22*((s_Q_p_beef*s_f_p_beef*s_f_s_beef*(s_RadSpec!$AT22+s_R_es_past))+(s_Q_s_beef*s_f_p_beef)))</f>
        <v>1156.3236350574705</v>
      </c>
      <c r="CC22" s="40">
        <f>(s_C*s_IFD_far_adj*s_CF_far_dairy*s_RadSpec!AH22*1/s_D_milk*((s_Q_p_dairy*s_f_p_dairy*s_f_s_dairy*(s_RadSpec!$AT22+s_R_es_past))+(s_Q_s_dairy*s_f_p_dairy)))</f>
        <v>250.94402131458529</v>
      </c>
      <c r="CD22" s="40">
        <f>IFERROR((s_C*s_IFSW_far_adj*s_CF_far_swine*s_RadSpec!AN22*((s_Q_p_swine*s_f_p_swine*s_f_s_swine*(s_RadSpec!$AT22+s_R_es_past))+(s_Q_s_swine*s_f_p_swine))),0)</f>
        <v>0</v>
      </c>
      <c r="CE22" s="40">
        <f>IFERROR((s_C*s_IFP_far_adj*s_CF_far_poultry*s_RadSpec!AL22*((s_Q_p_poultry*s_f_p_poultry*s_f_s_poultry*(s_RadSpec!AT22+s_R_es_past))+(s_Q_s_poultry*s_f_p_poultry))),0)</f>
        <v>0</v>
      </c>
      <c r="CF22" s="40">
        <f>IFERROR((s_C*s_IFE_far_adj*s_CF_far_egg*s_RadSpec!AM22*((s_Q_p_egg*s_f_p_egg*s_f_s_egg*(s_RadSpec!$AT22+s_R_es_past))+(s_Q_s_egg*s_f_p_egg))),0)</f>
        <v>0</v>
      </c>
      <c r="CG22" s="40">
        <f>IFERROR((s_C*s_IFGO_far_adj*s_CF_far_goat*s_RadSpec!AQ22*((s_Q_p_goat*s_f_p_goat*s_f_s_goat*(s_RadSpec!$AT22+s_R_es_past))+(s_Q_s_goat*s_f_p_goat))),0)</f>
        <v>0</v>
      </c>
      <c r="CH22" s="40">
        <f>IFERROR((s_C*s_IFGM_far_adj*s_CF_far_goat_milk*s_RadSpec!AR22*1/s_D_milk*((s_Q_p_goat_milk*s_f_p_goat_milk*s_f_s_goat_milk*(s_RadSpec!$AT22+s_R_es_past))+(s_Q_s_goat_milk*s_f_p_goat_milk))),0)</f>
        <v>0</v>
      </c>
      <c r="CI22" s="40">
        <f>IFERROR((s_C*s_IFSH_far_adj*s_CF_far_sheep*s_RadSpec!AO22*((s_Q_p_sheep*s_f_p_sheep*s_f_s_sheep*(s_RadSpec!$AT22+s_R_es_past))+(s_Q_s_sheep*s_f_p_sheep))),0)</f>
        <v>3400.9518678160898</v>
      </c>
      <c r="CJ22" s="40">
        <f>IFERROR((s_C*s_IFSM_far_adj*s_CF_far_sheep_milk*s_RadSpec!AP22*1/s_D_milk*((s_Q_p_sheep_milk*s_f_p_sheep_milk*s_f_s_sheep_milk*(s_RadSpec!$AT22+s_R_es_past))+(s_Q_s_sheep_milk*s_f_p_sheep_milk))),0)</f>
        <v>0</v>
      </c>
      <c r="CK22" s="18"/>
      <c r="CL22" s="15">
        <f>IFERROR(s_DL/(s_RadSpec!I22*s_IFW_far_adj),".")</f>
        <v>20.64707947060888</v>
      </c>
      <c r="CM22" s="15" t="str">
        <f>IFERROR(IF(AND(s_RadSpec!C22=1,s_RadSpec!D22&lt;&gt;0),s_DL/(s_RadSpec!H22*s_IFA_far_adj*s_K*s_RadSpec!D22),"."),".")</f>
        <v>.</v>
      </c>
      <c r="CN22" s="15">
        <f>IFERROR((s_DL/(s_RadSpec!M22*(1/8760)*s_DFA_far_adj)),".")</f>
        <v>3140117.570179475</v>
      </c>
      <c r="CO22" s="15">
        <f>s_b2w!BC22</f>
        <v>67.393478570114127</v>
      </c>
      <c r="CP22" s="15">
        <f>IFERROR(J22/(s_RadSpec!AJ22*(1/1000)),".")</f>
        <v>938.50361230040369</v>
      </c>
      <c r="CQ22" s="15">
        <f>IFERROR(K22/(s_RadSpec!AK22*(1/1000)),".")</f>
        <v>37.540144492016147</v>
      </c>
      <c r="CR22" s="15">
        <f>IFERROR(G22/(s_RadSpec!AI22*s_Q_w_beef*(1/1000)),".")</f>
        <v>441648.7587296018</v>
      </c>
      <c r="CS22" s="15">
        <f>IFERROR((H22*s_D_milk)/(s_RadSpec!AH22*s_Q_w_dairy*(1/1000)),".")</f>
        <v>2035070.9908829804</v>
      </c>
      <c r="CT22" s="15" t="str">
        <f>IFERROR(I22/(s_RadSpec!AN22*s_Q_w_swine*(1/1000)),".")</f>
        <v>.</v>
      </c>
      <c r="CU22" s="15" t="str">
        <f>IFERROR(E22/(s_RadSpec!AL22*s_Q_w_poultry*(1/1000)),".")</f>
        <v>.</v>
      </c>
      <c r="CV22" s="15" t="str">
        <f>IFERROR(F22/(s_RadSpec!AM22*s_Q_w_poultry*(1/1000)),".")</f>
        <v>.</v>
      </c>
      <c r="CW22" s="15" t="str">
        <f>IFERROR(L22/(s_RadSpec!AQ22*s_Q_w_goat*(1/1000)),".")</f>
        <v>.</v>
      </c>
      <c r="CX22" s="15" t="str">
        <f>IFERROR(N22*s_D_milk/(s_RadSpec!AR22*s_Q_w_goat_milk*(1/1000)),".")</f>
        <v>.</v>
      </c>
      <c r="CY22" s="15">
        <f>IFERROR(M22/(s_RadSpec!AO22*s_Q_w_sheep*(1/1000)),".")</f>
        <v>150160.57796806458</v>
      </c>
      <c r="CZ22" s="15" t="str">
        <f>IFERROR(O22*s_D_milk/(s_RadSpec!AP22*s_Q_w_sheep_milk*(1/1000)),".")</f>
        <v>.</v>
      </c>
      <c r="DA22" s="111">
        <f t="shared" si="28"/>
        <v>4.8433000000000004E-2</v>
      </c>
      <c r="DB22" s="111" t="str">
        <f t="shared" si="29"/>
        <v>.</v>
      </c>
      <c r="DC22" s="111">
        <f t="shared" si="30"/>
        <v>3.1845941358904105E-7</v>
      </c>
      <c r="DD22" s="111">
        <f t="shared" si="31"/>
        <v>1.4838230956718318E-2</v>
      </c>
      <c r="DE22" s="111">
        <f t="shared" si="32"/>
        <v>1.065526E-3</v>
      </c>
      <c r="DF22" s="111">
        <f t="shared" si="32"/>
        <v>2.6638150000000003E-2</v>
      </c>
      <c r="DG22" s="111">
        <f t="shared" si="33"/>
        <v>2.2642427499999997E-6</v>
      </c>
      <c r="DH22" s="111">
        <f t="shared" si="34"/>
        <v>4.9138334951456322E-7</v>
      </c>
      <c r="DI22" s="111" t="str">
        <f t="shared" si="35"/>
        <v>.</v>
      </c>
      <c r="DJ22" s="111" t="str">
        <f t="shared" si="36"/>
        <v>.</v>
      </c>
      <c r="DK22" s="111" t="str">
        <f t="shared" si="37"/>
        <v>.</v>
      </c>
      <c r="DL22" s="111" t="str">
        <f t="shared" si="38"/>
        <v>.</v>
      </c>
      <c r="DM22" s="111" t="str">
        <f t="shared" si="39"/>
        <v>.</v>
      </c>
      <c r="DN22" s="111">
        <f t="shared" si="40"/>
        <v>6.6595375000000013E-6</v>
      </c>
      <c r="DO22" s="111" t="str">
        <f t="shared" si="41"/>
        <v>.</v>
      </c>
      <c r="DP22" s="15">
        <f t="shared" si="51"/>
        <v>10.990866080563155</v>
      </c>
      <c r="DQ22" s="189">
        <f>DP22*(0.0000000000000028)*s_RadSpec!$AY22*s_RadSpec!$AF22</f>
        <v>2.8266098602259287E-13</v>
      </c>
      <c r="DR22" s="40">
        <f t="shared" si="42"/>
        <v>1375</v>
      </c>
      <c r="DS22" s="40">
        <f>IFERROR(IF(s_RadSpec!D22&lt;&gt;"",s_C*s_IFA_far_adj*s_K*s_RadSpec!D22,0),".")</f>
        <v>0</v>
      </c>
      <c r="DT22" s="40">
        <f t="shared" si="43"/>
        <v>0.12557077625570776</v>
      </c>
      <c r="DU22" s="40">
        <f>s_b2w!CC22</f>
        <v>421.25343392909139</v>
      </c>
      <c r="DV22" s="40">
        <f>IFERROR(s_C*s_RadSpec!AJ22*(1/1000)*s_IFFI_far_adj*s_CF_far_fish,0)</f>
        <v>30.25</v>
      </c>
      <c r="DW22" s="40">
        <f>IFERROR(s_C*s_RadSpec!AK22*(1/1000)*s_IFSF_far_adj*s_CF_far_shellfish,0)</f>
        <v>756.25</v>
      </c>
      <c r="DX22" s="40">
        <f>(s_C*s_IFB_far_adj*s_CF_far_beef*s_RadSpec!AI22*s_Q_w_beef*(1/1000))</f>
        <v>6.4281249999999998E-2</v>
      </c>
      <c r="DY22" s="40">
        <f>(s_C*s_IFD_far_adj*s_CF_far_dairy*s_RadSpec!AH22*(1/s_D_milk)*s_Q_w_dairy*(1/1000))</f>
        <v>1.3950242718446602E-2</v>
      </c>
      <c r="DZ22" s="40">
        <f>IFERROR((s_C*s_IFSW_far_adj*s_CF_far_swine*s_RadSpec!AN22*s_Q_w_swine*(1/1000)),0)</f>
        <v>0</v>
      </c>
      <c r="EA22" s="40">
        <f>IFERROR((s_C*s_IFP_far_adj*s_CF_far_poultry*s_RadSpec!AL22*s_Q_w_poultry*(1/1000)),0)</f>
        <v>0</v>
      </c>
      <c r="EB22" s="40">
        <f>IFERROR((s_C*s_IFE_far_adj*s_CF_far_egg*s_RadSpec!AM22*s_Q_w_egg*(1/1000)),0)</f>
        <v>0</v>
      </c>
      <c r="EC22" s="40">
        <f>IFERROR((s_C*s_IFGO_far_adj*s_CF_far_goat*s_RadSpec!AQ22*s_Q_p_goat*(1/1000)),0)</f>
        <v>0</v>
      </c>
      <c r="ED22" s="40">
        <f>IFERROR((s_C*s_IFGM_far_adj*s_CF_far_goat_milk*s_RadSpec!AR22*(1/s_D_milk)*s_Q_p_goat_milk*(1/1000)),0)</f>
        <v>0</v>
      </c>
      <c r="EE22" s="40">
        <f>IFERROR((s_C*s_IFSH_far_adj*s_CF_far_sheep*s_RadSpec!AO22*s_Q_p_sheep*(1/1000)),0)</f>
        <v>0.18906249999999999</v>
      </c>
      <c r="EF22" s="40">
        <f>IFERROR((s_C*s_IFSM_far_adj*s_CF_far_sheep_milk*s_RadSpec!AP22*(1/s_D_milk)*s_Q_p_sheep_milk*(1/1000)),0)</f>
        <v>0</v>
      </c>
      <c r="EG22" s="5"/>
      <c r="EH22" s="15">
        <f>IFERROR((s_DL/(s_RadSpec!H22*s_IFA_far_adj)),".")</f>
        <v>1.6026650985033866</v>
      </c>
      <c r="EI22" s="15">
        <f>IFERROR((s_DL/(s_RadSpec!K22*s_EF_far*(1/365)*1*s_ET_far*(1/24)*s_GSF_a)),".")</f>
        <v>11045077.510007802</v>
      </c>
      <c r="EJ22" s="15">
        <f t="shared" ref="EJ22:EJ23" si="61">IFERROR(IF(AND(ISNUMBER(EH22),ISNUMBER(EI22)),1/((1/EH22)+(1/EI22)),IF(AND(ISNUMBER(EH22),NOT(ISNUMBER(EI22))),1/((1/EH22)),IF(AND(NOT(ISNUMBER(EH22)),ISNUMBER(EI22)),1/((1/EI22)),IF(AND(NOT(ISNUMBER(EH22)),NOT(ISNUMBER(EI22))),".")))),".")</f>
        <v>1.602664865953181</v>
      </c>
      <c r="EK22" s="189">
        <f>EJ22*(0.0000000000000028)*s_RadSpec!$AY22*s_RadSpec!$AF22</f>
        <v>4.1217027662198683E-14</v>
      </c>
      <c r="EL22" s="40">
        <f t="shared" si="45"/>
        <v>501.30208333333326</v>
      </c>
      <c r="EM22" s="40">
        <f t="shared" si="46"/>
        <v>7.8481735159817351E-2</v>
      </c>
      <c r="EN22" s="113"/>
    </row>
    <row r="23" spans="1:144" customFormat="1" x14ac:dyDescent="0.25">
      <c r="A23" s="46" t="s">
        <v>21</v>
      </c>
      <c r="B23" s="42" t="s">
        <v>335</v>
      </c>
      <c r="C23" s="238"/>
      <c r="D23" s="15">
        <f>s_dir!AC23</f>
        <v>0.49307695304083027</v>
      </c>
      <c r="E23" s="15">
        <f>IFERROR(s_DL/(s_RadSpec!F23*s_IFP_far_adj*s_CF_far_poultry),".")</f>
        <v>1.9723078121633211</v>
      </c>
      <c r="F23" s="15">
        <f>IFERROR(s_DL/(s_RadSpec!F23*s_IFE_far_adj*s_CF_far_egg),".")</f>
        <v>1.9723078121633211</v>
      </c>
      <c r="G23" s="15">
        <f>IFERROR(s_DL/(s_RadSpec!F23*s_IFB_far_adj*s_CF_far_beef),".")</f>
        <v>1.9723078121633211</v>
      </c>
      <c r="H23" s="15">
        <f>IFERROR(s_DL/(s_RadSpec!F23*s_IFD_far_adj*s_CF_far_dairy),".")</f>
        <v>1.9723078121633211</v>
      </c>
      <c r="I23" s="15">
        <f>IFERROR(s_DL/(s_RadSpec!F23*s_IFSW_far_adj*s_CF_far_swine),".")</f>
        <v>1.9723078121633211</v>
      </c>
      <c r="J23" s="15">
        <f>IFERROR(s_DL/(s_RadSpec!F23*s_IFFI_far_adj*s_CF_far_fish),".")</f>
        <v>1.9723078121633211</v>
      </c>
      <c r="K23" s="15">
        <f>IFERROR(s_DL/(s_RadSpec!F23*s_IFSF_far_adj*s_CF_far_shellfish),".")</f>
        <v>1.9723078121633211</v>
      </c>
      <c r="L23" s="15">
        <f>IFERROR(s_DL/(s_RadSpec!F23*s_IFGO_far_adj*s_CF_far_goat),".")</f>
        <v>1.9723078121633211</v>
      </c>
      <c r="M23" s="15">
        <f>IFERROR(s_DL/(s_RadSpec!F23*s_IFSH_far_adj*s_CF_far_sheep),".")</f>
        <v>1.9723078121633211</v>
      </c>
      <c r="N23" s="15">
        <f>IFERROR(s_DL/(s_RadSpec!F23*s_IFGM_far_adj*s_CF_far_goat_milk),".")</f>
        <v>1.9723078121633211</v>
      </c>
      <c r="O23" s="15">
        <f>IFERROR(s_DL/(s_RadSpec!F23*s_IFSM_far_adj*s_CF_far_sheep_milk),".")</f>
        <v>1.9723078121633211</v>
      </c>
      <c r="P23" s="111">
        <f t="shared" si="47"/>
        <v>0.50702024999999995</v>
      </c>
      <c r="Q23" s="111">
        <f t="shared" si="47"/>
        <v>0.50702024999999995</v>
      </c>
      <c r="R23" s="111">
        <f t="shared" si="47"/>
        <v>0.50702024999999995</v>
      </c>
      <c r="S23" s="111">
        <f t="shared" si="47"/>
        <v>0.50702024999999995</v>
      </c>
      <c r="T23" s="111">
        <f t="shared" si="47"/>
        <v>0.50702024999999995</v>
      </c>
      <c r="U23" s="111">
        <f t="shared" si="47"/>
        <v>0.50702024999999995</v>
      </c>
      <c r="V23" s="111">
        <f t="shared" si="47"/>
        <v>0.50702024999999995</v>
      </c>
      <c r="W23" s="111">
        <f t="shared" si="47"/>
        <v>0.50702024999999995</v>
      </c>
      <c r="X23" s="111">
        <f t="shared" si="59"/>
        <v>0.50702024999999995</v>
      </c>
      <c r="Y23" s="111">
        <f t="shared" si="59"/>
        <v>0.50702024999999995</v>
      </c>
      <c r="Z23" s="111">
        <f t="shared" si="59"/>
        <v>0.50702024999999995</v>
      </c>
      <c r="AA23" s="111">
        <f t="shared" si="59"/>
        <v>0.50702024999999995</v>
      </c>
      <c r="AB23" s="15">
        <f t="shared" si="49"/>
        <v>0.1643589843469434</v>
      </c>
      <c r="AC23" s="247">
        <f>IFERROR(AB23*(0.0000000000028)*s_RadSpec!$AY23*s_RadSpec!$AF23,0)</f>
        <v>1.6641018447159324E-7</v>
      </c>
      <c r="AD23" s="40">
        <f>s_dir!BC23</f>
        <v>30250</v>
      </c>
      <c r="AE23" s="40">
        <f t="shared" si="1"/>
        <v>7562.5</v>
      </c>
      <c r="AF23" s="40">
        <f t="shared" si="2"/>
        <v>7562.5</v>
      </c>
      <c r="AG23" s="40">
        <f t="shared" si="3"/>
        <v>7562.5</v>
      </c>
      <c r="AH23" s="40">
        <f t="shared" si="4"/>
        <v>7562.5</v>
      </c>
      <c r="AI23" s="40">
        <f t="shared" si="5"/>
        <v>7562.5</v>
      </c>
      <c r="AJ23" s="40">
        <f t="shared" si="6"/>
        <v>7562.5</v>
      </c>
      <c r="AK23" s="40">
        <f t="shared" si="7"/>
        <v>7562.5</v>
      </c>
      <c r="AL23" s="40">
        <f t="shared" si="8"/>
        <v>7562.5</v>
      </c>
      <c r="AM23" s="40">
        <f t="shared" si="9"/>
        <v>7562.5</v>
      </c>
      <c r="AN23" s="40">
        <f t="shared" si="10"/>
        <v>7562.5</v>
      </c>
      <c r="AO23" s="40">
        <f t="shared" si="11"/>
        <v>7562.5</v>
      </c>
      <c r="AP23" s="45">
        <f>IFERROR((s_DL/(s_RadSpec!E23*s_IFS_far_adj*(1/1000)))*1,".")</f>
        <v>986.15390608166047</v>
      </c>
      <c r="AQ23" s="45">
        <f>IFERROR(IF(A23="H-3",(s_DL/(s_RadSpec!H23*s_IFA_far_adj*(1/17)*1000))*1,(s_DL/(s_RadSpec!H23*s_IFA_far_adj*(1/s_PEF_wind)*1000))*1),".")</f>
        <v>405404.32762979425</v>
      </c>
      <c r="AR23" s="45">
        <f>IFERROR((s_DL/(s_RadSpec!G23*s_EF_far*(1/365)*1*s_RadSpec!R23*((s_ET_far_o*(1/24)*s_RadSpec!W23)+(s_ET_far_i*(1/24)*s_RadSpec!AB23))))*1,".")</f>
        <v>22964.114086609057</v>
      </c>
      <c r="AS23" s="45">
        <f>s_b2s!BC23</f>
        <v>19.948496127878233</v>
      </c>
      <c r="AT23" s="45">
        <f>IFERROR(((J23*s_RadSpec!AU23)/s_RadSpec!AJ23)*1,".")</f>
        <v>0.49307695304083027</v>
      </c>
      <c r="AU23" s="45">
        <f>IFERROR(((K23*s_RadSpec!AU23)/s_RadSpec!AK23)*1,".")</f>
        <v>1.9723078121633212E-2</v>
      </c>
      <c r="AV23" s="45">
        <f>IFERROR((G23/(s_RadSpec!AI23*((s_Q_p_beef*s_f_p_beef*s_f_s_beef*(s_RadSpec!BD23+s_R_es_past))+(s_Q_s_beef*s_f_p_beef))))*1,".")</f>
        <v>12.899137730367153</v>
      </c>
      <c r="AW23" s="45">
        <f>IFERROR(((H23*s_D_milk)/(s_RadSpec!AH23*((s_Q_p_dairy*s_f_p_dairy*s_f_s_dairy*(s_RadSpec!BD23+s_R_es_past))+(s_Q_s_dairy*s_f_p_dairy))))*1,".")</f>
        <v>59.437868857560218</v>
      </c>
      <c r="AX23" s="45" t="str">
        <f>IFERROR((I23/(s_RadSpec!AN23*((s_Q_p_swine*s_f_p_swine*s_f_s_swine*(s_RadSpec!BD23+s_R_es_past))+(s_Q_s_swine*s_f_p_swine))))*1,".")</f>
        <v>.</v>
      </c>
      <c r="AY23" s="45" t="str">
        <f>IFERROR((E23/(s_RadSpec!AL23*((s_Q_p_poultry*s_f_p_poultry*s_f_s_poultry*(s_RadSpec!BD23+s_R_es_past))+(s_Q_s_poultry*s_f_p_poultry))))*1,".")</f>
        <v>.</v>
      </c>
      <c r="AZ23" s="45" t="str">
        <f>IFERROR((F23/(s_RadSpec!AM23*((s_Q_p_poultry*s_f_p_poultry*s_f_s_poultry*(s_RadSpec!BD23+s_R_es_past))+(s_Q_s_poultry*s_f_p_poultry))))*1,".")</f>
        <v>.</v>
      </c>
      <c r="BA23" s="45" t="str">
        <f>IFERROR((L23/(s_RadSpec!AQ23*((s_Q_p_goat*s_f_p_goat*s_f_s_goat*(s_RadSpec!BD23+s_R_es_past))+(s_Q_s_goat*s_f_p_goat))))*1,".")</f>
        <v>.</v>
      </c>
      <c r="BB23" s="45" t="str">
        <f>IFERROR((N23*s_D_milk/(s_RadSpec!AR23*((s_Q_p_goat_milk*s_f_p_goat_milk*s_f_s_goat_milk*(s_RadSpec!BD23+s_R_es_past))+(s_Q_s_goat_milk*s_f_p_goat_milk))))*1,".")</f>
        <v>.</v>
      </c>
      <c r="BC23" s="45">
        <f>IFERROR((M23/(s_RadSpec!AO23*((s_Q_p_sheep*s_f_p_sheep*s_f_s_sheep*(s_RadSpec!BD23+s_R_es_past))+(s_Q_s_sheep*s_f_p_sheep))))*1,".")</f>
        <v>4.3857068283248317</v>
      </c>
      <c r="BD23" s="45" t="str">
        <f>IFERROR((O23*s_D_milk/(s_RadSpec!AP23*((s_Q_p_sheep_milk*s_f_p_sheep_milk*s_f_s_sheep_milk*(s_RadSpec!BD23+s_R_es_past))+(s_Q_s_sheep_milk*s_f_p_sheep_milk))))*1,".")</f>
        <v>.</v>
      </c>
      <c r="BE23" s="111">
        <f t="shared" si="12"/>
        <v>1.0140405000000001E-3</v>
      </c>
      <c r="BF23" s="111">
        <f t="shared" si="13"/>
        <v>2.46667322434993E-6</v>
      </c>
      <c r="BG23" s="111">
        <f t="shared" si="14"/>
        <v>4.3546204143931021E-5</v>
      </c>
      <c r="BH23" s="111">
        <f t="shared" si="15"/>
        <v>5.0129092117500003E-2</v>
      </c>
      <c r="BI23" s="111">
        <f t="shared" si="16"/>
        <v>2.0280809999999998</v>
      </c>
      <c r="BJ23" s="111">
        <f t="shared" si="16"/>
        <v>50.702024999999992</v>
      </c>
      <c r="BK23" s="111">
        <f t="shared" si="17"/>
        <v>7.7524561788793037E-2</v>
      </c>
      <c r="BL23" s="111">
        <f t="shared" si="18"/>
        <v>1.6824290965015053E-2</v>
      </c>
      <c r="BM23" s="111" t="str">
        <f t="shared" si="19"/>
        <v>.</v>
      </c>
      <c r="BN23" s="111" t="str">
        <f t="shared" si="20"/>
        <v>.</v>
      </c>
      <c r="BO23" s="111" t="str">
        <f t="shared" si="21"/>
        <v>.</v>
      </c>
      <c r="BP23" s="111" t="str">
        <f t="shared" si="22"/>
        <v>.</v>
      </c>
      <c r="BQ23" s="111" t="str">
        <f t="shared" si="23"/>
        <v>.</v>
      </c>
      <c r="BR23" s="111">
        <f t="shared" si="24"/>
        <v>0.22801341702586189</v>
      </c>
      <c r="BS23" s="111" t="str">
        <f t="shared" si="25"/>
        <v>.</v>
      </c>
      <c r="BT23" s="15">
        <f t="shared" si="50"/>
        <v>1.8831094667923268E-2</v>
      </c>
      <c r="BU23" s="189">
        <f>IFERROR(BT23*(0.0000000000028)*s_RadSpec!$AY23*s_RadSpec!$AF23,0)</f>
        <v>1.9066106729378953E-8</v>
      </c>
      <c r="BV23" s="40">
        <f t="shared" si="26"/>
        <v>15.125</v>
      </c>
      <c r="BW23" s="40">
        <f t="shared" si="27"/>
        <v>1.6181272791589674E-3</v>
      </c>
      <c r="BX23" s="40">
        <f>IFERROR((s_C*s_EF_far*(1/365)*1*s_RadSpec!R23*((s_ET_far_o*(1/24)*s_RadSpec!W23)+(s_ET_far_i*(1/24)*s_RadSpec!AB23))),".")</f>
        <v>3.4281871255771361E-2</v>
      </c>
      <c r="BY23" s="40">
        <f>s_b2s!CC23</f>
        <v>747.70437500000003</v>
      </c>
      <c r="BZ23" s="40">
        <f>IFERROR(((s_C*s_RadSpec!AJ23)/s_RadSpec!AU23)*s_IFFI_far_adj*s_CF_far_fish,0)</f>
        <v>30250</v>
      </c>
      <c r="CA23" s="40">
        <f>IFERROR(((s_C*s_RadSpec!AK23)/s_RadSpec!AU23)*s_IFSF_far_adj*s_CF_far_shellfish,0)</f>
        <v>756250</v>
      </c>
      <c r="CB23" s="40">
        <f>(s_C*s_IFB_far_adj*s_CF_far_beef*s_RadSpec!AI23*((s_Q_p_beef*s_f_p_beef*s_f_s_beef*(s_RadSpec!$AT23+s_R_es_past))+(s_Q_s_beef*s_f_p_beef)))</f>
        <v>1156.3236350574705</v>
      </c>
      <c r="CC23" s="40">
        <f>(s_C*s_IFD_far_adj*s_CF_far_dairy*s_RadSpec!AH23*1/s_D_milk*((s_Q_p_dairy*s_f_p_dairy*s_f_s_dairy*(s_RadSpec!$AT23+s_R_es_past))+(s_Q_s_dairy*s_f_p_dairy)))</f>
        <v>250.94402131458529</v>
      </c>
      <c r="CD23" s="40">
        <f>IFERROR((s_C*s_IFSW_far_adj*s_CF_far_swine*s_RadSpec!AN23*((s_Q_p_swine*s_f_p_swine*s_f_s_swine*(s_RadSpec!$AT23+s_R_es_past))+(s_Q_s_swine*s_f_p_swine))),0)</f>
        <v>0</v>
      </c>
      <c r="CE23" s="40">
        <f>IFERROR((s_C*s_IFP_far_adj*s_CF_far_poultry*s_RadSpec!AL23*((s_Q_p_poultry*s_f_p_poultry*s_f_s_poultry*(s_RadSpec!AT23+s_R_es_past))+(s_Q_s_poultry*s_f_p_poultry))),0)</f>
        <v>0</v>
      </c>
      <c r="CF23" s="40">
        <f>IFERROR((s_C*s_IFE_far_adj*s_CF_far_egg*s_RadSpec!AM23*((s_Q_p_egg*s_f_p_egg*s_f_s_egg*(s_RadSpec!$AT23+s_R_es_past))+(s_Q_s_egg*s_f_p_egg))),0)</f>
        <v>0</v>
      </c>
      <c r="CG23" s="40">
        <f>IFERROR((s_C*s_IFGO_far_adj*s_CF_far_goat*s_RadSpec!AQ23*((s_Q_p_goat*s_f_p_goat*s_f_s_goat*(s_RadSpec!$AT23+s_R_es_past))+(s_Q_s_goat*s_f_p_goat))),0)</f>
        <v>0</v>
      </c>
      <c r="CH23" s="40">
        <f>IFERROR((s_C*s_IFGM_far_adj*s_CF_far_goat_milk*s_RadSpec!AR23*1/s_D_milk*((s_Q_p_goat_milk*s_f_p_goat_milk*s_f_s_goat_milk*(s_RadSpec!$AT23+s_R_es_past))+(s_Q_s_goat_milk*s_f_p_goat_milk))),0)</f>
        <v>0</v>
      </c>
      <c r="CI23" s="40">
        <f>IFERROR((s_C*s_IFSH_far_adj*s_CF_far_sheep*s_RadSpec!AO23*((s_Q_p_sheep*s_f_p_sheep*s_f_s_sheep*(s_RadSpec!$AT23+s_R_es_past))+(s_Q_s_sheep*s_f_p_sheep))),0)</f>
        <v>3400.9518678160898</v>
      </c>
      <c r="CJ23" s="40">
        <f>IFERROR((s_C*s_IFSM_far_adj*s_CF_far_sheep_milk*s_RadSpec!AP23*1/s_D_milk*((s_Q_p_sheep_milk*s_f_p_sheep_milk*s_f_s_sheep_milk*(s_RadSpec!$AT23+s_R_es_past))+(s_Q_s_sheep_milk*s_f_p_sheep_milk))),0)</f>
        <v>0</v>
      </c>
      <c r="CK23" s="18"/>
      <c r="CL23" s="15">
        <f>IFERROR(s_DL/(s_RadSpec!I23*s_IFW_far_adj),".")</f>
        <v>10.847692966898265</v>
      </c>
      <c r="CM23" s="15" t="str">
        <f>IFERROR(IF(AND(s_RadSpec!C23=1,s_RadSpec!D23&lt;&gt;0),s_DL/(s_RadSpec!H23*s_IFA_far_adj*s_K*s_RadSpec!D23),"."),".")</f>
        <v>.</v>
      </c>
      <c r="CN23" s="15">
        <f>IFERROR((s_DL/(s_RadSpec!M23*(1/8760)*s_DFA_far_adj)),".")</f>
        <v>2492812.6324670389</v>
      </c>
      <c r="CO23" s="15">
        <f>s_b2w!BC23</f>
        <v>35.407611257587568</v>
      </c>
      <c r="CP23" s="15">
        <f>IFERROR(J23/(s_RadSpec!AJ23*(1/1000)),".")</f>
        <v>493.07695304083023</v>
      </c>
      <c r="CQ23" s="15">
        <f>IFERROR(K23/(s_RadSpec!AK23*(1/1000)),".")</f>
        <v>19.723078121633211</v>
      </c>
      <c r="CR23" s="15">
        <f>IFERROR(G23/(s_RadSpec!AI23*s_Q_w_beef*(1/1000)),".")</f>
        <v>232036.21319568489</v>
      </c>
      <c r="CS23" s="15">
        <f>IFERROR((H23*s_D_milk)/(s_RadSpec!AH23*s_Q_w_dairy*(1/1000)),".")</f>
        <v>1069198.4455411686</v>
      </c>
      <c r="CT23" s="15" t="str">
        <f>IFERROR(I23/(s_RadSpec!AN23*s_Q_w_swine*(1/1000)),".")</f>
        <v>.</v>
      </c>
      <c r="CU23" s="15" t="str">
        <f>IFERROR(E23/(s_RadSpec!AL23*s_Q_w_poultry*(1/1000)),".")</f>
        <v>.</v>
      </c>
      <c r="CV23" s="15" t="str">
        <f>IFERROR(F23/(s_RadSpec!AM23*s_Q_w_poultry*(1/1000)),".")</f>
        <v>.</v>
      </c>
      <c r="CW23" s="15" t="str">
        <f>IFERROR(L23/(s_RadSpec!AQ23*s_Q_w_goat*(1/1000)),".")</f>
        <v>.</v>
      </c>
      <c r="CX23" s="15" t="str">
        <f>IFERROR(N23*s_D_milk/(s_RadSpec!AR23*s_Q_w_goat_milk*(1/1000)),".")</f>
        <v>.</v>
      </c>
      <c r="CY23" s="15">
        <f>IFERROR(M23/(s_RadSpec!AO23*s_Q_w_sheep*(1/1000)),".")</f>
        <v>78892.312486532843</v>
      </c>
      <c r="CZ23" s="15" t="str">
        <f>IFERROR(O23*s_D_milk/(s_RadSpec!AP23*s_Q_w_sheep_milk*(1/1000)),".")</f>
        <v>.</v>
      </c>
      <c r="DA23" s="111">
        <f t="shared" si="28"/>
        <v>9.2185500000000004E-2</v>
      </c>
      <c r="DB23" s="111" t="str">
        <f t="shared" si="29"/>
        <v>.</v>
      </c>
      <c r="DC23" s="111">
        <f t="shared" si="30"/>
        <v>4.011532944657534E-7</v>
      </c>
      <c r="DD23" s="111">
        <f t="shared" si="31"/>
        <v>2.8242515224341999E-2</v>
      </c>
      <c r="DE23" s="111">
        <f t="shared" si="32"/>
        <v>2.0280810000000002E-3</v>
      </c>
      <c r="DF23" s="111">
        <f t="shared" si="32"/>
        <v>5.0702024999999991E-2</v>
      </c>
      <c r="DG23" s="111">
        <f t="shared" si="33"/>
        <v>4.3096721249999983E-6</v>
      </c>
      <c r="DH23" s="111">
        <f t="shared" si="34"/>
        <v>9.3528007281553411E-7</v>
      </c>
      <c r="DI23" s="111" t="str">
        <f t="shared" si="35"/>
        <v>.</v>
      </c>
      <c r="DJ23" s="111" t="str">
        <f t="shared" si="36"/>
        <v>.</v>
      </c>
      <c r="DK23" s="111" t="str">
        <f t="shared" si="37"/>
        <v>.</v>
      </c>
      <c r="DL23" s="111" t="str">
        <f t="shared" si="38"/>
        <v>.</v>
      </c>
      <c r="DM23" s="111" t="str">
        <f t="shared" si="39"/>
        <v>.</v>
      </c>
      <c r="DN23" s="111">
        <f t="shared" si="40"/>
        <v>1.267550625E-5</v>
      </c>
      <c r="DO23" s="111" t="str">
        <f t="shared" si="41"/>
        <v>.</v>
      </c>
      <c r="DP23" s="15">
        <f>IFERROR(1/(SUMIF(DA23:DO23,"&lt;&gt;0")),".")</f>
        <v>5.7744574471166636</v>
      </c>
      <c r="DQ23" s="189">
        <f>DP23*(0.0000000000000028)*s_RadSpec!$AY23*s_RadSpec!$AF23</f>
        <v>5.8465226760566809E-9</v>
      </c>
      <c r="DR23" s="40">
        <f t="shared" si="42"/>
        <v>1375</v>
      </c>
      <c r="DS23" s="40">
        <f>IFERROR(IF(s_RadSpec!D23&lt;&gt;"",s_C*s_IFA_far_adj*s_K*s_RadSpec!D23,0),".")</f>
        <v>0</v>
      </c>
      <c r="DT23" s="40">
        <f t="shared" si="43"/>
        <v>0.12557077625570776</v>
      </c>
      <c r="DU23" s="40">
        <f>s_b2w!CC23</f>
        <v>421.25343392909139</v>
      </c>
      <c r="DV23" s="40">
        <f>IFERROR(s_C*s_RadSpec!AJ23*(1/1000)*s_IFFI_far_adj*s_CF_far_fish,0)</f>
        <v>30.25</v>
      </c>
      <c r="DW23" s="40">
        <f>IFERROR(s_C*s_RadSpec!AK23*(1/1000)*s_IFSF_far_adj*s_CF_far_shellfish,0)</f>
        <v>756.25</v>
      </c>
      <c r="DX23" s="40">
        <f>(s_C*s_IFB_far_adj*s_CF_far_beef*s_RadSpec!AI23*s_Q_w_beef*(1/1000))</f>
        <v>6.4281249999999998E-2</v>
      </c>
      <c r="DY23" s="40">
        <f>(s_C*s_IFD_far_adj*s_CF_far_dairy*s_RadSpec!AH23*(1/s_D_milk)*s_Q_w_dairy*(1/1000))</f>
        <v>1.3950242718446602E-2</v>
      </c>
      <c r="DZ23" s="40">
        <f>IFERROR((s_C*s_IFSW_far_adj*s_CF_far_swine*s_RadSpec!AN23*s_Q_w_swine*(1/1000)),0)</f>
        <v>0</v>
      </c>
      <c r="EA23" s="40">
        <f>IFERROR((s_C*s_IFP_far_adj*s_CF_far_poultry*s_RadSpec!AL23*s_Q_w_poultry*(1/1000)),0)</f>
        <v>0</v>
      </c>
      <c r="EB23" s="40">
        <f>IFERROR((s_C*s_IFE_far_adj*s_CF_far_egg*s_RadSpec!AM23*s_Q_w_egg*(1/1000)),0)</f>
        <v>0</v>
      </c>
      <c r="EC23" s="40">
        <f>IFERROR((s_C*s_IFGO_far_adj*s_CF_far_goat*s_RadSpec!AQ23*s_Q_p_goat*(1/1000)),0)</f>
        <v>0</v>
      </c>
      <c r="ED23" s="40">
        <f>IFERROR((s_C*s_IFGM_far_adj*s_CF_far_goat_milk*s_RadSpec!AR23*(1/s_D_milk)*s_Q_p_goat_milk*(1/1000)),0)</f>
        <v>0</v>
      </c>
      <c r="EE23" s="40">
        <f>IFERROR((s_C*s_IFSH_far_adj*s_CF_far_sheep*s_RadSpec!AO23*s_Q_p_sheep*(1/1000)),0)</f>
        <v>0.18906249999999999</v>
      </c>
      <c r="EF23" s="40">
        <f>IFERROR((s_C*s_IFSM_far_adj*s_CF_far_sheep_milk*s_RadSpec!AP23*(1/s_D_milk)*s_Q_p_sheep_milk*(1/1000)),0)</f>
        <v>0</v>
      </c>
      <c r="EG23" s="5"/>
      <c r="EH23" s="15">
        <f>IFERROR((s_DL/(s_RadSpec!H23*s_IFA_far_adj)),".")</f>
        <v>1.3085838328556778</v>
      </c>
      <c r="EI23" s="15">
        <f>IFERROR((s_DL/(s_RadSpec!K23*s_EF_far*(1/365)*1*s_ET_far*(1/24)*s_GSF_a)),".")</f>
        <v>8772135.5143791866</v>
      </c>
      <c r="EJ23" s="15">
        <f t="shared" si="61"/>
        <v>1.3085836376476365</v>
      </c>
      <c r="EK23" s="189">
        <f>EJ23*(0.0000000000000028)*s_RadSpec!$AY23*s_RadSpec!$AF23</f>
        <v>1.3249147614454791E-9</v>
      </c>
      <c r="EL23" s="40">
        <f t="shared" si="45"/>
        <v>501.30208333333326</v>
      </c>
      <c r="EM23" s="40">
        <f t="shared" si="46"/>
        <v>7.8481735159817351E-2</v>
      </c>
      <c r="EN23" s="113"/>
    </row>
    <row r="24" spans="1:144" customFormat="1" x14ac:dyDescent="0.25">
      <c r="A24" s="44" t="s">
        <v>22</v>
      </c>
      <c r="B24" s="42" t="s">
        <v>1057</v>
      </c>
      <c r="C24" s="238"/>
      <c r="D24" s="15" t="str">
        <f>s_dir!AC24</f>
        <v>.</v>
      </c>
      <c r="E24" s="15" t="str">
        <f>IFERROR(s_DL/(s_RadSpec!F24*s_IFP_far_adj*s_CF_far_poultry),".")</f>
        <v>.</v>
      </c>
      <c r="F24" s="15" t="str">
        <f>IFERROR(s_DL/(s_RadSpec!F24*s_IFE_far_adj*s_CF_far_egg),".")</f>
        <v>.</v>
      </c>
      <c r="G24" s="15" t="str">
        <f>IFERROR(s_DL/(s_RadSpec!F24*s_IFB_far_adj*s_CF_far_beef),".")</f>
        <v>.</v>
      </c>
      <c r="H24" s="15" t="str">
        <f>IFERROR(s_DL/(s_RadSpec!F24*s_IFD_far_adj*s_CF_far_dairy),".")</f>
        <v>.</v>
      </c>
      <c r="I24" s="15" t="str">
        <f>IFERROR(s_DL/(s_RadSpec!F24*s_IFSW_far_adj*s_CF_far_swine),".")</f>
        <v>.</v>
      </c>
      <c r="J24" s="15" t="str">
        <f>IFERROR(s_DL/(s_RadSpec!F24*s_IFFI_far_adj*s_CF_far_fish),".")</f>
        <v>.</v>
      </c>
      <c r="K24" s="15" t="str">
        <f>IFERROR(s_DL/(s_RadSpec!F24*s_IFSF_far_adj*s_CF_far_shellfish),".")</f>
        <v>.</v>
      </c>
      <c r="L24" s="15" t="str">
        <f>IFERROR(s_DL/(s_RadSpec!F24*s_IFGO_far_adj*s_CF_far_goat),".")</f>
        <v>.</v>
      </c>
      <c r="M24" s="15" t="str">
        <f>IFERROR(s_DL/(s_RadSpec!F24*s_IFSH_far_adj*s_CF_far_sheep),".")</f>
        <v>.</v>
      </c>
      <c r="N24" s="15" t="str">
        <f>IFERROR(s_DL/(s_RadSpec!F24*s_IFGM_far_adj*s_CF_far_goat_milk),".")</f>
        <v>.</v>
      </c>
      <c r="O24" s="15" t="str">
        <f>IFERROR(s_DL/(s_RadSpec!F24*s_IFSM_far_adj*s_CF_far_sheep_milk),".")</f>
        <v>.</v>
      </c>
      <c r="P24" s="111" t="str">
        <f t="shared" si="47"/>
        <v>.</v>
      </c>
      <c r="Q24" s="111" t="str">
        <f t="shared" si="47"/>
        <v>.</v>
      </c>
      <c r="R24" s="111" t="str">
        <f t="shared" si="47"/>
        <v>.</v>
      </c>
      <c r="S24" s="111" t="str">
        <f t="shared" si="47"/>
        <v>.</v>
      </c>
      <c r="T24" s="111" t="str">
        <f t="shared" si="47"/>
        <v>.</v>
      </c>
      <c r="U24" s="111" t="str">
        <f t="shared" si="47"/>
        <v>.</v>
      </c>
      <c r="V24" s="111" t="str">
        <f t="shared" si="47"/>
        <v>.</v>
      </c>
      <c r="W24" s="111" t="str">
        <f t="shared" si="47"/>
        <v>.</v>
      </c>
      <c r="X24" s="111" t="str">
        <f t="shared" si="59"/>
        <v>.</v>
      </c>
      <c r="Y24" s="111" t="str">
        <f t="shared" si="59"/>
        <v>.</v>
      </c>
      <c r="Z24" s="111" t="str">
        <f t="shared" si="59"/>
        <v>.</v>
      </c>
      <c r="AA24" s="111" t="str">
        <f t="shared" si="59"/>
        <v>.</v>
      </c>
      <c r="AB24" s="15" t="str">
        <f t="shared" si="49"/>
        <v>.</v>
      </c>
      <c r="AC24" s="247">
        <f>IFERROR(AB24*(0.0000000000028)*s_RadSpec!$AY24*s_RadSpec!$AF24,0)</f>
        <v>0</v>
      </c>
      <c r="AD24" s="40">
        <f>s_dir!BC24</f>
        <v>30250</v>
      </c>
      <c r="AE24" s="40">
        <f t="shared" si="1"/>
        <v>7562.5</v>
      </c>
      <c r="AF24" s="40">
        <f t="shared" si="2"/>
        <v>7562.5</v>
      </c>
      <c r="AG24" s="40">
        <f t="shared" si="3"/>
        <v>7562.5</v>
      </c>
      <c r="AH24" s="40">
        <f t="shared" si="4"/>
        <v>7562.5</v>
      </c>
      <c r="AI24" s="40">
        <f t="shared" si="5"/>
        <v>7562.5</v>
      </c>
      <c r="AJ24" s="40">
        <f t="shared" si="6"/>
        <v>7562.5</v>
      </c>
      <c r="AK24" s="40">
        <f t="shared" si="7"/>
        <v>7562.5</v>
      </c>
      <c r="AL24" s="40">
        <f t="shared" si="8"/>
        <v>7562.5</v>
      </c>
      <c r="AM24" s="40">
        <f t="shared" si="9"/>
        <v>7562.5</v>
      </c>
      <c r="AN24" s="40">
        <f t="shared" si="10"/>
        <v>7562.5</v>
      </c>
      <c r="AO24" s="40">
        <f t="shared" si="11"/>
        <v>7562.5</v>
      </c>
      <c r="AP24" s="45" t="str">
        <f>IFERROR((s_DL/(s_RadSpec!E24*s_IFS_far_adj*(1/1000)))*1,".")</f>
        <v>.</v>
      </c>
      <c r="AQ24" s="45" t="str">
        <f>IFERROR(IF(A24="H-3",(s_DL/(s_RadSpec!H24*s_IFA_far_adj*(1/17)*1000))*1,(s_DL/(s_RadSpec!H24*s_IFA_far_adj*(1/s_PEF_wind)*1000))*1),".")</f>
        <v>.</v>
      </c>
      <c r="AR24" s="45">
        <f>IFERROR((s_DL/(s_RadSpec!G24*s_EF_far*(1/365)*1*s_RadSpec!R24*((s_ET_far_o*(1/24)*s_RadSpec!W24)+(s_ET_far_i*(1/24)*s_RadSpec!AB24))))*1,".")</f>
        <v>224460.60945062616</v>
      </c>
      <c r="AS24" s="45" t="str">
        <f>s_b2s!BC24</f>
        <v>.</v>
      </c>
      <c r="AT24" s="45" t="str">
        <f>IFERROR(((J24*s_RadSpec!AU24)/s_RadSpec!AJ24)*1,".")</f>
        <v>.</v>
      </c>
      <c r="AU24" s="45" t="str">
        <f>IFERROR(((K24*s_RadSpec!AU24)/s_RadSpec!AK24)*1,".")</f>
        <v>.</v>
      </c>
      <c r="AV24" s="45" t="str">
        <f>IFERROR((G24/(s_RadSpec!AI24*((s_Q_p_beef*s_f_p_beef*s_f_s_beef*(s_RadSpec!BD24+s_R_es_past))+(s_Q_s_beef*s_f_p_beef))))*1,".")</f>
        <v>.</v>
      </c>
      <c r="AW24" s="45" t="str">
        <f>IFERROR(((H24*s_D_milk)/(s_RadSpec!AH24*((s_Q_p_dairy*s_f_p_dairy*s_f_s_dairy*(s_RadSpec!BD24+s_R_es_past))+(s_Q_s_dairy*s_f_p_dairy))))*1,".")</f>
        <v>.</v>
      </c>
      <c r="AX24" s="45" t="str">
        <f>IFERROR((I24/(s_RadSpec!AN24*((s_Q_p_swine*s_f_p_swine*s_f_s_swine*(s_RadSpec!BD24+s_R_es_past))+(s_Q_s_swine*s_f_p_swine))))*1,".")</f>
        <v>.</v>
      </c>
      <c r="AY24" s="45" t="str">
        <f>IFERROR((E24/(s_RadSpec!AL24*((s_Q_p_poultry*s_f_p_poultry*s_f_s_poultry*(s_RadSpec!BD24+s_R_es_past))+(s_Q_s_poultry*s_f_p_poultry))))*1,".")</f>
        <v>.</v>
      </c>
      <c r="AZ24" s="45" t="str">
        <f>IFERROR((F24/(s_RadSpec!AM24*((s_Q_p_poultry*s_f_p_poultry*s_f_s_poultry*(s_RadSpec!BD24+s_R_es_past))+(s_Q_s_poultry*s_f_p_poultry))))*1,".")</f>
        <v>.</v>
      </c>
      <c r="BA24" s="45" t="str">
        <f>IFERROR((L24/(s_RadSpec!AQ24*((s_Q_p_goat*s_f_p_goat*s_f_s_goat*(s_RadSpec!BD24+s_R_es_past))+(s_Q_s_goat*s_f_p_goat))))*1,".")</f>
        <v>.</v>
      </c>
      <c r="BB24" s="45" t="str">
        <f>IFERROR((N24*s_D_milk/(s_RadSpec!AR24*((s_Q_p_goat_milk*s_f_p_goat_milk*s_f_s_goat_milk*(s_RadSpec!BD24+s_R_es_past))+(s_Q_s_goat_milk*s_f_p_goat_milk))))*1,".")</f>
        <v>.</v>
      </c>
      <c r="BC24" s="45" t="str">
        <f>IFERROR((M24/(s_RadSpec!AO24*((s_Q_p_sheep*s_f_p_sheep*s_f_s_sheep*(s_RadSpec!BD24+s_R_es_past))+(s_Q_s_sheep*s_f_p_sheep))))*1,".")</f>
        <v>.</v>
      </c>
      <c r="BD24" s="45" t="str">
        <f>IFERROR((O24*s_D_milk/(s_RadSpec!AP24*((s_Q_p_sheep_milk*s_f_p_sheep_milk*s_f_s_sheep_milk*(s_RadSpec!BD24+s_R_es_past))+(s_Q_s_sheep_milk*s_f_p_sheep_milk))))*1,".")</f>
        <v>.</v>
      </c>
      <c r="BE24" s="111" t="str">
        <f t="shared" si="12"/>
        <v>.</v>
      </c>
      <c r="BF24" s="111" t="str">
        <f t="shared" si="13"/>
        <v>.</v>
      </c>
      <c r="BG24" s="111">
        <f t="shared" si="14"/>
        <v>4.4551246762072368E-6</v>
      </c>
      <c r="BH24" s="111" t="str">
        <f t="shared" si="15"/>
        <v>.</v>
      </c>
      <c r="BI24" s="111" t="str">
        <f t="shared" si="16"/>
        <v>.</v>
      </c>
      <c r="BJ24" s="111" t="str">
        <f t="shared" si="16"/>
        <v>.</v>
      </c>
      <c r="BK24" s="111" t="str">
        <f t="shared" si="17"/>
        <v>.</v>
      </c>
      <c r="BL24" s="111" t="str">
        <f t="shared" si="18"/>
        <v>.</v>
      </c>
      <c r="BM24" s="111" t="str">
        <f t="shared" si="19"/>
        <v>.</v>
      </c>
      <c r="BN24" s="111" t="str">
        <f t="shared" si="20"/>
        <v>.</v>
      </c>
      <c r="BO24" s="111" t="str">
        <f t="shared" si="21"/>
        <v>.</v>
      </c>
      <c r="BP24" s="111" t="str">
        <f t="shared" si="22"/>
        <v>.</v>
      </c>
      <c r="BQ24" s="111" t="str">
        <f t="shared" si="23"/>
        <v>.</v>
      </c>
      <c r="BR24" s="111" t="str">
        <f t="shared" si="24"/>
        <v>.</v>
      </c>
      <c r="BS24" s="111" t="str">
        <f t="shared" si="25"/>
        <v>.</v>
      </c>
      <c r="BT24" s="15">
        <f t="shared" si="50"/>
        <v>224460.60945062619</v>
      </c>
      <c r="BU24" s="189">
        <f>IFERROR(BT24*(0.0000000000028)*s_RadSpec!$AY24*s_RadSpec!$AF24,0)</f>
        <v>1.5206039004005505E-13</v>
      </c>
      <c r="BV24" s="40">
        <f t="shared" si="26"/>
        <v>15.125</v>
      </c>
      <c r="BW24" s="40">
        <f t="shared" si="27"/>
        <v>1.6181272791589674E-3</v>
      </c>
      <c r="BX24" s="40">
        <f>IFERROR((s_C*s_EF_far*(1/365)*1*s_RadSpec!R24*((s_ET_far_o*(1/24)*s_RadSpec!W24)+(s_ET_far_i*(1/24)*s_RadSpec!AB24))),".")</f>
        <v>2.6150991046146769E-2</v>
      </c>
      <c r="BY24" s="40">
        <f>s_b2s!CC24</f>
        <v>408.375</v>
      </c>
      <c r="BZ24" s="40">
        <f>IFERROR(((s_C*s_RadSpec!AJ24)/s_RadSpec!AU24)*s_IFFI_far_adj*s_CF_far_fish,0)</f>
        <v>0</v>
      </c>
      <c r="CA24" s="40">
        <f>IFERROR(((s_C*s_RadSpec!AK24)/s_RadSpec!AU24)*s_IFSF_far_adj*s_CF_far_shellfish,0)</f>
        <v>0</v>
      </c>
      <c r="CB24" s="40">
        <f>(s_C*s_IFB_far_adj*s_CF_far_beef*s_RadSpec!AI24*((s_Q_p_beef*s_f_p_beef*s_f_s_beef*(s_RadSpec!$AT24+s_R_es_past))+(s_Q_s_beef*s_f_p_beef)))</f>
        <v>0</v>
      </c>
      <c r="CC24" s="40">
        <f>(s_C*s_IFD_far_adj*s_CF_far_dairy*s_RadSpec!AH24*1/s_D_milk*((s_Q_p_dairy*s_f_p_dairy*s_f_s_dairy*(s_RadSpec!$AT24+s_R_es_past))+(s_Q_s_dairy*s_f_p_dairy)))</f>
        <v>0</v>
      </c>
      <c r="CD24" s="40">
        <f>IFERROR((s_C*s_IFSW_far_adj*s_CF_far_swine*s_RadSpec!AN24*((s_Q_p_swine*s_f_p_swine*s_f_s_swine*(s_RadSpec!$AT24+s_R_es_past))+(s_Q_s_swine*s_f_p_swine))),0)</f>
        <v>0</v>
      </c>
      <c r="CE24" s="40">
        <f>IFERROR((s_C*s_IFP_far_adj*s_CF_far_poultry*s_RadSpec!AL24*((s_Q_p_poultry*s_f_p_poultry*s_f_s_poultry*(s_RadSpec!AT24+s_R_es_past))+(s_Q_s_poultry*s_f_p_poultry))),0)</f>
        <v>0</v>
      </c>
      <c r="CF24" s="40">
        <f>IFERROR((s_C*s_IFE_far_adj*s_CF_far_egg*s_RadSpec!AM24*((s_Q_p_egg*s_f_p_egg*s_f_s_egg*(s_RadSpec!$AT24+s_R_es_past))+(s_Q_s_egg*s_f_p_egg))),0)</f>
        <v>0</v>
      </c>
      <c r="CG24" s="40">
        <f>IFERROR((s_C*s_IFGO_far_adj*s_CF_far_goat*s_RadSpec!AQ24*((s_Q_p_goat*s_f_p_goat*s_f_s_goat*(s_RadSpec!$AT24+s_R_es_past))+(s_Q_s_goat*s_f_p_goat))),0)</f>
        <v>0</v>
      </c>
      <c r="CH24" s="40">
        <f>IFERROR((s_C*s_IFGM_far_adj*s_CF_far_goat_milk*s_RadSpec!AR24*1/s_D_milk*((s_Q_p_goat_milk*s_f_p_goat_milk*s_f_s_goat_milk*(s_RadSpec!$AT24+s_R_es_past))+(s_Q_s_goat_milk*s_f_p_goat_milk))),0)</f>
        <v>0</v>
      </c>
      <c r="CI24" s="40">
        <f>IFERROR((s_C*s_IFSH_far_adj*s_CF_far_sheep*s_RadSpec!AO24*((s_Q_p_sheep*s_f_p_sheep*s_f_s_sheep*(s_RadSpec!$AT24+s_R_es_past))+(s_Q_s_sheep*s_f_p_sheep))),0)</f>
        <v>0</v>
      </c>
      <c r="CJ24" s="40">
        <f>IFERROR((s_C*s_IFSM_far_adj*s_CF_far_sheep_milk*s_RadSpec!AP24*1/s_D_milk*((s_Q_p_sheep_milk*s_f_p_sheep_milk*s_f_s_sheep_milk*(s_RadSpec!$AT24+s_R_es_past))+(s_Q_s_sheep_milk*s_f_p_sheep_milk))),0)</f>
        <v>0</v>
      </c>
      <c r="CK24" s="18"/>
      <c r="CL24" s="15" t="str">
        <f>IFERROR(s_DL/(s_RadSpec!I24*s_IFW_far_adj),".")</f>
        <v>.</v>
      </c>
      <c r="CM24" s="15" t="str">
        <f>IFERROR(IF(AND(s_RadSpec!C24=1,s_RadSpec!D24&lt;&gt;0),s_DL/(s_RadSpec!H24*s_IFA_far_adj*s_K*s_RadSpec!D24),"."),".")</f>
        <v>.</v>
      </c>
      <c r="CN24" s="15">
        <f>IFERROR((s_DL/(s_RadSpec!M24*(1/8760)*s_DFA_far_adj)),".")</f>
        <v>23072853.052874897</v>
      </c>
      <c r="CO24" s="15" t="str">
        <f>s_b2w!BC24</f>
        <v>.</v>
      </c>
      <c r="CP24" s="15" t="str">
        <f>IFERROR(J24/(s_RadSpec!AJ24*(1/1000)),".")</f>
        <v>.</v>
      </c>
      <c r="CQ24" s="15" t="str">
        <f>IFERROR(K24/(s_RadSpec!AK24*(1/1000)),".")</f>
        <v>.</v>
      </c>
      <c r="CR24" s="15" t="str">
        <f>IFERROR(G24/(s_RadSpec!AI24*s_Q_w_beef*(1/1000)),".")</f>
        <v>.</v>
      </c>
      <c r="CS24" s="15" t="str">
        <f>IFERROR((H24*s_D_milk)/(s_RadSpec!AH24*s_Q_w_dairy*(1/1000)),".")</f>
        <v>.</v>
      </c>
      <c r="CT24" s="15" t="str">
        <f>IFERROR(I24/(s_RadSpec!AN24*s_Q_w_swine*(1/1000)),".")</f>
        <v>.</v>
      </c>
      <c r="CU24" s="15" t="str">
        <f>IFERROR(E24/(s_RadSpec!AL24*s_Q_w_poultry*(1/1000)),".")</f>
        <v>.</v>
      </c>
      <c r="CV24" s="15" t="str">
        <f>IFERROR(F24/(s_RadSpec!AM24*s_Q_w_poultry*(1/1000)),".")</f>
        <v>.</v>
      </c>
      <c r="CW24" s="15" t="str">
        <f>IFERROR(L24/(s_RadSpec!AQ24*s_Q_w_goat*(1/1000)),".")</f>
        <v>.</v>
      </c>
      <c r="CX24" s="15" t="str">
        <f>IFERROR(N24*s_D_milk/(s_RadSpec!AR24*s_Q_w_goat_milk*(1/1000)),".")</f>
        <v>.</v>
      </c>
      <c r="CY24" s="15" t="str">
        <f>IFERROR(M24/(s_RadSpec!AO24*s_Q_w_sheep*(1/1000)),".")</f>
        <v>.</v>
      </c>
      <c r="CZ24" s="15" t="str">
        <f>IFERROR(O24*s_D_milk/(s_RadSpec!AP24*s_Q_w_sheep_milk*(1/1000)),".")</f>
        <v>.</v>
      </c>
      <c r="DA24" s="111" t="str">
        <f t="shared" si="28"/>
        <v>.</v>
      </c>
      <c r="DB24" s="111" t="str">
        <f t="shared" si="29"/>
        <v>.</v>
      </c>
      <c r="DC24" s="111">
        <f t="shared" si="30"/>
        <v>4.3340977282191773E-8</v>
      </c>
      <c r="DD24" s="111" t="str">
        <f t="shared" si="31"/>
        <v>.</v>
      </c>
      <c r="DE24" s="111" t="str">
        <f t="shared" si="32"/>
        <v>.</v>
      </c>
      <c r="DF24" s="111" t="str">
        <f t="shared" si="32"/>
        <v>.</v>
      </c>
      <c r="DG24" s="111" t="str">
        <f t="shared" si="33"/>
        <v>.</v>
      </c>
      <c r="DH24" s="111" t="str">
        <f t="shared" si="34"/>
        <v>.</v>
      </c>
      <c r="DI24" s="111" t="str">
        <f t="shared" si="35"/>
        <v>.</v>
      </c>
      <c r="DJ24" s="111" t="str">
        <f t="shared" si="36"/>
        <v>.</v>
      </c>
      <c r="DK24" s="111" t="str">
        <f t="shared" si="37"/>
        <v>.</v>
      </c>
      <c r="DL24" s="111" t="str">
        <f t="shared" si="38"/>
        <v>.</v>
      </c>
      <c r="DM24" s="111" t="str">
        <f t="shared" si="39"/>
        <v>.</v>
      </c>
      <c r="DN24" s="111" t="str">
        <f t="shared" si="40"/>
        <v>.</v>
      </c>
      <c r="DO24" s="111" t="str">
        <f t="shared" si="41"/>
        <v>.</v>
      </c>
      <c r="DP24" s="15">
        <f t="shared" si="51"/>
        <v>23072853.052874897</v>
      </c>
      <c r="DQ24" s="189">
        <f>DP24*(0.0000000000000028)*s_RadSpec!$AY24*s_RadSpec!$AF24</f>
        <v>1.5630658061314659E-14</v>
      </c>
      <c r="DR24" s="40">
        <f t="shared" si="42"/>
        <v>1375</v>
      </c>
      <c r="DS24" s="40">
        <f>IFERROR(IF(s_RadSpec!D24&lt;&gt;"",s_C*s_IFA_far_adj*s_K*s_RadSpec!D24,0),".")</f>
        <v>3.6407565104166666E-5</v>
      </c>
      <c r="DT24" s="40">
        <f t="shared" si="43"/>
        <v>0.12557077625570776</v>
      </c>
      <c r="DU24" s="40">
        <f>s_b2w!CC24</f>
        <v>0</v>
      </c>
      <c r="DV24" s="40">
        <f>IFERROR(s_C*s_RadSpec!AJ24*(1/1000)*s_IFFI_far_adj*s_CF_far_fish,0)</f>
        <v>0</v>
      </c>
      <c r="DW24" s="40">
        <f>IFERROR(s_C*s_RadSpec!AK24*(1/1000)*s_IFSF_far_adj*s_CF_far_shellfish,0)</f>
        <v>0</v>
      </c>
      <c r="DX24" s="40">
        <f>(s_C*s_IFB_far_adj*s_CF_far_beef*s_RadSpec!AI24*s_Q_w_beef*(1/1000))</f>
        <v>0</v>
      </c>
      <c r="DY24" s="40">
        <f>(s_C*s_IFD_far_adj*s_CF_far_dairy*s_RadSpec!AH24*(1/s_D_milk)*s_Q_w_dairy*(1/1000))</f>
        <v>0</v>
      </c>
      <c r="DZ24" s="40">
        <f>IFERROR((s_C*s_IFSW_far_adj*s_CF_far_swine*s_RadSpec!AN24*s_Q_w_swine*(1/1000)),0)</f>
        <v>0</v>
      </c>
      <c r="EA24" s="40">
        <f>IFERROR((s_C*s_IFP_far_adj*s_CF_far_poultry*s_RadSpec!AL24*s_Q_w_poultry*(1/1000)),0)</f>
        <v>0</v>
      </c>
      <c r="EB24" s="40">
        <f>IFERROR((s_C*s_IFE_far_adj*s_CF_far_egg*s_RadSpec!AM24*s_Q_w_egg*(1/1000)),0)</f>
        <v>0</v>
      </c>
      <c r="EC24" s="40">
        <f>IFERROR((s_C*s_IFGO_far_adj*s_CF_far_goat*s_RadSpec!AQ24*s_Q_p_goat*(1/1000)),0)</f>
        <v>0</v>
      </c>
      <c r="ED24" s="40">
        <f>IFERROR((s_C*s_IFGM_far_adj*s_CF_far_goat_milk*s_RadSpec!AR24*(1/s_D_milk)*s_Q_p_goat_milk*(1/1000)),0)</f>
        <v>0</v>
      </c>
      <c r="EE24" s="40">
        <f>IFERROR((s_C*s_IFSH_far_adj*s_CF_far_sheep*s_RadSpec!AO24*s_Q_p_sheep*(1/1000)),0)</f>
        <v>0</v>
      </c>
      <c r="EF24" s="40">
        <f>IFERROR((s_C*s_IFSM_far_adj*s_CF_far_sheep_milk*s_RadSpec!AP24*(1/s_D_milk)*s_Q_p_sheep_milk*(1/1000)),0)</f>
        <v>0</v>
      </c>
      <c r="EG24" s="5"/>
      <c r="EH24" s="15" t="str">
        <f>IFERROR((s_DL/(s_RadSpec!H24*s_IFA_far_adj)),".")</f>
        <v>.</v>
      </c>
      <c r="EI24" s="15">
        <f>IFERROR((s_DL/(s_RadSpec!K24*s_EF_far*(1/365)*1*s_ET_far*(1/24)*s_GSF_a)),".")</f>
        <v>80239239.557997867</v>
      </c>
      <c r="EJ24" s="15">
        <f t="shared" ref="EJ24:EJ25" si="62">IFERROR(IF(AND(ISNUMBER(EH24),ISNUMBER(EI24)),1/((1/EH24)+(1/EI24)),IF(AND(ISNUMBER(EH24),NOT(ISNUMBER(EI24))),1/((1/EH24)),IF(AND(NOT(ISNUMBER(EH24)),ISNUMBER(EI24)),1/((1/EI24)),IF(AND(NOT(ISNUMBER(EH24)),NOT(ISNUMBER(EI24))),".")))),".")</f>
        <v>80239239.557997867</v>
      </c>
      <c r="EK24" s="189">
        <f>EJ24*(0.0000000000000028)*s_RadSpec!$AY24*s_RadSpec!$AF24</f>
        <v>5.4357912034407215E-14</v>
      </c>
      <c r="EL24" s="40">
        <f t="shared" si="45"/>
        <v>501.30208333333326</v>
      </c>
      <c r="EM24" s="40">
        <f t="shared" si="46"/>
        <v>7.8481735159817351E-2</v>
      </c>
      <c r="EN24" s="113"/>
    </row>
    <row r="25" spans="1:144" customFormat="1" x14ac:dyDescent="0.25">
      <c r="A25" s="46" t="s">
        <v>23</v>
      </c>
      <c r="B25" s="42" t="s">
        <v>335</v>
      </c>
      <c r="C25" s="238"/>
      <c r="D25" s="15" t="str">
        <f>s_dir!AC25</f>
        <v>.</v>
      </c>
      <c r="E25" s="15" t="str">
        <f>IFERROR(s_DL/(s_RadSpec!F25*s_IFP_far_adj*s_CF_far_poultry),".")</f>
        <v>.</v>
      </c>
      <c r="F25" s="15" t="str">
        <f>IFERROR(s_DL/(s_RadSpec!F25*s_IFE_far_adj*s_CF_far_egg),".")</f>
        <v>.</v>
      </c>
      <c r="G25" s="15" t="str">
        <f>IFERROR(s_DL/(s_RadSpec!F25*s_IFB_far_adj*s_CF_far_beef),".")</f>
        <v>.</v>
      </c>
      <c r="H25" s="15" t="str">
        <f>IFERROR(s_DL/(s_RadSpec!F25*s_IFD_far_adj*s_CF_far_dairy),".")</f>
        <v>.</v>
      </c>
      <c r="I25" s="15" t="str">
        <f>IFERROR(s_DL/(s_RadSpec!F25*s_IFSW_far_adj*s_CF_far_swine),".")</f>
        <v>.</v>
      </c>
      <c r="J25" s="15" t="str">
        <f>IFERROR(s_DL/(s_RadSpec!F25*s_IFFI_far_adj*s_CF_far_fish),".")</f>
        <v>.</v>
      </c>
      <c r="K25" s="15" t="str">
        <f>IFERROR(s_DL/(s_RadSpec!F25*s_IFSF_far_adj*s_CF_far_shellfish),".")</f>
        <v>.</v>
      </c>
      <c r="L25" s="15" t="str">
        <f>IFERROR(s_DL/(s_RadSpec!F25*s_IFGO_far_adj*s_CF_far_goat),".")</f>
        <v>.</v>
      </c>
      <c r="M25" s="15" t="str">
        <f>IFERROR(s_DL/(s_RadSpec!F25*s_IFSH_far_adj*s_CF_far_sheep),".")</f>
        <v>.</v>
      </c>
      <c r="N25" s="15" t="str">
        <f>IFERROR(s_DL/(s_RadSpec!F25*s_IFGM_far_adj*s_CF_far_goat_milk),".")</f>
        <v>.</v>
      </c>
      <c r="O25" s="15" t="str">
        <f>IFERROR(s_DL/(s_RadSpec!F25*s_IFSM_far_adj*s_CF_far_sheep_milk),".")</f>
        <v>.</v>
      </c>
      <c r="P25" s="111" t="str">
        <f t="shared" si="47"/>
        <v>.</v>
      </c>
      <c r="Q25" s="111" t="str">
        <f t="shared" si="47"/>
        <v>.</v>
      </c>
      <c r="R25" s="111" t="str">
        <f t="shared" si="47"/>
        <v>.</v>
      </c>
      <c r="S25" s="111" t="str">
        <f t="shared" si="47"/>
        <v>.</v>
      </c>
      <c r="T25" s="111" t="str">
        <f t="shared" si="47"/>
        <v>.</v>
      </c>
      <c r="U25" s="111" t="str">
        <f t="shared" si="47"/>
        <v>.</v>
      </c>
      <c r="V25" s="111" t="str">
        <f t="shared" si="47"/>
        <v>.</v>
      </c>
      <c r="W25" s="111" t="str">
        <f t="shared" si="47"/>
        <v>.</v>
      </c>
      <c r="X25" s="111" t="str">
        <f t="shared" si="59"/>
        <v>.</v>
      </c>
      <c r="Y25" s="111" t="str">
        <f t="shared" si="59"/>
        <v>.</v>
      </c>
      <c r="Z25" s="111" t="str">
        <f t="shared" si="59"/>
        <v>.</v>
      </c>
      <c r="AA25" s="111" t="str">
        <f t="shared" si="59"/>
        <v>.</v>
      </c>
      <c r="AB25" s="15" t="str">
        <f t="shared" si="49"/>
        <v>.</v>
      </c>
      <c r="AC25" s="247">
        <f>IFERROR(AB25*(0.0000000000028)*s_RadSpec!$AY25*s_RadSpec!$AF25,0)</f>
        <v>0</v>
      </c>
      <c r="AD25" s="40">
        <f>s_dir!BC25</f>
        <v>30250</v>
      </c>
      <c r="AE25" s="40">
        <f t="shared" si="1"/>
        <v>7562.5</v>
      </c>
      <c r="AF25" s="40">
        <f t="shared" si="2"/>
        <v>7562.5</v>
      </c>
      <c r="AG25" s="40">
        <f t="shared" si="3"/>
        <v>7562.5</v>
      </c>
      <c r="AH25" s="40">
        <f t="shared" si="4"/>
        <v>7562.5</v>
      </c>
      <c r="AI25" s="40">
        <f t="shared" si="5"/>
        <v>7562.5</v>
      </c>
      <c r="AJ25" s="40">
        <f t="shared" si="6"/>
        <v>7562.5</v>
      </c>
      <c r="AK25" s="40">
        <f t="shared" si="7"/>
        <v>7562.5</v>
      </c>
      <c r="AL25" s="40">
        <f t="shared" si="8"/>
        <v>7562.5</v>
      </c>
      <c r="AM25" s="40">
        <f t="shared" si="9"/>
        <v>7562.5</v>
      </c>
      <c r="AN25" s="40">
        <f t="shared" si="10"/>
        <v>7562.5</v>
      </c>
      <c r="AO25" s="40">
        <f t="shared" si="11"/>
        <v>7562.5</v>
      </c>
      <c r="AP25" s="45" t="str">
        <f>IFERROR((s_DL/(s_RadSpec!E25*s_IFS_far_adj*(1/1000)))*1,".")</f>
        <v>.</v>
      </c>
      <c r="AQ25" s="45">
        <f>IFERROR(IF(A25="H-3",(s_DL/(s_RadSpec!H25*s_IFA_far_adj*(1/17)*1000))*1,(s_DL/(s_RadSpec!H25*s_IFA_far_adj*(1/s_PEF_wind)*1000))*1),".")</f>
        <v>2358772355.1101465</v>
      </c>
      <c r="AR25" s="45">
        <f>IFERROR((s_DL/(s_RadSpec!G25*s_EF_far*(1/365)*1*s_RadSpec!R25*((s_ET_far_o*(1/24)*s_RadSpec!W25)+(s_ET_far_i*(1/24)*s_RadSpec!AB25))))*1,".")</f>
        <v>500621.03754162649</v>
      </c>
      <c r="AS25" s="45" t="str">
        <f>s_b2s!BC25</f>
        <v>.</v>
      </c>
      <c r="AT25" s="45" t="str">
        <f>IFERROR(((J25*s_RadSpec!AU25)/s_RadSpec!AJ25)*1,".")</f>
        <v>.</v>
      </c>
      <c r="AU25" s="45" t="str">
        <f>IFERROR(((K25*s_RadSpec!AU25)/s_RadSpec!AK25)*1,".")</f>
        <v>.</v>
      </c>
      <c r="AV25" s="45" t="str">
        <f>IFERROR((G25/(s_RadSpec!AI25*((s_Q_p_beef*s_f_p_beef*s_f_s_beef*(s_RadSpec!BD25+s_R_es_past))+(s_Q_s_beef*s_f_p_beef))))*1,".")</f>
        <v>.</v>
      </c>
      <c r="AW25" s="45" t="str">
        <f>IFERROR(((H25*s_D_milk)/(s_RadSpec!AH25*((s_Q_p_dairy*s_f_p_dairy*s_f_s_dairy*(s_RadSpec!BD25+s_R_es_past))+(s_Q_s_dairy*s_f_p_dairy))))*1,".")</f>
        <v>.</v>
      </c>
      <c r="AX25" s="45" t="str">
        <f>IFERROR((I25/(s_RadSpec!AN25*((s_Q_p_swine*s_f_p_swine*s_f_s_swine*(s_RadSpec!BD25+s_R_es_past))+(s_Q_s_swine*s_f_p_swine))))*1,".")</f>
        <v>.</v>
      </c>
      <c r="AY25" s="45" t="str">
        <f>IFERROR((E25/(s_RadSpec!AL25*((s_Q_p_poultry*s_f_p_poultry*s_f_s_poultry*(s_RadSpec!BD25+s_R_es_past))+(s_Q_s_poultry*s_f_p_poultry))))*1,".")</f>
        <v>.</v>
      </c>
      <c r="AZ25" s="45" t="str">
        <f>IFERROR((F25/(s_RadSpec!AM25*((s_Q_p_poultry*s_f_p_poultry*s_f_s_poultry*(s_RadSpec!BD25+s_R_es_past))+(s_Q_s_poultry*s_f_p_poultry))))*1,".")</f>
        <v>.</v>
      </c>
      <c r="BA25" s="45" t="str">
        <f>IFERROR((L25/(s_RadSpec!AQ25*((s_Q_p_goat*s_f_p_goat*s_f_s_goat*(s_RadSpec!BD25+s_R_es_past))+(s_Q_s_goat*s_f_p_goat))))*1,".")</f>
        <v>.</v>
      </c>
      <c r="BB25" s="45" t="str">
        <f>IFERROR((N25*s_D_milk/(s_RadSpec!AR25*((s_Q_p_goat_milk*s_f_p_goat_milk*s_f_s_goat_milk*(s_RadSpec!BD25+s_R_es_past))+(s_Q_s_goat_milk*s_f_p_goat_milk))))*1,".")</f>
        <v>.</v>
      </c>
      <c r="BC25" s="45" t="str">
        <f>IFERROR((M25/(s_RadSpec!AO25*((s_Q_p_sheep*s_f_p_sheep*s_f_s_sheep*(s_RadSpec!BD25+s_R_es_past))+(s_Q_s_sheep*s_f_p_sheep))))*1,".")</f>
        <v>.</v>
      </c>
      <c r="BD25" s="45" t="str">
        <f>IFERROR((O25*s_D_milk/(s_RadSpec!AP25*((s_Q_p_sheep_milk*s_f_p_sheep_milk*s_f_s_sheep_milk*(s_RadSpec!BD25+s_R_es_past))+(s_Q_s_sheep_milk*s_f_p_sheep_milk))))*1,".")</f>
        <v>.</v>
      </c>
      <c r="BE25" s="111" t="str">
        <f t="shared" si="12"/>
        <v>.</v>
      </c>
      <c r="BF25" s="111">
        <f t="shared" si="13"/>
        <v>4.2394934713964948E-10</v>
      </c>
      <c r="BG25" s="111">
        <f t="shared" si="14"/>
        <v>1.9975189315068494E-6</v>
      </c>
      <c r="BH25" s="111" t="str">
        <f t="shared" si="15"/>
        <v>.</v>
      </c>
      <c r="BI25" s="111" t="str">
        <f t="shared" si="16"/>
        <v>.</v>
      </c>
      <c r="BJ25" s="111" t="str">
        <f t="shared" si="16"/>
        <v>.</v>
      </c>
      <c r="BK25" s="111" t="str">
        <f t="shared" si="17"/>
        <v>.</v>
      </c>
      <c r="BL25" s="111" t="str">
        <f t="shared" si="18"/>
        <v>.</v>
      </c>
      <c r="BM25" s="111" t="str">
        <f t="shared" si="19"/>
        <v>.</v>
      </c>
      <c r="BN25" s="111" t="str">
        <f t="shared" si="20"/>
        <v>.</v>
      </c>
      <c r="BO25" s="111" t="str">
        <f t="shared" si="21"/>
        <v>.</v>
      </c>
      <c r="BP25" s="111" t="str">
        <f t="shared" si="22"/>
        <v>.</v>
      </c>
      <c r="BQ25" s="111" t="str">
        <f t="shared" si="23"/>
        <v>.</v>
      </c>
      <c r="BR25" s="111" t="str">
        <f t="shared" si="24"/>
        <v>.</v>
      </c>
      <c r="BS25" s="111" t="str">
        <f t="shared" si="25"/>
        <v>.</v>
      </c>
      <c r="BT25" s="15">
        <f t="shared" si="50"/>
        <v>500514.80929853505</v>
      </c>
      <c r="BU25" s="189">
        <f>IFERROR(BT25*(0.0000000000028)*s_RadSpec!$AY25*s_RadSpec!$AF25,0)</f>
        <v>3.259088605140247E-6</v>
      </c>
      <c r="BV25" s="40">
        <f t="shared" si="26"/>
        <v>15.125</v>
      </c>
      <c r="BW25" s="40">
        <f t="shared" si="27"/>
        <v>1.6181272791589674E-3</v>
      </c>
      <c r="BX25" s="40">
        <f>IFERROR((s_C*s_EF_far*(1/365)*1*s_RadSpec!R25*((s_ET_far_o*(1/24)*s_RadSpec!W25)+(s_ET_far_i*(1/24)*s_RadSpec!AB25))),".")</f>
        <v>2.3450342465753421E-2</v>
      </c>
      <c r="BY25" s="40">
        <f>s_b2s!CC25</f>
        <v>408.375</v>
      </c>
      <c r="BZ25" s="40">
        <f>IFERROR(((s_C*s_RadSpec!AJ25)/s_RadSpec!AU25)*s_IFFI_far_adj*s_CF_far_fish,0)</f>
        <v>0</v>
      </c>
      <c r="CA25" s="40">
        <f>IFERROR(((s_C*s_RadSpec!AK25)/s_RadSpec!AU25)*s_IFSF_far_adj*s_CF_far_shellfish,0)</f>
        <v>0</v>
      </c>
      <c r="CB25" s="40">
        <f>(s_C*s_IFB_far_adj*s_CF_far_beef*s_RadSpec!AI25*((s_Q_p_beef*s_f_p_beef*s_f_s_beef*(s_RadSpec!$AT25+s_R_es_past))+(s_Q_s_beef*s_f_p_beef)))</f>
        <v>0</v>
      </c>
      <c r="CC25" s="40">
        <f>(s_C*s_IFD_far_adj*s_CF_far_dairy*s_RadSpec!AH25*1/s_D_milk*((s_Q_p_dairy*s_f_p_dairy*s_f_s_dairy*(s_RadSpec!$AT25+s_R_es_past))+(s_Q_s_dairy*s_f_p_dairy)))</f>
        <v>0</v>
      </c>
      <c r="CD25" s="40">
        <f>IFERROR((s_C*s_IFSW_far_adj*s_CF_far_swine*s_RadSpec!AN25*((s_Q_p_swine*s_f_p_swine*s_f_s_swine*(s_RadSpec!$AT25+s_R_es_past))+(s_Q_s_swine*s_f_p_swine))),0)</f>
        <v>0</v>
      </c>
      <c r="CE25" s="40">
        <f>IFERROR((s_C*s_IFP_far_adj*s_CF_far_poultry*s_RadSpec!AL25*((s_Q_p_poultry*s_f_p_poultry*s_f_s_poultry*(s_RadSpec!AT25+s_R_es_past))+(s_Q_s_poultry*s_f_p_poultry))),0)</f>
        <v>0</v>
      </c>
      <c r="CF25" s="40">
        <f>IFERROR((s_C*s_IFE_far_adj*s_CF_far_egg*s_RadSpec!AM25*((s_Q_p_egg*s_f_p_egg*s_f_s_egg*(s_RadSpec!$AT25+s_R_es_past))+(s_Q_s_egg*s_f_p_egg))),0)</f>
        <v>0</v>
      </c>
      <c r="CG25" s="40">
        <f>IFERROR((s_C*s_IFGO_far_adj*s_CF_far_goat*s_RadSpec!AQ25*((s_Q_p_goat*s_f_p_goat*s_f_s_goat*(s_RadSpec!$AT25+s_R_es_past))+(s_Q_s_goat*s_f_p_goat))),0)</f>
        <v>0</v>
      </c>
      <c r="CH25" s="40">
        <f>IFERROR((s_C*s_IFGM_far_adj*s_CF_far_goat_milk*s_RadSpec!AR25*1/s_D_milk*((s_Q_p_goat_milk*s_f_p_goat_milk*s_f_s_goat_milk*(s_RadSpec!$AT25+s_R_es_past))+(s_Q_s_goat_milk*s_f_p_goat_milk))),0)</f>
        <v>0</v>
      </c>
      <c r="CI25" s="40">
        <f>IFERROR((s_C*s_IFSH_far_adj*s_CF_far_sheep*s_RadSpec!AO25*((s_Q_p_sheep*s_f_p_sheep*s_f_s_sheep*(s_RadSpec!$AT25+s_R_es_past))+(s_Q_s_sheep*s_f_p_sheep))),0)</f>
        <v>0</v>
      </c>
      <c r="CJ25" s="40">
        <f>IFERROR((s_C*s_IFSM_far_adj*s_CF_far_sheep_milk*s_RadSpec!AP25*1/s_D_milk*((s_Q_p_sheep_milk*s_f_p_sheep_milk*s_f_s_sheep_milk*(s_RadSpec!$AT25+s_R_es_past))+(s_Q_s_sheep_milk*s_f_p_sheep_milk))),0)</f>
        <v>0</v>
      </c>
      <c r="CK25" s="18"/>
      <c r="CL25" s="15" t="str">
        <f>IFERROR(s_DL/(s_RadSpec!I25*s_IFW_far_adj),".")</f>
        <v>.</v>
      </c>
      <c r="CM25" s="15">
        <f>IFERROR(IF(AND(s_RadSpec!C25=1,s_RadSpec!D25&lt;&gt;0),s_DL/(s_RadSpec!H25*s_IFA_far_adj*s_K*s_RadSpec!D25),"."),".")</f>
        <v>15227.520571032024</v>
      </c>
      <c r="CN25" s="15">
        <f>IFERROR((s_DL/(s_RadSpec!M25*(1/8760)*s_DFA_far_adj)),".")</f>
        <v>45347974.484240822</v>
      </c>
      <c r="CO25" s="15" t="str">
        <f>s_b2w!BC25</f>
        <v>.</v>
      </c>
      <c r="CP25" s="15" t="str">
        <f>IFERROR(J25/(s_RadSpec!AJ25*(1/1000)),".")</f>
        <v>.</v>
      </c>
      <c r="CQ25" s="15" t="str">
        <f>IFERROR(K25/(s_RadSpec!AK25*(1/1000)),".")</f>
        <v>.</v>
      </c>
      <c r="CR25" s="15" t="str">
        <f>IFERROR(G25/(s_RadSpec!AI25*s_Q_w_beef*(1/1000)),".")</f>
        <v>.</v>
      </c>
      <c r="CS25" s="15" t="str">
        <f>IFERROR((H25*s_D_milk)/(s_RadSpec!AH25*s_Q_w_dairy*(1/1000)),".")</f>
        <v>.</v>
      </c>
      <c r="CT25" s="15" t="str">
        <f>IFERROR(I25/(s_RadSpec!AN25*s_Q_w_swine*(1/1000)),".")</f>
        <v>.</v>
      </c>
      <c r="CU25" s="15" t="str">
        <f>IFERROR(E25/(s_RadSpec!AL25*s_Q_w_poultry*(1/1000)),".")</f>
        <v>.</v>
      </c>
      <c r="CV25" s="15" t="str">
        <f>IFERROR(F25/(s_RadSpec!AM25*s_Q_w_poultry*(1/1000)),".")</f>
        <v>.</v>
      </c>
      <c r="CW25" s="15" t="str">
        <f>IFERROR(L25/(s_RadSpec!AQ25*s_Q_w_goat*(1/1000)),".")</f>
        <v>.</v>
      </c>
      <c r="CX25" s="15" t="str">
        <f>IFERROR(N25*s_D_milk/(s_RadSpec!AR25*s_Q_w_goat_milk*(1/1000)),".")</f>
        <v>.</v>
      </c>
      <c r="CY25" s="15" t="str">
        <f>IFERROR(M25/(s_RadSpec!AO25*s_Q_w_sheep*(1/1000)),".")</f>
        <v>.</v>
      </c>
      <c r="CZ25" s="15" t="str">
        <f>IFERROR(O25*s_D_milk/(s_RadSpec!AP25*s_Q_w_sheep_milk*(1/1000)),".")</f>
        <v>.</v>
      </c>
      <c r="DA25" s="111" t="str">
        <f t="shared" si="28"/>
        <v>.</v>
      </c>
      <c r="DB25" s="111">
        <f t="shared" si="29"/>
        <v>6.5670572916666649E-5</v>
      </c>
      <c r="DC25" s="111">
        <f t="shared" si="30"/>
        <v>2.2051701567123282E-8</v>
      </c>
      <c r="DD25" s="111" t="str">
        <f t="shared" si="31"/>
        <v>.</v>
      </c>
      <c r="DE25" s="111" t="str">
        <f t="shared" si="32"/>
        <v>.</v>
      </c>
      <c r="DF25" s="111" t="str">
        <f t="shared" si="32"/>
        <v>.</v>
      </c>
      <c r="DG25" s="111" t="str">
        <f t="shared" si="33"/>
        <v>.</v>
      </c>
      <c r="DH25" s="111" t="str">
        <f t="shared" si="34"/>
        <v>.</v>
      </c>
      <c r="DI25" s="111" t="str">
        <f t="shared" si="35"/>
        <v>.</v>
      </c>
      <c r="DJ25" s="111" t="str">
        <f t="shared" si="36"/>
        <v>.</v>
      </c>
      <c r="DK25" s="111" t="str">
        <f t="shared" si="37"/>
        <v>.</v>
      </c>
      <c r="DL25" s="111" t="str">
        <f t="shared" si="38"/>
        <v>.</v>
      </c>
      <c r="DM25" s="111" t="str">
        <f t="shared" si="39"/>
        <v>.</v>
      </c>
      <c r="DN25" s="111" t="str">
        <f t="shared" si="40"/>
        <v>.</v>
      </c>
      <c r="DO25" s="111" t="str">
        <f t="shared" si="41"/>
        <v>.</v>
      </c>
      <c r="DP25" s="15">
        <f t="shared" si="51"/>
        <v>15222.408996617225</v>
      </c>
      <c r="DQ25" s="189">
        <f>DP25*(0.0000000000000028)*s_RadSpec!$AY25*s_RadSpec!$AF25</f>
        <v>9.912030329969457E-11</v>
      </c>
      <c r="DR25" s="40">
        <f t="shared" si="42"/>
        <v>1375</v>
      </c>
      <c r="DS25" s="40">
        <f>IFERROR(IF(s_RadSpec!D25&lt;&gt;"",s_C*s_IFA_far_adj*s_K*s_RadSpec!D25,0),".")</f>
        <v>250.65104166666663</v>
      </c>
      <c r="DT25" s="40">
        <f t="shared" si="43"/>
        <v>0.12557077625570776</v>
      </c>
      <c r="DU25" s="40">
        <f>s_b2w!CC25</f>
        <v>0</v>
      </c>
      <c r="DV25" s="40">
        <f>IFERROR(s_C*s_RadSpec!AJ25*(1/1000)*s_IFFI_far_adj*s_CF_far_fish,0)</f>
        <v>0</v>
      </c>
      <c r="DW25" s="40">
        <f>IFERROR(s_C*s_RadSpec!AK25*(1/1000)*s_IFSF_far_adj*s_CF_far_shellfish,0)</f>
        <v>0</v>
      </c>
      <c r="DX25" s="40">
        <f>(s_C*s_IFB_far_adj*s_CF_far_beef*s_RadSpec!AI25*s_Q_w_beef*(1/1000))</f>
        <v>0</v>
      </c>
      <c r="DY25" s="40">
        <f>(s_C*s_IFD_far_adj*s_CF_far_dairy*s_RadSpec!AH25*(1/s_D_milk)*s_Q_w_dairy*(1/1000))</f>
        <v>0</v>
      </c>
      <c r="DZ25" s="40">
        <f>IFERROR((s_C*s_IFSW_far_adj*s_CF_far_swine*s_RadSpec!AN25*s_Q_w_swine*(1/1000)),0)</f>
        <v>0</v>
      </c>
      <c r="EA25" s="40">
        <f>IFERROR((s_C*s_IFP_far_adj*s_CF_far_poultry*s_RadSpec!AL25*s_Q_w_poultry*(1/1000)),0)</f>
        <v>0</v>
      </c>
      <c r="EB25" s="40">
        <f>IFERROR((s_C*s_IFE_far_adj*s_CF_far_egg*s_RadSpec!AM25*s_Q_w_egg*(1/1000)),0)</f>
        <v>0</v>
      </c>
      <c r="EC25" s="40">
        <f>IFERROR((s_C*s_IFGO_far_adj*s_CF_far_goat*s_RadSpec!AQ25*s_Q_p_goat*(1/1000)),0)</f>
        <v>0</v>
      </c>
      <c r="ED25" s="40">
        <f>IFERROR((s_C*s_IFGM_far_adj*s_CF_far_goat_milk*s_RadSpec!AR25*(1/s_D_milk)*s_Q_p_goat_milk*(1/1000)),0)</f>
        <v>0</v>
      </c>
      <c r="EE25" s="40">
        <f>IFERROR((s_C*s_IFSH_far_adj*s_CF_far_sheep*s_RadSpec!AO25*s_Q_p_sheep*(1/1000)),0)</f>
        <v>0</v>
      </c>
      <c r="EF25" s="40">
        <f>IFERROR((s_C*s_IFSM_far_adj*s_CF_far_sheep_milk*s_RadSpec!AP25*(1/s_D_milk)*s_Q_p_sheep_milk*(1/1000)),0)</f>
        <v>0</v>
      </c>
      <c r="EG25" s="5"/>
      <c r="EH25" s="15">
        <f>IFERROR((s_DL/(s_RadSpec!H25*s_IFA_far_adj)),".")</f>
        <v>7613.7602855160121</v>
      </c>
      <c r="EI25" s="15">
        <f>IFERROR((s_DL/(s_RadSpec!K25*s_EF_far*(1/365)*1*s_ET_far*(1/24)*s_GSF_a)),".")</f>
        <v>157695615.31629637</v>
      </c>
      <c r="EJ25" s="15">
        <f t="shared" si="62"/>
        <v>7613.3927004892203</v>
      </c>
      <c r="EK25" s="189">
        <f>EJ25*(0.0000000000000028)*s_RadSpec!$AY25*s_RadSpec!$AF25</f>
        <v>4.9574400068995074E-11</v>
      </c>
      <c r="EL25" s="40">
        <f t="shared" si="45"/>
        <v>501.30208333333326</v>
      </c>
      <c r="EM25" s="40">
        <f t="shared" si="46"/>
        <v>7.8481735159817351E-2</v>
      </c>
      <c r="EN25" s="113"/>
    </row>
    <row r="26" spans="1:144" customFormat="1" x14ac:dyDescent="0.25">
      <c r="A26" s="44" t="s">
        <v>24</v>
      </c>
      <c r="B26" s="42" t="s">
        <v>1057</v>
      </c>
      <c r="C26" s="42"/>
      <c r="D26" s="15">
        <f>s_dir!AC26</f>
        <v>0.36677152664613477</v>
      </c>
      <c r="E26" s="15">
        <f>IFERROR(s_DL/(s_RadSpec!F26*s_IFP_far_adj*s_CF_far_poultry),".")</f>
        <v>1.4670861065845391</v>
      </c>
      <c r="F26" s="15">
        <f>IFERROR(s_DL/(s_RadSpec!F26*s_IFE_far_adj*s_CF_far_egg),".")</f>
        <v>1.4670861065845391</v>
      </c>
      <c r="G26" s="15">
        <f>IFERROR(s_DL/(s_RadSpec!F26*s_IFB_far_adj*s_CF_far_beef),".")</f>
        <v>1.4670861065845391</v>
      </c>
      <c r="H26" s="15">
        <f>IFERROR(s_DL/(s_RadSpec!F26*s_IFD_far_adj*s_CF_far_dairy),".")</f>
        <v>1.4670861065845391</v>
      </c>
      <c r="I26" s="15">
        <f>IFERROR(s_DL/(s_RadSpec!F26*s_IFSW_far_adj*s_CF_far_swine),".")</f>
        <v>1.4670861065845391</v>
      </c>
      <c r="J26" s="15">
        <f>IFERROR(s_DL/(s_RadSpec!F26*s_IFFI_far_adj*s_CF_far_fish),".")</f>
        <v>1.4670861065845391</v>
      </c>
      <c r="K26" s="15">
        <f>IFERROR(s_DL/(s_RadSpec!F26*s_IFSF_far_adj*s_CF_far_shellfish),".")</f>
        <v>1.4670861065845391</v>
      </c>
      <c r="L26" s="15">
        <f>IFERROR(s_DL/(s_RadSpec!F26*s_IFGO_far_adj*s_CF_far_goat),".")</f>
        <v>1.4670861065845391</v>
      </c>
      <c r="M26" s="15">
        <f>IFERROR(s_DL/(s_RadSpec!F26*s_IFSH_far_adj*s_CF_far_sheep),".")</f>
        <v>1.4670861065845391</v>
      </c>
      <c r="N26" s="15">
        <f>IFERROR(s_DL/(s_RadSpec!F26*s_IFGM_far_adj*s_CF_far_goat_milk),".")</f>
        <v>1.4670861065845391</v>
      </c>
      <c r="O26" s="15">
        <f>IFERROR(s_DL/(s_RadSpec!F26*s_IFSM_far_adj*s_CF_far_sheep_milk),".")</f>
        <v>1.4670861065845391</v>
      </c>
      <c r="P26" s="111">
        <f t="shared" si="47"/>
        <v>0.68162325000000001</v>
      </c>
      <c r="Q26" s="111">
        <f t="shared" si="47"/>
        <v>0.68162325000000001</v>
      </c>
      <c r="R26" s="111">
        <f t="shared" si="47"/>
        <v>0.68162325000000001</v>
      </c>
      <c r="S26" s="111">
        <f t="shared" si="47"/>
        <v>0.68162325000000001</v>
      </c>
      <c r="T26" s="111">
        <f t="shared" si="47"/>
        <v>0.68162325000000001</v>
      </c>
      <c r="U26" s="111">
        <f t="shared" si="47"/>
        <v>0.68162325000000001</v>
      </c>
      <c r="V26" s="111">
        <f t="shared" si="47"/>
        <v>0.68162325000000001</v>
      </c>
      <c r="W26" s="111">
        <f t="shared" si="47"/>
        <v>0.68162325000000001</v>
      </c>
      <c r="X26" s="111">
        <f t="shared" si="59"/>
        <v>0.68162325000000001</v>
      </c>
      <c r="Y26" s="111">
        <f t="shared" si="59"/>
        <v>0.68162325000000001</v>
      </c>
      <c r="Z26" s="111">
        <f t="shared" si="59"/>
        <v>0.68162325000000001</v>
      </c>
      <c r="AA26" s="111">
        <f t="shared" si="59"/>
        <v>0.68162325000000001</v>
      </c>
      <c r="AB26" s="15">
        <f t="shared" si="49"/>
        <v>0.12225717554871156</v>
      </c>
      <c r="AC26" s="247">
        <f>IFERROR(AB26*(0.0000000000028)*s_RadSpec!$AY26*s_RadSpec!$AF26,0)</f>
        <v>5.7539214905986049E-7</v>
      </c>
      <c r="AD26" s="40">
        <f>s_dir!BC26</f>
        <v>30250</v>
      </c>
      <c r="AE26" s="40">
        <f t="shared" si="1"/>
        <v>7562.5</v>
      </c>
      <c r="AF26" s="40">
        <f t="shared" si="2"/>
        <v>7562.5</v>
      </c>
      <c r="AG26" s="40">
        <f t="shared" si="3"/>
        <v>7562.5</v>
      </c>
      <c r="AH26" s="40">
        <f t="shared" si="4"/>
        <v>7562.5</v>
      </c>
      <c r="AI26" s="40">
        <f t="shared" si="5"/>
        <v>7562.5</v>
      </c>
      <c r="AJ26" s="40">
        <f t="shared" si="6"/>
        <v>7562.5</v>
      </c>
      <c r="AK26" s="40">
        <f t="shared" si="7"/>
        <v>7562.5</v>
      </c>
      <c r="AL26" s="40">
        <f t="shared" si="8"/>
        <v>7562.5</v>
      </c>
      <c r="AM26" s="40">
        <f t="shared" si="9"/>
        <v>7562.5</v>
      </c>
      <c r="AN26" s="40">
        <f t="shared" si="10"/>
        <v>7562.5</v>
      </c>
      <c r="AO26" s="40">
        <f t="shared" si="11"/>
        <v>7562.5</v>
      </c>
      <c r="AP26" s="45">
        <f>IFERROR((s_DL/(s_RadSpec!E26*s_IFS_far_adj*(1/1000)))*1,".")</f>
        <v>733.54305329226952</v>
      </c>
      <c r="AQ26" s="45">
        <f>IFERROR(IF(A26="H-3",(s_DL/(s_RadSpec!H26*s_IFA_far_adj*(1/17)*1000))*1,(s_DL/(s_RadSpec!H26*s_IFA_far_adj*(1/s_PEF_wind)*1000))*1),".")</f>
        <v>55306.815557442133</v>
      </c>
      <c r="AR26" s="45">
        <f>IFERROR((s_DL/(s_RadSpec!G26*s_EF_far*(1/365)*1*s_RadSpec!R26*((s_ET_far_o*(1/24)*s_RadSpec!W26)+(s_ET_far_i*(1/24)*s_RadSpec!AB26))))*1,".")</f>
        <v>20205.168901302986</v>
      </c>
      <c r="AS26" s="45">
        <f>s_b2s!BC26</f>
        <v>25.496804076895014</v>
      </c>
      <c r="AT26" s="45">
        <f>IFERROR(((J26*s_RadSpec!AU26)/s_RadSpec!AJ26)*1,".")</f>
        <v>4.8902870219484633</v>
      </c>
      <c r="AU26" s="45">
        <f>IFERROR(((K26*s_RadSpec!AU26)/s_RadSpec!AK26)*1,".")</f>
        <v>1.0117835217824406E-2</v>
      </c>
      <c r="AV26" s="45">
        <f>IFERROR((G26/(s_RadSpec!AI26*((s_Q_p_beef*s_f_p_beef*s_f_s_beef*(s_RadSpec!BD26+s_R_es_past))+(s_Q_s_beef*s_f_p_beef))))*1,".")</f>
        <v>72.64817756880602</v>
      </c>
      <c r="AW26" s="45">
        <f>IFERROR(((H26*s_D_milk)/(s_RadSpec!AH26*((s_Q_p_dairy*s_f_p_dairy*s_f_s_dairy*(s_RadSpec!BD26+s_R_es_past))+(s_Q_s_dairy*s_f_p_dairy))))*1,".")</f>
        <v>3442.0706532100289</v>
      </c>
      <c r="AX26" s="45" t="str">
        <f>IFERROR((I26/(s_RadSpec!AN26*((s_Q_p_swine*s_f_p_swine*s_f_s_swine*(s_RadSpec!BD26+s_R_es_past))+(s_Q_s_swine*s_f_p_swine))))*1,".")</f>
        <v>.</v>
      </c>
      <c r="AY26" s="45" t="str">
        <f>IFERROR((E26/(s_RadSpec!AL26*((s_Q_p_poultry*s_f_p_poultry*s_f_s_poultry*(s_RadSpec!BD26+s_R_es_past))+(s_Q_s_poultry*s_f_p_poultry))))*1,".")</f>
        <v>.</v>
      </c>
      <c r="AZ26" s="45" t="str">
        <f>IFERROR((F26/(s_RadSpec!AM26*((s_Q_p_poultry*s_f_p_poultry*s_f_s_poultry*(s_RadSpec!BD26+s_R_es_past))+(s_Q_s_poultry*s_f_p_poultry))))*1,".")</f>
        <v>.</v>
      </c>
      <c r="BA26" s="45" t="str">
        <f>IFERROR((L26/(s_RadSpec!AQ26*((s_Q_p_goat*s_f_p_goat*s_f_s_goat*(s_RadSpec!BD26+s_R_es_past))+(s_Q_s_goat*s_f_p_goat))))*1,".")</f>
        <v>.</v>
      </c>
      <c r="BB26" s="45" t="str">
        <f>IFERROR((N26*s_D_milk/(s_RadSpec!AR26*((s_Q_p_goat_milk*s_f_p_goat_milk*s_f_s_goat_milk*(s_RadSpec!BD26+s_R_es_past))+(s_Q_s_goat_milk*s_f_p_goat_milk))))*1,".")</f>
        <v>.</v>
      </c>
      <c r="BC26" s="45">
        <f>IFERROR((M26/(s_RadSpec!AO26*((s_Q_p_sheep*s_f_p_sheep*s_f_s_sheep*(s_RadSpec!BD26+s_R_es_past))+(s_Q_s_sheep*s_f_p_sheep))))*1,".")</f>
        <v>16.709080840825383</v>
      </c>
      <c r="BD26" s="45" t="str">
        <f>IFERROR((O26*s_D_milk/(s_RadSpec!AP26*((s_Q_p_sheep_milk*s_f_p_sheep_milk*s_f_s_sheep_milk*(s_RadSpec!BD26+s_R_es_past))+(s_Q_s_sheep_milk*s_f_p_sheep_milk))))*1,".")</f>
        <v>.</v>
      </c>
      <c r="BE26" s="111">
        <f t="shared" si="12"/>
        <v>1.3632465000000002E-3</v>
      </c>
      <c r="BF26" s="111">
        <f t="shared" si="13"/>
        <v>1.8080954217322301E-5</v>
      </c>
      <c r="BG26" s="111">
        <f t="shared" si="14"/>
        <v>4.9492286101875257E-5</v>
      </c>
      <c r="BH26" s="111">
        <f t="shared" si="15"/>
        <v>3.9220601805000005E-2</v>
      </c>
      <c r="BI26" s="111">
        <f t="shared" si="16"/>
        <v>0.20448697500000002</v>
      </c>
      <c r="BJ26" s="111">
        <f t="shared" si="16"/>
        <v>98.835371250000023</v>
      </c>
      <c r="BK26" s="111">
        <f t="shared" si="17"/>
        <v>1.3764970209375E-2</v>
      </c>
      <c r="BL26" s="111">
        <f t="shared" si="18"/>
        <v>2.9052279884708742E-4</v>
      </c>
      <c r="BM26" s="111" t="str">
        <f t="shared" si="19"/>
        <v>.</v>
      </c>
      <c r="BN26" s="111" t="str">
        <f t="shared" si="20"/>
        <v>.</v>
      </c>
      <c r="BO26" s="111" t="str">
        <f t="shared" si="21"/>
        <v>.</v>
      </c>
      <c r="BP26" s="111" t="str">
        <f t="shared" si="22"/>
        <v>.</v>
      </c>
      <c r="BQ26" s="111" t="str">
        <f t="shared" si="23"/>
        <v>.</v>
      </c>
      <c r="BR26" s="111">
        <f t="shared" si="24"/>
        <v>5.9847696562500011E-2</v>
      </c>
      <c r="BS26" s="111" t="str">
        <f t="shared" si="25"/>
        <v>.</v>
      </c>
      <c r="BT26" s="15">
        <f t="shared" si="50"/>
        <v>1.0085279831698619E-2</v>
      </c>
      <c r="BU26" s="189">
        <f>IFERROR(BT26*(0.0000000000028)*s_RadSpec!$AY26*s_RadSpec!$AF26,0)</f>
        <v>4.746544168214504E-8</v>
      </c>
      <c r="BV26" s="40">
        <f t="shared" si="26"/>
        <v>15.125</v>
      </c>
      <c r="BW26" s="40">
        <f t="shared" si="27"/>
        <v>1.6181272791589674E-3</v>
      </c>
      <c r="BX26" s="40">
        <f>IFERROR((s_C*s_EF_far*(1/365)*1*s_RadSpec!R26*((s_ET_far_o*(1/24)*s_RadSpec!W26)+(s_ET_far_i*(1/24)*s_RadSpec!AB26))),".")</f>
        <v>4.3011038701955065E-3</v>
      </c>
      <c r="BY26" s="40">
        <f>s_b2s!CC26</f>
        <v>435.14625000000001</v>
      </c>
      <c r="BZ26" s="40">
        <f>IFERROR(((s_C*s_RadSpec!AJ26)/s_RadSpec!AU26)*s_IFFI_far_adj*s_CF_far_fish,0)</f>
        <v>2268.75</v>
      </c>
      <c r="CA26" s="40">
        <f>IFERROR(((s_C*s_RadSpec!AK26)/s_RadSpec!AU26)*s_IFSF_far_adj*s_CF_far_shellfish,0)</f>
        <v>1096562.5</v>
      </c>
      <c r="CB26" s="40">
        <f>(s_C*s_IFB_far_adj*s_CF_far_beef*s_RadSpec!AI26*((s_Q_p_beef*s_f_p_beef*s_f_s_beef*(s_RadSpec!$AT26+s_R_es_past))+(s_Q_s_beef*s_f_p_beef)))</f>
        <v>152.72012392241379</v>
      </c>
      <c r="CC26" s="40">
        <f>(s_C*s_IFD_far_adj*s_CF_far_dairy*s_RadSpec!AH26*1/s_D_milk*((s_Q_p_dairy*s_f_p_dairy*s_f_s_dairy*(s_RadSpec!$AT26+s_R_es_past))+(s_Q_s_dairy*s_f_p_dairy)))</f>
        <v>3.2233035863742887</v>
      </c>
      <c r="CD26" s="40">
        <f>IFERROR((s_C*s_IFSW_far_adj*s_CF_far_swine*s_RadSpec!AN26*((s_Q_p_swine*s_f_p_swine*s_f_s_swine*(s_RadSpec!$AT26+s_R_es_past))+(s_Q_s_swine*s_f_p_swine))),0)</f>
        <v>0</v>
      </c>
      <c r="CE26" s="40">
        <f>IFERROR((s_C*s_IFP_far_adj*s_CF_far_poultry*s_RadSpec!AL26*((s_Q_p_poultry*s_f_p_poultry*s_f_s_poultry*(s_RadSpec!AT26+s_R_es_past))+(s_Q_s_poultry*s_f_p_poultry))),0)</f>
        <v>0</v>
      </c>
      <c r="CF26" s="40">
        <f>IFERROR((s_C*s_IFE_far_adj*s_CF_far_egg*s_RadSpec!AM26*((s_Q_p_egg*s_f_p_egg*s_f_s_egg*(s_RadSpec!$AT26+s_R_es_past))+(s_Q_s_egg*s_f_p_egg))),0)</f>
        <v>0</v>
      </c>
      <c r="CG26" s="40">
        <f>IFERROR((s_C*s_IFGO_far_adj*s_CF_far_goat*s_RadSpec!AQ26*((s_Q_p_goat*s_f_p_goat*s_f_s_goat*(s_RadSpec!$AT26+s_R_es_past))+(s_Q_s_goat*s_f_p_goat))),0)</f>
        <v>0</v>
      </c>
      <c r="CH26" s="40">
        <f>IFERROR((s_C*s_IFGM_far_adj*s_CF_far_goat_milk*s_RadSpec!AR26*1/s_D_milk*((s_Q_p_goat_milk*s_f_p_goat_milk*s_f_s_goat_milk*(s_RadSpec!$AT26+s_R_es_past))+(s_Q_s_goat_milk*s_f_p_goat_milk))),0)</f>
        <v>0</v>
      </c>
      <c r="CI26" s="40">
        <f>IFERROR((s_C*s_IFSH_far_adj*s_CF_far_sheep*s_RadSpec!AO26*((s_Q_p_sheep*s_f_p_sheep*s_f_s_sheep*(s_RadSpec!$AT26+s_R_es_past))+(s_Q_s_sheep*s_f_p_sheep))),0)</f>
        <v>664.00053879310337</v>
      </c>
      <c r="CJ26" s="40">
        <f>IFERROR((s_C*s_IFSM_far_adj*s_CF_far_sheep_milk*s_RadSpec!AP26*1/s_D_milk*((s_Q_p_sheep_milk*s_f_p_sheep_milk*s_f_s_sheep_milk*(s_RadSpec!$AT26+s_R_es_past))+(s_Q_s_sheep_milk*s_f_p_sheep_milk))),0)</f>
        <v>0</v>
      </c>
      <c r="CK26" s="18"/>
      <c r="CL26" s="15">
        <f>IFERROR(s_DL/(s_RadSpec!I26*s_IFW_far_adj),".")</f>
        <v>8.0689735862149643</v>
      </c>
      <c r="CM26" s="15" t="str">
        <f>IFERROR(IF(AND(s_RadSpec!C26=1,s_RadSpec!D26&lt;&gt;0),s_DL/(s_RadSpec!H26*s_IFA_far_adj*s_K*s_RadSpec!D26),"."),".")</f>
        <v>.</v>
      </c>
      <c r="CN26" s="15">
        <f>IFERROR((s_DL/(s_RadSpec!M26*(1/8760)*s_DFA_far_adj)),".")</f>
        <v>230416.73521722358</v>
      </c>
      <c r="CO26" s="15">
        <f>s_b2w!BC26</f>
        <v>30.892115570245071</v>
      </c>
      <c r="CP26" s="15">
        <f>IFERROR(J26/(s_RadSpec!AJ26*(1/1000)),".")</f>
        <v>244.51435109742317</v>
      </c>
      <c r="CQ26" s="15">
        <f>IFERROR(K26/(s_RadSpec!AK26*(1/1000)),".")</f>
        <v>0.50589176089122034</v>
      </c>
      <c r="CR26" s="15">
        <f>IFERROR(G26/(s_RadSpec!AI26*s_Q_w_beef*(1/1000)),".")</f>
        <v>1275727.049203947</v>
      </c>
      <c r="CS26" s="15">
        <f>IFERROR((H26*s_D_milk)/(s_RadSpec!AH26*s_Q_w_dairy*(1/1000)),".")</f>
        <v>60443947.591283008</v>
      </c>
      <c r="CT26" s="15" t="str">
        <f>IFERROR(I26/(s_RadSpec!AN26*s_Q_w_swine*(1/1000)),".")</f>
        <v>.</v>
      </c>
      <c r="CU26" s="15" t="str">
        <f>IFERROR(E26/(s_RadSpec!AL26*s_Q_w_poultry*(1/1000)),".")</f>
        <v>.</v>
      </c>
      <c r="CV26" s="15" t="str">
        <f>IFERROR(F26/(s_RadSpec!AM26*s_Q_w_poultry*(1/1000)),".")</f>
        <v>.</v>
      </c>
      <c r="CW26" s="15" t="str">
        <f>IFERROR(L26/(s_RadSpec!AQ26*s_Q_w_goat*(1/1000)),".")</f>
        <v>.</v>
      </c>
      <c r="CX26" s="15" t="str">
        <f>IFERROR(N26*s_D_milk/(s_RadSpec!AR26*s_Q_w_goat_milk*(1/1000)),".")</f>
        <v>.</v>
      </c>
      <c r="CY26" s="15">
        <f>IFERROR(M26/(s_RadSpec!AO26*s_Q_w_sheep*(1/1000)),".")</f>
        <v>293417.22131690779</v>
      </c>
      <c r="CZ26" s="15" t="str">
        <f>IFERROR(O26*s_D_milk/(s_RadSpec!AP26*s_Q_w_sheep_milk*(1/1000)),".")</f>
        <v>.</v>
      </c>
      <c r="DA26" s="111">
        <f t="shared" si="28"/>
        <v>0.12393150000000001</v>
      </c>
      <c r="DB26" s="111" t="str">
        <f t="shared" si="29"/>
        <v>.</v>
      </c>
      <c r="DC26" s="111">
        <f t="shared" si="30"/>
        <v>4.3399625424657536E-6</v>
      </c>
      <c r="DD26" s="111">
        <f t="shared" si="31"/>
        <v>3.2370719244724969E-2</v>
      </c>
      <c r="DE26" s="111">
        <f t="shared" si="32"/>
        <v>4.0897395000000008E-3</v>
      </c>
      <c r="DF26" s="111">
        <f t="shared" si="32"/>
        <v>1.9767074250000003</v>
      </c>
      <c r="DG26" s="111">
        <f t="shared" si="33"/>
        <v>7.8386673750000012E-7</v>
      </c>
      <c r="DH26" s="111">
        <f t="shared" si="34"/>
        <v>1.6544253640776699E-8</v>
      </c>
      <c r="DI26" s="111" t="str">
        <f t="shared" si="35"/>
        <v>.</v>
      </c>
      <c r="DJ26" s="111" t="str">
        <f t="shared" si="36"/>
        <v>.</v>
      </c>
      <c r="DK26" s="111" t="str">
        <f t="shared" si="37"/>
        <v>.</v>
      </c>
      <c r="DL26" s="111" t="str">
        <f t="shared" si="38"/>
        <v>.</v>
      </c>
      <c r="DM26" s="111" t="str">
        <f t="shared" si="39"/>
        <v>.</v>
      </c>
      <c r="DN26" s="111">
        <f t="shared" si="40"/>
        <v>3.4081162500000007E-6</v>
      </c>
      <c r="DO26" s="111" t="str">
        <f t="shared" si="41"/>
        <v>.</v>
      </c>
      <c r="DP26" s="15">
        <f t="shared" si="51"/>
        <v>0.46792208522403644</v>
      </c>
      <c r="DQ26" s="189">
        <f>DP26*(0.0000000000000028)*s_RadSpec!$AY26*s_RadSpec!$AF26</f>
        <v>2.2022322452750873E-9</v>
      </c>
      <c r="DR26" s="40">
        <f t="shared" si="42"/>
        <v>1375</v>
      </c>
      <c r="DS26" s="40">
        <f>IFERROR(IF(s_RadSpec!D26&lt;&gt;"",s_C*s_IFA_far_adj*s_K*s_RadSpec!D26,0),".")</f>
        <v>0</v>
      </c>
      <c r="DT26" s="40">
        <f t="shared" si="43"/>
        <v>0.12557077625570776</v>
      </c>
      <c r="DU26" s="40">
        <f>s_b2w!CC26</f>
        <v>359.14790800964107</v>
      </c>
      <c r="DV26" s="40">
        <f>IFERROR(s_C*s_RadSpec!AJ26*(1/1000)*s_IFFI_far_adj*s_CF_far_fish,0)</f>
        <v>45.375</v>
      </c>
      <c r="DW26" s="40">
        <f>IFERROR(s_C*s_RadSpec!AK26*(1/1000)*s_IFSF_far_adj*s_CF_far_shellfish,0)</f>
        <v>21931.25</v>
      </c>
      <c r="DX26" s="40">
        <f>(s_C*s_IFB_far_adj*s_CF_far_beef*s_RadSpec!AI26*s_Q_w_beef*(1/1000))</f>
        <v>8.6968749999999997E-3</v>
      </c>
      <c r="DY26" s="40">
        <f>(s_C*s_IFD_far_adj*s_CF_far_dairy*s_RadSpec!AH26*(1/s_D_milk)*s_Q_w_dairy*(1/1000))</f>
        <v>1.8355582524271847E-4</v>
      </c>
      <c r="DZ26" s="40">
        <f>IFERROR((s_C*s_IFSW_far_adj*s_CF_far_swine*s_RadSpec!AN26*s_Q_w_swine*(1/1000)),0)</f>
        <v>0</v>
      </c>
      <c r="EA26" s="40">
        <f>IFERROR((s_C*s_IFP_far_adj*s_CF_far_poultry*s_RadSpec!AL26*s_Q_w_poultry*(1/1000)),0)</f>
        <v>0</v>
      </c>
      <c r="EB26" s="40">
        <f>IFERROR((s_C*s_IFE_far_adj*s_CF_far_egg*s_RadSpec!AM26*s_Q_w_egg*(1/1000)),0)</f>
        <v>0</v>
      </c>
      <c r="EC26" s="40">
        <f>IFERROR((s_C*s_IFGO_far_adj*s_CF_far_goat*s_RadSpec!AQ26*s_Q_p_goat*(1/1000)),0)</f>
        <v>0</v>
      </c>
      <c r="ED26" s="40">
        <f>IFERROR((s_C*s_IFGM_far_adj*s_CF_far_goat_milk*s_RadSpec!AR26*(1/s_D_milk)*s_Q_p_goat_milk*(1/1000)),0)</f>
        <v>0</v>
      </c>
      <c r="EE26" s="40">
        <f>IFERROR((s_C*s_IFSH_far_adj*s_CF_far_sheep*s_RadSpec!AO26*s_Q_p_sheep*(1/1000)),0)</f>
        <v>3.7812499999999999E-2</v>
      </c>
      <c r="EF26" s="40">
        <f>IFERROR((s_C*s_IFSM_far_adj*s_CF_far_sheep_milk*s_RadSpec!AP26*(1/s_D_milk)*s_Q_p_sheep_milk*(1/1000)),0)</f>
        <v>0</v>
      </c>
      <c r="EG26" s="5"/>
      <c r="EH26" s="15">
        <f>IFERROR((s_DL/(s_RadSpec!H26*s_IFA_far_adj)),".")</f>
        <v>0.17852203282666859</v>
      </c>
      <c r="EI26" s="15">
        <f>IFERROR((s_DL/(s_RadSpec!K26*s_EF_far*(1/365)*1*s_ET_far*(1/24)*s_GSF_a)),".")</f>
        <v>821727.15209997806</v>
      </c>
      <c r="EJ26" s="15">
        <f t="shared" ref="EJ26:EJ29" si="63">IFERROR(IF(AND(ISNUMBER(EH26),ISNUMBER(EI26)),1/((1/EH26)+(1/EI26)),IF(AND(ISNUMBER(EH26),NOT(ISNUMBER(EI26))),1/((1/EH26)),IF(AND(NOT(ISNUMBER(EH26)),ISNUMBER(EI26)),1/((1/EI26)),IF(AND(NOT(ISNUMBER(EH26)),NOT(ISNUMBER(EI26))),".")))),".")</f>
        <v>0.17852199404237237</v>
      </c>
      <c r="EK26" s="189">
        <f>EJ26*(0.0000000000000028)*s_RadSpec!$AY26*s_RadSpec!$AF26</f>
        <v>8.4019734093697374E-10</v>
      </c>
      <c r="EL26" s="40">
        <f t="shared" si="45"/>
        <v>501.30208333333326</v>
      </c>
      <c r="EM26" s="40">
        <f t="shared" si="46"/>
        <v>7.8481735159817351E-2</v>
      </c>
      <c r="EN26" s="113"/>
    </row>
    <row r="27" spans="1:144" customFormat="1" x14ac:dyDescent="0.25">
      <c r="A27" s="44" t="s">
        <v>25</v>
      </c>
      <c r="B27" s="42" t="s">
        <v>1057</v>
      </c>
      <c r="C27" s="238"/>
      <c r="D27" s="15" t="str">
        <f>s_dir!AC27</f>
        <v>.</v>
      </c>
      <c r="E27" s="15" t="str">
        <f>IFERROR(s_DL/(s_RadSpec!F27*s_IFP_far_adj*s_CF_far_poultry),".")</f>
        <v>.</v>
      </c>
      <c r="F27" s="15" t="str">
        <f>IFERROR(s_DL/(s_RadSpec!F27*s_IFE_far_adj*s_CF_far_egg),".")</f>
        <v>.</v>
      </c>
      <c r="G27" s="15" t="str">
        <f>IFERROR(s_DL/(s_RadSpec!F27*s_IFB_far_adj*s_CF_far_beef),".")</f>
        <v>.</v>
      </c>
      <c r="H27" s="15" t="str">
        <f>IFERROR(s_DL/(s_RadSpec!F27*s_IFD_far_adj*s_CF_far_dairy),".")</f>
        <v>.</v>
      </c>
      <c r="I27" s="15" t="str">
        <f>IFERROR(s_DL/(s_RadSpec!F27*s_IFSW_far_adj*s_CF_far_swine),".")</f>
        <v>.</v>
      </c>
      <c r="J27" s="15" t="str">
        <f>IFERROR(s_DL/(s_RadSpec!F27*s_IFFI_far_adj*s_CF_far_fish),".")</f>
        <v>.</v>
      </c>
      <c r="K27" s="15" t="str">
        <f>IFERROR(s_DL/(s_RadSpec!F27*s_IFSF_far_adj*s_CF_far_shellfish),".")</f>
        <v>.</v>
      </c>
      <c r="L27" s="15" t="str">
        <f>IFERROR(s_DL/(s_RadSpec!F27*s_IFGO_far_adj*s_CF_far_goat),".")</f>
        <v>.</v>
      </c>
      <c r="M27" s="15" t="str">
        <f>IFERROR(s_DL/(s_RadSpec!F27*s_IFSH_far_adj*s_CF_far_sheep),".")</f>
        <v>.</v>
      </c>
      <c r="N27" s="15" t="str">
        <f>IFERROR(s_DL/(s_RadSpec!F27*s_IFGM_far_adj*s_CF_far_goat_milk),".")</f>
        <v>.</v>
      </c>
      <c r="O27" s="15" t="str">
        <f>IFERROR(s_DL/(s_RadSpec!F27*s_IFSM_far_adj*s_CF_far_sheep_milk),".")</f>
        <v>.</v>
      </c>
      <c r="P27" s="111" t="str">
        <f t="shared" si="47"/>
        <v>.</v>
      </c>
      <c r="Q27" s="111" t="str">
        <f t="shared" si="47"/>
        <v>.</v>
      </c>
      <c r="R27" s="111" t="str">
        <f t="shared" si="47"/>
        <v>.</v>
      </c>
      <c r="S27" s="111" t="str">
        <f t="shared" si="47"/>
        <v>.</v>
      </c>
      <c r="T27" s="111" t="str">
        <f t="shared" si="47"/>
        <v>.</v>
      </c>
      <c r="U27" s="111" t="str">
        <f t="shared" si="47"/>
        <v>.</v>
      </c>
      <c r="V27" s="111" t="str">
        <f t="shared" si="47"/>
        <v>.</v>
      </c>
      <c r="W27" s="111" t="str">
        <f t="shared" si="47"/>
        <v>.</v>
      </c>
      <c r="X27" s="111" t="str">
        <f t="shared" si="59"/>
        <v>.</v>
      </c>
      <c r="Y27" s="111" t="str">
        <f t="shared" si="59"/>
        <v>.</v>
      </c>
      <c r="Z27" s="111" t="str">
        <f t="shared" si="59"/>
        <v>.</v>
      </c>
      <c r="AA27" s="111" t="str">
        <f t="shared" si="59"/>
        <v>.</v>
      </c>
      <c r="AB27" s="15" t="str">
        <f t="shared" si="49"/>
        <v>.</v>
      </c>
      <c r="AC27" s="247">
        <f>IFERROR(AB27*(0.0000000000028)*s_RadSpec!$AY27*s_RadSpec!$AF27,0)</f>
        <v>0</v>
      </c>
      <c r="AD27" s="40">
        <f>s_dir!BC27</f>
        <v>30250</v>
      </c>
      <c r="AE27" s="40">
        <f t="shared" si="1"/>
        <v>7562.5</v>
      </c>
      <c r="AF27" s="40">
        <f t="shared" si="2"/>
        <v>7562.5</v>
      </c>
      <c r="AG27" s="40">
        <f t="shared" si="3"/>
        <v>7562.5</v>
      </c>
      <c r="AH27" s="40">
        <f t="shared" si="4"/>
        <v>7562.5</v>
      </c>
      <c r="AI27" s="40">
        <f t="shared" si="5"/>
        <v>7562.5</v>
      </c>
      <c r="AJ27" s="40">
        <f t="shared" si="6"/>
        <v>7562.5</v>
      </c>
      <c r="AK27" s="40">
        <f t="shared" si="7"/>
        <v>7562.5</v>
      </c>
      <c r="AL27" s="40">
        <f t="shared" si="8"/>
        <v>7562.5</v>
      </c>
      <c r="AM27" s="40">
        <f t="shared" si="9"/>
        <v>7562.5</v>
      </c>
      <c r="AN27" s="40">
        <f t="shared" si="10"/>
        <v>7562.5</v>
      </c>
      <c r="AO27" s="40">
        <f t="shared" si="11"/>
        <v>7562.5</v>
      </c>
      <c r="AP27" s="45" t="str">
        <f>IFERROR((s_DL/(s_RadSpec!E27*s_IFS_far_adj*(1/1000)))*1,".")</f>
        <v>.</v>
      </c>
      <c r="AQ27" s="45" t="str">
        <f>IFERROR(IF(A27="H-3",(s_DL/(s_RadSpec!H27*s_IFA_far_adj*(1/17)*1000))*1,(s_DL/(s_RadSpec!H27*s_IFA_far_adj*(1/s_PEF_wind)*1000))*1),".")</f>
        <v>.</v>
      </c>
      <c r="AR27" s="45">
        <f>IFERROR((s_DL/(s_RadSpec!G27*s_EF_far*(1/365)*1*s_RadSpec!R27*((s_ET_far_o*(1/24)*s_RadSpec!W27)+(s_ET_far_i*(1/24)*s_RadSpec!AB27))))*1,".")</f>
        <v>95847.505358152688</v>
      </c>
      <c r="AS27" s="45" t="str">
        <f>s_b2s!BC27</f>
        <v>.</v>
      </c>
      <c r="AT27" s="45" t="str">
        <f>IFERROR(((J27*s_RadSpec!AU27)/s_RadSpec!AJ27)*1,".")</f>
        <v>.</v>
      </c>
      <c r="AU27" s="45" t="str">
        <f>IFERROR(((K27*s_RadSpec!AU27)/s_RadSpec!AK27)*1,".")</f>
        <v>.</v>
      </c>
      <c r="AV27" s="45" t="str">
        <f>IFERROR((G27/(s_RadSpec!AI27*((s_Q_p_beef*s_f_p_beef*s_f_s_beef*(s_RadSpec!BD27+s_R_es_past))+(s_Q_s_beef*s_f_p_beef))))*1,".")</f>
        <v>.</v>
      </c>
      <c r="AW27" s="45" t="str">
        <f>IFERROR(((H27*s_D_milk)/(s_RadSpec!AH27*((s_Q_p_dairy*s_f_p_dairy*s_f_s_dairy*(s_RadSpec!BD27+s_R_es_past))+(s_Q_s_dairy*s_f_p_dairy))))*1,".")</f>
        <v>.</v>
      </c>
      <c r="AX27" s="45" t="str">
        <f>IFERROR((I27/(s_RadSpec!AN27*((s_Q_p_swine*s_f_p_swine*s_f_s_swine*(s_RadSpec!BD27+s_R_es_past))+(s_Q_s_swine*s_f_p_swine))))*1,".")</f>
        <v>.</v>
      </c>
      <c r="AY27" s="45" t="str">
        <f>IFERROR((E27/(s_RadSpec!AL27*((s_Q_p_poultry*s_f_p_poultry*s_f_s_poultry*(s_RadSpec!BD27+s_R_es_past))+(s_Q_s_poultry*s_f_p_poultry))))*1,".")</f>
        <v>.</v>
      </c>
      <c r="AZ27" s="45" t="str">
        <f>IFERROR((F27/(s_RadSpec!AM27*((s_Q_p_poultry*s_f_p_poultry*s_f_s_poultry*(s_RadSpec!BD27+s_R_es_past))+(s_Q_s_poultry*s_f_p_poultry))))*1,".")</f>
        <v>.</v>
      </c>
      <c r="BA27" s="45" t="str">
        <f>IFERROR((L27/(s_RadSpec!AQ27*((s_Q_p_goat*s_f_p_goat*s_f_s_goat*(s_RadSpec!BD27+s_R_es_past))+(s_Q_s_goat*s_f_p_goat))))*1,".")</f>
        <v>.</v>
      </c>
      <c r="BB27" s="45" t="str">
        <f>IFERROR((N27*s_D_milk/(s_RadSpec!AR27*((s_Q_p_goat_milk*s_f_p_goat_milk*s_f_s_goat_milk*(s_RadSpec!BD27+s_R_es_past))+(s_Q_s_goat_milk*s_f_p_goat_milk))))*1,".")</f>
        <v>.</v>
      </c>
      <c r="BC27" s="45" t="str">
        <f>IFERROR((M27/(s_RadSpec!AO27*((s_Q_p_sheep*s_f_p_sheep*s_f_s_sheep*(s_RadSpec!BD27+s_R_es_past))+(s_Q_s_sheep*s_f_p_sheep))))*1,".")</f>
        <v>.</v>
      </c>
      <c r="BD27" s="45" t="str">
        <f>IFERROR((O27*s_D_milk/(s_RadSpec!AP27*((s_Q_p_sheep_milk*s_f_p_sheep_milk*s_f_s_sheep_milk*(s_RadSpec!BD27+s_R_es_past))+(s_Q_s_sheep_milk*s_f_p_sheep_milk))))*1,".")</f>
        <v>.</v>
      </c>
      <c r="BE27" s="111" t="str">
        <f t="shared" si="12"/>
        <v>.</v>
      </c>
      <c r="BF27" s="111" t="str">
        <f t="shared" si="13"/>
        <v>.</v>
      </c>
      <c r="BG27" s="111">
        <f t="shared" si="14"/>
        <v>1.0433239720358992E-5</v>
      </c>
      <c r="BH27" s="111" t="str">
        <f t="shared" si="15"/>
        <v>.</v>
      </c>
      <c r="BI27" s="111" t="str">
        <f t="shared" si="16"/>
        <v>.</v>
      </c>
      <c r="BJ27" s="111" t="str">
        <f t="shared" si="16"/>
        <v>.</v>
      </c>
      <c r="BK27" s="111" t="str">
        <f t="shared" si="17"/>
        <v>.</v>
      </c>
      <c r="BL27" s="111" t="str">
        <f t="shared" si="18"/>
        <v>.</v>
      </c>
      <c r="BM27" s="111" t="str">
        <f t="shared" si="19"/>
        <v>.</v>
      </c>
      <c r="BN27" s="111" t="str">
        <f t="shared" si="20"/>
        <v>.</v>
      </c>
      <c r="BO27" s="111" t="str">
        <f t="shared" si="21"/>
        <v>.</v>
      </c>
      <c r="BP27" s="111" t="str">
        <f t="shared" si="22"/>
        <v>.</v>
      </c>
      <c r="BQ27" s="111" t="str">
        <f t="shared" si="23"/>
        <v>.</v>
      </c>
      <c r="BR27" s="111" t="str">
        <f t="shared" si="24"/>
        <v>.</v>
      </c>
      <c r="BS27" s="111" t="str">
        <f t="shared" si="25"/>
        <v>.</v>
      </c>
      <c r="BT27" s="15">
        <f t="shared" si="50"/>
        <v>95847.505358152688</v>
      </c>
      <c r="BU27" s="189">
        <f>IFERROR(BT27*(0.0000000000028)*s_RadSpec!$AY27*s_RadSpec!$AF27,0)</f>
        <v>4.4177384433113874E-10</v>
      </c>
      <c r="BV27" s="40">
        <f t="shared" si="26"/>
        <v>15.125</v>
      </c>
      <c r="BW27" s="40">
        <f t="shared" si="27"/>
        <v>1.6181272791589674E-3</v>
      </c>
      <c r="BX27" s="40">
        <f>IFERROR((s_C*s_EF_far*(1/365)*1*s_RadSpec!R27*((s_ET_far_o*(1/24)*s_RadSpec!W27)+(s_ET_far_i*(1/24)*s_RadSpec!AB27))),".")</f>
        <v>2.0413911195087377E-2</v>
      </c>
      <c r="BY27" s="40">
        <f>s_b2s!CC27</f>
        <v>1933.5800000000002</v>
      </c>
      <c r="BZ27" s="40">
        <f>IFERROR(((s_C*s_RadSpec!AJ27)/s_RadSpec!AU27)*s_IFFI_far_adj*s_CF_far_fish,0)</f>
        <v>4537.5</v>
      </c>
      <c r="CA27" s="40">
        <f>IFERROR(((s_C*s_RadSpec!AK27)/s_RadSpec!AU27)*s_IFSF_far_adj*s_CF_far_shellfish,0)</f>
        <v>0</v>
      </c>
      <c r="CB27" s="40">
        <f>(s_C*s_IFB_far_adj*s_CF_far_beef*s_RadSpec!AI27*((s_Q_p_beef*s_f_p_beef*s_f_s_beef*(s_RadSpec!$AT27+s_R_es_past))+(s_Q_s_beef*s_f_p_beef)))</f>
        <v>26771.25</v>
      </c>
      <c r="CC27" s="40">
        <f>(s_C*s_IFD_far_adj*s_CF_far_dairy*s_RadSpec!AH27*1/s_D_milk*((s_Q_p_dairy*s_f_p_dairy*s_f_s_dairy*(s_RadSpec!$AT27+s_R_es_past))+(s_Q_s_dairy*s_f_p_dairy)))</f>
        <v>1299.5752427184466</v>
      </c>
      <c r="CD27" s="40">
        <f>IFERROR((s_C*s_IFSW_far_adj*s_CF_far_swine*s_RadSpec!AN27*((s_Q_p_swine*s_f_p_swine*s_f_s_swine*(s_RadSpec!$AT27+s_R_es_past))+(s_Q_s_swine*s_f_p_swine))),0)</f>
        <v>0</v>
      </c>
      <c r="CE27" s="40">
        <f>IFERROR((s_C*s_IFP_far_adj*s_CF_far_poultry*s_RadSpec!AL27*((s_Q_p_poultry*s_f_p_poultry*s_f_s_poultry*(s_RadSpec!AT27+s_R_es_past))+(s_Q_s_poultry*s_f_p_poultry))),0)</f>
        <v>0</v>
      </c>
      <c r="CF27" s="40">
        <f>IFERROR((s_C*s_IFE_far_adj*s_CF_far_egg*s_RadSpec!AM27*((s_Q_p_egg*s_f_p_egg*s_f_s_egg*(s_RadSpec!$AT27+s_R_es_past))+(s_Q_s_egg*s_f_p_egg))),0)</f>
        <v>0</v>
      </c>
      <c r="CG27" s="40">
        <f>IFERROR((s_C*s_IFGO_far_adj*s_CF_far_goat*s_RadSpec!AQ27*((s_Q_p_goat*s_f_p_goat*s_f_s_goat*(s_RadSpec!$AT27+s_R_es_past))+(s_Q_s_goat*s_f_p_goat))),0)</f>
        <v>0</v>
      </c>
      <c r="CH27" s="40">
        <f>IFERROR((s_C*s_IFGM_far_adj*s_CF_far_goat_milk*s_RadSpec!AR27*1/s_D_milk*((s_Q_p_goat_milk*s_f_p_goat_milk*s_f_s_goat_milk*(s_RadSpec!$AT27+s_R_es_past))+(s_Q_s_goat_milk*s_f_p_goat_milk))),0)</f>
        <v>0</v>
      </c>
      <c r="CI27" s="40">
        <f>IFERROR((s_C*s_IFSH_far_adj*s_CF_far_sheep*s_RadSpec!AO27*((s_Q_p_sheep*s_f_p_sheep*s_f_s_sheep*(s_RadSpec!$AT27+s_R_es_past))+(s_Q_s_sheep*s_f_p_sheep))),0)</f>
        <v>267712.5</v>
      </c>
      <c r="CJ27" s="40">
        <f>IFERROR((s_C*s_IFSM_far_adj*s_CF_far_sheep_milk*s_RadSpec!AP27*1/s_D_milk*((s_Q_p_sheep_milk*s_f_p_sheep_milk*s_f_s_sheep_milk*(s_RadSpec!$AT27+s_R_es_past))+(s_Q_s_sheep_milk*s_f_p_sheep_milk))),0)</f>
        <v>0</v>
      </c>
      <c r="CK27" s="18"/>
      <c r="CL27" s="15" t="str">
        <f>IFERROR(s_DL/(s_RadSpec!I27*s_IFW_far_adj),".")</f>
        <v>.</v>
      </c>
      <c r="CM27" s="15" t="str">
        <f>IFERROR(IF(AND(s_RadSpec!C27=1,s_RadSpec!D27&lt;&gt;0),s_DL/(s_RadSpec!H27*s_IFA_far_adj*s_K*s_RadSpec!D27),"."),".")</f>
        <v>.</v>
      </c>
      <c r="CN27" s="15">
        <f>IFERROR((s_DL/(s_RadSpec!M27*(1/8760)*s_DFA_far_adj)),".")</f>
        <v>3589650.1907525365</v>
      </c>
      <c r="CO27" s="15" t="str">
        <f>s_b2w!BC27</f>
        <v>.</v>
      </c>
      <c r="CP27" s="15" t="str">
        <f>IFERROR(J27/(s_RadSpec!AJ27*(1/1000)),".")</f>
        <v>.</v>
      </c>
      <c r="CQ27" s="15" t="str">
        <f>IFERROR(K27/(s_RadSpec!AK27*(1/1000)),".")</f>
        <v>.</v>
      </c>
      <c r="CR27" s="15" t="str">
        <f>IFERROR(G27/(s_RadSpec!AI27*s_Q_w_beef*(1/1000)),".")</f>
        <v>.</v>
      </c>
      <c r="CS27" s="15" t="str">
        <f>IFERROR((H27*s_D_milk)/(s_RadSpec!AH27*s_Q_w_dairy*(1/1000)),".")</f>
        <v>.</v>
      </c>
      <c r="CT27" s="15" t="str">
        <f>IFERROR(I27/(s_RadSpec!AN27*s_Q_w_swine*(1/1000)),".")</f>
        <v>.</v>
      </c>
      <c r="CU27" s="15" t="str">
        <f>IFERROR(E27/(s_RadSpec!AL27*s_Q_w_poultry*(1/1000)),".")</f>
        <v>.</v>
      </c>
      <c r="CV27" s="15" t="str">
        <f>IFERROR(F27/(s_RadSpec!AM27*s_Q_w_poultry*(1/1000)),".")</f>
        <v>.</v>
      </c>
      <c r="CW27" s="15" t="str">
        <f>IFERROR(L27/(s_RadSpec!AQ27*s_Q_w_goat*(1/1000)),".")</f>
        <v>.</v>
      </c>
      <c r="CX27" s="15" t="str">
        <f>IFERROR(N27*s_D_milk/(s_RadSpec!AR27*s_Q_w_goat_milk*(1/1000)),".")</f>
        <v>.</v>
      </c>
      <c r="CY27" s="15" t="str">
        <f>IFERROR(M27/(s_RadSpec!AO27*s_Q_w_sheep*(1/1000)),".")</f>
        <v>.</v>
      </c>
      <c r="CZ27" s="15" t="str">
        <f>IFERROR(O27*s_D_milk/(s_RadSpec!AP27*s_Q_w_sheep_milk*(1/1000)),".")</f>
        <v>.</v>
      </c>
      <c r="DA27" s="111" t="str">
        <f t="shared" si="28"/>
        <v>.</v>
      </c>
      <c r="DB27" s="111" t="str">
        <f t="shared" si="29"/>
        <v>.</v>
      </c>
      <c r="DC27" s="111">
        <f t="shared" si="30"/>
        <v>2.7857867671232873E-7</v>
      </c>
      <c r="DD27" s="111" t="str">
        <f t="shared" si="31"/>
        <v>.</v>
      </c>
      <c r="DE27" s="111" t="str">
        <f t="shared" si="32"/>
        <v>.</v>
      </c>
      <c r="DF27" s="111" t="str">
        <f t="shared" si="32"/>
        <v>.</v>
      </c>
      <c r="DG27" s="111" t="str">
        <f t="shared" si="33"/>
        <v>.</v>
      </c>
      <c r="DH27" s="111" t="str">
        <f t="shared" si="34"/>
        <v>.</v>
      </c>
      <c r="DI27" s="111" t="str">
        <f t="shared" si="35"/>
        <v>.</v>
      </c>
      <c r="DJ27" s="111" t="str">
        <f t="shared" si="36"/>
        <v>.</v>
      </c>
      <c r="DK27" s="111" t="str">
        <f t="shared" si="37"/>
        <v>.</v>
      </c>
      <c r="DL27" s="111" t="str">
        <f t="shared" si="38"/>
        <v>.</v>
      </c>
      <c r="DM27" s="111" t="str">
        <f t="shared" si="39"/>
        <v>.</v>
      </c>
      <c r="DN27" s="111" t="str">
        <f t="shared" si="40"/>
        <v>.</v>
      </c>
      <c r="DO27" s="111" t="str">
        <f t="shared" si="41"/>
        <v>.</v>
      </c>
      <c r="DP27" s="15">
        <f t="shared" si="51"/>
        <v>3589650.1907525365</v>
      </c>
      <c r="DQ27" s="189">
        <f>DP27*(0.0000000000000028)*s_RadSpec!$AY27*s_RadSpec!$AF27</f>
        <v>1.6545173070984529E-11</v>
      </c>
      <c r="DR27" s="40">
        <f t="shared" si="42"/>
        <v>1375</v>
      </c>
      <c r="DS27" s="40">
        <f>IFERROR(IF(s_RadSpec!D27&lt;&gt;"",s_C*s_IFA_far_adj*s_K*s_RadSpec!D27,0),".")</f>
        <v>0</v>
      </c>
      <c r="DT27" s="40">
        <f t="shared" si="43"/>
        <v>0.12557077625570776</v>
      </c>
      <c r="DU27" s="40">
        <f>s_b2w!CC27</f>
        <v>656.8877799109207</v>
      </c>
      <c r="DV27" s="40">
        <f>IFERROR(s_C*s_RadSpec!AJ27*(1/1000)*s_IFFI_far_adj*s_CF_far_fish,0)</f>
        <v>6806.25</v>
      </c>
      <c r="DW27" s="40">
        <f>IFERROR(s_C*s_RadSpec!AK27*(1/1000)*s_IFSF_far_adj*s_CF_far_shellfish,0)</f>
        <v>0</v>
      </c>
      <c r="DX27" s="40">
        <f>(s_C*s_IFB_far_adj*s_CF_far_beef*s_RadSpec!AI27*s_Q_w_beef*(1/1000))</f>
        <v>1.5125</v>
      </c>
      <c r="DY27" s="40">
        <f>(s_C*s_IFD_far_adj*s_CF_far_dairy*s_RadSpec!AH27*(1/s_D_milk)*s_Q_w_dairy*(1/1000))</f>
        <v>7.3422330097087388E-2</v>
      </c>
      <c r="DZ27" s="40">
        <f>IFERROR((s_C*s_IFSW_far_adj*s_CF_far_swine*s_RadSpec!AN27*s_Q_w_swine*(1/1000)),0)</f>
        <v>0</v>
      </c>
      <c r="EA27" s="40">
        <f>IFERROR((s_C*s_IFP_far_adj*s_CF_far_poultry*s_RadSpec!AL27*s_Q_w_poultry*(1/1000)),0)</f>
        <v>0</v>
      </c>
      <c r="EB27" s="40">
        <f>IFERROR((s_C*s_IFE_far_adj*s_CF_far_egg*s_RadSpec!AM27*s_Q_w_egg*(1/1000)),0)</f>
        <v>0</v>
      </c>
      <c r="EC27" s="40">
        <f>IFERROR((s_C*s_IFGO_far_adj*s_CF_far_goat*s_RadSpec!AQ27*s_Q_p_goat*(1/1000)),0)</f>
        <v>0</v>
      </c>
      <c r="ED27" s="40">
        <f>IFERROR((s_C*s_IFGM_far_adj*s_CF_far_goat_milk*s_RadSpec!AR27*(1/s_D_milk)*s_Q_p_goat_milk*(1/1000)),0)</f>
        <v>0</v>
      </c>
      <c r="EE27" s="40">
        <f>IFERROR((s_C*s_IFSH_far_adj*s_CF_far_sheep*s_RadSpec!AO27*s_Q_p_sheep*(1/1000)),0)</f>
        <v>15.125</v>
      </c>
      <c r="EF27" s="40">
        <f>IFERROR((s_C*s_IFSM_far_adj*s_CF_far_sheep_milk*s_RadSpec!AP27*(1/s_D_milk)*s_Q_p_sheep_milk*(1/1000)),0)</f>
        <v>0</v>
      </c>
      <c r="EG27" s="5"/>
      <c r="EH27" s="15" t="str">
        <f>IFERROR((s_DL/(s_RadSpec!H27*s_IFA_far_adj)),".")</f>
        <v>.</v>
      </c>
      <c r="EI27" s="15">
        <f>IFERROR((s_DL/(s_RadSpec!K27*s_EF_far*(1/365)*1*s_ET_far*(1/24)*s_GSF_a)),".")</f>
        <v>6871874.4205842</v>
      </c>
      <c r="EJ27" s="15">
        <f t="shared" si="63"/>
        <v>6871874.4205842</v>
      </c>
      <c r="EK27" s="189">
        <f>EJ27*(0.0000000000000028)*s_RadSpec!$AY27*s_RadSpec!$AF27</f>
        <v>3.1673379178710941E-11</v>
      </c>
      <c r="EL27" s="40">
        <f t="shared" si="45"/>
        <v>501.30208333333326</v>
      </c>
      <c r="EM27" s="40">
        <f t="shared" si="46"/>
        <v>7.8481735159817351E-2</v>
      </c>
      <c r="EN27" s="113"/>
    </row>
    <row r="28" spans="1:144" customFormat="1" x14ac:dyDescent="0.25">
      <c r="A28" s="44" t="s">
        <v>26</v>
      </c>
      <c r="B28" s="42" t="s">
        <v>1057</v>
      </c>
      <c r="C28" s="42"/>
      <c r="D28" s="15" t="str">
        <f>s_dir!AC28</f>
        <v>.</v>
      </c>
      <c r="E28" s="15" t="str">
        <f>IFERROR(s_DL/(s_RadSpec!F28*s_IFP_far_adj*s_CF_far_poultry),".")</f>
        <v>.</v>
      </c>
      <c r="F28" s="15" t="str">
        <f>IFERROR(s_DL/(s_RadSpec!F28*s_IFE_far_adj*s_CF_far_egg),".")</f>
        <v>.</v>
      </c>
      <c r="G28" s="15" t="str">
        <f>IFERROR(s_DL/(s_RadSpec!F28*s_IFB_far_adj*s_CF_far_beef),".")</f>
        <v>.</v>
      </c>
      <c r="H28" s="15" t="str">
        <f>IFERROR(s_DL/(s_RadSpec!F28*s_IFD_far_adj*s_CF_far_dairy),".")</f>
        <v>.</v>
      </c>
      <c r="I28" s="15" t="str">
        <f>IFERROR(s_DL/(s_RadSpec!F28*s_IFSW_far_adj*s_CF_far_swine),".")</f>
        <v>.</v>
      </c>
      <c r="J28" s="15" t="str">
        <f>IFERROR(s_DL/(s_RadSpec!F28*s_IFFI_far_adj*s_CF_far_fish),".")</f>
        <v>.</v>
      </c>
      <c r="K28" s="15" t="str">
        <f>IFERROR(s_DL/(s_RadSpec!F28*s_IFSF_far_adj*s_CF_far_shellfish),".")</f>
        <v>.</v>
      </c>
      <c r="L28" s="15" t="str">
        <f>IFERROR(s_DL/(s_RadSpec!F28*s_IFGO_far_adj*s_CF_far_goat),".")</f>
        <v>.</v>
      </c>
      <c r="M28" s="15" t="str">
        <f>IFERROR(s_DL/(s_RadSpec!F28*s_IFSH_far_adj*s_CF_far_sheep),".")</f>
        <v>.</v>
      </c>
      <c r="N28" s="15" t="str">
        <f>IFERROR(s_DL/(s_RadSpec!F28*s_IFGM_far_adj*s_CF_far_goat_milk),".")</f>
        <v>.</v>
      </c>
      <c r="O28" s="15" t="str">
        <f>IFERROR(s_DL/(s_RadSpec!F28*s_IFSM_far_adj*s_CF_far_sheep_milk),".")</f>
        <v>.</v>
      </c>
      <c r="P28" s="111" t="str">
        <f t="shared" si="47"/>
        <v>.</v>
      </c>
      <c r="Q28" s="111" t="str">
        <f t="shared" si="47"/>
        <v>.</v>
      </c>
      <c r="R28" s="111" t="str">
        <f t="shared" si="47"/>
        <v>.</v>
      </c>
      <c r="S28" s="111" t="str">
        <f t="shared" si="47"/>
        <v>.</v>
      </c>
      <c r="T28" s="111" t="str">
        <f t="shared" si="47"/>
        <v>.</v>
      </c>
      <c r="U28" s="111" t="str">
        <f t="shared" si="47"/>
        <v>.</v>
      </c>
      <c r="V28" s="111" t="str">
        <f t="shared" si="47"/>
        <v>.</v>
      </c>
      <c r="W28" s="111" t="str">
        <f t="shared" si="47"/>
        <v>.</v>
      </c>
      <c r="X28" s="111" t="str">
        <f t="shared" si="59"/>
        <v>.</v>
      </c>
      <c r="Y28" s="111" t="str">
        <f t="shared" si="59"/>
        <v>.</v>
      </c>
      <c r="Z28" s="111" t="str">
        <f t="shared" si="59"/>
        <v>.</v>
      </c>
      <c r="AA28" s="111" t="str">
        <f t="shared" si="59"/>
        <v>.</v>
      </c>
      <c r="AB28" s="15" t="str">
        <f t="shared" si="49"/>
        <v>.</v>
      </c>
      <c r="AC28" s="247">
        <f>IFERROR(AB28*(0.0000000000028)*s_RadSpec!$AY28*s_RadSpec!$AF28,0)</f>
        <v>0</v>
      </c>
      <c r="AD28" s="40">
        <f>s_dir!BC28</f>
        <v>30250</v>
      </c>
      <c r="AE28" s="40">
        <f t="shared" si="1"/>
        <v>7562.5</v>
      </c>
      <c r="AF28" s="40">
        <f t="shared" si="2"/>
        <v>7562.5</v>
      </c>
      <c r="AG28" s="40">
        <f t="shared" si="3"/>
        <v>7562.5</v>
      </c>
      <c r="AH28" s="40">
        <f t="shared" si="4"/>
        <v>7562.5</v>
      </c>
      <c r="AI28" s="40">
        <f t="shared" si="5"/>
        <v>7562.5</v>
      </c>
      <c r="AJ28" s="40">
        <f t="shared" si="6"/>
        <v>7562.5</v>
      </c>
      <c r="AK28" s="40">
        <f t="shared" si="7"/>
        <v>7562.5</v>
      </c>
      <c r="AL28" s="40">
        <f t="shared" si="8"/>
        <v>7562.5</v>
      </c>
      <c r="AM28" s="40">
        <f t="shared" si="9"/>
        <v>7562.5</v>
      </c>
      <c r="AN28" s="40">
        <f t="shared" si="10"/>
        <v>7562.5</v>
      </c>
      <c r="AO28" s="40">
        <f t="shared" si="11"/>
        <v>7562.5</v>
      </c>
      <c r="AP28" s="45" t="str">
        <f>IFERROR((s_DL/(s_RadSpec!E28*s_IFS_far_adj*(1/1000)))*1,".")</f>
        <v>.</v>
      </c>
      <c r="AQ28" s="45" t="str">
        <f>IFERROR(IF(A28="H-3",(s_DL/(s_RadSpec!H28*s_IFA_far_adj*(1/17)*1000))*1,(s_DL/(s_RadSpec!H28*s_IFA_far_adj*(1/s_PEF_wind)*1000))*1),".")</f>
        <v>.</v>
      </c>
      <c r="AR28" s="45">
        <f>IFERROR((s_DL/(s_RadSpec!G28*s_EF_far*(1/365)*1*s_RadSpec!R28*((s_ET_far_o*(1/24)*s_RadSpec!W28)+(s_ET_far_i*(1/24)*s_RadSpec!AB28))))*1,".")</f>
        <v>42.105596672592029</v>
      </c>
      <c r="AS28" s="45" t="str">
        <f>s_b2s!BC28</f>
        <v>.</v>
      </c>
      <c r="AT28" s="45" t="str">
        <f>IFERROR(((J28*s_RadSpec!AU28)/s_RadSpec!AJ28)*1,".")</f>
        <v>.</v>
      </c>
      <c r="AU28" s="45" t="str">
        <f>IFERROR(((K28*s_RadSpec!AU28)/s_RadSpec!AK28)*1,".")</f>
        <v>.</v>
      </c>
      <c r="AV28" s="45" t="str">
        <f>IFERROR((G28/(s_RadSpec!AI28*((s_Q_p_beef*s_f_p_beef*s_f_s_beef*(s_RadSpec!BD28+s_R_es_past))+(s_Q_s_beef*s_f_p_beef))))*1,".")</f>
        <v>.</v>
      </c>
      <c r="AW28" s="45" t="str">
        <f>IFERROR(((H28*s_D_milk)/(s_RadSpec!AH28*((s_Q_p_dairy*s_f_p_dairy*s_f_s_dairy*(s_RadSpec!BD28+s_R_es_past))+(s_Q_s_dairy*s_f_p_dairy))))*1,".")</f>
        <v>.</v>
      </c>
      <c r="AX28" s="45" t="str">
        <f>IFERROR((I28/(s_RadSpec!AN28*((s_Q_p_swine*s_f_p_swine*s_f_s_swine*(s_RadSpec!BD28+s_R_es_past))+(s_Q_s_swine*s_f_p_swine))))*1,".")</f>
        <v>.</v>
      </c>
      <c r="AY28" s="45" t="str">
        <f>IFERROR((E28/(s_RadSpec!AL28*((s_Q_p_poultry*s_f_p_poultry*s_f_s_poultry*(s_RadSpec!BD28+s_R_es_past))+(s_Q_s_poultry*s_f_p_poultry))))*1,".")</f>
        <v>.</v>
      </c>
      <c r="AZ28" s="45" t="str">
        <f>IFERROR((F28/(s_RadSpec!AM28*((s_Q_p_poultry*s_f_p_poultry*s_f_s_poultry*(s_RadSpec!BD28+s_R_es_past))+(s_Q_s_poultry*s_f_p_poultry))))*1,".")</f>
        <v>.</v>
      </c>
      <c r="BA28" s="45" t="str">
        <f>IFERROR((L28/(s_RadSpec!AQ28*((s_Q_p_goat*s_f_p_goat*s_f_s_goat*(s_RadSpec!BD28+s_R_es_past))+(s_Q_s_goat*s_f_p_goat))))*1,".")</f>
        <v>.</v>
      </c>
      <c r="BB28" s="45" t="str">
        <f>IFERROR((N28*s_D_milk/(s_RadSpec!AR28*((s_Q_p_goat_milk*s_f_p_goat_milk*s_f_s_goat_milk*(s_RadSpec!BD28+s_R_es_past))+(s_Q_s_goat_milk*s_f_p_goat_milk))))*1,".")</f>
        <v>.</v>
      </c>
      <c r="BC28" s="45" t="str">
        <f>IFERROR((M28/(s_RadSpec!AO28*((s_Q_p_sheep*s_f_p_sheep*s_f_s_sheep*(s_RadSpec!BD28+s_R_es_past))+(s_Q_s_sheep*s_f_p_sheep))))*1,".")</f>
        <v>.</v>
      </c>
      <c r="BD28" s="45" t="str">
        <f>IFERROR((O28*s_D_milk/(s_RadSpec!AP28*((s_Q_p_sheep_milk*s_f_p_sheep_milk*s_f_s_sheep_milk*(s_RadSpec!BD28+s_R_es_past))+(s_Q_s_sheep_milk*s_f_p_sheep_milk))))*1,".")</f>
        <v>.</v>
      </c>
      <c r="BE28" s="111" t="str">
        <f t="shared" si="12"/>
        <v>.</v>
      </c>
      <c r="BF28" s="111" t="str">
        <f t="shared" si="13"/>
        <v>.</v>
      </c>
      <c r="BG28" s="111">
        <f t="shared" si="14"/>
        <v>2.3749811878356165E-2</v>
      </c>
      <c r="BH28" s="111" t="str">
        <f t="shared" si="15"/>
        <v>.</v>
      </c>
      <c r="BI28" s="111" t="str">
        <f t="shared" si="16"/>
        <v>.</v>
      </c>
      <c r="BJ28" s="111" t="str">
        <f t="shared" si="16"/>
        <v>.</v>
      </c>
      <c r="BK28" s="111" t="str">
        <f t="shared" si="17"/>
        <v>.</v>
      </c>
      <c r="BL28" s="111" t="str">
        <f t="shared" si="18"/>
        <v>.</v>
      </c>
      <c r="BM28" s="111" t="str">
        <f t="shared" si="19"/>
        <v>.</v>
      </c>
      <c r="BN28" s="111" t="str">
        <f t="shared" si="20"/>
        <v>.</v>
      </c>
      <c r="BO28" s="111" t="str">
        <f t="shared" si="21"/>
        <v>.</v>
      </c>
      <c r="BP28" s="111" t="str">
        <f t="shared" si="22"/>
        <v>.</v>
      </c>
      <c r="BQ28" s="111" t="str">
        <f t="shared" si="23"/>
        <v>.</v>
      </c>
      <c r="BR28" s="111" t="str">
        <f t="shared" si="24"/>
        <v>.</v>
      </c>
      <c r="BS28" s="111" t="str">
        <f t="shared" si="25"/>
        <v>.</v>
      </c>
      <c r="BT28" s="15">
        <f t="shared" si="50"/>
        <v>42.105596672592029</v>
      </c>
      <c r="BU28" s="189">
        <f>IFERROR(BT28*(0.0000000000028)*s_RadSpec!$AY28*s_RadSpec!$AF28,0)</f>
        <v>1.0130795618040849E-13</v>
      </c>
      <c r="BV28" s="40">
        <f t="shared" si="26"/>
        <v>15.125</v>
      </c>
      <c r="BW28" s="40">
        <f t="shared" si="27"/>
        <v>1.6181272791589674E-3</v>
      </c>
      <c r="BX28" s="40">
        <f>IFERROR((s_C*s_EF_far*(1/365)*1*s_RadSpec!R28*((s_ET_far_o*(1/24)*s_RadSpec!W28)+(s_ET_far_i*(1/24)*s_RadSpec!AB28))),".")</f>
        <v>4.6132191780821917E-2</v>
      </c>
      <c r="BY28" s="40">
        <f>s_b2s!CC28</f>
        <v>1933.5800000000002</v>
      </c>
      <c r="BZ28" s="40">
        <f>IFERROR(((s_C*s_RadSpec!AJ28)/s_RadSpec!AU28)*s_IFFI_far_adj*s_CF_far_fish,0)</f>
        <v>4537.5</v>
      </c>
      <c r="CA28" s="40">
        <f>IFERROR(((s_C*s_RadSpec!AK28)/s_RadSpec!AU28)*s_IFSF_far_adj*s_CF_far_shellfish,0)</f>
        <v>0</v>
      </c>
      <c r="CB28" s="40">
        <f>(s_C*s_IFB_far_adj*s_CF_far_beef*s_RadSpec!AI28*((s_Q_p_beef*s_f_p_beef*s_f_s_beef*(s_RadSpec!$AT28+s_R_es_past))+(s_Q_s_beef*s_f_p_beef)))</f>
        <v>26771.25</v>
      </c>
      <c r="CC28" s="40">
        <f>(s_C*s_IFD_far_adj*s_CF_far_dairy*s_RadSpec!AH28*1/s_D_milk*((s_Q_p_dairy*s_f_p_dairy*s_f_s_dairy*(s_RadSpec!$AT28+s_R_es_past))+(s_Q_s_dairy*s_f_p_dairy)))</f>
        <v>1299.5752427184466</v>
      </c>
      <c r="CD28" s="40">
        <f>IFERROR((s_C*s_IFSW_far_adj*s_CF_far_swine*s_RadSpec!AN28*((s_Q_p_swine*s_f_p_swine*s_f_s_swine*(s_RadSpec!$AT28+s_R_es_past))+(s_Q_s_swine*s_f_p_swine))),0)</f>
        <v>0</v>
      </c>
      <c r="CE28" s="40">
        <f>IFERROR((s_C*s_IFP_far_adj*s_CF_far_poultry*s_RadSpec!AL28*((s_Q_p_poultry*s_f_p_poultry*s_f_s_poultry*(s_RadSpec!AT28+s_R_es_past))+(s_Q_s_poultry*s_f_p_poultry))),0)</f>
        <v>0</v>
      </c>
      <c r="CF28" s="40">
        <f>IFERROR((s_C*s_IFE_far_adj*s_CF_far_egg*s_RadSpec!AM28*((s_Q_p_egg*s_f_p_egg*s_f_s_egg*(s_RadSpec!$AT28+s_R_es_past))+(s_Q_s_egg*s_f_p_egg))),0)</f>
        <v>0</v>
      </c>
      <c r="CG28" s="40">
        <f>IFERROR((s_C*s_IFGO_far_adj*s_CF_far_goat*s_RadSpec!AQ28*((s_Q_p_goat*s_f_p_goat*s_f_s_goat*(s_RadSpec!$AT28+s_R_es_past))+(s_Q_s_goat*s_f_p_goat))),0)</f>
        <v>0</v>
      </c>
      <c r="CH28" s="40">
        <f>IFERROR((s_C*s_IFGM_far_adj*s_CF_far_goat_milk*s_RadSpec!AR28*1/s_D_milk*((s_Q_p_goat_milk*s_f_p_goat_milk*s_f_s_goat_milk*(s_RadSpec!$AT28+s_R_es_past))+(s_Q_s_goat_milk*s_f_p_goat_milk))),0)</f>
        <v>0</v>
      </c>
      <c r="CI28" s="40">
        <f>IFERROR((s_C*s_IFSH_far_adj*s_CF_far_sheep*s_RadSpec!AO28*((s_Q_p_sheep*s_f_p_sheep*s_f_s_sheep*(s_RadSpec!$AT28+s_R_es_past))+(s_Q_s_sheep*s_f_p_sheep))),0)</f>
        <v>267712.5</v>
      </c>
      <c r="CJ28" s="40">
        <f>IFERROR((s_C*s_IFSM_far_adj*s_CF_far_sheep_milk*s_RadSpec!AP28*1/s_D_milk*((s_Q_p_sheep_milk*s_f_p_sheep_milk*s_f_s_sheep_milk*(s_RadSpec!$AT28+s_R_es_past))+(s_Q_s_sheep_milk*s_f_p_sheep_milk))),0)</f>
        <v>0</v>
      </c>
      <c r="CK28" s="18"/>
      <c r="CL28" s="15" t="str">
        <f>IFERROR(s_DL/(s_RadSpec!I28*s_IFW_far_adj),".")</f>
        <v>.</v>
      </c>
      <c r="CM28" s="15" t="str">
        <f>IFERROR(IF(AND(s_RadSpec!C28=1,s_RadSpec!D28&lt;&gt;0),s_DL/(s_RadSpec!H28*s_IFA_far_adj*s_K*s_RadSpec!D28),"."),".")</f>
        <v>.</v>
      </c>
      <c r="CN28" s="15">
        <f>IFERROR((s_DL/(s_RadSpec!M28*(1/8760)*s_DFA_far_adj)),".")</f>
        <v>7750.3810936702484</v>
      </c>
      <c r="CO28" s="15" t="str">
        <f>s_b2w!BC28</f>
        <v>.</v>
      </c>
      <c r="CP28" s="15" t="str">
        <f>IFERROR(J28/(s_RadSpec!AJ28*(1/1000)),".")</f>
        <v>.</v>
      </c>
      <c r="CQ28" s="15" t="str">
        <f>IFERROR(K28/(s_RadSpec!AK28*(1/1000)),".")</f>
        <v>.</v>
      </c>
      <c r="CR28" s="15" t="str">
        <f>IFERROR(G28/(s_RadSpec!AI28*s_Q_w_beef*(1/1000)),".")</f>
        <v>.</v>
      </c>
      <c r="CS28" s="15" t="str">
        <f>IFERROR((H28*s_D_milk)/(s_RadSpec!AH28*s_Q_w_dairy*(1/1000)),".")</f>
        <v>.</v>
      </c>
      <c r="CT28" s="15" t="str">
        <f>IFERROR(I28/(s_RadSpec!AN28*s_Q_w_swine*(1/1000)),".")</f>
        <v>.</v>
      </c>
      <c r="CU28" s="15" t="str">
        <f>IFERROR(E28/(s_RadSpec!AL28*s_Q_w_poultry*(1/1000)),".")</f>
        <v>.</v>
      </c>
      <c r="CV28" s="15" t="str">
        <f>IFERROR(F28/(s_RadSpec!AM28*s_Q_w_poultry*(1/1000)),".")</f>
        <v>.</v>
      </c>
      <c r="CW28" s="15" t="str">
        <f>IFERROR(L28/(s_RadSpec!AQ28*s_Q_w_goat*(1/1000)),".")</f>
        <v>.</v>
      </c>
      <c r="CX28" s="15" t="str">
        <f>IFERROR(N28*s_D_milk/(s_RadSpec!AR28*s_Q_w_goat_milk*(1/1000)),".")</f>
        <v>.</v>
      </c>
      <c r="CY28" s="15" t="str">
        <f>IFERROR(M28/(s_RadSpec!AO28*s_Q_w_sheep*(1/1000)),".")</f>
        <v>.</v>
      </c>
      <c r="CZ28" s="15" t="str">
        <f>IFERROR(O28*s_D_milk/(s_RadSpec!AP28*s_Q_w_sheep_milk*(1/1000)),".")</f>
        <v>.</v>
      </c>
      <c r="DA28" s="111" t="str">
        <f t="shared" si="28"/>
        <v>.</v>
      </c>
      <c r="DB28" s="111" t="str">
        <f t="shared" si="29"/>
        <v>.</v>
      </c>
      <c r="DC28" s="111">
        <f t="shared" si="30"/>
        <v>1.2902591342465753E-4</v>
      </c>
      <c r="DD28" s="111" t="str">
        <f t="shared" si="31"/>
        <v>.</v>
      </c>
      <c r="DE28" s="111" t="str">
        <f t="shared" si="32"/>
        <v>.</v>
      </c>
      <c r="DF28" s="111" t="str">
        <f t="shared" si="32"/>
        <v>.</v>
      </c>
      <c r="DG28" s="111" t="str">
        <f t="shared" si="33"/>
        <v>.</v>
      </c>
      <c r="DH28" s="111" t="str">
        <f t="shared" si="34"/>
        <v>.</v>
      </c>
      <c r="DI28" s="111" t="str">
        <f t="shared" si="35"/>
        <v>.</v>
      </c>
      <c r="DJ28" s="111" t="str">
        <f t="shared" si="36"/>
        <v>.</v>
      </c>
      <c r="DK28" s="111" t="str">
        <f t="shared" si="37"/>
        <v>.</v>
      </c>
      <c r="DL28" s="111" t="str">
        <f t="shared" si="38"/>
        <v>.</v>
      </c>
      <c r="DM28" s="111" t="str">
        <f t="shared" si="39"/>
        <v>.</v>
      </c>
      <c r="DN28" s="111" t="str">
        <f t="shared" si="40"/>
        <v>.</v>
      </c>
      <c r="DO28" s="111" t="str">
        <f t="shared" si="41"/>
        <v>.</v>
      </c>
      <c r="DP28" s="15">
        <f t="shared" si="51"/>
        <v>7750.3810936702484</v>
      </c>
      <c r="DQ28" s="189">
        <f>DP28*(0.0000000000000028)*s_RadSpec!$AY28*s_RadSpec!$AF28</f>
        <v>1.8647764911739373E-14</v>
      </c>
      <c r="DR28" s="40">
        <f t="shared" si="42"/>
        <v>1375</v>
      </c>
      <c r="DS28" s="40">
        <f>IFERROR(IF(s_RadSpec!D28&lt;&gt;"",s_C*s_IFA_far_adj*s_K*s_RadSpec!D28,0),".")</f>
        <v>0</v>
      </c>
      <c r="DT28" s="40">
        <f t="shared" si="43"/>
        <v>0.12557077625570776</v>
      </c>
      <c r="DU28" s="40">
        <f>s_b2w!CC28</f>
        <v>656.8877799109207</v>
      </c>
      <c r="DV28" s="40">
        <f>IFERROR(s_C*s_RadSpec!AJ28*(1/1000)*s_IFFI_far_adj*s_CF_far_fish,0)</f>
        <v>6806.25</v>
      </c>
      <c r="DW28" s="40">
        <f>IFERROR(s_C*s_RadSpec!AK28*(1/1000)*s_IFSF_far_adj*s_CF_far_shellfish,0)</f>
        <v>0</v>
      </c>
      <c r="DX28" s="40">
        <f>(s_C*s_IFB_far_adj*s_CF_far_beef*s_RadSpec!AI28*s_Q_w_beef*(1/1000))</f>
        <v>1.5125</v>
      </c>
      <c r="DY28" s="40">
        <f>(s_C*s_IFD_far_adj*s_CF_far_dairy*s_RadSpec!AH28*(1/s_D_milk)*s_Q_w_dairy*(1/1000))</f>
        <v>7.3422330097087388E-2</v>
      </c>
      <c r="DZ28" s="40">
        <f>IFERROR((s_C*s_IFSW_far_adj*s_CF_far_swine*s_RadSpec!AN28*s_Q_w_swine*(1/1000)),0)</f>
        <v>0</v>
      </c>
      <c r="EA28" s="40">
        <f>IFERROR((s_C*s_IFP_far_adj*s_CF_far_poultry*s_RadSpec!AL28*s_Q_w_poultry*(1/1000)),0)</f>
        <v>0</v>
      </c>
      <c r="EB28" s="40">
        <f>IFERROR((s_C*s_IFE_far_adj*s_CF_far_egg*s_RadSpec!AM28*s_Q_w_egg*(1/1000)),0)</f>
        <v>0</v>
      </c>
      <c r="EC28" s="40">
        <f>IFERROR((s_C*s_IFGO_far_adj*s_CF_far_goat*s_RadSpec!AQ28*s_Q_p_goat*(1/1000)),0)</f>
        <v>0</v>
      </c>
      <c r="ED28" s="40">
        <f>IFERROR((s_C*s_IFGM_far_adj*s_CF_far_goat_milk*s_RadSpec!AR28*(1/s_D_milk)*s_Q_p_goat_milk*(1/1000)),0)</f>
        <v>0</v>
      </c>
      <c r="EE28" s="40">
        <f>IFERROR((s_C*s_IFSH_far_adj*s_CF_far_sheep*s_RadSpec!AO28*s_Q_p_sheep*(1/1000)),0)</f>
        <v>15.125</v>
      </c>
      <c r="EF28" s="40">
        <f>IFERROR((s_C*s_IFSM_far_adj*s_CF_far_sheep_milk*s_RadSpec!AP28*(1/s_D_milk)*s_Q_p_sheep_milk*(1/1000)),0)</f>
        <v>0</v>
      </c>
      <c r="EG28" s="5"/>
      <c r="EH28" s="15" t="str">
        <f>IFERROR((s_DL/(s_RadSpec!H28*s_IFA_far_adj)),".")</f>
        <v>.</v>
      </c>
      <c r="EI28" s="15">
        <f>IFERROR((s_DL/(s_RadSpec!K28*s_EF_far*(1/365)*1*s_ET_far*(1/24)*s_GSF_a)),".")</f>
        <v>26746.413185999292</v>
      </c>
      <c r="EJ28" s="15">
        <f t="shared" si="63"/>
        <v>26746.413185999296</v>
      </c>
      <c r="EK28" s="189">
        <f>EJ28*(0.0000000000000028)*s_RadSpec!$AY28*s_RadSpec!$AF28</f>
        <v>6.4353071067963353E-14</v>
      </c>
      <c r="EL28" s="40">
        <f t="shared" si="45"/>
        <v>501.30208333333326</v>
      </c>
      <c r="EM28" s="40">
        <f t="shared" si="46"/>
        <v>7.8481735159817351E-2</v>
      </c>
      <c r="EN28" s="113"/>
    </row>
    <row r="29" spans="1:144" customFormat="1" x14ac:dyDescent="0.25">
      <c r="A29" s="44" t="s">
        <v>27</v>
      </c>
      <c r="B29" s="42" t="s">
        <v>1057</v>
      </c>
      <c r="C29" s="238"/>
      <c r="D29" s="15" t="str">
        <f>s_dir!AC29</f>
        <v>.</v>
      </c>
      <c r="E29" s="15" t="str">
        <f>IFERROR(s_DL/(s_RadSpec!F29*s_IFP_far_adj*s_CF_far_poultry),".")</f>
        <v>.</v>
      </c>
      <c r="F29" s="15" t="str">
        <f>IFERROR(s_DL/(s_RadSpec!F29*s_IFE_far_adj*s_CF_far_egg),".")</f>
        <v>.</v>
      </c>
      <c r="G29" s="15" t="str">
        <f>IFERROR(s_DL/(s_RadSpec!F29*s_IFB_far_adj*s_CF_far_beef),".")</f>
        <v>.</v>
      </c>
      <c r="H29" s="15" t="str">
        <f>IFERROR(s_DL/(s_RadSpec!F29*s_IFD_far_adj*s_CF_far_dairy),".")</f>
        <v>.</v>
      </c>
      <c r="I29" s="15" t="str">
        <f>IFERROR(s_DL/(s_RadSpec!F29*s_IFSW_far_adj*s_CF_far_swine),".")</f>
        <v>.</v>
      </c>
      <c r="J29" s="15" t="str">
        <f>IFERROR(s_DL/(s_RadSpec!F29*s_IFFI_far_adj*s_CF_far_fish),".")</f>
        <v>.</v>
      </c>
      <c r="K29" s="15" t="str">
        <f>IFERROR(s_DL/(s_RadSpec!F29*s_IFSF_far_adj*s_CF_far_shellfish),".")</f>
        <v>.</v>
      </c>
      <c r="L29" s="15" t="str">
        <f>IFERROR(s_DL/(s_RadSpec!F29*s_IFGO_far_adj*s_CF_far_goat),".")</f>
        <v>.</v>
      </c>
      <c r="M29" s="15" t="str">
        <f>IFERROR(s_DL/(s_RadSpec!F29*s_IFSH_far_adj*s_CF_far_sheep),".")</f>
        <v>.</v>
      </c>
      <c r="N29" s="15" t="str">
        <f>IFERROR(s_DL/(s_RadSpec!F29*s_IFGM_far_adj*s_CF_far_goat_milk),".")</f>
        <v>.</v>
      </c>
      <c r="O29" s="15" t="str">
        <f>IFERROR(s_DL/(s_RadSpec!F29*s_IFSM_far_adj*s_CF_far_sheep_milk),".")</f>
        <v>.</v>
      </c>
      <c r="P29" s="111" t="str">
        <f t="shared" si="47"/>
        <v>.</v>
      </c>
      <c r="Q29" s="111" t="str">
        <f t="shared" si="47"/>
        <v>.</v>
      </c>
      <c r="R29" s="111" t="str">
        <f t="shared" si="47"/>
        <v>.</v>
      </c>
      <c r="S29" s="111" t="str">
        <f t="shared" si="47"/>
        <v>.</v>
      </c>
      <c r="T29" s="111" t="str">
        <f t="shared" si="47"/>
        <v>.</v>
      </c>
      <c r="U29" s="111" t="str">
        <f t="shared" si="47"/>
        <v>.</v>
      </c>
      <c r="V29" s="111" t="str">
        <f t="shared" si="47"/>
        <v>.</v>
      </c>
      <c r="W29" s="111" t="str">
        <f t="shared" si="47"/>
        <v>.</v>
      </c>
      <c r="X29" s="111" t="str">
        <f t="shared" si="59"/>
        <v>.</v>
      </c>
      <c r="Y29" s="111" t="str">
        <f t="shared" si="59"/>
        <v>.</v>
      </c>
      <c r="Z29" s="111" t="str">
        <f t="shared" si="59"/>
        <v>.</v>
      </c>
      <c r="AA29" s="111" t="str">
        <f t="shared" si="59"/>
        <v>.</v>
      </c>
      <c r="AB29" s="15" t="str">
        <f t="shared" si="49"/>
        <v>.</v>
      </c>
      <c r="AC29" s="247">
        <f>IFERROR(AB29*(0.0000000000028)*s_RadSpec!$AY29*s_RadSpec!$AF29,0)</f>
        <v>0</v>
      </c>
      <c r="AD29" s="40">
        <f>s_dir!BC29</f>
        <v>30250</v>
      </c>
      <c r="AE29" s="40">
        <f t="shared" si="1"/>
        <v>7562.5</v>
      </c>
      <c r="AF29" s="40">
        <f t="shared" si="2"/>
        <v>7562.5</v>
      </c>
      <c r="AG29" s="40">
        <f t="shared" si="3"/>
        <v>7562.5</v>
      </c>
      <c r="AH29" s="40">
        <f t="shared" si="4"/>
        <v>7562.5</v>
      </c>
      <c r="AI29" s="40">
        <f t="shared" si="5"/>
        <v>7562.5</v>
      </c>
      <c r="AJ29" s="40">
        <f t="shared" si="6"/>
        <v>7562.5</v>
      </c>
      <c r="AK29" s="40">
        <f t="shared" si="7"/>
        <v>7562.5</v>
      </c>
      <c r="AL29" s="40">
        <f t="shared" si="8"/>
        <v>7562.5</v>
      </c>
      <c r="AM29" s="40">
        <f t="shared" si="9"/>
        <v>7562.5</v>
      </c>
      <c r="AN29" s="40">
        <f t="shared" si="10"/>
        <v>7562.5</v>
      </c>
      <c r="AO29" s="40">
        <f t="shared" si="11"/>
        <v>7562.5</v>
      </c>
      <c r="AP29" s="45" t="str">
        <f>IFERROR((s_DL/(s_RadSpec!E29*s_IFS_far_adj*(1/1000)))*1,".")</f>
        <v>.</v>
      </c>
      <c r="AQ29" s="45" t="str">
        <f>IFERROR(IF(A29="H-3",(s_DL/(s_RadSpec!H29*s_IFA_far_adj*(1/17)*1000))*1,(s_DL/(s_RadSpec!H29*s_IFA_far_adj*(1/s_PEF_wind)*1000))*1),".")</f>
        <v>.</v>
      </c>
      <c r="AR29" s="45">
        <f>IFERROR((s_DL/(s_RadSpec!G29*s_EF_far*(1/365)*1*s_RadSpec!R29*((s_ET_far_o*(1/24)*s_RadSpec!W29)+(s_ET_far_i*(1/24)*s_RadSpec!AB29))))*1,".")</f>
        <v>35.130088347423538</v>
      </c>
      <c r="AS29" s="45" t="str">
        <f>s_b2s!BC29</f>
        <v>.</v>
      </c>
      <c r="AT29" s="45" t="str">
        <f>IFERROR(((J29*s_RadSpec!AU29)/s_RadSpec!AJ29)*1,".")</f>
        <v>.</v>
      </c>
      <c r="AU29" s="45" t="str">
        <f>IFERROR(((K29*s_RadSpec!AU29)/s_RadSpec!AK29)*1,".")</f>
        <v>.</v>
      </c>
      <c r="AV29" s="45" t="str">
        <f>IFERROR((G29/(s_RadSpec!AI29*((s_Q_p_beef*s_f_p_beef*s_f_s_beef*(s_RadSpec!BD29+s_R_es_past))+(s_Q_s_beef*s_f_p_beef))))*1,".")</f>
        <v>.</v>
      </c>
      <c r="AW29" s="45" t="str">
        <f>IFERROR(((H29*s_D_milk)/(s_RadSpec!AH29*((s_Q_p_dairy*s_f_p_dairy*s_f_s_dairy*(s_RadSpec!BD29+s_R_es_past))+(s_Q_s_dairy*s_f_p_dairy))))*1,".")</f>
        <v>.</v>
      </c>
      <c r="AX29" s="45" t="str">
        <f>IFERROR((I29/(s_RadSpec!AN29*((s_Q_p_swine*s_f_p_swine*s_f_s_swine*(s_RadSpec!BD29+s_R_es_past))+(s_Q_s_swine*s_f_p_swine))))*1,".")</f>
        <v>.</v>
      </c>
      <c r="AY29" s="45" t="str">
        <f>IFERROR((E29/(s_RadSpec!AL29*((s_Q_p_poultry*s_f_p_poultry*s_f_s_poultry*(s_RadSpec!BD29+s_R_es_past))+(s_Q_s_poultry*s_f_p_poultry))))*1,".")</f>
        <v>.</v>
      </c>
      <c r="AZ29" s="45" t="str">
        <f>IFERROR((F29/(s_RadSpec!AM29*((s_Q_p_poultry*s_f_p_poultry*s_f_s_poultry*(s_RadSpec!BD29+s_R_es_past))+(s_Q_s_poultry*s_f_p_poultry))))*1,".")</f>
        <v>.</v>
      </c>
      <c r="BA29" s="45" t="str">
        <f>IFERROR((L29/(s_RadSpec!AQ29*((s_Q_p_goat*s_f_p_goat*s_f_s_goat*(s_RadSpec!BD29+s_R_es_past))+(s_Q_s_goat*s_f_p_goat))))*1,".")</f>
        <v>.</v>
      </c>
      <c r="BB29" s="45" t="str">
        <f>IFERROR((N29*s_D_milk/(s_RadSpec!AR29*((s_Q_p_goat_milk*s_f_p_goat_milk*s_f_s_goat_milk*(s_RadSpec!BD29+s_R_es_past))+(s_Q_s_goat_milk*s_f_p_goat_milk))))*1,".")</f>
        <v>.</v>
      </c>
      <c r="BC29" s="45" t="str">
        <f>IFERROR((M29/(s_RadSpec!AO29*((s_Q_p_sheep*s_f_p_sheep*s_f_s_sheep*(s_RadSpec!BD29+s_R_es_past))+(s_Q_s_sheep*s_f_p_sheep))))*1,".")</f>
        <v>.</v>
      </c>
      <c r="BD29" s="45" t="str">
        <f>IFERROR((O29*s_D_milk/(s_RadSpec!AP29*((s_Q_p_sheep_milk*s_f_p_sheep_milk*s_f_s_sheep_milk*(s_RadSpec!BD29+s_R_es_past))+(s_Q_s_sheep_milk*s_f_p_sheep_milk))))*1,".")</f>
        <v>.</v>
      </c>
      <c r="BE29" s="111" t="str">
        <f t="shared" si="12"/>
        <v>.</v>
      </c>
      <c r="BF29" s="111" t="str">
        <f t="shared" si="13"/>
        <v>.</v>
      </c>
      <c r="BG29" s="111">
        <f t="shared" si="14"/>
        <v>2.8465627245521589E-2</v>
      </c>
      <c r="BH29" s="111" t="str">
        <f t="shared" si="15"/>
        <v>.</v>
      </c>
      <c r="BI29" s="111" t="str">
        <f t="shared" si="16"/>
        <v>.</v>
      </c>
      <c r="BJ29" s="111" t="str">
        <f t="shared" si="16"/>
        <v>.</v>
      </c>
      <c r="BK29" s="111" t="str">
        <f t="shared" si="17"/>
        <v>.</v>
      </c>
      <c r="BL29" s="111" t="str">
        <f t="shared" si="18"/>
        <v>.</v>
      </c>
      <c r="BM29" s="111" t="str">
        <f t="shared" si="19"/>
        <v>.</v>
      </c>
      <c r="BN29" s="111" t="str">
        <f t="shared" si="20"/>
        <v>.</v>
      </c>
      <c r="BO29" s="111" t="str">
        <f t="shared" si="21"/>
        <v>.</v>
      </c>
      <c r="BP29" s="111" t="str">
        <f t="shared" si="22"/>
        <v>.</v>
      </c>
      <c r="BQ29" s="111" t="str">
        <f t="shared" si="23"/>
        <v>.</v>
      </c>
      <c r="BR29" s="111" t="str">
        <f t="shared" si="24"/>
        <v>.</v>
      </c>
      <c r="BS29" s="111" t="str">
        <f t="shared" si="25"/>
        <v>.</v>
      </c>
      <c r="BT29" s="15">
        <f t="shared" si="50"/>
        <v>35.130088347423538</v>
      </c>
      <c r="BU29" s="189">
        <f>IFERROR(BT29*(0.0000000000028)*s_RadSpec!$AY29*s_RadSpec!$AF29,0)</f>
        <v>5.1091018897965328E-14</v>
      </c>
      <c r="BV29" s="40">
        <f t="shared" si="26"/>
        <v>15.125</v>
      </c>
      <c r="BW29" s="40">
        <f t="shared" si="27"/>
        <v>1.6181272791589674E-3</v>
      </c>
      <c r="BX29" s="40">
        <f>IFERROR((s_C*s_EF_far*(1/365)*1*s_RadSpec!R29*((s_ET_far_o*(1/24)*s_RadSpec!W29)+(s_ET_far_i*(1/24)*s_RadSpec!AB29))),".")</f>
        <v>4.242360379346679E-2</v>
      </c>
      <c r="BY29" s="40">
        <f>s_b2s!CC29</f>
        <v>1933.5800000000002</v>
      </c>
      <c r="BZ29" s="40">
        <f>IFERROR(((s_C*s_RadSpec!AJ29)/s_RadSpec!AU29)*s_IFFI_far_adj*s_CF_far_fish,0)</f>
        <v>4537.5</v>
      </c>
      <c r="CA29" s="40">
        <f>IFERROR(((s_C*s_RadSpec!AK29)/s_RadSpec!AU29)*s_IFSF_far_adj*s_CF_far_shellfish,0)</f>
        <v>0</v>
      </c>
      <c r="CB29" s="40">
        <f>(s_C*s_IFB_far_adj*s_CF_far_beef*s_RadSpec!AI29*((s_Q_p_beef*s_f_p_beef*s_f_s_beef*(s_RadSpec!$AT29+s_R_es_past))+(s_Q_s_beef*s_f_p_beef)))</f>
        <v>26771.25</v>
      </c>
      <c r="CC29" s="40">
        <f>(s_C*s_IFD_far_adj*s_CF_far_dairy*s_RadSpec!AH29*1/s_D_milk*((s_Q_p_dairy*s_f_p_dairy*s_f_s_dairy*(s_RadSpec!$AT29+s_R_es_past))+(s_Q_s_dairy*s_f_p_dairy)))</f>
        <v>1299.5752427184466</v>
      </c>
      <c r="CD29" s="40">
        <f>IFERROR((s_C*s_IFSW_far_adj*s_CF_far_swine*s_RadSpec!AN29*((s_Q_p_swine*s_f_p_swine*s_f_s_swine*(s_RadSpec!$AT29+s_R_es_past))+(s_Q_s_swine*s_f_p_swine))),0)</f>
        <v>0</v>
      </c>
      <c r="CE29" s="40">
        <f>IFERROR((s_C*s_IFP_far_adj*s_CF_far_poultry*s_RadSpec!AL29*((s_Q_p_poultry*s_f_p_poultry*s_f_s_poultry*(s_RadSpec!AT29+s_R_es_past))+(s_Q_s_poultry*s_f_p_poultry))),0)</f>
        <v>0</v>
      </c>
      <c r="CF29" s="40">
        <f>IFERROR((s_C*s_IFE_far_adj*s_CF_far_egg*s_RadSpec!AM29*((s_Q_p_egg*s_f_p_egg*s_f_s_egg*(s_RadSpec!$AT29+s_R_es_past))+(s_Q_s_egg*s_f_p_egg))),0)</f>
        <v>0</v>
      </c>
      <c r="CG29" s="40">
        <f>IFERROR((s_C*s_IFGO_far_adj*s_CF_far_goat*s_RadSpec!AQ29*((s_Q_p_goat*s_f_p_goat*s_f_s_goat*(s_RadSpec!$AT29+s_R_es_past))+(s_Q_s_goat*s_f_p_goat))),0)</f>
        <v>0</v>
      </c>
      <c r="CH29" s="40">
        <f>IFERROR((s_C*s_IFGM_far_adj*s_CF_far_goat_milk*s_RadSpec!AR29*1/s_D_milk*((s_Q_p_goat_milk*s_f_p_goat_milk*s_f_s_goat_milk*(s_RadSpec!$AT29+s_R_es_past))+(s_Q_s_goat_milk*s_f_p_goat_milk))),0)</f>
        <v>0</v>
      </c>
      <c r="CI29" s="40">
        <f>IFERROR((s_C*s_IFSH_far_adj*s_CF_far_sheep*s_RadSpec!AO29*((s_Q_p_sheep*s_f_p_sheep*s_f_s_sheep*(s_RadSpec!$AT29+s_R_es_past))+(s_Q_s_sheep*s_f_p_sheep))),0)</f>
        <v>267712.5</v>
      </c>
      <c r="CJ29" s="40">
        <f>IFERROR((s_C*s_IFSM_far_adj*s_CF_far_sheep_milk*s_RadSpec!AP29*1/s_D_milk*((s_Q_p_sheep_milk*s_f_p_sheep_milk*s_f_s_sheep_milk*(s_RadSpec!$AT29+s_R_es_past))+(s_Q_s_sheep_milk*s_f_p_sheep_milk))),0)</f>
        <v>0</v>
      </c>
      <c r="CK29" s="18"/>
      <c r="CL29" s="15" t="str">
        <f>IFERROR(s_DL/(s_RadSpec!I29*s_IFW_far_adj),".")</f>
        <v>.</v>
      </c>
      <c r="CM29" s="15" t="str">
        <f>IFERROR(IF(AND(s_RadSpec!C29=1,s_RadSpec!D29&lt;&gt;0),s_DL/(s_RadSpec!H29*s_IFA_far_adj*s_K*s_RadSpec!D29),"."),".")</f>
        <v>.</v>
      </c>
      <c r="CN29" s="15">
        <f>IFERROR((s_DL/(s_RadSpec!M29*(1/8760)*s_DFA_far_adj)),".")</f>
        <v>5982.7503179208934</v>
      </c>
      <c r="CO29" s="15" t="str">
        <f>s_b2w!BC29</f>
        <v>.</v>
      </c>
      <c r="CP29" s="15" t="str">
        <f>IFERROR(J29/(s_RadSpec!AJ29*(1/1000)),".")</f>
        <v>.</v>
      </c>
      <c r="CQ29" s="15" t="str">
        <f>IFERROR(K29/(s_RadSpec!AK29*(1/1000)),".")</f>
        <v>.</v>
      </c>
      <c r="CR29" s="15" t="str">
        <f>IFERROR(G29/(s_RadSpec!AI29*s_Q_w_beef*(1/1000)),".")</f>
        <v>.</v>
      </c>
      <c r="CS29" s="15" t="str">
        <f>IFERROR((H29*s_D_milk)/(s_RadSpec!AH29*s_Q_w_dairy*(1/1000)),".")</f>
        <v>.</v>
      </c>
      <c r="CT29" s="15" t="str">
        <f>IFERROR(I29/(s_RadSpec!AN29*s_Q_w_swine*(1/1000)),".")</f>
        <v>.</v>
      </c>
      <c r="CU29" s="15" t="str">
        <f>IFERROR(E29/(s_RadSpec!AL29*s_Q_w_poultry*(1/1000)),".")</f>
        <v>.</v>
      </c>
      <c r="CV29" s="15" t="str">
        <f>IFERROR(F29/(s_RadSpec!AM29*s_Q_w_poultry*(1/1000)),".")</f>
        <v>.</v>
      </c>
      <c r="CW29" s="15" t="str">
        <f>IFERROR(L29/(s_RadSpec!AQ29*s_Q_w_goat*(1/1000)),".")</f>
        <v>.</v>
      </c>
      <c r="CX29" s="15" t="str">
        <f>IFERROR(N29*s_D_milk/(s_RadSpec!AR29*s_Q_w_goat_milk*(1/1000)),".")</f>
        <v>.</v>
      </c>
      <c r="CY29" s="15" t="str">
        <f>IFERROR(M29/(s_RadSpec!AO29*s_Q_w_sheep*(1/1000)),".")</f>
        <v>.</v>
      </c>
      <c r="CZ29" s="15" t="str">
        <f>IFERROR(O29*s_D_milk/(s_RadSpec!AP29*s_Q_w_sheep_milk*(1/1000)),".")</f>
        <v>.</v>
      </c>
      <c r="DA29" s="111" t="str">
        <f t="shared" si="28"/>
        <v>.</v>
      </c>
      <c r="DB29" s="111" t="str">
        <f t="shared" si="29"/>
        <v>.</v>
      </c>
      <c r="DC29" s="111">
        <f t="shared" si="30"/>
        <v>1.6714720602739727E-4</v>
      </c>
      <c r="DD29" s="111" t="str">
        <f t="shared" si="31"/>
        <v>.</v>
      </c>
      <c r="DE29" s="111" t="str">
        <f t="shared" si="32"/>
        <v>.</v>
      </c>
      <c r="DF29" s="111" t="str">
        <f t="shared" si="32"/>
        <v>.</v>
      </c>
      <c r="DG29" s="111" t="str">
        <f t="shared" si="33"/>
        <v>.</v>
      </c>
      <c r="DH29" s="111" t="str">
        <f t="shared" si="34"/>
        <v>.</v>
      </c>
      <c r="DI29" s="111" t="str">
        <f t="shared" si="35"/>
        <v>.</v>
      </c>
      <c r="DJ29" s="111" t="str">
        <f t="shared" si="36"/>
        <v>.</v>
      </c>
      <c r="DK29" s="111" t="str">
        <f t="shared" si="37"/>
        <v>.</v>
      </c>
      <c r="DL29" s="111" t="str">
        <f t="shared" si="38"/>
        <v>.</v>
      </c>
      <c r="DM29" s="111" t="str">
        <f t="shared" si="39"/>
        <v>.</v>
      </c>
      <c r="DN29" s="111" t="str">
        <f t="shared" si="40"/>
        <v>.</v>
      </c>
      <c r="DO29" s="111" t="str">
        <f t="shared" si="41"/>
        <v>.</v>
      </c>
      <c r="DP29" s="15">
        <f t="shared" si="51"/>
        <v>5982.7503179208934</v>
      </c>
      <c r="DQ29" s="189">
        <f>DP29*(0.0000000000000028)*s_RadSpec!$AY29*s_RadSpec!$AF29</f>
        <v>8.7009405308575624E-15</v>
      </c>
      <c r="DR29" s="40">
        <f t="shared" si="42"/>
        <v>1375</v>
      </c>
      <c r="DS29" s="40">
        <f>IFERROR(IF(s_RadSpec!D29&lt;&gt;"",s_C*s_IFA_far_adj*s_K*s_RadSpec!D29,0),".")</f>
        <v>2.317266373697916E-3</v>
      </c>
      <c r="DT29" s="40">
        <f t="shared" si="43"/>
        <v>0.12557077625570776</v>
      </c>
      <c r="DU29" s="40">
        <f>s_b2w!CC29</f>
        <v>656.8877799109207</v>
      </c>
      <c r="DV29" s="40">
        <f>IFERROR(s_C*s_RadSpec!AJ29*(1/1000)*s_IFFI_far_adj*s_CF_far_fish,0)</f>
        <v>6806.25</v>
      </c>
      <c r="DW29" s="40">
        <f>IFERROR(s_C*s_RadSpec!AK29*(1/1000)*s_IFSF_far_adj*s_CF_far_shellfish,0)</f>
        <v>0</v>
      </c>
      <c r="DX29" s="40">
        <f>(s_C*s_IFB_far_adj*s_CF_far_beef*s_RadSpec!AI29*s_Q_w_beef*(1/1000))</f>
        <v>1.5125</v>
      </c>
      <c r="DY29" s="40">
        <f>(s_C*s_IFD_far_adj*s_CF_far_dairy*s_RadSpec!AH29*(1/s_D_milk)*s_Q_w_dairy*(1/1000))</f>
        <v>7.3422330097087388E-2</v>
      </c>
      <c r="DZ29" s="40">
        <f>IFERROR((s_C*s_IFSW_far_adj*s_CF_far_swine*s_RadSpec!AN29*s_Q_w_swine*(1/1000)),0)</f>
        <v>0</v>
      </c>
      <c r="EA29" s="40">
        <f>IFERROR((s_C*s_IFP_far_adj*s_CF_far_poultry*s_RadSpec!AL29*s_Q_w_poultry*(1/1000)),0)</f>
        <v>0</v>
      </c>
      <c r="EB29" s="40">
        <f>IFERROR((s_C*s_IFE_far_adj*s_CF_far_egg*s_RadSpec!AM29*s_Q_w_egg*(1/1000)),0)</f>
        <v>0</v>
      </c>
      <c r="EC29" s="40">
        <f>IFERROR((s_C*s_IFGO_far_adj*s_CF_far_goat*s_RadSpec!AQ29*s_Q_p_goat*(1/1000)),0)</f>
        <v>0</v>
      </c>
      <c r="ED29" s="40">
        <f>IFERROR((s_C*s_IFGM_far_adj*s_CF_far_goat_milk*s_RadSpec!AR29*(1/s_D_milk)*s_Q_p_goat_milk*(1/1000)),0)</f>
        <v>0</v>
      </c>
      <c r="EE29" s="40">
        <f>IFERROR((s_C*s_IFSH_far_adj*s_CF_far_sheep*s_RadSpec!AO29*s_Q_p_sheep*(1/1000)),0)</f>
        <v>15.125</v>
      </c>
      <c r="EF29" s="40">
        <f>IFERROR((s_C*s_IFSM_far_adj*s_CF_far_sheep_milk*s_RadSpec!AP29*(1/s_D_milk)*s_Q_p_sheep_milk*(1/1000)),0)</f>
        <v>0</v>
      </c>
      <c r="EG29" s="5"/>
      <c r="EH29" s="15" t="str">
        <f>IFERROR((s_DL/(s_RadSpec!H29*s_IFA_far_adj)),".")</f>
        <v>.</v>
      </c>
      <c r="EI29" s="15">
        <f>IFERROR((s_DL/(s_RadSpec!K29*s_EF_far*(1/365)*1*s_ET_far*(1/24)*s_GSF_a)),".")</f>
        <v>20667.682916453996</v>
      </c>
      <c r="EJ29" s="15">
        <f t="shared" si="63"/>
        <v>20667.682916453996</v>
      </c>
      <c r="EK29" s="189">
        <f>EJ29*(0.0000000000000028)*s_RadSpec!$AY29*s_RadSpec!$AF29</f>
        <v>3.0057794561144309E-14</v>
      </c>
      <c r="EL29" s="40">
        <f t="shared" si="45"/>
        <v>501.30208333333326</v>
      </c>
      <c r="EM29" s="40">
        <f t="shared" si="46"/>
        <v>7.8481735159817351E-2</v>
      </c>
      <c r="EN29" s="113"/>
    </row>
    <row r="30" spans="1:144" customFormat="1" x14ac:dyDescent="0.25">
      <c r="A30" s="44" t="s">
        <v>28</v>
      </c>
      <c r="B30" s="42" t="s">
        <v>1057</v>
      </c>
      <c r="C30" s="42"/>
      <c r="D30" s="15">
        <f>s_dir!AC30</f>
        <v>3.7103631183969448</v>
      </c>
      <c r="E30" s="15">
        <f>IFERROR(s_DL/(s_RadSpec!F30*s_IFP_far_adj*s_CF_far_poultry),".")</f>
        <v>14.841452473587779</v>
      </c>
      <c r="F30" s="15">
        <f>IFERROR(s_DL/(s_RadSpec!F30*s_IFE_far_adj*s_CF_far_egg),".")</f>
        <v>14.841452473587779</v>
      </c>
      <c r="G30" s="15">
        <f>IFERROR(s_DL/(s_RadSpec!F30*s_IFB_far_adj*s_CF_far_beef),".")</f>
        <v>14.841452473587779</v>
      </c>
      <c r="H30" s="15">
        <f>IFERROR(s_DL/(s_RadSpec!F30*s_IFD_far_adj*s_CF_far_dairy),".")</f>
        <v>14.841452473587779</v>
      </c>
      <c r="I30" s="15">
        <f>IFERROR(s_DL/(s_RadSpec!F30*s_IFSW_far_adj*s_CF_far_swine),".")</f>
        <v>14.841452473587779</v>
      </c>
      <c r="J30" s="15">
        <f>IFERROR(s_DL/(s_RadSpec!F30*s_IFFI_far_adj*s_CF_far_fish),".")</f>
        <v>14.841452473587779</v>
      </c>
      <c r="K30" s="15">
        <f>IFERROR(s_DL/(s_RadSpec!F30*s_IFSF_far_adj*s_CF_far_shellfish),".")</f>
        <v>14.841452473587779</v>
      </c>
      <c r="L30" s="15">
        <f>IFERROR(s_DL/(s_RadSpec!F30*s_IFGO_far_adj*s_CF_far_goat),".")</f>
        <v>14.841452473587779</v>
      </c>
      <c r="M30" s="15">
        <f>IFERROR(s_DL/(s_RadSpec!F30*s_IFSH_far_adj*s_CF_far_sheep),".")</f>
        <v>14.841452473587779</v>
      </c>
      <c r="N30" s="15">
        <f>IFERROR(s_DL/(s_RadSpec!F30*s_IFGM_far_adj*s_CF_far_goat_milk),".")</f>
        <v>14.841452473587779</v>
      </c>
      <c r="O30" s="15">
        <f>IFERROR(s_DL/(s_RadSpec!F30*s_IFSM_far_adj*s_CF_far_sheep_milk),".")</f>
        <v>14.841452473587779</v>
      </c>
      <c r="P30" s="111">
        <f t="shared" si="47"/>
        <v>6.7378850000000004E-2</v>
      </c>
      <c r="Q30" s="111">
        <f t="shared" si="47"/>
        <v>6.7378850000000004E-2</v>
      </c>
      <c r="R30" s="111">
        <f t="shared" si="47"/>
        <v>6.7378850000000004E-2</v>
      </c>
      <c r="S30" s="111">
        <f t="shared" si="47"/>
        <v>6.7378850000000004E-2</v>
      </c>
      <c r="T30" s="111">
        <f t="shared" si="47"/>
        <v>6.7378850000000004E-2</v>
      </c>
      <c r="U30" s="111">
        <f t="shared" si="47"/>
        <v>6.7378850000000004E-2</v>
      </c>
      <c r="V30" s="111">
        <f t="shared" si="47"/>
        <v>6.7378850000000004E-2</v>
      </c>
      <c r="W30" s="111">
        <f t="shared" si="47"/>
        <v>6.7378850000000004E-2</v>
      </c>
      <c r="X30" s="111">
        <f t="shared" si="59"/>
        <v>6.7378850000000004E-2</v>
      </c>
      <c r="Y30" s="111">
        <f t="shared" si="59"/>
        <v>6.7378850000000004E-2</v>
      </c>
      <c r="Z30" s="111">
        <f t="shared" si="59"/>
        <v>6.7378850000000004E-2</v>
      </c>
      <c r="AA30" s="111">
        <f t="shared" si="59"/>
        <v>6.7378850000000004E-2</v>
      </c>
      <c r="AB30" s="15">
        <f t="shared" si="49"/>
        <v>1.2367877061323149</v>
      </c>
      <c r="AC30" s="247">
        <f>IFERROR(AB30*(0.0000000000028)*s_RadSpec!$AY30*s_RadSpec!$AF30,0)</f>
        <v>1.2845534367733098E-4</v>
      </c>
      <c r="AD30" s="40">
        <f>s_dir!BC30</f>
        <v>30250</v>
      </c>
      <c r="AE30" s="40">
        <f t="shared" si="1"/>
        <v>7562.5</v>
      </c>
      <c r="AF30" s="40">
        <f t="shared" si="2"/>
        <v>7562.5</v>
      </c>
      <c r="AG30" s="40">
        <f t="shared" si="3"/>
        <v>7562.5</v>
      </c>
      <c r="AH30" s="40">
        <f t="shared" si="4"/>
        <v>7562.5</v>
      </c>
      <c r="AI30" s="40">
        <f t="shared" si="5"/>
        <v>7562.5</v>
      </c>
      <c r="AJ30" s="40">
        <f t="shared" si="6"/>
        <v>7562.5</v>
      </c>
      <c r="AK30" s="40">
        <f t="shared" si="7"/>
        <v>7562.5</v>
      </c>
      <c r="AL30" s="40">
        <f t="shared" si="8"/>
        <v>7562.5</v>
      </c>
      <c r="AM30" s="40">
        <f t="shared" si="9"/>
        <v>7562.5</v>
      </c>
      <c r="AN30" s="40">
        <f t="shared" si="10"/>
        <v>7562.5</v>
      </c>
      <c r="AO30" s="40">
        <f t="shared" si="11"/>
        <v>7562.5</v>
      </c>
      <c r="AP30" s="45">
        <f>IFERROR((s_DL/(s_RadSpec!E30*s_IFS_far_adj*(1/1000)))*1,".")</f>
        <v>7420.7262367938902</v>
      </c>
      <c r="AQ30" s="45">
        <f>IFERROR(IF(A30="H-3",(s_DL/(s_RadSpec!H30*s_IFA_far_adj*(1/17)*1000))*1,(s_DL/(s_RadSpec!H30*s_IFA_far_adj*(1/s_PEF_wind)*1000))*1),".")</f>
        <v>405404.32762979425</v>
      </c>
      <c r="AR30" s="45">
        <f>IFERROR((s_DL/(s_RadSpec!G30*s_EF_far*(1/365)*1*s_RadSpec!R30*((s_ET_far_o*(1/24)*s_RadSpec!W30)+(s_ET_far_i*(1/24)*s_RadSpec!AB30))))*1,".")</f>
        <v>6017373.2942312891</v>
      </c>
      <c r="AS30" s="45">
        <f>s_b2s!BC30</f>
        <v>194.15057590083828</v>
      </c>
      <c r="AT30" s="45">
        <f>IFERROR(((J30*s_RadSpec!AU30)/s_RadSpec!AJ30)*1,".")</f>
        <v>6.1839385306615746</v>
      </c>
      <c r="AU30" s="45">
        <f>IFERROR(((K30*s_RadSpec!AU30)/s_RadSpec!AK30)*1,".")</f>
        <v>3.4921064643735955E-2</v>
      </c>
      <c r="AV30" s="45">
        <f>IFERROR((G30/(s_RadSpec!AI30*((s_Q_p_beef*s_f_p_beef*s_f_s_beef*(s_RadSpec!BD30+s_R_es_past))+(s_Q_s_beef*s_f_p_beef))))*1,".")</f>
        <v>430.53128111838117</v>
      </c>
      <c r="AW30" s="45">
        <f>IFERROR(((H30*s_D_milk)/(s_RadSpec!AH30*((s_Q_p_dairy*s_f_p_dairy*s_f_s_dairy*(s_RadSpec!BD30+s_R_es_past))+(s_Q_s_dairy*s_f_p_dairy))))*1,".")</f>
        <v>96.080230902918728</v>
      </c>
      <c r="AX30" s="45">
        <f>IFERROR((I30/(s_RadSpec!AN30*((s_Q_p_swine*s_f_p_swine*s_f_s_swine*(s_RadSpec!BD30+s_R_es_past))+(s_Q_s_swine*s_f_p_swine))))*1,".")</f>
        <v>3.816072719003833</v>
      </c>
      <c r="AY30" s="45">
        <f>IFERROR((E30/(s_RadSpec!AL30*((s_Q_p_poultry*s_f_p_poultry*s_f_s_poultry*(s_RadSpec!BD30+s_R_es_past))+(s_Q_s_poultry*s_f_p_poultry))))*1,".")</f>
        <v>0.2238762661815582</v>
      </c>
      <c r="AZ30" s="45">
        <f>IFERROR((F30/(s_RadSpec!AM30*((s_Q_p_poultry*s_f_p_poultry*s_f_s_poultry*(s_RadSpec!BD30+s_R_es_past))+(s_Q_s_poultry*s_f_p_poultry))))*1,".")</f>
        <v>0.1526429087601533</v>
      </c>
      <c r="BA30" s="45" t="str">
        <f>IFERROR((L30/(s_RadSpec!AQ30*((s_Q_p_goat*s_f_p_goat*s_f_s_goat*(s_RadSpec!BD30+s_R_es_past))+(s_Q_s_goat*s_f_p_goat))))*1,".")</f>
        <v>.</v>
      </c>
      <c r="BB30" s="45">
        <f>IFERROR((N30*s_D_milk/(s_RadSpec!AR30*((s_Q_p_goat_milk*s_f_p_goat_milk*s_f_s_goat_milk*(s_RadSpec!BD30+s_R_es_past))+(s_Q_s_goat_milk*s_f_p_goat_milk))))*1,".")</f>
        <v>123.53172544660978</v>
      </c>
      <c r="BC30" s="45">
        <f>IFERROR((M30/(s_RadSpec!AO30*((s_Q_p_sheep*s_f_p_sheep*s_f_s_sheep*(s_RadSpec!BD30+s_R_es_past))+(s_Q_s_sheep*s_f_p_sheep))))*1,".")</f>
        <v>83.953599818084314</v>
      </c>
      <c r="BD30" s="45" t="str">
        <f>IFERROR((O30*s_D_milk/(s_RadSpec!AP30*((s_Q_p_sheep_milk*s_f_p_sheep_milk*s_f_s_sheep_milk*(s_RadSpec!BD30+s_R_es_past))+(s_Q_s_sheep_milk*s_f_p_sheep_milk))))*1,".")</f>
        <v>.</v>
      </c>
      <c r="BE30" s="111">
        <f t="shared" si="12"/>
        <v>1.3475769999999999E-4</v>
      </c>
      <c r="BF30" s="111">
        <f t="shared" si="13"/>
        <v>2.46667322434993E-6</v>
      </c>
      <c r="BG30" s="111">
        <f t="shared" si="14"/>
        <v>1.6618546849315063E-7</v>
      </c>
      <c r="BH30" s="111">
        <f t="shared" si="15"/>
        <v>5.1506414305500002E-3</v>
      </c>
      <c r="BI30" s="111">
        <f t="shared" si="16"/>
        <v>0.16170924</v>
      </c>
      <c r="BJ30" s="111">
        <f t="shared" si="16"/>
        <v>28.636011249999999</v>
      </c>
      <c r="BK30" s="111">
        <f t="shared" si="17"/>
        <v>2.3227115981034482E-3</v>
      </c>
      <c r="BL30" s="111">
        <f t="shared" si="18"/>
        <v>1.0407968326079679E-2</v>
      </c>
      <c r="BM30" s="111">
        <f t="shared" si="19"/>
        <v>0.26204951363218387</v>
      </c>
      <c r="BN30" s="111">
        <f t="shared" si="20"/>
        <v>4.4667530732758616</v>
      </c>
      <c r="BO30" s="111">
        <f t="shared" si="21"/>
        <v>6.5512378408045988</v>
      </c>
      <c r="BP30" s="111" t="str">
        <f t="shared" si="22"/>
        <v>.</v>
      </c>
      <c r="BQ30" s="111">
        <f t="shared" si="23"/>
        <v>8.0950864758397509E-3</v>
      </c>
      <c r="BR30" s="111">
        <f t="shared" si="24"/>
        <v>1.1911341528735634E-2</v>
      </c>
      <c r="BS30" s="111" t="str">
        <f t="shared" si="25"/>
        <v>.</v>
      </c>
      <c r="BT30" s="15">
        <f t="shared" si="50"/>
        <v>2.4927842584547444E-2</v>
      </c>
      <c r="BU30" s="189">
        <f>IFERROR(BT30*(0.0000000000028)*s_RadSpec!$AY30*s_RadSpec!$AF30,0)</f>
        <v>2.5890575807436735E-6</v>
      </c>
      <c r="BV30" s="40">
        <f t="shared" si="26"/>
        <v>15.125</v>
      </c>
      <c r="BW30" s="40">
        <f t="shared" si="27"/>
        <v>1.6181272791589674E-3</v>
      </c>
      <c r="BX30" s="40">
        <f>IFERROR((s_C*s_EF_far*(1/365)*1*s_RadSpec!R30*((s_ET_far_o*(1/24)*s_RadSpec!W30)+(s_ET_far_i*(1/24)*s_RadSpec!AB30))),".")</f>
        <v>4.5205479452054788E-3</v>
      </c>
      <c r="BY30" s="40">
        <f>s_b2s!CC30</f>
        <v>578.10018749999995</v>
      </c>
      <c r="BZ30" s="40">
        <f>IFERROR(((s_C*s_RadSpec!AJ30)/s_RadSpec!AU30)*s_IFFI_far_adj*s_CF_far_fish,0)</f>
        <v>18149.999999999996</v>
      </c>
      <c r="CA30" s="40">
        <f>IFERROR(((s_C*s_RadSpec!AK30)/s_RadSpec!AU30)*s_IFSF_far_adj*s_CF_far_shellfish,0)</f>
        <v>3214062.5</v>
      </c>
      <c r="CB30" s="40">
        <f>(s_C*s_IFB_far_adj*s_CF_far_beef*s_RadSpec!AI30*((s_Q_p_beef*s_f_p_beef*s_f_s_beef*(s_RadSpec!$AT30+s_R_es_past))+(s_Q_s_beef*s_f_p_beef)))</f>
        <v>260.69762931034484</v>
      </c>
      <c r="CC30" s="40">
        <f>(s_C*s_IFD_far_adj*s_CF_far_dairy*s_RadSpec!AH30*1/s_D_milk*((s_Q_p_dairy*s_f_p_dairy*s_f_s_dairy*(s_RadSpec!$AT30+s_R_es_past))+(s_Q_s_dairy*s_f_p_dairy)))</f>
        <v>1168.174589889521</v>
      </c>
      <c r="CD30" s="40">
        <f>IFERROR((s_C*s_IFSW_far_adj*s_CF_far_swine*s_RadSpec!AN30*((s_Q_p_swine*s_f_p_swine*s_f_s_swine*(s_RadSpec!$AT30+s_R_es_past))+(s_Q_s_swine*s_f_p_swine))),0)</f>
        <v>29412.040229885057</v>
      </c>
      <c r="CE30" s="40">
        <f>IFERROR((s_C*s_IFP_far_adj*s_CF_far_poultry*s_RadSpec!AL30*((s_Q_p_poultry*s_f_p_poultry*s_f_s_poultry*(s_RadSpec!AT30+s_R_es_past))+(s_Q_s_poultry*s_f_p_poultry))),0)</f>
        <v>501341.5948275862</v>
      </c>
      <c r="CF30" s="40">
        <f>IFERROR((s_C*s_IFE_far_adj*s_CF_far_egg*s_RadSpec!AM30*((s_Q_p_egg*s_f_p_egg*s_f_s_egg*(s_RadSpec!$AT30+s_R_es_past))+(s_Q_s_egg*s_f_p_egg))),0)</f>
        <v>735301.00574712642</v>
      </c>
      <c r="CG30" s="40">
        <f>IFERROR((s_C*s_IFGO_far_adj*s_CF_far_goat*s_RadSpec!AQ30*((s_Q_p_goat*s_f_p_goat*s_f_s_goat*(s_RadSpec!$AT30+s_R_es_past))+(s_Q_s_goat*s_f_p_goat))),0)</f>
        <v>0</v>
      </c>
      <c r="CH30" s="40">
        <f>IFERROR((s_C*s_IFGM_far_adj*s_CF_far_goat_milk*s_RadSpec!AR30*1/s_D_milk*((s_Q_p_goat_milk*s_f_p_goat_milk*s_f_s_goat_milk*(s_RadSpec!$AT30+s_R_es_past))+(s_Q_s_goat_milk*s_f_p_goat_milk))),0)</f>
        <v>908.58023658073876</v>
      </c>
      <c r="CI30" s="40">
        <f>IFERROR((s_C*s_IFSH_far_adj*s_CF_far_sheep*s_RadSpec!AO30*((s_Q_p_sheep*s_f_p_sheep*s_f_s_sheep*(s_RadSpec!$AT30+s_R_es_past))+(s_Q_s_sheep*s_f_p_sheep))),0)</f>
        <v>1336.9109195402298</v>
      </c>
      <c r="CJ30" s="40">
        <f>IFERROR((s_C*s_IFSM_far_adj*s_CF_far_sheep_milk*s_RadSpec!AP30*1/s_D_milk*((s_Q_p_sheep_milk*s_f_p_sheep_milk*s_f_s_sheep_milk*(s_RadSpec!$AT30+s_R_es_past))+(s_Q_s_sheep_milk*s_f_p_sheep_milk))),0)</f>
        <v>0</v>
      </c>
      <c r="CK30" s="18"/>
      <c r="CL30" s="15">
        <f>IFERROR(s_DL/(s_RadSpec!I30*s_IFW_far_adj),".")</f>
        <v>81.627988604732792</v>
      </c>
      <c r="CM30" s="15" t="str">
        <f>IFERROR(IF(AND(s_RadSpec!C30=1,s_RadSpec!D30&lt;&gt;0),s_DL/(s_RadSpec!H30*s_IFA_far_adj*s_K*s_RadSpec!D30),"."),".")</f>
        <v>.</v>
      </c>
      <c r="CN30" s="15">
        <f>IFERROR((s_DL/(s_RadSpec!M30*(1/8760)*s_DFA_far_adj)),".")</f>
        <v>72556759.174785301</v>
      </c>
      <c r="CO30" s="15">
        <f>s_b2w!BC30</f>
        <v>289.60812124349638</v>
      </c>
      <c r="CP30" s="15">
        <f>IFERROR(J30/(s_RadSpec!AJ30*(1/1000)),".")</f>
        <v>15459.846326653937</v>
      </c>
      <c r="CQ30" s="15">
        <f>IFERROR(K30/(s_RadSpec!AK30*(1/1000)),".")</f>
        <v>87.302661609339864</v>
      </c>
      <c r="CR30" s="15">
        <f>IFERROR(G30/(s_RadSpec!AI30*s_Q_w_beef*(1/1000)),".")</f>
        <v>7611001.268506554</v>
      </c>
      <c r="CS30" s="15">
        <f>IFERROR((H30*s_D_milk)/(s_RadSpec!AH30*s_Q_w_dairy*(1/1000)),".")</f>
        <v>1698521.7830883791</v>
      </c>
      <c r="CT30" s="15">
        <f>IFERROR(I30/(s_RadSpec!AN30*s_Q_w_swine*(1/1000)),".")</f>
        <v>67461.147607217179</v>
      </c>
      <c r="CU30" s="15">
        <f>IFERROR(E30/(s_RadSpec!AL30*s_Q_w_poultry*(1/1000)),".")</f>
        <v>3957.7206596234078</v>
      </c>
      <c r="CV30" s="15">
        <f>IFERROR(F30/(s_RadSpec!AM30*s_Q_w_poultry*(1/1000)),".")</f>
        <v>2698.4459042886874</v>
      </c>
      <c r="CW30" s="15" t="str">
        <f>IFERROR(L30/(s_RadSpec!AQ30*s_Q_w_goat*(1/1000)),".")</f>
        <v>.</v>
      </c>
      <c r="CX30" s="15">
        <f>IFERROR(N30*s_D_milk/(s_RadSpec!AR30*s_Q_w_goat_milk*(1/1000)),".")</f>
        <v>2183813.7211136306</v>
      </c>
      <c r="CY30" s="15">
        <f>IFERROR(M30/(s_RadSpec!AO30*s_Q_w_sheep*(1/1000)),".")</f>
        <v>1484145.2473587778</v>
      </c>
      <c r="CZ30" s="15" t="str">
        <f>IFERROR(O30*s_D_milk/(s_RadSpec!AP30*s_Q_w_sheep_milk*(1/1000)),".")</f>
        <v>.</v>
      </c>
      <c r="DA30" s="111">
        <f t="shared" si="28"/>
        <v>1.22507E-2</v>
      </c>
      <c r="DB30" s="111" t="str">
        <f t="shared" si="29"/>
        <v>.</v>
      </c>
      <c r="DC30" s="111">
        <f t="shared" si="30"/>
        <v>1.3782313479452054E-8</v>
      </c>
      <c r="DD30" s="111">
        <f t="shared" si="31"/>
        <v>3.4529418432959658E-3</v>
      </c>
      <c r="DE30" s="111">
        <f t="shared" si="32"/>
        <v>6.4683696000000001E-5</v>
      </c>
      <c r="DF30" s="111">
        <f t="shared" si="32"/>
        <v>1.1454404500000003E-2</v>
      </c>
      <c r="DG30" s="111">
        <f t="shared" si="33"/>
        <v>1.3138875750000001E-7</v>
      </c>
      <c r="DH30" s="111">
        <f t="shared" si="34"/>
        <v>5.8874723300970879E-7</v>
      </c>
      <c r="DI30" s="111">
        <f t="shared" si="35"/>
        <v>1.4823347000000001E-5</v>
      </c>
      <c r="DJ30" s="111">
        <f t="shared" si="36"/>
        <v>2.526706875E-4</v>
      </c>
      <c r="DK30" s="111">
        <f t="shared" si="37"/>
        <v>3.7058367499999997E-4</v>
      </c>
      <c r="DL30" s="111" t="str">
        <f t="shared" si="38"/>
        <v>.</v>
      </c>
      <c r="DM30" s="111">
        <f t="shared" si="39"/>
        <v>4.5791451456310678E-7</v>
      </c>
      <c r="DN30" s="111">
        <f t="shared" si="40"/>
        <v>6.7378850000000012E-7</v>
      </c>
      <c r="DO30" s="111" t="str">
        <f t="shared" si="41"/>
        <v>.</v>
      </c>
      <c r="DP30" s="15">
        <f t="shared" si="51"/>
        <v>35.890310549762212</v>
      </c>
      <c r="DQ30" s="189">
        <f>DP30*(0.0000000000000028)*s_RadSpec!$AY30*s_RadSpec!$AF30</f>
        <v>3.7276423055442468E-6</v>
      </c>
      <c r="DR30" s="40">
        <f t="shared" si="42"/>
        <v>1375</v>
      </c>
      <c r="DS30" s="40">
        <f>IFERROR(IF(s_RadSpec!D30&lt;&gt;"",s_C*s_IFA_far_adj*s_K*s_RadSpec!D30,0),".")</f>
        <v>0</v>
      </c>
      <c r="DT30" s="40">
        <f t="shared" si="43"/>
        <v>0.12557077625570776</v>
      </c>
      <c r="DU30" s="40">
        <f>s_b2w!CC30</f>
        <v>387.55295897638121</v>
      </c>
      <c r="DV30" s="40">
        <f>IFERROR(s_C*s_RadSpec!AJ30*(1/1000)*s_IFFI_far_adj*s_CF_far_fish,0)</f>
        <v>7.26</v>
      </c>
      <c r="DW30" s="40">
        <f>IFERROR(s_C*s_RadSpec!AK30*(1/1000)*s_IFSF_far_adj*s_CF_far_shellfish,0)</f>
        <v>1285.625</v>
      </c>
      <c r="DX30" s="40">
        <f>(s_C*s_IFB_far_adj*s_CF_far_beef*s_RadSpec!AI30*s_Q_w_beef*(1/1000))</f>
        <v>1.4746875E-2</v>
      </c>
      <c r="DY30" s="40">
        <f>(s_C*s_IFD_far_adj*s_CF_far_dairy*s_RadSpec!AH30*(1/s_D_milk)*s_Q_w_dairy*(1/1000))</f>
        <v>6.608009708737865E-2</v>
      </c>
      <c r="DZ30" s="40">
        <f>IFERROR((s_C*s_IFSW_far_adj*s_CF_far_swine*s_RadSpec!AN30*s_Q_w_swine*(1/1000)),0)</f>
        <v>1.6637500000000001</v>
      </c>
      <c r="EA30" s="40">
        <f>IFERROR((s_C*s_IFP_far_adj*s_CF_far_poultry*s_RadSpec!AL30*s_Q_w_poultry*(1/1000)),0)</f>
        <v>28.359375</v>
      </c>
      <c r="EB30" s="40">
        <f>IFERROR((s_C*s_IFE_far_adj*s_CF_far_egg*s_RadSpec!AM30*s_Q_w_egg*(1/1000)),0)</f>
        <v>41.59375</v>
      </c>
      <c r="EC30" s="40">
        <f>IFERROR((s_C*s_IFGO_far_adj*s_CF_far_goat*s_RadSpec!AQ30*s_Q_p_goat*(1/1000)),0)</f>
        <v>0</v>
      </c>
      <c r="ED30" s="40">
        <f>IFERROR((s_C*s_IFGM_far_adj*s_CF_far_goat_milk*s_RadSpec!AR30*(1/s_D_milk)*s_Q_p_goat_milk*(1/1000)),0)</f>
        <v>5.1395631067961169E-2</v>
      </c>
      <c r="EE30" s="40">
        <f>IFERROR((s_C*s_IFSH_far_adj*s_CF_far_sheep*s_RadSpec!AO30*s_Q_p_sheep*(1/1000)),0)</f>
        <v>7.5624999999999998E-2</v>
      </c>
      <c r="EF30" s="40">
        <f>IFERROR((s_C*s_IFSM_far_adj*s_CF_far_sheep_milk*s_RadSpec!AP30*(1/s_D_milk)*s_Q_p_sheep_milk*(1/1000)),0)</f>
        <v>0</v>
      </c>
      <c r="EG30" s="5"/>
      <c r="EH30" s="15">
        <f>IFERROR((s_DL/(s_RadSpec!H30*s_IFA_far_adj)),".")</f>
        <v>1.3085838328556778</v>
      </c>
      <c r="EI30" s="15">
        <f>IFERROR((s_DL/(s_RadSpec!K30*s_EF_far*(1/365)*1*s_ET_far*(1/24)*s_GSF_a)),".")</f>
        <v>257371145.75206867</v>
      </c>
      <c r="EJ30" s="15">
        <f t="shared" ref="EJ30" si="64">IFERROR(IF(AND(ISNUMBER(EH30),ISNUMBER(EI30)),1/((1/EH30)+(1/EI30)),IF(AND(ISNUMBER(EH30),NOT(ISNUMBER(EI30))),1/((1/EH30)),IF(AND(NOT(ISNUMBER(EH30)),ISNUMBER(EI30)),1/((1/EI30)),IF(AND(NOT(ISNUMBER(EH30)),NOT(ISNUMBER(EI30))),".")))),".")</f>
        <v>1.3085838262022838</v>
      </c>
      <c r="EK30" s="189">
        <f>EJ30*(0.0000000000000028)*s_RadSpec!$AY30*s_RadSpec!$AF30</f>
        <v>1.359122380437277E-7</v>
      </c>
      <c r="EL30" s="40">
        <f t="shared" si="45"/>
        <v>501.30208333333326</v>
      </c>
      <c r="EM30" s="40">
        <f t="shared" si="46"/>
        <v>7.8481735159817351E-2</v>
      </c>
      <c r="EN30" s="113"/>
    </row>
    <row r="31" spans="1:144" x14ac:dyDescent="0.25">
      <c r="A31" s="76" t="s">
        <v>1</v>
      </c>
      <c r="B31" s="76" t="s">
        <v>1057</v>
      </c>
      <c r="C31" s="57"/>
      <c r="D31" s="58">
        <f t="shared" ref="D31:O31" si="65">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0.16868309813017673</v>
      </c>
      <c r="E31" s="58">
        <f t="shared" si="65"/>
        <v>0.67473239252070694</v>
      </c>
      <c r="F31" s="58">
        <f t="shared" si="65"/>
        <v>0.67473239252070694</v>
      </c>
      <c r="G31" s="58">
        <f t="shared" si="65"/>
        <v>0.67473239252070694</v>
      </c>
      <c r="H31" s="58">
        <f t="shared" si="65"/>
        <v>0.67473239252070694</v>
      </c>
      <c r="I31" s="58">
        <f t="shared" si="65"/>
        <v>0.67473239252070694</v>
      </c>
      <c r="J31" s="58">
        <f t="shared" si="65"/>
        <v>0.67473239252070694</v>
      </c>
      <c r="K31" s="58">
        <f t="shared" si="65"/>
        <v>0.67473239252070694</v>
      </c>
      <c r="L31" s="58">
        <f t="shared" si="65"/>
        <v>0.67473239252070694</v>
      </c>
      <c r="M31" s="58">
        <f t="shared" si="65"/>
        <v>0.67473239252070694</v>
      </c>
      <c r="N31" s="58">
        <f t="shared" si="65"/>
        <v>0.67473239252070694</v>
      </c>
      <c r="O31" s="58">
        <f t="shared" si="65"/>
        <v>0.67473239252070694</v>
      </c>
      <c r="P31" s="168"/>
      <c r="Q31" s="168"/>
      <c r="R31" s="168"/>
      <c r="S31" s="168"/>
      <c r="T31" s="168"/>
      <c r="U31" s="168"/>
      <c r="V31" s="168"/>
      <c r="W31" s="111"/>
      <c r="X31" s="111">
        <f t="shared" si="59"/>
        <v>1.4820690559469634</v>
      </c>
      <c r="Y31" s="111">
        <f t="shared" si="59"/>
        <v>1.4820690559469634</v>
      </c>
      <c r="Z31" s="111">
        <f t="shared" si="59"/>
        <v>1.4820690559469634</v>
      </c>
      <c r="AA31" s="111">
        <f t="shared" si="59"/>
        <v>1.4820690559469634</v>
      </c>
      <c r="AB31" s="59">
        <f t="shared" ref="AB31" si="66">IFERROR(1/SUM(IFERROR(1/SUMIF(AB32,"&lt;&gt;.",AB32),0),IFERROR(1/SUMIF(AB33,"&lt;&gt;.",AB33),0),IFERROR(1/SUMIF(AB34,"&lt;&gt;.",AB34),0),IFERROR(1/SUMIF(AB35,"&lt;&gt;.",AB35),0),IFERROR(1/SUMIF(AB36,"&lt;&gt;.",AB36),0),IFERROR(1/SUMIF(AB37,"&lt;&gt;.",AB37),0),IFERROR(1/SUMIF(AB38,"&lt;&gt;.",AB38),0),IFERROR(1/SUMIF(AB39,"&lt;&gt;.",AB39),0),IFERROR(1/SUMIF(AB40,"&lt;&gt;.",AB40),0),IFERROR(1/SUMIF(AB41,"&lt;&gt;.",AB41),0),IFERROR(1/SUMIF(AB42,"&lt;&gt;.",AB42),0),IFERROR(1/SUMIF(AB43,"&lt;&gt;.",AB43),0),IFERROR(1/SUMIF(AB44,"&lt;&gt;.",AB44),0)),".")</f>
        <v>5.5677926369309211E-2</v>
      </c>
      <c r="AC31" s="248">
        <f>IFERROR(AB31*(0.0000000000028)*s_RadSpec!$AY3*s_RadSpec!$AF3,0)</f>
        <v>1.6238387049395061E-8</v>
      </c>
      <c r="AD31" s="47">
        <f>IFERROR(SUM(AD32:AD44),".")</f>
        <v>148.20690559469634</v>
      </c>
      <c r="AE31" s="47">
        <f t="shared" ref="AE31:AO31" si="67">IFERROR(SUM(AE32:AE44),".")</f>
        <v>37.051726398674084</v>
      </c>
      <c r="AF31" s="47">
        <f t="shared" si="67"/>
        <v>37.051726398674084</v>
      </c>
      <c r="AG31" s="47">
        <f t="shared" si="67"/>
        <v>37.051726398674084</v>
      </c>
      <c r="AH31" s="47">
        <f t="shared" si="67"/>
        <v>37.051726398674084</v>
      </c>
      <c r="AI31" s="47">
        <f t="shared" si="67"/>
        <v>37.051726398674084</v>
      </c>
      <c r="AJ31" s="47">
        <f t="shared" si="67"/>
        <v>37.051726398674084</v>
      </c>
      <c r="AK31" s="47">
        <f t="shared" si="67"/>
        <v>37.051726398674084</v>
      </c>
      <c r="AL31" s="47">
        <f t="shared" si="67"/>
        <v>37.051726398674084</v>
      </c>
      <c r="AM31" s="47">
        <f t="shared" si="67"/>
        <v>37.051726398674084</v>
      </c>
      <c r="AN31" s="47">
        <f t="shared" si="67"/>
        <v>37.051726398674084</v>
      </c>
      <c r="AO31" s="47">
        <f t="shared" si="67"/>
        <v>37.051726398674084</v>
      </c>
      <c r="AP31" s="58">
        <f t="shared" ref="AP31:BD31" si="68">IFERROR(1/SUM(IFERROR(1/SUMIF(AP32,"&lt;&gt;.",AP32),0),IFERROR(1/SUMIF(AP33,"&lt;&gt;.",AP33),0),IFERROR(1/SUMIF(AP34,"&lt;&gt;.",AP34),0),IFERROR(1/SUMIF(AP35,"&lt;&gt;.",AP35),0),IFERROR(1/SUMIF(AP36,"&lt;&gt;.",AP36),0),IFERROR(1/SUMIF(AP37,"&lt;&gt;.",AP37),0),IFERROR(1/SUMIF(AP38,"&lt;&gt;.",AP38),0),IFERROR(1/SUMIF(AP39,"&lt;&gt;.",AP39),0),IFERROR(1/SUMIF(AP40,"&lt;&gt;.",AP40),0),IFERROR(1/SUMIF(AP41,"&lt;&gt;.",AP41),0),IFERROR(1/SUMIF(AP42,"&lt;&gt;.",AP42),0),IFERROR(1/SUMIF(AP43,"&lt;&gt;.",AP43),0),IFERROR(1/SUMIF(AP44,"&lt;&gt;.",AP44),0)),".")</f>
        <v>337.36619626035349</v>
      </c>
      <c r="AQ31" s="58">
        <f t="shared" si="68"/>
        <v>19500.593689093945</v>
      </c>
      <c r="AR31" s="58">
        <f t="shared" si="68"/>
        <v>546.48344765325521</v>
      </c>
      <c r="AS31" s="58">
        <f t="shared" si="68"/>
        <v>9.7593178699935894</v>
      </c>
      <c r="AT31" s="58">
        <f t="shared" si="68"/>
        <v>2.6040922799168927E-2</v>
      </c>
      <c r="AU31" s="58">
        <f t="shared" si="68"/>
        <v>1.4368878646249333E-4</v>
      </c>
      <c r="AV31" s="58">
        <f t="shared" si="68"/>
        <v>14.302949689444622</v>
      </c>
      <c r="AW31" s="58">
        <f t="shared" si="68"/>
        <v>50.977947516405749</v>
      </c>
      <c r="AX31" s="58">
        <f t="shared" si="68"/>
        <v>3.7592277540031618</v>
      </c>
      <c r="AY31" s="58">
        <f t="shared" si="68"/>
        <v>0.21707944552286276</v>
      </c>
      <c r="AZ31" s="58">
        <f t="shared" si="68"/>
        <v>0.15103081147891229</v>
      </c>
      <c r="BA31" s="112" t="str">
        <f t="shared" si="68"/>
        <v>.</v>
      </c>
      <c r="BB31" s="58">
        <f t="shared" si="68"/>
        <v>112.01302500480902</v>
      </c>
      <c r="BC31" s="58">
        <f t="shared" si="68"/>
        <v>5.0228264609725262</v>
      </c>
      <c r="BD31" s="58">
        <f t="shared" si="68"/>
        <v>3951.7653058335113</v>
      </c>
      <c r="BE31" s="111">
        <f t="shared" ref="BE31:BE76" si="69">IFERROR(1/AP31,".")</f>
        <v>2.9641381118939263E-3</v>
      </c>
      <c r="BF31" s="111">
        <f t="shared" ref="BF31:BF76" si="70">IFERROR(1/AQ31,".")</f>
        <v>5.1280490017043323E-5</v>
      </c>
      <c r="BG31" s="111">
        <f t="shared" ref="BG31:BG76" si="71">IFERROR(1/AR31,".")</f>
        <v>1.8298815898162425E-3</v>
      </c>
      <c r="BH31" s="111">
        <f t="shared" ref="BH31:BH76" si="72">IFERROR(1/AS31,".")</f>
        <v>0.10246617779247075</v>
      </c>
      <c r="BI31" s="111">
        <f t="shared" ref="BI31:BI76" si="73">IFERROR(1/AT31,".")</f>
        <v>38.401096908590127</v>
      </c>
      <c r="BJ31" s="111">
        <f t="shared" ref="BJ31:BJ76" si="74">IFERROR(1/AU31,".")</f>
        <v>6959.4853197610319</v>
      </c>
      <c r="BK31" s="111">
        <f t="shared" ref="BK31:BK76" si="75">IFERROR(1/AV31,".")</f>
        <v>6.9915648290225479E-2</v>
      </c>
      <c r="BL31" s="111">
        <f t="shared" ref="BL31:BL76" si="76">IFERROR(1/AW31,".")</f>
        <v>1.9616325268454159E-2</v>
      </c>
      <c r="BM31" s="111">
        <f t="shared" ref="BM31:BM76" si="77">IFERROR(1/AX31,".")</f>
        <v>0.26601208158646694</v>
      </c>
      <c r="BN31" s="111">
        <f t="shared" ref="BN31:BN76" si="78">IFERROR(1/AY31,".")</f>
        <v>4.606608412838793</v>
      </c>
      <c r="BO31" s="111">
        <f t="shared" ref="BO31:BO76" si="79">IFERROR(1/AZ31,".")</f>
        <v>6.6211655105860654</v>
      </c>
      <c r="BP31" s="111" t="str">
        <f t="shared" ref="BP31:BP76" si="80">IFERROR(1/BA31,".")</f>
        <v>.</v>
      </c>
      <c r="BQ31" s="111">
        <f t="shared" ref="BQ31:BQ76" si="81">IFERROR(1/BB31,".")</f>
        <v>8.9275332039025577E-3</v>
      </c>
      <c r="BR31" s="111">
        <f t="shared" ref="BR31:BR76" si="82">IFERROR(1/BC31,".")</f>
        <v>0.19909109099627917</v>
      </c>
      <c r="BS31" s="111">
        <f t="shared" ref="BS31:BS76" si="83">IFERROR(1/BD31,".")</f>
        <v>2.5305146500573337E-4</v>
      </c>
      <c r="BT31" s="59">
        <f>IFERROR(1/SUM(IFERROR(1/SUMIF(BT32,"&lt;&gt;.",BT32),0),IFERROR(1/SUMIF(BT33,"&lt;&gt;.",BT33),0),IFERROR(1/SUMIF(BT34,"&lt;&gt;.",BT34),0),IFERROR(1/SUMIF(BT35,"&lt;&gt;.",BT35),0),IFERROR(1/SUMIF(BT36,"&lt;&gt;.",BT36),0),IFERROR(1/SUMIF(BT37,"&lt;&gt;.",BT37),0),IFERROR(1/SUMIF(BT38,"&lt;&gt;.",BT38),0),IFERROR(1/SUMIF(BT39,"&lt;&gt;.",BT39),0),IFERROR(1/SUMIF(BT40,"&lt;&gt;.",BT40),0),IFERROR(1/SUMIF(BT41,"&lt;&gt;.",BT41),0),IFERROR(1/SUMIF(BT42,"&lt;&gt;.",BT42),0),IFERROR(1/SUMIF(BT43,"&lt;&gt;.",BT43),0),IFERROR(1/SUMIF(BT44,"&lt;&gt;.",BT44),0)),".")</f>
        <v>1.4265772126578972E-4</v>
      </c>
      <c r="BU31" s="190">
        <f>BT31*(0.0000000000028)*s_RadSpec!$AY3*s_RadSpec!$AF3</f>
        <v>4.1605918980048948E-11</v>
      </c>
      <c r="BV31" s="47">
        <f t="shared" ref="BV31" si="84">IFERROR(SUM(BV32:BV44),".")</f>
        <v>7.4103452797348146E-2</v>
      </c>
      <c r="BW31" s="47">
        <f t="shared" ref="BW31" si="85">IFERROR(SUM(BW32:BW44),".")</f>
        <v>1.282012250426083E-3</v>
      </c>
      <c r="BX31" s="47">
        <f t="shared" ref="BX31" si="86">IFERROR(SUM(BX32:BX44),".")</f>
        <v>4.5747039745406073E-2</v>
      </c>
      <c r="BY31" s="47">
        <f t="shared" ref="BY31" si="87">IFERROR(SUM(BY32:BY44),".")</f>
        <v>2.5616544448117691</v>
      </c>
      <c r="BZ31" s="47">
        <f t="shared" ref="BZ31" si="88">IFERROR(SUM(BZ32:BZ44),".")</f>
        <v>960.02742271475313</v>
      </c>
      <c r="CA31" s="47">
        <f t="shared" ref="CA31" si="89">IFERROR(SUM(CA32:CA44),".")</f>
        <v>173987.1329940258</v>
      </c>
      <c r="CB31" s="47">
        <f t="shared" ref="CB31" si="90">IFERROR(SUM(CB32:CB44),".")</f>
        <v>1.7478912072556376</v>
      </c>
      <c r="CC31" s="47">
        <f t="shared" ref="CC31" si="91">IFERROR(SUM(CC32:CC44),".")</f>
        <v>0.49040813171135389</v>
      </c>
      <c r="CD31" s="47">
        <f t="shared" ref="CD31" si="92">IFERROR(SUM(CD32:CD44),".")</f>
        <v>6.6503020396616739</v>
      </c>
      <c r="CE31" s="47">
        <f t="shared" ref="CE31" si="93">IFERROR(SUM(CE32:CE44),".")</f>
        <v>115.16521032096983</v>
      </c>
      <c r="CF31" s="47">
        <f t="shared" ref="CF31" si="94">IFERROR(SUM(CF32:CF44),".")</f>
        <v>165.52913776465155</v>
      </c>
      <c r="CG31" s="47">
        <f t="shared" ref="CG31" si="95">IFERROR(SUM(CG32:CG44),".")</f>
        <v>0</v>
      </c>
      <c r="CH31" s="47">
        <f t="shared" ref="CH31" si="96">IFERROR(SUM(CH32:CH44),".")</f>
        <v>0.22318833009756395</v>
      </c>
      <c r="CI31" s="47">
        <f t="shared" ref="CI31" si="97">IFERROR(SUM(CI32:CI44),".")</f>
        <v>4.977277274906978</v>
      </c>
      <c r="CJ31" s="47">
        <f t="shared" ref="CJ31" si="98">IFERROR(SUM(CJ32:CJ44),".")</f>
        <v>6.3262866251433325E-3</v>
      </c>
      <c r="CK31" s="47">
        <f t="shared" ref="CK31" si="99">IFERROR(SUM(CK32:CK44),".")</f>
        <v>175244.63294504597</v>
      </c>
      <c r="CL31" s="59">
        <f t="shared" ref="CL31:CZ31" si="100">IFERROR(1/SUM(IFERROR(1/SUMIF(CL32,"&lt;&gt;.",CL32),0),IFERROR(1/SUMIF(CL33,"&lt;&gt;.",CL33),0),IFERROR(1/SUMIF(CL34,"&lt;&gt;.",CL34),0),IFERROR(1/SUMIF(CL35,"&lt;&gt;.",CL35),0),IFERROR(1/SUMIF(CL36,"&lt;&gt;.",CL36),0),IFERROR(1/SUMIF(CL37,"&lt;&gt;.",CL37),0),IFERROR(1/SUMIF(CL38,"&lt;&gt;.",CL38),0),IFERROR(1/SUMIF(CL39,"&lt;&gt;.",CL39),0),IFERROR(1/SUMIF(CL40,"&lt;&gt;.",CL40),0),IFERROR(1/SUMIF(CL41,"&lt;&gt;.",CL41),0),IFERROR(1/SUMIF(CL42,"&lt;&gt;.",CL42),0),IFERROR(1/SUMIF(CL43,"&lt;&gt;.",CL43),0),IFERROR(1/SUMIF(CL44,"&lt;&gt;.",CL44),0)),".")</f>
        <v>3.7110281588638885</v>
      </c>
      <c r="CM31" s="58" t="str">
        <f t="shared" si="100"/>
        <v>.</v>
      </c>
      <c r="CN31" s="59">
        <f t="shared" si="100"/>
        <v>32122.206953211124</v>
      </c>
      <c r="CO31" s="59">
        <f t="shared" si="100"/>
        <v>13.550199793579592</v>
      </c>
      <c r="CP31" s="59">
        <f t="shared" si="100"/>
        <v>13.468356078572231</v>
      </c>
      <c r="CQ31" s="59">
        <f t="shared" si="100"/>
        <v>0.25105273985227217</v>
      </c>
      <c r="CR31" s="59">
        <f t="shared" si="100"/>
        <v>254803.84520254328</v>
      </c>
      <c r="CS31" s="59">
        <f t="shared" si="100"/>
        <v>909062.54624355258</v>
      </c>
      <c r="CT31" s="59">
        <f t="shared" si="100"/>
        <v>66446.192551853252</v>
      </c>
      <c r="CU31" s="59">
        <f t="shared" si="100"/>
        <v>3836.3838675339616</v>
      </c>
      <c r="CV31" s="59">
        <f t="shared" si="100"/>
        <v>2669.6609762153298</v>
      </c>
      <c r="CW31" s="59" t="str">
        <f t="shared" si="100"/>
        <v>.</v>
      </c>
      <c r="CX31" s="59">
        <f t="shared" si="100"/>
        <v>1979150.8704958223</v>
      </c>
      <c r="CY31" s="59">
        <f t="shared" si="100"/>
        <v>89519.645889831736</v>
      </c>
      <c r="CZ31" s="59">
        <f t="shared" si="100"/>
        <v>70405014.069447666</v>
      </c>
      <c r="DA31" s="111">
        <f t="shared" ref="DA31:DA76" si="101">IFERROR(1/CL31,".")</f>
        <v>0.26946710108126604</v>
      </c>
      <c r="DB31" s="111" t="str">
        <f t="shared" ref="DB31:DB76" si="102">IFERROR(1/CM31,".")</f>
        <v>.</v>
      </c>
      <c r="DC31" s="111">
        <f t="shared" ref="DC31:DC76" si="103">IFERROR(1/CN31,".")</f>
        <v>3.1131111304294554E-5</v>
      </c>
      <c r="DD31" s="111">
        <f t="shared" ref="DD31:DD76" si="104">IFERROR(1/CO31,".")</f>
        <v>7.37996498379178E-2</v>
      </c>
      <c r="DE31" s="111">
        <f t="shared" ref="DE31:DE76" si="105">IFERROR(1/CP31,".")</f>
        <v>7.4248111214624879E-2</v>
      </c>
      <c r="DF31" s="111">
        <f t="shared" ref="DF31:DF76" si="106">IFERROR(1/CQ31,".")</f>
        <v>3.9832267936547257</v>
      </c>
      <c r="DG31" s="111">
        <f t="shared" ref="DG31:DG76" si="107">IFERROR(1/CR31,".")</f>
        <v>3.9245875555963497E-6</v>
      </c>
      <c r="DH31" s="111">
        <f t="shared" ref="DH31:DH76" si="108">IFERROR(1/CS31,".")</f>
        <v>1.1000343201160592E-6</v>
      </c>
      <c r="DI31" s="111">
        <f t="shared" ref="DI31:DI76" si="109">IFERROR(1/CT31,".")</f>
        <v>1.5049771275E-5</v>
      </c>
      <c r="DJ31" s="111">
        <f t="shared" ref="DJ31:DJ76" si="110">IFERROR(1/CU31,".")</f>
        <v>2.606621325E-4</v>
      </c>
      <c r="DK31" s="111">
        <f t="shared" ref="DK31:DK76" si="111">IFERROR(1/CV31,".")</f>
        <v>3.7457939749999998E-4</v>
      </c>
      <c r="DL31" s="111" t="str">
        <f t="shared" ref="DL31:DL76" si="112">IFERROR(1/CW31,".")</f>
        <v>.</v>
      </c>
      <c r="DM31" s="111">
        <f t="shared" ref="DM31:DM76" si="113">IFERROR(1/CX31,".")</f>
        <v>5.0526719054494177E-7</v>
      </c>
      <c r="DN31" s="111">
        <f t="shared" ref="DN31:DN76" si="114">IFERROR(1/CY31,".")</f>
        <v>1.1170732301942528E-5</v>
      </c>
      <c r="DO31" s="111">
        <f t="shared" ref="DO31:DO76" si="115">IFERROR(1/CZ31,".")</f>
        <v>1.4203533842257282E-8</v>
      </c>
      <c r="DP31" s="59">
        <f>IFERROR(1/SUM(IFERROR(1/SUMIF(DP32,"&lt;&gt;.",DP32),0),IFERROR(1/SUMIF(DP33,"&lt;&gt;.",DP33),0),IFERROR(1/SUMIF(DP34,"&lt;&gt;.",DP34),0),IFERROR(1/SUMIF(DP35,"&lt;&gt;.",DP35),0),IFERROR(1/SUMIF(DP36,"&lt;&gt;.",DP36),0),IFERROR(1/SUMIF(DP37,"&lt;&gt;.",DP37),0),IFERROR(1/SUMIF(DP38,"&lt;&gt;.",DP38),0),IFERROR(1/SUMIF(DP39,"&lt;&gt;.",DP39),0),IFERROR(1/SUMIF(DP40,"&lt;&gt;.",DP40),0),IFERROR(1/SUMIF(DP41,"&lt;&gt;.",DP41),0),IFERROR(1/SUMIF(DP42,"&lt;&gt;.",DP42),0),IFERROR(1/SUMIF(DP43,"&lt;&gt;.",DP43),0),IFERROR(1/SUMIF(DP44,"&lt;&gt;.",DP44),0)),".")</f>
        <v>0.22719838212588478</v>
      </c>
      <c r="DQ31" s="190">
        <f>DP31*(0.0000000000000028)*s_RadSpec!$AY3*s_RadSpec!$AF3</f>
        <v>6.6262080981344045E-11</v>
      </c>
      <c r="DR31" s="47">
        <f t="shared" ref="DR31" si="116">IFERROR(SUM(DR32:DR44),".")</f>
        <v>6.7366775270316497</v>
      </c>
      <c r="DS31" s="47">
        <f t="shared" ref="DS31" si="117">IFERROR(SUM(DS32:DS44),".")</f>
        <v>0</v>
      </c>
      <c r="DT31" s="47">
        <f t="shared" ref="DT31" si="118">IFERROR(SUM(DT32:DT44),".")</f>
        <v>7.7827778260736332E-4</v>
      </c>
      <c r="DU31" s="47">
        <f t="shared" ref="DU31" si="119">IFERROR(SUM(DU32:DU44),".")</f>
        <v>1.8449912459479443</v>
      </c>
      <c r="DV31" s="47">
        <f t="shared" ref="DV31" si="120">IFERROR(SUM(DV32:DV44),".")</f>
        <v>1.8562027803656218</v>
      </c>
      <c r="DW31" s="47">
        <f t="shared" ref="DW31" si="121">IFERROR(SUM(DW32:DW44),".")</f>
        <v>99.580669841368135</v>
      </c>
      <c r="DX31" s="47">
        <f t="shared" ref="DX31" si="122">IFERROR(SUM(DX32:DX44),".")</f>
        <v>9.8114688889908771E-5</v>
      </c>
      <c r="DY31" s="47">
        <f t="shared" ref="DY31" si="123">IFERROR(SUM(DY32:DY44),".")</f>
        <v>2.7500858002901482E-5</v>
      </c>
      <c r="DZ31" s="47">
        <f t="shared" ref="DZ31" si="124">IFERROR(SUM(DZ32:DZ44),".")</f>
        <v>3.7624428187500004E-4</v>
      </c>
      <c r="EA31" s="47">
        <f t="shared" ref="EA31" si="125">IFERROR(SUM(EA32:EA44),".")</f>
        <v>6.5165533125000003E-3</v>
      </c>
      <c r="EB31" s="47">
        <f t="shared" ref="EB31" si="126">IFERROR(SUM(EB32:EB44),".")</f>
        <v>9.3644849375000005E-3</v>
      </c>
      <c r="EC31" s="47">
        <f t="shared" ref="EC31" si="127">IFERROR(SUM(EC32:EC44),".")</f>
        <v>0</v>
      </c>
      <c r="ED31" s="47">
        <f t="shared" ref="ED31" si="128">IFERROR(SUM(ED32:ED44),".")</f>
        <v>1.2631679763623545E-5</v>
      </c>
      <c r="EE31" s="47">
        <f t="shared" ref="EE31" si="129">IFERROR(SUM(EE32:EE44),".")</f>
        <v>2.7926830754856316E-4</v>
      </c>
      <c r="EF31" s="47">
        <f t="shared" ref="EF31" si="130">IFERROR(SUM(EF32:EF44),".")</f>
        <v>3.5508834605643206E-7</v>
      </c>
      <c r="EG31" s="47">
        <f t="shared" ref="EG31" si="131">IFERROR(SUM(EG32:EG44),".")</f>
        <v>110.03599482565039</v>
      </c>
      <c r="EH31" s="59">
        <f>IFERROR(1/SUM(IFERROR(1/SUMIF(EH32,"&lt;&gt;.",EH32),0),IFERROR(1/SUMIF(EH33,"&lt;&gt;.",EH33),0),IFERROR(1/SUMIF(EH34,"&lt;&gt;.",EH34),0),IFERROR(1/SUMIF(EH35,"&lt;&gt;.",EH35),0),IFERROR(1/SUMIF(EH36,"&lt;&gt;.",EH36),0),IFERROR(1/SUMIF(EH37,"&lt;&gt;.",EH37),0),IFERROR(1/SUMIF(EH38,"&lt;&gt;.",EH38),0),IFERROR(1/SUMIF(EH39,"&lt;&gt;.",EH39),0),IFERROR(1/SUMIF(EH40,"&lt;&gt;.",EH40),0),IFERROR(1/SUMIF(EH41,"&lt;&gt;.",EH41),0),IFERROR(1/SUMIF(EH42,"&lt;&gt;.",EH42),0),IFERROR(1/SUMIF(EH43,"&lt;&gt;.",EH43),0),IFERROR(1/SUMIF(EH44,"&lt;&gt;.",EH44),0)),".")</f>
        <v>6.2944966033856395E-2</v>
      </c>
      <c r="EI31" s="59">
        <f>IFERROR(1/SUM(IFERROR(1/SUMIF(EI32,"&lt;&gt;.",EI32),0),IFERROR(1/SUMIF(EI33,"&lt;&gt;.",EI33),0),IFERROR(1/SUMIF(EI34,"&lt;&gt;.",EI34),0),IFERROR(1/SUMIF(EI35,"&lt;&gt;.",EI35),0),IFERROR(1/SUMIF(EI36,"&lt;&gt;.",EI36),0),IFERROR(1/SUMIF(EI37,"&lt;&gt;.",EI37),0),IFERROR(1/SUMIF(EI38,"&lt;&gt;.",EI38),0),IFERROR(1/SUMIF(EI39,"&lt;&gt;.",EI39),0),IFERROR(1/SUMIF(EI40,"&lt;&gt;.",EI40),0),IFERROR(1/SUMIF(EI41,"&lt;&gt;.",EI41),0),IFERROR(1/SUMIF(EI42,"&lt;&gt;.",EI42),0),IFERROR(1/SUMIF(EI43,"&lt;&gt;.",EI43),0),IFERROR(1/SUMIF(EI44,"&lt;&gt;.",EI44),0)),".")</f>
        <v>111906.49536771805</v>
      </c>
      <c r="EJ31" s="59">
        <f>IFERROR(1/SUM(IFERROR(1/SUMIF(EJ32,"&lt;&gt;.",EJ32),0),IFERROR(1/SUMIF(EJ33,"&lt;&gt;.",EJ33),0),IFERROR(1/SUMIF(EJ34,"&lt;&gt;.",EJ34),0),IFERROR(1/SUMIF(EJ35,"&lt;&gt;.",EJ35),0),IFERROR(1/SUMIF(EJ36,"&lt;&gt;.",EJ36),0),IFERROR(1/SUMIF(EJ37,"&lt;&gt;.",EJ37),0),IFERROR(1/SUMIF(EJ38,"&lt;&gt;.",EJ38),0),IFERROR(1/SUMIF(EJ39,"&lt;&gt;.",EJ39),0),IFERROR(1/SUMIF(EJ40,"&lt;&gt;.",EJ40),0),IFERROR(1/SUMIF(EJ41,"&lt;&gt;.",EJ41),0),IFERROR(1/SUMIF(EJ42,"&lt;&gt;.",EJ42),0),IFERROR(1/SUMIF(EJ43,"&lt;&gt;.",EJ43),0),IFERROR(1/SUMIF(EJ44,"&lt;&gt;.",EJ44),0)),".")</f>
        <v>6.2944930628704016E-2</v>
      </c>
      <c r="EK31" s="190">
        <f>EJ31*(0.0000000000000028)*s_RadSpec!$AY3*s_RadSpec!$AF3</f>
        <v>1.8357798377161421E-11</v>
      </c>
      <c r="EL31" s="47">
        <f t="shared" ref="EL31" si="132">IFERROR(SUM(EL32:EL44),".")</f>
        <v>397.17234872369573</v>
      </c>
      <c r="EM31" s="47">
        <f t="shared" ref="EM31" si="133">IFERROR(SUM(EM32:EM44),".")</f>
        <v>2.234007947246628E-4</v>
      </c>
      <c r="EN31" s="47">
        <f t="shared" ref="EN31" si="134">IFERROR(SUM(EN32:EN44),".")</f>
        <v>397.17257212449044</v>
      </c>
    </row>
    <row r="32" spans="1:144" x14ac:dyDescent="0.25">
      <c r="A32" s="77" t="s">
        <v>1085</v>
      </c>
      <c r="B32" s="42">
        <v>1</v>
      </c>
      <c r="C32" s="42"/>
      <c r="D32" s="60">
        <f t="shared" ref="D32:O32" si="135">IFERROR(D3/$B32,".")</f>
        <v>0.9385036123004038</v>
      </c>
      <c r="E32" s="60">
        <f t="shared" si="135"/>
        <v>3.7540144492016148</v>
      </c>
      <c r="F32" s="60">
        <f t="shared" si="135"/>
        <v>3.7540144492016148</v>
      </c>
      <c r="G32" s="60">
        <f t="shared" si="135"/>
        <v>3.7540144492016148</v>
      </c>
      <c r="H32" s="60">
        <f t="shared" si="135"/>
        <v>3.7540144492016148</v>
      </c>
      <c r="I32" s="60">
        <f t="shared" si="135"/>
        <v>3.7540144492016148</v>
      </c>
      <c r="J32" s="60">
        <f t="shared" si="135"/>
        <v>3.7540144492016148</v>
      </c>
      <c r="K32" s="60">
        <f t="shared" si="135"/>
        <v>3.7540144492016148</v>
      </c>
      <c r="L32" s="60">
        <f t="shared" si="135"/>
        <v>3.7540144492016148</v>
      </c>
      <c r="M32" s="60">
        <f t="shared" si="135"/>
        <v>3.7540144492016148</v>
      </c>
      <c r="N32" s="60">
        <f t="shared" si="135"/>
        <v>3.7540144492016148</v>
      </c>
      <c r="O32" s="60">
        <f t="shared" si="135"/>
        <v>3.7540144492016148</v>
      </c>
      <c r="P32" s="111">
        <f>IFERROR(1/H32,".")</f>
        <v>0.26638149999999999</v>
      </c>
      <c r="Q32" s="111">
        <f t="shared" ref="Q32:W44" si="136">IFERROR(1/I32,".")</f>
        <v>0.26638149999999999</v>
      </c>
      <c r="R32" s="111">
        <f t="shared" si="136"/>
        <v>0.26638149999999999</v>
      </c>
      <c r="S32" s="111">
        <f t="shared" si="136"/>
        <v>0.26638149999999999</v>
      </c>
      <c r="T32" s="111">
        <f t="shared" si="136"/>
        <v>0.26638149999999999</v>
      </c>
      <c r="U32" s="111">
        <f t="shared" si="136"/>
        <v>0.26638149999999999</v>
      </c>
      <c r="V32" s="111">
        <f t="shared" si="136"/>
        <v>0.26638149999999999</v>
      </c>
      <c r="W32" s="111">
        <f t="shared" si="136"/>
        <v>0.26638149999999999</v>
      </c>
      <c r="X32" s="111">
        <f t="shared" si="59"/>
        <v>0.26638149999999999</v>
      </c>
      <c r="Y32" s="111">
        <f t="shared" si="59"/>
        <v>0.26638149999999999</v>
      </c>
      <c r="Z32" s="111">
        <f t="shared" si="59"/>
        <v>0.26638149999999999</v>
      </c>
      <c r="AA32" s="111">
        <f t="shared" si="59"/>
        <v>0.26638149999999999</v>
      </c>
      <c r="AB32" s="60">
        <f>IFERROR(AB3/$B32,".")</f>
        <v>0.3128345374334679</v>
      </c>
      <c r="AC32" s="247">
        <f>IFERROR(AC3/$B32,0)</f>
        <v>9.1237742360737002E-8</v>
      </c>
      <c r="AD32" s="49">
        <f>s_dir!BC32</f>
        <v>26.638150000000003</v>
      </c>
      <c r="AE32" s="49">
        <f>IF(E32=".",".",s_RadSpec!$F$3*AE3*$B$32)</f>
        <v>6.6595375000000008</v>
      </c>
      <c r="AF32" s="49">
        <f>IF(F32=".",".",s_RadSpec!$F$3*AF3*$B$32)</f>
        <v>6.6595375000000008</v>
      </c>
      <c r="AG32" s="49">
        <f>IF(G32=".",".",s_RadSpec!$F$3*AG3*$B$32)</f>
        <v>6.6595375000000008</v>
      </c>
      <c r="AH32" s="49">
        <f>IF(H32=".",".",s_RadSpec!$F$3*AH3*$B$32)</f>
        <v>6.6595375000000008</v>
      </c>
      <c r="AI32" s="49">
        <f>IF(I32=".",".",s_RadSpec!$F$3*AI3*$B$32)</f>
        <v>6.6595375000000008</v>
      </c>
      <c r="AJ32" s="49">
        <f>IF(J32=".",".",s_RadSpec!$F$3*AJ3*$B$32)</f>
        <v>6.6595375000000008</v>
      </c>
      <c r="AK32" s="49">
        <f>IF(K32=".",".",s_RadSpec!$F$3*AK3*$B$32)</f>
        <v>6.6595375000000008</v>
      </c>
      <c r="AL32" s="49">
        <f>IF(L32=".",".",s_RadSpec!$F$3*AL3*$B$32)</f>
        <v>6.6595375000000008</v>
      </c>
      <c r="AM32" s="49">
        <f>IF(M32=".",".",s_RadSpec!$F$3*AM3*$B$32)</f>
        <v>6.6595375000000008</v>
      </c>
      <c r="AN32" s="49">
        <f>IF(N32=".",".",s_RadSpec!$F$3*AN3*$B$32)</f>
        <v>6.6595375000000008</v>
      </c>
      <c r="AO32" s="49">
        <f>IF(O32=".",".",s_RadSpec!$F$3*AO3*$B$32)</f>
        <v>6.6595375000000008</v>
      </c>
      <c r="AP32" s="60">
        <f t="shared" ref="AP32:BD32" si="137">IFERROR(AP3/$B32,".")</f>
        <v>1877.0072246008076</v>
      </c>
      <c r="AQ32" s="60">
        <f t="shared" si="137"/>
        <v>42565.388120151685</v>
      </c>
      <c r="AR32" s="60">
        <f t="shared" si="137"/>
        <v>12433024.99314896</v>
      </c>
      <c r="AS32" s="60">
        <f t="shared" si="137"/>
        <v>67.746096569426214</v>
      </c>
      <c r="AT32" s="60">
        <f t="shared" si="137"/>
        <v>6.2566907486693579E-2</v>
      </c>
      <c r="AU32" s="60">
        <f t="shared" si="137"/>
        <v>6.2566907486693579E-3</v>
      </c>
      <c r="AV32" s="60">
        <f t="shared" si="137"/>
        <v>85.802944939405279</v>
      </c>
      <c r="AW32" s="60">
        <f t="shared" si="137"/>
        <v>105210.75391379457</v>
      </c>
      <c r="AX32" s="60">
        <f t="shared" si="137"/>
        <v>252.36160276295669</v>
      </c>
      <c r="AY32" s="60">
        <f t="shared" si="137"/>
        <v>7.1502454116171066</v>
      </c>
      <c r="AZ32" s="60">
        <f t="shared" si="137"/>
        <v>14.300490823234213</v>
      </c>
      <c r="BA32" s="60" t="str">
        <f t="shared" si="137"/>
        <v>.</v>
      </c>
      <c r="BB32" s="60">
        <f t="shared" si="137"/>
        <v>6404.1328469266264</v>
      </c>
      <c r="BC32" s="60">
        <f t="shared" si="137"/>
        <v>390.01338608820583</v>
      </c>
      <c r="BD32" s="60" t="str">
        <f t="shared" si="137"/>
        <v>.</v>
      </c>
      <c r="BE32" s="111">
        <f t="shared" si="69"/>
        <v>5.3276300000000001E-4</v>
      </c>
      <c r="BF32" s="111">
        <f t="shared" si="70"/>
        <v>2.349326634065322E-5</v>
      </c>
      <c r="BG32" s="111">
        <f t="shared" si="71"/>
        <v>8.0430949069195605E-8</v>
      </c>
      <c r="BH32" s="111">
        <f t="shared" si="72"/>
        <v>1.4760998059500001E-2</v>
      </c>
      <c r="BI32" s="111">
        <f t="shared" si="73"/>
        <v>15.982890000000001</v>
      </c>
      <c r="BJ32" s="111">
        <f t="shared" si="74"/>
        <v>159.8289</v>
      </c>
      <c r="BK32" s="111">
        <f t="shared" si="75"/>
        <v>1.1654611630244253E-2</v>
      </c>
      <c r="BL32" s="111">
        <f t="shared" si="76"/>
        <v>9.5047318149564775E-6</v>
      </c>
      <c r="BM32" s="111">
        <f t="shared" si="77"/>
        <v>3.962567954283046E-3</v>
      </c>
      <c r="BN32" s="111">
        <f t="shared" si="78"/>
        <v>0.13985533956293103</v>
      </c>
      <c r="BO32" s="111">
        <f t="shared" si="79"/>
        <v>6.9927669781465515E-2</v>
      </c>
      <c r="BP32" s="111" t="str">
        <f t="shared" si="80"/>
        <v>.</v>
      </c>
      <c r="BQ32" s="111">
        <f t="shared" si="81"/>
        <v>1.5614916553142785E-4</v>
      </c>
      <c r="BR32" s="111">
        <f t="shared" si="82"/>
        <v>2.5640145586537356E-3</v>
      </c>
      <c r="BS32" s="111" t="str">
        <f t="shared" si="83"/>
        <v>.</v>
      </c>
      <c r="BT32" s="60">
        <f>IFERROR(BT3/$B32,".")</f>
        <v>5.6800355158343188E-3</v>
      </c>
      <c r="BU32" s="189">
        <f>IFERROR(BU3/$B32,0)</f>
        <v>1.6565741789419365E-9</v>
      </c>
      <c r="BV32" s="49">
        <f>IF(AP32=".",".",s_RadSpec!$E$3*BV3*$B$32)</f>
        <v>1.3319075000000001E-2</v>
      </c>
      <c r="BW32" s="49">
        <f>IF(AQ32=".",".",s_RadSpec!$H$3*BW3*$B$32)</f>
        <v>5.8733165851633041E-4</v>
      </c>
      <c r="BX32" s="49">
        <f>IF(AR32=".",".",s_RadSpec!$G$3*BX3*$B$32)</f>
        <v>2.0107737267298905E-6</v>
      </c>
      <c r="BY32" s="49">
        <f>s_b2s!CC32</f>
        <v>0.36902495148749997</v>
      </c>
      <c r="BZ32" s="49">
        <f>IF(AT32=".",".",s_RadSpec!$F$3*BZ3*$B$32)</f>
        <v>399.57225</v>
      </c>
      <c r="CA32" s="49">
        <f>IF(AU32=".",".",s_RadSpec!$F$3*CA3*$B$32)</f>
        <v>3995.7225000000003</v>
      </c>
      <c r="CB32" s="49">
        <f>IF(AV32=".",".",s_RadSpec!$F$3*CB3*$B$32)</f>
        <v>0.29136529075610634</v>
      </c>
      <c r="CC32" s="49">
        <f>IF(AW32=".",".",s_RadSpec!$F$3*CC3*$B$32)</f>
        <v>2.3761829537391195E-4</v>
      </c>
      <c r="CD32" s="49">
        <f>IF(AX32=".",".",s_RadSpec!$F$3*CD3*$B$32)</f>
        <v>9.9064198857076152E-2</v>
      </c>
      <c r="CE32" s="49">
        <f>IF(AY32=".",".",s_RadSpec!$F$3*CE3*$B$32)</f>
        <v>3.4963834890732755</v>
      </c>
      <c r="CF32" s="49">
        <f>IF(AZ32=".",".",s_RadSpec!$F$3*CF3*$B$32)</f>
        <v>1.7481917445366377</v>
      </c>
      <c r="CG32" s="49" t="str">
        <f>IF(BA32=".",".",s_RadSpec!$F$3*CG3*$B$32)</f>
        <v>.</v>
      </c>
      <c r="CH32" s="49">
        <f>IF(BB32=".",".",s_RadSpec!$F$3*CH3*$B$32)</f>
        <v>3.9037291382856961E-3</v>
      </c>
      <c r="CI32" s="49">
        <f>IF(BC32=".",".",s_RadSpec!$F$3*CI3*$B$32)</f>
        <v>6.4100363966343388E-2</v>
      </c>
      <c r="CJ32" s="49" t="str">
        <f>IF(BD32=".",".",s_RadSpec!$F$3*CJ3*$B$32)</f>
        <v>.</v>
      </c>
      <c r="CK32" s="49">
        <f>IFERROR(SUM(BV32:CJ32),".")</f>
        <v>4401.3809298035439</v>
      </c>
      <c r="CL32" s="60">
        <f>IFERROR(CL3/$B32,".")</f>
        <v>20.64707947060888</v>
      </c>
      <c r="CM32" s="60" t="str">
        <f>IFERROR(CM3,".")</f>
        <v>.</v>
      </c>
      <c r="CN32" s="60">
        <f t="shared" ref="CN32:CZ32" si="138">IFERROR(CN3/$B32,".")</f>
        <v>1107197.2990957496</v>
      </c>
      <c r="CO32" s="60">
        <f t="shared" si="138"/>
        <v>79.757261120264914</v>
      </c>
      <c r="CP32" s="60">
        <f t="shared" si="138"/>
        <v>15.641726871673395</v>
      </c>
      <c r="CQ32" s="60">
        <f t="shared" si="138"/>
        <v>1.5641726871673396</v>
      </c>
      <c r="CR32" s="60">
        <f t="shared" si="138"/>
        <v>1501605.7796806458</v>
      </c>
      <c r="CS32" s="60">
        <f t="shared" si="138"/>
        <v>1841254706.0369823</v>
      </c>
      <c r="CT32" s="60">
        <f t="shared" si="138"/>
        <v>4416487.5872960165</v>
      </c>
      <c r="CU32" s="60">
        <f t="shared" si="138"/>
        <v>125133.81497338715</v>
      </c>
      <c r="CV32" s="60">
        <f t="shared" si="138"/>
        <v>250267.62994677431</v>
      </c>
      <c r="CW32" s="60" t="str">
        <f t="shared" si="138"/>
        <v>.</v>
      </c>
      <c r="CX32" s="60">
        <f t="shared" si="138"/>
        <v>112076373.41094677</v>
      </c>
      <c r="CY32" s="60">
        <f t="shared" si="138"/>
        <v>6825480.8167302087</v>
      </c>
      <c r="CZ32" s="60" t="str">
        <f t="shared" si="138"/>
        <v>.</v>
      </c>
      <c r="DA32" s="111">
        <f t="shared" si="101"/>
        <v>4.8433000000000004E-2</v>
      </c>
      <c r="DB32" s="111" t="str">
        <f t="shared" si="102"/>
        <v>.</v>
      </c>
      <c r="DC32" s="111">
        <f t="shared" si="103"/>
        <v>9.0318139397260287E-7</v>
      </c>
      <c r="DD32" s="111">
        <f t="shared" si="104"/>
        <v>1.2538043382559405E-2</v>
      </c>
      <c r="DE32" s="111">
        <f t="shared" si="105"/>
        <v>6.3931559999999998E-2</v>
      </c>
      <c r="DF32" s="111">
        <f t="shared" si="106"/>
        <v>0.63931559999999998</v>
      </c>
      <c r="DG32" s="111">
        <f t="shared" si="107"/>
        <v>6.6595375000000011E-7</v>
      </c>
      <c r="DH32" s="111">
        <f t="shared" si="108"/>
        <v>5.4310791262135934E-10</v>
      </c>
      <c r="DI32" s="111">
        <f t="shared" si="109"/>
        <v>2.2642427500000006E-7</v>
      </c>
      <c r="DJ32" s="111">
        <f t="shared" si="110"/>
        <v>7.9914450000000009E-6</v>
      </c>
      <c r="DK32" s="111">
        <f t="shared" si="111"/>
        <v>3.9957225000000004E-6</v>
      </c>
      <c r="DL32" s="111" t="str">
        <f t="shared" si="112"/>
        <v>.</v>
      </c>
      <c r="DM32" s="111">
        <f t="shared" si="113"/>
        <v>8.92248713592233E-9</v>
      </c>
      <c r="DN32" s="111">
        <f t="shared" si="114"/>
        <v>1.4650982500000001E-7</v>
      </c>
      <c r="DO32" s="111" t="str">
        <f t="shared" si="115"/>
        <v>.</v>
      </c>
      <c r="DP32" s="60">
        <f>IFERROR(DP3/$B32,".")</f>
        <v>1.3085029337707574</v>
      </c>
      <c r="DQ32" s="189">
        <f t="shared" ref="DQ32" si="139">IFERROR(DQ3/$B32,0)</f>
        <v>3.8162299639001682E-10</v>
      </c>
      <c r="DR32" s="49">
        <f>IF(CL32=".",".",s_RadSpec!$I$3*DR3*$B$32)</f>
        <v>1.210825</v>
      </c>
      <c r="DS32" s="49" t="str">
        <f>IF(CM32=".",".",s_RadSpec!$H$3*DS3)</f>
        <v>.</v>
      </c>
      <c r="DT32" s="49">
        <f>IF(CN32=".",".",s_RadSpec!$M$3*DT3*$B$32)</f>
        <v>2.257953484931507E-5</v>
      </c>
      <c r="DU32" s="49">
        <f>s_b2w!CC32</f>
        <v>0.31345108456398507</v>
      </c>
      <c r="DV32" s="49">
        <f>IF(CP32=".",".",s_RadSpec!$F$3*DV3*$B$32)</f>
        <v>1.5982890000000001</v>
      </c>
      <c r="DW32" s="49">
        <f>IF(CQ32=".",".",s_RadSpec!$F$3*DW3*$B$32)</f>
        <v>15.982890000000001</v>
      </c>
      <c r="DX32" s="49">
        <f>IF(CR32=".",".",s_RadSpec!$F$3*DX3*$B$32)</f>
        <v>1.664884375E-5</v>
      </c>
      <c r="DY32" s="49">
        <f>IF(CS32=".",".",s_RadSpec!$F$3*DY3*$B$32)</f>
        <v>1.3577697815533983E-8</v>
      </c>
      <c r="DZ32" s="49">
        <f>IF(CT32=".",".",s_RadSpec!$F$3*DZ3*$B$32)</f>
        <v>5.6606068750000001E-6</v>
      </c>
      <c r="EA32" s="49">
        <f>IF(CU32=".",".",s_RadSpec!$F$3*EA3*$B$32)</f>
        <v>1.9978612500000002E-4</v>
      </c>
      <c r="EB32" s="49">
        <f>IF(CV32=".",".",s_RadSpec!$F$3*EB3*$B$32)</f>
        <v>9.9893062500000008E-5</v>
      </c>
      <c r="EC32" s="49" t="str">
        <f>IF(CW32=".",".",s_RadSpec!$F$3*EC3*$B$32)</f>
        <v>.</v>
      </c>
      <c r="ED32" s="49">
        <f>IF(CX32=".",".",s_RadSpec!$F$3*ED3*$B$32)</f>
        <v>2.2306217839805826E-7</v>
      </c>
      <c r="EE32" s="49">
        <f>IF(CY32=".",".",s_RadSpec!$F$3*EE3*$B$32)</f>
        <v>3.6627456249999999E-6</v>
      </c>
      <c r="EF32" s="49" t="str">
        <f>IF(CZ32=".",".",s_RadSpec!$F$3*EF3*$B$32)</f>
        <v>.</v>
      </c>
      <c r="EG32" s="49">
        <f>IFERROR(SUM(DR32:EF32),".")</f>
        <v>19.105803552122456</v>
      </c>
      <c r="EH32" s="60">
        <f>IFERROR(EH3/$B32,".")</f>
        <v>0.13739463280747685</v>
      </c>
      <c r="EI32" s="60">
        <f>IFERROR(EI3/$B32,".")</f>
        <v>4059723.4300177488</v>
      </c>
      <c r="EJ32" s="60">
        <f>IFERROR(EJ3/$B32,".")</f>
        <v>0.13739462815758263</v>
      </c>
      <c r="EK32" s="189">
        <f t="shared" ref="EK32" si="140">IFERROR(EK3/$B32,0)</f>
        <v>4.0070945453894429E-11</v>
      </c>
      <c r="EL32" s="49">
        <f>IF(EH32=".",".",s_RadSpec!$H$3*EL3*$B$32)</f>
        <v>181.95761718749998</v>
      </c>
      <c r="EM32" s="49">
        <f>IF(EI32=".",".",s_RadSpec!$K$3*EM3*$B$32)</f>
        <v>6.1580549589041093E-6</v>
      </c>
      <c r="EN32" s="49">
        <f>IFERROR(SUM(EL32:EM32),".")</f>
        <v>181.95762334555494</v>
      </c>
    </row>
    <row r="33" spans="1:144" x14ac:dyDescent="0.25">
      <c r="A33" s="77" t="s">
        <v>1061</v>
      </c>
      <c r="B33" s="42">
        <v>1</v>
      </c>
      <c r="C33" s="42"/>
      <c r="D33" s="60">
        <f t="shared" ref="D33:O34" si="141">IFERROR(D13/$B33,".")</f>
        <v>1.7869108778199687</v>
      </c>
      <c r="E33" s="60">
        <f t="shared" si="141"/>
        <v>7.1476435112798749</v>
      </c>
      <c r="F33" s="60">
        <f t="shared" si="141"/>
        <v>7.1476435112798749</v>
      </c>
      <c r="G33" s="60">
        <f t="shared" si="141"/>
        <v>7.1476435112798749</v>
      </c>
      <c r="H33" s="60">
        <f t="shared" si="141"/>
        <v>7.1476435112798749</v>
      </c>
      <c r="I33" s="60">
        <f t="shared" si="141"/>
        <v>7.1476435112798749</v>
      </c>
      <c r="J33" s="60">
        <f t="shared" si="141"/>
        <v>7.1476435112798749</v>
      </c>
      <c r="K33" s="60">
        <f t="shared" si="141"/>
        <v>7.1476435112798749</v>
      </c>
      <c r="L33" s="60">
        <f t="shared" si="141"/>
        <v>7.1476435112798749</v>
      </c>
      <c r="M33" s="60">
        <f t="shared" si="141"/>
        <v>7.1476435112798749</v>
      </c>
      <c r="N33" s="60">
        <f t="shared" si="141"/>
        <v>7.1476435112798749</v>
      </c>
      <c r="O33" s="60">
        <f t="shared" si="141"/>
        <v>7.1476435112798749</v>
      </c>
      <c r="P33" s="111">
        <f t="shared" ref="P33:P44" si="142">IFERROR(1/H33,".")</f>
        <v>0.13990625000000001</v>
      </c>
      <c r="Q33" s="111">
        <f t="shared" si="136"/>
        <v>0.13990625000000001</v>
      </c>
      <c r="R33" s="111">
        <f t="shared" si="136"/>
        <v>0.13990625000000001</v>
      </c>
      <c r="S33" s="111">
        <f t="shared" si="136"/>
        <v>0.13990625000000001</v>
      </c>
      <c r="T33" s="111">
        <f t="shared" si="136"/>
        <v>0.13990625000000001</v>
      </c>
      <c r="U33" s="111">
        <f t="shared" si="136"/>
        <v>0.13990625000000001</v>
      </c>
      <c r="V33" s="111">
        <f t="shared" si="136"/>
        <v>0.13990625000000001</v>
      </c>
      <c r="W33" s="111">
        <f t="shared" si="136"/>
        <v>0.13990625000000001</v>
      </c>
      <c r="X33" s="111">
        <f t="shared" si="59"/>
        <v>0.13990625000000001</v>
      </c>
      <c r="Y33" s="111">
        <f t="shared" si="59"/>
        <v>0.13990625000000001</v>
      </c>
      <c r="Z33" s="111">
        <f t="shared" si="59"/>
        <v>0.13990625000000001</v>
      </c>
      <c r="AA33" s="111">
        <f t="shared" si="59"/>
        <v>0.13990625000000001</v>
      </c>
      <c r="AB33" s="60">
        <f t="shared" ref="AB33:AB34" si="143">IFERROR(AB13/$B33,".")</f>
        <v>0.59563695927332272</v>
      </c>
      <c r="AC33" s="247">
        <f>IFERROR(AC13/$B33,0)</f>
        <v>8.4744748715657786E-4</v>
      </c>
      <c r="AD33" s="49">
        <f>s_dir!BC33</f>
        <v>13.990625000000001</v>
      </c>
      <c r="AE33" s="49">
        <f>IF(E33=".",".",s_RadSpec!$F$13*AE13*$B$33)</f>
        <v>3.4976562500000004</v>
      </c>
      <c r="AF33" s="49">
        <f>IF(F33=".",".",s_RadSpec!$F$13*AF13*$B$33)</f>
        <v>3.4976562500000004</v>
      </c>
      <c r="AG33" s="49">
        <f>IF(G33=".",".",s_RadSpec!$F$13*AG13*$B$33)</f>
        <v>3.4976562500000004</v>
      </c>
      <c r="AH33" s="49">
        <f>IF(H33=".",".",s_RadSpec!$F$13*AH13*$B$33)</f>
        <v>3.4976562500000004</v>
      </c>
      <c r="AI33" s="49">
        <f>IF(I33=".",".",s_RadSpec!$F$13*AI13*$B$33)</f>
        <v>3.4976562500000004</v>
      </c>
      <c r="AJ33" s="49">
        <f>IF(J33=".",".",s_RadSpec!$F$13*AJ13*$B$33)</f>
        <v>3.4976562500000004</v>
      </c>
      <c r="AK33" s="49">
        <f>IF(K33=".",".",s_RadSpec!$F$13*AK13*$B$33)</f>
        <v>3.4976562500000004</v>
      </c>
      <c r="AL33" s="49">
        <f>IF(L33=".",".",s_RadSpec!$F$13*AL13*$B$33)</f>
        <v>3.4976562500000004</v>
      </c>
      <c r="AM33" s="49">
        <f>IF(M33=".",".",s_RadSpec!$F$13*AM13*$B$33)</f>
        <v>3.4976562500000004</v>
      </c>
      <c r="AN33" s="49">
        <f>IF(N33=".",".",s_RadSpec!$F$13*AN13*$B$33)</f>
        <v>3.4976562500000004</v>
      </c>
      <c r="AO33" s="49">
        <f>IF(O33=".",".",s_RadSpec!$F$13*AO13*$B$33)</f>
        <v>3.4976562500000004</v>
      </c>
      <c r="AP33" s="60">
        <f t="shared" ref="AP33:BD34" si="144">IFERROR(AP13/$B33,".")</f>
        <v>3573.8217556399372</v>
      </c>
      <c r="AQ33" s="60">
        <f t="shared" si="144"/>
        <v>331401.95036403817</v>
      </c>
      <c r="AR33" s="60">
        <f t="shared" si="144"/>
        <v>170213.35873318999</v>
      </c>
      <c r="AS33" s="60">
        <f t="shared" si="144"/>
        <v>75.080288984032308</v>
      </c>
      <c r="AT33" s="60">
        <f t="shared" si="144"/>
        <v>4.7650956741865834E-2</v>
      </c>
      <c r="AU33" s="60">
        <f t="shared" si="144"/>
        <v>1.5047670550062895E-4</v>
      </c>
      <c r="AV33" s="60">
        <f t="shared" si="144"/>
        <v>813.00210554842181</v>
      </c>
      <c r="AW33" s="60">
        <f t="shared" si="144"/>
        <v>83739.216871487457</v>
      </c>
      <c r="AX33" s="60" t="str">
        <f t="shared" si="144"/>
        <v>.</v>
      </c>
      <c r="AY33" s="60" t="str">
        <f t="shared" si="144"/>
        <v>.</v>
      </c>
      <c r="AZ33" s="60" t="str">
        <f t="shared" si="144"/>
        <v>.</v>
      </c>
      <c r="BA33" s="60" t="str">
        <f t="shared" si="144"/>
        <v>.</v>
      </c>
      <c r="BB33" s="60">
        <f t="shared" si="144"/>
        <v>1579.9852239903291</v>
      </c>
      <c r="BC33" s="60">
        <f t="shared" si="144"/>
        <v>203.25052638710545</v>
      </c>
      <c r="BD33" s="60" t="str">
        <f t="shared" si="144"/>
        <v>.</v>
      </c>
      <c r="BE33" s="111">
        <f t="shared" si="69"/>
        <v>2.798125E-4</v>
      </c>
      <c r="BF33" s="111">
        <f t="shared" si="70"/>
        <v>3.0174837501756425E-6</v>
      </c>
      <c r="BG33" s="111">
        <f t="shared" si="71"/>
        <v>5.8749795400459926E-6</v>
      </c>
      <c r="BH33" s="111">
        <f t="shared" si="72"/>
        <v>1.3319074999999998E-2</v>
      </c>
      <c r="BI33" s="111">
        <f t="shared" si="73"/>
        <v>20.985937499999999</v>
      </c>
      <c r="BJ33" s="111">
        <f t="shared" si="74"/>
        <v>6645.546875</v>
      </c>
      <c r="BK33" s="111">
        <f t="shared" si="75"/>
        <v>1.2300091145833333E-3</v>
      </c>
      <c r="BL33" s="111">
        <f t="shared" si="76"/>
        <v>1.1941836063915856E-5</v>
      </c>
      <c r="BM33" s="111" t="str">
        <f t="shared" si="77"/>
        <v>.</v>
      </c>
      <c r="BN33" s="111" t="str">
        <f t="shared" si="78"/>
        <v>.</v>
      </c>
      <c r="BO33" s="111" t="str">
        <f t="shared" si="79"/>
        <v>.</v>
      </c>
      <c r="BP33" s="111" t="str">
        <f t="shared" si="80"/>
        <v>.</v>
      </c>
      <c r="BQ33" s="111">
        <f t="shared" si="81"/>
        <v>6.3291731138754041E-4</v>
      </c>
      <c r="BR33" s="111">
        <f t="shared" si="82"/>
        <v>4.9200364583333331E-3</v>
      </c>
      <c r="BS33" s="111" t="str">
        <f t="shared" si="83"/>
        <v>.</v>
      </c>
      <c r="BT33" s="60">
        <f t="shared" ref="BT33:BT34" si="145">IFERROR(BT13/$B33,".")</f>
        <v>1.5000255270178578E-4</v>
      </c>
      <c r="BU33" s="189">
        <f t="shared" ref="BU33:BU34" si="146">IFERROR(BU13/$B33,0)</f>
        <v>2.1341739187790844E-7</v>
      </c>
      <c r="BV33" s="49">
        <f>IF(AP33=".",".",s_RadSpec!$E$13*BV13*$B$33)</f>
        <v>6.9953125000000007E-3</v>
      </c>
      <c r="BW33" s="49">
        <f>IF(AQ33=".",".",s_RadSpec!$H$13*BW13*$B$33)</f>
        <v>7.5437093754391067E-5</v>
      </c>
      <c r="BX33" s="49">
        <f>IF(AR33=".",".",s_RadSpec!$G$13*BX13*$B$33)</f>
        <v>1.4687448850114981E-4</v>
      </c>
      <c r="BY33" s="49">
        <f>s_b2s!CC33</f>
        <v>0.33297687500000006</v>
      </c>
      <c r="BZ33" s="49">
        <f>IF(AT33=".",".",s_RadSpec!$F$13*BZ13*$B$33)</f>
        <v>524.6484375</v>
      </c>
      <c r="CA33" s="49">
        <f>IF(AU33=".",".",s_RadSpec!$F$13*CA13*$B$33)</f>
        <v>166138.671875</v>
      </c>
      <c r="CB33" s="49">
        <f>IF(AV33=".",".",s_RadSpec!$F$13*CB13*$B$33)</f>
        <v>3.0750227864583337E-2</v>
      </c>
      <c r="CC33" s="49">
        <f>IF(AW33=".",".",s_RadSpec!$F$13*CC13*$B$33)</f>
        <v>2.9854590159789643E-4</v>
      </c>
      <c r="CD33" s="49" t="str">
        <f>IF(AX33=".",".",s_RadSpec!$F$13*CD13*$B$33)</f>
        <v>.</v>
      </c>
      <c r="CE33" s="49" t="str">
        <f>IF(AY33=".",".",s_RadSpec!$F$13*CE13*$B$33)</f>
        <v>.</v>
      </c>
      <c r="CF33" s="49" t="str">
        <f>IF(AZ33=".",".",s_RadSpec!$F$13*CF13*$B$33)</f>
        <v>.</v>
      </c>
      <c r="CG33" s="49" t="str">
        <f>IF(BA33=".",".",s_RadSpec!$F$13*CG13*$B$33)</f>
        <v>.</v>
      </c>
      <c r="CH33" s="49">
        <f>IF(BB33=".",".",s_RadSpec!$F$13*CH13*$B$33)</f>
        <v>1.582293278468851E-2</v>
      </c>
      <c r="CI33" s="49">
        <f>IF(BC33=".",".",s_RadSpec!$F$13*CI13*$B$33)</f>
        <v>0.12300091145833335</v>
      </c>
      <c r="CJ33" s="49" t="str">
        <f>IF(BD33=".",".",s_RadSpec!$F$13*CJ13*$B$33)</f>
        <v>.</v>
      </c>
      <c r="CK33" s="49">
        <f t="shared" ref="CK33:CK44" si="147">IFERROR(SUM(BV33:CJ33),".")</f>
        <v>166663.83037961711</v>
      </c>
      <c r="CL33" s="60">
        <f t="shared" ref="CL33:CL34" si="148">IFERROR(CL13/$B33,".")</f>
        <v>39.31203931203931</v>
      </c>
      <c r="CM33" s="60" t="str">
        <f>IFERROR(CM13,".")</f>
        <v>.</v>
      </c>
      <c r="CN33" s="60">
        <f t="shared" ref="CN33:CZ34" si="149">IFERROR(CN13/$B33,".")</f>
        <v>883463.12984842202</v>
      </c>
      <c r="CO33" s="60">
        <f t="shared" si="149"/>
        <v>130.0193234834432</v>
      </c>
      <c r="CP33" s="60">
        <f t="shared" si="149"/>
        <v>238.25478370932916</v>
      </c>
      <c r="CQ33" s="60">
        <f t="shared" si="149"/>
        <v>0.75238352750314474</v>
      </c>
      <c r="CR33" s="60">
        <f t="shared" si="149"/>
        <v>14295287.022559751</v>
      </c>
      <c r="CS33" s="60">
        <f t="shared" si="149"/>
        <v>1472414563.3236544</v>
      </c>
      <c r="CT33" s="60" t="str">
        <f t="shared" si="149"/>
        <v>.</v>
      </c>
      <c r="CU33" s="60" t="str">
        <f t="shared" si="149"/>
        <v>.</v>
      </c>
      <c r="CV33" s="60" t="str">
        <f t="shared" si="149"/>
        <v>.</v>
      </c>
      <c r="CW33" s="60" t="str">
        <f t="shared" si="149"/>
        <v>.</v>
      </c>
      <c r="CX33" s="60">
        <f t="shared" si="149"/>
        <v>27781406.855163287</v>
      </c>
      <c r="CY33" s="60">
        <f t="shared" si="149"/>
        <v>3573821.7556399377</v>
      </c>
      <c r="CZ33" s="60" t="str">
        <f t="shared" si="149"/>
        <v>.</v>
      </c>
      <c r="DA33" s="111">
        <f t="shared" si="101"/>
        <v>2.5437500000000002E-2</v>
      </c>
      <c r="DB33" s="111" t="str">
        <f t="shared" si="102"/>
        <v>.</v>
      </c>
      <c r="DC33" s="111">
        <f t="shared" si="103"/>
        <v>1.1319091495890411E-6</v>
      </c>
      <c r="DD33" s="111">
        <f t="shared" si="104"/>
        <v>7.6911644608529369E-3</v>
      </c>
      <c r="DE33" s="111">
        <f t="shared" si="105"/>
        <v>4.1971875000000004E-3</v>
      </c>
      <c r="DF33" s="111">
        <f t="shared" si="106"/>
        <v>1.329109375</v>
      </c>
      <c r="DG33" s="111">
        <f t="shared" si="107"/>
        <v>6.9953124999999995E-8</v>
      </c>
      <c r="DH33" s="111">
        <f t="shared" si="108"/>
        <v>6.7915655339805816E-10</v>
      </c>
      <c r="DI33" s="111" t="str">
        <f t="shared" si="109"/>
        <v>.</v>
      </c>
      <c r="DJ33" s="111" t="str">
        <f t="shared" si="110"/>
        <v>.</v>
      </c>
      <c r="DK33" s="111" t="str">
        <f t="shared" si="111"/>
        <v>.</v>
      </c>
      <c r="DL33" s="111" t="str">
        <f t="shared" si="112"/>
        <v>.</v>
      </c>
      <c r="DM33" s="111">
        <f t="shared" si="113"/>
        <v>3.5995297330097089E-8</v>
      </c>
      <c r="DN33" s="111">
        <f t="shared" si="114"/>
        <v>2.7981249999999998E-7</v>
      </c>
      <c r="DO33" s="111" t="str">
        <f t="shared" si="115"/>
        <v>.</v>
      </c>
      <c r="DP33" s="60">
        <f t="shared" ref="DP33:DP34" si="150">IFERROR(DP13/$B33,".")</f>
        <v>0.73183043666838221</v>
      </c>
      <c r="DQ33" s="189">
        <f t="shared" ref="DQ33:DQ34" si="151">IFERROR(DQ13/$B33,0)</f>
        <v>1.0412179011456087E-6</v>
      </c>
      <c r="DR33" s="49">
        <f>IF(CL33=".",".",s_RadSpec!$I$13*DR13*$B$33)</f>
        <v>0.63593750000000004</v>
      </c>
      <c r="DS33" s="49" t="str">
        <f>IF(CM33=".",".",s_RadSpec!$H$13*DS13)</f>
        <v>.</v>
      </c>
      <c r="DT33" s="49">
        <f>IF(CN33=".",".",s_RadSpec!$M$13*DT13*$B$33)</f>
        <v>2.8297728739726028E-5</v>
      </c>
      <c r="DU33" s="49">
        <f>s_b2w!CC33</f>
        <v>0.1922791115213234</v>
      </c>
      <c r="DV33" s="49">
        <f>IF(CP33=".",".",s_RadSpec!$F$13*DV13*$B$33)</f>
        <v>0.10492968750000001</v>
      </c>
      <c r="DW33" s="49">
        <f>IF(CQ33=".",".",s_RadSpec!$F$13*DW13*$B$33)</f>
        <v>33.227734375000004</v>
      </c>
      <c r="DX33" s="49">
        <f>IF(CR33=".",".",s_RadSpec!$F$13*DX13*$B$33)</f>
        <v>1.7488281250000002E-6</v>
      </c>
      <c r="DY33" s="49">
        <f>IF(CS33=".",".",s_RadSpec!$F$13*DY13*$B$33)</f>
        <v>1.6978913834951456E-8</v>
      </c>
      <c r="DZ33" s="49" t="str">
        <f>IF(CT33=".",".",s_RadSpec!$F$13*DZ13*$B$33)</f>
        <v>.</v>
      </c>
      <c r="EA33" s="49" t="str">
        <f>IF(CU33=".",".",s_RadSpec!$F$13*EA13*$B$33)</f>
        <v>.</v>
      </c>
      <c r="EB33" s="49" t="str">
        <f>IF(CV33=".",".",s_RadSpec!$F$13*EB13*$B$33)</f>
        <v>.</v>
      </c>
      <c r="EC33" s="49" t="str">
        <f>IF(CW33=".",".",s_RadSpec!$F$13*EC13*$B$33)</f>
        <v>.</v>
      </c>
      <c r="ED33" s="49">
        <f>IF(CX33=".",".",s_RadSpec!$F$13*ED13*$B$33)</f>
        <v>8.9988243325242722E-7</v>
      </c>
      <c r="EE33" s="49">
        <f>IF(CY33=".",".",s_RadSpec!$F$13*EE13*$B$33)</f>
        <v>6.9953125000000006E-6</v>
      </c>
      <c r="EF33" s="49" t="str">
        <f>IF(CZ33=".",".",s_RadSpec!$F$13*EF13*$B$33)</f>
        <v>.</v>
      </c>
      <c r="EG33" s="49">
        <f t="shared" ref="EG33:EG44" si="152">IFERROR(SUM(DR33:EF33),".")</f>
        <v>34.160918632752043</v>
      </c>
      <c r="EH33" s="60">
        <f t="shared" ref="EH33:EJ34" si="153">IFERROR(EH13/$B33,".")</f>
        <v>1.0697153554296412</v>
      </c>
      <c r="EI33" s="60">
        <f t="shared" si="153"/>
        <v>3172249.0057813111</v>
      </c>
      <c r="EJ33" s="60">
        <f t="shared" si="153"/>
        <v>1.0697149947106201</v>
      </c>
      <c r="EK33" s="189">
        <f t="shared" ref="EK33:EK34" si="154">IFERROR(EK13/$B33,0)</f>
        <v>1.5219459943304904E-6</v>
      </c>
      <c r="EL33" s="49">
        <f>IF(EH33=".",".",s_RadSpec!$H$13*EL13*$B$33)</f>
        <v>23.370703124999999</v>
      </c>
      <c r="EM33" s="49">
        <f>IF(EI33=".",".",s_RadSpec!$K$13*EM13*$B$33)</f>
        <v>7.8808441438356164E-6</v>
      </c>
      <c r="EN33" s="49">
        <f t="shared" ref="EN33:EN76" si="155">IFERROR(SUM(EL33:EM33),".")</f>
        <v>23.370711005844143</v>
      </c>
    </row>
    <row r="34" spans="1:144" x14ac:dyDescent="0.25">
      <c r="A34" s="77" t="s">
        <v>1062</v>
      </c>
      <c r="B34" s="42">
        <v>1</v>
      </c>
      <c r="C34" s="42"/>
      <c r="D34" s="60">
        <f t="shared" si="141"/>
        <v>169.21504524810311</v>
      </c>
      <c r="E34" s="60">
        <f t="shared" si="141"/>
        <v>676.86018099241244</v>
      </c>
      <c r="F34" s="60">
        <f t="shared" si="141"/>
        <v>676.86018099241244</v>
      </c>
      <c r="G34" s="60">
        <f t="shared" si="141"/>
        <v>676.86018099241244</v>
      </c>
      <c r="H34" s="60">
        <f t="shared" si="141"/>
        <v>676.86018099241244</v>
      </c>
      <c r="I34" s="60">
        <f t="shared" si="141"/>
        <v>676.86018099241244</v>
      </c>
      <c r="J34" s="60">
        <f t="shared" si="141"/>
        <v>676.86018099241244</v>
      </c>
      <c r="K34" s="60">
        <f t="shared" si="141"/>
        <v>676.86018099241244</v>
      </c>
      <c r="L34" s="60">
        <f t="shared" si="141"/>
        <v>676.86018099241244</v>
      </c>
      <c r="M34" s="60">
        <f t="shared" si="141"/>
        <v>676.86018099241244</v>
      </c>
      <c r="N34" s="60">
        <f t="shared" si="141"/>
        <v>676.86018099241244</v>
      </c>
      <c r="O34" s="60">
        <f t="shared" si="141"/>
        <v>676.86018099241244</v>
      </c>
      <c r="P34" s="111">
        <f t="shared" si="142"/>
        <v>1.47741E-3</v>
      </c>
      <c r="Q34" s="111">
        <f t="shared" si="136"/>
        <v>1.47741E-3</v>
      </c>
      <c r="R34" s="111">
        <f t="shared" si="136"/>
        <v>1.47741E-3</v>
      </c>
      <c r="S34" s="111">
        <f t="shared" si="136"/>
        <v>1.47741E-3</v>
      </c>
      <c r="T34" s="111">
        <f t="shared" si="136"/>
        <v>1.47741E-3</v>
      </c>
      <c r="U34" s="111">
        <f t="shared" si="136"/>
        <v>1.47741E-3</v>
      </c>
      <c r="V34" s="111">
        <f t="shared" si="136"/>
        <v>1.47741E-3</v>
      </c>
      <c r="W34" s="111">
        <f t="shared" si="136"/>
        <v>1.47741E-3</v>
      </c>
      <c r="X34" s="111">
        <f t="shared" si="59"/>
        <v>1.47741E-3</v>
      </c>
      <c r="Y34" s="111">
        <f t="shared" si="59"/>
        <v>1.47741E-3</v>
      </c>
      <c r="Z34" s="111">
        <f t="shared" si="59"/>
        <v>1.47741E-3</v>
      </c>
      <c r="AA34" s="111">
        <f t="shared" si="59"/>
        <v>1.47741E-3</v>
      </c>
      <c r="AB34" s="60">
        <f t="shared" si="143"/>
        <v>56.405015082701034</v>
      </c>
      <c r="AC34" s="247">
        <f>IFERROR(AC14/$B34,0)</f>
        <v>2.7187635748713516E-9</v>
      </c>
      <c r="AD34" s="49">
        <f>s_dir!BC34</f>
        <v>0.14774100000000001</v>
      </c>
      <c r="AE34" s="49">
        <f>IF(E34=".",".",s_RadSpec!$F$14*AE14*$B$34)</f>
        <v>3.6935250000000003E-2</v>
      </c>
      <c r="AF34" s="49">
        <f>IF(F34=".",".",s_RadSpec!$F$14*AF14*$B$34)</f>
        <v>3.6935250000000003E-2</v>
      </c>
      <c r="AG34" s="49">
        <f>IF(G34=".",".",s_RadSpec!$F$14*AG14*$B$34)</f>
        <v>3.6935250000000003E-2</v>
      </c>
      <c r="AH34" s="49">
        <f>IF(H34=".",".",s_RadSpec!$F$14*AH14*$B$34)</f>
        <v>3.6935250000000003E-2</v>
      </c>
      <c r="AI34" s="49">
        <f>IF(I34=".",".",s_RadSpec!$F$14*AI14*$B$34)</f>
        <v>3.6935250000000003E-2</v>
      </c>
      <c r="AJ34" s="49">
        <f>IF(J34=".",".",s_RadSpec!$F$14*AJ14*$B$34)</f>
        <v>3.6935250000000003E-2</v>
      </c>
      <c r="AK34" s="49">
        <f>IF(K34=".",".",s_RadSpec!$F$14*AK14*$B$34)</f>
        <v>3.6935250000000003E-2</v>
      </c>
      <c r="AL34" s="49">
        <f>IF(L34=".",".",s_RadSpec!$F$14*AL14*$B$34)</f>
        <v>3.6935250000000003E-2</v>
      </c>
      <c r="AM34" s="49">
        <f>IF(M34=".",".",s_RadSpec!$F$14*AM14*$B$34)</f>
        <v>3.6935250000000003E-2</v>
      </c>
      <c r="AN34" s="49">
        <f>IF(N34=".",".",s_RadSpec!$F$14*AN14*$B$34)</f>
        <v>3.6935250000000003E-2</v>
      </c>
      <c r="AO34" s="49">
        <f>IF(O34=".",".",s_RadSpec!$F$14*AO14*$B$34)</f>
        <v>3.6935250000000003E-2</v>
      </c>
      <c r="AP34" s="60">
        <f t="shared" si="144"/>
        <v>338430.09049620619</v>
      </c>
      <c r="AQ34" s="60">
        <f t="shared" si="144"/>
        <v>915715915.47957909</v>
      </c>
      <c r="AR34" s="60">
        <f t="shared" si="144"/>
        <v>1683.1477564097947</v>
      </c>
      <c r="AS34" s="60">
        <f t="shared" si="144"/>
        <v>7200.6402233235358</v>
      </c>
      <c r="AT34" s="60">
        <f t="shared" si="144"/>
        <v>135372.03619848247</v>
      </c>
      <c r="AU34" s="60" t="str">
        <f t="shared" si="144"/>
        <v>.</v>
      </c>
      <c r="AV34" s="60">
        <f t="shared" si="144"/>
        <v>1353720.3619848248</v>
      </c>
      <c r="AW34" s="60">
        <f t="shared" si="144"/>
        <v>1394331.9728443695</v>
      </c>
      <c r="AX34" s="60" t="str">
        <f t="shared" si="144"/>
        <v>.</v>
      </c>
      <c r="AY34" s="60" t="str">
        <f t="shared" si="144"/>
        <v>.</v>
      </c>
      <c r="AZ34" s="60" t="str">
        <f t="shared" si="144"/>
        <v>.</v>
      </c>
      <c r="BA34" s="60" t="str">
        <f t="shared" si="144"/>
        <v>.</v>
      </c>
      <c r="BB34" s="60" t="str">
        <f t="shared" si="144"/>
        <v>.</v>
      </c>
      <c r="BC34" s="60" t="str">
        <f t="shared" si="144"/>
        <v>.</v>
      </c>
      <c r="BD34" s="60" t="str">
        <f t="shared" si="144"/>
        <v>.</v>
      </c>
      <c r="BE34" s="111">
        <f t="shared" si="69"/>
        <v>2.9548200000000002E-6</v>
      </c>
      <c r="BF34" s="111">
        <f t="shared" si="70"/>
        <v>1.0920417381588041E-9</v>
      </c>
      <c r="BG34" s="111">
        <f t="shared" si="71"/>
        <v>5.9412490447839845E-4</v>
      </c>
      <c r="BH34" s="111">
        <f t="shared" si="72"/>
        <v>1.3887654E-4</v>
      </c>
      <c r="BI34" s="111">
        <f t="shared" si="73"/>
        <v>7.3870500000000007E-6</v>
      </c>
      <c r="BJ34" s="111" t="str">
        <f t="shared" si="74"/>
        <v>.</v>
      </c>
      <c r="BK34" s="111">
        <f t="shared" si="75"/>
        <v>7.3870500000000005E-7</v>
      </c>
      <c r="BL34" s="111">
        <f t="shared" si="76"/>
        <v>7.1718932038834957E-7</v>
      </c>
      <c r="BM34" s="111" t="str">
        <f t="shared" si="77"/>
        <v>.</v>
      </c>
      <c r="BN34" s="111" t="str">
        <f t="shared" si="78"/>
        <v>.</v>
      </c>
      <c r="BO34" s="111" t="str">
        <f t="shared" si="79"/>
        <v>.</v>
      </c>
      <c r="BP34" s="111" t="str">
        <f t="shared" si="80"/>
        <v>.</v>
      </c>
      <c r="BQ34" s="111" t="str">
        <f t="shared" si="81"/>
        <v>.</v>
      </c>
      <c r="BR34" s="111" t="str">
        <f t="shared" si="82"/>
        <v>.</v>
      </c>
      <c r="BS34" s="111" t="str">
        <f t="shared" si="83"/>
        <v>.</v>
      </c>
      <c r="BT34" s="60">
        <f t="shared" si="145"/>
        <v>1342.6417777644235</v>
      </c>
      <c r="BU34" s="189">
        <f t="shared" si="146"/>
        <v>6.4716329818090186E-8</v>
      </c>
      <c r="BV34" s="49">
        <f>IF(AP34=".",".",s_RadSpec!$E$14*BV14*$B$34)</f>
        <v>7.3870500000000004E-5</v>
      </c>
      <c r="BW34" s="49">
        <f>IF(AQ34=".",".",s_RadSpec!$H$14*BW14*$B$34)</f>
        <v>2.7301043453970099E-8</v>
      </c>
      <c r="BX34" s="49">
        <f>IF(AR34=".",".",s_RadSpec!$G$14*BX14*$B$34)</f>
        <v>1.4853122611959962E-2</v>
      </c>
      <c r="BY34" s="49">
        <f>s_b2s!CC34</f>
        <v>3.4719135000000003E-3</v>
      </c>
      <c r="BZ34" s="49">
        <f>IF(AT34=".",".",s_RadSpec!$F$14*BZ14*$B$34)</f>
        <v>1.8467625E-4</v>
      </c>
      <c r="CA34" s="49" t="str">
        <f>IF(AU34=".",".",s_RadSpec!$F$14*CA14*$B$34)</f>
        <v>.</v>
      </c>
      <c r="CB34" s="49">
        <f>IF(AV34=".",".",s_RadSpec!$F$14*CB14*$B$34)</f>
        <v>1.8467625000000004E-5</v>
      </c>
      <c r="CC34" s="49">
        <f>IF(AW34=".",".",s_RadSpec!$F$14*CC14*$B$34)</f>
        <v>1.7929733009708742E-5</v>
      </c>
      <c r="CD34" s="49" t="str">
        <f>IF(AX34=".",".",s_RadSpec!$F$14*CD14*$B$34)</f>
        <v>.</v>
      </c>
      <c r="CE34" s="49" t="str">
        <f>IF(AY34=".",".",s_RadSpec!$F$14*CE14*$B$34)</f>
        <v>.</v>
      </c>
      <c r="CF34" s="49" t="str">
        <f>IF(AZ34=".",".",s_RadSpec!$F$14*CF14*$B$34)</f>
        <v>.</v>
      </c>
      <c r="CG34" s="49" t="str">
        <f>IF(BA34=".",".",s_RadSpec!$F$14*CG14*$B$34)</f>
        <v>.</v>
      </c>
      <c r="CH34" s="49" t="str">
        <f>IF(BB34=".",".",s_RadSpec!$F$14*CH14*$B$34)</f>
        <v>.</v>
      </c>
      <c r="CI34" s="49" t="str">
        <f>IF(BC34=".",".",s_RadSpec!$F$14*CI14*$B$34)</f>
        <v>.</v>
      </c>
      <c r="CJ34" s="49" t="str">
        <f>IF(BD34=".",".",s_RadSpec!$F$14*CJ14*$B$34)</f>
        <v>.</v>
      </c>
      <c r="CK34" s="49">
        <f t="shared" si="147"/>
        <v>1.8620007521013126E-2</v>
      </c>
      <c r="CL34" s="60">
        <f t="shared" si="148"/>
        <v>3722.7309954582679</v>
      </c>
      <c r="CM34" s="60" t="str">
        <f>IFERROR(CM14,".")</f>
        <v>.</v>
      </c>
      <c r="CN34" s="60">
        <f t="shared" si="149"/>
        <v>83994.277862436182</v>
      </c>
      <c r="CO34" s="60">
        <f t="shared" si="149"/>
        <v>12366.0720725506</v>
      </c>
      <c r="CP34" s="60">
        <f t="shared" si="149"/>
        <v>67686.018099241235</v>
      </c>
      <c r="CQ34" s="60" t="str">
        <f t="shared" si="149"/>
        <v>.</v>
      </c>
      <c r="CR34" s="60">
        <f t="shared" si="149"/>
        <v>27074407239.696495</v>
      </c>
      <c r="CS34" s="60">
        <f t="shared" si="149"/>
        <v>27886639456.88739</v>
      </c>
      <c r="CT34" s="60" t="str">
        <f t="shared" si="149"/>
        <v>.</v>
      </c>
      <c r="CU34" s="60" t="str">
        <f t="shared" si="149"/>
        <v>.</v>
      </c>
      <c r="CV34" s="60" t="str">
        <f t="shared" si="149"/>
        <v>.</v>
      </c>
      <c r="CW34" s="60" t="str">
        <f t="shared" si="149"/>
        <v>.</v>
      </c>
      <c r="CX34" s="60" t="str">
        <f t="shared" si="149"/>
        <v>.</v>
      </c>
      <c r="CY34" s="60" t="str">
        <f t="shared" si="149"/>
        <v>.</v>
      </c>
      <c r="CZ34" s="60" t="str">
        <f t="shared" si="149"/>
        <v>.</v>
      </c>
      <c r="DA34" s="111">
        <f t="shared" si="101"/>
        <v>2.6862000000000001E-4</v>
      </c>
      <c r="DB34" s="111" t="str">
        <f t="shared" si="102"/>
        <v>.</v>
      </c>
      <c r="DC34" s="111">
        <f t="shared" si="103"/>
        <v>1.1905572920547946E-5</v>
      </c>
      <c r="DD34" s="111">
        <f t="shared" si="104"/>
        <v>8.0866421781556223E-5</v>
      </c>
      <c r="DE34" s="111">
        <f t="shared" si="105"/>
        <v>1.4774100000000001E-5</v>
      </c>
      <c r="DF34" s="111" t="str">
        <f t="shared" si="106"/>
        <v>.</v>
      </c>
      <c r="DG34" s="111">
        <f t="shared" si="107"/>
        <v>3.6935250000000002E-11</v>
      </c>
      <c r="DH34" s="111">
        <f t="shared" si="108"/>
        <v>3.5859466019417478E-11</v>
      </c>
      <c r="DI34" s="111" t="str">
        <f t="shared" si="109"/>
        <v>.</v>
      </c>
      <c r="DJ34" s="111" t="str">
        <f t="shared" si="110"/>
        <v>.</v>
      </c>
      <c r="DK34" s="111" t="str">
        <f t="shared" si="111"/>
        <v>.</v>
      </c>
      <c r="DL34" s="111" t="str">
        <f t="shared" si="112"/>
        <v>.</v>
      </c>
      <c r="DM34" s="111" t="str">
        <f t="shared" si="113"/>
        <v>.</v>
      </c>
      <c r="DN34" s="111" t="str">
        <f t="shared" si="114"/>
        <v>.</v>
      </c>
      <c r="DO34" s="111" t="str">
        <f t="shared" si="115"/>
        <v>.</v>
      </c>
      <c r="DP34" s="60">
        <f t="shared" si="150"/>
        <v>2658.399628691895</v>
      </c>
      <c r="DQ34" s="189">
        <f t="shared" si="151"/>
        <v>1.2813683441697519E-10</v>
      </c>
      <c r="DR34" s="49">
        <f>IF(CL34=".",".",s_RadSpec!$I$14*DR14*$B$34)</f>
        <v>6.7155000000000001E-3</v>
      </c>
      <c r="DS34" s="49" t="str">
        <f>IF(CM34=".",".",s_RadSpec!$H$14*DS14)</f>
        <v>.</v>
      </c>
      <c r="DT34" s="49">
        <f>IF(CN34=".",".",s_RadSpec!$M$14*DT14*$B$34)</f>
        <v>2.9763932301369862E-4</v>
      </c>
      <c r="DU34" s="49">
        <f>s_b2w!CC34</f>
        <v>2.0216605445389055E-3</v>
      </c>
      <c r="DV34" s="49">
        <f>IF(CP34=".",".",s_RadSpec!$F$14*DV14*$B$34)</f>
        <v>3.6935249999999999E-4</v>
      </c>
      <c r="DW34" s="49" t="str">
        <f>IF(CQ34=".",".",s_RadSpec!$F$14*DW14*$B$34)</f>
        <v>.</v>
      </c>
      <c r="DX34" s="49">
        <f>IF(CR34=".",".",s_RadSpec!$F$14*DX14*$B$34)</f>
        <v>9.2338125000000016E-10</v>
      </c>
      <c r="DY34" s="49">
        <f>IF(CS34=".",".",s_RadSpec!$F$14*DY14*$B$34)</f>
        <v>8.9648665048543698E-10</v>
      </c>
      <c r="DZ34" s="49" t="str">
        <f>IF(CT34=".",".",s_RadSpec!$F$14*DZ14*$B$34)</f>
        <v>.</v>
      </c>
      <c r="EA34" s="49" t="str">
        <f>IF(CU34=".",".",s_RadSpec!$F$14*EA14*$B$34)</f>
        <v>.</v>
      </c>
      <c r="EB34" s="49" t="str">
        <f>IF(CV34=".",".",s_RadSpec!$F$14*EB14*$B$34)</f>
        <v>.</v>
      </c>
      <c r="EC34" s="49" t="str">
        <f>IF(CW34=".",".",s_RadSpec!$F$14*EC14*$B$34)</f>
        <v>.</v>
      </c>
      <c r="ED34" s="49" t="str">
        <f>IF(CX34=".",".",s_RadSpec!$F$14*ED14*$B$34)</f>
        <v>.</v>
      </c>
      <c r="EE34" s="49" t="str">
        <f>IF(CY34=".",".",s_RadSpec!$F$14*EE14*$B$34)</f>
        <v>.</v>
      </c>
      <c r="EF34" s="49" t="str">
        <f>IF(CZ34=".",".",s_RadSpec!$F$14*EF14*$B$34)</f>
        <v>.</v>
      </c>
      <c r="EG34" s="49">
        <f t="shared" si="152"/>
        <v>9.4041541874205041E-3</v>
      </c>
      <c r="EH34" s="60">
        <f t="shared" si="153"/>
        <v>2955.7924294766399</v>
      </c>
      <c r="EI34" s="60">
        <f t="shared" si="153"/>
        <v>294297.10301746789</v>
      </c>
      <c r="EJ34" s="60">
        <f t="shared" si="153"/>
        <v>2926.4009280986129</v>
      </c>
      <c r="EK34" s="189">
        <f t="shared" si="154"/>
        <v>1.4105469588331564E-10</v>
      </c>
      <c r="EL34" s="49">
        <f>IF(EH34=".",".",s_RadSpec!$H$14*EL14*$B$34)</f>
        <v>8.4579687499999993E-3</v>
      </c>
      <c r="EM34" s="49">
        <f>IF(EI34=".",".",s_RadSpec!$K$14*EM14*$B$34)</f>
        <v>8.4948168852739734E-5</v>
      </c>
      <c r="EN34" s="49">
        <f t="shared" si="155"/>
        <v>8.5429169188527398E-3</v>
      </c>
    </row>
    <row r="35" spans="1:144" x14ac:dyDescent="0.25">
      <c r="A35" s="77" t="s">
        <v>1063</v>
      </c>
      <c r="B35" s="42">
        <v>1</v>
      </c>
      <c r="C35" s="42"/>
      <c r="D35" s="60">
        <f t="shared" ref="D35:O35" si="156">IFERROR(D30/$B35,".")</f>
        <v>3.7103631183969448</v>
      </c>
      <c r="E35" s="60">
        <f t="shared" si="156"/>
        <v>14.841452473587779</v>
      </c>
      <c r="F35" s="60">
        <f t="shared" si="156"/>
        <v>14.841452473587779</v>
      </c>
      <c r="G35" s="60">
        <f t="shared" si="156"/>
        <v>14.841452473587779</v>
      </c>
      <c r="H35" s="60">
        <f t="shared" si="156"/>
        <v>14.841452473587779</v>
      </c>
      <c r="I35" s="60">
        <f t="shared" si="156"/>
        <v>14.841452473587779</v>
      </c>
      <c r="J35" s="60">
        <f t="shared" si="156"/>
        <v>14.841452473587779</v>
      </c>
      <c r="K35" s="60">
        <f t="shared" si="156"/>
        <v>14.841452473587779</v>
      </c>
      <c r="L35" s="60">
        <f t="shared" si="156"/>
        <v>14.841452473587779</v>
      </c>
      <c r="M35" s="60">
        <f t="shared" si="156"/>
        <v>14.841452473587779</v>
      </c>
      <c r="N35" s="60">
        <f t="shared" si="156"/>
        <v>14.841452473587779</v>
      </c>
      <c r="O35" s="60">
        <f t="shared" si="156"/>
        <v>14.841452473587779</v>
      </c>
      <c r="P35" s="111">
        <f t="shared" si="142"/>
        <v>6.7378850000000004E-2</v>
      </c>
      <c r="Q35" s="111">
        <f t="shared" si="136"/>
        <v>6.7378850000000004E-2</v>
      </c>
      <c r="R35" s="111">
        <f t="shared" si="136"/>
        <v>6.7378850000000004E-2</v>
      </c>
      <c r="S35" s="111">
        <f t="shared" si="136"/>
        <v>6.7378850000000004E-2</v>
      </c>
      <c r="T35" s="111">
        <f t="shared" si="136"/>
        <v>6.7378850000000004E-2</v>
      </c>
      <c r="U35" s="111">
        <f t="shared" si="136"/>
        <v>6.7378850000000004E-2</v>
      </c>
      <c r="V35" s="111">
        <f t="shared" si="136"/>
        <v>6.7378850000000004E-2</v>
      </c>
      <c r="W35" s="111">
        <f t="shared" si="136"/>
        <v>6.7378850000000004E-2</v>
      </c>
      <c r="X35" s="111">
        <f t="shared" si="59"/>
        <v>6.7378850000000004E-2</v>
      </c>
      <c r="Y35" s="111">
        <f t="shared" si="59"/>
        <v>6.7378850000000004E-2</v>
      </c>
      <c r="Z35" s="111">
        <f t="shared" si="59"/>
        <v>6.7378850000000004E-2</v>
      </c>
      <c r="AA35" s="111">
        <f t="shared" si="59"/>
        <v>6.7378850000000004E-2</v>
      </c>
      <c r="AB35" s="60">
        <f>IFERROR(AB30/$B35,".")</f>
        <v>1.2367877061323149</v>
      </c>
      <c r="AC35" s="247">
        <f>IFERROR(AC30/$B35,0)</f>
        <v>1.2845534367733098E-4</v>
      </c>
      <c r="AD35" s="49">
        <f>s_dir!BC35</f>
        <v>6.7378850000000003</v>
      </c>
      <c r="AE35" s="49">
        <f>IF(E35=".",".",s_RadSpec!$F$30*AE30*$B$35)</f>
        <v>1.6844712500000001</v>
      </c>
      <c r="AF35" s="49">
        <f>IF(F35=".",".",s_RadSpec!$F$30*AF30*$B$35)</f>
        <v>1.6844712500000001</v>
      </c>
      <c r="AG35" s="49">
        <f>IF(G35=".",".",s_RadSpec!$F$30*AG30*$B$35)</f>
        <v>1.6844712500000001</v>
      </c>
      <c r="AH35" s="49">
        <f>IF(H35=".",".",s_RadSpec!$F$30*AH30*$B$35)</f>
        <v>1.6844712500000001</v>
      </c>
      <c r="AI35" s="49">
        <f>IF(I35=".",".",s_RadSpec!$F$30*AI30*$B$35)</f>
        <v>1.6844712500000001</v>
      </c>
      <c r="AJ35" s="49">
        <f>IF(J35=".",".",s_RadSpec!$F$30*AJ30*$B$35)</f>
        <v>1.6844712500000001</v>
      </c>
      <c r="AK35" s="49">
        <f>IF(K35=".",".",s_RadSpec!$F$30*AK30*$B$35)</f>
        <v>1.6844712500000001</v>
      </c>
      <c r="AL35" s="49">
        <f>IF(L35=".",".",s_RadSpec!$F$30*AL30*$B$35)</f>
        <v>1.6844712500000001</v>
      </c>
      <c r="AM35" s="49">
        <f>IF(M35=".",".",s_RadSpec!$F$30*AM30*$B$35)</f>
        <v>1.6844712500000001</v>
      </c>
      <c r="AN35" s="49">
        <f>IF(N35=".",".",s_RadSpec!$F$30*AN30*$B$35)</f>
        <v>1.6844712500000001</v>
      </c>
      <c r="AO35" s="49">
        <f>IF(O35=".",".",s_RadSpec!$F$30*AO30*$B$35)</f>
        <v>1.6844712500000001</v>
      </c>
      <c r="AP35" s="60">
        <f t="shared" ref="AP35:BD35" si="157">IFERROR(AP30/$B35,".")</f>
        <v>7420.7262367938902</v>
      </c>
      <c r="AQ35" s="60">
        <f t="shared" si="157"/>
        <v>405404.32762979425</v>
      </c>
      <c r="AR35" s="60">
        <f t="shared" si="157"/>
        <v>6017373.2942312891</v>
      </c>
      <c r="AS35" s="60">
        <f t="shared" si="157"/>
        <v>194.15057590083828</v>
      </c>
      <c r="AT35" s="60">
        <f t="shared" si="157"/>
        <v>6.1839385306615746</v>
      </c>
      <c r="AU35" s="60">
        <f t="shared" si="157"/>
        <v>3.4921064643735955E-2</v>
      </c>
      <c r="AV35" s="60">
        <f t="shared" si="157"/>
        <v>430.53128111838117</v>
      </c>
      <c r="AW35" s="60">
        <f t="shared" si="157"/>
        <v>96.080230902918728</v>
      </c>
      <c r="AX35" s="60">
        <f t="shared" si="157"/>
        <v>3.816072719003833</v>
      </c>
      <c r="AY35" s="60">
        <f t="shared" si="157"/>
        <v>0.2238762661815582</v>
      </c>
      <c r="AZ35" s="60">
        <f t="shared" si="157"/>
        <v>0.1526429087601533</v>
      </c>
      <c r="BA35" s="60" t="str">
        <f t="shared" si="157"/>
        <v>.</v>
      </c>
      <c r="BB35" s="60">
        <f t="shared" si="157"/>
        <v>123.53172544660978</v>
      </c>
      <c r="BC35" s="60">
        <f t="shared" si="157"/>
        <v>83.953599818084314</v>
      </c>
      <c r="BD35" s="60" t="str">
        <f t="shared" si="157"/>
        <v>.</v>
      </c>
      <c r="BE35" s="111">
        <f t="shared" si="69"/>
        <v>1.3475769999999999E-4</v>
      </c>
      <c r="BF35" s="111">
        <f t="shared" si="70"/>
        <v>2.46667322434993E-6</v>
      </c>
      <c r="BG35" s="111">
        <f t="shared" si="71"/>
        <v>1.6618546849315063E-7</v>
      </c>
      <c r="BH35" s="111">
        <f t="shared" si="72"/>
        <v>5.1506414305500002E-3</v>
      </c>
      <c r="BI35" s="111">
        <f t="shared" si="73"/>
        <v>0.16170924</v>
      </c>
      <c r="BJ35" s="111">
        <f t="shared" si="74"/>
        <v>28.636011249999999</v>
      </c>
      <c r="BK35" s="111">
        <f t="shared" si="75"/>
        <v>2.3227115981034482E-3</v>
      </c>
      <c r="BL35" s="111">
        <f t="shared" si="76"/>
        <v>1.0407968326079679E-2</v>
      </c>
      <c r="BM35" s="111">
        <f t="shared" si="77"/>
        <v>0.26204951363218387</v>
      </c>
      <c r="BN35" s="111">
        <f t="shared" si="78"/>
        <v>4.4667530732758616</v>
      </c>
      <c r="BO35" s="111">
        <f t="shared" si="79"/>
        <v>6.5512378408045988</v>
      </c>
      <c r="BP35" s="111" t="str">
        <f t="shared" si="80"/>
        <v>.</v>
      </c>
      <c r="BQ35" s="111">
        <f t="shared" si="81"/>
        <v>8.0950864758397509E-3</v>
      </c>
      <c r="BR35" s="111">
        <f t="shared" si="82"/>
        <v>1.1911341528735634E-2</v>
      </c>
      <c r="BS35" s="111" t="str">
        <f t="shared" si="83"/>
        <v>.</v>
      </c>
      <c r="BT35" s="60">
        <f>IFERROR(BT30/$B35,".")</f>
        <v>2.4927842584547444E-2</v>
      </c>
      <c r="BU35" s="189">
        <f>IFERROR(BU30/$B35,0)</f>
        <v>2.5890575807436735E-6</v>
      </c>
      <c r="BV35" s="49">
        <f>IF(AP35=".",".",s_RadSpec!$E$30*BV30*$B$35)</f>
        <v>3.3689424999999999E-3</v>
      </c>
      <c r="BW35" s="49">
        <f>IF(AQ35=".",".",s_RadSpec!$H$30*BW30*$B$35)</f>
        <v>6.1666830608748247E-5</v>
      </c>
      <c r="BX35" s="49">
        <f>IF(AR35=".",".",s_RadSpec!$G$30*BX30*$B$35)</f>
        <v>4.1546367123287667E-6</v>
      </c>
      <c r="BY35" s="49">
        <f>s_b2s!CC35</f>
        <v>0.12876603576374998</v>
      </c>
      <c r="BZ35" s="49">
        <f>IF(AT35=".",".",s_RadSpec!$F$30*BZ30*$B$35)</f>
        <v>4.042730999999999</v>
      </c>
      <c r="CA35" s="49">
        <f>IF(AU35=".",".",s_RadSpec!$F$30*CA30*$B$35)</f>
        <v>715.90028125000003</v>
      </c>
      <c r="CB35" s="49">
        <f>IF(AV35=".",".",s_RadSpec!$F$30*CB30*$B$35)</f>
        <v>5.8067789952586206E-2</v>
      </c>
      <c r="CC35" s="49">
        <f>IF(AW35=".",".",s_RadSpec!$F$30*CC30*$B$35)</f>
        <v>0.26019920815199193</v>
      </c>
      <c r="CD35" s="49">
        <f>IF(AX35=".",".",s_RadSpec!$F$30*CD30*$B$35)</f>
        <v>6.5512378408045979</v>
      </c>
      <c r="CE35" s="49">
        <f>IF(AY35=".",".",s_RadSpec!$F$30*CE30*$B$35)</f>
        <v>111.66882683189655</v>
      </c>
      <c r="CF35" s="49">
        <f>IF(AZ35=".",".",s_RadSpec!$F$30*CF30*$B$35)</f>
        <v>163.78094602011492</v>
      </c>
      <c r="CG35" s="49" t="str">
        <f>IF(BA35=".",".",s_RadSpec!$F$30*CG30*$B$35)</f>
        <v>.</v>
      </c>
      <c r="CH35" s="49">
        <f>IF(BB35=".",".",s_RadSpec!$F$30*CH30*$B$35)</f>
        <v>0.20237716189599375</v>
      </c>
      <c r="CI35" s="49">
        <f>IF(BC35=".",".",s_RadSpec!$F$30*CI30*$B$35)</f>
        <v>0.29778353821839076</v>
      </c>
      <c r="CJ35" s="49" t="str">
        <f>IF(BD35=".",".",s_RadSpec!$F$30*CJ30*$B$35)</f>
        <v>.</v>
      </c>
      <c r="CK35" s="49">
        <f t="shared" si="147"/>
        <v>1002.8946514407662</v>
      </c>
      <c r="CL35" s="60">
        <f>IFERROR(CL30/$B35,".")</f>
        <v>81.627988604732792</v>
      </c>
      <c r="CM35" s="60" t="str">
        <f>IFERROR(CM30,".")</f>
        <v>.</v>
      </c>
      <c r="CN35" s="60">
        <f t="shared" ref="CN35:CZ35" si="158">IFERROR(CN30/$B35,".")</f>
        <v>72556759.174785301</v>
      </c>
      <c r="CO35" s="60">
        <f t="shared" si="158"/>
        <v>289.60812124349638</v>
      </c>
      <c r="CP35" s="60">
        <f t="shared" si="158"/>
        <v>15459.846326653937</v>
      </c>
      <c r="CQ35" s="60">
        <f t="shared" si="158"/>
        <v>87.302661609339864</v>
      </c>
      <c r="CR35" s="60">
        <f t="shared" si="158"/>
        <v>7611001.268506554</v>
      </c>
      <c r="CS35" s="60">
        <f t="shared" si="158"/>
        <v>1698521.7830883791</v>
      </c>
      <c r="CT35" s="60">
        <f t="shared" si="158"/>
        <v>67461.147607217179</v>
      </c>
      <c r="CU35" s="60">
        <f t="shared" si="158"/>
        <v>3957.7206596234078</v>
      </c>
      <c r="CV35" s="60">
        <f t="shared" si="158"/>
        <v>2698.4459042886874</v>
      </c>
      <c r="CW35" s="60" t="str">
        <f t="shared" si="158"/>
        <v>.</v>
      </c>
      <c r="CX35" s="60">
        <f t="shared" si="158"/>
        <v>2183813.7211136306</v>
      </c>
      <c r="CY35" s="60">
        <f t="shared" si="158"/>
        <v>1484145.2473587778</v>
      </c>
      <c r="CZ35" s="60" t="str">
        <f t="shared" si="158"/>
        <v>.</v>
      </c>
      <c r="DA35" s="111">
        <f t="shared" si="101"/>
        <v>1.22507E-2</v>
      </c>
      <c r="DB35" s="111" t="str">
        <f t="shared" si="102"/>
        <v>.</v>
      </c>
      <c r="DC35" s="111">
        <f t="shared" si="103"/>
        <v>1.3782313479452054E-8</v>
      </c>
      <c r="DD35" s="111">
        <f t="shared" si="104"/>
        <v>3.4529418432959658E-3</v>
      </c>
      <c r="DE35" s="111">
        <f t="shared" si="105"/>
        <v>6.4683696000000001E-5</v>
      </c>
      <c r="DF35" s="111">
        <f t="shared" si="106"/>
        <v>1.1454404500000003E-2</v>
      </c>
      <c r="DG35" s="111">
        <f t="shared" si="107"/>
        <v>1.3138875750000001E-7</v>
      </c>
      <c r="DH35" s="111">
        <f t="shared" si="108"/>
        <v>5.8874723300970879E-7</v>
      </c>
      <c r="DI35" s="111">
        <f t="shared" si="109"/>
        <v>1.4823347000000001E-5</v>
      </c>
      <c r="DJ35" s="111">
        <f t="shared" si="110"/>
        <v>2.526706875E-4</v>
      </c>
      <c r="DK35" s="111">
        <f t="shared" si="111"/>
        <v>3.7058367499999997E-4</v>
      </c>
      <c r="DL35" s="111" t="str">
        <f t="shared" si="112"/>
        <v>.</v>
      </c>
      <c r="DM35" s="111">
        <f t="shared" si="113"/>
        <v>4.5791451456310678E-7</v>
      </c>
      <c r="DN35" s="111">
        <f t="shared" si="114"/>
        <v>6.7378850000000012E-7</v>
      </c>
      <c r="DO35" s="111" t="str">
        <f t="shared" si="115"/>
        <v>.</v>
      </c>
      <c r="DP35" s="60">
        <f>IFERROR(DP30/$B35,".")</f>
        <v>35.890310549762212</v>
      </c>
      <c r="DQ35" s="189">
        <f t="shared" ref="DQ35" si="159">IFERROR(DQ30/$B35,0)</f>
        <v>3.7276423055442468E-6</v>
      </c>
      <c r="DR35" s="49">
        <f>IF(CL35=".",".",s_RadSpec!$I$30*DR30*$B$35)</f>
        <v>0.30626749999999997</v>
      </c>
      <c r="DS35" s="49" t="str">
        <f>IF(CM35=".",".",s_RadSpec!$H$30*DS30)</f>
        <v>.</v>
      </c>
      <c r="DT35" s="49">
        <f>IF(CN35=".",".",s_RadSpec!$M$30*DT30*$B$35)</f>
        <v>3.4455783698630136E-7</v>
      </c>
      <c r="DU35" s="49">
        <f>s_b2w!CC35</f>
        <v>8.6323546082399144E-2</v>
      </c>
      <c r="DV35" s="49">
        <f>IF(CP35=".",".",s_RadSpec!$F$30*DV30*$B$35)</f>
        <v>1.6170924E-3</v>
      </c>
      <c r="DW35" s="49">
        <f>IF(CQ35=".",".",s_RadSpec!$F$30*DW30*$B$35)</f>
        <v>0.28636011249999999</v>
      </c>
      <c r="DX35" s="49">
        <f>IF(CR35=".",".",s_RadSpec!$F$30*DX30*$B$35)</f>
        <v>3.2847189374999998E-6</v>
      </c>
      <c r="DY35" s="49">
        <f>IF(CS35=".",".",s_RadSpec!$F$30*DY30*$B$35)</f>
        <v>1.471868082524272E-5</v>
      </c>
      <c r="DZ35" s="49">
        <f>IF(CT35=".",".",s_RadSpec!$F$30*DZ30*$B$35)</f>
        <v>3.7058367500000003E-4</v>
      </c>
      <c r="EA35" s="49">
        <f>IF(CU35=".",".",s_RadSpec!$F$30*EA30*$B$35)</f>
        <v>6.3167671874999999E-3</v>
      </c>
      <c r="EB35" s="49">
        <f>IF(CV35=".",".",s_RadSpec!$F$30*EB30*$B$35)</f>
        <v>9.2645918750000004E-3</v>
      </c>
      <c r="EC35" s="49" t="str">
        <f>IF(CW35=".",".",s_RadSpec!$F$30*EC30*$B$35)</f>
        <v>.</v>
      </c>
      <c r="ED35" s="49">
        <f>IF(CX35=".",".",s_RadSpec!$F$30*ED30*$B$35)</f>
        <v>1.1447862864077671E-5</v>
      </c>
      <c r="EE35" s="49">
        <f>IF(CY35=".",".",s_RadSpec!$F$30*EE30*$B$35)</f>
        <v>1.6844712499999999E-5</v>
      </c>
      <c r="EF35" s="49" t="str">
        <f>IF(CZ35=".",".",s_RadSpec!$F$30*EF30*$B$35)</f>
        <v>.</v>
      </c>
      <c r="EG35" s="49">
        <f t="shared" si="152"/>
        <v>0.69656683425286281</v>
      </c>
      <c r="EH35" s="60">
        <f>IFERROR(EH30/$B35,".")</f>
        <v>1.3085838328556778</v>
      </c>
      <c r="EI35" s="60">
        <f>IFERROR(EI30/$B35,".")</f>
        <v>257371145.75206867</v>
      </c>
      <c r="EJ35" s="60">
        <f>IFERROR(EJ30/$B35,".")</f>
        <v>1.3085838262022838</v>
      </c>
      <c r="EK35" s="189">
        <f t="shared" ref="EK35" si="160">IFERROR(EK30/$B35,0)</f>
        <v>1.359122380437277E-7</v>
      </c>
      <c r="EL35" s="49">
        <f>IF(EH35=".",".",s_RadSpec!$H$30*EL30*$B$35)</f>
        <v>19.104622395833328</v>
      </c>
      <c r="EM35" s="49">
        <f>IF(EI35=".",".",s_RadSpec!$K$30*EM30*$B$35)</f>
        <v>9.7135985958904111E-8</v>
      </c>
      <c r="EN35" s="49">
        <f t="shared" si="155"/>
        <v>19.104622492969312</v>
      </c>
    </row>
    <row r="36" spans="1:144" x14ac:dyDescent="0.25">
      <c r="A36" s="77" t="s">
        <v>1064</v>
      </c>
      <c r="B36" s="42">
        <v>1</v>
      </c>
      <c r="C36" s="42"/>
      <c r="D36" s="60">
        <f t="shared" ref="D36:O36" si="161">IFERROR(D26/$B36,".")</f>
        <v>0.36677152664613477</v>
      </c>
      <c r="E36" s="60">
        <f t="shared" si="161"/>
        <v>1.4670861065845391</v>
      </c>
      <c r="F36" s="60">
        <f t="shared" si="161"/>
        <v>1.4670861065845391</v>
      </c>
      <c r="G36" s="60">
        <f t="shared" si="161"/>
        <v>1.4670861065845391</v>
      </c>
      <c r="H36" s="60">
        <f t="shared" si="161"/>
        <v>1.4670861065845391</v>
      </c>
      <c r="I36" s="60">
        <f t="shared" si="161"/>
        <v>1.4670861065845391</v>
      </c>
      <c r="J36" s="60">
        <f t="shared" si="161"/>
        <v>1.4670861065845391</v>
      </c>
      <c r="K36" s="60">
        <f t="shared" si="161"/>
        <v>1.4670861065845391</v>
      </c>
      <c r="L36" s="60">
        <f t="shared" si="161"/>
        <v>1.4670861065845391</v>
      </c>
      <c r="M36" s="60">
        <f t="shared" si="161"/>
        <v>1.4670861065845391</v>
      </c>
      <c r="N36" s="60">
        <f t="shared" si="161"/>
        <v>1.4670861065845391</v>
      </c>
      <c r="O36" s="60">
        <f t="shared" si="161"/>
        <v>1.4670861065845391</v>
      </c>
      <c r="P36" s="111">
        <f t="shared" si="142"/>
        <v>0.68162325000000001</v>
      </c>
      <c r="Q36" s="111">
        <f t="shared" si="136"/>
        <v>0.68162325000000001</v>
      </c>
      <c r="R36" s="111">
        <f t="shared" si="136"/>
        <v>0.68162325000000001</v>
      </c>
      <c r="S36" s="111">
        <f t="shared" si="136"/>
        <v>0.68162325000000001</v>
      </c>
      <c r="T36" s="111">
        <f t="shared" si="136"/>
        <v>0.68162325000000001</v>
      </c>
      <c r="U36" s="111">
        <f t="shared" si="136"/>
        <v>0.68162325000000001</v>
      </c>
      <c r="V36" s="111">
        <f t="shared" si="136"/>
        <v>0.68162325000000001</v>
      </c>
      <c r="W36" s="111">
        <f t="shared" si="136"/>
        <v>0.68162325000000001</v>
      </c>
      <c r="X36" s="111">
        <f t="shared" si="59"/>
        <v>0.68162325000000001</v>
      </c>
      <c r="Y36" s="111">
        <f t="shared" si="59"/>
        <v>0.68162325000000001</v>
      </c>
      <c r="Z36" s="111">
        <f t="shared" si="59"/>
        <v>0.68162325000000001</v>
      </c>
      <c r="AA36" s="111">
        <f t="shared" si="59"/>
        <v>0.68162325000000001</v>
      </c>
      <c r="AB36" s="60">
        <f>IFERROR(AB26/$B36,".")</f>
        <v>0.12225717554871156</v>
      </c>
      <c r="AC36" s="247">
        <f>IFERROR(AC26/$B36,0)</f>
        <v>5.7539214905986049E-7</v>
      </c>
      <c r="AD36" s="49">
        <f>s_dir!BC36</f>
        <v>68.16232500000001</v>
      </c>
      <c r="AE36" s="49">
        <f>IF(E36=".",".",s_RadSpec!$F$26*AE26*$B$36)</f>
        <v>17.040581250000002</v>
      </c>
      <c r="AF36" s="49">
        <f>IF(F36=".",".",s_RadSpec!$F$26*AF26*$B$36)</f>
        <v>17.040581250000002</v>
      </c>
      <c r="AG36" s="49">
        <f>IF(G36=".",".",s_RadSpec!$F$26*AG26*$B$36)</f>
        <v>17.040581250000002</v>
      </c>
      <c r="AH36" s="49">
        <f>IF(H36=".",".",s_RadSpec!$F$26*AH26*$B$36)</f>
        <v>17.040581250000002</v>
      </c>
      <c r="AI36" s="49">
        <f>IF(I36=".",".",s_RadSpec!$F$26*AI26*$B$36)</f>
        <v>17.040581250000002</v>
      </c>
      <c r="AJ36" s="49">
        <f>IF(J36=".",".",s_RadSpec!$F$26*AJ26*$B$36)</f>
        <v>17.040581250000002</v>
      </c>
      <c r="AK36" s="49">
        <f>IF(K36=".",".",s_RadSpec!$F$26*AK26*$B$36)</f>
        <v>17.040581250000002</v>
      </c>
      <c r="AL36" s="49">
        <f>IF(L36=".",".",s_RadSpec!$F$26*AL26*$B$36)</f>
        <v>17.040581250000002</v>
      </c>
      <c r="AM36" s="49">
        <f>IF(M36=".",".",s_RadSpec!$F$26*AM26*$B$36)</f>
        <v>17.040581250000002</v>
      </c>
      <c r="AN36" s="49">
        <f>IF(N36=".",".",s_RadSpec!$F$26*AN26*$B$36)</f>
        <v>17.040581250000002</v>
      </c>
      <c r="AO36" s="49">
        <f>IF(O36=".",".",s_RadSpec!$F$26*AO26*$B$36)</f>
        <v>17.040581250000002</v>
      </c>
      <c r="AP36" s="60">
        <f t="shared" ref="AP36:BD36" si="162">IFERROR(AP26/$B36,".")</f>
        <v>733.54305329226952</v>
      </c>
      <c r="AQ36" s="60">
        <f t="shared" si="162"/>
        <v>55306.815557442133</v>
      </c>
      <c r="AR36" s="60">
        <f t="shared" si="162"/>
        <v>20205.168901302986</v>
      </c>
      <c r="AS36" s="60">
        <f t="shared" si="162"/>
        <v>25.496804076895014</v>
      </c>
      <c r="AT36" s="60">
        <f t="shared" si="162"/>
        <v>4.8902870219484633</v>
      </c>
      <c r="AU36" s="60">
        <f t="shared" si="162"/>
        <v>1.0117835217824406E-2</v>
      </c>
      <c r="AV36" s="60">
        <f t="shared" si="162"/>
        <v>72.64817756880602</v>
      </c>
      <c r="AW36" s="60">
        <f t="shared" si="162"/>
        <v>3442.0706532100289</v>
      </c>
      <c r="AX36" s="60" t="str">
        <f t="shared" si="162"/>
        <v>.</v>
      </c>
      <c r="AY36" s="60" t="str">
        <f t="shared" si="162"/>
        <v>.</v>
      </c>
      <c r="AZ36" s="60" t="str">
        <f t="shared" si="162"/>
        <v>.</v>
      </c>
      <c r="BA36" s="60" t="str">
        <f t="shared" si="162"/>
        <v>.</v>
      </c>
      <c r="BB36" s="60" t="str">
        <f t="shared" si="162"/>
        <v>.</v>
      </c>
      <c r="BC36" s="60">
        <f t="shared" si="162"/>
        <v>16.709080840825383</v>
      </c>
      <c r="BD36" s="60" t="str">
        <f t="shared" si="162"/>
        <v>.</v>
      </c>
      <c r="BE36" s="111">
        <f t="shared" si="69"/>
        <v>1.3632465000000002E-3</v>
      </c>
      <c r="BF36" s="111">
        <f t="shared" si="70"/>
        <v>1.8080954217322301E-5</v>
      </c>
      <c r="BG36" s="111">
        <f t="shared" si="71"/>
        <v>4.9492286101875257E-5</v>
      </c>
      <c r="BH36" s="111">
        <f t="shared" si="72"/>
        <v>3.9220601805000005E-2</v>
      </c>
      <c r="BI36" s="111">
        <f t="shared" si="73"/>
        <v>0.20448697500000002</v>
      </c>
      <c r="BJ36" s="111">
        <f t="shared" si="74"/>
        <v>98.835371250000023</v>
      </c>
      <c r="BK36" s="111">
        <f t="shared" si="75"/>
        <v>1.3764970209375E-2</v>
      </c>
      <c r="BL36" s="111">
        <f t="shared" si="76"/>
        <v>2.9052279884708742E-4</v>
      </c>
      <c r="BM36" s="111" t="str">
        <f t="shared" si="77"/>
        <v>.</v>
      </c>
      <c r="BN36" s="111" t="str">
        <f t="shared" si="78"/>
        <v>.</v>
      </c>
      <c r="BO36" s="111" t="str">
        <f t="shared" si="79"/>
        <v>.</v>
      </c>
      <c r="BP36" s="111" t="str">
        <f t="shared" si="80"/>
        <v>.</v>
      </c>
      <c r="BQ36" s="111" t="str">
        <f t="shared" si="81"/>
        <v>.</v>
      </c>
      <c r="BR36" s="111">
        <f t="shared" si="82"/>
        <v>5.9847696562500011E-2</v>
      </c>
      <c r="BS36" s="111" t="str">
        <f t="shared" si="83"/>
        <v>.</v>
      </c>
      <c r="BT36" s="60">
        <f>IFERROR(BT26/$B36,".")</f>
        <v>1.0085279831698619E-2</v>
      </c>
      <c r="BU36" s="189">
        <f>IFERROR(BU26/$B36,0)</f>
        <v>4.746544168214504E-8</v>
      </c>
      <c r="BV36" s="49">
        <f>IF(AP36=".",".",s_RadSpec!$E$26*BV26*$B$36)</f>
        <v>3.4081162500000005E-2</v>
      </c>
      <c r="BW36" s="49">
        <f>IF(AQ36=".",".",s_RadSpec!$H$26*BW26*$B$36)</f>
        <v>4.5202385543305752E-4</v>
      </c>
      <c r="BX36" s="49">
        <f>IF(AR36=".",".",s_RadSpec!$G$26*BX26*$B$36)</f>
        <v>1.2373071525468816E-3</v>
      </c>
      <c r="BY36" s="49">
        <f>s_b2s!CC36</f>
        <v>0.9805150451250001</v>
      </c>
      <c r="BZ36" s="49">
        <f>IF(AT36=".",".",s_RadSpec!$F$26*BZ26*$B$36)</f>
        <v>5.1121743750000004</v>
      </c>
      <c r="CA36" s="49">
        <f>IF(AU36=".",".",s_RadSpec!$F$26*CA26*$B$36)</f>
        <v>2470.8842812500002</v>
      </c>
      <c r="CB36" s="49">
        <f>IF(AV36=".",".",s_RadSpec!$F$26*CB26*$B$36)</f>
        <v>0.34412425523437501</v>
      </c>
      <c r="CC36" s="49">
        <f>IF(AW36=".",".",s_RadSpec!$F$26*CC26*$B$36)</f>
        <v>7.2630699711771851E-3</v>
      </c>
      <c r="CD36" s="49" t="str">
        <f>IF(AX36=".",".",s_RadSpec!$F$26*CD26*$B$36)</f>
        <v>.</v>
      </c>
      <c r="CE36" s="49" t="str">
        <f>IF(AY36=".",".",s_RadSpec!$F$26*CE26*$B$36)</f>
        <v>.</v>
      </c>
      <c r="CF36" s="49" t="str">
        <f>IF(AZ36=".",".",s_RadSpec!$F$26*CF26*$B$36)</f>
        <v>.</v>
      </c>
      <c r="CG36" s="49" t="str">
        <f>IF(BA36=".",".",s_RadSpec!$F$26*CG26*$B$36)</f>
        <v>.</v>
      </c>
      <c r="CH36" s="49" t="str">
        <f>IF(BB36=".",".",s_RadSpec!$F$26*CH26*$B$36)</f>
        <v>.</v>
      </c>
      <c r="CI36" s="49">
        <f>IF(BC36=".",".",s_RadSpec!$F$26*CI26*$B$36)</f>
        <v>1.4961924140625</v>
      </c>
      <c r="CJ36" s="49" t="str">
        <f>IF(BD36=".",".",s_RadSpec!$F$26*CJ26*$B$36)</f>
        <v>.</v>
      </c>
      <c r="CK36" s="49">
        <f t="shared" si="147"/>
        <v>2478.8603209029011</v>
      </c>
      <c r="CL36" s="60">
        <f>IFERROR(CL26/$B36,".")</f>
        <v>8.0689735862149643</v>
      </c>
      <c r="CM36" s="60" t="str">
        <f>IFERROR(CM26,".")</f>
        <v>.</v>
      </c>
      <c r="CN36" s="60">
        <f t="shared" ref="CN36:CZ36" si="163">IFERROR(CN26/$B36,".")</f>
        <v>230416.73521722358</v>
      </c>
      <c r="CO36" s="60">
        <f t="shared" si="163"/>
        <v>30.892115570245071</v>
      </c>
      <c r="CP36" s="60">
        <f t="shared" si="163"/>
        <v>244.51435109742317</v>
      </c>
      <c r="CQ36" s="60">
        <f t="shared" si="163"/>
        <v>0.50589176089122034</v>
      </c>
      <c r="CR36" s="60">
        <f t="shared" si="163"/>
        <v>1275727.049203947</v>
      </c>
      <c r="CS36" s="60">
        <f t="shared" si="163"/>
        <v>60443947.591283008</v>
      </c>
      <c r="CT36" s="60" t="str">
        <f t="shared" si="163"/>
        <v>.</v>
      </c>
      <c r="CU36" s="60" t="str">
        <f t="shared" si="163"/>
        <v>.</v>
      </c>
      <c r="CV36" s="60" t="str">
        <f t="shared" si="163"/>
        <v>.</v>
      </c>
      <c r="CW36" s="60" t="str">
        <f t="shared" si="163"/>
        <v>.</v>
      </c>
      <c r="CX36" s="60" t="str">
        <f t="shared" si="163"/>
        <v>.</v>
      </c>
      <c r="CY36" s="60">
        <f t="shared" si="163"/>
        <v>293417.22131690779</v>
      </c>
      <c r="CZ36" s="60" t="str">
        <f t="shared" si="163"/>
        <v>.</v>
      </c>
      <c r="DA36" s="111">
        <f t="shared" si="101"/>
        <v>0.12393150000000001</v>
      </c>
      <c r="DB36" s="111" t="str">
        <f t="shared" si="102"/>
        <v>.</v>
      </c>
      <c r="DC36" s="111">
        <f t="shared" si="103"/>
        <v>4.3399625424657536E-6</v>
      </c>
      <c r="DD36" s="111">
        <f t="shared" si="104"/>
        <v>3.2370719244724969E-2</v>
      </c>
      <c r="DE36" s="111">
        <f t="shared" si="105"/>
        <v>4.0897395000000008E-3</v>
      </c>
      <c r="DF36" s="111">
        <f t="shared" si="106"/>
        <v>1.9767074250000003</v>
      </c>
      <c r="DG36" s="111">
        <f t="shared" si="107"/>
        <v>7.8386673750000012E-7</v>
      </c>
      <c r="DH36" s="111">
        <f t="shared" si="108"/>
        <v>1.6544253640776699E-8</v>
      </c>
      <c r="DI36" s="111" t="str">
        <f t="shared" si="109"/>
        <v>.</v>
      </c>
      <c r="DJ36" s="111" t="str">
        <f t="shared" si="110"/>
        <v>.</v>
      </c>
      <c r="DK36" s="111" t="str">
        <f t="shared" si="111"/>
        <v>.</v>
      </c>
      <c r="DL36" s="111" t="str">
        <f t="shared" si="112"/>
        <v>.</v>
      </c>
      <c r="DM36" s="111" t="str">
        <f t="shared" si="113"/>
        <v>.</v>
      </c>
      <c r="DN36" s="111">
        <f t="shared" si="114"/>
        <v>3.4081162500000007E-6</v>
      </c>
      <c r="DO36" s="111" t="str">
        <f t="shared" si="115"/>
        <v>.</v>
      </c>
      <c r="DP36" s="60">
        <f>IFERROR(DP26/$B36,".")</f>
        <v>0.46792208522403644</v>
      </c>
      <c r="DQ36" s="189">
        <f t="shared" ref="DQ36" si="164">IFERROR(DQ26/$B36,0)</f>
        <v>2.2022322452750873E-9</v>
      </c>
      <c r="DR36" s="49">
        <f>IF(CL36=".",".",s_RadSpec!$I$26*DR26*$B$36)</f>
        <v>3.0982875000000001</v>
      </c>
      <c r="DS36" s="49" t="str">
        <f>IF(CM36=".",".",s_RadSpec!$H$26*DS26)</f>
        <v>.</v>
      </c>
      <c r="DT36" s="49">
        <f>IF(CN36=".",".",s_RadSpec!$M$26*DT26*$B$36)</f>
        <v>1.0849906356164383E-4</v>
      </c>
      <c r="DU36" s="49">
        <f>s_b2w!CC36</f>
        <v>0.80926798111812426</v>
      </c>
      <c r="DV36" s="49">
        <f>IF(CP36=".",".",s_RadSpec!$F$26*DV26*$B$36)</f>
        <v>0.10224348750000001</v>
      </c>
      <c r="DW36" s="49">
        <f>IF(CQ36=".",".",s_RadSpec!$F$26*DW26*$B$36)</f>
        <v>49.417685625000004</v>
      </c>
      <c r="DX36" s="49">
        <f>IF(CR36=".",".",s_RadSpec!$F$26*DX26*$B$36)</f>
        <v>1.9596668437500002E-5</v>
      </c>
      <c r="DY36" s="49">
        <f>IF(CS36=".",".",s_RadSpec!$F$26*DY26*$B$36)</f>
        <v>4.1360634101941757E-7</v>
      </c>
      <c r="DZ36" s="49" t="str">
        <f>IF(CT36=".",".",s_RadSpec!$F$26*DZ26*$B$36)</f>
        <v>.</v>
      </c>
      <c r="EA36" s="49" t="str">
        <f>IF(CU36=".",".",s_RadSpec!$F$26*EA26*$B$36)</f>
        <v>.</v>
      </c>
      <c r="EB36" s="49" t="str">
        <f>IF(CV36=".",".",s_RadSpec!$F$26*EB26*$B$36)</f>
        <v>.</v>
      </c>
      <c r="EC36" s="49" t="str">
        <f>IF(CW36=".",".",s_RadSpec!$F$26*EC26*$B$36)</f>
        <v>.</v>
      </c>
      <c r="ED36" s="49" t="str">
        <f>IF(CX36=".",".",s_RadSpec!$F$26*ED26*$B$36)</f>
        <v>.</v>
      </c>
      <c r="EE36" s="49">
        <f>IF(CY36=".",".",s_RadSpec!$F$26*EE26*$B$36)</f>
        <v>8.5202906249999999E-5</v>
      </c>
      <c r="EF36" s="49" t="str">
        <f>IF(CZ36=".",".",s_RadSpec!$F$26*EF26*$B$36)</f>
        <v>.</v>
      </c>
      <c r="EG36" s="49">
        <f t="shared" si="152"/>
        <v>53.42769830586272</v>
      </c>
      <c r="EH36" s="60">
        <f>IFERROR(EH26/$B36,".")</f>
        <v>0.17852203282666859</v>
      </c>
      <c r="EI36" s="60">
        <f>IFERROR(EI26/$B36,".")</f>
        <v>821727.15209997806</v>
      </c>
      <c r="EJ36" s="60">
        <f>IFERROR(EJ26/$B36,".")</f>
        <v>0.17852199404237237</v>
      </c>
      <c r="EK36" s="189">
        <f t="shared" ref="EK36" si="165">IFERROR(EK26/$B36,0)</f>
        <v>8.4019734093697374E-10</v>
      </c>
      <c r="EL36" s="49">
        <f>IF(EH36=".",".",s_RadSpec!$H$26*EL26*$B$36)</f>
        <v>140.03873697916663</v>
      </c>
      <c r="EM36" s="49">
        <f>IF(EI36=".",".",s_RadSpec!$K$26*EM26*$B$36)</f>
        <v>3.0423723904109589E-5</v>
      </c>
      <c r="EN36" s="49">
        <f t="shared" si="155"/>
        <v>140.03876740289053</v>
      </c>
    </row>
    <row r="37" spans="1:144" x14ac:dyDescent="0.25">
      <c r="A37" s="77" t="s">
        <v>1065</v>
      </c>
      <c r="B37" s="42">
        <v>1</v>
      </c>
      <c r="C37" s="42"/>
      <c r="D37" s="60">
        <f t="shared" ref="D37:O37" si="166">IFERROR(D22/$B37,".")</f>
        <v>0.9385036123004038</v>
      </c>
      <c r="E37" s="60">
        <f t="shared" si="166"/>
        <v>3.7540144492016148</v>
      </c>
      <c r="F37" s="60">
        <f t="shared" si="166"/>
        <v>3.7540144492016148</v>
      </c>
      <c r="G37" s="60">
        <f t="shared" si="166"/>
        <v>3.7540144492016148</v>
      </c>
      <c r="H37" s="60">
        <f t="shared" si="166"/>
        <v>3.7540144492016148</v>
      </c>
      <c r="I37" s="60">
        <f t="shared" si="166"/>
        <v>3.7540144492016148</v>
      </c>
      <c r="J37" s="60">
        <f t="shared" si="166"/>
        <v>3.7540144492016148</v>
      </c>
      <c r="K37" s="60">
        <f t="shared" si="166"/>
        <v>3.7540144492016148</v>
      </c>
      <c r="L37" s="60">
        <f t="shared" si="166"/>
        <v>3.7540144492016148</v>
      </c>
      <c r="M37" s="60">
        <f t="shared" si="166"/>
        <v>3.7540144492016148</v>
      </c>
      <c r="N37" s="60">
        <f t="shared" si="166"/>
        <v>3.7540144492016148</v>
      </c>
      <c r="O37" s="60">
        <f t="shared" si="166"/>
        <v>3.7540144492016148</v>
      </c>
      <c r="P37" s="111">
        <f t="shared" si="142"/>
        <v>0.26638149999999999</v>
      </c>
      <c r="Q37" s="111">
        <f t="shared" si="136"/>
        <v>0.26638149999999999</v>
      </c>
      <c r="R37" s="111">
        <f t="shared" si="136"/>
        <v>0.26638149999999999</v>
      </c>
      <c r="S37" s="111">
        <f t="shared" si="136"/>
        <v>0.26638149999999999</v>
      </c>
      <c r="T37" s="111">
        <f t="shared" si="136"/>
        <v>0.26638149999999999</v>
      </c>
      <c r="U37" s="111">
        <f t="shared" si="136"/>
        <v>0.26638149999999999</v>
      </c>
      <c r="V37" s="111">
        <f t="shared" si="136"/>
        <v>0.26638149999999999</v>
      </c>
      <c r="W37" s="111">
        <f t="shared" si="136"/>
        <v>0.26638149999999999</v>
      </c>
      <c r="X37" s="111">
        <f t="shared" si="59"/>
        <v>0.26638149999999999</v>
      </c>
      <c r="Y37" s="111">
        <f t="shared" si="59"/>
        <v>0.26638149999999999</v>
      </c>
      <c r="Z37" s="111">
        <f t="shared" si="59"/>
        <v>0.26638149999999999</v>
      </c>
      <c r="AA37" s="111">
        <f t="shared" si="59"/>
        <v>0.26638149999999999</v>
      </c>
      <c r="AB37" s="60">
        <f>IFERROR(AB22/$B37,".")</f>
        <v>0.3128345374334679</v>
      </c>
      <c r="AC37" s="247">
        <f>IFERROR(AC22/$B37,0)</f>
        <v>8.0454186380492183E-12</v>
      </c>
      <c r="AD37" s="49">
        <f>s_dir!BC37</f>
        <v>26.638150000000003</v>
      </c>
      <c r="AE37" s="49">
        <f>IF(E37=".",".",s_RadSpec!$F$22*AE22*$B$37)</f>
        <v>6.6595375000000008</v>
      </c>
      <c r="AF37" s="49">
        <f>IF(F37=".",".",s_RadSpec!$F$22*AF22*$B$37)</f>
        <v>6.6595375000000008</v>
      </c>
      <c r="AG37" s="49">
        <f>IF(G37=".",".",s_RadSpec!$F$22*AG22*$B$37)</f>
        <v>6.6595375000000008</v>
      </c>
      <c r="AH37" s="49">
        <f>IF(H37=".",".",s_RadSpec!$F$22*AH22*$B$37)</f>
        <v>6.6595375000000008</v>
      </c>
      <c r="AI37" s="49">
        <f>IF(I37=".",".",s_RadSpec!$F$22*AI22*$B$37)</f>
        <v>6.6595375000000008</v>
      </c>
      <c r="AJ37" s="49">
        <f>IF(J37=".",".",s_RadSpec!$F$22*AJ22*$B$37)</f>
        <v>6.6595375000000008</v>
      </c>
      <c r="AK37" s="49">
        <f>IF(K37=".",".",s_RadSpec!$F$22*AK22*$B$37)</f>
        <v>6.6595375000000008</v>
      </c>
      <c r="AL37" s="49">
        <f>IF(L37=".",".",s_RadSpec!$F$22*AL22*$B$37)</f>
        <v>6.6595375000000008</v>
      </c>
      <c r="AM37" s="49">
        <f>IF(M37=".",".",s_RadSpec!$F$22*AM22*$B$37)</f>
        <v>6.6595375000000008</v>
      </c>
      <c r="AN37" s="49">
        <f>IF(N37=".",".",s_RadSpec!$F$22*AN22*$B$37)</f>
        <v>6.6595375000000008</v>
      </c>
      <c r="AO37" s="49">
        <f>IF(O37=".",".",s_RadSpec!$F$22*AO22*$B$37)</f>
        <v>6.6595375000000008</v>
      </c>
      <c r="AP37" s="60">
        <f t="shared" ref="AP37:BD37" si="167">IFERROR(AP22/$B37,".")</f>
        <v>1877.0072246008076</v>
      </c>
      <c r="AQ37" s="60">
        <f t="shared" si="167"/>
        <v>496511.84002222132</v>
      </c>
      <c r="AR37" s="60">
        <f t="shared" si="167"/>
        <v>357379967164.38788</v>
      </c>
      <c r="AS37" s="60">
        <f t="shared" si="167"/>
        <v>37.96919641146571</v>
      </c>
      <c r="AT37" s="60">
        <f t="shared" si="167"/>
        <v>0.93850361230040369</v>
      </c>
      <c r="AU37" s="60">
        <f t="shared" si="167"/>
        <v>3.7540144492016148E-2</v>
      </c>
      <c r="AV37" s="60">
        <f t="shared" si="167"/>
        <v>24.551720133850083</v>
      </c>
      <c r="AW37" s="60">
        <f t="shared" si="167"/>
        <v>113.13174198518814</v>
      </c>
      <c r="AX37" s="60" t="str">
        <f t="shared" si="167"/>
        <v>.</v>
      </c>
      <c r="AY37" s="60" t="str">
        <f t="shared" si="167"/>
        <v>.</v>
      </c>
      <c r="AZ37" s="60" t="str">
        <f t="shared" si="167"/>
        <v>.</v>
      </c>
      <c r="BA37" s="60" t="str">
        <f t="shared" si="167"/>
        <v>.</v>
      </c>
      <c r="BB37" s="60" t="str">
        <f t="shared" si="167"/>
        <v>.</v>
      </c>
      <c r="BC37" s="60">
        <f t="shared" si="167"/>
        <v>8.3475848455090276</v>
      </c>
      <c r="BD37" s="60" t="str">
        <f t="shared" si="167"/>
        <v>.</v>
      </c>
      <c r="BE37" s="111">
        <f t="shared" si="69"/>
        <v>5.3276300000000001E-4</v>
      </c>
      <c r="BF37" s="111">
        <f t="shared" si="70"/>
        <v>2.0140506618235832E-6</v>
      </c>
      <c r="BG37" s="111">
        <f t="shared" si="71"/>
        <v>2.7981422907793242E-12</v>
      </c>
      <c r="BH37" s="111">
        <f t="shared" si="72"/>
        <v>2.6337138905000002E-2</v>
      </c>
      <c r="BI37" s="111">
        <f t="shared" si="73"/>
        <v>1.065526</v>
      </c>
      <c r="BJ37" s="111">
        <f t="shared" si="74"/>
        <v>26.638150000000003</v>
      </c>
      <c r="BK37" s="111">
        <f t="shared" si="75"/>
        <v>4.0730343721264342E-2</v>
      </c>
      <c r="BL37" s="111">
        <f t="shared" si="76"/>
        <v>8.8392522067849508E-3</v>
      </c>
      <c r="BM37" s="111" t="str">
        <f t="shared" si="77"/>
        <v>.</v>
      </c>
      <c r="BN37" s="111" t="str">
        <f t="shared" si="78"/>
        <v>.</v>
      </c>
      <c r="BO37" s="111" t="str">
        <f t="shared" si="79"/>
        <v>.</v>
      </c>
      <c r="BP37" s="111" t="str">
        <f t="shared" si="80"/>
        <v>.</v>
      </c>
      <c r="BQ37" s="111" t="str">
        <f t="shared" si="81"/>
        <v>.</v>
      </c>
      <c r="BR37" s="111">
        <f t="shared" si="82"/>
        <v>0.11979512859195394</v>
      </c>
      <c r="BS37" s="111" t="str">
        <f t="shared" si="83"/>
        <v>.</v>
      </c>
      <c r="BT37" s="60">
        <f>IFERROR(BT22/$B37,".")</f>
        <v>3.584240613532081E-2</v>
      </c>
      <c r="BU37" s="189">
        <f>IFERROR(BU22/$B37,0)</f>
        <v>9.2178812710207291E-13</v>
      </c>
      <c r="BV37" s="49">
        <f>IF(AP37=".",".",s_RadSpec!$E$22*BV22*$B$37)</f>
        <v>1.3319075000000001E-2</v>
      </c>
      <c r="BW37" s="49">
        <f>IF(AQ37=".",".",s_RadSpec!$H$22*BW22*$B$37)</f>
        <v>5.0351266545589589E-5</v>
      </c>
      <c r="BX37" s="49">
        <f>IF(AR37=".",".",s_RadSpec!$G$22*BX22*$B$37)</f>
        <v>6.995355726948312E-11</v>
      </c>
      <c r="BY37" s="49">
        <f>s_b2s!CC37</f>
        <v>0.65842847262500004</v>
      </c>
      <c r="BZ37" s="49">
        <f>IF(AT37=".",".",s_RadSpec!$F$22*BZ22*$B$37)</f>
        <v>26.638150000000003</v>
      </c>
      <c r="CA37" s="49">
        <f>IF(AU37=".",".",s_RadSpec!$F$22*CA22*$B$37)</f>
        <v>665.95375000000001</v>
      </c>
      <c r="CB37" s="49">
        <f>IF(AV37=".",".",s_RadSpec!$F$22*CB22*$B$37)</f>
        <v>1.0182585930316086</v>
      </c>
      <c r="CC37" s="49">
        <f>IF(AW37=".",".",s_RadSpec!$F$22*CC22*$B$37)</f>
        <v>0.2209813051696238</v>
      </c>
      <c r="CD37" s="49" t="str">
        <f>IF(AX37=".",".",s_RadSpec!$F$22*CD22*$B$37)</f>
        <v>.</v>
      </c>
      <c r="CE37" s="49" t="str">
        <f>IF(AY37=".",".",s_RadSpec!$F$22*CE22*$B$37)</f>
        <v>.</v>
      </c>
      <c r="CF37" s="49" t="str">
        <f>IF(AZ37=".",".",s_RadSpec!$F$22*CF22*$B$37)</f>
        <v>.</v>
      </c>
      <c r="CG37" s="49" t="str">
        <f>IF(BA37=".",".",s_RadSpec!$F$22*CG22*$B$37)</f>
        <v>.</v>
      </c>
      <c r="CH37" s="49" t="str">
        <f>IF(BB37=".",".",s_RadSpec!$F$22*CH22*$B$37)</f>
        <v>.</v>
      </c>
      <c r="CI37" s="49">
        <f>IF(BC37=".",".",s_RadSpec!$F$22*CI22*$B$37)</f>
        <v>2.9948782147988489</v>
      </c>
      <c r="CJ37" s="49" t="str">
        <f>IF(BD37=".",".",s_RadSpec!$F$22*CJ22*$B$37)</f>
        <v>.</v>
      </c>
      <c r="CK37" s="49">
        <f t="shared" si="147"/>
        <v>697.49781601196162</v>
      </c>
      <c r="CL37" s="60">
        <f>IFERROR(CL22/$B37,".")</f>
        <v>20.64707947060888</v>
      </c>
      <c r="CM37" s="60" t="str">
        <f>IFERROR(CM22,".")</f>
        <v>.</v>
      </c>
      <c r="CN37" s="60">
        <f t="shared" ref="CN37:CZ37" si="168">IFERROR(CN22/$B37,".")</f>
        <v>3140117.570179475</v>
      </c>
      <c r="CO37" s="60">
        <f t="shared" si="168"/>
        <v>67.393478570114127</v>
      </c>
      <c r="CP37" s="60">
        <f t="shared" si="168"/>
        <v>938.50361230040369</v>
      </c>
      <c r="CQ37" s="60">
        <f t="shared" si="168"/>
        <v>37.540144492016147</v>
      </c>
      <c r="CR37" s="60">
        <f t="shared" si="168"/>
        <v>441648.7587296018</v>
      </c>
      <c r="CS37" s="60">
        <f t="shared" si="168"/>
        <v>2035070.9908829804</v>
      </c>
      <c r="CT37" s="60" t="str">
        <f t="shared" si="168"/>
        <v>.</v>
      </c>
      <c r="CU37" s="60" t="str">
        <f t="shared" si="168"/>
        <v>.</v>
      </c>
      <c r="CV37" s="60" t="str">
        <f t="shared" si="168"/>
        <v>.</v>
      </c>
      <c r="CW37" s="60" t="str">
        <f t="shared" si="168"/>
        <v>.</v>
      </c>
      <c r="CX37" s="60" t="str">
        <f t="shared" si="168"/>
        <v>.</v>
      </c>
      <c r="CY37" s="60">
        <f t="shared" si="168"/>
        <v>150160.57796806458</v>
      </c>
      <c r="CZ37" s="60" t="str">
        <f t="shared" si="168"/>
        <v>.</v>
      </c>
      <c r="DA37" s="111">
        <f t="shared" si="101"/>
        <v>4.8433000000000004E-2</v>
      </c>
      <c r="DB37" s="111" t="str">
        <f t="shared" si="102"/>
        <v>.</v>
      </c>
      <c r="DC37" s="111">
        <f t="shared" si="103"/>
        <v>3.1845941358904105E-7</v>
      </c>
      <c r="DD37" s="111">
        <f t="shared" si="104"/>
        <v>1.4838230956718318E-2</v>
      </c>
      <c r="DE37" s="111">
        <f t="shared" si="105"/>
        <v>1.065526E-3</v>
      </c>
      <c r="DF37" s="111">
        <f t="shared" si="106"/>
        <v>2.6638150000000003E-2</v>
      </c>
      <c r="DG37" s="111">
        <f t="shared" si="107"/>
        <v>2.2642427499999997E-6</v>
      </c>
      <c r="DH37" s="111">
        <f t="shared" si="108"/>
        <v>4.9138334951456322E-7</v>
      </c>
      <c r="DI37" s="111" t="str">
        <f t="shared" si="109"/>
        <v>.</v>
      </c>
      <c r="DJ37" s="111" t="str">
        <f t="shared" si="110"/>
        <v>.</v>
      </c>
      <c r="DK37" s="111" t="str">
        <f t="shared" si="111"/>
        <v>.</v>
      </c>
      <c r="DL37" s="111" t="str">
        <f t="shared" si="112"/>
        <v>.</v>
      </c>
      <c r="DM37" s="111" t="str">
        <f t="shared" si="113"/>
        <v>.</v>
      </c>
      <c r="DN37" s="111">
        <f t="shared" si="114"/>
        <v>6.6595375000000013E-6</v>
      </c>
      <c r="DO37" s="111" t="str">
        <f t="shared" si="115"/>
        <v>.</v>
      </c>
      <c r="DP37" s="60">
        <f>IFERROR(DP22/$B37,".")</f>
        <v>10.990866080563155</v>
      </c>
      <c r="DQ37" s="189">
        <f t="shared" ref="DQ37" si="169">IFERROR(DQ22/$B37,0)</f>
        <v>2.8266098602259287E-13</v>
      </c>
      <c r="DR37" s="49">
        <f>IF(CL37=".",".",s_RadSpec!$I$22*DR22*$B$37)</f>
        <v>1.210825</v>
      </c>
      <c r="DS37" s="49" t="str">
        <f>IF(CM37=".",".",s_RadSpec!$H$22*DS22)</f>
        <v>.</v>
      </c>
      <c r="DT37" s="49">
        <f>IF(CN37=".",".",s_RadSpec!$M$22*DT22*$B$37)</f>
        <v>7.9614853397260269E-6</v>
      </c>
      <c r="DU37" s="49">
        <f>s_b2w!CC37</f>
        <v>0.37095577391795787</v>
      </c>
      <c r="DV37" s="49">
        <f>IF(CP37=".",".",s_RadSpec!$F$22*DV22*$B$37)</f>
        <v>2.6638150000000003E-2</v>
      </c>
      <c r="DW37" s="49">
        <f>IF(CQ37=".",".",s_RadSpec!$F$22*DW22*$B$37)</f>
        <v>0.66595375000000001</v>
      </c>
      <c r="DX37" s="49">
        <f>IF(CR37=".",".",s_RadSpec!$F$22*DX22*$B$37)</f>
        <v>5.6606068750000003E-5</v>
      </c>
      <c r="DY37" s="49">
        <f>IF(CS37=".",".",s_RadSpec!$F$22*DY22*$B$37)</f>
        <v>1.2284583737864079E-5</v>
      </c>
      <c r="DZ37" s="49" t="str">
        <f>IF(CT37=".",".",s_RadSpec!$F$22*DZ22*$B$37)</f>
        <v>.</v>
      </c>
      <c r="EA37" s="49" t="str">
        <f>IF(CU37=".",".",s_RadSpec!$F$22*EA22*$B$37)</f>
        <v>.</v>
      </c>
      <c r="EB37" s="49" t="str">
        <f>IF(CV37=".",".",s_RadSpec!$F$22*EB22*$B$37)</f>
        <v>.</v>
      </c>
      <c r="EC37" s="49" t="str">
        <f>IF(CW37=".",".",s_RadSpec!$F$22*EC22*$B$37)</f>
        <v>.</v>
      </c>
      <c r="ED37" s="49" t="str">
        <f>IF(CX37=".",".",s_RadSpec!$F$22*ED22*$B$37)</f>
        <v>.</v>
      </c>
      <c r="EE37" s="49">
        <f>IF(CY37=".",".",s_RadSpec!$F$22*EE22*$B$37)</f>
        <v>1.664884375E-4</v>
      </c>
      <c r="EF37" s="49" t="str">
        <f>IF(CZ37=".",".",s_RadSpec!$F$22*EF22*$B$37)</f>
        <v>.</v>
      </c>
      <c r="EG37" s="49">
        <f t="shared" si="152"/>
        <v>2.2746160144932852</v>
      </c>
      <c r="EH37" s="60">
        <f>IFERROR(EH22/$B37,".")</f>
        <v>1.6026650985033866</v>
      </c>
      <c r="EI37" s="60">
        <f>IFERROR(EI22/$B37,".")</f>
        <v>11045077.510007802</v>
      </c>
      <c r="EJ37" s="60">
        <f>IFERROR(EJ22/$B37,".")</f>
        <v>1.602664865953181</v>
      </c>
      <c r="EK37" s="189">
        <f t="shared" ref="EK37" si="170">IFERROR(EK22/$B37,0)</f>
        <v>4.1217027662198683E-14</v>
      </c>
      <c r="EL37" s="49">
        <f>IF(EH37=".",".",s_RadSpec!$H$22*EL22*$B$37)</f>
        <v>15.59901692708333</v>
      </c>
      <c r="EM37" s="49">
        <f>IF(EI37=".",".",s_RadSpec!$K$22*EM22*$B$37)</f>
        <v>2.2634517482876713E-6</v>
      </c>
      <c r="EN37" s="49">
        <f t="shared" si="155"/>
        <v>15.599019190535078</v>
      </c>
    </row>
    <row r="38" spans="1:144" x14ac:dyDescent="0.25">
      <c r="A38" s="77" t="s">
        <v>1066</v>
      </c>
      <c r="B38" s="42">
        <v>1</v>
      </c>
      <c r="C38" s="42"/>
      <c r="D38" s="60">
        <f t="shared" ref="D38:O38" si="171">IFERROR(D2/$B38,".")</f>
        <v>4.2708194976576683</v>
      </c>
      <c r="E38" s="60">
        <f t="shared" si="171"/>
        <v>17.083277990630673</v>
      </c>
      <c r="F38" s="60">
        <f t="shared" si="171"/>
        <v>17.083277990630673</v>
      </c>
      <c r="G38" s="60">
        <f t="shared" si="171"/>
        <v>17.083277990630673</v>
      </c>
      <c r="H38" s="60">
        <f t="shared" si="171"/>
        <v>17.083277990630673</v>
      </c>
      <c r="I38" s="60">
        <f t="shared" si="171"/>
        <v>17.083277990630673</v>
      </c>
      <c r="J38" s="60">
        <f t="shared" si="171"/>
        <v>17.083277990630673</v>
      </c>
      <c r="K38" s="60">
        <f t="shared" si="171"/>
        <v>17.083277990630673</v>
      </c>
      <c r="L38" s="60">
        <f t="shared" si="171"/>
        <v>17.083277990630673</v>
      </c>
      <c r="M38" s="60">
        <f t="shared" si="171"/>
        <v>17.083277990630673</v>
      </c>
      <c r="N38" s="60">
        <f t="shared" si="171"/>
        <v>17.083277990630673</v>
      </c>
      <c r="O38" s="60">
        <f t="shared" si="171"/>
        <v>17.083277990630673</v>
      </c>
      <c r="P38" s="111">
        <f t="shared" si="142"/>
        <v>5.8536775000000013E-2</v>
      </c>
      <c r="Q38" s="111">
        <f t="shared" si="136"/>
        <v>5.8536775000000013E-2</v>
      </c>
      <c r="R38" s="111">
        <f t="shared" si="136"/>
        <v>5.8536775000000013E-2</v>
      </c>
      <c r="S38" s="111">
        <f t="shared" si="136"/>
        <v>5.8536775000000013E-2</v>
      </c>
      <c r="T38" s="111">
        <f t="shared" si="136"/>
        <v>5.8536775000000013E-2</v>
      </c>
      <c r="U38" s="111">
        <f t="shared" si="136"/>
        <v>5.8536775000000013E-2</v>
      </c>
      <c r="V38" s="111">
        <f t="shared" si="136"/>
        <v>5.8536775000000013E-2</v>
      </c>
      <c r="W38" s="111">
        <f t="shared" si="136"/>
        <v>5.8536775000000013E-2</v>
      </c>
      <c r="X38" s="111">
        <f t="shared" si="59"/>
        <v>5.8536775000000013E-2</v>
      </c>
      <c r="Y38" s="111">
        <f t="shared" si="59"/>
        <v>5.8536775000000013E-2</v>
      </c>
      <c r="Z38" s="111">
        <f t="shared" si="59"/>
        <v>5.8536775000000013E-2</v>
      </c>
      <c r="AA38" s="111">
        <f t="shared" si="59"/>
        <v>5.8536775000000013E-2</v>
      </c>
      <c r="AB38" s="60">
        <f>IFERROR(AB2/$B38,".")</f>
        <v>1.1388851993753786</v>
      </c>
      <c r="AC38" s="247">
        <f>IFERROR(AC2/$B38,0)</f>
        <v>1.9657470564561331E-11</v>
      </c>
      <c r="AD38" s="49">
        <f>s_dir!BC38</f>
        <v>5.8536774999999999</v>
      </c>
      <c r="AE38" s="49">
        <f>IF(E38=".",".",s_RadSpec!$F$2*AE2*$B$38)</f>
        <v>1.463419375</v>
      </c>
      <c r="AF38" s="49">
        <f>IF(F38=".",".",s_RadSpec!$F$2*AF2*$B$38)</f>
        <v>1.463419375</v>
      </c>
      <c r="AG38" s="49">
        <f>IF(G38=".",".",s_RadSpec!$F$2*AG2*$B$38)</f>
        <v>1.463419375</v>
      </c>
      <c r="AH38" s="49">
        <f>IF(H38=".",".",s_RadSpec!$F$2*AH2*$B$38)</f>
        <v>1.463419375</v>
      </c>
      <c r="AI38" s="49">
        <f>IF(I38=".",".",s_RadSpec!$F$2*AI2*$B$38)</f>
        <v>1.463419375</v>
      </c>
      <c r="AJ38" s="49">
        <f>IF(J38=".",".",s_RadSpec!$F$2*AJ2*$B$38)</f>
        <v>1.463419375</v>
      </c>
      <c r="AK38" s="49">
        <f>IF(K38=".",".",s_RadSpec!$F$2*AK2*$B$38)</f>
        <v>1.463419375</v>
      </c>
      <c r="AL38" s="49">
        <f>IF(L38=".",".",s_RadSpec!$F$2*AL2*$B$38)</f>
        <v>1.463419375</v>
      </c>
      <c r="AM38" s="49">
        <f>IF(M38=".",".",s_RadSpec!$F$2*AM2*$B$38)</f>
        <v>1.463419375</v>
      </c>
      <c r="AN38" s="49">
        <f>IF(N38=".",".",s_RadSpec!$F$2*AN2*$B$38)</f>
        <v>1.463419375</v>
      </c>
      <c r="AO38" s="49">
        <f>IF(O38=".",".",s_RadSpec!$F$2*AO2*$B$38)</f>
        <v>1.463419375</v>
      </c>
      <c r="AP38" s="60">
        <f t="shared" ref="AP38:BD38" si="172">IFERROR(AP2/$B38,".")</f>
        <v>8541.6389953153375</v>
      </c>
      <c r="AQ38" s="60">
        <f t="shared" si="172"/>
        <v>454865.42206828768</v>
      </c>
      <c r="AR38" s="60">
        <f t="shared" si="172"/>
        <v>66637.689051180758</v>
      </c>
      <c r="AS38" s="60">
        <f t="shared" si="172"/>
        <v>294.53927570052889</v>
      </c>
      <c r="AT38" s="60">
        <f t="shared" si="172"/>
        <v>1936.1048389381431</v>
      </c>
      <c r="AU38" s="60" t="str">
        <f t="shared" si="172"/>
        <v>.</v>
      </c>
      <c r="AV38" s="60">
        <f t="shared" si="172"/>
        <v>8541.6389953153357</v>
      </c>
      <c r="AW38" s="60">
        <f t="shared" si="172"/>
        <v>87978.881651747972</v>
      </c>
      <c r="AX38" s="60" t="str">
        <f t="shared" si="172"/>
        <v>.</v>
      </c>
      <c r="AY38" s="60" t="str">
        <f t="shared" si="172"/>
        <v>.</v>
      </c>
      <c r="AZ38" s="60" t="str">
        <f t="shared" si="172"/>
        <v>.</v>
      </c>
      <c r="BA38" s="60" t="str">
        <f t="shared" si="172"/>
        <v>.</v>
      </c>
      <c r="BB38" s="60" t="str">
        <f t="shared" si="172"/>
        <v>.</v>
      </c>
      <c r="BC38" s="60" t="str">
        <f t="shared" si="172"/>
        <v>.</v>
      </c>
      <c r="BD38" s="60" t="str">
        <f t="shared" si="172"/>
        <v>.</v>
      </c>
      <c r="BE38" s="111">
        <f t="shared" si="69"/>
        <v>1.1707355000000001E-4</v>
      </c>
      <c r="BF38" s="111">
        <f t="shared" si="70"/>
        <v>2.1984524465565395E-6</v>
      </c>
      <c r="BG38" s="111">
        <f t="shared" si="71"/>
        <v>1.5006522798711623E-5</v>
      </c>
      <c r="BH38" s="111">
        <f t="shared" si="72"/>
        <v>3.39513295E-3</v>
      </c>
      <c r="BI38" s="111">
        <f t="shared" si="73"/>
        <v>5.1650095588235301E-4</v>
      </c>
      <c r="BJ38" s="111" t="str">
        <f t="shared" si="74"/>
        <v>.</v>
      </c>
      <c r="BK38" s="111">
        <f t="shared" si="75"/>
        <v>1.1707355000000003E-4</v>
      </c>
      <c r="BL38" s="111">
        <f t="shared" si="76"/>
        <v>1.1366364077669904E-5</v>
      </c>
      <c r="BM38" s="111" t="str">
        <f t="shared" si="77"/>
        <v>.</v>
      </c>
      <c r="BN38" s="111" t="str">
        <f t="shared" si="78"/>
        <v>.</v>
      </c>
      <c r="BO38" s="111" t="str">
        <f t="shared" si="79"/>
        <v>.</v>
      </c>
      <c r="BP38" s="111" t="str">
        <f t="shared" si="80"/>
        <v>.</v>
      </c>
      <c r="BQ38" s="111" t="str">
        <f t="shared" si="81"/>
        <v>.</v>
      </c>
      <c r="BR38" s="111" t="str">
        <f t="shared" si="82"/>
        <v>.</v>
      </c>
      <c r="BS38" s="111" t="str">
        <f t="shared" si="83"/>
        <v>.</v>
      </c>
      <c r="BT38" s="60">
        <f>IFERROR(BT2/$B38,".")</f>
        <v>239.55811999162253</v>
      </c>
      <c r="BU38" s="189">
        <f>IFERROR(BU2/$B38,0)</f>
        <v>4.1348387834170464E-9</v>
      </c>
      <c r="BV38" s="49">
        <f>IF(AP38=".",".",s_RadSpec!$E$2*BV2*$B$38)</f>
        <v>2.9268387500000002E-3</v>
      </c>
      <c r="BW38" s="49">
        <f>IF(AQ38=".",".",s_RadSpec!$H$2*BW2*$B$38)</f>
        <v>5.4961311163913495E-5</v>
      </c>
      <c r="BX38" s="49">
        <f>IF(AR38=".",".",s_RadSpec!$G$2*BX2*$B$38)</f>
        <v>3.751630699677907E-4</v>
      </c>
      <c r="BY38" s="49">
        <f>s_b2s!CC38</f>
        <v>8.4878323749999998E-2</v>
      </c>
      <c r="BZ38" s="49">
        <f>IF(AT38=".",".",s_RadSpec!$F$2*BZ2*$B$38)</f>
        <v>1.2912523897058825E-2</v>
      </c>
      <c r="CA38" s="49" t="str">
        <f>IF(AU38=".",".",s_RadSpec!$F$2*CA2*$B$38)</f>
        <v>.</v>
      </c>
      <c r="CB38" s="49">
        <f>IF(AV38=".",".",s_RadSpec!$F$2*CB2*$B$38)</f>
        <v>2.9268387500000007E-3</v>
      </c>
      <c r="CC38" s="49">
        <f>IF(AW38=".",".",s_RadSpec!$F$2*CC2*$B$38)</f>
        <v>2.8415910194174755E-4</v>
      </c>
      <c r="CD38" s="49" t="str">
        <f>IF(AX38=".",".",s_RadSpec!$F$2*CD2*$B$38)</f>
        <v>.</v>
      </c>
      <c r="CE38" s="49" t="str">
        <f>IF(AY38=".",".",s_RadSpec!$F$2*CE2*$B$38)</f>
        <v>.</v>
      </c>
      <c r="CF38" s="49" t="str">
        <f>IF(AZ38=".",".",s_RadSpec!$F$2*CF2*$B$38)</f>
        <v>.</v>
      </c>
      <c r="CG38" s="49" t="str">
        <f>IF(BA38=".",".",s_RadSpec!$F$2*CG2*$B$38)</f>
        <v>.</v>
      </c>
      <c r="CH38" s="49" t="str">
        <f>IF(BB38=".",".",s_RadSpec!$F$2*CH2*$B$38)</f>
        <v>.</v>
      </c>
      <c r="CI38" s="49" t="str">
        <f>IF(BC38=".",".",s_RadSpec!$F$2*CI2*$B$38)</f>
        <v>.</v>
      </c>
      <c r="CJ38" s="49" t="str">
        <f>IF(BD38=".",".",s_RadSpec!$F$2*CJ2*$B$38)</f>
        <v>.</v>
      </c>
      <c r="CK38" s="49">
        <f t="shared" si="147"/>
        <v>0.10435880863013229</v>
      </c>
      <c r="CL38" s="60">
        <f>IFERROR(CL2/$B38,".")</f>
        <v>93.958028948468709</v>
      </c>
      <c r="CM38" s="60" t="str">
        <f>IFERROR(CM2,".")</f>
        <v>.</v>
      </c>
      <c r="CN38" s="60">
        <f t="shared" ref="CN38:CZ38" si="173">IFERROR(CN2/$B38,".")</f>
        <v>1353241.1433392495</v>
      </c>
      <c r="CO38" s="60">
        <f t="shared" si="173"/>
        <v>359.02789915076602</v>
      </c>
      <c r="CP38" s="60">
        <f t="shared" si="173"/>
        <v>1138.8851993753783</v>
      </c>
      <c r="CQ38" s="60" t="str">
        <f t="shared" si="173"/>
        <v>.</v>
      </c>
      <c r="CR38" s="60">
        <f t="shared" si="173"/>
        <v>170832779.90630671</v>
      </c>
      <c r="CS38" s="60">
        <f t="shared" si="173"/>
        <v>1759577633.0349596</v>
      </c>
      <c r="CT38" s="60" t="str">
        <f t="shared" si="173"/>
        <v>.</v>
      </c>
      <c r="CU38" s="60" t="str">
        <f t="shared" si="173"/>
        <v>.</v>
      </c>
      <c r="CV38" s="60" t="str">
        <f t="shared" si="173"/>
        <v>.</v>
      </c>
      <c r="CW38" s="60" t="str">
        <f t="shared" si="173"/>
        <v>.</v>
      </c>
      <c r="CX38" s="60" t="str">
        <f t="shared" si="173"/>
        <v>.</v>
      </c>
      <c r="CY38" s="60" t="str">
        <f t="shared" si="173"/>
        <v>.</v>
      </c>
      <c r="CZ38" s="60" t="str">
        <f t="shared" si="173"/>
        <v>.</v>
      </c>
      <c r="DA38" s="111">
        <f t="shared" si="101"/>
        <v>1.0643050000000001E-2</v>
      </c>
      <c r="DB38" s="111" t="str">
        <f t="shared" si="102"/>
        <v>.</v>
      </c>
      <c r="DC38" s="111">
        <f t="shared" si="103"/>
        <v>7.3896659506849319E-7</v>
      </c>
      <c r="DD38" s="111">
        <f t="shared" si="104"/>
        <v>2.7852988649778206E-3</v>
      </c>
      <c r="DE38" s="111">
        <f t="shared" si="105"/>
        <v>8.7805162500000013E-4</v>
      </c>
      <c r="DF38" s="111" t="str">
        <f t="shared" si="106"/>
        <v>.</v>
      </c>
      <c r="DG38" s="111">
        <f t="shared" si="107"/>
        <v>5.8536775000000013E-9</v>
      </c>
      <c r="DH38" s="111">
        <f t="shared" si="108"/>
        <v>5.6831820388349521E-10</v>
      </c>
      <c r="DI38" s="111" t="str">
        <f t="shared" si="109"/>
        <v>.</v>
      </c>
      <c r="DJ38" s="111" t="str">
        <f t="shared" si="110"/>
        <v>.</v>
      </c>
      <c r="DK38" s="111" t="str">
        <f t="shared" si="111"/>
        <v>.</v>
      </c>
      <c r="DL38" s="111" t="str">
        <f t="shared" si="112"/>
        <v>.</v>
      </c>
      <c r="DM38" s="111" t="str">
        <f t="shared" si="113"/>
        <v>.</v>
      </c>
      <c r="DN38" s="111" t="str">
        <f t="shared" si="114"/>
        <v>.</v>
      </c>
      <c r="DO38" s="111" t="str">
        <f t="shared" si="115"/>
        <v>.</v>
      </c>
      <c r="DP38" s="60">
        <f>IFERROR(DP2/$B38,".")</f>
        <v>69.895142503436077</v>
      </c>
      <c r="DQ38" s="189">
        <f t="shared" ref="DQ38" si="174">IFERROR(DQ2/$B38,0)</f>
        <v>1.2064093089634173E-12</v>
      </c>
      <c r="DR38" s="49">
        <f>IF(CL38=".",".",s_RadSpec!$I$2*DR2*$B$38)</f>
        <v>0.26607625000000001</v>
      </c>
      <c r="DS38" s="49" t="str">
        <f>IF(CM38=".",".",s_RadSpec!$H$2*DS2)</f>
        <v>.</v>
      </c>
      <c r="DT38" s="49">
        <f>IF(CN38=".",".",s_RadSpec!$M$2*DT2*$B$38)</f>
        <v>1.8474164876712329E-5</v>
      </c>
      <c r="DU38" s="49">
        <f>s_b2w!CC38</f>
        <v>6.9632471624445511E-2</v>
      </c>
      <c r="DV38" s="49">
        <f>IF(CP38=".",".",s_RadSpec!$F$2*DV2*$B$38)</f>
        <v>2.1951290625000001E-2</v>
      </c>
      <c r="DW38" s="49" t="str">
        <f>IF(CQ38=".",".",s_RadSpec!$F$2*DW2*$B$38)</f>
        <v>.</v>
      </c>
      <c r="DX38" s="49">
        <f>IF(CR38=".",".",s_RadSpec!$F$2*DX2*$B$38)</f>
        <v>1.4634193750000001E-7</v>
      </c>
      <c r="DY38" s="49">
        <f>IF(CS38=".",".",s_RadSpec!$F$2*DY2*$B$38)</f>
        <v>1.4207955097087379E-8</v>
      </c>
      <c r="DZ38" s="49" t="str">
        <f>IF(CT38=".",".",s_RadSpec!$F$2*DZ2*$B$38)</f>
        <v>.</v>
      </c>
      <c r="EA38" s="49" t="str">
        <f>IF(CU38=".",".",s_RadSpec!$F$2*EA2*$B$38)</f>
        <v>.</v>
      </c>
      <c r="EB38" s="49" t="str">
        <f>IF(CV38=".",".",s_RadSpec!$F$2*EB2*$B$38)</f>
        <v>.</v>
      </c>
      <c r="EC38" s="49" t="str">
        <f>IF(CW38=".",".",s_RadSpec!$F$2*EC2*$B$38)</f>
        <v>.</v>
      </c>
      <c r="ED38" s="49" t="str">
        <f>IF(CX38=".",".",s_RadSpec!$F$2*ED2*$B$38)</f>
        <v>.</v>
      </c>
      <c r="EE38" s="49" t="str">
        <f>IF(CY38=".",".",s_RadSpec!$F$2*EE2*$B$38)</f>
        <v>.</v>
      </c>
      <c r="EF38" s="49" t="str">
        <f>IF(CZ38=".",".",s_RadSpec!$F$2*EF2*$B$38)</f>
        <v>.</v>
      </c>
      <c r="EG38" s="49">
        <f t="shared" si="152"/>
        <v>0.35767864696421486</v>
      </c>
      <c r="EH38" s="60">
        <f>IFERROR(EH2/$B38,".")</f>
        <v>1.4682367623544095</v>
      </c>
      <c r="EI38" s="60">
        <f>IFERROR(EI2/$B38,".")</f>
        <v>4820024.991116479</v>
      </c>
      <c r="EJ38" s="60">
        <f>IFERROR(EJ2/$B38,".")</f>
        <v>1.4682363151122193</v>
      </c>
      <c r="EK38" s="189">
        <f t="shared" ref="EK38" si="175">IFERROR(EK2/$B38,0)</f>
        <v>2.5342161055361594E-14</v>
      </c>
      <c r="EL38" s="49">
        <f>IF(EH38=".",".",s_RadSpec!$H$2*EL2*$B$38)</f>
        <v>17.027226562499997</v>
      </c>
      <c r="EM38" s="49">
        <f>IF(EI38=".",".",s_RadSpec!$K$2*EM2*$B$38)</f>
        <v>5.1866950993150682E-6</v>
      </c>
      <c r="EN38" s="49">
        <f t="shared" si="155"/>
        <v>17.027231749195096</v>
      </c>
    </row>
    <row r="39" spans="1:144" x14ac:dyDescent="0.25">
      <c r="A39" s="77" t="s">
        <v>1067</v>
      </c>
      <c r="B39" s="42">
        <v>1</v>
      </c>
      <c r="C39" s="42"/>
      <c r="D39" s="60" t="str">
        <f t="shared" ref="D39:O39" si="176">IFERROR(D11/$B39,".")</f>
        <v>.</v>
      </c>
      <c r="E39" s="60" t="str">
        <f t="shared" si="176"/>
        <v>.</v>
      </c>
      <c r="F39" s="60" t="str">
        <f t="shared" si="176"/>
        <v>.</v>
      </c>
      <c r="G39" s="60" t="str">
        <f t="shared" si="176"/>
        <v>.</v>
      </c>
      <c r="H39" s="60" t="str">
        <f t="shared" si="176"/>
        <v>.</v>
      </c>
      <c r="I39" s="60" t="str">
        <f t="shared" si="176"/>
        <v>.</v>
      </c>
      <c r="J39" s="60" t="str">
        <f t="shared" si="176"/>
        <v>.</v>
      </c>
      <c r="K39" s="60" t="str">
        <f t="shared" si="176"/>
        <v>.</v>
      </c>
      <c r="L39" s="60" t="str">
        <f t="shared" si="176"/>
        <v>.</v>
      </c>
      <c r="M39" s="60" t="str">
        <f t="shared" si="176"/>
        <v>.</v>
      </c>
      <c r="N39" s="60" t="str">
        <f t="shared" si="176"/>
        <v>.</v>
      </c>
      <c r="O39" s="60" t="str">
        <f t="shared" si="176"/>
        <v>.</v>
      </c>
      <c r="P39" s="111" t="str">
        <f t="shared" si="142"/>
        <v>.</v>
      </c>
      <c r="Q39" s="111" t="str">
        <f t="shared" si="136"/>
        <v>.</v>
      </c>
      <c r="R39" s="111" t="str">
        <f t="shared" si="136"/>
        <v>.</v>
      </c>
      <c r="S39" s="111" t="str">
        <f t="shared" si="136"/>
        <v>.</v>
      </c>
      <c r="T39" s="111" t="str">
        <f t="shared" si="136"/>
        <v>.</v>
      </c>
      <c r="U39" s="111" t="str">
        <f t="shared" si="136"/>
        <v>.</v>
      </c>
      <c r="V39" s="111" t="str">
        <f t="shared" si="136"/>
        <v>.</v>
      </c>
      <c r="W39" s="111" t="str">
        <f t="shared" si="136"/>
        <v>.</v>
      </c>
      <c r="X39" s="111" t="str">
        <f t="shared" si="59"/>
        <v>.</v>
      </c>
      <c r="Y39" s="111" t="str">
        <f t="shared" si="59"/>
        <v>.</v>
      </c>
      <c r="Z39" s="111" t="str">
        <f t="shared" si="59"/>
        <v>.</v>
      </c>
      <c r="AA39" s="111" t="str">
        <f t="shared" si="59"/>
        <v>.</v>
      </c>
      <c r="AB39" s="60" t="str">
        <f>IFERROR(AB11/$B39,".")</f>
        <v>.</v>
      </c>
      <c r="AC39" s="247">
        <f>IFERROR(AC11/$B39,0)</f>
        <v>0</v>
      </c>
      <c r="AD39" s="49" t="str">
        <f>s_dir!BC39</f>
        <v>.</v>
      </c>
      <c r="AE39" s="49" t="str">
        <f>IF(E39=".",".",s_RadSpec!$F$11*AE11*$B$39)</f>
        <v>.</v>
      </c>
      <c r="AF39" s="49" t="str">
        <f>IF(F39=".",".",s_RadSpec!$F$11*AF11*$B$39)</f>
        <v>.</v>
      </c>
      <c r="AG39" s="49" t="str">
        <f>IF(G39=".",".",s_RadSpec!$F$11*AG11*$B$39)</f>
        <v>.</v>
      </c>
      <c r="AH39" s="49" t="str">
        <f>IF(H39=".",".",s_RadSpec!$F$11*AH11*$B$39)</f>
        <v>.</v>
      </c>
      <c r="AI39" s="49" t="str">
        <f>IF(I39=".",".",s_RadSpec!$F$11*AI11*$B$39)</f>
        <v>.</v>
      </c>
      <c r="AJ39" s="49" t="str">
        <f>IF(J39=".",".",s_RadSpec!$F$11*AJ11*$B$39)</f>
        <v>.</v>
      </c>
      <c r="AK39" s="49" t="str">
        <f>IF(K39=".",".",s_RadSpec!$F$11*AK11*$B$39)</f>
        <v>.</v>
      </c>
      <c r="AL39" s="49" t="str">
        <f>IF(L39=".",".",s_RadSpec!$F$11*AL11*$B$39)</f>
        <v>.</v>
      </c>
      <c r="AM39" s="49" t="str">
        <f>IF(M39=".",".",s_RadSpec!$F$11*AM11*$B$39)</f>
        <v>.</v>
      </c>
      <c r="AN39" s="49" t="str">
        <f>IF(N39=".",".",s_RadSpec!$F$11*AN11*$B$39)</f>
        <v>.</v>
      </c>
      <c r="AO39" s="49" t="str">
        <f>IF(O39=".",".",s_RadSpec!$F$11*AO11*$B$39)</f>
        <v>.</v>
      </c>
      <c r="AP39" s="60" t="str">
        <f t="shared" ref="AP39:BD39" si="177">IFERROR(AP11/$B39,".")</f>
        <v>.</v>
      </c>
      <c r="AQ39" s="60" t="str">
        <f t="shared" si="177"/>
        <v>.</v>
      </c>
      <c r="AR39" s="60">
        <f t="shared" si="177"/>
        <v>23270.799854946821</v>
      </c>
      <c r="AS39" s="60" t="str">
        <f t="shared" si="177"/>
        <v>.</v>
      </c>
      <c r="AT39" s="60" t="str">
        <f t="shared" si="177"/>
        <v>.</v>
      </c>
      <c r="AU39" s="60" t="str">
        <f t="shared" si="177"/>
        <v>.</v>
      </c>
      <c r="AV39" s="60" t="str">
        <f t="shared" si="177"/>
        <v>.</v>
      </c>
      <c r="AW39" s="60" t="str">
        <f t="shared" si="177"/>
        <v>.</v>
      </c>
      <c r="AX39" s="60" t="str">
        <f t="shared" si="177"/>
        <v>.</v>
      </c>
      <c r="AY39" s="60" t="str">
        <f t="shared" si="177"/>
        <v>.</v>
      </c>
      <c r="AZ39" s="60" t="str">
        <f t="shared" si="177"/>
        <v>.</v>
      </c>
      <c r="BA39" s="60" t="str">
        <f t="shared" si="177"/>
        <v>.</v>
      </c>
      <c r="BB39" s="60" t="str">
        <f t="shared" si="177"/>
        <v>.</v>
      </c>
      <c r="BC39" s="60" t="str">
        <f t="shared" si="177"/>
        <v>.</v>
      </c>
      <c r="BD39" s="60" t="str">
        <f t="shared" si="177"/>
        <v>.</v>
      </c>
      <c r="BE39" s="111" t="str">
        <f t="shared" si="69"/>
        <v>.</v>
      </c>
      <c r="BF39" s="111" t="str">
        <f t="shared" si="70"/>
        <v>.</v>
      </c>
      <c r="BG39" s="111">
        <f t="shared" si="71"/>
        <v>4.297230891216761E-5</v>
      </c>
      <c r="BH39" s="111" t="str">
        <f t="shared" si="72"/>
        <v>.</v>
      </c>
      <c r="BI39" s="111" t="str">
        <f t="shared" si="73"/>
        <v>.</v>
      </c>
      <c r="BJ39" s="111" t="str">
        <f t="shared" si="74"/>
        <v>.</v>
      </c>
      <c r="BK39" s="111" t="str">
        <f t="shared" si="75"/>
        <v>.</v>
      </c>
      <c r="BL39" s="111" t="str">
        <f t="shared" si="76"/>
        <v>.</v>
      </c>
      <c r="BM39" s="111" t="str">
        <f t="shared" si="77"/>
        <v>.</v>
      </c>
      <c r="BN39" s="111" t="str">
        <f t="shared" si="78"/>
        <v>.</v>
      </c>
      <c r="BO39" s="111" t="str">
        <f t="shared" si="79"/>
        <v>.</v>
      </c>
      <c r="BP39" s="111" t="str">
        <f t="shared" si="80"/>
        <v>.</v>
      </c>
      <c r="BQ39" s="111" t="str">
        <f t="shared" si="81"/>
        <v>.</v>
      </c>
      <c r="BR39" s="111" t="str">
        <f t="shared" si="82"/>
        <v>.</v>
      </c>
      <c r="BS39" s="111" t="str">
        <f t="shared" si="83"/>
        <v>.</v>
      </c>
      <c r="BT39" s="60">
        <f>IFERROR(BT11/$B39,".")</f>
        <v>23270.799854946821</v>
      </c>
      <c r="BU39" s="189">
        <f>IFERROR(BU11/$B39,0)</f>
        <v>1.3424630452089304E-10</v>
      </c>
      <c r="BV39" s="49" t="str">
        <f>IF(AP39=".",".",s_RadSpec!$E$11*BV11*$B$39)</f>
        <v>.</v>
      </c>
      <c r="BW39" s="49" t="str">
        <f>IF(AQ39=".",".",s_RadSpec!$H$11*BW11*$B$39)</f>
        <v>.</v>
      </c>
      <c r="BX39" s="49">
        <f>IF(AR39=".",".",s_RadSpec!$G$11*BX11*$B$39)</f>
        <v>1.0743077228041902E-3</v>
      </c>
      <c r="BY39" s="49" t="str">
        <f>s_b2s!CC39</f>
        <v>.</v>
      </c>
      <c r="BZ39" s="49" t="str">
        <f>IF(AT39=".",".",s_RadSpec!$F$11*BZ11*$B$39)</f>
        <v>.</v>
      </c>
      <c r="CA39" s="49" t="str">
        <f>IF(AU39=".",".",s_RadSpec!$F$11*CA11*$B$39)</f>
        <v>.</v>
      </c>
      <c r="CB39" s="49" t="str">
        <f>IF(AV39=".",".",s_RadSpec!$F$11*CB11*$B$39)</f>
        <v>.</v>
      </c>
      <c r="CC39" s="49" t="str">
        <f>IF(AW39=".",".",s_RadSpec!$F$11*CC11*$B$39)</f>
        <v>.</v>
      </c>
      <c r="CD39" s="49" t="str">
        <f>IF(AX39=".",".",s_RadSpec!$F$11*CD11*$B$39)</f>
        <v>.</v>
      </c>
      <c r="CE39" s="49" t="str">
        <f>IF(AY39=".",".",s_RadSpec!$F$11*CE11*$B$39)</f>
        <v>.</v>
      </c>
      <c r="CF39" s="49" t="str">
        <f>IF(AZ39=".",".",s_RadSpec!$F$11*CF11*$B$39)</f>
        <v>.</v>
      </c>
      <c r="CG39" s="49" t="str">
        <f>IF(BA39=".",".",s_RadSpec!$F$11*CG11*$B$39)</f>
        <v>.</v>
      </c>
      <c r="CH39" s="49" t="str">
        <f>IF(BB39=".",".",s_RadSpec!$F$11*CH11*$B$39)</f>
        <v>.</v>
      </c>
      <c r="CI39" s="49" t="str">
        <f>IF(BC39=".",".",s_RadSpec!$F$11*CI11*$B$39)</f>
        <v>.</v>
      </c>
      <c r="CJ39" s="49" t="str">
        <f>IF(BD39=".",".",s_RadSpec!$F$11*CJ11*$B$39)</f>
        <v>.</v>
      </c>
      <c r="CK39" s="49">
        <f t="shared" si="147"/>
        <v>1.0743077228041902E-3</v>
      </c>
      <c r="CL39" s="60" t="str">
        <f>IFERROR(CL11/$B39,".")</f>
        <v>.</v>
      </c>
      <c r="CM39" s="60" t="str">
        <f>IFERROR(CM11,".")</f>
        <v>.</v>
      </c>
      <c r="CN39" s="60">
        <f t="shared" ref="CN39:CZ39" si="178">IFERROR(CN11/$B39,".")</f>
        <v>620030.4874936199</v>
      </c>
      <c r="CO39" s="60" t="str">
        <f t="shared" si="178"/>
        <v>.</v>
      </c>
      <c r="CP39" s="60" t="str">
        <f t="shared" si="178"/>
        <v>.</v>
      </c>
      <c r="CQ39" s="60" t="str">
        <f t="shared" si="178"/>
        <v>.</v>
      </c>
      <c r="CR39" s="60" t="str">
        <f t="shared" si="178"/>
        <v>.</v>
      </c>
      <c r="CS39" s="60" t="str">
        <f t="shared" si="178"/>
        <v>.</v>
      </c>
      <c r="CT39" s="60" t="str">
        <f t="shared" si="178"/>
        <v>.</v>
      </c>
      <c r="CU39" s="60" t="str">
        <f t="shared" si="178"/>
        <v>.</v>
      </c>
      <c r="CV39" s="60" t="str">
        <f t="shared" si="178"/>
        <v>.</v>
      </c>
      <c r="CW39" s="60" t="str">
        <f t="shared" si="178"/>
        <v>.</v>
      </c>
      <c r="CX39" s="60" t="str">
        <f t="shared" si="178"/>
        <v>.</v>
      </c>
      <c r="CY39" s="60" t="str">
        <f t="shared" si="178"/>
        <v>.</v>
      </c>
      <c r="CZ39" s="60" t="str">
        <f t="shared" si="178"/>
        <v>.</v>
      </c>
      <c r="DA39" s="111" t="str">
        <f t="shared" si="101"/>
        <v>.</v>
      </c>
      <c r="DB39" s="111" t="str">
        <f t="shared" si="102"/>
        <v>.</v>
      </c>
      <c r="DC39" s="111">
        <f t="shared" si="103"/>
        <v>1.612823917808219E-6</v>
      </c>
      <c r="DD39" s="111" t="str">
        <f t="shared" si="104"/>
        <v>.</v>
      </c>
      <c r="DE39" s="111" t="str">
        <f t="shared" si="105"/>
        <v>.</v>
      </c>
      <c r="DF39" s="111" t="str">
        <f t="shared" si="106"/>
        <v>.</v>
      </c>
      <c r="DG39" s="111" t="str">
        <f t="shared" si="107"/>
        <v>.</v>
      </c>
      <c r="DH39" s="111" t="str">
        <f t="shared" si="108"/>
        <v>.</v>
      </c>
      <c r="DI39" s="111" t="str">
        <f t="shared" si="109"/>
        <v>.</v>
      </c>
      <c r="DJ39" s="111" t="str">
        <f t="shared" si="110"/>
        <v>.</v>
      </c>
      <c r="DK39" s="111" t="str">
        <f t="shared" si="111"/>
        <v>.</v>
      </c>
      <c r="DL39" s="111" t="str">
        <f t="shared" si="112"/>
        <v>.</v>
      </c>
      <c r="DM39" s="111" t="str">
        <f t="shared" si="113"/>
        <v>.</v>
      </c>
      <c r="DN39" s="111" t="str">
        <f t="shared" si="114"/>
        <v>.</v>
      </c>
      <c r="DO39" s="111" t="str">
        <f t="shared" si="115"/>
        <v>.</v>
      </c>
      <c r="DP39" s="60">
        <f>IFERROR(DP11/$B39,".")</f>
        <v>620030.4874936199</v>
      </c>
      <c r="DQ39" s="189">
        <f t="shared" ref="DQ39" si="179">IFERROR(DQ11/$B39,0)</f>
        <v>3.576877552776171E-12</v>
      </c>
      <c r="DR39" s="49" t="str">
        <f>IF(CL39=".",".",s_RadSpec!$I$11*DR11*$B$39)</f>
        <v>.</v>
      </c>
      <c r="DS39" s="49" t="str">
        <f>IF(CM39=".",".",s_RadSpec!$H$11*DS11)</f>
        <v>.</v>
      </c>
      <c r="DT39" s="49">
        <f>IF(CN39=".",".",s_RadSpec!$M$11*DT11*$B$39)</f>
        <v>4.0320597945205475E-5</v>
      </c>
      <c r="DU39" s="49" t="str">
        <f>s_b2w!CC39</f>
        <v>.</v>
      </c>
      <c r="DV39" s="49" t="str">
        <f>IF(CP39=".",".",s_RadSpec!$F$11*DV11*$B$39)</f>
        <v>.</v>
      </c>
      <c r="DW39" s="49" t="str">
        <f>IF(CQ39=".",".",s_RadSpec!$F$11*DW11*$B$39)</f>
        <v>.</v>
      </c>
      <c r="DX39" s="49" t="str">
        <f>IF(CR39=".",".",s_RadSpec!$F$11*DX11*$B$39)</f>
        <v>.</v>
      </c>
      <c r="DY39" s="49" t="str">
        <f>IF(CS39=".",".",s_RadSpec!$F$11*DY11*$B$39)</f>
        <v>.</v>
      </c>
      <c r="DZ39" s="49" t="str">
        <f>IF(CT39=".",".",s_RadSpec!$F$11*DZ11*$B$39)</f>
        <v>.</v>
      </c>
      <c r="EA39" s="49" t="str">
        <f>IF(CU39=".",".",s_RadSpec!$F$11*EA11*$B$39)</f>
        <v>.</v>
      </c>
      <c r="EB39" s="49" t="str">
        <f>IF(CV39=".",".",s_RadSpec!$F$11*EB11*$B$39)</f>
        <v>.</v>
      </c>
      <c r="EC39" s="49" t="str">
        <f>IF(CW39=".",".",s_RadSpec!$F$11*EC11*$B$39)</f>
        <v>.</v>
      </c>
      <c r="ED39" s="49" t="str">
        <f>IF(CX39=".",".",s_RadSpec!$F$11*ED11*$B$39)</f>
        <v>.</v>
      </c>
      <c r="EE39" s="49" t="str">
        <f>IF(CY39=".",".",s_RadSpec!$F$11*EE11*$B$39)</f>
        <v>.</v>
      </c>
      <c r="EF39" s="49" t="str">
        <f>IF(CZ39=".",".",s_RadSpec!$F$11*EF11*$B$39)</f>
        <v>.</v>
      </c>
      <c r="EG39" s="49">
        <f t="shared" si="152"/>
        <v>4.0320597945205475E-5</v>
      </c>
      <c r="EH39" s="60" t="str">
        <f>IFERROR(EH11/$B39,".")</f>
        <v>.</v>
      </c>
      <c r="EI39" s="60">
        <f>IFERROR(EI11/$B39,".")</f>
        <v>2182507.3159775422</v>
      </c>
      <c r="EJ39" s="60">
        <f>IFERROR(EJ11/$B39,".")</f>
        <v>2182507.3159775422</v>
      </c>
      <c r="EK39" s="189">
        <f t="shared" ref="EK39" si="180">IFERROR(EK11/$B39,0)</f>
        <v>1.2590608985772122E-11</v>
      </c>
      <c r="EL39" s="49" t="str">
        <f>IF(EH39=".",".",s_RadSpec!$H$11*EL11*$B$39)</f>
        <v>.</v>
      </c>
      <c r="EM39" s="49">
        <f>IF(EI39=".",".",s_RadSpec!$K$11*EM11*$B$39)</f>
        <v>1.1454715325342465E-5</v>
      </c>
      <c r="EN39" s="49">
        <f t="shared" si="155"/>
        <v>1.1454715325342465E-5</v>
      </c>
    </row>
    <row r="40" spans="1:144" x14ac:dyDescent="0.25">
      <c r="A40" s="77" t="s">
        <v>1068</v>
      </c>
      <c r="B40" s="42">
        <v>1</v>
      </c>
      <c r="C40" s="42"/>
      <c r="D40" s="60" t="str">
        <f t="shared" ref="D40:O40" si="181">IFERROR(D4/$B40,".")</f>
        <v>.</v>
      </c>
      <c r="E40" s="60" t="str">
        <f t="shared" si="181"/>
        <v>.</v>
      </c>
      <c r="F40" s="60" t="str">
        <f t="shared" si="181"/>
        <v>.</v>
      </c>
      <c r="G40" s="60" t="str">
        <f t="shared" si="181"/>
        <v>.</v>
      </c>
      <c r="H40" s="60" t="str">
        <f t="shared" si="181"/>
        <v>.</v>
      </c>
      <c r="I40" s="60" t="str">
        <f t="shared" si="181"/>
        <v>.</v>
      </c>
      <c r="J40" s="60" t="str">
        <f t="shared" si="181"/>
        <v>.</v>
      </c>
      <c r="K40" s="60" t="str">
        <f t="shared" si="181"/>
        <v>.</v>
      </c>
      <c r="L40" s="60" t="str">
        <f t="shared" si="181"/>
        <v>.</v>
      </c>
      <c r="M40" s="60" t="str">
        <f t="shared" si="181"/>
        <v>.</v>
      </c>
      <c r="N40" s="60" t="str">
        <f t="shared" si="181"/>
        <v>.</v>
      </c>
      <c r="O40" s="60" t="str">
        <f t="shared" si="181"/>
        <v>.</v>
      </c>
      <c r="P40" s="111" t="str">
        <f t="shared" si="142"/>
        <v>.</v>
      </c>
      <c r="Q40" s="111" t="str">
        <f t="shared" si="136"/>
        <v>.</v>
      </c>
      <c r="R40" s="111" t="str">
        <f t="shared" si="136"/>
        <v>.</v>
      </c>
      <c r="S40" s="111" t="str">
        <f t="shared" si="136"/>
        <v>.</v>
      </c>
      <c r="T40" s="111" t="str">
        <f t="shared" si="136"/>
        <v>.</v>
      </c>
      <c r="U40" s="111" t="str">
        <f t="shared" si="136"/>
        <v>.</v>
      </c>
      <c r="V40" s="111" t="str">
        <f t="shared" si="136"/>
        <v>.</v>
      </c>
      <c r="W40" s="111" t="str">
        <f t="shared" si="136"/>
        <v>.</v>
      </c>
      <c r="X40" s="111" t="str">
        <f t="shared" si="59"/>
        <v>.</v>
      </c>
      <c r="Y40" s="111" t="str">
        <f t="shared" si="59"/>
        <v>.</v>
      </c>
      <c r="Z40" s="111" t="str">
        <f t="shared" si="59"/>
        <v>.</v>
      </c>
      <c r="AA40" s="111" t="str">
        <f t="shared" si="59"/>
        <v>.</v>
      </c>
      <c r="AB40" s="60" t="str">
        <f>IFERROR(AB4/$B40,".")</f>
        <v>.</v>
      </c>
      <c r="AC40" s="247">
        <f>IFERROR(AC4/$B40,0)</f>
        <v>0</v>
      </c>
      <c r="AD40" s="49" t="str">
        <f>s_dir!BC40</f>
        <v>.</v>
      </c>
      <c r="AE40" s="49" t="str">
        <f>IF(E40=".",".",s_RadSpec!$F$4*AE4*$B$40)</f>
        <v>.</v>
      </c>
      <c r="AF40" s="49" t="str">
        <f>IF(F40=".",".",s_RadSpec!$F$4*AF4*$B$40)</f>
        <v>.</v>
      </c>
      <c r="AG40" s="49" t="str">
        <f>IF(G40=".",".",s_RadSpec!$F$4*AG4*$B$40)</f>
        <v>.</v>
      </c>
      <c r="AH40" s="49" t="str">
        <f>IF(H40=".",".",s_RadSpec!$F$4*AH4*$B$40)</f>
        <v>.</v>
      </c>
      <c r="AI40" s="49" t="str">
        <f>IF(I40=".",".",s_RadSpec!$F$4*AI4*$B$40)</f>
        <v>.</v>
      </c>
      <c r="AJ40" s="49" t="str">
        <f>IF(J40=".",".",s_RadSpec!$F$4*AJ4*$B$40)</f>
        <v>.</v>
      </c>
      <c r="AK40" s="49" t="str">
        <f>IF(K40=".",".",s_RadSpec!$F$4*AK4*$B$40)</f>
        <v>.</v>
      </c>
      <c r="AL40" s="49" t="str">
        <f>IF(L40=".",".",s_RadSpec!$F$4*AL4*$B$40)</f>
        <v>.</v>
      </c>
      <c r="AM40" s="49" t="str">
        <f>IF(M40=".",".",s_RadSpec!$F$4*AM4*$B$40)</f>
        <v>.</v>
      </c>
      <c r="AN40" s="49" t="str">
        <f>IF(N40=".",".",s_RadSpec!$F$4*AN4*$B$40)</f>
        <v>.</v>
      </c>
      <c r="AO40" s="49" t="str">
        <f>IF(O40=".",".",s_RadSpec!$F$4*AO4*$B$40)</f>
        <v>.</v>
      </c>
      <c r="AP40" s="60" t="str">
        <f t="shared" ref="AP40:BD40" si="182">IFERROR(AP4/$B40,".")</f>
        <v>.</v>
      </c>
      <c r="AQ40" s="60" t="str">
        <f t="shared" si="182"/>
        <v>.</v>
      </c>
      <c r="AR40" s="60">
        <f t="shared" si="182"/>
        <v>1450487.0428929173</v>
      </c>
      <c r="AS40" s="60" t="str">
        <f t="shared" si="182"/>
        <v>.</v>
      </c>
      <c r="AT40" s="60" t="str">
        <f t="shared" si="182"/>
        <v>.</v>
      </c>
      <c r="AU40" s="60" t="str">
        <f t="shared" si="182"/>
        <v>.</v>
      </c>
      <c r="AV40" s="60" t="str">
        <f t="shared" si="182"/>
        <v>.</v>
      </c>
      <c r="AW40" s="60" t="str">
        <f t="shared" si="182"/>
        <v>.</v>
      </c>
      <c r="AX40" s="60" t="str">
        <f t="shared" si="182"/>
        <v>.</v>
      </c>
      <c r="AY40" s="60" t="str">
        <f t="shared" si="182"/>
        <v>.</v>
      </c>
      <c r="AZ40" s="60" t="str">
        <f t="shared" si="182"/>
        <v>.</v>
      </c>
      <c r="BA40" s="60" t="str">
        <f t="shared" si="182"/>
        <v>.</v>
      </c>
      <c r="BB40" s="60" t="str">
        <f t="shared" si="182"/>
        <v>.</v>
      </c>
      <c r="BC40" s="60" t="str">
        <f t="shared" si="182"/>
        <v>.</v>
      </c>
      <c r="BD40" s="60" t="str">
        <f t="shared" si="182"/>
        <v>.</v>
      </c>
      <c r="BE40" s="111" t="str">
        <f t="shared" si="69"/>
        <v>.</v>
      </c>
      <c r="BF40" s="111" t="str">
        <f t="shared" si="70"/>
        <v>.</v>
      </c>
      <c r="BG40" s="111">
        <f t="shared" si="71"/>
        <v>6.894236007827788E-7</v>
      </c>
      <c r="BH40" s="111" t="str">
        <f t="shared" si="72"/>
        <v>.</v>
      </c>
      <c r="BI40" s="111" t="str">
        <f t="shared" si="73"/>
        <v>.</v>
      </c>
      <c r="BJ40" s="111" t="str">
        <f t="shared" si="74"/>
        <v>.</v>
      </c>
      <c r="BK40" s="111" t="str">
        <f t="shared" si="75"/>
        <v>.</v>
      </c>
      <c r="BL40" s="111" t="str">
        <f t="shared" si="76"/>
        <v>.</v>
      </c>
      <c r="BM40" s="111" t="str">
        <f t="shared" si="77"/>
        <v>.</v>
      </c>
      <c r="BN40" s="111" t="str">
        <f t="shared" si="78"/>
        <v>.</v>
      </c>
      <c r="BO40" s="111" t="str">
        <f t="shared" si="79"/>
        <v>.</v>
      </c>
      <c r="BP40" s="111" t="str">
        <f t="shared" si="80"/>
        <v>.</v>
      </c>
      <c r="BQ40" s="111" t="str">
        <f t="shared" si="81"/>
        <v>.</v>
      </c>
      <c r="BR40" s="111" t="str">
        <f t="shared" si="82"/>
        <v>.</v>
      </c>
      <c r="BS40" s="111" t="str">
        <f t="shared" si="83"/>
        <v>.</v>
      </c>
      <c r="BT40" s="60">
        <f>IFERROR(BT4/$B40,".")</f>
        <v>1450487.0428929173</v>
      </c>
      <c r="BU40" s="189">
        <f>IFERROR(BU4/$B40,0)</f>
        <v>9.0266693463198244E-13</v>
      </c>
      <c r="BV40" s="49" t="str">
        <f>IF(AP40=".",".",s_RadSpec!$E$4*BV4*$B$40)</f>
        <v>.</v>
      </c>
      <c r="BW40" s="49" t="str">
        <f>IF(AQ40=".",".",s_RadSpec!$H$4*BW4*$B$40)</f>
        <v>.</v>
      </c>
      <c r="BX40" s="49">
        <f>IF(AR40=".",".",s_RadSpec!$G$4*BX4*$B$40)</f>
        <v>1.7235590019569467E-5</v>
      </c>
      <c r="BY40" s="49" t="str">
        <f>s_b2s!CC40</f>
        <v>.</v>
      </c>
      <c r="BZ40" s="49" t="str">
        <f>IF(AT40=".",".",s_RadSpec!$F$4*BZ4*$B$40)</f>
        <v>.</v>
      </c>
      <c r="CA40" s="49" t="str">
        <f>IF(AU40=".",".",s_RadSpec!$F$4*CA4*$B$40)</f>
        <v>.</v>
      </c>
      <c r="CB40" s="49" t="str">
        <f>IF(AV40=".",".",s_RadSpec!$F$4*CB4*$B$40)</f>
        <v>.</v>
      </c>
      <c r="CC40" s="49" t="str">
        <f>IF(AW40=".",".",s_RadSpec!$F$4*CC4*$B$40)</f>
        <v>.</v>
      </c>
      <c r="CD40" s="49" t="str">
        <f>IF(AX40=".",".",s_RadSpec!$F$4*CD4*$B$40)</f>
        <v>.</v>
      </c>
      <c r="CE40" s="49" t="str">
        <f>IF(AY40=".",".",s_RadSpec!$F$4*CE4*$B$40)</f>
        <v>.</v>
      </c>
      <c r="CF40" s="49" t="str">
        <f>IF(AZ40=".",".",s_RadSpec!$F$4*CF4*$B$40)</f>
        <v>.</v>
      </c>
      <c r="CG40" s="49" t="str">
        <f>IF(BA40=".",".",s_RadSpec!$F$4*CG4*$B$40)</f>
        <v>.</v>
      </c>
      <c r="CH40" s="49" t="str">
        <f>IF(BB40=".",".",s_RadSpec!$F$4*CH4*$B$40)</f>
        <v>.</v>
      </c>
      <c r="CI40" s="49" t="str">
        <f>IF(BC40=".",".",s_RadSpec!$F$4*CI4*$B$40)</f>
        <v>.</v>
      </c>
      <c r="CJ40" s="49" t="str">
        <f>IF(BD40=".",".",s_RadSpec!$F$4*CJ4*$B$40)</f>
        <v>.</v>
      </c>
      <c r="CK40" s="49">
        <f t="shared" si="147"/>
        <v>1.7235590019569467E-5</v>
      </c>
      <c r="CL40" s="60" t="str">
        <f>IFERROR(CL4/$B40,".")</f>
        <v>.</v>
      </c>
      <c r="CM40" s="60" t="str">
        <f>IFERROR(CM4,".")</f>
        <v>.</v>
      </c>
      <c r="CN40" s="60">
        <f t="shared" ref="CN40:CZ40" si="183">IFERROR(CN4/$B40,".")</f>
        <v>73813153.27304998</v>
      </c>
      <c r="CO40" s="60" t="str">
        <f t="shared" si="183"/>
        <v>.</v>
      </c>
      <c r="CP40" s="60" t="str">
        <f t="shared" si="183"/>
        <v>.</v>
      </c>
      <c r="CQ40" s="60" t="str">
        <f t="shared" si="183"/>
        <v>.</v>
      </c>
      <c r="CR40" s="60" t="str">
        <f t="shared" si="183"/>
        <v>.</v>
      </c>
      <c r="CS40" s="60" t="str">
        <f t="shared" si="183"/>
        <v>.</v>
      </c>
      <c r="CT40" s="60" t="str">
        <f t="shared" si="183"/>
        <v>.</v>
      </c>
      <c r="CU40" s="60" t="str">
        <f t="shared" si="183"/>
        <v>.</v>
      </c>
      <c r="CV40" s="60" t="str">
        <f t="shared" si="183"/>
        <v>.</v>
      </c>
      <c r="CW40" s="60" t="str">
        <f t="shared" si="183"/>
        <v>.</v>
      </c>
      <c r="CX40" s="60" t="str">
        <f t="shared" si="183"/>
        <v>.</v>
      </c>
      <c r="CY40" s="60" t="str">
        <f t="shared" si="183"/>
        <v>.</v>
      </c>
      <c r="CZ40" s="60" t="str">
        <f t="shared" si="183"/>
        <v>.</v>
      </c>
      <c r="DA40" s="111" t="str">
        <f t="shared" si="101"/>
        <v>.</v>
      </c>
      <c r="DB40" s="111" t="str">
        <f t="shared" si="102"/>
        <v>.</v>
      </c>
      <c r="DC40" s="111">
        <f t="shared" si="103"/>
        <v>1.3547720909589042E-8</v>
      </c>
      <c r="DD40" s="111" t="str">
        <f t="shared" si="104"/>
        <v>.</v>
      </c>
      <c r="DE40" s="111" t="str">
        <f t="shared" si="105"/>
        <v>.</v>
      </c>
      <c r="DF40" s="111" t="str">
        <f t="shared" si="106"/>
        <v>.</v>
      </c>
      <c r="DG40" s="111" t="str">
        <f t="shared" si="107"/>
        <v>.</v>
      </c>
      <c r="DH40" s="111" t="str">
        <f t="shared" si="108"/>
        <v>.</v>
      </c>
      <c r="DI40" s="111" t="str">
        <f t="shared" si="109"/>
        <v>.</v>
      </c>
      <c r="DJ40" s="111" t="str">
        <f t="shared" si="110"/>
        <v>.</v>
      </c>
      <c r="DK40" s="111" t="str">
        <f t="shared" si="111"/>
        <v>.</v>
      </c>
      <c r="DL40" s="111" t="str">
        <f t="shared" si="112"/>
        <v>.</v>
      </c>
      <c r="DM40" s="111" t="str">
        <f t="shared" si="113"/>
        <v>.</v>
      </c>
      <c r="DN40" s="111" t="str">
        <f t="shared" si="114"/>
        <v>.</v>
      </c>
      <c r="DO40" s="111" t="str">
        <f t="shared" si="115"/>
        <v>.</v>
      </c>
      <c r="DP40" s="60">
        <f>IFERROR(DP4/$B40,".")</f>
        <v>73813153.27304998</v>
      </c>
      <c r="DQ40" s="189">
        <f t="shared" ref="DQ40" si="184">IFERROR(DQ4/$B40,0)</f>
        <v>4.5935393305973574E-14</v>
      </c>
      <c r="DR40" s="49" t="str">
        <f>IF(CL40=".",".",s_RadSpec!$I$4*DR4*$B$40)</f>
        <v>.</v>
      </c>
      <c r="DS40" s="49" t="str">
        <f>IF(CM40=".",".",s_RadSpec!$H$4*DS4)</f>
        <v>.</v>
      </c>
      <c r="DT40" s="49">
        <f>IF(CN40=".",".",s_RadSpec!$M$4*DT4*$B$40)</f>
        <v>3.3869302273972602E-7</v>
      </c>
      <c r="DU40" s="49" t="str">
        <f>s_b2w!CC40</f>
        <v>.</v>
      </c>
      <c r="DV40" s="49" t="str">
        <f>IF(CP40=".",".",s_RadSpec!$F$4*DV4*$B$40)</f>
        <v>.</v>
      </c>
      <c r="DW40" s="49" t="str">
        <f>IF(CQ40=".",".",s_RadSpec!$F$4*DW4*$B$40)</f>
        <v>.</v>
      </c>
      <c r="DX40" s="49" t="str">
        <f>IF(CR40=".",".",s_RadSpec!$F$4*DX4*$B$40)</f>
        <v>.</v>
      </c>
      <c r="DY40" s="49" t="str">
        <f>IF(CS40=".",".",s_RadSpec!$F$4*DY4*$B$40)</f>
        <v>.</v>
      </c>
      <c r="DZ40" s="49" t="str">
        <f>IF(CT40=".",".",s_RadSpec!$F$4*DZ4*$B$40)</f>
        <v>.</v>
      </c>
      <c r="EA40" s="49" t="str">
        <f>IF(CU40=".",".",s_RadSpec!$F$4*EA4*$B$40)</f>
        <v>.</v>
      </c>
      <c r="EB40" s="49" t="str">
        <f>IF(CV40=".",".",s_RadSpec!$F$4*EB4*$B$40)</f>
        <v>.</v>
      </c>
      <c r="EC40" s="49" t="str">
        <f>IF(CW40=".",".",s_RadSpec!$F$4*EC4*$B$40)</f>
        <v>.</v>
      </c>
      <c r="ED40" s="49" t="str">
        <f>IF(CX40=".",".",s_RadSpec!$F$4*ED4*$B$40)</f>
        <v>.</v>
      </c>
      <c r="EE40" s="49" t="str">
        <f>IF(CY40=".",".",s_RadSpec!$F$4*EE4*$B$40)</f>
        <v>.</v>
      </c>
      <c r="EF40" s="49" t="str">
        <f>IF(CZ40=".",".",s_RadSpec!$F$4*EF4*$B$40)</f>
        <v>.</v>
      </c>
      <c r="EG40" s="49">
        <f t="shared" si="152"/>
        <v>3.3869302273972602E-7</v>
      </c>
      <c r="EH40" s="60" t="str">
        <f>IFERROR(EH4/$B40,".")</f>
        <v>.</v>
      </c>
      <c r="EI40" s="60">
        <f>IFERROR(EI4/$B40,".")</f>
        <v>257371145.75206867</v>
      </c>
      <c r="EJ40" s="60">
        <f>IFERROR(EJ4/$B40,".")</f>
        <v>257371145.7520687</v>
      </c>
      <c r="EK40" s="189">
        <f t="shared" ref="EK40" si="185">IFERROR(EK4/$B40,0)</f>
        <v>1.6016718269705504E-13</v>
      </c>
      <c r="EL40" s="49" t="str">
        <f>IF(EH40=".",".",s_RadSpec!$H$4*EL4*$B$40)</f>
        <v>.</v>
      </c>
      <c r="EM40" s="49">
        <f>IF(EI40=".",".",s_RadSpec!$K$4*EM4*$B$40)</f>
        <v>9.7135985958904111E-8</v>
      </c>
      <c r="EN40" s="49">
        <f t="shared" si="155"/>
        <v>9.7135985958904111E-8</v>
      </c>
    </row>
    <row r="41" spans="1:144" x14ac:dyDescent="0.25">
      <c r="A41" s="77" t="s">
        <v>1069</v>
      </c>
      <c r="B41" s="78">
        <v>0.99987999999999999</v>
      </c>
      <c r="C41" s="78"/>
      <c r="D41" s="60">
        <f t="shared" ref="D41:O41" si="186">IFERROR(D8/$B41,".")</f>
        <v>833.54726346077985</v>
      </c>
      <c r="E41" s="60">
        <f t="shared" si="186"/>
        <v>3334.1890538431194</v>
      </c>
      <c r="F41" s="60">
        <f t="shared" si="186"/>
        <v>3334.1890538431194</v>
      </c>
      <c r="G41" s="60">
        <f t="shared" si="186"/>
        <v>3334.1890538431194</v>
      </c>
      <c r="H41" s="60">
        <f t="shared" si="186"/>
        <v>3334.1890538431194</v>
      </c>
      <c r="I41" s="60">
        <f t="shared" si="186"/>
        <v>3334.1890538431194</v>
      </c>
      <c r="J41" s="60">
        <f t="shared" si="186"/>
        <v>3334.1890538431194</v>
      </c>
      <c r="K41" s="60">
        <f t="shared" si="186"/>
        <v>3334.1890538431194</v>
      </c>
      <c r="L41" s="60">
        <f t="shared" si="186"/>
        <v>3334.1890538431194</v>
      </c>
      <c r="M41" s="60">
        <f t="shared" si="186"/>
        <v>3334.1890538431194</v>
      </c>
      <c r="N41" s="60">
        <f t="shared" si="186"/>
        <v>3334.1890538431194</v>
      </c>
      <c r="O41" s="60">
        <f t="shared" si="186"/>
        <v>3334.1890538431194</v>
      </c>
      <c r="P41" s="111">
        <f t="shared" si="142"/>
        <v>2.9992300491999996E-4</v>
      </c>
      <c r="Q41" s="111">
        <f t="shared" si="136"/>
        <v>2.9992300491999996E-4</v>
      </c>
      <c r="R41" s="111">
        <f t="shared" si="136"/>
        <v>2.9992300491999996E-4</v>
      </c>
      <c r="S41" s="111">
        <f t="shared" si="136"/>
        <v>2.9992300491999996E-4</v>
      </c>
      <c r="T41" s="111">
        <f t="shared" si="136"/>
        <v>2.9992300491999996E-4</v>
      </c>
      <c r="U41" s="111">
        <f t="shared" si="136"/>
        <v>2.9992300491999996E-4</v>
      </c>
      <c r="V41" s="111">
        <f t="shared" si="136"/>
        <v>2.9992300491999996E-4</v>
      </c>
      <c r="W41" s="111">
        <f t="shared" si="136"/>
        <v>2.9992300491999996E-4</v>
      </c>
      <c r="X41" s="111">
        <f t="shared" si="59"/>
        <v>2.9992300491999996E-4</v>
      </c>
      <c r="Y41" s="111">
        <f t="shared" si="59"/>
        <v>2.9992300491999996E-4</v>
      </c>
      <c r="Z41" s="111">
        <f t="shared" si="59"/>
        <v>2.9992300491999996E-4</v>
      </c>
      <c r="AA41" s="111">
        <f t="shared" si="59"/>
        <v>2.9992300491999996E-4</v>
      </c>
      <c r="AB41" s="60">
        <f>IFERROR(AB8/$B41,".")</f>
        <v>277.84908782026002</v>
      </c>
      <c r="AC41" s="247">
        <f>IFERROR(AC8/$B41,0)</f>
        <v>1.4373444148679557E-11</v>
      </c>
      <c r="AD41" s="49">
        <f>s_dir!BC41</f>
        <v>2.9992300491999999E-2</v>
      </c>
      <c r="AE41" s="49">
        <f>IF(E41=".",".",s_RadSpec!$F$8*AE8*$B$41)</f>
        <v>7.4980751229999998E-3</v>
      </c>
      <c r="AF41" s="49">
        <f>IF(F41=".",".",s_RadSpec!$F$8*AF8*$B$41)</f>
        <v>7.4980751229999998E-3</v>
      </c>
      <c r="AG41" s="49">
        <f>IF(G41=".",".",s_RadSpec!$F$8*AG8*$B$41)</f>
        <v>7.4980751229999998E-3</v>
      </c>
      <c r="AH41" s="49">
        <f>IF(H41=".",".",s_RadSpec!$F$8*AH8*$B$41)</f>
        <v>7.4980751229999998E-3</v>
      </c>
      <c r="AI41" s="49">
        <f>IF(I41=".",".",s_RadSpec!$F$8*AI8*$B$41)</f>
        <v>7.4980751229999998E-3</v>
      </c>
      <c r="AJ41" s="49">
        <f>IF(J41=".",".",s_RadSpec!$F$8*AJ8*$B$41)</f>
        <v>7.4980751229999998E-3</v>
      </c>
      <c r="AK41" s="49">
        <f>IF(K41=".",".",s_RadSpec!$F$8*AK8*$B$41)</f>
        <v>7.4980751229999998E-3</v>
      </c>
      <c r="AL41" s="49">
        <f>IF(L41=".",".",s_RadSpec!$F$8*AL8*$B$41)</f>
        <v>7.4980751229999998E-3</v>
      </c>
      <c r="AM41" s="49">
        <f>IF(M41=".",".",s_RadSpec!$F$8*AM8*$B$41)</f>
        <v>7.4980751229999998E-3</v>
      </c>
      <c r="AN41" s="49">
        <f>IF(N41=".",".",s_RadSpec!$F$8*AN8*$B$41)</f>
        <v>7.4980751229999998E-3</v>
      </c>
      <c r="AO41" s="49">
        <f>IF(O41=".",".",s_RadSpec!$F$8*AO8*$B$41)</f>
        <v>7.4980751229999998E-3</v>
      </c>
      <c r="AP41" s="60">
        <f t="shared" ref="AP41:BD41" si="187">IFERROR(AP8/$B41,".")</f>
        <v>1667094.5269215596</v>
      </c>
      <c r="AQ41" s="60">
        <f t="shared" si="187"/>
        <v>117638470.83021459</v>
      </c>
      <c r="AR41" s="60">
        <f t="shared" si="187"/>
        <v>1600.2958636838098</v>
      </c>
      <c r="AS41" s="60">
        <f t="shared" si="187"/>
        <v>7344.028752958412</v>
      </c>
      <c r="AT41" s="60">
        <f t="shared" si="187"/>
        <v>106694.04972297982</v>
      </c>
      <c r="AU41" s="60" t="str">
        <f t="shared" si="187"/>
        <v>.</v>
      </c>
      <c r="AV41" s="60">
        <f t="shared" si="187"/>
        <v>11113.963512810398</v>
      </c>
      <c r="AW41" s="60">
        <f t="shared" si="187"/>
        <v>22894.764836389419</v>
      </c>
      <c r="AX41" s="60" t="str">
        <f t="shared" si="187"/>
        <v>.</v>
      </c>
      <c r="AY41" s="60" t="str">
        <f t="shared" si="187"/>
        <v>.</v>
      </c>
      <c r="AZ41" s="60" t="str">
        <f t="shared" si="187"/>
        <v>.</v>
      </c>
      <c r="BA41" s="60" t="str">
        <f t="shared" si="187"/>
        <v>.</v>
      </c>
      <c r="BB41" s="60" t="str">
        <f t="shared" si="187"/>
        <v>.</v>
      </c>
      <c r="BC41" s="60" t="str">
        <f t="shared" si="187"/>
        <v>.</v>
      </c>
      <c r="BD41" s="60" t="str">
        <f t="shared" si="187"/>
        <v>.</v>
      </c>
      <c r="BE41" s="111">
        <f t="shared" si="69"/>
        <v>5.9984600984000002E-7</v>
      </c>
      <c r="BF41" s="111">
        <f t="shared" si="70"/>
        <v>8.5006205278142501E-9</v>
      </c>
      <c r="BG41" s="111">
        <f t="shared" si="71"/>
        <v>6.2488444961548832E-4</v>
      </c>
      <c r="BH41" s="111">
        <f t="shared" si="72"/>
        <v>1.3616504423368E-4</v>
      </c>
      <c r="BI41" s="111">
        <f t="shared" si="73"/>
        <v>9.3725939037499988E-6</v>
      </c>
      <c r="BJ41" s="111" t="str">
        <f t="shared" si="74"/>
        <v>.</v>
      </c>
      <c r="BK41" s="111">
        <f t="shared" si="75"/>
        <v>8.9976901475999989E-5</v>
      </c>
      <c r="BL41" s="111">
        <f t="shared" si="76"/>
        <v>4.3678107512621362E-5</v>
      </c>
      <c r="BM41" s="111" t="str">
        <f t="shared" si="77"/>
        <v>.</v>
      </c>
      <c r="BN41" s="111" t="str">
        <f t="shared" si="78"/>
        <v>.</v>
      </c>
      <c r="BO41" s="111" t="str">
        <f t="shared" si="79"/>
        <v>.</v>
      </c>
      <c r="BP41" s="111" t="str">
        <f t="shared" si="80"/>
        <v>.</v>
      </c>
      <c r="BQ41" s="111" t="str">
        <f t="shared" si="81"/>
        <v>.</v>
      </c>
      <c r="BR41" s="111" t="str">
        <f t="shared" si="82"/>
        <v>.</v>
      </c>
      <c r="BS41" s="111" t="str">
        <f t="shared" si="83"/>
        <v>.</v>
      </c>
      <c r="BT41" s="60">
        <f>IFERROR(BT8/$B41,".")</f>
        <v>1105.3565715314705</v>
      </c>
      <c r="BU41" s="189">
        <f>IFERROR(BU8/$B41,0)</f>
        <v>5.7181332031441778E-11</v>
      </c>
      <c r="BV41" s="49">
        <f>IF(AP41=".",".",s_RadSpec!$E$8*BV8*$B$41)</f>
        <v>1.4996150246E-5</v>
      </c>
      <c r="BW41" s="49">
        <f>IF(AQ41=".",".",s_RadSpec!$H$8*BW8*$B$41)</f>
        <v>2.1251551319535624E-7</v>
      </c>
      <c r="BX41" s="49">
        <f>IF(AR41=".",".",s_RadSpec!$G$8*BX8*$B$41)</f>
        <v>1.5622111240387209E-2</v>
      </c>
      <c r="BY41" s="49">
        <f>s_b2s!CC41</f>
        <v>3.4041261058419996E-3</v>
      </c>
      <c r="BZ41" s="49">
        <f>IF(AT41=".",".",s_RadSpec!$F$8*BZ8*$B$41)</f>
        <v>2.3431484759374999E-4</v>
      </c>
      <c r="CA41" s="49" t="str">
        <f>IF(AU41=".",".",s_RadSpec!$F$8*CA8*$B$41)</f>
        <v>.</v>
      </c>
      <c r="CB41" s="49">
        <f>IF(AV41=".",".",s_RadSpec!$F$8*CB8*$B$41)</f>
        <v>2.2494225368999998E-3</v>
      </c>
      <c r="CC41" s="49">
        <f>IF(AW41=".",".",s_RadSpec!$F$8*CC8*$B$41)</f>
        <v>1.0919526878155341E-3</v>
      </c>
      <c r="CD41" s="49" t="str">
        <f>IF(AX41=".",".",s_RadSpec!$F$8*CD8*$B$41)</f>
        <v>.</v>
      </c>
      <c r="CE41" s="49" t="str">
        <f>IF(AY41=".",".",s_RadSpec!$F$8*CE8*$B$41)</f>
        <v>.</v>
      </c>
      <c r="CF41" s="49" t="str">
        <f>IF(AZ41=".",".",s_RadSpec!$F$8*CF8*$B$41)</f>
        <v>.</v>
      </c>
      <c r="CG41" s="49" t="str">
        <f>IF(BA41=".",".",s_RadSpec!$F$8*CG8*$B$41)</f>
        <v>.</v>
      </c>
      <c r="CH41" s="49" t="str">
        <f>IF(BB41=".",".",s_RadSpec!$F$8*CH8*$B$41)</f>
        <v>.</v>
      </c>
      <c r="CI41" s="49" t="str">
        <f>IF(BC41=".",".",s_RadSpec!$F$8*CI8*$B$41)</f>
        <v>.</v>
      </c>
      <c r="CJ41" s="49" t="str">
        <f>IF(BD41=".",".",s_RadSpec!$F$8*CJ8*$B$41)</f>
        <v>.</v>
      </c>
      <c r="CK41" s="49">
        <f t="shared" si="147"/>
        <v>2.261713608429769E-2</v>
      </c>
      <c r="CL41" s="60">
        <f>IFERROR(CL8/$B41,".")</f>
        <v>18338.039796137156</v>
      </c>
      <c r="CM41" s="60" t="str">
        <f>IFERROR(CM8,".")</f>
        <v>.</v>
      </c>
      <c r="CN41" s="60">
        <f t="shared" ref="CN41:CZ41" si="188">IFERROR(CN8/$B41,".")</f>
        <v>135340.35517654617</v>
      </c>
      <c r="CO41" s="60">
        <f t="shared" si="188"/>
        <v>26405.753497378853</v>
      </c>
      <c r="CP41" s="60">
        <f t="shared" si="188"/>
        <v>222279.27025620796</v>
      </c>
      <c r="CQ41" s="60" t="str">
        <f t="shared" si="188"/>
        <v>.</v>
      </c>
      <c r="CR41" s="60">
        <f t="shared" si="188"/>
        <v>333418905.38431191</v>
      </c>
      <c r="CS41" s="60">
        <f t="shared" si="188"/>
        <v>686842945.09168255</v>
      </c>
      <c r="CT41" s="60" t="str">
        <f t="shared" si="188"/>
        <v>.</v>
      </c>
      <c r="CU41" s="60" t="str">
        <f t="shared" si="188"/>
        <v>.</v>
      </c>
      <c r="CV41" s="60" t="str">
        <f t="shared" si="188"/>
        <v>.</v>
      </c>
      <c r="CW41" s="60" t="str">
        <f t="shared" si="188"/>
        <v>.</v>
      </c>
      <c r="CX41" s="60" t="str">
        <f t="shared" si="188"/>
        <v>.</v>
      </c>
      <c r="CY41" s="60" t="str">
        <f t="shared" si="188"/>
        <v>.</v>
      </c>
      <c r="CZ41" s="60" t="str">
        <f t="shared" si="188"/>
        <v>.</v>
      </c>
      <c r="DA41" s="111">
        <f t="shared" si="101"/>
        <v>5.4531455440000001E-5</v>
      </c>
      <c r="DB41" s="111" t="str">
        <f t="shared" si="102"/>
        <v>.</v>
      </c>
      <c r="DC41" s="111">
        <f t="shared" si="103"/>
        <v>7.3887791907708478E-6</v>
      </c>
      <c r="DD41" s="111">
        <f t="shared" si="104"/>
        <v>3.7870534544650062E-5</v>
      </c>
      <c r="DE41" s="111">
        <f t="shared" si="105"/>
        <v>4.4988450738000001E-6</v>
      </c>
      <c r="DF41" s="111" t="str">
        <f t="shared" si="106"/>
        <v>.</v>
      </c>
      <c r="DG41" s="111">
        <f t="shared" si="107"/>
        <v>2.9992300491999999E-9</v>
      </c>
      <c r="DH41" s="111">
        <f t="shared" si="108"/>
        <v>1.4559369170873787E-9</v>
      </c>
      <c r="DI41" s="111" t="str">
        <f t="shared" si="109"/>
        <v>.</v>
      </c>
      <c r="DJ41" s="111" t="str">
        <f t="shared" si="110"/>
        <v>.</v>
      </c>
      <c r="DK41" s="111" t="str">
        <f t="shared" si="111"/>
        <v>.</v>
      </c>
      <c r="DL41" s="111" t="str">
        <f t="shared" si="112"/>
        <v>.</v>
      </c>
      <c r="DM41" s="111" t="str">
        <f t="shared" si="113"/>
        <v>.</v>
      </c>
      <c r="DN41" s="111" t="str">
        <f t="shared" si="114"/>
        <v>.</v>
      </c>
      <c r="DO41" s="111" t="str">
        <f t="shared" si="115"/>
        <v>.</v>
      </c>
      <c r="DP41" s="60">
        <f>IFERROR(DP8/$B41,".")</f>
        <v>9588.2729056192402</v>
      </c>
      <c r="DQ41" s="189">
        <f t="shared" ref="DQ41" si="189">IFERROR(DQ8/$B41,0)</f>
        <v>4.9601208401435826E-13</v>
      </c>
      <c r="DR41" s="49">
        <f>IF(CL41=".",".",s_RadSpec!$I$8*DR8*$B$41)</f>
        <v>1.363286386E-3</v>
      </c>
      <c r="DS41" s="49" t="str">
        <f>IF(CM41=".",".",s_RadSpec!$H$8*DS8)</f>
        <v>.</v>
      </c>
      <c r="DT41" s="49">
        <f>IF(CN41=".",".",s_RadSpec!$M$8*DT8*$B$41)</f>
        <v>1.847194797692712E-4</v>
      </c>
      <c r="DU41" s="49">
        <f>s_b2w!CC41</f>
        <v>9.4676336361625157E-4</v>
      </c>
      <c r="DV41" s="49">
        <f>IF(CP41=".",".",s_RadSpec!$F$8*DV8*$B$41)</f>
        <v>1.12471126845E-4</v>
      </c>
      <c r="DW41" s="49" t="str">
        <f>IF(CQ41=".",".",s_RadSpec!$F$8*DW8*$B$41)</f>
        <v>.</v>
      </c>
      <c r="DX41" s="49">
        <f>IF(CR41=".",".",s_RadSpec!$F$8*DX8*$B$41)</f>
        <v>7.498075122999999E-8</v>
      </c>
      <c r="DY41" s="49">
        <f>IF(CS41=".",".",s_RadSpec!$F$8*DY8*$B$41)</f>
        <v>3.6398422927184467E-8</v>
      </c>
      <c r="DZ41" s="49" t="str">
        <f>IF(CT41=".",".",s_RadSpec!$F$8*DZ8*$B$41)</f>
        <v>.</v>
      </c>
      <c r="EA41" s="49" t="str">
        <f>IF(CU41=".",".",s_RadSpec!$F$8*EA8*$B$41)</f>
        <v>.</v>
      </c>
      <c r="EB41" s="49" t="str">
        <f>IF(CV41=".",".",s_RadSpec!$F$8*EB8*$B$41)</f>
        <v>.</v>
      </c>
      <c r="EC41" s="49" t="str">
        <f>IF(CW41=".",".",s_RadSpec!$F$8*EC8*$B$41)</f>
        <v>.</v>
      </c>
      <c r="ED41" s="49" t="str">
        <f>IF(CX41=".",".",s_RadSpec!$F$8*ED8*$B$41)</f>
        <v>.</v>
      </c>
      <c r="EE41" s="49" t="str">
        <f>IF(CY41=".",".",s_RadSpec!$F$8*EE8*$B$41)</f>
        <v>.</v>
      </c>
      <c r="EF41" s="49" t="str">
        <f>IF(CZ41=".",".",s_RadSpec!$F$8*EF8*$B$41)</f>
        <v>.</v>
      </c>
      <c r="EG41" s="49">
        <f t="shared" si="152"/>
        <v>2.6073517354046798E-3</v>
      </c>
      <c r="EH41" s="60">
        <f>IFERROR(EH8/$B41,".")</f>
        <v>379.7191854124884</v>
      </c>
      <c r="EI41" s="60">
        <f>IFERROR(EI8/$B41,".")</f>
        <v>459336.96302342939</v>
      </c>
      <c r="EJ41" s="60">
        <f>IFERROR(EJ8/$B41,".")</f>
        <v>379.40554297715727</v>
      </c>
      <c r="EK41" s="189">
        <f t="shared" ref="EK41" si="190">IFERROR(EK8/$B41,0)</f>
        <v>1.9627073187331753E-14</v>
      </c>
      <c r="EL41" s="49">
        <f>IF(EH41=".",".",s_RadSpec!$H$8*EL8*$B$41)</f>
        <v>6.5838127122395812E-2</v>
      </c>
      <c r="EM41" s="49">
        <f>IF(EI41=".",".",s_RadSpec!$K$8*EM8*$B$41)</f>
        <v>5.4426275289160273E-5</v>
      </c>
      <c r="EN41" s="49">
        <f t="shared" si="155"/>
        <v>6.5892553397684975E-2</v>
      </c>
    </row>
    <row r="42" spans="1:144" x14ac:dyDescent="0.25">
      <c r="A42" s="77" t="s">
        <v>1070</v>
      </c>
      <c r="B42" s="42">
        <v>0.97898250799999997</v>
      </c>
      <c r="C42" s="42"/>
      <c r="D42" s="60" t="str">
        <f t="shared" ref="D42:O42" si="191">IFERROR(D19/$B42,".")</f>
        <v>.</v>
      </c>
      <c r="E42" s="60" t="str">
        <f t="shared" si="191"/>
        <v>.</v>
      </c>
      <c r="F42" s="60" t="str">
        <f t="shared" si="191"/>
        <v>.</v>
      </c>
      <c r="G42" s="60" t="str">
        <f t="shared" si="191"/>
        <v>.</v>
      </c>
      <c r="H42" s="60" t="str">
        <f t="shared" si="191"/>
        <v>.</v>
      </c>
      <c r="I42" s="60" t="str">
        <f t="shared" si="191"/>
        <v>.</v>
      </c>
      <c r="J42" s="60" t="str">
        <f t="shared" si="191"/>
        <v>.</v>
      </c>
      <c r="K42" s="60" t="str">
        <f t="shared" si="191"/>
        <v>.</v>
      </c>
      <c r="L42" s="60" t="str">
        <f t="shared" si="191"/>
        <v>.</v>
      </c>
      <c r="M42" s="60" t="str">
        <f t="shared" si="191"/>
        <v>.</v>
      </c>
      <c r="N42" s="60" t="str">
        <f t="shared" si="191"/>
        <v>.</v>
      </c>
      <c r="O42" s="60" t="str">
        <f t="shared" si="191"/>
        <v>.</v>
      </c>
      <c r="P42" s="111" t="str">
        <f t="shared" si="142"/>
        <v>.</v>
      </c>
      <c r="Q42" s="111" t="str">
        <f t="shared" si="136"/>
        <v>.</v>
      </c>
      <c r="R42" s="111" t="str">
        <f t="shared" si="136"/>
        <v>.</v>
      </c>
      <c r="S42" s="111" t="str">
        <f t="shared" si="136"/>
        <v>.</v>
      </c>
      <c r="T42" s="111" t="str">
        <f t="shared" si="136"/>
        <v>.</v>
      </c>
      <c r="U42" s="111" t="str">
        <f t="shared" si="136"/>
        <v>.</v>
      </c>
      <c r="V42" s="111" t="str">
        <f t="shared" si="136"/>
        <v>.</v>
      </c>
      <c r="W42" s="111" t="str">
        <f t="shared" si="136"/>
        <v>.</v>
      </c>
      <c r="X42" s="111" t="str">
        <f t="shared" si="59"/>
        <v>.</v>
      </c>
      <c r="Y42" s="111" t="str">
        <f t="shared" si="59"/>
        <v>.</v>
      </c>
      <c r="Z42" s="111" t="str">
        <f t="shared" si="59"/>
        <v>.</v>
      </c>
      <c r="AA42" s="111" t="str">
        <f t="shared" si="59"/>
        <v>.</v>
      </c>
      <c r="AB42" s="60" t="str">
        <f>IFERROR(AB19/$B42,".")</f>
        <v>.</v>
      </c>
      <c r="AC42" s="247">
        <f>IFERROR(AC19/$B42,0)</f>
        <v>0</v>
      </c>
      <c r="AD42" s="49" t="str">
        <f>s_dir!BC42</f>
        <v>.</v>
      </c>
      <c r="AE42" s="246" t="str">
        <f>IF(E42=".",".",s_RadSpec!$F$19*AE19*$B$42)</f>
        <v>.</v>
      </c>
      <c r="AF42" s="246" t="str">
        <f>IF(F42=".",".",s_RadSpec!$F$19*AF19*$B$42)</f>
        <v>.</v>
      </c>
      <c r="AG42" s="246" t="str">
        <f>IF(G42=".",".",s_RadSpec!$F$19*AG19*$B$42)</f>
        <v>.</v>
      </c>
      <c r="AH42" s="246" t="str">
        <f>IF(H42=".",".",s_RadSpec!$F$19*AH19*$B$42)</f>
        <v>.</v>
      </c>
      <c r="AI42" s="246" t="str">
        <f>IF(I42=".",".",s_RadSpec!$F$19*AI19*$B$42)</f>
        <v>.</v>
      </c>
      <c r="AJ42" s="246" t="str">
        <f>IF(J42=".",".",s_RadSpec!$F$19*AJ19*$B$42)</f>
        <v>.</v>
      </c>
      <c r="AK42" s="246" t="str">
        <f>IF(K42=".",".",s_RadSpec!$F$19*AK19*$B$42)</f>
        <v>.</v>
      </c>
      <c r="AL42" s="246" t="str">
        <f>IF(L42=".",".",s_RadSpec!$F$19*AL19*$B$42)</f>
        <v>.</v>
      </c>
      <c r="AM42" s="246" t="str">
        <f>IF(M42=".",".",s_RadSpec!$F$19*AM19*$B$42)</f>
        <v>.</v>
      </c>
      <c r="AN42" s="246" t="str">
        <f>IF(N42=".",".",s_RadSpec!$F$19*AN19*$B$42)</f>
        <v>.</v>
      </c>
      <c r="AO42" s="246" t="str">
        <f>IF(O42=".",".",s_RadSpec!$F$19*AO19*$B$42)</f>
        <v>.</v>
      </c>
      <c r="AP42" s="60" t="str">
        <f t="shared" ref="AP42:BD42" si="192">IFERROR(AP19/$B42,".")</f>
        <v>.</v>
      </c>
      <c r="AQ42" s="60" t="str">
        <f t="shared" si="192"/>
        <v>.</v>
      </c>
      <c r="AR42" s="60">
        <f t="shared" si="192"/>
        <v>3589480.7931664605</v>
      </c>
      <c r="AS42" s="60" t="str">
        <f t="shared" si="192"/>
        <v>.</v>
      </c>
      <c r="AT42" s="60" t="str">
        <f t="shared" si="192"/>
        <v>.</v>
      </c>
      <c r="AU42" s="60" t="str">
        <f t="shared" si="192"/>
        <v>.</v>
      </c>
      <c r="AV42" s="60" t="str">
        <f t="shared" si="192"/>
        <v>.</v>
      </c>
      <c r="AW42" s="60" t="str">
        <f t="shared" si="192"/>
        <v>.</v>
      </c>
      <c r="AX42" s="60" t="str">
        <f t="shared" si="192"/>
        <v>.</v>
      </c>
      <c r="AY42" s="60" t="str">
        <f t="shared" si="192"/>
        <v>.</v>
      </c>
      <c r="AZ42" s="60" t="str">
        <f t="shared" si="192"/>
        <v>.</v>
      </c>
      <c r="BA42" s="60" t="str">
        <f t="shared" si="192"/>
        <v>.</v>
      </c>
      <c r="BB42" s="60" t="str">
        <f t="shared" si="192"/>
        <v>.</v>
      </c>
      <c r="BC42" s="60" t="str">
        <f t="shared" si="192"/>
        <v>.</v>
      </c>
      <c r="BD42" s="60" t="str">
        <f t="shared" si="192"/>
        <v>.</v>
      </c>
      <c r="BE42" s="111" t="str">
        <f t="shared" si="69"/>
        <v>.</v>
      </c>
      <c r="BF42" s="111" t="str">
        <f t="shared" si="70"/>
        <v>.</v>
      </c>
      <c r="BG42" s="111">
        <f t="shared" si="71"/>
        <v>2.7859182361520591E-7</v>
      </c>
      <c r="BH42" s="111" t="str">
        <f t="shared" si="72"/>
        <v>.</v>
      </c>
      <c r="BI42" s="111" t="str">
        <f t="shared" si="73"/>
        <v>.</v>
      </c>
      <c r="BJ42" s="111" t="str">
        <f t="shared" si="74"/>
        <v>.</v>
      </c>
      <c r="BK42" s="111" t="str">
        <f t="shared" si="75"/>
        <v>.</v>
      </c>
      <c r="BL42" s="111" t="str">
        <f t="shared" si="76"/>
        <v>.</v>
      </c>
      <c r="BM42" s="111" t="str">
        <f t="shared" si="77"/>
        <v>.</v>
      </c>
      <c r="BN42" s="111" t="str">
        <f t="shared" si="78"/>
        <v>.</v>
      </c>
      <c r="BO42" s="111" t="str">
        <f t="shared" si="79"/>
        <v>.</v>
      </c>
      <c r="BP42" s="111" t="str">
        <f t="shared" si="80"/>
        <v>.</v>
      </c>
      <c r="BQ42" s="111" t="str">
        <f t="shared" si="81"/>
        <v>.</v>
      </c>
      <c r="BR42" s="111" t="str">
        <f t="shared" si="82"/>
        <v>.</v>
      </c>
      <c r="BS42" s="111" t="str">
        <f t="shared" si="83"/>
        <v>.</v>
      </c>
      <c r="BT42" s="60">
        <f>IFERROR(BT19/$B42,".")</f>
        <v>3589480.7931664605</v>
      </c>
      <c r="BU42" s="189">
        <f>IFERROR(BU19/$B42,0)</f>
        <v>2.8510967304625785E-16</v>
      </c>
      <c r="BV42" s="246" t="str">
        <f>IF(AP42=".",".",s_RadSpec!$E$19*BV19*$B$42)</f>
        <v>.</v>
      </c>
      <c r="BW42" s="246" t="str">
        <f>IF(AQ42=".",".",s_RadSpec!$H$19*BW19*$B$42)</f>
        <v>.</v>
      </c>
      <c r="BX42" s="246">
        <f>IF(AR42=".",".",s_RadSpec!$G$19*BX19*$B$42)</f>
        <v>6.9647955903801468E-6</v>
      </c>
      <c r="BY42" s="49" t="str">
        <f>s_b2s!CC42</f>
        <v>.</v>
      </c>
      <c r="BZ42" s="246" t="str">
        <f>IF(AT42=".",".",s_RadSpec!$F$19*BZ19*$B$42)</f>
        <v>.</v>
      </c>
      <c r="CA42" s="246" t="str">
        <f>IF(AU42=".",".",s_RadSpec!$F$19*CA19*$B$42)</f>
        <v>.</v>
      </c>
      <c r="CB42" s="246" t="str">
        <f>IF(AV42=".",".",s_RadSpec!$F$19*CB19*$B$42)</f>
        <v>.</v>
      </c>
      <c r="CC42" s="246" t="str">
        <f>IF(AW42=".",".",s_RadSpec!$F$19*CC19*$B$42)</f>
        <v>.</v>
      </c>
      <c r="CD42" s="246" t="str">
        <f>IF(AX42=".",".",s_RadSpec!$F$19*CD19*$B$42)</f>
        <v>.</v>
      </c>
      <c r="CE42" s="246" t="str">
        <f>IF(AY42=".",".",s_RadSpec!$F$19*CE19*$B$42)</f>
        <v>.</v>
      </c>
      <c r="CF42" s="246" t="str">
        <f>IF(AZ42=".",".",s_RadSpec!$F$19*CF19*$B$42)</f>
        <v>.</v>
      </c>
      <c r="CG42" s="246" t="str">
        <f>IF(BA42=".",".",s_RadSpec!$F$19*CG19*$B$42)</f>
        <v>.</v>
      </c>
      <c r="CH42" s="246" t="str">
        <f>IF(BB42=".",".",s_RadSpec!$F$19*CH19*$B$42)</f>
        <v>.</v>
      </c>
      <c r="CI42" s="246" t="str">
        <f>IF(BC42=".",".",s_RadSpec!$F$19*CI19*$B$42)</f>
        <v>.</v>
      </c>
      <c r="CJ42" s="246" t="str">
        <f>IF(BD42=".",".",s_RadSpec!$F$19*CJ19*$B$42)</f>
        <v>.</v>
      </c>
      <c r="CK42" s="49">
        <f t="shared" si="147"/>
        <v>6.9647955903801468E-6</v>
      </c>
      <c r="CL42" s="60" t="str">
        <f>IFERROR(CL19/$B42,".")</f>
        <v>.</v>
      </c>
      <c r="CM42" s="60" t="str">
        <f>IFERROR(CM19,".")</f>
        <v>.</v>
      </c>
      <c r="CN42" s="60">
        <f t="shared" ref="CN42:CZ42" si="193">IFERROR(CN19/$B42,".")</f>
        <v>469458164.92578495</v>
      </c>
      <c r="CO42" s="60" t="str">
        <f t="shared" si="193"/>
        <v>.</v>
      </c>
      <c r="CP42" s="60" t="str">
        <f t="shared" si="193"/>
        <v>.</v>
      </c>
      <c r="CQ42" s="60" t="str">
        <f t="shared" si="193"/>
        <v>.</v>
      </c>
      <c r="CR42" s="60" t="str">
        <f t="shared" si="193"/>
        <v>.</v>
      </c>
      <c r="CS42" s="60" t="str">
        <f t="shared" si="193"/>
        <v>.</v>
      </c>
      <c r="CT42" s="60" t="str">
        <f t="shared" si="193"/>
        <v>.</v>
      </c>
      <c r="CU42" s="60" t="str">
        <f t="shared" si="193"/>
        <v>.</v>
      </c>
      <c r="CV42" s="60" t="str">
        <f t="shared" si="193"/>
        <v>.</v>
      </c>
      <c r="CW42" s="60" t="str">
        <f t="shared" si="193"/>
        <v>.</v>
      </c>
      <c r="CX42" s="60" t="str">
        <f t="shared" si="193"/>
        <v>.</v>
      </c>
      <c r="CY42" s="60" t="str">
        <f t="shared" si="193"/>
        <v>.</v>
      </c>
      <c r="CZ42" s="60" t="str">
        <f t="shared" si="193"/>
        <v>.</v>
      </c>
      <c r="DA42" s="111" t="str">
        <f t="shared" si="101"/>
        <v>.</v>
      </c>
      <c r="DB42" s="111" t="str">
        <f t="shared" si="102"/>
        <v>.</v>
      </c>
      <c r="DC42" s="111">
        <f t="shared" si="103"/>
        <v>2.1301152577846561E-9</v>
      </c>
      <c r="DD42" s="111" t="str">
        <f t="shared" si="104"/>
        <v>.</v>
      </c>
      <c r="DE42" s="111" t="str">
        <f t="shared" si="105"/>
        <v>.</v>
      </c>
      <c r="DF42" s="111" t="str">
        <f t="shared" si="106"/>
        <v>.</v>
      </c>
      <c r="DG42" s="111" t="str">
        <f t="shared" si="107"/>
        <v>.</v>
      </c>
      <c r="DH42" s="111" t="str">
        <f t="shared" si="108"/>
        <v>.</v>
      </c>
      <c r="DI42" s="111" t="str">
        <f t="shared" si="109"/>
        <v>.</v>
      </c>
      <c r="DJ42" s="111" t="str">
        <f t="shared" si="110"/>
        <v>.</v>
      </c>
      <c r="DK42" s="111" t="str">
        <f t="shared" si="111"/>
        <v>.</v>
      </c>
      <c r="DL42" s="111" t="str">
        <f t="shared" si="112"/>
        <v>.</v>
      </c>
      <c r="DM42" s="111" t="str">
        <f t="shared" si="113"/>
        <v>.</v>
      </c>
      <c r="DN42" s="111" t="str">
        <f t="shared" si="114"/>
        <v>.</v>
      </c>
      <c r="DO42" s="111" t="str">
        <f t="shared" si="115"/>
        <v>.</v>
      </c>
      <c r="DP42" s="60">
        <f>IFERROR(DP19/$B42,".")</f>
        <v>469458164.92578501</v>
      </c>
      <c r="DQ42" s="189">
        <f t="shared" ref="DQ42" si="194">IFERROR(DQ19/$B42,0)</f>
        <v>3.7288697620474959E-17</v>
      </c>
      <c r="DR42" s="246" t="str">
        <f>IF(CL42=".",".",s_RadSpec!$I$19*DR19*$B$42)</f>
        <v>.</v>
      </c>
      <c r="DS42" s="246" t="str">
        <f>IF(CM42=".",".",s_RadSpec!$H$19*DS19)</f>
        <v>.</v>
      </c>
      <c r="DT42" s="246">
        <f>IF(CN42=".",".",s_RadSpec!$M$19*DT19*$B$42)</f>
        <v>5.3252881444616407E-8</v>
      </c>
      <c r="DU42" s="49" t="str">
        <f>s_b2w!CC42</f>
        <v>.</v>
      </c>
      <c r="DV42" s="246" t="str">
        <f>IF(CP42=".",".",s_RadSpec!$F$19*DV19*$B$42)</f>
        <v>.</v>
      </c>
      <c r="DW42" s="246" t="str">
        <f>IF(CQ42=".",".",s_RadSpec!$F$19*DW19*$B$42)</f>
        <v>.</v>
      </c>
      <c r="DX42" s="246" t="str">
        <f>IF(CR42=".",".",s_RadSpec!$F$19*DX19*$B$42)</f>
        <v>.</v>
      </c>
      <c r="DY42" s="246" t="str">
        <f>IF(CS42=".",".",s_RadSpec!$F$19*DY19*$B$42)</f>
        <v>.</v>
      </c>
      <c r="DZ42" s="246" t="str">
        <f>IF(CT42=".",".",s_RadSpec!$F$19*DZ19*$B$42)</f>
        <v>.</v>
      </c>
      <c r="EA42" s="246" t="str">
        <f>IF(CU42=".",".",s_RadSpec!$F$19*EA19*$B$42)</f>
        <v>.</v>
      </c>
      <c r="EB42" s="246" t="str">
        <f>IF(CV42=".",".",s_RadSpec!$F$19*EB19*$B$42)</f>
        <v>.</v>
      </c>
      <c r="EC42" s="246" t="str">
        <f>IF(CW42=".",".",s_RadSpec!$F$19*EC19*$B$42)</f>
        <v>.</v>
      </c>
      <c r="ED42" s="246" t="str">
        <f>IF(CX42=".",".",s_RadSpec!$F$19*ED19*$B$42)</f>
        <v>.</v>
      </c>
      <c r="EE42" s="246" t="str">
        <f>IF(CY42=".",".",s_RadSpec!$F$19*EE19*$B$42)</f>
        <v>.</v>
      </c>
      <c r="EF42" s="246" t="str">
        <f>IF(CZ42=".",".",s_RadSpec!$F$19*EF19*$B$42)</f>
        <v>.</v>
      </c>
      <c r="EG42" s="49">
        <f t="shared" si="152"/>
        <v>5.3252881444616407E-8</v>
      </c>
      <c r="EH42" s="60" t="str">
        <f>IFERROR(EH19/$B42,".")</f>
        <v>.</v>
      </c>
      <c r="EI42" s="60">
        <f>IFERROR(EI19/$B42,".")</f>
        <v>1629651267.2511456</v>
      </c>
      <c r="EJ42" s="60">
        <f>IFERROR(EJ19/$B42,".")</f>
        <v>1629651267.2511456</v>
      </c>
      <c r="EK42" s="189">
        <f t="shared" ref="EK42" si="195">IFERROR(EK19/$B42,0)</f>
        <v>1.2944193513166038E-16</v>
      </c>
      <c r="EL42" s="246" t="str">
        <f>IF(EH42=".",".",s_RadSpec!$H$19*EL19*$B$42)</f>
        <v>.</v>
      </c>
      <c r="EM42" s="246">
        <f>IF(EI42=".",".",s_RadSpec!$K$19*EM19*$B$42)</f>
        <v>1.5340705402677571E-8</v>
      </c>
      <c r="EN42" s="49">
        <f t="shared" si="155"/>
        <v>1.5340705402677571E-8</v>
      </c>
    </row>
    <row r="43" spans="1:144" x14ac:dyDescent="0.25">
      <c r="A43" s="77" t="s">
        <v>1071</v>
      </c>
      <c r="B43" s="42">
        <v>2.0897492E-2</v>
      </c>
      <c r="C43" s="42"/>
      <c r="D43" s="60" t="str">
        <f t="shared" ref="D43:O43" si="196">IFERROR(D28/$B43,".")</f>
        <v>.</v>
      </c>
      <c r="E43" s="60" t="str">
        <f t="shared" si="196"/>
        <v>.</v>
      </c>
      <c r="F43" s="60" t="str">
        <f t="shared" si="196"/>
        <v>.</v>
      </c>
      <c r="G43" s="60" t="str">
        <f t="shared" si="196"/>
        <v>.</v>
      </c>
      <c r="H43" s="60" t="str">
        <f t="shared" si="196"/>
        <v>.</v>
      </c>
      <c r="I43" s="60" t="str">
        <f t="shared" si="196"/>
        <v>.</v>
      </c>
      <c r="J43" s="60" t="str">
        <f t="shared" si="196"/>
        <v>.</v>
      </c>
      <c r="K43" s="60" t="str">
        <f t="shared" si="196"/>
        <v>.</v>
      </c>
      <c r="L43" s="60" t="str">
        <f t="shared" si="196"/>
        <v>.</v>
      </c>
      <c r="M43" s="60" t="str">
        <f t="shared" si="196"/>
        <v>.</v>
      </c>
      <c r="N43" s="60" t="str">
        <f t="shared" si="196"/>
        <v>.</v>
      </c>
      <c r="O43" s="60" t="str">
        <f t="shared" si="196"/>
        <v>.</v>
      </c>
      <c r="P43" s="111" t="str">
        <f t="shared" si="142"/>
        <v>.</v>
      </c>
      <c r="Q43" s="111" t="str">
        <f t="shared" si="136"/>
        <v>.</v>
      </c>
      <c r="R43" s="111" t="str">
        <f t="shared" si="136"/>
        <v>.</v>
      </c>
      <c r="S43" s="111" t="str">
        <f t="shared" si="136"/>
        <v>.</v>
      </c>
      <c r="T43" s="111" t="str">
        <f t="shared" si="136"/>
        <v>.</v>
      </c>
      <c r="U43" s="111" t="str">
        <f t="shared" si="136"/>
        <v>.</v>
      </c>
      <c r="V43" s="111" t="str">
        <f t="shared" si="136"/>
        <v>.</v>
      </c>
      <c r="W43" s="111" t="str">
        <f t="shared" si="136"/>
        <v>.</v>
      </c>
      <c r="X43" s="111" t="str">
        <f t="shared" si="59"/>
        <v>.</v>
      </c>
      <c r="Y43" s="111" t="str">
        <f t="shared" si="59"/>
        <v>.</v>
      </c>
      <c r="Z43" s="111" t="str">
        <f t="shared" si="59"/>
        <v>.</v>
      </c>
      <c r="AA43" s="111" t="str">
        <f t="shared" si="59"/>
        <v>.</v>
      </c>
      <c r="AB43" s="60" t="str">
        <f>IFERROR(AB28/$B43,".")</f>
        <v>.</v>
      </c>
      <c r="AC43" s="247">
        <f>IFERROR(AC28/$B43,0)</f>
        <v>0</v>
      </c>
      <c r="AD43" s="49" t="str">
        <f>s_dir!BC43</f>
        <v>.</v>
      </c>
      <c r="AE43" s="246" t="str">
        <f>IF(E43=".",".",s_RadSpec!$F$28*AE28*$B$43)</f>
        <v>.</v>
      </c>
      <c r="AF43" s="246" t="str">
        <f>IF(F43=".",".",s_RadSpec!$F$28*AF28*$B$43)</f>
        <v>.</v>
      </c>
      <c r="AG43" s="246" t="str">
        <f>IF(G43=".",".",s_RadSpec!$F$28*AG28*$B$43)</f>
        <v>.</v>
      </c>
      <c r="AH43" s="246" t="str">
        <f>IF(H43=".",".",s_RadSpec!$F$28*AH28*$B$43)</f>
        <v>.</v>
      </c>
      <c r="AI43" s="246" t="str">
        <f>IF(I43=".",".",s_RadSpec!$F$28*AI28*$B$43)</f>
        <v>.</v>
      </c>
      <c r="AJ43" s="246" t="str">
        <f>IF(J43=".",".",s_RadSpec!$F$28*AJ28*$B$43)</f>
        <v>.</v>
      </c>
      <c r="AK43" s="246" t="str">
        <f>IF(K43=".",".",s_RadSpec!$F$28*AK28*$B$43)</f>
        <v>.</v>
      </c>
      <c r="AL43" s="246" t="str">
        <f>IF(L43=".",".",s_RadSpec!$F$28*AL28*$B$43)</f>
        <v>.</v>
      </c>
      <c r="AM43" s="246" t="str">
        <f>IF(M43=".",".",s_RadSpec!$F$28*AM28*$B$43)</f>
        <v>.</v>
      </c>
      <c r="AN43" s="246" t="str">
        <f>IF(N43=".",".",s_RadSpec!$F$28*AN28*$B$43)</f>
        <v>.</v>
      </c>
      <c r="AO43" s="246" t="str">
        <f>IF(O43=".",".",s_RadSpec!$F$28*AO28*$B$43)</f>
        <v>.</v>
      </c>
      <c r="AP43" s="60" t="str">
        <f t="shared" ref="AP43:BD43" si="197">IFERROR(AP28/$B43,".")</f>
        <v>.</v>
      </c>
      <c r="AQ43" s="60" t="str">
        <f t="shared" si="197"/>
        <v>.</v>
      </c>
      <c r="AR43" s="60">
        <f t="shared" si="197"/>
        <v>2014.8636339993348</v>
      </c>
      <c r="AS43" s="60" t="str">
        <f t="shared" si="197"/>
        <v>.</v>
      </c>
      <c r="AT43" s="60" t="str">
        <f t="shared" si="197"/>
        <v>.</v>
      </c>
      <c r="AU43" s="60" t="str">
        <f t="shared" si="197"/>
        <v>.</v>
      </c>
      <c r="AV43" s="60" t="str">
        <f t="shared" si="197"/>
        <v>.</v>
      </c>
      <c r="AW43" s="60" t="str">
        <f t="shared" si="197"/>
        <v>.</v>
      </c>
      <c r="AX43" s="60" t="str">
        <f t="shared" si="197"/>
        <v>.</v>
      </c>
      <c r="AY43" s="60" t="str">
        <f t="shared" si="197"/>
        <v>.</v>
      </c>
      <c r="AZ43" s="60" t="str">
        <f t="shared" si="197"/>
        <v>.</v>
      </c>
      <c r="BA43" s="60" t="str">
        <f t="shared" si="197"/>
        <v>.</v>
      </c>
      <c r="BB43" s="60" t="str">
        <f t="shared" si="197"/>
        <v>.</v>
      </c>
      <c r="BC43" s="60" t="str">
        <f t="shared" si="197"/>
        <v>.</v>
      </c>
      <c r="BD43" s="60" t="str">
        <f t="shared" si="197"/>
        <v>.</v>
      </c>
      <c r="BE43" s="111" t="str">
        <f t="shared" si="69"/>
        <v>.</v>
      </c>
      <c r="BF43" s="111" t="str">
        <f t="shared" si="70"/>
        <v>.</v>
      </c>
      <c r="BG43" s="111">
        <f t="shared" si="71"/>
        <v>4.9631150372945294E-4</v>
      </c>
      <c r="BH43" s="111" t="str">
        <f t="shared" si="72"/>
        <v>.</v>
      </c>
      <c r="BI43" s="111" t="str">
        <f t="shared" si="73"/>
        <v>.</v>
      </c>
      <c r="BJ43" s="111" t="str">
        <f t="shared" si="74"/>
        <v>.</v>
      </c>
      <c r="BK43" s="111" t="str">
        <f t="shared" si="75"/>
        <v>.</v>
      </c>
      <c r="BL43" s="111" t="str">
        <f t="shared" si="76"/>
        <v>.</v>
      </c>
      <c r="BM43" s="111" t="str">
        <f t="shared" si="77"/>
        <v>.</v>
      </c>
      <c r="BN43" s="111" t="str">
        <f t="shared" si="78"/>
        <v>.</v>
      </c>
      <c r="BO43" s="111" t="str">
        <f t="shared" si="79"/>
        <v>.</v>
      </c>
      <c r="BP43" s="111" t="str">
        <f t="shared" si="80"/>
        <v>.</v>
      </c>
      <c r="BQ43" s="111" t="str">
        <f t="shared" si="81"/>
        <v>.</v>
      </c>
      <c r="BR43" s="111" t="str">
        <f t="shared" si="82"/>
        <v>.</v>
      </c>
      <c r="BS43" s="111" t="str">
        <f t="shared" si="83"/>
        <v>.</v>
      </c>
      <c r="BT43" s="60">
        <f>IFERROR(BT28/$B43,".")</f>
        <v>2014.8636339993348</v>
      </c>
      <c r="BU43" s="189">
        <f>IFERROR(BU28/$B43,0)</f>
        <v>4.8478523729263058E-12</v>
      </c>
      <c r="BV43" s="246" t="str">
        <f>IF(AP43=".",".",s_RadSpec!$E$28*BV28*$B$43)</f>
        <v>.</v>
      </c>
      <c r="BW43" s="246" t="str">
        <f>IF(AQ43=".",".",s_RadSpec!$H$28*BW28*$B$43)</f>
        <v>.</v>
      </c>
      <c r="BX43" s="246">
        <f>IF(AR43=".",".",s_RadSpec!$G$28*BX28*$B$43)</f>
        <v>1.2407787593236323E-2</v>
      </c>
      <c r="BY43" s="49" t="str">
        <f>s_b2s!CC43</f>
        <v>.</v>
      </c>
      <c r="BZ43" s="246" t="str">
        <f>IF(AT43=".",".",s_RadSpec!$F$28*BZ28*$B$43)</f>
        <v>.</v>
      </c>
      <c r="CA43" s="246" t="str">
        <f>IF(AU43=".",".",s_RadSpec!$F$28*CA28*$B$43)</f>
        <v>.</v>
      </c>
      <c r="CB43" s="246" t="str">
        <f>IF(AV43=".",".",s_RadSpec!$F$28*CB28*$B$43)</f>
        <v>.</v>
      </c>
      <c r="CC43" s="246" t="str">
        <f>IF(AW43=".",".",s_RadSpec!$F$28*CC28*$B$43)</f>
        <v>.</v>
      </c>
      <c r="CD43" s="246" t="str">
        <f>IF(AX43=".",".",s_RadSpec!$F$28*CD28*$B$43)</f>
        <v>.</v>
      </c>
      <c r="CE43" s="246" t="str">
        <f>IF(AY43=".",".",s_RadSpec!$F$28*CE28*$B$43)</f>
        <v>.</v>
      </c>
      <c r="CF43" s="246" t="str">
        <f>IF(AZ43=".",".",s_RadSpec!$F$28*CF28*$B$43)</f>
        <v>.</v>
      </c>
      <c r="CG43" s="246" t="str">
        <f>IF(BA43=".",".",s_RadSpec!$F$28*CG28*$B$43)</f>
        <v>.</v>
      </c>
      <c r="CH43" s="246" t="str">
        <f>IF(BB43=".",".",s_RadSpec!$F$28*CH28*$B$43)</f>
        <v>.</v>
      </c>
      <c r="CI43" s="246" t="str">
        <f>IF(BC43=".",".",s_RadSpec!$F$28*CI28*$B$43)</f>
        <v>.</v>
      </c>
      <c r="CJ43" s="246" t="str">
        <f>IF(BD43=".",".",s_RadSpec!$F$28*CJ28*$B$43)</f>
        <v>.</v>
      </c>
      <c r="CK43" s="49">
        <f t="shared" si="147"/>
        <v>1.2407787593236323E-2</v>
      </c>
      <c r="CL43" s="60" t="str">
        <f>IFERROR(CL28/$B43,".")</f>
        <v>.</v>
      </c>
      <c r="CM43" s="60" t="str">
        <f>IFERROR(CM28,".")</f>
        <v>.</v>
      </c>
      <c r="CN43" s="60">
        <f t="shared" ref="CN43:CZ43" si="198">IFERROR(CN28/$B43,".")</f>
        <v>370876.13641245791</v>
      </c>
      <c r="CO43" s="60" t="str">
        <f t="shared" si="198"/>
        <v>.</v>
      </c>
      <c r="CP43" s="60" t="str">
        <f t="shared" si="198"/>
        <v>.</v>
      </c>
      <c r="CQ43" s="60" t="str">
        <f t="shared" si="198"/>
        <v>.</v>
      </c>
      <c r="CR43" s="60" t="str">
        <f t="shared" si="198"/>
        <v>.</v>
      </c>
      <c r="CS43" s="60" t="str">
        <f t="shared" si="198"/>
        <v>.</v>
      </c>
      <c r="CT43" s="60" t="str">
        <f t="shared" si="198"/>
        <v>.</v>
      </c>
      <c r="CU43" s="60" t="str">
        <f t="shared" si="198"/>
        <v>.</v>
      </c>
      <c r="CV43" s="60" t="str">
        <f t="shared" si="198"/>
        <v>.</v>
      </c>
      <c r="CW43" s="60" t="str">
        <f t="shared" si="198"/>
        <v>.</v>
      </c>
      <c r="CX43" s="60" t="str">
        <f t="shared" si="198"/>
        <v>.</v>
      </c>
      <c r="CY43" s="60" t="str">
        <f t="shared" si="198"/>
        <v>.</v>
      </c>
      <c r="CZ43" s="60" t="str">
        <f t="shared" si="198"/>
        <v>.</v>
      </c>
      <c r="DA43" s="111" t="str">
        <f t="shared" si="101"/>
        <v>.</v>
      </c>
      <c r="DB43" s="111" t="str">
        <f t="shared" si="102"/>
        <v>.</v>
      </c>
      <c r="DC43" s="111">
        <f t="shared" si="103"/>
        <v>2.6963179935844733E-6</v>
      </c>
      <c r="DD43" s="111" t="str">
        <f t="shared" si="104"/>
        <v>.</v>
      </c>
      <c r="DE43" s="111" t="str">
        <f t="shared" si="105"/>
        <v>.</v>
      </c>
      <c r="DF43" s="111" t="str">
        <f t="shared" si="106"/>
        <v>.</v>
      </c>
      <c r="DG43" s="111" t="str">
        <f t="shared" si="107"/>
        <v>.</v>
      </c>
      <c r="DH43" s="111" t="str">
        <f t="shared" si="108"/>
        <v>.</v>
      </c>
      <c r="DI43" s="111" t="str">
        <f t="shared" si="109"/>
        <v>.</v>
      </c>
      <c r="DJ43" s="111" t="str">
        <f t="shared" si="110"/>
        <v>.</v>
      </c>
      <c r="DK43" s="111" t="str">
        <f t="shared" si="111"/>
        <v>.</v>
      </c>
      <c r="DL43" s="111" t="str">
        <f t="shared" si="112"/>
        <v>.</v>
      </c>
      <c r="DM43" s="111" t="str">
        <f t="shared" si="113"/>
        <v>.</v>
      </c>
      <c r="DN43" s="111" t="str">
        <f t="shared" si="114"/>
        <v>.</v>
      </c>
      <c r="DO43" s="111" t="str">
        <f t="shared" si="115"/>
        <v>.</v>
      </c>
      <c r="DP43" s="60">
        <f>IFERROR(DP28/$B43,".")</f>
        <v>370876.13641245791</v>
      </c>
      <c r="DQ43" s="189">
        <f t="shared" ref="DQ43" si="199">IFERROR(DQ28/$B43,0)</f>
        <v>8.9234463694204897E-13</v>
      </c>
      <c r="DR43" s="246" t="str">
        <f>IF(CL43=".",".",s_RadSpec!$I$28*DR28*$B$43)</f>
        <v>.</v>
      </c>
      <c r="DS43" s="246" t="str">
        <f>IF(CM43=".",".",s_RadSpec!$H$28*DS28)</f>
        <v>.</v>
      </c>
      <c r="DT43" s="246">
        <f>IF(CN43=".",".",s_RadSpec!$M$28*DT28*$B$43)</f>
        <v>6.740794983961183E-5</v>
      </c>
      <c r="DU43" s="49" t="str">
        <f>s_b2w!CC43</f>
        <v>.</v>
      </c>
      <c r="DV43" s="246" t="str">
        <f>IF(CP43=".",".",s_RadSpec!$F$28*DV28*$B$43)</f>
        <v>.</v>
      </c>
      <c r="DW43" s="246" t="str">
        <f>IF(CQ43=".",".",s_RadSpec!$F$28*DW28*$B$43)</f>
        <v>.</v>
      </c>
      <c r="DX43" s="246" t="str">
        <f>IF(CR43=".",".",s_RadSpec!$F$28*DX28*$B$43)</f>
        <v>.</v>
      </c>
      <c r="DY43" s="246" t="str">
        <f>IF(CS43=".",".",s_RadSpec!$F$28*DY28*$B$43)</f>
        <v>.</v>
      </c>
      <c r="DZ43" s="246" t="str">
        <f>IF(CT43=".",".",s_RadSpec!$F$28*DZ28*$B$43)</f>
        <v>.</v>
      </c>
      <c r="EA43" s="246" t="str">
        <f>IF(CU43=".",".",s_RadSpec!$F$28*EA28*$B$43)</f>
        <v>.</v>
      </c>
      <c r="EB43" s="246" t="str">
        <f>IF(CV43=".",".",s_RadSpec!$F$28*EB28*$B$43)</f>
        <v>.</v>
      </c>
      <c r="EC43" s="246" t="str">
        <f>IF(CW43=".",".",s_RadSpec!$F$28*EC28*$B$43)</f>
        <v>.</v>
      </c>
      <c r="ED43" s="246" t="str">
        <f>IF(CX43=".",".",s_RadSpec!$F$28*ED28*$B$43)</f>
        <v>.</v>
      </c>
      <c r="EE43" s="246" t="str">
        <f>IF(CY43=".",".",s_RadSpec!$F$28*EE28*$B$43)</f>
        <v>.</v>
      </c>
      <c r="EF43" s="246" t="str">
        <f>IF(CZ43=".",".",s_RadSpec!$F$28*EF28*$B$43)</f>
        <v>.</v>
      </c>
      <c r="EG43" s="49">
        <f t="shared" si="152"/>
        <v>6.740794983961183E-5</v>
      </c>
      <c r="EH43" s="60" t="str">
        <f>IFERROR(EH28/$B43,".")</f>
        <v>.</v>
      </c>
      <c r="EI43" s="60">
        <f>IFERROR(EI28/$B43,".")</f>
        <v>1279886.2746782864</v>
      </c>
      <c r="EJ43" s="60">
        <f>IFERROR(EJ28/$B43,".")</f>
        <v>1279886.2746782866</v>
      </c>
      <c r="EK43" s="189">
        <f t="shared" ref="EK43" si="200">IFERROR(EK28/$B43,0)</f>
        <v>3.0794638451333468E-12</v>
      </c>
      <c r="EL43" s="246" t="str">
        <f>IF(EH43=".",".",s_RadSpec!$H$28*EL28*$B$43)</f>
        <v>.</v>
      </c>
      <c r="EM43" s="246">
        <f>IF(EI43=".",".",s_RadSpec!$K$28*EM28*$B$43)</f>
        <v>1.9532985464887521E-5</v>
      </c>
      <c r="EN43" s="49">
        <f t="shared" si="155"/>
        <v>1.9532985464887521E-5</v>
      </c>
    </row>
    <row r="44" spans="1:144" x14ac:dyDescent="0.25">
      <c r="A44" s="77" t="s">
        <v>1072</v>
      </c>
      <c r="B44" s="42">
        <v>0.99987999999999999</v>
      </c>
      <c r="C44" s="42"/>
      <c r="D44" s="60">
        <f t="shared" ref="D44:O44" si="201">IFERROR(D15/$B44,".")</f>
        <v>2990.5042383867335</v>
      </c>
      <c r="E44" s="60">
        <f t="shared" si="201"/>
        <v>11962.016953546934</v>
      </c>
      <c r="F44" s="60">
        <f t="shared" si="201"/>
        <v>11962.016953546934</v>
      </c>
      <c r="G44" s="60">
        <f t="shared" si="201"/>
        <v>11962.016953546934</v>
      </c>
      <c r="H44" s="60">
        <f t="shared" si="201"/>
        <v>11962.016953546934</v>
      </c>
      <c r="I44" s="60">
        <f t="shared" si="201"/>
        <v>11962.016953546934</v>
      </c>
      <c r="J44" s="60">
        <f t="shared" si="201"/>
        <v>11962.016953546934</v>
      </c>
      <c r="K44" s="60">
        <f t="shared" si="201"/>
        <v>11962.016953546934</v>
      </c>
      <c r="L44" s="60">
        <f t="shared" si="201"/>
        <v>11962.016953546934</v>
      </c>
      <c r="M44" s="60">
        <f t="shared" si="201"/>
        <v>11962.016953546934</v>
      </c>
      <c r="N44" s="60">
        <f t="shared" si="201"/>
        <v>11962.016953546934</v>
      </c>
      <c r="O44" s="60">
        <f t="shared" si="201"/>
        <v>11962.016953546934</v>
      </c>
      <c r="P44" s="111">
        <f t="shared" si="142"/>
        <v>8.3597942042999996E-5</v>
      </c>
      <c r="Q44" s="111">
        <f t="shared" si="136"/>
        <v>8.3597942042999996E-5</v>
      </c>
      <c r="R44" s="111">
        <f t="shared" si="136"/>
        <v>8.3597942042999996E-5</v>
      </c>
      <c r="S44" s="111">
        <f t="shared" si="136"/>
        <v>8.3597942042999996E-5</v>
      </c>
      <c r="T44" s="111">
        <f t="shared" si="136"/>
        <v>8.3597942042999996E-5</v>
      </c>
      <c r="U44" s="111">
        <f t="shared" si="136"/>
        <v>8.3597942042999996E-5</v>
      </c>
      <c r="V44" s="111">
        <f t="shared" si="136"/>
        <v>8.3597942042999996E-5</v>
      </c>
      <c r="W44" s="111">
        <f t="shared" si="136"/>
        <v>8.3597942042999996E-5</v>
      </c>
      <c r="X44" s="111">
        <f t="shared" si="59"/>
        <v>8.3597942042999996E-5</v>
      </c>
      <c r="Y44" s="111">
        <f t="shared" si="59"/>
        <v>8.3597942042999996E-5</v>
      </c>
      <c r="Z44" s="111">
        <f t="shared" si="59"/>
        <v>8.3597942042999996E-5</v>
      </c>
      <c r="AA44" s="111">
        <f t="shared" si="59"/>
        <v>8.3597942042999996E-5</v>
      </c>
      <c r="AB44" s="60">
        <f>IFERROR(AB15/$B44,".")</f>
        <v>996.83474612891109</v>
      </c>
      <c r="AC44" s="247">
        <f>IFERROR(AC15/$B44,0)</f>
        <v>2.1662443455968934E-10</v>
      </c>
      <c r="AD44" s="49">
        <f>s_dir!BC44</f>
        <v>8.359794204299999E-3</v>
      </c>
      <c r="AE44" s="49">
        <f>IF(E44=".",".",s_RadSpec!$F$15*AE15*$B$44)</f>
        <v>2.0899485510749998E-3</v>
      </c>
      <c r="AF44" s="49">
        <f>IF(F44=".",".",s_RadSpec!$F$15*AF15*$B$44)</f>
        <v>2.0899485510749998E-3</v>
      </c>
      <c r="AG44" s="49">
        <f>IF(G44=".",".",s_RadSpec!$F$15*AG15*$B$44)</f>
        <v>2.0899485510749998E-3</v>
      </c>
      <c r="AH44" s="49">
        <f>IF(H44=".",".",s_RadSpec!$F$15*AH15*$B$44)</f>
        <v>2.0899485510749998E-3</v>
      </c>
      <c r="AI44" s="49">
        <f>IF(I44=".",".",s_RadSpec!$F$15*AI15*$B$44)</f>
        <v>2.0899485510749998E-3</v>
      </c>
      <c r="AJ44" s="49">
        <f>IF(J44=".",".",s_RadSpec!$F$15*AJ15*$B$44)</f>
        <v>2.0899485510749998E-3</v>
      </c>
      <c r="AK44" s="49">
        <f>IF(K44=".",".",s_RadSpec!$F$15*AK15*$B$44)</f>
        <v>2.0899485510749998E-3</v>
      </c>
      <c r="AL44" s="49">
        <f>IF(L44=".",".",s_RadSpec!$F$15*AL15*$B$44)</f>
        <v>2.0899485510749998E-3</v>
      </c>
      <c r="AM44" s="49">
        <f>IF(M44=".",".",s_RadSpec!$F$15*AM15*$B$44)</f>
        <v>2.0899485510749998E-3</v>
      </c>
      <c r="AN44" s="49">
        <f>IF(N44=".",".",s_RadSpec!$F$15*AN15*$B$44)</f>
        <v>2.0899485510749998E-3</v>
      </c>
      <c r="AO44" s="49">
        <f>IF(O44=".",".",s_RadSpec!$F$15*AO15*$B$44)</f>
        <v>2.0899485510749998E-3</v>
      </c>
      <c r="AP44" s="60">
        <f t="shared" ref="AP44:BD44" si="202">IFERROR(AP15/$B44,".")</f>
        <v>5981008.476773466</v>
      </c>
      <c r="AQ44" s="60">
        <f t="shared" si="202"/>
        <v>59830454362.071892</v>
      </c>
      <c r="AR44" s="60" t="str">
        <f t="shared" si="202"/>
        <v>.</v>
      </c>
      <c r="AS44" s="60">
        <f t="shared" si="202"/>
        <v>132484.40528903459</v>
      </c>
      <c r="AT44" s="60">
        <f t="shared" si="202"/>
        <v>71772.101721281608</v>
      </c>
      <c r="AU44" s="60">
        <f t="shared" si="202"/>
        <v>81559.206501456356</v>
      </c>
      <c r="AV44" s="60">
        <f t="shared" si="202"/>
        <v>191833.26727347143</v>
      </c>
      <c r="AW44" s="60">
        <f t="shared" si="202"/>
        <v>727956.76686406787</v>
      </c>
      <c r="AX44" s="60" t="str">
        <f t="shared" si="202"/>
        <v>.</v>
      </c>
      <c r="AY44" s="60" t="str">
        <f t="shared" si="202"/>
        <v>.</v>
      </c>
      <c r="AZ44" s="60" t="str">
        <f t="shared" si="202"/>
        <v>.</v>
      </c>
      <c r="BA44" s="60" t="str">
        <f t="shared" si="202"/>
        <v>.</v>
      </c>
      <c r="BB44" s="60">
        <f t="shared" si="202"/>
        <v>23051.964284028814</v>
      </c>
      <c r="BC44" s="60">
        <f t="shared" si="202"/>
        <v>18913.139026961973</v>
      </c>
      <c r="BD44" s="60">
        <f t="shared" si="202"/>
        <v>3951.7653058335113</v>
      </c>
      <c r="BE44" s="111">
        <f t="shared" si="69"/>
        <v>1.6719588408600004E-7</v>
      </c>
      <c r="BF44" s="111">
        <f t="shared" si="70"/>
        <v>1.671389613637844E-11</v>
      </c>
      <c r="BG44" s="111" t="str">
        <f t="shared" si="71"/>
        <v>.</v>
      </c>
      <c r="BH44" s="111">
        <f t="shared" si="72"/>
        <v>7.5480581870624702E-6</v>
      </c>
      <c r="BI44" s="111">
        <f t="shared" si="73"/>
        <v>1.3932990340499999E-5</v>
      </c>
      <c r="BJ44" s="111">
        <f t="shared" si="74"/>
        <v>1.2261031499640002E-5</v>
      </c>
      <c r="BK44" s="111">
        <f t="shared" si="75"/>
        <v>5.2128601791181071E-6</v>
      </c>
      <c r="BL44" s="111">
        <f t="shared" si="76"/>
        <v>1.3737079528882668E-6</v>
      </c>
      <c r="BM44" s="111" t="str">
        <f t="shared" si="77"/>
        <v>.</v>
      </c>
      <c r="BN44" s="111" t="str">
        <f t="shared" si="78"/>
        <v>.</v>
      </c>
      <c r="BO44" s="111" t="str">
        <f t="shared" si="79"/>
        <v>.</v>
      </c>
      <c r="BP44" s="111" t="str">
        <f t="shared" si="80"/>
        <v>.</v>
      </c>
      <c r="BQ44" s="111">
        <f t="shared" si="81"/>
        <v>4.3380251143840006E-5</v>
      </c>
      <c r="BR44" s="111">
        <f t="shared" si="82"/>
        <v>5.2873296102483651E-5</v>
      </c>
      <c r="BS44" s="111">
        <f t="shared" si="83"/>
        <v>2.5305146500573337E-4</v>
      </c>
      <c r="BT44" s="60">
        <f>IFERROR(BT15/$B44,".")</f>
        <v>2565.4124175762818</v>
      </c>
      <c r="BU44" s="189">
        <f>IFERROR(BU15/$B44,0)</f>
        <v>5.5749562956947768E-10</v>
      </c>
      <c r="BV44" s="49">
        <f>IF(AP44=".",".",s_RadSpec!$E$15*BV15*$B$44)</f>
        <v>4.1798971021499997E-6</v>
      </c>
      <c r="BW44" s="49">
        <f>IF(AQ44=".",".",s_RadSpec!$H$15*BW15*$B$44)</f>
        <v>4.1784740340946101E-10</v>
      </c>
      <c r="BX44" s="49" t="str">
        <f>IF(AR44=".",".",s_RadSpec!$G$15*BX15*$B$44)</f>
        <v>.</v>
      </c>
      <c r="BY44" s="49">
        <f>s_b2s!CC44</f>
        <v>1.8870145467656175E-4</v>
      </c>
      <c r="BZ44" s="49">
        <f>IF(AT44=".",".",s_RadSpec!$F$15*BZ15*$B$44)</f>
        <v>3.4832475851250005E-4</v>
      </c>
      <c r="CA44" s="49">
        <f>IF(AU44=".",".",s_RadSpec!$F$15*CA15*$B$44)</f>
        <v>3.0652578749099996E-4</v>
      </c>
      <c r="CB44" s="49">
        <f>IF(AV44=".",".",s_RadSpec!$F$15*CB15*$B$44)</f>
        <v>1.3032150447795266E-4</v>
      </c>
      <c r="CC44" s="49">
        <f>IF(AW44=".",".",s_RadSpec!$F$15*CC15*$B$44)</f>
        <v>3.4342698822206669E-5</v>
      </c>
      <c r="CD44" s="49" t="str">
        <f>IF(AX44=".",".",s_RadSpec!$F$15*CD15*$B$44)</f>
        <v>.</v>
      </c>
      <c r="CE44" s="49" t="str">
        <f>IF(AY44=".",".",s_RadSpec!$F$15*CE15*$B$44)</f>
        <v>.</v>
      </c>
      <c r="CF44" s="49" t="str">
        <f>IF(AZ44=".",".",s_RadSpec!$F$15*CF15*$B$44)</f>
        <v>.</v>
      </c>
      <c r="CG44" s="49" t="str">
        <f>IF(BA44=".",".",s_RadSpec!$F$15*CG15*$B$44)</f>
        <v>.</v>
      </c>
      <c r="CH44" s="49">
        <f>IF(BB44=".",".",s_RadSpec!$F$15*CH15*$B$44)</f>
        <v>1.0845062785960001E-3</v>
      </c>
      <c r="CI44" s="49">
        <f>IF(BC44=".",".",s_RadSpec!$F$15*CI15*$B$44)</f>
        <v>1.3218324025620913E-3</v>
      </c>
      <c r="CJ44" s="49">
        <f>IF(BD44=".",".",s_RadSpec!$F$15*CJ15*$B$44)</f>
        <v>6.3262866251433325E-3</v>
      </c>
      <c r="CK44" s="49">
        <f t="shared" si="147"/>
        <v>9.7450218252311989E-3</v>
      </c>
      <c r="CL44" s="60">
        <f>IFERROR(CL15/$B44,".")</f>
        <v>65791.093244508142</v>
      </c>
      <c r="CM44" s="60" t="str">
        <f>IFERROR(CM15,".")</f>
        <v>.</v>
      </c>
      <c r="CN44" s="60">
        <f t="shared" ref="CN44:CZ44" si="203">IFERROR(CN15/$B44,".")</f>
        <v>15225789.957361441</v>
      </c>
      <c r="CO44" s="60">
        <f t="shared" si="203"/>
        <v>221526.70407590651</v>
      </c>
      <c r="CP44" s="60">
        <f t="shared" si="203"/>
        <v>478480.67814187735</v>
      </c>
      <c r="CQ44" s="60">
        <f t="shared" si="203"/>
        <v>543728.04334304237</v>
      </c>
      <c r="CR44" s="60">
        <f t="shared" si="203"/>
        <v>3417719129.5848384</v>
      </c>
      <c r="CS44" s="60">
        <f t="shared" si="203"/>
        <v>12969344697.003515</v>
      </c>
      <c r="CT44" s="60" t="str">
        <f t="shared" si="203"/>
        <v>.</v>
      </c>
      <c r="CU44" s="60" t="str">
        <f t="shared" si="203"/>
        <v>.</v>
      </c>
      <c r="CV44" s="60" t="str">
        <f t="shared" si="203"/>
        <v>.</v>
      </c>
      <c r="CW44" s="60" t="str">
        <f t="shared" si="203"/>
        <v>.</v>
      </c>
      <c r="CX44" s="60">
        <f t="shared" si="203"/>
        <v>410695915.40511137</v>
      </c>
      <c r="CY44" s="60">
        <f t="shared" si="203"/>
        <v>336958224.04357558</v>
      </c>
      <c r="CZ44" s="60">
        <f t="shared" si="203"/>
        <v>70405014.069447666</v>
      </c>
      <c r="DA44" s="111">
        <f t="shared" si="101"/>
        <v>1.5199625825999999E-5</v>
      </c>
      <c r="DB44" s="111" t="str">
        <f t="shared" si="102"/>
        <v>.</v>
      </c>
      <c r="DC44" s="111">
        <f t="shared" si="103"/>
        <v>6.5678037251296441E-8</v>
      </c>
      <c r="DD44" s="111">
        <f t="shared" si="104"/>
        <v>4.514128462171081E-6</v>
      </c>
      <c r="DE44" s="111">
        <f t="shared" si="105"/>
        <v>2.0899485510749998E-6</v>
      </c>
      <c r="DF44" s="111">
        <f t="shared" si="106"/>
        <v>1.8391547249460003E-6</v>
      </c>
      <c r="DG44" s="111">
        <f t="shared" si="107"/>
        <v>2.9259279715049998E-10</v>
      </c>
      <c r="DH44" s="111">
        <f t="shared" si="108"/>
        <v>7.7104898000825262E-11</v>
      </c>
      <c r="DI44" s="111" t="str">
        <f t="shared" si="109"/>
        <v>.</v>
      </c>
      <c r="DJ44" s="111" t="str">
        <f t="shared" si="110"/>
        <v>.</v>
      </c>
      <c r="DK44" s="111" t="str">
        <f t="shared" si="111"/>
        <v>.</v>
      </c>
      <c r="DL44" s="111" t="str">
        <f t="shared" si="112"/>
        <v>.</v>
      </c>
      <c r="DM44" s="111">
        <f t="shared" si="113"/>
        <v>2.4348915158155342E-9</v>
      </c>
      <c r="DN44" s="111">
        <f t="shared" si="114"/>
        <v>2.9677269425265E-9</v>
      </c>
      <c r="DO44" s="111">
        <f t="shared" si="115"/>
        <v>1.4203533842257282E-8</v>
      </c>
      <c r="DP44" s="60">
        <f>IFERROR(DP15/$B44,".")</f>
        <v>42143.393699453918</v>
      </c>
      <c r="DQ44" s="189">
        <f t="shared" ref="DQ44" si="204">IFERROR(DQ15/$B44,0)</f>
        <v>9.1582771026221573E-12</v>
      </c>
      <c r="DR44" s="49">
        <f>IF(CL44=".",".",s_RadSpec!$I$15*DR15*$B$44)</f>
        <v>3.7999064565000002E-4</v>
      </c>
      <c r="DS44" s="49" t="str">
        <f>IF(CM44=".",".",s_RadSpec!$H$15*DS15)</f>
        <v>.</v>
      </c>
      <c r="DT44" s="49">
        <f>IF(CN44=".",".",s_RadSpec!$M$15*DT15*$B$44)</f>
        <v>1.6419509312824111E-6</v>
      </c>
      <c r="DU44" s="49">
        <f>s_b2w!CC44</f>
        <v>1.12853211554277E-4</v>
      </c>
      <c r="DV44" s="49">
        <f>IF(CP44=".",".",s_RadSpec!$F$15*DV15*$B$44)</f>
        <v>5.2248713776874999E-5</v>
      </c>
      <c r="DW44" s="49">
        <f>IF(CQ44=".",".",s_RadSpec!$F$15*DW15*$B$44)</f>
        <v>4.5978868123649999E-5</v>
      </c>
      <c r="DX44" s="49">
        <f>IF(CR44=".",".",s_RadSpec!$F$15*DX15*$B$44)</f>
        <v>7.3148199287624994E-9</v>
      </c>
      <c r="DY44" s="49">
        <f>IF(CS44=".",".",s_RadSpec!$F$15*DY15*$B$44)</f>
        <v>1.9276224500206311E-9</v>
      </c>
      <c r="DZ44" s="49" t="str">
        <f>IF(CT44=".",".",s_RadSpec!$F$15*DZ15*$B$44)</f>
        <v>.</v>
      </c>
      <c r="EA44" s="49" t="str">
        <f>IF(CU44=".",".",s_RadSpec!$F$15*EA15*$B$44)</f>
        <v>.</v>
      </c>
      <c r="EB44" s="49" t="str">
        <f>IF(CV44=".",".",s_RadSpec!$F$15*EB15*$B$44)</f>
        <v>.</v>
      </c>
      <c r="EC44" s="49" t="str">
        <f>IF(CW44=".",".",s_RadSpec!$F$15*EC15*$B$44)</f>
        <v>.</v>
      </c>
      <c r="ED44" s="49">
        <f>IF(CX44=".",".",s_RadSpec!$F$15*ED15*$B$44)</f>
        <v>6.087228789538835E-8</v>
      </c>
      <c r="EE44" s="49">
        <f>IF(CY44=".",".",s_RadSpec!$F$15*EE15*$B$44)</f>
        <v>7.4193173563162495E-8</v>
      </c>
      <c r="EF44" s="49">
        <f>IF(CZ44=".",".",s_RadSpec!$F$15*EF15*$B$44)</f>
        <v>3.5508834605643206E-7</v>
      </c>
      <c r="EG44" s="49">
        <f t="shared" si="152"/>
        <v>5.9321278628597836E-4</v>
      </c>
      <c r="EH44" s="60">
        <f>IFERROR(EH15/$B44,".")</f>
        <v>193123.6544719676</v>
      </c>
      <c r="EI44" s="60">
        <f>IFERROR(EI15/$B44,".")</f>
        <v>27284615.603591707</v>
      </c>
      <c r="EJ44" s="60">
        <f>IFERROR(EJ15/$B44,".")</f>
        <v>191766.31042097684</v>
      </c>
      <c r="EK44" s="189">
        <f t="shared" ref="EK44" si="205">IFERROR(EK15/$B44,0)</f>
        <v>4.1673174740208975E-11</v>
      </c>
      <c r="EL44" s="49">
        <f>IF(EH44=".",".",s_RadSpec!$H$15*EL15*$B$44)</f>
        <v>1.2945074008854164E-4</v>
      </c>
      <c r="EM44" s="49">
        <f>IF(EI44=".",".",s_RadSpec!$K$15*EM15*$B$44)</f>
        <v>9.1626726076027395E-7</v>
      </c>
      <c r="EN44" s="49">
        <f t="shared" si="155"/>
        <v>1.3036700734930191E-4</v>
      </c>
    </row>
    <row r="45" spans="1:144" x14ac:dyDescent="0.25">
      <c r="A45" s="76" t="s">
        <v>8</v>
      </c>
      <c r="B45" s="76" t="s">
        <v>1057</v>
      </c>
      <c r="C45" s="57"/>
      <c r="D45" s="58">
        <f t="shared" ref="D45:O45" si="206">IFERROR(1/SUM(IFERROR(1/SUMIF(D46,"&lt;&gt;.",D46),0),IFERROR(1/SUMIF(D47,"&lt;&gt;.",D47),0)),".")</f>
        <v>16.794275167480908</v>
      </c>
      <c r="E45" s="58">
        <f t="shared" si="206"/>
        <v>67.177100669923632</v>
      </c>
      <c r="F45" s="58">
        <f t="shared" si="206"/>
        <v>67.177100669923632</v>
      </c>
      <c r="G45" s="58">
        <f t="shared" si="206"/>
        <v>67.177100669923632</v>
      </c>
      <c r="H45" s="58">
        <f t="shared" si="206"/>
        <v>67.177100669923632</v>
      </c>
      <c r="I45" s="58">
        <f t="shared" si="206"/>
        <v>67.177100669923632</v>
      </c>
      <c r="J45" s="58">
        <f t="shared" si="206"/>
        <v>67.177100669923632</v>
      </c>
      <c r="K45" s="58">
        <f t="shared" si="206"/>
        <v>67.177100669923632</v>
      </c>
      <c r="L45" s="58">
        <f t="shared" si="206"/>
        <v>67.177100669923632</v>
      </c>
      <c r="M45" s="58">
        <f t="shared" si="206"/>
        <v>67.177100669923632</v>
      </c>
      <c r="N45" s="58">
        <f t="shared" si="206"/>
        <v>67.177100669923632</v>
      </c>
      <c r="O45" s="58">
        <f t="shared" si="206"/>
        <v>67.177100669923632</v>
      </c>
      <c r="P45" s="168"/>
      <c r="Q45" s="168"/>
      <c r="R45" s="168"/>
      <c r="S45" s="168"/>
      <c r="T45" s="168"/>
      <c r="U45" s="168"/>
      <c r="V45" s="168"/>
      <c r="W45" s="111"/>
      <c r="X45" s="111">
        <f t="shared" si="59"/>
        <v>1.4886025000000001E-2</v>
      </c>
      <c r="Y45" s="111">
        <f t="shared" si="59"/>
        <v>1.4886025000000001E-2</v>
      </c>
      <c r="Z45" s="111">
        <f t="shared" si="59"/>
        <v>1.4886025000000001E-2</v>
      </c>
      <c r="AA45" s="111">
        <f t="shared" si="59"/>
        <v>1.4886025000000001E-2</v>
      </c>
      <c r="AB45" s="59">
        <f t="shared" ref="AB45" si="207">IFERROR(1/SUM(IFERROR(1/SUMIF(AB46,"&lt;&gt;.",AB46),0),IFERROR(1/SUMIF(AB47,"&lt;&gt;.",AB47),0)),".")</f>
        <v>5.5980917224936366</v>
      </c>
      <c r="AC45" s="190">
        <f>AB45*(0.0000000000028)*s_RadSpec!$AY10*s_RadSpec!$AF10</f>
        <v>6.4781674758708268E-8</v>
      </c>
      <c r="AD45" s="47">
        <f>IFERROR(SUM(AD46:AD47),".")</f>
        <v>1.4886025000000001</v>
      </c>
      <c r="AE45" s="47">
        <f t="shared" ref="AE45:AO45" si="208">IFERROR(SUM(AE46:AE47),".")</f>
        <v>0.37215062500000001</v>
      </c>
      <c r="AF45" s="47">
        <f t="shared" si="208"/>
        <v>0.37215062500000001</v>
      </c>
      <c r="AG45" s="47">
        <f t="shared" si="208"/>
        <v>0.37215062500000001</v>
      </c>
      <c r="AH45" s="47">
        <f t="shared" si="208"/>
        <v>0.37215062500000001</v>
      </c>
      <c r="AI45" s="47">
        <f t="shared" si="208"/>
        <v>0.37215062500000001</v>
      </c>
      <c r="AJ45" s="47">
        <f t="shared" si="208"/>
        <v>0.37215062500000001</v>
      </c>
      <c r="AK45" s="47">
        <f t="shared" si="208"/>
        <v>0.37215062500000001</v>
      </c>
      <c r="AL45" s="47">
        <f t="shared" si="208"/>
        <v>0.37215062500000001</v>
      </c>
      <c r="AM45" s="47">
        <f t="shared" si="208"/>
        <v>0.37215062500000001</v>
      </c>
      <c r="AN45" s="47">
        <f t="shared" si="208"/>
        <v>0.37215062500000001</v>
      </c>
      <c r="AO45" s="47">
        <f t="shared" si="208"/>
        <v>0.37215062500000001</v>
      </c>
      <c r="AP45" s="58">
        <f t="shared" ref="AP45:BD45" si="209">IFERROR(1/SUM(IFERROR(1/SUMIF(AP46,"&lt;&gt;.",AP46),0),IFERROR(1/SUMIF(AP47,"&lt;&gt;.",AP47),0)),".")</f>
        <v>33588.550334961816</v>
      </c>
      <c r="AQ45" s="58">
        <f t="shared" si="209"/>
        <v>100135841.11719139</v>
      </c>
      <c r="AR45" s="58">
        <f t="shared" si="209"/>
        <v>276.9997203845424</v>
      </c>
      <c r="AS45" s="58">
        <f t="shared" si="209"/>
        <v>607.77255649980668</v>
      </c>
      <c r="AT45" s="58">
        <f t="shared" si="209"/>
        <v>0.26870840267969454</v>
      </c>
      <c r="AU45" s="58">
        <f t="shared" si="209"/>
        <v>29.207435073879839</v>
      </c>
      <c r="AV45" s="58">
        <f t="shared" si="209"/>
        <v>33.310959009879504</v>
      </c>
      <c r="AW45" s="58">
        <f t="shared" si="209"/>
        <v>164.09268068779772</v>
      </c>
      <c r="AX45" s="58">
        <f t="shared" si="209"/>
        <v>3.6642054910867454</v>
      </c>
      <c r="AY45" s="58">
        <f t="shared" si="209"/>
        <v>0.27142262896938851</v>
      </c>
      <c r="AZ45" s="58">
        <f t="shared" si="209"/>
        <v>1.8321027455433727</v>
      </c>
      <c r="BA45" s="58">
        <f t="shared" si="209"/>
        <v>2.2901284319292157</v>
      </c>
      <c r="BB45" s="58">
        <f t="shared" si="209"/>
        <v>6.8620575560351771</v>
      </c>
      <c r="BC45" s="58">
        <f t="shared" si="209"/>
        <v>3.8570584116702582</v>
      </c>
      <c r="BD45" s="58">
        <f t="shared" si="209"/>
        <v>13.014247089032233</v>
      </c>
      <c r="BE45" s="111">
        <f t="shared" si="69"/>
        <v>2.9772050000000002E-5</v>
      </c>
      <c r="BF45" s="111">
        <f t="shared" si="70"/>
        <v>9.9864343160574835E-9</v>
      </c>
      <c r="BG45" s="111">
        <f t="shared" si="71"/>
        <v>3.6101119474480294E-3</v>
      </c>
      <c r="BH45" s="111">
        <f t="shared" si="72"/>
        <v>1.6453523432500001E-3</v>
      </c>
      <c r="BI45" s="111">
        <f t="shared" si="73"/>
        <v>3.72150625</v>
      </c>
      <c r="BJ45" s="111">
        <f t="shared" si="74"/>
        <v>3.4237857500000003E-2</v>
      </c>
      <c r="BK45" s="111">
        <f t="shared" si="75"/>
        <v>3.0020150416666655E-2</v>
      </c>
      <c r="BL45" s="111">
        <f t="shared" si="76"/>
        <v>6.0941170307443338E-3</v>
      </c>
      <c r="BM45" s="111">
        <f t="shared" si="77"/>
        <v>0.27291045833333322</v>
      </c>
      <c r="BN45" s="111">
        <f t="shared" si="78"/>
        <v>3.6842911874999991</v>
      </c>
      <c r="BO45" s="111">
        <f t="shared" si="79"/>
        <v>0.54582091666666643</v>
      </c>
      <c r="BP45" s="111">
        <f t="shared" si="80"/>
        <v>0.43665673333333316</v>
      </c>
      <c r="BQ45" s="111">
        <f t="shared" si="81"/>
        <v>0.14572888551779931</v>
      </c>
      <c r="BR45" s="111">
        <f t="shared" si="82"/>
        <v>0.25926493541666656</v>
      </c>
      <c r="BS45" s="111">
        <f t="shared" si="83"/>
        <v>7.6838866909385087E-2</v>
      </c>
      <c r="BT45" s="59">
        <f>IFERROR(1/SUM(IFERROR(1/SUMIF(BT46,"&lt;&gt;.",BT46),0),IFERROR(1/SUMIF(BT47,"&lt;&gt;.",BT47),0)),".")</f>
        <v>0.1084756870039551</v>
      </c>
      <c r="BU45" s="190">
        <f>BT45*(0.0000000000028)*s_RadSpec!$AY10*s_RadSpec!$AF10</f>
        <v>1.2552914498491667E-9</v>
      </c>
      <c r="BV45" s="47">
        <f t="shared" ref="BV45" si="210">IFERROR(SUM(BV46:BV47),".")</f>
        <v>7.4430124999999992E-4</v>
      </c>
      <c r="BW45" s="47">
        <f t="shared" ref="BW45" si="211">IFERROR(SUM(BW46:BW47),".")</f>
        <v>2.4966085790143709E-7</v>
      </c>
      <c r="BX45" s="47">
        <f t="shared" ref="BX45" si="212">IFERROR(SUM(BX46:BX47),".")</f>
        <v>9.0252798686200716E-2</v>
      </c>
      <c r="BY45" s="47">
        <f t="shared" ref="BY45" si="213">IFERROR(SUM(BY46:BY47),".")</f>
        <v>4.113380858125E-2</v>
      </c>
      <c r="BZ45" s="47">
        <f t="shared" ref="BZ45" si="214">IFERROR(SUM(BZ46:BZ47),".")</f>
        <v>93.037656249999998</v>
      </c>
      <c r="CA45" s="47">
        <f t="shared" ref="CA45" si="215">IFERROR(SUM(CA46:CA47),".")</f>
        <v>0.85594643749999999</v>
      </c>
      <c r="CB45" s="47">
        <f t="shared" ref="CB45" si="216">IFERROR(SUM(CB46:CB47),".")</f>
        <v>0.75050376041666633</v>
      </c>
      <c r="CC45" s="47">
        <f t="shared" ref="CC45" si="217">IFERROR(SUM(CC46:CC47),".")</f>
        <v>0.15235292576860834</v>
      </c>
      <c r="CD45" s="47">
        <f t="shared" ref="CD45" si="218">IFERROR(SUM(CD46:CD47),".")</f>
        <v>6.8227614583333303</v>
      </c>
      <c r="CE45" s="47">
        <f t="shared" ref="CE45" si="219">IFERROR(SUM(CE46:CE47),".")</f>
        <v>92.107279687499968</v>
      </c>
      <c r="CF45" s="47">
        <f t="shared" ref="CF45" si="220">IFERROR(SUM(CF46:CF47),".")</f>
        <v>13.645522916666661</v>
      </c>
      <c r="CG45" s="47">
        <f t="shared" ref="CG45" si="221">IFERROR(SUM(CG46:CG47),".")</f>
        <v>10.916418333333329</v>
      </c>
      <c r="CH45" s="47">
        <f t="shared" ref="CH45" si="222">IFERROR(SUM(CH46:CH47),".")</f>
        <v>3.6432221379449823</v>
      </c>
      <c r="CI45" s="47">
        <f t="shared" ref="CI45" si="223">IFERROR(SUM(CI46:CI47),".")</f>
        <v>6.4816233854166629</v>
      </c>
      <c r="CJ45" s="47">
        <f t="shared" ref="CJ45" si="224">IFERROR(SUM(CJ46:CJ47),".")</f>
        <v>1.9209716727346269</v>
      </c>
      <c r="CK45" s="47">
        <f t="shared" ref="CK45" si="225">IFERROR(SUM(CK46:CK47),".")</f>
        <v>230.46639012379316</v>
      </c>
      <c r="CL45" s="59">
        <f t="shared" ref="CL45:CZ45" si="226">IFERROR(1/SUM(IFERROR(1/SUMIF(CL46,"&lt;&gt;.",CL46),0),IFERROR(1/SUMIF(CL47,"&lt;&gt;.",CL47),0)),".")</f>
        <v>369.47405368457999</v>
      </c>
      <c r="CM45" s="58" t="str">
        <f t="shared" si="226"/>
        <v>.</v>
      </c>
      <c r="CN45" s="59">
        <f t="shared" si="226"/>
        <v>30923.026552894895</v>
      </c>
      <c r="CO45" s="59">
        <f t="shared" si="226"/>
        <v>1157.8309362686086</v>
      </c>
      <c r="CP45" s="59">
        <f t="shared" si="226"/>
        <v>26.870840267969456</v>
      </c>
      <c r="CQ45" s="59">
        <f t="shared" si="226"/>
        <v>2920.7435073879842</v>
      </c>
      <c r="CR45" s="59">
        <f t="shared" si="226"/>
        <v>610700.915181124</v>
      </c>
      <c r="CS45" s="59">
        <f t="shared" si="226"/>
        <v>3008365.8126096237</v>
      </c>
      <c r="CT45" s="59">
        <f t="shared" si="226"/>
        <v>67177.100669923631</v>
      </c>
      <c r="CU45" s="59">
        <f t="shared" si="226"/>
        <v>4976.0815311054539</v>
      </c>
      <c r="CV45" s="59">
        <f t="shared" si="226"/>
        <v>33588.550334961816</v>
      </c>
      <c r="CW45" s="59">
        <f t="shared" si="226"/>
        <v>41985.687918702271</v>
      </c>
      <c r="CX45" s="59">
        <f t="shared" si="226"/>
        <v>125804.38852731153</v>
      </c>
      <c r="CY45" s="59">
        <f t="shared" si="226"/>
        <v>70712.737547288038</v>
      </c>
      <c r="CZ45" s="59">
        <f t="shared" si="226"/>
        <v>238594.52996559077</v>
      </c>
      <c r="DA45" s="111">
        <f t="shared" si="101"/>
        <v>2.7065500000000003E-3</v>
      </c>
      <c r="DB45" s="111" t="str">
        <f t="shared" si="102"/>
        <v>.</v>
      </c>
      <c r="DC45" s="111">
        <f t="shared" si="103"/>
        <v>3.233836113323079E-5</v>
      </c>
      <c r="DD45" s="111">
        <f t="shared" si="104"/>
        <v>8.6368395304995294E-4</v>
      </c>
      <c r="DE45" s="111">
        <f t="shared" si="105"/>
        <v>3.72150625E-2</v>
      </c>
      <c r="DF45" s="111">
        <f t="shared" si="106"/>
        <v>3.4237857499999999E-4</v>
      </c>
      <c r="DG45" s="111">
        <f t="shared" si="107"/>
        <v>1.63746275E-6</v>
      </c>
      <c r="DH45" s="111">
        <f t="shared" si="108"/>
        <v>3.3240638349514566E-7</v>
      </c>
      <c r="DI45" s="111">
        <f t="shared" si="109"/>
        <v>1.4886025000000001E-5</v>
      </c>
      <c r="DJ45" s="111">
        <f t="shared" si="110"/>
        <v>2.0096133750000002E-4</v>
      </c>
      <c r="DK45" s="111">
        <f t="shared" si="111"/>
        <v>2.9772050000000002E-5</v>
      </c>
      <c r="DL45" s="111">
        <f t="shared" si="112"/>
        <v>2.381764E-5</v>
      </c>
      <c r="DM45" s="111">
        <f t="shared" si="113"/>
        <v>7.9488483009708746E-6</v>
      </c>
      <c r="DN45" s="111">
        <f t="shared" si="114"/>
        <v>1.414172375E-5</v>
      </c>
      <c r="DO45" s="111">
        <f t="shared" si="115"/>
        <v>4.1912109223300983E-6</v>
      </c>
      <c r="DP45" s="59">
        <f>IFERROR(1/SUM(IFERROR(1/SUMIF(DP46,"&lt;&gt;.",DP46),0),IFERROR(1/SUMIF(DP47,"&lt;&gt;.",DP47),0)),".")</f>
        <v>24.120970278036506</v>
      </c>
      <c r="DQ45" s="190">
        <f>DP45*(0.0000000000000028)*s_RadSpec!$AY10*s_RadSpec!$AF10</f>
        <v>2.7913026954123934E-10</v>
      </c>
      <c r="DR45" s="47">
        <f t="shared" ref="DR45" si="227">IFERROR(SUM(DR46:DR47),".")</f>
        <v>6.7663749999999995E-2</v>
      </c>
      <c r="DS45" s="47">
        <f t="shared" ref="DS45" si="228">IFERROR(SUM(DS46:DS47),".")</f>
        <v>0</v>
      </c>
      <c r="DT45" s="47">
        <f t="shared" ref="DT45" si="229">IFERROR(SUM(DT46:DT47),".")</f>
        <v>8.0845902833076989E-4</v>
      </c>
      <c r="DU45" s="47">
        <f t="shared" ref="DU45" si="230">IFERROR(SUM(DU46:DU47),".")</f>
        <v>2.1592098826248823E-2</v>
      </c>
      <c r="DV45" s="47">
        <f t="shared" ref="DV45" si="231">IFERROR(SUM(DV46:DV47),".")</f>
        <v>0.9303765625</v>
      </c>
      <c r="DW45" s="47">
        <f t="shared" ref="DW45" si="232">IFERROR(SUM(DW46:DW47),".")</f>
        <v>8.5594643749999991E-3</v>
      </c>
      <c r="DX45" s="47">
        <f t="shared" ref="DX45" si="233">IFERROR(SUM(DX46:DX47),".")</f>
        <v>4.093656875E-5</v>
      </c>
      <c r="DY45" s="47">
        <f t="shared" ref="DY45" si="234">IFERROR(SUM(DY46:DY47),".")</f>
        <v>8.3101595873786429E-6</v>
      </c>
      <c r="DZ45" s="47">
        <f t="shared" ref="DZ45" si="235">IFERROR(SUM(DZ46:DZ47),".")</f>
        <v>3.7215062499999996E-4</v>
      </c>
      <c r="EA45" s="47">
        <f t="shared" ref="EA45" si="236">IFERROR(SUM(EA46:EA47),".")</f>
        <v>5.0240334374999996E-3</v>
      </c>
      <c r="EB45" s="47">
        <f t="shared" ref="EB45" si="237">IFERROR(SUM(EB46:EB47),".")</f>
        <v>7.4430124999999992E-4</v>
      </c>
      <c r="EC45" s="47">
        <f t="shared" ref="EC45" si="238">IFERROR(SUM(EC46:EC47),".")</f>
        <v>5.9544099999999994E-4</v>
      </c>
      <c r="ED45" s="47">
        <f t="shared" ref="ED45" si="239">IFERROR(SUM(ED46:ED47),".")</f>
        <v>1.9872120752427184E-4</v>
      </c>
      <c r="EE45" s="47">
        <f t="shared" ref="EE45" si="240">IFERROR(SUM(EE46:EE47),".")</f>
        <v>3.5354309375E-4</v>
      </c>
      <c r="EF45" s="47">
        <f t="shared" ref="EF45" si="241">IFERROR(SUM(EF46:EF47),".")</f>
        <v>1.0478027305825242E-4</v>
      </c>
      <c r="EG45" s="47">
        <f t="shared" ref="EG45" si="242">IFERROR(SUM(EG46:EG47),".")</f>
        <v>1.0364425523447494</v>
      </c>
      <c r="EH45" s="59">
        <f>IFERROR(1/SUM(IFERROR(1/SUMIF(EH46,"&lt;&gt;.",EH46),0),IFERROR(1/SUMIF(EH47,"&lt;&gt;.",EH47),0)),".")</f>
        <v>323.22334480607867</v>
      </c>
      <c r="EI45" s="59">
        <f>IFERROR(1/SUM(IFERROR(1/SUMIF(EI46,"&lt;&gt;.",EI46),0),IFERROR(1/SUMIF(EI47,"&lt;&gt;.",EI47),0)),".")</f>
        <v>107038.83215437218</v>
      </c>
      <c r="EJ45" s="59">
        <f>IFERROR(1/SUM(IFERROR(1/SUMIF(EJ46,"&lt;&gt;.",EJ46),0),IFERROR(1/SUMIF(EJ47,"&lt;&gt;.",EJ47),0)),".")</f>
        <v>322.25025119174836</v>
      </c>
      <c r="EK45" s="190">
        <f>EJ45*(0.0000000000000028)*s_RadSpec!$AY10*s_RadSpec!$AF10</f>
        <v>3.7291119900259207E-9</v>
      </c>
      <c r="EL45" s="47">
        <f t="shared" ref="EL45" si="243">IFERROR(SUM(EL46:EL47),".")</f>
        <v>7.7345898437499977E-2</v>
      </c>
      <c r="EM45" s="47">
        <f t="shared" ref="EM45" si="244">IFERROR(SUM(EM46:EM47),".")</f>
        <v>2.335600968062209E-4</v>
      </c>
      <c r="EN45" s="47">
        <f t="shared" ref="EN45" si="245">IFERROR(SUM(EN46:EN47),".")</f>
        <v>7.7579458534306187E-2</v>
      </c>
    </row>
    <row r="46" spans="1:144" x14ac:dyDescent="0.25">
      <c r="A46" s="77" t="s">
        <v>1084</v>
      </c>
      <c r="B46" s="42">
        <v>1</v>
      </c>
      <c r="C46" s="42"/>
      <c r="D46" s="60">
        <f t="shared" ref="D46:O46" si="246">IFERROR(D10/$B46,".")</f>
        <v>16.794275167480908</v>
      </c>
      <c r="E46" s="60">
        <f t="shared" si="246"/>
        <v>67.177100669923632</v>
      </c>
      <c r="F46" s="60">
        <f t="shared" si="246"/>
        <v>67.177100669923632</v>
      </c>
      <c r="G46" s="60">
        <f t="shared" si="246"/>
        <v>67.177100669923632</v>
      </c>
      <c r="H46" s="60">
        <f t="shared" si="246"/>
        <v>67.177100669923632</v>
      </c>
      <c r="I46" s="60">
        <f t="shared" si="246"/>
        <v>67.177100669923632</v>
      </c>
      <c r="J46" s="60">
        <f t="shared" si="246"/>
        <v>67.177100669923632</v>
      </c>
      <c r="K46" s="60">
        <f t="shared" si="246"/>
        <v>67.177100669923632</v>
      </c>
      <c r="L46" s="60">
        <f t="shared" si="246"/>
        <v>67.177100669923632</v>
      </c>
      <c r="M46" s="60">
        <f t="shared" si="246"/>
        <v>67.177100669923632</v>
      </c>
      <c r="N46" s="60">
        <f t="shared" si="246"/>
        <v>67.177100669923632</v>
      </c>
      <c r="O46" s="60">
        <f t="shared" si="246"/>
        <v>67.177100669923632</v>
      </c>
      <c r="P46" s="111">
        <f t="shared" ref="P46:W47" si="247">IFERROR(1/H46,".")</f>
        <v>1.4886025000000001E-2</v>
      </c>
      <c r="Q46" s="111">
        <f t="shared" si="247"/>
        <v>1.4886025000000001E-2</v>
      </c>
      <c r="R46" s="111">
        <f t="shared" si="247"/>
        <v>1.4886025000000001E-2</v>
      </c>
      <c r="S46" s="111">
        <f t="shared" si="247"/>
        <v>1.4886025000000001E-2</v>
      </c>
      <c r="T46" s="111">
        <f t="shared" si="247"/>
        <v>1.4886025000000001E-2</v>
      </c>
      <c r="U46" s="111">
        <f t="shared" si="247"/>
        <v>1.4886025000000001E-2</v>
      </c>
      <c r="V46" s="111">
        <f t="shared" si="247"/>
        <v>1.4886025000000001E-2</v>
      </c>
      <c r="W46" s="111">
        <f t="shared" si="247"/>
        <v>1.4886025000000001E-2</v>
      </c>
      <c r="X46" s="111">
        <f t="shared" si="59"/>
        <v>1.4886025000000001E-2</v>
      </c>
      <c r="Y46" s="111">
        <f t="shared" si="59"/>
        <v>1.4886025000000001E-2</v>
      </c>
      <c r="Z46" s="111">
        <f t="shared" si="59"/>
        <v>1.4886025000000001E-2</v>
      </c>
      <c r="AA46" s="111">
        <f t="shared" si="59"/>
        <v>1.4886025000000001E-2</v>
      </c>
      <c r="AB46" s="60">
        <f>IFERROR(AB10/$B46,".")</f>
        <v>5.5980917224936366</v>
      </c>
      <c r="AC46" s="189">
        <f>IFERROR(AC10/$B46,0)</f>
        <v>6.4781674758708268E-8</v>
      </c>
      <c r="AD46" s="49">
        <f>s_dir!BC46</f>
        <v>1.4886025000000001</v>
      </c>
      <c r="AE46" s="49">
        <f>IF(E46=".",".",s_RadSpec!$F$10*AE10*$B$46)</f>
        <v>0.37215062500000001</v>
      </c>
      <c r="AF46" s="49">
        <f>IF(F46=".",".",s_RadSpec!$F$10*AF10*$B$46)</f>
        <v>0.37215062500000001</v>
      </c>
      <c r="AG46" s="49">
        <f>IF(G46=".",".",s_RadSpec!$F$10*AG10*$B$46)</f>
        <v>0.37215062500000001</v>
      </c>
      <c r="AH46" s="49">
        <f>IF(H46=".",".",s_RadSpec!$F$10*AH10*$B$46)</f>
        <v>0.37215062500000001</v>
      </c>
      <c r="AI46" s="49">
        <f>IF(I46=".",".",s_RadSpec!$F$10*AI10*$B$46)</f>
        <v>0.37215062500000001</v>
      </c>
      <c r="AJ46" s="49">
        <f>IF(J46=".",".",s_RadSpec!$F$10*AJ10*$B$46)</f>
        <v>0.37215062500000001</v>
      </c>
      <c r="AK46" s="49">
        <f>IF(K46=".",".",s_RadSpec!$F$10*AK10*$B$46)</f>
        <v>0.37215062500000001</v>
      </c>
      <c r="AL46" s="49">
        <f>IF(L46=".",".",s_RadSpec!$F$10*AL10*$B$46)</f>
        <v>0.37215062500000001</v>
      </c>
      <c r="AM46" s="49">
        <f>IF(M46=".",".",s_RadSpec!$F$10*AM10*$B$46)</f>
        <v>0.37215062500000001</v>
      </c>
      <c r="AN46" s="49">
        <f>IF(N46=".",".",s_RadSpec!$F$10*AN10*$B$46)</f>
        <v>0.37215062500000001</v>
      </c>
      <c r="AO46" s="49">
        <f>IF(O46=".",".",s_RadSpec!$F$10*AO10*$B$46)</f>
        <v>0.37215062500000001</v>
      </c>
      <c r="AP46" s="60">
        <f t="shared" ref="AP46:BD46" si="248">IFERROR(AP10/$B46,".")</f>
        <v>33588.550334961816</v>
      </c>
      <c r="AQ46" s="60">
        <f t="shared" si="248"/>
        <v>100135841.11719139</v>
      </c>
      <c r="AR46" s="60">
        <f t="shared" si="248"/>
        <v>1193314.448823187</v>
      </c>
      <c r="AS46" s="60">
        <f t="shared" si="248"/>
        <v>607.77255649980668</v>
      </c>
      <c r="AT46" s="60">
        <f t="shared" si="248"/>
        <v>0.26870840267969454</v>
      </c>
      <c r="AU46" s="60">
        <f t="shared" si="248"/>
        <v>29.207435073879839</v>
      </c>
      <c r="AV46" s="60">
        <f t="shared" si="248"/>
        <v>33.310959009879504</v>
      </c>
      <c r="AW46" s="60">
        <f t="shared" si="248"/>
        <v>164.09268068779772</v>
      </c>
      <c r="AX46" s="60">
        <f t="shared" si="248"/>
        <v>3.6642054910867454</v>
      </c>
      <c r="AY46" s="60">
        <f t="shared" si="248"/>
        <v>0.27142262896938851</v>
      </c>
      <c r="AZ46" s="60">
        <f t="shared" si="248"/>
        <v>1.8321027455433727</v>
      </c>
      <c r="BA46" s="60">
        <f t="shared" si="248"/>
        <v>2.2901284319292157</v>
      </c>
      <c r="BB46" s="60">
        <f t="shared" si="248"/>
        <v>6.8620575560351771</v>
      </c>
      <c r="BC46" s="60">
        <f t="shared" si="248"/>
        <v>3.8570584116702578</v>
      </c>
      <c r="BD46" s="60">
        <f t="shared" si="248"/>
        <v>13.014247089032231</v>
      </c>
      <c r="BE46" s="111">
        <f t="shared" si="69"/>
        <v>2.9772050000000002E-5</v>
      </c>
      <c r="BF46" s="111">
        <f t="shared" si="70"/>
        <v>9.9864343160574835E-9</v>
      </c>
      <c r="BG46" s="111">
        <f t="shared" si="71"/>
        <v>8.3800208820581346E-7</v>
      </c>
      <c r="BH46" s="111">
        <f t="shared" si="72"/>
        <v>1.6453523432500001E-3</v>
      </c>
      <c r="BI46" s="111">
        <f t="shared" si="73"/>
        <v>3.72150625</v>
      </c>
      <c r="BJ46" s="111">
        <f t="shared" si="74"/>
        <v>3.4237857500000003E-2</v>
      </c>
      <c r="BK46" s="111">
        <f t="shared" si="75"/>
        <v>3.0020150416666655E-2</v>
      </c>
      <c r="BL46" s="111">
        <f t="shared" si="76"/>
        <v>6.0941170307443338E-3</v>
      </c>
      <c r="BM46" s="111">
        <f t="shared" si="77"/>
        <v>0.27291045833333322</v>
      </c>
      <c r="BN46" s="111">
        <f t="shared" si="78"/>
        <v>3.6842911874999991</v>
      </c>
      <c r="BO46" s="111">
        <f t="shared" si="79"/>
        <v>0.54582091666666643</v>
      </c>
      <c r="BP46" s="111">
        <f t="shared" si="80"/>
        <v>0.43665673333333316</v>
      </c>
      <c r="BQ46" s="111">
        <f t="shared" si="81"/>
        <v>0.14572888551779931</v>
      </c>
      <c r="BR46" s="111">
        <f t="shared" si="82"/>
        <v>0.25926493541666656</v>
      </c>
      <c r="BS46" s="111">
        <f t="shared" si="83"/>
        <v>7.6838866909385087E-2</v>
      </c>
      <c r="BT46" s="60">
        <f>IFERROR(BT10/$B46,".")</f>
        <v>0.10851817387344495</v>
      </c>
      <c r="BU46" s="189">
        <f>IFERROR(BU10/$B46,0)</f>
        <v>1.2557831121328959E-9</v>
      </c>
      <c r="BV46" s="49">
        <f>IF(AP46=".",".",s_RadSpec!$E$10*BV10*$B$46)</f>
        <v>7.4430124999999992E-4</v>
      </c>
      <c r="BW46" s="49">
        <f>IF(AQ46=".",".",s_RadSpec!$H$10*BW10*$B$46)</f>
        <v>2.4966085790143709E-7</v>
      </c>
      <c r="BX46" s="49">
        <f>IF(AR46=".",".",s_RadSpec!$G$10*BX10*$B$46)</f>
        <v>2.0950052205145342E-5</v>
      </c>
      <c r="BY46" s="49">
        <f>s_b2s!CC46</f>
        <v>4.113380858125E-2</v>
      </c>
      <c r="BZ46" s="49">
        <f>IF(AT46=".",".",s_RadSpec!$F$10*BZ10*$B$46)</f>
        <v>93.037656249999998</v>
      </c>
      <c r="CA46" s="49">
        <f>IF(AU46=".",".",s_RadSpec!$F$10*CA10*$B$46)</f>
        <v>0.85594643749999999</v>
      </c>
      <c r="CB46" s="49">
        <f>IF(AV46=".",".",s_RadSpec!$F$10*CB10*$B$46)</f>
        <v>0.75050376041666633</v>
      </c>
      <c r="CC46" s="49">
        <f>IF(AW46=".",".",s_RadSpec!$F$10*CC10*$B$46)</f>
        <v>0.15235292576860834</v>
      </c>
      <c r="CD46" s="49">
        <f>IF(AX46=".",".",s_RadSpec!$F$10*CD10*$B$46)</f>
        <v>6.8227614583333303</v>
      </c>
      <c r="CE46" s="49">
        <f>IF(AY46=".",".",s_RadSpec!$F$10*CE10*$B$46)</f>
        <v>92.107279687499968</v>
      </c>
      <c r="CF46" s="49">
        <f>IF(AZ46=".",".",s_RadSpec!$F$10*CF10*$B$46)</f>
        <v>13.645522916666661</v>
      </c>
      <c r="CG46" s="49">
        <f>IF(BA46=".",".",s_RadSpec!$F$10*CG10*$B$46)</f>
        <v>10.916418333333329</v>
      </c>
      <c r="CH46" s="49">
        <f>IF(BB46=".",".",s_RadSpec!$F$10*CH10*$B$46)</f>
        <v>3.6432221379449823</v>
      </c>
      <c r="CI46" s="49">
        <f>IF(BC46=".",".",s_RadSpec!$F$10*CI10*$B$46)</f>
        <v>6.4816233854166629</v>
      </c>
      <c r="CJ46" s="49">
        <f>IF(BD46=".",".",s_RadSpec!$F$10*CJ10*$B$46)</f>
        <v>1.9209716727346269</v>
      </c>
      <c r="CK46" s="49">
        <f t="shared" ref="CK46:CK47" si="249">IFERROR(SUM(BV46:CJ46),".")</f>
        <v>230.37615827515916</v>
      </c>
      <c r="CL46" s="60">
        <f>IFERROR(CL10/$B46,".")</f>
        <v>369.47405368457999</v>
      </c>
      <c r="CM46" s="60" t="str">
        <f>IFERROR(CM10,".")</f>
        <v>.</v>
      </c>
      <c r="CN46" s="60">
        <f t="shared" ref="CN46:CZ46" si="250">IFERROR(CN10/$B46,".")</f>
        <v>16238893.720070997</v>
      </c>
      <c r="CO46" s="60">
        <f t="shared" si="250"/>
        <v>1157.8309362686086</v>
      </c>
      <c r="CP46" s="60">
        <f t="shared" si="250"/>
        <v>26.870840267969452</v>
      </c>
      <c r="CQ46" s="60">
        <f t="shared" si="250"/>
        <v>2920.7435073879842</v>
      </c>
      <c r="CR46" s="60">
        <f t="shared" si="250"/>
        <v>610700.915181124</v>
      </c>
      <c r="CS46" s="60">
        <f t="shared" si="250"/>
        <v>3008365.8126096237</v>
      </c>
      <c r="CT46" s="60">
        <f t="shared" si="250"/>
        <v>67177.100669923631</v>
      </c>
      <c r="CU46" s="60">
        <f t="shared" si="250"/>
        <v>4976.0815311054539</v>
      </c>
      <c r="CV46" s="60">
        <f t="shared" si="250"/>
        <v>33588.550334961816</v>
      </c>
      <c r="CW46" s="60">
        <f t="shared" si="250"/>
        <v>41985.687918702271</v>
      </c>
      <c r="CX46" s="60">
        <f t="shared" si="250"/>
        <v>125804.38852731152</v>
      </c>
      <c r="CY46" s="60">
        <f t="shared" si="250"/>
        <v>70712.737547288038</v>
      </c>
      <c r="CZ46" s="60">
        <f t="shared" si="250"/>
        <v>238594.52996559077</v>
      </c>
      <c r="DA46" s="111">
        <f t="shared" si="101"/>
        <v>2.7065500000000003E-3</v>
      </c>
      <c r="DB46" s="111" t="str">
        <f t="shared" si="102"/>
        <v>.</v>
      </c>
      <c r="DC46" s="111">
        <f t="shared" si="103"/>
        <v>6.158054958904109E-8</v>
      </c>
      <c r="DD46" s="111">
        <f t="shared" si="104"/>
        <v>8.6368395304995294E-4</v>
      </c>
      <c r="DE46" s="111">
        <f t="shared" si="105"/>
        <v>3.72150625E-2</v>
      </c>
      <c r="DF46" s="111">
        <f t="shared" si="106"/>
        <v>3.4237857499999999E-4</v>
      </c>
      <c r="DG46" s="111">
        <f t="shared" si="107"/>
        <v>1.63746275E-6</v>
      </c>
      <c r="DH46" s="111">
        <f t="shared" si="108"/>
        <v>3.3240638349514566E-7</v>
      </c>
      <c r="DI46" s="111">
        <f t="shared" si="109"/>
        <v>1.4886025000000001E-5</v>
      </c>
      <c r="DJ46" s="111">
        <f t="shared" si="110"/>
        <v>2.0096133750000002E-4</v>
      </c>
      <c r="DK46" s="111">
        <f t="shared" si="111"/>
        <v>2.9772050000000002E-5</v>
      </c>
      <c r="DL46" s="111">
        <f t="shared" si="112"/>
        <v>2.381764E-5</v>
      </c>
      <c r="DM46" s="111">
        <f t="shared" si="113"/>
        <v>7.9488483009708746E-6</v>
      </c>
      <c r="DN46" s="111">
        <f t="shared" si="114"/>
        <v>1.414172375E-5</v>
      </c>
      <c r="DO46" s="111">
        <f t="shared" si="115"/>
        <v>4.1912109223300983E-6</v>
      </c>
      <c r="DP46" s="60">
        <f>IFERROR(DP10/$B46,".")</f>
        <v>24.139764225455089</v>
      </c>
      <c r="DQ46" s="189">
        <f t="shared" ref="DQ46" si="251">IFERROR(DQ10/$B46,0)</f>
        <v>2.7934775497189261E-10</v>
      </c>
      <c r="DR46" s="49">
        <f>IF(CL46=".",".",s_RadSpec!$I$10*DR10*$B$46)</f>
        <v>6.7663749999999995E-2</v>
      </c>
      <c r="DS46" s="49" t="str">
        <f>IF(CM46=".",".",s_RadSpec!$H$10*DS10)</f>
        <v>.</v>
      </c>
      <c r="DT46" s="49">
        <f>IF(CN46=".",".",s_RadSpec!$M$10*DT10*$B$46)</f>
        <v>1.5395137397260273E-6</v>
      </c>
      <c r="DU46" s="49">
        <f>s_b2w!CC46</f>
        <v>2.1592098826248823E-2</v>
      </c>
      <c r="DV46" s="49">
        <f>IF(CP46=".",".",s_RadSpec!$F$10*DV10*$B$46)</f>
        <v>0.9303765625</v>
      </c>
      <c r="DW46" s="49">
        <f>IF(CQ46=".",".",s_RadSpec!$F$10*DW10*$B$46)</f>
        <v>8.5594643749999991E-3</v>
      </c>
      <c r="DX46" s="49">
        <f>IF(CR46=".",".",s_RadSpec!$F$10*DX10*$B$46)</f>
        <v>4.093656875E-5</v>
      </c>
      <c r="DY46" s="49">
        <f>IF(CS46=".",".",s_RadSpec!$F$10*DY10*$B$46)</f>
        <v>8.3101595873786429E-6</v>
      </c>
      <c r="DZ46" s="49">
        <f>IF(CT46=".",".",s_RadSpec!$F$10*DZ10*$B$46)</f>
        <v>3.7215062499999996E-4</v>
      </c>
      <c r="EA46" s="49">
        <f>IF(CU46=".",".",s_RadSpec!$F$10*EA10*$B$46)</f>
        <v>5.0240334374999996E-3</v>
      </c>
      <c r="EB46" s="49">
        <f>IF(CV46=".",".",s_RadSpec!$F$10*EB10*$B$46)</f>
        <v>7.4430124999999992E-4</v>
      </c>
      <c r="EC46" s="49">
        <f>IF(CW46=".",".",s_RadSpec!$F$10*EC10*$B$46)</f>
        <v>5.9544099999999994E-4</v>
      </c>
      <c r="ED46" s="49">
        <f>IF(CX46=".",".",s_RadSpec!$F$10*ED10*$B$46)</f>
        <v>1.9872120752427184E-4</v>
      </c>
      <c r="EE46" s="49">
        <f>IF(CY46=".",".",s_RadSpec!$F$10*EE10*$B$46)</f>
        <v>3.5354309375E-4</v>
      </c>
      <c r="EF46" s="49">
        <f>IF(CZ46=".",".",s_RadSpec!$F$10*EF10*$B$46)</f>
        <v>1.0478027305825242E-4</v>
      </c>
      <c r="EG46" s="49">
        <f t="shared" ref="EG46:EG47" si="252">IFERROR(SUM(DR46:EF46),".")</f>
        <v>1.0356356328301584</v>
      </c>
      <c r="EH46" s="60">
        <f>IFERROR(EH10/$B46,".")</f>
        <v>323.22334480607867</v>
      </c>
      <c r="EI46" s="60">
        <f>IFERROR(EI10/$B46,".")</f>
        <v>29022703.669914123</v>
      </c>
      <c r="EJ46" s="60">
        <f>IFERROR(EJ10/$B46,".")</f>
        <v>323.21974513568551</v>
      </c>
      <c r="EK46" s="189">
        <f t="shared" ref="EK46" si="253">IFERROR(EK10/$B46,0)</f>
        <v>3.7403310704679783E-9</v>
      </c>
      <c r="EL46" s="49">
        <f>IF(EH46=".",".",s_RadSpec!$H$10*EL10*$B46)</f>
        <v>7.7345898437499977E-2</v>
      </c>
      <c r="EM46" s="49">
        <f>IF(EI46=".",".",s_RadSpec!$K$10*EM10*$B46)</f>
        <v>8.6139459246575334E-7</v>
      </c>
      <c r="EN46" s="49">
        <f t="shared" si="155"/>
        <v>7.7346759832092438E-2</v>
      </c>
    </row>
    <row r="47" spans="1:144" x14ac:dyDescent="0.25">
      <c r="A47" s="77" t="s">
        <v>1058</v>
      </c>
      <c r="B47" s="79">
        <v>0.94399</v>
      </c>
      <c r="C47" s="79"/>
      <c r="D47" s="60" t="str">
        <f t="shared" ref="D47:O47" si="254">IFERROR(D6/$B$47,".")</f>
        <v>.</v>
      </c>
      <c r="E47" s="60" t="str">
        <f t="shared" si="254"/>
        <v>.</v>
      </c>
      <c r="F47" s="60" t="str">
        <f t="shared" si="254"/>
        <v>.</v>
      </c>
      <c r="G47" s="60" t="str">
        <f t="shared" si="254"/>
        <v>.</v>
      </c>
      <c r="H47" s="60" t="str">
        <f t="shared" si="254"/>
        <v>.</v>
      </c>
      <c r="I47" s="60" t="str">
        <f t="shared" si="254"/>
        <v>.</v>
      </c>
      <c r="J47" s="60" t="str">
        <f t="shared" si="254"/>
        <v>.</v>
      </c>
      <c r="K47" s="60" t="str">
        <f t="shared" si="254"/>
        <v>.</v>
      </c>
      <c r="L47" s="60" t="str">
        <f t="shared" si="254"/>
        <v>.</v>
      </c>
      <c r="M47" s="60" t="str">
        <f t="shared" si="254"/>
        <v>.</v>
      </c>
      <c r="N47" s="60" t="str">
        <f t="shared" si="254"/>
        <v>.</v>
      </c>
      <c r="O47" s="60" t="str">
        <f t="shared" si="254"/>
        <v>.</v>
      </c>
      <c r="P47" s="111" t="str">
        <f t="shared" si="247"/>
        <v>.</v>
      </c>
      <c r="Q47" s="111" t="str">
        <f t="shared" si="247"/>
        <v>.</v>
      </c>
      <c r="R47" s="111" t="str">
        <f t="shared" si="247"/>
        <v>.</v>
      </c>
      <c r="S47" s="111" t="str">
        <f t="shared" si="247"/>
        <v>.</v>
      </c>
      <c r="T47" s="111" t="str">
        <f t="shared" si="247"/>
        <v>.</v>
      </c>
      <c r="U47" s="111" t="str">
        <f t="shared" si="247"/>
        <v>.</v>
      </c>
      <c r="V47" s="111" t="str">
        <f t="shared" si="247"/>
        <v>.</v>
      </c>
      <c r="W47" s="111" t="str">
        <f t="shared" si="247"/>
        <v>.</v>
      </c>
      <c r="X47" s="111" t="str">
        <f t="shared" si="59"/>
        <v>.</v>
      </c>
      <c r="Y47" s="111" t="str">
        <f t="shared" si="59"/>
        <v>.</v>
      </c>
      <c r="Z47" s="111" t="str">
        <f t="shared" si="59"/>
        <v>.</v>
      </c>
      <c r="AA47" s="111" t="str">
        <f t="shared" si="59"/>
        <v>.</v>
      </c>
      <c r="AB47" s="60" t="str">
        <f>IFERROR(AB6/$B$47,".")</f>
        <v>.</v>
      </c>
      <c r="AC47" s="189">
        <f>IFERROR(AC6/$B$47,0)</f>
        <v>0</v>
      </c>
      <c r="AD47" s="49" t="str">
        <f>s_dir!BC47</f>
        <v>.</v>
      </c>
      <c r="AE47" s="49" t="str">
        <f>IF(E47=".",".",s_RadSpec!$F$6*AE6*$B$47)</f>
        <v>.</v>
      </c>
      <c r="AF47" s="49" t="str">
        <f>IF(F47=".",".",s_RadSpec!$F$6*AF6*$B$47)</f>
        <v>.</v>
      </c>
      <c r="AG47" s="49" t="str">
        <f>IF(G47=".",".",s_RadSpec!$F$6*AG6*$B$47)</f>
        <v>.</v>
      </c>
      <c r="AH47" s="49" t="str">
        <f>IF(H47=".",".",s_RadSpec!$F$6*AH6*$B$47)</f>
        <v>.</v>
      </c>
      <c r="AI47" s="49" t="str">
        <f>IF(I47=".",".",s_RadSpec!$F$6*AI6*$B$47)</f>
        <v>.</v>
      </c>
      <c r="AJ47" s="49" t="str">
        <f>IF(J47=".",".",s_RadSpec!$F$6*AJ6*$B$47)</f>
        <v>.</v>
      </c>
      <c r="AK47" s="49" t="str">
        <f>IF(K47=".",".",s_RadSpec!$F$6*AK6*$B$47)</f>
        <v>.</v>
      </c>
      <c r="AL47" s="49" t="str">
        <f>IF(L47=".",".",s_RadSpec!$F$6*AL6*$B$47)</f>
        <v>.</v>
      </c>
      <c r="AM47" s="49" t="str">
        <f>IF(M47=".",".",s_RadSpec!$F$6*AM6*$B$47)</f>
        <v>.</v>
      </c>
      <c r="AN47" s="49" t="str">
        <f>IF(N47=".",".",s_RadSpec!$F$6*AN6*$B$47)</f>
        <v>.</v>
      </c>
      <c r="AO47" s="49" t="str">
        <f>IF(O47=".",".",s_RadSpec!$F$6*AO6*$B$47)</f>
        <v>.</v>
      </c>
      <c r="AP47" s="60" t="str">
        <f t="shared" ref="AP47:BD47" si="255">IFERROR(AP6/$B$47,".")</f>
        <v>.</v>
      </c>
      <c r="AQ47" s="60" t="str">
        <f t="shared" si="255"/>
        <v>.</v>
      </c>
      <c r="AR47" s="60">
        <f t="shared" si="255"/>
        <v>277.06403424589757</v>
      </c>
      <c r="AS47" s="60" t="str">
        <f t="shared" si="255"/>
        <v>.</v>
      </c>
      <c r="AT47" s="60" t="str">
        <f t="shared" si="255"/>
        <v>.</v>
      </c>
      <c r="AU47" s="60" t="str">
        <f t="shared" si="255"/>
        <v>.</v>
      </c>
      <c r="AV47" s="60" t="str">
        <f t="shared" si="255"/>
        <v>.</v>
      </c>
      <c r="AW47" s="60" t="str">
        <f t="shared" si="255"/>
        <v>.</v>
      </c>
      <c r="AX47" s="60" t="str">
        <f t="shared" si="255"/>
        <v>.</v>
      </c>
      <c r="AY47" s="60" t="str">
        <f t="shared" si="255"/>
        <v>.</v>
      </c>
      <c r="AZ47" s="60" t="str">
        <f t="shared" si="255"/>
        <v>.</v>
      </c>
      <c r="BA47" s="60" t="str">
        <f t="shared" si="255"/>
        <v>.</v>
      </c>
      <c r="BB47" s="60" t="str">
        <f t="shared" si="255"/>
        <v>.</v>
      </c>
      <c r="BC47" s="60" t="str">
        <f t="shared" si="255"/>
        <v>.</v>
      </c>
      <c r="BD47" s="60" t="str">
        <f t="shared" si="255"/>
        <v>.</v>
      </c>
      <c r="BE47" s="111" t="str">
        <f t="shared" si="69"/>
        <v>.</v>
      </c>
      <c r="BF47" s="111" t="str">
        <f t="shared" si="70"/>
        <v>.</v>
      </c>
      <c r="BG47" s="111">
        <f t="shared" si="71"/>
        <v>3.6092739453598235E-3</v>
      </c>
      <c r="BH47" s="111" t="str">
        <f t="shared" si="72"/>
        <v>.</v>
      </c>
      <c r="BI47" s="111" t="str">
        <f t="shared" si="73"/>
        <v>.</v>
      </c>
      <c r="BJ47" s="111" t="str">
        <f t="shared" si="74"/>
        <v>.</v>
      </c>
      <c r="BK47" s="111" t="str">
        <f t="shared" si="75"/>
        <v>.</v>
      </c>
      <c r="BL47" s="111" t="str">
        <f t="shared" si="76"/>
        <v>.</v>
      </c>
      <c r="BM47" s="111" t="str">
        <f t="shared" si="77"/>
        <v>.</v>
      </c>
      <c r="BN47" s="111" t="str">
        <f t="shared" si="78"/>
        <v>.</v>
      </c>
      <c r="BO47" s="111" t="str">
        <f t="shared" si="79"/>
        <v>.</v>
      </c>
      <c r="BP47" s="111" t="str">
        <f t="shared" si="80"/>
        <v>.</v>
      </c>
      <c r="BQ47" s="111" t="str">
        <f t="shared" si="81"/>
        <v>.</v>
      </c>
      <c r="BR47" s="111" t="str">
        <f t="shared" si="82"/>
        <v>.</v>
      </c>
      <c r="BS47" s="111" t="str">
        <f t="shared" si="83"/>
        <v>.</v>
      </c>
      <c r="BT47" s="60">
        <f>IFERROR(BT6/$B$47,".")</f>
        <v>277.06403424589757</v>
      </c>
      <c r="BU47" s="189">
        <f>IFERROR(BU6/$B$47,0)</f>
        <v>5.1604083056644858E-13</v>
      </c>
      <c r="BV47" s="49" t="str">
        <f>IF(AP47=".",".",s_RadSpec!$E$6*BV6*$B$47)</f>
        <v>.</v>
      </c>
      <c r="BW47" s="49" t="str">
        <f>IF(AQ47=".",".",s_RadSpec!$H$6*BW6*$B$47)</f>
        <v>.</v>
      </c>
      <c r="BX47" s="49">
        <f>IF(AR47=".",".",s_RadSpec!$G$6*BX6*$B$47)</f>
        <v>9.0231848633995568E-2</v>
      </c>
      <c r="BY47" s="49" t="str">
        <f>s_b2s!CC47</f>
        <v>.</v>
      </c>
      <c r="BZ47" s="49" t="str">
        <f>IF(AT47=".",".",s_RadSpec!$F$6*BZ6*$B$47)</f>
        <v>.</v>
      </c>
      <c r="CA47" s="49" t="str">
        <f>IF(AU47=".",".",s_RadSpec!$F$6*CA6*$B$47)</f>
        <v>.</v>
      </c>
      <c r="CB47" s="49" t="str">
        <f>IF(AV47=".",".",s_RadSpec!$F$6*CB6*$B$47)</f>
        <v>.</v>
      </c>
      <c r="CC47" s="49" t="str">
        <f>IF(AW47=".",".",s_RadSpec!$F$6*CC6*$B$47)</f>
        <v>.</v>
      </c>
      <c r="CD47" s="49" t="str">
        <f>IF(AX47=".",".",s_RadSpec!$F$6*CD6*$B$47)</f>
        <v>.</v>
      </c>
      <c r="CE47" s="49" t="str">
        <f>IF(AY47=".",".",s_RadSpec!$F$6*CE6*$B$47)</f>
        <v>.</v>
      </c>
      <c r="CF47" s="49" t="str">
        <f>IF(AZ47=".",".",s_RadSpec!$F$6*CF6*$B$47)</f>
        <v>.</v>
      </c>
      <c r="CG47" s="49" t="str">
        <f>IF(BA47=".",".",s_RadSpec!$F$6*CG6*$B$47)</f>
        <v>.</v>
      </c>
      <c r="CH47" s="49" t="str">
        <f>IF(BB47=".",".",s_RadSpec!$F$6*CH6*$B$47)</f>
        <v>.</v>
      </c>
      <c r="CI47" s="49" t="str">
        <f>IF(BC47=".",".",s_RadSpec!$F$6*CI6*$B$47)</f>
        <v>.</v>
      </c>
      <c r="CJ47" s="49" t="str">
        <f>IF(BD47=".",".",s_RadSpec!$F$6*CJ6*$B$47)</f>
        <v>.</v>
      </c>
      <c r="CK47" s="49">
        <f t="shared" si="249"/>
        <v>9.0231848633995568E-2</v>
      </c>
      <c r="CL47" s="60" t="str">
        <f>IFERROR(CL6/$B$47,".")</f>
        <v>.</v>
      </c>
      <c r="CM47" s="60" t="str">
        <f>IFERROR(CM6,".")</f>
        <v>.</v>
      </c>
      <c r="CN47" s="60">
        <f t="shared" ref="CN47:CZ47" si="256">IFERROR(CN6/$B$47,".")</f>
        <v>30982.024288593751</v>
      </c>
      <c r="CO47" s="60" t="str">
        <f t="shared" si="256"/>
        <v>.</v>
      </c>
      <c r="CP47" s="60" t="str">
        <f t="shared" si="256"/>
        <v>.</v>
      </c>
      <c r="CQ47" s="60" t="str">
        <f t="shared" si="256"/>
        <v>.</v>
      </c>
      <c r="CR47" s="60" t="str">
        <f t="shared" si="256"/>
        <v>.</v>
      </c>
      <c r="CS47" s="60" t="str">
        <f t="shared" si="256"/>
        <v>.</v>
      </c>
      <c r="CT47" s="60" t="str">
        <f t="shared" si="256"/>
        <v>.</v>
      </c>
      <c r="CU47" s="60" t="str">
        <f t="shared" si="256"/>
        <v>.</v>
      </c>
      <c r="CV47" s="60" t="str">
        <f t="shared" si="256"/>
        <v>.</v>
      </c>
      <c r="CW47" s="60" t="str">
        <f t="shared" si="256"/>
        <v>.</v>
      </c>
      <c r="CX47" s="60" t="str">
        <f t="shared" si="256"/>
        <v>.</v>
      </c>
      <c r="CY47" s="60" t="str">
        <f t="shared" si="256"/>
        <v>.</v>
      </c>
      <c r="CZ47" s="60" t="str">
        <f t="shared" si="256"/>
        <v>.</v>
      </c>
      <c r="DA47" s="111" t="str">
        <f t="shared" si="101"/>
        <v>.</v>
      </c>
      <c r="DB47" s="111" t="str">
        <f t="shared" si="102"/>
        <v>.</v>
      </c>
      <c r="DC47" s="111">
        <f t="shared" si="103"/>
        <v>3.2276780583641751E-5</v>
      </c>
      <c r="DD47" s="111" t="str">
        <f t="shared" si="104"/>
        <v>.</v>
      </c>
      <c r="DE47" s="111" t="str">
        <f t="shared" si="105"/>
        <v>.</v>
      </c>
      <c r="DF47" s="111" t="str">
        <f t="shared" si="106"/>
        <v>.</v>
      </c>
      <c r="DG47" s="111" t="str">
        <f t="shared" si="107"/>
        <v>.</v>
      </c>
      <c r="DH47" s="111" t="str">
        <f t="shared" si="108"/>
        <v>.</v>
      </c>
      <c r="DI47" s="111" t="str">
        <f t="shared" si="109"/>
        <v>.</v>
      </c>
      <c r="DJ47" s="111" t="str">
        <f t="shared" si="110"/>
        <v>.</v>
      </c>
      <c r="DK47" s="111" t="str">
        <f t="shared" si="111"/>
        <v>.</v>
      </c>
      <c r="DL47" s="111" t="str">
        <f t="shared" si="112"/>
        <v>.</v>
      </c>
      <c r="DM47" s="111" t="str">
        <f t="shared" si="113"/>
        <v>.</v>
      </c>
      <c r="DN47" s="111" t="str">
        <f t="shared" si="114"/>
        <v>.</v>
      </c>
      <c r="DO47" s="111" t="str">
        <f t="shared" si="115"/>
        <v>.</v>
      </c>
      <c r="DP47" s="60">
        <f>IFERROR(DP6/$B$47,".")</f>
        <v>30982.024288593755</v>
      </c>
      <c r="DQ47" s="189">
        <f t="shared" ref="DQ47" si="257">IFERROR(DQ6/$B$47,0)</f>
        <v>5.7705034108924714E-14</v>
      </c>
      <c r="DR47" s="49" t="str">
        <f>IF(CL47=".",".",s_RadSpec!$I$6*DR6*$B$47)</f>
        <v>.</v>
      </c>
      <c r="DS47" s="49" t="str">
        <f>IF(CM47=".",".",s_RadSpec!$H$6*DS6)</f>
        <v>.</v>
      </c>
      <c r="DT47" s="49">
        <f>IF(CN47=".",".",s_RadSpec!$M$6*DT6*$B$47)</f>
        <v>8.0691951459104384E-4</v>
      </c>
      <c r="DU47" s="49" t="str">
        <f>s_b2w!CC47</f>
        <v>.</v>
      </c>
      <c r="DV47" s="49" t="str">
        <f>IF(CP47=".",".",s_RadSpec!$F$6*DV6*$B$47)</f>
        <v>.</v>
      </c>
      <c r="DW47" s="49" t="str">
        <f>IF(CQ47=".",".",s_RadSpec!$F$6*DW6*$B$47)</f>
        <v>.</v>
      </c>
      <c r="DX47" s="49" t="str">
        <f>IF(CR47=".",".",s_RadSpec!$F$6*DX6*$B$47)</f>
        <v>.</v>
      </c>
      <c r="DY47" s="49" t="str">
        <f>IF(CS47=".",".",s_RadSpec!$F$6*DY6*$B$47)</f>
        <v>.</v>
      </c>
      <c r="DZ47" s="49" t="str">
        <f>IF(CT47=".",".",s_RadSpec!$F$6*DZ6*$B$47)</f>
        <v>.</v>
      </c>
      <c r="EA47" s="49" t="str">
        <f>IF(CU47=".",".",s_RadSpec!$F$6*EA6*$B$47)</f>
        <v>.</v>
      </c>
      <c r="EB47" s="49" t="str">
        <f>IF(CV47=".",".",s_RadSpec!$F$6*EB6*$B$47)</f>
        <v>.</v>
      </c>
      <c r="EC47" s="49" t="str">
        <f>IF(CW47=".",".",s_RadSpec!$F$6*EC6*$B$47)</f>
        <v>.</v>
      </c>
      <c r="ED47" s="49" t="str">
        <f>IF(CX47=".",".",s_RadSpec!$F$6*ED6*$B$47)</f>
        <v>.</v>
      </c>
      <c r="EE47" s="49" t="str">
        <f>IF(CY47=".",".",s_RadSpec!$F$6*EE6*$B$47)</f>
        <v>.</v>
      </c>
      <c r="EF47" s="49" t="str">
        <f>IF(CZ47=".",".",s_RadSpec!$F$6*EF6*$B$47)</f>
        <v>.</v>
      </c>
      <c r="EG47" s="49">
        <f t="shared" si="252"/>
        <v>8.0691951459104384E-4</v>
      </c>
      <c r="EH47" s="60" t="str">
        <f>IFERROR(EH6/$B$47,".")</f>
        <v>.</v>
      </c>
      <c r="EI47" s="60">
        <f>IFERROR(EI6/$B$47,".")</f>
        <v>107435.06415018679</v>
      </c>
      <c r="EJ47" s="60">
        <f>IFERROR(EJ6/$B$47,".")</f>
        <v>107435.06415018679</v>
      </c>
      <c r="EK47" s="189">
        <f t="shared" ref="EK47" si="258">IFERROR(EK6/$B$47,0)</f>
        <v>2.0010132273905188E-13</v>
      </c>
      <c r="EL47" s="49" t="str">
        <f>IF(EH47=".",".",s_RadSpec!$H$6*EL6*$B47)</f>
        <v>.</v>
      </c>
      <c r="EM47" s="49">
        <f>IF(EI47=".",".",s_RadSpec!$K$6*EM6*$B47)</f>
        <v>2.3269870221375515E-4</v>
      </c>
      <c r="EN47" s="49">
        <f t="shared" si="155"/>
        <v>2.3269870221375515E-4</v>
      </c>
    </row>
    <row r="48" spans="1:144" x14ac:dyDescent="0.25">
      <c r="A48" s="76" t="s">
        <v>21</v>
      </c>
      <c r="B48" s="76" t="s">
        <v>1057</v>
      </c>
      <c r="C48" s="239"/>
      <c r="D48" s="58">
        <f t="shared" ref="D48:O48" si="259">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6.9256934096043332E-2</v>
      </c>
      <c r="E48" s="58">
        <f t="shared" si="259"/>
        <v>0.27702773638417333</v>
      </c>
      <c r="F48" s="58">
        <f t="shared" si="259"/>
        <v>0.27702773638417333</v>
      </c>
      <c r="G48" s="58">
        <f t="shared" si="259"/>
        <v>0.27702773638417333</v>
      </c>
      <c r="H48" s="58">
        <f t="shared" si="259"/>
        <v>0.27702773638417333</v>
      </c>
      <c r="I48" s="58">
        <f t="shared" si="259"/>
        <v>0.27702773638417333</v>
      </c>
      <c r="J48" s="58">
        <f t="shared" si="259"/>
        <v>0.27702773638417333</v>
      </c>
      <c r="K48" s="58">
        <f t="shared" si="259"/>
        <v>0.27702773638417333</v>
      </c>
      <c r="L48" s="58">
        <f t="shared" si="259"/>
        <v>0.27702773638417333</v>
      </c>
      <c r="M48" s="58">
        <f t="shared" si="259"/>
        <v>0.27702773638417333</v>
      </c>
      <c r="N48" s="58">
        <f t="shared" si="259"/>
        <v>0.27702773638417333</v>
      </c>
      <c r="O48" s="58">
        <f t="shared" si="259"/>
        <v>0.27702773638417333</v>
      </c>
      <c r="P48" s="168"/>
      <c r="Q48" s="168"/>
      <c r="R48" s="168"/>
      <c r="S48" s="168"/>
      <c r="T48" s="168"/>
      <c r="U48" s="168"/>
      <c r="V48" s="168"/>
      <c r="W48" s="111"/>
      <c r="X48" s="111">
        <f t="shared" si="59"/>
        <v>3.6097468544204956</v>
      </c>
      <c r="Y48" s="111">
        <f t="shared" si="59"/>
        <v>3.6097468544204956</v>
      </c>
      <c r="Z48" s="111">
        <f t="shared" si="59"/>
        <v>3.6097468544204956</v>
      </c>
      <c r="AA48" s="111">
        <f t="shared" si="59"/>
        <v>3.6097468544204956</v>
      </c>
      <c r="AB48" s="59">
        <f t="shared" ref="AB48" si="260">IFERROR(1/SUM(IFERROR(1/SUMIF(AB49,"&lt;&gt;.",AB49),0),IFERROR(1/SUMIF(AB50,"&lt;&gt;.",AB50),0),IFERROR(1/SUMIF(AB51,"&lt;&gt;.",AB51),0),IFERROR(1/SUMIF(AB52,"&lt;&gt;.",AB52),0),IFERROR(1/SUMIF(AB53,"&lt;&gt;.",AB53),0),IFERROR(1/SUMIF(AB54,"&lt;&gt;.",AB54),0),IFERROR(1/SUMIF(AB55,"&lt;&gt;.",AB55),0),IFERROR(1/SUMIF(AB56,"&lt;&gt;.",AB56),0),IFERROR(1/SUMIF(AB57,"&lt;&gt;.",AB57),0),IFERROR(1/SUMIF(AB58,"&lt;&gt;.",AB58),0),IFERROR(1/SUMIF(AB59,"&lt;&gt;.",AB59),0),IFERROR(1/SUMIF(AB60,"&lt;&gt;.",AB60),0),IFERROR(1/SUMIF(AB61,"&lt;&gt;.",AB61),0),IFERROR(1/SUMIF(AB62,"&lt;&gt;.",AB62),0)),".")</f>
        <v>2.3085644698681105E-2</v>
      </c>
      <c r="AC48" s="190">
        <f>AB48*(0.0000000000028)*s_RadSpec!$AY23*s_RadSpec!$AF23</f>
        <v>2.3373753544520648E-8</v>
      </c>
      <c r="AD48" s="47">
        <f>IFERROR(SUM(AD49:AD62),".")</f>
        <v>360.97468544204963</v>
      </c>
      <c r="AE48" s="47">
        <f t="shared" ref="AE48:AO48" si="261">IFERROR(SUM(AE49:AE62),".")</f>
        <v>90.243671360512408</v>
      </c>
      <c r="AF48" s="47">
        <f t="shared" si="261"/>
        <v>90.243671360512408</v>
      </c>
      <c r="AG48" s="47">
        <f t="shared" si="261"/>
        <v>90.243671360512408</v>
      </c>
      <c r="AH48" s="47">
        <f t="shared" si="261"/>
        <v>90.243671360512408</v>
      </c>
      <c r="AI48" s="47">
        <f t="shared" si="261"/>
        <v>90.243671360512408</v>
      </c>
      <c r="AJ48" s="47">
        <f t="shared" si="261"/>
        <v>90.243671360512408</v>
      </c>
      <c r="AK48" s="47">
        <f t="shared" si="261"/>
        <v>90.243671360512408</v>
      </c>
      <c r="AL48" s="47">
        <f t="shared" si="261"/>
        <v>90.243671360512408</v>
      </c>
      <c r="AM48" s="47">
        <f t="shared" si="261"/>
        <v>90.243671360512408</v>
      </c>
      <c r="AN48" s="47">
        <f t="shared" si="261"/>
        <v>90.243671360512408</v>
      </c>
      <c r="AO48" s="47">
        <f t="shared" si="261"/>
        <v>90.243671360512408</v>
      </c>
      <c r="AP48" s="58">
        <f t="shared" ref="AP48:BD48" si="262">IFERROR(1/SUM(IFERROR(1/SUMIF(AP49,"&lt;&gt;.",AP49),0),IFERROR(1/SUMIF(AP50,"&lt;&gt;.",AP50),0),IFERROR(1/SUMIF(AP51,"&lt;&gt;.",AP51),0),IFERROR(1/SUMIF(AP52,"&lt;&gt;.",AP52),0),IFERROR(1/SUMIF(AP53,"&lt;&gt;.",AP53),0),IFERROR(1/SUMIF(AP54,"&lt;&gt;.",AP54),0),IFERROR(1/SUMIF(AP55,"&lt;&gt;.",AP55),0),IFERROR(1/SUMIF(AP56,"&lt;&gt;.",AP56),0),IFERROR(1/SUMIF(AP57,"&lt;&gt;.",AP57),0),IFERROR(1/SUMIF(AP58,"&lt;&gt;.",AP58),0),IFERROR(1/SUMIF(AP59,"&lt;&gt;.",AP59),0),IFERROR(1/SUMIF(AP60,"&lt;&gt;.",AP60),0),IFERROR(1/SUMIF(AP61,"&lt;&gt;.",AP61),0),IFERROR(1/SUMIF(AP62,"&lt;&gt;.",AP62),0)),".")</f>
        <v>138.51386819208662</v>
      </c>
      <c r="AQ48" s="58">
        <f t="shared" si="262"/>
        <v>197129.76753382999</v>
      </c>
      <c r="AR48" s="58">
        <f t="shared" si="262"/>
        <v>56.257934311332392</v>
      </c>
      <c r="AS48" s="58">
        <f t="shared" si="262"/>
        <v>3.4879250427276567</v>
      </c>
      <c r="AT48" s="58">
        <f t="shared" si="262"/>
        <v>0.39150684106788353</v>
      </c>
      <c r="AU48" s="58">
        <f t="shared" si="262"/>
        <v>1.9658145842185316E-2</v>
      </c>
      <c r="AV48" s="58">
        <f t="shared" si="262"/>
        <v>1.5066160235305999</v>
      </c>
      <c r="AW48" s="58">
        <f t="shared" si="262"/>
        <v>14.111992275273094</v>
      </c>
      <c r="AX48" s="112" t="str">
        <f t="shared" si="262"/>
        <v>.</v>
      </c>
      <c r="AY48" s="58">
        <f t="shared" si="262"/>
        <v>2.4302135427173477E-3</v>
      </c>
      <c r="AZ48" s="58">
        <f t="shared" si="262"/>
        <v>1.8814556459747207E-3</v>
      </c>
      <c r="BA48" s="112" t="str">
        <f t="shared" si="262"/>
        <v>.</v>
      </c>
      <c r="BB48" s="58">
        <f t="shared" si="262"/>
        <v>1.0252383322068013</v>
      </c>
      <c r="BC48" s="58">
        <f t="shared" si="262"/>
        <v>0.1050106851098789</v>
      </c>
      <c r="BD48" s="58">
        <f t="shared" si="262"/>
        <v>0.28931753141926192</v>
      </c>
      <c r="BE48" s="111">
        <f t="shared" si="69"/>
        <v>7.2194937088409942E-3</v>
      </c>
      <c r="BF48" s="111">
        <f t="shared" si="70"/>
        <v>5.0728005846625233E-6</v>
      </c>
      <c r="BG48" s="111">
        <f t="shared" si="71"/>
        <v>1.777527049724191E-2</v>
      </c>
      <c r="BH48" s="111">
        <f t="shared" si="72"/>
        <v>0.28670340897520308</v>
      </c>
      <c r="BI48" s="111">
        <f t="shared" si="73"/>
        <v>2.5542337836865783</v>
      </c>
      <c r="BJ48" s="111">
        <f t="shared" si="74"/>
        <v>50.869497460643217</v>
      </c>
      <c r="BK48" s="111">
        <f t="shared" si="75"/>
        <v>0.66373912422396963</v>
      </c>
      <c r="BL48" s="111">
        <f t="shared" si="76"/>
        <v>7.0861716793325563E-2</v>
      </c>
      <c r="BM48" s="111" t="str">
        <f t="shared" si="77"/>
        <v>.</v>
      </c>
      <c r="BN48" s="111">
        <f t="shared" si="78"/>
        <v>411.48647327586207</v>
      </c>
      <c r="BO48" s="111">
        <f t="shared" si="79"/>
        <v>531.50336131465519</v>
      </c>
      <c r="BP48" s="111" t="str">
        <f t="shared" si="80"/>
        <v>.</v>
      </c>
      <c r="BQ48" s="111">
        <f t="shared" si="81"/>
        <v>0.9753829608063167</v>
      </c>
      <c r="BR48" s="111">
        <f t="shared" si="82"/>
        <v>9.5228404514611125</v>
      </c>
      <c r="BS48" s="111">
        <f t="shared" si="83"/>
        <v>3.4564099696774302</v>
      </c>
      <c r="BT48" s="59">
        <f>IFERROR(1/SUM(IFERROR(1/SUMIF(BT49,"&lt;&gt;.",BT49),0),IFERROR(1/SUMIF(BT50,"&lt;&gt;.",BT50),0),IFERROR(1/SUMIF(BT51,"&lt;&gt;.",BT51),0),IFERROR(1/SUMIF(BT52,"&lt;&gt;.",BT52),0),IFERROR(1/SUMIF(BT53,"&lt;&gt;.",BT53),0),IFERROR(1/SUMIF(BT54,"&lt;&gt;.",BT54),0),IFERROR(1/SUMIF(BT55,"&lt;&gt;.",BT55),0),IFERROR(1/SUMIF(BT56,"&lt;&gt;.",BT56),0),IFERROR(1/SUMIF(BT57,"&lt;&gt;.",BT57),0),IFERROR(1/SUMIF(BT58,"&lt;&gt;.",BT58),0),IFERROR(1/SUMIF(BT59,"&lt;&gt;.",BT59),0),IFERROR(1/SUMIF(BT60,"&lt;&gt;.",BT60),0),IFERROR(1/SUMIF(BT61,"&lt;&gt;.",BT61),0),IFERROR(1/SUMIF(BT62,"&lt;&gt;.",BT62),0)),".")</f>
        <v>9.8871431716026866E-4</v>
      </c>
      <c r="BU48" s="190">
        <f>BT48*(0.0000000000028)*s_RadSpec!$AY23*s_RadSpec!$AF23</f>
        <v>1.0010534718384289E-9</v>
      </c>
      <c r="BV48" s="47">
        <f t="shared" ref="BV48" si="263">IFERROR(SUM(BV49:BV62),".")</f>
        <v>0.18048734272102485</v>
      </c>
      <c r="BW48" s="47">
        <f t="shared" ref="BW48" si="264">IFERROR(SUM(BW49:BW62),".")</f>
        <v>1.268200146165631E-4</v>
      </c>
      <c r="BX48" s="47">
        <f t="shared" ref="BX48" si="265">IFERROR(SUM(BX49:BX62),".")</f>
        <v>0.44438176243104804</v>
      </c>
      <c r="BY48" s="47">
        <f t="shared" ref="BY48" si="266">IFERROR(SUM(BY49:BY62),".")</f>
        <v>7.1675852243800762</v>
      </c>
      <c r="BZ48" s="47">
        <f t="shared" ref="BZ48" si="267">IFERROR(SUM(BZ49:BZ62),".")</f>
        <v>63.855844592164466</v>
      </c>
      <c r="CA48" s="47">
        <f t="shared" ref="CA48" si="268">IFERROR(SUM(CA49:CA62),".")</f>
        <v>1271.7374365160808</v>
      </c>
      <c r="CB48" s="47">
        <f t="shared" ref="CB48" si="269">IFERROR(SUM(CB49:CB62),".")</f>
        <v>16.593478105599239</v>
      </c>
      <c r="CC48" s="47">
        <f t="shared" ref="CC48" si="270">IFERROR(SUM(CC49:CC62),".")</f>
        <v>1.7715429198331396</v>
      </c>
      <c r="CD48" s="47">
        <f t="shared" ref="CD48" si="271">IFERROR(SUM(CD49:CD62),".")</f>
        <v>0</v>
      </c>
      <c r="CE48" s="47">
        <f t="shared" ref="CE48" si="272">IFERROR(SUM(CE49:CE62),".")</f>
        <v>10287.161831896552</v>
      </c>
      <c r="CF48" s="47">
        <f t="shared" ref="CF48" si="273">IFERROR(SUM(CF49:CF62),".")</f>
        <v>13287.58403286638</v>
      </c>
      <c r="CG48" s="47">
        <f t="shared" ref="CG48" si="274">IFERROR(SUM(CG49:CG62),".")</f>
        <v>0</v>
      </c>
      <c r="CH48" s="47">
        <f t="shared" ref="CH48" si="275">IFERROR(SUM(CH49:CH62),".")</f>
        <v>24.38457402015792</v>
      </c>
      <c r="CI48" s="47">
        <f t="shared" ref="CI48" si="276">IFERROR(SUM(CI49:CI62),".")</f>
        <v>238.07101128652783</v>
      </c>
      <c r="CJ48" s="47">
        <f t="shared" ref="CJ48" si="277">IFERROR(SUM(CJ49:CJ62),".")</f>
        <v>86.410249241935745</v>
      </c>
      <c r="CK48" s="47">
        <f t="shared" ref="CK48" si="278">IFERROR(SUM(CK49:CK62),".")</f>
        <v>25285.362582594778</v>
      </c>
      <c r="CL48" s="59">
        <f t="shared" ref="CL48:CZ48" si="279">IFERROR(1/SUM(IFERROR(1/SUMIF(CL49,"&lt;&gt;.",CL49),0),IFERROR(1/SUMIF(CL50,"&lt;&gt;.",CL50),0),IFERROR(1/SUMIF(CL51,"&lt;&gt;.",CL51),0),IFERROR(1/SUMIF(CL52,"&lt;&gt;.",CL52),0),IFERROR(1/SUMIF(CL53,"&lt;&gt;.",CL53),0),IFERROR(1/SUMIF(CL54,"&lt;&gt;.",CL54),0),IFERROR(1/SUMIF(CL55,"&lt;&gt;.",CL55),0),IFERROR(1/SUMIF(CL56,"&lt;&gt;.",CL56),0),IFERROR(1/SUMIF(CL57,"&lt;&gt;.",CL57),0),IFERROR(1/SUMIF(CL58,"&lt;&gt;.",CL58),0),IFERROR(1/SUMIF(CL59,"&lt;&gt;.",CL59),0),IFERROR(1/SUMIF(CL60,"&lt;&gt;.",CL60),0),IFERROR(1/SUMIF(CL61,"&lt;&gt;.",CL61),0),IFERROR(1/SUMIF(CL62,"&lt;&gt;.",CL62),0)),".")</f>
        <v>1.5236525501129532</v>
      </c>
      <c r="CM48" s="58">
        <f t="shared" si="279"/>
        <v>4532.6449260822128</v>
      </c>
      <c r="CN48" s="59">
        <f t="shared" si="279"/>
        <v>9510.0521292552639</v>
      </c>
      <c r="CO48" s="59">
        <f t="shared" si="279"/>
        <v>5.3439860995934136</v>
      </c>
      <c r="CP48" s="59">
        <f t="shared" si="279"/>
        <v>9.8892410512206297</v>
      </c>
      <c r="CQ48" s="59">
        <f t="shared" si="279"/>
        <v>13.188628736955085</v>
      </c>
      <c r="CR48" s="59">
        <f t="shared" si="279"/>
        <v>26519.359960564594</v>
      </c>
      <c r="CS48" s="59">
        <f t="shared" si="279"/>
        <v>250265.31506979058</v>
      </c>
      <c r="CT48" s="59" t="str">
        <f t="shared" si="279"/>
        <v>.</v>
      </c>
      <c r="CU48" s="59">
        <f t="shared" si="279"/>
        <v>42.545497090951642</v>
      </c>
      <c r="CV48" s="59">
        <f t="shared" si="279"/>
        <v>32.938449360736755</v>
      </c>
      <c r="CW48" s="59" t="str">
        <f t="shared" si="279"/>
        <v>.</v>
      </c>
      <c r="CX48" s="59">
        <f t="shared" si="279"/>
        <v>18139.986752400517</v>
      </c>
      <c r="CY48" s="59">
        <f t="shared" si="279"/>
        <v>1842.0164082749764</v>
      </c>
      <c r="CZ48" s="59">
        <f t="shared" si="279"/>
        <v>5154.5077436765077</v>
      </c>
      <c r="DA48" s="111">
        <f t="shared" si="101"/>
        <v>0.65631760989463561</v>
      </c>
      <c r="DB48" s="111">
        <f t="shared" si="102"/>
        <v>2.2062173770676297E-4</v>
      </c>
      <c r="DC48" s="111">
        <f t="shared" si="103"/>
        <v>1.0515189469085596E-4</v>
      </c>
      <c r="DD48" s="111">
        <f t="shared" si="104"/>
        <v>0.1871262352415331</v>
      </c>
      <c r="DE48" s="111">
        <f t="shared" si="105"/>
        <v>0.10111999442834593</v>
      </c>
      <c r="DF48" s="111">
        <f t="shared" si="106"/>
        <v>7.5822894096484683E-2</v>
      </c>
      <c r="DG48" s="111">
        <f t="shared" si="107"/>
        <v>3.7708300708879935E-5</v>
      </c>
      <c r="DH48" s="111">
        <f t="shared" si="108"/>
        <v>3.9957594592008632E-6</v>
      </c>
      <c r="DI48" s="111" t="str">
        <f t="shared" si="109"/>
        <v>.</v>
      </c>
      <c r="DJ48" s="111">
        <f t="shared" si="110"/>
        <v>2.3504249999999997E-2</v>
      </c>
      <c r="DK48" s="111">
        <f t="shared" si="111"/>
        <v>3.0359656249999995E-2</v>
      </c>
      <c r="DL48" s="111" t="str">
        <f t="shared" si="112"/>
        <v>.</v>
      </c>
      <c r="DM48" s="111">
        <f t="shared" si="113"/>
        <v>5.5126831879723791E-5</v>
      </c>
      <c r="DN48" s="111">
        <f t="shared" si="114"/>
        <v>5.4288332911023665E-4</v>
      </c>
      <c r="DO48" s="111">
        <f t="shared" si="115"/>
        <v>1.9400494668512017E-4</v>
      </c>
      <c r="DP48" s="59">
        <f>IFERROR(1/SUM(IFERROR(1/SUMIF(DP49,"&lt;&gt;.",DP49),0),IFERROR(1/SUMIF(DP50,"&lt;&gt;.",DP50),0),IFERROR(1/SUMIF(DP51,"&lt;&gt;.",DP51),0),IFERROR(1/SUMIF(DP52,"&lt;&gt;.",DP52),0),IFERROR(1/SUMIF(DP53,"&lt;&gt;.",DP53),0),IFERROR(1/SUMIF(DP54,"&lt;&gt;.",DP54),0),IFERROR(1/SUMIF(DP55,"&lt;&gt;.",DP55),0),IFERROR(1/SUMIF(DP56,"&lt;&gt;.",DP56),0),IFERROR(1/SUMIF(DP57,"&lt;&gt;.",DP57),0),IFERROR(1/SUMIF(DP58,"&lt;&gt;.",DP58),0),IFERROR(1/SUMIF(DP59,"&lt;&gt;.",DP59),0),IFERROR(1/SUMIF(DP60,"&lt;&gt;.",DP60),0),IFERROR(1/SUMIF(DP61,"&lt;&gt;.",DP61),0),IFERROR(1/SUMIF(DP62,"&lt;&gt;.",DP62),0)),".")</f>
        <v>0.92987780622351257</v>
      </c>
      <c r="DQ48" s="190">
        <f>DP48*(0.0000000000000028)*s_RadSpec!$AY23*s_RadSpec!$AF23</f>
        <v>9.4148268124518195E-10</v>
      </c>
      <c r="DR48" s="47">
        <f t="shared" ref="DR48" si="280">IFERROR(SUM(DR49:DR62),".")</f>
        <v>16.407940247365893</v>
      </c>
      <c r="DS48" s="47">
        <f t="shared" ref="DS48" si="281">IFERROR(SUM(DS49:DS62),".")</f>
        <v>5.5155434426690745E-3</v>
      </c>
      <c r="DT48" s="47">
        <f t="shared" ref="DT48" si="282">IFERROR(SUM(DT49:DT62),".")</f>
        <v>2.628797367271399E-3</v>
      </c>
      <c r="DU48" s="47">
        <f t="shared" ref="DU48" si="283">IFERROR(SUM(DU49:DU62),".")</f>
        <v>4.6781558810383279</v>
      </c>
      <c r="DV48" s="47">
        <f t="shared" ref="DV48" si="284">IFERROR(SUM(DV49:DV62),".")</f>
        <v>2.5279998607086487</v>
      </c>
      <c r="DW48" s="47">
        <f t="shared" ref="DW48" si="285">IFERROR(SUM(DW49:DW62),".")</f>
        <v>1.8955723524121175</v>
      </c>
      <c r="DX48" s="47">
        <f t="shared" ref="DX48" si="286">IFERROR(SUM(DX49:DX62),".")</f>
        <v>9.427075177219984E-4</v>
      </c>
      <c r="DY48" s="47">
        <f t="shared" ref="DY48" si="287">IFERROR(SUM(DY49:DY62),".")</f>
        <v>9.9893986480021572E-5</v>
      </c>
      <c r="DZ48" s="47">
        <f t="shared" ref="DZ48" si="288">IFERROR(SUM(DZ49:DZ62),".")</f>
        <v>0</v>
      </c>
      <c r="EA48" s="47">
        <f t="shared" ref="EA48" si="289">IFERROR(SUM(EA49:EA62),".")</f>
        <v>0.58760625</v>
      </c>
      <c r="EB48" s="47">
        <f t="shared" ref="EB48" si="290">IFERROR(SUM(EB49:EB62),".")</f>
        <v>0.75899140624999994</v>
      </c>
      <c r="EC48" s="47">
        <f t="shared" ref="EC48" si="291">IFERROR(SUM(EC49:EC62),".")</f>
        <v>0</v>
      </c>
      <c r="ED48" s="47">
        <f t="shared" ref="ED48" si="292">IFERROR(SUM(ED49:ED62),".")</f>
        <v>1.3781707969930947E-3</v>
      </c>
      <c r="EE48" s="47">
        <f t="shared" ref="EE48" si="293">IFERROR(SUM(EE49:EE62),".")</f>
        <v>1.3572083227755917E-2</v>
      </c>
      <c r="EF48" s="47">
        <f t="shared" ref="EF48" si="294">IFERROR(SUM(EF49:EF62),".")</f>
        <v>4.8501236671280043E-3</v>
      </c>
      <c r="EG48" s="47">
        <f t="shared" ref="EG48" si="295">IFERROR(SUM(EG49:EG62),".")</f>
        <v>26.885253317781004</v>
      </c>
      <c r="EH48" s="59">
        <f>IFERROR(1/SUM(IFERROR(1/SUMIF(EH49,"&lt;&gt;.",EH49),0),IFERROR(1/SUMIF(EH50,"&lt;&gt;.",EH50),0),IFERROR(1/SUMIF(EH51,"&lt;&gt;.",EH51),0),IFERROR(1/SUMIF(EH52,"&lt;&gt;.",EH52),0),IFERROR(1/SUMIF(EH53,"&lt;&gt;.",EH53),0),IFERROR(1/SUMIF(EH54,"&lt;&gt;.",EH54),0),IFERROR(1/SUMIF(EH55,"&lt;&gt;.",EH55),0),IFERROR(1/SUMIF(EH56,"&lt;&gt;.",EH56),0),IFERROR(1/SUMIF(EH57,"&lt;&gt;.",EH57),0),IFERROR(1/SUMIF(EH58,"&lt;&gt;.",EH58),0),IFERROR(1/SUMIF(EH59,"&lt;&gt;.",EH59),0),IFERROR(1/SUMIF(EH60,"&lt;&gt;.",EH60),0),IFERROR(1/SUMIF(EH61,"&lt;&gt;.",EH61),0),IFERROR(1/SUMIF(EH62,"&lt;&gt;.",EH62),0)),".")</f>
        <v>0.63630506432317047</v>
      </c>
      <c r="EI48" s="59">
        <f>IFERROR(1/SUM(IFERROR(1/SUMIF(EI49,"&lt;&gt;.",EI49),0),IFERROR(1/SUMIF(EI50,"&lt;&gt;.",EI50),0),IFERROR(1/SUMIF(EI51,"&lt;&gt;.",EI51),0),IFERROR(1/SUMIF(EI52,"&lt;&gt;.",EI52),0),IFERROR(1/SUMIF(EI53,"&lt;&gt;.",EI53),0),IFERROR(1/SUMIF(EI54,"&lt;&gt;.",EI54),0),IFERROR(1/SUMIF(EI55,"&lt;&gt;.",EI55),0),IFERROR(1/SUMIF(EI56,"&lt;&gt;.",EI56),0),IFERROR(1/SUMIF(EI57,"&lt;&gt;.",EI57),0),IFERROR(1/SUMIF(EI58,"&lt;&gt;.",EI58),0),IFERROR(1/SUMIF(EI59,"&lt;&gt;.",EI59),0),IFERROR(1/SUMIF(EI60,"&lt;&gt;.",EI60),0),IFERROR(1/SUMIF(EI61,"&lt;&gt;.",EI61),0),IFERROR(1/SUMIF(EI62,"&lt;&gt;.",EI62),0)),".")</f>
        <v>32923.376558807642</v>
      </c>
      <c r="EJ48" s="59">
        <f>IFERROR(1/SUM(IFERROR(1/SUMIF(EJ49,"&lt;&gt;.",EJ49),0),IFERROR(1/SUMIF(EJ50,"&lt;&gt;.",EJ50),0),IFERROR(1/SUMIF(EJ51,"&lt;&gt;.",EJ51),0),IFERROR(1/SUMIF(EJ52,"&lt;&gt;.",EJ52),0),IFERROR(1/SUMIF(EJ53,"&lt;&gt;.",EJ53),0),IFERROR(1/SUMIF(EJ54,"&lt;&gt;.",EJ54),0),IFERROR(1/SUMIF(EJ55,"&lt;&gt;.",EJ55),0),IFERROR(1/SUMIF(EJ56,"&lt;&gt;.",EJ56),0),IFERROR(1/SUMIF(EJ57,"&lt;&gt;.",EJ57),0),IFERROR(1/SUMIF(EJ58,"&lt;&gt;.",EJ58),0),IFERROR(1/SUMIF(EJ59,"&lt;&gt;.",EJ59),0),IFERROR(1/SUMIF(EJ60,"&lt;&gt;.",EJ60),0),IFERROR(1/SUMIF(EJ61,"&lt;&gt;.",EJ61),0),IFERROR(1/SUMIF(EJ62,"&lt;&gt;.",EJ62),0)),".")</f>
        <v>0.63629276679016444</v>
      </c>
      <c r="EK48" s="190">
        <f>EJ48*(0.0000000000000028)*s_RadSpec!$AY23*s_RadSpec!$AF23</f>
        <v>6.4423370051970579E-10</v>
      </c>
      <c r="EL48" s="47">
        <f t="shared" ref="EL48" si="296">IFERROR(SUM(EL49:EL62),".")</f>
        <v>39.289330545549213</v>
      </c>
      <c r="EM48" s="47">
        <f t="shared" ref="EM48" si="297">IFERROR(SUM(EM49:EM62),".")</f>
        <v>7.5933888358458844E-4</v>
      </c>
      <c r="EN48" s="47">
        <f t="shared" ref="EN48" si="298">IFERROR(SUM(EN49:EN62),".")</f>
        <v>39.290089884432803</v>
      </c>
    </row>
    <row r="49" spans="1:144" x14ac:dyDescent="0.25">
      <c r="A49" s="77" t="s">
        <v>1086</v>
      </c>
      <c r="B49" s="42">
        <v>1</v>
      </c>
      <c r="C49" s="238"/>
      <c r="D49" s="60">
        <f t="shared" ref="D49:O49" si="299">IFERROR(D23/$B49,".")</f>
        <v>0.49307695304083027</v>
      </c>
      <c r="E49" s="60">
        <f t="shared" si="299"/>
        <v>1.9723078121633211</v>
      </c>
      <c r="F49" s="60">
        <f t="shared" si="299"/>
        <v>1.9723078121633211</v>
      </c>
      <c r="G49" s="60">
        <f t="shared" si="299"/>
        <v>1.9723078121633211</v>
      </c>
      <c r="H49" s="60">
        <f t="shared" si="299"/>
        <v>1.9723078121633211</v>
      </c>
      <c r="I49" s="60">
        <f t="shared" si="299"/>
        <v>1.9723078121633211</v>
      </c>
      <c r="J49" s="60">
        <f t="shared" si="299"/>
        <v>1.9723078121633211</v>
      </c>
      <c r="K49" s="60">
        <f t="shared" si="299"/>
        <v>1.9723078121633211</v>
      </c>
      <c r="L49" s="60">
        <f t="shared" si="299"/>
        <v>1.9723078121633211</v>
      </c>
      <c r="M49" s="60">
        <f t="shared" si="299"/>
        <v>1.9723078121633211</v>
      </c>
      <c r="N49" s="60">
        <f t="shared" si="299"/>
        <v>1.9723078121633211</v>
      </c>
      <c r="O49" s="60">
        <f t="shared" si="299"/>
        <v>1.9723078121633211</v>
      </c>
      <c r="P49" s="111">
        <f t="shared" ref="P49:W62" si="300">IFERROR(1/H49,".")</f>
        <v>0.50702024999999995</v>
      </c>
      <c r="Q49" s="111">
        <f t="shared" si="300"/>
        <v>0.50702024999999995</v>
      </c>
      <c r="R49" s="111">
        <f t="shared" si="300"/>
        <v>0.50702024999999995</v>
      </c>
      <c r="S49" s="111">
        <f t="shared" si="300"/>
        <v>0.50702024999999995</v>
      </c>
      <c r="T49" s="111">
        <f t="shared" si="300"/>
        <v>0.50702024999999995</v>
      </c>
      <c r="U49" s="111">
        <f t="shared" si="300"/>
        <v>0.50702024999999995</v>
      </c>
      <c r="V49" s="111">
        <f t="shared" si="300"/>
        <v>0.50702024999999995</v>
      </c>
      <c r="W49" s="111">
        <f t="shared" si="300"/>
        <v>0.50702024999999995</v>
      </c>
      <c r="X49" s="111">
        <f t="shared" si="59"/>
        <v>0.50702024999999995</v>
      </c>
      <c r="Y49" s="111">
        <f t="shared" si="59"/>
        <v>0.50702024999999995</v>
      </c>
      <c r="Z49" s="111">
        <f t="shared" si="59"/>
        <v>0.50702024999999995</v>
      </c>
      <c r="AA49" s="111">
        <f t="shared" si="59"/>
        <v>0.50702024999999995</v>
      </c>
      <c r="AB49" s="60">
        <f>IFERROR(AB23/$B49,".")</f>
        <v>0.1643589843469434</v>
      </c>
      <c r="AC49" s="189">
        <f>IFERROR(AC23/$B49,0)</f>
        <v>1.6641018447159324E-7</v>
      </c>
      <c r="AD49" s="49">
        <f>s_dir!BC49</f>
        <v>50.702024999999999</v>
      </c>
      <c r="AE49" s="49">
        <f>IF(E49=".",".",s_RadSpec!$F$23*AE23*$B$49)</f>
        <v>12.67550625</v>
      </c>
      <c r="AF49" s="49">
        <f>IF(F49=".",".",s_RadSpec!$F$23*AF23*$B$49)</f>
        <v>12.67550625</v>
      </c>
      <c r="AG49" s="49">
        <f>IF(G49=".",".",s_RadSpec!$F$23*AG23*$B$49)</f>
        <v>12.67550625</v>
      </c>
      <c r="AH49" s="49">
        <f>IF(H49=".",".",s_RadSpec!$F$23*AH23*$B$49)</f>
        <v>12.67550625</v>
      </c>
      <c r="AI49" s="49">
        <f>IF(I49=".",".",s_RadSpec!$F$23*AI23*$B$49)</f>
        <v>12.67550625</v>
      </c>
      <c r="AJ49" s="49">
        <f>IF(J49=".",".",s_RadSpec!$F$23*AJ23*$B$49)</f>
        <v>12.67550625</v>
      </c>
      <c r="AK49" s="49">
        <f>IF(K49=".",".",s_RadSpec!$F$23*AK23*$B$49)</f>
        <v>12.67550625</v>
      </c>
      <c r="AL49" s="49">
        <f>IF(L49=".",".",s_RadSpec!$F$23*AL23*$B$49)</f>
        <v>12.67550625</v>
      </c>
      <c r="AM49" s="49">
        <f>IF(M49=".",".",s_RadSpec!$F$23*AM23*$B$49)</f>
        <v>12.67550625</v>
      </c>
      <c r="AN49" s="49">
        <f>IF(N49=".",".",s_RadSpec!$F$23*AN23*$B$49)</f>
        <v>12.67550625</v>
      </c>
      <c r="AO49" s="49">
        <f>IF(O49=".",".",s_RadSpec!$F$23*AO23*$B$49)</f>
        <v>12.67550625</v>
      </c>
      <c r="AP49" s="60">
        <f t="shared" ref="AP49:BD49" si="301">IFERROR(AP23/$B49,".")</f>
        <v>986.15390608166047</v>
      </c>
      <c r="AQ49" s="60">
        <f t="shared" si="301"/>
        <v>405404.32762979425</v>
      </c>
      <c r="AR49" s="60">
        <f t="shared" si="301"/>
        <v>22964.114086609057</v>
      </c>
      <c r="AS49" s="60">
        <f t="shared" si="301"/>
        <v>19.948496127878233</v>
      </c>
      <c r="AT49" s="60">
        <f t="shared" si="301"/>
        <v>0.49307695304083027</v>
      </c>
      <c r="AU49" s="60">
        <f t="shared" si="301"/>
        <v>1.9723078121633212E-2</v>
      </c>
      <c r="AV49" s="60">
        <f t="shared" si="301"/>
        <v>12.899137730367153</v>
      </c>
      <c r="AW49" s="60">
        <f t="shared" si="301"/>
        <v>59.437868857560218</v>
      </c>
      <c r="AX49" s="60" t="str">
        <f t="shared" si="301"/>
        <v>.</v>
      </c>
      <c r="AY49" s="60" t="str">
        <f t="shared" si="301"/>
        <v>.</v>
      </c>
      <c r="AZ49" s="60" t="str">
        <f t="shared" si="301"/>
        <v>.</v>
      </c>
      <c r="BA49" s="60" t="str">
        <f t="shared" si="301"/>
        <v>.</v>
      </c>
      <c r="BB49" s="60" t="str">
        <f t="shared" si="301"/>
        <v>.</v>
      </c>
      <c r="BC49" s="60">
        <f t="shared" si="301"/>
        <v>4.3857068283248317</v>
      </c>
      <c r="BD49" s="60" t="str">
        <f t="shared" si="301"/>
        <v>.</v>
      </c>
      <c r="BE49" s="111">
        <f t="shared" si="69"/>
        <v>1.0140405000000001E-3</v>
      </c>
      <c r="BF49" s="111">
        <f t="shared" si="70"/>
        <v>2.46667322434993E-6</v>
      </c>
      <c r="BG49" s="111">
        <f t="shared" si="71"/>
        <v>4.3546204143931021E-5</v>
      </c>
      <c r="BH49" s="111">
        <f t="shared" si="72"/>
        <v>5.0129092117500003E-2</v>
      </c>
      <c r="BI49" s="111">
        <f t="shared" si="73"/>
        <v>2.0280809999999998</v>
      </c>
      <c r="BJ49" s="111">
        <f t="shared" si="74"/>
        <v>50.702024999999992</v>
      </c>
      <c r="BK49" s="111">
        <f t="shared" si="75"/>
        <v>7.7524561788793037E-2</v>
      </c>
      <c r="BL49" s="111">
        <f t="shared" si="76"/>
        <v>1.6824290965015053E-2</v>
      </c>
      <c r="BM49" s="111" t="str">
        <f t="shared" si="77"/>
        <v>.</v>
      </c>
      <c r="BN49" s="111" t="str">
        <f t="shared" si="78"/>
        <v>.</v>
      </c>
      <c r="BO49" s="111" t="str">
        <f t="shared" si="79"/>
        <v>.</v>
      </c>
      <c r="BP49" s="111" t="str">
        <f t="shared" si="80"/>
        <v>.</v>
      </c>
      <c r="BQ49" s="111" t="str">
        <f t="shared" si="81"/>
        <v>.</v>
      </c>
      <c r="BR49" s="111">
        <f t="shared" si="82"/>
        <v>0.22801341702586189</v>
      </c>
      <c r="BS49" s="111" t="str">
        <f t="shared" si="83"/>
        <v>.</v>
      </c>
      <c r="BT49" s="60">
        <f>IFERROR(BT23/$B49,".")</f>
        <v>1.8831094667923268E-2</v>
      </c>
      <c r="BU49" s="189">
        <f>IFERROR(BU23/$B49,0)</f>
        <v>1.9066106729378953E-8</v>
      </c>
      <c r="BV49" s="49">
        <f>IF(AP49=".",".",s_RadSpec!$E$23*BV23*$B$49)</f>
        <v>2.5351012499999999E-2</v>
      </c>
      <c r="BW49" s="49">
        <f>IF(AQ49=".",".",s_RadSpec!$H$23*BW23*$B$49)</f>
        <v>6.1666830608748247E-5</v>
      </c>
      <c r="BX49" s="49">
        <f>IF(AR49=".",".",s_RadSpec!$G$23*BX23*$B$49)</f>
        <v>1.0886551035982754E-3</v>
      </c>
      <c r="BY49" s="49">
        <f>s_b2s!CC49</f>
        <v>1.2532273029374998</v>
      </c>
      <c r="BZ49" s="49">
        <f>IF(AT49=".",".",s_RadSpec!$F$23*BZ23*$B$49)</f>
        <v>50.702024999999999</v>
      </c>
      <c r="CA49" s="49">
        <f>IF(AU49=".",".",s_RadSpec!$F$23*CA23*$B$49)</f>
        <v>1267.5506250000001</v>
      </c>
      <c r="CB49" s="49">
        <f>IF(AV49=".",".",s_RadSpec!$F$23*CB23*$B$49)</f>
        <v>1.9381140447198264</v>
      </c>
      <c r="CC49" s="49">
        <f>IF(AW49=".",".",s_RadSpec!$F$23*CC23*$B$49)</f>
        <v>0.42060727412537641</v>
      </c>
      <c r="CD49" s="49" t="str">
        <f>IF(AX49=".",".",s_RadSpec!$F$23*CD23*$B$49)</f>
        <v>.</v>
      </c>
      <c r="CE49" s="49" t="str">
        <f>IF(AY49=".",".",s_RadSpec!$F$23*CE23*$B$49)</f>
        <v>.</v>
      </c>
      <c r="CF49" s="49" t="str">
        <f>IF(AZ49=".",".",s_RadSpec!$F$23*CF23*$B$49)</f>
        <v>.</v>
      </c>
      <c r="CG49" s="49" t="str">
        <f>IF(BA49=".",".",s_RadSpec!$F$23*CG23*$B$49)</f>
        <v>.</v>
      </c>
      <c r="CH49" s="49" t="str">
        <f>IF(BB49=".",".",s_RadSpec!$F$23*CH23*$B$49)</f>
        <v>.</v>
      </c>
      <c r="CI49" s="49">
        <f>IF(BC49=".",".",s_RadSpec!$F$23*CI23*$B$49)</f>
        <v>5.7003354256465482</v>
      </c>
      <c r="CJ49" s="49" t="str">
        <f>IF(BD49=".",".",s_RadSpec!$F$23*CJ23*$B$49)</f>
        <v>.</v>
      </c>
      <c r="CK49" s="49">
        <f t="shared" ref="CK49:CK62" si="302">IFERROR(SUM(BV49:CJ49),".")</f>
        <v>1327.5914353818634</v>
      </c>
      <c r="CL49" s="60">
        <f>IFERROR(CL23/$B49,".")</f>
        <v>10.847692966898265</v>
      </c>
      <c r="CM49" s="60" t="str">
        <f>IFERROR(CM23,".")</f>
        <v>.</v>
      </c>
      <c r="CN49" s="60">
        <f t="shared" ref="CN49:CZ49" si="303">IFERROR(CN23/$B49,".")</f>
        <v>2492812.6324670389</v>
      </c>
      <c r="CO49" s="60">
        <f t="shared" si="303"/>
        <v>35.407611257587568</v>
      </c>
      <c r="CP49" s="60">
        <f t="shared" si="303"/>
        <v>493.07695304083023</v>
      </c>
      <c r="CQ49" s="60">
        <f t="shared" si="303"/>
        <v>19.723078121633211</v>
      </c>
      <c r="CR49" s="60">
        <f t="shared" si="303"/>
        <v>232036.21319568489</v>
      </c>
      <c r="CS49" s="60">
        <f t="shared" si="303"/>
        <v>1069198.4455411686</v>
      </c>
      <c r="CT49" s="60" t="str">
        <f t="shared" si="303"/>
        <v>.</v>
      </c>
      <c r="CU49" s="60" t="str">
        <f t="shared" si="303"/>
        <v>.</v>
      </c>
      <c r="CV49" s="60" t="str">
        <f t="shared" si="303"/>
        <v>.</v>
      </c>
      <c r="CW49" s="60" t="str">
        <f t="shared" si="303"/>
        <v>.</v>
      </c>
      <c r="CX49" s="60" t="str">
        <f t="shared" si="303"/>
        <v>.</v>
      </c>
      <c r="CY49" s="60">
        <f t="shared" si="303"/>
        <v>78892.312486532843</v>
      </c>
      <c r="CZ49" s="60" t="str">
        <f t="shared" si="303"/>
        <v>.</v>
      </c>
      <c r="DA49" s="111">
        <f t="shared" si="101"/>
        <v>9.2185500000000004E-2</v>
      </c>
      <c r="DB49" s="111" t="str">
        <f t="shared" si="102"/>
        <v>.</v>
      </c>
      <c r="DC49" s="111">
        <f t="shared" si="103"/>
        <v>4.011532944657534E-7</v>
      </c>
      <c r="DD49" s="111">
        <f t="shared" si="104"/>
        <v>2.8242515224341999E-2</v>
      </c>
      <c r="DE49" s="111">
        <f t="shared" si="105"/>
        <v>2.0280810000000002E-3</v>
      </c>
      <c r="DF49" s="111">
        <f t="shared" si="106"/>
        <v>5.0702024999999991E-2</v>
      </c>
      <c r="DG49" s="111">
        <f t="shared" si="107"/>
        <v>4.3096721249999983E-6</v>
      </c>
      <c r="DH49" s="111">
        <f t="shared" si="108"/>
        <v>9.3528007281553411E-7</v>
      </c>
      <c r="DI49" s="111" t="str">
        <f t="shared" si="109"/>
        <v>.</v>
      </c>
      <c r="DJ49" s="111" t="str">
        <f t="shared" si="110"/>
        <v>.</v>
      </c>
      <c r="DK49" s="111" t="str">
        <f t="shared" si="111"/>
        <v>.</v>
      </c>
      <c r="DL49" s="111" t="str">
        <f t="shared" si="112"/>
        <v>.</v>
      </c>
      <c r="DM49" s="111" t="str">
        <f t="shared" si="113"/>
        <v>.</v>
      </c>
      <c r="DN49" s="111">
        <f t="shared" si="114"/>
        <v>1.267550625E-5</v>
      </c>
      <c r="DO49" s="111" t="str">
        <f t="shared" si="115"/>
        <v>.</v>
      </c>
      <c r="DP49" s="60">
        <f>IFERROR(DP23/$B49,".")</f>
        <v>5.7744574471166636</v>
      </c>
      <c r="DQ49" s="189">
        <f t="shared" ref="DQ49" si="304">IFERROR(DQ23/$B49,0)</f>
        <v>5.8465226760566809E-9</v>
      </c>
      <c r="DR49" s="49">
        <f>IF(CL49=".",".",s_RadSpec!$I$23*DR23*$B$49)</f>
        <v>2.3046375000000001</v>
      </c>
      <c r="DS49" s="49" t="str">
        <f>IF(CM49=".",".",s_RadSpec!$H$23*DS23)</f>
        <v>.</v>
      </c>
      <c r="DT49" s="49">
        <f>IF(CN49=".",".",s_RadSpec!$M$23*DT23*$B$49)</f>
        <v>1.0028832361643836E-5</v>
      </c>
      <c r="DU49" s="49">
        <f>s_b2w!CC49</f>
        <v>0.70606288060855016</v>
      </c>
      <c r="DV49" s="49">
        <f>IF(CP49=".",".",s_RadSpec!$F$23*DV23*$B$49)</f>
        <v>5.0702024999999998E-2</v>
      </c>
      <c r="DW49" s="49">
        <f>IF(CQ49=".",".",s_RadSpec!$F$23*DW23*$B$49)</f>
        <v>1.2675506249999999</v>
      </c>
      <c r="DX49" s="49">
        <f>IF(CR49=".",".",s_RadSpec!$F$23*DX23*$B$49)</f>
        <v>1.07741803125E-4</v>
      </c>
      <c r="DY49" s="49">
        <f>IF(CS49=".",".",s_RadSpec!$F$23*DY23*$B$49)</f>
        <v>2.338200182038835E-5</v>
      </c>
      <c r="DZ49" s="49" t="str">
        <f>IF(CT49=".",".",s_RadSpec!$F$23*DZ23*$B$49)</f>
        <v>.</v>
      </c>
      <c r="EA49" s="49" t="str">
        <f>IF(CU49=".",".",s_RadSpec!$F$23*EA23*$B$49)</f>
        <v>.</v>
      </c>
      <c r="EB49" s="49" t="str">
        <f>IF(CV49=".",".",s_RadSpec!$F$23*EB23*$B$49)</f>
        <v>.</v>
      </c>
      <c r="EC49" s="49" t="str">
        <f>IF(CW49=".",".",s_RadSpec!$F$23*EC23*$B$49)</f>
        <v>.</v>
      </c>
      <c r="ED49" s="49" t="str">
        <f>IF(CX49=".",".",s_RadSpec!$F$23*ED23*$B$49)</f>
        <v>.</v>
      </c>
      <c r="EE49" s="49">
        <f>IF(CY49=".",".",s_RadSpec!$F$23*EE23*$B$49)</f>
        <v>3.1688765625E-4</v>
      </c>
      <c r="EF49" s="49" t="str">
        <f>IF(CZ49=".",".",s_RadSpec!$F$23*EF23*$B$49)</f>
        <v>.</v>
      </c>
      <c r="EG49" s="49">
        <f t="shared" ref="EG49:EG62" si="305">IFERROR(SUM(DR49:EF49),".")</f>
        <v>4.3294110709021059</v>
      </c>
      <c r="EH49" s="60">
        <f>IFERROR(EH23/$B49,".")</f>
        <v>1.3085838328556778</v>
      </c>
      <c r="EI49" s="60">
        <f>IFERROR(EI23/$B49,".")</f>
        <v>8772135.5143791866</v>
      </c>
      <c r="EJ49" s="60">
        <f>IFERROR(EJ23/$B49,".")</f>
        <v>1.3085836376476365</v>
      </c>
      <c r="EK49" s="189">
        <f t="shared" ref="EK49" si="306">IFERROR(EK23/$B49,0)</f>
        <v>1.3249147614454791E-9</v>
      </c>
      <c r="EL49" s="49">
        <f>IF(EH49=".",".",s_RadSpec!$H$23*EL23*$B$49)</f>
        <v>19.104622395833328</v>
      </c>
      <c r="EM49" s="49">
        <f>IF(EI49=".",".",s_RadSpec!$K$23*EM23*$B$49)</f>
        <v>2.8499331729452054E-6</v>
      </c>
      <c r="EN49" s="49">
        <f t="shared" si="155"/>
        <v>19.104625245766499</v>
      </c>
    </row>
    <row r="50" spans="1:144" x14ac:dyDescent="0.25">
      <c r="A50" s="77" t="s">
        <v>1073</v>
      </c>
      <c r="B50" s="42">
        <v>1</v>
      </c>
      <c r="C50" s="238"/>
      <c r="D50" s="60" t="str">
        <f t="shared" ref="D50:O50" si="307">IFERROR(D25/$B50,".")</f>
        <v>.</v>
      </c>
      <c r="E50" s="60" t="str">
        <f t="shared" si="307"/>
        <v>.</v>
      </c>
      <c r="F50" s="60" t="str">
        <f t="shared" si="307"/>
        <v>.</v>
      </c>
      <c r="G50" s="60" t="str">
        <f t="shared" si="307"/>
        <v>.</v>
      </c>
      <c r="H50" s="60" t="str">
        <f t="shared" si="307"/>
        <v>.</v>
      </c>
      <c r="I50" s="60" t="str">
        <f t="shared" si="307"/>
        <v>.</v>
      </c>
      <c r="J50" s="60" t="str">
        <f t="shared" si="307"/>
        <v>.</v>
      </c>
      <c r="K50" s="60" t="str">
        <f t="shared" si="307"/>
        <v>.</v>
      </c>
      <c r="L50" s="60" t="str">
        <f t="shared" si="307"/>
        <v>.</v>
      </c>
      <c r="M50" s="60" t="str">
        <f t="shared" si="307"/>
        <v>.</v>
      </c>
      <c r="N50" s="60" t="str">
        <f t="shared" si="307"/>
        <v>.</v>
      </c>
      <c r="O50" s="60" t="str">
        <f t="shared" si="307"/>
        <v>.</v>
      </c>
      <c r="P50" s="111" t="str">
        <f t="shared" si="300"/>
        <v>.</v>
      </c>
      <c r="Q50" s="111" t="str">
        <f t="shared" si="300"/>
        <v>.</v>
      </c>
      <c r="R50" s="111" t="str">
        <f t="shared" si="300"/>
        <v>.</v>
      </c>
      <c r="S50" s="111" t="str">
        <f t="shared" si="300"/>
        <v>.</v>
      </c>
      <c r="T50" s="111" t="str">
        <f t="shared" si="300"/>
        <v>.</v>
      </c>
      <c r="U50" s="111" t="str">
        <f t="shared" si="300"/>
        <v>.</v>
      </c>
      <c r="V50" s="111" t="str">
        <f t="shared" si="300"/>
        <v>.</v>
      </c>
      <c r="W50" s="111" t="str">
        <f t="shared" si="300"/>
        <v>.</v>
      </c>
      <c r="X50" s="111" t="str">
        <f t="shared" si="59"/>
        <v>.</v>
      </c>
      <c r="Y50" s="111" t="str">
        <f t="shared" si="59"/>
        <v>.</v>
      </c>
      <c r="Z50" s="111" t="str">
        <f t="shared" si="59"/>
        <v>.</v>
      </c>
      <c r="AA50" s="111" t="str">
        <f t="shared" si="59"/>
        <v>.</v>
      </c>
      <c r="AB50" s="60" t="str">
        <f>IFERROR(AB25/$B50,".")</f>
        <v>.</v>
      </c>
      <c r="AC50" s="189">
        <f>IFERROR(AC25/$B50,0)</f>
        <v>0</v>
      </c>
      <c r="AD50" s="49" t="str">
        <f>s_dir!BC50</f>
        <v>.</v>
      </c>
      <c r="AE50" s="49" t="str">
        <f>IF(E50=".",".",s_RadSpec!$F$25*AE25*$B$50)</f>
        <v>.</v>
      </c>
      <c r="AF50" s="49" t="str">
        <f>IF(F50=".",".",s_RadSpec!$F$25*AF25*$B$50)</f>
        <v>.</v>
      </c>
      <c r="AG50" s="49" t="str">
        <f>IF(G50=".",".",s_RadSpec!$F$25*AG25*$B$50)</f>
        <v>.</v>
      </c>
      <c r="AH50" s="49" t="str">
        <f>IF(H50=".",".",s_RadSpec!$F$25*AH25*$B$50)</f>
        <v>.</v>
      </c>
      <c r="AI50" s="49" t="str">
        <f>IF(I50=".",".",s_RadSpec!$F$25*AI25*$B$50)</f>
        <v>.</v>
      </c>
      <c r="AJ50" s="49" t="str">
        <f>IF(J50=".",".",s_RadSpec!$F$25*AJ25*$B$50)</f>
        <v>.</v>
      </c>
      <c r="AK50" s="49" t="str">
        <f>IF(K50=".",".",s_RadSpec!$F$25*AK25*$B$50)</f>
        <v>.</v>
      </c>
      <c r="AL50" s="49" t="str">
        <f>IF(L50=".",".",s_RadSpec!$F$25*AL25*$B$50)</f>
        <v>.</v>
      </c>
      <c r="AM50" s="49" t="str">
        <f>IF(M50=".",".",s_RadSpec!$F$25*AM25*$B$50)</f>
        <v>.</v>
      </c>
      <c r="AN50" s="49" t="str">
        <f>IF(N50=".",".",s_RadSpec!$F$25*AN25*$B$50)</f>
        <v>.</v>
      </c>
      <c r="AO50" s="49" t="str">
        <f>IF(O50=".",".",s_RadSpec!$F$25*AO25*$B$50)</f>
        <v>.</v>
      </c>
      <c r="AP50" s="60" t="str">
        <f t="shared" ref="AP50:BD50" si="308">IFERROR(AP25/$B50,".")</f>
        <v>.</v>
      </c>
      <c r="AQ50" s="60">
        <f t="shared" si="308"/>
        <v>2358772355.1101465</v>
      </c>
      <c r="AR50" s="60">
        <f t="shared" si="308"/>
        <v>500621.03754162649</v>
      </c>
      <c r="AS50" s="60" t="str">
        <f t="shared" si="308"/>
        <v>.</v>
      </c>
      <c r="AT50" s="60" t="str">
        <f t="shared" si="308"/>
        <v>.</v>
      </c>
      <c r="AU50" s="60" t="str">
        <f t="shared" si="308"/>
        <v>.</v>
      </c>
      <c r="AV50" s="60" t="str">
        <f t="shared" si="308"/>
        <v>.</v>
      </c>
      <c r="AW50" s="60" t="str">
        <f t="shared" si="308"/>
        <v>.</v>
      </c>
      <c r="AX50" s="60" t="str">
        <f t="shared" si="308"/>
        <v>.</v>
      </c>
      <c r="AY50" s="60" t="str">
        <f t="shared" si="308"/>
        <v>.</v>
      </c>
      <c r="AZ50" s="60" t="str">
        <f t="shared" si="308"/>
        <v>.</v>
      </c>
      <c r="BA50" s="60" t="str">
        <f t="shared" si="308"/>
        <v>.</v>
      </c>
      <c r="BB50" s="60" t="str">
        <f t="shared" si="308"/>
        <v>.</v>
      </c>
      <c r="BC50" s="60" t="str">
        <f t="shared" si="308"/>
        <v>.</v>
      </c>
      <c r="BD50" s="60" t="str">
        <f t="shared" si="308"/>
        <v>.</v>
      </c>
      <c r="BE50" s="111" t="str">
        <f t="shared" si="69"/>
        <v>.</v>
      </c>
      <c r="BF50" s="111">
        <f t="shared" si="70"/>
        <v>4.2394934713964948E-10</v>
      </c>
      <c r="BG50" s="111">
        <f t="shared" si="71"/>
        <v>1.9975189315068494E-6</v>
      </c>
      <c r="BH50" s="111" t="str">
        <f t="shared" si="72"/>
        <v>.</v>
      </c>
      <c r="BI50" s="111" t="str">
        <f t="shared" si="73"/>
        <v>.</v>
      </c>
      <c r="BJ50" s="111" t="str">
        <f t="shared" si="74"/>
        <v>.</v>
      </c>
      <c r="BK50" s="111" t="str">
        <f t="shared" si="75"/>
        <v>.</v>
      </c>
      <c r="BL50" s="111" t="str">
        <f t="shared" si="76"/>
        <v>.</v>
      </c>
      <c r="BM50" s="111" t="str">
        <f t="shared" si="77"/>
        <v>.</v>
      </c>
      <c r="BN50" s="111" t="str">
        <f t="shared" si="78"/>
        <v>.</v>
      </c>
      <c r="BO50" s="111" t="str">
        <f t="shared" si="79"/>
        <v>.</v>
      </c>
      <c r="BP50" s="111" t="str">
        <f t="shared" si="80"/>
        <v>.</v>
      </c>
      <c r="BQ50" s="111" t="str">
        <f t="shared" si="81"/>
        <v>.</v>
      </c>
      <c r="BR50" s="111" t="str">
        <f t="shared" si="82"/>
        <v>.</v>
      </c>
      <c r="BS50" s="111" t="str">
        <f t="shared" si="83"/>
        <v>.</v>
      </c>
      <c r="BT50" s="60">
        <f>IFERROR(BT25/$B50,".")</f>
        <v>500514.80929853505</v>
      </c>
      <c r="BU50" s="189">
        <f>IFERROR(BU25/$B50,0)</f>
        <v>3.259088605140247E-6</v>
      </c>
      <c r="BV50" s="49" t="str">
        <f>IF(AP50=".",".",s_RadSpec!$E$25*BV25*$B$50)</f>
        <v>.</v>
      </c>
      <c r="BW50" s="49">
        <f>IF(AQ50=".",".",s_RadSpec!$H$25*BW25*$B$50)</f>
        <v>1.0598733678491237E-8</v>
      </c>
      <c r="BX50" s="49">
        <f>IF(AR50=".",".",s_RadSpec!$G$25*BX25*$B$50)</f>
        <v>4.9937973287671228E-5</v>
      </c>
      <c r="BY50" s="49" t="str">
        <f>s_b2s!CC50</f>
        <v>.</v>
      </c>
      <c r="BZ50" s="49" t="str">
        <f>IF(AT50=".",".",s_RadSpec!$F$25*BZ25*$B$50)</f>
        <v>.</v>
      </c>
      <c r="CA50" s="49" t="str">
        <f>IF(AU50=".",".",s_RadSpec!$F$25*CA25*$B$50)</f>
        <v>.</v>
      </c>
      <c r="CB50" s="49" t="str">
        <f>IF(AV50=".",".",s_RadSpec!$F$25*CB25*$B$50)</f>
        <v>.</v>
      </c>
      <c r="CC50" s="49" t="str">
        <f>IF(AW50=".",".",s_RadSpec!$F$25*CC25*$B$50)</f>
        <v>.</v>
      </c>
      <c r="CD50" s="49" t="str">
        <f>IF(AX50=".",".",s_RadSpec!$F$25*CD25*$B$50)</f>
        <v>.</v>
      </c>
      <c r="CE50" s="49" t="str">
        <f>IF(AY50=".",".",s_RadSpec!$F$25*CE25*$B$50)</f>
        <v>.</v>
      </c>
      <c r="CF50" s="49" t="str">
        <f>IF(AZ50=".",".",s_RadSpec!$F$25*CF25*$B$50)</f>
        <v>.</v>
      </c>
      <c r="CG50" s="49" t="str">
        <f>IF(BA50=".",".",s_RadSpec!$F$25*CG25*$B$50)</f>
        <v>.</v>
      </c>
      <c r="CH50" s="49" t="str">
        <f>IF(BB50=".",".",s_RadSpec!$F$25*CH25*$B$50)</f>
        <v>.</v>
      </c>
      <c r="CI50" s="49" t="str">
        <f>IF(BC50=".",".",s_RadSpec!$F$25*CI25*$B$50)</f>
        <v>.</v>
      </c>
      <c r="CJ50" s="49" t="str">
        <f>IF(BD50=".",".",s_RadSpec!$F$25*CJ25*$B$50)</f>
        <v>.</v>
      </c>
      <c r="CK50" s="49">
        <f t="shared" si="302"/>
        <v>4.9948572021349718E-5</v>
      </c>
      <c r="CL50" s="60" t="str">
        <f>IFERROR(CL25/$B50,".")</f>
        <v>.</v>
      </c>
      <c r="CM50" s="60">
        <f>IFERROR(CM25,".")</f>
        <v>15227.520571032024</v>
      </c>
      <c r="CN50" s="60">
        <f t="shared" ref="CN50:CZ50" si="309">IFERROR(CN25/$B50,".")</f>
        <v>45347974.484240822</v>
      </c>
      <c r="CO50" s="60" t="str">
        <f t="shared" si="309"/>
        <v>.</v>
      </c>
      <c r="CP50" s="60" t="str">
        <f t="shared" si="309"/>
        <v>.</v>
      </c>
      <c r="CQ50" s="60" t="str">
        <f t="shared" si="309"/>
        <v>.</v>
      </c>
      <c r="CR50" s="60" t="str">
        <f t="shared" si="309"/>
        <v>.</v>
      </c>
      <c r="CS50" s="60" t="str">
        <f t="shared" si="309"/>
        <v>.</v>
      </c>
      <c r="CT50" s="60" t="str">
        <f t="shared" si="309"/>
        <v>.</v>
      </c>
      <c r="CU50" s="60" t="str">
        <f t="shared" si="309"/>
        <v>.</v>
      </c>
      <c r="CV50" s="60" t="str">
        <f t="shared" si="309"/>
        <v>.</v>
      </c>
      <c r="CW50" s="60" t="str">
        <f t="shared" si="309"/>
        <v>.</v>
      </c>
      <c r="CX50" s="60" t="str">
        <f t="shared" si="309"/>
        <v>.</v>
      </c>
      <c r="CY50" s="60" t="str">
        <f t="shared" si="309"/>
        <v>.</v>
      </c>
      <c r="CZ50" s="60" t="str">
        <f t="shared" si="309"/>
        <v>.</v>
      </c>
      <c r="DA50" s="111" t="str">
        <f t="shared" si="101"/>
        <v>.</v>
      </c>
      <c r="DB50" s="111">
        <f t="shared" si="102"/>
        <v>6.5670572916666649E-5</v>
      </c>
      <c r="DC50" s="111">
        <f t="shared" si="103"/>
        <v>2.2051701567123282E-8</v>
      </c>
      <c r="DD50" s="111" t="str">
        <f t="shared" si="104"/>
        <v>.</v>
      </c>
      <c r="DE50" s="111" t="str">
        <f t="shared" si="105"/>
        <v>.</v>
      </c>
      <c r="DF50" s="111" t="str">
        <f t="shared" si="106"/>
        <v>.</v>
      </c>
      <c r="DG50" s="111" t="str">
        <f t="shared" si="107"/>
        <v>.</v>
      </c>
      <c r="DH50" s="111" t="str">
        <f t="shared" si="108"/>
        <v>.</v>
      </c>
      <c r="DI50" s="111" t="str">
        <f t="shared" si="109"/>
        <v>.</v>
      </c>
      <c r="DJ50" s="111" t="str">
        <f t="shared" si="110"/>
        <v>.</v>
      </c>
      <c r="DK50" s="111" t="str">
        <f t="shared" si="111"/>
        <v>.</v>
      </c>
      <c r="DL50" s="111" t="str">
        <f t="shared" si="112"/>
        <v>.</v>
      </c>
      <c r="DM50" s="111" t="str">
        <f t="shared" si="113"/>
        <v>.</v>
      </c>
      <c r="DN50" s="111" t="str">
        <f t="shared" si="114"/>
        <v>.</v>
      </c>
      <c r="DO50" s="111" t="str">
        <f t="shared" si="115"/>
        <v>.</v>
      </c>
      <c r="DP50" s="60">
        <f>IFERROR(DP25/$B50,".")</f>
        <v>15222.408996617225</v>
      </c>
      <c r="DQ50" s="189">
        <f t="shared" ref="DQ50" si="310">IFERROR(DQ25/$B50,0)</f>
        <v>9.912030329969457E-11</v>
      </c>
      <c r="DR50" s="49" t="str">
        <f>IF(CL50=".",".",s_RadSpec!$I$25*DR25*$B$50)</f>
        <v>.</v>
      </c>
      <c r="DS50" s="49">
        <f>IF(CM50=".",".",s_RadSpec!$H$25*DS25)</f>
        <v>1.6417643229166665E-3</v>
      </c>
      <c r="DT50" s="49">
        <f>IF(CN50=".",".",s_RadSpec!$M$25*DT25*$B$50)</f>
        <v>5.5129253917808207E-7</v>
      </c>
      <c r="DU50" s="49" t="str">
        <f>s_b2w!CC50</f>
        <v>.</v>
      </c>
      <c r="DV50" s="49" t="str">
        <f>IF(CP50=".",".",s_RadSpec!$F$25*DV25*$B$50)</f>
        <v>.</v>
      </c>
      <c r="DW50" s="49" t="str">
        <f>IF(CQ50=".",".",s_RadSpec!$F$25*DW25*$B$50)</f>
        <v>.</v>
      </c>
      <c r="DX50" s="49" t="str">
        <f>IF(CR50=".",".",s_RadSpec!$F$25*DX25*$B$50)</f>
        <v>.</v>
      </c>
      <c r="DY50" s="49" t="str">
        <f>IF(CS50=".",".",s_RadSpec!$F$25*DY25*$B$50)</f>
        <v>.</v>
      </c>
      <c r="DZ50" s="49" t="str">
        <f>IF(CT50=".",".",s_RadSpec!$F$25*DZ25*$B$50)</f>
        <v>.</v>
      </c>
      <c r="EA50" s="49" t="str">
        <f>IF(CU50=".",".",s_RadSpec!$F$25*EA25*$B$50)</f>
        <v>.</v>
      </c>
      <c r="EB50" s="49" t="str">
        <f>IF(CV50=".",".",s_RadSpec!$F$25*EB25*$B$50)</f>
        <v>.</v>
      </c>
      <c r="EC50" s="49" t="str">
        <f>IF(CW50=".",".",s_RadSpec!$F$25*EC25*$B$50)</f>
        <v>.</v>
      </c>
      <c r="ED50" s="49" t="str">
        <f>IF(CX50=".",".",s_RadSpec!$F$25*ED25*$B$50)</f>
        <v>.</v>
      </c>
      <c r="EE50" s="49" t="str">
        <f>IF(CY50=".",".",s_RadSpec!$F$25*EE25*$B$50)</f>
        <v>.</v>
      </c>
      <c r="EF50" s="49" t="str">
        <f>IF(CZ50=".",".",s_RadSpec!$F$25*EF25*$B$50)</f>
        <v>.</v>
      </c>
      <c r="EG50" s="49">
        <f t="shared" si="305"/>
        <v>1.6423156154558446E-3</v>
      </c>
      <c r="EH50" s="60">
        <f>IFERROR(EH25/$B50,".")</f>
        <v>7613.7602855160121</v>
      </c>
      <c r="EI50" s="60">
        <f>IFERROR(EI25/$B50,".")</f>
        <v>157695615.31629637</v>
      </c>
      <c r="EJ50" s="60">
        <f>IFERROR(EJ25/$B50,".")</f>
        <v>7613.3927004892203</v>
      </c>
      <c r="EK50" s="189">
        <f t="shared" ref="EK50" si="311">IFERROR(EK25/$B50,0)</f>
        <v>4.9574400068995074E-11</v>
      </c>
      <c r="EL50" s="49">
        <f>IF(EH50=".",".",s_RadSpec!$H$25*EL25*$B$50)</f>
        <v>3.283528645833333E-3</v>
      </c>
      <c r="EM50" s="49">
        <f>IF(EI50=".",".",s_RadSpec!$K$25*EM25*$B$50)</f>
        <v>1.5853326010273972E-7</v>
      </c>
      <c r="EN50" s="49">
        <f t="shared" si="155"/>
        <v>3.2836871790934358E-3</v>
      </c>
    </row>
    <row r="51" spans="1:144" x14ac:dyDescent="0.25">
      <c r="A51" s="77" t="s">
        <v>1059</v>
      </c>
      <c r="B51" s="42">
        <v>1</v>
      </c>
      <c r="C51" s="238"/>
      <c r="D51" s="60" t="str">
        <f t="shared" ref="D51:O51" si="312">IFERROR(D21/$B51,".")</f>
        <v>.</v>
      </c>
      <c r="E51" s="60" t="str">
        <f t="shared" si="312"/>
        <v>.</v>
      </c>
      <c r="F51" s="60" t="str">
        <f t="shared" si="312"/>
        <v>.</v>
      </c>
      <c r="G51" s="60" t="str">
        <f t="shared" si="312"/>
        <v>.</v>
      </c>
      <c r="H51" s="60" t="str">
        <f t="shared" si="312"/>
        <v>.</v>
      </c>
      <c r="I51" s="60" t="str">
        <f t="shared" si="312"/>
        <v>.</v>
      </c>
      <c r="J51" s="60" t="str">
        <f t="shared" si="312"/>
        <v>.</v>
      </c>
      <c r="K51" s="60" t="str">
        <f t="shared" si="312"/>
        <v>.</v>
      </c>
      <c r="L51" s="60" t="str">
        <f t="shared" si="312"/>
        <v>.</v>
      </c>
      <c r="M51" s="60" t="str">
        <f t="shared" si="312"/>
        <v>.</v>
      </c>
      <c r="N51" s="60" t="str">
        <f t="shared" si="312"/>
        <v>.</v>
      </c>
      <c r="O51" s="60" t="str">
        <f t="shared" si="312"/>
        <v>.</v>
      </c>
      <c r="P51" s="111" t="str">
        <f t="shared" si="300"/>
        <v>.</v>
      </c>
      <c r="Q51" s="111" t="str">
        <f t="shared" si="300"/>
        <v>.</v>
      </c>
      <c r="R51" s="111" t="str">
        <f t="shared" si="300"/>
        <v>.</v>
      </c>
      <c r="S51" s="111" t="str">
        <f t="shared" si="300"/>
        <v>.</v>
      </c>
      <c r="T51" s="111" t="str">
        <f t="shared" si="300"/>
        <v>.</v>
      </c>
      <c r="U51" s="111" t="str">
        <f t="shared" si="300"/>
        <v>.</v>
      </c>
      <c r="V51" s="111" t="str">
        <f t="shared" si="300"/>
        <v>.</v>
      </c>
      <c r="W51" s="111" t="str">
        <f t="shared" si="300"/>
        <v>.</v>
      </c>
      <c r="X51" s="111" t="str">
        <f t="shared" si="59"/>
        <v>.</v>
      </c>
      <c r="Y51" s="111" t="str">
        <f t="shared" si="59"/>
        <v>.</v>
      </c>
      <c r="Z51" s="111" t="str">
        <f t="shared" si="59"/>
        <v>.</v>
      </c>
      <c r="AA51" s="111" t="str">
        <f t="shared" si="59"/>
        <v>.</v>
      </c>
      <c r="AB51" s="60" t="str">
        <f>IFERROR(AB21/$B51,".")</f>
        <v>.</v>
      </c>
      <c r="AC51" s="189">
        <f>IFERROR(AC21/$B51,0)</f>
        <v>0</v>
      </c>
      <c r="AD51" s="49" t="str">
        <f>s_dir!BC51</f>
        <v>.</v>
      </c>
      <c r="AE51" s="49" t="str">
        <f>IF(E51=".",".",s_RadSpec!$F$21*AE21*$B$51)</f>
        <v>.</v>
      </c>
      <c r="AF51" s="49" t="str">
        <f>IF(F51=".",".",s_RadSpec!$F$21*AF21*$B$51)</f>
        <v>.</v>
      </c>
      <c r="AG51" s="49" t="str">
        <f>IF(G51=".",".",s_RadSpec!$F$21*AG21*$B$51)</f>
        <v>.</v>
      </c>
      <c r="AH51" s="49" t="str">
        <f>IF(H51=".",".",s_RadSpec!$F$21*AH21*$B$51)</f>
        <v>.</v>
      </c>
      <c r="AI51" s="49" t="str">
        <f>IF(I51=".",".",s_RadSpec!$F$21*AI21*$B$51)</f>
        <v>.</v>
      </c>
      <c r="AJ51" s="49" t="str">
        <f>IF(J51=".",".",s_RadSpec!$F$21*AJ21*$B$51)</f>
        <v>.</v>
      </c>
      <c r="AK51" s="49" t="str">
        <f>IF(K51=".",".",s_RadSpec!$F$21*AK21*$B$51)</f>
        <v>.</v>
      </c>
      <c r="AL51" s="49" t="str">
        <f>IF(L51=".",".",s_RadSpec!$F$21*AL21*$B$51)</f>
        <v>.</v>
      </c>
      <c r="AM51" s="49" t="str">
        <f>IF(M51=".",".",s_RadSpec!$F$21*AM21*$B$51)</f>
        <v>.</v>
      </c>
      <c r="AN51" s="49" t="str">
        <f>IF(N51=".",".",s_RadSpec!$F$21*AN21*$B$51)</f>
        <v>.</v>
      </c>
      <c r="AO51" s="49" t="str">
        <f>IF(O51=".",".",s_RadSpec!$F$21*AO21*$B$51)</f>
        <v>.</v>
      </c>
      <c r="AP51" s="60" t="str">
        <f t="shared" ref="AP51:BD51" si="313">IFERROR(AP21/$B51,".")</f>
        <v>.</v>
      </c>
      <c r="AQ51" s="60">
        <f t="shared" si="313"/>
        <v>2027553664.8256507</v>
      </c>
      <c r="AR51" s="60" t="str">
        <f t="shared" si="313"/>
        <v>.</v>
      </c>
      <c r="AS51" s="60" t="str">
        <f t="shared" si="313"/>
        <v>.</v>
      </c>
      <c r="AT51" s="60" t="str">
        <f t="shared" si="313"/>
        <v>.</v>
      </c>
      <c r="AU51" s="60" t="str">
        <f t="shared" si="313"/>
        <v>.</v>
      </c>
      <c r="AV51" s="60" t="str">
        <f t="shared" si="313"/>
        <v>.</v>
      </c>
      <c r="AW51" s="60" t="str">
        <f t="shared" si="313"/>
        <v>.</v>
      </c>
      <c r="AX51" s="60" t="str">
        <f t="shared" si="313"/>
        <v>.</v>
      </c>
      <c r="AY51" s="60" t="str">
        <f t="shared" si="313"/>
        <v>.</v>
      </c>
      <c r="AZ51" s="60" t="str">
        <f t="shared" si="313"/>
        <v>.</v>
      </c>
      <c r="BA51" s="60" t="str">
        <f t="shared" si="313"/>
        <v>.</v>
      </c>
      <c r="BB51" s="60" t="str">
        <f t="shared" si="313"/>
        <v>.</v>
      </c>
      <c r="BC51" s="60" t="str">
        <f t="shared" si="313"/>
        <v>.</v>
      </c>
      <c r="BD51" s="60" t="str">
        <f t="shared" si="313"/>
        <v>.</v>
      </c>
      <c r="BE51" s="111" t="str">
        <f t="shared" si="69"/>
        <v>.</v>
      </c>
      <c r="BF51" s="111">
        <f t="shared" si="70"/>
        <v>4.9320519468765329E-10</v>
      </c>
      <c r="BG51" s="111" t="str">
        <f t="shared" si="71"/>
        <v>.</v>
      </c>
      <c r="BH51" s="111" t="str">
        <f t="shared" si="72"/>
        <v>.</v>
      </c>
      <c r="BI51" s="111" t="str">
        <f t="shared" si="73"/>
        <v>.</v>
      </c>
      <c r="BJ51" s="111" t="str">
        <f t="shared" si="74"/>
        <v>.</v>
      </c>
      <c r="BK51" s="111" t="str">
        <f t="shared" si="75"/>
        <v>.</v>
      </c>
      <c r="BL51" s="111" t="str">
        <f t="shared" si="76"/>
        <v>.</v>
      </c>
      <c r="BM51" s="111" t="str">
        <f t="shared" si="77"/>
        <v>.</v>
      </c>
      <c r="BN51" s="111" t="str">
        <f t="shared" si="78"/>
        <v>.</v>
      </c>
      <c r="BO51" s="111" t="str">
        <f t="shared" si="79"/>
        <v>.</v>
      </c>
      <c r="BP51" s="111" t="str">
        <f t="shared" si="80"/>
        <v>.</v>
      </c>
      <c r="BQ51" s="111" t="str">
        <f t="shared" si="81"/>
        <v>.</v>
      </c>
      <c r="BR51" s="111" t="str">
        <f t="shared" si="82"/>
        <v>.</v>
      </c>
      <c r="BS51" s="111" t="str">
        <f t="shared" si="83"/>
        <v>.</v>
      </c>
      <c r="BT51" s="60">
        <f>IFERROR(BT21/$B51,".")</f>
        <v>2027553664.8256507</v>
      </c>
      <c r="BU51" s="189">
        <f>IFERROR(BU21/$B51,0)</f>
        <v>7.2995018012360878E-6</v>
      </c>
      <c r="BV51" s="49" t="str">
        <f>IF(AP51=".",".",s_RadSpec!$E$21*BV21*$B$51)</f>
        <v>.</v>
      </c>
      <c r="BW51" s="49">
        <f>IF(AQ51=".",".",s_RadSpec!$H$21*BW21*$B$51)</f>
        <v>1.2330129867191332E-8</v>
      </c>
      <c r="BX51" s="49" t="str">
        <f>IF(AR51=".",".",s_RadSpec!$G$21*BX21*$B$51)</f>
        <v>.</v>
      </c>
      <c r="BY51" s="49" t="str">
        <f>s_b2s!CC51</f>
        <v>.</v>
      </c>
      <c r="BZ51" s="49" t="str">
        <f>IF(AT51=".",".",s_RadSpec!$F$21*BZ21*$B$51)</f>
        <v>.</v>
      </c>
      <c r="CA51" s="49" t="str">
        <f>IF(AU51=".",".",s_RadSpec!$F$21*CA21*$B$51)</f>
        <v>.</v>
      </c>
      <c r="CB51" s="49" t="str">
        <f>IF(AV51=".",".",s_RadSpec!$F$21*CB21*$B$51)</f>
        <v>.</v>
      </c>
      <c r="CC51" s="49" t="str">
        <f>IF(AW51=".",".",s_RadSpec!$F$21*CC21*$B$51)</f>
        <v>.</v>
      </c>
      <c r="CD51" s="49" t="str">
        <f>IF(AX51=".",".",s_RadSpec!$F$21*CD21*$B$51)</f>
        <v>.</v>
      </c>
      <c r="CE51" s="49" t="str">
        <f>IF(AY51=".",".",s_RadSpec!$F$21*CE21*$B$51)</f>
        <v>.</v>
      </c>
      <c r="CF51" s="49" t="str">
        <f>IF(AZ51=".",".",s_RadSpec!$F$21*CF21*$B$51)</f>
        <v>.</v>
      </c>
      <c r="CG51" s="49" t="str">
        <f>IF(BA51=".",".",s_RadSpec!$F$21*CG21*$B$51)</f>
        <v>.</v>
      </c>
      <c r="CH51" s="49" t="str">
        <f>IF(BB51=".",".",s_RadSpec!$F$21*CH21*$B$51)</f>
        <v>.</v>
      </c>
      <c r="CI51" s="49" t="str">
        <f>IF(BC51=".",".",s_RadSpec!$F$21*CI21*$B$51)</f>
        <v>.</v>
      </c>
      <c r="CJ51" s="49" t="str">
        <f>IF(BD51=".",".",s_RadSpec!$F$21*CJ21*$B$51)</f>
        <v>.</v>
      </c>
      <c r="CK51" s="49">
        <f t="shared" si="302"/>
        <v>1.2330129867191332E-8</v>
      </c>
      <c r="CL51" s="60" t="str">
        <f>IFERROR(CL21/$B51,".")</f>
        <v>.</v>
      </c>
      <c r="CM51" s="60">
        <f>IFERROR(CM21,".")</f>
        <v>17967.595465634375</v>
      </c>
      <c r="CN51" s="60">
        <f t="shared" ref="CN51:CZ51" si="314">IFERROR(CN21/$B51,".")</f>
        <v>596183161051.55762</v>
      </c>
      <c r="CO51" s="60" t="str">
        <f t="shared" si="314"/>
        <v>.</v>
      </c>
      <c r="CP51" s="60" t="str">
        <f t="shared" si="314"/>
        <v>.</v>
      </c>
      <c r="CQ51" s="60" t="str">
        <f t="shared" si="314"/>
        <v>.</v>
      </c>
      <c r="CR51" s="60" t="str">
        <f t="shared" si="314"/>
        <v>.</v>
      </c>
      <c r="CS51" s="60" t="str">
        <f t="shared" si="314"/>
        <v>.</v>
      </c>
      <c r="CT51" s="60" t="str">
        <f t="shared" si="314"/>
        <v>.</v>
      </c>
      <c r="CU51" s="60" t="str">
        <f t="shared" si="314"/>
        <v>.</v>
      </c>
      <c r="CV51" s="60" t="str">
        <f t="shared" si="314"/>
        <v>.</v>
      </c>
      <c r="CW51" s="60" t="str">
        <f t="shared" si="314"/>
        <v>.</v>
      </c>
      <c r="CX51" s="60" t="str">
        <f t="shared" si="314"/>
        <v>.</v>
      </c>
      <c r="CY51" s="60" t="str">
        <f t="shared" si="314"/>
        <v>.</v>
      </c>
      <c r="CZ51" s="60" t="str">
        <f t="shared" si="314"/>
        <v>.</v>
      </c>
      <c r="DA51" s="111" t="str">
        <f t="shared" si="101"/>
        <v>.</v>
      </c>
      <c r="DB51" s="111">
        <f t="shared" si="102"/>
        <v>5.5655749925617185E-5</v>
      </c>
      <c r="DC51" s="111">
        <f t="shared" si="103"/>
        <v>1.6773368745205477E-12</v>
      </c>
      <c r="DD51" s="111" t="str">
        <f t="shared" si="104"/>
        <v>.</v>
      </c>
      <c r="DE51" s="111" t="str">
        <f t="shared" si="105"/>
        <v>.</v>
      </c>
      <c r="DF51" s="111" t="str">
        <f t="shared" si="106"/>
        <v>.</v>
      </c>
      <c r="DG51" s="111" t="str">
        <f t="shared" si="107"/>
        <v>.</v>
      </c>
      <c r="DH51" s="111" t="str">
        <f t="shared" si="108"/>
        <v>.</v>
      </c>
      <c r="DI51" s="111" t="str">
        <f t="shared" si="109"/>
        <v>.</v>
      </c>
      <c r="DJ51" s="111" t="str">
        <f t="shared" si="110"/>
        <v>.</v>
      </c>
      <c r="DK51" s="111" t="str">
        <f t="shared" si="111"/>
        <v>.</v>
      </c>
      <c r="DL51" s="111" t="str">
        <f t="shared" si="112"/>
        <v>.</v>
      </c>
      <c r="DM51" s="111" t="str">
        <f t="shared" si="113"/>
        <v>.</v>
      </c>
      <c r="DN51" s="111" t="str">
        <f t="shared" si="114"/>
        <v>.</v>
      </c>
      <c r="DO51" s="111" t="str">
        <f t="shared" si="115"/>
        <v>.</v>
      </c>
      <c r="DP51" s="60">
        <f>IFERROR(DP21/$B51,".")</f>
        <v>17967.594924132201</v>
      </c>
      <c r="DQ51" s="189">
        <f t="shared" ref="DQ51" si="315">IFERROR(DQ21/$B51,0)</f>
        <v>6.4686076520623862E-14</v>
      </c>
      <c r="DR51" s="49" t="str">
        <f>IF(CL51=".",".",s_RadSpec!$I$21*DR21*$B$51)</f>
        <v>.</v>
      </c>
      <c r="DS51" s="49">
        <f>IF(CM51=".",".",s_RadSpec!$H$21*DS21)</f>
        <v>1.3913937481404295E-3</v>
      </c>
      <c r="DT51" s="49">
        <f>IF(CN51=".",".",s_RadSpec!$M$21*DT21*$B$51)</f>
        <v>4.1933421863013697E-11</v>
      </c>
      <c r="DU51" s="49" t="str">
        <f>s_b2w!CC51</f>
        <v>.</v>
      </c>
      <c r="DV51" s="49" t="str">
        <f>IF(CP51=".",".",s_RadSpec!$F$21*DV21*$B$51)</f>
        <v>.</v>
      </c>
      <c r="DW51" s="49" t="str">
        <f>IF(CQ51=".",".",s_RadSpec!$F$21*DW21*$B$51)</f>
        <v>.</v>
      </c>
      <c r="DX51" s="49" t="str">
        <f>IF(CR51=".",".",s_RadSpec!$F$21*DX21*$B$51)</f>
        <v>.</v>
      </c>
      <c r="DY51" s="49" t="str">
        <f>IF(CS51=".",".",s_RadSpec!$F$21*DY21*$B$51)</f>
        <v>.</v>
      </c>
      <c r="DZ51" s="49" t="str">
        <f>IF(CT51=".",".",s_RadSpec!$F$21*DZ21*$B$51)</f>
        <v>.</v>
      </c>
      <c r="EA51" s="49" t="str">
        <f>IF(CU51=".",".",s_RadSpec!$F$21*EA21*$B$51)</f>
        <v>.</v>
      </c>
      <c r="EB51" s="49" t="str">
        <f>IF(CV51=".",".",s_RadSpec!$F$21*EB21*$B$51)</f>
        <v>.</v>
      </c>
      <c r="EC51" s="49" t="str">
        <f>IF(CW51=".",".",s_RadSpec!$F$21*EC21*$B$51)</f>
        <v>.</v>
      </c>
      <c r="ED51" s="49" t="str">
        <f>IF(CX51=".",".",s_RadSpec!$F$21*ED21*$B$51)</f>
        <v>.</v>
      </c>
      <c r="EE51" s="49" t="str">
        <f>IF(CY51=".",".",s_RadSpec!$F$21*EE21*$B$51)</f>
        <v>.</v>
      </c>
      <c r="EF51" s="49" t="str">
        <f>IF(CZ51=".",".",s_RadSpec!$F$21*EF21*$B$51)</f>
        <v>.</v>
      </c>
      <c r="EG51" s="49">
        <f t="shared" si="305"/>
        <v>1.3913937900738513E-3</v>
      </c>
      <c r="EH51" s="60">
        <f>IFERROR(EH21/$B51,".")</f>
        <v>6544.6364658963093</v>
      </c>
      <c r="EI51" s="60">
        <f>IFERROR(EI21/$B51,".")</f>
        <v>1041272574416.7661</v>
      </c>
      <c r="EJ51" s="60">
        <f>IFERROR(EJ21/$B51,".")</f>
        <v>6544.6364247617721</v>
      </c>
      <c r="EK51" s="189">
        <f t="shared" ref="EK51" si="316">IFERROR(EK21/$B51,0)</f>
        <v>2.3561687268628635E-14</v>
      </c>
      <c r="EL51" s="49">
        <f>IF(EH51=".",".",s_RadSpec!$H$21*EL21*$B$51)</f>
        <v>3.8199218749999995E-3</v>
      </c>
      <c r="EM51" s="49">
        <f>IF(EI51=".",".",s_RadSpec!$K$21*EM21*$B$51)</f>
        <v>2.4009083321917808E-11</v>
      </c>
      <c r="EN51" s="49">
        <f t="shared" si="155"/>
        <v>3.8199218990090829E-3</v>
      </c>
    </row>
    <row r="52" spans="1:144" x14ac:dyDescent="0.25">
      <c r="A52" s="77" t="s">
        <v>1060</v>
      </c>
      <c r="B52" s="79">
        <v>0.99980000000000002</v>
      </c>
      <c r="C52" s="240"/>
      <c r="D52" s="60">
        <f t="shared" ref="D52:O52" si="317">IFERROR(D17/$B52,".")</f>
        <v>1122.6559871144887</v>
      </c>
      <c r="E52" s="60">
        <f t="shared" si="317"/>
        <v>4490.6239484579546</v>
      </c>
      <c r="F52" s="60">
        <f t="shared" si="317"/>
        <v>4490.6239484579546</v>
      </c>
      <c r="G52" s="60">
        <f t="shared" si="317"/>
        <v>4490.6239484579546</v>
      </c>
      <c r="H52" s="60">
        <f t="shared" si="317"/>
        <v>4490.6239484579546</v>
      </c>
      <c r="I52" s="60">
        <f t="shared" si="317"/>
        <v>4490.6239484579546</v>
      </c>
      <c r="J52" s="60">
        <f t="shared" si="317"/>
        <v>4490.6239484579546</v>
      </c>
      <c r="K52" s="60">
        <f t="shared" si="317"/>
        <v>4490.6239484579546</v>
      </c>
      <c r="L52" s="60">
        <f t="shared" si="317"/>
        <v>4490.6239484579546</v>
      </c>
      <c r="M52" s="60">
        <f t="shared" si="317"/>
        <v>4490.6239484579546</v>
      </c>
      <c r="N52" s="60">
        <f t="shared" si="317"/>
        <v>4490.6239484579546</v>
      </c>
      <c r="O52" s="60">
        <f t="shared" si="317"/>
        <v>4490.6239484579546</v>
      </c>
      <c r="P52" s="111">
        <f t="shared" si="300"/>
        <v>2.2268620384999999E-4</v>
      </c>
      <c r="Q52" s="111">
        <f t="shared" si="300"/>
        <v>2.2268620384999999E-4</v>
      </c>
      <c r="R52" s="111">
        <f t="shared" si="300"/>
        <v>2.2268620384999999E-4</v>
      </c>
      <c r="S52" s="111">
        <f t="shared" si="300"/>
        <v>2.2268620384999999E-4</v>
      </c>
      <c r="T52" s="111">
        <f t="shared" si="300"/>
        <v>2.2268620384999999E-4</v>
      </c>
      <c r="U52" s="111">
        <f t="shared" si="300"/>
        <v>2.2268620384999999E-4</v>
      </c>
      <c r="V52" s="111">
        <f t="shared" si="300"/>
        <v>2.2268620384999999E-4</v>
      </c>
      <c r="W52" s="111">
        <f t="shared" si="300"/>
        <v>2.2268620384999999E-4</v>
      </c>
      <c r="X52" s="111">
        <f t="shared" si="59"/>
        <v>2.2268620384999999E-4</v>
      </c>
      <c r="Y52" s="111">
        <f t="shared" si="59"/>
        <v>2.2268620384999999E-4</v>
      </c>
      <c r="Z52" s="111">
        <f t="shared" si="59"/>
        <v>2.2268620384999999E-4</v>
      </c>
      <c r="AA52" s="111">
        <f t="shared" si="59"/>
        <v>2.2268620384999999E-4</v>
      </c>
      <c r="AB52" s="60">
        <f>IFERROR(AB17/$B52,".")</f>
        <v>374.21866237149618</v>
      </c>
      <c r="AC52" s="189">
        <f>IFERROR(AC17/$B52,0)</f>
        <v>1.1433433871408691E-11</v>
      </c>
      <c r="AD52" s="49">
        <f>s_dir!BC52</f>
        <v>2.2268620385000003E-2</v>
      </c>
      <c r="AE52" s="49">
        <f>IF(E52=".",".",s_RadSpec!$F$17*AE17*$B$52)</f>
        <v>5.56715509625E-3</v>
      </c>
      <c r="AF52" s="49">
        <f>IF(F52=".",".",s_RadSpec!$F$17*AF17*$B$52)</f>
        <v>5.56715509625E-3</v>
      </c>
      <c r="AG52" s="49">
        <f>IF(G52=".",".",s_RadSpec!$F$17*AG17*$B$52)</f>
        <v>5.56715509625E-3</v>
      </c>
      <c r="AH52" s="49">
        <f>IF(H52=".",".",s_RadSpec!$F$17*AH17*$B$52)</f>
        <v>5.56715509625E-3</v>
      </c>
      <c r="AI52" s="49">
        <f>IF(I52=".",".",s_RadSpec!$F$17*AI17*$B$52)</f>
        <v>5.56715509625E-3</v>
      </c>
      <c r="AJ52" s="49">
        <f>IF(J52=".",".",s_RadSpec!$F$17*AJ17*$B$52)</f>
        <v>5.56715509625E-3</v>
      </c>
      <c r="AK52" s="49">
        <f>IF(K52=".",".",s_RadSpec!$F$17*AK17*$B$52)</f>
        <v>5.56715509625E-3</v>
      </c>
      <c r="AL52" s="49">
        <f>IF(L52=".",".",s_RadSpec!$F$17*AL17*$B$52)</f>
        <v>5.56715509625E-3</v>
      </c>
      <c r="AM52" s="49">
        <f>IF(M52=".",".",s_RadSpec!$F$17*AM17*$B$52)</f>
        <v>5.56715509625E-3</v>
      </c>
      <c r="AN52" s="49">
        <f>IF(N52=".",".",s_RadSpec!$F$17*AN17*$B$52)</f>
        <v>5.56715509625E-3</v>
      </c>
      <c r="AO52" s="49">
        <f>IF(O52=".",".",s_RadSpec!$F$17*AO17*$B$52)</f>
        <v>5.56715509625E-3</v>
      </c>
      <c r="AP52" s="60">
        <f t="shared" ref="AP52:BD52" si="318">IFERROR(AP17/$B52,".")</f>
        <v>2245311.9742289768</v>
      </c>
      <c r="AQ52" s="60">
        <f t="shared" si="318"/>
        <v>331610505.06177324</v>
      </c>
      <c r="AR52" s="60">
        <f t="shared" si="318"/>
        <v>1165.6906221471338</v>
      </c>
      <c r="AS52" s="60">
        <f t="shared" si="318"/>
        <v>49735.562614441842</v>
      </c>
      <c r="AT52" s="60">
        <f t="shared" si="318"/>
        <v>26943.743690747724</v>
      </c>
      <c r="AU52" s="60">
        <f t="shared" si="318"/>
        <v>30617.890557667866</v>
      </c>
      <c r="AV52" s="60">
        <f t="shared" si="318"/>
        <v>72015.536131952409</v>
      </c>
      <c r="AW52" s="60">
        <f t="shared" si="318"/>
        <v>273280.00816388248</v>
      </c>
      <c r="AX52" s="60" t="str">
        <f t="shared" si="318"/>
        <v>.</v>
      </c>
      <c r="AY52" s="60" t="str">
        <f t="shared" si="318"/>
        <v>.</v>
      </c>
      <c r="AZ52" s="60" t="str">
        <f t="shared" si="318"/>
        <v>.</v>
      </c>
      <c r="BA52" s="60" t="str">
        <f t="shared" si="318"/>
        <v>.</v>
      </c>
      <c r="BB52" s="60">
        <f t="shared" si="318"/>
        <v>8653.8669251896117</v>
      </c>
      <c r="BC52" s="60">
        <f t="shared" si="318"/>
        <v>7100.1232806150256</v>
      </c>
      <c r="BD52" s="60">
        <f t="shared" si="318"/>
        <v>1483.5200443182193</v>
      </c>
      <c r="BE52" s="111">
        <f t="shared" si="69"/>
        <v>4.4537240770000012E-7</v>
      </c>
      <c r="BF52" s="111">
        <f t="shared" si="70"/>
        <v>3.0155860105026451E-9</v>
      </c>
      <c r="BG52" s="111">
        <f t="shared" si="71"/>
        <v>8.5786055150556041E-4</v>
      </c>
      <c r="BH52" s="111">
        <f t="shared" si="72"/>
        <v>2.0106337345616502E-5</v>
      </c>
      <c r="BI52" s="111">
        <f t="shared" si="73"/>
        <v>3.7114367308333337E-5</v>
      </c>
      <c r="BJ52" s="111">
        <f t="shared" si="74"/>
        <v>3.2660643231333339E-5</v>
      </c>
      <c r="BK52" s="111">
        <f t="shared" si="75"/>
        <v>1.3885892596393688E-5</v>
      </c>
      <c r="BL52" s="111">
        <f t="shared" si="76"/>
        <v>3.6592504761647731E-6</v>
      </c>
      <c r="BM52" s="111" t="str">
        <f t="shared" si="77"/>
        <v>.</v>
      </c>
      <c r="BN52" s="111" t="str">
        <f t="shared" si="78"/>
        <v>.</v>
      </c>
      <c r="BO52" s="111" t="str">
        <f t="shared" si="79"/>
        <v>.</v>
      </c>
      <c r="BP52" s="111" t="str">
        <f t="shared" si="80"/>
        <v>.</v>
      </c>
      <c r="BQ52" s="111">
        <f t="shared" si="81"/>
        <v>1.1555527819467704E-4</v>
      </c>
      <c r="BR52" s="111">
        <f t="shared" si="82"/>
        <v>1.4084262490627884E-4</v>
      </c>
      <c r="BS52" s="111">
        <f t="shared" si="83"/>
        <v>6.7407245613561599E-4</v>
      </c>
      <c r="BT52" s="60">
        <f>IFERROR(BT17/$B52,".")</f>
        <v>527.36892031193588</v>
      </c>
      <c r="BU52" s="189">
        <f>IFERROR(BU17/$B52,0)</f>
        <v>1.6112605496507674E-11</v>
      </c>
      <c r="BV52" s="49">
        <f>IF(AP52=".",".",s_RadSpec!$E$17*BV17*$B$52)</f>
        <v>1.1134310192500001E-5</v>
      </c>
      <c r="BW52" s="49">
        <f>IF(AQ52=".",".",s_RadSpec!$H$17*BW17*$B$52)</f>
        <v>7.5389650262566122E-8</v>
      </c>
      <c r="BX52" s="49">
        <f>IF(AR52=".",".",s_RadSpec!$G$17*BX17*$B$52)</f>
        <v>2.144651378763901E-2</v>
      </c>
      <c r="BY52" s="49">
        <f>s_b2s!CC52</f>
        <v>5.0265843364041254E-4</v>
      </c>
      <c r="BZ52" s="49">
        <f>IF(AT52=".",".",s_RadSpec!$F$17*BZ17*$B$52)</f>
        <v>9.2785918270833344E-4</v>
      </c>
      <c r="CA52" s="49">
        <f>IF(AU52=".",".",s_RadSpec!$F$17*CA17*$B$52)</f>
        <v>8.1651608078333335E-4</v>
      </c>
      <c r="CB52" s="49">
        <f>IF(AV52=".",".",s_RadSpec!$F$17*CB17*$B$52)</f>
        <v>3.4714731490984225E-4</v>
      </c>
      <c r="CC52" s="49">
        <f>IF(AW52=".",".",s_RadSpec!$F$17*CC17*$B$52)</f>
        <v>9.1481261904119323E-5</v>
      </c>
      <c r="CD52" s="49" t="str">
        <f>IF(AX52=".",".",s_RadSpec!$F$17*CD17*$B$52)</f>
        <v>.</v>
      </c>
      <c r="CE52" s="49" t="str">
        <f>IF(AY52=".",".",s_RadSpec!$F$17*CE17*$B$52)</f>
        <v>.</v>
      </c>
      <c r="CF52" s="49" t="str">
        <f>IF(AZ52=".",".",s_RadSpec!$F$17*CF17*$B$52)</f>
        <v>.</v>
      </c>
      <c r="CG52" s="49" t="str">
        <f>IF(BA52=".",".",s_RadSpec!$F$17*CG17*$B$52)</f>
        <v>.</v>
      </c>
      <c r="CH52" s="49">
        <f>IF(BB52=".",".",s_RadSpec!$F$17*CH17*$B$52)</f>
        <v>2.8888819548669254E-3</v>
      </c>
      <c r="CI52" s="49">
        <f>IF(BC52=".",".",s_RadSpec!$F$17*CI17*$B$52)</f>
        <v>3.521065622656971E-3</v>
      </c>
      <c r="CJ52" s="49">
        <f>IF(BD52=".",".",s_RadSpec!$F$17*CJ17*$B$52)</f>
        <v>1.6851811403390399E-2</v>
      </c>
      <c r="CK52" s="49">
        <f t="shared" si="302"/>
        <v>4.7405144742342115E-2</v>
      </c>
      <c r="CL52" s="60">
        <f>IFERROR(CL17/$B52,".")</f>
        <v>24698.431716518749</v>
      </c>
      <c r="CM52" s="60">
        <f>IFERROR(CM17,".")</f>
        <v>12404.49794598369</v>
      </c>
      <c r="CN52" s="60">
        <f t="shared" ref="CN52:CZ52" si="319">IFERROR(CN17/$B52,".")</f>
        <v>70764.519734131667</v>
      </c>
      <c r="CO52" s="60">
        <f t="shared" si="319"/>
        <v>83162.65780339425</v>
      </c>
      <c r="CP52" s="60">
        <f t="shared" si="319"/>
        <v>179624.95793831817</v>
      </c>
      <c r="CQ52" s="60">
        <f t="shared" si="319"/>
        <v>204119.27038445248</v>
      </c>
      <c r="CR52" s="60">
        <f t="shared" si="319"/>
        <v>1283035413.8451297</v>
      </c>
      <c r="CS52" s="60">
        <f t="shared" si="319"/>
        <v>4868781754.6438866</v>
      </c>
      <c r="CT52" s="60" t="str">
        <f t="shared" si="319"/>
        <v>.</v>
      </c>
      <c r="CU52" s="60" t="str">
        <f t="shared" si="319"/>
        <v>.</v>
      </c>
      <c r="CV52" s="60" t="str">
        <f t="shared" si="319"/>
        <v>.</v>
      </c>
      <c r="CW52" s="60" t="str">
        <f t="shared" si="319"/>
        <v>.</v>
      </c>
      <c r="CX52" s="60">
        <f t="shared" si="319"/>
        <v>154178088.89705643</v>
      </c>
      <c r="CY52" s="60">
        <f t="shared" si="319"/>
        <v>126496449.25233673</v>
      </c>
      <c r="CZ52" s="60">
        <f t="shared" si="319"/>
        <v>26430529.525209669</v>
      </c>
      <c r="DA52" s="111">
        <f t="shared" si="101"/>
        <v>4.0488400700000005E-5</v>
      </c>
      <c r="DB52" s="111">
        <f t="shared" si="102"/>
        <v>8.0615918867057285E-5</v>
      </c>
      <c r="DC52" s="111">
        <f t="shared" si="103"/>
        <v>1.4131375493779725E-5</v>
      </c>
      <c r="DD52" s="111">
        <f t="shared" si="104"/>
        <v>1.2024627716493993E-5</v>
      </c>
      <c r="DE52" s="111">
        <f t="shared" si="105"/>
        <v>5.5671550962500005E-6</v>
      </c>
      <c r="DF52" s="111">
        <f t="shared" si="106"/>
        <v>4.8990964847000005E-6</v>
      </c>
      <c r="DG52" s="111">
        <f t="shared" si="107"/>
        <v>7.7940171347500011E-10</v>
      </c>
      <c r="DH52" s="111">
        <f t="shared" si="108"/>
        <v>2.0539018801699035E-10</v>
      </c>
      <c r="DI52" s="111" t="str">
        <f t="shared" si="109"/>
        <v>.</v>
      </c>
      <c r="DJ52" s="111" t="str">
        <f t="shared" si="110"/>
        <v>.</v>
      </c>
      <c r="DK52" s="111" t="str">
        <f t="shared" si="111"/>
        <v>.</v>
      </c>
      <c r="DL52" s="111" t="str">
        <f t="shared" si="112"/>
        <v>.</v>
      </c>
      <c r="DM52" s="111">
        <f t="shared" si="113"/>
        <v>6.4860059373786412E-9</v>
      </c>
      <c r="DN52" s="111">
        <f t="shared" si="114"/>
        <v>7.9053602366750023E-9</v>
      </c>
      <c r="DO52" s="111">
        <f t="shared" si="115"/>
        <v>3.7835034634708745E-8</v>
      </c>
      <c r="DP52" s="60">
        <f>IFERROR(DP17/$B52,".")</f>
        <v>6338.5952442733924</v>
      </c>
      <c r="DQ52" s="189">
        <f t="shared" ref="DQ52" si="320">IFERROR(DQ17/$B52,0)</f>
        <v>1.9366193311620777E-13</v>
      </c>
      <c r="DR52" s="49">
        <f>IF(CL52=".",".",s_RadSpec!$I$17*DR17*$B$52)</f>
        <v>1.0122100175000001E-3</v>
      </c>
      <c r="DS52" s="49">
        <f>IF(CM52=".",".",s_RadSpec!$H$17*DS17)</f>
        <v>2.015397971676432E-3</v>
      </c>
      <c r="DT52" s="49">
        <f>IF(CN52=".",".",s_RadSpec!$M$17*DT17*$B$52)</f>
        <v>3.5328438734449316E-4</v>
      </c>
      <c r="DU52" s="49">
        <f>s_b2w!CC52</f>
        <v>3.0061569291234985E-4</v>
      </c>
      <c r="DV52" s="49">
        <f>IF(CP52=".",".",s_RadSpec!$F$17*DV17*$B$52)</f>
        <v>1.3917887740625001E-4</v>
      </c>
      <c r="DW52" s="49">
        <f>IF(CQ52=".",".",s_RadSpec!$F$17*DW17*$B$52)</f>
        <v>1.224774121175E-4</v>
      </c>
      <c r="DX52" s="49">
        <f>IF(CR52=".",".",s_RadSpec!$F$17*DX17*$B$52)</f>
        <v>1.9485042836875E-8</v>
      </c>
      <c r="DY52" s="49">
        <f>IF(CS52=".",".",s_RadSpec!$F$17*DY17*$B$52)</f>
        <v>5.1347547004247578E-9</v>
      </c>
      <c r="DZ52" s="49" t="str">
        <f>IF(CT52=".",".",s_RadSpec!$F$17*DZ17*$B$52)</f>
        <v>.</v>
      </c>
      <c r="EA52" s="49" t="str">
        <f>IF(CU52=".",".",s_RadSpec!$F$17*EA17*$B$52)</f>
        <v>.</v>
      </c>
      <c r="EB52" s="49" t="str">
        <f>IF(CV52=".",".",s_RadSpec!$F$17*EB17*$B$52)</f>
        <v>.</v>
      </c>
      <c r="EC52" s="49" t="str">
        <f>IF(CW52=".",".",s_RadSpec!$F$17*EC17*$B$52)</f>
        <v>.</v>
      </c>
      <c r="ED52" s="49">
        <f>IF(CX52=".",".",s_RadSpec!$F$17*ED17*$B$52)</f>
        <v>1.62150148434466E-7</v>
      </c>
      <c r="EE52" s="49">
        <f>IF(CY52=".",".",s_RadSpec!$F$17*EE17*$B$52)</f>
        <v>1.97634005916875E-7</v>
      </c>
      <c r="EF52" s="49">
        <f>IF(CZ52=".",".",s_RadSpec!$F$17*EF17*$B$52)</f>
        <v>9.4587586586771858E-7</v>
      </c>
      <c r="EG52" s="49">
        <f t="shared" si="305"/>
        <v>3.9444946387747811E-3</v>
      </c>
      <c r="EH52" s="60">
        <f>IFERROR(EH17/$B52,".")</f>
        <v>1070.3885384400887</v>
      </c>
      <c r="EI52" s="60">
        <f>IFERROR(EI17/$B52,".")</f>
        <v>245827.01630163216</v>
      </c>
      <c r="EJ52" s="60">
        <f>IFERROR(EJ17/$B52,".")</f>
        <v>1065.7480213639128</v>
      </c>
      <c r="EK52" s="189">
        <f t="shared" ref="EK52" si="321">IFERROR(EK17/$B52,0)</f>
        <v>3.2561603017415629E-14</v>
      </c>
      <c r="EL52" s="49">
        <f>IF(EH52=".",".",s_RadSpec!$H$17*EL17*$B$52)</f>
        <v>2.3356004947916665E-2</v>
      </c>
      <c r="EM52" s="49">
        <f>IF(EI52=".",".",s_RadSpec!$K$17*EM17*$B$52)</f>
        <v>1.0169752851462329E-4</v>
      </c>
      <c r="EN52" s="49">
        <f t="shared" si="155"/>
        <v>2.3457702476431287E-2</v>
      </c>
    </row>
    <row r="53" spans="1:144" x14ac:dyDescent="0.25">
      <c r="A53" s="77" t="s">
        <v>1074</v>
      </c>
      <c r="B53" s="42">
        <v>2.0000000000000001E-4</v>
      </c>
      <c r="C53" s="238"/>
      <c r="D53" s="60" t="str">
        <f t="shared" ref="D53:O53" si="322">IFERROR(D5/$B53,".")</f>
        <v>.</v>
      </c>
      <c r="E53" s="60" t="str">
        <f t="shared" si="322"/>
        <v>.</v>
      </c>
      <c r="F53" s="60" t="str">
        <f t="shared" si="322"/>
        <v>.</v>
      </c>
      <c r="G53" s="60" t="str">
        <f t="shared" si="322"/>
        <v>.</v>
      </c>
      <c r="H53" s="60" t="str">
        <f t="shared" si="322"/>
        <v>.</v>
      </c>
      <c r="I53" s="60" t="str">
        <f t="shared" si="322"/>
        <v>.</v>
      </c>
      <c r="J53" s="60" t="str">
        <f t="shared" si="322"/>
        <v>.</v>
      </c>
      <c r="K53" s="60" t="str">
        <f t="shared" si="322"/>
        <v>.</v>
      </c>
      <c r="L53" s="60" t="str">
        <f t="shared" si="322"/>
        <v>.</v>
      </c>
      <c r="M53" s="60" t="str">
        <f t="shared" si="322"/>
        <v>.</v>
      </c>
      <c r="N53" s="60" t="str">
        <f t="shared" si="322"/>
        <v>.</v>
      </c>
      <c r="O53" s="60" t="str">
        <f t="shared" si="322"/>
        <v>.</v>
      </c>
      <c r="P53" s="111" t="str">
        <f t="shared" si="300"/>
        <v>.</v>
      </c>
      <c r="Q53" s="111" t="str">
        <f t="shared" si="300"/>
        <v>.</v>
      </c>
      <c r="R53" s="111" t="str">
        <f t="shared" si="300"/>
        <v>.</v>
      </c>
      <c r="S53" s="111" t="str">
        <f t="shared" si="300"/>
        <v>.</v>
      </c>
      <c r="T53" s="111" t="str">
        <f t="shared" si="300"/>
        <v>.</v>
      </c>
      <c r="U53" s="111" t="str">
        <f t="shared" si="300"/>
        <v>.</v>
      </c>
      <c r="V53" s="111" t="str">
        <f t="shared" si="300"/>
        <v>.</v>
      </c>
      <c r="W53" s="111" t="str">
        <f t="shared" si="300"/>
        <v>.</v>
      </c>
      <c r="X53" s="111" t="str">
        <f t="shared" si="59"/>
        <v>.</v>
      </c>
      <c r="Y53" s="111" t="str">
        <f t="shared" si="59"/>
        <v>.</v>
      </c>
      <c r="Z53" s="111" t="str">
        <f t="shared" si="59"/>
        <v>.</v>
      </c>
      <c r="AA53" s="111" t="str">
        <f t="shared" si="59"/>
        <v>.</v>
      </c>
      <c r="AB53" s="60" t="str">
        <f>IFERROR(AB5/$B53,".")</f>
        <v>.</v>
      </c>
      <c r="AC53" s="189">
        <f>IFERROR(AC5/$B53,0)</f>
        <v>0</v>
      </c>
      <c r="AD53" s="49" t="str">
        <f>s_dir!BC53</f>
        <v>.</v>
      </c>
      <c r="AE53" s="49" t="str">
        <f>IF(E53=".",".",s_RadSpec!$F$5*AE5*$B$53)</f>
        <v>.</v>
      </c>
      <c r="AF53" s="49" t="str">
        <f>IF(F53=".",".",s_RadSpec!$F$5*AF5*$B$53)</f>
        <v>.</v>
      </c>
      <c r="AG53" s="49" t="str">
        <f>IF(G53=".",".",s_RadSpec!$F$5*AG5*$B$53)</f>
        <v>.</v>
      </c>
      <c r="AH53" s="49" t="str">
        <f>IF(H53=".",".",s_RadSpec!$F$5*AH5*$B$53)</f>
        <v>.</v>
      </c>
      <c r="AI53" s="49" t="str">
        <f>IF(I53=".",".",s_RadSpec!$F$5*AI5*$B$53)</f>
        <v>.</v>
      </c>
      <c r="AJ53" s="49" t="str">
        <f>IF(J53=".",".",s_RadSpec!$F$5*AJ5*$B$53)</f>
        <v>.</v>
      </c>
      <c r="AK53" s="49" t="str">
        <f>IF(K53=".",".",s_RadSpec!$F$5*AK5*$B$53)</f>
        <v>.</v>
      </c>
      <c r="AL53" s="49" t="str">
        <f>IF(L53=".",".",s_RadSpec!$F$5*AL5*$B$53)</f>
        <v>.</v>
      </c>
      <c r="AM53" s="49" t="str">
        <f>IF(M53=".",".",s_RadSpec!$F$5*AM5*$B$53)</f>
        <v>.</v>
      </c>
      <c r="AN53" s="49" t="str">
        <f>IF(N53=".",".",s_RadSpec!$F$5*AN5*$B$53)</f>
        <v>.</v>
      </c>
      <c r="AO53" s="49" t="str">
        <f>IF(O53=".",".",s_RadSpec!$F$5*AO5*$B$53)</f>
        <v>.</v>
      </c>
      <c r="AP53" s="60" t="str">
        <f t="shared" ref="AP53:BD53" si="323">IFERROR(AP5/$B53,".")</f>
        <v>.</v>
      </c>
      <c r="AQ53" s="60" t="str">
        <f t="shared" si="323"/>
        <v>.</v>
      </c>
      <c r="AR53" s="60" t="str">
        <f t="shared" si="323"/>
        <v>.</v>
      </c>
      <c r="AS53" s="60" t="str">
        <f t="shared" si="323"/>
        <v>.</v>
      </c>
      <c r="AT53" s="60" t="str">
        <f t="shared" si="323"/>
        <v>.</v>
      </c>
      <c r="AU53" s="60" t="str">
        <f t="shared" si="323"/>
        <v>.</v>
      </c>
      <c r="AV53" s="60" t="str">
        <f t="shared" si="323"/>
        <v>.</v>
      </c>
      <c r="AW53" s="60" t="str">
        <f t="shared" si="323"/>
        <v>.</v>
      </c>
      <c r="AX53" s="60" t="str">
        <f t="shared" si="323"/>
        <v>.</v>
      </c>
      <c r="AY53" s="60" t="str">
        <f t="shared" si="323"/>
        <v>.</v>
      </c>
      <c r="AZ53" s="60" t="str">
        <f t="shared" si="323"/>
        <v>.</v>
      </c>
      <c r="BA53" s="60" t="str">
        <f t="shared" si="323"/>
        <v>.</v>
      </c>
      <c r="BB53" s="60" t="str">
        <f t="shared" si="323"/>
        <v>.</v>
      </c>
      <c r="BC53" s="60" t="str">
        <f t="shared" si="323"/>
        <v>.</v>
      </c>
      <c r="BD53" s="60" t="str">
        <f t="shared" si="323"/>
        <v>.</v>
      </c>
      <c r="BE53" s="111" t="str">
        <f t="shared" si="69"/>
        <v>.</v>
      </c>
      <c r="BF53" s="111" t="str">
        <f t="shared" si="70"/>
        <v>.</v>
      </c>
      <c r="BG53" s="111" t="str">
        <f t="shared" si="71"/>
        <v>.</v>
      </c>
      <c r="BH53" s="111" t="str">
        <f t="shared" si="72"/>
        <v>.</v>
      </c>
      <c r="BI53" s="111" t="str">
        <f t="shared" si="73"/>
        <v>.</v>
      </c>
      <c r="BJ53" s="111" t="str">
        <f t="shared" si="74"/>
        <v>.</v>
      </c>
      <c r="BK53" s="111" t="str">
        <f t="shared" si="75"/>
        <v>.</v>
      </c>
      <c r="BL53" s="111" t="str">
        <f t="shared" si="76"/>
        <v>.</v>
      </c>
      <c r="BM53" s="111" t="str">
        <f t="shared" si="77"/>
        <v>.</v>
      </c>
      <c r="BN53" s="111" t="str">
        <f t="shared" si="78"/>
        <v>.</v>
      </c>
      <c r="BO53" s="111" t="str">
        <f t="shared" si="79"/>
        <v>.</v>
      </c>
      <c r="BP53" s="111" t="str">
        <f t="shared" si="80"/>
        <v>.</v>
      </c>
      <c r="BQ53" s="111" t="str">
        <f t="shared" si="81"/>
        <v>.</v>
      </c>
      <c r="BR53" s="111" t="str">
        <f t="shared" si="82"/>
        <v>.</v>
      </c>
      <c r="BS53" s="111" t="str">
        <f t="shared" si="83"/>
        <v>.</v>
      </c>
      <c r="BT53" s="60" t="str">
        <f>IFERROR(BT5/$B53,".")</f>
        <v>.</v>
      </c>
      <c r="BU53" s="189">
        <f>IFERROR(BU5/$B53,0)</f>
        <v>0</v>
      </c>
      <c r="BV53" s="49" t="str">
        <f>IF(AP53=".",".",s_RadSpec!$E$5*BV5*$B$53)</f>
        <v>.</v>
      </c>
      <c r="BW53" s="49" t="str">
        <f>IF(AQ53=".",".",s_RadSpec!$H$5*BW5*$B$53)</f>
        <v>.</v>
      </c>
      <c r="BX53" s="49" t="str">
        <f>IF(AR53=".",".",s_RadSpec!$G$5*BX5*$B$53)</f>
        <v>.</v>
      </c>
      <c r="BY53" s="49" t="str">
        <f>s_b2s!CC53</f>
        <v>.</v>
      </c>
      <c r="BZ53" s="49" t="str">
        <f>IF(AT53=".",".",s_RadSpec!$F$5*BZ5*$B$53)</f>
        <v>.</v>
      </c>
      <c r="CA53" s="49" t="str">
        <f>IF(AU53=".",".",s_RadSpec!$F$5*CA5*$B$53)</f>
        <v>.</v>
      </c>
      <c r="CB53" s="49" t="str">
        <f>IF(AV53=".",".",s_RadSpec!$F$5*CB5*$B$53)</f>
        <v>.</v>
      </c>
      <c r="CC53" s="49" t="str">
        <f>IF(AW53=".",".",s_RadSpec!$F$5*CC5*$B$53)</f>
        <v>.</v>
      </c>
      <c r="CD53" s="49" t="str">
        <f>IF(AX53=".",".",s_RadSpec!$F$5*CD5*$B$53)</f>
        <v>.</v>
      </c>
      <c r="CE53" s="49" t="str">
        <f>IF(AY53=".",".",s_RadSpec!$F$5*CE5*$B$53)</f>
        <v>.</v>
      </c>
      <c r="CF53" s="49" t="str">
        <f>IF(AZ53=".",".",s_RadSpec!$F$5*CF5*$B$53)</f>
        <v>.</v>
      </c>
      <c r="CG53" s="49" t="str">
        <f>IF(BA53=".",".",s_RadSpec!$F$5*CG5*$B$53)</f>
        <v>.</v>
      </c>
      <c r="CH53" s="49" t="str">
        <f>IF(BB53=".",".",s_RadSpec!$F$5*CH5*$B$53)</f>
        <v>.</v>
      </c>
      <c r="CI53" s="49" t="str">
        <f>IF(BC53=".",".",s_RadSpec!$F$5*CI5*$B$53)</f>
        <v>.</v>
      </c>
      <c r="CJ53" s="49" t="str">
        <f>IF(BD53=".",".",s_RadSpec!$F$5*CJ5*$B$53)</f>
        <v>.</v>
      </c>
      <c r="CK53" s="49">
        <f t="shared" si="302"/>
        <v>0</v>
      </c>
      <c r="CL53" s="60" t="str">
        <f>IFERROR(CL5/$B53,".")</f>
        <v>.</v>
      </c>
      <c r="CM53" s="60" t="str">
        <f>IFERROR(CM5,".")</f>
        <v>.</v>
      </c>
      <c r="CN53" s="60">
        <f t="shared" ref="CN53:CZ53" si="324">IFERROR(CN5/$B53,".")</f>
        <v>6820335362429.8184</v>
      </c>
      <c r="CO53" s="60" t="str">
        <f t="shared" si="324"/>
        <v>.</v>
      </c>
      <c r="CP53" s="60" t="str">
        <f t="shared" si="324"/>
        <v>.</v>
      </c>
      <c r="CQ53" s="60" t="str">
        <f t="shared" si="324"/>
        <v>.</v>
      </c>
      <c r="CR53" s="60" t="str">
        <f t="shared" si="324"/>
        <v>.</v>
      </c>
      <c r="CS53" s="60" t="str">
        <f t="shared" si="324"/>
        <v>.</v>
      </c>
      <c r="CT53" s="60" t="str">
        <f t="shared" si="324"/>
        <v>.</v>
      </c>
      <c r="CU53" s="60" t="str">
        <f t="shared" si="324"/>
        <v>.</v>
      </c>
      <c r="CV53" s="60" t="str">
        <f t="shared" si="324"/>
        <v>.</v>
      </c>
      <c r="CW53" s="60" t="str">
        <f t="shared" si="324"/>
        <v>.</v>
      </c>
      <c r="CX53" s="60" t="str">
        <f t="shared" si="324"/>
        <v>.</v>
      </c>
      <c r="CY53" s="60" t="str">
        <f t="shared" si="324"/>
        <v>.</v>
      </c>
      <c r="CZ53" s="60" t="str">
        <f t="shared" si="324"/>
        <v>.</v>
      </c>
      <c r="DA53" s="111" t="str">
        <f t="shared" si="101"/>
        <v>.</v>
      </c>
      <c r="DB53" s="111" t="str">
        <f t="shared" si="102"/>
        <v>.</v>
      </c>
      <c r="DC53" s="111">
        <f t="shared" si="103"/>
        <v>1.4662035616438356E-13</v>
      </c>
      <c r="DD53" s="111" t="str">
        <f t="shared" si="104"/>
        <v>.</v>
      </c>
      <c r="DE53" s="111" t="str">
        <f t="shared" si="105"/>
        <v>.</v>
      </c>
      <c r="DF53" s="111" t="str">
        <f t="shared" si="106"/>
        <v>.</v>
      </c>
      <c r="DG53" s="111" t="str">
        <f t="shared" si="107"/>
        <v>.</v>
      </c>
      <c r="DH53" s="111" t="str">
        <f t="shared" si="108"/>
        <v>.</v>
      </c>
      <c r="DI53" s="111" t="str">
        <f t="shared" si="109"/>
        <v>.</v>
      </c>
      <c r="DJ53" s="111" t="str">
        <f t="shared" si="110"/>
        <v>.</v>
      </c>
      <c r="DK53" s="111" t="str">
        <f t="shared" si="111"/>
        <v>.</v>
      </c>
      <c r="DL53" s="111" t="str">
        <f t="shared" si="112"/>
        <v>.</v>
      </c>
      <c r="DM53" s="111" t="str">
        <f t="shared" si="113"/>
        <v>.</v>
      </c>
      <c r="DN53" s="111" t="str">
        <f t="shared" si="114"/>
        <v>.</v>
      </c>
      <c r="DO53" s="111" t="str">
        <f t="shared" si="115"/>
        <v>.</v>
      </c>
      <c r="DP53" s="60">
        <f>IFERROR(DP5/$B53,".")</f>
        <v>6820335362429.8184</v>
      </c>
      <c r="DQ53" s="189">
        <f t="shared" ref="DQ53" si="325">IFERROR(DQ5/$B53,0)</f>
        <v>1.9801810812534069E-7</v>
      </c>
      <c r="DR53" s="49" t="str">
        <f>IF(CL53=".",".",s_RadSpec!$I$5*DR5*$B$53)</f>
        <v>.</v>
      </c>
      <c r="DS53" s="49" t="str">
        <f>IF(CM53=".",".",s_RadSpec!$H$5*DS5)</f>
        <v>.</v>
      </c>
      <c r="DT53" s="49">
        <f>IF(CN53=".",".",s_RadSpec!$M$5*DT5*$B$53)</f>
        <v>3.6655089041095892E-12</v>
      </c>
      <c r="DU53" s="49" t="str">
        <f>s_b2w!CC53</f>
        <v>.</v>
      </c>
      <c r="DV53" s="49" t="str">
        <f>IF(CP53=".",".",s_RadSpec!$F$5*DV5*$B$53)</f>
        <v>.</v>
      </c>
      <c r="DW53" s="49" t="str">
        <f>IF(CQ53=".",".",s_RadSpec!$F$5*DW5*$B$53)</f>
        <v>.</v>
      </c>
      <c r="DX53" s="49" t="str">
        <f>IF(CR53=".",".",s_RadSpec!$F$5*DX5*$B$53)</f>
        <v>.</v>
      </c>
      <c r="DY53" s="49" t="str">
        <f>IF(CS53=".",".",s_RadSpec!$F$5*DY5*$B$53)</f>
        <v>.</v>
      </c>
      <c r="DZ53" s="49" t="str">
        <f>IF(CT53=".",".",s_RadSpec!$F$5*DZ5*$B$53)</f>
        <v>.</v>
      </c>
      <c r="EA53" s="49" t="str">
        <f>IF(CU53=".",".",s_RadSpec!$F$5*EA5*$B$53)</f>
        <v>.</v>
      </c>
      <c r="EB53" s="49" t="str">
        <f>IF(CV53=".",".",s_RadSpec!$F$5*EB5*$B$53)</f>
        <v>.</v>
      </c>
      <c r="EC53" s="49" t="str">
        <f>IF(CW53=".",".",s_RadSpec!$F$5*EC5*$B$53)</f>
        <v>.</v>
      </c>
      <c r="ED53" s="49" t="str">
        <f>IF(CX53=".",".",s_RadSpec!$F$5*ED5*$B$53)</f>
        <v>.</v>
      </c>
      <c r="EE53" s="49" t="str">
        <f>IF(CY53=".",".",s_RadSpec!$F$5*EE5*$B$53)</f>
        <v>.</v>
      </c>
      <c r="EF53" s="49" t="str">
        <f>IF(CZ53=".",".",s_RadSpec!$F$5*EF5*$B$53)</f>
        <v>.</v>
      </c>
      <c r="EG53" s="49">
        <f t="shared" si="305"/>
        <v>3.6655089041095892E-12</v>
      </c>
      <c r="EH53" s="60" t="str">
        <f>IFERROR(EH5/$B53,".")</f>
        <v>.</v>
      </c>
      <c r="EI53" s="60">
        <f>IFERROR(EI5/$B53,".")</f>
        <v>13919051760060.852</v>
      </c>
      <c r="EJ53" s="60">
        <f>IFERROR(EJ5/$B53,".")</f>
        <v>13919051760060.852</v>
      </c>
      <c r="EK53" s="189">
        <f t="shared" ref="EK53" si="326">IFERROR(EK5/$B53,0)</f>
        <v>4.0411858801089931E-7</v>
      </c>
      <c r="EL53" s="49" t="str">
        <f>IF(EH53=".",".",s_RadSpec!$H$5*EL5*$B$53)</f>
        <v>.</v>
      </c>
      <c r="EM53" s="49">
        <f>IF(EI53=".",".",s_RadSpec!$K$5*EM5*$B$53)</f>
        <v>1.796099363013699E-12</v>
      </c>
      <c r="EN53" s="49">
        <f t="shared" si="155"/>
        <v>1.796099363013699E-12</v>
      </c>
    </row>
    <row r="54" spans="1:144" x14ac:dyDescent="0.25">
      <c r="A54" s="77" t="s">
        <v>1075</v>
      </c>
      <c r="B54" s="42">
        <v>0.99999979999999999</v>
      </c>
      <c r="C54" s="238"/>
      <c r="D54" s="60">
        <f t="shared" ref="D54:O54" si="327">IFERROR(D9/$B54,".")</f>
        <v>1499.0866067132681</v>
      </c>
      <c r="E54" s="60">
        <f t="shared" si="327"/>
        <v>5996.3464268530724</v>
      </c>
      <c r="F54" s="60">
        <f t="shared" si="327"/>
        <v>5996.3464268530724</v>
      </c>
      <c r="G54" s="60">
        <f t="shared" si="327"/>
        <v>5996.3464268530724</v>
      </c>
      <c r="H54" s="60">
        <f t="shared" si="327"/>
        <v>5996.3464268530724</v>
      </c>
      <c r="I54" s="60">
        <f t="shared" si="327"/>
        <v>5996.3464268530724</v>
      </c>
      <c r="J54" s="60">
        <f t="shared" si="327"/>
        <v>5996.3464268530724</v>
      </c>
      <c r="K54" s="60">
        <f t="shared" si="327"/>
        <v>5996.3464268530724</v>
      </c>
      <c r="L54" s="60">
        <f t="shared" si="327"/>
        <v>5996.3464268530724</v>
      </c>
      <c r="M54" s="60">
        <f t="shared" si="327"/>
        <v>5996.3464268530724</v>
      </c>
      <c r="N54" s="60">
        <f t="shared" si="327"/>
        <v>5996.3464268530724</v>
      </c>
      <c r="O54" s="60">
        <f t="shared" si="327"/>
        <v>5996.3464268530724</v>
      </c>
      <c r="P54" s="111">
        <f t="shared" si="300"/>
        <v>1.6676821664635003E-4</v>
      </c>
      <c r="Q54" s="111">
        <f t="shared" si="300"/>
        <v>1.6676821664635003E-4</v>
      </c>
      <c r="R54" s="111">
        <f t="shared" si="300"/>
        <v>1.6676821664635003E-4</v>
      </c>
      <c r="S54" s="111">
        <f t="shared" si="300"/>
        <v>1.6676821664635003E-4</v>
      </c>
      <c r="T54" s="111">
        <f t="shared" si="300"/>
        <v>1.6676821664635003E-4</v>
      </c>
      <c r="U54" s="111">
        <f t="shared" si="300"/>
        <v>1.6676821664635003E-4</v>
      </c>
      <c r="V54" s="111">
        <f t="shared" si="300"/>
        <v>1.6676821664635003E-4</v>
      </c>
      <c r="W54" s="111">
        <f t="shared" si="300"/>
        <v>1.6676821664635003E-4</v>
      </c>
      <c r="X54" s="111">
        <f t="shared" si="59"/>
        <v>1.6676821664635003E-4</v>
      </c>
      <c r="Y54" s="111">
        <f t="shared" si="59"/>
        <v>1.6676821664635003E-4</v>
      </c>
      <c r="Z54" s="111">
        <f t="shared" si="59"/>
        <v>1.6676821664635003E-4</v>
      </c>
      <c r="AA54" s="111">
        <f t="shared" si="59"/>
        <v>1.6676821664635003E-4</v>
      </c>
      <c r="AB54" s="60">
        <f>IFERROR(AB9/$B54,".")</f>
        <v>499.69553557108952</v>
      </c>
      <c r="AC54" s="189">
        <f>IFERROR(AC9/$B54,0)</f>
        <v>1.1336395627459123E-11</v>
      </c>
      <c r="AD54" s="49">
        <f>s_dir!BC54</f>
        <v>1.6676821664635001E-2</v>
      </c>
      <c r="AE54" s="49">
        <f>IF(E54=".",".",s_RadSpec!$F$9*AE9*$B$54)</f>
        <v>4.1692054161587494E-3</v>
      </c>
      <c r="AF54" s="49">
        <f>IF(F54=".",".",s_RadSpec!$F$9*AF9*$B$54)</f>
        <v>4.1692054161587494E-3</v>
      </c>
      <c r="AG54" s="49">
        <f>IF(G54=".",".",s_RadSpec!$F$9*AG9*$B$54)</f>
        <v>4.1692054161587494E-3</v>
      </c>
      <c r="AH54" s="49">
        <f>IF(H54=".",".",s_RadSpec!$F$9*AH9*$B$54)</f>
        <v>4.1692054161587494E-3</v>
      </c>
      <c r="AI54" s="49">
        <f>IF(I54=".",".",s_RadSpec!$F$9*AI9*$B$54)</f>
        <v>4.1692054161587494E-3</v>
      </c>
      <c r="AJ54" s="49">
        <f>IF(J54=".",".",s_RadSpec!$F$9*AJ9*$B$54)</f>
        <v>4.1692054161587494E-3</v>
      </c>
      <c r="AK54" s="49">
        <f>IF(K54=".",".",s_RadSpec!$F$9*AK9*$B$54)</f>
        <v>4.1692054161587494E-3</v>
      </c>
      <c r="AL54" s="49">
        <f>IF(L54=".",".",s_RadSpec!$F$9*AL9*$B$54)</f>
        <v>4.1692054161587494E-3</v>
      </c>
      <c r="AM54" s="49">
        <f>IF(M54=".",".",s_RadSpec!$F$9*AM9*$B$54)</f>
        <v>4.1692054161587494E-3</v>
      </c>
      <c r="AN54" s="49">
        <f>IF(N54=".",".",s_RadSpec!$F$9*AN9*$B$54)</f>
        <v>4.1692054161587494E-3</v>
      </c>
      <c r="AO54" s="49">
        <f>IF(O54=".",".",s_RadSpec!$F$9*AO9*$B$54)</f>
        <v>4.1692054161587494E-3</v>
      </c>
      <c r="AP54" s="60">
        <f t="shared" ref="AP54:BD54" si="328">IFERROR(AP9/$B54,".")</f>
        <v>2998173.2134265364</v>
      </c>
      <c r="AQ54" s="60">
        <f t="shared" si="328"/>
        <v>422130109.72578847</v>
      </c>
      <c r="AR54" s="60">
        <f t="shared" si="328"/>
        <v>59.303851637731775</v>
      </c>
      <c r="AS54" s="60">
        <f t="shared" si="328"/>
        <v>13207.811512892233</v>
      </c>
      <c r="AT54" s="60">
        <f t="shared" si="328"/>
        <v>191883.08565929832</v>
      </c>
      <c r="AU54" s="60" t="str">
        <f t="shared" si="328"/>
        <v>.</v>
      </c>
      <c r="AV54" s="60">
        <f t="shared" si="328"/>
        <v>19987.821422843575</v>
      </c>
      <c r="AW54" s="60">
        <f t="shared" si="328"/>
        <v>41174.912131057768</v>
      </c>
      <c r="AX54" s="60" t="str">
        <f t="shared" si="328"/>
        <v>.</v>
      </c>
      <c r="AY54" s="60" t="str">
        <f t="shared" si="328"/>
        <v>.</v>
      </c>
      <c r="AZ54" s="60" t="str">
        <f t="shared" si="328"/>
        <v>.</v>
      </c>
      <c r="BA54" s="60" t="str">
        <f t="shared" si="328"/>
        <v>.</v>
      </c>
      <c r="BB54" s="60" t="str">
        <f t="shared" si="328"/>
        <v>.</v>
      </c>
      <c r="BC54" s="60" t="str">
        <f t="shared" si="328"/>
        <v>.</v>
      </c>
      <c r="BD54" s="60" t="str">
        <f t="shared" si="328"/>
        <v>.</v>
      </c>
      <c r="BE54" s="111">
        <f t="shared" si="69"/>
        <v>3.335364332927E-7</v>
      </c>
      <c r="BF54" s="111">
        <f t="shared" si="70"/>
        <v>2.3689378629010617E-9</v>
      </c>
      <c r="BG54" s="111">
        <f t="shared" si="71"/>
        <v>1.6862311171771432E-2</v>
      </c>
      <c r="BH54" s="111">
        <f t="shared" si="72"/>
        <v>7.5712770357442899E-5</v>
      </c>
      <c r="BI54" s="111">
        <f t="shared" si="73"/>
        <v>5.2115067701984384E-6</v>
      </c>
      <c r="BJ54" s="111" t="str">
        <f t="shared" si="74"/>
        <v>.</v>
      </c>
      <c r="BK54" s="111">
        <f t="shared" si="75"/>
        <v>5.0030464993905001E-5</v>
      </c>
      <c r="BL54" s="111">
        <f t="shared" si="76"/>
        <v>2.4286633492186894E-5</v>
      </c>
      <c r="BM54" s="111" t="str">
        <f t="shared" si="77"/>
        <v>.</v>
      </c>
      <c r="BN54" s="111" t="str">
        <f t="shared" si="78"/>
        <v>.</v>
      </c>
      <c r="BO54" s="111" t="str">
        <f t="shared" si="79"/>
        <v>.</v>
      </c>
      <c r="BP54" s="111" t="str">
        <f t="shared" si="80"/>
        <v>.</v>
      </c>
      <c r="BQ54" s="111" t="str">
        <f t="shared" si="81"/>
        <v>.</v>
      </c>
      <c r="BR54" s="111" t="str">
        <f t="shared" si="82"/>
        <v>.</v>
      </c>
      <c r="BS54" s="111" t="str">
        <f t="shared" si="83"/>
        <v>.</v>
      </c>
      <c r="BT54" s="60">
        <f>IFERROR(BT9/$B54,".")</f>
        <v>58.761696715554265</v>
      </c>
      <c r="BU54" s="189">
        <f>IFERROR(BU9/$B54,0)</f>
        <v>1.3331034485768762E-12</v>
      </c>
      <c r="BV54" s="49">
        <f>IF(AP54=".",".",s_RadSpec!$E$9*BV9*$B$54)</f>
        <v>8.3384108323175001E-6</v>
      </c>
      <c r="BW54" s="49">
        <f>IF(AQ54=".",".",s_RadSpec!$H$9*BW9*$B$54)</f>
        <v>5.9223446572526526E-8</v>
      </c>
      <c r="BX54" s="49">
        <f>IF(AR54=".",".",s_RadSpec!$G$9*BX9*$B$54)</f>
        <v>0.42155777929428589</v>
      </c>
      <c r="BY54" s="49">
        <f>s_b2s!CC54</f>
        <v>1.8928192589360725E-3</v>
      </c>
      <c r="BZ54" s="49">
        <f>IF(AT54=".",".",s_RadSpec!$F$9*BZ9*$B$54)</f>
        <v>1.3028766925496092E-4</v>
      </c>
      <c r="CA54" s="49" t="str">
        <f>IF(AU54=".",".",s_RadSpec!$F$9*CA9*$B$54)</f>
        <v>.</v>
      </c>
      <c r="CB54" s="49">
        <f>IF(AV54=".",".",s_RadSpec!$F$9*CB9*$B$54)</f>
        <v>1.250761624847625E-3</v>
      </c>
      <c r="CC54" s="49">
        <f>IF(AW54=".",".",s_RadSpec!$F$9*CC9*$B$54)</f>
        <v>6.0716583730467243E-4</v>
      </c>
      <c r="CD54" s="49" t="str">
        <f>IF(AX54=".",".",s_RadSpec!$F$9*CD9*$B$54)</f>
        <v>.</v>
      </c>
      <c r="CE54" s="49" t="str">
        <f>IF(AY54=".",".",s_RadSpec!$F$9*CE9*$B$54)</f>
        <v>.</v>
      </c>
      <c r="CF54" s="49" t="str">
        <f>IF(AZ54=".",".",s_RadSpec!$F$9*CF9*$B$54)</f>
        <v>.</v>
      </c>
      <c r="CG54" s="49" t="str">
        <f>IF(BA54=".",".",s_RadSpec!$F$9*CG9*$B$54)</f>
        <v>.</v>
      </c>
      <c r="CH54" s="49" t="str">
        <f>IF(BB54=".",".",s_RadSpec!$F$9*CH9*$B$54)</f>
        <v>.</v>
      </c>
      <c r="CI54" s="49" t="str">
        <f>IF(BC54=".",".",s_RadSpec!$F$9*CI9*$B$54)</f>
        <v>.</v>
      </c>
      <c r="CJ54" s="49" t="str">
        <f>IF(BD54=".",".",s_RadSpec!$F$9*CJ9*$B$54)</f>
        <v>.</v>
      </c>
      <c r="CK54" s="49">
        <f t="shared" si="302"/>
        <v>0.42544721131890811</v>
      </c>
      <c r="CL54" s="60">
        <f>IFERROR(CL9/$B54,".")</f>
        <v>32979.9053476919</v>
      </c>
      <c r="CM54" s="60">
        <f>IFERROR(CM9,".")</f>
        <v>53534.634988975027</v>
      </c>
      <c r="CN54" s="60">
        <f t="shared" ref="CN54:CZ54" si="329">IFERROR(CN9/$B54,".")</f>
        <v>11071.975205352541</v>
      </c>
      <c r="CO54" s="60">
        <f t="shared" si="329"/>
        <v>47489.222439220706</v>
      </c>
      <c r="CP54" s="60">
        <f t="shared" si="329"/>
        <v>399756.42845687148</v>
      </c>
      <c r="CQ54" s="60" t="str">
        <f t="shared" si="329"/>
        <v>.</v>
      </c>
      <c r="CR54" s="60">
        <f t="shared" si="329"/>
        <v>599634642.68530715</v>
      </c>
      <c r="CS54" s="60">
        <f t="shared" si="329"/>
        <v>1235247363.9317329</v>
      </c>
      <c r="CT54" s="60" t="str">
        <f t="shared" si="329"/>
        <v>.</v>
      </c>
      <c r="CU54" s="60" t="str">
        <f t="shared" si="329"/>
        <v>.</v>
      </c>
      <c r="CV54" s="60" t="str">
        <f t="shared" si="329"/>
        <v>.</v>
      </c>
      <c r="CW54" s="60" t="str">
        <f t="shared" si="329"/>
        <v>.</v>
      </c>
      <c r="CX54" s="60" t="str">
        <f t="shared" si="329"/>
        <v>.</v>
      </c>
      <c r="CY54" s="60" t="str">
        <f t="shared" si="329"/>
        <v>.</v>
      </c>
      <c r="CZ54" s="60" t="str">
        <f t="shared" si="329"/>
        <v>.</v>
      </c>
      <c r="DA54" s="111">
        <f t="shared" si="101"/>
        <v>3.0321493935700002E-5</v>
      </c>
      <c r="DB54" s="111">
        <f t="shared" si="102"/>
        <v>1.8679495997421874E-5</v>
      </c>
      <c r="DC54" s="111">
        <f t="shared" si="103"/>
        <v>9.0318121333632376E-5</v>
      </c>
      <c r="DD54" s="111">
        <f t="shared" si="104"/>
        <v>2.1057409421260887E-5</v>
      </c>
      <c r="DE54" s="111">
        <f t="shared" si="105"/>
        <v>2.5015232496952502E-6</v>
      </c>
      <c r="DF54" s="111" t="str">
        <f t="shared" si="106"/>
        <v>.</v>
      </c>
      <c r="DG54" s="111">
        <f t="shared" si="107"/>
        <v>1.6676821664635005E-9</v>
      </c>
      <c r="DH54" s="111">
        <f t="shared" si="108"/>
        <v>8.0955444973956325E-10</v>
      </c>
      <c r="DI54" s="111" t="str">
        <f t="shared" si="109"/>
        <v>.</v>
      </c>
      <c r="DJ54" s="111" t="str">
        <f t="shared" si="110"/>
        <v>.</v>
      </c>
      <c r="DK54" s="111" t="str">
        <f t="shared" si="111"/>
        <v>.</v>
      </c>
      <c r="DL54" s="111" t="str">
        <f t="shared" si="112"/>
        <v>.</v>
      </c>
      <c r="DM54" s="111" t="str">
        <f t="shared" si="113"/>
        <v>.</v>
      </c>
      <c r="DN54" s="111" t="str">
        <f t="shared" si="114"/>
        <v>.</v>
      </c>
      <c r="DO54" s="111" t="str">
        <f t="shared" si="115"/>
        <v>.</v>
      </c>
      <c r="DP54" s="60">
        <f>IFERROR(DP9/$B54,".")</f>
        <v>6139.4696905848386</v>
      </c>
      <c r="DQ54" s="189">
        <f t="shared" ref="DQ54" si="330">IFERROR(DQ9/$B54,0)</f>
        <v>1.3928372859229232E-13</v>
      </c>
      <c r="DR54" s="49">
        <f>IF(CL54=".",".",s_RadSpec!$I$9*DR9*$B$54)</f>
        <v>7.580373483925E-4</v>
      </c>
      <c r="DS54" s="49">
        <f>IF(CM54=".",".",s_RadSpec!$H$9*DS9)</f>
        <v>4.6698739993554684E-4</v>
      </c>
      <c r="DT54" s="49">
        <f>IF(CN54=".",".",s_RadSpec!$M$9*DT9*$B$54)</f>
        <v>2.2579530333408093E-3</v>
      </c>
      <c r="DU54" s="49">
        <f>s_b2w!CC54</f>
        <v>5.2643523553152225E-4</v>
      </c>
      <c r="DV54" s="49">
        <f>IF(CP54=".",".",s_RadSpec!$F$9*DV9*$B$54)</f>
        <v>6.2538081242381261E-5</v>
      </c>
      <c r="DW54" s="49" t="str">
        <f>IF(CQ54=".",".",s_RadSpec!$F$9*DW9*$B$54)</f>
        <v>.</v>
      </c>
      <c r="DX54" s="49">
        <f>IF(CR54=".",".",s_RadSpec!$F$9*DX9*$B$54)</f>
        <v>4.16920541615875E-8</v>
      </c>
      <c r="DY54" s="49">
        <f>IF(CS54=".",".",s_RadSpec!$F$9*DY9*$B$54)</f>
        <v>2.0238861243489079E-8</v>
      </c>
      <c r="DZ54" s="49" t="str">
        <f>IF(CT54=".",".",s_RadSpec!$F$9*DZ9*$B$54)</f>
        <v>.</v>
      </c>
      <c r="EA54" s="49" t="str">
        <f>IF(CU54=".",".",s_RadSpec!$F$9*EA9*$B$54)</f>
        <v>.</v>
      </c>
      <c r="EB54" s="49" t="str">
        <f>IF(CV54=".",".",s_RadSpec!$F$9*EB9*$B$54)</f>
        <v>.</v>
      </c>
      <c r="EC54" s="49" t="str">
        <f>IF(CW54=".",".",s_RadSpec!$F$9*EC9*$B$54)</f>
        <v>.</v>
      </c>
      <c r="ED54" s="49" t="str">
        <f>IF(CX54=".",".",s_RadSpec!$F$9*ED9*$B$54)</f>
        <v>.</v>
      </c>
      <c r="EE54" s="49" t="str">
        <f>IF(CY54=".",".",s_RadSpec!$F$9*EE9*$B$54)</f>
        <v>.</v>
      </c>
      <c r="EF54" s="49" t="str">
        <f>IF(CZ54=".",".",s_RadSpec!$F$9*EF9*$B$54)</f>
        <v>.</v>
      </c>
      <c r="EG54" s="49">
        <f t="shared" si="305"/>
        <v>4.0720130293581637E-3</v>
      </c>
      <c r="EH54" s="60">
        <f>IFERROR(EH9/$B54,".")</f>
        <v>1362.5721268895584</v>
      </c>
      <c r="EI54" s="60">
        <f>IFERROR(EI9/$B54,".")</f>
        <v>38370.389459899663</v>
      </c>
      <c r="EJ54" s="60">
        <f>IFERROR(EJ9/$B54,".")</f>
        <v>1315.8451091483578</v>
      </c>
      <c r="EK54" s="189">
        <f t="shared" ref="EK54" si="331">IFERROR(EK9/$B54,0)</f>
        <v>2.9852059263876985E-14</v>
      </c>
      <c r="EL54" s="49">
        <f>IF(EH54=".",".",s_RadSpec!$H$9*EL9*$B$54)</f>
        <v>1.8347652580468745E-2</v>
      </c>
      <c r="EM54" s="49">
        <f>IF(EI54=".",".",s_RadSpec!$K$9*EM9*$B$54)</f>
        <v>6.5154407739663792E-4</v>
      </c>
      <c r="EN54" s="49">
        <f t="shared" si="155"/>
        <v>1.8999196657865383E-2</v>
      </c>
    </row>
    <row r="55" spans="1:144" x14ac:dyDescent="0.25">
      <c r="A55" s="77" t="s">
        <v>1076</v>
      </c>
      <c r="B55" s="42">
        <v>1.9999999999999999E-7</v>
      </c>
      <c r="C55" s="238"/>
      <c r="D55" s="60" t="str">
        <f t="shared" ref="D55:O55" si="332">IFERROR(D24/$B55,".")</f>
        <v>.</v>
      </c>
      <c r="E55" s="60" t="str">
        <f t="shared" si="332"/>
        <v>.</v>
      </c>
      <c r="F55" s="60" t="str">
        <f t="shared" si="332"/>
        <v>.</v>
      </c>
      <c r="G55" s="60" t="str">
        <f t="shared" si="332"/>
        <v>.</v>
      </c>
      <c r="H55" s="60" t="str">
        <f t="shared" si="332"/>
        <v>.</v>
      </c>
      <c r="I55" s="60" t="str">
        <f t="shared" si="332"/>
        <v>.</v>
      </c>
      <c r="J55" s="60" t="str">
        <f t="shared" si="332"/>
        <v>.</v>
      </c>
      <c r="K55" s="60" t="str">
        <f t="shared" si="332"/>
        <v>.</v>
      </c>
      <c r="L55" s="60" t="str">
        <f t="shared" si="332"/>
        <v>.</v>
      </c>
      <c r="M55" s="60" t="str">
        <f t="shared" si="332"/>
        <v>.</v>
      </c>
      <c r="N55" s="60" t="str">
        <f t="shared" si="332"/>
        <v>.</v>
      </c>
      <c r="O55" s="60" t="str">
        <f t="shared" si="332"/>
        <v>.</v>
      </c>
      <c r="P55" s="111" t="str">
        <f t="shared" si="300"/>
        <v>.</v>
      </c>
      <c r="Q55" s="111" t="str">
        <f t="shared" si="300"/>
        <v>.</v>
      </c>
      <c r="R55" s="111" t="str">
        <f t="shared" si="300"/>
        <v>.</v>
      </c>
      <c r="S55" s="111" t="str">
        <f t="shared" si="300"/>
        <v>.</v>
      </c>
      <c r="T55" s="111" t="str">
        <f t="shared" si="300"/>
        <v>.</v>
      </c>
      <c r="U55" s="111" t="str">
        <f t="shared" si="300"/>
        <v>.</v>
      </c>
      <c r="V55" s="111" t="str">
        <f t="shared" si="300"/>
        <v>.</v>
      </c>
      <c r="W55" s="111" t="str">
        <f t="shared" si="300"/>
        <v>.</v>
      </c>
      <c r="X55" s="111" t="str">
        <f t="shared" si="59"/>
        <v>.</v>
      </c>
      <c r="Y55" s="111" t="str">
        <f t="shared" si="59"/>
        <v>.</v>
      </c>
      <c r="Z55" s="111" t="str">
        <f t="shared" si="59"/>
        <v>.</v>
      </c>
      <c r="AA55" s="111" t="str">
        <f t="shared" si="59"/>
        <v>.</v>
      </c>
      <c r="AB55" s="60" t="str">
        <f>IFERROR(AB24/$B55,".")</f>
        <v>.</v>
      </c>
      <c r="AC55" s="189">
        <f>IFERROR(AC24/$B55,0)</f>
        <v>0</v>
      </c>
      <c r="AD55" s="49" t="str">
        <f>s_dir!BC55</f>
        <v>.</v>
      </c>
      <c r="AE55" s="49" t="str">
        <f>IF(E55=".",".",s_RadSpec!$F$24*AE24*$B$55)</f>
        <v>.</v>
      </c>
      <c r="AF55" s="49" t="str">
        <f>IF(F55=".",".",s_RadSpec!$F$24*AF24*$B$55)</f>
        <v>.</v>
      </c>
      <c r="AG55" s="49" t="str">
        <f>IF(G55=".",".",s_RadSpec!$F$24*AG24*$B$55)</f>
        <v>.</v>
      </c>
      <c r="AH55" s="49" t="str">
        <f>IF(H55=".",".",s_RadSpec!$F$24*AH24*$B$55)</f>
        <v>.</v>
      </c>
      <c r="AI55" s="49" t="str">
        <f>IF(I55=".",".",s_RadSpec!$F$24*AI24*$B$55)</f>
        <v>.</v>
      </c>
      <c r="AJ55" s="49" t="str">
        <f>IF(J55=".",".",s_RadSpec!$F$24*AJ24*$B$55)</f>
        <v>.</v>
      </c>
      <c r="AK55" s="49" t="str">
        <f>IF(K55=".",".",s_RadSpec!$F$24*AK24*$B$55)</f>
        <v>.</v>
      </c>
      <c r="AL55" s="49" t="str">
        <f>IF(L55=".",".",s_RadSpec!$F$24*AL24*$B$55)</f>
        <v>.</v>
      </c>
      <c r="AM55" s="49" t="str">
        <f>IF(M55=".",".",s_RadSpec!$F$24*AM24*$B$55)</f>
        <v>.</v>
      </c>
      <c r="AN55" s="49" t="str">
        <f>IF(N55=".",".",s_RadSpec!$F$24*AN24*$B$55)</f>
        <v>.</v>
      </c>
      <c r="AO55" s="49" t="str">
        <f>IF(O55=".",".",s_RadSpec!$F$24*AO24*$B$55)</f>
        <v>.</v>
      </c>
      <c r="AP55" s="60" t="str">
        <f t="shared" ref="AP55:BD55" si="333">IFERROR(AP24/$B55,".")</f>
        <v>.</v>
      </c>
      <c r="AQ55" s="60" t="str">
        <f t="shared" si="333"/>
        <v>.</v>
      </c>
      <c r="AR55" s="60">
        <f t="shared" si="333"/>
        <v>1122303047253.1309</v>
      </c>
      <c r="AS55" s="60" t="str">
        <f t="shared" si="333"/>
        <v>.</v>
      </c>
      <c r="AT55" s="60" t="str">
        <f t="shared" si="333"/>
        <v>.</v>
      </c>
      <c r="AU55" s="60" t="str">
        <f t="shared" si="333"/>
        <v>.</v>
      </c>
      <c r="AV55" s="60" t="str">
        <f t="shared" si="333"/>
        <v>.</v>
      </c>
      <c r="AW55" s="60" t="str">
        <f t="shared" si="333"/>
        <v>.</v>
      </c>
      <c r="AX55" s="60" t="str">
        <f t="shared" si="333"/>
        <v>.</v>
      </c>
      <c r="AY55" s="60" t="str">
        <f t="shared" si="333"/>
        <v>.</v>
      </c>
      <c r="AZ55" s="60" t="str">
        <f t="shared" si="333"/>
        <v>.</v>
      </c>
      <c r="BA55" s="60" t="str">
        <f t="shared" si="333"/>
        <v>.</v>
      </c>
      <c r="BB55" s="60" t="str">
        <f t="shared" si="333"/>
        <v>.</v>
      </c>
      <c r="BC55" s="60" t="str">
        <f t="shared" si="333"/>
        <v>.</v>
      </c>
      <c r="BD55" s="60" t="str">
        <f t="shared" si="333"/>
        <v>.</v>
      </c>
      <c r="BE55" s="111" t="str">
        <f t="shared" si="69"/>
        <v>.</v>
      </c>
      <c r="BF55" s="111" t="str">
        <f t="shared" si="70"/>
        <v>.</v>
      </c>
      <c r="BG55" s="111">
        <f t="shared" si="71"/>
        <v>8.9102493524144735E-13</v>
      </c>
      <c r="BH55" s="111" t="str">
        <f t="shared" si="72"/>
        <v>.</v>
      </c>
      <c r="BI55" s="111" t="str">
        <f t="shared" si="73"/>
        <v>.</v>
      </c>
      <c r="BJ55" s="111" t="str">
        <f t="shared" si="74"/>
        <v>.</v>
      </c>
      <c r="BK55" s="111" t="str">
        <f t="shared" si="75"/>
        <v>.</v>
      </c>
      <c r="BL55" s="111" t="str">
        <f t="shared" si="76"/>
        <v>.</v>
      </c>
      <c r="BM55" s="111" t="str">
        <f t="shared" si="77"/>
        <v>.</v>
      </c>
      <c r="BN55" s="111" t="str">
        <f t="shared" si="78"/>
        <v>.</v>
      </c>
      <c r="BO55" s="111" t="str">
        <f t="shared" si="79"/>
        <v>.</v>
      </c>
      <c r="BP55" s="111" t="str">
        <f t="shared" si="80"/>
        <v>.</v>
      </c>
      <c r="BQ55" s="111" t="str">
        <f t="shared" si="81"/>
        <v>.</v>
      </c>
      <c r="BR55" s="111" t="str">
        <f t="shared" si="82"/>
        <v>.</v>
      </c>
      <c r="BS55" s="111" t="str">
        <f t="shared" si="83"/>
        <v>.</v>
      </c>
      <c r="BT55" s="60">
        <f>IFERROR(BT24/$B55,".")</f>
        <v>1122303047253.1311</v>
      </c>
      <c r="BU55" s="189">
        <f>IFERROR(BU24/$B55,0)</f>
        <v>7.6030195020027525E-7</v>
      </c>
      <c r="BV55" s="49" t="str">
        <f>IF(AP55=".",".",s_RadSpec!$E$24*BV24*$B$55)</f>
        <v>.</v>
      </c>
      <c r="BW55" s="49" t="str">
        <f>IF(AQ55=".",".",s_RadSpec!$H$24*BW24*$B$55)</f>
        <v>.</v>
      </c>
      <c r="BX55" s="49">
        <f>IF(AR55=".",".",s_RadSpec!$G$24*BX24*$B$55)</f>
        <v>2.227562338103619E-11</v>
      </c>
      <c r="BY55" s="49" t="str">
        <f>s_b2s!CC55</f>
        <v>.</v>
      </c>
      <c r="BZ55" s="49" t="str">
        <f>IF(AT55=".",".",s_RadSpec!$F$24*BZ24*$B$55)</f>
        <v>.</v>
      </c>
      <c r="CA55" s="49" t="str">
        <f>IF(AU55=".",".",s_RadSpec!$F$24*CA24*$B$55)</f>
        <v>.</v>
      </c>
      <c r="CB55" s="49" t="str">
        <f>IF(AV55=".",".",s_RadSpec!$F$24*CB24*$B$55)</f>
        <v>.</v>
      </c>
      <c r="CC55" s="49" t="str">
        <f>IF(AW55=".",".",s_RadSpec!$F$24*CC24*$B$55)</f>
        <v>.</v>
      </c>
      <c r="CD55" s="49" t="str">
        <f>IF(AX55=".",".",s_RadSpec!$F$24*CD24*$B$55)</f>
        <v>.</v>
      </c>
      <c r="CE55" s="49" t="str">
        <f>IF(AY55=".",".",s_RadSpec!$F$24*CE24*$B$55)</f>
        <v>.</v>
      </c>
      <c r="CF55" s="49" t="str">
        <f>IF(AZ55=".",".",s_RadSpec!$F$24*CF24*$B$55)</f>
        <v>.</v>
      </c>
      <c r="CG55" s="49" t="str">
        <f>IF(BA55=".",".",s_RadSpec!$F$24*CG24*$B$55)</f>
        <v>.</v>
      </c>
      <c r="CH55" s="49" t="str">
        <f>IF(BB55=".",".",s_RadSpec!$F$24*CH24*$B$55)</f>
        <v>.</v>
      </c>
      <c r="CI55" s="49" t="str">
        <f>IF(BC55=".",".",s_RadSpec!$F$24*CI24*$B$55)</f>
        <v>.</v>
      </c>
      <c r="CJ55" s="49" t="str">
        <f>IF(BD55=".",".",s_RadSpec!$F$24*CJ24*$B$55)</f>
        <v>.</v>
      </c>
      <c r="CK55" s="49">
        <f t="shared" si="302"/>
        <v>2.227562338103619E-11</v>
      </c>
      <c r="CL55" s="60" t="str">
        <f>IFERROR(CL24/$B55,".")</f>
        <v>.</v>
      </c>
      <c r="CM55" s="60" t="str">
        <f>IFERROR(CM24,".")</f>
        <v>.</v>
      </c>
      <c r="CN55" s="60">
        <f t="shared" ref="CN55:CZ55" si="334">IFERROR(CN24/$B55,".")</f>
        <v>115364265264374.48</v>
      </c>
      <c r="CO55" s="60" t="str">
        <f t="shared" si="334"/>
        <v>.</v>
      </c>
      <c r="CP55" s="60" t="str">
        <f t="shared" si="334"/>
        <v>.</v>
      </c>
      <c r="CQ55" s="60" t="str">
        <f t="shared" si="334"/>
        <v>.</v>
      </c>
      <c r="CR55" s="60" t="str">
        <f t="shared" si="334"/>
        <v>.</v>
      </c>
      <c r="CS55" s="60" t="str">
        <f t="shared" si="334"/>
        <v>.</v>
      </c>
      <c r="CT55" s="60" t="str">
        <f t="shared" si="334"/>
        <v>.</v>
      </c>
      <c r="CU55" s="60" t="str">
        <f t="shared" si="334"/>
        <v>.</v>
      </c>
      <c r="CV55" s="60" t="str">
        <f t="shared" si="334"/>
        <v>.</v>
      </c>
      <c r="CW55" s="60" t="str">
        <f t="shared" si="334"/>
        <v>.</v>
      </c>
      <c r="CX55" s="60" t="str">
        <f t="shared" si="334"/>
        <v>.</v>
      </c>
      <c r="CY55" s="60" t="str">
        <f t="shared" si="334"/>
        <v>.</v>
      </c>
      <c r="CZ55" s="60" t="str">
        <f t="shared" si="334"/>
        <v>.</v>
      </c>
      <c r="DA55" s="111" t="str">
        <f t="shared" si="101"/>
        <v>.</v>
      </c>
      <c r="DB55" s="111" t="str">
        <f t="shared" si="102"/>
        <v>.</v>
      </c>
      <c r="DC55" s="111">
        <f t="shared" si="103"/>
        <v>8.6681954564383553E-15</v>
      </c>
      <c r="DD55" s="111" t="str">
        <f t="shared" si="104"/>
        <v>.</v>
      </c>
      <c r="DE55" s="111" t="str">
        <f t="shared" si="105"/>
        <v>.</v>
      </c>
      <c r="DF55" s="111" t="str">
        <f t="shared" si="106"/>
        <v>.</v>
      </c>
      <c r="DG55" s="111" t="str">
        <f t="shared" si="107"/>
        <v>.</v>
      </c>
      <c r="DH55" s="111" t="str">
        <f t="shared" si="108"/>
        <v>.</v>
      </c>
      <c r="DI55" s="111" t="str">
        <f t="shared" si="109"/>
        <v>.</v>
      </c>
      <c r="DJ55" s="111" t="str">
        <f t="shared" si="110"/>
        <v>.</v>
      </c>
      <c r="DK55" s="111" t="str">
        <f t="shared" si="111"/>
        <v>.</v>
      </c>
      <c r="DL55" s="111" t="str">
        <f t="shared" si="112"/>
        <v>.</v>
      </c>
      <c r="DM55" s="111" t="str">
        <f t="shared" si="113"/>
        <v>.</v>
      </c>
      <c r="DN55" s="111" t="str">
        <f t="shared" si="114"/>
        <v>.</v>
      </c>
      <c r="DO55" s="111" t="str">
        <f t="shared" si="115"/>
        <v>.</v>
      </c>
      <c r="DP55" s="60">
        <f>IFERROR(DP24/$B55,".")</f>
        <v>115364265264374.48</v>
      </c>
      <c r="DQ55" s="189">
        <f t="shared" ref="DQ55" si="335">IFERROR(DQ24/$B55,0)</f>
        <v>7.8153290306573297E-8</v>
      </c>
      <c r="DR55" s="49" t="str">
        <f>IF(CL55=".",".",s_RadSpec!$I$24*DR24*$B$55)</f>
        <v>.</v>
      </c>
      <c r="DS55" s="49" t="str">
        <f>IF(CM55=".",".",s_RadSpec!$H$24*DS24)</f>
        <v>.</v>
      </c>
      <c r="DT55" s="49">
        <f>IF(CN55=".",".",s_RadSpec!$M$24*DT24*$B$55)</f>
        <v>2.1670488641095886E-13</v>
      </c>
      <c r="DU55" s="49" t="str">
        <f>s_b2w!CC55</f>
        <v>.</v>
      </c>
      <c r="DV55" s="49" t="str">
        <f>IF(CP55=".",".",s_RadSpec!$F$24*DV24*$B$55)</f>
        <v>.</v>
      </c>
      <c r="DW55" s="49" t="str">
        <f>IF(CQ55=".",".",s_RadSpec!$F$24*DW24*$B$55)</f>
        <v>.</v>
      </c>
      <c r="DX55" s="49" t="str">
        <f>IF(CR55=".",".",s_RadSpec!$F$24*DX24*$B$55)</f>
        <v>.</v>
      </c>
      <c r="DY55" s="49" t="str">
        <f>IF(CS55=".",".",s_RadSpec!$F$24*DY24*$B$55)</f>
        <v>.</v>
      </c>
      <c r="DZ55" s="49" t="str">
        <f>IF(CT55=".",".",s_RadSpec!$F$24*DZ24*$B$55)</f>
        <v>.</v>
      </c>
      <c r="EA55" s="49" t="str">
        <f>IF(CU55=".",".",s_RadSpec!$F$24*EA24*$B$55)</f>
        <v>.</v>
      </c>
      <c r="EB55" s="49" t="str">
        <f>IF(CV55=".",".",s_RadSpec!$F$24*EB24*$B$55)</f>
        <v>.</v>
      </c>
      <c r="EC55" s="49" t="str">
        <f>IF(CW55=".",".",s_RadSpec!$F$24*EC24*$B$55)</f>
        <v>.</v>
      </c>
      <c r="ED55" s="49" t="str">
        <f>IF(CX55=".",".",s_RadSpec!$F$24*ED24*$B$55)</f>
        <v>.</v>
      </c>
      <c r="EE55" s="49" t="str">
        <f>IF(CY55=".",".",s_RadSpec!$F$24*EE24*$B$55)</f>
        <v>.</v>
      </c>
      <c r="EF55" s="49" t="str">
        <f>IF(CZ55=".",".",s_RadSpec!$F$24*EF24*$B$55)</f>
        <v>.</v>
      </c>
      <c r="EG55" s="49">
        <f t="shared" si="305"/>
        <v>2.1670488641095886E-13</v>
      </c>
      <c r="EH55" s="60" t="str">
        <f>IFERROR(EH24/$B55,".")</f>
        <v>.</v>
      </c>
      <c r="EI55" s="60">
        <f>IFERROR(EI24/$B55,".")</f>
        <v>401196197789989.38</v>
      </c>
      <c r="EJ55" s="60">
        <f>IFERROR(EJ24/$B55,".")</f>
        <v>401196197789989.38</v>
      </c>
      <c r="EK55" s="189">
        <f t="shared" ref="EK55" si="336">IFERROR(EK24/$B55,0)</f>
        <v>2.7178956017203606E-7</v>
      </c>
      <c r="EL55" s="49" t="str">
        <f>IF(EH55=".",".",s_RadSpec!$H$24*EL24*$B$55)</f>
        <v>.</v>
      </c>
      <c r="EM55" s="49">
        <f>IF(EI55=".",".",s_RadSpec!$K$24*EM24*$B$55)</f>
        <v>6.2313651369863008E-14</v>
      </c>
      <c r="EN55" s="49">
        <f t="shared" si="155"/>
        <v>6.2313651369863008E-14</v>
      </c>
    </row>
    <row r="56" spans="1:144" x14ac:dyDescent="0.25">
      <c r="A56" s="77" t="s">
        <v>1077</v>
      </c>
      <c r="B56" s="42">
        <v>0.99979000004200003</v>
      </c>
      <c r="C56" s="238"/>
      <c r="D56" s="60" t="str">
        <f t="shared" ref="D56:O56" si="337">IFERROR(D20/$B56,".")</f>
        <v>.</v>
      </c>
      <c r="E56" s="60" t="str">
        <f t="shared" si="337"/>
        <v>.</v>
      </c>
      <c r="F56" s="60" t="str">
        <f t="shared" si="337"/>
        <v>.</v>
      </c>
      <c r="G56" s="60" t="str">
        <f t="shared" si="337"/>
        <v>.</v>
      </c>
      <c r="H56" s="60" t="str">
        <f t="shared" si="337"/>
        <v>.</v>
      </c>
      <c r="I56" s="60" t="str">
        <f t="shared" si="337"/>
        <v>.</v>
      </c>
      <c r="J56" s="60" t="str">
        <f t="shared" si="337"/>
        <v>.</v>
      </c>
      <c r="K56" s="60" t="str">
        <f t="shared" si="337"/>
        <v>.</v>
      </c>
      <c r="L56" s="60" t="str">
        <f t="shared" si="337"/>
        <v>.</v>
      </c>
      <c r="M56" s="60" t="str">
        <f t="shared" si="337"/>
        <v>.</v>
      </c>
      <c r="N56" s="60" t="str">
        <f t="shared" si="337"/>
        <v>.</v>
      </c>
      <c r="O56" s="60" t="str">
        <f t="shared" si="337"/>
        <v>.</v>
      </c>
      <c r="P56" s="111" t="str">
        <f t="shared" si="300"/>
        <v>.</v>
      </c>
      <c r="Q56" s="111" t="str">
        <f t="shared" si="300"/>
        <v>.</v>
      </c>
      <c r="R56" s="111" t="str">
        <f t="shared" si="300"/>
        <v>.</v>
      </c>
      <c r="S56" s="111" t="str">
        <f t="shared" si="300"/>
        <v>.</v>
      </c>
      <c r="T56" s="111" t="str">
        <f t="shared" si="300"/>
        <v>.</v>
      </c>
      <c r="U56" s="111" t="str">
        <f t="shared" si="300"/>
        <v>.</v>
      </c>
      <c r="V56" s="111" t="str">
        <f t="shared" si="300"/>
        <v>.</v>
      </c>
      <c r="W56" s="111" t="str">
        <f t="shared" si="300"/>
        <v>.</v>
      </c>
      <c r="X56" s="111" t="str">
        <f t="shared" si="59"/>
        <v>.</v>
      </c>
      <c r="Y56" s="111" t="str">
        <f t="shared" si="59"/>
        <v>.</v>
      </c>
      <c r="Z56" s="111" t="str">
        <f t="shared" si="59"/>
        <v>.</v>
      </c>
      <c r="AA56" s="111" t="str">
        <f t="shared" si="59"/>
        <v>.</v>
      </c>
      <c r="AB56" s="60" t="str">
        <f>IFERROR(AB20/$B56,".")</f>
        <v>.</v>
      </c>
      <c r="AC56" s="189">
        <f>IFERROR(AC20/$B56,0)</f>
        <v>0</v>
      </c>
      <c r="AD56" s="49" t="str">
        <f>s_dir!BC56</f>
        <v>.</v>
      </c>
      <c r="AE56" s="49" t="str">
        <f>IF(E56=".",".",s_RadSpec!$F$20*AE20*$B$56)</f>
        <v>.</v>
      </c>
      <c r="AF56" s="49" t="str">
        <f>IF(F56=".",".",s_RadSpec!$F$20*AF20*$B$56)</f>
        <v>.</v>
      </c>
      <c r="AG56" s="49" t="str">
        <f>IF(G56=".",".",s_RadSpec!$F$20*AG20*$B$56)</f>
        <v>.</v>
      </c>
      <c r="AH56" s="49" t="str">
        <f>IF(H56=".",".",s_RadSpec!$F$20*AH20*$B$56)</f>
        <v>.</v>
      </c>
      <c r="AI56" s="49" t="str">
        <f>IF(I56=".",".",s_RadSpec!$F$20*AI20*$B$56)</f>
        <v>.</v>
      </c>
      <c r="AJ56" s="49" t="str">
        <f>IF(J56=".",".",s_RadSpec!$F$20*AJ20*$B$56)</f>
        <v>.</v>
      </c>
      <c r="AK56" s="49" t="str">
        <f>IF(K56=".",".",s_RadSpec!$F$20*AK20*$B$56)</f>
        <v>.</v>
      </c>
      <c r="AL56" s="49" t="str">
        <f>IF(L56=".",".",s_RadSpec!$F$20*AL20*$B$56)</f>
        <v>.</v>
      </c>
      <c r="AM56" s="49" t="str">
        <f>IF(M56=".",".",s_RadSpec!$F$20*AM20*$B$56)</f>
        <v>.</v>
      </c>
      <c r="AN56" s="49" t="str">
        <f>IF(N56=".",".",s_RadSpec!$F$20*AN20*$B$56)</f>
        <v>.</v>
      </c>
      <c r="AO56" s="49" t="str">
        <f>IF(O56=".",".",s_RadSpec!$F$20*AO20*$B$56)</f>
        <v>.</v>
      </c>
      <c r="AP56" s="60" t="str">
        <f t="shared" ref="AP56:BD56" si="338">IFERROR(AP20/$B56,".")</f>
        <v>.</v>
      </c>
      <c r="AQ56" s="60" t="str">
        <f t="shared" si="338"/>
        <v>.</v>
      </c>
      <c r="AR56" s="60">
        <f t="shared" si="338"/>
        <v>1559950.9427820113</v>
      </c>
      <c r="AS56" s="60" t="str">
        <f t="shared" si="338"/>
        <v>.</v>
      </c>
      <c r="AT56" s="60" t="str">
        <f t="shared" si="338"/>
        <v>.</v>
      </c>
      <c r="AU56" s="60" t="str">
        <f t="shared" si="338"/>
        <v>.</v>
      </c>
      <c r="AV56" s="60" t="str">
        <f t="shared" si="338"/>
        <v>.</v>
      </c>
      <c r="AW56" s="60" t="str">
        <f t="shared" si="338"/>
        <v>.</v>
      </c>
      <c r="AX56" s="60" t="str">
        <f t="shared" si="338"/>
        <v>.</v>
      </c>
      <c r="AY56" s="60" t="str">
        <f t="shared" si="338"/>
        <v>.</v>
      </c>
      <c r="AZ56" s="60" t="str">
        <f t="shared" si="338"/>
        <v>.</v>
      </c>
      <c r="BA56" s="60" t="str">
        <f t="shared" si="338"/>
        <v>.</v>
      </c>
      <c r="BB56" s="60" t="str">
        <f t="shared" si="338"/>
        <v>.</v>
      </c>
      <c r="BC56" s="60" t="str">
        <f t="shared" si="338"/>
        <v>.</v>
      </c>
      <c r="BD56" s="60" t="str">
        <f t="shared" si="338"/>
        <v>.</v>
      </c>
      <c r="BE56" s="111" t="str">
        <f t="shared" si="69"/>
        <v>.</v>
      </c>
      <c r="BF56" s="111" t="str">
        <f t="shared" si="70"/>
        <v>.</v>
      </c>
      <c r="BG56" s="111">
        <f t="shared" si="71"/>
        <v>6.4104579995099289E-7</v>
      </c>
      <c r="BH56" s="111" t="str">
        <f t="shared" si="72"/>
        <v>.</v>
      </c>
      <c r="BI56" s="111" t="str">
        <f t="shared" si="73"/>
        <v>.</v>
      </c>
      <c r="BJ56" s="111" t="str">
        <f t="shared" si="74"/>
        <v>.</v>
      </c>
      <c r="BK56" s="111" t="str">
        <f t="shared" si="75"/>
        <v>.</v>
      </c>
      <c r="BL56" s="111" t="str">
        <f t="shared" si="76"/>
        <v>.</v>
      </c>
      <c r="BM56" s="111" t="str">
        <f t="shared" si="77"/>
        <v>.</v>
      </c>
      <c r="BN56" s="111" t="str">
        <f t="shared" si="78"/>
        <v>.</v>
      </c>
      <c r="BO56" s="111" t="str">
        <f t="shared" si="79"/>
        <v>.</v>
      </c>
      <c r="BP56" s="111" t="str">
        <f t="shared" si="80"/>
        <v>.</v>
      </c>
      <c r="BQ56" s="111" t="str">
        <f t="shared" si="81"/>
        <v>.</v>
      </c>
      <c r="BR56" s="111" t="str">
        <f t="shared" si="82"/>
        <v>.</v>
      </c>
      <c r="BS56" s="111" t="str">
        <f t="shared" si="83"/>
        <v>.</v>
      </c>
      <c r="BT56" s="60">
        <f>IFERROR(BT20/$B56,".")</f>
        <v>1559950.9427820113</v>
      </c>
      <c r="BU56" s="189">
        <f>IFERROR(BU20/$B56,0)</f>
        <v>4.8698288935670782E-15</v>
      </c>
      <c r="BV56" s="49" t="str">
        <f>IF(AP56=".",".",s_RadSpec!$E$20*BV20*$B$56)</f>
        <v>.</v>
      </c>
      <c r="BW56" s="49" t="str">
        <f>IF(AQ56=".",".",s_RadSpec!$H$20*BW20*$B$56)</f>
        <v>.</v>
      </c>
      <c r="BX56" s="49">
        <f>IF(AR56=".",".",s_RadSpec!$G$20*BX20*$B$56)</f>
        <v>1.602614499877482E-5</v>
      </c>
      <c r="BY56" s="49" t="str">
        <f>s_b2s!CC56</f>
        <v>.</v>
      </c>
      <c r="BZ56" s="49" t="str">
        <f>IF(AT56=".",".",s_RadSpec!$F$20*BZ20*$B$56)</f>
        <v>.</v>
      </c>
      <c r="CA56" s="49" t="str">
        <f>IF(AU56=".",".",s_RadSpec!$F$20*CA20*$B$56)</f>
        <v>.</v>
      </c>
      <c r="CB56" s="49" t="str">
        <f>IF(AV56=".",".",s_RadSpec!$F$20*CB20*$B$56)</f>
        <v>.</v>
      </c>
      <c r="CC56" s="49" t="str">
        <f>IF(AW56=".",".",s_RadSpec!$F$20*CC20*$B$56)</f>
        <v>.</v>
      </c>
      <c r="CD56" s="49" t="str">
        <f>IF(AX56=".",".",s_RadSpec!$F$20*CD20*$B$56)</f>
        <v>.</v>
      </c>
      <c r="CE56" s="49" t="str">
        <f>IF(AY56=".",".",s_RadSpec!$F$20*CE20*$B$56)</f>
        <v>.</v>
      </c>
      <c r="CF56" s="49" t="str">
        <f>IF(AZ56=".",".",s_RadSpec!$F$20*CF20*$B$56)</f>
        <v>.</v>
      </c>
      <c r="CG56" s="49" t="str">
        <f>IF(BA56=".",".",s_RadSpec!$F$20*CG20*$B$56)</f>
        <v>.</v>
      </c>
      <c r="CH56" s="49" t="str">
        <f>IF(BB56=".",".",s_RadSpec!$F$20*CH20*$B$56)</f>
        <v>.</v>
      </c>
      <c r="CI56" s="49" t="str">
        <f>IF(BC56=".",".",s_RadSpec!$F$20*CI20*$B$56)</f>
        <v>.</v>
      </c>
      <c r="CJ56" s="49" t="str">
        <f>IF(BD56=".",".",s_RadSpec!$F$20*CJ20*$B$56)</f>
        <v>.</v>
      </c>
      <c r="CK56" s="49">
        <f t="shared" si="302"/>
        <v>1.602614499877482E-5</v>
      </c>
      <c r="CL56" s="60" t="str">
        <f>IFERROR(CL20/$B56,".")</f>
        <v>.</v>
      </c>
      <c r="CM56" s="60" t="str">
        <f>IFERROR(CM20,".")</f>
        <v>.</v>
      </c>
      <c r="CN56" s="60">
        <f t="shared" ref="CN56:CZ56" si="339">IFERROR(CN20/$B56,".")</f>
        <v>207222598.22021025</v>
      </c>
      <c r="CO56" s="60" t="str">
        <f t="shared" si="339"/>
        <v>.</v>
      </c>
      <c r="CP56" s="60" t="str">
        <f t="shared" si="339"/>
        <v>.</v>
      </c>
      <c r="CQ56" s="60" t="str">
        <f t="shared" si="339"/>
        <v>.</v>
      </c>
      <c r="CR56" s="60" t="str">
        <f t="shared" si="339"/>
        <v>.</v>
      </c>
      <c r="CS56" s="60" t="str">
        <f t="shared" si="339"/>
        <v>.</v>
      </c>
      <c r="CT56" s="60" t="str">
        <f t="shared" si="339"/>
        <v>.</v>
      </c>
      <c r="CU56" s="60" t="str">
        <f t="shared" si="339"/>
        <v>.</v>
      </c>
      <c r="CV56" s="60" t="str">
        <f t="shared" si="339"/>
        <v>.</v>
      </c>
      <c r="CW56" s="60" t="str">
        <f t="shared" si="339"/>
        <v>.</v>
      </c>
      <c r="CX56" s="60" t="str">
        <f t="shared" si="339"/>
        <v>.</v>
      </c>
      <c r="CY56" s="60" t="str">
        <f t="shared" si="339"/>
        <v>.</v>
      </c>
      <c r="CZ56" s="60" t="str">
        <f t="shared" si="339"/>
        <v>.</v>
      </c>
      <c r="DA56" s="111" t="str">
        <f t="shared" si="101"/>
        <v>.</v>
      </c>
      <c r="DB56" s="111" t="str">
        <f t="shared" si="102"/>
        <v>.</v>
      </c>
      <c r="DC56" s="111">
        <f t="shared" si="103"/>
        <v>4.8257285092879934E-9</v>
      </c>
      <c r="DD56" s="111" t="str">
        <f t="shared" si="104"/>
        <v>.</v>
      </c>
      <c r="DE56" s="111" t="str">
        <f t="shared" si="105"/>
        <v>.</v>
      </c>
      <c r="DF56" s="111" t="str">
        <f t="shared" si="106"/>
        <v>.</v>
      </c>
      <c r="DG56" s="111" t="str">
        <f t="shared" si="107"/>
        <v>.</v>
      </c>
      <c r="DH56" s="111" t="str">
        <f t="shared" si="108"/>
        <v>.</v>
      </c>
      <c r="DI56" s="111" t="str">
        <f t="shared" si="109"/>
        <v>.</v>
      </c>
      <c r="DJ56" s="111" t="str">
        <f t="shared" si="110"/>
        <v>.</v>
      </c>
      <c r="DK56" s="111" t="str">
        <f t="shared" si="111"/>
        <v>.</v>
      </c>
      <c r="DL56" s="111" t="str">
        <f t="shared" si="112"/>
        <v>.</v>
      </c>
      <c r="DM56" s="111" t="str">
        <f t="shared" si="113"/>
        <v>.</v>
      </c>
      <c r="DN56" s="111" t="str">
        <f t="shared" si="114"/>
        <v>.</v>
      </c>
      <c r="DO56" s="111" t="str">
        <f t="shared" si="115"/>
        <v>.</v>
      </c>
      <c r="DP56" s="60">
        <f>IFERROR(DP20/$B56,".")</f>
        <v>207222598.22021025</v>
      </c>
      <c r="DQ56" s="189">
        <f t="shared" ref="DQ56" si="340">IFERROR(DQ20/$B56,0)</f>
        <v>6.4690405867067025E-16</v>
      </c>
      <c r="DR56" s="49" t="str">
        <f>IF(CL56=".",".",s_RadSpec!$I$20*DR20*$B$56)</f>
        <v>.</v>
      </c>
      <c r="DS56" s="49" t="str">
        <f>IF(CM56=".",".",s_RadSpec!$H$20*DS20)</f>
        <v>.</v>
      </c>
      <c r="DT56" s="49">
        <f>IF(CN56=".",".",s_RadSpec!$M$20*DT20*$B$56)</f>
        <v>1.2064321273219985E-7</v>
      </c>
      <c r="DU56" s="49" t="str">
        <f>s_b2w!CC56</f>
        <v>.</v>
      </c>
      <c r="DV56" s="49" t="str">
        <f>IF(CP56=".",".",s_RadSpec!$F$20*DV20*$B$56)</f>
        <v>.</v>
      </c>
      <c r="DW56" s="49" t="str">
        <f>IF(CQ56=".",".",s_RadSpec!$F$20*DW20*$B$56)</f>
        <v>.</v>
      </c>
      <c r="DX56" s="49" t="str">
        <f>IF(CR56=".",".",s_RadSpec!$F$20*DX20*$B$56)</f>
        <v>.</v>
      </c>
      <c r="DY56" s="49" t="str">
        <f>IF(CS56=".",".",s_RadSpec!$F$20*DY20*$B$56)</f>
        <v>.</v>
      </c>
      <c r="DZ56" s="49" t="str">
        <f>IF(CT56=".",".",s_RadSpec!$F$20*DZ20*$B$56)</f>
        <v>.</v>
      </c>
      <c r="EA56" s="49" t="str">
        <f>IF(CU56=".",".",s_RadSpec!$F$20*EA20*$B$56)</f>
        <v>.</v>
      </c>
      <c r="EB56" s="49" t="str">
        <f>IF(CV56=".",".",s_RadSpec!$F$20*EB20*$B$56)</f>
        <v>.</v>
      </c>
      <c r="EC56" s="49" t="str">
        <f>IF(CW56=".",".",s_RadSpec!$F$20*EC20*$B$56)</f>
        <v>.</v>
      </c>
      <c r="ED56" s="49" t="str">
        <f>IF(CX56=".",".",s_RadSpec!$F$20*ED20*$B$56)</f>
        <v>.</v>
      </c>
      <c r="EE56" s="49" t="str">
        <f>IF(CY56=".",".",s_RadSpec!$F$20*EE20*$B$56)</f>
        <v>.</v>
      </c>
      <c r="EF56" s="49" t="str">
        <f>IF(CZ56=".",".",s_RadSpec!$F$20*EF20*$B$56)</f>
        <v>.</v>
      </c>
      <c r="EG56" s="49">
        <f t="shared" si="305"/>
        <v>1.2064321273219985E-7</v>
      </c>
      <c r="EH56" s="60" t="str">
        <f>IFERROR(EH20/$B56,".")</f>
        <v>.</v>
      </c>
      <c r="EI56" s="60">
        <f>IFERROR(EI20/$B56,".")</f>
        <v>718080835.09571791</v>
      </c>
      <c r="EJ56" s="60">
        <f>IFERROR(EJ20/$B56,".")</f>
        <v>718080835.09571791</v>
      </c>
      <c r="EK56" s="189">
        <f t="shared" ref="EK56" si="341">IFERROR(EK20/$B56,0)</f>
        <v>2.2416928012040485E-15</v>
      </c>
      <c r="EL56" s="49" t="str">
        <f>IF(EH56=".",".",s_RadSpec!$H$20*EL20*$B$56)</f>
        <v>.</v>
      </c>
      <c r="EM56" s="49">
        <f>IF(EI56=".",".",s_RadSpec!$K$20*EM20*$B$56)</f>
        <v>3.4815021900239938E-8</v>
      </c>
      <c r="EN56" s="49">
        <f t="shared" si="155"/>
        <v>3.4815021900239938E-8</v>
      </c>
    </row>
    <row r="57" spans="1:144" x14ac:dyDescent="0.25">
      <c r="A57" s="77" t="s">
        <v>1078</v>
      </c>
      <c r="B57" s="42">
        <v>2.0999995799999999E-4</v>
      </c>
      <c r="C57" s="238"/>
      <c r="D57" s="60" t="str">
        <f t="shared" ref="D57:O57" si="342">IFERROR(D29/$B57,".")</f>
        <v>.</v>
      </c>
      <c r="E57" s="60" t="str">
        <f t="shared" si="342"/>
        <v>.</v>
      </c>
      <c r="F57" s="60" t="str">
        <f t="shared" si="342"/>
        <v>.</v>
      </c>
      <c r="G57" s="60" t="str">
        <f t="shared" si="342"/>
        <v>.</v>
      </c>
      <c r="H57" s="60" t="str">
        <f t="shared" si="342"/>
        <v>.</v>
      </c>
      <c r="I57" s="60" t="str">
        <f t="shared" si="342"/>
        <v>.</v>
      </c>
      <c r="J57" s="60" t="str">
        <f t="shared" si="342"/>
        <v>.</v>
      </c>
      <c r="K57" s="60" t="str">
        <f t="shared" si="342"/>
        <v>.</v>
      </c>
      <c r="L57" s="60" t="str">
        <f t="shared" si="342"/>
        <v>.</v>
      </c>
      <c r="M57" s="60" t="str">
        <f t="shared" si="342"/>
        <v>.</v>
      </c>
      <c r="N57" s="60" t="str">
        <f t="shared" si="342"/>
        <v>.</v>
      </c>
      <c r="O57" s="60" t="str">
        <f t="shared" si="342"/>
        <v>.</v>
      </c>
      <c r="P57" s="111" t="str">
        <f t="shared" si="300"/>
        <v>.</v>
      </c>
      <c r="Q57" s="111" t="str">
        <f t="shared" si="300"/>
        <v>.</v>
      </c>
      <c r="R57" s="111" t="str">
        <f t="shared" si="300"/>
        <v>.</v>
      </c>
      <c r="S57" s="111" t="str">
        <f t="shared" si="300"/>
        <v>.</v>
      </c>
      <c r="T57" s="111" t="str">
        <f t="shared" si="300"/>
        <v>.</v>
      </c>
      <c r="U57" s="111" t="str">
        <f t="shared" si="300"/>
        <v>.</v>
      </c>
      <c r="V57" s="111" t="str">
        <f t="shared" si="300"/>
        <v>.</v>
      </c>
      <c r="W57" s="111" t="str">
        <f t="shared" si="300"/>
        <v>.</v>
      </c>
      <c r="X57" s="111" t="str">
        <f t="shared" si="59"/>
        <v>.</v>
      </c>
      <c r="Y57" s="111" t="str">
        <f t="shared" si="59"/>
        <v>.</v>
      </c>
      <c r="Z57" s="111" t="str">
        <f t="shared" si="59"/>
        <v>.</v>
      </c>
      <c r="AA57" s="111" t="str">
        <f t="shared" si="59"/>
        <v>.</v>
      </c>
      <c r="AB57" s="60" t="str">
        <f>IFERROR(AB29/$B57,".")</f>
        <v>.</v>
      </c>
      <c r="AC57" s="189">
        <f>IFERROR(AC29/$B57,0)</f>
        <v>0</v>
      </c>
      <c r="AD57" s="49" t="str">
        <f>s_dir!BC57</f>
        <v>.</v>
      </c>
      <c r="AE57" s="49" t="str">
        <f>IF(E57=".",".",s_RadSpec!$F$29*AE29*$B$57)</f>
        <v>.</v>
      </c>
      <c r="AF57" s="49" t="str">
        <f>IF(F57=".",".",s_RadSpec!$F$29*AF29*$B$57)</f>
        <v>.</v>
      </c>
      <c r="AG57" s="49" t="str">
        <f>IF(G57=".",".",s_RadSpec!$F$29*AG29*$B$57)</f>
        <v>.</v>
      </c>
      <c r="AH57" s="49" t="str">
        <f>IF(H57=".",".",s_RadSpec!$F$29*AH29*$B$57)</f>
        <v>.</v>
      </c>
      <c r="AI57" s="49" t="str">
        <f>IF(I57=".",".",s_RadSpec!$F$29*AI29*$B$57)</f>
        <v>.</v>
      </c>
      <c r="AJ57" s="49" t="str">
        <f>IF(J57=".",".",s_RadSpec!$F$29*AJ29*$B$57)</f>
        <v>.</v>
      </c>
      <c r="AK57" s="49" t="str">
        <f>IF(K57=".",".",s_RadSpec!$F$29*AK29*$B$57)</f>
        <v>.</v>
      </c>
      <c r="AL57" s="49" t="str">
        <f>IF(L57=".",".",s_RadSpec!$F$29*AL29*$B$57)</f>
        <v>.</v>
      </c>
      <c r="AM57" s="49" t="str">
        <f>IF(M57=".",".",s_RadSpec!$F$29*AM29*$B$57)</f>
        <v>.</v>
      </c>
      <c r="AN57" s="49" t="str">
        <f>IF(N57=".",".",s_RadSpec!$F$29*AN29*$B$57)</f>
        <v>.</v>
      </c>
      <c r="AO57" s="49" t="str">
        <f>IF(O57=".",".",s_RadSpec!$F$29*AO29*$B$57)</f>
        <v>.</v>
      </c>
      <c r="AP57" s="60" t="str">
        <f t="shared" ref="AP57:BD57" si="343">IFERROR(AP29/$B57,".")</f>
        <v>.</v>
      </c>
      <c r="AQ57" s="60" t="str">
        <f t="shared" si="343"/>
        <v>.</v>
      </c>
      <c r="AR57" s="60">
        <f t="shared" si="343"/>
        <v>167286.16844496483</v>
      </c>
      <c r="AS57" s="60" t="str">
        <f t="shared" si="343"/>
        <v>.</v>
      </c>
      <c r="AT57" s="60" t="str">
        <f t="shared" si="343"/>
        <v>.</v>
      </c>
      <c r="AU57" s="60" t="str">
        <f t="shared" si="343"/>
        <v>.</v>
      </c>
      <c r="AV57" s="60" t="str">
        <f t="shared" si="343"/>
        <v>.</v>
      </c>
      <c r="AW57" s="60" t="str">
        <f t="shared" si="343"/>
        <v>.</v>
      </c>
      <c r="AX57" s="60" t="str">
        <f t="shared" si="343"/>
        <v>.</v>
      </c>
      <c r="AY57" s="60" t="str">
        <f t="shared" si="343"/>
        <v>.</v>
      </c>
      <c r="AZ57" s="60" t="str">
        <f t="shared" si="343"/>
        <v>.</v>
      </c>
      <c r="BA57" s="60" t="str">
        <f t="shared" si="343"/>
        <v>.</v>
      </c>
      <c r="BB57" s="60" t="str">
        <f t="shared" si="343"/>
        <v>.</v>
      </c>
      <c r="BC57" s="60" t="str">
        <f t="shared" si="343"/>
        <v>.</v>
      </c>
      <c r="BD57" s="60" t="str">
        <f t="shared" si="343"/>
        <v>.</v>
      </c>
      <c r="BE57" s="111" t="str">
        <f t="shared" si="69"/>
        <v>.</v>
      </c>
      <c r="BF57" s="111" t="str">
        <f t="shared" si="70"/>
        <v>.</v>
      </c>
      <c r="BG57" s="111">
        <f t="shared" si="71"/>
        <v>5.9777805260031896E-6</v>
      </c>
      <c r="BH57" s="111" t="str">
        <f t="shared" si="72"/>
        <v>.</v>
      </c>
      <c r="BI57" s="111" t="str">
        <f t="shared" si="73"/>
        <v>.</v>
      </c>
      <c r="BJ57" s="111" t="str">
        <f t="shared" si="74"/>
        <v>.</v>
      </c>
      <c r="BK57" s="111" t="str">
        <f t="shared" si="75"/>
        <v>.</v>
      </c>
      <c r="BL57" s="111" t="str">
        <f t="shared" si="76"/>
        <v>.</v>
      </c>
      <c r="BM57" s="111" t="str">
        <f t="shared" si="77"/>
        <v>.</v>
      </c>
      <c r="BN57" s="111" t="str">
        <f t="shared" si="78"/>
        <v>.</v>
      </c>
      <c r="BO57" s="111" t="str">
        <f t="shared" si="79"/>
        <v>.</v>
      </c>
      <c r="BP57" s="111" t="str">
        <f t="shared" si="80"/>
        <v>.</v>
      </c>
      <c r="BQ57" s="111" t="str">
        <f t="shared" si="81"/>
        <v>.</v>
      </c>
      <c r="BR57" s="111" t="str">
        <f t="shared" si="82"/>
        <v>.</v>
      </c>
      <c r="BS57" s="111" t="str">
        <f t="shared" si="83"/>
        <v>.</v>
      </c>
      <c r="BT57" s="60">
        <f>IFERROR(BT29/$B57,".")</f>
        <v>167286.16844496483</v>
      </c>
      <c r="BU57" s="189">
        <f>IFERROR(BU29/$B57,0)</f>
        <v>2.4329061483891024E-10</v>
      </c>
      <c r="BV57" s="49" t="str">
        <f>IF(AP57=".",".",s_RadSpec!$E$29*BV29*$B$57)</f>
        <v>.</v>
      </c>
      <c r="BW57" s="49" t="str">
        <f>IF(AQ57=".",".",s_RadSpec!$H$29*BW29*$B$57)</f>
        <v>.</v>
      </c>
      <c r="BX57" s="49">
        <f>IF(AR57=".",".",s_RadSpec!$G$29*BX29*$B$57)</f>
        <v>1.4944451315007973E-4</v>
      </c>
      <c r="BY57" s="49" t="str">
        <f>s_b2s!CC57</f>
        <v>.</v>
      </c>
      <c r="BZ57" s="49" t="str">
        <f>IF(AT57=".",".",s_RadSpec!$F$29*BZ29*$B$57)</f>
        <v>.</v>
      </c>
      <c r="CA57" s="49" t="str">
        <f>IF(AU57=".",".",s_RadSpec!$F$29*CA29*$B$57)</f>
        <v>.</v>
      </c>
      <c r="CB57" s="49" t="str">
        <f>IF(AV57=".",".",s_RadSpec!$F$29*CB29*$B$57)</f>
        <v>.</v>
      </c>
      <c r="CC57" s="49" t="str">
        <f>IF(AW57=".",".",s_RadSpec!$F$29*CC29*$B$57)</f>
        <v>.</v>
      </c>
      <c r="CD57" s="49" t="str">
        <f>IF(AX57=".",".",s_RadSpec!$F$29*CD29*$B$57)</f>
        <v>.</v>
      </c>
      <c r="CE57" s="49" t="str">
        <f>IF(AY57=".",".",s_RadSpec!$F$29*CE29*$B$57)</f>
        <v>.</v>
      </c>
      <c r="CF57" s="49" t="str">
        <f>IF(AZ57=".",".",s_RadSpec!$F$29*CF29*$B$57)</f>
        <v>.</v>
      </c>
      <c r="CG57" s="49" t="str">
        <f>IF(BA57=".",".",s_RadSpec!$F$29*CG29*$B$57)</f>
        <v>.</v>
      </c>
      <c r="CH57" s="49" t="str">
        <f>IF(BB57=".",".",s_RadSpec!$F$29*CH29*$B$57)</f>
        <v>.</v>
      </c>
      <c r="CI57" s="49" t="str">
        <f>IF(BC57=".",".",s_RadSpec!$F$29*CI29*$B$57)</f>
        <v>.</v>
      </c>
      <c r="CJ57" s="49" t="str">
        <f>IF(BD57=".",".",s_RadSpec!$F$29*CJ29*$B$57)</f>
        <v>.</v>
      </c>
      <c r="CK57" s="49">
        <f t="shared" si="302"/>
        <v>1.4944451315007973E-4</v>
      </c>
      <c r="CL57" s="60" t="str">
        <f>IFERROR(CL29/$B57,".")</f>
        <v>.</v>
      </c>
      <c r="CM57" s="60" t="str">
        <f>IFERROR(CM29,".")</f>
        <v>.</v>
      </c>
      <c r="CN57" s="60">
        <f t="shared" ref="CN57:CZ57" si="344">IFERROR(CN29/$B57,".")</f>
        <v>28489292.926053319</v>
      </c>
      <c r="CO57" s="60" t="str">
        <f t="shared" si="344"/>
        <v>.</v>
      </c>
      <c r="CP57" s="60" t="str">
        <f t="shared" si="344"/>
        <v>.</v>
      </c>
      <c r="CQ57" s="60" t="str">
        <f t="shared" si="344"/>
        <v>.</v>
      </c>
      <c r="CR57" s="60" t="str">
        <f t="shared" si="344"/>
        <v>.</v>
      </c>
      <c r="CS57" s="60" t="str">
        <f t="shared" si="344"/>
        <v>.</v>
      </c>
      <c r="CT57" s="60" t="str">
        <f t="shared" si="344"/>
        <v>.</v>
      </c>
      <c r="CU57" s="60" t="str">
        <f t="shared" si="344"/>
        <v>.</v>
      </c>
      <c r="CV57" s="60" t="str">
        <f t="shared" si="344"/>
        <v>.</v>
      </c>
      <c r="CW57" s="60" t="str">
        <f t="shared" si="344"/>
        <v>.</v>
      </c>
      <c r="CX57" s="60" t="str">
        <f t="shared" si="344"/>
        <v>.</v>
      </c>
      <c r="CY57" s="60" t="str">
        <f t="shared" si="344"/>
        <v>.</v>
      </c>
      <c r="CZ57" s="60" t="str">
        <f t="shared" si="344"/>
        <v>.</v>
      </c>
      <c r="DA57" s="111" t="str">
        <f t="shared" si="101"/>
        <v>.</v>
      </c>
      <c r="DB57" s="111" t="str">
        <f t="shared" si="102"/>
        <v>.</v>
      </c>
      <c r="DC57" s="111">
        <f t="shared" si="103"/>
        <v>3.5100906245570767E-8</v>
      </c>
      <c r="DD57" s="111" t="str">
        <f t="shared" si="104"/>
        <v>.</v>
      </c>
      <c r="DE57" s="111" t="str">
        <f t="shared" si="105"/>
        <v>.</v>
      </c>
      <c r="DF57" s="111" t="str">
        <f t="shared" si="106"/>
        <v>.</v>
      </c>
      <c r="DG57" s="111" t="str">
        <f t="shared" si="107"/>
        <v>.</v>
      </c>
      <c r="DH57" s="111" t="str">
        <f t="shared" si="108"/>
        <v>.</v>
      </c>
      <c r="DI57" s="111" t="str">
        <f t="shared" si="109"/>
        <v>.</v>
      </c>
      <c r="DJ57" s="111" t="str">
        <f t="shared" si="110"/>
        <v>.</v>
      </c>
      <c r="DK57" s="111" t="str">
        <f t="shared" si="111"/>
        <v>.</v>
      </c>
      <c r="DL57" s="111" t="str">
        <f t="shared" si="112"/>
        <v>.</v>
      </c>
      <c r="DM57" s="111" t="str">
        <f t="shared" si="113"/>
        <v>.</v>
      </c>
      <c r="DN57" s="111" t="str">
        <f t="shared" si="114"/>
        <v>.</v>
      </c>
      <c r="DO57" s="111" t="str">
        <f t="shared" si="115"/>
        <v>.</v>
      </c>
      <c r="DP57" s="60">
        <f>IFERROR(DP29/$B57,".")</f>
        <v>28489292.926053319</v>
      </c>
      <c r="DQ57" s="189">
        <f t="shared" ref="DQ57" si="345">IFERROR(DQ29/$B57,0)</f>
        <v>4.1433058433552463E-11</v>
      </c>
      <c r="DR57" s="49" t="str">
        <f>IF(CL57=".",".",s_RadSpec!$I$29*DR29*$B$57)</f>
        <v>.</v>
      </c>
      <c r="DS57" s="49" t="str">
        <f>IF(CM57=".",".",s_RadSpec!$H$29*DS29)</f>
        <v>.</v>
      </c>
      <c r="DT57" s="49">
        <f>IF(CN57=".",".",s_RadSpec!$M$29*DT29*$B$57)</f>
        <v>8.7752265613926914E-7</v>
      </c>
      <c r="DU57" s="49" t="str">
        <f>s_b2w!CC57</f>
        <v>.</v>
      </c>
      <c r="DV57" s="49" t="str">
        <f>IF(CP57=".",".",s_RadSpec!$F$29*DV29*$B$57)</f>
        <v>.</v>
      </c>
      <c r="DW57" s="49" t="str">
        <f>IF(CQ57=".",".",s_RadSpec!$F$29*DW29*$B$57)</f>
        <v>.</v>
      </c>
      <c r="DX57" s="49" t="str">
        <f>IF(CR57=".",".",s_RadSpec!$F$29*DX29*$B$57)</f>
        <v>.</v>
      </c>
      <c r="DY57" s="49" t="str">
        <f>IF(CS57=".",".",s_RadSpec!$F$29*DY29*$B$57)</f>
        <v>.</v>
      </c>
      <c r="DZ57" s="49" t="str">
        <f>IF(CT57=".",".",s_RadSpec!$F$29*DZ29*$B$57)</f>
        <v>.</v>
      </c>
      <c r="EA57" s="49" t="str">
        <f>IF(CU57=".",".",s_RadSpec!$F$29*EA29*$B$57)</f>
        <v>.</v>
      </c>
      <c r="EB57" s="49" t="str">
        <f>IF(CV57=".",".",s_RadSpec!$F$29*EB29*$B$57)</f>
        <v>.</v>
      </c>
      <c r="EC57" s="49" t="str">
        <f>IF(CW57=".",".",s_RadSpec!$F$29*EC29*$B$57)</f>
        <v>.</v>
      </c>
      <c r="ED57" s="49" t="str">
        <f>IF(CX57=".",".",s_RadSpec!$F$29*ED29*$B$57)</f>
        <v>.</v>
      </c>
      <c r="EE57" s="49" t="str">
        <f>IF(CY57=".",".",s_RadSpec!$F$29*EE29*$B$57)</f>
        <v>.</v>
      </c>
      <c r="EF57" s="49" t="str">
        <f>IF(CZ57=".",".",s_RadSpec!$F$29*EF29*$B$57)</f>
        <v>.</v>
      </c>
      <c r="EG57" s="49">
        <f t="shared" si="305"/>
        <v>8.7752265613926914E-7</v>
      </c>
      <c r="EH57" s="60" t="str">
        <f>IFERROR(EH29/$B57,".")</f>
        <v>.</v>
      </c>
      <c r="EI57" s="60">
        <f>IFERROR(EI29/$B57,".")</f>
        <v>98417557.380911469</v>
      </c>
      <c r="EJ57" s="60">
        <f>IFERROR(EJ29/$B57,".")</f>
        <v>98417557.380911469</v>
      </c>
      <c r="EK57" s="189">
        <f t="shared" ref="EK57" si="346">IFERROR(EK29/$B57,0)</f>
        <v>1.4313238367954489E-10</v>
      </c>
      <c r="EL57" s="49" t="str">
        <f>IF(EH57=".",".",s_RadSpec!$H$29*EL29*$B$57)</f>
        <v>.</v>
      </c>
      <c r="EM57" s="49">
        <f>IF(EI57=".",".",s_RadSpec!$K$29*EM29*$B$57)</f>
        <v>2.540197162508411E-7</v>
      </c>
      <c r="EN57" s="49">
        <f t="shared" si="155"/>
        <v>2.540197162508411E-7</v>
      </c>
    </row>
    <row r="58" spans="1:144" x14ac:dyDescent="0.25">
      <c r="A58" s="77" t="s">
        <v>1079</v>
      </c>
      <c r="B58" s="42">
        <v>1</v>
      </c>
      <c r="C58" s="238"/>
      <c r="D58" s="60">
        <f t="shared" ref="D58:O58" si="347">IFERROR(D16/$B58,".")</f>
        <v>0.21898417620342756</v>
      </c>
      <c r="E58" s="60">
        <f t="shared" si="347"/>
        <v>0.87593670481371022</v>
      </c>
      <c r="F58" s="60">
        <f t="shared" si="347"/>
        <v>0.87593670481371022</v>
      </c>
      <c r="G58" s="60">
        <f t="shared" si="347"/>
        <v>0.87593670481371022</v>
      </c>
      <c r="H58" s="60">
        <f t="shared" si="347"/>
        <v>0.87593670481371022</v>
      </c>
      <c r="I58" s="60">
        <f t="shared" si="347"/>
        <v>0.87593670481371022</v>
      </c>
      <c r="J58" s="60">
        <f t="shared" si="347"/>
        <v>0.87593670481371022</v>
      </c>
      <c r="K58" s="60">
        <f t="shared" si="347"/>
        <v>0.87593670481371022</v>
      </c>
      <c r="L58" s="60">
        <f t="shared" si="347"/>
        <v>0.87593670481371022</v>
      </c>
      <c r="M58" s="60">
        <f t="shared" si="347"/>
        <v>0.87593670481371022</v>
      </c>
      <c r="N58" s="60">
        <f t="shared" si="347"/>
        <v>0.87593670481371022</v>
      </c>
      <c r="O58" s="60">
        <f t="shared" si="347"/>
        <v>0.87593670481371022</v>
      </c>
      <c r="P58" s="111">
        <f t="shared" si="300"/>
        <v>1.141635</v>
      </c>
      <c r="Q58" s="111">
        <f t="shared" si="300"/>
        <v>1.141635</v>
      </c>
      <c r="R58" s="111">
        <f t="shared" si="300"/>
        <v>1.141635</v>
      </c>
      <c r="S58" s="111">
        <f t="shared" si="300"/>
        <v>1.141635</v>
      </c>
      <c r="T58" s="111">
        <f t="shared" si="300"/>
        <v>1.141635</v>
      </c>
      <c r="U58" s="111">
        <f t="shared" si="300"/>
        <v>1.141635</v>
      </c>
      <c r="V58" s="111">
        <f t="shared" si="300"/>
        <v>1.141635</v>
      </c>
      <c r="W58" s="111">
        <f t="shared" si="300"/>
        <v>1.141635</v>
      </c>
      <c r="X58" s="111">
        <f t="shared" si="59"/>
        <v>1.141635</v>
      </c>
      <c r="Y58" s="111">
        <f t="shared" si="59"/>
        <v>1.141635</v>
      </c>
      <c r="Z58" s="111">
        <f t="shared" si="59"/>
        <v>1.141635</v>
      </c>
      <c r="AA58" s="111">
        <f t="shared" si="59"/>
        <v>1.141635</v>
      </c>
      <c r="AB58" s="60">
        <f>IFERROR(AB16/$B58,".")</f>
        <v>7.2994725401142491E-2</v>
      </c>
      <c r="AC58" s="189">
        <f>IFERROR(AC16/$B58,0)</f>
        <v>9.5284394749635363E-10</v>
      </c>
      <c r="AD58" s="49">
        <f>s_dir!BC58</f>
        <v>114.1635</v>
      </c>
      <c r="AE58" s="49">
        <f>IF(E58=".",".",s_RadSpec!$F$16*AE16*$B$58)</f>
        <v>28.540875</v>
      </c>
      <c r="AF58" s="49">
        <f>IF(F58=".",".",s_RadSpec!$F$16*AF16*$B$58)</f>
        <v>28.540875</v>
      </c>
      <c r="AG58" s="49">
        <f>IF(G58=".",".",s_RadSpec!$F$16*AG16*$B$58)</f>
        <v>28.540875</v>
      </c>
      <c r="AH58" s="49">
        <f>IF(H58=".",".",s_RadSpec!$F$16*AH16*$B$58)</f>
        <v>28.540875</v>
      </c>
      <c r="AI58" s="49">
        <f>IF(I58=".",".",s_RadSpec!$F$16*AI16*$B$58)</f>
        <v>28.540875</v>
      </c>
      <c r="AJ58" s="49">
        <f>IF(J58=".",".",s_RadSpec!$F$16*AJ16*$B$58)</f>
        <v>28.540875</v>
      </c>
      <c r="AK58" s="49">
        <f>IF(K58=".",".",s_RadSpec!$F$16*AK16*$B$58)</f>
        <v>28.540875</v>
      </c>
      <c r="AL58" s="49">
        <f>IF(L58=".",".",s_RadSpec!$F$16*AL16*$B$58)</f>
        <v>28.540875</v>
      </c>
      <c r="AM58" s="49">
        <f>IF(M58=".",".",s_RadSpec!$F$16*AM16*$B$58)</f>
        <v>28.540875</v>
      </c>
      <c r="AN58" s="49">
        <f>IF(N58=".",".",s_RadSpec!$F$16*AN16*$B$58)</f>
        <v>28.540875</v>
      </c>
      <c r="AO58" s="49">
        <f>IF(O58=".",".",s_RadSpec!$F$16*AO16*$B$58)</f>
        <v>28.540875</v>
      </c>
      <c r="AP58" s="60">
        <f t="shared" ref="AP58:BD58" si="348">IFERROR(AP16/$B58,".")</f>
        <v>437.96835240685505</v>
      </c>
      <c r="AQ58" s="60">
        <f t="shared" si="348"/>
        <v>692481.68732784083</v>
      </c>
      <c r="AR58" s="60">
        <f t="shared" si="348"/>
        <v>7617189521.6855774</v>
      </c>
      <c r="AS58" s="60">
        <f t="shared" si="348"/>
        <v>9.7013700832175243</v>
      </c>
      <c r="AT58" s="60">
        <f t="shared" si="348"/>
        <v>5.2556202288822611</v>
      </c>
      <c r="AU58" s="60">
        <f t="shared" si="348"/>
        <v>5.9722957146389328</v>
      </c>
      <c r="AV58" s="60">
        <f t="shared" si="348"/>
        <v>14.047279874431842</v>
      </c>
      <c r="AW58" s="60">
        <f t="shared" si="348"/>
        <v>53.305730470870301</v>
      </c>
      <c r="AX58" s="60" t="str">
        <f t="shared" si="348"/>
        <v>.</v>
      </c>
      <c r="AY58" s="60" t="str">
        <f t="shared" si="348"/>
        <v>.</v>
      </c>
      <c r="AZ58" s="60" t="str">
        <f t="shared" si="348"/>
        <v>.</v>
      </c>
      <c r="BA58" s="60" t="str">
        <f t="shared" si="348"/>
        <v>.</v>
      </c>
      <c r="BB58" s="60">
        <f t="shared" si="348"/>
        <v>1.6880147982442262</v>
      </c>
      <c r="BC58" s="60">
        <f t="shared" si="348"/>
        <v>1.3849430862115899</v>
      </c>
      <c r="BD58" s="60">
        <f t="shared" si="348"/>
        <v>0.28937396541329591</v>
      </c>
      <c r="BE58" s="111">
        <f t="shared" si="69"/>
        <v>2.28327E-3</v>
      </c>
      <c r="BF58" s="111">
        <f t="shared" si="70"/>
        <v>1.4440815090126291E-6</v>
      </c>
      <c r="BG58" s="111">
        <f t="shared" si="71"/>
        <v>1.3128201643835613E-10</v>
      </c>
      <c r="BH58" s="111">
        <f t="shared" si="72"/>
        <v>0.10307822414999999</v>
      </c>
      <c r="BI58" s="111">
        <f t="shared" si="73"/>
        <v>0.19027249999999998</v>
      </c>
      <c r="BJ58" s="111">
        <f t="shared" si="74"/>
        <v>0.1674398</v>
      </c>
      <c r="BK58" s="111">
        <f t="shared" si="75"/>
        <v>7.1188159482758653E-2</v>
      </c>
      <c r="BL58" s="111">
        <f t="shared" si="76"/>
        <v>1.875970915634417E-2</v>
      </c>
      <c r="BM58" s="111" t="str">
        <f t="shared" si="77"/>
        <v>.</v>
      </c>
      <c r="BN58" s="111" t="str">
        <f t="shared" si="78"/>
        <v>.</v>
      </c>
      <c r="BO58" s="111" t="str">
        <f t="shared" si="79"/>
        <v>.</v>
      </c>
      <c r="BP58" s="111" t="str">
        <f t="shared" si="80"/>
        <v>.</v>
      </c>
      <c r="BQ58" s="111">
        <f t="shared" si="81"/>
        <v>0.59241186809507906</v>
      </c>
      <c r="BR58" s="111">
        <f t="shared" si="82"/>
        <v>0.72205133189655224</v>
      </c>
      <c r="BS58" s="111">
        <f t="shared" si="83"/>
        <v>3.4557358972212944</v>
      </c>
      <c r="BT58" s="60">
        <f>IFERROR(BT16/$B58,".")</f>
        <v>0.18785614457503205</v>
      </c>
      <c r="BU58" s="189">
        <f>IFERROR(BU16/$B58,0)</f>
        <v>2.4521989688246384E-9</v>
      </c>
      <c r="BV58" s="49">
        <f>IF(AP58=".",".",s_RadSpec!$E$16*BV16*$B$58)</f>
        <v>5.7081750000000001E-2</v>
      </c>
      <c r="BW58" s="49">
        <f>IF(AQ58=".",".",s_RadSpec!$H$16*BW16*$B$58)</f>
        <v>3.6102037725315724E-5</v>
      </c>
      <c r="BX58" s="49">
        <f>IF(AR58=".",".",s_RadSpec!$G$16*BX16*$B$58)</f>
        <v>3.2820504109589027E-9</v>
      </c>
      <c r="BY58" s="49">
        <f>s_b2s!CC58</f>
        <v>2.5769556037500001</v>
      </c>
      <c r="BZ58" s="49">
        <f>IF(AT58=".",".",s_RadSpec!$F$16*BZ16*$B$58)</f>
        <v>4.7568125000000006</v>
      </c>
      <c r="CA58" s="49">
        <f>IF(AU58=".",".",s_RadSpec!$F$16*CA16*$B$58)</f>
        <v>4.1859949999999992</v>
      </c>
      <c r="CB58" s="49">
        <f>IF(AV58=".",".",s_RadSpec!$F$16*CB16*$B$58)</f>
        <v>1.7797039870689666</v>
      </c>
      <c r="CC58" s="49">
        <f>IF(AW58=".",".",s_RadSpec!$F$16*CC16*$B$58)</f>
        <v>0.46899272890860433</v>
      </c>
      <c r="CD58" s="49" t="str">
        <f>IF(AX58=".",".",s_RadSpec!$F$16*CD16*$B$58)</f>
        <v>.</v>
      </c>
      <c r="CE58" s="49" t="str">
        <f>IF(AY58=".",".",s_RadSpec!$F$16*CE16*$B$58)</f>
        <v>.</v>
      </c>
      <c r="CF58" s="49" t="str">
        <f>IF(AZ58=".",".",s_RadSpec!$F$16*CF16*$B$58)</f>
        <v>.</v>
      </c>
      <c r="CG58" s="49" t="str">
        <f>IF(BA58=".",".",s_RadSpec!$F$16*CG16*$B$58)</f>
        <v>.</v>
      </c>
      <c r="CH58" s="49">
        <f>IF(BB58=".",".",s_RadSpec!$F$16*CH16*$B$58)</f>
        <v>14.810296702376975</v>
      </c>
      <c r="CI58" s="49">
        <f>IF(BC58=".",".",s_RadSpec!$F$16*CI16*$B$58)</f>
        <v>18.051283297413804</v>
      </c>
      <c r="CJ58" s="49">
        <f>IF(BD58=".",".",s_RadSpec!$F$16*CJ16*$B$58)</f>
        <v>86.39339743053236</v>
      </c>
      <c r="CK58" s="49">
        <f t="shared" si="302"/>
        <v>133.08055510537048</v>
      </c>
      <c r="CL58" s="60">
        <f>IFERROR(CL16/$B58,".")</f>
        <v>4.8176518764754066</v>
      </c>
      <c r="CM58" s="60" t="str">
        <f>IFERROR(CM16,".")</f>
        <v>.</v>
      </c>
      <c r="CN58" s="60">
        <f t="shared" ref="CN58:CZ58" si="349">IFERROR(CN16/$B58,".")</f>
        <v>15642971.01474729</v>
      </c>
      <c r="CO58" s="60">
        <f t="shared" si="349"/>
        <v>16.221626499112627</v>
      </c>
      <c r="CP58" s="60">
        <f t="shared" si="349"/>
        <v>35.03746819254841</v>
      </c>
      <c r="CQ58" s="60">
        <f t="shared" si="349"/>
        <v>39.815304764259558</v>
      </c>
      <c r="CR58" s="60">
        <f t="shared" si="349"/>
        <v>250267.62994677437</v>
      </c>
      <c r="CS58" s="60">
        <f t="shared" si="349"/>
        <v>949699.79574539093</v>
      </c>
      <c r="CT58" s="60" t="str">
        <f t="shared" si="349"/>
        <v>.</v>
      </c>
      <c r="CU58" s="60" t="str">
        <f t="shared" si="349"/>
        <v>.</v>
      </c>
      <c r="CV58" s="60" t="str">
        <f t="shared" si="349"/>
        <v>.</v>
      </c>
      <c r="CW58" s="60" t="str">
        <f t="shared" si="349"/>
        <v>.</v>
      </c>
      <c r="CX58" s="60">
        <f t="shared" si="349"/>
        <v>30073.826865270716</v>
      </c>
      <c r="CY58" s="60">
        <f t="shared" si="349"/>
        <v>24674.273375034089</v>
      </c>
      <c r="CZ58" s="60">
        <f t="shared" si="349"/>
        <v>5155.5131769035506</v>
      </c>
      <c r="DA58" s="111">
        <f t="shared" si="101"/>
        <v>0.20756999999999998</v>
      </c>
      <c r="DB58" s="111" t="str">
        <f t="shared" si="102"/>
        <v>.</v>
      </c>
      <c r="DC58" s="111">
        <f t="shared" si="103"/>
        <v>6.3926475287671237E-8</v>
      </c>
      <c r="DD58" s="111">
        <f t="shared" si="104"/>
        <v>6.1646099425030104E-2</v>
      </c>
      <c r="DE58" s="111">
        <f t="shared" si="105"/>
        <v>2.8540874999999997E-2</v>
      </c>
      <c r="DF58" s="111">
        <f t="shared" si="106"/>
        <v>2.5115969999999998E-2</v>
      </c>
      <c r="DG58" s="111">
        <f t="shared" si="107"/>
        <v>3.9957224999999996E-6</v>
      </c>
      <c r="DH58" s="111">
        <f t="shared" si="108"/>
        <v>1.0529643203883497E-6</v>
      </c>
      <c r="DI58" s="111" t="str">
        <f t="shared" si="109"/>
        <v>.</v>
      </c>
      <c r="DJ58" s="111" t="str">
        <f t="shared" si="110"/>
        <v>.</v>
      </c>
      <c r="DK58" s="111" t="str">
        <f t="shared" si="111"/>
        <v>.</v>
      </c>
      <c r="DL58" s="111" t="str">
        <f t="shared" si="112"/>
        <v>.</v>
      </c>
      <c r="DM58" s="111">
        <f t="shared" si="113"/>
        <v>3.3251504854368933E-5</v>
      </c>
      <c r="DN58" s="111">
        <f t="shared" si="114"/>
        <v>4.0528042500000002E-5</v>
      </c>
      <c r="DO58" s="111">
        <f t="shared" si="115"/>
        <v>1.9396711165048546E-4</v>
      </c>
      <c r="DP58" s="60">
        <f>IFERROR(DP16/$B58,".")</f>
        <v>3.0945783251966166</v>
      </c>
      <c r="DQ58" s="189">
        <f t="shared" ref="DQ58" si="350">IFERROR(DQ16/$B58,0)</f>
        <v>4.0395387625786552E-11</v>
      </c>
      <c r="DR58" s="49">
        <f>IF(CL58=".",".",s_RadSpec!$I$16*DR16*$B$58)</f>
        <v>5.1892500000000004</v>
      </c>
      <c r="DS58" s="49" t="str">
        <f>IF(CM58=".",".",s_RadSpec!$H$16*DS16)</f>
        <v>.</v>
      </c>
      <c r="DT58" s="49">
        <f>IF(CN58=".",".",s_RadSpec!$M$16*DT16*$B$58)</f>
        <v>1.5981618821917808E-6</v>
      </c>
      <c r="DU58" s="49">
        <f>s_b2w!CC58</f>
        <v>1.5411524856257524</v>
      </c>
      <c r="DV58" s="49">
        <f>IF(CP58=".",".",s_RadSpec!$F$16*DV16*$B$58)</f>
        <v>0.71352187499999997</v>
      </c>
      <c r="DW58" s="49">
        <f>IF(CQ58=".",".",s_RadSpec!$F$16*DW16*$B$58)</f>
        <v>0.62789925000000002</v>
      </c>
      <c r="DX58" s="49">
        <f>IF(CR58=".",".",s_RadSpec!$F$16*DX16*$B$58)</f>
        <v>9.9893062499999995E-5</v>
      </c>
      <c r="DY58" s="49">
        <f>IF(CS58=".",".",s_RadSpec!$F$16*DY16*$B$58)</f>
        <v>2.6324108009708739E-5</v>
      </c>
      <c r="DZ58" s="49" t="str">
        <f>IF(CT58=".",".",s_RadSpec!$F$16*DZ16*$B$58)</f>
        <v>.</v>
      </c>
      <c r="EA58" s="49" t="str">
        <f>IF(CU58=".",".",s_RadSpec!$F$16*EA16*$B$58)</f>
        <v>.</v>
      </c>
      <c r="EB58" s="49" t="str">
        <f>IF(CV58=".",".",s_RadSpec!$F$16*EB16*$B$58)</f>
        <v>.</v>
      </c>
      <c r="EC58" s="49" t="str">
        <f>IF(CW58=".",".",s_RadSpec!$F$16*EC16*$B$58)</f>
        <v>.</v>
      </c>
      <c r="ED58" s="49">
        <f>IF(CX58=".",".",s_RadSpec!$F$16*ED16*$B$58)</f>
        <v>8.312876213592233E-4</v>
      </c>
      <c r="EE58" s="49">
        <f>IF(CY58=".",".",s_RadSpec!$F$16*EE16*$B$58)</f>
        <v>1.0132010625E-3</v>
      </c>
      <c r="EF58" s="49">
        <f>IF(CZ58=".",".",s_RadSpec!$F$16*EF16*$B$58)</f>
        <v>4.8491777912621362E-3</v>
      </c>
      <c r="EG58" s="49">
        <f t="shared" si="305"/>
        <v>8.0786450924332662</v>
      </c>
      <c r="EH58" s="60">
        <f>IFERROR(EH16/$B58,".")</f>
        <v>2.2352261158231306</v>
      </c>
      <c r="EI58" s="60">
        <f>IFERROR(EI16/$B58,".")</f>
        <v>57922168.683055773</v>
      </c>
      <c r="EJ58" s="60">
        <f>IFERROR(EJ16/$B58,".")</f>
        <v>2.2352260295653865</v>
      </c>
      <c r="EK58" s="189">
        <f t="shared" ref="EK58" si="351">IFERROR(EK16/$B58,0)</f>
        <v>2.9177746499534728E-11</v>
      </c>
      <c r="EL58" s="49">
        <f>IF(EH58=".",".",s_RadSpec!$H$16*EL16*$B$58)</f>
        <v>11.18455078125</v>
      </c>
      <c r="EM58" s="49">
        <f>IF(EI58=".",".",s_RadSpec!$K$16*EM16*$B$58)</f>
        <v>4.3161367345890415E-7</v>
      </c>
      <c r="EN58" s="49">
        <f t="shared" si="155"/>
        <v>11.184551212863672</v>
      </c>
    </row>
    <row r="59" spans="1:144" x14ac:dyDescent="0.25">
      <c r="A59" s="77" t="s">
        <v>1080</v>
      </c>
      <c r="B59" s="42">
        <v>1</v>
      </c>
      <c r="C59" s="238"/>
      <c r="D59" s="60">
        <f t="shared" ref="D59:O59" si="352">IFERROR(D7/$B59,".")</f>
        <v>124.09103318194229</v>
      </c>
      <c r="E59" s="60">
        <f t="shared" si="352"/>
        <v>496.36413272776917</v>
      </c>
      <c r="F59" s="60">
        <f t="shared" si="352"/>
        <v>496.36413272776917</v>
      </c>
      <c r="G59" s="60">
        <f t="shared" si="352"/>
        <v>496.36413272776917</v>
      </c>
      <c r="H59" s="60">
        <f t="shared" si="352"/>
        <v>496.36413272776917</v>
      </c>
      <c r="I59" s="60">
        <f t="shared" si="352"/>
        <v>496.36413272776917</v>
      </c>
      <c r="J59" s="60">
        <f t="shared" si="352"/>
        <v>496.36413272776917</v>
      </c>
      <c r="K59" s="60">
        <f t="shared" si="352"/>
        <v>496.36413272776917</v>
      </c>
      <c r="L59" s="60">
        <f t="shared" si="352"/>
        <v>496.36413272776917</v>
      </c>
      <c r="M59" s="60">
        <f t="shared" si="352"/>
        <v>496.36413272776917</v>
      </c>
      <c r="N59" s="60">
        <f t="shared" si="352"/>
        <v>496.36413272776917</v>
      </c>
      <c r="O59" s="60">
        <f t="shared" si="352"/>
        <v>496.36413272776917</v>
      </c>
      <c r="P59" s="111">
        <f t="shared" si="300"/>
        <v>2.0146499999999998E-3</v>
      </c>
      <c r="Q59" s="111">
        <f t="shared" si="300"/>
        <v>2.0146499999999998E-3</v>
      </c>
      <c r="R59" s="111">
        <f t="shared" si="300"/>
        <v>2.0146499999999998E-3</v>
      </c>
      <c r="S59" s="111">
        <f t="shared" si="300"/>
        <v>2.0146499999999998E-3</v>
      </c>
      <c r="T59" s="111">
        <f t="shared" si="300"/>
        <v>2.0146499999999998E-3</v>
      </c>
      <c r="U59" s="111">
        <f t="shared" si="300"/>
        <v>2.0146499999999998E-3</v>
      </c>
      <c r="V59" s="111">
        <f t="shared" si="300"/>
        <v>2.0146499999999998E-3</v>
      </c>
      <c r="W59" s="111">
        <f t="shared" si="300"/>
        <v>2.0146499999999998E-3</v>
      </c>
      <c r="X59" s="111">
        <f t="shared" si="59"/>
        <v>2.0146499999999998E-3</v>
      </c>
      <c r="Y59" s="111">
        <f t="shared" si="59"/>
        <v>2.0146499999999998E-3</v>
      </c>
      <c r="Z59" s="111">
        <f t="shared" si="59"/>
        <v>2.0146499999999998E-3</v>
      </c>
      <c r="AA59" s="111">
        <f t="shared" si="59"/>
        <v>2.0146499999999998E-3</v>
      </c>
      <c r="AB59" s="60">
        <f>IFERROR(AB7/$B59,".")</f>
        <v>41.363677727314098</v>
      </c>
      <c r="AC59" s="189">
        <f>IFERROR(AC7/$B59,0)</f>
        <v>3.3404218211192151E-10</v>
      </c>
      <c r="AD59" s="49">
        <f>s_dir!BC59</f>
        <v>0.20146500000000001</v>
      </c>
      <c r="AE59" s="49">
        <f>IF(E59=".",".",s_RadSpec!$F$7*AE7*$B$59)</f>
        <v>5.0366250000000001E-2</v>
      </c>
      <c r="AF59" s="49">
        <f>IF(F59=".",".",s_RadSpec!$F$7*AF7*$B$59)</f>
        <v>5.0366250000000001E-2</v>
      </c>
      <c r="AG59" s="49">
        <f>IF(G59=".",".",s_RadSpec!$F$7*AG7*$B$59)</f>
        <v>5.0366250000000001E-2</v>
      </c>
      <c r="AH59" s="49">
        <f>IF(H59=".",".",s_RadSpec!$F$7*AH7*$B$59)</f>
        <v>5.0366250000000001E-2</v>
      </c>
      <c r="AI59" s="49">
        <f>IF(I59=".",".",s_RadSpec!$F$7*AI7*$B$59)</f>
        <v>5.0366250000000001E-2</v>
      </c>
      <c r="AJ59" s="49">
        <f>IF(J59=".",".",s_RadSpec!$F$7*AJ7*$B$59)</f>
        <v>5.0366250000000001E-2</v>
      </c>
      <c r="AK59" s="49">
        <f>IF(K59=".",".",s_RadSpec!$F$7*AK7*$B$59)</f>
        <v>5.0366250000000001E-2</v>
      </c>
      <c r="AL59" s="49">
        <f>IF(L59=".",".",s_RadSpec!$F$7*AL7*$B$59)</f>
        <v>5.0366250000000001E-2</v>
      </c>
      <c r="AM59" s="49">
        <f>IF(M59=".",".",s_RadSpec!$F$7*AM7*$B$59)</f>
        <v>5.0366250000000001E-2</v>
      </c>
      <c r="AN59" s="49">
        <f>IF(N59=".",".",s_RadSpec!$F$7*AN7*$B$59)</f>
        <v>5.0366250000000001E-2</v>
      </c>
      <c r="AO59" s="49">
        <f>IF(O59=".",".",s_RadSpec!$F$7*AO7*$B$59)</f>
        <v>5.0366250000000001E-2</v>
      </c>
      <c r="AP59" s="60">
        <f t="shared" ref="AP59:BD59" si="353">IFERROR(AP7/$B59,".")</f>
        <v>248182.06636388457</v>
      </c>
      <c r="AQ59" s="60">
        <f t="shared" si="353"/>
        <v>28600442.291690964</v>
      </c>
      <c r="AR59" s="60">
        <f t="shared" si="353"/>
        <v>349592.5839418773</v>
      </c>
      <c r="AS59" s="60">
        <f t="shared" si="353"/>
        <v>1093.3130676823109</v>
      </c>
      <c r="AT59" s="60">
        <f t="shared" si="353"/>
        <v>15883.652247288614</v>
      </c>
      <c r="AU59" s="60" t="str">
        <f t="shared" si="353"/>
        <v>.</v>
      </c>
      <c r="AV59" s="60">
        <f t="shared" si="353"/>
        <v>1654.5471090925639</v>
      </c>
      <c r="AW59" s="60">
        <f t="shared" si="353"/>
        <v>3408.3670447306822</v>
      </c>
      <c r="AX59" s="60" t="str">
        <f t="shared" si="353"/>
        <v>.</v>
      </c>
      <c r="AY59" s="60" t="str">
        <f t="shared" si="353"/>
        <v>.</v>
      </c>
      <c r="AZ59" s="60" t="str">
        <f t="shared" si="353"/>
        <v>.</v>
      </c>
      <c r="BA59" s="60" t="str">
        <f t="shared" si="353"/>
        <v>.</v>
      </c>
      <c r="BB59" s="60" t="str">
        <f t="shared" si="353"/>
        <v>.</v>
      </c>
      <c r="BC59" s="60" t="str">
        <f t="shared" si="353"/>
        <v>.</v>
      </c>
      <c r="BD59" s="60" t="str">
        <f t="shared" si="353"/>
        <v>.</v>
      </c>
      <c r="BE59" s="111">
        <f t="shared" si="69"/>
        <v>4.0292999999999997E-6</v>
      </c>
      <c r="BF59" s="111">
        <f t="shared" si="70"/>
        <v>3.4964494248066966E-8</v>
      </c>
      <c r="BG59" s="111">
        <f t="shared" si="71"/>
        <v>2.8604725784636737E-6</v>
      </c>
      <c r="BH59" s="111">
        <f t="shared" si="72"/>
        <v>9.1465109999999987E-4</v>
      </c>
      <c r="BI59" s="111">
        <f t="shared" si="73"/>
        <v>6.2957812499999993E-5</v>
      </c>
      <c r="BJ59" s="111" t="str">
        <f t="shared" si="74"/>
        <v>.</v>
      </c>
      <c r="BK59" s="111">
        <f t="shared" si="75"/>
        <v>6.0439499999999987E-4</v>
      </c>
      <c r="BL59" s="111">
        <f t="shared" si="76"/>
        <v>2.9339563106796108E-4</v>
      </c>
      <c r="BM59" s="111" t="str">
        <f t="shared" si="77"/>
        <v>.</v>
      </c>
      <c r="BN59" s="111" t="str">
        <f t="shared" si="78"/>
        <v>.</v>
      </c>
      <c r="BO59" s="111" t="str">
        <f t="shared" si="79"/>
        <v>.</v>
      </c>
      <c r="BP59" s="111" t="str">
        <f t="shared" si="80"/>
        <v>.</v>
      </c>
      <c r="BQ59" s="111" t="str">
        <f t="shared" si="81"/>
        <v>.</v>
      </c>
      <c r="BR59" s="111" t="str">
        <f t="shared" si="82"/>
        <v>.</v>
      </c>
      <c r="BS59" s="111" t="str">
        <f t="shared" si="83"/>
        <v>.</v>
      </c>
      <c r="BT59" s="60">
        <f>IFERROR(BT7/$B59,".")</f>
        <v>531.25808888765835</v>
      </c>
      <c r="BU59" s="189">
        <f>IFERROR(BU7/$B59,0)</f>
        <v>4.2903005977018538E-9</v>
      </c>
      <c r="BV59" s="49">
        <f>IF(AP59=".",".",s_RadSpec!$E$7*BV7*$B$59)</f>
        <v>1.0073249999999999E-4</v>
      </c>
      <c r="BW59" s="49">
        <f>IF(AQ59=".",".",s_RadSpec!$H$7*BW7*$B$59)</f>
        <v>8.7411235620167426E-7</v>
      </c>
      <c r="BX59" s="49">
        <f>IF(AR59=".",".",s_RadSpec!$G$7*BX7*$B$59)</f>
        <v>7.1511814461591838E-5</v>
      </c>
      <c r="BY59" s="49">
        <f>s_b2s!CC59</f>
        <v>2.2866277500000001E-2</v>
      </c>
      <c r="BZ59" s="49">
        <f>IF(AT59=".",".",s_RadSpec!$F$7*BZ7*$B$59)</f>
        <v>1.5739453125E-3</v>
      </c>
      <c r="CA59" s="49" t="str">
        <f>IF(AU59=".",".",s_RadSpec!$F$7*CA7*$B$59)</f>
        <v>.</v>
      </c>
      <c r="CB59" s="49">
        <f>IF(AV59=".",".",s_RadSpec!$F$7*CB7*$B$59)</f>
        <v>1.5109875E-2</v>
      </c>
      <c r="CC59" s="49">
        <f>IF(AW59=".",".",s_RadSpec!$F$7*CC7*$B$59)</f>
        <v>7.3348907766990299E-3</v>
      </c>
      <c r="CD59" s="49" t="str">
        <f>IF(AX59=".",".",s_RadSpec!$F$7*CD7*$B$59)</f>
        <v>.</v>
      </c>
      <c r="CE59" s="49" t="str">
        <f>IF(AY59=".",".",s_RadSpec!$F$7*CE7*$B$59)</f>
        <v>.</v>
      </c>
      <c r="CF59" s="49" t="str">
        <f>IF(AZ59=".",".",s_RadSpec!$F$7*CF7*$B$59)</f>
        <v>.</v>
      </c>
      <c r="CG59" s="49" t="str">
        <f>IF(BA59=".",".",s_RadSpec!$F$7*CG7*$B$59)</f>
        <v>.</v>
      </c>
      <c r="CH59" s="49" t="str">
        <f>IF(BB59=".",".",s_RadSpec!$F$7*CH7*$B$59)</f>
        <v>.</v>
      </c>
      <c r="CI59" s="49" t="str">
        <f>IF(BC59=".",".",s_RadSpec!$F$7*CI7*$B$59)</f>
        <v>.</v>
      </c>
      <c r="CJ59" s="49" t="str">
        <f>IF(BD59=".",".",s_RadSpec!$F$7*CJ7*$B$59)</f>
        <v>.</v>
      </c>
      <c r="CK59" s="49">
        <f t="shared" si="302"/>
        <v>4.7058107016016822E-2</v>
      </c>
      <c r="CL59" s="60">
        <f>IFERROR(CL7/$B59,".")</f>
        <v>2730.00273000273</v>
      </c>
      <c r="CM59" s="60" t="str">
        <f>IFERROR(CM7,".")</f>
        <v>.</v>
      </c>
      <c r="CN59" s="60">
        <f t="shared" ref="CN59:CZ59" si="354">IFERROR(CN7/$B59,".")</f>
        <v>5721757.8543874314</v>
      </c>
      <c r="CO59" s="60">
        <f t="shared" si="354"/>
        <v>3931.0515157028094</v>
      </c>
      <c r="CP59" s="60">
        <f t="shared" si="354"/>
        <v>33090.942181851278</v>
      </c>
      <c r="CQ59" s="60" t="str">
        <f t="shared" si="354"/>
        <v>.</v>
      </c>
      <c r="CR59" s="60">
        <f t="shared" si="354"/>
        <v>49636413.272776917</v>
      </c>
      <c r="CS59" s="60">
        <f t="shared" si="354"/>
        <v>102251011.34192045</v>
      </c>
      <c r="CT59" s="60" t="str">
        <f t="shared" si="354"/>
        <v>.</v>
      </c>
      <c r="CU59" s="60" t="str">
        <f t="shared" si="354"/>
        <v>.</v>
      </c>
      <c r="CV59" s="60" t="str">
        <f t="shared" si="354"/>
        <v>.</v>
      </c>
      <c r="CW59" s="60" t="str">
        <f t="shared" si="354"/>
        <v>.</v>
      </c>
      <c r="CX59" s="60" t="str">
        <f t="shared" si="354"/>
        <v>.</v>
      </c>
      <c r="CY59" s="60" t="str">
        <f t="shared" si="354"/>
        <v>.</v>
      </c>
      <c r="CZ59" s="60" t="str">
        <f t="shared" si="354"/>
        <v>.</v>
      </c>
      <c r="DA59" s="111">
        <f t="shared" si="101"/>
        <v>3.6630000000000001E-4</v>
      </c>
      <c r="DB59" s="111" t="str">
        <f t="shared" si="102"/>
        <v>.</v>
      </c>
      <c r="DC59" s="111">
        <f t="shared" si="103"/>
        <v>1.747714645479452E-7</v>
      </c>
      <c r="DD59" s="111">
        <f t="shared" si="104"/>
        <v>2.543848626774396E-4</v>
      </c>
      <c r="DE59" s="111">
        <f t="shared" si="105"/>
        <v>3.0219749999999995E-5</v>
      </c>
      <c r="DF59" s="111" t="str">
        <f t="shared" si="106"/>
        <v>.</v>
      </c>
      <c r="DG59" s="111">
        <f t="shared" si="107"/>
        <v>2.0146499999999998E-8</v>
      </c>
      <c r="DH59" s="111">
        <f t="shared" si="108"/>
        <v>9.779854368932038E-9</v>
      </c>
      <c r="DI59" s="111" t="str">
        <f t="shared" si="109"/>
        <v>.</v>
      </c>
      <c r="DJ59" s="111" t="str">
        <f t="shared" si="110"/>
        <v>.</v>
      </c>
      <c r="DK59" s="111" t="str">
        <f t="shared" si="111"/>
        <v>.</v>
      </c>
      <c r="DL59" s="111" t="str">
        <f t="shared" si="112"/>
        <v>.</v>
      </c>
      <c r="DM59" s="111" t="str">
        <f t="shared" si="113"/>
        <v>.</v>
      </c>
      <c r="DN59" s="111" t="str">
        <f t="shared" si="114"/>
        <v>.</v>
      </c>
      <c r="DO59" s="111" t="str">
        <f t="shared" si="115"/>
        <v>.</v>
      </c>
      <c r="DP59" s="60">
        <f>IFERROR(DP7/$B59,".")</f>
        <v>1535.8404247632027</v>
      </c>
      <c r="DQ59" s="189">
        <f t="shared" ref="DQ59" si="355">IFERROR(DQ7/$B59,0)</f>
        <v>1.2403043323317032E-11</v>
      </c>
      <c r="DR59" s="49">
        <f>IF(CL59=".",".",s_RadSpec!$I$7*DR7*$B$59)</f>
        <v>9.157499999999999E-3</v>
      </c>
      <c r="DS59" s="49" t="str">
        <f>IF(CM59=".",".",s_RadSpec!$H$7*DS7)</f>
        <v>.</v>
      </c>
      <c r="DT59" s="49">
        <f>IF(CN59=".",".",s_RadSpec!$M$7*DT7*$B$59)</f>
        <v>4.3692866136986297E-6</v>
      </c>
      <c r="DU59" s="49">
        <f>s_b2w!CC59</f>
        <v>6.3596215669359905E-3</v>
      </c>
      <c r="DV59" s="49">
        <f>IF(CP59=".",".",s_RadSpec!$F$7*DV7*$B$59)</f>
        <v>7.5549375000000002E-4</v>
      </c>
      <c r="DW59" s="49" t="str">
        <f>IF(CQ59=".",".",s_RadSpec!$F$7*DW7*$B$59)</f>
        <v>.</v>
      </c>
      <c r="DX59" s="49">
        <f>IF(CR59=".",".",s_RadSpec!$F$7*DX7*$B$59)</f>
        <v>5.0366249999999996E-7</v>
      </c>
      <c r="DY59" s="49">
        <f>IF(CS59=".",".",s_RadSpec!$F$7*DY7*$B$59)</f>
        <v>2.4449635922330099E-7</v>
      </c>
      <c r="DZ59" s="49" t="str">
        <f>IF(CT59=".",".",s_RadSpec!$F$7*DZ7*$B$59)</f>
        <v>.</v>
      </c>
      <c r="EA59" s="49" t="str">
        <f>IF(CU59=".",".",s_RadSpec!$F$7*EA7*$B$59)</f>
        <v>.</v>
      </c>
      <c r="EB59" s="49" t="str">
        <f>IF(CV59=".",".",s_RadSpec!$F$7*EB7*$B$59)</f>
        <v>.</v>
      </c>
      <c r="EC59" s="49" t="str">
        <f>IF(CW59=".",".",s_RadSpec!$F$7*EC7*$B$59)</f>
        <v>.</v>
      </c>
      <c r="ED59" s="49" t="str">
        <f>IF(CX59=".",".",s_RadSpec!$F$7*ED7*$B$59)</f>
        <v>.</v>
      </c>
      <c r="EE59" s="49" t="str">
        <f>IF(CY59=".",".",s_RadSpec!$F$7*EE7*$B$59)</f>
        <v>.</v>
      </c>
      <c r="EF59" s="49" t="str">
        <f>IF(CZ59=".",".",s_RadSpec!$F$7*EF7*$B$59)</f>
        <v>.</v>
      </c>
      <c r="EG59" s="49">
        <f t="shared" si="305"/>
        <v>1.6277732762408913E-2</v>
      </c>
      <c r="EH59" s="60">
        <f>IFERROR(EH7/$B59,".")</f>
        <v>92.317900537078629</v>
      </c>
      <c r="EI59" s="60">
        <f>IFERROR(EI7/$B59,".")</f>
        <v>10574163.352604371</v>
      </c>
      <c r="EJ59" s="60">
        <f>IFERROR(EJ7/$B59,".")</f>
        <v>92.3170945612232</v>
      </c>
      <c r="EK59" s="189">
        <f t="shared" ref="EK59" si="356">IFERROR(EK7/$B59,0)</f>
        <v>7.4552857501595305E-13</v>
      </c>
      <c r="EL59" s="49">
        <f>IF(EH59=".",".",s_RadSpec!$H$7*EL7*$B$59)</f>
        <v>0.27080338541666665</v>
      </c>
      <c r="EM59" s="49">
        <f>IF(EI59=".",".",s_RadSpec!$K$7*EM7*$B$59)</f>
        <v>2.3642532431506849E-6</v>
      </c>
      <c r="EN59" s="49">
        <f t="shared" si="155"/>
        <v>0.27080574966990978</v>
      </c>
    </row>
    <row r="60" spans="1:144" x14ac:dyDescent="0.25">
      <c r="A60" s="77" t="s">
        <v>1081</v>
      </c>
      <c r="B60" s="80">
        <v>1.9000000000000001E-8</v>
      </c>
      <c r="C60" s="241"/>
      <c r="D60" s="60" t="str">
        <f t="shared" ref="D60:O60" si="357">IFERROR(D12/$B60,".")</f>
        <v>.</v>
      </c>
      <c r="E60" s="60" t="str">
        <f t="shared" si="357"/>
        <v>.</v>
      </c>
      <c r="F60" s="60" t="str">
        <f t="shared" si="357"/>
        <v>.</v>
      </c>
      <c r="G60" s="60" t="str">
        <f t="shared" si="357"/>
        <v>.</v>
      </c>
      <c r="H60" s="60" t="str">
        <f t="shared" si="357"/>
        <v>.</v>
      </c>
      <c r="I60" s="60" t="str">
        <f t="shared" si="357"/>
        <v>.</v>
      </c>
      <c r="J60" s="60" t="str">
        <f t="shared" si="357"/>
        <v>.</v>
      </c>
      <c r="K60" s="60" t="str">
        <f t="shared" si="357"/>
        <v>.</v>
      </c>
      <c r="L60" s="60" t="str">
        <f t="shared" si="357"/>
        <v>.</v>
      </c>
      <c r="M60" s="60" t="str">
        <f t="shared" si="357"/>
        <v>.</v>
      </c>
      <c r="N60" s="60" t="str">
        <f t="shared" si="357"/>
        <v>.</v>
      </c>
      <c r="O60" s="60" t="str">
        <f t="shared" si="357"/>
        <v>.</v>
      </c>
      <c r="P60" s="111" t="str">
        <f t="shared" si="300"/>
        <v>.</v>
      </c>
      <c r="Q60" s="111" t="str">
        <f t="shared" si="300"/>
        <v>.</v>
      </c>
      <c r="R60" s="111" t="str">
        <f t="shared" si="300"/>
        <v>.</v>
      </c>
      <c r="S60" s="111" t="str">
        <f t="shared" si="300"/>
        <v>.</v>
      </c>
      <c r="T60" s="111" t="str">
        <f t="shared" si="300"/>
        <v>.</v>
      </c>
      <c r="U60" s="111" t="str">
        <f t="shared" si="300"/>
        <v>.</v>
      </c>
      <c r="V60" s="111" t="str">
        <f t="shared" si="300"/>
        <v>.</v>
      </c>
      <c r="W60" s="111" t="str">
        <f t="shared" si="300"/>
        <v>.</v>
      </c>
      <c r="X60" s="111" t="str">
        <f t="shared" si="59"/>
        <v>.</v>
      </c>
      <c r="Y60" s="111" t="str">
        <f t="shared" si="59"/>
        <v>.</v>
      </c>
      <c r="Z60" s="111" t="str">
        <f t="shared" si="59"/>
        <v>.</v>
      </c>
      <c r="AA60" s="111" t="str">
        <f t="shared" si="59"/>
        <v>.</v>
      </c>
      <c r="AB60" s="60" t="str">
        <f>IFERROR(AB12/$B60,".")</f>
        <v>.</v>
      </c>
      <c r="AC60" s="189">
        <f>IFERROR(AC12/$B60,0)</f>
        <v>0</v>
      </c>
      <c r="AD60" s="49" t="str">
        <f>s_dir!BC60</f>
        <v>.</v>
      </c>
      <c r="AE60" s="49" t="str">
        <f>IF(E60=".",".",s_RadSpec!$F$12*AE12*$B$60)</f>
        <v>.</v>
      </c>
      <c r="AF60" s="49" t="str">
        <f>IF(F60=".",".",s_RadSpec!$F$12*AF12*$B$60)</f>
        <v>.</v>
      </c>
      <c r="AG60" s="49" t="str">
        <f>IF(G60=".",".",s_RadSpec!$F$12*AG12*$B$60)</f>
        <v>.</v>
      </c>
      <c r="AH60" s="49" t="str">
        <f>IF(H60=".",".",s_RadSpec!$F$12*AH12*$B$60)</f>
        <v>.</v>
      </c>
      <c r="AI60" s="49" t="str">
        <f>IF(I60=".",".",s_RadSpec!$F$12*AI12*$B$60)</f>
        <v>.</v>
      </c>
      <c r="AJ60" s="49" t="str">
        <f>IF(J60=".",".",s_RadSpec!$F$12*AJ12*$B$60)</f>
        <v>.</v>
      </c>
      <c r="AK60" s="49" t="str">
        <f>IF(K60=".",".",s_RadSpec!$F$12*AK12*$B$60)</f>
        <v>.</v>
      </c>
      <c r="AL60" s="49" t="str">
        <f>IF(L60=".",".",s_RadSpec!$F$12*AL12*$B$60)</f>
        <v>.</v>
      </c>
      <c r="AM60" s="49" t="str">
        <f>IF(M60=".",".",s_RadSpec!$F$12*AM12*$B$60)</f>
        <v>.</v>
      </c>
      <c r="AN60" s="49" t="str">
        <f>IF(N60=".",".",s_RadSpec!$F$12*AN12*$B$60)</f>
        <v>.</v>
      </c>
      <c r="AO60" s="49" t="str">
        <f>IF(O60=".",".",s_RadSpec!$F$12*AO12*$B$60)</f>
        <v>.</v>
      </c>
      <c r="AP60" s="60" t="str">
        <f t="shared" ref="AP60:BD60" si="358">IFERROR(AP12/$B60,".")</f>
        <v>.</v>
      </c>
      <c r="AQ60" s="60" t="str">
        <f t="shared" si="358"/>
        <v>.</v>
      </c>
      <c r="AR60" s="60">
        <f t="shared" si="358"/>
        <v>127565923619.91016</v>
      </c>
      <c r="AS60" s="60" t="str">
        <f t="shared" si="358"/>
        <v>.</v>
      </c>
      <c r="AT60" s="60" t="str">
        <f t="shared" si="358"/>
        <v>.</v>
      </c>
      <c r="AU60" s="60" t="str">
        <f t="shared" si="358"/>
        <v>.</v>
      </c>
      <c r="AV60" s="60" t="str">
        <f t="shared" si="358"/>
        <v>.</v>
      </c>
      <c r="AW60" s="60" t="str">
        <f t="shared" si="358"/>
        <v>.</v>
      </c>
      <c r="AX60" s="60" t="str">
        <f t="shared" si="358"/>
        <v>.</v>
      </c>
      <c r="AY60" s="60" t="str">
        <f t="shared" si="358"/>
        <v>.</v>
      </c>
      <c r="AZ60" s="60" t="str">
        <f t="shared" si="358"/>
        <v>.</v>
      </c>
      <c r="BA60" s="60" t="str">
        <f t="shared" si="358"/>
        <v>.</v>
      </c>
      <c r="BB60" s="60" t="str">
        <f t="shared" si="358"/>
        <v>.</v>
      </c>
      <c r="BC60" s="60" t="str">
        <f t="shared" si="358"/>
        <v>.</v>
      </c>
      <c r="BD60" s="60" t="str">
        <f t="shared" si="358"/>
        <v>.</v>
      </c>
      <c r="BE60" s="111" t="str">
        <f t="shared" si="69"/>
        <v>.</v>
      </c>
      <c r="BF60" s="111" t="str">
        <f t="shared" si="70"/>
        <v>.</v>
      </c>
      <c r="BG60" s="111">
        <f t="shared" si="71"/>
        <v>7.8390840721661399E-12</v>
      </c>
      <c r="BH60" s="111" t="str">
        <f t="shared" si="72"/>
        <v>.</v>
      </c>
      <c r="BI60" s="111" t="str">
        <f t="shared" si="73"/>
        <v>.</v>
      </c>
      <c r="BJ60" s="111" t="str">
        <f t="shared" si="74"/>
        <v>.</v>
      </c>
      <c r="BK60" s="111" t="str">
        <f t="shared" si="75"/>
        <v>.</v>
      </c>
      <c r="BL60" s="111" t="str">
        <f t="shared" si="76"/>
        <v>.</v>
      </c>
      <c r="BM60" s="111" t="str">
        <f t="shared" si="77"/>
        <v>.</v>
      </c>
      <c r="BN60" s="111" t="str">
        <f t="shared" si="78"/>
        <v>.</v>
      </c>
      <c r="BO60" s="111" t="str">
        <f t="shared" si="79"/>
        <v>.</v>
      </c>
      <c r="BP60" s="111" t="str">
        <f t="shared" si="80"/>
        <v>.</v>
      </c>
      <c r="BQ60" s="111" t="str">
        <f t="shared" si="81"/>
        <v>.</v>
      </c>
      <c r="BR60" s="111" t="str">
        <f t="shared" si="82"/>
        <v>.</v>
      </c>
      <c r="BS60" s="111" t="str">
        <f t="shared" si="83"/>
        <v>.</v>
      </c>
      <c r="BT60" s="60">
        <f>IFERROR(BT12/$B60,".")</f>
        <v>127565923619.91016</v>
      </c>
      <c r="BU60" s="189">
        <f>IFERROR(BU12/$B60,0)</f>
        <v>1.1409383593289741E-3</v>
      </c>
      <c r="BV60" s="49" t="str">
        <f>IF(AP60=".",".",s_RadSpec!$E$12*BV12*$B$60)</f>
        <v>.</v>
      </c>
      <c r="BW60" s="49" t="str">
        <f>IF(AQ60=".",".",s_RadSpec!$H$12*BW12*$B$60)</f>
        <v>.</v>
      </c>
      <c r="BX60" s="49">
        <f>IF(AR60=".",".",s_RadSpec!$G$12*BX12*$B$60)</f>
        <v>1.9597710180415351E-10</v>
      </c>
      <c r="BY60" s="49" t="str">
        <f>s_b2s!CC60</f>
        <v>.</v>
      </c>
      <c r="BZ60" s="49" t="str">
        <f>IF(AT60=".",".",s_RadSpec!$F$12*BZ12*$B$60)</f>
        <v>.</v>
      </c>
      <c r="CA60" s="49" t="str">
        <f>IF(AU60=".",".",s_RadSpec!$F$12*CA12*$B$60)</f>
        <v>.</v>
      </c>
      <c r="CB60" s="49" t="str">
        <f>IF(AV60=".",".",s_RadSpec!$F$12*CB12*$B$60)</f>
        <v>.</v>
      </c>
      <c r="CC60" s="49" t="str">
        <f>IF(AW60=".",".",s_RadSpec!$F$12*CC12*$B$60)</f>
        <v>.</v>
      </c>
      <c r="CD60" s="49" t="str">
        <f>IF(AX60=".",".",s_RadSpec!$F$12*CD12*$B$60)</f>
        <v>.</v>
      </c>
      <c r="CE60" s="49" t="str">
        <f>IF(AY60=".",".",s_RadSpec!$F$12*CE12*$B$60)</f>
        <v>.</v>
      </c>
      <c r="CF60" s="49" t="str">
        <f>IF(AZ60=".",".",s_RadSpec!$F$12*CF12*$B$60)</f>
        <v>.</v>
      </c>
      <c r="CG60" s="49" t="str">
        <f>IF(BA60=".",".",s_RadSpec!$F$12*CG12*$B$60)</f>
        <v>.</v>
      </c>
      <c r="CH60" s="49" t="str">
        <f>IF(BB60=".",".",s_RadSpec!$F$12*CH12*$B$60)</f>
        <v>.</v>
      </c>
      <c r="CI60" s="49" t="str">
        <f>IF(BC60=".",".",s_RadSpec!$F$12*CI12*$B$60)</f>
        <v>.</v>
      </c>
      <c r="CJ60" s="49" t="str">
        <f>IF(BD60=".",".",s_RadSpec!$F$12*CJ12*$B$60)</f>
        <v>.</v>
      </c>
      <c r="CK60" s="49">
        <f t="shared" si="302"/>
        <v>1.9597710180415351E-10</v>
      </c>
      <c r="CL60" s="60" t="str">
        <f>IFERROR(CL12/$B60,".")</f>
        <v>.</v>
      </c>
      <c r="CM60" s="60" t="str">
        <f>IFERROR(CM12,".")</f>
        <v>.</v>
      </c>
      <c r="CN60" s="60">
        <f t="shared" ref="CN60:CZ60" si="359">IFERROR(CN12/$B60,".")</f>
        <v>7541281913345.6621</v>
      </c>
      <c r="CO60" s="60" t="str">
        <f t="shared" si="359"/>
        <v>.</v>
      </c>
      <c r="CP60" s="60" t="str">
        <f t="shared" si="359"/>
        <v>.</v>
      </c>
      <c r="CQ60" s="60" t="str">
        <f t="shared" si="359"/>
        <v>.</v>
      </c>
      <c r="CR60" s="60" t="str">
        <f t="shared" si="359"/>
        <v>.</v>
      </c>
      <c r="CS60" s="60" t="str">
        <f t="shared" si="359"/>
        <v>.</v>
      </c>
      <c r="CT60" s="60" t="str">
        <f t="shared" si="359"/>
        <v>.</v>
      </c>
      <c r="CU60" s="60" t="str">
        <f t="shared" si="359"/>
        <v>.</v>
      </c>
      <c r="CV60" s="60" t="str">
        <f t="shared" si="359"/>
        <v>.</v>
      </c>
      <c r="CW60" s="60" t="str">
        <f t="shared" si="359"/>
        <v>.</v>
      </c>
      <c r="CX60" s="60" t="str">
        <f t="shared" si="359"/>
        <v>.</v>
      </c>
      <c r="CY60" s="60" t="str">
        <f t="shared" si="359"/>
        <v>.</v>
      </c>
      <c r="CZ60" s="60" t="str">
        <f t="shared" si="359"/>
        <v>.</v>
      </c>
      <c r="DA60" s="111" t="str">
        <f t="shared" si="101"/>
        <v>.</v>
      </c>
      <c r="DB60" s="111" t="str">
        <f t="shared" si="102"/>
        <v>.</v>
      </c>
      <c r="DC60" s="111">
        <f t="shared" si="103"/>
        <v>1.3260345011506851E-13</v>
      </c>
      <c r="DD60" s="111" t="str">
        <f t="shared" si="104"/>
        <v>.</v>
      </c>
      <c r="DE60" s="111" t="str">
        <f t="shared" si="105"/>
        <v>.</v>
      </c>
      <c r="DF60" s="111" t="str">
        <f t="shared" si="106"/>
        <v>.</v>
      </c>
      <c r="DG60" s="111" t="str">
        <f t="shared" si="107"/>
        <v>.</v>
      </c>
      <c r="DH60" s="111" t="str">
        <f t="shared" si="108"/>
        <v>.</v>
      </c>
      <c r="DI60" s="111" t="str">
        <f t="shared" si="109"/>
        <v>.</v>
      </c>
      <c r="DJ60" s="111" t="str">
        <f t="shared" si="110"/>
        <v>.</v>
      </c>
      <c r="DK60" s="111" t="str">
        <f t="shared" si="111"/>
        <v>.</v>
      </c>
      <c r="DL60" s="111" t="str">
        <f t="shared" si="112"/>
        <v>.</v>
      </c>
      <c r="DM60" s="111" t="str">
        <f t="shared" si="113"/>
        <v>.</v>
      </c>
      <c r="DN60" s="111" t="str">
        <f t="shared" si="114"/>
        <v>.</v>
      </c>
      <c r="DO60" s="111" t="str">
        <f t="shared" si="115"/>
        <v>.</v>
      </c>
      <c r="DP60" s="60">
        <f>IFERROR(DP12/$B60,".")</f>
        <v>7541281913345.6621</v>
      </c>
      <c r="DQ60" s="189">
        <f t="shared" ref="DQ60" si="360">IFERROR(DQ12/$B60,0)</f>
        <v>6.7448559688137248E-5</v>
      </c>
      <c r="DR60" s="49" t="str">
        <f>IF(CL60=".",".",s_RadSpec!$I$12*DR12*$B$60)</f>
        <v>.</v>
      </c>
      <c r="DS60" s="49" t="str">
        <f>IF(CM60=".",".",s_RadSpec!$H$12*DS12)</f>
        <v>.</v>
      </c>
      <c r="DT60" s="49">
        <f>IF(CN60=".",".",s_RadSpec!$M$12*DT12*$B$60)</f>
        <v>3.3150862528767125E-12</v>
      </c>
      <c r="DU60" s="49" t="str">
        <f>s_b2w!CC60</f>
        <v>.</v>
      </c>
      <c r="DV60" s="49" t="str">
        <f>IF(CP60=".",".",s_RadSpec!$F$12*DV12*$B$60)</f>
        <v>.</v>
      </c>
      <c r="DW60" s="49" t="str">
        <f>IF(CQ60=".",".",s_RadSpec!$F$12*DW12*$B$60)</f>
        <v>.</v>
      </c>
      <c r="DX60" s="49" t="str">
        <f>IF(CR60=".",".",s_RadSpec!$F$12*DX12*$B$60)</f>
        <v>.</v>
      </c>
      <c r="DY60" s="49" t="str">
        <f>IF(CS60=".",".",s_RadSpec!$F$12*DY12*$B$60)</f>
        <v>.</v>
      </c>
      <c r="DZ60" s="49" t="str">
        <f>IF(CT60=".",".",s_RadSpec!$F$12*DZ12*$B$60)</f>
        <v>.</v>
      </c>
      <c r="EA60" s="49" t="str">
        <f>IF(CU60=".",".",s_RadSpec!$F$12*EA12*$B$60)</f>
        <v>.</v>
      </c>
      <c r="EB60" s="49" t="str">
        <f>IF(CV60=".",".",s_RadSpec!$F$12*EB12*$B$60)</f>
        <v>.</v>
      </c>
      <c r="EC60" s="49" t="str">
        <f>IF(CW60=".",".",s_RadSpec!$F$12*EC12*$B$60)</f>
        <v>.</v>
      </c>
      <c r="ED60" s="49" t="str">
        <f>IF(CX60=".",".",s_RadSpec!$F$12*ED12*$B$60)</f>
        <v>.</v>
      </c>
      <c r="EE60" s="49" t="str">
        <f>IF(CY60=".",".",s_RadSpec!$F$12*EE12*$B$60)</f>
        <v>.</v>
      </c>
      <c r="EF60" s="49" t="str">
        <f>IF(CZ60=".",".",s_RadSpec!$F$12*EF12*$B$60)</f>
        <v>.</v>
      </c>
      <c r="EG60" s="49">
        <f t="shared" si="305"/>
        <v>3.3150862528767125E-12</v>
      </c>
      <c r="EH60" s="60" t="str">
        <f>IFERROR(EH12/$B60,".")</f>
        <v>.</v>
      </c>
      <c r="EI60" s="60">
        <f>IFERROR(EI12/$B60,".")</f>
        <v>25824821516205.293</v>
      </c>
      <c r="EJ60" s="60">
        <f>IFERROR(EJ12/$B60,".")</f>
        <v>25824821516205.293</v>
      </c>
      <c r="EK60" s="189">
        <f t="shared" ref="EK60" si="361">IFERROR(EK12/$B60,0)</f>
        <v>2.3097492382412468E-4</v>
      </c>
      <c r="EL60" s="49" t="str">
        <f>IF(EH60=".",".",s_RadSpec!$H$12*EL12*$B$60)</f>
        <v>.</v>
      </c>
      <c r="EM60" s="49">
        <f>IF(EI60=".",".",s_RadSpec!$K$12*EM12*$B$60)</f>
        <v>9.6806090157534239E-13</v>
      </c>
      <c r="EN60" s="49">
        <f t="shared" si="155"/>
        <v>9.6806090157534239E-13</v>
      </c>
    </row>
    <row r="61" spans="1:144" x14ac:dyDescent="0.25">
      <c r="A61" s="77" t="s">
        <v>1082</v>
      </c>
      <c r="B61" s="42">
        <v>1</v>
      </c>
      <c r="C61" s="238"/>
      <c r="D61" s="60">
        <f t="shared" ref="D61:O61" si="362">IFERROR(D18/$B61,".")</f>
        <v>0.12763649127285492</v>
      </c>
      <c r="E61" s="60">
        <f t="shared" si="362"/>
        <v>0.5105459650914197</v>
      </c>
      <c r="F61" s="60">
        <f t="shared" si="362"/>
        <v>0.5105459650914197</v>
      </c>
      <c r="G61" s="60">
        <f t="shared" si="362"/>
        <v>0.5105459650914197</v>
      </c>
      <c r="H61" s="60">
        <f t="shared" si="362"/>
        <v>0.5105459650914197</v>
      </c>
      <c r="I61" s="60">
        <f t="shared" si="362"/>
        <v>0.5105459650914197</v>
      </c>
      <c r="J61" s="60">
        <f t="shared" si="362"/>
        <v>0.5105459650914197</v>
      </c>
      <c r="K61" s="60">
        <f t="shared" si="362"/>
        <v>0.5105459650914197</v>
      </c>
      <c r="L61" s="60">
        <f t="shared" si="362"/>
        <v>0.5105459650914197</v>
      </c>
      <c r="M61" s="60">
        <f t="shared" si="362"/>
        <v>0.5105459650914197</v>
      </c>
      <c r="N61" s="60">
        <f t="shared" si="362"/>
        <v>0.5105459650914197</v>
      </c>
      <c r="O61" s="60">
        <f t="shared" si="362"/>
        <v>0.5105459650914197</v>
      </c>
      <c r="P61" s="111">
        <f t="shared" si="300"/>
        <v>1.9586874999999997</v>
      </c>
      <c r="Q61" s="111">
        <f t="shared" si="300"/>
        <v>1.9586874999999997</v>
      </c>
      <c r="R61" s="111">
        <f t="shared" si="300"/>
        <v>1.9586874999999997</v>
      </c>
      <c r="S61" s="111">
        <f t="shared" si="300"/>
        <v>1.9586874999999997</v>
      </c>
      <c r="T61" s="111">
        <f t="shared" si="300"/>
        <v>1.9586874999999997</v>
      </c>
      <c r="U61" s="111">
        <f t="shared" si="300"/>
        <v>1.9586874999999997</v>
      </c>
      <c r="V61" s="111">
        <f t="shared" si="300"/>
        <v>1.9586874999999997</v>
      </c>
      <c r="W61" s="111">
        <f t="shared" si="300"/>
        <v>1.9586874999999997</v>
      </c>
      <c r="X61" s="111">
        <f t="shared" si="59"/>
        <v>1.9586874999999997</v>
      </c>
      <c r="Y61" s="111">
        <f t="shared" si="59"/>
        <v>1.9586874999999997</v>
      </c>
      <c r="Z61" s="111">
        <f t="shared" si="59"/>
        <v>1.9586874999999997</v>
      </c>
      <c r="AA61" s="111">
        <f t="shared" si="59"/>
        <v>1.9586874999999997</v>
      </c>
      <c r="AB61" s="60">
        <f>IFERROR(AB18/$B61,".")</f>
        <v>4.2545497090951644E-2</v>
      </c>
      <c r="AC61" s="189">
        <f>IFERROR(AC18/$B61,0)</f>
        <v>9.4841592186548544E-12</v>
      </c>
      <c r="AD61" s="49">
        <f>s_dir!BC61</f>
        <v>195.86875000000001</v>
      </c>
      <c r="AE61" s="49">
        <f>IF(E61=".",".",s_RadSpec!$F$18*AE18*$B$61)</f>
        <v>48.967187500000001</v>
      </c>
      <c r="AF61" s="49">
        <f>IF(F61=".",".",s_RadSpec!$F$18*AF18*$B$61)</f>
        <v>48.967187500000001</v>
      </c>
      <c r="AG61" s="49">
        <f>IF(G61=".",".",s_RadSpec!$F$18*AG18*$B$61)</f>
        <v>48.967187500000001</v>
      </c>
      <c r="AH61" s="49">
        <f>IF(H61=".",".",s_RadSpec!$F$18*AH18*$B$61)</f>
        <v>48.967187500000001</v>
      </c>
      <c r="AI61" s="49">
        <f>IF(I61=".",".",s_RadSpec!$F$18*AI18*$B$61)</f>
        <v>48.967187500000001</v>
      </c>
      <c r="AJ61" s="49">
        <f>IF(J61=".",".",s_RadSpec!$F$18*AJ18*$B$61)</f>
        <v>48.967187500000001</v>
      </c>
      <c r="AK61" s="49">
        <f>IF(K61=".",".",s_RadSpec!$F$18*AK18*$B$61)</f>
        <v>48.967187500000001</v>
      </c>
      <c r="AL61" s="49">
        <f>IF(L61=".",".",s_RadSpec!$F$18*AL18*$B$61)</f>
        <v>48.967187500000001</v>
      </c>
      <c r="AM61" s="49">
        <f>IF(M61=".",".",s_RadSpec!$F$18*AM18*$B$61)</f>
        <v>48.967187500000001</v>
      </c>
      <c r="AN61" s="49">
        <f>IF(N61=".",".",s_RadSpec!$F$18*AN18*$B$61)</f>
        <v>48.967187500000001</v>
      </c>
      <c r="AO61" s="49">
        <f>IF(O61=".",".",s_RadSpec!$F$18*AO18*$B$61)</f>
        <v>48.967187500000001</v>
      </c>
      <c r="AP61" s="60">
        <f t="shared" ref="AP61:BD61" si="363">IFERROR(AP18/$B61,".")</f>
        <v>255.27298254570982</v>
      </c>
      <c r="AQ61" s="60">
        <f t="shared" si="363"/>
        <v>892236.02021087182</v>
      </c>
      <c r="AR61" s="60">
        <f t="shared" si="363"/>
        <v>13227862.674701374</v>
      </c>
      <c r="AS61" s="60">
        <f t="shared" si="363"/>
        <v>7.5479888393172621</v>
      </c>
      <c r="AT61" s="60">
        <f t="shared" si="363"/>
        <v>2.9781847963666146</v>
      </c>
      <c r="AU61" s="60" t="str">
        <f t="shared" si="363"/>
        <v>.</v>
      </c>
      <c r="AV61" s="60">
        <f t="shared" si="363"/>
        <v>1.9441708341738784</v>
      </c>
      <c r="AW61" s="60">
        <f t="shared" si="363"/>
        <v>28.607085131415637</v>
      </c>
      <c r="AX61" s="60" t="str">
        <f t="shared" si="363"/>
        <v>.</v>
      </c>
      <c r="AY61" s="60">
        <f t="shared" si="363"/>
        <v>2.4302135427173477E-3</v>
      </c>
      <c r="AZ61" s="60">
        <f t="shared" si="363"/>
        <v>1.881455645974721E-3</v>
      </c>
      <c r="BA61" s="60" t="str">
        <f t="shared" si="363"/>
        <v>.</v>
      </c>
      <c r="BB61" s="60">
        <f t="shared" si="363"/>
        <v>2.6119512511292542</v>
      </c>
      <c r="BC61" s="60">
        <f t="shared" si="363"/>
        <v>0.1166502500504327</v>
      </c>
      <c r="BD61" s="60" t="str">
        <f t="shared" si="363"/>
        <v>.</v>
      </c>
      <c r="BE61" s="111">
        <f t="shared" si="69"/>
        <v>3.9173749999999999E-3</v>
      </c>
      <c r="BF61" s="111">
        <f t="shared" si="70"/>
        <v>1.1207796786366673E-6</v>
      </c>
      <c r="BG61" s="111">
        <f t="shared" si="71"/>
        <v>7.5598002836280242E-8</v>
      </c>
      <c r="BH61" s="111">
        <f t="shared" si="72"/>
        <v>0.13248562250000001</v>
      </c>
      <c r="BI61" s="111">
        <f t="shared" si="73"/>
        <v>0.33577499999999999</v>
      </c>
      <c r="BJ61" s="111" t="str">
        <f t="shared" si="74"/>
        <v>.</v>
      </c>
      <c r="BK61" s="111">
        <f t="shared" si="75"/>
        <v>0.51435809159482759</v>
      </c>
      <c r="BL61" s="111">
        <f t="shared" si="76"/>
        <v>3.4956375156930029E-2</v>
      </c>
      <c r="BM61" s="111" t="str">
        <f t="shared" si="77"/>
        <v>.</v>
      </c>
      <c r="BN61" s="111">
        <f t="shared" si="78"/>
        <v>411.48647327586207</v>
      </c>
      <c r="BO61" s="111">
        <f t="shared" si="79"/>
        <v>531.50336131465519</v>
      </c>
      <c r="BP61" s="111" t="str">
        <f t="shared" si="80"/>
        <v>.</v>
      </c>
      <c r="BQ61" s="111">
        <f t="shared" si="81"/>
        <v>0.38285553743304312</v>
      </c>
      <c r="BR61" s="111">
        <f t="shared" si="82"/>
        <v>8.5726348599137925</v>
      </c>
      <c r="BS61" s="111" t="str">
        <f t="shared" si="83"/>
        <v>.</v>
      </c>
      <c r="BT61" s="60">
        <f>IFERROR(BT18/$B61,".")</f>
        <v>1.0493544795381327E-3</v>
      </c>
      <c r="BU61" s="189">
        <f>IFERROR(BU18/$B61,0)</f>
        <v>2.3392005361866931E-13</v>
      </c>
      <c r="BV61" s="49">
        <f>IF(AP61=".",".",s_RadSpec!$E$18*BV18*$B$61)</f>
        <v>9.7934375000000004E-2</v>
      </c>
      <c r="BW61" s="49">
        <f>IF(AQ61=".",".",s_RadSpec!$H$18*BW18*$B$61)</f>
        <v>2.8019491965916681E-5</v>
      </c>
      <c r="BX61" s="49">
        <f>IF(AR61=".",".",s_RadSpec!$G$18*BX18*$B$61)</f>
        <v>1.8899500709070057E-6</v>
      </c>
      <c r="BY61" s="49">
        <f>s_b2s!CC61</f>
        <v>3.3121405625000002</v>
      </c>
      <c r="BZ61" s="49">
        <f>IF(AT61=".",".",s_RadSpec!$F$18*BZ18*$B$61)</f>
        <v>8.3943749999999984</v>
      </c>
      <c r="CA61" s="49" t="str">
        <f>IF(AU61=".",".",s_RadSpec!$F$18*CA18*$B$61)</f>
        <v>.</v>
      </c>
      <c r="CB61" s="49">
        <f>IF(AV61=".",".",s_RadSpec!$F$18*CB18*$B$61)</f>
        <v>12.85895228987069</v>
      </c>
      <c r="CC61" s="49">
        <f>IF(AW61=".",".",s_RadSpec!$F$18*CC18*$B$61)</f>
        <v>0.87390937892325093</v>
      </c>
      <c r="CD61" s="49" t="str">
        <f>IF(AX61=".",".",s_RadSpec!$F$18*CD18*$B$61)</f>
        <v>.</v>
      </c>
      <c r="CE61" s="49">
        <f>IF(AY61=".",".",s_RadSpec!$F$18*CE18*$B$61)</f>
        <v>10287.161831896552</v>
      </c>
      <c r="CF61" s="49">
        <f>IF(AZ61=".",".",s_RadSpec!$F$18*CF18*$B$61)</f>
        <v>13287.58403286638</v>
      </c>
      <c r="CG61" s="49" t="str">
        <f>IF(BA61=".",".",s_RadSpec!$F$18*CG18*$B$61)</f>
        <v>.</v>
      </c>
      <c r="CH61" s="49">
        <f>IF(BB61=".",".",s_RadSpec!$F$18*CH18*$B$61)</f>
        <v>9.5713884358260799</v>
      </c>
      <c r="CI61" s="49">
        <f>IF(BC61=".",".",s_RadSpec!$F$18*CI18*$B$61)</f>
        <v>214.31587149784482</v>
      </c>
      <c r="CJ61" s="49" t="str">
        <f>IF(BD61=".",".",s_RadSpec!$F$18*CJ18*$B$61)</f>
        <v>.</v>
      </c>
      <c r="CK61" s="49">
        <f t="shared" si="302"/>
        <v>23824.170466212341</v>
      </c>
      <c r="CL61" s="60">
        <f>IFERROR(CL18/$B61,".")</f>
        <v>2.8080028080028083</v>
      </c>
      <c r="CM61" s="60" t="str">
        <f>IFERROR(CM18,".")</f>
        <v>.</v>
      </c>
      <c r="CN61" s="60">
        <f t="shared" ref="CN61:CZ61" si="364">IFERROR(CN18/$B61,".")</f>
        <v>1766926259.6968441</v>
      </c>
      <c r="CO61" s="60">
        <f t="shared" si="364"/>
        <v>10.314578800703334</v>
      </c>
      <c r="CP61" s="60">
        <f t="shared" si="364"/>
        <v>14.181832363650546</v>
      </c>
      <c r="CQ61" s="60" t="str">
        <f t="shared" si="364"/>
        <v>.</v>
      </c>
      <c r="CR61" s="60">
        <f t="shared" si="364"/>
        <v>34036.397672761312</v>
      </c>
      <c r="CS61" s="60">
        <f t="shared" si="364"/>
        <v>500821.28004205931</v>
      </c>
      <c r="CT61" s="60" t="str">
        <f t="shared" si="364"/>
        <v>.</v>
      </c>
      <c r="CU61" s="60">
        <f t="shared" si="364"/>
        <v>42.545497090951642</v>
      </c>
      <c r="CV61" s="60">
        <f t="shared" si="364"/>
        <v>32.938449360736755</v>
      </c>
      <c r="CW61" s="60" t="str">
        <f t="shared" si="364"/>
        <v>.</v>
      </c>
      <c r="CX61" s="60">
        <f t="shared" si="364"/>
        <v>45727.160351666287</v>
      </c>
      <c r="CY61" s="60">
        <f t="shared" si="364"/>
        <v>2042.1838603656788</v>
      </c>
      <c r="CZ61" s="60" t="str">
        <f t="shared" si="364"/>
        <v>.</v>
      </c>
      <c r="DA61" s="111">
        <f t="shared" si="101"/>
        <v>0.35612499999999997</v>
      </c>
      <c r="DB61" s="111" t="str">
        <f t="shared" si="102"/>
        <v>.</v>
      </c>
      <c r="DC61" s="111">
        <f t="shared" si="103"/>
        <v>5.6595457479452059E-10</v>
      </c>
      <c r="DD61" s="111">
        <f t="shared" si="104"/>
        <v>9.6950153692345803E-2</v>
      </c>
      <c r="DE61" s="111">
        <f t="shared" si="105"/>
        <v>7.0512749999999999E-2</v>
      </c>
      <c r="DF61" s="111" t="str">
        <f t="shared" si="106"/>
        <v>.</v>
      </c>
      <c r="DG61" s="111">
        <f t="shared" si="107"/>
        <v>2.9380312499999998E-5</v>
      </c>
      <c r="DH61" s="111">
        <f t="shared" si="108"/>
        <v>1.9967202669902911E-6</v>
      </c>
      <c r="DI61" s="111" t="str">
        <f t="shared" si="109"/>
        <v>.</v>
      </c>
      <c r="DJ61" s="111">
        <f t="shared" si="110"/>
        <v>2.3504249999999997E-2</v>
      </c>
      <c r="DK61" s="111">
        <f t="shared" si="111"/>
        <v>3.0359656249999995E-2</v>
      </c>
      <c r="DL61" s="111" t="str">
        <f t="shared" si="112"/>
        <v>.</v>
      </c>
      <c r="DM61" s="111">
        <f t="shared" si="113"/>
        <v>2.1868841019417473E-5</v>
      </c>
      <c r="DN61" s="111">
        <f t="shared" si="114"/>
        <v>4.8967187499999998E-4</v>
      </c>
      <c r="DO61" s="111" t="str">
        <f t="shared" si="115"/>
        <v>.</v>
      </c>
      <c r="DP61" s="60">
        <f>IFERROR(DP18/$B61,".")</f>
        <v>1.7301195860651672</v>
      </c>
      <c r="DQ61" s="189">
        <f t="shared" ref="DQ61" si="365">IFERROR(DQ18/$B61,0)</f>
        <v>3.8567488320744048E-13</v>
      </c>
      <c r="DR61" s="49">
        <f>IF(CL61=".",".",s_RadSpec!$I$18*DR18*$B$61)</f>
        <v>8.9031249999999993</v>
      </c>
      <c r="DS61" s="49" t="str">
        <f>IF(CM61=".",".",s_RadSpec!$H$18*DS18)</f>
        <v>.</v>
      </c>
      <c r="DT61" s="49">
        <f>IF(CN61=".",".",s_RadSpec!$M$18*DT18*$B$61)</f>
        <v>1.4148864369863012E-8</v>
      </c>
      <c r="DU61" s="49">
        <f>s_b2w!CC61</f>
        <v>2.4237538423086455</v>
      </c>
      <c r="DV61" s="49">
        <f>IF(CP61=".",".",s_RadSpec!$F$18*DV18*$B$61)</f>
        <v>1.7628187499999999</v>
      </c>
      <c r="DW61" s="49" t="str">
        <f>IF(CQ61=".",".",s_RadSpec!$F$18*DW18*$B$61)</f>
        <v>.</v>
      </c>
      <c r="DX61" s="49">
        <f>IF(CR61=".",".",s_RadSpec!$F$18*DX18*$B$61)</f>
        <v>7.3450781249999992E-4</v>
      </c>
      <c r="DY61" s="49">
        <f>IF(CS61=".",".",s_RadSpec!$F$18*DY18*$B$61)</f>
        <v>4.9918006674757276E-5</v>
      </c>
      <c r="DZ61" s="49" t="str">
        <f>IF(CT61=".",".",s_RadSpec!$F$18*DZ18*$B$61)</f>
        <v>.</v>
      </c>
      <c r="EA61" s="49">
        <f>IF(CU61=".",".",s_RadSpec!$F$18*EA18*$B$61)</f>
        <v>0.58760625</v>
      </c>
      <c r="EB61" s="49">
        <f>IF(CV61=".",".",s_RadSpec!$F$18*EB18*$B$61)</f>
        <v>0.75899140624999994</v>
      </c>
      <c r="EC61" s="49" t="str">
        <f>IF(CW61=".",".",s_RadSpec!$F$18*EC18*$B$61)</f>
        <v>.</v>
      </c>
      <c r="ED61" s="49">
        <f>IF(CX61=".",".",s_RadSpec!$F$18*ED18*$B$61)</f>
        <v>5.4672102548543702E-4</v>
      </c>
      <c r="EE61" s="49">
        <f>IF(CY61=".",".",s_RadSpec!$F$18*EE18*$B$61)</f>
        <v>1.2241796875000001E-2</v>
      </c>
      <c r="EF61" s="49" t="str">
        <f>IF(CZ61=".",".",s_RadSpec!$F$18*EF18*$B$61)</f>
        <v>.</v>
      </c>
      <c r="EG61" s="49">
        <f t="shared" si="305"/>
        <v>14.449868206427167</v>
      </c>
      <c r="EH61" s="60">
        <f>IFERROR(EH18/$B61,".")</f>
        <v>2.8800028800028801</v>
      </c>
      <c r="EI61" s="60">
        <f>IFERROR(EI18/$B61,".")</f>
        <v>6130638528.026804</v>
      </c>
      <c r="EJ61" s="60">
        <f>IFERROR(EJ18/$B61,".")</f>
        <v>2.8800028786499352</v>
      </c>
      <c r="EK61" s="189">
        <f t="shared" ref="EK61" si="366">IFERROR(EK18/$B61,0)</f>
        <v>6.4200462373042502E-13</v>
      </c>
      <c r="EL61" s="49">
        <f>IF(EH61=".",".",s_RadSpec!$H$18*EL18*$B$61)</f>
        <v>8.6805468749999992</v>
      </c>
      <c r="EM61" s="49">
        <f>IF(EI61=".",".",s_RadSpec!$K$18*EM18*$B$61)</f>
        <v>4.0778786558219176E-9</v>
      </c>
      <c r="EN61" s="49">
        <f t="shared" si="155"/>
        <v>8.6805468790778786</v>
      </c>
    </row>
    <row r="62" spans="1:144" x14ac:dyDescent="0.25">
      <c r="A62" s="77" t="s">
        <v>1083</v>
      </c>
      <c r="B62" s="42">
        <v>1.339E-6</v>
      </c>
      <c r="C62" s="238"/>
      <c r="D62" s="60" t="str">
        <f t="shared" ref="D62:O62" si="367">IFERROR(D27/$B62,".")</f>
        <v>.</v>
      </c>
      <c r="E62" s="60" t="str">
        <f t="shared" si="367"/>
        <v>.</v>
      </c>
      <c r="F62" s="60" t="str">
        <f t="shared" si="367"/>
        <v>.</v>
      </c>
      <c r="G62" s="60" t="str">
        <f t="shared" si="367"/>
        <v>.</v>
      </c>
      <c r="H62" s="60" t="str">
        <f t="shared" si="367"/>
        <v>.</v>
      </c>
      <c r="I62" s="60" t="str">
        <f t="shared" si="367"/>
        <v>.</v>
      </c>
      <c r="J62" s="60" t="str">
        <f t="shared" si="367"/>
        <v>.</v>
      </c>
      <c r="K62" s="60" t="str">
        <f t="shared" si="367"/>
        <v>.</v>
      </c>
      <c r="L62" s="60" t="str">
        <f t="shared" si="367"/>
        <v>.</v>
      </c>
      <c r="M62" s="60" t="str">
        <f t="shared" si="367"/>
        <v>.</v>
      </c>
      <c r="N62" s="60" t="str">
        <f t="shared" si="367"/>
        <v>.</v>
      </c>
      <c r="O62" s="60" t="str">
        <f t="shared" si="367"/>
        <v>.</v>
      </c>
      <c r="P62" s="111" t="str">
        <f t="shared" si="300"/>
        <v>.</v>
      </c>
      <c r="Q62" s="111" t="str">
        <f t="shared" si="300"/>
        <v>.</v>
      </c>
      <c r="R62" s="111" t="str">
        <f t="shared" si="300"/>
        <v>.</v>
      </c>
      <c r="S62" s="111" t="str">
        <f t="shared" si="300"/>
        <v>.</v>
      </c>
      <c r="T62" s="111" t="str">
        <f t="shared" si="300"/>
        <v>.</v>
      </c>
      <c r="U62" s="111" t="str">
        <f t="shared" si="300"/>
        <v>.</v>
      </c>
      <c r="V62" s="111" t="str">
        <f t="shared" si="300"/>
        <v>.</v>
      </c>
      <c r="W62" s="111" t="str">
        <f t="shared" si="300"/>
        <v>.</v>
      </c>
      <c r="X62" s="111" t="str">
        <f t="shared" si="59"/>
        <v>.</v>
      </c>
      <c r="Y62" s="111" t="str">
        <f t="shared" si="59"/>
        <v>.</v>
      </c>
      <c r="Z62" s="111" t="str">
        <f t="shared" si="59"/>
        <v>.</v>
      </c>
      <c r="AA62" s="111" t="str">
        <f t="shared" si="59"/>
        <v>.</v>
      </c>
      <c r="AB62" s="60" t="str">
        <f>IFERROR(AB27/$B62,".")</f>
        <v>.</v>
      </c>
      <c r="AC62" s="189">
        <f>IFERROR(AC27/$B62,0)</f>
        <v>0</v>
      </c>
      <c r="AD62" s="49" t="str">
        <f>s_dir!BC62</f>
        <v>.</v>
      </c>
      <c r="AE62" s="49" t="str">
        <f>IF(E62=".",".",s_RadSpec!$F$27*AE27*$B$62)</f>
        <v>.</v>
      </c>
      <c r="AF62" s="49" t="str">
        <f>IF(F62=".",".",s_RadSpec!$F$27*AF27*$B$62)</f>
        <v>.</v>
      </c>
      <c r="AG62" s="49" t="str">
        <f>IF(G62=".",".",s_RadSpec!$F$27*AG27*$B$62)</f>
        <v>.</v>
      </c>
      <c r="AH62" s="49" t="str">
        <f>IF(H62=".",".",s_RadSpec!$F$27*AH27*$B$62)</f>
        <v>.</v>
      </c>
      <c r="AI62" s="49" t="str">
        <f>IF(I62=".",".",s_RadSpec!$F$27*AI27*$B$62)</f>
        <v>.</v>
      </c>
      <c r="AJ62" s="49" t="str">
        <f>IF(J62=".",".",s_RadSpec!$F$27*AJ27*$B$62)</f>
        <v>.</v>
      </c>
      <c r="AK62" s="49" t="str">
        <f>IF(K62=".",".",s_RadSpec!$F$27*AK27*$B$62)</f>
        <v>.</v>
      </c>
      <c r="AL62" s="49" t="str">
        <f>IF(L62=".",".",s_RadSpec!$F$27*AL27*$B$62)</f>
        <v>.</v>
      </c>
      <c r="AM62" s="49" t="str">
        <f>IF(M62=".",".",s_RadSpec!$F$27*AM27*$B$62)</f>
        <v>.</v>
      </c>
      <c r="AN62" s="49" t="str">
        <f>IF(N62=".",".",s_RadSpec!$F$27*AN27*$B$62)</f>
        <v>.</v>
      </c>
      <c r="AO62" s="49" t="str">
        <f>IF(O62=".",".",s_RadSpec!$F$27*AO27*$B$62)</f>
        <v>.</v>
      </c>
      <c r="AP62" s="60" t="str">
        <f t="shared" ref="AP62:BD62" si="368">IFERROR(AP27/$B62,".")</f>
        <v>.</v>
      </c>
      <c r="AQ62" s="60" t="str">
        <f t="shared" si="368"/>
        <v>.</v>
      </c>
      <c r="AR62" s="60">
        <f t="shared" si="368"/>
        <v>71581408034.468033</v>
      </c>
      <c r="AS62" s="60" t="str">
        <f t="shared" si="368"/>
        <v>.</v>
      </c>
      <c r="AT62" s="60" t="str">
        <f t="shared" si="368"/>
        <v>.</v>
      </c>
      <c r="AU62" s="60" t="str">
        <f t="shared" si="368"/>
        <v>.</v>
      </c>
      <c r="AV62" s="60" t="str">
        <f t="shared" si="368"/>
        <v>.</v>
      </c>
      <c r="AW62" s="60" t="str">
        <f t="shared" si="368"/>
        <v>.</v>
      </c>
      <c r="AX62" s="60" t="str">
        <f t="shared" si="368"/>
        <v>.</v>
      </c>
      <c r="AY62" s="60" t="str">
        <f t="shared" si="368"/>
        <v>.</v>
      </c>
      <c r="AZ62" s="60" t="str">
        <f t="shared" si="368"/>
        <v>.</v>
      </c>
      <c r="BA62" s="60" t="str">
        <f t="shared" si="368"/>
        <v>.</v>
      </c>
      <c r="BB62" s="60" t="str">
        <f t="shared" si="368"/>
        <v>.</v>
      </c>
      <c r="BC62" s="60" t="str">
        <f t="shared" si="368"/>
        <v>.</v>
      </c>
      <c r="BD62" s="60" t="str">
        <f t="shared" si="368"/>
        <v>.</v>
      </c>
      <c r="BE62" s="111" t="str">
        <f t="shared" si="69"/>
        <v>.</v>
      </c>
      <c r="BF62" s="111" t="str">
        <f t="shared" si="70"/>
        <v>.</v>
      </c>
      <c r="BG62" s="111">
        <f t="shared" si="71"/>
        <v>1.3970107985560691E-11</v>
      </c>
      <c r="BH62" s="111" t="str">
        <f t="shared" si="72"/>
        <v>.</v>
      </c>
      <c r="BI62" s="111" t="str">
        <f t="shared" si="73"/>
        <v>.</v>
      </c>
      <c r="BJ62" s="111" t="str">
        <f t="shared" si="74"/>
        <v>.</v>
      </c>
      <c r="BK62" s="111" t="str">
        <f t="shared" si="75"/>
        <v>.</v>
      </c>
      <c r="BL62" s="111" t="str">
        <f t="shared" si="76"/>
        <v>.</v>
      </c>
      <c r="BM62" s="111" t="str">
        <f t="shared" si="77"/>
        <v>.</v>
      </c>
      <c r="BN62" s="111" t="str">
        <f t="shared" si="78"/>
        <v>.</v>
      </c>
      <c r="BO62" s="111" t="str">
        <f t="shared" si="79"/>
        <v>.</v>
      </c>
      <c r="BP62" s="111" t="str">
        <f t="shared" si="80"/>
        <v>.</v>
      </c>
      <c r="BQ62" s="111" t="str">
        <f t="shared" si="81"/>
        <v>.</v>
      </c>
      <c r="BR62" s="111" t="str">
        <f t="shared" si="82"/>
        <v>.</v>
      </c>
      <c r="BS62" s="111" t="str">
        <f t="shared" si="83"/>
        <v>.</v>
      </c>
      <c r="BT62" s="60">
        <f>IFERROR(BT27/$B62,".")</f>
        <v>71581408034.468033</v>
      </c>
      <c r="BU62" s="189">
        <f>IFERROR(BU27/$B62,0)</f>
        <v>3.2992818844745236E-4</v>
      </c>
      <c r="BV62" s="49" t="str">
        <f>IF(AP62=".",".",s_RadSpec!$E$27*BV27*$B$62)</f>
        <v>.</v>
      </c>
      <c r="BW62" s="49" t="str">
        <f>IF(AQ62=".",".",s_RadSpec!$H$27*BW27*$B$62)</f>
        <v>.</v>
      </c>
      <c r="BX62" s="49">
        <f>IF(AR62=".",".",s_RadSpec!$G$27*BX27*$B$62)</f>
        <v>3.4925269963901729E-10</v>
      </c>
      <c r="BY62" s="49" t="str">
        <f>s_b2s!CC62</f>
        <v>.</v>
      </c>
      <c r="BZ62" s="49" t="str">
        <f>IF(AT62=".",".",s_RadSpec!$F$27*BZ27*$B$62)</f>
        <v>.</v>
      </c>
      <c r="CA62" s="49" t="str">
        <f>IF(AU62=".",".",s_RadSpec!$F$27*CA27*$B$62)</f>
        <v>.</v>
      </c>
      <c r="CB62" s="49" t="str">
        <f>IF(AV62=".",".",s_RadSpec!$F$27*CB27*$B$62)</f>
        <v>.</v>
      </c>
      <c r="CC62" s="49" t="str">
        <f>IF(AW62=".",".",s_RadSpec!$F$27*CC27*$B$62)</f>
        <v>.</v>
      </c>
      <c r="CD62" s="49" t="str">
        <f>IF(AX62=".",".",s_RadSpec!$F$27*CD27*$B$62)</f>
        <v>.</v>
      </c>
      <c r="CE62" s="49" t="str">
        <f>IF(AY62=".",".",s_RadSpec!$F$27*CE27*$B$62)</f>
        <v>.</v>
      </c>
      <c r="CF62" s="49" t="str">
        <f>IF(AZ62=".",".",s_RadSpec!$F$27*CF27*$B$62)</f>
        <v>.</v>
      </c>
      <c r="CG62" s="49" t="str">
        <f>IF(BA62=".",".",s_RadSpec!$F$27*CG27*$B$62)</f>
        <v>.</v>
      </c>
      <c r="CH62" s="49" t="str">
        <f>IF(BB62=".",".",s_RadSpec!$F$27*CH27*$B$62)</f>
        <v>.</v>
      </c>
      <c r="CI62" s="49" t="str">
        <f>IF(BC62=".",".",s_RadSpec!$F$27*CI27*$B$62)</f>
        <v>.</v>
      </c>
      <c r="CJ62" s="49" t="str">
        <f>IF(BD62=".",".",s_RadSpec!$F$27*CJ27*$B$62)</f>
        <v>.</v>
      </c>
      <c r="CK62" s="49">
        <f t="shared" si="302"/>
        <v>3.4925269963901729E-10</v>
      </c>
      <c r="CL62" s="60" t="str">
        <f>IFERROR(CL27/$B62,".")</f>
        <v>.</v>
      </c>
      <c r="CM62" s="60" t="str">
        <f>IFERROR(CM27,".")</f>
        <v>.</v>
      </c>
      <c r="CN62" s="60">
        <f t="shared" ref="CN62:CZ62" si="369">IFERROR(CN27/$B62,".")</f>
        <v>2680844055827.1372</v>
      </c>
      <c r="CO62" s="60" t="str">
        <f t="shared" si="369"/>
        <v>.</v>
      </c>
      <c r="CP62" s="60" t="str">
        <f t="shared" si="369"/>
        <v>.</v>
      </c>
      <c r="CQ62" s="60" t="str">
        <f t="shared" si="369"/>
        <v>.</v>
      </c>
      <c r="CR62" s="60" t="str">
        <f t="shared" si="369"/>
        <v>.</v>
      </c>
      <c r="CS62" s="60" t="str">
        <f t="shared" si="369"/>
        <v>.</v>
      </c>
      <c r="CT62" s="60" t="str">
        <f t="shared" si="369"/>
        <v>.</v>
      </c>
      <c r="CU62" s="60" t="str">
        <f t="shared" si="369"/>
        <v>.</v>
      </c>
      <c r="CV62" s="60" t="str">
        <f t="shared" si="369"/>
        <v>.</v>
      </c>
      <c r="CW62" s="60" t="str">
        <f t="shared" si="369"/>
        <v>.</v>
      </c>
      <c r="CX62" s="60" t="str">
        <f t="shared" si="369"/>
        <v>.</v>
      </c>
      <c r="CY62" s="60" t="str">
        <f t="shared" si="369"/>
        <v>.</v>
      </c>
      <c r="CZ62" s="60" t="str">
        <f t="shared" si="369"/>
        <v>.</v>
      </c>
      <c r="DA62" s="111" t="str">
        <f t="shared" si="101"/>
        <v>.</v>
      </c>
      <c r="DB62" s="111" t="str">
        <f t="shared" si="102"/>
        <v>.</v>
      </c>
      <c r="DC62" s="111">
        <f t="shared" si="103"/>
        <v>3.7301684811780813E-13</v>
      </c>
      <c r="DD62" s="111" t="str">
        <f t="shared" si="104"/>
        <v>.</v>
      </c>
      <c r="DE62" s="111" t="str">
        <f t="shared" si="105"/>
        <v>.</v>
      </c>
      <c r="DF62" s="111" t="str">
        <f t="shared" si="106"/>
        <v>.</v>
      </c>
      <c r="DG62" s="111" t="str">
        <f t="shared" si="107"/>
        <v>.</v>
      </c>
      <c r="DH62" s="111" t="str">
        <f t="shared" si="108"/>
        <v>.</v>
      </c>
      <c r="DI62" s="111" t="str">
        <f t="shared" si="109"/>
        <v>.</v>
      </c>
      <c r="DJ62" s="111" t="str">
        <f t="shared" si="110"/>
        <v>.</v>
      </c>
      <c r="DK62" s="111" t="str">
        <f t="shared" si="111"/>
        <v>.</v>
      </c>
      <c r="DL62" s="111" t="str">
        <f t="shared" si="112"/>
        <v>.</v>
      </c>
      <c r="DM62" s="111" t="str">
        <f t="shared" si="113"/>
        <v>.</v>
      </c>
      <c r="DN62" s="111" t="str">
        <f t="shared" si="114"/>
        <v>.</v>
      </c>
      <c r="DO62" s="111" t="str">
        <f t="shared" si="115"/>
        <v>.</v>
      </c>
      <c r="DP62" s="60">
        <f>IFERROR(DP27/$B62,".")</f>
        <v>2680844055827.1372</v>
      </c>
      <c r="DQ62" s="189">
        <f t="shared" ref="DQ62" si="370">IFERROR(DQ27/$B62,0)</f>
        <v>1.2356365250921979E-5</v>
      </c>
      <c r="DR62" s="49" t="str">
        <f>IF(CL62=".",".",s_RadSpec!$I$27*DR27*$B$62)</f>
        <v>.</v>
      </c>
      <c r="DS62" s="49" t="str">
        <f>IF(CM62=".",".",s_RadSpec!$H$27*DS27)</f>
        <v>.</v>
      </c>
      <c r="DT62" s="49">
        <f>IF(CN62=".",".",s_RadSpec!$M$27*DT27*$B$62)</f>
        <v>9.3254212029452056E-12</v>
      </c>
      <c r="DU62" s="49" t="str">
        <f>s_b2w!CC62</f>
        <v>.</v>
      </c>
      <c r="DV62" s="49" t="str">
        <f>IF(CP62=".",".",s_RadSpec!$F$27*DV27*$B$62)</f>
        <v>.</v>
      </c>
      <c r="DW62" s="49" t="str">
        <f>IF(CQ62=".",".",s_RadSpec!$F$27*DW27*$B$62)</f>
        <v>.</v>
      </c>
      <c r="DX62" s="49" t="str">
        <f>IF(CR62=".",".",s_RadSpec!$F$27*DX27*$B$62)</f>
        <v>.</v>
      </c>
      <c r="DY62" s="49" t="str">
        <f>IF(CS62=".",".",s_RadSpec!$F$27*DY27*$B$62)</f>
        <v>.</v>
      </c>
      <c r="DZ62" s="49" t="str">
        <f>IF(CT62=".",".",s_RadSpec!$F$27*DZ27*$B$62)</f>
        <v>.</v>
      </c>
      <c r="EA62" s="49" t="str">
        <f>IF(CU62=".",".",s_RadSpec!$F$27*EA27*$B$62)</f>
        <v>.</v>
      </c>
      <c r="EB62" s="49" t="str">
        <f>IF(CV62=".",".",s_RadSpec!$F$27*EB27*$B$62)</f>
        <v>.</v>
      </c>
      <c r="EC62" s="49" t="str">
        <f>IF(CW62=".",".",s_RadSpec!$F$27*EC27*$B$62)</f>
        <v>.</v>
      </c>
      <c r="ED62" s="49" t="str">
        <f>IF(CX62=".",".",s_RadSpec!$F$27*ED27*$B$62)</f>
        <v>.</v>
      </c>
      <c r="EE62" s="49" t="str">
        <f>IF(CY62=".",".",s_RadSpec!$F$27*EE27*$B$62)</f>
        <v>.</v>
      </c>
      <c r="EF62" s="49" t="str">
        <f>IF(CZ62=".",".",s_RadSpec!$F$27*EF27*$B$62)</f>
        <v>.</v>
      </c>
      <c r="EG62" s="49">
        <f t="shared" si="305"/>
        <v>9.3254212029452056E-12</v>
      </c>
      <c r="EH62" s="60" t="str">
        <f>IFERROR(EH27/$B62,".")</f>
        <v>.</v>
      </c>
      <c r="EI62" s="60">
        <f>IFERROR(EI27/$B62,".")</f>
        <v>5132094414177.8936</v>
      </c>
      <c r="EJ62" s="60">
        <f>IFERROR(EJ27/$B62,".")</f>
        <v>5132094414177.8936</v>
      </c>
      <c r="EK62" s="189">
        <f t="shared" ref="EK62" si="371">IFERROR(EK27/$B62,0)</f>
        <v>2.365450274735694E-5</v>
      </c>
      <c r="EL62" s="49" t="str">
        <f>IF(EH62=".",".",s_RadSpec!$H$27*EL27*$B$62)</f>
        <v>.</v>
      </c>
      <c r="EM62" s="49">
        <f>IF(EI62=".",".",s_RadSpec!$K$27*EM27*$B$62)</f>
        <v>4.8713055494332189E-12</v>
      </c>
      <c r="EN62" s="49">
        <f t="shared" si="155"/>
        <v>4.8713055494332189E-12</v>
      </c>
    </row>
    <row r="63" spans="1:144" x14ac:dyDescent="0.25">
      <c r="A63" s="76" t="s">
        <v>23</v>
      </c>
      <c r="B63" s="76" t="s">
        <v>1057</v>
      </c>
      <c r="C63" s="57"/>
      <c r="D63" s="58">
        <f t="shared" ref="D63:O63" si="372">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8.057429218669207E-2</v>
      </c>
      <c r="E63" s="58">
        <f t="shared" si="372"/>
        <v>0.32229716874676828</v>
      </c>
      <c r="F63" s="58">
        <f t="shared" si="372"/>
        <v>0.32229716874676828</v>
      </c>
      <c r="G63" s="58">
        <f t="shared" si="372"/>
        <v>0.32229716874676828</v>
      </c>
      <c r="H63" s="58">
        <f t="shared" si="372"/>
        <v>0.32229716874676828</v>
      </c>
      <c r="I63" s="58">
        <f t="shared" si="372"/>
        <v>0.32229716874676828</v>
      </c>
      <c r="J63" s="58">
        <f t="shared" si="372"/>
        <v>0.32229716874676828</v>
      </c>
      <c r="K63" s="58">
        <f t="shared" si="372"/>
        <v>0.32229716874676828</v>
      </c>
      <c r="L63" s="58">
        <f t="shared" si="372"/>
        <v>0.32229716874676828</v>
      </c>
      <c r="M63" s="58">
        <f t="shared" si="372"/>
        <v>0.32229716874676828</v>
      </c>
      <c r="N63" s="58">
        <f t="shared" si="372"/>
        <v>0.32229716874676828</v>
      </c>
      <c r="O63" s="58">
        <f t="shared" si="372"/>
        <v>0.32229716874676828</v>
      </c>
      <c r="P63" s="168"/>
      <c r="Q63" s="168"/>
      <c r="R63" s="168"/>
      <c r="S63" s="168"/>
      <c r="T63" s="168"/>
      <c r="U63" s="168"/>
      <c r="V63" s="168"/>
      <c r="W63" s="111"/>
      <c r="X63" s="111">
        <f t="shared" si="59"/>
        <v>3.102726604420496</v>
      </c>
      <c r="Y63" s="111">
        <f t="shared" si="59"/>
        <v>3.102726604420496</v>
      </c>
      <c r="Z63" s="111">
        <f t="shared" si="59"/>
        <v>3.102726604420496</v>
      </c>
      <c r="AA63" s="111">
        <f t="shared" si="59"/>
        <v>3.102726604420496</v>
      </c>
      <c r="AB63" s="59">
        <f t="shared" ref="AB63" si="373">IFERROR(1/SUM(IFERROR(1/SUMIF(AB64,"&lt;&gt;.",AB64),0),IFERROR(1/SUMIF(AB65,"&lt;&gt;.",AB65),0),IFERROR(1/SUMIF(AB66,"&lt;&gt;.",AB66),0),IFERROR(1/SUMIF(AB67,"&lt;&gt;.",AB67),0),IFERROR(1/SUMIF(AB68,"&lt;&gt;.",AB68),0),IFERROR(1/SUMIF(AB69,"&lt;&gt;.",AB69),0),IFERROR(1/SUMIF(AB70,"&lt;&gt;.",AB70),0),IFERROR(1/SUMIF(AB71,"&lt;&gt;.",AB71),0),IFERROR(1/SUMIF(AB72,"&lt;&gt;.",AB72),0),IFERROR(1/SUMIF(AB73,"&lt;&gt;.",AB73),0),IFERROR(1/SUMIF(AB74,"&lt;&gt;.",AB74),0),IFERROR(1/SUMIF(AB75,"&lt;&gt;.",AB75),0),IFERROR(1/SUMIF(AB76,"&lt;&gt;.",AB76),0)),".")</f>
        <v>2.685809739556402E-2</v>
      </c>
      <c r="AC63" s="190">
        <f>AB63*(0.0000000000028)*s_RadSpec!$AY25*s_RadSpec!$AF25</f>
        <v>1.7488577271131275E-13</v>
      </c>
      <c r="AD63" s="47">
        <f>IFERROR(SUM(AD64:AD76),".")</f>
        <v>310.27266044204964</v>
      </c>
      <c r="AE63" s="47">
        <f t="shared" ref="AE63:AO63" si="374">IFERROR(SUM(AE64:AE76),".")</f>
        <v>77.56816511051241</v>
      </c>
      <c r="AF63" s="47">
        <f t="shared" si="374"/>
        <v>77.56816511051241</v>
      </c>
      <c r="AG63" s="47">
        <f t="shared" si="374"/>
        <v>77.56816511051241</v>
      </c>
      <c r="AH63" s="47">
        <f t="shared" si="374"/>
        <v>77.56816511051241</v>
      </c>
      <c r="AI63" s="47">
        <f t="shared" si="374"/>
        <v>77.56816511051241</v>
      </c>
      <c r="AJ63" s="47">
        <f t="shared" si="374"/>
        <v>77.56816511051241</v>
      </c>
      <c r="AK63" s="47">
        <f t="shared" si="374"/>
        <v>77.56816511051241</v>
      </c>
      <c r="AL63" s="47">
        <f t="shared" si="374"/>
        <v>77.56816511051241</v>
      </c>
      <c r="AM63" s="47">
        <f t="shared" si="374"/>
        <v>77.56816511051241</v>
      </c>
      <c r="AN63" s="47">
        <f t="shared" si="374"/>
        <v>77.56816511051241</v>
      </c>
      <c r="AO63" s="47">
        <f t="shared" si="374"/>
        <v>77.56816511051241</v>
      </c>
      <c r="AP63" s="58">
        <f t="shared" ref="AP63:BD63" si="375">IFERROR(1/SUM(IFERROR(1/SUMIF(AP64,"&lt;&gt;.",AP64),0),IFERROR(1/SUMIF(AP65,"&lt;&gt;.",AP65),0),IFERROR(1/SUMIF(AP66,"&lt;&gt;.",AP66),0),IFERROR(1/SUMIF(AP67,"&lt;&gt;.",AP67),0),IFERROR(1/SUMIF(AP68,"&lt;&gt;.",AP68),0),IFERROR(1/SUMIF(AP69,"&lt;&gt;.",AP69),0),IFERROR(1/SUMIF(AP70,"&lt;&gt;.",AP70),0),IFERROR(1/SUMIF(AP71,"&lt;&gt;.",AP71),0),IFERROR(1/SUMIF(AP72,"&lt;&gt;.",AP72),0),IFERROR(1/SUMIF(AP73,"&lt;&gt;.",AP73),0),IFERROR(1/SUMIF(AP74,"&lt;&gt;.",AP74),0),IFERROR(1/SUMIF(AP75,"&lt;&gt;.",AP75),0),IFERROR(1/SUMIF(AP76,"&lt;&gt;.",AP76),0)),".")</f>
        <v>161.14858437338413</v>
      </c>
      <c r="AQ63" s="58">
        <f t="shared" si="375"/>
        <v>383711.10147128574</v>
      </c>
      <c r="AR63" s="58">
        <f t="shared" si="375"/>
        <v>56.396094563079068</v>
      </c>
      <c r="AS63" s="58">
        <f t="shared" si="375"/>
        <v>4.2270015328903572</v>
      </c>
      <c r="AT63" s="58">
        <f t="shared" si="375"/>
        <v>1.9005886331976254</v>
      </c>
      <c r="AU63" s="58">
        <f t="shared" si="375"/>
        <v>5.9711309916817452</v>
      </c>
      <c r="AV63" s="58">
        <f t="shared" si="375"/>
        <v>1.7058600452467942</v>
      </c>
      <c r="AW63" s="58">
        <f t="shared" si="375"/>
        <v>18.505692761480404</v>
      </c>
      <c r="AX63" s="112" t="str">
        <f t="shared" si="375"/>
        <v>.</v>
      </c>
      <c r="AY63" s="58">
        <f t="shared" si="375"/>
        <v>2.4302135427173477E-3</v>
      </c>
      <c r="AZ63" s="58">
        <f t="shared" si="375"/>
        <v>1.8814556459747207E-3</v>
      </c>
      <c r="BA63" s="112" t="str">
        <f t="shared" si="375"/>
        <v>.</v>
      </c>
      <c r="BB63" s="58">
        <f t="shared" si="375"/>
        <v>1.0252383322068013</v>
      </c>
      <c r="BC63" s="58">
        <f t="shared" si="375"/>
        <v>0.10758672499178566</v>
      </c>
      <c r="BD63" s="58">
        <f t="shared" si="375"/>
        <v>0.28931753141926192</v>
      </c>
      <c r="BE63" s="111">
        <f t="shared" si="69"/>
        <v>6.2054532088409928E-3</v>
      </c>
      <c r="BF63" s="111">
        <f t="shared" si="70"/>
        <v>2.6061273603125946E-6</v>
      </c>
      <c r="BG63" s="111">
        <f t="shared" si="71"/>
        <v>1.7731724293097981E-2</v>
      </c>
      <c r="BH63" s="111">
        <f t="shared" si="72"/>
        <v>0.23657431685770308</v>
      </c>
      <c r="BI63" s="111">
        <f t="shared" si="73"/>
        <v>0.52615278368657847</v>
      </c>
      <c r="BJ63" s="111">
        <f t="shared" si="74"/>
        <v>0.16747246064323135</v>
      </c>
      <c r="BK63" s="111">
        <f t="shared" si="75"/>
        <v>0.58621456243517656</v>
      </c>
      <c r="BL63" s="111">
        <f t="shared" si="76"/>
        <v>5.4037425828310511E-2</v>
      </c>
      <c r="BM63" s="111" t="str">
        <f t="shared" si="77"/>
        <v>.</v>
      </c>
      <c r="BN63" s="111">
        <f t="shared" si="78"/>
        <v>411.48647327586207</v>
      </c>
      <c r="BO63" s="111">
        <f t="shared" si="79"/>
        <v>531.50336131465519</v>
      </c>
      <c r="BP63" s="111" t="str">
        <f t="shared" si="80"/>
        <v>.</v>
      </c>
      <c r="BQ63" s="111">
        <f t="shared" si="81"/>
        <v>0.9753829608063167</v>
      </c>
      <c r="BR63" s="111">
        <f t="shared" si="82"/>
        <v>9.2948270344352508</v>
      </c>
      <c r="BS63" s="111">
        <f t="shared" si="83"/>
        <v>3.4564099696774302</v>
      </c>
      <c r="BT63" s="59">
        <f>IFERROR(1/SUM(IFERROR(1/SUMIF(BT64,"&lt;&gt;.",BT64),0),IFERROR(1/SUMIF(BT65,"&lt;&gt;.",BT65),0),IFERROR(1/SUMIF(BT66,"&lt;&gt;.",BT66),0),IFERROR(1/SUMIF(BT67,"&lt;&gt;.",BT67),0),IFERROR(1/SUMIF(BT68,"&lt;&gt;.",BT68),0),IFERROR(1/SUMIF(BT69,"&lt;&gt;.",BT69),0),IFERROR(1/SUMIF(BT70,"&lt;&gt;.",BT70),0),IFERROR(1/SUMIF(BT71,"&lt;&gt;.",BT71),0),IFERROR(1/SUMIF(BT72,"&lt;&gt;.",BT72),0),IFERROR(1/SUMIF(BT73,"&lt;&gt;.",BT73),0),IFERROR(1/SUMIF(BT74,"&lt;&gt;.",BT74),0),IFERROR(1/SUMIF(BT75,"&lt;&gt;.",BT75),0),IFERROR(1/SUMIF(BT76,"&lt;&gt;.",BT76),0)),".")</f>
        <v>1.0435027468282806E-3</v>
      </c>
      <c r="BU63" s="190">
        <f>BT63*(0.0000000000028)*s_RadSpec!$AY25*s_RadSpec!$AF25</f>
        <v>6.7947398327471455E-15</v>
      </c>
      <c r="BV63" s="47">
        <f t="shared" ref="BV63" si="376">IFERROR(SUM(BV64:BV76),".")</f>
        <v>0.15513633022102483</v>
      </c>
      <c r="BW63" s="47">
        <f t="shared" ref="BW63" si="377">IFERROR(SUM(BW64:BW76),".")</f>
        <v>6.5153184007814849E-5</v>
      </c>
      <c r="BX63" s="47">
        <f t="shared" ref="BX63" si="378">IFERROR(SUM(BX64:BX76),".")</f>
        <v>0.44329310732744975</v>
      </c>
      <c r="BY63" s="47">
        <f t="shared" ref="BY63" si="379">IFERROR(SUM(BY64:BY76),".")</f>
        <v>5.9143579214425763</v>
      </c>
      <c r="BZ63" s="47">
        <f t="shared" ref="BZ63" si="380">IFERROR(SUM(BZ64:BZ76),".")</f>
        <v>13.153819592164462</v>
      </c>
      <c r="CA63" s="47">
        <f t="shared" ref="CA63" si="381">IFERROR(SUM(CA64:CA76),".")</f>
        <v>4.1868115160807822</v>
      </c>
      <c r="CB63" s="47">
        <f t="shared" ref="CB63" si="382">IFERROR(SUM(CB64:CB76),".")</f>
        <v>14.655364060879414</v>
      </c>
      <c r="CC63" s="47">
        <f t="shared" ref="CC63" si="383">IFERROR(SUM(CC64:CC76),".")</f>
        <v>1.350935645707763</v>
      </c>
      <c r="CD63" s="47">
        <f t="shared" ref="CD63" si="384">IFERROR(SUM(CD64:CD76),".")</f>
        <v>0</v>
      </c>
      <c r="CE63" s="47">
        <f t="shared" ref="CE63" si="385">IFERROR(SUM(CE64:CE76),".")</f>
        <v>10287.161831896552</v>
      </c>
      <c r="CF63" s="47">
        <f t="shared" ref="CF63" si="386">IFERROR(SUM(CF64:CF76),".")</f>
        <v>13287.58403286638</v>
      </c>
      <c r="CG63" s="47">
        <f t="shared" ref="CG63" si="387">IFERROR(SUM(CG64:CG76),".")</f>
        <v>0</v>
      </c>
      <c r="CH63" s="47">
        <f t="shared" ref="CH63" si="388">IFERROR(SUM(CH64:CH76),".")</f>
        <v>24.38457402015792</v>
      </c>
      <c r="CI63" s="47">
        <f t="shared" ref="CI63" si="389">IFERROR(SUM(CI64:CI76),".")</f>
        <v>232.37067586088128</v>
      </c>
      <c r="CJ63" s="47">
        <f t="shared" ref="CJ63" si="390">IFERROR(SUM(CJ64:CJ76),".")</f>
        <v>86.410249241935745</v>
      </c>
      <c r="CK63" s="47">
        <f t="shared" ref="CK63" si="391">IFERROR(SUM(CK64:CK76),".")</f>
        <v>23957.771147212916</v>
      </c>
      <c r="CL63" s="59">
        <f t="shared" ref="CL63:CZ63" si="392">IFERROR(1/SUM(IFERROR(1/SUMIF(CL64,"&lt;&gt;.",CL64),0),IFERROR(1/SUMIF(CL65,"&lt;&gt;.",CL65),0),IFERROR(1/SUMIF(CL66,"&lt;&gt;.",CL66),0),IFERROR(1/SUMIF(CL67,"&lt;&gt;.",CL67),0),IFERROR(1/SUMIF(CL68,"&lt;&gt;.",CL68),0),IFERROR(1/SUMIF(CL69,"&lt;&gt;.",CL69),0),IFERROR(1/SUMIF(CL70,"&lt;&gt;.",CL70),0),IFERROR(1/SUMIF(CL71,"&lt;&gt;.",CL71),0),IFERROR(1/SUMIF(CL72,"&lt;&gt;.",CL72),0),IFERROR(1/SUMIF(CL73,"&lt;&gt;.",CL73),0),IFERROR(1/SUMIF(CL74,"&lt;&gt;.",CL74),0),IFERROR(1/SUMIF(CL75,"&lt;&gt;.",CL75),0),IFERROR(1/SUMIF(CL76,"&lt;&gt;.",CL76),0)),".")</f>
        <v>1.7726344281072255</v>
      </c>
      <c r="CM63" s="58">
        <f t="shared" si="392"/>
        <v>4532.6449260822128</v>
      </c>
      <c r="CN63" s="59">
        <f t="shared" si="392"/>
        <v>9546.471811744721</v>
      </c>
      <c r="CO63" s="59">
        <f t="shared" si="392"/>
        <v>6.2939110431943615</v>
      </c>
      <c r="CP63" s="59">
        <f t="shared" si="392"/>
        <v>10.091640835284778</v>
      </c>
      <c r="CQ63" s="59">
        <f t="shared" si="392"/>
        <v>39.80753994454497</v>
      </c>
      <c r="CR63" s="59">
        <f t="shared" si="392"/>
        <v>29941.349163140683</v>
      </c>
      <c r="CS63" s="59">
        <f t="shared" si="392"/>
        <v>326746.19683718239</v>
      </c>
      <c r="CT63" s="59" t="str">
        <f t="shared" si="392"/>
        <v>.</v>
      </c>
      <c r="CU63" s="59">
        <f t="shared" si="392"/>
        <v>42.545497090951642</v>
      </c>
      <c r="CV63" s="59">
        <f t="shared" si="392"/>
        <v>32.938449360736755</v>
      </c>
      <c r="CW63" s="59" t="str">
        <f t="shared" si="392"/>
        <v>.</v>
      </c>
      <c r="CX63" s="59">
        <f t="shared" si="392"/>
        <v>18139.986752400517</v>
      </c>
      <c r="CY63" s="59">
        <f t="shared" si="392"/>
        <v>1886.0528964009668</v>
      </c>
      <c r="CZ63" s="59">
        <f t="shared" si="392"/>
        <v>5154.5077436765077</v>
      </c>
      <c r="DA63" s="111">
        <f t="shared" si="101"/>
        <v>0.56413210989463569</v>
      </c>
      <c r="DB63" s="111">
        <f t="shared" si="102"/>
        <v>2.2062173770676297E-4</v>
      </c>
      <c r="DC63" s="111">
        <f t="shared" si="103"/>
        <v>1.0475074139639022E-4</v>
      </c>
      <c r="DD63" s="111">
        <f t="shared" si="104"/>
        <v>0.15888372001719109</v>
      </c>
      <c r="DE63" s="111">
        <f t="shared" si="105"/>
        <v>9.9091913428345946E-2</v>
      </c>
      <c r="DF63" s="111">
        <f t="shared" si="106"/>
        <v>2.5120869096484699E-2</v>
      </c>
      <c r="DG63" s="111">
        <f t="shared" si="107"/>
        <v>3.3398628583879935E-5</v>
      </c>
      <c r="DH63" s="111">
        <f t="shared" si="108"/>
        <v>3.0604793863853294E-6</v>
      </c>
      <c r="DI63" s="111" t="str">
        <f t="shared" si="109"/>
        <v>.</v>
      </c>
      <c r="DJ63" s="111">
        <f t="shared" si="110"/>
        <v>2.3504249999999997E-2</v>
      </c>
      <c r="DK63" s="111">
        <f t="shared" si="111"/>
        <v>3.0359656249999995E-2</v>
      </c>
      <c r="DL63" s="111" t="str">
        <f t="shared" si="112"/>
        <v>.</v>
      </c>
      <c r="DM63" s="111">
        <f t="shared" si="113"/>
        <v>5.5126831879723791E-5</v>
      </c>
      <c r="DN63" s="111">
        <f t="shared" si="114"/>
        <v>5.3020782286023664E-4</v>
      </c>
      <c r="DO63" s="111">
        <f t="shared" si="115"/>
        <v>1.9400494668512017E-4</v>
      </c>
      <c r="DP63" s="59">
        <f>IFERROR(1/SUM(IFERROR(1/SUMIF(DP64,"&lt;&gt;.",DP64),0),IFERROR(1/SUMIF(DP65,"&lt;&gt;.",DP65),0),IFERROR(1/SUMIF(DP66,"&lt;&gt;.",DP66),0),IFERROR(1/SUMIF(DP67,"&lt;&gt;.",DP67),0),IFERROR(1/SUMIF(DP68,"&lt;&gt;.",DP68),0),IFERROR(1/SUMIF(DP69,"&lt;&gt;.",DP69),0),IFERROR(1/SUMIF(DP70,"&lt;&gt;.",DP70),0),IFERROR(1/SUMIF(DP71,"&lt;&gt;.",DP71),0),IFERROR(1/SUMIF(DP72,"&lt;&gt;.",DP72),0),IFERROR(1/SUMIF(DP73,"&lt;&gt;.",DP73),0),IFERROR(1/SUMIF(DP74,"&lt;&gt;.",DP74),0),IFERROR(1/SUMIF(DP75,"&lt;&gt;.",DP75),0),IFERROR(1/SUMIF(DP76,"&lt;&gt;.",DP76),0)),".")</f>
        <v>1.1083603162865818</v>
      </c>
      <c r="DQ63" s="190">
        <f>DP63*(0.0000000000000028)*s_RadSpec!$AY25*s_RadSpec!$AF25</f>
        <v>7.2170581371243584E-15</v>
      </c>
      <c r="DR63" s="47">
        <f t="shared" ref="DR63" si="393">IFERROR(SUM(DR64:DR76),".")</f>
        <v>14.103302747365891</v>
      </c>
      <c r="DS63" s="47">
        <f t="shared" ref="DS63" si="394">IFERROR(SUM(DS64:DS76),".")</f>
        <v>5.5155434426690745E-3</v>
      </c>
      <c r="DT63" s="47">
        <f t="shared" ref="DT63" si="395">IFERROR(SUM(DT64:DT76),".")</f>
        <v>2.6187685349097554E-3</v>
      </c>
      <c r="DU63" s="47">
        <f t="shared" ref="DU63" si="396">IFERROR(SUM(DU64:DU76),".")</f>
        <v>3.9720930004297776</v>
      </c>
      <c r="DV63" s="47">
        <f t="shared" ref="DV63" si="397">IFERROR(SUM(DV64:DV76),".")</f>
        <v>2.4772978357086486</v>
      </c>
      <c r="DW63" s="47">
        <f t="shared" ref="DW63" si="398">IFERROR(SUM(DW64:DW76),".")</f>
        <v>0.62802172741211748</v>
      </c>
      <c r="DX63" s="47">
        <f t="shared" ref="DX63" si="399">IFERROR(SUM(DX64:DX76),".")</f>
        <v>8.3496571459699834E-4</v>
      </c>
      <c r="DY63" s="47">
        <f t="shared" ref="DY63" si="400">IFERROR(SUM(DY64:DY76),".")</f>
        <v>7.6511984659633235E-5</v>
      </c>
      <c r="DZ63" s="47">
        <f t="shared" ref="DZ63" si="401">IFERROR(SUM(DZ64:DZ76),".")</f>
        <v>0</v>
      </c>
      <c r="EA63" s="47">
        <f t="shared" ref="EA63" si="402">IFERROR(SUM(EA64:EA76),".")</f>
        <v>0.58760625</v>
      </c>
      <c r="EB63" s="47">
        <f t="shared" ref="EB63" si="403">IFERROR(SUM(EB64:EB76),".")</f>
        <v>0.75899140624999994</v>
      </c>
      <c r="EC63" s="47">
        <f t="shared" ref="EC63" si="404">IFERROR(SUM(EC64:EC76),".")</f>
        <v>0</v>
      </c>
      <c r="ED63" s="47">
        <f t="shared" ref="ED63" si="405">IFERROR(SUM(ED64:ED76),".")</f>
        <v>1.3781707969930947E-3</v>
      </c>
      <c r="EE63" s="47">
        <f t="shared" ref="EE63" si="406">IFERROR(SUM(EE64:EE76),".")</f>
        <v>1.3255195571505918E-2</v>
      </c>
      <c r="EF63" s="47">
        <f t="shared" ref="EF63" si="407">IFERROR(SUM(EF64:EF76),".")</f>
        <v>4.8501236671280043E-3</v>
      </c>
      <c r="EG63" s="47">
        <f t="shared" ref="EG63" si="408">IFERROR(SUM(EG64:EG76),".")</f>
        <v>22.5558422468789</v>
      </c>
      <c r="EH63" s="59">
        <f>IFERROR(1/SUM(IFERROR(1/SUMIF(EH64,"&lt;&gt;.",EH64),0),IFERROR(1/SUMIF(EH65,"&lt;&gt;.",EH65),0),IFERROR(1/SUMIF(EH66,"&lt;&gt;.",EH66),0),IFERROR(1/SUMIF(EH67,"&lt;&gt;.",EH67),0),IFERROR(1/SUMIF(EH68,"&lt;&gt;.",EH68),0),IFERROR(1/SUMIF(EH69,"&lt;&gt;.",EH69),0),IFERROR(1/SUMIF(EH70,"&lt;&gt;.",EH70),0),IFERROR(1/SUMIF(EH71,"&lt;&gt;.",EH71),0),IFERROR(1/SUMIF(EH72,"&lt;&gt;.",EH72),0),IFERROR(1/SUMIF(EH73,"&lt;&gt;.",EH73),0),IFERROR(1/SUMIF(EH74,"&lt;&gt;.",EH74),0),IFERROR(1/SUMIF(EH75,"&lt;&gt;.",EH75),0),IFERROR(1/SUMIF(EH76,"&lt;&gt;.",EH76),0)),".")</f>
        <v>1.2385613809507516</v>
      </c>
      <c r="EI63" s="59">
        <f>IFERROR(1/SUM(IFERROR(1/SUMIF(EI64,"&lt;&gt;.",EI64),0),IFERROR(1/SUMIF(EI65,"&lt;&gt;.",EI65),0),IFERROR(1/SUMIF(EI66,"&lt;&gt;.",EI66),0),IFERROR(1/SUMIF(EI67,"&lt;&gt;.",EI67),0),IFERROR(1/SUMIF(EI68,"&lt;&gt;.",EI68),0),IFERROR(1/SUMIF(EI69,"&lt;&gt;.",EI69),0),IFERROR(1/SUMIF(EI70,"&lt;&gt;.",EI70),0),IFERROR(1/SUMIF(EI71,"&lt;&gt;.",EI71),0),IFERROR(1/SUMIF(EI72,"&lt;&gt;.",EI72),0),IFERROR(1/SUMIF(EI73,"&lt;&gt;.",EI73),0),IFERROR(1/SUMIF(EI74,"&lt;&gt;.",EI74),0),IFERROR(1/SUMIF(EI75,"&lt;&gt;.",EI75),0),IFERROR(1/SUMIF(EI76,"&lt;&gt;.",EI76),0)),".")</f>
        <v>33047.40933280818</v>
      </c>
      <c r="EJ63" s="59">
        <f>IFERROR(1/SUM(IFERROR(1/SUMIF(EJ64,"&lt;&gt;.",EJ64),0),IFERROR(1/SUMIF(EJ65,"&lt;&gt;.",EJ65),0),IFERROR(1/SUMIF(EJ66,"&lt;&gt;.",EJ66),0),IFERROR(1/SUMIF(EJ67,"&lt;&gt;.",EJ67),0),IFERROR(1/SUMIF(EJ68,"&lt;&gt;.",EJ68),0),IFERROR(1/SUMIF(EJ69,"&lt;&gt;.",EJ69),0),IFERROR(1/SUMIF(EJ70,"&lt;&gt;.",EJ70),0),IFERROR(1/SUMIF(EJ71,"&lt;&gt;.",EJ71),0),IFERROR(1/SUMIF(EJ72,"&lt;&gt;.",EJ72),0),IFERROR(1/SUMIF(EJ73,"&lt;&gt;.",EJ73),0),IFERROR(1/SUMIF(EJ74,"&lt;&gt;.",EJ74),0),IFERROR(1/SUMIF(EJ75,"&lt;&gt;.",EJ75),0),IFERROR(1/SUMIF(EJ76,"&lt;&gt;.",EJ76),0)),".")</f>
        <v>1.23851496349067</v>
      </c>
      <c r="EK63" s="190">
        <f>EJ63*(0.0000000000000028)*s_RadSpec!$AY25*s_RadSpec!$AF25</f>
        <v>8.0645565921718391E-15</v>
      </c>
      <c r="EL63" s="47">
        <f t="shared" ref="EL63" si="409">IFERROR(SUM(EL64:EL76),".")</f>
        <v>20.184708149715885</v>
      </c>
      <c r="EM63" s="47">
        <f t="shared" ref="EM63" si="410">IFERROR(SUM(EM64:EM76),".")</f>
        <v>7.564889504116432E-4</v>
      </c>
      <c r="EN63" s="47">
        <f t="shared" ref="EN63" si="411">IFERROR(SUM(EN64:EN76),".")</f>
        <v>20.185464638666293</v>
      </c>
    </row>
    <row r="64" spans="1:144" x14ac:dyDescent="0.25">
      <c r="A64" s="77" t="s">
        <v>1073</v>
      </c>
      <c r="B64" s="42">
        <v>1</v>
      </c>
      <c r="C64" s="170"/>
      <c r="D64" s="60" t="str">
        <f t="shared" ref="D64:O64" si="412">IFERROR(D25/$B50,".")</f>
        <v>.</v>
      </c>
      <c r="E64" s="60" t="str">
        <f t="shared" si="412"/>
        <v>.</v>
      </c>
      <c r="F64" s="60" t="str">
        <f t="shared" si="412"/>
        <v>.</v>
      </c>
      <c r="G64" s="60" t="str">
        <f t="shared" si="412"/>
        <v>.</v>
      </c>
      <c r="H64" s="60" t="str">
        <f t="shared" si="412"/>
        <v>.</v>
      </c>
      <c r="I64" s="60" t="str">
        <f t="shared" si="412"/>
        <v>.</v>
      </c>
      <c r="J64" s="60" t="str">
        <f t="shared" si="412"/>
        <v>.</v>
      </c>
      <c r="K64" s="60" t="str">
        <f t="shared" si="412"/>
        <v>.</v>
      </c>
      <c r="L64" s="60" t="str">
        <f t="shared" si="412"/>
        <v>.</v>
      </c>
      <c r="M64" s="60" t="str">
        <f t="shared" si="412"/>
        <v>.</v>
      </c>
      <c r="N64" s="60" t="str">
        <f t="shared" si="412"/>
        <v>.</v>
      </c>
      <c r="O64" s="60" t="str">
        <f t="shared" si="412"/>
        <v>.</v>
      </c>
      <c r="P64" s="111" t="str">
        <f t="shared" ref="P64:W76" si="413">IFERROR(1/H64,".")</f>
        <v>.</v>
      </c>
      <c r="Q64" s="111" t="str">
        <f t="shared" si="413"/>
        <v>.</v>
      </c>
      <c r="R64" s="111" t="str">
        <f t="shared" si="413"/>
        <v>.</v>
      </c>
      <c r="S64" s="111" t="str">
        <f t="shared" si="413"/>
        <v>.</v>
      </c>
      <c r="T64" s="111" t="str">
        <f t="shared" si="413"/>
        <v>.</v>
      </c>
      <c r="U64" s="111" t="str">
        <f t="shared" si="413"/>
        <v>.</v>
      </c>
      <c r="V64" s="111" t="str">
        <f t="shared" si="413"/>
        <v>.</v>
      </c>
      <c r="W64" s="111" t="str">
        <f t="shared" si="413"/>
        <v>.</v>
      </c>
      <c r="X64" s="111" t="str">
        <f t="shared" si="59"/>
        <v>.</v>
      </c>
      <c r="Y64" s="111" t="str">
        <f t="shared" si="59"/>
        <v>.</v>
      </c>
      <c r="Z64" s="111" t="str">
        <f t="shared" si="59"/>
        <v>.</v>
      </c>
      <c r="AA64" s="111" t="str">
        <f t="shared" si="59"/>
        <v>.</v>
      </c>
      <c r="AB64" s="60" t="str">
        <f>IFERROR(AB25/$B50,".")</f>
        <v>.</v>
      </c>
      <c r="AC64" s="189">
        <f>IFERROR(AC25/$B50,0)</f>
        <v>0</v>
      </c>
      <c r="AD64" s="49" t="str">
        <f>s_dir!BC64</f>
        <v>.</v>
      </c>
      <c r="AE64" s="49" t="str">
        <f>IF(E64=".",".",s_RadSpec!$F$25*AE25*$B$64)</f>
        <v>.</v>
      </c>
      <c r="AF64" s="49" t="str">
        <f>IF(F64=".",".",s_RadSpec!$F$25*AF25*$B$64)</f>
        <v>.</v>
      </c>
      <c r="AG64" s="49" t="str">
        <f>IF(G64=".",".",s_RadSpec!$F$25*AG25*$B$64)</f>
        <v>.</v>
      </c>
      <c r="AH64" s="49" t="str">
        <f>IF(H64=".",".",s_RadSpec!$F$25*AH25*$B$64)</f>
        <v>.</v>
      </c>
      <c r="AI64" s="49" t="str">
        <f>IF(I64=".",".",s_RadSpec!$F$25*AI25*$B$64)</f>
        <v>.</v>
      </c>
      <c r="AJ64" s="49" t="str">
        <f>IF(J64=".",".",s_RadSpec!$F$25*AJ25*$B$64)</f>
        <v>.</v>
      </c>
      <c r="AK64" s="49" t="str">
        <f>IF(K64=".",".",s_RadSpec!$F$25*AK25*$B$64)</f>
        <v>.</v>
      </c>
      <c r="AL64" s="49" t="str">
        <f>IF(L64=".",".",s_RadSpec!$F$25*AL25*$B$64)</f>
        <v>.</v>
      </c>
      <c r="AM64" s="49" t="str">
        <f>IF(M64=".",".",s_RadSpec!$F$25*AM25*$B$64)</f>
        <v>.</v>
      </c>
      <c r="AN64" s="49" t="str">
        <f>IF(N64=".",".",s_RadSpec!$F$25*AN25*$B$64)</f>
        <v>.</v>
      </c>
      <c r="AO64" s="49" t="str">
        <f>IF(O64=".",".",s_RadSpec!$F$25*AO25*$B$64)</f>
        <v>.</v>
      </c>
      <c r="AP64" s="60" t="str">
        <f t="shared" ref="AP64:BD64" si="414">IFERROR(AP25/$B50,".")</f>
        <v>.</v>
      </c>
      <c r="AQ64" s="60">
        <f t="shared" si="414"/>
        <v>2358772355.1101465</v>
      </c>
      <c r="AR64" s="60">
        <f t="shared" si="414"/>
        <v>500621.03754162649</v>
      </c>
      <c r="AS64" s="60" t="str">
        <f t="shared" si="414"/>
        <v>.</v>
      </c>
      <c r="AT64" s="60" t="str">
        <f t="shared" si="414"/>
        <v>.</v>
      </c>
      <c r="AU64" s="60" t="str">
        <f t="shared" si="414"/>
        <v>.</v>
      </c>
      <c r="AV64" s="60" t="str">
        <f t="shared" si="414"/>
        <v>.</v>
      </c>
      <c r="AW64" s="60" t="str">
        <f t="shared" si="414"/>
        <v>.</v>
      </c>
      <c r="AX64" s="60" t="str">
        <f t="shared" si="414"/>
        <v>.</v>
      </c>
      <c r="AY64" s="60" t="str">
        <f t="shared" si="414"/>
        <v>.</v>
      </c>
      <c r="AZ64" s="60" t="str">
        <f t="shared" si="414"/>
        <v>.</v>
      </c>
      <c r="BA64" s="60" t="str">
        <f t="shared" si="414"/>
        <v>.</v>
      </c>
      <c r="BB64" s="60" t="str">
        <f t="shared" si="414"/>
        <v>.</v>
      </c>
      <c r="BC64" s="60" t="str">
        <f t="shared" si="414"/>
        <v>.</v>
      </c>
      <c r="BD64" s="60" t="str">
        <f t="shared" si="414"/>
        <v>.</v>
      </c>
      <c r="BE64" s="111" t="str">
        <f t="shared" si="69"/>
        <v>.</v>
      </c>
      <c r="BF64" s="111">
        <f t="shared" si="70"/>
        <v>4.2394934713964948E-10</v>
      </c>
      <c r="BG64" s="111">
        <f t="shared" si="71"/>
        <v>1.9975189315068494E-6</v>
      </c>
      <c r="BH64" s="111" t="str">
        <f t="shared" si="72"/>
        <v>.</v>
      </c>
      <c r="BI64" s="111" t="str">
        <f t="shared" si="73"/>
        <v>.</v>
      </c>
      <c r="BJ64" s="111" t="str">
        <f t="shared" si="74"/>
        <v>.</v>
      </c>
      <c r="BK64" s="111" t="str">
        <f t="shared" si="75"/>
        <v>.</v>
      </c>
      <c r="BL64" s="111" t="str">
        <f t="shared" si="76"/>
        <v>.</v>
      </c>
      <c r="BM64" s="111" t="str">
        <f t="shared" si="77"/>
        <v>.</v>
      </c>
      <c r="BN64" s="111" t="str">
        <f t="shared" si="78"/>
        <v>.</v>
      </c>
      <c r="BO64" s="111" t="str">
        <f t="shared" si="79"/>
        <v>.</v>
      </c>
      <c r="BP64" s="111" t="str">
        <f t="shared" si="80"/>
        <v>.</v>
      </c>
      <c r="BQ64" s="111" t="str">
        <f t="shared" si="81"/>
        <v>.</v>
      </c>
      <c r="BR64" s="111" t="str">
        <f t="shared" si="82"/>
        <v>.</v>
      </c>
      <c r="BS64" s="111" t="str">
        <f t="shared" si="83"/>
        <v>.</v>
      </c>
      <c r="BT64" s="60">
        <f>IFERROR(BT25/$B50,".")</f>
        <v>500514.80929853505</v>
      </c>
      <c r="BU64" s="189">
        <f>IFERROR(BU25/$B50,0)</f>
        <v>3.259088605140247E-6</v>
      </c>
      <c r="BV64" s="49" t="str">
        <f>IF(AP64=".",".",s_RadSpec!$E$25*BV25*$B$64)</f>
        <v>.</v>
      </c>
      <c r="BW64" s="49">
        <f>IF(AQ64=".",".",s_RadSpec!$H$25*BW25*$B$64)</f>
        <v>1.0598733678491237E-8</v>
      </c>
      <c r="BX64" s="49">
        <f>IF(AR64=".",".",s_RadSpec!$G$25*BX25*$B$64)</f>
        <v>4.9937973287671228E-5</v>
      </c>
      <c r="BY64" s="49" t="str">
        <f>s_b2s!CC64</f>
        <v>.</v>
      </c>
      <c r="BZ64" s="49" t="str">
        <f>IF(AT64=".",".",s_RadSpec!$F$25*BZ25*$B$64)</f>
        <v>.</v>
      </c>
      <c r="CA64" s="49" t="str">
        <f>IF(AU64=".",".",s_RadSpec!$F$25*CA25*$B$64)</f>
        <v>.</v>
      </c>
      <c r="CB64" s="49" t="str">
        <f>IF(AV64=".",".",s_RadSpec!$F$25*CB25*$B$64)</f>
        <v>.</v>
      </c>
      <c r="CC64" s="49" t="str">
        <f>IF(AW64=".",".",s_RadSpec!$F$25*CC25*$B$64)</f>
        <v>.</v>
      </c>
      <c r="CD64" s="49" t="str">
        <f>IF(AX64=".",".",s_RadSpec!$F$25*CD25*$B$64)</f>
        <v>.</v>
      </c>
      <c r="CE64" s="49" t="str">
        <f>IF(AY64=".",".",s_RadSpec!$F$25*CE25*$B$64)</f>
        <v>.</v>
      </c>
      <c r="CF64" s="49" t="str">
        <f>IF(AZ64=".",".",s_RadSpec!$F$25*CF25*$B$64)</f>
        <v>.</v>
      </c>
      <c r="CG64" s="49" t="str">
        <f>IF(BA64=".",".",s_RadSpec!$F$25*CG25*$B$64)</f>
        <v>.</v>
      </c>
      <c r="CH64" s="49" t="str">
        <f>IF(BB64=".",".",s_RadSpec!$F$25*CH25*$B$64)</f>
        <v>.</v>
      </c>
      <c r="CI64" s="49" t="str">
        <f>IF(BC64=".",".",s_RadSpec!$F$25*CI25*$B$64)</f>
        <v>.</v>
      </c>
      <c r="CJ64" s="49" t="str">
        <f>IF(BD64=".",".",s_RadSpec!$F$25*CJ25*$B$64)</f>
        <v>.</v>
      </c>
      <c r="CK64" s="49">
        <f t="shared" ref="CK64:CK76" si="415">IFERROR(SUM(BV64:CJ64),".")</f>
        <v>4.9948572021349718E-5</v>
      </c>
      <c r="CL64" s="60" t="str">
        <f>IFERROR(CL25/$B50,".")</f>
        <v>.</v>
      </c>
      <c r="CM64" s="60">
        <f>IFERROR(CM25,".")</f>
        <v>15227.520571032024</v>
      </c>
      <c r="CN64" s="60">
        <f t="shared" ref="CN64:CZ64" si="416">IFERROR(CN25/$B50,".")</f>
        <v>45347974.484240822</v>
      </c>
      <c r="CO64" s="60" t="str">
        <f t="shared" si="416"/>
        <v>.</v>
      </c>
      <c r="CP64" s="60" t="str">
        <f t="shared" si="416"/>
        <v>.</v>
      </c>
      <c r="CQ64" s="60" t="str">
        <f t="shared" si="416"/>
        <v>.</v>
      </c>
      <c r="CR64" s="60" t="str">
        <f t="shared" si="416"/>
        <v>.</v>
      </c>
      <c r="CS64" s="60" t="str">
        <f t="shared" si="416"/>
        <v>.</v>
      </c>
      <c r="CT64" s="60" t="str">
        <f t="shared" si="416"/>
        <v>.</v>
      </c>
      <c r="CU64" s="60" t="str">
        <f t="shared" si="416"/>
        <v>.</v>
      </c>
      <c r="CV64" s="60" t="str">
        <f t="shared" si="416"/>
        <v>.</v>
      </c>
      <c r="CW64" s="60" t="str">
        <f t="shared" si="416"/>
        <v>.</v>
      </c>
      <c r="CX64" s="60" t="str">
        <f t="shared" si="416"/>
        <v>.</v>
      </c>
      <c r="CY64" s="60" t="str">
        <f t="shared" si="416"/>
        <v>.</v>
      </c>
      <c r="CZ64" s="60" t="str">
        <f t="shared" si="416"/>
        <v>.</v>
      </c>
      <c r="DA64" s="111" t="str">
        <f t="shared" si="101"/>
        <v>.</v>
      </c>
      <c r="DB64" s="111">
        <f t="shared" si="102"/>
        <v>6.5670572916666649E-5</v>
      </c>
      <c r="DC64" s="111">
        <f t="shared" si="103"/>
        <v>2.2051701567123282E-8</v>
      </c>
      <c r="DD64" s="111" t="str">
        <f t="shared" si="104"/>
        <v>.</v>
      </c>
      <c r="DE64" s="111" t="str">
        <f t="shared" si="105"/>
        <v>.</v>
      </c>
      <c r="DF64" s="111" t="str">
        <f t="shared" si="106"/>
        <v>.</v>
      </c>
      <c r="DG64" s="111" t="str">
        <f t="shared" si="107"/>
        <v>.</v>
      </c>
      <c r="DH64" s="111" t="str">
        <f t="shared" si="108"/>
        <v>.</v>
      </c>
      <c r="DI64" s="111" t="str">
        <f t="shared" si="109"/>
        <v>.</v>
      </c>
      <c r="DJ64" s="111" t="str">
        <f t="shared" si="110"/>
        <v>.</v>
      </c>
      <c r="DK64" s="111" t="str">
        <f t="shared" si="111"/>
        <v>.</v>
      </c>
      <c r="DL64" s="111" t="str">
        <f t="shared" si="112"/>
        <v>.</v>
      </c>
      <c r="DM64" s="111" t="str">
        <f t="shared" si="113"/>
        <v>.</v>
      </c>
      <c r="DN64" s="111" t="str">
        <f t="shared" si="114"/>
        <v>.</v>
      </c>
      <c r="DO64" s="111" t="str">
        <f t="shared" si="115"/>
        <v>.</v>
      </c>
      <c r="DP64" s="60">
        <f>IFERROR(DP25/$B50,".")</f>
        <v>15222.408996617225</v>
      </c>
      <c r="DQ64" s="189">
        <f t="shared" ref="DQ64" si="417">IFERROR(DQ25/$B50,0)</f>
        <v>9.912030329969457E-11</v>
      </c>
      <c r="DR64" s="49" t="str">
        <f>IF(CL64=".",".",s_RadSpec!$I$25*DR25*$B$64)</f>
        <v>.</v>
      </c>
      <c r="DS64" s="49">
        <f>IF(CM64=".",".",s_RadSpec!$H$25*DS25)</f>
        <v>1.6417643229166665E-3</v>
      </c>
      <c r="DT64" s="49">
        <f>IF(CN64=".",".",s_RadSpec!$M$25*DT25*$B$64)</f>
        <v>5.5129253917808207E-7</v>
      </c>
      <c r="DU64" s="49" t="str">
        <f>s_b2w!CC64</f>
        <v>.</v>
      </c>
      <c r="DV64" s="49" t="str">
        <f>IF(CP64=".",".",s_RadSpec!$F$25*DV25*$B$64)</f>
        <v>.</v>
      </c>
      <c r="DW64" s="49" t="str">
        <f>IF(CQ64=".",".",s_RadSpec!$F$25*DW25*$B$64)</f>
        <v>.</v>
      </c>
      <c r="DX64" s="49" t="str">
        <f>IF(CR64=".",".",s_RadSpec!$F$25*DX25*$B$64)</f>
        <v>.</v>
      </c>
      <c r="DY64" s="49" t="str">
        <f>IF(CS64=".",".",s_RadSpec!$F$25*DY25*$B$64)</f>
        <v>.</v>
      </c>
      <c r="DZ64" s="49" t="str">
        <f>IF(CT64=".",".",s_RadSpec!$F$25*DZ25*$B$64)</f>
        <v>.</v>
      </c>
      <c r="EA64" s="49" t="str">
        <f>IF(CU64=".",".",s_RadSpec!$F$25*EA25*$B$64)</f>
        <v>.</v>
      </c>
      <c r="EB64" s="49" t="str">
        <f>IF(CV64=".",".",s_RadSpec!$F$25*EB25*$B$64)</f>
        <v>.</v>
      </c>
      <c r="EC64" s="49" t="str">
        <f>IF(CW64=".",".",s_RadSpec!$F$25*EC25*$B$64)</f>
        <v>.</v>
      </c>
      <c r="ED64" s="49" t="str">
        <f>IF(CX64=".",".",s_RadSpec!$F$25*ED25*$B$64)</f>
        <v>.</v>
      </c>
      <c r="EE64" s="49" t="str">
        <f>IF(CY64=".",".",s_RadSpec!$F$25*EE25*$B$64)</f>
        <v>.</v>
      </c>
      <c r="EF64" s="49" t="str">
        <f>IF(CZ64=".",".",s_RadSpec!$F$25*EF25*$B$64)</f>
        <v>.</v>
      </c>
      <c r="EG64" s="49">
        <f t="shared" ref="EG64:EG76" si="418">IFERROR(SUM(DR64:EF64),".")</f>
        <v>1.6423156154558446E-3</v>
      </c>
      <c r="EH64" s="60">
        <f>IFERROR(EH25/$B50,".")</f>
        <v>7613.7602855160121</v>
      </c>
      <c r="EI64" s="60">
        <f>IFERROR(EI25/$B50,".")</f>
        <v>157695615.31629637</v>
      </c>
      <c r="EJ64" s="60">
        <f>IFERROR(EJ25/$B50,".")</f>
        <v>7613.3927004892203</v>
      </c>
      <c r="EK64" s="189">
        <f t="shared" ref="EK64" si="419">IFERROR(EK25/$B50,0)</f>
        <v>4.9574400068995074E-11</v>
      </c>
      <c r="EL64" s="49">
        <f>IF(EH64=".",".",s_RadSpec!$H$25*EL25*$B$64)</f>
        <v>3.283528645833333E-3</v>
      </c>
      <c r="EM64" s="49">
        <f>IF(EI64=".",".",s_RadSpec!$K$25*EM25*$B$64)</f>
        <v>1.5853326010273972E-7</v>
      </c>
      <c r="EN64" s="49">
        <f t="shared" si="155"/>
        <v>3.2836871790934358E-3</v>
      </c>
    </row>
    <row r="65" spans="1:144" x14ac:dyDescent="0.25">
      <c r="A65" s="77" t="s">
        <v>1059</v>
      </c>
      <c r="B65" s="42">
        <v>1</v>
      </c>
      <c r="C65" s="170"/>
      <c r="D65" s="60" t="str">
        <f t="shared" ref="D65:O65" si="420">IFERROR(D21/$B51,".")</f>
        <v>.</v>
      </c>
      <c r="E65" s="60" t="str">
        <f t="shared" si="420"/>
        <v>.</v>
      </c>
      <c r="F65" s="60" t="str">
        <f t="shared" si="420"/>
        <v>.</v>
      </c>
      <c r="G65" s="60" t="str">
        <f t="shared" si="420"/>
        <v>.</v>
      </c>
      <c r="H65" s="60" t="str">
        <f t="shared" si="420"/>
        <v>.</v>
      </c>
      <c r="I65" s="60" t="str">
        <f t="shared" si="420"/>
        <v>.</v>
      </c>
      <c r="J65" s="60" t="str">
        <f t="shared" si="420"/>
        <v>.</v>
      </c>
      <c r="K65" s="60" t="str">
        <f t="shared" si="420"/>
        <v>.</v>
      </c>
      <c r="L65" s="60" t="str">
        <f t="shared" si="420"/>
        <v>.</v>
      </c>
      <c r="M65" s="60" t="str">
        <f t="shared" si="420"/>
        <v>.</v>
      </c>
      <c r="N65" s="60" t="str">
        <f t="shared" si="420"/>
        <v>.</v>
      </c>
      <c r="O65" s="60" t="str">
        <f t="shared" si="420"/>
        <v>.</v>
      </c>
      <c r="P65" s="111" t="str">
        <f t="shared" si="413"/>
        <v>.</v>
      </c>
      <c r="Q65" s="111" t="str">
        <f t="shared" si="413"/>
        <v>.</v>
      </c>
      <c r="R65" s="111" t="str">
        <f t="shared" si="413"/>
        <v>.</v>
      </c>
      <c r="S65" s="111" t="str">
        <f t="shared" si="413"/>
        <v>.</v>
      </c>
      <c r="T65" s="111" t="str">
        <f t="shared" si="413"/>
        <v>.</v>
      </c>
      <c r="U65" s="111" t="str">
        <f t="shared" si="413"/>
        <v>.</v>
      </c>
      <c r="V65" s="111" t="str">
        <f t="shared" si="413"/>
        <v>.</v>
      </c>
      <c r="W65" s="111" t="str">
        <f t="shared" si="413"/>
        <v>.</v>
      </c>
      <c r="X65" s="111" t="str">
        <f t="shared" si="59"/>
        <v>.</v>
      </c>
      <c r="Y65" s="111" t="str">
        <f t="shared" si="59"/>
        <v>.</v>
      </c>
      <c r="Z65" s="111" t="str">
        <f t="shared" si="59"/>
        <v>.</v>
      </c>
      <c r="AA65" s="111" t="str">
        <f t="shared" si="59"/>
        <v>.</v>
      </c>
      <c r="AB65" s="60" t="str">
        <f>IFERROR(AB21/$B51,".")</f>
        <v>.</v>
      </c>
      <c r="AC65" s="189">
        <f>IFERROR(AC21/$B51,0)</f>
        <v>0</v>
      </c>
      <c r="AD65" s="49" t="str">
        <f>s_dir!BC65</f>
        <v>.</v>
      </c>
      <c r="AE65" s="49" t="str">
        <f>IF(E65=".",".",s_RadSpec!$F$21*AE21*$B$65)</f>
        <v>.</v>
      </c>
      <c r="AF65" s="49" t="str">
        <f>IF(F65=".",".",s_RadSpec!$F$21*AF21*$B$65)</f>
        <v>.</v>
      </c>
      <c r="AG65" s="49" t="str">
        <f>IF(G65=".",".",s_RadSpec!$F$21*AG21*$B$65)</f>
        <v>.</v>
      </c>
      <c r="AH65" s="49" t="str">
        <f>IF(H65=".",".",s_RadSpec!$F$21*AH21*$B$65)</f>
        <v>.</v>
      </c>
      <c r="AI65" s="49" t="str">
        <f>IF(I65=".",".",s_RadSpec!$F$21*AI21*$B$65)</f>
        <v>.</v>
      </c>
      <c r="AJ65" s="49" t="str">
        <f>IF(J65=".",".",s_RadSpec!$F$21*AJ21*$B$65)</f>
        <v>.</v>
      </c>
      <c r="AK65" s="49" t="str">
        <f>IF(K65=".",".",s_RadSpec!$F$21*AK21*$B$65)</f>
        <v>.</v>
      </c>
      <c r="AL65" s="49" t="str">
        <f>IF(L65=".",".",s_RadSpec!$F$21*AL21*$B$65)</f>
        <v>.</v>
      </c>
      <c r="AM65" s="49" t="str">
        <f>IF(M65=".",".",s_RadSpec!$F$21*AM21*$B$65)</f>
        <v>.</v>
      </c>
      <c r="AN65" s="49" t="str">
        <f>IF(N65=".",".",s_RadSpec!$F$21*AN21*$B$65)</f>
        <v>.</v>
      </c>
      <c r="AO65" s="49" t="str">
        <f>IF(O65=".",".",s_RadSpec!$F$21*AO21*$B$65)</f>
        <v>.</v>
      </c>
      <c r="AP65" s="60" t="str">
        <f t="shared" ref="AP65:BD65" si="421">IFERROR(AP21/$B51,".")</f>
        <v>.</v>
      </c>
      <c r="AQ65" s="60">
        <f t="shared" si="421"/>
        <v>2027553664.8256507</v>
      </c>
      <c r="AR65" s="60" t="str">
        <f t="shared" si="421"/>
        <v>.</v>
      </c>
      <c r="AS65" s="60" t="str">
        <f t="shared" si="421"/>
        <v>.</v>
      </c>
      <c r="AT65" s="60" t="str">
        <f t="shared" si="421"/>
        <v>.</v>
      </c>
      <c r="AU65" s="60" t="str">
        <f t="shared" si="421"/>
        <v>.</v>
      </c>
      <c r="AV65" s="60" t="str">
        <f t="shared" si="421"/>
        <v>.</v>
      </c>
      <c r="AW65" s="60" t="str">
        <f t="shared" si="421"/>
        <v>.</v>
      </c>
      <c r="AX65" s="60" t="str">
        <f t="shared" si="421"/>
        <v>.</v>
      </c>
      <c r="AY65" s="60" t="str">
        <f t="shared" si="421"/>
        <v>.</v>
      </c>
      <c r="AZ65" s="60" t="str">
        <f t="shared" si="421"/>
        <v>.</v>
      </c>
      <c r="BA65" s="60" t="str">
        <f t="shared" si="421"/>
        <v>.</v>
      </c>
      <c r="BB65" s="60" t="str">
        <f t="shared" si="421"/>
        <v>.</v>
      </c>
      <c r="BC65" s="60" t="str">
        <f t="shared" si="421"/>
        <v>.</v>
      </c>
      <c r="BD65" s="60" t="str">
        <f t="shared" si="421"/>
        <v>.</v>
      </c>
      <c r="BE65" s="111" t="str">
        <f t="shared" si="69"/>
        <v>.</v>
      </c>
      <c r="BF65" s="111">
        <f t="shared" si="70"/>
        <v>4.9320519468765329E-10</v>
      </c>
      <c r="BG65" s="111" t="str">
        <f t="shared" si="71"/>
        <v>.</v>
      </c>
      <c r="BH65" s="111" t="str">
        <f t="shared" si="72"/>
        <v>.</v>
      </c>
      <c r="BI65" s="111" t="str">
        <f t="shared" si="73"/>
        <v>.</v>
      </c>
      <c r="BJ65" s="111" t="str">
        <f t="shared" si="74"/>
        <v>.</v>
      </c>
      <c r="BK65" s="111" t="str">
        <f t="shared" si="75"/>
        <v>.</v>
      </c>
      <c r="BL65" s="111" t="str">
        <f t="shared" si="76"/>
        <v>.</v>
      </c>
      <c r="BM65" s="111" t="str">
        <f t="shared" si="77"/>
        <v>.</v>
      </c>
      <c r="BN65" s="111" t="str">
        <f t="shared" si="78"/>
        <v>.</v>
      </c>
      <c r="BO65" s="111" t="str">
        <f t="shared" si="79"/>
        <v>.</v>
      </c>
      <c r="BP65" s="111" t="str">
        <f t="shared" si="80"/>
        <v>.</v>
      </c>
      <c r="BQ65" s="111" t="str">
        <f t="shared" si="81"/>
        <v>.</v>
      </c>
      <c r="BR65" s="111" t="str">
        <f t="shared" si="82"/>
        <v>.</v>
      </c>
      <c r="BS65" s="111" t="str">
        <f t="shared" si="83"/>
        <v>.</v>
      </c>
      <c r="BT65" s="60">
        <f>IFERROR(BT21/$B51,".")</f>
        <v>2027553664.8256507</v>
      </c>
      <c r="BU65" s="189">
        <f>IFERROR(BU21/$B51,0)</f>
        <v>7.2995018012360878E-6</v>
      </c>
      <c r="BV65" s="49" t="str">
        <f>IF(AP65=".",".",s_RadSpec!$E$21*BV21*$B$65)</f>
        <v>.</v>
      </c>
      <c r="BW65" s="49">
        <f>IF(AQ65=".",".",s_RadSpec!$H$21*BW21*$B$65)</f>
        <v>1.2330129867191332E-8</v>
      </c>
      <c r="BX65" s="49" t="str">
        <f>IF(AR65=".",".",s_RadSpec!$G$21*BX21*$B$65)</f>
        <v>.</v>
      </c>
      <c r="BY65" s="49" t="str">
        <f>s_b2s!CC65</f>
        <v>.</v>
      </c>
      <c r="BZ65" s="49" t="str">
        <f>IF(AT65=".",".",s_RadSpec!$F$21*BZ21*$B$65)</f>
        <v>.</v>
      </c>
      <c r="CA65" s="49" t="str">
        <f>IF(AU65=".",".",s_RadSpec!$F$21*CA21*$B$65)</f>
        <v>.</v>
      </c>
      <c r="CB65" s="49" t="str">
        <f>IF(AV65=".",".",s_RadSpec!$F$21*CB21*$B$65)</f>
        <v>.</v>
      </c>
      <c r="CC65" s="49" t="str">
        <f>IF(AW65=".",".",s_RadSpec!$F$21*CC21*$B$65)</f>
        <v>.</v>
      </c>
      <c r="CD65" s="49" t="str">
        <f>IF(AX65=".",".",s_RadSpec!$F$21*CD21*$B$65)</f>
        <v>.</v>
      </c>
      <c r="CE65" s="49" t="str">
        <f>IF(AY65=".",".",s_RadSpec!$F$21*CE21*$B$65)</f>
        <v>.</v>
      </c>
      <c r="CF65" s="49" t="str">
        <f>IF(AZ65=".",".",s_RadSpec!$F$21*CF21*$B$65)</f>
        <v>.</v>
      </c>
      <c r="CG65" s="49" t="str">
        <f>IF(BA65=".",".",s_RadSpec!$F$21*CG21*$B$65)</f>
        <v>.</v>
      </c>
      <c r="CH65" s="49" t="str">
        <f>IF(BB65=".",".",s_RadSpec!$F$21*CH21*$B$65)</f>
        <v>.</v>
      </c>
      <c r="CI65" s="49" t="str">
        <f>IF(BC65=".",".",s_RadSpec!$F$21*CI21*$B$65)</f>
        <v>.</v>
      </c>
      <c r="CJ65" s="49" t="str">
        <f>IF(BD65=".",".",s_RadSpec!$F$21*CJ21*$B$65)</f>
        <v>.</v>
      </c>
      <c r="CK65" s="49">
        <f t="shared" si="415"/>
        <v>1.2330129867191332E-8</v>
      </c>
      <c r="CL65" s="60" t="str">
        <f>IFERROR(CL21/$B51,".")</f>
        <v>.</v>
      </c>
      <c r="CM65" s="60">
        <f>IFERROR(CM21,".")</f>
        <v>17967.595465634375</v>
      </c>
      <c r="CN65" s="60">
        <f t="shared" ref="CN65:CZ65" si="422">IFERROR(CN21/$B51,".")</f>
        <v>596183161051.55762</v>
      </c>
      <c r="CO65" s="60" t="str">
        <f t="shared" si="422"/>
        <v>.</v>
      </c>
      <c r="CP65" s="60" t="str">
        <f t="shared" si="422"/>
        <v>.</v>
      </c>
      <c r="CQ65" s="60" t="str">
        <f t="shared" si="422"/>
        <v>.</v>
      </c>
      <c r="CR65" s="60" t="str">
        <f t="shared" si="422"/>
        <v>.</v>
      </c>
      <c r="CS65" s="60" t="str">
        <f t="shared" si="422"/>
        <v>.</v>
      </c>
      <c r="CT65" s="60" t="str">
        <f t="shared" si="422"/>
        <v>.</v>
      </c>
      <c r="CU65" s="60" t="str">
        <f t="shared" si="422"/>
        <v>.</v>
      </c>
      <c r="CV65" s="60" t="str">
        <f t="shared" si="422"/>
        <v>.</v>
      </c>
      <c r="CW65" s="60" t="str">
        <f t="shared" si="422"/>
        <v>.</v>
      </c>
      <c r="CX65" s="60" t="str">
        <f t="shared" si="422"/>
        <v>.</v>
      </c>
      <c r="CY65" s="60" t="str">
        <f t="shared" si="422"/>
        <v>.</v>
      </c>
      <c r="CZ65" s="60" t="str">
        <f t="shared" si="422"/>
        <v>.</v>
      </c>
      <c r="DA65" s="111" t="str">
        <f t="shared" si="101"/>
        <v>.</v>
      </c>
      <c r="DB65" s="111">
        <f t="shared" si="102"/>
        <v>5.5655749925617185E-5</v>
      </c>
      <c r="DC65" s="111">
        <f t="shared" si="103"/>
        <v>1.6773368745205477E-12</v>
      </c>
      <c r="DD65" s="111" t="str">
        <f t="shared" si="104"/>
        <v>.</v>
      </c>
      <c r="DE65" s="111" t="str">
        <f t="shared" si="105"/>
        <v>.</v>
      </c>
      <c r="DF65" s="111" t="str">
        <f t="shared" si="106"/>
        <v>.</v>
      </c>
      <c r="DG65" s="111" t="str">
        <f t="shared" si="107"/>
        <v>.</v>
      </c>
      <c r="DH65" s="111" t="str">
        <f t="shared" si="108"/>
        <v>.</v>
      </c>
      <c r="DI65" s="111" t="str">
        <f t="shared" si="109"/>
        <v>.</v>
      </c>
      <c r="DJ65" s="111" t="str">
        <f t="shared" si="110"/>
        <v>.</v>
      </c>
      <c r="DK65" s="111" t="str">
        <f t="shared" si="111"/>
        <v>.</v>
      </c>
      <c r="DL65" s="111" t="str">
        <f t="shared" si="112"/>
        <v>.</v>
      </c>
      <c r="DM65" s="111" t="str">
        <f t="shared" si="113"/>
        <v>.</v>
      </c>
      <c r="DN65" s="111" t="str">
        <f t="shared" si="114"/>
        <v>.</v>
      </c>
      <c r="DO65" s="111" t="str">
        <f t="shared" si="115"/>
        <v>.</v>
      </c>
      <c r="DP65" s="60">
        <f>IFERROR(DP21/$B51,".")</f>
        <v>17967.594924132201</v>
      </c>
      <c r="DQ65" s="189">
        <f t="shared" ref="DQ65" si="423">IFERROR(DQ21/$B51,0)</f>
        <v>6.4686076520623862E-14</v>
      </c>
      <c r="DR65" s="49" t="str">
        <f>IF(CL65=".",".",s_RadSpec!$I$21*DR21*$B$65)</f>
        <v>.</v>
      </c>
      <c r="DS65" s="49">
        <f>IF(CM65=".",".",s_RadSpec!$H$21*DS21)</f>
        <v>1.3913937481404295E-3</v>
      </c>
      <c r="DT65" s="49">
        <f>IF(CN65=".",".",s_RadSpec!$M$21*DT21*$B$65)</f>
        <v>4.1933421863013697E-11</v>
      </c>
      <c r="DU65" s="49" t="str">
        <f>s_b2w!CC65</f>
        <v>.</v>
      </c>
      <c r="DV65" s="49" t="str">
        <f>IF(CP65=".",".",s_RadSpec!$F$21*DV21*$B$65)</f>
        <v>.</v>
      </c>
      <c r="DW65" s="49" t="str">
        <f>IF(CQ65=".",".",s_RadSpec!$F$21*DW21*$B$65)</f>
        <v>.</v>
      </c>
      <c r="DX65" s="49" t="str">
        <f>IF(CR65=".",".",s_RadSpec!$F$21*DX21*$B$65)</f>
        <v>.</v>
      </c>
      <c r="DY65" s="49" t="str">
        <f>IF(CS65=".",".",s_RadSpec!$F$21*DY21*$B$65)</f>
        <v>.</v>
      </c>
      <c r="DZ65" s="49" t="str">
        <f>IF(CT65=".",".",s_RadSpec!$F$21*DZ21*$B$65)</f>
        <v>.</v>
      </c>
      <c r="EA65" s="49" t="str">
        <f>IF(CU65=".",".",s_RadSpec!$F$21*EA21*$B$65)</f>
        <v>.</v>
      </c>
      <c r="EB65" s="49" t="str">
        <f>IF(CV65=".",".",s_RadSpec!$F$21*EB21*$B$65)</f>
        <v>.</v>
      </c>
      <c r="EC65" s="49" t="str">
        <f>IF(CW65=".",".",s_RadSpec!$F$21*EC21*$B$65)</f>
        <v>.</v>
      </c>
      <c r="ED65" s="49" t="str">
        <f>IF(CX65=".",".",s_RadSpec!$F$21*ED21*$B$65)</f>
        <v>.</v>
      </c>
      <c r="EE65" s="49" t="str">
        <f>IF(CY65=".",".",s_RadSpec!$F$21*EE21*$B$65)</f>
        <v>.</v>
      </c>
      <c r="EF65" s="49" t="str">
        <f>IF(CZ65=".",".",s_RadSpec!$F$21*EF21*$B$65)</f>
        <v>.</v>
      </c>
      <c r="EG65" s="49">
        <f t="shared" si="418"/>
        <v>1.3913937900738513E-3</v>
      </c>
      <c r="EH65" s="60">
        <f>IFERROR(EH21/$B51,".")</f>
        <v>6544.6364658963093</v>
      </c>
      <c r="EI65" s="60">
        <f>IFERROR(EI21/$B51,".")</f>
        <v>1041272574416.7661</v>
      </c>
      <c r="EJ65" s="60">
        <f>IFERROR(EJ21/$B51,".")</f>
        <v>6544.6364247617721</v>
      </c>
      <c r="EK65" s="189">
        <f t="shared" ref="EK65" si="424">IFERROR(EK21/$B51,0)</f>
        <v>2.3561687268628635E-14</v>
      </c>
      <c r="EL65" s="49">
        <f>IF(EH65=".",".",s_RadSpec!$H$21*EL21*$B$65)</f>
        <v>3.8199218749999995E-3</v>
      </c>
      <c r="EM65" s="49">
        <f>IF(EI65=".",".",s_RadSpec!$K$21*EM21*$B$65)</f>
        <v>2.4009083321917808E-11</v>
      </c>
      <c r="EN65" s="49">
        <f t="shared" si="155"/>
        <v>3.8199218990090829E-3</v>
      </c>
    </row>
    <row r="66" spans="1:144" x14ac:dyDescent="0.25">
      <c r="A66" s="77" t="s">
        <v>1060</v>
      </c>
      <c r="B66" s="79">
        <v>0.99980000000000002</v>
      </c>
      <c r="C66" s="173"/>
      <c r="D66" s="60">
        <f t="shared" ref="D66:O66" si="425">IFERROR(D17/$B52,".")</f>
        <v>1122.6559871144887</v>
      </c>
      <c r="E66" s="60">
        <f t="shared" si="425"/>
        <v>4490.6239484579546</v>
      </c>
      <c r="F66" s="60">
        <f t="shared" si="425"/>
        <v>4490.6239484579546</v>
      </c>
      <c r="G66" s="60">
        <f t="shared" si="425"/>
        <v>4490.6239484579546</v>
      </c>
      <c r="H66" s="60">
        <f t="shared" si="425"/>
        <v>4490.6239484579546</v>
      </c>
      <c r="I66" s="60">
        <f t="shared" si="425"/>
        <v>4490.6239484579546</v>
      </c>
      <c r="J66" s="60">
        <f t="shared" si="425"/>
        <v>4490.6239484579546</v>
      </c>
      <c r="K66" s="60">
        <f t="shared" si="425"/>
        <v>4490.6239484579546</v>
      </c>
      <c r="L66" s="60">
        <f t="shared" si="425"/>
        <v>4490.6239484579546</v>
      </c>
      <c r="M66" s="60">
        <f t="shared" si="425"/>
        <v>4490.6239484579546</v>
      </c>
      <c r="N66" s="60">
        <f t="shared" si="425"/>
        <v>4490.6239484579546</v>
      </c>
      <c r="O66" s="60">
        <f t="shared" si="425"/>
        <v>4490.6239484579546</v>
      </c>
      <c r="P66" s="111">
        <f t="shared" si="413"/>
        <v>2.2268620384999999E-4</v>
      </c>
      <c r="Q66" s="111">
        <f t="shared" si="413"/>
        <v>2.2268620384999999E-4</v>
      </c>
      <c r="R66" s="111">
        <f t="shared" si="413"/>
        <v>2.2268620384999999E-4</v>
      </c>
      <c r="S66" s="111">
        <f t="shared" si="413"/>
        <v>2.2268620384999999E-4</v>
      </c>
      <c r="T66" s="111">
        <f t="shared" si="413"/>
        <v>2.2268620384999999E-4</v>
      </c>
      <c r="U66" s="111">
        <f t="shared" si="413"/>
        <v>2.2268620384999999E-4</v>
      </c>
      <c r="V66" s="111">
        <f t="shared" si="413"/>
        <v>2.2268620384999999E-4</v>
      </c>
      <c r="W66" s="111">
        <f t="shared" si="413"/>
        <v>2.2268620384999999E-4</v>
      </c>
      <c r="X66" s="111">
        <f t="shared" si="59"/>
        <v>2.2268620384999999E-4</v>
      </c>
      <c r="Y66" s="111">
        <f t="shared" si="59"/>
        <v>2.2268620384999999E-4</v>
      </c>
      <c r="Z66" s="111">
        <f t="shared" si="59"/>
        <v>2.2268620384999999E-4</v>
      </c>
      <c r="AA66" s="111">
        <f t="shared" si="59"/>
        <v>2.2268620384999999E-4</v>
      </c>
      <c r="AB66" s="60">
        <f>IFERROR(AB17/$B52,".")</f>
        <v>374.21866237149618</v>
      </c>
      <c r="AC66" s="189">
        <f>IFERROR(AC17/$B52,0)</f>
        <v>1.1433433871408691E-11</v>
      </c>
      <c r="AD66" s="49">
        <f>s_dir!BC66</f>
        <v>2.2268620385000003E-2</v>
      </c>
      <c r="AE66" s="49">
        <f>IF(E66=".",".",s_RadSpec!$F$17*AE17*$B$66)</f>
        <v>5.56715509625E-3</v>
      </c>
      <c r="AF66" s="49">
        <f>IF(F66=".",".",s_RadSpec!$F$17*AF17*$B$66)</f>
        <v>5.56715509625E-3</v>
      </c>
      <c r="AG66" s="49">
        <f>IF(G66=".",".",s_RadSpec!$F$17*AG17*$B$66)</f>
        <v>5.56715509625E-3</v>
      </c>
      <c r="AH66" s="49">
        <f>IF(H66=".",".",s_RadSpec!$F$17*AH17*$B$66)</f>
        <v>5.56715509625E-3</v>
      </c>
      <c r="AI66" s="49">
        <f>IF(I66=".",".",s_RadSpec!$F$17*AI17*$B$66)</f>
        <v>5.56715509625E-3</v>
      </c>
      <c r="AJ66" s="49">
        <f>IF(J66=".",".",s_RadSpec!$F$17*AJ17*$B$66)</f>
        <v>5.56715509625E-3</v>
      </c>
      <c r="AK66" s="49">
        <f>IF(K66=".",".",s_RadSpec!$F$17*AK17*$B$66)</f>
        <v>5.56715509625E-3</v>
      </c>
      <c r="AL66" s="49">
        <f>IF(L66=".",".",s_RadSpec!$F$17*AL17*$B$66)</f>
        <v>5.56715509625E-3</v>
      </c>
      <c r="AM66" s="49">
        <f>IF(M66=".",".",s_RadSpec!$F$17*AM17*$B$66)</f>
        <v>5.56715509625E-3</v>
      </c>
      <c r="AN66" s="49">
        <f>IF(N66=".",".",s_RadSpec!$F$17*AN17*$B$66)</f>
        <v>5.56715509625E-3</v>
      </c>
      <c r="AO66" s="49">
        <f>IF(O66=".",".",s_RadSpec!$F$17*AO17*$B$66)</f>
        <v>5.56715509625E-3</v>
      </c>
      <c r="AP66" s="60">
        <f t="shared" ref="AP66:BD66" si="426">IFERROR(AP17/$B52,".")</f>
        <v>2245311.9742289768</v>
      </c>
      <c r="AQ66" s="60">
        <f t="shared" si="426"/>
        <v>331610505.06177324</v>
      </c>
      <c r="AR66" s="60">
        <f t="shared" si="426"/>
        <v>1165.6906221471338</v>
      </c>
      <c r="AS66" s="60">
        <f t="shared" si="426"/>
        <v>49735.562614441842</v>
      </c>
      <c r="AT66" s="60">
        <f t="shared" si="426"/>
        <v>26943.743690747724</v>
      </c>
      <c r="AU66" s="60">
        <f t="shared" si="426"/>
        <v>30617.890557667866</v>
      </c>
      <c r="AV66" s="60">
        <f t="shared" si="426"/>
        <v>72015.536131952409</v>
      </c>
      <c r="AW66" s="60">
        <f t="shared" si="426"/>
        <v>273280.00816388248</v>
      </c>
      <c r="AX66" s="60" t="str">
        <f t="shared" si="426"/>
        <v>.</v>
      </c>
      <c r="AY66" s="60" t="str">
        <f t="shared" si="426"/>
        <v>.</v>
      </c>
      <c r="AZ66" s="60" t="str">
        <f t="shared" si="426"/>
        <v>.</v>
      </c>
      <c r="BA66" s="60" t="str">
        <f t="shared" si="426"/>
        <v>.</v>
      </c>
      <c r="BB66" s="60">
        <f t="shared" si="426"/>
        <v>8653.8669251896117</v>
      </c>
      <c r="BC66" s="60">
        <f t="shared" si="426"/>
        <v>7100.1232806150256</v>
      </c>
      <c r="BD66" s="60">
        <f t="shared" si="426"/>
        <v>1483.5200443182193</v>
      </c>
      <c r="BE66" s="111">
        <f t="shared" si="69"/>
        <v>4.4537240770000012E-7</v>
      </c>
      <c r="BF66" s="111">
        <f t="shared" si="70"/>
        <v>3.0155860105026451E-9</v>
      </c>
      <c r="BG66" s="111">
        <f t="shared" si="71"/>
        <v>8.5786055150556041E-4</v>
      </c>
      <c r="BH66" s="111">
        <f t="shared" si="72"/>
        <v>2.0106337345616502E-5</v>
      </c>
      <c r="BI66" s="111">
        <f t="shared" si="73"/>
        <v>3.7114367308333337E-5</v>
      </c>
      <c r="BJ66" s="111">
        <f t="shared" si="74"/>
        <v>3.2660643231333339E-5</v>
      </c>
      <c r="BK66" s="111">
        <f t="shared" si="75"/>
        <v>1.3885892596393688E-5</v>
      </c>
      <c r="BL66" s="111">
        <f t="shared" si="76"/>
        <v>3.6592504761647731E-6</v>
      </c>
      <c r="BM66" s="111" t="str">
        <f t="shared" si="77"/>
        <v>.</v>
      </c>
      <c r="BN66" s="111" t="str">
        <f t="shared" si="78"/>
        <v>.</v>
      </c>
      <c r="BO66" s="111" t="str">
        <f t="shared" si="79"/>
        <v>.</v>
      </c>
      <c r="BP66" s="111" t="str">
        <f t="shared" si="80"/>
        <v>.</v>
      </c>
      <c r="BQ66" s="111">
        <f t="shared" si="81"/>
        <v>1.1555527819467704E-4</v>
      </c>
      <c r="BR66" s="111">
        <f t="shared" si="82"/>
        <v>1.4084262490627884E-4</v>
      </c>
      <c r="BS66" s="111">
        <f t="shared" si="83"/>
        <v>6.7407245613561599E-4</v>
      </c>
      <c r="BT66" s="60">
        <f>IFERROR(BT17/$B52,".")</f>
        <v>527.36892031193588</v>
      </c>
      <c r="BU66" s="189">
        <f>IFERROR(BU17/$B52,0)</f>
        <v>1.6112605496507674E-11</v>
      </c>
      <c r="BV66" s="49">
        <f>IF(AP66=".",".",s_RadSpec!$E$17*BV17*$B$66)</f>
        <v>1.1134310192500001E-5</v>
      </c>
      <c r="BW66" s="49">
        <f>IF(AQ66=".",".",s_RadSpec!$H$17*BW17*$B$66)</f>
        <v>7.5389650262566122E-8</v>
      </c>
      <c r="BX66" s="49">
        <f>IF(AR66=".",".",s_RadSpec!$G$17*BX17*$B$66)</f>
        <v>2.144651378763901E-2</v>
      </c>
      <c r="BY66" s="49">
        <f>s_b2s!CC66</f>
        <v>5.0265843364041254E-4</v>
      </c>
      <c r="BZ66" s="49">
        <f>IF(AT66=".",".",s_RadSpec!$F$17*BZ17*$B$66)</f>
        <v>9.2785918270833344E-4</v>
      </c>
      <c r="CA66" s="49">
        <f>IF(AU66=".",".",s_RadSpec!$F$17*CA17*$B$66)</f>
        <v>8.1651608078333335E-4</v>
      </c>
      <c r="CB66" s="49">
        <f>IF(AV66=".",".",s_RadSpec!$F$17*CB17*$B$66)</f>
        <v>3.4714731490984225E-4</v>
      </c>
      <c r="CC66" s="49">
        <f>IF(AW66=".",".",s_RadSpec!$F$17*CC17*$B$66)</f>
        <v>9.1481261904119323E-5</v>
      </c>
      <c r="CD66" s="49" t="str">
        <f>IF(AX66=".",".",s_RadSpec!$F$17*CD17*$B$66)</f>
        <v>.</v>
      </c>
      <c r="CE66" s="49" t="str">
        <f>IF(AY66=".",".",s_RadSpec!$F$17*CE17*$B$66)</f>
        <v>.</v>
      </c>
      <c r="CF66" s="49" t="str">
        <f>IF(AZ66=".",".",s_RadSpec!$F$17*CF17*$B$66)</f>
        <v>.</v>
      </c>
      <c r="CG66" s="49" t="str">
        <f>IF(BA66=".",".",s_RadSpec!$F$17*CG17*$B$66)</f>
        <v>.</v>
      </c>
      <c r="CH66" s="49">
        <f>IF(BB66=".",".",s_RadSpec!$F$17*CH17*$B$66)</f>
        <v>2.8888819548669254E-3</v>
      </c>
      <c r="CI66" s="49">
        <f>IF(BC66=".",".",s_RadSpec!$F$17*CI17*$B$66)</f>
        <v>3.521065622656971E-3</v>
      </c>
      <c r="CJ66" s="49">
        <f>IF(BD66=".",".",s_RadSpec!$F$17*CJ17*$B$66)</f>
        <v>1.6851811403390399E-2</v>
      </c>
      <c r="CK66" s="49">
        <f t="shared" si="415"/>
        <v>4.7405144742342115E-2</v>
      </c>
      <c r="CL66" s="60">
        <f>IFERROR(CL17/$B52,".")</f>
        <v>24698.431716518749</v>
      </c>
      <c r="CM66" s="60">
        <f>IFERROR(CM17,".")</f>
        <v>12404.49794598369</v>
      </c>
      <c r="CN66" s="60">
        <f t="shared" ref="CN66:CZ66" si="427">IFERROR(CN17/$B52,".")</f>
        <v>70764.519734131667</v>
      </c>
      <c r="CO66" s="60">
        <f t="shared" si="427"/>
        <v>83162.65780339425</v>
      </c>
      <c r="CP66" s="60">
        <f t="shared" si="427"/>
        <v>179624.95793831817</v>
      </c>
      <c r="CQ66" s="60">
        <f t="shared" si="427"/>
        <v>204119.27038445248</v>
      </c>
      <c r="CR66" s="60">
        <f t="shared" si="427"/>
        <v>1283035413.8451297</v>
      </c>
      <c r="CS66" s="60">
        <f t="shared" si="427"/>
        <v>4868781754.6438866</v>
      </c>
      <c r="CT66" s="60" t="str">
        <f t="shared" si="427"/>
        <v>.</v>
      </c>
      <c r="CU66" s="60" t="str">
        <f t="shared" si="427"/>
        <v>.</v>
      </c>
      <c r="CV66" s="60" t="str">
        <f t="shared" si="427"/>
        <v>.</v>
      </c>
      <c r="CW66" s="60" t="str">
        <f t="shared" si="427"/>
        <v>.</v>
      </c>
      <c r="CX66" s="60">
        <f t="shared" si="427"/>
        <v>154178088.89705643</v>
      </c>
      <c r="CY66" s="60">
        <f t="shared" si="427"/>
        <v>126496449.25233673</v>
      </c>
      <c r="CZ66" s="60">
        <f t="shared" si="427"/>
        <v>26430529.525209669</v>
      </c>
      <c r="DA66" s="111">
        <f t="shared" si="101"/>
        <v>4.0488400700000005E-5</v>
      </c>
      <c r="DB66" s="111">
        <f t="shared" si="102"/>
        <v>8.0615918867057285E-5</v>
      </c>
      <c r="DC66" s="111">
        <f t="shared" si="103"/>
        <v>1.4131375493779725E-5</v>
      </c>
      <c r="DD66" s="111">
        <f t="shared" si="104"/>
        <v>1.2024627716493993E-5</v>
      </c>
      <c r="DE66" s="111">
        <f t="shared" si="105"/>
        <v>5.5671550962500005E-6</v>
      </c>
      <c r="DF66" s="111">
        <f t="shared" si="106"/>
        <v>4.8990964847000005E-6</v>
      </c>
      <c r="DG66" s="111">
        <f t="shared" si="107"/>
        <v>7.7940171347500011E-10</v>
      </c>
      <c r="DH66" s="111">
        <f t="shared" si="108"/>
        <v>2.0539018801699035E-10</v>
      </c>
      <c r="DI66" s="111" t="str">
        <f t="shared" si="109"/>
        <v>.</v>
      </c>
      <c r="DJ66" s="111" t="str">
        <f t="shared" si="110"/>
        <v>.</v>
      </c>
      <c r="DK66" s="111" t="str">
        <f t="shared" si="111"/>
        <v>.</v>
      </c>
      <c r="DL66" s="111" t="str">
        <f t="shared" si="112"/>
        <v>.</v>
      </c>
      <c r="DM66" s="111">
        <f t="shared" si="113"/>
        <v>6.4860059373786412E-9</v>
      </c>
      <c r="DN66" s="111">
        <f t="shared" si="114"/>
        <v>7.9053602366750023E-9</v>
      </c>
      <c r="DO66" s="111">
        <f t="shared" si="115"/>
        <v>3.7835034634708745E-8</v>
      </c>
      <c r="DP66" s="60">
        <f>IFERROR(DP17/$B52,".")</f>
        <v>6338.5952442733924</v>
      </c>
      <c r="DQ66" s="189">
        <f t="shared" ref="DQ66" si="428">IFERROR(DQ17/$B52,0)</f>
        <v>1.9366193311620777E-13</v>
      </c>
      <c r="DR66" s="49">
        <f>IF(CL66=".",".",s_RadSpec!$I$17*DR17*$B$66)</f>
        <v>1.0122100175000001E-3</v>
      </c>
      <c r="DS66" s="49">
        <f>IF(CM66=".",".",s_RadSpec!$H$17*DS17)</f>
        <v>2.015397971676432E-3</v>
      </c>
      <c r="DT66" s="49">
        <f>IF(CN66=".",".",s_RadSpec!$M$17*DT17*$B$66)</f>
        <v>3.5328438734449316E-4</v>
      </c>
      <c r="DU66" s="49">
        <f>s_b2w!CC66</f>
        <v>3.0061569291234985E-4</v>
      </c>
      <c r="DV66" s="49">
        <f>IF(CP66=".",".",s_RadSpec!$F$17*DV17*$B$66)</f>
        <v>1.3917887740625001E-4</v>
      </c>
      <c r="DW66" s="49">
        <f>IF(CQ66=".",".",s_RadSpec!$F$17*DW17*$B$66)</f>
        <v>1.224774121175E-4</v>
      </c>
      <c r="DX66" s="49">
        <f>IF(CR66=".",".",s_RadSpec!$F$17*DX17*$B$66)</f>
        <v>1.9485042836875E-8</v>
      </c>
      <c r="DY66" s="49">
        <f>IF(CS66=".",".",s_RadSpec!$F$17*DY17*$B$66)</f>
        <v>5.1347547004247578E-9</v>
      </c>
      <c r="DZ66" s="49" t="str">
        <f>IF(CT66=".",".",s_RadSpec!$F$17*DZ17*$B$66)</f>
        <v>.</v>
      </c>
      <c r="EA66" s="49" t="str">
        <f>IF(CU66=".",".",s_RadSpec!$F$17*EA17*$B$66)</f>
        <v>.</v>
      </c>
      <c r="EB66" s="49" t="str">
        <f>IF(CV66=".",".",s_RadSpec!$F$17*EB17*$B$66)</f>
        <v>.</v>
      </c>
      <c r="EC66" s="49" t="str">
        <f>IF(CW66=".",".",s_RadSpec!$F$17*EC17*$B$66)</f>
        <v>.</v>
      </c>
      <c r="ED66" s="49">
        <f>IF(CX66=".",".",s_RadSpec!$F$17*ED17*$B$66)</f>
        <v>1.62150148434466E-7</v>
      </c>
      <c r="EE66" s="49">
        <f>IF(CY66=".",".",s_RadSpec!$F$17*EE17*$B$66)</f>
        <v>1.97634005916875E-7</v>
      </c>
      <c r="EF66" s="49">
        <f>IF(CZ66=".",".",s_RadSpec!$F$17*EF17*$B$66)</f>
        <v>9.4587586586771858E-7</v>
      </c>
      <c r="EG66" s="49">
        <f t="shared" si="418"/>
        <v>3.9444946387747811E-3</v>
      </c>
      <c r="EH66" s="60">
        <f>IFERROR(EH17/$B52,".")</f>
        <v>1070.3885384400887</v>
      </c>
      <c r="EI66" s="60">
        <f>IFERROR(EI17/$B52,".")</f>
        <v>245827.01630163216</v>
      </c>
      <c r="EJ66" s="60">
        <f>IFERROR(EJ17/$B52,".")</f>
        <v>1065.7480213639128</v>
      </c>
      <c r="EK66" s="189">
        <f t="shared" ref="EK66" si="429">IFERROR(EK17/$B52,0)</f>
        <v>3.2561603017415629E-14</v>
      </c>
      <c r="EL66" s="49">
        <f>IF(EH66=".",".",s_RadSpec!$H$17*EL17*$B$66)</f>
        <v>2.3356004947916665E-2</v>
      </c>
      <c r="EM66" s="49">
        <f>IF(EI66=".",".",s_RadSpec!$K$17*EM17*$B$66)</f>
        <v>1.0169752851462329E-4</v>
      </c>
      <c r="EN66" s="49">
        <f t="shared" si="155"/>
        <v>2.3457702476431287E-2</v>
      </c>
    </row>
    <row r="67" spans="1:144" x14ac:dyDescent="0.25">
      <c r="A67" s="77" t="s">
        <v>1074</v>
      </c>
      <c r="B67" s="42">
        <v>2.0000000000000001E-4</v>
      </c>
      <c r="C67" s="170"/>
      <c r="D67" s="60" t="str">
        <f t="shared" ref="D67:O67" si="430">IFERROR(D5/$B53,".")</f>
        <v>.</v>
      </c>
      <c r="E67" s="60" t="str">
        <f t="shared" si="430"/>
        <v>.</v>
      </c>
      <c r="F67" s="60" t="str">
        <f t="shared" si="430"/>
        <v>.</v>
      </c>
      <c r="G67" s="60" t="str">
        <f t="shared" si="430"/>
        <v>.</v>
      </c>
      <c r="H67" s="60" t="str">
        <f t="shared" si="430"/>
        <v>.</v>
      </c>
      <c r="I67" s="60" t="str">
        <f t="shared" si="430"/>
        <v>.</v>
      </c>
      <c r="J67" s="60" t="str">
        <f t="shared" si="430"/>
        <v>.</v>
      </c>
      <c r="K67" s="60" t="str">
        <f t="shared" si="430"/>
        <v>.</v>
      </c>
      <c r="L67" s="60" t="str">
        <f t="shared" si="430"/>
        <v>.</v>
      </c>
      <c r="M67" s="60" t="str">
        <f t="shared" si="430"/>
        <v>.</v>
      </c>
      <c r="N67" s="60" t="str">
        <f t="shared" si="430"/>
        <v>.</v>
      </c>
      <c r="O67" s="60" t="str">
        <f t="shared" si="430"/>
        <v>.</v>
      </c>
      <c r="P67" s="111" t="str">
        <f t="shared" si="413"/>
        <v>.</v>
      </c>
      <c r="Q67" s="111" t="str">
        <f t="shared" si="413"/>
        <v>.</v>
      </c>
      <c r="R67" s="111" t="str">
        <f t="shared" si="413"/>
        <v>.</v>
      </c>
      <c r="S67" s="111" t="str">
        <f t="shared" si="413"/>
        <v>.</v>
      </c>
      <c r="T67" s="111" t="str">
        <f t="shared" si="413"/>
        <v>.</v>
      </c>
      <c r="U67" s="111" t="str">
        <f t="shared" si="413"/>
        <v>.</v>
      </c>
      <c r="V67" s="111" t="str">
        <f t="shared" si="413"/>
        <v>.</v>
      </c>
      <c r="W67" s="111" t="str">
        <f t="shared" si="413"/>
        <v>.</v>
      </c>
      <c r="X67" s="111" t="str">
        <f t="shared" si="59"/>
        <v>.</v>
      </c>
      <c r="Y67" s="111" t="str">
        <f t="shared" si="59"/>
        <v>.</v>
      </c>
      <c r="Z67" s="111" t="str">
        <f t="shared" si="59"/>
        <v>.</v>
      </c>
      <c r="AA67" s="111" t="str">
        <f t="shared" si="59"/>
        <v>.</v>
      </c>
      <c r="AB67" s="60" t="str">
        <f>IFERROR(AB5/$B53,".")</f>
        <v>.</v>
      </c>
      <c r="AC67" s="189">
        <f>IFERROR(AC5/$B53,0)</f>
        <v>0</v>
      </c>
      <c r="AD67" s="49" t="str">
        <f>s_dir!BC67</f>
        <v>.</v>
      </c>
      <c r="AE67" s="49" t="str">
        <f>IF(E67=".",".",s_RadSpec!$F$5*AE5*$B$67)</f>
        <v>.</v>
      </c>
      <c r="AF67" s="49" t="str">
        <f>IF(F67=".",".",s_RadSpec!$F$5*AF5*$B$67)</f>
        <v>.</v>
      </c>
      <c r="AG67" s="49" t="str">
        <f>IF(G67=".",".",s_RadSpec!$F$5*AG5*$B$67)</f>
        <v>.</v>
      </c>
      <c r="AH67" s="49" t="str">
        <f>IF(H67=".",".",s_RadSpec!$F$5*AH5*$B$67)</f>
        <v>.</v>
      </c>
      <c r="AI67" s="49" t="str">
        <f>IF(I67=".",".",s_RadSpec!$F$5*AI5*$B$67)</f>
        <v>.</v>
      </c>
      <c r="AJ67" s="49" t="str">
        <f>IF(J67=".",".",s_RadSpec!$F$5*AJ5*$B$67)</f>
        <v>.</v>
      </c>
      <c r="AK67" s="49" t="str">
        <f>IF(K67=".",".",s_RadSpec!$F$5*AK5*$B$67)</f>
        <v>.</v>
      </c>
      <c r="AL67" s="49" t="str">
        <f>IF(L67=".",".",s_RadSpec!$F$5*AL5*$B$67)</f>
        <v>.</v>
      </c>
      <c r="AM67" s="49" t="str">
        <f>IF(M67=".",".",s_RadSpec!$F$5*AM5*$B$67)</f>
        <v>.</v>
      </c>
      <c r="AN67" s="49" t="str">
        <f>IF(N67=".",".",s_RadSpec!$F$5*AN5*$B$67)</f>
        <v>.</v>
      </c>
      <c r="AO67" s="49" t="str">
        <f>IF(O67=".",".",s_RadSpec!$F$5*AO5*$B$67)</f>
        <v>.</v>
      </c>
      <c r="AP67" s="60" t="str">
        <f t="shared" ref="AP67:BD67" si="431">IFERROR(AP5/$B53,".")</f>
        <v>.</v>
      </c>
      <c r="AQ67" s="60" t="str">
        <f t="shared" si="431"/>
        <v>.</v>
      </c>
      <c r="AR67" s="60" t="str">
        <f t="shared" si="431"/>
        <v>.</v>
      </c>
      <c r="AS67" s="60" t="str">
        <f t="shared" si="431"/>
        <v>.</v>
      </c>
      <c r="AT67" s="60" t="str">
        <f t="shared" si="431"/>
        <v>.</v>
      </c>
      <c r="AU67" s="60" t="str">
        <f t="shared" si="431"/>
        <v>.</v>
      </c>
      <c r="AV67" s="60" t="str">
        <f t="shared" si="431"/>
        <v>.</v>
      </c>
      <c r="AW67" s="60" t="str">
        <f t="shared" si="431"/>
        <v>.</v>
      </c>
      <c r="AX67" s="60" t="str">
        <f t="shared" si="431"/>
        <v>.</v>
      </c>
      <c r="AY67" s="60" t="str">
        <f t="shared" si="431"/>
        <v>.</v>
      </c>
      <c r="AZ67" s="60" t="str">
        <f t="shared" si="431"/>
        <v>.</v>
      </c>
      <c r="BA67" s="60" t="str">
        <f t="shared" si="431"/>
        <v>.</v>
      </c>
      <c r="BB67" s="60" t="str">
        <f t="shared" si="431"/>
        <v>.</v>
      </c>
      <c r="BC67" s="60" t="str">
        <f t="shared" si="431"/>
        <v>.</v>
      </c>
      <c r="BD67" s="60" t="str">
        <f t="shared" si="431"/>
        <v>.</v>
      </c>
      <c r="BE67" s="111" t="str">
        <f t="shared" si="69"/>
        <v>.</v>
      </c>
      <c r="BF67" s="111" t="str">
        <f t="shared" si="70"/>
        <v>.</v>
      </c>
      <c r="BG67" s="111" t="str">
        <f t="shared" si="71"/>
        <v>.</v>
      </c>
      <c r="BH67" s="111" t="str">
        <f t="shared" si="72"/>
        <v>.</v>
      </c>
      <c r="BI67" s="111" t="str">
        <f t="shared" si="73"/>
        <v>.</v>
      </c>
      <c r="BJ67" s="111" t="str">
        <f t="shared" si="74"/>
        <v>.</v>
      </c>
      <c r="BK67" s="111" t="str">
        <f t="shared" si="75"/>
        <v>.</v>
      </c>
      <c r="BL67" s="111" t="str">
        <f t="shared" si="76"/>
        <v>.</v>
      </c>
      <c r="BM67" s="111" t="str">
        <f t="shared" si="77"/>
        <v>.</v>
      </c>
      <c r="BN67" s="111" t="str">
        <f t="shared" si="78"/>
        <v>.</v>
      </c>
      <c r="BO67" s="111" t="str">
        <f t="shared" si="79"/>
        <v>.</v>
      </c>
      <c r="BP67" s="111" t="str">
        <f t="shared" si="80"/>
        <v>.</v>
      </c>
      <c r="BQ67" s="111" t="str">
        <f t="shared" si="81"/>
        <v>.</v>
      </c>
      <c r="BR67" s="111" t="str">
        <f t="shared" si="82"/>
        <v>.</v>
      </c>
      <c r="BS67" s="111" t="str">
        <f t="shared" si="83"/>
        <v>.</v>
      </c>
      <c r="BT67" s="60" t="str">
        <f>IFERROR(BT5/$B53,".")</f>
        <v>.</v>
      </c>
      <c r="BU67" s="189">
        <f>IFERROR(BU5/$B53,0)</f>
        <v>0</v>
      </c>
      <c r="BV67" s="49" t="str">
        <f>IF(AP67=".",".",s_RadSpec!$E$5*BV5*$B$67)</f>
        <v>.</v>
      </c>
      <c r="BW67" s="49" t="str">
        <f>IF(AQ67=".",".",s_RadSpec!$H$5*BW5*$B$67)</f>
        <v>.</v>
      </c>
      <c r="BX67" s="49" t="str">
        <f>IF(AR67=".",".",s_RadSpec!$G$5*BX5*$B$67)</f>
        <v>.</v>
      </c>
      <c r="BY67" s="49" t="str">
        <f>s_b2s!CC67</f>
        <v>.</v>
      </c>
      <c r="BZ67" s="49" t="str">
        <f>IF(AT67=".",".",s_RadSpec!$F$5*BZ5*$B$67)</f>
        <v>.</v>
      </c>
      <c r="CA67" s="49" t="str">
        <f>IF(AU67=".",".",s_RadSpec!$F$5*CA5*$B$67)</f>
        <v>.</v>
      </c>
      <c r="CB67" s="49" t="str">
        <f>IF(AV67=".",".",s_RadSpec!$F$5*CB5*$B$67)</f>
        <v>.</v>
      </c>
      <c r="CC67" s="49" t="str">
        <f>IF(AW67=".",".",s_RadSpec!$F$5*CC5*$B$67)</f>
        <v>.</v>
      </c>
      <c r="CD67" s="49" t="str">
        <f>IF(AX67=".",".",s_RadSpec!$F$5*CD5*$B$67)</f>
        <v>.</v>
      </c>
      <c r="CE67" s="49" t="str">
        <f>IF(AY67=".",".",s_RadSpec!$F$5*CE5*$B$67)</f>
        <v>.</v>
      </c>
      <c r="CF67" s="49" t="str">
        <f>IF(AZ67=".",".",s_RadSpec!$F$5*CF5*$B$67)</f>
        <v>.</v>
      </c>
      <c r="CG67" s="49" t="str">
        <f>IF(BA67=".",".",s_RadSpec!$F$5*CG5*$B$67)</f>
        <v>.</v>
      </c>
      <c r="CH67" s="49" t="str">
        <f>IF(BB67=".",".",s_RadSpec!$F$5*CH5*$B$67)</f>
        <v>.</v>
      </c>
      <c r="CI67" s="49" t="str">
        <f>IF(BC67=".",".",s_RadSpec!$F$5*CI5*$B$67)</f>
        <v>.</v>
      </c>
      <c r="CJ67" s="49" t="str">
        <f>IF(BD67=".",".",s_RadSpec!$F$5*CJ5*$B$67)</f>
        <v>.</v>
      </c>
      <c r="CK67" s="49">
        <f t="shared" si="415"/>
        <v>0</v>
      </c>
      <c r="CL67" s="60" t="str">
        <f>IFERROR(CL5/$B53,".")</f>
        <v>.</v>
      </c>
      <c r="CM67" s="60" t="str">
        <f>IFERROR(CM5,".")</f>
        <v>.</v>
      </c>
      <c r="CN67" s="60">
        <f t="shared" ref="CN67:CZ67" si="432">IFERROR(CN5/$B53,".")</f>
        <v>6820335362429.8184</v>
      </c>
      <c r="CO67" s="60" t="str">
        <f t="shared" si="432"/>
        <v>.</v>
      </c>
      <c r="CP67" s="60" t="str">
        <f t="shared" si="432"/>
        <v>.</v>
      </c>
      <c r="CQ67" s="60" t="str">
        <f t="shared" si="432"/>
        <v>.</v>
      </c>
      <c r="CR67" s="60" t="str">
        <f t="shared" si="432"/>
        <v>.</v>
      </c>
      <c r="CS67" s="60" t="str">
        <f t="shared" si="432"/>
        <v>.</v>
      </c>
      <c r="CT67" s="60" t="str">
        <f t="shared" si="432"/>
        <v>.</v>
      </c>
      <c r="CU67" s="60" t="str">
        <f t="shared" si="432"/>
        <v>.</v>
      </c>
      <c r="CV67" s="60" t="str">
        <f t="shared" si="432"/>
        <v>.</v>
      </c>
      <c r="CW67" s="60" t="str">
        <f t="shared" si="432"/>
        <v>.</v>
      </c>
      <c r="CX67" s="60" t="str">
        <f t="shared" si="432"/>
        <v>.</v>
      </c>
      <c r="CY67" s="60" t="str">
        <f t="shared" si="432"/>
        <v>.</v>
      </c>
      <c r="CZ67" s="60" t="str">
        <f t="shared" si="432"/>
        <v>.</v>
      </c>
      <c r="DA67" s="111" t="str">
        <f t="shared" si="101"/>
        <v>.</v>
      </c>
      <c r="DB67" s="111" t="str">
        <f t="shared" si="102"/>
        <v>.</v>
      </c>
      <c r="DC67" s="111">
        <f t="shared" si="103"/>
        <v>1.4662035616438356E-13</v>
      </c>
      <c r="DD67" s="111" t="str">
        <f t="shared" si="104"/>
        <v>.</v>
      </c>
      <c r="DE67" s="111" t="str">
        <f t="shared" si="105"/>
        <v>.</v>
      </c>
      <c r="DF67" s="111" t="str">
        <f t="shared" si="106"/>
        <v>.</v>
      </c>
      <c r="DG67" s="111" t="str">
        <f t="shared" si="107"/>
        <v>.</v>
      </c>
      <c r="DH67" s="111" t="str">
        <f t="shared" si="108"/>
        <v>.</v>
      </c>
      <c r="DI67" s="111" t="str">
        <f t="shared" si="109"/>
        <v>.</v>
      </c>
      <c r="DJ67" s="111" t="str">
        <f t="shared" si="110"/>
        <v>.</v>
      </c>
      <c r="DK67" s="111" t="str">
        <f t="shared" si="111"/>
        <v>.</v>
      </c>
      <c r="DL67" s="111" t="str">
        <f t="shared" si="112"/>
        <v>.</v>
      </c>
      <c r="DM67" s="111" t="str">
        <f t="shared" si="113"/>
        <v>.</v>
      </c>
      <c r="DN67" s="111" t="str">
        <f t="shared" si="114"/>
        <v>.</v>
      </c>
      <c r="DO67" s="111" t="str">
        <f t="shared" si="115"/>
        <v>.</v>
      </c>
      <c r="DP67" s="60">
        <f>IFERROR(DP5/$B53,".")</f>
        <v>6820335362429.8184</v>
      </c>
      <c r="DQ67" s="189">
        <f t="shared" ref="DQ67" si="433">IFERROR(DQ5/$B53,0)</f>
        <v>1.9801810812534069E-7</v>
      </c>
      <c r="DR67" s="49" t="str">
        <f>IF(CL67=".",".",s_RadSpec!$I$5*DR5*$B$67)</f>
        <v>.</v>
      </c>
      <c r="DS67" s="49" t="str">
        <f>IF(CM67=".",".",s_RadSpec!$H$5*DS5)</f>
        <v>.</v>
      </c>
      <c r="DT67" s="49">
        <f>IF(CN67=".",".",s_RadSpec!$M$5*DT5*$B$67)</f>
        <v>3.6655089041095892E-12</v>
      </c>
      <c r="DU67" s="49" t="str">
        <f>s_b2w!CC67</f>
        <v>.</v>
      </c>
      <c r="DV67" s="49" t="str">
        <f>IF(CP67=".",".",s_RadSpec!$F$5*DV5*$B$67)</f>
        <v>.</v>
      </c>
      <c r="DW67" s="49" t="str">
        <f>IF(CQ67=".",".",s_RadSpec!$F$5*DW5*$B$67)</f>
        <v>.</v>
      </c>
      <c r="DX67" s="49" t="str">
        <f>IF(CR67=".",".",s_RadSpec!$F$5*DX5*$B$67)</f>
        <v>.</v>
      </c>
      <c r="DY67" s="49" t="str">
        <f>IF(CS67=".",".",s_RadSpec!$F$5*DY5*$B$67)</f>
        <v>.</v>
      </c>
      <c r="DZ67" s="49" t="str">
        <f>IF(CT67=".",".",s_RadSpec!$F$5*DZ5*$B$67)</f>
        <v>.</v>
      </c>
      <c r="EA67" s="49" t="str">
        <f>IF(CU67=".",".",s_RadSpec!$F$5*EA5*$B$67)</f>
        <v>.</v>
      </c>
      <c r="EB67" s="49" t="str">
        <f>IF(CV67=".",".",s_RadSpec!$F$5*EB5*$B$67)</f>
        <v>.</v>
      </c>
      <c r="EC67" s="49" t="str">
        <f>IF(CW67=".",".",s_RadSpec!$F$5*EC5*$B$67)</f>
        <v>.</v>
      </c>
      <c r="ED67" s="49" t="str">
        <f>IF(CX67=".",".",s_RadSpec!$F$5*ED5*$B$67)</f>
        <v>.</v>
      </c>
      <c r="EE67" s="49" t="str">
        <f>IF(CY67=".",".",s_RadSpec!$F$5*EE5*$B$67)</f>
        <v>.</v>
      </c>
      <c r="EF67" s="49" t="str">
        <f>IF(CZ67=".",".",s_RadSpec!$F$5*EF5*$B$67)</f>
        <v>.</v>
      </c>
      <c r="EG67" s="49">
        <f t="shared" si="418"/>
        <v>3.6655089041095892E-12</v>
      </c>
      <c r="EH67" s="60" t="str">
        <f>IFERROR(EH5/$B53,".")</f>
        <v>.</v>
      </c>
      <c r="EI67" s="60">
        <f>IFERROR(EI5/$B53,".")</f>
        <v>13919051760060.852</v>
      </c>
      <c r="EJ67" s="60">
        <f>IFERROR(EJ5/$B53,".")</f>
        <v>13919051760060.852</v>
      </c>
      <c r="EK67" s="189">
        <f t="shared" ref="EK67" si="434">IFERROR(EK5/$B53,0)</f>
        <v>4.0411858801089931E-7</v>
      </c>
      <c r="EL67" s="49" t="str">
        <f>IF(EH67=".",".",s_RadSpec!$H$5*EL5*$B$67)</f>
        <v>.</v>
      </c>
      <c r="EM67" s="49">
        <f>IF(EI67=".",".",s_RadSpec!$K$5*EM5*$B$67)</f>
        <v>1.796099363013699E-12</v>
      </c>
      <c r="EN67" s="49">
        <f t="shared" si="155"/>
        <v>1.796099363013699E-12</v>
      </c>
    </row>
    <row r="68" spans="1:144" x14ac:dyDescent="0.25">
      <c r="A68" s="77" t="s">
        <v>1075</v>
      </c>
      <c r="B68" s="42">
        <v>0.99999979999999999</v>
      </c>
      <c r="C68" s="170"/>
      <c r="D68" s="60">
        <f t="shared" ref="D68:O68" si="435">IFERROR(D9/$B54,".")</f>
        <v>1499.0866067132681</v>
      </c>
      <c r="E68" s="60">
        <f t="shared" si="435"/>
        <v>5996.3464268530724</v>
      </c>
      <c r="F68" s="60">
        <f t="shared" si="435"/>
        <v>5996.3464268530724</v>
      </c>
      <c r="G68" s="60">
        <f t="shared" si="435"/>
        <v>5996.3464268530724</v>
      </c>
      <c r="H68" s="60">
        <f t="shared" si="435"/>
        <v>5996.3464268530724</v>
      </c>
      <c r="I68" s="60">
        <f t="shared" si="435"/>
        <v>5996.3464268530724</v>
      </c>
      <c r="J68" s="60">
        <f t="shared" si="435"/>
        <v>5996.3464268530724</v>
      </c>
      <c r="K68" s="60">
        <f t="shared" si="435"/>
        <v>5996.3464268530724</v>
      </c>
      <c r="L68" s="60">
        <f t="shared" si="435"/>
        <v>5996.3464268530724</v>
      </c>
      <c r="M68" s="60">
        <f t="shared" si="435"/>
        <v>5996.3464268530724</v>
      </c>
      <c r="N68" s="60">
        <f t="shared" si="435"/>
        <v>5996.3464268530724</v>
      </c>
      <c r="O68" s="60">
        <f t="shared" si="435"/>
        <v>5996.3464268530724</v>
      </c>
      <c r="P68" s="111">
        <f t="shared" si="413"/>
        <v>1.6676821664635003E-4</v>
      </c>
      <c r="Q68" s="111">
        <f t="shared" si="413"/>
        <v>1.6676821664635003E-4</v>
      </c>
      <c r="R68" s="111">
        <f t="shared" si="413"/>
        <v>1.6676821664635003E-4</v>
      </c>
      <c r="S68" s="111">
        <f t="shared" si="413"/>
        <v>1.6676821664635003E-4</v>
      </c>
      <c r="T68" s="111">
        <f t="shared" si="413"/>
        <v>1.6676821664635003E-4</v>
      </c>
      <c r="U68" s="111">
        <f t="shared" si="413"/>
        <v>1.6676821664635003E-4</v>
      </c>
      <c r="V68" s="111">
        <f t="shared" si="413"/>
        <v>1.6676821664635003E-4</v>
      </c>
      <c r="W68" s="111">
        <f t="shared" si="413"/>
        <v>1.6676821664635003E-4</v>
      </c>
      <c r="X68" s="111">
        <f t="shared" si="59"/>
        <v>1.6676821664635003E-4</v>
      </c>
      <c r="Y68" s="111">
        <f t="shared" si="59"/>
        <v>1.6676821664635003E-4</v>
      </c>
      <c r="Z68" s="111">
        <f t="shared" si="59"/>
        <v>1.6676821664635003E-4</v>
      </c>
      <c r="AA68" s="111">
        <f t="shared" si="59"/>
        <v>1.6676821664635003E-4</v>
      </c>
      <c r="AB68" s="60">
        <f>IFERROR(AB9/$B54,".")</f>
        <v>499.69553557108952</v>
      </c>
      <c r="AC68" s="189">
        <f>IFERROR(AC9/$B54,0)</f>
        <v>1.1336395627459123E-11</v>
      </c>
      <c r="AD68" s="49">
        <f>s_dir!BC68</f>
        <v>1.6676821664635001E-2</v>
      </c>
      <c r="AE68" s="49">
        <f>IF(E68=".",".",s_RadSpec!$F$9*AE9*$B$68)</f>
        <v>4.1692054161587494E-3</v>
      </c>
      <c r="AF68" s="49">
        <f>IF(F68=".",".",s_RadSpec!$F$9*AF9*$B$68)</f>
        <v>4.1692054161587494E-3</v>
      </c>
      <c r="AG68" s="49">
        <f>IF(G68=".",".",s_RadSpec!$F$9*AG9*$B$68)</f>
        <v>4.1692054161587494E-3</v>
      </c>
      <c r="AH68" s="49">
        <f>IF(H68=".",".",s_RadSpec!$F$9*AH9*$B$68)</f>
        <v>4.1692054161587494E-3</v>
      </c>
      <c r="AI68" s="49">
        <f>IF(I68=".",".",s_RadSpec!$F$9*AI9*$B$68)</f>
        <v>4.1692054161587494E-3</v>
      </c>
      <c r="AJ68" s="49">
        <f>IF(J68=".",".",s_RadSpec!$F$9*AJ9*$B$68)</f>
        <v>4.1692054161587494E-3</v>
      </c>
      <c r="AK68" s="49">
        <f>IF(K68=".",".",s_RadSpec!$F$9*AK9*$B$68)</f>
        <v>4.1692054161587494E-3</v>
      </c>
      <c r="AL68" s="49">
        <f>IF(L68=".",".",s_RadSpec!$F$9*AL9*$B$68)</f>
        <v>4.1692054161587494E-3</v>
      </c>
      <c r="AM68" s="49">
        <f>IF(M68=".",".",s_RadSpec!$F$9*AM9*$B$68)</f>
        <v>4.1692054161587494E-3</v>
      </c>
      <c r="AN68" s="49">
        <f>IF(N68=".",".",s_RadSpec!$F$9*AN9*$B$68)</f>
        <v>4.1692054161587494E-3</v>
      </c>
      <c r="AO68" s="49">
        <f>IF(O68=".",".",s_RadSpec!$F$9*AO9*$B$68)</f>
        <v>4.1692054161587494E-3</v>
      </c>
      <c r="AP68" s="60">
        <f t="shared" ref="AP68:BD68" si="436">IFERROR(AP9/$B54,".")</f>
        <v>2998173.2134265364</v>
      </c>
      <c r="AQ68" s="60">
        <f t="shared" si="436"/>
        <v>422130109.72578847</v>
      </c>
      <c r="AR68" s="60">
        <f t="shared" si="436"/>
        <v>59.303851637731775</v>
      </c>
      <c r="AS68" s="60">
        <f t="shared" si="436"/>
        <v>13207.811512892233</v>
      </c>
      <c r="AT68" s="60">
        <f t="shared" si="436"/>
        <v>191883.08565929832</v>
      </c>
      <c r="AU68" s="60" t="str">
        <f t="shared" si="436"/>
        <v>.</v>
      </c>
      <c r="AV68" s="60">
        <f t="shared" si="436"/>
        <v>19987.821422843575</v>
      </c>
      <c r="AW68" s="60">
        <f t="shared" si="436"/>
        <v>41174.912131057768</v>
      </c>
      <c r="AX68" s="60" t="str">
        <f t="shared" si="436"/>
        <v>.</v>
      </c>
      <c r="AY68" s="60" t="str">
        <f t="shared" si="436"/>
        <v>.</v>
      </c>
      <c r="AZ68" s="60" t="str">
        <f t="shared" si="436"/>
        <v>.</v>
      </c>
      <c r="BA68" s="60" t="str">
        <f t="shared" si="436"/>
        <v>.</v>
      </c>
      <c r="BB68" s="60" t="str">
        <f t="shared" si="436"/>
        <v>.</v>
      </c>
      <c r="BC68" s="60" t="str">
        <f t="shared" si="436"/>
        <v>.</v>
      </c>
      <c r="BD68" s="60" t="str">
        <f t="shared" si="436"/>
        <v>.</v>
      </c>
      <c r="BE68" s="111">
        <f t="shared" si="69"/>
        <v>3.335364332927E-7</v>
      </c>
      <c r="BF68" s="111">
        <f t="shared" si="70"/>
        <v>2.3689378629010617E-9</v>
      </c>
      <c r="BG68" s="111">
        <f t="shared" si="71"/>
        <v>1.6862311171771432E-2</v>
      </c>
      <c r="BH68" s="111">
        <f t="shared" si="72"/>
        <v>7.5712770357442899E-5</v>
      </c>
      <c r="BI68" s="111">
        <f t="shared" si="73"/>
        <v>5.2115067701984384E-6</v>
      </c>
      <c r="BJ68" s="111" t="str">
        <f t="shared" si="74"/>
        <v>.</v>
      </c>
      <c r="BK68" s="111">
        <f t="shared" si="75"/>
        <v>5.0030464993905001E-5</v>
      </c>
      <c r="BL68" s="111">
        <f t="shared" si="76"/>
        <v>2.4286633492186894E-5</v>
      </c>
      <c r="BM68" s="111" t="str">
        <f t="shared" si="77"/>
        <v>.</v>
      </c>
      <c r="BN68" s="111" t="str">
        <f t="shared" si="78"/>
        <v>.</v>
      </c>
      <c r="BO68" s="111" t="str">
        <f t="shared" si="79"/>
        <v>.</v>
      </c>
      <c r="BP68" s="111" t="str">
        <f t="shared" si="80"/>
        <v>.</v>
      </c>
      <c r="BQ68" s="111" t="str">
        <f t="shared" si="81"/>
        <v>.</v>
      </c>
      <c r="BR68" s="111" t="str">
        <f t="shared" si="82"/>
        <v>.</v>
      </c>
      <c r="BS68" s="111" t="str">
        <f t="shared" si="83"/>
        <v>.</v>
      </c>
      <c r="BT68" s="60">
        <f>IFERROR(BT9/$B54,".")</f>
        <v>58.761696715554265</v>
      </c>
      <c r="BU68" s="189">
        <f>IFERROR(BU9/$B54,0)</f>
        <v>1.3331034485768762E-12</v>
      </c>
      <c r="BV68" s="49">
        <f>IF(AP68=".",".",s_RadSpec!$E$9*BV9*$B$68)</f>
        <v>8.3384108323175001E-6</v>
      </c>
      <c r="BW68" s="49">
        <f>IF(AQ68=".",".",s_RadSpec!$H$9*BW9*$B$68)</f>
        <v>5.9223446572526526E-8</v>
      </c>
      <c r="BX68" s="49">
        <f>IF(AR68=".",".",s_RadSpec!$G$9*BX9*$B$68)</f>
        <v>0.42155777929428589</v>
      </c>
      <c r="BY68" s="49">
        <f>s_b2s!CC68</f>
        <v>1.8928192589360725E-3</v>
      </c>
      <c r="BZ68" s="49">
        <f>IF(AT68=".",".",s_RadSpec!$F$9*BZ9*$B$68)</f>
        <v>1.3028766925496092E-4</v>
      </c>
      <c r="CA68" s="49" t="str">
        <f>IF(AU68=".",".",s_RadSpec!$F$9*CA9*$B$68)</f>
        <v>.</v>
      </c>
      <c r="CB68" s="49">
        <f>IF(AV68=".",".",s_RadSpec!$F$9*CB9*$B$68)</f>
        <v>1.250761624847625E-3</v>
      </c>
      <c r="CC68" s="49">
        <f>IF(AW68=".",".",s_RadSpec!$F$9*CC9*$B$68)</f>
        <v>6.0716583730467243E-4</v>
      </c>
      <c r="CD68" s="49" t="str">
        <f>IF(AX68=".",".",s_RadSpec!$F$9*CD9*$B$68)</f>
        <v>.</v>
      </c>
      <c r="CE68" s="49" t="str">
        <f>IF(AY68=".",".",s_RadSpec!$F$9*CE9*$B$68)</f>
        <v>.</v>
      </c>
      <c r="CF68" s="49" t="str">
        <f>IF(AZ68=".",".",s_RadSpec!$F$9*CF9*$B$68)</f>
        <v>.</v>
      </c>
      <c r="CG68" s="49" t="str">
        <f>IF(BA68=".",".",s_RadSpec!$F$9*CG9*$B$68)</f>
        <v>.</v>
      </c>
      <c r="CH68" s="49" t="str">
        <f>IF(BB68=".",".",s_RadSpec!$F$9*CH9*$B$68)</f>
        <v>.</v>
      </c>
      <c r="CI68" s="49" t="str">
        <f>IF(BC68=".",".",s_RadSpec!$F$9*CI9*$B$68)</f>
        <v>.</v>
      </c>
      <c r="CJ68" s="49" t="str">
        <f>IF(BD68=".",".",s_RadSpec!$F$9*CJ9*$B$68)</f>
        <v>.</v>
      </c>
      <c r="CK68" s="49">
        <f t="shared" si="415"/>
        <v>0.42544721131890811</v>
      </c>
      <c r="CL68" s="60">
        <f>IFERROR(CL9/$B54,".")</f>
        <v>32979.9053476919</v>
      </c>
      <c r="CM68" s="60">
        <f>IFERROR(CM9,".")</f>
        <v>53534.634988975027</v>
      </c>
      <c r="CN68" s="60">
        <f t="shared" ref="CN68:CZ68" si="437">IFERROR(CN9/$B54,".")</f>
        <v>11071.975205352541</v>
      </c>
      <c r="CO68" s="60">
        <f t="shared" si="437"/>
        <v>47489.222439220706</v>
      </c>
      <c r="CP68" s="60">
        <f t="shared" si="437"/>
        <v>399756.42845687148</v>
      </c>
      <c r="CQ68" s="60" t="str">
        <f t="shared" si="437"/>
        <v>.</v>
      </c>
      <c r="CR68" s="60">
        <f t="shared" si="437"/>
        <v>599634642.68530715</v>
      </c>
      <c r="CS68" s="60">
        <f t="shared" si="437"/>
        <v>1235247363.9317329</v>
      </c>
      <c r="CT68" s="60" t="str">
        <f t="shared" si="437"/>
        <v>.</v>
      </c>
      <c r="CU68" s="60" t="str">
        <f t="shared" si="437"/>
        <v>.</v>
      </c>
      <c r="CV68" s="60" t="str">
        <f t="shared" si="437"/>
        <v>.</v>
      </c>
      <c r="CW68" s="60" t="str">
        <f t="shared" si="437"/>
        <v>.</v>
      </c>
      <c r="CX68" s="60" t="str">
        <f t="shared" si="437"/>
        <v>.</v>
      </c>
      <c r="CY68" s="60" t="str">
        <f t="shared" si="437"/>
        <v>.</v>
      </c>
      <c r="CZ68" s="60" t="str">
        <f t="shared" si="437"/>
        <v>.</v>
      </c>
      <c r="DA68" s="111">
        <f t="shared" si="101"/>
        <v>3.0321493935700002E-5</v>
      </c>
      <c r="DB68" s="111">
        <f t="shared" si="102"/>
        <v>1.8679495997421874E-5</v>
      </c>
      <c r="DC68" s="111">
        <f t="shared" si="103"/>
        <v>9.0318121333632376E-5</v>
      </c>
      <c r="DD68" s="111">
        <f t="shared" si="104"/>
        <v>2.1057409421260887E-5</v>
      </c>
      <c r="DE68" s="111">
        <f t="shared" si="105"/>
        <v>2.5015232496952502E-6</v>
      </c>
      <c r="DF68" s="111" t="str">
        <f t="shared" si="106"/>
        <v>.</v>
      </c>
      <c r="DG68" s="111">
        <f t="shared" si="107"/>
        <v>1.6676821664635005E-9</v>
      </c>
      <c r="DH68" s="111">
        <f t="shared" si="108"/>
        <v>8.0955444973956325E-10</v>
      </c>
      <c r="DI68" s="111" t="str">
        <f t="shared" si="109"/>
        <v>.</v>
      </c>
      <c r="DJ68" s="111" t="str">
        <f t="shared" si="110"/>
        <v>.</v>
      </c>
      <c r="DK68" s="111" t="str">
        <f t="shared" si="111"/>
        <v>.</v>
      </c>
      <c r="DL68" s="111" t="str">
        <f t="shared" si="112"/>
        <v>.</v>
      </c>
      <c r="DM68" s="111" t="str">
        <f t="shared" si="113"/>
        <v>.</v>
      </c>
      <c r="DN68" s="111" t="str">
        <f t="shared" si="114"/>
        <v>.</v>
      </c>
      <c r="DO68" s="111" t="str">
        <f t="shared" si="115"/>
        <v>.</v>
      </c>
      <c r="DP68" s="60">
        <f>IFERROR(DP9/$B54,".")</f>
        <v>6139.4696905848386</v>
      </c>
      <c r="DQ68" s="189">
        <f t="shared" ref="DQ68" si="438">IFERROR(DQ9/$B54,0)</f>
        <v>1.3928372859229232E-13</v>
      </c>
      <c r="DR68" s="49">
        <f>IF(CL68=".",".",s_RadSpec!$I$9*DR9*$B$68)</f>
        <v>7.580373483925E-4</v>
      </c>
      <c r="DS68" s="49">
        <f>IF(CM68=".",".",s_RadSpec!$H$9*DS9)</f>
        <v>4.6698739993554684E-4</v>
      </c>
      <c r="DT68" s="49">
        <f>IF(CN68=".",".",s_RadSpec!$M$9*DT9*$B$68)</f>
        <v>2.2579530333408093E-3</v>
      </c>
      <c r="DU68" s="49">
        <f>s_b2w!CC68</f>
        <v>5.2643523553152225E-4</v>
      </c>
      <c r="DV68" s="49">
        <f>IF(CP68=".",".",s_RadSpec!$F$9*DV9*$B$68)</f>
        <v>6.2538081242381261E-5</v>
      </c>
      <c r="DW68" s="49" t="str">
        <f>IF(CQ68=".",".",s_RadSpec!$F$9*DW9*$B$68)</f>
        <v>.</v>
      </c>
      <c r="DX68" s="49">
        <f>IF(CR68=".",".",s_RadSpec!$F$9*DX9*$B$68)</f>
        <v>4.16920541615875E-8</v>
      </c>
      <c r="DY68" s="49">
        <f>IF(CS68=".",".",s_RadSpec!$F$9*DY9*$B$68)</f>
        <v>2.0238861243489079E-8</v>
      </c>
      <c r="DZ68" s="49" t="str">
        <f>IF(CT68=".",".",s_RadSpec!$F$9*DZ9*$B$68)</f>
        <v>.</v>
      </c>
      <c r="EA68" s="49" t="str">
        <f>IF(CU68=".",".",s_RadSpec!$F$9*EA9*$B$68)</f>
        <v>.</v>
      </c>
      <c r="EB68" s="49" t="str">
        <f>IF(CV68=".",".",s_RadSpec!$F$9*EB9*$B$68)</f>
        <v>.</v>
      </c>
      <c r="EC68" s="49" t="str">
        <f>IF(CW68=".",".",s_RadSpec!$F$9*EC9*$B$68)</f>
        <v>.</v>
      </c>
      <c r="ED68" s="49" t="str">
        <f>IF(CX68=".",".",s_RadSpec!$F$9*ED9*$B$68)</f>
        <v>.</v>
      </c>
      <c r="EE68" s="49" t="str">
        <f>IF(CY68=".",".",s_RadSpec!$F$9*EE9*$B$68)</f>
        <v>.</v>
      </c>
      <c r="EF68" s="49" t="str">
        <f>IF(CZ68=".",".",s_RadSpec!$F$9*EF9*$B$68)</f>
        <v>.</v>
      </c>
      <c r="EG68" s="49">
        <f t="shared" si="418"/>
        <v>4.0720130293581637E-3</v>
      </c>
      <c r="EH68" s="60">
        <f>IFERROR(EH9/$B54,".")</f>
        <v>1362.5721268895584</v>
      </c>
      <c r="EI68" s="60">
        <f>IFERROR(EI9/$B54,".")</f>
        <v>38370.389459899663</v>
      </c>
      <c r="EJ68" s="60">
        <f>IFERROR(EJ9/$B54,".")</f>
        <v>1315.8451091483578</v>
      </c>
      <c r="EK68" s="189">
        <f t="shared" ref="EK68" si="439">IFERROR(EK9/$B54,0)</f>
        <v>2.9852059263876985E-14</v>
      </c>
      <c r="EL68" s="49">
        <f>IF(EH68=".",".",s_RadSpec!$H$9*EL9*$B$68)</f>
        <v>1.8347652580468745E-2</v>
      </c>
      <c r="EM68" s="49">
        <f>IF(EI68=".",".",s_RadSpec!$K$9*EM9*$B$68)</f>
        <v>6.5154407739663792E-4</v>
      </c>
      <c r="EN68" s="49">
        <f t="shared" si="155"/>
        <v>1.8999196657865383E-2</v>
      </c>
    </row>
    <row r="69" spans="1:144" x14ac:dyDescent="0.25">
      <c r="A69" s="77" t="s">
        <v>1076</v>
      </c>
      <c r="B69" s="42">
        <v>1.9999999999999999E-7</v>
      </c>
      <c r="C69" s="170"/>
      <c r="D69" s="60" t="str">
        <f t="shared" ref="D69:O69" si="440">IFERROR(D24/$B55,".")</f>
        <v>.</v>
      </c>
      <c r="E69" s="60" t="str">
        <f t="shared" si="440"/>
        <v>.</v>
      </c>
      <c r="F69" s="60" t="str">
        <f t="shared" si="440"/>
        <v>.</v>
      </c>
      <c r="G69" s="60" t="str">
        <f t="shared" si="440"/>
        <v>.</v>
      </c>
      <c r="H69" s="60" t="str">
        <f t="shared" si="440"/>
        <v>.</v>
      </c>
      <c r="I69" s="60" t="str">
        <f t="shared" si="440"/>
        <v>.</v>
      </c>
      <c r="J69" s="60" t="str">
        <f t="shared" si="440"/>
        <v>.</v>
      </c>
      <c r="K69" s="60" t="str">
        <f t="shared" si="440"/>
        <v>.</v>
      </c>
      <c r="L69" s="60" t="str">
        <f t="shared" si="440"/>
        <v>.</v>
      </c>
      <c r="M69" s="60" t="str">
        <f t="shared" si="440"/>
        <v>.</v>
      </c>
      <c r="N69" s="60" t="str">
        <f t="shared" si="440"/>
        <v>.</v>
      </c>
      <c r="O69" s="60" t="str">
        <f t="shared" si="440"/>
        <v>.</v>
      </c>
      <c r="P69" s="111" t="str">
        <f t="shared" si="413"/>
        <v>.</v>
      </c>
      <c r="Q69" s="111" t="str">
        <f t="shared" si="413"/>
        <v>.</v>
      </c>
      <c r="R69" s="111" t="str">
        <f t="shared" si="413"/>
        <v>.</v>
      </c>
      <c r="S69" s="111" t="str">
        <f t="shared" si="413"/>
        <v>.</v>
      </c>
      <c r="T69" s="111" t="str">
        <f t="shared" si="413"/>
        <v>.</v>
      </c>
      <c r="U69" s="111" t="str">
        <f t="shared" si="413"/>
        <v>.</v>
      </c>
      <c r="V69" s="111" t="str">
        <f t="shared" si="413"/>
        <v>.</v>
      </c>
      <c r="W69" s="111" t="str">
        <f t="shared" si="413"/>
        <v>.</v>
      </c>
      <c r="X69" s="111" t="str">
        <f t="shared" si="59"/>
        <v>.</v>
      </c>
      <c r="Y69" s="111" t="str">
        <f t="shared" si="59"/>
        <v>.</v>
      </c>
      <c r="Z69" s="111" t="str">
        <f t="shared" si="59"/>
        <v>.</v>
      </c>
      <c r="AA69" s="111" t="str">
        <f t="shared" si="59"/>
        <v>.</v>
      </c>
      <c r="AB69" s="60" t="str">
        <f>IFERROR(AB24/$B55,".")</f>
        <v>.</v>
      </c>
      <c r="AC69" s="189">
        <f>IFERROR(AC24/$B55,0)</f>
        <v>0</v>
      </c>
      <c r="AD69" s="49" t="str">
        <f>s_dir!BC69</f>
        <v>.</v>
      </c>
      <c r="AE69" s="49" t="str">
        <f>IF(E69=".",".",s_RadSpec!$F$24*AE24*$B$69)</f>
        <v>.</v>
      </c>
      <c r="AF69" s="49" t="str">
        <f>IF(F69=".",".",s_RadSpec!$F$24*AF24*$B$69)</f>
        <v>.</v>
      </c>
      <c r="AG69" s="49" t="str">
        <f>IF(G69=".",".",s_RadSpec!$F$24*AG24*$B$69)</f>
        <v>.</v>
      </c>
      <c r="AH69" s="49" t="str">
        <f>IF(H69=".",".",s_RadSpec!$F$24*AH24*$B$69)</f>
        <v>.</v>
      </c>
      <c r="AI69" s="49" t="str">
        <f>IF(I69=".",".",s_RadSpec!$F$24*AI24*$B$69)</f>
        <v>.</v>
      </c>
      <c r="AJ69" s="49" t="str">
        <f>IF(J69=".",".",s_RadSpec!$F$24*AJ24*$B$69)</f>
        <v>.</v>
      </c>
      <c r="AK69" s="49" t="str">
        <f>IF(K69=".",".",s_RadSpec!$F$24*AK24*$B$69)</f>
        <v>.</v>
      </c>
      <c r="AL69" s="49" t="str">
        <f>IF(L69=".",".",s_RadSpec!$F$24*AL24*$B$69)</f>
        <v>.</v>
      </c>
      <c r="AM69" s="49" t="str">
        <f>IF(M69=".",".",s_RadSpec!$F$24*AM24*$B$69)</f>
        <v>.</v>
      </c>
      <c r="AN69" s="49" t="str">
        <f>IF(N69=".",".",s_RadSpec!$F$24*AN24*$B$69)</f>
        <v>.</v>
      </c>
      <c r="AO69" s="49" t="str">
        <f>IF(O69=".",".",s_RadSpec!$F$24*AO24*$B$69)</f>
        <v>.</v>
      </c>
      <c r="AP69" s="60" t="str">
        <f t="shared" ref="AP69:BD69" si="441">IFERROR(AP24/$B55,".")</f>
        <v>.</v>
      </c>
      <c r="AQ69" s="60" t="str">
        <f t="shared" si="441"/>
        <v>.</v>
      </c>
      <c r="AR69" s="60">
        <f t="shared" si="441"/>
        <v>1122303047253.1309</v>
      </c>
      <c r="AS69" s="60" t="str">
        <f t="shared" si="441"/>
        <v>.</v>
      </c>
      <c r="AT69" s="60" t="str">
        <f t="shared" si="441"/>
        <v>.</v>
      </c>
      <c r="AU69" s="60" t="str">
        <f t="shared" si="441"/>
        <v>.</v>
      </c>
      <c r="AV69" s="60" t="str">
        <f t="shared" si="441"/>
        <v>.</v>
      </c>
      <c r="AW69" s="60" t="str">
        <f t="shared" si="441"/>
        <v>.</v>
      </c>
      <c r="AX69" s="60" t="str">
        <f t="shared" si="441"/>
        <v>.</v>
      </c>
      <c r="AY69" s="60" t="str">
        <f t="shared" si="441"/>
        <v>.</v>
      </c>
      <c r="AZ69" s="60" t="str">
        <f t="shared" si="441"/>
        <v>.</v>
      </c>
      <c r="BA69" s="60" t="str">
        <f t="shared" si="441"/>
        <v>.</v>
      </c>
      <c r="BB69" s="60" t="str">
        <f t="shared" si="441"/>
        <v>.</v>
      </c>
      <c r="BC69" s="60" t="str">
        <f t="shared" si="441"/>
        <v>.</v>
      </c>
      <c r="BD69" s="60" t="str">
        <f t="shared" si="441"/>
        <v>.</v>
      </c>
      <c r="BE69" s="111" t="str">
        <f t="shared" si="69"/>
        <v>.</v>
      </c>
      <c r="BF69" s="111" t="str">
        <f t="shared" si="70"/>
        <v>.</v>
      </c>
      <c r="BG69" s="111">
        <f t="shared" si="71"/>
        <v>8.9102493524144735E-13</v>
      </c>
      <c r="BH69" s="111" t="str">
        <f t="shared" si="72"/>
        <v>.</v>
      </c>
      <c r="BI69" s="111" t="str">
        <f t="shared" si="73"/>
        <v>.</v>
      </c>
      <c r="BJ69" s="111" t="str">
        <f t="shared" si="74"/>
        <v>.</v>
      </c>
      <c r="BK69" s="111" t="str">
        <f t="shared" si="75"/>
        <v>.</v>
      </c>
      <c r="BL69" s="111" t="str">
        <f t="shared" si="76"/>
        <v>.</v>
      </c>
      <c r="BM69" s="111" t="str">
        <f t="shared" si="77"/>
        <v>.</v>
      </c>
      <c r="BN69" s="111" t="str">
        <f t="shared" si="78"/>
        <v>.</v>
      </c>
      <c r="BO69" s="111" t="str">
        <f t="shared" si="79"/>
        <v>.</v>
      </c>
      <c r="BP69" s="111" t="str">
        <f t="shared" si="80"/>
        <v>.</v>
      </c>
      <c r="BQ69" s="111" t="str">
        <f t="shared" si="81"/>
        <v>.</v>
      </c>
      <c r="BR69" s="111" t="str">
        <f t="shared" si="82"/>
        <v>.</v>
      </c>
      <c r="BS69" s="111" t="str">
        <f t="shared" si="83"/>
        <v>.</v>
      </c>
      <c r="BT69" s="60">
        <f>IFERROR(BT24/$B55,".")</f>
        <v>1122303047253.1311</v>
      </c>
      <c r="BU69" s="189">
        <f>IFERROR(BU24/$B55,0)</f>
        <v>7.6030195020027525E-7</v>
      </c>
      <c r="BV69" s="49" t="str">
        <f>IF(AP69=".",".",s_RadSpec!$E$24*BV24*$B$69)</f>
        <v>.</v>
      </c>
      <c r="BW69" s="49" t="str">
        <f>IF(AQ69=".",".",s_RadSpec!$H$24*BW24*$B$69)</f>
        <v>.</v>
      </c>
      <c r="BX69" s="49">
        <f>IF(AR69=".",".",s_RadSpec!$G$24*BX24*$B$69)</f>
        <v>2.227562338103619E-11</v>
      </c>
      <c r="BY69" s="49" t="str">
        <f>s_b2s!CC69</f>
        <v>.</v>
      </c>
      <c r="BZ69" s="49" t="str">
        <f>IF(AT69=".",".",s_RadSpec!$F$24*BZ24*$B$69)</f>
        <v>.</v>
      </c>
      <c r="CA69" s="49" t="str">
        <f>IF(AU69=".",".",s_RadSpec!$F$24*CA24*$B$69)</f>
        <v>.</v>
      </c>
      <c r="CB69" s="49" t="str">
        <f>IF(AV69=".",".",s_RadSpec!$F$24*CB24*$B$69)</f>
        <v>.</v>
      </c>
      <c r="CC69" s="49" t="str">
        <f>IF(AW69=".",".",s_RadSpec!$F$24*CC24*$B$69)</f>
        <v>.</v>
      </c>
      <c r="CD69" s="49" t="str">
        <f>IF(AX69=".",".",s_RadSpec!$F$24*CD24*$B$69)</f>
        <v>.</v>
      </c>
      <c r="CE69" s="49" t="str">
        <f>IF(AY69=".",".",s_RadSpec!$F$24*CE24*$B$69)</f>
        <v>.</v>
      </c>
      <c r="CF69" s="49" t="str">
        <f>IF(AZ69=".",".",s_RadSpec!$F$24*CF24*$B$69)</f>
        <v>.</v>
      </c>
      <c r="CG69" s="49" t="str">
        <f>IF(BA69=".",".",s_RadSpec!$F$24*CG24*$B$69)</f>
        <v>.</v>
      </c>
      <c r="CH69" s="49" t="str">
        <f>IF(BB69=".",".",s_RadSpec!$F$24*CH24*$B$69)</f>
        <v>.</v>
      </c>
      <c r="CI69" s="49" t="str">
        <f>IF(BC69=".",".",s_RadSpec!$F$24*CI24*$B$69)</f>
        <v>.</v>
      </c>
      <c r="CJ69" s="49" t="str">
        <f>IF(BD69=".",".",s_RadSpec!$F$24*CJ24*$B$69)</f>
        <v>.</v>
      </c>
      <c r="CK69" s="49">
        <f t="shared" si="415"/>
        <v>2.227562338103619E-11</v>
      </c>
      <c r="CL69" s="60" t="str">
        <f>IFERROR(CL24/$B55,".")</f>
        <v>.</v>
      </c>
      <c r="CM69" s="60" t="str">
        <f>IFERROR(CM24,".")</f>
        <v>.</v>
      </c>
      <c r="CN69" s="60">
        <f t="shared" ref="CN69:CZ69" si="442">IFERROR(CN24/$B55,".")</f>
        <v>115364265264374.48</v>
      </c>
      <c r="CO69" s="60" t="str">
        <f t="shared" si="442"/>
        <v>.</v>
      </c>
      <c r="CP69" s="60" t="str">
        <f t="shared" si="442"/>
        <v>.</v>
      </c>
      <c r="CQ69" s="60" t="str">
        <f t="shared" si="442"/>
        <v>.</v>
      </c>
      <c r="CR69" s="60" t="str">
        <f t="shared" si="442"/>
        <v>.</v>
      </c>
      <c r="CS69" s="60" t="str">
        <f t="shared" si="442"/>
        <v>.</v>
      </c>
      <c r="CT69" s="60" t="str">
        <f t="shared" si="442"/>
        <v>.</v>
      </c>
      <c r="CU69" s="60" t="str">
        <f t="shared" si="442"/>
        <v>.</v>
      </c>
      <c r="CV69" s="60" t="str">
        <f t="shared" si="442"/>
        <v>.</v>
      </c>
      <c r="CW69" s="60" t="str">
        <f t="shared" si="442"/>
        <v>.</v>
      </c>
      <c r="CX69" s="60" t="str">
        <f t="shared" si="442"/>
        <v>.</v>
      </c>
      <c r="CY69" s="60" t="str">
        <f t="shared" si="442"/>
        <v>.</v>
      </c>
      <c r="CZ69" s="60" t="str">
        <f t="shared" si="442"/>
        <v>.</v>
      </c>
      <c r="DA69" s="111" t="str">
        <f t="shared" si="101"/>
        <v>.</v>
      </c>
      <c r="DB69" s="111" t="str">
        <f t="shared" si="102"/>
        <v>.</v>
      </c>
      <c r="DC69" s="111">
        <f t="shared" si="103"/>
        <v>8.6681954564383553E-15</v>
      </c>
      <c r="DD69" s="111" t="str">
        <f t="shared" si="104"/>
        <v>.</v>
      </c>
      <c r="DE69" s="111" t="str">
        <f t="shared" si="105"/>
        <v>.</v>
      </c>
      <c r="DF69" s="111" t="str">
        <f t="shared" si="106"/>
        <v>.</v>
      </c>
      <c r="DG69" s="111" t="str">
        <f t="shared" si="107"/>
        <v>.</v>
      </c>
      <c r="DH69" s="111" t="str">
        <f t="shared" si="108"/>
        <v>.</v>
      </c>
      <c r="DI69" s="111" t="str">
        <f t="shared" si="109"/>
        <v>.</v>
      </c>
      <c r="DJ69" s="111" t="str">
        <f t="shared" si="110"/>
        <v>.</v>
      </c>
      <c r="DK69" s="111" t="str">
        <f t="shared" si="111"/>
        <v>.</v>
      </c>
      <c r="DL69" s="111" t="str">
        <f t="shared" si="112"/>
        <v>.</v>
      </c>
      <c r="DM69" s="111" t="str">
        <f t="shared" si="113"/>
        <v>.</v>
      </c>
      <c r="DN69" s="111" t="str">
        <f t="shared" si="114"/>
        <v>.</v>
      </c>
      <c r="DO69" s="111" t="str">
        <f t="shared" si="115"/>
        <v>.</v>
      </c>
      <c r="DP69" s="60">
        <f>IFERROR(DP24/$B55,".")</f>
        <v>115364265264374.48</v>
      </c>
      <c r="DQ69" s="189">
        <f t="shared" ref="DQ69" si="443">IFERROR(DQ24/$B55,0)</f>
        <v>7.8153290306573297E-8</v>
      </c>
      <c r="DR69" s="49" t="str">
        <f>IF(CL69=".",".",s_RadSpec!$I$24*DR24*$B$69)</f>
        <v>.</v>
      </c>
      <c r="DS69" s="49" t="str">
        <f>IF(CM69=".",".",s_RadSpec!$H$24*DS24)</f>
        <v>.</v>
      </c>
      <c r="DT69" s="49">
        <f>IF(CN69=".",".",s_RadSpec!$M$24*DT24*$B$69)</f>
        <v>2.1670488641095886E-13</v>
      </c>
      <c r="DU69" s="49" t="str">
        <f>s_b2w!CC69</f>
        <v>.</v>
      </c>
      <c r="DV69" s="49" t="str">
        <f>IF(CP69=".",".",s_RadSpec!$F$24*DV24*$B$69)</f>
        <v>.</v>
      </c>
      <c r="DW69" s="49" t="str">
        <f>IF(CQ69=".",".",s_RadSpec!$F$24*DW24*$B$69)</f>
        <v>.</v>
      </c>
      <c r="DX69" s="49" t="str">
        <f>IF(CR69=".",".",s_RadSpec!$F$24*DX24*$B$69)</f>
        <v>.</v>
      </c>
      <c r="DY69" s="49" t="str">
        <f>IF(CS69=".",".",s_RadSpec!$F$24*DY24*$B$69)</f>
        <v>.</v>
      </c>
      <c r="DZ69" s="49" t="str">
        <f>IF(CT69=".",".",s_RadSpec!$F$24*DZ24*$B$69)</f>
        <v>.</v>
      </c>
      <c r="EA69" s="49" t="str">
        <f>IF(CU69=".",".",s_RadSpec!$F$24*EA24*$B$69)</f>
        <v>.</v>
      </c>
      <c r="EB69" s="49" t="str">
        <f>IF(CV69=".",".",s_RadSpec!$F$24*EB24*$B$69)</f>
        <v>.</v>
      </c>
      <c r="EC69" s="49" t="str">
        <f>IF(CW69=".",".",s_RadSpec!$F$24*EC24*$B$69)</f>
        <v>.</v>
      </c>
      <c r="ED69" s="49" t="str">
        <f>IF(CX69=".",".",s_RadSpec!$F$24*ED24*$B$69)</f>
        <v>.</v>
      </c>
      <c r="EE69" s="49" t="str">
        <f>IF(CY69=".",".",s_RadSpec!$F$24*EE24*$B$69)</f>
        <v>.</v>
      </c>
      <c r="EF69" s="49" t="str">
        <f>IF(CZ69=".",".",s_RadSpec!$F$24*EF24*$B$69)</f>
        <v>.</v>
      </c>
      <c r="EG69" s="49">
        <f t="shared" si="418"/>
        <v>2.1670488641095886E-13</v>
      </c>
      <c r="EH69" s="60" t="str">
        <f>IFERROR(EH24/$B55,".")</f>
        <v>.</v>
      </c>
      <c r="EI69" s="60">
        <f>IFERROR(EI24/$B55,".")</f>
        <v>401196197789989.38</v>
      </c>
      <c r="EJ69" s="60">
        <f>IFERROR(EJ24/$B55,".")</f>
        <v>401196197789989.38</v>
      </c>
      <c r="EK69" s="189">
        <f t="shared" ref="EK69" si="444">IFERROR(EK24/$B55,0)</f>
        <v>2.7178956017203606E-7</v>
      </c>
      <c r="EL69" s="49" t="str">
        <f>IF(EH69=".",".",s_RadSpec!$H$24*EL24*$B$69)</f>
        <v>.</v>
      </c>
      <c r="EM69" s="49">
        <f>IF(EI69=".",".",s_RadSpec!$K$24*EM24*$B$69)</f>
        <v>6.2313651369863008E-14</v>
      </c>
      <c r="EN69" s="49">
        <f t="shared" si="155"/>
        <v>6.2313651369863008E-14</v>
      </c>
    </row>
    <row r="70" spans="1:144" x14ac:dyDescent="0.25">
      <c r="A70" s="77" t="s">
        <v>1077</v>
      </c>
      <c r="B70" s="42">
        <v>0.99979000004200003</v>
      </c>
      <c r="C70" s="170"/>
      <c r="D70" s="60" t="str">
        <f t="shared" ref="D70:O70" si="445">IFERROR(D20/$B56,".")</f>
        <v>.</v>
      </c>
      <c r="E70" s="60" t="str">
        <f t="shared" si="445"/>
        <v>.</v>
      </c>
      <c r="F70" s="60" t="str">
        <f t="shared" si="445"/>
        <v>.</v>
      </c>
      <c r="G70" s="60" t="str">
        <f t="shared" si="445"/>
        <v>.</v>
      </c>
      <c r="H70" s="60" t="str">
        <f t="shared" si="445"/>
        <v>.</v>
      </c>
      <c r="I70" s="60" t="str">
        <f t="shared" si="445"/>
        <v>.</v>
      </c>
      <c r="J70" s="60" t="str">
        <f t="shared" si="445"/>
        <v>.</v>
      </c>
      <c r="K70" s="60" t="str">
        <f t="shared" si="445"/>
        <v>.</v>
      </c>
      <c r="L70" s="60" t="str">
        <f t="shared" si="445"/>
        <v>.</v>
      </c>
      <c r="M70" s="60" t="str">
        <f t="shared" si="445"/>
        <v>.</v>
      </c>
      <c r="N70" s="60" t="str">
        <f t="shared" si="445"/>
        <v>.</v>
      </c>
      <c r="O70" s="60" t="str">
        <f t="shared" si="445"/>
        <v>.</v>
      </c>
      <c r="P70" s="111" t="str">
        <f t="shared" si="413"/>
        <v>.</v>
      </c>
      <c r="Q70" s="111" t="str">
        <f t="shared" si="413"/>
        <v>.</v>
      </c>
      <c r="R70" s="111" t="str">
        <f t="shared" si="413"/>
        <v>.</v>
      </c>
      <c r="S70" s="111" t="str">
        <f t="shared" si="413"/>
        <v>.</v>
      </c>
      <c r="T70" s="111" t="str">
        <f t="shared" si="413"/>
        <v>.</v>
      </c>
      <c r="U70" s="111" t="str">
        <f t="shared" si="413"/>
        <v>.</v>
      </c>
      <c r="V70" s="111" t="str">
        <f t="shared" si="413"/>
        <v>.</v>
      </c>
      <c r="W70" s="111" t="str">
        <f t="shared" si="413"/>
        <v>.</v>
      </c>
      <c r="X70" s="111" t="str">
        <f t="shared" si="59"/>
        <v>.</v>
      </c>
      <c r="Y70" s="111" t="str">
        <f t="shared" si="59"/>
        <v>.</v>
      </c>
      <c r="Z70" s="111" t="str">
        <f t="shared" si="59"/>
        <v>.</v>
      </c>
      <c r="AA70" s="111" t="str">
        <f t="shared" si="59"/>
        <v>.</v>
      </c>
      <c r="AB70" s="60" t="str">
        <f>IFERROR(AB20/$B56,".")</f>
        <v>.</v>
      </c>
      <c r="AC70" s="189">
        <f>IFERROR(AC20/$B56,0)</f>
        <v>0</v>
      </c>
      <c r="AD70" s="49" t="str">
        <f>s_dir!BC70</f>
        <v>.</v>
      </c>
      <c r="AE70" s="49" t="str">
        <f>IF(E70=".",".",s_RadSpec!$F$20*AE20*$B$70)</f>
        <v>.</v>
      </c>
      <c r="AF70" s="49" t="str">
        <f>IF(F70=".",".",s_RadSpec!$F$20*AF20*$B$70)</f>
        <v>.</v>
      </c>
      <c r="AG70" s="49" t="str">
        <f>IF(G70=".",".",s_RadSpec!$F$20*AG20*$B$70)</f>
        <v>.</v>
      </c>
      <c r="AH70" s="49" t="str">
        <f>IF(H70=".",".",s_RadSpec!$F$20*AH20*$B$70)</f>
        <v>.</v>
      </c>
      <c r="AI70" s="49" t="str">
        <f>IF(I70=".",".",s_RadSpec!$F$20*AI20*$B$70)</f>
        <v>.</v>
      </c>
      <c r="AJ70" s="49" t="str">
        <f>IF(J70=".",".",s_RadSpec!$F$20*AJ20*$B$70)</f>
        <v>.</v>
      </c>
      <c r="AK70" s="49" t="str">
        <f>IF(K70=".",".",s_RadSpec!$F$20*AK20*$B$70)</f>
        <v>.</v>
      </c>
      <c r="AL70" s="49" t="str">
        <f>IF(L70=".",".",s_RadSpec!$F$20*AL20*$B$70)</f>
        <v>.</v>
      </c>
      <c r="AM70" s="49" t="str">
        <f>IF(M70=".",".",s_RadSpec!$F$20*AM20*$B$70)</f>
        <v>.</v>
      </c>
      <c r="AN70" s="49" t="str">
        <f>IF(N70=".",".",s_RadSpec!$F$20*AN20*$B$70)</f>
        <v>.</v>
      </c>
      <c r="AO70" s="49" t="str">
        <f>IF(O70=".",".",s_RadSpec!$F$20*AO20*$B$70)</f>
        <v>.</v>
      </c>
      <c r="AP70" s="60" t="str">
        <f t="shared" ref="AP70:BD70" si="446">IFERROR(AP20/$B56,".")</f>
        <v>.</v>
      </c>
      <c r="AQ70" s="60" t="str">
        <f t="shared" si="446"/>
        <v>.</v>
      </c>
      <c r="AR70" s="60">
        <f t="shared" si="446"/>
        <v>1559950.9427820113</v>
      </c>
      <c r="AS70" s="60" t="str">
        <f t="shared" si="446"/>
        <v>.</v>
      </c>
      <c r="AT70" s="60" t="str">
        <f t="shared" si="446"/>
        <v>.</v>
      </c>
      <c r="AU70" s="60" t="str">
        <f t="shared" si="446"/>
        <v>.</v>
      </c>
      <c r="AV70" s="60" t="str">
        <f t="shared" si="446"/>
        <v>.</v>
      </c>
      <c r="AW70" s="60" t="str">
        <f t="shared" si="446"/>
        <v>.</v>
      </c>
      <c r="AX70" s="60" t="str">
        <f t="shared" si="446"/>
        <v>.</v>
      </c>
      <c r="AY70" s="60" t="str">
        <f t="shared" si="446"/>
        <v>.</v>
      </c>
      <c r="AZ70" s="60" t="str">
        <f t="shared" si="446"/>
        <v>.</v>
      </c>
      <c r="BA70" s="60" t="str">
        <f t="shared" si="446"/>
        <v>.</v>
      </c>
      <c r="BB70" s="60" t="str">
        <f t="shared" si="446"/>
        <v>.</v>
      </c>
      <c r="BC70" s="60" t="str">
        <f t="shared" si="446"/>
        <v>.</v>
      </c>
      <c r="BD70" s="60" t="str">
        <f t="shared" si="446"/>
        <v>.</v>
      </c>
      <c r="BE70" s="111" t="str">
        <f t="shared" si="69"/>
        <v>.</v>
      </c>
      <c r="BF70" s="111" t="str">
        <f t="shared" si="70"/>
        <v>.</v>
      </c>
      <c r="BG70" s="111">
        <f t="shared" si="71"/>
        <v>6.4104579995099289E-7</v>
      </c>
      <c r="BH70" s="111" t="str">
        <f t="shared" si="72"/>
        <v>.</v>
      </c>
      <c r="BI70" s="111" t="str">
        <f t="shared" si="73"/>
        <v>.</v>
      </c>
      <c r="BJ70" s="111" t="str">
        <f t="shared" si="74"/>
        <v>.</v>
      </c>
      <c r="BK70" s="111" t="str">
        <f t="shared" si="75"/>
        <v>.</v>
      </c>
      <c r="BL70" s="111" t="str">
        <f t="shared" si="76"/>
        <v>.</v>
      </c>
      <c r="BM70" s="111" t="str">
        <f t="shared" si="77"/>
        <v>.</v>
      </c>
      <c r="BN70" s="111" t="str">
        <f t="shared" si="78"/>
        <v>.</v>
      </c>
      <c r="BO70" s="111" t="str">
        <f t="shared" si="79"/>
        <v>.</v>
      </c>
      <c r="BP70" s="111" t="str">
        <f t="shared" si="80"/>
        <v>.</v>
      </c>
      <c r="BQ70" s="111" t="str">
        <f t="shared" si="81"/>
        <v>.</v>
      </c>
      <c r="BR70" s="111" t="str">
        <f t="shared" si="82"/>
        <v>.</v>
      </c>
      <c r="BS70" s="111" t="str">
        <f t="shared" si="83"/>
        <v>.</v>
      </c>
      <c r="BT70" s="60">
        <f>IFERROR(BT20/$B56,".")</f>
        <v>1559950.9427820113</v>
      </c>
      <c r="BU70" s="189">
        <f>IFERROR(BU20/$B56,0)</f>
        <v>4.8698288935670782E-15</v>
      </c>
      <c r="BV70" s="49" t="str">
        <f>IF(AP70=".",".",s_RadSpec!$E$20*BV20*$B$70)</f>
        <v>.</v>
      </c>
      <c r="BW70" s="49" t="str">
        <f>IF(AQ70=".",".",s_RadSpec!$H$20*BW20*$B$70)</f>
        <v>.</v>
      </c>
      <c r="BX70" s="49">
        <f>IF(AR70=".",".",s_RadSpec!$G$20*BX20*$B$70)</f>
        <v>1.602614499877482E-5</v>
      </c>
      <c r="BY70" s="49" t="str">
        <f>s_b2s!CC70</f>
        <v>.</v>
      </c>
      <c r="BZ70" s="49" t="str">
        <f>IF(AT70=".",".",s_RadSpec!$F$20*BZ20*$B$70)</f>
        <v>.</v>
      </c>
      <c r="CA70" s="49" t="str">
        <f>IF(AU70=".",".",s_RadSpec!$F$20*CA20*$B$70)</f>
        <v>.</v>
      </c>
      <c r="CB70" s="49" t="str">
        <f>IF(AV70=".",".",s_RadSpec!$F$20*CB20*$B$70)</f>
        <v>.</v>
      </c>
      <c r="CC70" s="49" t="str">
        <f>IF(AW70=".",".",s_RadSpec!$F$20*CC20*$B$70)</f>
        <v>.</v>
      </c>
      <c r="CD70" s="49" t="str">
        <f>IF(AX70=".",".",s_RadSpec!$F$20*CD20*$B$70)</f>
        <v>.</v>
      </c>
      <c r="CE70" s="49" t="str">
        <f>IF(AY70=".",".",s_RadSpec!$F$20*CE20*$B$70)</f>
        <v>.</v>
      </c>
      <c r="CF70" s="49" t="str">
        <f>IF(AZ70=".",".",s_RadSpec!$F$20*CF20*$B$70)</f>
        <v>.</v>
      </c>
      <c r="CG70" s="49" t="str">
        <f>IF(BA70=".",".",s_RadSpec!$F$20*CG20*$B$70)</f>
        <v>.</v>
      </c>
      <c r="CH70" s="49" t="str">
        <f>IF(BB70=".",".",s_RadSpec!$F$20*CH20*$B$70)</f>
        <v>.</v>
      </c>
      <c r="CI70" s="49" t="str">
        <f>IF(BC70=".",".",s_RadSpec!$F$20*CI20*$B$70)</f>
        <v>.</v>
      </c>
      <c r="CJ70" s="49" t="str">
        <f>IF(BD70=".",".",s_RadSpec!$F$20*CJ20*$B$70)</f>
        <v>.</v>
      </c>
      <c r="CK70" s="49">
        <f t="shared" si="415"/>
        <v>1.602614499877482E-5</v>
      </c>
      <c r="CL70" s="60" t="str">
        <f>IFERROR(CL20/$B56,".")</f>
        <v>.</v>
      </c>
      <c r="CM70" s="60" t="str">
        <f>IFERROR(CM20,".")</f>
        <v>.</v>
      </c>
      <c r="CN70" s="60">
        <f t="shared" ref="CN70:CZ70" si="447">IFERROR(CN20/$B56,".")</f>
        <v>207222598.22021025</v>
      </c>
      <c r="CO70" s="60" t="str">
        <f t="shared" si="447"/>
        <v>.</v>
      </c>
      <c r="CP70" s="60" t="str">
        <f t="shared" si="447"/>
        <v>.</v>
      </c>
      <c r="CQ70" s="60" t="str">
        <f t="shared" si="447"/>
        <v>.</v>
      </c>
      <c r="CR70" s="60" t="str">
        <f t="shared" si="447"/>
        <v>.</v>
      </c>
      <c r="CS70" s="60" t="str">
        <f t="shared" si="447"/>
        <v>.</v>
      </c>
      <c r="CT70" s="60" t="str">
        <f t="shared" si="447"/>
        <v>.</v>
      </c>
      <c r="CU70" s="60" t="str">
        <f t="shared" si="447"/>
        <v>.</v>
      </c>
      <c r="CV70" s="60" t="str">
        <f t="shared" si="447"/>
        <v>.</v>
      </c>
      <c r="CW70" s="60" t="str">
        <f t="shared" si="447"/>
        <v>.</v>
      </c>
      <c r="CX70" s="60" t="str">
        <f t="shared" si="447"/>
        <v>.</v>
      </c>
      <c r="CY70" s="60" t="str">
        <f t="shared" si="447"/>
        <v>.</v>
      </c>
      <c r="CZ70" s="60" t="str">
        <f t="shared" si="447"/>
        <v>.</v>
      </c>
      <c r="DA70" s="111" t="str">
        <f t="shared" si="101"/>
        <v>.</v>
      </c>
      <c r="DB70" s="111" t="str">
        <f t="shared" si="102"/>
        <v>.</v>
      </c>
      <c r="DC70" s="111">
        <f t="shared" si="103"/>
        <v>4.8257285092879934E-9</v>
      </c>
      <c r="DD70" s="111" t="str">
        <f t="shared" si="104"/>
        <v>.</v>
      </c>
      <c r="DE70" s="111" t="str">
        <f t="shared" si="105"/>
        <v>.</v>
      </c>
      <c r="DF70" s="111" t="str">
        <f t="shared" si="106"/>
        <v>.</v>
      </c>
      <c r="DG70" s="111" t="str">
        <f t="shared" si="107"/>
        <v>.</v>
      </c>
      <c r="DH70" s="111" t="str">
        <f t="shared" si="108"/>
        <v>.</v>
      </c>
      <c r="DI70" s="111" t="str">
        <f t="shared" si="109"/>
        <v>.</v>
      </c>
      <c r="DJ70" s="111" t="str">
        <f t="shared" si="110"/>
        <v>.</v>
      </c>
      <c r="DK70" s="111" t="str">
        <f t="shared" si="111"/>
        <v>.</v>
      </c>
      <c r="DL70" s="111" t="str">
        <f t="shared" si="112"/>
        <v>.</v>
      </c>
      <c r="DM70" s="111" t="str">
        <f t="shared" si="113"/>
        <v>.</v>
      </c>
      <c r="DN70" s="111" t="str">
        <f t="shared" si="114"/>
        <v>.</v>
      </c>
      <c r="DO70" s="111" t="str">
        <f t="shared" si="115"/>
        <v>.</v>
      </c>
      <c r="DP70" s="60">
        <f>IFERROR(DP20/$B56,".")</f>
        <v>207222598.22021025</v>
      </c>
      <c r="DQ70" s="189">
        <f t="shared" ref="DQ70" si="448">IFERROR(DQ20/$B56,0)</f>
        <v>6.4690405867067025E-16</v>
      </c>
      <c r="DR70" s="49" t="str">
        <f>IF(CL70=".",".",s_RadSpec!$I$20*DR20*$B$70)</f>
        <v>.</v>
      </c>
      <c r="DS70" s="49" t="str">
        <f>IF(CM70=".",".",s_RadSpec!$H$20*DS20)</f>
        <v>.</v>
      </c>
      <c r="DT70" s="49">
        <f>IF(CN70=".",".",s_RadSpec!$M$20*DT20*$B$70)</f>
        <v>1.2064321273219985E-7</v>
      </c>
      <c r="DU70" s="49" t="str">
        <f>s_b2w!CC70</f>
        <v>.</v>
      </c>
      <c r="DV70" s="49" t="str">
        <f>IF(CP70=".",".",s_RadSpec!$F$20*DV20*$B$70)</f>
        <v>.</v>
      </c>
      <c r="DW70" s="49" t="str">
        <f>IF(CQ70=".",".",s_RadSpec!$F$20*DW20*$B$70)</f>
        <v>.</v>
      </c>
      <c r="DX70" s="49" t="str">
        <f>IF(CR70=".",".",s_RadSpec!$F$20*DX20*$B$70)</f>
        <v>.</v>
      </c>
      <c r="DY70" s="49" t="str">
        <f>IF(CS70=".",".",s_RadSpec!$F$20*DY20*$B$70)</f>
        <v>.</v>
      </c>
      <c r="DZ70" s="49" t="str">
        <f>IF(CT70=".",".",s_RadSpec!$F$20*DZ20*$B$70)</f>
        <v>.</v>
      </c>
      <c r="EA70" s="49" t="str">
        <f>IF(CU70=".",".",s_RadSpec!$F$20*EA20*$B$70)</f>
        <v>.</v>
      </c>
      <c r="EB70" s="49" t="str">
        <f>IF(CV70=".",".",s_RadSpec!$F$20*EB20*$B$70)</f>
        <v>.</v>
      </c>
      <c r="EC70" s="49" t="str">
        <f>IF(CW70=".",".",s_RadSpec!$F$20*EC20*$B$70)</f>
        <v>.</v>
      </c>
      <c r="ED70" s="49" t="str">
        <f>IF(CX70=".",".",s_RadSpec!$F$20*ED20*$B$70)</f>
        <v>.</v>
      </c>
      <c r="EE70" s="49" t="str">
        <f>IF(CY70=".",".",s_RadSpec!$F$20*EE20*$B$70)</f>
        <v>.</v>
      </c>
      <c r="EF70" s="49" t="str">
        <f>IF(CZ70=".",".",s_RadSpec!$F$20*EF20*$B$70)</f>
        <v>.</v>
      </c>
      <c r="EG70" s="49">
        <f t="shared" si="418"/>
        <v>1.2064321273219985E-7</v>
      </c>
      <c r="EH70" s="60" t="str">
        <f>IFERROR(EH20/$B56,".")</f>
        <v>.</v>
      </c>
      <c r="EI70" s="60">
        <f>IFERROR(EI20/$B56,".")</f>
        <v>718080835.09571791</v>
      </c>
      <c r="EJ70" s="60">
        <f>IFERROR(EJ20/$B56,".")</f>
        <v>718080835.09571791</v>
      </c>
      <c r="EK70" s="189">
        <f t="shared" ref="EK70" si="449">IFERROR(EK20/$B56,0)</f>
        <v>2.2416928012040485E-15</v>
      </c>
      <c r="EL70" s="49" t="str">
        <f>IF(EH70=".",".",s_RadSpec!$H$20*EL20*$B$70)</f>
        <v>.</v>
      </c>
      <c r="EM70" s="49">
        <f>IF(EI70=".",".",s_RadSpec!$K$20*EM20*$B$70)</f>
        <v>3.4815021900239938E-8</v>
      </c>
      <c r="EN70" s="49">
        <f t="shared" si="155"/>
        <v>3.4815021900239938E-8</v>
      </c>
    </row>
    <row r="71" spans="1:144" x14ac:dyDescent="0.25">
      <c r="A71" s="77" t="s">
        <v>1078</v>
      </c>
      <c r="B71" s="42">
        <v>2.0999995799999999E-4</v>
      </c>
      <c r="C71" s="170"/>
      <c r="D71" s="60" t="str">
        <f t="shared" ref="D71:O71" si="450">IFERROR(D29/$B57,".")</f>
        <v>.</v>
      </c>
      <c r="E71" s="60" t="str">
        <f t="shared" si="450"/>
        <v>.</v>
      </c>
      <c r="F71" s="60" t="str">
        <f t="shared" si="450"/>
        <v>.</v>
      </c>
      <c r="G71" s="60" t="str">
        <f t="shared" si="450"/>
        <v>.</v>
      </c>
      <c r="H71" s="60" t="str">
        <f t="shared" si="450"/>
        <v>.</v>
      </c>
      <c r="I71" s="60" t="str">
        <f t="shared" si="450"/>
        <v>.</v>
      </c>
      <c r="J71" s="60" t="str">
        <f t="shared" si="450"/>
        <v>.</v>
      </c>
      <c r="K71" s="60" t="str">
        <f t="shared" si="450"/>
        <v>.</v>
      </c>
      <c r="L71" s="60" t="str">
        <f t="shared" si="450"/>
        <v>.</v>
      </c>
      <c r="M71" s="60" t="str">
        <f t="shared" si="450"/>
        <v>.</v>
      </c>
      <c r="N71" s="60" t="str">
        <f t="shared" si="450"/>
        <v>.</v>
      </c>
      <c r="O71" s="60" t="str">
        <f t="shared" si="450"/>
        <v>.</v>
      </c>
      <c r="P71" s="111" t="str">
        <f t="shared" si="413"/>
        <v>.</v>
      </c>
      <c r="Q71" s="111" t="str">
        <f t="shared" si="413"/>
        <v>.</v>
      </c>
      <c r="R71" s="111" t="str">
        <f t="shared" si="413"/>
        <v>.</v>
      </c>
      <c r="S71" s="111" t="str">
        <f t="shared" si="413"/>
        <v>.</v>
      </c>
      <c r="T71" s="111" t="str">
        <f t="shared" si="413"/>
        <v>.</v>
      </c>
      <c r="U71" s="111" t="str">
        <f t="shared" si="413"/>
        <v>.</v>
      </c>
      <c r="V71" s="111" t="str">
        <f t="shared" si="413"/>
        <v>.</v>
      </c>
      <c r="W71" s="111" t="str">
        <f t="shared" si="413"/>
        <v>.</v>
      </c>
      <c r="X71" s="111" t="str">
        <f t="shared" si="59"/>
        <v>.</v>
      </c>
      <c r="Y71" s="111" t="str">
        <f t="shared" si="59"/>
        <v>.</v>
      </c>
      <c r="Z71" s="111" t="str">
        <f t="shared" si="59"/>
        <v>.</v>
      </c>
      <c r="AA71" s="111" t="str">
        <f t="shared" si="59"/>
        <v>.</v>
      </c>
      <c r="AB71" s="60" t="str">
        <f>IFERROR(AB29/$B57,".")</f>
        <v>.</v>
      </c>
      <c r="AC71" s="189">
        <f>IFERROR(AC29/$B57,0)</f>
        <v>0</v>
      </c>
      <c r="AD71" s="49" t="str">
        <f>s_dir!BC71</f>
        <v>.</v>
      </c>
      <c r="AE71" s="49" t="str">
        <f>IF(E71=".",".",s_RadSpec!$F$29*AE29*$B$71)</f>
        <v>.</v>
      </c>
      <c r="AF71" s="49" t="str">
        <f>IF(F71=".",".",s_RadSpec!$F$29*AF29*$B$71)</f>
        <v>.</v>
      </c>
      <c r="AG71" s="49" t="str">
        <f>IF(G71=".",".",s_RadSpec!$F$29*AG29*$B$71)</f>
        <v>.</v>
      </c>
      <c r="AH71" s="49" t="str">
        <f>IF(H71=".",".",s_RadSpec!$F$29*AH29*$B$71)</f>
        <v>.</v>
      </c>
      <c r="AI71" s="49" t="str">
        <f>IF(I71=".",".",s_RadSpec!$F$29*AI29*$B$71)</f>
        <v>.</v>
      </c>
      <c r="AJ71" s="49" t="str">
        <f>IF(J71=".",".",s_RadSpec!$F$29*AJ29*$B$71)</f>
        <v>.</v>
      </c>
      <c r="AK71" s="49" t="str">
        <f>IF(K71=".",".",s_RadSpec!$F$29*AK29*$B$71)</f>
        <v>.</v>
      </c>
      <c r="AL71" s="49" t="str">
        <f>IF(L71=".",".",s_RadSpec!$F$29*AL29*$B$71)</f>
        <v>.</v>
      </c>
      <c r="AM71" s="49" t="str">
        <f>IF(M71=".",".",s_RadSpec!$F$29*AM29*$B$71)</f>
        <v>.</v>
      </c>
      <c r="AN71" s="49" t="str">
        <f>IF(N71=".",".",s_RadSpec!$F$29*AN29*$B$71)</f>
        <v>.</v>
      </c>
      <c r="AO71" s="49" t="str">
        <f>IF(O71=".",".",s_RadSpec!$F$29*AO29*$B$71)</f>
        <v>.</v>
      </c>
      <c r="AP71" s="60" t="str">
        <f t="shared" ref="AP71:BD71" si="451">IFERROR(AP29/$B57,".")</f>
        <v>.</v>
      </c>
      <c r="AQ71" s="60" t="str">
        <f t="shared" si="451"/>
        <v>.</v>
      </c>
      <c r="AR71" s="60">
        <f t="shared" si="451"/>
        <v>167286.16844496483</v>
      </c>
      <c r="AS71" s="60" t="str">
        <f t="shared" si="451"/>
        <v>.</v>
      </c>
      <c r="AT71" s="60" t="str">
        <f t="shared" si="451"/>
        <v>.</v>
      </c>
      <c r="AU71" s="60" t="str">
        <f t="shared" si="451"/>
        <v>.</v>
      </c>
      <c r="AV71" s="60" t="str">
        <f t="shared" si="451"/>
        <v>.</v>
      </c>
      <c r="AW71" s="60" t="str">
        <f t="shared" si="451"/>
        <v>.</v>
      </c>
      <c r="AX71" s="60" t="str">
        <f t="shared" si="451"/>
        <v>.</v>
      </c>
      <c r="AY71" s="60" t="str">
        <f t="shared" si="451"/>
        <v>.</v>
      </c>
      <c r="AZ71" s="60" t="str">
        <f t="shared" si="451"/>
        <v>.</v>
      </c>
      <c r="BA71" s="60" t="str">
        <f t="shared" si="451"/>
        <v>.</v>
      </c>
      <c r="BB71" s="60" t="str">
        <f t="shared" si="451"/>
        <v>.</v>
      </c>
      <c r="BC71" s="60" t="str">
        <f t="shared" si="451"/>
        <v>.</v>
      </c>
      <c r="BD71" s="60" t="str">
        <f t="shared" si="451"/>
        <v>.</v>
      </c>
      <c r="BE71" s="111" t="str">
        <f t="shared" si="69"/>
        <v>.</v>
      </c>
      <c r="BF71" s="111" t="str">
        <f t="shared" si="70"/>
        <v>.</v>
      </c>
      <c r="BG71" s="111">
        <f t="shared" si="71"/>
        <v>5.9777805260031896E-6</v>
      </c>
      <c r="BH71" s="111" t="str">
        <f t="shared" si="72"/>
        <v>.</v>
      </c>
      <c r="BI71" s="111" t="str">
        <f t="shared" si="73"/>
        <v>.</v>
      </c>
      <c r="BJ71" s="111" t="str">
        <f t="shared" si="74"/>
        <v>.</v>
      </c>
      <c r="BK71" s="111" t="str">
        <f t="shared" si="75"/>
        <v>.</v>
      </c>
      <c r="BL71" s="111" t="str">
        <f t="shared" si="76"/>
        <v>.</v>
      </c>
      <c r="BM71" s="111" t="str">
        <f t="shared" si="77"/>
        <v>.</v>
      </c>
      <c r="BN71" s="111" t="str">
        <f t="shared" si="78"/>
        <v>.</v>
      </c>
      <c r="BO71" s="111" t="str">
        <f t="shared" si="79"/>
        <v>.</v>
      </c>
      <c r="BP71" s="111" t="str">
        <f t="shared" si="80"/>
        <v>.</v>
      </c>
      <c r="BQ71" s="111" t="str">
        <f t="shared" si="81"/>
        <v>.</v>
      </c>
      <c r="BR71" s="111" t="str">
        <f t="shared" si="82"/>
        <v>.</v>
      </c>
      <c r="BS71" s="111" t="str">
        <f t="shared" si="83"/>
        <v>.</v>
      </c>
      <c r="BT71" s="60">
        <f>IFERROR(BT29/$B57,".")</f>
        <v>167286.16844496483</v>
      </c>
      <c r="BU71" s="189">
        <f>IFERROR(BU29/$B57,0)</f>
        <v>2.4329061483891024E-10</v>
      </c>
      <c r="BV71" s="49" t="str">
        <f>IF(AP71=".",".",s_RadSpec!$E$29*BV29*$B$71)</f>
        <v>.</v>
      </c>
      <c r="BW71" s="49" t="str">
        <f>IF(AQ71=".",".",s_RadSpec!$H$29*BW29*$B$71)</f>
        <v>.</v>
      </c>
      <c r="BX71" s="49">
        <f>IF(AR71=".",".",s_RadSpec!$G$29*BX29*$B$71)</f>
        <v>1.4944451315007973E-4</v>
      </c>
      <c r="BY71" s="49" t="str">
        <f>s_b2s!CC71</f>
        <v>.</v>
      </c>
      <c r="BZ71" s="49" t="str">
        <f>IF(AT71=".",".",s_RadSpec!$F$29*BZ29*$B$71)</f>
        <v>.</v>
      </c>
      <c r="CA71" s="49" t="str">
        <f>IF(AU71=".",".",s_RadSpec!$F$29*CA29*$B$71)</f>
        <v>.</v>
      </c>
      <c r="CB71" s="49" t="str">
        <f>IF(AV71=".",".",s_RadSpec!$F$29*CB29*$B$71)</f>
        <v>.</v>
      </c>
      <c r="CC71" s="49" t="str">
        <f>IF(AW71=".",".",s_RadSpec!$F$29*CC29*$B$71)</f>
        <v>.</v>
      </c>
      <c r="CD71" s="49" t="str">
        <f>IF(AX71=".",".",s_RadSpec!$F$29*CD29*$B$71)</f>
        <v>.</v>
      </c>
      <c r="CE71" s="49" t="str">
        <f>IF(AY71=".",".",s_RadSpec!$F$29*CE29*$B$71)</f>
        <v>.</v>
      </c>
      <c r="CF71" s="49" t="str">
        <f>IF(AZ71=".",".",s_RadSpec!$F$29*CF29*$B$71)</f>
        <v>.</v>
      </c>
      <c r="CG71" s="49" t="str">
        <f>IF(BA71=".",".",s_RadSpec!$F$29*CG29*$B$71)</f>
        <v>.</v>
      </c>
      <c r="CH71" s="49" t="str">
        <f>IF(BB71=".",".",s_RadSpec!$F$29*CH29*$B$71)</f>
        <v>.</v>
      </c>
      <c r="CI71" s="49" t="str">
        <f>IF(BC71=".",".",s_RadSpec!$F$29*CI29*$B$71)</f>
        <v>.</v>
      </c>
      <c r="CJ71" s="49" t="str">
        <f>IF(BD71=".",".",s_RadSpec!$F$29*CJ29*$B$71)</f>
        <v>.</v>
      </c>
      <c r="CK71" s="49">
        <f t="shared" si="415"/>
        <v>1.4944451315007973E-4</v>
      </c>
      <c r="CL71" s="60" t="str">
        <f>IFERROR(CL29/$B57,".")</f>
        <v>.</v>
      </c>
      <c r="CM71" s="60" t="str">
        <f>IFERROR(CM29,".")</f>
        <v>.</v>
      </c>
      <c r="CN71" s="60">
        <f t="shared" ref="CN71:CZ71" si="452">IFERROR(CN29/$B57,".")</f>
        <v>28489292.926053319</v>
      </c>
      <c r="CO71" s="60" t="str">
        <f t="shared" si="452"/>
        <v>.</v>
      </c>
      <c r="CP71" s="60" t="str">
        <f t="shared" si="452"/>
        <v>.</v>
      </c>
      <c r="CQ71" s="60" t="str">
        <f t="shared" si="452"/>
        <v>.</v>
      </c>
      <c r="CR71" s="60" t="str">
        <f t="shared" si="452"/>
        <v>.</v>
      </c>
      <c r="CS71" s="60" t="str">
        <f t="shared" si="452"/>
        <v>.</v>
      </c>
      <c r="CT71" s="60" t="str">
        <f t="shared" si="452"/>
        <v>.</v>
      </c>
      <c r="CU71" s="60" t="str">
        <f t="shared" si="452"/>
        <v>.</v>
      </c>
      <c r="CV71" s="60" t="str">
        <f t="shared" si="452"/>
        <v>.</v>
      </c>
      <c r="CW71" s="60" t="str">
        <f t="shared" si="452"/>
        <v>.</v>
      </c>
      <c r="CX71" s="60" t="str">
        <f t="shared" si="452"/>
        <v>.</v>
      </c>
      <c r="CY71" s="60" t="str">
        <f t="shared" si="452"/>
        <v>.</v>
      </c>
      <c r="CZ71" s="60" t="str">
        <f t="shared" si="452"/>
        <v>.</v>
      </c>
      <c r="DA71" s="111" t="str">
        <f t="shared" si="101"/>
        <v>.</v>
      </c>
      <c r="DB71" s="111" t="str">
        <f t="shared" si="102"/>
        <v>.</v>
      </c>
      <c r="DC71" s="111">
        <f t="shared" si="103"/>
        <v>3.5100906245570767E-8</v>
      </c>
      <c r="DD71" s="111" t="str">
        <f t="shared" si="104"/>
        <v>.</v>
      </c>
      <c r="DE71" s="111" t="str">
        <f t="shared" si="105"/>
        <v>.</v>
      </c>
      <c r="DF71" s="111" t="str">
        <f t="shared" si="106"/>
        <v>.</v>
      </c>
      <c r="DG71" s="111" t="str">
        <f t="shared" si="107"/>
        <v>.</v>
      </c>
      <c r="DH71" s="111" t="str">
        <f t="shared" si="108"/>
        <v>.</v>
      </c>
      <c r="DI71" s="111" t="str">
        <f t="shared" si="109"/>
        <v>.</v>
      </c>
      <c r="DJ71" s="111" t="str">
        <f t="shared" si="110"/>
        <v>.</v>
      </c>
      <c r="DK71" s="111" t="str">
        <f t="shared" si="111"/>
        <v>.</v>
      </c>
      <c r="DL71" s="111" t="str">
        <f t="shared" si="112"/>
        <v>.</v>
      </c>
      <c r="DM71" s="111" t="str">
        <f t="shared" si="113"/>
        <v>.</v>
      </c>
      <c r="DN71" s="111" t="str">
        <f t="shared" si="114"/>
        <v>.</v>
      </c>
      <c r="DO71" s="111" t="str">
        <f t="shared" si="115"/>
        <v>.</v>
      </c>
      <c r="DP71" s="60">
        <f>IFERROR(DP29/$B57,".")</f>
        <v>28489292.926053319</v>
      </c>
      <c r="DQ71" s="189">
        <f t="shared" ref="DQ71" si="453">IFERROR(DQ29/$B57,0)</f>
        <v>4.1433058433552463E-11</v>
      </c>
      <c r="DR71" s="49" t="str">
        <f>IF(CL71=".",".",s_RadSpec!$I$29*DR29*$B$71)</f>
        <v>.</v>
      </c>
      <c r="DS71" s="49" t="str">
        <f>IF(CM71=".",".",s_RadSpec!$H$29*DS29)</f>
        <v>.</v>
      </c>
      <c r="DT71" s="49">
        <f>IF(CN71=".",".",s_RadSpec!$M$29*DT29*$B$71)</f>
        <v>8.7752265613926914E-7</v>
      </c>
      <c r="DU71" s="49" t="str">
        <f>s_b2w!CC71</f>
        <v>.</v>
      </c>
      <c r="DV71" s="49" t="str">
        <f>IF(CP71=".",".",s_RadSpec!$F$29*DV29*$B$71)</f>
        <v>.</v>
      </c>
      <c r="DW71" s="49" t="str">
        <f>IF(CQ71=".",".",s_RadSpec!$F$29*DW29*$B$71)</f>
        <v>.</v>
      </c>
      <c r="DX71" s="49" t="str">
        <f>IF(CR71=".",".",s_RadSpec!$F$29*DX29*$B$71)</f>
        <v>.</v>
      </c>
      <c r="DY71" s="49" t="str">
        <f>IF(CS71=".",".",s_RadSpec!$F$29*DY29*$B$71)</f>
        <v>.</v>
      </c>
      <c r="DZ71" s="49" t="str">
        <f>IF(CT71=".",".",s_RadSpec!$F$29*DZ29*$B$71)</f>
        <v>.</v>
      </c>
      <c r="EA71" s="49" t="str">
        <f>IF(CU71=".",".",s_RadSpec!$F$29*EA29*$B$71)</f>
        <v>.</v>
      </c>
      <c r="EB71" s="49" t="str">
        <f>IF(CV71=".",".",s_RadSpec!$F$29*EB29*$B$71)</f>
        <v>.</v>
      </c>
      <c r="EC71" s="49" t="str">
        <f>IF(CW71=".",".",s_RadSpec!$F$29*EC29*$B$71)</f>
        <v>.</v>
      </c>
      <c r="ED71" s="49" t="str">
        <f>IF(CX71=".",".",s_RadSpec!$F$29*ED29*$B$71)</f>
        <v>.</v>
      </c>
      <c r="EE71" s="49" t="str">
        <f>IF(CY71=".",".",s_RadSpec!$F$29*EE29*$B$71)</f>
        <v>.</v>
      </c>
      <c r="EF71" s="49" t="str">
        <f>IF(CZ71=".",".",s_RadSpec!$F$29*EF29*$B$71)</f>
        <v>.</v>
      </c>
      <c r="EG71" s="49">
        <f t="shared" si="418"/>
        <v>8.7752265613926914E-7</v>
      </c>
      <c r="EH71" s="60" t="str">
        <f>IFERROR(EH29/$B57,".")</f>
        <v>.</v>
      </c>
      <c r="EI71" s="60">
        <f>IFERROR(EI29/$B57,".")</f>
        <v>98417557.380911469</v>
      </c>
      <c r="EJ71" s="60">
        <f>IFERROR(EJ29/$B57,".")</f>
        <v>98417557.380911469</v>
      </c>
      <c r="EK71" s="189">
        <f t="shared" ref="EK71" si="454">IFERROR(EK29/$B57,0)</f>
        <v>1.4313238367954489E-10</v>
      </c>
      <c r="EL71" s="49" t="str">
        <f>IF(EH71=".",".",s_RadSpec!$H$29*EL29*$B$71)</f>
        <v>.</v>
      </c>
      <c r="EM71" s="49">
        <f>IF(EI71=".",".",s_RadSpec!$K$29*EM29*$B$71)</f>
        <v>2.540197162508411E-7</v>
      </c>
      <c r="EN71" s="49">
        <f t="shared" si="155"/>
        <v>2.540197162508411E-7</v>
      </c>
    </row>
    <row r="72" spans="1:144" x14ac:dyDescent="0.25">
      <c r="A72" s="77" t="s">
        <v>1079</v>
      </c>
      <c r="B72" s="42">
        <v>1</v>
      </c>
      <c r="C72" s="170"/>
      <c r="D72" s="60">
        <f t="shared" ref="D72:O72" si="455">IFERROR(D16/$B58,".")</f>
        <v>0.21898417620342756</v>
      </c>
      <c r="E72" s="60">
        <f t="shared" si="455"/>
        <v>0.87593670481371022</v>
      </c>
      <c r="F72" s="60">
        <f t="shared" si="455"/>
        <v>0.87593670481371022</v>
      </c>
      <c r="G72" s="60">
        <f t="shared" si="455"/>
        <v>0.87593670481371022</v>
      </c>
      <c r="H72" s="60">
        <f t="shared" si="455"/>
        <v>0.87593670481371022</v>
      </c>
      <c r="I72" s="60">
        <f t="shared" si="455"/>
        <v>0.87593670481371022</v>
      </c>
      <c r="J72" s="60">
        <f t="shared" si="455"/>
        <v>0.87593670481371022</v>
      </c>
      <c r="K72" s="60">
        <f t="shared" si="455"/>
        <v>0.87593670481371022</v>
      </c>
      <c r="L72" s="60">
        <f t="shared" si="455"/>
        <v>0.87593670481371022</v>
      </c>
      <c r="M72" s="60">
        <f t="shared" si="455"/>
        <v>0.87593670481371022</v>
      </c>
      <c r="N72" s="60">
        <f t="shared" si="455"/>
        <v>0.87593670481371022</v>
      </c>
      <c r="O72" s="60">
        <f t="shared" si="455"/>
        <v>0.87593670481371022</v>
      </c>
      <c r="P72" s="111">
        <f t="shared" si="413"/>
        <v>1.141635</v>
      </c>
      <c r="Q72" s="111">
        <f t="shared" si="413"/>
        <v>1.141635</v>
      </c>
      <c r="R72" s="111">
        <f t="shared" si="413"/>
        <v>1.141635</v>
      </c>
      <c r="S72" s="111">
        <f t="shared" si="413"/>
        <v>1.141635</v>
      </c>
      <c r="T72" s="111">
        <f t="shared" si="413"/>
        <v>1.141635</v>
      </c>
      <c r="U72" s="111">
        <f t="shared" si="413"/>
        <v>1.141635</v>
      </c>
      <c r="V72" s="111">
        <f t="shared" si="413"/>
        <v>1.141635</v>
      </c>
      <c r="W72" s="111">
        <f t="shared" si="413"/>
        <v>1.141635</v>
      </c>
      <c r="X72" s="111">
        <f t="shared" si="59"/>
        <v>1.141635</v>
      </c>
      <c r="Y72" s="111">
        <f t="shared" si="59"/>
        <v>1.141635</v>
      </c>
      <c r="Z72" s="111">
        <f t="shared" si="59"/>
        <v>1.141635</v>
      </c>
      <c r="AA72" s="111">
        <f t="shared" si="59"/>
        <v>1.141635</v>
      </c>
      <c r="AB72" s="60">
        <f>IFERROR(AB16/$B58,".")</f>
        <v>7.2994725401142491E-2</v>
      </c>
      <c r="AC72" s="189">
        <f>IFERROR(AC16/$B58,0)</f>
        <v>9.5284394749635363E-10</v>
      </c>
      <c r="AD72" s="49">
        <f>s_dir!BC72</f>
        <v>114.1635</v>
      </c>
      <c r="AE72" s="49">
        <f>IF(E72=".",".",s_RadSpec!$F$16*AE16*$B$72)</f>
        <v>28.540875</v>
      </c>
      <c r="AF72" s="49">
        <f>IF(F72=".",".",s_RadSpec!$F$16*AF16*$B$72)</f>
        <v>28.540875</v>
      </c>
      <c r="AG72" s="49">
        <f>IF(G72=".",".",s_RadSpec!$F$16*AG16*$B$72)</f>
        <v>28.540875</v>
      </c>
      <c r="AH72" s="49">
        <f>IF(H72=".",".",s_RadSpec!$F$16*AH16*$B$72)</f>
        <v>28.540875</v>
      </c>
      <c r="AI72" s="49">
        <f>IF(I72=".",".",s_RadSpec!$F$16*AI16*$B$72)</f>
        <v>28.540875</v>
      </c>
      <c r="AJ72" s="49">
        <f>IF(J72=".",".",s_RadSpec!$F$16*AJ16*$B$72)</f>
        <v>28.540875</v>
      </c>
      <c r="AK72" s="49">
        <f>IF(K72=".",".",s_RadSpec!$F$16*AK16*$B$72)</f>
        <v>28.540875</v>
      </c>
      <c r="AL72" s="49">
        <f>IF(L72=".",".",s_RadSpec!$F$16*AL16*$B$72)</f>
        <v>28.540875</v>
      </c>
      <c r="AM72" s="49">
        <f>IF(M72=".",".",s_RadSpec!$F$16*AM16*$B$72)</f>
        <v>28.540875</v>
      </c>
      <c r="AN72" s="49">
        <f>IF(N72=".",".",s_RadSpec!$F$16*AN16*$B$72)</f>
        <v>28.540875</v>
      </c>
      <c r="AO72" s="49">
        <f>IF(O72=".",".",s_RadSpec!$F$16*AO16*$B$72)</f>
        <v>28.540875</v>
      </c>
      <c r="AP72" s="60">
        <f t="shared" ref="AP72:BD72" si="456">IFERROR(AP16/$B58,".")</f>
        <v>437.96835240685505</v>
      </c>
      <c r="AQ72" s="60">
        <f t="shared" si="456"/>
        <v>692481.68732784083</v>
      </c>
      <c r="AR72" s="60">
        <f t="shared" si="456"/>
        <v>7617189521.6855774</v>
      </c>
      <c r="AS72" s="60">
        <f t="shared" si="456"/>
        <v>9.7013700832175243</v>
      </c>
      <c r="AT72" s="60">
        <f t="shared" si="456"/>
        <v>5.2556202288822611</v>
      </c>
      <c r="AU72" s="60">
        <f t="shared" si="456"/>
        <v>5.9722957146389328</v>
      </c>
      <c r="AV72" s="60">
        <f t="shared" si="456"/>
        <v>14.047279874431842</v>
      </c>
      <c r="AW72" s="60">
        <f t="shared" si="456"/>
        <v>53.305730470870301</v>
      </c>
      <c r="AX72" s="60" t="str">
        <f t="shared" si="456"/>
        <v>.</v>
      </c>
      <c r="AY72" s="60" t="str">
        <f t="shared" si="456"/>
        <v>.</v>
      </c>
      <c r="AZ72" s="60" t="str">
        <f t="shared" si="456"/>
        <v>.</v>
      </c>
      <c r="BA72" s="60" t="str">
        <f t="shared" si="456"/>
        <v>.</v>
      </c>
      <c r="BB72" s="60">
        <f t="shared" si="456"/>
        <v>1.6880147982442262</v>
      </c>
      <c r="BC72" s="60">
        <f t="shared" si="456"/>
        <v>1.3849430862115899</v>
      </c>
      <c r="BD72" s="60">
        <f t="shared" si="456"/>
        <v>0.28937396541329591</v>
      </c>
      <c r="BE72" s="111">
        <f t="shared" si="69"/>
        <v>2.28327E-3</v>
      </c>
      <c r="BF72" s="111">
        <f t="shared" si="70"/>
        <v>1.4440815090126291E-6</v>
      </c>
      <c r="BG72" s="111">
        <f t="shared" si="71"/>
        <v>1.3128201643835613E-10</v>
      </c>
      <c r="BH72" s="111">
        <f t="shared" si="72"/>
        <v>0.10307822414999999</v>
      </c>
      <c r="BI72" s="111">
        <f t="shared" si="73"/>
        <v>0.19027249999999998</v>
      </c>
      <c r="BJ72" s="111">
        <f t="shared" si="74"/>
        <v>0.1674398</v>
      </c>
      <c r="BK72" s="111">
        <f t="shared" si="75"/>
        <v>7.1188159482758653E-2</v>
      </c>
      <c r="BL72" s="111">
        <f t="shared" si="76"/>
        <v>1.875970915634417E-2</v>
      </c>
      <c r="BM72" s="111" t="str">
        <f t="shared" si="77"/>
        <v>.</v>
      </c>
      <c r="BN72" s="111" t="str">
        <f t="shared" si="78"/>
        <v>.</v>
      </c>
      <c r="BO72" s="111" t="str">
        <f t="shared" si="79"/>
        <v>.</v>
      </c>
      <c r="BP72" s="111" t="str">
        <f t="shared" si="80"/>
        <v>.</v>
      </c>
      <c r="BQ72" s="111">
        <f t="shared" si="81"/>
        <v>0.59241186809507906</v>
      </c>
      <c r="BR72" s="111">
        <f t="shared" si="82"/>
        <v>0.72205133189655224</v>
      </c>
      <c r="BS72" s="111">
        <f t="shared" si="83"/>
        <v>3.4557358972212944</v>
      </c>
      <c r="BT72" s="60">
        <f>IFERROR(BT16/$B58,".")</f>
        <v>0.18785614457503205</v>
      </c>
      <c r="BU72" s="189">
        <f>IFERROR(BU16/$B58,0)</f>
        <v>2.4521989688246384E-9</v>
      </c>
      <c r="BV72" s="49">
        <f>IF(AP72=".",".",s_RadSpec!$E$16*BV16*$B$72)</f>
        <v>5.7081750000000001E-2</v>
      </c>
      <c r="BW72" s="49">
        <f>IF(AQ72=".",".",s_RadSpec!$H$16*BW16*$B$72)</f>
        <v>3.6102037725315724E-5</v>
      </c>
      <c r="BX72" s="49">
        <f>IF(AR72=".",".",s_RadSpec!$G$16*BX16*$B$72)</f>
        <v>3.2820504109589027E-9</v>
      </c>
      <c r="BY72" s="49">
        <f>s_b2s!CC72</f>
        <v>2.5769556037500001</v>
      </c>
      <c r="BZ72" s="49">
        <f>IF(AT72=".",".",s_RadSpec!$F$16*BZ16*$B$72)</f>
        <v>4.7568125000000006</v>
      </c>
      <c r="CA72" s="49">
        <f>IF(AU72=".",".",s_RadSpec!$F$16*CA16*$B$72)</f>
        <v>4.1859949999999992</v>
      </c>
      <c r="CB72" s="49">
        <f>IF(AV72=".",".",s_RadSpec!$F$16*CB16*$B$72)</f>
        <v>1.7797039870689666</v>
      </c>
      <c r="CC72" s="49">
        <f>IF(AW72=".",".",s_RadSpec!$F$16*CC16*$B$72)</f>
        <v>0.46899272890860433</v>
      </c>
      <c r="CD72" s="49" t="str">
        <f>IF(AX72=".",".",s_RadSpec!$F$16*CD16*$B$72)</f>
        <v>.</v>
      </c>
      <c r="CE72" s="49" t="str">
        <f>IF(AY72=".",".",s_RadSpec!$F$16*CE16*$B$72)</f>
        <v>.</v>
      </c>
      <c r="CF72" s="49" t="str">
        <f>IF(AZ72=".",".",s_RadSpec!$F$16*CF16*$B$72)</f>
        <v>.</v>
      </c>
      <c r="CG72" s="49" t="str">
        <f>IF(BA72=".",".",s_RadSpec!$F$16*CG16*$B$72)</f>
        <v>.</v>
      </c>
      <c r="CH72" s="49">
        <f>IF(BB72=".",".",s_RadSpec!$F$16*CH16*$B$72)</f>
        <v>14.810296702376975</v>
      </c>
      <c r="CI72" s="49">
        <f>IF(BC72=".",".",s_RadSpec!$F$16*CI16*$B$72)</f>
        <v>18.051283297413804</v>
      </c>
      <c r="CJ72" s="49">
        <f>IF(BD72=".",".",s_RadSpec!$F$16*CJ16*$B$72)</f>
        <v>86.39339743053236</v>
      </c>
      <c r="CK72" s="49">
        <f t="shared" si="415"/>
        <v>133.08055510537048</v>
      </c>
      <c r="CL72" s="60">
        <f>IFERROR(CL16/$B58,".")</f>
        <v>4.8176518764754066</v>
      </c>
      <c r="CM72" s="60" t="str">
        <f>IFERROR(CM16,".")</f>
        <v>.</v>
      </c>
      <c r="CN72" s="60">
        <f t="shared" ref="CN72:CZ72" si="457">IFERROR(CN16/$B58,".")</f>
        <v>15642971.01474729</v>
      </c>
      <c r="CO72" s="60">
        <f t="shared" si="457"/>
        <v>16.221626499112627</v>
      </c>
      <c r="CP72" s="60">
        <f t="shared" si="457"/>
        <v>35.03746819254841</v>
      </c>
      <c r="CQ72" s="60">
        <f t="shared" si="457"/>
        <v>39.815304764259558</v>
      </c>
      <c r="CR72" s="60">
        <f t="shared" si="457"/>
        <v>250267.62994677437</v>
      </c>
      <c r="CS72" s="60">
        <f t="shared" si="457"/>
        <v>949699.79574539093</v>
      </c>
      <c r="CT72" s="60" t="str">
        <f t="shared" si="457"/>
        <v>.</v>
      </c>
      <c r="CU72" s="60" t="str">
        <f t="shared" si="457"/>
        <v>.</v>
      </c>
      <c r="CV72" s="60" t="str">
        <f t="shared" si="457"/>
        <v>.</v>
      </c>
      <c r="CW72" s="60" t="str">
        <f t="shared" si="457"/>
        <v>.</v>
      </c>
      <c r="CX72" s="60">
        <f t="shared" si="457"/>
        <v>30073.826865270716</v>
      </c>
      <c r="CY72" s="60">
        <f t="shared" si="457"/>
        <v>24674.273375034089</v>
      </c>
      <c r="CZ72" s="60">
        <f t="shared" si="457"/>
        <v>5155.5131769035506</v>
      </c>
      <c r="DA72" s="111">
        <f t="shared" si="101"/>
        <v>0.20756999999999998</v>
      </c>
      <c r="DB72" s="111" t="str">
        <f t="shared" si="102"/>
        <v>.</v>
      </c>
      <c r="DC72" s="111">
        <f t="shared" si="103"/>
        <v>6.3926475287671237E-8</v>
      </c>
      <c r="DD72" s="111">
        <f t="shared" si="104"/>
        <v>6.1646099425030104E-2</v>
      </c>
      <c r="DE72" s="111">
        <f t="shared" si="105"/>
        <v>2.8540874999999997E-2</v>
      </c>
      <c r="DF72" s="111">
        <f t="shared" si="106"/>
        <v>2.5115969999999998E-2</v>
      </c>
      <c r="DG72" s="111">
        <f t="shared" si="107"/>
        <v>3.9957224999999996E-6</v>
      </c>
      <c r="DH72" s="111">
        <f t="shared" si="108"/>
        <v>1.0529643203883497E-6</v>
      </c>
      <c r="DI72" s="111" t="str">
        <f t="shared" si="109"/>
        <v>.</v>
      </c>
      <c r="DJ72" s="111" t="str">
        <f t="shared" si="110"/>
        <v>.</v>
      </c>
      <c r="DK72" s="111" t="str">
        <f t="shared" si="111"/>
        <v>.</v>
      </c>
      <c r="DL72" s="111" t="str">
        <f t="shared" si="112"/>
        <v>.</v>
      </c>
      <c r="DM72" s="111">
        <f t="shared" si="113"/>
        <v>3.3251504854368933E-5</v>
      </c>
      <c r="DN72" s="111">
        <f t="shared" si="114"/>
        <v>4.0528042500000002E-5</v>
      </c>
      <c r="DO72" s="111">
        <f t="shared" si="115"/>
        <v>1.9396711165048546E-4</v>
      </c>
      <c r="DP72" s="60">
        <f>IFERROR(DP16/$B58,".")</f>
        <v>3.0945783251966166</v>
      </c>
      <c r="DQ72" s="189">
        <f t="shared" ref="DQ72" si="458">IFERROR(DQ16/$B58,0)</f>
        <v>4.0395387625786552E-11</v>
      </c>
      <c r="DR72" s="49">
        <f>IF(CL72=".",".",s_RadSpec!$I$16*DR16*$B$72)</f>
        <v>5.1892500000000004</v>
      </c>
      <c r="DS72" s="49" t="str">
        <f>IF(CM72=".",".",s_RadSpec!$H$16*DS16)</f>
        <v>.</v>
      </c>
      <c r="DT72" s="49">
        <f>IF(CN72=".",".",s_RadSpec!$M$16*DT16*$B$72)</f>
        <v>1.5981618821917808E-6</v>
      </c>
      <c r="DU72" s="49">
        <f>s_b2w!CC72</f>
        <v>1.5411524856257524</v>
      </c>
      <c r="DV72" s="49">
        <f>IF(CP72=".",".",s_RadSpec!$F$16*DV16*$B$72)</f>
        <v>0.71352187499999997</v>
      </c>
      <c r="DW72" s="49">
        <f>IF(CQ72=".",".",s_RadSpec!$F$16*DW16*$B$72)</f>
        <v>0.62789925000000002</v>
      </c>
      <c r="DX72" s="49">
        <f>IF(CR72=".",".",s_RadSpec!$F$16*DX16*$B$72)</f>
        <v>9.9893062499999995E-5</v>
      </c>
      <c r="DY72" s="49">
        <f>IF(CS72=".",".",s_RadSpec!$F$16*DY16*$B$72)</f>
        <v>2.6324108009708739E-5</v>
      </c>
      <c r="DZ72" s="49" t="str">
        <f>IF(CT72=".",".",s_RadSpec!$F$16*DZ16*$B$72)</f>
        <v>.</v>
      </c>
      <c r="EA72" s="49" t="str">
        <f>IF(CU72=".",".",s_RadSpec!$F$16*EA16*$B$72)</f>
        <v>.</v>
      </c>
      <c r="EB72" s="49" t="str">
        <f>IF(CV72=".",".",s_RadSpec!$F$16*EB16*$B$72)</f>
        <v>.</v>
      </c>
      <c r="EC72" s="49" t="str">
        <f>IF(CW72=".",".",s_RadSpec!$F$16*EC16*$B$72)</f>
        <v>.</v>
      </c>
      <c r="ED72" s="49">
        <f>IF(CX72=".",".",s_RadSpec!$F$16*ED16*$B$72)</f>
        <v>8.312876213592233E-4</v>
      </c>
      <c r="EE72" s="49">
        <f>IF(CY72=".",".",s_RadSpec!$F$16*EE16*$B$72)</f>
        <v>1.0132010625E-3</v>
      </c>
      <c r="EF72" s="49">
        <f>IF(CZ72=".",".",s_RadSpec!$F$16*EF16*$B$72)</f>
        <v>4.8491777912621362E-3</v>
      </c>
      <c r="EG72" s="49">
        <f t="shared" si="418"/>
        <v>8.0786450924332662</v>
      </c>
      <c r="EH72" s="60">
        <f>IFERROR(EH16/$B58,".")</f>
        <v>2.2352261158231306</v>
      </c>
      <c r="EI72" s="60">
        <f>IFERROR(EI16/$B58,".")</f>
        <v>57922168.683055773</v>
      </c>
      <c r="EJ72" s="60">
        <f>IFERROR(EJ16/$B58,".")</f>
        <v>2.2352260295653865</v>
      </c>
      <c r="EK72" s="189">
        <f t="shared" ref="EK72" si="459">IFERROR(EK16/$B58,0)</f>
        <v>2.9177746499534728E-11</v>
      </c>
      <c r="EL72" s="49">
        <f>IF(EH72=".",".",s_RadSpec!$H$16*EL16*$B$72)</f>
        <v>11.18455078125</v>
      </c>
      <c r="EM72" s="49">
        <f>IF(EI72=".",".",s_RadSpec!$K$16*EM16*$B$72)</f>
        <v>4.3161367345890415E-7</v>
      </c>
      <c r="EN72" s="49">
        <f t="shared" si="155"/>
        <v>11.184551212863672</v>
      </c>
    </row>
    <row r="73" spans="1:144" x14ac:dyDescent="0.25">
      <c r="A73" s="77" t="s">
        <v>1080</v>
      </c>
      <c r="B73" s="42">
        <v>1</v>
      </c>
      <c r="C73" s="170"/>
      <c r="D73" s="60">
        <f t="shared" ref="D73:O73" si="460">IFERROR(D7/$B59,".")</f>
        <v>124.09103318194229</v>
      </c>
      <c r="E73" s="60">
        <f t="shared" si="460"/>
        <v>496.36413272776917</v>
      </c>
      <c r="F73" s="60">
        <f t="shared" si="460"/>
        <v>496.36413272776917</v>
      </c>
      <c r="G73" s="60">
        <f t="shared" si="460"/>
        <v>496.36413272776917</v>
      </c>
      <c r="H73" s="60">
        <f t="shared" si="460"/>
        <v>496.36413272776917</v>
      </c>
      <c r="I73" s="60">
        <f t="shared" si="460"/>
        <v>496.36413272776917</v>
      </c>
      <c r="J73" s="60">
        <f t="shared" si="460"/>
        <v>496.36413272776917</v>
      </c>
      <c r="K73" s="60">
        <f t="shared" si="460"/>
        <v>496.36413272776917</v>
      </c>
      <c r="L73" s="60">
        <f t="shared" si="460"/>
        <v>496.36413272776917</v>
      </c>
      <c r="M73" s="60">
        <f t="shared" si="460"/>
        <v>496.36413272776917</v>
      </c>
      <c r="N73" s="60">
        <f t="shared" si="460"/>
        <v>496.36413272776917</v>
      </c>
      <c r="O73" s="60">
        <f t="shared" si="460"/>
        <v>496.36413272776917</v>
      </c>
      <c r="P73" s="111">
        <f t="shared" si="413"/>
        <v>2.0146499999999998E-3</v>
      </c>
      <c r="Q73" s="111">
        <f t="shared" si="413"/>
        <v>2.0146499999999998E-3</v>
      </c>
      <c r="R73" s="111">
        <f t="shared" si="413"/>
        <v>2.0146499999999998E-3</v>
      </c>
      <c r="S73" s="111">
        <f t="shared" si="413"/>
        <v>2.0146499999999998E-3</v>
      </c>
      <c r="T73" s="111">
        <f t="shared" si="413"/>
        <v>2.0146499999999998E-3</v>
      </c>
      <c r="U73" s="111">
        <f t="shared" si="413"/>
        <v>2.0146499999999998E-3</v>
      </c>
      <c r="V73" s="111">
        <f t="shared" si="413"/>
        <v>2.0146499999999998E-3</v>
      </c>
      <c r="W73" s="111">
        <f t="shared" si="413"/>
        <v>2.0146499999999998E-3</v>
      </c>
      <c r="X73" s="111">
        <f t="shared" si="59"/>
        <v>2.0146499999999998E-3</v>
      </c>
      <c r="Y73" s="111">
        <f t="shared" si="59"/>
        <v>2.0146499999999998E-3</v>
      </c>
      <c r="Z73" s="111">
        <f t="shared" si="59"/>
        <v>2.0146499999999998E-3</v>
      </c>
      <c r="AA73" s="111">
        <f t="shared" si="59"/>
        <v>2.0146499999999998E-3</v>
      </c>
      <c r="AB73" s="60">
        <f>IFERROR(AB7/$B59,".")</f>
        <v>41.363677727314098</v>
      </c>
      <c r="AC73" s="189">
        <f>IFERROR(AC7/$B59,0)</f>
        <v>3.3404218211192151E-10</v>
      </c>
      <c r="AD73" s="49">
        <f>s_dir!BC73</f>
        <v>0.20146500000000001</v>
      </c>
      <c r="AE73" s="49">
        <f>IF(E73=".",".",s_RadSpec!$F$7*AE7*$B$73)</f>
        <v>5.0366250000000001E-2</v>
      </c>
      <c r="AF73" s="49">
        <f>IF(F73=".",".",s_RadSpec!$F$7*AF7*$B$73)</f>
        <v>5.0366250000000001E-2</v>
      </c>
      <c r="AG73" s="49">
        <f>IF(G73=".",".",s_RadSpec!$F$7*AG7*$B$73)</f>
        <v>5.0366250000000001E-2</v>
      </c>
      <c r="AH73" s="49">
        <f>IF(H73=".",".",s_RadSpec!$F$7*AH7*$B$73)</f>
        <v>5.0366250000000001E-2</v>
      </c>
      <c r="AI73" s="49">
        <f>IF(I73=".",".",s_RadSpec!$F$7*AI7*$B$73)</f>
        <v>5.0366250000000001E-2</v>
      </c>
      <c r="AJ73" s="49">
        <f>IF(J73=".",".",s_RadSpec!$F$7*AJ7*$B$73)</f>
        <v>5.0366250000000001E-2</v>
      </c>
      <c r="AK73" s="49">
        <f>IF(K73=".",".",s_RadSpec!$F$7*AK7*$B$73)</f>
        <v>5.0366250000000001E-2</v>
      </c>
      <c r="AL73" s="49">
        <f>IF(L73=".",".",s_RadSpec!$F$7*AL7*$B$73)</f>
        <v>5.0366250000000001E-2</v>
      </c>
      <c r="AM73" s="49">
        <f>IF(M73=".",".",s_RadSpec!$F$7*AM7*$B$73)</f>
        <v>5.0366250000000001E-2</v>
      </c>
      <c r="AN73" s="49">
        <f>IF(N73=".",".",s_RadSpec!$F$7*AN7*$B$73)</f>
        <v>5.0366250000000001E-2</v>
      </c>
      <c r="AO73" s="49">
        <f>IF(O73=".",".",s_RadSpec!$F$7*AO7*$B$73)</f>
        <v>5.0366250000000001E-2</v>
      </c>
      <c r="AP73" s="60">
        <f t="shared" ref="AP73:BD73" si="461">IFERROR(AP7/$B59,".")</f>
        <v>248182.06636388457</v>
      </c>
      <c r="AQ73" s="60">
        <f t="shared" si="461"/>
        <v>28600442.291690964</v>
      </c>
      <c r="AR73" s="60">
        <f t="shared" si="461"/>
        <v>349592.5839418773</v>
      </c>
      <c r="AS73" s="60">
        <f t="shared" si="461"/>
        <v>1093.3130676823109</v>
      </c>
      <c r="AT73" s="60">
        <f t="shared" si="461"/>
        <v>15883.652247288614</v>
      </c>
      <c r="AU73" s="60" t="str">
        <f t="shared" si="461"/>
        <v>.</v>
      </c>
      <c r="AV73" s="60">
        <f t="shared" si="461"/>
        <v>1654.5471090925639</v>
      </c>
      <c r="AW73" s="60">
        <f t="shared" si="461"/>
        <v>3408.3670447306822</v>
      </c>
      <c r="AX73" s="60" t="str">
        <f t="shared" si="461"/>
        <v>.</v>
      </c>
      <c r="AY73" s="60" t="str">
        <f t="shared" si="461"/>
        <v>.</v>
      </c>
      <c r="AZ73" s="60" t="str">
        <f t="shared" si="461"/>
        <v>.</v>
      </c>
      <c r="BA73" s="60" t="str">
        <f t="shared" si="461"/>
        <v>.</v>
      </c>
      <c r="BB73" s="60" t="str">
        <f t="shared" si="461"/>
        <v>.</v>
      </c>
      <c r="BC73" s="60" t="str">
        <f t="shared" si="461"/>
        <v>.</v>
      </c>
      <c r="BD73" s="60" t="str">
        <f t="shared" si="461"/>
        <v>.</v>
      </c>
      <c r="BE73" s="111">
        <f t="shared" si="69"/>
        <v>4.0292999999999997E-6</v>
      </c>
      <c r="BF73" s="111">
        <f t="shared" si="70"/>
        <v>3.4964494248066966E-8</v>
      </c>
      <c r="BG73" s="111">
        <f t="shared" si="71"/>
        <v>2.8604725784636737E-6</v>
      </c>
      <c r="BH73" s="111">
        <f t="shared" si="72"/>
        <v>9.1465109999999987E-4</v>
      </c>
      <c r="BI73" s="111">
        <f t="shared" si="73"/>
        <v>6.2957812499999993E-5</v>
      </c>
      <c r="BJ73" s="111" t="str">
        <f t="shared" si="74"/>
        <v>.</v>
      </c>
      <c r="BK73" s="111">
        <f t="shared" si="75"/>
        <v>6.0439499999999987E-4</v>
      </c>
      <c r="BL73" s="111">
        <f t="shared" si="76"/>
        <v>2.9339563106796108E-4</v>
      </c>
      <c r="BM73" s="111" t="str">
        <f t="shared" si="77"/>
        <v>.</v>
      </c>
      <c r="BN73" s="111" t="str">
        <f t="shared" si="78"/>
        <v>.</v>
      </c>
      <c r="BO73" s="111" t="str">
        <f t="shared" si="79"/>
        <v>.</v>
      </c>
      <c r="BP73" s="111" t="str">
        <f t="shared" si="80"/>
        <v>.</v>
      </c>
      <c r="BQ73" s="111" t="str">
        <f t="shared" si="81"/>
        <v>.</v>
      </c>
      <c r="BR73" s="111" t="str">
        <f t="shared" si="82"/>
        <v>.</v>
      </c>
      <c r="BS73" s="111" t="str">
        <f t="shared" si="83"/>
        <v>.</v>
      </c>
      <c r="BT73" s="60">
        <f>IFERROR(BT7/$B59,".")</f>
        <v>531.25808888765835</v>
      </c>
      <c r="BU73" s="189">
        <f>IFERROR(BU7/$B59,0)</f>
        <v>4.2903005977018538E-9</v>
      </c>
      <c r="BV73" s="49">
        <f>IF(AP73=".",".",s_RadSpec!$E$7*BV7*$B$73)</f>
        <v>1.0073249999999999E-4</v>
      </c>
      <c r="BW73" s="49">
        <f>IF(AQ73=".",".",s_RadSpec!$H$7*BW7*$B$73)</f>
        <v>8.7411235620167426E-7</v>
      </c>
      <c r="BX73" s="49">
        <f>IF(AR73=".",".",s_RadSpec!$G$7*BX7*$B$73)</f>
        <v>7.1511814461591838E-5</v>
      </c>
      <c r="BY73" s="49">
        <f>s_b2s!CC73</f>
        <v>2.2866277500000001E-2</v>
      </c>
      <c r="BZ73" s="49">
        <f>IF(AT73=".",".",s_RadSpec!$F$7*BZ7*$B$73)</f>
        <v>1.5739453125E-3</v>
      </c>
      <c r="CA73" s="49" t="str">
        <f>IF(AU73=".",".",s_RadSpec!$F$7*CA7*$B$73)</f>
        <v>.</v>
      </c>
      <c r="CB73" s="49">
        <f>IF(AV73=".",".",s_RadSpec!$F$7*CB7*$B$73)</f>
        <v>1.5109875E-2</v>
      </c>
      <c r="CC73" s="49">
        <f>IF(AW73=".",".",s_RadSpec!$F$7*CC7*$B$73)</f>
        <v>7.3348907766990299E-3</v>
      </c>
      <c r="CD73" s="49" t="str">
        <f>IF(AX73=".",".",s_RadSpec!$F$7*CD7*$B$73)</f>
        <v>.</v>
      </c>
      <c r="CE73" s="49" t="str">
        <f>IF(AY73=".",".",s_RadSpec!$F$7*CE7*$B$73)</f>
        <v>.</v>
      </c>
      <c r="CF73" s="49" t="str">
        <f>IF(AZ73=".",".",s_RadSpec!$F$7*CF7*$B$73)</f>
        <v>.</v>
      </c>
      <c r="CG73" s="49" t="str">
        <f>IF(BA73=".",".",s_RadSpec!$F$7*CG7*$B$73)</f>
        <v>.</v>
      </c>
      <c r="CH73" s="49" t="str">
        <f>IF(BB73=".",".",s_RadSpec!$F$7*CH7*$B$73)</f>
        <v>.</v>
      </c>
      <c r="CI73" s="49" t="str">
        <f>IF(BC73=".",".",s_RadSpec!$F$7*CI7*$B$73)</f>
        <v>.</v>
      </c>
      <c r="CJ73" s="49" t="str">
        <f>IF(BD73=".",".",s_RadSpec!$F$7*CJ7*$B$73)</f>
        <v>.</v>
      </c>
      <c r="CK73" s="49">
        <f t="shared" si="415"/>
        <v>4.7058107016016822E-2</v>
      </c>
      <c r="CL73" s="60">
        <f>IFERROR(CL7/$B59,".")</f>
        <v>2730.00273000273</v>
      </c>
      <c r="CM73" s="60" t="str">
        <f>IFERROR(CM7,".")</f>
        <v>.</v>
      </c>
      <c r="CN73" s="60">
        <f t="shared" ref="CN73:CZ73" si="462">IFERROR(CN7/$B59,".")</f>
        <v>5721757.8543874314</v>
      </c>
      <c r="CO73" s="60">
        <f t="shared" si="462"/>
        <v>3931.0515157028094</v>
      </c>
      <c r="CP73" s="60">
        <f t="shared" si="462"/>
        <v>33090.942181851278</v>
      </c>
      <c r="CQ73" s="60" t="str">
        <f t="shared" si="462"/>
        <v>.</v>
      </c>
      <c r="CR73" s="60">
        <f t="shared" si="462"/>
        <v>49636413.272776917</v>
      </c>
      <c r="CS73" s="60">
        <f t="shared" si="462"/>
        <v>102251011.34192045</v>
      </c>
      <c r="CT73" s="60" t="str">
        <f t="shared" si="462"/>
        <v>.</v>
      </c>
      <c r="CU73" s="60" t="str">
        <f t="shared" si="462"/>
        <v>.</v>
      </c>
      <c r="CV73" s="60" t="str">
        <f t="shared" si="462"/>
        <v>.</v>
      </c>
      <c r="CW73" s="60" t="str">
        <f t="shared" si="462"/>
        <v>.</v>
      </c>
      <c r="CX73" s="60" t="str">
        <f t="shared" si="462"/>
        <v>.</v>
      </c>
      <c r="CY73" s="60" t="str">
        <f t="shared" si="462"/>
        <v>.</v>
      </c>
      <c r="CZ73" s="60" t="str">
        <f t="shared" si="462"/>
        <v>.</v>
      </c>
      <c r="DA73" s="111">
        <f t="shared" si="101"/>
        <v>3.6630000000000001E-4</v>
      </c>
      <c r="DB73" s="111" t="str">
        <f t="shared" si="102"/>
        <v>.</v>
      </c>
      <c r="DC73" s="111">
        <f t="shared" si="103"/>
        <v>1.747714645479452E-7</v>
      </c>
      <c r="DD73" s="111">
        <f t="shared" si="104"/>
        <v>2.543848626774396E-4</v>
      </c>
      <c r="DE73" s="111">
        <f t="shared" si="105"/>
        <v>3.0219749999999995E-5</v>
      </c>
      <c r="DF73" s="111" t="str">
        <f t="shared" si="106"/>
        <v>.</v>
      </c>
      <c r="DG73" s="111">
        <f t="shared" si="107"/>
        <v>2.0146499999999998E-8</v>
      </c>
      <c r="DH73" s="111">
        <f t="shared" si="108"/>
        <v>9.779854368932038E-9</v>
      </c>
      <c r="DI73" s="111" t="str">
        <f t="shared" si="109"/>
        <v>.</v>
      </c>
      <c r="DJ73" s="111" t="str">
        <f t="shared" si="110"/>
        <v>.</v>
      </c>
      <c r="DK73" s="111" t="str">
        <f t="shared" si="111"/>
        <v>.</v>
      </c>
      <c r="DL73" s="111" t="str">
        <f t="shared" si="112"/>
        <v>.</v>
      </c>
      <c r="DM73" s="111" t="str">
        <f t="shared" si="113"/>
        <v>.</v>
      </c>
      <c r="DN73" s="111" t="str">
        <f t="shared" si="114"/>
        <v>.</v>
      </c>
      <c r="DO73" s="111" t="str">
        <f t="shared" si="115"/>
        <v>.</v>
      </c>
      <c r="DP73" s="60">
        <f>IFERROR(DP7/$B59,".")</f>
        <v>1535.8404247632027</v>
      </c>
      <c r="DQ73" s="189">
        <f t="shared" ref="DQ73" si="463">IFERROR(DQ7/$B59,0)</f>
        <v>1.2403043323317032E-11</v>
      </c>
      <c r="DR73" s="49">
        <f>IF(CL73=".",".",s_RadSpec!$I$7*DR7*$B$73)</f>
        <v>9.157499999999999E-3</v>
      </c>
      <c r="DS73" s="49" t="str">
        <f>IF(CM73=".",".",s_RadSpec!$H$7*DS7)</f>
        <v>.</v>
      </c>
      <c r="DT73" s="49">
        <f>IF(CN73=".",".",s_RadSpec!$M$7*DT7*$B$73)</f>
        <v>4.3692866136986297E-6</v>
      </c>
      <c r="DU73" s="49">
        <f>s_b2w!CC73</f>
        <v>6.3596215669359905E-3</v>
      </c>
      <c r="DV73" s="49">
        <f>IF(CP73=".",".",s_RadSpec!$F$7*DV7*$B$73)</f>
        <v>7.5549375000000002E-4</v>
      </c>
      <c r="DW73" s="49" t="str">
        <f>IF(CQ73=".",".",s_RadSpec!$F$7*DW7*$B$73)</f>
        <v>.</v>
      </c>
      <c r="DX73" s="49">
        <f>IF(CR73=".",".",s_RadSpec!$F$7*DX7*$B$73)</f>
        <v>5.0366249999999996E-7</v>
      </c>
      <c r="DY73" s="49">
        <f>IF(CS73=".",".",s_RadSpec!$F$7*DY7*$B$73)</f>
        <v>2.4449635922330099E-7</v>
      </c>
      <c r="DZ73" s="49" t="str">
        <f>IF(CT73=".",".",s_RadSpec!$F$7*DZ7*$B$73)</f>
        <v>.</v>
      </c>
      <c r="EA73" s="49" t="str">
        <f>IF(CU73=".",".",s_RadSpec!$F$7*EA7*$B$73)</f>
        <v>.</v>
      </c>
      <c r="EB73" s="49" t="str">
        <f>IF(CV73=".",".",s_RadSpec!$F$7*EB7*$B$73)</f>
        <v>.</v>
      </c>
      <c r="EC73" s="49" t="str">
        <f>IF(CW73=".",".",s_RadSpec!$F$7*EC7*$B$73)</f>
        <v>.</v>
      </c>
      <c r="ED73" s="49" t="str">
        <f>IF(CX73=".",".",s_RadSpec!$F$7*ED7*$B$73)</f>
        <v>.</v>
      </c>
      <c r="EE73" s="49" t="str">
        <f>IF(CY73=".",".",s_RadSpec!$F$7*EE7*$B$73)</f>
        <v>.</v>
      </c>
      <c r="EF73" s="49" t="str">
        <f>IF(CZ73=".",".",s_RadSpec!$F$7*EF7*$B$73)</f>
        <v>.</v>
      </c>
      <c r="EG73" s="49">
        <f t="shared" si="418"/>
        <v>1.6277732762408913E-2</v>
      </c>
      <c r="EH73" s="60">
        <f>IFERROR(EH7/$B59,".")</f>
        <v>92.317900537078629</v>
      </c>
      <c r="EI73" s="60">
        <f>IFERROR(EI7/$B59,".")</f>
        <v>10574163.352604371</v>
      </c>
      <c r="EJ73" s="60">
        <f>IFERROR(EJ7/$B59,".")</f>
        <v>92.3170945612232</v>
      </c>
      <c r="EK73" s="189">
        <f t="shared" ref="EK73" si="464">IFERROR(EK7/$B59,0)</f>
        <v>7.4552857501595305E-13</v>
      </c>
      <c r="EL73" s="49">
        <f>IF(EH73=".",".",s_RadSpec!$H$7*EL7*$B$73)</f>
        <v>0.27080338541666665</v>
      </c>
      <c r="EM73" s="49">
        <f>IF(EI73=".",".",s_RadSpec!$K$7*EM7*$B$73)</f>
        <v>2.3642532431506849E-6</v>
      </c>
      <c r="EN73" s="49">
        <f t="shared" si="155"/>
        <v>0.27080574966990978</v>
      </c>
    </row>
    <row r="74" spans="1:144" x14ac:dyDescent="0.25">
      <c r="A74" s="77" t="s">
        <v>1081</v>
      </c>
      <c r="B74" s="80">
        <v>1.9000000000000001E-8</v>
      </c>
      <c r="C74" s="174"/>
      <c r="D74" s="60" t="str">
        <f t="shared" ref="D74:O74" si="465">IFERROR(D12/$B60,".")</f>
        <v>.</v>
      </c>
      <c r="E74" s="60" t="str">
        <f t="shared" si="465"/>
        <v>.</v>
      </c>
      <c r="F74" s="60" t="str">
        <f t="shared" si="465"/>
        <v>.</v>
      </c>
      <c r="G74" s="60" t="str">
        <f t="shared" si="465"/>
        <v>.</v>
      </c>
      <c r="H74" s="60" t="str">
        <f t="shared" si="465"/>
        <v>.</v>
      </c>
      <c r="I74" s="60" t="str">
        <f t="shared" si="465"/>
        <v>.</v>
      </c>
      <c r="J74" s="60" t="str">
        <f t="shared" si="465"/>
        <v>.</v>
      </c>
      <c r="K74" s="60" t="str">
        <f t="shared" si="465"/>
        <v>.</v>
      </c>
      <c r="L74" s="60" t="str">
        <f t="shared" si="465"/>
        <v>.</v>
      </c>
      <c r="M74" s="60" t="str">
        <f t="shared" si="465"/>
        <v>.</v>
      </c>
      <c r="N74" s="60" t="str">
        <f t="shared" si="465"/>
        <v>.</v>
      </c>
      <c r="O74" s="60" t="str">
        <f t="shared" si="465"/>
        <v>.</v>
      </c>
      <c r="P74" s="111" t="str">
        <f t="shared" si="413"/>
        <v>.</v>
      </c>
      <c r="Q74" s="111" t="str">
        <f t="shared" si="413"/>
        <v>.</v>
      </c>
      <c r="R74" s="111" t="str">
        <f t="shared" si="413"/>
        <v>.</v>
      </c>
      <c r="S74" s="111" t="str">
        <f t="shared" si="413"/>
        <v>.</v>
      </c>
      <c r="T74" s="111" t="str">
        <f t="shared" si="413"/>
        <v>.</v>
      </c>
      <c r="U74" s="111" t="str">
        <f t="shared" si="413"/>
        <v>.</v>
      </c>
      <c r="V74" s="111" t="str">
        <f t="shared" si="413"/>
        <v>.</v>
      </c>
      <c r="W74" s="111" t="str">
        <f t="shared" si="413"/>
        <v>.</v>
      </c>
      <c r="X74" s="111" t="str">
        <f t="shared" si="59"/>
        <v>.</v>
      </c>
      <c r="Y74" s="111" t="str">
        <f t="shared" si="59"/>
        <v>.</v>
      </c>
      <c r="Z74" s="111" t="str">
        <f t="shared" si="59"/>
        <v>.</v>
      </c>
      <c r="AA74" s="111" t="str">
        <f t="shared" si="59"/>
        <v>.</v>
      </c>
      <c r="AB74" s="60" t="str">
        <f>IFERROR(AB12/$B60,".")</f>
        <v>.</v>
      </c>
      <c r="AC74" s="189">
        <f>IFERROR(AC12/$B60,0)</f>
        <v>0</v>
      </c>
      <c r="AD74" s="49" t="str">
        <f>s_dir!BC74</f>
        <v>.</v>
      </c>
      <c r="AE74" s="49" t="str">
        <f>IF(E74=".",".",s_RadSpec!$F$12*AE12*$B$74)</f>
        <v>.</v>
      </c>
      <c r="AF74" s="49" t="str">
        <f>IF(F74=".",".",s_RadSpec!$F$12*AF12*$B$74)</f>
        <v>.</v>
      </c>
      <c r="AG74" s="49" t="str">
        <f>IF(G74=".",".",s_RadSpec!$F$12*AG12*$B$74)</f>
        <v>.</v>
      </c>
      <c r="AH74" s="49" t="str">
        <f>IF(H74=".",".",s_RadSpec!$F$12*AH12*$B$74)</f>
        <v>.</v>
      </c>
      <c r="AI74" s="49" t="str">
        <f>IF(I74=".",".",s_RadSpec!$F$12*AI12*$B$74)</f>
        <v>.</v>
      </c>
      <c r="AJ74" s="49" t="str">
        <f>IF(J74=".",".",s_RadSpec!$F$12*AJ12*$B$74)</f>
        <v>.</v>
      </c>
      <c r="AK74" s="49" t="str">
        <f>IF(K74=".",".",s_RadSpec!$F$12*AK12*$B$74)</f>
        <v>.</v>
      </c>
      <c r="AL74" s="49" t="str">
        <f>IF(L74=".",".",s_RadSpec!$F$12*AL12*$B$74)</f>
        <v>.</v>
      </c>
      <c r="AM74" s="49" t="str">
        <f>IF(M74=".",".",s_RadSpec!$F$12*AM12*$B$74)</f>
        <v>.</v>
      </c>
      <c r="AN74" s="49" t="str">
        <f>IF(N74=".",".",s_RadSpec!$F$12*AN12*$B$74)</f>
        <v>.</v>
      </c>
      <c r="AO74" s="49" t="str">
        <f>IF(O74=".",".",s_RadSpec!$F$12*AO12*$B$74)</f>
        <v>.</v>
      </c>
      <c r="AP74" s="60" t="str">
        <f t="shared" ref="AP74:BD74" si="466">IFERROR(AP12/$B60,".")</f>
        <v>.</v>
      </c>
      <c r="AQ74" s="60" t="str">
        <f t="shared" si="466"/>
        <v>.</v>
      </c>
      <c r="AR74" s="60">
        <f t="shared" si="466"/>
        <v>127565923619.91016</v>
      </c>
      <c r="AS74" s="60" t="str">
        <f t="shared" si="466"/>
        <v>.</v>
      </c>
      <c r="AT74" s="60" t="str">
        <f t="shared" si="466"/>
        <v>.</v>
      </c>
      <c r="AU74" s="60" t="str">
        <f t="shared" si="466"/>
        <v>.</v>
      </c>
      <c r="AV74" s="60" t="str">
        <f t="shared" si="466"/>
        <v>.</v>
      </c>
      <c r="AW74" s="60" t="str">
        <f t="shared" si="466"/>
        <v>.</v>
      </c>
      <c r="AX74" s="60" t="str">
        <f t="shared" si="466"/>
        <v>.</v>
      </c>
      <c r="AY74" s="60" t="str">
        <f t="shared" si="466"/>
        <v>.</v>
      </c>
      <c r="AZ74" s="60" t="str">
        <f t="shared" si="466"/>
        <v>.</v>
      </c>
      <c r="BA74" s="60" t="str">
        <f t="shared" si="466"/>
        <v>.</v>
      </c>
      <c r="BB74" s="60" t="str">
        <f t="shared" si="466"/>
        <v>.</v>
      </c>
      <c r="BC74" s="60" t="str">
        <f t="shared" si="466"/>
        <v>.</v>
      </c>
      <c r="BD74" s="60" t="str">
        <f t="shared" si="466"/>
        <v>.</v>
      </c>
      <c r="BE74" s="111" t="str">
        <f t="shared" si="69"/>
        <v>.</v>
      </c>
      <c r="BF74" s="111" t="str">
        <f t="shared" si="70"/>
        <v>.</v>
      </c>
      <c r="BG74" s="111">
        <f t="shared" si="71"/>
        <v>7.8390840721661399E-12</v>
      </c>
      <c r="BH74" s="111" t="str">
        <f t="shared" si="72"/>
        <v>.</v>
      </c>
      <c r="BI74" s="111" t="str">
        <f t="shared" si="73"/>
        <v>.</v>
      </c>
      <c r="BJ74" s="111" t="str">
        <f t="shared" si="74"/>
        <v>.</v>
      </c>
      <c r="BK74" s="111" t="str">
        <f t="shared" si="75"/>
        <v>.</v>
      </c>
      <c r="BL74" s="111" t="str">
        <f t="shared" si="76"/>
        <v>.</v>
      </c>
      <c r="BM74" s="111" t="str">
        <f t="shared" si="77"/>
        <v>.</v>
      </c>
      <c r="BN74" s="111" t="str">
        <f t="shared" si="78"/>
        <v>.</v>
      </c>
      <c r="BO74" s="111" t="str">
        <f t="shared" si="79"/>
        <v>.</v>
      </c>
      <c r="BP74" s="111" t="str">
        <f t="shared" si="80"/>
        <v>.</v>
      </c>
      <c r="BQ74" s="111" t="str">
        <f t="shared" si="81"/>
        <v>.</v>
      </c>
      <c r="BR74" s="111" t="str">
        <f t="shared" si="82"/>
        <v>.</v>
      </c>
      <c r="BS74" s="111" t="str">
        <f t="shared" si="83"/>
        <v>.</v>
      </c>
      <c r="BT74" s="60">
        <f>IFERROR(BT12/$B60,".")</f>
        <v>127565923619.91016</v>
      </c>
      <c r="BU74" s="189">
        <f>IFERROR(BU12/$B60,0)</f>
        <v>1.1409383593289741E-3</v>
      </c>
      <c r="BV74" s="49" t="str">
        <f>IF(AP74=".",".",s_RadSpec!$E$12*BV12*$B$74)</f>
        <v>.</v>
      </c>
      <c r="BW74" s="49" t="str">
        <f>IF(AQ74=".",".",s_RadSpec!$H$12*BW12*$B$74)</f>
        <v>.</v>
      </c>
      <c r="BX74" s="49">
        <f>IF(AR74=".",".",s_RadSpec!$G$12*BX12*$B$74)</f>
        <v>1.9597710180415351E-10</v>
      </c>
      <c r="BY74" s="49" t="str">
        <f>s_b2s!CC74</f>
        <v>.</v>
      </c>
      <c r="BZ74" s="49" t="str">
        <f>IF(AT74=".",".",s_RadSpec!$F$12*BZ12*$B$74)</f>
        <v>.</v>
      </c>
      <c r="CA74" s="49" t="str">
        <f>IF(AU74=".",".",s_RadSpec!$F$12*CA12*$B$74)</f>
        <v>.</v>
      </c>
      <c r="CB74" s="49" t="str">
        <f>IF(AV74=".",".",s_RadSpec!$F$12*CB12*$B$74)</f>
        <v>.</v>
      </c>
      <c r="CC74" s="49" t="str">
        <f>IF(AW74=".",".",s_RadSpec!$F$12*CC12*$B$74)</f>
        <v>.</v>
      </c>
      <c r="CD74" s="49" t="str">
        <f>IF(AX74=".",".",s_RadSpec!$F$12*CD12*$B$74)</f>
        <v>.</v>
      </c>
      <c r="CE74" s="49" t="str">
        <f>IF(AY74=".",".",s_RadSpec!$F$12*CE12*$B$74)</f>
        <v>.</v>
      </c>
      <c r="CF74" s="49" t="str">
        <f>IF(AZ74=".",".",s_RadSpec!$F$12*CF12*$B$74)</f>
        <v>.</v>
      </c>
      <c r="CG74" s="49" t="str">
        <f>IF(BA74=".",".",s_RadSpec!$F$12*CG12*$B$74)</f>
        <v>.</v>
      </c>
      <c r="CH74" s="49" t="str">
        <f>IF(BB74=".",".",s_RadSpec!$F$12*CH12*$B$74)</f>
        <v>.</v>
      </c>
      <c r="CI74" s="49" t="str">
        <f>IF(BC74=".",".",s_RadSpec!$F$12*CI12*$B$74)</f>
        <v>.</v>
      </c>
      <c r="CJ74" s="49" t="str">
        <f>IF(BD74=".",".",s_RadSpec!$F$12*CJ12*$B$74)</f>
        <v>.</v>
      </c>
      <c r="CK74" s="49">
        <f t="shared" si="415"/>
        <v>1.9597710180415351E-10</v>
      </c>
      <c r="CL74" s="60" t="str">
        <f>IFERROR(CL12/$B60,".")</f>
        <v>.</v>
      </c>
      <c r="CM74" s="60" t="str">
        <f>IFERROR(CM12,".")</f>
        <v>.</v>
      </c>
      <c r="CN74" s="60">
        <f t="shared" ref="CN74:CZ74" si="467">IFERROR(CN12/$B60,".")</f>
        <v>7541281913345.6621</v>
      </c>
      <c r="CO74" s="60" t="str">
        <f t="shared" si="467"/>
        <v>.</v>
      </c>
      <c r="CP74" s="60" t="str">
        <f t="shared" si="467"/>
        <v>.</v>
      </c>
      <c r="CQ74" s="60" t="str">
        <f t="shared" si="467"/>
        <v>.</v>
      </c>
      <c r="CR74" s="60" t="str">
        <f t="shared" si="467"/>
        <v>.</v>
      </c>
      <c r="CS74" s="60" t="str">
        <f t="shared" si="467"/>
        <v>.</v>
      </c>
      <c r="CT74" s="60" t="str">
        <f t="shared" si="467"/>
        <v>.</v>
      </c>
      <c r="CU74" s="60" t="str">
        <f t="shared" si="467"/>
        <v>.</v>
      </c>
      <c r="CV74" s="60" t="str">
        <f t="shared" si="467"/>
        <v>.</v>
      </c>
      <c r="CW74" s="60" t="str">
        <f t="shared" si="467"/>
        <v>.</v>
      </c>
      <c r="CX74" s="60" t="str">
        <f t="shared" si="467"/>
        <v>.</v>
      </c>
      <c r="CY74" s="60" t="str">
        <f t="shared" si="467"/>
        <v>.</v>
      </c>
      <c r="CZ74" s="60" t="str">
        <f t="shared" si="467"/>
        <v>.</v>
      </c>
      <c r="DA74" s="111" t="str">
        <f t="shared" si="101"/>
        <v>.</v>
      </c>
      <c r="DB74" s="111" t="str">
        <f t="shared" si="102"/>
        <v>.</v>
      </c>
      <c r="DC74" s="111">
        <f t="shared" si="103"/>
        <v>1.3260345011506851E-13</v>
      </c>
      <c r="DD74" s="111" t="str">
        <f t="shared" si="104"/>
        <v>.</v>
      </c>
      <c r="DE74" s="111" t="str">
        <f t="shared" si="105"/>
        <v>.</v>
      </c>
      <c r="DF74" s="111" t="str">
        <f t="shared" si="106"/>
        <v>.</v>
      </c>
      <c r="DG74" s="111" t="str">
        <f t="shared" si="107"/>
        <v>.</v>
      </c>
      <c r="DH74" s="111" t="str">
        <f t="shared" si="108"/>
        <v>.</v>
      </c>
      <c r="DI74" s="111" t="str">
        <f t="shared" si="109"/>
        <v>.</v>
      </c>
      <c r="DJ74" s="111" t="str">
        <f t="shared" si="110"/>
        <v>.</v>
      </c>
      <c r="DK74" s="111" t="str">
        <f t="shared" si="111"/>
        <v>.</v>
      </c>
      <c r="DL74" s="111" t="str">
        <f t="shared" si="112"/>
        <v>.</v>
      </c>
      <c r="DM74" s="111" t="str">
        <f t="shared" si="113"/>
        <v>.</v>
      </c>
      <c r="DN74" s="111" t="str">
        <f t="shared" si="114"/>
        <v>.</v>
      </c>
      <c r="DO74" s="111" t="str">
        <f t="shared" si="115"/>
        <v>.</v>
      </c>
      <c r="DP74" s="60">
        <f>IFERROR(DP12/$B60,".")</f>
        <v>7541281913345.6621</v>
      </c>
      <c r="DQ74" s="189">
        <f t="shared" ref="DQ74" si="468">IFERROR(DQ12/$B60,0)</f>
        <v>6.7448559688137248E-5</v>
      </c>
      <c r="DR74" s="49" t="str">
        <f>IF(CL74=".",".",s_RadSpec!$I$12*DR12*$B$74)</f>
        <v>.</v>
      </c>
      <c r="DS74" s="49" t="str">
        <f>IF(CM74=".",".",s_RadSpec!$H$12*DS12)</f>
        <v>.</v>
      </c>
      <c r="DT74" s="49">
        <f>IF(CN74=".",".",s_RadSpec!$M$12*DT12*$B$74)</f>
        <v>3.3150862528767125E-12</v>
      </c>
      <c r="DU74" s="49" t="str">
        <f>s_b2w!CC74</f>
        <v>.</v>
      </c>
      <c r="DV74" s="49" t="str">
        <f>IF(CP74=".",".",s_RadSpec!$F$12*DV12*$B$74)</f>
        <v>.</v>
      </c>
      <c r="DW74" s="49" t="str">
        <f>IF(CQ74=".",".",s_RadSpec!$F$12*DW12*$B$74)</f>
        <v>.</v>
      </c>
      <c r="DX74" s="49" t="str">
        <f>IF(CR74=".",".",s_RadSpec!$F$12*DX12*$B$74)</f>
        <v>.</v>
      </c>
      <c r="DY74" s="49" t="str">
        <f>IF(CS74=".",".",s_RadSpec!$F$12*DY12*$B$74)</f>
        <v>.</v>
      </c>
      <c r="DZ74" s="49" t="str">
        <f>IF(CT74=".",".",s_RadSpec!$F$12*DZ12*$B$74)</f>
        <v>.</v>
      </c>
      <c r="EA74" s="49" t="str">
        <f>IF(CU74=".",".",s_RadSpec!$F$12*EA12*$B$74)</f>
        <v>.</v>
      </c>
      <c r="EB74" s="49" t="str">
        <f>IF(CV74=".",".",s_RadSpec!$F$12*EB12*$B$74)</f>
        <v>.</v>
      </c>
      <c r="EC74" s="49" t="str">
        <f>IF(CW74=".",".",s_RadSpec!$F$12*EC12*$B$74)</f>
        <v>.</v>
      </c>
      <c r="ED74" s="49" t="str">
        <f>IF(CX74=".",".",s_RadSpec!$F$12*ED12*$B$74)</f>
        <v>.</v>
      </c>
      <c r="EE74" s="49" t="str">
        <f>IF(CY74=".",".",s_RadSpec!$F$12*EE12*$B$74)</f>
        <v>.</v>
      </c>
      <c r="EF74" s="49" t="str">
        <f>IF(CZ74=".",".",s_RadSpec!$F$12*EF12*$B$74)</f>
        <v>.</v>
      </c>
      <c r="EG74" s="49">
        <f t="shared" si="418"/>
        <v>3.3150862528767125E-12</v>
      </c>
      <c r="EH74" s="60" t="str">
        <f>IFERROR(EH12/$B60,".")</f>
        <v>.</v>
      </c>
      <c r="EI74" s="60">
        <f>IFERROR(EI12/$B60,".")</f>
        <v>25824821516205.293</v>
      </c>
      <c r="EJ74" s="60">
        <f>IFERROR(EJ12/$B60,".")</f>
        <v>25824821516205.293</v>
      </c>
      <c r="EK74" s="189">
        <f t="shared" ref="EK74" si="469">IFERROR(EK12/$B60,0)</f>
        <v>2.3097492382412468E-4</v>
      </c>
      <c r="EL74" s="49" t="str">
        <f>IF(EH74=".",".",s_RadSpec!$H$12*EL12*$B$74)</f>
        <v>.</v>
      </c>
      <c r="EM74" s="49">
        <f>IF(EI74=".",".",s_RadSpec!$K$12*EM12*$B$74)</f>
        <v>9.6806090157534239E-13</v>
      </c>
      <c r="EN74" s="49">
        <f t="shared" si="155"/>
        <v>9.6806090157534239E-13</v>
      </c>
    </row>
    <row r="75" spans="1:144" x14ac:dyDescent="0.25">
      <c r="A75" s="77" t="s">
        <v>1082</v>
      </c>
      <c r="B75" s="42">
        <v>1</v>
      </c>
      <c r="C75" s="170"/>
      <c r="D75" s="60">
        <f t="shared" ref="D75:O75" si="470">IFERROR(D18/$B61,".")</f>
        <v>0.12763649127285492</v>
      </c>
      <c r="E75" s="60">
        <f t="shared" si="470"/>
        <v>0.5105459650914197</v>
      </c>
      <c r="F75" s="60">
        <f t="shared" si="470"/>
        <v>0.5105459650914197</v>
      </c>
      <c r="G75" s="60">
        <f t="shared" si="470"/>
        <v>0.5105459650914197</v>
      </c>
      <c r="H75" s="60">
        <f t="shared" si="470"/>
        <v>0.5105459650914197</v>
      </c>
      <c r="I75" s="60">
        <f t="shared" si="470"/>
        <v>0.5105459650914197</v>
      </c>
      <c r="J75" s="60">
        <f t="shared" si="470"/>
        <v>0.5105459650914197</v>
      </c>
      <c r="K75" s="60">
        <f t="shared" si="470"/>
        <v>0.5105459650914197</v>
      </c>
      <c r="L75" s="60">
        <f t="shared" si="470"/>
        <v>0.5105459650914197</v>
      </c>
      <c r="M75" s="60">
        <f t="shared" si="470"/>
        <v>0.5105459650914197</v>
      </c>
      <c r="N75" s="60">
        <f t="shared" si="470"/>
        <v>0.5105459650914197</v>
      </c>
      <c r="O75" s="60">
        <f t="shared" si="470"/>
        <v>0.5105459650914197</v>
      </c>
      <c r="P75" s="111">
        <f t="shared" si="413"/>
        <v>1.9586874999999997</v>
      </c>
      <c r="Q75" s="111">
        <f t="shared" si="413"/>
        <v>1.9586874999999997</v>
      </c>
      <c r="R75" s="111">
        <f t="shared" si="413"/>
        <v>1.9586874999999997</v>
      </c>
      <c r="S75" s="111">
        <f t="shared" si="413"/>
        <v>1.9586874999999997</v>
      </c>
      <c r="T75" s="111">
        <f t="shared" si="413"/>
        <v>1.9586874999999997</v>
      </c>
      <c r="U75" s="111">
        <f t="shared" si="413"/>
        <v>1.9586874999999997</v>
      </c>
      <c r="V75" s="111">
        <f t="shared" si="413"/>
        <v>1.9586874999999997</v>
      </c>
      <c r="W75" s="111">
        <f t="shared" si="413"/>
        <v>1.9586874999999997</v>
      </c>
      <c r="X75" s="111">
        <f t="shared" si="59"/>
        <v>1.9586874999999997</v>
      </c>
      <c r="Y75" s="111">
        <f t="shared" si="59"/>
        <v>1.9586874999999997</v>
      </c>
      <c r="Z75" s="111">
        <f t="shared" si="59"/>
        <v>1.9586874999999997</v>
      </c>
      <c r="AA75" s="111">
        <f t="shared" si="59"/>
        <v>1.9586874999999997</v>
      </c>
      <c r="AB75" s="60">
        <f>IFERROR(AB18/$B61,".")</f>
        <v>4.2545497090951644E-2</v>
      </c>
      <c r="AC75" s="189">
        <f>IFERROR(AC18/$B61,0)</f>
        <v>9.4841592186548544E-12</v>
      </c>
      <c r="AD75" s="49">
        <f>s_dir!BC75</f>
        <v>195.86875000000001</v>
      </c>
      <c r="AE75" s="49">
        <f>IF(E75=".",".",s_RadSpec!$F$18*AE18*$B$75)</f>
        <v>48.967187500000001</v>
      </c>
      <c r="AF75" s="49">
        <f>IF(F75=".",".",s_RadSpec!$F$18*AF18*$B$75)</f>
        <v>48.967187500000001</v>
      </c>
      <c r="AG75" s="49">
        <f>IF(G75=".",".",s_RadSpec!$F$18*AG18*$B$75)</f>
        <v>48.967187500000001</v>
      </c>
      <c r="AH75" s="49">
        <f>IF(H75=".",".",s_RadSpec!$F$18*AH18*$B$75)</f>
        <v>48.967187500000001</v>
      </c>
      <c r="AI75" s="49">
        <f>IF(I75=".",".",s_RadSpec!$F$18*AI18*$B$75)</f>
        <v>48.967187500000001</v>
      </c>
      <c r="AJ75" s="49">
        <f>IF(J75=".",".",s_RadSpec!$F$18*AJ18*$B$75)</f>
        <v>48.967187500000001</v>
      </c>
      <c r="AK75" s="49">
        <f>IF(K75=".",".",s_RadSpec!$F$18*AK18*$B$75)</f>
        <v>48.967187500000001</v>
      </c>
      <c r="AL75" s="49">
        <f>IF(L75=".",".",s_RadSpec!$F$18*AL18*$B$75)</f>
        <v>48.967187500000001</v>
      </c>
      <c r="AM75" s="49">
        <f>IF(M75=".",".",s_RadSpec!$F$18*AM18*$B$75)</f>
        <v>48.967187500000001</v>
      </c>
      <c r="AN75" s="49">
        <f>IF(N75=".",".",s_RadSpec!$F$18*AN18*$B$75)</f>
        <v>48.967187500000001</v>
      </c>
      <c r="AO75" s="49">
        <f>IF(O75=".",".",s_RadSpec!$F$18*AO18*$B$75)</f>
        <v>48.967187500000001</v>
      </c>
      <c r="AP75" s="60">
        <f t="shared" ref="AP75:BD75" si="471">IFERROR(AP18/$B61,".")</f>
        <v>255.27298254570982</v>
      </c>
      <c r="AQ75" s="60">
        <f t="shared" si="471"/>
        <v>892236.02021087182</v>
      </c>
      <c r="AR75" s="60">
        <f t="shared" si="471"/>
        <v>13227862.674701374</v>
      </c>
      <c r="AS75" s="60">
        <f t="shared" si="471"/>
        <v>7.5479888393172621</v>
      </c>
      <c r="AT75" s="60">
        <f t="shared" si="471"/>
        <v>2.9781847963666146</v>
      </c>
      <c r="AU75" s="60" t="str">
        <f t="shared" si="471"/>
        <v>.</v>
      </c>
      <c r="AV75" s="60">
        <f t="shared" si="471"/>
        <v>1.9441708341738784</v>
      </c>
      <c r="AW75" s="60">
        <f t="shared" si="471"/>
        <v>28.607085131415637</v>
      </c>
      <c r="AX75" s="60" t="str">
        <f t="shared" si="471"/>
        <v>.</v>
      </c>
      <c r="AY75" s="60">
        <f t="shared" si="471"/>
        <v>2.4302135427173477E-3</v>
      </c>
      <c r="AZ75" s="60">
        <f t="shared" si="471"/>
        <v>1.881455645974721E-3</v>
      </c>
      <c r="BA75" s="60" t="str">
        <f t="shared" si="471"/>
        <v>.</v>
      </c>
      <c r="BB75" s="60">
        <f t="shared" si="471"/>
        <v>2.6119512511292542</v>
      </c>
      <c r="BC75" s="60">
        <f t="shared" si="471"/>
        <v>0.1166502500504327</v>
      </c>
      <c r="BD75" s="60" t="str">
        <f t="shared" si="471"/>
        <v>.</v>
      </c>
      <c r="BE75" s="111">
        <f t="shared" si="69"/>
        <v>3.9173749999999999E-3</v>
      </c>
      <c r="BF75" s="111">
        <f t="shared" si="70"/>
        <v>1.1207796786366673E-6</v>
      </c>
      <c r="BG75" s="111">
        <f t="shared" si="71"/>
        <v>7.5598002836280242E-8</v>
      </c>
      <c r="BH75" s="111">
        <f t="shared" si="72"/>
        <v>0.13248562250000001</v>
      </c>
      <c r="BI75" s="111">
        <f t="shared" si="73"/>
        <v>0.33577499999999999</v>
      </c>
      <c r="BJ75" s="111" t="str">
        <f t="shared" si="74"/>
        <v>.</v>
      </c>
      <c r="BK75" s="111">
        <f t="shared" si="75"/>
        <v>0.51435809159482759</v>
      </c>
      <c r="BL75" s="111">
        <f t="shared" si="76"/>
        <v>3.4956375156930029E-2</v>
      </c>
      <c r="BM75" s="111" t="str">
        <f t="shared" si="77"/>
        <v>.</v>
      </c>
      <c r="BN75" s="111">
        <f t="shared" si="78"/>
        <v>411.48647327586207</v>
      </c>
      <c r="BO75" s="111">
        <f t="shared" si="79"/>
        <v>531.50336131465519</v>
      </c>
      <c r="BP75" s="111" t="str">
        <f t="shared" si="80"/>
        <v>.</v>
      </c>
      <c r="BQ75" s="111">
        <f t="shared" si="81"/>
        <v>0.38285553743304312</v>
      </c>
      <c r="BR75" s="111">
        <f t="shared" si="82"/>
        <v>8.5726348599137925</v>
      </c>
      <c r="BS75" s="111" t="str">
        <f t="shared" si="83"/>
        <v>.</v>
      </c>
      <c r="BT75" s="60">
        <f>IFERROR(BT18/$B61,".")</f>
        <v>1.0493544795381327E-3</v>
      </c>
      <c r="BU75" s="189">
        <f>IFERROR(BU18/$B61,0)</f>
        <v>2.3392005361866931E-13</v>
      </c>
      <c r="BV75" s="49">
        <f>IF(AP75=".",".",s_RadSpec!$E$18*BV18*$B$75)</f>
        <v>9.7934375000000004E-2</v>
      </c>
      <c r="BW75" s="49">
        <f>IF(AQ75=".",".",s_RadSpec!$H$18*BW18*$B$75)</f>
        <v>2.8019491965916681E-5</v>
      </c>
      <c r="BX75" s="49">
        <f>IF(AR75=".",".",s_RadSpec!$G$18*BX18*$B$75)</f>
        <v>1.8899500709070057E-6</v>
      </c>
      <c r="BY75" s="49">
        <f>s_b2s!CC75</f>
        <v>3.3121405625000002</v>
      </c>
      <c r="BZ75" s="49">
        <f>IF(AT75=".",".",s_RadSpec!$F$18*BZ18*$B$75)</f>
        <v>8.3943749999999984</v>
      </c>
      <c r="CA75" s="49" t="str">
        <f>IF(AU75=".",".",s_RadSpec!$F$18*CA18*$B$75)</f>
        <v>.</v>
      </c>
      <c r="CB75" s="49">
        <f>IF(AV75=".",".",s_RadSpec!$F$18*CB18*$B$75)</f>
        <v>12.85895228987069</v>
      </c>
      <c r="CC75" s="49">
        <f>IF(AW75=".",".",s_RadSpec!$F$18*CC18*$B$75)</f>
        <v>0.87390937892325093</v>
      </c>
      <c r="CD75" s="49" t="str">
        <f>IF(AX75=".",".",s_RadSpec!$F$18*CD18*$B$75)</f>
        <v>.</v>
      </c>
      <c r="CE75" s="49">
        <f>IF(AY75=".",".",s_RadSpec!$F$18*CE18*$B$75)</f>
        <v>10287.161831896552</v>
      </c>
      <c r="CF75" s="49">
        <f>IF(AZ75=".",".",s_RadSpec!$F$18*CF18*$B$75)</f>
        <v>13287.58403286638</v>
      </c>
      <c r="CG75" s="49" t="str">
        <f>IF(BA75=".",".",s_RadSpec!$F$18*CG18*$B$75)</f>
        <v>.</v>
      </c>
      <c r="CH75" s="49">
        <f>IF(BB75=".",".",s_RadSpec!$F$18*CH18*$B$75)</f>
        <v>9.5713884358260799</v>
      </c>
      <c r="CI75" s="49">
        <f>IF(BC75=".",".",s_RadSpec!$F$18*CI18*$B$75)</f>
        <v>214.31587149784482</v>
      </c>
      <c r="CJ75" s="49" t="str">
        <f>IF(BD75=".",".",s_RadSpec!$F$18*CJ18*$B$75)</f>
        <v>.</v>
      </c>
      <c r="CK75" s="49">
        <f t="shared" si="415"/>
        <v>23824.170466212341</v>
      </c>
      <c r="CL75" s="60">
        <f>IFERROR(CL18/$B61,".")</f>
        <v>2.8080028080028083</v>
      </c>
      <c r="CM75" s="60" t="str">
        <f>IFERROR(CM18,".")</f>
        <v>.</v>
      </c>
      <c r="CN75" s="60">
        <f t="shared" ref="CN75:CZ75" si="472">IFERROR(CN18/$B61,".")</f>
        <v>1766926259.6968441</v>
      </c>
      <c r="CO75" s="60">
        <f t="shared" si="472"/>
        <v>10.314578800703334</v>
      </c>
      <c r="CP75" s="60">
        <f t="shared" si="472"/>
        <v>14.181832363650546</v>
      </c>
      <c r="CQ75" s="60" t="str">
        <f t="shared" si="472"/>
        <v>.</v>
      </c>
      <c r="CR75" s="60">
        <f t="shared" si="472"/>
        <v>34036.397672761312</v>
      </c>
      <c r="CS75" s="60">
        <f t="shared" si="472"/>
        <v>500821.28004205931</v>
      </c>
      <c r="CT75" s="60" t="str">
        <f t="shared" si="472"/>
        <v>.</v>
      </c>
      <c r="CU75" s="60">
        <f t="shared" si="472"/>
        <v>42.545497090951642</v>
      </c>
      <c r="CV75" s="60">
        <f t="shared" si="472"/>
        <v>32.938449360736755</v>
      </c>
      <c r="CW75" s="60" t="str">
        <f t="shared" si="472"/>
        <v>.</v>
      </c>
      <c r="CX75" s="60">
        <f t="shared" si="472"/>
        <v>45727.160351666287</v>
      </c>
      <c r="CY75" s="60">
        <f t="shared" si="472"/>
        <v>2042.1838603656788</v>
      </c>
      <c r="CZ75" s="60" t="str">
        <f t="shared" si="472"/>
        <v>.</v>
      </c>
      <c r="DA75" s="111">
        <f t="shared" si="101"/>
        <v>0.35612499999999997</v>
      </c>
      <c r="DB75" s="111" t="str">
        <f t="shared" si="102"/>
        <v>.</v>
      </c>
      <c r="DC75" s="111">
        <f t="shared" si="103"/>
        <v>5.6595457479452059E-10</v>
      </c>
      <c r="DD75" s="111">
        <f t="shared" si="104"/>
        <v>9.6950153692345803E-2</v>
      </c>
      <c r="DE75" s="111">
        <f t="shared" si="105"/>
        <v>7.0512749999999999E-2</v>
      </c>
      <c r="DF75" s="111" t="str">
        <f t="shared" si="106"/>
        <v>.</v>
      </c>
      <c r="DG75" s="111">
        <f t="shared" si="107"/>
        <v>2.9380312499999998E-5</v>
      </c>
      <c r="DH75" s="111">
        <f t="shared" si="108"/>
        <v>1.9967202669902911E-6</v>
      </c>
      <c r="DI75" s="111" t="str">
        <f t="shared" si="109"/>
        <v>.</v>
      </c>
      <c r="DJ75" s="111">
        <f t="shared" si="110"/>
        <v>2.3504249999999997E-2</v>
      </c>
      <c r="DK75" s="111">
        <f t="shared" si="111"/>
        <v>3.0359656249999995E-2</v>
      </c>
      <c r="DL75" s="111" t="str">
        <f t="shared" si="112"/>
        <v>.</v>
      </c>
      <c r="DM75" s="111">
        <f t="shared" si="113"/>
        <v>2.1868841019417473E-5</v>
      </c>
      <c r="DN75" s="111">
        <f t="shared" si="114"/>
        <v>4.8967187499999998E-4</v>
      </c>
      <c r="DO75" s="111" t="str">
        <f t="shared" si="115"/>
        <v>.</v>
      </c>
      <c r="DP75" s="60">
        <f>IFERROR(DP18/$B61,".")</f>
        <v>1.7301195860651672</v>
      </c>
      <c r="DQ75" s="189">
        <f t="shared" ref="DQ75" si="473">IFERROR(DQ18/$B61,0)</f>
        <v>3.8567488320744048E-13</v>
      </c>
      <c r="DR75" s="49">
        <f>IF(CL75=".",".",s_RadSpec!$I$18*DR18*$B$75)</f>
        <v>8.9031249999999993</v>
      </c>
      <c r="DS75" s="49" t="str">
        <f>IF(CM75=".",".",s_RadSpec!$H$18*DS18)</f>
        <v>.</v>
      </c>
      <c r="DT75" s="49">
        <f>IF(CN75=".",".",s_RadSpec!$M$18*DT18*$B$75)</f>
        <v>1.4148864369863012E-8</v>
      </c>
      <c r="DU75" s="49">
        <f>s_b2w!CC75</f>
        <v>2.4237538423086455</v>
      </c>
      <c r="DV75" s="49">
        <f>IF(CP75=".",".",s_RadSpec!$F$18*DV18*$B$75)</f>
        <v>1.7628187499999999</v>
      </c>
      <c r="DW75" s="49" t="str">
        <f>IF(CQ75=".",".",s_RadSpec!$F$18*DW18*$B$75)</f>
        <v>.</v>
      </c>
      <c r="DX75" s="49">
        <f>IF(CR75=".",".",s_RadSpec!$F$18*DX18*$B$75)</f>
        <v>7.3450781249999992E-4</v>
      </c>
      <c r="DY75" s="49">
        <f>IF(CS75=".",".",s_RadSpec!$F$18*DY18*$B$75)</f>
        <v>4.9918006674757276E-5</v>
      </c>
      <c r="DZ75" s="49" t="str">
        <f>IF(CT75=".",".",s_RadSpec!$F$18*DZ18*$B$75)</f>
        <v>.</v>
      </c>
      <c r="EA75" s="49">
        <f>IF(CU75=".",".",s_RadSpec!$F$18*EA18*$B$75)</f>
        <v>0.58760625</v>
      </c>
      <c r="EB75" s="49">
        <f>IF(CV75=".",".",s_RadSpec!$F$18*EB18*$B$75)</f>
        <v>0.75899140624999994</v>
      </c>
      <c r="EC75" s="49" t="str">
        <f>IF(CW75=".",".",s_RadSpec!$F$18*EC18*$B$75)</f>
        <v>.</v>
      </c>
      <c r="ED75" s="49">
        <f>IF(CX75=".",".",s_RadSpec!$F$18*ED18*$B$75)</f>
        <v>5.4672102548543702E-4</v>
      </c>
      <c r="EE75" s="49">
        <f>IF(CY75=".",".",s_RadSpec!$F$18*EE18*$B$75)</f>
        <v>1.2241796875000001E-2</v>
      </c>
      <c r="EF75" s="49" t="str">
        <f>IF(CZ75=".",".",s_RadSpec!$F$18*EF18*$B$75)</f>
        <v>.</v>
      </c>
      <c r="EG75" s="49">
        <f t="shared" si="418"/>
        <v>14.449868206427167</v>
      </c>
      <c r="EH75" s="60">
        <f>IFERROR(EH18/$B61,".")</f>
        <v>2.8800028800028801</v>
      </c>
      <c r="EI75" s="60">
        <f>IFERROR(EI18/$B61,".")</f>
        <v>6130638528.026804</v>
      </c>
      <c r="EJ75" s="60">
        <f>IFERROR(EJ18/$B61,".")</f>
        <v>2.8800028786499352</v>
      </c>
      <c r="EK75" s="189">
        <f t="shared" ref="EK75" si="474">IFERROR(EK18/$B61,0)</f>
        <v>6.4200462373042502E-13</v>
      </c>
      <c r="EL75" s="49">
        <f>IF(EH75=".",".",s_RadSpec!$H$18*EL18*$B$75)</f>
        <v>8.6805468749999992</v>
      </c>
      <c r="EM75" s="49">
        <f>IF(EI75=".",".",s_RadSpec!$K$18*EM18*$B$75)</f>
        <v>4.0778786558219176E-9</v>
      </c>
      <c r="EN75" s="49">
        <f t="shared" si="155"/>
        <v>8.6805468790778786</v>
      </c>
    </row>
    <row r="76" spans="1:144" x14ac:dyDescent="0.25">
      <c r="A76" s="77" t="s">
        <v>1083</v>
      </c>
      <c r="B76" s="42">
        <v>1.339E-6</v>
      </c>
      <c r="C76" s="170"/>
      <c r="D76" s="60" t="str">
        <f t="shared" ref="D76:O76" si="475">IFERROR(D27/$B62,".")</f>
        <v>.</v>
      </c>
      <c r="E76" s="60" t="str">
        <f t="shared" si="475"/>
        <v>.</v>
      </c>
      <c r="F76" s="60" t="str">
        <f t="shared" si="475"/>
        <v>.</v>
      </c>
      <c r="G76" s="60" t="str">
        <f t="shared" si="475"/>
        <v>.</v>
      </c>
      <c r="H76" s="60" t="str">
        <f t="shared" si="475"/>
        <v>.</v>
      </c>
      <c r="I76" s="60" t="str">
        <f t="shared" si="475"/>
        <v>.</v>
      </c>
      <c r="J76" s="60" t="str">
        <f t="shared" si="475"/>
        <v>.</v>
      </c>
      <c r="K76" s="60" t="str">
        <f t="shared" si="475"/>
        <v>.</v>
      </c>
      <c r="L76" s="60" t="str">
        <f t="shared" si="475"/>
        <v>.</v>
      </c>
      <c r="M76" s="60" t="str">
        <f t="shared" si="475"/>
        <v>.</v>
      </c>
      <c r="N76" s="60" t="str">
        <f t="shared" si="475"/>
        <v>.</v>
      </c>
      <c r="O76" s="60" t="str">
        <f t="shared" si="475"/>
        <v>.</v>
      </c>
      <c r="P76" s="111" t="str">
        <f t="shared" si="413"/>
        <v>.</v>
      </c>
      <c r="Q76" s="111" t="str">
        <f t="shared" si="413"/>
        <v>.</v>
      </c>
      <c r="R76" s="111" t="str">
        <f t="shared" si="413"/>
        <v>.</v>
      </c>
      <c r="S76" s="111" t="str">
        <f t="shared" si="413"/>
        <v>.</v>
      </c>
      <c r="T76" s="111" t="str">
        <f t="shared" si="413"/>
        <v>.</v>
      </c>
      <c r="U76" s="111" t="str">
        <f t="shared" si="413"/>
        <v>.</v>
      </c>
      <c r="V76" s="111" t="str">
        <f t="shared" si="413"/>
        <v>.</v>
      </c>
      <c r="W76" s="111" t="str">
        <f t="shared" si="413"/>
        <v>.</v>
      </c>
      <c r="X76" s="111" t="str">
        <f t="shared" si="59"/>
        <v>.</v>
      </c>
      <c r="Y76" s="111" t="str">
        <f t="shared" si="59"/>
        <v>.</v>
      </c>
      <c r="Z76" s="111" t="str">
        <f t="shared" si="59"/>
        <v>.</v>
      </c>
      <c r="AA76" s="111" t="str">
        <f t="shared" si="59"/>
        <v>.</v>
      </c>
      <c r="AB76" s="60" t="str">
        <f>IFERROR(AB27/$B62,".")</f>
        <v>.</v>
      </c>
      <c r="AC76" s="189">
        <f>IFERROR(AC27/$B62,0)</f>
        <v>0</v>
      </c>
      <c r="AD76" s="49" t="str">
        <f>s_dir!BC76</f>
        <v>.</v>
      </c>
      <c r="AE76" s="49" t="str">
        <f>IF(E76=".",".",s_RadSpec!$F$27*AE27*$B$76)</f>
        <v>.</v>
      </c>
      <c r="AF76" s="49" t="str">
        <f>IF(F76=".",".",s_RadSpec!$F$27*AF27*$B$76)</f>
        <v>.</v>
      </c>
      <c r="AG76" s="49" t="str">
        <f>IF(G76=".",".",s_RadSpec!$F$27*AG27*$B$76)</f>
        <v>.</v>
      </c>
      <c r="AH76" s="49" t="str">
        <f>IF(H76=".",".",s_RadSpec!$F$27*AH27*$B$76)</f>
        <v>.</v>
      </c>
      <c r="AI76" s="49" t="str">
        <f>IF(I76=".",".",s_RadSpec!$F$27*AI27*$B$76)</f>
        <v>.</v>
      </c>
      <c r="AJ76" s="49" t="str">
        <f>IF(J76=".",".",s_RadSpec!$F$27*AJ27*$B$76)</f>
        <v>.</v>
      </c>
      <c r="AK76" s="49" t="str">
        <f>IF(K76=".",".",s_RadSpec!$F$27*AK27*$B$76)</f>
        <v>.</v>
      </c>
      <c r="AL76" s="49" t="str">
        <f>IF(L76=".",".",s_RadSpec!$F$27*AL27*$B$76)</f>
        <v>.</v>
      </c>
      <c r="AM76" s="49" t="str">
        <f>IF(M76=".",".",s_RadSpec!$F$27*AM27*$B$76)</f>
        <v>.</v>
      </c>
      <c r="AN76" s="49" t="str">
        <f>IF(N76=".",".",s_RadSpec!$F$27*AN27*$B$76)</f>
        <v>.</v>
      </c>
      <c r="AO76" s="49" t="str">
        <f>IF(O76=".",".",s_RadSpec!$F$27*AO27*$B$76)</f>
        <v>.</v>
      </c>
      <c r="AP76" s="60" t="str">
        <f t="shared" ref="AP76:BD76" si="476">IFERROR(AP27/$B62,".")</f>
        <v>.</v>
      </c>
      <c r="AQ76" s="60" t="str">
        <f t="shared" si="476"/>
        <v>.</v>
      </c>
      <c r="AR76" s="60">
        <f t="shared" si="476"/>
        <v>71581408034.468033</v>
      </c>
      <c r="AS76" s="60" t="str">
        <f t="shared" si="476"/>
        <v>.</v>
      </c>
      <c r="AT76" s="60" t="str">
        <f t="shared" si="476"/>
        <v>.</v>
      </c>
      <c r="AU76" s="60" t="str">
        <f t="shared" si="476"/>
        <v>.</v>
      </c>
      <c r="AV76" s="60" t="str">
        <f t="shared" si="476"/>
        <v>.</v>
      </c>
      <c r="AW76" s="60" t="str">
        <f t="shared" si="476"/>
        <v>.</v>
      </c>
      <c r="AX76" s="60" t="str">
        <f t="shared" si="476"/>
        <v>.</v>
      </c>
      <c r="AY76" s="60" t="str">
        <f t="shared" si="476"/>
        <v>.</v>
      </c>
      <c r="AZ76" s="60" t="str">
        <f t="shared" si="476"/>
        <v>.</v>
      </c>
      <c r="BA76" s="60" t="str">
        <f t="shared" si="476"/>
        <v>.</v>
      </c>
      <c r="BB76" s="60" t="str">
        <f t="shared" si="476"/>
        <v>.</v>
      </c>
      <c r="BC76" s="60" t="str">
        <f t="shared" si="476"/>
        <v>.</v>
      </c>
      <c r="BD76" s="60" t="str">
        <f t="shared" si="476"/>
        <v>.</v>
      </c>
      <c r="BE76" s="111" t="str">
        <f t="shared" si="69"/>
        <v>.</v>
      </c>
      <c r="BF76" s="111" t="str">
        <f t="shared" si="70"/>
        <v>.</v>
      </c>
      <c r="BG76" s="111">
        <f t="shared" si="71"/>
        <v>1.3970107985560691E-11</v>
      </c>
      <c r="BH76" s="111" t="str">
        <f t="shared" si="72"/>
        <v>.</v>
      </c>
      <c r="BI76" s="111" t="str">
        <f t="shared" si="73"/>
        <v>.</v>
      </c>
      <c r="BJ76" s="111" t="str">
        <f t="shared" si="74"/>
        <v>.</v>
      </c>
      <c r="BK76" s="111" t="str">
        <f t="shared" si="75"/>
        <v>.</v>
      </c>
      <c r="BL76" s="111" t="str">
        <f t="shared" si="76"/>
        <v>.</v>
      </c>
      <c r="BM76" s="111" t="str">
        <f t="shared" si="77"/>
        <v>.</v>
      </c>
      <c r="BN76" s="111" t="str">
        <f t="shared" si="78"/>
        <v>.</v>
      </c>
      <c r="BO76" s="111" t="str">
        <f t="shared" si="79"/>
        <v>.</v>
      </c>
      <c r="BP76" s="111" t="str">
        <f t="shared" si="80"/>
        <v>.</v>
      </c>
      <c r="BQ76" s="111" t="str">
        <f t="shared" si="81"/>
        <v>.</v>
      </c>
      <c r="BR76" s="111" t="str">
        <f t="shared" si="82"/>
        <v>.</v>
      </c>
      <c r="BS76" s="111" t="str">
        <f t="shared" si="83"/>
        <v>.</v>
      </c>
      <c r="BT76" s="60">
        <f>IFERROR(BT27/$B62,".")</f>
        <v>71581408034.468033</v>
      </c>
      <c r="BU76" s="189">
        <f>IFERROR(BU27/$B62,0)</f>
        <v>3.2992818844745236E-4</v>
      </c>
      <c r="BV76" s="49" t="str">
        <f>IF(AP76=".",".",s_RadSpec!$E$27*BV27*$B$76)</f>
        <v>.</v>
      </c>
      <c r="BW76" s="49" t="str">
        <f>IF(AQ76=".",".",s_RadSpec!$H$27*BW27*$B$76)</f>
        <v>.</v>
      </c>
      <c r="BX76" s="49">
        <f>IF(AR76=".",".",s_RadSpec!$G$27*BX27*$B$76)</f>
        <v>3.4925269963901729E-10</v>
      </c>
      <c r="BY76" s="49" t="str">
        <f>s_b2s!CC76</f>
        <v>.</v>
      </c>
      <c r="BZ76" s="49" t="str">
        <f>IF(AT76=".",".",s_RadSpec!$F$27*BZ27*$B$76)</f>
        <v>.</v>
      </c>
      <c r="CA76" s="49" t="str">
        <f>IF(AU76=".",".",s_RadSpec!$F$27*CA27*$B$76)</f>
        <v>.</v>
      </c>
      <c r="CB76" s="49" t="str">
        <f>IF(AV76=".",".",s_RadSpec!$F$27*CB27*$B$76)</f>
        <v>.</v>
      </c>
      <c r="CC76" s="49" t="str">
        <f>IF(AW76=".",".",s_RadSpec!$F$27*CC27*$B$76)</f>
        <v>.</v>
      </c>
      <c r="CD76" s="49" t="str">
        <f>IF(AX76=".",".",s_RadSpec!$F$27*CD27*$B$76)</f>
        <v>.</v>
      </c>
      <c r="CE76" s="49" t="str">
        <f>IF(AY76=".",".",s_RadSpec!$F$27*CE27*$B$76)</f>
        <v>.</v>
      </c>
      <c r="CF76" s="49" t="str">
        <f>IF(AZ76=".",".",s_RadSpec!$F$27*CF27*$B$76)</f>
        <v>.</v>
      </c>
      <c r="CG76" s="49" t="str">
        <f>IF(BA76=".",".",s_RadSpec!$F$27*CG27*$B$76)</f>
        <v>.</v>
      </c>
      <c r="CH76" s="49" t="str">
        <f>IF(BB76=".",".",s_RadSpec!$F$27*CH27*$B$76)</f>
        <v>.</v>
      </c>
      <c r="CI76" s="49" t="str">
        <f>IF(BC76=".",".",s_RadSpec!$F$27*CI27*$B$76)</f>
        <v>.</v>
      </c>
      <c r="CJ76" s="49" t="str">
        <f>IF(BD76=".",".",s_RadSpec!$F$27*CJ27*$B$76)</f>
        <v>.</v>
      </c>
      <c r="CK76" s="49">
        <f t="shared" si="415"/>
        <v>3.4925269963901729E-10</v>
      </c>
      <c r="CL76" s="60" t="str">
        <f>IFERROR(CL27/$B62,".")</f>
        <v>.</v>
      </c>
      <c r="CM76" s="60" t="str">
        <f>IFERROR(CM27,".")</f>
        <v>.</v>
      </c>
      <c r="CN76" s="60">
        <f t="shared" ref="CN76:CZ76" si="477">IFERROR(CN27/$B62,".")</f>
        <v>2680844055827.1372</v>
      </c>
      <c r="CO76" s="60" t="str">
        <f t="shared" si="477"/>
        <v>.</v>
      </c>
      <c r="CP76" s="60" t="str">
        <f t="shared" si="477"/>
        <v>.</v>
      </c>
      <c r="CQ76" s="60" t="str">
        <f t="shared" si="477"/>
        <v>.</v>
      </c>
      <c r="CR76" s="60" t="str">
        <f t="shared" si="477"/>
        <v>.</v>
      </c>
      <c r="CS76" s="60" t="str">
        <f t="shared" si="477"/>
        <v>.</v>
      </c>
      <c r="CT76" s="60" t="str">
        <f t="shared" si="477"/>
        <v>.</v>
      </c>
      <c r="CU76" s="60" t="str">
        <f t="shared" si="477"/>
        <v>.</v>
      </c>
      <c r="CV76" s="60" t="str">
        <f t="shared" si="477"/>
        <v>.</v>
      </c>
      <c r="CW76" s="60" t="str">
        <f t="shared" si="477"/>
        <v>.</v>
      </c>
      <c r="CX76" s="60" t="str">
        <f t="shared" si="477"/>
        <v>.</v>
      </c>
      <c r="CY76" s="60" t="str">
        <f t="shared" si="477"/>
        <v>.</v>
      </c>
      <c r="CZ76" s="60" t="str">
        <f t="shared" si="477"/>
        <v>.</v>
      </c>
      <c r="DA76" s="111" t="str">
        <f t="shared" si="101"/>
        <v>.</v>
      </c>
      <c r="DB76" s="111" t="str">
        <f t="shared" si="102"/>
        <v>.</v>
      </c>
      <c r="DC76" s="111">
        <f t="shared" si="103"/>
        <v>3.7301684811780813E-13</v>
      </c>
      <c r="DD76" s="111" t="str">
        <f t="shared" si="104"/>
        <v>.</v>
      </c>
      <c r="DE76" s="111" t="str">
        <f t="shared" si="105"/>
        <v>.</v>
      </c>
      <c r="DF76" s="111" t="str">
        <f t="shared" si="106"/>
        <v>.</v>
      </c>
      <c r="DG76" s="111" t="str">
        <f t="shared" si="107"/>
        <v>.</v>
      </c>
      <c r="DH76" s="111" t="str">
        <f t="shared" si="108"/>
        <v>.</v>
      </c>
      <c r="DI76" s="111" t="str">
        <f t="shared" si="109"/>
        <v>.</v>
      </c>
      <c r="DJ76" s="111" t="str">
        <f t="shared" si="110"/>
        <v>.</v>
      </c>
      <c r="DK76" s="111" t="str">
        <f t="shared" si="111"/>
        <v>.</v>
      </c>
      <c r="DL76" s="111" t="str">
        <f t="shared" si="112"/>
        <v>.</v>
      </c>
      <c r="DM76" s="111" t="str">
        <f t="shared" si="113"/>
        <v>.</v>
      </c>
      <c r="DN76" s="111" t="str">
        <f t="shared" si="114"/>
        <v>.</v>
      </c>
      <c r="DO76" s="111" t="str">
        <f t="shared" si="115"/>
        <v>.</v>
      </c>
      <c r="DP76" s="60">
        <f>IFERROR(DP27/$B62,".")</f>
        <v>2680844055827.1372</v>
      </c>
      <c r="DQ76" s="189">
        <f t="shared" ref="DQ76" si="478">IFERROR(DQ27/$B62,0)</f>
        <v>1.2356365250921979E-5</v>
      </c>
      <c r="DR76" s="49" t="str">
        <f>IF(CL76=".",".",s_RadSpec!$I$27*DR27*$B$76)</f>
        <v>.</v>
      </c>
      <c r="DS76" s="49" t="str">
        <f>IF(CM76=".",".",s_RadSpec!$H$27*DS27)</f>
        <v>.</v>
      </c>
      <c r="DT76" s="49">
        <f>IF(CN76=".",".",s_RadSpec!$M$27*DT27*$B$76)</f>
        <v>9.3254212029452056E-12</v>
      </c>
      <c r="DU76" s="49" t="str">
        <f>s_b2w!CC76</f>
        <v>.</v>
      </c>
      <c r="DV76" s="49" t="str">
        <f>IF(CP76=".",".",s_RadSpec!$F$27*DV27*$B$76)</f>
        <v>.</v>
      </c>
      <c r="DW76" s="49" t="str">
        <f>IF(CQ76=".",".",s_RadSpec!$F$27*DW27*$B$76)</f>
        <v>.</v>
      </c>
      <c r="DX76" s="49" t="str">
        <f>IF(CR76=".",".",s_RadSpec!$F$27*DX27*$B$76)</f>
        <v>.</v>
      </c>
      <c r="DY76" s="49" t="str">
        <f>IF(CS76=".",".",s_RadSpec!$F$27*DY27*$B$76)</f>
        <v>.</v>
      </c>
      <c r="DZ76" s="49" t="str">
        <f>IF(CT76=".",".",s_RadSpec!$F$27*DZ27*$B$76)</f>
        <v>.</v>
      </c>
      <c r="EA76" s="49" t="str">
        <f>IF(CU76=".",".",s_RadSpec!$F$27*EA27*$B$76)</f>
        <v>.</v>
      </c>
      <c r="EB76" s="49" t="str">
        <f>IF(CV76=".",".",s_RadSpec!$F$27*EB27*$B$76)</f>
        <v>.</v>
      </c>
      <c r="EC76" s="49" t="str">
        <f>IF(CW76=".",".",s_RadSpec!$F$27*EC27*$B$76)</f>
        <v>.</v>
      </c>
      <c r="ED76" s="49" t="str">
        <f>IF(CX76=".",".",s_RadSpec!$F$27*ED27*$B$76)</f>
        <v>.</v>
      </c>
      <c r="EE76" s="49" t="str">
        <f>IF(CY76=".",".",s_RadSpec!$F$27*EE27*$B$76)</f>
        <v>.</v>
      </c>
      <c r="EF76" s="49" t="str">
        <f>IF(CZ76=".",".",s_RadSpec!$F$27*EF27*$B$76)</f>
        <v>.</v>
      </c>
      <c r="EG76" s="49">
        <f t="shared" si="418"/>
        <v>9.3254212029452056E-12</v>
      </c>
      <c r="EH76" s="60" t="str">
        <f>IFERROR(EH27/$B62,".")</f>
        <v>.</v>
      </c>
      <c r="EI76" s="60">
        <f>IFERROR(EI27/$B62,".")</f>
        <v>5132094414177.8936</v>
      </c>
      <c r="EJ76" s="60">
        <f>IFERROR(EJ27/$B62,".")</f>
        <v>5132094414177.8936</v>
      </c>
      <c r="EK76" s="189">
        <f t="shared" ref="EK76" si="479">IFERROR(EK27/$B62,0)</f>
        <v>2.365450274735694E-5</v>
      </c>
      <c r="EL76" s="49" t="str">
        <f>IF(EH76=".",".",s_RadSpec!$H$27*EL27*$B$76)</f>
        <v>.</v>
      </c>
      <c r="EM76" s="49">
        <f>IF(EI76=".",".",s_RadSpec!$K$27*EM27*$B$76)</f>
        <v>4.8713055494332189E-12</v>
      </c>
      <c r="EN76" s="49">
        <f t="shared" si="155"/>
        <v>4.8713055494332189E-12</v>
      </c>
    </row>
  </sheetData>
  <sheetProtection algorithmName="SHA-512" hashValue="YwKf51S86ZCvrzRNx/pP1GIGl8QoQTd4SkFt43R9MJ8LFcMI0fzMWwm0/5xPA6IzJwPwW5rMumSXlbo4l1BeRg==" saltValue="0c3nwfYNdI0tgGjY39spfw==" spinCount="100000" sheet="1" formatColumns="0" formatRows="0" autoFilter="0"/>
  <autoFilter ref="A1:EN76" xr:uid="{8028F647-26EC-40E7-8F65-1DCF467D9183}"/>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9" tint="-0.499984740745262"/>
  </sheetPr>
  <dimension ref="A1:BL76"/>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5703125" style="15" bestFit="1" customWidth="1"/>
    <col min="2" max="2" width="11.85546875" style="15" bestFit="1" customWidth="1"/>
    <col min="3" max="3" width="13.28515625" style="4" customWidth="1"/>
    <col min="4" max="4" width="15.140625" style="15" bestFit="1" customWidth="1"/>
    <col min="5" max="5" width="15.28515625" style="15" bestFit="1" customWidth="1"/>
    <col min="6" max="6" width="15" style="15" bestFit="1" customWidth="1"/>
    <col min="7" max="7" width="21.42578125" style="3" bestFit="1" customWidth="1"/>
    <col min="8" max="8" width="20.42578125" style="3" bestFit="1" customWidth="1"/>
    <col min="9" max="11" width="11.42578125" style="3" bestFit="1" customWidth="1"/>
    <col min="12" max="12" width="13.42578125" style="3" bestFit="1" customWidth="1"/>
    <col min="13" max="13" width="12.140625" style="3" bestFit="1" customWidth="1"/>
    <col min="14" max="14" width="14.7109375" style="3" bestFit="1" customWidth="1"/>
    <col min="15" max="15" width="17" style="2" bestFit="1" customWidth="1"/>
    <col min="16" max="16" width="15" style="15" bestFit="1" customWidth="1"/>
    <col min="17" max="17" width="15.140625" style="15" bestFit="1" customWidth="1"/>
    <col min="18" max="18" width="14.7109375" style="15" bestFit="1" customWidth="1"/>
    <col min="19" max="19" width="20.140625" style="17" bestFit="1" customWidth="1"/>
    <col min="20" max="20" width="19.140625" style="17" bestFit="1" customWidth="1"/>
    <col min="21" max="21" width="14.7109375" style="15" bestFit="1" customWidth="1"/>
    <col min="22" max="22" width="14.140625" style="15" bestFit="1" customWidth="1"/>
    <col min="23" max="24" width="15.7109375" style="15" bestFit="1" customWidth="1"/>
    <col min="25" max="25" width="17" style="15" bestFit="1" customWidth="1"/>
    <col min="26" max="26" width="14.42578125" style="15" bestFit="1" customWidth="1"/>
    <col min="27" max="27" width="15.42578125" style="3" bestFit="1" customWidth="1"/>
    <col min="28" max="29" width="17.28515625" style="3" bestFit="1" customWidth="1"/>
    <col min="30" max="30" width="18.42578125" style="3" bestFit="1" customWidth="1"/>
    <col min="31" max="31" width="15.5703125" style="3" bestFit="1" customWidth="1"/>
    <col min="32" max="32" width="13.42578125" style="15" bestFit="1" customWidth="1"/>
    <col min="33" max="34" width="15.28515625" style="15" bestFit="1" customWidth="1"/>
    <col min="35" max="35" width="16.42578125" style="15" bestFit="1" customWidth="1"/>
    <col min="36" max="36" width="13.7109375" style="15" bestFit="1" customWidth="1"/>
    <col min="37" max="37" width="14.28515625" style="15" bestFit="1" customWidth="1"/>
    <col min="38" max="38" width="14.5703125" style="15" bestFit="1" customWidth="1"/>
    <col min="39" max="39" width="13.7109375" style="15" bestFit="1" customWidth="1"/>
    <col min="40" max="40" width="15" style="3" bestFit="1" customWidth="1"/>
    <col min="41" max="41" width="13.5703125" style="15" bestFit="1" customWidth="1"/>
    <col min="42" max="42" width="13.85546875" style="15" bestFit="1" customWidth="1"/>
    <col min="43" max="43" width="14.140625" style="15" bestFit="1" customWidth="1"/>
    <col min="44" max="44" width="15" style="15" bestFit="1" customWidth="1"/>
    <col min="45" max="45" width="16.28515625" style="15" bestFit="1" customWidth="1"/>
    <col min="46" max="46" width="21.28515625" style="3" bestFit="1" customWidth="1"/>
    <col min="47" max="47" width="20.28515625" style="3" bestFit="1" customWidth="1"/>
    <col min="48" max="49" width="11.42578125" style="3" bestFit="1" customWidth="1"/>
    <col min="50" max="50" width="13.42578125" style="3" bestFit="1" customWidth="1"/>
    <col min="51" max="51" width="12.140625" style="3" bestFit="1" customWidth="1"/>
    <col min="52" max="52" width="14.5703125" style="3" bestFit="1" customWidth="1"/>
    <col min="53" max="53" width="15.42578125" style="3" bestFit="1" customWidth="1"/>
    <col min="54" max="54" width="14.5703125" style="15" bestFit="1" customWidth="1"/>
    <col min="55" max="55" width="16" style="15" bestFit="1" customWidth="1"/>
    <col min="56" max="56" width="20.7109375" style="17" bestFit="1" customWidth="1"/>
    <col min="57" max="57" width="19.42578125" style="17" bestFit="1" customWidth="1"/>
    <col min="58" max="58" width="15.140625" style="15" bestFit="1" customWidth="1"/>
    <col min="59" max="59" width="16.7109375" style="3" bestFit="1" customWidth="1"/>
    <col min="60" max="60" width="15.5703125" style="3" bestFit="1" customWidth="1"/>
    <col min="61" max="62" width="15.42578125" style="3" bestFit="1" customWidth="1"/>
    <col min="63" max="63" width="16.140625" style="17" bestFit="1" customWidth="1"/>
    <col min="64" max="64" width="15.140625" style="17" bestFit="1" customWidth="1"/>
    <col min="65" max="16384" width="9.140625" style="3"/>
  </cols>
  <sheetData>
    <row r="1" spans="1:64" x14ac:dyDescent="0.25">
      <c r="A1" s="39" t="s">
        <v>39</v>
      </c>
      <c r="B1" s="39" t="s">
        <v>334</v>
      </c>
      <c r="C1" s="72"/>
      <c r="D1" s="15" t="s">
        <v>1372</v>
      </c>
      <c r="E1" s="15" t="s">
        <v>1373</v>
      </c>
      <c r="F1" s="15" t="s">
        <v>1374</v>
      </c>
      <c r="G1" s="2" t="s">
        <v>1420</v>
      </c>
      <c r="H1" s="2" t="s">
        <v>1421</v>
      </c>
      <c r="I1" s="232" t="s">
        <v>1149</v>
      </c>
      <c r="J1" s="233" t="s">
        <v>1150</v>
      </c>
      <c r="K1" s="233" t="s">
        <v>1151</v>
      </c>
      <c r="L1" s="233" t="s">
        <v>1313</v>
      </c>
      <c r="M1" s="233" t="s">
        <v>1314</v>
      </c>
      <c r="N1" s="2" t="s">
        <v>1377</v>
      </c>
      <c r="O1" s="189" t="s">
        <v>1255</v>
      </c>
      <c r="P1" s="40" t="s">
        <v>1169</v>
      </c>
      <c r="Q1" s="40" t="s">
        <v>1170</v>
      </c>
      <c r="R1" s="40" t="s">
        <v>1171</v>
      </c>
      <c r="S1" s="16" t="s">
        <v>1216</v>
      </c>
      <c r="T1" s="16" t="s">
        <v>1219</v>
      </c>
      <c r="U1" s="41" t="s">
        <v>1510</v>
      </c>
      <c r="V1" s="42" t="s">
        <v>1378</v>
      </c>
      <c r="W1" s="42" t="s">
        <v>1379</v>
      </c>
      <c r="X1" s="42" t="s">
        <v>1380</v>
      </c>
      <c r="Y1" s="42" t="s">
        <v>1381</v>
      </c>
      <c r="Z1" s="42" t="s">
        <v>1382</v>
      </c>
      <c r="AA1" s="188" t="s">
        <v>1256</v>
      </c>
      <c r="AB1" s="188" t="s">
        <v>1257</v>
      </c>
      <c r="AC1" s="188" t="s">
        <v>1258</v>
      </c>
      <c r="AD1" s="188" t="s">
        <v>1259</v>
      </c>
      <c r="AE1" s="188" t="s">
        <v>1260</v>
      </c>
      <c r="AF1" s="43" t="s">
        <v>1173</v>
      </c>
      <c r="AG1" s="43" t="s">
        <v>1174</v>
      </c>
      <c r="AH1" s="43" t="s">
        <v>1175</v>
      </c>
      <c r="AI1" s="43" t="s">
        <v>1176</v>
      </c>
      <c r="AJ1" s="43" t="s">
        <v>1177</v>
      </c>
      <c r="AK1" s="42" t="s">
        <v>1383</v>
      </c>
      <c r="AL1" s="42" t="s">
        <v>1384</v>
      </c>
      <c r="AM1" s="42" t="s">
        <v>1385</v>
      </c>
      <c r="AN1" s="188" t="s">
        <v>1261</v>
      </c>
      <c r="AO1" s="43" t="s">
        <v>1178</v>
      </c>
      <c r="AP1" s="43" t="s">
        <v>1179</v>
      </c>
      <c r="AQ1" s="41" t="s">
        <v>1511</v>
      </c>
      <c r="AR1" s="15" t="s">
        <v>1422</v>
      </c>
      <c r="AS1" s="15" t="s">
        <v>1423</v>
      </c>
      <c r="AT1" s="2" t="s">
        <v>1424</v>
      </c>
      <c r="AU1" s="2" t="s">
        <v>1425</v>
      </c>
      <c r="AV1" s="233" t="s">
        <v>1317</v>
      </c>
      <c r="AW1" s="233" t="s">
        <v>1536</v>
      </c>
      <c r="AX1" s="233" t="s">
        <v>1537</v>
      </c>
      <c r="AY1" s="233" t="s">
        <v>1538</v>
      </c>
      <c r="AZ1" s="2" t="s">
        <v>1426</v>
      </c>
      <c r="BA1" s="189" t="s">
        <v>1535</v>
      </c>
      <c r="BB1" s="43" t="s">
        <v>1213</v>
      </c>
      <c r="BC1" s="43" t="s">
        <v>1214</v>
      </c>
      <c r="BD1" s="16" t="s">
        <v>1217</v>
      </c>
      <c r="BE1" s="16" t="s">
        <v>1220</v>
      </c>
      <c r="BF1" s="41" t="s">
        <v>1513</v>
      </c>
      <c r="BG1" s="2" t="s">
        <v>1427</v>
      </c>
      <c r="BH1" s="2" t="s">
        <v>1428</v>
      </c>
      <c r="BI1" s="189" t="s">
        <v>1519</v>
      </c>
      <c r="BJ1" s="189" t="s">
        <v>1520</v>
      </c>
      <c r="BK1" s="16" t="s">
        <v>1215</v>
      </c>
      <c r="BL1" s="16" t="s">
        <v>1218</v>
      </c>
    </row>
    <row r="2" spans="1:64" customFormat="1" x14ac:dyDescent="0.25">
      <c r="A2" s="44" t="s">
        <v>0</v>
      </c>
      <c r="B2" s="42" t="s">
        <v>1057</v>
      </c>
      <c r="C2" s="42"/>
      <c r="D2" s="15">
        <f>IFERROR(((s_DL/(s_RadSpec!E2*s_IFS_rec_adj*(1/1000)))*1),".")</f>
        <v>8541.6389953153375</v>
      </c>
      <c r="E2" s="15">
        <f>IFERROR(IF(A2="H-3",(s_DL/((s_RadSpec!H2*s_IFA_rec_adj*(1/17)*1000))*1),(s_DL/((s_RadSpec!H2*s_IFA_rec_adj*(1/s_PEF_wind)*1000))*1)),".")</f>
        <v>454865.42206828768</v>
      </c>
      <c r="F2" s="2">
        <f>IFERROR((s_DL/(s_RadSpec!G2*s_EF_rec*(1/365)*1*s_RadSpec!R2*s_ET_rec*(1/24)*s_RadSpec!W2)),".")</f>
        <v>159930.45372283383</v>
      </c>
      <c r="G2" s="2">
        <f>IFERROR((BG2/(s_RadSpec!AI2*((s_Q_p_game*s_f_p_game*s_f_s_game*(s_RadSpec!BD2+s_R_es_past))+(s_Q_s_game*s_f_p_game)))),".")</f>
        <v>2669262.1860360424</v>
      </c>
      <c r="H2" s="2" t="str">
        <f>IFERROR((BG2/(s_RadSpec!AL2*((s_Q_p_fowl*s_f_p_fowl*s_f_s_fowl*(s_RadSpec!BD2+s_R_es_past))+(s_Q_s_fowl*s_f_p_fowl)))),".")</f>
        <v>.</v>
      </c>
      <c r="I2" s="233">
        <f>IFERROR(1/D2,0)</f>
        <v>1.1707355000000001E-4</v>
      </c>
      <c r="J2" s="233">
        <f t="shared" ref="J2:M2" si="0">IFERROR(1/E2,0)</f>
        <v>2.1984524465565395E-6</v>
      </c>
      <c r="K2" s="233">
        <f t="shared" si="0"/>
        <v>6.2527178327965097E-6</v>
      </c>
      <c r="L2" s="233">
        <f t="shared" si="0"/>
        <v>3.7463536000000008E-7</v>
      </c>
      <c r="M2" s="233">
        <f t="shared" si="0"/>
        <v>0</v>
      </c>
      <c r="N2" s="2">
        <f>IFERROR(1/SUM(I2:M2),0)</f>
        <v>7942.8524071605698</v>
      </c>
      <c r="O2" s="189">
        <f>IFERROR(N2*(0.0000000000028)*s_RadSpec!$AY2*s_RadSpec!$AF2,0)</f>
        <v>1.3709580867153859E-7</v>
      </c>
      <c r="P2" s="40">
        <f t="shared" ref="P2:P30" si="1">s_C*s_IFS_rec_adj*(1/1000)</f>
        <v>15.125</v>
      </c>
      <c r="Q2" s="40">
        <f t="shared" ref="Q2:Q30" si="2">s_C*s_IFA_rec_adj*(1/s_PEF_wind)*1000</f>
        <v>1.6181272791589674E-3</v>
      </c>
      <c r="R2" s="40">
        <f>IFERROR((s_C*s_EF_rec*(1/365)*1*s_RadSpec!R2*s_ET_rec*(1/24)*s_RadSpec!W2),".")</f>
        <v>2.9569605598458093E-3</v>
      </c>
      <c r="S2" s="19">
        <f>IFERROR((s_C*s_IRGL_rec*s_EF_rec*1*s_CF_game*s_RadSpec!AI2)*((s_Q_p_game*s_f_p_game*s_f_s_game*(s_RadSpec!BD2+s_R_es_past))+(s_Q_s_game*s_f_p_game)),".")</f>
        <v>4.8400000000000006E-2</v>
      </c>
      <c r="T2" s="19">
        <f>IFERROR((s_C*s_IRGF_rec*s_EF_rec*1*s_CF_fowl*s_RadSpec!AL2)*((s_Q_p_fowl*s_f_p_fowl*s_f_s_fowl*(s_RadSpec!BD2+s_R_es_past))+(s_Q_s_fowl*s_f_p_fowl)),0)</f>
        <v>0</v>
      </c>
      <c r="U2" s="18"/>
      <c r="V2" s="15">
        <f>IFERROR((s_DL/(s_RadSpec!G2*s_EF_rec*(1/365)*1*s_RadSpec!R2*s_ET_rec*(1/24)*s_RadSpec!W2)),".")</f>
        <v>159930.45372283383</v>
      </c>
      <c r="W2" s="15">
        <f>IFERROR((s_DL/(s_RadSpec!N2*s_EF_rec*(1/365)*1*s_RadSpec!S2*s_ET_rec*(1/24)*s_RadSpec!X2)),".")</f>
        <v>1171747.4166652781</v>
      </c>
      <c r="X2" s="15">
        <f>IFERROR((s_DL/(s_RadSpec!O2*s_EF_rec*(1/365)*1*s_RadSpec!T2*s_ET_rec*(1/24)*s_RadSpec!Y2)),".")</f>
        <v>304680.88075569406</v>
      </c>
      <c r="Y2" s="15">
        <f>IFERROR((s_DL/(s_RadSpec!P2*s_EF_rec*(1/365)*1*s_RadSpec!U2*s_ET_rec*(1/24)*s_RadSpec!Z2)),".")</f>
        <v>187870.76064727246</v>
      </c>
      <c r="Z2" s="15">
        <f>IFERROR((s_DL/(s_RadSpec!L2*s_EF_rec*(1/365)*1*s_RadSpec!Q2*s_ET_rec*(1/24)*s_RadSpec!V2)),".")</f>
        <v>8766619.3617310077</v>
      </c>
      <c r="AA2" s="189">
        <f>IFERROR(V2*(0.0000000000028)*s_RadSpec!$AY2*s_RadSpec!$AF2,0)</f>
        <v>2.760443447818776E-6</v>
      </c>
      <c r="AB2" s="189">
        <f>IFERROR(W2*(0.0000000000028)*s_RadSpec!$AY2*s_RadSpec!$AF2,0)</f>
        <v>2.0224681438332199E-5</v>
      </c>
      <c r="AC2" s="189">
        <f>IFERROR(X2*(0.0000000000028)*s_RadSpec!$AY2*s_RadSpec!$AF2,0)</f>
        <v>5.258875476057185E-6</v>
      </c>
      <c r="AD2" s="189">
        <f>IFERROR(Y2*(0.0000000000028)*s_RadSpec!$AY2*s_RadSpec!$AF2,0)</f>
        <v>3.2427008002131959E-6</v>
      </c>
      <c r="AE2" s="189">
        <f>IFERROR(Z2*(0.0000000000028)*s_RadSpec!$AY2*s_RadSpec!$AF2,0)</f>
        <v>1.5131425199700095E-4</v>
      </c>
      <c r="AF2" s="40">
        <f>IFERROR((s_C*s_EF_rec*(1/365)*1*s_RadSpec!R2*s_ET_rec*(1/24)*s_RadSpec!W2),".")</f>
        <v>2.9569605598458093E-3</v>
      </c>
      <c r="AG2" s="40">
        <f>IFERROR((s_C*s_EF_rec*(1/365)*1*s_RadSpec!S2*s_ET_rec*(1/24)*s_RadSpec!X2),".")</f>
        <v>1.4624401381000112E-3</v>
      </c>
      <c r="AH2" s="40">
        <f>IFERROR((s_C*s_EF_rec*(1/365)*1*s_RadSpec!T2*s_ET_rec*(1/24)*s_RadSpec!Y2),".")</f>
        <v>2.153216836436015E-3</v>
      </c>
      <c r="AI2" s="40">
        <f>IFERROR((s_C*s_EF_rec*(1/365)*1*s_RadSpec!U2*s_ET_rec*(1/24)*s_RadSpec!Z2),".")</f>
        <v>2.5904263506233648E-3</v>
      </c>
      <c r="AJ2" s="40">
        <f>IFERROR((s_C*s_EF_rec*(1/365)*1*s_RadSpec!Q2*s_ET_rec*(1/24)*s_RadSpec!V2),".")</f>
        <v>1.8480742505459598E-4</v>
      </c>
      <c r="AK2" s="15">
        <f>IFERROR((s_DL/(s_RadSpec!H2*s_IFA_rec_adj)),".")</f>
        <v>1.4682367623544095</v>
      </c>
      <c r="AL2" s="15">
        <f>IFERROR((s_DL/(s_RadSpec!K2*s_EF_rec*(1/365)*1*s_ET_rec*(1/24)*s_GSF_a)),".")</f>
        <v>4820024.991116479</v>
      </c>
      <c r="AM2" s="15">
        <f>IFERROR(IF(AND(AK2&lt;&gt;".",AL2&lt;&gt;"."),1/((1/AK2)+(1/AL2)),IF(AND(AK2&lt;&gt;".",AL2="."),1/((1/AK2)),IF(AND(AK2=".",AL2&lt;&gt;"."),1/((1/AL2)),IF(AND(AK2=".",AL2="."),".")))),".")</f>
        <v>1.4682363151122193</v>
      </c>
      <c r="AN2" s="189">
        <f>AM2*(0.0000000000000028)*s_RadSpec!$AY2*s_RadSpec!$AF2</f>
        <v>2.5342161055361594E-14</v>
      </c>
      <c r="AO2" s="40">
        <f t="shared" ref="AO2:AO30" si="3">s_C*s_IFA_rec_adj</f>
        <v>501.30208333333326</v>
      </c>
      <c r="AP2" s="40">
        <f t="shared" ref="AP2:AP30" si="4">IFERROR((s_C*s_EF_rec*(1/365)*1*s_ET_rec*(1/24)*s_GSF_a),".")</f>
        <v>7.8481735159817351E-2</v>
      </c>
      <c r="AQ2" s="45"/>
      <c r="AR2" s="15">
        <f>IFERROR((s_DL/(s_RadSpec!I2*s_IFW_rec_adj)),".")</f>
        <v>58.723768092792945</v>
      </c>
      <c r="AS2" s="15">
        <f>IFERROR((s_DL/(s_RadSpec!M2*(1/8760)*s_DFA_rec_adj)),".")</f>
        <v>1353241.1433392495</v>
      </c>
      <c r="AT2" s="2">
        <f>IFERROR(BG2/(s_RadSpec!AI2*s_Q_w_game*(1/1000)),".")</f>
        <v>11744753618.558588</v>
      </c>
      <c r="AU2" s="2" t="str">
        <f>IFERROR(BG2/(s_RadSpec!AL2*s_Q_w_fowl*(1/1000)),".")</f>
        <v>.</v>
      </c>
      <c r="AV2" s="233">
        <f t="shared" ref="AV2:AV31" si="5">IFERROR(1/AR2,0)</f>
        <v>1.702888E-2</v>
      </c>
      <c r="AW2" s="233">
        <f t="shared" ref="AW2:AW31" si="6">IFERROR(1/AS2,0)</f>
        <v>7.3896659506849319E-7</v>
      </c>
      <c r="AX2" s="233">
        <f t="shared" ref="AX2:AX31" si="7">IFERROR(1/AT2,0)</f>
        <v>8.5144400000000009E-11</v>
      </c>
      <c r="AY2" s="233">
        <f t="shared" ref="AY2:AY31" si="8">IFERROR(1/AU2,0)</f>
        <v>0</v>
      </c>
      <c r="AZ2" s="2">
        <f>IFERROR(1/SUM(AV2:AY2),0)</f>
        <v>58.721219597560896</v>
      </c>
      <c r="BA2" s="189">
        <f>AZ2*(0.0000000000000028)*s_RadSpec!$AY2*s_RadSpec!$AF2</f>
        <v>1.0135443382592702E-12</v>
      </c>
      <c r="BB2" s="40">
        <f t="shared" ref="BB2:BB30" si="9">s_C*s_IFW_rec_adj</f>
        <v>2200</v>
      </c>
      <c r="BC2" s="40">
        <f t="shared" ref="BC2:BC30" si="10">s_C*(1/8760)*s_DFA_rec_adj</f>
        <v>0.12557077625570776</v>
      </c>
      <c r="BD2" s="19">
        <f>IFERROR(s_C*s_RadSpec!AI2*s_Q_w_game*(1/1000)*s_EF_rec*1*s_IRGL_rec*s_CF_game,".")</f>
        <v>1.1000000000000001E-5</v>
      </c>
      <c r="BE2" s="19">
        <f>IFERROR(s_C*s_RadSpec!AL2*s_Q_w_fowl*(1/1000)*s_EF_rec*1*s_IRGL_rec*s_CF_fowl,0)</f>
        <v>0</v>
      </c>
      <c r="BF2" s="18"/>
      <c r="BG2" s="2">
        <f>IFERROR(s_DL/(s_RadSpec!F2*s_EF_rec*1*s_IRGL_rec*s_CF_game),".")</f>
        <v>469.79014474234356</v>
      </c>
      <c r="BH2" s="2">
        <f>IFERROR(s_DL/(s_RadSpec!F2*s_EF_rec*1*s_IRGF_rec*s_CF_fowl),".")</f>
        <v>469.79014474234356</v>
      </c>
      <c r="BI2" s="189">
        <f>IFERROR(BG2*(0.0000000000028)*s_RadSpec!$AY2*s_RadSpec!$AF2,0)</f>
        <v>8.1087066078815464E-9</v>
      </c>
      <c r="BJ2" s="189">
        <f>IFERROR(BH2*(0.0000000000028)*s_RadSpec!$AY2*s_RadSpec!$AF2,0)</f>
        <v>8.1087066078815464E-9</v>
      </c>
      <c r="BK2" s="19">
        <f t="shared" ref="BK2:BK30" si="11">IFERROR(s_C*s_EF_rec*1*s_IRGL_rec*s_CF_game,".")</f>
        <v>275</v>
      </c>
      <c r="BL2" s="19">
        <f t="shared" ref="BL2:BL30" si="12">IFERROR(s_C*s_EF_rec*1*s_IRGF_rec*s_CF_fowl,".")</f>
        <v>275</v>
      </c>
    </row>
    <row r="3" spans="1:64" x14ac:dyDescent="0.25">
      <c r="A3" s="46" t="s">
        <v>1</v>
      </c>
      <c r="B3" s="42" t="s">
        <v>335</v>
      </c>
      <c r="C3" s="42"/>
      <c r="D3" s="15">
        <f>IFERROR(((s_DL/(s_RadSpec!E3*s_IFS_rec_adj*(1/1000)))*1),".")</f>
        <v>1877.0072246008076</v>
      </c>
      <c r="E3" s="15">
        <f>IFERROR(IF(A3="H-3",(s_DL/((s_RadSpec!H3*s_IFA_rec_adj*(1/17)*1000))*1),(s_DL/((s_RadSpec!H3*s_IFA_rec_adj*(1/s_PEF_wind)*1000))*1)),".")</f>
        <v>42565.388120151685</v>
      </c>
      <c r="F3" s="2">
        <f>IFERROR((s_DL/(s_RadSpec!G3*s_EF_rec*(1/365)*1*s_RadSpec!R3*s_ET_rec*(1/24)*s_RadSpec!W3)),".")</f>
        <v>29839259.9835575</v>
      </c>
      <c r="G3" s="2">
        <f>IFERROR((BG3/(s_RadSpec!AI3*((s_Q_p_game*s_f_p_game*s_f_s_game*(s_RadSpec!BD3+s_R_es_past))+(s_Q_s_game*s_f_p_game)))),".")</f>
        <v>25808.196717194693</v>
      </c>
      <c r="H3" s="2">
        <f>IFERROR((BG3/(s_RadSpec!AL3*((s_Q_p_fowl*s_f_p_fowl*s_f_s_fowl*(s_RadSpec!BD3+s_R_es_past))+(s_Q_s_fowl*s_f_p_fowl)))),".")</f>
        <v>2150.6830597662242</v>
      </c>
      <c r="I3" s="233">
        <f t="shared" ref="I3:I66" si="13">IFERROR(1/D3,0)</f>
        <v>5.3276300000000001E-4</v>
      </c>
      <c r="J3" s="233">
        <f t="shared" ref="J3:J66" si="14">IFERROR(1/E3,0)</f>
        <v>2.349326634065322E-5</v>
      </c>
      <c r="K3" s="233">
        <f t="shared" ref="K3:K66" si="15">IFERROR(1/F3,0)</f>
        <v>3.351289544549817E-8</v>
      </c>
      <c r="L3" s="233">
        <f t="shared" ref="L3:L66" si="16">IFERROR(1/G3,0)</f>
        <v>3.8747379794022986E-5</v>
      </c>
      <c r="M3" s="233">
        <f t="shared" ref="M3:M66" si="17">IFERROR(1/H3,0)</f>
        <v>4.6496855752827589E-4</v>
      </c>
      <c r="N3" s="2">
        <f t="shared" ref="N3:N30" si="18">IFERROR(1/SUM(I3:M3),0)</f>
        <v>943.39113872590929</v>
      </c>
      <c r="O3" s="189">
        <f>IFERROR(N3*(0.0000000000028)*s_RadSpec!$AY3*s_RadSpec!$AF3,0)</f>
        <v>2.7513866712617165E-4</v>
      </c>
      <c r="P3" s="40">
        <f t="shared" si="1"/>
        <v>15.125</v>
      </c>
      <c r="Q3" s="40">
        <f t="shared" si="2"/>
        <v>1.6181272791589674E-3</v>
      </c>
      <c r="R3" s="40">
        <f>IFERROR((s_C*s_EF_rec*(1/365)*1*s_RadSpec!R3*s_ET_rec*(1/24)*s_RadSpec!W3),".")</f>
        <v>2.2538344456152668E-5</v>
      </c>
      <c r="S3" s="19">
        <f>IFERROR((s_C*s_IRGL_rec*s_EF_rec*1*s_CF_game*s_RadSpec!AI3)*((s_Q_p_game*s_f_p_game*s_f_s_game*(s_RadSpec!BD3+s_R_es_past))+(s_Q_s_game*s_f_p_game)),".")</f>
        <v>1.1000278160919541</v>
      </c>
      <c r="T3" s="19">
        <f>IFERROR((s_C*s_IRGF_rec*s_EF_rec*1*s_CF_fowl*s_RadSpec!AL3)*((s_Q_p_fowl*s_f_p_fowl*s_f_s_fowl*(s_RadSpec!BD3+s_R_es_past))+(s_Q_s_fowl*s_f_p_fowl)),0)</f>
        <v>13.200333793103448</v>
      </c>
      <c r="U3" s="18"/>
      <c r="V3" s="15">
        <f>IFERROR((s_DL/(s_RadSpec!G3*s_EF_rec*(1/365)*1*s_RadSpec!R3*s_ET_rec*(1/24)*s_RadSpec!W3)),".")</f>
        <v>29839259.9835575</v>
      </c>
      <c r="W3" s="15">
        <f>IFERROR((s_DL/(s_RadSpec!N3*s_EF_rec*(1/365)*1*s_RadSpec!S3*s_ET_rec*(1/24)*s_RadSpec!X3)),".")</f>
        <v>84959836.812055528</v>
      </c>
      <c r="X3" s="15">
        <f>IFERROR((s_DL/(s_RadSpec!O3*s_EF_rec*(1/365)*1*s_RadSpec!T3*s_ET_rec*(1/24)*s_RadSpec!Y3)),".")</f>
        <v>34120787.016311534</v>
      </c>
      <c r="Y3" s="15">
        <f>IFERROR((s_DL/(s_RadSpec!P3*s_EF_rec*(1/365)*1*s_RadSpec!U3*s_ET_rec*(1/24)*s_RadSpec!Z3)),".")</f>
        <v>32697862.353526425</v>
      </c>
      <c r="Z3" s="15">
        <f>IFERROR((s_DL/(s_RadSpec!L3*s_EF_rec*(1/365)*1*s_RadSpec!Q3*s_ET_rec*(1/24)*s_RadSpec!V3)),".")</f>
        <v>94623699.056565315</v>
      </c>
      <c r="AA3" s="189">
        <f>IFERROR(V3*(0.0000000000028)*s_RadSpec!$AY3*s_RadSpec!$AF3,0)</f>
        <v>8.7025772056701687</v>
      </c>
      <c r="AB3" s="189">
        <f>IFERROR(W3*(0.0000000000028)*s_RadSpec!$AY3*s_RadSpec!$AF3,0)</f>
        <v>24.778414064070986</v>
      </c>
      <c r="AC3" s="189">
        <f>IFERROR(X3*(0.0000000000028)*s_RadSpec!$AY3*s_RadSpec!$AF3,0)</f>
        <v>9.9512783993739564</v>
      </c>
      <c r="AD3" s="189">
        <f>IFERROR(Y3*(0.0000000000028)*s_RadSpec!$AY3*s_RadSpec!$AF3,0)</f>
        <v>9.536284470484194</v>
      </c>
      <c r="AE3" s="189">
        <f>IFERROR(Z3*(0.0000000000028)*s_RadSpec!$AY3*s_RadSpec!$AF3,0)</f>
        <v>27.596865571720635</v>
      </c>
      <c r="AF3" s="40">
        <f>IFERROR((s_C*s_EF_rec*(1/365)*1*s_RadSpec!R3*s_ET_rec*(1/24)*s_RadSpec!W3),".")</f>
        <v>2.2538344456152668E-5</v>
      </c>
      <c r="AG3" s="40">
        <f>IFERROR((s_C*s_EF_rec*(1/365)*1*s_RadSpec!S3*s_ET_rec*(1/24)*s_RadSpec!X3),".")</f>
        <v>1.6073978812021168E-5</v>
      </c>
      <c r="AH3" s="40">
        <f>IFERROR((s_C*s_EF_rec*(1/365)*1*s_RadSpec!T3*s_ET_rec*(1/24)*s_RadSpec!Y3),".")</f>
        <v>2.1201782184965583E-5</v>
      </c>
      <c r="AI3" s="40">
        <f>IFERROR((s_C*s_EF_rec*(1/365)*1*s_RadSpec!U3*s_ET_rec*(1/24)*s_RadSpec!Z3),".")</f>
        <v>2.0567935376166267E-5</v>
      </c>
      <c r="AJ3" s="40">
        <f>IFERROR((s_C*s_EF_rec*(1/365)*1*s_RadSpec!Q3*s_ET_rec*(1/24)*s_RadSpec!V3),".")</f>
        <v>1.0367381553806788E-5</v>
      </c>
      <c r="AK3" s="15">
        <f>IFERROR((s_DL/(s_RadSpec!H3*s_IFA_rec_adj)),".")</f>
        <v>0.13739463280747685</v>
      </c>
      <c r="AL3" s="15">
        <f>IFERROR((s_DL/(s_RadSpec!K3*s_EF_rec*(1/365)*1*s_ET_rec*(1/24)*s_GSF_a)),".")</f>
        <v>4059723.4300177488</v>
      </c>
      <c r="AM3" s="15">
        <f>IFERROR(IF(AND(AK3&lt;&gt;".",AL3&lt;&gt;"."),1/((1/AK3)+(1/AL3)),IF(AND(AK3&lt;&gt;".",AL3="."),1/((1/AK3)),IF(AND(AK3=".",AL3&lt;&gt;"."),1/((1/AL3)),IF(AND(AK3=".",AL3="."),".")))),".")</f>
        <v>0.13739462815758263</v>
      </c>
      <c r="AN3" s="189">
        <f>AM3*(0.0000000000000028)*s_RadSpec!$AY3*s_RadSpec!$AF3</f>
        <v>4.0070945453894429E-11</v>
      </c>
      <c r="AO3" s="40">
        <f t="shared" si="3"/>
        <v>501.30208333333326</v>
      </c>
      <c r="AP3" s="40">
        <f t="shared" si="4"/>
        <v>7.8481735159817351E-2</v>
      </c>
      <c r="AQ3" s="45"/>
      <c r="AR3" s="15">
        <f>IFERROR((s_DL/(s_RadSpec!I3*s_IFW_rec_adj)),".")</f>
        <v>12.904424669130551</v>
      </c>
      <c r="AS3" s="15">
        <f>IFERROR((s_DL/(s_RadSpec!M3*(1/8760)*s_DFA_rec_adj)),".")</f>
        <v>1107197.2990957496</v>
      </c>
      <c r="AT3" s="2">
        <f>IFERROR(BG3/(s_RadSpec!AI3*s_Q_w_game*(1/1000)),".")</f>
        <v>103235397.35304441</v>
      </c>
      <c r="AU3" s="2">
        <f>IFERROR(BG3/(s_RadSpec!AL3*s_Q_w_fowl*(1/1000)),".")</f>
        <v>8602949.7794203665</v>
      </c>
      <c r="AV3" s="233">
        <f t="shared" si="5"/>
        <v>7.7492800000000001E-2</v>
      </c>
      <c r="AW3" s="233">
        <f t="shared" si="6"/>
        <v>9.0318139397260287E-7</v>
      </c>
      <c r="AX3" s="233">
        <f t="shared" si="7"/>
        <v>9.6866000000000009E-9</v>
      </c>
      <c r="AY3" s="233">
        <f t="shared" si="8"/>
        <v>1.1623920000000001E-7</v>
      </c>
      <c r="AZ3" s="2">
        <f t="shared" ref="AZ3:AZ29" si="19">IFERROR(1/SUM(AV3:AY3),0)</f>
        <v>12.904253300178805</v>
      </c>
      <c r="BA3" s="189">
        <f>AZ3*(0.0000000000000028)*s_RadSpec!$AY3*s_RadSpec!$AF3</f>
        <v>3.7635068928723962E-9</v>
      </c>
      <c r="BB3" s="40">
        <f t="shared" si="9"/>
        <v>2200</v>
      </c>
      <c r="BC3" s="40">
        <f t="shared" si="10"/>
        <v>0.12557077625570776</v>
      </c>
      <c r="BD3" s="19">
        <f>IFERROR(s_C*s_RadSpec!AI3*s_Q_w_game*(1/1000)*s_EF_rec*1*s_IRGL_rec*s_CF_game,".")</f>
        <v>2.7500000000000002E-4</v>
      </c>
      <c r="BE3" s="19">
        <f>IFERROR(s_C*s_RadSpec!AL3*s_Q_w_fowl*(1/1000)*s_EF_rec*1*s_IRGL_rec*s_CF_fowl,0)</f>
        <v>3.3E-3</v>
      </c>
      <c r="BF3" s="18"/>
      <c r="BG3" s="2">
        <f>IFERROR(s_DL/(s_RadSpec!F3*s_EF_rec*1*s_IRGL_rec*s_CF_game),".")</f>
        <v>103.23539735304441</v>
      </c>
      <c r="BH3" s="2">
        <f>IFERROR(s_DL/(s_RadSpec!F3*s_EF_rec*1*s_IRGF_rec*s_CF_fowl),".")</f>
        <v>103.23539735304441</v>
      </c>
      <c r="BI3" s="189">
        <f>IFERROR(BG3*(0.0000000000028)*s_RadSpec!$AY3*s_RadSpec!$AF3,0)</f>
        <v>3.0108454979043214E-5</v>
      </c>
      <c r="BJ3" s="189">
        <f>IFERROR(BH3*(0.0000000000028)*s_RadSpec!$AY3*s_RadSpec!$AF3,0)</f>
        <v>3.0108454979043214E-5</v>
      </c>
      <c r="BK3" s="19">
        <f t="shared" si="11"/>
        <v>275</v>
      </c>
      <c r="BL3" s="19">
        <f t="shared" si="12"/>
        <v>275</v>
      </c>
    </row>
    <row r="4" spans="1:64" customFormat="1" x14ac:dyDescent="0.25">
      <c r="A4" s="44" t="s">
        <v>2</v>
      </c>
      <c r="B4" s="42" t="s">
        <v>1057</v>
      </c>
      <c r="C4" s="42"/>
      <c r="D4" s="15" t="str">
        <f>IFERROR(((s_DL/(s_RadSpec!E4*s_IFS_rec_adj*(1/1000)))*1),".")</f>
        <v>.</v>
      </c>
      <c r="E4" s="15" t="str">
        <f>IFERROR(IF(A4="H-3",(s_DL/((s_RadSpec!H4*s_IFA_rec_adj*(1/17)*1000))*1),(s_DL/((s_RadSpec!H4*s_IFA_rec_adj*(1/s_PEF_wind)*1000))*1)),".")</f>
        <v>.</v>
      </c>
      <c r="F4" s="2">
        <f>IFERROR((s_DL/(s_RadSpec!G4*s_EF_rec*(1/365)*1*s_RadSpec!R4*s_ET_rec*(1/24)*s_RadSpec!W4)),".")</f>
        <v>3481168.9029430016</v>
      </c>
      <c r="G4" s="2" t="str">
        <f>IFERROR((BG4/(s_RadSpec!AI4*((s_Q_p_game*s_f_p_game*s_f_s_game*(s_RadSpec!BD4+s_R_es_past))+(s_Q_s_game*s_f_p_game)))),".")</f>
        <v>.</v>
      </c>
      <c r="H4" s="2" t="str">
        <f>IFERROR((BG4/(s_RadSpec!AL4*((s_Q_p_fowl*s_f_p_fowl*s_f_s_fowl*(s_RadSpec!BD4+s_R_es_past))+(s_Q_s_fowl*s_f_p_fowl)))),".")</f>
        <v>.</v>
      </c>
      <c r="I4" s="233">
        <f t="shared" si="13"/>
        <v>0</v>
      </c>
      <c r="J4" s="233">
        <f t="shared" si="14"/>
        <v>0</v>
      </c>
      <c r="K4" s="233">
        <f t="shared" si="15"/>
        <v>2.8725983365949119E-7</v>
      </c>
      <c r="L4" s="233">
        <f t="shared" si="16"/>
        <v>0</v>
      </c>
      <c r="M4" s="233">
        <f t="shared" si="17"/>
        <v>0</v>
      </c>
      <c r="N4" s="2">
        <f t="shared" si="18"/>
        <v>3481168.9029430011</v>
      </c>
      <c r="O4" s="189">
        <f>IFERROR(N4*(0.0000000000028)*s_RadSpec!$AY4*s_RadSpec!$AF4,0)</f>
        <v>2.1664006431167576E-12</v>
      </c>
      <c r="P4" s="40">
        <f t="shared" si="1"/>
        <v>15.125</v>
      </c>
      <c r="Q4" s="40">
        <f t="shared" si="2"/>
        <v>1.6181272791589674E-3</v>
      </c>
      <c r="R4" s="40">
        <f>IFERROR((s_C*s_EF_rec*(1/365)*1*s_RadSpec!R4*s_ET_rec*(1/24)*s_RadSpec!W4),".")</f>
        <v>6.0543052837573365E-3</v>
      </c>
      <c r="S4" s="19">
        <f>IFERROR((s_C*s_IRGL_rec*s_EF_rec*1*s_CF_game*s_RadSpec!AI4)*((s_Q_p_game*s_f_p_game*s_f_s_game*(s_RadSpec!BD4+s_R_es_past))+(s_Q_s_game*s_f_p_game)),".")</f>
        <v>41.8</v>
      </c>
      <c r="T4" s="19">
        <f>IFERROR((s_C*s_IRGF_rec*s_EF_rec*1*s_CF_fowl*s_RadSpec!AL4)*((s_Q_p_fowl*s_f_p_fowl*s_f_s_fowl*(s_RadSpec!BD4+s_R_es_past))+(s_Q_s_fowl*s_f_p_fowl)),0)</f>
        <v>0</v>
      </c>
      <c r="U4" s="18"/>
      <c r="V4" s="15">
        <f>IFERROR((s_DL/(s_RadSpec!G4*s_EF_rec*(1/365)*1*s_RadSpec!R4*s_ET_rec*(1/24)*s_RadSpec!W4)),".")</f>
        <v>3481168.9029430016</v>
      </c>
      <c r="W4" s="15">
        <f>IFERROR((s_DL/(s_RadSpec!N4*s_EF_rec*(1/365)*1*s_RadSpec!S4*s_ET_rec*(1/24)*s_RadSpec!X4)),".")</f>
        <v>25050787.898753647</v>
      </c>
      <c r="X4" s="15">
        <f>IFERROR((s_DL/(s_RadSpec!O4*s_EF_rec*(1/365)*1*s_RadSpec!T4*s_ET_rec*(1/24)*s_RadSpec!Y4)),".")</f>
        <v>6455185.035794694</v>
      </c>
      <c r="Y4" s="15">
        <f>IFERROR((s_DL/(s_RadSpec!P4*s_EF_rec*(1/365)*1*s_RadSpec!U4*s_ET_rec*(1/24)*s_RadSpec!Z4)),".")</f>
        <v>3802903.0746134454</v>
      </c>
      <c r="Z4" s="15">
        <f>IFERROR((s_DL/(s_RadSpec!L4*s_EF_rec*(1/365)*1*s_RadSpec!Q4*s_ET_rec*(1/24)*s_RadSpec!V4)),".")</f>
        <v>46895506.783773392</v>
      </c>
      <c r="AA4" s="189">
        <f>IFERROR(V4*(0.0000000000028)*s_RadSpec!$AY4*s_RadSpec!$AF4,0)</f>
        <v>2.166400643116758E-12</v>
      </c>
      <c r="AB4" s="189">
        <f>IFERROR(W4*(0.0000000000028)*s_RadSpec!$AY4*s_RadSpec!$AF4,0)</f>
        <v>1.5589603529021866E-11</v>
      </c>
      <c r="AC4" s="189">
        <f>IFERROR(X4*(0.0000000000028)*s_RadSpec!$AY4*s_RadSpec!$AF4,0)</f>
        <v>4.0171900309579059E-12</v>
      </c>
      <c r="AD4" s="189">
        <f>IFERROR(Y4*(0.0000000000028)*s_RadSpec!$AY4*s_RadSpec!$AF4,0)</f>
        <v>2.3666222169192338E-12</v>
      </c>
      <c r="AE4" s="189">
        <f>IFERROR(Z4*(0.0000000000028)*s_RadSpec!$AY4*s_RadSpec!$AF4,0)</f>
        <v>2.9184006547273358E-11</v>
      </c>
      <c r="AF4" s="40">
        <f>IFERROR((s_C*s_EF_rec*(1/365)*1*s_RadSpec!R4*s_ET_rec*(1/24)*s_RadSpec!W4),".")</f>
        <v>6.0543052837573365E-3</v>
      </c>
      <c r="AG4" s="40">
        <f>IFERROR((s_C*s_EF_rec*(1/365)*1*s_RadSpec!S4*s_ET_rec*(1/24)*s_RadSpec!X4),".")</f>
        <v>3.710045662100456E-3</v>
      </c>
      <c r="AH4" s="40">
        <f>IFERROR((s_C*s_EF_rec*(1/365)*1*s_RadSpec!T4*s_ET_rec*(1/24)*s_RadSpec!Y4),".")</f>
        <v>5.1573711676451426E-3</v>
      </c>
      <c r="AI4" s="40">
        <f>IFERROR((s_C*s_EF_rec*(1/365)*1*s_RadSpec!U4*s_ET_rec*(1/24)*s_RadSpec!Z4),".")</f>
        <v>5.9246327538013191E-3</v>
      </c>
      <c r="AJ4" s="40">
        <f>IFERROR((s_C*s_EF_rec*(1/365)*1*s_RadSpec!Q4*s_ET_rec*(1/24)*s_RadSpec!V4),".")</f>
        <v>2.0089466645051481E-3</v>
      </c>
      <c r="AK4" s="15" t="str">
        <f>IFERROR((s_DL/(s_RadSpec!H4*s_IFA_rec_adj)),".")</f>
        <v>.</v>
      </c>
      <c r="AL4" s="15">
        <f>IFERROR((s_DL/(s_RadSpec!K4*s_EF_rec*(1/365)*1*s_ET_rec*(1/24)*s_GSF_a)),".")</f>
        <v>257371145.75206867</v>
      </c>
      <c r="AM4" s="15">
        <f t="shared" ref="AM4:AM16" si="20">IFERROR(IF(AND(AK4&lt;&gt;".",AL4&lt;&gt;"."),1/((1/AK4)+(1/AL4)),IF(AND(AK4&lt;&gt;".",AL4="."),1/((1/AK4)),IF(AND(AK4=".",AL4&lt;&gt;"."),1/((1/AL4)),IF(AND(AK4=".",AL4="."),".")))),".")</f>
        <v>257371145.7520687</v>
      </c>
      <c r="AN4" s="189">
        <f>AM4*(0.0000000000000028)*s_RadSpec!$AY4*s_RadSpec!$AF4</f>
        <v>1.6016718269705504E-13</v>
      </c>
      <c r="AO4" s="40">
        <f t="shared" si="3"/>
        <v>501.30208333333326</v>
      </c>
      <c r="AP4" s="40">
        <f t="shared" si="4"/>
        <v>7.8481735159817351E-2</v>
      </c>
      <c r="AQ4" s="45"/>
      <c r="AR4" s="15" t="str">
        <f>IFERROR((s_DL/(s_RadSpec!I4*s_IFW_rec_adj)),".")</f>
        <v>.</v>
      </c>
      <c r="AS4" s="15">
        <f>IFERROR((s_DL/(s_RadSpec!M4*(1/8760)*s_DFA_rec_adj)),".")</f>
        <v>73813153.27304998</v>
      </c>
      <c r="AT4" s="2" t="str">
        <f>IFERROR(BG4/(s_RadSpec!AI4*s_Q_w_game*(1/1000)),".")</f>
        <v>.</v>
      </c>
      <c r="AU4" s="2" t="str">
        <f>IFERROR(BG4/(s_RadSpec!AL4*s_Q_w_fowl*(1/1000)),".")</f>
        <v>.</v>
      </c>
      <c r="AV4" s="233">
        <f t="shared" si="5"/>
        <v>0</v>
      </c>
      <c r="AW4" s="233">
        <f t="shared" si="6"/>
        <v>1.3547720909589042E-8</v>
      </c>
      <c r="AX4" s="233">
        <f t="shared" si="7"/>
        <v>0</v>
      </c>
      <c r="AY4" s="233">
        <f t="shared" si="8"/>
        <v>0</v>
      </c>
      <c r="AZ4" s="2">
        <f t="shared" si="19"/>
        <v>73813153.27304998</v>
      </c>
      <c r="BA4" s="189">
        <f>AZ4*(0.0000000000000028)*s_RadSpec!$AY4*s_RadSpec!$AF4</f>
        <v>4.5935393305973574E-14</v>
      </c>
      <c r="BB4" s="40">
        <f t="shared" si="9"/>
        <v>2200</v>
      </c>
      <c r="BC4" s="40">
        <f t="shared" si="10"/>
        <v>0.12557077625570776</v>
      </c>
      <c r="BD4" s="19">
        <f>IFERROR(s_C*s_RadSpec!AI4*s_Q_w_game*(1/1000)*s_EF_rec*1*s_IRGL_rec*s_CF_game,".")</f>
        <v>5.5000000000000005E-3</v>
      </c>
      <c r="BE4" s="19">
        <f>IFERROR(s_C*s_RadSpec!AL4*s_Q_w_fowl*(1/1000)*s_EF_rec*1*s_IRGL_rec*s_CF_fowl,0)</f>
        <v>0</v>
      </c>
      <c r="BF4" s="18"/>
      <c r="BG4" s="2" t="str">
        <f>IFERROR(s_DL/(s_RadSpec!F4*s_EF_rec*1*s_IRGL_rec*s_CF_game),".")</f>
        <v>.</v>
      </c>
      <c r="BH4" s="2" t="str">
        <f>IFERROR(s_DL/(s_RadSpec!F4*s_EF_rec*1*s_IRGF_rec*s_CF_fowl),".")</f>
        <v>.</v>
      </c>
      <c r="BI4" s="189">
        <f>IFERROR(BG4*(0.0000000000028)*s_RadSpec!$AY4*s_RadSpec!$AF4,0)</f>
        <v>0</v>
      </c>
      <c r="BJ4" s="189">
        <f>IFERROR(BH4*(0.0000000000028)*s_RadSpec!$AY4*s_RadSpec!$AF4,0)</f>
        <v>0</v>
      </c>
      <c r="BK4" s="19">
        <f t="shared" si="11"/>
        <v>275</v>
      </c>
      <c r="BL4" s="19">
        <f t="shared" si="12"/>
        <v>275</v>
      </c>
    </row>
    <row r="5" spans="1:64" customFormat="1" x14ac:dyDescent="0.25">
      <c r="A5" s="44" t="s">
        <v>3</v>
      </c>
      <c r="B5" s="42" t="s">
        <v>1057</v>
      </c>
      <c r="C5" s="238"/>
      <c r="D5" s="15" t="str">
        <f>IFERROR(((s_DL/(s_RadSpec!E5*s_IFS_rec_adj*(1/1000)))*1),".")</f>
        <v>.</v>
      </c>
      <c r="E5" s="15" t="str">
        <f>IFERROR(IF(A5="H-3",(s_DL/((s_RadSpec!H5*s_IFA_rec_adj*(1/17)*1000))*1),(s_DL/((s_RadSpec!H5*s_IFA_rec_adj*(1/s_PEF_wind)*1000))*1)),".")</f>
        <v>.</v>
      </c>
      <c r="F5" s="2" t="str">
        <f>IFERROR((s_DL/(s_RadSpec!G5*s_EF_rec*(1/365)*1*s_RadSpec!R5*s_ET_rec*(1/24)*s_RadSpec!W5)),".")</f>
        <v>.</v>
      </c>
      <c r="G5" s="2" t="str">
        <f>IFERROR((BG5/(s_RadSpec!AI5*((s_Q_p_game*s_f_p_game*s_f_s_game*(s_RadSpec!BD5+s_R_es_past))+(s_Q_s_game*s_f_p_game)))),".")</f>
        <v>.</v>
      </c>
      <c r="H5" s="2" t="str">
        <f>IFERROR((BG5/(s_RadSpec!AL5*((s_Q_p_fowl*s_f_p_fowl*s_f_s_fowl*(s_RadSpec!BD5+s_R_es_past))+(s_Q_s_fowl*s_f_p_fowl)))),".")</f>
        <v>.</v>
      </c>
      <c r="I5" s="233">
        <f t="shared" si="13"/>
        <v>0</v>
      </c>
      <c r="J5" s="233">
        <f t="shared" si="14"/>
        <v>0</v>
      </c>
      <c r="K5" s="233">
        <f t="shared" si="15"/>
        <v>0</v>
      </c>
      <c r="L5" s="233">
        <f t="shared" si="16"/>
        <v>0</v>
      </c>
      <c r="M5" s="233">
        <f t="shared" si="17"/>
        <v>0</v>
      </c>
      <c r="N5" s="2">
        <f t="shared" si="18"/>
        <v>0</v>
      </c>
      <c r="O5" s="189">
        <f>IFERROR(N5*(0.0000000000028)*s_RadSpec!$AY5*s_RadSpec!$AF5,0)</f>
        <v>0</v>
      </c>
      <c r="P5" s="40">
        <f t="shared" si="1"/>
        <v>15.125</v>
      </c>
      <c r="Q5" s="40">
        <f t="shared" si="2"/>
        <v>1.6181272791589674E-3</v>
      </c>
      <c r="R5" s="40">
        <f>IFERROR((s_C*s_EF_rec*(1/365)*1*s_RadSpec!R5*s_ET_rec*(1/24)*s_RadSpec!W5),".")</f>
        <v>0</v>
      </c>
      <c r="S5" s="19">
        <f>IFERROR((s_C*s_IRGL_rec*s_EF_rec*1*s_CF_game*s_RadSpec!AI5)*((s_Q_p_game*s_f_p_game*s_f_s_game*(s_RadSpec!BD5+s_R_es_past))+(s_Q_s_game*s_f_p_game)),".")</f>
        <v>41.8</v>
      </c>
      <c r="T5" s="19">
        <f>IFERROR((s_C*s_IRGF_rec*s_EF_rec*1*s_CF_fowl*s_RadSpec!AL5)*((s_Q_p_fowl*s_f_p_fowl*s_f_s_fowl*(s_RadSpec!BD5+s_R_es_past))+(s_Q_s_fowl*s_f_p_fowl)),0)</f>
        <v>0</v>
      </c>
      <c r="U5" s="18"/>
      <c r="V5" s="15" t="str">
        <f>IFERROR((s_DL/(s_RadSpec!G5*s_EF_rec*(1/365)*1*s_RadSpec!R5*s_ET_rec*(1/24)*s_RadSpec!W5)),".")</f>
        <v>.</v>
      </c>
      <c r="W5" s="15" t="str">
        <f>IFERROR((s_DL/(s_RadSpec!N5*s_EF_rec*(1/365)*1*s_RadSpec!S5*s_ET_rec*(1/24)*s_RadSpec!X5)),".")</f>
        <v>.</v>
      </c>
      <c r="X5" s="15" t="str">
        <f>IFERROR((s_DL/(s_RadSpec!O5*s_EF_rec*(1/365)*1*s_RadSpec!T5*s_ET_rec*(1/24)*s_RadSpec!Y5)),".")</f>
        <v>.</v>
      </c>
      <c r="Y5" s="15" t="str">
        <f>IFERROR((s_DL/(s_RadSpec!P5*s_EF_rec*(1/365)*1*s_RadSpec!U5*s_ET_rec*(1/24)*s_RadSpec!Z5)),".")</f>
        <v>.</v>
      </c>
      <c r="Z5" s="15" t="str">
        <f>IFERROR((s_DL/(s_RadSpec!L5*s_EF_rec*(1/365)*1*s_RadSpec!Q5*s_ET_rec*(1/24)*s_RadSpec!V5)),".")</f>
        <v>.</v>
      </c>
      <c r="AA5" s="189">
        <f>IFERROR(V5*(0.0000000000028)*s_RadSpec!$AY5*s_RadSpec!$AF5,0)</f>
        <v>0</v>
      </c>
      <c r="AB5" s="189">
        <f>IFERROR(W5*(0.0000000000028)*s_RadSpec!$AY5*s_RadSpec!$AF5,0)</f>
        <v>0</v>
      </c>
      <c r="AC5" s="189">
        <f>IFERROR(X5*(0.0000000000028)*s_RadSpec!$AY5*s_RadSpec!$AF5,0)</f>
        <v>0</v>
      </c>
      <c r="AD5" s="189">
        <f>IFERROR(Y5*(0.0000000000028)*s_RadSpec!$AY5*s_RadSpec!$AF5,0)</f>
        <v>0</v>
      </c>
      <c r="AE5" s="189">
        <f>IFERROR(Z5*(0.0000000000028)*s_RadSpec!$AY5*s_RadSpec!$AF5,0)</f>
        <v>0</v>
      </c>
      <c r="AF5" s="40">
        <f>IFERROR((s_C*s_EF_rec*(1/365)*1*s_RadSpec!R5*s_ET_rec*(1/24)*s_RadSpec!W5),".")</f>
        <v>0</v>
      </c>
      <c r="AG5" s="40">
        <f>IFERROR((s_C*s_EF_rec*(1/365)*1*s_RadSpec!S5*s_ET_rec*(1/24)*s_RadSpec!X5),".")</f>
        <v>0</v>
      </c>
      <c r="AH5" s="40">
        <f>IFERROR((s_C*s_EF_rec*(1/365)*1*s_RadSpec!T5*s_ET_rec*(1/24)*s_RadSpec!Y5),".")</f>
        <v>0</v>
      </c>
      <c r="AI5" s="40">
        <f>IFERROR((s_C*s_EF_rec*(1/365)*1*s_RadSpec!U5*s_ET_rec*(1/24)*s_RadSpec!Z5),".")</f>
        <v>0</v>
      </c>
      <c r="AJ5" s="40">
        <f>IFERROR((s_C*s_EF_rec*(1/365)*1*s_RadSpec!Q5*s_ET_rec*(1/24)*s_RadSpec!V5),".")</f>
        <v>0</v>
      </c>
      <c r="AK5" s="15" t="str">
        <f>IFERROR((s_DL/(s_RadSpec!H5*s_IFA_rec_adj)),".")</f>
        <v>.</v>
      </c>
      <c r="AL5" s="15">
        <f>IFERROR((s_DL/(s_RadSpec!K5*s_EF_rec*(1/365)*1*s_ET_rec*(1/24)*s_GSF_a)),".")</f>
        <v>2783810352.0121703</v>
      </c>
      <c r="AM5" s="15">
        <f t="shared" si="20"/>
        <v>2783810352.0121703</v>
      </c>
      <c r="AN5" s="189">
        <f>AM5*(0.0000000000000028)*s_RadSpec!$AY5*s_RadSpec!$AF5</f>
        <v>8.0823717602179866E-11</v>
      </c>
      <c r="AO5" s="40">
        <f t="shared" si="3"/>
        <v>501.30208333333326</v>
      </c>
      <c r="AP5" s="40">
        <f t="shared" si="4"/>
        <v>7.8481735159817351E-2</v>
      </c>
      <c r="AQ5" s="45"/>
      <c r="AR5" s="15" t="str">
        <f>IFERROR((s_DL/(s_RadSpec!I5*s_IFW_rec_adj)),".")</f>
        <v>.</v>
      </c>
      <c r="AS5" s="15">
        <f>IFERROR((s_DL/(s_RadSpec!M5*(1/8760)*s_DFA_rec_adj)),".")</f>
        <v>1364067072.4859638</v>
      </c>
      <c r="AT5" s="2" t="str">
        <f>IFERROR(BG5/(s_RadSpec!AI5*s_Q_w_game*(1/1000)),".")</f>
        <v>.</v>
      </c>
      <c r="AU5" s="2" t="str">
        <f>IFERROR(BG5/(s_RadSpec!AL5*s_Q_w_fowl*(1/1000)),".")</f>
        <v>.</v>
      </c>
      <c r="AV5" s="233">
        <f t="shared" si="5"/>
        <v>0</v>
      </c>
      <c r="AW5" s="233">
        <f t="shared" si="6"/>
        <v>7.3310178082191773E-10</v>
      </c>
      <c r="AX5" s="233">
        <f t="shared" si="7"/>
        <v>0</v>
      </c>
      <c r="AY5" s="233">
        <f t="shared" si="8"/>
        <v>0</v>
      </c>
      <c r="AZ5" s="2">
        <f t="shared" si="19"/>
        <v>1364067072.4859638</v>
      </c>
      <c r="BA5" s="189">
        <f>AZ5*(0.0000000000000028)*s_RadSpec!$AY5*s_RadSpec!$AF5</f>
        <v>3.9603621625068142E-11</v>
      </c>
      <c r="BB5" s="40">
        <f t="shared" si="9"/>
        <v>2200</v>
      </c>
      <c r="BC5" s="40">
        <f t="shared" si="10"/>
        <v>0.12557077625570776</v>
      </c>
      <c r="BD5" s="19">
        <f>IFERROR(s_C*s_RadSpec!AI5*s_Q_w_game*(1/1000)*s_EF_rec*1*s_IRGL_rec*s_CF_game,".")</f>
        <v>5.5000000000000005E-3</v>
      </c>
      <c r="BE5" s="19">
        <f>IFERROR(s_C*s_RadSpec!AL5*s_Q_w_fowl*(1/1000)*s_EF_rec*1*s_IRGL_rec*s_CF_fowl,0)</f>
        <v>0</v>
      </c>
      <c r="BF5" s="18"/>
      <c r="BG5" s="2" t="str">
        <f>IFERROR(s_DL/(s_RadSpec!F5*s_EF_rec*1*s_IRGL_rec*s_CF_game),".")</f>
        <v>.</v>
      </c>
      <c r="BH5" s="2" t="str">
        <f>IFERROR(s_DL/(s_RadSpec!F5*s_EF_rec*1*s_IRGF_rec*s_CF_fowl),".")</f>
        <v>.</v>
      </c>
      <c r="BI5" s="189">
        <f>IFERROR(BG5*(0.0000000000028)*s_RadSpec!$AY5*s_RadSpec!$AF5,0)</f>
        <v>0</v>
      </c>
      <c r="BJ5" s="189">
        <f>IFERROR(BH5*(0.0000000000028)*s_RadSpec!$AY5*s_RadSpec!$AF5,0)</f>
        <v>0</v>
      </c>
      <c r="BK5" s="19">
        <f t="shared" si="11"/>
        <v>275</v>
      </c>
      <c r="BL5" s="19">
        <f t="shared" si="12"/>
        <v>275</v>
      </c>
    </row>
    <row r="6" spans="1:64" customFormat="1" x14ac:dyDescent="0.25">
      <c r="A6" s="44" t="s">
        <v>4</v>
      </c>
      <c r="B6" s="42" t="s">
        <v>1057</v>
      </c>
      <c r="C6" s="42"/>
      <c r="D6" s="15" t="str">
        <f>IFERROR(((s_DL/(s_RadSpec!E6*s_IFS_rec_adj*(1/1000)))*1),".")</f>
        <v>.</v>
      </c>
      <c r="E6" s="15" t="str">
        <f>IFERROR(IF(A6="H-3",(s_DL/((s_RadSpec!H6*s_IFA_rec_adj*(1/17)*1000))*1),(s_DL/((s_RadSpec!H6*s_IFA_rec_adj*(1/s_PEF_wind)*1000))*1)),".")</f>
        <v>.</v>
      </c>
      <c r="F6" s="2">
        <f>IFERROR((s_DL/(s_RadSpec!G6*s_EF_rec*(1/365)*1*s_RadSpec!R6*s_ET_rec*(1/24)*s_RadSpec!W6)),".")</f>
        <v>627.70962645068357</v>
      </c>
      <c r="G6" s="2" t="str">
        <f>IFERROR((BG6/(s_RadSpec!AI6*((s_Q_p_game*s_f_p_game*s_f_s_game*(s_RadSpec!BD6+s_R_es_past))+(s_Q_s_game*s_f_p_game)))),".")</f>
        <v>.</v>
      </c>
      <c r="H6" s="2" t="str">
        <f>IFERROR((BG6/(s_RadSpec!AL6*((s_Q_p_fowl*s_f_p_fowl*s_f_s_fowl*(s_RadSpec!BD6+s_R_es_past))+(s_Q_s_fowl*s_f_p_fowl)))),".")</f>
        <v>.</v>
      </c>
      <c r="I6" s="233">
        <f t="shared" si="13"/>
        <v>0</v>
      </c>
      <c r="J6" s="233">
        <f t="shared" si="14"/>
        <v>0</v>
      </c>
      <c r="K6" s="233">
        <f t="shared" si="15"/>
        <v>1.5930932996111469E-3</v>
      </c>
      <c r="L6" s="233">
        <f t="shared" si="16"/>
        <v>0</v>
      </c>
      <c r="M6" s="233">
        <f t="shared" si="17"/>
        <v>0</v>
      </c>
      <c r="N6" s="2">
        <f t="shared" si="18"/>
        <v>627.70962645068357</v>
      </c>
      <c r="O6" s="189">
        <f>IFERROR(N6*(0.0000000000028)*s_RadSpec!$AY6*s_RadSpec!$AF6,0)</f>
        <v>1.1691297207514121E-12</v>
      </c>
      <c r="P6" s="40">
        <f t="shared" si="1"/>
        <v>15.125</v>
      </c>
      <c r="Q6" s="40">
        <f t="shared" si="2"/>
        <v>1.6181272791589674E-3</v>
      </c>
      <c r="R6" s="40">
        <f>IFERROR((s_C*s_EF_rec*(1/365)*1*s_RadSpec!R6*s_ET_rec*(1/24)*s_RadSpec!W6),".")</f>
        <v>1.1779470610065028E-2</v>
      </c>
      <c r="S6" s="19">
        <f>IFERROR((s_C*s_IRGL_rec*s_EF_rec*1*s_CF_game*s_RadSpec!AI6)*((s_Q_p_game*s_f_p_game*s_f_s_game*(s_RadSpec!BD6+s_R_es_past))+(s_Q_s_game*s_f_p_game)),".")</f>
        <v>0.30835402298850573</v>
      </c>
      <c r="T6" s="19">
        <f>IFERROR((s_C*s_IRGF_rec*s_EF_rec*1*s_CF_fowl*s_RadSpec!AL6)*((s_Q_p_fowl*s_f_p_fowl*s_f_s_fowl*(s_RadSpec!BD6+s_R_es_past))+(s_Q_s_fowl*s_f_p_fowl)),0)</f>
        <v>41.848045977011488</v>
      </c>
      <c r="U6" s="18"/>
      <c r="V6" s="15">
        <f>IFERROR((s_DL/(s_RadSpec!G6*s_EF_rec*(1/365)*1*s_RadSpec!R6*s_ET_rec*(1/24)*s_RadSpec!W6)),".")</f>
        <v>627.70962645068357</v>
      </c>
      <c r="W6" s="15">
        <f>IFERROR((s_DL/(s_RadSpec!N6*s_EF_rec*(1/365)*1*s_RadSpec!S6*s_ET_rec*(1/24)*s_RadSpec!X6)),".")</f>
        <v>5891.6987155374491</v>
      </c>
      <c r="X6" s="15">
        <f>IFERROR((s_DL/(s_RadSpec!O6*s_EF_rec*(1/365)*1*s_RadSpec!T6*s_ET_rec*(1/24)*s_RadSpec!Y6)),".")</f>
        <v>1455.1821479402183</v>
      </c>
      <c r="Y6" s="15">
        <f>IFERROR((s_DL/(s_RadSpec!P6*s_EF_rec*(1/365)*1*s_RadSpec!U6*s_ET_rec*(1/24)*s_RadSpec!Z6)),".")</f>
        <v>769.86498176331497</v>
      </c>
      <c r="Z6" s="15">
        <f>IFERROR((s_DL/(s_RadSpec!L6*s_EF_rec*(1/365)*1*s_RadSpec!Q6*s_ET_rec*(1/24)*s_RadSpec!V6)),".")</f>
        <v>9866.7789283092516</v>
      </c>
      <c r="AA6" s="189">
        <f>IFERROR(V6*(0.0000000000028)*s_RadSpec!$AY6*s_RadSpec!$AF6,0)</f>
        <v>1.1691297207514121E-12</v>
      </c>
      <c r="AB6" s="189">
        <f>IFERROR(W6*(0.0000000000028)*s_RadSpec!$AY6*s_RadSpec!$AF6,0)</f>
        <v>1.0973481660614493E-11</v>
      </c>
      <c r="AC6" s="189">
        <f>IFERROR(X6*(0.0000000000028)*s_RadSpec!$AY6*s_RadSpec!$AF6,0)</f>
        <v>2.7103243706546068E-12</v>
      </c>
      <c r="AD6" s="189">
        <f>IFERROR(Y6*(0.0000000000028)*s_RadSpec!$AY6*s_RadSpec!$AF6,0)</f>
        <v>1.43389872198487E-12</v>
      </c>
      <c r="AE6" s="189">
        <f>IFERROR(Z6*(0.0000000000028)*s_RadSpec!$AY6*s_RadSpec!$AF6,0)</f>
        <v>1.8377198639435571E-11</v>
      </c>
      <c r="AF6" s="40">
        <f>IFERROR((s_C*s_EF_rec*(1/365)*1*s_RadSpec!R6*s_ET_rec*(1/24)*s_RadSpec!W6),".")</f>
        <v>1.1779470610065028E-2</v>
      </c>
      <c r="AG6" s="40">
        <f>IFERROR((s_C*s_EF_rec*(1/365)*1*s_RadSpec!S6*s_ET_rec*(1/24)*s_RadSpec!X6),".")</f>
        <v>6.3098655558113661E-3</v>
      </c>
      <c r="AH6" s="40">
        <f>IFERROR((s_C*s_EF_rec*(1/365)*1*s_RadSpec!T6*s_ET_rec*(1/24)*s_RadSpec!Y6),".")</f>
        <v>8.9291178270489071E-3</v>
      </c>
      <c r="AI6" s="40">
        <f>IFERROR((s_C*s_EF_rec*(1/365)*1*s_RadSpec!U6*s_ET_rec*(1/24)*s_RadSpec!Z6),".")</f>
        <v>1.0797487130267869E-2</v>
      </c>
      <c r="AJ6" s="40">
        <f>IFERROR((s_C*s_EF_rec*(1/365)*1*s_RadSpec!Q6*s_ET_rec*(1/24)*s_RadSpec!V6),".")</f>
        <v>3.7564212328767103E-3</v>
      </c>
      <c r="AK6" s="15" t="str">
        <f>IFERROR((s_DL/(s_RadSpec!H6*s_IFA_rec_adj)),".")</f>
        <v>.</v>
      </c>
      <c r="AL6" s="15">
        <f>IFERROR((s_DL/(s_RadSpec!K6*s_EF_rec*(1/365)*1*s_ET_rec*(1/24)*s_GSF_a)),".")</f>
        <v>101417.62620713483</v>
      </c>
      <c r="AM6" s="15">
        <f t="shared" si="20"/>
        <v>101417.62620713483</v>
      </c>
      <c r="AN6" s="189">
        <f>AM6*(0.0000000000000028)*s_RadSpec!$AY6*s_RadSpec!$AF6</f>
        <v>1.8889364765243757E-13</v>
      </c>
      <c r="AO6" s="40">
        <f t="shared" si="3"/>
        <v>501.30208333333326</v>
      </c>
      <c r="AP6" s="40">
        <f t="shared" si="4"/>
        <v>7.8481735159817351E-2</v>
      </c>
      <c r="AQ6" s="45"/>
      <c r="AR6" s="15" t="str">
        <f>IFERROR((s_DL/(s_RadSpec!I6*s_IFW_rec_adj)),".")</f>
        <v>.</v>
      </c>
      <c r="AS6" s="15">
        <f>IFERROR((s_DL/(s_RadSpec!M6*(1/8760)*s_DFA_rec_adj)),".")</f>
        <v>29246.721108189617</v>
      </c>
      <c r="AT6" s="2" t="str">
        <f>IFERROR(BG6/(s_RadSpec!AI6*s_Q_w_game*(1/1000)),".")</f>
        <v>.</v>
      </c>
      <c r="AU6" s="2" t="str">
        <f>IFERROR(BG6/(s_RadSpec!AL6*s_Q_w_fowl*(1/1000)),".")</f>
        <v>.</v>
      </c>
      <c r="AV6" s="233">
        <f t="shared" si="5"/>
        <v>0</v>
      </c>
      <c r="AW6" s="233">
        <f t="shared" si="6"/>
        <v>3.4191867057534242E-5</v>
      </c>
      <c r="AX6" s="233">
        <f t="shared" si="7"/>
        <v>0</v>
      </c>
      <c r="AY6" s="233">
        <f t="shared" si="8"/>
        <v>0</v>
      </c>
      <c r="AZ6" s="2">
        <f t="shared" si="19"/>
        <v>29246.72110818962</v>
      </c>
      <c r="BA6" s="189">
        <f>AZ6*(0.0000000000000028)*s_RadSpec!$AY6*s_RadSpec!$AF6</f>
        <v>5.4472975148483844E-14</v>
      </c>
      <c r="BB6" s="40">
        <f t="shared" si="9"/>
        <v>2200</v>
      </c>
      <c r="BC6" s="40">
        <f t="shared" si="10"/>
        <v>0.12557077625570776</v>
      </c>
      <c r="BD6" s="19">
        <f>IFERROR(s_C*s_RadSpec!AI6*s_Q_w_game*(1/1000)*s_EF_rec*1*s_IRGL_rec*s_CF_game,".")</f>
        <v>7.6999999999999988E-5</v>
      </c>
      <c r="BE6" s="19">
        <f>IFERROR(s_C*s_RadSpec!AL6*s_Q_w_fowl*(1/1000)*s_EF_rec*1*s_IRGL_rec*s_CF_fowl,0)</f>
        <v>1.0450000000000001E-2</v>
      </c>
      <c r="BF6" s="18"/>
      <c r="BG6" s="2" t="str">
        <f>IFERROR(s_DL/(s_RadSpec!F6*s_EF_rec*1*s_IRGL_rec*s_CF_game),".")</f>
        <v>.</v>
      </c>
      <c r="BH6" s="2" t="str">
        <f>IFERROR(s_DL/(s_RadSpec!F6*s_EF_rec*1*s_IRGF_rec*s_CF_fowl),".")</f>
        <v>.</v>
      </c>
      <c r="BI6" s="189">
        <f>IFERROR(BG6*(0.0000000000028)*s_RadSpec!$AY6*s_RadSpec!$AF6,0)</f>
        <v>0</v>
      </c>
      <c r="BJ6" s="189">
        <f>IFERROR(BH6*(0.0000000000028)*s_RadSpec!$AY6*s_RadSpec!$AF6,0)</f>
        <v>0</v>
      </c>
      <c r="BK6" s="19">
        <f t="shared" si="11"/>
        <v>275</v>
      </c>
      <c r="BL6" s="19">
        <f t="shared" si="12"/>
        <v>275</v>
      </c>
    </row>
    <row r="7" spans="1:64" customFormat="1" x14ac:dyDescent="0.25">
      <c r="A7" s="44" t="s">
        <v>5</v>
      </c>
      <c r="B7" s="42" t="s">
        <v>1057</v>
      </c>
      <c r="C7" s="238"/>
      <c r="D7" s="15">
        <f>IFERROR(((s_DL/(s_RadSpec!E7*s_IFS_rec_adj*(1/1000)))*1),".")</f>
        <v>248182.06636388457</v>
      </c>
      <c r="E7" s="15">
        <f>IFERROR(IF(A7="H-3",(s_DL/((s_RadSpec!H7*s_IFA_rec_adj*(1/17)*1000))*1),(s_DL/((s_RadSpec!H7*s_IFA_rec_adj*(1/s_PEF_wind)*1000))*1)),".")</f>
        <v>28600442.291690964</v>
      </c>
      <c r="F7" s="2">
        <f>IFERROR((s_DL/(s_RadSpec!G7*s_EF_rec*(1/365)*1*s_RadSpec!R7*s_ET_rec*(1/24)*s_RadSpec!W7)),".")</f>
        <v>839022.2014605056</v>
      </c>
      <c r="G7" s="2">
        <f>IFERROR((BG7/(s_RadSpec!AI7*((s_Q_p_game*s_f_p_game*s_f_s_game*(s_RadSpec!BD7+s_R_es_past))+(s_Q_s_game*s_f_p_game)))),".")</f>
        <v>568750.56875056867</v>
      </c>
      <c r="H7" s="2" t="str">
        <f>IFERROR((BG7/(s_RadSpec!AL7*((s_Q_p_fowl*s_f_p_fowl*s_f_s_fowl*(s_RadSpec!BD7+s_R_es_past))+(s_Q_s_fowl*s_f_p_fowl)))),".")</f>
        <v>.</v>
      </c>
      <c r="I7" s="233">
        <f t="shared" si="13"/>
        <v>4.0292999999999997E-6</v>
      </c>
      <c r="J7" s="233">
        <f t="shared" si="14"/>
        <v>3.4964494248066966E-8</v>
      </c>
      <c r="K7" s="233">
        <f t="shared" si="15"/>
        <v>1.1918635743598638E-6</v>
      </c>
      <c r="L7" s="233">
        <f t="shared" si="16"/>
        <v>1.7582400000000002E-6</v>
      </c>
      <c r="M7" s="233">
        <f t="shared" si="17"/>
        <v>0</v>
      </c>
      <c r="N7" s="2">
        <f t="shared" si="18"/>
        <v>142564.51760428643</v>
      </c>
      <c r="O7" s="189">
        <f>IFERROR(N7*(0.0000000000028)*s_RadSpec!$AY7*s_RadSpec!$AF7,0)</f>
        <v>1.1513135477511516E-6</v>
      </c>
      <c r="P7" s="40">
        <f t="shared" si="1"/>
        <v>15.125</v>
      </c>
      <c r="Q7" s="40">
        <f t="shared" si="2"/>
        <v>1.6181272791589674E-3</v>
      </c>
      <c r="R7" s="40">
        <f>IFERROR((s_C*s_EF_rec*(1/365)*1*s_RadSpec!R7*s_ET_rec*(1/24)*s_RadSpec!W7),".")</f>
        <v>5.4440494769088512E-3</v>
      </c>
      <c r="S7" s="19">
        <f>IFERROR((s_C*s_IRGL_rec*s_EF_rec*1*s_CF_game*s_RadSpec!AI7)*((s_Q_p_game*s_f_p_game*s_f_s_game*(s_RadSpec!BD7+s_R_es_past))+(s_Q_s_game*s_f_p_game)),".")</f>
        <v>6.6000000000000005</v>
      </c>
      <c r="T7" s="19">
        <f>IFERROR((s_C*s_IRGF_rec*s_EF_rec*1*s_CF_fowl*s_RadSpec!AL7)*((s_Q_p_fowl*s_f_p_fowl*s_f_s_fowl*(s_RadSpec!BD7+s_R_es_past))+(s_Q_s_fowl*s_f_p_fowl)),0)</f>
        <v>0</v>
      </c>
      <c r="U7" s="18"/>
      <c r="V7" s="15">
        <f>IFERROR((s_DL/(s_RadSpec!G7*s_EF_rec*(1/365)*1*s_RadSpec!R7*s_ET_rec*(1/24)*s_RadSpec!W7)),".")</f>
        <v>839022.2014605056</v>
      </c>
      <c r="W7" s="15">
        <f>IFERROR((s_DL/(s_RadSpec!N7*s_EF_rec*(1/365)*1*s_RadSpec!S7*s_ET_rec*(1/24)*s_RadSpec!X7)),".")</f>
        <v>2327921.6300107753</v>
      </c>
      <c r="X7" s="15">
        <f>IFERROR((s_DL/(s_RadSpec!O7*s_EF_rec*(1/365)*1*s_RadSpec!T7*s_ET_rec*(1/24)*s_RadSpec!Y7)),".")</f>
        <v>1179112.0820385634</v>
      </c>
      <c r="Y7" s="15">
        <f>IFERROR((s_DL/(s_RadSpec!P7*s_EF_rec*(1/365)*1*s_RadSpec!U7*s_ET_rec*(1/24)*s_RadSpec!Z7)),".")</f>
        <v>918377.36308965657</v>
      </c>
      <c r="Z7" s="15">
        <f>IFERROR((s_DL/(s_RadSpec!L7*s_EF_rec*(1/365)*1*s_RadSpec!Q7*s_ET_rec*(1/24)*s_RadSpec!V7)),".")</f>
        <v>304692.64651778154</v>
      </c>
      <c r="AA7" s="189">
        <f>IFERROR(V7*(0.0000000000028)*s_RadSpec!$AY7*s_RadSpec!$AF7,0)</f>
        <v>6.7757226246626213E-6</v>
      </c>
      <c r="AB7" s="189">
        <f>IFERROR(W7*(0.0000000000028)*s_RadSpec!$AY7*s_RadSpec!$AF7,0)</f>
        <v>1.8799682808689039E-5</v>
      </c>
      <c r="AC7" s="189">
        <f>IFERROR(X7*(0.0000000000028)*s_RadSpec!$AY7*s_RadSpec!$AF7,0)</f>
        <v>9.5221990519136658E-6</v>
      </c>
      <c r="AD7" s="189">
        <f>IFERROR(Y7*(0.0000000000028)*s_RadSpec!$AY7*s_RadSpec!$AF7,0)</f>
        <v>7.4165740384850809E-6</v>
      </c>
      <c r="AE7" s="189">
        <f>IFERROR(Z7*(0.0000000000028)*s_RadSpec!$AY7*s_RadSpec!$AF7,0)</f>
        <v>2.4606176749377037E-6</v>
      </c>
      <c r="AF7" s="40">
        <f>IFERROR((s_C*s_EF_rec*(1/365)*1*s_RadSpec!R7*s_ET_rec*(1/24)*s_RadSpec!W7),".")</f>
        <v>5.4440494769088512E-3</v>
      </c>
      <c r="AG7" s="40">
        <f>IFERROR((s_C*s_EF_rec*(1/365)*1*s_RadSpec!S7*s_ET_rec*(1/24)*s_RadSpec!X7),".")</f>
        <v>3.4220432918540184E-3</v>
      </c>
      <c r="AH7" s="40">
        <f>IFERROR((s_C*s_EF_rec*(1/365)*1*s_RadSpec!T7*s_ET_rec*(1/24)*s_RadSpec!Y7),".")</f>
        <v>4.6709129511677272E-3</v>
      </c>
      <c r="AI7" s="40">
        <f>IFERROR((s_C*s_EF_rec*(1/365)*1*s_RadSpec!U7*s_ET_rec*(1/24)*s_RadSpec!Z7),".")</f>
        <v>5.0776185241558159E-3</v>
      </c>
      <c r="AJ7" s="40">
        <f>IFERROR((s_C*s_EF_rec*(1/365)*1*s_RadSpec!Q7*s_ET_rec*(1/24)*s_RadSpec!V7),".")</f>
        <v>1.9996611449966122E-3</v>
      </c>
      <c r="AK7" s="15">
        <f>IFERROR((s_DL/(s_RadSpec!H7*s_IFA_rec_adj)),".")</f>
        <v>92.317900537078629</v>
      </c>
      <c r="AL7" s="15">
        <f>IFERROR((s_DL/(s_RadSpec!K7*s_EF_rec*(1/365)*1*s_ET_rec*(1/24)*s_GSF_a)),".")</f>
        <v>10574163.352604371</v>
      </c>
      <c r="AM7" s="15">
        <f t="shared" si="20"/>
        <v>92.3170945612232</v>
      </c>
      <c r="AN7" s="189">
        <f>AM7*(0.0000000000000028)*s_RadSpec!$AY7*s_RadSpec!$AF7</f>
        <v>7.4552857501595305E-13</v>
      </c>
      <c r="AO7" s="40">
        <f t="shared" si="3"/>
        <v>501.30208333333326</v>
      </c>
      <c r="AP7" s="40">
        <f t="shared" si="4"/>
        <v>7.8481735159817351E-2</v>
      </c>
      <c r="AQ7" s="45"/>
      <c r="AR7" s="15">
        <f>IFERROR((s_DL/(s_RadSpec!I7*s_IFW_rec_adj)),".")</f>
        <v>1706.2517062517061</v>
      </c>
      <c r="AS7" s="15">
        <f>IFERROR((s_DL/(s_RadSpec!M7*(1/8760)*s_DFA_rec_adj)),".")</f>
        <v>5721757.8543874314</v>
      </c>
      <c r="AT7" s="2">
        <f>IFERROR(BG7/(s_RadSpec!AI7*s_Q_w_game*(1/1000)),".")</f>
        <v>3412503412.5034122</v>
      </c>
      <c r="AU7" s="2" t="str">
        <f>IFERROR(BG7/(s_RadSpec!AL7*s_Q_w_fowl*(1/1000)),".")</f>
        <v>.</v>
      </c>
      <c r="AV7" s="233">
        <f t="shared" si="5"/>
        <v>5.8608000000000011E-4</v>
      </c>
      <c r="AW7" s="233">
        <f t="shared" si="6"/>
        <v>1.747714645479452E-7</v>
      </c>
      <c r="AX7" s="233">
        <f t="shared" si="7"/>
        <v>2.9304E-10</v>
      </c>
      <c r="AY7" s="233">
        <f t="shared" si="8"/>
        <v>0</v>
      </c>
      <c r="AZ7" s="2">
        <f t="shared" si="19"/>
        <v>1705.7421940484439</v>
      </c>
      <c r="BA7" s="189">
        <f>AZ7*(0.0000000000000028)*s_RadSpec!$AY7*s_RadSpec!$AF7</f>
        <v>1.3775125325571901E-11</v>
      </c>
      <c r="BB7" s="40">
        <f t="shared" si="9"/>
        <v>2200</v>
      </c>
      <c r="BC7" s="40">
        <f t="shared" si="10"/>
        <v>0.12557077625570776</v>
      </c>
      <c r="BD7" s="19">
        <f>IFERROR(s_C*s_RadSpec!AI7*s_Q_w_game*(1/1000)*s_EF_rec*1*s_IRGL_rec*s_CF_game,".")</f>
        <v>1.1000000000000001E-3</v>
      </c>
      <c r="BE7" s="19">
        <f>IFERROR(s_C*s_RadSpec!AL7*s_Q_w_fowl*(1/1000)*s_EF_rec*1*s_IRGL_rec*s_CF_fowl,0)</f>
        <v>0</v>
      </c>
      <c r="BF7" s="18"/>
      <c r="BG7" s="2">
        <f>IFERROR(s_DL/(s_RadSpec!F7*s_EF_rec*1*s_IRGL_rec*s_CF_game),".")</f>
        <v>13650.013650013649</v>
      </c>
      <c r="BH7" s="2">
        <f>IFERROR(s_DL/(s_RadSpec!F7*s_EF_rec*1*s_IRGF_rec*s_CF_fowl),".")</f>
        <v>13650.013650013649</v>
      </c>
      <c r="BI7" s="189">
        <f>IFERROR(BG7*(0.0000000000028)*s_RadSpec!$AY7*s_RadSpec!$AF7,0)</f>
        <v>1.1023392009693406E-7</v>
      </c>
      <c r="BJ7" s="189">
        <f>IFERROR(BH7*(0.0000000000028)*s_RadSpec!$AY7*s_RadSpec!$AF7,0)</f>
        <v>1.1023392009693406E-7</v>
      </c>
      <c r="BK7" s="19">
        <f t="shared" si="11"/>
        <v>275</v>
      </c>
      <c r="BL7" s="19">
        <f t="shared" si="12"/>
        <v>275</v>
      </c>
    </row>
    <row r="8" spans="1:64" customFormat="1" x14ac:dyDescent="0.25">
      <c r="A8" s="44" t="s">
        <v>6</v>
      </c>
      <c r="B8" s="42" t="s">
        <v>1057</v>
      </c>
      <c r="C8" s="42"/>
      <c r="D8" s="15">
        <f>IFERROR(((s_DL/(s_RadSpec!E8*s_IFS_rec_adj*(1/1000)))*1),".")</f>
        <v>1666894.4755783291</v>
      </c>
      <c r="E8" s="15">
        <f>IFERROR(IF(A8="H-3",(s_DL/((s_RadSpec!H8*s_IFA_rec_adj*(1/17)*1000))*1),(s_DL/((s_RadSpec!H8*s_IFA_rec_adj*(1/s_PEF_wind)*1000))*1)),".")</f>
        <v>117624354.21371496</v>
      </c>
      <c r="F8" s="2">
        <f>IFERROR((s_DL/(s_RadSpec!G8*s_EF_rec*(1/365)*1*s_RadSpec!R8*s_ET_rec*(1/24)*s_RadSpec!W8)),".")</f>
        <v>3840.2491876324025</v>
      </c>
      <c r="G8" s="2">
        <f>IFERROR((BG8/(s_RadSpec!AI8*((s_Q_p_game*s_f_p_game*s_f_s_game*(s_RadSpec!BD8+s_R_es_past))+(s_Q_s_game*s_f_p_game)))),".")</f>
        <v>3819966.5065336707</v>
      </c>
      <c r="H8" s="2" t="str">
        <f>IFERROR((BG8/(s_RadSpec!AL8*((s_Q_p_fowl*s_f_p_fowl*s_f_s_fowl*(s_RadSpec!BD8+s_R_es_past))+(s_Q_s_fowl*s_f_p_fowl)))),".")</f>
        <v>.</v>
      </c>
      <c r="I8" s="233">
        <f t="shared" si="13"/>
        <v>5.9991800000000004E-7</v>
      </c>
      <c r="J8" s="233">
        <f t="shared" si="14"/>
        <v>8.5016407247012148E-9</v>
      </c>
      <c r="K8" s="233">
        <f t="shared" si="15"/>
        <v>2.6039976864535757E-4</v>
      </c>
      <c r="L8" s="233">
        <f t="shared" si="16"/>
        <v>2.6178239999999998E-7</v>
      </c>
      <c r="M8" s="233">
        <f t="shared" si="17"/>
        <v>0</v>
      </c>
      <c r="N8" s="2">
        <f t="shared" si="18"/>
        <v>3827.4586144517434</v>
      </c>
      <c r="O8" s="189">
        <f>IFERROR(N8*(0.0000000000028)*s_RadSpec!$AY8*s_RadSpec!$AF8,0)</f>
        <v>1.9799871598568235E-10</v>
      </c>
      <c r="P8" s="40">
        <f t="shared" si="1"/>
        <v>15.125</v>
      </c>
      <c r="Q8" s="40">
        <f t="shared" si="2"/>
        <v>1.6181272791589674E-3</v>
      </c>
      <c r="R8" s="40">
        <f>IFERROR((s_C*s_EF_rec*(1/365)*1*s_RadSpec!R8*s_ET_rec*(1/24)*s_RadSpec!W8),".")</f>
        <v>9.4701293759512899E-3</v>
      </c>
      <c r="S8" s="19">
        <f>IFERROR((s_C*s_IRGL_rec*s_EF_rec*1*s_CF_game*s_RadSpec!AI8)*((s_Q_p_game*s_f_p_game*s_f_s_game*(s_RadSpec!BD8+s_R_es_past))+(s_Q_s_game*s_f_p_game)),".")</f>
        <v>6.6000000000000005</v>
      </c>
      <c r="T8" s="19">
        <f>IFERROR((s_C*s_IRGF_rec*s_EF_rec*1*s_CF_fowl*s_RadSpec!AL8)*((s_Q_p_fowl*s_f_p_fowl*s_f_s_fowl*(s_RadSpec!BD8+s_R_es_past))+(s_Q_s_fowl*s_f_p_fowl)),0)</f>
        <v>0</v>
      </c>
      <c r="U8" s="18"/>
      <c r="V8" s="15">
        <f>IFERROR((s_DL/(s_RadSpec!G8*s_EF_rec*(1/365)*1*s_RadSpec!R8*s_ET_rec*(1/24)*s_RadSpec!W8)),".")</f>
        <v>3840.2491876324025</v>
      </c>
      <c r="W8" s="15">
        <f>IFERROR((s_DL/(s_RadSpec!N8*s_EF_rec*(1/365)*1*s_RadSpec!S8*s_ET_rec*(1/24)*s_RadSpec!X8)),".")</f>
        <v>32631.854502636783</v>
      </c>
      <c r="X8" s="15">
        <f>IFERROR((s_DL/(s_RadSpec!O8*s_EF_rec*(1/365)*1*s_RadSpec!T8*s_ET_rec*(1/24)*s_RadSpec!Y8)),".")</f>
        <v>8529.4966217584952</v>
      </c>
      <c r="Y8" s="15">
        <f>IFERROR((s_DL/(s_RadSpec!P8*s_EF_rec*(1/365)*1*s_RadSpec!U8*s_ET_rec*(1/24)*s_RadSpec!Z8)),".")</f>
        <v>5151.5870790326062</v>
      </c>
      <c r="Z8" s="15">
        <f>IFERROR((s_DL/(s_RadSpec!L8*s_EF_rec*(1/365)*1*s_RadSpec!Q8*s_ET_rec*(1/24)*s_RadSpec!V8)),".")</f>
        <v>46835.598583633044</v>
      </c>
      <c r="AA8" s="189">
        <f>IFERROR(V8*(0.0000000000028)*s_RadSpec!$AY8*s_RadSpec!$AF8,0)</f>
        <v>1.9866038664540658E-10</v>
      </c>
      <c r="AB8" s="189">
        <f>IFERROR(W8*(0.0000000000028)*s_RadSpec!$AY8*s_RadSpec!$AF8,0)</f>
        <v>1.6880823393773502E-9</v>
      </c>
      <c r="AC8" s="189">
        <f>IFERROR(X8*(0.0000000000028)*s_RadSpec!$AY8*s_RadSpec!$AF8,0)</f>
        <v>4.4124040237449054E-10</v>
      </c>
      <c r="AD8" s="189">
        <f>IFERROR(Y8*(0.0000000000028)*s_RadSpec!$AY8*s_RadSpec!$AF8,0)</f>
        <v>2.6649736278938102E-10</v>
      </c>
      <c r="AE8" s="189">
        <f>IFERROR(Z8*(0.0000000000028)*s_RadSpec!$AY8*s_RadSpec!$AF8,0)</f>
        <v>2.4228579107206187E-9</v>
      </c>
      <c r="AF8" s="40">
        <f>IFERROR((s_C*s_EF_rec*(1/365)*1*s_RadSpec!R8*s_ET_rec*(1/24)*s_RadSpec!W8),".")</f>
        <v>9.4701293759512899E-3</v>
      </c>
      <c r="AG8" s="40">
        <f>IFERROR((s_C*s_EF_rec*(1/365)*1*s_RadSpec!S8*s_ET_rec*(1/24)*s_RadSpec!X8),".")</f>
        <v>5.1588660578386607E-3</v>
      </c>
      <c r="AH8" s="40">
        <f>IFERROR((s_C*s_EF_rec*(1/365)*1*s_RadSpec!T8*s_ET_rec*(1/24)*s_RadSpec!Y8),".")</f>
        <v>7.0678408349641219E-3</v>
      </c>
      <c r="AI8" s="40">
        <f>IFERROR((s_C*s_EF_rec*(1/365)*1*s_RadSpec!U8*s_ET_rec*(1/24)*s_RadSpec!Z8),".")</f>
        <v>7.7088960704868462E-3</v>
      </c>
      <c r="AJ8" s="40">
        <f>IFERROR((s_C*s_EF_rec*(1/365)*1*s_RadSpec!Q8*s_ET_rec*(1/24)*s_RadSpec!V8),".")</f>
        <v>2.7842329854316154E-3</v>
      </c>
      <c r="AK8" s="15">
        <f>IFERROR((s_DL/(s_RadSpec!H8*s_IFA_rec_adj)),".")</f>
        <v>379.67361911023892</v>
      </c>
      <c r="AL8" s="15">
        <f>IFERROR((s_DL/(s_RadSpec!K8*s_EF_rec*(1/365)*1*s_ET_rec*(1/24)*s_GSF_a)),".")</f>
        <v>459281.84258786659</v>
      </c>
      <c r="AM8" s="15">
        <f t="shared" si="20"/>
        <v>379.36001431200003</v>
      </c>
      <c r="AN8" s="189">
        <f>AM8*(0.0000000000000028)*s_RadSpec!$AY8*s_RadSpec!$AF8</f>
        <v>1.9624717938549274E-14</v>
      </c>
      <c r="AO8" s="40">
        <f t="shared" si="3"/>
        <v>501.30208333333326</v>
      </c>
      <c r="AP8" s="40">
        <f t="shared" si="4"/>
        <v>7.8481735159817351E-2</v>
      </c>
      <c r="AQ8" s="45"/>
      <c r="AR8" s="15">
        <f>IFERROR((s_DL/(s_RadSpec!I8*s_IFW_rec_adj)),".")</f>
        <v>11459.899519601013</v>
      </c>
      <c r="AS8" s="15">
        <f>IFERROR((s_DL/(s_RadSpec!M8*(1/8760)*s_DFA_rec_adj)),".")</f>
        <v>135324.11433392498</v>
      </c>
      <c r="AT8" s="2">
        <f>IFERROR(BG8/(s_RadSpec!AI8*s_Q_w_game*(1/1000)),".")</f>
        <v>22919799039.202026</v>
      </c>
      <c r="AU8" s="2" t="str">
        <f>IFERROR(BG8/(s_RadSpec!AL8*s_Q_w_fowl*(1/1000)),".")</f>
        <v>.</v>
      </c>
      <c r="AV8" s="233">
        <f t="shared" si="5"/>
        <v>8.726079999999999E-5</v>
      </c>
      <c r="AW8" s="233">
        <f t="shared" si="6"/>
        <v>7.3896659506849304E-6</v>
      </c>
      <c r="AX8" s="233">
        <f t="shared" si="7"/>
        <v>4.3630399999999994E-11</v>
      </c>
      <c r="AY8" s="233">
        <f t="shared" si="8"/>
        <v>0</v>
      </c>
      <c r="AZ8" s="2">
        <f t="shared" si="19"/>
        <v>10565.183477890554</v>
      </c>
      <c r="BA8" s="189">
        <f>AZ8*(0.0000000000000028)*s_RadSpec!$AY8*s_RadSpec!$AF8</f>
        <v>5.4654876080877615E-13</v>
      </c>
      <c r="BB8" s="40">
        <f t="shared" si="9"/>
        <v>2200</v>
      </c>
      <c r="BC8" s="40">
        <f t="shared" si="10"/>
        <v>0.12557077625570776</v>
      </c>
      <c r="BD8" s="19">
        <f>IFERROR(s_C*s_RadSpec!AI8*s_Q_w_game*(1/1000)*s_EF_rec*1*s_IRGL_rec*s_CF_game,".")</f>
        <v>1.1000000000000001E-3</v>
      </c>
      <c r="BE8" s="19">
        <f>IFERROR(s_C*s_RadSpec!AL8*s_Q_w_fowl*(1/1000)*s_EF_rec*1*s_IRGL_rec*s_CF_fowl,0)</f>
        <v>0</v>
      </c>
      <c r="BF8" s="18"/>
      <c r="BG8" s="2">
        <f>IFERROR(s_DL/(s_RadSpec!F8*s_EF_rec*1*s_IRGL_rec*s_CF_game),".")</f>
        <v>91679.196156808102</v>
      </c>
      <c r="BH8" s="2">
        <f>IFERROR(s_DL/(s_RadSpec!F8*s_EF_rec*1*s_IRGF_rec*s_CF_fowl),".")</f>
        <v>91679.196156808102</v>
      </c>
      <c r="BI8" s="189">
        <f>IFERROR(BG8*(0.0000000000028)*s_RadSpec!$AY8*s_RadSpec!$AF8,0)</f>
        <v>4.7426673806759654E-9</v>
      </c>
      <c r="BJ8" s="189">
        <f>IFERROR(BH8*(0.0000000000028)*s_RadSpec!$AY8*s_RadSpec!$AF8,0)</f>
        <v>4.7426673806759654E-9</v>
      </c>
      <c r="BK8" s="19">
        <f t="shared" si="11"/>
        <v>275</v>
      </c>
      <c r="BL8" s="19">
        <f t="shared" si="12"/>
        <v>275</v>
      </c>
    </row>
    <row r="9" spans="1:64" customFormat="1" x14ac:dyDescent="0.25">
      <c r="A9" s="44" t="s">
        <v>7</v>
      </c>
      <c r="B9" s="42" t="s">
        <v>1057</v>
      </c>
      <c r="C9" s="238"/>
      <c r="D9" s="15">
        <f>IFERROR(((s_DL/(s_RadSpec!E9*s_IFS_rec_adj*(1/1000)))*1),".")</f>
        <v>2998172.6137918937</v>
      </c>
      <c r="E9" s="15">
        <f>IFERROR(IF(A9="H-3",(s_DL/((s_RadSpec!H9*s_IFA_rec_adj*(1/17)*1000))*1),(s_DL/((s_RadSpec!H9*s_IFA_rec_adj*(1/s_PEF_wind)*1000))*1)),".")</f>
        <v>422130025.29976654</v>
      </c>
      <c r="F9" s="2">
        <f>IFERROR((s_DL/(s_RadSpec!G9*s_EF_rec*(1/365)*1*s_RadSpec!R9*s_ET_rec*(1/24)*s_RadSpec!W9)),".")</f>
        <v>142.32921546470746</v>
      </c>
      <c r="G9" s="2">
        <f>IFERROR((BG9/(s_RadSpec!AI9*((s_Q_p_game*s_f_p_game*s_f_s_game*(s_RadSpec!BD9+s_R_es_past))+(s_Q_s_game*s_f_p_game)))),".")</f>
        <v>6870812.2399397567</v>
      </c>
      <c r="H9" s="2" t="str">
        <f>IFERROR((BG9/(s_RadSpec!AL9*((s_Q_p_fowl*s_f_p_fowl*s_f_s_fowl*(s_RadSpec!BD9+s_R_es_past))+(s_Q_s_fowl*s_f_p_fowl)))),".")</f>
        <v>.</v>
      </c>
      <c r="I9" s="233">
        <f t="shared" si="13"/>
        <v>3.3353650000000002E-7</v>
      </c>
      <c r="J9" s="233">
        <f t="shared" si="14"/>
        <v>2.3689383366887289E-9</v>
      </c>
      <c r="K9" s="233">
        <f t="shared" si="15"/>
        <v>7.0259643934309762E-3</v>
      </c>
      <c r="L9" s="233">
        <f t="shared" si="16"/>
        <v>1.4554320000000001E-7</v>
      </c>
      <c r="M9" s="233">
        <f t="shared" si="17"/>
        <v>0</v>
      </c>
      <c r="N9" s="2">
        <f t="shared" si="18"/>
        <v>142.31946313635808</v>
      </c>
      <c r="O9" s="189">
        <f>IFERROR(N9*(0.0000000000028)*s_RadSpec!$AY9*s_RadSpec!$AF9,0)</f>
        <v>3.2287455555460128E-12</v>
      </c>
      <c r="P9" s="40">
        <f t="shared" si="1"/>
        <v>15.125</v>
      </c>
      <c r="Q9" s="40">
        <f t="shared" si="2"/>
        <v>1.6181272791589674E-3</v>
      </c>
      <c r="R9" s="40">
        <f>IFERROR((s_C*s_EF_rec*(1/365)*1*s_RadSpec!R9*s_ET_rec*(1/24)*s_RadSpec!W9),".")</f>
        <v>1.9229155974892428E-2</v>
      </c>
      <c r="S9" s="19">
        <f>IFERROR((s_C*s_IRGL_rec*s_EF_rec*1*s_CF_game*s_RadSpec!AI9)*((s_Q_p_game*s_f_p_game*s_f_s_game*(s_RadSpec!BD9+s_R_es_past))+(s_Q_s_game*s_f_p_game)),".")</f>
        <v>6.6000000000000005</v>
      </c>
      <c r="T9" s="19">
        <f>IFERROR((s_C*s_IRGF_rec*s_EF_rec*1*s_CF_fowl*s_RadSpec!AL9)*((s_Q_p_fowl*s_f_p_fowl*s_f_s_fowl*(s_RadSpec!BD9+s_R_es_past))+(s_Q_s_fowl*s_f_p_fowl)),0)</f>
        <v>0</v>
      </c>
      <c r="U9" s="18"/>
      <c r="V9" s="15">
        <f>IFERROR((s_DL/(s_RadSpec!G9*s_EF_rec*(1/365)*1*s_RadSpec!R9*s_ET_rec*(1/24)*s_RadSpec!W9)),".")</f>
        <v>142.32921546470746</v>
      </c>
      <c r="W9" s="15">
        <f>IFERROR((s_DL/(s_RadSpec!N9*s_EF_rec*(1/365)*1*s_RadSpec!S9*s_ET_rec*(1/24)*s_RadSpec!X9)),".")</f>
        <v>1634.7519480009228</v>
      </c>
      <c r="X9" s="15">
        <f>IFERROR((s_DL/(s_RadSpec!O9*s_EF_rec*(1/365)*1*s_RadSpec!T9*s_ET_rec*(1/24)*s_RadSpec!Y9)),".")</f>
        <v>398.02075285935001</v>
      </c>
      <c r="Y9" s="15">
        <f>IFERROR((s_DL/(s_RadSpec!P9*s_EF_rec*(1/365)*1*s_RadSpec!U9*s_ET_rec*(1/24)*s_RadSpec!Z9)),".")</f>
        <v>202.64711260829387</v>
      </c>
      <c r="Z9" s="15">
        <f>IFERROR((s_DL/(s_RadSpec!L9*s_EF_rec*(1/365)*1*s_RadSpec!Q9*s_ET_rec*(1/24)*s_RadSpec!V9)),".")</f>
        <v>2841.3809065162591</v>
      </c>
      <c r="AA9" s="189">
        <f>IFERROR(V9*(0.0000000000028)*s_RadSpec!$AY9*s_RadSpec!$AF9,0)</f>
        <v>3.2289668027747498E-12</v>
      </c>
      <c r="AB9" s="189">
        <f>IFERROR(W9*(0.0000000000028)*s_RadSpec!$AY9*s_RadSpec!$AF9,0)</f>
        <v>3.7086972998704036E-11</v>
      </c>
      <c r="AC9" s="189">
        <f>IFERROR(X9*(0.0000000000028)*s_RadSpec!$AY9*s_RadSpec!$AF9,0)</f>
        <v>9.0297399139176517E-12</v>
      </c>
      <c r="AD9" s="189">
        <f>IFERROR(Y9*(0.0000000000028)*s_RadSpec!$AY9*s_RadSpec!$AF9,0)</f>
        <v>4.5973751569830749E-12</v>
      </c>
      <c r="AE9" s="189">
        <f>IFERROR(Z9*(0.0000000000028)*s_RadSpec!$AY9*s_RadSpec!$AF9,0)</f>
        <v>6.446128850793833E-11</v>
      </c>
      <c r="AF9" s="40">
        <f>IFERROR((s_C*s_EF_rec*(1/365)*1*s_RadSpec!R9*s_ET_rec*(1/24)*s_RadSpec!W9),".")</f>
        <v>1.9229155974892428E-2</v>
      </c>
      <c r="AG9" s="40">
        <f>IFERROR((s_C*s_EF_rec*(1/365)*1*s_RadSpec!S9*s_ET_rec*(1/24)*s_RadSpec!X9),".")</f>
        <v>9.3884692527631923E-3</v>
      </c>
      <c r="AH9" s="40">
        <f>IFERROR((s_C*s_EF_rec*(1/365)*1*s_RadSpec!T9*s_ET_rec*(1/24)*s_RadSpec!Y9),".")</f>
        <v>1.3343104248897137E-2</v>
      </c>
      <c r="AI9" s="40">
        <f>IFERROR((s_C*s_EF_rec*(1/365)*1*s_RadSpec!U9*s_ET_rec*(1/24)*s_RadSpec!Z9),".")</f>
        <v>1.6186857876712327E-2</v>
      </c>
      <c r="AJ9" s="40">
        <f>IFERROR((s_C*s_EF_rec*(1/365)*1*s_RadSpec!Q9*s_ET_rec*(1/24)*s_RadSpec!V9),".")</f>
        <v>5.3003884062813207E-3</v>
      </c>
      <c r="AK9" s="15">
        <f>IFERROR((s_DL/(s_RadSpec!H9*s_IFA_rec_adj)),".")</f>
        <v>1362.5718543751329</v>
      </c>
      <c r="AL9" s="15">
        <f>IFERROR((s_DL/(s_RadSpec!K9*s_EF_rec*(1/365)*1*s_ET_rec*(1/24)*s_GSF_a)),".")</f>
        <v>38370.381785821774</v>
      </c>
      <c r="AM9" s="15">
        <f t="shared" si="20"/>
        <v>1315.844845979336</v>
      </c>
      <c r="AN9" s="189">
        <f>AM9*(0.0000000000000028)*s_RadSpec!$AY9*s_RadSpec!$AF9</f>
        <v>2.9852053293465133E-14</v>
      </c>
      <c r="AO9" s="40">
        <f t="shared" si="3"/>
        <v>501.30208333333326</v>
      </c>
      <c r="AP9" s="40">
        <f t="shared" si="4"/>
        <v>7.8481735159817351E-2</v>
      </c>
      <c r="AQ9" s="45"/>
      <c r="AR9" s="15">
        <f>IFERROR((s_DL/(s_RadSpec!I9*s_IFW_rec_adj)),".")</f>
        <v>20612.43671981927</v>
      </c>
      <c r="AS9" s="15">
        <f>IFERROR((s_DL/(s_RadSpec!M9*(1/8760)*s_DFA_rec_adj)),".")</f>
        <v>11071.9729909575</v>
      </c>
      <c r="AT9" s="2">
        <f>IFERROR(BG9/(s_RadSpec!AI9*s_Q_w_game*(1/1000)),".")</f>
        <v>41224873439.638542</v>
      </c>
      <c r="AU9" s="2" t="str">
        <f>IFERROR(BG9/(s_RadSpec!AL9*s_Q_w_fowl*(1/1000)),".")</f>
        <v>.</v>
      </c>
      <c r="AV9" s="233">
        <f t="shared" si="5"/>
        <v>4.8514399999999998E-5</v>
      </c>
      <c r="AW9" s="233">
        <f t="shared" si="6"/>
        <v>9.0318139397260253E-5</v>
      </c>
      <c r="AX9" s="233">
        <f t="shared" si="7"/>
        <v>2.4257199999999998E-11</v>
      </c>
      <c r="AY9" s="233">
        <f t="shared" si="8"/>
        <v>0</v>
      </c>
      <c r="AZ9" s="2">
        <f t="shared" si="19"/>
        <v>7202.9210847744298</v>
      </c>
      <c r="BA9" s="189">
        <f>AZ9*(0.0000000000000028)*s_RadSpec!$AY9*s_RadSpec!$AF9</f>
        <v>1.6340983114257427E-13</v>
      </c>
      <c r="BB9" s="40">
        <f t="shared" si="9"/>
        <v>2200</v>
      </c>
      <c r="BC9" s="40">
        <f t="shared" si="10"/>
        <v>0.12557077625570776</v>
      </c>
      <c r="BD9" s="19">
        <f>IFERROR(s_C*s_RadSpec!AI9*s_Q_w_game*(1/1000)*s_EF_rec*1*s_IRGL_rec*s_CF_game,".")</f>
        <v>1.1000000000000001E-3</v>
      </c>
      <c r="BE9" s="19">
        <f>IFERROR(s_C*s_RadSpec!AL9*s_Q_w_fowl*(1/1000)*s_EF_rec*1*s_IRGL_rec*s_CF_fowl,0)</f>
        <v>0</v>
      </c>
      <c r="BF9" s="18"/>
      <c r="BG9" s="2">
        <f>IFERROR(s_DL/(s_RadSpec!F9*s_EF_rec*1*s_IRGL_rec*s_CF_game),".")</f>
        <v>164899.49375855416</v>
      </c>
      <c r="BH9" s="2">
        <f>IFERROR(s_DL/(s_RadSpec!F9*s_EF_rec*1*s_IRGF_rec*s_CF_fowl),".")</f>
        <v>164899.49375855416</v>
      </c>
      <c r="BI9" s="189">
        <f>IFERROR(BG9*(0.0000000000028)*s_RadSpec!$AY9*s_RadSpec!$AF9,0)</f>
        <v>3.7410098088593989E-9</v>
      </c>
      <c r="BJ9" s="189">
        <f>IFERROR(BH9*(0.0000000000028)*s_RadSpec!$AY9*s_RadSpec!$AF9,0)</f>
        <v>3.7410098088593989E-9</v>
      </c>
      <c r="BK9" s="19">
        <f t="shared" si="11"/>
        <v>275</v>
      </c>
      <c r="BL9" s="19">
        <f t="shared" si="12"/>
        <v>275</v>
      </c>
    </row>
    <row r="10" spans="1:64" customFormat="1" x14ac:dyDescent="0.25">
      <c r="A10" s="46" t="s">
        <v>8</v>
      </c>
      <c r="B10" s="42" t="s">
        <v>335</v>
      </c>
      <c r="C10" s="42"/>
      <c r="D10" s="15">
        <f>IFERROR(((s_DL/(s_RadSpec!E10*s_IFS_rec_adj*(1/1000)))*1),".")</f>
        <v>33588.550334961816</v>
      </c>
      <c r="E10" s="15">
        <f>IFERROR(IF(A10="H-3",(s_DL/((s_RadSpec!H10*s_IFA_rec_adj*(1/17)*1000))*1),(s_DL/((s_RadSpec!H10*s_IFA_rec_adj*(1/s_PEF_wind)*1000))*1)),".")</f>
        <v>100135841.11719139</v>
      </c>
      <c r="F10" s="2">
        <f>IFERROR((s_DL/(s_RadSpec!G10*s_EF_rec*(1/365)*1*s_RadSpec!R10*s_ET_rec*(1/24)*s_RadSpec!W10)),".")</f>
        <v>2863954.6771756485</v>
      </c>
      <c r="G10" s="2">
        <f>IFERROR((BG10/(s_RadSpec!AI10*((s_Q_p_game*s_f_p_game*s_f_s_game*(s_RadSpec!BD10+s_R_es_past))+(s_Q_s_game*s_f_p_game)))),".")</f>
        <v>10157.827722266684</v>
      </c>
      <c r="H10" s="2">
        <f>IFERROR((BG10/(s_RadSpec!AL10*((s_Q_p_fowl*s_f_p_fowl*s_f_s_fowl*(s_RadSpec!BD10+s_R_es_past))+(s_Q_s_fowl*s_f_p_fowl)))),".")</f>
        <v>82.767485144395195</v>
      </c>
      <c r="I10" s="233">
        <f t="shared" si="13"/>
        <v>2.9772050000000002E-5</v>
      </c>
      <c r="J10" s="233">
        <f t="shared" si="14"/>
        <v>9.9864343160574835E-9</v>
      </c>
      <c r="K10" s="233">
        <f t="shared" si="15"/>
        <v>3.4916753675242228E-7</v>
      </c>
      <c r="L10" s="233">
        <f t="shared" si="16"/>
        <v>9.8446245333333292E-5</v>
      </c>
      <c r="M10" s="233">
        <f t="shared" si="17"/>
        <v>1.2082039199999995E-2</v>
      </c>
      <c r="N10" s="2">
        <f t="shared" si="18"/>
        <v>81.895945857653885</v>
      </c>
      <c r="O10" s="189">
        <f>IFERROR(N10*(0.0000000000028)*s_RadSpec!$AY10*s_RadSpec!$AF10,0)</f>
        <v>9.4770803902514045E-7</v>
      </c>
      <c r="P10" s="40">
        <f t="shared" si="1"/>
        <v>15.125</v>
      </c>
      <c r="Q10" s="40">
        <f t="shared" si="2"/>
        <v>1.6181272791589674E-3</v>
      </c>
      <c r="R10" s="40">
        <f>IFERROR((s_C*s_EF_rec*(1/365)*1*s_RadSpec!R10*s_ET_rec*(1/24)*s_RadSpec!W10),".")</f>
        <v>1.0049490477781489E-2</v>
      </c>
      <c r="S10" s="19">
        <f>IFERROR((s_C*s_IRGL_rec*s_EF_rec*1*s_CF_game*s_RadSpec!AI10)*((s_Q_p_game*s_f_p_game*s_f_s_game*(s_RadSpec!BD10+s_R_es_past))+(s_Q_s_game*s_f_p_game)),".")</f>
        <v>50.013333333333314</v>
      </c>
      <c r="T10" s="19">
        <f>IFERROR((s_C*s_IRGF_rec*s_EF_rec*1*s_CF_fowl*s_RadSpec!AL10)*((s_Q_p_fowl*s_f_p_fowl*s_f_s_fowl*(s_RadSpec!BD10+s_R_es_past))+(s_Q_s_fowl*s_f_p_fowl)),0)</f>
        <v>6137.9999999999982</v>
      </c>
      <c r="U10" s="18"/>
      <c r="V10" s="15">
        <f>IFERROR((s_DL/(s_RadSpec!G10*s_EF_rec*(1/365)*1*s_RadSpec!R10*s_ET_rec*(1/24)*s_RadSpec!W10)),".")</f>
        <v>2863954.6771756485</v>
      </c>
      <c r="W10" s="15">
        <f>IFERROR((s_DL/(s_RadSpec!N10*s_EF_rec*(1/365)*1*s_RadSpec!S10*s_ET_rec*(1/24)*s_RadSpec!X10)),".")</f>
        <v>9652106.6592278164</v>
      </c>
      <c r="X10" s="15">
        <f>IFERROR((s_DL/(s_RadSpec!O10*s_EF_rec*(1/365)*1*s_RadSpec!T10*s_ET_rec*(1/24)*s_RadSpec!Y10)),".")</f>
        <v>3951910.4508750853</v>
      </c>
      <c r="Y10" s="15">
        <f>IFERROR((s_DL/(s_RadSpec!P10*s_EF_rec*(1/365)*1*s_RadSpec!U10*s_ET_rec*(1/24)*s_RadSpec!Z10)),".")</f>
        <v>2965933.1709933337</v>
      </c>
      <c r="Z10" s="15">
        <f>IFERROR((s_DL/(s_RadSpec!L10*s_EF_rec*(1/365)*1*s_RadSpec!Q10*s_ET_rec*(1/24)*s_RadSpec!V10)),".")</f>
        <v>1781016.290478206</v>
      </c>
      <c r="AA10" s="189">
        <f>IFERROR(V10*(0.0000000000028)*s_RadSpec!$AY10*s_RadSpec!$AF10,0)</f>
        <v>3.3141968659604268E-2</v>
      </c>
      <c r="AB10" s="189">
        <f>IFERROR(W10*(0.0000000000028)*s_RadSpec!$AY10*s_RadSpec!$AF10,0)</f>
        <v>0.11169513922432329</v>
      </c>
      <c r="AC10" s="189">
        <f>IFERROR(X10*(0.0000000000028)*s_RadSpec!$AY10*s_RadSpec!$AF10,0)</f>
        <v>4.5731901189730979E-2</v>
      </c>
      <c r="AD10" s="189">
        <f>IFERROR(Y10*(0.0000000000028)*s_RadSpec!$AY10*s_RadSpec!$AF10,0)</f>
        <v>3.4322073943041362E-2</v>
      </c>
      <c r="AE10" s="189">
        <f>IFERROR(Z10*(0.0000000000028)*s_RadSpec!$AY10*s_RadSpec!$AF10,0)</f>
        <v>2.0610097831395682E-2</v>
      </c>
      <c r="AF10" s="40">
        <f>IFERROR((s_C*s_EF_rec*(1/365)*1*s_RadSpec!R10*s_ET_rec*(1/24)*s_RadSpec!W10),".")</f>
        <v>1.0049490477781489E-2</v>
      </c>
      <c r="AG10" s="40">
        <f>IFERROR((s_C*s_EF_rec*(1/365)*1*s_RadSpec!S10*s_ET_rec*(1/24)*s_RadSpec!X10),".")</f>
        <v>6.4491512805241241E-3</v>
      </c>
      <c r="AH10" s="40">
        <f>IFERROR((s_C*s_EF_rec*(1/365)*1*s_RadSpec!T10*s_ET_rec*(1/24)*s_RadSpec!Y10),".")</f>
        <v>9.0307698421834472E-3</v>
      </c>
      <c r="AI10" s="40">
        <f>IFERROR((s_C*s_EF_rec*(1/365)*1*s_RadSpec!U10*s_ET_rec*(1/24)*s_RadSpec!Z10),".")</f>
        <v>9.8738284066330218E-3</v>
      </c>
      <c r="AJ10" s="40">
        <f>IFERROR((s_C*s_EF_rec*(1/365)*1*s_RadSpec!Q10*s_ET_rec*(1/24)*s_RadSpec!V10),".")</f>
        <v>3.8363062390443414E-3</v>
      </c>
      <c r="AK10" s="15">
        <f>IFERROR((s_DL/(s_RadSpec!H10*s_IFA_rec_adj)),".")</f>
        <v>323.22334480607867</v>
      </c>
      <c r="AL10" s="15">
        <f>IFERROR((s_DL/(s_RadSpec!K10*s_EF_rec*(1/365)*1*s_ET_rec*(1/24)*s_GSF_a)),".")</f>
        <v>29022703.669914123</v>
      </c>
      <c r="AM10" s="15">
        <f t="shared" si="20"/>
        <v>323.21974513568551</v>
      </c>
      <c r="AN10" s="189">
        <f>AM10*(0.0000000000000028)*s_RadSpec!$AY10*s_RadSpec!$AF10</f>
        <v>3.7403310704679783E-9</v>
      </c>
      <c r="AO10" s="40">
        <f t="shared" si="3"/>
        <v>501.30208333333326</v>
      </c>
      <c r="AP10" s="40">
        <f t="shared" si="4"/>
        <v>7.8481735159817351E-2</v>
      </c>
      <c r="AQ10" s="45"/>
      <c r="AR10" s="15">
        <f>IFERROR((s_DL/(s_RadSpec!I10*s_IFW_rec_adj)),".")</f>
        <v>230.92128355286252</v>
      </c>
      <c r="AS10" s="15">
        <f>IFERROR((s_DL/(s_RadSpec!M10*(1/8760)*s_DFA_rec_adj)),".")</f>
        <v>16238893.720070997</v>
      </c>
      <c r="AT10" s="2">
        <f>IFERROR(BG10/(s_RadSpec!AI10*s_Q_w_game*(1/1000)),".")</f>
        <v>41985687.918702275</v>
      </c>
      <c r="AU10" s="2">
        <f>IFERROR(BG10/(s_RadSpec!AL10*s_Q_w_fowl*(1/1000)),".")</f>
        <v>342105.60526350001</v>
      </c>
      <c r="AV10" s="233">
        <f t="shared" si="5"/>
        <v>4.3304799999999994E-3</v>
      </c>
      <c r="AW10" s="233">
        <f t="shared" si="6"/>
        <v>6.158054958904109E-8</v>
      </c>
      <c r="AX10" s="233">
        <f t="shared" si="7"/>
        <v>2.381764E-8</v>
      </c>
      <c r="AY10" s="233">
        <f t="shared" si="8"/>
        <v>2.9230739999999997E-6</v>
      </c>
      <c r="AZ10" s="2">
        <f t="shared" si="19"/>
        <v>230.76096923242267</v>
      </c>
      <c r="BA10" s="189">
        <f>AZ10*(0.0000000000000028)*s_RadSpec!$AY10*s_RadSpec!$AF10</f>
        <v>2.6703889105196922E-9</v>
      </c>
      <c r="BB10" s="40">
        <f t="shared" si="9"/>
        <v>2200</v>
      </c>
      <c r="BC10" s="40">
        <f t="shared" si="10"/>
        <v>0.12557077625570776</v>
      </c>
      <c r="BD10" s="19">
        <f>IFERROR(s_C*s_RadSpec!AI10*s_Q_w_game*(1/1000)*s_EF_rec*1*s_IRGL_rec*s_CF_game,".")</f>
        <v>1.21E-2</v>
      </c>
      <c r="BE10" s="19">
        <f>IFERROR(s_C*s_RadSpec!AL10*s_Q_w_fowl*(1/1000)*s_EF_rec*1*s_IRGL_rec*s_CF_fowl,0)</f>
        <v>1.4849999999999999</v>
      </c>
      <c r="BF10" s="18"/>
      <c r="BG10" s="2">
        <f>IFERROR(s_DL/(s_RadSpec!F10*s_EF_rec*1*s_IRGL_rec*s_CF_game),".")</f>
        <v>1847.3702684229002</v>
      </c>
      <c r="BH10" s="2">
        <f>IFERROR(s_DL/(s_RadSpec!F10*s_EF_rec*1*s_IRGF_rec*s_CF_fowl),".")</f>
        <v>1847.3702684229002</v>
      </c>
      <c r="BI10" s="189">
        <f>IFERROR(BG10*(0.0000000000028)*s_RadSpec!$AY10*s_RadSpec!$AF10,0)</f>
        <v>2.1377952670373726E-5</v>
      </c>
      <c r="BJ10" s="189">
        <f>IFERROR(BH10*(0.0000000000028)*s_RadSpec!$AY10*s_RadSpec!$AF10,0)</f>
        <v>2.1377952670373726E-5</v>
      </c>
      <c r="BK10" s="19">
        <f t="shared" si="11"/>
        <v>275</v>
      </c>
      <c r="BL10" s="19">
        <f t="shared" si="12"/>
        <v>275</v>
      </c>
    </row>
    <row r="11" spans="1:64" customFormat="1" x14ac:dyDescent="0.25">
      <c r="A11" s="44" t="s">
        <v>9</v>
      </c>
      <c r="B11" s="42" t="s">
        <v>1057</v>
      </c>
      <c r="C11" s="42"/>
      <c r="D11" s="15" t="str">
        <f>IFERROR(((s_DL/(s_RadSpec!E11*s_IFS_rec_adj*(1/1000)))*1),".")</f>
        <v>.</v>
      </c>
      <c r="E11" s="15" t="str">
        <f>IFERROR(IF(A11="H-3",(s_DL/((s_RadSpec!H11*s_IFA_rec_adj*(1/17)*1000))*1),(s_DL/((s_RadSpec!H11*s_IFA_rec_adj*(1/s_PEF_wind)*1000))*1)),".")</f>
        <v>.</v>
      </c>
      <c r="F11" s="2">
        <f>IFERROR((s_DL/(s_RadSpec!G11*s_EF_rec*(1/365)*1*s_RadSpec!R11*s_ET_rec*(1/24)*s_RadSpec!W11)),".")</f>
        <v>55849.919651872362</v>
      </c>
      <c r="G11" s="2" t="str">
        <f>IFERROR((BG11/(s_RadSpec!AI11*((s_Q_p_game*s_f_p_game*s_f_s_game*(s_RadSpec!BD11+s_R_es_past))+(s_Q_s_game*s_f_p_game)))),".")</f>
        <v>.</v>
      </c>
      <c r="H11" s="2" t="str">
        <f>IFERROR((BG11/(s_RadSpec!AL11*((s_Q_p_fowl*s_f_p_fowl*s_f_s_fowl*(s_RadSpec!BD11+s_R_es_past))+(s_Q_s_fowl*s_f_p_fowl)))),".")</f>
        <v>.</v>
      </c>
      <c r="I11" s="233">
        <f t="shared" si="13"/>
        <v>0</v>
      </c>
      <c r="J11" s="233">
        <f t="shared" si="14"/>
        <v>0</v>
      </c>
      <c r="K11" s="233">
        <f t="shared" si="15"/>
        <v>1.7905128713403175E-5</v>
      </c>
      <c r="L11" s="233">
        <f t="shared" si="16"/>
        <v>0</v>
      </c>
      <c r="M11" s="233">
        <f t="shared" si="17"/>
        <v>0</v>
      </c>
      <c r="N11" s="2">
        <f t="shared" si="18"/>
        <v>55849.919651872355</v>
      </c>
      <c r="O11" s="189">
        <f>IFERROR(N11*(0.0000000000028)*s_RadSpec!$AY11*s_RadSpec!$AF11,0)</f>
        <v>3.2219113085014317E-10</v>
      </c>
      <c r="P11" s="40">
        <f t="shared" si="1"/>
        <v>15.125</v>
      </c>
      <c r="Q11" s="40">
        <f t="shared" si="2"/>
        <v>1.6181272791589674E-3</v>
      </c>
      <c r="R11" s="40">
        <f>IFERROR((s_C*s_EF_rec*(1/365)*1*s_RadSpec!R11*s_ET_rec*(1/24)*s_RadSpec!W11),".")</f>
        <v>3.3608648939027663E-3</v>
      </c>
      <c r="S11" s="19">
        <f>IFERROR((s_C*s_IRGL_rec*s_EF_rec*1*s_CF_game*s_RadSpec!AI11)*((s_Q_p_game*s_f_p_game*s_f_s_game*(s_RadSpec!BD11+s_R_es_past))+(s_Q_s_game*s_f_p_game)),".")</f>
        <v>72.600000000000009</v>
      </c>
      <c r="T11" s="19">
        <f>IFERROR((s_C*s_IRGF_rec*s_EF_rec*1*s_CF_fowl*s_RadSpec!AL11)*((s_Q_p_fowl*s_f_p_fowl*s_f_s_fowl*(s_RadSpec!BD11+s_R_es_past))+(s_Q_s_fowl*s_f_p_fowl)),0)</f>
        <v>0</v>
      </c>
      <c r="U11" s="18"/>
      <c r="V11" s="15">
        <f>IFERROR((s_DL/(s_RadSpec!G11*s_EF_rec*(1/365)*1*s_RadSpec!R11*s_ET_rec*(1/24)*s_RadSpec!W11)),".")</f>
        <v>55849.919651872362</v>
      </c>
      <c r="W11" s="15">
        <f>IFERROR((s_DL/(s_RadSpec!N11*s_EF_rec*(1/365)*1*s_RadSpec!S11*s_ET_rec*(1/24)*s_RadSpec!X11)),".")</f>
        <v>294659.16359236796</v>
      </c>
      <c r="X11" s="15">
        <f>IFERROR((s_DL/(s_RadSpec!O11*s_EF_rec*(1/365)*1*s_RadSpec!T11*s_ET_rec*(1/24)*s_RadSpec!Y11)),".")</f>
        <v>81809.179512336355</v>
      </c>
      <c r="Y11" s="15">
        <f>IFERROR((s_DL/(s_RadSpec!P11*s_EF_rec*(1/365)*1*s_RadSpec!U11*s_ET_rec*(1/24)*s_RadSpec!Z11)),".")</f>
        <v>54299.464199351918</v>
      </c>
      <c r="Z11" s="15">
        <f>IFERROR((s_DL/(s_RadSpec!L11*s_EF_rec*(1/365)*1*s_RadSpec!Q11*s_ET_rec*(1/24)*s_RadSpec!V11)),".")</f>
        <v>557208.4150304388</v>
      </c>
      <c r="AA11" s="189">
        <f>IFERROR(V11*(0.0000000000028)*s_RadSpec!$AY11*s_RadSpec!$AF11,0)</f>
        <v>3.2219113085014317E-10</v>
      </c>
      <c r="AB11" s="189">
        <f>IFERROR(W11*(0.0000000000028)*s_RadSpec!$AY11*s_RadSpec!$AF11,0)</f>
        <v>1.6998514899385292E-9</v>
      </c>
      <c r="AC11" s="189">
        <f>IFERROR(X11*(0.0000000000028)*s_RadSpec!$AY11*s_RadSpec!$AF11,0)</f>
        <v>4.7194682150484275E-10</v>
      </c>
      <c r="AD11" s="189">
        <f>IFERROR(Y11*(0.0000000000028)*s_RadSpec!$AY11*s_RadSpec!$AF11,0)</f>
        <v>3.1324674921639839E-10</v>
      </c>
      <c r="AE11" s="189">
        <f>IFERROR(Z11*(0.0000000000028)*s_RadSpec!$AY11*s_RadSpec!$AF11,0)</f>
        <v>3.2144649531622805E-9</v>
      </c>
      <c r="AF11" s="40">
        <f>IFERROR((s_C*s_EF_rec*(1/365)*1*s_RadSpec!R11*s_ET_rec*(1/24)*s_RadSpec!W11),".")</f>
        <v>3.3608648939027663E-3</v>
      </c>
      <c r="AG11" s="40">
        <f>IFERROR((s_C*s_EF_rec*(1/365)*1*s_RadSpec!S11*s_ET_rec*(1/24)*s_RadSpec!X11),".")</f>
        <v>2.6561162243150683E-3</v>
      </c>
      <c r="AH11" s="40">
        <f>IFERROR((s_C*s_EF_rec*(1/365)*1*s_RadSpec!T11*s_ET_rec*(1/24)*s_RadSpec!Y11),".")</f>
        <v>3.4224191959888986E-3</v>
      </c>
      <c r="AI11" s="40">
        <f>IFERROR((s_C*s_EF_rec*(1/365)*1*s_RadSpec!U11*s_ET_rec*(1/24)*s_RadSpec!Z11),".")</f>
        <v>3.5928863254025465E-3</v>
      </c>
      <c r="AJ11" s="40">
        <f>IFERROR((s_C*s_EF_rec*(1/365)*1*s_RadSpec!Q11*s_ET_rec*(1/24)*s_RadSpec!V11),".")</f>
        <v>1.4267751968764476E-3</v>
      </c>
      <c r="AK11" s="15" t="str">
        <f>IFERROR((s_DL/(s_RadSpec!H11*s_IFA_rec_adj)),".")</f>
        <v>.</v>
      </c>
      <c r="AL11" s="15">
        <f>IFERROR((s_DL/(s_RadSpec!K11*s_EF_rec*(1/365)*1*s_ET_rec*(1/24)*s_GSF_a)),".")</f>
        <v>2182507.3159775422</v>
      </c>
      <c r="AM11" s="15">
        <f t="shared" si="20"/>
        <v>2182507.3159775422</v>
      </c>
      <c r="AN11" s="189">
        <f>AM11*(0.0000000000000028)*s_RadSpec!$AY11*s_RadSpec!$AF11</f>
        <v>1.2590608985772122E-11</v>
      </c>
      <c r="AO11" s="40">
        <f t="shared" si="3"/>
        <v>501.30208333333326</v>
      </c>
      <c r="AP11" s="40">
        <f t="shared" si="4"/>
        <v>7.8481735159817351E-2</v>
      </c>
      <c r="AQ11" s="45"/>
      <c r="AR11" s="15" t="str">
        <f>IFERROR((s_DL/(s_RadSpec!I11*s_IFW_rec_adj)),".")</f>
        <v>.</v>
      </c>
      <c r="AS11" s="15">
        <f>IFERROR((s_DL/(s_RadSpec!M11*(1/8760)*s_DFA_rec_adj)),".")</f>
        <v>620030.4874936199</v>
      </c>
      <c r="AT11" s="2" t="str">
        <f>IFERROR(BG11/(s_RadSpec!AI11*s_Q_w_game*(1/1000)),".")</f>
        <v>.</v>
      </c>
      <c r="AU11" s="2" t="str">
        <f>IFERROR(BG11/(s_RadSpec!AL11*s_Q_w_fowl*(1/1000)),".")</f>
        <v>.</v>
      </c>
      <c r="AV11" s="233">
        <f t="shared" si="5"/>
        <v>0</v>
      </c>
      <c r="AW11" s="233">
        <f t="shared" si="6"/>
        <v>1.612823917808219E-6</v>
      </c>
      <c r="AX11" s="233">
        <f t="shared" si="7"/>
        <v>0</v>
      </c>
      <c r="AY11" s="233">
        <f t="shared" si="8"/>
        <v>0</v>
      </c>
      <c r="AZ11" s="2">
        <f t="shared" si="19"/>
        <v>620030.4874936199</v>
      </c>
      <c r="BA11" s="189">
        <f>AZ11*(0.0000000000000028)*s_RadSpec!$AY11*s_RadSpec!$AF11</f>
        <v>3.576877552776171E-12</v>
      </c>
      <c r="BB11" s="40">
        <f t="shared" si="9"/>
        <v>2200</v>
      </c>
      <c r="BC11" s="40">
        <f t="shared" si="10"/>
        <v>0.12557077625570776</v>
      </c>
      <c r="BD11" s="19">
        <f>IFERROR(s_C*s_RadSpec!AI11*s_Q_w_game*(1/1000)*s_EF_rec*1*s_IRGL_rec*s_CF_game,".")</f>
        <v>1.6499999999999997E-2</v>
      </c>
      <c r="BE11" s="19">
        <f>IFERROR(s_C*s_RadSpec!AL11*s_Q_w_fowl*(1/1000)*s_EF_rec*1*s_IRGL_rec*s_CF_fowl,0)</f>
        <v>0</v>
      </c>
      <c r="BF11" s="18"/>
      <c r="BG11" s="2" t="str">
        <f>IFERROR(s_DL/(s_RadSpec!F11*s_EF_rec*1*s_IRGL_rec*s_CF_game),".")</f>
        <v>.</v>
      </c>
      <c r="BH11" s="2" t="str">
        <f>IFERROR(s_DL/(s_RadSpec!F11*s_EF_rec*1*s_IRGF_rec*s_CF_fowl),".")</f>
        <v>.</v>
      </c>
      <c r="BI11" s="189">
        <f>IFERROR(BG11*(0.0000000000028)*s_RadSpec!$AY11*s_RadSpec!$AF11,0)</f>
        <v>0</v>
      </c>
      <c r="BJ11" s="189">
        <f>IFERROR(BH11*(0.0000000000028)*s_RadSpec!$AY11*s_RadSpec!$AF11,0)</f>
        <v>0</v>
      </c>
      <c r="BK11" s="19">
        <f t="shared" si="11"/>
        <v>275</v>
      </c>
      <c r="BL11" s="19">
        <f t="shared" si="12"/>
        <v>275</v>
      </c>
    </row>
    <row r="12" spans="1:64" customFormat="1" x14ac:dyDescent="0.25">
      <c r="A12" s="44" t="s">
        <v>10</v>
      </c>
      <c r="B12" s="42" t="s">
        <v>1057</v>
      </c>
      <c r="C12" s="238"/>
      <c r="D12" s="15" t="str">
        <f>IFERROR(((s_DL/(s_RadSpec!E12*s_IFS_rec_adj*(1/1000)))*1),".")</f>
        <v>.</v>
      </c>
      <c r="E12" s="15" t="str">
        <f>IFERROR(IF(A12="H-3",(s_DL/((s_RadSpec!H12*s_IFA_rec_adj*(1/17)*1000))*1),(s_DL/((s_RadSpec!H12*s_IFA_rec_adj*(1/s_PEF_wind)*1000))*1)),".")</f>
        <v>.</v>
      </c>
      <c r="F12" s="2">
        <f>IFERROR((s_DL/(s_RadSpec!G12*s_EF_rec*(1/365)*1*s_RadSpec!R12*s_ET_rec*(1/24)*s_RadSpec!W12)),".")</f>
        <v>5817.0061170679046</v>
      </c>
      <c r="G12" s="2" t="str">
        <f>IFERROR((BG12/(s_RadSpec!AI12*((s_Q_p_game*s_f_p_game*s_f_s_game*(s_RadSpec!BD12+s_R_es_past))+(s_Q_s_game*s_f_p_game)))),".")</f>
        <v>.</v>
      </c>
      <c r="H12" s="2" t="str">
        <f>IFERROR((BG12/(s_RadSpec!AL12*((s_Q_p_fowl*s_f_p_fowl*s_f_s_fowl*(s_RadSpec!BD12+s_R_es_past))+(s_Q_s_fowl*s_f_p_fowl)))),".")</f>
        <v>.</v>
      </c>
      <c r="I12" s="233">
        <f t="shared" si="13"/>
        <v>0</v>
      </c>
      <c r="J12" s="233">
        <f t="shared" si="14"/>
        <v>0</v>
      </c>
      <c r="K12" s="233">
        <f t="shared" si="15"/>
        <v>1.7190973842469599E-4</v>
      </c>
      <c r="L12" s="233">
        <f t="shared" si="16"/>
        <v>0</v>
      </c>
      <c r="M12" s="233">
        <f t="shared" si="17"/>
        <v>0</v>
      </c>
      <c r="N12" s="2">
        <f t="shared" si="18"/>
        <v>5817.0061170679046</v>
      </c>
      <c r="O12" s="189">
        <f>IFERROR(N12*(0.0000000000028)*s_RadSpec!$AY12*s_RadSpec!$AF12,0)</f>
        <v>5.2026789185401233E-11</v>
      </c>
      <c r="P12" s="40">
        <f t="shared" si="1"/>
        <v>15.125</v>
      </c>
      <c r="Q12" s="40">
        <f t="shared" si="2"/>
        <v>1.6181272791589674E-3</v>
      </c>
      <c r="R12" s="40">
        <f>IFERROR((s_C*s_EF_rec*(1/365)*1*s_RadSpec!R12*s_ET_rec*(1/24)*s_RadSpec!W12),".")</f>
        <v>7.0143877967459014E-3</v>
      </c>
      <c r="S12" s="19">
        <f>IFERROR((s_C*s_IRGL_rec*s_EF_rec*1*s_CF_game*s_RadSpec!AI12)*((s_Q_p_game*s_f_p_game*s_f_s_game*(s_RadSpec!BD12+s_R_es_past))+(s_Q_s_game*s_f_p_game)),".")</f>
        <v>44</v>
      </c>
      <c r="T12" s="19">
        <f>IFERROR((s_C*s_IRGF_rec*s_EF_rec*1*s_CF_fowl*s_RadSpec!AL12)*((s_Q_p_fowl*s_f_p_fowl*s_f_s_fowl*(s_RadSpec!BD12+s_R_es_past))+(s_Q_s_fowl*s_f_p_fowl)),0)</f>
        <v>132</v>
      </c>
      <c r="U12" s="18"/>
      <c r="V12" s="15">
        <f>IFERROR((s_DL/(s_RadSpec!G12*s_EF_rec*(1/365)*1*s_RadSpec!R12*s_ET_rec*(1/24)*s_RadSpec!W12)),".")</f>
        <v>5817.0061170679046</v>
      </c>
      <c r="W12" s="15">
        <f>IFERROR((s_DL/(s_RadSpec!N12*s_EF_rec*(1/365)*1*s_RadSpec!S12*s_ET_rec*(1/24)*s_RadSpec!X12)),".")</f>
        <v>46132.546022738221</v>
      </c>
      <c r="X12" s="15">
        <f>IFERROR((s_DL/(s_RadSpec!O12*s_EF_rec*(1/365)*1*s_RadSpec!T12*s_ET_rec*(1/24)*s_RadSpec!Y12)),".")</f>
        <v>11990.339574497104</v>
      </c>
      <c r="Y12" s="15">
        <f>IFERROR((s_DL/(s_RadSpec!P12*s_EF_rec*(1/365)*1*s_RadSpec!U12*s_ET_rec*(1/24)*s_RadSpec!Z12)),".")</f>
        <v>7139.9101825097378</v>
      </c>
      <c r="Z12" s="15">
        <f>IFERROR((s_DL/(s_RadSpec!L12*s_EF_rec*(1/365)*1*s_RadSpec!Q12*s_ET_rec*(1/24)*s_RadSpec!V12)),".")</f>
        <v>63371.053072242394</v>
      </c>
      <c r="AA12" s="189">
        <f>IFERROR(V12*(0.0000000000028)*s_RadSpec!$AY12*s_RadSpec!$AF12,0)</f>
        <v>5.2026789185401233E-11</v>
      </c>
      <c r="AB12" s="189">
        <f>IFERROR(W12*(0.0000000000028)*s_RadSpec!$AY12*s_RadSpec!$AF12,0)</f>
        <v>4.1260541904339964E-10</v>
      </c>
      <c r="AC12" s="189">
        <f>IFERROR(X12*(0.0000000000028)*s_RadSpec!$AY12*s_RadSpec!$AF12,0)</f>
        <v>1.072405386463946E-10</v>
      </c>
      <c r="AD12" s="189">
        <f>IFERROR(Y12*(0.0000000000028)*s_RadSpec!$AY12*s_RadSpec!$AF12,0)</f>
        <v>6.3858726360661553E-11</v>
      </c>
      <c r="AE12" s="189">
        <f>IFERROR(Z12*(0.0000000000028)*s_RadSpec!$AY12*s_RadSpec!$AF12,0)</f>
        <v>5.667851042777132E-10</v>
      </c>
      <c r="AF12" s="40">
        <f>IFERROR((s_C*s_EF_rec*(1/365)*1*s_RadSpec!R12*s_ET_rec*(1/24)*s_RadSpec!W12),".")</f>
        <v>7.0143877967459014E-3</v>
      </c>
      <c r="AG12" s="40">
        <f>IFERROR((s_C*s_EF_rec*(1/365)*1*s_RadSpec!S12*s_ET_rec*(1/24)*s_RadSpec!X12),".")</f>
        <v>3.9097753827558408E-3</v>
      </c>
      <c r="AH12" s="40">
        <f>IFERROR((s_C*s_EF_rec*(1/365)*1*s_RadSpec!T12*s_ET_rec*(1/24)*s_RadSpec!Y12),".")</f>
        <v>5.392141849500689E-3</v>
      </c>
      <c r="AI12" s="40">
        <f>IFERROR((s_C*s_EF_rec*(1/365)*1*s_RadSpec!U12*s_ET_rec*(1/24)*s_RadSpec!Z12),".")</f>
        <v>6.1056515121434719E-3</v>
      </c>
      <c r="AJ12" s="40">
        <f>IFERROR((s_C*s_EF_rec*(1/365)*1*s_RadSpec!Q12*s_ET_rec*(1/24)*s_RadSpec!V12),".")</f>
        <v>2.2648962097655267E-3</v>
      </c>
      <c r="AK12" s="15" t="str">
        <f>IFERROR((s_DL/(s_RadSpec!H12*s_IFA_rec_adj)),".")</f>
        <v>.</v>
      </c>
      <c r="AL12" s="15">
        <f>IFERROR((s_DL/(s_RadSpec!K12*s_EF_rec*(1/365)*1*s_ET_rec*(1/24)*s_GSF_a)),".")</f>
        <v>490671.60880790063</v>
      </c>
      <c r="AM12" s="15">
        <f t="shared" si="20"/>
        <v>490671.60880790063</v>
      </c>
      <c r="AN12" s="189">
        <f>AM12*(0.0000000000000028)*s_RadSpec!$AY12*s_RadSpec!$AF12</f>
        <v>4.3885235526583691E-12</v>
      </c>
      <c r="AO12" s="40">
        <f t="shared" si="3"/>
        <v>501.30208333333326</v>
      </c>
      <c r="AP12" s="40">
        <f t="shared" si="4"/>
        <v>7.8481735159817351E-2</v>
      </c>
      <c r="AQ12" s="45"/>
      <c r="AR12" s="15" t="str">
        <f>IFERROR((s_DL/(s_RadSpec!I12*s_IFW_rec_adj)),".")</f>
        <v>.</v>
      </c>
      <c r="AS12" s="15">
        <f>IFERROR((s_DL/(s_RadSpec!M12*(1/8760)*s_DFA_rec_adj)),".")</f>
        <v>143284.35635356759</v>
      </c>
      <c r="AT12" s="2" t="str">
        <f>IFERROR(BG12/(s_RadSpec!AI12*s_Q_w_game*(1/1000)),".")</f>
        <v>.</v>
      </c>
      <c r="AU12" s="2" t="str">
        <f>IFERROR(BG12/(s_RadSpec!AL12*s_Q_w_fowl*(1/1000)),".")</f>
        <v>.</v>
      </c>
      <c r="AV12" s="233">
        <f t="shared" si="5"/>
        <v>0</v>
      </c>
      <c r="AW12" s="233">
        <f t="shared" si="6"/>
        <v>6.9791289534246584E-6</v>
      </c>
      <c r="AX12" s="233">
        <f t="shared" si="7"/>
        <v>0</v>
      </c>
      <c r="AY12" s="233">
        <f t="shared" si="8"/>
        <v>0</v>
      </c>
      <c r="AZ12" s="2">
        <f t="shared" si="19"/>
        <v>143284.35635356759</v>
      </c>
      <c r="BA12" s="189">
        <f>AZ12*(0.0000000000000028)*s_RadSpec!$AY12*s_RadSpec!$AF12</f>
        <v>1.2815226340746078E-12</v>
      </c>
      <c r="BB12" s="40">
        <f t="shared" si="9"/>
        <v>2200</v>
      </c>
      <c r="BC12" s="40">
        <f t="shared" si="10"/>
        <v>0.12557077625570776</v>
      </c>
      <c r="BD12" s="19">
        <f>IFERROR(s_C*s_RadSpec!AI12*s_Q_w_game*(1/1000)*s_EF_rec*1*s_IRGL_rec*s_CF_game,".")</f>
        <v>5.5000000000000005E-3</v>
      </c>
      <c r="BE12" s="19">
        <f>IFERROR(s_C*s_RadSpec!AL12*s_Q_w_fowl*(1/1000)*s_EF_rec*1*s_IRGL_rec*s_CF_fowl,0)</f>
        <v>1.6499999999999997E-2</v>
      </c>
      <c r="BF12" s="18"/>
      <c r="BG12" s="2" t="str">
        <f>IFERROR(s_DL/(s_RadSpec!F12*s_EF_rec*1*s_IRGL_rec*s_CF_game),".")</f>
        <v>.</v>
      </c>
      <c r="BH12" s="2" t="str">
        <f>IFERROR(s_DL/(s_RadSpec!F12*s_EF_rec*1*s_IRGF_rec*s_CF_fowl),".")</f>
        <v>.</v>
      </c>
      <c r="BI12" s="189">
        <f>IFERROR(BG12*(0.0000000000028)*s_RadSpec!$AY12*s_RadSpec!$AF12,0)</f>
        <v>0</v>
      </c>
      <c r="BJ12" s="189">
        <f>IFERROR(BH12*(0.0000000000028)*s_RadSpec!$AY12*s_RadSpec!$AF12,0)</f>
        <v>0</v>
      </c>
      <c r="BK12" s="19">
        <f t="shared" si="11"/>
        <v>275</v>
      </c>
      <c r="BL12" s="19">
        <f t="shared" si="12"/>
        <v>275</v>
      </c>
    </row>
    <row r="13" spans="1:64" customFormat="1" x14ac:dyDescent="0.25">
      <c r="A13" s="44" t="s">
        <v>11</v>
      </c>
      <c r="B13" s="42" t="s">
        <v>1057</v>
      </c>
      <c r="C13" s="42"/>
      <c r="D13" s="15">
        <f>IFERROR(((s_DL/(s_RadSpec!E13*s_IFS_rec_adj*(1/1000)))*1),".")</f>
        <v>3573.8217556399372</v>
      </c>
      <c r="E13" s="15">
        <f>IFERROR(IF(A13="H-3",(s_DL/((s_RadSpec!H13*s_IFA_rec_adj*(1/17)*1000))*1),(s_DL/((s_RadSpec!H13*s_IFA_rec_adj*(1/s_PEF_wind)*1000))*1)),".")</f>
        <v>331401.95036403817</v>
      </c>
      <c r="F13" s="2">
        <f>IFERROR((s_DL/(s_RadSpec!G13*s_EF_rec*(1/365)*1*s_RadSpec!R13*s_ET_rec*(1/24)*s_RadSpec!W13)),".")</f>
        <v>408512.06095965597</v>
      </c>
      <c r="G13" s="2">
        <f>IFERROR((BG13/(s_RadSpec!AI13*((s_Q_p_game*s_f_p_game*s_f_s_game*(s_RadSpec!BD13+s_R_es_past))+(s_Q_s_game*s_f_p_game)))),".")</f>
        <v>244883.96581419831</v>
      </c>
      <c r="H13" s="2" t="str">
        <f>IFERROR((BG13/(s_RadSpec!AL13*((s_Q_p_fowl*s_f_p_fowl*s_f_s_fowl*(s_RadSpec!BD13+s_R_es_past))+(s_Q_s_fowl*s_f_p_fowl)))),".")</f>
        <v>.</v>
      </c>
      <c r="I13" s="233">
        <f t="shared" si="13"/>
        <v>2.798125E-4</v>
      </c>
      <c r="J13" s="233">
        <f t="shared" si="14"/>
        <v>3.0174837501756425E-6</v>
      </c>
      <c r="K13" s="233">
        <f t="shared" si="15"/>
        <v>2.44790814168583E-6</v>
      </c>
      <c r="L13" s="233">
        <f t="shared" si="16"/>
        <v>4.0835666666666676E-6</v>
      </c>
      <c r="M13" s="233">
        <f t="shared" si="17"/>
        <v>0</v>
      </c>
      <c r="N13" s="2">
        <f t="shared" si="18"/>
        <v>3455.8852619196819</v>
      </c>
      <c r="O13" s="189">
        <f>IFERROR(N13*(0.0000000000028)*s_RadSpec!$AY13*s_RadSpec!$AF13,0)</f>
        <v>4.9168897858324279</v>
      </c>
      <c r="P13" s="40">
        <f t="shared" si="1"/>
        <v>15.125</v>
      </c>
      <c r="Q13" s="40">
        <f t="shared" si="2"/>
        <v>1.6181272791589674E-3</v>
      </c>
      <c r="R13" s="40">
        <f>IFERROR((s_C*s_EF_rec*(1/365)*1*s_RadSpec!R13*s_ET_rec*(1/24)*s_RadSpec!W13),".")</f>
        <v>9.1256499350064919E-4</v>
      </c>
      <c r="S13" s="19">
        <f>IFERROR((s_C*s_IRGL_rec*s_EF_rec*1*s_CF_game*s_RadSpec!AI13)*((s_Q_p_game*s_f_p_game*s_f_s_game*(s_RadSpec!BD13+s_R_es_past))+(s_Q_s_game*s_f_p_game)),".")</f>
        <v>0.22073333333333336</v>
      </c>
      <c r="T13" s="19">
        <f>IFERROR((s_C*s_IRGF_rec*s_EF_rec*1*s_CF_fowl*s_RadSpec!AL13)*((s_Q_p_fowl*s_f_p_fowl*s_f_s_fowl*(s_RadSpec!BD13+s_R_es_past))+(s_Q_s_fowl*s_f_p_fowl)),0)</f>
        <v>0</v>
      </c>
      <c r="U13" s="18"/>
      <c r="V13" s="15">
        <f>IFERROR((s_DL/(s_RadSpec!G13*s_EF_rec*(1/365)*1*s_RadSpec!R13*s_ET_rec*(1/24)*s_RadSpec!W13)),".")</f>
        <v>408512.06095965597</v>
      </c>
      <c r="W13" s="15">
        <f>IFERROR((s_DL/(s_RadSpec!N13*s_EF_rec*(1/365)*1*s_RadSpec!S13*s_ET_rec*(1/24)*s_RadSpec!X13)),".")</f>
        <v>2665201.7249316075</v>
      </c>
      <c r="X13" s="15">
        <f>IFERROR((s_DL/(s_RadSpec!O13*s_EF_rec*(1/365)*1*s_RadSpec!T13*s_ET_rec*(1/24)*s_RadSpec!Y13)),".")</f>
        <v>664354.18752091157</v>
      </c>
      <c r="Y13" s="15">
        <f>IFERROR((s_DL/(s_RadSpec!P13*s_EF_rec*(1/365)*1*s_RadSpec!U13*s_ET_rec*(1/24)*s_RadSpec!Z13)),".")</f>
        <v>438136.88174023299</v>
      </c>
      <c r="Z13" s="15">
        <f>IFERROR((s_DL/(s_RadSpec!L13*s_EF_rec*(1/365)*1*s_RadSpec!Q13*s_ET_rec*(1/24)*s_RadSpec!V13)),".")</f>
        <v>20150208.722128104</v>
      </c>
      <c r="AA13" s="189">
        <f>IFERROR(V13*(0.0000000000028)*s_RadSpec!$AY13*s_RadSpec!$AF13,0)</f>
        <v>581.21396623166265</v>
      </c>
      <c r="AB13" s="189">
        <f>IFERROR(W13*(0.0000000000028)*s_RadSpec!$AY13*s_RadSpec!$AF13,0)</f>
        <v>3791.9381418409339</v>
      </c>
      <c r="AC13" s="189">
        <f>IFERROR(X13*(0.0000000000028)*s_RadSpec!$AY13*s_RadSpec!$AF13,0)</f>
        <v>945.21550087055221</v>
      </c>
      <c r="AD13" s="189">
        <f>IFERROR(Y13*(0.0000000000028)*s_RadSpec!$AY13*s_RadSpec!$AF13,0)</f>
        <v>623.3629288457231</v>
      </c>
      <c r="AE13" s="189">
        <f>IFERROR(Z13*(0.0000000000028)*s_RadSpec!$AY13*s_RadSpec!$AF13,0)</f>
        <v>28668.878721161029</v>
      </c>
      <c r="AF13" s="40">
        <f>IFERROR((s_C*s_EF_rec*(1/365)*1*s_RadSpec!R13*s_ET_rec*(1/24)*s_RadSpec!W13),".")</f>
        <v>9.1256499350064919E-4</v>
      </c>
      <c r="AG13" s="40">
        <f>IFERROR((s_C*s_EF_rec*(1/365)*1*s_RadSpec!S13*s_ET_rec*(1/24)*s_RadSpec!X13),".")</f>
        <v>4.1845793257553671E-4</v>
      </c>
      <c r="AH13" s="40">
        <f>IFERROR((s_C*s_EF_rec*(1/365)*1*s_RadSpec!T13*s_ET_rec*(1/24)*s_RadSpec!Y13),".")</f>
        <v>7.043644472762028E-4</v>
      </c>
      <c r="AI13" s="40">
        <f>IFERROR((s_C*s_EF_rec*(1/365)*1*s_RadSpec!U13*s_ET_rec*(1/24)*s_RadSpec!Z13),".")</f>
        <v>8.5323821233882445E-4</v>
      </c>
      <c r="AJ13" s="40">
        <f>IFERROR((s_C*s_EF_rec*(1/365)*1*s_RadSpec!Q13*s_ET_rec*(1/24)*s_RadSpec!V13),".")</f>
        <v>4.3496681259709092E-5</v>
      </c>
      <c r="AK13" s="15">
        <f>IFERROR((s_DL/(s_RadSpec!H13*s_IFA_rec_adj)),".")</f>
        <v>1.0697153554296412</v>
      </c>
      <c r="AL13" s="15">
        <f>IFERROR((s_DL/(s_RadSpec!K13*s_EF_rec*(1/365)*1*s_ET_rec*(1/24)*s_GSF_a)),".")</f>
        <v>3172249.0057813111</v>
      </c>
      <c r="AM13" s="15">
        <f t="shared" si="20"/>
        <v>1.0697149947106201</v>
      </c>
      <c r="AN13" s="189">
        <f>AM13*(0.0000000000000028)*s_RadSpec!$AY13*s_RadSpec!$AF13</f>
        <v>1.5219459943304904E-6</v>
      </c>
      <c r="AO13" s="40">
        <f t="shared" si="3"/>
        <v>501.30208333333326</v>
      </c>
      <c r="AP13" s="40">
        <f t="shared" si="4"/>
        <v>7.8481735159817351E-2</v>
      </c>
      <c r="AQ13" s="45"/>
      <c r="AR13" s="15">
        <f>IFERROR((s_DL/(s_RadSpec!I13*s_IFW_rec_adj)),".")</f>
        <v>24.570024570024568</v>
      </c>
      <c r="AS13" s="15">
        <f>IFERROR((s_DL/(s_RadSpec!M13*(1/8760)*s_DFA_rec_adj)),".")</f>
        <v>883463.12984842202</v>
      </c>
      <c r="AT13" s="2">
        <f>IFERROR(BG13/(s_RadSpec!AI13*s_Q_w_game*(1/1000)),".")</f>
        <v>982800982.80098259</v>
      </c>
      <c r="AU13" s="2" t="str">
        <f>IFERROR(BG13/(s_RadSpec!AL13*s_Q_w_fowl*(1/1000)),".")</f>
        <v>.</v>
      </c>
      <c r="AV13" s="233">
        <f t="shared" si="5"/>
        <v>4.07E-2</v>
      </c>
      <c r="AW13" s="233">
        <f t="shared" si="6"/>
        <v>1.1319091495890411E-6</v>
      </c>
      <c r="AX13" s="233">
        <f t="shared" si="7"/>
        <v>1.0175000000000003E-9</v>
      </c>
      <c r="AY13" s="233">
        <f t="shared" si="8"/>
        <v>0</v>
      </c>
      <c r="AZ13" s="2">
        <f t="shared" si="19"/>
        <v>24.56934065698297</v>
      </c>
      <c r="BA13" s="189">
        <f>AZ13*(0.0000000000000028)*s_RadSpec!$AY13*s_RadSpec!$AF13</f>
        <v>3.4956235802184042E-5</v>
      </c>
      <c r="BB13" s="40">
        <f t="shared" si="9"/>
        <v>2200</v>
      </c>
      <c r="BC13" s="40">
        <f t="shared" si="10"/>
        <v>0.12557077625570776</v>
      </c>
      <c r="BD13" s="19">
        <f>IFERROR(s_C*s_RadSpec!AI13*s_Q_w_game*(1/1000)*s_EF_rec*1*s_IRGL_rec*s_CF_game,".")</f>
        <v>5.4999999999999995E-5</v>
      </c>
      <c r="BE13" s="19">
        <f>IFERROR(s_C*s_RadSpec!AL13*s_Q_w_fowl*(1/1000)*s_EF_rec*1*s_IRGL_rec*s_CF_fowl,0)</f>
        <v>0</v>
      </c>
      <c r="BF13" s="18"/>
      <c r="BG13" s="2">
        <f>IFERROR(s_DL/(s_RadSpec!F13*s_EF_rec*1*s_IRGL_rec*s_CF_game),".")</f>
        <v>196.56019656019654</v>
      </c>
      <c r="BH13" s="2">
        <f>IFERROR(s_DL/(s_RadSpec!F13*s_EF_rec*1*s_IRGF_rec*s_CF_fowl),".")</f>
        <v>196.56019656019654</v>
      </c>
      <c r="BI13" s="189">
        <f>IFERROR(BG13*(0.0000000000028)*s_RadSpec!$AY13*s_RadSpec!$AF13,0)</f>
        <v>0.27965767076167081</v>
      </c>
      <c r="BJ13" s="189">
        <f>IFERROR(BH13*(0.0000000000028)*s_RadSpec!$AY13*s_RadSpec!$AF13,0)</f>
        <v>0.27965767076167081</v>
      </c>
      <c r="BK13" s="19">
        <f t="shared" si="11"/>
        <v>275</v>
      </c>
      <c r="BL13" s="19">
        <f t="shared" si="12"/>
        <v>275</v>
      </c>
    </row>
    <row r="14" spans="1:64" customFormat="1" x14ac:dyDescent="0.25">
      <c r="A14" s="44" t="s">
        <v>12</v>
      </c>
      <c r="B14" s="42" t="s">
        <v>1057</v>
      </c>
      <c r="C14" s="42"/>
      <c r="D14" s="15">
        <f>IFERROR(((s_DL/(s_RadSpec!E14*s_IFS_rec_adj*(1/1000)))*1),".")</f>
        <v>338430.09049620619</v>
      </c>
      <c r="E14" s="15">
        <f>IFERROR(IF(A14="H-3",(s_DL/((s_RadSpec!H14*s_IFA_rec_adj*(1/17)*1000))*1),(s_DL/((s_RadSpec!H14*s_IFA_rec_adj*(1/s_PEF_wind)*1000))*1)),".")</f>
        <v>915715915.47957909</v>
      </c>
      <c r="F14" s="2">
        <f>IFERROR((s_DL/(s_RadSpec!G14*s_EF_rec*(1/365)*1*s_RadSpec!R14*s_ET_rec*(1/24)*s_RadSpec!W14)),".")</f>
        <v>4039.5546153835076</v>
      </c>
      <c r="G14" s="2">
        <f>IFERROR((BG14/(s_RadSpec!AI14*((s_Q_p_game*s_f_p_game*s_f_s_game*(s_RadSpec!BD14+s_R_es_past))+(s_Q_s_game*s_f_p_game)))),".")</f>
        <v>423037613.12025762</v>
      </c>
      <c r="H14" s="2" t="str">
        <f>IFERROR((BG14/(s_RadSpec!AL14*((s_Q_p_fowl*s_f_p_fowl*s_f_s_fowl*(s_RadSpec!BD14+s_R_es_past))+(s_Q_s_fowl*s_f_p_fowl)))),".")</f>
        <v>.</v>
      </c>
      <c r="I14" s="233">
        <f t="shared" si="13"/>
        <v>2.9548200000000002E-6</v>
      </c>
      <c r="J14" s="233">
        <f t="shared" si="14"/>
        <v>1.0920417381588041E-9</v>
      </c>
      <c r="K14" s="233">
        <f t="shared" si="15"/>
        <v>2.4755204353266603E-4</v>
      </c>
      <c r="L14" s="233">
        <f t="shared" si="16"/>
        <v>2.3638560000000009E-9</v>
      </c>
      <c r="M14" s="233">
        <f t="shared" si="17"/>
        <v>0</v>
      </c>
      <c r="N14" s="2">
        <f t="shared" si="18"/>
        <v>3991.8515224192838</v>
      </c>
      <c r="O14" s="189">
        <f>IFERROR(N14*(0.0000000000028)*s_RadSpec!$AY14*s_RadSpec!$AF14,0)</f>
        <v>1.9241020500634167E-7</v>
      </c>
      <c r="P14" s="40">
        <f t="shared" si="1"/>
        <v>15.125</v>
      </c>
      <c r="Q14" s="40">
        <f t="shared" si="2"/>
        <v>1.6181272791589674E-3</v>
      </c>
      <c r="R14" s="40">
        <f>IFERROR((s_C*s_EF_rec*(1/365)*1*s_RadSpec!R14*s_ET_rec*(1/24)*s_RadSpec!W14),".")</f>
        <v>6.0790140937829317E-3</v>
      </c>
      <c r="S14" s="19">
        <f>IFERROR((s_C*s_IRGL_rec*s_EF_rec*1*s_CF_game*s_RadSpec!AI14)*((s_Q_p_game*s_f_p_game*s_f_s_game*(s_RadSpec!BD14+s_R_es_past))+(s_Q_s_game*s_f_p_game)),".")</f>
        <v>1.2100000000000001E-2</v>
      </c>
      <c r="T14" s="19">
        <f>IFERROR((s_C*s_IRGF_rec*s_EF_rec*1*s_CF_fowl*s_RadSpec!AL14)*((s_Q_p_fowl*s_f_p_fowl*s_f_s_fowl*(s_RadSpec!BD14+s_R_es_past))+(s_Q_s_fowl*s_f_p_fowl)),0)</f>
        <v>0</v>
      </c>
      <c r="U14" s="18"/>
      <c r="V14" s="15">
        <f>IFERROR((s_DL/(s_RadSpec!G14*s_EF_rec*(1/365)*1*s_RadSpec!R14*s_ET_rec*(1/24)*s_RadSpec!W14)),".")</f>
        <v>4039.5546153835076</v>
      </c>
      <c r="W14" s="15">
        <f>IFERROR((s_DL/(s_RadSpec!N14*s_EF_rec*(1/365)*1*s_RadSpec!S14*s_ET_rec*(1/24)*s_RadSpec!X14)),".")</f>
        <v>31482.328116433586</v>
      </c>
      <c r="X14" s="15">
        <f>IFERROR((s_DL/(s_RadSpec!O14*s_EF_rec*(1/365)*1*s_RadSpec!T14*s_ET_rec*(1/24)*s_RadSpec!Y14)),".")</f>
        <v>8374.1783912073406</v>
      </c>
      <c r="Y14" s="15">
        <f>IFERROR((s_DL/(s_RadSpec!P14*s_EF_rec*(1/365)*1*s_RadSpec!U14*s_ET_rec*(1/24)*s_RadSpec!Z14)),".")</f>
        <v>5020.1690841273212</v>
      </c>
      <c r="Z14" s="15">
        <f>IFERROR((s_DL/(s_RadSpec!L14*s_EF_rec*(1/365)*1*s_RadSpec!Q14*s_ET_rec*(1/24)*s_RadSpec!V14)),".")</f>
        <v>88252.633813528475</v>
      </c>
      <c r="AA14" s="189">
        <f>IFERROR(V14*(0.0000000000028)*s_RadSpec!$AY14*s_RadSpec!$AF14,0)</f>
        <v>1.9470952947899143E-7</v>
      </c>
      <c r="AB14" s="189">
        <f>IFERROR(W14*(0.0000000000028)*s_RadSpec!$AY14*s_RadSpec!$AF14,0)</f>
        <v>1.5174715725119722E-6</v>
      </c>
      <c r="AC14" s="189">
        <f>IFERROR(X14*(0.0000000000028)*s_RadSpec!$AY14*s_RadSpec!$AF14,0)</f>
        <v>4.0364161140827131E-7</v>
      </c>
      <c r="AD14" s="189">
        <f>IFERROR(Y14*(0.0000000000028)*s_RadSpec!$AY14*s_RadSpec!$AF14,0)</f>
        <v>2.4197587440778058E-7</v>
      </c>
      <c r="AE14" s="189">
        <f>IFERROR(Z14*(0.0000000000028)*s_RadSpec!$AY14*s_RadSpec!$AF14,0)</f>
        <v>4.2538424260127193E-6</v>
      </c>
      <c r="AF14" s="40">
        <f>IFERROR((s_C*s_EF_rec*(1/365)*1*s_RadSpec!R14*s_ET_rec*(1/24)*s_RadSpec!W14),".")</f>
        <v>6.0790140937829317E-3</v>
      </c>
      <c r="AG14" s="40">
        <f>IFERROR((s_C*s_EF_rec*(1/365)*1*s_RadSpec!S14*s_ET_rec*(1/24)*s_RadSpec!X14),".")</f>
        <v>3.3472841024958975E-3</v>
      </c>
      <c r="AH14" s="40">
        <f>IFERROR((s_C*s_EF_rec*(1/365)*1*s_RadSpec!T14*s_ET_rec*(1/24)*s_RadSpec!Y14),".")</f>
        <v>4.5273724439150263E-3</v>
      </c>
      <c r="AI14" s="40">
        <f>IFERROR((s_C*s_EF_rec*(1/365)*1*s_RadSpec!U14*s_ET_rec*(1/24)*s_RadSpec!Z14),".")</f>
        <v>5.1664840182648391E-3</v>
      </c>
      <c r="AJ14" s="40">
        <f>IFERROR((s_C*s_EF_rec*(1/365)*1*s_RadSpec!Q14*s_ET_rec*(1/24)*s_RadSpec!V14),".")</f>
        <v>1.1996276100545279E-3</v>
      </c>
      <c r="AK14" s="15">
        <f>IFERROR((s_DL/(s_RadSpec!H14*s_IFA_rec_adj)),".")</f>
        <v>2955.7924294766399</v>
      </c>
      <c r="AL14" s="15">
        <f>IFERROR((s_DL/(s_RadSpec!K14*s_EF_rec*(1/365)*1*s_ET_rec*(1/24)*s_GSF_a)),".")</f>
        <v>294297.10301746789</v>
      </c>
      <c r="AM14" s="15">
        <f t="shared" si="20"/>
        <v>2926.4009280986129</v>
      </c>
      <c r="AN14" s="189">
        <f>AM14*(0.0000000000000028)*s_RadSpec!$AY14*s_RadSpec!$AF14</f>
        <v>1.4105469588331564E-10</v>
      </c>
      <c r="AO14" s="40">
        <f t="shared" si="3"/>
        <v>501.30208333333326</v>
      </c>
      <c r="AP14" s="40">
        <f t="shared" si="4"/>
        <v>7.8481735159817351E-2</v>
      </c>
      <c r="AQ14" s="45"/>
      <c r="AR14" s="15">
        <f>IFERROR((s_DL/(s_RadSpec!I14*s_IFW_rec_adj)),".")</f>
        <v>2326.7068721614173</v>
      </c>
      <c r="AS14" s="15">
        <f>IFERROR((s_DL/(s_RadSpec!M14*(1/8760)*s_DFA_rec_adj)),".")</f>
        <v>83994.277862436182</v>
      </c>
      <c r="AT14" s="2">
        <f>IFERROR(BG14/(s_RadSpec!AI14*s_Q_w_game*(1/1000)),".")</f>
        <v>1861365497729.1338</v>
      </c>
      <c r="AU14" s="2" t="str">
        <f>IFERROR(BG14/(s_RadSpec!AL14*s_Q_w_fowl*(1/1000)),".")</f>
        <v>.</v>
      </c>
      <c r="AV14" s="233">
        <f t="shared" si="5"/>
        <v>4.2979200000000008E-4</v>
      </c>
      <c r="AW14" s="233">
        <f t="shared" si="6"/>
        <v>1.1905572920547946E-5</v>
      </c>
      <c r="AX14" s="233">
        <f t="shared" si="7"/>
        <v>5.3724000000000004E-13</v>
      </c>
      <c r="AY14" s="233">
        <f t="shared" si="8"/>
        <v>0</v>
      </c>
      <c r="AZ14" s="2">
        <f t="shared" si="19"/>
        <v>2263.992514542459</v>
      </c>
      <c r="BA14" s="189">
        <f>AZ14*(0.0000000000000028)*s_RadSpec!$AY14*s_RadSpec!$AF14</f>
        <v>1.0912611889731071E-10</v>
      </c>
      <c r="BB14" s="40">
        <f t="shared" si="9"/>
        <v>2200</v>
      </c>
      <c r="BC14" s="40">
        <f t="shared" si="10"/>
        <v>0.12557077625570776</v>
      </c>
      <c r="BD14" s="19">
        <f>IFERROR(s_C*s_RadSpec!AI14*s_Q_w_game*(1/1000)*s_EF_rec*1*s_IRGL_rec*s_CF_game,".")</f>
        <v>2.7500000000000004E-6</v>
      </c>
      <c r="BE14" s="19">
        <f>IFERROR(s_C*s_RadSpec!AL14*s_Q_w_fowl*(1/1000)*s_EF_rec*1*s_IRGL_rec*s_CF_fowl,0)</f>
        <v>0</v>
      </c>
      <c r="BF14" s="18"/>
      <c r="BG14" s="2">
        <f>IFERROR(s_DL/(s_RadSpec!F14*s_EF_rec*1*s_IRGL_rec*s_CF_game),".")</f>
        <v>18613.654977291339</v>
      </c>
      <c r="BH14" s="2">
        <f>IFERROR(s_DL/(s_RadSpec!F14*s_EF_rec*1*s_IRGF_rec*s_CF_fowl),".")</f>
        <v>18613.654977291339</v>
      </c>
      <c r="BI14" s="189">
        <f>IFERROR(BG14*(0.0000000000028)*s_RadSpec!$AY14*s_RadSpec!$AF14,0)</f>
        <v>8.9719197970754598E-7</v>
      </c>
      <c r="BJ14" s="189">
        <f>IFERROR(BH14*(0.0000000000028)*s_RadSpec!$AY14*s_RadSpec!$AF14,0)</f>
        <v>8.9719197970754598E-7</v>
      </c>
      <c r="BK14" s="19">
        <f t="shared" si="11"/>
        <v>275</v>
      </c>
      <c r="BL14" s="19">
        <f t="shared" si="12"/>
        <v>275</v>
      </c>
    </row>
    <row r="15" spans="1:64" customFormat="1" x14ac:dyDescent="0.25">
      <c r="A15" s="44" t="s">
        <v>13</v>
      </c>
      <c r="B15" s="42" t="s">
        <v>1057</v>
      </c>
      <c r="C15" s="42"/>
      <c r="D15" s="15">
        <f>IFERROR(((s_DL/(s_RadSpec!E15*s_IFS_rec_adj*(1/1000)))*1),".")</f>
        <v>5980290.7557562534</v>
      </c>
      <c r="E15" s="15">
        <f>IFERROR(IF(A15="H-3",(s_DL/((s_RadSpec!H15*s_IFA_rec_adj*(1/17)*1000))*1),(s_DL/((s_RadSpec!H15*s_IFA_rec_adj*(1/s_PEF_wind)*1000))*1)),".")</f>
        <v>59823274707.548439</v>
      </c>
      <c r="F15" s="2" t="str">
        <f>IFERROR((s_DL/(s_RadSpec!G15*s_EF_rec*(1/365)*1*s_RadSpec!R15*s_ET_rec*(1/24)*s_RadSpec!W15)),".")</f>
        <v>.</v>
      </c>
      <c r="G15" s="2">
        <f>IFERROR((BG15/(s_RadSpec!AI15*((s_Q_p_game*s_f_p_game*s_f_s_game*(s_RadSpec!BD15+s_R_es_past))+(s_Q_s_game*s_f_p_game)))),".")</f>
        <v>58001644.369818516</v>
      </c>
      <c r="H15" s="2" t="str">
        <f>IFERROR((BG15/(s_RadSpec!AL15*((s_Q_p_fowl*s_f_p_fowl*s_f_s_fowl*(s_RadSpec!BD15+s_R_es_past))+(s_Q_s_fowl*s_f_p_fowl)))),".")</f>
        <v>.</v>
      </c>
      <c r="I15" s="233">
        <f t="shared" si="13"/>
        <v>1.6721595000000001E-7</v>
      </c>
      <c r="J15" s="233">
        <f t="shared" si="14"/>
        <v>1.6715902044623797E-11</v>
      </c>
      <c r="K15" s="233">
        <f t="shared" si="15"/>
        <v>0</v>
      </c>
      <c r="L15" s="233">
        <f t="shared" si="16"/>
        <v>1.7240890510344835E-8</v>
      </c>
      <c r="M15" s="233">
        <f t="shared" si="17"/>
        <v>0</v>
      </c>
      <c r="N15" s="2">
        <f t="shared" si="18"/>
        <v>5420831.1448417371</v>
      </c>
      <c r="O15" s="189">
        <f>IFERROR(N15*(0.0000000000028)*s_RadSpec!$AY15*s_RadSpec!$AF15,0)</f>
        <v>1.1780131924123718E-6</v>
      </c>
      <c r="P15" s="40">
        <f t="shared" si="1"/>
        <v>15.125</v>
      </c>
      <c r="Q15" s="40">
        <f t="shared" si="2"/>
        <v>1.6181272791589674E-3</v>
      </c>
      <c r="R15" s="40">
        <f>IFERROR((s_C*s_EF_rec*(1/365)*1*s_RadSpec!R15*s_ET_rec*(1/24)*s_RadSpec!W15),".")</f>
        <v>0</v>
      </c>
      <c r="S15" s="19">
        <f>IFERROR((s_C*s_IRGL_rec*s_EF_rec*1*s_CF_game*s_RadSpec!AI15)*((s_Q_p_game*s_f_p_game*s_f_s_game*(s_RadSpec!BD15+s_R_es_past))+(s_Q_s_game*s_f_p_game)),".")</f>
        <v>1.5594712643678168</v>
      </c>
      <c r="T15" s="19">
        <f>IFERROR((s_C*s_IRGF_rec*s_EF_rec*1*s_CF_fowl*s_RadSpec!AL15)*((s_Q_p_fowl*s_f_p_fowl*s_f_s_fowl*(s_RadSpec!BD15+s_R_es_past))+(s_Q_s_fowl*s_f_p_fowl)),0)</f>
        <v>0</v>
      </c>
      <c r="U15" s="18"/>
      <c r="V15" s="15" t="str">
        <f>IFERROR((s_DL/(s_RadSpec!G15*s_EF_rec*(1/365)*1*s_RadSpec!R15*s_ET_rec*(1/24)*s_RadSpec!W15)),".")</f>
        <v>.</v>
      </c>
      <c r="W15" s="15" t="str">
        <f>IFERROR((s_DL/(s_RadSpec!N15*s_EF_rec*(1/365)*1*s_RadSpec!S15*s_ET_rec*(1/24)*s_RadSpec!X15)),".")</f>
        <v>.</v>
      </c>
      <c r="X15" s="15" t="str">
        <f>IFERROR((s_DL/(s_RadSpec!O15*s_EF_rec*(1/365)*1*s_RadSpec!T15*s_ET_rec*(1/24)*s_RadSpec!Y15)),".")</f>
        <v>.</v>
      </c>
      <c r="Y15" s="15" t="str">
        <f>IFERROR((s_DL/(s_RadSpec!P15*s_EF_rec*(1/365)*1*s_RadSpec!U15*s_ET_rec*(1/24)*s_RadSpec!Z15)),".")</f>
        <v>.</v>
      </c>
      <c r="Z15" s="15" t="str">
        <f>IFERROR((s_DL/(s_RadSpec!L15*s_EF_rec*(1/365)*1*s_RadSpec!Q15*s_ET_rec*(1/24)*s_RadSpec!V15)),".")</f>
        <v>.</v>
      </c>
      <c r="AA15" s="189">
        <f>IFERROR(V15*(0.0000000000028)*s_RadSpec!$AY15*s_RadSpec!$AF15,0)</f>
        <v>0</v>
      </c>
      <c r="AB15" s="189">
        <f>IFERROR(W15*(0.0000000000028)*s_RadSpec!$AY15*s_RadSpec!$AF15,0)</f>
        <v>0</v>
      </c>
      <c r="AC15" s="189">
        <f>IFERROR(X15*(0.0000000000028)*s_RadSpec!$AY15*s_RadSpec!$AF15,0)</f>
        <v>0</v>
      </c>
      <c r="AD15" s="189">
        <f>IFERROR(Y15*(0.0000000000028)*s_RadSpec!$AY15*s_RadSpec!$AF15,0)</f>
        <v>0</v>
      </c>
      <c r="AE15" s="189">
        <f>IFERROR(Z15*(0.0000000000028)*s_RadSpec!$AY15*s_RadSpec!$AF15,0)</f>
        <v>0</v>
      </c>
      <c r="AF15" s="40">
        <f>IFERROR((s_C*s_EF_rec*(1/365)*1*s_RadSpec!R15*s_ET_rec*(1/24)*s_RadSpec!W15),".")</f>
        <v>0</v>
      </c>
      <c r="AG15" s="40">
        <f>IFERROR((s_C*s_EF_rec*(1/365)*1*s_RadSpec!S15*s_ET_rec*(1/24)*s_RadSpec!X15),".")</f>
        <v>0</v>
      </c>
      <c r="AH15" s="40">
        <f>IFERROR((s_C*s_EF_rec*(1/365)*1*s_RadSpec!T15*s_ET_rec*(1/24)*s_RadSpec!Y15),".")</f>
        <v>0</v>
      </c>
      <c r="AI15" s="40">
        <f>IFERROR((s_C*s_EF_rec*(1/365)*1*s_RadSpec!U15*s_ET_rec*(1/24)*s_RadSpec!Z15),".")</f>
        <v>0</v>
      </c>
      <c r="AJ15" s="40">
        <f>IFERROR((s_C*s_EF_rec*(1/365)*1*s_RadSpec!Q15*s_ET_rec*(1/24)*s_RadSpec!V15),".")</f>
        <v>0</v>
      </c>
      <c r="AK15" s="15">
        <f>IFERROR((s_DL/(s_RadSpec!H15*s_IFA_rec_adj)),".")</f>
        <v>193100.47963343095</v>
      </c>
      <c r="AL15" s="15">
        <f>IFERROR((s_DL/(s_RadSpec!K15*s_EF_rec*(1/365)*1*s_ET_rec*(1/24)*s_GSF_a)),".")</f>
        <v>27281341.449719276</v>
      </c>
      <c r="AM15" s="15">
        <f t="shared" si="20"/>
        <v>191743.29846372633</v>
      </c>
      <c r="AN15" s="189">
        <f>AM15*(0.0000000000000028)*s_RadSpec!$AY15*s_RadSpec!$AF15</f>
        <v>4.1668173959240148E-11</v>
      </c>
      <c r="AO15" s="40">
        <f t="shared" si="3"/>
        <v>501.30208333333326</v>
      </c>
      <c r="AP15" s="40">
        <f t="shared" si="4"/>
        <v>7.8481735159817351E-2</v>
      </c>
      <c r="AQ15" s="45"/>
      <c r="AR15" s="15">
        <f>IFERROR((s_DL/(s_RadSpec!I15*s_IFW_rec_adj)),".")</f>
        <v>41114.498945824249</v>
      </c>
      <c r="AS15" s="15">
        <f>IFERROR((s_DL/(s_RadSpec!M15*(1/8760)*s_DFA_rec_adj)),".")</f>
        <v>15223962.862566557</v>
      </c>
      <c r="AT15" s="2">
        <f>IFERROR(BG15/(s_RadSpec!AI15*s_Q_w_game*(1/1000)),".")</f>
        <v>234939993976.13858</v>
      </c>
      <c r="AU15" s="2" t="str">
        <f>IFERROR(BG15/(s_RadSpec!AL15*s_Q_w_fowl*(1/1000)),".")</f>
        <v>.</v>
      </c>
      <c r="AV15" s="233">
        <f t="shared" si="5"/>
        <v>2.4322319999999997E-5</v>
      </c>
      <c r="AW15" s="233">
        <f t="shared" si="6"/>
        <v>6.5685919561643838E-8</v>
      </c>
      <c r="AX15" s="233">
        <f t="shared" si="7"/>
        <v>4.2564059999999997E-12</v>
      </c>
      <c r="AY15" s="233">
        <f t="shared" si="8"/>
        <v>0</v>
      </c>
      <c r="AZ15" s="2">
        <f t="shared" si="19"/>
        <v>41003.755238113561</v>
      </c>
      <c r="BA15" s="189">
        <f>AZ15*(0.0000000000000028)*s_RadSpec!$AY15*s_RadSpec!$AF15</f>
        <v>8.9106196666739906E-12</v>
      </c>
      <c r="BB15" s="40">
        <f t="shared" si="9"/>
        <v>2200</v>
      </c>
      <c r="BC15" s="40">
        <f t="shared" si="10"/>
        <v>0.12557077625570776</v>
      </c>
      <c r="BD15" s="19">
        <f>IFERROR(s_C*s_RadSpec!AI15*s_Q_w_game*(1/1000)*s_EF_rec*1*s_IRGL_rec*s_CF_game,".")</f>
        <v>3.8499999999999998E-4</v>
      </c>
      <c r="BE15" s="19">
        <f>IFERROR(s_C*s_RadSpec!AL15*s_Q_w_fowl*(1/1000)*s_EF_rec*1*s_IRGL_rec*s_CF_fowl,0)</f>
        <v>0</v>
      </c>
      <c r="BF15" s="18"/>
      <c r="BG15" s="2">
        <f>IFERROR(s_DL/(s_RadSpec!F15*s_EF_rec*1*s_IRGL_rec*s_CF_game),".")</f>
        <v>328915.99156659399</v>
      </c>
      <c r="BH15" s="2">
        <f>IFERROR(s_DL/(s_RadSpec!F15*s_EF_rec*1*s_IRGF_rec*s_CF_fowl),".")</f>
        <v>328915.99156659399</v>
      </c>
      <c r="BI15" s="189">
        <f>IFERROR(BG15*(0.0000000000028)*s_RadSpec!$AY15*s_RadSpec!$AF15,0)</f>
        <v>7.1477485077088916E-8</v>
      </c>
      <c r="BJ15" s="189">
        <f>IFERROR(BH15*(0.0000000000028)*s_RadSpec!$AY15*s_RadSpec!$AF15,0)</f>
        <v>7.1477485077088916E-8</v>
      </c>
      <c r="BK15" s="19">
        <f t="shared" si="11"/>
        <v>275</v>
      </c>
      <c r="BL15" s="19">
        <f t="shared" si="12"/>
        <v>275</v>
      </c>
    </row>
    <row r="16" spans="1:64" customFormat="1" x14ac:dyDescent="0.25">
      <c r="A16" s="44" t="s">
        <v>14</v>
      </c>
      <c r="B16" s="42" t="s">
        <v>1057</v>
      </c>
      <c r="C16" s="238"/>
      <c r="D16" s="15">
        <f>IFERROR(((s_DL/(s_RadSpec!E16*s_IFS_rec_adj*(1/1000)))*1),".")</f>
        <v>437.96835240685505</v>
      </c>
      <c r="E16" s="15">
        <f>IFERROR(IF(A16="H-3",(s_DL/((s_RadSpec!H16*s_IFA_rec_adj*(1/17)*1000))*1),(s_DL/((s_RadSpec!H16*s_IFA_rec_adj*(1/s_PEF_wind)*1000))*1)),".")</f>
        <v>692481.68732784083</v>
      </c>
      <c r="F16" s="2">
        <f>IFERROR((s_DL/(s_RadSpec!G16*s_EF_rec*(1/365)*1*s_RadSpec!R16*s_ET_rec*(1/24)*s_RadSpec!W16)),".")</f>
        <v>18281254852.045387</v>
      </c>
      <c r="G16" s="2">
        <f>IFERROR((BG16/(s_RadSpec!AI16*((s_Q_p_game*s_f_p_game*s_f_s_game*(s_RadSpec!BD16+s_R_es_past))+(s_Q_s_game*s_f_p_game)))),".")</f>
        <v>4247.7674847308263</v>
      </c>
      <c r="H16" s="2" t="str">
        <f>IFERROR((BG16/(s_RadSpec!AL16*((s_Q_p_fowl*s_f_p_fowl*s_f_s_fowl*(s_RadSpec!BD16+s_R_es_past))+(s_Q_s_fowl*s_f_p_fowl)))),".")</f>
        <v>.</v>
      </c>
      <c r="I16" s="233">
        <f t="shared" si="13"/>
        <v>2.28327E-3</v>
      </c>
      <c r="J16" s="233">
        <f t="shared" si="14"/>
        <v>1.4440815090126291E-6</v>
      </c>
      <c r="K16" s="233">
        <f t="shared" si="15"/>
        <v>5.4700840182648384E-11</v>
      </c>
      <c r="L16" s="233">
        <f t="shared" si="16"/>
        <v>2.3541778206896563E-4</v>
      </c>
      <c r="M16" s="233">
        <f t="shared" si="17"/>
        <v>0</v>
      </c>
      <c r="N16" s="2">
        <f t="shared" si="18"/>
        <v>396.80462468923957</v>
      </c>
      <c r="O16" s="189">
        <f>IFERROR(N16*(0.0000000000028)*s_RadSpec!$AY16*s_RadSpec!$AF16,0)</f>
        <v>5.1797288488434578E-6</v>
      </c>
      <c r="P16" s="40">
        <f t="shared" si="1"/>
        <v>15.125</v>
      </c>
      <c r="Q16" s="40">
        <f t="shared" si="2"/>
        <v>1.6181272791589674E-3</v>
      </c>
      <c r="R16" s="40">
        <f>IFERROR((s_C*s_EF_rec*(1/365)*1*s_RadSpec!R16*s_ET_rec*(1/24)*s_RadSpec!W16),".")</f>
        <v>6.5364073711676418E-7</v>
      </c>
      <c r="S16" s="19">
        <f>IFERROR((s_C*s_IRGL_rec*s_EF_rec*1*s_CF_game*s_RadSpec!AI16)*((s_Q_p_game*s_f_p_game*s_f_s_game*(s_RadSpec!BD16+s_R_es_past))+(s_Q_s_game*s_f_p_game)),".")</f>
        <v>1.5594712643678168</v>
      </c>
      <c r="T16" s="19">
        <f>IFERROR((s_C*s_IRGF_rec*s_EF_rec*1*s_CF_fowl*s_RadSpec!AL16)*((s_Q_p_fowl*s_f_p_fowl*s_f_s_fowl*(s_RadSpec!BD16+s_R_es_past))+(s_Q_s_fowl*s_f_p_fowl)),0)</f>
        <v>0</v>
      </c>
      <c r="U16" s="18"/>
      <c r="V16" s="15">
        <f>IFERROR((s_DL/(s_RadSpec!G16*s_EF_rec*(1/365)*1*s_RadSpec!R16*s_ET_rec*(1/24)*s_RadSpec!W16)),".")</f>
        <v>18281254852.045387</v>
      </c>
      <c r="W16" s="15">
        <f>IFERROR((s_DL/(s_RadSpec!N16*s_EF_rec*(1/365)*1*s_RadSpec!S16*s_ET_rec*(1/24)*s_RadSpec!X16)),".")</f>
        <v>51215283936.856201</v>
      </c>
      <c r="X16" s="15">
        <f>IFERROR((s_DL/(s_RadSpec!O16*s_EF_rec*(1/365)*1*s_RadSpec!T16*s_ET_rec*(1/24)*s_RadSpec!Y16)),".")</f>
        <v>19914682830.927044</v>
      </c>
      <c r="Y16" s="15">
        <f>IFERROR((s_DL/(s_RadSpec!P16*s_EF_rec*(1/365)*1*s_RadSpec!U16*s_ET_rec*(1/24)*s_RadSpec!Z16)),".")</f>
        <v>19660123838.631317</v>
      </c>
      <c r="Z16" s="15">
        <f>IFERROR((s_DL/(s_RadSpec!L16*s_EF_rec*(1/365)*1*s_RadSpec!Q16*s_ET_rec*(1/24)*s_RadSpec!V16)),".")</f>
        <v>627866297448.7915</v>
      </c>
      <c r="AA16" s="189">
        <f>IFERROR(V16*(0.0000000000028)*s_RadSpec!$AY16*s_RadSpec!$AF16,0)</f>
        <v>238.63618833665967</v>
      </c>
      <c r="AB16" s="189">
        <f>IFERROR(W16*(0.0000000000028)*s_RadSpec!$AY16*s_RadSpec!$AF16,0)</f>
        <v>668.54383039814604</v>
      </c>
      <c r="AC16" s="189">
        <f>IFERROR(X16*(0.0000000000028)*s_RadSpec!$AY16*s_RadSpec!$AF16,0)</f>
        <v>259.95830380178927</v>
      </c>
      <c r="AD16" s="189">
        <f>IFERROR(Y16*(0.0000000000028)*s_RadSpec!$AY16*s_RadSpec!$AF16,0)</f>
        <v>256.63539253995776</v>
      </c>
      <c r="AE16" s="189">
        <f>IFERROR(Z16*(0.0000000000028)*s_RadSpec!$AY16*s_RadSpec!$AF16,0)</f>
        <v>8195.915500377545</v>
      </c>
      <c r="AF16" s="40">
        <f>IFERROR((s_C*s_EF_rec*(1/365)*1*s_RadSpec!R16*s_ET_rec*(1/24)*s_RadSpec!W16),".")</f>
        <v>6.5364073711676418E-7</v>
      </c>
      <c r="AG16" s="40">
        <f>IFERROR((s_C*s_EF_rec*(1/365)*1*s_RadSpec!S16*s_ET_rec*(1/24)*s_RadSpec!X16),".")</f>
        <v>3.6701478367014768E-7</v>
      </c>
      <c r="AH16" s="40">
        <f>IFERROR((s_C*s_EF_rec*(1/365)*1*s_RadSpec!T16*s_ET_rec*(1/24)*s_RadSpec!Y16),".")</f>
        <v>6.1093788565963183E-7</v>
      </c>
      <c r="AI16" s="40">
        <f>IFERROR((s_C*s_EF_rec*(1/365)*1*s_RadSpec!U16*s_ET_rec*(1/24)*s_RadSpec!Z16),".")</f>
        <v>6.0779743784880742E-7</v>
      </c>
      <c r="AJ16" s="40">
        <f>IFERROR((s_C*s_EF_rec*(1/365)*1*s_RadSpec!Q16*s_ET_rec*(1/24)*s_RadSpec!V16),".")</f>
        <v>1.5696347031963468E-8</v>
      </c>
      <c r="AK16" s="15">
        <f>IFERROR((s_DL/(s_RadSpec!H16*s_IFA_rec_adj)),".")</f>
        <v>2.2352261158231306</v>
      </c>
      <c r="AL16" s="15">
        <f>IFERROR((s_DL/(s_RadSpec!K16*s_EF_rec*(1/365)*1*s_ET_rec*(1/24)*s_GSF_a)),".")</f>
        <v>57922168.683055773</v>
      </c>
      <c r="AM16" s="15">
        <f t="shared" si="20"/>
        <v>2.2352260295653865</v>
      </c>
      <c r="AN16" s="189">
        <f>AM16*(0.0000000000000028)*s_RadSpec!$AY16*s_RadSpec!$AF16</f>
        <v>2.9177746499534728E-11</v>
      </c>
      <c r="AO16" s="40">
        <f t="shared" si="3"/>
        <v>501.30208333333326</v>
      </c>
      <c r="AP16" s="40">
        <f t="shared" si="4"/>
        <v>7.8481735159817351E-2</v>
      </c>
      <c r="AQ16" s="45"/>
      <c r="AR16" s="15">
        <f>IFERROR((s_DL/(s_RadSpec!I16*s_IFW_rec_adj)),".")</f>
        <v>3.0110324227971286</v>
      </c>
      <c r="AS16" s="15">
        <f>IFERROR((s_DL/(s_RadSpec!M16*(1/8760)*s_DFA_rec_adj)),".")</f>
        <v>15642971.01474729</v>
      </c>
      <c r="AT16" s="2">
        <f>IFERROR(BG16/(s_RadSpec!AI16*s_Q_w_game*(1/1000)),".")</f>
        <v>17205899.558840737</v>
      </c>
      <c r="AU16" s="2" t="str">
        <f>IFERROR(BG16/(s_RadSpec!AL16*s_Q_w_fowl*(1/1000)),".")</f>
        <v>.</v>
      </c>
      <c r="AV16" s="233">
        <f t="shared" si="5"/>
        <v>0.33211200000000002</v>
      </c>
      <c r="AW16" s="233">
        <f t="shared" si="6"/>
        <v>6.3926475287671237E-8</v>
      </c>
      <c r="AX16" s="233">
        <f t="shared" si="7"/>
        <v>5.8119599999999992E-8</v>
      </c>
      <c r="AY16" s="233">
        <f t="shared" si="8"/>
        <v>0</v>
      </c>
      <c r="AZ16" s="2">
        <f t="shared" si="19"/>
        <v>3.0110313162892193</v>
      </c>
      <c r="BA16" s="189">
        <f>AZ16*(0.0000000000000028)*s_RadSpec!$AY16*s_RadSpec!$AF16</f>
        <v>3.9304798390312953E-11</v>
      </c>
      <c r="BB16" s="40">
        <f t="shared" si="9"/>
        <v>2200</v>
      </c>
      <c r="BC16" s="40">
        <f t="shared" si="10"/>
        <v>0.12557077625570776</v>
      </c>
      <c r="BD16" s="19">
        <f>IFERROR(s_C*s_RadSpec!AI16*s_Q_w_game*(1/1000)*s_EF_rec*1*s_IRGL_rec*s_CF_game,".")</f>
        <v>3.8499999999999998E-4</v>
      </c>
      <c r="BE16" s="19">
        <f>IFERROR(s_C*s_RadSpec!AL16*s_Q_w_fowl*(1/1000)*s_EF_rec*1*s_IRGL_rec*s_CF_fowl,0)</f>
        <v>0</v>
      </c>
      <c r="BF16" s="18"/>
      <c r="BG16" s="2">
        <f>IFERROR(s_DL/(s_RadSpec!F16*s_EF_rec*1*s_IRGL_rec*s_CF_game),".")</f>
        <v>24.088259382377029</v>
      </c>
      <c r="BH16" s="2">
        <f>IFERROR(s_DL/(s_RadSpec!F16*s_EF_rec*1*s_IRGF_rec*s_CF_fowl),".")</f>
        <v>24.088259382377029</v>
      </c>
      <c r="BI16" s="189">
        <f>IFERROR(BG16*(0.0000000000028)*s_RadSpec!$AY16*s_RadSpec!$AF16,0)</f>
        <v>3.1443850267379678E-7</v>
      </c>
      <c r="BJ16" s="189">
        <f>IFERROR(BH16*(0.0000000000028)*s_RadSpec!$AY16*s_RadSpec!$AF16,0)</f>
        <v>3.1443850267379678E-7</v>
      </c>
      <c r="BK16" s="19">
        <f t="shared" si="11"/>
        <v>275</v>
      </c>
      <c r="BL16" s="19">
        <f t="shared" si="12"/>
        <v>275</v>
      </c>
    </row>
    <row r="17" spans="1:64" customFormat="1" x14ac:dyDescent="0.25">
      <c r="A17" s="44" t="s">
        <v>15</v>
      </c>
      <c r="B17" s="42" t="s">
        <v>1057</v>
      </c>
      <c r="C17" s="238"/>
      <c r="D17" s="15">
        <f>IFERROR(((s_DL/(s_RadSpec!E17*s_IFS_rec_adj*(1/1000)))*1),".")</f>
        <v>2244862.911834131</v>
      </c>
      <c r="E17" s="15">
        <f>IFERROR(IF(A17="H-3",(s_DL/((s_RadSpec!H17*s_IFA_rec_adj*(1/17)*1000))*1),(s_DL/((s_RadSpec!H17*s_IFA_rec_adj*(1/s_PEF_wind)*1000))*1)),".")</f>
        <v>331544182.96076089</v>
      </c>
      <c r="F17" s="2">
        <f>IFERROR((s_DL/(s_RadSpec!G17*s_EF_rec*(1/365)*1*s_RadSpec!R17*s_ET_rec*(1/24)*s_RadSpec!W17)),".")</f>
        <v>2797.0979616544905</v>
      </c>
      <c r="G17" s="2">
        <f>IFERROR((BG17/(s_RadSpec!AI17*((s_Q_p_game*s_f_p_game*s_f_s_game*(s_RadSpec!BD17+s_R_es_past))+(s_Q_s_game*s_f_p_game)))),".")</f>
        <v>21772476.554901723</v>
      </c>
      <c r="H17" s="2" t="str">
        <f>IFERROR((BG17/(s_RadSpec!AL17*((s_Q_p_fowl*s_f_p_fowl*s_f_s_fowl*(s_RadSpec!BD17+s_R_es_past))+(s_Q_s_fowl*s_f_p_fowl)))),".")</f>
        <v>.</v>
      </c>
      <c r="I17" s="233">
        <f t="shared" si="13"/>
        <v>4.4546150000000011E-7</v>
      </c>
      <c r="J17" s="233">
        <f t="shared" si="14"/>
        <v>3.0161892483523156E-9</v>
      </c>
      <c r="K17" s="233">
        <f t="shared" si="15"/>
        <v>3.5751339914047827E-4</v>
      </c>
      <c r="L17" s="233">
        <f t="shared" si="16"/>
        <v>4.5929547678160941E-8</v>
      </c>
      <c r="M17" s="233">
        <f t="shared" si="17"/>
        <v>0</v>
      </c>
      <c r="N17" s="2">
        <f t="shared" si="18"/>
        <v>2793.2351814301496</v>
      </c>
      <c r="O17" s="189">
        <f>IFERROR(N17*(0.0000000000028)*s_RadSpec!$AY17*s_RadSpec!$AF17,0)</f>
        <v>8.534120006679395E-11</v>
      </c>
      <c r="P17" s="40">
        <f t="shared" si="1"/>
        <v>15.125</v>
      </c>
      <c r="Q17" s="40">
        <f t="shared" si="2"/>
        <v>1.6181272791589674E-3</v>
      </c>
      <c r="R17" s="40">
        <f>IFERROR((s_C*s_EF_rec*(1/365)*1*s_RadSpec!R17*s_ET_rec*(1/24)*s_RadSpec!W17),".")</f>
        <v>7.1095218909481631E-3</v>
      </c>
      <c r="S17" s="19">
        <f>IFERROR((s_C*s_IRGL_rec*s_EF_rec*1*s_CF_game*s_RadSpec!AI17)*((s_Q_p_game*s_f_p_game*s_f_s_game*(s_RadSpec!BD17+s_R_es_past))+(s_Q_s_game*s_f_p_game)),".")</f>
        <v>1.5594712643678168</v>
      </c>
      <c r="T17" s="19">
        <f>IFERROR((s_C*s_IRGF_rec*s_EF_rec*1*s_CF_fowl*s_RadSpec!AL17)*((s_Q_p_fowl*s_f_p_fowl*s_f_s_fowl*(s_RadSpec!BD17+s_R_es_past))+(s_Q_s_fowl*s_f_p_fowl)),0)</f>
        <v>0</v>
      </c>
      <c r="U17" s="18"/>
      <c r="V17" s="15">
        <f>IFERROR((s_DL/(s_RadSpec!G17*s_EF_rec*(1/365)*1*s_RadSpec!R17*s_ET_rec*(1/24)*s_RadSpec!W17)),".")</f>
        <v>2797.0979616544905</v>
      </c>
      <c r="W17" s="15">
        <f>IFERROR((s_DL/(s_RadSpec!N17*s_EF_rec*(1/365)*1*s_RadSpec!S17*s_ET_rec*(1/24)*s_RadSpec!X17)),".")</f>
        <v>21933.131269965343</v>
      </c>
      <c r="X17" s="15">
        <f>IFERROR((s_DL/(s_RadSpec!O17*s_EF_rec*(1/365)*1*s_RadSpec!T17*s_ET_rec*(1/24)*s_RadSpec!Y17)),".")</f>
        <v>5859.8360008313039</v>
      </c>
      <c r="Y17" s="15">
        <f>IFERROR((s_DL/(s_RadSpec!P17*s_EF_rec*(1/365)*1*s_RadSpec!U17*s_ET_rec*(1/24)*s_RadSpec!Z17)),".")</f>
        <v>3504.209069055933</v>
      </c>
      <c r="Z17" s="15">
        <f>IFERROR((s_DL/(s_RadSpec!L17*s_EF_rec*(1/365)*1*s_RadSpec!Q17*s_ET_rec*(1/24)*s_RadSpec!V17)),".")</f>
        <v>41454.75362957325</v>
      </c>
      <c r="AA17" s="189">
        <f>IFERROR(V17*(0.0000000000028)*s_RadSpec!$AY17*s_RadSpec!$AF17,0)</f>
        <v>8.545921887957817E-11</v>
      </c>
      <c r="AB17" s="189">
        <f>IFERROR(W17*(0.0000000000028)*s_RadSpec!$AY17*s_RadSpec!$AF17,0)</f>
        <v>6.7011892025611549E-10</v>
      </c>
      <c r="AC17" s="189">
        <f>IFERROR(X17*(0.0000000000028)*s_RadSpec!$AY17*s_RadSpec!$AF17,0)</f>
        <v>1.7903449012463745E-10</v>
      </c>
      <c r="AD17" s="189">
        <f>IFERROR(Y17*(0.0000000000028)*s_RadSpec!$AY17*s_RadSpec!$AF17,0)</f>
        <v>1.0706345431502812E-10</v>
      </c>
      <c r="AE17" s="189">
        <f>IFERROR(Z17*(0.0000000000028)*s_RadSpec!$AY17*s_RadSpec!$AF17,0)</f>
        <v>1.266559452902814E-9</v>
      </c>
      <c r="AF17" s="40">
        <f>IFERROR((s_C*s_EF_rec*(1/365)*1*s_RadSpec!R17*s_ET_rec*(1/24)*s_RadSpec!W17),".")</f>
        <v>7.1095218909481631E-3</v>
      </c>
      <c r="AG17" s="40">
        <f>IFERROR((s_C*s_EF_rec*(1/365)*1*s_RadSpec!S17*s_ET_rec*(1/24)*s_RadSpec!X17),".")</f>
        <v>4.0679091005628113E-3</v>
      </c>
      <c r="AH17" s="40">
        <f>IFERROR((s_C*s_EF_rec*(1/365)*1*s_RadSpec!T17*s_ET_rec*(1/24)*s_RadSpec!Y17),".")</f>
        <v>5.3992981235730583E-3</v>
      </c>
      <c r="AI17" s="40">
        <f>IFERROR((s_C*s_EF_rec*(1/365)*1*s_RadSpec!U17*s_ET_rec*(1/24)*s_RadSpec!Z17),".")</f>
        <v>6.0718702435312039E-3</v>
      </c>
      <c r="AJ17" s="40">
        <f>IFERROR((s_C*s_EF_rec*(1/365)*1*s_RadSpec!Q17*s_ET_rec*(1/24)*s_RadSpec!V17),".")</f>
        <v>2.1229750269355085E-3</v>
      </c>
      <c r="AK17" s="15">
        <f>IFERROR((s_DL/(s_RadSpec!H17*s_IFA_rec_adj)),".")</f>
        <v>1070.1744607324008</v>
      </c>
      <c r="AL17" s="15">
        <f>IFERROR((s_DL/(s_RadSpec!K17*s_EF_rec*(1/365)*1*s_ET_rec*(1/24)*s_GSF_a)),".")</f>
        <v>245777.85089837183</v>
      </c>
      <c r="AM17" s="15">
        <f>IFERROR(IF(AND(AK17&lt;&gt;".",AL17&lt;&gt;"."),1/((1/AK17)+(1/AL17)),IF(AND(AK17&lt;&gt;".",AL17="."),1/((1/AK17)),IF(AND(AK17=".",AL17&lt;&gt;"."),1/((1/AL17)),IF(AND(AK17=".",AL17="."),".")))),".")</f>
        <v>1065.5348717596401</v>
      </c>
      <c r="AN17" s="189">
        <f>AM17*(0.0000000000000028)*s_RadSpec!$AY17*s_RadSpec!$AF17</f>
        <v>3.2555090696812149E-14</v>
      </c>
      <c r="AO17" s="40">
        <f t="shared" si="3"/>
        <v>501.30208333333326</v>
      </c>
      <c r="AP17" s="40">
        <f t="shared" si="4"/>
        <v>7.8481735159817351E-2</v>
      </c>
      <c r="AQ17" s="45"/>
      <c r="AR17" s="15">
        <f>IFERROR((s_DL/(s_RadSpec!I17*s_IFW_rec_adj)),".")</f>
        <v>15433.432518859654</v>
      </c>
      <c r="AS17" s="15">
        <f>IFERROR((s_DL/(s_RadSpec!M17*(1/8760)*s_DFA_rec_adj)),".")</f>
        <v>70750.366830184837</v>
      </c>
      <c r="AT17" s="2">
        <f>IFERROR(BG17/(s_RadSpec!AI17*s_Q_w_game*(1/1000)),".")</f>
        <v>88191042964.912308</v>
      </c>
      <c r="AU17" s="2" t="str">
        <f>IFERROR(BG17/(s_RadSpec!AL17*s_Q_w_fowl*(1/1000)),".")</f>
        <v>.</v>
      </c>
      <c r="AV17" s="233">
        <f t="shared" si="5"/>
        <v>6.4794400000000004E-5</v>
      </c>
      <c r="AW17" s="233">
        <f t="shared" si="6"/>
        <v>1.4134202334246575E-5</v>
      </c>
      <c r="AX17" s="233">
        <f t="shared" si="7"/>
        <v>1.1339020000000001E-11</v>
      </c>
      <c r="AY17" s="233">
        <f t="shared" si="8"/>
        <v>0</v>
      </c>
      <c r="AZ17" s="2">
        <f t="shared" si="19"/>
        <v>12669.676476766799</v>
      </c>
      <c r="BA17" s="189">
        <f>AZ17*(0.0000000000000028)*s_RadSpec!$AY17*s_RadSpec!$AF17</f>
        <v>3.8709429201436078E-13</v>
      </c>
      <c r="BB17" s="40">
        <f t="shared" si="9"/>
        <v>2200</v>
      </c>
      <c r="BC17" s="40">
        <f t="shared" si="10"/>
        <v>0.12557077625570776</v>
      </c>
      <c r="BD17" s="19">
        <f>IFERROR(s_C*s_RadSpec!AI17*s_Q_w_game*(1/1000)*s_EF_rec*1*s_IRGL_rec*s_CF_game,".")</f>
        <v>3.8499999999999998E-4</v>
      </c>
      <c r="BE17" s="19">
        <f>IFERROR(s_C*s_RadSpec!AL17*s_Q_w_fowl*(1/1000)*s_EF_rec*1*s_IRGL_rec*s_CF_fowl,0)</f>
        <v>0</v>
      </c>
      <c r="BF17" s="18"/>
      <c r="BG17" s="2">
        <f>IFERROR(s_DL/(s_RadSpec!F17*s_EF_rec*1*s_IRGL_rec*s_CF_game),".")</f>
        <v>123467.46015087723</v>
      </c>
      <c r="BH17" s="2">
        <f>IFERROR(s_DL/(s_RadSpec!F17*s_EF_rec*1*s_IRGF_rec*s_CF_fowl),".")</f>
        <v>123467.46015087723</v>
      </c>
      <c r="BI17" s="189">
        <f>IFERROR(BG17*(0.0000000000028)*s_RadSpec!$AY17*s_RadSpec!$AF17,0)</f>
        <v>3.7722785709293554E-9</v>
      </c>
      <c r="BJ17" s="189">
        <f>IFERROR(BH17*(0.0000000000028)*s_RadSpec!$AY17*s_RadSpec!$AF17,0)</f>
        <v>3.7722785709293554E-9</v>
      </c>
      <c r="BK17" s="19">
        <f t="shared" si="11"/>
        <v>275</v>
      </c>
      <c r="BL17" s="19">
        <f t="shared" si="12"/>
        <v>275</v>
      </c>
    </row>
    <row r="18" spans="1:64" customFormat="1" x14ac:dyDescent="0.25">
      <c r="A18" s="44" t="s">
        <v>16</v>
      </c>
      <c r="B18" s="42" t="s">
        <v>1057</v>
      </c>
      <c r="C18" s="238"/>
      <c r="D18" s="15">
        <f>IFERROR(((s_DL/(s_RadSpec!E18*s_IFS_rec_adj*(1/1000)))*1),".")</f>
        <v>255.27298254570982</v>
      </c>
      <c r="E18" s="15">
        <f>IFERROR(IF(A18="H-3",(s_DL/((s_RadSpec!H18*s_IFA_rec_adj*(1/17)*1000))*1),(s_DL/((s_RadSpec!H18*s_IFA_rec_adj*(1/s_PEF_wind)*1000))*1)),".")</f>
        <v>892236.02021087182</v>
      </c>
      <c r="F18" s="2">
        <f>IFERROR((s_DL/(s_RadSpec!G18*s_EF_rec*(1/365)*1*s_RadSpec!R18*s_ET_rec*(1/24)*s_RadSpec!W18)),".")</f>
        <v>31746870.419283301</v>
      </c>
      <c r="G18" s="2">
        <f>IFERROR((BG18/(s_RadSpec!AI18*((s_Q_p_game*s_f_p_game*s_f_s_game*(s_RadSpec!BD18+s_R_es_past))+(s_Q_s_game*s_f_p_game)))),".")</f>
        <v>584.83925003505817</v>
      </c>
      <c r="H18" s="2">
        <f>IFERROR((BG18/(s_RadSpec!AL18*((s_Q_p_fowl*s_f_p_fowl*s_f_s_fowl*(s_RadSpec!BD18+s_R_es_past))+(s_Q_s_fowl*s_f_p_fowl)))),".")</f>
        <v>0.73104906254382263</v>
      </c>
      <c r="I18" s="233">
        <f t="shared" si="13"/>
        <v>3.9173749999999999E-3</v>
      </c>
      <c r="J18" s="233">
        <f t="shared" si="14"/>
        <v>1.1207796786366673E-6</v>
      </c>
      <c r="K18" s="233">
        <f t="shared" si="15"/>
        <v>3.14991678484501E-8</v>
      </c>
      <c r="L18" s="233">
        <f t="shared" si="16"/>
        <v>1.7098715586206894E-3</v>
      </c>
      <c r="M18" s="233">
        <f t="shared" si="17"/>
        <v>1.3678972468965518</v>
      </c>
      <c r="N18" s="2">
        <f t="shared" si="18"/>
        <v>0.72805338808624498</v>
      </c>
      <c r="O18" s="189">
        <f>IFERROR(N18*(0.0000000000028)*s_RadSpec!$AY18*s_RadSpec!$AF18,0)</f>
        <v>1.6229624106941213E-10</v>
      </c>
      <c r="P18" s="40">
        <f t="shared" si="1"/>
        <v>15.125</v>
      </c>
      <c r="Q18" s="40">
        <f t="shared" si="2"/>
        <v>1.6181272791589674E-3</v>
      </c>
      <c r="R18" s="40">
        <f>IFERROR((s_C*s_EF_rec*(1/365)*1*s_RadSpec!R18*s_ET_rec*(1/24)*s_RadSpec!W18),".")</f>
        <v>1.3959031088447685E-2</v>
      </c>
      <c r="S18" s="19">
        <f>IFERROR((s_C*s_IRGL_rec*s_EF_rec*1*s_CF_game*s_RadSpec!AI18)*((s_Q_p_game*s_f_p_game*s_f_s_game*(s_RadSpec!BD18+s_R_es_past))+(s_Q_s_game*s_f_p_game)),".")</f>
        <v>6.601820689655173</v>
      </c>
      <c r="T18" s="19">
        <f>IFERROR((s_C*s_IRGF_rec*s_EF_rec*1*s_CF_fowl*s_RadSpec!AL18)*((s_Q_p_fowl*s_f_p_fowl*s_f_s_fowl*(s_RadSpec!BD18+s_R_es_past))+(s_Q_s_fowl*s_f_p_fowl)),0)</f>
        <v>5281.4565517241381</v>
      </c>
      <c r="U18" s="18"/>
      <c r="V18" s="15">
        <f>IFERROR((s_DL/(s_RadSpec!G18*s_EF_rec*(1/365)*1*s_RadSpec!R18*s_ET_rec*(1/24)*s_RadSpec!W18)),".")</f>
        <v>31746870.419283301</v>
      </c>
      <c r="W18" s="15">
        <f>IFERROR((s_DL/(s_RadSpec!N18*s_EF_rec*(1/365)*1*s_RadSpec!S18*s_ET_rec*(1/24)*s_RadSpec!X18)),".")</f>
        <v>323736998.74518651</v>
      </c>
      <c r="X18" s="15">
        <f>IFERROR((s_DL/(s_RadSpec!O18*s_EF_rec*(1/365)*1*s_RadSpec!T18*s_ET_rec*(1/24)*s_RadSpec!Y18)),".")</f>
        <v>79079160.681707725</v>
      </c>
      <c r="Y18" s="15">
        <f>IFERROR((s_DL/(s_RadSpec!P18*s_EF_rec*(1/365)*1*s_RadSpec!U18*s_ET_rec*(1/24)*s_RadSpec!Z18)),".")</f>
        <v>41693599.059610948</v>
      </c>
      <c r="Z18" s="15">
        <f>IFERROR((s_DL/(s_RadSpec!L18*s_EF_rec*(1/365)*1*s_RadSpec!Q18*s_ET_rec*(1/24)*s_RadSpec!V18)),".")</f>
        <v>558886214.90606248</v>
      </c>
      <c r="AA18" s="189">
        <f>IFERROR(V18*(0.0000000000028)*s_RadSpec!$AY18*s_RadSpec!$AF18,0)</f>
        <v>7.0769504257248801E-3</v>
      </c>
      <c r="AB18" s="189">
        <f>IFERROR(W18*(0.0000000000028)*s_RadSpec!$AY18*s_RadSpec!$AF18,0)</f>
        <v>7.2166820251391692E-2</v>
      </c>
      <c r="AC18" s="189">
        <f>IFERROR(X18*(0.0000000000028)*s_RadSpec!$AY18*s_RadSpec!$AF18,0)</f>
        <v>1.7628172240639135E-2</v>
      </c>
      <c r="AD18" s="189">
        <f>IFERROR(Y18*(0.0000000000028)*s_RadSpec!$AY18*s_RadSpec!$AF18,0)</f>
        <v>9.2942557712930394E-3</v>
      </c>
      <c r="AE18" s="189">
        <f>IFERROR(Z18*(0.0000000000028)*s_RadSpec!$AY18*s_RadSpec!$AF18,0)</f>
        <v>0.12458582481594152</v>
      </c>
      <c r="AF18" s="40">
        <f>IFERROR((s_C*s_EF_rec*(1/365)*1*s_RadSpec!R18*s_ET_rec*(1/24)*s_RadSpec!W18),".")</f>
        <v>1.3959031088447685E-2</v>
      </c>
      <c r="AG18" s="40">
        <f>IFERROR((s_C*s_EF_rec*(1/365)*1*s_RadSpec!S18*s_ET_rec*(1/24)*s_RadSpec!X18),".")</f>
        <v>7.054612841103155E-3</v>
      </c>
      <c r="AH18" s="40">
        <f>IFERROR((s_C*s_EF_rec*(1/365)*1*s_RadSpec!T18*s_ET_rec*(1/24)*s_RadSpec!Y18),".")</f>
        <v>1.0073764730513845E-2</v>
      </c>
      <c r="AI18" s="40">
        <f>IFERROR((s_C*s_EF_rec*(1/365)*1*s_RadSpec!U18*s_ET_rec*(1/24)*s_RadSpec!Z18),".")</f>
        <v>1.2158775064522528E-2</v>
      </c>
      <c r="AJ18" s="40">
        <f>IFERROR((s_C*s_EF_rec*(1/365)*1*s_RadSpec!Q18*s_ET_rec*(1/24)*s_RadSpec!V18),".")</f>
        <v>4.1502205711632231E-3</v>
      </c>
      <c r="AK18" s="15">
        <f>IFERROR((s_DL/(s_RadSpec!H18*s_IFA_rec_adj)),".")</f>
        <v>2.8800028800028801</v>
      </c>
      <c r="AL18" s="15">
        <f>IFERROR((s_DL/(s_RadSpec!K18*s_EF_rec*(1/365)*1*s_ET_rec*(1/24)*s_GSF_a)),".")</f>
        <v>6130638528.026804</v>
      </c>
      <c r="AM18" s="15">
        <f t="shared" ref="AM18:AM20" si="21">IFERROR(IF(AND(AK18&lt;&gt;".",AL18&lt;&gt;"."),1/((1/AK18)+(1/AL18)),IF(AND(AK18&lt;&gt;".",AL18="."),1/((1/AK18)),IF(AND(AK18=".",AL18&lt;&gt;"."),1/((1/AL18)),IF(AND(AK18=".",AL18="."),".")))),".")</f>
        <v>2.8800028786499352</v>
      </c>
      <c r="AN18" s="189">
        <f>AM18*(0.0000000000000028)*s_RadSpec!$AY18*s_RadSpec!$AF18</f>
        <v>6.4200462373042502E-13</v>
      </c>
      <c r="AO18" s="40">
        <f t="shared" si="3"/>
        <v>501.30208333333326</v>
      </c>
      <c r="AP18" s="40">
        <f t="shared" si="4"/>
        <v>7.8481735159817351E-2</v>
      </c>
      <c r="AQ18" s="45"/>
      <c r="AR18" s="15">
        <f>IFERROR((s_DL/(s_RadSpec!I18*s_IFW_rec_adj)),".")</f>
        <v>1.7550017550017551</v>
      </c>
      <c r="AS18" s="15">
        <f>IFERROR((s_DL/(s_RadSpec!M18*(1/8760)*s_DFA_rec_adj)),".")</f>
        <v>1766926259.6968441</v>
      </c>
      <c r="AT18" s="2">
        <f>IFERROR(BG18/(s_RadSpec!AI18*s_Q_w_game*(1/1000)),".")</f>
        <v>2340002.3400023403</v>
      </c>
      <c r="AU18" s="2">
        <f>IFERROR(BG18/(s_RadSpec!AL18*s_Q_w_fowl*(1/1000)),".")</f>
        <v>2925.0029250029256</v>
      </c>
      <c r="AV18" s="233">
        <f t="shared" si="5"/>
        <v>0.56979999999999997</v>
      </c>
      <c r="AW18" s="233">
        <f t="shared" si="6"/>
        <v>5.6595457479452059E-10</v>
      </c>
      <c r="AX18" s="233">
        <f t="shared" si="7"/>
        <v>4.2734999999999997E-7</v>
      </c>
      <c r="AY18" s="233">
        <f t="shared" si="8"/>
        <v>3.4187999999999992E-4</v>
      </c>
      <c r="AZ18" s="2">
        <f t="shared" si="19"/>
        <v>1.7539480689572176</v>
      </c>
      <c r="BA18" s="189">
        <f>AZ18*(0.0000000000000028)*s_RadSpec!$AY18*s_RadSpec!$AF18</f>
        <v>3.9098668213187388E-13</v>
      </c>
      <c r="BB18" s="40">
        <f t="shared" si="9"/>
        <v>2200</v>
      </c>
      <c r="BC18" s="40">
        <f t="shared" si="10"/>
        <v>0.12557077625570776</v>
      </c>
      <c r="BD18" s="19">
        <f>IFERROR(s_C*s_RadSpec!AI18*s_Q_w_game*(1/1000)*s_EF_rec*1*s_IRGL_rec*s_CF_game,".")</f>
        <v>1.65E-3</v>
      </c>
      <c r="BE18" s="19">
        <f>IFERROR(s_C*s_RadSpec!AL18*s_Q_w_fowl*(1/1000)*s_EF_rec*1*s_IRGL_rec*s_CF_fowl,0)</f>
        <v>1.32</v>
      </c>
      <c r="BF18" s="18"/>
      <c r="BG18" s="2">
        <f>IFERROR(s_DL/(s_RadSpec!F18*s_EF_rec*1*s_IRGL_rec*s_CF_game),".")</f>
        <v>14.040014040014041</v>
      </c>
      <c r="BH18" s="2">
        <f>IFERROR(s_DL/(s_RadSpec!F18*s_EF_rec*1*s_IRGF_rec*s_CF_fowl),".")</f>
        <v>14.040014040014041</v>
      </c>
      <c r="BI18" s="189">
        <f>IFERROR(BG18*(0.0000000000028)*s_RadSpec!$AY18*s_RadSpec!$AF18,0)</f>
        <v>3.1297725421561019E-9</v>
      </c>
      <c r="BJ18" s="189">
        <f>IFERROR(BH18*(0.0000000000028)*s_RadSpec!$AY18*s_RadSpec!$AF18,0)</f>
        <v>3.1297725421561019E-9</v>
      </c>
      <c r="BK18" s="19">
        <f t="shared" si="11"/>
        <v>275</v>
      </c>
      <c r="BL18" s="19">
        <f t="shared" si="12"/>
        <v>275</v>
      </c>
    </row>
    <row r="19" spans="1:64" customFormat="1" x14ac:dyDescent="0.25">
      <c r="A19" s="44" t="s">
        <v>17</v>
      </c>
      <c r="B19" s="42" t="s">
        <v>1057</v>
      </c>
      <c r="C19" s="42"/>
      <c r="D19" s="15" t="str">
        <f>IFERROR(((s_DL/(s_RadSpec!E19*s_IFS_rec_adj*(1/1000)))*1),".")</f>
        <v>.</v>
      </c>
      <c r="E19" s="15" t="str">
        <f>IFERROR(IF(A19="H-3",(s_DL/((s_RadSpec!H19*s_IFA_rec_adj*(1/17)*1000))*1),(s_DL/((s_RadSpec!H19*s_IFA_rec_adj*(1/s_PEF_wind)*1000))*1)),".")</f>
        <v>.</v>
      </c>
      <c r="F19" s="2">
        <f>IFERROR((s_DL/(s_RadSpec!G19*s_EF_rec*(1/365)*1*s_RadSpec!R19*s_ET_rec*(1/24)*s_RadSpec!W19)),".")</f>
        <v>8433693.3823486362</v>
      </c>
      <c r="G19" s="2" t="str">
        <f>IFERROR((BG19/(s_RadSpec!AI19*((s_Q_p_game*s_f_p_game*s_f_s_game*(s_RadSpec!BD19+s_R_es_past))+(s_Q_s_game*s_f_p_game)))),".")</f>
        <v>.</v>
      </c>
      <c r="H19" s="2" t="str">
        <f>IFERROR((BG19/(s_RadSpec!AL19*((s_Q_p_fowl*s_f_p_fowl*s_f_s_fowl*(s_RadSpec!BD19+s_R_es_past))+(s_Q_s_fowl*s_f_p_fowl)))),".")</f>
        <v>.</v>
      </c>
      <c r="I19" s="233">
        <f t="shared" si="13"/>
        <v>0</v>
      </c>
      <c r="J19" s="233">
        <f t="shared" si="14"/>
        <v>0</v>
      </c>
      <c r="K19" s="233">
        <f t="shared" si="15"/>
        <v>1.1857201283757336E-7</v>
      </c>
      <c r="L19" s="233">
        <f t="shared" si="16"/>
        <v>0</v>
      </c>
      <c r="M19" s="233">
        <f t="shared" si="17"/>
        <v>0</v>
      </c>
      <c r="N19" s="2">
        <f t="shared" si="18"/>
        <v>8433693.3823486362</v>
      </c>
      <c r="O19" s="189">
        <f>IFERROR(N19*(0.0000000000028)*s_RadSpec!$AY19*s_RadSpec!$AF19,0)</f>
        <v>6.6988171865732535E-16</v>
      </c>
      <c r="P19" s="40">
        <f t="shared" si="1"/>
        <v>15.125</v>
      </c>
      <c r="Q19" s="40">
        <f t="shared" si="2"/>
        <v>1.6181272791589674E-3</v>
      </c>
      <c r="R19" s="40">
        <f>IFERROR((s_C*s_EF_rec*(1/365)*1*s_RadSpec!R19*s_ET_rec*(1/24)*s_RadSpec!W19),".")</f>
        <v>1.3680039138943246E-2</v>
      </c>
      <c r="S19" s="19">
        <f>IFERROR((s_C*s_IRGL_rec*s_EF_rec*1*s_CF_game*s_RadSpec!AI19)*((s_Q_p_game*s_f_p_game*s_f_s_game*(s_RadSpec!BD19+s_R_es_past))+(s_Q_s_game*s_f_p_game)),".")</f>
        <v>6.601820689655173</v>
      </c>
      <c r="T19" s="19">
        <f>IFERROR((s_C*s_IRGF_rec*s_EF_rec*1*s_CF_fowl*s_RadSpec!AL19)*((s_Q_p_fowl*s_f_p_fowl*s_f_s_fowl*(s_RadSpec!BD19+s_R_es_past))+(s_Q_s_fowl*s_f_p_fowl)),0)</f>
        <v>5281.4565517241381</v>
      </c>
      <c r="U19" s="18"/>
      <c r="V19" s="15">
        <f>IFERROR((s_DL/(s_RadSpec!G19*s_EF_rec*(1/365)*1*s_RadSpec!R19*s_ET_rec*(1/24)*s_RadSpec!W19)),".")</f>
        <v>8433693.3823486362</v>
      </c>
      <c r="W19" s="15">
        <f>IFERROR((s_DL/(s_RadSpec!N19*s_EF_rec*(1/365)*1*s_RadSpec!S19*s_ET_rec*(1/24)*s_RadSpec!X19)),".")</f>
        <v>85857542.221591324</v>
      </c>
      <c r="X19" s="15">
        <f>IFERROR((s_DL/(s_RadSpec!O19*s_EF_rec*(1/365)*1*s_RadSpec!T19*s_ET_rec*(1/24)*s_RadSpec!Y19)),".")</f>
        <v>20789338.638911147</v>
      </c>
      <c r="Y19" s="15">
        <f>IFERROR((s_DL/(s_RadSpec!P19*s_EF_rec*(1/365)*1*s_RadSpec!U19*s_ET_rec*(1/24)*s_RadSpec!Z19)),".")</f>
        <v>11013802.108398402</v>
      </c>
      <c r="Z19" s="15">
        <f>IFERROR((s_DL/(s_RadSpec!L19*s_EF_rec*(1/365)*1*s_RadSpec!Q19*s_ET_rec*(1/24)*s_RadSpec!V19)),".")</f>
        <v>149561951.54290667</v>
      </c>
      <c r="AA19" s="189">
        <f>IFERROR(V19*(0.0000000000028)*s_RadSpec!$AY19*s_RadSpec!$AF19,0)</f>
        <v>6.6988171865732535E-16</v>
      </c>
      <c r="AB19" s="189">
        <f>IFERROR(W19*(0.0000000000028)*s_RadSpec!$AY19*s_RadSpec!$AF19,0)</f>
        <v>6.8195979312537818E-15</v>
      </c>
      <c r="AC19" s="189">
        <f>IFERROR(X19*(0.0000000000028)*s_RadSpec!$AY19*s_RadSpec!$AF19,0)</f>
        <v>1.6512810302459302E-15</v>
      </c>
      <c r="AD19" s="189">
        <f>IFERROR(Y19*(0.0000000000028)*s_RadSpec!$AY19*s_RadSpec!$AF19,0)</f>
        <v>8.7481775194333261E-16</v>
      </c>
      <c r="AE19" s="189">
        <f>IFERROR(Z19*(0.0000000000028)*s_RadSpec!$AY19*s_RadSpec!$AF19,0)</f>
        <v>1.1879589712734506E-14</v>
      </c>
      <c r="AF19" s="40">
        <f>IFERROR((s_C*s_EF_rec*(1/365)*1*s_RadSpec!R19*s_ET_rec*(1/24)*s_RadSpec!W19),".")</f>
        <v>1.3680039138943246E-2</v>
      </c>
      <c r="AG19" s="40">
        <f>IFERROR((s_C*s_EF_rec*(1/365)*1*s_RadSpec!S19*s_ET_rec*(1/24)*s_RadSpec!X19),".")</f>
        <v>6.8972544098329872E-3</v>
      </c>
      <c r="AH19" s="40">
        <f>IFERROR((s_C*s_EF_rec*(1/365)*1*s_RadSpec!T19*s_ET_rec*(1/24)*s_RadSpec!Y19),".")</f>
        <v>9.9498877795836174E-3</v>
      </c>
      <c r="AI19" s="40">
        <f>IFERROR((s_C*s_EF_rec*(1/365)*1*s_RadSpec!U19*s_ET_rec*(1/24)*s_RadSpec!Z19),".")</f>
        <v>1.1913124926823561E-2</v>
      </c>
      <c r="AJ19" s="40">
        <f>IFERROR((s_C*s_EF_rec*(1/365)*1*s_RadSpec!Q19*s_ET_rec*(1/24)*s_RadSpec!V19),".")</f>
        <v>4.0053102131562658E-3</v>
      </c>
      <c r="AK19" s="15" t="str">
        <f>IFERROR((s_DL/(s_RadSpec!H19*s_IFA_rec_adj)),".")</f>
        <v>.</v>
      </c>
      <c r="AL19" s="15">
        <f>IFERROR((s_DL/(s_RadSpec!K19*s_EF_rec*(1/365)*1*s_ET_rec*(1/24)*s_GSF_a)),".")</f>
        <v>1595400084.7789047</v>
      </c>
      <c r="AM19" s="15">
        <f t="shared" si="21"/>
        <v>1595400084.7789047</v>
      </c>
      <c r="AN19" s="189">
        <f>AM19*(0.0000000000000028)*s_RadSpec!$AY19*s_RadSpec!$AF19</f>
        <v>1.2672139029556618E-16</v>
      </c>
      <c r="AO19" s="40">
        <f t="shared" si="3"/>
        <v>501.30208333333326</v>
      </c>
      <c r="AP19" s="40">
        <f t="shared" si="4"/>
        <v>7.8481735159817351E-2</v>
      </c>
      <c r="AQ19" s="45"/>
      <c r="AR19" s="15" t="str">
        <f>IFERROR((s_DL/(s_RadSpec!I19*s_IFW_rec_adj)),".")</f>
        <v>.</v>
      </c>
      <c r="AS19" s="15">
        <f>IFERROR((s_DL/(s_RadSpec!M19*(1/8760)*s_DFA_rec_adj)),".")</f>
        <v>459591331.70012259</v>
      </c>
      <c r="AT19" s="2" t="str">
        <f>IFERROR(BG19/(s_RadSpec!AI19*s_Q_w_game*(1/1000)),".")</f>
        <v>.</v>
      </c>
      <c r="AU19" s="2" t="str">
        <f>IFERROR(BG19/(s_RadSpec!AL19*s_Q_w_fowl*(1/1000)),".")</f>
        <v>.</v>
      </c>
      <c r="AV19" s="233">
        <f t="shared" si="5"/>
        <v>0</v>
      </c>
      <c r="AW19" s="233">
        <f t="shared" si="6"/>
        <v>2.1758460854794516E-9</v>
      </c>
      <c r="AX19" s="233">
        <f t="shared" si="7"/>
        <v>0</v>
      </c>
      <c r="AY19" s="233">
        <f t="shared" si="8"/>
        <v>0</v>
      </c>
      <c r="AZ19" s="2">
        <f t="shared" si="19"/>
        <v>459591331.70012265</v>
      </c>
      <c r="BA19" s="189">
        <f>AZ19*(0.0000000000000028)*s_RadSpec!$AY19*s_RadSpec!$AF19</f>
        <v>3.6504982716546205E-17</v>
      </c>
      <c r="BB19" s="40">
        <f t="shared" si="9"/>
        <v>2200</v>
      </c>
      <c r="BC19" s="40">
        <f t="shared" si="10"/>
        <v>0.12557077625570776</v>
      </c>
      <c r="BD19" s="19">
        <f>IFERROR(s_C*s_RadSpec!AI19*s_Q_w_game*(1/1000)*s_EF_rec*1*s_IRGL_rec*s_CF_game,".")</f>
        <v>1.65E-3</v>
      </c>
      <c r="BE19" s="19">
        <f>IFERROR(s_C*s_RadSpec!AL19*s_Q_w_fowl*(1/1000)*s_EF_rec*1*s_IRGL_rec*s_CF_fowl,0)</f>
        <v>1.32</v>
      </c>
      <c r="BF19" s="18"/>
      <c r="BG19" s="2" t="str">
        <f>IFERROR(s_DL/(s_RadSpec!F19*s_EF_rec*1*s_IRGL_rec*s_CF_game),".")</f>
        <v>.</v>
      </c>
      <c r="BH19" s="2" t="str">
        <f>IFERROR(s_DL/(s_RadSpec!F19*s_EF_rec*1*s_IRGF_rec*s_CF_fowl),".")</f>
        <v>.</v>
      </c>
      <c r="BI19" s="189">
        <f>IFERROR(BG19*(0.0000000000028)*s_RadSpec!$AY19*s_RadSpec!$AF19,0)</f>
        <v>0</v>
      </c>
      <c r="BJ19" s="189">
        <f>IFERROR(BH19*(0.0000000000028)*s_RadSpec!$AY19*s_RadSpec!$AF19,0)</f>
        <v>0</v>
      </c>
      <c r="BK19" s="19">
        <f t="shared" si="11"/>
        <v>275</v>
      </c>
      <c r="BL19" s="19">
        <f t="shared" si="12"/>
        <v>275</v>
      </c>
    </row>
    <row r="20" spans="1:64" customFormat="1" x14ac:dyDescent="0.25">
      <c r="A20" s="44" t="s">
        <v>18</v>
      </c>
      <c r="B20" s="42" t="s">
        <v>1057</v>
      </c>
      <c r="C20" s="238"/>
      <c r="D20" s="15" t="str">
        <f>IFERROR(((s_DL/(s_RadSpec!E20*s_IFS_rec_adj*(1/1000)))*1),".")</f>
        <v>.</v>
      </c>
      <c r="E20" s="15" t="str">
        <f>IFERROR(IF(A20="H-3",(s_DL/((s_RadSpec!H20*s_IFA_rec_adj*(1/17)*1000))*1),(s_DL/((s_RadSpec!H20*s_IFA_rec_adj*(1/s_PEF_wind)*1000))*1)),".")</f>
        <v>.</v>
      </c>
      <c r="F20" s="2">
        <f>IFERROR((s_DL/(s_RadSpec!G20*s_EF_rec*(1/365)*1*s_RadSpec!R20*s_ET_rec*(1/24)*s_RadSpec!W20)),".")</f>
        <v>3743096.0475589088</v>
      </c>
      <c r="G20" s="2" t="str">
        <f>IFERROR((BG20/(s_RadSpec!AI20*((s_Q_p_game*s_f_p_game*s_f_s_game*(s_RadSpec!BD20+s_R_es_past))+(s_Q_s_game*s_f_p_game)))),".")</f>
        <v>.</v>
      </c>
      <c r="H20" s="2" t="str">
        <f>IFERROR((BG20/(s_RadSpec!AL20*((s_Q_p_fowl*s_f_p_fowl*s_f_s_fowl*(s_RadSpec!BD20+s_R_es_past))+(s_Q_s_fowl*s_f_p_fowl)))),".")</f>
        <v>.</v>
      </c>
      <c r="I20" s="233">
        <f t="shared" si="13"/>
        <v>0</v>
      </c>
      <c r="J20" s="233">
        <f t="shared" si="14"/>
        <v>0</v>
      </c>
      <c r="K20" s="233">
        <f t="shared" si="15"/>
        <v>2.671585199242104E-7</v>
      </c>
      <c r="L20" s="233">
        <f t="shared" si="16"/>
        <v>0</v>
      </c>
      <c r="M20" s="233">
        <f t="shared" si="17"/>
        <v>0</v>
      </c>
      <c r="N20" s="2">
        <f t="shared" si="18"/>
        <v>3743096.0475589088</v>
      </c>
      <c r="O20" s="189">
        <f>IFERROR(N20*(0.0000000000028)*s_RadSpec!$AY20*s_RadSpec!$AF20,0)</f>
        <v>1.168513495128951E-14</v>
      </c>
      <c r="P20" s="40">
        <f t="shared" si="1"/>
        <v>15.125</v>
      </c>
      <c r="Q20" s="40">
        <f t="shared" si="2"/>
        <v>1.6181272791589674E-3</v>
      </c>
      <c r="R20" s="40">
        <f>IFERROR((s_C*s_EF_rec*(1/365)*1*s_RadSpec!R20*s_ET_rec*(1/24)*s_RadSpec!W20),".")</f>
        <v>1.3912303464670719E-2</v>
      </c>
      <c r="S20" s="19">
        <f>IFERROR((s_C*s_IRGL_rec*s_EF_rec*1*s_CF_game*s_RadSpec!AI20)*((s_Q_p_game*s_f_p_game*s_f_s_game*(s_RadSpec!BD20+s_R_es_past))+(s_Q_s_game*s_f_p_game)),".")</f>
        <v>6.601820689655173</v>
      </c>
      <c r="T20" s="19">
        <f>IFERROR((s_C*s_IRGF_rec*s_EF_rec*1*s_CF_fowl*s_RadSpec!AL20)*((s_Q_p_fowl*s_f_p_fowl*s_f_s_fowl*(s_RadSpec!BD20+s_R_es_past))+(s_Q_s_fowl*s_f_p_fowl)),0)</f>
        <v>5281.4565517241381</v>
      </c>
      <c r="U20" s="18"/>
      <c r="V20" s="15">
        <f>IFERROR((s_DL/(s_RadSpec!G20*s_EF_rec*(1/365)*1*s_RadSpec!R20*s_ET_rec*(1/24)*s_RadSpec!W20)),".")</f>
        <v>3743096.0475589088</v>
      </c>
      <c r="W20" s="15">
        <f>IFERROR((s_DL/(s_RadSpec!N20*s_EF_rec*(1/365)*1*s_RadSpec!S20*s_ET_rec*(1/24)*s_RadSpec!X20)),".")</f>
        <v>37942143.154837713</v>
      </c>
      <c r="X20" s="15">
        <f>IFERROR((s_DL/(s_RadSpec!O20*s_EF_rec*(1/365)*1*s_RadSpec!T20*s_ET_rec*(1/24)*s_RadSpec!Y20)),".")</f>
        <v>9282282.6833997704</v>
      </c>
      <c r="Y20" s="15">
        <f>IFERROR((s_DL/(s_RadSpec!P20*s_EF_rec*(1/365)*1*s_RadSpec!U20*s_ET_rec*(1/24)*s_RadSpec!Z20)),".")</f>
        <v>4931677.5192283941</v>
      </c>
      <c r="Z20" s="15">
        <f>IFERROR((s_DL/(s_RadSpec!L20*s_EF_rec*(1/365)*1*s_RadSpec!Q20*s_ET_rec*(1/24)*s_RadSpec!V20)),".")</f>
        <v>65635579.867598712</v>
      </c>
      <c r="AA20" s="189">
        <f>IFERROR(V20*(0.0000000000028)*s_RadSpec!$AY20*s_RadSpec!$AF20,0)</f>
        <v>1.168513495128951E-14</v>
      </c>
      <c r="AB20" s="189">
        <f>IFERROR(W20*(0.0000000000028)*s_RadSpec!$AY20*s_RadSpec!$AF20,0)</f>
        <v>1.1844715109422973E-13</v>
      </c>
      <c r="AC20" s="189">
        <f>IFERROR(X20*(0.0000000000028)*s_RadSpec!$AY20*s_RadSpec!$AF20,0)</f>
        <v>2.8977275611797407E-14</v>
      </c>
      <c r="AD20" s="189">
        <f>IFERROR(Y20*(0.0000000000028)*s_RadSpec!$AY20*s_RadSpec!$AF20,0)</f>
        <v>1.5395628810007853E-14</v>
      </c>
      <c r="AE20" s="189">
        <f>IFERROR(Z20*(0.0000000000028)*s_RadSpec!$AY20*s_RadSpec!$AF20,0)</f>
        <v>2.0490006096937097E-13</v>
      </c>
      <c r="AF20" s="40">
        <f>IFERROR((s_C*s_EF_rec*(1/365)*1*s_RadSpec!R20*s_ET_rec*(1/24)*s_RadSpec!W20),".")</f>
        <v>1.3912303464670719E-2</v>
      </c>
      <c r="AG20" s="40">
        <f>IFERROR((s_C*s_EF_rec*(1/365)*1*s_RadSpec!S20*s_ET_rec*(1/24)*s_RadSpec!X20),".")</f>
        <v>7.0545818088998541E-3</v>
      </c>
      <c r="AH20" s="40">
        <f>IFERROR((s_C*s_EF_rec*(1/365)*1*s_RadSpec!T20*s_ET_rec*(1/24)*s_RadSpec!Y20),".")</f>
        <v>1.0082594681708298E-2</v>
      </c>
      <c r="AI20" s="40">
        <f>IFERROR((s_C*s_EF_rec*(1/365)*1*s_RadSpec!U20*s_ET_rec*(1/24)*s_RadSpec!Z20),".")</f>
        <v>1.200770547945205E-2</v>
      </c>
      <c r="AJ20" s="40">
        <f>IFERROR((s_C*s_EF_rec*(1/365)*1*s_RadSpec!Q20*s_ET_rec*(1/24)*s_RadSpec!V20),".")</f>
        <v>4.1401057914010565E-3</v>
      </c>
      <c r="AK20" s="15" t="str">
        <f>IFERROR((s_DL/(s_RadSpec!H20*s_IFA_rec_adj)),".")</f>
        <v>.</v>
      </c>
      <c r="AL20" s="15">
        <f>IFERROR((s_DL/(s_RadSpec!K20*s_EF_rec*(1/365)*1*s_ET_rec*(1/24)*s_GSF_a)),".")</f>
        <v>717930038.15050721</v>
      </c>
      <c r="AM20" s="15">
        <f t="shared" si="21"/>
        <v>717930038.15050721</v>
      </c>
      <c r="AN20" s="189">
        <f>AM20*(0.0000000000000028)*s_RadSpec!$AY20*s_RadSpec!$AF20</f>
        <v>2.2412220458099469E-15</v>
      </c>
      <c r="AO20" s="40">
        <f t="shared" si="3"/>
        <v>501.30208333333326</v>
      </c>
      <c r="AP20" s="40">
        <f t="shared" si="4"/>
        <v>7.8481735159817351E-2</v>
      </c>
      <c r="AQ20" s="45"/>
      <c r="AR20" s="15" t="str">
        <f>IFERROR((s_DL/(s_RadSpec!I20*s_IFW_rec_adj)),".")</f>
        <v>.</v>
      </c>
      <c r="AS20" s="15">
        <f>IFERROR((s_DL/(s_RadSpec!M20*(1/8760)*s_DFA_rec_adj)),".")</f>
        <v>207179081.48328736</v>
      </c>
      <c r="AT20" s="2" t="str">
        <f>IFERROR(BG20/(s_RadSpec!AI20*s_Q_w_game*(1/1000)),".")</f>
        <v>.</v>
      </c>
      <c r="AU20" s="2" t="str">
        <f>IFERROR(BG20/(s_RadSpec!AL20*s_Q_w_fowl*(1/1000)),".")</f>
        <v>.</v>
      </c>
      <c r="AV20" s="233">
        <f t="shared" si="5"/>
        <v>0</v>
      </c>
      <c r="AW20" s="233">
        <f t="shared" si="6"/>
        <v>4.8267421249315054E-9</v>
      </c>
      <c r="AX20" s="233">
        <f t="shared" si="7"/>
        <v>0</v>
      </c>
      <c r="AY20" s="233">
        <f t="shared" si="8"/>
        <v>0</v>
      </c>
      <c r="AZ20" s="2">
        <f t="shared" si="19"/>
        <v>207179081.48328736</v>
      </c>
      <c r="BA20" s="189">
        <f>AZ20*(0.0000000000000028)*s_RadSpec!$AY20*s_RadSpec!$AF20</f>
        <v>6.467682088455194E-16</v>
      </c>
      <c r="BB20" s="40">
        <f t="shared" si="9"/>
        <v>2200</v>
      </c>
      <c r="BC20" s="40">
        <f t="shared" si="10"/>
        <v>0.12557077625570776</v>
      </c>
      <c r="BD20" s="19">
        <f>IFERROR(s_C*s_RadSpec!AI20*s_Q_w_game*(1/1000)*s_EF_rec*1*s_IRGL_rec*s_CF_game,".")</f>
        <v>1.65E-3</v>
      </c>
      <c r="BE20" s="19">
        <f>IFERROR(s_C*s_RadSpec!AL20*s_Q_w_fowl*(1/1000)*s_EF_rec*1*s_IRGL_rec*s_CF_fowl,0)</f>
        <v>1.32</v>
      </c>
      <c r="BF20" s="18"/>
      <c r="BG20" s="2" t="str">
        <f>IFERROR(s_DL/(s_RadSpec!F20*s_EF_rec*1*s_IRGL_rec*s_CF_game),".")</f>
        <v>.</v>
      </c>
      <c r="BH20" s="2" t="str">
        <f>IFERROR(s_DL/(s_RadSpec!F20*s_EF_rec*1*s_IRGF_rec*s_CF_fowl),".")</f>
        <v>.</v>
      </c>
      <c r="BI20" s="189">
        <f>IFERROR(BG20*(0.0000000000028)*s_RadSpec!$AY20*s_RadSpec!$AF20,0)</f>
        <v>0</v>
      </c>
      <c r="BJ20" s="189">
        <f>IFERROR(BH20*(0.0000000000028)*s_RadSpec!$AY20*s_RadSpec!$AF20,0)</f>
        <v>0</v>
      </c>
      <c r="BK20" s="19">
        <f t="shared" si="11"/>
        <v>275</v>
      </c>
      <c r="BL20" s="19">
        <f t="shared" si="12"/>
        <v>275</v>
      </c>
    </row>
    <row r="21" spans="1:64" customFormat="1" x14ac:dyDescent="0.25">
      <c r="A21" s="44" t="s">
        <v>19</v>
      </c>
      <c r="B21" s="42" t="s">
        <v>1057</v>
      </c>
      <c r="C21" s="238"/>
      <c r="D21" s="15" t="str">
        <f>IFERROR(((s_DL/(s_RadSpec!E21*s_IFS_rec_adj*(1/1000)))*1),".")</f>
        <v>.</v>
      </c>
      <c r="E21" s="15">
        <f>IFERROR(IF(A21="H-3",(s_DL/((s_RadSpec!H21*s_IFA_rec_adj*(1/17)*1000))*1),(s_DL/((s_RadSpec!H21*s_IFA_rec_adj*(1/s_PEF_wind)*1000))*1)),".")</f>
        <v>2027553664.8256507</v>
      </c>
      <c r="F21" s="2" t="str">
        <f>IFERROR((s_DL/(s_RadSpec!G21*s_EF_rec*(1/365)*1*s_RadSpec!R21*s_ET_rec*(1/24)*s_RadSpec!W21)),".")</f>
        <v>.</v>
      </c>
      <c r="G21" s="2" t="str">
        <f>IFERROR((BG21/(s_RadSpec!AI21*((s_Q_p_game*s_f_p_game*s_f_s_game*(s_RadSpec!BD21+s_R_es_past))+(s_Q_s_game*s_f_p_game)))),".")</f>
        <v>.</v>
      </c>
      <c r="H21" s="2" t="str">
        <f>IFERROR((BG21/(s_RadSpec!AL21*((s_Q_p_fowl*s_f_p_fowl*s_f_s_fowl*(s_RadSpec!BD21+s_R_es_past))+(s_Q_s_fowl*s_f_p_fowl)))),".")</f>
        <v>.</v>
      </c>
      <c r="I21" s="233">
        <f t="shared" si="13"/>
        <v>0</v>
      </c>
      <c r="J21" s="233">
        <f t="shared" si="14"/>
        <v>4.9320519468765329E-10</v>
      </c>
      <c r="K21" s="233">
        <f t="shared" si="15"/>
        <v>0</v>
      </c>
      <c r="L21" s="233">
        <f t="shared" si="16"/>
        <v>0</v>
      </c>
      <c r="M21" s="233">
        <f t="shared" si="17"/>
        <v>0</v>
      </c>
      <c r="N21" s="2">
        <f t="shared" si="18"/>
        <v>2027553664.8256507</v>
      </c>
      <c r="O21" s="189">
        <f>IFERROR(N21*(0.0000000000028)*s_RadSpec!$AY21*s_RadSpec!$AF21,0)</f>
        <v>7.2995018012360878E-6</v>
      </c>
      <c r="P21" s="40">
        <f t="shared" si="1"/>
        <v>15.125</v>
      </c>
      <c r="Q21" s="40">
        <f t="shared" si="2"/>
        <v>1.6181272791589674E-3</v>
      </c>
      <c r="R21" s="40">
        <f>IFERROR((s_C*s_EF_rec*(1/365)*1*s_RadSpec!R21*s_ET_rec*(1/24)*s_RadSpec!W21),".")</f>
        <v>0</v>
      </c>
      <c r="S21" s="19">
        <f>IFERROR((s_C*s_IRGL_rec*s_EF_rec*1*s_CF_game*s_RadSpec!AI21)*((s_Q_p_game*s_f_p_game*s_f_s_game*(s_RadSpec!BD21+s_R_es_past))+(s_Q_s_game*s_f_p_game)),".")</f>
        <v>6.601820689655173</v>
      </c>
      <c r="T21" s="19">
        <f>IFERROR((s_C*s_IRGF_rec*s_EF_rec*1*s_CF_fowl*s_RadSpec!AL21)*((s_Q_p_fowl*s_f_p_fowl*s_f_s_fowl*(s_RadSpec!BD21+s_R_es_past))+(s_Q_s_fowl*s_f_p_fowl)),0)</f>
        <v>5281.4565517241381</v>
      </c>
      <c r="U21" s="18"/>
      <c r="V21" s="15" t="str">
        <f>IFERROR((s_DL/(s_RadSpec!G21*s_EF_rec*(1/365)*1*s_RadSpec!R21*s_ET_rec*(1/24)*s_RadSpec!W21)),".")</f>
        <v>.</v>
      </c>
      <c r="W21" s="15" t="str">
        <f>IFERROR((s_DL/(s_RadSpec!N21*s_EF_rec*(1/365)*1*s_RadSpec!S21*s_ET_rec*(1/24)*s_RadSpec!X21)),".")</f>
        <v>.</v>
      </c>
      <c r="X21" s="15" t="str">
        <f>IFERROR((s_DL/(s_RadSpec!O21*s_EF_rec*(1/365)*1*s_RadSpec!T21*s_ET_rec*(1/24)*s_RadSpec!Y21)),".")</f>
        <v>.</v>
      </c>
      <c r="Y21" s="15" t="str">
        <f>IFERROR((s_DL/(s_RadSpec!P21*s_EF_rec*(1/365)*1*s_RadSpec!U21*s_ET_rec*(1/24)*s_RadSpec!Z21)),".")</f>
        <v>.</v>
      </c>
      <c r="Z21" s="15" t="str">
        <f>IFERROR((s_DL/(s_RadSpec!L21*s_EF_rec*(1/365)*1*s_RadSpec!Q21*s_ET_rec*(1/24)*s_RadSpec!V21)),".")</f>
        <v>.</v>
      </c>
      <c r="AA21" s="189">
        <f>IFERROR(V21*(0.0000000000028)*s_RadSpec!$AY21*s_RadSpec!$AF21,0)</f>
        <v>0</v>
      </c>
      <c r="AB21" s="189">
        <f>IFERROR(W21*(0.0000000000028)*s_RadSpec!$AY21*s_RadSpec!$AF21,0)</f>
        <v>0</v>
      </c>
      <c r="AC21" s="189">
        <f>IFERROR(X21*(0.0000000000028)*s_RadSpec!$AY21*s_RadSpec!$AF21,0)</f>
        <v>0</v>
      </c>
      <c r="AD21" s="189">
        <f>IFERROR(Y21*(0.0000000000028)*s_RadSpec!$AY21*s_RadSpec!$AF21,0)</f>
        <v>0</v>
      </c>
      <c r="AE21" s="189">
        <f>IFERROR(Z21*(0.0000000000028)*s_RadSpec!$AY21*s_RadSpec!$AF21,0)</f>
        <v>0</v>
      </c>
      <c r="AF21" s="40">
        <f>IFERROR((s_C*s_EF_rec*(1/365)*1*s_RadSpec!R21*s_ET_rec*(1/24)*s_RadSpec!W21),".")</f>
        <v>0</v>
      </c>
      <c r="AG21" s="40">
        <f>IFERROR((s_C*s_EF_rec*(1/365)*1*s_RadSpec!S21*s_ET_rec*(1/24)*s_RadSpec!X21),".")</f>
        <v>0</v>
      </c>
      <c r="AH21" s="40">
        <f>IFERROR((s_C*s_EF_rec*(1/365)*1*s_RadSpec!T21*s_ET_rec*(1/24)*s_RadSpec!Y21),".")</f>
        <v>0</v>
      </c>
      <c r="AI21" s="40">
        <f>IFERROR((s_C*s_EF_rec*(1/365)*1*s_RadSpec!U21*s_ET_rec*(1/24)*s_RadSpec!Z21),".")</f>
        <v>0</v>
      </c>
      <c r="AJ21" s="40">
        <f>IFERROR((s_C*s_EF_rec*(1/365)*1*s_RadSpec!Q21*s_ET_rec*(1/24)*s_RadSpec!V21),".")</f>
        <v>0</v>
      </c>
      <c r="AK21" s="15">
        <f>IFERROR((s_DL/(s_RadSpec!H21*s_IFA_rec_adj)),".")</f>
        <v>6544.6364658963093</v>
      </c>
      <c r="AL21" s="15">
        <f>IFERROR((s_DL/(s_RadSpec!K21*s_EF_rec*(1/365)*1*s_ET_rec*(1/24)*s_GSF_a)),".")</f>
        <v>1041272574416.7661</v>
      </c>
      <c r="AM21" s="15">
        <f>IFERROR(IF(AND(AK21&lt;&gt;".",AL21&lt;&gt;"."),1/((1/AK21)+(1/AL21)),IF(AND(AK21&lt;&gt;".",AL21="."),1/((1/AK21)),IF(AND(AK21=".",AL21&lt;&gt;"."),1/((1/AL21)),IF(AND(AK21=".",AL21="."),".")))),".")</f>
        <v>6544.6364247617721</v>
      </c>
      <c r="AN21" s="189">
        <f>AM21*(0.0000000000000028)*s_RadSpec!$AY21*s_RadSpec!$AF21</f>
        <v>2.3561687268628635E-14</v>
      </c>
      <c r="AO21" s="40">
        <f t="shared" si="3"/>
        <v>501.30208333333326</v>
      </c>
      <c r="AP21" s="40">
        <f t="shared" si="4"/>
        <v>7.8481735159817351E-2</v>
      </c>
      <c r="AQ21" s="45"/>
      <c r="AR21" s="15" t="str">
        <f>IFERROR((s_DL/(s_RadSpec!I21*s_IFW_rec_adj)),".")</f>
        <v>.</v>
      </c>
      <c r="AS21" s="15">
        <f>IFERROR((s_DL/(s_RadSpec!M21*(1/8760)*s_DFA_rec_adj)),".")</f>
        <v>596183161051.55762</v>
      </c>
      <c r="AT21" s="2" t="str">
        <f>IFERROR(BG21/(s_RadSpec!AI21*s_Q_w_game*(1/1000)),".")</f>
        <v>.</v>
      </c>
      <c r="AU21" s="2" t="str">
        <f>IFERROR(BG21/(s_RadSpec!AL21*s_Q_w_fowl*(1/1000)),".")</f>
        <v>.</v>
      </c>
      <c r="AV21" s="233">
        <f t="shared" si="5"/>
        <v>0</v>
      </c>
      <c r="AW21" s="233">
        <f t="shared" si="6"/>
        <v>1.6773368745205477E-12</v>
      </c>
      <c r="AX21" s="233">
        <f t="shared" si="7"/>
        <v>0</v>
      </c>
      <c r="AY21" s="233">
        <f t="shared" si="8"/>
        <v>0</v>
      </c>
      <c r="AZ21" s="2">
        <f t="shared" si="19"/>
        <v>596183161051.55762</v>
      </c>
      <c r="BA21" s="189">
        <f>AZ21*(0.0000000000000028)*s_RadSpec!$AY21*s_RadSpec!$AF21</f>
        <v>2.1463501230369081E-6</v>
      </c>
      <c r="BB21" s="40">
        <f t="shared" si="9"/>
        <v>2200</v>
      </c>
      <c r="BC21" s="40">
        <f t="shared" si="10"/>
        <v>0.12557077625570776</v>
      </c>
      <c r="BD21" s="19">
        <f>IFERROR(s_C*s_RadSpec!AI21*s_Q_w_game*(1/1000)*s_EF_rec*1*s_IRGL_rec*s_CF_game,".")</f>
        <v>1.65E-3</v>
      </c>
      <c r="BE21" s="19">
        <f>IFERROR(s_C*s_RadSpec!AL21*s_Q_w_fowl*(1/1000)*s_EF_rec*1*s_IRGL_rec*s_CF_fowl,0)</f>
        <v>1.32</v>
      </c>
      <c r="BF21" s="18"/>
      <c r="BG21" s="2" t="str">
        <f>IFERROR(s_DL/(s_RadSpec!F21*s_EF_rec*1*s_IRGL_rec*s_CF_game),".")</f>
        <v>.</v>
      </c>
      <c r="BH21" s="2" t="str">
        <f>IFERROR(s_DL/(s_RadSpec!F21*s_EF_rec*1*s_IRGF_rec*s_CF_fowl),".")</f>
        <v>.</v>
      </c>
      <c r="BI21" s="189">
        <f>IFERROR(BG21*(0.0000000000028)*s_RadSpec!$AY21*s_RadSpec!$AF21,0)</f>
        <v>0</v>
      </c>
      <c r="BJ21" s="189">
        <f>IFERROR(BH21*(0.0000000000028)*s_RadSpec!$AY21*s_RadSpec!$AF21,0)</f>
        <v>0</v>
      </c>
      <c r="BK21" s="19">
        <f t="shared" si="11"/>
        <v>275</v>
      </c>
      <c r="BL21" s="19">
        <f t="shared" si="12"/>
        <v>275</v>
      </c>
    </row>
    <row r="22" spans="1:64" customFormat="1" x14ac:dyDescent="0.25">
      <c r="A22" s="44" t="s">
        <v>20</v>
      </c>
      <c r="B22" s="42" t="s">
        <v>1057</v>
      </c>
      <c r="C22" s="42"/>
      <c r="D22" s="15">
        <f>IFERROR(((s_DL/(s_RadSpec!E22*s_IFS_rec_adj*(1/1000)))*1),".")</f>
        <v>1877.0072246008076</v>
      </c>
      <c r="E22" s="15">
        <f>IFERROR(IF(A22="H-3",(s_DL/((s_RadSpec!H22*s_IFA_rec_adj*(1/17)*1000))*1),(s_DL/((s_RadSpec!H22*s_IFA_rec_adj*(1/s_PEF_wind)*1000))*1)),".")</f>
        <v>496511.84002222132</v>
      </c>
      <c r="F22" s="2">
        <f>IFERROR((s_DL/(s_RadSpec!G22*s_EF_rec*(1/365)*1*s_RadSpec!R22*s_ET_rec*(1/24)*s_RadSpec!W22)),".")</f>
        <v>857711921194.53076</v>
      </c>
      <c r="G22" s="2">
        <f>IFERROR((BG22/(s_RadSpec!AI22*((s_Q_p_game*s_f_p_game*s_f_s_game*(s_RadSpec!BD22+s_R_es_past))+(s_Q_s_game*s_f_p_game)))),".")</f>
        <v>7445.3541097841944</v>
      </c>
      <c r="H22" s="2" t="str">
        <f>IFERROR((BG22/(s_RadSpec!AL22*((s_Q_p_fowl*s_f_p_fowl*s_f_s_fowl*(s_RadSpec!BD22+s_R_es_past))+(s_Q_s_fowl*s_f_p_fowl)))),".")</f>
        <v>.</v>
      </c>
      <c r="I22" s="233">
        <f t="shared" si="13"/>
        <v>5.3276300000000001E-4</v>
      </c>
      <c r="J22" s="233">
        <f t="shared" si="14"/>
        <v>2.0140506618235832E-6</v>
      </c>
      <c r="K22" s="233">
        <f t="shared" si="15"/>
        <v>1.1658926211580519E-12</v>
      </c>
      <c r="L22" s="233">
        <f t="shared" si="16"/>
        <v>1.3431194611494244E-4</v>
      </c>
      <c r="M22" s="233">
        <f t="shared" si="17"/>
        <v>0</v>
      </c>
      <c r="N22" s="2">
        <f t="shared" si="18"/>
        <v>1494.5694863834851</v>
      </c>
      <c r="O22" s="189">
        <f>IFERROR(N22*(0.0000000000028)*s_RadSpec!$AY22*s_RadSpec!$AF22,0)</f>
        <v>3.8437051421045985E-8</v>
      </c>
      <c r="P22" s="40">
        <f t="shared" si="1"/>
        <v>15.125</v>
      </c>
      <c r="Q22" s="40">
        <f t="shared" si="2"/>
        <v>1.6181272791589674E-3</v>
      </c>
      <c r="R22" s="40">
        <f>IFERROR((s_C*s_EF_rec*(1/365)*1*s_RadSpec!R22*s_ET_rec*(1/24)*s_RadSpec!W22),".")</f>
        <v>3.2711714822915459E-9</v>
      </c>
      <c r="S22" s="19">
        <f>IFERROR((s_C*s_IRGL_rec*s_EF_rec*1*s_CF_game*s_RadSpec!AI22)*((s_Q_p_game*s_f_p_game*s_f_s_game*(s_RadSpec!BD22+s_R_es_past))+(s_Q_s_game*s_f_p_game)),".")</f>
        <v>3.8130804597701125</v>
      </c>
      <c r="T22" s="19">
        <f>IFERROR((s_C*s_IRGF_rec*s_EF_rec*1*s_CF_fowl*s_RadSpec!AL22)*((s_Q_p_fowl*s_f_p_fowl*s_f_s_fowl*(s_RadSpec!BD22+s_R_es_past))+(s_Q_s_fowl*s_f_p_fowl)),0)</f>
        <v>0</v>
      </c>
      <c r="U22" s="18"/>
      <c r="V22" s="15">
        <f>IFERROR((s_DL/(s_RadSpec!G22*s_EF_rec*(1/365)*1*s_RadSpec!R22*s_ET_rec*(1/24)*s_RadSpec!W22)),".")</f>
        <v>857711921194.53076</v>
      </c>
      <c r="W22" s="15">
        <f>IFERROR((s_DL/(s_RadSpec!N22*s_EF_rec*(1/365)*1*s_RadSpec!S22*s_ET_rec*(1/24)*s_RadSpec!X22)),".")</f>
        <v>1083505832191.0793</v>
      </c>
      <c r="X22" s="15">
        <f>IFERROR((s_DL/(s_RadSpec!O22*s_EF_rec*(1/365)*1*s_RadSpec!T22*s_ET_rec*(1/24)*s_RadSpec!Y22)),".")</f>
        <v>606354150746.2793</v>
      </c>
      <c r="Y22" s="15">
        <f>IFERROR((s_DL/(s_RadSpec!P22*s_EF_rec*(1/365)*1*s_RadSpec!U22*s_ET_rec*(1/24)*s_RadSpec!Z22)),".")</f>
        <v>622211536669.53796</v>
      </c>
      <c r="Z22" s="15">
        <f>IFERROR((s_DL/(s_RadSpec!L22*s_EF_rec*(1/365)*1*s_RadSpec!Q22*s_ET_rec*(1/24)*s_RadSpec!V22)),".")</f>
        <v>3059291818708.1226</v>
      </c>
      <c r="AA22" s="189">
        <f>IFERROR(V22*(0.0000000000028)*s_RadSpec!$AY22*s_RadSpec!$AF22,0)</f>
        <v>22.05847069658374</v>
      </c>
      <c r="AB22" s="189">
        <f>IFERROR(W22*(0.0000000000028)*s_RadSpec!$AY22*s_RadSpec!$AF22,0)</f>
        <v>27.865395196651143</v>
      </c>
      <c r="AC22" s="189">
        <f>IFERROR(X22*(0.0000000000028)*s_RadSpec!$AY22*s_RadSpec!$AF22,0)</f>
        <v>15.594099761795418</v>
      </c>
      <c r="AD22" s="189">
        <f>IFERROR(Y22*(0.0000000000028)*s_RadSpec!$AY22*s_RadSpec!$AF22,0)</f>
        <v>16.001916971827278</v>
      </c>
      <c r="AE22" s="189">
        <f>IFERROR(Z22*(0.0000000000028)*s_RadSpec!$AY22*s_RadSpec!$AF22,0)</f>
        <v>78.678280280036063</v>
      </c>
      <c r="AF22" s="40">
        <f>IFERROR((s_C*s_EF_rec*(1/365)*1*s_RadSpec!R22*s_ET_rec*(1/24)*s_RadSpec!W22),".")</f>
        <v>3.2711714822915459E-9</v>
      </c>
      <c r="AG22" s="40">
        <f>IFERROR((s_C*s_EF_rec*(1/365)*1*s_RadSpec!S22*s_ET_rec*(1/24)*s_RadSpec!X22),".")</f>
        <v>3.5698978119536226E-9</v>
      </c>
      <c r="AH22" s="40">
        <f>IFERROR((s_C*s_EF_rec*(1/365)*1*s_RadSpec!T22*s_ET_rec*(1/24)*s_RadSpec!Y22),".")</f>
        <v>4.646684355588465E-9</v>
      </c>
      <c r="AI22" s="40">
        <f>IFERROR((s_C*s_EF_rec*(1/365)*1*s_RadSpec!U22*s_ET_rec*(1/24)*s_RadSpec!Z22),".")</f>
        <v>4.5092747583097075E-9</v>
      </c>
      <c r="AJ22" s="40">
        <f>IFERROR((s_C*s_EF_rec*(1/365)*1*s_RadSpec!Q22*s_ET_rec*(1/24)*s_RadSpec!V22),".")</f>
        <v>6.3549466217031515E-10</v>
      </c>
      <c r="AK22" s="15">
        <f>IFERROR((s_DL/(s_RadSpec!H22*s_IFA_rec_adj)),".")</f>
        <v>1.6026650985033866</v>
      </c>
      <c r="AL22" s="15">
        <f>IFERROR((s_DL/(s_RadSpec!K22*s_EF_rec*(1/365)*1*s_ET_rec*(1/24)*s_GSF_a)),".")</f>
        <v>11045077.510007802</v>
      </c>
      <c r="AM22" s="15">
        <f t="shared" ref="AM22:AM24" si="22">IFERROR(IF(AND(AK22&lt;&gt;".",AL22&lt;&gt;"."),1/((1/AK22)+(1/AL22)),IF(AND(AK22&lt;&gt;".",AL22="."),1/((1/AK22)),IF(AND(AK22=".",AL22&lt;&gt;"."),1/((1/AL22)),IF(AND(AK22=".",AL22="."),".")))),".")</f>
        <v>1.602664865953181</v>
      </c>
      <c r="AN22" s="189">
        <f>AM22*(0.0000000000000028)*s_RadSpec!$AY22*s_RadSpec!$AF22</f>
        <v>4.1217027662198683E-14</v>
      </c>
      <c r="AO22" s="40">
        <f t="shared" si="3"/>
        <v>501.30208333333326</v>
      </c>
      <c r="AP22" s="40">
        <f t="shared" si="4"/>
        <v>7.8481735159817351E-2</v>
      </c>
      <c r="AQ22" s="45"/>
      <c r="AR22" s="15">
        <f>IFERROR((s_DL/(s_RadSpec!I22*s_IFW_rec_adj)),".")</f>
        <v>12.904424669130551</v>
      </c>
      <c r="AS22" s="15">
        <f>IFERROR((s_DL/(s_RadSpec!M22*(1/8760)*s_DFA_rec_adj)),".")</f>
        <v>3140117.570179475</v>
      </c>
      <c r="AT22" s="2">
        <f>IFERROR(BG22/(s_RadSpec!AI22*s_Q_w_game*(1/1000)),".")</f>
        <v>30363352.162660118</v>
      </c>
      <c r="AU22" s="2" t="str">
        <f>IFERROR(BG22/(s_RadSpec!AL22*s_Q_w_fowl*(1/1000)),".")</f>
        <v>.</v>
      </c>
      <c r="AV22" s="233">
        <f t="shared" si="5"/>
        <v>7.7492800000000001E-2</v>
      </c>
      <c r="AW22" s="233">
        <f t="shared" si="6"/>
        <v>3.1845941358904105E-7</v>
      </c>
      <c r="AX22" s="233">
        <f t="shared" si="7"/>
        <v>3.2934440000000004E-8</v>
      </c>
      <c r="AY22" s="233">
        <f t="shared" si="8"/>
        <v>0</v>
      </c>
      <c r="AZ22" s="2">
        <f t="shared" si="19"/>
        <v>12.904366153823958</v>
      </c>
      <c r="BA22" s="189">
        <f>AZ22*(0.0000000000000028)*s_RadSpec!$AY22*s_RadSpec!$AF22</f>
        <v>3.3187201393409741E-13</v>
      </c>
      <c r="BB22" s="40">
        <f t="shared" si="9"/>
        <v>2200</v>
      </c>
      <c r="BC22" s="40">
        <f t="shared" si="10"/>
        <v>0.12557077625570776</v>
      </c>
      <c r="BD22" s="19">
        <f>IFERROR(s_C*s_RadSpec!AI22*s_Q_w_game*(1/1000)*s_EF_rec*1*s_IRGL_rec*s_CF_game,".")</f>
        <v>9.3499999999999985E-4</v>
      </c>
      <c r="BE22" s="19">
        <f>IFERROR(s_C*s_RadSpec!AL22*s_Q_w_fowl*(1/1000)*s_EF_rec*1*s_IRGL_rec*s_CF_fowl,0)</f>
        <v>0</v>
      </c>
      <c r="BF22" s="18"/>
      <c r="BG22" s="2">
        <f>IFERROR(s_DL/(s_RadSpec!F22*s_EF_rec*1*s_IRGL_rec*s_CF_game),".")</f>
        <v>103.23539735304441</v>
      </c>
      <c r="BH22" s="2">
        <f>IFERROR(s_DL/(s_RadSpec!F22*s_EF_rec*1*s_IRGF_rec*s_CF_fowl),".")</f>
        <v>103.23539735304441</v>
      </c>
      <c r="BI22" s="189">
        <f>IFERROR(BG22*(0.0000000000028)*s_RadSpec!$AY22*s_RadSpec!$AF22,0)</f>
        <v>2.6549881505562421E-9</v>
      </c>
      <c r="BJ22" s="189">
        <f>IFERROR(BH22*(0.0000000000028)*s_RadSpec!$AY22*s_RadSpec!$AF22,0)</f>
        <v>2.6549881505562421E-9</v>
      </c>
      <c r="BK22" s="19">
        <f t="shared" si="11"/>
        <v>275</v>
      </c>
      <c r="BL22" s="19">
        <f t="shared" si="12"/>
        <v>275</v>
      </c>
    </row>
    <row r="23" spans="1:64" customFormat="1" x14ac:dyDescent="0.25">
      <c r="A23" s="46" t="s">
        <v>21</v>
      </c>
      <c r="B23" s="42" t="s">
        <v>335</v>
      </c>
      <c r="C23" s="238"/>
      <c r="D23" s="15">
        <f>IFERROR(((s_DL/(s_RadSpec!E23*s_IFS_rec_adj*(1/1000)))*1),".")</f>
        <v>986.15390608166047</v>
      </c>
      <c r="E23" s="15">
        <f>IFERROR(IF(A23="H-3",(s_DL/((s_RadSpec!H23*s_IFA_rec_adj*(1/17)*1000))*1),(s_DL/((s_RadSpec!H23*s_IFA_rec_adj*(1/s_PEF_wind)*1000))*1)),".")</f>
        <v>405404.32762979425</v>
      </c>
      <c r="F23" s="2">
        <f>IFERROR((s_DL/(s_RadSpec!G23*s_EF_rec*(1/365)*1*s_RadSpec!R23*s_ET_rec*(1/24)*s_RadSpec!W23)),".")</f>
        <v>55113.873807861732</v>
      </c>
      <c r="G23" s="2">
        <f>IFERROR((BG23/(s_RadSpec!AI23*((s_Q_p_game*s_f_p_game*s_f_s_game*(s_RadSpec!BD23+s_R_es_past))+(s_Q_s_game*s_f_p_game)))),".")</f>
        <v>3911.6871481868397</v>
      </c>
      <c r="H23" s="2" t="str">
        <f>IFERROR((BG23/(s_RadSpec!AL23*((s_Q_p_fowl*s_f_p_fowl*s_f_s_fowl*(s_RadSpec!BD23+s_R_es_past))+(s_Q_s_fowl*s_f_p_fowl)))),".")</f>
        <v>.</v>
      </c>
      <c r="I23" s="233">
        <f t="shared" si="13"/>
        <v>1.0140405000000001E-3</v>
      </c>
      <c r="J23" s="233">
        <f t="shared" si="14"/>
        <v>2.46667322434993E-6</v>
      </c>
      <c r="K23" s="233">
        <f t="shared" si="15"/>
        <v>1.8144251726637925E-5</v>
      </c>
      <c r="L23" s="233">
        <f t="shared" si="16"/>
        <v>2.5564416634482742E-4</v>
      </c>
      <c r="M23" s="233">
        <f t="shared" si="17"/>
        <v>0</v>
      </c>
      <c r="N23" s="2">
        <f t="shared" si="18"/>
        <v>775.01621081702842</v>
      </c>
      <c r="O23" s="189">
        <f>IFERROR(N23*(0.0000000000028)*s_RadSpec!$AY23*s_RadSpec!$AF23,0)</f>
        <v>7.8468841312802492E-4</v>
      </c>
      <c r="P23" s="40">
        <f t="shared" si="1"/>
        <v>15.125</v>
      </c>
      <c r="Q23" s="40">
        <f t="shared" si="2"/>
        <v>1.6181272791589674E-3</v>
      </c>
      <c r="R23" s="40">
        <f>IFERROR((s_C*s_EF_rec*(1/365)*1*s_RadSpec!R23*s_ET_rec*(1/24)*s_RadSpec!W23),".")</f>
        <v>1.4284113023238069E-2</v>
      </c>
      <c r="S23" s="19">
        <f>IFERROR((s_C*s_IRGL_rec*s_EF_rec*1*s_CF_game*s_RadSpec!AI23)*((s_Q_p_game*s_f_p_game*s_f_s_game*(s_RadSpec!BD23+s_R_es_past))+(s_Q_s_game*s_f_p_game)),".")</f>
        <v>3.8130804597701125</v>
      </c>
      <c r="T23" s="19">
        <f>IFERROR((s_C*s_IRGF_rec*s_EF_rec*1*s_CF_fowl*s_RadSpec!AL23)*((s_Q_p_fowl*s_f_p_fowl*s_f_s_fowl*(s_RadSpec!BD23+s_R_es_past))+(s_Q_s_fowl*s_f_p_fowl)),0)</f>
        <v>0</v>
      </c>
      <c r="U23" s="18"/>
      <c r="V23" s="15">
        <f>IFERROR((s_DL/(s_RadSpec!G23*s_EF_rec*(1/365)*1*s_RadSpec!R23*s_ET_rec*(1/24)*s_RadSpec!W23)),".")</f>
        <v>55113.873807861732</v>
      </c>
      <c r="W23" s="15">
        <f>IFERROR((s_DL/(s_RadSpec!N23*s_EF_rec*(1/365)*1*s_RadSpec!S23*s_ET_rec*(1/24)*s_RadSpec!X23)),".")</f>
        <v>393340.43584751652</v>
      </c>
      <c r="X23" s="15">
        <f>IFERROR((s_DL/(s_RadSpec!O23*s_EF_rec*(1/365)*1*s_RadSpec!T23*s_ET_rec*(1/24)*s_RadSpec!Y23)),".")</f>
        <v>100796.39379764063</v>
      </c>
      <c r="Y23" s="15">
        <f>IFERROR((s_DL/(s_RadSpec!P23*s_EF_rec*(1/365)*1*s_RadSpec!U23*s_ET_rec*(1/24)*s_RadSpec!Z23)),".")</f>
        <v>58136.956049806598</v>
      </c>
      <c r="Z23" s="15">
        <f>IFERROR((s_DL/(s_RadSpec!L23*s_EF_rec*(1/365)*1*s_RadSpec!Q23*s_ET_rec*(1/24)*s_RadSpec!V23)),".")</f>
        <v>628012.30437802779</v>
      </c>
      <c r="AA23" s="189">
        <f>IFERROR(V23*(0.0000000000028)*s_RadSpec!$AY23*s_RadSpec!$AF23,0)</f>
        <v>5.580169495298385E-2</v>
      </c>
      <c r="AB23" s="189">
        <f>IFERROR(W23*(0.0000000000028)*s_RadSpec!$AY23*s_RadSpec!$AF23,0)</f>
        <v>0.39824932448689354</v>
      </c>
      <c r="AC23" s="189">
        <f>IFERROR(X23*(0.0000000000028)*s_RadSpec!$AY23*s_RadSpec!$AF23,0)</f>
        <v>0.10205433279223519</v>
      </c>
      <c r="AD23" s="189">
        <f>IFERROR(Y23*(0.0000000000028)*s_RadSpec!$AY23*s_RadSpec!$AF23,0)</f>
        <v>5.8862505261308193E-2</v>
      </c>
      <c r="AE23" s="189">
        <f>IFERROR(Z23*(0.0000000000028)*s_RadSpec!$AY23*s_RadSpec!$AF23,0)</f>
        <v>0.63584989793666569</v>
      </c>
      <c r="AF23" s="40">
        <f>IFERROR((s_C*s_EF_rec*(1/365)*1*s_RadSpec!R23*s_ET_rec*(1/24)*s_RadSpec!W23),".")</f>
        <v>1.4284113023238069E-2</v>
      </c>
      <c r="AG23" s="40">
        <f>IFERROR((s_C*s_EF_rec*(1/365)*1*s_RadSpec!S23*s_ET_rec*(1/24)*s_RadSpec!X23),".")</f>
        <v>8.0246977835144485E-3</v>
      </c>
      <c r="AH23" s="40">
        <f>IFERROR((s_C*s_EF_rec*(1/365)*1*s_RadSpec!T23*s_ET_rec*(1/24)*s_RadSpec!Y23),".")</f>
        <v>1.1348338471779426E-2</v>
      </c>
      <c r="AI23" s="40">
        <f>IFERROR((s_C*s_EF_rec*(1/365)*1*s_RadSpec!U23*s_ET_rec*(1/24)*s_RadSpec!Z23),".")</f>
        <v>1.3867646406880346E-2</v>
      </c>
      <c r="AJ23" s="40">
        <f>IFERROR((s_C*s_EF_rec*(1/365)*1*s_RadSpec!Q23*s_ET_rec*(1/24)*s_RadSpec!V23),".")</f>
        <v>5.097777572092641E-3</v>
      </c>
      <c r="AK23" s="15">
        <f>IFERROR((s_DL/(s_RadSpec!H23*s_IFA_rec_adj)),".")</f>
        <v>1.3085838328556778</v>
      </c>
      <c r="AL23" s="15">
        <f>IFERROR((s_DL/(s_RadSpec!K23*s_EF_rec*(1/365)*1*s_ET_rec*(1/24)*s_GSF_a)),".")</f>
        <v>8772135.5143791866</v>
      </c>
      <c r="AM23" s="15">
        <f t="shared" si="22"/>
        <v>1.3085836376476365</v>
      </c>
      <c r="AN23" s="189">
        <f>AM23*(0.0000000000000028)*s_RadSpec!$AY23*s_RadSpec!$AF23</f>
        <v>1.3249147614454791E-9</v>
      </c>
      <c r="AO23" s="40">
        <f t="shared" si="3"/>
        <v>501.30208333333326</v>
      </c>
      <c r="AP23" s="40">
        <f t="shared" si="4"/>
        <v>7.8481735159817351E-2</v>
      </c>
      <c r="AQ23" s="45"/>
      <c r="AR23" s="15">
        <f>IFERROR((s_DL/(s_RadSpec!I23*s_IFW_rec_adj)),".")</f>
        <v>6.7798081043114156</v>
      </c>
      <c r="AS23" s="15">
        <f>IFERROR((s_DL/(s_RadSpec!M23*(1/8760)*s_DFA_rec_adj)),".")</f>
        <v>2492812.6324670389</v>
      </c>
      <c r="AT23" s="2">
        <f>IFERROR(BG23/(s_RadSpec!AI23*s_Q_w_game*(1/1000)),".")</f>
        <v>15952489.65720333</v>
      </c>
      <c r="AU23" s="2" t="str">
        <f>IFERROR(BG23/(s_RadSpec!AL23*s_Q_w_fowl*(1/1000)),".")</f>
        <v>.</v>
      </c>
      <c r="AV23" s="233">
        <f t="shared" si="5"/>
        <v>0.14749680000000001</v>
      </c>
      <c r="AW23" s="233">
        <f t="shared" si="6"/>
        <v>4.011532944657534E-7</v>
      </c>
      <c r="AX23" s="233">
        <f t="shared" si="7"/>
        <v>6.2686140000000001E-8</v>
      </c>
      <c r="AY23" s="233">
        <f t="shared" si="8"/>
        <v>0</v>
      </c>
      <c r="AZ23" s="2">
        <f t="shared" si="19"/>
        <v>6.7797867836287455</v>
      </c>
      <c r="BA23" s="189">
        <f>AZ23*(0.0000000000000028)*s_RadSpec!$AY23*s_RadSpec!$AF23</f>
        <v>6.8643985226884334E-9</v>
      </c>
      <c r="BB23" s="40">
        <f t="shared" si="9"/>
        <v>2200</v>
      </c>
      <c r="BC23" s="40">
        <f t="shared" si="10"/>
        <v>0.12557077625570776</v>
      </c>
      <c r="BD23" s="19">
        <f>IFERROR(s_C*s_RadSpec!AI23*s_Q_w_game*(1/1000)*s_EF_rec*1*s_IRGL_rec*s_CF_game,".")</f>
        <v>9.3499999999999985E-4</v>
      </c>
      <c r="BE23" s="19">
        <f>IFERROR(s_C*s_RadSpec!AL23*s_Q_w_fowl*(1/1000)*s_EF_rec*1*s_IRGL_rec*s_CF_fowl,0)</f>
        <v>0</v>
      </c>
      <c r="BF23" s="18"/>
      <c r="BG23" s="2">
        <f>IFERROR(s_DL/(s_RadSpec!F23*s_EF_rec*1*s_IRGL_rec*s_CF_game),".")</f>
        <v>54.238464834491324</v>
      </c>
      <c r="BH23" s="2">
        <f>IFERROR(s_DL/(s_RadSpec!F23*s_EF_rec*1*s_IRGF_rec*s_CF_fowl),".")</f>
        <v>54.238464834491324</v>
      </c>
      <c r="BI23" s="189">
        <f>IFERROR(BG23*(0.0000000000028)*s_RadSpec!$AY23*s_RadSpec!$AF23,0)</f>
        <v>5.4915360875625781E-5</v>
      </c>
      <c r="BJ23" s="189">
        <f>IFERROR(BH23*(0.0000000000028)*s_RadSpec!$AY23*s_RadSpec!$AF23,0)</f>
        <v>5.4915360875625781E-5</v>
      </c>
      <c r="BK23" s="19">
        <f t="shared" si="11"/>
        <v>275</v>
      </c>
      <c r="BL23" s="19">
        <f t="shared" si="12"/>
        <v>275</v>
      </c>
    </row>
    <row r="24" spans="1:64" customFormat="1" x14ac:dyDescent="0.25">
      <c r="A24" s="44" t="s">
        <v>22</v>
      </c>
      <c r="B24" s="42" t="s">
        <v>1057</v>
      </c>
      <c r="C24" s="238"/>
      <c r="D24" s="15" t="str">
        <f>IFERROR(((s_DL/(s_RadSpec!E24*s_IFS_rec_adj*(1/1000)))*1),".")</f>
        <v>.</v>
      </c>
      <c r="E24" s="15" t="str">
        <f>IFERROR(IF(A24="H-3",(s_DL/((s_RadSpec!H24*s_IFA_rec_adj*(1/17)*1000))*1),(s_DL/((s_RadSpec!H24*s_IFA_rec_adj*(1/s_PEF_wind)*1000))*1)),".")</f>
        <v>.</v>
      </c>
      <c r="F24" s="2">
        <f>IFERROR((s_DL/(s_RadSpec!G24*s_EF_rec*(1/365)*1*s_RadSpec!R24*s_ET_rec*(1/24)*s_RadSpec!W24)),".")</f>
        <v>538705.46268150269</v>
      </c>
      <c r="G24" s="2" t="str">
        <f>IFERROR((BG24/(s_RadSpec!AI24*((s_Q_p_game*s_f_p_game*s_f_s_game*(s_RadSpec!BD24+s_R_es_past))+(s_Q_s_game*s_f_p_game)))),".")</f>
        <v>.</v>
      </c>
      <c r="H24" s="2" t="str">
        <f>IFERROR((BG24/(s_RadSpec!AL24*((s_Q_p_fowl*s_f_p_fowl*s_f_s_fowl*(s_RadSpec!BD24+s_R_es_past))+(s_Q_s_fowl*s_f_p_fowl)))),".")</f>
        <v>.</v>
      </c>
      <c r="I24" s="233">
        <f t="shared" si="13"/>
        <v>0</v>
      </c>
      <c r="J24" s="233">
        <f t="shared" si="14"/>
        <v>0</v>
      </c>
      <c r="K24" s="233">
        <f t="shared" si="15"/>
        <v>1.8563019484196826E-6</v>
      </c>
      <c r="L24" s="233">
        <f t="shared" si="16"/>
        <v>0</v>
      </c>
      <c r="M24" s="233">
        <f t="shared" si="17"/>
        <v>0</v>
      </c>
      <c r="N24" s="2">
        <f t="shared" si="18"/>
        <v>538705.46268150269</v>
      </c>
      <c r="O24" s="189">
        <f>IFERROR(N24*(0.0000000000028)*s_RadSpec!$AY24*s_RadSpec!$AF24,0)</f>
        <v>3.6494493609613201E-13</v>
      </c>
      <c r="P24" s="40">
        <f t="shared" si="1"/>
        <v>15.125</v>
      </c>
      <c r="Q24" s="40">
        <f t="shared" si="2"/>
        <v>1.6181272791589674E-3</v>
      </c>
      <c r="R24" s="40">
        <f>IFERROR((s_C*s_EF_rec*(1/365)*1*s_RadSpec!R24*s_ET_rec*(1/24)*s_RadSpec!W24),".")</f>
        <v>1.0896246269227821E-2</v>
      </c>
      <c r="S24" s="19">
        <f>IFERROR((s_C*s_IRGL_rec*s_EF_rec*1*s_CF_game*s_RadSpec!AI24)*((s_Q_p_game*s_f_p_game*s_f_s_game*(s_RadSpec!BD24+s_R_es_past))+(s_Q_s_game*s_f_p_game)),".")</f>
        <v>0</v>
      </c>
      <c r="T24" s="19">
        <f>IFERROR((s_C*s_IRGF_rec*s_EF_rec*1*s_CF_fowl*s_RadSpec!AL24)*((s_Q_p_fowl*s_f_p_fowl*s_f_s_fowl*(s_RadSpec!BD24+s_R_es_past))+(s_Q_s_fowl*s_f_p_fowl)),0)</f>
        <v>0</v>
      </c>
      <c r="U24" s="18"/>
      <c r="V24" s="15">
        <f>IFERROR((s_DL/(s_RadSpec!G24*s_EF_rec*(1/365)*1*s_RadSpec!R24*s_ET_rec*(1/24)*s_RadSpec!W24)),".")</f>
        <v>538705.46268150269</v>
      </c>
      <c r="W24" s="15">
        <f>IFERROR((s_DL/(s_RadSpec!N24*s_EF_rec*(1/365)*1*s_RadSpec!S24*s_ET_rec*(1/24)*s_RadSpec!X24)),".")</f>
        <v>4851487.6408669548</v>
      </c>
      <c r="X24" s="15">
        <f>IFERROR((s_DL/(s_RadSpec!O24*s_EF_rec*(1/365)*1*s_RadSpec!T24*s_ET_rec*(1/24)*s_RadSpec!Y24)),".")</f>
        <v>1200219.7476809779</v>
      </c>
      <c r="Y24" s="15">
        <f>IFERROR((s_DL/(s_RadSpec!P24*s_EF_rec*(1/365)*1*s_RadSpec!U24*s_ET_rec*(1/24)*s_RadSpec!Z24)),".")</f>
        <v>643608.97713983082</v>
      </c>
      <c r="Z24" s="15">
        <f>IFERROR((s_DL/(s_RadSpec!L24*s_EF_rec*(1/365)*1*s_RadSpec!Q24*s_ET_rec*(1/24)*s_RadSpec!V24)),".")</f>
        <v>8168532.5247136075</v>
      </c>
      <c r="AA24" s="189">
        <f>IFERROR(V24*(0.0000000000028)*s_RadSpec!$AY24*s_RadSpec!$AF24,0)</f>
        <v>3.6494493609613201E-13</v>
      </c>
      <c r="AB24" s="189">
        <f>IFERROR(W24*(0.0000000000028)*s_RadSpec!$AY24*s_RadSpec!$AF24,0)</f>
        <v>3.2866305796385583E-12</v>
      </c>
      <c r="AC24" s="189">
        <f>IFERROR(X24*(0.0000000000028)*s_RadSpec!$AY24*s_RadSpec!$AF24,0)</f>
        <v>8.1308646275546684E-13</v>
      </c>
      <c r="AD24" s="189">
        <f>IFERROR(Y24*(0.0000000000028)*s_RadSpec!$AY24*s_RadSpec!$AF24,0)</f>
        <v>4.3601161173310946E-13</v>
      </c>
      <c r="AE24" s="189">
        <f>IFERROR(Z24*(0.0000000000028)*s_RadSpec!$AY24*s_RadSpec!$AF24,0)</f>
        <v>5.5337559886473057E-12</v>
      </c>
      <c r="AF24" s="40">
        <f>IFERROR((s_C*s_EF_rec*(1/365)*1*s_RadSpec!R24*s_ET_rec*(1/24)*s_RadSpec!W24),".")</f>
        <v>1.0896246269227821E-2</v>
      </c>
      <c r="AG24" s="40">
        <f>IFERROR((s_C*s_EF_rec*(1/365)*1*s_RadSpec!S24*s_ET_rec*(1/24)*s_RadSpec!X24),".")</f>
        <v>6.0100145288501444E-3</v>
      </c>
      <c r="AH24" s="40">
        <f>IFERROR((s_C*s_EF_rec*(1/365)*1*s_RadSpec!T24*s_ET_rec*(1/24)*s_RadSpec!Y24),".")</f>
        <v>8.5119893783308122E-3</v>
      </c>
      <c r="AI24" s="40">
        <f>IFERROR((s_C*s_EF_rec*(1/365)*1*s_RadSpec!U24*s_ET_rec*(1/24)*s_RadSpec!Z24),".")</f>
        <v>1.0193207762557078E-2</v>
      </c>
      <c r="AJ24" s="40">
        <f>IFERROR((s_C*s_EF_rec*(1/365)*1*s_RadSpec!Q24*s_ET_rec*(1/24)*s_RadSpec!V24),".")</f>
        <v>3.616120455465003E-3</v>
      </c>
      <c r="AK24" s="15" t="str">
        <f>IFERROR((s_DL/(s_RadSpec!H24*s_IFA_rec_adj)),".")</f>
        <v>.</v>
      </c>
      <c r="AL24" s="15">
        <f>IFERROR((s_DL/(s_RadSpec!K24*s_EF_rec*(1/365)*1*s_ET_rec*(1/24)*s_GSF_a)),".")</f>
        <v>80239239.557997867</v>
      </c>
      <c r="AM24" s="15">
        <f t="shared" si="22"/>
        <v>80239239.557997867</v>
      </c>
      <c r="AN24" s="189">
        <f>AM24*(0.0000000000000028)*s_RadSpec!$AY24*s_RadSpec!$AF24</f>
        <v>5.4357912034407215E-14</v>
      </c>
      <c r="AO24" s="40">
        <f t="shared" si="3"/>
        <v>501.30208333333326</v>
      </c>
      <c r="AP24" s="40">
        <f t="shared" si="4"/>
        <v>7.8481735159817351E-2</v>
      </c>
      <c r="AQ24" s="45"/>
      <c r="AR24" s="15" t="str">
        <f>IFERROR((s_DL/(s_RadSpec!I24*s_IFW_rec_adj)),".")</f>
        <v>.</v>
      </c>
      <c r="AS24" s="15">
        <f>IFERROR((s_DL/(s_RadSpec!M24*(1/8760)*s_DFA_rec_adj)),".")</f>
        <v>23072853.052874897</v>
      </c>
      <c r="AT24" s="2" t="str">
        <f>IFERROR(BG24/(s_RadSpec!AI24*s_Q_w_game*(1/1000)),".")</f>
        <v>.</v>
      </c>
      <c r="AU24" s="2" t="str">
        <f>IFERROR(BG24/(s_RadSpec!AL24*s_Q_w_fowl*(1/1000)),".")</f>
        <v>.</v>
      </c>
      <c r="AV24" s="233">
        <f t="shared" si="5"/>
        <v>0</v>
      </c>
      <c r="AW24" s="233">
        <f t="shared" si="6"/>
        <v>4.3340977282191773E-8</v>
      </c>
      <c r="AX24" s="233">
        <f t="shared" si="7"/>
        <v>0</v>
      </c>
      <c r="AY24" s="233">
        <f t="shared" si="8"/>
        <v>0</v>
      </c>
      <c r="AZ24" s="2">
        <f t="shared" si="19"/>
        <v>23072853.052874897</v>
      </c>
      <c r="BA24" s="189">
        <f>AZ24*(0.0000000000000028)*s_RadSpec!$AY24*s_RadSpec!$AF24</f>
        <v>1.5630658061314659E-14</v>
      </c>
      <c r="BB24" s="40">
        <f t="shared" si="9"/>
        <v>2200</v>
      </c>
      <c r="BC24" s="40">
        <f t="shared" si="10"/>
        <v>0.12557077625570776</v>
      </c>
      <c r="BD24" s="19">
        <f>IFERROR(s_C*s_RadSpec!AI24*s_Q_w_game*(1/1000)*s_EF_rec*1*s_IRGL_rec*s_CF_game,".")</f>
        <v>0</v>
      </c>
      <c r="BE24" s="19">
        <f>IFERROR(s_C*s_RadSpec!AL24*s_Q_w_fowl*(1/1000)*s_EF_rec*1*s_IRGL_rec*s_CF_fowl,0)</f>
        <v>0</v>
      </c>
      <c r="BF24" s="18"/>
      <c r="BG24" s="2" t="str">
        <f>IFERROR(s_DL/(s_RadSpec!F24*s_EF_rec*1*s_IRGL_rec*s_CF_game),".")</f>
        <v>.</v>
      </c>
      <c r="BH24" s="2" t="str">
        <f>IFERROR(s_DL/(s_RadSpec!F24*s_EF_rec*1*s_IRGF_rec*s_CF_fowl),".")</f>
        <v>.</v>
      </c>
      <c r="BI24" s="189">
        <f>IFERROR(BG24*(0.0000000000028)*s_RadSpec!$AY24*s_RadSpec!$AF24,0)</f>
        <v>0</v>
      </c>
      <c r="BJ24" s="189">
        <f>IFERROR(BH24*(0.0000000000028)*s_RadSpec!$AY24*s_RadSpec!$AF24,0)</f>
        <v>0</v>
      </c>
      <c r="BK24" s="19">
        <f t="shared" si="11"/>
        <v>275</v>
      </c>
      <c r="BL24" s="19">
        <f t="shared" si="12"/>
        <v>275</v>
      </c>
    </row>
    <row r="25" spans="1:64" customFormat="1" x14ac:dyDescent="0.25">
      <c r="A25" s="46" t="s">
        <v>23</v>
      </c>
      <c r="B25" s="42" t="s">
        <v>335</v>
      </c>
      <c r="C25" s="238"/>
      <c r="D25" s="15" t="str">
        <f>IFERROR(((s_DL/(s_RadSpec!E25*s_IFS_rec_adj*(1/1000)))*1),".")</f>
        <v>.</v>
      </c>
      <c r="E25" s="15">
        <f>IFERROR(IF(A25="H-3",(s_DL/((s_RadSpec!H25*s_IFA_rec_adj*(1/17)*1000))*1),(s_DL/((s_RadSpec!H25*s_IFA_rec_adj*(1/s_PEF_wind)*1000))*1)),".")</f>
        <v>2358772355.1101465</v>
      </c>
      <c r="F25" s="2">
        <f>IFERROR((s_DL/(s_RadSpec!G25*s_EF_rec*(1/365)*1*s_RadSpec!R25*s_ET_rec*(1/24)*s_RadSpec!W25)),".")</f>
        <v>1201490.4900999039</v>
      </c>
      <c r="G25" s="2" t="str">
        <f>IFERROR((BG25/(s_RadSpec!AI25*((s_Q_p_game*s_f_p_game*s_f_s_game*(s_RadSpec!BD25+s_R_es_past))+(s_Q_s_game*s_f_p_game)))),".")</f>
        <v>.</v>
      </c>
      <c r="H25" s="2" t="str">
        <f>IFERROR((BG25/(s_RadSpec!AL25*((s_Q_p_fowl*s_f_p_fowl*s_f_s_fowl*(s_RadSpec!BD25+s_R_es_past))+(s_Q_s_fowl*s_f_p_fowl)))),".")</f>
        <v>.</v>
      </c>
      <c r="I25" s="233">
        <f t="shared" si="13"/>
        <v>0</v>
      </c>
      <c r="J25" s="233">
        <f t="shared" si="14"/>
        <v>4.2394934713964948E-10</v>
      </c>
      <c r="K25" s="233">
        <f t="shared" si="15"/>
        <v>8.3229955479452032E-7</v>
      </c>
      <c r="L25" s="233">
        <f t="shared" si="16"/>
        <v>0</v>
      </c>
      <c r="M25" s="233">
        <f t="shared" si="17"/>
        <v>0</v>
      </c>
      <c r="N25" s="2">
        <f t="shared" si="18"/>
        <v>1200878.7971353857</v>
      </c>
      <c r="O25" s="189">
        <f>IFERROR(N25*(0.0000000000028)*s_RadSpec!$AY25*s_RadSpec!$AF25,0)</f>
        <v>7.8194897157659731E-6</v>
      </c>
      <c r="P25" s="40">
        <f t="shared" si="1"/>
        <v>15.125</v>
      </c>
      <c r="Q25" s="40">
        <f t="shared" si="2"/>
        <v>1.6181272791589674E-3</v>
      </c>
      <c r="R25" s="40">
        <f>IFERROR((s_C*s_EF_rec*(1/365)*1*s_RadSpec!R25*s_ET_rec*(1/24)*s_RadSpec!W25),".")</f>
        <v>9.7709760273972587E-3</v>
      </c>
      <c r="S25" s="19">
        <f>IFERROR((s_C*s_IRGL_rec*s_EF_rec*1*s_CF_game*s_RadSpec!AI25)*((s_Q_p_game*s_f_p_game*s_f_s_game*(s_RadSpec!BD25+s_R_es_past))+(s_Q_s_game*s_f_p_game)),".")</f>
        <v>0</v>
      </c>
      <c r="T25" s="19">
        <f>IFERROR((s_C*s_IRGF_rec*s_EF_rec*1*s_CF_fowl*s_RadSpec!AL25)*((s_Q_p_fowl*s_f_p_fowl*s_f_s_fowl*(s_RadSpec!BD25+s_R_es_past))+(s_Q_s_fowl*s_f_p_fowl)),0)</f>
        <v>0</v>
      </c>
      <c r="U25" s="18"/>
      <c r="V25" s="15">
        <f>IFERROR((s_DL/(s_RadSpec!G25*s_EF_rec*(1/365)*1*s_RadSpec!R25*s_ET_rec*(1/24)*s_RadSpec!W25)),".")</f>
        <v>1201490.4900999039</v>
      </c>
      <c r="W25" s="15">
        <f>IFERROR((s_DL/(s_RadSpec!N25*s_EF_rec*(1/365)*1*s_RadSpec!S25*s_ET_rec*(1/24)*s_RadSpec!X25)),".")</f>
        <v>10393419.336553276</v>
      </c>
      <c r="X25" s="15">
        <f>IFERROR((s_DL/(s_RadSpec!O25*s_EF_rec*(1/365)*1*s_RadSpec!T25*s_ET_rec*(1/24)*s_RadSpec!Y25)),".")</f>
        <v>2614324.5539969378</v>
      </c>
      <c r="Y25" s="15">
        <f>IFERROR((s_DL/(s_RadSpec!P25*s_EF_rec*(1/365)*1*s_RadSpec!U25*s_ET_rec*(1/24)*s_RadSpec!Z25)),".")</f>
        <v>1510707.7021317827</v>
      </c>
      <c r="Z25" s="15">
        <f>IFERROR((s_DL/(s_RadSpec!L25*s_EF_rec*(1/365)*1*s_RadSpec!Q25*s_ET_rec*(1/24)*s_RadSpec!V25)),".")</f>
        <v>18890504.780894086</v>
      </c>
      <c r="AA25" s="189">
        <f>IFERROR(V25*(0.0000000000028)*s_RadSpec!$AY25*s_RadSpec!$AF25,0)</f>
        <v>7.8234727379133101E-6</v>
      </c>
      <c r="AB25" s="189">
        <f>IFERROR(W25*(0.0000000000028)*s_RadSpec!$AY25*s_RadSpec!$AF25,0)</f>
        <v>6.767646810626395E-5</v>
      </c>
      <c r="AC25" s="189">
        <f>IFERROR(X25*(0.0000000000028)*s_RadSpec!$AY25*s_RadSpec!$AF25,0)</f>
        <v>1.7023103424274078E-5</v>
      </c>
      <c r="AD25" s="189">
        <f>IFERROR(Y25*(0.0000000000028)*s_RadSpec!$AY25*s_RadSpec!$AF25,0)</f>
        <v>9.8369322270714878E-6</v>
      </c>
      <c r="AE25" s="189">
        <f>IFERROR(Z25*(0.0000000000028)*s_RadSpec!$AY25*s_RadSpec!$AF25,0)</f>
        <v>1.2300500950819613E-4</v>
      </c>
      <c r="AF25" s="40">
        <f>IFERROR((s_C*s_EF_rec*(1/365)*1*s_RadSpec!R25*s_ET_rec*(1/24)*s_RadSpec!W25),".")</f>
        <v>9.7709760273972587E-3</v>
      </c>
      <c r="AG25" s="40">
        <f>IFERROR((s_C*s_EF_rec*(1/365)*1*s_RadSpec!S25*s_ET_rec*(1/24)*s_RadSpec!X25),".")</f>
        <v>5.4562301864293419E-3</v>
      </c>
      <c r="AH25" s="40">
        <f>IFERROR((s_C*s_EF_rec*(1/365)*1*s_RadSpec!T25*s_ET_rec*(1/24)*s_RadSpec!Y25),".")</f>
        <v>7.6065648234478461E-3</v>
      </c>
      <c r="AI25" s="40">
        <f>IFERROR((s_C*s_EF_rec*(1/365)*1*s_RadSpec!U25*s_ET_rec*(1/24)*s_RadSpec!Z25),".")</f>
        <v>8.5182298397518744E-3</v>
      </c>
      <c r="AJ25" s="40">
        <f>IFERROR((s_C*s_EF_rec*(1/365)*1*s_RadSpec!Q25*s_ET_rec*(1/24)*s_RadSpec!V25),".")</f>
        <v>3.0432595573440645E-3</v>
      </c>
      <c r="AK25" s="15">
        <f>IFERROR((s_DL/(s_RadSpec!H25*s_IFA_rec_adj)),".")</f>
        <v>7613.7602855160121</v>
      </c>
      <c r="AL25" s="15">
        <f>IFERROR((s_DL/(s_RadSpec!K25*s_EF_rec*(1/365)*1*s_ET_rec*(1/24)*s_GSF_a)),".")</f>
        <v>157695615.31629637</v>
      </c>
      <c r="AM25" s="15">
        <f>IFERROR(IF(AND(AK25&lt;&gt;".",AL25&lt;&gt;"."),1/((1/AK25)+(1/AL25)),IF(AND(AK25&lt;&gt;".",AL25="."),1/((1/AK25)),IF(AND(AK25=".",AL25&lt;&gt;"."),1/((1/AL25)),IF(AND(AK25=".",AL25="."),".")))),".")</f>
        <v>7613.3927004892203</v>
      </c>
      <c r="AN25" s="189">
        <f>AM25*(0.0000000000000028)*s_RadSpec!$AY25*s_RadSpec!$AF25</f>
        <v>4.9574400068995074E-11</v>
      </c>
      <c r="AO25" s="40">
        <f t="shared" si="3"/>
        <v>501.30208333333326</v>
      </c>
      <c r="AP25" s="40">
        <f t="shared" si="4"/>
        <v>7.8481735159817351E-2</v>
      </c>
      <c r="AQ25" s="45"/>
      <c r="AR25" s="15" t="str">
        <f>IFERROR((s_DL/(s_RadSpec!I25*s_IFW_rec_adj)),".")</f>
        <v>.</v>
      </c>
      <c r="AS25" s="15">
        <f>IFERROR((s_DL/(s_RadSpec!M25*(1/8760)*s_DFA_rec_adj)),".")</f>
        <v>45347974.484240822</v>
      </c>
      <c r="AT25" s="2" t="str">
        <f>IFERROR(BG25/(s_RadSpec!AI25*s_Q_w_game*(1/1000)),".")</f>
        <v>.</v>
      </c>
      <c r="AU25" s="2" t="str">
        <f>IFERROR(BG25/(s_RadSpec!AL25*s_Q_w_fowl*(1/1000)),".")</f>
        <v>.</v>
      </c>
      <c r="AV25" s="233">
        <f t="shared" si="5"/>
        <v>0</v>
      </c>
      <c r="AW25" s="233">
        <f t="shared" si="6"/>
        <v>2.2051701567123282E-8</v>
      </c>
      <c r="AX25" s="233">
        <f t="shared" si="7"/>
        <v>0</v>
      </c>
      <c r="AY25" s="233">
        <f t="shared" si="8"/>
        <v>0</v>
      </c>
      <c r="AZ25" s="2">
        <f t="shared" si="19"/>
        <v>45347974.484240822</v>
      </c>
      <c r="BA25" s="189">
        <f>AZ25*(0.0000000000000028)*s_RadSpec!$AY25*s_RadSpec!$AF25</f>
        <v>2.9528210586797615E-7</v>
      </c>
      <c r="BB25" s="40">
        <f t="shared" si="9"/>
        <v>2200</v>
      </c>
      <c r="BC25" s="40">
        <f t="shared" si="10"/>
        <v>0.12557077625570776</v>
      </c>
      <c r="BD25" s="19">
        <f>IFERROR(s_C*s_RadSpec!AI25*s_Q_w_game*(1/1000)*s_EF_rec*1*s_IRGL_rec*s_CF_game,".")</f>
        <v>0</v>
      </c>
      <c r="BE25" s="19">
        <f>IFERROR(s_C*s_RadSpec!AL25*s_Q_w_fowl*(1/1000)*s_EF_rec*1*s_IRGL_rec*s_CF_fowl,0)</f>
        <v>0</v>
      </c>
      <c r="BF25" s="18"/>
      <c r="BG25" s="2" t="str">
        <f>IFERROR(s_DL/(s_RadSpec!F25*s_EF_rec*1*s_IRGL_rec*s_CF_game),".")</f>
        <v>.</v>
      </c>
      <c r="BH25" s="2" t="str">
        <f>IFERROR(s_DL/(s_RadSpec!F25*s_EF_rec*1*s_IRGF_rec*s_CF_fowl),".")</f>
        <v>.</v>
      </c>
      <c r="BI25" s="189">
        <f>IFERROR(BG25*(0.0000000000028)*s_RadSpec!$AY25*s_RadSpec!$AF25,0)</f>
        <v>0</v>
      </c>
      <c r="BJ25" s="189">
        <f>IFERROR(BH25*(0.0000000000028)*s_RadSpec!$AY25*s_RadSpec!$AF25,0)</f>
        <v>0</v>
      </c>
      <c r="BK25" s="19">
        <f t="shared" si="11"/>
        <v>275</v>
      </c>
      <c r="BL25" s="19">
        <f t="shared" si="12"/>
        <v>275</v>
      </c>
    </row>
    <row r="26" spans="1:64" customFormat="1" x14ac:dyDescent="0.25">
      <c r="A26" s="44" t="s">
        <v>24</v>
      </c>
      <c r="B26" s="42" t="s">
        <v>1057</v>
      </c>
      <c r="C26" s="42"/>
      <c r="D26" s="15">
        <f>IFERROR(((s_DL/(s_RadSpec!E26*s_IFS_rec_adj*(1/1000)))*1),".")</f>
        <v>733.54305329226952</v>
      </c>
      <c r="E26" s="15">
        <f>IFERROR(IF(A26="H-3",(s_DL/((s_RadSpec!H26*s_IFA_rec_adj*(1/17)*1000))*1),(s_DL/((s_RadSpec!H26*s_IFA_rec_adj*(1/s_PEF_wind)*1000))*1)),".")</f>
        <v>55306.815557442133</v>
      </c>
      <c r="F26" s="2">
        <f>IFERROR((s_DL/(s_RadSpec!G26*s_EF_rec*(1/365)*1*s_RadSpec!R26*s_ET_rec*(1/24)*s_RadSpec!W26)),".")</f>
        <v>48492.40536312716</v>
      </c>
      <c r="G26" s="2">
        <f>IFERROR((BG26/(s_RadSpec!AI26*((s_Q_p_game*s_f_p_game*s_f_s_game*(s_RadSpec!BD26+s_R_es_past))+(s_Q_s_game*s_f_p_game)))),".")</f>
        <v>21873.759927333755</v>
      </c>
      <c r="H26" s="2" t="str">
        <f>IFERROR((BG26/(s_RadSpec!AL26*((s_Q_p_fowl*s_f_p_fowl*s_f_s_fowl*(s_RadSpec!BD26+s_R_es_past))+(s_Q_s_fowl*s_f_p_fowl)))),".")</f>
        <v>.</v>
      </c>
      <c r="I26" s="233">
        <f t="shared" si="13"/>
        <v>1.3632465000000002E-3</v>
      </c>
      <c r="J26" s="233">
        <f t="shared" si="14"/>
        <v>1.8080954217322301E-5</v>
      </c>
      <c r="K26" s="233">
        <f t="shared" si="15"/>
        <v>2.0621785875781363E-5</v>
      </c>
      <c r="L26" s="233">
        <f t="shared" si="16"/>
        <v>4.5716877360000014E-5</v>
      </c>
      <c r="M26" s="233">
        <f t="shared" si="17"/>
        <v>0</v>
      </c>
      <c r="N26" s="2">
        <f t="shared" si="18"/>
        <v>690.76701315584546</v>
      </c>
      <c r="O26" s="189">
        <f>IFERROR(N26*(0.0000000000028)*s_RadSpec!$AY26*s_RadSpec!$AF26,0)</f>
        <v>3.2510313968527765E-3</v>
      </c>
      <c r="P26" s="40">
        <f t="shared" si="1"/>
        <v>15.125</v>
      </c>
      <c r="Q26" s="40">
        <f t="shared" si="2"/>
        <v>1.6181272791589674E-3</v>
      </c>
      <c r="R26" s="40">
        <f>IFERROR((s_C*s_EF_rec*(1/365)*1*s_RadSpec!R26*s_ET_rec*(1/24)*s_RadSpec!W26),".")</f>
        <v>1.792126612581461E-3</v>
      </c>
      <c r="S26" s="19">
        <f>IFERROR((s_C*s_IRGL_rec*s_EF_rec*1*s_CF_game*s_RadSpec!AI26)*((s_Q_p_game*s_f_p_game*s_f_s_game*(s_RadSpec!BD26+s_R_es_past))+(s_Q_s_game*s_f_p_game)),".")</f>
        <v>0.50722137931034483</v>
      </c>
      <c r="T26" s="19">
        <f>IFERROR((s_C*s_IRGF_rec*s_EF_rec*1*s_CF_fowl*s_RadSpec!AL26)*((s_Q_p_fowl*s_f_p_fowl*s_f_s_fowl*(s_RadSpec!BD26+s_R_es_past))+(s_Q_s_fowl*s_f_p_fowl)),0)</f>
        <v>0</v>
      </c>
      <c r="U26" s="18"/>
      <c r="V26" s="15">
        <f>IFERROR((s_DL/(s_RadSpec!G26*s_EF_rec*(1/365)*1*s_RadSpec!R26*s_ET_rec*(1/24)*s_RadSpec!W26)),".")</f>
        <v>48492.40536312716</v>
      </c>
      <c r="W26" s="15">
        <f>IFERROR((s_DL/(s_RadSpec!N26*s_EF_rec*(1/365)*1*s_RadSpec!S26*s_ET_rec*(1/24)*s_RadSpec!X26)),".")</f>
        <v>297046.02457336063</v>
      </c>
      <c r="X26" s="15">
        <f>IFERROR((s_DL/(s_RadSpec!O26*s_EF_rec*(1/365)*1*s_RadSpec!T26*s_ET_rec*(1/24)*s_RadSpec!Y26)),".")</f>
        <v>84228.180249818906</v>
      </c>
      <c r="Y26" s="15">
        <f>IFERROR((s_DL/(s_RadSpec!P26*s_EF_rec*(1/365)*1*s_RadSpec!U26*s_ET_rec*(1/24)*s_RadSpec!Z26)),".")</f>
        <v>55457.148764987629</v>
      </c>
      <c r="Z26" s="15">
        <f>IFERROR((s_DL/(s_RadSpec!L26*s_EF_rec*(1/365)*1*s_RadSpec!Q26*s_ET_rec*(1/24)*s_RadSpec!V26)),".")</f>
        <v>1638538.3730381432</v>
      </c>
      <c r="AA26" s="189">
        <f>IFERROR(V26*(0.0000000000028)*s_RadSpec!$AY26*s_RadSpec!$AF26,0)</f>
        <v>0.2282250445402646</v>
      </c>
      <c r="AB26" s="189">
        <f>IFERROR(W26*(0.0000000000028)*s_RadSpec!$AY26*s_RadSpec!$AF26,0)</f>
        <v>1.3980197864202613</v>
      </c>
      <c r="AC26" s="189">
        <f>IFERROR(X26*(0.0000000000028)*s_RadSpec!$AY26*s_RadSpec!$AF26,0)</f>
        <v>0.39641218135318973</v>
      </c>
      <c r="AD26" s="189">
        <f>IFERROR(Y26*(0.0000000000028)*s_RadSpec!$AY26*s_RadSpec!$AF26,0)</f>
        <v>0.26100396860472791</v>
      </c>
      <c r="AE26" s="189">
        <f>IFERROR(Z26*(0.0000000000028)*s_RadSpec!$AY26*s_RadSpec!$AF26,0)</f>
        <v>7.7116301071737023</v>
      </c>
      <c r="AF26" s="40">
        <f>IFERROR((s_C*s_EF_rec*(1/365)*1*s_RadSpec!R26*s_ET_rec*(1/24)*s_RadSpec!W26),".")</f>
        <v>1.792126612581461E-3</v>
      </c>
      <c r="AG26" s="40">
        <f>IFERROR((s_C*s_EF_rec*(1/365)*1*s_RadSpec!S26*s_ET_rec*(1/24)*s_RadSpec!X26),".")</f>
        <v>9.815822733202867E-4</v>
      </c>
      <c r="AH26" s="40">
        <f>IFERROR((s_C*s_EF_rec*(1/365)*1*s_RadSpec!T26*s_ET_rec*(1/24)*s_RadSpec!Y26),".")</f>
        <v>1.3580628124194264E-3</v>
      </c>
      <c r="AI26" s="40">
        <f>IFERROR((s_C*s_EF_rec*(1/365)*1*s_RadSpec!U26*s_ET_rec*(1/24)*s_RadSpec!Z26),".")</f>
        <v>1.5876764813940068E-3</v>
      </c>
      <c r="AJ26" s="40">
        <f>IFERROR((s_C*s_EF_rec*(1/365)*1*s_RadSpec!Q26*s_ET_rec*(1/24)*s_RadSpec!V26),".")</f>
        <v>1.6840972953986646E-4</v>
      </c>
      <c r="AK26" s="15">
        <f>IFERROR((s_DL/(s_RadSpec!H26*s_IFA_rec_adj)),".")</f>
        <v>0.17852203282666859</v>
      </c>
      <c r="AL26" s="15">
        <f>IFERROR((s_DL/(s_RadSpec!K26*s_EF_rec*(1/365)*1*s_ET_rec*(1/24)*s_GSF_a)),".")</f>
        <v>821727.15209997806</v>
      </c>
      <c r="AM26" s="15">
        <f>IFERROR(IF(AND(AK26&lt;&gt;".",AL26&lt;&gt;"."),1/((1/AK26)+(1/AL26)),IF(AND(AK26&lt;&gt;".",AL26="."),1/((1/AK26)),IF(AND(AK26=".",AL26&lt;&gt;"."),1/((1/AL26)),IF(AND(AK26=".",AL26="."),".")))),".")</f>
        <v>0.17852199404237237</v>
      </c>
      <c r="AN26" s="189">
        <f>AM26*(0.0000000000000028)*s_RadSpec!$AY26*s_RadSpec!$AF26</f>
        <v>8.4019734093697374E-10</v>
      </c>
      <c r="AO26" s="40">
        <f t="shared" si="3"/>
        <v>501.30208333333326</v>
      </c>
      <c r="AP26" s="40">
        <f t="shared" si="4"/>
        <v>7.8481735159817351E-2</v>
      </c>
      <c r="AQ26" s="45"/>
      <c r="AR26" s="15">
        <f>IFERROR((s_DL/(s_RadSpec!I26*s_IFW_rec_adj)),".")</f>
        <v>5.0431084913843529</v>
      </c>
      <c r="AS26" s="15">
        <f>IFERROR((s_DL/(s_RadSpec!M26*(1/8760)*s_DFA_rec_adj)),".")</f>
        <v>230416.73521722358</v>
      </c>
      <c r="AT26" s="2">
        <f>IFERROR(BG26/(s_RadSpec!AI26*s_Q_w_game*(1/1000)),".")</f>
        <v>87706234.632771343</v>
      </c>
      <c r="AU26" s="2" t="str">
        <f>IFERROR(BG26/(s_RadSpec!AL26*s_Q_w_fowl*(1/1000)),".")</f>
        <v>.</v>
      </c>
      <c r="AV26" s="233">
        <f t="shared" si="5"/>
        <v>0.19829040000000003</v>
      </c>
      <c r="AW26" s="233">
        <f t="shared" si="6"/>
        <v>4.3399625424657536E-6</v>
      </c>
      <c r="AX26" s="233">
        <f t="shared" si="7"/>
        <v>1.1401698000000003E-8</v>
      </c>
      <c r="AY26" s="233">
        <f t="shared" si="8"/>
        <v>0</v>
      </c>
      <c r="AZ26" s="2">
        <f t="shared" si="19"/>
        <v>5.0429978258130292</v>
      </c>
      <c r="BA26" s="189">
        <f>AZ26*(0.0000000000000028)*s_RadSpec!$AY26*s_RadSpec!$AF26</f>
        <v>2.3734405311389051E-8</v>
      </c>
      <c r="BB26" s="40">
        <f t="shared" si="9"/>
        <v>2200</v>
      </c>
      <c r="BC26" s="40">
        <f t="shared" si="10"/>
        <v>0.12557077625570776</v>
      </c>
      <c r="BD26" s="19">
        <f>IFERROR(s_C*s_RadSpec!AI26*s_Q_w_game*(1/1000)*s_EF_rec*1*s_IRGL_rec*s_CF_game,".")</f>
        <v>1.2650000000000001E-4</v>
      </c>
      <c r="BE26" s="19">
        <f>IFERROR(s_C*s_RadSpec!AL26*s_Q_w_fowl*(1/1000)*s_EF_rec*1*s_IRGL_rec*s_CF_fowl,0)</f>
        <v>0</v>
      </c>
      <c r="BF26" s="18"/>
      <c r="BG26" s="2">
        <f>IFERROR(s_DL/(s_RadSpec!F26*s_EF_rec*1*s_IRGL_rec*s_CF_game),".")</f>
        <v>40.344867931074823</v>
      </c>
      <c r="BH26" s="2">
        <f>IFERROR(s_DL/(s_RadSpec!F26*s_EF_rec*1*s_IRGF_rec*s_CF_fowl),".")</f>
        <v>40.344867931074823</v>
      </c>
      <c r="BI26" s="189">
        <f>IFERROR(BG26*(0.0000000000028)*s_RadSpec!$AY26*s_RadSpec!$AF26,0)</f>
        <v>1.8987940918975402E-4</v>
      </c>
      <c r="BJ26" s="189">
        <f>IFERROR(BH26*(0.0000000000028)*s_RadSpec!$AY26*s_RadSpec!$AF26,0)</f>
        <v>1.8987940918975402E-4</v>
      </c>
      <c r="BK26" s="19">
        <f t="shared" si="11"/>
        <v>275</v>
      </c>
      <c r="BL26" s="19">
        <f t="shared" si="12"/>
        <v>275</v>
      </c>
    </row>
    <row r="27" spans="1:64" customFormat="1" x14ac:dyDescent="0.25">
      <c r="A27" s="44" t="s">
        <v>25</v>
      </c>
      <c r="B27" s="42" t="s">
        <v>1057</v>
      </c>
      <c r="C27" s="238"/>
      <c r="D27" s="15" t="str">
        <f>IFERROR(((s_DL/(s_RadSpec!E27*s_IFS_rec_adj*(1/1000)))*1),".")</f>
        <v>.</v>
      </c>
      <c r="E27" s="15" t="str">
        <f>IFERROR(IF(A27="H-3",(s_DL/((s_RadSpec!H27*s_IFA_rec_adj*(1/17)*1000))*1),(s_DL/((s_RadSpec!H27*s_IFA_rec_adj*(1/s_PEF_wind)*1000))*1)),".")</f>
        <v>.</v>
      </c>
      <c r="F27" s="2">
        <f>IFERROR((s_DL/(s_RadSpec!G27*s_EF_rec*(1/365)*1*s_RadSpec!R27*s_ET_rec*(1/24)*s_RadSpec!W27)),".")</f>
        <v>230034.01285956643</v>
      </c>
      <c r="G27" s="2" t="str">
        <f>IFERROR((BG27/(s_RadSpec!AI27*((s_Q_p_game*s_f_p_game*s_f_s_game*(s_RadSpec!BD27+s_R_es_past))+(s_Q_s_game*s_f_p_game)))),".")</f>
        <v>.</v>
      </c>
      <c r="H27" s="2" t="str">
        <f>IFERROR((BG27/(s_RadSpec!AL27*((s_Q_p_fowl*s_f_p_fowl*s_f_s_fowl*(s_RadSpec!BD27+s_R_es_past))+(s_Q_s_fowl*s_f_p_fowl)))),".")</f>
        <v>.</v>
      </c>
      <c r="I27" s="233">
        <f t="shared" si="13"/>
        <v>0</v>
      </c>
      <c r="J27" s="233">
        <f t="shared" si="14"/>
        <v>0</v>
      </c>
      <c r="K27" s="233">
        <f t="shared" si="15"/>
        <v>4.3471832168162473E-6</v>
      </c>
      <c r="L27" s="233">
        <f t="shared" si="16"/>
        <v>0</v>
      </c>
      <c r="M27" s="233">
        <f t="shared" si="17"/>
        <v>0</v>
      </c>
      <c r="N27" s="2">
        <f t="shared" si="18"/>
        <v>230034.01285956643</v>
      </c>
      <c r="O27" s="189">
        <f>IFERROR(N27*(0.0000000000028)*s_RadSpec!$AY27*s_RadSpec!$AF27,0)</f>
        <v>1.0602572263947328E-9</v>
      </c>
      <c r="P27" s="40">
        <f t="shared" si="1"/>
        <v>15.125</v>
      </c>
      <c r="Q27" s="40">
        <f t="shared" si="2"/>
        <v>1.6181272791589674E-3</v>
      </c>
      <c r="R27" s="40">
        <f>IFERROR((s_C*s_EF_rec*(1/365)*1*s_RadSpec!R27*s_ET_rec*(1/24)*s_RadSpec!W27),".")</f>
        <v>8.5057963312864075E-3</v>
      </c>
      <c r="S27" s="19">
        <f>IFERROR((s_C*s_IRGL_rec*s_EF_rec*1*s_CF_game*s_RadSpec!AI27)*((s_Q_p_game*s_f_p_game*s_f_s_game*(s_RadSpec!BD27+s_R_es_past))+(s_Q_s_game*s_f_p_game)),".")</f>
        <v>88.704000000000008</v>
      </c>
      <c r="T27" s="19">
        <f>IFERROR((s_C*s_IRGF_rec*s_EF_rec*1*s_CF_fowl*s_RadSpec!AL27)*((s_Q_p_fowl*s_f_p_fowl*s_f_s_fowl*(s_RadSpec!BD27+s_R_es_past))+(s_Q_s_fowl*s_f_p_fowl)),0)</f>
        <v>0</v>
      </c>
      <c r="U27" s="18"/>
      <c r="V27" s="15">
        <f>IFERROR((s_DL/(s_RadSpec!G27*s_EF_rec*(1/365)*1*s_RadSpec!R27*s_ET_rec*(1/24)*s_RadSpec!W27)),".")</f>
        <v>230034.01285956643</v>
      </c>
      <c r="W27" s="15">
        <f>IFERROR((s_DL/(s_RadSpec!N27*s_EF_rec*(1/365)*1*s_RadSpec!S27*s_ET_rec*(1/24)*s_RadSpec!X27)),".")</f>
        <v>1149524.5467349922</v>
      </c>
      <c r="X27" s="15">
        <f>IFERROR((s_DL/(s_RadSpec!O27*s_EF_rec*(1/365)*1*s_RadSpec!T27*s_ET_rec*(1/24)*s_RadSpec!Y27)),".")</f>
        <v>505523.78945227613</v>
      </c>
      <c r="Y27" s="15">
        <f>IFERROR((s_DL/(s_RadSpec!P27*s_EF_rec*(1/365)*1*s_RadSpec!U27*s_ET_rec*(1/24)*s_RadSpec!Z27)),".")</f>
        <v>312062.89266086958</v>
      </c>
      <c r="Z27" s="15">
        <f>IFERROR((s_DL/(s_RadSpec!L27*s_EF_rec*(1/365)*1*s_RadSpec!Q27*s_ET_rec*(1/24)*s_RadSpec!V27)),".")</f>
        <v>381170.7160228336</v>
      </c>
      <c r="AA27" s="189">
        <f>IFERROR(V27*(0.0000000000028)*s_RadSpec!$AY27*s_RadSpec!$AF27,0)</f>
        <v>1.0602572263947328E-9</v>
      </c>
      <c r="AB27" s="189">
        <f>IFERROR(W27*(0.0000000000028)*s_RadSpec!$AY27*s_RadSpec!$AF27,0)</f>
        <v>5.2983108560470405E-9</v>
      </c>
      <c r="AC27" s="189">
        <f>IFERROR(X27*(0.0000000000028)*s_RadSpec!$AY27*s_RadSpec!$AF27,0)</f>
        <v>2.3300260870919074E-9</v>
      </c>
      <c r="AD27" s="189">
        <f>IFERROR(Y27*(0.0000000000028)*s_RadSpec!$AY27*s_RadSpec!$AF27,0)</f>
        <v>1.4383391956706936E-9</v>
      </c>
      <c r="AE27" s="189">
        <f>IFERROR(Z27*(0.0000000000028)*s_RadSpec!$AY27*s_RadSpec!$AF27,0)</f>
        <v>1.756866304810267E-9</v>
      </c>
      <c r="AF27" s="40">
        <f>IFERROR((s_C*s_EF_rec*(1/365)*1*s_RadSpec!R27*s_ET_rec*(1/24)*s_RadSpec!W27),".")</f>
        <v>8.5057963312864075E-3</v>
      </c>
      <c r="AG27" s="40">
        <f>IFERROR((s_C*s_EF_rec*(1/365)*1*s_RadSpec!S27*s_ET_rec*(1/24)*s_RadSpec!X27),".")</f>
        <v>2.8676018616087097E-3</v>
      </c>
      <c r="AH27" s="40">
        <f>IFERROR((s_C*s_EF_rec*(1/365)*1*s_RadSpec!T27*s_ET_rec*(1/24)*s_RadSpec!Y27),".")</f>
        <v>4.6774064232372745E-3</v>
      </c>
      <c r="AI27" s="40">
        <f>IFERROR((s_C*s_EF_rec*(1/365)*1*s_RadSpec!U27*s_ET_rec*(1/24)*s_RadSpec!Z27),".")</f>
        <v>6.4297660765484897E-3</v>
      </c>
      <c r="AJ27" s="40">
        <f>IFERROR((s_C*s_EF_rec*(1/365)*1*s_RadSpec!Q27*s_ET_rec*(1/24)*s_RadSpec!V27),".")</f>
        <v>9.1675765998279349E-4</v>
      </c>
      <c r="AK27" s="15" t="str">
        <f>IFERROR((s_DL/(s_RadSpec!H27*s_IFA_rec_adj)),".")</f>
        <v>.</v>
      </c>
      <c r="AL27" s="15">
        <f>IFERROR((s_DL/(s_RadSpec!K27*s_EF_rec*(1/365)*1*s_ET_rec*(1/24)*s_GSF_a)),".")</f>
        <v>6871874.4205842</v>
      </c>
      <c r="AM27" s="15">
        <f>IFERROR(IF(AND(AK27&lt;&gt;".",AL27&lt;&gt;"."),1/((1/AK27)+(1/AL27)),IF(AND(AK27&lt;&gt;".",AL27="."),1/((1/AK27)),IF(AND(AK27=".",AL27&lt;&gt;"."),1/((1/AL27)),IF(AND(AK27=".",AL27="."),".")))),".")</f>
        <v>6871874.4205842</v>
      </c>
      <c r="AN27" s="189">
        <f>AM27*(0.0000000000000028)*s_RadSpec!$AY27*s_RadSpec!$AF27</f>
        <v>3.1673379178710941E-11</v>
      </c>
      <c r="AO27" s="40">
        <f t="shared" si="3"/>
        <v>501.30208333333326</v>
      </c>
      <c r="AP27" s="40">
        <f t="shared" si="4"/>
        <v>7.8481735159817351E-2</v>
      </c>
      <c r="AQ27" s="45"/>
      <c r="AR27" s="15" t="str">
        <f>IFERROR((s_DL/(s_RadSpec!I27*s_IFW_rec_adj)),".")</f>
        <v>.</v>
      </c>
      <c r="AS27" s="15">
        <f>IFERROR((s_DL/(s_RadSpec!M27*(1/8760)*s_DFA_rec_adj)),".")</f>
        <v>3589650.1907525365</v>
      </c>
      <c r="AT27" s="2" t="str">
        <f>IFERROR(BG27/(s_RadSpec!AI27*s_Q_w_game*(1/1000)),".")</f>
        <v>.</v>
      </c>
      <c r="AU27" s="2" t="str">
        <f>IFERROR(BG27/(s_RadSpec!AL27*s_Q_w_fowl*(1/1000)),".")</f>
        <v>.</v>
      </c>
      <c r="AV27" s="233">
        <f t="shared" si="5"/>
        <v>0</v>
      </c>
      <c r="AW27" s="233">
        <f t="shared" si="6"/>
        <v>2.7857867671232873E-7</v>
      </c>
      <c r="AX27" s="233">
        <f t="shared" si="7"/>
        <v>0</v>
      </c>
      <c r="AY27" s="233">
        <f t="shared" si="8"/>
        <v>0</v>
      </c>
      <c r="AZ27" s="2">
        <f t="shared" si="19"/>
        <v>3589650.1907525365</v>
      </c>
      <c r="BA27" s="189">
        <f>AZ27*(0.0000000000000028)*s_RadSpec!$AY27*s_RadSpec!$AF27</f>
        <v>1.6545173070984529E-11</v>
      </c>
      <c r="BB27" s="40">
        <f t="shared" si="9"/>
        <v>2200</v>
      </c>
      <c r="BC27" s="40">
        <f t="shared" si="10"/>
        <v>0.12557077625570776</v>
      </c>
      <c r="BD27" s="19">
        <f>IFERROR(s_C*s_RadSpec!AI27*s_Q_w_game*(1/1000)*s_EF_rec*1*s_IRGL_rec*s_CF_game,".")</f>
        <v>2.2000000000000002E-2</v>
      </c>
      <c r="BE27" s="19">
        <f>IFERROR(s_C*s_RadSpec!AL27*s_Q_w_fowl*(1/1000)*s_EF_rec*1*s_IRGL_rec*s_CF_fowl,0)</f>
        <v>0</v>
      </c>
      <c r="BF27" s="18"/>
      <c r="BG27" s="2" t="str">
        <f>IFERROR(s_DL/(s_RadSpec!F27*s_EF_rec*1*s_IRGL_rec*s_CF_game),".")</f>
        <v>.</v>
      </c>
      <c r="BH27" s="2" t="str">
        <f>IFERROR(s_DL/(s_RadSpec!F27*s_EF_rec*1*s_IRGF_rec*s_CF_fowl),".")</f>
        <v>.</v>
      </c>
      <c r="BI27" s="189">
        <f>IFERROR(BG27*(0.0000000000028)*s_RadSpec!$AY27*s_RadSpec!$AF27,0)</f>
        <v>0</v>
      </c>
      <c r="BJ27" s="189">
        <f>IFERROR(BH27*(0.0000000000028)*s_RadSpec!$AY27*s_RadSpec!$AF27,0)</f>
        <v>0</v>
      </c>
      <c r="BK27" s="19">
        <f t="shared" si="11"/>
        <v>275</v>
      </c>
      <c r="BL27" s="19">
        <f t="shared" si="12"/>
        <v>275</v>
      </c>
    </row>
    <row r="28" spans="1:64" customFormat="1" x14ac:dyDescent="0.25">
      <c r="A28" s="44" t="s">
        <v>26</v>
      </c>
      <c r="B28" s="42" t="s">
        <v>1057</v>
      </c>
      <c r="C28" s="42"/>
      <c r="D28" s="15" t="str">
        <f>IFERROR(((s_DL/(s_RadSpec!E28*s_IFS_rec_adj*(1/1000)))*1),".")</f>
        <v>.</v>
      </c>
      <c r="E28" s="15" t="str">
        <f>IFERROR(IF(A28="H-3",(s_DL/((s_RadSpec!H28*s_IFA_rec_adj*(1/17)*1000))*1),(s_DL/((s_RadSpec!H28*s_IFA_rec_adj*(1/s_PEF_wind)*1000))*1)),".")</f>
        <v>.</v>
      </c>
      <c r="F28" s="2">
        <f>IFERROR((s_DL/(s_RadSpec!G28*s_EF_rec*(1/365)*1*s_RadSpec!R28*s_ET_rec*(1/24)*s_RadSpec!W28)),".")</f>
        <v>101.05343201422089</v>
      </c>
      <c r="G28" s="2" t="str">
        <f>IFERROR((BG28/(s_RadSpec!AI28*((s_Q_p_game*s_f_p_game*s_f_s_game*(s_RadSpec!BD28+s_R_es_past))+(s_Q_s_game*s_f_p_game)))),".")</f>
        <v>.</v>
      </c>
      <c r="H28" s="2" t="str">
        <f>IFERROR((BG28/(s_RadSpec!AL28*((s_Q_p_fowl*s_f_p_fowl*s_f_s_fowl*(s_RadSpec!BD28+s_R_es_past))+(s_Q_s_fowl*s_f_p_fowl)))),".")</f>
        <v>.</v>
      </c>
      <c r="I28" s="233">
        <f t="shared" si="13"/>
        <v>0</v>
      </c>
      <c r="J28" s="233">
        <f t="shared" si="14"/>
        <v>0</v>
      </c>
      <c r="K28" s="233">
        <f t="shared" si="15"/>
        <v>9.8957549493150672E-3</v>
      </c>
      <c r="L28" s="233">
        <f t="shared" si="16"/>
        <v>0</v>
      </c>
      <c r="M28" s="233">
        <f t="shared" si="17"/>
        <v>0</v>
      </c>
      <c r="N28" s="2">
        <f t="shared" si="18"/>
        <v>101.05343201422089</v>
      </c>
      <c r="O28" s="189">
        <f>IFERROR(N28*(0.0000000000028)*s_RadSpec!$AY28*s_RadSpec!$AF28,0)</f>
        <v>2.4313909483298035E-13</v>
      </c>
      <c r="P28" s="40">
        <f t="shared" si="1"/>
        <v>15.125</v>
      </c>
      <c r="Q28" s="40">
        <f t="shared" si="2"/>
        <v>1.6181272791589674E-3</v>
      </c>
      <c r="R28" s="40">
        <f>IFERROR((s_C*s_EF_rec*(1/365)*1*s_RadSpec!R28*s_ET_rec*(1/24)*s_RadSpec!W28),".")</f>
        <v>1.9221746575342463E-2</v>
      </c>
      <c r="S28" s="19">
        <f>IFERROR((s_C*s_IRGL_rec*s_EF_rec*1*s_CF_game*s_RadSpec!AI28)*((s_Q_p_game*s_f_p_game*s_f_s_game*(s_RadSpec!BD28+s_R_es_past))+(s_Q_s_game*s_f_p_game)),".")</f>
        <v>88.704000000000008</v>
      </c>
      <c r="T28" s="19">
        <f>IFERROR((s_C*s_IRGF_rec*s_EF_rec*1*s_CF_fowl*s_RadSpec!AL28)*((s_Q_p_fowl*s_f_p_fowl*s_f_s_fowl*(s_RadSpec!BD28+s_R_es_past))+(s_Q_s_fowl*s_f_p_fowl)),0)</f>
        <v>0</v>
      </c>
      <c r="U28" s="18"/>
      <c r="V28" s="15">
        <f>IFERROR((s_DL/(s_RadSpec!G28*s_EF_rec*(1/365)*1*s_RadSpec!R28*s_ET_rec*(1/24)*s_RadSpec!W28)),".")</f>
        <v>101.05343201422089</v>
      </c>
      <c r="W28" s="15">
        <f>IFERROR((s_DL/(s_RadSpec!N28*s_EF_rec*(1/365)*1*s_RadSpec!S28*s_ET_rec*(1/24)*s_RadSpec!X28)),".")</f>
        <v>1232.1891972020817</v>
      </c>
      <c r="X28" s="15">
        <f>IFERROR((s_DL/(s_RadSpec!O28*s_EF_rec*(1/365)*1*s_RadSpec!T28*s_ET_rec*(1/24)*s_RadSpec!Y28)),".")</f>
        <v>297.76900569926738</v>
      </c>
      <c r="Y28" s="15">
        <f>IFERROR((s_DL/(s_RadSpec!P28*s_EF_rec*(1/365)*1*s_RadSpec!U28*s_ET_rec*(1/24)*s_RadSpec!Z28)),".")</f>
        <v>161.18643574986064</v>
      </c>
      <c r="Z28" s="15">
        <f>IFERROR((s_DL/(s_RadSpec!L28*s_EF_rec*(1/365)*1*s_RadSpec!Q28*s_ET_rec*(1/24)*s_RadSpec!V28)),".")</f>
        <v>2159.0818497711934</v>
      </c>
      <c r="AA28" s="189">
        <f>IFERROR(V28*(0.0000000000028)*s_RadSpec!$AY28*s_RadSpec!$AF28,0)</f>
        <v>2.4313909483298035E-13</v>
      </c>
      <c r="AB28" s="189">
        <f>IFERROR(W28*(0.0000000000028)*s_RadSpec!$AY28*s_RadSpec!$AF28,0)</f>
        <v>2.9647025350760001E-12</v>
      </c>
      <c r="AC28" s="189">
        <f>IFERROR(X28*(0.0000000000028)*s_RadSpec!$AY28*s_RadSpec!$AF28,0)</f>
        <v>7.1644559785805168E-13</v>
      </c>
      <c r="AD28" s="189">
        <f>IFERROR(Y28*(0.0000000000028)*s_RadSpec!$AY28*s_RadSpec!$AF28,0)</f>
        <v>3.8782180185686617E-13</v>
      </c>
      <c r="AE28" s="189">
        <f>IFERROR(Z28*(0.0000000000028)*s_RadSpec!$AY28*s_RadSpec!$AF28,0)</f>
        <v>5.1948478756249428E-12</v>
      </c>
      <c r="AF28" s="40">
        <f>IFERROR((s_C*s_EF_rec*(1/365)*1*s_RadSpec!R28*s_ET_rec*(1/24)*s_RadSpec!W28),".")</f>
        <v>1.9221746575342463E-2</v>
      </c>
      <c r="AG28" s="40">
        <f>IFERROR((s_C*s_EF_rec*(1/365)*1*s_RadSpec!S28*s_ET_rec*(1/24)*s_RadSpec!X28),".")</f>
        <v>8.6201573762959127E-3</v>
      </c>
      <c r="AH28" s="40">
        <f>IFERROR((s_C*s_EF_rec*(1/365)*1*s_RadSpec!T28*s_ET_rec*(1/24)*s_RadSpec!Y28),".")</f>
        <v>1.2415810502283112E-2</v>
      </c>
      <c r="AI28" s="40">
        <f>IFERROR((s_C*s_EF_rec*(1/365)*1*s_RadSpec!U28*s_ET_rec*(1/24)*s_RadSpec!Z28),".")</f>
        <v>1.4340228814128398E-2</v>
      </c>
      <c r="AJ28" s="40">
        <f>IFERROR((s_C*s_EF_rec*(1/365)*1*s_RadSpec!Q28*s_ET_rec*(1/24)*s_RadSpec!V28),".")</f>
        <v>4.9034869240348663E-3</v>
      </c>
      <c r="AK28" s="15" t="str">
        <f>IFERROR((s_DL/(s_RadSpec!H28*s_IFA_rec_adj)),".")</f>
        <v>.</v>
      </c>
      <c r="AL28" s="15">
        <f>IFERROR((s_DL/(s_RadSpec!K28*s_EF_rec*(1/365)*1*s_ET_rec*(1/24)*s_GSF_a)),".")</f>
        <v>26746.413185999292</v>
      </c>
      <c r="AM28" s="15">
        <f t="shared" ref="AM28:AM29" si="23">IFERROR(IF(AND(AK28&lt;&gt;".",AL28&lt;&gt;"."),1/((1/AK28)+(1/AL28)),IF(AND(AK28&lt;&gt;".",AL28="."),1/((1/AK28)),IF(AND(AK28=".",AL28&lt;&gt;"."),1/((1/AL28)),IF(AND(AK28=".",AL28="."),".")))),".")</f>
        <v>26746.413185999296</v>
      </c>
      <c r="AN28" s="189">
        <f>AM28*(0.0000000000000028)*s_RadSpec!$AY28*s_RadSpec!$AF28</f>
        <v>6.4353071067963353E-14</v>
      </c>
      <c r="AO28" s="40">
        <f t="shared" si="3"/>
        <v>501.30208333333326</v>
      </c>
      <c r="AP28" s="40">
        <f t="shared" si="4"/>
        <v>7.8481735159817351E-2</v>
      </c>
      <c r="AQ28" s="45"/>
      <c r="AR28" s="15" t="str">
        <f>IFERROR((s_DL/(s_RadSpec!I28*s_IFW_rec_adj)),".")</f>
        <v>.</v>
      </c>
      <c r="AS28" s="15">
        <f>IFERROR((s_DL/(s_RadSpec!M28*(1/8760)*s_DFA_rec_adj)),".")</f>
        <v>7750.3810936702484</v>
      </c>
      <c r="AT28" s="2" t="str">
        <f>IFERROR(BG28/(s_RadSpec!AI28*s_Q_w_game*(1/1000)),".")</f>
        <v>.</v>
      </c>
      <c r="AU28" s="2" t="str">
        <f>IFERROR(BG28/(s_RadSpec!AL28*s_Q_w_fowl*(1/1000)),".")</f>
        <v>.</v>
      </c>
      <c r="AV28" s="233">
        <f t="shared" si="5"/>
        <v>0</v>
      </c>
      <c r="AW28" s="233">
        <f t="shared" si="6"/>
        <v>1.2902591342465753E-4</v>
      </c>
      <c r="AX28" s="233">
        <f t="shared" si="7"/>
        <v>0</v>
      </c>
      <c r="AY28" s="233">
        <f t="shared" si="8"/>
        <v>0</v>
      </c>
      <c r="AZ28" s="2">
        <f t="shared" si="19"/>
        <v>7750.3810936702484</v>
      </c>
      <c r="BA28" s="189">
        <f>AZ28*(0.0000000000000028)*s_RadSpec!$AY28*s_RadSpec!$AF28</f>
        <v>1.8647764911739373E-14</v>
      </c>
      <c r="BB28" s="40">
        <f t="shared" si="9"/>
        <v>2200</v>
      </c>
      <c r="BC28" s="40">
        <f t="shared" si="10"/>
        <v>0.12557077625570776</v>
      </c>
      <c r="BD28" s="19">
        <f>IFERROR(s_C*s_RadSpec!AI28*s_Q_w_game*(1/1000)*s_EF_rec*1*s_IRGL_rec*s_CF_game,".")</f>
        <v>2.2000000000000002E-2</v>
      </c>
      <c r="BE28" s="19">
        <f>IFERROR(s_C*s_RadSpec!AL28*s_Q_w_fowl*(1/1000)*s_EF_rec*1*s_IRGL_rec*s_CF_fowl,0)</f>
        <v>0</v>
      </c>
      <c r="BF28" s="18"/>
      <c r="BG28" s="2" t="str">
        <f>IFERROR(s_DL/(s_RadSpec!F28*s_EF_rec*1*s_IRGL_rec*s_CF_game),".")</f>
        <v>.</v>
      </c>
      <c r="BH28" s="2" t="str">
        <f>IFERROR(s_DL/(s_RadSpec!F28*s_EF_rec*1*s_IRGF_rec*s_CF_fowl),".")</f>
        <v>.</v>
      </c>
      <c r="BI28" s="189">
        <f>IFERROR(BG28*(0.0000000000028)*s_RadSpec!$AY28*s_RadSpec!$AF28,0)</f>
        <v>0</v>
      </c>
      <c r="BJ28" s="189">
        <f>IFERROR(BH28*(0.0000000000028)*s_RadSpec!$AY28*s_RadSpec!$AF28,0)</f>
        <v>0</v>
      </c>
      <c r="BK28" s="19">
        <f t="shared" si="11"/>
        <v>275</v>
      </c>
      <c r="BL28" s="19">
        <f t="shared" si="12"/>
        <v>275</v>
      </c>
    </row>
    <row r="29" spans="1:64" customFormat="1" x14ac:dyDescent="0.25">
      <c r="A29" s="44" t="s">
        <v>27</v>
      </c>
      <c r="B29" s="42" t="s">
        <v>1057</v>
      </c>
      <c r="C29" s="238"/>
      <c r="D29" s="15" t="str">
        <f>IFERROR(((s_DL/(s_RadSpec!E29*s_IFS_rec_adj*(1/1000)))*1),".")</f>
        <v>.</v>
      </c>
      <c r="E29" s="15" t="str">
        <f>IFERROR(IF(A29="H-3",(s_DL/((s_RadSpec!H29*s_IFA_rec_adj*(1/17)*1000))*1),(s_DL/((s_RadSpec!H29*s_IFA_rec_adj*(1/s_PEF_wind)*1000))*1)),".")</f>
        <v>.</v>
      </c>
      <c r="F29" s="2">
        <f>IFERROR((s_DL/(s_RadSpec!G29*s_EF_rec*(1/365)*1*s_RadSpec!R29*s_ET_rec*(1/24)*s_RadSpec!W29)),".")</f>
        <v>84.312212033816479</v>
      </c>
      <c r="G29" s="2" t="str">
        <f>IFERROR((BG29/(s_RadSpec!AI29*((s_Q_p_game*s_f_p_game*s_f_s_game*(s_RadSpec!BD29+s_R_es_past))+(s_Q_s_game*s_f_p_game)))),".")</f>
        <v>.</v>
      </c>
      <c r="H29" s="2" t="str">
        <f>IFERROR((BG29/(s_RadSpec!AL29*((s_Q_p_fowl*s_f_p_fowl*s_f_s_fowl*(s_RadSpec!BD29+s_R_es_past))+(s_Q_s_fowl*s_f_p_fowl)))),".")</f>
        <v>.</v>
      </c>
      <c r="I29" s="233">
        <f t="shared" si="13"/>
        <v>0</v>
      </c>
      <c r="J29" s="233">
        <f t="shared" si="14"/>
        <v>0</v>
      </c>
      <c r="K29" s="233">
        <f t="shared" si="15"/>
        <v>1.1860678018967331E-2</v>
      </c>
      <c r="L29" s="233">
        <f t="shared" si="16"/>
        <v>0</v>
      </c>
      <c r="M29" s="233">
        <f t="shared" si="17"/>
        <v>0</v>
      </c>
      <c r="N29" s="2">
        <f t="shared" si="18"/>
        <v>84.312212033816479</v>
      </c>
      <c r="O29" s="189">
        <f>IFERROR(N29*(0.0000000000028)*s_RadSpec!$AY29*s_RadSpec!$AF29,0)</f>
        <v>1.2261844535511679E-13</v>
      </c>
      <c r="P29" s="40">
        <f t="shared" si="1"/>
        <v>15.125</v>
      </c>
      <c r="Q29" s="40">
        <f t="shared" si="2"/>
        <v>1.6181272791589674E-3</v>
      </c>
      <c r="R29" s="40">
        <f>IFERROR((s_C*s_EF_rec*(1/365)*1*s_RadSpec!R29*s_ET_rec*(1/24)*s_RadSpec!W29),".")</f>
        <v>1.7676501580611161E-2</v>
      </c>
      <c r="S29" s="19">
        <f>IFERROR((s_C*s_IRGL_rec*s_EF_rec*1*s_CF_game*s_RadSpec!AI29)*((s_Q_p_game*s_f_p_game*s_f_s_game*(s_RadSpec!BD29+s_R_es_past))+(s_Q_s_game*s_f_p_game)),".")</f>
        <v>88.704000000000008</v>
      </c>
      <c r="T29" s="19">
        <f>IFERROR((s_C*s_IRGF_rec*s_EF_rec*1*s_CF_fowl*s_RadSpec!AL29)*((s_Q_p_fowl*s_f_p_fowl*s_f_s_fowl*(s_RadSpec!BD29+s_R_es_past))+(s_Q_s_fowl*s_f_p_fowl)),0)</f>
        <v>0</v>
      </c>
      <c r="U29" s="18"/>
      <c r="V29" s="15">
        <f>IFERROR((s_DL/(s_RadSpec!G29*s_EF_rec*(1/365)*1*s_RadSpec!R29*s_ET_rec*(1/24)*s_RadSpec!W29)),".")</f>
        <v>84.312212033816479</v>
      </c>
      <c r="W29" s="15">
        <f>IFERROR((s_DL/(s_RadSpec!N29*s_EF_rec*(1/365)*1*s_RadSpec!S29*s_ET_rec*(1/24)*s_RadSpec!X29)),".")</f>
        <v>921.22818096105061</v>
      </c>
      <c r="X29" s="15">
        <f>IFERROR((s_DL/(s_RadSpec!O29*s_EF_rec*(1/365)*1*s_RadSpec!T29*s_ET_rec*(1/24)*s_RadSpec!Y29)),".")</f>
        <v>228.51329564412825</v>
      </c>
      <c r="Y29" s="15">
        <f>IFERROR((s_DL/(s_RadSpec!P29*s_EF_rec*(1/365)*1*s_RadSpec!U29*s_ET_rec*(1/24)*s_RadSpec!Z29)),".")</f>
        <v>120.60478762409912</v>
      </c>
      <c r="Z29" s="15">
        <f>IFERROR((s_DL/(s_RadSpec!L29*s_EF_rec*(1/365)*1*s_RadSpec!Q29*s_ET_rec*(1/24)*s_RadSpec!V29)),".")</f>
        <v>1642.095223527401</v>
      </c>
      <c r="AA29" s="189">
        <f>IFERROR(V29*(0.0000000000028)*s_RadSpec!$AY29*s_RadSpec!$AF29,0)</f>
        <v>1.2261844535511679E-13</v>
      </c>
      <c r="AB29" s="189">
        <f>IFERROR(W29*(0.0000000000028)*s_RadSpec!$AY29*s_RadSpec!$AF29,0)</f>
        <v>1.3397770576990634E-12</v>
      </c>
      <c r="AC29" s="189">
        <f>IFERROR(X29*(0.0000000000028)*s_RadSpec!$AY29*s_RadSpec!$AF29,0)</f>
        <v>3.3233554640481692E-13</v>
      </c>
      <c r="AD29" s="189">
        <f>IFERROR(Y29*(0.0000000000028)*s_RadSpec!$AY29*s_RadSpec!$AF29,0)</f>
        <v>1.754001135081078E-13</v>
      </c>
      <c r="AE29" s="189">
        <f>IFERROR(Z29*(0.0000000000028)*s_RadSpec!$AY29*s_RadSpec!$AF29,0)</f>
        <v>2.3881613182350582E-12</v>
      </c>
      <c r="AF29" s="40">
        <f>IFERROR((s_C*s_EF_rec*(1/365)*1*s_RadSpec!R29*s_ET_rec*(1/24)*s_RadSpec!W29),".")</f>
        <v>1.7676501580611161E-2</v>
      </c>
      <c r="AG29" s="40">
        <f>IFERROR((s_C*s_EF_rec*(1/365)*1*s_RadSpec!S29*s_ET_rec*(1/24)*s_RadSpec!X29),".")</f>
        <v>8.8583344635833495E-3</v>
      </c>
      <c r="AH29" s="40">
        <f>IFERROR((s_C*s_EF_rec*(1/365)*1*s_RadSpec!T29*s_ET_rec*(1/24)*s_RadSpec!Y29),".")</f>
        <v>1.2434569551174966E-2</v>
      </c>
      <c r="AI29" s="40">
        <f>IFERROR((s_C*s_EF_rec*(1/365)*1*s_RadSpec!U29*s_ET_rec*(1/24)*s_RadSpec!Z29),".")</f>
        <v>1.4658944785598078E-2</v>
      </c>
      <c r="AJ29" s="40">
        <f>IFERROR((s_C*s_EF_rec*(1/365)*1*s_RadSpec!Q29*s_ET_rec*(1/24)*s_RadSpec!V29),".")</f>
        <v>4.9331376386170904E-3</v>
      </c>
      <c r="AK29" s="15" t="str">
        <f>IFERROR((s_DL/(s_RadSpec!H29*s_IFA_rec_adj)),".")</f>
        <v>.</v>
      </c>
      <c r="AL29" s="15">
        <f>IFERROR((s_DL/(s_RadSpec!K29*s_EF_rec*(1/365)*1*s_ET_rec*(1/24)*s_GSF_a)),".")</f>
        <v>20667.682916453996</v>
      </c>
      <c r="AM29" s="15">
        <f t="shared" si="23"/>
        <v>20667.682916453996</v>
      </c>
      <c r="AN29" s="189">
        <f>AM29*(0.0000000000000028)*s_RadSpec!$AY29*s_RadSpec!$AF29</f>
        <v>3.0057794561144309E-14</v>
      </c>
      <c r="AO29" s="40">
        <f t="shared" si="3"/>
        <v>501.30208333333326</v>
      </c>
      <c r="AP29" s="40">
        <f t="shared" si="4"/>
        <v>7.8481735159817351E-2</v>
      </c>
      <c r="AQ29" s="45"/>
      <c r="AR29" s="15" t="str">
        <f>IFERROR((s_DL/(s_RadSpec!I29*s_IFW_rec_adj)),".")</f>
        <v>.</v>
      </c>
      <c r="AS29" s="15">
        <f>IFERROR((s_DL/(s_RadSpec!M29*(1/8760)*s_DFA_rec_adj)),".")</f>
        <v>5982.7503179208934</v>
      </c>
      <c r="AT29" s="2" t="str">
        <f>IFERROR(BG29/(s_RadSpec!AI29*s_Q_w_game*(1/1000)),".")</f>
        <v>.</v>
      </c>
      <c r="AU29" s="2" t="str">
        <f>IFERROR(BG29/(s_RadSpec!AL29*s_Q_w_fowl*(1/1000)),".")</f>
        <v>.</v>
      </c>
      <c r="AV29" s="233">
        <f t="shared" si="5"/>
        <v>0</v>
      </c>
      <c r="AW29" s="233">
        <f t="shared" si="6"/>
        <v>1.6714720602739727E-4</v>
      </c>
      <c r="AX29" s="233">
        <f t="shared" si="7"/>
        <v>0</v>
      </c>
      <c r="AY29" s="233">
        <f t="shared" si="8"/>
        <v>0</v>
      </c>
      <c r="AZ29" s="2">
        <f t="shared" si="19"/>
        <v>5982.7503179208934</v>
      </c>
      <c r="BA29" s="189">
        <f>AZ29*(0.0000000000000028)*s_RadSpec!$AY29*s_RadSpec!$AF29</f>
        <v>8.7009405308575624E-15</v>
      </c>
      <c r="BB29" s="40">
        <f t="shared" si="9"/>
        <v>2200</v>
      </c>
      <c r="BC29" s="40">
        <f t="shared" si="10"/>
        <v>0.12557077625570776</v>
      </c>
      <c r="BD29" s="19">
        <f>IFERROR(s_C*s_RadSpec!AI29*s_Q_w_game*(1/1000)*s_EF_rec*1*s_IRGL_rec*s_CF_game,".")</f>
        <v>2.2000000000000002E-2</v>
      </c>
      <c r="BE29" s="19">
        <f>IFERROR(s_C*s_RadSpec!AL29*s_Q_w_fowl*(1/1000)*s_EF_rec*1*s_IRGL_rec*s_CF_fowl,0)</f>
        <v>0</v>
      </c>
      <c r="BF29" s="18"/>
      <c r="BG29" s="2" t="str">
        <f>IFERROR(s_DL/(s_RadSpec!F29*s_EF_rec*1*s_IRGL_rec*s_CF_game),".")</f>
        <v>.</v>
      </c>
      <c r="BH29" s="2" t="str">
        <f>IFERROR(s_DL/(s_RadSpec!F29*s_EF_rec*1*s_IRGF_rec*s_CF_fowl),".")</f>
        <v>.</v>
      </c>
      <c r="BI29" s="189">
        <f>IFERROR(BG29*(0.0000000000028)*s_RadSpec!$AY29*s_RadSpec!$AF29,0)</f>
        <v>0</v>
      </c>
      <c r="BJ29" s="189">
        <f>IFERROR(BH29*(0.0000000000028)*s_RadSpec!$AY29*s_RadSpec!$AF29,0)</f>
        <v>0</v>
      </c>
      <c r="BK29" s="19">
        <f t="shared" si="11"/>
        <v>275</v>
      </c>
      <c r="BL29" s="19">
        <f t="shared" si="12"/>
        <v>275</v>
      </c>
    </row>
    <row r="30" spans="1:64" customFormat="1" x14ac:dyDescent="0.25">
      <c r="A30" s="44" t="s">
        <v>28</v>
      </c>
      <c r="B30" s="42" t="s">
        <v>1057</v>
      </c>
      <c r="C30" s="42"/>
      <c r="D30" s="15">
        <f>IFERROR(((s_DL/(s_RadSpec!E30*s_IFS_rec_adj*(1/1000)))*1),".")</f>
        <v>7420.7262367938902</v>
      </c>
      <c r="E30" s="15">
        <f>IFERROR(IF(A30="H-3",(s_DL/((s_RadSpec!H30*s_IFA_rec_adj*(1/17)*1000))*1),(s_DL/((s_RadSpec!H30*s_IFA_rec_adj*(1/s_PEF_wind)*1000))*1)),".")</f>
        <v>405404.32762979425</v>
      </c>
      <c r="F30" s="2">
        <f>IFERROR((s_DL/(s_RadSpec!G30*s_EF_rec*(1/365)*1*s_RadSpec!R30*s_ET_rec*(1/24)*s_RadSpec!W30)),".")</f>
        <v>14441695.906155089</v>
      </c>
      <c r="G30" s="2">
        <f>IFERROR((BG30/(s_RadSpec!AI30*((s_Q_p_game*s_f_p_game*s_f_s_game*(s_RadSpec!BD30+s_R_es_past))+(s_Q_s_game*s_f_p_game)))),".")</f>
        <v>129888.44252811812</v>
      </c>
      <c r="H30" s="2">
        <f>IFERROR((BG30/(s_RadSpec!AL30*((s_Q_p_fowl*s_f_p_fowl*s_f_s_fowl*(s_RadSpec!BD30+s_R_es_past))+(s_Q_s_fowl*s_f_p_fowl)))),".")</f>
        <v>67.541990114621413</v>
      </c>
      <c r="I30" s="233">
        <f t="shared" si="13"/>
        <v>1.3475769999999999E-4</v>
      </c>
      <c r="J30" s="233">
        <f t="shared" si="14"/>
        <v>2.46667322434993E-6</v>
      </c>
      <c r="K30" s="233">
        <f t="shared" si="15"/>
        <v>6.9243945205479453E-8</v>
      </c>
      <c r="L30" s="233">
        <f t="shared" si="16"/>
        <v>7.6989143955862043E-6</v>
      </c>
      <c r="M30" s="233">
        <f t="shared" si="17"/>
        <v>1.480560460689655E-2</v>
      </c>
      <c r="N30" s="2">
        <f t="shared" si="18"/>
        <v>66.886960483164543</v>
      </c>
      <c r="O30" s="189">
        <f>IFERROR(N30*(0.0000000000028)*s_RadSpec!$AY30*s_RadSpec!$AF30,0)</f>
        <v>6.9470188406592749E-3</v>
      </c>
      <c r="P30" s="40">
        <f t="shared" si="1"/>
        <v>15.125</v>
      </c>
      <c r="Q30" s="40">
        <f t="shared" si="2"/>
        <v>1.6181272791589674E-3</v>
      </c>
      <c r="R30" s="40">
        <f>IFERROR((s_C*s_EF_rec*(1/365)*1*s_RadSpec!R30*s_ET_rec*(1/24)*s_RadSpec!W30),".")</f>
        <v>1.8835616438356165E-3</v>
      </c>
      <c r="S30" s="19">
        <f>IFERROR((s_C*s_IRGL_rec*s_EF_rec*1*s_CF_game*s_RadSpec!AI30)*((s_Q_p_game*s_f_p_game*s_f_s_game*(s_RadSpec!BD30+s_R_es_past))+(s_Q_s_game*s_f_p_game)),".")</f>
        <v>0.86411448275862057</v>
      </c>
      <c r="T30" s="19">
        <f>IFERROR((s_C*s_IRGF_rec*s_EF_rec*1*s_CF_fowl*s_RadSpec!AL30)*((s_Q_p_fowl*s_f_p_fowl*s_f_s_fowl*(s_RadSpec!BD30+s_R_es_past))+(s_Q_s_fowl*s_f_p_fowl)),0)</f>
        <v>1661.7586206896549</v>
      </c>
      <c r="U30" s="18"/>
      <c r="V30" s="15">
        <f>IFERROR((s_DL/(s_RadSpec!G30*s_EF_rec*(1/365)*1*s_RadSpec!R30*s_ET_rec*(1/24)*s_RadSpec!W30)),".")</f>
        <v>14441695.906155089</v>
      </c>
      <c r="W30" s="15">
        <f>IFERROR((s_DL/(s_RadSpec!N30*s_EF_rec*(1/365)*1*s_RadSpec!S30*s_ET_rec*(1/24)*s_RadSpec!X30)),".")</f>
        <v>240060106.37366581</v>
      </c>
      <c r="X30" s="15">
        <f>IFERROR((s_DL/(s_RadSpec!O30*s_EF_rec*(1/365)*1*s_RadSpec!T30*s_ET_rec*(1/24)*s_RadSpec!Y30)),".")</f>
        <v>35737546.687517479</v>
      </c>
      <c r="Y30" s="15">
        <f>IFERROR((s_DL/(s_RadSpec!P30*s_EF_rec*(1/365)*1*s_RadSpec!U30*s_ET_rec*(1/24)*s_RadSpec!Z30)),".")</f>
        <v>19615618.747881718</v>
      </c>
      <c r="Z30" s="15">
        <f>IFERROR((s_DL/(s_RadSpec!L30*s_EF_rec*(1/365)*1*s_RadSpec!Q30*s_ET_rec*(1/24)*s_RadSpec!V30)),".")</f>
        <v>2862331650.1341968</v>
      </c>
      <c r="AA30" s="189">
        <f>IFERROR(V30*(0.0000000000028)*s_RadSpec!$AY30*s_RadSpec!$AF30,0)</f>
        <v>1499.9445755407521</v>
      </c>
      <c r="AB30" s="189">
        <f>IFERROR(W30*(0.0000000000028)*s_RadSpec!$AY30*s_RadSpec!$AF30,0)</f>
        <v>24933.14197299019</v>
      </c>
      <c r="AC30" s="189">
        <f>IFERROR(X30*(0.0000000000028)*s_RadSpec!$AY30*s_RadSpec!$AF30,0)</f>
        <v>3711.7759330626754</v>
      </c>
      <c r="AD30" s="189">
        <f>IFERROR(Y30*(0.0000000000028)*s_RadSpec!$AY30*s_RadSpec!$AF30,0)</f>
        <v>2037.3189636419909</v>
      </c>
      <c r="AE30" s="189">
        <f>IFERROR(Z30*(0.0000000000028)*s_RadSpec!$AY30*s_RadSpec!$AF30,0)</f>
        <v>297287.71883276996</v>
      </c>
      <c r="AF30" s="40">
        <f>IFERROR((s_C*s_EF_rec*(1/365)*1*s_RadSpec!R30*s_ET_rec*(1/24)*s_RadSpec!W30),".")</f>
        <v>1.8835616438356165E-3</v>
      </c>
      <c r="AG30" s="40">
        <f>IFERROR((s_C*s_EF_rec*(1/365)*1*s_RadSpec!S30*s_ET_rec*(1/24)*s_RadSpec!X30),".")</f>
        <v>3.8448122780314564E-4</v>
      </c>
      <c r="AH30" s="40">
        <f>IFERROR((s_C*s_EF_rec*(1/365)*1*s_RadSpec!T30*s_ET_rec*(1/24)*s_RadSpec!Y30),".")</f>
        <v>1.0669185954967726E-3</v>
      </c>
      <c r="AI30" s="40">
        <f>IFERROR((s_C*s_EF_rec*(1/365)*1*s_RadSpec!U30*s_ET_rec*(1/24)*s_RadSpec!Z30),".")</f>
        <v>1.4333563413684465E-3</v>
      </c>
      <c r="AJ30" s="40">
        <f>IFERROR((s_C*s_EF_rec*(1/365)*1*s_RadSpec!Q30*s_ET_rec*(1/24)*s_RadSpec!V30),".")</f>
        <v>1.5696347031963472E-5</v>
      </c>
      <c r="AK30" s="15">
        <f>IFERROR((s_DL/(s_RadSpec!H30*s_IFA_rec_adj)),".")</f>
        <v>1.3085838328556778</v>
      </c>
      <c r="AL30" s="15">
        <f>IFERROR((s_DL/(s_RadSpec!K30*s_EF_rec*(1/365)*1*s_ET_rec*(1/24)*s_GSF_a)),".")</f>
        <v>257371145.75206867</v>
      </c>
      <c r="AM30" s="15">
        <f>IFERROR(IF(AND(AK30&lt;&gt;".",AL30&lt;&gt;"."),1/((1/AK30)+(1/AL30)),IF(AND(AK30&lt;&gt;".",AL30="."),1/((1/AK30)),IF(AND(AK30=".",AL30&lt;&gt;"."),1/((1/AL30)),IF(AND(AK30=".",AL30="."),".")))),".")</f>
        <v>1.3085838262022838</v>
      </c>
      <c r="AN30" s="189">
        <f>AM30*(0.0000000000000028)*s_RadSpec!$AY30*s_RadSpec!$AF30</f>
        <v>1.359122380437277E-7</v>
      </c>
      <c r="AO30" s="40">
        <f t="shared" si="3"/>
        <v>501.30208333333326</v>
      </c>
      <c r="AP30" s="40">
        <f t="shared" si="4"/>
        <v>7.8481735159817351E-2</v>
      </c>
      <c r="AQ30" s="45"/>
      <c r="AR30" s="15">
        <f>IFERROR((s_DL/(s_RadSpec!I30*s_IFW_rec_adj)),".")</f>
        <v>51.017492877957999</v>
      </c>
      <c r="AS30" s="15">
        <f>IFERROR((s_DL/(s_RadSpec!M30*(1/8760)*s_DFA_rec_adj)),".")</f>
        <v>72556759.174785301</v>
      </c>
      <c r="AT30" s="2">
        <f>IFERROR(BG30/(s_RadSpec!AI30*s_Q_w_game*(1/1000)),".")</f>
        <v>523256337.20982558</v>
      </c>
      <c r="AU30" s="2">
        <f>IFERROR(BG30/(s_RadSpec!AL30*s_Q_w_fowl*(1/1000)),".")</f>
        <v>272093.29534910934</v>
      </c>
      <c r="AV30" s="233">
        <f t="shared" si="5"/>
        <v>1.960112E-2</v>
      </c>
      <c r="AW30" s="233">
        <f t="shared" si="6"/>
        <v>1.3782313479452054E-8</v>
      </c>
      <c r="AX30" s="233">
        <f t="shared" si="7"/>
        <v>1.9111092000000002E-9</v>
      </c>
      <c r="AY30" s="233">
        <f t="shared" si="8"/>
        <v>3.6752099999999994E-6</v>
      </c>
      <c r="AZ30" s="2">
        <f>IFERROR(1/SUM(AV30:AY30),0)</f>
        <v>51.007888060038177</v>
      </c>
      <c r="BA30" s="189">
        <f>AZ30*(0.0000000000000028)*s_RadSpec!$AY30*s_RadSpec!$AF30</f>
        <v>5.2977853503227305E-6</v>
      </c>
      <c r="BB30" s="40">
        <f t="shared" si="9"/>
        <v>2200</v>
      </c>
      <c r="BC30" s="40">
        <f t="shared" si="10"/>
        <v>0.12557077625570776</v>
      </c>
      <c r="BD30" s="19">
        <f>IFERROR(s_C*s_RadSpec!AI30*s_Q_w_game*(1/1000)*s_EF_rec*1*s_IRGL_rec*s_CF_game,".")</f>
        <v>2.1450000000000001E-4</v>
      </c>
      <c r="BE30" s="19">
        <f>IFERROR(s_C*s_RadSpec!AL30*s_Q_w_fowl*(1/1000)*s_EF_rec*1*s_IRGL_rec*s_CF_fowl,0)</f>
        <v>0.41249999999999998</v>
      </c>
      <c r="BF30" s="18"/>
      <c r="BG30" s="2">
        <f>IFERROR(s_DL/(s_RadSpec!F30*s_EF_rec*1*s_IRGL_rec*s_CF_game),".")</f>
        <v>408.13994302366399</v>
      </c>
      <c r="BH30" s="2">
        <f>IFERROR(s_DL/(s_RadSpec!F30*s_EF_rec*1*s_IRGF_rec*s_CF_fowl),".")</f>
        <v>408.13994302366399</v>
      </c>
      <c r="BI30" s="189">
        <f>IFERROR(BG30*(0.0000000000028)*s_RadSpec!$AY30*s_RadSpec!$AF30,0)</f>
        <v>4.239026341351923E-2</v>
      </c>
      <c r="BJ30" s="189">
        <f>IFERROR(BH30*(0.0000000000028)*s_RadSpec!$AY30*s_RadSpec!$AF30,0)</f>
        <v>4.239026341351923E-2</v>
      </c>
      <c r="BK30" s="19">
        <f t="shared" si="11"/>
        <v>275</v>
      </c>
      <c r="BL30" s="19">
        <f t="shared" si="12"/>
        <v>275</v>
      </c>
    </row>
    <row r="31" spans="1:64" x14ac:dyDescent="0.25">
      <c r="A31" s="57" t="s">
        <v>1</v>
      </c>
      <c r="B31" s="57" t="s">
        <v>1185</v>
      </c>
      <c r="C31" s="57"/>
      <c r="D31" s="58">
        <f>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337.36619626035349</v>
      </c>
      <c r="E31" s="58">
        <f>IFERROR(1/SUM(IFERROR(1/SUMIF(E32,"&lt;&gt;.",E32),0),IFERROR(1/SUMIF(E33,"&lt;&gt;.",E33),0),IFERROR(1/SUMIF(E34,"&lt;&gt;.",E34),0),IFERROR(1/SUMIF(E35,"&lt;&gt;.",E35),0),IFERROR(1/SUMIF(E36,"&lt;&gt;.",E36),0),IFERROR(1/SUMIF(E37,"&lt;&gt;.",E37),0),IFERROR(1/SUMIF(E38,"&lt;&gt;.",E38),0),IFERROR(1/SUMIF(E39,"&lt;&gt;.",E39),0),IFERROR(1/SUMIF(E40,"&lt;&gt;.",E40),0),IFERROR(1/SUMIF(E41,"&lt;&gt;.",E41),0),IFERROR(1/SUMIF(E42,"&lt;&gt;.",E42),0),IFERROR(1/SUMIF(E43,"&lt;&gt;.",E43),0),IFERROR(1/SUMIF(E44,"&lt;&gt;.",E44),0)),".")</f>
        <v>19500.593689093945</v>
      </c>
      <c r="F31" s="58">
        <f>IFERROR(1/SUM(IFERROR(1/SUMIF(F32,"&lt;&gt;.",F32),0),IFERROR(1/SUMIF(F33,"&lt;&gt;.",F33),0),IFERROR(1/SUMIF(F34,"&lt;&gt;.",F34),0),IFERROR(1/SUMIF(F35,"&lt;&gt;.",F35),0),IFERROR(1/SUMIF(F36,"&lt;&gt;.",F36),0),IFERROR(1/SUMIF(F37,"&lt;&gt;.",F37),0),IFERROR(1/SUMIF(F38,"&lt;&gt;.",F38),0),IFERROR(1/SUMIF(F39,"&lt;&gt;.",F39),0),IFERROR(1/SUMIF(F40,"&lt;&gt;.",F40),0),IFERROR(1/SUMIF(F41,"&lt;&gt;.",F41),0),IFERROR(1/SUMIF(F42,"&lt;&gt;.",F42),0),IFERROR(1/SUMIF(F43,"&lt;&gt;.",F43),0),IFERROR(1/SUMIF(F44,"&lt;&gt;.",F44),0)),".")</f>
        <v>1311.5602743678123</v>
      </c>
      <c r="G31" s="61">
        <f>IFERROR(1/SUM(IFERROR(1/SUMIF(G32,"&lt;&gt;.",G32),0),IFERROR(1/SUMIF(G33,"&lt;&gt;.",G33),0),IFERROR(1/SUMIF(G34,"&lt;&gt;.",G34),0),IFERROR(1/SUMIF(G35,"&lt;&gt;.",G35),0),IFERROR(1/SUMIF(G36,"&lt;&gt;.",G36),0),IFERROR(1/SUMIF(G37,"&lt;&gt;.",G37),0),IFERROR(1/SUMIF(G38,"&lt;&gt;.",G38),0),IFERROR(1/SUMIF(G39,"&lt;&gt;.",G39),0),IFERROR(1/SUMIF(G40,"&lt;&gt;.",G40),0),IFERROR(1/SUMIF(G41,"&lt;&gt;.",G41),0),IFERROR(1/SUMIF(G42,"&lt;&gt;.",G42),0),IFERROR(1/SUMIF(G43,"&lt;&gt;.",G43),0),IFERROR(1/SUMIF(G44,"&lt;&gt;.",G44),0)),".")</f>
        <v>4324.9850257769613</v>
      </c>
      <c r="H31" s="61">
        <f>IFERROR(1/SUM(IFERROR(1/SUMIF(H32,"&lt;&gt;.",H32),0),IFERROR(1/SUMIF(H33,"&lt;&gt;.",H33),0),IFERROR(1/SUMIF(H34,"&lt;&gt;.",H34),0),IFERROR(1/SUMIF(H35,"&lt;&gt;.",H35),0),IFERROR(1/SUMIF(H36,"&lt;&gt;.",H36),0),IFERROR(1/SUMIF(H37,"&lt;&gt;.",H37),0),IFERROR(1/SUMIF(H38,"&lt;&gt;.",H38),0),IFERROR(1/SUMIF(H39,"&lt;&gt;.",H39),0),IFERROR(1/SUMIF(H40,"&lt;&gt;.",H40),0),IFERROR(1/SUMIF(H41,"&lt;&gt;.",H41),0),IFERROR(1/SUMIF(H42,"&lt;&gt;.",H42),0),IFERROR(1/SUMIF(H43,"&lt;&gt;.",H43),0),IFERROR(1/SUMIF(H44,"&lt;&gt;.",H44),0)),".")</f>
        <v>65.485426724496193</v>
      </c>
      <c r="I31" s="233">
        <f t="shared" si="13"/>
        <v>2.9641381118939263E-3</v>
      </c>
      <c r="J31" s="233">
        <f t="shared" si="14"/>
        <v>5.1280490017043323E-5</v>
      </c>
      <c r="K31" s="233">
        <f t="shared" si="15"/>
        <v>7.6245066242343448E-4</v>
      </c>
      <c r="L31" s="233">
        <f t="shared" si="16"/>
        <v>2.3121467335493378E-4</v>
      </c>
      <c r="M31" s="233">
        <f t="shared" si="17"/>
        <v>1.5270573164424827E-2</v>
      </c>
      <c r="N31" s="59">
        <f>IFERROR(1/SUM(IFERROR(1/SUMIF(N32,"&lt;&gt;.",N32),0),IFERROR(1/SUMIF(N33,"&lt;&gt;.",N33),0),IFERROR(1/SUMIF(N34,"&lt;&gt;.",N34),0),IFERROR(1/SUMIF(N35,"&lt;&gt;.",N35),0),IFERROR(1/SUMIF(N36,"&lt;&gt;.",N36),0),IFERROR(1/SUMIF(N37,"&lt;&gt;.",N37),0),IFERROR(1/SUMIF(N38,"&lt;&gt;.",N38),0),IFERROR(1/SUMIF(N39,"&lt;&gt;.",N39),0),IFERROR(1/SUMIF(N40,"&lt;&gt;.",N40),0),IFERROR(1/SUMIF(N41,"&lt;&gt;.",N41),0),IFERROR(1/SUMIF(N42,"&lt;&gt;.",N42),0),IFERROR(1/SUMIF(N43,"&lt;&gt;.",N43),0),IFERROR(1/SUMIF(N44,"&lt;&gt;.",N44),0)),".")</f>
        <v>51.868142400226716</v>
      </c>
      <c r="O31" s="190">
        <f>N31*(0.0000000000028)*s_RadSpec!$AY3*s_RadSpec!$AF3</f>
        <v>1.5127269040901065E-5</v>
      </c>
      <c r="P31" s="47">
        <f>IFERROR(SUM(P32:P44),".")</f>
        <v>7.4103452797348146E-2</v>
      </c>
      <c r="Q31" s="47">
        <f t="shared" ref="Q31:U31" si="24">IFERROR(SUM(Q32:Q44),".")</f>
        <v>1.282012250426083E-3</v>
      </c>
      <c r="R31" s="47">
        <f>IFERROR(SUM(R32:R44),".")</f>
        <v>1.9061266560585863E-2</v>
      </c>
      <c r="S31" s="47">
        <f t="shared" si="24"/>
        <v>5.780366833873344E-3</v>
      </c>
      <c r="T31" s="47">
        <f t="shared" si="24"/>
        <v>0.38176432911062064</v>
      </c>
      <c r="U31" s="47">
        <f t="shared" si="24"/>
        <v>0.48199142755285418</v>
      </c>
      <c r="V31" s="59">
        <f>IFERROR(1/SUM(IFERROR(1/SUMIF(V32,"&lt;&gt;.",V32),0),IFERROR(1/SUMIF(V33,"&lt;&gt;.",V33),0),IFERROR(1/SUMIF(V34,"&lt;&gt;.",V34),0),IFERROR(1/SUMIF(V35,"&lt;&gt;.",V35),0),IFERROR(1/SUMIF(V36,"&lt;&gt;.",V36),0),IFERROR(1/SUMIF(V37,"&lt;&gt;.",V37),0),IFERROR(1/SUMIF(V38,"&lt;&gt;.",V38),0),IFERROR(1/SUMIF(V39,"&lt;&gt;.",V39),0),IFERROR(1/SUMIF(V40,"&lt;&gt;.",V40),0),IFERROR(1/SUMIF(V41,"&lt;&gt;.",V41),0),IFERROR(1/SUMIF(V42,"&lt;&gt;.",V42),0),IFERROR(1/SUMIF(V43,"&lt;&gt;.",V43),0),IFERROR(1/SUMIF(V44,"&lt;&gt;.",V44),0)),".")</f>
        <v>1311.5602743678123</v>
      </c>
      <c r="W31" s="59">
        <f>IFERROR(1/SUM(IFERROR(1/SUMIF(W32,"&lt;&gt;.",W32),0),IFERROR(1/SUMIF(W33,"&lt;&gt;.",W33),0),IFERROR(1/SUMIF(W34,"&lt;&gt;.",W34),0),IFERROR(1/SUMIF(W35,"&lt;&gt;.",W35),0),IFERROR(1/SUMIF(W36,"&lt;&gt;.",W36),0),IFERROR(1/SUMIF(W37,"&lt;&gt;.",W37),0),IFERROR(1/SUMIF(W38,"&lt;&gt;.",W38),0),IFERROR(1/SUMIF(W39,"&lt;&gt;.",W39),0),IFERROR(1/SUMIF(W40,"&lt;&gt;.",W40),0),IFERROR(1/SUMIF(W41,"&lt;&gt;.",W41),0),IFERROR(1/SUMIF(W42,"&lt;&gt;.",W42),0),IFERROR(1/SUMIF(W43,"&lt;&gt;.",W43),0),IFERROR(1/SUMIF(W44,"&lt;&gt;.",W44),0)),".")</f>
        <v>11438.919265444456</v>
      </c>
      <c r="X31" s="59">
        <f>IFERROR(1/SUM(IFERROR(1/SUMIF(X32,"&lt;&gt;.",X32),0),IFERROR(1/SUMIF(X33,"&lt;&gt;.",X33),0),IFERROR(1/SUMIF(X34,"&lt;&gt;.",X34),0),IFERROR(1/SUMIF(X35,"&lt;&gt;.",X35),0),IFERROR(1/SUMIF(X36,"&lt;&gt;.",X36),0),IFERROR(1/SUMIF(X37,"&lt;&gt;.",X37),0),IFERROR(1/SUMIF(X38,"&lt;&gt;.",X38),0),IFERROR(1/SUMIF(X39,"&lt;&gt;.",X39),0),IFERROR(1/SUMIF(X40,"&lt;&gt;.",X40),0),IFERROR(1/SUMIF(X41,"&lt;&gt;.",X41),0),IFERROR(1/SUMIF(X42,"&lt;&gt;.",X42),0),IFERROR(1/SUMIF(X43,"&lt;&gt;.",X43),0),IFERROR(1/SUMIF(X44,"&lt;&gt;.",X44),0)),".")</f>
        <v>2976.5113892462159</v>
      </c>
      <c r="Y31" s="59">
        <f>IFERROR(1/SUM(IFERROR(1/SUMIF(Y32,"&lt;&gt;.",Y32),0),IFERROR(1/SUMIF(Y33,"&lt;&gt;.",Y33),0),IFERROR(1/SUMIF(Y34,"&lt;&gt;.",Y34),0),IFERROR(1/SUMIF(Y35,"&lt;&gt;.",Y35),0),IFERROR(1/SUMIF(Y36,"&lt;&gt;.",Y36),0),IFERROR(1/SUMIF(Y37,"&lt;&gt;.",Y37),0),IFERROR(1/SUMIF(Y38,"&lt;&gt;.",Y38),0),IFERROR(1/SUMIF(Y39,"&lt;&gt;.",Y39),0),IFERROR(1/SUMIF(Y40,"&lt;&gt;.",Y40),0),IFERROR(1/SUMIF(Y41,"&lt;&gt;.",Y41),0),IFERROR(1/SUMIF(Y42,"&lt;&gt;.",Y42),0),IFERROR(1/SUMIF(Y43,"&lt;&gt;.",Y43),0),IFERROR(1/SUMIF(Y44,"&lt;&gt;.",Y44),0)),".")</f>
        <v>1762.3536157991068</v>
      </c>
      <c r="Z31" s="59">
        <f>IFERROR(1/SUM(IFERROR(1/SUMIF(Z32,"&lt;&gt;.",Z32),0),IFERROR(1/SUMIF(Z33,"&lt;&gt;.",Z33),0),IFERROR(1/SUMIF(Z34,"&lt;&gt;.",Z34),0),IFERROR(1/SUMIF(Z35,"&lt;&gt;.",Z35),0),IFERROR(1/SUMIF(Z36,"&lt;&gt;.",Z36),0),IFERROR(1/SUMIF(Z37,"&lt;&gt;.",Z37),0),IFERROR(1/SUMIF(Z38,"&lt;&gt;.",Z38),0),IFERROR(1/SUMIF(Z39,"&lt;&gt;.",Z39),0),IFERROR(1/SUMIF(Z40,"&lt;&gt;.",Z40),0),IFERROR(1/SUMIF(Z41,"&lt;&gt;.",Z41),0),IFERROR(1/SUMIF(Z42,"&lt;&gt;.",Z42),0),IFERROR(1/SUMIF(Z43,"&lt;&gt;.",Z43),0),IFERROR(1/SUMIF(Z44,"&lt;&gt;.",Z44),0)),".")</f>
        <v>22238.951648647042</v>
      </c>
      <c r="AA31" s="190">
        <f>V31*(0.0000000000028)*s_RadSpec!$AY3*s_RadSpec!$AF3</f>
        <v>3.8251466537257738E-4</v>
      </c>
      <c r="AB31" s="190">
        <f>W31*(0.0000000000028)*s_RadSpec!$AY3*s_RadSpec!$AF3</f>
        <v>3.336144331723133E-3</v>
      </c>
      <c r="AC31" s="190">
        <f>X31*(0.0000000000028)*s_RadSpec!$AY3*s_RadSpec!$AF3</f>
        <v>8.6809526049725836E-4</v>
      </c>
      <c r="AD31" s="190">
        <f>Y31*(0.0000000000028)*s_RadSpec!$AY3*s_RadSpec!$AF3</f>
        <v>5.1398789425860275E-4</v>
      </c>
      <c r="AE31" s="190">
        <f>Z31*(0.0000000000000028)*s_RadSpec!$AY3*s_RadSpec!$AF3</f>
        <v>6.4859582242375355E-6</v>
      </c>
      <c r="AF31" s="47">
        <f t="shared" ref="AF31" si="25">IFERROR(SUM(AF32:AF44),".")</f>
        <v>1.9061266560585863E-2</v>
      </c>
      <c r="AG31" s="47">
        <f t="shared" ref="AG31" si="26">IFERROR(SUM(AG32:AG44),".")</f>
        <v>2.1855211510690416E-3</v>
      </c>
      <c r="AH31" s="47">
        <f t="shared" ref="AH31" si="27">IFERROR(SUM(AH32:AH44),".")</f>
        <v>8.3990943526445257E-3</v>
      </c>
      <c r="AI31" s="47">
        <f t="shared" ref="AI31" si="28">IFERROR(SUM(AI32:AI44),".")</f>
        <v>1.4185575344176438E-2</v>
      </c>
      <c r="AJ31" s="47">
        <f t="shared" ref="AJ31" si="29">IFERROR(SUM(AJ32:AJ44),".")</f>
        <v>1.1241537098949051E-3</v>
      </c>
      <c r="AK31" s="58">
        <f>IFERROR(1/SUM(IFERROR(1/SUMIF(AK32,"&lt;&gt;.",AK32),0),IFERROR(1/SUMIF(AK33,"&lt;&gt;.",AK33),0),IFERROR(1/SUMIF(AK34,"&lt;&gt;.",AK34),0),IFERROR(1/SUMIF(AK35,"&lt;&gt;.",AK35),0),IFERROR(1/SUMIF(AK36,"&lt;&gt;.",AK36),0),IFERROR(1/SUMIF(AK37,"&lt;&gt;.",AK37),0),IFERROR(1/SUMIF(AK38,"&lt;&gt;.",AK38),0),IFERROR(1/SUMIF(AK39,"&lt;&gt;.",AK39),0),IFERROR(1/SUMIF(AK40,"&lt;&gt;.",AK40),0),IFERROR(1/SUMIF(AK41,"&lt;&gt;.",AK41),0),IFERROR(1/SUMIF(AK42,"&lt;&gt;.",AK42),0),IFERROR(1/SUMIF(AK43,"&lt;&gt;.",AK43),0),IFERROR(1/SUMIF(AK44,"&lt;&gt;.",AK44),0)),".")</f>
        <v>6.2944966033856395E-2</v>
      </c>
      <c r="AL31" s="58">
        <f>IFERROR(1/SUM(IFERROR(1/SUMIF(AL32,"&lt;&gt;.",AL32),0),IFERROR(1/SUMIF(AL33,"&lt;&gt;.",AL33),0),IFERROR(1/SUMIF(AL34,"&lt;&gt;.",AL34),0),IFERROR(1/SUMIF(AL35,"&lt;&gt;.",AL35),0),IFERROR(1/SUMIF(AL36,"&lt;&gt;.",AL36),0),IFERROR(1/SUMIF(AL37,"&lt;&gt;.",AL37),0),IFERROR(1/SUMIF(AL38,"&lt;&gt;.",AL38),0),IFERROR(1/SUMIF(AL39,"&lt;&gt;.",AL39),0),IFERROR(1/SUMIF(AL40,"&lt;&gt;.",AL40),0),IFERROR(1/SUMIF(AL41,"&lt;&gt;.",AL41),0),IFERROR(1/SUMIF(AL42,"&lt;&gt;.",AL42),0),IFERROR(1/SUMIF(AL43,"&lt;&gt;.",AL43),0),IFERROR(1/SUMIF(AL44,"&lt;&gt;.",AL44),0)),".")</f>
        <v>111906.49536771805</v>
      </c>
      <c r="AM31" s="59">
        <f>IFERROR(1/SUM(IFERROR(1/SUMIF(AM32,"&lt;&gt;.",AM32),0),IFERROR(1/SUMIF(AM33,"&lt;&gt;.",AM33),0),IFERROR(1/SUMIF(AM34,"&lt;&gt;.",AM34),0),IFERROR(1/SUMIF(AM35,"&lt;&gt;.",AM35),0),IFERROR(1/SUMIF(AM36,"&lt;&gt;.",AM36),0),IFERROR(1/SUMIF(AM37,"&lt;&gt;.",AM37),0),IFERROR(1/SUMIF(AM38,"&lt;&gt;.",AM38),0),IFERROR(1/SUMIF(AM39,"&lt;&gt;.",AM39),0),IFERROR(1/SUMIF(AM40,"&lt;&gt;.",AM40),0),IFERROR(1/SUMIF(AM41,"&lt;&gt;.",AM41),0),IFERROR(1/SUMIF(AM42,"&lt;&gt;.",AM42),0),IFERROR(1/SUMIF(AM43,"&lt;&gt;.",AM43),0),IFERROR(1/SUMIF(AM44,"&lt;&gt;.",AM44),0)),".")</f>
        <v>6.2944930628704016E-2</v>
      </c>
      <c r="AN31" s="190">
        <f>AM31*(0.0000000000000028)*s_RadSpec!$AY3*s_RadSpec!$AF3</f>
        <v>1.8357798377161421E-11</v>
      </c>
      <c r="AO31" s="47">
        <f t="shared" ref="AO31" si="30">IFERROR(SUM(AO32:AO44),".")</f>
        <v>397.17234872369573</v>
      </c>
      <c r="AP31" s="47">
        <f t="shared" ref="AP31" si="31">IFERROR(SUM(AP32:AP44),".")</f>
        <v>2.234007947246628E-4</v>
      </c>
      <c r="AQ31" s="47">
        <f t="shared" ref="AQ31" si="32">IFERROR(SUM(AQ32:AQ44),".")</f>
        <v>397.17257212449044</v>
      </c>
      <c r="AR31" s="58">
        <f>IFERROR(1/SUM(IFERROR(1/SUMIF(AR32,"&lt;&gt;.",AR32),0),IFERROR(1/SUMIF(AR33,"&lt;&gt;.",AR33),0),IFERROR(1/SUMIF(AR34,"&lt;&gt;.",AR34),0),IFERROR(1/SUMIF(AR35,"&lt;&gt;.",AR35),0),IFERROR(1/SUMIF(AR36,"&lt;&gt;.",AR36),0),IFERROR(1/SUMIF(AR37,"&lt;&gt;.",AR37),0),IFERROR(1/SUMIF(AR38,"&lt;&gt;.",AR38),0),IFERROR(1/SUMIF(AR39,"&lt;&gt;.",AR39),0),IFERROR(1/SUMIF(AR40,"&lt;&gt;.",AR40),0),IFERROR(1/SUMIF(AR41,"&lt;&gt;.",AR41),0),IFERROR(1/SUMIF(AR42,"&lt;&gt;.",AR42),0),IFERROR(1/SUMIF(AR43,"&lt;&gt;.",AR43),0),IFERROR(1/SUMIF(AR44,"&lt;&gt;.",AR44),0)),".")</f>
        <v>2.3193925992899302</v>
      </c>
      <c r="AS31" s="58">
        <f>IFERROR(1/SUM(IFERROR(1/SUMIF(AS32,"&lt;&gt;.",AS32),0),IFERROR(1/SUMIF(AS33,"&lt;&gt;.",AS33),0),IFERROR(1/SUMIF(AS34,"&lt;&gt;.",AS34),0),IFERROR(1/SUMIF(AS35,"&lt;&gt;.",AS35),0),IFERROR(1/SUMIF(AS36,"&lt;&gt;.",AS36),0),IFERROR(1/SUMIF(AS37,"&lt;&gt;.",AS37),0),IFERROR(1/SUMIF(AS38,"&lt;&gt;.",AS38),0),IFERROR(1/SUMIF(AS39,"&lt;&gt;.",AS39),0),IFERROR(1/SUMIF(AS40,"&lt;&gt;.",AS40),0),IFERROR(1/SUMIF(AS41,"&lt;&gt;.",AS41),0),IFERROR(1/SUMIF(AS42,"&lt;&gt;.",AS42),0),IFERROR(1/SUMIF(AS43,"&lt;&gt;.",AS43),0),IFERROR(1/SUMIF(AS44,"&lt;&gt;.",AS44),0)),".")</f>
        <v>32122.206953211124</v>
      </c>
      <c r="AT31" s="61">
        <f>IFERROR(1/SUM(IFERROR(1/SUMIF(AT32,"&lt;&gt;.",AT32),0),IFERROR(1/SUMIF(AT33,"&lt;&gt;.",AT33),0),IFERROR(1/SUMIF(AT34,"&lt;&gt;.",AT34),0),IFERROR(1/SUMIF(AT35,"&lt;&gt;.",AT35),0),IFERROR(1/SUMIF(AT36,"&lt;&gt;.",AT36),0),IFERROR(1/SUMIF(AT37,"&lt;&gt;.",AT37),0),IFERROR(1/SUMIF(AT38,"&lt;&gt;.",AT38),0),IFERROR(1/SUMIF(AT39,"&lt;&gt;.",AT39),0),IFERROR(1/SUMIF(AT40,"&lt;&gt;.",AT40),0),IFERROR(1/SUMIF(AT41,"&lt;&gt;.",AT41),0),IFERROR(1/SUMIF(AT42,"&lt;&gt;.",AT42),0),IFERROR(1/SUMIF(AT43,"&lt;&gt;.",AT43),0),IFERROR(1/SUMIF(AT44,"&lt;&gt;.",AT44),0)),".")</f>
        <v>17517764.357674845</v>
      </c>
      <c r="AU31" s="61">
        <f>IFERROR(1/SUM(IFERROR(1/SUMIF(AU32,"&lt;&gt;.",AU32),0),IFERROR(1/SUMIF(AU33,"&lt;&gt;.",AU33),0),IFERROR(1/SUMIF(AU34,"&lt;&gt;.",AU34),0),IFERROR(1/SUMIF(AU35,"&lt;&gt;.",AU35),0),IFERROR(1/SUMIF(AU36,"&lt;&gt;.",AU36),0),IFERROR(1/SUMIF(AU37,"&lt;&gt;.",AU37),0),IFERROR(1/SUMIF(AU38,"&lt;&gt;.",AU38),0),IFERROR(1/SUMIF(AU39,"&lt;&gt;.",AU39),0),IFERROR(1/SUMIF(AU40,"&lt;&gt;.",AU40),0),IFERROR(1/SUMIF(AU41,"&lt;&gt;.",AU41),0),IFERROR(1/SUMIF(AU42,"&lt;&gt;.",AU42),0),IFERROR(1/SUMIF(AU43,"&lt;&gt;.",AU43),0),IFERROR(1/SUMIF(AU44,"&lt;&gt;.",AU44),0)),".")</f>
        <v>263751.3908929599</v>
      </c>
      <c r="AV31" s="233">
        <f t="shared" si="5"/>
        <v>0.43114736173002566</v>
      </c>
      <c r="AW31" s="233">
        <f t="shared" si="6"/>
        <v>3.1131111304294554E-5</v>
      </c>
      <c r="AX31" s="233">
        <f t="shared" si="7"/>
        <v>5.7084909899583287E-8</v>
      </c>
      <c r="AY31" s="233">
        <f t="shared" si="8"/>
        <v>3.7914491999999996E-6</v>
      </c>
      <c r="AZ31" s="62">
        <f>IFERROR(1/SUM(IFERROR(1/SUMIF(AZ32,"&lt;&gt;.",AZ32),0),IFERROR(1/SUMIF(AZ33,"&lt;&gt;.",AZ33),0),IFERROR(1/SUMIF(AZ34,"&lt;&gt;.",AZ34),0),IFERROR(1/SUMIF(AZ35,"&lt;&gt;.",AZ35),0),IFERROR(1/SUMIF(AZ36,"&lt;&gt;.",AZ36),0),IFERROR(1/SUMIF(AZ37,"&lt;&gt;.",AZ37),0),IFERROR(1/SUMIF(AZ38,"&lt;&gt;.",AZ38),0),IFERROR(1/SUMIF(AZ39,"&lt;&gt;.",AZ39),0),IFERROR(1/SUMIF(AZ40,"&lt;&gt;.",AZ40),0),IFERROR(1/SUMIF(AZ41,"&lt;&gt;.",AZ41),0),IFERROR(1/SUMIF(AZ42,"&lt;&gt;.",AZ42),0),IFERROR(1/SUMIF(AZ43,"&lt;&gt;.",AZ43),0),IFERROR(1/SUMIF(AZ44,"&lt;&gt;.",AZ44),0)),".")</f>
        <v>2.3192044386838151</v>
      </c>
      <c r="BA31" s="190">
        <f>AZ31*(0.0000000000000028)*s_RadSpec!$AY3*s_RadSpec!$AF3</f>
        <v>6.7639263488774294E-10</v>
      </c>
      <c r="BB31" s="47">
        <f t="shared" ref="BB31" si="33">IFERROR(SUM(BB32:BB44),".")</f>
        <v>10.778684043250642</v>
      </c>
      <c r="BC31" s="47">
        <f>IFERROR(SUM(BC32:BC44),".")</f>
        <v>7.7827778260736332E-4</v>
      </c>
      <c r="BD31" s="47">
        <f t="shared" ref="BD31" si="34">IFERROR(SUM(BD32:BD44),".")</f>
        <v>1.427122747489582E-6</v>
      </c>
      <c r="BE31" s="47">
        <f t="shared" ref="BE31" si="35">IFERROR(SUM(BE32:BE44),".")</f>
        <v>9.4786229999999999E-5</v>
      </c>
      <c r="BF31" s="47">
        <f t="shared" ref="BF31" si="36">IFERROR(SUM(BF32:BF44),".")</f>
        <v>10.779558534385995</v>
      </c>
      <c r="BG31" s="61">
        <f>IFERROR(1/SUM(IFERROR(1/SUMIF(BG32,"&lt;&gt;.",BG32),0),IFERROR(1/SUMIF(BG33,"&lt;&gt;.",BG33),0),IFERROR(1/SUMIF(BG34,"&lt;&gt;.",BG34),0),IFERROR(1/SUMIF(BG35,"&lt;&gt;.",BG35),0),IFERROR(1/SUMIF(BG36,"&lt;&gt;.",BG36),0),IFERROR(1/SUMIF(BG37,"&lt;&gt;.",BG37),0),IFERROR(1/SUMIF(BG38,"&lt;&gt;.",BG38),0),IFERROR(1/SUMIF(BG39,"&lt;&gt;.",BG39),0),IFERROR(1/SUMIF(BG40,"&lt;&gt;.",BG40),0),IFERROR(1/SUMIF(BG41,"&lt;&gt;.",BG41),0),IFERROR(1/SUMIF(BG42,"&lt;&gt;.",BG42),0),IFERROR(1/SUMIF(BG43,"&lt;&gt;.",BG43),0),IFERROR(1/SUMIF(BG44,"&lt;&gt;.",BG44),0)),".")</f>
        <v>18.555140794319442</v>
      </c>
      <c r="BH31" s="61">
        <f>IFERROR(1/SUM(IFERROR(1/SUMIF(BH32,"&lt;&gt;.",BH32),0),IFERROR(1/SUMIF(BH33,"&lt;&gt;.",BH33),0),IFERROR(1/SUMIF(BH34,"&lt;&gt;.",BH34),0),IFERROR(1/SUMIF(BH35,"&lt;&gt;.",BH35),0),IFERROR(1/SUMIF(BH36,"&lt;&gt;.",BH36),0),IFERROR(1/SUMIF(BH37,"&lt;&gt;.",BH37),0),IFERROR(1/SUMIF(BH38,"&lt;&gt;.",BH38),0),IFERROR(1/SUMIF(BH39,"&lt;&gt;.",BH39),0),IFERROR(1/SUMIF(BH40,"&lt;&gt;.",BH40),0),IFERROR(1/SUMIF(BH41,"&lt;&gt;.",BH41),0),IFERROR(1/SUMIF(BH42,"&lt;&gt;.",BH42),0),IFERROR(1/SUMIF(BH43,"&lt;&gt;.",BH43),0),IFERROR(1/SUMIF(BH44,"&lt;&gt;.",BH44),0)),".")</f>
        <v>18.555140794319442</v>
      </c>
      <c r="BI31" s="190">
        <f>BG31*(0.0000000000028)*s_RadSpec!$AY3*s_RadSpec!$AF3</f>
        <v>5.4115800932605216E-6</v>
      </c>
      <c r="BJ31" s="190">
        <f>BH31*(0.0000000000028)*s_RadSpec!$AY3*s_RadSpec!$AF3</f>
        <v>5.4115800932605216E-6</v>
      </c>
      <c r="BK31" s="47">
        <f t="shared" ref="BK31" si="37">IFERROR(SUM(BK32:BK44),".")</f>
        <v>1.3473355054063303</v>
      </c>
      <c r="BL31" s="47">
        <f t="shared" ref="BL31" si="38">IFERROR(SUM(BL32:BL44),".")</f>
        <v>1.3473355054063303</v>
      </c>
    </row>
    <row r="32" spans="1:64" x14ac:dyDescent="0.25">
      <c r="A32" s="48" t="s">
        <v>1085</v>
      </c>
      <c r="B32" s="15">
        <v>1</v>
      </c>
      <c r="C32" s="42"/>
      <c r="D32" s="60">
        <f>IFERROR(D3/$B32,".")</f>
        <v>1877.0072246008076</v>
      </c>
      <c r="E32" s="60">
        <f>IFERROR(E3/$B32,".")</f>
        <v>42565.388120151685</v>
      </c>
      <c r="F32" s="60">
        <f>IFERROR(F3/$B32,".")</f>
        <v>29839259.9835575</v>
      </c>
      <c r="G32" s="63">
        <f>IFERROR(G3/$B32,".")</f>
        <v>25808.196717194693</v>
      </c>
      <c r="H32" s="63">
        <f>IFERROR(H3/$B32,".")</f>
        <v>2150.6830597662242</v>
      </c>
      <c r="I32" s="233">
        <f t="shared" si="13"/>
        <v>5.3276300000000001E-4</v>
      </c>
      <c r="J32" s="233">
        <f t="shared" si="14"/>
        <v>2.349326634065322E-5</v>
      </c>
      <c r="K32" s="233">
        <f t="shared" si="15"/>
        <v>3.351289544549817E-8</v>
      </c>
      <c r="L32" s="233">
        <f t="shared" si="16"/>
        <v>3.8747379794022986E-5</v>
      </c>
      <c r="M32" s="233">
        <f t="shared" si="17"/>
        <v>4.6496855752827589E-4</v>
      </c>
      <c r="N32" s="63">
        <f>IFERROR(N3/$B32,".")</f>
        <v>943.39113872590929</v>
      </c>
      <c r="O32" s="189">
        <f>IFERROR(O3/$B32,0)</f>
        <v>2.7513866712617165E-4</v>
      </c>
      <c r="P32" s="49">
        <f>IF(D32=".",".",s_RadSpec!$E$3*P3*$B$32)</f>
        <v>1.3319075000000001E-2</v>
      </c>
      <c r="Q32" s="49">
        <f>IF(E32=".",".",s_RadSpec!$H$3*Q3*$B$32)</f>
        <v>5.8733165851633041E-4</v>
      </c>
      <c r="R32" s="49">
        <f>IF(F32=".",".",s_RadSpec!$G$3*R3*$B$32)</f>
        <v>8.3782238613745444E-7</v>
      </c>
      <c r="S32" s="49">
        <f>IF(G32=".",".",s_RadSpec!$F$3*S3*$B$32)</f>
        <v>9.6868449485057483E-4</v>
      </c>
      <c r="T32" s="49">
        <f>IF(H32=".",".",s_RadSpec!$F$3*T3*$B$32)</f>
        <v>1.1624213938206897E-2</v>
      </c>
      <c r="U32" s="49">
        <f>IFERROR(SUM(P32:T32),".")</f>
        <v>2.650014291395994E-2</v>
      </c>
      <c r="V32" s="60">
        <f>IFERROR(V3/$B32,".")</f>
        <v>29839259.9835575</v>
      </c>
      <c r="W32" s="60">
        <f>IFERROR(W3/$B32,".")</f>
        <v>84959836.812055528</v>
      </c>
      <c r="X32" s="60">
        <f>IFERROR(X3/$B32,".")</f>
        <v>34120787.016311534</v>
      </c>
      <c r="Y32" s="60">
        <f>IFERROR(Y3/$B32,".")</f>
        <v>32697862.353526425</v>
      </c>
      <c r="Z32" s="60">
        <f>IFERROR(Z3/$B32,".")</f>
        <v>94623699.056565315</v>
      </c>
      <c r="AA32" s="189">
        <f t="shared" ref="AA32:AE32" si="39">IFERROR(AA3/$B32,0)</f>
        <v>8.7025772056701687</v>
      </c>
      <c r="AB32" s="189">
        <f t="shared" si="39"/>
        <v>24.778414064070986</v>
      </c>
      <c r="AC32" s="189">
        <f t="shared" si="39"/>
        <v>9.9512783993739564</v>
      </c>
      <c r="AD32" s="189">
        <f t="shared" si="39"/>
        <v>9.536284470484194</v>
      </c>
      <c r="AE32" s="189">
        <f t="shared" si="39"/>
        <v>27.596865571720635</v>
      </c>
      <c r="AF32" s="49">
        <f>IF(V32=".",".",s_RadSpec!$G$3*AF3*$B$32)</f>
        <v>8.3782238613745444E-7</v>
      </c>
      <c r="AG32" s="49">
        <f>IF(W32=".",".",s_RadSpec!$N$3*AG3*$B$32)</f>
        <v>2.942566857243843E-7</v>
      </c>
      <c r="AH32" s="49">
        <f>IF(X32=".",".",s_RadSpec!$O$3*AH3*$B$32)</f>
        <v>7.3269118874804063E-7</v>
      </c>
      <c r="AI32" s="49">
        <f>IF(Y32=".",".",s_RadSpec!$P$3*AI3*$B$32)</f>
        <v>7.64575975325304E-7</v>
      </c>
      <c r="AJ32" s="49">
        <f>IF(Z32=".",".",s_RadSpec!$L$3*AJ3*$B$32)</f>
        <v>2.6420442499352296E-7</v>
      </c>
      <c r="AK32" s="60">
        <f>IFERROR(AK3/$B32,".")</f>
        <v>0.13739463280747685</v>
      </c>
      <c r="AL32" s="60">
        <f>IFERROR(AL3/$B32,".")</f>
        <v>4059723.4300177488</v>
      </c>
      <c r="AM32" s="60">
        <f>IFERROR(AM3/$B32,".")</f>
        <v>0.13739462815758263</v>
      </c>
      <c r="AN32" s="189">
        <f t="shared" ref="AN32" si="40">IFERROR(AN3/$B32,0)</f>
        <v>4.0070945453894429E-11</v>
      </c>
      <c r="AO32" s="49">
        <f>IF(AK32=".",".",s_RadSpec!$H$3*AO3*$B$32)</f>
        <v>181.95761718749998</v>
      </c>
      <c r="AP32" s="49">
        <f>IF(AL32=".",".",s_RadSpec!$K$3*AP3*$B$32)</f>
        <v>6.1580549589041093E-6</v>
      </c>
      <c r="AQ32" s="49">
        <f>IFERROR(SUM(AO32:AP32),".")</f>
        <v>181.95762334555494</v>
      </c>
      <c r="AR32" s="60">
        <f>IFERROR(AR3/$B32,".")</f>
        <v>12.904424669130551</v>
      </c>
      <c r="AS32" s="60">
        <f>IFERROR(AS3/$B32,".")</f>
        <v>1107197.2990957496</v>
      </c>
      <c r="AT32" s="63">
        <f>IFERROR(AT3/$B32,".")</f>
        <v>103235397.35304441</v>
      </c>
      <c r="AU32" s="63">
        <f>IFERROR(AU3/$B32,".")</f>
        <v>8602949.7794203665</v>
      </c>
      <c r="AV32" s="233">
        <f>IFERROR(1/AR32,0)</f>
        <v>7.7492800000000001E-2</v>
      </c>
      <c r="AW32" s="233">
        <f t="shared" ref="AW32:AY32" si="41">IFERROR(1/AS32,0)</f>
        <v>9.0318139397260287E-7</v>
      </c>
      <c r="AX32" s="233">
        <f t="shared" si="41"/>
        <v>9.6866000000000009E-9</v>
      </c>
      <c r="AY32" s="233">
        <f t="shared" si="41"/>
        <v>1.1623920000000001E-7</v>
      </c>
      <c r="AZ32" s="63">
        <f>IFERROR(AZ3/$B32,".")</f>
        <v>12.904253300178805</v>
      </c>
      <c r="BA32" s="189">
        <f t="shared" ref="BA32" si="42">IFERROR(BA3/$B32,0)</f>
        <v>3.7635068928723962E-9</v>
      </c>
      <c r="BB32" s="49">
        <f>IF(AR32=".",".",s_RadSpec!$I$3*BB3*$B$32)</f>
        <v>1.9373200000000002</v>
      </c>
      <c r="BC32" s="49">
        <f>IF(AS32=".",".",s_RadSpec!$M$3*BC3*$B$32)</f>
        <v>2.257953484931507E-5</v>
      </c>
      <c r="BD32" s="49">
        <f>IF(AT32=".",".",s_RadSpec!$F$3*BD3*$B$32)</f>
        <v>2.4216500000000002E-7</v>
      </c>
      <c r="BE32" s="49">
        <f>IF(AU32=".",".",s_RadSpec!$F$3*BE3*$B$32)</f>
        <v>2.9059800000000001E-6</v>
      </c>
      <c r="BF32" s="49">
        <f>IFERROR(SUM(BB32:BE32),".")</f>
        <v>1.9373457276798496</v>
      </c>
      <c r="BG32" s="63">
        <f>IFERROR(BG3/$B32,".")</f>
        <v>103.23539735304441</v>
      </c>
      <c r="BH32" s="63">
        <f>IFERROR(BH3/$B32,".")</f>
        <v>103.23539735304441</v>
      </c>
      <c r="BI32" s="189">
        <f t="shared" ref="BI32:BJ32" si="43">IFERROR(BI3/$B32,0)</f>
        <v>3.0108454979043214E-5</v>
      </c>
      <c r="BJ32" s="189">
        <f t="shared" si="43"/>
        <v>3.0108454979043214E-5</v>
      </c>
      <c r="BK32" s="49">
        <f>IF(BG32=".",".",s_RadSpec!$F$3*BK3*$B$32)</f>
        <v>0.24216500000000002</v>
      </c>
      <c r="BL32" s="49">
        <f>IF(BH32=".",".",s_RadSpec!$F$3*BL3*$B$32)</f>
        <v>0.24216500000000002</v>
      </c>
    </row>
    <row r="33" spans="1:64" x14ac:dyDescent="0.25">
      <c r="A33" s="48" t="s">
        <v>1061</v>
      </c>
      <c r="B33" s="15">
        <v>1</v>
      </c>
      <c r="C33" s="42"/>
      <c r="D33" s="60">
        <f t="shared" ref="D33:H34" si="44">IFERROR(D13/$B33,".")</f>
        <v>3573.8217556399372</v>
      </c>
      <c r="E33" s="60">
        <f t="shared" si="44"/>
        <v>331401.95036403817</v>
      </c>
      <c r="F33" s="60">
        <f t="shared" si="44"/>
        <v>408512.06095965597</v>
      </c>
      <c r="G33" s="63">
        <f t="shared" si="44"/>
        <v>244883.96581419831</v>
      </c>
      <c r="H33" s="63" t="str">
        <f t="shared" si="44"/>
        <v>.</v>
      </c>
      <c r="I33" s="233">
        <f t="shared" si="13"/>
        <v>2.798125E-4</v>
      </c>
      <c r="J33" s="233">
        <f t="shared" si="14"/>
        <v>3.0174837501756425E-6</v>
      </c>
      <c r="K33" s="233">
        <f t="shared" si="15"/>
        <v>2.44790814168583E-6</v>
      </c>
      <c r="L33" s="233">
        <f t="shared" si="16"/>
        <v>4.0835666666666676E-6</v>
      </c>
      <c r="M33" s="233">
        <f t="shared" si="17"/>
        <v>0</v>
      </c>
      <c r="N33" s="63">
        <f t="shared" ref="N33:N34" si="45">IFERROR(N13/$B33,".")</f>
        <v>3455.8852619196819</v>
      </c>
      <c r="O33" s="189">
        <f t="shared" ref="O33:O34" si="46">IFERROR(O13/$B33,0)</f>
        <v>4.9168897858324279</v>
      </c>
      <c r="P33" s="49">
        <f>IF(D33=".",".",s_RadSpec!$E$13*P13*$B$33)</f>
        <v>6.9953125000000007E-3</v>
      </c>
      <c r="Q33" s="49">
        <f>IF(E33=".",".",s_RadSpec!$H$13*Q13*$B$33)</f>
        <v>7.5437093754391067E-5</v>
      </c>
      <c r="R33" s="49">
        <f>IF(F33=".",".",s_RadSpec!$G$13*R13*$B$33)</f>
        <v>6.1197703542145742E-5</v>
      </c>
      <c r="S33" s="49">
        <f>IF(G33=".",".",s_RadSpec!$F$13*S13*$B$33)</f>
        <v>1.0208916666666669E-4</v>
      </c>
      <c r="T33" s="49" t="str">
        <f>IF(H33=".",".",s_RadSpec!$F$13*T13*$B$33)</f>
        <v>.</v>
      </c>
      <c r="U33" s="49">
        <f t="shared" ref="U33:U44" si="47">IFERROR(SUM(P33:T33),".")</f>
        <v>7.2340364639632039E-3</v>
      </c>
      <c r="V33" s="60">
        <f t="shared" ref="V33:Z34" si="48">IFERROR(V13/$B33,".")</f>
        <v>408512.06095965597</v>
      </c>
      <c r="W33" s="60">
        <f t="shared" si="48"/>
        <v>2665201.7249316075</v>
      </c>
      <c r="X33" s="60">
        <f t="shared" si="48"/>
        <v>664354.18752091157</v>
      </c>
      <c r="Y33" s="60">
        <f t="shared" si="48"/>
        <v>438136.88174023299</v>
      </c>
      <c r="Z33" s="60">
        <f t="shared" si="48"/>
        <v>20150208.722128104</v>
      </c>
      <c r="AA33" s="189">
        <f t="shared" ref="AA33:AE34" si="49">IFERROR(AA13/$B33,0)</f>
        <v>581.21396623166265</v>
      </c>
      <c r="AB33" s="189">
        <f t="shared" si="49"/>
        <v>3791.9381418409339</v>
      </c>
      <c r="AC33" s="189">
        <f t="shared" si="49"/>
        <v>945.21550087055221</v>
      </c>
      <c r="AD33" s="189">
        <f t="shared" si="49"/>
        <v>623.3629288457231</v>
      </c>
      <c r="AE33" s="189">
        <f t="shared" si="49"/>
        <v>28668.878721161029</v>
      </c>
      <c r="AF33" s="49">
        <f>IF(V33=".",".",s_RadSpec!$G$13*AF13*$B$33)</f>
        <v>6.1197703542145742E-5</v>
      </c>
      <c r="AG33" s="49">
        <f>IF(W33=".",".",s_RadSpec!$N$13*AG13*$B$33)</f>
        <v>9.3801530166132301E-6</v>
      </c>
      <c r="AH33" s="49">
        <f>IF(X33=".",".",s_RadSpec!$O$13*AH13*$B$33)</f>
        <v>3.7630529722841679E-5</v>
      </c>
      <c r="AI33" s="49">
        <f>IF(Y33=".",".",s_RadSpec!$P$13*AI13*$B$33)</f>
        <v>5.7059793507231484E-5</v>
      </c>
      <c r="AJ33" s="49">
        <f>IF(Z33=".",".",s_RadSpec!$L$13*AJ13*$B$33)</f>
        <v>1.2406819375794381E-6</v>
      </c>
      <c r="AK33" s="60">
        <f t="shared" ref="AK33:AM34" si="50">IFERROR(AK13/$B33,".")</f>
        <v>1.0697153554296412</v>
      </c>
      <c r="AL33" s="60">
        <f t="shared" si="50"/>
        <v>3172249.0057813111</v>
      </c>
      <c r="AM33" s="60">
        <f t="shared" si="50"/>
        <v>1.0697149947106201</v>
      </c>
      <c r="AN33" s="189">
        <f t="shared" ref="AN33:AN34" si="51">IFERROR(AN13/$B33,0)</f>
        <v>1.5219459943304904E-6</v>
      </c>
      <c r="AO33" s="49">
        <f>IF(AK33=".",".",s_RadSpec!$H$13*AO13*$B$33)</f>
        <v>23.370703124999999</v>
      </c>
      <c r="AP33" s="49">
        <f>IF(AL33=".",".",s_RadSpec!$K$13*AP13*$B$33)</f>
        <v>7.8808441438356164E-6</v>
      </c>
      <c r="AQ33" s="49">
        <f t="shared" ref="AQ33:AQ44" si="52">IFERROR(SUM(AO33:AP33),".")</f>
        <v>23.370711005844143</v>
      </c>
      <c r="AR33" s="60">
        <f t="shared" ref="AR33:AU34" si="53">IFERROR(AR13/$B33,".")</f>
        <v>24.570024570024568</v>
      </c>
      <c r="AS33" s="60">
        <f t="shared" si="53"/>
        <v>883463.12984842202</v>
      </c>
      <c r="AT33" s="63">
        <f t="shared" si="53"/>
        <v>982800982.80098259</v>
      </c>
      <c r="AU33" s="63" t="str">
        <f t="shared" si="53"/>
        <v>.</v>
      </c>
      <c r="AV33" s="233">
        <f t="shared" ref="AV33:AV76" si="54">IFERROR(1/AR33,0)</f>
        <v>4.07E-2</v>
      </c>
      <c r="AW33" s="233">
        <f t="shared" ref="AW33:AW76" si="55">IFERROR(1/AS33,0)</f>
        <v>1.1319091495890411E-6</v>
      </c>
      <c r="AX33" s="233">
        <f t="shared" ref="AX33:AX76" si="56">IFERROR(1/AT33,0)</f>
        <v>1.0175000000000003E-9</v>
      </c>
      <c r="AY33" s="233">
        <f t="shared" ref="AY33:AY76" si="57">IFERROR(1/AU33,0)</f>
        <v>0</v>
      </c>
      <c r="AZ33" s="63">
        <f t="shared" ref="AZ33:AZ34" si="58">IFERROR(AZ13/$B33,".")</f>
        <v>24.56934065698297</v>
      </c>
      <c r="BA33" s="189">
        <f t="shared" ref="BA33:BA34" si="59">IFERROR(BA13/$B33,0)</f>
        <v>3.4956235802184042E-5</v>
      </c>
      <c r="BB33" s="49">
        <f>IF(AR33=".",".",s_RadSpec!$I$13*BB13*$B$33)</f>
        <v>1.0175000000000001</v>
      </c>
      <c r="BC33" s="49">
        <f>IF(AS33=".",".",s_RadSpec!$M$13*BC13*$B$33)</f>
        <v>2.8297728739726028E-5</v>
      </c>
      <c r="BD33" s="49">
        <f>IF(AT33=".",".",s_RadSpec!$F$13*BD13*$B$33)</f>
        <v>2.5437499999999999E-8</v>
      </c>
      <c r="BE33" s="49" t="str">
        <f>IF(AU33=".",".",s_RadSpec!$F$13*BE13*$B$33)</f>
        <v>.</v>
      </c>
      <c r="BF33" s="49">
        <f t="shared" ref="BF33:BF76" si="60">IFERROR(SUM(BB33:BE33),".")</f>
        <v>1.01752832316624</v>
      </c>
      <c r="BG33" s="63">
        <f t="shared" ref="BG33:BH34" si="61">IFERROR(BG13/$B33,".")</f>
        <v>196.56019656019654</v>
      </c>
      <c r="BH33" s="63">
        <f t="shared" si="61"/>
        <v>196.56019656019654</v>
      </c>
      <c r="BI33" s="189">
        <f t="shared" ref="BI33:BJ33" si="62">IFERROR(BI13/$B33,0)</f>
        <v>0.27965767076167081</v>
      </c>
      <c r="BJ33" s="189">
        <f t="shared" si="62"/>
        <v>0.27965767076167081</v>
      </c>
      <c r="BK33" s="49">
        <f>IF(BG33=".",".",s_RadSpec!$F$13*BK13*$B$33)</f>
        <v>0.12718750000000001</v>
      </c>
      <c r="BL33" s="49">
        <f>IF(BH33=".",".",s_RadSpec!$F$13*BL13*$B$33)</f>
        <v>0.12718750000000001</v>
      </c>
    </row>
    <row r="34" spans="1:64" x14ac:dyDescent="0.25">
      <c r="A34" s="48" t="s">
        <v>1062</v>
      </c>
      <c r="B34" s="15">
        <v>1</v>
      </c>
      <c r="C34" s="42"/>
      <c r="D34" s="60">
        <f t="shared" si="44"/>
        <v>338430.09049620619</v>
      </c>
      <c r="E34" s="60">
        <f t="shared" si="44"/>
        <v>915715915.47957909</v>
      </c>
      <c r="F34" s="60">
        <f t="shared" si="44"/>
        <v>4039.5546153835076</v>
      </c>
      <c r="G34" s="63">
        <f t="shared" si="44"/>
        <v>423037613.12025762</v>
      </c>
      <c r="H34" s="63" t="str">
        <f t="shared" si="44"/>
        <v>.</v>
      </c>
      <c r="I34" s="233">
        <f t="shared" si="13"/>
        <v>2.9548200000000002E-6</v>
      </c>
      <c r="J34" s="233">
        <f t="shared" si="14"/>
        <v>1.0920417381588041E-9</v>
      </c>
      <c r="K34" s="233">
        <f t="shared" si="15"/>
        <v>2.4755204353266603E-4</v>
      </c>
      <c r="L34" s="233">
        <f t="shared" si="16"/>
        <v>2.3638560000000009E-9</v>
      </c>
      <c r="M34" s="233">
        <f t="shared" si="17"/>
        <v>0</v>
      </c>
      <c r="N34" s="63">
        <f t="shared" si="45"/>
        <v>3991.8515224192838</v>
      </c>
      <c r="O34" s="189">
        <f t="shared" si="46"/>
        <v>1.9241020500634167E-7</v>
      </c>
      <c r="P34" s="49">
        <f>IF(D34=".",".",s_RadSpec!$E$14*P14*$B$34)</f>
        <v>7.3870500000000004E-5</v>
      </c>
      <c r="Q34" s="49">
        <f>IF(E34=".",".",s_RadSpec!$H$14*Q14*$B$34)</f>
        <v>2.7301043453970099E-8</v>
      </c>
      <c r="R34" s="49">
        <f>IF(F34=".",".",s_RadSpec!$G$14*R14*$B$34)</f>
        <v>6.1888010883166516E-3</v>
      </c>
      <c r="S34" s="49">
        <f>IF(G34=".",".",s_RadSpec!$F$14*S14*$B$34)</f>
        <v>5.909640000000001E-8</v>
      </c>
      <c r="T34" s="49" t="str">
        <f>IF(H34=".",".",s_RadSpec!$F$14*T14*$B$34)</f>
        <v>.</v>
      </c>
      <c r="U34" s="49">
        <f t="shared" si="47"/>
        <v>6.2627579857601054E-3</v>
      </c>
      <c r="V34" s="60">
        <f t="shared" si="48"/>
        <v>4039.5546153835076</v>
      </c>
      <c r="W34" s="60">
        <f t="shared" si="48"/>
        <v>31482.328116433586</v>
      </c>
      <c r="X34" s="60">
        <f t="shared" si="48"/>
        <v>8374.1783912073406</v>
      </c>
      <c r="Y34" s="60">
        <f t="shared" si="48"/>
        <v>5020.1690841273212</v>
      </c>
      <c r="Z34" s="60">
        <f t="shared" si="48"/>
        <v>88252.633813528475</v>
      </c>
      <c r="AA34" s="189">
        <f t="shared" si="49"/>
        <v>1.9470952947899143E-7</v>
      </c>
      <c r="AB34" s="189">
        <f t="shared" si="49"/>
        <v>1.5174715725119722E-6</v>
      </c>
      <c r="AC34" s="189">
        <f t="shared" si="49"/>
        <v>4.0364161140827131E-7</v>
      </c>
      <c r="AD34" s="189">
        <f t="shared" si="49"/>
        <v>2.4197587440778058E-7</v>
      </c>
      <c r="AE34" s="189">
        <f t="shared" si="49"/>
        <v>4.2538424260127193E-6</v>
      </c>
      <c r="AF34" s="49">
        <f>IF(V34=".",".",s_RadSpec!$G$14*AF14*$B$34)</f>
        <v>6.1888010883166516E-3</v>
      </c>
      <c r="AG34" s="49">
        <f>IF(W34=".",".",s_RadSpec!$N$14*AG14*$B$34)</f>
        <v>7.9409629133971678E-4</v>
      </c>
      <c r="AH34" s="49">
        <f>IF(X34=".",".",s_RadSpec!$O$14*AH14*$B$34)</f>
        <v>2.9853674990073437E-3</v>
      </c>
      <c r="AI34" s="49">
        <f>IF(Y34=".",".",s_RadSpec!$P$14*AI14*$B$34)</f>
        <v>4.9799119473972588E-3</v>
      </c>
      <c r="AJ34" s="49">
        <f>IF(Z34=".",".",s_RadSpec!$L$14*AJ14*$B$34)</f>
        <v>2.8327766458305609E-4</v>
      </c>
      <c r="AK34" s="60">
        <f t="shared" si="50"/>
        <v>2955.7924294766399</v>
      </c>
      <c r="AL34" s="60">
        <f t="shared" si="50"/>
        <v>294297.10301746789</v>
      </c>
      <c r="AM34" s="60">
        <f t="shared" si="50"/>
        <v>2926.4009280986129</v>
      </c>
      <c r="AN34" s="189">
        <f t="shared" si="51"/>
        <v>1.4105469588331564E-10</v>
      </c>
      <c r="AO34" s="49">
        <f>IF(AK34=".",".",s_RadSpec!$H$14*AO14*$B$34)</f>
        <v>8.4579687499999993E-3</v>
      </c>
      <c r="AP34" s="49">
        <f>IF(AL34=".",".",s_RadSpec!$K$14*AP14*$B$34)</f>
        <v>8.4948168852739734E-5</v>
      </c>
      <c r="AQ34" s="49">
        <f t="shared" si="52"/>
        <v>8.5429169188527398E-3</v>
      </c>
      <c r="AR34" s="60">
        <f t="shared" si="53"/>
        <v>2326.7068721614173</v>
      </c>
      <c r="AS34" s="60">
        <f t="shared" si="53"/>
        <v>83994.277862436182</v>
      </c>
      <c r="AT34" s="63">
        <f t="shared" si="53"/>
        <v>1861365497729.1338</v>
      </c>
      <c r="AU34" s="63" t="str">
        <f t="shared" si="53"/>
        <v>.</v>
      </c>
      <c r="AV34" s="233">
        <f t="shared" si="54"/>
        <v>4.2979200000000008E-4</v>
      </c>
      <c r="AW34" s="233">
        <f t="shared" si="55"/>
        <v>1.1905572920547946E-5</v>
      </c>
      <c r="AX34" s="233">
        <f t="shared" si="56"/>
        <v>5.3724000000000004E-13</v>
      </c>
      <c r="AY34" s="233">
        <f t="shared" si="57"/>
        <v>0</v>
      </c>
      <c r="AZ34" s="63">
        <f t="shared" si="58"/>
        <v>2263.992514542459</v>
      </c>
      <c r="BA34" s="189">
        <f t="shared" si="59"/>
        <v>1.0912611889731071E-10</v>
      </c>
      <c r="BB34" s="49">
        <f>IF(AR34=".",".",s_RadSpec!$I$14*BB14*$B$34)</f>
        <v>1.0744800000000001E-2</v>
      </c>
      <c r="BC34" s="49">
        <f>IF(AS34=".",".",s_RadSpec!$M$14*BC14*$B$34)</f>
        <v>2.9763932301369862E-4</v>
      </c>
      <c r="BD34" s="49">
        <f>IF(AT34=".",".",s_RadSpec!$F$14*BD14*$B$34)</f>
        <v>1.3431000000000003E-11</v>
      </c>
      <c r="BE34" s="49" t="str">
        <f>IF(AU34=".",".",s_RadSpec!$F$14*BE14*$B$34)</f>
        <v>.</v>
      </c>
      <c r="BF34" s="49">
        <f t="shared" si="60"/>
        <v>1.1042439336444698E-2</v>
      </c>
      <c r="BG34" s="63">
        <f t="shared" si="61"/>
        <v>18613.654977291339</v>
      </c>
      <c r="BH34" s="63">
        <f t="shared" si="61"/>
        <v>18613.654977291339</v>
      </c>
      <c r="BI34" s="189">
        <f t="shared" ref="BI34:BJ34" si="63">IFERROR(BI14/$B34,0)</f>
        <v>8.9719197970754598E-7</v>
      </c>
      <c r="BJ34" s="189">
        <f t="shared" si="63"/>
        <v>8.9719197970754598E-7</v>
      </c>
      <c r="BK34" s="49">
        <f>IF(BG34=".",".",s_RadSpec!$F$14*BK14*$B$34)</f>
        <v>1.3431000000000001E-3</v>
      </c>
      <c r="BL34" s="49">
        <f>IF(BH34=".",".",s_RadSpec!$F$14*BL14*$B$34)</f>
        <v>1.3431000000000001E-3</v>
      </c>
    </row>
    <row r="35" spans="1:64" x14ac:dyDescent="0.25">
      <c r="A35" s="48" t="s">
        <v>1063</v>
      </c>
      <c r="B35" s="15">
        <v>1</v>
      </c>
      <c r="C35" s="42"/>
      <c r="D35" s="60">
        <f>IFERROR(D30/$B35,".")</f>
        <v>7420.7262367938902</v>
      </c>
      <c r="E35" s="60">
        <f>IFERROR(E30/$B35,".")</f>
        <v>405404.32762979425</v>
      </c>
      <c r="F35" s="60">
        <f>IFERROR(F30/$B35,".")</f>
        <v>14441695.906155089</v>
      </c>
      <c r="G35" s="63">
        <f>IFERROR(G30/$B35,".")</f>
        <v>129888.44252811812</v>
      </c>
      <c r="H35" s="63">
        <f>IFERROR(H30/$B35,".")</f>
        <v>67.541990114621413</v>
      </c>
      <c r="I35" s="233">
        <f t="shared" si="13"/>
        <v>1.3475769999999999E-4</v>
      </c>
      <c r="J35" s="233">
        <f t="shared" si="14"/>
        <v>2.46667322434993E-6</v>
      </c>
      <c r="K35" s="233">
        <f t="shared" si="15"/>
        <v>6.9243945205479453E-8</v>
      </c>
      <c r="L35" s="233">
        <f t="shared" si="16"/>
        <v>7.6989143955862043E-6</v>
      </c>
      <c r="M35" s="233">
        <f t="shared" si="17"/>
        <v>1.480560460689655E-2</v>
      </c>
      <c r="N35" s="63">
        <f>IFERROR(N30/$B35,".")</f>
        <v>66.886960483164543</v>
      </c>
      <c r="O35" s="189">
        <f>IFERROR(O30/$B35,0)</f>
        <v>6.9470188406592749E-3</v>
      </c>
      <c r="P35" s="49">
        <f>IF(D35=".",".",s_RadSpec!$E$30*P30*$B$35)</f>
        <v>3.3689424999999999E-3</v>
      </c>
      <c r="Q35" s="49">
        <f>IF(E35=".",".",s_RadSpec!$H$30*Q30*$B$35)</f>
        <v>6.1666830608748247E-5</v>
      </c>
      <c r="R35" s="49">
        <f>IF(F35=".",".",s_RadSpec!$G$30*R30*$B$35)</f>
        <v>1.7310986301369863E-6</v>
      </c>
      <c r="S35" s="49">
        <f>IF(G35=".",".",s_RadSpec!$F$30*S30*$B$35)</f>
        <v>1.9247285988965515E-4</v>
      </c>
      <c r="T35" s="49">
        <f>IF(H35=".",".",s_RadSpec!$F$30*T30*$B$35)</f>
        <v>0.37014011517241374</v>
      </c>
      <c r="U35" s="49">
        <f t="shared" si="47"/>
        <v>0.3737649284615423</v>
      </c>
      <c r="V35" s="60">
        <f>IFERROR(V30/$B35,".")</f>
        <v>14441695.906155089</v>
      </c>
      <c r="W35" s="60">
        <f>IFERROR(W30/$B35,".")</f>
        <v>240060106.37366581</v>
      </c>
      <c r="X35" s="60">
        <f>IFERROR(X30/$B35,".")</f>
        <v>35737546.687517479</v>
      </c>
      <c r="Y35" s="60">
        <f>IFERROR(Y30/$B35,".")</f>
        <v>19615618.747881718</v>
      </c>
      <c r="Z35" s="60">
        <f>IFERROR(Z30/$B35,".")</f>
        <v>2862331650.1341968</v>
      </c>
      <c r="AA35" s="189">
        <f t="shared" ref="AA35:AE35" si="64">IFERROR(AA30/$B35,0)</f>
        <v>1499.9445755407521</v>
      </c>
      <c r="AB35" s="189">
        <f t="shared" si="64"/>
        <v>24933.14197299019</v>
      </c>
      <c r="AC35" s="189">
        <f t="shared" si="64"/>
        <v>3711.7759330626754</v>
      </c>
      <c r="AD35" s="189">
        <f t="shared" si="64"/>
        <v>2037.3189636419909</v>
      </c>
      <c r="AE35" s="189">
        <f t="shared" si="64"/>
        <v>297287.71883276996</v>
      </c>
      <c r="AF35" s="49">
        <f>IF(V35=".",".",s_RadSpec!$G$30*AF30*$B$35)</f>
        <v>1.7310986301369863E-6</v>
      </c>
      <c r="AG35" s="49">
        <f>IF(W35=".",".",s_RadSpec!$N$30*AG30*$B$35)</f>
        <v>1.0414058536276003E-7</v>
      </c>
      <c r="AH35" s="49">
        <f>IF(X35=".",".",s_RadSpec!$O$30*AH30*$B$35)</f>
        <v>6.9954438167217791E-7</v>
      </c>
      <c r="AI35" s="49">
        <f>IF(Y35=".",".",s_RadSpec!$P$30*AI30*$B$35)</f>
        <v>1.2744945913418987E-6</v>
      </c>
      <c r="AJ35" s="49">
        <f>IF(Z35=".",".",s_RadSpec!$L$30*AJ30*$B$35)</f>
        <v>8.7341381278538827E-9</v>
      </c>
      <c r="AK35" s="60">
        <f>IFERROR(AK30/$B35,".")</f>
        <v>1.3085838328556778</v>
      </c>
      <c r="AL35" s="60">
        <f>IFERROR(AL30/$B35,".")</f>
        <v>257371145.75206867</v>
      </c>
      <c r="AM35" s="60">
        <f>IFERROR(AM30/$B35,".")</f>
        <v>1.3085838262022838</v>
      </c>
      <c r="AN35" s="189">
        <f t="shared" ref="AN35" si="65">IFERROR(AN30/$B35,0)</f>
        <v>1.359122380437277E-7</v>
      </c>
      <c r="AO35" s="49">
        <f>IF(AK35=".",".",s_RadSpec!$H$30*AO30*$B$35)</f>
        <v>19.104622395833328</v>
      </c>
      <c r="AP35" s="49">
        <f>IF(AL35=".",".",s_RadSpec!$K$30*AP30*$B$35)</f>
        <v>9.7135985958904111E-8</v>
      </c>
      <c r="AQ35" s="49">
        <f t="shared" si="52"/>
        <v>19.104622492969312</v>
      </c>
      <c r="AR35" s="60">
        <f>IFERROR(AR30/$B35,".")</f>
        <v>51.017492877957999</v>
      </c>
      <c r="AS35" s="60">
        <f>IFERROR(AS30/$B35,".")</f>
        <v>72556759.174785301</v>
      </c>
      <c r="AT35" s="63">
        <f>IFERROR(AT30/$B35,".")</f>
        <v>523256337.20982558</v>
      </c>
      <c r="AU35" s="63">
        <f>IFERROR(AU30/$B35,".")</f>
        <v>272093.29534910934</v>
      </c>
      <c r="AV35" s="233">
        <f t="shared" si="54"/>
        <v>1.960112E-2</v>
      </c>
      <c r="AW35" s="233">
        <f t="shared" si="55"/>
        <v>1.3782313479452054E-8</v>
      </c>
      <c r="AX35" s="233">
        <f t="shared" si="56"/>
        <v>1.9111092000000002E-9</v>
      </c>
      <c r="AY35" s="233">
        <f t="shared" si="57"/>
        <v>3.6752099999999994E-6</v>
      </c>
      <c r="AZ35" s="63">
        <f>IFERROR(AZ30/$B35,".")</f>
        <v>51.007888060038177</v>
      </c>
      <c r="BA35" s="189">
        <f t="shared" ref="BA35" si="66">IFERROR(BA30/$B35,0)</f>
        <v>5.2977853503227305E-6</v>
      </c>
      <c r="BB35" s="49">
        <f>IF(AR35=".",".",s_RadSpec!$I$30*BB30*$B$35)</f>
        <v>0.49002800000000002</v>
      </c>
      <c r="BC35" s="49">
        <f>IF(AS35=".",".",s_RadSpec!$M$30*BC30*$B$35)</f>
        <v>3.4455783698630136E-7</v>
      </c>
      <c r="BD35" s="49">
        <f>IF(AT35=".",".",s_RadSpec!$F$30*BD30*$B$35)</f>
        <v>4.7777729999999999E-8</v>
      </c>
      <c r="BE35" s="49">
        <f>IF(AU35=".",".",s_RadSpec!$F$30*BE30*$B$35)</f>
        <v>9.1880249999999998E-5</v>
      </c>
      <c r="BF35" s="49">
        <f t="shared" si="60"/>
        <v>0.49012027258556701</v>
      </c>
      <c r="BG35" s="63">
        <f>IFERROR(BG30/$B35,".")</f>
        <v>408.13994302366399</v>
      </c>
      <c r="BH35" s="63">
        <f>IFERROR(BH30/$B35,".")</f>
        <v>408.13994302366399</v>
      </c>
      <c r="BI35" s="189">
        <f t="shared" ref="BI35:BJ35" si="67">IFERROR(BI30/$B35,0)</f>
        <v>4.239026341351923E-2</v>
      </c>
      <c r="BJ35" s="189">
        <f t="shared" si="67"/>
        <v>4.239026341351923E-2</v>
      </c>
      <c r="BK35" s="49">
        <f>IF(BG35=".",".",s_RadSpec!$F$30*BK30*$B$35)</f>
        <v>6.1253500000000002E-2</v>
      </c>
      <c r="BL35" s="49">
        <f>IF(BH35=".",".",s_RadSpec!$F$30*BL30*$B$35)</f>
        <v>6.1253500000000002E-2</v>
      </c>
    </row>
    <row r="36" spans="1:64" x14ac:dyDescent="0.25">
      <c r="A36" s="48" t="s">
        <v>1064</v>
      </c>
      <c r="B36" s="15">
        <v>1</v>
      </c>
      <c r="C36" s="42"/>
      <c r="D36" s="60">
        <f>IFERROR(D26/$B36,".")</f>
        <v>733.54305329226952</v>
      </c>
      <c r="E36" s="60">
        <f>IFERROR(E26/$B36,".")</f>
        <v>55306.815557442133</v>
      </c>
      <c r="F36" s="60">
        <f>IFERROR(F26/$B36,".")</f>
        <v>48492.40536312716</v>
      </c>
      <c r="G36" s="63">
        <f>IFERROR(G26/$B36,".")</f>
        <v>21873.759927333755</v>
      </c>
      <c r="H36" s="63" t="str">
        <f>IFERROR(H26/$B36,".")</f>
        <v>.</v>
      </c>
      <c r="I36" s="233">
        <f t="shared" si="13"/>
        <v>1.3632465000000002E-3</v>
      </c>
      <c r="J36" s="233">
        <f t="shared" si="14"/>
        <v>1.8080954217322301E-5</v>
      </c>
      <c r="K36" s="233">
        <f t="shared" si="15"/>
        <v>2.0621785875781363E-5</v>
      </c>
      <c r="L36" s="233">
        <f t="shared" si="16"/>
        <v>4.5716877360000014E-5</v>
      </c>
      <c r="M36" s="233">
        <f t="shared" si="17"/>
        <v>0</v>
      </c>
      <c r="N36" s="63">
        <f>IFERROR(N26/$B36,".")</f>
        <v>690.76701315584546</v>
      </c>
      <c r="O36" s="189">
        <f>IFERROR(O26/$B36,0)</f>
        <v>3.2510313968527765E-3</v>
      </c>
      <c r="P36" s="49">
        <f>IF(D36=".",".",s_RadSpec!$E$26*P26*$B$36)</f>
        <v>3.4081162500000005E-2</v>
      </c>
      <c r="Q36" s="49">
        <f>IF(E36=".",".",s_RadSpec!$H$26*Q26*$B$36)</f>
        <v>4.5202385543305752E-4</v>
      </c>
      <c r="R36" s="49">
        <f>IF(F36=".",".",s_RadSpec!$G$26*R26*$B$36)</f>
        <v>5.1554464689453408E-4</v>
      </c>
      <c r="S36" s="49">
        <f>IF(G36=".",".",s_RadSpec!$F$26*S26*$B$36)</f>
        <v>1.142921934E-3</v>
      </c>
      <c r="T36" s="49" t="str">
        <f>IF(H36=".",".",s_RadSpec!$F$26*T26*$B$36)</f>
        <v>.</v>
      </c>
      <c r="U36" s="49">
        <f t="shared" si="47"/>
        <v>3.6191652936327597E-2</v>
      </c>
      <c r="V36" s="60">
        <f>IFERROR(V26/$B36,".")</f>
        <v>48492.40536312716</v>
      </c>
      <c r="W36" s="60">
        <f>IFERROR(W26/$B36,".")</f>
        <v>297046.02457336063</v>
      </c>
      <c r="X36" s="60">
        <f>IFERROR(X26/$B36,".")</f>
        <v>84228.180249818906</v>
      </c>
      <c r="Y36" s="60">
        <f>IFERROR(Y26/$B36,".")</f>
        <v>55457.148764987629</v>
      </c>
      <c r="Z36" s="60">
        <f>IFERROR(Z26/$B36,".")</f>
        <v>1638538.3730381432</v>
      </c>
      <c r="AA36" s="189">
        <f t="shared" ref="AA36:AE36" si="68">IFERROR(AA26/$B36,0)</f>
        <v>0.2282250445402646</v>
      </c>
      <c r="AB36" s="189">
        <f t="shared" si="68"/>
        <v>1.3980197864202613</v>
      </c>
      <c r="AC36" s="189">
        <f t="shared" si="68"/>
        <v>0.39641218135318973</v>
      </c>
      <c r="AD36" s="189">
        <f t="shared" si="68"/>
        <v>0.26100396860472791</v>
      </c>
      <c r="AE36" s="189">
        <f t="shared" si="68"/>
        <v>7.7116301071737023</v>
      </c>
      <c r="AF36" s="49">
        <f>IF(V36=".",".",s_RadSpec!$G$26*AF26*$B$36)</f>
        <v>5.1554464689453408E-4</v>
      </c>
      <c r="AG36" s="49">
        <f>IF(W36=".",".",s_RadSpec!$N$26*AG26*$B$36)</f>
        <v>8.416204201320937E-5</v>
      </c>
      <c r="AH36" s="49">
        <f>IF(X36=".",".",s_RadSpec!$O$26*AH26*$B$36)</f>
        <v>2.9681277603114015E-4</v>
      </c>
      <c r="AI36" s="49">
        <f>IF(Y36=".",".",s_RadSpec!$P$26*AI26*$B$36)</f>
        <v>4.5079850942108873E-4</v>
      </c>
      <c r="AJ36" s="49">
        <f>IF(Z36=".",".",s_RadSpec!$L$26*AJ26*$B$36)</f>
        <v>1.5257500471988052E-5</v>
      </c>
      <c r="AK36" s="60">
        <f>IFERROR(AK26/$B36,".")</f>
        <v>0.17852203282666859</v>
      </c>
      <c r="AL36" s="60">
        <f>IFERROR(AL26/$B36,".")</f>
        <v>821727.15209997806</v>
      </c>
      <c r="AM36" s="60">
        <f>IFERROR(AM26/$B36,".")</f>
        <v>0.17852199404237237</v>
      </c>
      <c r="AN36" s="189">
        <f t="shared" ref="AN36" si="69">IFERROR(AN26/$B36,0)</f>
        <v>8.4019734093697374E-10</v>
      </c>
      <c r="AO36" s="49">
        <f>IF(AK36=".",".",s_RadSpec!$H$26*AO26*$B$36)</f>
        <v>140.03873697916663</v>
      </c>
      <c r="AP36" s="49">
        <f>IF(AL36=".",".",s_RadSpec!$K$26*AP26*$B$36)</f>
        <v>3.0423723904109589E-5</v>
      </c>
      <c r="AQ36" s="49">
        <f t="shared" si="52"/>
        <v>140.03876740289053</v>
      </c>
      <c r="AR36" s="60">
        <f>IFERROR(AR26/$B36,".")</f>
        <v>5.0431084913843529</v>
      </c>
      <c r="AS36" s="60">
        <f>IFERROR(AS26/$B36,".")</f>
        <v>230416.73521722358</v>
      </c>
      <c r="AT36" s="63">
        <f>IFERROR(AT26/$B36,".")</f>
        <v>87706234.632771343</v>
      </c>
      <c r="AU36" s="63" t="str">
        <f>IFERROR(AU26/$B36,".")</f>
        <v>.</v>
      </c>
      <c r="AV36" s="233">
        <f t="shared" si="54"/>
        <v>0.19829040000000003</v>
      </c>
      <c r="AW36" s="233">
        <f t="shared" si="55"/>
        <v>4.3399625424657536E-6</v>
      </c>
      <c r="AX36" s="233">
        <f t="shared" si="56"/>
        <v>1.1401698000000003E-8</v>
      </c>
      <c r="AY36" s="233">
        <f t="shared" si="57"/>
        <v>0</v>
      </c>
      <c r="AZ36" s="63">
        <f>IFERROR(AZ26/$B36,".")</f>
        <v>5.0429978258130292</v>
      </c>
      <c r="BA36" s="189">
        <f t="shared" ref="BA36" si="70">IFERROR(BA26/$B36,0)</f>
        <v>2.3734405311389051E-8</v>
      </c>
      <c r="BB36" s="49">
        <f>IF(AR36=".",".",s_RadSpec!$I$26*BB26*$B$36)</f>
        <v>4.9572600000000007</v>
      </c>
      <c r="BC36" s="49">
        <f>IF(AS36=".",".",s_RadSpec!$M$26*BC26*$B$36)</f>
        <v>1.0849906356164383E-4</v>
      </c>
      <c r="BD36" s="49">
        <f>IF(AT36=".",".",s_RadSpec!$F$26*BD26*$B$36)</f>
        <v>2.8504245000000006E-7</v>
      </c>
      <c r="BE36" s="49" t="str">
        <f>IF(AU36=".",".",s_RadSpec!$F$26*BE26*$B$36)</f>
        <v>.</v>
      </c>
      <c r="BF36" s="49">
        <f t="shared" si="60"/>
        <v>4.9573687841060128</v>
      </c>
      <c r="BG36" s="63">
        <f>IFERROR(BG26/$B36,".")</f>
        <v>40.344867931074823</v>
      </c>
      <c r="BH36" s="63">
        <f>IFERROR(BH26/$B36,".")</f>
        <v>40.344867931074823</v>
      </c>
      <c r="BI36" s="189">
        <f t="shared" ref="BI36:BJ36" si="71">IFERROR(BI26/$B36,0)</f>
        <v>1.8987940918975402E-4</v>
      </c>
      <c r="BJ36" s="189">
        <f t="shared" si="71"/>
        <v>1.8987940918975402E-4</v>
      </c>
      <c r="BK36" s="49">
        <f>IF(BG36=".",".",s_RadSpec!$F$26*BK26*$B$36)</f>
        <v>0.61965750000000008</v>
      </c>
      <c r="BL36" s="49">
        <f>IF(BH36=".",".",s_RadSpec!$F$26*BL26*$B$36)</f>
        <v>0.61965750000000008</v>
      </c>
    </row>
    <row r="37" spans="1:64" x14ac:dyDescent="0.25">
      <c r="A37" s="48" t="s">
        <v>1065</v>
      </c>
      <c r="B37" s="15">
        <v>1</v>
      </c>
      <c r="C37" s="42"/>
      <c r="D37" s="60">
        <f>IFERROR(D22/$B37,".")</f>
        <v>1877.0072246008076</v>
      </c>
      <c r="E37" s="60">
        <f>IFERROR(E22/$B37,".")</f>
        <v>496511.84002222132</v>
      </c>
      <c r="F37" s="60">
        <f>IFERROR(F22/$B37,".")</f>
        <v>857711921194.53076</v>
      </c>
      <c r="G37" s="63">
        <f>IFERROR(G22/$B37,".")</f>
        <v>7445.3541097841944</v>
      </c>
      <c r="H37" s="63" t="str">
        <f>IFERROR(H22/$B37,".")</f>
        <v>.</v>
      </c>
      <c r="I37" s="233">
        <f t="shared" si="13"/>
        <v>5.3276300000000001E-4</v>
      </c>
      <c r="J37" s="233">
        <f t="shared" si="14"/>
        <v>2.0140506618235832E-6</v>
      </c>
      <c r="K37" s="233">
        <f t="shared" si="15"/>
        <v>1.1658926211580519E-12</v>
      </c>
      <c r="L37" s="233">
        <f t="shared" si="16"/>
        <v>1.3431194611494244E-4</v>
      </c>
      <c r="M37" s="233">
        <f t="shared" si="17"/>
        <v>0</v>
      </c>
      <c r="N37" s="63">
        <f>IFERROR(N22/$B37,".")</f>
        <v>1494.5694863834851</v>
      </c>
      <c r="O37" s="189">
        <f>IFERROR(O22/$B37,0)</f>
        <v>3.8437051421045985E-8</v>
      </c>
      <c r="P37" s="49">
        <f>IF(D37=".",".",s_RadSpec!$E$22*P22*$B$37)</f>
        <v>1.3319075000000001E-2</v>
      </c>
      <c r="Q37" s="49">
        <f>IF(E37=".",".",s_RadSpec!$H$22*Q22*$B$37)</f>
        <v>5.0351266545589589E-5</v>
      </c>
      <c r="R37" s="49">
        <f>IF(F37=".",".",s_RadSpec!$G$22*R22*$B$37)</f>
        <v>2.9147315528951304E-11</v>
      </c>
      <c r="S37" s="49">
        <f>IF(G37=".",".",s_RadSpec!$F$22*S22*$B$37)</f>
        <v>3.3577986528735611E-3</v>
      </c>
      <c r="T37" s="49" t="str">
        <f>IF(H37=".",".",s_RadSpec!$F$22*T22*$B$37)</f>
        <v>.</v>
      </c>
      <c r="U37" s="49">
        <f t="shared" si="47"/>
        <v>1.6727224948566467E-2</v>
      </c>
      <c r="V37" s="60">
        <f>IFERROR(V22/$B37,".")</f>
        <v>857711921194.53076</v>
      </c>
      <c r="W37" s="60">
        <f>IFERROR(W22/$B37,".")</f>
        <v>1083505832191.0793</v>
      </c>
      <c r="X37" s="60">
        <f>IFERROR(X22/$B37,".")</f>
        <v>606354150746.2793</v>
      </c>
      <c r="Y37" s="60">
        <f>IFERROR(Y22/$B37,".")</f>
        <v>622211536669.53796</v>
      </c>
      <c r="Z37" s="60">
        <f>IFERROR(Z22/$B37,".")</f>
        <v>3059291818708.1226</v>
      </c>
      <c r="AA37" s="189">
        <f t="shared" ref="AA37:AE37" si="72">IFERROR(AA22/$B37,0)</f>
        <v>22.05847069658374</v>
      </c>
      <c r="AB37" s="189">
        <f t="shared" si="72"/>
        <v>27.865395196651143</v>
      </c>
      <c r="AC37" s="189">
        <f t="shared" si="72"/>
        <v>15.594099761795418</v>
      </c>
      <c r="AD37" s="189">
        <f t="shared" si="72"/>
        <v>16.001916971827278</v>
      </c>
      <c r="AE37" s="189">
        <f t="shared" si="72"/>
        <v>78.678280280036063</v>
      </c>
      <c r="AF37" s="49">
        <f>IF(V37=".",".",s_RadSpec!$G$22*AF22*$B$37)</f>
        <v>2.9147315528951304E-11</v>
      </c>
      <c r="AG37" s="49">
        <f>IF(W37=".",".",s_RadSpec!$N$22*AG22*$B$37)</f>
        <v>2.3073249130043609E-11</v>
      </c>
      <c r="AH37" s="49">
        <f>IF(X37=".",".",s_RadSpec!$O$22*AH22*$B$37)</f>
        <v>4.1230030287136454E-11</v>
      </c>
      <c r="AI37" s="49">
        <f>IF(Y37=".",".",s_RadSpec!$P$22*AI22*$B$37)</f>
        <v>4.0179261435452487E-11</v>
      </c>
      <c r="AJ37" s="49">
        <f>IF(Z37=".",".",s_RadSpec!$L$22*AJ22*$B$37)</f>
        <v>8.1718258608480827E-12</v>
      </c>
      <c r="AK37" s="60">
        <f>IFERROR(AK22/$B37,".")</f>
        <v>1.6026650985033866</v>
      </c>
      <c r="AL37" s="60">
        <f>IFERROR(AL22/$B37,".")</f>
        <v>11045077.510007802</v>
      </c>
      <c r="AM37" s="60">
        <f>IFERROR(AM22/$B37,".")</f>
        <v>1.602664865953181</v>
      </c>
      <c r="AN37" s="189">
        <f t="shared" ref="AN37" si="73">IFERROR(AN22/$B37,0)</f>
        <v>4.1217027662198683E-14</v>
      </c>
      <c r="AO37" s="49">
        <f>IF(AK37=".",".",s_RadSpec!$H$22*AO22*$B$37)</f>
        <v>15.59901692708333</v>
      </c>
      <c r="AP37" s="49">
        <f>IF(AL37=".",".",s_RadSpec!$K$22*AP22*$B$37)</f>
        <v>2.2634517482876713E-6</v>
      </c>
      <c r="AQ37" s="49">
        <f t="shared" si="52"/>
        <v>15.599019190535078</v>
      </c>
      <c r="AR37" s="60">
        <f>IFERROR(AR22/$B37,".")</f>
        <v>12.904424669130551</v>
      </c>
      <c r="AS37" s="60">
        <f>IFERROR(AS22/$B37,".")</f>
        <v>3140117.570179475</v>
      </c>
      <c r="AT37" s="63">
        <f>IFERROR(AT22/$B37,".")</f>
        <v>30363352.162660118</v>
      </c>
      <c r="AU37" s="63" t="str">
        <f>IFERROR(AU22/$B37,".")</f>
        <v>.</v>
      </c>
      <c r="AV37" s="233">
        <f t="shared" si="54"/>
        <v>7.7492800000000001E-2</v>
      </c>
      <c r="AW37" s="233">
        <f t="shared" si="55"/>
        <v>3.1845941358904105E-7</v>
      </c>
      <c r="AX37" s="233">
        <f t="shared" si="56"/>
        <v>3.2934440000000004E-8</v>
      </c>
      <c r="AY37" s="233">
        <f t="shared" si="57"/>
        <v>0</v>
      </c>
      <c r="AZ37" s="63">
        <f>IFERROR(AZ22/$B37,".")</f>
        <v>12.904366153823958</v>
      </c>
      <c r="BA37" s="189">
        <f t="shared" ref="BA37" si="74">IFERROR(BA22/$B37,0)</f>
        <v>3.3187201393409741E-13</v>
      </c>
      <c r="BB37" s="49">
        <f>IF(AR37=".",".",s_RadSpec!$I$22*BB22*$B$37)</f>
        <v>1.9373200000000002</v>
      </c>
      <c r="BC37" s="49">
        <f>IF(AS37=".",".",s_RadSpec!$M$22*BC22*$B$37)</f>
        <v>7.9614853397260269E-6</v>
      </c>
      <c r="BD37" s="49">
        <f>IF(AT37=".",".",s_RadSpec!$F$22*BD22*$B$37)</f>
        <v>8.233609999999999E-7</v>
      </c>
      <c r="BE37" s="49" t="str">
        <f>IF(AU37=".",".",s_RadSpec!$F$22*BE22*$B$37)</f>
        <v>.</v>
      </c>
      <c r="BF37" s="49">
        <f t="shared" si="60"/>
        <v>1.9373287848463399</v>
      </c>
      <c r="BG37" s="63">
        <f>IFERROR(BG22/$B37,".")</f>
        <v>103.23539735304441</v>
      </c>
      <c r="BH37" s="63">
        <f>IFERROR(BH22/$B37,".")</f>
        <v>103.23539735304441</v>
      </c>
      <c r="BI37" s="189">
        <f t="shared" ref="BI37:BJ37" si="75">IFERROR(BI22/$B37,0)</f>
        <v>2.6549881505562421E-9</v>
      </c>
      <c r="BJ37" s="189">
        <f t="shared" si="75"/>
        <v>2.6549881505562421E-9</v>
      </c>
      <c r="BK37" s="49">
        <f>IF(BG37=".",".",s_RadSpec!$F$22*BK22*$B$37)</f>
        <v>0.24216500000000002</v>
      </c>
      <c r="BL37" s="49">
        <f>IF(BH37=".",".",s_RadSpec!$F$22*BL22*$B$37)</f>
        <v>0.24216500000000002</v>
      </c>
    </row>
    <row r="38" spans="1:64" x14ac:dyDescent="0.25">
      <c r="A38" s="48" t="s">
        <v>1066</v>
      </c>
      <c r="B38" s="15">
        <v>1</v>
      </c>
      <c r="C38" s="42"/>
      <c r="D38" s="60">
        <f>IFERROR(D2/$B38,".")</f>
        <v>8541.6389953153375</v>
      </c>
      <c r="E38" s="60">
        <f>IFERROR(E2/$B38,".")</f>
        <v>454865.42206828768</v>
      </c>
      <c r="F38" s="60">
        <f>IFERROR(F2/$B38,".")</f>
        <v>159930.45372283383</v>
      </c>
      <c r="G38" s="63">
        <f>IFERROR(G2/$B38,".")</f>
        <v>2669262.1860360424</v>
      </c>
      <c r="H38" s="63" t="str">
        <f>IFERROR(H2/$B38,".")</f>
        <v>.</v>
      </c>
      <c r="I38" s="233">
        <f t="shared" si="13"/>
        <v>1.1707355000000001E-4</v>
      </c>
      <c r="J38" s="233">
        <f t="shared" si="14"/>
        <v>2.1984524465565395E-6</v>
      </c>
      <c r="K38" s="233">
        <f t="shared" si="15"/>
        <v>6.2527178327965097E-6</v>
      </c>
      <c r="L38" s="233">
        <f t="shared" si="16"/>
        <v>3.7463536000000008E-7</v>
      </c>
      <c r="M38" s="233">
        <f t="shared" si="17"/>
        <v>0</v>
      </c>
      <c r="N38" s="63">
        <f>IFERROR(N2/$B38,".")</f>
        <v>7942.8524071605698</v>
      </c>
      <c r="O38" s="189">
        <f>IFERROR(O2/$B38,0)</f>
        <v>1.3709580867153859E-7</v>
      </c>
      <c r="P38" s="49">
        <f>IF(D38=".",".",s_RadSpec!$E$2*P2*$B$38)</f>
        <v>2.9268387500000002E-3</v>
      </c>
      <c r="Q38" s="49">
        <f>IF(E38=".",".",s_RadSpec!$H$2*Q2*$B$38)</f>
        <v>5.4961311163913495E-5</v>
      </c>
      <c r="R38" s="49">
        <f>IF(F38=".",".",s_RadSpec!$G$2*R2*$B$38)</f>
        <v>1.5631794581991279E-4</v>
      </c>
      <c r="S38" s="49">
        <f>IF(G38=".",".",s_RadSpec!$F$2*S2*$B$38)</f>
        <v>9.3658840000000008E-6</v>
      </c>
      <c r="T38" s="49" t="str">
        <f>IF(H38=".",".",s_RadSpec!$F$2*T2*$B$38)</f>
        <v>.</v>
      </c>
      <c r="U38" s="49">
        <f t="shared" si="47"/>
        <v>3.1474838909838262E-3</v>
      </c>
      <c r="V38" s="60">
        <f>IFERROR(V2/$B38,".")</f>
        <v>159930.45372283383</v>
      </c>
      <c r="W38" s="60">
        <f>IFERROR(W2/$B38,".")</f>
        <v>1171747.4166652781</v>
      </c>
      <c r="X38" s="60">
        <f>IFERROR(X2/$B38,".")</f>
        <v>304680.88075569406</v>
      </c>
      <c r="Y38" s="60">
        <f>IFERROR(Y2/$B38,".")</f>
        <v>187870.76064727246</v>
      </c>
      <c r="Z38" s="60">
        <f>IFERROR(Z2/$B38,".")</f>
        <v>8766619.3617310077</v>
      </c>
      <c r="AA38" s="189">
        <f t="shared" ref="AA38:AE38" si="76">IFERROR(AA2/$B38,0)</f>
        <v>2.760443447818776E-6</v>
      </c>
      <c r="AB38" s="189">
        <f t="shared" si="76"/>
        <v>2.0224681438332199E-5</v>
      </c>
      <c r="AC38" s="189">
        <f t="shared" si="76"/>
        <v>5.258875476057185E-6</v>
      </c>
      <c r="AD38" s="189">
        <f t="shared" si="76"/>
        <v>3.2427008002131959E-6</v>
      </c>
      <c r="AE38" s="189">
        <f t="shared" si="76"/>
        <v>1.5131425199700095E-4</v>
      </c>
      <c r="AF38" s="49">
        <f>IF(V38=".",".",s_RadSpec!$G$2*AF2*$B$38)</f>
        <v>1.5631794581991279E-4</v>
      </c>
      <c r="AG38" s="49">
        <f>IF(W38=".",".",s_RadSpec!$N$2*AG2*$B$38)</f>
        <v>2.1335656169952112E-5</v>
      </c>
      <c r="AH38" s="49">
        <f>IF(X38=".",".",s_RadSpec!$O$2*AH2*$B$38)</f>
        <v>8.2053064629434517E-5</v>
      </c>
      <c r="AI38" s="49">
        <f>IF(Y38=".",".",s_RadSpec!$P$2*AI2*$B$38)</f>
        <v>1.3307020163152224E-4</v>
      </c>
      <c r="AJ38" s="49">
        <f>IF(Z38=".",".",s_RadSpec!$L$2*AJ2*$B$38)</f>
        <v>2.8517264145324598E-6</v>
      </c>
      <c r="AK38" s="60">
        <f>IFERROR(AK2/$B38,".")</f>
        <v>1.4682367623544095</v>
      </c>
      <c r="AL38" s="60">
        <f>IFERROR(AL2/$B38,".")</f>
        <v>4820024.991116479</v>
      </c>
      <c r="AM38" s="60">
        <f>IFERROR(AM2/$B38,".")</f>
        <v>1.4682363151122193</v>
      </c>
      <c r="AN38" s="189">
        <f t="shared" ref="AN38" si="77">IFERROR(AN2/$B38,0)</f>
        <v>2.5342161055361594E-14</v>
      </c>
      <c r="AO38" s="49">
        <f>IF(AK38=".",".",s_RadSpec!$H$2*AO2*$B$38)</f>
        <v>17.027226562499997</v>
      </c>
      <c r="AP38" s="49">
        <f>IF(AL38=".",".",s_RadSpec!$K$2*AP2*$B$38)</f>
        <v>5.1866950993150682E-6</v>
      </c>
      <c r="AQ38" s="49">
        <f t="shared" si="52"/>
        <v>17.027231749195096</v>
      </c>
      <c r="AR38" s="60">
        <f>IFERROR(AR2/$B38,".")</f>
        <v>58.723768092792945</v>
      </c>
      <c r="AS38" s="60">
        <f>IFERROR(AS2/$B38,".")</f>
        <v>1353241.1433392495</v>
      </c>
      <c r="AT38" s="63">
        <f>IFERROR(AT2/$B38,".")</f>
        <v>11744753618.558588</v>
      </c>
      <c r="AU38" s="63" t="str">
        <f>IFERROR(AU2/$B38,".")</f>
        <v>.</v>
      </c>
      <c r="AV38" s="233">
        <f t="shared" si="54"/>
        <v>1.702888E-2</v>
      </c>
      <c r="AW38" s="233">
        <f t="shared" si="55"/>
        <v>7.3896659506849319E-7</v>
      </c>
      <c r="AX38" s="233">
        <f t="shared" si="56"/>
        <v>8.5144400000000009E-11</v>
      </c>
      <c r="AY38" s="233">
        <f t="shared" si="57"/>
        <v>0</v>
      </c>
      <c r="AZ38" s="63">
        <f>IFERROR(AZ2/$B38,".")</f>
        <v>58.721219597560896</v>
      </c>
      <c r="BA38" s="189">
        <f t="shared" ref="BA38" si="78">IFERROR(BA2/$B38,0)</f>
        <v>1.0135443382592702E-12</v>
      </c>
      <c r="BB38" s="49">
        <f>IF(AR38=".",".",s_RadSpec!$I$2*BB2*$B$38)</f>
        <v>0.42572200000000004</v>
      </c>
      <c r="BC38" s="49">
        <f>IF(AS38=".",".",s_RadSpec!$M$2*BC2*$B$38)</f>
        <v>1.8474164876712329E-5</v>
      </c>
      <c r="BD38" s="49">
        <f>IF(AT38=".",".",s_RadSpec!$F$2*BD2*$B$38)</f>
        <v>2.1286100000000006E-9</v>
      </c>
      <c r="BE38" s="49" t="str">
        <f>IF(AU38=".",".",s_RadSpec!$F$2*BE2*$B$38)</f>
        <v>.</v>
      </c>
      <c r="BF38" s="49">
        <f t="shared" si="60"/>
        <v>0.42574047629348677</v>
      </c>
      <c r="BG38" s="63">
        <f>IFERROR(BG2/$B38,".")</f>
        <v>469.79014474234356</v>
      </c>
      <c r="BH38" s="63">
        <f>IFERROR(BH2/$B38,".")</f>
        <v>469.79014474234356</v>
      </c>
      <c r="BI38" s="189">
        <f t="shared" ref="BI38:BJ38" si="79">IFERROR(BI2/$B38,0)</f>
        <v>8.1087066078815464E-9</v>
      </c>
      <c r="BJ38" s="189">
        <f t="shared" si="79"/>
        <v>8.1087066078815464E-9</v>
      </c>
      <c r="BK38" s="49">
        <f>IF(BG38=".",".",s_RadSpec!$F$2*BK2*$B$38)</f>
        <v>5.3215250000000006E-2</v>
      </c>
      <c r="BL38" s="49">
        <f>IF(BH38=".",".",s_RadSpec!$F$2*BL2*$B$38)</f>
        <v>5.3215250000000006E-2</v>
      </c>
    </row>
    <row r="39" spans="1:64" x14ac:dyDescent="0.25">
      <c r="A39" s="48" t="s">
        <v>1067</v>
      </c>
      <c r="B39" s="15">
        <v>1</v>
      </c>
      <c r="C39" s="42"/>
      <c r="D39" s="60" t="str">
        <f>IFERROR(D11/$B39,".")</f>
        <v>.</v>
      </c>
      <c r="E39" s="60" t="str">
        <f>IFERROR(E11/$B39,".")</f>
        <v>.</v>
      </c>
      <c r="F39" s="60">
        <f>IFERROR(F11/$B39,".")</f>
        <v>55849.919651872362</v>
      </c>
      <c r="G39" s="63" t="str">
        <f>IFERROR(G11/$B39,".")</f>
        <v>.</v>
      </c>
      <c r="H39" s="63" t="str">
        <f>IFERROR(H11/$B39,".")</f>
        <v>.</v>
      </c>
      <c r="I39" s="233">
        <f t="shared" si="13"/>
        <v>0</v>
      </c>
      <c r="J39" s="233">
        <f t="shared" si="14"/>
        <v>0</v>
      </c>
      <c r="K39" s="233">
        <f t="shared" si="15"/>
        <v>1.7905128713403175E-5</v>
      </c>
      <c r="L39" s="233">
        <f t="shared" si="16"/>
        <v>0</v>
      </c>
      <c r="M39" s="233">
        <f t="shared" si="17"/>
        <v>0</v>
      </c>
      <c r="N39" s="63">
        <f>IFERROR(N11/$B39,".")</f>
        <v>55849.919651872355</v>
      </c>
      <c r="O39" s="189">
        <f>IFERROR(O11/$B39,0)</f>
        <v>3.2219113085014317E-10</v>
      </c>
      <c r="P39" s="49" t="str">
        <f>IF(D39=".",".",s_RadSpec!$E$11*P11*$B$39)</f>
        <v>.</v>
      </c>
      <c r="Q39" s="49" t="str">
        <f>IF(E39=".",".",s_RadSpec!$H$11*Q11*$B$39)</f>
        <v>.</v>
      </c>
      <c r="R39" s="49">
        <f>IF(F39=".",".",s_RadSpec!$G$11*R11*$B$39)</f>
        <v>4.4762821783507923E-4</v>
      </c>
      <c r="S39" s="49" t="str">
        <f>IF(G39=".",".",s_RadSpec!$F$11*S11*$B$39)</f>
        <v>.</v>
      </c>
      <c r="T39" s="49" t="str">
        <f>IF(H39=".",".",s_RadSpec!$F$11*T11*$B$39)</f>
        <v>.</v>
      </c>
      <c r="U39" s="49">
        <f t="shared" si="47"/>
        <v>4.4762821783507923E-4</v>
      </c>
      <c r="V39" s="60">
        <f>IFERROR(V11/$B39,".")</f>
        <v>55849.919651872362</v>
      </c>
      <c r="W39" s="60">
        <f>IFERROR(W11/$B39,".")</f>
        <v>294659.16359236796</v>
      </c>
      <c r="X39" s="60">
        <f>IFERROR(X11/$B39,".")</f>
        <v>81809.179512336355</v>
      </c>
      <c r="Y39" s="60">
        <f>IFERROR(Y11/$B39,".")</f>
        <v>54299.464199351918</v>
      </c>
      <c r="Z39" s="60">
        <f>IFERROR(Z11/$B39,".")</f>
        <v>557208.4150304388</v>
      </c>
      <c r="AA39" s="189">
        <f t="shared" ref="AA39:AE39" si="80">IFERROR(AA11/$B39,0)</f>
        <v>3.2219113085014317E-10</v>
      </c>
      <c r="AB39" s="189">
        <f t="shared" si="80"/>
        <v>1.6998514899385292E-9</v>
      </c>
      <c r="AC39" s="189">
        <f t="shared" si="80"/>
        <v>4.7194682150484275E-10</v>
      </c>
      <c r="AD39" s="189">
        <f t="shared" si="80"/>
        <v>3.1324674921639839E-10</v>
      </c>
      <c r="AE39" s="189">
        <f t="shared" si="80"/>
        <v>3.2144649531622805E-9</v>
      </c>
      <c r="AF39" s="49">
        <f>IF(V39=".",".",s_RadSpec!$G$11*AF11*$B$39)</f>
        <v>4.4762821783507923E-4</v>
      </c>
      <c r="AG39" s="49">
        <f>IF(W39=".",".",s_RadSpec!$N$11*AG11*$B$39)</f>
        <v>8.4843789330051367E-5</v>
      </c>
      <c r="AH39" s="49">
        <f>IF(X39=".",".",s_RadSpec!$O$11*AH11*$B$39)</f>
        <v>3.0558917897752718E-4</v>
      </c>
      <c r="AI39" s="49">
        <f>IF(Y39=".",".",s_RadSpec!$P$11*AI11*$B$39)</f>
        <v>4.6040969959144424E-4</v>
      </c>
      <c r="AJ39" s="49">
        <f>IF(Z39=".",".",s_RadSpec!$L$11*AJ11*$B$39)</f>
        <v>4.4866515518496456E-5</v>
      </c>
      <c r="AK39" s="60" t="str">
        <f>IFERROR(AK11/$B39,".")</f>
        <v>.</v>
      </c>
      <c r="AL39" s="60">
        <f>IFERROR(AL11/$B39,".")</f>
        <v>2182507.3159775422</v>
      </c>
      <c r="AM39" s="60">
        <f>IFERROR(AM11/$B39,".")</f>
        <v>2182507.3159775422</v>
      </c>
      <c r="AN39" s="189">
        <f t="shared" ref="AN39" si="81">IFERROR(AN11/$B39,0)</f>
        <v>1.2590608985772122E-11</v>
      </c>
      <c r="AO39" s="49" t="str">
        <f>IF(AK39=".",".",s_RadSpec!$H$11*AO11*$B$39)</f>
        <v>.</v>
      </c>
      <c r="AP39" s="49">
        <f>IF(AL39=".",".",s_RadSpec!$K$11*AP11*$B$39)</f>
        <v>1.1454715325342465E-5</v>
      </c>
      <c r="AQ39" s="49">
        <f t="shared" si="52"/>
        <v>1.1454715325342465E-5</v>
      </c>
      <c r="AR39" s="60" t="str">
        <f>IFERROR(AR11/$B39,".")</f>
        <v>.</v>
      </c>
      <c r="AS39" s="60">
        <f>IFERROR(AS11/$B39,".")</f>
        <v>620030.4874936199</v>
      </c>
      <c r="AT39" s="63" t="str">
        <f>IFERROR(AT11/$B39,".")</f>
        <v>.</v>
      </c>
      <c r="AU39" s="63" t="str">
        <f>IFERROR(AU11/$B39,".")</f>
        <v>.</v>
      </c>
      <c r="AV39" s="233">
        <f t="shared" si="54"/>
        <v>0</v>
      </c>
      <c r="AW39" s="233">
        <f t="shared" si="55"/>
        <v>1.612823917808219E-6</v>
      </c>
      <c r="AX39" s="233">
        <f t="shared" si="56"/>
        <v>0</v>
      </c>
      <c r="AY39" s="233">
        <f t="shared" si="57"/>
        <v>0</v>
      </c>
      <c r="AZ39" s="63">
        <f>IFERROR(AZ11/$B39,".")</f>
        <v>620030.4874936199</v>
      </c>
      <c r="BA39" s="189">
        <f t="shared" ref="BA39" si="82">IFERROR(BA11/$B39,0)</f>
        <v>3.576877552776171E-12</v>
      </c>
      <c r="BB39" s="49" t="str">
        <f>IF(AR39=".",".",s_RadSpec!$I$11*BB11*$B$39)</f>
        <v>.</v>
      </c>
      <c r="BC39" s="49">
        <f>IF(AS39=".",".",s_RadSpec!$M$11*BC11*$B$39)</f>
        <v>4.0320597945205475E-5</v>
      </c>
      <c r="BD39" s="49" t="str">
        <f>IF(AT39=".",".",s_RadSpec!$F$11*BD11*$B$39)</f>
        <v>.</v>
      </c>
      <c r="BE39" s="49" t="str">
        <f>IF(AU39=".",".",s_RadSpec!$F$11*BE11*$B$39)</f>
        <v>.</v>
      </c>
      <c r="BF39" s="49">
        <f t="shared" si="60"/>
        <v>4.0320597945205475E-5</v>
      </c>
      <c r="BG39" s="63" t="str">
        <f>IFERROR(BG11/$B39,".")</f>
        <v>.</v>
      </c>
      <c r="BH39" s="63" t="str">
        <f>IFERROR(BH11/$B39,".")</f>
        <v>.</v>
      </c>
      <c r="BI39" s="189">
        <f t="shared" ref="BI39:BJ39" si="83">IFERROR(BI11/$B39,0)</f>
        <v>0</v>
      </c>
      <c r="BJ39" s="189">
        <f t="shared" si="83"/>
        <v>0</v>
      </c>
      <c r="BK39" s="49" t="str">
        <f>IF(BG39=".",".",s_RadSpec!$F$11*BK11*$B$39)</f>
        <v>.</v>
      </c>
      <c r="BL39" s="49" t="str">
        <f>IF(BH39=".",".",s_RadSpec!$F$11*BL11*$B$39)</f>
        <v>.</v>
      </c>
    </row>
    <row r="40" spans="1:64" x14ac:dyDescent="0.25">
      <c r="A40" s="48" t="s">
        <v>1068</v>
      </c>
      <c r="B40" s="15">
        <v>1</v>
      </c>
      <c r="C40" s="42"/>
      <c r="D40" s="60" t="str">
        <f>IFERROR(D4/$B40,".")</f>
        <v>.</v>
      </c>
      <c r="E40" s="60" t="str">
        <f>IFERROR(E4/$B40,".")</f>
        <v>.</v>
      </c>
      <c r="F40" s="60">
        <f>IFERROR(F4/$B40,".")</f>
        <v>3481168.9029430016</v>
      </c>
      <c r="G40" s="63" t="str">
        <f>IFERROR(G4/$B40,".")</f>
        <v>.</v>
      </c>
      <c r="H40" s="63" t="str">
        <f>IFERROR(H4/$B40,".")</f>
        <v>.</v>
      </c>
      <c r="I40" s="233">
        <f t="shared" si="13"/>
        <v>0</v>
      </c>
      <c r="J40" s="233">
        <f t="shared" si="14"/>
        <v>0</v>
      </c>
      <c r="K40" s="233">
        <f t="shared" si="15"/>
        <v>2.8725983365949119E-7</v>
      </c>
      <c r="L40" s="233">
        <f t="shared" si="16"/>
        <v>0</v>
      </c>
      <c r="M40" s="233">
        <f t="shared" si="17"/>
        <v>0</v>
      </c>
      <c r="N40" s="63">
        <f>IFERROR(N4/$B40,".")</f>
        <v>3481168.9029430011</v>
      </c>
      <c r="O40" s="189">
        <f>IFERROR(O4/$B40,0)</f>
        <v>2.1664006431167576E-12</v>
      </c>
      <c r="P40" s="49" t="str">
        <f>IF(D40=".",".",s_RadSpec!$E$4*P4*$B$40)</f>
        <v>.</v>
      </c>
      <c r="Q40" s="49" t="str">
        <f>IF(E40=".",".",s_RadSpec!$H$4*Q4*$B$40)</f>
        <v>.</v>
      </c>
      <c r="R40" s="49">
        <f>IF(F40=".",".",s_RadSpec!$G$4*R4*$B$40)</f>
        <v>7.1814958414872771E-6</v>
      </c>
      <c r="S40" s="49" t="str">
        <f>IF(G40=".",".",s_RadSpec!$F$4*S4*$B$40)</f>
        <v>.</v>
      </c>
      <c r="T40" s="49" t="str">
        <f>IF(H40=".",".",s_RadSpec!$F$4*T4*$B$40)</f>
        <v>.</v>
      </c>
      <c r="U40" s="49">
        <f t="shared" si="47"/>
        <v>7.1814958414872771E-6</v>
      </c>
      <c r="V40" s="60">
        <f>IFERROR(V4/$B40,".")</f>
        <v>3481168.9029430016</v>
      </c>
      <c r="W40" s="60">
        <f>IFERROR(W4/$B40,".")</f>
        <v>25050787.898753647</v>
      </c>
      <c r="X40" s="60">
        <f>IFERROR(X4/$B40,".")</f>
        <v>6455185.035794694</v>
      </c>
      <c r="Y40" s="60">
        <f>IFERROR(Y4/$B40,".")</f>
        <v>3802903.0746134454</v>
      </c>
      <c r="Z40" s="60">
        <f>IFERROR(Z4/$B40,".")</f>
        <v>46895506.783773392</v>
      </c>
      <c r="AA40" s="189">
        <f t="shared" ref="AA40:AE40" si="84">IFERROR(AA4/$B40,0)</f>
        <v>2.166400643116758E-12</v>
      </c>
      <c r="AB40" s="189">
        <f t="shared" si="84"/>
        <v>1.5589603529021866E-11</v>
      </c>
      <c r="AC40" s="189">
        <f t="shared" si="84"/>
        <v>4.0171900309579059E-12</v>
      </c>
      <c r="AD40" s="189">
        <f t="shared" si="84"/>
        <v>2.3666222169192338E-12</v>
      </c>
      <c r="AE40" s="189">
        <f t="shared" si="84"/>
        <v>2.9184006547273358E-11</v>
      </c>
      <c r="AF40" s="49">
        <f>IF(V40=".",".",s_RadSpec!$G$4*AF4*$B$40)</f>
        <v>7.1814958414872771E-6</v>
      </c>
      <c r="AG40" s="49">
        <f>IF(W40=".",".",s_RadSpec!$N$4*AG4*$B$40)</f>
        <v>9.9797260273972589E-7</v>
      </c>
      <c r="AH40" s="49">
        <f>IF(X40=".",".",s_RadSpec!$O$4*AH4*$B$40)</f>
        <v>3.8728556751467731E-6</v>
      </c>
      <c r="AI40" s="49">
        <f>IF(Y40=".",".",s_RadSpec!$P$4*AI4*$B$40)</f>
        <v>6.5739251065559129E-6</v>
      </c>
      <c r="AJ40" s="49">
        <f>IF(Z40=".",".",s_RadSpec!$L$4*AJ4*$B$40)</f>
        <v>5.3310011373307961E-7</v>
      </c>
      <c r="AK40" s="60" t="str">
        <f>IFERROR(AK4/$B40,".")</f>
        <v>.</v>
      </c>
      <c r="AL40" s="60">
        <f>IFERROR(AL4/$B40,".")</f>
        <v>257371145.75206867</v>
      </c>
      <c r="AM40" s="60">
        <f>IFERROR(AM4/$B40,".")</f>
        <v>257371145.7520687</v>
      </c>
      <c r="AN40" s="189">
        <f t="shared" ref="AN40" si="85">IFERROR(AN4/$B40,0)</f>
        <v>1.6016718269705504E-13</v>
      </c>
      <c r="AO40" s="49" t="str">
        <f>IF(AK40=".",".",s_RadSpec!$H$4*AO4*$B$40)</f>
        <v>.</v>
      </c>
      <c r="AP40" s="49">
        <f>IF(AL40=".",".",s_RadSpec!$K$4*AP4*$B$40)</f>
        <v>9.7135985958904111E-8</v>
      </c>
      <c r="AQ40" s="49">
        <f t="shared" si="52"/>
        <v>9.7135985958904111E-8</v>
      </c>
      <c r="AR40" s="60" t="str">
        <f>IFERROR(AR4/$B40,".")</f>
        <v>.</v>
      </c>
      <c r="AS40" s="60">
        <f>IFERROR(AS4/$B40,".")</f>
        <v>73813153.27304998</v>
      </c>
      <c r="AT40" s="63" t="str">
        <f>IFERROR(AT4/$B40,".")</f>
        <v>.</v>
      </c>
      <c r="AU40" s="63" t="str">
        <f>IFERROR(AU4/$B40,".")</f>
        <v>.</v>
      </c>
      <c r="AV40" s="233">
        <f t="shared" si="54"/>
        <v>0</v>
      </c>
      <c r="AW40" s="233">
        <f t="shared" si="55"/>
        <v>1.3547720909589042E-8</v>
      </c>
      <c r="AX40" s="233">
        <f t="shared" si="56"/>
        <v>0</v>
      </c>
      <c r="AY40" s="233">
        <f t="shared" si="57"/>
        <v>0</v>
      </c>
      <c r="AZ40" s="63">
        <f>IFERROR(AZ4/$B40,".")</f>
        <v>73813153.27304998</v>
      </c>
      <c r="BA40" s="189">
        <f t="shared" ref="BA40" si="86">IFERROR(BA4/$B40,0)</f>
        <v>4.5935393305973574E-14</v>
      </c>
      <c r="BB40" s="49" t="str">
        <f>IF(AR40=".",".",s_RadSpec!$I$4*BB4*$B$40)</f>
        <v>.</v>
      </c>
      <c r="BC40" s="49">
        <f>IF(AS40=".",".",s_RadSpec!$M$4*BC4*$B$40)</f>
        <v>3.3869302273972602E-7</v>
      </c>
      <c r="BD40" s="49" t="str">
        <f>IF(AT40=".",".",s_RadSpec!$F$4*BD4*$B$40)</f>
        <v>.</v>
      </c>
      <c r="BE40" s="49" t="str">
        <f>IF(AU40=".",".",s_RadSpec!$F$4*BE4*$B$40)</f>
        <v>.</v>
      </c>
      <c r="BF40" s="49">
        <f t="shared" si="60"/>
        <v>3.3869302273972602E-7</v>
      </c>
      <c r="BG40" s="63" t="str">
        <f>IFERROR(BG4/$B40,".")</f>
        <v>.</v>
      </c>
      <c r="BH40" s="63" t="str">
        <f>IFERROR(BH4/$B40,".")</f>
        <v>.</v>
      </c>
      <c r="BI40" s="189">
        <f t="shared" ref="BI40:BJ40" si="87">IFERROR(BI4/$B40,0)</f>
        <v>0</v>
      </c>
      <c r="BJ40" s="189">
        <f t="shared" si="87"/>
        <v>0</v>
      </c>
      <c r="BK40" s="49" t="str">
        <f>IF(BG40=".",".",s_RadSpec!$F$4*BK4*$B$40)</f>
        <v>.</v>
      </c>
      <c r="BL40" s="49" t="str">
        <f>IF(BH40=".",".",s_RadSpec!$F$4*BL4*$B$40)</f>
        <v>.</v>
      </c>
    </row>
    <row r="41" spans="1:64" x14ac:dyDescent="0.25">
      <c r="A41" s="48" t="s">
        <v>1069</v>
      </c>
      <c r="B41" s="50">
        <v>0.99987999999999999</v>
      </c>
      <c r="C41" s="78"/>
      <c r="D41" s="60">
        <f>IFERROR(D8/$B41,".")</f>
        <v>1667094.5269215596</v>
      </c>
      <c r="E41" s="60">
        <f>IFERROR(E8/$B41,".")</f>
        <v>117638470.83021459</v>
      </c>
      <c r="F41" s="60">
        <f>IFERROR(F8/$B41,".")</f>
        <v>3840.7100728411433</v>
      </c>
      <c r="G41" s="63">
        <f>IFERROR(G8/$B41,".")</f>
        <v>3820424.9575285744</v>
      </c>
      <c r="H41" s="63" t="str">
        <f>IFERROR(H8/$B41,".")</f>
        <v>.</v>
      </c>
      <c r="I41" s="233">
        <f t="shared" si="13"/>
        <v>5.9984600984000002E-7</v>
      </c>
      <c r="J41" s="233">
        <f t="shared" si="14"/>
        <v>8.5006205278142501E-9</v>
      </c>
      <c r="K41" s="233">
        <f t="shared" si="15"/>
        <v>2.6036852067312015E-4</v>
      </c>
      <c r="L41" s="233">
        <f t="shared" si="16"/>
        <v>2.6175098611199999E-7</v>
      </c>
      <c r="M41" s="233">
        <f t="shared" si="17"/>
        <v>0</v>
      </c>
      <c r="N41" s="63">
        <f>IFERROR(N8/$B41,".")</f>
        <v>3827.9179646074963</v>
      </c>
      <c r="O41" s="189">
        <f>IFERROR(O8/$B41,0)</f>
        <v>1.9802247868312432E-10</v>
      </c>
      <c r="P41" s="49">
        <f>IF(D41=".",".",s_RadSpec!$E$8*P8*$B$41)</f>
        <v>1.4996150246E-5</v>
      </c>
      <c r="Q41" s="49">
        <f>IF(E41=".",".",s_RadSpec!$H$8*Q8*$B$41)</f>
        <v>2.1251551319535624E-7</v>
      </c>
      <c r="R41" s="49">
        <f>IF(F41=".",".",s_RadSpec!$G$8*R8*$B$41)</f>
        <v>6.5092130168280032E-3</v>
      </c>
      <c r="S41" s="49">
        <f>IF(G41=".",".",s_RadSpec!$F$8*S8*$B$41)</f>
        <v>6.5437746528000005E-6</v>
      </c>
      <c r="T41" s="49" t="str">
        <f>IF(H41=".",".",s_RadSpec!$F$8*T8*$B$41)</f>
        <v>.</v>
      </c>
      <c r="U41" s="49">
        <f t="shared" si="47"/>
        <v>6.5309654572399982E-3</v>
      </c>
      <c r="V41" s="60">
        <f>IFERROR(V8/$B41,".")</f>
        <v>3840.7100728411433</v>
      </c>
      <c r="W41" s="60">
        <f>IFERROR(W8/$B41,".")</f>
        <v>32635.770795132197</v>
      </c>
      <c r="X41" s="60">
        <f>IFERROR(X8/$B41,".")</f>
        <v>8530.5202841925984</v>
      </c>
      <c r="Y41" s="60">
        <f>IFERROR(Y8/$B41,".")</f>
        <v>5152.205343673847</v>
      </c>
      <c r="Z41" s="60">
        <f>IFERROR(Z8/$B41,".")</f>
        <v>46841.219529976639</v>
      </c>
      <c r="AA41" s="189">
        <f t="shared" ref="AA41:AE41" si="88">IFERROR(AA8/$B41,0)</f>
        <v>1.9868422875285693E-10</v>
      </c>
      <c r="AB41" s="189">
        <f t="shared" si="88"/>
        <v>1.6882849335693786E-9</v>
      </c>
      <c r="AC41" s="189">
        <f t="shared" si="88"/>
        <v>4.4129335757739986E-10</v>
      </c>
      <c r="AD41" s="189">
        <f t="shared" si="88"/>
        <v>2.6652934631093831E-10</v>
      </c>
      <c r="AE41" s="189">
        <f t="shared" si="88"/>
        <v>2.4231486885632464E-9</v>
      </c>
      <c r="AF41" s="49">
        <f>IF(V41=".",".",s_RadSpec!$G$8*AF8*$B$41)</f>
        <v>6.5092130168280032E-3</v>
      </c>
      <c r="AG41" s="49">
        <f>IF(W41=".",".",s_RadSpec!$N$8*AG8*$B$41)</f>
        <v>7.6603062807785384E-4</v>
      </c>
      <c r="AH41" s="49">
        <f>IF(X41=".",".",s_RadSpec!$O$8*AH8*$B$41)</f>
        <v>2.9306536022575343E-3</v>
      </c>
      <c r="AI41" s="49">
        <f>IF(Y41=".",".",s_RadSpec!$P$8*AI8*$B$41)</f>
        <v>4.8522910738983517E-3</v>
      </c>
      <c r="AJ41" s="49">
        <f>IF(Z41=".",".",s_RadSpec!$L$8*AJ8*$B$41)</f>
        <v>5.3371795719368332E-4</v>
      </c>
      <c r="AK41" s="60">
        <f>IFERROR(AK8/$B41,".")</f>
        <v>379.7191854124884</v>
      </c>
      <c r="AL41" s="60">
        <f>IFERROR(AL8/$B41,".")</f>
        <v>459336.96302342939</v>
      </c>
      <c r="AM41" s="60">
        <f>IFERROR(AM8/$B41,".")</f>
        <v>379.40554297715727</v>
      </c>
      <c r="AN41" s="189">
        <f t="shared" ref="AN41" si="89">IFERROR(AN8/$B41,0)</f>
        <v>1.9627073187331753E-14</v>
      </c>
      <c r="AO41" s="49">
        <f>IF(AK41=".",".",s_RadSpec!$H$8*AO8*$B$41)</f>
        <v>6.5838127122395812E-2</v>
      </c>
      <c r="AP41" s="49">
        <f>IF(AL41=".",".",s_RadSpec!$K$8*AP8*$B$41)</f>
        <v>5.4426275289160273E-5</v>
      </c>
      <c r="AQ41" s="49">
        <f t="shared" si="52"/>
        <v>6.5892553397684975E-2</v>
      </c>
      <c r="AR41" s="60">
        <f>IFERROR(AR8/$B41,".")</f>
        <v>11461.274872585724</v>
      </c>
      <c r="AS41" s="60">
        <f>IFERROR(AS8/$B41,".")</f>
        <v>135340.35517654617</v>
      </c>
      <c r="AT41" s="63">
        <f>IFERROR(AT8/$B41,".")</f>
        <v>22922549745.171448</v>
      </c>
      <c r="AU41" s="63" t="str">
        <f>IFERROR(AU8/$B41,".")</f>
        <v>.</v>
      </c>
      <c r="AV41" s="233">
        <f t="shared" si="54"/>
        <v>8.7250328703999993E-5</v>
      </c>
      <c r="AW41" s="233">
        <f t="shared" si="55"/>
        <v>7.3887791907708478E-6</v>
      </c>
      <c r="AX41" s="233">
        <f t="shared" si="56"/>
        <v>4.3625164351999997E-11</v>
      </c>
      <c r="AY41" s="233">
        <f t="shared" si="57"/>
        <v>0</v>
      </c>
      <c r="AZ41" s="63">
        <f>IFERROR(AZ8/$B41,".")</f>
        <v>10566.451452064803</v>
      </c>
      <c r="BA41" s="189">
        <f t="shared" ref="BA41" si="90">IFERROR(BA8/$B41,0)</f>
        <v>5.4661435453131995E-13</v>
      </c>
      <c r="BB41" s="49">
        <f>IF(AR41=".",".",s_RadSpec!$I$8*BB8*$B$41)</f>
        <v>2.1812582175999998E-3</v>
      </c>
      <c r="BC41" s="49">
        <f>IF(AS41=".",".",s_RadSpec!$M$8*BC8*$B$41)</f>
        <v>1.847194797692712E-4</v>
      </c>
      <c r="BD41" s="49">
        <f>IF(AT41=".",".",s_RadSpec!$F$8*BD8*$B$41)</f>
        <v>1.0906291088000001E-9</v>
      </c>
      <c r="BE41" s="49" t="str">
        <f>IF(AU41=".",".",s_RadSpec!$F$8*BE8*$B$41)</f>
        <v>.</v>
      </c>
      <c r="BF41" s="49">
        <f t="shared" si="60"/>
        <v>2.3659787879983796E-3</v>
      </c>
      <c r="BG41" s="63">
        <f>IFERROR(BG8/$B41,".")</f>
        <v>91690.198980685789</v>
      </c>
      <c r="BH41" s="63">
        <f>IFERROR(BH8/$B41,".")</f>
        <v>91690.198980685789</v>
      </c>
      <c r="BI41" s="189">
        <f t="shared" ref="BI41:BJ41" si="91">IFERROR(BI8/$B41,0)</f>
        <v>4.7432365690642532E-9</v>
      </c>
      <c r="BJ41" s="189">
        <f t="shared" si="91"/>
        <v>4.7432365690642532E-9</v>
      </c>
      <c r="BK41" s="49">
        <f>IF(BG41=".",".",s_RadSpec!$F$8*BK8*$B$41)</f>
        <v>2.7265727719999998E-4</v>
      </c>
      <c r="BL41" s="49">
        <f>IF(BH41=".",".",s_RadSpec!$F$8*BL8*$B$41)</f>
        <v>2.7265727719999998E-4</v>
      </c>
    </row>
    <row r="42" spans="1:64" x14ac:dyDescent="0.25">
      <c r="A42" s="48" t="s">
        <v>1070</v>
      </c>
      <c r="B42" s="15">
        <v>0.97898250799999997</v>
      </c>
      <c r="C42" s="42"/>
      <c r="D42" s="60" t="str">
        <f>IFERROR(D19/$B42,".")</f>
        <v>.</v>
      </c>
      <c r="E42" s="60" t="str">
        <f>IFERROR(E19/$B42,".")</f>
        <v>.</v>
      </c>
      <c r="F42" s="60">
        <f>IFERROR(F19/$B42,".")</f>
        <v>8614753.9035995081</v>
      </c>
      <c r="G42" s="63" t="str">
        <f>IFERROR(G19/$B42,".")</f>
        <v>.</v>
      </c>
      <c r="H42" s="63" t="str">
        <f>IFERROR(H19/$B42,".")</f>
        <v>.</v>
      </c>
      <c r="I42" s="233">
        <f t="shared" si="13"/>
        <v>0</v>
      </c>
      <c r="J42" s="233">
        <f t="shared" si="14"/>
        <v>0</v>
      </c>
      <c r="K42" s="233">
        <f t="shared" si="15"/>
        <v>1.1607992650633576E-7</v>
      </c>
      <c r="L42" s="233">
        <f t="shared" si="16"/>
        <v>0</v>
      </c>
      <c r="M42" s="233">
        <f t="shared" si="17"/>
        <v>0</v>
      </c>
      <c r="N42" s="63">
        <f>IFERROR(N19/$B42,".")</f>
        <v>8614753.9035995081</v>
      </c>
      <c r="O42" s="189">
        <f>IFERROR(O19/$B42,0)</f>
        <v>6.8426321531101898E-16</v>
      </c>
      <c r="P42" s="246" t="str">
        <f>IF(D42=".",".",s_RadSpec!$E$19*P19*$B$42)</f>
        <v>.</v>
      </c>
      <c r="Q42" s="246" t="str">
        <f>IF(E42=".",".",s_RadSpec!$H$19*Q19*$B$42)</f>
        <v>.</v>
      </c>
      <c r="R42" s="246">
        <f>IF(F42=".",".",s_RadSpec!$G$19*R19*$B$42)</f>
        <v>2.9019981626583943E-6</v>
      </c>
      <c r="S42" s="246" t="str">
        <f>IF(G42=".",".",s_RadSpec!$F$19*S19*$B$42)</f>
        <v>.</v>
      </c>
      <c r="T42" s="246" t="str">
        <f>IF(H42=".",".",s_RadSpec!$F$19*T19*$B$42)</f>
        <v>.</v>
      </c>
      <c r="U42" s="49">
        <f t="shared" si="47"/>
        <v>2.9019981626583943E-6</v>
      </c>
      <c r="V42" s="60">
        <f>IFERROR(V19/$B42,".")</f>
        <v>8614753.9035995081</v>
      </c>
      <c r="W42" s="60">
        <f>IFERROR(W19/$B42,".")</f>
        <v>87700792.935506999</v>
      </c>
      <c r="X42" s="60">
        <f>IFERROR(X19/$B42,".")</f>
        <v>21235658.930599757</v>
      </c>
      <c r="Y42" s="60">
        <f>IFERROR(Y19/$B42,".")</f>
        <v>11250254.236818705</v>
      </c>
      <c r="Z42" s="60">
        <f>IFERROR(Z19/$B42,".")</f>
        <v>152772853.77493861</v>
      </c>
      <c r="AA42" s="189">
        <f t="shared" ref="AA42:AE42" si="92">IFERROR(AA19/$B42,0)</f>
        <v>6.8426321531101898E-16</v>
      </c>
      <c r="AB42" s="189">
        <f t="shared" si="92"/>
        <v>6.9660059046262161E-15</v>
      </c>
      <c r="AC42" s="189">
        <f t="shared" si="92"/>
        <v>1.6867319045560825E-15</v>
      </c>
      <c r="AD42" s="189">
        <f t="shared" si="92"/>
        <v>8.9359896095644292E-16</v>
      </c>
      <c r="AE42" s="189">
        <f t="shared" si="92"/>
        <v>1.2134629184543619E-14</v>
      </c>
      <c r="AF42" s="246">
        <f>IF(V42=".",".",s_RadSpec!$G$19*AF19*$B$42)</f>
        <v>2.9019981626583943E-6</v>
      </c>
      <c r="AG42" s="246">
        <f>IF(W42=".",".",s_RadSpec!$N$19*AG19*$B$42)</f>
        <v>2.8506013643895312E-7</v>
      </c>
      <c r="AH42" s="246">
        <f>IF(X42=".",".",s_RadSpec!$O$19*AH19*$B$42)</f>
        <v>1.1772650936663882E-6</v>
      </c>
      <c r="AI42" s="246">
        <f>IF(Y42=".",".",s_RadSpec!$P$19*AI19*$B$42)</f>
        <v>2.2221720037385914E-6</v>
      </c>
      <c r="AJ42" s="246">
        <f>IF(Z42=".",".",s_RadSpec!$L$19*AJ19*$B$42)</f>
        <v>1.636416377796373E-7</v>
      </c>
      <c r="AK42" s="60" t="str">
        <f>IFERROR(AK19/$B42,".")</f>
        <v>.</v>
      </c>
      <c r="AL42" s="60">
        <f>IFERROR(AL19/$B42,".")</f>
        <v>1629651267.2511456</v>
      </c>
      <c r="AM42" s="60">
        <f>IFERROR(AM19/$B42,".")</f>
        <v>1629651267.2511456</v>
      </c>
      <c r="AN42" s="189">
        <f t="shared" ref="AN42" si="93">IFERROR(AN19/$B42,0)</f>
        <v>1.2944193513166038E-16</v>
      </c>
      <c r="AO42" s="246" t="str">
        <f>IF(AK42=".",".",s_RadSpec!$H$19*AO19*$B$42)</f>
        <v>.</v>
      </c>
      <c r="AP42" s="246">
        <f>IF(AL42=".",".",s_RadSpec!$K$19*AP19*$B$42)</f>
        <v>1.5340705402677571E-8</v>
      </c>
      <c r="AQ42" s="49">
        <f t="shared" si="52"/>
        <v>1.5340705402677571E-8</v>
      </c>
      <c r="AR42" s="60" t="str">
        <f>IFERROR(AR19/$B42,".")</f>
        <v>.</v>
      </c>
      <c r="AS42" s="60">
        <f>IFERROR(AS19/$B42,".")</f>
        <v>469458164.92578495</v>
      </c>
      <c r="AT42" s="63" t="str">
        <f>IFERROR(AT19/$B42,".")</f>
        <v>.</v>
      </c>
      <c r="AU42" s="63" t="str">
        <f>IFERROR(AU19/$B42,".")</f>
        <v>.</v>
      </c>
      <c r="AV42" s="233">
        <f t="shared" si="54"/>
        <v>0</v>
      </c>
      <c r="AW42" s="233">
        <f t="shared" si="55"/>
        <v>2.1301152577846561E-9</v>
      </c>
      <c r="AX42" s="233">
        <f t="shared" si="56"/>
        <v>0</v>
      </c>
      <c r="AY42" s="233">
        <f t="shared" si="57"/>
        <v>0</v>
      </c>
      <c r="AZ42" s="63">
        <f>IFERROR(AZ19/$B42,".")</f>
        <v>469458164.92578501</v>
      </c>
      <c r="BA42" s="189">
        <f t="shared" ref="BA42" si="94">IFERROR(BA19/$B42,0)</f>
        <v>3.7288697620474959E-17</v>
      </c>
      <c r="BB42" s="246" t="str">
        <f>IF(AR42=".",".",s_RadSpec!$I$19*BB19*$B$42)</f>
        <v>.</v>
      </c>
      <c r="BC42" s="246">
        <f>IF(AS42=".",".",s_RadSpec!$M$19*BC19*$B$42)</f>
        <v>5.3252881444616407E-8</v>
      </c>
      <c r="BD42" s="246" t="str">
        <f>IF(AT42=".",".",s_RadSpec!$F$19*BD19*$B$42)</f>
        <v>.</v>
      </c>
      <c r="BE42" s="246" t="str">
        <f>IF(AU42=".",".",s_RadSpec!$F$19*BE19*$B$42)</f>
        <v>.</v>
      </c>
      <c r="BF42" s="49">
        <f t="shared" si="60"/>
        <v>5.3252881444616407E-8</v>
      </c>
      <c r="BG42" s="63" t="str">
        <f>IFERROR(BG19/$B42,".")</f>
        <v>.</v>
      </c>
      <c r="BH42" s="63" t="str">
        <f>IFERROR(BH19/$B42,".")</f>
        <v>.</v>
      </c>
      <c r="BI42" s="189">
        <f t="shared" ref="BI42:BJ42" si="95">IFERROR(BI19/$B42,0)</f>
        <v>0</v>
      </c>
      <c r="BJ42" s="189">
        <f t="shared" si="95"/>
        <v>0</v>
      </c>
      <c r="BK42" s="246" t="str">
        <f>IF(BG42=".",".",s_RadSpec!$F$19*BK19*$B$42)</f>
        <v>.</v>
      </c>
      <c r="BL42" s="246" t="str">
        <f>IF(BH42=".",".",s_RadSpec!$F$19*BL19*$B$42)</f>
        <v>.</v>
      </c>
    </row>
    <row r="43" spans="1:64" x14ac:dyDescent="0.25">
      <c r="A43" s="48" t="s">
        <v>1071</v>
      </c>
      <c r="B43" s="15">
        <v>2.0897492E-2</v>
      </c>
      <c r="C43" s="42"/>
      <c r="D43" s="60" t="str">
        <f>IFERROR(D28/$B43,".")</f>
        <v>.</v>
      </c>
      <c r="E43" s="60" t="str">
        <f>IFERROR(E28/$B43,".")</f>
        <v>.</v>
      </c>
      <c r="F43" s="60">
        <f>IFERROR(F28/$B43,".")</f>
        <v>4835.6727215984047</v>
      </c>
      <c r="G43" s="63" t="str">
        <f>IFERROR(G28/$B43,".")</f>
        <v>.</v>
      </c>
      <c r="H43" s="63" t="str">
        <f>IFERROR(H28/$B43,".")</f>
        <v>.</v>
      </c>
      <c r="I43" s="233">
        <f t="shared" si="13"/>
        <v>0</v>
      </c>
      <c r="J43" s="233">
        <f t="shared" si="14"/>
        <v>0</v>
      </c>
      <c r="K43" s="233">
        <f t="shared" si="15"/>
        <v>2.0679645988727201E-4</v>
      </c>
      <c r="L43" s="233">
        <f t="shared" si="16"/>
        <v>0</v>
      </c>
      <c r="M43" s="233">
        <f t="shared" si="17"/>
        <v>0</v>
      </c>
      <c r="N43" s="63">
        <f>IFERROR(N28/$B43,".")</f>
        <v>4835.6727215984047</v>
      </c>
      <c r="O43" s="189">
        <f>IFERROR(O28/$B43,0)</f>
        <v>1.1634845695023132E-11</v>
      </c>
      <c r="P43" s="246" t="str">
        <f>IF(D43=".",".",s_RadSpec!J28*P28*$B$43)</f>
        <v>.</v>
      </c>
      <c r="Q43" s="246" t="str">
        <f>IF(E43=".",".",s_RadSpec!K28*Q28*$B$43)</f>
        <v>.</v>
      </c>
      <c r="R43" s="246">
        <f>IF(F43=".",".",s_RadSpec!$G$28*R28*$B$43)</f>
        <v>5.1699114971818011E-3</v>
      </c>
      <c r="S43" s="246" t="str">
        <f>IF(G43=".",".",s_RadSpec!M28*S28*$B$43)</f>
        <v>.</v>
      </c>
      <c r="T43" s="246" t="str">
        <f>IF(H43=".",".",s_RadSpec!N28*T28*$B$43)</f>
        <v>.</v>
      </c>
      <c r="U43" s="49">
        <f t="shared" si="47"/>
        <v>5.1699114971818011E-3</v>
      </c>
      <c r="V43" s="60">
        <f>IFERROR(V28/$B43,".")</f>
        <v>4835.6727215984047</v>
      </c>
      <c r="W43" s="60">
        <f>IFERROR(W28/$B43,".")</f>
        <v>58963.496538344487</v>
      </c>
      <c r="X43" s="60">
        <f>IFERROR(X28/$B43,".")</f>
        <v>14249.030730542563</v>
      </c>
      <c r="Y43" s="60">
        <f>IFERROR(Y28/$B43,".")</f>
        <v>7713.1952365317638</v>
      </c>
      <c r="Z43" s="60">
        <f>IFERROR(Z28/$B43,".")</f>
        <v>103317.7497936687</v>
      </c>
      <c r="AA43" s="189">
        <f t="shared" ref="AA43:AE43" si="96">IFERROR(AA28/$B43,0)</f>
        <v>1.1634845695023132E-11</v>
      </c>
      <c r="AB43" s="189">
        <f t="shared" si="96"/>
        <v>1.4186882019507412E-10</v>
      </c>
      <c r="AC43" s="189">
        <f t="shared" si="96"/>
        <v>3.428380773434686E-11</v>
      </c>
      <c r="AD43" s="189">
        <f t="shared" si="96"/>
        <v>1.8558294069779579E-11</v>
      </c>
      <c r="AE43" s="189">
        <f t="shared" si="96"/>
        <v>2.485871450806127E-10</v>
      </c>
      <c r="AF43" s="246">
        <f>IF(V43=".",".",s_RadSpec!$G$28*AF28*$B$43)</f>
        <v>5.1699114971818011E-3</v>
      </c>
      <c r="AG43" s="246">
        <f>IF(W43=".",".",s_RadSpec!$N$28*AG28*$B$43)</f>
        <v>4.2399113803812978E-4</v>
      </c>
      <c r="AH43" s="246">
        <f>IF(X43=".",".",s_RadSpec!$O$28*AH28*$B$43)</f>
        <v>1.7545053044494398E-3</v>
      </c>
      <c r="AI43" s="246">
        <f>IF(Y43=".",".",s_RadSpec!$P$28*AI28*$B$43)</f>
        <v>3.2411989108733163E-3</v>
      </c>
      <c r="AJ43" s="246">
        <f>IF(Z43=".",".",s_RadSpec!$L$28*AJ28*$B$43)</f>
        <v>2.4197197528910943E-4</v>
      </c>
      <c r="AK43" s="60" t="str">
        <f>IFERROR(AK28/$B43,".")</f>
        <v>.</v>
      </c>
      <c r="AL43" s="60">
        <f>IFERROR(AL28/$B43,".")</f>
        <v>1279886.2746782864</v>
      </c>
      <c r="AM43" s="60">
        <f>IFERROR(AM28/$B43,".")</f>
        <v>1279886.2746782866</v>
      </c>
      <c r="AN43" s="189">
        <f t="shared" ref="AN43" si="97">IFERROR(AN28/$B43,0)</f>
        <v>3.0794638451333468E-12</v>
      </c>
      <c r="AO43" s="246" t="str">
        <f>IF(AK43=".",".",s_RadSpec!AO28*AO28*$B$43)</f>
        <v>.</v>
      </c>
      <c r="AP43" s="246">
        <f>IF(AL43=".",".",s_RadSpec!$K$28*AP28*$B$43)</f>
        <v>1.9532985464887521E-5</v>
      </c>
      <c r="AQ43" s="49">
        <f t="shared" si="52"/>
        <v>1.9532985464887521E-5</v>
      </c>
      <c r="AR43" s="60" t="str">
        <f>IFERROR(AR28/$B43,".")</f>
        <v>.</v>
      </c>
      <c r="AS43" s="60">
        <f>IFERROR(AS28/$B43,".")</f>
        <v>370876.13641245791</v>
      </c>
      <c r="AT43" s="63" t="str">
        <f>IFERROR(AT28/$B43,".")</f>
        <v>.</v>
      </c>
      <c r="AU43" s="63" t="str">
        <f>IFERROR(AU28/$B43,".")</f>
        <v>.</v>
      </c>
      <c r="AV43" s="233">
        <f t="shared" si="54"/>
        <v>0</v>
      </c>
      <c r="AW43" s="233">
        <f t="shared" si="55"/>
        <v>2.6963179935844733E-6</v>
      </c>
      <c r="AX43" s="233">
        <f t="shared" si="56"/>
        <v>0</v>
      </c>
      <c r="AY43" s="233">
        <f t="shared" si="57"/>
        <v>0</v>
      </c>
      <c r="AZ43" s="63">
        <f>IFERROR(AZ28/$B43,".")</f>
        <v>370876.13641245791</v>
      </c>
      <c r="BA43" s="189">
        <f t="shared" ref="BA43" si="98">IFERROR(BA28/$B43,0)</f>
        <v>8.9234463694204897E-13</v>
      </c>
      <c r="BB43" s="246" t="str">
        <f>IF(AR43=".",".",s_RadSpec!$I$28*BB28*$B$43)</f>
        <v>.</v>
      </c>
      <c r="BC43" s="246">
        <f>IF(AS43=".",".",s_RadSpec!$M$28*BC28*$B$43)</f>
        <v>6.740794983961183E-5</v>
      </c>
      <c r="BD43" s="246" t="str">
        <f>IF(AT43=".",".",s_RadSpec!$F$28*BD28*$B$43)</f>
        <v>.</v>
      </c>
      <c r="BE43" s="246" t="str">
        <f>IF(AU43=".",".",s_RadSpec!$F$28*BE28*$B$43)</f>
        <v>.</v>
      </c>
      <c r="BF43" s="49">
        <f t="shared" si="60"/>
        <v>6.740794983961183E-5</v>
      </c>
      <c r="BG43" s="63" t="str">
        <f>IFERROR(BG28/$B43,".")</f>
        <v>.</v>
      </c>
      <c r="BH43" s="63" t="str">
        <f>IFERROR(BH28/$B43,".")</f>
        <v>.</v>
      </c>
      <c r="BI43" s="189">
        <f t="shared" ref="BI43:BJ43" si="99">IFERROR(BI28/$B43,0)</f>
        <v>0</v>
      </c>
      <c r="BJ43" s="189">
        <f t="shared" si="99"/>
        <v>0</v>
      </c>
      <c r="BK43" s="246" t="str">
        <f>IF(BG43=".",".",s_RadSpec!BO28*BK28*$B$43)</f>
        <v>.</v>
      </c>
      <c r="BL43" s="246" t="str">
        <f>IF(BH43=".",".",s_RadSpec!BP28*BL28*$B$43)</f>
        <v>.</v>
      </c>
    </row>
    <row r="44" spans="1:64" x14ac:dyDescent="0.25">
      <c r="A44" s="48" t="s">
        <v>1072</v>
      </c>
      <c r="B44" s="15">
        <v>0.99987999999999999</v>
      </c>
      <c r="C44" s="42"/>
      <c r="D44" s="60">
        <f>IFERROR(D15/$B44,".")</f>
        <v>5981008.476773466</v>
      </c>
      <c r="E44" s="60">
        <f>IFERROR(E15/$B44,".")</f>
        <v>59830454362.071892</v>
      </c>
      <c r="F44" s="60" t="str">
        <f>IFERROR(F15/$B44,".")</f>
        <v>.</v>
      </c>
      <c r="G44" s="63">
        <f>IFERROR(G15/$B44,".")</f>
        <v>58008605.402466811</v>
      </c>
      <c r="H44" s="63" t="str">
        <f>IFERROR(H15/$B44,".")</f>
        <v>.</v>
      </c>
      <c r="I44" s="233">
        <f t="shared" si="13"/>
        <v>1.6719588408600004E-7</v>
      </c>
      <c r="J44" s="233">
        <f t="shared" si="14"/>
        <v>1.671389613637844E-11</v>
      </c>
      <c r="K44" s="233">
        <f t="shared" si="15"/>
        <v>0</v>
      </c>
      <c r="L44" s="233">
        <f t="shared" si="16"/>
        <v>1.7238821603483594E-8</v>
      </c>
      <c r="M44" s="233">
        <f t="shared" si="17"/>
        <v>0</v>
      </c>
      <c r="N44" s="63">
        <f>IFERROR(N15/$B44,".")</f>
        <v>5421481.7226484548</v>
      </c>
      <c r="O44" s="189">
        <f>IFERROR(O15/$B44,0)</f>
        <v>1.178154570960887E-6</v>
      </c>
      <c r="P44" s="49">
        <f>IF(D44=".",".",s_RadSpec!$E$15*P15*$B$44)</f>
        <v>4.1798971021499997E-6</v>
      </c>
      <c r="Q44" s="49">
        <f>IF(E44=".",".",s_RadSpec!$H$15*Q15*$B$44)</f>
        <v>4.1784740340946101E-10</v>
      </c>
      <c r="R44" s="49" t="str">
        <f>IF(F44=".",".",s_RadSpec!$G$15*R15*$B$44)</f>
        <v>.</v>
      </c>
      <c r="S44" s="49">
        <f>IF(G44=".",".",s_RadSpec!$F$15*S15*$B$44)</f>
        <v>4.3097054008708981E-7</v>
      </c>
      <c r="T44" s="49" t="str">
        <f>IF(H44=".",".",s_RadSpec!$F$15*T15*$B$44)</f>
        <v>.</v>
      </c>
      <c r="U44" s="49">
        <f t="shared" si="47"/>
        <v>4.6112854896404988E-6</v>
      </c>
      <c r="V44" s="60" t="str">
        <f>IFERROR(V15/$B44,".")</f>
        <v>.</v>
      </c>
      <c r="W44" s="60" t="str">
        <f>IFERROR(W15/$B44,".")</f>
        <v>.</v>
      </c>
      <c r="X44" s="60" t="str">
        <f>IFERROR(X15/$B44,".")</f>
        <v>.</v>
      </c>
      <c r="Y44" s="60" t="str">
        <f>IFERROR(Y15/$B44,".")</f>
        <v>.</v>
      </c>
      <c r="Z44" s="60" t="str">
        <f>IFERROR(Z15/$B44,".")</f>
        <v>.</v>
      </c>
      <c r="AA44" s="189">
        <f t="shared" ref="AA44:AE44" si="100">IFERROR(AA15/$B44,0)</f>
        <v>0</v>
      </c>
      <c r="AB44" s="189">
        <f t="shared" si="100"/>
        <v>0</v>
      </c>
      <c r="AC44" s="189">
        <f t="shared" si="100"/>
        <v>0</v>
      </c>
      <c r="AD44" s="189">
        <f t="shared" si="100"/>
        <v>0</v>
      </c>
      <c r="AE44" s="189">
        <f t="shared" si="100"/>
        <v>0</v>
      </c>
      <c r="AF44" s="49" t="str">
        <f>IF(V44=".",".",s_RadSpec!$G$15*AF15*$B$44)</f>
        <v>.</v>
      </c>
      <c r="AG44" s="49" t="str">
        <f>IF(W44=".",".",s_RadSpec!$N$15*AG15*$B$44)</f>
        <v>.</v>
      </c>
      <c r="AH44" s="49" t="str">
        <f>IF(X44=".",".",s_RadSpec!$O$15*AH15*$B$44)</f>
        <v>.</v>
      </c>
      <c r="AI44" s="49" t="str">
        <f>IF(Y44=".",".",s_RadSpec!$P$15*AI15*$B$44)</f>
        <v>.</v>
      </c>
      <c r="AJ44" s="49" t="str">
        <f>IF(Z44=".",".",s_RadSpec!$L$15*AJ15*$B$44)</f>
        <v>.</v>
      </c>
      <c r="AK44" s="60">
        <f>IFERROR(AK15/$B44,".")</f>
        <v>193123.6544719676</v>
      </c>
      <c r="AL44" s="60">
        <f>IFERROR(AL15/$B44,".")</f>
        <v>27284615.603591707</v>
      </c>
      <c r="AM44" s="60">
        <f>IFERROR(AM15/$B44,".")</f>
        <v>191766.31042097684</v>
      </c>
      <c r="AN44" s="189">
        <f t="shared" ref="AN44" si="101">IFERROR(AN15/$B44,0)</f>
        <v>4.1673174740208975E-11</v>
      </c>
      <c r="AO44" s="49">
        <f>IF(AK44=".",".",s_RadSpec!$H$15*AO15*$B$44)</f>
        <v>1.2945074008854164E-4</v>
      </c>
      <c r="AP44" s="49">
        <f>IF(AL44=".",".",s_RadSpec!$K$15*AP15*$B$44)</f>
        <v>9.1626726076027395E-7</v>
      </c>
      <c r="AQ44" s="49">
        <f t="shared" si="52"/>
        <v>1.3036700734930191E-4</v>
      </c>
      <c r="AR44" s="60">
        <f>IFERROR(AR15/$B44,".")</f>
        <v>41119.433277817589</v>
      </c>
      <c r="AS44" s="60">
        <f>IFERROR(AS15/$B44,".")</f>
        <v>15225789.957361441</v>
      </c>
      <c r="AT44" s="63">
        <f>IFERROR(AT15/$B44,".")</f>
        <v>234968190158.95767</v>
      </c>
      <c r="AU44" s="63" t="str">
        <f>IFERROR(AU15/$B44,".")</f>
        <v>.</v>
      </c>
      <c r="AV44" s="233">
        <f t="shared" si="54"/>
        <v>2.4319401321599998E-5</v>
      </c>
      <c r="AW44" s="233">
        <f t="shared" si="55"/>
        <v>6.5678037251296441E-8</v>
      </c>
      <c r="AX44" s="233">
        <f t="shared" si="56"/>
        <v>4.2558952312799994E-12</v>
      </c>
      <c r="AY44" s="233">
        <f t="shared" si="57"/>
        <v>0</v>
      </c>
      <c r="AZ44" s="63">
        <f>IFERROR(AZ15/$B44,".")</f>
        <v>41008.676279267071</v>
      </c>
      <c r="BA44" s="189">
        <f t="shared" ref="BA44" si="102">IFERROR(BA15/$B44,0)</f>
        <v>8.9116890693623148E-12</v>
      </c>
      <c r="BB44" s="49">
        <f>IF(AR44=".",".",s_RadSpec!$I$15*BB15*$B$44)</f>
        <v>6.0798503304E-4</v>
      </c>
      <c r="BC44" s="49">
        <f>IF(AS44=".",".",s_RadSpec!$M$15*BC15*$B$44)</f>
        <v>1.6419509312824111E-6</v>
      </c>
      <c r="BD44" s="49">
        <f>IF(AT44=".",".",s_RadSpec!$F$15*BD15*$B$44)</f>
        <v>1.06397380782E-10</v>
      </c>
      <c r="BE44" s="49" t="str">
        <f>IF(AU44=".",".",s_RadSpec!$F$15*BE15*$B$44)</f>
        <v>.</v>
      </c>
      <c r="BF44" s="49">
        <f t="shared" si="60"/>
        <v>6.0962709036866325E-4</v>
      </c>
      <c r="BG44" s="63">
        <f>IFERROR(BG15/$B44,".")</f>
        <v>328955.46622254071</v>
      </c>
      <c r="BH44" s="63">
        <f>IFERROR(BH15/$B44,".")</f>
        <v>328955.46622254071</v>
      </c>
      <c r="BI44" s="189">
        <f t="shared" ref="BI44:BJ44" si="103">IFERROR(BI15/$B44,0)</f>
        <v>7.1486063404697479E-8</v>
      </c>
      <c r="BJ44" s="189">
        <f t="shared" si="103"/>
        <v>7.1486063404697479E-8</v>
      </c>
      <c r="BK44" s="49">
        <f>IF(BG44=".",".",s_RadSpec!$F$15*BK15*$B$44)</f>
        <v>7.599812913E-5</v>
      </c>
      <c r="BL44" s="49">
        <f>IF(BH44=".",".",s_RadSpec!$F$15*BL15*$B$44)</f>
        <v>7.599812913E-5</v>
      </c>
    </row>
    <row r="45" spans="1:64" x14ac:dyDescent="0.25">
      <c r="A45" s="57" t="s">
        <v>8</v>
      </c>
      <c r="B45" s="57" t="s">
        <v>1185</v>
      </c>
      <c r="C45" s="57"/>
      <c r="D45" s="58">
        <f>IFERROR(1/SUM(IFERROR(1/SUMIF(D46,"&lt;&gt;.",D46),0),IFERROR(1/SUMIF(D47,"&lt;&gt;.",D47),0)),".")</f>
        <v>33588.550334961816</v>
      </c>
      <c r="E45" s="58">
        <f>IFERROR(1/SUM(IFERROR(1/SUMIF(E46,"&lt;&gt;.",E46),0),IFERROR(1/SUMIF(E47,"&lt;&gt;.",E47),0)),".")</f>
        <v>100135841.11719139</v>
      </c>
      <c r="F45" s="58">
        <f>IFERROR(1/SUM(IFERROR(1/SUMIF(F46,"&lt;&gt;.",F46),0),IFERROR(1/SUMIF(F47,"&lt;&gt;.",F47),0)),".")</f>
        <v>664.79932892290174</v>
      </c>
      <c r="G45" s="61">
        <f>IFERROR(1/SUM(IFERROR(1/SUMIF(G46,"&lt;&gt;.",G46),0),IFERROR(1/SUMIF(G47,"&lt;&gt;.",G47),0)),".")</f>
        <v>10157.827722266684</v>
      </c>
      <c r="H45" s="61">
        <f>IFERROR(1/SUM(IFERROR(1/SUMIF(H46,"&lt;&gt;.",H46),0),IFERROR(1/SUMIF(H47,"&lt;&gt;.",H47),0)),".")</f>
        <v>82.767485144395195</v>
      </c>
      <c r="I45" s="233">
        <f t="shared" si="13"/>
        <v>2.9772050000000002E-5</v>
      </c>
      <c r="J45" s="233">
        <f t="shared" si="14"/>
        <v>9.9864343160574835E-9</v>
      </c>
      <c r="K45" s="233">
        <f t="shared" si="15"/>
        <v>1.5042133114366791E-3</v>
      </c>
      <c r="L45" s="233">
        <f t="shared" si="16"/>
        <v>9.8446245333333292E-5</v>
      </c>
      <c r="M45" s="233">
        <f t="shared" si="17"/>
        <v>1.2082039199999995E-2</v>
      </c>
      <c r="N45" s="58">
        <f>IFERROR(1/SUM(IFERROR(1/SUMIF(N46,"&lt;&gt;.",N46),0),IFERROR(1/SUMIF(N47,"&lt;&gt;.",N47),0)),".")</f>
        <v>72.915629477968352</v>
      </c>
      <c r="O45" s="190">
        <f>N45*(0.0000000000028)*s_RadSpec!$AY10*s_RadSpec!$AF10</f>
        <v>8.4378692379912071E-7</v>
      </c>
      <c r="P45" s="47">
        <f>IFERROR(SUM(P46:P47),".")</f>
        <v>7.4430124999999992E-4</v>
      </c>
      <c r="Q45" s="47">
        <f t="shared" ref="Q45:U45" si="104">IFERROR(SUM(Q46:Q47),".")</f>
        <v>2.4966085790143709E-7</v>
      </c>
      <c r="R45" s="47">
        <f t="shared" si="104"/>
        <v>3.7605332785916962E-2</v>
      </c>
      <c r="S45" s="47">
        <f t="shared" si="104"/>
        <v>2.4611561333333322E-3</v>
      </c>
      <c r="T45" s="47">
        <f t="shared" si="104"/>
        <v>0.30205097999999991</v>
      </c>
      <c r="U45" s="47">
        <f t="shared" si="104"/>
        <v>0.34286201983010811</v>
      </c>
      <c r="V45" s="59">
        <f>IFERROR(1/SUM(IFERROR(1/SUMIF(V46,"&lt;&gt;.",V46),0),IFERROR(1/SUMIF(V47,"&lt;&gt;.",V47),0)),".")</f>
        <v>664.79932892290174</v>
      </c>
      <c r="W45" s="59">
        <f>IFERROR(1/SUM(IFERROR(1/SUMIF(W46,"&lt;&gt;.",W46),0),IFERROR(1/SUMIF(W47,"&lt;&gt;.",W47),0)),".")</f>
        <v>6237.2392404353022</v>
      </c>
      <c r="X45" s="59">
        <f>IFERROR(1/SUM(IFERROR(1/SUMIF(X46,"&lt;&gt;.",X46),0),IFERROR(1/SUMIF(X47,"&lt;&gt;.",X47),0)),".")</f>
        <v>1540.9217745413814</v>
      </c>
      <c r="Y45" s="59">
        <f>IFERROR(1/SUM(IFERROR(1/SUMIF(Y46,"&lt;&gt;.",Y46),0),IFERROR(1/SUMIF(Y47,"&lt;&gt;.",Y47),0)),".")</f>
        <v>815.31938891242214</v>
      </c>
      <c r="Z45" s="59">
        <f>IFERROR(1/SUM(IFERROR(1/SUMIF(Z46,"&lt;&gt;.",Z46),0),IFERROR(1/SUMIF(Z47,"&lt;&gt;.",Z47),0)),".")</f>
        <v>10391.22431912415</v>
      </c>
      <c r="AA45" s="190">
        <f>V45*(0.0000000000028)*s_RadSpec!$AY10*s_RadSpec!$AF10</f>
        <v>7.6931240217170065E-6</v>
      </c>
      <c r="AB45" s="190">
        <f>W45*(0.0000000000028)*s_RadSpec!$AY10*s_RadSpec!$AF10</f>
        <v>7.2177953469856112E-5</v>
      </c>
      <c r="AC45" s="190">
        <f>X45*(0.0000000000028)*s_RadSpec!$AY10*s_RadSpec!$AF10</f>
        <v>1.7831700189164742E-5</v>
      </c>
      <c r="AD45" s="190">
        <f>Y45*(0.0000000000028)*s_RadSpec!$AY10*s_RadSpec!$AF10</f>
        <v>9.4349571416929091E-6</v>
      </c>
      <c r="AE45" s="190">
        <f>Z45*(0.0000000000000028)*s_RadSpec!$AY10*s_RadSpec!$AF10</f>
        <v>1.2024828237119789E-7</v>
      </c>
      <c r="AF45" s="47">
        <f t="shared" ref="AF45" si="105">IFERROR(SUM(AF46:AF47),".")</f>
        <v>3.7605332785916962E-2</v>
      </c>
      <c r="AG45" s="47">
        <f t="shared" ref="AG45" si="106">IFERROR(SUM(AG46:AG47),".")</f>
        <v>4.0081835947429877E-3</v>
      </c>
      <c r="AH45" s="47">
        <f t="shared" ref="AH45" si="107">IFERROR(SUM(AH46:AH47),".")</f>
        <v>1.6224055246049501E-2</v>
      </c>
      <c r="AI45" s="47">
        <f t="shared" ref="AI45" si="108">IFERROR(SUM(AI46:AI47),".")</f>
        <v>3.0662830223316798E-2</v>
      </c>
      <c r="AJ45" s="47">
        <f t="shared" ref="AJ45" si="109">IFERROR(SUM(AJ46:AJ47),".")</f>
        <v>2.4058762694584178E-3</v>
      </c>
      <c r="AK45" s="58">
        <f>IFERROR(1/SUM(IFERROR(1/SUMIF(AK46,"&lt;&gt;.",AK46),0),IFERROR(1/SUMIF(AK47,"&lt;&gt;.",AK47),0)),".")</f>
        <v>323.22334480607867</v>
      </c>
      <c r="AL45" s="58">
        <f>IFERROR(1/SUM(IFERROR(1/SUMIF(AL46,"&lt;&gt;.",AL46),0),IFERROR(1/SUMIF(AL47,"&lt;&gt;.",AL47),0)),".")</f>
        <v>107038.83215437218</v>
      </c>
      <c r="AM45" s="59">
        <f>IFERROR(1/SUM(IFERROR(1/SUMIF(AM46,"&lt;&gt;.",AM46),0),IFERROR(1/SUMIF(AM47,"&lt;&gt;.",AM47),0)),".")</f>
        <v>322.25025119174836</v>
      </c>
      <c r="AN45" s="190">
        <f>AM45*(0.0000000000000028)*s_RadSpec!$AY10*s_RadSpec!$AF10</f>
        <v>3.7291119900259207E-9</v>
      </c>
      <c r="AO45" s="47">
        <f t="shared" ref="AO45" si="110">IFERROR(SUM(AO46:AO47),".")</f>
        <v>7.7345898437499977E-2</v>
      </c>
      <c r="AP45" s="47">
        <f t="shared" ref="AP45" si="111">IFERROR(SUM(AP46:AP47),".")</f>
        <v>2.335600968062209E-4</v>
      </c>
      <c r="AQ45" s="47">
        <f t="shared" ref="AQ45" si="112">IFERROR(SUM(AQ46:AQ47),".")</f>
        <v>7.7579458534306187E-2</v>
      </c>
      <c r="AR45" s="58">
        <f>IFERROR(1/SUM(IFERROR(1/SUMIF(AR46,"&lt;&gt;.",AR46),0),IFERROR(1/SUMIF(AR47,"&lt;&gt;.",AR47),0)),".")</f>
        <v>230.92128355286252</v>
      </c>
      <c r="AS45" s="58">
        <f>IFERROR(1/SUM(IFERROR(1/SUMIF(AS46,"&lt;&gt;.",AS46),0),IFERROR(1/SUMIF(AS47,"&lt;&gt;.",AS47),0)),".")</f>
        <v>30923.026552894895</v>
      </c>
      <c r="AT45" s="61">
        <f>IFERROR(1/SUM(IFERROR(1/SUMIF(AT46,"&lt;&gt;.",AT46),0),IFERROR(1/SUMIF(AT47,"&lt;&gt;.",AT47),0)),".")</f>
        <v>41985687.918702275</v>
      </c>
      <c r="AU45" s="61">
        <f>IFERROR(1/SUM(IFERROR(1/SUMIF(AU46,"&lt;&gt;.",AU46),0),IFERROR(1/SUMIF(AU47,"&lt;&gt;.",AU47),0)),".")</f>
        <v>342105.60526350001</v>
      </c>
      <c r="AV45" s="233">
        <f t="shared" si="54"/>
        <v>4.3304799999999994E-3</v>
      </c>
      <c r="AW45" s="233">
        <f t="shared" si="55"/>
        <v>3.233836113323079E-5</v>
      </c>
      <c r="AX45" s="233">
        <f t="shared" si="56"/>
        <v>2.381764E-8</v>
      </c>
      <c r="AY45" s="233">
        <f t="shared" si="57"/>
        <v>2.9230739999999997E-6</v>
      </c>
      <c r="AZ45" s="62">
        <f>IFERROR(1/SUM(IFERROR(1/SUMIF(AZ46,"&lt;&gt;.",AZ46),0),IFERROR(1/SUMIF(AZ47,"&lt;&gt;.",AZ47),0)),".")</f>
        <v>229.05491754619149</v>
      </c>
      <c r="BA45" s="190">
        <f>AZ45*(0.0000000000000028)*s_RadSpec!$AY10*s_RadSpec!$AF10</f>
        <v>2.6506463105521191E-9</v>
      </c>
      <c r="BB45" s="47">
        <f t="shared" ref="BB45" si="113">IFERROR(SUM(BB46:BB47),".")</f>
        <v>0.108262</v>
      </c>
      <c r="BC45" s="47">
        <f t="shared" ref="BC45" si="114">IFERROR(SUM(BC46:BC47),".")</f>
        <v>8.0845902833076989E-4</v>
      </c>
      <c r="BD45" s="47">
        <f t="shared" ref="BD45" si="115">IFERROR(SUM(BD46:BD47),".")</f>
        <v>5.9544099999999991E-7</v>
      </c>
      <c r="BE45" s="47">
        <f t="shared" ref="BE45" si="116">IFERROR(SUM(BE46:BE47),".")</f>
        <v>7.3076849999999995E-5</v>
      </c>
      <c r="BF45" s="47">
        <f t="shared" ref="BF45" si="117">IFERROR(SUM(BF46:BF47),".")</f>
        <v>0.10914413131933078</v>
      </c>
      <c r="BG45" s="61">
        <f>IFERROR(1/SUM(IFERROR(1/SUMIF(BG46,"&lt;&gt;.",BG46),0),IFERROR(1/SUMIF(BG47,"&lt;&gt;.",BG47),0)),".")</f>
        <v>1847.3702684229002</v>
      </c>
      <c r="BH45" s="61">
        <f>IFERROR(1/SUM(IFERROR(1/SUMIF(BH46,"&lt;&gt;.",BH46),0),IFERROR(1/SUMIF(BH47,"&lt;&gt;.",BH47),0)),".")</f>
        <v>1847.3702684229002</v>
      </c>
      <c r="BI45" s="190">
        <f>BG45*(0.0000000000028)*s_RadSpec!$AY10*s_RadSpec!$AF10</f>
        <v>2.1377952670373726E-5</v>
      </c>
      <c r="BJ45" s="190">
        <f>BH45*(0.0000000000028)*s_RadSpec!$AY10*s_RadSpec!$AF10</f>
        <v>2.1377952670373726E-5</v>
      </c>
      <c r="BK45" s="47">
        <f t="shared" ref="BK45" si="118">IFERROR(SUM(BK46:BK47),".")</f>
        <v>1.353275E-2</v>
      </c>
      <c r="BL45" s="47">
        <f t="shared" ref="BL45" si="119">IFERROR(SUM(BL46:BL47),".")</f>
        <v>1.353275E-2</v>
      </c>
    </row>
    <row r="46" spans="1:64" x14ac:dyDescent="0.25">
      <c r="A46" s="48" t="s">
        <v>1084</v>
      </c>
      <c r="B46" s="15">
        <v>1</v>
      </c>
      <c r="C46" s="42"/>
      <c r="D46" s="60">
        <f>IFERROR(D10/$B46,".")</f>
        <v>33588.550334961816</v>
      </c>
      <c r="E46" s="60">
        <f>IFERROR(E10/$B46,".")</f>
        <v>100135841.11719139</v>
      </c>
      <c r="F46" s="60">
        <f>IFERROR(F10/$B46,".")</f>
        <v>2863954.6771756485</v>
      </c>
      <c r="G46" s="63">
        <f>IFERROR(G10/$B46,".")</f>
        <v>10157.827722266684</v>
      </c>
      <c r="H46" s="63">
        <f>IFERROR(H10/$B46,".")</f>
        <v>82.767485144395195</v>
      </c>
      <c r="I46" s="233">
        <f t="shared" si="13"/>
        <v>2.9772050000000002E-5</v>
      </c>
      <c r="J46" s="233">
        <f t="shared" si="14"/>
        <v>9.9864343160574835E-9</v>
      </c>
      <c r="K46" s="233">
        <f t="shared" si="15"/>
        <v>3.4916753675242228E-7</v>
      </c>
      <c r="L46" s="233">
        <f t="shared" si="16"/>
        <v>9.8446245333333292E-5</v>
      </c>
      <c r="M46" s="233">
        <f t="shared" si="17"/>
        <v>1.2082039199999995E-2</v>
      </c>
      <c r="N46" s="63">
        <f>IFERROR(N10/$B46,".")</f>
        <v>81.895945857653885</v>
      </c>
      <c r="O46" s="189">
        <f>IFERROR(O10/$B46,0)</f>
        <v>9.4770803902514045E-7</v>
      </c>
      <c r="P46" s="49">
        <f>IF(D46=".",".",s_RadSpec!$E$10*P10*$B$46)</f>
        <v>7.4430124999999992E-4</v>
      </c>
      <c r="Q46" s="49">
        <f>IF(E46=".",".",s_RadSpec!$H$10*Q10*$B$46)</f>
        <v>2.4966085790143709E-7</v>
      </c>
      <c r="R46" s="49">
        <f>IF(F46=".",".",s_RadSpec!$G$10*R10*$B$46)</f>
        <v>8.7291884188105567E-6</v>
      </c>
      <c r="S46" s="49">
        <f>IF(G46=".",".",s_RadSpec!$F$10*S10*$B$46)</f>
        <v>2.4611561333333322E-3</v>
      </c>
      <c r="T46" s="49">
        <f>IF(H46=".",".",s_RadSpec!$F$10*T10*$B$46)</f>
        <v>0.30205097999999991</v>
      </c>
      <c r="U46" s="49">
        <f t="shared" ref="U46:U47" si="120">IFERROR(SUM(P46:T46),".")</f>
        <v>0.30526541623260994</v>
      </c>
      <c r="V46" s="60">
        <f>IFERROR(V10/$B46,".")</f>
        <v>2863954.6771756485</v>
      </c>
      <c r="W46" s="60">
        <f>IFERROR(W10/$B46,".")</f>
        <v>9652106.6592278164</v>
      </c>
      <c r="X46" s="60">
        <f>IFERROR(X10/$B46,".")</f>
        <v>3951910.4508750853</v>
      </c>
      <c r="Y46" s="60">
        <f>IFERROR(Y10/$B46,".")</f>
        <v>2965933.1709933337</v>
      </c>
      <c r="Z46" s="60">
        <f>IFERROR(Z10/$B46,".")</f>
        <v>1781016.290478206</v>
      </c>
      <c r="AA46" s="189">
        <f t="shared" ref="AA46:AE46" si="121">IFERROR(AA10/$B46,0)</f>
        <v>3.3141968659604268E-2</v>
      </c>
      <c r="AB46" s="189">
        <f t="shared" si="121"/>
        <v>0.11169513922432329</v>
      </c>
      <c r="AC46" s="189">
        <f t="shared" si="121"/>
        <v>4.5731901189730979E-2</v>
      </c>
      <c r="AD46" s="189">
        <f t="shared" si="121"/>
        <v>3.4322073943041362E-2</v>
      </c>
      <c r="AE46" s="189">
        <f t="shared" si="121"/>
        <v>2.0610097831395682E-2</v>
      </c>
      <c r="AF46" s="49">
        <f>IF(V46=".",".",s_RadSpec!$G$10*AF10*$B$46)</f>
        <v>8.7291884188105567E-6</v>
      </c>
      <c r="AG46" s="49">
        <f>IF(W46=".",".",s_RadSpec!$N$10*AG10*$B$46)</f>
        <v>2.5901081372840988E-6</v>
      </c>
      <c r="AH46" s="49">
        <f>IF(X46=".",".",s_RadSpec!$O$10*AH10*$B$46)</f>
        <v>6.3260542744495045E-6</v>
      </c>
      <c r="AI46" s="49">
        <f>IF(Y46=".",".",s_RadSpec!$P$10*AI10*$B$46)</f>
        <v>8.4290503388608518E-6</v>
      </c>
      <c r="AJ46" s="49">
        <f>IF(Z46=".",".",s_RadSpec!$L$10*AJ10*$B$46)</f>
        <v>1.4036929439476074E-5</v>
      </c>
      <c r="AK46" s="60">
        <f>IFERROR(AK10/$B46,".")</f>
        <v>323.22334480607867</v>
      </c>
      <c r="AL46" s="60">
        <f>IFERROR(AL10/$B46,".")</f>
        <v>29022703.669914123</v>
      </c>
      <c r="AM46" s="60">
        <f>IFERROR(AM10/$B46,".")</f>
        <v>323.21974513568551</v>
      </c>
      <c r="AN46" s="189">
        <f t="shared" ref="AN46" si="122">IFERROR(AN10/$B46,0)</f>
        <v>3.7403310704679783E-9</v>
      </c>
      <c r="AO46" s="49">
        <f>IF(AK46=".",".",s_RadSpec!$H$10*AO10*$B$46)</f>
        <v>7.7345898437499977E-2</v>
      </c>
      <c r="AP46" s="49">
        <f>IF(AL46=".",".",s_RadSpec!$K$10*AP10*$B$46)</f>
        <v>8.6139459246575334E-7</v>
      </c>
      <c r="AQ46" s="49">
        <f t="shared" ref="AQ46:AQ47" si="123">IFERROR(SUM(AO46:AP46),".")</f>
        <v>7.7346759832092438E-2</v>
      </c>
      <c r="AR46" s="60">
        <f>IFERROR(AR10/$B46,".")</f>
        <v>230.92128355286252</v>
      </c>
      <c r="AS46" s="60">
        <f>IFERROR(AS10/$B46,".")</f>
        <v>16238893.720070997</v>
      </c>
      <c r="AT46" s="63">
        <f>IFERROR(AT10/$B46,".")</f>
        <v>41985687.918702275</v>
      </c>
      <c r="AU46" s="63">
        <f>IFERROR(AU10/$B46,".")</f>
        <v>342105.60526350001</v>
      </c>
      <c r="AV46" s="233">
        <f t="shared" si="54"/>
        <v>4.3304799999999994E-3</v>
      </c>
      <c r="AW46" s="233">
        <f t="shared" si="55"/>
        <v>6.158054958904109E-8</v>
      </c>
      <c r="AX46" s="233">
        <f t="shared" si="56"/>
        <v>2.381764E-8</v>
      </c>
      <c r="AY46" s="233">
        <f t="shared" si="57"/>
        <v>2.9230739999999997E-6</v>
      </c>
      <c r="AZ46" s="63">
        <f>IFERROR(AZ10/$B46,".")</f>
        <v>230.76096923242267</v>
      </c>
      <c r="BA46" s="189">
        <f t="shared" ref="BA46" si="124">IFERROR(BA10/$B46,0)</f>
        <v>2.6703889105196922E-9</v>
      </c>
      <c r="BB46" s="49">
        <f>IF(AR46=".",".",s_RadSpec!$I$10*BB10*$B$46)</f>
        <v>0.108262</v>
      </c>
      <c r="BC46" s="49">
        <f>IF(AS46=".",".",s_RadSpec!$M$10*BC10*$B$46)</f>
        <v>1.5395137397260273E-6</v>
      </c>
      <c r="BD46" s="49">
        <f>IF(AT46=".",".",s_RadSpec!$F$10*BD10*$B$46)</f>
        <v>5.9544099999999991E-7</v>
      </c>
      <c r="BE46" s="49">
        <f>IF(AU46=".",".",s_RadSpec!$F$10*BE10*$B$46)</f>
        <v>7.3076849999999995E-5</v>
      </c>
      <c r="BF46" s="49">
        <f t="shared" si="60"/>
        <v>0.10833721180473974</v>
      </c>
      <c r="BG46" s="63">
        <f>IFERROR(BG10/$B46,".")</f>
        <v>1847.3702684229002</v>
      </c>
      <c r="BH46" s="63">
        <f>IFERROR(BH10/$B46,".")</f>
        <v>1847.3702684229002</v>
      </c>
      <c r="BI46" s="189">
        <f t="shared" ref="BI46:BJ46" si="125">IFERROR(BI10/$B46,0)</f>
        <v>2.1377952670373726E-5</v>
      </c>
      <c r="BJ46" s="189">
        <f t="shared" si="125"/>
        <v>2.1377952670373726E-5</v>
      </c>
      <c r="BK46" s="49">
        <f>IF(BG46=".",".",s_RadSpec!$F$10*BK10*$B$46)</f>
        <v>1.353275E-2</v>
      </c>
      <c r="BL46" s="49">
        <f>IF(BH46=".",".",s_RadSpec!$F$10*BL10*$B$46)</f>
        <v>1.353275E-2</v>
      </c>
    </row>
    <row r="47" spans="1:64" x14ac:dyDescent="0.25">
      <c r="A47" s="48" t="s">
        <v>1058</v>
      </c>
      <c r="B47" s="51">
        <v>0.94399</v>
      </c>
      <c r="C47" s="79"/>
      <c r="D47" s="60" t="str">
        <f>IFERROR(D6/$B$47,".")</f>
        <v>.</v>
      </c>
      <c r="E47" s="60" t="str">
        <f>IFERROR(E6/$B$47,".")</f>
        <v>.</v>
      </c>
      <c r="F47" s="60">
        <f>IFERROR(F6/$B$47,".")</f>
        <v>664.95368219015415</v>
      </c>
      <c r="G47" s="63" t="str">
        <f>IFERROR(G6/$B$47,".")</f>
        <v>.</v>
      </c>
      <c r="H47" s="63" t="str">
        <f>IFERROR(H6/$B$47,".")</f>
        <v>.</v>
      </c>
      <c r="I47" s="233">
        <f t="shared" si="13"/>
        <v>0</v>
      </c>
      <c r="J47" s="233">
        <f t="shared" si="14"/>
        <v>0</v>
      </c>
      <c r="K47" s="233">
        <f t="shared" si="15"/>
        <v>1.5038641438999266E-3</v>
      </c>
      <c r="L47" s="233">
        <f t="shared" si="16"/>
        <v>0</v>
      </c>
      <c r="M47" s="233">
        <f t="shared" si="17"/>
        <v>0</v>
      </c>
      <c r="N47" s="63">
        <f>IFERROR(N6/$B$47,".")</f>
        <v>664.95368219015415</v>
      </c>
      <c r="O47" s="189">
        <f>IFERROR(O6/$B$47,0)</f>
        <v>1.2384979933594763E-12</v>
      </c>
      <c r="P47" s="49" t="str">
        <f>IF(D47=".",".",s_RadSpec!$E$6*P6*$B$47)</f>
        <v>.</v>
      </c>
      <c r="Q47" s="49" t="str">
        <f>IF(E47=".",".",s_RadSpec!$H$6*Q6*$B$47)</f>
        <v>.</v>
      </c>
      <c r="R47" s="49">
        <f>IF(F47=".",".",s_RadSpec!$G$6*R6*$B$47)</f>
        <v>3.7596603597498154E-2</v>
      </c>
      <c r="S47" s="49" t="str">
        <f>IF(G47=".",".",s_RadSpec!$F$6*S6*$B$47)</f>
        <v>.</v>
      </c>
      <c r="T47" s="49" t="str">
        <f>IF(H47=".",".",s_RadSpec!$F$6*T6*$B$47)</f>
        <v>.</v>
      </c>
      <c r="U47" s="49">
        <f t="shared" si="120"/>
        <v>3.7596603597498154E-2</v>
      </c>
      <c r="V47" s="60">
        <f>IFERROR(V6/$B$47,".")</f>
        <v>664.95368219015415</v>
      </c>
      <c r="W47" s="60">
        <f>IFERROR(W6/$B$47,".")</f>
        <v>6241.2723816326961</v>
      </c>
      <c r="X47" s="60">
        <f>IFERROR(X6/$B$47,".")</f>
        <v>1541.5228423396629</v>
      </c>
      <c r="Y47" s="60">
        <f>IFERROR(Y6/$B$47,".")</f>
        <v>815.54357754140926</v>
      </c>
      <c r="Z47" s="60">
        <f>IFERROR(Z6/$B$47,".")</f>
        <v>10452.20704489375</v>
      </c>
      <c r="AA47" s="189">
        <f t="shared" ref="AA47:AE47" si="126">IFERROR(AA6/$B$47,0)</f>
        <v>1.2384979933594763E-12</v>
      </c>
      <c r="AB47" s="189">
        <f t="shared" si="126"/>
        <v>1.1624574053342189E-11</v>
      </c>
      <c r="AC47" s="189">
        <f t="shared" si="126"/>
        <v>2.8711367394300858E-12</v>
      </c>
      <c r="AD47" s="189">
        <f t="shared" si="126"/>
        <v>1.5189766014310216E-12</v>
      </c>
      <c r="AE47" s="189">
        <f t="shared" si="126"/>
        <v>1.946757766441972E-11</v>
      </c>
      <c r="AF47" s="49">
        <f>IF(V47=".",".",s_RadSpec!$G$6*AF6*$B$47)</f>
        <v>3.7596603597498154E-2</v>
      </c>
      <c r="AG47" s="49">
        <f>IF(W47=".",".",s_RadSpec!$N$6*AG6*$B$47)</f>
        <v>4.0055934866057036E-3</v>
      </c>
      <c r="AH47" s="49">
        <f>IF(X47=".",".",s_RadSpec!$O$6*AH6*$B$47)</f>
        <v>1.6217729191775051E-2</v>
      </c>
      <c r="AI47" s="49">
        <f>IF(Y47=".",".",s_RadSpec!$P$6*AI6*$B$47)</f>
        <v>3.0654401172977935E-2</v>
      </c>
      <c r="AJ47" s="49">
        <f>IF(Z47=".",".",s_RadSpec!$L$6*AJ6*$B$47)</f>
        <v>2.3918393400189416E-3</v>
      </c>
      <c r="AK47" s="60" t="str">
        <f>IFERROR(AK6/$B$47,".")</f>
        <v>.</v>
      </c>
      <c r="AL47" s="60">
        <f>IFERROR(AL6/$B$47,".")</f>
        <v>107435.06415018679</v>
      </c>
      <c r="AM47" s="60">
        <f>IFERROR(AM6/$B$47,".")</f>
        <v>107435.06415018679</v>
      </c>
      <c r="AN47" s="189">
        <f t="shared" ref="AN47" si="127">IFERROR(AN6/$B$47,0)</f>
        <v>2.0010132273905188E-13</v>
      </c>
      <c r="AO47" s="49" t="str">
        <f>IF(AK47=".",".",s_RadSpec!$H$6*AO6*$B$47)</f>
        <v>.</v>
      </c>
      <c r="AP47" s="49">
        <f>IF(AL47=".",".",s_RadSpec!$K$6*AP6*$B$47)</f>
        <v>2.3269870221375515E-4</v>
      </c>
      <c r="AQ47" s="49">
        <f t="shared" si="123"/>
        <v>2.3269870221375515E-4</v>
      </c>
      <c r="AR47" s="60" t="str">
        <f>IFERROR(AR6/$B$47,".")</f>
        <v>.</v>
      </c>
      <c r="AS47" s="60">
        <f>IFERROR(AS6/$B$47,".")</f>
        <v>30982.024288593751</v>
      </c>
      <c r="AT47" s="63" t="str">
        <f>IFERROR(AT6/$B$47,".")</f>
        <v>.</v>
      </c>
      <c r="AU47" s="63" t="str">
        <f>IFERROR(AU6/$B$47,".")</f>
        <v>.</v>
      </c>
      <c r="AV47" s="233">
        <f t="shared" si="54"/>
        <v>0</v>
      </c>
      <c r="AW47" s="233">
        <f t="shared" si="55"/>
        <v>3.2276780583641751E-5</v>
      </c>
      <c r="AX47" s="233">
        <f t="shared" si="56"/>
        <v>0</v>
      </c>
      <c r="AY47" s="233">
        <f t="shared" si="57"/>
        <v>0</v>
      </c>
      <c r="AZ47" s="63">
        <f>IFERROR(AZ6/$B$47,".")</f>
        <v>30982.024288593755</v>
      </c>
      <c r="BA47" s="189">
        <f t="shared" ref="BA47" si="128">IFERROR(BA6/$B$47,0)</f>
        <v>5.7705034108924714E-14</v>
      </c>
      <c r="BB47" s="49" t="str">
        <f>IF(AR47=".",".",s_RadSpec!$I$6*BB6*$B$47)</f>
        <v>.</v>
      </c>
      <c r="BC47" s="49">
        <f>IF(AS47=".",".",s_RadSpec!$M$6*BC6*$B$47)</f>
        <v>8.0691951459104384E-4</v>
      </c>
      <c r="BD47" s="49" t="str">
        <f>IF(AT47=".",".",s_RadSpec!$F$6*BD6*$B$47)</f>
        <v>.</v>
      </c>
      <c r="BE47" s="49" t="str">
        <f>IF(AU47=".",".",s_RadSpec!$F$6*BE6*$B$47)</f>
        <v>.</v>
      </c>
      <c r="BF47" s="49">
        <f t="shared" si="60"/>
        <v>8.0691951459104384E-4</v>
      </c>
      <c r="BG47" s="63" t="str">
        <f>IFERROR(BG6/$B$47,".")</f>
        <v>.</v>
      </c>
      <c r="BH47" s="63" t="str">
        <f>IFERROR(BH6/$B$47,".")</f>
        <v>.</v>
      </c>
      <c r="BI47" s="189">
        <f t="shared" ref="BI47:BJ47" si="129">IFERROR(BI6/$B$47,0)</f>
        <v>0</v>
      </c>
      <c r="BJ47" s="189">
        <f t="shared" si="129"/>
        <v>0</v>
      </c>
      <c r="BK47" s="49" t="str">
        <f>IF(BG47=".",".",s_RadSpec!$F$6*BK6*$B$47)</f>
        <v>.</v>
      </c>
      <c r="BL47" s="49" t="str">
        <f>IF(BH47=".",".",s_RadSpec!$F$6*BL6*$B$47)</f>
        <v>.</v>
      </c>
    </row>
    <row r="48" spans="1:64" x14ac:dyDescent="0.25">
      <c r="A48" s="57" t="s">
        <v>21</v>
      </c>
      <c r="B48" s="57" t="s">
        <v>1185</v>
      </c>
      <c r="C48" s="239"/>
      <c r="D48" s="58">
        <f>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138.51386819208662</v>
      </c>
      <c r="E48" s="58">
        <f>IFERROR(1/SUM(IFERROR(1/SUMIF(E49,"&lt;&gt;.",E49),0),IFERROR(1/SUMIF(E50,"&lt;&gt;.",E50),0),IFERROR(1/SUMIF(E51,"&lt;&gt;.",E51),0),IFERROR(1/SUMIF(E52,"&lt;&gt;.",E52),0),IFERROR(1/SUMIF(E53,"&lt;&gt;.",E53),0),IFERROR(1/SUMIF(E54,"&lt;&gt;.",E54),0),IFERROR(1/SUMIF(E55,"&lt;&gt;.",E55),0),IFERROR(1/SUMIF(E56,"&lt;&gt;.",E56),0),IFERROR(1/SUMIF(E57,"&lt;&gt;.",E57),0),IFERROR(1/SUMIF(E58,"&lt;&gt;.",E58),0),IFERROR(1/SUMIF(E59,"&lt;&gt;.",E59),0),IFERROR(1/SUMIF(E60,"&lt;&gt;.",E60),0),IFERROR(1/SUMIF(E61,"&lt;&gt;.",E61),0),IFERROR(1/SUMIF(E62,"&lt;&gt;.",E62),0)),".")</f>
        <v>197129.76753382999</v>
      </c>
      <c r="F48" s="58">
        <f>IFERROR(1/SUM(IFERROR(1/SUMIF(F49,"&lt;&gt;.",F49),0),IFERROR(1/SUMIF(F50,"&lt;&gt;.",F50),0),IFERROR(1/SUMIF(F51,"&lt;&gt;.",F51),0),IFERROR(1/SUMIF(F52,"&lt;&gt;.",F52),0),IFERROR(1/SUMIF(F53,"&lt;&gt;.",F53),0),IFERROR(1/SUMIF(F54,"&lt;&gt;.",F54),0),IFERROR(1/SUMIF(F55,"&lt;&gt;.",F55),0),IFERROR(1/SUMIF(F56,"&lt;&gt;.",F56),0),IFERROR(1/SUMIF(F57,"&lt;&gt;.",F57),0),IFERROR(1/SUMIF(F58,"&lt;&gt;.",F58),0),IFERROR(1/SUMIF(F59,"&lt;&gt;.",F59),0),IFERROR(1/SUMIF(F60,"&lt;&gt;.",F60),0),IFERROR(1/SUMIF(F61,"&lt;&gt;.",F61),0),IFERROR(1/SUMIF(F62,"&lt;&gt;.",F62),0)),".")</f>
        <v>135.01904234719765</v>
      </c>
      <c r="G48" s="61">
        <f>IFERROR(1/SUM(IFERROR(1/SUMIF(G49,"&lt;&gt;.",G49),0),IFERROR(1/SUMIF(G50,"&lt;&gt;.",G50),0),IFERROR(1/SUMIF(G51,"&lt;&gt;.",G51),0),IFERROR(1/SUMIF(G52,"&lt;&gt;.",G52),0),IFERROR(1/SUMIF(G53,"&lt;&gt;.",G53),0),IFERROR(1/SUMIF(G54,"&lt;&gt;.",G54),0),IFERROR(1/SUMIF(G55,"&lt;&gt;.",G55),0),IFERROR(1/SUMIF(G56,"&lt;&gt;.",G56),0),IFERROR(1/SUMIF(G57,"&lt;&gt;.",G57),0),IFERROR(1/SUMIF(G58,"&lt;&gt;.",G58),0),IFERROR(1/SUMIF(G59,"&lt;&gt;.",G59),0),IFERROR(1/SUMIF(G60,"&lt;&gt;.",G60),0),IFERROR(1/SUMIF(G61,"&lt;&gt;.",G61),0),IFERROR(1/SUMIF(G62,"&lt;&gt;.",G62),0)),".")</f>
        <v>453.95052956191239</v>
      </c>
      <c r="H48" s="61">
        <f>IFERROR(1/SUM(IFERROR(1/SUMIF(H49,"&lt;&gt;.",H49),0),IFERROR(1/SUMIF(H50,"&lt;&gt;.",H50),0),IFERROR(1/SUMIF(H51,"&lt;&gt;.",H51),0),IFERROR(1/SUMIF(H52,"&lt;&gt;.",H52),0),IFERROR(1/SUMIF(H53,"&lt;&gt;.",H53),0),IFERROR(1/SUMIF(H54,"&lt;&gt;.",H54),0),IFERROR(1/SUMIF(H55,"&lt;&gt;.",H55),0),IFERROR(1/SUMIF(H56,"&lt;&gt;.",H56),0),IFERROR(1/SUMIF(H57,"&lt;&gt;.",H57),0),IFERROR(1/SUMIF(H58,"&lt;&gt;.",H58),0),IFERROR(1/SUMIF(H59,"&lt;&gt;.",H59),0),IFERROR(1/SUMIF(H60,"&lt;&gt;.",H60),0),IFERROR(1/SUMIF(H61,"&lt;&gt;.",H61),0),IFERROR(1/SUMIF(H62,"&lt;&gt;.",H62),0)),".")</f>
        <v>0.73104906254382263</v>
      </c>
      <c r="I48" s="233">
        <f t="shared" si="13"/>
        <v>7.2194937088409942E-3</v>
      </c>
      <c r="J48" s="233">
        <f t="shared" si="14"/>
        <v>5.0728005846625233E-6</v>
      </c>
      <c r="K48" s="233">
        <f t="shared" si="15"/>
        <v>7.4063627071841338E-3</v>
      </c>
      <c r="L48" s="233">
        <f t="shared" si="16"/>
        <v>2.2028832105671424E-3</v>
      </c>
      <c r="M48" s="233">
        <f t="shared" si="17"/>
        <v>1.3678972468965518</v>
      </c>
      <c r="N48" s="58">
        <f>IFERROR(1/SUM(IFERROR(1/SUMIF(N49,"&lt;&gt;.",N49),0),IFERROR(1/SUMIF(N50,"&lt;&gt;.",N50),0),IFERROR(1/SUMIF(N51,"&lt;&gt;.",N51),0),IFERROR(1/SUMIF(N52,"&lt;&gt;.",N52),0),IFERROR(1/SUMIF(N53,"&lt;&gt;.",N53),0),IFERROR(1/SUMIF(N54,"&lt;&gt;.",N54),0),IFERROR(1/SUMIF(N55,"&lt;&gt;.",N55),0),IFERROR(1/SUMIF(N56,"&lt;&gt;.",N56),0),IFERROR(1/SUMIF(N57,"&lt;&gt;.",N57),0),IFERROR(1/SUMIF(N58,"&lt;&gt;.",N58),0),IFERROR(1/SUMIF(N59,"&lt;&gt;.",N59),0),IFERROR(1/SUMIF(N60,"&lt;&gt;.",N60),0),IFERROR(1/SUMIF(N61,"&lt;&gt;.",N61),0),IFERROR(1/SUMIF(N62,"&lt;&gt;.",N62),0)),".")</f>
        <v>0.72216189076337856</v>
      </c>
      <c r="O48" s="190">
        <f>N48*(0.0000000000028)*s_RadSpec!$AY23*s_RadSpec!$AF23</f>
        <v>7.3117447116010555E-7</v>
      </c>
      <c r="P48" s="47">
        <f>IFERROR(SUM(P49:P62),".")</f>
        <v>0.18048734272102485</v>
      </c>
      <c r="Q48" s="47">
        <f t="shared" ref="Q48:U48" si="130">IFERROR(SUM(Q49:Q62),".")</f>
        <v>1.268200146165631E-4</v>
      </c>
      <c r="R48" s="47">
        <f t="shared" si="130"/>
        <v>0.18515906767960336</v>
      </c>
      <c r="S48" s="47">
        <f t="shared" si="130"/>
        <v>5.507208026417857E-2</v>
      </c>
      <c r="T48" s="47">
        <f t="shared" si="130"/>
        <v>34.197431172413793</v>
      </c>
      <c r="U48" s="47">
        <f t="shared" si="130"/>
        <v>34.618276483093211</v>
      </c>
      <c r="V48" s="59">
        <f>IFERROR(1/SUM(IFERROR(1/SUMIF(V49,"&lt;&gt;.",V49),0),IFERROR(1/SUMIF(V50,"&lt;&gt;.",V50),0),IFERROR(1/SUMIF(V51,"&lt;&gt;.",V51),0),IFERROR(1/SUMIF(V52,"&lt;&gt;.",V52),0),IFERROR(1/SUMIF(V53,"&lt;&gt;.",V53),0),IFERROR(1/SUMIF(V54,"&lt;&gt;.",V54),0),IFERROR(1/SUMIF(V55,"&lt;&gt;.",V55),0),IFERROR(1/SUMIF(V56,"&lt;&gt;.",V56),0),IFERROR(1/SUMIF(V57,"&lt;&gt;.",V57),0),IFERROR(1/SUMIF(V58,"&lt;&gt;.",V58),0),IFERROR(1/SUMIF(V59,"&lt;&gt;.",V59),0),IFERROR(1/SUMIF(V60,"&lt;&gt;.",V60),0),IFERROR(1/SUMIF(V61,"&lt;&gt;.",V61),0),IFERROR(1/SUMIF(V62,"&lt;&gt;.",V62),0)),".")</f>
        <v>135.01904234719765</v>
      </c>
      <c r="W48" s="59">
        <f>IFERROR(1/SUM(IFERROR(1/SUMIF(W49,"&lt;&gt;.",W49),0),IFERROR(1/SUMIF(W50,"&lt;&gt;.",W50),0),IFERROR(1/SUMIF(W51,"&lt;&gt;.",W51),0),IFERROR(1/SUMIF(W52,"&lt;&gt;.",W52),0),IFERROR(1/SUMIF(W53,"&lt;&gt;.",W53),0),IFERROR(1/SUMIF(W54,"&lt;&gt;.",W54),0),IFERROR(1/SUMIF(W55,"&lt;&gt;.",W55),0),IFERROR(1/SUMIF(W56,"&lt;&gt;.",W56),0),IFERROR(1/SUMIF(W57,"&lt;&gt;.",W57),0),IFERROR(1/SUMIF(W58,"&lt;&gt;.",W58),0),IFERROR(1/SUMIF(W59,"&lt;&gt;.",W59),0),IFERROR(1/SUMIF(W60,"&lt;&gt;.",W60),0),IFERROR(1/SUMIF(W61,"&lt;&gt;.",W61),0),IFERROR(1/SUMIF(W62,"&lt;&gt;.",W62),0)),".")</f>
        <v>1513.7226272843122</v>
      </c>
      <c r="X48" s="59">
        <f>IFERROR(1/SUM(IFERROR(1/SUMIF(X49,"&lt;&gt;.",X49),0),IFERROR(1/SUMIF(X50,"&lt;&gt;.",X50),0),IFERROR(1/SUMIF(X51,"&lt;&gt;.",X51),0),IFERROR(1/SUMIF(X52,"&lt;&gt;.",X52),0),IFERROR(1/SUMIF(X53,"&lt;&gt;.",X53),0),IFERROR(1/SUMIF(X54,"&lt;&gt;.",X54),0),IFERROR(1/SUMIF(X55,"&lt;&gt;.",X55),0),IFERROR(1/SUMIF(X56,"&lt;&gt;.",X56),0),IFERROR(1/SUMIF(X57,"&lt;&gt;.",X57),0),IFERROR(1/SUMIF(X58,"&lt;&gt;.",X58),0),IFERROR(1/SUMIF(X59,"&lt;&gt;.",X59),0),IFERROR(1/SUMIF(X60,"&lt;&gt;.",X60),0),IFERROR(1/SUMIF(X61,"&lt;&gt;.",X61),0),IFERROR(1/SUMIF(X62,"&lt;&gt;.",X62),0)),".")</f>
        <v>371.02427970912532</v>
      </c>
      <c r="Y48" s="59">
        <f>IFERROR(1/SUM(IFERROR(1/SUMIF(Y49,"&lt;&gt;.",Y49),0),IFERROR(1/SUMIF(Y50,"&lt;&gt;.",Y50),0),IFERROR(1/SUMIF(Y51,"&lt;&gt;.",Y51),0),IFERROR(1/SUMIF(Y52,"&lt;&gt;.",Y52),0),IFERROR(1/SUMIF(Y53,"&lt;&gt;.",Y53),0),IFERROR(1/SUMIF(Y54,"&lt;&gt;.",Y54),0),IFERROR(1/SUMIF(Y55,"&lt;&gt;.",Y55),0),IFERROR(1/SUMIF(Y56,"&lt;&gt;.",Y56),0),IFERROR(1/SUMIF(Y57,"&lt;&gt;.",Y57),0),IFERROR(1/SUMIF(Y58,"&lt;&gt;.",Y58),0),IFERROR(1/SUMIF(Y59,"&lt;&gt;.",Y59),0),IFERROR(1/SUMIF(Y60,"&lt;&gt;.",Y60),0),IFERROR(1/SUMIF(Y61,"&lt;&gt;.",Y61),0),IFERROR(1/SUMIF(Y62,"&lt;&gt;.",Y62),0)),".")</f>
        <v>190.80622127783977</v>
      </c>
      <c r="Z48" s="59">
        <f>IFERROR(1/SUM(IFERROR(1/SUMIF(Z49,"&lt;&gt;.",Z49),0),IFERROR(1/SUMIF(Z50,"&lt;&gt;.",Z50),0),IFERROR(1/SUMIF(Z51,"&lt;&gt;.",Z51),0),IFERROR(1/SUMIF(Z52,"&lt;&gt;.",Z52),0),IFERROR(1/SUMIF(Z53,"&lt;&gt;.",Z53),0),IFERROR(1/SUMIF(Z54,"&lt;&gt;.",Z54),0),IFERROR(1/SUMIF(Z55,"&lt;&gt;.",Z55),0),IFERROR(1/SUMIF(Z56,"&lt;&gt;.",Z56),0),IFERROR(1/SUMIF(Z57,"&lt;&gt;.",Z57),0),IFERROR(1/SUMIF(Z58,"&lt;&gt;.",Z58),0),IFERROR(1/SUMIF(Z59,"&lt;&gt;.",Z59),0),IFERROR(1/SUMIF(Z60,"&lt;&gt;.",Z60),0),IFERROR(1/SUMIF(Z61,"&lt;&gt;.",Z61),0),IFERROR(1/SUMIF(Z62,"&lt;&gt;.",Z62),0)),".")</f>
        <v>2623.7662599585228</v>
      </c>
      <c r="AA48" s="190">
        <f>V48*(0.0000000000028)*s_RadSpec!$AY23*s_RadSpec!$AF23</f>
        <v>1.3670407999569071E-4</v>
      </c>
      <c r="AB48" s="190">
        <f>W48*(0.0000000000028)*s_RadSpec!$AY23*s_RadSpec!$AF23</f>
        <v>1.5326138856728204E-3</v>
      </c>
      <c r="AC48" s="190">
        <f>X48*(0.0000000000028)*s_RadSpec!$AY23*s_RadSpec!$AF23</f>
        <v>3.7565466271989524E-4</v>
      </c>
      <c r="AD48" s="190">
        <f>Y48*(0.0000000000028)*s_RadSpec!$AY23*s_RadSpec!$AF23</f>
        <v>1.9318748291938725E-4</v>
      </c>
      <c r="AE48" s="190">
        <f>Z48*(0.0000000000000028)*s_RadSpec!$AY23*s_RadSpec!$AF23</f>
        <v>2.6565108628828054E-6</v>
      </c>
      <c r="AF48" s="47">
        <f t="shared" ref="AF48" si="131">IFERROR(SUM(AF49:AF62),".")</f>
        <v>0.18515906767960336</v>
      </c>
      <c r="AG48" s="47">
        <f t="shared" ref="AG48" si="132">IFERROR(SUM(AG49:AG62),".")</f>
        <v>1.6515575277388273E-2</v>
      </c>
      <c r="AH48" s="47">
        <f t="shared" ref="AH48" si="133">IFERROR(SUM(AH49:AH62),".")</f>
        <v>6.7381035062178254E-2</v>
      </c>
      <c r="AI48" s="47">
        <f t="shared" ref="AI48" si="134">IFERROR(SUM(AI49:AI62),".")</f>
        <v>0.13102298149700586</v>
      </c>
      <c r="AJ48" s="47">
        <f t="shared" ref="AJ48" si="135">IFERROR(SUM(AJ49:AJ62),".")</f>
        <v>9.5282877829198104E-3</v>
      </c>
      <c r="AK48" s="58">
        <f>IFERROR(1/SUM(IFERROR(1/SUMIF(AK49,"&lt;&gt;.",AK49),0),IFERROR(1/SUMIF(AK50,"&lt;&gt;.",AK50),0),IFERROR(1/SUMIF(AK51,"&lt;&gt;.",AK51),0),IFERROR(1/SUMIF(AK52,"&lt;&gt;.",AK52),0),IFERROR(1/SUMIF(AK53,"&lt;&gt;.",AK53),0),IFERROR(1/SUMIF(AK54,"&lt;&gt;.",AK54),0),IFERROR(1/SUMIF(AK55,"&lt;&gt;.",AK55),0),IFERROR(1/SUMIF(AK56,"&lt;&gt;.",AK56),0),IFERROR(1/SUMIF(AK57,"&lt;&gt;.",AK57),0),IFERROR(1/SUMIF(AK58,"&lt;&gt;.",AK58),0),IFERROR(1/SUMIF(AK59,"&lt;&gt;.",AK59),0),IFERROR(1/SUMIF(AK60,"&lt;&gt;.",AK60),0),IFERROR(1/SUMIF(AK61,"&lt;&gt;.",AK61),0),IFERROR(1/SUMIF(AK62,"&lt;&gt;.",AK62),0)),".")</f>
        <v>0.63630506432317047</v>
      </c>
      <c r="AL48" s="58">
        <f>IFERROR(1/SUM(IFERROR(1/SUMIF(AL49,"&lt;&gt;.",AL49),0),IFERROR(1/SUMIF(AL50,"&lt;&gt;.",AL50),0),IFERROR(1/SUMIF(AL51,"&lt;&gt;.",AL51),0),IFERROR(1/SUMIF(AL52,"&lt;&gt;.",AL52),0),IFERROR(1/SUMIF(AL53,"&lt;&gt;.",AL53),0),IFERROR(1/SUMIF(AL54,"&lt;&gt;.",AL54),0),IFERROR(1/SUMIF(AL55,"&lt;&gt;.",AL55),0),IFERROR(1/SUMIF(AL56,"&lt;&gt;.",AL56),0),IFERROR(1/SUMIF(AL57,"&lt;&gt;.",AL57),0),IFERROR(1/SUMIF(AL58,"&lt;&gt;.",AL58),0),IFERROR(1/SUMIF(AL59,"&lt;&gt;.",AL59),0),IFERROR(1/SUMIF(AL60,"&lt;&gt;.",AL60),0),IFERROR(1/SUMIF(AL61,"&lt;&gt;.",AL61),0),IFERROR(1/SUMIF(AL62,"&lt;&gt;.",AL62),0)),".")</f>
        <v>32923.376558807642</v>
      </c>
      <c r="AM48" s="59">
        <f>IFERROR(1/SUM(IFERROR(1/SUMIF(AM49,"&lt;&gt;.",AM49),0),IFERROR(1/SUMIF(AM50,"&lt;&gt;.",AM50),0),IFERROR(1/SUMIF(AM51,"&lt;&gt;.",AM51),0),IFERROR(1/SUMIF(AM52,"&lt;&gt;.",AM52),0),IFERROR(1/SUMIF(AM53,"&lt;&gt;.",AM53),0),IFERROR(1/SUMIF(AM54,"&lt;&gt;.",AM54),0),IFERROR(1/SUMIF(AM55,"&lt;&gt;.",AM55),0),IFERROR(1/SUMIF(AM56,"&lt;&gt;.",AM56),0),IFERROR(1/SUMIF(AM57,"&lt;&gt;.",AM57),0),IFERROR(1/SUMIF(AM58,"&lt;&gt;.",AM58),0),IFERROR(1/SUMIF(AM59,"&lt;&gt;.",AM59),0),IFERROR(1/SUMIF(AM60,"&lt;&gt;.",AM60),0),IFERROR(1/SUMIF(AM61,"&lt;&gt;.",AM61),0),IFERROR(1/SUMIF(AM62,"&lt;&gt;.",AM62),0)),".")</f>
        <v>0.63629276679016444</v>
      </c>
      <c r="AN48" s="190">
        <f>AM48*(0.0000000000000028)*s_RadSpec!$AY23*s_RadSpec!$AF23</f>
        <v>6.4423370051970579E-10</v>
      </c>
      <c r="AO48" s="47">
        <f t="shared" ref="AO48" si="136">IFERROR(SUM(AO49:AO62),".")</f>
        <v>39.289330545549213</v>
      </c>
      <c r="AP48" s="47">
        <f t="shared" ref="AP48" si="137">IFERROR(SUM(AP49:AP62),".")</f>
        <v>7.5933888358458844E-4</v>
      </c>
      <c r="AQ48" s="47">
        <f t="shared" ref="AQ48" si="138">IFERROR(SUM(AQ49:AQ62),".")</f>
        <v>39.290089884432803</v>
      </c>
      <c r="AR48" s="58">
        <f>IFERROR(1/SUM(IFERROR(1/SUMIF(AR49,"&lt;&gt;.",AR49),0),IFERROR(1/SUMIF(AR50,"&lt;&gt;.",AR50),0),IFERROR(1/SUMIF(AR51,"&lt;&gt;.",AR51),0),IFERROR(1/SUMIF(AR52,"&lt;&gt;.",AR52),0),IFERROR(1/SUMIF(AR53,"&lt;&gt;.",AR53),0),IFERROR(1/SUMIF(AR54,"&lt;&gt;.",AR54),0),IFERROR(1/SUMIF(AR55,"&lt;&gt;.",AR55),0),IFERROR(1/SUMIF(AR56,"&lt;&gt;.",AR56),0),IFERROR(1/SUMIF(AR57,"&lt;&gt;.",AR57),0),IFERROR(1/SUMIF(AR58,"&lt;&gt;.",AR58),0),IFERROR(1/SUMIF(AR59,"&lt;&gt;.",AR59),0),IFERROR(1/SUMIF(AR60,"&lt;&gt;.",AR60),0),IFERROR(1/SUMIF(AR61,"&lt;&gt;.",AR61),0),IFERROR(1/SUMIF(AR62,"&lt;&gt;.",AR62),0)),".")</f>
        <v>0.9522828438205958</v>
      </c>
      <c r="AS48" s="58">
        <f>IFERROR(1/SUM(IFERROR(1/SUMIF(AS49,"&lt;&gt;.",AS49),0),IFERROR(1/SUMIF(AS50,"&lt;&gt;.",AS50),0),IFERROR(1/SUMIF(AS51,"&lt;&gt;.",AS51),0),IFERROR(1/SUMIF(AS52,"&lt;&gt;.",AS52),0),IFERROR(1/SUMIF(AS53,"&lt;&gt;.",AS53),0),IFERROR(1/SUMIF(AS54,"&lt;&gt;.",AS54),0),IFERROR(1/SUMIF(AS55,"&lt;&gt;.",AS55),0),IFERROR(1/SUMIF(AS56,"&lt;&gt;.",AS56),0),IFERROR(1/SUMIF(AS57,"&lt;&gt;.",AS57),0),IFERROR(1/SUMIF(AS58,"&lt;&gt;.",AS58),0),IFERROR(1/SUMIF(AS59,"&lt;&gt;.",AS59),0),IFERROR(1/SUMIF(AS60,"&lt;&gt;.",AS60),0),IFERROR(1/SUMIF(AS61,"&lt;&gt;.",AS61),0),IFERROR(1/SUMIF(AS62,"&lt;&gt;.",AS62),0)),".")</f>
        <v>9510.0521292552639</v>
      </c>
      <c r="AT48" s="61">
        <f>IFERROR(1/SUM(IFERROR(1/SUMIF(AT49,"&lt;&gt;.",AT49),0),IFERROR(1/SUMIF(AT50,"&lt;&gt;.",AT50),0),IFERROR(1/SUMIF(AT51,"&lt;&gt;.",AT51),0),IFERROR(1/SUMIF(AT52,"&lt;&gt;.",AT52),0),IFERROR(1/SUMIF(AT53,"&lt;&gt;.",AT53),0),IFERROR(1/SUMIF(AT54,"&lt;&gt;.",AT54),0),IFERROR(1/SUMIF(AT55,"&lt;&gt;.",AT55),0),IFERROR(1/SUMIF(AT56,"&lt;&gt;.",AT56),0),IFERROR(1/SUMIF(AT57,"&lt;&gt;.",AT57),0),IFERROR(1/SUMIF(AT58,"&lt;&gt;.",AT58),0),IFERROR(1/SUMIF(AT59,"&lt;&gt;.",AT59),0),IFERROR(1/SUMIF(AT60,"&lt;&gt;.",AT60),0),IFERROR(1/SUMIF(AT61,"&lt;&gt;.",AT61),0),IFERROR(1/SUMIF(AT62,"&lt;&gt;.",AT62),0)),".")</f>
        <v>1823205.9972888157</v>
      </c>
      <c r="AU48" s="61">
        <f>IFERROR(1/SUM(IFERROR(1/SUMIF(AU49,"&lt;&gt;.",AU49),0),IFERROR(1/SUMIF(AU50,"&lt;&gt;.",AU50),0),IFERROR(1/SUMIF(AU51,"&lt;&gt;.",AU51),0),IFERROR(1/SUMIF(AU52,"&lt;&gt;.",AU52),0),IFERROR(1/SUMIF(AU53,"&lt;&gt;.",AU53),0),IFERROR(1/SUMIF(AU54,"&lt;&gt;.",AU54),0),IFERROR(1/SUMIF(AU55,"&lt;&gt;.",AU55),0),IFERROR(1/SUMIF(AU56,"&lt;&gt;.",AU56),0),IFERROR(1/SUMIF(AU57,"&lt;&gt;.",AU57),0),IFERROR(1/SUMIF(AU58,"&lt;&gt;.",AU58),0),IFERROR(1/SUMIF(AU59,"&lt;&gt;.",AU59),0),IFERROR(1/SUMIF(AU60,"&lt;&gt;.",AU60),0),IFERROR(1/SUMIF(AU61,"&lt;&gt;.",AU61),0),IFERROR(1/SUMIF(AU62,"&lt;&gt;.",AU62),0)),".")</f>
        <v>2925.0029250029256</v>
      </c>
      <c r="AV48" s="233">
        <f t="shared" si="54"/>
        <v>1.050108175831417</v>
      </c>
      <c r="AW48" s="233">
        <f t="shared" si="55"/>
        <v>1.0515189469085596E-4</v>
      </c>
      <c r="AX48" s="233">
        <f t="shared" si="56"/>
        <v>5.484843739473445E-7</v>
      </c>
      <c r="AY48" s="233">
        <f t="shared" si="57"/>
        <v>3.4187999999999992E-4</v>
      </c>
      <c r="AZ48" s="62">
        <f>IFERROR(1/SUM(IFERROR(1/SUMIF(AZ49,"&lt;&gt;.",AZ49),0),IFERROR(1/SUMIF(AZ50,"&lt;&gt;.",AZ50),0),IFERROR(1/SUMIF(AZ51,"&lt;&gt;.",AZ51),0),IFERROR(1/SUMIF(AZ52,"&lt;&gt;.",AZ52),0),IFERROR(1/SUMIF(AZ53,"&lt;&gt;.",AZ53),0),IFERROR(1/SUMIF(AZ54,"&lt;&gt;.",AZ54),0),IFERROR(1/SUMIF(AZ55,"&lt;&gt;.",AZ55),0),IFERROR(1/SUMIF(AZ56,"&lt;&gt;.",AZ56),0),IFERROR(1/SUMIF(AZ57,"&lt;&gt;.",AZ57),0),IFERROR(1/SUMIF(AZ58,"&lt;&gt;.",AZ58),0),IFERROR(1/SUMIF(AZ59,"&lt;&gt;.",AZ59),0),IFERROR(1/SUMIF(AZ60,"&lt;&gt;.",AZ60),0),IFERROR(1/SUMIF(AZ61,"&lt;&gt;.",AZ61),0),IFERROR(1/SUMIF(AZ62,"&lt;&gt;.",AZ62),0)),".")</f>
        <v>0.95187713178323385</v>
      </c>
      <c r="BA48" s="190">
        <f>AZ48*(0.0000000000000028)*s_RadSpec!$AY23*s_RadSpec!$AF23</f>
        <v>9.6375655838788844E-10</v>
      </c>
      <c r="BB48" s="47">
        <f t="shared" ref="BB48" si="139">IFERROR(SUM(BB49:BB62),".")</f>
        <v>26.252704395785429</v>
      </c>
      <c r="BC48" s="47">
        <f t="shared" ref="BC48" si="140">IFERROR(SUM(BC49:BC62),".")</f>
        <v>2.628797367271399E-3</v>
      </c>
      <c r="BD48" s="47">
        <f t="shared" ref="BD48" si="141">IFERROR(SUM(BD49:BD62),".")</f>
        <v>1.3712109348683613E-5</v>
      </c>
      <c r="BE48" s="47">
        <f t="shared" ref="BE48" si="142">IFERROR(SUM(BE49:BE62),".")</f>
        <v>8.5470000000000008E-3</v>
      </c>
      <c r="BF48" s="47">
        <f t="shared" ref="BF48" si="143">IFERROR(SUM(BF49:BF62),".")</f>
        <v>26.263893905262048</v>
      </c>
      <c r="BG48" s="61">
        <f>IFERROR(1/SUM(IFERROR(1/SUMIF(BG49,"&lt;&gt;.",BG49),0),IFERROR(1/SUMIF(BG50,"&lt;&gt;.",BG50),0),IFERROR(1/SUMIF(BG51,"&lt;&gt;.",BG51),0),IFERROR(1/SUMIF(BG52,"&lt;&gt;.",BG52),0),IFERROR(1/SUMIF(BG53,"&lt;&gt;.",BG53),0),IFERROR(1/SUMIF(BG54,"&lt;&gt;.",BG54),0),IFERROR(1/SUMIF(BG55,"&lt;&gt;.",BG55),0),IFERROR(1/SUMIF(BG56,"&lt;&gt;.",BG56),0),IFERROR(1/SUMIF(BG57,"&lt;&gt;.",BG57),0),IFERROR(1/SUMIF(BG58,"&lt;&gt;.",BG58),0),IFERROR(1/SUMIF(BG59,"&lt;&gt;.",BG59),0),IFERROR(1/SUMIF(BG60,"&lt;&gt;.",BG60),0),IFERROR(1/SUMIF(BG61,"&lt;&gt;.",BG61),0),IFERROR(1/SUMIF(BG62,"&lt;&gt;.",BG62),0)),".")</f>
        <v>7.6182627505647664</v>
      </c>
      <c r="BH48" s="61">
        <f>IFERROR(1/SUM(IFERROR(1/SUMIF(BH49,"&lt;&gt;.",BH49),0),IFERROR(1/SUMIF(BH50,"&lt;&gt;.",BH50),0),IFERROR(1/SUMIF(BH51,"&lt;&gt;.",BH51),0),IFERROR(1/SUMIF(BH52,"&lt;&gt;.",BH52),0),IFERROR(1/SUMIF(BH53,"&lt;&gt;.",BH53),0),IFERROR(1/SUMIF(BH54,"&lt;&gt;.",BH54),0),IFERROR(1/SUMIF(BH55,"&lt;&gt;.",BH55),0),IFERROR(1/SUMIF(BH56,"&lt;&gt;.",BH56),0),IFERROR(1/SUMIF(BH57,"&lt;&gt;.",BH57),0),IFERROR(1/SUMIF(BH58,"&lt;&gt;.",BH58),0),IFERROR(1/SUMIF(BH59,"&lt;&gt;.",BH59),0),IFERROR(1/SUMIF(BH60,"&lt;&gt;.",BH60),0),IFERROR(1/SUMIF(BH61,"&lt;&gt;.",BH61),0),IFERROR(1/SUMIF(BH62,"&lt;&gt;.",BH62),0)),".")</f>
        <v>7.6182627505647664</v>
      </c>
      <c r="BI48" s="190">
        <f>BG48*(0.0000000000028)*s_RadSpec!$AY23*s_RadSpec!$AF23</f>
        <v>7.7133386696918157E-6</v>
      </c>
      <c r="BJ48" s="190">
        <f>BH48*(0.0000000000028)*s_RadSpec!$AY23*s_RadSpec!$AF23</f>
        <v>7.7133386696918157E-6</v>
      </c>
      <c r="BK48" s="47">
        <f t="shared" ref="BK48" si="144">IFERROR(SUM(BK49:BK62),".")</f>
        <v>3.2815880494731786</v>
      </c>
      <c r="BL48" s="47">
        <f t="shared" ref="BL48" si="145">IFERROR(SUM(BL49:BL62),".")</f>
        <v>3.2815880494731786</v>
      </c>
    </row>
    <row r="49" spans="1:64" x14ac:dyDescent="0.25">
      <c r="A49" s="48" t="s">
        <v>1086</v>
      </c>
      <c r="B49" s="15">
        <v>1</v>
      </c>
      <c r="C49" s="238"/>
      <c r="D49" s="60">
        <f>IFERROR(D23/$B49,".")</f>
        <v>986.15390608166047</v>
      </c>
      <c r="E49" s="60">
        <f>IFERROR(E23/$B49,".")</f>
        <v>405404.32762979425</v>
      </c>
      <c r="F49" s="60">
        <f>IFERROR(F23/$B49,".")</f>
        <v>55113.873807861732</v>
      </c>
      <c r="G49" s="63">
        <f>IFERROR(G23/$B49,".")</f>
        <v>3911.6871481868397</v>
      </c>
      <c r="H49" s="63" t="str">
        <f>IFERROR(H23/$B49,".")</f>
        <v>.</v>
      </c>
      <c r="I49" s="233">
        <f t="shared" si="13"/>
        <v>1.0140405000000001E-3</v>
      </c>
      <c r="J49" s="233">
        <f t="shared" si="14"/>
        <v>2.46667322434993E-6</v>
      </c>
      <c r="K49" s="233">
        <f t="shared" si="15"/>
        <v>1.8144251726637925E-5</v>
      </c>
      <c r="L49" s="233">
        <f t="shared" si="16"/>
        <v>2.5564416634482742E-4</v>
      </c>
      <c r="M49" s="233">
        <f t="shared" si="17"/>
        <v>0</v>
      </c>
      <c r="N49" s="63">
        <f>IFERROR(N23/$B49,".")</f>
        <v>775.01621081702842</v>
      </c>
      <c r="O49" s="189">
        <f>IFERROR(O23/$B49,0)</f>
        <v>7.8468841312802492E-4</v>
      </c>
      <c r="P49" s="49">
        <f>IF(D49=".",".",s_RadSpec!$E$23*P23*$B$49)</f>
        <v>2.5351012499999999E-2</v>
      </c>
      <c r="Q49" s="49">
        <f>IF(E49=".",".",s_RadSpec!$H$23*Q23*$B$49)</f>
        <v>6.1666830608748247E-5</v>
      </c>
      <c r="R49" s="49">
        <f>IF(F49=".",".",s_RadSpec!$G$23*R23*$B$49)</f>
        <v>4.5360629316594812E-4</v>
      </c>
      <c r="S49" s="49">
        <f>IF(G49=".",".",s_RadSpec!$F$23*S23*$B$49)</f>
        <v>6.3911041586206859E-3</v>
      </c>
      <c r="T49" s="49" t="str">
        <f>IF(H49=".",".",s_RadSpec!$F$23*T23*$B$49)</f>
        <v>.</v>
      </c>
      <c r="U49" s="49">
        <f t="shared" ref="U49:U62" si="146">IFERROR(SUM(P49:T49),".")</f>
        <v>3.2257389782395382E-2</v>
      </c>
      <c r="V49" s="60">
        <f>IFERROR(V23/$B49,".")</f>
        <v>55113.873807861732</v>
      </c>
      <c r="W49" s="60">
        <f>IFERROR(W23/$B49,".")</f>
        <v>393340.43584751652</v>
      </c>
      <c r="X49" s="60">
        <f>IFERROR(X23/$B49,".")</f>
        <v>100796.39379764063</v>
      </c>
      <c r="Y49" s="60">
        <f>IFERROR(Y23/$B49,".")</f>
        <v>58136.956049806598</v>
      </c>
      <c r="Z49" s="60">
        <f>IFERROR(Z23/$B49,".")</f>
        <v>628012.30437802779</v>
      </c>
      <c r="AA49" s="189">
        <f t="shared" ref="AA49:AE49" si="147">IFERROR(AA23/$B49,0)</f>
        <v>5.580169495298385E-2</v>
      </c>
      <c r="AB49" s="189">
        <f t="shared" si="147"/>
        <v>0.39824932448689354</v>
      </c>
      <c r="AC49" s="189">
        <f t="shared" si="147"/>
        <v>0.10205433279223519</v>
      </c>
      <c r="AD49" s="189">
        <f t="shared" si="147"/>
        <v>5.8862505261308193E-2</v>
      </c>
      <c r="AE49" s="189">
        <f t="shared" si="147"/>
        <v>0.63584989793666569</v>
      </c>
      <c r="AF49" s="49">
        <f>IF(V49=".",".",s_RadSpec!$G$23*AF23*$B$49)</f>
        <v>4.5360629316594812E-4</v>
      </c>
      <c r="AG49" s="49">
        <f>IF(W49=".",".",s_RadSpec!$N$23*AG23*$B$49)</f>
        <v>6.3558174348725158E-5</v>
      </c>
      <c r="AH49" s="49">
        <f>IF(X49=".",".",s_RadSpec!$O$23*AH23*$B$49)</f>
        <v>2.4802474630382241E-4</v>
      </c>
      <c r="AI49" s="49">
        <f>IF(Y49=".",".",s_RadSpec!$P$23*AI23*$B$49)</f>
        <v>4.3001907390167126E-4</v>
      </c>
      <c r="AJ49" s="49">
        <f>IF(Z49=".",".",s_RadSpec!$L$23*AJ23*$B$49)</f>
        <v>3.9808137238265662E-5</v>
      </c>
      <c r="AK49" s="60">
        <f>IFERROR(AK23/$B49,".")</f>
        <v>1.3085838328556778</v>
      </c>
      <c r="AL49" s="60">
        <f>IFERROR(AL23/$B49,".")</f>
        <v>8772135.5143791866</v>
      </c>
      <c r="AM49" s="60">
        <f>IFERROR(AM23/$B49,".")</f>
        <v>1.3085836376476365</v>
      </c>
      <c r="AN49" s="189">
        <f t="shared" ref="AN49" si="148">IFERROR(AN23/$B49,0)</f>
        <v>1.3249147614454791E-9</v>
      </c>
      <c r="AO49" s="49">
        <f>IF(AK49=".",".",s_RadSpec!$H$23*AO23*$B$49)</f>
        <v>19.104622395833328</v>
      </c>
      <c r="AP49" s="49">
        <f>IF(AL49=".",".",s_RadSpec!$K$23*AP23*$B$49)</f>
        <v>2.8499331729452054E-6</v>
      </c>
      <c r="AQ49" s="49">
        <f t="shared" ref="AQ49:AQ62" si="149">IFERROR(SUM(AO49:AP49),".")</f>
        <v>19.104625245766499</v>
      </c>
      <c r="AR49" s="60">
        <f>IFERROR(AR23/$B49,".")</f>
        <v>6.7798081043114156</v>
      </c>
      <c r="AS49" s="60">
        <f>IFERROR(AS23/$B49,".")</f>
        <v>2492812.6324670389</v>
      </c>
      <c r="AT49" s="63">
        <f>IFERROR(AT23/$B49,".")</f>
        <v>15952489.65720333</v>
      </c>
      <c r="AU49" s="63" t="str">
        <f>IFERROR(AU23/$B49,".")</f>
        <v>.</v>
      </c>
      <c r="AV49" s="233">
        <f t="shared" si="54"/>
        <v>0.14749680000000001</v>
      </c>
      <c r="AW49" s="233">
        <f t="shared" si="55"/>
        <v>4.011532944657534E-7</v>
      </c>
      <c r="AX49" s="233">
        <f t="shared" si="56"/>
        <v>6.2686140000000001E-8</v>
      </c>
      <c r="AY49" s="233">
        <f t="shared" si="57"/>
        <v>0</v>
      </c>
      <c r="AZ49" s="63">
        <f>IFERROR(AZ23/$B49,".")</f>
        <v>6.7797867836287455</v>
      </c>
      <c r="BA49" s="189">
        <f t="shared" ref="BA49" si="150">IFERROR(BA23/$B49,0)</f>
        <v>6.8643985226884334E-9</v>
      </c>
      <c r="BB49" s="49">
        <f>IF(AR49=".",".",s_RadSpec!$I$23*BB23*$B$49)</f>
        <v>3.6874199999999999</v>
      </c>
      <c r="BC49" s="49">
        <f>IF(AS49=".",".",s_RadSpec!$M$23*BC23*$B$49)</f>
        <v>1.0028832361643836E-5</v>
      </c>
      <c r="BD49" s="49">
        <f>IF(AT49=".",".",s_RadSpec!$F$23*BD23*$B$49)</f>
        <v>1.5671534999999997E-6</v>
      </c>
      <c r="BE49" s="49" t="str">
        <f>IF(AU49=".",".",s_RadSpec!$F$23*BE23*$B$49)</f>
        <v>.</v>
      </c>
      <c r="BF49" s="49">
        <f t="shared" si="60"/>
        <v>3.6874315959858612</v>
      </c>
      <c r="BG49" s="63">
        <f>IFERROR(BG23/$B49,".")</f>
        <v>54.238464834491324</v>
      </c>
      <c r="BH49" s="63">
        <f>IFERROR(BH23/$B49,".")</f>
        <v>54.238464834491324</v>
      </c>
      <c r="BI49" s="189">
        <f t="shared" ref="BI49:BJ49" si="151">IFERROR(BI23/$B49,0)</f>
        <v>5.4915360875625781E-5</v>
      </c>
      <c r="BJ49" s="189">
        <f t="shared" si="151"/>
        <v>5.4915360875625781E-5</v>
      </c>
      <c r="BK49" s="49">
        <f>IF(BG49=".",".",s_RadSpec!$F$23*BK23*$B$49)</f>
        <v>0.46092749999999999</v>
      </c>
      <c r="BL49" s="49">
        <f>IF(BH49=".",".",s_RadSpec!$F$23*BL23*$B$49)</f>
        <v>0.46092749999999999</v>
      </c>
    </row>
    <row r="50" spans="1:64" x14ac:dyDescent="0.25">
      <c r="A50" s="48" t="s">
        <v>1073</v>
      </c>
      <c r="B50" s="15">
        <v>1</v>
      </c>
      <c r="C50" s="238"/>
      <c r="D50" s="60" t="str">
        <f>IFERROR(D25/$B50,".")</f>
        <v>.</v>
      </c>
      <c r="E50" s="60">
        <f>IFERROR(E25/$B50,".")</f>
        <v>2358772355.1101465</v>
      </c>
      <c r="F50" s="60">
        <f>IFERROR(F25/$B50,".")</f>
        <v>1201490.4900999039</v>
      </c>
      <c r="G50" s="63" t="str">
        <f>IFERROR(G25/$B50,".")</f>
        <v>.</v>
      </c>
      <c r="H50" s="63" t="str">
        <f>IFERROR(H25/$B50,".")</f>
        <v>.</v>
      </c>
      <c r="I50" s="233">
        <f t="shared" si="13"/>
        <v>0</v>
      </c>
      <c r="J50" s="233">
        <f t="shared" si="14"/>
        <v>4.2394934713964948E-10</v>
      </c>
      <c r="K50" s="233">
        <f t="shared" si="15"/>
        <v>8.3229955479452032E-7</v>
      </c>
      <c r="L50" s="233">
        <f t="shared" si="16"/>
        <v>0</v>
      </c>
      <c r="M50" s="233">
        <f t="shared" si="17"/>
        <v>0</v>
      </c>
      <c r="N50" s="63">
        <f>IFERROR(N25/$B50,".")</f>
        <v>1200878.7971353857</v>
      </c>
      <c r="O50" s="189">
        <f>IFERROR(O25/$B50,0)</f>
        <v>7.8194897157659731E-6</v>
      </c>
      <c r="P50" s="49" t="str">
        <f>IF(D50=".",".",s_RadSpec!$E$25*P25*$B$50)</f>
        <v>.</v>
      </c>
      <c r="Q50" s="49">
        <f>IF(E50=".",".",s_RadSpec!$H$25*Q25*$B$50)</f>
        <v>1.0598733678491237E-8</v>
      </c>
      <c r="R50" s="49">
        <f>IF(F50=".",".",s_RadSpec!$G$25*R25*$B$50)</f>
        <v>2.0807488869863014E-5</v>
      </c>
      <c r="S50" s="49" t="str">
        <f>IF(G50=".",".",s_RadSpec!$F$25*S25*$B$50)</f>
        <v>.</v>
      </c>
      <c r="T50" s="49" t="str">
        <f>IF(H50=".",".",s_RadSpec!$F$25*T25*$B$50)</f>
        <v>.</v>
      </c>
      <c r="U50" s="49">
        <f t="shared" si="146"/>
        <v>2.0818087603541506E-5</v>
      </c>
      <c r="V50" s="60">
        <f>IFERROR(V25/$B50,".")</f>
        <v>1201490.4900999039</v>
      </c>
      <c r="W50" s="60">
        <f>IFERROR(W25/$B50,".")</f>
        <v>10393419.336553276</v>
      </c>
      <c r="X50" s="60">
        <f>IFERROR(X25/$B50,".")</f>
        <v>2614324.5539969378</v>
      </c>
      <c r="Y50" s="60">
        <f>IFERROR(Y25/$B50,".")</f>
        <v>1510707.7021317827</v>
      </c>
      <c r="Z50" s="60">
        <f>IFERROR(Z25/$B50,".")</f>
        <v>18890504.780894086</v>
      </c>
      <c r="AA50" s="189">
        <f t="shared" ref="AA50:AE50" si="152">IFERROR(AA25/$B50,0)</f>
        <v>7.8234727379133101E-6</v>
      </c>
      <c r="AB50" s="189">
        <f t="shared" si="152"/>
        <v>6.767646810626395E-5</v>
      </c>
      <c r="AC50" s="189">
        <f t="shared" si="152"/>
        <v>1.7023103424274078E-5</v>
      </c>
      <c r="AD50" s="189">
        <f t="shared" si="152"/>
        <v>9.8369322270714878E-6</v>
      </c>
      <c r="AE50" s="189">
        <f t="shared" si="152"/>
        <v>1.2300500950819613E-4</v>
      </c>
      <c r="AF50" s="49">
        <f>IF(V50=".",".",s_RadSpec!$G$25*AF25*$B$50)</f>
        <v>2.0807488869863014E-5</v>
      </c>
      <c r="AG50" s="49">
        <f>IF(W50=".",".",s_RadSpec!$N$25*AG25*$B$50)</f>
        <v>2.4053681652270022E-6</v>
      </c>
      <c r="AH50" s="49">
        <f>IF(X50=".",".",s_RadSpec!$O$25*AH25*$B$50)</f>
        <v>9.5626994597049887E-6</v>
      </c>
      <c r="AI50" s="49">
        <f>IF(Y50=".",".",s_RadSpec!$P$25*AI25*$B$50)</f>
        <v>1.6548535474282761E-5</v>
      </c>
      <c r="AJ50" s="49">
        <f>IF(Z50=".",".",s_RadSpec!$L$25*AJ25*$B$50)</f>
        <v>1.3234161971830986E-6</v>
      </c>
      <c r="AK50" s="60">
        <f>IFERROR(AK25/$B50,".")</f>
        <v>7613.7602855160121</v>
      </c>
      <c r="AL50" s="60">
        <f>IFERROR(AL25/$B50,".")</f>
        <v>157695615.31629637</v>
      </c>
      <c r="AM50" s="60">
        <f>IFERROR(AM25/$B50,".")</f>
        <v>7613.3927004892203</v>
      </c>
      <c r="AN50" s="189">
        <f t="shared" ref="AN50" si="153">IFERROR(AN25/$B50,0)</f>
        <v>4.9574400068995074E-11</v>
      </c>
      <c r="AO50" s="49">
        <f>IF(AK50=".",".",s_RadSpec!$H$25*AO25*$B$50)</f>
        <v>3.283528645833333E-3</v>
      </c>
      <c r="AP50" s="49">
        <f>IF(AL50=".",".",s_RadSpec!$K$25*AP25*$B$50)</f>
        <v>1.5853326010273972E-7</v>
      </c>
      <c r="AQ50" s="49">
        <f t="shared" si="149"/>
        <v>3.2836871790934358E-3</v>
      </c>
      <c r="AR50" s="60" t="str">
        <f>IFERROR(AR25/$B50,".")</f>
        <v>.</v>
      </c>
      <c r="AS50" s="60">
        <f>IFERROR(AS25/$B50,".")</f>
        <v>45347974.484240822</v>
      </c>
      <c r="AT50" s="63" t="str">
        <f>IFERROR(AT25/$B50,".")</f>
        <v>.</v>
      </c>
      <c r="AU50" s="63" t="str">
        <f>IFERROR(AU25/$B50,".")</f>
        <v>.</v>
      </c>
      <c r="AV50" s="233">
        <f t="shared" si="54"/>
        <v>0</v>
      </c>
      <c r="AW50" s="233">
        <f t="shared" si="55"/>
        <v>2.2051701567123282E-8</v>
      </c>
      <c r="AX50" s="233">
        <f t="shared" si="56"/>
        <v>0</v>
      </c>
      <c r="AY50" s="233">
        <f t="shared" si="57"/>
        <v>0</v>
      </c>
      <c r="AZ50" s="63">
        <f>IFERROR(AZ25/$B50,".")</f>
        <v>45347974.484240822</v>
      </c>
      <c r="BA50" s="189">
        <f t="shared" ref="BA50" si="154">IFERROR(BA25/$B50,0)</f>
        <v>2.9528210586797615E-7</v>
      </c>
      <c r="BB50" s="49" t="str">
        <f>IF(AR50=".",".",s_RadSpec!$I$25*BB25*$B$50)</f>
        <v>.</v>
      </c>
      <c r="BC50" s="49">
        <f>IF(AS50=".",".",s_RadSpec!$M$25*BC25*$B$50)</f>
        <v>5.5129253917808207E-7</v>
      </c>
      <c r="BD50" s="49" t="str">
        <f>IF(AT50=".",".",s_RadSpec!$F$25*BD25*$B$50)</f>
        <v>.</v>
      </c>
      <c r="BE50" s="49" t="str">
        <f>IF(AU50=".",".",s_RadSpec!$F$25*BE25*$B$50)</f>
        <v>.</v>
      </c>
      <c r="BF50" s="49">
        <f t="shared" si="60"/>
        <v>5.5129253917808207E-7</v>
      </c>
      <c r="BG50" s="63" t="str">
        <f>IFERROR(BG25/$B50,".")</f>
        <v>.</v>
      </c>
      <c r="BH50" s="63" t="str">
        <f>IFERROR(BH25/$B50,".")</f>
        <v>.</v>
      </c>
      <c r="BI50" s="189">
        <f t="shared" ref="BI50:BJ50" si="155">IFERROR(BI25/$B50,0)</f>
        <v>0</v>
      </c>
      <c r="BJ50" s="189">
        <f t="shared" si="155"/>
        <v>0</v>
      </c>
      <c r="BK50" s="49" t="str">
        <f>IF(BG50=".",".",s_RadSpec!$F$25*BK25*$B$50)</f>
        <v>.</v>
      </c>
      <c r="BL50" s="49" t="str">
        <f>IF(BH50=".",".",s_RadSpec!$F$25*BL25*$B$50)</f>
        <v>.</v>
      </c>
    </row>
    <row r="51" spans="1:64" x14ac:dyDescent="0.25">
      <c r="A51" s="48" t="s">
        <v>1059</v>
      </c>
      <c r="B51" s="15">
        <v>1</v>
      </c>
      <c r="C51" s="238"/>
      <c r="D51" s="60" t="str">
        <f>IFERROR(D21/$B51,".")</f>
        <v>.</v>
      </c>
      <c r="E51" s="60">
        <f>IFERROR(E21/$B51,".")</f>
        <v>2027553664.8256507</v>
      </c>
      <c r="F51" s="60" t="str">
        <f>IFERROR(F21/$B51,".")</f>
        <v>.</v>
      </c>
      <c r="G51" s="63" t="str">
        <f>IFERROR(G21/$B51,".")</f>
        <v>.</v>
      </c>
      <c r="H51" s="63" t="str">
        <f>IFERROR(H21/$B51,".")</f>
        <v>.</v>
      </c>
      <c r="I51" s="233">
        <f t="shared" si="13"/>
        <v>0</v>
      </c>
      <c r="J51" s="233">
        <f t="shared" si="14"/>
        <v>4.9320519468765329E-10</v>
      </c>
      <c r="K51" s="233">
        <f t="shared" si="15"/>
        <v>0</v>
      </c>
      <c r="L51" s="233">
        <f t="shared" si="16"/>
        <v>0</v>
      </c>
      <c r="M51" s="233">
        <f t="shared" si="17"/>
        <v>0</v>
      </c>
      <c r="N51" s="63">
        <f>IFERROR(N21/$B51,".")</f>
        <v>2027553664.8256507</v>
      </c>
      <c r="O51" s="189">
        <f>IFERROR(O21/$B51,0)</f>
        <v>7.2995018012360878E-6</v>
      </c>
      <c r="P51" s="49" t="str">
        <f>IF(D51=".",".",s_RadSpec!$E$21*P21*$B$51)</f>
        <v>.</v>
      </c>
      <c r="Q51" s="49">
        <f>IF(E51=".",".",s_RadSpec!$H$21*Q21*$B$51)</f>
        <v>1.2330129867191332E-8</v>
      </c>
      <c r="R51" s="49" t="str">
        <f>IF(F51=".",".",s_RadSpec!$G$21*R21*$B$51)</f>
        <v>.</v>
      </c>
      <c r="S51" s="49" t="str">
        <f>IF(G51=".",".",s_RadSpec!$F$21*S21*$B$51)</f>
        <v>.</v>
      </c>
      <c r="T51" s="49" t="str">
        <f>IF(H51=".",".",s_RadSpec!$F$21*T21*$B$51)</f>
        <v>.</v>
      </c>
      <c r="U51" s="49">
        <f t="shared" si="146"/>
        <v>1.2330129867191332E-8</v>
      </c>
      <c r="V51" s="60" t="str">
        <f>IFERROR(V21/$B51,".")</f>
        <v>.</v>
      </c>
      <c r="W51" s="60" t="str">
        <f>IFERROR(W21/$B51,".")</f>
        <v>.</v>
      </c>
      <c r="X51" s="60" t="str">
        <f>IFERROR(X21/$B51,".")</f>
        <v>.</v>
      </c>
      <c r="Y51" s="60" t="str">
        <f>IFERROR(Y21/$B51,".")</f>
        <v>.</v>
      </c>
      <c r="Z51" s="60" t="str">
        <f>IFERROR(Z21/$B51,".")</f>
        <v>.</v>
      </c>
      <c r="AA51" s="189">
        <f t="shared" ref="AA51:AE51" si="156">IFERROR(AA21/$B51,0)</f>
        <v>0</v>
      </c>
      <c r="AB51" s="189">
        <f t="shared" si="156"/>
        <v>0</v>
      </c>
      <c r="AC51" s="189">
        <f t="shared" si="156"/>
        <v>0</v>
      </c>
      <c r="AD51" s="189">
        <f t="shared" si="156"/>
        <v>0</v>
      </c>
      <c r="AE51" s="189">
        <f t="shared" si="156"/>
        <v>0</v>
      </c>
      <c r="AF51" s="49" t="str">
        <f>IF(V51=".",".",s_RadSpec!$G$21*AF21*$B$51)</f>
        <v>.</v>
      </c>
      <c r="AG51" s="49" t="str">
        <f>IF(W51=".",".",s_RadSpec!$N$21*AG21*$B$51)</f>
        <v>.</v>
      </c>
      <c r="AH51" s="49" t="str">
        <f>IF(X51=".",".",s_RadSpec!$O$21*AH21*$B$51)</f>
        <v>.</v>
      </c>
      <c r="AI51" s="49" t="str">
        <f>IF(Y51=".",".",s_RadSpec!$P$21*AI21*$B$51)</f>
        <v>.</v>
      </c>
      <c r="AJ51" s="49" t="str">
        <f>IF(Z51=".",".",s_RadSpec!$L$21*AJ21*$B$51)</f>
        <v>.</v>
      </c>
      <c r="AK51" s="60">
        <f>IFERROR(AK21/$B51,".")</f>
        <v>6544.6364658963093</v>
      </c>
      <c r="AL51" s="60">
        <f>IFERROR(AL21/$B51,".")</f>
        <v>1041272574416.7661</v>
      </c>
      <c r="AM51" s="60">
        <f>IFERROR(AM21/$B51,".")</f>
        <v>6544.6364247617721</v>
      </c>
      <c r="AN51" s="189">
        <f t="shared" ref="AN51" si="157">IFERROR(AN21/$B51,0)</f>
        <v>2.3561687268628635E-14</v>
      </c>
      <c r="AO51" s="49">
        <f>IF(AK51=".",".",s_RadSpec!$H$21*AO21*$B$51)</f>
        <v>3.8199218749999995E-3</v>
      </c>
      <c r="AP51" s="49">
        <f>IF(AL51=".",".",s_RadSpec!$K$21*AP21*$B$51)</f>
        <v>2.4009083321917808E-11</v>
      </c>
      <c r="AQ51" s="49">
        <f t="shared" si="149"/>
        <v>3.8199218990090829E-3</v>
      </c>
      <c r="AR51" s="60" t="str">
        <f>IFERROR(AR21/$B51,".")</f>
        <v>.</v>
      </c>
      <c r="AS51" s="60">
        <f>IFERROR(AS21/$B51,".")</f>
        <v>596183161051.55762</v>
      </c>
      <c r="AT51" s="63" t="str">
        <f>IFERROR(AT21/$B51,".")</f>
        <v>.</v>
      </c>
      <c r="AU51" s="63" t="str">
        <f>IFERROR(AU21/$B51,".")</f>
        <v>.</v>
      </c>
      <c r="AV51" s="233">
        <f t="shared" si="54"/>
        <v>0</v>
      </c>
      <c r="AW51" s="233">
        <f t="shared" si="55"/>
        <v>1.6773368745205477E-12</v>
      </c>
      <c r="AX51" s="233">
        <f t="shared" si="56"/>
        <v>0</v>
      </c>
      <c r="AY51" s="233">
        <f t="shared" si="57"/>
        <v>0</v>
      </c>
      <c r="AZ51" s="63">
        <f>IFERROR(AZ21/$B51,".")</f>
        <v>596183161051.55762</v>
      </c>
      <c r="BA51" s="189">
        <f t="shared" ref="BA51" si="158">IFERROR(BA21/$B51,0)</f>
        <v>2.1463501230369081E-6</v>
      </c>
      <c r="BB51" s="49" t="str">
        <f>IF(AR51=".",".",s_RadSpec!$I$21*BB21*$B$51)</f>
        <v>.</v>
      </c>
      <c r="BC51" s="49">
        <f>IF(AS51=".",".",s_RadSpec!$M$21*BC21*$B$51)</f>
        <v>4.1933421863013697E-11</v>
      </c>
      <c r="BD51" s="49" t="str">
        <f>IF(AT51=".",".",s_RadSpec!$F$21*BD21*$B$51)</f>
        <v>.</v>
      </c>
      <c r="BE51" s="49" t="str">
        <f>IF(AU51=".",".",s_RadSpec!$F$21*BE21*$B$51)</f>
        <v>.</v>
      </c>
      <c r="BF51" s="49">
        <f t="shared" si="60"/>
        <v>4.1933421863013697E-11</v>
      </c>
      <c r="BG51" s="63" t="str">
        <f>IFERROR(BG21/$B51,".")</f>
        <v>.</v>
      </c>
      <c r="BH51" s="63" t="str">
        <f>IFERROR(BH21/$B51,".")</f>
        <v>.</v>
      </c>
      <c r="BI51" s="189">
        <f t="shared" ref="BI51:BJ51" si="159">IFERROR(BI21/$B51,0)</f>
        <v>0</v>
      </c>
      <c r="BJ51" s="189">
        <f t="shared" si="159"/>
        <v>0</v>
      </c>
      <c r="BK51" s="49" t="str">
        <f>IF(BG51=".",".",s_RadSpec!$F$21*BK21*$B$51)</f>
        <v>.</v>
      </c>
      <c r="BL51" s="49" t="str">
        <f>IF(BH51=".",".",s_RadSpec!$F$21*BL21*$B$51)</f>
        <v>.</v>
      </c>
    </row>
    <row r="52" spans="1:64" x14ac:dyDescent="0.25">
      <c r="A52" s="48" t="s">
        <v>1060</v>
      </c>
      <c r="B52" s="51">
        <v>0.99980000000000002</v>
      </c>
      <c r="C52" s="240"/>
      <c r="D52" s="60">
        <f>IFERROR(D17/$B52,".")</f>
        <v>2245311.9742289768</v>
      </c>
      <c r="E52" s="60">
        <f>IFERROR(E17/$B52,".")</f>
        <v>331610505.06177324</v>
      </c>
      <c r="F52" s="60">
        <f>IFERROR(F17/$B52,".")</f>
        <v>2797.6574931531209</v>
      </c>
      <c r="G52" s="63">
        <f>IFERROR(G17/$B52,".")</f>
        <v>21776831.921285979</v>
      </c>
      <c r="H52" s="63" t="str">
        <f>IFERROR(H17/$B52,".")</f>
        <v>.</v>
      </c>
      <c r="I52" s="233">
        <f t="shared" si="13"/>
        <v>4.4537240770000012E-7</v>
      </c>
      <c r="J52" s="233">
        <f t="shared" si="14"/>
        <v>3.0155860105026451E-9</v>
      </c>
      <c r="K52" s="233">
        <f t="shared" si="15"/>
        <v>3.5744189646065019E-4</v>
      </c>
      <c r="L52" s="233">
        <f t="shared" si="16"/>
        <v>4.5920361768625314E-8</v>
      </c>
      <c r="M52" s="233">
        <f t="shared" si="17"/>
        <v>0</v>
      </c>
      <c r="N52" s="63">
        <f>IFERROR(N17/$B52,".")</f>
        <v>2793.7939402181933</v>
      </c>
      <c r="O52" s="189">
        <f>IFERROR(O17/$B52,0)</f>
        <v>8.5358271721138171E-11</v>
      </c>
      <c r="P52" s="49">
        <f>IF(D52=".",".",s_RadSpec!$E$17*P17*$B$52)</f>
        <v>1.1134310192500001E-5</v>
      </c>
      <c r="Q52" s="49">
        <f>IF(E52=".",".",s_RadSpec!$H$17*Q17*$B$52)</f>
        <v>7.5389650262566122E-8</v>
      </c>
      <c r="R52" s="49">
        <f>IF(F52=".",".",s_RadSpec!$G$17*R17*$B$52)</f>
        <v>8.9360474115162541E-3</v>
      </c>
      <c r="S52" s="49">
        <f>IF(G52=".",".",s_RadSpec!$F$17*S17*$B$52)</f>
        <v>1.1480090442156328E-6</v>
      </c>
      <c r="T52" s="49" t="str">
        <f>IF(H52=".",".",s_RadSpec!$F$17*T17*$B$52)</f>
        <v>.</v>
      </c>
      <c r="U52" s="49">
        <f t="shared" si="146"/>
        <v>8.9484051204032321E-3</v>
      </c>
      <c r="V52" s="60">
        <f>IFERROR(V17/$B52,".")</f>
        <v>2797.6574931531209</v>
      </c>
      <c r="W52" s="60">
        <f>IFERROR(W17/$B52,".")</f>
        <v>21937.518773720087</v>
      </c>
      <c r="X52" s="60">
        <f>IFERROR(X17/$B52,".")</f>
        <v>5861.0082024717985</v>
      </c>
      <c r="Y52" s="60">
        <f>IFERROR(Y17/$B52,".")</f>
        <v>3504.910051066146</v>
      </c>
      <c r="Z52" s="60">
        <f>IFERROR(Z17/$B52,".")</f>
        <v>41463.046238821014</v>
      </c>
      <c r="AA52" s="189">
        <f t="shared" ref="AA52:AE52" si="160">IFERROR(AA17/$B52,0)</f>
        <v>8.5476314142406655E-11</v>
      </c>
      <c r="AB52" s="189">
        <f t="shared" si="160"/>
        <v>6.7025297085028556E-10</v>
      </c>
      <c r="AC52" s="189">
        <f t="shared" si="160"/>
        <v>1.7907030418547455E-10</v>
      </c>
      <c r="AD52" s="189">
        <f t="shared" si="160"/>
        <v>1.0708487128928598E-10</v>
      </c>
      <c r="AE52" s="189">
        <f t="shared" si="160"/>
        <v>1.2668128154659071E-9</v>
      </c>
      <c r="AF52" s="49">
        <f>IF(V52=".",".",s_RadSpec!$G$17*AF17*$B$52)</f>
        <v>8.9360474115162541E-3</v>
      </c>
      <c r="AG52" s="49">
        <f>IF(W52=".",".",s_RadSpec!$N$17*AG17*$B$52)</f>
        <v>1.1396001643517041E-3</v>
      </c>
      <c r="AH52" s="49">
        <f>IF(X52=".",".",s_RadSpec!$O$17*AH17*$B$52)</f>
        <v>4.2654777363144792E-3</v>
      </c>
      <c r="AI52" s="49">
        <f>IF(Y52=".",".",s_RadSpec!$P$17*AI17*$B$52)</f>
        <v>7.1328506682775891E-3</v>
      </c>
      <c r="AJ52" s="49">
        <f>IF(Z52=".",".",s_RadSpec!$L$17*AJ17*$B$52)</f>
        <v>6.029465335470938E-4</v>
      </c>
      <c r="AK52" s="60">
        <f>IFERROR(AK17/$B52,".")</f>
        <v>1070.3885384400887</v>
      </c>
      <c r="AL52" s="60">
        <f>IFERROR(AL17/$B52,".")</f>
        <v>245827.01630163216</v>
      </c>
      <c r="AM52" s="60">
        <f>IFERROR(AM17/$B52,".")</f>
        <v>1065.7480213639128</v>
      </c>
      <c r="AN52" s="189">
        <f t="shared" ref="AN52" si="161">IFERROR(AN17/$B52,0)</f>
        <v>3.2561603017415629E-14</v>
      </c>
      <c r="AO52" s="49">
        <f>IF(AK52=".",".",s_RadSpec!$H$17*AO17*$B$52)</f>
        <v>2.3356004947916665E-2</v>
      </c>
      <c r="AP52" s="49">
        <f>IF(AL52=".",".",s_RadSpec!$K$17*AP17*$B$52)</f>
        <v>1.0169752851462329E-4</v>
      </c>
      <c r="AQ52" s="49">
        <f t="shared" si="149"/>
        <v>2.3457702476431287E-2</v>
      </c>
      <c r="AR52" s="60">
        <f>IFERROR(AR17/$B52,".")</f>
        <v>15436.519822824219</v>
      </c>
      <c r="AS52" s="60">
        <f>IFERROR(AS17/$B52,".")</f>
        <v>70764.519734131667</v>
      </c>
      <c r="AT52" s="63">
        <f>IFERROR(AT17/$B52,".")</f>
        <v>88208684701.852676</v>
      </c>
      <c r="AU52" s="63" t="str">
        <f>IFERROR(AU17/$B52,".")</f>
        <v>.</v>
      </c>
      <c r="AV52" s="233">
        <f t="shared" si="54"/>
        <v>6.478144112E-5</v>
      </c>
      <c r="AW52" s="233">
        <f t="shared" si="55"/>
        <v>1.4131375493779725E-5</v>
      </c>
      <c r="AX52" s="233">
        <f t="shared" si="56"/>
        <v>1.1336752196000001E-11</v>
      </c>
      <c r="AY52" s="233">
        <f t="shared" si="57"/>
        <v>0</v>
      </c>
      <c r="AZ52" s="63">
        <f>IFERROR(AZ17/$B52,".")</f>
        <v>12672.210918950588</v>
      </c>
      <c r="BA52" s="189">
        <f t="shared" ref="BA52" si="162">IFERROR(BA17/$B52,0)</f>
        <v>3.8717172635963268E-13</v>
      </c>
      <c r="BB52" s="49">
        <f>IF(AR52=".",".",s_RadSpec!$I$17*BB17*$B$52)</f>
        <v>1.6195360280000001E-3</v>
      </c>
      <c r="BC52" s="49">
        <f>IF(AS52=".",".",s_RadSpec!$M$17*BC17*$B$52)</f>
        <v>3.5328438734449316E-4</v>
      </c>
      <c r="BD52" s="49">
        <f>IF(AT52=".",".",s_RadSpec!$F$17*BD17*$B$52)</f>
        <v>2.8341880490000001E-10</v>
      </c>
      <c r="BE52" s="49" t="str">
        <f>IF(AU52=".",".",s_RadSpec!$F$17*BE17*$B$52)</f>
        <v>.</v>
      </c>
      <c r="BF52" s="49">
        <f t="shared" si="60"/>
        <v>1.9728206987632982E-3</v>
      </c>
      <c r="BG52" s="63">
        <f>IFERROR(BG17/$B52,".")</f>
        <v>123492.15858259375</v>
      </c>
      <c r="BH52" s="63">
        <f>IFERROR(BH17/$B52,".")</f>
        <v>123492.15858259375</v>
      </c>
      <c r="BI52" s="189">
        <f t="shared" ref="BI52:BJ52" si="163">IFERROR(BI17/$B52,0)</f>
        <v>3.7730331775648682E-9</v>
      </c>
      <c r="BJ52" s="189">
        <f t="shared" si="163"/>
        <v>3.7730331775648682E-9</v>
      </c>
      <c r="BK52" s="49">
        <f>IF(BG52=".",".",s_RadSpec!$F$17*BK17*$B$52)</f>
        <v>2.0244200350000001E-4</v>
      </c>
      <c r="BL52" s="49">
        <f>IF(BH52=".",".",s_RadSpec!$F$17*BL17*$B$52)</f>
        <v>2.0244200350000001E-4</v>
      </c>
    </row>
    <row r="53" spans="1:64" x14ac:dyDescent="0.25">
      <c r="A53" s="48" t="s">
        <v>1074</v>
      </c>
      <c r="B53" s="15">
        <v>2.0000000000000001E-4</v>
      </c>
      <c r="C53" s="238"/>
      <c r="D53" s="60" t="str">
        <f>IFERROR(D5/$B53,".")</f>
        <v>.</v>
      </c>
      <c r="E53" s="60" t="str">
        <f>IFERROR(E5/$B53,".")</f>
        <v>.</v>
      </c>
      <c r="F53" s="60" t="str">
        <f>IFERROR(F5/$B53,".")</f>
        <v>.</v>
      </c>
      <c r="G53" s="63" t="str">
        <f>IFERROR(G5/$B53,".")</f>
        <v>.</v>
      </c>
      <c r="H53" s="63" t="str">
        <f>IFERROR(H5/$B53,".")</f>
        <v>.</v>
      </c>
      <c r="I53" s="233">
        <f t="shared" si="13"/>
        <v>0</v>
      </c>
      <c r="J53" s="233">
        <f t="shared" si="14"/>
        <v>0</v>
      </c>
      <c r="K53" s="233">
        <f t="shared" si="15"/>
        <v>0</v>
      </c>
      <c r="L53" s="233">
        <f t="shared" si="16"/>
        <v>0</v>
      </c>
      <c r="M53" s="233">
        <f t="shared" si="17"/>
        <v>0</v>
      </c>
      <c r="N53" s="63">
        <f>IFERROR(N5/$B53,".")</f>
        <v>0</v>
      </c>
      <c r="O53" s="189">
        <f>IFERROR(O5/$B53,0)</f>
        <v>0</v>
      </c>
      <c r="P53" s="49" t="str">
        <f>IF(D53=".",".",s_RadSpec!$E$5*P5*$B$53)</f>
        <v>.</v>
      </c>
      <c r="Q53" s="49" t="str">
        <f>IF(E53=".",".",s_RadSpec!$H$5*Q5*$B$53)</f>
        <v>.</v>
      </c>
      <c r="R53" s="49" t="str">
        <f>IF(F53=".",".",s_RadSpec!$G$5*R5*$B$53)</f>
        <v>.</v>
      </c>
      <c r="S53" s="49" t="str">
        <f>IF(G53=".",".",s_RadSpec!$F$5*S5*$B$53)</f>
        <v>.</v>
      </c>
      <c r="T53" s="49" t="str">
        <f>IF(H53=".",".",s_RadSpec!$F$5*T5*$B$53)</f>
        <v>.</v>
      </c>
      <c r="U53" s="49">
        <f t="shared" si="146"/>
        <v>0</v>
      </c>
      <c r="V53" s="60" t="str">
        <f>IFERROR(V5/$B53,".")</f>
        <v>.</v>
      </c>
      <c r="W53" s="60" t="str">
        <f>IFERROR(W5/$B53,".")</f>
        <v>.</v>
      </c>
      <c r="X53" s="60" t="str">
        <f>IFERROR(X5/$B53,".")</f>
        <v>.</v>
      </c>
      <c r="Y53" s="60" t="str">
        <f>IFERROR(Y5/$B53,".")</f>
        <v>.</v>
      </c>
      <c r="Z53" s="60" t="str">
        <f>IFERROR(Z5/$B53,".")</f>
        <v>.</v>
      </c>
      <c r="AA53" s="189">
        <f t="shared" ref="AA53:AE53" si="164">IFERROR(AA5/$B53,0)</f>
        <v>0</v>
      </c>
      <c r="AB53" s="189">
        <f t="shared" si="164"/>
        <v>0</v>
      </c>
      <c r="AC53" s="189">
        <f t="shared" si="164"/>
        <v>0</v>
      </c>
      <c r="AD53" s="189">
        <f t="shared" si="164"/>
        <v>0</v>
      </c>
      <c r="AE53" s="189">
        <f t="shared" si="164"/>
        <v>0</v>
      </c>
      <c r="AF53" s="49" t="str">
        <f>IF(V53=".",".",s_RadSpec!$G$5*AF5*$B$53)</f>
        <v>.</v>
      </c>
      <c r="AG53" s="49" t="str">
        <f>IF(W53=".",".",s_RadSpec!$N$5*AG5*$B$53)</f>
        <v>.</v>
      </c>
      <c r="AH53" s="49" t="str">
        <f>IF(X53=".",".",s_RadSpec!$O$5*AH5*$B$53)</f>
        <v>.</v>
      </c>
      <c r="AI53" s="49" t="str">
        <f>IF(Y53=".",".",s_RadSpec!$P$5*AI5*$B$53)</f>
        <v>.</v>
      </c>
      <c r="AJ53" s="49" t="str">
        <f>IF(Z53=".",".",s_RadSpec!$L$5*AJ5*$B$53)</f>
        <v>.</v>
      </c>
      <c r="AK53" s="60" t="str">
        <f>IFERROR(AK5/$B53,".")</f>
        <v>.</v>
      </c>
      <c r="AL53" s="60">
        <f>IFERROR(AL5/$B53,".")</f>
        <v>13919051760060.852</v>
      </c>
      <c r="AM53" s="60">
        <f>IFERROR(AM5/$B53,".")</f>
        <v>13919051760060.852</v>
      </c>
      <c r="AN53" s="189">
        <f t="shared" ref="AN53" si="165">IFERROR(AN5/$B53,0)</f>
        <v>4.0411858801089931E-7</v>
      </c>
      <c r="AO53" s="49" t="str">
        <f>IF(AK53=".",".",s_RadSpec!$H$5*AO5*$B$53)</f>
        <v>.</v>
      </c>
      <c r="AP53" s="49">
        <f>IF(AL53=".",".",s_RadSpec!$K$5*AP5*$B$53)</f>
        <v>1.796099363013699E-12</v>
      </c>
      <c r="AQ53" s="49">
        <f t="shared" si="149"/>
        <v>1.796099363013699E-12</v>
      </c>
      <c r="AR53" s="60" t="str">
        <f>IFERROR(AR5/$B53,".")</f>
        <v>.</v>
      </c>
      <c r="AS53" s="60">
        <f>IFERROR(AS5/$B53,".")</f>
        <v>6820335362429.8184</v>
      </c>
      <c r="AT53" s="63" t="str">
        <f>IFERROR(AT5/$B53,".")</f>
        <v>.</v>
      </c>
      <c r="AU53" s="63" t="str">
        <f>IFERROR(AU5/$B53,".")</f>
        <v>.</v>
      </c>
      <c r="AV53" s="233">
        <f t="shared" si="54"/>
        <v>0</v>
      </c>
      <c r="AW53" s="233">
        <f t="shared" si="55"/>
        <v>1.4662035616438356E-13</v>
      </c>
      <c r="AX53" s="233">
        <f t="shared" si="56"/>
        <v>0</v>
      </c>
      <c r="AY53" s="233">
        <f t="shared" si="57"/>
        <v>0</v>
      </c>
      <c r="AZ53" s="63">
        <f>IFERROR(AZ5/$B53,".")</f>
        <v>6820335362429.8184</v>
      </c>
      <c r="BA53" s="189">
        <f t="shared" ref="BA53" si="166">IFERROR(BA5/$B53,0)</f>
        <v>1.9801810812534069E-7</v>
      </c>
      <c r="BB53" s="49" t="str">
        <f>IF(AR53=".",".",s_RadSpec!$I$5*BB5*$B$53)</f>
        <v>.</v>
      </c>
      <c r="BC53" s="49">
        <f>IF(AS53=".",".",s_RadSpec!$M$5*BC5*$B$53)</f>
        <v>3.6655089041095892E-12</v>
      </c>
      <c r="BD53" s="49" t="str">
        <f>IF(AT53=".",".",s_RadSpec!$F$5*BD5*$B$53)</f>
        <v>.</v>
      </c>
      <c r="BE53" s="49" t="str">
        <f>IF(AU53=".",".",s_RadSpec!$F$5*BE5*$B$53)</f>
        <v>.</v>
      </c>
      <c r="BF53" s="49">
        <f t="shared" si="60"/>
        <v>3.6655089041095892E-12</v>
      </c>
      <c r="BG53" s="63" t="str">
        <f>IFERROR(BG5/$B53,".")</f>
        <v>.</v>
      </c>
      <c r="BH53" s="63" t="str">
        <f>IFERROR(BH5/$B53,".")</f>
        <v>.</v>
      </c>
      <c r="BI53" s="189">
        <f t="shared" ref="BI53:BJ53" si="167">IFERROR(BI5/$B53,0)</f>
        <v>0</v>
      </c>
      <c r="BJ53" s="189">
        <f t="shared" si="167"/>
        <v>0</v>
      </c>
      <c r="BK53" s="49" t="str">
        <f>IF(BG53=".",".",s_RadSpec!$F$5*BK5*$B$53)</f>
        <v>.</v>
      </c>
      <c r="BL53" s="49" t="str">
        <f>IF(BH53=".",".",s_RadSpec!$F$5*BL5*$B$53)</f>
        <v>.</v>
      </c>
    </row>
    <row r="54" spans="1:64" x14ac:dyDescent="0.25">
      <c r="A54" s="48" t="s">
        <v>1075</v>
      </c>
      <c r="B54" s="15">
        <v>0.99999979999999999</v>
      </c>
      <c r="C54" s="238"/>
      <c r="D54" s="60">
        <f>IFERROR(D9/$B54,".")</f>
        <v>2998173.2134265364</v>
      </c>
      <c r="E54" s="60">
        <f>IFERROR(E9/$B54,".")</f>
        <v>422130109.72578847</v>
      </c>
      <c r="F54" s="60">
        <f>IFERROR(F9/$B54,".")</f>
        <v>142.32924393055626</v>
      </c>
      <c r="G54" s="63">
        <f>IFERROR(G9/$B54,".")</f>
        <v>6870813.61410248</v>
      </c>
      <c r="H54" s="63" t="str">
        <f>IFERROR(H9/$B54,".")</f>
        <v>.</v>
      </c>
      <c r="I54" s="233">
        <f t="shared" si="13"/>
        <v>3.335364332927E-7</v>
      </c>
      <c r="J54" s="233">
        <f t="shared" si="14"/>
        <v>2.3689378629010617E-9</v>
      </c>
      <c r="K54" s="233">
        <f t="shared" si="15"/>
        <v>7.0259629882380966E-3</v>
      </c>
      <c r="L54" s="233">
        <f t="shared" si="16"/>
        <v>1.4554317089135998E-7</v>
      </c>
      <c r="M54" s="233">
        <f t="shared" si="17"/>
        <v>0</v>
      </c>
      <c r="N54" s="63">
        <f>IFERROR(N9/$B54,".")</f>
        <v>142.31949160025641</v>
      </c>
      <c r="O54" s="189">
        <f>IFERROR(O9/$B54,0)</f>
        <v>3.2287462012952531E-12</v>
      </c>
      <c r="P54" s="49">
        <f>IF(D54=".",".",s_RadSpec!$E$9*P9*$B$54)</f>
        <v>8.3384108323175001E-6</v>
      </c>
      <c r="Q54" s="49">
        <f>IF(E54=".",".",s_RadSpec!$H$9*Q9*$B$54)</f>
        <v>5.9223446572526526E-8</v>
      </c>
      <c r="R54" s="49">
        <f>IF(F54=".",".",s_RadSpec!$G$9*R9*$B$54)</f>
        <v>0.17564907470595242</v>
      </c>
      <c r="S54" s="49">
        <f>IF(G54=".",".",s_RadSpec!$F$9*S9*$B$54)</f>
        <v>3.6385792722840004E-6</v>
      </c>
      <c r="T54" s="49" t="str">
        <f>IF(H54=".",".",s_RadSpec!$F$9*T9*$B$54)</f>
        <v>.</v>
      </c>
      <c r="U54" s="49">
        <f t="shared" si="146"/>
        <v>0.17566111091950362</v>
      </c>
      <c r="V54" s="60">
        <f>IFERROR(V9/$B54,".")</f>
        <v>142.32924393055626</v>
      </c>
      <c r="W54" s="60">
        <f>IFERROR(W9/$B54,".")</f>
        <v>1634.7522749513778</v>
      </c>
      <c r="X54" s="60">
        <f>IFERROR(X9/$B54,".")</f>
        <v>398.02083246351651</v>
      </c>
      <c r="Y54" s="60">
        <f>IFERROR(Y9/$B54,".")</f>
        <v>202.6471531377245</v>
      </c>
      <c r="Z54" s="60">
        <f>IFERROR(Z9/$B54,".")</f>
        <v>2841.3814747925539</v>
      </c>
      <c r="AA54" s="189">
        <f t="shared" ref="AA54:AE54" si="168">IFERROR(AA9/$B54,0)</f>
        <v>3.2289674485682395E-12</v>
      </c>
      <c r="AB54" s="189">
        <f t="shared" si="168"/>
        <v>3.708698041610012E-11</v>
      </c>
      <c r="AC54" s="189">
        <f t="shared" si="168"/>
        <v>9.0297417198659957E-12</v>
      </c>
      <c r="AD54" s="189">
        <f t="shared" si="168"/>
        <v>4.59737607645829E-12</v>
      </c>
      <c r="AE54" s="189">
        <f t="shared" si="168"/>
        <v>6.4461301400198612E-11</v>
      </c>
      <c r="AF54" s="49">
        <f>IF(V54=".",".",s_RadSpec!$G$9*AF9*$B$54)</f>
        <v>0.17564907470595242</v>
      </c>
      <c r="AG54" s="49">
        <f>IF(W54=".",".",s_RadSpec!$N$9*AG9*$B$54)</f>
        <v>1.5292836953380949E-2</v>
      </c>
      <c r="AH54" s="49">
        <f>IF(X54=".",".",s_RadSpec!$O$9*AH9*$B$54)</f>
        <v>6.2810782654929384E-2</v>
      </c>
      <c r="AI54" s="49">
        <f>IF(Y54=".",".",s_RadSpec!$P$9*AI9*$B$54)</f>
        <v>0.12336714142245718</v>
      </c>
      <c r="AJ54" s="49">
        <f>IF(Z54=".",".",s_RadSpec!$L$9*AJ9*$B$54)</f>
        <v>8.7985369869511172E-3</v>
      </c>
      <c r="AK54" s="60">
        <f>IFERROR(AK9/$B54,".")</f>
        <v>1362.5721268895584</v>
      </c>
      <c r="AL54" s="60">
        <f>IFERROR(AL9/$B54,".")</f>
        <v>38370.389459899663</v>
      </c>
      <c r="AM54" s="60">
        <f>IFERROR(AM9/$B54,".")</f>
        <v>1315.8451091483578</v>
      </c>
      <c r="AN54" s="189">
        <f t="shared" ref="AN54" si="169">IFERROR(AN9/$B54,0)</f>
        <v>2.9852059263876985E-14</v>
      </c>
      <c r="AO54" s="49">
        <f>IF(AK54=".",".",s_RadSpec!$H$9*AO9*$B$54)</f>
        <v>1.8347652580468745E-2</v>
      </c>
      <c r="AP54" s="49">
        <f>IF(AL54=".",".",s_RadSpec!$K$9*AP9*$B$54)</f>
        <v>6.5154407739663792E-4</v>
      </c>
      <c r="AQ54" s="49">
        <f t="shared" si="149"/>
        <v>1.8999196657865383E-2</v>
      </c>
      <c r="AR54" s="60">
        <f>IFERROR(AR9/$B54,".")</f>
        <v>20612.440842307438</v>
      </c>
      <c r="AS54" s="60">
        <f>IFERROR(AS9/$B54,".")</f>
        <v>11071.975205352541</v>
      </c>
      <c r="AT54" s="63">
        <f>IFERROR(AT9/$B54,".")</f>
        <v>41224881684.614876</v>
      </c>
      <c r="AU54" s="63" t="str">
        <f>IFERROR(AU9/$B54,".")</f>
        <v>.</v>
      </c>
      <c r="AV54" s="233">
        <f t="shared" si="54"/>
        <v>4.8514390297119998E-5</v>
      </c>
      <c r="AW54" s="233">
        <f t="shared" si="55"/>
        <v>9.0318121333632376E-5</v>
      </c>
      <c r="AX54" s="233">
        <f t="shared" si="56"/>
        <v>2.4257195148560001E-11</v>
      </c>
      <c r="AY54" s="233">
        <f t="shared" si="57"/>
        <v>0</v>
      </c>
      <c r="AZ54" s="63">
        <f>IFERROR(AZ9/$B54,".")</f>
        <v>7202.9225253589348</v>
      </c>
      <c r="BA54" s="189">
        <f t="shared" ref="BA54" si="170">IFERROR(BA9/$B54,0)</f>
        <v>1.6340986382454704E-13</v>
      </c>
      <c r="BB54" s="49">
        <f>IF(AR54=".",".",s_RadSpec!$I$9*BB9*$B$54)</f>
        <v>1.212859757428E-3</v>
      </c>
      <c r="BC54" s="49">
        <f>IF(AS54=".",".",s_RadSpec!$M$9*BC9*$B$54)</f>
        <v>2.2579530333408093E-3</v>
      </c>
      <c r="BD54" s="49">
        <f>IF(AT54=".",".",s_RadSpec!$F$9*BD9*$B$54)</f>
        <v>6.0642987871400001E-10</v>
      </c>
      <c r="BE54" s="49" t="str">
        <f>IF(AU54=".",".",s_RadSpec!$F$9*BE9*$B$54)</f>
        <v>.</v>
      </c>
      <c r="BF54" s="49">
        <f t="shared" si="60"/>
        <v>3.4708133971986877E-3</v>
      </c>
      <c r="BG54" s="63">
        <f>IFERROR(BG9/$B54,".")</f>
        <v>164899.52673845951</v>
      </c>
      <c r="BH54" s="63">
        <f>IFERROR(BH9/$B54,".")</f>
        <v>164899.52673845951</v>
      </c>
      <c r="BI54" s="189">
        <f t="shared" ref="BI54:BJ54" si="171">IFERROR(BI9/$B54,0)</f>
        <v>3.7410105570615105E-9</v>
      </c>
      <c r="BJ54" s="189">
        <f t="shared" si="171"/>
        <v>3.7410105570615105E-9</v>
      </c>
      <c r="BK54" s="49">
        <f>IF(BG54=".",".",s_RadSpec!$F$9*BK9*$B$54)</f>
        <v>1.516074696785E-4</v>
      </c>
      <c r="BL54" s="49">
        <f>IF(BH54=".",".",s_RadSpec!$F$9*BL9*$B$54)</f>
        <v>1.516074696785E-4</v>
      </c>
    </row>
    <row r="55" spans="1:64" x14ac:dyDescent="0.25">
      <c r="A55" s="48" t="s">
        <v>1076</v>
      </c>
      <c r="B55" s="15">
        <v>1.9999999999999999E-7</v>
      </c>
      <c r="C55" s="238"/>
      <c r="D55" s="60" t="str">
        <f>IFERROR(D24/$B55,".")</f>
        <v>.</v>
      </c>
      <c r="E55" s="60" t="str">
        <f>IFERROR(E24/$B55,".")</f>
        <v>.</v>
      </c>
      <c r="F55" s="60">
        <f>IFERROR(F24/$B55,".")</f>
        <v>2693527313407.5137</v>
      </c>
      <c r="G55" s="63" t="str">
        <f>IFERROR(G24/$B55,".")</f>
        <v>.</v>
      </c>
      <c r="H55" s="63" t="str">
        <f>IFERROR(H24/$B55,".")</f>
        <v>.</v>
      </c>
      <c r="I55" s="233">
        <f t="shared" si="13"/>
        <v>0</v>
      </c>
      <c r="J55" s="233">
        <f t="shared" si="14"/>
        <v>0</v>
      </c>
      <c r="K55" s="233">
        <f t="shared" si="15"/>
        <v>3.7126038968393645E-13</v>
      </c>
      <c r="L55" s="233">
        <f t="shared" si="16"/>
        <v>0</v>
      </c>
      <c r="M55" s="233">
        <f t="shared" si="17"/>
        <v>0</v>
      </c>
      <c r="N55" s="63">
        <f>IFERROR(N24/$B55,".")</f>
        <v>2693527313407.5137</v>
      </c>
      <c r="O55" s="189">
        <f>IFERROR(O24/$B55,0)</f>
        <v>1.8247246804806601E-6</v>
      </c>
      <c r="P55" s="49" t="str">
        <f>IF(D55=".",".",s_RadSpec!$E$24*P24*$B$55)</f>
        <v>.</v>
      </c>
      <c r="Q55" s="49" t="str">
        <f>IF(E55=".",".",s_RadSpec!$H$24*Q24*$B$55)</f>
        <v>.</v>
      </c>
      <c r="R55" s="49">
        <f>IF(F55=".",".",s_RadSpec!$G$24*R24*$B$55)</f>
        <v>9.2815097420984121E-12</v>
      </c>
      <c r="S55" s="49" t="str">
        <f>IF(G55=".",".",s_RadSpec!$F$24*S24*$B$55)</f>
        <v>.</v>
      </c>
      <c r="T55" s="49" t="str">
        <f>IF(H55=".",".",s_RadSpec!$F$24*T24*$B$55)</f>
        <v>.</v>
      </c>
      <c r="U55" s="49">
        <f t="shared" si="146"/>
        <v>9.2815097420984121E-12</v>
      </c>
      <c r="V55" s="60">
        <f>IFERROR(V24/$B55,".")</f>
        <v>2693527313407.5137</v>
      </c>
      <c r="W55" s="60">
        <f>IFERROR(W24/$B55,".")</f>
        <v>24257438204334.773</v>
      </c>
      <c r="X55" s="60">
        <f>IFERROR(X24/$B55,".")</f>
        <v>6001098738404.8896</v>
      </c>
      <c r="Y55" s="60">
        <f>IFERROR(Y24/$B55,".")</f>
        <v>3218044885699.1543</v>
      </c>
      <c r="Z55" s="60">
        <f>IFERROR(Z24/$B55,".")</f>
        <v>40842662623568.039</v>
      </c>
      <c r="AA55" s="189">
        <f t="shared" ref="AA55:AE55" si="172">IFERROR(AA24/$B55,0)</f>
        <v>1.8247246804806601E-6</v>
      </c>
      <c r="AB55" s="189">
        <f t="shared" si="172"/>
        <v>1.6433152898192791E-5</v>
      </c>
      <c r="AC55" s="189">
        <f t="shared" si="172"/>
        <v>4.0654323137773347E-6</v>
      </c>
      <c r="AD55" s="189">
        <f t="shared" si="172"/>
        <v>2.1800580586655475E-6</v>
      </c>
      <c r="AE55" s="189">
        <f t="shared" si="172"/>
        <v>2.7668779943236531E-5</v>
      </c>
      <c r="AF55" s="49">
        <f>IF(V55=".",".",s_RadSpec!$G$24*AF24*$B$55)</f>
        <v>9.2815097420984121E-12</v>
      </c>
      <c r="AG55" s="49">
        <f>IF(W55=".",".",s_RadSpec!$N$24*AG24*$B$55)</f>
        <v>1.0306117154420918E-12</v>
      </c>
      <c r="AH55" s="49">
        <f>IF(X55=".",".",s_RadSpec!$O$24*AH24*$B$55)</f>
        <v>4.1659037935851522E-12</v>
      </c>
      <c r="AI55" s="49">
        <f>IF(Y55=".",".",s_RadSpec!$P$24*AI24*$B$55)</f>
        <v>7.7686921369863008E-12</v>
      </c>
      <c r="AJ55" s="49">
        <f>IF(Z55=".",".",s_RadSpec!$L$24*AJ24*$B$55)</f>
        <v>6.1210504884110762E-13</v>
      </c>
      <c r="AK55" s="60" t="str">
        <f>IFERROR(AK24/$B55,".")</f>
        <v>.</v>
      </c>
      <c r="AL55" s="60">
        <f>IFERROR(AL24/$B55,".")</f>
        <v>401196197789989.38</v>
      </c>
      <c r="AM55" s="60">
        <f>IFERROR(AM24/$B55,".")</f>
        <v>401196197789989.38</v>
      </c>
      <c r="AN55" s="189">
        <f t="shared" ref="AN55" si="173">IFERROR(AN24/$B55,0)</f>
        <v>2.7178956017203606E-7</v>
      </c>
      <c r="AO55" s="49" t="str">
        <f>IF(AK55=".",".",s_RadSpec!$H$24*AO24*$B$55)</f>
        <v>.</v>
      </c>
      <c r="AP55" s="49">
        <f>IF(AL55=".",".",s_RadSpec!$K$24*AP24*$B$55)</f>
        <v>6.2313651369863008E-14</v>
      </c>
      <c r="AQ55" s="49">
        <f t="shared" si="149"/>
        <v>6.2313651369863008E-14</v>
      </c>
      <c r="AR55" s="60" t="str">
        <f>IFERROR(AR24/$B55,".")</f>
        <v>.</v>
      </c>
      <c r="AS55" s="60">
        <f>IFERROR(AS24/$B55,".")</f>
        <v>115364265264374.48</v>
      </c>
      <c r="AT55" s="63" t="str">
        <f>IFERROR(AT24/$B55,".")</f>
        <v>.</v>
      </c>
      <c r="AU55" s="63" t="str">
        <f>IFERROR(AU24/$B55,".")</f>
        <v>.</v>
      </c>
      <c r="AV55" s="233">
        <f t="shared" si="54"/>
        <v>0</v>
      </c>
      <c r="AW55" s="233">
        <f t="shared" si="55"/>
        <v>8.6681954564383553E-15</v>
      </c>
      <c r="AX55" s="233">
        <f t="shared" si="56"/>
        <v>0</v>
      </c>
      <c r="AY55" s="233">
        <f t="shared" si="57"/>
        <v>0</v>
      </c>
      <c r="AZ55" s="63">
        <f>IFERROR(AZ24/$B55,".")</f>
        <v>115364265264374.48</v>
      </c>
      <c r="BA55" s="189">
        <f t="shared" ref="BA55" si="174">IFERROR(BA24/$B55,0)</f>
        <v>7.8153290306573297E-8</v>
      </c>
      <c r="BB55" s="49" t="str">
        <f>IF(AR55=".",".",s_RadSpec!$I$24*BB24*$B$55)</f>
        <v>.</v>
      </c>
      <c r="BC55" s="49">
        <f>IF(AS55=".",".",s_RadSpec!$M$24*BC24*$B$55)</f>
        <v>2.1670488641095886E-13</v>
      </c>
      <c r="BD55" s="49" t="str">
        <f>IF(AT55=".",".",s_RadSpec!$F$24*BD24*$B$55)</f>
        <v>.</v>
      </c>
      <c r="BE55" s="49" t="str">
        <f>IF(AU55=".",".",s_RadSpec!$F$24*BE24*$B$55)</f>
        <v>.</v>
      </c>
      <c r="BF55" s="49">
        <f t="shared" si="60"/>
        <v>2.1670488641095886E-13</v>
      </c>
      <c r="BG55" s="63" t="str">
        <f>IFERROR(BG24/$B55,".")</f>
        <v>.</v>
      </c>
      <c r="BH55" s="63" t="str">
        <f>IFERROR(BH24/$B55,".")</f>
        <v>.</v>
      </c>
      <c r="BI55" s="189">
        <f t="shared" ref="BI55:BJ55" si="175">IFERROR(BI24/$B55,0)</f>
        <v>0</v>
      </c>
      <c r="BJ55" s="189">
        <f t="shared" si="175"/>
        <v>0</v>
      </c>
      <c r="BK55" s="49" t="str">
        <f>IF(BG55=".",".",s_RadSpec!$F$24*BK24*$B$55)</f>
        <v>.</v>
      </c>
      <c r="BL55" s="49" t="str">
        <f>IF(BH55=".",".",s_RadSpec!$F$24*BL24*$B$55)</f>
        <v>.</v>
      </c>
    </row>
    <row r="56" spans="1:64" x14ac:dyDescent="0.25">
      <c r="A56" s="48" t="s">
        <v>1077</v>
      </c>
      <c r="B56" s="15">
        <v>0.99979000004200003</v>
      </c>
      <c r="C56" s="238"/>
      <c r="D56" s="60" t="str">
        <f>IFERROR(D20/$B56,".")</f>
        <v>.</v>
      </c>
      <c r="E56" s="60" t="str">
        <f>IFERROR(E20/$B56,".")</f>
        <v>.</v>
      </c>
      <c r="F56" s="60">
        <f>IFERROR(F20/$B56,".")</f>
        <v>3743882.2626768276</v>
      </c>
      <c r="G56" s="63" t="str">
        <f>IFERROR(G20/$B56,".")</f>
        <v>.</v>
      </c>
      <c r="H56" s="63" t="str">
        <f>IFERROR(H20/$B56,".")</f>
        <v>.</v>
      </c>
      <c r="I56" s="233">
        <f t="shared" si="13"/>
        <v>0</v>
      </c>
      <c r="J56" s="233">
        <f t="shared" si="14"/>
        <v>0</v>
      </c>
      <c r="K56" s="233">
        <f t="shared" si="15"/>
        <v>2.67102416646247E-7</v>
      </c>
      <c r="L56" s="233">
        <f t="shared" si="16"/>
        <v>0</v>
      </c>
      <c r="M56" s="233">
        <f t="shared" si="17"/>
        <v>0</v>
      </c>
      <c r="N56" s="63">
        <f>IFERROR(N20/$B56,".")</f>
        <v>3743882.2626768276</v>
      </c>
      <c r="O56" s="189">
        <f>IFERROR(O20/$B56,0)</f>
        <v>1.1687589344560989E-14</v>
      </c>
      <c r="P56" s="49" t="str">
        <f>IF(D56=".",".",s_RadSpec!$E$20*P20*$B$56)</f>
        <v>.</v>
      </c>
      <c r="Q56" s="49" t="str">
        <f>IF(E56=".",".",s_RadSpec!$H$20*Q20*$B$56)</f>
        <v>.</v>
      </c>
      <c r="R56" s="49">
        <f>IF(F56=".",".",s_RadSpec!$G$20*R20*$B$56)</f>
        <v>6.6775604161561749E-6</v>
      </c>
      <c r="S56" s="49" t="str">
        <f>IF(G56=".",".",s_RadSpec!$F$20*S20*$B$56)</f>
        <v>.</v>
      </c>
      <c r="T56" s="49" t="str">
        <f>IF(H56=".",".",s_RadSpec!$F$20*T20*$B$56)</f>
        <v>.</v>
      </c>
      <c r="U56" s="49">
        <f t="shared" si="146"/>
        <v>6.6775604161561749E-6</v>
      </c>
      <c r="V56" s="60">
        <f>IFERROR(V20/$B56,".")</f>
        <v>3743882.2626768276</v>
      </c>
      <c r="W56" s="60">
        <f>IFERROR(W20/$B56,".")</f>
        <v>37950112.67690596</v>
      </c>
      <c r="X56" s="60">
        <f>IFERROR(X20/$B56,".")</f>
        <v>9284232.3718079124</v>
      </c>
      <c r="Y56" s="60">
        <f>IFERROR(Y20/$B56,".")</f>
        <v>4932713.3888328746</v>
      </c>
      <c r="Z56" s="60">
        <f>IFERROR(Z20/$B56,".")</f>
        <v>65649366.231750108</v>
      </c>
      <c r="AA56" s="189">
        <f t="shared" ref="AA56:AE56" si="176">IFERROR(AA20/$B56,0)</f>
        <v>1.1687589344560989E-14</v>
      </c>
      <c r="AB56" s="189">
        <f t="shared" si="176"/>
        <v>1.1847203021559917E-13</v>
      </c>
      <c r="AC56" s="189">
        <f t="shared" si="176"/>
        <v>2.8983362116624597E-14</v>
      </c>
      <c r="AD56" s="189">
        <f t="shared" si="176"/>
        <v>1.5398862570500905E-14</v>
      </c>
      <c r="AE56" s="189">
        <f t="shared" si="176"/>
        <v>2.0494309901155578E-13</v>
      </c>
      <c r="AF56" s="49">
        <f>IF(V56=".",".",s_RadSpec!$G$20*AF20*$B$56)</f>
        <v>6.6775604161561749E-6</v>
      </c>
      <c r="AG56" s="49">
        <f>IF(W56=".",".",s_RadSpec!$N$20*AG20*$B$56)</f>
        <v>6.587595724113203E-7</v>
      </c>
      <c r="AH56" s="49">
        <f>IF(X56=".",".",s_RadSpec!$O$20*AH20*$B$56)</f>
        <v>2.6927374282351972E-6</v>
      </c>
      <c r="AI56" s="49">
        <f>IF(Y56=".",".",s_RadSpec!$P$20*AI20*$B$56)</f>
        <v>5.0682044605707839E-6</v>
      </c>
      <c r="AJ56" s="49">
        <f>IF(Z56=".",".",s_RadSpec!$L$20*AJ20*$B$56)</f>
        <v>3.8081098775191545E-7</v>
      </c>
      <c r="AK56" s="60" t="str">
        <f>IFERROR(AK20/$B56,".")</f>
        <v>.</v>
      </c>
      <c r="AL56" s="60">
        <f>IFERROR(AL20/$B56,".")</f>
        <v>718080835.09571791</v>
      </c>
      <c r="AM56" s="60">
        <f>IFERROR(AM20/$B56,".")</f>
        <v>718080835.09571791</v>
      </c>
      <c r="AN56" s="189">
        <f t="shared" ref="AN56" si="177">IFERROR(AN20/$B56,0)</f>
        <v>2.2416928012040485E-15</v>
      </c>
      <c r="AO56" s="49" t="str">
        <f>IF(AK56=".",".",s_RadSpec!$H$20*AO20*$B$56)</f>
        <v>.</v>
      </c>
      <c r="AP56" s="49">
        <f>IF(AL56=".",".",s_RadSpec!$K$20*AP20*$B$56)</f>
        <v>3.4815021900239938E-8</v>
      </c>
      <c r="AQ56" s="49">
        <f t="shared" si="149"/>
        <v>3.4815021900239938E-8</v>
      </c>
      <c r="AR56" s="60" t="str">
        <f>IFERROR(AR20/$B56,".")</f>
        <v>.</v>
      </c>
      <c r="AS56" s="60">
        <f>IFERROR(AS20/$B56,".")</f>
        <v>207222598.22021025</v>
      </c>
      <c r="AT56" s="63" t="str">
        <f>IFERROR(AT20/$B56,".")</f>
        <v>.</v>
      </c>
      <c r="AU56" s="63" t="str">
        <f>IFERROR(AU20/$B56,".")</f>
        <v>.</v>
      </c>
      <c r="AV56" s="233">
        <f t="shared" si="54"/>
        <v>0</v>
      </c>
      <c r="AW56" s="233">
        <f t="shared" si="55"/>
        <v>4.8257285092879934E-9</v>
      </c>
      <c r="AX56" s="233">
        <f t="shared" si="56"/>
        <v>0</v>
      </c>
      <c r="AY56" s="233">
        <f t="shared" si="57"/>
        <v>0</v>
      </c>
      <c r="AZ56" s="63">
        <f>IFERROR(AZ20/$B56,".")</f>
        <v>207222598.22021025</v>
      </c>
      <c r="BA56" s="189">
        <f t="shared" ref="BA56" si="178">IFERROR(BA20/$B56,0)</f>
        <v>6.4690405867067025E-16</v>
      </c>
      <c r="BB56" s="49" t="str">
        <f>IF(AR56=".",".",s_RadSpec!$I$20*BB20*$B$56)</f>
        <v>.</v>
      </c>
      <c r="BC56" s="49">
        <f>IF(AS56=".",".",s_RadSpec!$M$20*BC20*$B$56)</f>
        <v>1.2064321273219985E-7</v>
      </c>
      <c r="BD56" s="49" t="str">
        <f>IF(AT56=".",".",s_RadSpec!$F$20*BD20*$B$56)</f>
        <v>.</v>
      </c>
      <c r="BE56" s="49" t="str">
        <f>IF(AU56=".",".",s_RadSpec!$F$20*BE20*$B$56)</f>
        <v>.</v>
      </c>
      <c r="BF56" s="49">
        <f t="shared" si="60"/>
        <v>1.2064321273219985E-7</v>
      </c>
      <c r="BG56" s="63" t="str">
        <f>IFERROR(BG20/$B56,".")</f>
        <v>.</v>
      </c>
      <c r="BH56" s="63" t="str">
        <f>IFERROR(BH20/$B56,".")</f>
        <v>.</v>
      </c>
      <c r="BI56" s="189">
        <f t="shared" ref="BI56:BJ56" si="179">IFERROR(BI20/$B56,0)</f>
        <v>0</v>
      </c>
      <c r="BJ56" s="189">
        <f t="shared" si="179"/>
        <v>0</v>
      </c>
      <c r="BK56" s="49" t="str">
        <f>IF(BG56=".",".",s_RadSpec!$F$20*BK20*$B$56)</f>
        <v>.</v>
      </c>
      <c r="BL56" s="49" t="str">
        <f>IF(BH56=".",".",s_RadSpec!$F$20*BL20*$B$56)</f>
        <v>.</v>
      </c>
    </row>
    <row r="57" spans="1:64" x14ac:dyDescent="0.25">
      <c r="A57" s="48" t="s">
        <v>1078</v>
      </c>
      <c r="B57" s="15">
        <v>2.0999995799999999E-4</v>
      </c>
      <c r="C57" s="238"/>
      <c r="D57" s="60" t="str">
        <f>IFERROR(D29/$B57,".")</f>
        <v>.</v>
      </c>
      <c r="E57" s="60" t="str">
        <f>IFERROR(E29/$B57,".")</f>
        <v>.</v>
      </c>
      <c r="F57" s="60">
        <f>IFERROR(F29/$B57,".")</f>
        <v>401486.80426791555</v>
      </c>
      <c r="G57" s="63" t="str">
        <f>IFERROR(G29/$B57,".")</f>
        <v>.</v>
      </c>
      <c r="H57" s="63" t="str">
        <f>IFERROR(H29/$B57,".")</f>
        <v>.</v>
      </c>
      <c r="I57" s="233">
        <f t="shared" si="13"/>
        <v>0</v>
      </c>
      <c r="J57" s="233">
        <f t="shared" si="14"/>
        <v>0</v>
      </c>
      <c r="K57" s="233">
        <f t="shared" si="15"/>
        <v>2.4907418858346624E-6</v>
      </c>
      <c r="L57" s="233">
        <f t="shared" si="16"/>
        <v>0</v>
      </c>
      <c r="M57" s="233">
        <f t="shared" si="17"/>
        <v>0</v>
      </c>
      <c r="N57" s="63">
        <f>IFERROR(N29/$B57,".")</f>
        <v>401486.80426791555</v>
      </c>
      <c r="O57" s="189">
        <f>IFERROR(O29/$B57,0)</f>
        <v>5.8389747561338466E-10</v>
      </c>
      <c r="P57" s="49" t="str">
        <f>IF(D57=".",".",s_RadSpec!$E$29*P29*$B$57)</f>
        <v>.</v>
      </c>
      <c r="Q57" s="49" t="str">
        <f>IF(E57=".",".",s_RadSpec!$H$29*Q29*$B$57)</f>
        <v>.</v>
      </c>
      <c r="R57" s="49">
        <f>IF(F57=".",".",s_RadSpec!$G$29*R29*$B$57)</f>
        <v>6.2268547145866558E-5</v>
      </c>
      <c r="S57" s="49" t="str">
        <f>IF(G57=".",".",s_RadSpec!$F$29*S29*$B$57)</f>
        <v>.</v>
      </c>
      <c r="T57" s="49" t="str">
        <f>IF(H57=".",".",s_RadSpec!$F$29*T29*$B$57)</f>
        <v>.</v>
      </c>
      <c r="U57" s="49">
        <f t="shared" si="146"/>
        <v>6.2268547145866558E-5</v>
      </c>
      <c r="V57" s="60">
        <f>IFERROR(V29/$B57,".")</f>
        <v>401486.80426791555</v>
      </c>
      <c r="W57" s="60">
        <f>IFERROR(W29/$B57,".")</f>
        <v>4386801.7390796365</v>
      </c>
      <c r="X57" s="60">
        <f>IFERROR(X29/$B57,".")</f>
        <v>1088158.7683180787</v>
      </c>
      <c r="Y57" s="60">
        <f>IFERROR(Y29/$B57,".")</f>
        <v>574308.62735743565</v>
      </c>
      <c r="Z57" s="60">
        <f>IFERROR(Z29/$B57,".")</f>
        <v>7819502.6283167209</v>
      </c>
      <c r="AA57" s="189">
        <f t="shared" ref="AA57:AE57" si="180">IFERROR(AA29/$B57,0)</f>
        <v>5.8389747561338466E-10</v>
      </c>
      <c r="AB57" s="189">
        <f t="shared" si="180"/>
        <v>6.3798920269263264E-9</v>
      </c>
      <c r="AC57" s="189">
        <f t="shared" si="180"/>
        <v>1.5825505374854262E-9</v>
      </c>
      <c r="AD57" s="189">
        <f t="shared" si="180"/>
        <v>8.3523880280065492E-10</v>
      </c>
      <c r="AE57" s="189">
        <f t="shared" si="180"/>
        <v>1.1372199027940083E-8</v>
      </c>
      <c r="AF57" s="49">
        <f>IF(V57=".",".",s_RadSpec!$G$29*AF29*$B$57)</f>
        <v>6.2268547145866558E-5</v>
      </c>
      <c r="AG57" s="49">
        <f>IF(W57=".",".",s_RadSpec!$N$29*AG29*$B$57)</f>
        <v>5.6989126673513798E-6</v>
      </c>
      <c r="AH57" s="49">
        <f>IF(X57=".",".",s_RadSpec!$O$29*AH29*$B$57)</f>
        <v>2.2974588569130818E-5</v>
      </c>
      <c r="AI57" s="49">
        <f>IF(Y57=".",".",s_RadSpec!$P$29*AI29*$B$57)</f>
        <v>4.3530601507820669E-5</v>
      </c>
      <c r="AJ57" s="49">
        <f>IF(Z57=".",".",s_RadSpec!$L$29*AJ29*$B$57)</f>
        <v>3.1971342920798627E-6</v>
      </c>
      <c r="AK57" s="60" t="str">
        <f>IFERROR(AK29/$B57,".")</f>
        <v>.</v>
      </c>
      <c r="AL57" s="60">
        <f>IFERROR(AL29/$B57,".")</f>
        <v>98417557.380911469</v>
      </c>
      <c r="AM57" s="60">
        <f>IFERROR(AM29/$B57,".")</f>
        <v>98417557.380911469</v>
      </c>
      <c r="AN57" s="189">
        <f t="shared" ref="AN57" si="181">IFERROR(AN29/$B57,0)</f>
        <v>1.4313238367954489E-10</v>
      </c>
      <c r="AO57" s="49" t="str">
        <f>IF(AK57=".",".",s_RadSpec!$H$29*AO29*$B$57)</f>
        <v>.</v>
      </c>
      <c r="AP57" s="49">
        <f>IF(AL57=".",".",s_RadSpec!$K$29*AP29*$B$57)</f>
        <v>2.540197162508411E-7</v>
      </c>
      <c r="AQ57" s="49">
        <f t="shared" si="149"/>
        <v>2.540197162508411E-7</v>
      </c>
      <c r="AR57" s="60" t="str">
        <f>IFERROR(AR29/$B57,".")</f>
        <v>.</v>
      </c>
      <c r="AS57" s="60">
        <f>IFERROR(AS29/$B57,".")</f>
        <v>28489292.926053319</v>
      </c>
      <c r="AT57" s="63" t="str">
        <f>IFERROR(AT29/$B57,".")</f>
        <v>.</v>
      </c>
      <c r="AU57" s="63" t="str">
        <f>IFERROR(AU29/$B57,".")</f>
        <v>.</v>
      </c>
      <c r="AV57" s="233">
        <f t="shared" si="54"/>
        <v>0</v>
      </c>
      <c r="AW57" s="233">
        <f t="shared" si="55"/>
        <v>3.5100906245570767E-8</v>
      </c>
      <c r="AX57" s="233">
        <f t="shared" si="56"/>
        <v>0</v>
      </c>
      <c r="AY57" s="233">
        <f t="shared" si="57"/>
        <v>0</v>
      </c>
      <c r="AZ57" s="63">
        <f>IFERROR(AZ29/$B57,".")</f>
        <v>28489292.926053319</v>
      </c>
      <c r="BA57" s="189">
        <f t="shared" ref="BA57" si="182">IFERROR(BA29/$B57,0)</f>
        <v>4.1433058433552463E-11</v>
      </c>
      <c r="BB57" s="49" t="str">
        <f>IF(AR57=".",".",s_RadSpec!$I$29*BB29*$B$57)</f>
        <v>.</v>
      </c>
      <c r="BC57" s="49">
        <f>IF(AS57=".",".",s_RadSpec!$M$29*BC29*$B$57)</f>
        <v>8.7752265613926914E-7</v>
      </c>
      <c r="BD57" s="49" t="str">
        <f>IF(AT57=".",".",s_RadSpec!$F$29*BD29*$B$57)</f>
        <v>.</v>
      </c>
      <c r="BE57" s="49" t="str">
        <f>IF(AU57=".",".",s_RadSpec!$F$29*BE29*$B$57)</f>
        <v>.</v>
      </c>
      <c r="BF57" s="49">
        <f t="shared" si="60"/>
        <v>8.7752265613926914E-7</v>
      </c>
      <c r="BG57" s="63" t="str">
        <f>IFERROR(BG29/$B57,".")</f>
        <v>.</v>
      </c>
      <c r="BH57" s="63" t="str">
        <f>IFERROR(BH29/$B57,".")</f>
        <v>.</v>
      </c>
      <c r="BI57" s="189">
        <f t="shared" ref="BI57:BJ57" si="183">IFERROR(BI29/$B57,0)</f>
        <v>0</v>
      </c>
      <c r="BJ57" s="189">
        <f t="shared" si="183"/>
        <v>0</v>
      </c>
      <c r="BK57" s="49" t="str">
        <f>IF(BG57=".",".",s_RadSpec!$F$29*BK29*$B$57)</f>
        <v>.</v>
      </c>
      <c r="BL57" s="49" t="str">
        <f>IF(BH57=".",".",s_RadSpec!$F$29*BL29*$B$57)</f>
        <v>.</v>
      </c>
    </row>
    <row r="58" spans="1:64" x14ac:dyDescent="0.25">
      <c r="A58" s="48" t="s">
        <v>1079</v>
      </c>
      <c r="B58" s="15">
        <v>1</v>
      </c>
      <c r="C58" s="238"/>
      <c r="D58" s="60">
        <f>IFERROR(D16/$B58,".")</f>
        <v>437.96835240685505</v>
      </c>
      <c r="E58" s="60">
        <f>IFERROR(E16/$B58,".")</f>
        <v>692481.68732784083</v>
      </c>
      <c r="F58" s="60">
        <f>IFERROR(F16/$B58,".")</f>
        <v>18281254852.045387</v>
      </c>
      <c r="G58" s="63">
        <f>IFERROR(G16/$B58,".")</f>
        <v>4247.7674847308263</v>
      </c>
      <c r="H58" s="63" t="str">
        <f>IFERROR(H16/$B58,".")</f>
        <v>.</v>
      </c>
      <c r="I58" s="233">
        <f t="shared" si="13"/>
        <v>2.28327E-3</v>
      </c>
      <c r="J58" s="233">
        <f t="shared" si="14"/>
        <v>1.4440815090126291E-6</v>
      </c>
      <c r="K58" s="233">
        <f t="shared" si="15"/>
        <v>5.4700840182648384E-11</v>
      </c>
      <c r="L58" s="233">
        <f t="shared" si="16"/>
        <v>2.3541778206896563E-4</v>
      </c>
      <c r="M58" s="233">
        <f t="shared" si="17"/>
        <v>0</v>
      </c>
      <c r="N58" s="63">
        <f>IFERROR(N16/$B58,".")</f>
        <v>396.80462468923957</v>
      </c>
      <c r="O58" s="189">
        <f>IFERROR(O16/$B58,0)</f>
        <v>5.1797288488434578E-6</v>
      </c>
      <c r="P58" s="49">
        <f>IF(D58=".",".",s_RadSpec!$E$16*P16*$B$58)</f>
        <v>5.7081750000000001E-2</v>
      </c>
      <c r="Q58" s="49">
        <f>IF(E58=".",".",s_RadSpec!$H$16*Q16*$B$58)</f>
        <v>3.6102037725315724E-5</v>
      </c>
      <c r="R58" s="49">
        <f>IF(F58=".",".",s_RadSpec!$G$16*R16*$B$58)</f>
        <v>1.3675210045662094E-9</v>
      </c>
      <c r="S58" s="49">
        <f>IF(G58=".",".",s_RadSpec!$F$16*S16*$B$58)</f>
        <v>5.8854445517241404E-3</v>
      </c>
      <c r="T58" s="49" t="str">
        <f>IF(H58=".",".",s_RadSpec!$F$16*T16*$B$58)</f>
        <v>.</v>
      </c>
      <c r="U58" s="49">
        <f t="shared" si="146"/>
        <v>6.3003297956970461E-2</v>
      </c>
      <c r="V58" s="60">
        <f>IFERROR(V16/$B58,".")</f>
        <v>18281254852.045387</v>
      </c>
      <c r="W58" s="60">
        <f>IFERROR(W16/$B58,".")</f>
        <v>51215283936.856201</v>
      </c>
      <c r="X58" s="60">
        <f>IFERROR(X16/$B58,".")</f>
        <v>19914682830.927044</v>
      </c>
      <c r="Y58" s="60">
        <f>IFERROR(Y16/$B58,".")</f>
        <v>19660123838.631317</v>
      </c>
      <c r="Z58" s="60">
        <f>IFERROR(Z16/$B58,".")</f>
        <v>627866297448.7915</v>
      </c>
      <c r="AA58" s="189">
        <f t="shared" ref="AA58:AE58" si="184">IFERROR(AA16/$B58,0)</f>
        <v>238.63618833665967</v>
      </c>
      <c r="AB58" s="189">
        <f t="shared" si="184"/>
        <v>668.54383039814604</v>
      </c>
      <c r="AC58" s="189">
        <f t="shared" si="184"/>
        <v>259.95830380178927</v>
      </c>
      <c r="AD58" s="189">
        <f t="shared" si="184"/>
        <v>256.63539253995776</v>
      </c>
      <c r="AE58" s="189">
        <f t="shared" si="184"/>
        <v>8195.915500377545</v>
      </c>
      <c r="AF58" s="49">
        <f>IF(V58=".",".",s_RadSpec!$G$16*AF16*$B$58)</f>
        <v>1.3675210045662094E-9</v>
      </c>
      <c r="AG58" s="49">
        <f>IF(W58=".",".",s_RadSpec!$N$16*AG16*$B$58)</f>
        <v>4.8813553451783518E-10</v>
      </c>
      <c r="AH58" s="49">
        <f>IF(X58=".",".",s_RadSpec!$O$16*AH16*$B$58)</f>
        <v>1.2553551674534115E-9</v>
      </c>
      <c r="AI58" s="49">
        <f>IF(Y58=".",".",s_RadSpec!$P$16*AI16*$B$58)</f>
        <v>1.2716094875697611E-9</v>
      </c>
      <c r="AJ58" s="49">
        <f>IF(Z58=".",".",s_RadSpec!$L$16*AJ16*$B$58)</f>
        <v>3.981739440639269E-11</v>
      </c>
      <c r="AK58" s="60">
        <f>IFERROR(AK16/$B58,".")</f>
        <v>2.2352261158231306</v>
      </c>
      <c r="AL58" s="60">
        <f>IFERROR(AL16/$B58,".")</f>
        <v>57922168.683055773</v>
      </c>
      <c r="AM58" s="60">
        <f>IFERROR(AM16/$B58,".")</f>
        <v>2.2352260295653865</v>
      </c>
      <c r="AN58" s="189">
        <f t="shared" ref="AN58" si="185">IFERROR(AN16/$B58,0)</f>
        <v>2.9177746499534728E-11</v>
      </c>
      <c r="AO58" s="49">
        <f>IF(AK58=".",".",s_RadSpec!$H$16*AO16*$B$58)</f>
        <v>11.18455078125</v>
      </c>
      <c r="AP58" s="49">
        <f>IF(AL58=".",".",s_RadSpec!$K$16*AP16*$B$58)</f>
        <v>4.3161367345890415E-7</v>
      </c>
      <c r="AQ58" s="49">
        <f t="shared" si="149"/>
        <v>11.184551212863672</v>
      </c>
      <c r="AR58" s="60">
        <f>IFERROR(AR16/$B58,".")</f>
        <v>3.0110324227971286</v>
      </c>
      <c r="AS58" s="60">
        <f>IFERROR(AS16/$B58,".")</f>
        <v>15642971.01474729</v>
      </c>
      <c r="AT58" s="63">
        <f>IFERROR(AT16/$B58,".")</f>
        <v>17205899.558840737</v>
      </c>
      <c r="AU58" s="63" t="str">
        <f>IFERROR(AU16/$B58,".")</f>
        <v>.</v>
      </c>
      <c r="AV58" s="233">
        <f t="shared" si="54"/>
        <v>0.33211200000000002</v>
      </c>
      <c r="AW58" s="233">
        <f t="shared" si="55"/>
        <v>6.3926475287671237E-8</v>
      </c>
      <c r="AX58" s="233">
        <f t="shared" si="56"/>
        <v>5.8119599999999992E-8</v>
      </c>
      <c r="AY58" s="233">
        <f t="shared" si="57"/>
        <v>0</v>
      </c>
      <c r="AZ58" s="63">
        <f>IFERROR(AZ16/$B58,".")</f>
        <v>3.0110313162892193</v>
      </c>
      <c r="BA58" s="189">
        <f t="shared" ref="BA58" si="186">IFERROR(BA16/$B58,0)</f>
        <v>3.9304798390312953E-11</v>
      </c>
      <c r="BB58" s="49">
        <f>IF(AR58=".",".",s_RadSpec!$I$16*BB16*$B$58)</f>
        <v>8.3027999999999995</v>
      </c>
      <c r="BC58" s="49">
        <f>IF(AS58=".",".",s_RadSpec!$M$16*BC16*$B$58)</f>
        <v>1.5981618821917808E-6</v>
      </c>
      <c r="BD58" s="49">
        <f>IF(AT58=".",".",s_RadSpec!$F$16*BD16*$B$58)</f>
        <v>1.4529899999999998E-6</v>
      </c>
      <c r="BE58" s="49" t="str">
        <f>IF(AU58=".",".",s_RadSpec!$F$16*BE16*$B$58)</f>
        <v>.</v>
      </c>
      <c r="BF58" s="49">
        <f t="shared" si="60"/>
        <v>8.3028030511518818</v>
      </c>
      <c r="BG58" s="63">
        <f>IFERROR(BG16/$B58,".")</f>
        <v>24.088259382377029</v>
      </c>
      <c r="BH58" s="63">
        <f>IFERROR(BH16/$B58,".")</f>
        <v>24.088259382377029</v>
      </c>
      <c r="BI58" s="189">
        <f t="shared" ref="BI58:BJ58" si="187">IFERROR(BI16/$B58,0)</f>
        <v>3.1443850267379678E-7</v>
      </c>
      <c r="BJ58" s="189">
        <f t="shared" si="187"/>
        <v>3.1443850267379678E-7</v>
      </c>
      <c r="BK58" s="49">
        <f>IF(BG58=".",".",s_RadSpec!$F$16*BK16*$B$58)</f>
        <v>1.0378499999999999</v>
      </c>
      <c r="BL58" s="49">
        <f>IF(BH58=".",".",s_RadSpec!$F$16*BL16*$B$58)</f>
        <v>1.0378499999999999</v>
      </c>
    </row>
    <row r="59" spans="1:64" x14ac:dyDescent="0.25">
      <c r="A59" s="48" t="s">
        <v>1080</v>
      </c>
      <c r="B59" s="15">
        <v>1</v>
      </c>
      <c r="C59" s="238"/>
      <c r="D59" s="60">
        <f>IFERROR(D7/$B59,".")</f>
        <v>248182.06636388457</v>
      </c>
      <c r="E59" s="60">
        <f>IFERROR(E7/$B59,".")</f>
        <v>28600442.291690964</v>
      </c>
      <c r="F59" s="60">
        <f>IFERROR(F7/$B59,".")</f>
        <v>839022.2014605056</v>
      </c>
      <c r="G59" s="63">
        <f>IFERROR(G7/$B59,".")</f>
        <v>568750.56875056867</v>
      </c>
      <c r="H59" s="63" t="str">
        <f>IFERROR(H7/$B59,".")</f>
        <v>.</v>
      </c>
      <c r="I59" s="233">
        <f t="shared" si="13"/>
        <v>4.0292999999999997E-6</v>
      </c>
      <c r="J59" s="233">
        <f t="shared" si="14"/>
        <v>3.4964494248066966E-8</v>
      </c>
      <c r="K59" s="233">
        <f t="shared" si="15"/>
        <v>1.1918635743598638E-6</v>
      </c>
      <c r="L59" s="233">
        <f t="shared" si="16"/>
        <v>1.7582400000000002E-6</v>
      </c>
      <c r="M59" s="233">
        <f t="shared" si="17"/>
        <v>0</v>
      </c>
      <c r="N59" s="63">
        <f>IFERROR(N7/$B59,".")</f>
        <v>142564.51760428643</v>
      </c>
      <c r="O59" s="189">
        <f>IFERROR(O7/$B59,0)</f>
        <v>1.1513135477511516E-6</v>
      </c>
      <c r="P59" s="49">
        <f>IF(D59=".",".",s_RadSpec!$E$7*P7*$B$59)</f>
        <v>1.0073249999999999E-4</v>
      </c>
      <c r="Q59" s="49">
        <f>IF(E59=".",".",s_RadSpec!$H$7*Q7*$B$59)</f>
        <v>8.7411235620167426E-7</v>
      </c>
      <c r="R59" s="49">
        <f>IF(F59=".",".",s_RadSpec!$G$7*R7*$B$59)</f>
        <v>2.97965893589966E-5</v>
      </c>
      <c r="S59" s="49">
        <f>IF(G59=".",".",s_RadSpec!$F$7*S7*$B$59)</f>
        <v>4.3956000000000004E-5</v>
      </c>
      <c r="T59" s="49" t="str">
        <f>IF(H59=".",".",s_RadSpec!$F$7*T7*$B$59)</f>
        <v>.</v>
      </c>
      <c r="U59" s="49">
        <f t="shared" si="146"/>
        <v>1.7535920171519827E-4</v>
      </c>
      <c r="V59" s="60">
        <f>IFERROR(V7/$B59,".")</f>
        <v>839022.2014605056</v>
      </c>
      <c r="W59" s="60">
        <f>IFERROR(W7/$B59,".")</f>
        <v>2327921.6300107753</v>
      </c>
      <c r="X59" s="60">
        <f>IFERROR(X7/$B59,".")</f>
        <v>1179112.0820385634</v>
      </c>
      <c r="Y59" s="60">
        <f>IFERROR(Y7/$B59,".")</f>
        <v>918377.36308965657</v>
      </c>
      <c r="Z59" s="60">
        <f>IFERROR(Z7/$B59,".")</f>
        <v>304692.64651778154</v>
      </c>
      <c r="AA59" s="189">
        <f t="shared" ref="AA59:AE59" si="188">IFERROR(AA7/$B59,0)</f>
        <v>6.7757226246626213E-6</v>
      </c>
      <c r="AB59" s="189">
        <f t="shared" si="188"/>
        <v>1.8799682808689039E-5</v>
      </c>
      <c r="AC59" s="189">
        <f t="shared" si="188"/>
        <v>9.5221990519136658E-6</v>
      </c>
      <c r="AD59" s="189">
        <f t="shared" si="188"/>
        <v>7.4165740384850809E-6</v>
      </c>
      <c r="AE59" s="189">
        <f t="shared" si="188"/>
        <v>2.4606176749377037E-6</v>
      </c>
      <c r="AF59" s="49">
        <f>IF(V59=".",".",s_RadSpec!$G$7*AF7*$B$59)</f>
        <v>2.97965893589966E-5</v>
      </c>
      <c r="AG59" s="49">
        <f>IF(W59=".",".",s_RadSpec!$N$7*AG7*$B$59)</f>
        <v>1.0739193140227956E-5</v>
      </c>
      <c r="AH59" s="49">
        <f>IF(X59=".",".",s_RadSpec!$O$7*AH7*$B$59)</f>
        <v>2.1202394904458595E-5</v>
      </c>
      <c r="AI59" s="49">
        <f>IF(Y59=".",".",s_RadSpec!$P$7*AI7*$B$59)</f>
        <v>2.7221925326963194E-5</v>
      </c>
      <c r="AJ59" s="49">
        <f>IF(Z59=".",".",s_RadSpec!$L$7*AJ7*$B$59)</f>
        <v>8.2049896135386491E-5</v>
      </c>
      <c r="AK59" s="60">
        <f>IFERROR(AK7/$B59,".")</f>
        <v>92.317900537078629</v>
      </c>
      <c r="AL59" s="60">
        <f>IFERROR(AL7/$B59,".")</f>
        <v>10574163.352604371</v>
      </c>
      <c r="AM59" s="60">
        <f>IFERROR(AM7/$B59,".")</f>
        <v>92.3170945612232</v>
      </c>
      <c r="AN59" s="189">
        <f t="shared" ref="AN59" si="189">IFERROR(AN7/$B59,0)</f>
        <v>7.4552857501595305E-13</v>
      </c>
      <c r="AO59" s="49">
        <f>IF(AK59=".",".",s_RadSpec!$H$7*AO7*$B$59)</f>
        <v>0.27080338541666665</v>
      </c>
      <c r="AP59" s="49">
        <f>IF(AL59=".",".",s_RadSpec!$K$7*AP7*$B$59)</f>
        <v>2.3642532431506849E-6</v>
      </c>
      <c r="AQ59" s="49">
        <f t="shared" si="149"/>
        <v>0.27080574966990978</v>
      </c>
      <c r="AR59" s="60">
        <f>IFERROR(AR7/$B59,".")</f>
        <v>1706.2517062517061</v>
      </c>
      <c r="AS59" s="60">
        <f>IFERROR(AS7/$B59,".")</f>
        <v>5721757.8543874314</v>
      </c>
      <c r="AT59" s="63">
        <f>IFERROR(AT7/$B59,".")</f>
        <v>3412503412.5034122</v>
      </c>
      <c r="AU59" s="63" t="str">
        <f>IFERROR(AU7/$B59,".")</f>
        <v>.</v>
      </c>
      <c r="AV59" s="233">
        <f t="shared" si="54"/>
        <v>5.8608000000000011E-4</v>
      </c>
      <c r="AW59" s="233">
        <f t="shared" si="55"/>
        <v>1.747714645479452E-7</v>
      </c>
      <c r="AX59" s="233">
        <f t="shared" si="56"/>
        <v>2.9304E-10</v>
      </c>
      <c r="AY59" s="233">
        <f t="shared" si="57"/>
        <v>0</v>
      </c>
      <c r="AZ59" s="63">
        <f>IFERROR(AZ7/$B59,".")</f>
        <v>1705.7421940484439</v>
      </c>
      <c r="BA59" s="189">
        <f t="shared" ref="BA59" si="190">IFERROR(BA7/$B59,0)</f>
        <v>1.3775125325571901E-11</v>
      </c>
      <c r="BB59" s="49">
        <f>IF(AR59=".",".",s_RadSpec!$I$7*BB7*$B$59)</f>
        <v>1.4652E-2</v>
      </c>
      <c r="BC59" s="49">
        <f>IF(AS59=".",".",s_RadSpec!$M$7*BC7*$B$59)</f>
        <v>4.3692866136986297E-6</v>
      </c>
      <c r="BD59" s="49">
        <f>IF(AT59=".",".",s_RadSpec!$F$7*BD7*$B$59)</f>
        <v>7.3260000000000006E-9</v>
      </c>
      <c r="BE59" s="49" t="str">
        <f>IF(AU59=".",".",s_RadSpec!$F$7*BE7*$B$59)</f>
        <v>.</v>
      </c>
      <c r="BF59" s="49">
        <f t="shared" si="60"/>
        <v>1.4656376612613698E-2</v>
      </c>
      <c r="BG59" s="63">
        <f>IFERROR(BG7/$B59,".")</f>
        <v>13650.013650013649</v>
      </c>
      <c r="BH59" s="63">
        <f>IFERROR(BH7/$B59,".")</f>
        <v>13650.013650013649</v>
      </c>
      <c r="BI59" s="189">
        <f t="shared" ref="BI59:BJ59" si="191">IFERROR(BI7/$B59,0)</f>
        <v>1.1023392009693406E-7</v>
      </c>
      <c r="BJ59" s="189">
        <f t="shared" si="191"/>
        <v>1.1023392009693406E-7</v>
      </c>
      <c r="BK59" s="49">
        <f>IF(BG59=".",".",s_RadSpec!$F$7*BK7*$B$59)</f>
        <v>1.8315E-3</v>
      </c>
      <c r="BL59" s="49">
        <f>IF(BH59=".",".",s_RadSpec!$F$7*BL7*$B$59)</f>
        <v>1.8315E-3</v>
      </c>
    </row>
    <row r="60" spans="1:64" x14ac:dyDescent="0.25">
      <c r="A60" s="48" t="s">
        <v>1081</v>
      </c>
      <c r="B60" s="15">
        <v>1.9000000000000001E-8</v>
      </c>
      <c r="C60" s="241"/>
      <c r="D60" s="60" t="str">
        <f>IFERROR(D12/$B60,".")</f>
        <v>.</v>
      </c>
      <c r="E60" s="60" t="str">
        <f>IFERROR(E12/$B60,".")</f>
        <v>.</v>
      </c>
      <c r="F60" s="60">
        <f>IFERROR(F12/$B60,".")</f>
        <v>306158216687.78442</v>
      </c>
      <c r="G60" s="63" t="str">
        <f>IFERROR(G12/$B60,".")</f>
        <v>.</v>
      </c>
      <c r="H60" s="63" t="str">
        <f>IFERROR(H12/$B60,".")</f>
        <v>.</v>
      </c>
      <c r="I60" s="233">
        <f t="shared" si="13"/>
        <v>0</v>
      </c>
      <c r="J60" s="233">
        <f t="shared" si="14"/>
        <v>0</v>
      </c>
      <c r="K60" s="233">
        <f t="shared" si="15"/>
        <v>3.2662850300692243E-12</v>
      </c>
      <c r="L60" s="233">
        <f t="shared" si="16"/>
        <v>0</v>
      </c>
      <c r="M60" s="233">
        <f t="shared" si="17"/>
        <v>0</v>
      </c>
      <c r="N60" s="63">
        <f>IFERROR(N12/$B60,".")</f>
        <v>306158216687.78442</v>
      </c>
      <c r="O60" s="189">
        <f>IFERROR(O12/$B60,0)</f>
        <v>2.7382520623895385E-3</v>
      </c>
      <c r="P60" s="49" t="str">
        <f>IF(D60=".",".",s_RadSpec!$E$12*P12*$B$60)</f>
        <v>.</v>
      </c>
      <c r="Q60" s="49" t="str">
        <f>IF(E60=".",".",s_RadSpec!$H$12*Q12*$B$60)</f>
        <v>.</v>
      </c>
      <c r="R60" s="49">
        <f>IF(F60=".",".",s_RadSpec!$G$12*R12*$B$60)</f>
        <v>8.1657125751730619E-11</v>
      </c>
      <c r="S60" s="49" t="str">
        <f>IF(G60=".",".",s_RadSpec!$F$12*S12*$B$60)</f>
        <v>.</v>
      </c>
      <c r="T60" s="49" t="str">
        <f>IF(H60=".",".",s_RadSpec!$F$12*T12*$B$60)</f>
        <v>.</v>
      </c>
      <c r="U60" s="49">
        <f t="shared" si="146"/>
        <v>8.1657125751730619E-11</v>
      </c>
      <c r="V60" s="60">
        <f>IFERROR(V12/$B60,".")</f>
        <v>306158216687.78442</v>
      </c>
      <c r="W60" s="60">
        <f>IFERROR(W12/$B60,".")</f>
        <v>2428028738038.8535</v>
      </c>
      <c r="X60" s="60">
        <f>IFERROR(X12/$B60,".")</f>
        <v>631070503920.90015</v>
      </c>
      <c r="Y60" s="60">
        <f>IFERROR(Y12/$B60,".")</f>
        <v>375784746447.88092</v>
      </c>
      <c r="Z60" s="60">
        <f>IFERROR(Z12/$B60,".")</f>
        <v>3335318582749.5996</v>
      </c>
      <c r="AA60" s="189">
        <f t="shared" ref="AA60:AE60" si="192">IFERROR(AA12/$B60,0)</f>
        <v>2.7382520623895385E-3</v>
      </c>
      <c r="AB60" s="189">
        <f t="shared" si="192"/>
        <v>2.1716074686494717E-2</v>
      </c>
      <c r="AC60" s="189">
        <f t="shared" si="192"/>
        <v>5.6442388761260313E-3</v>
      </c>
      <c r="AD60" s="189">
        <f t="shared" si="192"/>
        <v>3.3609855979295552E-3</v>
      </c>
      <c r="AE60" s="189">
        <f t="shared" si="192"/>
        <v>2.9830794961984902E-2</v>
      </c>
      <c r="AF60" s="49">
        <f>IF(V60=".",".",s_RadSpec!$G$12*AF12*$B$60)</f>
        <v>8.1657125751730619E-11</v>
      </c>
      <c r="AG60" s="49">
        <f>IF(W60=".",".",s_RadSpec!$N$12*AG12*$B$60)</f>
        <v>1.0296418493049957E-11</v>
      </c>
      <c r="AH60" s="49">
        <f>IF(X60=".",".",s_RadSpec!$O$12*AH12*$B$60)</f>
        <v>3.9615224994153046E-11</v>
      </c>
      <c r="AI60" s="49">
        <f>IF(Y60=".",".",s_RadSpec!$P$12*AI12*$B$60)</f>
        <v>6.6527447524981803E-11</v>
      </c>
      <c r="AJ60" s="49">
        <f>IF(Z60=".",".",s_RadSpec!$L$12*AJ12*$B$60)</f>
        <v>7.4955358475502156E-12</v>
      </c>
      <c r="AK60" s="60" t="str">
        <f>IFERROR(AK12/$B60,".")</f>
        <v>.</v>
      </c>
      <c r="AL60" s="60">
        <f>IFERROR(AL12/$B60,".")</f>
        <v>25824821516205.293</v>
      </c>
      <c r="AM60" s="60">
        <f>IFERROR(AM12/$B60,".")</f>
        <v>25824821516205.293</v>
      </c>
      <c r="AN60" s="189">
        <f t="shared" ref="AN60" si="193">IFERROR(AN12/$B60,0)</f>
        <v>2.3097492382412468E-4</v>
      </c>
      <c r="AO60" s="49" t="str">
        <f>IF(AK60=".",".",s_RadSpec!$H$12*AO12*$B$60)</f>
        <v>.</v>
      </c>
      <c r="AP60" s="49">
        <f>IF(AL60=".",".",s_RadSpec!$K$12*AP12*$B$60)</f>
        <v>9.6806090157534239E-13</v>
      </c>
      <c r="AQ60" s="49">
        <f t="shared" si="149"/>
        <v>9.6806090157534239E-13</v>
      </c>
      <c r="AR60" s="60" t="str">
        <f>IFERROR(AR12/$B60,".")</f>
        <v>.</v>
      </c>
      <c r="AS60" s="60">
        <f>IFERROR(AS12/$B60,".")</f>
        <v>7541281913345.6621</v>
      </c>
      <c r="AT60" s="63" t="str">
        <f>IFERROR(AT12/$B60,".")</f>
        <v>.</v>
      </c>
      <c r="AU60" s="63" t="str">
        <f>IFERROR(AU12/$B60,".")</f>
        <v>.</v>
      </c>
      <c r="AV60" s="233">
        <f t="shared" si="54"/>
        <v>0</v>
      </c>
      <c r="AW60" s="233">
        <f t="shared" si="55"/>
        <v>1.3260345011506851E-13</v>
      </c>
      <c r="AX60" s="233">
        <f t="shared" si="56"/>
        <v>0</v>
      </c>
      <c r="AY60" s="233">
        <f t="shared" si="57"/>
        <v>0</v>
      </c>
      <c r="AZ60" s="63">
        <f>IFERROR(AZ12/$B60,".")</f>
        <v>7541281913345.6621</v>
      </c>
      <c r="BA60" s="189">
        <f t="shared" ref="BA60" si="194">IFERROR(BA12/$B60,0)</f>
        <v>6.7448559688137248E-5</v>
      </c>
      <c r="BB60" s="49" t="str">
        <f>IF(AR60=".",".",s_RadSpec!$I$12*BB12*$B$60)</f>
        <v>.</v>
      </c>
      <c r="BC60" s="49">
        <f>IF(AS60=".",".",s_RadSpec!$M$12*BC12*$B$60)</f>
        <v>3.3150862528767125E-12</v>
      </c>
      <c r="BD60" s="49" t="str">
        <f>IF(AT60=".",".",s_RadSpec!$F$12*BD12*$B$60)</f>
        <v>.</v>
      </c>
      <c r="BE60" s="49" t="str">
        <f>IF(AU60=".",".",s_RadSpec!$F$12*BE12*$B$60)</f>
        <v>.</v>
      </c>
      <c r="BF60" s="49">
        <f t="shared" si="60"/>
        <v>3.3150862528767125E-12</v>
      </c>
      <c r="BG60" s="63" t="str">
        <f>IFERROR(BG12/$B60,".")</f>
        <v>.</v>
      </c>
      <c r="BH60" s="63" t="str">
        <f>IFERROR(BH12/$B60,".")</f>
        <v>.</v>
      </c>
      <c r="BI60" s="189">
        <f t="shared" ref="BI60:BJ60" si="195">IFERROR(BI12/$B60,0)</f>
        <v>0</v>
      </c>
      <c r="BJ60" s="189">
        <f t="shared" si="195"/>
        <v>0</v>
      </c>
      <c r="BK60" s="49" t="str">
        <f>IF(BG60=".",".",s_RadSpec!$F$12*BK12*$B$60)</f>
        <v>.</v>
      </c>
      <c r="BL60" s="49" t="str">
        <f>IF(BH60=".",".",s_RadSpec!$F$12*BL12*$B$60)</f>
        <v>.</v>
      </c>
    </row>
    <row r="61" spans="1:64" x14ac:dyDescent="0.25">
      <c r="A61" s="48" t="s">
        <v>1082</v>
      </c>
      <c r="B61" s="15">
        <v>1</v>
      </c>
      <c r="C61" s="238"/>
      <c r="D61" s="60">
        <f>IFERROR(D18/$B61,".")</f>
        <v>255.27298254570982</v>
      </c>
      <c r="E61" s="60">
        <f>IFERROR(E18/$B61,".")</f>
        <v>892236.02021087182</v>
      </c>
      <c r="F61" s="60">
        <f>IFERROR(F18/$B61,".")</f>
        <v>31746870.419283301</v>
      </c>
      <c r="G61" s="63">
        <f>IFERROR(G18/$B61,".")</f>
        <v>584.83925003505817</v>
      </c>
      <c r="H61" s="63">
        <f>IFERROR(H18/$B61,".")</f>
        <v>0.73104906254382263</v>
      </c>
      <c r="I61" s="233">
        <f t="shared" si="13"/>
        <v>3.9173749999999999E-3</v>
      </c>
      <c r="J61" s="233">
        <f t="shared" si="14"/>
        <v>1.1207796786366673E-6</v>
      </c>
      <c r="K61" s="233">
        <f t="shared" si="15"/>
        <v>3.14991678484501E-8</v>
      </c>
      <c r="L61" s="233">
        <f t="shared" si="16"/>
        <v>1.7098715586206894E-3</v>
      </c>
      <c r="M61" s="233">
        <f t="shared" si="17"/>
        <v>1.3678972468965518</v>
      </c>
      <c r="N61" s="63">
        <f>IFERROR(N18/$B61,".")</f>
        <v>0.72805338808624498</v>
      </c>
      <c r="O61" s="189">
        <f>IFERROR(O18/$B61,0)</f>
        <v>1.6229624106941213E-10</v>
      </c>
      <c r="P61" s="49">
        <f>IF(D61=".",".",s_RadSpec!$E$18*P18*$B$61)</f>
        <v>9.7934375000000004E-2</v>
      </c>
      <c r="Q61" s="49">
        <f>IF(E61=".",".",s_RadSpec!$H$18*Q18*$B$61)</f>
        <v>2.8019491965916681E-5</v>
      </c>
      <c r="R61" s="49">
        <f>IF(F61=".",".",s_RadSpec!$G$18*R18*$B$61)</f>
        <v>7.8747919621125235E-7</v>
      </c>
      <c r="S61" s="49">
        <f>IF(G61=".",".",s_RadSpec!$F$18*S18*$B$61)</f>
        <v>4.2746788965517243E-2</v>
      </c>
      <c r="T61" s="49">
        <f>IF(H61=".",".",s_RadSpec!$F$18*T18*$B$61)</f>
        <v>34.197431172413793</v>
      </c>
      <c r="U61" s="49">
        <f t="shared" si="146"/>
        <v>34.33814114335047</v>
      </c>
      <c r="V61" s="60">
        <f>IFERROR(V18/$B61,".")</f>
        <v>31746870.419283301</v>
      </c>
      <c r="W61" s="60">
        <f>IFERROR(W18/$B61,".")</f>
        <v>323736998.74518651</v>
      </c>
      <c r="X61" s="60">
        <f>IFERROR(X18/$B61,".")</f>
        <v>79079160.681707725</v>
      </c>
      <c r="Y61" s="60">
        <f>IFERROR(Y18/$B61,".")</f>
        <v>41693599.059610948</v>
      </c>
      <c r="Z61" s="60">
        <f>IFERROR(Z18/$B61,".")</f>
        <v>558886214.90606248</v>
      </c>
      <c r="AA61" s="189">
        <f t="shared" ref="AA61:AE61" si="196">IFERROR(AA18/$B61,0)</f>
        <v>7.0769504257248801E-3</v>
      </c>
      <c r="AB61" s="189">
        <f t="shared" si="196"/>
        <v>7.2166820251391692E-2</v>
      </c>
      <c r="AC61" s="189">
        <f t="shared" si="196"/>
        <v>1.7628172240639135E-2</v>
      </c>
      <c r="AD61" s="189">
        <f t="shared" si="196"/>
        <v>9.2942557712930394E-3</v>
      </c>
      <c r="AE61" s="189">
        <f t="shared" si="196"/>
        <v>0.12458582481594152</v>
      </c>
      <c r="AF61" s="49">
        <f>IF(V61=".",".",s_RadSpec!$G$18*AF18*$B$61)</f>
        <v>7.8747919621125235E-7</v>
      </c>
      <c r="AG61" s="49">
        <f>IF(W61=".",".",s_RadSpec!$N$18*AG18*$B$61)</f>
        <v>7.7223178372878859E-8</v>
      </c>
      <c r="AH61" s="49">
        <f>IF(X61=".",".",s_RadSpec!$O$18*AH18*$B$61)</f>
        <v>3.1613891427887766E-7</v>
      </c>
      <c r="AI61" s="49">
        <f>IF(Y61=".",".",s_RadSpec!$P$18*AI18*$B$61)</f>
        <v>5.9961242406194131E-7</v>
      </c>
      <c r="AJ61" s="49">
        <f>IF(Z61=".",".",s_RadSpec!$L$18*AJ18*$B$61)</f>
        <v>4.4731824355700028E-8</v>
      </c>
      <c r="AK61" s="60">
        <f>IFERROR(AK18/$B61,".")</f>
        <v>2.8800028800028801</v>
      </c>
      <c r="AL61" s="60">
        <f>IFERROR(AL18/$B61,".")</f>
        <v>6130638528.026804</v>
      </c>
      <c r="AM61" s="60">
        <f>IFERROR(AM18/$B61,".")</f>
        <v>2.8800028786499352</v>
      </c>
      <c r="AN61" s="189">
        <f t="shared" ref="AN61" si="197">IFERROR(AN18/$B61,0)</f>
        <v>6.4200462373042502E-13</v>
      </c>
      <c r="AO61" s="49">
        <f>IF(AK61=".",".",s_RadSpec!$H$18*AO18*$B$61)</f>
        <v>8.6805468749999992</v>
      </c>
      <c r="AP61" s="49">
        <f>IF(AL61=".",".",s_RadSpec!$K$18*AP18*$B$61)</f>
        <v>4.0778786558219176E-9</v>
      </c>
      <c r="AQ61" s="49">
        <f t="shared" si="149"/>
        <v>8.6805468790778786</v>
      </c>
      <c r="AR61" s="60">
        <f>IFERROR(AR18/$B61,".")</f>
        <v>1.7550017550017551</v>
      </c>
      <c r="AS61" s="60">
        <f>IFERROR(AS18/$B61,".")</f>
        <v>1766926259.6968441</v>
      </c>
      <c r="AT61" s="63">
        <f>IFERROR(AT18/$B61,".")</f>
        <v>2340002.3400023403</v>
      </c>
      <c r="AU61" s="63">
        <f>IFERROR(AU18/$B61,".")</f>
        <v>2925.0029250029256</v>
      </c>
      <c r="AV61" s="233">
        <f t="shared" si="54"/>
        <v>0.56979999999999997</v>
      </c>
      <c r="AW61" s="233">
        <f t="shared" si="55"/>
        <v>5.6595457479452059E-10</v>
      </c>
      <c r="AX61" s="233">
        <f t="shared" si="56"/>
        <v>4.2734999999999997E-7</v>
      </c>
      <c r="AY61" s="233">
        <f t="shared" si="57"/>
        <v>3.4187999999999992E-4</v>
      </c>
      <c r="AZ61" s="63">
        <f>IFERROR(AZ18/$B61,".")</f>
        <v>1.7539480689572176</v>
      </c>
      <c r="BA61" s="189">
        <f t="shared" ref="BA61" si="198">IFERROR(BA18/$B61,0)</f>
        <v>3.9098668213187388E-13</v>
      </c>
      <c r="BB61" s="49">
        <f>IF(AR61=".",".",s_RadSpec!$I$18*BB18*$B$61)</f>
        <v>14.244999999999999</v>
      </c>
      <c r="BC61" s="49">
        <f>IF(AS61=".",".",s_RadSpec!$M$18*BC18*$B$61)</f>
        <v>1.4148864369863012E-8</v>
      </c>
      <c r="BD61" s="49">
        <f>IF(AT61=".",".",s_RadSpec!$F$18*BD18*$B$61)</f>
        <v>1.0683749999999999E-5</v>
      </c>
      <c r="BE61" s="49">
        <f>IF(AU61=".",".",s_RadSpec!$F$18*BE18*$B$61)</f>
        <v>8.5470000000000008E-3</v>
      </c>
      <c r="BF61" s="49">
        <f t="shared" si="60"/>
        <v>14.253557697898865</v>
      </c>
      <c r="BG61" s="63">
        <f>IFERROR(BG18/$B61,".")</f>
        <v>14.040014040014041</v>
      </c>
      <c r="BH61" s="63">
        <f>IFERROR(BH18/$B61,".")</f>
        <v>14.040014040014041</v>
      </c>
      <c r="BI61" s="189">
        <f t="shared" ref="BI61:BJ61" si="199">IFERROR(BI18/$B61,0)</f>
        <v>3.1297725421561019E-9</v>
      </c>
      <c r="BJ61" s="189">
        <f t="shared" si="199"/>
        <v>3.1297725421561019E-9</v>
      </c>
      <c r="BK61" s="49">
        <f>IF(BG61=".",".",s_RadSpec!$F$18*BK18*$B$61)</f>
        <v>1.7806249999999999</v>
      </c>
      <c r="BL61" s="49">
        <f>IF(BH61=".",".",s_RadSpec!$F$18*BL18*$B$61)</f>
        <v>1.7806249999999999</v>
      </c>
    </row>
    <row r="62" spans="1:64" x14ac:dyDescent="0.25">
      <c r="A62" s="48" t="s">
        <v>1083</v>
      </c>
      <c r="B62" s="15">
        <v>1.339E-6</v>
      </c>
      <c r="C62" s="238"/>
      <c r="D62" s="60" t="str">
        <f>IFERROR(D27/$B62,".")</f>
        <v>.</v>
      </c>
      <c r="E62" s="60" t="str">
        <f>IFERROR(E27/$B62,".")</f>
        <v>.</v>
      </c>
      <c r="F62" s="60">
        <f>IFERROR(F27/$B62,".")</f>
        <v>171795379282.72324</v>
      </c>
      <c r="G62" s="63" t="str">
        <f>IFERROR(G27/$B62,".")</f>
        <v>.</v>
      </c>
      <c r="H62" s="63" t="str">
        <f>IFERROR(H27/$B62,".")</f>
        <v>.</v>
      </c>
      <c r="I62" s="233">
        <f t="shared" si="13"/>
        <v>0</v>
      </c>
      <c r="J62" s="233">
        <f t="shared" si="14"/>
        <v>0</v>
      </c>
      <c r="K62" s="233">
        <f t="shared" si="15"/>
        <v>5.8208783273169559E-12</v>
      </c>
      <c r="L62" s="233">
        <f t="shared" si="16"/>
        <v>0</v>
      </c>
      <c r="M62" s="233">
        <f t="shared" si="17"/>
        <v>0</v>
      </c>
      <c r="N62" s="63">
        <f>IFERROR(N27/$B62,".")</f>
        <v>171795379282.72324</v>
      </c>
      <c r="O62" s="189">
        <f>IFERROR(O27/$B62,0)</f>
        <v>7.9182765227388556E-4</v>
      </c>
      <c r="P62" s="49" t="str">
        <f>IF(D62=".",".",s_RadSpec!$E$27*P27*$B$62)</f>
        <v>.</v>
      </c>
      <c r="Q62" s="49" t="str">
        <f>IF(E62=".",".",s_RadSpec!$H$27*Q27*$B$62)</f>
        <v>.</v>
      </c>
      <c r="R62" s="49">
        <f>IF(F62=".",".",s_RadSpec!$G$27*R27*$B$62)</f>
        <v>1.4552195818292387E-10</v>
      </c>
      <c r="S62" s="49" t="str">
        <f>IF(G62=".",".",s_RadSpec!$F$27*S27*$B$62)</f>
        <v>.</v>
      </c>
      <c r="T62" s="49" t="str">
        <f>IF(H62=".",".",s_RadSpec!$F$27*T27*$B$62)</f>
        <v>.</v>
      </c>
      <c r="U62" s="49">
        <f t="shared" si="146"/>
        <v>1.4552195818292387E-10</v>
      </c>
      <c r="V62" s="60">
        <f>IFERROR(V27/$B62,".")</f>
        <v>171795379282.72324</v>
      </c>
      <c r="W62" s="60">
        <f>IFERROR(W27/$B62,".")</f>
        <v>858494807120.97998</v>
      </c>
      <c r="X62" s="60">
        <f>IFERROR(X27/$B62,".")</f>
        <v>377538304295.94934</v>
      </c>
      <c r="Y62" s="60">
        <f>IFERROR(Y27/$B62,".")</f>
        <v>233056678611.55307</v>
      </c>
      <c r="Z62" s="60">
        <f>IFERROR(Z27/$B62,".")</f>
        <v>284668197179.11395</v>
      </c>
      <c r="AA62" s="189">
        <f t="shared" ref="AA62:AE62" si="200">IFERROR(AA27/$B62,0)</f>
        <v>7.9182765227388556E-4</v>
      </c>
      <c r="AB62" s="189">
        <f t="shared" si="200"/>
        <v>3.9569162479813598E-3</v>
      </c>
      <c r="AC62" s="189">
        <f t="shared" si="200"/>
        <v>1.7401240381567642E-3</v>
      </c>
      <c r="AD62" s="189">
        <f t="shared" si="200"/>
        <v>1.0741890931073141E-3</v>
      </c>
      <c r="AE62" s="189">
        <f t="shared" si="200"/>
        <v>1.3120734165872046E-3</v>
      </c>
      <c r="AF62" s="49">
        <f>IF(V62=".",".",s_RadSpec!$G$27*AF27*$B$62)</f>
        <v>1.4552195818292387E-10</v>
      </c>
      <c r="AG62" s="49">
        <f>IF(W62=".",".",s_RadSpec!$N$27*AG27*$B$62)</f>
        <v>2.9120735259703185E-11</v>
      </c>
      <c r="AH62" s="49">
        <f>IF(X62=".",".",s_RadSpec!$O$27*AH27*$B$62)</f>
        <v>6.6218446487492548E-11</v>
      </c>
      <c r="AI62" s="49">
        <f>IF(Y62=".",".",s_RadSpec!$P$27*AI27*$B$62)</f>
        <v>1.0727004327418875E-10</v>
      </c>
      <c r="AJ62" s="49">
        <f>IF(Z62=".",".",s_RadSpec!$L$27*AJ27*$B$62)</f>
        <v>8.7821541878350165E-11</v>
      </c>
      <c r="AK62" s="60" t="str">
        <f>IFERROR(AK27/$B62,".")</f>
        <v>.</v>
      </c>
      <c r="AL62" s="60">
        <f>IFERROR(AL27/$B62,".")</f>
        <v>5132094414177.8936</v>
      </c>
      <c r="AM62" s="60">
        <f>IFERROR(AM27/$B62,".")</f>
        <v>5132094414177.8936</v>
      </c>
      <c r="AN62" s="189">
        <f t="shared" ref="AN62" si="201">IFERROR(AN27/$B62,0)</f>
        <v>2.365450274735694E-5</v>
      </c>
      <c r="AO62" s="49" t="str">
        <f>IF(AK62=".",".",s_RadSpec!$H$27*AO27*$B$62)</f>
        <v>.</v>
      </c>
      <c r="AP62" s="49">
        <f>IF(AL62=".",".",s_RadSpec!$K$27*AP27*$B$62)</f>
        <v>4.8713055494332189E-12</v>
      </c>
      <c r="AQ62" s="49">
        <f t="shared" si="149"/>
        <v>4.8713055494332189E-12</v>
      </c>
      <c r="AR62" s="60" t="str">
        <f>IFERROR(AR27/$B62,".")</f>
        <v>.</v>
      </c>
      <c r="AS62" s="60">
        <f>IFERROR(AS27/$B62,".")</f>
        <v>2680844055827.1372</v>
      </c>
      <c r="AT62" s="63" t="str">
        <f>IFERROR(AT27/$B62,".")</f>
        <v>.</v>
      </c>
      <c r="AU62" s="63" t="str">
        <f>IFERROR(AU27/$B62,".")</f>
        <v>.</v>
      </c>
      <c r="AV62" s="233">
        <f t="shared" si="54"/>
        <v>0</v>
      </c>
      <c r="AW62" s="233">
        <f t="shared" si="55"/>
        <v>3.7301684811780813E-13</v>
      </c>
      <c r="AX62" s="233">
        <f t="shared" si="56"/>
        <v>0</v>
      </c>
      <c r="AY62" s="233">
        <f t="shared" si="57"/>
        <v>0</v>
      </c>
      <c r="AZ62" s="63">
        <f>IFERROR(AZ27/$B62,".")</f>
        <v>2680844055827.1372</v>
      </c>
      <c r="BA62" s="189">
        <f t="shared" ref="BA62" si="202">IFERROR(BA27/$B62,0)</f>
        <v>1.2356365250921979E-5</v>
      </c>
      <c r="BB62" s="49" t="str">
        <f>IF(AR62=".",".",s_RadSpec!$I$27*BB27*$B$62)</f>
        <v>.</v>
      </c>
      <c r="BC62" s="49">
        <f>IF(AS62=".",".",s_RadSpec!$M$27*BC27*$B$62)</f>
        <v>9.3254212029452056E-12</v>
      </c>
      <c r="BD62" s="49" t="str">
        <f>IF(AT62=".",".",s_RadSpec!$F$27*BD27*$B$62)</f>
        <v>.</v>
      </c>
      <c r="BE62" s="49" t="str">
        <f>IF(AU62=".",".",s_RadSpec!$F$27*BE27*$B$62)</f>
        <v>.</v>
      </c>
      <c r="BF62" s="49">
        <f t="shared" si="60"/>
        <v>9.3254212029452056E-12</v>
      </c>
      <c r="BG62" s="63" t="str">
        <f>IFERROR(BG27/$B62,".")</f>
        <v>.</v>
      </c>
      <c r="BH62" s="63" t="str">
        <f>IFERROR(BH27/$B62,".")</f>
        <v>.</v>
      </c>
      <c r="BI62" s="189">
        <f t="shared" ref="BI62:BJ62" si="203">IFERROR(BI27/$B62,0)</f>
        <v>0</v>
      </c>
      <c r="BJ62" s="189">
        <f t="shared" si="203"/>
        <v>0</v>
      </c>
      <c r="BK62" s="49" t="str">
        <f>IF(BG62=".",".",s_RadSpec!$F$27*BK27*$B$62)</f>
        <v>.</v>
      </c>
      <c r="BL62" s="49" t="str">
        <f>IF(BH62=".",".",s_RadSpec!$F$27*BL27*$B$62)</f>
        <v>.</v>
      </c>
    </row>
    <row r="63" spans="1:64" x14ac:dyDescent="0.25">
      <c r="A63" s="57" t="s">
        <v>23</v>
      </c>
      <c r="B63" s="57" t="s">
        <v>1185</v>
      </c>
      <c r="C63" s="57"/>
      <c r="D63" s="58">
        <f>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161.14858437338413</v>
      </c>
      <c r="E63" s="58">
        <f>IFERROR(1/SUM(IFERROR(1/SUMIF(E64,"&lt;&gt;.",E64),0),IFERROR(1/SUMIF(E65,"&lt;&gt;.",E65),0),IFERROR(1/SUMIF(E66,"&lt;&gt;.",E66),0),IFERROR(1/SUMIF(E67,"&lt;&gt;.",E67),0),IFERROR(1/SUMIF(E68,"&lt;&gt;.",E68),0),IFERROR(1/SUMIF(E69,"&lt;&gt;.",E69),0),IFERROR(1/SUMIF(E70,"&lt;&gt;.",E70),0),IFERROR(1/SUMIF(E71,"&lt;&gt;.",E71),0),IFERROR(1/SUMIF(E72,"&lt;&gt;.",E72),0),IFERROR(1/SUMIF(E73,"&lt;&gt;.",E73),0),IFERROR(1/SUMIF(E74,"&lt;&gt;.",E74),0),IFERROR(1/SUMIF(E75,"&lt;&gt;.",E75),0),IFERROR(1/SUMIF(E76,"&lt;&gt;.",E76),0)),".")</f>
        <v>383711.10147128574</v>
      </c>
      <c r="F63" s="58">
        <f>IFERROR(1/SUM(IFERROR(1/SUMIF(F64,"&lt;&gt;.",F64),0),IFERROR(1/SUMIF(F65,"&lt;&gt;.",F65),0),IFERROR(1/SUMIF(F66,"&lt;&gt;.",F66),0),IFERROR(1/SUMIF(F67,"&lt;&gt;.",F67),0),IFERROR(1/SUMIF(F68,"&lt;&gt;.",F68),0),IFERROR(1/SUMIF(F69,"&lt;&gt;.",F69),0),IFERROR(1/SUMIF(F70,"&lt;&gt;.",F70),0),IFERROR(1/SUMIF(F71,"&lt;&gt;.",F71),0),IFERROR(1/SUMIF(F72,"&lt;&gt;.",F72),0),IFERROR(1/SUMIF(F73,"&lt;&gt;.",F73),0),IFERROR(1/SUMIF(F74,"&lt;&gt;.",F74),0),IFERROR(1/SUMIF(F75,"&lt;&gt;.",F75),0),IFERROR(1/SUMIF(F76,"&lt;&gt;.",F76),0)),".")</f>
        <v>135.3506269513897</v>
      </c>
      <c r="G63" s="61">
        <f>IFERROR(1/SUM(IFERROR(1/SUMIF(G64,"&lt;&gt;.",G64),0),IFERROR(1/SUMIF(G65,"&lt;&gt;.",G65),0),IFERROR(1/SUMIF(G66,"&lt;&gt;.",G66),0),IFERROR(1/SUMIF(G67,"&lt;&gt;.",G67),0),IFERROR(1/SUMIF(G68,"&lt;&gt;.",G68),0),IFERROR(1/SUMIF(G69,"&lt;&gt;.",G69),0),IFERROR(1/SUMIF(G70,"&lt;&gt;.",G70),0),IFERROR(1/SUMIF(G71,"&lt;&gt;.",G71),0),IFERROR(1/SUMIF(G72,"&lt;&gt;.",G72),0),IFERROR(1/SUMIF(G73,"&lt;&gt;.",G73),0),IFERROR(1/SUMIF(G74,"&lt;&gt;.",G74),0),IFERROR(1/SUMIF(G75,"&lt;&gt;.",G75),0),IFERROR(1/SUMIF(G76,"&lt;&gt;.",G76),0)),".")</f>
        <v>513.54763194951147</v>
      </c>
      <c r="H63" s="61">
        <f>IFERROR(1/SUM(IFERROR(1/SUMIF(H64,"&lt;&gt;.",H64),0),IFERROR(1/SUMIF(H65,"&lt;&gt;.",H65),0),IFERROR(1/SUMIF(H66,"&lt;&gt;.",H66),0),IFERROR(1/SUMIF(H67,"&lt;&gt;.",H67),0),IFERROR(1/SUMIF(H68,"&lt;&gt;.",H68),0),IFERROR(1/SUMIF(H69,"&lt;&gt;.",H69),0),IFERROR(1/SUMIF(H70,"&lt;&gt;.",H70),0),IFERROR(1/SUMIF(H71,"&lt;&gt;.",H71),0),IFERROR(1/SUMIF(H72,"&lt;&gt;.",H72),0),IFERROR(1/SUMIF(H73,"&lt;&gt;.",H73),0),IFERROR(1/SUMIF(H74,"&lt;&gt;.",H74),0),IFERROR(1/SUMIF(H75,"&lt;&gt;.",H75),0),IFERROR(1/SUMIF(H76,"&lt;&gt;.",H76),0)),".")</f>
        <v>0.73104906254382263</v>
      </c>
      <c r="I63" s="233">
        <f t="shared" si="13"/>
        <v>6.2054532088409928E-3</v>
      </c>
      <c r="J63" s="233">
        <f t="shared" si="14"/>
        <v>2.6061273603125946E-6</v>
      </c>
      <c r="K63" s="233">
        <f t="shared" si="15"/>
        <v>7.3882184554574949E-3</v>
      </c>
      <c r="L63" s="233">
        <f t="shared" si="16"/>
        <v>1.9472390442223152E-3</v>
      </c>
      <c r="M63" s="233">
        <f t="shared" si="17"/>
        <v>1.3678972468965518</v>
      </c>
      <c r="N63" s="58">
        <f>IFERROR(1/SUM(IFERROR(1/SUMIF(N64,"&lt;&gt;.",N64),0),IFERROR(1/SUMIF(N65,"&lt;&gt;.",N65),0),IFERROR(1/SUMIF(N66,"&lt;&gt;.",N66),0),IFERROR(1/SUMIF(N67,"&lt;&gt;.",N67),0),IFERROR(1/SUMIF(N68,"&lt;&gt;.",N68),0),IFERROR(1/SUMIF(N69,"&lt;&gt;.",N69),0),IFERROR(1/SUMIF(N70,"&lt;&gt;.",N70),0),IFERROR(1/SUMIF(N71,"&lt;&gt;.",N71),0),IFERROR(1/SUMIF(N72,"&lt;&gt;.",N72),0),IFERROR(1/SUMIF(N73,"&lt;&gt;.",N73),0),IFERROR(1/SUMIF(N74,"&lt;&gt;.",N74),0),IFERROR(1/SUMIF(N75,"&lt;&gt;.",N75),0),IFERROR(1/SUMIF(N76,"&lt;&gt;.",N76),0)),".")</f>
        <v>0.72283543048280952</v>
      </c>
      <c r="O63" s="190">
        <f>N63*(0.0000000000028)*s_RadSpec!$AY25*s_RadSpec!$AF25</f>
        <v>4.7067232999154832E-12</v>
      </c>
      <c r="P63" s="47">
        <f>IFERROR(SUM(P64:P76),".")</f>
        <v>0.15513633022102483</v>
      </c>
      <c r="Q63" s="47">
        <f t="shared" ref="Q63:U63" si="204">IFERROR(SUM(Q64:Q76),".")</f>
        <v>6.5153184007814849E-5</v>
      </c>
      <c r="R63" s="47">
        <f t="shared" si="204"/>
        <v>0.1847054613864374</v>
      </c>
      <c r="S63" s="47">
        <f t="shared" si="204"/>
        <v>4.8680976105557883E-2</v>
      </c>
      <c r="T63" s="47">
        <f t="shared" si="204"/>
        <v>34.197431172413793</v>
      </c>
      <c r="U63" s="47">
        <f t="shared" si="204"/>
        <v>34.586019093310817</v>
      </c>
      <c r="V63" s="59">
        <f>IFERROR(1/SUM(IFERROR(1/SUMIF(V64,"&lt;&gt;.",V64),0),IFERROR(1/SUMIF(V65,"&lt;&gt;.",V65),0),IFERROR(1/SUMIF(V66,"&lt;&gt;.",V66),0),IFERROR(1/SUMIF(V67,"&lt;&gt;.",V67),0),IFERROR(1/SUMIF(V68,"&lt;&gt;.",V68),0),IFERROR(1/SUMIF(V69,"&lt;&gt;.",V69),0),IFERROR(1/SUMIF(V70,"&lt;&gt;.",V70),0),IFERROR(1/SUMIF(V71,"&lt;&gt;.",V71),0),IFERROR(1/SUMIF(V72,"&lt;&gt;.",V72),0),IFERROR(1/SUMIF(V73,"&lt;&gt;.",V73),0),IFERROR(1/SUMIF(V74,"&lt;&gt;.",V74),0),IFERROR(1/SUMIF(V75,"&lt;&gt;.",V75),0),IFERROR(1/SUMIF(V76,"&lt;&gt;.",V76),0)),".")</f>
        <v>135.3506269513897</v>
      </c>
      <c r="W63" s="59">
        <f>IFERROR(1/SUM(IFERROR(1/SUMIF(W64,"&lt;&gt;.",W64),0),IFERROR(1/SUMIF(W65,"&lt;&gt;.",W65),0),IFERROR(1/SUMIF(W66,"&lt;&gt;.",W66),0),IFERROR(1/SUMIF(W67,"&lt;&gt;.",W67),0),IFERROR(1/SUMIF(W68,"&lt;&gt;.",W68),0),IFERROR(1/SUMIF(W69,"&lt;&gt;.",W69),0),IFERROR(1/SUMIF(W70,"&lt;&gt;.",W70),0),IFERROR(1/SUMIF(W71,"&lt;&gt;.",W71),0),IFERROR(1/SUMIF(W72,"&lt;&gt;.",W72),0),IFERROR(1/SUMIF(W73,"&lt;&gt;.",W73),0),IFERROR(1/SUMIF(W74,"&lt;&gt;.",W74),0),IFERROR(1/SUMIF(W75,"&lt;&gt;.",W75),0),IFERROR(1/SUMIF(W76,"&lt;&gt;.",W76),0)),".")</f>
        <v>1519.5705087968333</v>
      </c>
      <c r="X63" s="59">
        <f>IFERROR(1/SUM(IFERROR(1/SUMIF(X64,"&lt;&gt;.",X64),0),IFERROR(1/SUMIF(X65,"&lt;&gt;.",X65),0),IFERROR(1/SUMIF(X66,"&lt;&gt;.",X66),0),IFERROR(1/SUMIF(X67,"&lt;&gt;.",X67),0),IFERROR(1/SUMIF(X68,"&lt;&gt;.",X68),0),IFERROR(1/SUMIF(X69,"&lt;&gt;.",X69),0),IFERROR(1/SUMIF(X70,"&lt;&gt;.",X70),0),IFERROR(1/SUMIF(X71,"&lt;&gt;.",X71),0),IFERROR(1/SUMIF(X72,"&lt;&gt;.",X72),0),IFERROR(1/SUMIF(X73,"&lt;&gt;.",X73),0),IFERROR(1/SUMIF(X74,"&lt;&gt;.",X74),0),IFERROR(1/SUMIF(X75,"&lt;&gt;.",X75),0),IFERROR(1/SUMIF(X76,"&lt;&gt;.",X76),0)),".")</f>
        <v>372.3950390779429</v>
      </c>
      <c r="Y63" s="59">
        <f>IFERROR(1/SUM(IFERROR(1/SUMIF(Y64,"&lt;&gt;.",Y64),0),IFERROR(1/SUMIF(Y65,"&lt;&gt;.",Y65),0),IFERROR(1/SUMIF(Y66,"&lt;&gt;.",Y66),0),IFERROR(1/SUMIF(Y67,"&lt;&gt;.",Y67),0),IFERROR(1/SUMIF(Y68,"&lt;&gt;.",Y68),0),IFERROR(1/SUMIF(Y69,"&lt;&gt;.",Y69),0),IFERROR(1/SUMIF(Y70,"&lt;&gt;.",Y70),0),IFERROR(1/SUMIF(Y71,"&lt;&gt;.",Y71),0),IFERROR(1/SUMIF(Y72,"&lt;&gt;.",Y72),0),IFERROR(1/SUMIF(Y73,"&lt;&gt;.",Y73),0),IFERROR(1/SUMIF(Y74,"&lt;&gt;.",Y74),0),IFERROR(1/SUMIF(Y75,"&lt;&gt;.",Y75),0),IFERROR(1/SUMIF(Y76,"&lt;&gt;.",Y76),0)),".")</f>
        <v>191.43451175418826</v>
      </c>
      <c r="Z63" s="59">
        <f>IFERROR(1/SUM(IFERROR(1/SUMIF(Z64,"&lt;&gt;.",Z64),0),IFERROR(1/SUMIF(Z65,"&lt;&gt;.",Z65),0),IFERROR(1/SUMIF(Z66,"&lt;&gt;.",Z66),0),IFERROR(1/SUMIF(Z67,"&lt;&gt;.",Z67),0),IFERROR(1/SUMIF(Z68,"&lt;&gt;.",Z68),0),IFERROR(1/SUMIF(Z69,"&lt;&gt;.",Z69),0),IFERROR(1/SUMIF(Z70,"&lt;&gt;.",Z70),0),IFERROR(1/SUMIF(Z71,"&lt;&gt;.",Z71),0),IFERROR(1/SUMIF(Z72,"&lt;&gt;.",Z72),0),IFERROR(1/SUMIF(Z73,"&lt;&gt;.",Z73),0),IFERROR(1/SUMIF(Z74,"&lt;&gt;.",Z74),0),IFERROR(1/SUMIF(Z75,"&lt;&gt;.",Z75),0),IFERROR(1/SUMIF(Z76,"&lt;&gt;.",Z76),0)),".")</f>
        <v>2634.7740558602718</v>
      </c>
      <c r="AA63" s="190">
        <f>V63*(0.0000000000028)*s_RadSpec!$AY25*s_RadSpec!$AF25</f>
        <v>8.8133193623998079E-10</v>
      </c>
      <c r="AB63" s="190">
        <f>W63*(0.0000000000028)*s_RadSpec!$AY25*s_RadSpec!$AF25</f>
        <v>9.8946421522825118E-9</v>
      </c>
      <c r="AC63" s="190">
        <f>X63*(0.0000000000028)*s_RadSpec!$AY25*s_RadSpec!$AF25</f>
        <v>2.4248401963782473E-9</v>
      </c>
      <c r="AD63" s="190">
        <f>Y63*(0.0000000000028)*s_RadSpec!$AY25*s_RadSpec!$AF25</f>
        <v>1.2465206309540615E-9</v>
      </c>
      <c r="AE63" s="190">
        <f>Z63*(0.0000000000000028)*s_RadSpec!$AY25*s_RadSpec!$AF25</f>
        <v>1.7156259800999455E-11</v>
      </c>
      <c r="AF63" s="47">
        <f t="shared" ref="AF63" si="205">IFERROR(SUM(AF64:AF76),".")</f>
        <v>0.1847054613864374</v>
      </c>
      <c r="AG63" s="47">
        <f t="shared" ref="AG63" si="206">IFERROR(SUM(AG64:AG76),".")</f>
        <v>1.6452017103039545E-2</v>
      </c>
      <c r="AH63" s="47">
        <f t="shared" ref="AH63" si="207">IFERROR(SUM(AH64:AH76),".")</f>
        <v>6.7133010315874431E-2</v>
      </c>
      <c r="AI63" s="47">
        <f t="shared" ref="AI63" si="208">IFERROR(SUM(AI64:AI76),".")</f>
        <v>0.1305929624231042</v>
      </c>
      <c r="AJ63" s="47">
        <f t="shared" ref="AJ63" si="209">IFERROR(SUM(AJ64:AJ76),".")</f>
        <v>9.4884796456815457E-3</v>
      </c>
      <c r="AK63" s="58">
        <f>IFERROR(1/SUM(IFERROR(1/SUMIF(AK64,"&lt;&gt;.",AK64),0),IFERROR(1/SUMIF(AK65,"&lt;&gt;.",AK65),0),IFERROR(1/SUMIF(AK66,"&lt;&gt;.",AK66),0),IFERROR(1/SUMIF(AK67,"&lt;&gt;.",AK67),0),IFERROR(1/SUMIF(AK68,"&lt;&gt;.",AK68),0),IFERROR(1/SUMIF(AK69,"&lt;&gt;.",AK69),0),IFERROR(1/SUMIF(AK70,"&lt;&gt;.",AK70),0),IFERROR(1/SUMIF(AK71,"&lt;&gt;.",AK71),0),IFERROR(1/SUMIF(AK72,"&lt;&gt;.",AK72),0),IFERROR(1/SUMIF(AK73,"&lt;&gt;.",AK73),0),IFERROR(1/SUMIF(AK74,"&lt;&gt;.",AK74),0),IFERROR(1/SUMIF(AK75,"&lt;&gt;.",AK75),0),IFERROR(1/SUMIF(AK76,"&lt;&gt;.",AK76),0)),".")</f>
        <v>1.2385613809507516</v>
      </c>
      <c r="AL63" s="58">
        <f>IFERROR(1/SUM(IFERROR(1/SUMIF(AL64,"&lt;&gt;.",AL64),0),IFERROR(1/SUMIF(AL65,"&lt;&gt;.",AL65),0),IFERROR(1/SUMIF(AL66,"&lt;&gt;.",AL66),0),IFERROR(1/SUMIF(AL67,"&lt;&gt;.",AL67),0),IFERROR(1/SUMIF(AL68,"&lt;&gt;.",AL68),0),IFERROR(1/SUMIF(AL69,"&lt;&gt;.",AL69),0),IFERROR(1/SUMIF(AL70,"&lt;&gt;.",AL70),0),IFERROR(1/SUMIF(AL71,"&lt;&gt;.",AL71),0),IFERROR(1/SUMIF(AL72,"&lt;&gt;.",AL72),0),IFERROR(1/SUMIF(AL73,"&lt;&gt;.",AL73),0),IFERROR(1/SUMIF(AL74,"&lt;&gt;.",AL74),0),IFERROR(1/SUMIF(AL75,"&lt;&gt;.",AL75),0),IFERROR(1/SUMIF(AL76,"&lt;&gt;.",AL76),0)),".")</f>
        <v>33047.40933280818</v>
      </c>
      <c r="AM63" s="59">
        <f>IFERROR(1/SUM(IFERROR(1/SUMIF(AM64,"&lt;&gt;.",AM64),0),IFERROR(1/SUMIF(AM65,"&lt;&gt;.",AM65),0),IFERROR(1/SUMIF(AM66,"&lt;&gt;.",AM66),0),IFERROR(1/SUMIF(AM67,"&lt;&gt;.",AM67),0),IFERROR(1/SUMIF(AM68,"&lt;&gt;.",AM68),0),IFERROR(1/SUMIF(AM69,"&lt;&gt;.",AM69),0),IFERROR(1/SUMIF(AM70,"&lt;&gt;.",AM70),0),IFERROR(1/SUMIF(AM71,"&lt;&gt;.",AM71),0),IFERROR(1/SUMIF(AM72,"&lt;&gt;.",AM72),0),IFERROR(1/SUMIF(AM73,"&lt;&gt;.",AM73),0),IFERROR(1/SUMIF(AM74,"&lt;&gt;.",AM74),0),IFERROR(1/SUMIF(AM75,"&lt;&gt;.",AM75),0),IFERROR(1/SUMIF(AM76,"&lt;&gt;.",AM76),0)),".")</f>
        <v>1.23851496349067</v>
      </c>
      <c r="AN63" s="190">
        <f>AM63*(0.0000000000000028)*s_RadSpec!$AY25*s_RadSpec!$AF25</f>
        <v>8.0645565921718391E-15</v>
      </c>
      <c r="AO63" s="47">
        <f t="shared" ref="AO63" si="210">IFERROR(SUM(AO64:AO76),".")</f>
        <v>20.184708149715885</v>
      </c>
      <c r="AP63" s="47">
        <f t="shared" ref="AP63" si="211">IFERROR(SUM(AP64:AP76),".")</f>
        <v>7.564889504116432E-4</v>
      </c>
      <c r="AQ63" s="47">
        <f t="shared" ref="AQ63" si="212">IFERROR(SUM(AQ64:AQ76),".")</f>
        <v>20.185464638666293</v>
      </c>
      <c r="AR63" s="58">
        <f>IFERROR(1/SUM(IFERROR(1/SUMIF(AR64,"&lt;&gt;.",AR64),0),IFERROR(1/SUMIF(AR65,"&lt;&gt;.",AR65),0),IFERROR(1/SUMIF(AR66,"&lt;&gt;.",AR66),0),IFERROR(1/SUMIF(AR67,"&lt;&gt;.",AR67),0),IFERROR(1/SUMIF(AR68,"&lt;&gt;.",AR68),0),IFERROR(1/SUMIF(AR69,"&lt;&gt;.",AR69),0),IFERROR(1/SUMIF(AR70,"&lt;&gt;.",AR70),0),IFERROR(1/SUMIF(AR71,"&lt;&gt;.",AR71),0),IFERROR(1/SUMIF(AR72,"&lt;&gt;.",AR72),0),IFERROR(1/SUMIF(AR73,"&lt;&gt;.",AR73),0),IFERROR(1/SUMIF(AR74,"&lt;&gt;.",AR74),0),IFERROR(1/SUMIF(AR75,"&lt;&gt;.",AR75),0),IFERROR(1/SUMIF(AR76,"&lt;&gt;.",AR76),0)),".")</f>
        <v>1.1078965175670159</v>
      </c>
      <c r="AS63" s="58">
        <f>IFERROR(1/SUM(IFERROR(1/SUMIF(AS64,"&lt;&gt;.",AS64),0),IFERROR(1/SUMIF(AS65,"&lt;&gt;.",AS65),0),IFERROR(1/SUMIF(AS66,"&lt;&gt;.",AS66),0),IFERROR(1/SUMIF(AS67,"&lt;&gt;.",AS67),0),IFERROR(1/SUMIF(AS68,"&lt;&gt;.",AS68),0),IFERROR(1/SUMIF(AS69,"&lt;&gt;.",AS69),0),IFERROR(1/SUMIF(AS70,"&lt;&gt;.",AS70),0),IFERROR(1/SUMIF(AS71,"&lt;&gt;.",AS71),0),IFERROR(1/SUMIF(AS72,"&lt;&gt;.",AS72),0),IFERROR(1/SUMIF(AS73,"&lt;&gt;.",AS73),0),IFERROR(1/SUMIF(AS74,"&lt;&gt;.",AS74),0),IFERROR(1/SUMIF(AS75,"&lt;&gt;.",AS75),0),IFERROR(1/SUMIF(AS76,"&lt;&gt;.",AS76),0)),".")</f>
        <v>9546.471811744721</v>
      </c>
      <c r="AT63" s="61">
        <f>IFERROR(1/SUM(IFERROR(1/SUMIF(AT64,"&lt;&gt;.",AT64),0),IFERROR(1/SUMIF(AT65,"&lt;&gt;.",AT65),0),IFERROR(1/SUMIF(AT66,"&lt;&gt;.",AT66),0),IFERROR(1/SUMIF(AT67,"&lt;&gt;.",AT67),0),IFERROR(1/SUMIF(AT68,"&lt;&gt;.",AT68),0),IFERROR(1/SUMIF(AT69,"&lt;&gt;.",AT69),0),IFERROR(1/SUMIF(AT70,"&lt;&gt;.",AT70),0),IFERROR(1/SUMIF(AT71,"&lt;&gt;.",AT71),0),IFERROR(1/SUMIF(AT72,"&lt;&gt;.",AT72),0),IFERROR(1/SUMIF(AT73,"&lt;&gt;.",AT73),0),IFERROR(1/SUMIF(AT74,"&lt;&gt;.",AT74),0),IFERROR(1/SUMIF(AT75,"&lt;&gt;.",AT75),0),IFERROR(1/SUMIF(AT76,"&lt;&gt;.",AT76),0)),".")</f>
        <v>2058467.7549659219</v>
      </c>
      <c r="AU63" s="61">
        <f>IFERROR(1/SUM(IFERROR(1/SUMIF(AU64,"&lt;&gt;.",AU64),0),IFERROR(1/SUMIF(AU65,"&lt;&gt;.",AU65),0),IFERROR(1/SUMIF(AU66,"&lt;&gt;.",AU66),0),IFERROR(1/SUMIF(AU67,"&lt;&gt;.",AU67),0),IFERROR(1/SUMIF(AU68,"&lt;&gt;.",AU68),0),IFERROR(1/SUMIF(AU69,"&lt;&gt;.",AU69),0),IFERROR(1/SUMIF(AU70,"&lt;&gt;.",AU70),0),IFERROR(1/SUMIF(AU71,"&lt;&gt;.",AU71),0),IFERROR(1/SUMIF(AU72,"&lt;&gt;.",AU72),0),IFERROR(1/SUMIF(AU73,"&lt;&gt;.",AU73),0),IFERROR(1/SUMIF(AU74,"&lt;&gt;.",AU74),0),IFERROR(1/SUMIF(AU75,"&lt;&gt;.",AU75),0),IFERROR(1/SUMIF(AU76,"&lt;&gt;.",AU76),0)),".")</f>
        <v>2925.0029250029256</v>
      </c>
      <c r="AV63" s="233">
        <f t="shared" si="54"/>
        <v>0.90261137583141715</v>
      </c>
      <c r="AW63" s="233">
        <f t="shared" si="55"/>
        <v>1.0475074139639022E-4</v>
      </c>
      <c r="AX63" s="233">
        <f t="shared" si="56"/>
        <v>4.8579823394734454E-7</v>
      </c>
      <c r="AY63" s="233">
        <f t="shared" si="57"/>
        <v>3.4187999999999992E-4</v>
      </c>
      <c r="AZ63" s="58">
        <f>IFERROR(1/SUM(IFERROR(1/SUMIF(AZ64,"&lt;&gt;.",AZ64),0),IFERROR(1/SUMIF(AZ65,"&lt;&gt;.",AZ65),0),IFERROR(1/SUMIF(AZ66,"&lt;&gt;.",AZ66),0),IFERROR(1/SUMIF(AZ67,"&lt;&gt;.",AZ67),0),IFERROR(1/SUMIF(AZ68,"&lt;&gt;.",AZ68),0),IFERROR(1/SUMIF(AZ69,"&lt;&gt;.",AZ69),0),IFERROR(1/SUMIF(AZ70,"&lt;&gt;.",AZ70),0),IFERROR(1/SUMIF(AZ71,"&lt;&gt;.",AZ71),0),IFERROR(1/SUMIF(AZ72,"&lt;&gt;.",AZ72),0),IFERROR(1/SUMIF(AZ73,"&lt;&gt;.",AZ73),0),IFERROR(1/SUMIF(AZ74,"&lt;&gt;.",AZ74),0),IFERROR(1/SUMIF(AZ75,"&lt;&gt;.",AZ75),0),IFERROR(1/SUMIF(AZ76,"&lt;&gt;.",AZ76),0)),".")</f>
        <v>1.1073479829356625</v>
      </c>
      <c r="BA63" s="190">
        <f>AZ63*(0.0000000000000028)*s_RadSpec!$AY25*s_RadSpec!$AF25</f>
        <v>7.2104663559676567E-15</v>
      </c>
      <c r="BB63" s="47">
        <f t="shared" ref="BB63" si="213">IFERROR(SUM(BB64:BB76),".")</f>
        <v>22.565284395785426</v>
      </c>
      <c r="BC63" s="47">
        <f t="shared" ref="BC63" si="214">IFERROR(SUM(BC64:BC76),".")</f>
        <v>2.6187685349097554E-3</v>
      </c>
      <c r="BD63" s="47">
        <f t="shared" ref="BD63" si="215">IFERROR(SUM(BD64:BD76),".")</f>
        <v>1.2144955848683613E-5</v>
      </c>
      <c r="BE63" s="47">
        <f t="shared" ref="BE63" si="216">IFERROR(SUM(BE64:BE76),".")</f>
        <v>8.5470000000000008E-3</v>
      </c>
      <c r="BF63" s="47">
        <f t="shared" ref="BF63" si="217">IFERROR(SUM(BF64:BF76),".")</f>
        <v>22.576462309276184</v>
      </c>
      <c r="BG63" s="61">
        <f>IFERROR(1/SUM(IFERROR(1/SUMIF(BG64,"&lt;&gt;.",BG64),0),IFERROR(1/SUMIF(BG65,"&lt;&gt;.",BG65),0),IFERROR(1/SUMIF(BG66,"&lt;&gt;.",BG66),0),IFERROR(1/SUMIF(BG67,"&lt;&gt;.",BG67),0),IFERROR(1/SUMIF(BG68,"&lt;&gt;.",BG68),0),IFERROR(1/SUMIF(BG69,"&lt;&gt;.",BG69),0),IFERROR(1/SUMIF(BG70,"&lt;&gt;.",BG70),0),IFERROR(1/SUMIF(BG71,"&lt;&gt;.",BG71),0),IFERROR(1/SUMIF(BG72,"&lt;&gt;.",BG72),0),IFERROR(1/SUMIF(BG73,"&lt;&gt;.",BG73),0),IFERROR(1/SUMIF(BG74,"&lt;&gt;.",BG74),0),IFERROR(1/SUMIF(BG75,"&lt;&gt;.",BG75),0),IFERROR(1/SUMIF(BG76,"&lt;&gt;.",BG76),0)),".")</f>
        <v>8.8631721405361272</v>
      </c>
      <c r="BH63" s="61">
        <f>IFERROR(1/SUM(IFERROR(1/SUMIF(BH64,"&lt;&gt;.",BH64),0),IFERROR(1/SUMIF(BH65,"&lt;&gt;.",BH65),0),IFERROR(1/SUMIF(BH66,"&lt;&gt;.",BH66),0),IFERROR(1/SUMIF(BH67,"&lt;&gt;.",BH67),0),IFERROR(1/SUMIF(BH68,"&lt;&gt;.",BH68),0),IFERROR(1/SUMIF(BH69,"&lt;&gt;.",BH69),0),IFERROR(1/SUMIF(BH70,"&lt;&gt;.",BH70),0),IFERROR(1/SUMIF(BH71,"&lt;&gt;.",BH71),0),IFERROR(1/SUMIF(BH72,"&lt;&gt;.",BH72),0),IFERROR(1/SUMIF(BH73,"&lt;&gt;.",BH73),0),IFERROR(1/SUMIF(BH74,"&lt;&gt;.",BH74),0),IFERROR(1/SUMIF(BH75,"&lt;&gt;.",BH75),0),IFERROR(1/SUMIF(BH76,"&lt;&gt;.",BH76),0)),".")</f>
        <v>8.8631721405361272</v>
      </c>
      <c r="BI63" s="190">
        <f>BG63*(0.0000000000028)*s_RadSpec!$AY25*s_RadSpec!$AF25</f>
        <v>5.7712304994733211E-11</v>
      </c>
      <c r="BJ63" s="190">
        <f>BH63*(0.0000000000028)*s_RadSpec!$AY25*s_RadSpec!$AF25</f>
        <v>5.7712304994733211E-11</v>
      </c>
      <c r="BK63" s="47">
        <f t="shared" ref="BK63" si="218">IFERROR(SUM(BK64:BK76),".")</f>
        <v>2.8206605494731782</v>
      </c>
      <c r="BL63" s="47">
        <f t="shared" ref="BL63" si="219">IFERROR(SUM(BL64:BL76),".")</f>
        <v>2.8206605494731782</v>
      </c>
    </row>
    <row r="64" spans="1:64" x14ac:dyDescent="0.25">
      <c r="A64" s="48" t="s">
        <v>1073</v>
      </c>
      <c r="B64" s="45">
        <v>1</v>
      </c>
      <c r="C64" s="170"/>
      <c r="D64" s="60" t="str">
        <f>IFERROR(D25/$B50,".")</f>
        <v>.</v>
      </c>
      <c r="E64" s="60">
        <f>IFERROR(E25/$B50,".")</f>
        <v>2358772355.1101465</v>
      </c>
      <c r="F64" s="60">
        <f>IFERROR(F25/$B50,".")</f>
        <v>1201490.4900999039</v>
      </c>
      <c r="G64" s="63" t="str">
        <f>IFERROR(G25/$B50,".")</f>
        <v>.</v>
      </c>
      <c r="H64" s="63" t="str">
        <f>IFERROR(H25/$B50,".")</f>
        <v>.</v>
      </c>
      <c r="I64" s="233">
        <f t="shared" si="13"/>
        <v>0</v>
      </c>
      <c r="J64" s="233">
        <f t="shared" si="14"/>
        <v>4.2394934713964948E-10</v>
      </c>
      <c r="K64" s="233">
        <f t="shared" si="15"/>
        <v>8.3229955479452032E-7</v>
      </c>
      <c r="L64" s="233">
        <f t="shared" si="16"/>
        <v>0</v>
      </c>
      <c r="M64" s="233">
        <f t="shared" si="17"/>
        <v>0</v>
      </c>
      <c r="N64" s="63">
        <f>IFERROR(N25/$B50,".")</f>
        <v>1200878.7971353857</v>
      </c>
      <c r="O64" s="189">
        <f>IFERROR(O25/$B50,0)</f>
        <v>7.8194897157659731E-6</v>
      </c>
      <c r="P64" s="49" t="str">
        <f>IF(D64=".",".",s_RadSpec!$E$25*P25*$B$64)</f>
        <v>.</v>
      </c>
      <c r="Q64" s="49">
        <f>IF(E64=".",".",s_RadSpec!$H$25*Q25*$B$64)</f>
        <v>1.0598733678491237E-8</v>
      </c>
      <c r="R64" s="49">
        <f>IF(F64=".",".",s_RadSpec!$G$25*R25*$B$64)</f>
        <v>2.0807488869863014E-5</v>
      </c>
      <c r="S64" s="49" t="str">
        <f>IF(G64=".",".",s_RadSpec!$F$25*S25*$B$64)</f>
        <v>.</v>
      </c>
      <c r="T64" s="49" t="str">
        <f>IF(H64=".",".",s_RadSpec!$F$25*T25*$B$64)</f>
        <v>.</v>
      </c>
      <c r="U64" s="49">
        <f t="shared" ref="U64:U76" si="220">IFERROR(SUM(P64:T64),".")</f>
        <v>2.0818087603541506E-5</v>
      </c>
      <c r="V64" s="60">
        <f>IFERROR(V25/$B50,".")</f>
        <v>1201490.4900999039</v>
      </c>
      <c r="W64" s="60">
        <f>IFERROR(W25/$B50,".")</f>
        <v>10393419.336553276</v>
      </c>
      <c r="X64" s="60">
        <f>IFERROR(X25/$B50,".")</f>
        <v>2614324.5539969378</v>
      </c>
      <c r="Y64" s="60">
        <f>IFERROR(Y25/$B50,".")</f>
        <v>1510707.7021317827</v>
      </c>
      <c r="Z64" s="60">
        <f>IFERROR(Z25/$B50,".")</f>
        <v>18890504.780894086</v>
      </c>
      <c r="AA64" s="189">
        <f t="shared" ref="AA64:AE64" si="221">IFERROR(AA25/$B50,0)</f>
        <v>7.8234727379133101E-6</v>
      </c>
      <c r="AB64" s="189">
        <f t="shared" si="221"/>
        <v>6.767646810626395E-5</v>
      </c>
      <c r="AC64" s="189">
        <f t="shared" si="221"/>
        <v>1.7023103424274078E-5</v>
      </c>
      <c r="AD64" s="189">
        <f t="shared" si="221"/>
        <v>9.8369322270714878E-6</v>
      </c>
      <c r="AE64" s="189">
        <f t="shared" si="221"/>
        <v>1.2300500950819613E-4</v>
      </c>
      <c r="AF64" s="49">
        <f>IF(V64=".",".",s_RadSpec!$G$25*AF25*$B$64)</f>
        <v>2.0807488869863014E-5</v>
      </c>
      <c r="AG64" s="49">
        <f>IF(W64=".",".",s_RadSpec!$N$25*AG25*$B$64)</f>
        <v>2.4053681652270022E-6</v>
      </c>
      <c r="AH64" s="49">
        <f>IF(X64=".",".",s_RadSpec!$O$25*AH25*$B$64)</f>
        <v>9.5626994597049887E-6</v>
      </c>
      <c r="AI64" s="49">
        <f>IF(Y64=".",".",s_RadSpec!$P$25*AI25*$B$64)</f>
        <v>1.6548535474282761E-5</v>
      </c>
      <c r="AJ64" s="49">
        <f>IF(Z64=".",".",s_RadSpec!$L$25*AJ25*$B$64)</f>
        <v>1.3234161971830986E-6</v>
      </c>
      <c r="AK64" s="60">
        <f>IFERROR(AK25/$B50,".")</f>
        <v>7613.7602855160121</v>
      </c>
      <c r="AL64" s="60">
        <f>IFERROR(AL25/$B50,".")</f>
        <v>157695615.31629637</v>
      </c>
      <c r="AM64" s="60">
        <f>IFERROR(AM25/$B50,".")</f>
        <v>7613.3927004892203</v>
      </c>
      <c r="AN64" s="189">
        <f t="shared" ref="AN64" si="222">IFERROR(AN25/$B50,0)</f>
        <v>4.9574400068995074E-11</v>
      </c>
      <c r="AO64" s="49">
        <f>IF(AK64=".",".",s_RadSpec!$H$25*AO25*$B$64)</f>
        <v>3.283528645833333E-3</v>
      </c>
      <c r="AP64" s="49">
        <f>IF(AL64=".",".",s_RadSpec!$K$25*AP25*$B$64)</f>
        <v>1.5853326010273972E-7</v>
      </c>
      <c r="AQ64" s="49">
        <f t="shared" ref="AQ64:AQ76" si="223">IFERROR(SUM(AO64:AP64),".")</f>
        <v>3.2836871790934358E-3</v>
      </c>
      <c r="AR64" s="60" t="str">
        <f>IFERROR(AR25/$B50,".")</f>
        <v>.</v>
      </c>
      <c r="AS64" s="60">
        <f>IFERROR(AS25/$B50,".")</f>
        <v>45347974.484240822</v>
      </c>
      <c r="AT64" s="63" t="str">
        <f>IFERROR(AT25/$B50,".")</f>
        <v>.</v>
      </c>
      <c r="AU64" s="63" t="str">
        <f>IFERROR(AU25/$B50,".")</f>
        <v>.</v>
      </c>
      <c r="AV64" s="233">
        <f t="shared" si="54"/>
        <v>0</v>
      </c>
      <c r="AW64" s="233">
        <f t="shared" si="55"/>
        <v>2.2051701567123282E-8</v>
      </c>
      <c r="AX64" s="233">
        <f t="shared" si="56"/>
        <v>0</v>
      </c>
      <c r="AY64" s="233">
        <f t="shared" si="57"/>
        <v>0</v>
      </c>
      <c r="AZ64" s="63">
        <f>IFERROR(AZ25/$B50,".")</f>
        <v>45347974.484240822</v>
      </c>
      <c r="BA64" s="189">
        <f t="shared" ref="BA64" si="224">IFERROR(BA25/$B50,0)</f>
        <v>2.9528210586797615E-7</v>
      </c>
      <c r="BB64" s="49" t="str">
        <f>IF(AR64=".",".",s_RadSpec!$I$25*BB25*$B$64)</f>
        <v>.</v>
      </c>
      <c r="BC64" s="49">
        <f>IF(AS64=".",".",s_RadSpec!$M$25*BC25*$B$64)</f>
        <v>5.5129253917808207E-7</v>
      </c>
      <c r="BD64" s="49" t="str">
        <f>IF(AT64=".",".",s_RadSpec!$F$25*BD25*$B$64)</f>
        <v>.</v>
      </c>
      <c r="BE64" s="49" t="str">
        <f>IF(AU64=".",".",s_RadSpec!$F$25*BE25*$B$64)</f>
        <v>.</v>
      </c>
      <c r="BF64" s="49">
        <f t="shared" si="60"/>
        <v>5.5129253917808207E-7</v>
      </c>
      <c r="BG64" s="63" t="str">
        <f>IFERROR(BG25/$B50,".")</f>
        <v>.</v>
      </c>
      <c r="BH64" s="63" t="str">
        <f>IFERROR(BH25/$B50,".")</f>
        <v>.</v>
      </c>
      <c r="BI64" s="189">
        <f t="shared" ref="BI64:BJ64" si="225">IFERROR(BI25/$B50,0)</f>
        <v>0</v>
      </c>
      <c r="BJ64" s="189">
        <f t="shared" si="225"/>
        <v>0</v>
      </c>
      <c r="BK64" s="49" t="str">
        <f>IF(BG64=".",".",s_RadSpec!$F$25*BK25*$B$64)</f>
        <v>.</v>
      </c>
      <c r="BL64" s="49" t="str">
        <f>IF(BH64=".",".",s_RadSpec!$F$25*BL25*$B$64)</f>
        <v>.</v>
      </c>
    </row>
    <row r="65" spans="1:64" x14ac:dyDescent="0.25">
      <c r="A65" s="48" t="s">
        <v>1059</v>
      </c>
      <c r="B65" s="45">
        <v>1</v>
      </c>
      <c r="C65" s="170"/>
      <c r="D65" s="60" t="str">
        <f>IFERROR(D21/$B51,".")</f>
        <v>.</v>
      </c>
      <c r="E65" s="60">
        <f>IFERROR(E21/$B51,".")</f>
        <v>2027553664.8256507</v>
      </c>
      <c r="F65" s="60" t="str">
        <f>IFERROR(F21/$B51,".")</f>
        <v>.</v>
      </c>
      <c r="G65" s="63" t="str">
        <f>IFERROR(G21/$B51,".")</f>
        <v>.</v>
      </c>
      <c r="H65" s="63" t="str">
        <f>IFERROR(H21/$B51,".")</f>
        <v>.</v>
      </c>
      <c r="I65" s="233">
        <f t="shared" si="13"/>
        <v>0</v>
      </c>
      <c r="J65" s="233">
        <f t="shared" si="14"/>
        <v>4.9320519468765329E-10</v>
      </c>
      <c r="K65" s="233">
        <f t="shared" si="15"/>
        <v>0</v>
      </c>
      <c r="L65" s="233">
        <f t="shared" si="16"/>
        <v>0</v>
      </c>
      <c r="M65" s="233">
        <f t="shared" si="17"/>
        <v>0</v>
      </c>
      <c r="N65" s="63">
        <f>IFERROR(N21/$B51,".")</f>
        <v>2027553664.8256507</v>
      </c>
      <c r="O65" s="189">
        <f>IFERROR(O21/$B51,0)</f>
        <v>7.2995018012360878E-6</v>
      </c>
      <c r="P65" s="49" t="str">
        <f>IF(D65=".",".",s_RadSpec!$E$21*P21*$B$65)</f>
        <v>.</v>
      </c>
      <c r="Q65" s="49">
        <f>IF(E65=".",".",s_RadSpec!$H$21*Q21*$B$65)</f>
        <v>1.2330129867191332E-8</v>
      </c>
      <c r="R65" s="49" t="str">
        <f>IF(F65=".",".",s_RadSpec!$G$21*R21*$B$65)</f>
        <v>.</v>
      </c>
      <c r="S65" s="49" t="str">
        <f>IF(G65=".",".",s_RadSpec!$F$21*S21*$B$65)</f>
        <v>.</v>
      </c>
      <c r="T65" s="49" t="str">
        <f>IF(H65=".",".",s_RadSpec!$F$21*T21*$B$65)</f>
        <v>.</v>
      </c>
      <c r="U65" s="49">
        <f t="shared" si="220"/>
        <v>1.2330129867191332E-8</v>
      </c>
      <c r="V65" s="60" t="str">
        <f>IFERROR(V21/$B51,".")</f>
        <v>.</v>
      </c>
      <c r="W65" s="60" t="str">
        <f>IFERROR(W21/$B51,".")</f>
        <v>.</v>
      </c>
      <c r="X65" s="60" t="str">
        <f>IFERROR(X21/$B51,".")</f>
        <v>.</v>
      </c>
      <c r="Y65" s="60" t="str">
        <f>IFERROR(Y21/$B51,".")</f>
        <v>.</v>
      </c>
      <c r="Z65" s="60" t="str">
        <f>IFERROR(Z21/$B51,".")</f>
        <v>.</v>
      </c>
      <c r="AA65" s="189">
        <f t="shared" ref="AA65:AE65" si="226">IFERROR(AA21/$B51,0)</f>
        <v>0</v>
      </c>
      <c r="AB65" s="189">
        <f t="shared" si="226"/>
        <v>0</v>
      </c>
      <c r="AC65" s="189">
        <f t="shared" si="226"/>
        <v>0</v>
      </c>
      <c r="AD65" s="189">
        <f t="shared" si="226"/>
        <v>0</v>
      </c>
      <c r="AE65" s="189">
        <f t="shared" si="226"/>
        <v>0</v>
      </c>
      <c r="AF65" s="49" t="str">
        <f>IF(V65=".",".",s_RadSpec!$G$21*AF21*$B$65)</f>
        <v>.</v>
      </c>
      <c r="AG65" s="49" t="str">
        <f>IF(W65=".",".",s_RadSpec!$N$21*AG21*$B$65)</f>
        <v>.</v>
      </c>
      <c r="AH65" s="49" t="str">
        <f>IF(X65=".",".",s_RadSpec!$O$21*AH21*$B$65)</f>
        <v>.</v>
      </c>
      <c r="AI65" s="49" t="str">
        <f>IF(Y65=".",".",s_RadSpec!$P$21*AI21*$B$65)</f>
        <v>.</v>
      </c>
      <c r="AJ65" s="49" t="str">
        <f>IF(Z65=".",".",s_RadSpec!$L$21*AJ21*$B$65)</f>
        <v>.</v>
      </c>
      <c r="AK65" s="60">
        <f>IFERROR(AK21/$B51,".")</f>
        <v>6544.6364658963093</v>
      </c>
      <c r="AL65" s="60">
        <f>IFERROR(AL21/$B51,".")</f>
        <v>1041272574416.7661</v>
      </c>
      <c r="AM65" s="60">
        <f>IFERROR(AM21/$B51,".")</f>
        <v>6544.6364247617721</v>
      </c>
      <c r="AN65" s="189">
        <f t="shared" ref="AN65" si="227">IFERROR(AN21/$B51,0)</f>
        <v>2.3561687268628635E-14</v>
      </c>
      <c r="AO65" s="49">
        <f>IF(AK65=".",".",s_RadSpec!$H$21*AO21*$B$65)</f>
        <v>3.8199218749999995E-3</v>
      </c>
      <c r="AP65" s="49">
        <f>IF(AL65=".",".",s_RadSpec!$K$21*AP21*$B$65)</f>
        <v>2.4009083321917808E-11</v>
      </c>
      <c r="AQ65" s="49">
        <f t="shared" si="223"/>
        <v>3.8199218990090829E-3</v>
      </c>
      <c r="AR65" s="60" t="str">
        <f>IFERROR(AR21/$B51,".")</f>
        <v>.</v>
      </c>
      <c r="AS65" s="60">
        <f>IFERROR(AS21/$B51,".")</f>
        <v>596183161051.55762</v>
      </c>
      <c r="AT65" s="63" t="str">
        <f>IFERROR(AT21/$B51,".")</f>
        <v>.</v>
      </c>
      <c r="AU65" s="63" t="str">
        <f>IFERROR(AU21/$B51,".")</f>
        <v>.</v>
      </c>
      <c r="AV65" s="233">
        <f t="shared" si="54"/>
        <v>0</v>
      </c>
      <c r="AW65" s="233">
        <f t="shared" si="55"/>
        <v>1.6773368745205477E-12</v>
      </c>
      <c r="AX65" s="233">
        <f t="shared" si="56"/>
        <v>0</v>
      </c>
      <c r="AY65" s="233">
        <f t="shared" si="57"/>
        <v>0</v>
      </c>
      <c r="AZ65" s="63">
        <f>IFERROR(AZ21/$B51,".")</f>
        <v>596183161051.55762</v>
      </c>
      <c r="BA65" s="189">
        <f t="shared" ref="BA65" si="228">IFERROR(BA21/$B51,0)</f>
        <v>2.1463501230369081E-6</v>
      </c>
      <c r="BB65" s="49" t="str">
        <f>IF(AR65=".",".",s_RadSpec!$I$21*BB21*$B$65)</f>
        <v>.</v>
      </c>
      <c r="BC65" s="49">
        <f>IF(AS65=".",".",s_RadSpec!$M$21*BC21*$B$65)</f>
        <v>4.1933421863013697E-11</v>
      </c>
      <c r="BD65" s="49" t="str">
        <f>IF(AT65=".",".",s_RadSpec!$F$21*BD21*$B$65)</f>
        <v>.</v>
      </c>
      <c r="BE65" s="49" t="str">
        <f>IF(AU65=".",".",s_RadSpec!$F$21*BE21*$B$65)</f>
        <v>.</v>
      </c>
      <c r="BF65" s="49">
        <f t="shared" si="60"/>
        <v>4.1933421863013697E-11</v>
      </c>
      <c r="BG65" s="63" t="str">
        <f>IFERROR(BG21/$B51,".")</f>
        <v>.</v>
      </c>
      <c r="BH65" s="63" t="str">
        <f>IFERROR(BH21/$B51,".")</f>
        <v>.</v>
      </c>
      <c r="BI65" s="189">
        <f t="shared" ref="BI65:BJ65" si="229">IFERROR(BI21/$B51,0)</f>
        <v>0</v>
      </c>
      <c r="BJ65" s="189">
        <f t="shared" si="229"/>
        <v>0</v>
      </c>
      <c r="BK65" s="49" t="str">
        <f>IF(BG65=".",".",s_RadSpec!$F$21*BK21*$B$65)</f>
        <v>.</v>
      </c>
      <c r="BL65" s="49" t="str">
        <f>IF(BH65=".",".",s_RadSpec!$F$21*BL21*$B$65)</f>
        <v>.</v>
      </c>
    </row>
    <row r="66" spans="1:64" x14ac:dyDescent="0.25">
      <c r="A66" s="48" t="s">
        <v>1060</v>
      </c>
      <c r="B66" s="52">
        <v>0.99980000000000002</v>
      </c>
      <c r="C66" s="173"/>
      <c r="D66" s="60">
        <f>IFERROR(D17/$B52,".")</f>
        <v>2245311.9742289768</v>
      </c>
      <c r="E66" s="60">
        <f>IFERROR(E17/$B52,".")</f>
        <v>331610505.06177324</v>
      </c>
      <c r="F66" s="60">
        <f>IFERROR(F17/$B52,".")</f>
        <v>2797.6574931531209</v>
      </c>
      <c r="G66" s="63">
        <f>IFERROR(G17/$B52,".")</f>
        <v>21776831.921285979</v>
      </c>
      <c r="H66" s="63" t="str">
        <f>IFERROR(H17/$B52,".")</f>
        <v>.</v>
      </c>
      <c r="I66" s="233">
        <f t="shared" si="13"/>
        <v>4.4537240770000012E-7</v>
      </c>
      <c r="J66" s="233">
        <f t="shared" si="14"/>
        <v>3.0155860105026451E-9</v>
      </c>
      <c r="K66" s="233">
        <f t="shared" si="15"/>
        <v>3.5744189646065019E-4</v>
      </c>
      <c r="L66" s="233">
        <f t="shared" si="16"/>
        <v>4.5920361768625314E-8</v>
      </c>
      <c r="M66" s="233">
        <f t="shared" si="17"/>
        <v>0</v>
      </c>
      <c r="N66" s="63">
        <f>IFERROR(N17/$B52,".")</f>
        <v>2793.7939402181933</v>
      </c>
      <c r="O66" s="189">
        <f>IFERROR(O17/$B52,0)</f>
        <v>8.5358271721138171E-11</v>
      </c>
      <c r="P66" s="49">
        <f>IF(D66=".",".",s_RadSpec!$E$17*P17*$B$66)</f>
        <v>1.1134310192500001E-5</v>
      </c>
      <c r="Q66" s="49">
        <f>IF(E66=".",".",s_RadSpec!$H$17*Q17*$B$66)</f>
        <v>7.5389650262566122E-8</v>
      </c>
      <c r="R66" s="49">
        <f>IF(F66=".",".",s_RadSpec!$G$17*R17*$B$66)</f>
        <v>8.9360474115162541E-3</v>
      </c>
      <c r="S66" s="49">
        <f>IF(G66=".",".",s_RadSpec!$F$17*S17*$B$66)</f>
        <v>1.1480090442156328E-6</v>
      </c>
      <c r="T66" s="49" t="str">
        <f>IF(H66=".",".",s_RadSpec!$F$17*T17*$B$66)</f>
        <v>.</v>
      </c>
      <c r="U66" s="49">
        <f t="shared" si="220"/>
        <v>8.9484051204032321E-3</v>
      </c>
      <c r="V66" s="60">
        <f>IFERROR(V17/$B52,".")</f>
        <v>2797.6574931531209</v>
      </c>
      <c r="W66" s="60">
        <f>IFERROR(W17/$B52,".")</f>
        <v>21937.518773720087</v>
      </c>
      <c r="X66" s="60">
        <f>IFERROR(X17/$B52,".")</f>
        <v>5861.0082024717985</v>
      </c>
      <c r="Y66" s="60">
        <f>IFERROR(Y17/$B52,".")</f>
        <v>3504.910051066146</v>
      </c>
      <c r="Z66" s="60">
        <f>IFERROR(Z17/$B52,".")</f>
        <v>41463.046238821014</v>
      </c>
      <c r="AA66" s="189">
        <f t="shared" ref="AA66:AE66" si="230">IFERROR(AA17/$B52,0)</f>
        <v>8.5476314142406655E-11</v>
      </c>
      <c r="AB66" s="189">
        <f t="shared" si="230"/>
        <v>6.7025297085028556E-10</v>
      </c>
      <c r="AC66" s="189">
        <f t="shared" si="230"/>
        <v>1.7907030418547455E-10</v>
      </c>
      <c r="AD66" s="189">
        <f t="shared" si="230"/>
        <v>1.0708487128928598E-10</v>
      </c>
      <c r="AE66" s="189">
        <f t="shared" si="230"/>
        <v>1.2668128154659071E-9</v>
      </c>
      <c r="AF66" s="49">
        <f>IF(V66=".",".",s_RadSpec!$G$17*AF17*$B$66)</f>
        <v>8.9360474115162541E-3</v>
      </c>
      <c r="AG66" s="49">
        <f>IF(W66=".",".",s_RadSpec!$N$17*AG17*$B$66)</f>
        <v>1.1396001643517041E-3</v>
      </c>
      <c r="AH66" s="49">
        <f>IF(X66=".",".",s_RadSpec!$O$17*AH17*$B$66)</f>
        <v>4.2654777363144792E-3</v>
      </c>
      <c r="AI66" s="49">
        <f>IF(Y66=".",".",s_RadSpec!$P$17*AI17*$B$66)</f>
        <v>7.1328506682775891E-3</v>
      </c>
      <c r="AJ66" s="49">
        <f>IF(Z66=".",".",s_RadSpec!$L$17*AJ17*$B$66)</f>
        <v>6.029465335470938E-4</v>
      </c>
      <c r="AK66" s="60">
        <f>IFERROR(AK17/$B52,".")</f>
        <v>1070.3885384400887</v>
      </c>
      <c r="AL66" s="60">
        <f>IFERROR(AL17/$B52,".")</f>
        <v>245827.01630163216</v>
      </c>
      <c r="AM66" s="60">
        <f>IFERROR(AM17/$B52,".")</f>
        <v>1065.7480213639128</v>
      </c>
      <c r="AN66" s="189">
        <f t="shared" ref="AN66" si="231">IFERROR(AN17/$B52,0)</f>
        <v>3.2561603017415629E-14</v>
      </c>
      <c r="AO66" s="49">
        <f>IF(AK66=".",".",s_RadSpec!$H$17*AO17*$B$66)</f>
        <v>2.3356004947916665E-2</v>
      </c>
      <c r="AP66" s="49">
        <f>IF(AL66=".",".",s_RadSpec!$K$17*AP17*$B$66)</f>
        <v>1.0169752851462329E-4</v>
      </c>
      <c r="AQ66" s="49">
        <f t="shared" si="223"/>
        <v>2.3457702476431287E-2</v>
      </c>
      <c r="AR66" s="60">
        <f>IFERROR(AR17/$B52,".")</f>
        <v>15436.519822824219</v>
      </c>
      <c r="AS66" s="60">
        <f>IFERROR(AS17/$B52,".")</f>
        <v>70764.519734131667</v>
      </c>
      <c r="AT66" s="63">
        <f>IFERROR(AT17/$B52,".")</f>
        <v>88208684701.852676</v>
      </c>
      <c r="AU66" s="63" t="str">
        <f>IFERROR(AU17/$B52,".")</f>
        <v>.</v>
      </c>
      <c r="AV66" s="233">
        <f t="shared" si="54"/>
        <v>6.478144112E-5</v>
      </c>
      <c r="AW66" s="233">
        <f t="shared" si="55"/>
        <v>1.4131375493779725E-5</v>
      </c>
      <c r="AX66" s="233">
        <f t="shared" si="56"/>
        <v>1.1336752196000001E-11</v>
      </c>
      <c r="AY66" s="233">
        <f t="shared" si="57"/>
        <v>0</v>
      </c>
      <c r="AZ66" s="63">
        <f>IFERROR(AZ17/$B52,".")</f>
        <v>12672.210918950588</v>
      </c>
      <c r="BA66" s="189">
        <f t="shared" ref="BA66" si="232">IFERROR(BA17/$B52,0)</f>
        <v>3.8717172635963268E-13</v>
      </c>
      <c r="BB66" s="49">
        <f>IF(AR66=".",".",s_RadSpec!$I$17*BB17*$B$66)</f>
        <v>1.6195360280000001E-3</v>
      </c>
      <c r="BC66" s="49">
        <f>IF(AS66=".",".",s_RadSpec!$M$17*BC17*$B$66)</f>
        <v>3.5328438734449316E-4</v>
      </c>
      <c r="BD66" s="49">
        <f>IF(AT66=".",".",s_RadSpec!$F$17*BD17*$B$66)</f>
        <v>2.8341880490000001E-10</v>
      </c>
      <c r="BE66" s="49" t="str">
        <f>IF(AU66=".",".",s_RadSpec!$F$17*BE17*$B$66)</f>
        <v>.</v>
      </c>
      <c r="BF66" s="49">
        <f t="shared" si="60"/>
        <v>1.9728206987632982E-3</v>
      </c>
      <c r="BG66" s="63">
        <f>IFERROR(BG17/$B52,".")</f>
        <v>123492.15858259375</v>
      </c>
      <c r="BH66" s="63">
        <f>IFERROR(BH17/$B52,".")</f>
        <v>123492.15858259375</v>
      </c>
      <c r="BI66" s="189">
        <f t="shared" ref="BI66:BJ66" si="233">IFERROR(BI17/$B52,0)</f>
        <v>3.7730331775648682E-9</v>
      </c>
      <c r="BJ66" s="189">
        <f t="shared" si="233"/>
        <v>3.7730331775648682E-9</v>
      </c>
      <c r="BK66" s="49">
        <f>IF(BG66=".",".",s_RadSpec!$F$17*BK17*$B$66)</f>
        <v>2.0244200350000001E-4</v>
      </c>
      <c r="BL66" s="49">
        <f>IF(BH66=".",".",s_RadSpec!$F$17*BL17*$B$66)</f>
        <v>2.0244200350000001E-4</v>
      </c>
    </row>
    <row r="67" spans="1:64" x14ac:dyDescent="0.25">
      <c r="A67" s="48" t="s">
        <v>1074</v>
      </c>
      <c r="B67" s="45">
        <v>2.0000000000000001E-4</v>
      </c>
      <c r="C67" s="170"/>
      <c r="D67" s="60" t="str">
        <f>IFERROR(D5/$B53,".")</f>
        <v>.</v>
      </c>
      <c r="E67" s="60" t="str">
        <f>IFERROR(E5/$B53,".")</f>
        <v>.</v>
      </c>
      <c r="F67" s="60" t="str">
        <f>IFERROR(F5/$B53,".")</f>
        <v>.</v>
      </c>
      <c r="G67" s="63" t="str">
        <f>IFERROR(G5/$B53,".")</f>
        <v>.</v>
      </c>
      <c r="H67" s="63" t="str">
        <f>IFERROR(H5/$B53,".")</f>
        <v>.</v>
      </c>
      <c r="I67" s="233">
        <f t="shared" ref="I67:I76" si="234">IFERROR(1/D67,0)</f>
        <v>0</v>
      </c>
      <c r="J67" s="233">
        <f t="shared" ref="J67:J76" si="235">IFERROR(1/E67,0)</f>
        <v>0</v>
      </c>
      <c r="K67" s="233">
        <f t="shared" ref="K67:K76" si="236">IFERROR(1/F67,0)</f>
        <v>0</v>
      </c>
      <c r="L67" s="233">
        <f t="shared" ref="L67:L76" si="237">IFERROR(1/G67,0)</f>
        <v>0</v>
      </c>
      <c r="M67" s="233">
        <f t="shared" ref="M67:M76" si="238">IFERROR(1/H67,0)</f>
        <v>0</v>
      </c>
      <c r="N67" s="63">
        <f>IFERROR(N5/$B53,".")</f>
        <v>0</v>
      </c>
      <c r="O67" s="189">
        <f>IFERROR(O5/$B53,0)</f>
        <v>0</v>
      </c>
      <c r="P67" s="49" t="str">
        <f>IF(D67=".",".",s_RadSpec!$E$5*P5*$B$67)</f>
        <v>.</v>
      </c>
      <c r="Q67" s="49" t="str">
        <f>IF(E67=".",".",s_RadSpec!$H$5*Q5*$B$67)</f>
        <v>.</v>
      </c>
      <c r="R67" s="49" t="str">
        <f>IF(F67=".",".",s_RadSpec!$G$5*R5*$B$67)</f>
        <v>.</v>
      </c>
      <c r="S67" s="49" t="str">
        <f>IF(G67=".",".",s_RadSpec!$F$5*S5*$B$67)</f>
        <v>.</v>
      </c>
      <c r="T67" s="49" t="str">
        <f>IF(H67=".",".",s_RadSpec!$F$5*T5*$B$67)</f>
        <v>.</v>
      </c>
      <c r="U67" s="49">
        <f t="shared" si="220"/>
        <v>0</v>
      </c>
      <c r="V67" s="60" t="str">
        <f>IFERROR(V5/$B53,".")</f>
        <v>.</v>
      </c>
      <c r="W67" s="60" t="str">
        <f>IFERROR(W5/$B53,".")</f>
        <v>.</v>
      </c>
      <c r="X67" s="60" t="str">
        <f>IFERROR(X5/$B53,".")</f>
        <v>.</v>
      </c>
      <c r="Y67" s="60" t="str">
        <f>IFERROR(Y5/$B53,".")</f>
        <v>.</v>
      </c>
      <c r="Z67" s="60" t="str">
        <f>IFERROR(Z5/$B53,".")</f>
        <v>.</v>
      </c>
      <c r="AA67" s="189">
        <f t="shared" ref="AA67:AE67" si="239">IFERROR(AA5/$B53,0)</f>
        <v>0</v>
      </c>
      <c r="AB67" s="189">
        <f t="shared" si="239"/>
        <v>0</v>
      </c>
      <c r="AC67" s="189">
        <f t="shared" si="239"/>
        <v>0</v>
      </c>
      <c r="AD67" s="189">
        <f t="shared" si="239"/>
        <v>0</v>
      </c>
      <c r="AE67" s="189">
        <f t="shared" si="239"/>
        <v>0</v>
      </c>
      <c r="AF67" s="49" t="str">
        <f>IF(V67=".",".",s_RadSpec!$G$5*AF5*$B$67)</f>
        <v>.</v>
      </c>
      <c r="AG67" s="49" t="str">
        <f>IF(W67=".",".",s_RadSpec!$N$5*AG5*$B$67)</f>
        <v>.</v>
      </c>
      <c r="AH67" s="49" t="str">
        <f>IF(X67=".",".",s_RadSpec!$O$5*AH5*$B$67)</f>
        <v>.</v>
      </c>
      <c r="AI67" s="49" t="str">
        <f>IF(Y67=".",".",s_RadSpec!$P$5*AI5*$B$67)</f>
        <v>.</v>
      </c>
      <c r="AJ67" s="49" t="str">
        <f>IF(Z67=".",".",s_RadSpec!$L$5*AJ5*$B$67)</f>
        <v>.</v>
      </c>
      <c r="AK67" s="60" t="str">
        <f>IFERROR(AK5/$B53,".")</f>
        <v>.</v>
      </c>
      <c r="AL67" s="60">
        <f>IFERROR(AL5/$B53,".")</f>
        <v>13919051760060.852</v>
      </c>
      <c r="AM67" s="60">
        <f>IFERROR(AM5/$B53,".")</f>
        <v>13919051760060.852</v>
      </c>
      <c r="AN67" s="189">
        <f t="shared" ref="AN67" si="240">IFERROR(AN5/$B53,0)</f>
        <v>4.0411858801089931E-7</v>
      </c>
      <c r="AO67" s="49" t="str">
        <f>IF(AK67=".",".",s_RadSpec!$H$5*AO5*$B$67)</f>
        <v>.</v>
      </c>
      <c r="AP67" s="49">
        <f>IF(AL67=".",".",s_RadSpec!$K$5*AP5*$B$67)</f>
        <v>1.796099363013699E-12</v>
      </c>
      <c r="AQ67" s="49">
        <f t="shared" si="223"/>
        <v>1.796099363013699E-12</v>
      </c>
      <c r="AR67" s="60" t="str">
        <f>IFERROR(AR5/$B53,".")</f>
        <v>.</v>
      </c>
      <c r="AS67" s="60">
        <f>IFERROR(AS5/$B53,".")</f>
        <v>6820335362429.8184</v>
      </c>
      <c r="AT67" s="63" t="str">
        <f>IFERROR(AT5/$B53,".")</f>
        <v>.</v>
      </c>
      <c r="AU67" s="63" t="str">
        <f>IFERROR(AU5/$B53,".")</f>
        <v>.</v>
      </c>
      <c r="AV67" s="233">
        <f t="shared" si="54"/>
        <v>0</v>
      </c>
      <c r="AW67" s="233">
        <f t="shared" si="55"/>
        <v>1.4662035616438356E-13</v>
      </c>
      <c r="AX67" s="233">
        <f t="shared" si="56"/>
        <v>0</v>
      </c>
      <c r="AY67" s="233">
        <f t="shared" si="57"/>
        <v>0</v>
      </c>
      <c r="AZ67" s="63">
        <f>IFERROR(AZ5/$B53,".")</f>
        <v>6820335362429.8184</v>
      </c>
      <c r="BA67" s="189">
        <f t="shared" ref="BA67" si="241">IFERROR(BA5/$B53,0)</f>
        <v>1.9801810812534069E-7</v>
      </c>
      <c r="BB67" s="49" t="str">
        <f>IF(AR67=".",".",s_RadSpec!$I$5*BB5*$B$67)</f>
        <v>.</v>
      </c>
      <c r="BC67" s="49">
        <f>IF(AS67=".",".",s_RadSpec!$M$5*BC5*$B$67)</f>
        <v>3.6655089041095892E-12</v>
      </c>
      <c r="BD67" s="49" t="str">
        <f>IF(AT67=".",".",s_RadSpec!$F$5*BD5*$B$67)</f>
        <v>.</v>
      </c>
      <c r="BE67" s="49" t="str">
        <f>IF(AU67=".",".",s_RadSpec!$F$5*BE5*$B$67)</f>
        <v>.</v>
      </c>
      <c r="BF67" s="49">
        <f t="shared" si="60"/>
        <v>3.6655089041095892E-12</v>
      </c>
      <c r="BG67" s="63" t="str">
        <f>IFERROR(BG5/$B53,".")</f>
        <v>.</v>
      </c>
      <c r="BH67" s="63" t="str">
        <f>IFERROR(BH5/$B53,".")</f>
        <v>.</v>
      </c>
      <c r="BI67" s="189">
        <f t="shared" ref="BI67:BJ67" si="242">IFERROR(BI5/$B53,0)</f>
        <v>0</v>
      </c>
      <c r="BJ67" s="189">
        <f t="shared" si="242"/>
        <v>0</v>
      </c>
      <c r="BK67" s="49" t="str">
        <f>IF(BG67=".",".",s_RadSpec!$F$5*BK5*$B$67)</f>
        <v>.</v>
      </c>
      <c r="BL67" s="49" t="str">
        <f>IF(BH67=".",".",s_RadSpec!$F$5*BL5*$B$67)</f>
        <v>.</v>
      </c>
    </row>
    <row r="68" spans="1:64" x14ac:dyDescent="0.25">
      <c r="A68" s="48" t="s">
        <v>1075</v>
      </c>
      <c r="B68" s="45">
        <v>0.99999979999999999</v>
      </c>
      <c r="C68" s="170"/>
      <c r="D68" s="60">
        <f>IFERROR(D9/$B54,".")</f>
        <v>2998173.2134265364</v>
      </c>
      <c r="E68" s="60">
        <f>IFERROR(E9/$B54,".")</f>
        <v>422130109.72578847</v>
      </c>
      <c r="F68" s="60">
        <f>IFERROR(F9/$B54,".")</f>
        <v>142.32924393055626</v>
      </c>
      <c r="G68" s="63">
        <f>IFERROR(G9/$B54,".")</f>
        <v>6870813.61410248</v>
      </c>
      <c r="H68" s="63" t="str">
        <f>IFERROR(H9/$B54,".")</f>
        <v>.</v>
      </c>
      <c r="I68" s="233">
        <f t="shared" si="234"/>
        <v>3.335364332927E-7</v>
      </c>
      <c r="J68" s="233">
        <f t="shared" si="235"/>
        <v>2.3689378629010617E-9</v>
      </c>
      <c r="K68" s="233">
        <f t="shared" si="236"/>
        <v>7.0259629882380966E-3</v>
      </c>
      <c r="L68" s="233">
        <f t="shared" si="237"/>
        <v>1.4554317089135998E-7</v>
      </c>
      <c r="M68" s="233">
        <f t="shared" si="238"/>
        <v>0</v>
      </c>
      <c r="N68" s="63">
        <f>IFERROR(N9/$B54,".")</f>
        <v>142.31949160025641</v>
      </c>
      <c r="O68" s="189">
        <f>IFERROR(O9/$B54,0)</f>
        <v>3.2287462012952531E-12</v>
      </c>
      <c r="P68" s="49">
        <f>IF(D68=".",".",s_RadSpec!$E$9*P9*$B$68)</f>
        <v>8.3384108323175001E-6</v>
      </c>
      <c r="Q68" s="49">
        <f>IF(E68=".",".",s_RadSpec!$H$9*Q9*$B$68)</f>
        <v>5.9223446572526526E-8</v>
      </c>
      <c r="R68" s="49">
        <f>IF(F68=".",".",s_RadSpec!$G$9*R9*$B$68)</f>
        <v>0.17564907470595242</v>
      </c>
      <c r="S68" s="49">
        <f>IF(G68=".",".",s_RadSpec!$F$9*S9*$B$68)</f>
        <v>3.6385792722840004E-6</v>
      </c>
      <c r="T68" s="49" t="str">
        <f>IF(H68=".",".",s_RadSpec!$F$9*T9*$B$68)</f>
        <v>.</v>
      </c>
      <c r="U68" s="49">
        <f t="shared" si="220"/>
        <v>0.17566111091950362</v>
      </c>
      <c r="V68" s="60">
        <f>IFERROR(V9/$B54,".")</f>
        <v>142.32924393055626</v>
      </c>
      <c r="W68" s="60">
        <f>IFERROR(W9/$B54,".")</f>
        <v>1634.7522749513778</v>
      </c>
      <c r="X68" s="60">
        <f>IFERROR(X9/$B54,".")</f>
        <v>398.02083246351651</v>
      </c>
      <c r="Y68" s="60">
        <f>IFERROR(Y9/$B54,".")</f>
        <v>202.6471531377245</v>
      </c>
      <c r="Z68" s="60">
        <f>IFERROR(Z9/$B54,".")</f>
        <v>2841.3814747925539</v>
      </c>
      <c r="AA68" s="189">
        <f t="shared" ref="AA68:AE68" si="243">IFERROR(AA9/$B54,0)</f>
        <v>3.2289674485682395E-12</v>
      </c>
      <c r="AB68" s="189">
        <f t="shared" si="243"/>
        <v>3.708698041610012E-11</v>
      </c>
      <c r="AC68" s="189">
        <f t="shared" si="243"/>
        <v>9.0297417198659957E-12</v>
      </c>
      <c r="AD68" s="189">
        <f t="shared" si="243"/>
        <v>4.59737607645829E-12</v>
      </c>
      <c r="AE68" s="189">
        <f t="shared" si="243"/>
        <v>6.4461301400198612E-11</v>
      </c>
      <c r="AF68" s="49">
        <f>IF(V68=".",".",s_RadSpec!$G$9*AF9*$B$68)</f>
        <v>0.17564907470595242</v>
      </c>
      <c r="AG68" s="49">
        <f>IF(W68=".",".",s_RadSpec!$N$9*AG9*$B$68)</f>
        <v>1.5292836953380949E-2</v>
      </c>
      <c r="AH68" s="49">
        <f>IF(X68=".",".",s_RadSpec!$O$9*AH9*$B$68)</f>
        <v>6.2810782654929384E-2</v>
      </c>
      <c r="AI68" s="49">
        <f>IF(Y68=".",".",s_RadSpec!$P$9*AI9*$B$68)</f>
        <v>0.12336714142245718</v>
      </c>
      <c r="AJ68" s="49">
        <f>IF(Z68=".",".",s_RadSpec!$L$9*AJ9*$B$68)</f>
        <v>8.7985369869511172E-3</v>
      </c>
      <c r="AK68" s="60">
        <f>IFERROR(AK9/$B54,".")</f>
        <v>1362.5721268895584</v>
      </c>
      <c r="AL68" s="60">
        <f>IFERROR(AL9/$B54,".")</f>
        <v>38370.389459899663</v>
      </c>
      <c r="AM68" s="60">
        <f>IFERROR(AM9/$B54,".")</f>
        <v>1315.8451091483578</v>
      </c>
      <c r="AN68" s="189">
        <f t="shared" ref="AN68" si="244">IFERROR(AN9/$B54,0)</f>
        <v>2.9852059263876985E-14</v>
      </c>
      <c r="AO68" s="49">
        <f>IF(AK68=".",".",s_RadSpec!$H$9*AO9*$B$68)</f>
        <v>1.8347652580468745E-2</v>
      </c>
      <c r="AP68" s="49">
        <f>IF(AL68=".",".",s_RadSpec!$K$9*AP9*$B$68)</f>
        <v>6.5154407739663792E-4</v>
      </c>
      <c r="AQ68" s="49">
        <f t="shared" si="223"/>
        <v>1.8999196657865383E-2</v>
      </c>
      <c r="AR68" s="60">
        <f>IFERROR(AR9/$B54,".")</f>
        <v>20612.440842307438</v>
      </c>
      <c r="AS68" s="60">
        <f>IFERROR(AS9/$B54,".")</f>
        <v>11071.975205352541</v>
      </c>
      <c r="AT68" s="63">
        <f>IFERROR(AT9/$B54,".")</f>
        <v>41224881684.614876</v>
      </c>
      <c r="AU68" s="63" t="str">
        <f>IFERROR(AU9/$B54,".")</f>
        <v>.</v>
      </c>
      <c r="AV68" s="233">
        <f t="shared" si="54"/>
        <v>4.8514390297119998E-5</v>
      </c>
      <c r="AW68" s="233">
        <f t="shared" si="55"/>
        <v>9.0318121333632376E-5</v>
      </c>
      <c r="AX68" s="233">
        <f t="shared" si="56"/>
        <v>2.4257195148560001E-11</v>
      </c>
      <c r="AY68" s="233">
        <f t="shared" si="57"/>
        <v>0</v>
      </c>
      <c r="AZ68" s="63">
        <f>IFERROR(AZ9/$B54,".")</f>
        <v>7202.9225253589348</v>
      </c>
      <c r="BA68" s="189">
        <f t="shared" ref="BA68" si="245">IFERROR(BA9/$B54,0)</f>
        <v>1.6340986382454704E-13</v>
      </c>
      <c r="BB68" s="49">
        <f>IF(AR68=".",".",s_RadSpec!$I$9*BB9*$B$68)</f>
        <v>1.212859757428E-3</v>
      </c>
      <c r="BC68" s="49">
        <f>IF(AS68=".",".",s_RadSpec!$M$9*BC9*$B$68)</f>
        <v>2.2579530333408093E-3</v>
      </c>
      <c r="BD68" s="49">
        <f>IF(AT68=".",".",s_RadSpec!$F$9*BD9*$B$68)</f>
        <v>6.0642987871400001E-10</v>
      </c>
      <c r="BE68" s="49" t="str">
        <f>IF(AU68=".",".",s_RadSpec!$F$9*BE9*$B$68)</f>
        <v>.</v>
      </c>
      <c r="BF68" s="49">
        <f t="shared" si="60"/>
        <v>3.4708133971986877E-3</v>
      </c>
      <c r="BG68" s="63">
        <f>IFERROR(BG9/$B54,".")</f>
        <v>164899.52673845951</v>
      </c>
      <c r="BH68" s="63">
        <f>IFERROR(BH9/$B54,".")</f>
        <v>164899.52673845951</v>
      </c>
      <c r="BI68" s="189">
        <f t="shared" ref="BI68:BJ68" si="246">IFERROR(BI9/$B54,0)</f>
        <v>3.7410105570615105E-9</v>
      </c>
      <c r="BJ68" s="189">
        <f t="shared" si="246"/>
        <v>3.7410105570615105E-9</v>
      </c>
      <c r="BK68" s="49">
        <f>IF(BG68=".",".",s_RadSpec!$F$9*BK9*$B$68)</f>
        <v>1.516074696785E-4</v>
      </c>
      <c r="BL68" s="49">
        <f>IF(BH68=".",".",s_RadSpec!$F$9*BL9*$B$68)</f>
        <v>1.516074696785E-4</v>
      </c>
    </row>
    <row r="69" spans="1:64" x14ac:dyDescent="0.25">
      <c r="A69" s="48" t="s">
        <v>1076</v>
      </c>
      <c r="B69" s="45">
        <v>1.9999999999999999E-7</v>
      </c>
      <c r="C69" s="170"/>
      <c r="D69" s="60" t="str">
        <f>IFERROR(D24/$B55,".")</f>
        <v>.</v>
      </c>
      <c r="E69" s="60" t="str">
        <f>IFERROR(E24/$B55,".")</f>
        <v>.</v>
      </c>
      <c r="F69" s="60">
        <f>IFERROR(F24/$B55,".")</f>
        <v>2693527313407.5137</v>
      </c>
      <c r="G69" s="63" t="str">
        <f>IFERROR(G24/$B55,".")</f>
        <v>.</v>
      </c>
      <c r="H69" s="63" t="str">
        <f>IFERROR(H24/$B55,".")</f>
        <v>.</v>
      </c>
      <c r="I69" s="233">
        <f t="shared" si="234"/>
        <v>0</v>
      </c>
      <c r="J69" s="233">
        <f t="shared" si="235"/>
        <v>0</v>
      </c>
      <c r="K69" s="233">
        <f t="shared" si="236"/>
        <v>3.7126038968393645E-13</v>
      </c>
      <c r="L69" s="233">
        <f t="shared" si="237"/>
        <v>0</v>
      </c>
      <c r="M69" s="233">
        <f t="shared" si="238"/>
        <v>0</v>
      </c>
      <c r="N69" s="63">
        <f>IFERROR(N24/$B55,".")</f>
        <v>2693527313407.5137</v>
      </c>
      <c r="O69" s="189">
        <f>IFERROR(O24/$B55,0)</f>
        <v>1.8247246804806601E-6</v>
      </c>
      <c r="P69" s="49" t="str">
        <f>IF(D69=".",".",s_RadSpec!$E$24*P24*$B$69)</f>
        <v>.</v>
      </c>
      <c r="Q69" s="49" t="str">
        <f>IF(E69=".",".",s_RadSpec!$H$24*Q24*$B$69)</f>
        <v>.</v>
      </c>
      <c r="R69" s="49">
        <f>IF(F69=".",".",s_RadSpec!$G$24*R24*$B$69)</f>
        <v>9.2815097420984121E-12</v>
      </c>
      <c r="S69" s="49" t="str">
        <f>IF(G69=".",".",s_RadSpec!$F$24*S24*$B$69)</f>
        <v>.</v>
      </c>
      <c r="T69" s="49" t="str">
        <f>IF(H69=".",".",s_RadSpec!$F$24*T24*$B$69)</f>
        <v>.</v>
      </c>
      <c r="U69" s="49">
        <f t="shared" si="220"/>
        <v>9.2815097420984121E-12</v>
      </c>
      <c r="V69" s="60">
        <f>IFERROR(V24/$B55,".")</f>
        <v>2693527313407.5137</v>
      </c>
      <c r="W69" s="60">
        <f>IFERROR(W24/$B55,".")</f>
        <v>24257438204334.773</v>
      </c>
      <c r="X69" s="60">
        <f>IFERROR(X24/$B55,".")</f>
        <v>6001098738404.8896</v>
      </c>
      <c r="Y69" s="60">
        <f>IFERROR(Y24/$B55,".")</f>
        <v>3218044885699.1543</v>
      </c>
      <c r="Z69" s="60">
        <f>IFERROR(Z24/$B55,".")</f>
        <v>40842662623568.039</v>
      </c>
      <c r="AA69" s="189">
        <f t="shared" ref="AA69:AE69" si="247">IFERROR(AA24/$B55,0)</f>
        <v>1.8247246804806601E-6</v>
      </c>
      <c r="AB69" s="189">
        <f t="shared" si="247"/>
        <v>1.6433152898192791E-5</v>
      </c>
      <c r="AC69" s="189">
        <f t="shared" si="247"/>
        <v>4.0654323137773347E-6</v>
      </c>
      <c r="AD69" s="189">
        <f t="shared" si="247"/>
        <v>2.1800580586655475E-6</v>
      </c>
      <c r="AE69" s="189">
        <f t="shared" si="247"/>
        <v>2.7668779943236531E-5</v>
      </c>
      <c r="AF69" s="49">
        <f>IF(V69=".",".",s_RadSpec!$G$24*AF24*$B$69)</f>
        <v>9.2815097420984121E-12</v>
      </c>
      <c r="AG69" s="49">
        <f>IF(W69=".",".",s_RadSpec!$N$24*AG24*$B$69)</f>
        <v>1.0306117154420918E-12</v>
      </c>
      <c r="AH69" s="49">
        <f>IF(X69=".",".",s_RadSpec!$O$24*AH24*$B$69)</f>
        <v>4.1659037935851522E-12</v>
      </c>
      <c r="AI69" s="49">
        <f>IF(Y69=".",".",s_RadSpec!$P$24*AI24*$B$69)</f>
        <v>7.7686921369863008E-12</v>
      </c>
      <c r="AJ69" s="49">
        <f>IF(Z69=".",".",s_RadSpec!$L$24*AJ24*$B$69)</f>
        <v>6.1210504884110762E-13</v>
      </c>
      <c r="AK69" s="60" t="str">
        <f>IFERROR(AK24/$B55,".")</f>
        <v>.</v>
      </c>
      <c r="AL69" s="60">
        <f>IFERROR(AL24/$B55,".")</f>
        <v>401196197789989.38</v>
      </c>
      <c r="AM69" s="60">
        <f>IFERROR(AM24/$B55,".")</f>
        <v>401196197789989.38</v>
      </c>
      <c r="AN69" s="189">
        <f t="shared" ref="AN69" si="248">IFERROR(AN24/$B55,0)</f>
        <v>2.7178956017203606E-7</v>
      </c>
      <c r="AO69" s="49" t="str">
        <f>IF(AK69=".",".",s_RadSpec!$H$24*AO24*$B$69)</f>
        <v>.</v>
      </c>
      <c r="AP69" s="49">
        <f>IF(AL69=".",".",s_RadSpec!$K$24*AP24*$B$69)</f>
        <v>6.2313651369863008E-14</v>
      </c>
      <c r="AQ69" s="49">
        <f t="shared" si="223"/>
        <v>6.2313651369863008E-14</v>
      </c>
      <c r="AR69" s="60" t="str">
        <f>IFERROR(AR24/$B55,".")</f>
        <v>.</v>
      </c>
      <c r="AS69" s="60">
        <f>IFERROR(AS24/$B55,".")</f>
        <v>115364265264374.48</v>
      </c>
      <c r="AT69" s="63" t="str">
        <f>IFERROR(AT24/$B55,".")</f>
        <v>.</v>
      </c>
      <c r="AU69" s="63" t="str">
        <f>IFERROR(AU24/$B55,".")</f>
        <v>.</v>
      </c>
      <c r="AV69" s="233">
        <f t="shared" si="54"/>
        <v>0</v>
      </c>
      <c r="AW69" s="233">
        <f t="shared" si="55"/>
        <v>8.6681954564383553E-15</v>
      </c>
      <c r="AX69" s="233">
        <f t="shared" si="56"/>
        <v>0</v>
      </c>
      <c r="AY69" s="233">
        <f t="shared" si="57"/>
        <v>0</v>
      </c>
      <c r="AZ69" s="63">
        <f>IFERROR(AZ24/$B55,".")</f>
        <v>115364265264374.48</v>
      </c>
      <c r="BA69" s="189">
        <f t="shared" ref="BA69" si="249">IFERROR(BA24/$B55,0)</f>
        <v>7.8153290306573297E-8</v>
      </c>
      <c r="BB69" s="49" t="str">
        <f>IF(AR69=".",".",s_RadSpec!$I$24*BB24*$B$69)</f>
        <v>.</v>
      </c>
      <c r="BC69" s="49">
        <f>IF(AS69=".",".",s_RadSpec!$M$24*BC24*$B$69)</f>
        <v>2.1670488641095886E-13</v>
      </c>
      <c r="BD69" s="49" t="str">
        <f>IF(AT69=".",".",s_RadSpec!$F$24*BD24*$B$69)</f>
        <v>.</v>
      </c>
      <c r="BE69" s="49" t="str">
        <f>IF(AU69=".",".",s_RadSpec!$F$24*BE24*$B$69)</f>
        <v>.</v>
      </c>
      <c r="BF69" s="49">
        <f t="shared" si="60"/>
        <v>2.1670488641095886E-13</v>
      </c>
      <c r="BG69" s="63" t="str">
        <f>IFERROR(BG24/$B55,".")</f>
        <v>.</v>
      </c>
      <c r="BH69" s="63" t="str">
        <f>IFERROR(BH24/$B55,".")</f>
        <v>.</v>
      </c>
      <c r="BI69" s="189">
        <f t="shared" ref="BI69:BJ69" si="250">IFERROR(BI24/$B55,0)</f>
        <v>0</v>
      </c>
      <c r="BJ69" s="189">
        <f t="shared" si="250"/>
        <v>0</v>
      </c>
      <c r="BK69" s="49" t="str">
        <f>IF(BG69=".",".",s_RadSpec!$F$24*BK24*$B$69)</f>
        <v>.</v>
      </c>
      <c r="BL69" s="49" t="str">
        <f>IF(BH69=".",".",s_RadSpec!$F$24*BL24*$B$69)</f>
        <v>.</v>
      </c>
    </row>
    <row r="70" spans="1:64" x14ac:dyDescent="0.25">
      <c r="A70" s="48" t="s">
        <v>1077</v>
      </c>
      <c r="B70" s="45">
        <v>0.99979000004200003</v>
      </c>
      <c r="C70" s="170"/>
      <c r="D70" s="60" t="str">
        <f>IFERROR(D20/$B56,".")</f>
        <v>.</v>
      </c>
      <c r="E70" s="60" t="str">
        <f>IFERROR(E20/$B56,".")</f>
        <v>.</v>
      </c>
      <c r="F70" s="60">
        <f>IFERROR(F20/$B56,".")</f>
        <v>3743882.2626768276</v>
      </c>
      <c r="G70" s="63" t="str">
        <f>IFERROR(G20/$B56,".")</f>
        <v>.</v>
      </c>
      <c r="H70" s="63" t="str">
        <f>IFERROR(H20/$B56,".")</f>
        <v>.</v>
      </c>
      <c r="I70" s="233">
        <f t="shared" si="234"/>
        <v>0</v>
      </c>
      <c r="J70" s="233">
        <f t="shared" si="235"/>
        <v>0</v>
      </c>
      <c r="K70" s="233">
        <f t="shared" si="236"/>
        <v>2.67102416646247E-7</v>
      </c>
      <c r="L70" s="233">
        <f t="shared" si="237"/>
        <v>0</v>
      </c>
      <c r="M70" s="233">
        <f t="shared" si="238"/>
        <v>0</v>
      </c>
      <c r="N70" s="63">
        <f>IFERROR(N20/$B56,".")</f>
        <v>3743882.2626768276</v>
      </c>
      <c r="O70" s="189">
        <f>IFERROR(O20/$B56,0)</f>
        <v>1.1687589344560989E-14</v>
      </c>
      <c r="P70" s="49" t="str">
        <f>IF(D70=".",".",s_RadSpec!$E$20*P20*$B$70)</f>
        <v>.</v>
      </c>
      <c r="Q70" s="49" t="str">
        <f>IF(E70=".",".",s_RadSpec!$H$20*Q20*$B$70)</f>
        <v>.</v>
      </c>
      <c r="R70" s="49">
        <f>IF(F70=".",".",s_RadSpec!$G$20*R20*$B$70)</f>
        <v>6.6775604161561749E-6</v>
      </c>
      <c r="S70" s="49" t="str">
        <f>IF(G70=".",".",s_RadSpec!$F$20*S20*$B$70)</f>
        <v>.</v>
      </c>
      <c r="T70" s="49" t="str">
        <f>IF(H70=".",".",s_RadSpec!$F$20*T20*$B$70)</f>
        <v>.</v>
      </c>
      <c r="U70" s="49">
        <f t="shared" si="220"/>
        <v>6.6775604161561749E-6</v>
      </c>
      <c r="V70" s="60">
        <f>IFERROR(V20/$B56,".")</f>
        <v>3743882.2626768276</v>
      </c>
      <c r="W70" s="60">
        <f>IFERROR(W20/$B56,".")</f>
        <v>37950112.67690596</v>
      </c>
      <c r="X70" s="60">
        <f>IFERROR(X20/$B56,".")</f>
        <v>9284232.3718079124</v>
      </c>
      <c r="Y70" s="60">
        <f>IFERROR(Y20/$B56,".")</f>
        <v>4932713.3888328746</v>
      </c>
      <c r="Z70" s="60">
        <f>IFERROR(Z20/$B56,".")</f>
        <v>65649366.231750108</v>
      </c>
      <c r="AA70" s="189">
        <f t="shared" ref="AA70:AE70" si="251">IFERROR(AA20/$B56,0)</f>
        <v>1.1687589344560989E-14</v>
      </c>
      <c r="AB70" s="189">
        <f t="shared" si="251"/>
        <v>1.1847203021559917E-13</v>
      </c>
      <c r="AC70" s="189">
        <f t="shared" si="251"/>
        <v>2.8983362116624597E-14</v>
      </c>
      <c r="AD70" s="189">
        <f t="shared" si="251"/>
        <v>1.5398862570500905E-14</v>
      </c>
      <c r="AE70" s="189">
        <f t="shared" si="251"/>
        <v>2.0494309901155578E-13</v>
      </c>
      <c r="AF70" s="49">
        <f>IF(V70=".",".",s_RadSpec!$G$20*AF20*$B$70)</f>
        <v>6.6775604161561749E-6</v>
      </c>
      <c r="AG70" s="49">
        <f>IF(W70=".",".",s_RadSpec!$N$20*AG20*$B$70)</f>
        <v>6.587595724113203E-7</v>
      </c>
      <c r="AH70" s="49">
        <f>IF(X70=".",".",s_RadSpec!$O$20*AH20*$B$70)</f>
        <v>2.6927374282351972E-6</v>
      </c>
      <c r="AI70" s="49">
        <f>IF(Y70=".",".",s_RadSpec!$P$20*AI20*$B$70)</f>
        <v>5.0682044605707839E-6</v>
      </c>
      <c r="AJ70" s="49">
        <f>IF(Z70=".",".",s_RadSpec!$L$20*AJ20*$B$70)</f>
        <v>3.8081098775191545E-7</v>
      </c>
      <c r="AK70" s="60" t="str">
        <f>IFERROR(AK20/$B56,".")</f>
        <v>.</v>
      </c>
      <c r="AL70" s="60">
        <f>IFERROR(AL20/$B56,".")</f>
        <v>718080835.09571791</v>
      </c>
      <c r="AM70" s="60">
        <f>IFERROR(AM20/$B56,".")</f>
        <v>718080835.09571791</v>
      </c>
      <c r="AN70" s="189">
        <f t="shared" ref="AN70" si="252">IFERROR(AN20/$B56,0)</f>
        <v>2.2416928012040485E-15</v>
      </c>
      <c r="AO70" s="49" t="str">
        <f>IF(AK70=".",".",s_RadSpec!$H$20*AO20*$B$70)</f>
        <v>.</v>
      </c>
      <c r="AP70" s="49">
        <f>IF(AL70=".",".",s_RadSpec!$K$20*AP20*$B$70)</f>
        <v>3.4815021900239938E-8</v>
      </c>
      <c r="AQ70" s="49">
        <f t="shared" si="223"/>
        <v>3.4815021900239938E-8</v>
      </c>
      <c r="AR70" s="60" t="str">
        <f>IFERROR(AR20/$B56,".")</f>
        <v>.</v>
      </c>
      <c r="AS70" s="60">
        <f>IFERROR(AS20/$B56,".")</f>
        <v>207222598.22021025</v>
      </c>
      <c r="AT70" s="63" t="str">
        <f>IFERROR(AT20/$B56,".")</f>
        <v>.</v>
      </c>
      <c r="AU70" s="63" t="str">
        <f>IFERROR(AU20/$B56,".")</f>
        <v>.</v>
      </c>
      <c r="AV70" s="233">
        <f t="shared" si="54"/>
        <v>0</v>
      </c>
      <c r="AW70" s="233">
        <f t="shared" si="55"/>
        <v>4.8257285092879934E-9</v>
      </c>
      <c r="AX70" s="233">
        <f t="shared" si="56"/>
        <v>0</v>
      </c>
      <c r="AY70" s="233">
        <f t="shared" si="57"/>
        <v>0</v>
      </c>
      <c r="AZ70" s="63">
        <f>IFERROR(AZ20/$B56,".")</f>
        <v>207222598.22021025</v>
      </c>
      <c r="BA70" s="189">
        <f t="shared" ref="BA70" si="253">IFERROR(BA20/$B56,0)</f>
        <v>6.4690405867067025E-16</v>
      </c>
      <c r="BB70" s="49" t="str">
        <f>IF(AR70=".",".",s_RadSpec!$I$20*BB20*$B$70)</f>
        <v>.</v>
      </c>
      <c r="BC70" s="49">
        <f>IF(AS70=".",".",s_RadSpec!$M$20*BC20*$B$70)</f>
        <v>1.2064321273219985E-7</v>
      </c>
      <c r="BD70" s="49" t="str">
        <f>IF(AT70=".",".",s_RadSpec!$F$20*BD20*$B$70)</f>
        <v>.</v>
      </c>
      <c r="BE70" s="49" t="str">
        <f>IF(AU70=".",".",s_RadSpec!$F$20*BE20*$B$70)</f>
        <v>.</v>
      </c>
      <c r="BF70" s="49">
        <f t="shared" si="60"/>
        <v>1.2064321273219985E-7</v>
      </c>
      <c r="BG70" s="63" t="str">
        <f>IFERROR(BG20/$B56,".")</f>
        <v>.</v>
      </c>
      <c r="BH70" s="63" t="str">
        <f>IFERROR(BH20/$B56,".")</f>
        <v>.</v>
      </c>
      <c r="BI70" s="189">
        <f t="shared" ref="BI70:BJ70" si="254">IFERROR(BI20/$B56,0)</f>
        <v>0</v>
      </c>
      <c r="BJ70" s="189">
        <f t="shared" si="254"/>
        <v>0</v>
      </c>
      <c r="BK70" s="49" t="str">
        <f>IF(BG70=".",".",s_RadSpec!$F$20*BK20*$B$70)</f>
        <v>.</v>
      </c>
      <c r="BL70" s="49" t="str">
        <f>IF(BH70=".",".",s_RadSpec!$F$20*BL20*$B$70)</f>
        <v>.</v>
      </c>
    </row>
    <row r="71" spans="1:64" x14ac:dyDescent="0.25">
      <c r="A71" s="48" t="s">
        <v>1078</v>
      </c>
      <c r="B71" s="45">
        <v>2.0999995799999999E-4</v>
      </c>
      <c r="C71" s="170"/>
      <c r="D71" s="60" t="str">
        <f>IFERROR(D29/$B57,".")</f>
        <v>.</v>
      </c>
      <c r="E71" s="60" t="str">
        <f>IFERROR(E29/$B57,".")</f>
        <v>.</v>
      </c>
      <c r="F71" s="60">
        <f>IFERROR(F29/$B57,".")</f>
        <v>401486.80426791555</v>
      </c>
      <c r="G71" s="63" t="str">
        <f>IFERROR(G29/$B57,".")</f>
        <v>.</v>
      </c>
      <c r="H71" s="63" t="str">
        <f>IFERROR(H29/$B57,".")</f>
        <v>.</v>
      </c>
      <c r="I71" s="233">
        <f t="shared" si="234"/>
        <v>0</v>
      </c>
      <c r="J71" s="233">
        <f t="shared" si="235"/>
        <v>0</v>
      </c>
      <c r="K71" s="233">
        <f t="shared" si="236"/>
        <v>2.4907418858346624E-6</v>
      </c>
      <c r="L71" s="233">
        <f t="shared" si="237"/>
        <v>0</v>
      </c>
      <c r="M71" s="233">
        <f t="shared" si="238"/>
        <v>0</v>
      </c>
      <c r="N71" s="63">
        <f>IFERROR(N29/$B57,".")</f>
        <v>401486.80426791555</v>
      </c>
      <c r="O71" s="189">
        <f>IFERROR(O29/$B57,0)</f>
        <v>5.8389747561338466E-10</v>
      </c>
      <c r="P71" s="49" t="str">
        <f>IF(D71=".",".",s_RadSpec!$E$29*P29*$B$71)</f>
        <v>.</v>
      </c>
      <c r="Q71" s="49" t="str">
        <f>IF(E71=".",".",s_RadSpec!$H$29*Q29*$B$71)</f>
        <v>.</v>
      </c>
      <c r="R71" s="49">
        <f>IF(F71=".",".",s_RadSpec!$G$29*R29*$B$71)</f>
        <v>6.2268547145866558E-5</v>
      </c>
      <c r="S71" s="49" t="str">
        <f>IF(G71=".",".",s_RadSpec!$F$29*S29*$B$71)</f>
        <v>.</v>
      </c>
      <c r="T71" s="49" t="str">
        <f>IF(H71=".",".",s_RadSpec!$F$29*T29*$B$71)</f>
        <v>.</v>
      </c>
      <c r="U71" s="49">
        <f t="shared" si="220"/>
        <v>6.2268547145866558E-5</v>
      </c>
      <c r="V71" s="60">
        <f>IFERROR(V29/$B57,".")</f>
        <v>401486.80426791555</v>
      </c>
      <c r="W71" s="60">
        <f>IFERROR(W29/$B57,".")</f>
        <v>4386801.7390796365</v>
      </c>
      <c r="X71" s="60">
        <f>IFERROR(X29/$B57,".")</f>
        <v>1088158.7683180787</v>
      </c>
      <c r="Y71" s="60">
        <f>IFERROR(Y29/$B57,".")</f>
        <v>574308.62735743565</v>
      </c>
      <c r="Z71" s="60">
        <f>IFERROR(Z29/$B57,".")</f>
        <v>7819502.6283167209</v>
      </c>
      <c r="AA71" s="189">
        <f t="shared" ref="AA71:AE71" si="255">IFERROR(AA29/$B57,0)</f>
        <v>5.8389747561338466E-10</v>
      </c>
      <c r="AB71" s="189">
        <f t="shared" si="255"/>
        <v>6.3798920269263264E-9</v>
      </c>
      <c r="AC71" s="189">
        <f t="shared" si="255"/>
        <v>1.5825505374854262E-9</v>
      </c>
      <c r="AD71" s="189">
        <f t="shared" si="255"/>
        <v>8.3523880280065492E-10</v>
      </c>
      <c r="AE71" s="189">
        <f t="shared" si="255"/>
        <v>1.1372199027940083E-8</v>
      </c>
      <c r="AF71" s="49">
        <f>IF(V71=".",".",s_RadSpec!$G$29*AF29*$B$71)</f>
        <v>6.2268547145866558E-5</v>
      </c>
      <c r="AG71" s="49">
        <f>IF(W71=".",".",s_RadSpec!$N$29*AG29*$B$71)</f>
        <v>5.6989126673513798E-6</v>
      </c>
      <c r="AH71" s="49">
        <f>IF(X71=".",".",s_RadSpec!$O$29*AH29*$B$71)</f>
        <v>2.2974588569130818E-5</v>
      </c>
      <c r="AI71" s="49">
        <f>IF(Y71=".",".",s_RadSpec!$P$29*AI29*$B$71)</f>
        <v>4.3530601507820669E-5</v>
      </c>
      <c r="AJ71" s="49">
        <f>IF(Z71=".",".",s_RadSpec!$L$29*AJ29*$B$71)</f>
        <v>3.1971342920798627E-6</v>
      </c>
      <c r="AK71" s="60" t="str">
        <f>IFERROR(AK29/$B57,".")</f>
        <v>.</v>
      </c>
      <c r="AL71" s="60">
        <f>IFERROR(AL29/$B57,".")</f>
        <v>98417557.380911469</v>
      </c>
      <c r="AM71" s="60">
        <f>IFERROR(AM29/$B57,".")</f>
        <v>98417557.380911469</v>
      </c>
      <c r="AN71" s="189">
        <f t="shared" ref="AN71" si="256">IFERROR(AN29/$B57,0)</f>
        <v>1.4313238367954489E-10</v>
      </c>
      <c r="AO71" s="49" t="str">
        <f>IF(AK71=".",".",s_RadSpec!$H$29*AO29*$B$71)</f>
        <v>.</v>
      </c>
      <c r="AP71" s="49">
        <f>IF(AL71=".",".",s_RadSpec!$K$29*AP29*$B$71)</f>
        <v>2.540197162508411E-7</v>
      </c>
      <c r="AQ71" s="49">
        <f t="shared" si="223"/>
        <v>2.540197162508411E-7</v>
      </c>
      <c r="AR71" s="60" t="str">
        <f>IFERROR(AR29/$B57,".")</f>
        <v>.</v>
      </c>
      <c r="AS71" s="60">
        <f>IFERROR(AS29/$B57,".")</f>
        <v>28489292.926053319</v>
      </c>
      <c r="AT71" s="63" t="str">
        <f>IFERROR(AT29/$B57,".")</f>
        <v>.</v>
      </c>
      <c r="AU71" s="63" t="str">
        <f>IFERROR(AU29/$B57,".")</f>
        <v>.</v>
      </c>
      <c r="AV71" s="233">
        <f t="shared" si="54"/>
        <v>0</v>
      </c>
      <c r="AW71" s="233">
        <f t="shared" si="55"/>
        <v>3.5100906245570767E-8</v>
      </c>
      <c r="AX71" s="233">
        <f t="shared" si="56"/>
        <v>0</v>
      </c>
      <c r="AY71" s="233">
        <f t="shared" si="57"/>
        <v>0</v>
      </c>
      <c r="AZ71" s="63">
        <f>IFERROR(AZ29/$B57,".")</f>
        <v>28489292.926053319</v>
      </c>
      <c r="BA71" s="189">
        <f t="shared" ref="BA71" si="257">IFERROR(BA29/$B57,0)</f>
        <v>4.1433058433552463E-11</v>
      </c>
      <c r="BB71" s="49" t="str">
        <f>IF(AR71=".",".",s_RadSpec!$I$29*BB29*$B$71)</f>
        <v>.</v>
      </c>
      <c r="BC71" s="49">
        <f>IF(AS71=".",".",s_RadSpec!$M$29*BC29*$B$71)</f>
        <v>8.7752265613926914E-7</v>
      </c>
      <c r="BD71" s="49" t="str">
        <f>IF(AT71=".",".",s_RadSpec!$F$29*BD29*$B$71)</f>
        <v>.</v>
      </c>
      <c r="BE71" s="49" t="str">
        <f>IF(AU71=".",".",s_RadSpec!$F$29*BE29*$B$71)</f>
        <v>.</v>
      </c>
      <c r="BF71" s="49">
        <f t="shared" si="60"/>
        <v>8.7752265613926914E-7</v>
      </c>
      <c r="BG71" s="63" t="str">
        <f>IFERROR(BG29/$B57,".")</f>
        <v>.</v>
      </c>
      <c r="BH71" s="63" t="str">
        <f>IFERROR(BH29/$B57,".")</f>
        <v>.</v>
      </c>
      <c r="BI71" s="189">
        <f t="shared" ref="BI71:BJ71" si="258">IFERROR(BI29/$B57,0)</f>
        <v>0</v>
      </c>
      <c r="BJ71" s="189">
        <f t="shared" si="258"/>
        <v>0</v>
      </c>
      <c r="BK71" s="49" t="str">
        <f>IF(BG71=".",".",s_RadSpec!$F$29*BK29*$B$71)</f>
        <v>.</v>
      </c>
      <c r="BL71" s="49" t="str">
        <f>IF(BH71=".",".",s_RadSpec!$F$29*BL29*$B$71)</f>
        <v>.</v>
      </c>
    </row>
    <row r="72" spans="1:64" x14ac:dyDescent="0.25">
      <c r="A72" s="48" t="s">
        <v>1079</v>
      </c>
      <c r="B72" s="45">
        <v>1</v>
      </c>
      <c r="C72" s="170"/>
      <c r="D72" s="60">
        <f>IFERROR(D16/$B58,".")</f>
        <v>437.96835240685505</v>
      </c>
      <c r="E72" s="60">
        <f>IFERROR(E16/$B58,".")</f>
        <v>692481.68732784083</v>
      </c>
      <c r="F72" s="60">
        <f>IFERROR(F16/$B58,".")</f>
        <v>18281254852.045387</v>
      </c>
      <c r="G72" s="63">
        <f>IFERROR(G16/$B58,".")</f>
        <v>4247.7674847308263</v>
      </c>
      <c r="H72" s="63" t="str">
        <f>IFERROR(H16/$B58,".")</f>
        <v>.</v>
      </c>
      <c r="I72" s="233">
        <f t="shared" si="234"/>
        <v>2.28327E-3</v>
      </c>
      <c r="J72" s="233">
        <f t="shared" si="235"/>
        <v>1.4440815090126291E-6</v>
      </c>
      <c r="K72" s="233">
        <f t="shared" si="236"/>
        <v>5.4700840182648384E-11</v>
      </c>
      <c r="L72" s="233">
        <f t="shared" si="237"/>
        <v>2.3541778206896563E-4</v>
      </c>
      <c r="M72" s="233">
        <f t="shared" si="238"/>
        <v>0</v>
      </c>
      <c r="N72" s="63">
        <f>IFERROR(N16/$B58,".")</f>
        <v>396.80462468923957</v>
      </c>
      <c r="O72" s="189">
        <f>IFERROR(O16/$B58,0)</f>
        <v>5.1797288488434578E-6</v>
      </c>
      <c r="P72" s="49">
        <f>IF(D72=".",".",s_RadSpec!$E$16*P16*$B$72)</f>
        <v>5.7081750000000001E-2</v>
      </c>
      <c r="Q72" s="49">
        <f>IF(E72=".",".",s_RadSpec!$H$16*Q16*$B$72)</f>
        <v>3.6102037725315724E-5</v>
      </c>
      <c r="R72" s="49">
        <f>IF(F72=".",".",s_RadSpec!$G$16*R16*$B$72)</f>
        <v>1.3675210045662094E-9</v>
      </c>
      <c r="S72" s="49">
        <f>IF(G72=".",".",s_RadSpec!$F$16*S16*$B$72)</f>
        <v>5.8854445517241404E-3</v>
      </c>
      <c r="T72" s="49" t="str">
        <f>IF(H72=".",".",s_RadSpec!$F$16*T16*$B$72)</f>
        <v>.</v>
      </c>
      <c r="U72" s="49">
        <f t="shared" si="220"/>
        <v>6.3003297956970461E-2</v>
      </c>
      <c r="V72" s="60">
        <f>IFERROR(V16/$B58,".")</f>
        <v>18281254852.045387</v>
      </c>
      <c r="W72" s="60">
        <f>IFERROR(W16/$B58,".")</f>
        <v>51215283936.856201</v>
      </c>
      <c r="X72" s="60">
        <f>IFERROR(X16/$B58,".")</f>
        <v>19914682830.927044</v>
      </c>
      <c r="Y72" s="60">
        <f>IFERROR(Y16/$B58,".")</f>
        <v>19660123838.631317</v>
      </c>
      <c r="Z72" s="60">
        <f>IFERROR(Z16/$B58,".")</f>
        <v>627866297448.7915</v>
      </c>
      <c r="AA72" s="189">
        <f t="shared" ref="AA72:AE72" si="259">IFERROR(AA16/$B58,0)</f>
        <v>238.63618833665967</v>
      </c>
      <c r="AB72" s="189">
        <f t="shared" si="259"/>
        <v>668.54383039814604</v>
      </c>
      <c r="AC72" s="189">
        <f t="shared" si="259"/>
        <v>259.95830380178927</v>
      </c>
      <c r="AD72" s="189">
        <f t="shared" si="259"/>
        <v>256.63539253995776</v>
      </c>
      <c r="AE72" s="189">
        <f t="shared" si="259"/>
        <v>8195.915500377545</v>
      </c>
      <c r="AF72" s="49">
        <f>IF(V72=".",".",s_RadSpec!$G$16*AF16*$B$72)</f>
        <v>1.3675210045662094E-9</v>
      </c>
      <c r="AG72" s="49">
        <f>IF(W72=".",".",s_RadSpec!$N$16*AG16*$B$72)</f>
        <v>4.8813553451783518E-10</v>
      </c>
      <c r="AH72" s="49">
        <f>IF(X72=".",".",s_RadSpec!$O$16*AH16*$B$72)</f>
        <v>1.2553551674534115E-9</v>
      </c>
      <c r="AI72" s="49">
        <f>IF(Y72=".",".",s_RadSpec!$P$16*AI16*$B$72)</f>
        <v>1.2716094875697611E-9</v>
      </c>
      <c r="AJ72" s="49">
        <f>IF(Z72=".",".",s_RadSpec!$L$16*AJ16*$B$72)</f>
        <v>3.981739440639269E-11</v>
      </c>
      <c r="AK72" s="60">
        <f>IFERROR(AK16/$B58,".")</f>
        <v>2.2352261158231306</v>
      </c>
      <c r="AL72" s="60">
        <f>IFERROR(AL16/$B58,".")</f>
        <v>57922168.683055773</v>
      </c>
      <c r="AM72" s="60">
        <f>IFERROR(AM16/$B58,".")</f>
        <v>2.2352260295653865</v>
      </c>
      <c r="AN72" s="189">
        <f t="shared" ref="AN72" si="260">IFERROR(AN16/$B58,0)</f>
        <v>2.9177746499534728E-11</v>
      </c>
      <c r="AO72" s="49">
        <f>IF(AK72=".",".",s_RadSpec!$H$16*AO16*$B$72)</f>
        <v>11.18455078125</v>
      </c>
      <c r="AP72" s="49">
        <f>IF(AL72=".",".",s_RadSpec!$K$16*AP16*$B$72)</f>
        <v>4.3161367345890415E-7</v>
      </c>
      <c r="AQ72" s="49">
        <f t="shared" si="223"/>
        <v>11.184551212863672</v>
      </c>
      <c r="AR72" s="60">
        <f>IFERROR(AR16/$B58,".")</f>
        <v>3.0110324227971286</v>
      </c>
      <c r="AS72" s="60">
        <f>IFERROR(AS16/$B58,".")</f>
        <v>15642971.01474729</v>
      </c>
      <c r="AT72" s="63">
        <f>IFERROR(AT16/$B58,".")</f>
        <v>17205899.558840737</v>
      </c>
      <c r="AU72" s="63" t="str">
        <f>IFERROR(AU16/$B58,".")</f>
        <v>.</v>
      </c>
      <c r="AV72" s="233">
        <f t="shared" si="54"/>
        <v>0.33211200000000002</v>
      </c>
      <c r="AW72" s="233">
        <f t="shared" si="55"/>
        <v>6.3926475287671237E-8</v>
      </c>
      <c r="AX72" s="233">
        <f t="shared" si="56"/>
        <v>5.8119599999999992E-8</v>
      </c>
      <c r="AY72" s="233">
        <f t="shared" si="57"/>
        <v>0</v>
      </c>
      <c r="AZ72" s="63">
        <f>IFERROR(AZ16/$B58,".")</f>
        <v>3.0110313162892193</v>
      </c>
      <c r="BA72" s="189">
        <f t="shared" ref="BA72" si="261">IFERROR(BA16/$B58,0)</f>
        <v>3.9304798390312953E-11</v>
      </c>
      <c r="BB72" s="49">
        <f>IF(AR72=".",".",s_RadSpec!$I$16*BB16*$B$72)</f>
        <v>8.3027999999999995</v>
      </c>
      <c r="BC72" s="49">
        <f>IF(AS72=".",".",s_RadSpec!$M$16*BC16*$B$72)</f>
        <v>1.5981618821917808E-6</v>
      </c>
      <c r="BD72" s="49">
        <f>IF(AT72=".",".",s_RadSpec!$F$16*BD16*$B$72)</f>
        <v>1.4529899999999998E-6</v>
      </c>
      <c r="BE72" s="49" t="str">
        <f>IF(AU72=".",".",s_RadSpec!$F$16*BE16*$B$72)</f>
        <v>.</v>
      </c>
      <c r="BF72" s="49">
        <f t="shared" si="60"/>
        <v>8.3028030511518818</v>
      </c>
      <c r="BG72" s="63">
        <f>IFERROR(BG16/$B58,".")</f>
        <v>24.088259382377029</v>
      </c>
      <c r="BH72" s="63">
        <f>IFERROR(BH16/$B58,".")</f>
        <v>24.088259382377029</v>
      </c>
      <c r="BI72" s="189">
        <f t="shared" ref="BI72:BJ72" si="262">IFERROR(BI16/$B58,0)</f>
        <v>3.1443850267379678E-7</v>
      </c>
      <c r="BJ72" s="189">
        <f t="shared" si="262"/>
        <v>3.1443850267379678E-7</v>
      </c>
      <c r="BK72" s="49">
        <f>IF(BG72=".",".",s_RadSpec!$F$16*BK16*$B$72)</f>
        <v>1.0378499999999999</v>
      </c>
      <c r="BL72" s="49">
        <f>IF(BH72=".",".",s_RadSpec!$F$16*BL16*$B$72)</f>
        <v>1.0378499999999999</v>
      </c>
    </row>
    <row r="73" spans="1:64" x14ac:dyDescent="0.25">
      <c r="A73" s="48" t="s">
        <v>1080</v>
      </c>
      <c r="B73" s="45">
        <v>1</v>
      </c>
      <c r="C73" s="170"/>
      <c r="D73" s="60">
        <f>IFERROR(D7/$B59,".")</f>
        <v>248182.06636388457</v>
      </c>
      <c r="E73" s="60">
        <f>IFERROR(E7/$B59,".")</f>
        <v>28600442.291690964</v>
      </c>
      <c r="F73" s="60">
        <f>IFERROR(F7/$B59,".")</f>
        <v>839022.2014605056</v>
      </c>
      <c r="G73" s="63">
        <f>IFERROR(G7/$B59,".")</f>
        <v>568750.56875056867</v>
      </c>
      <c r="H73" s="63" t="str">
        <f>IFERROR(H7/$B59,".")</f>
        <v>.</v>
      </c>
      <c r="I73" s="233">
        <f t="shared" si="234"/>
        <v>4.0292999999999997E-6</v>
      </c>
      <c r="J73" s="233">
        <f t="shared" si="235"/>
        <v>3.4964494248066966E-8</v>
      </c>
      <c r="K73" s="233">
        <f t="shared" si="236"/>
        <v>1.1918635743598638E-6</v>
      </c>
      <c r="L73" s="233">
        <f t="shared" si="237"/>
        <v>1.7582400000000002E-6</v>
      </c>
      <c r="M73" s="233">
        <f t="shared" si="238"/>
        <v>0</v>
      </c>
      <c r="N73" s="63">
        <f>IFERROR(N7/$B59,".")</f>
        <v>142564.51760428643</v>
      </c>
      <c r="O73" s="189">
        <f>IFERROR(O7/$B59,0)</f>
        <v>1.1513135477511516E-6</v>
      </c>
      <c r="P73" s="49">
        <f>IF(D73=".",".",s_RadSpec!$E$7*P7*$B$73)</f>
        <v>1.0073249999999999E-4</v>
      </c>
      <c r="Q73" s="49">
        <f>IF(E73=".",".",s_RadSpec!$H$7*Q7*$B$73)</f>
        <v>8.7411235620167426E-7</v>
      </c>
      <c r="R73" s="49">
        <f>IF(F73=".",".",s_RadSpec!$G$7*R7*$B$73)</f>
        <v>2.97965893589966E-5</v>
      </c>
      <c r="S73" s="49">
        <f>IF(G73=".",".",s_RadSpec!$F$7*S7*$B$73)</f>
        <v>4.3956000000000004E-5</v>
      </c>
      <c r="T73" s="49" t="str">
        <f>IF(H73=".",".",s_RadSpec!$F$7*T7*$B$73)</f>
        <v>.</v>
      </c>
      <c r="U73" s="49">
        <f t="shared" si="220"/>
        <v>1.7535920171519827E-4</v>
      </c>
      <c r="V73" s="60">
        <f>IFERROR(V7/$B59,".")</f>
        <v>839022.2014605056</v>
      </c>
      <c r="W73" s="60">
        <f>IFERROR(W7/$B59,".")</f>
        <v>2327921.6300107753</v>
      </c>
      <c r="X73" s="60">
        <f>IFERROR(X7/$B59,".")</f>
        <v>1179112.0820385634</v>
      </c>
      <c r="Y73" s="60">
        <f>IFERROR(Y7/$B59,".")</f>
        <v>918377.36308965657</v>
      </c>
      <c r="Z73" s="60">
        <f>IFERROR(Z7/$B59,".")</f>
        <v>304692.64651778154</v>
      </c>
      <c r="AA73" s="189">
        <f t="shared" ref="AA73:AE73" si="263">IFERROR(AA7/$B59,0)</f>
        <v>6.7757226246626213E-6</v>
      </c>
      <c r="AB73" s="189">
        <f t="shared" si="263"/>
        <v>1.8799682808689039E-5</v>
      </c>
      <c r="AC73" s="189">
        <f t="shared" si="263"/>
        <v>9.5221990519136658E-6</v>
      </c>
      <c r="AD73" s="189">
        <f t="shared" si="263"/>
        <v>7.4165740384850809E-6</v>
      </c>
      <c r="AE73" s="189">
        <f t="shared" si="263"/>
        <v>2.4606176749377037E-6</v>
      </c>
      <c r="AF73" s="49">
        <f>IF(V73=".",".",s_RadSpec!$G$7*AF7*$B$73)</f>
        <v>2.97965893589966E-5</v>
      </c>
      <c r="AG73" s="49">
        <f>IF(W73=".",".",s_RadSpec!$N$7*AG7*$B$73)</f>
        <v>1.0739193140227956E-5</v>
      </c>
      <c r="AH73" s="49">
        <f>IF(X73=".",".",s_RadSpec!$O$7*AH7*$B$73)</f>
        <v>2.1202394904458595E-5</v>
      </c>
      <c r="AI73" s="49">
        <f>IF(Y73=".",".",s_RadSpec!$P$7*AI7*$B$73)</f>
        <v>2.7221925326963194E-5</v>
      </c>
      <c r="AJ73" s="49">
        <f>IF(Z73=".",".",s_RadSpec!$L$7*AJ7*$B$73)</f>
        <v>8.2049896135386491E-5</v>
      </c>
      <c r="AK73" s="60">
        <f>IFERROR(AK7/$B59,".")</f>
        <v>92.317900537078629</v>
      </c>
      <c r="AL73" s="60">
        <f>IFERROR(AL7/$B59,".")</f>
        <v>10574163.352604371</v>
      </c>
      <c r="AM73" s="60">
        <f>IFERROR(AM7/$B59,".")</f>
        <v>92.3170945612232</v>
      </c>
      <c r="AN73" s="189">
        <f t="shared" ref="AN73" si="264">IFERROR(AN7/$B59,0)</f>
        <v>7.4552857501595305E-13</v>
      </c>
      <c r="AO73" s="49">
        <f>IF(AK73=".",".",s_RadSpec!$H$7*AO7*$B$73)</f>
        <v>0.27080338541666665</v>
      </c>
      <c r="AP73" s="49">
        <f>IF(AL73=".",".",s_RadSpec!$K$7*AP7*$B$73)</f>
        <v>2.3642532431506849E-6</v>
      </c>
      <c r="AQ73" s="49">
        <f t="shared" si="223"/>
        <v>0.27080574966990978</v>
      </c>
      <c r="AR73" s="60">
        <f>IFERROR(AR7/$B59,".")</f>
        <v>1706.2517062517061</v>
      </c>
      <c r="AS73" s="60">
        <f>IFERROR(AS7/$B59,".")</f>
        <v>5721757.8543874314</v>
      </c>
      <c r="AT73" s="63">
        <f>IFERROR(AT7/$B59,".")</f>
        <v>3412503412.5034122</v>
      </c>
      <c r="AU73" s="63" t="str">
        <f>IFERROR(AU7/$B59,".")</f>
        <v>.</v>
      </c>
      <c r="AV73" s="233">
        <f t="shared" si="54"/>
        <v>5.8608000000000011E-4</v>
      </c>
      <c r="AW73" s="233">
        <f t="shared" si="55"/>
        <v>1.747714645479452E-7</v>
      </c>
      <c r="AX73" s="233">
        <f t="shared" si="56"/>
        <v>2.9304E-10</v>
      </c>
      <c r="AY73" s="233">
        <f t="shared" si="57"/>
        <v>0</v>
      </c>
      <c r="AZ73" s="63">
        <f>IFERROR(AZ7/$B59,".")</f>
        <v>1705.7421940484439</v>
      </c>
      <c r="BA73" s="189">
        <f t="shared" ref="BA73" si="265">IFERROR(BA7/$B59,0)</f>
        <v>1.3775125325571901E-11</v>
      </c>
      <c r="BB73" s="49">
        <f>IF(AR73=".",".",s_RadSpec!$I$7*BB7*$B$73)</f>
        <v>1.4652E-2</v>
      </c>
      <c r="BC73" s="49">
        <f>IF(AS73=".",".",s_RadSpec!$M$7*BC7*$B$73)</f>
        <v>4.3692866136986297E-6</v>
      </c>
      <c r="BD73" s="49">
        <f>IF(AT73=".",".",s_RadSpec!$F$7*BD7*$B$73)</f>
        <v>7.3260000000000006E-9</v>
      </c>
      <c r="BE73" s="49" t="str">
        <f>IF(AU73=".",".",s_RadSpec!$F$7*BE7*$B$73)</f>
        <v>.</v>
      </c>
      <c r="BF73" s="49">
        <f t="shared" si="60"/>
        <v>1.4656376612613698E-2</v>
      </c>
      <c r="BG73" s="63">
        <f>IFERROR(BG7/$B59,".")</f>
        <v>13650.013650013649</v>
      </c>
      <c r="BH73" s="63">
        <f>IFERROR(BH7/$B59,".")</f>
        <v>13650.013650013649</v>
      </c>
      <c r="BI73" s="189">
        <f t="shared" ref="BI73:BJ73" si="266">IFERROR(BI7/$B59,0)</f>
        <v>1.1023392009693406E-7</v>
      </c>
      <c r="BJ73" s="189">
        <f t="shared" si="266"/>
        <v>1.1023392009693406E-7</v>
      </c>
      <c r="BK73" s="49">
        <f>IF(BG73=".",".",s_RadSpec!$F$7*BK7*$B$73)</f>
        <v>1.8315E-3</v>
      </c>
      <c r="BL73" s="49">
        <f>IF(BH73=".",".",s_RadSpec!$F$7*BL7*$B$73)</f>
        <v>1.8315E-3</v>
      </c>
    </row>
    <row r="74" spans="1:64" x14ac:dyDescent="0.25">
      <c r="A74" s="48" t="s">
        <v>1081</v>
      </c>
      <c r="B74" s="45">
        <v>1.9000000000000001E-8</v>
      </c>
      <c r="C74" s="174"/>
      <c r="D74" s="60" t="str">
        <f>IFERROR(D12/$B60,".")</f>
        <v>.</v>
      </c>
      <c r="E74" s="60" t="str">
        <f>IFERROR(E12/$B60,".")</f>
        <v>.</v>
      </c>
      <c r="F74" s="60">
        <f>IFERROR(F12/$B60,".")</f>
        <v>306158216687.78442</v>
      </c>
      <c r="G74" s="63" t="str">
        <f>IFERROR(G12/$B60,".")</f>
        <v>.</v>
      </c>
      <c r="H74" s="63" t="str">
        <f>IFERROR(H12/$B60,".")</f>
        <v>.</v>
      </c>
      <c r="I74" s="233">
        <f t="shared" si="234"/>
        <v>0</v>
      </c>
      <c r="J74" s="233">
        <f t="shared" si="235"/>
        <v>0</v>
      </c>
      <c r="K74" s="233">
        <f t="shared" si="236"/>
        <v>3.2662850300692243E-12</v>
      </c>
      <c r="L74" s="233">
        <f t="shared" si="237"/>
        <v>0</v>
      </c>
      <c r="M74" s="233">
        <f t="shared" si="238"/>
        <v>0</v>
      </c>
      <c r="N74" s="63">
        <f>IFERROR(N12/$B60,".")</f>
        <v>306158216687.78442</v>
      </c>
      <c r="O74" s="189">
        <f>IFERROR(O12/$B60,0)</f>
        <v>2.7382520623895385E-3</v>
      </c>
      <c r="P74" s="49" t="str">
        <f>IF(D74=".",".",s_RadSpec!$E$12*P12*$B$74)</f>
        <v>.</v>
      </c>
      <c r="Q74" s="49" t="str">
        <f>IF(E74=".",".",s_RadSpec!$H$12*Q12*$B$74)</f>
        <v>.</v>
      </c>
      <c r="R74" s="49">
        <f>IF(F74=".",".",s_RadSpec!$G$12*R12*$B$74)</f>
        <v>8.1657125751730619E-11</v>
      </c>
      <c r="S74" s="49" t="str">
        <f>IF(G74=".",".",s_RadSpec!$F$12*S12*$B$74)</f>
        <v>.</v>
      </c>
      <c r="T74" s="49" t="str">
        <f>IF(H74=".",".",s_RadSpec!$F$12*T12*$B$74)</f>
        <v>.</v>
      </c>
      <c r="U74" s="49">
        <f t="shared" si="220"/>
        <v>8.1657125751730619E-11</v>
      </c>
      <c r="V74" s="60">
        <f>IFERROR(V12/$B60,".")</f>
        <v>306158216687.78442</v>
      </c>
      <c r="W74" s="60">
        <f>IFERROR(W12/$B60,".")</f>
        <v>2428028738038.8535</v>
      </c>
      <c r="X74" s="60">
        <f>IFERROR(X12/$B60,".")</f>
        <v>631070503920.90015</v>
      </c>
      <c r="Y74" s="60">
        <f>IFERROR(Y12/$B60,".")</f>
        <v>375784746447.88092</v>
      </c>
      <c r="Z74" s="60">
        <f>IFERROR(Z12/$B60,".")</f>
        <v>3335318582749.5996</v>
      </c>
      <c r="AA74" s="189">
        <f t="shared" ref="AA74:AE74" si="267">IFERROR(AA12/$B60,0)</f>
        <v>2.7382520623895385E-3</v>
      </c>
      <c r="AB74" s="189">
        <f t="shared" si="267"/>
        <v>2.1716074686494717E-2</v>
      </c>
      <c r="AC74" s="189">
        <f t="shared" si="267"/>
        <v>5.6442388761260313E-3</v>
      </c>
      <c r="AD74" s="189">
        <f t="shared" si="267"/>
        <v>3.3609855979295552E-3</v>
      </c>
      <c r="AE74" s="189">
        <f t="shared" si="267"/>
        <v>2.9830794961984902E-2</v>
      </c>
      <c r="AF74" s="49">
        <f>IF(V74=".",".",s_RadSpec!$G$12*AF12*$B$74)</f>
        <v>8.1657125751730619E-11</v>
      </c>
      <c r="AG74" s="49">
        <f>IF(W74=".",".",s_RadSpec!$N$12*AG12*$B$74)</f>
        <v>1.0296418493049957E-11</v>
      </c>
      <c r="AH74" s="49">
        <f>IF(X74=".",".",s_RadSpec!$O$12*AH12*$B$74)</f>
        <v>3.9615224994153046E-11</v>
      </c>
      <c r="AI74" s="49">
        <f>IF(Y74=".",".",s_RadSpec!$P$12*AI12*$B$74)</f>
        <v>6.6527447524981803E-11</v>
      </c>
      <c r="AJ74" s="49">
        <f>IF(Z74=".",".",s_RadSpec!$L$12*AJ12*$B$74)</f>
        <v>7.4955358475502156E-12</v>
      </c>
      <c r="AK74" s="60" t="str">
        <f>IFERROR(AK12/$B60,".")</f>
        <v>.</v>
      </c>
      <c r="AL74" s="60">
        <f>IFERROR(AL12/$B60,".")</f>
        <v>25824821516205.293</v>
      </c>
      <c r="AM74" s="60">
        <f>IFERROR(AM12/$B60,".")</f>
        <v>25824821516205.293</v>
      </c>
      <c r="AN74" s="189">
        <f t="shared" ref="AN74" si="268">IFERROR(AN12/$B60,0)</f>
        <v>2.3097492382412468E-4</v>
      </c>
      <c r="AO74" s="49" t="str">
        <f>IF(AK74=".",".",s_RadSpec!$H$12*AO12*$B$74)</f>
        <v>.</v>
      </c>
      <c r="AP74" s="49">
        <f>IF(AL74=".",".",s_RadSpec!$K$12*AP12*$B$74)</f>
        <v>9.6806090157534239E-13</v>
      </c>
      <c r="AQ74" s="49">
        <f t="shared" si="223"/>
        <v>9.6806090157534239E-13</v>
      </c>
      <c r="AR74" s="60" t="str">
        <f>IFERROR(AR12/$B60,".")</f>
        <v>.</v>
      </c>
      <c r="AS74" s="60">
        <f>IFERROR(AS12/$B60,".")</f>
        <v>7541281913345.6621</v>
      </c>
      <c r="AT74" s="63" t="str">
        <f>IFERROR(AT12/$B60,".")</f>
        <v>.</v>
      </c>
      <c r="AU74" s="63" t="str">
        <f>IFERROR(AU12/$B60,".")</f>
        <v>.</v>
      </c>
      <c r="AV74" s="233">
        <f t="shared" si="54"/>
        <v>0</v>
      </c>
      <c r="AW74" s="233">
        <f t="shared" si="55"/>
        <v>1.3260345011506851E-13</v>
      </c>
      <c r="AX74" s="233">
        <f t="shared" si="56"/>
        <v>0</v>
      </c>
      <c r="AY74" s="233">
        <f t="shared" si="57"/>
        <v>0</v>
      </c>
      <c r="AZ74" s="63">
        <f>IFERROR(AZ12/$B60,".")</f>
        <v>7541281913345.6621</v>
      </c>
      <c r="BA74" s="189">
        <f t="shared" ref="BA74" si="269">IFERROR(BA12/$B60,0)</f>
        <v>6.7448559688137248E-5</v>
      </c>
      <c r="BB74" s="49" t="str">
        <f>IF(AR74=".",".",s_RadSpec!$I$12*BB12*$B$74)</f>
        <v>.</v>
      </c>
      <c r="BC74" s="49">
        <f>IF(AS74=".",".",s_RadSpec!$M$12*BC12*$B$74)</f>
        <v>3.3150862528767125E-12</v>
      </c>
      <c r="BD74" s="49" t="str">
        <f>IF(AT74=".",".",s_RadSpec!$F$12*BD12*$B$74)</f>
        <v>.</v>
      </c>
      <c r="BE74" s="49" t="str">
        <f>IF(AU74=".",".",s_RadSpec!$F$12*BE12*$B$74)</f>
        <v>.</v>
      </c>
      <c r="BF74" s="49">
        <f t="shared" si="60"/>
        <v>3.3150862528767125E-12</v>
      </c>
      <c r="BG74" s="63" t="str">
        <f>IFERROR(BG12/$B60,".")</f>
        <v>.</v>
      </c>
      <c r="BH74" s="63" t="str">
        <f>IFERROR(BH12/$B60,".")</f>
        <v>.</v>
      </c>
      <c r="BI74" s="189">
        <f t="shared" ref="BI74:BJ74" si="270">IFERROR(BI12/$B60,0)</f>
        <v>0</v>
      </c>
      <c r="BJ74" s="189">
        <f t="shared" si="270"/>
        <v>0</v>
      </c>
      <c r="BK74" s="49" t="str">
        <f>IF(BG74=".",".",s_RadSpec!$F$12*BK12*$B$74)</f>
        <v>.</v>
      </c>
      <c r="BL74" s="49" t="str">
        <f>IF(BH74=".",".",s_RadSpec!$F$12*BL12*$B$74)</f>
        <v>.</v>
      </c>
    </row>
    <row r="75" spans="1:64" x14ac:dyDescent="0.25">
      <c r="A75" s="48" t="s">
        <v>1082</v>
      </c>
      <c r="B75" s="45">
        <v>1</v>
      </c>
      <c r="C75" s="170"/>
      <c r="D75" s="60">
        <f>IFERROR(D18/$B61,".")</f>
        <v>255.27298254570982</v>
      </c>
      <c r="E75" s="60">
        <f>IFERROR(E18/$B61,".")</f>
        <v>892236.02021087182</v>
      </c>
      <c r="F75" s="60">
        <f>IFERROR(F18/$B61,".")</f>
        <v>31746870.419283301</v>
      </c>
      <c r="G75" s="63">
        <f>IFERROR(G18/$B61,".")</f>
        <v>584.83925003505817</v>
      </c>
      <c r="H75" s="63">
        <f>IFERROR(H18/$B61,".")</f>
        <v>0.73104906254382263</v>
      </c>
      <c r="I75" s="233">
        <f t="shared" si="234"/>
        <v>3.9173749999999999E-3</v>
      </c>
      <c r="J75" s="233">
        <f t="shared" si="235"/>
        <v>1.1207796786366673E-6</v>
      </c>
      <c r="K75" s="233">
        <f t="shared" si="236"/>
        <v>3.14991678484501E-8</v>
      </c>
      <c r="L75" s="233">
        <f t="shared" si="237"/>
        <v>1.7098715586206894E-3</v>
      </c>
      <c r="M75" s="233">
        <f t="shared" si="238"/>
        <v>1.3678972468965518</v>
      </c>
      <c r="N75" s="63">
        <f>IFERROR(N18/$B61,".")</f>
        <v>0.72805338808624498</v>
      </c>
      <c r="O75" s="189">
        <f>IFERROR(O18/$B61,0)</f>
        <v>1.6229624106941213E-10</v>
      </c>
      <c r="P75" s="49">
        <f>IF(D75=".",".",s_RadSpec!$E$18*P18*$B$75)</f>
        <v>9.7934375000000004E-2</v>
      </c>
      <c r="Q75" s="49">
        <f>IF(E75=".",".",s_RadSpec!$H$18*Q18*$B$75)</f>
        <v>2.8019491965916681E-5</v>
      </c>
      <c r="R75" s="49">
        <f>IF(F75=".",".",s_RadSpec!$G$18*R18*$B$75)</f>
        <v>7.8747919621125235E-7</v>
      </c>
      <c r="S75" s="49">
        <f>IF(G75=".",".",s_RadSpec!$F$18*S18*$B$75)</f>
        <v>4.2746788965517243E-2</v>
      </c>
      <c r="T75" s="49">
        <f>IF(H75=".",".",s_RadSpec!$F$18*T18*$B$75)</f>
        <v>34.197431172413793</v>
      </c>
      <c r="U75" s="49">
        <f t="shared" si="220"/>
        <v>34.33814114335047</v>
      </c>
      <c r="V75" s="60">
        <f>IFERROR(V18/$B61,".")</f>
        <v>31746870.419283301</v>
      </c>
      <c r="W75" s="60">
        <f>IFERROR(W18/$B61,".")</f>
        <v>323736998.74518651</v>
      </c>
      <c r="X75" s="60">
        <f>IFERROR(X18/$B61,".")</f>
        <v>79079160.681707725</v>
      </c>
      <c r="Y75" s="60">
        <f>IFERROR(Y18/$B61,".")</f>
        <v>41693599.059610948</v>
      </c>
      <c r="Z75" s="60">
        <f>IFERROR(Z18/$B61,".")</f>
        <v>558886214.90606248</v>
      </c>
      <c r="AA75" s="189">
        <f t="shared" ref="AA75:AE75" si="271">IFERROR(AA18/$B61,0)</f>
        <v>7.0769504257248801E-3</v>
      </c>
      <c r="AB75" s="189">
        <f t="shared" si="271"/>
        <v>7.2166820251391692E-2</v>
      </c>
      <c r="AC75" s="189">
        <f t="shared" si="271"/>
        <v>1.7628172240639135E-2</v>
      </c>
      <c r="AD75" s="189">
        <f t="shared" si="271"/>
        <v>9.2942557712930394E-3</v>
      </c>
      <c r="AE75" s="189">
        <f t="shared" si="271"/>
        <v>0.12458582481594152</v>
      </c>
      <c r="AF75" s="49">
        <f>IF(V75=".",".",s_RadSpec!$G$18*AF18*$B$75)</f>
        <v>7.8747919621125235E-7</v>
      </c>
      <c r="AG75" s="49">
        <f>IF(W75=".",".",s_RadSpec!$N$18*AG18*$B$75)</f>
        <v>7.7223178372878859E-8</v>
      </c>
      <c r="AH75" s="49">
        <f>IF(X75=".",".",s_RadSpec!$O$18*AH18*$B$75)</f>
        <v>3.1613891427887766E-7</v>
      </c>
      <c r="AI75" s="49">
        <f>IF(Y75=".",".",s_RadSpec!$P$18*AI18*$B$75)</f>
        <v>5.9961242406194131E-7</v>
      </c>
      <c r="AJ75" s="49">
        <f>IF(Z75=".",".",s_RadSpec!$L$18*AJ18*$B$75)</f>
        <v>4.4731824355700028E-8</v>
      </c>
      <c r="AK75" s="60">
        <f>IFERROR(AK18/$B61,".")</f>
        <v>2.8800028800028801</v>
      </c>
      <c r="AL75" s="60">
        <f>IFERROR(AL18/$B61,".")</f>
        <v>6130638528.026804</v>
      </c>
      <c r="AM75" s="60">
        <f>IFERROR(AM18/$B61,".")</f>
        <v>2.8800028786499352</v>
      </c>
      <c r="AN75" s="189">
        <f t="shared" ref="AN75" si="272">IFERROR(AN18/$B61,0)</f>
        <v>6.4200462373042502E-13</v>
      </c>
      <c r="AO75" s="49">
        <f>IF(AK75=".",".",s_RadSpec!$H$18*AO18*$B$75)</f>
        <v>8.6805468749999992</v>
      </c>
      <c r="AP75" s="49">
        <f>IF(AL75=".",".",s_RadSpec!$K$18*AP18*$B$75)</f>
        <v>4.0778786558219176E-9</v>
      </c>
      <c r="AQ75" s="49">
        <f t="shared" si="223"/>
        <v>8.6805468790778786</v>
      </c>
      <c r="AR75" s="60">
        <f>IFERROR(AR18/$B61,".")</f>
        <v>1.7550017550017551</v>
      </c>
      <c r="AS75" s="60">
        <f>IFERROR(AS18/$B61,".")</f>
        <v>1766926259.6968441</v>
      </c>
      <c r="AT75" s="63">
        <f>IFERROR(AT18/$B61,".")</f>
        <v>2340002.3400023403</v>
      </c>
      <c r="AU75" s="63">
        <f>IFERROR(AU18/$B61,".")</f>
        <v>2925.0029250029256</v>
      </c>
      <c r="AV75" s="233">
        <f t="shared" si="54"/>
        <v>0.56979999999999997</v>
      </c>
      <c r="AW75" s="233">
        <f t="shared" si="55"/>
        <v>5.6595457479452059E-10</v>
      </c>
      <c r="AX75" s="233">
        <f t="shared" si="56"/>
        <v>4.2734999999999997E-7</v>
      </c>
      <c r="AY75" s="233">
        <f t="shared" si="57"/>
        <v>3.4187999999999992E-4</v>
      </c>
      <c r="AZ75" s="63">
        <f>IFERROR(AZ18/$B61,".")</f>
        <v>1.7539480689572176</v>
      </c>
      <c r="BA75" s="189">
        <f t="shared" ref="BA75" si="273">IFERROR(BA18/$B61,0)</f>
        <v>3.9098668213187388E-13</v>
      </c>
      <c r="BB75" s="49">
        <f>IF(AR75=".",".",s_RadSpec!$I$18*BB18*$B$75)</f>
        <v>14.244999999999999</v>
      </c>
      <c r="BC75" s="49">
        <f>IF(AS75=".",".",s_RadSpec!$M$18*BC18*$B$75)</f>
        <v>1.4148864369863012E-8</v>
      </c>
      <c r="BD75" s="49">
        <f>IF(AT75=".",".",s_RadSpec!$F$18*BD18*$B$75)</f>
        <v>1.0683749999999999E-5</v>
      </c>
      <c r="BE75" s="49">
        <f>IF(AU75=".",".",s_RadSpec!$F$18*BE18*$B$75)</f>
        <v>8.5470000000000008E-3</v>
      </c>
      <c r="BF75" s="49">
        <f t="shared" si="60"/>
        <v>14.253557697898865</v>
      </c>
      <c r="BG75" s="63">
        <f>IFERROR(BG18/$B61,".")</f>
        <v>14.040014040014041</v>
      </c>
      <c r="BH75" s="63">
        <f>IFERROR(BH18/$B61,".")</f>
        <v>14.040014040014041</v>
      </c>
      <c r="BI75" s="189">
        <f t="shared" ref="BI75:BJ75" si="274">IFERROR(BI18/$B61,0)</f>
        <v>3.1297725421561019E-9</v>
      </c>
      <c r="BJ75" s="189">
        <f t="shared" si="274"/>
        <v>3.1297725421561019E-9</v>
      </c>
      <c r="BK75" s="49">
        <f>IF(BG75=".",".",s_RadSpec!$F$18*BK18*$B$75)</f>
        <v>1.7806249999999999</v>
      </c>
      <c r="BL75" s="49">
        <f>IF(BH75=".",".",s_RadSpec!$F$18*BL18*$B$75)</f>
        <v>1.7806249999999999</v>
      </c>
    </row>
    <row r="76" spans="1:64" x14ac:dyDescent="0.25">
      <c r="A76" s="48" t="s">
        <v>1083</v>
      </c>
      <c r="B76" s="45">
        <v>1.339E-6</v>
      </c>
      <c r="C76" s="170"/>
      <c r="D76" s="60" t="str">
        <f>IFERROR(D27/$B62,".")</f>
        <v>.</v>
      </c>
      <c r="E76" s="60" t="str">
        <f>IFERROR(E27/$B62,".")</f>
        <v>.</v>
      </c>
      <c r="F76" s="60">
        <f>IFERROR(F27/$B62,".")</f>
        <v>171795379282.72324</v>
      </c>
      <c r="G76" s="63" t="str">
        <f>IFERROR(G27/$B62,".")</f>
        <v>.</v>
      </c>
      <c r="H76" s="63" t="str">
        <f>IFERROR(H27/$B62,".")</f>
        <v>.</v>
      </c>
      <c r="I76" s="233">
        <f t="shared" si="234"/>
        <v>0</v>
      </c>
      <c r="J76" s="233">
        <f t="shared" si="235"/>
        <v>0</v>
      </c>
      <c r="K76" s="233">
        <f t="shared" si="236"/>
        <v>5.8208783273169559E-12</v>
      </c>
      <c r="L76" s="233">
        <f t="shared" si="237"/>
        <v>0</v>
      </c>
      <c r="M76" s="233">
        <f t="shared" si="238"/>
        <v>0</v>
      </c>
      <c r="N76" s="63">
        <f>IFERROR(N27/$B62,".")</f>
        <v>171795379282.72324</v>
      </c>
      <c r="O76" s="189">
        <f>IFERROR(O27/$B62,0)</f>
        <v>7.9182765227388556E-4</v>
      </c>
      <c r="P76" s="49" t="str">
        <f>IF(D76=".",".",s_RadSpec!$E$27*P27*$B$76)</f>
        <v>.</v>
      </c>
      <c r="Q76" s="49" t="str">
        <f>IF(E76=".",".",s_RadSpec!$H$27*Q27*$B$76)</f>
        <v>.</v>
      </c>
      <c r="R76" s="49">
        <f>IF(F76=".",".",s_RadSpec!$G$27*R27*$B$76)</f>
        <v>1.4552195818292387E-10</v>
      </c>
      <c r="S76" s="49" t="str">
        <f>IF(G76=".",".",s_RadSpec!$F$27*S27*$B$76)</f>
        <v>.</v>
      </c>
      <c r="T76" s="49" t="str">
        <f>IF(H76=".",".",s_RadSpec!$F$27*T27*$B$76)</f>
        <v>.</v>
      </c>
      <c r="U76" s="49">
        <f t="shared" si="220"/>
        <v>1.4552195818292387E-10</v>
      </c>
      <c r="V76" s="60">
        <f>IFERROR(V27/$B62,".")</f>
        <v>171795379282.72324</v>
      </c>
      <c r="W76" s="60">
        <f>IFERROR(W27/$B62,".")</f>
        <v>858494807120.97998</v>
      </c>
      <c r="X76" s="60">
        <f>IFERROR(X27/$B62,".")</f>
        <v>377538304295.94934</v>
      </c>
      <c r="Y76" s="60">
        <f>IFERROR(Y27/$B62,".")</f>
        <v>233056678611.55307</v>
      </c>
      <c r="Z76" s="60">
        <f>IFERROR(Z27/$B62,".")</f>
        <v>284668197179.11395</v>
      </c>
      <c r="AA76" s="189">
        <f t="shared" ref="AA76:AE76" si="275">IFERROR(AA27/$B62,0)</f>
        <v>7.9182765227388556E-4</v>
      </c>
      <c r="AB76" s="189">
        <f t="shared" si="275"/>
        <v>3.9569162479813598E-3</v>
      </c>
      <c r="AC76" s="189">
        <f t="shared" si="275"/>
        <v>1.7401240381567642E-3</v>
      </c>
      <c r="AD76" s="189">
        <f t="shared" si="275"/>
        <v>1.0741890931073141E-3</v>
      </c>
      <c r="AE76" s="189">
        <f t="shared" si="275"/>
        <v>1.3120734165872046E-3</v>
      </c>
      <c r="AF76" s="49">
        <f>IF(V76=".",".",s_RadSpec!$G$27*AF27*$B$76)</f>
        <v>1.4552195818292387E-10</v>
      </c>
      <c r="AG76" s="49">
        <f>IF(W76=".",".",s_RadSpec!$N$27*AG27*$B$76)</f>
        <v>2.9120735259703185E-11</v>
      </c>
      <c r="AH76" s="49">
        <f>IF(X76=".",".",s_RadSpec!$O$27*AH27*$B$76)</f>
        <v>6.6218446487492548E-11</v>
      </c>
      <c r="AI76" s="49">
        <f>IF(Y76=".",".",s_RadSpec!$P$27*AI27*$B$76)</f>
        <v>1.0727004327418875E-10</v>
      </c>
      <c r="AJ76" s="49">
        <f>IF(Z76=".",".",s_RadSpec!$L$27*AJ27*$B$76)</f>
        <v>8.7821541878350165E-11</v>
      </c>
      <c r="AK76" s="60" t="str">
        <f>IFERROR(AK27/$B62,".")</f>
        <v>.</v>
      </c>
      <c r="AL76" s="60">
        <f>IFERROR(AL27/$B62,".")</f>
        <v>5132094414177.8936</v>
      </c>
      <c r="AM76" s="60">
        <f>IFERROR(AM27/$B62,".")</f>
        <v>5132094414177.8936</v>
      </c>
      <c r="AN76" s="189">
        <f t="shared" ref="AN76" si="276">IFERROR(AN27/$B62,0)</f>
        <v>2.365450274735694E-5</v>
      </c>
      <c r="AO76" s="49" t="str">
        <f>IF(AK76=".",".",s_RadSpec!$H$27*AO27*$B$76)</f>
        <v>.</v>
      </c>
      <c r="AP76" s="49">
        <f>IF(AL76=".",".",s_RadSpec!$K$27*AP27*$B$76)</f>
        <v>4.8713055494332189E-12</v>
      </c>
      <c r="AQ76" s="49">
        <f t="shared" si="223"/>
        <v>4.8713055494332189E-12</v>
      </c>
      <c r="AR76" s="60" t="str">
        <f>IFERROR(AR27/$B62,".")</f>
        <v>.</v>
      </c>
      <c r="AS76" s="60">
        <f>IFERROR(AS27/$B62,".")</f>
        <v>2680844055827.1372</v>
      </c>
      <c r="AT76" s="63" t="str">
        <f>IFERROR(AT27/$B62,".")</f>
        <v>.</v>
      </c>
      <c r="AU76" s="63" t="str">
        <f>IFERROR(AU27/$B62,".")</f>
        <v>.</v>
      </c>
      <c r="AV76" s="233">
        <f t="shared" si="54"/>
        <v>0</v>
      </c>
      <c r="AW76" s="233">
        <f t="shared" si="55"/>
        <v>3.7301684811780813E-13</v>
      </c>
      <c r="AX76" s="233">
        <f t="shared" si="56"/>
        <v>0</v>
      </c>
      <c r="AY76" s="233">
        <f t="shared" si="57"/>
        <v>0</v>
      </c>
      <c r="AZ76" s="63">
        <f>IFERROR(AZ27/$B62,".")</f>
        <v>2680844055827.1372</v>
      </c>
      <c r="BA76" s="189">
        <f t="shared" ref="BA76" si="277">IFERROR(BA27/$B62,0)</f>
        <v>1.2356365250921979E-5</v>
      </c>
      <c r="BB76" s="49" t="str">
        <f>IF(AR76=".",".",s_RadSpec!$I$27*BB27*$B$76)</f>
        <v>.</v>
      </c>
      <c r="BC76" s="49">
        <f>IF(AS76=".",".",s_RadSpec!$M$27*BC27*$B$76)</f>
        <v>9.3254212029452056E-12</v>
      </c>
      <c r="BD76" s="49" t="str">
        <f>IF(AT76=".",".",s_RadSpec!$F$27*BD27*$B$76)</f>
        <v>.</v>
      </c>
      <c r="BE76" s="49" t="str">
        <f>IF(AU76=".",".",s_RadSpec!$F$27*BE27*$B$76)</f>
        <v>.</v>
      </c>
      <c r="BF76" s="49">
        <f t="shared" si="60"/>
        <v>9.3254212029452056E-12</v>
      </c>
      <c r="BG76" s="63" t="str">
        <f>IFERROR(BG27/$B62,".")</f>
        <v>.</v>
      </c>
      <c r="BH76" s="63" t="str">
        <f>IFERROR(BH27/$B62,".")</f>
        <v>.</v>
      </c>
      <c r="BI76" s="189">
        <f t="shared" ref="BI76:BJ76" si="278">IFERROR(BI27/$B62,0)</f>
        <v>0</v>
      </c>
      <c r="BJ76" s="189">
        <f t="shared" si="278"/>
        <v>0</v>
      </c>
      <c r="BK76" s="49" t="str">
        <f>IF(BG76=".",".",s_RadSpec!$F$27*BK27*$B$76)</f>
        <v>.</v>
      </c>
      <c r="BL76" s="49" t="str">
        <f>IF(BH76=".",".",s_RadSpec!$F$27*BL27*$B$76)</f>
        <v>.</v>
      </c>
    </row>
  </sheetData>
  <sheetProtection algorithmName="SHA-512" hashValue="BU47PDHkHrJJ+c+IipXEYd8vD721zRE/z9Bf3DSfRd9N4IgXn8Zewg6W/570I/NjKsggLVzdWN+RUZV/QqhjDQ==" saltValue="pF+ITTRU+foIDKenMH84aQ==" spinCount="100000" sheet="1" formatColumns="0" formatRows="0" autoFilter="0"/>
  <autoFilter ref="D1:BL76" xr:uid="{00000000-0001-0000-1600-000000000000}"/>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9" tint="-0.499984740745262"/>
  </sheetPr>
  <dimension ref="A1:M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RowHeight="15" x14ac:dyDescent="0.25"/>
  <cols>
    <col min="1" max="1" width="13.140625" style="4" bestFit="1" customWidth="1"/>
    <col min="2" max="2" width="12" style="4" bestFit="1" customWidth="1"/>
    <col min="3" max="3" width="13.28515625" style="4" customWidth="1"/>
    <col min="4" max="4" width="17.7109375" bestFit="1" customWidth="1"/>
    <col min="5" max="6" width="18.85546875" bestFit="1" customWidth="1"/>
    <col min="7" max="7" width="18.140625" style="3" bestFit="1" customWidth="1"/>
    <col min="8" max="8" width="20.140625" bestFit="1" customWidth="1"/>
    <col min="9" max="9" width="19.28515625" style="3" bestFit="1" customWidth="1"/>
    <col min="10" max="10" width="18.85546875" bestFit="1" customWidth="1"/>
    <col min="11" max="11" width="18.140625" style="3" bestFit="1" customWidth="1"/>
    <col min="12" max="12" width="20.140625" bestFit="1" customWidth="1"/>
    <col min="13" max="13" width="19.28515625" style="3" bestFit="1" customWidth="1"/>
  </cols>
  <sheetData>
    <row r="1" spans="1:13" x14ac:dyDescent="0.25">
      <c r="A1" s="72" t="s">
        <v>39</v>
      </c>
      <c r="B1" s="73" t="s">
        <v>334</v>
      </c>
      <c r="C1" s="72"/>
      <c r="D1" s="105" t="s">
        <v>1221</v>
      </c>
      <c r="E1" s="105" t="s">
        <v>1509</v>
      </c>
      <c r="F1" s="105" t="s">
        <v>1316</v>
      </c>
      <c r="G1" s="189" t="s">
        <v>1543</v>
      </c>
      <c r="H1" s="105" t="s">
        <v>1514</v>
      </c>
      <c r="I1" s="189" t="s">
        <v>1542</v>
      </c>
      <c r="J1" s="105" t="s">
        <v>1315</v>
      </c>
      <c r="K1" s="189" t="s">
        <v>1541</v>
      </c>
      <c r="L1" s="105" t="s">
        <v>1515</v>
      </c>
      <c r="M1" s="189" t="s">
        <v>1540</v>
      </c>
    </row>
    <row r="2" spans="1:13" x14ac:dyDescent="0.25">
      <c r="A2" s="44" t="s">
        <v>0</v>
      </c>
      <c r="B2" s="42" t="s">
        <v>1057</v>
      </c>
      <c r="C2" s="42"/>
      <c r="D2" s="114">
        <f>IF(s_RadSpec!AX2*s_DAF=0,".",s_RadSpec!AX2*s_DAF)</f>
        <v>109.22353435187127</v>
      </c>
      <c r="E2" s="114">
        <f>IFERROR(s_res!AP2*s_DAF,".")</f>
        <v>542.22364527781622</v>
      </c>
      <c r="F2" s="114">
        <f>IFERROR((D2*0.001*(s_RadSpec!AU2+(s_θw/s_ρb))*1),".")</f>
        <v>185.70731428176913</v>
      </c>
      <c r="G2" s="189">
        <f>IFERROR(F2*(0.0000000000000028)*s_RadSpec!$AY2*s_RadSpec!$AF2,0)</f>
        <v>3.2053591232195768E-12</v>
      </c>
      <c r="H2" s="114">
        <f>IFERROR((E2*0.001*(s_RadSpec!AU2+(s_θw/s_ρb))*1),".")</f>
        <v>921.91575288360696</v>
      </c>
      <c r="I2" s="189">
        <f>IFERROR(H2*(0.0000000000000028)*s_RadSpec!$AY2*s_RadSpec!$AF2,0)</f>
        <v>1.5912518474429382E-11</v>
      </c>
      <c r="J2" s="114">
        <f t="shared" ref="J2:J30" si="0">IFERROR((D2*s_ls2gw*s_ED_s2gw)/(s_ρb*s_d_s*1000),".")</f>
        <v>0.38228237023154943</v>
      </c>
      <c r="K2" s="189">
        <f>IFERROR(J2*(0.0000000000000028)*s_RadSpec!$AY2*s_RadSpec!$AF2,0)</f>
        <v>6.5982984450924965E-15</v>
      </c>
      <c r="L2" s="114">
        <f t="shared" ref="L2:L30" si="1">IFERROR((E2*s_ls2gw*s_ED_s2gw)/(s_ρb*s_d_s*1000),".")</f>
        <v>1.8977827584723568</v>
      </c>
      <c r="M2" s="189">
        <f>IFERROR(L2*(0.0000000000000028)*s_RadSpec!$AY2*s_RadSpec!$AF2,0)</f>
        <v>3.2756250351714654E-14</v>
      </c>
    </row>
    <row r="3" spans="1:13" x14ac:dyDescent="0.25">
      <c r="A3" s="46" t="s">
        <v>1</v>
      </c>
      <c r="B3" s="42" t="s">
        <v>335</v>
      </c>
      <c r="C3" s="42"/>
      <c r="D3" s="114">
        <f>IF(s_RadSpec!AX3*s_DAF=0,".",s_RadSpec!AX3*s_DAF)</f>
        <v>109.22353435187127</v>
      </c>
      <c r="E3" s="114">
        <f>IFERROR(s_res!AP3*s_DAF,".")</f>
        <v>119.42490550394008</v>
      </c>
      <c r="F3" s="114">
        <f>IFERROR((D3*0.001*(s_RadSpec!AU3+(s_θw/s_ρb))*1),".")</f>
        <v>0.46420002099545288</v>
      </c>
      <c r="G3" s="189">
        <f>IFERROR(F3*(0.0000000000000028)*s_RadSpec!$AY3*s_RadSpec!$AF3,0)</f>
        <v>1.3538326767529361E-10</v>
      </c>
      <c r="H3" s="114">
        <f>IFERROR((E3*0.001*(s_RadSpec!AU3+(s_θw/s_ρb))*1),".")</f>
        <v>0.50755584839174539</v>
      </c>
      <c r="I3" s="189">
        <f>IFERROR(H3*(0.0000000000000028)*s_RadSpec!$AY3*s_RadSpec!$AF3,0)</f>
        <v>1.4802793230303087E-10</v>
      </c>
      <c r="J3" s="114">
        <f t="shared" si="0"/>
        <v>0.38228237023154943</v>
      </c>
      <c r="K3" s="189">
        <f>IFERROR(J3*(0.0000000000000028)*s_RadSpec!$AY3*s_RadSpec!$AF3,0)</f>
        <v>1.1149210279141827E-10</v>
      </c>
      <c r="L3" s="114">
        <f t="shared" si="1"/>
        <v>0.41798716926379031</v>
      </c>
      <c r="M3" s="189">
        <f>IFERROR(L3*(0.0000000000000028)*s_RadSpec!$AY3*s_RadSpec!$AF3,0)</f>
        <v>1.219053560142607E-10</v>
      </c>
    </row>
    <row r="4" spans="1:13" x14ac:dyDescent="0.25">
      <c r="A4" s="44" t="s">
        <v>2</v>
      </c>
      <c r="B4" s="42" t="s">
        <v>1057</v>
      </c>
      <c r="C4" s="42"/>
      <c r="D4" s="114">
        <f>IF(s_RadSpec!AX4*s_DAF=0,".",s_RadSpec!AX4*s_DAF)</f>
        <v>109.22353435187127</v>
      </c>
      <c r="E4" s="114">
        <f>IFERROR(s_res!AP4*s_DAF,".")</f>
        <v>537475565.47592759</v>
      </c>
      <c r="F4" s="114">
        <f>IFERROR((D4*0.001*(s_RadSpec!AU4+(s_θw/s_ρb))*1),".")</f>
        <v>1.1195412271066805</v>
      </c>
      <c r="G4" s="189">
        <f>IFERROR(F4*(0.0000000000000028)*s_RadSpec!$AY4*s_RadSpec!$AF4,0)</f>
        <v>6.9671277149155568E-22</v>
      </c>
      <c r="H4" s="114">
        <f>IFERROR((E4*0.001*(s_RadSpec!AU4+(s_θw/s_ρb))*1),".")</f>
        <v>5509124.5461282572</v>
      </c>
      <c r="I4" s="189">
        <f>IFERROR(H4*(0.0000000000000028)*s_RadSpec!$AY4*s_RadSpec!$AF4,0)</f>
        <v>3.4284377726265094E-15</v>
      </c>
      <c r="J4" s="114">
        <f t="shared" si="0"/>
        <v>0.38228237023154943</v>
      </c>
      <c r="K4" s="189">
        <f>IFERROR(J4*(0.0000000000000028)*s_RadSpec!$AY4*s_RadSpec!$AF4,0)</f>
        <v>2.3790192197272631E-22</v>
      </c>
      <c r="L4" s="114">
        <f t="shared" si="1"/>
        <v>1881164.4791657466</v>
      </c>
      <c r="M4" s="189">
        <f>IFERROR(L4*(0.0000000000000028)*s_RadSpec!$AY4*s_RadSpec!$AF4,0)</f>
        <v>1.1706860687017351E-15</v>
      </c>
    </row>
    <row r="5" spans="1:13" x14ac:dyDescent="0.25">
      <c r="A5" s="44" t="s">
        <v>3</v>
      </c>
      <c r="B5" s="42" t="s">
        <v>1057</v>
      </c>
      <c r="C5" s="238"/>
      <c r="D5" s="114">
        <f>IF(s_RadSpec!AX5*s_DAF=0,".",s_RadSpec!AX5*s_DAF)</f>
        <v>109.22353435187127</v>
      </c>
      <c r="E5" s="114">
        <f>IFERROR(s_res!AP5*s_DAF,".")</f>
        <v>9932548449.995142</v>
      </c>
      <c r="F5" s="114">
        <f>IFERROR((D5*0.001*(s_RadSpec!AU5+(s_θw/s_ρb))*1),".")</f>
        <v>1.1195412271066805</v>
      </c>
      <c r="G5" s="189">
        <f>IFERROR(F5*(0.0000000000000028)*s_RadSpec!$AY5*s_RadSpec!$AF5,0)</f>
        <v>3.2504184029010564E-20</v>
      </c>
      <c r="H5" s="114">
        <f>IFERROR((E5*0.001*(s_RadSpec!AU5+(s_θw/s_ρb))*1),".")</f>
        <v>101808621.6124502</v>
      </c>
      <c r="I5" s="189">
        <f>IFERROR(H5*(0.0000000000000028)*s_RadSpec!$AY5*s_RadSpec!$AF5,0)</f>
        <v>2.9558591434664968E-12</v>
      </c>
      <c r="J5" s="114">
        <f t="shared" si="0"/>
        <v>0.38228237023154943</v>
      </c>
      <c r="K5" s="189">
        <f>IFERROR(J5*(0.0000000000000028)*s_RadSpec!$AY5*s_RadSpec!$AF5,0)</f>
        <v>1.1098989668442629E-20</v>
      </c>
      <c r="L5" s="114">
        <f t="shared" si="1"/>
        <v>34763919.574982993</v>
      </c>
      <c r="M5" s="189">
        <f>IFERROR(L5*(0.0000000000000028)*s_RadSpec!$AY5*s_RadSpec!$AF5,0)</f>
        <v>1.009317756305633E-12</v>
      </c>
    </row>
    <row r="6" spans="1:13" x14ac:dyDescent="0.25">
      <c r="A6" s="44" t="s">
        <v>4</v>
      </c>
      <c r="B6" s="42" t="s">
        <v>1057</v>
      </c>
      <c r="C6" s="42"/>
      <c r="D6" s="114" t="str">
        <f>IF(s_RadSpec!AX6*s_DAF=0,".",s_RadSpec!AX6*s_DAF)</f>
        <v>.</v>
      </c>
      <c r="E6" s="114">
        <f>IFERROR(s_res!AP6*s_DAF,".")</f>
        <v>212962.01650932984</v>
      </c>
      <c r="F6" s="114" t="str">
        <f>IFERROR((D6*0.001*(s_RadSpec!AU6+(s_θw/s_ρb))*1),".")</f>
        <v>.</v>
      </c>
      <c r="G6" s="189">
        <f>IFERROR(F6*(0.0000000000000028)*s_RadSpec!$AY6*s_RadSpec!$AF6,0)</f>
        <v>0</v>
      </c>
      <c r="H6" s="114">
        <f>IFERROR((E6*0.001*(s_RadSpec!AU6+(s_θw/s_ρb))*1),".")</f>
        <v>138.4253107310644</v>
      </c>
      <c r="I6" s="189">
        <f>IFERROR(H6*(0.0000000000000028)*s_RadSpec!$AY6*s_RadSpec!$AF6,0)</f>
        <v>2.5782167113642569E-16</v>
      </c>
      <c r="J6" s="114" t="str">
        <f t="shared" si="0"/>
        <v>.</v>
      </c>
      <c r="K6" s="189">
        <f>IFERROR(J6*(0.0000000000000028)*s_RadSpec!$AY6*s_RadSpec!$AF6,0)</f>
        <v>0</v>
      </c>
      <c r="L6" s="114">
        <f t="shared" si="1"/>
        <v>745.36705778265446</v>
      </c>
      <c r="M6" s="189">
        <f>IFERROR(L6*(0.0000000000000028)*s_RadSpec!$AY6*s_RadSpec!$AF6,0)</f>
        <v>1.3882705368884463E-15</v>
      </c>
    </row>
    <row r="7" spans="1:13" x14ac:dyDescent="0.25">
      <c r="A7" s="44" t="s">
        <v>5</v>
      </c>
      <c r="B7" s="42" t="s">
        <v>1057</v>
      </c>
      <c r="C7" s="238"/>
      <c r="D7" s="114">
        <f>IF(s_RadSpec!AX7*s_DAF=0,".",s_RadSpec!AX7*s_DAF)</f>
        <v>109.22353435187127</v>
      </c>
      <c r="E7" s="114">
        <f>IFERROR(s_res!AP7*s_DAF,".")</f>
        <v>11728.204824999395</v>
      </c>
      <c r="F7" s="114">
        <f>IFERROR((D7*0.001*(s_RadSpec!AU7+(s_θw/s_ρb))*1),".")</f>
        <v>52.454602372486178</v>
      </c>
      <c r="G7" s="189">
        <f>IFERROR(F7*(0.0000000000000028)*s_RadSpec!$AY7*s_RadSpec!$AF7,0)</f>
        <v>4.2360957248121929E-13</v>
      </c>
      <c r="H7" s="114">
        <f>IFERROR((E7*0.001*(s_RadSpec!AU7+(s_θw/s_ρb))*1),".")</f>
        <v>5632.4703672059595</v>
      </c>
      <c r="I7" s="189">
        <f>IFERROR(H7*(0.0000000000000028)*s_RadSpec!$AY7*s_RadSpec!$AF7,0)</f>
        <v>4.5486349268691736E-11</v>
      </c>
      <c r="J7" s="114">
        <f t="shared" si="0"/>
        <v>0.38228237023154943</v>
      </c>
      <c r="K7" s="189">
        <f>IFERROR(J7*(0.0000000000000028)*s_RadSpec!$AY7*s_RadSpec!$AF7,0)</f>
        <v>3.0872118764898849E-15</v>
      </c>
      <c r="L7" s="114">
        <f t="shared" si="1"/>
        <v>41.048716887497882</v>
      </c>
      <c r="M7" s="189">
        <f>IFERROR(L7*(0.0000000000000028)*s_RadSpec!$AY7*s_RadSpec!$AF7,0)</f>
        <v>3.3149864120858115E-13</v>
      </c>
    </row>
    <row r="8" spans="1:13" x14ac:dyDescent="0.25">
      <c r="A8" s="44" t="s">
        <v>6</v>
      </c>
      <c r="B8" s="42" t="s">
        <v>1057</v>
      </c>
      <c r="C8" s="42"/>
      <c r="D8" s="114">
        <f>IF(s_RadSpec!AX8*s_DAF=0,".",s_RadSpec!AX8*s_DAF)</f>
        <v>109.22353435187127</v>
      </c>
      <c r="E8" s="114">
        <f>IFERROR(s_res!AP8*s_DAF,".")</f>
        <v>72959.605669718439</v>
      </c>
      <c r="F8" s="114">
        <f>IFERROR((D8*0.001*(s_RadSpec!AU8+(s_θw/s_ρb))*1),".")</f>
        <v>52.454602372486178</v>
      </c>
      <c r="G8" s="189">
        <f>IFERROR(F8*(0.0000000000000028)*s_RadSpec!$AY8*s_RadSpec!$AF8,0)</f>
        <v>2.7135352628181204E-15</v>
      </c>
      <c r="H8" s="114">
        <f>IFERROR((E8*0.001*(s_RadSpec!AU8+(s_θw/s_ρb))*1),".")</f>
        <v>35038.850622882281</v>
      </c>
      <c r="I8" s="189">
        <f>IFERROR(H8*(0.0000000000000028)*s_RadSpec!$AY8*s_RadSpec!$AF8,0)</f>
        <v>1.8125989414358665E-12</v>
      </c>
      <c r="J8" s="114">
        <f t="shared" si="0"/>
        <v>0.38228237023154943</v>
      </c>
      <c r="K8" s="189">
        <f>IFERROR(J8*(0.0000000000000028)*s_RadSpec!$AY8*s_RadSpec!$AF8,0)</f>
        <v>1.977589467956985E-17</v>
      </c>
      <c r="L8" s="114">
        <f t="shared" si="1"/>
        <v>255.35861984401453</v>
      </c>
      <c r="M8" s="189">
        <f>IFERROR(L8*(0.0000000000000028)*s_RadSpec!$AY8*s_RadSpec!$AF8,0)</f>
        <v>1.3209987079699183E-14</v>
      </c>
    </row>
    <row r="9" spans="1:13" x14ac:dyDescent="0.25">
      <c r="A9" s="44" t="s">
        <v>7</v>
      </c>
      <c r="B9" s="42" t="s">
        <v>1057</v>
      </c>
      <c r="C9" s="238"/>
      <c r="D9" s="114">
        <f>IF(s_RadSpec!AX9*s_DAF=0,".",s_RadSpec!AX9*s_DAF)</f>
        <v>109.22353435187127</v>
      </c>
      <c r="E9" s="114">
        <f>IFERROR(s_res!AP9*s_DAF,".")</f>
        <v>45402.953243159063</v>
      </c>
      <c r="F9" s="114">
        <f>IFERROR((D9*0.001*(s_RadSpec!AU9+(s_θw/s_ρb))*1),".")</f>
        <v>52.454602372486178</v>
      </c>
      <c r="G9" s="189">
        <f>IFERROR(F9*(0.0000000000000028)*s_RadSpec!$AY9*s_RadSpec!$AF9,0)</f>
        <v>1.1900168855740386E-15</v>
      </c>
      <c r="H9" s="114">
        <f>IFERROR((E9*0.001*(s_RadSpec!AU9+(s_θw/s_ρb))*1),".")</f>
        <v>21804.768295027137</v>
      </c>
      <c r="I9" s="189">
        <f>IFERROR(H9*(0.0000000000000028)*s_RadSpec!$AY9*s_RadSpec!$AF9,0)</f>
        <v>4.9467618251782169E-13</v>
      </c>
      <c r="J9" s="114">
        <f t="shared" si="0"/>
        <v>0.38228237023154943</v>
      </c>
      <c r="K9" s="189">
        <f>IFERROR(J9*(0.0000000000000028)*s_RadSpec!$AY9*s_RadSpec!$AF9,0)</f>
        <v>8.6726894315650914E-18</v>
      </c>
      <c r="L9" s="114">
        <f t="shared" si="1"/>
        <v>158.91033635105671</v>
      </c>
      <c r="M9" s="189">
        <f>IFERROR(L9*(0.0000000000000028)*s_RadSpec!$AY9*s_RadSpec!$AF9,0)</f>
        <v>3.6051361557779832E-15</v>
      </c>
    </row>
    <row r="10" spans="1:13" x14ac:dyDescent="0.25">
      <c r="A10" s="46" t="s">
        <v>8</v>
      </c>
      <c r="B10" s="42" t="s">
        <v>335</v>
      </c>
      <c r="C10" s="42"/>
      <c r="D10" s="114">
        <f>IF(s_RadSpec!AX10*s_DAF=0,".",s_RadSpec!AX10*s_DAF)</f>
        <v>1456.3137913582837</v>
      </c>
      <c r="E10" s="114">
        <f>IFERROR(s_res!AP10*s_DAF,".")</f>
        <v>2039.4863361493778</v>
      </c>
      <c r="F10" s="114">
        <f>IFERROR((D10*0.001*(s_RadSpec!AU10+(s_θw/s_ρb))*1),".")</f>
        <v>14.927216361422408</v>
      </c>
      <c r="G10" s="189">
        <f>IFERROR(F10*(0.0000000000000028)*s_RadSpec!$AY10*s_RadSpec!$AF10,0)</f>
        <v>1.7273923388804108E-10</v>
      </c>
      <c r="H10" s="114">
        <f>IFERROR((E10*0.001*(s_RadSpec!AU10+(s_θw/s_ρb))*1),".")</f>
        <v>20.904734945531121</v>
      </c>
      <c r="I10" s="189">
        <f>IFERROR(H10*(0.0000000000000028)*s_RadSpec!$AY10*s_RadSpec!$AF10,0)</f>
        <v>2.4191167406509737E-10</v>
      </c>
      <c r="J10" s="114">
        <f t="shared" si="0"/>
        <v>5.0970982697539924</v>
      </c>
      <c r="K10" s="189">
        <f>IFERROR(J10*(0.0000000000000028)*s_RadSpec!$AY10*s_RadSpec!$AF10,0)</f>
        <v>5.8984128644696935E-11</v>
      </c>
      <c r="L10" s="114">
        <f t="shared" si="1"/>
        <v>7.1382021765228227</v>
      </c>
      <c r="M10" s="189">
        <f>IFERROR(L10*(0.0000000000000028)*s_RadSpec!$AY10*s_RadSpec!$AF10,0)</f>
        <v>8.2603986266130801E-11</v>
      </c>
    </row>
    <row r="11" spans="1:13" x14ac:dyDescent="0.25">
      <c r="A11" s="44" t="s">
        <v>9</v>
      </c>
      <c r="B11" s="42" t="s">
        <v>1057</v>
      </c>
      <c r="C11" s="42"/>
      <c r="D11" s="114">
        <f>IF(s_RadSpec!AX11*s_DAF=0,".",s_RadSpec!AX11*s_DAF)</f>
        <v>109.22353435187127</v>
      </c>
      <c r="E11" s="114">
        <f>IFERROR(s_res!AP11*s_DAF,".")</f>
        <v>4514794.7499977918</v>
      </c>
      <c r="F11" s="114">
        <f>IFERROR((D11*0.001*(s_RadSpec!AU11+(s_θw/s_ρb))*1),".")</f>
        <v>27.333189471555784</v>
      </c>
      <c r="G11" s="189">
        <f>IFERROR(F11*(0.0000000000000028)*s_RadSpec!$AY11*s_RadSpec!$AF11,0)</f>
        <v>1.5768171701007181E-16</v>
      </c>
      <c r="H11" s="114">
        <f>IFERROR((E11*0.001*(s_RadSpec!AU11+(s_θw/s_ρb))*1),".")</f>
        <v>1129827.3861869473</v>
      </c>
      <c r="I11" s="189">
        <f>IFERROR(H11*(0.0000000000000028)*s_RadSpec!$AY11*s_RadSpec!$AF11,0)</f>
        <v>6.5178314577723885E-12</v>
      </c>
      <c r="J11" s="114">
        <f t="shared" si="0"/>
        <v>0.38228237023154943</v>
      </c>
      <c r="K11" s="189">
        <f>IFERROR(J11*(0.0000000000000028)*s_RadSpec!$AY11*s_RadSpec!$AF11,0)</f>
        <v>2.2053386994415638E-18</v>
      </c>
      <c r="L11" s="114">
        <f t="shared" si="1"/>
        <v>15801.781624992273</v>
      </c>
      <c r="M11" s="189">
        <f>IFERROR(L11*(0.0000000000000028)*s_RadSpec!$AY11*s_RadSpec!$AF11,0)</f>
        <v>9.1158481926886574E-14</v>
      </c>
    </row>
    <row r="12" spans="1:13" x14ac:dyDescent="0.25">
      <c r="A12" s="44" t="s">
        <v>10</v>
      </c>
      <c r="B12" s="42" t="s">
        <v>1057</v>
      </c>
      <c r="C12" s="238"/>
      <c r="D12" s="114" t="str">
        <f>IF(s_RadSpec!AX12*s_DAF=0,".",s_RadSpec!AX12*s_DAF)</f>
        <v>.</v>
      </c>
      <c r="E12" s="114">
        <f>IFERROR(s_res!AP12*s_DAF,".")</f>
        <v>1043334.921217977</v>
      </c>
      <c r="F12" s="114" t="str">
        <f>IFERROR((D12*0.001*(s_RadSpec!AU12+(s_θw/s_ρb))*1),".")</f>
        <v>.</v>
      </c>
      <c r="G12" s="189">
        <f>IFERROR(F12*(0.0000000000000028)*s_RadSpec!$AY12*s_RadSpec!$AF12,0)</f>
        <v>0</v>
      </c>
      <c r="H12" s="114">
        <f>IFERROR((E12*0.001*(s_RadSpec!AU12+(s_θw/s_ρb))*1),".")</f>
        <v>6573270.8374035591</v>
      </c>
      <c r="I12" s="189">
        <f>IFERROR(H12*(0.0000000000000028)*s_RadSpec!$AY12*s_RadSpec!$AF12,0)</f>
        <v>5.8790754080987787E-11</v>
      </c>
      <c r="J12" s="114" t="str">
        <f t="shared" si="0"/>
        <v>.</v>
      </c>
      <c r="K12" s="189">
        <f>IFERROR(J12*(0.0000000000000028)*s_RadSpec!$AY12*s_RadSpec!$AF12,0)</f>
        <v>0</v>
      </c>
      <c r="L12" s="114">
        <f t="shared" si="1"/>
        <v>3651.6722242629194</v>
      </c>
      <c r="M12" s="189">
        <f>IFERROR(L12*(0.0000000000000028)*s_RadSpec!$AY12*s_RadSpec!$AF12,0)</f>
        <v>3.2660234003961311E-14</v>
      </c>
    </row>
    <row r="13" spans="1:13" x14ac:dyDescent="0.25">
      <c r="A13" s="44" t="s">
        <v>11</v>
      </c>
      <c r="B13" s="42" t="s">
        <v>1057</v>
      </c>
      <c r="C13" s="42"/>
      <c r="D13" s="114">
        <f>IF(s_RadSpec!AX13*s_DAF=0,".",s_RadSpec!AX13*s_DAF)</f>
        <v>109.22353435187127</v>
      </c>
      <c r="E13" s="114">
        <f>IFERROR(s_res!AP13*s_DAF,".")</f>
        <v>219.7891250362328</v>
      </c>
      <c r="F13" s="114">
        <f>IFERROR((D13*0.001*(s_RadSpec!AU13+(s_θw/s_ρb))*1),".")</f>
        <v>4.9150590458342074E-2</v>
      </c>
      <c r="G13" s="189">
        <f>IFERROR(F13*(0.0000000000000028)*s_RadSpec!$AY13*s_RadSpec!$AF13,0)</f>
        <v>6.9929415439566041E-8</v>
      </c>
      <c r="H13" s="114">
        <f>IFERROR((E13*0.001*(s_RadSpec!AU13+(s_θw/s_ρb))*1),".")</f>
        <v>9.8905106266304763E-2</v>
      </c>
      <c r="I13" s="189">
        <f>IFERROR(H13*(0.0000000000000028)*s_RadSpec!$AY13*s_RadSpec!$AF13,0)</f>
        <v>1.4071807074327773E-7</v>
      </c>
      <c r="J13" s="114">
        <f t="shared" si="0"/>
        <v>0.38228237023154943</v>
      </c>
      <c r="K13" s="189">
        <f>IFERROR(J13*(0.0000000000000028)*s_RadSpec!$AY13*s_RadSpec!$AF13,0)</f>
        <v>5.438954534188469E-7</v>
      </c>
      <c r="L13" s="114">
        <f t="shared" si="1"/>
        <v>0.76926193762681483</v>
      </c>
      <c r="M13" s="189">
        <f>IFERROR(L13*(0.0000000000000028)*s_RadSpec!$AY13*s_RadSpec!$AF13,0)</f>
        <v>1.0944738835588269E-6</v>
      </c>
    </row>
    <row r="14" spans="1:13" x14ac:dyDescent="0.25">
      <c r="A14" s="44" t="s">
        <v>12</v>
      </c>
      <c r="B14" s="42" t="s">
        <v>1057</v>
      </c>
      <c r="C14" s="42"/>
      <c r="D14" s="114">
        <f>IF(s_RadSpec!AX14*s_DAF=0,".",s_RadSpec!AX14*s_DAF)</f>
        <v>2184.4706870374253</v>
      </c>
      <c r="E14" s="114">
        <f>IFERROR(s_res!AP14*s_DAF,".")</f>
        <v>20148.672531591696</v>
      </c>
      <c r="F14" s="114">
        <f>IFERROR((D14*0.001*(s_RadSpec!AU14+(s_θw/s_ρb))*1),".")</f>
        <v>4369.4874917466095</v>
      </c>
      <c r="G14" s="189">
        <f>IFERROR(F14*(0.0000000000000028)*s_RadSpec!$AY14*s_RadSpec!$AF14,0)</f>
        <v>2.1061253890276945E-10</v>
      </c>
      <c r="H14" s="114">
        <f>IFERROR((E14*0.001*(s_RadSpec!AU14+(s_θw/s_ρb))*1),".")</f>
        <v>40302.382231316289</v>
      </c>
      <c r="I14" s="189">
        <f>IFERROR(H14*(0.0000000000000028)*s_RadSpec!$AY14*s_RadSpec!$AF14,0)</f>
        <v>1.9426047246045359E-9</v>
      </c>
      <c r="J14" s="114">
        <f t="shared" si="0"/>
        <v>7.6456474046309886</v>
      </c>
      <c r="K14" s="189">
        <f>IFERROR(J14*(0.0000000000000028)*s_RadSpec!$AY14*s_RadSpec!$AF14,0)</f>
        <v>3.685258773451784E-13</v>
      </c>
      <c r="L14" s="114">
        <f t="shared" si="1"/>
        <v>70.520353860570935</v>
      </c>
      <c r="M14" s="189">
        <f>IFERROR(L14*(0.0000000000000028)*s_RadSpec!$AY14*s_RadSpec!$AF14,0)</f>
        <v>3.3991333763858888E-12</v>
      </c>
    </row>
    <row r="15" spans="1:13" x14ac:dyDescent="0.25">
      <c r="A15" s="44" t="s">
        <v>13</v>
      </c>
      <c r="B15" s="42" t="s">
        <v>1057</v>
      </c>
      <c r="C15" s="42"/>
      <c r="D15" s="114" t="str">
        <f>IF(s_RadSpec!AX15*s_DAF=0,".",s_RadSpec!AX15*s_DAF)</f>
        <v>.</v>
      </c>
      <c r="E15" s="114">
        <f>IFERROR(s_res!AP15*s_DAF,".")</f>
        <v>368094.2429858704</v>
      </c>
      <c r="F15" s="114" t="str">
        <f>IFERROR((D15*0.001*(s_RadSpec!AU15+(s_θw/s_ρb))*1),".")</f>
        <v>.</v>
      </c>
      <c r="G15" s="189">
        <f>IFERROR(F15*(0.0000000000000028)*s_RadSpec!$AY15*s_RadSpec!$AF15,0)</f>
        <v>0</v>
      </c>
      <c r="H15" s="114">
        <f>IFERROR((E15*0.001*(s_RadSpec!AU15+(s_θw/s_ρb))*1),".")</f>
        <v>55306.160008627026</v>
      </c>
      <c r="I15" s="189">
        <f>IFERROR(H15*(0.0000000000000028)*s_RadSpec!$AY15*s_RadSpec!$AF15,0)</f>
        <v>1.201870790124644E-11</v>
      </c>
      <c r="J15" s="114" t="str">
        <f t="shared" si="0"/>
        <v>.</v>
      </c>
      <c r="K15" s="189">
        <f>IFERROR(J15*(0.0000000000000028)*s_RadSpec!$AY15*s_RadSpec!$AF15,0)</f>
        <v>0</v>
      </c>
      <c r="L15" s="114">
        <f t="shared" si="1"/>
        <v>1288.3298504505465</v>
      </c>
      <c r="M15" s="189">
        <f>IFERROR(L15*(0.0000000000000028)*s_RadSpec!$AY15*s_RadSpec!$AF15,0)</f>
        <v>2.7996990119376068E-13</v>
      </c>
    </row>
    <row r="16" spans="1:13" x14ac:dyDescent="0.25">
      <c r="A16" s="44" t="s">
        <v>14</v>
      </c>
      <c r="B16" s="42" t="s">
        <v>1057</v>
      </c>
      <c r="C16" s="238"/>
      <c r="D16" s="114" t="str">
        <f>IF(s_RadSpec!AX16*s_DAF=0,".",s_RadSpec!AX16*s_DAF)</f>
        <v>.</v>
      </c>
      <c r="E16" s="114">
        <f>IFERROR(s_res!AP16*s_DAF,".")</f>
        <v>27.047294880598045</v>
      </c>
      <c r="F16" s="114" t="str">
        <f>IFERROR((D16*0.001*(s_RadSpec!AU16+(s_θw/s_ρb))*1),".")</f>
        <v>.</v>
      </c>
      <c r="G16" s="189">
        <f>IFERROR(F16*(0.0000000000000028)*s_RadSpec!$AY16*s_RadSpec!$AF16,0)</f>
        <v>0</v>
      </c>
      <c r="H16" s="114">
        <f>IFERROR((E16*0.001*(s_RadSpec!AU16+(s_θw/s_ρb))*1),".")</f>
        <v>4.0638560558098566</v>
      </c>
      <c r="I16" s="189">
        <f>IFERROR(H16*(0.0000000000000028)*s_RadSpec!$AY16*s_RadSpec!$AF16,0)</f>
        <v>5.3047951410119541E-11</v>
      </c>
      <c r="J16" s="114" t="str">
        <f t="shared" si="0"/>
        <v>.</v>
      </c>
      <c r="K16" s="189">
        <f>IFERROR(J16*(0.0000000000000028)*s_RadSpec!$AY16*s_RadSpec!$AF16,0)</f>
        <v>0</v>
      </c>
      <c r="L16" s="114">
        <f t="shared" si="1"/>
        <v>9.4665532082093162E-2</v>
      </c>
      <c r="M16" s="189">
        <f>IFERROR(L16*(0.0000000000000028)*s_RadSpec!$AY16*s_RadSpec!$AF16,0)</f>
        <v>1.2357259895868112E-12</v>
      </c>
    </row>
    <row r="17" spans="1:13" x14ac:dyDescent="0.25">
      <c r="A17" s="44" t="s">
        <v>15</v>
      </c>
      <c r="B17" s="42" t="s">
        <v>1057</v>
      </c>
      <c r="C17" s="238"/>
      <c r="D17" s="114" t="str">
        <f>IF(s_RadSpec!AX17*s_DAF=0,".",s_RadSpec!AX17*s_DAF)</f>
        <v>.</v>
      </c>
      <c r="E17" s="114">
        <f>IFERROR(s_res!AP17*s_DAF,".")</f>
        <v>49442.440945691334</v>
      </c>
      <c r="F17" s="114" t="str">
        <f>IFERROR((D17*0.001*(s_RadSpec!AU17+(s_θw/s_ρb))*1),".")</f>
        <v>.</v>
      </c>
      <c r="G17" s="189">
        <f>IFERROR(F17*(0.0000000000000028)*s_RadSpec!$AY17*s_RadSpec!$AF17,0)</f>
        <v>0</v>
      </c>
      <c r="H17" s="114">
        <f>IFERROR((E17*0.001*(s_RadSpec!AU17+(s_θw/s_ρb))*1),".")</f>
        <v>7428.7267520901232</v>
      </c>
      <c r="I17" s="189">
        <f>IFERROR(H17*(0.0000000000000028)*s_RadSpec!$AY17*s_RadSpec!$AF17,0)</f>
        <v>2.2696852030449817E-13</v>
      </c>
      <c r="J17" s="114" t="str">
        <f t="shared" si="0"/>
        <v>.</v>
      </c>
      <c r="K17" s="189">
        <f>IFERROR(J17*(0.0000000000000028)*s_RadSpec!$AY17*s_RadSpec!$AF17,0)</f>
        <v>0</v>
      </c>
      <c r="L17" s="114">
        <f t="shared" si="1"/>
        <v>173.04854330991967</v>
      </c>
      <c r="M17" s="189">
        <f>IFERROR(L17*(0.0000000000000028)*s_RadSpec!$AY17*s_RadSpec!$AF17,0)</f>
        <v>5.2871202733160965E-15</v>
      </c>
    </row>
    <row r="18" spans="1:13" x14ac:dyDescent="0.25">
      <c r="A18" s="44" t="s">
        <v>16</v>
      </c>
      <c r="B18" s="42" t="s">
        <v>1057</v>
      </c>
      <c r="C18" s="238"/>
      <c r="D18" s="114">
        <f>IF(s_RadSpec!AX18*s_DAF=0,".",s_RadSpec!AX18*s_DAF)</f>
        <v>109.22353435187127</v>
      </c>
      <c r="E18" s="114">
        <f>IFERROR(s_res!AP18*s_DAF,".")</f>
        <v>16.071437350634682</v>
      </c>
      <c r="F18" s="114">
        <f>IFERROR((D18*0.001*(s_RadSpec!AU18+(s_θw/s_ρb))*1),".")</f>
        <v>22.964248097480933</v>
      </c>
      <c r="G18" s="189">
        <f>IFERROR(F18*(0.0000000000000028)*s_RadSpec!$AY18*s_RadSpec!$AF18,0)</f>
        <v>5.1191453898777184E-12</v>
      </c>
      <c r="H18" s="114">
        <f>IFERROR((E18*0.001*(s_RadSpec!AU18+(s_θw/s_ρb))*1),".")</f>
        <v>3.3790197029709419</v>
      </c>
      <c r="I18" s="189">
        <f>IFERROR(H18*(0.0000000000000028)*s_RadSpec!$AY18*s_RadSpec!$AF18,0)</f>
        <v>7.5324448078346387E-13</v>
      </c>
      <c r="J18" s="114">
        <f t="shared" si="0"/>
        <v>0.38228237023154943</v>
      </c>
      <c r="K18" s="189">
        <f>IFERROR(J18*(0.0000000000000028)*s_RadSpec!$AY18*s_RadSpec!$AF18,0)</f>
        <v>8.5217640259557727E-14</v>
      </c>
      <c r="L18" s="114">
        <f t="shared" si="1"/>
        <v>5.625003072722138E-2</v>
      </c>
      <c r="M18" s="189">
        <f>IFERROR(L18*(0.0000000000000028)*s_RadSpec!$AY18*s_RadSpec!$AF18,0)</f>
        <v>1.2539147123624846E-14</v>
      </c>
    </row>
    <row r="19" spans="1:13" x14ac:dyDescent="0.25">
      <c r="A19" s="44" t="s">
        <v>17</v>
      </c>
      <c r="B19" s="42" t="s">
        <v>1057</v>
      </c>
      <c r="C19" s="42"/>
      <c r="D19" s="114">
        <f>IF(s_RadSpec!AX19*s_DAF=0,".",s_RadSpec!AX19*s_DAF)</f>
        <v>109.22353435187127</v>
      </c>
      <c r="E19" s="114">
        <f>IFERROR(s_res!AP19*s_DAF,".")</f>
        <v>3346545973.7180405</v>
      </c>
      <c r="F19" s="114">
        <f>IFERROR((D19*0.001*(s_RadSpec!AU19+(s_θw/s_ρb))*1),".")</f>
        <v>22.964248097480933</v>
      </c>
      <c r="G19" s="189">
        <f>IFERROR(F19*(0.0000000000000028)*s_RadSpec!$AY19*s_RadSpec!$AF19,0)</f>
        <v>1.824032400254247E-24</v>
      </c>
      <c r="H19" s="114">
        <f>IFERROR((E19*0.001*(s_RadSpec!AU19+(s_θw/s_ρb))*1),".")</f>
        <v>703611290.97421801</v>
      </c>
      <c r="I19" s="189">
        <f>IFERROR(H19*(0.0000000000000028)*s_RadSpec!$AY19*s_RadSpec!$AF19,0)</f>
        <v>5.5887298659801361E-17</v>
      </c>
      <c r="J19" s="114">
        <f t="shared" si="0"/>
        <v>0.38228237023154943</v>
      </c>
      <c r="K19" s="189">
        <f>IFERROR(J19*(0.0000000000000028)*s_RadSpec!$AY19*s_RadSpec!$AF19,0)</f>
        <v>3.0364391918620045E-26</v>
      </c>
      <c r="L19" s="114">
        <f t="shared" si="1"/>
        <v>11712910.908013141</v>
      </c>
      <c r="M19" s="189">
        <f>IFERROR(L19*(0.0000000000000028)*s_RadSpec!$AY19*s_RadSpec!$AF19,0)</f>
        <v>9.3034742120953507E-19</v>
      </c>
    </row>
    <row r="20" spans="1:13" x14ac:dyDescent="0.25">
      <c r="A20" s="44" t="s">
        <v>18</v>
      </c>
      <c r="B20" s="42" t="s">
        <v>1057</v>
      </c>
      <c r="C20" s="238"/>
      <c r="D20" s="114">
        <f>IF(s_RadSpec!AX20*s_DAF=0,".",s_RadSpec!AX20*s_DAF)</f>
        <v>109.22353435187127</v>
      </c>
      <c r="E20" s="114">
        <f>IFERROR(s_res!AP20*s_DAF,".")</f>
        <v>1508588768.2252648</v>
      </c>
      <c r="F20" s="114">
        <f>IFERROR((D20*0.001*(s_RadSpec!AU20+(s_θw/s_ρb))*1),".")</f>
        <v>22.964248097480933</v>
      </c>
      <c r="G20" s="189">
        <f>IFERROR(F20*(0.0000000000000028)*s_RadSpec!$AY20*s_RadSpec!$AF20,0)</f>
        <v>7.1689407555800888E-23</v>
      </c>
      <c r="H20" s="114">
        <f>IFERROR((E20*0.001*(s_RadSpec!AU20+(s_θw/s_ρb))*1),".")</f>
        <v>317180788.51936191</v>
      </c>
      <c r="I20" s="189">
        <f>IFERROR(H20*(0.0000000000000028)*s_RadSpec!$AY20*s_RadSpec!$AF20,0)</f>
        <v>9.9016970729945788E-16</v>
      </c>
      <c r="J20" s="114">
        <f t="shared" si="0"/>
        <v>0.38228237023154943</v>
      </c>
      <c r="K20" s="189">
        <f>IFERROR(J20*(0.0000000000000028)*s_RadSpec!$AY20*s_RadSpec!$AF20,0)</f>
        <v>1.1934027417136889E-24</v>
      </c>
      <c r="L20" s="114">
        <f t="shared" si="1"/>
        <v>5280060.688788427</v>
      </c>
      <c r="M20" s="189">
        <f>IFERROR(L20*(0.0000000000000028)*s_RadSpec!$AY20*s_RadSpec!$AF20,0)</f>
        <v>1.6483205591191931E-17</v>
      </c>
    </row>
    <row r="21" spans="1:13" x14ac:dyDescent="0.25">
      <c r="A21" s="44" t="s">
        <v>19</v>
      </c>
      <c r="B21" s="42" t="s">
        <v>1057</v>
      </c>
      <c r="C21" s="238"/>
      <c r="D21" s="114">
        <f>IF(s_RadSpec!AX21*s_DAF=0,".",s_RadSpec!AX21*s_DAF)</f>
        <v>109.22353435187127</v>
      </c>
      <c r="E21" s="114">
        <f>IFERROR(s_res!AP21*s_DAF,".")</f>
        <v>130832.28142776409</v>
      </c>
      <c r="F21" s="114">
        <f>IFERROR((D21*0.001*(s_RadSpec!AU21+(s_θw/s_ρb))*1),".")</f>
        <v>22.964248097480933</v>
      </c>
      <c r="G21" s="189">
        <f>IFERROR(F21*(0.0000000000000028)*s_RadSpec!$AY21*s_RadSpec!$AF21,0)</f>
        <v>8.2674788470276439E-17</v>
      </c>
      <c r="H21" s="114">
        <f>IFERROR((E21*0.001*(s_RadSpec!AU21+(s_θw/s_ρb))*1),".")</f>
        <v>27507.4871701874</v>
      </c>
      <c r="I21" s="189">
        <f>IFERROR(H21*(0.0000000000000028)*s_RadSpec!$AY21*s_RadSpec!$AF21,0)</f>
        <v>9.9031140644816171E-14</v>
      </c>
      <c r="J21" s="114">
        <f t="shared" si="0"/>
        <v>0.38228237023154943</v>
      </c>
      <c r="K21" s="189">
        <f>IFERROR(J21*(0.0000000000000028)*s_RadSpec!$AY21*s_RadSpec!$AF21,0)</f>
        <v>1.3762747188868848E-18</v>
      </c>
      <c r="L21" s="114">
        <f t="shared" si="1"/>
        <v>457.91298499717431</v>
      </c>
      <c r="M21" s="189">
        <f>IFERROR(L21*(0.0000000000000028)*s_RadSpec!$AY21*s_RadSpec!$AF21,0)</f>
        <v>1.6485564435522313E-15</v>
      </c>
    </row>
    <row r="22" spans="1:13" x14ac:dyDescent="0.25">
      <c r="A22" s="44" t="s">
        <v>20</v>
      </c>
      <c r="B22" s="42" t="s">
        <v>1057</v>
      </c>
      <c r="C22" s="42"/>
      <c r="D22" s="114" t="str">
        <f>IF(s_RadSpec!AX22*s_DAF=0,".",s_RadSpec!AX22*s_DAF)</f>
        <v>.</v>
      </c>
      <c r="E22" s="114">
        <f>IFERROR(s_res!AP22*s_DAF,".")</f>
        <v>115.08441035482032</v>
      </c>
      <c r="F22" s="114" t="str">
        <f>IFERROR((D22*0.001*(s_RadSpec!AU22+(s_θw/s_ρb))*1),".")</f>
        <v>.</v>
      </c>
      <c r="G22" s="189">
        <f>IFERROR(F22*(0.0000000000000028)*s_RadSpec!$AY22*s_RadSpec!$AF22,0)</f>
        <v>0</v>
      </c>
      <c r="H22" s="114">
        <f>IFERROR((E22*0.001*(s_RadSpec!AU22+(s_θw/s_ρb))*1),".")</f>
        <v>0.14385551294352542</v>
      </c>
      <c r="I22" s="189">
        <f>IFERROR(H22*(0.0000000000000028)*s_RadSpec!$AY22*s_RadSpec!$AF22,0)</f>
        <v>3.699648493153079E-15</v>
      </c>
      <c r="J22" s="114" t="str">
        <f t="shared" si="0"/>
        <v>.</v>
      </c>
      <c r="K22" s="189">
        <f>IFERROR(J22*(0.0000000000000028)*s_RadSpec!$AY22*s_RadSpec!$AF22,0)</f>
        <v>0</v>
      </c>
      <c r="L22" s="114">
        <f t="shared" si="1"/>
        <v>0.40279543624187114</v>
      </c>
      <c r="M22" s="189">
        <f>IFERROR(L22*(0.0000000000000028)*s_RadSpec!$AY22*s_RadSpec!$AF22,0)</f>
        <v>1.035901578082862E-14</v>
      </c>
    </row>
    <row r="23" spans="1:13" x14ac:dyDescent="0.25">
      <c r="A23" s="46" t="s">
        <v>21</v>
      </c>
      <c r="B23" s="42" t="s">
        <v>335</v>
      </c>
      <c r="C23" s="238"/>
      <c r="D23" s="114">
        <f>IF(s_RadSpec!AX23*s_DAF=0,".",s_RadSpec!AX23*s_DAF)</f>
        <v>36.407844783957088</v>
      </c>
      <c r="E23" s="114">
        <f>IFERROR(s_res!AP23*s_DAF,".")</f>
        <v>60.463877013528538</v>
      </c>
      <c r="F23" s="114">
        <f>IFERROR((D23*0.001*(s_RadSpec!AU23+(s_θw/s_ρb))*1),".")</f>
        <v>4.5509805979946361E-2</v>
      </c>
      <c r="G23" s="189">
        <f>IFERROR(F23*(0.0000000000000028)*s_RadSpec!$AY23*s_RadSpec!$AF23,0)</f>
        <v>4.6077768358576102E-11</v>
      </c>
      <c r="H23" s="114">
        <f>IFERROR((E23*0.001*(s_RadSpec!AU23+(s_θw/s_ρb))*1),".")</f>
        <v>7.5579846266910666E-2</v>
      </c>
      <c r="I23" s="189">
        <f>IFERROR(H23*(0.0000000000000028)*s_RadSpec!$AY23*s_RadSpec!$AF23,0)</f>
        <v>7.652308274832173E-11</v>
      </c>
      <c r="J23" s="114">
        <f t="shared" si="0"/>
        <v>0.12742745674384981</v>
      </c>
      <c r="K23" s="189">
        <f>IFERROR(J23*(0.0000000000000028)*s_RadSpec!$AY23*s_RadSpec!$AF23,0)</f>
        <v>1.2901775140401307E-10</v>
      </c>
      <c r="L23" s="114">
        <f t="shared" si="1"/>
        <v>0.21162356954734987</v>
      </c>
      <c r="M23" s="189">
        <f>IFERROR(L23*(0.0000000000000028)*s_RadSpec!$AY23*s_RadSpec!$AF23,0)</f>
        <v>2.1426463169530079E-10</v>
      </c>
    </row>
    <row r="24" spans="1:13" x14ac:dyDescent="0.25">
      <c r="A24" s="44" t="s">
        <v>22</v>
      </c>
      <c r="B24" s="42" t="s">
        <v>1057</v>
      </c>
      <c r="C24" s="238"/>
      <c r="D24" s="114" t="str">
        <f>IF(s_RadSpec!AX24*s_DAF=0,".",s_RadSpec!AX24*s_DAF)</f>
        <v>.</v>
      </c>
      <c r="E24" s="114">
        <f>IFERROR(s_res!AP24*s_DAF,".")</f>
        <v>168006570.53442395</v>
      </c>
      <c r="F24" s="114" t="str">
        <f>IFERROR((D24*0.001*(s_RadSpec!AU24+(s_θw/s_ρb))*1),".")</f>
        <v>.</v>
      </c>
      <c r="G24" s="189">
        <f>IFERROR(F24*(0.0000000000000028)*s_RadSpec!$AY24*s_RadSpec!$AF24,0)</f>
        <v>0</v>
      </c>
      <c r="H24" s="114">
        <f>IFERROR((E24*0.001*(s_RadSpec!AU24+(s_θw/s_ρb))*1),".")</f>
        <v>42001.642633605989</v>
      </c>
      <c r="I24" s="189">
        <f>IFERROR(H24*(0.0000000000000028)*s_RadSpec!$AY24*s_RadSpec!$AF24,0)</f>
        <v>2.8453928628372594E-17</v>
      </c>
      <c r="J24" s="114" t="str">
        <f t="shared" si="0"/>
        <v>.</v>
      </c>
      <c r="K24" s="189">
        <f>IFERROR(J24*(0.0000000000000028)*s_RadSpec!$AY24*s_RadSpec!$AF24,0)</f>
        <v>0</v>
      </c>
      <c r="L24" s="114">
        <f t="shared" si="1"/>
        <v>588022.99687048374</v>
      </c>
      <c r="M24" s="189">
        <f>IFERROR(L24*(0.0000000000000028)*s_RadSpec!$AY24*s_RadSpec!$AF24,0)</f>
        <v>3.9835500079721617E-16</v>
      </c>
    </row>
    <row r="25" spans="1:13" x14ac:dyDescent="0.25">
      <c r="A25" s="46" t="s">
        <v>23</v>
      </c>
      <c r="B25" s="42" t="s">
        <v>335</v>
      </c>
      <c r="C25" s="238"/>
      <c r="D25" s="114" t="str">
        <f>IF(s_RadSpec!AX25*s_DAF=0,".",s_RadSpec!AX25*s_DAF)</f>
        <v>.</v>
      </c>
      <c r="E25" s="114">
        <f>IFERROR(s_res!AP25*s_DAF,".")</f>
        <v>110843.02079735039</v>
      </c>
      <c r="F25" s="114" t="str">
        <f>IFERROR((D25*0.001*(s_RadSpec!AU25+(s_θw/s_ρb))*1),".")</f>
        <v>.</v>
      </c>
      <c r="G25" s="189">
        <f>IFERROR(F25*(0.0000000000000028)*s_RadSpec!$AY25*s_RadSpec!$AF25,0)</f>
        <v>0</v>
      </c>
      <c r="H25" s="114">
        <f>IFERROR((E25*0.001*(s_RadSpec!AU25+(s_θw/s_ρb))*1),".")</f>
        <v>27.710755199337598</v>
      </c>
      <c r="I25" s="189">
        <f>IFERROR(H25*(0.0000000000000028)*s_RadSpec!$AY25*s_RadSpec!$AF25,0)</f>
        <v>1.8043783087370148E-13</v>
      </c>
      <c r="J25" s="114" t="str">
        <f t="shared" si="0"/>
        <v>.</v>
      </c>
      <c r="K25" s="189">
        <f>IFERROR(J25*(0.0000000000000028)*s_RadSpec!$AY25*s_RadSpec!$AF25,0)</f>
        <v>0</v>
      </c>
      <c r="L25" s="114">
        <f t="shared" si="1"/>
        <v>387.95057279072637</v>
      </c>
      <c r="M25" s="189">
        <f>IFERROR(L25*(0.0000000000000028)*s_RadSpec!$AY25*s_RadSpec!$AF25,0)</f>
        <v>2.5261296322318204E-12</v>
      </c>
    </row>
    <row r="26" spans="1:13" x14ac:dyDescent="0.25">
      <c r="A26" s="44" t="s">
        <v>24</v>
      </c>
      <c r="B26" s="42" t="s">
        <v>1057</v>
      </c>
      <c r="C26" s="42"/>
      <c r="D26" s="114">
        <f>IF(s_RadSpec!AX26*s_DAF=0,".",s_RadSpec!AX26*s_DAF)</f>
        <v>109.22353435187127</v>
      </c>
      <c r="E26" s="114">
        <f>IFERROR(s_res!AP26*s_DAF,".")</f>
        <v>46.585178470570945</v>
      </c>
      <c r="F26" s="114">
        <f>IFERROR((D26*0.001*(s_RadSpec!AU26+(s_θw/s_ρb))*1),".")</f>
        <v>2.2117765706253931</v>
      </c>
      <c r="G26" s="189">
        <f>IFERROR(F26*(0.0000000000000028)*s_RadSpec!$AY26*s_RadSpec!$AF26,0)</f>
        <v>1.0409522946203916E-8</v>
      </c>
      <c r="H26" s="114">
        <f>IFERROR((E26*0.001*(s_RadSpec!AU26+(s_θw/s_ρb))*1),".")</f>
        <v>0.94334986402906174</v>
      </c>
      <c r="I26" s="189">
        <f>IFERROR(H26*(0.0000000000000028)*s_RadSpec!$AY26*s_RadSpec!$AF26,0)</f>
        <v>4.4397893468652885E-9</v>
      </c>
      <c r="J26" s="114">
        <f t="shared" si="0"/>
        <v>0.38228237023154943</v>
      </c>
      <c r="K26" s="189">
        <f>IFERROR(J26*(0.0000000000000028)*s_RadSpec!$AY26*s_RadSpec!$AF26,0)</f>
        <v>1.799176805516726E-9</v>
      </c>
      <c r="L26" s="114">
        <f t="shared" si="1"/>
        <v>0.1630481246469983</v>
      </c>
      <c r="M26" s="189">
        <f>IFERROR(L26*(0.0000000000000028)*s_RadSpec!$AY26*s_RadSpec!$AF26,0)</f>
        <v>7.6737099822362996E-10</v>
      </c>
    </row>
    <row r="27" spans="1:13" x14ac:dyDescent="0.25">
      <c r="A27" s="44" t="s">
        <v>25</v>
      </c>
      <c r="B27" s="42" t="s">
        <v>1057</v>
      </c>
      <c r="C27" s="238"/>
      <c r="D27" s="114" t="str">
        <f>IF(s_RadSpec!AX27*s_DAF=0,".",s_RadSpec!AX27*s_DAF)</f>
        <v>.</v>
      </c>
      <c r="E27" s="114">
        <f>IFERROR(s_res!AP27*s_DAF,".")</f>
        <v>26138285.39472406</v>
      </c>
      <c r="F27" s="114" t="str">
        <f>IFERROR((D27*0.001*(s_RadSpec!AU27+(s_θw/s_ρb))*1),".")</f>
        <v>.</v>
      </c>
      <c r="G27" s="189">
        <f>IFERROR(F27*(0.0000000000000028)*s_RadSpec!$AY27*s_RadSpec!$AF27,0)</f>
        <v>0</v>
      </c>
      <c r="H27" s="114">
        <f>IFERROR((E27*0.001*(s_RadSpec!AU27+(s_θw/s_ρb))*1),".")</f>
        <v>39213962.663434774</v>
      </c>
      <c r="I27" s="189">
        <f>IFERROR(H27*(0.0000000000000028)*s_RadSpec!$AY27*s_RadSpec!$AF27,0)</f>
        <v>1.8074234663228806E-10</v>
      </c>
      <c r="J27" s="114" t="str">
        <f t="shared" si="0"/>
        <v>.</v>
      </c>
      <c r="K27" s="189">
        <f>IFERROR(J27*(0.0000000000000028)*s_RadSpec!$AY27*s_RadSpec!$AF27,0)</f>
        <v>0</v>
      </c>
      <c r="L27" s="114">
        <f t="shared" si="1"/>
        <v>91483.998881534208</v>
      </c>
      <c r="M27" s="189">
        <f>IFERROR(L27*(0.0000000000000028)*s_RadSpec!$AY27*s_RadSpec!$AF27,0)</f>
        <v>4.2166186516447796E-13</v>
      </c>
    </row>
    <row r="28" spans="1:13" x14ac:dyDescent="0.25">
      <c r="A28" s="44" t="s">
        <v>26</v>
      </c>
      <c r="B28" s="42" t="s">
        <v>1057</v>
      </c>
      <c r="C28" s="42"/>
      <c r="D28" s="114" t="str">
        <f>IF(s_RadSpec!AX28*s_DAF=0,".",s_RadSpec!AX28*s_DAF)</f>
        <v>.</v>
      </c>
      <c r="E28" s="114">
        <f>IFERROR(s_res!AP28*s_DAF,".")</f>
        <v>56434.934374972399</v>
      </c>
      <c r="F28" s="114" t="str">
        <f>IFERROR((D28*0.001*(s_RadSpec!AU28+(s_θw/s_ρb))*1),".")</f>
        <v>.</v>
      </c>
      <c r="G28" s="189">
        <f>IFERROR(F28*(0.0000000000000028)*s_RadSpec!$AY28*s_RadSpec!$AF28,0)</f>
        <v>0</v>
      </c>
      <c r="H28" s="114">
        <f>IFERROR((E28*0.001*(s_RadSpec!AU28+(s_θw/s_ρb))*1),".")</f>
        <v>84666.510296052336</v>
      </c>
      <c r="I28" s="189">
        <f>IFERROR(H28*(0.0000000000000028)*s_RadSpec!$AY28*s_RadSpec!$AF28,0)</f>
        <v>2.0371142538882223E-13</v>
      </c>
      <c r="J28" s="114" t="str">
        <f t="shared" si="0"/>
        <v>.</v>
      </c>
      <c r="K28" s="189">
        <f>IFERROR(J28*(0.0000000000000028)*s_RadSpec!$AY28*s_RadSpec!$AF28,0)</f>
        <v>0</v>
      </c>
      <c r="L28" s="114">
        <f t="shared" si="1"/>
        <v>197.52227031240341</v>
      </c>
      <c r="M28" s="189">
        <f>IFERROR(L28*(0.0000000000000028)*s_RadSpec!$AY28*s_RadSpec!$AF28,0)</f>
        <v>4.7524745133202994E-16</v>
      </c>
    </row>
    <row r="29" spans="1:13" x14ac:dyDescent="0.25">
      <c r="A29" s="44" t="s">
        <v>27</v>
      </c>
      <c r="B29" s="42" t="s">
        <v>1057</v>
      </c>
      <c r="C29" s="238"/>
      <c r="D29" s="114" t="str">
        <f>IF(s_RadSpec!AX29*s_DAF=0,".",s_RadSpec!AX29*s_DAF)</f>
        <v>.</v>
      </c>
      <c r="E29" s="114">
        <f>IFERROR(s_res!AP29*s_DAF,".")</f>
        <v>43563.808991206759</v>
      </c>
      <c r="F29" s="114" t="str">
        <f>IFERROR((D29*0.001*(s_RadSpec!AU29+(s_θw/s_ρb))*1),".")</f>
        <v>.</v>
      </c>
      <c r="G29" s="189">
        <f>IFERROR(F29*(0.0000000000000028)*s_RadSpec!$AY29*s_RadSpec!$AF29,0)</f>
        <v>0</v>
      </c>
      <c r="H29" s="114">
        <f>IFERROR((E29*0.001*(s_RadSpec!AU29+(s_θw/s_ρb))*1),".")</f>
        <v>65356.604439057948</v>
      </c>
      <c r="I29" s="189">
        <f>IFERROR(H29*(0.0000000000000028)*s_RadSpec!$AY29*s_RadSpec!$AF29,0)</f>
        <v>9.5050586821187092E-14</v>
      </c>
      <c r="J29" s="114" t="str">
        <f t="shared" si="0"/>
        <v>.</v>
      </c>
      <c r="K29" s="189">
        <f>IFERROR(J29*(0.0000000000000028)*s_RadSpec!$AY29*s_RadSpec!$AF29,0)</f>
        <v>0</v>
      </c>
      <c r="L29" s="114">
        <f t="shared" si="1"/>
        <v>152.47333146922364</v>
      </c>
      <c r="M29" s="189">
        <f>IFERROR(L29*(0.0000000000000028)*s_RadSpec!$AY29*s_RadSpec!$AF29,0)</f>
        <v>2.217477446253323E-16</v>
      </c>
    </row>
    <row r="30" spans="1:13" x14ac:dyDescent="0.25">
      <c r="A30" s="44" t="s">
        <v>28</v>
      </c>
      <c r="B30" s="42" t="s">
        <v>1057</v>
      </c>
      <c r="C30" s="42"/>
      <c r="D30" s="114">
        <f>IF(s_RadSpec!AX30*s_DAF=0,".",s_RadSpec!AX30*s_DAF)</f>
        <v>2105887.3930773539</v>
      </c>
      <c r="E30" s="114">
        <f>IFERROR(s_res!AP30*s_DAF,".")</f>
        <v>463.6862352557369</v>
      </c>
      <c r="F30" s="114">
        <f>IFERROR((D30*0.001*(s_RadSpec!AU30+(s_θw/s_ρb))*1),".")</f>
        <v>1368.82680550028</v>
      </c>
      <c r="G30" s="189">
        <f>IFERROR(F30*(0.0000000000000028)*s_RadSpec!$AY30*s_RadSpec!$AF30,0)</f>
        <v>1.4216919917901452E-4</v>
      </c>
      <c r="H30" s="114">
        <f>IFERROR((E30*0.001*(s_RadSpec!AU30+(s_θw/s_ρb))*1),".")</f>
        <v>0.30139605291622901</v>
      </c>
      <c r="I30" s="189">
        <f>IFERROR(H30*(0.0000000000000028)*s_RadSpec!$AY30*s_RadSpec!$AF30,0)</f>
        <v>3.1303620959669613E-8</v>
      </c>
      <c r="J30" s="114">
        <f t="shared" si="0"/>
        <v>7370.6058757707387</v>
      </c>
      <c r="K30" s="189">
        <f>IFERROR(J30*(0.0000000000000028)*s_RadSpec!$AY30*s_RadSpec!$AF30,0)</f>
        <v>7.6552645711777049E-4</v>
      </c>
      <c r="L30" s="114">
        <f t="shared" si="1"/>
        <v>1.6229018233950792</v>
      </c>
      <c r="M30" s="189">
        <f>IFERROR(L30*(0.0000000000000028)*s_RadSpec!$AY30*s_RadSpec!$AF30,0)</f>
        <v>1.6855795901360558E-7</v>
      </c>
    </row>
    <row r="31" spans="1:13" x14ac:dyDescent="0.25">
      <c r="A31" s="76" t="s">
        <v>1</v>
      </c>
      <c r="B31" s="76" t="s">
        <v>1057</v>
      </c>
      <c r="C31" s="57"/>
      <c r="D31" s="58">
        <f t="shared" ref="D31:L31" si="2">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13.603773719183023</v>
      </c>
      <c r="E31" s="58">
        <f t="shared" si="2"/>
        <v>21.210643403109451</v>
      </c>
      <c r="F31" s="58">
        <f t="shared" si="2"/>
        <v>4.1753915146504193E-2</v>
      </c>
      <c r="G31" s="190">
        <f>F31*(0.0000000000000028)*s_RadSpec!$AY3*s_RadSpec!$AF3</f>
        <v>1.2177469226840137E-11</v>
      </c>
      <c r="H31" s="58">
        <f t="shared" si="2"/>
        <v>4.2714141344269853E-2</v>
      </c>
      <c r="I31" s="190">
        <f>H31*(0.0000000000000028)*s_RadSpec!$AY3*s_RadSpec!$AF3</f>
        <v>1.2457517814692767E-11</v>
      </c>
      <c r="J31" s="58">
        <f t="shared" si="2"/>
        <v>4.7613208017140571E-2</v>
      </c>
      <c r="K31" s="190">
        <f>J31*(0.0000000000000028)*s_RadSpec!$AY3*s_RadSpec!$AF3</f>
        <v>1.3886323555179502E-11</v>
      </c>
      <c r="L31" s="58">
        <f t="shared" si="2"/>
        <v>7.4237251910883068E-2</v>
      </c>
      <c r="M31" s="190">
        <f>L31*(0.0000000000000028)*s_RadSpec!$AY3*s_RadSpec!$AF3</f>
        <v>2.1651187618166296E-11</v>
      </c>
    </row>
    <row r="32" spans="1:13" x14ac:dyDescent="0.25">
      <c r="A32" s="77" t="s">
        <v>1085</v>
      </c>
      <c r="B32" s="42">
        <v>1</v>
      </c>
      <c r="C32" s="42"/>
      <c r="D32" s="60">
        <f t="shared" ref="D32:L32" si="3">IFERROR(D3/$B32,".")</f>
        <v>109.22353435187127</v>
      </c>
      <c r="E32" s="60">
        <f t="shared" si="3"/>
        <v>119.42490550394008</v>
      </c>
      <c r="F32" s="60">
        <f t="shared" si="3"/>
        <v>0.46420002099545288</v>
      </c>
      <c r="G32" s="189">
        <f t="shared" ref="G32" si="4">IFERROR(G3/$B32,0)</f>
        <v>1.3538326767529361E-10</v>
      </c>
      <c r="H32" s="60">
        <f t="shared" si="3"/>
        <v>0.50755584839174539</v>
      </c>
      <c r="I32" s="189">
        <f t="shared" ref="I32" si="5">IFERROR(I3/$B32,0)</f>
        <v>1.4802793230303087E-10</v>
      </c>
      <c r="J32" s="60">
        <f t="shared" si="3"/>
        <v>0.38228237023154943</v>
      </c>
      <c r="K32" s="189">
        <f t="shared" ref="K32" si="6">IFERROR(K3/$B32,0)</f>
        <v>1.1149210279141827E-10</v>
      </c>
      <c r="L32" s="60">
        <f t="shared" si="3"/>
        <v>0.41798716926379031</v>
      </c>
      <c r="M32" s="189">
        <f t="shared" ref="M32" si="7">IFERROR(M3/$B32,0)</f>
        <v>1.219053560142607E-10</v>
      </c>
    </row>
    <row r="33" spans="1:13" x14ac:dyDescent="0.25">
      <c r="A33" s="77" t="s">
        <v>1061</v>
      </c>
      <c r="B33" s="42">
        <v>1</v>
      </c>
      <c r="C33" s="42"/>
      <c r="D33" s="60">
        <f t="shared" ref="D33:L34" si="8">IFERROR(D13/$B33,".")</f>
        <v>109.22353435187127</v>
      </c>
      <c r="E33" s="60">
        <f t="shared" si="8"/>
        <v>219.7891250362328</v>
      </c>
      <c r="F33" s="60">
        <f t="shared" si="8"/>
        <v>4.9150590458342074E-2</v>
      </c>
      <c r="G33" s="189">
        <f t="shared" ref="G33:G34" si="9">IFERROR(G13/$B33,0)</f>
        <v>6.9929415439566041E-8</v>
      </c>
      <c r="H33" s="60">
        <f t="shared" si="8"/>
        <v>9.8905106266304763E-2</v>
      </c>
      <c r="I33" s="189">
        <f t="shared" ref="I33:I34" si="10">IFERROR(I13/$B33,0)</f>
        <v>1.4071807074327773E-7</v>
      </c>
      <c r="J33" s="60">
        <f t="shared" si="8"/>
        <v>0.38228237023154943</v>
      </c>
      <c r="K33" s="189">
        <f t="shared" ref="K33:K34" si="11">IFERROR(K13/$B33,0)</f>
        <v>5.438954534188469E-7</v>
      </c>
      <c r="L33" s="60">
        <f t="shared" si="8"/>
        <v>0.76926193762681483</v>
      </c>
      <c r="M33" s="189">
        <f t="shared" ref="M33:M34" si="12">IFERROR(M13/$B33,0)</f>
        <v>1.0944738835588269E-6</v>
      </c>
    </row>
    <row r="34" spans="1:13" x14ac:dyDescent="0.25">
      <c r="A34" s="77" t="s">
        <v>1062</v>
      </c>
      <c r="B34" s="42">
        <v>1</v>
      </c>
      <c r="C34" s="42"/>
      <c r="D34" s="60">
        <f t="shared" si="8"/>
        <v>2184.4706870374253</v>
      </c>
      <c r="E34" s="60">
        <f t="shared" si="8"/>
        <v>20148.672531591696</v>
      </c>
      <c r="F34" s="60">
        <f t="shared" si="8"/>
        <v>4369.4874917466095</v>
      </c>
      <c r="G34" s="189">
        <f t="shared" si="9"/>
        <v>2.1061253890276945E-10</v>
      </c>
      <c r="H34" s="60">
        <f t="shared" si="8"/>
        <v>40302.382231316289</v>
      </c>
      <c r="I34" s="189">
        <f t="shared" si="10"/>
        <v>1.9426047246045359E-9</v>
      </c>
      <c r="J34" s="60">
        <f t="shared" si="8"/>
        <v>7.6456474046309886</v>
      </c>
      <c r="K34" s="189">
        <f t="shared" si="11"/>
        <v>3.685258773451784E-13</v>
      </c>
      <c r="L34" s="60">
        <f t="shared" si="8"/>
        <v>70.520353860570935</v>
      </c>
      <c r="M34" s="189">
        <f t="shared" si="12"/>
        <v>3.3991333763858888E-12</v>
      </c>
    </row>
    <row r="35" spans="1:13" x14ac:dyDescent="0.25">
      <c r="A35" s="77" t="s">
        <v>1063</v>
      </c>
      <c r="B35" s="42">
        <v>1</v>
      </c>
      <c r="C35" s="42"/>
      <c r="D35" s="60">
        <f t="shared" ref="D35:L35" si="13">IFERROR(D30/$B35,".")</f>
        <v>2105887.3930773539</v>
      </c>
      <c r="E35" s="60">
        <f t="shared" si="13"/>
        <v>463.6862352557369</v>
      </c>
      <c r="F35" s="60">
        <f t="shared" si="13"/>
        <v>1368.82680550028</v>
      </c>
      <c r="G35" s="189">
        <f t="shared" ref="G35" si="14">IFERROR(G30/$B35,0)</f>
        <v>1.4216919917901452E-4</v>
      </c>
      <c r="H35" s="60">
        <f t="shared" si="13"/>
        <v>0.30139605291622901</v>
      </c>
      <c r="I35" s="189">
        <f t="shared" ref="I35" si="15">IFERROR(I30/$B35,0)</f>
        <v>3.1303620959669613E-8</v>
      </c>
      <c r="J35" s="60">
        <f t="shared" si="13"/>
        <v>7370.6058757707387</v>
      </c>
      <c r="K35" s="189">
        <f t="shared" ref="K35" si="16">IFERROR(K30/$B35,0)</f>
        <v>7.6552645711777049E-4</v>
      </c>
      <c r="L35" s="60">
        <f t="shared" si="13"/>
        <v>1.6229018233950792</v>
      </c>
      <c r="M35" s="189">
        <f t="shared" ref="M35" si="17">IFERROR(M30/$B35,0)</f>
        <v>1.6855795901360558E-7</v>
      </c>
    </row>
    <row r="36" spans="1:13" x14ac:dyDescent="0.25">
      <c r="A36" s="77" t="s">
        <v>1064</v>
      </c>
      <c r="B36" s="42">
        <v>1</v>
      </c>
      <c r="C36" s="42"/>
      <c r="D36" s="60">
        <f t="shared" ref="D36:L36" si="18">IFERROR(D26/$B36,".")</f>
        <v>109.22353435187127</v>
      </c>
      <c r="E36" s="60">
        <f t="shared" si="18"/>
        <v>46.585178470570945</v>
      </c>
      <c r="F36" s="60">
        <f t="shared" si="18"/>
        <v>2.2117765706253931</v>
      </c>
      <c r="G36" s="189">
        <f t="shared" ref="G36" si="19">IFERROR(G26/$B36,0)</f>
        <v>1.0409522946203916E-8</v>
      </c>
      <c r="H36" s="60">
        <f t="shared" si="18"/>
        <v>0.94334986402906174</v>
      </c>
      <c r="I36" s="189">
        <f t="shared" ref="I36" si="20">IFERROR(I26/$B36,0)</f>
        <v>4.4397893468652885E-9</v>
      </c>
      <c r="J36" s="60">
        <f t="shared" si="18"/>
        <v>0.38228237023154943</v>
      </c>
      <c r="K36" s="189">
        <f t="shared" ref="K36" si="21">IFERROR(K26/$B36,0)</f>
        <v>1.799176805516726E-9</v>
      </c>
      <c r="L36" s="60">
        <f t="shared" si="18"/>
        <v>0.1630481246469983</v>
      </c>
      <c r="M36" s="189">
        <f t="shared" ref="M36" si="22">IFERROR(M26/$B36,0)</f>
        <v>7.6737099822362996E-10</v>
      </c>
    </row>
    <row r="37" spans="1:13" x14ac:dyDescent="0.25">
      <c r="A37" s="77" t="s">
        <v>1065</v>
      </c>
      <c r="B37" s="42">
        <v>1</v>
      </c>
      <c r="C37" s="42"/>
      <c r="D37" s="60" t="str">
        <f t="shared" ref="D37:L37" si="23">IFERROR(D22/$B37,".")</f>
        <v>.</v>
      </c>
      <c r="E37" s="60">
        <f t="shared" si="23"/>
        <v>115.08441035482032</v>
      </c>
      <c r="F37" s="60" t="str">
        <f t="shared" si="23"/>
        <v>.</v>
      </c>
      <c r="G37" s="189">
        <f t="shared" ref="G37" si="24">IFERROR(G22/$B37,0)</f>
        <v>0</v>
      </c>
      <c r="H37" s="60">
        <f t="shared" si="23"/>
        <v>0.14385551294352542</v>
      </c>
      <c r="I37" s="189">
        <f t="shared" ref="I37" si="25">IFERROR(I22/$B37,0)</f>
        <v>3.699648493153079E-15</v>
      </c>
      <c r="J37" s="60" t="str">
        <f t="shared" si="23"/>
        <v>.</v>
      </c>
      <c r="K37" s="189">
        <f t="shared" ref="K37" si="26">IFERROR(K22/$B37,0)</f>
        <v>0</v>
      </c>
      <c r="L37" s="60">
        <f t="shared" si="23"/>
        <v>0.40279543624187114</v>
      </c>
      <c r="M37" s="189">
        <f t="shared" ref="M37" si="27">IFERROR(M22/$B37,0)</f>
        <v>1.035901578082862E-14</v>
      </c>
    </row>
    <row r="38" spans="1:13" x14ac:dyDescent="0.25">
      <c r="A38" s="77" t="s">
        <v>1066</v>
      </c>
      <c r="B38" s="42">
        <v>1</v>
      </c>
      <c r="C38" s="42"/>
      <c r="D38" s="60">
        <f t="shared" ref="D38:L38" si="28">IFERROR(D2/$B38,".")</f>
        <v>109.22353435187127</v>
      </c>
      <c r="E38" s="60">
        <f t="shared" si="28"/>
        <v>542.22364527781622</v>
      </c>
      <c r="F38" s="60">
        <f t="shared" si="28"/>
        <v>185.70731428176913</v>
      </c>
      <c r="G38" s="189">
        <f t="shared" ref="G38" si="29">IFERROR(G2/$B38,0)</f>
        <v>3.2053591232195768E-12</v>
      </c>
      <c r="H38" s="60">
        <f t="shared" si="28"/>
        <v>921.91575288360696</v>
      </c>
      <c r="I38" s="189">
        <f t="shared" ref="I38" si="30">IFERROR(I2/$B38,0)</f>
        <v>1.5912518474429382E-11</v>
      </c>
      <c r="J38" s="60">
        <f t="shared" si="28"/>
        <v>0.38228237023154943</v>
      </c>
      <c r="K38" s="189">
        <f t="shared" ref="K38" si="31">IFERROR(K2/$B38,0)</f>
        <v>6.5982984450924965E-15</v>
      </c>
      <c r="L38" s="60">
        <f t="shared" si="28"/>
        <v>1.8977827584723568</v>
      </c>
      <c r="M38" s="189">
        <f t="shared" ref="M38" si="32">IFERROR(M2/$B38,0)</f>
        <v>3.2756250351714654E-14</v>
      </c>
    </row>
    <row r="39" spans="1:13" x14ac:dyDescent="0.25">
      <c r="A39" s="77" t="s">
        <v>1067</v>
      </c>
      <c r="B39" s="42">
        <v>1</v>
      </c>
      <c r="C39" s="42"/>
      <c r="D39" s="60">
        <f t="shared" ref="D39:L39" si="33">IFERROR(D11/$B39,".")</f>
        <v>109.22353435187127</v>
      </c>
      <c r="E39" s="60">
        <f t="shared" si="33"/>
        <v>4514794.7499977918</v>
      </c>
      <c r="F39" s="60">
        <f t="shared" si="33"/>
        <v>27.333189471555784</v>
      </c>
      <c r="G39" s="189">
        <f t="shared" ref="G39" si="34">IFERROR(G11/$B39,0)</f>
        <v>1.5768171701007181E-16</v>
      </c>
      <c r="H39" s="60">
        <f t="shared" si="33"/>
        <v>1129827.3861869473</v>
      </c>
      <c r="I39" s="189">
        <f t="shared" ref="I39" si="35">IFERROR(I11/$B39,0)</f>
        <v>6.5178314577723885E-12</v>
      </c>
      <c r="J39" s="60">
        <f t="shared" si="33"/>
        <v>0.38228237023154943</v>
      </c>
      <c r="K39" s="189">
        <f t="shared" ref="K39" si="36">IFERROR(K11/$B39,0)</f>
        <v>2.2053386994415638E-18</v>
      </c>
      <c r="L39" s="60">
        <f t="shared" si="33"/>
        <v>15801.781624992273</v>
      </c>
      <c r="M39" s="189">
        <f t="shared" ref="M39" si="37">IFERROR(M11/$B39,0)</f>
        <v>9.1158481926886574E-14</v>
      </c>
    </row>
    <row r="40" spans="1:13" x14ac:dyDescent="0.25">
      <c r="A40" s="77" t="s">
        <v>1068</v>
      </c>
      <c r="B40" s="42">
        <v>1</v>
      </c>
      <c r="C40" s="42"/>
      <c r="D40" s="60">
        <f t="shared" ref="D40:L40" si="38">IFERROR(D4/$B40,".")</f>
        <v>109.22353435187127</v>
      </c>
      <c r="E40" s="60">
        <f t="shared" si="38"/>
        <v>537475565.47592759</v>
      </c>
      <c r="F40" s="60">
        <f t="shared" si="38"/>
        <v>1.1195412271066805</v>
      </c>
      <c r="G40" s="189">
        <f t="shared" ref="G40" si="39">IFERROR(G4/$B40,0)</f>
        <v>6.9671277149155568E-22</v>
      </c>
      <c r="H40" s="60">
        <f t="shared" si="38"/>
        <v>5509124.5461282572</v>
      </c>
      <c r="I40" s="189">
        <f t="shared" ref="I40" si="40">IFERROR(I4/$B40,0)</f>
        <v>3.4284377726265094E-15</v>
      </c>
      <c r="J40" s="60">
        <f t="shared" si="38"/>
        <v>0.38228237023154943</v>
      </c>
      <c r="K40" s="189">
        <f t="shared" ref="K40" si="41">IFERROR(K4/$B40,0)</f>
        <v>2.3790192197272631E-22</v>
      </c>
      <c r="L40" s="60">
        <f t="shared" si="38"/>
        <v>1881164.4791657466</v>
      </c>
      <c r="M40" s="189">
        <f t="shared" ref="M40" si="42">IFERROR(M4/$B40,0)</f>
        <v>1.1706860687017351E-15</v>
      </c>
    </row>
    <row r="41" spans="1:13" x14ac:dyDescent="0.25">
      <c r="A41" s="77" t="s">
        <v>1069</v>
      </c>
      <c r="B41" s="78">
        <v>0.99987999999999999</v>
      </c>
      <c r="C41" s="78"/>
      <c r="D41" s="60">
        <f t="shared" ref="D41:L41" si="43">IFERROR(D8/$B41,".")</f>
        <v>109.23664274900115</v>
      </c>
      <c r="E41" s="60">
        <f t="shared" si="43"/>
        <v>72968.361873143222</v>
      </c>
      <c r="F41" s="60">
        <f t="shared" si="43"/>
        <v>52.4608976802078</v>
      </c>
      <c r="G41" s="189">
        <f t="shared" ref="G41" si="44">IFERROR(G8/$B41,0)</f>
        <v>2.7138609261292561E-15</v>
      </c>
      <c r="H41" s="60">
        <f t="shared" si="43"/>
        <v>35043.055789577033</v>
      </c>
      <c r="I41" s="189">
        <f t="shared" ref="I41" si="45">IFERROR(I8/$B41,0)</f>
        <v>1.812816479413396E-12</v>
      </c>
      <c r="J41" s="60">
        <f t="shared" si="43"/>
        <v>0.38232824962150402</v>
      </c>
      <c r="K41" s="189">
        <f t="shared" ref="K41" si="46">IFERROR(K8/$B41,0)</f>
        <v>1.9778268071738458E-17</v>
      </c>
      <c r="L41" s="60">
        <f t="shared" si="43"/>
        <v>255.38926655600125</v>
      </c>
      <c r="M41" s="189">
        <f t="shared" ref="M41" si="47">IFERROR(M8/$B41,0)</f>
        <v>1.321157246839539E-14</v>
      </c>
    </row>
    <row r="42" spans="1:13" x14ac:dyDescent="0.25">
      <c r="A42" s="77" t="s">
        <v>1070</v>
      </c>
      <c r="B42" s="42">
        <v>0.97898250799999997</v>
      </c>
      <c r="C42" s="42"/>
      <c r="D42" s="60">
        <f t="shared" ref="D42:L42" si="48">IFERROR(D19/$B42,".")</f>
        <v>111.56842278521208</v>
      </c>
      <c r="E42" s="60">
        <f t="shared" si="48"/>
        <v>3418392000.2358618</v>
      </c>
      <c r="F42" s="60">
        <f t="shared" si="48"/>
        <v>23.457260890590838</v>
      </c>
      <c r="G42" s="189">
        <f t="shared" ref="G42" si="49">IFERROR(G19/$B42,0)</f>
        <v>1.8631920237069721E-24</v>
      </c>
      <c r="H42" s="60">
        <f t="shared" si="48"/>
        <v>718716918.04958999</v>
      </c>
      <c r="I42" s="189">
        <f t="shared" ref="I42" si="50">IFERROR(I19/$B42,0)</f>
        <v>5.7087126892568912E-17</v>
      </c>
      <c r="J42" s="60">
        <f t="shared" si="48"/>
        <v>0.39048947974824227</v>
      </c>
      <c r="K42" s="189">
        <f t="shared" ref="K42" si="51">IFERROR(K19/$B42,0)</f>
        <v>3.1016276256715351E-26</v>
      </c>
      <c r="L42" s="60">
        <f t="shared" si="48"/>
        <v>11964372.000825515</v>
      </c>
      <c r="M42" s="189">
        <f t="shared" ref="M42" si="52">IFERROR(M19/$B42,0)</f>
        <v>9.5032078061351345E-19</v>
      </c>
    </row>
    <row r="43" spans="1:13" x14ac:dyDescent="0.25">
      <c r="A43" s="77" t="s">
        <v>1071</v>
      </c>
      <c r="B43" s="42">
        <v>2.0897492E-2</v>
      </c>
      <c r="C43" s="42"/>
      <c r="D43" s="60" t="str">
        <f t="shared" ref="D43:L43" si="53">IFERROR(D28/$B43,".")</f>
        <v>.</v>
      </c>
      <c r="E43" s="60">
        <f t="shared" si="53"/>
        <v>2700560.1617156928</v>
      </c>
      <c r="F43" s="60" t="str">
        <f t="shared" si="53"/>
        <v>.</v>
      </c>
      <c r="G43" s="189">
        <f t="shared" ref="G43" si="54">IFERROR(G28/$B43,0)</f>
        <v>0</v>
      </c>
      <c r="H43" s="60">
        <f t="shared" si="53"/>
        <v>4051515.3826139681</v>
      </c>
      <c r="I43" s="189">
        <f t="shared" ref="I43" si="55">IFERROR(I28/$B43,0)</f>
        <v>9.7481279279265775E-12</v>
      </c>
      <c r="J43" s="60" t="str">
        <f t="shared" si="53"/>
        <v>.</v>
      </c>
      <c r="K43" s="189">
        <f t="shared" ref="K43" si="56">IFERROR(K28/$B43,0)</f>
        <v>0</v>
      </c>
      <c r="L43" s="60">
        <f t="shared" si="53"/>
        <v>9451.9605660049256</v>
      </c>
      <c r="M43" s="189">
        <f t="shared" ref="M43" si="57">IFERROR(M28/$B43,0)</f>
        <v>2.2741841524907866E-14</v>
      </c>
    </row>
    <row r="44" spans="1:13" x14ac:dyDescent="0.25">
      <c r="A44" s="77" t="s">
        <v>1072</v>
      </c>
      <c r="B44" s="42">
        <v>0.99987999999999999</v>
      </c>
      <c r="C44" s="42"/>
      <c r="D44" s="60" t="str">
        <f t="shared" ref="D44:L44" si="58">IFERROR(D15/$B44,".")</f>
        <v>.</v>
      </c>
      <c r="E44" s="60">
        <f t="shared" si="58"/>
        <v>368138.41959622194</v>
      </c>
      <c r="F44" s="60" t="str">
        <f t="shared" si="58"/>
        <v>.</v>
      </c>
      <c r="G44" s="189">
        <f t="shared" ref="G44" si="59">IFERROR(G15/$B44,0)</f>
        <v>0</v>
      </c>
      <c r="H44" s="60">
        <f t="shared" si="58"/>
        <v>55312.797544332345</v>
      </c>
      <c r="I44" s="189">
        <f t="shared" ref="I44" si="60">IFERROR(I15/$B44,0)</f>
        <v>1.2020150319284753E-11</v>
      </c>
      <c r="J44" s="60" t="str">
        <f t="shared" si="58"/>
        <v>.</v>
      </c>
      <c r="K44" s="189">
        <f t="shared" ref="K44" si="61">IFERROR(K15/$B44,0)</f>
        <v>0</v>
      </c>
      <c r="L44" s="60">
        <f t="shared" si="58"/>
        <v>1288.484468586777</v>
      </c>
      <c r="M44" s="189">
        <f t="shared" ref="M44" si="62">IFERROR(M15/$B44,0)</f>
        <v>2.8000350161395435E-13</v>
      </c>
    </row>
    <row r="45" spans="1:13" x14ac:dyDescent="0.25">
      <c r="A45" s="76" t="s">
        <v>8</v>
      </c>
      <c r="B45" s="76" t="s">
        <v>1057</v>
      </c>
      <c r="C45" s="57"/>
      <c r="D45" s="58">
        <f t="shared" ref="D45:L45" si="63">IFERROR(1/SUM(IFERROR(1/SUMIF(D46,"&lt;&gt;.",D46),0),IFERROR(1/SUMIF(D47,"&lt;&gt;.",D47),0)),".")</f>
        <v>1456.3137913582837</v>
      </c>
      <c r="E45" s="58">
        <f t="shared" si="63"/>
        <v>2021.2138221692792</v>
      </c>
      <c r="F45" s="58">
        <f t="shared" si="63"/>
        <v>14.927216361422408</v>
      </c>
      <c r="G45" s="190">
        <f>F45*(0.0000000000000028)*s_RadSpec!$AY10*s_RadSpec!$AF10</f>
        <v>1.7273923388804108E-10</v>
      </c>
      <c r="H45" s="115">
        <f t="shared" si="63"/>
        <v>18.296406105621031</v>
      </c>
      <c r="I45" s="190">
        <f>H45*(0.0000000000000028)*s_RadSpec!$AY10*s_RadSpec!$AF10</f>
        <v>2.1172783304443848E-10</v>
      </c>
      <c r="J45" s="58">
        <f t="shared" si="63"/>
        <v>5.0970982697539924</v>
      </c>
      <c r="K45" s="190">
        <f>J45*(0.0000000000000028)*s_RadSpec!$AY10*s_RadSpec!$AF10</f>
        <v>5.8984128644696935E-11</v>
      </c>
      <c r="L45" s="115">
        <f t="shared" si="63"/>
        <v>7.0742483775924772</v>
      </c>
      <c r="M45" s="190">
        <f>L45*(0.0000000000000028)*s_RadSpec!$AY10*s_RadSpec!$AF10</f>
        <v>8.1863906537668621E-11</v>
      </c>
    </row>
    <row r="46" spans="1:13" x14ac:dyDescent="0.25">
      <c r="A46" s="77" t="s">
        <v>1084</v>
      </c>
      <c r="B46" s="42">
        <v>1</v>
      </c>
      <c r="C46" s="42"/>
      <c r="D46" s="60">
        <f t="shared" ref="D46:L46" si="64">IFERROR(D10/$B46,".")</f>
        <v>1456.3137913582837</v>
      </c>
      <c r="E46" s="60">
        <f t="shared" si="64"/>
        <v>2039.4863361493778</v>
      </c>
      <c r="F46" s="60">
        <f t="shared" si="64"/>
        <v>14.927216361422408</v>
      </c>
      <c r="G46" s="189">
        <f t="shared" ref="G46" si="65">IFERROR(G10/$B46,0)</f>
        <v>1.7273923388804108E-10</v>
      </c>
      <c r="H46" s="60">
        <f t="shared" si="64"/>
        <v>20.904734945531121</v>
      </c>
      <c r="I46" s="189">
        <f t="shared" ref="I46" si="66">IFERROR(I10/$B46,0)</f>
        <v>2.4191167406509737E-10</v>
      </c>
      <c r="J46" s="60">
        <f t="shared" si="64"/>
        <v>5.0970982697539924</v>
      </c>
      <c r="K46" s="189">
        <f t="shared" ref="K46" si="67">IFERROR(K10/$B46,0)</f>
        <v>5.8984128644696935E-11</v>
      </c>
      <c r="L46" s="60">
        <f t="shared" si="64"/>
        <v>7.1382021765228227</v>
      </c>
      <c r="M46" s="189">
        <f t="shared" ref="M46" si="68">IFERROR(M10/$B46,0)</f>
        <v>8.2603986266130801E-11</v>
      </c>
    </row>
    <row r="47" spans="1:13" x14ac:dyDescent="0.25">
      <c r="A47" s="77" t="s">
        <v>1058</v>
      </c>
      <c r="B47" s="79">
        <v>0.94399</v>
      </c>
      <c r="C47" s="79"/>
      <c r="D47" s="60" t="str">
        <f t="shared" ref="D47:L47" si="69">IFERROR(D6/$B$47,".")</f>
        <v>.</v>
      </c>
      <c r="E47" s="60">
        <f t="shared" si="69"/>
        <v>225597.74627838202</v>
      </c>
      <c r="F47" s="60" t="str">
        <f t="shared" si="69"/>
        <v>.</v>
      </c>
      <c r="G47" s="189">
        <f t="shared" ref="G47" si="70">IFERROR(G6/$B$47,0)</f>
        <v>0</v>
      </c>
      <c r="H47" s="60">
        <f t="shared" si="69"/>
        <v>146.63853508094832</v>
      </c>
      <c r="I47" s="189">
        <f t="shared" ref="I47" si="71">IFERROR(I6/$B$47,0)</f>
        <v>2.7311907026178848E-16</v>
      </c>
      <c r="J47" s="60" t="str">
        <f t="shared" si="69"/>
        <v>.</v>
      </c>
      <c r="K47" s="189">
        <f t="shared" ref="K47" si="72">IFERROR(K6/$B$47,0)</f>
        <v>0</v>
      </c>
      <c r="L47" s="60">
        <f t="shared" si="69"/>
        <v>789.59211197433706</v>
      </c>
      <c r="M47" s="189">
        <f t="shared" ref="M47" si="73">IFERROR(M6/$B$47,0)</f>
        <v>1.4706411475634766E-15</v>
      </c>
    </row>
    <row r="48" spans="1:13" x14ac:dyDescent="0.25">
      <c r="A48" s="76" t="s">
        <v>21</v>
      </c>
      <c r="B48" s="76" t="s">
        <v>1057</v>
      </c>
      <c r="C48" s="239"/>
      <c r="D48" s="58">
        <f t="shared" ref="D48:L48" si="74">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13.652959201435214</v>
      </c>
      <c r="E48" s="58">
        <f t="shared" si="74"/>
        <v>8.6298071582509213</v>
      </c>
      <c r="F48" s="58">
        <f t="shared" si="74"/>
        <v>4.5162585889462287E-2</v>
      </c>
      <c r="G48" s="190">
        <f>F48*(0.0000000000000028)*s_RadSpec!$AY23*s_RadSpec!$AF23</f>
        <v>4.5726214961362781E-11</v>
      </c>
      <c r="H48" s="58">
        <f t="shared" si="74"/>
        <v>7.2413722064005065E-2</v>
      </c>
      <c r="I48" s="190">
        <f>H48*(0.0000000000000028)*s_RadSpec!$AY23*s_RadSpec!$AF23</f>
        <v>7.3317445315363853E-11</v>
      </c>
      <c r="J48" s="58">
        <f t="shared" si="74"/>
        <v>4.7785357205023242E-2</v>
      </c>
      <c r="K48" s="190">
        <f>J48*(0.0000000000000028)*s_RadSpec!$AY23*s_RadSpec!$AF23</f>
        <v>4.8381718462941926E-11</v>
      </c>
      <c r="L48" s="58">
        <f t="shared" si="74"/>
        <v>3.0204325053878222E-2</v>
      </c>
      <c r="M48" s="190">
        <f>L48*(0.0000000000000028)*s_RadSpec!$AY23*s_RadSpec!$AF23</f>
        <v>3.0581275030550622E-11</v>
      </c>
    </row>
    <row r="49" spans="1:13" x14ac:dyDescent="0.25">
      <c r="A49" s="77" t="s">
        <v>1086</v>
      </c>
      <c r="B49" s="42">
        <v>1</v>
      </c>
      <c r="C49" s="238"/>
      <c r="D49" s="60">
        <f t="shared" ref="D49:L49" si="75">IFERROR(D23/$B49,".")</f>
        <v>36.407844783957088</v>
      </c>
      <c r="E49" s="60">
        <f t="shared" si="75"/>
        <v>60.463877013528538</v>
      </c>
      <c r="F49" s="60">
        <f t="shared" si="75"/>
        <v>4.5509805979946361E-2</v>
      </c>
      <c r="G49" s="189">
        <f t="shared" ref="G49" si="76">IFERROR(G23/$B49,0)</f>
        <v>4.6077768358576102E-11</v>
      </c>
      <c r="H49" s="60">
        <f t="shared" si="75"/>
        <v>7.5579846266910666E-2</v>
      </c>
      <c r="I49" s="189">
        <f t="shared" ref="I49" si="77">IFERROR(I23/$B49,0)</f>
        <v>7.652308274832173E-11</v>
      </c>
      <c r="J49" s="60">
        <f t="shared" si="75"/>
        <v>0.12742745674384981</v>
      </c>
      <c r="K49" s="189">
        <f t="shared" ref="K49" si="78">IFERROR(K23/$B49,0)</f>
        <v>1.2901775140401307E-10</v>
      </c>
      <c r="L49" s="60">
        <f t="shared" si="75"/>
        <v>0.21162356954734987</v>
      </c>
      <c r="M49" s="189">
        <f t="shared" ref="M49" si="79">IFERROR(M23/$B49,0)</f>
        <v>2.1426463169530079E-10</v>
      </c>
    </row>
    <row r="50" spans="1:13" x14ac:dyDescent="0.25">
      <c r="A50" s="77" t="s">
        <v>1073</v>
      </c>
      <c r="B50" s="42">
        <v>1</v>
      </c>
      <c r="C50" s="238"/>
      <c r="D50" s="60" t="str">
        <f t="shared" ref="D50:L50" si="80">IFERROR(D25/$B50,".")</f>
        <v>.</v>
      </c>
      <c r="E50" s="60">
        <f t="shared" si="80"/>
        <v>110843.02079735039</v>
      </c>
      <c r="F50" s="60" t="str">
        <f t="shared" si="80"/>
        <v>.</v>
      </c>
      <c r="G50" s="189">
        <f t="shared" ref="G50" si="81">IFERROR(G25/$B50,0)</f>
        <v>0</v>
      </c>
      <c r="H50" s="60">
        <f t="shared" si="80"/>
        <v>27.710755199337598</v>
      </c>
      <c r="I50" s="189">
        <f t="shared" ref="I50" si="82">IFERROR(I25/$B50,0)</f>
        <v>1.8043783087370148E-13</v>
      </c>
      <c r="J50" s="60" t="str">
        <f t="shared" si="80"/>
        <v>.</v>
      </c>
      <c r="K50" s="189">
        <f t="shared" ref="K50" si="83">IFERROR(K25/$B50,0)</f>
        <v>0</v>
      </c>
      <c r="L50" s="60">
        <f t="shared" si="80"/>
        <v>387.95057279072637</v>
      </c>
      <c r="M50" s="189">
        <f t="shared" ref="M50" si="84">IFERROR(M25/$B50,0)</f>
        <v>2.5261296322318204E-12</v>
      </c>
    </row>
    <row r="51" spans="1:13" x14ac:dyDescent="0.25">
      <c r="A51" s="77" t="s">
        <v>1059</v>
      </c>
      <c r="B51" s="42">
        <v>1</v>
      </c>
      <c r="C51" s="238"/>
      <c r="D51" s="60">
        <f t="shared" ref="D51:L51" si="85">IFERROR(D21/$B51,".")</f>
        <v>109.22353435187127</v>
      </c>
      <c r="E51" s="60">
        <f t="shared" si="85"/>
        <v>130832.28142776409</v>
      </c>
      <c r="F51" s="60">
        <f t="shared" si="85"/>
        <v>22.964248097480933</v>
      </c>
      <c r="G51" s="189">
        <f t="shared" ref="G51" si="86">IFERROR(G21/$B51,0)</f>
        <v>8.2674788470276439E-17</v>
      </c>
      <c r="H51" s="60">
        <f t="shared" si="85"/>
        <v>27507.4871701874</v>
      </c>
      <c r="I51" s="189">
        <f t="shared" ref="I51" si="87">IFERROR(I21/$B51,0)</f>
        <v>9.9031140644816171E-14</v>
      </c>
      <c r="J51" s="60">
        <f t="shared" si="85"/>
        <v>0.38228237023154943</v>
      </c>
      <c r="K51" s="189">
        <f t="shared" ref="K51" si="88">IFERROR(K21/$B51,0)</f>
        <v>1.3762747188868848E-18</v>
      </c>
      <c r="L51" s="60">
        <f t="shared" si="85"/>
        <v>457.91298499717431</v>
      </c>
      <c r="M51" s="189">
        <f t="shared" ref="M51" si="89">IFERROR(M21/$B51,0)</f>
        <v>1.6485564435522313E-15</v>
      </c>
    </row>
    <row r="52" spans="1:13" x14ac:dyDescent="0.25">
      <c r="A52" s="77" t="s">
        <v>1060</v>
      </c>
      <c r="B52" s="79">
        <v>0.99980000000000002</v>
      </c>
      <c r="C52" s="240"/>
      <c r="D52" s="60" t="str">
        <f t="shared" ref="D52:L52" si="90">IFERROR(D17/$B52,".")</f>
        <v>.</v>
      </c>
      <c r="E52" s="60">
        <f t="shared" si="90"/>
        <v>49452.331411973726</v>
      </c>
      <c r="F52" s="60" t="str">
        <f t="shared" si="90"/>
        <v>.</v>
      </c>
      <c r="G52" s="189">
        <f t="shared" ref="G52" si="91">IFERROR(G17/$B52,0)</f>
        <v>0</v>
      </c>
      <c r="H52" s="60">
        <f t="shared" si="90"/>
        <v>7430.2127946490527</v>
      </c>
      <c r="I52" s="189">
        <f t="shared" ref="I52" si="92">IFERROR(I17/$B52,0)</f>
        <v>2.2701392308911598E-13</v>
      </c>
      <c r="J52" s="60" t="str">
        <f t="shared" si="90"/>
        <v>.</v>
      </c>
      <c r="K52" s="189">
        <f t="shared" ref="K52" si="93">IFERROR(K17/$B52,0)</f>
        <v>0</v>
      </c>
      <c r="L52" s="60">
        <f t="shared" si="90"/>
        <v>173.08315994190804</v>
      </c>
      <c r="M52" s="189">
        <f t="shared" ref="M52" si="94">IFERROR(M17/$B52,0)</f>
        <v>5.2881779088978756E-15</v>
      </c>
    </row>
    <row r="53" spans="1:13" x14ac:dyDescent="0.25">
      <c r="A53" s="77" t="s">
        <v>1074</v>
      </c>
      <c r="B53" s="42">
        <v>2.0000000000000001E-4</v>
      </c>
      <c r="C53" s="238"/>
      <c r="D53" s="60">
        <f t="shared" ref="D53:L53" si="95">IFERROR(D5/$B53,".")</f>
        <v>546117.67175935628</v>
      </c>
      <c r="E53" s="60">
        <f t="shared" si="95"/>
        <v>49662742249975.711</v>
      </c>
      <c r="F53" s="60">
        <f t="shared" si="95"/>
        <v>5597.7061355334017</v>
      </c>
      <c r="G53" s="189">
        <f t="shared" ref="G53" si="96">IFERROR(G5/$B53,0)</f>
        <v>1.6252092014505282E-16</v>
      </c>
      <c r="H53" s="60">
        <f t="shared" si="95"/>
        <v>509043108062.25098</v>
      </c>
      <c r="I53" s="189">
        <f t="shared" ref="I53" si="97">IFERROR(I5/$B53,0)</f>
        <v>1.4779295717332482E-8</v>
      </c>
      <c r="J53" s="60">
        <f t="shared" si="95"/>
        <v>1911.4118511577472</v>
      </c>
      <c r="K53" s="189">
        <f t="shared" ref="K53" si="98">IFERROR(K5/$B53,0)</f>
        <v>5.5494948342213146E-17</v>
      </c>
      <c r="L53" s="60">
        <f t="shared" si="95"/>
        <v>173819597874.91495</v>
      </c>
      <c r="M53" s="189">
        <f t="shared" ref="M53" si="99">IFERROR(M5/$B53,0)</f>
        <v>5.0465887815281653E-9</v>
      </c>
    </row>
    <row r="54" spans="1:13" x14ac:dyDescent="0.25">
      <c r="A54" s="77" t="s">
        <v>1075</v>
      </c>
      <c r="B54" s="42">
        <v>0.99999979999999999</v>
      </c>
      <c r="C54" s="238"/>
      <c r="D54" s="60">
        <f t="shared" ref="D54:L54" si="100">IFERROR(D9/$B54,".")</f>
        <v>109.22355619658251</v>
      </c>
      <c r="E54" s="60">
        <f t="shared" si="100"/>
        <v>45402.962323751526</v>
      </c>
      <c r="F54" s="60">
        <f t="shared" si="100"/>
        <v>52.454612863408748</v>
      </c>
      <c r="G54" s="189">
        <f t="shared" ref="G54" si="101">IFERROR(G9/$B54,0)</f>
        <v>1.1900171235774634E-15</v>
      </c>
      <c r="H54" s="60">
        <f t="shared" si="100"/>
        <v>21804.772655981669</v>
      </c>
      <c r="I54" s="189">
        <f t="shared" ref="I54" si="102">IFERROR(I9/$B54,0)</f>
        <v>4.9467628145307803E-13</v>
      </c>
      <c r="J54" s="60">
        <f t="shared" si="100"/>
        <v>0.38228244668803879</v>
      </c>
      <c r="K54" s="189">
        <f t="shared" ref="K54" si="103">IFERROR(K9/$B54,0)</f>
        <v>8.672691166103324E-18</v>
      </c>
      <c r="L54" s="60">
        <f t="shared" si="100"/>
        <v>158.91036813313033</v>
      </c>
      <c r="M54" s="189">
        <f t="shared" ref="M54" si="104">IFERROR(M9/$B54,0)</f>
        <v>3.6051368768053585E-15</v>
      </c>
    </row>
    <row r="55" spans="1:13" x14ac:dyDescent="0.25">
      <c r="A55" s="77" t="s">
        <v>1076</v>
      </c>
      <c r="B55" s="42">
        <v>1.9999999999999999E-7</v>
      </c>
      <c r="C55" s="238"/>
      <c r="D55" s="60" t="str">
        <f t="shared" ref="D55:L55" si="105">IFERROR(D24/$B55,".")</f>
        <v>.</v>
      </c>
      <c r="E55" s="60">
        <f t="shared" si="105"/>
        <v>840032852672119.75</v>
      </c>
      <c r="F55" s="60" t="str">
        <f t="shared" si="105"/>
        <v>.</v>
      </c>
      <c r="G55" s="189">
        <f t="shared" ref="G55" si="106">IFERROR(G24/$B55,0)</f>
        <v>0</v>
      </c>
      <c r="H55" s="60">
        <f t="shared" si="105"/>
        <v>210008213168.02994</v>
      </c>
      <c r="I55" s="189">
        <f t="shared" ref="I55" si="107">IFERROR(I24/$B55,0)</f>
        <v>1.4226964314186297E-10</v>
      </c>
      <c r="J55" s="60" t="str">
        <f t="shared" si="105"/>
        <v>.</v>
      </c>
      <c r="K55" s="189">
        <f t="shared" ref="K55" si="108">IFERROR(K24/$B55,0)</f>
        <v>0</v>
      </c>
      <c r="L55" s="60">
        <f t="shared" si="105"/>
        <v>2940114984352.4189</v>
      </c>
      <c r="M55" s="189">
        <f t="shared" ref="M55" si="109">IFERROR(M24/$B55,0)</f>
        <v>1.9917750039860808E-9</v>
      </c>
    </row>
    <row r="56" spans="1:13" x14ac:dyDescent="0.25">
      <c r="A56" s="77" t="s">
        <v>1077</v>
      </c>
      <c r="B56" s="42">
        <v>0.99979000004200003</v>
      </c>
      <c r="C56" s="238"/>
      <c r="D56" s="60">
        <f t="shared" ref="D56:L56" si="110">IFERROR(D20/$B56,".")</f>
        <v>109.24647610726544</v>
      </c>
      <c r="E56" s="60">
        <f t="shared" si="110"/>
        <v>1508905638.3459435</v>
      </c>
      <c r="F56" s="60">
        <f t="shared" si="110"/>
        <v>22.969071601552557</v>
      </c>
      <c r="G56" s="189">
        <f t="shared" ref="G56" si="111">IFERROR(G20/$B56,0)</f>
        <v>7.170446549054231E-23</v>
      </c>
      <c r="H56" s="60">
        <f t="shared" si="110"/>
        <v>317247410.46223456</v>
      </c>
      <c r="I56" s="189">
        <f t="shared" ref="I56" si="112">IFERROR(I20/$B56,0)</f>
        <v>9.9037768657204216E-16</v>
      </c>
      <c r="J56" s="60">
        <f t="shared" si="110"/>
        <v>0.38236266637542904</v>
      </c>
      <c r="K56" s="189">
        <f t="shared" ref="K56" si="113">IFERROR(K20/$B56,0)</f>
        <v>1.1936534088794201E-24</v>
      </c>
      <c r="L56" s="60">
        <f t="shared" si="110"/>
        <v>5281169.7342108022</v>
      </c>
      <c r="M56" s="189">
        <f t="shared" ref="M56" si="114">IFERROR(M20/$B56,0)</f>
        <v>1.6486667790735543E-17</v>
      </c>
    </row>
    <row r="57" spans="1:13" x14ac:dyDescent="0.25">
      <c r="A57" s="77" t="s">
        <v>1078</v>
      </c>
      <c r="B57" s="42">
        <v>2.0999995799999999E-4</v>
      </c>
      <c r="C57" s="238"/>
      <c r="D57" s="60" t="str">
        <f t="shared" ref="D57:L57" si="115">IFERROR(D29/$B57,".")</f>
        <v>.</v>
      </c>
      <c r="E57" s="60">
        <f t="shared" si="115"/>
        <v>207446750.97128716</v>
      </c>
      <c r="F57" s="60" t="str">
        <f t="shared" si="115"/>
        <v>.</v>
      </c>
      <c r="G57" s="189">
        <f t="shared" ref="G57" si="116">IFERROR(G29/$B57,0)</f>
        <v>0</v>
      </c>
      <c r="H57" s="60">
        <f t="shared" si="115"/>
        <v>311221988.14467359</v>
      </c>
      <c r="I57" s="189">
        <f t="shared" ref="I57" si="117">IFERROR(I29/$B57,0)</f>
        <v>4.5262193253003933E-10</v>
      </c>
      <c r="J57" s="60" t="str">
        <f t="shared" si="115"/>
        <v>.</v>
      </c>
      <c r="K57" s="189">
        <f t="shared" ref="K57" si="118">IFERROR(K29/$B57,0)</f>
        <v>0</v>
      </c>
      <c r="L57" s="60">
        <f t="shared" si="115"/>
        <v>726063.62839950493</v>
      </c>
      <c r="M57" s="189">
        <f t="shared" ref="M57" si="119">IFERROR(M29/$B57,0)</f>
        <v>1.0559418522613814E-12</v>
      </c>
    </row>
    <row r="58" spans="1:13" x14ac:dyDescent="0.25">
      <c r="A58" s="77" t="s">
        <v>1079</v>
      </c>
      <c r="B58" s="42">
        <v>1</v>
      </c>
      <c r="C58" s="238"/>
      <c r="D58" s="60" t="str">
        <f t="shared" ref="D58:L58" si="120">IFERROR(D16/$B58,".")</f>
        <v>.</v>
      </c>
      <c r="E58" s="60">
        <f t="shared" si="120"/>
        <v>27.047294880598045</v>
      </c>
      <c r="F58" s="60" t="str">
        <f t="shared" si="120"/>
        <v>.</v>
      </c>
      <c r="G58" s="189">
        <f t="shared" ref="G58" si="121">IFERROR(G16/$B58,0)</f>
        <v>0</v>
      </c>
      <c r="H58" s="60">
        <f t="shared" si="120"/>
        <v>4.0638560558098566</v>
      </c>
      <c r="I58" s="189">
        <f t="shared" ref="I58" si="122">IFERROR(I16/$B58,0)</f>
        <v>5.3047951410119541E-11</v>
      </c>
      <c r="J58" s="60" t="str">
        <f t="shared" si="120"/>
        <v>.</v>
      </c>
      <c r="K58" s="189">
        <f t="shared" ref="K58" si="123">IFERROR(K16/$B58,0)</f>
        <v>0</v>
      </c>
      <c r="L58" s="60">
        <f t="shared" si="120"/>
        <v>9.4665532082093162E-2</v>
      </c>
      <c r="M58" s="189">
        <f t="shared" ref="M58" si="124">IFERROR(M16/$B58,0)</f>
        <v>1.2357259895868112E-12</v>
      </c>
    </row>
    <row r="59" spans="1:13" x14ac:dyDescent="0.25">
      <c r="A59" s="77" t="s">
        <v>1080</v>
      </c>
      <c r="B59" s="42">
        <v>1</v>
      </c>
      <c r="C59" s="238"/>
      <c r="D59" s="60">
        <f t="shared" ref="D59:L59" si="125">IFERROR(D7/$B59,".")</f>
        <v>109.22353435187127</v>
      </c>
      <c r="E59" s="60">
        <f t="shared" si="125"/>
        <v>11728.204824999395</v>
      </c>
      <c r="F59" s="60">
        <f t="shared" si="125"/>
        <v>52.454602372486178</v>
      </c>
      <c r="G59" s="189">
        <f t="shared" ref="G59" si="126">IFERROR(G7/$B59,0)</f>
        <v>4.2360957248121929E-13</v>
      </c>
      <c r="H59" s="60">
        <f t="shared" si="125"/>
        <v>5632.4703672059595</v>
      </c>
      <c r="I59" s="189">
        <f t="shared" ref="I59" si="127">IFERROR(I7/$B59,0)</f>
        <v>4.5486349268691736E-11</v>
      </c>
      <c r="J59" s="60">
        <f t="shared" si="125"/>
        <v>0.38228237023154943</v>
      </c>
      <c r="K59" s="189">
        <f t="shared" ref="K59" si="128">IFERROR(K7/$B59,0)</f>
        <v>3.0872118764898849E-15</v>
      </c>
      <c r="L59" s="60">
        <f t="shared" si="125"/>
        <v>41.048716887497882</v>
      </c>
      <c r="M59" s="189">
        <f t="shared" ref="M59" si="129">IFERROR(M7/$B59,0)</f>
        <v>3.3149864120858115E-13</v>
      </c>
    </row>
    <row r="60" spans="1:13" x14ac:dyDescent="0.25">
      <c r="A60" s="77" t="s">
        <v>1081</v>
      </c>
      <c r="B60" s="80">
        <v>1.9000000000000001E-8</v>
      </c>
      <c r="C60" s="241"/>
      <c r="D60" s="60" t="str">
        <f t="shared" ref="D60:L60" si="130">IFERROR(D12/$B60,".")</f>
        <v>.</v>
      </c>
      <c r="E60" s="60">
        <f t="shared" si="130"/>
        <v>54912364274630.359</v>
      </c>
      <c r="F60" s="60" t="str">
        <f t="shared" si="130"/>
        <v>.</v>
      </c>
      <c r="G60" s="189">
        <f t="shared" ref="G60" si="131">IFERROR(G12/$B60,0)</f>
        <v>0</v>
      </c>
      <c r="H60" s="60">
        <f t="shared" si="130"/>
        <v>345961623021239.94</v>
      </c>
      <c r="I60" s="189">
        <f t="shared" ref="I60" si="132">IFERROR(I12/$B60,0)</f>
        <v>3.0942502147888306E-3</v>
      </c>
      <c r="J60" s="60" t="str">
        <f t="shared" si="130"/>
        <v>.</v>
      </c>
      <c r="K60" s="189">
        <f t="shared" ref="K60" si="133">IFERROR(K12/$B60,0)</f>
        <v>0</v>
      </c>
      <c r="L60" s="60">
        <f t="shared" si="130"/>
        <v>192193274961.20627</v>
      </c>
      <c r="M60" s="189">
        <f t="shared" ref="M60" si="134">IFERROR(M12/$B60,0)</f>
        <v>1.7189596844190162E-6</v>
      </c>
    </row>
    <row r="61" spans="1:13" x14ac:dyDescent="0.25">
      <c r="A61" s="77" t="s">
        <v>1082</v>
      </c>
      <c r="B61" s="42">
        <v>1</v>
      </c>
      <c r="C61" s="238"/>
      <c r="D61" s="60">
        <f t="shared" ref="D61:L61" si="135">IFERROR(D18/$B61,".")</f>
        <v>109.22353435187127</v>
      </c>
      <c r="E61" s="60">
        <f t="shared" si="135"/>
        <v>16.071437350634682</v>
      </c>
      <c r="F61" s="60">
        <f t="shared" si="135"/>
        <v>22.964248097480933</v>
      </c>
      <c r="G61" s="189">
        <f t="shared" ref="G61" si="136">IFERROR(G18/$B61,0)</f>
        <v>5.1191453898777184E-12</v>
      </c>
      <c r="H61" s="60">
        <f t="shared" si="135"/>
        <v>3.3790197029709419</v>
      </c>
      <c r="I61" s="189">
        <f t="shared" ref="I61" si="137">IFERROR(I18/$B61,0)</f>
        <v>7.5324448078346387E-13</v>
      </c>
      <c r="J61" s="60">
        <f t="shared" si="135"/>
        <v>0.38228237023154943</v>
      </c>
      <c r="K61" s="189">
        <f t="shared" ref="K61" si="138">IFERROR(K18/$B61,0)</f>
        <v>8.5217640259557727E-14</v>
      </c>
      <c r="L61" s="60">
        <f t="shared" si="135"/>
        <v>5.625003072722138E-2</v>
      </c>
      <c r="M61" s="189">
        <f t="shared" ref="M61" si="139">IFERROR(M18/$B61,0)</f>
        <v>1.2539147123624846E-14</v>
      </c>
    </row>
    <row r="62" spans="1:13" x14ac:dyDescent="0.25">
      <c r="A62" s="77" t="s">
        <v>1083</v>
      </c>
      <c r="B62" s="42">
        <v>1.339E-6</v>
      </c>
      <c r="C62" s="238"/>
      <c r="D62" s="60" t="str">
        <f t="shared" ref="D62:L62" si="140">IFERROR(D27/$B62,".")</f>
        <v>.</v>
      </c>
      <c r="E62" s="60">
        <f t="shared" si="140"/>
        <v>19520750854909.68</v>
      </c>
      <c r="F62" s="60" t="str">
        <f t="shared" si="140"/>
        <v>.</v>
      </c>
      <c r="G62" s="189">
        <f t="shared" ref="G62" si="141">IFERROR(G27/$B62,0)</f>
        <v>0</v>
      </c>
      <c r="H62" s="60">
        <f t="shared" si="140"/>
        <v>29286006470078.246</v>
      </c>
      <c r="I62" s="189">
        <f t="shared" ref="I62" si="142">IFERROR(I27/$B62,0)</f>
        <v>1.3498308187624201E-4</v>
      </c>
      <c r="J62" s="60" t="str">
        <f t="shared" si="140"/>
        <v>.</v>
      </c>
      <c r="K62" s="189">
        <f t="shared" ref="K62" si="143">IFERROR(K27/$B62,0)</f>
        <v>0</v>
      </c>
      <c r="L62" s="60">
        <f t="shared" si="140"/>
        <v>68322627992.183876</v>
      </c>
      <c r="M62" s="189">
        <f t="shared" ref="M62" si="144">IFERROR(M27/$B62,0)</f>
        <v>3.1490803970461387E-7</v>
      </c>
    </row>
    <row r="63" spans="1:13" x14ac:dyDescent="0.25">
      <c r="A63" s="76" t="s">
        <v>23</v>
      </c>
      <c r="B63" s="76" t="s">
        <v>1057</v>
      </c>
      <c r="C63" s="57"/>
      <c r="D63" s="58">
        <f t="shared" ref="D63:L63" si="145">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21.84475143348368</v>
      </c>
      <c r="E63" s="58">
        <f t="shared" si="145"/>
        <v>10.066575905071911</v>
      </c>
      <c r="F63" s="58">
        <f t="shared" si="145"/>
        <v>5.9194170432840245</v>
      </c>
      <c r="G63" s="190">
        <f>F63*(0.0000000000000028)*s_RadSpec!$AY25*s_RadSpec!$AF25</f>
        <v>3.8544123523292524E-14</v>
      </c>
      <c r="H63" s="58">
        <f t="shared" si="145"/>
        <v>1.7286175874558685</v>
      </c>
      <c r="I63" s="190">
        <f>H63*(0.0000000000000028)*s_RadSpec!$AY25*s_RadSpec!$AF25</f>
        <v>1.1255846534926764E-14</v>
      </c>
      <c r="J63" s="58">
        <f t="shared" si="145"/>
        <v>7.6456630017192884E-2</v>
      </c>
      <c r="K63" s="190">
        <f>J63*(0.0000000000000028)*s_RadSpec!$AY25*s_RadSpec!$AF25</f>
        <v>4.9784527260177998E-16</v>
      </c>
      <c r="L63" s="58">
        <f t="shared" si="145"/>
        <v>3.5233015667751687E-2</v>
      </c>
      <c r="M63" s="190">
        <f>L63*(0.0000000000000028)*s_RadSpec!$AY25*s_RadSpec!$AF25</f>
        <v>2.2941882588534506E-16</v>
      </c>
    </row>
    <row r="64" spans="1:13" x14ac:dyDescent="0.25">
      <c r="A64" s="77" t="s">
        <v>1073</v>
      </c>
      <c r="B64" s="42">
        <v>1</v>
      </c>
      <c r="C64" s="170"/>
      <c r="D64" s="60" t="str">
        <f t="shared" ref="D64:L64" si="146">IFERROR(D25/$B50,".")</f>
        <v>.</v>
      </c>
      <c r="E64" s="60">
        <f t="shared" si="146"/>
        <v>110843.02079735039</v>
      </c>
      <c r="F64" s="60" t="str">
        <f t="shared" si="146"/>
        <v>.</v>
      </c>
      <c r="G64" s="189">
        <f t="shared" ref="G64" si="147">IFERROR(G25/$B50,0)</f>
        <v>0</v>
      </c>
      <c r="H64" s="60">
        <f t="shared" si="146"/>
        <v>27.710755199337598</v>
      </c>
      <c r="I64" s="189">
        <f t="shared" ref="I64" si="148">IFERROR(I25/$B50,0)</f>
        <v>1.8043783087370148E-13</v>
      </c>
      <c r="J64" s="60" t="str">
        <f t="shared" si="146"/>
        <v>.</v>
      </c>
      <c r="K64" s="189">
        <f t="shared" ref="K64" si="149">IFERROR(K25/$B50,0)</f>
        <v>0</v>
      </c>
      <c r="L64" s="60">
        <f t="shared" si="146"/>
        <v>387.95057279072637</v>
      </c>
      <c r="M64" s="189">
        <f t="shared" ref="M64" si="150">IFERROR(M25/$B50,0)</f>
        <v>2.5261296322318204E-12</v>
      </c>
    </row>
    <row r="65" spans="1:13" x14ac:dyDescent="0.25">
      <c r="A65" s="77" t="s">
        <v>1059</v>
      </c>
      <c r="B65" s="42">
        <v>1</v>
      </c>
      <c r="C65" s="170"/>
      <c r="D65" s="60">
        <f t="shared" ref="D65:L65" si="151">IFERROR(D21/$B51,".")</f>
        <v>109.22353435187127</v>
      </c>
      <c r="E65" s="60">
        <f t="shared" si="151"/>
        <v>130832.28142776409</v>
      </c>
      <c r="F65" s="60">
        <f t="shared" si="151"/>
        <v>22.964248097480933</v>
      </c>
      <c r="G65" s="189">
        <f t="shared" ref="G65" si="152">IFERROR(G21/$B51,0)</f>
        <v>8.2674788470276439E-17</v>
      </c>
      <c r="H65" s="60">
        <f t="shared" si="151"/>
        <v>27507.4871701874</v>
      </c>
      <c r="I65" s="189">
        <f t="shared" ref="I65" si="153">IFERROR(I21/$B51,0)</f>
        <v>9.9031140644816171E-14</v>
      </c>
      <c r="J65" s="60">
        <f t="shared" si="151"/>
        <v>0.38228237023154943</v>
      </c>
      <c r="K65" s="189">
        <f t="shared" ref="K65" si="154">IFERROR(K21/$B51,0)</f>
        <v>1.3762747188868848E-18</v>
      </c>
      <c r="L65" s="60">
        <f t="shared" si="151"/>
        <v>457.91298499717431</v>
      </c>
      <c r="M65" s="189">
        <f t="shared" ref="M65" si="155">IFERROR(M21/$B51,0)</f>
        <v>1.6485564435522313E-15</v>
      </c>
    </row>
    <row r="66" spans="1:13" x14ac:dyDescent="0.25">
      <c r="A66" s="77" t="s">
        <v>1060</v>
      </c>
      <c r="B66" s="79">
        <v>0.99980000000000002</v>
      </c>
      <c r="C66" s="173"/>
      <c r="D66" s="60" t="str">
        <f t="shared" ref="D66:L66" si="156">IFERROR(D17/$B52,".")</f>
        <v>.</v>
      </c>
      <c r="E66" s="60">
        <f t="shared" si="156"/>
        <v>49452.331411973726</v>
      </c>
      <c r="F66" s="60" t="str">
        <f t="shared" si="156"/>
        <v>.</v>
      </c>
      <c r="G66" s="189">
        <f t="shared" ref="G66" si="157">IFERROR(G17/$B52,0)</f>
        <v>0</v>
      </c>
      <c r="H66" s="60">
        <f t="shared" si="156"/>
        <v>7430.2127946490527</v>
      </c>
      <c r="I66" s="189">
        <f t="shared" ref="I66" si="158">IFERROR(I17/$B52,0)</f>
        <v>2.2701392308911598E-13</v>
      </c>
      <c r="J66" s="60" t="str">
        <f t="shared" si="156"/>
        <v>.</v>
      </c>
      <c r="K66" s="189">
        <f t="shared" ref="K66" si="159">IFERROR(K17/$B52,0)</f>
        <v>0</v>
      </c>
      <c r="L66" s="60">
        <f t="shared" si="156"/>
        <v>173.08315994190804</v>
      </c>
      <c r="M66" s="189">
        <f t="shared" ref="M66" si="160">IFERROR(M17/$B52,0)</f>
        <v>5.2881779088978756E-15</v>
      </c>
    </row>
    <row r="67" spans="1:13" x14ac:dyDescent="0.25">
      <c r="A67" s="77" t="s">
        <v>1074</v>
      </c>
      <c r="B67" s="42">
        <v>2.0000000000000001E-4</v>
      </c>
      <c r="C67" s="170"/>
      <c r="D67" s="60">
        <f t="shared" ref="D67:L67" si="161">IFERROR(D5/$B53,".")</f>
        <v>546117.67175935628</v>
      </c>
      <c r="E67" s="60">
        <f t="shared" si="161"/>
        <v>49662742249975.711</v>
      </c>
      <c r="F67" s="60">
        <f t="shared" si="161"/>
        <v>5597.7061355334017</v>
      </c>
      <c r="G67" s="189">
        <f t="shared" ref="G67" si="162">IFERROR(G5/$B53,0)</f>
        <v>1.6252092014505282E-16</v>
      </c>
      <c r="H67" s="60">
        <f t="shared" si="161"/>
        <v>509043108062.25098</v>
      </c>
      <c r="I67" s="189">
        <f t="shared" ref="I67" si="163">IFERROR(I5/$B53,0)</f>
        <v>1.4779295717332482E-8</v>
      </c>
      <c r="J67" s="60">
        <f t="shared" si="161"/>
        <v>1911.4118511577472</v>
      </c>
      <c r="K67" s="189">
        <f t="shared" ref="K67" si="164">IFERROR(K5/$B53,0)</f>
        <v>5.5494948342213146E-17</v>
      </c>
      <c r="L67" s="60">
        <f t="shared" si="161"/>
        <v>173819597874.91495</v>
      </c>
      <c r="M67" s="189">
        <f t="shared" ref="M67" si="165">IFERROR(M5/$B53,0)</f>
        <v>5.0465887815281653E-9</v>
      </c>
    </row>
    <row r="68" spans="1:13" x14ac:dyDescent="0.25">
      <c r="A68" s="77" t="s">
        <v>1075</v>
      </c>
      <c r="B68" s="42">
        <v>0.99999979999999999</v>
      </c>
      <c r="C68" s="170"/>
      <c r="D68" s="60">
        <f t="shared" ref="D68:L68" si="166">IFERROR(D9/$B54,".")</f>
        <v>109.22355619658251</v>
      </c>
      <c r="E68" s="60">
        <f t="shared" si="166"/>
        <v>45402.962323751526</v>
      </c>
      <c r="F68" s="60">
        <f t="shared" si="166"/>
        <v>52.454612863408748</v>
      </c>
      <c r="G68" s="189">
        <f t="shared" ref="G68" si="167">IFERROR(G9/$B54,0)</f>
        <v>1.1900171235774634E-15</v>
      </c>
      <c r="H68" s="60">
        <f t="shared" si="166"/>
        <v>21804.772655981669</v>
      </c>
      <c r="I68" s="189">
        <f t="shared" ref="I68" si="168">IFERROR(I9/$B54,0)</f>
        <v>4.9467628145307803E-13</v>
      </c>
      <c r="J68" s="60">
        <f t="shared" si="166"/>
        <v>0.38228244668803879</v>
      </c>
      <c r="K68" s="189">
        <f t="shared" ref="K68" si="169">IFERROR(K9/$B54,0)</f>
        <v>8.672691166103324E-18</v>
      </c>
      <c r="L68" s="60">
        <f t="shared" si="166"/>
        <v>158.91036813313033</v>
      </c>
      <c r="M68" s="189">
        <f t="shared" ref="M68" si="170">IFERROR(M9/$B54,0)</f>
        <v>3.6051368768053585E-15</v>
      </c>
    </row>
    <row r="69" spans="1:13" x14ac:dyDescent="0.25">
      <c r="A69" s="77" t="s">
        <v>1076</v>
      </c>
      <c r="B69" s="42">
        <v>1.9999999999999999E-7</v>
      </c>
      <c r="C69" s="170"/>
      <c r="D69" s="60" t="str">
        <f t="shared" ref="D69:L69" si="171">IFERROR(D24/$B55,".")</f>
        <v>.</v>
      </c>
      <c r="E69" s="60">
        <f t="shared" si="171"/>
        <v>840032852672119.75</v>
      </c>
      <c r="F69" s="60" t="str">
        <f t="shared" si="171"/>
        <v>.</v>
      </c>
      <c r="G69" s="189">
        <f t="shared" ref="G69" si="172">IFERROR(G24/$B55,0)</f>
        <v>0</v>
      </c>
      <c r="H69" s="60">
        <f t="shared" si="171"/>
        <v>210008213168.02994</v>
      </c>
      <c r="I69" s="189">
        <f t="shared" ref="I69" si="173">IFERROR(I24/$B55,0)</f>
        <v>1.4226964314186297E-10</v>
      </c>
      <c r="J69" s="60" t="str">
        <f t="shared" si="171"/>
        <v>.</v>
      </c>
      <c r="K69" s="189">
        <f t="shared" ref="K69" si="174">IFERROR(K24/$B55,0)</f>
        <v>0</v>
      </c>
      <c r="L69" s="60">
        <f t="shared" si="171"/>
        <v>2940114984352.4189</v>
      </c>
      <c r="M69" s="189">
        <f t="shared" ref="M69" si="175">IFERROR(M24/$B55,0)</f>
        <v>1.9917750039860808E-9</v>
      </c>
    </row>
    <row r="70" spans="1:13" x14ac:dyDescent="0.25">
      <c r="A70" s="77" t="s">
        <v>1077</v>
      </c>
      <c r="B70" s="42">
        <v>0.99979000004200003</v>
      </c>
      <c r="C70" s="170"/>
      <c r="D70" s="60">
        <f t="shared" ref="D70:L70" si="176">IFERROR(D20/$B56,".")</f>
        <v>109.24647610726544</v>
      </c>
      <c r="E70" s="60">
        <f t="shared" si="176"/>
        <v>1508905638.3459435</v>
      </c>
      <c r="F70" s="60">
        <f t="shared" si="176"/>
        <v>22.969071601552557</v>
      </c>
      <c r="G70" s="189">
        <f t="shared" ref="G70" si="177">IFERROR(G20/$B56,0)</f>
        <v>7.170446549054231E-23</v>
      </c>
      <c r="H70" s="60">
        <f t="shared" si="176"/>
        <v>317247410.46223456</v>
      </c>
      <c r="I70" s="189">
        <f t="shared" ref="I70" si="178">IFERROR(I20/$B56,0)</f>
        <v>9.9037768657204216E-16</v>
      </c>
      <c r="J70" s="60">
        <f t="shared" si="176"/>
        <v>0.38236266637542904</v>
      </c>
      <c r="K70" s="189">
        <f t="shared" ref="K70" si="179">IFERROR(K20/$B56,0)</f>
        <v>1.1936534088794201E-24</v>
      </c>
      <c r="L70" s="60">
        <f t="shared" si="176"/>
        <v>5281169.7342108022</v>
      </c>
      <c r="M70" s="189">
        <f t="shared" ref="M70" si="180">IFERROR(M20/$B56,0)</f>
        <v>1.6486667790735543E-17</v>
      </c>
    </row>
    <row r="71" spans="1:13" x14ac:dyDescent="0.25">
      <c r="A71" s="77" t="s">
        <v>1078</v>
      </c>
      <c r="B71" s="42">
        <v>2.0999995799999999E-4</v>
      </c>
      <c r="C71" s="170"/>
      <c r="D71" s="60" t="str">
        <f t="shared" ref="D71:L71" si="181">IFERROR(D29/$B57,".")</f>
        <v>.</v>
      </c>
      <c r="E71" s="60">
        <f t="shared" si="181"/>
        <v>207446750.97128716</v>
      </c>
      <c r="F71" s="60" t="str">
        <f t="shared" si="181"/>
        <v>.</v>
      </c>
      <c r="G71" s="189">
        <f t="shared" ref="G71" si="182">IFERROR(G29/$B57,0)</f>
        <v>0</v>
      </c>
      <c r="H71" s="60">
        <f t="shared" si="181"/>
        <v>311221988.14467359</v>
      </c>
      <c r="I71" s="189">
        <f t="shared" ref="I71" si="183">IFERROR(I29/$B57,0)</f>
        <v>4.5262193253003933E-10</v>
      </c>
      <c r="J71" s="60" t="str">
        <f t="shared" si="181"/>
        <v>.</v>
      </c>
      <c r="K71" s="189">
        <f t="shared" ref="K71" si="184">IFERROR(K29/$B57,0)</f>
        <v>0</v>
      </c>
      <c r="L71" s="60">
        <f t="shared" si="181"/>
        <v>726063.62839950493</v>
      </c>
      <c r="M71" s="189">
        <f t="shared" ref="M71" si="185">IFERROR(M29/$B57,0)</f>
        <v>1.0559418522613814E-12</v>
      </c>
    </row>
    <row r="72" spans="1:13" x14ac:dyDescent="0.25">
      <c r="A72" s="77" t="s">
        <v>1079</v>
      </c>
      <c r="B72" s="42">
        <v>1</v>
      </c>
      <c r="C72" s="170"/>
      <c r="D72" s="60" t="str">
        <f t="shared" ref="D72:L72" si="186">IFERROR(D16/$B58,".")</f>
        <v>.</v>
      </c>
      <c r="E72" s="60">
        <f t="shared" si="186"/>
        <v>27.047294880598045</v>
      </c>
      <c r="F72" s="60" t="str">
        <f t="shared" si="186"/>
        <v>.</v>
      </c>
      <c r="G72" s="189">
        <f t="shared" ref="G72" si="187">IFERROR(G16/$B58,0)</f>
        <v>0</v>
      </c>
      <c r="H72" s="60">
        <f t="shared" si="186"/>
        <v>4.0638560558098566</v>
      </c>
      <c r="I72" s="189">
        <f t="shared" ref="I72" si="188">IFERROR(I16/$B58,0)</f>
        <v>5.3047951410119541E-11</v>
      </c>
      <c r="J72" s="60" t="str">
        <f t="shared" si="186"/>
        <v>.</v>
      </c>
      <c r="K72" s="189">
        <f t="shared" ref="K72" si="189">IFERROR(K16/$B58,0)</f>
        <v>0</v>
      </c>
      <c r="L72" s="60">
        <f t="shared" si="186"/>
        <v>9.4665532082093162E-2</v>
      </c>
      <c r="M72" s="189">
        <f t="shared" ref="M72" si="190">IFERROR(M16/$B58,0)</f>
        <v>1.2357259895868112E-12</v>
      </c>
    </row>
    <row r="73" spans="1:13" x14ac:dyDescent="0.25">
      <c r="A73" s="77" t="s">
        <v>1080</v>
      </c>
      <c r="B73" s="42">
        <v>1</v>
      </c>
      <c r="C73" s="170"/>
      <c r="D73" s="60">
        <f t="shared" ref="D73:L73" si="191">IFERROR(D7/$B59,".")</f>
        <v>109.22353435187127</v>
      </c>
      <c r="E73" s="60">
        <f t="shared" si="191"/>
        <v>11728.204824999395</v>
      </c>
      <c r="F73" s="60">
        <f t="shared" si="191"/>
        <v>52.454602372486178</v>
      </c>
      <c r="G73" s="189">
        <f t="shared" ref="G73" si="192">IFERROR(G7/$B59,0)</f>
        <v>4.2360957248121929E-13</v>
      </c>
      <c r="H73" s="60">
        <f t="shared" si="191"/>
        <v>5632.4703672059595</v>
      </c>
      <c r="I73" s="189">
        <f t="shared" ref="I73" si="193">IFERROR(I7/$B59,0)</f>
        <v>4.5486349268691736E-11</v>
      </c>
      <c r="J73" s="60">
        <f t="shared" si="191"/>
        <v>0.38228237023154943</v>
      </c>
      <c r="K73" s="189">
        <f t="shared" ref="K73" si="194">IFERROR(K7/$B59,0)</f>
        <v>3.0872118764898849E-15</v>
      </c>
      <c r="L73" s="60">
        <f t="shared" si="191"/>
        <v>41.048716887497882</v>
      </c>
      <c r="M73" s="189">
        <f t="shared" ref="M73" si="195">IFERROR(M7/$B59,0)</f>
        <v>3.3149864120858115E-13</v>
      </c>
    </row>
    <row r="74" spans="1:13" x14ac:dyDescent="0.25">
      <c r="A74" s="77" t="s">
        <v>1081</v>
      </c>
      <c r="B74" s="80">
        <v>1.9000000000000001E-8</v>
      </c>
      <c r="C74" s="174"/>
      <c r="D74" s="60" t="str">
        <f t="shared" ref="D74:L74" si="196">IFERROR(D12/$B60,".")</f>
        <v>.</v>
      </c>
      <c r="E74" s="60">
        <f t="shared" si="196"/>
        <v>54912364274630.359</v>
      </c>
      <c r="F74" s="60" t="str">
        <f t="shared" si="196"/>
        <v>.</v>
      </c>
      <c r="G74" s="189">
        <f t="shared" ref="G74" si="197">IFERROR(G12/$B60,0)</f>
        <v>0</v>
      </c>
      <c r="H74" s="60">
        <f t="shared" si="196"/>
        <v>345961623021239.94</v>
      </c>
      <c r="I74" s="189">
        <f t="shared" ref="I74" si="198">IFERROR(I12/$B60,0)</f>
        <v>3.0942502147888306E-3</v>
      </c>
      <c r="J74" s="60" t="str">
        <f t="shared" si="196"/>
        <v>.</v>
      </c>
      <c r="K74" s="189">
        <f t="shared" ref="K74" si="199">IFERROR(K12/$B60,0)</f>
        <v>0</v>
      </c>
      <c r="L74" s="60">
        <f t="shared" si="196"/>
        <v>192193274961.20627</v>
      </c>
      <c r="M74" s="189">
        <f t="shared" ref="M74" si="200">IFERROR(M12/$B60,0)</f>
        <v>1.7189596844190162E-6</v>
      </c>
    </row>
    <row r="75" spans="1:13" x14ac:dyDescent="0.25">
      <c r="A75" s="77" t="s">
        <v>1082</v>
      </c>
      <c r="B75" s="42">
        <v>1</v>
      </c>
      <c r="C75" s="170"/>
      <c r="D75" s="60">
        <f t="shared" ref="D75:L75" si="201">IFERROR(D18/$B61,".")</f>
        <v>109.22353435187127</v>
      </c>
      <c r="E75" s="60">
        <f t="shared" si="201"/>
        <v>16.071437350634682</v>
      </c>
      <c r="F75" s="60">
        <f t="shared" si="201"/>
        <v>22.964248097480933</v>
      </c>
      <c r="G75" s="189">
        <f t="shared" ref="G75" si="202">IFERROR(G18/$B61,0)</f>
        <v>5.1191453898777184E-12</v>
      </c>
      <c r="H75" s="60">
        <f t="shared" si="201"/>
        <v>3.3790197029709419</v>
      </c>
      <c r="I75" s="189">
        <f t="shared" ref="I75" si="203">IFERROR(I18/$B61,0)</f>
        <v>7.5324448078346387E-13</v>
      </c>
      <c r="J75" s="60">
        <f t="shared" si="201"/>
        <v>0.38228237023154943</v>
      </c>
      <c r="K75" s="189">
        <f t="shared" ref="K75" si="204">IFERROR(K18/$B61,0)</f>
        <v>8.5217640259557727E-14</v>
      </c>
      <c r="L75" s="60">
        <f t="shared" si="201"/>
        <v>5.625003072722138E-2</v>
      </c>
      <c r="M75" s="189">
        <f t="shared" ref="M75" si="205">IFERROR(M18/$B61,0)</f>
        <v>1.2539147123624846E-14</v>
      </c>
    </row>
    <row r="76" spans="1:13" x14ac:dyDescent="0.25">
      <c r="A76" s="77" t="s">
        <v>1083</v>
      </c>
      <c r="B76" s="42">
        <v>1.339E-6</v>
      </c>
      <c r="C76" s="170"/>
      <c r="D76" s="60" t="str">
        <f t="shared" ref="D76:L76" si="206">IFERROR(D27/$B62,".")</f>
        <v>.</v>
      </c>
      <c r="E76" s="60">
        <f t="shared" si="206"/>
        <v>19520750854909.68</v>
      </c>
      <c r="F76" s="60" t="str">
        <f t="shared" si="206"/>
        <v>.</v>
      </c>
      <c r="G76" s="189">
        <f t="shared" ref="G76" si="207">IFERROR(G27/$B62,0)</f>
        <v>0</v>
      </c>
      <c r="H76" s="60">
        <f t="shared" si="206"/>
        <v>29286006470078.246</v>
      </c>
      <c r="I76" s="189">
        <f t="shared" ref="I76" si="208">IFERROR(I27/$B62,0)</f>
        <v>1.3498308187624201E-4</v>
      </c>
      <c r="J76" s="60" t="str">
        <f t="shared" si="206"/>
        <v>.</v>
      </c>
      <c r="K76" s="189">
        <f t="shared" ref="K76" si="209">IFERROR(K27/$B62,0)</f>
        <v>0</v>
      </c>
      <c r="L76" s="60">
        <f t="shared" si="206"/>
        <v>68322627992.183876</v>
      </c>
      <c r="M76" s="189">
        <f t="shared" ref="M76" si="210">IFERROR(M27/$B62,0)</f>
        <v>3.1490803970461387E-7</v>
      </c>
    </row>
  </sheetData>
  <sheetProtection algorithmName="SHA-512" hashValue="sIz2EeoTjlOoidv2ZgkBH1XQsIfHICbPjLUsavwahY9CB7lixqnTsfe0sIEZ6/HX5j9yxK0BZP5tWR0ihBH5aQ==" saltValue="/u7pVm+w5/ceDYx1WXnpAA==" spinCount="100000" sheet="1" formatColumns="0" formatRows="0" autoFilter="0"/>
  <autoFilter ref="D1:M76" xr:uid="{00000000-0001-0000-1700-000000000000}"/>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BE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4" bestFit="1" customWidth="1"/>
    <col min="2" max="2" width="10.7109375" style="4" bestFit="1" customWidth="1"/>
    <col min="3" max="3" width="9.5703125" style="4" bestFit="1" customWidth="1"/>
    <col min="4" max="4" width="11.7109375" style="4" bestFit="1" customWidth="1"/>
    <col min="5" max="5" width="12.28515625" style="4" bestFit="1" customWidth="1"/>
    <col min="6" max="6" width="13.140625" style="5" bestFit="1" customWidth="1"/>
    <col min="7" max="8" width="9" style="5" bestFit="1" customWidth="1"/>
    <col min="9" max="9" width="12.140625" style="5" bestFit="1" customWidth="1"/>
    <col min="10" max="10" width="11.7109375" style="5" bestFit="1" customWidth="1"/>
    <col min="11" max="11" width="11.85546875" style="5" bestFit="1" customWidth="1"/>
    <col min="12" max="12" width="10.7109375" style="5" bestFit="1" customWidth="1"/>
    <col min="13" max="13" width="11.7109375" style="5" bestFit="1" customWidth="1"/>
    <col min="14" max="15" width="11.42578125" style="5" bestFit="1" customWidth="1"/>
    <col min="16" max="16" width="12.28515625" style="5" bestFit="1" customWidth="1"/>
    <col min="17" max="17" width="9.42578125" style="5" bestFit="1" customWidth="1"/>
    <col min="18" max="18" width="9.28515625" style="5" bestFit="1" customWidth="1"/>
    <col min="19" max="20" width="10.140625" style="5" bestFit="1" customWidth="1"/>
    <col min="21" max="21" width="11.140625" style="5" bestFit="1" customWidth="1"/>
    <col min="22" max="22" width="9.5703125" style="5" bestFit="1" customWidth="1"/>
    <col min="23" max="23" width="9.28515625" style="5" bestFit="1" customWidth="1"/>
    <col min="24" max="25" width="10.28515625" style="5" bestFit="1" customWidth="1"/>
    <col min="26" max="26" width="11.28515625" style="5" bestFit="1" customWidth="1"/>
    <col min="27" max="27" width="10" style="5" bestFit="1" customWidth="1"/>
    <col min="28" max="28" width="9.85546875" style="5" bestFit="1" customWidth="1"/>
    <col min="29" max="30" width="10.85546875" style="5" bestFit="1" customWidth="1"/>
    <col min="31" max="31" width="11.85546875" style="5" bestFit="1" customWidth="1"/>
    <col min="32" max="32" width="11.5703125" style="5" bestFit="1" customWidth="1"/>
    <col min="33" max="33" width="10" style="5" bestFit="1" customWidth="1"/>
    <col min="34" max="34" width="10.28515625" style="5" bestFit="1" customWidth="1"/>
    <col min="35" max="35" width="10.140625" style="5" bestFit="1" customWidth="1"/>
    <col min="36" max="36" width="9.7109375" style="5" bestFit="1" customWidth="1"/>
    <col min="37" max="37" width="12.140625" style="5" bestFit="1" customWidth="1"/>
    <col min="38" max="38" width="13.85546875" style="5" bestFit="1" customWidth="1"/>
    <col min="39" max="39" width="9.7109375" style="5" bestFit="1" customWidth="1"/>
    <col min="40" max="40" width="11.5703125" style="5" bestFit="1" customWidth="1"/>
    <col min="41" max="41" width="11.140625" style="5" bestFit="1" customWidth="1"/>
    <col min="42" max="42" width="15.28515625" style="5" bestFit="1" customWidth="1"/>
    <col min="43" max="43" width="11" style="5" bestFit="1" customWidth="1"/>
    <col min="44" max="44" width="15.140625" style="5" bestFit="1" customWidth="1"/>
    <col min="45" max="45" width="9.140625" style="5" bestFit="1" customWidth="1"/>
    <col min="46" max="46" width="8.85546875" style="5" bestFit="1" customWidth="1"/>
    <col min="47" max="47" width="8" style="5" bestFit="1" customWidth="1"/>
    <col min="48" max="48" width="11.140625" style="5" bestFit="1" customWidth="1"/>
    <col min="49" max="49" width="10.42578125" style="5" bestFit="1" customWidth="1"/>
    <col min="50" max="50" width="8" style="5" bestFit="1" customWidth="1"/>
    <col min="51" max="51" width="8" style="4" bestFit="1" customWidth="1"/>
    <col min="52" max="52" width="10.85546875" style="4" bestFit="1" customWidth="1"/>
    <col min="53" max="53" width="10.7109375" style="5" bestFit="1" customWidth="1"/>
    <col min="54" max="54" width="10.140625" style="4" bestFit="1" customWidth="1"/>
    <col min="55" max="55" width="11.7109375" style="4" bestFit="1" customWidth="1"/>
    <col min="56" max="57" width="8" style="4" bestFit="1" customWidth="1"/>
    <col min="58" max="16384" width="9.140625" style="4"/>
  </cols>
  <sheetData>
    <row r="1" spans="1:57" s="9" customFormat="1" x14ac:dyDescent="0.25">
      <c r="A1" s="72" t="s">
        <v>39</v>
      </c>
      <c r="B1" s="73" t="s">
        <v>334</v>
      </c>
      <c r="C1" s="73" t="s">
        <v>346</v>
      </c>
      <c r="D1" s="200" t="s">
        <v>1269</v>
      </c>
      <c r="E1" s="243" t="s">
        <v>1346</v>
      </c>
      <c r="F1" s="243" t="s">
        <v>1347</v>
      </c>
      <c r="G1" s="243" t="s">
        <v>1348</v>
      </c>
      <c r="H1" s="243" t="s">
        <v>1349</v>
      </c>
      <c r="I1" s="243" t="s">
        <v>1350</v>
      </c>
      <c r="J1" s="243" t="s">
        <v>1351</v>
      </c>
      <c r="K1" s="243" t="s">
        <v>1352</v>
      </c>
      <c r="L1" s="243" t="s">
        <v>1353</v>
      </c>
      <c r="M1" s="243" t="s">
        <v>1354</v>
      </c>
      <c r="N1" s="243" t="s">
        <v>1355</v>
      </c>
      <c r="O1" s="243" t="s">
        <v>1356</v>
      </c>
      <c r="P1" s="243" t="s">
        <v>1357</v>
      </c>
      <c r="Q1" s="11" t="s">
        <v>29</v>
      </c>
      <c r="R1" s="11" t="s">
        <v>30</v>
      </c>
      <c r="S1" s="11" t="s">
        <v>31</v>
      </c>
      <c r="T1" s="11" t="s">
        <v>32</v>
      </c>
      <c r="U1" s="11" t="s">
        <v>33</v>
      </c>
      <c r="V1" s="13" t="s">
        <v>34</v>
      </c>
      <c r="W1" s="13" t="s">
        <v>35</v>
      </c>
      <c r="X1" s="13" t="s">
        <v>36</v>
      </c>
      <c r="Y1" s="13" t="s">
        <v>37</v>
      </c>
      <c r="Z1" s="13" t="s">
        <v>38</v>
      </c>
      <c r="AA1" s="6" t="s">
        <v>347</v>
      </c>
      <c r="AB1" s="6" t="s">
        <v>348</v>
      </c>
      <c r="AC1" s="6" t="s">
        <v>349</v>
      </c>
      <c r="AD1" s="6" t="s">
        <v>350</v>
      </c>
      <c r="AE1" s="6" t="s">
        <v>351</v>
      </c>
      <c r="AF1" s="103" t="s">
        <v>322</v>
      </c>
      <c r="AG1" s="7" t="s">
        <v>323</v>
      </c>
      <c r="AH1" s="101" t="s">
        <v>324</v>
      </c>
      <c r="AI1" s="101" t="s">
        <v>325</v>
      </c>
      <c r="AJ1" s="101" t="s">
        <v>326</v>
      </c>
      <c r="AK1" s="101" t="s">
        <v>1280</v>
      </c>
      <c r="AL1" s="101" t="s">
        <v>327</v>
      </c>
      <c r="AM1" s="101" t="s">
        <v>328</v>
      </c>
      <c r="AN1" s="101" t="s">
        <v>329</v>
      </c>
      <c r="AO1" s="101" t="s">
        <v>1053</v>
      </c>
      <c r="AP1" s="101" t="s">
        <v>1056</v>
      </c>
      <c r="AQ1" s="101" t="s">
        <v>1054</v>
      </c>
      <c r="AR1" s="101" t="s">
        <v>1055</v>
      </c>
      <c r="AS1" s="102" t="s">
        <v>330</v>
      </c>
      <c r="AT1" s="101" t="s">
        <v>331</v>
      </c>
      <c r="AU1" s="102" t="s">
        <v>196</v>
      </c>
      <c r="AV1" s="8" t="s">
        <v>332</v>
      </c>
      <c r="AW1" s="8" t="s">
        <v>333</v>
      </c>
      <c r="AX1" s="100" t="s">
        <v>338</v>
      </c>
      <c r="AY1" s="9" t="s">
        <v>339</v>
      </c>
      <c r="AZ1" s="10" t="s">
        <v>344</v>
      </c>
      <c r="BA1" s="10" t="s">
        <v>343</v>
      </c>
      <c r="BB1" s="10" t="s">
        <v>342</v>
      </c>
      <c r="BC1" s="99" t="s">
        <v>345</v>
      </c>
      <c r="BD1" s="9" t="s">
        <v>357</v>
      </c>
      <c r="BE1" s="9" t="s">
        <v>360</v>
      </c>
    </row>
    <row r="2" spans="1:57" s="3" customFormat="1" x14ac:dyDescent="0.25">
      <c r="A2" s="44" t="s">
        <v>0</v>
      </c>
      <c r="B2" s="42" t="s">
        <v>1057</v>
      </c>
      <c r="C2" s="42"/>
      <c r="E2" s="5">
        <v>5</v>
      </c>
      <c r="F2" s="5">
        <v>5</v>
      </c>
      <c r="G2" s="5">
        <v>5</v>
      </c>
      <c r="H2" s="5">
        <v>5</v>
      </c>
      <c r="I2" s="5">
        <v>5</v>
      </c>
      <c r="J2" s="5">
        <v>5</v>
      </c>
      <c r="K2" s="5">
        <v>5</v>
      </c>
      <c r="L2" s="5">
        <v>5</v>
      </c>
      <c r="M2" s="5">
        <v>5</v>
      </c>
      <c r="N2" s="5">
        <v>5</v>
      </c>
      <c r="O2" s="5">
        <v>5</v>
      </c>
      <c r="P2" s="5">
        <v>5</v>
      </c>
      <c r="Q2" s="12">
        <v>0.98115942028985503</v>
      </c>
      <c r="R2" s="12">
        <v>0.94192634560906496</v>
      </c>
      <c r="S2" s="12">
        <v>0.931707317073171</v>
      </c>
      <c r="T2" s="12">
        <v>0.91452991452991494</v>
      </c>
      <c r="U2" s="12">
        <v>0.91685393258426995</v>
      </c>
      <c r="V2" s="12">
        <v>1.1999999999999999E-3</v>
      </c>
      <c r="W2" s="12">
        <v>0.02</v>
      </c>
      <c r="X2" s="12">
        <v>0.01</v>
      </c>
      <c r="Y2" s="12">
        <v>1.4999999999999999E-2</v>
      </c>
      <c r="Z2" s="12">
        <v>1.7999999999999999E-2</v>
      </c>
      <c r="AA2" s="98">
        <f t="shared" ref="AA2:AE17" si="0">0.4*V2</f>
        <v>4.7999999999999996E-4</v>
      </c>
      <c r="AB2" s="98">
        <f t="shared" si="0"/>
        <v>8.0000000000000002E-3</v>
      </c>
      <c r="AC2" s="98">
        <f t="shared" si="0"/>
        <v>4.0000000000000001E-3</v>
      </c>
      <c r="AD2" s="98">
        <f t="shared" si="0"/>
        <v>6.0000000000000001E-3</v>
      </c>
      <c r="AE2" s="98">
        <f t="shared" si="0"/>
        <v>7.1999999999999998E-3</v>
      </c>
      <c r="AF2" s="5">
        <v>5</v>
      </c>
      <c r="AG2" s="15">
        <v>225</v>
      </c>
      <c r="AH2" s="5">
        <v>5</v>
      </c>
      <c r="AI2" s="5">
        <v>5</v>
      </c>
      <c r="AJ2" s="5">
        <v>5</v>
      </c>
      <c r="AK2" s="5">
        <v>5</v>
      </c>
      <c r="AL2" s="5">
        <v>5</v>
      </c>
      <c r="AM2" s="5">
        <v>5</v>
      </c>
      <c r="AN2" s="5">
        <v>5</v>
      </c>
      <c r="AO2" s="5">
        <v>5</v>
      </c>
      <c r="AP2" s="5">
        <v>5</v>
      </c>
      <c r="AQ2" s="5">
        <v>5</v>
      </c>
      <c r="AR2" s="5">
        <v>5</v>
      </c>
      <c r="AS2" s="5">
        <v>5</v>
      </c>
      <c r="AT2" s="5">
        <v>5</v>
      </c>
      <c r="AU2" s="5">
        <v>5</v>
      </c>
      <c r="AV2" s="15">
        <v>5.0000000000000001E-4</v>
      </c>
      <c r="AW2" s="234">
        <f>0.693/AF2</f>
        <v>0.1386</v>
      </c>
      <c r="AX2" s="5">
        <v>5</v>
      </c>
      <c r="AY2" s="42">
        <v>225</v>
      </c>
      <c r="AZ2" s="98">
        <f t="shared" ref="AZ2:AZ30" si="1">BB2+s_lambda_HL</f>
        <v>5.5000000000000002E-5</v>
      </c>
      <c r="BA2" s="98">
        <f t="shared" ref="BA2:BA30" si="2">BB2+(0.693/s_t_w)</f>
        <v>0.1386</v>
      </c>
      <c r="BB2" s="98">
        <v>0</v>
      </c>
      <c r="BC2" s="235">
        <f>AF2*365</f>
        <v>1825</v>
      </c>
      <c r="BD2" s="98">
        <f t="shared" ref="BD2" si="3">AT2</f>
        <v>5</v>
      </c>
      <c r="BE2" s="98">
        <f t="shared" ref="BE2" si="4">AS2</f>
        <v>5</v>
      </c>
    </row>
    <row r="3" spans="1:57" s="3" customFormat="1" x14ac:dyDescent="0.25">
      <c r="A3" s="46" t="s">
        <v>1</v>
      </c>
      <c r="B3" s="42" t="s">
        <v>335</v>
      </c>
      <c r="C3" s="42"/>
      <c r="E3" s="5">
        <v>5</v>
      </c>
      <c r="F3" s="5">
        <v>5</v>
      </c>
      <c r="G3" s="5">
        <v>5</v>
      </c>
      <c r="H3" s="5">
        <v>5</v>
      </c>
      <c r="I3" s="5">
        <v>5</v>
      </c>
      <c r="J3" s="5">
        <v>5</v>
      </c>
      <c r="K3" s="5">
        <v>5</v>
      </c>
      <c r="L3" s="5">
        <v>5</v>
      </c>
      <c r="M3" s="5">
        <v>5</v>
      </c>
      <c r="N3" s="5">
        <v>5</v>
      </c>
      <c r="O3" s="5">
        <v>5</v>
      </c>
      <c r="P3" s="5">
        <v>5</v>
      </c>
      <c r="Q3" s="12">
        <v>0.98581560283687897</v>
      </c>
      <c r="R3" s="12">
        <v>0.95726495726495697</v>
      </c>
      <c r="S3" s="12">
        <v>0.93096234309623405</v>
      </c>
      <c r="T3" s="12">
        <v>0.90049751243781095</v>
      </c>
      <c r="U3" s="12">
        <v>0.87357630979498901</v>
      </c>
      <c r="V3" s="12">
        <v>6.7000000000000002E-5</v>
      </c>
      <c r="W3" s="12">
        <v>1.4999999999999999E-4</v>
      </c>
      <c r="X3" s="12">
        <v>1.1E-4</v>
      </c>
      <c r="Y3" s="12">
        <v>1.4999999999999999E-4</v>
      </c>
      <c r="Z3" s="12">
        <v>1.4999999999999999E-4</v>
      </c>
      <c r="AA3" s="98">
        <f t="shared" si="0"/>
        <v>2.6800000000000001E-5</v>
      </c>
      <c r="AB3" s="98">
        <f t="shared" si="0"/>
        <v>5.9999999999999995E-5</v>
      </c>
      <c r="AC3" s="98">
        <f t="shared" si="0"/>
        <v>4.4000000000000006E-5</v>
      </c>
      <c r="AD3" s="98">
        <f t="shared" si="0"/>
        <v>5.9999999999999995E-5</v>
      </c>
      <c r="AE3" s="98">
        <f t="shared" si="0"/>
        <v>5.9999999999999995E-5</v>
      </c>
      <c r="AF3" s="5">
        <v>5</v>
      </c>
      <c r="AG3" s="15">
        <v>241</v>
      </c>
      <c r="AH3" s="5">
        <v>5</v>
      </c>
      <c r="AI3" s="5">
        <v>5</v>
      </c>
      <c r="AJ3" s="5">
        <v>5</v>
      </c>
      <c r="AK3" s="5">
        <v>5</v>
      </c>
      <c r="AL3" s="5">
        <v>5</v>
      </c>
      <c r="AM3" s="5">
        <v>5</v>
      </c>
      <c r="AN3" s="5">
        <v>5</v>
      </c>
      <c r="AO3" s="5">
        <v>5</v>
      </c>
      <c r="AP3" s="5">
        <v>5</v>
      </c>
      <c r="AQ3" s="5">
        <v>5</v>
      </c>
      <c r="AR3" s="5">
        <v>5</v>
      </c>
      <c r="AS3" s="5">
        <v>5</v>
      </c>
      <c r="AT3" s="5">
        <v>5</v>
      </c>
      <c r="AU3" s="5">
        <v>5</v>
      </c>
      <c r="AV3" s="15">
        <v>5.0000000000000001E-4</v>
      </c>
      <c r="AW3" s="234">
        <f t="shared" ref="AW3:AW30" si="5">0.693/AF3</f>
        <v>0.1386</v>
      </c>
      <c r="AX3" s="5">
        <v>5</v>
      </c>
      <c r="AY3" s="42">
        <v>241</v>
      </c>
      <c r="AZ3" s="98">
        <f t="shared" si="1"/>
        <v>5.5000000000000002E-5</v>
      </c>
      <c r="BA3" s="98">
        <f t="shared" si="2"/>
        <v>0.1386</v>
      </c>
      <c r="BB3" s="98">
        <v>0</v>
      </c>
      <c r="BC3" s="235">
        <f t="shared" ref="BC3:BC30" si="6">AF3*365</f>
        <v>1825</v>
      </c>
      <c r="BD3" s="98">
        <f>AT3</f>
        <v>5</v>
      </c>
      <c r="BE3" s="98">
        <f>AS3</f>
        <v>5</v>
      </c>
    </row>
    <row r="4" spans="1:57" s="3" customFormat="1" x14ac:dyDescent="0.25">
      <c r="A4" s="44" t="s">
        <v>2</v>
      </c>
      <c r="B4" s="42" t="s">
        <v>1057</v>
      </c>
      <c r="C4" s="42"/>
      <c r="E4" s="5">
        <v>5</v>
      </c>
      <c r="F4" s="5">
        <v>5</v>
      </c>
      <c r="G4" s="5">
        <v>5</v>
      </c>
      <c r="H4" s="5">
        <v>5</v>
      </c>
      <c r="I4" s="5">
        <v>5</v>
      </c>
      <c r="J4" s="5">
        <v>5</v>
      </c>
      <c r="K4" s="5">
        <v>5</v>
      </c>
      <c r="L4" s="5">
        <v>5</v>
      </c>
      <c r="M4" s="5">
        <v>5</v>
      </c>
      <c r="N4" s="5">
        <v>5</v>
      </c>
      <c r="O4" s="5">
        <v>5</v>
      </c>
      <c r="P4" s="5">
        <v>5</v>
      </c>
      <c r="Q4" s="12">
        <v>0.914201183431953</v>
      </c>
      <c r="R4" s="12">
        <v>0.85714285714285698</v>
      </c>
      <c r="S4" s="12">
        <v>0.90909090909090895</v>
      </c>
      <c r="T4" s="12">
        <v>0.91269841269841301</v>
      </c>
      <c r="U4" s="12">
        <v>0.89869753979739497</v>
      </c>
      <c r="V4" s="12">
        <v>1.4E-2</v>
      </c>
      <c r="W4" s="12">
        <v>4.4999999999999998E-2</v>
      </c>
      <c r="X4" s="12">
        <v>2.5999999999999999E-2</v>
      </c>
      <c r="Y4" s="12">
        <v>3.5999999999999997E-2</v>
      </c>
      <c r="Z4" s="12">
        <v>4.2000000000000003E-2</v>
      </c>
      <c r="AA4" s="98">
        <f t="shared" si="0"/>
        <v>5.6000000000000008E-3</v>
      </c>
      <c r="AB4" s="98">
        <f t="shared" si="0"/>
        <v>1.7999999999999999E-2</v>
      </c>
      <c r="AC4" s="98">
        <f t="shared" si="0"/>
        <v>1.04E-2</v>
      </c>
      <c r="AD4" s="98">
        <f t="shared" si="0"/>
        <v>1.44E-2</v>
      </c>
      <c r="AE4" s="98">
        <f t="shared" si="0"/>
        <v>1.6800000000000002E-2</v>
      </c>
      <c r="AF4" s="5">
        <v>5</v>
      </c>
      <c r="AG4" s="15">
        <v>217</v>
      </c>
      <c r="AH4" s="5">
        <v>5</v>
      </c>
      <c r="AI4" s="5">
        <v>5</v>
      </c>
      <c r="AJ4" s="5">
        <v>5</v>
      </c>
      <c r="AK4" s="5">
        <v>5</v>
      </c>
      <c r="AL4" s="5">
        <v>5</v>
      </c>
      <c r="AM4" s="5">
        <v>5</v>
      </c>
      <c r="AN4" s="5">
        <v>5</v>
      </c>
      <c r="AO4" s="5">
        <v>5</v>
      </c>
      <c r="AP4" s="5">
        <v>5</v>
      </c>
      <c r="AQ4" s="5">
        <v>5</v>
      </c>
      <c r="AR4" s="5">
        <v>5</v>
      </c>
      <c r="AS4" s="5">
        <v>5</v>
      </c>
      <c r="AT4" s="5">
        <v>5</v>
      </c>
      <c r="AU4" s="5">
        <v>5</v>
      </c>
      <c r="AV4" s="15"/>
      <c r="AW4" s="234">
        <f t="shared" si="5"/>
        <v>0.1386</v>
      </c>
      <c r="AX4" s="5">
        <v>5</v>
      </c>
      <c r="AY4" s="42">
        <v>217</v>
      </c>
      <c r="AZ4" s="98">
        <f t="shared" si="1"/>
        <v>5.5000000000000002E-5</v>
      </c>
      <c r="BA4" s="98">
        <f t="shared" si="2"/>
        <v>0.1386</v>
      </c>
      <c r="BB4" s="98">
        <v>0</v>
      </c>
      <c r="BC4" s="235">
        <f t="shared" si="6"/>
        <v>1825</v>
      </c>
      <c r="BD4" s="98">
        <f t="shared" ref="BD4:BD21" si="7">AT4</f>
        <v>5</v>
      </c>
      <c r="BE4" s="98">
        <f t="shared" ref="BE4:BE30" si="8">AS4</f>
        <v>5</v>
      </c>
    </row>
    <row r="5" spans="1:57" s="3" customFormat="1" x14ac:dyDescent="0.25">
      <c r="A5" s="44" t="s">
        <v>3</v>
      </c>
      <c r="B5" s="42" t="s">
        <v>1057</v>
      </c>
      <c r="C5" s="42">
        <v>1</v>
      </c>
      <c r="D5" s="14">
        <v>1.4526200000000001E-4</v>
      </c>
      <c r="E5" s="5">
        <v>5</v>
      </c>
      <c r="F5" s="5">
        <v>5</v>
      </c>
      <c r="G5" s="5">
        <v>5</v>
      </c>
      <c r="H5" s="5">
        <v>5</v>
      </c>
      <c r="I5" s="5">
        <v>5</v>
      </c>
      <c r="J5" s="5">
        <v>5</v>
      </c>
      <c r="K5" s="5">
        <v>5</v>
      </c>
      <c r="L5" s="5">
        <v>5</v>
      </c>
      <c r="M5" s="5">
        <v>5</v>
      </c>
      <c r="N5" s="5">
        <v>5</v>
      </c>
      <c r="O5" s="5">
        <v>5</v>
      </c>
      <c r="P5" s="5">
        <v>5</v>
      </c>
      <c r="Q5" s="12">
        <v>0.9</v>
      </c>
      <c r="R5" s="12">
        <v>0.9</v>
      </c>
      <c r="S5" s="12">
        <v>0.9</v>
      </c>
      <c r="T5" s="12">
        <v>0.9</v>
      </c>
      <c r="U5" s="12">
        <v>0.9</v>
      </c>
      <c r="V5" s="12">
        <v>0</v>
      </c>
      <c r="W5" s="12">
        <v>0</v>
      </c>
      <c r="X5" s="12">
        <v>0</v>
      </c>
      <c r="Y5" s="12">
        <v>0</v>
      </c>
      <c r="Z5" s="12">
        <v>0</v>
      </c>
      <c r="AA5" s="98">
        <f t="shared" si="0"/>
        <v>0</v>
      </c>
      <c r="AB5" s="98">
        <f t="shared" si="0"/>
        <v>0</v>
      </c>
      <c r="AC5" s="98">
        <f t="shared" si="0"/>
        <v>0</v>
      </c>
      <c r="AD5" s="98">
        <f t="shared" si="0"/>
        <v>0</v>
      </c>
      <c r="AE5" s="98">
        <f t="shared" si="0"/>
        <v>0</v>
      </c>
      <c r="AF5" s="5">
        <v>5</v>
      </c>
      <c r="AG5" s="15">
        <v>218</v>
      </c>
      <c r="AH5" s="5">
        <v>5</v>
      </c>
      <c r="AI5" s="5">
        <v>5</v>
      </c>
      <c r="AJ5" s="5">
        <v>5</v>
      </c>
      <c r="AK5" s="5">
        <v>5</v>
      </c>
      <c r="AL5" s="5">
        <v>5</v>
      </c>
      <c r="AM5" s="5">
        <v>5</v>
      </c>
      <c r="AN5" s="5">
        <v>5</v>
      </c>
      <c r="AO5" s="5">
        <v>5</v>
      </c>
      <c r="AP5" s="5">
        <v>5</v>
      </c>
      <c r="AQ5" s="5">
        <v>5</v>
      </c>
      <c r="AR5" s="5">
        <v>5</v>
      </c>
      <c r="AS5" s="5">
        <v>5</v>
      </c>
      <c r="AT5" s="5">
        <v>5</v>
      </c>
      <c r="AU5" s="5">
        <v>5</v>
      </c>
      <c r="AV5" s="15"/>
      <c r="AW5" s="234">
        <f t="shared" si="5"/>
        <v>0.1386</v>
      </c>
      <c r="AX5" s="5">
        <v>5</v>
      </c>
      <c r="AY5" s="42">
        <v>218</v>
      </c>
      <c r="AZ5" s="98">
        <f t="shared" si="1"/>
        <v>5.5000000000000002E-5</v>
      </c>
      <c r="BA5" s="98">
        <f t="shared" si="2"/>
        <v>0.1386</v>
      </c>
      <c r="BB5" s="98">
        <v>0</v>
      </c>
      <c r="BC5" s="235">
        <f t="shared" si="6"/>
        <v>1825</v>
      </c>
      <c r="BD5" s="98">
        <f t="shared" si="7"/>
        <v>5</v>
      </c>
      <c r="BE5" s="98">
        <f t="shared" si="8"/>
        <v>5</v>
      </c>
    </row>
    <row r="6" spans="1:57" s="3" customFormat="1" x14ac:dyDescent="0.25">
      <c r="A6" s="44" t="s">
        <v>4</v>
      </c>
      <c r="B6" s="42" t="s">
        <v>1057</v>
      </c>
      <c r="C6" s="42"/>
      <c r="E6" s="5">
        <v>5</v>
      </c>
      <c r="F6" s="5">
        <v>5</v>
      </c>
      <c r="G6" s="5">
        <v>5</v>
      </c>
      <c r="H6" s="5">
        <v>5</v>
      </c>
      <c r="I6" s="5">
        <v>5</v>
      </c>
      <c r="J6" s="5">
        <v>5</v>
      </c>
      <c r="K6" s="5">
        <v>5</v>
      </c>
      <c r="L6" s="5">
        <v>5</v>
      </c>
      <c r="M6" s="5">
        <v>5</v>
      </c>
      <c r="N6" s="5">
        <v>5</v>
      </c>
      <c r="O6" s="5">
        <v>5</v>
      </c>
      <c r="P6" s="5">
        <v>5</v>
      </c>
      <c r="Q6" s="12">
        <v>0.88636363636363602</v>
      </c>
      <c r="R6" s="12">
        <v>0.91519434628975305</v>
      </c>
      <c r="S6" s="12">
        <v>0.93487394957983205</v>
      </c>
      <c r="T6" s="12">
        <v>0.91752577319587603</v>
      </c>
      <c r="U6" s="12">
        <v>0.95541401273885396</v>
      </c>
      <c r="V6" s="12">
        <v>2.7E-2</v>
      </c>
      <c r="W6" s="12">
        <v>8.2000000000000003E-2</v>
      </c>
      <c r="X6" s="12">
        <v>4.2999999999999997E-2</v>
      </c>
      <c r="Y6" s="12">
        <v>6.2E-2</v>
      </c>
      <c r="Z6" s="12">
        <v>7.1999999999999995E-2</v>
      </c>
      <c r="AA6" s="98">
        <f t="shared" si="0"/>
        <v>1.0800000000000001E-2</v>
      </c>
      <c r="AB6" s="98">
        <f t="shared" si="0"/>
        <v>3.2800000000000003E-2</v>
      </c>
      <c r="AC6" s="98">
        <f t="shared" si="0"/>
        <v>1.72E-2</v>
      </c>
      <c r="AD6" s="98">
        <f t="shared" si="0"/>
        <v>2.4800000000000003E-2</v>
      </c>
      <c r="AE6" s="98">
        <f t="shared" si="0"/>
        <v>2.8799999999999999E-2</v>
      </c>
      <c r="AF6" s="5">
        <v>5</v>
      </c>
      <c r="AG6" s="15">
        <v>137</v>
      </c>
      <c r="AH6" s="5">
        <v>5</v>
      </c>
      <c r="AI6" s="5">
        <v>5</v>
      </c>
      <c r="AJ6" s="5">
        <v>5</v>
      </c>
      <c r="AK6" s="5">
        <v>5</v>
      </c>
      <c r="AL6" s="5">
        <v>5</v>
      </c>
      <c r="AM6" s="5">
        <v>5</v>
      </c>
      <c r="AN6" s="5">
        <v>5</v>
      </c>
      <c r="AO6" s="5">
        <v>5</v>
      </c>
      <c r="AP6" s="5">
        <v>5</v>
      </c>
      <c r="AQ6" s="5">
        <v>5</v>
      </c>
      <c r="AR6" s="5">
        <v>5</v>
      </c>
      <c r="AS6" s="5">
        <v>5</v>
      </c>
      <c r="AT6" s="5">
        <v>5</v>
      </c>
      <c r="AU6" s="5">
        <v>5</v>
      </c>
      <c r="AV6" s="15"/>
      <c r="AW6" s="234">
        <f t="shared" si="5"/>
        <v>0.1386</v>
      </c>
      <c r="AX6" s="5">
        <v>5</v>
      </c>
      <c r="AY6" s="42">
        <v>137</v>
      </c>
      <c r="AZ6" s="98">
        <f t="shared" si="1"/>
        <v>5.5000000000000002E-5</v>
      </c>
      <c r="BA6" s="98">
        <f t="shared" si="2"/>
        <v>0.1386</v>
      </c>
      <c r="BB6" s="98">
        <v>0</v>
      </c>
      <c r="BC6" s="235">
        <f t="shared" si="6"/>
        <v>1825</v>
      </c>
      <c r="BD6" s="98">
        <f t="shared" si="7"/>
        <v>5</v>
      </c>
      <c r="BE6" s="98">
        <f t="shared" si="8"/>
        <v>5</v>
      </c>
    </row>
    <row r="7" spans="1:57" s="3" customFormat="1" x14ac:dyDescent="0.25">
      <c r="A7" s="44" t="s">
        <v>5</v>
      </c>
      <c r="B7" s="42" t="s">
        <v>1057</v>
      </c>
      <c r="C7" s="42">
        <v>1</v>
      </c>
      <c r="D7" s="14">
        <v>0</v>
      </c>
      <c r="E7" s="5">
        <v>5</v>
      </c>
      <c r="F7" s="5">
        <v>5</v>
      </c>
      <c r="G7" s="5">
        <v>5</v>
      </c>
      <c r="H7" s="5">
        <v>5</v>
      </c>
      <c r="I7" s="5">
        <v>5</v>
      </c>
      <c r="J7" s="5">
        <v>5</v>
      </c>
      <c r="K7" s="5">
        <v>5</v>
      </c>
      <c r="L7" s="5">
        <v>5</v>
      </c>
      <c r="M7" s="5">
        <v>5</v>
      </c>
      <c r="N7" s="5">
        <v>5</v>
      </c>
      <c r="O7" s="5">
        <v>5</v>
      </c>
      <c r="P7" s="5">
        <v>5</v>
      </c>
      <c r="Q7" s="12">
        <v>0.90997566909975702</v>
      </c>
      <c r="R7" s="12">
        <v>0.867088607594937</v>
      </c>
      <c r="S7" s="12">
        <v>0.90839694656488501</v>
      </c>
      <c r="T7" s="12">
        <v>0.92993630573248398</v>
      </c>
      <c r="U7" s="12">
        <v>0.87429854096520798</v>
      </c>
      <c r="V7" s="12">
        <v>1.4E-2</v>
      </c>
      <c r="W7" s="12">
        <v>0.04</v>
      </c>
      <c r="X7" s="12">
        <v>2.4E-2</v>
      </c>
      <c r="Y7" s="12">
        <v>3.2000000000000001E-2</v>
      </c>
      <c r="Z7" s="12">
        <v>3.6999999999999998E-2</v>
      </c>
      <c r="AA7" s="98">
        <f t="shared" si="0"/>
        <v>5.6000000000000008E-3</v>
      </c>
      <c r="AB7" s="98">
        <f t="shared" si="0"/>
        <v>1.6E-2</v>
      </c>
      <c r="AC7" s="98">
        <f t="shared" si="0"/>
        <v>9.6000000000000009E-3</v>
      </c>
      <c r="AD7" s="98">
        <f t="shared" si="0"/>
        <v>1.2800000000000001E-2</v>
      </c>
      <c r="AE7" s="98">
        <f t="shared" si="0"/>
        <v>1.4800000000000001E-2</v>
      </c>
      <c r="AF7" s="5">
        <v>5</v>
      </c>
      <c r="AG7" s="15">
        <v>210</v>
      </c>
      <c r="AH7" s="5">
        <v>5</v>
      </c>
      <c r="AI7" s="5">
        <v>5</v>
      </c>
      <c r="AJ7" s="5">
        <v>5</v>
      </c>
      <c r="AK7" s="5">
        <v>5</v>
      </c>
      <c r="AL7" s="5">
        <v>5</v>
      </c>
      <c r="AM7" s="5">
        <v>5</v>
      </c>
      <c r="AN7" s="5">
        <v>5</v>
      </c>
      <c r="AO7" s="5">
        <v>5</v>
      </c>
      <c r="AP7" s="5">
        <v>5</v>
      </c>
      <c r="AQ7" s="5">
        <v>5</v>
      </c>
      <c r="AR7" s="5">
        <v>5</v>
      </c>
      <c r="AS7" s="5">
        <v>5</v>
      </c>
      <c r="AT7" s="5">
        <v>5</v>
      </c>
      <c r="AU7" s="5">
        <v>5</v>
      </c>
      <c r="AV7" s="15">
        <v>0.05</v>
      </c>
      <c r="AW7" s="234">
        <f t="shared" si="5"/>
        <v>0.1386</v>
      </c>
      <c r="AX7" s="5">
        <v>5</v>
      </c>
      <c r="AY7" s="42">
        <v>210</v>
      </c>
      <c r="AZ7" s="98">
        <f t="shared" si="1"/>
        <v>5.5000000000000002E-5</v>
      </c>
      <c r="BA7" s="98">
        <f t="shared" si="2"/>
        <v>0.1386</v>
      </c>
      <c r="BB7" s="98">
        <v>0</v>
      </c>
      <c r="BC7" s="235">
        <f t="shared" si="6"/>
        <v>1825</v>
      </c>
      <c r="BD7" s="98">
        <f t="shared" si="7"/>
        <v>5</v>
      </c>
      <c r="BE7" s="98">
        <f t="shared" si="8"/>
        <v>5</v>
      </c>
    </row>
    <row r="8" spans="1:57" s="3" customFormat="1" x14ac:dyDescent="0.25">
      <c r="A8" s="44" t="s">
        <v>6</v>
      </c>
      <c r="B8" s="42" t="s">
        <v>1057</v>
      </c>
      <c r="C8" s="42"/>
      <c r="E8" s="5">
        <v>5</v>
      </c>
      <c r="F8" s="5">
        <v>5</v>
      </c>
      <c r="G8" s="5">
        <v>5</v>
      </c>
      <c r="H8" s="5">
        <v>5</v>
      </c>
      <c r="I8" s="5">
        <v>5</v>
      </c>
      <c r="J8" s="5">
        <v>5</v>
      </c>
      <c r="K8" s="5">
        <v>5</v>
      </c>
      <c r="L8" s="5">
        <v>5</v>
      </c>
      <c r="M8" s="5">
        <v>5</v>
      </c>
      <c r="N8" s="5">
        <v>5</v>
      </c>
      <c r="O8" s="5">
        <v>5</v>
      </c>
      <c r="P8" s="5">
        <v>5</v>
      </c>
      <c r="Q8" s="12">
        <v>0.88690476190476197</v>
      </c>
      <c r="R8" s="12">
        <v>0.97311827956989205</v>
      </c>
      <c r="S8" s="12">
        <v>0.93904761904761902</v>
      </c>
      <c r="T8" s="12">
        <v>0.93809523809523798</v>
      </c>
      <c r="U8" s="12">
        <v>0.89295774647887305</v>
      </c>
      <c r="V8" s="12">
        <v>0.02</v>
      </c>
      <c r="W8" s="12">
        <v>6.2E-2</v>
      </c>
      <c r="X8" s="12">
        <v>3.5000000000000003E-2</v>
      </c>
      <c r="Y8" s="12">
        <v>4.8000000000000001E-2</v>
      </c>
      <c r="Z8" s="12">
        <v>5.5E-2</v>
      </c>
      <c r="AA8" s="98">
        <f t="shared" si="0"/>
        <v>8.0000000000000002E-3</v>
      </c>
      <c r="AB8" s="98">
        <f t="shared" si="0"/>
        <v>2.4800000000000003E-2</v>
      </c>
      <c r="AC8" s="98">
        <f t="shared" si="0"/>
        <v>1.4000000000000002E-2</v>
      </c>
      <c r="AD8" s="98">
        <f t="shared" si="0"/>
        <v>1.9200000000000002E-2</v>
      </c>
      <c r="AE8" s="98">
        <f t="shared" si="0"/>
        <v>2.2000000000000002E-2</v>
      </c>
      <c r="AF8" s="5">
        <v>5</v>
      </c>
      <c r="AG8" s="15">
        <v>213</v>
      </c>
      <c r="AH8" s="5">
        <v>5</v>
      </c>
      <c r="AI8" s="5">
        <v>5</v>
      </c>
      <c r="AJ8" s="5">
        <v>5</v>
      </c>
      <c r="AK8" s="5">
        <v>5</v>
      </c>
      <c r="AL8" s="5">
        <v>5</v>
      </c>
      <c r="AM8" s="5">
        <v>5</v>
      </c>
      <c r="AN8" s="5">
        <v>5</v>
      </c>
      <c r="AO8" s="5">
        <v>5</v>
      </c>
      <c r="AP8" s="5">
        <v>5</v>
      </c>
      <c r="AQ8" s="5">
        <v>5</v>
      </c>
      <c r="AR8" s="5">
        <v>5</v>
      </c>
      <c r="AS8" s="5">
        <v>5</v>
      </c>
      <c r="AT8" s="5">
        <v>5</v>
      </c>
      <c r="AU8" s="5">
        <v>5</v>
      </c>
      <c r="AV8" s="15">
        <v>0.05</v>
      </c>
      <c r="AW8" s="234">
        <f t="shared" si="5"/>
        <v>0.1386</v>
      </c>
      <c r="AX8" s="5">
        <v>5</v>
      </c>
      <c r="AY8" s="42">
        <v>213</v>
      </c>
      <c r="AZ8" s="98">
        <f t="shared" si="1"/>
        <v>5.5000000000000002E-5</v>
      </c>
      <c r="BA8" s="98">
        <f t="shared" si="2"/>
        <v>0.1386</v>
      </c>
      <c r="BB8" s="98">
        <v>0</v>
      </c>
      <c r="BC8" s="235">
        <f t="shared" si="6"/>
        <v>1825</v>
      </c>
      <c r="BD8" s="98">
        <f t="shared" si="7"/>
        <v>5</v>
      </c>
      <c r="BE8" s="98">
        <f t="shared" si="8"/>
        <v>5</v>
      </c>
    </row>
    <row r="9" spans="1:57" s="3" customFormat="1" x14ac:dyDescent="0.25">
      <c r="A9" s="44" t="s">
        <v>7</v>
      </c>
      <c r="B9" s="42" t="s">
        <v>1057</v>
      </c>
      <c r="C9" s="42">
        <v>1</v>
      </c>
      <c r="D9" s="14">
        <v>5.0904311000000001E-2</v>
      </c>
      <c r="E9" s="5">
        <v>5</v>
      </c>
      <c r="F9" s="5">
        <v>5</v>
      </c>
      <c r="G9" s="5">
        <v>5</v>
      </c>
      <c r="H9" s="5">
        <v>5</v>
      </c>
      <c r="I9" s="5">
        <v>5</v>
      </c>
      <c r="J9" s="5">
        <v>5</v>
      </c>
      <c r="K9" s="5">
        <v>5</v>
      </c>
      <c r="L9" s="5">
        <v>5</v>
      </c>
      <c r="M9" s="5">
        <v>5</v>
      </c>
      <c r="N9" s="5">
        <v>5</v>
      </c>
      <c r="O9" s="5">
        <v>5</v>
      </c>
      <c r="P9" s="5">
        <v>5</v>
      </c>
      <c r="Q9" s="12">
        <v>0.86585365853658502</v>
      </c>
      <c r="R9" s="12">
        <v>0.94236311239193105</v>
      </c>
      <c r="S9" s="12">
        <v>0.934579439252336</v>
      </c>
      <c r="T9" s="12">
        <v>0.94453004622496095</v>
      </c>
      <c r="U9" s="12">
        <v>0.9375</v>
      </c>
      <c r="V9" s="12">
        <v>3.9E-2</v>
      </c>
      <c r="W9" s="12">
        <v>0.13</v>
      </c>
      <c r="X9" s="12">
        <v>6.4000000000000001E-2</v>
      </c>
      <c r="Y9" s="12">
        <v>0.09</v>
      </c>
      <c r="Z9" s="12">
        <v>0.11</v>
      </c>
      <c r="AA9" s="98">
        <f t="shared" si="0"/>
        <v>1.5600000000000001E-2</v>
      </c>
      <c r="AB9" s="98">
        <f t="shared" si="0"/>
        <v>5.2000000000000005E-2</v>
      </c>
      <c r="AC9" s="98">
        <f t="shared" si="0"/>
        <v>2.5600000000000001E-2</v>
      </c>
      <c r="AD9" s="98">
        <f t="shared" si="0"/>
        <v>3.5999999999999997E-2</v>
      </c>
      <c r="AE9" s="98">
        <f t="shared" si="0"/>
        <v>4.4000000000000004E-2</v>
      </c>
      <c r="AF9" s="5">
        <v>5</v>
      </c>
      <c r="AG9" s="15">
        <v>214</v>
      </c>
      <c r="AH9" s="5">
        <v>5</v>
      </c>
      <c r="AI9" s="5">
        <v>5</v>
      </c>
      <c r="AJ9" s="5">
        <v>5</v>
      </c>
      <c r="AK9" s="5">
        <v>5</v>
      </c>
      <c r="AL9" s="5">
        <v>5</v>
      </c>
      <c r="AM9" s="5">
        <v>5</v>
      </c>
      <c r="AN9" s="5">
        <v>5</v>
      </c>
      <c r="AO9" s="5">
        <v>5</v>
      </c>
      <c r="AP9" s="5">
        <v>5</v>
      </c>
      <c r="AQ9" s="5">
        <v>5</v>
      </c>
      <c r="AR9" s="5">
        <v>5</v>
      </c>
      <c r="AS9" s="5">
        <v>5</v>
      </c>
      <c r="AT9" s="5">
        <v>5</v>
      </c>
      <c r="AU9" s="5">
        <v>5</v>
      </c>
      <c r="AV9" s="15">
        <v>0.05</v>
      </c>
      <c r="AW9" s="234">
        <f t="shared" si="5"/>
        <v>0.1386</v>
      </c>
      <c r="AX9" s="5">
        <v>5</v>
      </c>
      <c r="AY9" s="42">
        <v>214</v>
      </c>
      <c r="AZ9" s="98">
        <f t="shared" si="1"/>
        <v>5.5000000000000002E-5</v>
      </c>
      <c r="BA9" s="98">
        <f t="shared" si="2"/>
        <v>0.1386</v>
      </c>
      <c r="BB9" s="98">
        <v>0</v>
      </c>
      <c r="BC9" s="235">
        <f t="shared" si="6"/>
        <v>1825</v>
      </c>
      <c r="BD9" s="98">
        <f t="shared" si="7"/>
        <v>5</v>
      </c>
      <c r="BE9" s="98">
        <f t="shared" si="8"/>
        <v>5</v>
      </c>
    </row>
    <row r="10" spans="1:57" s="3" customFormat="1" x14ac:dyDescent="0.25">
      <c r="A10" s="46" t="s">
        <v>8</v>
      </c>
      <c r="B10" s="42" t="s">
        <v>335</v>
      </c>
      <c r="C10" s="42"/>
      <c r="E10" s="5">
        <v>5</v>
      </c>
      <c r="F10" s="5">
        <v>5</v>
      </c>
      <c r="G10" s="5">
        <v>5</v>
      </c>
      <c r="H10" s="5">
        <v>5</v>
      </c>
      <c r="I10" s="5">
        <v>5</v>
      </c>
      <c r="J10" s="5">
        <v>5</v>
      </c>
      <c r="K10" s="5">
        <v>5</v>
      </c>
      <c r="L10" s="5">
        <v>5</v>
      </c>
      <c r="M10" s="5">
        <v>5</v>
      </c>
      <c r="N10" s="5">
        <v>5</v>
      </c>
      <c r="O10" s="5">
        <v>5</v>
      </c>
      <c r="P10" s="5">
        <v>5</v>
      </c>
      <c r="Q10" s="12">
        <v>0.90521327014218</v>
      </c>
      <c r="R10" s="12">
        <v>0.85365853658536595</v>
      </c>
      <c r="S10" s="12">
        <v>0.91304347826086996</v>
      </c>
      <c r="T10" s="12">
        <v>0.92797118847538995</v>
      </c>
      <c r="U10" s="12">
        <v>0.87368421052631595</v>
      </c>
      <c r="V10" s="12">
        <v>2.7E-2</v>
      </c>
      <c r="W10" s="12">
        <v>7.4999999999999997E-2</v>
      </c>
      <c r="X10" s="12">
        <v>4.4999999999999998E-2</v>
      </c>
      <c r="Y10" s="12">
        <v>6.2E-2</v>
      </c>
      <c r="Z10" s="12">
        <v>7.1999999999999995E-2</v>
      </c>
      <c r="AA10" s="98">
        <f t="shared" si="0"/>
        <v>1.0800000000000001E-2</v>
      </c>
      <c r="AB10" s="98">
        <f t="shared" si="0"/>
        <v>0.03</v>
      </c>
      <c r="AC10" s="98">
        <f t="shared" si="0"/>
        <v>1.7999999999999999E-2</v>
      </c>
      <c r="AD10" s="98">
        <f t="shared" si="0"/>
        <v>2.4800000000000003E-2</v>
      </c>
      <c r="AE10" s="98">
        <f t="shared" si="0"/>
        <v>2.8799999999999999E-2</v>
      </c>
      <c r="AF10" s="5">
        <v>5</v>
      </c>
      <c r="AG10" s="15">
        <v>137</v>
      </c>
      <c r="AH10" s="5">
        <v>5</v>
      </c>
      <c r="AI10" s="5">
        <v>5</v>
      </c>
      <c r="AJ10" s="5">
        <v>5</v>
      </c>
      <c r="AK10" s="5">
        <v>5</v>
      </c>
      <c r="AL10" s="5">
        <v>5</v>
      </c>
      <c r="AM10" s="5">
        <v>5</v>
      </c>
      <c r="AN10" s="5">
        <v>5</v>
      </c>
      <c r="AO10" s="5">
        <v>5</v>
      </c>
      <c r="AP10" s="5">
        <v>5</v>
      </c>
      <c r="AQ10" s="5">
        <v>5</v>
      </c>
      <c r="AR10" s="5">
        <v>5</v>
      </c>
      <c r="AS10" s="5">
        <v>5</v>
      </c>
      <c r="AT10" s="5">
        <v>5</v>
      </c>
      <c r="AU10" s="5">
        <v>5</v>
      </c>
      <c r="AV10" s="15">
        <v>1</v>
      </c>
      <c r="AW10" s="234">
        <f t="shared" si="5"/>
        <v>0.1386</v>
      </c>
      <c r="AX10" s="5">
        <v>5</v>
      </c>
      <c r="AY10" s="42">
        <v>137</v>
      </c>
      <c r="AZ10" s="98">
        <f t="shared" si="1"/>
        <v>5.5000000000000002E-5</v>
      </c>
      <c r="BA10" s="98">
        <f t="shared" si="2"/>
        <v>0.1386</v>
      </c>
      <c r="BB10" s="98">
        <v>0</v>
      </c>
      <c r="BC10" s="235">
        <f t="shared" si="6"/>
        <v>1825</v>
      </c>
      <c r="BD10" s="98">
        <f t="shared" si="7"/>
        <v>5</v>
      </c>
      <c r="BE10" s="98">
        <f t="shared" si="8"/>
        <v>5</v>
      </c>
    </row>
    <row r="11" spans="1:57" s="3" customFormat="1" x14ac:dyDescent="0.25">
      <c r="A11" s="44" t="s">
        <v>9</v>
      </c>
      <c r="B11" s="42" t="s">
        <v>1057</v>
      </c>
      <c r="C11" s="42"/>
      <c r="E11" s="5">
        <v>5</v>
      </c>
      <c r="F11" s="5">
        <v>5</v>
      </c>
      <c r="G11" s="5">
        <v>5</v>
      </c>
      <c r="H11" s="5">
        <v>5</v>
      </c>
      <c r="I11" s="5">
        <v>5</v>
      </c>
      <c r="J11" s="5">
        <v>5</v>
      </c>
      <c r="K11" s="5">
        <v>5</v>
      </c>
      <c r="L11" s="5">
        <v>5</v>
      </c>
      <c r="M11" s="5">
        <v>5</v>
      </c>
      <c r="N11" s="5">
        <v>5</v>
      </c>
      <c r="O11" s="5">
        <v>5</v>
      </c>
      <c r="P11" s="5">
        <v>5</v>
      </c>
      <c r="Q11" s="12">
        <v>0.92753623188405798</v>
      </c>
      <c r="R11" s="12">
        <v>0.82352941176470595</v>
      </c>
      <c r="S11" s="12">
        <v>0.890625</v>
      </c>
      <c r="T11" s="12">
        <v>0.908496732026144</v>
      </c>
      <c r="U11" s="12">
        <v>0.88038277511961704</v>
      </c>
      <c r="V11" s="12">
        <v>9.7999999999999997E-3</v>
      </c>
      <c r="W11" s="12">
        <v>2.5999999999999999E-2</v>
      </c>
      <c r="X11" s="12">
        <v>1.9E-2</v>
      </c>
      <c r="Y11" s="12">
        <v>2.4E-2</v>
      </c>
      <c r="Z11" s="12">
        <v>2.5999999999999999E-2</v>
      </c>
      <c r="AA11" s="98">
        <f t="shared" si="0"/>
        <v>3.9199999999999999E-3</v>
      </c>
      <c r="AB11" s="98">
        <f t="shared" si="0"/>
        <v>1.04E-2</v>
      </c>
      <c r="AC11" s="98">
        <f t="shared" si="0"/>
        <v>7.6E-3</v>
      </c>
      <c r="AD11" s="98">
        <f t="shared" si="0"/>
        <v>9.6000000000000009E-3</v>
      </c>
      <c r="AE11" s="98">
        <f t="shared" si="0"/>
        <v>1.04E-2</v>
      </c>
      <c r="AF11" s="5">
        <v>5</v>
      </c>
      <c r="AG11" s="15">
        <v>221</v>
      </c>
      <c r="AH11" s="5">
        <v>5</v>
      </c>
      <c r="AI11" s="5">
        <v>5</v>
      </c>
      <c r="AJ11" s="5">
        <v>5</v>
      </c>
      <c r="AK11" s="5">
        <v>5</v>
      </c>
      <c r="AL11" s="5">
        <v>5</v>
      </c>
      <c r="AM11" s="5">
        <v>5</v>
      </c>
      <c r="AN11" s="5">
        <v>5</v>
      </c>
      <c r="AO11" s="5">
        <v>5</v>
      </c>
      <c r="AP11" s="5">
        <v>5</v>
      </c>
      <c r="AQ11" s="5">
        <v>5</v>
      </c>
      <c r="AR11" s="5">
        <v>5</v>
      </c>
      <c r="AS11" s="5">
        <v>5</v>
      </c>
      <c r="AT11" s="5">
        <v>5</v>
      </c>
      <c r="AU11" s="5">
        <v>5</v>
      </c>
      <c r="AV11" s="15"/>
      <c r="AW11" s="234">
        <f t="shared" si="5"/>
        <v>0.1386</v>
      </c>
      <c r="AX11" s="5">
        <v>5</v>
      </c>
      <c r="AY11" s="42">
        <v>221</v>
      </c>
      <c r="AZ11" s="98">
        <f t="shared" si="1"/>
        <v>5.5000000000000002E-5</v>
      </c>
      <c r="BA11" s="98">
        <f t="shared" si="2"/>
        <v>0.1386</v>
      </c>
      <c r="BB11" s="98">
        <v>0</v>
      </c>
      <c r="BC11" s="235">
        <f t="shared" si="6"/>
        <v>1825</v>
      </c>
      <c r="BD11" s="98">
        <f t="shared" si="7"/>
        <v>5</v>
      </c>
      <c r="BE11" s="98">
        <f t="shared" si="8"/>
        <v>5</v>
      </c>
    </row>
    <row r="12" spans="1:57" s="3" customFormat="1" x14ac:dyDescent="0.25">
      <c r="A12" s="44" t="s">
        <v>10</v>
      </c>
      <c r="B12" s="42" t="s">
        <v>1057</v>
      </c>
      <c r="C12" s="42">
        <v>1</v>
      </c>
      <c r="D12" s="14">
        <v>0</v>
      </c>
      <c r="E12" s="5">
        <v>5</v>
      </c>
      <c r="F12" s="5">
        <v>5</v>
      </c>
      <c r="G12" s="5">
        <v>5</v>
      </c>
      <c r="H12" s="5">
        <v>5</v>
      </c>
      <c r="I12" s="5">
        <v>5</v>
      </c>
      <c r="J12" s="5">
        <v>5</v>
      </c>
      <c r="K12" s="5">
        <v>5</v>
      </c>
      <c r="L12" s="5">
        <v>5</v>
      </c>
      <c r="M12" s="5">
        <v>5</v>
      </c>
      <c r="N12" s="5">
        <v>5</v>
      </c>
      <c r="O12" s="5">
        <v>5</v>
      </c>
      <c r="P12" s="5">
        <v>5</v>
      </c>
      <c r="Q12" s="12">
        <v>0.90184049079754602</v>
      </c>
      <c r="R12" s="12">
        <v>0.89376053962900504</v>
      </c>
      <c r="S12" s="12">
        <v>0.92254901960784297</v>
      </c>
      <c r="T12" s="12">
        <v>0.92845528455284598</v>
      </c>
      <c r="U12" s="12">
        <v>0.88405797101449302</v>
      </c>
      <c r="V12" s="12">
        <v>1.6E-2</v>
      </c>
      <c r="W12" s="12">
        <v>0.05</v>
      </c>
      <c r="X12" s="12">
        <v>2.7E-2</v>
      </c>
      <c r="Y12" s="12">
        <v>3.6999999999999998E-2</v>
      </c>
      <c r="Z12" s="12">
        <v>4.3999999999999997E-2</v>
      </c>
      <c r="AA12" s="98">
        <f t="shared" si="0"/>
        <v>6.4000000000000003E-3</v>
      </c>
      <c r="AB12" s="98">
        <f t="shared" si="0"/>
        <v>2.0000000000000004E-2</v>
      </c>
      <c r="AC12" s="98">
        <f t="shared" si="0"/>
        <v>1.0800000000000001E-2</v>
      </c>
      <c r="AD12" s="98">
        <f t="shared" si="0"/>
        <v>1.4800000000000001E-2</v>
      </c>
      <c r="AE12" s="98">
        <f t="shared" si="0"/>
        <v>1.7600000000000001E-2</v>
      </c>
      <c r="AF12" s="5">
        <v>5</v>
      </c>
      <c r="AG12" s="15">
        <v>206</v>
      </c>
      <c r="AH12" s="5">
        <v>5</v>
      </c>
      <c r="AI12" s="5">
        <v>5</v>
      </c>
      <c r="AJ12" s="5">
        <v>5</v>
      </c>
      <c r="AK12" s="5">
        <v>5</v>
      </c>
      <c r="AL12" s="5">
        <v>5</v>
      </c>
      <c r="AM12" s="5">
        <v>5</v>
      </c>
      <c r="AN12" s="5">
        <v>5</v>
      </c>
      <c r="AO12" s="5">
        <v>5</v>
      </c>
      <c r="AP12" s="5">
        <v>5</v>
      </c>
      <c r="AQ12" s="5">
        <v>5</v>
      </c>
      <c r="AR12" s="5">
        <v>5</v>
      </c>
      <c r="AS12" s="5">
        <v>5</v>
      </c>
      <c r="AT12" s="5">
        <v>5</v>
      </c>
      <c r="AU12" s="5">
        <v>5</v>
      </c>
      <c r="AV12" s="15"/>
      <c r="AW12" s="234">
        <f t="shared" si="5"/>
        <v>0.1386</v>
      </c>
      <c r="AX12" s="5">
        <v>5</v>
      </c>
      <c r="AY12" s="42">
        <v>206</v>
      </c>
      <c r="AZ12" s="98">
        <f t="shared" si="1"/>
        <v>5.5000000000000002E-5</v>
      </c>
      <c r="BA12" s="98">
        <f t="shared" si="2"/>
        <v>0.1386</v>
      </c>
      <c r="BB12" s="98">
        <v>0</v>
      </c>
      <c r="BC12" s="235">
        <f t="shared" si="6"/>
        <v>1825</v>
      </c>
      <c r="BD12" s="98">
        <f t="shared" si="7"/>
        <v>5</v>
      </c>
      <c r="BE12" s="98">
        <f t="shared" si="8"/>
        <v>5</v>
      </c>
    </row>
    <row r="13" spans="1:57" s="3" customFormat="1" x14ac:dyDescent="0.25">
      <c r="A13" s="44" t="s">
        <v>11</v>
      </c>
      <c r="B13" s="42" t="s">
        <v>1057</v>
      </c>
      <c r="C13" s="42"/>
      <c r="E13" s="5">
        <v>5</v>
      </c>
      <c r="F13" s="5">
        <v>5</v>
      </c>
      <c r="G13" s="5">
        <v>5</v>
      </c>
      <c r="H13" s="5">
        <v>5</v>
      </c>
      <c r="I13" s="5">
        <v>5</v>
      </c>
      <c r="J13" s="5">
        <v>5</v>
      </c>
      <c r="K13" s="5">
        <v>5</v>
      </c>
      <c r="L13" s="5">
        <v>5</v>
      </c>
      <c r="M13" s="5">
        <v>5</v>
      </c>
      <c r="N13" s="5">
        <v>5</v>
      </c>
      <c r="O13" s="5">
        <v>5</v>
      </c>
      <c r="P13" s="5">
        <v>5</v>
      </c>
      <c r="Q13" s="12">
        <v>0.98969072164948502</v>
      </c>
      <c r="R13" s="12">
        <v>0.98540145985401395</v>
      </c>
      <c r="S13" s="12">
        <v>0.95212765957446799</v>
      </c>
      <c r="T13" s="12">
        <v>0.93488372093023298</v>
      </c>
      <c r="U13" s="12">
        <v>0.93722466960352402</v>
      </c>
      <c r="V13" s="12">
        <v>2.7999999999999998E-4</v>
      </c>
      <c r="W13" s="12">
        <v>5.8999999999999999E-3</v>
      </c>
      <c r="X13" s="12">
        <v>2.8E-3</v>
      </c>
      <c r="Y13" s="12">
        <v>4.7999999999999996E-3</v>
      </c>
      <c r="Z13" s="12">
        <v>5.7999999999999996E-3</v>
      </c>
      <c r="AA13" s="98">
        <f t="shared" si="0"/>
        <v>1.12E-4</v>
      </c>
      <c r="AB13" s="98">
        <f t="shared" si="0"/>
        <v>2.3600000000000001E-3</v>
      </c>
      <c r="AC13" s="98">
        <f t="shared" si="0"/>
        <v>1.1200000000000001E-3</v>
      </c>
      <c r="AD13" s="98">
        <f t="shared" si="0"/>
        <v>1.9199999999999998E-3</v>
      </c>
      <c r="AE13" s="98">
        <f t="shared" si="0"/>
        <v>2.32E-3</v>
      </c>
      <c r="AF13" s="5">
        <v>5</v>
      </c>
      <c r="AG13" s="15">
        <v>237</v>
      </c>
      <c r="AH13" s="5">
        <v>5</v>
      </c>
      <c r="AI13" s="5">
        <v>5</v>
      </c>
      <c r="AJ13" s="5">
        <v>5</v>
      </c>
      <c r="AK13" s="5">
        <v>5</v>
      </c>
      <c r="AL13" s="5">
        <v>5</v>
      </c>
      <c r="AM13" s="5">
        <v>5</v>
      </c>
      <c r="AN13" s="5">
        <v>5</v>
      </c>
      <c r="AO13" s="5">
        <v>5</v>
      </c>
      <c r="AP13" s="5">
        <v>5</v>
      </c>
      <c r="AQ13" s="5">
        <v>5</v>
      </c>
      <c r="AR13" s="5">
        <v>5</v>
      </c>
      <c r="AS13" s="5">
        <v>5</v>
      </c>
      <c r="AT13" s="5">
        <v>5</v>
      </c>
      <c r="AU13" s="5">
        <v>5</v>
      </c>
      <c r="AV13" s="15">
        <v>5.0000000000000001E-4</v>
      </c>
      <c r="AW13" s="234">
        <f t="shared" si="5"/>
        <v>0.1386</v>
      </c>
      <c r="AX13" s="5">
        <v>5</v>
      </c>
      <c r="AY13" s="42">
        <v>237</v>
      </c>
      <c r="AZ13" s="98">
        <f t="shared" si="1"/>
        <v>5.5000000000000002E-5</v>
      </c>
      <c r="BA13" s="98">
        <f t="shared" si="2"/>
        <v>0.1386</v>
      </c>
      <c r="BB13" s="98">
        <v>0</v>
      </c>
      <c r="BC13" s="235">
        <f t="shared" si="6"/>
        <v>1825</v>
      </c>
      <c r="BD13" s="98">
        <f t="shared" si="7"/>
        <v>5</v>
      </c>
      <c r="BE13" s="98">
        <f t="shared" si="8"/>
        <v>5</v>
      </c>
    </row>
    <row r="14" spans="1:57" s="3" customFormat="1" x14ac:dyDescent="0.25">
      <c r="A14" s="44" t="s">
        <v>12</v>
      </c>
      <c r="B14" s="42" t="s">
        <v>1057</v>
      </c>
      <c r="C14" s="42"/>
      <c r="E14" s="5">
        <v>5</v>
      </c>
      <c r="F14" s="5">
        <v>5</v>
      </c>
      <c r="G14" s="5">
        <v>5</v>
      </c>
      <c r="H14" s="5">
        <v>5</v>
      </c>
      <c r="I14" s="5">
        <v>5</v>
      </c>
      <c r="J14" s="5">
        <v>5</v>
      </c>
      <c r="K14" s="5">
        <v>5</v>
      </c>
      <c r="L14" s="5">
        <v>5</v>
      </c>
      <c r="M14" s="5">
        <v>5</v>
      </c>
      <c r="N14" s="5">
        <v>5</v>
      </c>
      <c r="O14" s="5">
        <v>5</v>
      </c>
      <c r="P14" s="5">
        <v>5</v>
      </c>
      <c r="Q14" s="12">
        <v>0.93203883495145601</v>
      </c>
      <c r="R14" s="12">
        <v>0.922115384615385</v>
      </c>
      <c r="S14" s="12">
        <v>0.92718446601941695</v>
      </c>
      <c r="T14" s="12">
        <v>0.93043478260869505</v>
      </c>
      <c r="U14" s="12">
        <v>0.88959999999999995</v>
      </c>
      <c r="V14" s="12">
        <v>8.2000000000000007E-3</v>
      </c>
      <c r="W14" s="12">
        <v>4.2000000000000003E-2</v>
      </c>
      <c r="X14" s="12">
        <v>2.3E-2</v>
      </c>
      <c r="Y14" s="12">
        <v>3.1E-2</v>
      </c>
      <c r="Z14" s="12">
        <v>3.6999999999999998E-2</v>
      </c>
      <c r="AA14" s="98">
        <f t="shared" si="0"/>
        <v>3.2800000000000004E-3</v>
      </c>
      <c r="AB14" s="98">
        <f t="shared" si="0"/>
        <v>1.6800000000000002E-2</v>
      </c>
      <c r="AC14" s="98">
        <f t="shared" si="0"/>
        <v>9.1999999999999998E-3</v>
      </c>
      <c r="AD14" s="98">
        <f t="shared" si="0"/>
        <v>1.2400000000000001E-2</v>
      </c>
      <c r="AE14" s="98">
        <f t="shared" si="0"/>
        <v>1.4800000000000001E-2</v>
      </c>
      <c r="AF14" s="5">
        <v>5</v>
      </c>
      <c r="AG14" s="15">
        <v>233</v>
      </c>
      <c r="AH14" s="5">
        <v>5</v>
      </c>
      <c r="AI14" s="5">
        <v>5</v>
      </c>
      <c r="AJ14" s="5">
        <v>5</v>
      </c>
      <c r="AK14" s="5">
        <v>5</v>
      </c>
      <c r="AL14" s="5">
        <v>5</v>
      </c>
      <c r="AM14" s="5">
        <v>5</v>
      </c>
      <c r="AN14" s="5">
        <v>5</v>
      </c>
      <c r="AO14" s="5">
        <v>5</v>
      </c>
      <c r="AP14" s="5">
        <v>5</v>
      </c>
      <c r="AQ14" s="5">
        <v>5</v>
      </c>
      <c r="AR14" s="5">
        <v>5</v>
      </c>
      <c r="AS14" s="5">
        <v>5</v>
      </c>
      <c r="AT14" s="5">
        <v>5</v>
      </c>
      <c r="AU14" s="5">
        <v>5</v>
      </c>
      <c r="AV14" s="15">
        <v>5.0000000000000001E-4</v>
      </c>
      <c r="AW14" s="234">
        <f t="shared" si="5"/>
        <v>0.1386</v>
      </c>
      <c r="AX14" s="5">
        <v>5</v>
      </c>
      <c r="AY14" s="42">
        <v>233</v>
      </c>
      <c r="AZ14" s="98">
        <f t="shared" si="1"/>
        <v>5.5000000000000002E-5</v>
      </c>
      <c r="BA14" s="98">
        <f t="shared" si="2"/>
        <v>0.1386</v>
      </c>
      <c r="BB14" s="98">
        <v>0</v>
      </c>
      <c r="BC14" s="235">
        <f t="shared" si="6"/>
        <v>1825</v>
      </c>
      <c r="BD14" s="98">
        <f t="shared" si="7"/>
        <v>5</v>
      </c>
      <c r="BE14" s="98">
        <f t="shared" si="8"/>
        <v>5</v>
      </c>
    </row>
    <row r="15" spans="1:57" s="3" customFormat="1" x14ac:dyDescent="0.25">
      <c r="A15" s="44" t="s">
        <v>13</v>
      </c>
      <c r="B15" s="42" t="s">
        <v>1057</v>
      </c>
      <c r="C15" s="42"/>
      <c r="E15" s="5">
        <v>5</v>
      </c>
      <c r="F15" s="5">
        <v>5</v>
      </c>
      <c r="G15" s="5">
        <v>5</v>
      </c>
      <c r="H15" s="5">
        <v>5</v>
      </c>
      <c r="I15" s="5">
        <v>5</v>
      </c>
      <c r="J15" s="5">
        <v>5</v>
      </c>
      <c r="K15" s="5">
        <v>5</v>
      </c>
      <c r="L15" s="5">
        <v>5</v>
      </c>
      <c r="M15" s="5">
        <v>5</v>
      </c>
      <c r="N15" s="5">
        <v>5</v>
      </c>
      <c r="O15" s="5">
        <v>5</v>
      </c>
      <c r="P15" s="5">
        <v>5</v>
      </c>
      <c r="Q15" s="12">
        <v>0.9</v>
      </c>
      <c r="R15" s="12">
        <v>0.9</v>
      </c>
      <c r="S15" s="12">
        <v>0.9</v>
      </c>
      <c r="T15" s="12">
        <v>0.9</v>
      </c>
      <c r="U15" s="12">
        <v>0.9</v>
      </c>
      <c r="V15" s="12">
        <v>0</v>
      </c>
      <c r="W15" s="12">
        <v>0</v>
      </c>
      <c r="X15" s="12">
        <v>0</v>
      </c>
      <c r="Y15" s="12">
        <v>0</v>
      </c>
      <c r="Z15" s="12">
        <v>0</v>
      </c>
      <c r="AA15" s="98">
        <f t="shared" si="0"/>
        <v>0</v>
      </c>
      <c r="AB15" s="98">
        <f t="shared" si="0"/>
        <v>0</v>
      </c>
      <c r="AC15" s="98">
        <f t="shared" si="0"/>
        <v>0</v>
      </c>
      <c r="AD15" s="98">
        <f t="shared" si="0"/>
        <v>0</v>
      </c>
      <c r="AE15" s="98">
        <f t="shared" si="0"/>
        <v>0</v>
      </c>
      <c r="AF15" s="5">
        <v>5</v>
      </c>
      <c r="AG15" s="15">
        <v>209</v>
      </c>
      <c r="AH15" s="5">
        <v>5</v>
      </c>
      <c r="AI15" s="5">
        <v>5</v>
      </c>
      <c r="AJ15" s="5">
        <v>5</v>
      </c>
      <c r="AK15" s="5">
        <v>5</v>
      </c>
      <c r="AL15" s="5">
        <v>5</v>
      </c>
      <c r="AM15" s="5">
        <v>5</v>
      </c>
      <c r="AN15" s="5">
        <v>5</v>
      </c>
      <c r="AO15" s="5">
        <v>5</v>
      </c>
      <c r="AP15" s="5">
        <v>5</v>
      </c>
      <c r="AQ15" s="5">
        <v>5</v>
      </c>
      <c r="AR15" s="5">
        <v>5</v>
      </c>
      <c r="AS15" s="5">
        <v>5</v>
      </c>
      <c r="AT15" s="5">
        <v>5</v>
      </c>
      <c r="AU15" s="5">
        <v>5</v>
      </c>
      <c r="AV15" s="15">
        <v>0.2</v>
      </c>
      <c r="AW15" s="234">
        <f t="shared" si="5"/>
        <v>0.1386</v>
      </c>
      <c r="AX15" s="5">
        <v>5</v>
      </c>
      <c r="AY15" s="42">
        <v>209</v>
      </c>
      <c r="AZ15" s="98">
        <f t="shared" si="1"/>
        <v>5.5000000000000002E-5</v>
      </c>
      <c r="BA15" s="98">
        <f t="shared" si="2"/>
        <v>0.1386</v>
      </c>
      <c r="BB15" s="98">
        <v>0</v>
      </c>
      <c r="BC15" s="235">
        <f t="shared" si="6"/>
        <v>1825</v>
      </c>
      <c r="BD15" s="98">
        <f t="shared" si="7"/>
        <v>5</v>
      </c>
      <c r="BE15" s="98">
        <f t="shared" si="8"/>
        <v>5</v>
      </c>
    </row>
    <row r="16" spans="1:57" s="3" customFormat="1" x14ac:dyDescent="0.25">
      <c r="A16" s="44" t="s">
        <v>14</v>
      </c>
      <c r="B16" s="42" t="s">
        <v>1057</v>
      </c>
      <c r="C16" s="42">
        <v>1</v>
      </c>
      <c r="D16" s="14">
        <v>0</v>
      </c>
      <c r="E16" s="5">
        <v>5</v>
      </c>
      <c r="F16" s="5">
        <v>5</v>
      </c>
      <c r="G16" s="5">
        <v>5</v>
      </c>
      <c r="H16" s="5">
        <v>5</v>
      </c>
      <c r="I16" s="5">
        <v>5</v>
      </c>
      <c r="J16" s="5">
        <v>5</v>
      </c>
      <c r="K16" s="5">
        <v>5</v>
      </c>
      <c r="L16" s="5">
        <v>5</v>
      </c>
      <c r="M16" s="5">
        <v>5</v>
      </c>
      <c r="N16" s="5">
        <v>5</v>
      </c>
      <c r="O16" s="5">
        <v>5</v>
      </c>
      <c r="P16" s="5">
        <v>5</v>
      </c>
      <c r="Q16" s="12">
        <v>1</v>
      </c>
      <c r="R16" s="12">
        <v>0.94642857142857095</v>
      </c>
      <c r="S16" s="12">
        <v>0.97425742574257401</v>
      </c>
      <c r="T16" s="12">
        <v>0.94932432432432401</v>
      </c>
      <c r="U16" s="12">
        <v>0.94444444444444398</v>
      </c>
      <c r="V16" s="12">
        <v>9.9999999999999995E-8</v>
      </c>
      <c r="W16" s="12">
        <v>4.4000000000000002E-6</v>
      </c>
      <c r="X16" s="12">
        <v>2.3999999999999999E-6</v>
      </c>
      <c r="Y16" s="12">
        <v>4.0999999999999997E-6</v>
      </c>
      <c r="Z16" s="12">
        <v>4.0999999999999997E-6</v>
      </c>
      <c r="AA16" s="98">
        <f t="shared" si="0"/>
        <v>4.0000000000000001E-8</v>
      </c>
      <c r="AB16" s="98">
        <f t="shared" si="0"/>
        <v>1.7600000000000001E-6</v>
      </c>
      <c r="AC16" s="98">
        <f t="shared" si="0"/>
        <v>9.5999999999999991E-7</v>
      </c>
      <c r="AD16" s="98">
        <f t="shared" si="0"/>
        <v>1.64E-6</v>
      </c>
      <c r="AE16" s="98">
        <f t="shared" si="0"/>
        <v>1.64E-6</v>
      </c>
      <c r="AF16" s="5">
        <v>5</v>
      </c>
      <c r="AG16" s="15">
        <v>210</v>
      </c>
      <c r="AH16" s="5">
        <v>5</v>
      </c>
      <c r="AI16" s="5">
        <v>5</v>
      </c>
      <c r="AJ16" s="5">
        <v>5</v>
      </c>
      <c r="AK16" s="5">
        <v>5</v>
      </c>
      <c r="AL16" s="5">
        <v>5</v>
      </c>
      <c r="AM16" s="5">
        <v>5</v>
      </c>
      <c r="AN16" s="5">
        <v>5</v>
      </c>
      <c r="AO16" s="5">
        <v>5</v>
      </c>
      <c r="AP16" s="5">
        <v>5</v>
      </c>
      <c r="AQ16" s="5">
        <v>5</v>
      </c>
      <c r="AR16" s="5">
        <v>5</v>
      </c>
      <c r="AS16" s="5">
        <v>5</v>
      </c>
      <c r="AT16" s="5">
        <v>5</v>
      </c>
      <c r="AU16" s="5">
        <v>5</v>
      </c>
      <c r="AV16" s="15">
        <v>0.2</v>
      </c>
      <c r="AW16" s="234">
        <f t="shared" si="5"/>
        <v>0.1386</v>
      </c>
      <c r="AX16" s="5">
        <v>5</v>
      </c>
      <c r="AY16" s="42">
        <v>210</v>
      </c>
      <c r="AZ16" s="98">
        <f t="shared" si="1"/>
        <v>5.5000000000000002E-5</v>
      </c>
      <c r="BA16" s="98">
        <f t="shared" si="2"/>
        <v>0.1386</v>
      </c>
      <c r="BB16" s="98">
        <v>0</v>
      </c>
      <c r="BC16" s="235">
        <f t="shared" si="6"/>
        <v>1825</v>
      </c>
      <c r="BD16" s="98">
        <f t="shared" si="7"/>
        <v>5</v>
      </c>
      <c r="BE16" s="98">
        <f t="shared" si="8"/>
        <v>5</v>
      </c>
    </row>
    <row r="17" spans="1:57" s="3" customFormat="1" x14ac:dyDescent="0.25">
      <c r="A17" s="44" t="s">
        <v>15</v>
      </c>
      <c r="B17" s="42" t="s">
        <v>1057</v>
      </c>
      <c r="C17" s="42">
        <v>1</v>
      </c>
      <c r="D17" s="14">
        <v>0.17254619500000001</v>
      </c>
      <c r="E17" s="5">
        <v>5</v>
      </c>
      <c r="F17" s="5">
        <v>5</v>
      </c>
      <c r="G17" s="5">
        <v>5</v>
      </c>
      <c r="H17" s="5">
        <v>5</v>
      </c>
      <c r="I17" s="5">
        <v>5</v>
      </c>
      <c r="J17" s="5">
        <v>5</v>
      </c>
      <c r="K17" s="5">
        <v>5</v>
      </c>
      <c r="L17" s="5">
        <v>5</v>
      </c>
      <c r="M17" s="5">
        <v>5</v>
      </c>
      <c r="N17" s="5">
        <v>5</v>
      </c>
      <c r="O17" s="5">
        <v>5</v>
      </c>
      <c r="P17" s="5">
        <v>5</v>
      </c>
      <c r="Q17" s="12">
        <v>0.901685393258427</v>
      </c>
      <c r="R17" s="12">
        <v>0.92436974789916004</v>
      </c>
      <c r="S17" s="12">
        <v>0.92558139534883699</v>
      </c>
      <c r="T17" s="12">
        <v>0.9296875</v>
      </c>
      <c r="U17" s="12">
        <v>0.87916666666666698</v>
      </c>
      <c r="V17" s="12">
        <v>1.4999999999999999E-2</v>
      </c>
      <c r="W17" s="12">
        <v>4.9000000000000002E-2</v>
      </c>
      <c r="X17" s="12">
        <v>2.8000000000000001E-2</v>
      </c>
      <c r="Y17" s="12">
        <v>3.6999999999999998E-2</v>
      </c>
      <c r="Z17" s="12">
        <v>4.3999999999999997E-2</v>
      </c>
      <c r="AA17" s="98">
        <f t="shared" si="0"/>
        <v>6.0000000000000001E-3</v>
      </c>
      <c r="AB17" s="98">
        <f t="shared" si="0"/>
        <v>1.9600000000000003E-2</v>
      </c>
      <c r="AC17" s="98">
        <f t="shared" si="0"/>
        <v>1.1200000000000002E-2</v>
      </c>
      <c r="AD17" s="98">
        <f t="shared" si="0"/>
        <v>1.4800000000000001E-2</v>
      </c>
      <c r="AE17" s="98">
        <f t="shared" si="0"/>
        <v>1.7600000000000001E-2</v>
      </c>
      <c r="AF17" s="5">
        <v>5</v>
      </c>
      <c r="AG17" s="15">
        <v>214</v>
      </c>
      <c r="AH17" s="5">
        <v>5</v>
      </c>
      <c r="AI17" s="5">
        <v>5</v>
      </c>
      <c r="AJ17" s="5">
        <v>5</v>
      </c>
      <c r="AK17" s="5">
        <v>5</v>
      </c>
      <c r="AL17" s="5">
        <v>5</v>
      </c>
      <c r="AM17" s="5">
        <v>5</v>
      </c>
      <c r="AN17" s="5">
        <v>5</v>
      </c>
      <c r="AO17" s="5">
        <v>5</v>
      </c>
      <c r="AP17" s="5">
        <v>5</v>
      </c>
      <c r="AQ17" s="5">
        <v>5</v>
      </c>
      <c r="AR17" s="5">
        <v>5</v>
      </c>
      <c r="AS17" s="5">
        <v>5</v>
      </c>
      <c r="AT17" s="5">
        <v>5</v>
      </c>
      <c r="AU17" s="5">
        <v>5</v>
      </c>
      <c r="AV17" s="15">
        <v>0.2</v>
      </c>
      <c r="AW17" s="234">
        <f t="shared" si="5"/>
        <v>0.1386</v>
      </c>
      <c r="AX17" s="5">
        <v>5</v>
      </c>
      <c r="AY17" s="42">
        <v>214</v>
      </c>
      <c r="AZ17" s="98">
        <f t="shared" si="1"/>
        <v>5.5000000000000002E-5</v>
      </c>
      <c r="BA17" s="98">
        <f t="shared" si="2"/>
        <v>0.1386</v>
      </c>
      <c r="BB17" s="98">
        <v>0</v>
      </c>
      <c r="BC17" s="235">
        <f t="shared" si="6"/>
        <v>1825</v>
      </c>
      <c r="BD17" s="98">
        <f t="shared" si="7"/>
        <v>5</v>
      </c>
      <c r="BE17" s="98">
        <f t="shared" si="8"/>
        <v>5</v>
      </c>
    </row>
    <row r="18" spans="1:57" s="3" customFormat="1" x14ac:dyDescent="0.25">
      <c r="A18" s="44" t="s">
        <v>16</v>
      </c>
      <c r="B18" s="42" t="s">
        <v>1057</v>
      </c>
      <c r="C18" s="42">
        <v>1</v>
      </c>
      <c r="D18" s="14">
        <v>0</v>
      </c>
      <c r="E18" s="5">
        <v>5</v>
      </c>
      <c r="F18" s="5">
        <v>5</v>
      </c>
      <c r="G18" s="5">
        <v>5</v>
      </c>
      <c r="H18" s="5">
        <v>5</v>
      </c>
      <c r="I18" s="5">
        <v>5</v>
      </c>
      <c r="J18" s="5">
        <v>5</v>
      </c>
      <c r="K18" s="5">
        <v>5</v>
      </c>
      <c r="L18" s="5">
        <v>5</v>
      </c>
      <c r="M18" s="5">
        <v>5</v>
      </c>
      <c r="N18" s="5">
        <v>5</v>
      </c>
      <c r="O18" s="5">
        <v>5</v>
      </c>
      <c r="P18" s="5">
        <v>5</v>
      </c>
      <c r="Q18" s="12">
        <v>0.88135593220339004</v>
      </c>
      <c r="R18" s="12">
        <v>0.93612334801762098</v>
      </c>
      <c r="S18" s="12">
        <v>0.93633952254641895</v>
      </c>
      <c r="T18" s="12">
        <v>0.93013100436681195</v>
      </c>
      <c r="U18" s="12">
        <v>0.94466403162055301</v>
      </c>
      <c r="V18" s="12">
        <v>0.03</v>
      </c>
      <c r="W18" s="12">
        <v>9.5000000000000001E-2</v>
      </c>
      <c r="X18" s="12">
        <v>4.8000000000000001E-2</v>
      </c>
      <c r="Y18" s="12">
        <v>6.9000000000000006E-2</v>
      </c>
      <c r="Z18" s="12">
        <v>8.2000000000000003E-2</v>
      </c>
      <c r="AA18" s="98">
        <f t="shared" ref="AA18:AE30" si="9">0.4*V18</f>
        <v>1.2E-2</v>
      </c>
      <c r="AB18" s="98">
        <f t="shared" si="9"/>
        <v>3.8000000000000006E-2</v>
      </c>
      <c r="AC18" s="98">
        <f t="shared" si="9"/>
        <v>1.9200000000000002E-2</v>
      </c>
      <c r="AD18" s="98">
        <f t="shared" si="9"/>
        <v>2.7600000000000003E-2</v>
      </c>
      <c r="AE18" s="98">
        <f t="shared" si="9"/>
        <v>3.2800000000000003E-2</v>
      </c>
      <c r="AF18" s="5">
        <v>5</v>
      </c>
      <c r="AG18" s="15">
        <v>210</v>
      </c>
      <c r="AH18" s="5">
        <v>5</v>
      </c>
      <c r="AI18" s="5">
        <v>5</v>
      </c>
      <c r="AJ18" s="5">
        <v>5</v>
      </c>
      <c r="AK18" s="5">
        <v>5</v>
      </c>
      <c r="AL18" s="5">
        <v>5</v>
      </c>
      <c r="AM18" s="5">
        <v>5</v>
      </c>
      <c r="AN18" s="5">
        <v>5</v>
      </c>
      <c r="AO18" s="5">
        <v>5</v>
      </c>
      <c r="AP18" s="5">
        <v>5</v>
      </c>
      <c r="AQ18" s="5">
        <v>5</v>
      </c>
      <c r="AR18" s="5">
        <v>5</v>
      </c>
      <c r="AS18" s="5">
        <v>5</v>
      </c>
      <c r="AT18" s="5">
        <v>5</v>
      </c>
      <c r="AU18" s="5">
        <v>5</v>
      </c>
      <c r="AV18" s="15"/>
      <c r="AW18" s="234">
        <f t="shared" si="5"/>
        <v>0.1386</v>
      </c>
      <c r="AX18" s="5">
        <v>5</v>
      </c>
      <c r="AY18" s="42">
        <v>210</v>
      </c>
      <c r="AZ18" s="98">
        <f t="shared" si="1"/>
        <v>5.5000000000000002E-5</v>
      </c>
      <c r="BA18" s="98">
        <f t="shared" si="2"/>
        <v>0.1386</v>
      </c>
      <c r="BB18" s="98">
        <v>0</v>
      </c>
      <c r="BC18" s="235">
        <f t="shared" si="6"/>
        <v>1825</v>
      </c>
      <c r="BD18" s="98">
        <f t="shared" si="7"/>
        <v>5</v>
      </c>
      <c r="BE18" s="98">
        <f t="shared" si="8"/>
        <v>5</v>
      </c>
    </row>
    <row r="19" spans="1:57" s="3" customFormat="1" x14ac:dyDescent="0.25">
      <c r="A19" s="44" t="s">
        <v>17</v>
      </c>
      <c r="B19" s="42" t="s">
        <v>1057</v>
      </c>
      <c r="C19" s="42"/>
      <c r="E19" s="5">
        <v>5</v>
      </c>
      <c r="F19" s="5">
        <v>5</v>
      </c>
      <c r="G19" s="5">
        <v>5</v>
      </c>
      <c r="H19" s="5">
        <v>5</v>
      </c>
      <c r="I19" s="5">
        <v>5</v>
      </c>
      <c r="J19" s="5">
        <v>5</v>
      </c>
      <c r="K19" s="5">
        <v>5</v>
      </c>
      <c r="L19" s="5">
        <v>5</v>
      </c>
      <c r="M19" s="5">
        <v>5</v>
      </c>
      <c r="N19" s="5">
        <v>5</v>
      </c>
      <c r="O19" s="5">
        <v>5</v>
      </c>
      <c r="P19" s="5">
        <v>5</v>
      </c>
      <c r="Q19" s="12">
        <v>0.87991266375545796</v>
      </c>
      <c r="R19" s="12">
        <v>0.93714285714285706</v>
      </c>
      <c r="S19" s="12">
        <v>0.93493150684931503</v>
      </c>
      <c r="T19" s="12">
        <v>0.93220338983050799</v>
      </c>
      <c r="U19" s="12">
        <v>0.94871794871794901</v>
      </c>
      <c r="V19" s="12">
        <v>2.9000000000000001E-2</v>
      </c>
      <c r="W19" s="12">
        <v>9.2999999999999999E-2</v>
      </c>
      <c r="X19" s="12">
        <v>4.7E-2</v>
      </c>
      <c r="Y19" s="12">
        <v>6.8000000000000005E-2</v>
      </c>
      <c r="Z19" s="12">
        <v>0.08</v>
      </c>
      <c r="AA19" s="98">
        <f t="shared" si="9"/>
        <v>1.1600000000000001E-2</v>
      </c>
      <c r="AB19" s="98">
        <f t="shared" si="9"/>
        <v>3.7200000000000004E-2</v>
      </c>
      <c r="AC19" s="98">
        <f t="shared" si="9"/>
        <v>1.8800000000000001E-2</v>
      </c>
      <c r="AD19" s="98">
        <f t="shared" si="9"/>
        <v>2.7200000000000002E-2</v>
      </c>
      <c r="AE19" s="98">
        <f t="shared" si="9"/>
        <v>3.2000000000000001E-2</v>
      </c>
      <c r="AF19" s="5">
        <v>5</v>
      </c>
      <c r="AG19" s="15">
        <v>213</v>
      </c>
      <c r="AH19" s="5">
        <v>5</v>
      </c>
      <c r="AI19" s="5">
        <v>5</v>
      </c>
      <c r="AJ19" s="5">
        <v>5</v>
      </c>
      <c r="AK19" s="5">
        <v>5</v>
      </c>
      <c r="AL19" s="5">
        <v>5</v>
      </c>
      <c r="AM19" s="5">
        <v>5</v>
      </c>
      <c r="AN19" s="5">
        <v>5</v>
      </c>
      <c r="AO19" s="5">
        <v>5</v>
      </c>
      <c r="AP19" s="5">
        <v>5</v>
      </c>
      <c r="AQ19" s="5">
        <v>5</v>
      </c>
      <c r="AR19" s="5">
        <v>5</v>
      </c>
      <c r="AS19" s="5">
        <v>5</v>
      </c>
      <c r="AT19" s="5">
        <v>5</v>
      </c>
      <c r="AU19" s="5">
        <v>5</v>
      </c>
      <c r="AV19" s="15"/>
      <c r="AW19" s="234">
        <f t="shared" si="5"/>
        <v>0.1386</v>
      </c>
      <c r="AX19" s="5">
        <v>5</v>
      </c>
      <c r="AY19" s="42">
        <v>213</v>
      </c>
      <c r="AZ19" s="98">
        <f t="shared" si="1"/>
        <v>5.5000000000000002E-5</v>
      </c>
      <c r="BA19" s="98">
        <f t="shared" si="2"/>
        <v>0.1386</v>
      </c>
      <c r="BB19" s="98">
        <v>0</v>
      </c>
      <c r="BC19" s="235">
        <f t="shared" si="6"/>
        <v>1825</v>
      </c>
      <c r="BD19" s="98">
        <f t="shared" si="7"/>
        <v>5</v>
      </c>
      <c r="BE19" s="98">
        <f t="shared" si="8"/>
        <v>5</v>
      </c>
    </row>
    <row r="20" spans="1:57" s="3" customFormat="1" x14ac:dyDescent="0.25">
      <c r="A20" s="44" t="s">
        <v>18</v>
      </c>
      <c r="B20" s="42" t="s">
        <v>1057</v>
      </c>
      <c r="C20" s="42">
        <v>1</v>
      </c>
      <c r="D20" s="14">
        <v>5.0904440000000002E-2</v>
      </c>
      <c r="E20" s="5">
        <v>5</v>
      </c>
      <c r="F20" s="5">
        <v>5</v>
      </c>
      <c r="G20" s="5">
        <v>5</v>
      </c>
      <c r="H20" s="5">
        <v>5</v>
      </c>
      <c r="I20" s="5">
        <v>5</v>
      </c>
      <c r="J20" s="5">
        <v>5</v>
      </c>
      <c r="K20" s="5">
        <v>5</v>
      </c>
      <c r="L20" s="5">
        <v>5</v>
      </c>
      <c r="M20" s="5">
        <v>5</v>
      </c>
      <c r="N20" s="5">
        <v>5</v>
      </c>
      <c r="O20" s="5">
        <v>5</v>
      </c>
      <c r="P20" s="5">
        <v>5</v>
      </c>
      <c r="Q20" s="12">
        <v>0.87920792079207899</v>
      </c>
      <c r="R20" s="12">
        <v>0.93298969072164994</v>
      </c>
      <c r="S20" s="12">
        <v>0.93633540372670798</v>
      </c>
      <c r="T20" s="12">
        <v>0.930946291560102</v>
      </c>
      <c r="U20" s="12">
        <v>0.94444444444444398</v>
      </c>
      <c r="V20" s="12">
        <v>0.03</v>
      </c>
      <c r="W20" s="12">
        <v>9.5000000000000001E-2</v>
      </c>
      <c r="X20" s="12">
        <v>4.8000000000000001E-2</v>
      </c>
      <c r="Y20" s="12">
        <v>6.9000000000000006E-2</v>
      </c>
      <c r="Z20" s="12">
        <v>8.1000000000000003E-2</v>
      </c>
      <c r="AA20" s="98">
        <f t="shared" si="9"/>
        <v>1.2E-2</v>
      </c>
      <c r="AB20" s="98">
        <f t="shared" si="9"/>
        <v>3.8000000000000006E-2</v>
      </c>
      <c r="AC20" s="98">
        <f t="shared" si="9"/>
        <v>1.9200000000000002E-2</v>
      </c>
      <c r="AD20" s="98">
        <f t="shared" si="9"/>
        <v>2.7600000000000003E-2</v>
      </c>
      <c r="AE20" s="98">
        <f t="shared" si="9"/>
        <v>3.2400000000000005E-2</v>
      </c>
      <c r="AF20" s="5">
        <v>5</v>
      </c>
      <c r="AG20" s="15">
        <v>214</v>
      </c>
      <c r="AH20" s="5">
        <v>5</v>
      </c>
      <c r="AI20" s="5">
        <v>5</v>
      </c>
      <c r="AJ20" s="5">
        <v>5</v>
      </c>
      <c r="AK20" s="5">
        <v>5</v>
      </c>
      <c r="AL20" s="5">
        <v>5</v>
      </c>
      <c r="AM20" s="5">
        <v>5</v>
      </c>
      <c r="AN20" s="5">
        <v>5</v>
      </c>
      <c r="AO20" s="5">
        <v>5</v>
      </c>
      <c r="AP20" s="5">
        <v>5</v>
      </c>
      <c r="AQ20" s="5">
        <v>5</v>
      </c>
      <c r="AR20" s="5">
        <v>5</v>
      </c>
      <c r="AS20" s="5">
        <v>5</v>
      </c>
      <c r="AT20" s="5">
        <v>5</v>
      </c>
      <c r="AU20" s="5">
        <v>5</v>
      </c>
      <c r="AV20" s="15"/>
      <c r="AW20" s="234">
        <f t="shared" si="5"/>
        <v>0.1386</v>
      </c>
      <c r="AX20" s="5">
        <v>5</v>
      </c>
      <c r="AY20" s="42">
        <v>214</v>
      </c>
      <c r="AZ20" s="98">
        <f t="shared" si="1"/>
        <v>5.5000000000000002E-5</v>
      </c>
      <c r="BA20" s="98">
        <f t="shared" si="2"/>
        <v>0.1386</v>
      </c>
      <c r="BB20" s="98">
        <v>0</v>
      </c>
      <c r="BC20" s="235">
        <f t="shared" si="6"/>
        <v>1825</v>
      </c>
      <c r="BD20" s="98">
        <f t="shared" si="7"/>
        <v>5</v>
      </c>
      <c r="BE20" s="98">
        <f t="shared" si="8"/>
        <v>5</v>
      </c>
    </row>
    <row r="21" spans="1:57" s="3" customFormat="1" x14ac:dyDescent="0.25">
      <c r="A21" s="44" t="s">
        <v>19</v>
      </c>
      <c r="B21" s="42" t="s">
        <v>1057</v>
      </c>
      <c r="C21" s="42">
        <v>1</v>
      </c>
      <c r="D21" s="14">
        <v>0.72849330099999998</v>
      </c>
      <c r="E21" s="5">
        <v>5</v>
      </c>
      <c r="F21" s="5">
        <v>5</v>
      </c>
      <c r="G21" s="5">
        <v>5</v>
      </c>
      <c r="H21" s="5">
        <v>5</v>
      </c>
      <c r="I21" s="5">
        <v>5</v>
      </c>
      <c r="J21" s="5">
        <v>5</v>
      </c>
      <c r="K21" s="5">
        <v>5</v>
      </c>
      <c r="L21" s="5">
        <v>5</v>
      </c>
      <c r="M21" s="5">
        <v>5</v>
      </c>
      <c r="N21" s="5">
        <v>5</v>
      </c>
      <c r="O21" s="5">
        <v>5</v>
      </c>
      <c r="P21" s="5">
        <v>5</v>
      </c>
      <c r="Q21" s="12">
        <v>0.9</v>
      </c>
      <c r="R21" s="12">
        <v>0.9</v>
      </c>
      <c r="S21" s="12">
        <v>0.9</v>
      </c>
      <c r="T21" s="12">
        <v>0.9</v>
      </c>
      <c r="U21" s="12">
        <v>0.9</v>
      </c>
      <c r="V21" s="12">
        <v>0</v>
      </c>
      <c r="W21" s="12">
        <v>0</v>
      </c>
      <c r="X21" s="12">
        <v>0</v>
      </c>
      <c r="Y21" s="12">
        <v>0</v>
      </c>
      <c r="Z21" s="12">
        <v>0</v>
      </c>
      <c r="AA21" s="98">
        <f t="shared" si="9"/>
        <v>0</v>
      </c>
      <c r="AB21" s="98">
        <f t="shared" si="9"/>
        <v>0</v>
      </c>
      <c r="AC21" s="98">
        <f t="shared" si="9"/>
        <v>0</v>
      </c>
      <c r="AD21" s="98">
        <f t="shared" si="9"/>
        <v>0</v>
      </c>
      <c r="AE21" s="98">
        <f t="shared" si="9"/>
        <v>0</v>
      </c>
      <c r="AF21" s="5">
        <v>5</v>
      </c>
      <c r="AG21" s="15">
        <v>218</v>
      </c>
      <c r="AH21" s="5">
        <v>5</v>
      </c>
      <c r="AI21" s="5">
        <v>5</v>
      </c>
      <c r="AJ21" s="5">
        <v>5</v>
      </c>
      <c r="AK21" s="5">
        <v>5</v>
      </c>
      <c r="AL21" s="5">
        <v>5</v>
      </c>
      <c r="AM21" s="5">
        <v>5</v>
      </c>
      <c r="AN21" s="5">
        <v>5</v>
      </c>
      <c r="AO21" s="5">
        <v>5</v>
      </c>
      <c r="AP21" s="5">
        <v>5</v>
      </c>
      <c r="AQ21" s="5">
        <v>5</v>
      </c>
      <c r="AR21" s="5">
        <v>5</v>
      </c>
      <c r="AS21" s="5">
        <v>5</v>
      </c>
      <c r="AT21" s="5">
        <v>5</v>
      </c>
      <c r="AU21" s="5">
        <v>5</v>
      </c>
      <c r="AV21" s="15"/>
      <c r="AW21" s="234">
        <f t="shared" si="5"/>
        <v>0.1386</v>
      </c>
      <c r="AX21" s="5">
        <v>5</v>
      </c>
      <c r="AY21" s="42">
        <v>218</v>
      </c>
      <c r="AZ21" s="98">
        <f t="shared" si="1"/>
        <v>5.5000000000000002E-5</v>
      </c>
      <c r="BA21" s="98">
        <f t="shared" si="2"/>
        <v>0.1386</v>
      </c>
      <c r="BB21" s="98">
        <v>0</v>
      </c>
      <c r="BC21" s="235">
        <f t="shared" si="6"/>
        <v>1825</v>
      </c>
      <c r="BD21" s="98">
        <f t="shared" si="7"/>
        <v>5</v>
      </c>
      <c r="BE21" s="98">
        <f t="shared" si="8"/>
        <v>5</v>
      </c>
    </row>
    <row r="22" spans="1:57" s="3" customFormat="1" x14ac:dyDescent="0.25">
      <c r="A22" s="44" t="s">
        <v>20</v>
      </c>
      <c r="B22" s="42" t="s">
        <v>1057</v>
      </c>
      <c r="C22" s="42"/>
      <c r="E22" s="5">
        <v>5</v>
      </c>
      <c r="F22" s="5">
        <v>5</v>
      </c>
      <c r="G22" s="5">
        <v>5</v>
      </c>
      <c r="H22" s="5">
        <v>5</v>
      </c>
      <c r="I22" s="5">
        <v>5</v>
      </c>
      <c r="J22" s="5">
        <v>5</v>
      </c>
      <c r="K22" s="5">
        <v>5</v>
      </c>
      <c r="L22" s="5">
        <v>5</v>
      </c>
      <c r="M22" s="5">
        <v>5</v>
      </c>
      <c r="N22" s="5">
        <v>5</v>
      </c>
      <c r="O22" s="5">
        <v>5</v>
      </c>
      <c r="P22" s="5">
        <v>5</v>
      </c>
      <c r="Q22" s="12">
        <v>0.98748261474269805</v>
      </c>
      <c r="R22" s="12">
        <v>0.86834733893557403</v>
      </c>
      <c r="S22" s="12">
        <v>0.98884758364312197</v>
      </c>
      <c r="T22" s="12">
        <v>0.95495495495495497</v>
      </c>
      <c r="U22" s="12">
        <v>0.95760598503740701</v>
      </c>
      <c r="V22" s="12">
        <v>4.1000000000000003E-9</v>
      </c>
      <c r="W22" s="12">
        <v>2.4E-8</v>
      </c>
      <c r="X22" s="12">
        <v>2.3000000000000001E-8</v>
      </c>
      <c r="Y22" s="12">
        <v>3.1E-8</v>
      </c>
      <c r="Z22" s="12">
        <v>2.9999999999999997E-8</v>
      </c>
      <c r="AA22" s="98">
        <f t="shared" si="9"/>
        <v>1.6400000000000001E-9</v>
      </c>
      <c r="AB22" s="98">
        <f t="shared" si="9"/>
        <v>9.5999999999999999E-9</v>
      </c>
      <c r="AC22" s="98">
        <f t="shared" si="9"/>
        <v>9.2000000000000013E-9</v>
      </c>
      <c r="AD22" s="98">
        <f t="shared" si="9"/>
        <v>1.24E-8</v>
      </c>
      <c r="AE22" s="98">
        <f t="shared" si="9"/>
        <v>1.2E-8</v>
      </c>
      <c r="AF22" s="5">
        <v>5</v>
      </c>
      <c r="AG22" s="15">
        <v>225</v>
      </c>
      <c r="AH22" s="5">
        <v>5</v>
      </c>
      <c r="AI22" s="5">
        <v>5</v>
      </c>
      <c r="AJ22" s="5">
        <v>5</v>
      </c>
      <c r="AK22" s="5">
        <v>5</v>
      </c>
      <c r="AL22" s="5">
        <v>5</v>
      </c>
      <c r="AM22" s="5">
        <v>5</v>
      </c>
      <c r="AN22" s="5">
        <v>5</v>
      </c>
      <c r="AO22" s="5">
        <v>5</v>
      </c>
      <c r="AP22" s="5">
        <v>5</v>
      </c>
      <c r="AQ22" s="5">
        <v>5</v>
      </c>
      <c r="AR22" s="5">
        <v>5</v>
      </c>
      <c r="AS22" s="5">
        <v>5</v>
      </c>
      <c r="AT22" s="5">
        <v>5</v>
      </c>
      <c r="AU22" s="5">
        <v>5</v>
      </c>
      <c r="AV22" s="15">
        <v>0.2</v>
      </c>
      <c r="AW22" s="234">
        <f t="shared" si="5"/>
        <v>0.1386</v>
      </c>
      <c r="AX22" s="5">
        <v>5</v>
      </c>
      <c r="AY22" s="42">
        <v>225</v>
      </c>
      <c r="AZ22" s="98">
        <f t="shared" si="1"/>
        <v>5.5000000000000002E-5</v>
      </c>
      <c r="BA22" s="98">
        <f t="shared" si="2"/>
        <v>0.1386</v>
      </c>
      <c r="BB22" s="98">
        <v>0</v>
      </c>
      <c r="BC22" s="235">
        <f t="shared" si="6"/>
        <v>1825</v>
      </c>
      <c r="BD22" s="98">
        <f>AT22</f>
        <v>5</v>
      </c>
      <c r="BE22" s="98">
        <f t="shared" si="8"/>
        <v>5</v>
      </c>
    </row>
    <row r="23" spans="1:57" s="3" customFormat="1" x14ac:dyDescent="0.25">
      <c r="A23" s="46" t="s">
        <v>21</v>
      </c>
      <c r="B23" s="42" t="s">
        <v>335</v>
      </c>
      <c r="C23" s="42"/>
      <c r="E23" s="5">
        <v>5</v>
      </c>
      <c r="F23" s="5">
        <v>5</v>
      </c>
      <c r="G23" s="5">
        <v>5</v>
      </c>
      <c r="H23" s="5">
        <v>5</v>
      </c>
      <c r="I23" s="5">
        <v>5</v>
      </c>
      <c r="J23" s="5">
        <v>5</v>
      </c>
      <c r="K23" s="5">
        <v>5</v>
      </c>
      <c r="L23" s="5">
        <v>5</v>
      </c>
      <c r="M23" s="5">
        <v>5</v>
      </c>
      <c r="N23" s="5">
        <v>5</v>
      </c>
      <c r="O23" s="5">
        <v>5</v>
      </c>
      <c r="P23" s="5">
        <v>5</v>
      </c>
      <c r="Q23" s="12">
        <v>0.927927927927928</v>
      </c>
      <c r="R23" s="12">
        <v>0.82729805013927604</v>
      </c>
      <c r="S23" s="12">
        <v>0.88145896656534894</v>
      </c>
      <c r="T23" s="12">
        <v>0.89258312020460395</v>
      </c>
      <c r="U23" s="12">
        <v>0.88349514563106801</v>
      </c>
      <c r="V23" s="12">
        <v>3.5000000000000003E-2</v>
      </c>
      <c r="W23" s="12">
        <v>0.11</v>
      </c>
      <c r="X23" s="12">
        <v>5.8000000000000003E-2</v>
      </c>
      <c r="Y23" s="12">
        <v>8.1000000000000003E-2</v>
      </c>
      <c r="Z23" s="12">
        <v>0.1</v>
      </c>
      <c r="AA23" s="98">
        <f t="shared" si="9"/>
        <v>1.4000000000000002E-2</v>
      </c>
      <c r="AB23" s="98">
        <f t="shared" si="9"/>
        <v>4.4000000000000004E-2</v>
      </c>
      <c r="AC23" s="98">
        <f t="shared" si="9"/>
        <v>2.3200000000000002E-2</v>
      </c>
      <c r="AD23" s="98">
        <f t="shared" si="9"/>
        <v>3.2400000000000005E-2</v>
      </c>
      <c r="AE23" s="98">
        <f t="shared" si="9"/>
        <v>4.0000000000000008E-2</v>
      </c>
      <c r="AF23" s="5">
        <v>5</v>
      </c>
      <c r="AG23" s="15">
        <v>226</v>
      </c>
      <c r="AH23" s="5">
        <v>5</v>
      </c>
      <c r="AI23" s="5">
        <v>5</v>
      </c>
      <c r="AJ23" s="5">
        <v>5</v>
      </c>
      <c r="AK23" s="5">
        <v>5</v>
      </c>
      <c r="AL23" s="5">
        <v>5</v>
      </c>
      <c r="AM23" s="5">
        <v>5</v>
      </c>
      <c r="AN23" s="5">
        <v>5</v>
      </c>
      <c r="AO23" s="5">
        <v>5</v>
      </c>
      <c r="AP23" s="5">
        <v>5</v>
      </c>
      <c r="AQ23" s="5">
        <v>5</v>
      </c>
      <c r="AR23" s="5">
        <v>5</v>
      </c>
      <c r="AS23" s="5">
        <v>5</v>
      </c>
      <c r="AT23" s="5">
        <v>5</v>
      </c>
      <c r="AU23" s="5">
        <v>5</v>
      </c>
      <c r="AV23" s="15">
        <v>0.2</v>
      </c>
      <c r="AW23" s="234">
        <f t="shared" si="5"/>
        <v>0.1386</v>
      </c>
      <c r="AX23" s="5">
        <v>5</v>
      </c>
      <c r="AY23" s="42">
        <v>226</v>
      </c>
      <c r="AZ23" s="98">
        <f t="shared" si="1"/>
        <v>5.5000000000000002E-5</v>
      </c>
      <c r="BA23" s="98">
        <f t="shared" si="2"/>
        <v>0.1386</v>
      </c>
      <c r="BB23" s="98">
        <v>0</v>
      </c>
      <c r="BC23" s="235">
        <f t="shared" si="6"/>
        <v>1825</v>
      </c>
      <c r="BD23" s="98">
        <f t="shared" ref="BD23:BD30" si="10">AT23</f>
        <v>5</v>
      </c>
      <c r="BE23" s="98">
        <f t="shared" si="8"/>
        <v>5</v>
      </c>
    </row>
    <row r="24" spans="1:57" s="3" customFormat="1" x14ac:dyDescent="0.25">
      <c r="A24" s="44" t="s">
        <v>22</v>
      </c>
      <c r="B24" s="42" t="s">
        <v>1057</v>
      </c>
      <c r="C24" s="42">
        <v>1</v>
      </c>
      <c r="D24" s="14">
        <v>1.4525200000000001E-7</v>
      </c>
      <c r="E24" s="5">
        <v>5</v>
      </c>
      <c r="F24" s="5">
        <v>5</v>
      </c>
      <c r="G24" s="5">
        <v>5</v>
      </c>
      <c r="H24" s="5">
        <v>5</v>
      </c>
      <c r="I24" s="5">
        <v>5</v>
      </c>
      <c r="J24" s="5">
        <v>5</v>
      </c>
      <c r="K24" s="5">
        <v>5</v>
      </c>
      <c r="L24" s="5">
        <v>5</v>
      </c>
      <c r="M24" s="5">
        <v>5</v>
      </c>
      <c r="N24" s="5">
        <v>5</v>
      </c>
      <c r="O24" s="5">
        <v>5</v>
      </c>
      <c r="P24" s="5">
        <v>5</v>
      </c>
      <c r="Q24" s="12">
        <v>0.886075949367089</v>
      </c>
      <c r="R24" s="12">
        <v>0.91340782122904995</v>
      </c>
      <c r="S24" s="12">
        <v>0.93388429752066104</v>
      </c>
      <c r="T24" s="12">
        <v>0.91913746630727799</v>
      </c>
      <c r="U24" s="12">
        <v>0.95499999999999996</v>
      </c>
      <c r="V24" s="12">
        <v>2.5999999999999999E-2</v>
      </c>
      <c r="W24" s="12">
        <v>7.5999999999999998E-2</v>
      </c>
      <c r="X24" s="12">
        <v>4.1000000000000002E-2</v>
      </c>
      <c r="Y24" s="12">
        <v>5.8999999999999997E-2</v>
      </c>
      <c r="Z24" s="12">
        <v>6.8000000000000005E-2</v>
      </c>
      <c r="AA24" s="98">
        <f t="shared" si="9"/>
        <v>1.04E-2</v>
      </c>
      <c r="AB24" s="98">
        <f t="shared" si="9"/>
        <v>3.04E-2</v>
      </c>
      <c r="AC24" s="98">
        <f t="shared" si="9"/>
        <v>1.6400000000000001E-2</v>
      </c>
      <c r="AD24" s="98">
        <f t="shared" si="9"/>
        <v>2.3599999999999999E-2</v>
      </c>
      <c r="AE24" s="98">
        <f t="shared" si="9"/>
        <v>2.7200000000000002E-2</v>
      </c>
      <c r="AF24" s="5">
        <v>5</v>
      </c>
      <c r="AG24" s="15">
        <v>218</v>
      </c>
      <c r="AH24" s="5">
        <v>5</v>
      </c>
      <c r="AI24" s="5">
        <v>5</v>
      </c>
      <c r="AJ24" s="5">
        <v>5</v>
      </c>
      <c r="AK24" s="5">
        <v>5</v>
      </c>
      <c r="AL24" s="5">
        <v>5</v>
      </c>
      <c r="AM24" s="5">
        <v>5</v>
      </c>
      <c r="AN24" s="5">
        <v>5</v>
      </c>
      <c r="AO24" s="5">
        <v>5</v>
      </c>
      <c r="AP24" s="5">
        <v>5</v>
      </c>
      <c r="AQ24" s="5">
        <v>5</v>
      </c>
      <c r="AR24" s="5">
        <v>5</v>
      </c>
      <c r="AS24" s="5">
        <v>5</v>
      </c>
      <c r="AT24" s="5">
        <v>5</v>
      </c>
      <c r="AU24" s="5">
        <v>5</v>
      </c>
      <c r="AV24" s="15"/>
      <c r="AW24" s="234">
        <f t="shared" si="5"/>
        <v>0.1386</v>
      </c>
      <c r="AX24" s="5">
        <v>5</v>
      </c>
      <c r="AY24" s="42">
        <v>218</v>
      </c>
      <c r="AZ24" s="98">
        <f t="shared" si="1"/>
        <v>5.5000000000000002E-5</v>
      </c>
      <c r="BA24" s="98">
        <f t="shared" si="2"/>
        <v>0.1386</v>
      </c>
      <c r="BB24" s="98">
        <v>0</v>
      </c>
      <c r="BC24" s="235">
        <f t="shared" si="6"/>
        <v>1825</v>
      </c>
      <c r="BD24" s="98">
        <f t="shared" si="10"/>
        <v>5</v>
      </c>
      <c r="BE24" s="98">
        <f t="shared" si="8"/>
        <v>5</v>
      </c>
    </row>
    <row r="25" spans="1:57" s="3" customFormat="1" x14ac:dyDescent="0.25">
      <c r="A25" s="46" t="s">
        <v>23</v>
      </c>
      <c r="B25" s="42" t="s">
        <v>335</v>
      </c>
      <c r="C25" s="42">
        <v>1</v>
      </c>
      <c r="D25" s="14">
        <v>1</v>
      </c>
      <c r="E25" s="5">
        <v>5</v>
      </c>
      <c r="F25" s="5">
        <v>5</v>
      </c>
      <c r="G25" s="5">
        <v>5</v>
      </c>
      <c r="H25" s="5">
        <v>5</v>
      </c>
      <c r="I25" s="5">
        <v>5</v>
      </c>
      <c r="J25" s="5">
        <v>5</v>
      </c>
      <c r="K25" s="5">
        <v>5</v>
      </c>
      <c r="L25" s="5">
        <v>5</v>
      </c>
      <c r="M25" s="5">
        <v>5</v>
      </c>
      <c r="N25" s="5">
        <v>5</v>
      </c>
      <c r="O25" s="5">
        <v>5</v>
      </c>
      <c r="P25" s="5">
        <v>5</v>
      </c>
      <c r="Q25" s="12">
        <v>0.881287726358149</v>
      </c>
      <c r="R25" s="12">
        <v>0.94318181818181801</v>
      </c>
      <c r="S25" s="12">
        <v>0.93949044585987296</v>
      </c>
      <c r="T25" s="12">
        <v>0.93193717277486898</v>
      </c>
      <c r="U25" s="12">
        <v>0.91981132075471705</v>
      </c>
      <c r="V25" s="12">
        <v>2.1999999999999999E-2</v>
      </c>
      <c r="W25" s="12">
        <v>6.6000000000000003E-2</v>
      </c>
      <c r="X25" s="12">
        <v>3.6999999999999998E-2</v>
      </c>
      <c r="Y25" s="12">
        <v>5.1999999999999998E-2</v>
      </c>
      <c r="Z25" s="12">
        <v>5.8999999999999997E-2</v>
      </c>
      <c r="AA25" s="98">
        <f t="shared" si="9"/>
        <v>8.8000000000000005E-3</v>
      </c>
      <c r="AB25" s="98">
        <f t="shared" si="9"/>
        <v>2.6400000000000003E-2</v>
      </c>
      <c r="AC25" s="98">
        <f t="shared" si="9"/>
        <v>1.4800000000000001E-2</v>
      </c>
      <c r="AD25" s="98">
        <f t="shared" si="9"/>
        <v>2.0799999999999999E-2</v>
      </c>
      <c r="AE25" s="98">
        <f t="shared" si="9"/>
        <v>2.3599999999999999E-2</v>
      </c>
      <c r="AF25" s="5">
        <v>5</v>
      </c>
      <c r="AG25" s="15">
        <v>222</v>
      </c>
      <c r="AH25" s="5">
        <v>5</v>
      </c>
      <c r="AI25" s="5">
        <v>5</v>
      </c>
      <c r="AJ25" s="5">
        <v>5</v>
      </c>
      <c r="AK25" s="5">
        <v>5</v>
      </c>
      <c r="AL25" s="5">
        <v>5</v>
      </c>
      <c r="AM25" s="5">
        <v>5</v>
      </c>
      <c r="AN25" s="5">
        <v>5</v>
      </c>
      <c r="AO25" s="5">
        <v>5</v>
      </c>
      <c r="AP25" s="5">
        <v>5</v>
      </c>
      <c r="AQ25" s="5">
        <v>5</v>
      </c>
      <c r="AR25" s="5">
        <v>5</v>
      </c>
      <c r="AS25" s="5">
        <v>5</v>
      </c>
      <c r="AT25" s="5">
        <v>5</v>
      </c>
      <c r="AU25" s="5">
        <v>5</v>
      </c>
      <c r="AV25" s="15"/>
      <c r="AW25" s="234">
        <f t="shared" si="5"/>
        <v>0.1386</v>
      </c>
      <c r="AX25" s="5">
        <v>5</v>
      </c>
      <c r="AY25" s="42">
        <v>222</v>
      </c>
      <c r="AZ25" s="98">
        <f t="shared" si="1"/>
        <v>5.5000000000000002E-5</v>
      </c>
      <c r="BA25" s="98">
        <f t="shared" si="2"/>
        <v>0.1386</v>
      </c>
      <c r="BB25" s="98">
        <v>0</v>
      </c>
      <c r="BC25" s="235">
        <f t="shared" si="6"/>
        <v>1825</v>
      </c>
      <c r="BD25" s="98">
        <f t="shared" si="10"/>
        <v>5</v>
      </c>
      <c r="BE25" s="98">
        <f t="shared" si="8"/>
        <v>5</v>
      </c>
    </row>
    <row r="26" spans="1:57" s="3" customFormat="1" x14ac:dyDescent="0.25">
      <c r="A26" s="44" t="s">
        <v>24</v>
      </c>
      <c r="B26" s="42" t="s">
        <v>1057</v>
      </c>
      <c r="C26" s="42"/>
      <c r="E26" s="5">
        <v>5</v>
      </c>
      <c r="F26" s="5">
        <v>5</v>
      </c>
      <c r="G26" s="5">
        <v>5</v>
      </c>
      <c r="H26" s="5">
        <v>5</v>
      </c>
      <c r="I26" s="5">
        <v>5</v>
      </c>
      <c r="J26" s="5">
        <v>5</v>
      </c>
      <c r="K26" s="5">
        <v>5</v>
      </c>
      <c r="L26" s="5">
        <v>5</v>
      </c>
      <c r="M26" s="5">
        <v>5</v>
      </c>
      <c r="N26" s="5">
        <v>5</v>
      </c>
      <c r="O26" s="5">
        <v>5</v>
      </c>
      <c r="P26" s="5">
        <v>5</v>
      </c>
      <c r="Q26" s="12">
        <v>0.97538461538461496</v>
      </c>
      <c r="R26" s="12">
        <v>0.95145631067961201</v>
      </c>
      <c r="S26" s="12">
        <v>0.91964285714285698</v>
      </c>
      <c r="T26" s="12">
        <v>0.91074681238615696</v>
      </c>
      <c r="U26" s="12">
        <v>0.91954022988505801</v>
      </c>
      <c r="V26" s="12">
        <v>1.1000000000000001E-3</v>
      </c>
      <c r="W26" s="12">
        <v>1.2E-2</v>
      </c>
      <c r="X26" s="12">
        <v>6.7999999999999996E-3</v>
      </c>
      <c r="Y26" s="12">
        <v>9.4999999999999998E-3</v>
      </c>
      <c r="Z26" s="12">
        <v>1.0999999999999999E-2</v>
      </c>
      <c r="AA26" s="98">
        <f t="shared" si="9"/>
        <v>4.4000000000000007E-4</v>
      </c>
      <c r="AB26" s="98">
        <f t="shared" si="9"/>
        <v>4.8000000000000004E-3</v>
      </c>
      <c r="AC26" s="98">
        <f t="shared" si="9"/>
        <v>2.7200000000000002E-3</v>
      </c>
      <c r="AD26" s="98">
        <f t="shared" si="9"/>
        <v>3.8E-3</v>
      </c>
      <c r="AE26" s="98">
        <f t="shared" si="9"/>
        <v>4.4000000000000003E-3</v>
      </c>
      <c r="AF26" s="5">
        <v>5</v>
      </c>
      <c r="AG26" s="15">
        <v>229</v>
      </c>
      <c r="AH26" s="5">
        <v>5</v>
      </c>
      <c r="AI26" s="5">
        <v>5</v>
      </c>
      <c r="AJ26" s="5">
        <v>5</v>
      </c>
      <c r="AK26" s="5">
        <v>5</v>
      </c>
      <c r="AL26" s="5">
        <v>5</v>
      </c>
      <c r="AM26" s="5">
        <v>5</v>
      </c>
      <c r="AN26" s="5">
        <v>5</v>
      </c>
      <c r="AO26" s="5">
        <v>5</v>
      </c>
      <c r="AP26" s="5">
        <v>5</v>
      </c>
      <c r="AQ26" s="5">
        <v>5</v>
      </c>
      <c r="AR26" s="5">
        <v>5</v>
      </c>
      <c r="AS26" s="5">
        <v>5</v>
      </c>
      <c r="AT26" s="5">
        <v>5</v>
      </c>
      <c r="AU26" s="5">
        <v>5</v>
      </c>
      <c r="AV26" s="15">
        <v>5.0000000000000001E-4</v>
      </c>
      <c r="AW26" s="234">
        <f t="shared" si="5"/>
        <v>0.1386</v>
      </c>
      <c r="AX26" s="5">
        <v>5</v>
      </c>
      <c r="AY26" s="42">
        <v>229</v>
      </c>
      <c r="AZ26" s="98">
        <f t="shared" si="1"/>
        <v>5.5000000000000002E-5</v>
      </c>
      <c r="BA26" s="98">
        <f t="shared" si="2"/>
        <v>0.1386</v>
      </c>
      <c r="BB26" s="98">
        <v>0</v>
      </c>
      <c r="BC26" s="235">
        <f t="shared" si="6"/>
        <v>1825</v>
      </c>
      <c r="BD26" s="98">
        <f t="shared" si="10"/>
        <v>5</v>
      </c>
      <c r="BE26" s="98">
        <f t="shared" si="8"/>
        <v>5</v>
      </c>
    </row>
    <row r="27" spans="1:57" s="3" customFormat="1" x14ac:dyDescent="0.25">
      <c r="A27" s="44" t="s">
        <v>25</v>
      </c>
      <c r="B27" s="42" t="s">
        <v>1057</v>
      </c>
      <c r="C27" s="42">
        <v>1</v>
      </c>
      <c r="D27" s="14">
        <v>0</v>
      </c>
      <c r="E27" s="5">
        <v>5</v>
      </c>
      <c r="F27" s="5">
        <v>5</v>
      </c>
      <c r="G27" s="5">
        <v>5</v>
      </c>
      <c r="H27" s="5">
        <v>5</v>
      </c>
      <c r="I27" s="5">
        <v>5</v>
      </c>
      <c r="J27" s="5">
        <v>5</v>
      </c>
      <c r="K27" s="5">
        <v>5</v>
      </c>
      <c r="L27" s="5">
        <v>5</v>
      </c>
      <c r="M27" s="5">
        <v>5</v>
      </c>
      <c r="N27" s="5">
        <v>5</v>
      </c>
      <c r="O27" s="5">
        <v>5</v>
      </c>
      <c r="P27" s="5">
        <v>5</v>
      </c>
      <c r="Q27" s="12">
        <v>0.94202898550724601</v>
      </c>
      <c r="R27" s="12">
        <v>0.96767241379310298</v>
      </c>
      <c r="S27" s="12">
        <v>0.91346153846153799</v>
      </c>
      <c r="T27" s="12">
        <v>0.90301003344481601</v>
      </c>
      <c r="U27" s="12">
        <v>0.91029900332225899</v>
      </c>
      <c r="V27" s="12">
        <v>6.1999999999999998E-3</v>
      </c>
      <c r="W27" s="12">
        <v>5.6000000000000001E-2</v>
      </c>
      <c r="X27" s="12">
        <v>0.02</v>
      </c>
      <c r="Y27" s="12">
        <v>3.3000000000000002E-2</v>
      </c>
      <c r="Z27" s="12">
        <v>4.4999999999999998E-2</v>
      </c>
      <c r="AA27" s="98">
        <f t="shared" si="9"/>
        <v>2.48E-3</v>
      </c>
      <c r="AB27" s="98">
        <f t="shared" si="9"/>
        <v>2.2400000000000003E-2</v>
      </c>
      <c r="AC27" s="98">
        <f t="shared" si="9"/>
        <v>8.0000000000000002E-3</v>
      </c>
      <c r="AD27" s="98">
        <f t="shared" si="9"/>
        <v>1.3200000000000002E-2</v>
      </c>
      <c r="AE27" s="98">
        <f t="shared" si="9"/>
        <v>1.7999999999999999E-2</v>
      </c>
      <c r="AF27" s="5">
        <v>5</v>
      </c>
      <c r="AG27" s="15">
        <v>206</v>
      </c>
      <c r="AH27" s="5">
        <v>5</v>
      </c>
      <c r="AI27" s="5">
        <v>5</v>
      </c>
      <c r="AJ27" s="5">
        <v>5</v>
      </c>
      <c r="AK27" s="5">
        <v>5</v>
      </c>
      <c r="AL27" s="5">
        <v>5</v>
      </c>
      <c r="AM27" s="5">
        <v>5</v>
      </c>
      <c r="AN27" s="5">
        <v>5</v>
      </c>
      <c r="AO27" s="5">
        <v>5</v>
      </c>
      <c r="AP27" s="5">
        <v>5</v>
      </c>
      <c r="AQ27" s="5">
        <v>5</v>
      </c>
      <c r="AR27" s="5">
        <v>5</v>
      </c>
      <c r="AS27" s="5">
        <v>5</v>
      </c>
      <c r="AT27" s="5">
        <v>5</v>
      </c>
      <c r="AU27" s="5">
        <v>5</v>
      </c>
      <c r="AV27" s="15"/>
      <c r="AW27" s="234">
        <f t="shared" si="5"/>
        <v>0.1386</v>
      </c>
      <c r="AX27" s="5">
        <v>5</v>
      </c>
      <c r="AY27" s="42">
        <v>206</v>
      </c>
      <c r="AZ27" s="98">
        <f t="shared" si="1"/>
        <v>5.5000000000000002E-5</v>
      </c>
      <c r="BA27" s="98">
        <f t="shared" si="2"/>
        <v>0.1386</v>
      </c>
      <c r="BB27" s="98">
        <v>0</v>
      </c>
      <c r="BC27" s="235">
        <f t="shared" si="6"/>
        <v>1825</v>
      </c>
      <c r="BD27" s="98">
        <f t="shared" si="10"/>
        <v>5</v>
      </c>
      <c r="BE27" s="98">
        <f t="shared" si="8"/>
        <v>5</v>
      </c>
    </row>
    <row r="28" spans="1:57" s="3" customFormat="1" x14ac:dyDescent="0.25">
      <c r="A28" s="44" t="s">
        <v>26</v>
      </c>
      <c r="B28" s="42" t="s">
        <v>1057</v>
      </c>
      <c r="C28" s="42"/>
      <c r="E28" s="5">
        <v>5</v>
      </c>
      <c r="F28" s="5">
        <v>5</v>
      </c>
      <c r="G28" s="5">
        <v>5</v>
      </c>
      <c r="H28" s="5">
        <v>5</v>
      </c>
      <c r="I28" s="5">
        <v>5</v>
      </c>
      <c r="J28" s="5">
        <v>5</v>
      </c>
      <c r="K28" s="5">
        <v>5</v>
      </c>
      <c r="L28" s="5">
        <v>5</v>
      </c>
      <c r="M28" s="5">
        <v>5</v>
      </c>
      <c r="N28" s="5">
        <v>5</v>
      </c>
      <c r="O28" s="5">
        <v>5</v>
      </c>
      <c r="P28" s="5">
        <v>5</v>
      </c>
      <c r="Q28" s="12">
        <v>0.86776859504132198</v>
      </c>
      <c r="R28" s="12">
        <v>0.94199999999999995</v>
      </c>
      <c r="S28" s="12">
        <v>0.93081761006289299</v>
      </c>
      <c r="T28" s="12">
        <v>0.94166666666666698</v>
      </c>
      <c r="U28" s="12">
        <v>0.91360294117647101</v>
      </c>
      <c r="V28" s="12">
        <v>3.5999999999999997E-2</v>
      </c>
      <c r="W28" s="12">
        <v>0.13</v>
      </c>
      <c r="X28" s="12">
        <v>5.8999999999999997E-2</v>
      </c>
      <c r="Y28" s="12">
        <v>8.4000000000000005E-2</v>
      </c>
      <c r="Z28" s="12">
        <v>0.1</v>
      </c>
      <c r="AA28" s="98">
        <f t="shared" si="9"/>
        <v>1.44E-2</v>
      </c>
      <c r="AB28" s="98">
        <f t="shared" si="9"/>
        <v>5.2000000000000005E-2</v>
      </c>
      <c r="AC28" s="98">
        <f t="shared" si="9"/>
        <v>2.3599999999999999E-2</v>
      </c>
      <c r="AD28" s="98">
        <f t="shared" si="9"/>
        <v>3.3600000000000005E-2</v>
      </c>
      <c r="AE28" s="98">
        <f t="shared" si="9"/>
        <v>4.0000000000000008E-2</v>
      </c>
      <c r="AF28" s="5">
        <v>5</v>
      </c>
      <c r="AG28" s="15">
        <v>209</v>
      </c>
      <c r="AH28" s="5">
        <v>5</v>
      </c>
      <c r="AI28" s="5">
        <v>5</v>
      </c>
      <c r="AJ28" s="5">
        <v>5</v>
      </c>
      <c r="AK28" s="5">
        <v>5</v>
      </c>
      <c r="AL28" s="5">
        <v>5</v>
      </c>
      <c r="AM28" s="5">
        <v>5</v>
      </c>
      <c r="AN28" s="5">
        <v>5</v>
      </c>
      <c r="AO28" s="5">
        <v>5</v>
      </c>
      <c r="AP28" s="5">
        <v>5</v>
      </c>
      <c r="AQ28" s="5">
        <v>5</v>
      </c>
      <c r="AR28" s="5">
        <v>5</v>
      </c>
      <c r="AS28" s="5">
        <v>5</v>
      </c>
      <c r="AT28" s="5">
        <v>5</v>
      </c>
      <c r="AU28" s="5">
        <v>5</v>
      </c>
      <c r="AV28" s="15"/>
      <c r="AW28" s="234">
        <f t="shared" si="5"/>
        <v>0.1386</v>
      </c>
      <c r="AX28" s="5">
        <v>5</v>
      </c>
      <c r="AY28" s="42">
        <v>209</v>
      </c>
      <c r="AZ28" s="98">
        <f t="shared" si="1"/>
        <v>5.5000000000000002E-5</v>
      </c>
      <c r="BA28" s="98">
        <f t="shared" si="2"/>
        <v>0.1386</v>
      </c>
      <c r="BB28" s="98">
        <v>0</v>
      </c>
      <c r="BC28" s="235">
        <f t="shared" si="6"/>
        <v>1825</v>
      </c>
      <c r="BD28" s="98">
        <f t="shared" si="10"/>
        <v>5</v>
      </c>
      <c r="BE28" s="98">
        <f t="shared" si="8"/>
        <v>5</v>
      </c>
    </row>
    <row r="29" spans="1:57" s="3" customFormat="1" x14ac:dyDescent="0.25">
      <c r="A29" s="44" t="s">
        <v>27</v>
      </c>
      <c r="B29" s="42" t="s">
        <v>1057</v>
      </c>
      <c r="C29" s="42">
        <v>1</v>
      </c>
      <c r="D29" s="14">
        <v>9.2449899999999997E-6</v>
      </c>
      <c r="E29" s="5">
        <v>5</v>
      </c>
      <c r="F29" s="5">
        <v>5</v>
      </c>
      <c r="G29" s="5">
        <v>5</v>
      </c>
      <c r="H29" s="5">
        <v>5</v>
      </c>
      <c r="I29" s="5">
        <v>5</v>
      </c>
      <c r="J29" s="5">
        <v>5</v>
      </c>
      <c r="K29" s="5">
        <v>5</v>
      </c>
      <c r="L29" s="5">
        <v>5</v>
      </c>
      <c r="M29" s="5">
        <v>5</v>
      </c>
      <c r="N29" s="5">
        <v>5</v>
      </c>
      <c r="O29" s="5">
        <v>5</v>
      </c>
      <c r="P29" s="5">
        <v>5</v>
      </c>
      <c r="Q29" s="12">
        <v>0.87301587301587302</v>
      </c>
      <c r="R29" s="12">
        <v>0.93846153846153801</v>
      </c>
      <c r="S29" s="12">
        <v>0.94059405940594099</v>
      </c>
      <c r="T29" s="12">
        <v>0.94308943089430897</v>
      </c>
      <c r="U29" s="12">
        <v>0.93390804597701205</v>
      </c>
      <c r="V29" s="12">
        <v>3.5999999999999997E-2</v>
      </c>
      <c r="W29" s="12">
        <v>0.12</v>
      </c>
      <c r="X29" s="12">
        <v>0.06</v>
      </c>
      <c r="Y29" s="12">
        <v>8.4000000000000005E-2</v>
      </c>
      <c r="Z29" s="12">
        <v>0.1</v>
      </c>
      <c r="AA29" s="98">
        <f t="shared" si="9"/>
        <v>1.44E-2</v>
      </c>
      <c r="AB29" s="98">
        <f t="shared" si="9"/>
        <v>4.8000000000000001E-2</v>
      </c>
      <c r="AC29" s="98">
        <f t="shared" si="9"/>
        <v>2.4E-2</v>
      </c>
      <c r="AD29" s="98">
        <f t="shared" si="9"/>
        <v>3.3600000000000005E-2</v>
      </c>
      <c r="AE29" s="98">
        <f t="shared" si="9"/>
        <v>4.0000000000000008E-2</v>
      </c>
      <c r="AF29" s="5">
        <v>5</v>
      </c>
      <c r="AG29" s="15">
        <v>210</v>
      </c>
      <c r="AH29" s="5">
        <v>5</v>
      </c>
      <c r="AI29" s="5">
        <v>5</v>
      </c>
      <c r="AJ29" s="5">
        <v>5</v>
      </c>
      <c r="AK29" s="5">
        <v>5</v>
      </c>
      <c r="AL29" s="5">
        <v>5</v>
      </c>
      <c r="AM29" s="5">
        <v>5</v>
      </c>
      <c r="AN29" s="5">
        <v>5</v>
      </c>
      <c r="AO29" s="5">
        <v>5</v>
      </c>
      <c r="AP29" s="5">
        <v>5</v>
      </c>
      <c r="AQ29" s="5">
        <v>5</v>
      </c>
      <c r="AR29" s="5">
        <v>5</v>
      </c>
      <c r="AS29" s="5">
        <v>5</v>
      </c>
      <c r="AT29" s="5">
        <v>5</v>
      </c>
      <c r="AU29" s="5">
        <v>5</v>
      </c>
      <c r="AV29" s="15"/>
      <c r="AW29" s="234">
        <f t="shared" si="5"/>
        <v>0.1386</v>
      </c>
      <c r="AX29" s="5">
        <v>5</v>
      </c>
      <c r="AY29" s="42">
        <v>210</v>
      </c>
      <c r="AZ29" s="98">
        <f t="shared" si="1"/>
        <v>5.5000000000000002E-5</v>
      </c>
      <c r="BA29" s="98">
        <f t="shared" si="2"/>
        <v>0.1386</v>
      </c>
      <c r="BB29" s="98">
        <v>0</v>
      </c>
      <c r="BC29" s="235">
        <f t="shared" si="6"/>
        <v>1825</v>
      </c>
      <c r="BD29" s="98">
        <f t="shared" si="10"/>
        <v>5</v>
      </c>
      <c r="BE29" s="98">
        <f t="shared" si="8"/>
        <v>5</v>
      </c>
    </row>
    <row r="30" spans="1:57" s="3" customFormat="1" x14ac:dyDescent="0.25">
      <c r="A30" s="44" t="s">
        <v>28</v>
      </c>
      <c r="B30" s="42" t="s">
        <v>1057</v>
      </c>
      <c r="C30" s="42"/>
      <c r="E30" s="5">
        <v>5</v>
      </c>
      <c r="F30" s="5">
        <v>5</v>
      </c>
      <c r="G30" s="5">
        <v>5</v>
      </c>
      <c r="H30" s="5">
        <v>5</v>
      </c>
      <c r="I30" s="5">
        <v>5</v>
      </c>
      <c r="J30" s="5">
        <v>5</v>
      </c>
      <c r="K30" s="5">
        <v>5</v>
      </c>
      <c r="L30" s="5">
        <v>5</v>
      </c>
      <c r="M30" s="5">
        <v>5</v>
      </c>
      <c r="N30" s="5">
        <v>5</v>
      </c>
      <c r="O30" s="5">
        <v>5</v>
      </c>
      <c r="P30" s="5">
        <v>5</v>
      </c>
      <c r="Q30" s="104">
        <v>1</v>
      </c>
      <c r="R30" s="104">
        <v>1</v>
      </c>
      <c r="S30" s="104">
        <v>0.97979797979798</v>
      </c>
      <c r="T30" s="104">
        <v>0.97103448275862103</v>
      </c>
      <c r="U30" s="104">
        <v>0.96124031007751898</v>
      </c>
      <c r="V30" s="5">
        <v>1E-4</v>
      </c>
      <c r="W30" s="5">
        <v>1.2E-2</v>
      </c>
      <c r="X30" s="5">
        <v>2.5000000000000001E-3</v>
      </c>
      <c r="Y30" s="5">
        <v>7.0000000000000001E-3</v>
      </c>
      <c r="Z30" s="5">
        <v>9.4999999999999998E-3</v>
      </c>
      <c r="AA30" s="98">
        <f t="shared" si="9"/>
        <v>4.0000000000000003E-5</v>
      </c>
      <c r="AB30" s="98">
        <f t="shared" si="9"/>
        <v>4.8000000000000004E-3</v>
      </c>
      <c r="AC30" s="98">
        <f t="shared" si="9"/>
        <v>1E-3</v>
      </c>
      <c r="AD30" s="98">
        <f t="shared" si="9"/>
        <v>2.8000000000000004E-3</v>
      </c>
      <c r="AE30" s="98">
        <f t="shared" si="9"/>
        <v>3.8E-3</v>
      </c>
      <c r="AF30" s="5">
        <v>5</v>
      </c>
      <c r="AG30" s="15">
        <v>233</v>
      </c>
      <c r="AH30" s="5">
        <v>5</v>
      </c>
      <c r="AI30" s="5">
        <v>5</v>
      </c>
      <c r="AJ30" s="5">
        <v>5</v>
      </c>
      <c r="AK30" s="5">
        <v>5</v>
      </c>
      <c r="AL30" s="5">
        <v>5</v>
      </c>
      <c r="AM30" s="5">
        <v>5</v>
      </c>
      <c r="AN30" s="5">
        <v>5</v>
      </c>
      <c r="AO30" s="5">
        <v>5</v>
      </c>
      <c r="AP30" s="5">
        <v>5</v>
      </c>
      <c r="AQ30" s="5">
        <v>5</v>
      </c>
      <c r="AR30" s="5">
        <v>5</v>
      </c>
      <c r="AS30" s="5">
        <v>5</v>
      </c>
      <c r="AT30" s="5">
        <v>5</v>
      </c>
      <c r="AU30" s="5">
        <v>5</v>
      </c>
      <c r="AV30" s="15">
        <v>0.02</v>
      </c>
      <c r="AW30" s="234">
        <f t="shared" si="5"/>
        <v>0.1386</v>
      </c>
      <c r="AX30" s="5">
        <v>5</v>
      </c>
      <c r="AY30" s="42">
        <v>233</v>
      </c>
      <c r="AZ30" s="98">
        <f t="shared" si="1"/>
        <v>5.5000000000000002E-5</v>
      </c>
      <c r="BA30" s="98">
        <f t="shared" si="2"/>
        <v>0.1386</v>
      </c>
      <c r="BB30" s="98">
        <v>0</v>
      </c>
      <c r="BC30" s="235">
        <f t="shared" si="6"/>
        <v>1825</v>
      </c>
      <c r="BD30" s="98">
        <f t="shared" si="10"/>
        <v>5</v>
      </c>
      <c r="BE30" s="98">
        <f t="shared" si="8"/>
        <v>5</v>
      </c>
    </row>
  </sheetData>
  <sheetProtection algorithmName="SHA-512" hashValue="jEqJF2Ud0c32ctMs7xG3TL4bfybu4YsdYTpnfQkB31I2BsGr/F0mbZ3Ri5CKsqNta/++/D/OTBWSnurNctwBHA==" saltValue="flAjbfDoIHrMlS2ZTFa+Zg==" spinCount="100000" sheet="1" formatColumns="0" formatRows="0" autoFilter="0"/>
  <autoFilter ref="A1:BF1299" xr:uid="{00000000-0009-0000-0000-000018000000}"/>
  <pageMargins left="0.7" right="0.7" top="0.75" bottom="0.75" header="0.3" footer="0.3"/>
  <pageSetup paperSize="0" orientation="portrait" horizontalDpi="0" verticalDpi="0" copies="0"/>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A30"/>
  <sheetViews>
    <sheetView zoomScale="90" zoomScaleNormal="90" workbookViewId="0"/>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4.42578125" bestFit="1" customWidth="1"/>
    <col min="21" max="21" width="14.5703125" bestFit="1" customWidth="1"/>
    <col min="22" max="22" width="15" bestFit="1" customWidth="1"/>
    <col min="23" max="23" width="14" bestFit="1" customWidth="1"/>
    <col min="24" max="24" width="14.7109375" bestFit="1" customWidth="1"/>
    <col min="25" max="25" width="13.42578125" bestFit="1" customWidth="1"/>
    <col min="26" max="26" width="13.140625" bestFit="1" customWidth="1"/>
    <col min="27" max="27" width="15.42578125" bestFit="1" customWidth="1"/>
  </cols>
  <sheetData>
    <row r="1" spans="1:27" x14ac:dyDescent="0.25">
      <c r="A1" s="72" t="s">
        <v>39</v>
      </c>
      <c r="B1" s="72" t="s">
        <v>334</v>
      </c>
      <c r="C1" s="105" t="s">
        <v>627</v>
      </c>
      <c r="D1" s="105" t="s">
        <v>628</v>
      </c>
      <c r="E1" s="105" t="s">
        <v>629</v>
      </c>
      <c r="F1" s="105" t="s">
        <v>630</v>
      </c>
      <c r="G1" s="105" t="s">
        <v>631</v>
      </c>
      <c r="H1" s="105" t="s">
        <v>632</v>
      </c>
      <c r="I1" s="105" t="s">
        <v>633</v>
      </c>
      <c r="J1" s="105" t="s">
        <v>634</v>
      </c>
      <c r="K1" s="105" t="s">
        <v>635</v>
      </c>
      <c r="L1" s="105" t="s">
        <v>636</v>
      </c>
      <c r="M1" s="105" t="s">
        <v>637</v>
      </c>
      <c r="N1" s="105" t="s">
        <v>638</v>
      </c>
      <c r="O1" s="105" t="s">
        <v>639</v>
      </c>
      <c r="P1" s="105" t="s">
        <v>640</v>
      </c>
      <c r="Q1" s="105" t="s">
        <v>641</v>
      </c>
      <c r="R1" s="105" t="s">
        <v>642</v>
      </c>
      <c r="S1" s="105" t="s">
        <v>643</v>
      </c>
      <c r="T1" s="105" t="s">
        <v>1310</v>
      </c>
      <c r="U1" s="105" t="s">
        <v>644</v>
      </c>
      <c r="V1" s="105" t="s">
        <v>645</v>
      </c>
      <c r="W1" s="105" t="s">
        <v>646</v>
      </c>
      <c r="X1" s="105" t="s">
        <v>647</v>
      </c>
      <c r="Y1" s="105" t="s">
        <v>648</v>
      </c>
      <c r="Z1" s="105" t="s">
        <v>649</v>
      </c>
      <c r="AA1" s="105" t="s">
        <v>719</v>
      </c>
    </row>
    <row r="2" spans="1:27" x14ac:dyDescent="0.25">
      <c r="A2" s="44" t="s">
        <v>0</v>
      </c>
      <c r="B2" s="42" t="s">
        <v>1057</v>
      </c>
      <c r="C2" s="5">
        <v>5</v>
      </c>
      <c r="D2" s="5">
        <v>5</v>
      </c>
      <c r="E2" s="5">
        <v>5</v>
      </c>
      <c r="F2" s="5">
        <v>5</v>
      </c>
      <c r="G2" s="5">
        <v>5</v>
      </c>
      <c r="H2" s="5">
        <v>5</v>
      </c>
      <c r="I2" s="5">
        <v>5</v>
      </c>
      <c r="J2" s="5">
        <v>5</v>
      </c>
      <c r="K2" s="5">
        <v>5</v>
      </c>
      <c r="L2" s="5">
        <v>5</v>
      </c>
      <c r="M2" s="5">
        <v>5</v>
      </c>
      <c r="N2" s="5">
        <v>5</v>
      </c>
      <c r="O2" s="5">
        <v>5</v>
      </c>
      <c r="P2" s="5">
        <v>5</v>
      </c>
      <c r="Q2" s="5">
        <v>5</v>
      </c>
      <c r="R2" s="5">
        <v>5</v>
      </c>
      <c r="S2" s="5">
        <v>5</v>
      </c>
      <c r="T2" s="5">
        <v>5</v>
      </c>
      <c r="U2" s="5">
        <v>5</v>
      </c>
      <c r="V2" s="5">
        <v>5</v>
      </c>
      <c r="W2" s="5">
        <v>5</v>
      </c>
      <c r="X2" s="5">
        <v>5</v>
      </c>
      <c r="Y2" s="5">
        <v>5</v>
      </c>
      <c r="Z2" s="5">
        <v>5</v>
      </c>
      <c r="AA2" s="5">
        <v>5</v>
      </c>
    </row>
    <row r="3" spans="1:27" x14ac:dyDescent="0.25">
      <c r="A3" s="46" t="s">
        <v>1</v>
      </c>
      <c r="B3" s="42" t="s">
        <v>335</v>
      </c>
      <c r="C3" s="5">
        <v>5</v>
      </c>
      <c r="D3" s="5">
        <v>5</v>
      </c>
      <c r="E3" s="5">
        <v>5</v>
      </c>
      <c r="F3" s="5">
        <v>5</v>
      </c>
      <c r="G3" s="5">
        <v>5</v>
      </c>
      <c r="H3" s="5">
        <v>5</v>
      </c>
      <c r="I3" s="5">
        <v>5</v>
      </c>
      <c r="J3" s="5">
        <v>5</v>
      </c>
      <c r="K3" s="5">
        <v>5</v>
      </c>
      <c r="L3" s="5">
        <v>5</v>
      </c>
      <c r="M3" s="5">
        <v>5</v>
      </c>
      <c r="N3" s="5">
        <v>5</v>
      </c>
      <c r="O3" s="5">
        <v>5</v>
      </c>
      <c r="P3" s="5">
        <v>5</v>
      </c>
      <c r="Q3" s="5">
        <v>5</v>
      </c>
      <c r="R3" s="5">
        <v>5</v>
      </c>
      <c r="S3" s="5">
        <v>5</v>
      </c>
      <c r="T3" s="5">
        <v>5</v>
      </c>
      <c r="U3" s="5">
        <v>5</v>
      </c>
      <c r="V3" s="5">
        <v>5</v>
      </c>
      <c r="W3" s="5">
        <v>5</v>
      </c>
      <c r="X3" s="5">
        <v>5</v>
      </c>
      <c r="Y3" s="5">
        <v>5</v>
      </c>
      <c r="Z3" s="5">
        <v>5</v>
      </c>
      <c r="AA3" s="5">
        <v>5</v>
      </c>
    </row>
    <row r="4" spans="1:27" x14ac:dyDescent="0.25">
      <c r="A4" s="44" t="s">
        <v>2</v>
      </c>
      <c r="B4" s="42" t="s">
        <v>1057</v>
      </c>
      <c r="C4" s="5">
        <v>5</v>
      </c>
      <c r="D4" s="5">
        <v>5</v>
      </c>
      <c r="E4" s="5">
        <v>5</v>
      </c>
      <c r="F4" s="5">
        <v>5</v>
      </c>
      <c r="G4" s="5">
        <v>5</v>
      </c>
      <c r="H4" s="5">
        <v>5</v>
      </c>
      <c r="I4" s="5">
        <v>5</v>
      </c>
      <c r="J4" s="5">
        <v>5</v>
      </c>
      <c r="K4" s="5">
        <v>5</v>
      </c>
      <c r="L4" s="5">
        <v>5</v>
      </c>
      <c r="M4" s="5">
        <v>5</v>
      </c>
      <c r="N4" s="5">
        <v>5</v>
      </c>
      <c r="O4" s="5">
        <v>5</v>
      </c>
      <c r="P4" s="5">
        <v>5</v>
      </c>
      <c r="Q4" s="5">
        <v>5</v>
      </c>
      <c r="R4" s="5">
        <v>5</v>
      </c>
      <c r="S4" s="5">
        <v>5</v>
      </c>
      <c r="T4" s="5">
        <v>5</v>
      </c>
      <c r="U4" s="5">
        <v>5</v>
      </c>
      <c r="V4" s="5">
        <v>5</v>
      </c>
      <c r="W4" s="5">
        <v>5</v>
      </c>
      <c r="X4" s="5">
        <v>5</v>
      </c>
      <c r="Y4" s="5">
        <v>5</v>
      </c>
      <c r="Z4" s="5">
        <v>5</v>
      </c>
      <c r="AA4" s="5">
        <v>5</v>
      </c>
    </row>
    <row r="5" spans="1:27" x14ac:dyDescent="0.25">
      <c r="A5" s="44" t="s">
        <v>3</v>
      </c>
      <c r="B5" s="42" t="s">
        <v>1057</v>
      </c>
      <c r="C5" s="5">
        <v>5</v>
      </c>
      <c r="D5" s="5">
        <v>5</v>
      </c>
      <c r="E5" s="5">
        <v>5</v>
      </c>
      <c r="F5" s="5">
        <v>5</v>
      </c>
      <c r="G5" s="5">
        <v>5</v>
      </c>
      <c r="H5" s="5">
        <v>5</v>
      </c>
      <c r="I5" s="5">
        <v>5</v>
      </c>
      <c r="J5" s="5">
        <v>5</v>
      </c>
      <c r="K5" s="5">
        <v>5</v>
      </c>
      <c r="L5" s="5">
        <v>5</v>
      </c>
      <c r="M5" s="5">
        <v>5</v>
      </c>
      <c r="N5" s="5">
        <v>5</v>
      </c>
      <c r="O5" s="5">
        <v>5</v>
      </c>
      <c r="P5" s="5">
        <v>5</v>
      </c>
      <c r="Q5" s="5">
        <v>5</v>
      </c>
      <c r="R5" s="5">
        <v>5</v>
      </c>
      <c r="S5" s="5">
        <v>5</v>
      </c>
      <c r="T5" s="5">
        <v>5</v>
      </c>
      <c r="U5" s="5">
        <v>5</v>
      </c>
      <c r="V5" s="5">
        <v>5</v>
      </c>
      <c r="W5" s="5">
        <v>5</v>
      </c>
      <c r="X5" s="5">
        <v>5</v>
      </c>
      <c r="Y5" s="5">
        <v>5</v>
      </c>
      <c r="Z5" s="5">
        <v>5</v>
      </c>
      <c r="AA5" s="5">
        <v>5</v>
      </c>
    </row>
    <row r="6" spans="1:27" x14ac:dyDescent="0.25">
      <c r="A6" s="44" t="s">
        <v>4</v>
      </c>
      <c r="B6" s="42" t="s">
        <v>1057</v>
      </c>
      <c r="C6" s="5">
        <v>5</v>
      </c>
      <c r="D6" s="5">
        <v>5</v>
      </c>
      <c r="E6" s="5">
        <v>5</v>
      </c>
      <c r="F6" s="5">
        <v>5</v>
      </c>
      <c r="G6" s="5">
        <v>5</v>
      </c>
      <c r="H6" s="5">
        <v>5</v>
      </c>
      <c r="I6" s="5">
        <v>5</v>
      </c>
      <c r="J6" s="5">
        <v>5</v>
      </c>
      <c r="K6" s="5">
        <v>5</v>
      </c>
      <c r="L6" s="5">
        <v>5</v>
      </c>
      <c r="M6" s="5">
        <v>5</v>
      </c>
      <c r="N6" s="5">
        <v>5</v>
      </c>
      <c r="O6" s="5">
        <v>5</v>
      </c>
      <c r="P6" s="5">
        <v>5</v>
      </c>
      <c r="Q6" s="5">
        <v>5</v>
      </c>
      <c r="R6" s="5">
        <v>5</v>
      </c>
      <c r="S6" s="5">
        <v>5</v>
      </c>
      <c r="T6" s="5">
        <v>5</v>
      </c>
      <c r="U6" s="5">
        <v>5</v>
      </c>
      <c r="V6" s="5">
        <v>5</v>
      </c>
      <c r="W6" s="5">
        <v>5</v>
      </c>
      <c r="X6" s="5">
        <v>5</v>
      </c>
      <c r="Y6" s="5">
        <v>5</v>
      </c>
      <c r="Z6" s="5">
        <v>5</v>
      </c>
      <c r="AA6" s="5">
        <v>5</v>
      </c>
    </row>
    <row r="7" spans="1:27" x14ac:dyDescent="0.25">
      <c r="A7" s="44" t="s">
        <v>5</v>
      </c>
      <c r="B7" s="42" t="s">
        <v>1057</v>
      </c>
      <c r="C7" s="5">
        <v>5</v>
      </c>
      <c r="D7" s="5">
        <v>5</v>
      </c>
      <c r="E7" s="5">
        <v>5</v>
      </c>
      <c r="F7" s="5">
        <v>5</v>
      </c>
      <c r="G7" s="5">
        <v>5</v>
      </c>
      <c r="H7" s="5">
        <v>5</v>
      </c>
      <c r="I7" s="5">
        <v>5</v>
      </c>
      <c r="J7" s="5">
        <v>5</v>
      </c>
      <c r="K7" s="5">
        <v>5</v>
      </c>
      <c r="L7" s="5">
        <v>5</v>
      </c>
      <c r="M7" s="5">
        <v>5</v>
      </c>
      <c r="N7" s="5">
        <v>5</v>
      </c>
      <c r="O7" s="5">
        <v>5</v>
      </c>
      <c r="P7" s="5">
        <v>5</v>
      </c>
      <c r="Q7" s="5">
        <v>5</v>
      </c>
      <c r="R7" s="5">
        <v>5</v>
      </c>
      <c r="S7" s="5">
        <v>5</v>
      </c>
      <c r="T7" s="5">
        <v>5</v>
      </c>
      <c r="U7" s="5">
        <v>5</v>
      </c>
      <c r="V7" s="5">
        <v>5</v>
      </c>
      <c r="W7" s="5">
        <v>5</v>
      </c>
      <c r="X7" s="5">
        <v>5</v>
      </c>
      <c r="Y7" s="5">
        <v>5</v>
      </c>
      <c r="Z7" s="5">
        <v>5</v>
      </c>
      <c r="AA7" s="5">
        <v>5</v>
      </c>
    </row>
    <row r="8" spans="1:27" x14ac:dyDescent="0.25">
      <c r="A8" s="44" t="s">
        <v>6</v>
      </c>
      <c r="B8" s="42" t="s">
        <v>1057</v>
      </c>
      <c r="C8" s="5">
        <v>5</v>
      </c>
      <c r="D8" s="5">
        <v>5</v>
      </c>
      <c r="E8" s="5">
        <v>5</v>
      </c>
      <c r="F8" s="5">
        <v>5</v>
      </c>
      <c r="G8" s="5">
        <v>5</v>
      </c>
      <c r="H8" s="5">
        <v>5</v>
      </c>
      <c r="I8" s="5">
        <v>5</v>
      </c>
      <c r="J8" s="5">
        <v>5</v>
      </c>
      <c r="K8" s="5">
        <v>5</v>
      </c>
      <c r="L8" s="5">
        <v>5</v>
      </c>
      <c r="M8" s="5">
        <v>5</v>
      </c>
      <c r="N8" s="5">
        <v>5</v>
      </c>
      <c r="O8" s="5">
        <v>5</v>
      </c>
      <c r="P8" s="5">
        <v>5</v>
      </c>
      <c r="Q8" s="5">
        <v>5</v>
      </c>
      <c r="R8" s="5">
        <v>5</v>
      </c>
      <c r="S8" s="5">
        <v>5</v>
      </c>
      <c r="T8" s="5">
        <v>5</v>
      </c>
      <c r="U8" s="5">
        <v>5</v>
      </c>
      <c r="V8" s="5">
        <v>5</v>
      </c>
      <c r="W8" s="5">
        <v>5</v>
      </c>
      <c r="X8" s="5">
        <v>5</v>
      </c>
      <c r="Y8" s="5">
        <v>5</v>
      </c>
      <c r="Z8" s="5">
        <v>5</v>
      </c>
      <c r="AA8" s="5">
        <v>5</v>
      </c>
    </row>
    <row r="9" spans="1:27" x14ac:dyDescent="0.25">
      <c r="A9" s="44" t="s">
        <v>7</v>
      </c>
      <c r="B9" s="42" t="s">
        <v>1057</v>
      </c>
      <c r="C9" s="5">
        <v>5</v>
      </c>
      <c r="D9" s="5">
        <v>5</v>
      </c>
      <c r="E9" s="5">
        <v>5</v>
      </c>
      <c r="F9" s="5">
        <v>5</v>
      </c>
      <c r="G9" s="5">
        <v>5</v>
      </c>
      <c r="H9" s="5">
        <v>5</v>
      </c>
      <c r="I9" s="5">
        <v>5</v>
      </c>
      <c r="J9" s="5">
        <v>5</v>
      </c>
      <c r="K9" s="5">
        <v>5</v>
      </c>
      <c r="L9" s="5">
        <v>5</v>
      </c>
      <c r="M9" s="5">
        <v>5</v>
      </c>
      <c r="N9" s="5">
        <v>5</v>
      </c>
      <c r="O9" s="5">
        <v>5</v>
      </c>
      <c r="P9" s="5">
        <v>5</v>
      </c>
      <c r="Q9" s="5">
        <v>5</v>
      </c>
      <c r="R9" s="5">
        <v>5</v>
      </c>
      <c r="S9" s="5">
        <v>5</v>
      </c>
      <c r="T9" s="5">
        <v>5</v>
      </c>
      <c r="U9" s="5">
        <v>5</v>
      </c>
      <c r="V9" s="5">
        <v>5</v>
      </c>
      <c r="W9" s="5">
        <v>5</v>
      </c>
      <c r="X9" s="5">
        <v>5</v>
      </c>
      <c r="Y9" s="5">
        <v>5</v>
      </c>
      <c r="Z9" s="5">
        <v>5</v>
      </c>
      <c r="AA9" s="5">
        <v>5</v>
      </c>
    </row>
    <row r="10" spans="1:27" x14ac:dyDescent="0.25">
      <c r="A10" s="46" t="s">
        <v>8</v>
      </c>
      <c r="B10" s="42" t="s">
        <v>335</v>
      </c>
      <c r="C10" s="5">
        <v>5</v>
      </c>
      <c r="D10" s="5">
        <v>5</v>
      </c>
      <c r="E10" s="5">
        <v>5</v>
      </c>
      <c r="F10" s="5">
        <v>5</v>
      </c>
      <c r="G10" s="5">
        <v>5</v>
      </c>
      <c r="H10" s="5">
        <v>5</v>
      </c>
      <c r="I10" s="5">
        <v>5</v>
      </c>
      <c r="J10" s="5">
        <v>5</v>
      </c>
      <c r="K10" s="5">
        <v>5</v>
      </c>
      <c r="L10" s="5">
        <v>5</v>
      </c>
      <c r="M10" s="5">
        <v>5</v>
      </c>
      <c r="N10" s="5">
        <v>5</v>
      </c>
      <c r="O10" s="5">
        <v>5</v>
      </c>
      <c r="P10" s="5">
        <v>5</v>
      </c>
      <c r="Q10" s="5">
        <v>5</v>
      </c>
      <c r="R10" s="5">
        <v>5</v>
      </c>
      <c r="S10" s="5">
        <v>5</v>
      </c>
      <c r="T10" s="5">
        <v>5</v>
      </c>
      <c r="U10" s="5">
        <v>5</v>
      </c>
      <c r="V10" s="5">
        <v>5</v>
      </c>
      <c r="W10" s="5">
        <v>5</v>
      </c>
      <c r="X10" s="5">
        <v>5</v>
      </c>
      <c r="Y10" s="5">
        <v>5</v>
      </c>
      <c r="Z10" s="5">
        <v>5</v>
      </c>
      <c r="AA10" s="5">
        <v>5</v>
      </c>
    </row>
    <row r="11" spans="1:27" x14ac:dyDescent="0.25">
      <c r="A11" s="44" t="s">
        <v>9</v>
      </c>
      <c r="B11" s="42" t="s">
        <v>1057</v>
      </c>
      <c r="C11" s="5">
        <v>5</v>
      </c>
      <c r="D11" s="5">
        <v>5</v>
      </c>
      <c r="E11" s="5">
        <v>5</v>
      </c>
      <c r="F11" s="5">
        <v>5</v>
      </c>
      <c r="G11" s="5">
        <v>5</v>
      </c>
      <c r="H11" s="5">
        <v>5</v>
      </c>
      <c r="I11" s="5">
        <v>5</v>
      </c>
      <c r="J11" s="5">
        <v>5</v>
      </c>
      <c r="K11" s="5">
        <v>5</v>
      </c>
      <c r="L11" s="5">
        <v>5</v>
      </c>
      <c r="M11" s="5">
        <v>5</v>
      </c>
      <c r="N11" s="5">
        <v>5</v>
      </c>
      <c r="O11" s="5">
        <v>5</v>
      </c>
      <c r="P11" s="5">
        <v>5</v>
      </c>
      <c r="Q11" s="5">
        <v>5</v>
      </c>
      <c r="R11" s="5">
        <v>5</v>
      </c>
      <c r="S11" s="5">
        <v>5</v>
      </c>
      <c r="T11" s="5">
        <v>5</v>
      </c>
      <c r="U11" s="5">
        <v>5</v>
      </c>
      <c r="V11" s="5">
        <v>5</v>
      </c>
      <c r="W11" s="5">
        <v>5</v>
      </c>
      <c r="X11" s="5">
        <v>5</v>
      </c>
      <c r="Y11" s="5">
        <v>5</v>
      </c>
      <c r="Z11" s="5">
        <v>5</v>
      </c>
      <c r="AA11" s="5">
        <v>5</v>
      </c>
    </row>
    <row r="12" spans="1:27" x14ac:dyDescent="0.25">
      <c r="A12" s="44" t="s">
        <v>10</v>
      </c>
      <c r="B12" s="42" t="s">
        <v>1057</v>
      </c>
      <c r="C12" s="5">
        <v>5</v>
      </c>
      <c r="D12" s="5">
        <v>5</v>
      </c>
      <c r="E12" s="5">
        <v>5</v>
      </c>
      <c r="F12" s="5">
        <v>5</v>
      </c>
      <c r="G12" s="5">
        <v>5</v>
      </c>
      <c r="H12" s="5">
        <v>5</v>
      </c>
      <c r="I12" s="5">
        <v>5</v>
      </c>
      <c r="J12" s="5">
        <v>5</v>
      </c>
      <c r="K12" s="5">
        <v>5</v>
      </c>
      <c r="L12" s="5">
        <v>5</v>
      </c>
      <c r="M12" s="5">
        <v>5</v>
      </c>
      <c r="N12" s="5">
        <v>5</v>
      </c>
      <c r="O12" s="5">
        <v>5</v>
      </c>
      <c r="P12" s="5">
        <v>5</v>
      </c>
      <c r="Q12" s="5">
        <v>5</v>
      </c>
      <c r="R12" s="5">
        <v>5</v>
      </c>
      <c r="S12" s="5">
        <v>5</v>
      </c>
      <c r="T12" s="5">
        <v>5</v>
      </c>
      <c r="U12" s="5">
        <v>5</v>
      </c>
      <c r="V12" s="5">
        <v>5</v>
      </c>
      <c r="W12" s="5">
        <v>5</v>
      </c>
      <c r="X12" s="5">
        <v>5</v>
      </c>
      <c r="Y12" s="5">
        <v>5</v>
      </c>
      <c r="Z12" s="5">
        <v>5</v>
      </c>
      <c r="AA12" s="5">
        <v>5</v>
      </c>
    </row>
    <row r="13" spans="1:27" x14ac:dyDescent="0.25">
      <c r="A13" s="44" t="s">
        <v>11</v>
      </c>
      <c r="B13" s="42" t="s">
        <v>1057</v>
      </c>
      <c r="C13" s="5">
        <v>5</v>
      </c>
      <c r="D13" s="5">
        <v>5</v>
      </c>
      <c r="E13" s="5">
        <v>5</v>
      </c>
      <c r="F13" s="5">
        <v>5</v>
      </c>
      <c r="G13" s="5">
        <v>5</v>
      </c>
      <c r="H13" s="5">
        <v>5</v>
      </c>
      <c r="I13" s="5">
        <v>5</v>
      </c>
      <c r="J13" s="5">
        <v>5</v>
      </c>
      <c r="K13" s="5">
        <v>5</v>
      </c>
      <c r="L13" s="5">
        <v>5</v>
      </c>
      <c r="M13" s="5">
        <v>5</v>
      </c>
      <c r="N13" s="5">
        <v>5</v>
      </c>
      <c r="O13" s="5">
        <v>5</v>
      </c>
      <c r="P13" s="5">
        <v>5</v>
      </c>
      <c r="Q13" s="5">
        <v>5</v>
      </c>
      <c r="R13" s="5">
        <v>5</v>
      </c>
      <c r="S13" s="5">
        <v>5</v>
      </c>
      <c r="T13" s="5">
        <v>5</v>
      </c>
      <c r="U13" s="5">
        <v>5</v>
      </c>
      <c r="V13" s="5">
        <v>5</v>
      </c>
      <c r="W13" s="5">
        <v>5</v>
      </c>
      <c r="X13" s="5">
        <v>5</v>
      </c>
      <c r="Y13" s="5">
        <v>5</v>
      </c>
      <c r="Z13" s="5">
        <v>5</v>
      </c>
      <c r="AA13" s="5">
        <v>5</v>
      </c>
    </row>
    <row r="14" spans="1:27" x14ac:dyDescent="0.25">
      <c r="A14" s="44" t="s">
        <v>12</v>
      </c>
      <c r="B14" s="42" t="s">
        <v>1057</v>
      </c>
      <c r="C14" s="5">
        <v>5</v>
      </c>
      <c r="D14" s="5">
        <v>5</v>
      </c>
      <c r="E14" s="5">
        <v>5</v>
      </c>
      <c r="F14" s="5">
        <v>5</v>
      </c>
      <c r="G14" s="5">
        <v>5</v>
      </c>
      <c r="H14" s="5">
        <v>5</v>
      </c>
      <c r="I14" s="5">
        <v>5</v>
      </c>
      <c r="J14" s="5">
        <v>5</v>
      </c>
      <c r="K14" s="5">
        <v>5</v>
      </c>
      <c r="L14" s="5">
        <v>5</v>
      </c>
      <c r="M14" s="5">
        <v>5</v>
      </c>
      <c r="N14" s="5">
        <v>5</v>
      </c>
      <c r="O14" s="5">
        <v>5</v>
      </c>
      <c r="P14" s="5">
        <v>5</v>
      </c>
      <c r="Q14" s="5">
        <v>5</v>
      </c>
      <c r="R14" s="5">
        <v>5</v>
      </c>
      <c r="S14" s="5">
        <v>5</v>
      </c>
      <c r="T14" s="5">
        <v>5</v>
      </c>
      <c r="U14" s="5">
        <v>5</v>
      </c>
      <c r="V14" s="5">
        <v>5</v>
      </c>
      <c r="W14" s="5">
        <v>5</v>
      </c>
      <c r="X14" s="5">
        <v>5</v>
      </c>
      <c r="Y14" s="5">
        <v>5</v>
      </c>
      <c r="Z14" s="5">
        <v>5</v>
      </c>
      <c r="AA14" s="5">
        <v>5</v>
      </c>
    </row>
    <row r="15" spans="1:27" x14ac:dyDescent="0.25">
      <c r="A15" s="44" t="s">
        <v>13</v>
      </c>
      <c r="B15" s="42" t="s">
        <v>1057</v>
      </c>
      <c r="C15" s="5">
        <v>5</v>
      </c>
      <c r="D15" s="5">
        <v>5</v>
      </c>
      <c r="E15" s="5">
        <v>5</v>
      </c>
      <c r="F15" s="5">
        <v>5</v>
      </c>
      <c r="G15" s="5">
        <v>5</v>
      </c>
      <c r="H15" s="5">
        <v>5</v>
      </c>
      <c r="I15" s="5">
        <v>5</v>
      </c>
      <c r="J15" s="5">
        <v>5</v>
      </c>
      <c r="K15" s="5">
        <v>5</v>
      </c>
      <c r="L15" s="5">
        <v>5</v>
      </c>
      <c r="M15" s="5">
        <v>5</v>
      </c>
      <c r="N15" s="5">
        <v>5</v>
      </c>
      <c r="O15" s="5">
        <v>5</v>
      </c>
      <c r="P15" s="5">
        <v>5</v>
      </c>
      <c r="Q15" s="5">
        <v>5</v>
      </c>
      <c r="R15" s="5">
        <v>5</v>
      </c>
      <c r="S15" s="5">
        <v>5</v>
      </c>
      <c r="T15" s="5">
        <v>5</v>
      </c>
      <c r="U15" s="5">
        <v>5</v>
      </c>
      <c r="V15" s="5">
        <v>5</v>
      </c>
      <c r="W15" s="5">
        <v>5</v>
      </c>
      <c r="X15" s="5">
        <v>5</v>
      </c>
      <c r="Y15" s="5">
        <v>5</v>
      </c>
      <c r="Z15" s="5">
        <v>5</v>
      </c>
      <c r="AA15" s="5">
        <v>5</v>
      </c>
    </row>
    <row r="16" spans="1:27" x14ac:dyDescent="0.25">
      <c r="A16" s="44" t="s">
        <v>14</v>
      </c>
      <c r="B16" s="42" t="s">
        <v>1057</v>
      </c>
      <c r="C16" s="5">
        <v>5</v>
      </c>
      <c r="D16" s="5">
        <v>5</v>
      </c>
      <c r="E16" s="5">
        <v>5</v>
      </c>
      <c r="F16" s="5">
        <v>5</v>
      </c>
      <c r="G16" s="5">
        <v>5</v>
      </c>
      <c r="H16" s="5">
        <v>5</v>
      </c>
      <c r="I16" s="5">
        <v>5</v>
      </c>
      <c r="J16" s="5">
        <v>5</v>
      </c>
      <c r="K16" s="5">
        <v>5</v>
      </c>
      <c r="L16" s="5">
        <v>5</v>
      </c>
      <c r="M16" s="5">
        <v>5</v>
      </c>
      <c r="N16" s="5">
        <v>5</v>
      </c>
      <c r="O16" s="5">
        <v>5</v>
      </c>
      <c r="P16" s="5">
        <v>5</v>
      </c>
      <c r="Q16" s="5">
        <v>5</v>
      </c>
      <c r="R16" s="5">
        <v>5</v>
      </c>
      <c r="S16" s="5">
        <v>5</v>
      </c>
      <c r="T16" s="5">
        <v>5</v>
      </c>
      <c r="U16" s="5">
        <v>5</v>
      </c>
      <c r="V16" s="5">
        <v>5</v>
      </c>
      <c r="W16" s="5">
        <v>5</v>
      </c>
      <c r="X16" s="5">
        <v>5</v>
      </c>
      <c r="Y16" s="5">
        <v>5</v>
      </c>
      <c r="Z16" s="5">
        <v>5</v>
      </c>
      <c r="AA16" s="5">
        <v>5</v>
      </c>
    </row>
    <row r="17" spans="1:27" x14ac:dyDescent="0.25">
      <c r="A17" s="44" t="s">
        <v>15</v>
      </c>
      <c r="B17" s="42" t="s">
        <v>1057</v>
      </c>
      <c r="C17" s="5">
        <v>5</v>
      </c>
      <c r="D17" s="5">
        <v>5</v>
      </c>
      <c r="E17" s="5">
        <v>5</v>
      </c>
      <c r="F17" s="5">
        <v>5</v>
      </c>
      <c r="G17" s="5">
        <v>5</v>
      </c>
      <c r="H17" s="5">
        <v>5</v>
      </c>
      <c r="I17" s="5">
        <v>5</v>
      </c>
      <c r="J17" s="5">
        <v>5</v>
      </c>
      <c r="K17" s="5">
        <v>5</v>
      </c>
      <c r="L17" s="5">
        <v>5</v>
      </c>
      <c r="M17" s="5">
        <v>5</v>
      </c>
      <c r="N17" s="5">
        <v>5</v>
      </c>
      <c r="O17" s="5">
        <v>5</v>
      </c>
      <c r="P17" s="5">
        <v>5</v>
      </c>
      <c r="Q17" s="5">
        <v>5</v>
      </c>
      <c r="R17" s="5">
        <v>5</v>
      </c>
      <c r="S17" s="5">
        <v>5</v>
      </c>
      <c r="T17" s="5">
        <v>5</v>
      </c>
      <c r="U17" s="5">
        <v>5</v>
      </c>
      <c r="V17" s="5">
        <v>5</v>
      </c>
      <c r="W17" s="5">
        <v>5</v>
      </c>
      <c r="X17" s="5">
        <v>5</v>
      </c>
      <c r="Y17" s="5">
        <v>5</v>
      </c>
      <c r="Z17" s="5">
        <v>5</v>
      </c>
      <c r="AA17" s="5">
        <v>5</v>
      </c>
    </row>
    <row r="18" spans="1:27" x14ac:dyDescent="0.25">
      <c r="A18" s="44" t="s">
        <v>16</v>
      </c>
      <c r="B18" s="42" t="s">
        <v>1057</v>
      </c>
      <c r="C18" s="5">
        <v>5</v>
      </c>
      <c r="D18" s="5">
        <v>5</v>
      </c>
      <c r="E18" s="5">
        <v>5</v>
      </c>
      <c r="F18" s="5">
        <v>5</v>
      </c>
      <c r="G18" s="5">
        <v>5</v>
      </c>
      <c r="H18" s="5">
        <v>5</v>
      </c>
      <c r="I18" s="5">
        <v>5</v>
      </c>
      <c r="J18" s="5">
        <v>5</v>
      </c>
      <c r="K18" s="5">
        <v>5</v>
      </c>
      <c r="L18" s="5">
        <v>5</v>
      </c>
      <c r="M18" s="5">
        <v>5</v>
      </c>
      <c r="N18" s="5">
        <v>5</v>
      </c>
      <c r="O18" s="5">
        <v>5</v>
      </c>
      <c r="P18" s="5">
        <v>5</v>
      </c>
      <c r="Q18" s="5">
        <v>5</v>
      </c>
      <c r="R18" s="5">
        <v>5</v>
      </c>
      <c r="S18" s="5">
        <v>5</v>
      </c>
      <c r="T18" s="5">
        <v>5</v>
      </c>
      <c r="U18" s="5">
        <v>5</v>
      </c>
      <c r="V18" s="5">
        <v>5</v>
      </c>
      <c r="W18" s="5">
        <v>5</v>
      </c>
      <c r="X18" s="5">
        <v>5</v>
      </c>
      <c r="Y18" s="5">
        <v>5</v>
      </c>
      <c r="Z18" s="5">
        <v>5</v>
      </c>
      <c r="AA18" s="5">
        <v>5</v>
      </c>
    </row>
    <row r="19" spans="1:27" x14ac:dyDescent="0.25">
      <c r="A19" s="44" t="s">
        <v>17</v>
      </c>
      <c r="B19" s="42" t="s">
        <v>1057</v>
      </c>
      <c r="C19" s="5">
        <v>5</v>
      </c>
      <c r="D19" s="5">
        <v>5</v>
      </c>
      <c r="E19" s="5">
        <v>5</v>
      </c>
      <c r="F19" s="5">
        <v>5</v>
      </c>
      <c r="G19" s="5">
        <v>5</v>
      </c>
      <c r="H19" s="5">
        <v>5</v>
      </c>
      <c r="I19" s="5">
        <v>5</v>
      </c>
      <c r="J19" s="5">
        <v>5</v>
      </c>
      <c r="K19" s="5">
        <v>5</v>
      </c>
      <c r="L19" s="5">
        <v>5</v>
      </c>
      <c r="M19" s="5">
        <v>5</v>
      </c>
      <c r="N19" s="5">
        <v>5</v>
      </c>
      <c r="O19" s="5">
        <v>5</v>
      </c>
      <c r="P19" s="5">
        <v>5</v>
      </c>
      <c r="Q19" s="5">
        <v>5</v>
      </c>
      <c r="R19" s="5">
        <v>5</v>
      </c>
      <c r="S19" s="5">
        <v>5</v>
      </c>
      <c r="T19" s="5">
        <v>5</v>
      </c>
      <c r="U19" s="5">
        <v>5</v>
      </c>
      <c r="V19" s="5">
        <v>5</v>
      </c>
      <c r="W19" s="5">
        <v>5</v>
      </c>
      <c r="X19" s="5">
        <v>5</v>
      </c>
      <c r="Y19" s="5">
        <v>5</v>
      </c>
      <c r="Z19" s="5">
        <v>5</v>
      </c>
      <c r="AA19" s="5">
        <v>5</v>
      </c>
    </row>
    <row r="20" spans="1:27" x14ac:dyDescent="0.25">
      <c r="A20" s="44" t="s">
        <v>18</v>
      </c>
      <c r="B20" s="42" t="s">
        <v>1057</v>
      </c>
      <c r="C20" s="5">
        <v>5</v>
      </c>
      <c r="D20" s="5">
        <v>5</v>
      </c>
      <c r="E20" s="5">
        <v>5</v>
      </c>
      <c r="F20" s="5">
        <v>5</v>
      </c>
      <c r="G20" s="5">
        <v>5</v>
      </c>
      <c r="H20" s="5">
        <v>5</v>
      </c>
      <c r="I20" s="5">
        <v>5</v>
      </c>
      <c r="J20" s="5">
        <v>5</v>
      </c>
      <c r="K20" s="5">
        <v>5</v>
      </c>
      <c r="L20" s="5">
        <v>5</v>
      </c>
      <c r="M20" s="5">
        <v>5</v>
      </c>
      <c r="N20" s="5">
        <v>5</v>
      </c>
      <c r="O20" s="5">
        <v>5</v>
      </c>
      <c r="P20" s="5">
        <v>5</v>
      </c>
      <c r="Q20" s="5">
        <v>5</v>
      </c>
      <c r="R20" s="5">
        <v>5</v>
      </c>
      <c r="S20" s="5">
        <v>5</v>
      </c>
      <c r="T20" s="5">
        <v>5</v>
      </c>
      <c r="U20" s="5">
        <v>5</v>
      </c>
      <c r="V20" s="5">
        <v>5</v>
      </c>
      <c r="W20" s="5">
        <v>5</v>
      </c>
      <c r="X20" s="5">
        <v>5</v>
      </c>
      <c r="Y20" s="5">
        <v>5</v>
      </c>
      <c r="Z20" s="5">
        <v>5</v>
      </c>
      <c r="AA20" s="5">
        <v>5</v>
      </c>
    </row>
    <row r="21" spans="1:27" x14ac:dyDescent="0.25">
      <c r="A21" s="44" t="s">
        <v>19</v>
      </c>
      <c r="B21" s="42" t="s">
        <v>1057</v>
      </c>
      <c r="C21" s="5">
        <v>5</v>
      </c>
      <c r="D21" s="5">
        <v>5</v>
      </c>
      <c r="E21" s="5">
        <v>5</v>
      </c>
      <c r="F21" s="5">
        <v>5</v>
      </c>
      <c r="G21" s="5">
        <v>5</v>
      </c>
      <c r="H21" s="5">
        <v>5</v>
      </c>
      <c r="I21" s="5">
        <v>5</v>
      </c>
      <c r="J21" s="5">
        <v>5</v>
      </c>
      <c r="K21" s="5">
        <v>5</v>
      </c>
      <c r="L21" s="5">
        <v>5</v>
      </c>
      <c r="M21" s="5">
        <v>5</v>
      </c>
      <c r="N21" s="5">
        <v>5</v>
      </c>
      <c r="O21" s="5">
        <v>5</v>
      </c>
      <c r="P21" s="5">
        <v>5</v>
      </c>
      <c r="Q21" s="5">
        <v>5</v>
      </c>
      <c r="R21" s="5">
        <v>5</v>
      </c>
      <c r="S21" s="5">
        <v>5</v>
      </c>
      <c r="T21" s="5">
        <v>5</v>
      </c>
      <c r="U21" s="5">
        <v>5</v>
      </c>
      <c r="V21" s="5">
        <v>5</v>
      </c>
      <c r="W21" s="5">
        <v>5</v>
      </c>
      <c r="X21" s="5">
        <v>5</v>
      </c>
      <c r="Y21" s="5">
        <v>5</v>
      </c>
      <c r="Z21" s="5">
        <v>5</v>
      </c>
      <c r="AA21" s="5">
        <v>5</v>
      </c>
    </row>
    <row r="22" spans="1:27" x14ac:dyDescent="0.25">
      <c r="A22" s="44" t="s">
        <v>20</v>
      </c>
      <c r="B22" s="42" t="s">
        <v>1057</v>
      </c>
      <c r="C22" s="5">
        <v>5</v>
      </c>
      <c r="D22" s="5">
        <v>5</v>
      </c>
      <c r="E22" s="5">
        <v>5</v>
      </c>
      <c r="F22" s="5">
        <v>5</v>
      </c>
      <c r="G22" s="5">
        <v>5</v>
      </c>
      <c r="H22" s="5">
        <v>5</v>
      </c>
      <c r="I22" s="5">
        <v>5</v>
      </c>
      <c r="J22" s="5">
        <v>5</v>
      </c>
      <c r="K22" s="5">
        <v>5</v>
      </c>
      <c r="L22" s="5">
        <v>5</v>
      </c>
      <c r="M22" s="5">
        <v>5</v>
      </c>
      <c r="N22" s="5">
        <v>5</v>
      </c>
      <c r="O22" s="5">
        <v>5</v>
      </c>
      <c r="P22" s="5">
        <v>5</v>
      </c>
      <c r="Q22" s="5">
        <v>5</v>
      </c>
      <c r="R22" s="5">
        <v>5</v>
      </c>
      <c r="S22" s="5">
        <v>5</v>
      </c>
      <c r="T22" s="5">
        <v>5</v>
      </c>
      <c r="U22" s="5">
        <v>5</v>
      </c>
      <c r="V22" s="5">
        <v>5</v>
      </c>
      <c r="W22" s="5">
        <v>5</v>
      </c>
      <c r="X22" s="5">
        <v>5</v>
      </c>
      <c r="Y22" s="5">
        <v>5</v>
      </c>
      <c r="Z22" s="5">
        <v>5</v>
      </c>
      <c r="AA22" s="5">
        <v>5</v>
      </c>
    </row>
    <row r="23" spans="1:27" x14ac:dyDescent="0.25">
      <c r="A23" s="46" t="s">
        <v>21</v>
      </c>
      <c r="B23" s="42" t="s">
        <v>335</v>
      </c>
      <c r="C23" s="5">
        <v>5</v>
      </c>
      <c r="D23" s="5">
        <v>5</v>
      </c>
      <c r="E23" s="5">
        <v>5</v>
      </c>
      <c r="F23" s="5">
        <v>5</v>
      </c>
      <c r="G23" s="5">
        <v>5</v>
      </c>
      <c r="H23" s="5">
        <v>5</v>
      </c>
      <c r="I23" s="5">
        <v>5</v>
      </c>
      <c r="J23" s="5">
        <v>5</v>
      </c>
      <c r="K23" s="5">
        <v>5</v>
      </c>
      <c r="L23" s="5">
        <v>5</v>
      </c>
      <c r="M23" s="5">
        <v>5</v>
      </c>
      <c r="N23" s="5">
        <v>5</v>
      </c>
      <c r="O23" s="5">
        <v>5</v>
      </c>
      <c r="P23" s="5">
        <v>5</v>
      </c>
      <c r="Q23" s="5">
        <v>5</v>
      </c>
      <c r="R23" s="5">
        <v>5</v>
      </c>
      <c r="S23" s="5">
        <v>5</v>
      </c>
      <c r="T23" s="5">
        <v>5</v>
      </c>
      <c r="U23" s="5">
        <v>5</v>
      </c>
      <c r="V23" s="5">
        <v>5</v>
      </c>
      <c r="W23" s="5">
        <v>5</v>
      </c>
      <c r="X23" s="5">
        <v>5</v>
      </c>
      <c r="Y23" s="5">
        <v>5</v>
      </c>
      <c r="Z23" s="5">
        <v>5</v>
      </c>
      <c r="AA23" s="5">
        <v>5</v>
      </c>
    </row>
    <row r="24" spans="1:27" x14ac:dyDescent="0.25">
      <c r="A24" s="44" t="s">
        <v>22</v>
      </c>
      <c r="B24" s="42" t="s">
        <v>1057</v>
      </c>
      <c r="C24" s="5">
        <v>5</v>
      </c>
      <c r="D24" s="5">
        <v>5</v>
      </c>
      <c r="E24" s="5">
        <v>5</v>
      </c>
      <c r="F24" s="5">
        <v>5</v>
      </c>
      <c r="G24" s="5">
        <v>5</v>
      </c>
      <c r="H24" s="5">
        <v>5</v>
      </c>
      <c r="I24" s="5">
        <v>5</v>
      </c>
      <c r="J24" s="5">
        <v>5</v>
      </c>
      <c r="K24" s="5">
        <v>5</v>
      </c>
      <c r="L24" s="5">
        <v>5</v>
      </c>
      <c r="M24" s="5">
        <v>5</v>
      </c>
      <c r="N24" s="5">
        <v>5</v>
      </c>
      <c r="O24" s="5">
        <v>5</v>
      </c>
      <c r="P24" s="5">
        <v>5</v>
      </c>
      <c r="Q24" s="5">
        <v>5</v>
      </c>
      <c r="R24" s="5">
        <v>5</v>
      </c>
      <c r="S24" s="5">
        <v>5</v>
      </c>
      <c r="T24" s="5">
        <v>5</v>
      </c>
      <c r="U24" s="5">
        <v>5</v>
      </c>
      <c r="V24" s="5">
        <v>5</v>
      </c>
      <c r="W24" s="5">
        <v>5</v>
      </c>
      <c r="X24" s="5">
        <v>5</v>
      </c>
      <c r="Y24" s="5">
        <v>5</v>
      </c>
      <c r="Z24" s="5">
        <v>5</v>
      </c>
      <c r="AA24" s="5">
        <v>5</v>
      </c>
    </row>
    <row r="25" spans="1:27" x14ac:dyDescent="0.25">
      <c r="A25" s="46" t="s">
        <v>23</v>
      </c>
      <c r="B25" s="42" t="s">
        <v>335</v>
      </c>
      <c r="C25" s="5">
        <v>5</v>
      </c>
      <c r="D25" s="5">
        <v>5</v>
      </c>
      <c r="E25" s="5">
        <v>5</v>
      </c>
      <c r="F25" s="5">
        <v>5</v>
      </c>
      <c r="G25" s="5">
        <v>5</v>
      </c>
      <c r="H25" s="5">
        <v>5</v>
      </c>
      <c r="I25" s="5">
        <v>5</v>
      </c>
      <c r="J25" s="5">
        <v>5</v>
      </c>
      <c r="K25" s="5">
        <v>5</v>
      </c>
      <c r="L25" s="5">
        <v>5</v>
      </c>
      <c r="M25" s="5">
        <v>5</v>
      </c>
      <c r="N25" s="5">
        <v>5</v>
      </c>
      <c r="O25" s="5">
        <v>5</v>
      </c>
      <c r="P25" s="5">
        <v>5</v>
      </c>
      <c r="Q25" s="5">
        <v>5</v>
      </c>
      <c r="R25" s="5">
        <v>5</v>
      </c>
      <c r="S25" s="5">
        <v>5</v>
      </c>
      <c r="T25" s="5">
        <v>5</v>
      </c>
      <c r="U25" s="5">
        <v>5</v>
      </c>
      <c r="V25" s="5">
        <v>5</v>
      </c>
      <c r="W25" s="5">
        <v>5</v>
      </c>
      <c r="X25" s="5">
        <v>5</v>
      </c>
      <c r="Y25" s="5">
        <v>5</v>
      </c>
      <c r="Z25" s="5">
        <v>5</v>
      </c>
      <c r="AA25" s="5">
        <v>5</v>
      </c>
    </row>
    <row r="26" spans="1:27" x14ac:dyDescent="0.25">
      <c r="A26" s="44" t="s">
        <v>24</v>
      </c>
      <c r="B26" s="42" t="s">
        <v>1057</v>
      </c>
      <c r="C26" s="5">
        <v>5</v>
      </c>
      <c r="D26" s="5">
        <v>5</v>
      </c>
      <c r="E26" s="5">
        <v>5</v>
      </c>
      <c r="F26" s="5">
        <v>5</v>
      </c>
      <c r="G26" s="5">
        <v>5</v>
      </c>
      <c r="H26" s="5">
        <v>5</v>
      </c>
      <c r="I26" s="5">
        <v>5</v>
      </c>
      <c r="J26" s="5">
        <v>5</v>
      </c>
      <c r="K26" s="5">
        <v>5</v>
      </c>
      <c r="L26" s="5">
        <v>5</v>
      </c>
      <c r="M26" s="5">
        <v>5</v>
      </c>
      <c r="N26" s="5">
        <v>5</v>
      </c>
      <c r="O26" s="5">
        <v>5</v>
      </c>
      <c r="P26" s="5">
        <v>5</v>
      </c>
      <c r="Q26" s="5">
        <v>5</v>
      </c>
      <c r="R26" s="5">
        <v>5</v>
      </c>
      <c r="S26" s="5">
        <v>5</v>
      </c>
      <c r="T26" s="5">
        <v>5</v>
      </c>
      <c r="U26" s="5">
        <v>5</v>
      </c>
      <c r="V26" s="5">
        <v>5</v>
      </c>
      <c r="W26" s="5">
        <v>5</v>
      </c>
      <c r="X26" s="5">
        <v>5</v>
      </c>
      <c r="Y26" s="5">
        <v>5</v>
      </c>
      <c r="Z26" s="5">
        <v>5</v>
      </c>
      <c r="AA26" s="5">
        <v>5</v>
      </c>
    </row>
    <row r="27" spans="1:27" x14ac:dyDescent="0.25">
      <c r="A27" s="44" t="s">
        <v>25</v>
      </c>
      <c r="B27" s="42" t="s">
        <v>1057</v>
      </c>
      <c r="C27" s="5">
        <v>5</v>
      </c>
      <c r="D27" s="5">
        <v>5</v>
      </c>
      <c r="E27" s="5">
        <v>5</v>
      </c>
      <c r="F27" s="5">
        <v>5</v>
      </c>
      <c r="G27" s="5">
        <v>5</v>
      </c>
      <c r="H27" s="5">
        <v>5</v>
      </c>
      <c r="I27" s="5">
        <v>5</v>
      </c>
      <c r="J27" s="5">
        <v>5</v>
      </c>
      <c r="K27" s="5">
        <v>5</v>
      </c>
      <c r="L27" s="5">
        <v>5</v>
      </c>
      <c r="M27" s="5">
        <v>5</v>
      </c>
      <c r="N27" s="5">
        <v>5</v>
      </c>
      <c r="O27" s="5">
        <v>5</v>
      </c>
      <c r="P27" s="5">
        <v>5</v>
      </c>
      <c r="Q27" s="5">
        <v>5</v>
      </c>
      <c r="R27" s="5">
        <v>5</v>
      </c>
      <c r="S27" s="5">
        <v>5</v>
      </c>
      <c r="T27" s="5">
        <v>5</v>
      </c>
      <c r="U27" s="5">
        <v>5</v>
      </c>
      <c r="V27" s="5">
        <v>5</v>
      </c>
      <c r="W27" s="5">
        <v>5</v>
      </c>
      <c r="X27" s="5">
        <v>5</v>
      </c>
      <c r="Y27" s="5">
        <v>5</v>
      </c>
      <c r="Z27" s="5">
        <v>5</v>
      </c>
      <c r="AA27" s="5">
        <v>5</v>
      </c>
    </row>
    <row r="28" spans="1:27" x14ac:dyDescent="0.25">
      <c r="A28" s="44" t="s">
        <v>26</v>
      </c>
      <c r="B28" s="42" t="s">
        <v>1057</v>
      </c>
      <c r="C28" s="5">
        <v>5</v>
      </c>
      <c r="D28" s="5">
        <v>5</v>
      </c>
      <c r="E28" s="5">
        <v>5</v>
      </c>
      <c r="F28" s="5">
        <v>5</v>
      </c>
      <c r="G28" s="5">
        <v>5</v>
      </c>
      <c r="H28" s="5">
        <v>5</v>
      </c>
      <c r="I28" s="5">
        <v>5</v>
      </c>
      <c r="J28" s="5">
        <v>5</v>
      </c>
      <c r="K28" s="5">
        <v>5</v>
      </c>
      <c r="L28" s="5">
        <v>5</v>
      </c>
      <c r="M28" s="5">
        <v>5</v>
      </c>
      <c r="N28" s="5">
        <v>5</v>
      </c>
      <c r="O28" s="5">
        <v>5</v>
      </c>
      <c r="P28" s="5">
        <v>5</v>
      </c>
      <c r="Q28" s="5">
        <v>5</v>
      </c>
      <c r="R28" s="5">
        <v>5</v>
      </c>
      <c r="S28" s="5">
        <v>5</v>
      </c>
      <c r="T28" s="5">
        <v>5</v>
      </c>
      <c r="U28" s="5">
        <v>5</v>
      </c>
      <c r="V28" s="5">
        <v>5</v>
      </c>
      <c r="W28" s="5">
        <v>5</v>
      </c>
      <c r="X28" s="5">
        <v>5</v>
      </c>
      <c r="Y28" s="5">
        <v>5</v>
      </c>
      <c r="Z28" s="5">
        <v>5</v>
      </c>
      <c r="AA28" s="5">
        <v>5</v>
      </c>
    </row>
    <row r="29" spans="1:27" x14ac:dyDescent="0.25">
      <c r="A29" s="44" t="s">
        <v>27</v>
      </c>
      <c r="B29" s="42" t="s">
        <v>1057</v>
      </c>
      <c r="C29" s="5">
        <v>5</v>
      </c>
      <c r="D29" s="5">
        <v>5</v>
      </c>
      <c r="E29" s="5">
        <v>5</v>
      </c>
      <c r="F29" s="5">
        <v>5</v>
      </c>
      <c r="G29" s="5">
        <v>5</v>
      </c>
      <c r="H29" s="5">
        <v>5</v>
      </c>
      <c r="I29" s="5">
        <v>5</v>
      </c>
      <c r="J29" s="5">
        <v>5</v>
      </c>
      <c r="K29" s="5">
        <v>5</v>
      </c>
      <c r="L29" s="5">
        <v>5</v>
      </c>
      <c r="M29" s="5">
        <v>5</v>
      </c>
      <c r="N29" s="5">
        <v>5</v>
      </c>
      <c r="O29" s="5">
        <v>5</v>
      </c>
      <c r="P29" s="5">
        <v>5</v>
      </c>
      <c r="Q29" s="5">
        <v>5</v>
      </c>
      <c r="R29" s="5">
        <v>5</v>
      </c>
      <c r="S29" s="5">
        <v>5</v>
      </c>
      <c r="T29" s="5">
        <v>5</v>
      </c>
      <c r="U29" s="5">
        <v>5</v>
      </c>
      <c r="V29" s="5">
        <v>5</v>
      </c>
      <c r="W29" s="5">
        <v>5</v>
      </c>
      <c r="X29" s="5">
        <v>5</v>
      </c>
      <c r="Y29" s="5">
        <v>5</v>
      </c>
      <c r="Z29" s="5">
        <v>5</v>
      </c>
      <c r="AA29" s="5">
        <v>5</v>
      </c>
    </row>
    <row r="30" spans="1:27" x14ac:dyDescent="0.25">
      <c r="A30" s="44" t="s">
        <v>28</v>
      </c>
      <c r="B30" s="42" t="s">
        <v>1057</v>
      </c>
      <c r="C30" s="5">
        <v>5</v>
      </c>
      <c r="D30" s="5">
        <v>5</v>
      </c>
      <c r="E30" s="5">
        <v>5</v>
      </c>
      <c r="F30" s="5">
        <v>5</v>
      </c>
      <c r="G30" s="5">
        <v>5</v>
      </c>
      <c r="H30" s="5">
        <v>5</v>
      </c>
      <c r="I30" s="5">
        <v>5</v>
      </c>
      <c r="J30" s="5">
        <v>5</v>
      </c>
      <c r="K30" s="5">
        <v>5</v>
      </c>
      <c r="L30" s="5">
        <v>5</v>
      </c>
      <c r="M30" s="5">
        <v>5</v>
      </c>
      <c r="N30" s="5">
        <v>5</v>
      </c>
      <c r="O30" s="5">
        <v>5</v>
      </c>
      <c r="P30" s="5">
        <v>5</v>
      </c>
      <c r="Q30" s="5">
        <v>5</v>
      </c>
      <c r="R30" s="5">
        <v>5</v>
      </c>
      <c r="S30" s="5">
        <v>5</v>
      </c>
      <c r="T30" s="5">
        <v>5</v>
      </c>
      <c r="U30" s="5">
        <v>5</v>
      </c>
      <c r="V30" s="5">
        <v>5</v>
      </c>
      <c r="W30" s="5">
        <v>5</v>
      </c>
      <c r="X30" s="5">
        <v>5</v>
      </c>
      <c r="Y30" s="5">
        <v>5</v>
      </c>
      <c r="Z30" s="5">
        <v>5</v>
      </c>
      <c r="AA30" s="5">
        <v>5</v>
      </c>
    </row>
  </sheetData>
  <sheetProtection algorithmName="SHA-512" hashValue="MvTmrZ6KhUfTPXum3Bdoo53fPwt+VomCnJOoP/luOBu6rXnRP/0da3SBE8IJgSAyOae+q6nHFJHM1s/RBT0fHw==" saltValue="aRUZGj1JzoCYor4yUOzRkw==" spinCount="100000" sheet="1" formatColumns="0" formatRows="0" autoFilter="0"/>
  <autoFilter ref="A1:AA30" xr:uid="{00000000-0009-0000-0000-000019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Y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5.42578125" style="1" bestFit="1" customWidth="1"/>
    <col min="4" max="4" width="15.5703125" style="1" bestFit="1" customWidth="1"/>
    <col min="5" max="5" width="14.28515625" style="1" bestFit="1" customWidth="1"/>
    <col min="6" max="6" width="15" style="1" bestFit="1" customWidth="1"/>
    <col min="7" max="7" width="14.42578125" style="1" bestFit="1" customWidth="1"/>
    <col min="8" max="8" width="14.7109375" style="1" bestFit="1" customWidth="1"/>
    <col min="9" max="9" width="14.140625" style="1" bestFit="1" customWidth="1"/>
    <col min="10" max="10" width="15.5703125" style="1" bestFit="1" customWidth="1"/>
    <col min="11" max="11" width="14.42578125" style="1" bestFit="1" customWidth="1"/>
    <col min="12" max="12" width="16.140625" style="1" bestFit="1" customWidth="1"/>
    <col min="13" max="13" width="13.28515625" style="1" bestFit="1" customWidth="1"/>
    <col min="14" max="15" width="14.42578125" style="1" bestFit="1" customWidth="1"/>
    <col min="16" max="16" width="15.5703125" style="1" bestFit="1" customWidth="1"/>
    <col min="17" max="17" width="15.7109375" style="1" bestFit="1" customWidth="1"/>
    <col min="18" max="18" width="14.42578125" style="1" bestFit="1" customWidth="1"/>
    <col min="19" max="19" width="13.5703125" style="1" bestFit="1" customWidth="1"/>
    <col min="20" max="20" width="14.7109375" style="1" bestFit="1" customWidth="1"/>
    <col min="21" max="21" width="15" style="1" bestFit="1" customWidth="1"/>
    <col min="22" max="22" width="15.42578125" style="1" bestFit="1" customWidth="1"/>
    <col min="23" max="23" width="14.7109375" style="1" bestFit="1" customWidth="1"/>
    <col min="24" max="24" width="15.42578125" style="1" bestFit="1" customWidth="1"/>
    <col min="25" max="26" width="13.85546875" style="1" bestFit="1" customWidth="1"/>
    <col min="27" max="27" width="15.85546875" style="1" bestFit="1" customWidth="1"/>
    <col min="28" max="28" width="15" style="1" bestFit="1" customWidth="1"/>
    <col min="29" max="29" width="15.28515625" style="1" bestFit="1" customWidth="1"/>
    <col min="30" max="30" width="14" style="1" bestFit="1" customWidth="1"/>
    <col min="31" max="31" width="14.7109375" style="1" bestFit="1" customWidth="1"/>
    <col min="32" max="32" width="14.140625" style="1" bestFit="1" customWidth="1"/>
    <col min="33" max="33" width="14.42578125" style="1" bestFit="1" customWidth="1"/>
    <col min="34" max="34" width="13.85546875" style="1" bestFit="1" customWidth="1"/>
    <col min="35" max="35" width="15.28515625" style="1" bestFit="1" customWidth="1"/>
    <col min="36" max="36" width="14.140625" style="1" bestFit="1" customWidth="1"/>
    <col min="37" max="37" width="15.85546875" style="1" bestFit="1" customWidth="1"/>
    <col min="38" max="38" width="13" style="1" bestFit="1" customWidth="1"/>
    <col min="39" max="40" width="14.140625" style="1" bestFit="1" customWidth="1"/>
    <col min="41" max="41" width="15.28515625" style="1" bestFit="1" customWidth="1"/>
    <col min="42" max="42" width="15.42578125" style="1" bestFit="1" customWidth="1"/>
    <col min="43" max="43" width="14.140625" style="1" bestFit="1" customWidth="1"/>
    <col min="44" max="44" width="13.28515625" style="1" bestFit="1" customWidth="1"/>
    <col min="45" max="45" width="14.42578125" style="1" bestFit="1" customWidth="1"/>
    <col min="46" max="46" width="14.7109375" style="1" bestFit="1" customWidth="1"/>
    <col min="47" max="47" width="15" style="1" bestFit="1" customWidth="1"/>
    <col min="48" max="48" width="14.42578125" style="1" bestFit="1" customWidth="1"/>
    <col min="49" max="49" width="15" style="1" bestFit="1" customWidth="1"/>
    <col min="50" max="51" width="13.42578125" style="1" bestFit="1" customWidth="1"/>
    <col min="52" max="52" width="15.5703125" style="1" bestFit="1" customWidth="1"/>
    <col min="53" max="54" width="15.7109375" style="1" bestFit="1" customWidth="1"/>
    <col min="55" max="55" width="14.7109375" style="1" bestFit="1" customWidth="1"/>
    <col min="56" max="56" width="15.42578125" style="1" bestFit="1" customWidth="1"/>
    <col min="57" max="57" width="14.5703125" style="1" bestFit="1" customWidth="1"/>
    <col min="58" max="58" width="14.85546875" style="1" bestFit="1" customWidth="1"/>
    <col min="59" max="59" width="14.28515625" style="1" bestFit="1" customWidth="1"/>
    <col min="60" max="60" width="15.7109375" style="1" bestFit="1" customWidth="1"/>
    <col min="61" max="61" width="14.5703125" style="1" bestFit="1" customWidth="1"/>
    <col min="62" max="62" width="16.42578125" style="1" bestFit="1" customWidth="1"/>
    <col min="63" max="63" width="13.7109375" style="1" bestFit="1" customWidth="1"/>
    <col min="64" max="65" width="14.5703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5.140625" style="1" bestFit="1" customWidth="1"/>
    <col min="71" max="71" width="15.42578125" style="1" bestFit="1" customWidth="1"/>
    <col min="72" max="72" width="15.85546875" style="1" bestFit="1" customWidth="1"/>
    <col min="73" max="73" width="14.85546875" style="1" bestFit="1" customWidth="1"/>
    <col min="74" max="74" width="15.5703125" style="1" bestFit="1" customWidth="1"/>
    <col min="75" max="75" width="14.140625" style="1" bestFit="1" customWidth="1"/>
    <col min="76" max="76" width="14" style="1" bestFit="1" customWidth="1"/>
    <col min="77" max="77" width="16.140625" style="1" bestFit="1" customWidth="1"/>
  </cols>
  <sheetData>
    <row r="1" spans="1:77" x14ac:dyDescent="0.25">
      <c r="A1" s="72" t="s">
        <v>39</v>
      </c>
      <c r="B1" s="73" t="s">
        <v>334</v>
      </c>
      <c r="C1" s="106" t="s">
        <v>650</v>
      </c>
      <c r="D1" s="106" t="s">
        <v>651</v>
      </c>
      <c r="E1" s="106" t="s">
        <v>652</v>
      </c>
      <c r="F1" s="106" t="s">
        <v>653</v>
      </c>
      <c r="G1" s="106" t="s">
        <v>654</v>
      </c>
      <c r="H1" s="106" t="s">
        <v>655</v>
      </c>
      <c r="I1" s="106" t="s">
        <v>656</v>
      </c>
      <c r="J1" s="106" t="s">
        <v>657</v>
      </c>
      <c r="K1" s="106" t="s">
        <v>658</v>
      </c>
      <c r="L1" s="106" t="s">
        <v>659</v>
      </c>
      <c r="M1" s="106" t="s">
        <v>660</v>
      </c>
      <c r="N1" s="106" t="s">
        <v>661</v>
      </c>
      <c r="O1" s="106" t="s">
        <v>662</v>
      </c>
      <c r="P1" s="106" t="s">
        <v>663</v>
      </c>
      <c r="Q1" s="106" t="s">
        <v>664</v>
      </c>
      <c r="R1" s="106" t="s">
        <v>665</v>
      </c>
      <c r="S1" s="106" t="s">
        <v>666</v>
      </c>
      <c r="T1" s="106" t="s">
        <v>1282</v>
      </c>
      <c r="U1" s="106" t="s">
        <v>667</v>
      </c>
      <c r="V1" s="106" t="s">
        <v>668</v>
      </c>
      <c r="W1" s="106" t="s">
        <v>669</v>
      </c>
      <c r="X1" s="106" t="s">
        <v>670</v>
      </c>
      <c r="Y1" s="106" t="s">
        <v>671</v>
      </c>
      <c r="Z1" s="106" t="s">
        <v>672</v>
      </c>
      <c r="AA1" s="106" t="s">
        <v>720</v>
      </c>
      <c r="AB1" s="106" t="s">
        <v>673</v>
      </c>
      <c r="AC1" s="106" t="s">
        <v>674</v>
      </c>
      <c r="AD1" s="106" t="s">
        <v>675</v>
      </c>
      <c r="AE1" s="106" t="s">
        <v>676</v>
      </c>
      <c r="AF1" s="106" t="s">
        <v>677</v>
      </c>
      <c r="AG1" s="106" t="s">
        <v>678</v>
      </c>
      <c r="AH1" s="106" t="s">
        <v>679</v>
      </c>
      <c r="AI1" s="106" t="s">
        <v>680</v>
      </c>
      <c r="AJ1" s="106" t="s">
        <v>681</v>
      </c>
      <c r="AK1" s="106" t="s">
        <v>682</v>
      </c>
      <c r="AL1" s="106" t="s">
        <v>683</v>
      </c>
      <c r="AM1" s="106" t="s">
        <v>684</v>
      </c>
      <c r="AN1" s="106" t="s">
        <v>685</v>
      </c>
      <c r="AO1" s="106" t="s">
        <v>686</v>
      </c>
      <c r="AP1" s="106" t="s">
        <v>687</v>
      </c>
      <c r="AQ1" s="106" t="s">
        <v>688</v>
      </c>
      <c r="AR1" s="106" t="s">
        <v>689</v>
      </c>
      <c r="AS1" s="106" t="s">
        <v>1284</v>
      </c>
      <c r="AT1" s="106" t="s">
        <v>690</v>
      </c>
      <c r="AU1" s="106" t="s">
        <v>691</v>
      </c>
      <c r="AV1" s="106" t="s">
        <v>692</v>
      </c>
      <c r="AW1" s="106" t="s">
        <v>693</v>
      </c>
      <c r="AX1" s="106" t="s">
        <v>694</v>
      </c>
      <c r="AY1" s="106" t="s">
        <v>695</v>
      </c>
      <c r="AZ1" s="106" t="s">
        <v>721</v>
      </c>
      <c r="BA1" s="106" t="s">
        <v>696</v>
      </c>
      <c r="BB1" s="106" t="s">
        <v>697</v>
      </c>
      <c r="BC1" s="106" t="s">
        <v>698</v>
      </c>
      <c r="BD1" s="106" t="s">
        <v>699</v>
      </c>
      <c r="BE1" s="106" t="s">
        <v>700</v>
      </c>
      <c r="BF1" s="106" t="s">
        <v>701</v>
      </c>
      <c r="BG1" s="106" t="s">
        <v>702</v>
      </c>
      <c r="BH1" s="106" t="s">
        <v>703</v>
      </c>
      <c r="BI1" s="106" t="s">
        <v>704</v>
      </c>
      <c r="BJ1" s="106" t="s">
        <v>705</v>
      </c>
      <c r="BK1" s="106" t="s">
        <v>706</v>
      </c>
      <c r="BL1" s="106" t="s">
        <v>707</v>
      </c>
      <c r="BM1" s="106" t="s">
        <v>708</v>
      </c>
      <c r="BN1" s="106" t="s">
        <v>709</v>
      </c>
      <c r="BO1" s="106" t="s">
        <v>710</v>
      </c>
      <c r="BP1" s="106" t="s">
        <v>711</v>
      </c>
      <c r="BQ1" s="106" t="s">
        <v>712</v>
      </c>
      <c r="BR1" s="106" t="s">
        <v>1285</v>
      </c>
      <c r="BS1" s="106" t="s">
        <v>713</v>
      </c>
      <c r="BT1" s="106" t="s">
        <v>714</v>
      </c>
      <c r="BU1" s="106" t="s">
        <v>715</v>
      </c>
      <c r="BV1" s="106" t="s">
        <v>716</v>
      </c>
      <c r="BW1" s="106" t="s">
        <v>717</v>
      </c>
      <c r="BX1" s="106" t="s">
        <v>718</v>
      </c>
      <c r="BY1" s="106" t="s">
        <v>722</v>
      </c>
    </row>
    <row r="2" spans="1:77" x14ac:dyDescent="0.25">
      <c r="A2" s="44" t="s">
        <v>0</v>
      </c>
      <c r="B2" s="42" t="s">
        <v>1057</v>
      </c>
      <c r="C2" s="108">
        <f>IFERROR(IF(up_Bv!C2=0,".",((s_Ir*s_F*up_Bv!C2*(1-EXP(-up_RadSpec!$AZ2*s_t_b)))/(s_P*up_RadSpec!$AZ2))),".")</f>
        <v>993.50362303732038</v>
      </c>
      <c r="D2" s="108">
        <f>IFERROR(IF(up_Bv!D2=0,".",((s_Ir*s_F*up_Bv!D2*(1-EXP(-up_RadSpec!AZ2*s_t_b)))/(s_P*up_RadSpec!AZ2))),".")</f>
        <v>993.50362303732038</v>
      </c>
      <c r="E2" s="108">
        <f>IFERROR(IF(up_Bv!E2=0,".",((s_Ir*s_F*up_Bv!E2*(1-EXP(-up_RadSpec!AZ2*s_t_b)))/(s_P*up_RadSpec!AZ2))),".")</f>
        <v>993.50362303732038</v>
      </c>
      <c r="F2" s="108">
        <f>IFERROR(IF(up_Bv!F2=0,".",((s_Ir*s_F*up_Bv!F2*(1-EXP(-up_RadSpec!AZ2*s_t_b)))/(s_P*up_RadSpec!AZ2))),".")</f>
        <v>993.50362303732038</v>
      </c>
      <c r="G2" s="108">
        <f>IFERROR(IF(up_Bv!G2=0,".",((s_Ir*s_F*up_Bv!G2*(1-EXP(-up_RadSpec!AZ2*s_t_b)))/(s_P*up_RadSpec!AZ2))),".")</f>
        <v>993.50362303732038</v>
      </c>
      <c r="H2" s="108">
        <f>IFERROR(IF(up_Bv!H2=0,".",((s_Ir*s_F*up_Bv!H2*(1-EXP(-up_RadSpec!AZ2*s_t_b)))/(s_P*up_RadSpec!AZ2))),".")</f>
        <v>993.50362303732038</v>
      </c>
      <c r="I2" s="108">
        <f>IFERROR(IF(up_Bv!I2=0,".",((s_Ir*s_F*up_Bv!I2*(1-EXP(-up_RadSpec!AZ2*s_t_b)))/(s_P*up_RadSpec!AZ2))),".")</f>
        <v>993.50362303732038</v>
      </c>
      <c r="J2" s="108">
        <f>IFERROR(IF(up_Bv!J2=0,".",((s_Ir*s_F*up_Bv!J2*(1-EXP(-up_RadSpec!AZ2*s_t_b)))/(s_P*up_RadSpec!AZ2))),".")</f>
        <v>993.50362303732038</v>
      </c>
      <c r="K2" s="108">
        <f>IFERROR(IF(up_Bv!K2=0,".",((s_Ir*s_F*up_Bv!K2*(1-EXP(-up_RadSpec!AZ2*s_t_b)))/(s_P*up_RadSpec!AZ2))),".")</f>
        <v>993.50362303732038</v>
      </c>
      <c r="L2" s="108">
        <f>IFERROR(IF(up_Bv!L2=0,".",((s_Ir*s_F*up_Bv!L2*(1-EXP(-up_RadSpec!AZ2*s_t_b)))/(s_P*up_RadSpec!AZ2))),".")</f>
        <v>993.50362303732038</v>
      </c>
      <c r="M2" s="108">
        <f>IFERROR(IF(up_Bv!M2=0,".",((s_Ir*s_F*up_Bv!M2*(1-EXP(-up_RadSpec!AZ2*s_t_b)))/(s_P*up_RadSpec!AZ2))),".")</f>
        <v>993.50362303732038</v>
      </c>
      <c r="N2" s="108">
        <f>IFERROR(IF(up_Bv!N2=0,".",((s_Ir*s_F*up_Bv!N2*(1-EXP(-up_RadSpec!AZ2*s_t_b)))/(s_P*up_RadSpec!AZ2))),".")</f>
        <v>993.50362303732038</v>
      </c>
      <c r="O2" s="108">
        <f>IFERROR(IF(up_Bv!O2=0,".",((s_Ir*s_F*up_Bv!O2*(1-EXP(-up_RadSpec!AZ2*s_t_b)))/(s_P*up_RadSpec!AZ2))),".")</f>
        <v>993.50362303732038</v>
      </c>
      <c r="P2" s="108">
        <f>IFERROR(IF(up_Bv!P2=0,".",((s_Ir*s_F*up_Bv!P2*(1-EXP(-up_RadSpec!AZ2*s_t_b)))/(s_P*up_RadSpec!AZ2))),".")</f>
        <v>993.50362303732038</v>
      </c>
      <c r="Q2" s="108">
        <f>IFERROR(IF(up_Bv!Q2=0,".",((s_Ir*s_F*up_Bv!Q2*(1-EXP(-up_RadSpec!AZ2*s_t_b)))/(s_P*up_RadSpec!AZ2))),".")</f>
        <v>993.50362303732038</v>
      </c>
      <c r="R2" s="108">
        <f>IFERROR(IF(up_Bv!R2=0,".",((s_Ir*s_F*up_Bv!R2*(1-EXP(-up_RadSpec!AZ2*s_t_b)))/(s_P*up_RadSpec!AZ2))),".")</f>
        <v>993.50362303732038</v>
      </c>
      <c r="S2" s="108">
        <f>IFERROR(IF(up_Bv!S2=0,".",((s_Ir*s_F*up_Bv!S2*(1-EXP(-up_RadSpec!AZ2*s_t_b)))/(s_P*up_RadSpec!AZ2))),".")</f>
        <v>993.50362303732038</v>
      </c>
      <c r="T2" s="108">
        <f>IFERROR(IF(up_Bv!T2=0,".",((s_Ir*s_F*up_Bv!T2*(1-EXP(-up_RadSpec!AZ2*s_t_b)))/(s_P*up_RadSpec!AZ2))),".")</f>
        <v>993.50362303732038</v>
      </c>
      <c r="U2" s="108">
        <f>IFERROR(IF(up_Bv!U2=0,".",((s_Ir*s_F*up_Bv!U2*(1-EXP(-up_RadSpec!AZ2*s_t_b)))/(s_P*up_RadSpec!AZ2))),".")</f>
        <v>993.50362303732038</v>
      </c>
      <c r="V2" s="108">
        <f>IFERROR(IF(up_Bv!V2=0,".",((s_Ir*s_F*up_Bv!V2*(1-EXP(-up_RadSpec!AZ2*s_t_b)))/(s_P*up_RadSpec!AZ2))),".")</f>
        <v>993.50362303732038</v>
      </c>
      <c r="W2" s="108">
        <f>IFERROR(IF(up_Bv!W2=0,".",((s_Ir*s_F*up_Bv!W2*(1-EXP(-up_RadSpec!AZ2*s_t_b)))/(s_P*up_RadSpec!AZ2))),".")</f>
        <v>993.50362303732038</v>
      </c>
      <c r="X2" s="108">
        <f>IFERROR(IF(up_Bv!X2=0,".",((s_Ir*s_F*up_Bv!X2*(1-EXP(-up_RadSpec!AZ2*s_t_b)))/(s_P*up_RadSpec!AZ2))),".")</f>
        <v>993.50362303732038</v>
      </c>
      <c r="Y2" s="108">
        <f>IFERROR(IF(up_Bv!Y2=0,".",((s_Ir*s_F*up_Bv!Y2*(1-EXP(-up_RadSpec!AZ2*s_t_b)))/(s_P*up_RadSpec!AZ2))),".")</f>
        <v>993.50362303732038</v>
      </c>
      <c r="Z2" s="108">
        <f>IFERROR(IF(up_Bv!Z2=0,".",((s_Ir*s_F*up_Bv!Z2*(1-EXP(-up_RadSpec!AZ2*s_t_b)))/(s_P*up_RadSpec!AZ2))),".")</f>
        <v>993.50362303732038</v>
      </c>
      <c r="AA2" s="108">
        <f>IFERROR(IF(up_Bv!AA2=0,".",((s_Ir*s_F*up_Bv!AA2*(1-EXP(-up_RadSpec!AZ2*s_t_b)))/(s_P*up_RadSpec!AZ2))),".")</f>
        <v>993.50362303732038</v>
      </c>
      <c r="AB2" s="108">
        <f>IFERROR(IF(up_Bv!C2=0,".",((s_Ir*s_F*s_MLF_apple*(1-EXP(-up_RadSpec!AZ2*s_t_b)))/(s_P*up_RadSpec!AZ2))),".")</f>
        <v>2.6824597822007652</v>
      </c>
      <c r="AC2" s="108">
        <f>IFERROR(IF(up_Bv!D2=0,".",((s_Ir*s_F*s_MLF_asparagus*(1-EXP(-up_RadSpec!AZ2*s_t_b)))/(s_P*up_RadSpec!AZ2))),".")</f>
        <v>2.6824597822007652</v>
      </c>
      <c r="AD2" s="108">
        <f>IFERROR(IF(up_Bv!E2=0,".",((s_Ir*s_F*s_MLF_beet*(1-EXP(-up_RadSpec!AZ2*s_t_b)))/(s_P*up_RadSpec!AZ2))),".")</f>
        <v>2.6824597822007652</v>
      </c>
      <c r="AE2" s="108">
        <f>IFERROR(IF(up_Bv!F2=0,".",((s_Ir*s_F*s_MLF_berries*(1-EXP(-up_RadSpec!AZ2*s_t_b)))/(s_P*up_RadSpec!AZ2))),".")</f>
        <v>2.6824597822007652</v>
      </c>
      <c r="AF2" s="108">
        <f>IFERROR(IF(up_Bv!G2=0,".",((s_Ir*s_F*s_MLF_broccoli*(1-EXP(-up_RadSpec!AZ2*s_t_b)))/(s_P*up_RadSpec!AZ2))),".")</f>
        <v>2.6824597822007652</v>
      </c>
      <c r="AG2" s="108">
        <f>IFERROR(IF(up_Bv!H2=0,".",((s_Ir*s_F*s_MLF_cabbage*(1-EXP(-up_RadSpec!AZ2*s_t_b)))/(s_P*up_RadSpec!AZ2))),".")</f>
        <v>2.6824597822007652</v>
      </c>
      <c r="AH2" s="108">
        <f>IFERROR(IF(up_Bv!I2=0,".",((s_Ir*s_F*s_MLF_carrot*(1-EXP(-up_RadSpec!AZ2*s_t_b)))/(s_P*up_RadSpec!AZ2))),".")</f>
        <v>2.6824597822007652</v>
      </c>
      <c r="AI2" s="108">
        <f>IFERROR(IF(up_Bv!J2=0,".",((s_Ir*s_F*s_MLF_citrus*(1-EXP(-up_RadSpec!AZ2*s_t_b)))/(s_P*up_RadSpec!AZ2))),".")</f>
        <v>2.6824597822007652</v>
      </c>
      <c r="AJ2" s="108">
        <f>IFERROR(IF(up_Bv!K2=0,".",((s_Ir*s_F*s_MLF_corn*(1-EXP(-up_RadSpec!AZ2*s_t_b)))/(s_P*up_RadSpec!AZ2))),".")</f>
        <v>2.6824597822007652</v>
      </c>
      <c r="AK2" s="108">
        <f>IFERROR(IF(up_Bv!L2=0,".",((s_Ir*s_F*s_MLF_cucumber*(1-EXP(-up_RadSpec!AZ2*s_t_b)))/(s_P*up_RadSpec!AZ2))),".")</f>
        <v>2.6824597822007652</v>
      </c>
      <c r="AL2" s="108">
        <f>IFERROR(IF(up_Bv!M2=0,".",((s_Ir*s_F*s_MLF_lettuce*(1-EXP(-up_RadSpec!AZ2*s_t_b)))/(s_P*up_RadSpec!AZ2))),".")</f>
        <v>2.6824597822007652</v>
      </c>
      <c r="AM2" s="108">
        <f>IFERROR(IF(up_Bv!N2=0,".",((s_Ir*s_F*s_MLF_lima_bean*(1-EXP(-up_RadSpec!AZ2*s_t_b)))/(s_P*up_RadSpec!AZ2))),".")</f>
        <v>2.6824597822007652</v>
      </c>
      <c r="AN2" s="108">
        <f>IFERROR(IF(up_Bv!O2=0,".",((s_Ir*s_F*s_MLF_okra*(1-EXP(-up_RadSpec!AZ2*s_t_b)))/(s_P*up_RadSpec!AZ2))),".")</f>
        <v>2.6824597822007652</v>
      </c>
      <c r="AO2" s="108">
        <f>IFERROR(IF(up_Bv!P2=0,".",((s_Ir*s_F*s_MLF_onion*(1-EXP(-up_RadSpec!AZ2*s_t_b)))/(s_P*up_RadSpec!AZ2))),".")</f>
        <v>2.6824597822007652</v>
      </c>
      <c r="AP2" s="108">
        <f>IFERROR(IF(up_Bv!Q2=0,".",((s_Ir*s_F*s_MLF_peach*(1-EXP(-up_RadSpec!AZ2*s_t_b)))/(s_P*up_RadSpec!AZ2))),".")</f>
        <v>2.6824597822007652</v>
      </c>
      <c r="AQ2" s="108">
        <f>IFERROR(IF(up_Bv!R2=0,".",((s_Ir*s_F*s_MLF_pear*(1-EXP(-up_RadSpec!AZ2*s_t_b)))/(s_P*up_RadSpec!AZ2))),".")</f>
        <v>2.6824597822007652</v>
      </c>
      <c r="AR2" s="108">
        <f>IFERROR(IF(up_Bv!S2=0,".",((s_Ir*s_F*s_MLF_peas*(1-EXP(-up_RadSpec!AZ2*s_t_b)))/(s_P*up_RadSpec!AZ2))),".")</f>
        <v>2.6824597822007652</v>
      </c>
      <c r="AS2" s="108">
        <f>IFERROR(IF(up_Bv!T2=0,".",((s_Ir*s_F*s_MLF_peppers*(1-EXP(-up_RadSpec!AZ2*s_t_b)))/(s_P*up_RadSpec!AZ2))),".")</f>
        <v>2.6824597822007652</v>
      </c>
      <c r="AT2" s="108">
        <f>IFERROR(IF(up_Bv!U2=0,".",((s_Ir*s_F*s_MLF_potato*(1-EXP(-up_RadSpec!AZ2*s_t_b)))/(s_P*up_RadSpec!AZ2))),".")</f>
        <v>2.6824597822007652</v>
      </c>
      <c r="AU2" s="108">
        <f>IFERROR(IF(up_Bv!V2=0,".",((s_Ir*s_F*s_MLF_pumpkin*(1-EXP(-up_RadSpec!AZ2*s_t_b)))/(s_P*up_RadSpec!AZ2))),".")</f>
        <v>2.6824597822007652</v>
      </c>
      <c r="AV2" s="108">
        <f>IFERROR(IF(up_Bv!W2=0,".",((s_Ir*s_F*s_MLF_snap_bean*(1-EXP(-up_RadSpec!AZ2*s_t_b)))/(s_P*up_RadSpec!AZ2))),".")</f>
        <v>2.6824597822007652</v>
      </c>
      <c r="AW2" s="108">
        <f>IFERROR(IF(up_Bv!X2=0,".",((s_Ir*s_F*s_MLF_strawberry*(1-EXP(-up_RadSpec!AZ2*s_t_b)))/(s_P*up_RadSpec!AZ2))),".")</f>
        <v>2.6824597822007652</v>
      </c>
      <c r="AX2" s="108">
        <f>IFERROR(IF(up_Bv!Y2=0,".",((s_Ir*s_F*s_MLF_tomato*(1-EXP(-up_RadSpec!AZ2*s_t_b)))/(s_P*up_RadSpec!AZ2))),".")</f>
        <v>2.6824597822007652</v>
      </c>
      <c r="AY2" s="108">
        <f>IFERROR(IF(up_Bv!Z2=0,".",((s_Ir*s_F*s_MLF_rice*(1-EXP(-up_RadSpec!AZ2*s_t_b)))/(s_P*up_RadSpec!AZ2))),".")</f>
        <v>2.6824597822007652</v>
      </c>
      <c r="AZ2" s="108">
        <f>IFERROR(IF(up_Bv!AA2=0,".",((s_Ir*s_F*s_MLF_cereal*(1-EXP(-up_RadSpec!AZ2*s_t_b)))/(s_P*up_RadSpec!AZ2))),".")</f>
        <v>2.6824597822007652</v>
      </c>
      <c r="BA2" s="108">
        <f>IFERROR(IF(up_Bv!C2=0,".",((s_Ir*s_F*s_I_f*s_T*(1-EXP(-up_RadSpec!BA2*s_t_v)))/(s_Y_v*up_RadSpec!BA2))),".")</f>
        <v>9.0143481925428208</v>
      </c>
      <c r="BB2" s="108">
        <f>IFERROR(IF(up_Bv!D2=0,".",((s_Ir*s_F*s_I_f*s_T*(1-EXP(-up_RadSpec!BA2*s_t_v)))/(s_Y_v*up_RadSpec!BA2))),".")</f>
        <v>9.0143481925428208</v>
      </c>
      <c r="BC2" s="108">
        <f>IFERROR(IF(up_Bv!E2=0,".",((s_Ir*s_F*s_I_f*s_T*(1-EXP(-up_RadSpec!BA2*s_t_v)))/(s_Y_v*up_RadSpec!BA2))),".")</f>
        <v>9.0143481925428208</v>
      </c>
      <c r="BD2" s="108">
        <f>IFERROR(IF(up_Bv!F2=0,".",((s_Ir*s_F*s_I_f*s_T*(1-EXP(-up_RadSpec!BA2*s_t_v)))/(s_Y_v*up_RadSpec!BA2))),".")</f>
        <v>9.0143481925428208</v>
      </c>
      <c r="BE2" s="108">
        <f>IFERROR(IF(up_Bv!G2=0,".",((s_Ir*s_F*s_I_f*s_T*(1-EXP(-up_RadSpec!BA2*s_t_v)))/(s_Y_v*up_RadSpec!BA2))),".")</f>
        <v>9.0143481925428208</v>
      </c>
      <c r="BF2" s="108">
        <f>IFERROR(IF(up_Bv!H2=0,".",((s_Ir*s_F*s_I_f*s_T*(1-EXP(-up_RadSpec!BA2*s_t_v)))/(s_Y_v*up_RadSpec!BA2))),".")</f>
        <v>9.0143481925428208</v>
      </c>
      <c r="BG2" s="108">
        <f>IFERROR(IF(up_Bv!I2=0,".",((s_Ir*s_F*s_I_f*s_T*(1-EXP(-up_RadSpec!BA2*s_t_v)))/(s_Y_v*up_RadSpec!BA2))),".")</f>
        <v>9.0143481925428208</v>
      </c>
      <c r="BH2" s="108">
        <f>IFERROR(IF(up_Bv!J2=0,".",((s_Ir*s_F*s_I_f*s_T*(1-EXP(-up_RadSpec!BA2*s_t_v)))/(s_Y_v*up_RadSpec!BA2))),".")</f>
        <v>9.0143481925428208</v>
      </c>
      <c r="BI2" s="108">
        <f>IFERROR(IF(up_Bv!K2=0,".",((s_Ir*s_F*s_I_f*s_T*(1-EXP(-up_RadSpec!BA2*s_t_v)))/(s_Y_v*up_RadSpec!BA2))),".")</f>
        <v>9.0143481925428208</v>
      </c>
      <c r="BJ2" s="108">
        <f>IFERROR(IF(up_Bv!L2=0,".",((s_Ir*s_F*s_I_f*s_T*(1-EXP(-up_RadSpec!BA2*s_t_v)))/(s_Y_v*up_RadSpec!BA2))),".")</f>
        <v>9.0143481925428208</v>
      </c>
      <c r="BK2" s="108">
        <f>IFERROR(IF(up_Bv!M2=0,".",((s_Ir*s_F*s_I_f*s_T*(1-EXP(-up_RadSpec!BA2*s_t_v)))/(s_Y_v*up_RadSpec!BA2))),".")</f>
        <v>9.0143481925428208</v>
      </c>
      <c r="BL2" s="108">
        <f>IFERROR(IF(up_Bv!N2=0,".",((s_Ir*s_F*s_I_f*s_T*(1-EXP(-up_RadSpec!BA2*s_t_v)))/(s_Y_v*up_RadSpec!BA2))),".")</f>
        <v>9.0143481925428208</v>
      </c>
      <c r="BM2" s="108">
        <f>IFERROR(IF(up_Bv!O2=0,".",((s_Ir*s_F*s_I_f*s_T*(1-EXP(-up_RadSpec!BA2*s_t_v)))/(s_Y_v*up_RadSpec!BA2))),".")</f>
        <v>9.0143481925428208</v>
      </c>
      <c r="BN2" s="108">
        <f>IFERROR(IF(up_Bv!P2=0,".",((s_Ir*s_F*s_I_f*s_T*(1-EXP(-up_RadSpec!BA2*s_t_v)))/(s_Y_v*up_RadSpec!BA2))),".")</f>
        <v>9.0143481925428208</v>
      </c>
      <c r="BO2" s="108">
        <f>IFERROR(IF(up_Bv!Q2=0,".",((s_Ir*s_F*s_I_f*s_T*(1-EXP(-up_RadSpec!BA2*s_t_v)))/(s_Y_v*up_RadSpec!BA2))),".")</f>
        <v>9.0143481925428208</v>
      </c>
      <c r="BP2" s="108">
        <f>IFERROR(IF(up_Bv!R2=0,".",((s_Ir*s_F*s_I_f*s_T*(1-EXP(-up_RadSpec!BA2*s_t_v)))/(s_Y_v*up_RadSpec!BA2))),".")</f>
        <v>9.0143481925428208</v>
      </c>
      <c r="BQ2" s="108">
        <f>IFERROR(IF(up_Bv!S2=0,".",((s_Ir*s_F*s_I_f*s_T*(1-EXP(-up_RadSpec!BA2*s_t_v)))/(s_Y_v*up_RadSpec!BA2))),".")</f>
        <v>9.0143481925428208</v>
      </c>
      <c r="BR2" s="108">
        <f>IFERROR(IF(up_Bv!T2=0,".",((s_Ir*s_F*s_I_f*s_T*(1-EXP(-up_RadSpec!BA2*s_t_v)))/(s_Y_v*up_RadSpec!BA2))),".")</f>
        <v>9.0143481925428208</v>
      </c>
      <c r="BS2" s="108">
        <f>IFERROR(IF(up_Bv!U2=0,".",((s_Ir*s_F*s_I_f*s_T*(1-EXP(-up_RadSpec!BA2*s_t_v)))/(s_Y_v*up_RadSpec!BA2))),".")</f>
        <v>9.0143481925428208</v>
      </c>
      <c r="BT2" s="108">
        <f>IFERROR(IF(up_Bv!V2=0,".",((s_Ir*s_F*s_I_f*s_T*(1-EXP(-up_RadSpec!BA2*s_t_v)))/(s_Y_v*up_RadSpec!BA2))),".")</f>
        <v>9.0143481925428208</v>
      </c>
      <c r="BU2" s="108">
        <f>IFERROR(IF(up_Bv!W2=0,".",((s_Ir*s_F*s_I_f*s_T*(1-EXP(-up_RadSpec!BA2*s_t_v)))/(s_Y_v*up_RadSpec!BA2))),".")</f>
        <v>9.0143481925428208</v>
      </c>
      <c r="BV2" s="108">
        <f>IFERROR(IF(up_Bv!X2=0,".",((s_Ir*s_F*s_I_f*s_T*(1-EXP(-up_RadSpec!BA2*s_t_v)))/(s_Y_v*up_RadSpec!BA2))),".")</f>
        <v>9.0143481925428208</v>
      </c>
      <c r="BW2" s="108">
        <f>IFERROR(IF(up_Bv!Y2=0,".",((s_Ir*s_F*s_I_f*s_T*(1-EXP(-up_RadSpec!BA2*s_t_v)))/(s_Y_v*up_RadSpec!BA2))),".")</f>
        <v>9.0143481925428208</v>
      </c>
      <c r="BX2" s="108">
        <f>IFERROR(IF(up_Bv!Z2=0,".",((s_Ir*s_F*s_I_f*s_T*(1-EXP(-up_RadSpec!BA2*s_t_v)))/(s_Y_v*up_RadSpec!BA2))),".")</f>
        <v>9.0143481925428208</v>
      </c>
      <c r="BY2" s="108">
        <f>IFERROR(IF(up_Bv!AA2=0,".",((s_Ir*s_F*s_I_f*s_T*(1-EXP(-up_RadSpec!BA2*s_t_v)))/(s_Y_v*up_RadSpec!BA2))),".")</f>
        <v>9.0143481925428208</v>
      </c>
    </row>
    <row r="3" spans="1:77" x14ac:dyDescent="0.25">
      <c r="A3" s="46" t="s">
        <v>1</v>
      </c>
      <c r="B3" s="42" t="s">
        <v>335</v>
      </c>
      <c r="C3" s="108">
        <f>IFERROR(IF(up_Bv!C3=0,".",((s_Ir*s_F*up_Bv!C3*(1-EXP(-up_RadSpec!$AZ3*s_t_b)))/(s_P*up_RadSpec!$AZ3))),".")</f>
        <v>993.50362303732038</v>
      </c>
      <c r="D3" s="108">
        <f>IFERROR(IF(up_Bv!D3=0,".",((s_Ir*s_F*up_Bv!D3*(1-EXP(-up_RadSpec!AZ3*s_t_b)))/(s_P*up_RadSpec!AZ3))),".")</f>
        <v>993.50362303732038</v>
      </c>
      <c r="E3" s="108">
        <f>IFERROR(IF(up_Bv!E3=0,".",((s_Ir*s_F*up_Bv!E3*(1-EXP(-up_RadSpec!AZ3*s_t_b)))/(s_P*up_RadSpec!AZ3))),".")</f>
        <v>993.50362303732038</v>
      </c>
      <c r="F3" s="108">
        <f>IFERROR(IF(up_Bv!F3=0,".",((s_Ir*s_F*up_Bv!F3*(1-EXP(-up_RadSpec!AZ3*s_t_b)))/(s_P*up_RadSpec!AZ3))),".")</f>
        <v>993.50362303732038</v>
      </c>
      <c r="G3" s="108">
        <f>IFERROR(IF(up_Bv!G3=0,".",((s_Ir*s_F*up_Bv!G3*(1-EXP(-up_RadSpec!AZ3*s_t_b)))/(s_P*up_RadSpec!AZ3))),".")</f>
        <v>993.50362303732038</v>
      </c>
      <c r="H3" s="108">
        <f>IFERROR(IF(up_Bv!H3=0,".",((s_Ir*s_F*up_Bv!H3*(1-EXP(-up_RadSpec!AZ3*s_t_b)))/(s_P*up_RadSpec!AZ3))),".")</f>
        <v>993.50362303732038</v>
      </c>
      <c r="I3" s="108">
        <f>IFERROR(IF(up_Bv!I3=0,".",((s_Ir*s_F*up_Bv!I3*(1-EXP(-up_RadSpec!AZ3*s_t_b)))/(s_P*up_RadSpec!AZ3))),".")</f>
        <v>993.50362303732038</v>
      </c>
      <c r="J3" s="108">
        <f>IFERROR(IF(up_Bv!J3=0,".",((s_Ir*s_F*up_Bv!J3*(1-EXP(-up_RadSpec!AZ3*s_t_b)))/(s_P*up_RadSpec!AZ3))),".")</f>
        <v>993.50362303732038</v>
      </c>
      <c r="K3" s="108">
        <f>IFERROR(IF(up_Bv!K3=0,".",((s_Ir*s_F*up_Bv!K3*(1-EXP(-up_RadSpec!AZ3*s_t_b)))/(s_P*up_RadSpec!AZ3))),".")</f>
        <v>993.50362303732038</v>
      </c>
      <c r="L3" s="108">
        <f>IFERROR(IF(up_Bv!L3=0,".",((s_Ir*s_F*up_Bv!L3*(1-EXP(-up_RadSpec!AZ3*s_t_b)))/(s_P*up_RadSpec!AZ3))),".")</f>
        <v>993.50362303732038</v>
      </c>
      <c r="M3" s="108">
        <f>IFERROR(IF(up_Bv!M3=0,".",((s_Ir*s_F*up_Bv!M3*(1-EXP(-up_RadSpec!AZ3*s_t_b)))/(s_P*up_RadSpec!AZ3))),".")</f>
        <v>993.50362303732038</v>
      </c>
      <c r="N3" s="108">
        <f>IFERROR(IF(up_Bv!N3=0,".",((s_Ir*s_F*up_Bv!N3*(1-EXP(-up_RadSpec!AZ3*s_t_b)))/(s_P*up_RadSpec!AZ3))),".")</f>
        <v>993.50362303732038</v>
      </c>
      <c r="O3" s="108">
        <f>IFERROR(IF(up_Bv!O3=0,".",((s_Ir*s_F*up_Bv!O3*(1-EXP(-up_RadSpec!AZ3*s_t_b)))/(s_P*up_RadSpec!AZ3))),".")</f>
        <v>993.50362303732038</v>
      </c>
      <c r="P3" s="108">
        <f>IFERROR(IF(up_Bv!P3=0,".",((s_Ir*s_F*up_Bv!P3*(1-EXP(-up_RadSpec!AZ3*s_t_b)))/(s_P*up_RadSpec!AZ3))),".")</f>
        <v>993.50362303732038</v>
      </c>
      <c r="Q3" s="108">
        <f>IFERROR(IF(up_Bv!Q3=0,".",((s_Ir*s_F*up_Bv!Q3*(1-EXP(-up_RadSpec!AZ3*s_t_b)))/(s_P*up_RadSpec!AZ3))),".")</f>
        <v>993.50362303732038</v>
      </c>
      <c r="R3" s="108">
        <f>IFERROR(IF(up_Bv!R3=0,".",((s_Ir*s_F*up_Bv!R3*(1-EXP(-up_RadSpec!AZ3*s_t_b)))/(s_P*up_RadSpec!AZ3))),".")</f>
        <v>993.50362303732038</v>
      </c>
      <c r="S3" s="108">
        <f>IFERROR(IF(up_Bv!S3=0,".",((s_Ir*s_F*up_Bv!S3*(1-EXP(-up_RadSpec!AZ3*s_t_b)))/(s_P*up_RadSpec!AZ3))),".")</f>
        <v>993.50362303732038</v>
      </c>
      <c r="T3" s="108">
        <f>IFERROR(IF(up_Bv!T3=0,".",((s_Ir*s_F*up_Bv!T3*(1-EXP(-up_RadSpec!AZ3*s_t_b)))/(s_P*up_RadSpec!AZ3))),".")</f>
        <v>993.50362303732038</v>
      </c>
      <c r="U3" s="108">
        <f>IFERROR(IF(up_Bv!U3=0,".",((s_Ir*s_F*up_Bv!U3*(1-EXP(-up_RadSpec!AZ3*s_t_b)))/(s_P*up_RadSpec!AZ3))),".")</f>
        <v>993.50362303732038</v>
      </c>
      <c r="V3" s="108">
        <f>IFERROR(IF(up_Bv!V3=0,".",((s_Ir*s_F*up_Bv!V3*(1-EXP(-up_RadSpec!AZ3*s_t_b)))/(s_P*up_RadSpec!AZ3))),".")</f>
        <v>993.50362303732038</v>
      </c>
      <c r="W3" s="108">
        <f>IFERROR(IF(up_Bv!W3=0,".",((s_Ir*s_F*up_Bv!W3*(1-EXP(-up_RadSpec!AZ3*s_t_b)))/(s_P*up_RadSpec!AZ3))),".")</f>
        <v>993.50362303732038</v>
      </c>
      <c r="X3" s="108">
        <f>IFERROR(IF(up_Bv!X3=0,".",((s_Ir*s_F*up_Bv!X3*(1-EXP(-up_RadSpec!AZ3*s_t_b)))/(s_P*up_RadSpec!AZ3))),".")</f>
        <v>993.50362303732038</v>
      </c>
      <c r="Y3" s="108">
        <f>IFERROR(IF(up_Bv!Y3=0,".",((s_Ir*s_F*up_Bv!Y3*(1-EXP(-up_RadSpec!AZ3*s_t_b)))/(s_P*up_RadSpec!AZ3))),".")</f>
        <v>993.50362303732038</v>
      </c>
      <c r="Z3" s="108">
        <f>IFERROR(IF(up_Bv!Z3=0,".",((s_Ir*s_F*up_Bv!Z3*(1-EXP(-up_RadSpec!AZ3*s_t_b)))/(s_P*up_RadSpec!AZ3))),".")</f>
        <v>993.50362303732038</v>
      </c>
      <c r="AA3" s="108">
        <f>IFERROR(IF(up_Bv!AA3=0,".",((s_Ir*s_F*up_Bv!AA3*(1-EXP(-up_RadSpec!AZ3*s_t_b)))/(s_P*up_RadSpec!AZ3))),".")</f>
        <v>993.50362303732038</v>
      </c>
      <c r="AB3" s="108">
        <f>IFERROR(IF(up_Bv!C3=0,".",((s_Ir*s_F*s_MLF_apple*(1-EXP(-up_RadSpec!AZ3*s_t_b)))/(s_P*up_RadSpec!AZ3))),".")</f>
        <v>2.6824597822007652</v>
      </c>
      <c r="AC3" s="108">
        <f>IFERROR(IF(up_Bv!D3=0,".",((s_Ir*s_F*s_MLF_asparagus*(1-EXP(-up_RadSpec!AZ3*s_t_b)))/(s_P*up_RadSpec!AZ3))),".")</f>
        <v>2.6824597822007652</v>
      </c>
      <c r="AD3" s="108">
        <f>IFERROR(IF(up_Bv!E3=0,".",((s_Ir*s_F*s_MLF_beet*(1-EXP(-up_RadSpec!AZ3*s_t_b)))/(s_P*up_RadSpec!AZ3))),".")</f>
        <v>2.6824597822007652</v>
      </c>
      <c r="AE3" s="108">
        <f>IFERROR(IF(up_Bv!F3=0,".",((s_Ir*s_F*s_MLF_berries*(1-EXP(-up_RadSpec!AZ3*s_t_b)))/(s_P*up_RadSpec!AZ3))),".")</f>
        <v>2.6824597822007652</v>
      </c>
      <c r="AF3" s="108">
        <f>IFERROR(IF(up_Bv!G3=0,".",((s_Ir*s_F*s_MLF_broccoli*(1-EXP(-up_RadSpec!AZ3*s_t_b)))/(s_P*up_RadSpec!AZ3))),".")</f>
        <v>2.6824597822007652</v>
      </c>
      <c r="AG3" s="108">
        <f>IFERROR(IF(up_Bv!H3=0,".",((s_Ir*s_F*s_MLF_cabbage*(1-EXP(-up_RadSpec!AZ3*s_t_b)))/(s_P*up_RadSpec!AZ3))),".")</f>
        <v>2.6824597822007652</v>
      </c>
      <c r="AH3" s="108">
        <f>IFERROR(IF(up_Bv!I3=0,".",((s_Ir*s_F*s_MLF_carrot*(1-EXP(-up_RadSpec!AZ3*s_t_b)))/(s_P*up_RadSpec!AZ3))),".")</f>
        <v>2.6824597822007652</v>
      </c>
      <c r="AI3" s="108">
        <f>IFERROR(IF(up_Bv!J3=0,".",((s_Ir*s_F*s_MLF_citrus*(1-EXP(-up_RadSpec!AZ3*s_t_b)))/(s_P*up_RadSpec!AZ3))),".")</f>
        <v>2.6824597822007652</v>
      </c>
      <c r="AJ3" s="108">
        <f>IFERROR(IF(up_Bv!K3=0,".",((s_Ir*s_F*s_MLF_corn*(1-EXP(-up_RadSpec!AZ3*s_t_b)))/(s_P*up_RadSpec!AZ3))),".")</f>
        <v>2.6824597822007652</v>
      </c>
      <c r="AK3" s="108">
        <f>IFERROR(IF(up_Bv!L3=0,".",((s_Ir*s_F*s_MLF_cucumber*(1-EXP(-up_RadSpec!AZ3*s_t_b)))/(s_P*up_RadSpec!AZ3))),".")</f>
        <v>2.6824597822007652</v>
      </c>
      <c r="AL3" s="108">
        <f>IFERROR(IF(up_Bv!M3=0,".",((s_Ir*s_F*s_MLF_lettuce*(1-EXP(-up_RadSpec!AZ3*s_t_b)))/(s_P*up_RadSpec!AZ3))),".")</f>
        <v>2.6824597822007652</v>
      </c>
      <c r="AM3" s="108">
        <f>IFERROR(IF(up_Bv!N3=0,".",((s_Ir*s_F*s_MLF_lima_bean*(1-EXP(-up_RadSpec!AZ3*s_t_b)))/(s_P*up_RadSpec!AZ3))),".")</f>
        <v>2.6824597822007652</v>
      </c>
      <c r="AN3" s="108">
        <f>IFERROR(IF(up_Bv!O3=0,".",((s_Ir*s_F*s_MLF_okra*(1-EXP(-up_RadSpec!AZ3*s_t_b)))/(s_P*up_RadSpec!AZ3))),".")</f>
        <v>2.6824597822007652</v>
      </c>
      <c r="AO3" s="108">
        <f>IFERROR(IF(up_Bv!P3=0,".",((s_Ir*s_F*s_MLF_onion*(1-EXP(-up_RadSpec!AZ3*s_t_b)))/(s_P*up_RadSpec!AZ3))),".")</f>
        <v>2.6824597822007652</v>
      </c>
      <c r="AP3" s="108">
        <f>IFERROR(IF(up_Bv!Q3=0,".",((s_Ir*s_F*s_MLF_peach*(1-EXP(-up_RadSpec!AZ3*s_t_b)))/(s_P*up_RadSpec!AZ3))),".")</f>
        <v>2.6824597822007652</v>
      </c>
      <c r="AQ3" s="108">
        <f>IFERROR(IF(up_Bv!R3=0,".",((s_Ir*s_F*s_MLF_pear*(1-EXP(-up_RadSpec!AZ3*s_t_b)))/(s_P*up_RadSpec!AZ3))),".")</f>
        <v>2.6824597822007652</v>
      </c>
      <c r="AR3" s="108">
        <f>IFERROR(IF(up_Bv!S3=0,".",((s_Ir*s_F*s_MLF_peas*(1-EXP(-up_RadSpec!AZ3*s_t_b)))/(s_P*up_RadSpec!AZ3))),".")</f>
        <v>2.6824597822007652</v>
      </c>
      <c r="AS3" s="108">
        <f>IFERROR(IF(up_Bv!T3=0,".",((s_Ir*s_F*s_MLF_peppers*(1-EXP(-up_RadSpec!AZ3*s_t_b)))/(s_P*up_RadSpec!AZ3))),".")</f>
        <v>2.6824597822007652</v>
      </c>
      <c r="AT3" s="108">
        <f>IFERROR(IF(up_Bv!U3=0,".",((s_Ir*s_F*s_MLF_potato*(1-EXP(-up_RadSpec!AZ3*s_t_b)))/(s_P*up_RadSpec!AZ3))),".")</f>
        <v>2.6824597822007652</v>
      </c>
      <c r="AU3" s="108">
        <f>IFERROR(IF(up_Bv!V3=0,".",((s_Ir*s_F*s_MLF_pumpkin*(1-EXP(-up_RadSpec!AZ3*s_t_b)))/(s_P*up_RadSpec!AZ3))),".")</f>
        <v>2.6824597822007652</v>
      </c>
      <c r="AV3" s="108">
        <f>IFERROR(IF(up_Bv!W3=0,".",((s_Ir*s_F*s_MLF_snap_bean*(1-EXP(-up_RadSpec!AZ3*s_t_b)))/(s_P*up_RadSpec!AZ3))),".")</f>
        <v>2.6824597822007652</v>
      </c>
      <c r="AW3" s="108">
        <f>IFERROR(IF(up_Bv!X3=0,".",((s_Ir*s_F*s_MLF_strawberry*(1-EXP(-up_RadSpec!AZ3*s_t_b)))/(s_P*up_RadSpec!AZ3))),".")</f>
        <v>2.6824597822007652</v>
      </c>
      <c r="AX3" s="108">
        <f>IFERROR(IF(up_Bv!Y3=0,".",((s_Ir*s_F*s_MLF_tomato*(1-EXP(-up_RadSpec!AZ3*s_t_b)))/(s_P*up_RadSpec!AZ3))),".")</f>
        <v>2.6824597822007652</v>
      </c>
      <c r="AY3" s="108">
        <f>IFERROR(IF(up_Bv!Z3=0,".",((s_Ir*s_F*s_MLF_rice*(1-EXP(-up_RadSpec!AZ3*s_t_b)))/(s_P*up_RadSpec!AZ3))),".")</f>
        <v>2.6824597822007652</v>
      </c>
      <c r="AZ3" s="108">
        <f>IFERROR(IF(up_Bv!AA3=0,".",((s_Ir*s_F*s_MLF_cereal*(1-EXP(-up_RadSpec!AZ3*s_t_b)))/(s_P*up_RadSpec!AZ3))),".")</f>
        <v>2.6824597822007652</v>
      </c>
      <c r="BA3" s="108">
        <f>IFERROR(IF(up_Bv!C3=0,".",((s_Ir*s_F*s_I_f*s_T*(1-EXP(-up_RadSpec!BA3*s_t_v)))/(s_Y_v*up_RadSpec!BA3))),".")</f>
        <v>9.0143481925428208</v>
      </c>
      <c r="BB3" s="108">
        <f>IFERROR(IF(up_Bv!D3=0,".",((s_Ir*s_F*s_I_f*s_T*(1-EXP(-up_RadSpec!BA3*s_t_v)))/(s_Y_v*up_RadSpec!BA3))),".")</f>
        <v>9.0143481925428208</v>
      </c>
      <c r="BC3" s="108">
        <f>IFERROR(IF(up_Bv!E3=0,".",((s_Ir*s_F*s_I_f*s_T*(1-EXP(-up_RadSpec!BA3*s_t_v)))/(s_Y_v*up_RadSpec!BA3))),".")</f>
        <v>9.0143481925428208</v>
      </c>
      <c r="BD3" s="108">
        <f>IFERROR(IF(up_Bv!F3=0,".",((s_Ir*s_F*s_I_f*s_T*(1-EXP(-up_RadSpec!BA3*s_t_v)))/(s_Y_v*up_RadSpec!BA3))),".")</f>
        <v>9.0143481925428208</v>
      </c>
      <c r="BE3" s="108">
        <f>IFERROR(IF(up_Bv!G3=0,".",((s_Ir*s_F*s_I_f*s_T*(1-EXP(-up_RadSpec!BA3*s_t_v)))/(s_Y_v*up_RadSpec!BA3))),".")</f>
        <v>9.0143481925428208</v>
      </c>
      <c r="BF3" s="108">
        <f>IFERROR(IF(up_Bv!H3=0,".",((s_Ir*s_F*s_I_f*s_T*(1-EXP(-up_RadSpec!BA3*s_t_v)))/(s_Y_v*up_RadSpec!BA3))),".")</f>
        <v>9.0143481925428208</v>
      </c>
      <c r="BG3" s="108">
        <f>IFERROR(IF(up_Bv!I3=0,".",((s_Ir*s_F*s_I_f*s_T*(1-EXP(-up_RadSpec!BA3*s_t_v)))/(s_Y_v*up_RadSpec!BA3))),".")</f>
        <v>9.0143481925428208</v>
      </c>
      <c r="BH3" s="108">
        <f>IFERROR(IF(up_Bv!J3=0,".",((s_Ir*s_F*s_I_f*s_T*(1-EXP(-up_RadSpec!BA3*s_t_v)))/(s_Y_v*up_RadSpec!BA3))),".")</f>
        <v>9.0143481925428208</v>
      </c>
      <c r="BI3" s="108">
        <f>IFERROR(IF(up_Bv!K3=0,".",((s_Ir*s_F*s_I_f*s_T*(1-EXP(-up_RadSpec!BA3*s_t_v)))/(s_Y_v*up_RadSpec!BA3))),".")</f>
        <v>9.0143481925428208</v>
      </c>
      <c r="BJ3" s="108">
        <f>IFERROR(IF(up_Bv!L3=0,".",((s_Ir*s_F*s_I_f*s_T*(1-EXP(-up_RadSpec!BA3*s_t_v)))/(s_Y_v*up_RadSpec!BA3))),".")</f>
        <v>9.0143481925428208</v>
      </c>
      <c r="BK3" s="108">
        <f>IFERROR(IF(up_Bv!M3=0,".",((s_Ir*s_F*s_I_f*s_T*(1-EXP(-up_RadSpec!BA3*s_t_v)))/(s_Y_v*up_RadSpec!BA3))),".")</f>
        <v>9.0143481925428208</v>
      </c>
      <c r="BL3" s="108">
        <f>IFERROR(IF(up_Bv!N3=0,".",((s_Ir*s_F*s_I_f*s_T*(1-EXP(-up_RadSpec!BA3*s_t_v)))/(s_Y_v*up_RadSpec!BA3))),".")</f>
        <v>9.0143481925428208</v>
      </c>
      <c r="BM3" s="108">
        <f>IFERROR(IF(up_Bv!O3=0,".",((s_Ir*s_F*s_I_f*s_T*(1-EXP(-up_RadSpec!BA3*s_t_v)))/(s_Y_v*up_RadSpec!BA3))),".")</f>
        <v>9.0143481925428208</v>
      </c>
      <c r="BN3" s="108">
        <f>IFERROR(IF(up_Bv!P3=0,".",((s_Ir*s_F*s_I_f*s_T*(1-EXP(-up_RadSpec!BA3*s_t_v)))/(s_Y_v*up_RadSpec!BA3))),".")</f>
        <v>9.0143481925428208</v>
      </c>
      <c r="BO3" s="108">
        <f>IFERROR(IF(up_Bv!Q3=0,".",((s_Ir*s_F*s_I_f*s_T*(1-EXP(-up_RadSpec!BA3*s_t_v)))/(s_Y_v*up_RadSpec!BA3))),".")</f>
        <v>9.0143481925428208</v>
      </c>
      <c r="BP3" s="108">
        <f>IFERROR(IF(up_Bv!R3=0,".",((s_Ir*s_F*s_I_f*s_T*(1-EXP(-up_RadSpec!BA3*s_t_v)))/(s_Y_v*up_RadSpec!BA3))),".")</f>
        <v>9.0143481925428208</v>
      </c>
      <c r="BQ3" s="108">
        <f>IFERROR(IF(up_Bv!S3=0,".",((s_Ir*s_F*s_I_f*s_T*(1-EXP(-up_RadSpec!BA3*s_t_v)))/(s_Y_v*up_RadSpec!BA3))),".")</f>
        <v>9.0143481925428208</v>
      </c>
      <c r="BR3" s="108">
        <f>IFERROR(IF(up_Bv!T3=0,".",((s_Ir*s_F*s_I_f*s_T*(1-EXP(-up_RadSpec!BA3*s_t_v)))/(s_Y_v*up_RadSpec!BA3))),".")</f>
        <v>9.0143481925428208</v>
      </c>
      <c r="BS3" s="108">
        <f>IFERROR(IF(up_Bv!U3=0,".",((s_Ir*s_F*s_I_f*s_T*(1-EXP(-up_RadSpec!BA3*s_t_v)))/(s_Y_v*up_RadSpec!BA3))),".")</f>
        <v>9.0143481925428208</v>
      </c>
      <c r="BT3" s="108">
        <f>IFERROR(IF(up_Bv!V3=0,".",((s_Ir*s_F*s_I_f*s_T*(1-EXP(-up_RadSpec!BA3*s_t_v)))/(s_Y_v*up_RadSpec!BA3))),".")</f>
        <v>9.0143481925428208</v>
      </c>
      <c r="BU3" s="108">
        <f>IFERROR(IF(up_Bv!W3=0,".",((s_Ir*s_F*s_I_f*s_T*(1-EXP(-up_RadSpec!BA3*s_t_v)))/(s_Y_v*up_RadSpec!BA3))),".")</f>
        <v>9.0143481925428208</v>
      </c>
      <c r="BV3" s="108">
        <f>IFERROR(IF(up_Bv!X3=0,".",((s_Ir*s_F*s_I_f*s_T*(1-EXP(-up_RadSpec!BA3*s_t_v)))/(s_Y_v*up_RadSpec!BA3))),".")</f>
        <v>9.0143481925428208</v>
      </c>
      <c r="BW3" s="108">
        <f>IFERROR(IF(up_Bv!Y3=0,".",((s_Ir*s_F*s_I_f*s_T*(1-EXP(-up_RadSpec!BA3*s_t_v)))/(s_Y_v*up_RadSpec!BA3))),".")</f>
        <v>9.0143481925428208</v>
      </c>
      <c r="BX3" s="108">
        <f>IFERROR(IF(up_Bv!Z3=0,".",((s_Ir*s_F*s_I_f*s_T*(1-EXP(-up_RadSpec!BA3*s_t_v)))/(s_Y_v*up_RadSpec!BA3))),".")</f>
        <v>9.0143481925428208</v>
      </c>
      <c r="BY3" s="108">
        <f>IFERROR(IF(up_Bv!AA3=0,".",((s_Ir*s_F*s_I_f*s_T*(1-EXP(-up_RadSpec!BA3*s_t_v)))/(s_Y_v*up_RadSpec!BA3))),".")</f>
        <v>9.0143481925428208</v>
      </c>
    </row>
    <row r="4" spans="1:77" x14ac:dyDescent="0.25">
      <c r="A4" s="44" t="s">
        <v>2</v>
      </c>
      <c r="B4" s="42" t="s">
        <v>1057</v>
      </c>
      <c r="C4" s="108">
        <f>IFERROR(IF(up_Bv!C4=0,".",((s_Ir*s_F*up_Bv!C4*(1-EXP(-up_RadSpec!$AZ4*s_t_b)))/(s_P*up_RadSpec!$AZ4))),".")</f>
        <v>993.50362303732038</v>
      </c>
      <c r="D4" s="108">
        <f>IFERROR(IF(up_Bv!D4=0,".",((s_Ir*s_F*up_Bv!D4*(1-EXP(-up_RadSpec!AZ4*s_t_b)))/(s_P*up_RadSpec!AZ4))),".")</f>
        <v>993.50362303732038</v>
      </c>
      <c r="E4" s="108">
        <f>IFERROR(IF(up_Bv!E4=0,".",((s_Ir*s_F*up_Bv!E4*(1-EXP(-up_RadSpec!AZ4*s_t_b)))/(s_P*up_RadSpec!AZ4))),".")</f>
        <v>993.50362303732038</v>
      </c>
      <c r="F4" s="108">
        <f>IFERROR(IF(up_Bv!F4=0,".",((s_Ir*s_F*up_Bv!F4*(1-EXP(-up_RadSpec!AZ4*s_t_b)))/(s_P*up_RadSpec!AZ4))),".")</f>
        <v>993.50362303732038</v>
      </c>
      <c r="G4" s="108">
        <f>IFERROR(IF(up_Bv!G4=0,".",((s_Ir*s_F*up_Bv!G4*(1-EXP(-up_RadSpec!AZ4*s_t_b)))/(s_P*up_RadSpec!AZ4))),".")</f>
        <v>993.50362303732038</v>
      </c>
      <c r="H4" s="108">
        <f>IFERROR(IF(up_Bv!H4=0,".",((s_Ir*s_F*up_Bv!H4*(1-EXP(-up_RadSpec!AZ4*s_t_b)))/(s_P*up_RadSpec!AZ4))),".")</f>
        <v>993.50362303732038</v>
      </c>
      <c r="I4" s="108">
        <f>IFERROR(IF(up_Bv!I4=0,".",((s_Ir*s_F*up_Bv!I4*(1-EXP(-up_RadSpec!AZ4*s_t_b)))/(s_P*up_RadSpec!AZ4))),".")</f>
        <v>993.50362303732038</v>
      </c>
      <c r="J4" s="108">
        <f>IFERROR(IF(up_Bv!J4=0,".",((s_Ir*s_F*up_Bv!J4*(1-EXP(-up_RadSpec!AZ4*s_t_b)))/(s_P*up_RadSpec!AZ4))),".")</f>
        <v>993.50362303732038</v>
      </c>
      <c r="K4" s="108">
        <f>IFERROR(IF(up_Bv!K4=0,".",((s_Ir*s_F*up_Bv!K4*(1-EXP(-up_RadSpec!AZ4*s_t_b)))/(s_P*up_RadSpec!AZ4))),".")</f>
        <v>993.50362303732038</v>
      </c>
      <c r="L4" s="108">
        <f>IFERROR(IF(up_Bv!L4=0,".",((s_Ir*s_F*up_Bv!L4*(1-EXP(-up_RadSpec!AZ4*s_t_b)))/(s_P*up_RadSpec!AZ4))),".")</f>
        <v>993.50362303732038</v>
      </c>
      <c r="M4" s="108">
        <f>IFERROR(IF(up_Bv!M4=0,".",((s_Ir*s_F*up_Bv!M4*(1-EXP(-up_RadSpec!AZ4*s_t_b)))/(s_P*up_RadSpec!AZ4))),".")</f>
        <v>993.50362303732038</v>
      </c>
      <c r="N4" s="108">
        <f>IFERROR(IF(up_Bv!N4=0,".",((s_Ir*s_F*up_Bv!N4*(1-EXP(-up_RadSpec!AZ4*s_t_b)))/(s_P*up_RadSpec!AZ4))),".")</f>
        <v>993.50362303732038</v>
      </c>
      <c r="O4" s="108">
        <f>IFERROR(IF(up_Bv!O4=0,".",((s_Ir*s_F*up_Bv!O4*(1-EXP(-up_RadSpec!AZ4*s_t_b)))/(s_P*up_RadSpec!AZ4))),".")</f>
        <v>993.50362303732038</v>
      </c>
      <c r="P4" s="108">
        <f>IFERROR(IF(up_Bv!P4=0,".",((s_Ir*s_F*up_Bv!P4*(1-EXP(-up_RadSpec!AZ4*s_t_b)))/(s_P*up_RadSpec!AZ4))),".")</f>
        <v>993.50362303732038</v>
      </c>
      <c r="Q4" s="108">
        <f>IFERROR(IF(up_Bv!Q4=0,".",((s_Ir*s_F*up_Bv!Q4*(1-EXP(-up_RadSpec!AZ4*s_t_b)))/(s_P*up_RadSpec!AZ4))),".")</f>
        <v>993.50362303732038</v>
      </c>
      <c r="R4" s="108">
        <f>IFERROR(IF(up_Bv!R4=0,".",((s_Ir*s_F*up_Bv!R4*(1-EXP(-up_RadSpec!AZ4*s_t_b)))/(s_P*up_RadSpec!AZ4))),".")</f>
        <v>993.50362303732038</v>
      </c>
      <c r="S4" s="108">
        <f>IFERROR(IF(up_Bv!S4=0,".",((s_Ir*s_F*up_Bv!S4*(1-EXP(-up_RadSpec!AZ4*s_t_b)))/(s_P*up_RadSpec!AZ4))),".")</f>
        <v>993.50362303732038</v>
      </c>
      <c r="T4" s="108">
        <f>IFERROR(IF(up_Bv!T4=0,".",((s_Ir*s_F*up_Bv!T4*(1-EXP(-up_RadSpec!AZ4*s_t_b)))/(s_P*up_RadSpec!AZ4))),".")</f>
        <v>993.50362303732038</v>
      </c>
      <c r="U4" s="108">
        <f>IFERROR(IF(up_Bv!U4=0,".",((s_Ir*s_F*up_Bv!U4*(1-EXP(-up_RadSpec!AZ4*s_t_b)))/(s_P*up_RadSpec!AZ4))),".")</f>
        <v>993.50362303732038</v>
      </c>
      <c r="V4" s="108">
        <f>IFERROR(IF(up_Bv!V4=0,".",((s_Ir*s_F*up_Bv!V4*(1-EXP(-up_RadSpec!AZ4*s_t_b)))/(s_P*up_RadSpec!AZ4))),".")</f>
        <v>993.50362303732038</v>
      </c>
      <c r="W4" s="108">
        <f>IFERROR(IF(up_Bv!W4=0,".",((s_Ir*s_F*up_Bv!W4*(1-EXP(-up_RadSpec!AZ4*s_t_b)))/(s_P*up_RadSpec!AZ4))),".")</f>
        <v>993.50362303732038</v>
      </c>
      <c r="X4" s="108">
        <f>IFERROR(IF(up_Bv!X4=0,".",((s_Ir*s_F*up_Bv!X4*(1-EXP(-up_RadSpec!AZ4*s_t_b)))/(s_P*up_RadSpec!AZ4))),".")</f>
        <v>993.50362303732038</v>
      </c>
      <c r="Y4" s="108">
        <f>IFERROR(IF(up_Bv!Y4=0,".",((s_Ir*s_F*up_Bv!Y4*(1-EXP(-up_RadSpec!AZ4*s_t_b)))/(s_P*up_RadSpec!AZ4))),".")</f>
        <v>993.50362303732038</v>
      </c>
      <c r="Z4" s="108">
        <f>IFERROR(IF(up_Bv!Z4=0,".",((s_Ir*s_F*up_Bv!Z4*(1-EXP(-up_RadSpec!AZ4*s_t_b)))/(s_P*up_RadSpec!AZ4))),".")</f>
        <v>993.50362303732038</v>
      </c>
      <c r="AA4" s="108">
        <f>IFERROR(IF(up_Bv!AA4=0,".",((s_Ir*s_F*up_Bv!AA4*(1-EXP(-up_RadSpec!AZ4*s_t_b)))/(s_P*up_RadSpec!AZ4))),".")</f>
        <v>993.50362303732038</v>
      </c>
      <c r="AB4" s="108">
        <f>IFERROR(IF(up_Bv!C4=0,".",((s_Ir*s_F*s_MLF_apple*(1-EXP(-up_RadSpec!AZ4*s_t_b)))/(s_P*up_RadSpec!AZ4))),".")</f>
        <v>2.6824597822007652</v>
      </c>
      <c r="AC4" s="108">
        <f>IFERROR(IF(up_Bv!D4=0,".",((s_Ir*s_F*s_MLF_asparagus*(1-EXP(-up_RadSpec!AZ4*s_t_b)))/(s_P*up_RadSpec!AZ4))),".")</f>
        <v>2.6824597822007652</v>
      </c>
      <c r="AD4" s="108">
        <f>IFERROR(IF(up_Bv!E4=0,".",((s_Ir*s_F*s_MLF_beet*(1-EXP(-up_RadSpec!AZ4*s_t_b)))/(s_P*up_RadSpec!AZ4))),".")</f>
        <v>2.6824597822007652</v>
      </c>
      <c r="AE4" s="108">
        <f>IFERROR(IF(up_Bv!F4=0,".",((s_Ir*s_F*s_MLF_berries*(1-EXP(-up_RadSpec!AZ4*s_t_b)))/(s_P*up_RadSpec!AZ4))),".")</f>
        <v>2.6824597822007652</v>
      </c>
      <c r="AF4" s="108">
        <f>IFERROR(IF(up_Bv!G4=0,".",((s_Ir*s_F*s_MLF_broccoli*(1-EXP(-up_RadSpec!AZ4*s_t_b)))/(s_P*up_RadSpec!AZ4))),".")</f>
        <v>2.6824597822007652</v>
      </c>
      <c r="AG4" s="108">
        <f>IFERROR(IF(up_Bv!H4=0,".",((s_Ir*s_F*s_MLF_cabbage*(1-EXP(-up_RadSpec!AZ4*s_t_b)))/(s_P*up_RadSpec!AZ4))),".")</f>
        <v>2.6824597822007652</v>
      </c>
      <c r="AH4" s="108">
        <f>IFERROR(IF(up_Bv!I4=0,".",((s_Ir*s_F*s_MLF_carrot*(1-EXP(-up_RadSpec!AZ4*s_t_b)))/(s_P*up_RadSpec!AZ4))),".")</f>
        <v>2.6824597822007652</v>
      </c>
      <c r="AI4" s="108">
        <f>IFERROR(IF(up_Bv!J4=0,".",((s_Ir*s_F*s_MLF_citrus*(1-EXP(-up_RadSpec!AZ4*s_t_b)))/(s_P*up_RadSpec!AZ4))),".")</f>
        <v>2.6824597822007652</v>
      </c>
      <c r="AJ4" s="108">
        <f>IFERROR(IF(up_Bv!K4=0,".",((s_Ir*s_F*s_MLF_corn*(1-EXP(-up_RadSpec!AZ4*s_t_b)))/(s_P*up_RadSpec!AZ4))),".")</f>
        <v>2.6824597822007652</v>
      </c>
      <c r="AK4" s="108">
        <f>IFERROR(IF(up_Bv!L4=0,".",((s_Ir*s_F*s_MLF_cucumber*(1-EXP(-up_RadSpec!AZ4*s_t_b)))/(s_P*up_RadSpec!AZ4))),".")</f>
        <v>2.6824597822007652</v>
      </c>
      <c r="AL4" s="108">
        <f>IFERROR(IF(up_Bv!M4=0,".",((s_Ir*s_F*s_MLF_lettuce*(1-EXP(-up_RadSpec!AZ4*s_t_b)))/(s_P*up_RadSpec!AZ4))),".")</f>
        <v>2.6824597822007652</v>
      </c>
      <c r="AM4" s="108">
        <f>IFERROR(IF(up_Bv!N4=0,".",((s_Ir*s_F*s_MLF_lima_bean*(1-EXP(-up_RadSpec!AZ4*s_t_b)))/(s_P*up_RadSpec!AZ4))),".")</f>
        <v>2.6824597822007652</v>
      </c>
      <c r="AN4" s="108">
        <f>IFERROR(IF(up_Bv!O4=0,".",((s_Ir*s_F*s_MLF_okra*(1-EXP(-up_RadSpec!AZ4*s_t_b)))/(s_P*up_RadSpec!AZ4))),".")</f>
        <v>2.6824597822007652</v>
      </c>
      <c r="AO4" s="108">
        <f>IFERROR(IF(up_Bv!P4=0,".",((s_Ir*s_F*s_MLF_onion*(1-EXP(-up_RadSpec!AZ4*s_t_b)))/(s_P*up_RadSpec!AZ4))),".")</f>
        <v>2.6824597822007652</v>
      </c>
      <c r="AP4" s="108">
        <f>IFERROR(IF(up_Bv!Q4=0,".",((s_Ir*s_F*s_MLF_peach*(1-EXP(-up_RadSpec!AZ4*s_t_b)))/(s_P*up_RadSpec!AZ4))),".")</f>
        <v>2.6824597822007652</v>
      </c>
      <c r="AQ4" s="108">
        <f>IFERROR(IF(up_Bv!R4=0,".",((s_Ir*s_F*s_MLF_pear*(1-EXP(-up_RadSpec!AZ4*s_t_b)))/(s_P*up_RadSpec!AZ4))),".")</f>
        <v>2.6824597822007652</v>
      </c>
      <c r="AR4" s="108">
        <f>IFERROR(IF(up_Bv!S4=0,".",((s_Ir*s_F*s_MLF_peas*(1-EXP(-up_RadSpec!AZ4*s_t_b)))/(s_P*up_RadSpec!AZ4))),".")</f>
        <v>2.6824597822007652</v>
      </c>
      <c r="AS4" s="108">
        <f>IFERROR(IF(up_Bv!T4=0,".",((s_Ir*s_F*s_MLF_peppers*(1-EXP(-up_RadSpec!AZ4*s_t_b)))/(s_P*up_RadSpec!AZ4))),".")</f>
        <v>2.6824597822007652</v>
      </c>
      <c r="AT4" s="108">
        <f>IFERROR(IF(up_Bv!U4=0,".",((s_Ir*s_F*s_MLF_potato*(1-EXP(-up_RadSpec!AZ4*s_t_b)))/(s_P*up_RadSpec!AZ4))),".")</f>
        <v>2.6824597822007652</v>
      </c>
      <c r="AU4" s="108">
        <f>IFERROR(IF(up_Bv!V4=0,".",((s_Ir*s_F*s_MLF_pumpkin*(1-EXP(-up_RadSpec!AZ4*s_t_b)))/(s_P*up_RadSpec!AZ4))),".")</f>
        <v>2.6824597822007652</v>
      </c>
      <c r="AV4" s="108">
        <f>IFERROR(IF(up_Bv!W4=0,".",((s_Ir*s_F*s_MLF_snap_bean*(1-EXP(-up_RadSpec!AZ4*s_t_b)))/(s_P*up_RadSpec!AZ4))),".")</f>
        <v>2.6824597822007652</v>
      </c>
      <c r="AW4" s="108">
        <f>IFERROR(IF(up_Bv!X4=0,".",((s_Ir*s_F*s_MLF_strawberry*(1-EXP(-up_RadSpec!AZ4*s_t_b)))/(s_P*up_RadSpec!AZ4))),".")</f>
        <v>2.6824597822007652</v>
      </c>
      <c r="AX4" s="108">
        <f>IFERROR(IF(up_Bv!Y4=0,".",((s_Ir*s_F*s_MLF_tomato*(1-EXP(-up_RadSpec!AZ4*s_t_b)))/(s_P*up_RadSpec!AZ4))),".")</f>
        <v>2.6824597822007652</v>
      </c>
      <c r="AY4" s="108">
        <f>IFERROR(IF(up_Bv!Z4=0,".",((s_Ir*s_F*s_MLF_rice*(1-EXP(-up_RadSpec!AZ4*s_t_b)))/(s_P*up_RadSpec!AZ4))),".")</f>
        <v>2.6824597822007652</v>
      </c>
      <c r="AZ4" s="108">
        <f>IFERROR(IF(up_Bv!AA4=0,".",((s_Ir*s_F*s_MLF_cereal*(1-EXP(-up_RadSpec!AZ4*s_t_b)))/(s_P*up_RadSpec!AZ4))),".")</f>
        <v>2.6824597822007652</v>
      </c>
      <c r="BA4" s="108">
        <f>IFERROR(IF(up_Bv!C4=0,".",((s_Ir*s_F*s_I_f*s_T*(1-EXP(-up_RadSpec!BA4*s_t_v)))/(s_Y_v*up_RadSpec!BA4))),".")</f>
        <v>9.0143481925428208</v>
      </c>
      <c r="BB4" s="108">
        <f>IFERROR(IF(up_Bv!D4=0,".",((s_Ir*s_F*s_I_f*s_T*(1-EXP(-up_RadSpec!BA4*s_t_v)))/(s_Y_v*up_RadSpec!BA4))),".")</f>
        <v>9.0143481925428208</v>
      </c>
      <c r="BC4" s="108">
        <f>IFERROR(IF(up_Bv!E4=0,".",((s_Ir*s_F*s_I_f*s_T*(1-EXP(-up_RadSpec!BA4*s_t_v)))/(s_Y_v*up_RadSpec!BA4))),".")</f>
        <v>9.0143481925428208</v>
      </c>
      <c r="BD4" s="108">
        <f>IFERROR(IF(up_Bv!F4=0,".",((s_Ir*s_F*s_I_f*s_T*(1-EXP(-up_RadSpec!BA4*s_t_v)))/(s_Y_v*up_RadSpec!BA4))),".")</f>
        <v>9.0143481925428208</v>
      </c>
      <c r="BE4" s="108">
        <f>IFERROR(IF(up_Bv!G4=0,".",((s_Ir*s_F*s_I_f*s_T*(1-EXP(-up_RadSpec!BA4*s_t_v)))/(s_Y_v*up_RadSpec!BA4))),".")</f>
        <v>9.0143481925428208</v>
      </c>
      <c r="BF4" s="108">
        <f>IFERROR(IF(up_Bv!H4=0,".",((s_Ir*s_F*s_I_f*s_T*(1-EXP(-up_RadSpec!BA4*s_t_v)))/(s_Y_v*up_RadSpec!BA4))),".")</f>
        <v>9.0143481925428208</v>
      </c>
      <c r="BG4" s="108">
        <f>IFERROR(IF(up_Bv!I4=0,".",((s_Ir*s_F*s_I_f*s_T*(1-EXP(-up_RadSpec!BA4*s_t_v)))/(s_Y_v*up_RadSpec!BA4))),".")</f>
        <v>9.0143481925428208</v>
      </c>
      <c r="BH4" s="108">
        <f>IFERROR(IF(up_Bv!J4=0,".",((s_Ir*s_F*s_I_f*s_T*(1-EXP(-up_RadSpec!BA4*s_t_v)))/(s_Y_v*up_RadSpec!BA4))),".")</f>
        <v>9.0143481925428208</v>
      </c>
      <c r="BI4" s="108">
        <f>IFERROR(IF(up_Bv!K4=0,".",((s_Ir*s_F*s_I_f*s_T*(1-EXP(-up_RadSpec!BA4*s_t_v)))/(s_Y_v*up_RadSpec!BA4))),".")</f>
        <v>9.0143481925428208</v>
      </c>
      <c r="BJ4" s="108">
        <f>IFERROR(IF(up_Bv!L4=0,".",((s_Ir*s_F*s_I_f*s_T*(1-EXP(-up_RadSpec!BA4*s_t_v)))/(s_Y_v*up_RadSpec!BA4))),".")</f>
        <v>9.0143481925428208</v>
      </c>
      <c r="BK4" s="108">
        <f>IFERROR(IF(up_Bv!M4=0,".",((s_Ir*s_F*s_I_f*s_T*(1-EXP(-up_RadSpec!BA4*s_t_v)))/(s_Y_v*up_RadSpec!BA4))),".")</f>
        <v>9.0143481925428208</v>
      </c>
      <c r="BL4" s="108">
        <f>IFERROR(IF(up_Bv!N4=0,".",((s_Ir*s_F*s_I_f*s_T*(1-EXP(-up_RadSpec!BA4*s_t_v)))/(s_Y_v*up_RadSpec!BA4))),".")</f>
        <v>9.0143481925428208</v>
      </c>
      <c r="BM4" s="108">
        <f>IFERROR(IF(up_Bv!O4=0,".",((s_Ir*s_F*s_I_f*s_T*(1-EXP(-up_RadSpec!BA4*s_t_v)))/(s_Y_v*up_RadSpec!BA4))),".")</f>
        <v>9.0143481925428208</v>
      </c>
      <c r="BN4" s="108">
        <f>IFERROR(IF(up_Bv!P4=0,".",((s_Ir*s_F*s_I_f*s_T*(1-EXP(-up_RadSpec!BA4*s_t_v)))/(s_Y_v*up_RadSpec!BA4))),".")</f>
        <v>9.0143481925428208</v>
      </c>
      <c r="BO4" s="108">
        <f>IFERROR(IF(up_Bv!Q4=0,".",((s_Ir*s_F*s_I_f*s_T*(1-EXP(-up_RadSpec!BA4*s_t_v)))/(s_Y_v*up_RadSpec!BA4))),".")</f>
        <v>9.0143481925428208</v>
      </c>
      <c r="BP4" s="108">
        <f>IFERROR(IF(up_Bv!R4=0,".",((s_Ir*s_F*s_I_f*s_T*(1-EXP(-up_RadSpec!BA4*s_t_v)))/(s_Y_v*up_RadSpec!BA4))),".")</f>
        <v>9.0143481925428208</v>
      </c>
      <c r="BQ4" s="108">
        <f>IFERROR(IF(up_Bv!S4=0,".",((s_Ir*s_F*s_I_f*s_T*(1-EXP(-up_RadSpec!BA4*s_t_v)))/(s_Y_v*up_RadSpec!BA4))),".")</f>
        <v>9.0143481925428208</v>
      </c>
      <c r="BR4" s="108">
        <f>IFERROR(IF(up_Bv!T4=0,".",((s_Ir*s_F*s_I_f*s_T*(1-EXP(-up_RadSpec!BA4*s_t_v)))/(s_Y_v*up_RadSpec!BA4))),".")</f>
        <v>9.0143481925428208</v>
      </c>
      <c r="BS4" s="108">
        <f>IFERROR(IF(up_Bv!U4=0,".",((s_Ir*s_F*s_I_f*s_T*(1-EXP(-up_RadSpec!BA4*s_t_v)))/(s_Y_v*up_RadSpec!BA4))),".")</f>
        <v>9.0143481925428208</v>
      </c>
      <c r="BT4" s="108">
        <f>IFERROR(IF(up_Bv!V4=0,".",((s_Ir*s_F*s_I_f*s_T*(1-EXP(-up_RadSpec!BA4*s_t_v)))/(s_Y_v*up_RadSpec!BA4))),".")</f>
        <v>9.0143481925428208</v>
      </c>
      <c r="BU4" s="108">
        <f>IFERROR(IF(up_Bv!W4=0,".",((s_Ir*s_F*s_I_f*s_T*(1-EXP(-up_RadSpec!BA4*s_t_v)))/(s_Y_v*up_RadSpec!BA4))),".")</f>
        <v>9.0143481925428208</v>
      </c>
      <c r="BV4" s="108">
        <f>IFERROR(IF(up_Bv!X4=0,".",((s_Ir*s_F*s_I_f*s_T*(1-EXP(-up_RadSpec!BA4*s_t_v)))/(s_Y_v*up_RadSpec!BA4))),".")</f>
        <v>9.0143481925428208</v>
      </c>
      <c r="BW4" s="108">
        <f>IFERROR(IF(up_Bv!Y4=0,".",((s_Ir*s_F*s_I_f*s_T*(1-EXP(-up_RadSpec!BA4*s_t_v)))/(s_Y_v*up_RadSpec!BA4))),".")</f>
        <v>9.0143481925428208</v>
      </c>
      <c r="BX4" s="108">
        <f>IFERROR(IF(up_Bv!Z4=0,".",((s_Ir*s_F*s_I_f*s_T*(1-EXP(-up_RadSpec!BA4*s_t_v)))/(s_Y_v*up_RadSpec!BA4))),".")</f>
        <v>9.0143481925428208</v>
      </c>
      <c r="BY4" s="108">
        <f>IFERROR(IF(up_Bv!AA4=0,".",((s_Ir*s_F*s_I_f*s_T*(1-EXP(-up_RadSpec!BA4*s_t_v)))/(s_Y_v*up_RadSpec!BA4))),".")</f>
        <v>9.0143481925428208</v>
      </c>
    </row>
    <row r="5" spans="1:77" x14ac:dyDescent="0.25">
      <c r="A5" s="44" t="s">
        <v>3</v>
      </c>
      <c r="B5" s="42" t="s">
        <v>1057</v>
      </c>
      <c r="C5" s="108">
        <f>IFERROR(IF(up_Bv!C5=0,".",((s_Ir*s_F*up_Bv!C5*(1-EXP(-up_RadSpec!$AZ5*s_t_b)))/(s_P*up_RadSpec!$AZ5))),".")</f>
        <v>993.50362303732038</v>
      </c>
      <c r="D5" s="108">
        <f>IFERROR(IF(up_Bv!D5=0,".",((s_Ir*s_F*up_Bv!D5*(1-EXP(-up_RadSpec!AZ5*s_t_b)))/(s_P*up_RadSpec!AZ5))),".")</f>
        <v>993.50362303732038</v>
      </c>
      <c r="E5" s="108">
        <f>IFERROR(IF(up_Bv!E5=0,".",((s_Ir*s_F*up_Bv!E5*(1-EXP(-up_RadSpec!AZ5*s_t_b)))/(s_P*up_RadSpec!AZ5))),".")</f>
        <v>993.50362303732038</v>
      </c>
      <c r="F5" s="108">
        <f>IFERROR(IF(up_Bv!F5=0,".",((s_Ir*s_F*up_Bv!F5*(1-EXP(-up_RadSpec!AZ5*s_t_b)))/(s_P*up_RadSpec!AZ5))),".")</f>
        <v>993.50362303732038</v>
      </c>
      <c r="G5" s="108">
        <f>IFERROR(IF(up_Bv!G5=0,".",((s_Ir*s_F*up_Bv!G5*(1-EXP(-up_RadSpec!AZ5*s_t_b)))/(s_P*up_RadSpec!AZ5))),".")</f>
        <v>993.50362303732038</v>
      </c>
      <c r="H5" s="108">
        <f>IFERROR(IF(up_Bv!H5=0,".",((s_Ir*s_F*up_Bv!H5*(1-EXP(-up_RadSpec!AZ5*s_t_b)))/(s_P*up_RadSpec!AZ5))),".")</f>
        <v>993.50362303732038</v>
      </c>
      <c r="I5" s="108">
        <f>IFERROR(IF(up_Bv!I5=0,".",((s_Ir*s_F*up_Bv!I5*(1-EXP(-up_RadSpec!AZ5*s_t_b)))/(s_P*up_RadSpec!AZ5))),".")</f>
        <v>993.50362303732038</v>
      </c>
      <c r="J5" s="108">
        <f>IFERROR(IF(up_Bv!J5=0,".",((s_Ir*s_F*up_Bv!J5*(1-EXP(-up_RadSpec!AZ5*s_t_b)))/(s_P*up_RadSpec!AZ5))),".")</f>
        <v>993.50362303732038</v>
      </c>
      <c r="K5" s="108">
        <f>IFERROR(IF(up_Bv!K5=0,".",((s_Ir*s_F*up_Bv!K5*(1-EXP(-up_RadSpec!AZ5*s_t_b)))/(s_P*up_RadSpec!AZ5))),".")</f>
        <v>993.50362303732038</v>
      </c>
      <c r="L5" s="108">
        <f>IFERROR(IF(up_Bv!L5=0,".",((s_Ir*s_F*up_Bv!L5*(1-EXP(-up_RadSpec!AZ5*s_t_b)))/(s_P*up_RadSpec!AZ5))),".")</f>
        <v>993.50362303732038</v>
      </c>
      <c r="M5" s="108">
        <f>IFERROR(IF(up_Bv!M5=0,".",((s_Ir*s_F*up_Bv!M5*(1-EXP(-up_RadSpec!AZ5*s_t_b)))/(s_P*up_RadSpec!AZ5))),".")</f>
        <v>993.50362303732038</v>
      </c>
      <c r="N5" s="108">
        <f>IFERROR(IF(up_Bv!N5=0,".",((s_Ir*s_F*up_Bv!N5*(1-EXP(-up_RadSpec!AZ5*s_t_b)))/(s_P*up_RadSpec!AZ5))),".")</f>
        <v>993.50362303732038</v>
      </c>
      <c r="O5" s="108">
        <f>IFERROR(IF(up_Bv!O5=0,".",((s_Ir*s_F*up_Bv!O5*(1-EXP(-up_RadSpec!AZ5*s_t_b)))/(s_P*up_RadSpec!AZ5))),".")</f>
        <v>993.50362303732038</v>
      </c>
      <c r="P5" s="108">
        <f>IFERROR(IF(up_Bv!P5=0,".",((s_Ir*s_F*up_Bv!P5*(1-EXP(-up_RadSpec!AZ5*s_t_b)))/(s_P*up_RadSpec!AZ5))),".")</f>
        <v>993.50362303732038</v>
      </c>
      <c r="Q5" s="108">
        <f>IFERROR(IF(up_Bv!Q5=0,".",((s_Ir*s_F*up_Bv!Q5*(1-EXP(-up_RadSpec!AZ5*s_t_b)))/(s_P*up_RadSpec!AZ5))),".")</f>
        <v>993.50362303732038</v>
      </c>
      <c r="R5" s="108">
        <f>IFERROR(IF(up_Bv!R5=0,".",((s_Ir*s_F*up_Bv!R5*(1-EXP(-up_RadSpec!AZ5*s_t_b)))/(s_P*up_RadSpec!AZ5))),".")</f>
        <v>993.50362303732038</v>
      </c>
      <c r="S5" s="108">
        <f>IFERROR(IF(up_Bv!S5=0,".",((s_Ir*s_F*up_Bv!S5*(1-EXP(-up_RadSpec!AZ5*s_t_b)))/(s_P*up_RadSpec!AZ5))),".")</f>
        <v>993.50362303732038</v>
      </c>
      <c r="T5" s="108">
        <f>IFERROR(IF(up_Bv!T5=0,".",((s_Ir*s_F*up_Bv!T5*(1-EXP(-up_RadSpec!AZ5*s_t_b)))/(s_P*up_RadSpec!AZ5))),".")</f>
        <v>993.50362303732038</v>
      </c>
      <c r="U5" s="108">
        <f>IFERROR(IF(up_Bv!U5=0,".",((s_Ir*s_F*up_Bv!U5*(1-EXP(-up_RadSpec!AZ5*s_t_b)))/(s_P*up_RadSpec!AZ5))),".")</f>
        <v>993.50362303732038</v>
      </c>
      <c r="V5" s="108">
        <f>IFERROR(IF(up_Bv!V5=0,".",((s_Ir*s_F*up_Bv!V5*(1-EXP(-up_RadSpec!AZ5*s_t_b)))/(s_P*up_RadSpec!AZ5))),".")</f>
        <v>993.50362303732038</v>
      </c>
      <c r="W5" s="108">
        <f>IFERROR(IF(up_Bv!W5=0,".",((s_Ir*s_F*up_Bv!W5*(1-EXP(-up_RadSpec!AZ5*s_t_b)))/(s_P*up_RadSpec!AZ5))),".")</f>
        <v>993.50362303732038</v>
      </c>
      <c r="X5" s="108">
        <f>IFERROR(IF(up_Bv!X5=0,".",((s_Ir*s_F*up_Bv!X5*(1-EXP(-up_RadSpec!AZ5*s_t_b)))/(s_P*up_RadSpec!AZ5))),".")</f>
        <v>993.50362303732038</v>
      </c>
      <c r="Y5" s="108">
        <f>IFERROR(IF(up_Bv!Y5=0,".",((s_Ir*s_F*up_Bv!Y5*(1-EXP(-up_RadSpec!AZ5*s_t_b)))/(s_P*up_RadSpec!AZ5))),".")</f>
        <v>993.50362303732038</v>
      </c>
      <c r="Z5" s="108">
        <f>IFERROR(IF(up_Bv!Z5=0,".",((s_Ir*s_F*up_Bv!Z5*(1-EXP(-up_RadSpec!AZ5*s_t_b)))/(s_P*up_RadSpec!AZ5))),".")</f>
        <v>993.50362303732038</v>
      </c>
      <c r="AA5" s="108">
        <f>IFERROR(IF(up_Bv!AA5=0,".",((s_Ir*s_F*up_Bv!AA5*(1-EXP(-up_RadSpec!AZ5*s_t_b)))/(s_P*up_RadSpec!AZ5))),".")</f>
        <v>993.50362303732038</v>
      </c>
      <c r="AB5" s="108">
        <f>IFERROR(IF(up_Bv!C5=0,".",((s_Ir*s_F*s_MLF_apple*(1-EXP(-up_RadSpec!AZ5*s_t_b)))/(s_P*up_RadSpec!AZ5))),".")</f>
        <v>2.6824597822007652</v>
      </c>
      <c r="AC5" s="108">
        <f>IFERROR(IF(up_Bv!D5=0,".",((s_Ir*s_F*s_MLF_asparagus*(1-EXP(-up_RadSpec!AZ5*s_t_b)))/(s_P*up_RadSpec!AZ5))),".")</f>
        <v>2.6824597822007652</v>
      </c>
      <c r="AD5" s="108">
        <f>IFERROR(IF(up_Bv!E5=0,".",((s_Ir*s_F*s_MLF_beet*(1-EXP(-up_RadSpec!AZ5*s_t_b)))/(s_P*up_RadSpec!AZ5))),".")</f>
        <v>2.6824597822007652</v>
      </c>
      <c r="AE5" s="108">
        <f>IFERROR(IF(up_Bv!F5=0,".",((s_Ir*s_F*s_MLF_berries*(1-EXP(-up_RadSpec!AZ5*s_t_b)))/(s_P*up_RadSpec!AZ5))),".")</f>
        <v>2.6824597822007652</v>
      </c>
      <c r="AF5" s="108">
        <f>IFERROR(IF(up_Bv!G5=0,".",((s_Ir*s_F*s_MLF_broccoli*(1-EXP(-up_RadSpec!AZ5*s_t_b)))/(s_P*up_RadSpec!AZ5))),".")</f>
        <v>2.6824597822007652</v>
      </c>
      <c r="AG5" s="108">
        <f>IFERROR(IF(up_Bv!H5=0,".",((s_Ir*s_F*s_MLF_cabbage*(1-EXP(-up_RadSpec!AZ5*s_t_b)))/(s_P*up_RadSpec!AZ5))),".")</f>
        <v>2.6824597822007652</v>
      </c>
      <c r="AH5" s="108">
        <f>IFERROR(IF(up_Bv!I5=0,".",((s_Ir*s_F*s_MLF_carrot*(1-EXP(-up_RadSpec!AZ5*s_t_b)))/(s_P*up_RadSpec!AZ5))),".")</f>
        <v>2.6824597822007652</v>
      </c>
      <c r="AI5" s="108">
        <f>IFERROR(IF(up_Bv!J5=0,".",((s_Ir*s_F*s_MLF_citrus*(1-EXP(-up_RadSpec!AZ5*s_t_b)))/(s_P*up_RadSpec!AZ5))),".")</f>
        <v>2.6824597822007652</v>
      </c>
      <c r="AJ5" s="108">
        <f>IFERROR(IF(up_Bv!K5=0,".",((s_Ir*s_F*s_MLF_corn*(1-EXP(-up_RadSpec!AZ5*s_t_b)))/(s_P*up_RadSpec!AZ5))),".")</f>
        <v>2.6824597822007652</v>
      </c>
      <c r="AK5" s="108">
        <f>IFERROR(IF(up_Bv!L5=0,".",((s_Ir*s_F*s_MLF_cucumber*(1-EXP(-up_RadSpec!AZ5*s_t_b)))/(s_P*up_RadSpec!AZ5))),".")</f>
        <v>2.6824597822007652</v>
      </c>
      <c r="AL5" s="108">
        <f>IFERROR(IF(up_Bv!M5=0,".",((s_Ir*s_F*s_MLF_lettuce*(1-EXP(-up_RadSpec!AZ5*s_t_b)))/(s_P*up_RadSpec!AZ5))),".")</f>
        <v>2.6824597822007652</v>
      </c>
      <c r="AM5" s="108">
        <f>IFERROR(IF(up_Bv!N5=0,".",((s_Ir*s_F*s_MLF_lima_bean*(1-EXP(-up_RadSpec!AZ5*s_t_b)))/(s_P*up_RadSpec!AZ5))),".")</f>
        <v>2.6824597822007652</v>
      </c>
      <c r="AN5" s="108">
        <f>IFERROR(IF(up_Bv!O5=0,".",((s_Ir*s_F*s_MLF_okra*(1-EXP(-up_RadSpec!AZ5*s_t_b)))/(s_P*up_RadSpec!AZ5))),".")</f>
        <v>2.6824597822007652</v>
      </c>
      <c r="AO5" s="108">
        <f>IFERROR(IF(up_Bv!P5=0,".",((s_Ir*s_F*s_MLF_onion*(1-EXP(-up_RadSpec!AZ5*s_t_b)))/(s_P*up_RadSpec!AZ5))),".")</f>
        <v>2.6824597822007652</v>
      </c>
      <c r="AP5" s="108">
        <f>IFERROR(IF(up_Bv!Q5=0,".",((s_Ir*s_F*s_MLF_peach*(1-EXP(-up_RadSpec!AZ5*s_t_b)))/(s_P*up_RadSpec!AZ5))),".")</f>
        <v>2.6824597822007652</v>
      </c>
      <c r="AQ5" s="108">
        <f>IFERROR(IF(up_Bv!R5=0,".",((s_Ir*s_F*s_MLF_pear*(1-EXP(-up_RadSpec!AZ5*s_t_b)))/(s_P*up_RadSpec!AZ5))),".")</f>
        <v>2.6824597822007652</v>
      </c>
      <c r="AR5" s="108">
        <f>IFERROR(IF(up_Bv!S5=0,".",((s_Ir*s_F*s_MLF_peas*(1-EXP(-up_RadSpec!AZ5*s_t_b)))/(s_P*up_RadSpec!AZ5))),".")</f>
        <v>2.6824597822007652</v>
      </c>
      <c r="AS5" s="108">
        <f>IFERROR(IF(up_Bv!T5=0,".",((s_Ir*s_F*s_MLF_peppers*(1-EXP(-up_RadSpec!AZ5*s_t_b)))/(s_P*up_RadSpec!AZ5))),".")</f>
        <v>2.6824597822007652</v>
      </c>
      <c r="AT5" s="108">
        <f>IFERROR(IF(up_Bv!U5=0,".",((s_Ir*s_F*s_MLF_potato*(1-EXP(-up_RadSpec!AZ5*s_t_b)))/(s_P*up_RadSpec!AZ5))),".")</f>
        <v>2.6824597822007652</v>
      </c>
      <c r="AU5" s="108">
        <f>IFERROR(IF(up_Bv!V5=0,".",((s_Ir*s_F*s_MLF_pumpkin*(1-EXP(-up_RadSpec!AZ5*s_t_b)))/(s_P*up_RadSpec!AZ5))),".")</f>
        <v>2.6824597822007652</v>
      </c>
      <c r="AV5" s="108">
        <f>IFERROR(IF(up_Bv!W5=0,".",((s_Ir*s_F*s_MLF_snap_bean*(1-EXP(-up_RadSpec!AZ5*s_t_b)))/(s_P*up_RadSpec!AZ5))),".")</f>
        <v>2.6824597822007652</v>
      </c>
      <c r="AW5" s="108">
        <f>IFERROR(IF(up_Bv!X5=0,".",((s_Ir*s_F*s_MLF_strawberry*(1-EXP(-up_RadSpec!AZ5*s_t_b)))/(s_P*up_RadSpec!AZ5))),".")</f>
        <v>2.6824597822007652</v>
      </c>
      <c r="AX5" s="108">
        <f>IFERROR(IF(up_Bv!Y5=0,".",((s_Ir*s_F*s_MLF_tomato*(1-EXP(-up_RadSpec!AZ5*s_t_b)))/(s_P*up_RadSpec!AZ5))),".")</f>
        <v>2.6824597822007652</v>
      </c>
      <c r="AY5" s="108">
        <f>IFERROR(IF(up_Bv!Z5=0,".",((s_Ir*s_F*s_MLF_rice*(1-EXP(-up_RadSpec!AZ5*s_t_b)))/(s_P*up_RadSpec!AZ5))),".")</f>
        <v>2.6824597822007652</v>
      </c>
      <c r="AZ5" s="108">
        <f>IFERROR(IF(up_Bv!AA5=0,".",((s_Ir*s_F*s_MLF_cereal*(1-EXP(-up_RadSpec!AZ5*s_t_b)))/(s_P*up_RadSpec!AZ5))),".")</f>
        <v>2.6824597822007652</v>
      </c>
      <c r="BA5" s="108">
        <f>IFERROR(IF(up_Bv!C5=0,".",((s_Ir*s_F*s_I_f*s_T*(1-EXP(-up_RadSpec!BA5*s_t_v)))/(s_Y_v*up_RadSpec!BA5))),".")</f>
        <v>9.0143481925428208</v>
      </c>
      <c r="BB5" s="108">
        <f>IFERROR(IF(up_Bv!D5=0,".",((s_Ir*s_F*s_I_f*s_T*(1-EXP(-up_RadSpec!BA5*s_t_v)))/(s_Y_v*up_RadSpec!BA5))),".")</f>
        <v>9.0143481925428208</v>
      </c>
      <c r="BC5" s="108">
        <f>IFERROR(IF(up_Bv!E5=0,".",((s_Ir*s_F*s_I_f*s_T*(1-EXP(-up_RadSpec!BA5*s_t_v)))/(s_Y_v*up_RadSpec!BA5))),".")</f>
        <v>9.0143481925428208</v>
      </c>
      <c r="BD5" s="108">
        <f>IFERROR(IF(up_Bv!F5=0,".",((s_Ir*s_F*s_I_f*s_T*(1-EXP(-up_RadSpec!BA5*s_t_v)))/(s_Y_v*up_RadSpec!BA5))),".")</f>
        <v>9.0143481925428208</v>
      </c>
      <c r="BE5" s="108">
        <f>IFERROR(IF(up_Bv!G5=0,".",((s_Ir*s_F*s_I_f*s_T*(1-EXP(-up_RadSpec!BA5*s_t_v)))/(s_Y_v*up_RadSpec!BA5))),".")</f>
        <v>9.0143481925428208</v>
      </c>
      <c r="BF5" s="108">
        <f>IFERROR(IF(up_Bv!H5=0,".",((s_Ir*s_F*s_I_f*s_T*(1-EXP(-up_RadSpec!BA5*s_t_v)))/(s_Y_v*up_RadSpec!BA5))),".")</f>
        <v>9.0143481925428208</v>
      </c>
      <c r="BG5" s="108">
        <f>IFERROR(IF(up_Bv!I5=0,".",((s_Ir*s_F*s_I_f*s_T*(1-EXP(-up_RadSpec!BA5*s_t_v)))/(s_Y_v*up_RadSpec!BA5))),".")</f>
        <v>9.0143481925428208</v>
      </c>
      <c r="BH5" s="108">
        <f>IFERROR(IF(up_Bv!J5=0,".",((s_Ir*s_F*s_I_f*s_T*(1-EXP(-up_RadSpec!BA5*s_t_v)))/(s_Y_v*up_RadSpec!BA5))),".")</f>
        <v>9.0143481925428208</v>
      </c>
      <c r="BI5" s="108">
        <f>IFERROR(IF(up_Bv!K5=0,".",((s_Ir*s_F*s_I_f*s_T*(1-EXP(-up_RadSpec!BA5*s_t_v)))/(s_Y_v*up_RadSpec!BA5))),".")</f>
        <v>9.0143481925428208</v>
      </c>
      <c r="BJ5" s="108">
        <f>IFERROR(IF(up_Bv!L5=0,".",((s_Ir*s_F*s_I_f*s_T*(1-EXP(-up_RadSpec!BA5*s_t_v)))/(s_Y_v*up_RadSpec!BA5))),".")</f>
        <v>9.0143481925428208</v>
      </c>
      <c r="BK5" s="108">
        <f>IFERROR(IF(up_Bv!M5=0,".",((s_Ir*s_F*s_I_f*s_T*(1-EXP(-up_RadSpec!BA5*s_t_v)))/(s_Y_v*up_RadSpec!BA5))),".")</f>
        <v>9.0143481925428208</v>
      </c>
      <c r="BL5" s="108">
        <f>IFERROR(IF(up_Bv!N5=0,".",((s_Ir*s_F*s_I_f*s_T*(1-EXP(-up_RadSpec!BA5*s_t_v)))/(s_Y_v*up_RadSpec!BA5))),".")</f>
        <v>9.0143481925428208</v>
      </c>
      <c r="BM5" s="108">
        <f>IFERROR(IF(up_Bv!O5=0,".",((s_Ir*s_F*s_I_f*s_T*(1-EXP(-up_RadSpec!BA5*s_t_v)))/(s_Y_v*up_RadSpec!BA5))),".")</f>
        <v>9.0143481925428208</v>
      </c>
      <c r="BN5" s="108">
        <f>IFERROR(IF(up_Bv!P5=0,".",((s_Ir*s_F*s_I_f*s_T*(1-EXP(-up_RadSpec!BA5*s_t_v)))/(s_Y_v*up_RadSpec!BA5))),".")</f>
        <v>9.0143481925428208</v>
      </c>
      <c r="BO5" s="108">
        <f>IFERROR(IF(up_Bv!Q5=0,".",((s_Ir*s_F*s_I_f*s_T*(1-EXP(-up_RadSpec!BA5*s_t_v)))/(s_Y_v*up_RadSpec!BA5))),".")</f>
        <v>9.0143481925428208</v>
      </c>
      <c r="BP5" s="108">
        <f>IFERROR(IF(up_Bv!R5=0,".",((s_Ir*s_F*s_I_f*s_T*(1-EXP(-up_RadSpec!BA5*s_t_v)))/(s_Y_v*up_RadSpec!BA5))),".")</f>
        <v>9.0143481925428208</v>
      </c>
      <c r="BQ5" s="108">
        <f>IFERROR(IF(up_Bv!S5=0,".",((s_Ir*s_F*s_I_f*s_T*(1-EXP(-up_RadSpec!BA5*s_t_v)))/(s_Y_v*up_RadSpec!BA5))),".")</f>
        <v>9.0143481925428208</v>
      </c>
      <c r="BR5" s="108">
        <f>IFERROR(IF(up_Bv!T5=0,".",((s_Ir*s_F*s_I_f*s_T*(1-EXP(-up_RadSpec!BA5*s_t_v)))/(s_Y_v*up_RadSpec!BA5))),".")</f>
        <v>9.0143481925428208</v>
      </c>
      <c r="BS5" s="108">
        <f>IFERROR(IF(up_Bv!U5=0,".",((s_Ir*s_F*s_I_f*s_T*(1-EXP(-up_RadSpec!BA5*s_t_v)))/(s_Y_v*up_RadSpec!BA5))),".")</f>
        <v>9.0143481925428208</v>
      </c>
      <c r="BT5" s="108">
        <f>IFERROR(IF(up_Bv!V5=0,".",((s_Ir*s_F*s_I_f*s_T*(1-EXP(-up_RadSpec!BA5*s_t_v)))/(s_Y_v*up_RadSpec!BA5))),".")</f>
        <v>9.0143481925428208</v>
      </c>
      <c r="BU5" s="108">
        <f>IFERROR(IF(up_Bv!W5=0,".",((s_Ir*s_F*s_I_f*s_T*(1-EXP(-up_RadSpec!BA5*s_t_v)))/(s_Y_v*up_RadSpec!BA5))),".")</f>
        <v>9.0143481925428208</v>
      </c>
      <c r="BV5" s="108">
        <f>IFERROR(IF(up_Bv!X5=0,".",((s_Ir*s_F*s_I_f*s_T*(1-EXP(-up_RadSpec!BA5*s_t_v)))/(s_Y_v*up_RadSpec!BA5))),".")</f>
        <v>9.0143481925428208</v>
      </c>
      <c r="BW5" s="108">
        <f>IFERROR(IF(up_Bv!Y5=0,".",((s_Ir*s_F*s_I_f*s_T*(1-EXP(-up_RadSpec!BA5*s_t_v)))/(s_Y_v*up_RadSpec!BA5))),".")</f>
        <v>9.0143481925428208</v>
      </c>
      <c r="BX5" s="108">
        <f>IFERROR(IF(up_Bv!Z5=0,".",((s_Ir*s_F*s_I_f*s_T*(1-EXP(-up_RadSpec!BA5*s_t_v)))/(s_Y_v*up_RadSpec!BA5))),".")</f>
        <v>9.0143481925428208</v>
      </c>
      <c r="BY5" s="108">
        <f>IFERROR(IF(up_Bv!AA5=0,".",((s_Ir*s_F*s_I_f*s_T*(1-EXP(-up_RadSpec!BA5*s_t_v)))/(s_Y_v*up_RadSpec!BA5))),".")</f>
        <v>9.0143481925428208</v>
      </c>
    </row>
    <row r="6" spans="1:77" x14ac:dyDescent="0.25">
      <c r="A6" s="44" t="s">
        <v>4</v>
      </c>
      <c r="B6" s="42" t="s">
        <v>1057</v>
      </c>
      <c r="C6" s="108">
        <f>IFERROR(IF(up_Bv!C6=0,".",((s_Ir*s_F*up_Bv!C6*(1-EXP(-up_RadSpec!$AZ6*s_t_b)))/(s_P*up_RadSpec!$AZ6))),".")</f>
        <v>993.50362303732038</v>
      </c>
      <c r="D6" s="108">
        <f>IFERROR(IF(up_Bv!D6=0,".",((s_Ir*s_F*up_Bv!D6*(1-EXP(-up_RadSpec!AZ6*s_t_b)))/(s_P*up_RadSpec!AZ6))),".")</f>
        <v>993.50362303732038</v>
      </c>
      <c r="E6" s="108">
        <f>IFERROR(IF(up_Bv!E6=0,".",((s_Ir*s_F*up_Bv!E6*(1-EXP(-up_RadSpec!AZ6*s_t_b)))/(s_P*up_RadSpec!AZ6))),".")</f>
        <v>993.50362303732038</v>
      </c>
      <c r="F6" s="108">
        <f>IFERROR(IF(up_Bv!F6=0,".",((s_Ir*s_F*up_Bv!F6*(1-EXP(-up_RadSpec!AZ6*s_t_b)))/(s_P*up_RadSpec!AZ6))),".")</f>
        <v>993.50362303732038</v>
      </c>
      <c r="G6" s="108">
        <f>IFERROR(IF(up_Bv!G6=0,".",((s_Ir*s_F*up_Bv!G6*(1-EXP(-up_RadSpec!AZ6*s_t_b)))/(s_P*up_RadSpec!AZ6))),".")</f>
        <v>993.50362303732038</v>
      </c>
      <c r="H6" s="108">
        <f>IFERROR(IF(up_Bv!H6=0,".",((s_Ir*s_F*up_Bv!H6*(1-EXP(-up_RadSpec!AZ6*s_t_b)))/(s_P*up_RadSpec!AZ6))),".")</f>
        <v>993.50362303732038</v>
      </c>
      <c r="I6" s="108">
        <f>IFERROR(IF(up_Bv!I6=0,".",((s_Ir*s_F*up_Bv!I6*(1-EXP(-up_RadSpec!AZ6*s_t_b)))/(s_P*up_RadSpec!AZ6))),".")</f>
        <v>993.50362303732038</v>
      </c>
      <c r="J6" s="108">
        <f>IFERROR(IF(up_Bv!J6=0,".",((s_Ir*s_F*up_Bv!J6*(1-EXP(-up_RadSpec!AZ6*s_t_b)))/(s_P*up_RadSpec!AZ6))),".")</f>
        <v>993.50362303732038</v>
      </c>
      <c r="K6" s="108">
        <f>IFERROR(IF(up_Bv!K6=0,".",((s_Ir*s_F*up_Bv!K6*(1-EXP(-up_RadSpec!AZ6*s_t_b)))/(s_P*up_RadSpec!AZ6))),".")</f>
        <v>993.50362303732038</v>
      </c>
      <c r="L6" s="108">
        <f>IFERROR(IF(up_Bv!L6=0,".",((s_Ir*s_F*up_Bv!L6*(1-EXP(-up_RadSpec!AZ6*s_t_b)))/(s_P*up_RadSpec!AZ6))),".")</f>
        <v>993.50362303732038</v>
      </c>
      <c r="M6" s="108">
        <f>IFERROR(IF(up_Bv!M6=0,".",((s_Ir*s_F*up_Bv!M6*(1-EXP(-up_RadSpec!AZ6*s_t_b)))/(s_P*up_RadSpec!AZ6))),".")</f>
        <v>993.50362303732038</v>
      </c>
      <c r="N6" s="108">
        <f>IFERROR(IF(up_Bv!N6=0,".",((s_Ir*s_F*up_Bv!N6*(1-EXP(-up_RadSpec!AZ6*s_t_b)))/(s_P*up_RadSpec!AZ6))),".")</f>
        <v>993.50362303732038</v>
      </c>
      <c r="O6" s="108">
        <f>IFERROR(IF(up_Bv!O6=0,".",((s_Ir*s_F*up_Bv!O6*(1-EXP(-up_RadSpec!AZ6*s_t_b)))/(s_P*up_RadSpec!AZ6))),".")</f>
        <v>993.50362303732038</v>
      </c>
      <c r="P6" s="108">
        <f>IFERROR(IF(up_Bv!P6=0,".",((s_Ir*s_F*up_Bv!P6*(1-EXP(-up_RadSpec!AZ6*s_t_b)))/(s_P*up_RadSpec!AZ6))),".")</f>
        <v>993.50362303732038</v>
      </c>
      <c r="Q6" s="108">
        <f>IFERROR(IF(up_Bv!Q6=0,".",((s_Ir*s_F*up_Bv!Q6*(1-EXP(-up_RadSpec!AZ6*s_t_b)))/(s_P*up_RadSpec!AZ6))),".")</f>
        <v>993.50362303732038</v>
      </c>
      <c r="R6" s="108">
        <f>IFERROR(IF(up_Bv!R6=0,".",((s_Ir*s_F*up_Bv!R6*(1-EXP(-up_RadSpec!AZ6*s_t_b)))/(s_P*up_RadSpec!AZ6))),".")</f>
        <v>993.50362303732038</v>
      </c>
      <c r="S6" s="108">
        <f>IFERROR(IF(up_Bv!S6=0,".",((s_Ir*s_F*up_Bv!S6*(1-EXP(-up_RadSpec!AZ6*s_t_b)))/(s_P*up_RadSpec!AZ6))),".")</f>
        <v>993.50362303732038</v>
      </c>
      <c r="T6" s="108">
        <f>IFERROR(IF(up_Bv!T6=0,".",((s_Ir*s_F*up_Bv!T6*(1-EXP(-up_RadSpec!AZ6*s_t_b)))/(s_P*up_RadSpec!AZ6))),".")</f>
        <v>993.50362303732038</v>
      </c>
      <c r="U6" s="108">
        <f>IFERROR(IF(up_Bv!U6=0,".",((s_Ir*s_F*up_Bv!U6*(1-EXP(-up_RadSpec!AZ6*s_t_b)))/(s_P*up_RadSpec!AZ6))),".")</f>
        <v>993.50362303732038</v>
      </c>
      <c r="V6" s="108">
        <f>IFERROR(IF(up_Bv!V6=0,".",((s_Ir*s_F*up_Bv!V6*(1-EXP(-up_RadSpec!AZ6*s_t_b)))/(s_P*up_RadSpec!AZ6))),".")</f>
        <v>993.50362303732038</v>
      </c>
      <c r="W6" s="108">
        <f>IFERROR(IF(up_Bv!W6=0,".",((s_Ir*s_F*up_Bv!W6*(1-EXP(-up_RadSpec!AZ6*s_t_b)))/(s_P*up_RadSpec!AZ6))),".")</f>
        <v>993.50362303732038</v>
      </c>
      <c r="X6" s="108">
        <f>IFERROR(IF(up_Bv!X6=0,".",((s_Ir*s_F*up_Bv!X6*(1-EXP(-up_RadSpec!AZ6*s_t_b)))/(s_P*up_RadSpec!AZ6))),".")</f>
        <v>993.50362303732038</v>
      </c>
      <c r="Y6" s="108">
        <f>IFERROR(IF(up_Bv!Y6=0,".",((s_Ir*s_F*up_Bv!Y6*(1-EXP(-up_RadSpec!AZ6*s_t_b)))/(s_P*up_RadSpec!AZ6))),".")</f>
        <v>993.50362303732038</v>
      </c>
      <c r="Z6" s="108">
        <f>IFERROR(IF(up_Bv!Z6=0,".",((s_Ir*s_F*up_Bv!Z6*(1-EXP(-up_RadSpec!AZ6*s_t_b)))/(s_P*up_RadSpec!AZ6))),".")</f>
        <v>993.50362303732038</v>
      </c>
      <c r="AA6" s="108">
        <f>IFERROR(IF(up_Bv!AA6=0,".",((s_Ir*s_F*up_Bv!AA6*(1-EXP(-up_RadSpec!AZ6*s_t_b)))/(s_P*up_RadSpec!AZ6))),".")</f>
        <v>993.50362303732038</v>
      </c>
      <c r="AB6" s="108">
        <f>IFERROR(IF(up_Bv!C6=0,".",((s_Ir*s_F*s_MLF_apple*(1-EXP(-up_RadSpec!AZ6*s_t_b)))/(s_P*up_RadSpec!AZ6))),".")</f>
        <v>2.6824597822007652</v>
      </c>
      <c r="AC6" s="108">
        <f>IFERROR(IF(up_Bv!D6=0,".",((s_Ir*s_F*s_MLF_asparagus*(1-EXP(-up_RadSpec!AZ6*s_t_b)))/(s_P*up_RadSpec!AZ6))),".")</f>
        <v>2.6824597822007652</v>
      </c>
      <c r="AD6" s="108">
        <f>IFERROR(IF(up_Bv!E6=0,".",((s_Ir*s_F*s_MLF_beet*(1-EXP(-up_RadSpec!AZ6*s_t_b)))/(s_P*up_RadSpec!AZ6))),".")</f>
        <v>2.6824597822007652</v>
      </c>
      <c r="AE6" s="108">
        <f>IFERROR(IF(up_Bv!F6=0,".",((s_Ir*s_F*s_MLF_berries*(1-EXP(-up_RadSpec!AZ6*s_t_b)))/(s_P*up_RadSpec!AZ6))),".")</f>
        <v>2.6824597822007652</v>
      </c>
      <c r="AF6" s="108">
        <f>IFERROR(IF(up_Bv!G6=0,".",((s_Ir*s_F*s_MLF_broccoli*(1-EXP(-up_RadSpec!AZ6*s_t_b)))/(s_P*up_RadSpec!AZ6))),".")</f>
        <v>2.6824597822007652</v>
      </c>
      <c r="AG6" s="108">
        <f>IFERROR(IF(up_Bv!H6=0,".",((s_Ir*s_F*s_MLF_cabbage*(1-EXP(-up_RadSpec!AZ6*s_t_b)))/(s_P*up_RadSpec!AZ6))),".")</f>
        <v>2.6824597822007652</v>
      </c>
      <c r="AH6" s="108">
        <f>IFERROR(IF(up_Bv!I6=0,".",((s_Ir*s_F*s_MLF_carrot*(1-EXP(-up_RadSpec!AZ6*s_t_b)))/(s_P*up_RadSpec!AZ6))),".")</f>
        <v>2.6824597822007652</v>
      </c>
      <c r="AI6" s="108">
        <f>IFERROR(IF(up_Bv!J6=0,".",((s_Ir*s_F*s_MLF_citrus*(1-EXP(-up_RadSpec!AZ6*s_t_b)))/(s_P*up_RadSpec!AZ6))),".")</f>
        <v>2.6824597822007652</v>
      </c>
      <c r="AJ6" s="108">
        <f>IFERROR(IF(up_Bv!K6=0,".",((s_Ir*s_F*s_MLF_corn*(1-EXP(-up_RadSpec!AZ6*s_t_b)))/(s_P*up_RadSpec!AZ6))),".")</f>
        <v>2.6824597822007652</v>
      </c>
      <c r="AK6" s="108">
        <f>IFERROR(IF(up_Bv!L6=0,".",((s_Ir*s_F*s_MLF_cucumber*(1-EXP(-up_RadSpec!AZ6*s_t_b)))/(s_P*up_RadSpec!AZ6))),".")</f>
        <v>2.6824597822007652</v>
      </c>
      <c r="AL6" s="108">
        <f>IFERROR(IF(up_Bv!M6=0,".",((s_Ir*s_F*s_MLF_lettuce*(1-EXP(-up_RadSpec!AZ6*s_t_b)))/(s_P*up_RadSpec!AZ6))),".")</f>
        <v>2.6824597822007652</v>
      </c>
      <c r="AM6" s="108">
        <f>IFERROR(IF(up_Bv!N6=0,".",((s_Ir*s_F*s_MLF_lima_bean*(1-EXP(-up_RadSpec!AZ6*s_t_b)))/(s_P*up_RadSpec!AZ6))),".")</f>
        <v>2.6824597822007652</v>
      </c>
      <c r="AN6" s="108">
        <f>IFERROR(IF(up_Bv!O6=0,".",((s_Ir*s_F*s_MLF_okra*(1-EXP(-up_RadSpec!AZ6*s_t_b)))/(s_P*up_RadSpec!AZ6))),".")</f>
        <v>2.6824597822007652</v>
      </c>
      <c r="AO6" s="108">
        <f>IFERROR(IF(up_Bv!P6=0,".",((s_Ir*s_F*s_MLF_onion*(1-EXP(-up_RadSpec!AZ6*s_t_b)))/(s_P*up_RadSpec!AZ6))),".")</f>
        <v>2.6824597822007652</v>
      </c>
      <c r="AP6" s="108">
        <f>IFERROR(IF(up_Bv!Q6=0,".",((s_Ir*s_F*s_MLF_peach*(1-EXP(-up_RadSpec!AZ6*s_t_b)))/(s_P*up_RadSpec!AZ6))),".")</f>
        <v>2.6824597822007652</v>
      </c>
      <c r="AQ6" s="108">
        <f>IFERROR(IF(up_Bv!R6=0,".",((s_Ir*s_F*s_MLF_pear*(1-EXP(-up_RadSpec!AZ6*s_t_b)))/(s_P*up_RadSpec!AZ6))),".")</f>
        <v>2.6824597822007652</v>
      </c>
      <c r="AR6" s="108">
        <f>IFERROR(IF(up_Bv!S6=0,".",((s_Ir*s_F*s_MLF_peas*(1-EXP(-up_RadSpec!AZ6*s_t_b)))/(s_P*up_RadSpec!AZ6))),".")</f>
        <v>2.6824597822007652</v>
      </c>
      <c r="AS6" s="108">
        <f>IFERROR(IF(up_Bv!T6=0,".",((s_Ir*s_F*s_MLF_peppers*(1-EXP(-up_RadSpec!AZ6*s_t_b)))/(s_P*up_RadSpec!AZ6))),".")</f>
        <v>2.6824597822007652</v>
      </c>
      <c r="AT6" s="108">
        <f>IFERROR(IF(up_Bv!U6=0,".",((s_Ir*s_F*s_MLF_potato*(1-EXP(-up_RadSpec!AZ6*s_t_b)))/(s_P*up_RadSpec!AZ6))),".")</f>
        <v>2.6824597822007652</v>
      </c>
      <c r="AU6" s="108">
        <f>IFERROR(IF(up_Bv!V6=0,".",((s_Ir*s_F*s_MLF_pumpkin*(1-EXP(-up_RadSpec!AZ6*s_t_b)))/(s_P*up_RadSpec!AZ6))),".")</f>
        <v>2.6824597822007652</v>
      </c>
      <c r="AV6" s="108">
        <f>IFERROR(IF(up_Bv!W6=0,".",((s_Ir*s_F*s_MLF_snap_bean*(1-EXP(-up_RadSpec!AZ6*s_t_b)))/(s_P*up_RadSpec!AZ6))),".")</f>
        <v>2.6824597822007652</v>
      </c>
      <c r="AW6" s="108">
        <f>IFERROR(IF(up_Bv!X6=0,".",((s_Ir*s_F*s_MLF_strawberry*(1-EXP(-up_RadSpec!AZ6*s_t_b)))/(s_P*up_RadSpec!AZ6))),".")</f>
        <v>2.6824597822007652</v>
      </c>
      <c r="AX6" s="108">
        <f>IFERROR(IF(up_Bv!Y6=0,".",((s_Ir*s_F*s_MLF_tomato*(1-EXP(-up_RadSpec!AZ6*s_t_b)))/(s_P*up_RadSpec!AZ6))),".")</f>
        <v>2.6824597822007652</v>
      </c>
      <c r="AY6" s="108">
        <f>IFERROR(IF(up_Bv!Z6=0,".",((s_Ir*s_F*s_MLF_rice*(1-EXP(-up_RadSpec!AZ6*s_t_b)))/(s_P*up_RadSpec!AZ6))),".")</f>
        <v>2.6824597822007652</v>
      </c>
      <c r="AZ6" s="108">
        <f>IFERROR(IF(up_Bv!AA6=0,".",((s_Ir*s_F*s_MLF_cereal*(1-EXP(-up_RadSpec!AZ6*s_t_b)))/(s_P*up_RadSpec!AZ6))),".")</f>
        <v>2.6824597822007652</v>
      </c>
      <c r="BA6" s="108">
        <f>IFERROR(IF(up_Bv!C6=0,".",((s_Ir*s_F*s_I_f*s_T*(1-EXP(-up_RadSpec!BA6*s_t_v)))/(s_Y_v*up_RadSpec!BA6))),".")</f>
        <v>9.0143481925428208</v>
      </c>
      <c r="BB6" s="108">
        <f>IFERROR(IF(up_Bv!D6=0,".",((s_Ir*s_F*s_I_f*s_T*(1-EXP(-up_RadSpec!BA6*s_t_v)))/(s_Y_v*up_RadSpec!BA6))),".")</f>
        <v>9.0143481925428208</v>
      </c>
      <c r="BC6" s="108">
        <f>IFERROR(IF(up_Bv!E6=0,".",((s_Ir*s_F*s_I_f*s_T*(1-EXP(-up_RadSpec!BA6*s_t_v)))/(s_Y_v*up_RadSpec!BA6))),".")</f>
        <v>9.0143481925428208</v>
      </c>
      <c r="BD6" s="108">
        <f>IFERROR(IF(up_Bv!F6=0,".",((s_Ir*s_F*s_I_f*s_T*(1-EXP(-up_RadSpec!BA6*s_t_v)))/(s_Y_v*up_RadSpec!BA6))),".")</f>
        <v>9.0143481925428208</v>
      </c>
      <c r="BE6" s="108">
        <f>IFERROR(IF(up_Bv!G6=0,".",((s_Ir*s_F*s_I_f*s_T*(1-EXP(-up_RadSpec!BA6*s_t_v)))/(s_Y_v*up_RadSpec!BA6))),".")</f>
        <v>9.0143481925428208</v>
      </c>
      <c r="BF6" s="108">
        <f>IFERROR(IF(up_Bv!H6=0,".",((s_Ir*s_F*s_I_f*s_T*(1-EXP(-up_RadSpec!BA6*s_t_v)))/(s_Y_v*up_RadSpec!BA6))),".")</f>
        <v>9.0143481925428208</v>
      </c>
      <c r="BG6" s="108">
        <f>IFERROR(IF(up_Bv!I6=0,".",((s_Ir*s_F*s_I_f*s_T*(1-EXP(-up_RadSpec!BA6*s_t_v)))/(s_Y_v*up_RadSpec!BA6))),".")</f>
        <v>9.0143481925428208</v>
      </c>
      <c r="BH6" s="108">
        <f>IFERROR(IF(up_Bv!J6=0,".",((s_Ir*s_F*s_I_f*s_T*(1-EXP(-up_RadSpec!BA6*s_t_v)))/(s_Y_v*up_RadSpec!BA6))),".")</f>
        <v>9.0143481925428208</v>
      </c>
      <c r="BI6" s="108">
        <f>IFERROR(IF(up_Bv!K6=0,".",((s_Ir*s_F*s_I_f*s_T*(1-EXP(-up_RadSpec!BA6*s_t_v)))/(s_Y_v*up_RadSpec!BA6))),".")</f>
        <v>9.0143481925428208</v>
      </c>
      <c r="BJ6" s="108">
        <f>IFERROR(IF(up_Bv!L6=0,".",((s_Ir*s_F*s_I_f*s_T*(1-EXP(-up_RadSpec!BA6*s_t_v)))/(s_Y_v*up_RadSpec!BA6))),".")</f>
        <v>9.0143481925428208</v>
      </c>
      <c r="BK6" s="108">
        <f>IFERROR(IF(up_Bv!M6=0,".",((s_Ir*s_F*s_I_f*s_T*(1-EXP(-up_RadSpec!BA6*s_t_v)))/(s_Y_v*up_RadSpec!BA6))),".")</f>
        <v>9.0143481925428208</v>
      </c>
      <c r="BL6" s="108">
        <f>IFERROR(IF(up_Bv!N6=0,".",((s_Ir*s_F*s_I_f*s_T*(1-EXP(-up_RadSpec!BA6*s_t_v)))/(s_Y_v*up_RadSpec!BA6))),".")</f>
        <v>9.0143481925428208</v>
      </c>
      <c r="BM6" s="108">
        <f>IFERROR(IF(up_Bv!O6=0,".",((s_Ir*s_F*s_I_f*s_T*(1-EXP(-up_RadSpec!BA6*s_t_v)))/(s_Y_v*up_RadSpec!BA6))),".")</f>
        <v>9.0143481925428208</v>
      </c>
      <c r="BN6" s="108">
        <f>IFERROR(IF(up_Bv!P6=0,".",((s_Ir*s_F*s_I_f*s_T*(1-EXP(-up_RadSpec!BA6*s_t_v)))/(s_Y_v*up_RadSpec!BA6))),".")</f>
        <v>9.0143481925428208</v>
      </c>
      <c r="BO6" s="108">
        <f>IFERROR(IF(up_Bv!Q6=0,".",((s_Ir*s_F*s_I_f*s_T*(1-EXP(-up_RadSpec!BA6*s_t_v)))/(s_Y_v*up_RadSpec!BA6))),".")</f>
        <v>9.0143481925428208</v>
      </c>
      <c r="BP6" s="108">
        <f>IFERROR(IF(up_Bv!R6=0,".",((s_Ir*s_F*s_I_f*s_T*(1-EXP(-up_RadSpec!BA6*s_t_v)))/(s_Y_v*up_RadSpec!BA6))),".")</f>
        <v>9.0143481925428208</v>
      </c>
      <c r="BQ6" s="108">
        <f>IFERROR(IF(up_Bv!S6=0,".",((s_Ir*s_F*s_I_f*s_T*(1-EXP(-up_RadSpec!BA6*s_t_v)))/(s_Y_v*up_RadSpec!BA6))),".")</f>
        <v>9.0143481925428208</v>
      </c>
      <c r="BR6" s="108">
        <f>IFERROR(IF(up_Bv!T6=0,".",((s_Ir*s_F*s_I_f*s_T*(1-EXP(-up_RadSpec!BA6*s_t_v)))/(s_Y_v*up_RadSpec!BA6))),".")</f>
        <v>9.0143481925428208</v>
      </c>
      <c r="BS6" s="108">
        <f>IFERROR(IF(up_Bv!U6=0,".",((s_Ir*s_F*s_I_f*s_T*(1-EXP(-up_RadSpec!BA6*s_t_v)))/(s_Y_v*up_RadSpec!BA6))),".")</f>
        <v>9.0143481925428208</v>
      </c>
      <c r="BT6" s="108">
        <f>IFERROR(IF(up_Bv!V6=0,".",((s_Ir*s_F*s_I_f*s_T*(1-EXP(-up_RadSpec!BA6*s_t_v)))/(s_Y_v*up_RadSpec!BA6))),".")</f>
        <v>9.0143481925428208</v>
      </c>
      <c r="BU6" s="108">
        <f>IFERROR(IF(up_Bv!W6=0,".",((s_Ir*s_F*s_I_f*s_T*(1-EXP(-up_RadSpec!BA6*s_t_v)))/(s_Y_v*up_RadSpec!BA6))),".")</f>
        <v>9.0143481925428208</v>
      </c>
      <c r="BV6" s="108">
        <f>IFERROR(IF(up_Bv!X6=0,".",((s_Ir*s_F*s_I_f*s_T*(1-EXP(-up_RadSpec!BA6*s_t_v)))/(s_Y_v*up_RadSpec!BA6))),".")</f>
        <v>9.0143481925428208</v>
      </c>
      <c r="BW6" s="108">
        <f>IFERROR(IF(up_Bv!Y6=0,".",((s_Ir*s_F*s_I_f*s_T*(1-EXP(-up_RadSpec!BA6*s_t_v)))/(s_Y_v*up_RadSpec!BA6))),".")</f>
        <v>9.0143481925428208</v>
      </c>
      <c r="BX6" s="108">
        <f>IFERROR(IF(up_Bv!Z6=0,".",((s_Ir*s_F*s_I_f*s_T*(1-EXP(-up_RadSpec!BA6*s_t_v)))/(s_Y_v*up_RadSpec!BA6))),".")</f>
        <v>9.0143481925428208</v>
      </c>
      <c r="BY6" s="108">
        <f>IFERROR(IF(up_Bv!AA6=0,".",((s_Ir*s_F*s_I_f*s_T*(1-EXP(-up_RadSpec!BA6*s_t_v)))/(s_Y_v*up_RadSpec!BA6))),".")</f>
        <v>9.0143481925428208</v>
      </c>
    </row>
    <row r="7" spans="1:77" x14ac:dyDescent="0.25">
      <c r="A7" s="44" t="s">
        <v>5</v>
      </c>
      <c r="B7" s="42" t="s">
        <v>1057</v>
      </c>
      <c r="C7" s="108">
        <f>IFERROR(IF(up_Bv!C7=0,".",((s_Ir*s_F*up_Bv!C7*(1-EXP(-up_RadSpec!$AZ7*s_t_b)))/(s_P*up_RadSpec!$AZ7))),".")</f>
        <v>993.50362303732038</v>
      </c>
      <c r="D7" s="108">
        <f>IFERROR(IF(up_Bv!D7=0,".",((s_Ir*s_F*up_Bv!D7*(1-EXP(-up_RadSpec!AZ7*s_t_b)))/(s_P*up_RadSpec!AZ7))),".")</f>
        <v>993.50362303732038</v>
      </c>
      <c r="E7" s="108">
        <f>IFERROR(IF(up_Bv!E7=0,".",((s_Ir*s_F*up_Bv!E7*(1-EXP(-up_RadSpec!AZ7*s_t_b)))/(s_P*up_RadSpec!AZ7))),".")</f>
        <v>993.50362303732038</v>
      </c>
      <c r="F7" s="108">
        <f>IFERROR(IF(up_Bv!F7=0,".",((s_Ir*s_F*up_Bv!F7*(1-EXP(-up_RadSpec!AZ7*s_t_b)))/(s_P*up_RadSpec!AZ7))),".")</f>
        <v>993.50362303732038</v>
      </c>
      <c r="G7" s="108">
        <f>IFERROR(IF(up_Bv!G7=0,".",((s_Ir*s_F*up_Bv!G7*(1-EXP(-up_RadSpec!AZ7*s_t_b)))/(s_P*up_RadSpec!AZ7))),".")</f>
        <v>993.50362303732038</v>
      </c>
      <c r="H7" s="108">
        <f>IFERROR(IF(up_Bv!H7=0,".",((s_Ir*s_F*up_Bv!H7*(1-EXP(-up_RadSpec!AZ7*s_t_b)))/(s_P*up_RadSpec!AZ7))),".")</f>
        <v>993.50362303732038</v>
      </c>
      <c r="I7" s="108">
        <f>IFERROR(IF(up_Bv!I7=0,".",((s_Ir*s_F*up_Bv!I7*(1-EXP(-up_RadSpec!AZ7*s_t_b)))/(s_P*up_RadSpec!AZ7))),".")</f>
        <v>993.50362303732038</v>
      </c>
      <c r="J7" s="108">
        <f>IFERROR(IF(up_Bv!J7=0,".",((s_Ir*s_F*up_Bv!J7*(1-EXP(-up_RadSpec!AZ7*s_t_b)))/(s_P*up_RadSpec!AZ7))),".")</f>
        <v>993.50362303732038</v>
      </c>
      <c r="K7" s="108">
        <f>IFERROR(IF(up_Bv!K7=0,".",((s_Ir*s_F*up_Bv!K7*(1-EXP(-up_RadSpec!AZ7*s_t_b)))/(s_P*up_RadSpec!AZ7))),".")</f>
        <v>993.50362303732038</v>
      </c>
      <c r="L7" s="108">
        <f>IFERROR(IF(up_Bv!L7=0,".",((s_Ir*s_F*up_Bv!L7*(1-EXP(-up_RadSpec!AZ7*s_t_b)))/(s_P*up_RadSpec!AZ7))),".")</f>
        <v>993.50362303732038</v>
      </c>
      <c r="M7" s="108">
        <f>IFERROR(IF(up_Bv!M7=0,".",((s_Ir*s_F*up_Bv!M7*(1-EXP(-up_RadSpec!AZ7*s_t_b)))/(s_P*up_RadSpec!AZ7))),".")</f>
        <v>993.50362303732038</v>
      </c>
      <c r="N7" s="108">
        <f>IFERROR(IF(up_Bv!N7=0,".",((s_Ir*s_F*up_Bv!N7*(1-EXP(-up_RadSpec!AZ7*s_t_b)))/(s_P*up_RadSpec!AZ7))),".")</f>
        <v>993.50362303732038</v>
      </c>
      <c r="O7" s="108">
        <f>IFERROR(IF(up_Bv!O7=0,".",((s_Ir*s_F*up_Bv!O7*(1-EXP(-up_RadSpec!AZ7*s_t_b)))/(s_P*up_RadSpec!AZ7))),".")</f>
        <v>993.50362303732038</v>
      </c>
      <c r="P7" s="108">
        <f>IFERROR(IF(up_Bv!P7=0,".",((s_Ir*s_F*up_Bv!P7*(1-EXP(-up_RadSpec!AZ7*s_t_b)))/(s_P*up_RadSpec!AZ7))),".")</f>
        <v>993.50362303732038</v>
      </c>
      <c r="Q7" s="108">
        <f>IFERROR(IF(up_Bv!Q7=0,".",((s_Ir*s_F*up_Bv!Q7*(1-EXP(-up_RadSpec!AZ7*s_t_b)))/(s_P*up_RadSpec!AZ7))),".")</f>
        <v>993.50362303732038</v>
      </c>
      <c r="R7" s="108">
        <f>IFERROR(IF(up_Bv!R7=0,".",((s_Ir*s_F*up_Bv!R7*(1-EXP(-up_RadSpec!AZ7*s_t_b)))/(s_P*up_RadSpec!AZ7))),".")</f>
        <v>993.50362303732038</v>
      </c>
      <c r="S7" s="108">
        <f>IFERROR(IF(up_Bv!S7=0,".",((s_Ir*s_F*up_Bv!S7*(1-EXP(-up_RadSpec!AZ7*s_t_b)))/(s_P*up_RadSpec!AZ7))),".")</f>
        <v>993.50362303732038</v>
      </c>
      <c r="T7" s="108">
        <f>IFERROR(IF(up_Bv!T7=0,".",((s_Ir*s_F*up_Bv!T7*(1-EXP(-up_RadSpec!AZ7*s_t_b)))/(s_P*up_RadSpec!AZ7))),".")</f>
        <v>993.50362303732038</v>
      </c>
      <c r="U7" s="108">
        <f>IFERROR(IF(up_Bv!U7=0,".",((s_Ir*s_F*up_Bv!U7*(1-EXP(-up_RadSpec!AZ7*s_t_b)))/(s_P*up_RadSpec!AZ7))),".")</f>
        <v>993.50362303732038</v>
      </c>
      <c r="V7" s="108">
        <f>IFERROR(IF(up_Bv!V7=0,".",((s_Ir*s_F*up_Bv!V7*(1-EXP(-up_RadSpec!AZ7*s_t_b)))/(s_P*up_RadSpec!AZ7))),".")</f>
        <v>993.50362303732038</v>
      </c>
      <c r="W7" s="108">
        <f>IFERROR(IF(up_Bv!W7=0,".",((s_Ir*s_F*up_Bv!W7*(1-EXP(-up_RadSpec!AZ7*s_t_b)))/(s_P*up_RadSpec!AZ7))),".")</f>
        <v>993.50362303732038</v>
      </c>
      <c r="X7" s="108">
        <f>IFERROR(IF(up_Bv!X7=0,".",((s_Ir*s_F*up_Bv!X7*(1-EXP(-up_RadSpec!AZ7*s_t_b)))/(s_P*up_RadSpec!AZ7))),".")</f>
        <v>993.50362303732038</v>
      </c>
      <c r="Y7" s="108">
        <f>IFERROR(IF(up_Bv!Y7=0,".",((s_Ir*s_F*up_Bv!Y7*(1-EXP(-up_RadSpec!AZ7*s_t_b)))/(s_P*up_RadSpec!AZ7))),".")</f>
        <v>993.50362303732038</v>
      </c>
      <c r="Z7" s="108">
        <f>IFERROR(IF(up_Bv!Z7=0,".",((s_Ir*s_F*up_Bv!Z7*(1-EXP(-up_RadSpec!AZ7*s_t_b)))/(s_P*up_RadSpec!AZ7))),".")</f>
        <v>993.50362303732038</v>
      </c>
      <c r="AA7" s="108">
        <f>IFERROR(IF(up_Bv!AA7=0,".",((s_Ir*s_F*up_Bv!AA7*(1-EXP(-up_RadSpec!AZ7*s_t_b)))/(s_P*up_RadSpec!AZ7))),".")</f>
        <v>993.50362303732038</v>
      </c>
      <c r="AB7" s="108">
        <f>IFERROR(IF(up_Bv!C7=0,".",((s_Ir*s_F*s_MLF_apple*(1-EXP(-up_RadSpec!AZ7*s_t_b)))/(s_P*up_RadSpec!AZ7))),".")</f>
        <v>2.6824597822007652</v>
      </c>
      <c r="AC7" s="108">
        <f>IFERROR(IF(up_Bv!D7=0,".",((s_Ir*s_F*s_MLF_asparagus*(1-EXP(-up_RadSpec!AZ7*s_t_b)))/(s_P*up_RadSpec!AZ7))),".")</f>
        <v>2.6824597822007652</v>
      </c>
      <c r="AD7" s="108">
        <f>IFERROR(IF(up_Bv!E7=0,".",((s_Ir*s_F*s_MLF_beet*(1-EXP(-up_RadSpec!AZ7*s_t_b)))/(s_P*up_RadSpec!AZ7))),".")</f>
        <v>2.6824597822007652</v>
      </c>
      <c r="AE7" s="108">
        <f>IFERROR(IF(up_Bv!F7=0,".",((s_Ir*s_F*s_MLF_berries*(1-EXP(-up_RadSpec!AZ7*s_t_b)))/(s_P*up_RadSpec!AZ7))),".")</f>
        <v>2.6824597822007652</v>
      </c>
      <c r="AF7" s="108">
        <f>IFERROR(IF(up_Bv!G7=0,".",((s_Ir*s_F*s_MLF_broccoli*(1-EXP(-up_RadSpec!AZ7*s_t_b)))/(s_P*up_RadSpec!AZ7))),".")</f>
        <v>2.6824597822007652</v>
      </c>
      <c r="AG7" s="108">
        <f>IFERROR(IF(up_Bv!H7=0,".",((s_Ir*s_F*s_MLF_cabbage*(1-EXP(-up_RadSpec!AZ7*s_t_b)))/(s_P*up_RadSpec!AZ7))),".")</f>
        <v>2.6824597822007652</v>
      </c>
      <c r="AH7" s="108">
        <f>IFERROR(IF(up_Bv!I7=0,".",((s_Ir*s_F*s_MLF_carrot*(1-EXP(-up_RadSpec!AZ7*s_t_b)))/(s_P*up_RadSpec!AZ7))),".")</f>
        <v>2.6824597822007652</v>
      </c>
      <c r="AI7" s="108">
        <f>IFERROR(IF(up_Bv!J7=0,".",((s_Ir*s_F*s_MLF_citrus*(1-EXP(-up_RadSpec!AZ7*s_t_b)))/(s_P*up_RadSpec!AZ7))),".")</f>
        <v>2.6824597822007652</v>
      </c>
      <c r="AJ7" s="108">
        <f>IFERROR(IF(up_Bv!K7=0,".",((s_Ir*s_F*s_MLF_corn*(1-EXP(-up_RadSpec!AZ7*s_t_b)))/(s_P*up_RadSpec!AZ7))),".")</f>
        <v>2.6824597822007652</v>
      </c>
      <c r="AK7" s="108">
        <f>IFERROR(IF(up_Bv!L7=0,".",((s_Ir*s_F*s_MLF_cucumber*(1-EXP(-up_RadSpec!AZ7*s_t_b)))/(s_P*up_RadSpec!AZ7))),".")</f>
        <v>2.6824597822007652</v>
      </c>
      <c r="AL7" s="108">
        <f>IFERROR(IF(up_Bv!M7=0,".",((s_Ir*s_F*s_MLF_lettuce*(1-EXP(-up_RadSpec!AZ7*s_t_b)))/(s_P*up_RadSpec!AZ7))),".")</f>
        <v>2.6824597822007652</v>
      </c>
      <c r="AM7" s="108">
        <f>IFERROR(IF(up_Bv!N7=0,".",((s_Ir*s_F*s_MLF_lima_bean*(1-EXP(-up_RadSpec!AZ7*s_t_b)))/(s_P*up_RadSpec!AZ7))),".")</f>
        <v>2.6824597822007652</v>
      </c>
      <c r="AN7" s="108">
        <f>IFERROR(IF(up_Bv!O7=0,".",((s_Ir*s_F*s_MLF_okra*(1-EXP(-up_RadSpec!AZ7*s_t_b)))/(s_P*up_RadSpec!AZ7))),".")</f>
        <v>2.6824597822007652</v>
      </c>
      <c r="AO7" s="108">
        <f>IFERROR(IF(up_Bv!P7=0,".",((s_Ir*s_F*s_MLF_onion*(1-EXP(-up_RadSpec!AZ7*s_t_b)))/(s_P*up_RadSpec!AZ7))),".")</f>
        <v>2.6824597822007652</v>
      </c>
      <c r="AP7" s="108">
        <f>IFERROR(IF(up_Bv!Q7=0,".",((s_Ir*s_F*s_MLF_peach*(1-EXP(-up_RadSpec!AZ7*s_t_b)))/(s_P*up_RadSpec!AZ7))),".")</f>
        <v>2.6824597822007652</v>
      </c>
      <c r="AQ7" s="108">
        <f>IFERROR(IF(up_Bv!R7=0,".",((s_Ir*s_F*s_MLF_pear*(1-EXP(-up_RadSpec!AZ7*s_t_b)))/(s_P*up_RadSpec!AZ7))),".")</f>
        <v>2.6824597822007652</v>
      </c>
      <c r="AR7" s="108">
        <f>IFERROR(IF(up_Bv!S7=0,".",((s_Ir*s_F*s_MLF_peas*(1-EXP(-up_RadSpec!AZ7*s_t_b)))/(s_P*up_RadSpec!AZ7))),".")</f>
        <v>2.6824597822007652</v>
      </c>
      <c r="AS7" s="108">
        <f>IFERROR(IF(up_Bv!T7=0,".",((s_Ir*s_F*s_MLF_peppers*(1-EXP(-up_RadSpec!AZ7*s_t_b)))/(s_P*up_RadSpec!AZ7))),".")</f>
        <v>2.6824597822007652</v>
      </c>
      <c r="AT7" s="108">
        <f>IFERROR(IF(up_Bv!U7=0,".",((s_Ir*s_F*s_MLF_potato*(1-EXP(-up_RadSpec!AZ7*s_t_b)))/(s_P*up_RadSpec!AZ7))),".")</f>
        <v>2.6824597822007652</v>
      </c>
      <c r="AU7" s="108">
        <f>IFERROR(IF(up_Bv!V7=0,".",((s_Ir*s_F*s_MLF_pumpkin*(1-EXP(-up_RadSpec!AZ7*s_t_b)))/(s_P*up_RadSpec!AZ7))),".")</f>
        <v>2.6824597822007652</v>
      </c>
      <c r="AV7" s="108">
        <f>IFERROR(IF(up_Bv!W7=0,".",((s_Ir*s_F*s_MLF_snap_bean*(1-EXP(-up_RadSpec!AZ7*s_t_b)))/(s_P*up_RadSpec!AZ7))),".")</f>
        <v>2.6824597822007652</v>
      </c>
      <c r="AW7" s="108">
        <f>IFERROR(IF(up_Bv!X7=0,".",((s_Ir*s_F*s_MLF_strawberry*(1-EXP(-up_RadSpec!AZ7*s_t_b)))/(s_P*up_RadSpec!AZ7))),".")</f>
        <v>2.6824597822007652</v>
      </c>
      <c r="AX7" s="108">
        <f>IFERROR(IF(up_Bv!Y7=0,".",((s_Ir*s_F*s_MLF_tomato*(1-EXP(-up_RadSpec!AZ7*s_t_b)))/(s_P*up_RadSpec!AZ7))),".")</f>
        <v>2.6824597822007652</v>
      </c>
      <c r="AY7" s="108">
        <f>IFERROR(IF(up_Bv!Z7=0,".",((s_Ir*s_F*s_MLF_rice*(1-EXP(-up_RadSpec!AZ7*s_t_b)))/(s_P*up_RadSpec!AZ7))),".")</f>
        <v>2.6824597822007652</v>
      </c>
      <c r="AZ7" s="108">
        <f>IFERROR(IF(up_Bv!AA7=0,".",((s_Ir*s_F*s_MLF_cereal*(1-EXP(-up_RadSpec!AZ7*s_t_b)))/(s_P*up_RadSpec!AZ7))),".")</f>
        <v>2.6824597822007652</v>
      </c>
      <c r="BA7" s="108">
        <f>IFERROR(IF(up_Bv!C7=0,".",((s_Ir*s_F*s_I_f*s_T*(1-EXP(-up_RadSpec!BA7*s_t_v)))/(s_Y_v*up_RadSpec!BA7))),".")</f>
        <v>9.0143481925428208</v>
      </c>
      <c r="BB7" s="108">
        <f>IFERROR(IF(up_Bv!D7=0,".",((s_Ir*s_F*s_I_f*s_T*(1-EXP(-up_RadSpec!BA7*s_t_v)))/(s_Y_v*up_RadSpec!BA7))),".")</f>
        <v>9.0143481925428208</v>
      </c>
      <c r="BC7" s="108">
        <f>IFERROR(IF(up_Bv!E7=0,".",((s_Ir*s_F*s_I_f*s_T*(1-EXP(-up_RadSpec!BA7*s_t_v)))/(s_Y_v*up_RadSpec!BA7))),".")</f>
        <v>9.0143481925428208</v>
      </c>
      <c r="BD7" s="108">
        <f>IFERROR(IF(up_Bv!F7=0,".",((s_Ir*s_F*s_I_f*s_T*(1-EXP(-up_RadSpec!BA7*s_t_v)))/(s_Y_v*up_RadSpec!BA7))),".")</f>
        <v>9.0143481925428208</v>
      </c>
      <c r="BE7" s="108">
        <f>IFERROR(IF(up_Bv!G7=0,".",((s_Ir*s_F*s_I_f*s_T*(1-EXP(-up_RadSpec!BA7*s_t_v)))/(s_Y_v*up_RadSpec!BA7))),".")</f>
        <v>9.0143481925428208</v>
      </c>
      <c r="BF7" s="108">
        <f>IFERROR(IF(up_Bv!H7=0,".",((s_Ir*s_F*s_I_f*s_T*(1-EXP(-up_RadSpec!BA7*s_t_v)))/(s_Y_v*up_RadSpec!BA7))),".")</f>
        <v>9.0143481925428208</v>
      </c>
      <c r="BG7" s="108">
        <f>IFERROR(IF(up_Bv!I7=0,".",((s_Ir*s_F*s_I_f*s_T*(1-EXP(-up_RadSpec!BA7*s_t_v)))/(s_Y_v*up_RadSpec!BA7))),".")</f>
        <v>9.0143481925428208</v>
      </c>
      <c r="BH7" s="108">
        <f>IFERROR(IF(up_Bv!J7=0,".",((s_Ir*s_F*s_I_f*s_T*(1-EXP(-up_RadSpec!BA7*s_t_v)))/(s_Y_v*up_RadSpec!BA7))),".")</f>
        <v>9.0143481925428208</v>
      </c>
      <c r="BI7" s="108">
        <f>IFERROR(IF(up_Bv!K7=0,".",((s_Ir*s_F*s_I_f*s_T*(1-EXP(-up_RadSpec!BA7*s_t_v)))/(s_Y_v*up_RadSpec!BA7))),".")</f>
        <v>9.0143481925428208</v>
      </c>
      <c r="BJ7" s="108">
        <f>IFERROR(IF(up_Bv!L7=0,".",((s_Ir*s_F*s_I_f*s_T*(1-EXP(-up_RadSpec!BA7*s_t_v)))/(s_Y_v*up_RadSpec!BA7))),".")</f>
        <v>9.0143481925428208</v>
      </c>
      <c r="BK7" s="108">
        <f>IFERROR(IF(up_Bv!M7=0,".",((s_Ir*s_F*s_I_f*s_T*(1-EXP(-up_RadSpec!BA7*s_t_v)))/(s_Y_v*up_RadSpec!BA7))),".")</f>
        <v>9.0143481925428208</v>
      </c>
      <c r="BL7" s="108">
        <f>IFERROR(IF(up_Bv!N7=0,".",((s_Ir*s_F*s_I_f*s_T*(1-EXP(-up_RadSpec!BA7*s_t_v)))/(s_Y_v*up_RadSpec!BA7))),".")</f>
        <v>9.0143481925428208</v>
      </c>
      <c r="BM7" s="108">
        <f>IFERROR(IF(up_Bv!O7=0,".",((s_Ir*s_F*s_I_f*s_T*(1-EXP(-up_RadSpec!BA7*s_t_v)))/(s_Y_v*up_RadSpec!BA7))),".")</f>
        <v>9.0143481925428208</v>
      </c>
      <c r="BN7" s="108">
        <f>IFERROR(IF(up_Bv!P7=0,".",((s_Ir*s_F*s_I_f*s_T*(1-EXP(-up_RadSpec!BA7*s_t_v)))/(s_Y_v*up_RadSpec!BA7))),".")</f>
        <v>9.0143481925428208</v>
      </c>
      <c r="BO7" s="108">
        <f>IFERROR(IF(up_Bv!Q7=0,".",((s_Ir*s_F*s_I_f*s_T*(1-EXP(-up_RadSpec!BA7*s_t_v)))/(s_Y_v*up_RadSpec!BA7))),".")</f>
        <v>9.0143481925428208</v>
      </c>
      <c r="BP7" s="108">
        <f>IFERROR(IF(up_Bv!R7=0,".",((s_Ir*s_F*s_I_f*s_T*(1-EXP(-up_RadSpec!BA7*s_t_v)))/(s_Y_v*up_RadSpec!BA7))),".")</f>
        <v>9.0143481925428208</v>
      </c>
      <c r="BQ7" s="108">
        <f>IFERROR(IF(up_Bv!S7=0,".",((s_Ir*s_F*s_I_f*s_T*(1-EXP(-up_RadSpec!BA7*s_t_v)))/(s_Y_v*up_RadSpec!BA7))),".")</f>
        <v>9.0143481925428208</v>
      </c>
      <c r="BR7" s="108">
        <f>IFERROR(IF(up_Bv!T7=0,".",((s_Ir*s_F*s_I_f*s_T*(1-EXP(-up_RadSpec!BA7*s_t_v)))/(s_Y_v*up_RadSpec!BA7))),".")</f>
        <v>9.0143481925428208</v>
      </c>
      <c r="BS7" s="108">
        <f>IFERROR(IF(up_Bv!U7=0,".",((s_Ir*s_F*s_I_f*s_T*(1-EXP(-up_RadSpec!BA7*s_t_v)))/(s_Y_v*up_RadSpec!BA7))),".")</f>
        <v>9.0143481925428208</v>
      </c>
      <c r="BT7" s="108">
        <f>IFERROR(IF(up_Bv!V7=0,".",((s_Ir*s_F*s_I_f*s_T*(1-EXP(-up_RadSpec!BA7*s_t_v)))/(s_Y_v*up_RadSpec!BA7))),".")</f>
        <v>9.0143481925428208</v>
      </c>
      <c r="BU7" s="108">
        <f>IFERROR(IF(up_Bv!W7=0,".",((s_Ir*s_F*s_I_f*s_T*(1-EXP(-up_RadSpec!BA7*s_t_v)))/(s_Y_v*up_RadSpec!BA7))),".")</f>
        <v>9.0143481925428208</v>
      </c>
      <c r="BV7" s="108">
        <f>IFERROR(IF(up_Bv!X7=0,".",((s_Ir*s_F*s_I_f*s_T*(1-EXP(-up_RadSpec!BA7*s_t_v)))/(s_Y_v*up_RadSpec!BA7))),".")</f>
        <v>9.0143481925428208</v>
      </c>
      <c r="BW7" s="108">
        <f>IFERROR(IF(up_Bv!Y7=0,".",((s_Ir*s_F*s_I_f*s_T*(1-EXP(-up_RadSpec!BA7*s_t_v)))/(s_Y_v*up_RadSpec!BA7))),".")</f>
        <v>9.0143481925428208</v>
      </c>
      <c r="BX7" s="108">
        <f>IFERROR(IF(up_Bv!Z7=0,".",((s_Ir*s_F*s_I_f*s_T*(1-EXP(-up_RadSpec!BA7*s_t_v)))/(s_Y_v*up_RadSpec!BA7))),".")</f>
        <v>9.0143481925428208</v>
      </c>
      <c r="BY7" s="108">
        <f>IFERROR(IF(up_Bv!AA7=0,".",((s_Ir*s_F*s_I_f*s_T*(1-EXP(-up_RadSpec!BA7*s_t_v)))/(s_Y_v*up_RadSpec!BA7))),".")</f>
        <v>9.0143481925428208</v>
      </c>
    </row>
    <row r="8" spans="1:77" x14ac:dyDescent="0.25">
      <c r="A8" s="44" t="s">
        <v>6</v>
      </c>
      <c r="B8" s="42" t="s">
        <v>1057</v>
      </c>
      <c r="C8" s="108">
        <f>IFERROR(IF(up_Bv!C8=0,".",((s_Ir*s_F*up_Bv!C8*(1-EXP(-up_RadSpec!$AZ8*s_t_b)))/(s_P*up_RadSpec!$AZ8))),".")</f>
        <v>993.50362303732038</v>
      </c>
      <c r="D8" s="108">
        <f>IFERROR(IF(up_Bv!D8=0,".",((s_Ir*s_F*up_Bv!D8*(1-EXP(-up_RadSpec!AZ8*s_t_b)))/(s_P*up_RadSpec!AZ8))),".")</f>
        <v>993.50362303732038</v>
      </c>
      <c r="E8" s="108">
        <f>IFERROR(IF(up_Bv!E8=0,".",((s_Ir*s_F*up_Bv!E8*(1-EXP(-up_RadSpec!AZ8*s_t_b)))/(s_P*up_RadSpec!AZ8))),".")</f>
        <v>993.50362303732038</v>
      </c>
      <c r="F8" s="108">
        <f>IFERROR(IF(up_Bv!F8=0,".",((s_Ir*s_F*up_Bv!F8*(1-EXP(-up_RadSpec!AZ8*s_t_b)))/(s_P*up_RadSpec!AZ8))),".")</f>
        <v>993.50362303732038</v>
      </c>
      <c r="G8" s="108">
        <f>IFERROR(IF(up_Bv!G8=0,".",((s_Ir*s_F*up_Bv!G8*(1-EXP(-up_RadSpec!AZ8*s_t_b)))/(s_P*up_RadSpec!AZ8))),".")</f>
        <v>993.50362303732038</v>
      </c>
      <c r="H8" s="108">
        <f>IFERROR(IF(up_Bv!H8=0,".",((s_Ir*s_F*up_Bv!H8*(1-EXP(-up_RadSpec!AZ8*s_t_b)))/(s_P*up_RadSpec!AZ8))),".")</f>
        <v>993.50362303732038</v>
      </c>
      <c r="I8" s="108">
        <f>IFERROR(IF(up_Bv!I8=0,".",((s_Ir*s_F*up_Bv!I8*(1-EXP(-up_RadSpec!AZ8*s_t_b)))/(s_P*up_RadSpec!AZ8))),".")</f>
        <v>993.50362303732038</v>
      </c>
      <c r="J8" s="108">
        <f>IFERROR(IF(up_Bv!J8=0,".",((s_Ir*s_F*up_Bv!J8*(1-EXP(-up_RadSpec!AZ8*s_t_b)))/(s_P*up_RadSpec!AZ8))),".")</f>
        <v>993.50362303732038</v>
      </c>
      <c r="K8" s="108">
        <f>IFERROR(IF(up_Bv!K8=0,".",((s_Ir*s_F*up_Bv!K8*(1-EXP(-up_RadSpec!AZ8*s_t_b)))/(s_P*up_RadSpec!AZ8))),".")</f>
        <v>993.50362303732038</v>
      </c>
      <c r="L8" s="108">
        <f>IFERROR(IF(up_Bv!L8=0,".",((s_Ir*s_F*up_Bv!L8*(1-EXP(-up_RadSpec!AZ8*s_t_b)))/(s_P*up_RadSpec!AZ8))),".")</f>
        <v>993.50362303732038</v>
      </c>
      <c r="M8" s="108">
        <f>IFERROR(IF(up_Bv!M8=0,".",((s_Ir*s_F*up_Bv!M8*(1-EXP(-up_RadSpec!AZ8*s_t_b)))/(s_P*up_RadSpec!AZ8))),".")</f>
        <v>993.50362303732038</v>
      </c>
      <c r="N8" s="108">
        <f>IFERROR(IF(up_Bv!N8=0,".",((s_Ir*s_F*up_Bv!N8*(1-EXP(-up_RadSpec!AZ8*s_t_b)))/(s_P*up_RadSpec!AZ8))),".")</f>
        <v>993.50362303732038</v>
      </c>
      <c r="O8" s="108">
        <f>IFERROR(IF(up_Bv!O8=0,".",((s_Ir*s_F*up_Bv!O8*(1-EXP(-up_RadSpec!AZ8*s_t_b)))/(s_P*up_RadSpec!AZ8))),".")</f>
        <v>993.50362303732038</v>
      </c>
      <c r="P8" s="108">
        <f>IFERROR(IF(up_Bv!P8=0,".",((s_Ir*s_F*up_Bv!P8*(1-EXP(-up_RadSpec!AZ8*s_t_b)))/(s_P*up_RadSpec!AZ8))),".")</f>
        <v>993.50362303732038</v>
      </c>
      <c r="Q8" s="108">
        <f>IFERROR(IF(up_Bv!Q8=0,".",((s_Ir*s_F*up_Bv!Q8*(1-EXP(-up_RadSpec!AZ8*s_t_b)))/(s_P*up_RadSpec!AZ8))),".")</f>
        <v>993.50362303732038</v>
      </c>
      <c r="R8" s="108">
        <f>IFERROR(IF(up_Bv!R8=0,".",((s_Ir*s_F*up_Bv!R8*(1-EXP(-up_RadSpec!AZ8*s_t_b)))/(s_P*up_RadSpec!AZ8))),".")</f>
        <v>993.50362303732038</v>
      </c>
      <c r="S8" s="108">
        <f>IFERROR(IF(up_Bv!S8=0,".",((s_Ir*s_F*up_Bv!S8*(1-EXP(-up_RadSpec!AZ8*s_t_b)))/(s_P*up_RadSpec!AZ8))),".")</f>
        <v>993.50362303732038</v>
      </c>
      <c r="T8" s="108">
        <f>IFERROR(IF(up_Bv!T8=0,".",((s_Ir*s_F*up_Bv!T8*(1-EXP(-up_RadSpec!AZ8*s_t_b)))/(s_P*up_RadSpec!AZ8))),".")</f>
        <v>993.50362303732038</v>
      </c>
      <c r="U8" s="108">
        <f>IFERROR(IF(up_Bv!U8=0,".",((s_Ir*s_F*up_Bv!U8*(1-EXP(-up_RadSpec!AZ8*s_t_b)))/(s_P*up_RadSpec!AZ8))),".")</f>
        <v>993.50362303732038</v>
      </c>
      <c r="V8" s="108">
        <f>IFERROR(IF(up_Bv!V8=0,".",((s_Ir*s_F*up_Bv!V8*(1-EXP(-up_RadSpec!AZ8*s_t_b)))/(s_P*up_RadSpec!AZ8))),".")</f>
        <v>993.50362303732038</v>
      </c>
      <c r="W8" s="108">
        <f>IFERROR(IF(up_Bv!W8=0,".",((s_Ir*s_F*up_Bv!W8*(1-EXP(-up_RadSpec!AZ8*s_t_b)))/(s_P*up_RadSpec!AZ8))),".")</f>
        <v>993.50362303732038</v>
      </c>
      <c r="X8" s="108">
        <f>IFERROR(IF(up_Bv!X8=0,".",((s_Ir*s_F*up_Bv!X8*(1-EXP(-up_RadSpec!AZ8*s_t_b)))/(s_P*up_RadSpec!AZ8))),".")</f>
        <v>993.50362303732038</v>
      </c>
      <c r="Y8" s="108">
        <f>IFERROR(IF(up_Bv!Y8=0,".",((s_Ir*s_F*up_Bv!Y8*(1-EXP(-up_RadSpec!AZ8*s_t_b)))/(s_P*up_RadSpec!AZ8))),".")</f>
        <v>993.50362303732038</v>
      </c>
      <c r="Z8" s="108">
        <f>IFERROR(IF(up_Bv!Z8=0,".",((s_Ir*s_F*up_Bv!Z8*(1-EXP(-up_RadSpec!AZ8*s_t_b)))/(s_P*up_RadSpec!AZ8))),".")</f>
        <v>993.50362303732038</v>
      </c>
      <c r="AA8" s="108">
        <f>IFERROR(IF(up_Bv!AA8=0,".",((s_Ir*s_F*up_Bv!AA8*(1-EXP(-up_RadSpec!AZ8*s_t_b)))/(s_P*up_RadSpec!AZ8))),".")</f>
        <v>993.50362303732038</v>
      </c>
      <c r="AB8" s="108">
        <f>IFERROR(IF(up_Bv!C8=0,".",((s_Ir*s_F*s_MLF_apple*(1-EXP(-up_RadSpec!AZ8*s_t_b)))/(s_P*up_RadSpec!AZ8))),".")</f>
        <v>2.6824597822007652</v>
      </c>
      <c r="AC8" s="108">
        <f>IFERROR(IF(up_Bv!D8=0,".",((s_Ir*s_F*s_MLF_asparagus*(1-EXP(-up_RadSpec!AZ8*s_t_b)))/(s_P*up_RadSpec!AZ8))),".")</f>
        <v>2.6824597822007652</v>
      </c>
      <c r="AD8" s="108">
        <f>IFERROR(IF(up_Bv!E8=0,".",((s_Ir*s_F*s_MLF_beet*(1-EXP(-up_RadSpec!AZ8*s_t_b)))/(s_P*up_RadSpec!AZ8))),".")</f>
        <v>2.6824597822007652</v>
      </c>
      <c r="AE8" s="108">
        <f>IFERROR(IF(up_Bv!F8=0,".",((s_Ir*s_F*s_MLF_berries*(1-EXP(-up_RadSpec!AZ8*s_t_b)))/(s_P*up_RadSpec!AZ8))),".")</f>
        <v>2.6824597822007652</v>
      </c>
      <c r="AF8" s="108">
        <f>IFERROR(IF(up_Bv!G8=0,".",((s_Ir*s_F*s_MLF_broccoli*(1-EXP(-up_RadSpec!AZ8*s_t_b)))/(s_P*up_RadSpec!AZ8))),".")</f>
        <v>2.6824597822007652</v>
      </c>
      <c r="AG8" s="108">
        <f>IFERROR(IF(up_Bv!H8=0,".",((s_Ir*s_F*s_MLF_cabbage*(1-EXP(-up_RadSpec!AZ8*s_t_b)))/(s_P*up_RadSpec!AZ8))),".")</f>
        <v>2.6824597822007652</v>
      </c>
      <c r="AH8" s="108">
        <f>IFERROR(IF(up_Bv!I8=0,".",((s_Ir*s_F*s_MLF_carrot*(1-EXP(-up_RadSpec!AZ8*s_t_b)))/(s_P*up_RadSpec!AZ8))),".")</f>
        <v>2.6824597822007652</v>
      </c>
      <c r="AI8" s="108">
        <f>IFERROR(IF(up_Bv!J8=0,".",((s_Ir*s_F*s_MLF_citrus*(1-EXP(-up_RadSpec!AZ8*s_t_b)))/(s_P*up_RadSpec!AZ8))),".")</f>
        <v>2.6824597822007652</v>
      </c>
      <c r="AJ8" s="108">
        <f>IFERROR(IF(up_Bv!K8=0,".",((s_Ir*s_F*s_MLF_corn*(1-EXP(-up_RadSpec!AZ8*s_t_b)))/(s_P*up_RadSpec!AZ8))),".")</f>
        <v>2.6824597822007652</v>
      </c>
      <c r="AK8" s="108">
        <f>IFERROR(IF(up_Bv!L8=0,".",((s_Ir*s_F*s_MLF_cucumber*(1-EXP(-up_RadSpec!AZ8*s_t_b)))/(s_P*up_RadSpec!AZ8))),".")</f>
        <v>2.6824597822007652</v>
      </c>
      <c r="AL8" s="108">
        <f>IFERROR(IF(up_Bv!M8=0,".",((s_Ir*s_F*s_MLF_lettuce*(1-EXP(-up_RadSpec!AZ8*s_t_b)))/(s_P*up_RadSpec!AZ8))),".")</f>
        <v>2.6824597822007652</v>
      </c>
      <c r="AM8" s="108">
        <f>IFERROR(IF(up_Bv!N8=0,".",((s_Ir*s_F*s_MLF_lima_bean*(1-EXP(-up_RadSpec!AZ8*s_t_b)))/(s_P*up_RadSpec!AZ8))),".")</f>
        <v>2.6824597822007652</v>
      </c>
      <c r="AN8" s="108">
        <f>IFERROR(IF(up_Bv!O8=0,".",((s_Ir*s_F*s_MLF_okra*(1-EXP(-up_RadSpec!AZ8*s_t_b)))/(s_P*up_RadSpec!AZ8))),".")</f>
        <v>2.6824597822007652</v>
      </c>
      <c r="AO8" s="108">
        <f>IFERROR(IF(up_Bv!P8=0,".",((s_Ir*s_F*s_MLF_onion*(1-EXP(-up_RadSpec!AZ8*s_t_b)))/(s_P*up_RadSpec!AZ8))),".")</f>
        <v>2.6824597822007652</v>
      </c>
      <c r="AP8" s="108">
        <f>IFERROR(IF(up_Bv!Q8=0,".",((s_Ir*s_F*s_MLF_peach*(1-EXP(-up_RadSpec!AZ8*s_t_b)))/(s_P*up_RadSpec!AZ8))),".")</f>
        <v>2.6824597822007652</v>
      </c>
      <c r="AQ8" s="108">
        <f>IFERROR(IF(up_Bv!R8=0,".",((s_Ir*s_F*s_MLF_pear*(1-EXP(-up_RadSpec!AZ8*s_t_b)))/(s_P*up_RadSpec!AZ8))),".")</f>
        <v>2.6824597822007652</v>
      </c>
      <c r="AR8" s="108">
        <f>IFERROR(IF(up_Bv!S8=0,".",((s_Ir*s_F*s_MLF_peas*(1-EXP(-up_RadSpec!AZ8*s_t_b)))/(s_P*up_RadSpec!AZ8))),".")</f>
        <v>2.6824597822007652</v>
      </c>
      <c r="AS8" s="108">
        <f>IFERROR(IF(up_Bv!T8=0,".",((s_Ir*s_F*s_MLF_peppers*(1-EXP(-up_RadSpec!AZ8*s_t_b)))/(s_P*up_RadSpec!AZ8))),".")</f>
        <v>2.6824597822007652</v>
      </c>
      <c r="AT8" s="108">
        <f>IFERROR(IF(up_Bv!U8=0,".",((s_Ir*s_F*s_MLF_potato*(1-EXP(-up_RadSpec!AZ8*s_t_b)))/(s_P*up_RadSpec!AZ8))),".")</f>
        <v>2.6824597822007652</v>
      </c>
      <c r="AU8" s="108">
        <f>IFERROR(IF(up_Bv!V8=0,".",((s_Ir*s_F*s_MLF_pumpkin*(1-EXP(-up_RadSpec!AZ8*s_t_b)))/(s_P*up_RadSpec!AZ8))),".")</f>
        <v>2.6824597822007652</v>
      </c>
      <c r="AV8" s="108">
        <f>IFERROR(IF(up_Bv!W8=0,".",((s_Ir*s_F*s_MLF_snap_bean*(1-EXP(-up_RadSpec!AZ8*s_t_b)))/(s_P*up_RadSpec!AZ8))),".")</f>
        <v>2.6824597822007652</v>
      </c>
      <c r="AW8" s="108">
        <f>IFERROR(IF(up_Bv!X8=0,".",((s_Ir*s_F*s_MLF_strawberry*(1-EXP(-up_RadSpec!AZ8*s_t_b)))/(s_P*up_RadSpec!AZ8))),".")</f>
        <v>2.6824597822007652</v>
      </c>
      <c r="AX8" s="108">
        <f>IFERROR(IF(up_Bv!Y8=0,".",((s_Ir*s_F*s_MLF_tomato*(1-EXP(-up_RadSpec!AZ8*s_t_b)))/(s_P*up_RadSpec!AZ8))),".")</f>
        <v>2.6824597822007652</v>
      </c>
      <c r="AY8" s="108">
        <f>IFERROR(IF(up_Bv!Z8=0,".",((s_Ir*s_F*s_MLF_rice*(1-EXP(-up_RadSpec!AZ8*s_t_b)))/(s_P*up_RadSpec!AZ8))),".")</f>
        <v>2.6824597822007652</v>
      </c>
      <c r="AZ8" s="108">
        <f>IFERROR(IF(up_Bv!AA8=0,".",((s_Ir*s_F*s_MLF_cereal*(1-EXP(-up_RadSpec!AZ8*s_t_b)))/(s_P*up_RadSpec!AZ8))),".")</f>
        <v>2.6824597822007652</v>
      </c>
      <c r="BA8" s="108">
        <f>IFERROR(IF(up_Bv!C8=0,".",((s_Ir*s_F*s_I_f*s_T*(1-EXP(-up_RadSpec!BA8*s_t_v)))/(s_Y_v*up_RadSpec!BA8))),".")</f>
        <v>9.0143481925428208</v>
      </c>
      <c r="BB8" s="108">
        <f>IFERROR(IF(up_Bv!D8=0,".",((s_Ir*s_F*s_I_f*s_T*(1-EXP(-up_RadSpec!BA8*s_t_v)))/(s_Y_v*up_RadSpec!BA8))),".")</f>
        <v>9.0143481925428208</v>
      </c>
      <c r="BC8" s="108">
        <f>IFERROR(IF(up_Bv!E8=0,".",((s_Ir*s_F*s_I_f*s_T*(1-EXP(-up_RadSpec!BA8*s_t_v)))/(s_Y_v*up_RadSpec!BA8))),".")</f>
        <v>9.0143481925428208</v>
      </c>
      <c r="BD8" s="108">
        <f>IFERROR(IF(up_Bv!F8=0,".",((s_Ir*s_F*s_I_f*s_T*(1-EXP(-up_RadSpec!BA8*s_t_v)))/(s_Y_v*up_RadSpec!BA8))),".")</f>
        <v>9.0143481925428208</v>
      </c>
      <c r="BE8" s="108">
        <f>IFERROR(IF(up_Bv!G8=0,".",((s_Ir*s_F*s_I_f*s_T*(1-EXP(-up_RadSpec!BA8*s_t_v)))/(s_Y_v*up_RadSpec!BA8))),".")</f>
        <v>9.0143481925428208</v>
      </c>
      <c r="BF8" s="108">
        <f>IFERROR(IF(up_Bv!H8=0,".",((s_Ir*s_F*s_I_f*s_T*(1-EXP(-up_RadSpec!BA8*s_t_v)))/(s_Y_v*up_RadSpec!BA8))),".")</f>
        <v>9.0143481925428208</v>
      </c>
      <c r="BG8" s="108">
        <f>IFERROR(IF(up_Bv!I8=0,".",((s_Ir*s_F*s_I_f*s_T*(1-EXP(-up_RadSpec!BA8*s_t_v)))/(s_Y_v*up_RadSpec!BA8))),".")</f>
        <v>9.0143481925428208</v>
      </c>
      <c r="BH8" s="108">
        <f>IFERROR(IF(up_Bv!J8=0,".",((s_Ir*s_F*s_I_f*s_T*(1-EXP(-up_RadSpec!BA8*s_t_v)))/(s_Y_v*up_RadSpec!BA8))),".")</f>
        <v>9.0143481925428208</v>
      </c>
      <c r="BI8" s="108">
        <f>IFERROR(IF(up_Bv!K8=0,".",((s_Ir*s_F*s_I_f*s_T*(1-EXP(-up_RadSpec!BA8*s_t_v)))/(s_Y_v*up_RadSpec!BA8))),".")</f>
        <v>9.0143481925428208</v>
      </c>
      <c r="BJ8" s="108">
        <f>IFERROR(IF(up_Bv!L8=0,".",((s_Ir*s_F*s_I_f*s_T*(1-EXP(-up_RadSpec!BA8*s_t_v)))/(s_Y_v*up_RadSpec!BA8))),".")</f>
        <v>9.0143481925428208</v>
      </c>
      <c r="BK8" s="108">
        <f>IFERROR(IF(up_Bv!M8=0,".",((s_Ir*s_F*s_I_f*s_T*(1-EXP(-up_RadSpec!BA8*s_t_v)))/(s_Y_v*up_RadSpec!BA8))),".")</f>
        <v>9.0143481925428208</v>
      </c>
      <c r="BL8" s="108">
        <f>IFERROR(IF(up_Bv!N8=0,".",((s_Ir*s_F*s_I_f*s_T*(1-EXP(-up_RadSpec!BA8*s_t_v)))/(s_Y_v*up_RadSpec!BA8))),".")</f>
        <v>9.0143481925428208</v>
      </c>
      <c r="BM8" s="108">
        <f>IFERROR(IF(up_Bv!O8=0,".",((s_Ir*s_F*s_I_f*s_T*(1-EXP(-up_RadSpec!BA8*s_t_v)))/(s_Y_v*up_RadSpec!BA8))),".")</f>
        <v>9.0143481925428208</v>
      </c>
      <c r="BN8" s="108">
        <f>IFERROR(IF(up_Bv!P8=0,".",((s_Ir*s_F*s_I_f*s_T*(1-EXP(-up_RadSpec!BA8*s_t_v)))/(s_Y_v*up_RadSpec!BA8))),".")</f>
        <v>9.0143481925428208</v>
      </c>
      <c r="BO8" s="108">
        <f>IFERROR(IF(up_Bv!Q8=0,".",((s_Ir*s_F*s_I_f*s_T*(1-EXP(-up_RadSpec!BA8*s_t_v)))/(s_Y_v*up_RadSpec!BA8))),".")</f>
        <v>9.0143481925428208</v>
      </c>
      <c r="BP8" s="108">
        <f>IFERROR(IF(up_Bv!R8=0,".",((s_Ir*s_F*s_I_f*s_T*(1-EXP(-up_RadSpec!BA8*s_t_v)))/(s_Y_v*up_RadSpec!BA8))),".")</f>
        <v>9.0143481925428208</v>
      </c>
      <c r="BQ8" s="108">
        <f>IFERROR(IF(up_Bv!S8=0,".",((s_Ir*s_F*s_I_f*s_T*(1-EXP(-up_RadSpec!BA8*s_t_v)))/(s_Y_v*up_RadSpec!BA8))),".")</f>
        <v>9.0143481925428208</v>
      </c>
      <c r="BR8" s="108">
        <f>IFERROR(IF(up_Bv!T8=0,".",((s_Ir*s_F*s_I_f*s_T*(1-EXP(-up_RadSpec!BA8*s_t_v)))/(s_Y_v*up_RadSpec!BA8))),".")</f>
        <v>9.0143481925428208</v>
      </c>
      <c r="BS8" s="108">
        <f>IFERROR(IF(up_Bv!U8=0,".",((s_Ir*s_F*s_I_f*s_T*(1-EXP(-up_RadSpec!BA8*s_t_v)))/(s_Y_v*up_RadSpec!BA8))),".")</f>
        <v>9.0143481925428208</v>
      </c>
      <c r="BT8" s="108">
        <f>IFERROR(IF(up_Bv!V8=0,".",((s_Ir*s_F*s_I_f*s_T*(1-EXP(-up_RadSpec!BA8*s_t_v)))/(s_Y_v*up_RadSpec!BA8))),".")</f>
        <v>9.0143481925428208</v>
      </c>
      <c r="BU8" s="108">
        <f>IFERROR(IF(up_Bv!W8=0,".",((s_Ir*s_F*s_I_f*s_T*(1-EXP(-up_RadSpec!BA8*s_t_v)))/(s_Y_v*up_RadSpec!BA8))),".")</f>
        <v>9.0143481925428208</v>
      </c>
      <c r="BV8" s="108">
        <f>IFERROR(IF(up_Bv!X8=0,".",((s_Ir*s_F*s_I_f*s_T*(1-EXP(-up_RadSpec!BA8*s_t_v)))/(s_Y_v*up_RadSpec!BA8))),".")</f>
        <v>9.0143481925428208</v>
      </c>
      <c r="BW8" s="108">
        <f>IFERROR(IF(up_Bv!Y8=0,".",((s_Ir*s_F*s_I_f*s_T*(1-EXP(-up_RadSpec!BA8*s_t_v)))/(s_Y_v*up_RadSpec!BA8))),".")</f>
        <v>9.0143481925428208</v>
      </c>
      <c r="BX8" s="108">
        <f>IFERROR(IF(up_Bv!Z8=0,".",((s_Ir*s_F*s_I_f*s_T*(1-EXP(-up_RadSpec!BA8*s_t_v)))/(s_Y_v*up_RadSpec!BA8))),".")</f>
        <v>9.0143481925428208</v>
      </c>
      <c r="BY8" s="108">
        <f>IFERROR(IF(up_Bv!AA8=0,".",((s_Ir*s_F*s_I_f*s_T*(1-EXP(-up_RadSpec!BA8*s_t_v)))/(s_Y_v*up_RadSpec!BA8))),".")</f>
        <v>9.0143481925428208</v>
      </c>
    </row>
    <row r="9" spans="1:77" x14ac:dyDescent="0.25">
      <c r="A9" s="44" t="s">
        <v>7</v>
      </c>
      <c r="B9" s="42" t="s">
        <v>1057</v>
      </c>
      <c r="C9" s="108">
        <f>IFERROR(IF(up_Bv!C9=0,".",((s_Ir*s_F*up_Bv!C9*(1-EXP(-up_RadSpec!$AZ9*s_t_b)))/(s_P*up_RadSpec!$AZ9))),".")</f>
        <v>993.50362303732038</v>
      </c>
      <c r="D9" s="108">
        <f>IFERROR(IF(up_Bv!D9=0,".",((s_Ir*s_F*up_Bv!D9*(1-EXP(-up_RadSpec!AZ9*s_t_b)))/(s_P*up_RadSpec!AZ9))),".")</f>
        <v>993.50362303732038</v>
      </c>
      <c r="E9" s="108">
        <f>IFERROR(IF(up_Bv!E9=0,".",((s_Ir*s_F*up_Bv!E9*(1-EXP(-up_RadSpec!AZ9*s_t_b)))/(s_P*up_RadSpec!AZ9))),".")</f>
        <v>993.50362303732038</v>
      </c>
      <c r="F9" s="108">
        <f>IFERROR(IF(up_Bv!F9=0,".",((s_Ir*s_F*up_Bv!F9*(1-EXP(-up_RadSpec!AZ9*s_t_b)))/(s_P*up_RadSpec!AZ9))),".")</f>
        <v>993.50362303732038</v>
      </c>
      <c r="G9" s="108">
        <f>IFERROR(IF(up_Bv!G9=0,".",((s_Ir*s_F*up_Bv!G9*(1-EXP(-up_RadSpec!AZ9*s_t_b)))/(s_P*up_RadSpec!AZ9))),".")</f>
        <v>993.50362303732038</v>
      </c>
      <c r="H9" s="108">
        <f>IFERROR(IF(up_Bv!H9=0,".",((s_Ir*s_F*up_Bv!H9*(1-EXP(-up_RadSpec!AZ9*s_t_b)))/(s_P*up_RadSpec!AZ9))),".")</f>
        <v>993.50362303732038</v>
      </c>
      <c r="I9" s="108">
        <f>IFERROR(IF(up_Bv!I9=0,".",((s_Ir*s_F*up_Bv!I9*(1-EXP(-up_RadSpec!AZ9*s_t_b)))/(s_P*up_RadSpec!AZ9))),".")</f>
        <v>993.50362303732038</v>
      </c>
      <c r="J9" s="108">
        <f>IFERROR(IF(up_Bv!J9=0,".",((s_Ir*s_F*up_Bv!J9*(1-EXP(-up_RadSpec!AZ9*s_t_b)))/(s_P*up_RadSpec!AZ9))),".")</f>
        <v>993.50362303732038</v>
      </c>
      <c r="K9" s="108">
        <f>IFERROR(IF(up_Bv!K9=0,".",((s_Ir*s_F*up_Bv!K9*(1-EXP(-up_RadSpec!AZ9*s_t_b)))/(s_P*up_RadSpec!AZ9))),".")</f>
        <v>993.50362303732038</v>
      </c>
      <c r="L9" s="108">
        <f>IFERROR(IF(up_Bv!L9=0,".",((s_Ir*s_F*up_Bv!L9*(1-EXP(-up_RadSpec!AZ9*s_t_b)))/(s_P*up_RadSpec!AZ9))),".")</f>
        <v>993.50362303732038</v>
      </c>
      <c r="M9" s="108">
        <f>IFERROR(IF(up_Bv!M9=0,".",((s_Ir*s_F*up_Bv!M9*(1-EXP(-up_RadSpec!AZ9*s_t_b)))/(s_P*up_RadSpec!AZ9))),".")</f>
        <v>993.50362303732038</v>
      </c>
      <c r="N9" s="108">
        <f>IFERROR(IF(up_Bv!N9=0,".",((s_Ir*s_F*up_Bv!N9*(1-EXP(-up_RadSpec!AZ9*s_t_b)))/(s_P*up_RadSpec!AZ9))),".")</f>
        <v>993.50362303732038</v>
      </c>
      <c r="O9" s="108">
        <f>IFERROR(IF(up_Bv!O9=0,".",((s_Ir*s_F*up_Bv!O9*(1-EXP(-up_RadSpec!AZ9*s_t_b)))/(s_P*up_RadSpec!AZ9))),".")</f>
        <v>993.50362303732038</v>
      </c>
      <c r="P9" s="108">
        <f>IFERROR(IF(up_Bv!P9=0,".",((s_Ir*s_F*up_Bv!P9*(1-EXP(-up_RadSpec!AZ9*s_t_b)))/(s_P*up_RadSpec!AZ9))),".")</f>
        <v>993.50362303732038</v>
      </c>
      <c r="Q9" s="108">
        <f>IFERROR(IF(up_Bv!Q9=0,".",((s_Ir*s_F*up_Bv!Q9*(1-EXP(-up_RadSpec!AZ9*s_t_b)))/(s_P*up_RadSpec!AZ9))),".")</f>
        <v>993.50362303732038</v>
      </c>
      <c r="R9" s="108">
        <f>IFERROR(IF(up_Bv!R9=0,".",((s_Ir*s_F*up_Bv!R9*(1-EXP(-up_RadSpec!AZ9*s_t_b)))/(s_P*up_RadSpec!AZ9))),".")</f>
        <v>993.50362303732038</v>
      </c>
      <c r="S9" s="108">
        <f>IFERROR(IF(up_Bv!S9=0,".",((s_Ir*s_F*up_Bv!S9*(1-EXP(-up_RadSpec!AZ9*s_t_b)))/(s_P*up_RadSpec!AZ9))),".")</f>
        <v>993.50362303732038</v>
      </c>
      <c r="T9" s="108">
        <f>IFERROR(IF(up_Bv!T9=0,".",((s_Ir*s_F*up_Bv!T9*(1-EXP(-up_RadSpec!AZ9*s_t_b)))/(s_P*up_RadSpec!AZ9))),".")</f>
        <v>993.50362303732038</v>
      </c>
      <c r="U9" s="108">
        <f>IFERROR(IF(up_Bv!U9=0,".",((s_Ir*s_F*up_Bv!U9*(1-EXP(-up_RadSpec!AZ9*s_t_b)))/(s_P*up_RadSpec!AZ9))),".")</f>
        <v>993.50362303732038</v>
      </c>
      <c r="V9" s="108">
        <f>IFERROR(IF(up_Bv!V9=0,".",((s_Ir*s_F*up_Bv!V9*(1-EXP(-up_RadSpec!AZ9*s_t_b)))/(s_P*up_RadSpec!AZ9))),".")</f>
        <v>993.50362303732038</v>
      </c>
      <c r="W9" s="108">
        <f>IFERROR(IF(up_Bv!W9=0,".",((s_Ir*s_F*up_Bv!W9*(1-EXP(-up_RadSpec!AZ9*s_t_b)))/(s_P*up_RadSpec!AZ9))),".")</f>
        <v>993.50362303732038</v>
      </c>
      <c r="X9" s="108">
        <f>IFERROR(IF(up_Bv!X9=0,".",((s_Ir*s_F*up_Bv!X9*(1-EXP(-up_RadSpec!AZ9*s_t_b)))/(s_P*up_RadSpec!AZ9))),".")</f>
        <v>993.50362303732038</v>
      </c>
      <c r="Y9" s="108">
        <f>IFERROR(IF(up_Bv!Y9=0,".",((s_Ir*s_F*up_Bv!Y9*(1-EXP(-up_RadSpec!AZ9*s_t_b)))/(s_P*up_RadSpec!AZ9))),".")</f>
        <v>993.50362303732038</v>
      </c>
      <c r="Z9" s="108">
        <f>IFERROR(IF(up_Bv!Z9=0,".",((s_Ir*s_F*up_Bv!Z9*(1-EXP(-up_RadSpec!AZ9*s_t_b)))/(s_P*up_RadSpec!AZ9))),".")</f>
        <v>993.50362303732038</v>
      </c>
      <c r="AA9" s="108">
        <f>IFERROR(IF(up_Bv!AA9=0,".",((s_Ir*s_F*up_Bv!AA9*(1-EXP(-up_RadSpec!AZ9*s_t_b)))/(s_P*up_RadSpec!AZ9))),".")</f>
        <v>993.50362303732038</v>
      </c>
      <c r="AB9" s="108">
        <f>IFERROR(IF(up_Bv!C9=0,".",((s_Ir*s_F*s_MLF_apple*(1-EXP(-up_RadSpec!AZ9*s_t_b)))/(s_P*up_RadSpec!AZ9))),".")</f>
        <v>2.6824597822007652</v>
      </c>
      <c r="AC9" s="108">
        <f>IFERROR(IF(up_Bv!D9=0,".",((s_Ir*s_F*s_MLF_asparagus*(1-EXP(-up_RadSpec!AZ9*s_t_b)))/(s_P*up_RadSpec!AZ9))),".")</f>
        <v>2.6824597822007652</v>
      </c>
      <c r="AD9" s="108">
        <f>IFERROR(IF(up_Bv!E9=0,".",((s_Ir*s_F*s_MLF_beet*(1-EXP(-up_RadSpec!AZ9*s_t_b)))/(s_P*up_RadSpec!AZ9))),".")</f>
        <v>2.6824597822007652</v>
      </c>
      <c r="AE9" s="108">
        <f>IFERROR(IF(up_Bv!F9=0,".",((s_Ir*s_F*s_MLF_berries*(1-EXP(-up_RadSpec!AZ9*s_t_b)))/(s_P*up_RadSpec!AZ9))),".")</f>
        <v>2.6824597822007652</v>
      </c>
      <c r="AF9" s="108">
        <f>IFERROR(IF(up_Bv!G9=0,".",((s_Ir*s_F*s_MLF_broccoli*(1-EXP(-up_RadSpec!AZ9*s_t_b)))/(s_P*up_RadSpec!AZ9))),".")</f>
        <v>2.6824597822007652</v>
      </c>
      <c r="AG9" s="108">
        <f>IFERROR(IF(up_Bv!H9=0,".",((s_Ir*s_F*s_MLF_cabbage*(1-EXP(-up_RadSpec!AZ9*s_t_b)))/(s_P*up_RadSpec!AZ9))),".")</f>
        <v>2.6824597822007652</v>
      </c>
      <c r="AH9" s="108">
        <f>IFERROR(IF(up_Bv!I9=0,".",((s_Ir*s_F*s_MLF_carrot*(1-EXP(-up_RadSpec!AZ9*s_t_b)))/(s_P*up_RadSpec!AZ9))),".")</f>
        <v>2.6824597822007652</v>
      </c>
      <c r="AI9" s="108">
        <f>IFERROR(IF(up_Bv!J9=0,".",((s_Ir*s_F*s_MLF_citrus*(1-EXP(-up_RadSpec!AZ9*s_t_b)))/(s_P*up_RadSpec!AZ9))),".")</f>
        <v>2.6824597822007652</v>
      </c>
      <c r="AJ9" s="108">
        <f>IFERROR(IF(up_Bv!K9=0,".",((s_Ir*s_F*s_MLF_corn*(1-EXP(-up_RadSpec!AZ9*s_t_b)))/(s_P*up_RadSpec!AZ9))),".")</f>
        <v>2.6824597822007652</v>
      </c>
      <c r="AK9" s="108">
        <f>IFERROR(IF(up_Bv!L9=0,".",((s_Ir*s_F*s_MLF_cucumber*(1-EXP(-up_RadSpec!AZ9*s_t_b)))/(s_P*up_RadSpec!AZ9))),".")</f>
        <v>2.6824597822007652</v>
      </c>
      <c r="AL9" s="108">
        <f>IFERROR(IF(up_Bv!M9=0,".",((s_Ir*s_F*s_MLF_lettuce*(1-EXP(-up_RadSpec!AZ9*s_t_b)))/(s_P*up_RadSpec!AZ9))),".")</f>
        <v>2.6824597822007652</v>
      </c>
      <c r="AM9" s="108">
        <f>IFERROR(IF(up_Bv!N9=0,".",((s_Ir*s_F*s_MLF_lima_bean*(1-EXP(-up_RadSpec!AZ9*s_t_b)))/(s_P*up_RadSpec!AZ9))),".")</f>
        <v>2.6824597822007652</v>
      </c>
      <c r="AN9" s="108">
        <f>IFERROR(IF(up_Bv!O9=0,".",((s_Ir*s_F*s_MLF_okra*(1-EXP(-up_RadSpec!AZ9*s_t_b)))/(s_P*up_RadSpec!AZ9))),".")</f>
        <v>2.6824597822007652</v>
      </c>
      <c r="AO9" s="108">
        <f>IFERROR(IF(up_Bv!P9=0,".",((s_Ir*s_F*s_MLF_onion*(1-EXP(-up_RadSpec!AZ9*s_t_b)))/(s_P*up_RadSpec!AZ9))),".")</f>
        <v>2.6824597822007652</v>
      </c>
      <c r="AP9" s="108">
        <f>IFERROR(IF(up_Bv!Q9=0,".",((s_Ir*s_F*s_MLF_peach*(1-EXP(-up_RadSpec!AZ9*s_t_b)))/(s_P*up_RadSpec!AZ9))),".")</f>
        <v>2.6824597822007652</v>
      </c>
      <c r="AQ9" s="108">
        <f>IFERROR(IF(up_Bv!R9=0,".",((s_Ir*s_F*s_MLF_pear*(1-EXP(-up_RadSpec!AZ9*s_t_b)))/(s_P*up_RadSpec!AZ9))),".")</f>
        <v>2.6824597822007652</v>
      </c>
      <c r="AR9" s="108">
        <f>IFERROR(IF(up_Bv!S9=0,".",((s_Ir*s_F*s_MLF_peas*(1-EXP(-up_RadSpec!AZ9*s_t_b)))/(s_P*up_RadSpec!AZ9))),".")</f>
        <v>2.6824597822007652</v>
      </c>
      <c r="AS9" s="108">
        <f>IFERROR(IF(up_Bv!T9=0,".",((s_Ir*s_F*s_MLF_peppers*(1-EXP(-up_RadSpec!AZ9*s_t_b)))/(s_P*up_RadSpec!AZ9))),".")</f>
        <v>2.6824597822007652</v>
      </c>
      <c r="AT9" s="108">
        <f>IFERROR(IF(up_Bv!U9=0,".",((s_Ir*s_F*s_MLF_potato*(1-EXP(-up_RadSpec!AZ9*s_t_b)))/(s_P*up_RadSpec!AZ9))),".")</f>
        <v>2.6824597822007652</v>
      </c>
      <c r="AU9" s="108">
        <f>IFERROR(IF(up_Bv!V9=0,".",((s_Ir*s_F*s_MLF_pumpkin*(1-EXP(-up_RadSpec!AZ9*s_t_b)))/(s_P*up_RadSpec!AZ9))),".")</f>
        <v>2.6824597822007652</v>
      </c>
      <c r="AV9" s="108">
        <f>IFERROR(IF(up_Bv!W9=0,".",((s_Ir*s_F*s_MLF_snap_bean*(1-EXP(-up_RadSpec!AZ9*s_t_b)))/(s_P*up_RadSpec!AZ9))),".")</f>
        <v>2.6824597822007652</v>
      </c>
      <c r="AW9" s="108">
        <f>IFERROR(IF(up_Bv!X9=0,".",((s_Ir*s_F*s_MLF_strawberry*(1-EXP(-up_RadSpec!AZ9*s_t_b)))/(s_P*up_RadSpec!AZ9))),".")</f>
        <v>2.6824597822007652</v>
      </c>
      <c r="AX9" s="108">
        <f>IFERROR(IF(up_Bv!Y9=0,".",((s_Ir*s_F*s_MLF_tomato*(1-EXP(-up_RadSpec!AZ9*s_t_b)))/(s_P*up_RadSpec!AZ9))),".")</f>
        <v>2.6824597822007652</v>
      </c>
      <c r="AY9" s="108">
        <f>IFERROR(IF(up_Bv!Z9=0,".",((s_Ir*s_F*s_MLF_rice*(1-EXP(-up_RadSpec!AZ9*s_t_b)))/(s_P*up_RadSpec!AZ9))),".")</f>
        <v>2.6824597822007652</v>
      </c>
      <c r="AZ9" s="108">
        <f>IFERROR(IF(up_Bv!AA9=0,".",((s_Ir*s_F*s_MLF_cereal*(1-EXP(-up_RadSpec!AZ9*s_t_b)))/(s_P*up_RadSpec!AZ9))),".")</f>
        <v>2.6824597822007652</v>
      </c>
      <c r="BA9" s="108">
        <f>IFERROR(IF(up_Bv!C9=0,".",((s_Ir*s_F*s_I_f*s_T*(1-EXP(-up_RadSpec!BA9*s_t_v)))/(s_Y_v*up_RadSpec!BA9))),".")</f>
        <v>9.0143481925428208</v>
      </c>
      <c r="BB9" s="108">
        <f>IFERROR(IF(up_Bv!D9=0,".",((s_Ir*s_F*s_I_f*s_T*(1-EXP(-up_RadSpec!BA9*s_t_v)))/(s_Y_v*up_RadSpec!BA9))),".")</f>
        <v>9.0143481925428208</v>
      </c>
      <c r="BC9" s="108">
        <f>IFERROR(IF(up_Bv!E9=0,".",((s_Ir*s_F*s_I_f*s_T*(1-EXP(-up_RadSpec!BA9*s_t_v)))/(s_Y_v*up_RadSpec!BA9))),".")</f>
        <v>9.0143481925428208</v>
      </c>
      <c r="BD9" s="108">
        <f>IFERROR(IF(up_Bv!F9=0,".",((s_Ir*s_F*s_I_f*s_T*(1-EXP(-up_RadSpec!BA9*s_t_v)))/(s_Y_v*up_RadSpec!BA9))),".")</f>
        <v>9.0143481925428208</v>
      </c>
      <c r="BE9" s="108">
        <f>IFERROR(IF(up_Bv!G9=0,".",((s_Ir*s_F*s_I_f*s_T*(1-EXP(-up_RadSpec!BA9*s_t_v)))/(s_Y_v*up_RadSpec!BA9))),".")</f>
        <v>9.0143481925428208</v>
      </c>
      <c r="BF9" s="108">
        <f>IFERROR(IF(up_Bv!H9=0,".",((s_Ir*s_F*s_I_f*s_T*(1-EXP(-up_RadSpec!BA9*s_t_v)))/(s_Y_v*up_RadSpec!BA9))),".")</f>
        <v>9.0143481925428208</v>
      </c>
      <c r="BG9" s="108">
        <f>IFERROR(IF(up_Bv!I9=0,".",((s_Ir*s_F*s_I_f*s_T*(1-EXP(-up_RadSpec!BA9*s_t_v)))/(s_Y_v*up_RadSpec!BA9))),".")</f>
        <v>9.0143481925428208</v>
      </c>
      <c r="BH9" s="108">
        <f>IFERROR(IF(up_Bv!J9=0,".",((s_Ir*s_F*s_I_f*s_T*(1-EXP(-up_RadSpec!BA9*s_t_v)))/(s_Y_v*up_RadSpec!BA9))),".")</f>
        <v>9.0143481925428208</v>
      </c>
      <c r="BI9" s="108">
        <f>IFERROR(IF(up_Bv!K9=0,".",((s_Ir*s_F*s_I_f*s_T*(1-EXP(-up_RadSpec!BA9*s_t_v)))/(s_Y_v*up_RadSpec!BA9))),".")</f>
        <v>9.0143481925428208</v>
      </c>
      <c r="BJ9" s="108">
        <f>IFERROR(IF(up_Bv!L9=0,".",((s_Ir*s_F*s_I_f*s_T*(1-EXP(-up_RadSpec!BA9*s_t_v)))/(s_Y_v*up_RadSpec!BA9))),".")</f>
        <v>9.0143481925428208</v>
      </c>
      <c r="BK9" s="108">
        <f>IFERROR(IF(up_Bv!M9=0,".",((s_Ir*s_F*s_I_f*s_T*(1-EXP(-up_RadSpec!BA9*s_t_v)))/(s_Y_v*up_RadSpec!BA9))),".")</f>
        <v>9.0143481925428208</v>
      </c>
      <c r="BL9" s="108">
        <f>IFERROR(IF(up_Bv!N9=0,".",((s_Ir*s_F*s_I_f*s_T*(1-EXP(-up_RadSpec!BA9*s_t_v)))/(s_Y_v*up_RadSpec!BA9))),".")</f>
        <v>9.0143481925428208</v>
      </c>
      <c r="BM9" s="108">
        <f>IFERROR(IF(up_Bv!O9=0,".",((s_Ir*s_F*s_I_f*s_T*(1-EXP(-up_RadSpec!BA9*s_t_v)))/(s_Y_v*up_RadSpec!BA9))),".")</f>
        <v>9.0143481925428208</v>
      </c>
      <c r="BN9" s="108">
        <f>IFERROR(IF(up_Bv!P9=0,".",((s_Ir*s_F*s_I_f*s_T*(1-EXP(-up_RadSpec!BA9*s_t_v)))/(s_Y_v*up_RadSpec!BA9))),".")</f>
        <v>9.0143481925428208</v>
      </c>
      <c r="BO9" s="108">
        <f>IFERROR(IF(up_Bv!Q9=0,".",((s_Ir*s_F*s_I_f*s_T*(1-EXP(-up_RadSpec!BA9*s_t_v)))/(s_Y_v*up_RadSpec!BA9))),".")</f>
        <v>9.0143481925428208</v>
      </c>
      <c r="BP9" s="108">
        <f>IFERROR(IF(up_Bv!R9=0,".",((s_Ir*s_F*s_I_f*s_T*(1-EXP(-up_RadSpec!BA9*s_t_v)))/(s_Y_v*up_RadSpec!BA9))),".")</f>
        <v>9.0143481925428208</v>
      </c>
      <c r="BQ9" s="108">
        <f>IFERROR(IF(up_Bv!S9=0,".",((s_Ir*s_F*s_I_f*s_T*(1-EXP(-up_RadSpec!BA9*s_t_v)))/(s_Y_v*up_RadSpec!BA9))),".")</f>
        <v>9.0143481925428208</v>
      </c>
      <c r="BR9" s="108">
        <f>IFERROR(IF(up_Bv!T9=0,".",((s_Ir*s_F*s_I_f*s_T*(1-EXP(-up_RadSpec!BA9*s_t_v)))/(s_Y_v*up_RadSpec!BA9))),".")</f>
        <v>9.0143481925428208</v>
      </c>
      <c r="BS9" s="108">
        <f>IFERROR(IF(up_Bv!U9=0,".",((s_Ir*s_F*s_I_f*s_T*(1-EXP(-up_RadSpec!BA9*s_t_v)))/(s_Y_v*up_RadSpec!BA9))),".")</f>
        <v>9.0143481925428208</v>
      </c>
      <c r="BT9" s="108">
        <f>IFERROR(IF(up_Bv!V9=0,".",((s_Ir*s_F*s_I_f*s_T*(1-EXP(-up_RadSpec!BA9*s_t_v)))/(s_Y_v*up_RadSpec!BA9))),".")</f>
        <v>9.0143481925428208</v>
      </c>
      <c r="BU9" s="108">
        <f>IFERROR(IF(up_Bv!W9=0,".",((s_Ir*s_F*s_I_f*s_T*(1-EXP(-up_RadSpec!BA9*s_t_v)))/(s_Y_v*up_RadSpec!BA9))),".")</f>
        <v>9.0143481925428208</v>
      </c>
      <c r="BV9" s="108">
        <f>IFERROR(IF(up_Bv!X9=0,".",((s_Ir*s_F*s_I_f*s_T*(1-EXP(-up_RadSpec!BA9*s_t_v)))/(s_Y_v*up_RadSpec!BA9))),".")</f>
        <v>9.0143481925428208</v>
      </c>
      <c r="BW9" s="108">
        <f>IFERROR(IF(up_Bv!Y9=0,".",((s_Ir*s_F*s_I_f*s_T*(1-EXP(-up_RadSpec!BA9*s_t_v)))/(s_Y_v*up_RadSpec!BA9))),".")</f>
        <v>9.0143481925428208</v>
      </c>
      <c r="BX9" s="108">
        <f>IFERROR(IF(up_Bv!Z9=0,".",((s_Ir*s_F*s_I_f*s_T*(1-EXP(-up_RadSpec!BA9*s_t_v)))/(s_Y_v*up_RadSpec!BA9))),".")</f>
        <v>9.0143481925428208</v>
      </c>
      <c r="BY9" s="108">
        <f>IFERROR(IF(up_Bv!AA9=0,".",((s_Ir*s_F*s_I_f*s_T*(1-EXP(-up_RadSpec!BA9*s_t_v)))/(s_Y_v*up_RadSpec!BA9))),".")</f>
        <v>9.0143481925428208</v>
      </c>
    </row>
    <row r="10" spans="1:77" x14ac:dyDescent="0.25">
      <c r="A10" s="46" t="s">
        <v>8</v>
      </c>
      <c r="B10" s="42" t="s">
        <v>335</v>
      </c>
      <c r="C10" s="108">
        <f>IFERROR(IF(up_Bv!C10=0,".",((s_Ir*s_F*up_Bv!C10*(1-EXP(-up_RadSpec!$AZ10*s_t_b)))/(s_P*up_RadSpec!$AZ10))),".")</f>
        <v>993.50362303732038</v>
      </c>
      <c r="D10" s="108">
        <f>IFERROR(IF(up_Bv!D10=0,".",((s_Ir*s_F*up_Bv!D10*(1-EXP(-up_RadSpec!AZ10*s_t_b)))/(s_P*up_RadSpec!AZ10))),".")</f>
        <v>993.50362303732038</v>
      </c>
      <c r="E10" s="108">
        <f>IFERROR(IF(up_Bv!E10=0,".",((s_Ir*s_F*up_Bv!E10*(1-EXP(-up_RadSpec!AZ10*s_t_b)))/(s_P*up_RadSpec!AZ10))),".")</f>
        <v>993.50362303732038</v>
      </c>
      <c r="F10" s="108">
        <f>IFERROR(IF(up_Bv!F10=0,".",((s_Ir*s_F*up_Bv!F10*(1-EXP(-up_RadSpec!AZ10*s_t_b)))/(s_P*up_RadSpec!AZ10))),".")</f>
        <v>993.50362303732038</v>
      </c>
      <c r="G10" s="108">
        <f>IFERROR(IF(up_Bv!G10=0,".",((s_Ir*s_F*up_Bv!G10*(1-EXP(-up_RadSpec!AZ10*s_t_b)))/(s_P*up_RadSpec!AZ10))),".")</f>
        <v>993.50362303732038</v>
      </c>
      <c r="H10" s="108">
        <f>IFERROR(IF(up_Bv!H10=0,".",((s_Ir*s_F*up_Bv!H10*(1-EXP(-up_RadSpec!AZ10*s_t_b)))/(s_P*up_RadSpec!AZ10))),".")</f>
        <v>993.50362303732038</v>
      </c>
      <c r="I10" s="108">
        <f>IFERROR(IF(up_Bv!I10=0,".",((s_Ir*s_F*up_Bv!I10*(1-EXP(-up_RadSpec!AZ10*s_t_b)))/(s_P*up_RadSpec!AZ10))),".")</f>
        <v>993.50362303732038</v>
      </c>
      <c r="J10" s="108">
        <f>IFERROR(IF(up_Bv!J10=0,".",((s_Ir*s_F*up_Bv!J10*(1-EXP(-up_RadSpec!AZ10*s_t_b)))/(s_P*up_RadSpec!AZ10))),".")</f>
        <v>993.50362303732038</v>
      </c>
      <c r="K10" s="108">
        <f>IFERROR(IF(up_Bv!K10=0,".",((s_Ir*s_F*up_Bv!K10*(1-EXP(-up_RadSpec!AZ10*s_t_b)))/(s_P*up_RadSpec!AZ10))),".")</f>
        <v>993.50362303732038</v>
      </c>
      <c r="L10" s="108">
        <f>IFERROR(IF(up_Bv!L10=0,".",((s_Ir*s_F*up_Bv!L10*(1-EXP(-up_RadSpec!AZ10*s_t_b)))/(s_P*up_RadSpec!AZ10))),".")</f>
        <v>993.50362303732038</v>
      </c>
      <c r="M10" s="108">
        <f>IFERROR(IF(up_Bv!M10=0,".",((s_Ir*s_F*up_Bv!M10*(1-EXP(-up_RadSpec!AZ10*s_t_b)))/(s_P*up_RadSpec!AZ10))),".")</f>
        <v>993.50362303732038</v>
      </c>
      <c r="N10" s="108">
        <f>IFERROR(IF(up_Bv!N10=0,".",((s_Ir*s_F*up_Bv!N10*(1-EXP(-up_RadSpec!AZ10*s_t_b)))/(s_P*up_RadSpec!AZ10))),".")</f>
        <v>993.50362303732038</v>
      </c>
      <c r="O10" s="108">
        <f>IFERROR(IF(up_Bv!O10=0,".",((s_Ir*s_F*up_Bv!O10*(1-EXP(-up_RadSpec!AZ10*s_t_b)))/(s_P*up_RadSpec!AZ10))),".")</f>
        <v>993.50362303732038</v>
      </c>
      <c r="P10" s="108">
        <f>IFERROR(IF(up_Bv!P10=0,".",((s_Ir*s_F*up_Bv!P10*(1-EXP(-up_RadSpec!AZ10*s_t_b)))/(s_P*up_RadSpec!AZ10))),".")</f>
        <v>993.50362303732038</v>
      </c>
      <c r="Q10" s="108">
        <f>IFERROR(IF(up_Bv!Q10=0,".",((s_Ir*s_F*up_Bv!Q10*(1-EXP(-up_RadSpec!AZ10*s_t_b)))/(s_P*up_RadSpec!AZ10))),".")</f>
        <v>993.50362303732038</v>
      </c>
      <c r="R10" s="108">
        <f>IFERROR(IF(up_Bv!R10=0,".",((s_Ir*s_F*up_Bv!R10*(1-EXP(-up_RadSpec!AZ10*s_t_b)))/(s_P*up_RadSpec!AZ10))),".")</f>
        <v>993.50362303732038</v>
      </c>
      <c r="S10" s="108">
        <f>IFERROR(IF(up_Bv!S10=0,".",((s_Ir*s_F*up_Bv!S10*(1-EXP(-up_RadSpec!AZ10*s_t_b)))/(s_P*up_RadSpec!AZ10))),".")</f>
        <v>993.50362303732038</v>
      </c>
      <c r="T10" s="108">
        <f>IFERROR(IF(up_Bv!T10=0,".",((s_Ir*s_F*up_Bv!T10*(1-EXP(-up_RadSpec!AZ10*s_t_b)))/(s_P*up_RadSpec!AZ10))),".")</f>
        <v>993.50362303732038</v>
      </c>
      <c r="U10" s="108">
        <f>IFERROR(IF(up_Bv!U10=0,".",((s_Ir*s_F*up_Bv!U10*(1-EXP(-up_RadSpec!AZ10*s_t_b)))/(s_P*up_RadSpec!AZ10))),".")</f>
        <v>993.50362303732038</v>
      </c>
      <c r="V10" s="108">
        <f>IFERROR(IF(up_Bv!V10=0,".",((s_Ir*s_F*up_Bv!V10*(1-EXP(-up_RadSpec!AZ10*s_t_b)))/(s_P*up_RadSpec!AZ10))),".")</f>
        <v>993.50362303732038</v>
      </c>
      <c r="W10" s="108">
        <f>IFERROR(IF(up_Bv!W10=0,".",((s_Ir*s_F*up_Bv!W10*(1-EXP(-up_RadSpec!AZ10*s_t_b)))/(s_P*up_RadSpec!AZ10))),".")</f>
        <v>993.50362303732038</v>
      </c>
      <c r="X10" s="108">
        <f>IFERROR(IF(up_Bv!X10=0,".",((s_Ir*s_F*up_Bv!X10*(1-EXP(-up_RadSpec!AZ10*s_t_b)))/(s_P*up_RadSpec!AZ10))),".")</f>
        <v>993.50362303732038</v>
      </c>
      <c r="Y10" s="108">
        <f>IFERROR(IF(up_Bv!Y10=0,".",((s_Ir*s_F*up_Bv!Y10*(1-EXP(-up_RadSpec!AZ10*s_t_b)))/(s_P*up_RadSpec!AZ10))),".")</f>
        <v>993.50362303732038</v>
      </c>
      <c r="Z10" s="108">
        <f>IFERROR(IF(up_Bv!Z10=0,".",((s_Ir*s_F*up_Bv!Z10*(1-EXP(-up_RadSpec!AZ10*s_t_b)))/(s_P*up_RadSpec!AZ10))),".")</f>
        <v>993.50362303732038</v>
      </c>
      <c r="AA10" s="108">
        <f>IFERROR(IF(up_Bv!AA10=0,".",((s_Ir*s_F*up_Bv!AA10*(1-EXP(-up_RadSpec!AZ10*s_t_b)))/(s_P*up_RadSpec!AZ10))),".")</f>
        <v>993.50362303732038</v>
      </c>
      <c r="AB10" s="108">
        <f>IFERROR(IF(up_Bv!C10=0,".",((s_Ir*s_F*s_MLF_apple*(1-EXP(-up_RadSpec!AZ10*s_t_b)))/(s_P*up_RadSpec!AZ10))),".")</f>
        <v>2.6824597822007652</v>
      </c>
      <c r="AC10" s="108">
        <f>IFERROR(IF(up_Bv!D10=0,".",((s_Ir*s_F*s_MLF_asparagus*(1-EXP(-up_RadSpec!AZ10*s_t_b)))/(s_P*up_RadSpec!AZ10))),".")</f>
        <v>2.6824597822007652</v>
      </c>
      <c r="AD10" s="108">
        <f>IFERROR(IF(up_Bv!E10=0,".",((s_Ir*s_F*s_MLF_beet*(1-EXP(-up_RadSpec!AZ10*s_t_b)))/(s_P*up_RadSpec!AZ10))),".")</f>
        <v>2.6824597822007652</v>
      </c>
      <c r="AE10" s="108">
        <f>IFERROR(IF(up_Bv!F10=0,".",((s_Ir*s_F*s_MLF_berries*(1-EXP(-up_RadSpec!AZ10*s_t_b)))/(s_P*up_RadSpec!AZ10))),".")</f>
        <v>2.6824597822007652</v>
      </c>
      <c r="AF10" s="108">
        <f>IFERROR(IF(up_Bv!G10=0,".",((s_Ir*s_F*s_MLF_broccoli*(1-EXP(-up_RadSpec!AZ10*s_t_b)))/(s_P*up_RadSpec!AZ10))),".")</f>
        <v>2.6824597822007652</v>
      </c>
      <c r="AG10" s="108">
        <f>IFERROR(IF(up_Bv!H10=0,".",((s_Ir*s_F*s_MLF_cabbage*(1-EXP(-up_RadSpec!AZ10*s_t_b)))/(s_P*up_RadSpec!AZ10))),".")</f>
        <v>2.6824597822007652</v>
      </c>
      <c r="AH10" s="108">
        <f>IFERROR(IF(up_Bv!I10=0,".",((s_Ir*s_F*s_MLF_carrot*(1-EXP(-up_RadSpec!AZ10*s_t_b)))/(s_P*up_RadSpec!AZ10))),".")</f>
        <v>2.6824597822007652</v>
      </c>
      <c r="AI10" s="108">
        <f>IFERROR(IF(up_Bv!J10=0,".",((s_Ir*s_F*s_MLF_citrus*(1-EXP(-up_RadSpec!AZ10*s_t_b)))/(s_P*up_RadSpec!AZ10))),".")</f>
        <v>2.6824597822007652</v>
      </c>
      <c r="AJ10" s="108">
        <f>IFERROR(IF(up_Bv!K10=0,".",((s_Ir*s_F*s_MLF_corn*(1-EXP(-up_RadSpec!AZ10*s_t_b)))/(s_P*up_RadSpec!AZ10))),".")</f>
        <v>2.6824597822007652</v>
      </c>
      <c r="AK10" s="108">
        <f>IFERROR(IF(up_Bv!L10=0,".",((s_Ir*s_F*s_MLF_cucumber*(1-EXP(-up_RadSpec!AZ10*s_t_b)))/(s_P*up_RadSpec!AZ10))),".")</f>
        <v>2.6824597822007652</v>
      </c>
      <c r="AL10" s="108">
        <f>IFERROR(IF(up_Bv!M10=0,".",((s_Ir*s_F*s_MLF_lettuce*(1-EXP(-up_RadSpec!AZ10*s_t_b)))/(s_P*up_RadSpec!AZ10))),".")</f>
        <v>2.6824597822007652</v>
      </c>
      <c r="AM10" s="108">
        <f>IFERROR(IF(up_Bv!N10=0,".",((s_Ir*s_F*s_MLF_lima_bean*(1-EXP(-up_RadSpec!AZ10*s_t_b)))/(s_P*up_RadSpec!AZ10))),".")</f>
        <v>2.6824597822007652</v>
      </c>
      <c r="AN10" s="108">
        <f>IFERROR(IF(up_Bv!O10=0,".",((s_Ir*s_F*s_MLF_okra*(1-EXP(-up_RadSpec!AZ10*s_t_b)))/(s_P*up_RadSpec!AZ10))),".")</f>
        <v>2.6824597822007652</v>
      </c>
      <c r="AO10" s="108">
        <f>IFERROR(IF(up_Bv!P10=0,".",((s_Ir*s_F*s_MLF_onion*(1-EXP(-up_RadSpec!AZ10*s_t_b)))/(s_P*up_RadSpec!AZ10))),".")</f>
        <v>2.6824597822007652</v>
      </c>
      <c r="AP10" s="108">
        <f>IFERROR(IF(up_Bv!Q10=0,".",((s_Ir*s_F*s_MLF_peach*(1-EXP(-up_RadSpec!AZ10*s_t_b)))/(s_P*up_RadSpec!AZ10))),".")</f>
        <v>2.6824597822007652</v>
      </c>
      <c r="AQ10" s="108">
        <f>IFERROR(IF(up_Bv!R10=0,".",((s_Ir*s_F*s_MLF_pear*(1-EXP(-up_RadSpec!AZ10*s_t_b)))/(s_P*up_RadSpec!AZ10))),".")</f>
        <v>2.6824597822007652</v>
      </c>
      <c r="AR10" s="108">
        <f>IFERROR(IF(up_Bv!S10=0,".",((s_Ir*s_F*s_MLF_peas*(1-EXP(-up_RadSpec!AZ10*s_t_b)))/(s_P*up_RadSpec!AZ10))),".")</f>
        <v>2.6824597822007652</v>
      </c>
      <c r="AS10" s="108">
        <f>IFERROR(IF(up_Bv!T10=0,".",((s_Ir*s_F*s_MLF_peppers*(1-EXP(-up_RadSpec!AZ10*s_t_b)))/(s_P*up_RadSpec!AZ10))),".")</f>
        <v>2.6824597822007652</v>
      </c>
      <c r="AT10" s="108">
        <f>IFERROR(IF(up_Bv!U10=0,".",((s_Ir*s_F*s_MLF_potato*(1-EXP(-up_RadSpec!AZ10*s_t_b)))/(s_P*up_RadSpec!AZ10))),".")</f>
        <v>2.6824597822007652</v>
      </c>
      <c r="AU10" s="108">
        <f>IFERROR(IF(up_Bv!V10=0,".",((s_Ir*s_F*s_MLF_pumpkin*(1-EXP(-up_RadSpec!AZ10*s_t_b)))/(s_P*up_RadSpec!AZ10))),".")</f>
        <v>2.6824597822007652</v>
      </c>
      <c r="AV10" s="108">
        <f>IFERROR(IF(up_Bv!W10=0,".",((s_Ir*s_F*s_MLF_snap_bean*(1-EXP(-up_RadSpec!AZ10*s_t_b)))/(s_P*up_RadSpec!AZ10))),".")</f>
        <v>2.6824597822007652</v>
      </c>
      <c r="AW10" s="108">
        <f>IFERROR(IF(up_Bv!X10=0,".",((s_Ir*s_F*s_MLF_strawberry*(1-EXP(-up_RadSpec!AZ10*s_t_b)))/(s_P*up_RadSpec!AZ10))),".")</f>
        <v>2.6824597822007652</v>
      </c>
      <c r="AX10" s="108">
        <f>IFERROR(IF(up_Bv!Y10=0,".",((s_Ir*s_F*s_MLF_tomato*(1-EXP(-up_RadSpec!AZ10*s_t_b)))/(s_P*up_RadSpec!AZ10))),".")</f>
        <v>2.6824597822007652</v>
      </c>
      <c r="AY10" s="108">
        <f>IFERROR(IF(up_Bv!Z10=0,".",((s_Ir*s_F*s_MLF_rice*(1-EXP(-up_RadSpec!AZ10*s_t_b)))/(s_P*up_RadSpec!AZ10))),".")</f>
        <v>2.6824597822007652</v>
      </c>
      <c r="AZ10" s="108">
        <f>IFERROR(IF(up_Bv!AA10=0,".",((s_Ir*s_F*s_MLF_cereal*(1-EXP(-up_RadSpec!AZ10*s_t_b)))/(s_P*up_RadSpec!AZ10))),".")</f>
        <v>2.6824597822007652</v>
      </c>
      <c r="BA10" s="108">
        <f>IFERROR(IF(up_Bv!C10=0,".",((s_Ir*s_F*s_I_f*s_T*(1-EXP(-up_RadSpec!BA10*s_t_v)))/(s_Y_v*up_RadSpec!BA10))),".")</f>
        <v>9.0143481925428208</v>
      </c>
      <c r="BB10" s="108">
        <f>IFERROR(IF(up_Bv!D10=0,".",((s_Ir*s_F*s_I_f*s_T*(1-EXP(-up_RadSpec!BA10*s_t_v)))/(s_Y_v*up_RadSpec!BA10))),".")</f>
        <v>9.0143481925428208</v>
      </c>
      <c r="BC10" s="108">
        <f>IFERROR(IF(up_Bv!E10=0,".",((s_Ir*s_F*s_I_f*s_T*(1-EXP(-up_RadSpec!BA10*s_t_v)))/(s_Y_v*up_RadSpec!BA10))),".")</f>
        <v>9.0143481925428208</v>
      </c>
      <c r="BD10" s="108">
        <f>IFERROR(IF(up_Bv!F10=0,".",((s_Ir*s_F*s_I_f*s_T*(1-EXP(-up_RadSpec!BA10*s_t_v)))/(s_Y_v*up_RadSpec!BA10))),".")</f>
        <v>9.0143481925428208</v>
      </c>
      <c r="BE10" s="108">
        <f>IFERROR(IF(up_Bv!G10=0,".",((s_Ir*s_F*s_I_f*s_T*(1-EXP(-up_RadSpec!BA10*s_t_v)))/(s_Y_v*up_RadSpec!BA10))),".")</f>
        <v>9.0143481925428208</v>
      </c>
      <c r="BF10" s="108">
        <f>IFERROR(IF(up_Bv!H10=0,".",((s_Ir*s_F*s_I_f*s_T*(1-EXP(-up_RadSpec!BA10*s_t_v)))/(s_Y_v*up_RadSpec!BA10))),".")</f>
        <v>9.0143481925428208</v>
      </c>
      <c r="BG10" s="108">
        <f>IFERROR(IF(up_Bv!I10=0,".",((s_Ir*s_F*s_I_f*s_T*(1-EXP(-up_RadSpec!BA10*s_t_v)))/(s_Y_v*up_RadSpec!BA10))),".")</f>
        <v>9.0143481925428208</v>
      </c>
      <c r="BH10" s="108">
        <f>IFERROR(IF(up_Bv!J10=0,".",((s_Ir*s_F*s_I_f*s_T*(1-EXP(-up_RadSpec!BA10*s_t_v)))/(s_Y_v*up_RadSpec!BA10))),".")</f>
        <v>9.0143481925428208</v>
      </c>
      <c r="BI10" s="108">
        <f>IFERROR(IF(up_Bv!K10=0,".",((s_Ir*s_F*s_I_f*s_T*(1-EXP(-up_RadSpec!BA10*s_t_v)))/(s_Y_v*up_RadSpec!BA10))),".")</f>
        <v>9.0143481925428208</v>
      </c>
      <c r="BJ10" s="108">
        <f>IFERROR(IF(up_Bv!L10=0,".",((s_Ir*s_F*s_I_f*s_T*(1-EXP(-up_RadSpec!BA10*s_t_v)))/(s_Y_v*up_RadSpec!BA10))),".")</f>
        <v>9.0143481925428208</v>
      </c>
      <c r="BK10" s="108">
        <f>IFERROR(IF(up_Bv!M10=0,".",((s_Ir*s_F*s_I_f*s_T*(1-EXP(-up_RadSpec!BA10*s_t_v)))/(s_Y_v*up_RadSpec!BA10))),".")</f>
        <v>9.0143481925428208</v>
      </c>
      <c r="BL10" s="108">
        <f>IFERROR(IF(up_Bv!N10=0,".",((s_Ir*s_F*s_I_f*s_T*(1-EXP(-up_RadSpec!BA10*s_t_v)))/(s_Y_v*up_RadSpec!BA10))),".")</f>
        <v>9.0143481925428208</v>
      </c>
      <c r="BM10" s="108">
        <f>IFERROR(IF(up_Bv!O10=0,".",((s_Ir*s_F*s_I_f*s_T*(1-EXP(-up_RadSpec!BA10*s_t_v)))/(s_Y_v*up_RadSpec!BA10))),".")</f>
        <v>9.0143481925428208</v>
      </c>
      <c r="BN10" s="108">
        <f>IFERROR(IF(up_Bv!P10=0,".",((s_Ir*s_F*s_I_f*s_T*(1-EXP(-up_RadSpec!BA10*s_t_v)))/(s_Y_v*up_RadSpec!BA10))),".")</f>
        <v>9.0143481925428208</v>
      </c>
      <c r="BO10" s="108">
        <f>IFERROR(IF(up_Bv!Q10=0,".",((s_Ir*s_F*s_I_f*s_T*(1-EXP(-up_RadSpec!BA10*s_t_v)))/(s_Y_v*up_RadSpec!BA10))),".")</f>
        <v>9.0143481925428208</v>
      </c>
      <c r="BP10" s="108">
        <f>IFERROR(IF(up_Bv!R10=0,".",((s_Ir*s_F*s_I_f*s_T*(1-EXP(-up_RadSpec!BA10*s_t_v)))/(s_Y_v*up_RadSpec!BA10))),".")</f>
        <v>9.0143481925428208</v>
      </c>
      <c r="BQ10" s="108">
        <f>IFERROR(IF(up_Bv!S10=0,".",((s_Ir*s_F*s_I_f*s_T*(1-EXP(-up_RadSpec!BA10*s_t_v)))/(s_Y_v*up_RadSpec!BA10))),".")</f>
        <v>9.0143481925428208</v>
      </c>
      <c r="BR10" s="108">
        <f>IFERROR(IF(up_Bv!T10=0,".",((s_Ir*s_F*s_I_f*s_T*(1-EXP(-up_RadSpec!BA10*s_t_v)))/(s_Y_v*up_RadSpec!BA10))),".")</f>
        <v>9.0143481925428208</v>
      </c>
      <c r="BS10" s="108">
        <f>IFERROR(IF(up_Bv!U10=0,".",((s_Ir*s_F*s_I_f*s_T*(1-EXP(-up_RadSpec!BA10*s_t_v)))/(s_Y_v*up_RadSpec!BA10))),".")</f>
        <v>9.0143481925428208</v>
      </c>
      <c r="BT10" s="108">
        <f>IFERROR(IF(up_Bv!V10=0,".",((s_Ir*s_F*s_I_f*s_T*(1-EXP(-up_RadSpec!BA10*s_t_v)))/(s_Y_v*up_RadSpec!BA10))),".")</f>
        <v>9.0143481925428208</v>
      </c>
      <c r="BU10" s="108">
        <f>IFERROR(IF(up_Bv!W10=0,".",((s_Ir*s_F*s_I_f*s_T*(1-EXP(-up_RadSpec!BA10*s_t_v)))/(s_Y_v*up_RadSpec!BA10))),".")</f>
        <v>9.0143481925428208</v>
      </c>
      <c r="BV10" s="108">
        <f>IFERROR(IF(up_Bv!X10=0,".",((s_Ir*s_F*s_I_f*s_T*(1-EXP(-up_RadSpec!BA10*s_t_v)))/(s_Y_v*up_RadSpec!BA10))),".")</f>
        <v>9.0143481925428208</v>
      </c>
      <c r="BW10" s="108">
        <f>IFERROR(IF(up_Bv!Y10=0,".",((s_Ir*s_F*s_I_f*s_T*(1-EXP(-up_RadSpec!BA10*s_t_v)))/(s_Y_v*up_RadSpec!BA10))),".")</f>
        <v>9.0143481925428208</v>
      </c>
      <c r="BX10" s="108">
        <f>IFERROR(IF(up_Bv!Z10=0,".",((s_Ir*s_F*s_I_f*s_T*(1-EXP(-up_RadSpec!BA10*s_t_v)))/(s_Y_v*up_RadSpec!BA10))),".")</f>
        <v>9.0143481925428208</v>
      </c>
      <c r="BY10" s="108">
        <f>IFERROR(IF(up_Bv!AA10=0,".",((s_Ir*s_F*s_I_f*s_T*(1-EXP(-up_RadSpec!BA10*s_t_v)))/(s_Y_v*up_RadSpec!BA10))),".")</f>
        <v>9.0143481925428208</v>
      </c>
    </row>
    <row r="11" spans="1:77" x14ac:dyDescent="0.25">
      <c r="A11" s="44" t="s">
        <v>9</v>
      </c>
      <c r="B11" s="42" t="s">
        <v>1057</v>
      </c>
      <c r="C11" s="108">
        <f>IFERROR(IF(up_Bv!C11=0,".",((s_Ir*s_F*up_Bv!C11*(1-EXP(-up_RadSpec!$AZ11*s_t_b)))/(s_P*up_RadSpec!$AZ11))),".")</f>
        <v>993.50362303732038</v>
      </c>
      <c r="D11" s="108">
        <f>IFERROR(IF(up_Bv!D11=0,".",((s_Ir*s_F*up_Bv!D11*(1-EXP(-up_RadSpec!AZ11*s_t_b)))/(s_P*up_RadSpec!AZ11))),".")</f>
        <v>993.50362303732038</v>
      </c>
      <c r="E11" s="108">
        <f>IFERROR(IF(up_Bv!E11=0,".",((s_Ir*s_F*up_Bv!E11*(1-EXP(-up_RadSpec!AZ11*s_t_b)))/(s_P*up_RadSpec!AZ11))),".")</f>
        <v>993.50362303732038</v>
      </c>
      <c r="F11" s="108">
        <f>IFERROR(IF(up_Bv!F11=0,".",((s_Ir*s_F*up_Bv!F11*(1-EXP(-up_RadSpec!AZ11*s_t_b)))/(s_P*up_RadSpec!AZ11))),".")</f>
        <v>993.50362303732038</v>
      </c>
      <c r="G11" s="108">
        <f>IFERROR(IF(up_Bv!G11=0,".",((s_Ir*s_F*up_Bv!G11*(1-EXP(-up_RadSpec!AZ11*s_t_b)))/(s_P*up_RadSpec!AZ11))),".")</f>
        <v>993.50362303732038</v>
      </c>
      <c r="H11" s="108">
        <f>IFERROR(IF(up_Bv!H11=0,".",((s_Ir*s_F*up_Bv!H11*(1-EXP(-up_RadSpec!AZ11*s_t_b)))/(s_P*up_RadSpec!AZ11))),".")</f>
        <v>993.50362303732038</v>
      </c>
      <c r="I11" s="108">
        <f>IFERROR(IF(up_Bv!I11=0,".",((s_Ir*s_F*up_Bv!I11*(1-EXP(-up_RadSpec!AZ11*s_t_b)))/(s_P*up_RadSpec!AZ11))),".")</f>
        <v>993.50362303732038</v>
      </c>
      <c r="J11" s="108">
        <f>IFERROR(IF(up_Bv!J11=0,".",((s_Ir*s_F*up_Bv!J11*(1-EXP(-up_RadSpec!AZ11*s_t_b)))/(s_P*up_RadSpec!AZ11))),".")</f>
        <v>993.50362303732038</v>
      </c>
      <c r="K11" s="108">
        <f>IFERROR(IF(up_Bv!K11=0,".",((s_Ir*s_F*up_Bv!K11*(1-EXP(-up_RadSpec!AZ11*s_t_b)))/(s_P*up_RadSpec!AZ11))),".")</f>
        <v>993.50362303732038</v>
      </c>
      <c r="L11" s="108">
        <f>IFERROR(IF(up_Bv!L11=0,".",((s_Ir*s_F*up_Bv!L11*(1-EXP(-up_RadSpec!AZ11*s_t_b)))/(s_P*up_RadSpec!AZ11))),".")</f>
        <v>993.50362303732038</v>
      </c>
      <c r="M11" s="108">
        <f>IFERROR(IF(up_Bv!M11=0,".",((s_Ir*s_F*up_Bv!M11*(1-EXP(-up_RadSpec!AZ11*s_t_b)))/(s_P*up_RadSpec!AZ11))),".")</f>
        <v>993.50362303732038</v>
      </c>
      <c r="N11" s="108">
        <f>IFERROR(IF(up_Bv!N11=0,".",((s_Ir*s_F*up_Bv!N11*(1-EXP(-up_RadSpec!AZ11*s_t_b)))/(s_P*up_RadSpec!AZ11))),".")</f>
        <v>993.50362303732038</v>
      </c>
      <c r="O11" s="108">
        <f>IFERROR(IF(up_Bv!O11=0,".",((s_Ir*s_F*up_Bv!O11*(1-EXP(-up_RadSpec!AZ11*s_t_b)))/(s_P*up_RadSpec!AZ11))),".")</f>
        <v>993.50362303732038</v>
      </c>
      <c r="P11" s="108">
        <f>IFERROR(IF(up_Bv!P11=0,".",((s_Ir*s_F*up_Bv!P11*(1-EXP(-up_RadSpec!AZ11*s_t_b)))/(s_P*up_RadSpec!AZ11))),".")</f>
        <v>993.50362303732038</v>
      </c>
      <c r="Q11" s="108">
        <f>IFERROR(IF(up_Bv!Q11=0,".",((s_Ir*s_F*up_Bv!Q11*(1-EXP(-up_RadSpec!AZ11*s_t_b)))/(s_P*up_RadSpec!AZ11))),".")</f>
        <v>993.50362303732038</v>
      </c>
      <c r="R11" s="108">
        <f>IFERROR(IF(up_Bv!R11=0,".",((s_Ir*s_F*up_Bv!R11*(1-EXP(-up_RadSpec!AZ11*s_t_b)))/(s_P*up_RadSpec!AZ11))),".")</f>
        <v>993.50362303732038</v>
      </c>
      <c r="S11" s="108">
        <f>IFERROR(IF(up_Bv!S11=0,".",((s_Ir*s_F*up_Bv!S11*(1-EXP(-up_RadSpec!AZ11*s_t_b)))/(s_P*up_RadSpec!AZ11))),".")</f>
        <v>993.50362303732038</v>
      </c>
      <c r="T11" s="108">
        <f>IFERROR(IF(up_Bv!T11=0,".",((s_Ir*s_F*up_Bv!T11*(1-EXP(-up_RadSpec!AZ11*s_t_b)))/(s_P*up_RadSpec!AZ11))),".")</f>
        <v>993.50362303732038</v>
      </c>
      <c r="U11" s="108">
        <f>IFERROR(IF(up_Bv!U11=0,".",((s_Ir*s_F*up_Bv!U11*(1-EXP(-up_RadSpec!AZ11*s_t_b)))/(s_P*up_RadSpec!AZ11))),".")</f>
        <v>993.50362303732038</v>
      </c>
      <c r="V11" s="108">
        <f>IFERROR(IF(up_Bv!V11=0,".",((s_Ir*s_F*up_Bv!V11*(1-EXP(-up_RadSpec!AZ11*s_t_b)))/(s_P*up_RadSpec!AZ11))),".")</f>
        <v>993.50362303732038</v>
      </c>
      <c r="W11" s="108">
        <f>IFERROR(IF(up_Bv!W11=0,".",((s_Ir*s_F*up_Bv!W11*(1-EXP(-up_RadSpec!AZ11*s_t_b)))/(s_P*up_RadSpec!AZ11))),".")</f>
        <v>993.50362303732038</v>
      </c>
      <c r="X11" s="108">
        <f>IFERROR(IF(up_Bv!X11=0,".",((s_Ir*s_F*up_Bv!X11*(1-EXP(-up_RadSpec!AZ11*s_t_b)))/(s_P*up_RadSpec!AZ11))),".")</f>
        <v>993.50362303732038</v>
      </c>
      <c r="Y11" s="108">
        <f>IFERROR(IF(up_Bv!Y11=0,".",((s_Ir*s_F*up_Bv!Y11*(1-EXP(-up_RadSpec!AZ11*s_t_b)))/(s_P*up_RadSpec!AZ11))),".")</f>
        <v>993.50362303732038</v>
      </c>
      <c r="Z11" s="108">
        <f>IFERROR(IF(up_Bv!Z11=0,".",((s_Ir*s_F*up_Bv!Z11*(1-EXP(-up_RadSpec!AZ11*s_t_b)))/(s_P*up_RadSpec!AZ11))),".")</f>
        <v>993.50362303732038</v>
      </c>
      <c r="AA11" s="108">
        <f>IFERROR(IF(up_Bv!AA11=0,".",((s_Ir*s_F*up_Bv!AA11*(1-EXP(-up_RadSpec!AZ11*s_t_b)))/(s_P*up_RadSpec!AZ11))),".")</f>
        <v>993.50362303732038</v>
      </c>
      <c r="AB11" s="108">
        <f>IFERROR(IF(up_Bv!C11=0,".",((s_Ir*s_F*s_MLF_apple*(1-EXP(-up_RadSpec!AZ11*s_t_b)))/(s_P*up_RadSpec!AZ11))),".")</f>
        <v>2.6824597822007652</v>
      </c>
      <c r="AC11" s="108">
        <f>IFERROR(IF(up_Bv!D11=0,".",((s_Ir*s_F*s_MLF_asparagus*(1-EXP(-up_RadSpec!AZ11*s_t_b)))/(s_P*up_RadSpec!AZ11))),".")</f>
        <v>2.6824597822007652</v>
      </c>
      <c r="AD11" s="108">
        <f>IFERROR(IF(up_Bv!E11=0,".",((s_Ir*s_F*s_MLF_beet*(1-EXP(-up_RadSpec!AZ11*s_t_b)))/(s_P*up_RadSpec!AZ11))),".")</f>
        <v>2.6824597822007652</v>
      </c>
      <c r="AE11" s="108">
        <f>IFERROR(IF(up_Bv!F11=0,".",((s_Ir*s_F*s_MLF_berries*(1-EXP(-up_RadSpec!AZ11*s_t_b)))/(s_P*up_RadSpec!AZ11))),".")</f>
        <v>2.6824597822007652</v>
      </c>
      <c r="AF11" s="108">
        <f>IFERROR(IF(up_Bv!G11=0,".",((s_Ir*s_F*s_MLF_broccoli*(1-EXP(-up_RadSpec!AZ11*s_t_b)))/(s_P*up_RadSpec!AZ11))),".")</f>
        <v>2.6824597822007652</v>
      </c>
      <c r="AG11" s="108">
        <f>IFERROR(IF(up_Bv!H11=0,".",((s_Ir*s_F*s_MLF_cabbage*(1-EXP(-up_RadSpec!AZ11*s_t_b)))/(s_P*up_RadSpec!AZ11))),".")</f>
        <v>2.6824597822007652</v>
      </c>
      <c r="AH11" s="108">
        <f>IFERROR(IF(up_Bv!I11=0,".",((s_Ir*s_F*s_MLF_carrot*(1-EXP(-up_RadSpec!AZ11*s_t_b)))/(s_P*up_RadSpec!AZ11))),".")</f>
        <v>2.6824597822007652</v>
      </c>
      <c r="AI11" s="108">
        <f>IFERROR(IF(up_Bv!J11=0,".",((s_Ir*s_F*s_MLF_citrus*(1-EXP(-up_RadSpec!AZ11*s_t_b)))/(s_P*up_RadSpec!AZ11))),".")</f>
        <v>2.6824597822007652</v>
      </c>
      <c r="AJ11" s="108">
        <f>IFERROR(IF(up_Bv!K11=0,".",((s_Ir*s_F*s_MLF_corn*(1-EXP(-up_RadSpec!AZ11*s_t_b)))/(s_P*up_RadSpec!AZ11))),".")</f>
        <v>2.6824597822007652</v>
      </c>
      <c r="AK11" s="108">
        <f>IFERROR(IF(up_Bv!L11=0,".",((s_Ir*s_F*s_MLF_cucumber*(1-EXP(-up_RadSpec!AZ11*s_t_b)))/(s_P*up_RadSpec!AZ11))),".")</f>
        <v>2.6824597822007652</v>
      </c>
      <c r="AL11" s="108">
        <f>IFERROR(IF(up_Bv!M11=0,".",((s_Ir*s_F*s_MLF_lettuce*(1-EXP(-up_RadSpec!AZ11*s_t_b)))/(s_P*up_RadSpec!AZ11))),".")</f>
        <v>2.6824597822007652</v>
      </c>
      <c r="AM11" s="108">
        <f>IFERROR(IF(up_Bv!N11=0,".",((s_Ir*s_F*s_MLF_lima_bean*(1-EXP(-up_RadSpec!AZ11*s_t_b)))/(s_P*up_RadSpec!AZ11))),".")</f>
        <v>2.6824597822007652</v>
      </c>
      <c r="AN11" s="108">
        <f>IFERROR(IF(up_Bv!O11=0,".",((s_Ir*s_F*s_MLF_okra*(1-EXP(-up_RadSpec!AZ11*s_t_b)))/(s_P*up_RadSpec!AZ11))),".")</f>
        <v>2.6824597822007652</v>
      </c>
      <c r="AO11" s="108">
        <f>IFERROR(IF(up_Bv!P11=0,".",((s_Ir*s_F*s_MLF_onion*(1-EXP(-up_RadSpec!AZ11*s_t_b)))/(s_P*up_RadSpec!AZ11))),".")</f>
        <v>2.6824597822007652</v>
      </c>
      <c r="AP11" s="108">
        <f>IFERROR(IF(up_Bv!Q11=0,".",((s_Ir*s_F*s_MLF_peach*(1-EXP(-up_RadSpec!AZ11*s_t_b)))/(s_P*up_RadSpec!AZ11))),".")</f>
        <v>2.6824597822007652</v>
      </c>
      <c r="AQ11" s="108">
        <f>IFERROR(IF(up_Bv!R11=0,".",((s_Ir*s_F*s_MLF_pear*(1-EXP(-up_RadSpec!AZ11*s_t_b)))/(s_P*up_RadSpec!AZ11))),".")</f>
        <v>2.6824597822007652</v>
      </c>
      <c r="AR11" s="108">
        <f>IFERROR(IF(up_Bv!S11=0,".",((s_Ir*s_F*s_MLF_peas*(1-EXP(-up_RadSpec!AZ11*s_t_b)))/(s_P*up_RadSpec!AZ11))),".")</f>
        <v>2.6824597822007652</v>
      </c>
      <c r="AS11" s="108">
        <f>IFERROR(IF(up_Bv!T11=0,".",((s_Ir*s_F*s_MLF_peppers*(1-EXP(-up_RadSpec!AZ11*s_t_b)))/(s_P*up_RadSpec!AZ11))),".")</f>
        <v>2.6824597822007652</v>
      </c>
      <c r="AT11" s="108">
        <f>IFERROR(IF(up_Bv!U11=0,".",((s_Ir*s_F*s_MLF_potato*(1-EXP(-up_RadSpec!AZ11*s_t_b)))/(s_P*up_RadSpec!AZ11))),".")</f>
        <v>2.6824597822007652</v>
      </c>
      <c r="AU11" s="108">
        <f>IFERROR(IF(up_Bv!V11=0,".",((s_Ir*s_F*s_MLF_pumpkin*(1-EXP(-up_RadSpec!AZ11*s_t_b)))/(s_P*up_RadSpec!AZ11))),".")</f>
        <v>2.6824597822007652</v>
      </c>
      <c r="AV11" s="108">
        <f>IFERROR(IF(up_Bv!W11=0,".",((s_Ir*s_F*s_MLF_snap_bean*(1-EXP(-up_RadSpec!AZ11*s_t_b)))/(s_P*up_RadSpec!AZ11))),".")</f>
        <v>2.6824597822007652</v>
      </c>
      <c r="AW11" s="108">
        <f>IFERROR(IF(up_Bv!X11=0,".",((s_Ir*s_F*s_MLF_strawberry*(1-EXP(-up_RadSpec!AZ11*s_t_b)))/(s_P*up_RadSpec!AZ11))),".")</f>
        <v>2.6824597822007652</v>
      </c>
      <c r="AX11" s="108">
        <f>IFERROR(IF(up_Bv!Y11=0,".",((s_Ir*s_F*s_MLF_tomato*(1-EXP(-up_RadSpec!AZ11*s_t_b)))/(s_P*up_RadSpec!AZ11))),".")</f>
        <v>2.6824597822007652</v>
      </c>
      <c r="AY11" s="108">
        <f>IFERROR(IF(up_Bv!Z11=0,".",((s_Ir*s_F*s_MLF_rice*(1-EXP(-up_RadSpec!AZ11*s_t_b)))/(s_P*up_RadSpec!AZ11))),".")</f>
        <v>2.6824597822007652</v>
      </c>
      <c r="AZ11" s="108">
        <f>IFERROR(IF(up_Bv!AA11=0,".",((s_Ir*s_F*s_MLF_cereal*(1-EXP(-up_RadSpec!AZ11*s_t_b)))/(s_P*up_RadSpec!AZ11))),".")</f>
        <v>2.6824597822007652</v>
      </c>
      <c r="BA11" s="108">
        <f>IFERROR(IF(up_Bv!C11=0,".",((s_Ir*s_F*s_I_f*s_T*(1-EXP(-up_RadSpec!BA11*s_t_v)))/(s_Y_v*up_RadSpec!BA11))),".")</f>
        <v>9.0143481925428208</v>
      </c>
      <c r="BB11" s="108">
        <f>IFERROR(IF(up_Bv!D11=0,".",((s_Ir*s_F*s_I_f*s_T*(1-EXP(-up_RadSpec!BA11*s_t_v)))/(s_Y_v*up_RadSpec!BA11))),".")</f>
        <v>9.0143481925428208</v>
      </c>
      <c r="BC11" s="108">
        <f>IFERROR(IF(up_Bv!E11=0,".",((s_Ir*s_F*s_I_f*s_T*(1-EXP(-up_RadSpec!BA11*s_t_v)))/(s_Y_v*up_RadSpec!BA11))),".")</f>
        <v>9.0143481925428208</v>
      </c>
      <c r="BD11" s="108">
        <f>IFERROR(IF(up_Bv!F11=0,".",((s_Ir*s_F*s_I_f*s_T*(1-EXP(-up_RadSpec!BA11*s_t_v)))/(s_Y_v*up_RadSpec!BA11))),".")</f>
        <v>9.0143481925428208</v>
      </c>
      <c r="BE11" s="108">
        <f>IFERROR(IF(up_Bv!G11=0,".",((s_Ir*s_F*s_I_f*s_T*(1-EXP(-up_RadSpec!BA11*s_t_v)))/(s_Y_v*up_RadSpec!BA11))),".")</f>
        <v>9.0143481925428208</v>
      </c>
      <c r="BF11" s="108">
        <f>IFERROR(IF(up_Bv!H11=0,".",((s_Ir*s_F*s_I_f*s_T*(1-EXP(-up_RadSpec!BA11*s_t_v)))/(s_Y_v*up_RadSpec!BA11))),".")</f>
        <v>9.0143481925428208</v>
      </c>
      <c r="BG11" s="108">
        <f>IFERROR(IF(up_Bv!I11=0,".",((s_Ir*s_F*s_I_f*s_T*(1-EXP(-up_RadSpec!BA11*s_t_v)))/(s_Y_v*up_RadSpec!BA11))),".")</f>
        <v>9.0143481925428208</v>
      </c>
      <c r="BH11" s="108">
        <f>IFERROR(IF(up_Bv!J11=0,".",((s_Ir*s_F*s_I_f*s_T*(1-EXP(-up_RadSpec!BA11*s_t_v)))/(s_Y_v*up_RadSpec!BA11))),".")</f>
        <v>9.0143481925428208</v>
      </c>
      <c r="BI11" s="108">
        <f>IFERROR(IF(up_Bv!K11=0,".",((s_Ir*s_F*s_I_f*s_T*(1-EXP(-up_RadSpec!BA11*s_t_v)))/(s_Y_v*up_RadSpec!BA11))),".")</f>
        <v>9.0143481925428208</v>
      </c>
      <c r="BJ11" s="108">
        <f>IFERROR(IF(up_Bv!L11=0,".",((s_Ir*s_F*s_I_f*s_T*(1-EXP(-up_RadSpec!BA11*s_t_v)))/(s_Y_v*up_RadSpec!BA11))),".")</f>
        <v>9.0143481925428208</v>
      </c>
      <c r="BK11" s="108">
        <f>IFERROR(IF(up_Bv!M11=0,".",((s_Ir*s_F*s_I_f*s_T*(1-EXP(-up_RadSpec!BA11*s_t_v)))/(s_Y_v*up_RadSpec!BA11))),".")</f>
        <v>9.0143481925428208</v>
      </c>
      <c r="BL11" s="108">
        <f>IFERROR(IF(up_Bv!N11=0,".",((s_Ir*s_F*s_I_f*s_T*(1-EXP(-up_RadSpec!BA11*s_t_v)))/(s_Y_v*up_RadSpec!BA11))),".")</f>
        <v>9.0143481925428208</v>
      </c>
      <c r="BM11" s="108">
        <f>IFERROR(IF(up_Bv!O11=0,".",((s_Ir*s_F*s_I_f*s_T*(1-EXP(-up_RadSpec!BA11*s_t_v)))/(s_Y_v*up_RadSpec!BA11))),".")</f>
        <v>9.0143481925428208</v>
      </c>
      <c r="BN11" s="108">
        <f>IFERROR(IF(up_Bv!P11=0,".",((s_Ir*s_F*s_I_f*s_T*(1-EXP(-up_RadSpec!BA11*s_t_v)))/(s_Y_v*up_RadSpec!BA11))),".")</f>
        <v>9.0143481925428208</v>
      </c>
      <c r="BO11" s="108">
        <f>IFERROR(IF(up_Bv!Q11=0,".",((s_Ir*s_F*s_I_f*s_T*(1-EXP(-up_RadSpec!BA11*s_t_v)))/(s_Y_v*up_RadSpec!BA11))),".")</f>
        <v>9.0143481925428208</v>
      </c>
      <c r="BP11" s="108">
        <f>IFERROR(IF(up_Bv!R11=0,".",((s_Ir*s_F*s_I_f*s_T*(1-EXP(-up_RadSpec!BA11*s_t_v)))/(s_Y_v*up_RadSpec!BA11))),".")</f>
        <v>9.0143481925428208</v>
      </c>
      <c r="BQ11" s="108">
        <f>IFERROR(IF(up_Bv!S11=0,".",((s_Ir*s_F*s_I_f*s_T*(1-EXP(-up_RadSpec!BA11*s_t_v)))/(s_Y_v*up_RadSpec!BA11))),".")</f>
        <v>9.0143481925428208</v>
      </c>
      <c r="BR11" s="108">
        <f>IFERROR(IF(up_Bv!T11=0,".",((s_Ir*s_F*s_I_f*s_T*(1-EXP(-up_RadSpec!BA11*s_t_v)))/(s_Y_v*up_RadSpec!BA11))),".")</f>
        <v>9.0143481925428208</v>
      </c>
      <c r="BS11" s="108">
        <f>IFERROR(IF(up_Bv!U11=0,".",((s_Ir*s_F*s_I_f*s_T*(1-EXP(-up_RadSpec!BA11*s_t_v)))/(s_Y_v*up_RadSpec!BA11))),".")</f>
        <v>9.0143481925428208</v>
      </c>
      <c r="BT11" s="108">
        <f>IFERROR(IF(up_Bv!V11=0,".",((s_Ir*s_F*s_I_f*s_T*(1-EXP(-up_RadSpec!BA11*s_t_v)))/(s_Y_v*up_RadSpec!BA11))),".")</f>
        <v>9.0143481925428208</v>
      </c>
      <c r="BU11" s="108">
        <f>IFERROR(IF(up_Bv!W11=0,".",((s_Ir*s_F*s_I_f*s_T*(1-EXP(-up_RadSpec!BA11*s_t_v)))/(s_Y_v*up_RadSpec!BA11))),".")</f>
        <v>9.0143481925428208</v>
      </c>
      <c r="BV11" s="108">
        <f>IFERROR(IF(up_Bv!X11=0,".",((s_Ir*s_F*s_I_f*s_T*(1-EXP(-up_RadSpec!BA11*s_t_v)))/(s_Y_v*up_RadSpec!BA11))),".")</f>
        <v>9.0143481925428208</v>
      </c>
      <c r="BW11" s="108">
        <f>IFERROR(IF(up_Bv!Y11=0,".",((s_Ir*s_F*s_I_f*s_T*(1-EXP(-up_RadSpec!BA11*s_t_v)))/(s_Y_v*up_RadSpec!BA11))),".")</f>
        <v>9.0143481925428208</v>
      </c>
      <c r="BX11" s="108">
        <f>IFERROR(IF(up_Bv!Z11=0,".",((s_Ir*s_F*s_I_f*s_T*(1-EXP(-up_RadSpec!BA11*s_t_v)))/(s_Y_v*up_RadSpec!BA11))),".")</f>
        <v>9.0143481925428208</v>
      </c>
      <c r="BY11" s="108">
        <f>IFERROR(IF(up_Bv!AA11=0,".",((s_Ir*s_F*s_I_f*s_T*(1-EXP(-up_RadSpec!BA11*s_t_v)))/(s_Y_v*up_RadSpec!BA11))),".")</f>
        <v>9.0143481925428208</v>
      </c>
    </row>
    <row r="12" spans="1:77" x14ac:dyDescent="0.25">
      <c r="A12" s="44" t="s">
        <v>10</v>
      </c>
      <c r="B12" s="42" t="s">
        <v>1057</v>
      </c>
      <c r="C12" s="108">
        <f>IFERROR(IF(up_Bv!C12=0,".",((s_Ir*s_F*up_Bv!C12*(1-EXP(-up_RadSpec!$AZ12*s_t_b)))/(s_P*up_RadSpec!$AZ12))),".")</f>
        <v>993.50362303732038</v>
      </c>
      <c r="D12" s="108">
        <f>IFERROR(IF(up_Bv!D12=0,".",((s_Ir*s_F*up_Bv!D12*(1-EXP(-up_RadSpec!AZ12*s_t_b)))/(s_P*up_RadSpec!AZ12))),".")</f>
        <v>993.50362303732038</v>
      </c>
      <c r="E12" s="108">
        <f>IFERROR(IF(up_Bv!E12=0,".",((s_Ir*s_F*up_Bv!E12*(1-EXP(-up_RadSpec!AZ12*s_t_b)))/(s_P*up_RadSpec!AZ12))),".")</f>
        <v>993.50362303732038</v>
      </c>
      <c r="F12" s="108">
        <f>IFERROR(IF(up_Bv!F12=0,".",((s_Ir*s_F*up_Bv!F12*(1-EXP(-up_RadSpec!AZ12*s_t_b)))/(s_P*up_RadSpec!AZ12))),".")</f>
        <v>993.50362303732038</v>
      </c>
      <c r="G12" s="108">
        <f>IFERROR(IF(up_Bv!G12=0,".",((s_Ir*s_F*up_Bv!G12*(1-EXP(-up_RadSpec!AZ12*s_t_b)))/(s_P*up_RadSpec!AZ12))),".")</f>
        <v>993.50362303732038</v>
      </c>
      <c r="H12" s="108">
        <f>IFERROR(IF(up_Bv!H12=0,".",((s_Ir*s_F*up_Bv!H12*(1-EXP(-up_RadSpec!AZ12*s_t_b)))/(s_P*up_RadSpec!AZ12))),".")</f>
        <v>993.50362303732038</v>
      </c>
      <c r="I12" s="108">
        <f>IFERROR(IF(up_Bv!I12=0,".",((s_Ir*s_F*up_Bv!I12*(1-EXP(-up_RadSpec!AZ12*s_t_b)))/(s_P*up_RadSpec!AZ12))),".")</f>
        <v>993.50362303732038</v>
      </c>
      <c r="J12" s="108">
        <f>IFERROR(IF(up_Bv!J12=0,".",((s_Ir*s_F*up_Bv!J12*(1-EXP(-up_RadSpec!AZ12*s_t_b)))/(s_P*up_RadSpec!AZ12))),".")</f>
        <v>993.50362303732038</v>
      </c>
      <c r="K12" s="108">
        <f>IFERROR(IF(up_Bv!K12=0,".",((s_Ir*s_F*up_Bv!K12*(1-EXP(-up_RadSpec!AZ12*s_t_b)))/(s_P*up_RadSpec!AZ12))),".")</f>
        <v>993.50362303732038</v>
      </c>
      <c r="L12" s="108">
        <f>IFERROR(IF(up_Bv!L12=0,".",((s_Ir*s_F*up_Bv!L12*(1-EXP(-up_RadSpec!AZ12*s_t_b)))/(s_P*up_RadSpec!AZ12))),".")</f>
        <v>993.50362303732038</v>
      </c>
      <c r="M12" s="108">
        <f>IFERROR(IF(up_Bv!M12=0,".",((s_Ir*s_F*up_Bv!M12*(1-EXP(-up_RadSpec!AZ12*s_t_b)))/(s_P*up_RadSpec!AZ12))),".")</f>
        <v>993.50362303732038</v>
      </c>
      <c r="N12" s="108">
        <f>IFERROR(IF(up_Bv!N12=0,".",((s_Ir*s_F*up_Bv!N12*(1-EXP(-up_RadSpec!AZ12*s_t_b)))/(s_P*up_RadSpec!AZ12))),".")</f>
        <v>993.50362303732038</v>
      </c>
      <c r="O12" s="108">
        <f>IFERROR(IF(up_Bv!O12=0,".",((s_Ir*s_F*up_Bv!O12*(1-EXP(-up_RadSpec!AZ12*s_t_b)))/(s_P*up_RadSpec!AZ12))),".")</f>
        <v>993.50362303732038</v>
      </c>
      <c r="P12" s="108">
        <f>IFERROR(IF(up_Bv!P12=0,".",((s_Ir*s_F*up_Bv!P12*(1-EXP(-up_RadSpec!AZ12*s_t_b)))/(s_P*up_RadSpec!AZ12))),".")</f>
        <v>993.50362303732038</v>
      </c>
      <c r="Q12" s="108">
        <f>IFERROR(IF(up_Bv!Q12=0,".",((s_Ir*s_F*up_Bv!Q12*(1-EXP(-up_RadSpec!AZ12*s_t_b)))/(s_P*up_RadSpec!AZ12))),".")</f>
        <v>993.50362303732038</v>
      </c>
      <c r="R12" s="108">
        <f>IFERROR(IF(up_Bv!R12=0,".",((s_Ir*s_F*up_Bv!R12*(1-EXP(-up_RadSpec!AZ12*s_t_b)))/(s_P*up_RadSpec!AZ12))),".")</f>
        <v>993.50362303732038</v>
      </c>
      <c r="S12" s="108">
        <f>IFERROR(IF(up_Bv!S12=0,".",((s_Ir*s_F*up_Bv!S12*(1-EXP(-up_RadSpec!AZ12*s_t_b)))/(s_P*up_RadSpec!AZ12))),".")</f>
        <v>993.50362303732038</v>
      </c>
      <c r="T12" s="108">
        <f>IFERROR(IF(up_Bv!T12=0,".",((s_Ir*s_F*up_Bv!T12*(1-EXP(-up_RadSpec!AZ12*s_t_b)))/(s_P*up_RadSpec!AZ12))),".")</f>
        <v>993.50362303732038</v>
      </c>
      <c r="U12" s="108">
        <f>IFERROR(IF(up_Bv!U12=0,".",((s_Ir*s_F*up_Bv!U12*(1-EXP(-up_RadSpec!AZ12*s_t_b)))/(s_P*up_RadSpec!AZ12))),".")</f>
        <v>993.50362303732038</v>
      </c>
      <c r="V12" s="108">
        <f>IFERROR(IF(up_Bv!V12=0,".",((s_Ir*s_F*up_Bv!V12*(1-EXP(-up_RadSpec!AZ12*s_t_b)))/(s_P*up_RadSpec!AZ12))),".")</f>
        <v>993.50362303732038</v>
      </c>
      <c r="W12" s="108">
        <f>IFERROR(IF(up_Bv!W12=0,".",((s_Ir*s_F*up_Bv!W12*(1-EXP(-up_RadSpec!AZ12*s_t_b)))/(s_P*up_RadSpec!AZ12))),".")</f>
        <v>993.50362303732038</v>
      </c>
      <c r="X12" s="108">
        <f>IFERROR(IF(up_Bv!X12=0,".",((s_Ir*s_F*up_Bv!X12*(1-EXP(-up_RadSpec!AZ12*s_t_b)))/(s_P*up_RadSpec!AZ12))),".")</f>
        <v>993.50362303732038</v>
      </c>
      <c r="Y12" s="108">
        <f>IFERROR(IF(up_Bv!Y12=0,".",((s_Ir*s_F*up_Bv!Y12*(1-EXP(-up_RadSpec!AZ12*s_t_b)))/(s_P*up_RadSpec!AZ12))),".")</f>
        <v>993.50362303732038</v>
      </c>
      <c r="Z12" s="108">
        <f>IFERROR(IF(up_Bv!Z12=0,".",((s_Ir*s_F*up_Bv!Z12*(1-EXP(-up_RadSpec!AZ12*s_t_b)))/(s_P*up_RadSpec!AZ12))),".")</f>
        <v>993.50362303732038</v>
      </c>
      <c r="AA12" s="108">
        <f>IFERROR(IF(up_Bv!AA12=0,".",((s_Ir*s_F*up_Bv!AA12*(1-EXP(-up_RadSpec!AZ12*s_t_b)))/(s_P*up_RadSpec!AZ12))),".")</f>
        <v>993.50362303732038</v>
      </c>
      <c r="AB12" s="108">
        <f>IFERROR(IF(up_Bv!C12=0,".",((s_Ir*s_F*s_MLF_apple*(1-EXP(-up_RadSpec!AZ12*s_t_b)))/(s_P*up_RadSpec!AZ12))),".")</f>
        <v>2.6824597822007652</v>
      </c>
      <c r="AC12" s="108">
        <f>IFERROR(IF(up_Bv!D12=0,".",((s_Ir*s_F*s_MLF_asparagus*(1-EXP(-up_RadSpec!AZ12*s_t_b)))/(s_P*up_RadSpec!AZ12))),".")</f>
        <v>2.6824597822007652</v>
      </c>
      <c r="AD12" s="108">
        <f>IFERROR(IF(up_Bv!E12=0,".",((s_Ir*s_F*s_MLF_beet*(1-EXP(-up_RadSpec!AZ12*s_t_b)))/(s_P*up_RadSpec!AZ12))),".")</f>
        <v>2.6824597822007652</v>
      </c>
      <c r="AE12" s="108">
        <f>IFERROR(IF(up_Bv!F12=0,".",((s_Ir*s_F*s_MLF_berries*(1-EXP(-up_RadSpec!AZ12*s_t_b)))/(s_P*up_RadSpec!AZ12))),".")</f>
        <v>2.6824597822007652</v>
      </c>
      <c r="AF12" s="108">
        <f>IFERROR(IF(up_Bv!G12=0,".",((s_Ir*s_F*s_MLF_broccoli*(1-EXP(-up_RadSpec!AZ12*s_t_b)))/(s_P*up_RadSpec!AZ12))),".")</f>
        <v>2.6824597822007652</v>
      </c>
      <c r="AG12" s="108">
        <f>IFERROR(IF(up_Bv!H12=0,".",((s_Ir*s_F*s_MLF_cabbage*(1-EXP(-up_RadSpec!AZ12*s_t_b)))/(s_P*up_RadSpec!AZ12))),".")</f>
        <v>2.6824597822007652</v>
      </c>
      <c r="AH12" s="108">
        <f>IFERROR(IF(up_Bv!I12=0,".",((s_Ir*s_F*s_MLF_carrot*(1-EXP(-up_RadSpec!AZ12*s_t_b)))/(s_P*up_RadSpec!AZ12))),".")</f>
        <v>2.6824597822007652</v>
      </c>
      <c r="AI12" s="108">
        <f>IFERROR(IF(up_Bv!J12=0,".",((s_Ir*s_F*s_MLF_citrus*(1-EXP(-up_RadSpec!AZ12*s_t_b)))/(s_P*up_RadSpec!AZ12))),".")</f>
        <v>2.6824597822007652</v>
      </c>
      <c r="AJ12" s="108">
        <f>IFERROR(IF(up_Bv!K12=0,".",((s_Ir*s_F*s_MLF_corn*(1-EXP(-up_RadSpec!AZ12*s_t_b)))/(s_P*up_RadSpec!AZ12))),".")</f>
        <v>2.6824597822007652</v>
      </c>
      <c r="AK12" s="108">
        <f>IFERROR(IF(up_Bv!L12=0,".",((s_Ir*s_F*s_MLF_cucumber*(1-EXP(-up_RadSpec!AZ12*s_t_b)))/(s_P*up_RadSpec!AZ12))),".")</f>
        <v>2.6824597822007652</v>
      </c>
      <c r="AL12" s="108">
        <f>IFERROR(IF(up_Bv!M12=0,".",((s_Ir*s_F*s_MLF_lettuce*(1-EXP(-up_RadSpec!AZ12*s_t_b)))/(s_P*up_RadSpec!AZ12))),".")</f>
        <v>2.6824597822007652</v>
      </c>
      <c r="AM12" s="108">
        <f>IFERROR(IF(up_Bv!N12=0,".",((s_Ir*s_F*s_MLF_lima_bean*(1-EXP(-up_RadSpec!AZ12*s_t_b)))/(s_P*up_RadSpec!AZ12))),".")</f>
        <v>2.6824597822007652</v>
      </c>
      <c r="AN12" s="108">
        <f>IFERROR(IF(up_Bv!O12=0,".",((s_Ir*s_F*s_MLF_okra*(1-EXP(-up_RadSpec!AZ12*s_t_b)))/(s_P*up_RadSpec!AZ12))),".")</f>
        <v>2.6824597822007652</v>
      </c>
      <c r="AO12" s="108">
        <f>IFERROR(IF(up_Bv!P12=0,".",((s_Ir*s_F*s_MLF_onion*(1-EXP(-up_RadSpec!AZ12*s_t_b)))/(s_P*up_RadSpec!AZ12))),".")</f>
        <v>2.6824597822007652</v>
      </c>
      <c r="AP12" s="108">
        <f>IFERROR(IF(up_Bv!Q12=0,".",((s_Ir*s_F*s_MLF_peach*(1-EXP(-up_RadSpec!AZ12*s_t_b)))/(s_P*up_RadSpec!AZ12))),".")</f>
        <v>2.6824597822007652</v>
      </c>
      <c r="AQ12" s="108">
        <f>IFERROR(IF(up_Bv!R12=0,".",((s_Ir*s_F*s_MLF_pear*(1-EXP(-up_RadSpec!AZ12*s_t_b)))/(s_P*up_RadSpec!AZ12))),".")</f>
        <v>2.6824597822007652</v>
      </c>
      <c r="AR12" s="108">
        <f>IFERROR(IF(up_Bv!S12=0,".",((s_Ir*s_F*s_MLF_peas*(1-EXP(-up_RadSpec!AZ12*s_t_b)))/(s_P*up_RadSpec!AZ12))),".")</f>
        <v>2.6824597822007652</v>
      </c>
      <c r="AS12" s="108">
        <f>IFERROR(IF(up_Bv!T12=0,".",((s_Ir*s_F*s_MLF_peppers*(1-EXP(-up_RadSpec!AZ12*s_t_b)))/(s_P*up_RadSpec!AZ12))),".")</f>
        <v>2.6824597822007652</v>
      </c>
      <c r="AT12" s="108">
        <f>IFERROR(IF(up_Bv!U12=0,".",((s_Ir*s_F*s_MLF_potato*(1-EXP(-up_RadSpec!AZ12*s_t_b)))/(s_P*up_RadSpec!AZ12))),".")</f>
        <v>2.6824597822007652</v>
      </c>
      <c r="AU12" s="108">
        <f>IFERROR(IF(up_Bv!V12=0,".",((s_Ir*s_F*s_MLF_pumpkin*(1-EXP(-up_RadSpec!AZ12*s_t_b)))/(s_P*up_RadSpec!AZ12))),".")</f>
        <v>2.6824597822007652</v>
      </c>
      <c r="AV12" s="108">
        <f>IFERROR(IF(up_Bv!W12=0,".",((s_Ir*s_F*s_MLF_snap_bean*(1-EXP(-up_RadSpec!AZ12*s_t_b)))/(s_P*up_RadSpec!AZ12))),".")</f>
        <v>2.6824597822007652</v>
      </c>
      <c r="AW12" s="108">
        <f>IFERROR(IF(up_Bv!X12=0,".",((s_Ir*s_F*s_MLF_strawberry*(1-EXP(-up_RadSpec!AZ12*s_t_b)))/(s_P*up_RadSpec!AZ12))),".")</f>
        <v>2.6824597822007652</v>
      </c>
      <c r="AX12" s="108">
        <f>IFERROR(IF(up_Bv!Y12=0,".",((s_Ir*s_F*s_MLF_tomato*(1-EXP(-up_RadSpec!AZ12*s_t_b)))/(s_P*up_RadSpec!AZ12))),".")</f>
        <v>2.6824597822007652</v>
      </c>
      <c r="AY12" s="108">
        <f>IFERROR(IF(up_Bv!Z12=0,".",((s_Ir*s_F*s_MLF_rice*(1-EXP(-up_RadSpec!AZ12*s_t_b)))/(s_P*up_RadSpec!AZ12))),".")</f>
        <v>2.6824597822007652</v>
      </c>
      <c r="AZ12" s="108">
        <f>IFERROR(IF(up_Bv!AA12=0,".",((s_Ir*s_F*s_MLF_cereal*(1-EXP(-up_RadSpec!AZ12*s_t_b)))/(s_P*up_RadSpec!AZ12))),".")</f>
        <v>2.6824597822007652</v>
      </c>
      <c r="BA12" s="108">
        <f>IFERROR(IF(up_Bv!C12=0,".",((s_Ir*s_F*s_I_f*s_T*(1-EXP(-up_RadSpec!BA12*s_t_v)))/(s_Y_v*up_RadSpec!BA12))),".")</f>
        <v>9.0143481925428208</v>
      </c>
      <c r="BB12" s="108">
        <f>IFERROR(IF(up_Bv!D12=0,".",((s_Ir*s_F*s_I_f*s_T*(1-EXP(-up_RadSpec!BA12*s_t_v)))/(s_Y_v*up_RadSpec!BA12))),".")</f>
        <v>9.0143481925428208</v>
      </c>
      <c r="BC12" s="108">
        <f>IFERROR(IF(up_Bv!E12=0,".",((s_Ir*s_F*s_I_f*s_T*(1-EXP(-up_RadSpec!BA12*s_t_v)))/(s_Y_v*up_RadSpec!BA12))),".")</f>
        <v>9.0143481925428208</v>
      </c>
      <c r="BD12" s="108">
        <f>IFERROR(IF(up_Bv!F12=0,".",((s_Ir*s_F*s_I_f*s_T*(1-EXP(-up_RadSpec!BA12*s_t_v)))/(s_Y_v*up_RadSpec!BA12))),".")</f>
        <v>9.0143481925428208</v>
      </c>
      <c r="BE12" s="108">
        <f>IFERROR(IF(up_Bv!G12=0,".",((s_Ir*s_F*s_I_f*s_T*(1-EXP(-up_RadSpec!BA12*s_t_v)))/(s_Y_v*up_RadSpec!BA12))),".")</f>
        <v>9.0143481925428208</v>
      </c>
      <c r="BF12" s="108">
        <f>IFERROR(IF(up_Bv!H12=0,".",((s_Ir*s_F*s_I_f*s_T*(1-EXP(-up_RadSpec!BA12*s_t_v)))/(s_Y_v*up_RadSpec!BA12))),".")</f>
        <v>9.0143481925428208</v>
      </c>
      <c r="BG12" s="108">
        <f>IFERROR(IF(up_Bv!I12=0,".",((s_Ir*s_F*s_I_f*s_T*(1-EXP(-up_RadSpec!BA12*s_t_v)))/(s_Y_v*up_RadSpec!BA12))),".")</f>
        <v>9.0143481925428208</v>
      </c>
      <c r="BH12" s="108">
        <f>IFERROR(IF(up_Bv!J12=0,".",((s_Ir*s_F*s_I_f*s_T*(1-EXP(-up_RadSpec!BA12*s_t_v)))/(s_Y_v*up_RadSpec!BA12))),".")</f>
        <v>9.0143481925428208</v>
      </c>
      <c r="BI12" s="108">
        <f>IFERROR(IF(up_Bv!K12=0,".",((s_Ir*s_F*s_I_f*s_T*(1-EXP(-up_RadSpec!BA12*s_t_v)))/(s_Y_v*up_RadSpec!BA12))),".")</f>
        <v>9.0143481925428208</v>
      </c>
      <c r="BJ12" s="108">
        <f>IFERROR(IF(up_Bv!L12=0,".",((s_Ir*s_F*s_I_f*s_T*(1-EXP(-up_RadSpec!BA12*s_t_v)))/(s_Y_v*up_RadSpec!BA12))),".")</f>
        <v>9.0143481925428208</v>
      </c>
      <c r="BK12" s="108">
        <f>IFERROR(IF(up_Bv!M12=0,".",((s_Ir*s_F*s_I_f*s_T*(1-EXP(-up_RadSpec!BA12*s_t_v)))/(s_Y_v*up_RadSpec!BA12))),".")</f>
        <v>9.0143481925428208</v>
      </c>
      <c r="BL12" s="108">
        <f>IFERROR(IF(up_Bv!N12=0,".",((s_Ir*s_F*s_I_f*s_T*(1-EXP(-up_RadSpec!BA12*s_t_v)))/(s_Y_v*up_RadSpec!BA12))),".")</f>
        <v>9.0143481925428208</v>
      </c>
      <c r="BM12" s="108">
        <f>IFERROR(IF(up_Bv!O12=0,".",((s_Ir*s_F*s_I_f*s_T*(1-EXP(-up_RadSpec!BA12*s_t_v)))/(s_Y_v*up_RadSpec!BA12))),".")</f>
        <v>9.0143481925428208</v>
      </c>
      <c r="BN12" s="108">
        <f>IFERROR(IF(up_Bv!P12=0,".",((s_Ir*s_F*s_I_f*s_T*(1-EXP(-up_RadSpec!BA12*s_t_v)))/(s_Y_v*up_RadSpec!BA12))),".")</f>
        <v>9.0143481925428208</v>
      </c>
      <c r="BO12" s="108">
        <f>IFERROR(IF(up_Bv!Q12=0,".",((s_Ir*s_F*s_I_f*s_T*(1-EXP(-up_RadSpec!BA12*s_t_v)))/(s_Y_v*up_RadSpec!BA12))),".")</f>
        <v>9.0143481925428208</v>
      </c>
      <c r="BP12" s="108">
        <f>IFERROR(IF(up_Bv!R12=0,".",((s_Ir*s_F*s_I_f*s_T*(1-EXP(-up_RadSpec!BA12*s_t_v)))/(s_Y_v*up_RadSpec!BA12))),".")</f>
        <v>9.0143481925428208</v>
      </c>
      <c r="BQ12" s="108">
        <f>IFERROR(IF(up_Bv!S12=0,".",((s_Ir*s_F*s_I_f*s_T*(1-EXP(-up_RadSpec!BA12*s_t_v)))/(s_Y_v*up_RadSpec!BA12))),".")</f>
        <v>9.0143481925428208</v>
      </c>
      <c r="BR12" s="108">
        <f>IFERROR(IF(up_Bv!T12=0,".",((s_Ir*s_F*s_I_f*s_T*(1-EXP(-up_RadSpec!BA12*s_t_v)))/(s_Y_v*up_RadSpec!BA12))),".")</f>
        <v>9.0143481925428208</v>
      </c>
      <c r="BS12" s="108">
        <f>IFERROR(IF(up_Bv!U12=0,".",((s_Ir*s_F*s_I_f*s_T*(1-EXP(-up_RadSpec!BA12*s_t_v)))/(s_Y_v*up_RadSpec!BA12))),".")</f>
        <v>9.0143481925428208</v>
      </c>
      <c r="BT12" s="108">
        <f>IFERROR(IF(up_Bv!V12=0,".",((s_Ir*s_F*s_I_f*s_T*(1-EXP(-up_RadSpec!BA12*s_t_v)))/(s_Y_v*up_RadSpec!BA12))),".")</f>
        <v>9.0143481925428208</v>
      </c>
      <c r="BU12" s="108">
        <f>IFERROR(IF(up_Bv!W12=0,".",((s_Ir*s_F*s_I_f*s_T*(1-EXP(-up_RadSpec!BA12*s_t_v)))/(s_Y_v*up_RadSpec!BA12))),".")</f>
        <v>9.0143481925428208</v>
      </c>
      <c r="BV12" s="108">
        <f>IFERROR(IF(up_Bv!X12=0,".",((s_Ir*s_F*s_I_f*s_T*(1-EXP(-up_RadSpec!BA12*s_t_v)))/(s_Y_v*up_RadSpec!BA12))),".")</f>
        <v>9.0143481925428208</v>
      </c>
      <c r="BW12" s="108">
        <f>IFERROR(IF(up_Bv!Y12=0,".",((s_Ir*s_F*s_I_f*s_T*(1-EXP(-up_RadSpec!BA12*s_t_v)))/(s_Y_v*up_RadSpec!BA12))),".")</f>
        <v>9.0143481925428208</v>
      </c>
      <c r="BX12" s="108">
        <f>IFERROR(IF(up_Bv!Z12=0,".",((s_Ir*s_F*s_I_f*s_T*(1-EXP(-up_RadSpec!BA12*s_t_v)))/(s_Y_v*up_RadSpec!BA12))),".")</f>
        <v>9.0143481925428208</v>
      </c>
      <c r="BY12" s="108">
        <f>IFERROR(IF(up_Bv!AA12=0,".",((s_Ir*s_F*s_I_f*s_T*(1-EXP(-up_RadSpec!BA12*s_t_v)))/(s_Y_v*up_RadSpec!BA12))),".")</f>
        <v>9.0143481925428208</v>
      </c>
    </row>
    <row r="13" spans="1:77" x14ac:dyDescent="0.25">
      <c r="A13" s="44" t="s">
        <v>11</v>
      </c>
      <c r="B13" s="42" t="s">
        <v>1057</v>
      </c>
      <c r="C13" s="108">
        <f>IFERROR(IF(up_Bv!C13=0,".",((s_Ir*s_F*up_Bv!C13*(1-EXP(-up_RadSpec!$AZ13*s_t_b)))/(s_P*up_RadSpec!$AZ13))),".")</f>
        <v>993.50362303732038</v>
      </c>
      <c r="D13" s="108">
        <f>IFERROR(IF(up_Bv!D13=0,".",((s_Ir*s_F*up_Bv!D13*(1-EXP(-up_RadSpec!AZ13*s_t_b)))/(s_P*up_RadSpec!AZ13))),".")</f>
        <v>993.50362303732038</v>
      </c>
      <c r="E13" s="108">
        <f>IFERROR(IF(up_Bv!E13=0,".",((s_Ir*s_F*up_Bv!E13*(1-EXP(-up_RadSpec!AZ13*s_t_b)))/(s_P*up_RadSpec!AZ13))),".")</f>
        <v>993.50362303732038</v>
      </c>
      <c r="F13" s="108">
        <f>IFERROR(IF(up_Bv!F13=0,".",((s_Ir*s_F*up_Bv!F13*(1-EXP(-up_RadSpec!AZ13*s_t_b)))/(s_P*up_RadSpec!AZ13))),".")</f>
        <v>993.50362303732038</v>
      </c>
      <c r="G13" s="108">
        <f>IFERROR(IF(up_Bv!G13=0,".",((s_Ir*s_F*up_Bv!G13*(1-EXP(-up_RadSpec!AZ13*s_t_b)))/(s_P*up_RadSpec!AZ13))),".")</f>
        <v>993.50362303732038</v>
      </c>
      <c r="H13" s="108">
        <f>IFERROR(IF(up_Bv!H13=0,".",((s_Ir*s_F*up_Bv!H13*(1-EXP(-up_RadSpec!AZ13*s_t_b)))/(s_P*up_RadSpec!AZ13))),".")</f>
        <v>993.50362303732038</v>
      </c>
      <c r="I13" s="108">
        <f>IFERROR(IF(up_Bv!I13=0,".",((s_Ir*s_F*up_Bv!I13*(1-EXP(-up_RadSpec!AZ13*s_t_b)))/(s_P*up_RadSpec!AZ13))),".")</f>
        <v>993.50362303732038</v>
      </c>
      <c r="J13" s="108">
        <f>IFERROR(IF(up_Bv!J13=0,".",((s_Ir*s_F*up_Bv!J13*(1-EXP(-up_RadSpec!AZ13*s_t_b)))/(s_P*up_RadSpec!AZ13))),".")</f>
        <v>993.50362303732038</v>
      </c>
      <c r="K13" s="108">
        <f>IFERROR(IF(up_Bv!K13=0,".",((s_Ir*s_F*up_Bv!K13*(1-EXP(-up_RadSpec!AZ13*s_t_b)))/(s_P*up_RadSpec!AZ13))),".")</f>
        <v>993.50362303732038</v>
      </c>
      <c r="L13" s="108">
        <f>IFERROR(IF(up_Bv!L13=0,".",((s_Ir*s_F*up_Bv!L13*(1-EXP(-up_RadSpec!AZ13*s_t_b)))/(s_P*up_RadSpec!AZ13))),".")</f>
        <v>993.50362303732038</v>
      </c>
      <c r="M13" s="108">
        <f>IFERROR(IF(up_Bv!M13=0,".",((s_Ir*s_F*up_Bv!M13*(1-EXP(-up_RadSpec!AZ13*s_t_b)))/(s_P*up_RadSpec!AZ13))),".")</f>
        <v>993.50362303732038</v>
      </c>
      <c r="N13" s="108">
        <f>IFERROR(IF(up_Bv!N13=0,".",((s_Ir*s_F*up_Bv!N13*(1-EXP(-up_RadSpec!AZ13*s_t_b)))/(s_P*up_RadSpec!AZ13))),".")</f>
        <v>993.50362303732038</v>
      </c>
      <c r="O13" s="108">
        <f>IFERROR(IF(up_Bv!O13=0,".",((s_Ir*s_F*up_Bv!O13*(1-EXP(-up_RadSpec!AZ13*s_t_b)))/(s_P*up_RadSpec!AZ13))),".")</f>
        <v>993.50362303732038</v>
      </c>
      <c r="P13" s="108">
        <f>IFERROR(IF(up_Bv!P13=0,".",((s_Ir*s_F*up_Bv!P13*(1-EXP(-up_RadSpec!AZ13*s_t_b)))/(s_P*up_RadSpec!AZ13))),".")</f>
        <v>993.50362303732038</v>
      </c>
      <c r="Q13" s="108">
        <f>IFERROR(IF(up_Bv!Q13=0,".",((s_Ir*s_F*up_Bv!Q13*(1-EXP(-up_RadSpec!AZ13*s_t_b)))/(s_P*up_RadSpec!AZ13))),".")</f>
        <v>993.50362303732038</v>
      </c>
      <c r="R13" s="108">
        <f>IFERROR(IF(up_Bv!R13=0,".",((s_Ir*s_F*up_Bv!R13*(1-EXP(-up_RadSpec!AZ13*s_t_b)))/(s_P*up_RadSpec!AZ13))),".")</f>
        <v>993.50362303732038</v>
      </c>
      <c r="S13" s="108">
        <f>IFERROR(IF(up_Bv!S13=0,".",((s_Ir*s_F*up_Bv!S13*(1-EXP(-up_RadSpec!AZ13*s_t_b)))/(s_P*up_RadSpec!AZ13))),".")</f>
        <v>993.50362303732038</v>
      </c>
      <c r="T13" s="108">
        <f>IFERROR(IF(up_Bv!T13=0,".",((s_Ir*s_F*up_Bv!T13*(1-EXP(-up_RadSpec!AZ13*s_t_b)))/(s_P*up_RadSpec!AZ13))),".")</f>
        <v>993.50362303732038</v>
      </c>
      <c r="U13" s="108">
        <f>IFERROR(IF(up_Bv!U13=0,".",((s_Ir*s_F*up_Bv!U13*(1-EXP(-up_RadSpec!AZ13*s_t_b)))/(s_P*up_RadSpec!AZ13))),".")</f>
        <v>993.50362303732038</v>
      </c>
      <c r="V13" s="108">
        <f>IFERROR(IF(up_Bv!V13=0,".",((s_Ir*s_F*up_Bv!V13*(1-EXP(-up_RadSpec!AZ13*s_t_b)))/(s_P*up_RadSpec!AZ13))),".")</f>
        <v>993.50362303732038</v>
      </c>
      <c r="W13" s="108">
        <f>IFERROR(IF(up_Bv!W13=0,".",((s_Ir*s_F*up_Bv!W13*(1-EXP(-up_RadSpec!AZ13*s_t_b)))/(s_P*up_RadSpec!AZ13))),".")</f>
        <v>993.50362303732038</v>
      </c>
      <c r="X13" s="108">
        <f>IFERROR(IF(up_Bv!X13=0,".",((s_Ir*s_F*up_Bv!X13*(1-EXP(-up_RadSpec!AZ13*s_t_b)))/(s_P*up_RadSpec!AZ13))),".")</f>
        <v>993.50362303732038</v>
      </c>
      <c r="Y13" s="108">
        <f>IFERROR(IF(up_Bv!Y13=0,".",((s_Ir*s_F*up_Bv!Y13*(1-EXP(-up_RadSpec!AZ13*s_t_b)))/(s_P*up_RadSpec!AZ13))),".")</f>
        <v>993.50362303732038</v>
      </c>
      <c r="Z13" s="108">
        <f>IFERROR(IF(up_Bv!Z13=0,".",((s_Ir*s_F*up_Bv!Z13*(1-EXP(-up_RadSpec!AZ13*s_t_b)))/(s_P*up_RadSpec!AZ13))),".")</f>
        <v>993.50362303732038</v>
      </c>
      <c r="AA13" s="108">
        <f>IFERROR(IF(up_Bv!AA13=0,".",((s_Ir*s_F*up_Bv!AA13*(1-EXP(-up_RadSpec!AZ13*s_t_b)))/(s_P*up_RadSpec!AZ13))),".")</f>
        <v>993.50362303732038</v>
      </c>
      <c r="AB13" s="108">
        <f>IFERROR(IF(up_Bv!C13=0,".",((s_Ir*s_F*s_MLF_apple*(1-EXP(-up_RadSpec!AZ13*s_t_b)))/(s_P*up_RadSpec!AZ13))),".")</f>
        <v>2.6824597822007652</v>
      </c>
      <c r="AC13" s="108">
        <f>IFERROR(IF(up_Bv!D13=0,".",((s_Ir*s_F*s_MLF_asparagus*(1-EXP(-up_RadSpec!AZ13*s_t_b)))/(s_P*up_RadSpec!AZ13))),".")</f>
        <v>2.6824597822007652</v>
      </c>
      <c r="AD13" s="108">
        <f>IFERROR(IF(up_Bv!E13=0,".",((s_Ir*s_F*s_MLF_beet*(1-EXP(-up_RadSpec!AZ13*s_t_b)))/(s_P*up_RadSpec!AZ13))),".")</f>
        <v>2.6824597822007652</v>
      </c>
      <c r="AE13" s="108">
        <f>IFERROR(IF(up_Bv!F13=0,".",((s_Ir*s_F*s_MLF_berries*(1-EXP(-up_RadSpec!AZ13*s_t_b)))/(s_P*up_RadSpec!AZ13))),".")</f>
        <v>2.6824597822007652</v>
      </c>
      <c r="AF13" s="108">
        <f>IFERROR(IF(up_Bv!G13=0,".",((s_Ir*s_F*s_MLF_broccoli*(1-EXP(-up_RadSpec!AZ13*s_t_b)))/(s_P*up_RadSpec!AZ13))),".")</f>
        <v>2.6824597822007652</v>
      </c>
      <c r="AG13" s="108">
        <f>IFERROR(IF(up_Bv!H13=0,".",((s_Ir*s_F*s_MLF_cabbage*(1-EXP(-up_RadSpec!AZ13*s_t_b)))/(s_P*up_RadSpec!AZ13))),".")</f>
        <v>2.6824597822007652</v>
      </c>
      <c r="AH13" s="108">
        <f>IFERROR(IF(up_Bv!I13=0,".",((s_Ir*s_F*s_MLF_carrot*(1-EXP(-up_RadSpec!AZ13*s_t_b)))/(s_P*up_RadSpec!AZ13))),".")</f>
        <v>2.6824597822007652</v>
      </c>
      <c r="AI13" s="108">
        <f>IFERROR(IF(up_Bv!J13=0,".",((s_Ir*s_F*s_MLF_citrus*(1-EXP(-up_RadSpec!AZ13*s_t_b)))/(s_P*up_RadSpec!AZ13))),".")</f>
        <v>2.6824597822007652</v>
      </c>
      <c r="AJ13" s="108">
        <f>IFERROR(IF(up_Bv!K13=0,".",((s_Ir*s_F*s_MLF_corn*(1-EXP(-up_RadSpec!AZ13*s_t_b)))/(s_P*up_RadSpec!AZ13))),".")</f>
        <v>2.6824597822007652</v>
      </c>
      <c r="AK13" s="108">
        <f>IFERROR(IF(up_Bv!L13=0,".",((s_Ir*s_F*s_MLF_cucumber*(1-EXP(-up_RadSpec!AZ13*s_t_b)))/(s_P*up_RadSpec!AZ13))),".")</f>
        <v>2.6824597822007652</v>
      </c>
      <c r="AL13" s="108">
        <f>IFERROR(IF(up_Bv!M13=0,".",((s_Ir*s_F*s_MLF_lettuce*(1-EXP(-up_RadSpec!AZ13*s_t_b)))/(s_P*up_RadSpec!AZ13))),".")</f>
        <v>2.6824597822007652</v>
      </c>
      <c r="AM13" s="108">
        <f>IFERROR(IF(up_Bv!N13=0,".",((s_Ir*s_F*s_MLF_lima_bean*(1-EXP(-up_RadSpec!AZ13*s_t_b)))/(s_P*up_RadSpec!AZ13))),".")</f>
        <v>2.6824597822007652</v>
      </c>
      <c r="AN13" s="108">
        <f>IFERROR(IF(up_Bv!O13=0,".",((s_Ir*s_F*s_MLF_okra*(1-EXP(-up_RadSpec!AZ13*s_t_b)))/(s_P*up_RadSpec!AZ13))),".")</f>
        <v>2.6824597822007652</v>
      </c>
      <c r="AO13" s="108">
        <f>IFERROR(IF(up_Bv!P13=0,".",((s_Ir*s_F*s_MLF_onion*(1-EXP(-up_RadSpec!AZ13*s_t_b)))/(s_P*up_RadSpec!AZ13))),".")</f>
        <v>2.6824597822007652</v>
      </c>
      <c r="AP13" s="108">
        <f>IFERROR(IF(up_Bv!Q13=0,".",((s_Ir*s_F*s_MLF_peach*(1-EXP(-up_RadSpec!AZ13*s_t_b)))/(s_P*up_RadSpec!AZ13))),".")</f>
        <v>2.6824597822007652</v>
      </c>
      <c r="AQ13" s="108">
        <f>IFERROR(IF(up_Bv!R13=0,".",((s_Ir*s_F*s_MLF_pear*(1-EXP(-up_RadSpec!AZ13*s_t_b)))/(s_P*up_RadSpec!AZ13))),".")</f>
        <v>2.6824597822007652</v>
      </c>
      <c r="AR13" s="108">
        <f>IFERROR(IF(up_Bv!S13=0,".",((s_Ir*s_F*s_MLF_peas*(1-EXP(-up_RadSpec!AZ13*s_t_b)))/(s_P*up_RadSpec!AZ13))),".")</f>
        <v>2.6824597822007652</v>
      </c>
      <c r="AS13" s="108">
        <f>IFERROR(IF(up_Bv!T13=0,".",((s_Ir*s_F*s_MLF_peppers*(1-EXP(-up_RadSpec!AZ13*s_t_b)))/(s_P*up_RadSpec!AZ13))),".")</f>
        <v>2.6824597822007652</v>
      </c>
      <c r="AT13" s="108">
        <f>IFERROR(IF(up_Bv!U13=0,".",((s_Ir*s_F*s_MLF_potato*(1-EXP(-up_RadSpec!AZ13*s_t_b)))/(s_P*up_RadSpec!AZ13))),".")</f>
        <v>2.6824597822007652</v>
      </c>
      <c r="AU13" s="108">
        <f>IFERROR(IF(up_Bv!V13=0,".",((s_Ir*s_F*s_MLF_pumpkin*(1-EXP(-up_RadSpec!AZ13*s_t_b)))/(s_P*up_RadSpec!AZ13))),".")</f>
        <v>2.6824597822007652</v>
      </c>
      <c r="AV13" s="108">
        <f>IFERROR(IF(up_Bv!W13=0,".",((s_Ir*s_F*s_MLF_snap_bean*(1-EXP(-up_RadSpec!AZ13*s_t_b)))/(s_P*up_RadSpec!AZ13))),".")</f>
        <v>2.6824597822007652</v>
      </c>
      <c r="AW13" s="108">
        <f>IFERROR(IF(up_Bv!X13=0,".",((s_Ir*s_F*s_MLF_strawberry*(1-EXP(-up_RadSpec!AZ13*s_t_b)))/(s_P*up_RadSpec!AZ13))),".")</f>
        <v>2.6824597822007652</v>
      </c>
      <c r="AX13" s="108">
        <f>IFERROR(IF(up_Bv!Y13=0,".",((s_Ir*s_F*s_MLF_tomato*(1-EXP(-up_RadSpec!AZ13*s_t_b)))/(s_P*up_RadSpec!AZ13))),".")</f>
        <v>2.6824597822007652</v>
      </c>
      <c r="AY13" s="108">
        <f>IFERROR(IF(up_Bv!Z13=0,".",((s_Ir*s_F*s_MLF_rice*(1-EXP(-up_RadSpec!AZ13*s_t_b)))/(s_P*up_RadSpec!AZ13))),".")</f>
        <v>2.6824597822007652</v>
      </c>
      <c r="AZ13" s="108">
        <f>IFERROR(IF(up_Bv!AA13=0,".",((s_Ir*s_F*s_MLF_cereal*(1-EXP(-up_RadSpec!AZ13*s_t_b)))/(s_P*up_RadSpec!AZ13))),".")</f>
        <v>2.6824597822007652</v>
      </c>
      <c r="BA13" s="108">
        <f>IFERROR(IF(up_Bv!C13=0,".",((s_Ir*s_F*s_I_f*s_T*(1-EXP(-up_RadSpec!BA13*s_t_v)))/(s_Y_v*up_RadSpec!BA13))),".")</f>
        <v>9.0143481925428208</v>
      </c>
      <c r="BB13" s="108">
        <f>IFERROR(IF(up_Bv!D13=0,".",((s_Ir*s_F*s_I_f*s_T*(1-EXP(-up_RadSpec!BA13*s_t_v)))/(s_Y_v*up_RadSpec!BA13))),".")</f>
        <v>9.0143481925428208</v>
      </c>
      <c r="BC13" s="108">
        <f>IFERROR(IF(up_Bv!E13=0,".",((s_Ir*s_F*s_I_f*s_T*(1-EXP(-up_RadSpec!BA13*s_t_v)))/(s_Y_v*up_RadSpec!BA13))),".")</f>
        <v>9.0143481925428208</v>
      </c>
      <c r="BD13" s="108">
        <f>IFERROR(IF(up_Bv!F13=0,".",((s_Ir*s_F*s_I_f*s_T*(1-EXP(-up_RadSpec!BA13*s_t_v)))/(s_Y_v*up_RadSpec!BA13))),".")</f>
        <v>9.0143481925428208</v>
      </c>
      <c r="BE13" s="108">
        <f>IFERROR(IF(up_Bv!G13=0,".",((s_Ir*s_F*s_I_f*s_T*(1-EXP(-up_RadSpec!BA13*s_t_v)))/(s_Y_v*up_RadSpec!BA13))),".")</f>
        <v>9.0143481925428208</v>
      </c>
      <c r="BF13" s="108">
        <f>IFERROR(IF(up_Bv!H13=0,".",((s_Ir*s_F*s_I_f*s_T*(1-EXP(-up_RadSpec!BA13*s_t_v)))/(s_Y_v*up_RadSpec!BA13))),".")</f>
        <v>9.0143481925428208</v>
      </c>
      <c r="BG13" s="108">
        <f>IFERROR(IF(up_Bv!I13=0,".",((s_Ir*s_F*s_I_f*s_T*(1-EXP(-up_RadSpec!BA13*s_t_v)))/(s_Y_v*up_RadSpec!BA13))),".")</f>
        <v>9.0143481925428208</v>
      </c>
      <c r="BH13" s="108">
        <f>IFERROR(IF(up_Bv!J13=0,".",((s_Ir*s_F*s_I_f*s_T*(1-EXP(-up_RadSpec!BA13*s_t_v)))/(s_Y_v*up_RadSpec!BA13))),".")</f>
        <v>9.0143481925428208</v>
      </c>
      <c r="BI13" s="108">
        <f>IFERROR(IF(up_Bv!K13=0,".",((s_Ir*s_F*s_I_f*s_T*(1-EXP(-up_RadSpec!BA13*s_t_v)))/(s_Y_v*up_RadSpec!BA13))),".")</f>
        <v>9.0143481925428208</v>
      </c>
      <c r="BJ13" s="108">
        <f>IFERROR(IF(up_Bv!L13=0,".",((s_Ir*s_F*s_I_f*s_T*(1-EXP(-up_RadSpec!BA13*s_t_v)))/(s_Y_v*up_RadSpec!BA13))),".")</f>
        <v>9.0143481925428208</v>
      </c>
      <c r="BK13" s="108">
        <f>IFERROR(IF(up_Bv!M13=0,".",((s_Ir*s_F*s_I_f*s_T*(1-EXP(-up_RadSpec!BA13*s_t_v)))/(s_Y_v*up_RadSpec!BA13))),".")</f>
        <v>9.0143481925428208</v>
      </c>
      <c r="BL13" s="108">
        <f>IFERROR(IF(up_Bv!N13=0,".",((s_Ir*s_F*s_I_f*s_T*(1-EXP(-up_RadSpec!BA13*s_t_v)))/(s_Y_v*up_RadSpec!BA13))),".")</f>
        <v>9.0143481925428208</v>
      </c>
      <c r="BM13" s="108">
        <f>IFERROR(IF(up_Bv!O13=0,".",((s_Ir*s_F*s_I_f*s_T*(1-EXP(-up_RadSpec!BA13*s_t_v)))/(s_Y_v*up_RadSpec!BA13))),".")</f>
        <v>9.0143481925428208</v>
      </c>
      <c r="BN13" s="108">
        <f>IFERROR(IF(up_Bv!P13=0,".",((s_Ir*s_F*s_I_f*s_T*(1-EXP(-up_RadSpec!BA13*s_t_v)))/(s_Y_v*up_RadSpec!BA13))),".")</f>
        <v>9.0143481925428208</v>
      </c>
      <c r="BO13" s="108">
        <f>IFERROR(IF(up_Bv!Q13=0,".",((s_Ir*s_F*s_I_f*s_T*(1-EXP(-up_RadSpec!BA13*s_t_v)))/(s_Y_v*up_RadSpec!BA13))),".")</f>
        <v>9.0143481925428208</v>
      </c>
      <c r="BP13" s="108">
        <f>IFERROR(IF(up_Bv!R13=0,".",((s_Ir*s_F*s_I_f*s_T*(1-EXP(-up_RadSpec!BA13*s_t_v)))/(s_Y_v*up_RadSpec!BA13))),".")</f>
        <v>9.0143481925428208</v>
      </c>
      <c r="BQ13" s="108">
        <f>IFERROR(IF(up_Bv!S13=0,".",((s_Ir*s_F*s_I_f*s_T*(1-EXP(-up_RadSpec!BA13*s_t_v)))/(s_Y_v*up_RadSpec!BA13))),".")</f>
        <v>9.0143481925428208</v>
      </c>
      <c r="BR13" s="108">
        <f>IFERROR(IF(up_Bv!T13=0,".",((s_Ir*s_F*s_I_f*s_T*(1-EXP(-up_RadSpec!BA13*s_t_v)))/(s_Y_v*up_RadSpec!BA13))),".")</f>
        <v>9.0143481925428208</v>
      </c>
      <c r="BS13" s="108">
        <f>IFERROR(IF(up_Bv!U13=0,".",((s_Ir*s_F*s_I_f*s_T*(1-EXP(-up_RadSpec!BA13*s_t_v)))/(s_Y_v*up_RadSpec!BA13))),".")</f>
        <v>9.0143481925428208</v>
      </c>
      <c r="BT13" s="108">
        <f>IFERROR(IF(up_Bv!V13=0,".",((s_Ir*s_F*s_I_f*s_T*(1-EXP(-up_RadSpec!BA13*s_t_v)))/(s_Y_v*up_RadSpec!BA13))),".")</f>
        <v>9.0143481925428208</v>
      </c>
      <c r="BU13" s="108">
        <f>IFERROR(IF(up_Bv!W13=0,".",((s_Ir*s_F*s_I_f*s_T*(1-EXP(-up_RadSpec!BA13*s_t_v)))/(s_Y_v*up_RadSpec!BA13))),".")</f>
        <v>9.0143481925428208</v>
      </c>
      <c r="BV13" s="108">
        <f>IFERROR(IF(up_Bv!X13=0,".",((s_Ir*s_F*s_I_f*s_T*(1-EXP(-up_RadSpec!BA13*s_t_v)))/(s_Y_v*up_RadSpec!BA13))),".")</f>
        <v>9.0143481925428208</v>
      </c>
      <c r="BW13" s="108">
        <f>IFERROR(IF(up_Bv!Y13=0,".",((s_Ir*s_F*s_I_f*s_T*(1-EXP(-up_RadSpec!BA13*s_t_v)))/(s_Y_v*up_RadSpec!BA13))),".")</f>
        <v>9.0143481925428208</v>
      </c>
      <c r="BX13" s="108">
        <f>IFERROR(IF(up_Bv!Z13=0,".",((s_Ir*s_F*s_I_f*s_T*(1-EXP(-up_RadSpec!BA13*s_t_v)))/(s_Y_v*up_RadSpec!BA13))),".")</f>
        <v>9.0143481925428208</v>
      </c>
      <c r="BY13" s="108">
        <f>IFERROR(IF(up_Bv!AA13=0,".",((s_Ir*s_F*s_I_f*s_T*(1-EXP(-up_RadSpec!BA13*s_t_v)))/(s_Y_v*up_RadSpec!BA13))),".")</f>
        <v>9.0143481925428208</v>
      </c>
    </row>
    <row r="14" spans="1:77" x14ac:dyDescent="0.25">
      <c r="A14" s="44" t="s">
        <v>12</v>
      </c>
      <c r="B14" s="42" t="s">
        <v>1057</v>
      </c>
      <c r="C14" s="108">
        <f>IFERROR(IF(up_Bv!C14=0,".",((s_Ir*s_F*up_Bv!C14*(1-EXP(-up_RadSpec!$AZ14*s_t_b)))/(s_P*up_RadSpec!$AZ14))),".")</f>
        <v>993.50362303732038</v>
      </c>
      <c r="D14" s="108">
        <f>IFERROR(IF(up_Bv!D14=0,".",((s_Ir*s_F*up_Bv!D14*(1-EXP(-up_RadSpec!AZ14*s_t_b)))/(s_P*up_RadSpec!AZ14))),".")</f>
        <v>993.50362303732038</v>
      </c>
      <c r="E14" s="108">
        <f>IFERROR(IF(up_Bv!E14=0,".",((s_Ir*s_F*up_Bv!E14*(1-EXP(-up_RadSpec!AZ14*s_t_b)))/(s_P*up_RadSpec!AZ14))),".")</f>
        <v>993.50362303732038</v>
      </c>
      <c r="F14" s="108">
        <f>IFERROR(IF(up_Bv!F14=0,".",((s_Ir*s_F*up_Bv!F14*(1-EXP(-up_RadSpec!AZ14*s_t_b)))/(s_P*up_RadSpec!AZ14))),".")</f>
        <v>993.50362303732038</v>
      </c>
      <c r="G14" s="108">
        <f>IFERROR(IF(up_Bv!G14=0,".",((s_Ir*s_F*up_Bv!G14*(1-EXP(-up_RadSpec!AZ14*s_t_b)))/(s_P*up_RadSpec!AZ14))),".")</f>
        <v>993.50362303732038</v>
      </c>
      <c r="H14" s="108">
        <f>IFERROR(IF(up_Bv!H14=0,".",((s_Ir*s_F*up_Bv!H14*(1-EXP(-up_RadSpec!AZ14*s_t_b)))/(s_P*up_RadSpec!AZ14))),".")</f>
        <v>993.50362303732038</v>
      </c>
      <c r="I14" s="108">
        <f>IFERROR(IF(up_Bv!I14=0,".",((s_Ir*s_F*up_Bv!I14*(1-EXP(-up_RadSpec!AZ14*s_t_b)))/(s_P*up_RadSpec!AZ14))),".")</f>
        <v>993.50362303732038</v>
      </c>
      <c r="J14" s="108">
        <f>IFERROR(IF(up_Bv!J14=0,".",((s_Ir*s_F*up_Bv!J14*(1-EXP(-up_RadSpec!AZ14*s_t_b)))/(s_P*up_RadSpec!AZ14))),".")</f>
        <v>993.50362303732038</v>
      </c>
      <c r="K14" s="108">
        <f>IFERROR(IF(up_Bv!K14=0,".",((s_Ir*s_F*up_Bv!K14*(1-EXP(-up_RadSpec!AZ14*s_t_b)))/(s_P*up_RadSpec!AZ14))),".")</f>
        <v>993.50362303732038</v>
      </c>
      <c r="L14" s="108">
        <f>IFERROR(IF(up_Bv!L14=0,".",((s_Ir*s_F*up_Bv!L14*(1-EXP(-up_RadSpec!AZ14*s_t_b)))/(s_P*up_RadSpec!AZ14))),".")</f>
        <v>993.50362303732038</v>
      </c>
      <c r="M14" s="108">
        <f>IFERROR(IF(up_Bv!M14=0,".",((s_Ir*s_F*up_Bv!M14*(1-EXP(-up_RadSpec!AZ14*s_t_b)))/(s_P*up_RadSpec!AZ14))),".")</f>
        <v>993.50362303732038</v>
      </c>
      <c r="N14" s="108">
        <f>IFERROR(IF(up_Bv!N14=0,".",((s_Ir*s_F*up_Bv!N14*(1-EXP(-up_RadSpec!AZ14*s_t_b)))/(s_P*up_RadSpec!AZ14))),".")</f>
        <v>993.50362303732038</v>
      </c>
      <c r="O14" s="108">
        <f>IFERROR(IF(up_Bv!O14=0,".",((s_Ir*s_F*up_Bv!O14*(1-EXP(-up_RadSpec!AZ14*s_t_b)))/(s_P*up_RadSpec!AZ14))),".")</f>
        <v>993.50362303732038</v>
      </c>
      <c r="P14" s="108">
        <f>IFERROR(IF(up_Bv!P14=0,".",((s_Ir*s_F*up_Bv!P14*(1-EXP(-up_RadSpec!AZ14*s_t_b)))/(s_P*up_RadSpec!AZ14))),".")</f>
        <v>993.50362303732038</v>
      </c>
      <c r="Q14" s="108">
        <f>IFERROR(IF(up_Bv!Q14=0,".",((s_Ir*s_F*up_Bv!Q14*(1-EXP(-up_RadSpec!AZ14*s_t_b)))/(s_P*up_RadSpec!AZ14))),".")</f>
        <v>993.50362303732038</v>
      </c>
      <c r="R14" s="108">
        <f>IFERROR(IF(up_Bv!R14=0,".",((s_Ir*s_F*up_Bv!R14*(1-EXP(-up_RadSpec!AZ14*s_t_b)))/(s_P*up_RadSpec!AZ14))),".")</f>
        <v>993.50362303732038</v>
      </c>
      <c r="S14" s="108">
        <f>IFERROR(IF(up_Bv!S14=0,".",((s_Ir*s_F*up_Bv!S14*(1-EXP(-up_RadSpec!AZ14*s_t_b)))/(s_P*up_RadSpec!AZ14))),".")</f>
        <v>993.50362303732038</v>
      </c>
      <c r="T14" s="108">
        <f>IFERROR(IF(up_Bv!T14=0,".",((s_Ir*s_F*up_Bv!T14*(1-EXP(-up_RadSpec!AZ14*s_t_b)))/(s_P*up_RadSpec!AZ14))),".")</f>
        <v>993.50362303732038</v>
      </c>
      <c r="U14" s="108">
        <f>IFERROR(IF(up_Bv!U14=0,".",((s_Ir*s_F*up_Bv!U14*(1-EXP(-up_RadSpec!AZ14*s_t_b)))/(s_P*up_RadSpec!AZ14))),".")</f>
        <v>993.50362303732038</v>
      </c>
      <c r="V14" s="108">
        <f>IFERROR(IF(up_Bv!V14=0,".",((s_Ir*s_F*up_Bv!V14*(1-EXP(-up_RadSpec!AZ14*s_t_b)))/(s_P*up_RadSpec!AZ14))),".")</f>
        <v>993.50362303732038</v>
      </c>
      <c r="W14" s="108">
        <f>IFERROR(IF(up_Bv!W14=0,".",((s_Ir*s_F*up_Bv!W14*(1-EXP(-up_RadSpec!AZ14*s_t_b)))/(s_P*up_RadSpec!AZ14))),".")</f>
        <v>993.50362303732038</v>
      </c>
      <c r="X14" s="108">
        <f>IFERROR(IF(up_Bv!X14=0,".",((s_Ir*s_F*up_Bv!X14*(1-EXP(-up_RadSpec!AZ14*s_t_b)))/(s_P*up_RadSpec!AZ14))),".")</f>
        <v>993.50362303732038</v>
      </c>
      <c r="Y14" s="108">
        <f>IFERROR(IF(up_Bv!Y14=0,".",((s_Ir*s_F*up_Bv!Y14*(1-EXP(-up_RadSpec!AZ14*s_t_b)))/(s_P*up_RadSpec!AZ14))),".")</f>
        <v>993.50362303732038</v>
      </c>
      <c r="Z14" s="108">
        <f>IFERROR(IF(up_Bv!Z14=0,".",((s_Ir*s_F*up_Bv!Z14*(1-EXP(-up_RadSpec!AZ14*s_t_b)))/(s_P*up_RadSpec!AZ14))),".")</f>
        <v>993.50362303732038</v>
      </c>
      <c r="AA14" s="108">
        <f>IFERROR(IF(up_Bv!AA14=0,".",((s_Ir*s_F*up_Bv!AA14*(1-EXP(-up_RadSpec!AZ14*s_t_b)))/(s_P*up_RadSpec!AZ14))),".")</f>
        <v>993.50362303732038</v>
      </c>
      <c r="AB14" s="108">
        <f>IFERROR(IF(up_Bv!C14=0,".",((s_Ir*s_F*s_MLF_apple*(1-EXP(-up_RadSpec!AZ14*s_t_b)))/(s_P*up_RadSpec!AZ14))),".")</f>
        <v>2.6824597822007652</v>
      </c>
      <c r="AC14" s="108">
        <f>IFERROR(IF(up_Bv!D14=0,".",((s_Ir*s_F*s_MLF_asparagus*(1-EXP(-up_RadSpec!AZ14*s_t_b)))/(s_P*up_RadSpec!AZ14))),".")</f>
        <v>2.6824597822007652</v>
      </c>
      <c r="AD14" s="108">
        <f>IFERROR(IF(up_Bv!E14=0,".",((s_Ir*s_F*s_MLF_beet*(1-EXP(-up_RadSpec!AZ14*s_t_b)))/(s_P*up_RadSpec!AZ14))),".")</f>
        <v>2.6824597822007652</v>
      </c>
      <c r="AE14" s="108">
        <f>IFERROR(IF(up_Bv!F14=0,".",((s_Ir*s_F*s_MLF_berries*(1-EXP(-up_RadSpec!AZ14*s_t_b)))/(s_P*up_RadSpec!AZ14))),".")</f>
        <v>2.6824597822007652</v>
      </c>
      <c r="AF14" s="108">
        <f>IFERROR(IF(up_Bv!G14=0,".",((s_Ir*s_F*s_MLF_broccoli*(1-EXP(-up_RadSpec!AZ14*s_t_b)))/(s_P*up_RadSpec!AZ14))),".")</f>
        <v>2.6824597822007652</v>
      </c>
      <c r="AG14" s="108">
        <f>IFERROR(IF(up_Bv!H14=0,".",((s_Ir*s_F*s_MLF_cabbage*(1-EXP(-up_RadSpec!AZ14*s_t_b)))/(s_P*up_RadSpec!AZ14))),".")</f>
        <v>2.6824597822007652</v>
      </c>
      <c r="AH14" s="108">
        <f>IFERROR(IF(up_Bv!I14=0,".",((s_Ir*s_F*s_MLF_carrot*(1-EXP(-up_RadSpec!AZ14*s_t_b)))/(s_P*up_RadSpec!AZ14))),".")</f>
        <v>2.6824597822007652</v>
      </c>
      <c r="AI14" s="108">
        <f>IFERROR(IF(up_Bv!J14=0,".",((s_Ir*s_F*s_MLF_citrus*(1-EXP(-up_RadSpec!AZ14*s_t_b)))/(s_P*up_RadSpec!AZ14))),".")</f>
        <v>2.6824597822007652</v>
      </c>
      <c r="AJ14" s="108">
        <f>IFERROR(IF(up_Bv!K14=0,".",((s_Ir*s_F*s_MLF_corn*(1-EXP(-up_RadSpec!AZ14*s_t_b)))/(s_P*up_RadSpec!AZ14))),".")</f>
        <v>2.6824597822007652</v>
      </c>
      <c r="AK14" s="108">
        <f>IFERROR(IF(up_Bv!L14=0,".",((s_Ir*s_F*s_MLF_cucumber*(1-EXP(-up_RadSpec!AZ14*s_t_b)))/(s_P*up_RadSpec!AZ14))),".")</f>
        <v>2.6824597822007652</v>
      </c>
      <c r="AL14" s="108">
        <f>IFERROR(IF(up_Bv!M14=0,".",((s_Ir*s_F*s_MLF_lettuce*(1-EXP(-up_RadSpec!AZ14*s_t_b)))/(s_P*up_RadSpec!AZ14))),".")</f>
        <v>2.6824597822007652</v>
      </c>
      <c r="AM14" s="108">
        <f>IFERROR(IF(up_Bv!N14=0,".",((s_Ir*s_F*s_MLF_lima_bean*(1-EXP(-up_RadSpec!AZ14*s_t_b)))/(s_P*up_RadSpec!AZ14))),".")</f>
        <v>2.6824597822007652</v>
      </c>
      <c r="AN14" s="108">
        <f>IFERROR(IF(up_Bv!O14=0,".",((s_Ir*s_F*s_MLF_okra*(1-EXP(-up_RadSpec!AZ14*s_t_b)))/(s_P*up_RadSpec!AZ14))),".")</f>
        <v>2.6824597822007652</v>
      </c>
      <c r="AO14" s="108">
        <f>IFERROR(IF(up_Bv!P14=0,".",((s_Ir*s_F*s_MLF_onion*(1-EXP(-up_RadSpec!AZ14*s_t_b)))/(s_P*up_RadSpec!AZ14))),".")</f>
        <v>2.6824597822007652</v>
      </c>
      <c r="AP14" s="108">
        <f>IFERROR(IF(up_Bv!Q14=0,".",((s_Ir*s_F*s_MLF_peach*(1-EXP(-up_RadSpec!AZ14*s_t_b)))/(s_P*up_RadSpec!AZ14))),".")</f>
        <v>2.6824597822007652</v>
      </c>
      <c r="AQ14" s="108">
        <f>IFERROR(IF(up_Bv!R14=0,".",((s_Ir*s_F*s_MLF_pear*(1-EXP(-up_RadSpec!AZ14*s_t_b)))/(s_P*up_RadSpec!AZ14))),".")</f>
        <v>2.6824597822007652</v>
      </c>
      <c r="AR14" s="108">
        <f>IFERROR(IF(up_Bv!S14=0,".",((s_Ir*s_F*s_MLF_peas*(1-EXP(-up_RadSpec!AZ14*s_t_b)))/(s_P*up_RadSpec!AZ14))),".")</f>
        <v>2.6824597822007652</v>
      </c>
      <c r="AS14" s="108">
        <f>IFERROR(IF(up_Bv!T14=0,".",((s_Ir*s_F*s_MLF_peppers*(1-EXP(-up_RadSpec!AZ14*s_t_b)))/(s_P*up_RadSpec!AZ14))),".")</f>
        <v>2.6824597822007652</v>
      </c>
      <c r="AT14" s="108">
        <f>IFERROR(IF(up_Bv!U14=0,".",((s_Ir*s_F*s_MLF_potato*(1-EXP(-up_RadSpec!AZ14*s_t_b)))/(s_P*up_RadSpec!AZ14))),".")</f>
        <v>2.6824597822007652</v>
      </c>
      <c r="AU14" s="108">
        <f>IFERROR(IF(up_Bv!V14=0,".",((s_Ir*s_F*s_MLF_pumpkin*(1-EXP(-up_RadSpec!AZ14*s_t_b)))/(s_P*up_RadSpec!AZ14))),".")</f>
        <v>2.6824597822007652</v>
      </c>
      <c r="AV14" s="108">
        <f>IFERROR(IF(up_Bv!W14=0,".",((s_Ir*s_F*s_MLF_snap_bean*(1-EXP(-up_RadSpec!AZ14*s_t_b)))/(s_P*up_RadSpec!AZ14))),".")</f>
        <v>2.6824597822007652</v>
      </c>
      <c r="AW14" s="108">
        <f>IFERROR(IF(up_Bv!X14=0,".",((s_Ir*s_F*s_MLF_strawberry*(1-EXP(-up_RadSpec!AZ14*s_t_b)))/(s_P*up_RadSpec!AZ14))),".")</f>
        <v>2.6824597822007652</v>
      </c>
      <c r="AX14" s="108">
        <f>IFERROR(IF(up_Bv!Y14=0,".",((s_Ir*s_F*s_MLF_tomato*(1-EXP(-up_RadSpec!AZ14*s_t_b)))/(s_P*up_RadSpec!AZ14))),".")</f>
        <v>2.6824597822007652</v>
      </c>
      <c r="AY14" s="108">
        <f>IFERROR(IF(up_Bv!Z14=0,".",((s_Ir*s_F*s_MLF_rice*(1-EXP(-up_RadSpec!AZ14*s_t_b)))/(s_P*up_RadSpec!AZ14))),".")</f>
        <v>2.6824597822007652</v>
      </c>
      <c r="AZ14" s="108">
        <f>IFERROR(IF(up_Bv!AA14=0,".",((s_Ir*s_F*s_MLF_cereal*(1-EXP(-up_RadSpec!AZ14*s_t_b)))/(s_P*up_RadSpec!AZ14))),".")</f>
        <v>2.6824597822007652</v>
      </c>
      <c r="BA14" s="108">
        <f>IFERROR(IF(up_Bv!C14=0,".",((s_Ir*s_F*s_I_f*s_T*(1-EXP(-up_RadSpec!BA14*s_t_v)))/(s_Y_v*up_RadSpec!BA14))),".")</f>
        <v>9.0143481925428208</v>
      </c>
      <c r="BB14" s="108">
        <f>IFERROR(IF(up_Bv!D14=0,".",((s_Ir*s_F*s_I_f*s_T*(1-EXP(-up_RadSpec!BA14*s_t_v)))/(s_Y_v*up_RadSpec!BA14))),".")</f>
        <v>9.0143481925428208</v>
      </c>
      <c r="BC14" s="108">
        <f>IFERROR(IF(up_Bv!E14=0,".",((s_Ir*s_F*s_I_f*s_T*(1-EXP(-up_RadSpec!BA14*s_t_v)))/(s_Y_v*up_RadSpec!BA14))),".")</f>
        <v>9.0143481925428208</v>
      </c>
      <c r="BD14" s="108">
        <f>IFERROR(IF(up_Bv!F14=0,".",((s_Ir*s_F*s_I_f*s_T*(1-EXP(-up_RadSpec!BA14*s_t_v)))/(s_Y_v*up_RadSpec!BA14))),".")</f>
        <v>9.0143481925428208</v>
      </c>
      <c r="BE14" s="108">
        <f>IFERROR(IF(up_Bv!G14=0,".",((s_Ir*s_F*s_I_f*s_T*(1-EXP(-up_RadSpec!BA14*s_t_v)))/(s_Y_v*up_RadSpec!BA14))),".")</f>
        <v>9.0143481925428208</v>
      </c>
      <c r="BF14" s="108">
        <f>IFERROR(IF(up_Bv!H14=0,".",((s_Ir*s_F*s_I_f*s_T*(1-EXP(-up_RadSpec!BA14*s_t_v)))/(s_Y_v*up_RadSpec!BA14))),".")</f>
        <v>9.0143481925428208</v>
      </c>
      <c r="BG14" s="108">
        <f>IFERROR(IF(up_Bv!I14=0,".",((s_Ir*s_F*s_I_f*s_T*(1-EXP(-up_RadSpec!BA14*s_t_v)))/(s_Y_v*up_RadSpec!BA14))),".")</f>
        <v>9.0143481925428208</v>
      </c>
      <c r="BH14" s="108">
        <f>IFERROR(IF(up_Bv!J14=0,".",((s_Ir*s_F*s_I_f*s_T*(1-EXP(-up_RadSpec!BA14*s_t_v)))/(s_Y_v*up_RadSpec!BA14))),".")</f>
        <v>9.0143481925428208</v>
      </c>
      <c r="BI14" s="108">
        <f>IFERROR(IF(up_Bv!K14=0,".",((s_Ir*s_F*s_I_f*s_T*(1-EXP(-up_RadSpec!BA14*s_t_v)))/(s_Y_v*up_RadSpec!BA14))),".")</f>
        <v>9.0143481925428208</v>
      </c>
      <c r="BJ14" s="108">
        <f>IFERROR(IF(up_Bv!L14=0,".",((s_Ir*s_F*s_I_f*s_T*(1-EXP(-up_RadSpec!BA14*s_t_v)))/(s_Y_v*up_RadSpec!BA14))),".")</f>
        <v>9.0143481925428208</v>
      </c>
      <c r="BK14" s="108">
        <f>IFERROR(IF(up_Bv!M14=0,".",((s_Ir*s_F*s_I_f*s_T*(1-EXP(-up_RadSpec!BA14*s_t_v)))/(s_Y_v*up_RadSpec!BA14))),".")</f>
        <v>9.0143481925428208</v>
      </c>
      <c r="BL14" s="108">
        <f>IFERROR(IF(up_Bv!N14=0,".",((s_Ir*s_F*s_I_f*s_T*(1-EXP(-up_RadSpec!BA14*s_t_v)))/(s_Y_v*up_RadSpec!BA14))),".")</f>
        <v>9.0143481925428208</v>
      </c>
      <c r="BM14" s="108">
        <f>IFERROR(IF(up_Bv!O14=0,".",((s_Ir*s_F*s_I_f*s_T*(1-EXP(-up_RadSpec!BA14*s_t_v)))/(s_Y_v*up_RadSpec!BA14))),".")</f>
        <v>9.0143481925428208</v>
      </c>
      <c r="BN14" s="108">
        <f>IFERROR(IF(up_Bv!P14=0,".",((s_Ir*s_F*s_I_f*s_T*(1-EXP(-up_RadSpec!BA14*s_t_v)))/(s_Y_v*up_RadSpec!BA14))),".")</f>
        <v>9.0143481925428208</v>
      </c>
      <c r="BO14" s="108">
        <f>IFERROR(IF(up_Bv!Q14=0,".",((s_Ir*s_F*s_I_f*s_T*(1-EXP(-up_RadSpec!BA14*s_t_v)))/(s_Y_v*up_RadSpec!BA14))),".")</f>
        <v>9.0143481925428208</v>
      </c>
      <c r="BP14" s="108">
        <f>IFERROR(IF(up_Bv!R14=0,".",((s_Ir*s_F*s_I_f*s_T*(1-EXP(-up_RadSpec!BA14*s_t_v)))/(s_Y_v*up_RadSpec!BA14))),".")</f>
        <v>9.0143481925428208</v>
      </c>
      <c r="BQ14" s="108">
        <f>IFERROR(IF(up_Bv!S14=0,".",((s_Ir*s_F*s_I_f*s_T*(1-EXP(-up_RadSpec!BA14*s_t_v)))/(s_Y_v*up_RadSpec!BA14))),".")</f>
        <v>9.0143481925428208</v>
      </c>
      <c r="BR14" s="108">
        <f>IFERROR(IF(up_Bv!T14=0,".",((s_Ir*s_F*s_I_f*s_T*(1-EXP(-up_RadSpec!BA14*s_t_v)))/(s_Y_v*up_RadSpec!BA14))),".")</f>
        <v>9.0143481925428208</v>
      </c>
      <c r="BS14" s="108">
        <f>IFERROR(IF(up_Bv!U14=0,".",((s_Ir*s_F*s_I_f*s_T*(1-EXP(-up_RadSpec!BA14*s_t_v)))/(s_Y_v*up_RadSpec!BA14))),".")</f>
        <v>9.0143481925428208</v>
      </c>
      <c r="BT14" s="108">
        <f>IFERROR(IF(up_Bv!V14=0,".",((s_Ir*s_F*s_I_f*s_T*(1-EXP(-up_RadSpec!BA14*s_t_v)))/(s_Y_v*up_RadSpec!BA14))),".")</f>
        <v>9.0143481925428208</v>
      </c>
      <c r="BU14" s="108">
        <f>IFERROR(IF(up_Bv!W14=0,".",((s_Ir*s_F*s_I_f*s_T*(1-EXP(-up_RadSpec!BA14*s_t_v)))/(s_Y_v*up_RadSpec!BA14))),".")</f>
        <v>9.0143481925428208</v>
      </c>
      <c r="BV14" s="108">
        <f>IFERROR(IF(up_Bv!X14=0,".",((s_Ir*s_F*s_I_f*s_T*(1-EXP(-up_RadSpec!BA14*s_t_v)))/(s_Y_v*up_RadSpec!BA14))),".")</f>
        <v>9.0143481925428208</v>
      </c>
      <c r="BW14" s="108">
        <f>IFERROR(IF(up_Bv!Y14=0,".",((s_Ir*s_F*s_I_f*s_T*(1-EXP(-up_RadSpec!BA14*s_t_v)))/(s_Y_v*up_RadSpec!BA14))),".")</f>
        <v>9.0143481925428208</v>
      </c>
      <c r="BX14" s="108">
        <f>IFERROR(IF(up_Bv!Z14=0,".",((s_Ir*s_F*s_I_f*s_T*(1-EXP(-up_RadSpec!BA14*s_t_v)))/(s_Y_v*up_RadSpec!BA14))),".")</f>
        <v>9.0143481925428208</v>
      </c>
      <c r="BY14" s="108">
        <f>IFERROR(IF(up_Bv!AA14=0,".",((s_Ir*s_F*s_I_f*s_T*(1-EXP(-up_RadSpec!BA14*s_t_v)))/(s_Y_v*up_RadSpec!BA14))),".")</f>
        <v>9.0143481925428208</v>
      </c>
    </row>
    <row r="15" spans="1:77" x14ac:dyDescent="0.25">
      <c r="A15" s="44" t="s">
        <v>13</v>
      </c>
      <c r="B15" s="42" t="s">
        <v>1057</v>
      </c>
      <c r="C15" s="108">
        <f>IFERROR(IF(up_Bv!C15=0,".",((s_Ir*s_F*up_Bv!C15*(1-EXP(-up_RadSpec!$AZ15*s_t_b)))/(s_P*up_RadSpec!$AZ15))),".")</f>
        <v>993.50362303732038</v>
      </c>
      <c r="D15" s="108">
        <f>IFERROR(IF(up_Bv!D15=0,".",((s_Ir*s_F*up_Bv!D15*(1-EXP(-up_RadSpec!AZ15*s_t_b)))/(s_P*up_RadSpec!AZ15))),".")</f>
        <v>993.50362303732038</v>
      </c>
      <c r="E15" s="108">
        <f>IFERROR(IF(up_Bv!E15=0,".",((s_Ir*s_F*up_Bv!E15*(1-EXP(-up_RadSpec!AZ15*s_t_b)))/(s_P*up_RadSpec!AZ15))),".")</f>
        <v>993.50362303732038</v>
      </c>
      <c r="F15" s="108">
        <f>IFERROR(IF(up_Bv!F15=0,".",((s_Ir*s_F*up_Bv!F15*(1-EXP(-up_RadSpec!AZ15*s_t_b)))/(s_P*up_RadSpec!AZ15))),".")</f>
        <v>993.50362303732038</v>
      </c>
      <c r="G15" s="108">
        <f>IFERROR(IF(up_Bv!G15=0,".",((s_Ir*s_F*up_Bv!G15*(1-EXP(-up_RadSpec!AZ15*s_t_b)))/(s_P*up_RadSpec!AZ15))),".")</f>
        <v>993.50362303732038</v>
      </c>
      <c r="H15" s="108">
        <f>IFERROR(IF(up_Bv!H15=0,".",((s_Ir*s_F*up_Bv!H15*(1-EXP(-up_RadSpec!AZ15*s_t_b)))/(s_P*up_RadSpec!AZ15))),".")</f>
        <v>993.50362303732038</v>
      </c>
      <c r="I15" s="108">
        <f>IFERROR(IF(up_Bv!I15=0,".",((s_Ir*s_F*up_Bv!I15*(1-EXP(-up_RadSpec!AZ15*s_t_b)))/(s_P*up_RadSpec!AZ15))),".")</f>
        <v>993.50362303732038</v>
      </c>
      <c r="J15" s="108">
        <f>IFERROR(IF(up_Bv!J15=0,".",((s_Ir*s_F*up_Bv!J15*(1-EXP(-up_RadSpec!AZ15*s_t_b)))/(s_P*up_RadSpec!AZ15))),".")</f>
        <v>993.50362303732038</v>
      </c>
      <c r="K15" s="108">
        <f>IFERROR(IF(up_Bv!K15=0,".",((s_Ir*s_F*up_Bv!K15*(1-EXP(-up_RadSpec!AZ15*s_t_b)))/(s_P*up_RadSpec!AZ15))),".")</f>
        <v>993.50362303732038</v>
      </c>
      <c r="L15" s="108">
        <f>IFERROR(IF(up_Bv!L15=0,".",((s_Ir*s_F*up_Bv!L15*(1-EXP(-up_RadSpec!AZ15*s_t_b)))/(s_P*up_RadSpec!AZ15))),".")</f>
        <v>993.50362303732038</v>
      </c>
      <c r="M15" s="108">
        <f>IFERROR(IF(up_Bv!M15=0,".",((s_Ir*s_F*up_Bv!M15*(1-EXP(-up_RadSpec!AZ15*s_t_b)))/(s_P*up_RadSpec!AZ15))),".")</f>
        <v>993.50362303732038</v>
      </c>
      <c r="N15" s="108">
        <f>IFERROR(IF(up_Bv!N15=0,".",((s_Ir*s_F*up_Bv!N15*(1-EXP(-up_RadSpec!AZ15*s_t_b)))/(s_P*up_RadSpec!AZ15))),".")</f>
        <v>993.50362303732038</v>
      </c>
      <c r="O15" s="108">
        <f>IFERROR(IF(up_Bv!O15=0,".",((s_Ir*s_F*up_Bv!O15*(1-EXP(-up_RadSpec!AZ15*s_t_b)))/(s_P*up_RadSpec!AZ15))),".")</f>
        <v>993.50362303732038</v>
      </c>
      <c r="P15" s="108">
        <f>IFERROR(IF(up_Bv!P15=0,".",((s_Ir*s_F*up_Bv!P15*(1-EXP(-up_RadSpec!AZ15*s_t_b)))/(s_P*up_RadSpec!AZ15))),".")</f>
        <v>993.50362303732038</v>
      </c>
      <c r="Q15" s="108">
        <f>IFERROR(IF(up_Bv!Q15=0,".",((s_Ir*s_F*up_Bv!Q15*(1-EXP(-up_RadSpec!AZ15*s_t_b)))/(s_P*up_RadSpec!AZ15))),".")</f>
        <v>993.50362303732038</v>
      </c>
      <c r="R15" s="108">
        <f>IFERROR(IF(up_Bv!R15=0,".",((s_Ir*s_F*up_Bv!R15*(1-EXP(-up_RadSpec!AZ15*s_t_b)))/(s_P*up_RadSpec!AZ15))),".")</f>
        <v>993.50362303732038</v>
      </c>
      <c r="S15" s="108">
        <f>IFERROR(IF(up_Bv!S15=0,".",((s_Ir*s_F*up_Bv!S15*(1-EXP(-up_RadSpec!AZ15*s_t_b)))/(s_P*up_RadSpec!AZ15))),".")</f>
        <v>993.50362303732038</v>
      </c>
      <c r="T15" s="108">
        <f>IFERROR(IF(up_Bv!T15=0,".",((s_Ir*s_F*up_Bv!T15*(1-EXP(-up_RadSpec!AZ15*s_t_b)))/(s_P*up_RadSpec!AZ15))),".")</f>
        <v>993.50362303732038</v>
      </c>
      <c r="U15" s="108">
        <f>IFERROR(IF(up_Bv!U15=0,".",((s_Ir*s_F*up_Bv!U15*(1-EXP(-up_RadSpec!AZ15*s_t_b)))/(s_P*up_RadSpec!AZ15))),".")</f>
        <v>993.50362303732038</v>
      </c>
      <c r="V15" s="108">
        <f>IFERROR(IF(up_Bv!V15=0,".",((s_Ir*s_F*up_Bv!V15*(1-EXP(-up_RadSpec!AZ15*s_t_b)))/(s_P*up_RadSpec!AZ15))),".")</f>
        <v>993.50362303732038</v>
      </c>
      <c r="W15" s="108">
        <f>IFERROR(IF(up_Bv!W15=0,".",((s_Ir*s_F*up_Bv!W15*(1-EXP(-up_RadSpec!AZ15*s_t_b)))/(s_P*up_RadSpec!AZ15))),".")</f>
        <v>993.50362303732038</v>
      </c>
      <c r="X15" s="108">
        <f>IFERROR(IF(up_Bv!X15=0,".",((s_Ir*s_F*up_Bv!X15*(1-EXP(-up_RadSpec!AZ15*s_t_b)))/(s_P*up_RadSpec!AZ15))),".")</f>
        <v>993.50362303732038</v>
      </c>
      <c r="Y15" s="108">
        <f>IFERROR(IF(up_Bv!Y15=0,".",((s_Ir*s_F*up_Bv!Y15*(1-EXP(-up_RadSpec!AZ15*s_t_b)))/(s_P*up_RadSpec!AZ15))),".")</f>
        <v>993.50362303732038</v>
      </c>
      <c r="Z15" s="108">
        <f>IFERROR(IF(up_Bv!Z15=0,".",((s_Ir*s_F*up_Bv!Z15*(1-EXP(-up_RadSpec!AZ15*s_t_b)))/(s_P*up_RadSpec!AZ15))),".")</f>
        <v>993.50362303732038</v>
      </c>
      <c r="AA15" s="108">
        <f>IFERROR(IF(up_Bv!AA15=0,".",((s_Ir*s_F*up_Bv!AA15*(1-EXP(-up_RadSpec!AZ15*s_t_b)))/(s_P*up_RadSpec!AZ15))),".")</f>
        <v>993.50362303732038</v>
      </c>
      <c r="AB15" s="108">
        <f>IFERROR(IF(up_Bv!C15=0,".",((s_Ir*s_F*s_MLF_apple*(1-EXP(-up_RadSpec!AZ15*s_t_b)))/(s_P*up_RadSpec!AZ15))),".")</f>
        <v>2.6824597822007652</v>
      </c>
      <c r="AC15" s="108">
        <f>IFERROR(IF(up_Bv!D15=0,".",((s_Ir*s_F*s_MLF_asparagus*(1-EXP(-up_RadSpec!AZ15*s_t_b)))/(s_P*up_RadSpec!AZ15))),".")</f>
        <v>2.6824597822007652</v>
      </c>
      <c r="AD15" s="108">
        <f>IFERROR(IF(up_Bv!E15=0,".",((s_Ir*s_F*s_MLF_beet*(1-EXP(-up_RadSpec!AZ15*s_t_b)))/(s_P*up_RadSpec!AZ15))),".")</f>
        <v>2.6824597822007652</v>
      </c>
      <c r="AE15" s="108">
        <f>IFERROR(IF(up_Bv!F15=0,".",((s_Ir*s_F*s_MLF_berries*(1-EXP(-up_RadSpec!AZ15*s_t_b)))/(s_P*up_RadSpec!AZ15))),".")</f>
        <v>2.6824597822007652</v>
      </c>
      <c r="AF15" s="108">
        <f>IFERROR(IF(up_Bv!G15=0,".",((s_Ir*s_F*s_MLF_broccoli*(1-EXP(-up_RadSpec!AZ15*s_t_b)))/(s_P*up_RadSpec!AZ15))),".")</f>
        <v>2.6824597822007652</v>
      </c>
      <c r="AG15" s="108">
        <f>IFERROR(IF(up_Bv!H15=0,".",((s_Ir*s_F*s_MLF_cabbage*(1-EXP(-up_RadSpec!AZ15*s_t_b)))/(s_P*up_RadSpec!AZ15))),".")</f>
        <v>2.6824597822007652</v>
      </c>
      <c r="AH15" s="108">
        <f>IFERROR(IF(up_Bv!I15=0,".",((s_Ir*s_F*s_MLF_carrot*(1-EXP(-up_RadSpec!AZ15*s_t_b)))/(s_P*up_RadSpec!AZ15))),".")</f>
        <v>2.6824597822007652</v>
      </c>
      <c r="AI15" s="108">
        <f>IFERROR(IF(up_Bv!J15=0,".",((s_Ir*s_F*s_MLF_citrus*(1-EXP(-up_RadSpec!AZ15*s_t_b)))/(s_P*up_RadSpec!AZ15))),".")</f>
        <v>2.6824597822007652</v>
      </c>
      <c r="AJ15" s="108">
        <f>IFERROR(IF(up_Bv!K15=0,".",((s_Ir*s_F*s_MLF_corn*(1-EXP(-up_RadSpec!AZ15*s_t_b)))/(s_P*up_RadSpec!AZ15))),".")</f>
        <v>2.6824597822007652</v>
      </c>
      <c r="AK15" s="108">
        <f>IFERROR(IF(up_Bv!L15=0,".",((s_Ir*s_F*s_MLF_cucumber*(1-EXP(-up_RadSpec!AZ15*s_t_b)))/(s_P*up_RadSpec!AZ15))),".")</f>
        <v>2.6824597822007652</v>
      </c>
      <c r="AL15" s="108">
        <f>IFERROR(IF(up_Bv!M15=0,".",((s_Ir*s_F*s_MLF_lettuce*(1-EXP(-up_RadSpec!AZ15*s_t_b)))/(s_P*up_RadSpec!AZ15))),".")</f>
        <v>2.6824597822007652</v>
      </c>
      <c r="AM15" s="108">
        <f>IFERROR(IF(up_Bv!N15=0,".",((s_Ir*s_F*s_MLF_lima_bean*(1-EXP(-up_RadSpec!AZ15*s_t_b)))/(s_P*up_RadSpec!AZ15))),".")</f>
        <v>2.6824597822007652</v>
      </c>
      <c r="AN15" s="108">
        <f>IFERROR(IF(up_Bv!O15=0,".",((s_Ir*s_F*s_MLF_okra*(1-EXP(-up_RadSpec!AZ15*s_t_b)))/(s_P*up_RadSpec!AZ15))),".")</f>
        <v>2.6824597822007652</v>
      </c>
      <c r="AO15" s="108">
        <f>IFERROR(IF(up_Bv!P15=0,".",((s_Ir*s_F*s_MLF_onion*(1-EXP(-up_RadSpec!AZ15*s_t_b)))/(s_P*up_RadSpec!AZ15))),".")</f>
        <v>2.6824597822007652</v>
      </c>
      <c r="AP15" s="108">
        <f>IFERROR(IF(up_Bv!Q15=0,".",((s_Ir*s_F*s_MLF_peach*(1-EXP(-up_RadSpec!AZ15*s_t_b)))/(s_P*up_RadSpec!AZ15))),".")</f>
        <v>2.6824597822007652</v>
      </c>
      <c r="AQ15" s="108">
        <f>IFERROR(IF(up_Bv!R15=0,".",((s_Ir*s_F*s_MLF_pear*(1-EXP(-up_RadSpec!AZ15*s_t_b)))/(s_P*up_RadSpec!AZ15))),".")</f>
        <v>2.6824597822007652</v>
      </c>
      <c r="AR15" s="108">
        <f>IFERROR(IF(up_Bv!S15=0,".",((s_Ir*s_F*s_MLF_peas*(1-EXP(-up_RadSpec!AZ15*s_t_b)))/(s_P*up_RadSpec!AZ15))),".")</f>
        <v>2.6824597822007652</v>
      </c>
      <c r="AS15" s="108">
        <f>IFERROR(IF(up_Bv!T15=0,".",((s_Ir*s_F*s_MLF_peppers*(1-EXP(-up_RadSpec!AZ15*s_t_b)))/(s_P*up_RadSpec!AZ15))),".")</f>
        <v>2.6824597822007652</v>
      </c>
      <c r="AT15" s="108">
        <f>IFERROR(IF(up_Bv!U15=0,".",((s_Ir*s_F*s_MLF_potato*(1-EXP(-up_RadSpec!AZ15*s_t_b)))/(s_P*up_RadSpec!AZ15))),".")</f>
        <v>2.6824597822007652</v>
      </c>
      <c r="AU15" s="108">
        <f>IFERROR(IF(up_Bv!V15=0,".",((s_Ir*s_F*s_MLF_pumpkin*(1-EXP(-up_RadSpec!AZ15*s_t_b)))/(s_P*up_RadSpec!AZ15))),".")</f>
        <v>2.6824597822007652</v>
      </c>
      <c r="AV15" s="108">
        <f>IFERROR(IF(up_Bv!W15=0,".",((s_Ir*s_F*s_MLF_snap_bean*(1-EXP(-up_RadSpec!AZ15*s_t_b)))/(s_P*up_RadSpec!AZ15))),".")</f>
        <v>2.6824597822007652</v>
      </c>
      <c r="AW15" s="108">
        <f>IFERROR(IF(up_Bv!X15=0,".",((s_Ir*s_F*s_MLF_strawberry*(1-EXP(-up_RadSpec!AZ15*s_t_b)))/(s_P*up_RadSpec!AZ15))),".")</f>
        <v>2.6824597822007652</v>
      </c>
      <c r="AX15" s="108">
        <f>IFERROR(IF(up_Bv!Y15=0,".",((s_Ir*s_F*s_MLF_tomato*(1-EXP(-up_RadSpec!AZ15*s_t_b)))/(s_P*up_RadSpec!AZ15))),".")</f>
        <v>2.6824597822007652</v>
      </c>
      <c r="AY15" s="108">
        <f>IFERROR(IF(up_Bv!Z15=0,".",((s_Ir*s_F*s_MLF_rice*(1-EXP(-up_RadSpec!AZ15*s_t_b)))/(s_P*up_RadSpec!AZ15))),".")</f>
        <v>2.6824597822007652</v>
      </c>
      <c r="AZ15" s="108">
        <f>IFERROR(IF(up_Bv!AA15=0,".",((s_Ir*s_F*s_MLF_cereal*(1-EXP(-up_RadSpec!AZ15*s_t_b)))/(s_P*up_RadSpec!AZ15))),".")</f>
        <v>2.6824597822007652</v>
      </c>
      <c r="BA15" s="108">
        <f>IFERROR(IF(up_Bv!C15=0,".",((s_Ir*s_F*s_I_f*s_T*(1-EXP(-up_RadSpec!BA15*s_t_v)))/(s_Y_v*up_RadSpec!BA15))),".")</f>
        <v>9.0143481925428208</v>
      </c>
      <c r="BB15" s="108">
        <f>IFERROR(IF(up_Bv!D15=0,".",((s_Ir*s_F*s_I_f*s_T*(1-EXP(-up_RadSpec!BA15*s_t_v)))/(s_Y_v*up_RadSpec!BA15))),".")</f>
        <v>9.0143481925428208</v>
      </c>
      <c r="BC15" s="108">
        <f>IFERROR(IF(up_Bv!E15=0,".",((s_Ir*s_F*s_I_f*s_T*(1-EXP(-up_RadSpec!BA15*s_t_v)))/(s_Y_v*up_RadSpec!BA15))),".")</f>
        <v>9.0143481925428208</v>
      </c>
      <c r="BD15" s="108">
        <f>IFERROR(IF(up_Bv!F15=0,".",((s_Ir*s_F*s_I_f*s_T*(1-EXP(-up_RadSpec!BA15*s_t_v)))/(s_Y_v*up_RadSpec!BA15))),".")</f>
        <v>9.0143481925428208</v>
      </c>
      <c r="BE15" s="108">
        <f>IFERROR(IF(up_Bv!G15=0,".",((s_Ir*s_F*s_I_f*s_T*(1-EXP(-up_RadSpec!BA15*s_t_v)))/(s_Y_v*up_RadSpec!BA15))),".")</f>
        <v>9.0143481925428208</v>
      </c>
      <c r="BF15" s="108">
        <f>IFERROR(IF(up_Bv!H15=0,".",((s_Ir*s_F*s_I_f*s_T*(1-EXP(-up_RadSpec!BA15*s_t_v)))/(s_Y_v*up_RadSpec!BA15))),".")</f>
        <v>9.0143481925428208</v>
      </c>
      <c r="BG15" s="108">
        <f>IFERROR(IF(up_Bv!I15=0,".",((s_Ir*s_F*s_I_f*s_T*(1-EXP(-up_RadSpec!BA15*s_t_v)))/(s_Y_v*up_RadSpec!BA15))),".")</f>
        <v>9.0143481925428208</v>
      </c>
      <c r="BH15" s="108">
        <f>IFERROR(IF(up_Bv!J15=0,".",((s_Ir*s_F*s_I_f*s_T*(1-EXP(-up_RadSpec!BA15*s_t_v)))/(s_Y_v*up_RadSpec!BA15))),".")</f>
        <v>9.0143481925428208</v>
      </c>
      <c r="BI15" s="108">
        <f>IFERROR(IF(up_Bv!K15=0,".",((s_Ir*s_F*s_I_f*s_T*(1-EXP(-up_RadSpec!BA15*s_t_v)))/(s_Y_v*up_RadSpec!BA15))),".")</f>
        <v>9.0143481925428208</v>
      </c>
      <c r="BJ15" s="108">
        <f>IFERROR(IF(up_Bv!L15=0,".",((s_Ir*s_F*s_I_f*s_T*(1-EXP(-up_RadSpec!BA15*s_t_v)))/(s_Y_v*up_RadSpec!BA15))),".")</f>
        <v>9.0143481925428208</v>
      </c>
      <c r="BK15" s="108">
        <f>IFERROR(IF(up_Bv!M15=0,".",((s_Ir*s_F*s_I_f*s_T*(1-EXP(-up_RadSpec!BA15*s_t_v)))/(s_Y_v*up_RadSpec!BA15))),".")</f>
        <v>9.0143481925428208</v>
      </c>
      <c r="BL15" s="108">
        <f>IFERROR(IF(up_Bv!N15=0,".",((s_Ir*s_F*s_I_f*s_T*(1-EXP(-up_RadSpec!BA15*s_t_v)))/(s_Y_v*up_RadSpec!BA15))),".")</f>
        <v>9.0143481925428208</v>
      </c>
      <c r="BM15" s="108">
        <f>IFERROR(IF(up_Bv!O15=0,".",((s_Ir*s_F*s_I_f*s_T*(1-EXP(-up_RadSpec!BA15*s_t_v)))/(s_Y_v*up_RadSpec!BA15))),".")</f>
        <v>9.0143481925428208</v>
      </c>
      <c r="BN15" s="108">
        <f>IFERROR(IF(up_Bv!P15=0,".",((s_Ir*s_F*s_I_f*s_T*(1-EXP(-up_RadSpec!BA15*s_t_v)))/(s_Y_v*up_RadSpec!BA15))),".")</f>
        <v>9.0143481925428208</v>
      </c>
      <c r="BO15" s="108">
        <f>IFERROR(IF(up_Bv!Q15=0,".",((s_Ir*s_F*s_I_f*s_T*(1-EXP(-up_RadSpec!BA15*s_t_v)))/(s_Y_v*up_RadSpec!BA15))),".")</f>
        <v>9.0143481925428208</v>
      </c>
      <c r="BP15" s="108">
        <f>IFERROR(IF(up_Bv!R15=0,".",((s_Ir*s_F*s_I_f*s_T*(1-EXP(-up_RadSpec!BA15*s_t_v)))/(s_Y_v*up_RadSpec!BA15))),".")</f>
        <v>9.0143481925428208</v>
      </c>
      <c r="BQ15" s="108">
        <f>IFERROR(IF(up_Bv!S15=0,".",((s_Ir*s_F*s_I_f*s_T*(1-EXP(-up_RadSpec!BA15*s_t_v)))/(s_Y_v*up_RadSpec!BA15))),".")</f>
        <v>9.0143481925428208</v>
      </c>
      <c r="BR15" s="108">
        <f>IFERROR(IF(up_Bv!T15=0,".",((s_Ir*s_F*s_I_f*s_T*(1-EXP(-up_RadSpec!BA15*s_t_v)))/(s_Y_v*up_RadSpec!BA15))),".")</f>
        <v>9.0143481925428208</v>
      </c>
      <c r="BS15" s="108">
        <f>IFERROR(IF(up_Bv!U15=0,".",((s_Ir*s_F*s_I_f*s_T*(1-EXP(-up_RadSpec!BA15*s_t_v)))/(s_Y_v*up_RadSpec!BA15))),".")</f>
        <v>9.0143481925428208</v>
      </c>
      <c r="BT15" s="108">
        <f>IFERROR(IF(up_Bv!V15=0,".",((s_Ir*s_F*s_I_f*s_T*(1-EXP(-up_RadSpec!BA15*s_t_v)))/(s_Y_v*up_RadSpec!BA15))),".")</f>
        <v>9.0143481925428208</v>
      </c>
      <c r="BU15" s="108">
        <f>IFERROR(IF(up_Bv!W15=0,".",((s_Ir*s_F*s_I_f*s_T*(1-EXP(-up_RadSpec!BA15*s_t_v)))/(s_Y_v*up_RadSpec!BA15))),".")</f>
        <v>9.0143481925428208</v>
      </c>
      <c r="BV15" s="108">
        <f>IFERROR(IF(up_Bv!X15=0,".",((s_Ir*s_F*s_I_f*s_T*(1-EXP(-up_RadSpec!BA15*s_t_v)))/(s_Y_v*up_RadSpec!BA15))),".")</f>
        <v>9.0143481925428208</v>
      </c>
      <c r="BW15" s="108">
        <f>IFERROR(IF(up_Bv!Y15=0,".",((s_Ir*s_F*s_I_f*s_T*(1-EXP(-up_RadSpec!BA15*s_t_v)))/(s_Y_v*up_RadSpec!BA15))),".")</f>
        <v>9.0143481925428208</v>
      </c>
      <c r="BX15" s="108">
        <f>IFERROR(IF(up_Bv!Z15=0,".",((s_Ir*s_F*s_I_f*s_T*(1-EXP(-up_RadSpec!BA15*s_t_v)))/(s_Y_v*up_RadSpec!BA15))),".")</f>
        <v>9.0143481925428208</v>
      </c>
      <c r="BY15" s="108">
        <f>IFERROR(IF(up_Bv!AA15=0,".",((s_Ir*s_F*s_I_f*s_T*(1-EXP(-up_RadSpec!BA15*s_t_v)))/(s_Y_v*up_RadSpec!BA15))),".")</f>
        <v>9.0143481925428208</v>
      </c>
    </row>
    <row r="16" spans="1:77" x14ac:dyDescent="0.25">
      <c r="A16" s="44" t="s">
        <v>14</v>
      </c>
      <c r="B16" s="42" t="s">
        <v>1057</v>
      </c>
      <c r="C16" s="108">
        <f>IFERROR(IF(up_Bv!C16=0,".",((s_Ir*s_F*up_Bv!C16*(1-EXP(-up_RadSpec!$AZ16*s_t_b)))/(s_P*up_RadSpec!$AZ16))),".")</f>
        <v>993.50362303732038</v>
      </c>
      <c r="D16" s="108">
        <f>IFERROR(IF(up_Bv!D16=0,".",((s_Ir*s_F*up_Bv!D16*(1-EXP(-up_RadSpec!AZ16*s_t_b)))/(s_P*up_RadSpec!AZ16))),".")</f>
        <v>993.50362303732038</v>
      </c>
      <c r="E16" s="108">
        <f>IFERROR(IF(up_Bv!E16=0,".",((s_Ir*s_F*up_Bv!E16*(1-EXP(-up_RadSpec!AZ16*s_t_b)))/(s_P*up_RadSpec!AZ16))),".")</f>
        <v>993.50362303732038</v>
      </c>
      <c r="F16" s="108">
        <f>IFERROR(IF(up_Bv!F16=0,".",((s_Ir*s_F*up_Bv!F16*(1-EXP(-up_RadSpec!AZ16*s_t_b)))/(s_P*up_RadSpec!AZ16))),".")</f>
        <v>993.50362303732038</v>
      </c>
      <c r="G16" s="108">
        <f>IFERROR(IF(up_Bv!G16=0,".",((s_Ir*s_F*up_Bv!G16*(1-EXP(-up_RadSpec!AZ16*s_t_b)))/(s_P*up_RadSpec!AZ16))),".")</f>
        <v>993.50362303732038</v>
      </c>
      <c r="H16" s="108">
        <f>IFERROR(IF(up_Bv!H16=0,".",((s_Ir*s_F*up_Bv!H16*(1-EXP(-up_RadSpec!AZ16*s_t_b)))/(s_P*up_RadSpec!AZ16))),".")</f>
        <v>993.50362303732038</v>
      </c>
      <c r="I16" s="108">
        <f>IFERROR(IF(up_Bv!I16=0,".",((s_Ir*s_F*up_Bv!I16*(1-EXP(-up_RadSpec!AZ16*s_t_b)))/(s_P*up_RadSpec!AZ16))),".")</f>
        <v>993.50362303732038</v>
      </c>
      <c r="J16" s="108">
        <f>IFERROR(IF(up_Bv!J16=0,".",((s_Ir*s_F*up_Bv!J16*(1-EXP(-up_RadSpec!AZ16*s_t_b)))/(s_P*up_RadSpec!AZ16))),".")</f>
        <v>993.50362303732038</v>
      </c>
      <c r="K16" s="108">
        <f>IFERROR(IF(up_Bv!K16=0,".",((s_Ir*s_F*up_Bv!K16*(1-EXP(-up_RadSpec!AZ16*s_t_b)))/(s_P*up_RadSpec!AZ16))),".")</f>
        <v>993.50362303732038</v>
      </c>
      <c r="L16" s="108">
        <f>IFERROR(IF(up_Bv!L16=0,".",((s_Ir*s_F*up_Bv!L16*(1-EXP(-up_RadSpec!AZ16*s_t_b)))/(s_P*up_RadSpec!AZ16))),".")</f>
        <v>993.50362303732038</v>
      </c>
      <c r="M16" s="108">
        <f>IFERROR(IF(up_Bv!M16=0,".",((s_Ir*s_F*up_Bv!M16*(1-EXP(-up_RadSpec!AZ16*s_t_b)))/(s_P*up_RadSpec!AZ16))),".")</f>
        <v>993.50362303732038</v>
      </c>
      <c r="N16" s="108">
        <f>IFERROR(IF(up_Bv!N16=0,".",((s_Ir*s_F*up_Bv!N16*(1-EXP(-up_RadSpec!AZ16*s_t_b)))/(s_P*up_RadSpec!AZ16))),".")</f>
        <v>993.50362303732038</v>
      </c>
      <c r="O16" s="108">
        <f>IFERROR(IF(up_Bv!O16=0,".",((s_Ir*s_F*up_Bv!O16*(1-EXP(-up_RadSpec!AZ16*s_t_b)))/(s_P*up_RadSpec!AZ16))),".")</f>
        <v>993.50362303732038</v>
      </c>
      <c r="P16" s="108">
        <f>IFERROR(IF(up_Bv!P16=0,".",((s_Ir*s_F*up_Bv!P16*(1-EXP(-up_RadSpec!AZ16*s_t_b)))/(s_P*up_RadSpec!AZ16))),".")</f>
        <v>993.50362303732038</v>
      </c>
      <c r="Q16" s="108">
        <f>IFERROR(IF(up_Bv!Q16=0,".",((s_Ir*s_F*up_Bv!Q16*(1-EXP(-up_RadSpec!AZ16*s_t_b)))/(s_P*up_RadSpec!AZ16))),".")</f>
        <v>993.50362303732038</v>
      </c>
      <c r="R16" s="108">
        <f>IFERROR(IF(up_Bv!R16=0,".",((s_Ir*s_F*up_Bv!R16*(1-EXP(-up_RadSpec!AZ16*s_t_b)))/(s_P*up_RadSpec!AZ16))),".")</f>
        <v>993.50362303732038</v>
      </c>
      <c r="S16" s="108">
        <f>IFERROR(IF(up_Bv!S16=0,".",((s_Ir*s_F*up_Bv!S16*(1-EXP(-up_RadSpec!AZ16*s_t_b)))/(s_P*up_RadSpec!AZ16))),".")</f>
        <v>993.50362303732038</v>
      </c>
      <c r="T16" s="108">
        <f>IFERROR(IF(up_Bv!T16=0,".",((s_Ir*s_F*up_Bv!T16*(1-EXP(-up_RadSpec!AZ16*s_t_b)))/(s_P*up_RadSpec!AZ16))),".")</f>
        <v>993.50362303732038</v>
      </c>
      <c r="U16" s="108">
        <f>IFERROR(IF(up_Bv!U16=0,".",((s_Ir*s_F*up_Bv!U16*(1-EXP(-up_RadSpec!AZ16*s_t_b)))/(s_P*up_RadSpec!AZ16))),".")</f>
        <v>993.50362303732038</v>
      </c>
      <c r="V16" s="108">
        <f>IFERROR(IF(up_Bv!V16=0,".",((s_Ir*s_F*up_Bv!V16*(1-EXP(-up_RadSpec!AZ16*s_t_b)))/(s_P*up_RadSpec!AZ16))),".")</f>
        <v>993.50362303732038</v>
      </c>
      <c r="W16" s="108">
        <f>IFERROR(IF(up_Bv!W16=0,".",((s_Ir*s_F*up_Bv!W16*(1-EXP(-up_RadSpec!AZ16*s_t_b)))/(s_P*up_RadSpec!AZ16))),".")</f>
        <v>993.50362303732038</v>
      </c>
      <c r="X16" s="108">
        <f>IFERROR(IF(up_Bv!X16=0,".",((s_Ir*s_F*up_Bv!X16*(1-EXP(-up_RadSpec!AZ16*s_t_b)))/(s_P*up_RadSpec!AZ16))),".")</f>
        <v>993.50362303732038</v>
      </c>
      <c r="Y16" s="108">
        <f>IFERROR(IF(up_Bv!Y16=0,".",((s_Ir*s_F*up_Bv!Y16*(1-EXP(-up_RadSpec!AZ16*s_t_b)))/(s_P*up_RadSpec!AZ16))),".")</f>
        <v>993.50362303732038</v>
      </c>
      <c r="Z16" s="108">
        <f>IFERROR(IF(up_Bv!Z16=0,".",((s_Ir*s_F*up_Bv!Z16*(1-EXP(-up_RadSpec!AZ16*s_t_b)))/(s_P*up_RadSpec!AZ16))),".")</f>
        <v>993.50362303732038</v>
      </c>
      <c r="AA16" s="108">
        <f>IFERROR(IF(up_Bv!AA16=0,".",((s_Ir*s_F*up_Bv!AA16*(1-EXP(-up_RadSpec!AZ16*s_t_b)))/(s_P*up_RadSpec!AZ16))),".")</f>
        <v>993.50362303732038</v>
      </c>
      <c r="AB16" s="108">
        <f>IFERROR(IF(up_Bv!C16=0,".",((s_Ir*s_F*s_MLF_apple*(1-EXP(-up_RadSpec!AZ16*s_t_b)))/(s_P*up_RadSpec!AZ16))),".")</f>
        <v>2.6824597822007652</v>
      </c>
      <c r="AC16" s="108">
        <f>IFERROR(IF(up_Bv!D16=0,".",((s_Ir*s_F*s_MLF_asparagus*(1-EXP(-up_RadSpec!AZ16*s_t_b)))/(s_P*up_RadSpec!AZ16))),".")</f>
        <v>2.6824597822007652</v>
      </c>
      <c r="AD16" s="108">
        <f>IFERROR(IF(up_Bv!E16=0,".",((s_Ir*s_F*s_MLF_beet*(1-EXP(-up_RadSpec!AZ16*s_t_b)))/(s_P*up_RadSpec!AZ16))),".")</f>
        <v>2.6824597822007652</v>
      </c>
      <c r="AE16" s="108">
        <f>IFERROR(IF(up_Bv!F16=0,".",((s_Ir*s_F*s_MLF_berries*(1-EXP(-up_RadSpec!AZ16*s_t_b)))/(s_P*up_RadSpec!AZ16))),".")</f>
        <v>2.6824597822007652</v>
      </c>
      <c r="AF16" s="108">
        <f>IFERROR(IF(up_Bv!G16=0,".",((s_Ir*s_F*s_MLF_broccoli*(1-EXP(-up_RadSpec!AZ16*s_t_b)))/(s_P*up_RadSpec!AZ16))),".")</f>
        <v>2.6824597822007652</v>
      </c>
      <c r="AG16" s="108">
        <f>IFERROR(IF(up_Bv!H16=0,".",((s_Ir*s_F*s_MLF_cabbage*(1-EXP(-up_RadSpec!AZ16*s_t_b)))/(s_P*up_RadSpec!AZ16))),".")</f>
        <v>2.6824597822007652</v>
      </c>
      <c r="AH16" s="108">
        <f>IFERROR(IF(up_Bv!I16=0,".",((s_Ir*s_F*s_MLF_carrot*(1-EXP(-up_RadSpec!AZ16*s_t_b)))/(s_P*up_RadSpec!AZ16))),".")</f>
        <v>2.6824597822007652</v>
      </c>
      <c r="AI16" s="108">
        <f>IFERROR(IF(up_Bv!J16=0,".",((s_Ir*s_F*s_MLF_citrus*(1-EXP(-up_RadSpec!AZ16*s_t_b)))/(s_P*up_RadSpec!AZ16))),".")</f>
        <v>2.6824597822007652</v>
      </c>
      <c r="AJ16" s="108">
        <f>IFERROR(IF(up_Bv!K16=0,".",((s_Ir*s_F*s_MLF_corn*(1-EXP(-up_RadSpec!AZ16*s_t_b)))/(s_P*up_RadSpec!AZ16))),".")</f>
        <v>2.6824597822007652</v>
      </c>
      <c r="AK16" s="108">
        <f>IFERROR(IF(up_Bv!L16=0,".",((s_Ir*s_F*s_MLF_cucumber*(1-EXP(-up_RadSpec!AZ16*s_t_b)))/(s_P*up_RadSpec!AZ16))),".")</f>
        <v>2.6824597822007652</v>
      </c>
      <c r="AL16" s="108">
        <f>IFERROR(IF(up_Bv!M16=0,".",((s_Ir*s_F*s_MLF_lettuce*(1-EXP(-up_RadSpec!AZ16*s_t_b)))/(s_P*up_RadSpec!AZ16))),".")</f>
        <v>2.6824597822007652</v>
      </c>
      <c r="AM16" s="108">
        <f>IFERROR(IF(up_Bv!N16=0,".",((s_Ir*s_F*s_MLF_lima_bean*(1-EXP(-up_RadSpec!AZ16*s_t_b)))/(s_P*up_RadSpec!AZ16))),".")</f>
        <v>2.6824597822007652</v>
      </c>
      <c r="AN16" s="108">
        <f>IFERROR(IF(up_Bv!O16=0,".",((s_Ir*s_F*s_MLF_okra*(1-EXP(-up_RadSpec!AZ16*s_t_b)))/(s_P*up_RadSpec!AZ16))),".")</f>
        <v>2.6824597822007652</v>
      </c>
      <c r="AO16" s="108">
        <f>IFERROR(IF(up_Bv!P16=0,".",((s_Ir*s_F*s_MLF_onion*(1-EXP(-up_RadSpec!AZ16*s_t_b)))/(s_P*up_RadSpec!AZ16))),".")</f>
        <v>2.6824597822007652</v>
      </c>
      <c r="AP16" s="108">
        <f>IFERROR(IF(up_Bv!Q16=0,".",((s_Ir*s_F*s_MLF_peach*(1-EXP(-up_RadSpec!AZ16*s_t_b)))/(s_P*up_RadSpec!AZ16))),".")</f>
        <v>2.6824597822007652</v>
      </c>
      <c r="AQ16" s="108">
        <f>IFERROR(IF(up_Bv!R16=0,".",((s_Ir*s_F*s_MLF_pear*(1-EXP(-up_RadSpec!AZ16*s_t_b)))/(s_P*up_RadSpec!AZ16))),".")</f>
        <v>2.6824597822007652</v>
      </c>
      <c r="AR16" s="108">
        <f>IFERROR(IF(up_Bv!S16=0,".",((s_Ir*s_F*s_MLF_peas*(1-EXP(-up_RadSpec!AZ16*s_t_b)))/(s_P*up_RadSpec!AZ16))),".")</f>
        <v>2.6824597822007652</v>
      </c>
      <c r="AS16" s="108">
        <f>IFERROR(IF(up_Bv!T16=0,".",((s_Ir*s_F*s_MLF_peppers*(1-EXP(-up_RadSpec!AZ16*s_t_b)))/(s_P*up_RadSpec!AZ16))),".")</f>
        <v>2.6824597822007652</v>
      </c>
      <c r="AT16" s="108">
        <f>IFERROR(IF(up_Bv!U16=0,".",((s_Ir*s_F*s_MLF_potato*(1-EXP(-up_RadSpec!AZ16*s_t_b)))/(s_P*up_RadSpec!AZ16))),".")</f>
        <v>2.6824597822007652</v>
      </c>
      <c r="AU16" s="108">
        <f>IFERROR(IF(up_Bv!V16=0,".",((s_Ir*s_F*s_MLF_pumpkin*(1-EXP(-up_RadSpec!AZ16*s_t_b)))/(s_P*up_RadSpec!AZ16))),".")</f>
        <v>2.6824597822007652</v>
      </c>
      <c r="AV16" s="108">
        <f>IFERROR(IF(up_Bv!W16=0,".",((s_Ir*s_F*s_MLF_snap_bean*(1-EXP(-up_RadSpec!AZ16*s_t_b)))/(s_P*up_RadSpec!AZ16))),".")</f>
        <v>2.6824597822007652</v>
      </c>
      <c r="AW16" s="108">
        <f>IFERROR(IF(up_Bv!X16=0,".",((s_Ir*s_F*s_MLF_strawberry*(1-EXP(-up_RadSpec!AZ16*s_t_b)))/(s_P*up_RadSpec!AZ16))),".")</f>
        <v>2.6824597822007652</v>
      </c>
      <c r="AX16" s="108">
        <f>IFERROR(IF(up_Bv!Y16=0,".",((s_Ir*s_F*s_MLF_tomato*(1-EXP(-up_RadSpec!AZ16*s_t_b)))/(s_P*up_RadSpec!AZ16))),".")</f>
        <v>2.6824597822007652</v>
      </c>
      <c r="AY16" s="108">
        <f>IFERROR(IF(up_Bv!Z16=0,".",((s_Ir*s_F*s_MLF_rice*(1-EXP(-up_RadSpec!AZ16*s_t_b)))/(s_P*up_RadSpec!AZ16))),".")</f>
        <v>2.6824597822007652</v>
      </c>
      <c r="AZ16" s="108">
        <f>IFERROR(IF(up_Bv!AA16=0,".",((s_Ir*s_F*s_MLF_cereal*(1-EXP(-up_RadSpec!AZ16*s_t_b)))/(s_P*up_RadSpec!AZ16))),".")</f>
        <v>2.6824597822007652</v>
      </c>
      <c r="BA16" s="108">
        <f>IFERROR(IF(up_Bv!C16=0,".",((s_Ir*s_F*s_I_f*s_T*(1-EXP(-up_RadSpec!BA16*s_t_v)))/(s_Y_v*up_RadSpec!BA16))),".")</f>
        <v>9.0143481925428208</v>
      </c>
      <c r="BB16" s="108">
        <f>IFERROR(IF(up_Bv!D16=0,".",((s_Ir*s_F*s_I_f*s_T*(1-EXP(-up_RadSpec!BA16*s_t_v)))/(s_Y_v*up_RadSpec!BA16))),".")</f>
        <v>9.0143481925428208</v>
      </c>
      <c r="BC16" s="108">
        <f>IFERROR(IF(up_Bv!E16=0,".",((s_Ir*s_F*s_I_f*s_T*(1-EXP(-up_RadSpec!BA16*s_t_v)))/(s_Y_v*up_RadSpec!BA16))),".")</f>
        <v>9.0143481925428208</v>
      </c>
      <c r="BD16" s="108">
        <f>IFERROR(IF(up_Bv!F16=0,".",((s_Ir*s_F*s_I_f*s_T*(1-EXP(-up_RadSpec!BA16*s_t_v)))/(s_Y_v*up_RadSpec!BA16))),".")</f>
        <v>9.0143481925428208</v>
      </c>
      <c r="BE16" s="108">
        <f>IFERROR(IF(up_Bv!G16=0,".",((s_Ir*s_F*s_I_f*s_T*(1-EXP(-up_RadSpec!BA16*s_t_v)))/(s_Y_v*up_RadSpec!BA16))),".")</f>
        <v>9.0143481925428208</v>
      </c>
      <c r="BF16" s="108">
        <f>IFERROR(IF(up_Bv!H16=0,".",((s_Ir*s_F*s_I_f*s_T*(1-EXP(-up_RadSpec!BA16*s_t_v)))/(s_Y_v*up_RadSpec!BA16))),".")</f>
        <v>9.0143481925428208</v>
      </c>
      <c r="BG16" s="108">
        <f>IFERROR(IF(up_Bv!I16=0,".",((s_Ir*s_F*s_I_f*s_T*(1-EXP(-up_RadSpec!BA16*s_t_v)))/(s_Y_v*up_RadSpec!BA16))),".")</f>
        <v>9.0143481925428208</v>
      </c>
      <c r="BH16" s="108">
        <f>IFERROR(IF(up_Bv!J16=0,".",((s_Ir*s_F*s_I_f*s_T*(1-EXP(-up_RadSpec!BA16*s_t_v)))/(s_Y_v*up_RadSpec!BA16))),".")</f>
        <v>9.0143481925428208</v>
      </c>
      <c r="BI16" s="108">
        <f>IFERROR(IF(up_Bv!K16=0,".",((s_Ir*s_F*s_I_f*s_T*(1-EXP(-up_RadSpec!BA16*s_t_v)))/(s_Y_v*up_RadSpec!BA16))),".")</f>
        <v>9.0143481925428208</v>
      </c>
      <c r="BJ16" s="108">
        <f>IFERROR(IF(up_Bv!L16=0,".",((s_Ir*s_F*s_I_f*s_T*(1-EXP(-up_RadSpec!BA16*s_t_v)))/(s_Y_v*up_RadSpec!BA16))),".")</f>
        <v>9.0143481925428208</v>
      </c>
      <c r="BK16" s="108">
        <f>IFERROR(IF(up_Bv!M16=0,".",((s_Ir*s_F*s_I_f*s_T*(1-EXP(-up_RadSpec!BA16*s_t_v)))/(s_Y_v*up_RadSpec!BA16))),".")</f>
        <v>9.0143481925428208</v>
      </c>
      <c r="BL16" s="108">
        <f>IFERROR(IF(up_Bv!N16=0,".",((s_Ir*s_F*s_I_f*s_T*(1-EXP(-up_RadSpec!BA16*s_t_v)))/(s_Y_v*up_RadSpec!BA16))),".")</f>
        <v>9.0143481925428208</v>
      </c>
      <c r="BM16" s="108">
        <f>IFERROR(IF(up_Bv!O16=0,".",((s_Ir*s_F*s_I_f*s_T*(1-EXP(-up_RadSpec!BA16*s_t_v)))/(s_Y_v*up_RadSpec!BA16))),".")</f>
        <v>9.0143481925428208</v>
      </c>
      <c r="BN16" s="108">
        <f>IFERROR(IF(up_Bv!P16=0,".",((s_Ir*s_F*s_I_f*s_T*(1-EXP(-up_RadSpec!BA16*s_t_v)))/(s_Y_v*up_RadSpec!BA16))),".")</f>
        <v>9.0143481925428208</v>
      </c>
      <c r="BO16" s="108">
        <f>IFERROR(IF(up_Bv!Q16=0,".",((s_Ir*s_F*s_I_f*s_T*(1-EXP(-up_RadSpec!BA16*s_t_v)))/(s_Y_v*up_RadSpec!BA16))),".")</f>
        <v>9.0143481925428208</v>
      </c>
      <c r="BP16" s="108">
        <f>IFERROR(IF(up_Bv!R16=0,".",((s_Ir*s_F*s_I_f*s_T*(1-EXP(-up_RadSpec!BA16*s_t_v)))/(s_Y_v*up_RadSpec!BA16))),".")</f>
        <v>9.0143481925428208</v>
      </c>
      <c r="BQ16" s="108">
        <f>IFERROR(IF(up_Bv!S16=0,".",((s_Ir*s_F*s_I_f*s_T*(1-EXP(-up_RadSpec!BA16*s_t_v)))/(s_Y_v*up_RadSpec!BA16))),".")</f>
        <v>9.0143481925428208</v>
      </c>
      <c r="BR16" s="108">
        <f>IFERROR(IF(up_Bv!T16=0,".",((s_Ir*s_F*s_I_f*s_T*(1-EXP(-up_RadSpec!BA16*s_t_v)))/(s_Y_v*up_RadSpec!BA16))),".")</f>
        <v>9.0143481925428208</v>
      </c>
      <c r="BS16" s="108">
        <f>IFERROR(IF(up_Bv!U16=0,".",((s_Ir*s_F*s_I_f*s_T*(1-EXP(-up_RadSpec!BA16*s_t_v)))/(s_Y_v*up_RadSpec!BA16))),".")</f>
        <v>9.0143481925428208</v>
      </c>
      <c r="BT16" s="108">
        <f>IFERROR(IF(up_Bv!V16=0,".",((s_Ir*s_F*s_I_f*s_T*(1-EXP(-up_RadSpec!BA16*s_t_v)))/(s_Y_v*up_RadSpec!BA16))),".")</f>
        <v>9.0143481925428208</v>
      </c>
      <c r="BU16" s="108">
        <f>IFERROR(IF(up_Bv!W16=0,".",((s_Ir*s_F*s_I_f*s_T*(1-EXP(-up_RadSpec!BA16*s_t_v)))/(s_Y_v*up_RadSpec!BA16))),".")</f>
        <v>9.0143481925428208</v>
      </c>
      <c r="BV16" s="108">
        <f>IFERROR(IF(up_Bv!X16=0,".",((s_Ir*s_F*s_I_f*s_T*(1-EXP(-up_RadSpec!BA16*s_t_v)))/(s_Y_v*up_RadSpec!BA16))),".")</f>
        <v>9.0143481925428208</v>
      </c>
      <c r="BW16" s="108">
        <f>IFERROR(IF(up_Bv!Y16=0,".",((s_Ir*s_F*s_I_f*s_T*(1-EXP(-up_RadSpec!BA16*s_t_v)))/(s_Y_v*up_RadSpec!BA16))),".")</f>
        <v>9.0143481925428208</v>
      </c>
      <c r="BX16" s="108">
        <f>IFERROR(IF(up_Bv!Z16=0,".",((s_Ir*s_F*s_I_f*s_T*(1-EXP(-up_RadSpec!BA16*s_t_v)))/(s_Y_v*up_RadSpec!BA16))),".")</f>
        <v>9.0143481925428208</v>
      </c>
      <c r="BY16" s="108">
        <f>IFERROR(IF(up_Bv!AA16=0,".",((s_Ir*s_F*s_I_f*s_T*(1-EXP(-up_RadSpec!BA16*s_t_v)))/(s_Y_v*up_RadSpec!BA16))),".")</f>
        <v>9.0143481925428208</v>
      </c>
    </row>
    <row r="17" spans="1:77" x14ac:dyDescent="0.25">
      <c r="A17" s="44" t="s">
        <v>15</v>
      </c>
      <c r="B17" s="42" t="s">
        <v>1057</v>
      </c>
      <c r="C17" s="108">
        <f>IFERROR(IF(up_Bv!C17=0,".",((s_Ir*s_F*up_Bv!C17*(1-EXP(-up_RadSpec!$AZ17*s_t_b)))/(s_P*up_RadSpec!$AZ17))),".")</f>
        <v>993.50362303732038</v>
      </c>
      <c r="D17" s="108">
        <f>IFERROR(IF(up_Bv!D17=0,".",((s_Ir*s_F*up_Bv!D17*(1-EXP(-up_RadSpec!AZ17*s_t_b)))/(s_P*up_RadSpec!AZ17))),".")</f>
        <v>993.50362303732038</v>
      </c>
      <c r="E17" s="108">
        <f>IFERROR(IF(up_Bv!E17=0,".",((s_Ir*s_F*up_Bv!E17*(1-EXP(-up_RadSpec!AZ17*s_t_b)))/(s_P*up_RadSpec!AZ17))),".")</f>
        <v>993.50362303732038</v>
      </c>
      <c r="F17" s="108">
        <f>IFERROR(IF(up_Bv!F17=0,".",((s_Ir*s_F*up_Bv!F17*(1-EXP(-up_RadSpec!AZ17*s_t_b)))/(s_P*up_RadSpec!AZ17))),".")</f>
        <v>993.50362303732038</v>
      </c>
      <c r="G17" s="108">
        <f>IFERROR(IF(up_Bv!G17=0,".",((s_Ir*s_F*up_Bv!G17*(1-EXP(-up_RadSpec!AZ17*s_t_b)))/(s_P*up_RadSpec!AZ17))),".")</f>
        <v>993.50362303732038</v>
      </c>
      <c r="H17" s="108">
        <f>IFERROR(IF(up_Bv!H17=0,".",((s_Ir*s_F*up_Bv!H17*(1-EXP(-up_RadSpec!AZ17*s_t_b)))/(s_P*up_RadSpec!AZ17))),".")</f>
        <v>993.50362303732038</v>
      </c>
      <c r="I17" s="108">
        <f>IFERROR(IF(up_Bv!I17=0,".",((s_Ir*s_F*up_Bv!I17*(1-EXP(-up_RadSpec!AZ17*s_t_b)))/(s_P*up_RadSpec!AZ17))),".")</f>
        <v>993.50362303732038</v>
      </c>
      <c r="J17" s="108">
        <f>IFERROR(IF(up_Bv!J17=0,".",((s_Ir*s_F*up_Bv!J17*(1-EXP(-up_RadSpec!AZ17*s_t_b)))/(s_P*up_RadSpec!AZ17))),".")</f>
        <v>993.50362303732038</v>
      </c>
      <c r="K17" s="108">
        <f>IFERROR(IF(up_Bv!K17=0,".",((s_Ir*s_F*up_Bv!K17*(1-EXP(-up_RadSpec!AZ17*s_t_b)))/(s_P*up_RadSpec!AZ17))),".")</f>
        <v>993.50362303732038</v>
      </c>
      <c r="L17" s="108">
        <f>IFERROR(IF(up_Bv!L17=0,".",((s_Ir*s_F*up_Bv!L17*(1-EXP(-up_RadSpec!AZ17*s_t_b)))/(s_P*up_RadSpec!AZ17))),".")</f>
        <v>993.50362303732038</v>
      </c>
      <c r="M17" s="108">
        <f>IFERROR(IF(up_Bv!M17=0,".",((s_Ir*s_F*up_Bv!M17*(1-EXP(-up_RadSpec!AZ17*s_t_b)))/(s_P*up_RadSpec!AZ17))),".")</f>
        <v>993.50362303732038</v>
      </c>
      <c r="N17" s="108">
        <f>IFERROR(IF(up_Bv!N17=0,".",((s_Ir*s_F*up_Bv!N17*(1-EXP(-up_RadSpec!AZ17*s_t_b)))/(s_P*up_RadSpec!AZ17))),".")</f>
        <v>993.50362303732038</v>
      </c>
      <c r="O17" s="108">
        <f>IFERROR(IF(up_Bv!O17=0,".",((s_Ir*s_F*up_Bv!O17*(1-EXP(-up_RadSpec!AZ17*s_t_b)))/(s_P*up_RadSpec!AZ17))),".")</f>
        <v>993.50362303732038</v>
      </c>
      <c r="P17" s="108">
        <f>IFERROR(IF(up_Bv!P17=0,".",((s_Ir*s_F*up_Bv!P17*(1-EXP(-up_RadSpec!AZ17*s_t_b)))/(s_P*up_RadSpec!AZ17))),".")</f>
        <v>993.50362303732038</v>
      </c>
      <c r="Q17" s="108">
        <f>IFERROR(IF(up_Bv!Q17=0,".",((s_Ir*s_F*up_Bv!Q17*(1-EXP(-up_RadSpec!AZ17*s_t_b)))/(s_P*up_RadSpec!AZ17))),".")</f>
        <v>993.50362303732038</v>
      </c>
      <c r="R17" s="108">
        <f>IFERROR(IF(up_Bv!R17=0,".",((s_Ir*s_F*up_Bv!R17*(1-EXP(-up_RadSpec!AZ17*s_t_b)))/(s_P*up_RadSpec!AZ17))),".")</f>
        <v>993.50362303732038</v>
      </c>
      <c r="S17" s="108">
        <f>IFERROR(IF(up_Bv!S17=0,".",((s_Ir*s_F*up_Bv!S17*(1-EXP(-up_RadSpec!AZ17*s_t_b)))/(s_P*up_RadSpec!AZ17))),".")</f>
        <v>993.50362303732038</v>
      </c>
      <c r="T17" s="108">
        <f>IFERROR(IF(up_Bv!T17=0,".",((s_Ir*s_F*up_Bv!T17*(1-EXP(-up_RadSpec!AZ17*s_t_b)))/(s_P*up_RadSpec!AZ17))),".")</f>
        <v>993.50362303732038</v>
      </c>
      <c r="U17" s="108">
        <f>IFERROR(IF(up_Bv!U17=0,".",((s_Ir*s_F*up_Bv!U17*(1-EXP(-up_RadSpec!AZ17*s_t_b)))/(s_P*up_RadSpec!AZ17))),".")</f>
        <v>993.50362303732038</v>
      </c>
      <c r="V17" s="108">
        <f>IFERROR(IF(up_Bv!V17=0,".",((s_Ir*s_F*up_Bv!V17*(1-EXP(-up_RadSpec!AZ17*s_t_b)))/(s_P*up_RadSpec!AZ17))),".")</f>
        <v>993.50362303732038</v>
      </c>
      <c r="W17" s="108">
        <f>IFERROR(IF(up_Bv!W17=0,".",((s_Ir*s_F*up_Bv!W17*(1-EXP(-up_RadSpec!AZ17*s_t_b)))/(s_P*up_RadSpec!AZ17))),".")</f>
        <v>993.50362303732038</v>
      </c>
      <c r="X17" s="108">
        <f>IFERROR(IF(up_Bv!X17=0,".",((s_Ir*s_F*up_Bv!X17*(1-EXP(-up_RadSpec!AZ17*s_t_b)))/(s_P*up_RadSpec!AZ17))),".")</f>
        <v>993.50362303732038</v>
      </c>
      <c r="Y17" s="108">
        <f>IFERROR(IF(up_Bv!Y17=0,".",((s_Ir*s_F*up_Bv!Y17*(1-EXP(-up_RadSpec!AZ17*s_t_b)))/(s_P*up_RadSpec!AZ17))),".")</f>
        <v>993.50362303732038</v>
      </c>
      <c r="Z17" s="108">
        <f>IFERROR(IF(up_Bv!Z17=0,".",((s_Ir*s_F*up_Bv!Z17*(1-EXP(-up_RadSpec!AZ17*s_t_b)))/(s_P*up_RadSpec!AZ17))),".")</f>
        <v>993.50362303732038</v>
      </c>
      <c r="AA17" s="108">
        <f>IFERROR(IF(up_Bv!AA17=0,".",((s_Ir*s_F*up_Bv!AA17*(1-EXP(-up_RadSpec!AZ17*s_t_b)))/(s_P*up_RadSpec!AZ17))),".")</f>
        <v>993.50362303732038</v>
      </c>
      <c r="AB17" s="108">
        <f>IFERROR(IF(up_Bv!C17=0,".",((s_Ir*s_F*s_MLF_apple*(1-EXP(-up_RadSpec!AZ17*s_t_b)))/(s_P*up_RadSpec!AZ17))),".")</f>
        <v>2.6824597822007652</v>
      </c>
      <c r="AC17" s="108">
        <f>IFERROR(IF(up_Bv!D17=0,".",((s_Ir*s_F*s_MLF_asparagus*(1-EXP(-up_RadSpec!AZ17*s_t_b)))/(s_P*up_RadSpec!AZ17))),".")</f>
        <v>2.6824597822007652</v>
      </c>
      <c r="AD17" s="108">
        <f>IFERROR(IF(up_Bv!E17=0,".",((s_Ir*s_F*s_MLF_beet*(1-EXP(-up_RadSpec!AZ17*s_t_b)))/(s_P*up_RadSpec!AZ17))),".")</f>
        <v>2.6824597822007652</v>
      </c>
      <c r="AE17" s="108">
        <f>IFERROR(IF(up_Bv!F17=0,".",((s_Ir*s_F*s_MLF_berries*(1-EXP(-up_RadSpec!AZ17*s_t_b)))/(s_P*up_RadSpec!AZ17))),".")</f>
        <v>2.6824597822007652</v>
      </c>
      <c r="AF17" s="108">
        <f>IFERROR(IF(up_Bv!G17=0,".",((s_Ir*s_F*s_MLF_broccoli*(1-EXP(-up_RadSpec!AZ17*s_t_b)))/(s_P*up_RadSpec!AZ17))),".")</f>
        <v>2.6824597822007652</v>
      </c>
      <c r="AG17" s="108">
        <f>IFERROR(IF(up_Bv!H17=0,".",((s_Ir*s_F*s_MLF_cabbage*(1-EXP(-up_RadSpec!AZ17*s_t_b)))/(s_P*up_RadSpec!AZ17))),".")</f>
        <v>2.6824597822007652</v>
      </c>
      <c r="AH17" s="108">
        <f>IFERROR(IF(up_Bv!I17=0,".",((s_Ir*s_F*s_MLF_carrot*(1-EXP(-up_RadSpec!AZ17*s_t_b)))/(s_P*up_RadSpec!AZ17))),".")</f>
        <v>2.6824597822007652</v>
      </c>
      <c r="AI17" s="108">
        <f>IFERROR(IF(up_Bv!J17=0,".",((s_Ir*s_F*s_MLF_citrus*(1-EXP(-up_RadSpec!AZ17*s_t_b)))/(s_P*up_RadSpec!AZ17))),".")</f>
        <v>2.6824597822007652</v>
      </c>
      <c r="AJ17" s="108">
        <f>IFERROR(IF(up_Bv!K17=0,".",((s_Ir*s_F*s_MLF_corn*(1-EXP(-up_RadSpec!AZ17*s_t_b)))/(s_P*up_RadSpec!AZ17))),".")</f>
        <v>2.6824597822007652</v>
      </c>
      <c r="AK17" s="108">
        <f>IFERROR(IF(up_Bv!L17=0,".",((s_Ir*s_F*s_MLF_cucumber*(1-EXP(-up_RadSpec!AZ17*s_t_b)))/(s_P*up_RadSpec!AZ17))),".")</f>
        <v>2.6824597822007652</v>
      </c>
      <c r="AL17" s="108">
        <f>IFERROR(IF(up_Bv!M17=0,".",((s_Ir*s_F*s_MLF_lettuce*(1-EXP(-up_RadSpec!AZ17*s_t_b)))/(s_P*up_RadSpec!AZ17))),".")</f>
        <v>2.6824597822007652</v>
      </c>
      <c r="AM17" s="108">
        <f>IFERROR(IF(up_Bv!N17=0,".",((s_Ir*s_F*s_MLF_lima_bean*(1-EXP(-up_RadSpec!AZ17*s_t_b)))/(s_P*up_RadSpec!AZ17))),".")</f>
        <v>2.6824597822007652</v>
      </c>
      <c r="AN17" s="108">
        <f>IFERROR(IF(up_Bv!O17=0,".",((s_Ir*s_F*s_MLF_okra*(1-EXP(-up_RadSpec!AZ17*s_t_b)))/(s_P*up_RadSpec!AZ17))),".")</f>
        <v>2.6824597822007652</v>
      </c>
      <c r="AO17" s="108">
        <f>IFERROR(IF(up_Bv!P17=0,".",((s_Ir*s_F*s_MLF_onion*(1-EXP(-up_RadSpec!AZ17*s_t_b)))/(s_P*up_RadSpec!AZ17))),".")</f>
        <v>2.6824597822007652</v>
      </c>
      <c r="AP17" s="108">
        <f>IFERROR(IF(up_Bv!Q17=0,".",((s_Ir*s_F*s_MLF_peach*(1-EXP(-up_RadSpec!AZ17*s_t_b)))/(s_P*up_RadSpec!AZ17))),".")</f>
        <v>2.6824597822007652</v>
      </c>
      <c r="AQ17" s="108">
        <f>IFERROR(IF(up_Bv!R17=0,".",((s_Ir*s_F*s_MLF_pear*(1-EXP(-up_RadSpec!AZ17*s_t_b)))/(s_P*up_RadSpec!AZ17))),".")</f>
        <v>2.6824597822007652</v>
      </c>
      <c r="AR17" s="108">
        <f>IFERROR(IF(up_Bv!S17=0,".",((s_Ir*s_F*s_MLF_peas*(1-EXP(-up_RadSpec!AZ17*s_t_b)))/(s_P*up_RadSpec!AZ17))),".")</f>
        <v>2.6824597822007652</v>
      </c>
      <c r="AS17" s="108">
        <f>IFERROR(IF(up_Bv!T17=0,".",((s_Ir*s_F*s_MLF_peppers*(1-EXP(-up_RadSpec!AZ17*s_t_b)))/(s_P*up_RadSpec!AZ17))),".")</f>
        <v>2.6824597822007652</v>
      </c>
      <c r="AT17" s="108">
        <f>IFERROR(IF(up_Bv!U17=0,".",((s_Ir*s_F*s_MLF_potato*(1-EXP(-up_RadSpec!AZ17*s_t_b)))/(s_P*up_RadSpec!AZ17))),".")</f>
        <v>2.6824597822007652</v>
      </c>
      <c r="AU17" s="108">
        <f>IFERROR(IF(up_Bv!V17=0,".",((s_Ir*s_F*s_MLF_pumpkin*(1-EXP(-up_RadSpec!AZ17*s_t_b)))/(s_P*up_RadSpec!AZ17))),".")</f>
        <v>2.6824597822007652</v>
      </c>
      <c r="AV17" s="108">
        <f>IFERROR(IF(up_Bv!W17=0,".",((s_Ir*s_F*s_MLF_snap_bean*(1-EXP(-up_RadSpec!AZ17*s_t_b)))/(s_P*up_RadSpec!AZ17))),".")</f>
        <v>2.6824597822007652</v>
      </c>
      <c r="AW17" s="108">
        <f>IFERROR(IF(up_Bv!X17=0,".",((s_Ir*s_F*s_MLF_strawberry*(1-EXP(-up_RadSpec!AZ17*s_t_b)))/(s_P*up_RadSpec!AZ17))),".")</f>
        <v>2.6824597822007652</v>
      </c>
      <c r="AX17" s="108">
        <f>IFERROR(IF(up_Bv!Y17=0,".",((s_Ir*s_F*s_MLF_tomato*(1-EXP(-up_RadSpec!AZ17*s_t_b)))/(s_P*up_RadSpec!AZ17))),".")</f>
        <v>2.6824597822007652</v>
      </c>
      <c r="AY17" s="108">
        <f>IFERROR(IF(up_Bv!Z17=0,".",((s_Ir*s_F*s_MLF_rice*(1-EXP(-up_RadSpec!AZ17*s_t_b)))/(s_P*up_RadSpec!AZ17))),".")</f>
        <v>2.6824597822007652</v>
      </c>
      <c r="AZ17" s="108">
        <f>IFERROR(IF(up_Bv!AA17=0,".",((s_Ir*s_F*s_MLF_cereal*(1-EXP(-up_RadSpec!AZ17*s_t_b)))/(s_P*up_RadSpec!AZ17))),".")</f>
        <v>2.6824597822007652</v>
      </c>
      <c r="BA17" s="108">
        <f>IFERROR(IF(up_Bv!C17=0,".",((s_Ir*s_F*s_I_f*s_T*(1-EXP(-up_RadSpec!BA17*s_t_v)))/(s_Y_v*up_RadSpec!BA17))),".")</f>
        <v>9.0143481925428208</v>
      </c>
      <c r="BB17" s="108">
        <f>IFERROR(IF(up_Bv!D17=0,".",((s_Ir*s_F*s_I_f*s_T*(1-EXP(-up_RadSpec!BA17*s_t_v)))/(s_Y_v*up_RadSpec!BA17))),".")</f>
        <v>9.0143481925428208</v>
      </c>
      <c r="BC17" s="108">
        <f>IFERROR(IF(up_Bv!E17=0,".",((s_Ir*s_F*s_I_f*s_T*(1-EXP(-up_RadSpec!BA17*s_t_v)))/(s_Y_v*up_RadSpec!BA17))),".")</f>
        <v>9.0143481925428208</v>
      </c>
      <c r="BD17" s="108">
        <f>IFERROR(IF(up_Bv!F17=0,".",((s_Ir*s_F*s_I_f*s_T*(1-EXP(-up_RadSpec!BA17*s_t_v)))/(s_Y_v*up_RadSpec!BA17))),".")</f>
        <v>9.0143481925428208</v>
      </c>
      <c r="BE17" s="108">
        <f>IFERROR(IF(up_Bv!G17=0,".",((s_Ir*s_F*s_I_f*s_T*(1-EXP(-up_RadSpec!BA17*s_t_v)))/(s_Y_v*up_RadSpec!BA17))),".")</f>
        <v>9.0143481925428208</v>
      </c>
      <c r="BF17" s="108">
        <f>IFERROR(IF(up_Bv!H17=0,".",((s_Ir*s_F*s_I_f*s_T*(1-EXP(-up_RadSpec!BA17*s_t_v)))/(s_Y_v*up_RadSpec!BA17))),".")</f>
        <v>9.0143481925428208</v>
      </c>
      <c r="BG17" s="108">
        <f>IFERROR(IF(up_Bv!I17=0,".",((s_Ir*s_F*s_I_f*s_T*(1-EXP(-up_RadSpec!BA17*s_t_v)))/(s_Y_v*up_RadSpec!BA17))),".")</f>
        <v>9.0143481925428208</v>
      </c>
      <c r="BH17" s="108">
        <f>IFERROR(IF(up_Bv!J17=0,".",((s_Ir*s_F*s_I_f*s_T*(1-EXP(-up_RadSpec!BA17*s_t_v)))/(s_Y_v*up_RadSpec!BA17))),".")</f>
        <v>9.0143481925428208</v>
      </c>
      <c r="BI17" s="108">
        <f>IFERROR(IF(up_Bv!K17=0,".",((s_Ir*s_F*s_I_f*s_T*(1-EXP(-up_RadSpec!BA17*s_t_v)))/(s_Y_v*up_RadSpec!BA17))),".")</f>
        <v>9.0143481925428208</v>
      </c>
      <c r="BJ17" s="108">
        <f>IFERROR(IF(up_Bv!L17=0,".",((s_Ir*s_F*s_I_f*s_T*(1-EXP(-up_RadSpec!BA17*s_t_v)))/(s_Y_v*up_RadSpec!BA17))),".")</f>
        <v>9.0143481925428208</v>
      </c>
      <c r="BK17" s="108">
        <f>IFERROR(IF(up_Bv!M17=0,".",((s_Ir*s_F*s_I_f*s_T*(1-EXP(-up_RadSpec!BA17*s_t_v)))/(s_Y_v*up_RadSpec!BA17))),".")</f>
        <v>9.0143481925428208</v>
      </c>
      <c r="BL17" s="108">
        <f>IFERROR(IF(up_Bv!N17=0,".",((s_Ir*s_F*s_I_f*s_T*(1-EXP(-up_RadSpec!BA17*s_t_v)))/(s_Y_v*up_RadSpec!BA17))),".")</f>
        <v>9.0143481925428208</v>
      </c>
      <c r="BM17" s="108">
        <f>IFERROR(IF(up_Bv!O17=0,".",((s_Ir*s_F*s_I_f*s_T*(1-EXP(-up_RadSpec!BA17*s_t_v)))/(s_Y_v*up_RadSpec!BA17))),".")</f>
        <v>9.0143481925428208</v>
      </c>
      <c r="BN17" s="108">
        <f>IFERROR(IF(up_Bv!P17=0,".",((s_Ir*s_F*s_I_f*s_T*(1-EXP(-up_RadSpec!BA17*s_t_v)))/(s_Y_v*up_RadSpec!BA17))),".")</f>
        <v>9.0143481925428208</v>
      </c>
      <c r="BO17" s="108">
        <f>IFERROR(IF(up_Bv!Q17=0,".",((s_Ir*s_F*s_I_f*s_T*(1-EXP(-up_RadSpec!BA17*s_t_v)))/(s_Y_v*up_RadSpec!BA17))),".")</f>
        <v>9.0143481925428208</v>
      </c>
      <c r="BP17" s="108">
        <f>IFERROR(IF(up_Bv!R17=0,".",((s_Ir*s_F*s_I_f*s_T*(1-EXP(-up_RadSpec!BA17*s_t_v)))/(s_Y_v*up_RadSpec!BA17))),".")</f>
        <v>9.0143481925428208</v>
      </c>
      <c r="BQ17" s="108">
        <f>IFERROR(IF(up_Bv!S17=0,".",((s_Ir*s_F*s_I_f*s_T*(1-EXP(-up_RadSpec!BA17*s_t_v)))/(s_Y_v*up_RadSpec!BA17))),".")</f>
        <v>9.0143481925428208</v>
      </c>
      <c r="BR17" s="108">
        <f>IFERROR(IF(up_Bv!T17=0,".",((s_Ir*s_F*s_I_f*s_T*(1-EXP(-up_RadSpec!BA17*s_t_v)))/(s_Y_v*up_RadSpec!BA17))),".")</f>
        <v>9.0143481925428208</v>
      </c>
      <c r="BS17" s="108">
        <f>IFERROR(IF(up_Bv!U17=0,".",((s_Ir*s_F*s_I_f*s_T*(1-EXP(-up_RadSpec!BA17*s_t_v)))/(s_Y_v*up_RadSpec!BA17))),".")</f>
        <v>9.0143481925428208</v>
      </c>
      <c r="BT17" s="108">
        <f>IFERROR(IF(up_Bv!V17=0,".",((s_Ir*s_F*s_I_f*s_T*(1-EXP(-up_RadSpec!BA17*s_t_v)))/(s_Y_v*up_RadSpec!BA17))),".")</f>
        <v>9.0143481925428208</v>
      </c>
      <c r="BU17" s="108">
        <f>IFERROR(IF(up_Bv!W17=0,".",((s_Ir*s_F*s_I_f*s_T*(1-EXP(-up_RadSpec!BA17*s_t_v)))/(s_Y_v*up_RadSpec!BA17))),".")</f>
        <v>9.0143481925428208</v>
      </c>
      <c r="BV17" s="108">
        <f>IFERROR(IF(up_Bv!X17=0,".",((s_Ir*s_F*s_I_f*s_T*(1-EXP(-up_RadSpec!BA17*s_t_v)))/(s_Y_v*up_RadSpec!BA17))),".")</f>
        <v>9.0143481925428208</v>
      </c>
      <c r="BW17" s="108">
        <f>IFERROR(IF(up_Bv!Y17=0,".",((s_Ir*s_F*s_I_f*s_T*(1-EXP(-up_RadSpec!BA17*s_t_v)))/(s_Y_v*up_RadSpec!BA17))),".")</f>
        <v>9.0143481925428208</v>
      </c>
      <c r="BX17" s="108">
        <f>IFERROR(IF(up_Bv!Z17=0,".",((s_Ir*s_F*s_I_f*s_T*(1-EXP(-up_RadSpec!BA17*s_t_v)))/(s_Y_v*up_RadSpec!BA17))),".")</f>
        <v>9.0143481925428208</v>
      </c>
      <c r="BY17" s="108">
        <f>IFERROR(IF(up_Bv!AA17=0,".",((s_Ir*s_F*s_I_f*s_T*(1-EXP(-up_RadSpec!BA17*s_t_v)))/(s_Y_v*up_RadSpec!BA17))),".")</f>
        <v>9.0143481925428208</v>
      </c>
    </row>
    <row r="18" spans="1:77" x14ac:dyDescent="0.25">
      <c r="A18" s="44" t="s">
        <v>16</v>
      </c>
      <c r="B18" s="42" t="s">
        <v>1057</v>
      </c>
      <c r="C18" s="108">
        <f>IFERROR(IF(up_Bv!C18=0,".",((s_Ir*s_F*up_Bv!C18*(1-EXP(-up_RadSpec!$AZ18*s_t_b)))/(s_P*up_RadSpec!$AZ18))),".")</f>
        <v>993.50362303732038</v>
      </c>
      <c r="D18" s="108">
        <f>IFERROR(IF(up_Bv!D18=0,".",((s_Ir*s_F*up_Bv!D18*(1-EXP(-up_RadSpec!AZ18*s_t_b)))/(s_P*up_RadSpec!AZ18))),".")</f>
        <v>993.50362303732038</v>
      </c>
      <c r="E18" s="108">
        <f>IFERROR(IF(up_Bv!E18=0,".",((s_Ir*s_F*up_Bv!E18*(1-EXP(-up_RadSpec!AZ18*s_t_b)))/(s_P*up_RadSpec!AZ18))),".")</f>
        <v>993.50362303732038</v>
      </c>
      <c r="F18" s="108">
        <f>IFERROR(IF(up_Bv!F18=0,".",((s_Ir*s_F*up_Bv!F18*(1-EXP(-up_RadSpec!AZ18*s_t_b)))/(s_P*up_RadSpec!AZ18))),".")</f>
        <v>993.50362303732038</v>
      </c>
      <c r="G18" s="108">
        <f>IFERROR(IF(up_Bv!G18=0,".",((s_Ir*s_F*up_Bv!G18*(1-EXP(-up_RadSpec!AZ18*s_t_b)))/(s_P*up_RadSpec!AZ18))),".")</f>
        <v>993.50362303732038</v>
      </c>
      <c r="H18" s="108">
        <f>IFERROR(IF(up_Bv!H18=0,".",((s_Ir*s_F*up_Bv!H18*(1-EXP(-up_RadSpec!AZ18*s_t_b)))/(s_P*up_RadSpec!AZ18))),".")</f>
        <v>993.50362303732038</v>
      </c>
      <c r="I18" s="108">
        <f>IFERROR(IF(up_Bv!I18=0,".",((s_Ir*s_F*up_Bv!I18*(1-EXP(-up_RadSpec!AZ18*s_t_b)))/(s_P*up_RadSpec!AZ18))),".")</f>
        <v>993.50362303732038</v>
      </c>
      <c r="J18" s="108">
        <f>IFERROR(IF(up_Bv!J18=0,".",((s_Ir*s_F*up_Bv!J18*(1-EXP(-up_RadSpec!AZ18*s_t_b)))/(s_P*up_RadSpec!AZ18))),".")</f>
        <v>993.50362303732038</v>
      </c>
      <c r="K18" s="108">
        <f>IFERROR(IF(up_Bv!K18=0,".",((s_Ir*s_F*up_Bv!K18*(1-EXP(-up_RadSpec!AZ18*s_t_b)))/(s_P*up_RadSpec!AZ18))),".")</f>
        <v>993.50362303732038</v>
      </c>
      <c r="L18" s="108">
        <f>IFERROR(IF(up_Bv!L18=0,".",((s_Ir*s_F*up_Bv!L18*(1-EXP(-up_RadSpec!AZ18*s_t_b)))/(s_P*up_RadSpec!AZ18))),".")</f>
        <v>993.50362303732038</v>
      </c>
      <c r="M18" s="108">
        <f>IFERROR(IF(up_Bv!M18=0,".",((s_Ir*s_F*up_Bv!M18*(1-EXP(-up_RadSpec!AZ18*s_t_b)))/(s_P*up_RadSpec!AZ18))),".")</f>
        <v>993.50362303732038</v>
      </c>
      <c r="N18" s="108">
        <f>IFERROR(IF(up_Bv!N18=0,".",((s_Ir*s_F*up_Bv!N18*(1-EXP(-up_RadSpec!AZ18*s_t_b)))/(s_P*up_RadSpec!AZ18))),".")</f>
        <v>993.50362303732038</v>
      </c>
      <c r="O18" s="108">
        <f>IFERROR(IF(up_Bv!O18=0,".",((s_Ir*s_F*up_Bv!O18*(1-EXP(-up_RadSpec!AZ18*s_t_b)))/(s_P*up_RadSpec!AZ18))),".")</f>
        <v>993.50362303732038</v>
      </c>
      <c r="P18" s="108">
        <f>IFERROR(IF(up_Bv!P18=0,".",((s_Ir*s_F*up_Bv!P18*(1-EXP(-up_RadSpec!AZ18*s_t_b)))/(s_P*up_RadSpec!AZ18))),".")</f>
        <v>993.50362303732038</v>
      </c>
      <c r="Q18" s="108">
        <f>IFERROR(IF(up_Bv!Q18=0,".",((s_Ir*s_F*up_Bv!Q18*(1-EXP(-up_RadSpec!AZ18*s_t_b)))/(s_P*up_RadSpec!AZ18))),".")</f>
        <v>993.50362303732038</v>
      </c>
      <c r="R18" s="108">
        <f>IFERROR(IF(up_Bv!R18=0,".",((s_Ir*s_F*up_Bv!R18*(1-EXP(-up_RadSpec!AZ18*s_t_b)))/(s_P*up_RadSpec!AZ18))),".")</f>
        <v>993.50362303732038</v>
      </c>
      <c r="S18" s="108">
        <f>IFERROR(IF(up_Bv!S18=0,".",((s_Ir*s_F*up_Bv!S18*(1-EXP(-up_RadSpec!AZ18*s_t_b)))/(s_P*up_RadSpec!AZ18))),".")</f>
        <v>993.50362303732038</v>
      </c>
      <c r="T18" s="108">
        <f>IFERROR(IF(up_Bv!T18=0,".",((s_Ir*s_F*up_Bv!T18*(1-EXP(-up_RadSpec!AZ18*s_t_b)))/(s_P*up_RadSpec!AZ18))),".")</f>
        <v>993.50362303732038</v>
      </c>
      <c r="U18" s="108">
        <f>IFERROR(IF(up_Bv!U18=0,".",((s_Ir*s_F*up_Bv!U18*(1-EXP(-up_RadSpec!AZ18*s_t_b)))/(s_P*up_RadSpec!AZ18))),".")</f>
        <v>993.50362303732038</v>
      </c>
      <c r="V18" s="108">
        <f>IFERROR(IF(up_Bv!V18=0,".",((s_Ir*s_F*up_Bv!V18*(1-EXP(-up_RadSpec!AZ18*s_t_b)))/(s_P*up_RadSpec!AZ18))),".")</f>
        <v>993.50362303732038</v>
      </c>
      <c r="W18" s="108">
        <f>IFERROR(IF(up_Bv!W18=0,".",((s_Ir*s_F*up_Bv!W18*(1-EXP(-up_RadSpec!AZ18*s_t_b)))/(s_P*up_RadSpec!AZ18))),".")</f>
        <v>993.50362303732038</v>
      </c>
      <c r="X18" s="108">
        <f>IFERROR(IF(up_Bv!X18=0,".",((s_Ir*s_F*up_Bv!X18*(1-EXP(-up_RadSpec!AZ18*s_t_b)))/(s_P*up_RadSpec!AZ18))),".")</f>
        <v>993.50362303732038</v>
      </c>
      <c r="Y18" s="108">
        <f>IFERROR(IF(up_Bv!Y18=0,".",((s_Ir*s_F*up_Bv!Y18*(1-EXP(-up_RadSpec!AZ18*s_t_b)))/(s_P*up_RadSpec!AZ18))),".")</f>
        <v>993.50362303732038</v>
      </c>
      <c r="Z18" s="108">
        <f>IFERROR(IF(up_Bv!Z18=0,".",((s_Ir*s_F*up_Bv!Z18*(1-EXP(-up_RadSpec!AZ18*s_t_b)))/(s_P*up_RadSpec!AZ18))),".")</f>
        <v>993.50362303732038</v>
      </c>
      <c r="AA18" s="108">
        <f>IFERROR(IF(up_Bv!AA18=0,".",((s_Ir*s_F*up_Bv!AA18*(1-EXP(-up_RadSpec!AZ18*s_t_b)))/(s_P*up_RadSpec!AZ18))),".")</f>
        <v>993.50362303732038</v>
      </c>
      <c r="AB18" s="108">
        <f>IFERROR(IF(up_Bv!C18=0,".",((s_Ir*s_F*s_MLF_apple*(1-EXP(-up_RadSpec!AZ18*s_t_b)))/(s_P*up_RadSpec!AZ18))),".")</f>
        <v>2.6824597822007652</v>
      </c>
      <c r="AC18" s="108">
        <f>IFERROR(IF(up_Bv!D18=0,".",((s_Ir*s_F*s_MLF_asparagus*(1-EXP(-up_RadSpec!AZ18*s_t_b)))/(s_P*up_RadSpec!AZ18))),".")</f>
        <v>2.6824597822007652</v>
      </c>
      <c r="AD18" s="108">
        <f>IFERROR(IF(up_Bv!E18=0,".",((s_Ir*s_F*s_MLF_beet*(1-EXP(-up_RadSpec!AZ18*s_t_b)))/(s_P*up_RadSpec!AZ18))),".")</f>
        <v>2.6824597822007652</v>
      </c>
      <c r="AE18" s="108">
        <f>IFERROR(IF(up_Bv!F18=0,".",((s_Ir*s_F*s_MLF_berries*(1-EXP(-up_RadSpec!AZ18*s_t_b)))/(s_P*up_RadSpec!AZ18))),".")</f>
        <v>2.6824597822007652</v>
      </c>
      <c r="AF18" s="108">
        <f>IFERROR(IF(up_Bv!G18=0,".",((s_Ir*s_F*s_MLF_broccoli*(1-EXP(-up_RadSpec!AZ18*s_t_b)))/(s_P*up_RadSpec!AZ18))),".")</f>
        <v>2.6824597822007652</v>
      </c>
      <c r="AG18" s="108">
        <f>IFERROR(IF(up_Bv!H18=0,".",((s_Ir*s_F*s_MLF_cabbage*(1-EXP(-up_RadSpec!AZ18*s_t_b)))/(s_P*up_RadSpec!AZ18))),".")</f>
        <v>2.6824597822007652</v>
      </c>
      <c r="AH18" s="108">
        <f>IFERROR(IF(up_Bv!I18=0,".",((s_Ir*s_F*s_MLF_carrot*(1-EXP(-up_RadSpec!AZ18*s_t_b)))/(s_P*up_RadSpec!AZ18))),".")</f>
        <v>2.6824597822007652</v>
      </c>
      <c r="AI18" s="108">
        <f>IFERROR(IF(up_Bv!J18=0,".",((s_Ir*s_F*s_MLF_citrus*(1-EXP(-up_RadSpec!AZ18*s_t_b)))/(s_P*up_RadSpec!AZ18))),".")</f>
        <v>2.6824597822007652</v>
      </c>
      <c r="AJ18" s="108">
        <f>IFERROR(IF(up_Bv!K18=0,".",((s_Ir*s_F*s_MLF_corn*(1-EXP(-up_RadSpec!AZ18*s_t_b)))/(s_P*up_RadSpec!AZ18))),".")</f>
        <v>2.6824597822007652</v>
      </c>
      <c r="AK18" s="108">
        <f>IFERROR(IF(up_Bv!L18=0,".",((s_Ir*s_F*s_MLF_cucumber*(1-EXP(-up_RadSpec!AZ18*s_t_b)))/(s_P*up_RadSpec!AZ18))),".")</f>
        <v>2.6824597822007652</v>
      </c>
      <c r="AL18" s="108">
        <f>IFERROR(IF(up_Bv!M18=0,".",((s_Ir*s_F*s_MLF_lettuce*(1-EXP(-up_RadSpec!AZ18*s_t_b)))/(s_P*up_RadSpec!AZ18))),".")</f>
        <v>2.6824597822007652</v>
      </c>
      <c r="AM18" s="108">
        <f>IFERROR(IF(up_Bv!N18=0,".",((s_Ir*s_F*s_MLF_lima_bean*(1-EXP(-up_RadSpec!AZ18*s_t_b)))/(s_P*up_RadSpec!AZ18))),".")</f>
        <v>2.6824597822007652</v>
      </c>
      <c r="AN18" s="108">
        <f>IFERROR(IF(up_Bv!O18=0,".",((s_Ir*s_F*s_MLF_okra*(1-EXP(-up_RadSpec!AZ18*s_t_b)))/(s_P*up_RadSpec!AZ18))),".")</f>
        <v>2.6824597822007652</v>
      </c>
      <c r="AO18" s="108">
        <f>IFERROR(IF(up_Bv!P18=0,".",((s_Ir*s_F*s_MLF_onion*(1-EXP(-up_RadSpec!AZ18*s_t_b)))/(s_P*up_RadSpec!AZ18))),".")</f>
        <v>2.6824597822007652</v>
      </c>
      <c r="AP18" s="108">
        <f>IFERROR(IF(up_Bv!Q18=0,".",((s_Ir*s_F*s_MLF_peach*(1-EXP(-up_RadSpec!AZ18*s_t_b)))/(s_P*up_RadSpec!AZ18))),".")</f>
        <v>2.6824597822007652</v>
      </c>
      <c r="AQ18" s="108">
        <f>IFERROR(IF(up_Bv!R18=0,".",((s_Ir*s_F*s_MLF_pear*(1-EXP(-up_RadSpec!AZ18*s_t_b)))/(s_P*up_RadSpec!AZ18))),".")</f>
        <v>2.6824597822007652</v>
      </c>
      <c r="AR18" s="108">
        <f>IFERROR(IF(up_Bv!S18=0,".",((s_Ir*s_F*s_MLF_peas*(1-EXP(-up_RadSpec!AZ18*s_t_b)))/(s_P*up_RadSpec!AZ18))),".")</f>
        <v>2.6824597822007652</v>
      </c>
      <c r="AS18" s="108">
        <f>IFERROR(IF(up_Bv!T18=0,".",((s_Ir*s_F*s_MLF_peppers*(1-EXP(-up_RadSpec!AZ18*s_t_b)))/(s_P*up_RadSpec!AZ18))),".")</f>
        <v>2.6824597822007652</v>
      </c>
      <c r="AT18" s="108">
        <f>IFERROR(IF(up_Bv!U18=0,".",((s_Ir*s_F*s_MLF_potato*(1-EXP(-up_RadSpec!AZ18*s_t_b)))/(s_P*up_RadSpec!AZ18))),".")</f>
        <v>2.6824597822007652</v>
      </c>
      <c r="AU18" s="108">
        <f>IFERROR(IF(up_Bv!V18=0,".",((s_Ir*s_F*s_MLF_pumpkin*(1-EXP(-up_RadSpec!AZ18*s_t_b)))/(s_P*up_RadSpec!AZ18))),".")</f>
        <v>2.6824597822007652</v>
      </c>
      <c r="AV18" s="108">
        <f>IFERROR(IF(up_Bv!W18=0,".",((s_Ir*s_F*s_MLF_snap_bean*(1-EXP(-up_RadSpec!AZ18*s_t_b)))/(s_P*up_RadSpec!AZ18))),".")</f>
        <v>2.6824597822007652</v>
      </c>
      <c r="AW18" s="108">
        <f>IFERROR(IF(up_Bv!X18=0,".",((s_Ir*s_F*s_MLF_strawberry*(1-EXP(-up_RadSpec!AZ18*s_t_b)))/(s_P*up_RadSpec!AZ18))),".")</f>
        <v>2.6824597822007652</v>
      </c>
      <c r="AX18" s="108">
        <f>IFERROR(IF(up_Bv!Y18=0,".",((s_Ir*s_F*s_MLF_tomato*(1-EXP(-up_RadSpec!AZ18*s_t_b)))/(s_P*up_RadSpec!AZ18))),".")</f>
        <v>2.6824597822007652</v>
      </c>
      <c r="AY18" s="108">
        <f>IFERROR(IF(up_Bv!Z18=0,".",((s_Ir*s_F*s_MLF_rice*(1-EXP(-up_RadSpec!AZ18*s_t_b)))/(s_P*up_RadSpec!AZ18))),".")</f>
        <v>2.6824597822007652</v>
      </c>
      <c r="AZ18" s="108">
        <f>IFERROR(IF(up_Bv!AA18=0,".",((s_Ir*s_F*s_MLF_cereal*(1-EXP(-up_RadSpec!AZ18*s_t_b)))/(s_P*up_RadSpec!AZ18))),".")</f>
        <v>2.6824597822007652</v>
      </c>
      <c r="BA18" s="108">
        <f>IFERROR(IF(up_Bv!C18=0,".",((s_Ir*s_F*s_I_f*s_T*(1-EXP(-up_RadSpec!BA18*s_t_v)))/(s_Y_v*up_RadSpec!BA18))),".")</f>
        <v>9.0143481925428208</v>
      </c>
      <c r="BB18" s="108">
        <f>IFERROR(IF(up_Bv!D18=0,".",((s_Ir*s_F*s_I_f*s_T*(1-EXP(-up_RadSpec!BA18*s_t_v)))/(s_Y_v*up_RadSpec!BA18))),".")</f>
        <v>9.0143481925428208</v>
      </c>
      <c r="BC18" s="108">
        <f>IFERROR(IF(up_Bv!E18=0,".",((s_Ir*s_F*s_I_f*s_T*(1-EXP(-up_RadSpec!BA18*s_t_v)))/(s_Y_v*up_RadSpec!BA18))),".")</f>
        <v>9.0143481925428208</v>
      </c>
      <c r="BD18" s="108">
        <f>IFERROR(IF(up_Bv!F18=0,".",((s_Ir*s_F*s_I_f*s_T*(1-EXP(-up_RadSpec!BA18*s_t_v)))/(s_Y_v*up_RadSpec!BA18))),".")</f>
        <v>9.0143481925428208</v>
      </c>
      <c r="BE18" s="108">
        <f>IFERROR(IF(up_Bv!G18=0,".",((s_Ir*s_F*s_I_f*s_T*(1-EXP(-up_RadSpec!BA18*s_t_v)))/(s_Y_v*up_RadSpec!BA18))),".")</f>
        <v>9.0143481925428208</v>
      </c>
      <c r="BF18" s="108">
        <f>IFERROR(IF(up_Bv!H18=0,".",((s_Ir*s_F*s_I_f*s_T*(1-EXP(-up_RadSpec!BA18*s_t_v)))/(s_Y_v*up_RadSpec!BA18))),".")</f>
        <v>9.0143481925428208</v>
      </c>
      <c r="BG18" s="108">
        <f>IFERROR(IF(up_Bv!I18=0,".",((s_Ir*s_F*s_I_f*s_T*(1-EXP(-up_RadSpec!BA18*s_t_v)))/(s_Y_v*up_RadSpec!BA18))),".")</f>
        <v>9.0143481925428208</v>
      </c>
      <c r="BH18" s="108">
        <f>IFERROR(IF(up_Bv!J18=0,".",((s_Ir*s_F*s_I_f*s_T*(1-EXP(-up_RadSpec!BA18*s_t_v)))/(s_Y_v*up_RadSpec!BA18))),".")</f>
        <v>9.0143481925428208</v>
      </c>
      <c r="BI18" s="108">
        <f>IFERROR(IF(up_Bv!K18=0,".",((s_Ir*s_F*s_I_f*s_T*(1-EXP(-up_RadSpec!BA18*s_t_v)))/(s_Y_v*up_RadSpec!BA18))),".")</f>
        <v>9.0143481925428208</v>
      </c>
      <c r="BJ18" s="108">
        <f>IFERROR(IF(up_Bv!L18=0,".",((s_Ir*s_F*s_I_f*s_T*(1-EXP(-up_RadSpec!BA18*s_t_v)))/(s_Y_v*up_RadSpec!BA18))),".")</f>
        <v>9.0143481925428208</v>
      </c>
      <c r="BK18" s="108">
        <f>IFERROR(IF(up_Bv!M18=0,".",((s_Ir*s_F*s_I_f*s_T*(1-EXP(-up_RadSpec!BA18*s_t_v)))/(s_Y_v*up_RadSpec!BA18))),".")</f>
        <v>9.0143481925428208</v>
      </c>
      <c r="BL18" s="108">
        <f>IFERROR(IF(up_Bv!N18=0,".",((s_Ir*s_F*s_I_f*s_T*(1-EXP(-up_RadSpec!BA18*s_t_v)))/(s_Y_v*up_RadSpec!BA18))),".")</f>
        <v>9.0143481925428208</v>
      </c>
      <c r="BM18" s="108">
        <f>IFERROR(IF(up_Bv!O18=0,".",((s_Ir*s_F*s_I_f*s_T*(1-EXP(-up_RadSpec!BA18*s_t_v)))/(s_Y_v*up_RadSpec!BA18))),".")</f>
        <v>9.0143481925428208</v>
      </c>
      <c r="BN18" s="108">
        <f>IFERROR(IF(up_Bv!P18=0,".",((s_Ir*s_F*s_I_f*s_T*(1-EXP(-up_RadSpec!BA18*s_t_v)))/(s_Y_v*up_RadSpec!BA18))),".")</f>
        <v>9.0143481925428208</v>
      </c>
      <c r="BO18" s="108">
        <f>IFERROR(IF(up_Bv!Q18=0,".",((s_Ir*s_F*s_I_f*s_T*(1-EXP(-up_RadSpec!BA18*s_t_v)))/(s_Y_v*up_RadSpec!BA18))),".")</f>
        <v>9.0143481925428208</v>
      </c>
      <c r="BP18" s="108">
        <f>IFERROR(IF(up_Bv!R18=0,".",((s_Ir*s_F*s_I_f*s_T*(1-EXP(-up_RadSpec!BA18*s_t_v)))/(s_Y_v*up_RadSpec!BA18))),".")</f>
        <v>9.0143481925428208</v>
      </c>
      <c r="BQ18" s="108">
        <f>IFERROR(IF(up_Bv!S18=0,".",((s_Ir*s_F*s_I_f*s_T*(1-EXP(-up_RadSpec!BA18*s_t_v)))/(s_Y_v*up_RadSpec!BA18))),".")</f>
        <v>9.0143481925428208</v>
      </c>
      <c r="BR18" s="108">
        <f>IFERROR(IF(up_Bv!T18=0,".",((s_Ir*s_F*s_I_f*s_T*(1-EXP(-up_RadSpec!BA18*s_t_v)))/(s_Y_v*up_RadSpec!BA18))),".")</f>
        <v>9.0143481925428208</v>
      </c>
      <c r="BS18" s="108">
        <f>IFERROR(IF(up_Bv!U18=0,".",((s_Ir*s_F*s_I_f*s_T*(1-EXP(-up_RadSpec!BA18*s_t_v)))/(s_Y_v*up_RadSpec!BA18))),".")</f>
        <v>9.0143481925428208</v>
      </c>
      <c r="BT18" s="108">
        <f>IFERROR(IF(up_Bv!V18=0,".",((s_Ir*s_F*s_I_f*s_T*(1-EXP(-up_RadSpec!BA18*s_t_v)))/(s_Y_v*up_RadSpec!BA18))),".")</f>
        <v>9.0143481925428208</v>
      </c>
      <c r="BU18" s="108">
        <f>IFERROR(IF(up_Bv!W18=0,".",((s_Ir*s_F*s_I_f*s_T*(1-EXP(-up_RadSpec!BA18*s_t_v)))/(s_Y_v*up_RadSpec!BA18))),".")</f>
        <v>9.0143481925428208</v>
      </c>
      <c r="BV18" s="108">
        <f>IFERROR(IF(up_Bv!X18=0,".",((s_Ir*s_F*s_I_f*s_T*(1-EXP(-up_RadSpec!BA18*s_t_v)))/(s_Y_v*up_RadSpec!BA18))),".")</f>
        <v>9.0143481925428208</v>
      </c>
      <c r="BW18" s="108">
        <f>IFERROR(IF(up_Bv!Y18=0,".",((s_Ir*s_F*s_I_f*s_T*(1-EXP(-up_RadSpec!BA18*s_t_v)))/(s_Y_v*up_RadSpec!BA18))),".")</f>
        <v>9.0143481925428208</v>
      </c>
      <c r="BX18" s="108">
        <f>IFERROR(IF(up_Bv!Z18=0,".",((s_Ir*s_F*s_I_f*s_T*(1-EXP(-up_RadSpec!BA18*s_t_v)))/(s_Y_v*up_RadSpec!BA18))),".")</f>
        <v>9.0143481925428208</v>
      </c>
      <c r="BY18" s="108">
        <f>IFERROR(IF(up_Bv!AA18=0,".",((s_Ir*s_F*s_I_f*s_T*(1-EXP(-up_RadSpec!BA18*s_t_v)))/(s_Y_v*up_RadSpec!BA18))),".")</f>
        <v>9.0143481925428208</v>
      </c>
    </row>
    <row r="19" spans="1:77" x14ac:dyDescent="0.25">
      <c r="A19" s="44" t="s">
        <v>17</v>
      </c>
      <c r="B19" s="42" t="s">
        <v>1057</v>
      </c>
      <c r="C19" s="108">
        <f>IFERROR(IF(up_Bv!C19=0,".",((s_Ir*s_F*up_Bv!C19*(1-EXP(-up_RadSpec!$AZ19*s_t_b)))/(s_P*up_RadSpec!$AZ19))),".")</f>
        <v>993.50362303732038</v>
      </c>
      <c r="D19" s="108">
        <f>IFERROR(IF(up_Bv!D19=0,".",((s_Ir*s_F*up_Bv!D19*(1-EXP(-up_RadSpec!AZ19*s_t_b)))/(s_P*up_RadSpec!AZ19))),".")</f>
        <v>993.50362303732038</v>
      </c>
      <c r="E19" s="108">
        <f>IFERROR(IF(up_Bv!E19=0,".",((s_Ir*s_F*up_Bv!E19*(1-EXP(-up_RadSpec!AZ19*s_t_b)))/(s_P*up_RadSpec!AZ19))),".")</f>
        <v>993.50362303732038</v>
      </c>
      <c r="F19" s="108">
        <f>IFERROR(IF(up_Bv!F19=0,".",((s_Ir*s_F*up_Bv!F19*(1-EXP(-up_RadSpec!AZ19*s_t_b)))/(s_P*up_RadSpec!AZ19))),".")</f>
        <v>993.50362303732038</v>
      </c>
      <c r="G19" s="108">
        <f>IFERROR(IF(up_Bv!G19=0,".",((s_Ir*s_F*up_Bv!G19*(1-EXP(-up_RadSpec!AZ19*s_t_b)))/(s_P*up_RadSpec!AZ19))),".")</f>
        <v>993.50362303732038</v>
      </c>
      <c r="H19" s="108">
        <f>IFERROR(IF(up_Bv!H19=0,".",((s_Ir*s_F*up_Bv!H19*(1-EXP(-up_RadSpec!AZ19*s_t_b)))/(s_P*up_RadSpec!AZ19))),".")</f>
        <v>993.50362303732038</v>
      </c>
      <c r="I19" s="108">
        <f>IFERROR(IF(up_Bv!I19=0,".",((s_Ir*s_F*up_Bv!I19*(1-EXP(-up_RadSpec!AZ19*s_t_b)))/(s_P*up_RadSpec!AZ19))),".")</f>
        <v>993.50362303732038</v>
      </c>
      <c r="J19" s="108">
        <f>IFERROR(IF(up_Bv!J19=0,".",((s_Ir*s_F*up_Bv!J19*(1-EXP(-up_RadSpec!AZ19*s_t_b)))/(s_P*up_RadSpec!AZ19))),".")</f>
        <v>993.50362303732038</v>
      </c>
      <c r="K19" s="108">
        <f>IFERROR(IF(up_Bv!K19=0,".",((s_Ir*s_F*up_Bv!K19*(1-EXP(-up_RadSpec!AZ19*s_t_b)))/(s_P*up_RadSpec!AZ19))),".")</f>
        <v>993.50362303732038</v>
      </c>
      <c r="L19" s="108">
        <f>IFERROR(IF(up_Bv!L19=0,".",((s_Ir*s_F*up_Bv!L19*(1-EXP(-up_RadSpec!AZ19*s_t_b)))/(s_P*up_RadSpec!AZ19))),".")</f>
        <v>993.50362303732038</v>
      </c>
      <c r="M19" s="108">
        <f>IFERROR(IF(up_Bv!M19=0,".",((s_Ir*s_F*up_Bv!M19*(1-EXP(-up_RadSpec!AZ19*s_t_b)))/(s_P*up_RadSpec!AZ19))),".")</f>
        <v>993.50362303732038</v>
      </c>
      <c r="N19" s="108">
        <f>IFERROR(IF(up_Bv!N19=0,".",((s_Ir*s_F*up_Bv!N19*(1-EXP(-up_RadSpec!AZ19*s_t_b)))/(s_P*up_RadSpec!AZ19))),".")</f>
        <v>993.50362303732038</v>
      </c>
      <c r="O19" s="108">
        <f>IFERROR(IF(up_Bv!O19=0,".",((s_Ir*s_F*up_Bv!O19*(1-EXP(-up_RadSpec!AZ19*s_t_b)))/(s_P*up_RadSpec!AZ19))),".")</f>
        <v>993.50362303732038</v>
      </c>
      <c r="P19" s="108">
        <f>IFERROR(IF(up_Bv!P19=0,".",((s_Ir*s_F*up_Bv!P19*(1-EXP(-up_RadSpec!AZ19*s_t_b)))/(s_P*up_RadSpec!AZ19))),".")</f>
        <v>993.50362303732038</v>
      </c>
      <c r="Q19" s="108">
        <f>IFERROR(IF(up_Bv!Q19=0,".",((s_Ir*s_F*up_Bv!Q19*(1-EXP(-up_RadSpec!AZ19*s_t_b)))/(s_P*up_RadSpec!AZ19))),".")</f>
        <v>993.50362303732038</v>
      </c>
      <c r="R19" s="108">
        <f>IFERROR(IF(up_Bv!R19=0,".",((s_Ir*s_F*up_Bv!R19*(1-EXP(-up_RadSpec!AZ19*s_t_b)))/(s_P*up_RadSpec!AZ19))),".")</f>
        <v>993.50362303732038</v>
      </c>
      <c r="S19" s="108">
        <f>IFERROR(IF(up_Bv!S19=0,".",((s_Ir*s_F*up_Bv!S19*(1-EXP(-up_RadSpec!AZ19*s_t_b)))/(s_P*up_RadSpec!AZ19))),".")</f>
        <v>993.50362303732038</v>
      </c>
      <c r="T19" s="108">
        <f>IFERROR(IF(up_Bv!T19=0,".",((s_Ir*s_F*up_Bv!T19*(1-EXP(-up_RadSpec!AZ19*s_t_b)))/(s_P*up_RadSpec!AZ19))),".")</f>
        <v>993.50362303732038</v>
      </c>
      <c r="U19" s="108">
        <f>IFERROR(IF(up_Bv!U19=0,".",((s_Ir*s_F*up_Bv!U19*(1-EXP(-up_RadSpec!AZ19*s_t_b)))/(s_P*up_RadSpec!AZ19))),".")</f>
        <v>993.50362303732038</v>
      </c>
      <c r="V19" s="108">
        <f>IFERROR(IF(up_Bv!V19=0,".",((s_Ir*s_F*up_Bv!V19*(1-EXP(-up_RadSpec!AZ19*s_t_b)))/(s_P*up_RadSpec!AZ19))),".")</f>
        <v>993.50362303732038</v>
      </c>
      <c r="W19" s="108">
        <f>IFERROR(IF(up_Bv!W19=0,".",((s_Ir*s_F*up_Bv!W19*(1-EXP(-up_RadSpec!AZ19*s_t_b)))/(s_P*up_RadSpec!AZ19))),".")</f>
        <v>993.50362303732038</v>
      </c>
      <c r="X19" s="108">
        <f>IFERROR(IF(up_Bv!X19=0,".",((s_Ir*s_F*up_Bv!X19*(1-EXP(-up_RadSpec!AZ19*s_t_b)))/(s_P*up_RadSpec!AZ19))),".")</f>
        <v>993.50362303732038</v>
      </c>
      <c r="Y19" s="108">
        <f>IFERROR(IF(up_Bv!Y19=0,".",((s_Ir*s_F*up_Bv!Y19*(1-EXP(-up_RadSpec!AZ19*s_t_b)))/(s_P*up_RadSpec!AZ19))),".")</f>
        <v>993.50362303732038</v>
      </c>
      <c r="Z19" s="108">
        <f>IFERROR(IF(up_Bv!Z19=0,".",((s_Ir*s_F*up_Bv!Z19*(1-EXP(-up_RadSpec!AZ19*s_t_b)))/(s_P*up_RadSpec!AZ19))),".")</f>
        <v>993.50362303732038</v>
      </c>
      <c r="AA19" s="108">
        <f>IFERROR(IF(up_Bv!AA19=0,".",((s_Ir*s_F*up_Bv!AA19*(1-EXP(-up_RadSpec!AZ19*s_t_b)))/(s_P*up_RadSpec!AZ19))),".")</f>
        <v>993.50362303732038</v>
      </c>
      <c r="AB19" s="108">
        <f>IFERROR(IF(up_Bv!C19=0,".",((s_Ir*s_F*s_MLF_apple*(1-EXP(-up_RadSpec!AZ19*s_t_b)))/(s_P*up_RadSpec!AZ19))),".")</f>
        <v>2.6824597822007652</v>
      </c>
      <c r="AC19" s="108">
        <f>IFERROR(IF(up_Bv!D19=0,".",((s_Ir*s_F*s_MLF_asparagus*(1-EXP(-up_RadSpec!AZ19*s_t_b)))/(s_P*up_RadSpec!AZ19))),".")</f>
        <v>2.6824597822007652</v>
      </c>
      <c r="AD19" s="108">
        <f>IFERROR(IF(up_Bv!E19=0,".",((s_Ir*s_F*s_MLF_beet*(1-EXP(-up_RadSpec!AZ19*s_t_b)))/(s_P*up_RadSpec!AZ19))),".")</f>
        <v>2.6824597822007652</v>
      </c>
      <c r="AE19" s="108">
        <f>IFERROR(IF(up_Bv!F19=0,".",((s_Ir*s_F*s_MLF_berries*(1-EXP(-up_RadSpec!AZ19*s_t_b)))/(s_P*up_RadSpec!AZ19))),".")</f>
        <v>2.6824597822007652</v>
      </c>
      <c r="AF19" s="108">
        <f>IFERROR(IF(up_Bv!G19=0,".",((s_Ir*s_F*s_MLF_broccoli*(1-EXP(-up_RadSpec!AZ19*s_t_b)))/(s_P*up_RadSpec!AZ19))),".")</f>
        <v>2.6824597822007652</v>
      </c>
      <c r="AG19" s="108">
        <f>IFERROR(IF(up_Bv!H19=0,".",((s_Ir*s_F*s_MLF_cabbage*(1-EXP(-up_RadSpec!AZ19*s_t_b)))/(s_P*up_RadSpec!AZ19))),".")</f>
        <v>2.6824597822007652</v>
      </c>
      <c r="AH19" s="108">
        <f>IFERROR(IF(up_Bv!I19=0,".",((s_Ir*s_F*s_MLF_carrot*(1-EXP(-up_RadSpec!AZ19*s_t_b)))/(s_P*up_RadSpec!AZ19))),".")</f>
        <v>2.6824597822007652</v>
      </c>
      <c r="AI19" s="108">
        <f>IFERROR(IF(up_Bv!J19=0,".",((s_Ir*s_F*s_MLF_citrus*(1-EXP(-up_RadSpec!AZ19*s_t_b)))/(s_P*up_RadSpec!AZ19))),".")</f>
        <v>2.6824597822007652</v>
      </c>
      <c r="AJ19" s="108">
        <f>IFERROR(IF(up_Bv!K19=0,".",((s_Ir*s_F*s_MLF_corn*(1-EXP(-up_RadSpec!AZ19*s_t_b)))/(s_P*up_RadSpec!AZ19))),".")</f>
        <v>2.6824597822007652</v>
      </c>
      <c r="AK19" s="108">
        <f>IFERROR(IF(up_Bv!L19=0,".",((s_Ir*s_F*s_MLF_cucumber*(1-EXP(-up_RadSpec!AZ19*s_t_b)))/(s_P*up_RadSpec!AZ19))),".")</f>
        <v>2.6824597822007652</v>
      </c>
      <c r="AL19" s="108">
        <f>IFERROR(IF(up_Bv!M19=0,".",((s_Ir*s_F*s_MLF_lettuce*(1-EXP(-up_RadSpec!AZ19*s_t_b)))/(s_P*up_RadSpec!AZ19))),".")</f>
        <v>2.6824597822007652</v>
      </c>
      <c r="AM19" s="108">
        <f>IFERROR(IF(up_Bv!N19=0,".",((s_Ir*s_F*s_MLF_lima_bean*(1-EXP(-up_RadSpec!AZ19*s_t_b)))/(s_P*up_RadSpec!AZ19))),".")</f>
        <v>2.6824597822007652</v>
      </c>
      <c r="AN19" s="108">
        <f>IFERROR(IF(up_Bv!O19=0,".",((s_Ir*s_F*s_MLF_okra*(1-EXP(-up_RadSpec!AZ19*s_t_b)))/(s_P*up_RadSpec!AZ19))),".")</f>
        <v>2.6824597822007652</v>
      </c>
      <c r="AO19" s="108">
        <f>IFERROR(IF(up_Bv!P19=0,".",((s_Ir*s_F*s_MLF_onion*(1-EXP(-up_RadSpec!AZ19*s_t_b)))/(s_P*up_RadSpec!AZ19))),".")</f>
        <v>2.6824597822007652</v>
      </c>
      <c r="AP19" s="108">
        <f>IFERROR(IF(up_Bv!Q19=0,".",((s_Ir*s_F*s_MLF_peach*(1-EXP(-up_RadSpec!AZ19*s_t_b)))/(s_P*up_RadSpec!AZ19))),".")</f>
        <v>2.6824597822007652</v>
      </c>
      <c r="AQ19" s="108">
        <f>IFERROR(IF(up_Bv!R19=0,".",((s_Ir*s_F*s_MLF_pear*(1-EXP(-up_RadSpec!AZ19*s_t_b)))/(s_P*up_RadSpec!AZ19))),".")</f>
        <v>2.6824597822007652</v>
      </c>
      <c r="AR19" s="108">
        <f>IFERROR(IF(up_Bv!S19=0,".",((s_Ir*s_F*s_MLF_peas*(1-EXP(-up_RadSpec!AZ19*s_t_b)))/(s_P*up_RadSpec!AZ19))),".")</f>
        <v>2.6824597822007652</v>
      </c>
      <c r="AS19" s="108">
        <f>IFERROR(IF(up_Bv!T19=0,".",((s_Ir*s_F*s_MLF_peppers*(1-EXP(-up_RadSpec!AZ19*s_t_b)))/(s_P*up_RadSpec!AZ19))),".")</f>
        <v>2.6824597822007652</v>
      </c>
      <c r="AT19" s="108">
        <f>IFERROR(IF(up_Bv!U19=0,".",((s_Ir*s_F*s_MLF_potato*(1-EXP(-up_RadSpec!AZ19*s_t_b)))/(s_P*up_RadSpec!AZ19))),".")</f>
        <v>2.6824597822007652</v>
      </c>
      <c r="AU19" s="108">
        <f>IFERROR(IF(up_Bv!V19=0,".",((s_Ir*s_F*s_MLF_pumpkin*(1-EXP(-up_RadSpec!AZ19*s_t_b)))/(s_P*up_RadSpec!AZ19))),".")</f>
        <v>2.6824597822007652</v>
      </c>
      <c r="AV19" s="108">
        <f>IFERROR(IF(up_Bv!W19=0,".",((s_Ir*s_F*s_MLF_snap_bean*(1-EXP(-up_RadSpec!AZ19*s_t_b)))/(s_P*up_RadSpec!AZ19))),".")</f>
        <v>2.6824597822007652</v>
      </c>
      <c r="AW19" s="108">
        <f>IFERROR(IF(up_Bv!X19=0,".",((s_Ir*s_F*s_MLF_strawberry*(1-EXP(-up_RadSpec!AZ19*s_t_b)))/(s_P*up_RadSpec!AZ19))),".")</f>
        <v>2.6824597822007652</v>
      </c>
      <c r="AX19" s="108">
        <f>IFERROR(IF(up_Bv!Y19=0,".",((s_Ir*s_F*s_MLF_tomato*(1-EXP(-up_RadSpec!AZ19*s_t_b)))/(s_P*up_RadSpec!AZ19))),".")</f>
        <v>2.6824597822007652</v>
      </c>
      <c r="AY19" s="108">
        <f>IFERROR(IF(up_Bv!Z19=0,".",((s_Ir*s_F*s_MLF_rice*(1-EXP(-up_RadSpec!AZ19*s_t_b)))/(s_P*up_RadSpec!AZ19))),".")</f>
        <v>2.6824597822007652</v>
      </c>
      <c r="AZ19" s="108">
        <f>IFERROR(IF(up_Bv!AA19=0,".",((s_Ir*s_F*s_MLF_cereal*(1-EXP(-up_RadSpec!AZ19*s_t_b)))/(s_P*up_RadSpec!AZ19))),".")</f>
        <v>2.6824597822007652</v>
      </c>
      <c r="BA19" s="108">
        <f>IFERROR(IF(up_Bv!C19=0,".",((s_Ir*s_F*s_I_f*s_T*(1-EXP(-up_RadSpec!BA19*s_t_v)))/(s_Y_v*up_RadSpec!BA19))),".")</f>
        <v>9.0143481925428208</v>
      </c>
      <c r="BB19" s="108">
        <f>IFERROR(IF(up_Bv!D19=0,".",((s_Ir*s_F*s_I_f*s_T*(1-EXP(-up_RadSpec!BA19*s_t_v)))/(s_Y_v*up_RadSpec!BA19))),".")</f>
        <v>9.0143481925428208</v>
      </c>
      <c r="BC19" s="108">
        <f>IFERROR(IF(up_Bv!E19=0,".",((s_Ir*s_F*s_I_f*s_T*(1-EXP(-up_RadSpec!BA19*s_t_v)))/(s_Y_v*up_RadSpec!BA19))),".")</f>
        <v>9.0143481925428208</v>
      </c>
      <c r="BD19" s="108">
        <f>IFERROR(IF(up_Bv!F19=0,".",((s_Ir*s_F*s_I_f*s_T*(1-EXP(-up_RadSpec!BA19*s_t_v)))/(s_Y_v*up_RadSpec!BA19))),".")</f>
        <v>9.0143481925428208</v>
      </c>
      <c r="BE19" s="108">
        <f>IFERROR(IF(up_Bv!G19=0,".",((s_Ir*s_F*s_I_f*s_T*(1-EXP(-up_RadSpec!BA19*s_t_v)))/(s_Y_v*up_RadSpec!BA19))),".")</f>
        <v>9.0143481925428208</v>
      </c>
      <c r="BF19" s="108">
        <f>IFERROR(IF(up_Bv!H19=0,".",((s_Ir*s_F*s_I_f*s_T*(1-EXP(-up_RadSpec!BA19*s_t_v)))/(s_Y_v*up_RadSpec!BA19))),".")</f>
        <v>9.0143481925428208</v>
      </c>
      <c r="BG19" s="108">
        <f>IFERROR(IF(up_Bv!I19=0,".",((s_Ir*s_F*s_I_f*s_T*(1-EXP(-up_RadSpec!BA19*s_t_v)))/(s_Y_v*up_RadSpec!BA19))),".")</f>
        <v>9.0143481925428208</v>
      </c>
      <c r="BH19" s="108">
        <f>IFERROR(IF(up_Bv!J19=0,".",((s_Ir*s_F*s_I_f*s_T*(1-EXP(-up_RadSpec!BA19*s_t_v)))/(s_Y_v*up_RadSpec!BA19))),".")</f>
        <v>9.0143481925428208</v>
      </c>
      <c r="BI19" s="108">
        <f>IFERROR(IF(up_Bv!K19=0,".",((s_Ir*s_F*s_I_f*s_T*(1-EXP(-up_RadSpec!BA19*s_t_v)))/(s_Y_v*up_RadSpec!BA19))),".")</f>
        <v>9.0143481925428208</v>
      </c>
      <c r="BJ19" s="108">
        <f>IFERROR(IF(up_Bv!L19=0,".",((s_Ir*s_F*s_I_f*s_T*(1-EXP(-up_RadSpec!BA19*s_t_v)))/(s_Y_v*up_RadSpec!BA19))),".")</f>
        <v>9.0143481925428208</v>
      </c>
      <c r="BK19" s="108">
        <f>IFERROR(IF(up_Bv!M19=0,".",((s_Ir*s_F*s_I_f*s_T*(1-EXP(-up_RadSpec!BA19*s_t_v)))/(s_Y_v*up_RadSpec!BA19))),".")</f>
        <v>9.0143481925428208</v>
      </c>
      <c r="BL19" s="108">
        <f>IFERROR(IF(up_Bv!N19=0,".",((s_Ir*s_F*s_I_f*s_T*(1-EXP(-up_RadSpec!BA19*s_t_v)))/(s_Y_v*up_RadSpec!BA19))),".")</f>
        <v>9.0143481925428208</v>
      </c>
      <c r="BM19" s="108">
        <f>IFERROR(IF(up_Bv!O19=0,".",((s_Ir*s_F*s_I_f*s_T*(1-EXP(-up_RadSpec!BA19*s_t_v)))/(s_Y_v*up_RadSpec!BA19))),".")</f>
        <v>9.0143481925428208</v>
      </c>
      <c r="BN19" s="108">
        <f>IFERROR(IF(up_Bv!P19=0,".",((s_Ir*s_F*s_I_f*s_T*(1-EXP(-up_RadSpec!BA19*s_t_v)))/(s_Y_v*up_RadSpec!BA19))),".")</f>
        <v>9.0143481925428208</v>
      </c>
      <c r="BO19" s="108">
        <f>IFERROR(IF(up_Bv!Q19=0,".",((s_Ir*s_F*s_I_f*s_T*(1-EXP(-up_RadSpec!BA19*s_t_v)))/(s_Y_v*up_RadSpec!BA19))),".")</f>
        <v>9.0143481925428208</v>
      </c>
      <c r="BP19" s="108">
        <f>IFERROR(IF(up_Bv!R19=0,".",((s_Ir*s_F*s_I_f*s_T*(1-EXP(-up_RadSpec!BA19*s_t_v)))/(s_Y_v*up_RadSpec!BA19))),".")</f>
        <v>9.0143481925428208</v>
      </c>
      <c r="BQ19" s="108">
        <f>IFERROR(IF(up_Bv!S19=0,".",((s_Ir*s_F*s_I_f*s_T*(1-EXP(-up_RadSpec!BA19*s_t_v)))/(s_Y_v*up_RadSpec!BA19))),".")</f>
        <v>9.0143481925428208</v>
      </c>
      <c r="BR19" s="108">
        <f>IFERROR(IF(up_Bv!T19=0,".",((s_Ir*s_F*s_I_f*s_T*(1-EXP(-up_RadSpec!BA19*s_t_v)))/(s_Y_v*up_RadSpec!BA19))),".")</f>
        <v>9.0143481925428208</v>
      </c>
      <c r="BS19" s="108">
        <f>IFERROR(IF(up_Bv!U19=0,".",((s_Ir*s_F*s_I_f*s_T*(1-EXP(-up_RadSpec!BA19*s_t_v)))/(s_Y_v*up_RadSpec!BA19))),".")</f>
        <v>9.0143481925428208</v>
      </c>
      <c r="BT19" s="108">
        <f>IFERROR(IF(up_Bv!V19=0,".",((s_Ir*s_F*s_I_f*s_T*(1-EXP(-up_RadSpec!BA19*s_t_v)))/(s_Y_v*up_RadSpec!BA19))),".")</f>
        <v>9.0143481925428208</v>
      </c>
      <c r="BU19" s="108">
        <f>IFERROR(IF(up_Bv!W19=0,".",((s_Ir*s_F*s_I_f*s_T*(1-EXP(-up_RadSpec!BA19*s_t_v)))/(s_Y_v*up_RadSpec!BA19))),".")</f>
        <v>9.0143481925428208</v>
      </c>
      <c r="BV19" s="108">
        <f>IFERROR(IF(up_Bv!X19=0,".",((s_Ir*s_F*s_I_f*s_T*(1-EXP(-up_RadSpec!BA19*s_t_v)))/(s_Y_v*up_RadSpec!BA19))),".")</f>
        <v>9.0143481925428208</v>
      </c>
      <c r="BW19" s="108">
        <f>IFERROR(IF(up_Bv!Y19=0,".",((s_Ir*s_F*s_I_f*s_T*(1-EXP(-up_RadSpec!BA19*s_t_v)))/(s_Y_v*up_RadSpec!BA19))),".")</f>
        <v>9.0143481925428208</v>
      </c>
      <c r="BX19" s="108">
        <f>IFERROR(IF(up_Bv!Z19=0,".",((s_Ir*s_F*s_I_f*s_T*(1-EXP(-up_RadSpec!BA19*s_t_v)))/(s_Y_v*up_RadSpec!BA19))),".")</f>
        <v>9.0143481925428208</v>
      </c>
      <c r="BY19" s="108">
        <f>IFERROR(IF(up_Bv!AA19=0,".",((s_Ir*s_F*s_I_f*s_T*(1-EXP(-up_RadSpec!BA19*s_t_v)))/(s_Y_v*up_RadSpec!BA19))),".")</f>
        <v>9.0143481925428208</v>
      </c>
    </row>
    <row r="20" spans="1:77" x14ac:dyDescent="0.25">
      <c r="A20" s="44" t="s">
        <v>18</v>
      </c>
      <c r="B20" s="42" t="s">
        <v>1057</v>
      </c>
      <c r="C20" s="108">
        <f>IFERROR(IF(up_Bv!C20=0,".",((s_Ir*s_F*up_Bv!C20*(1-EXP(-up_RadSpec!$AZ20*s_t_b)))/(s_P*up_RadSpec!$AZ20))),".")</f>
        <v>993.50362303732038</v>
      </c>
      <c r="D20" s="108">
        <f>IFERROR(IF(up_Bv!D20=0,".",((s_Ir*s_F*up_Bv!D20*(1-EXP(-up_RadSpec!AZ20*s_t_b)))/(s_P*up_RadSpec!AZ20))),".")</f>
        <v>993.50362303732038</v>
      </c>
      <c r="E20" s="108">
        <f>IFERROR(IF(up_Bv!E20=0,".",((s_Ir*s_F*up_Bv!E20*(1-EXP(-up_RadSpec!AZ20*s_t_b)))/(s_P*up_RadSpec!AZ20))),".")</f>
        <v>993.50362303732038</v>
      </c>
      <c r="F20" s="108">
        <f>IFERROR(IF(up_Bv!F20=0,".",((s_Ir*s_F*up_Bv!F20*(1-EXP(-up_RadSpec!AZ20*s_t_b)))/(s_P*up_RadSpec!AZ20))),".")</f>
        <v>993.50362303732038</v>
      </c>
      <c r="G20" s="108">
        <f>IFERROR(IF(up_Bv!G20=0,".",((s_Ir*s_F*up_Bv!G20*(1-EXP(-up_RadSpec!AZ20*s_t_b)))/(s_P*up_RadSpec!AZ20))),".")</f>
        <v>993.50362303732038</v>
      </c>
      <c r="H20" s="108">
        <f>IFERROR(IF(up_Bv!H20=0,".",((s_Ir*s_F*up_Bv!H20*(1-EXP(-up_RadSpec!AZ20*s_t_b)))/(s_P*up_RadSpec!AZ20))),".")</f>
        <v>993.50362303732038</v>
      </c>
      <c r="I20" s="108">
        <f>IFERROR(IF(up_Bv!I20=0,".",((s_Ir*s_F*up_Bv!I20*(1-EXP(-up_RadSpec!AZ20*s_t_b)))/(s_P*up_RadSpec!AZ20))),".")</f>
        <v>993.50362303732038</v>
      </c>
      <c r="J20" s="108">
        <f>IFERROR(IF(up_Bv!J20=0,".",((s_Ir*s_F*up_Bv!J20*(1-EXP(-up_RadSpec!AZ20*s_t_b)))/(s_P*up_RadSpec!AZ20))),".")</f>
        <v>993.50362303732038</v>
      </c>
      <c r="K20" s="108">
        <f>IFERROR(IF(up_Bv!K20=0,".",((s_Ir*s_F*up_Bv!K20*(1-EXP(-up_RadSpec!AZ20*s_t_b)))/(s_P*up_RadSpec!AZ20))),".")</f>
        <v>993.50362303732038</v>
      </c>
      <c r="L20" s="108">
        <f>IFERROR(IF(up_Bv!L20=0,".",((s_Ir*s_F*up_Bv!L20*(1-EXP(-up_RadSpec!AZ20*s_t_b)))/(s_P*up_RadSpec!AZ20))),".")</f>
        <v>993.50362303732038</v>
      </c>
      <c r="M20" s="108">
        <f>IFERROR(IF(up_Bv!M20=0,".",((s_Ir*s_F*up_Bv!M20*(1-EXP(-up_RadSpec!AZ20*s_t_b)))/(s_P*up_RadSpec!AZ20))),".")</f>
        <v>993.50362303732038</v>
      </c>
      <c r="N20" s="108">
        <f>IFERROR(IF(up_Bv!N20=0,".",((s_Ir*s_F*up_Bv!N20*(1-EXP(-up_RadSpec!AZ20*s_t_b)))/(s_P*up_RadSpec!AZ20))),".")</f>
        <v>993.50362303732038</v>
      </c>
      <c r="O20" s="108">
        <f>IFERROR(IF(up_Bv!O20=0,".",((s_Ir*s_F*up_Bv!O20*(1-EXP(-up_RadSpec!AZ20*s_t_b)))/(s_P*up_RadSpec!AZ20))),".")</f>
        <v>993.50362303732038</v>
      </c>
      <c r="P20" s="108">
        <f>IFERROR(IF(up_Bv!P20=0,".",((s_Ir*s_F*up_Bv!P20*(1-EXP(-up_RadSpec!AZ20*s_t_b)))/(s_P*up_RadSpec!AZ20))),".")</f>
        <v>993.50362303732038</v>
      </c>
      <c r="Q20" s="108">
        <f>IFERROR(IF(up_Bv!Q20=0,".",((s_Ir*s_F*up_Bv!Q20*(1-EXP(-up_RadSpec!AZ20*s_t_b)))/(s_P*up_RadSpec!AZ20))),".")</f>
        <v>993.50362303732038</v>
      </c>
      <c r="R20" s="108">
        <f>IFERROR(IF(up_Bv!R20=0,".",((s_Ir*s_F*up_Bv!R20*(1-EXP(-up_RadSpec!AZ20*s_t_b)))/(s_P*up_RadSpec!AZ20))),".")</f>
        <v>993.50362303732038</v>
      </c>
      <c r="S20" s="108">
        <f>IFERROR(IF(up_Bv!S20=0,".",((s_Ir*s_F*up_Bv!S20*(1-EXP(-up_RadSpec!AZ20*s_t_b)))/(s_P*up_RadSpec!AZ20))),".")</f>
        <v>993.50362303732038</v>
      </c>
      <c r="T20" s="108">
        <f>IFERROR(IF(up_Bv!T20=0,".",((s_Ir*s_F*up_Bv!T20*(1-EXP(-up_RadSpec!AZ20*s_t_b)))/(s_P*up_RadSpec!AZ20))),".")</f>
        <v>993.50362303732038</v>
      </c>
      <c r="U20" s="108">
        <f>IFERROR(IF(up_Bv!U20=0,".",((s_Ir*s_F*up_Bv!U20*(1-EXP(-up_RadSpec!AZ20*s_t_b)))/(s_P*up_RadSpec!AZ20))),".")</f>
        <v>993.50362303732038</v>
      </c>
      <c r="V20" s="108">
        <f>IFERROR(IF(up_Bv!V20=0,".",((s_Ir*s_F*up_Bv!V20*(1-EXP(-up_RadSpec!AZ20*s_t_b)))/(s_P*up_RadSpec!AZ20))),".")</f>
        <v>993.50362303732038</v>
      </c>
      <c r="W20" s="108">
        <f>IFERROR(IF(up_Bv!W20=0,".",((s_Ir*s_F*up_Bv!W20*(1-EXP(-up_RadSpec!AZ20*s_t_b)))/(s_P*up_RadSpec!AZ20))),".")</f>
        <v>993.50362303732038</v>
      </c>
      <c r="X20" s="108">
        <f>IFERROR(IF(up_Bv!X20=0,".",((s_Ir*s_F*up_Bv!X20*(1-EXP(-up_RadSpec!AZ20*s_t_b)))/(s_P*up_RadSpec!AZ20))),".")</f>
        <v>993.50362303732038</v>
      </c>
      <c r="Y20" s="108">
        <f>IFERROR(IF(up_Bv!Y20=0,".",((s_Ir*s_F*up_Bv!Y20*(1-EXP(-up_RadSpec!AZ20*s_t_b)))/(s_P*up_RadSpec!AZ20))),".")</f>
        <v>993.50362303732038</v>
      </c>
      <c r="Z20" s="108">
        <f>IFERROR(IF(up_Bv!Z20=0,".",((s_Ir*s_F*up_Bv!Z20*(1-EXP(-up_RadSpec!AZ20*s_t_b)))/(s_P*up_RadSpec!AZ20))),".")</f>
        <v>993.50362303732038</v>
      </c>
      <c r="AA20" s="108">
        <f>IFERROR(IF(up_Bv!AA20=0,".",((s_Ir*s_F*up_Bv!AA20*(1-EXP(-up_RadSpec!AZ20*s_t_b)))/(s_P*up_RadSpec!AZ20))),".")</f>
        <v>993.50362303732038</v>
      </c>
      <c r="AB20" s="108">
        <f>IFERROR(IF(up_Bv!C20=0,".",((s_Ir*s_F*s_MLF_apple*(1-EXP(-up_RadSpec!AZ20*s_t_b)))/(s_P*up_RadSpec!AZ20))),".")</f>
        <v>2.6824597822007652</v>
      </c>
      <c r="AC20" s="108">
        <f>IFERROR(IF(up_Bv!D20=0,".",((s_Ir*s_F*s_MLF_asparagus*(1-EXP(-up_RadSpec!AZ20*s_t_b)))/(s_P*up_RadSpec!AZ20))),".")</f>
        <v>2.6824597822007652</v>
      </c>
      <c r="AD20" s="108">
        <f>IFERROR(IF(up_Bv!E20=0,".",((s_Ir*s_F*s_MLF_beet*(1-EXP(-up_RadSpec!AZ20*s_t_b)))/(s_P*up_RadSpec!AZ20))),".")</f>
        <v>2.6824597822007652</v>
      </c>
      <c r="AE20" s="108">
        <f>IFERROR(IF(up_Bv!F20=0,".",((s_Ir*s_F*s_MLF_berries*(1-EXP(-up_RadSpec!AZ20*s_t_b)))/(s_P*up_RadSpec!AZ20))),".")</f>
        <v>2.6824597822007652</v>
      </c>
      <c r="AF20" s="108">
        <f>IFERROR(IF(up_Bv!G20=0,".",((s_Ir*s_F*s_MLF_broccoli*(1-EXP(-up_RadSpec!AZ20*s_t_b)))/(s_P*up_RadSpec!AZ20))),".")</f>
        <v>2.6824597822007652</v>
      </c>
      <c r="AG20" s="108">
        <f>IFERROR(IF(up_Bv!H20=0,".",((s_Ir*s_F*s_MLF_cabbage*(1-EXP(-up_RadSpec!AZ20*s_t_b)))/(s_P*up_RadSpec!AZ20))),".")</f>
        <v>2.6824597822007652</v>
      </c>
      <c r="AH20" s="108">
        <f>IFERROR(IF(up_Bv!I20=0,".",((s_Ir*s_F*s_MLF_carrot*(1-EXP(-up_RadSpec!AZ20*s_t_b)))/(s_P*up_RadSpec!AZ20))),".")</f>
        <v>2.6824597822007652</v>
      </c>
      <c r="AI20" s="108">
        <f>IFERROR(IF(up_Bv!J20=0,".",((s_Ir*s_F*s_MLF_citrus*(1-EXP(-up_RadSpec!AZ20*s_t_b)))/(s_P*up_RadSpec!AZ20))),".")</f>
        <v>2.6824597822007652</v>
      </c>
      <c r="AJ20" s="108">
        <f>IFERROR(IF(up_Bv!K20=0,".",((s_Ir*s_F*s_MLF_corn*(1-EXP(-up_RadSpec!AZ20*s_t_b)))/(s_P*up_RadSpec!AZ20))),".")</f>
        <v>2.6824597822007652</v>
      </c>
      <c r="AK20" s="108">
        <f>IFERROR(IF(up_Bv!L20=0,".",((s_Ir*s_F*s_MLF_cucumber*(1-EXP(-up_RadSpec!AZ20*s_t_b)))/(s_P*up_RadSpec!AZ20))),".")</f>
        <v>2.6824597822007652</v>
      </c>
      <c r="AL20" s="108">
        <f>IFERROR(IF(up_Bv!M20=0,".",((s_Ir*s_F*s_MLF_lettuce*(1-EXP(-up_RadSpec!AZ20*s_t_b)))/(s_P*up_RadSpec!AZ20))),".")</f>
        <v>2.6824597822007652</v>
      </c>
      <c r="AM20" s="108">
        <f>IFERROR(IF(up_Bv!N20=0,".",((s_Ir*s_F*s_MLF_lima_bean*(1-EXP(-up_RadSpec!AZ20*s_t_b)))/(s_P*up_RadSpec!AZ20))),".")</f>
        <v>2.6824597822007652</v>
      </c>
      <c r="AN20" s="108">
        <f>IFERROR(IF(up_Bv!O20=0,".",((s_Ir*s_F*s_MLF_okra*(1-EXP(-up_RadSpec!AZ20*s_t_b)))/(s_P*up_RadSpec!AZ20))),".")</f>
        <v>2.6824597822007652</v>
      </c>
      <c r="AO20" s="108">
        <f>IFERROR(IF(up_Bv!P20=0,".",((s_Ir*s_F*s_MLF_onion*(1-EXP(-up_RadSpec!AZ20*s_t_b)))/(s_P*up_RadSpec!AZ20))),".")</f>
        <v>2.6824597822007652</v>
      </c>
      <c r="AP20" s="108">
        <f>IFERROR(IF(up_Bv!Q20=0,".",((s_Ir*s_F*s_MLF_peach*(1-EXP(-up_RadSpec!AZ20*s_t_b)))/(s_P*up_RadSpec!AZ20))),".")</f>
        <v>2.6824597822007652</v>
      </c>
      <c r="AQ20" s="108">
        <f>IFERROR(IF(up_Bv!R20=0,".",((s_Ir*s_F*s_MLF_pear*(1-EXP(-up_RadSpec!AZ20*s_t_b)))/(s_P*up_RadSpec!AZ20))),".")</f>
        <v>2.6824597822007652</v>
      </c>
      <c r="AR20" s="108">
        <f>IFERROR(IF(up_Bv!S20=0,".",((s_Ir*s_F*s_MLF_peas*(1-EXP(-up_RadSpec!AZ20*s_t_b)))/(s_P*up_RadSpec!AZ20))),".")</f>
        <v>2.6824597822007652</v>
      </c>
      <c r="AS20" s="108">
        <f>IFERROR(IF(up_Bv!T20=0,".",((s_Ir*s_F*s_MLF_peppers*(1-EXP(-up_RadSpec!AZ20*s_t_b)))/(s_P*up_RadSpec!AZ20))),".")</f>
        <v>2.6824597822007652</v>
      </c>
      <c r="AT20" s="108">
        <f>IFERROR(IF(up_Bv!U20=0,".",((s_Ir*s_F*s_MLF_potato*(1-EXP(-up_RadSpec!AZ20*s_t_b)))/(s_P*up_RadSpec!AZ20))),".")</f>
        <v>2.6824597822007652</v>
      </c>
      <c r="AU20" s="108">
        <f>IFERROR(IF(up_Bv!V20=0,".",((s_Ir*s_F*s_MLF_pumpkin*(1-EXP(-up_RadSpec!AZ20*s_t_b)))/(s_P*up_RadSpec!AZ20))),".")</f>
        <v>2.6824597822007652</v>
      </c>
      <c r="AV20" s="108">
        <f>IFERROR(IF(up_Bv!W20=0,".",((s_Ir*s_F*s_MLF_snap_bean*(1-EXP(-up_RadSpec!AZ20*s_t_b)))/(s_P*up_RadSpec!AZ20))),".")</f>
        <v>2.6824597822007652</v>
      </c>
      <c r="AW20" s="108">
        <f>IFERROR(IF(up_Bv!X20=0,".",((s_Ir*s_F*s_MLF_strawberry*(1-EXP(-up_RadSpec!AZ20*s_t_b)))/(s_P*up_RadSpec!AZ20))),".")</f>
        <v>2.6824597822007652</v>
      </c>
      <c r="AX20" s="108">
        <f>IFERROR(IF(up_Bv!Y20=0,".",((s_Ir*s_F*s_MLF_tomato*(1-EXP(-up_RadSpec!AZ20*s_t_b)))/(s_P*up_RadSpec!AZ20))),".")</f>
        <v>2.6824597822007652</v>
      </c>
      <c r="AY20" s="108">
        <f>IFERROR(IF(up_Bv!Z20=0,".",((s_Ir*s_F*s_MLF_rice*(1-EXP(-up_RadSpec!AZ20*s_t_b)))/(s_P*up_RadSpec!AZ20))),".")</f>
        <v>2.6824597822007652</v>
      </c>
      <c r="AZ20" s="108">
        <f>IFERROR(IF(up_Bv!AA20=0,".",((s_Ir*s_F*s_MLF_cereal*(1-EXP(-up_RadSpec!AZ20*s_t_b)))/(s_P*up_RadSpec!AZ20))),".")</f>
        <v>2.6824597822007652</v>
      </c>
      <c r="BA20" s="108">
        <f>IFERROR(IF(up_Bv!C20=0,".",((s_Ir*s_F*s_I_f*s_T*(1-EXP(-up_RadSpec!BA20*s_t_v)))/(s_Y_v*up_RadSpec!BA20))),".")</f>
        <v>9.0143481925428208</v>
      </c>
      <c r="BB20" s="108">
        <f>IFERROR(IF(up_Bv!D20=0,".",((s_Ir*s_F*s_I_f*s_T*(1-EXP(-up_RadSpec!BA20*s_t_v)))/(s_Y_v*up_RadSpec!BA20))),".")</f>
        <v>9.0143481925428208</v>
      </c>
      <c r="BC20" s="108">
        <f>IFERROR(IF(up_Bv!E20=0,".",((s_Ir*s_F*s_I_f*s_T*(1-EXP(-up_RadSpec!BA20*s_t_v)))/(s_Y_v*up_RadSpec!BA20))),".")</f>
        <v>9.0143481925428208</v>
      </c>
      <c r="BD20" s="108">
        <f>IFERROR(IF(up_Bv!F20=0,".",((s_Ir*s_F*s_I_f*s_T*(1-EXP(-up_RadSpec!BA20*s_t_v)))/(s_Y_v*up_RadSpec!BA20))),".")</f>
        <v>9.0143481925428208</v>
      </c>
      <c r="BE20" s="108">
        <f>IFERROR(IF(up_Bv!G20=0,".",((s_Ir*s_F*s_I_f*s_T*(1-EXP(-up_RadSpec!BA20*s_t_v)))/(s_Y_v*up_RadSpec!BA20))),".")</f>
        <v>9.0143481925428208</v>
      </c>
      <c r="BF20" s="108">
        <f>IFERROR(IF(up_Bv!H20=0,".",((s_Ir*s_F*s_I_f*s_T*(1-EXP(-up_RadSpec!BA20*s_t_v)))/(s_Y_v*up_RadSpec!BA20))),".")</f>
        <v>9.0143481925428208</v>
      </c>
      <c r="BG20" s="108">
        <f>IFERROR(IF(up_Bv!I20=0,".",((s_Ir*s_F*s_I_f*s_T*(1-EXP(-up_RadSpec!BA20*s_t_v)))/(s_Y_v*up_RadSpec!BA20))),".")</f>
        <v>9.0143481925428208</v>
      </c>
      <c r="BH20" s="108">
        <f>IFERROR(IF(up_Bv!J20=0,".",((s_Ir*s_F*s_I_f*s_T*(1-EXP(-up_RadSpec!BA20*s_t_v)))/(s_Y_v*up_RadSpec!BA20))),".")</f>
        <v>9.0143481925428208</v>
      </c>
      <c r="BI20" s="108">
        <f>IFERROR(IF(up_Bv!K20=0,".",((s_Ir*s_F*s_I_f*s_T*(1-EXP(-up_RadSpec!BA20*s_t_v)))/(s_Y_v*up_RadSpec!BA20))),".")</f>
        <v>9.0143481925428208</v>
      </c>
      <c r="BJ20" s="108">
        <f>IFERROR(IF(up_Bv!L20=0,".",((s_Ir*s_F*s_I_f*s_T*(1-EXP(-up_RadSpec!BA20*s_t_v)))/(s_Y_v*up_RadSpec!BA20))),".")</f>
        <v>9.0143481925428208</v>
      </c>
      <c r="BK20" s="108">
        <f>IFERROR(IF(up_Bv!M20=0,".",((s_Ir*s_F*s_I_f*s_T*(1-EXP(-up_RadSpec!BA20*s_t_v)))/(s_Y_v*up_RadSpec!BA20))),".")</f>
        <v>9.0143481925428208</v>
      </c>
      <c r="BL20" s="108">
        <f>IFERROR(IF(up_Bv!N20=0,".",((s_Ir*s_F*s_I_f*s_T*(1-EXP(-up_RadSpec!BA20*s_t_v)))/(s_Y_v*up_RadSpec!BA20))),".")</f>
        <v>9.0143481925428208</v>
      </c>
      <c r="BM20" s="108">
        <f>IFERROR(IF(up_Bv!O20=0,".",((s_Ir*s_F*s_I_f*s_T*(1-EXP(-up_RadSpec!BA20*s_t_v)))/(s_Y_v*up_RadSpec!BA20))),".")</f>
        <v>9.0143481925428208</v>
      </c>
      <c r="BN20" s="108">
        <f>IFERROR(IF(up_Bv!P20=0,".",((s_Ir*s_F*s_I_f*s_T*(1-EXP(-up_RadSpec!BA20*s_t_v)))/(s_Y_v*up_RadSpec!BA20))),".")</f>
        <v>9.0143481925428208</v>
      </c>
      <c r="BO20" s="108">
        <f>IFERROR(IF(up_Bv!Q20=0,".",((s_Ir*s_F*s_I_f*s_T*(1-EXP(-up_RadSpec!BA20*s_t_v)))/(s_Y_v*up_RadSpec!BA20))),".")</f>
        <v>9.0143481925428208</v>
      </c>
      <c r="BP20" s="108">
        <f>IFERROR(IF(up_Bv!R20=0,".",((s_Ir*s_F*s_I_f*s_T*(1-EXP(-up_RadSpec!BA20*s_t_v)))/(s_Y_v*up_RadSpec!BA20))),".")</f>
        <v>9.0143481925428208</v>
      </c>
      <c r="BQ20" s="108">
        <f>IFERROR(IF(up_Bv!S20=0,".",((s_Ir*s_F*s_I_f*s_T*(1-EXP(-up_RadSpec!BA20*s_t_v)))/(s_Y_v*up_RadSpec!BA20))),".")</f>
        <v>9.0143481925428208</v>
      </c>
      <c r="BR20" s="108">
        <f>IFERROR(IF(up_Bv!T20=0,".",((s_Ir*s_F*s_I_f*s_T*(1-EXP(-up_RadSpec!BA20*s_t_v)))/(s_Y_v*up_RadSpec!BA20))),".")</f>
        <v>9.0143481925428208</v>
      </c>
      <c r="BS20" s="108">
        <f>IFERROR(IF(up_Bv!U20=0,".",((s_Ir*s_F*s_I_f*s_T*(1-EXP(-up_RadSpec!BA20*s_t_v)))/(s_Y_v*up_RadSpec!BA20))),".")</f>
        <v>9.0143481925428208</v>
      </c>
      <c r="BT20" s="108">
        <f>IFERROR(IF(up_Bv!V20=0,".",((s_Ir*s_F*s_I_f*s_T*(1-EXP(-up_RadSpec!BA20*s_t_v)))/(s_Y_v*up_RadSpec!BA20))),".")</f>
        <v>9.0143481925428208</v>
      </c>
      <c r="BU20" s="108">
        <f>IFERROR(IF(up_Bv!W20=0,".",((s_Ir*s_F*s_I_f*s_T*(1-EXP(-up_RadSpec!BA20*s_t_v)))/(s_Y_v*up_RadSpec!BA20))),".")</f>
        <v>9.0143481925428208</v>
      </c>
      <c r="BV20" s="108">
        <f>IFERROR(IF(up_Bv!X20=0,".",((s_Ir*s_F*s_I_f*s_T*(1-EXP(-up_RadSpec!BA20*s_t_v)))/(s_Y_v*up_RadSpec!BA20))),".")</f>
        <v>9.0143481925428208</v>
      </c>
      <c r="BW20" s="108">
        <f>IFERROR(IF(up_Bv!Y20=0,".",((s_Ir*s_F*s_I_f*s_T*(1-EXP(-up_RadSpec!BA20*s_t_v)))/(s_Y_v*up_RadSpec!BA20))),".")</f>
        <v>9.0143481925428208</v>
      </c>
      <c r="BX20" s="108">
        <f>IFERROR(IF(up_Bv!Z20=0,".",((s_Ir*s_F*s_I_f*s_T*(1-EXP(-up_RadSpec!BA20*s_t_v)))/(s_Y_v*up_RadSpec!BA20))),".")</f>
        <v>9.0143481925428208</v>
      </c>
      <c r="BY20" s="108">
        <f>IFERROR(IF(up_Bv!AA20=0,".",((s_Ir*s_F*s_I_f*s_T*(1-EXP(-up_RadSpec!BA20*s_t_v)))/(s_Y_v*up_RadSpec!BA20))),".")</f>
        <v>9.0143481925428208</v>
      </c>
    </row>
    <row r="21" spans="1:77" x14ac:dyDescent="0.25">
      <c r="A21" s="44" t="s">
        <v>19</v>
      </c>
      <c r="B21" s="42" t="s">
        <v>1057</v>
      </c>
      <c r="C21" s="108">
        <f>IFERROR(IF(up_Bv!C21=0,".",((s_Ir*s_F*up_Bv!C21*(1-EXP(-up_RadSpec!$AZ21*s_t_b)))/(s_P*up_RadSpec!$AZ21))),".")</f>
        <v>993.50362303732038</v>
      </c>
      <c r="D21" s="108">
        <f>IFERROR(IF(up_Bv!D21=0,".",((s_Ir*s_F*up_Bv!D21*(1-EXP(-up_RadSpec!AZ21*s_t_b)))/(s_P*up_RadSpec!AZ21))),".")</f>
        <v>993.50362303732038</v>
      </c>
      <c r="E21" s="108">
        <f>IFERROR(IF(up_Bv!E21=0,".",((s_Ir*s_F*up_Bv!E21*(1-EXP(-up_RadSpec!AZ21*s_t_b)))/(s_P*up_RadSpec!AZ21))),".")</f>
        <v>993.50362303732038</v>
      </c>
      <c r="F21" s="108">
        <f>IFERROR(IF(up_Bv!F21=0,".",((s_Ir*s_F*up_Bv!F21*(1-EXP(-up_RadSpec!AZ21*s_t_b)))/(s_P*up_RadSpec!AZ21))),".")</f>
        <v>993.50362303732038</v>
      </c>
      <c r="G21" s="108">
        <f>IFERROR(IF(up_Bv!G21=0,".",((s_Ir*s_F*up_Bv!G21*(1-EXP(-up_RadSpec!AZ21*s_t_b)))/(s_P*up_RadSpec!AZ21))),".")</f>
        <v>993.50362303732038</v>
      </c>
      <c r="H21" s="108">
        <f>IFERROR(IF(up_Bv!H21=0,".",((s_Ir*s_F*up_Bv!H21*(1-EXP(-up_RadSpec!AZ21*s_t_b)))/(s_P*up_RadSpec!AZ21))),".")</f>
        <v>993.50362303732038</v>
      </c>
      <c r="I21" s="108">
        <f>IFERROR(IF(up_Bv!I21=0,".",((s_Ir*s_F*up_Bv!I21*(1-EXP(-up_RadSpec!AZ21*s_t_b)))/(s_P*up_RadSpec!AZ21))),".")</f>
        <v>993.50362303732038</v>
      </c>
      <c r="J21" s="108">
        <f>IFERROR(IF(up_Bv!J21=0,".",((s_Ir*s_F*up_Bv!J21*(1-EXP(-up_RadSpec!AZ21*s_t_b)))/(s_P*up_RadSpec!AZ21))),".")</f>
        <v>993.50362303732038</v>
      </c>
      <c r="K21" s="108">
        <f>IFERROR(IF(up_Bv!K21=0,".",((s_Ir*s_F*up_Bv!K21*(1-EXP(-up_RadSpec!AZ21*s_t_b)))/(s_P*up_RadSpec!AZ21))),".")</f>
        <v>993.50362303732038</v>
      </c>
      <c r="L21" s="108">
        <f>IFERROR(IF(up_Bv!L21=0,".",((s_Ir*s_F*up_Bv!L21*(1-EXP(-up_RadSpec!AZ21*s_t_b)))/(s_P*up_RadSpec!AZ21))),".")</f>
        <v>993.50362303732038</v>
      </c>
      <c r="M21" s="108">
        <f>IFERROR(IF(up_Bv!M21=0,".",((s_Ir*s_F*up_Bv!M21*(1-EXP(-up_RadSpec!AZ21*s_t_b)))/(s_P*up_RadSpec!AZ21))),".")</f>
        <v>993.50362303732038</v>
      </c>
      <c r="N21" s="108">
        <f>IFERROR(IF(up_Bv!N21=0,".",((s_Ir*s_F*up_Bv!N21*(1-EXP(-up_RadSpec!AZ21*s_t_b)))/(s_P*up_RadSpec!AZ21))),".")</f>
        <v>993.50362303732038</v>
      </c>
      <c r="O21" s="108">
        <f>IFERROR(IF(up_Bv!O21=0,".",((s_Ir*s_F*up_Bv!O21*(1-EXP(-up_RadSpec!AZ21*s_t_b)))/(s_P*up_RadSpec!AZ21))),".")</f>
        <v>993.50362303732038</v>
      </c>
      <c r="P21" s="108">
        <f>IFERROR(IF(up_Bv!P21=0,".",((s_Ir*s_F*up_Bv!P21*(1-EXP(-up_RadSpec!AZ21*s_t_b)))/(s_P*up_RadSpec!AZ21))),".")</f>
        <v>993.50362303732038</v>
      </c>
      <c r="Q21" s="108">
        <f>IFERROR(IF(up_Bv!Q21=0,".",((s_Ir*s_F*up_Bv!Q21*(1-EXP(-up_RadSpec!AZ21*s_t_b)))/(s_P*up_RadSpec!AZ21))),".")</f>
        <v>993.50362303732038</v>
      </c>
      <c r="R21" s="108">
        <f>IFERROR(IF(up_Bv!R21=0,".",((s_Ir*s_F*up_Bv!R21*(1-EXP(-up_RadSpec!AZ21*s_t_b)))/(s_P*up_RadSpec!AZ21))),".")</f>
        <v>993.50362303732038</v>
      </c>
      <c r="S21" s="108">
        <f>IFERROR(IF(up_Bv!S21=0,".",((s_Ir*s_F*up_Bv!S21*(1-EXP(-up_RadSpec!AZ21*s_t_b)))/(s_P*up_RadSpec!AZ21))),".")</f>
        <v>993.50362303732038</v>
      </c>
      <c r="T21" s="108">
        <f>IFERROR(IF(up_Bv!T21=0,".",((s_Ir*s_F*up_Bv!T21*(1-EXP(-up_RadSpec!AZ21*s_t_b)))/(s_P*up_RadSpec!AZ21))),".")</f>
        <v>993.50362303732038</v>
      </c>
      <c r="U21" s="108">
        <f>IFERROR(IF(up_Bv!U21=0,".",((s_Ir*s_F*up_Bv!U21*(1-EXP(-up_RadSpec!AZ21*s_t_b)))/(s_P*up_RadSpec!AZ21))),".")</f>
        <v>993.50362303732038</v>
      </c>
      <c r="V21" s="108">
        <f>IFERROR(IF(up_Bv!V21=0,".",((s_Ir*s_F*up_Bv!V21*(1-EXP(-up_RadSpec!AZ21*s_t_b)))/(s_P*up_RadSpec!AZ21))),".")</f>
        <v>993.50362303732038</v>
      </c>
      <c r="W21" s="108">
        <f>IFERROR(IF(up_Bv!W21=0,".",((s_Ir*s_F*up_Bv!W21*(1-EXP(-up_RadSpec!AZ21*s_t_b)))/(s_P*up_RadSpec!AZ21))),".")</f>
        <v>993.50362303732038</v>
      </c>
      <c r="X21" s="108">
        <f>IFERROR(IF(up_Bv!X21=0,".",((s_Ir*s_F*up_Bv!X21*(1-EXP(-up_RadSpec!AZ21*s_t_b)))/(s_P*up_RadSpec!AZ21))),".")</f>
        <v>993.50362303732038</v>
      </c>
      <c r="Y21" s="108">
        <f>IFERROR(IF(up_Bv!Y21=0,".",((s_Ir*s_F*up_Bv!Y21*(1-EXP(-up_RadSpec!AZ21*s_t_b)))/(s_P*up_RadSpec!AZ21))),".")</f>
        <v>993.50362303732038</v>
      </c>
      <c r="Z21" s="108">
        <f>IFERROR(IF(up_Bv!Z21=0,".",((s_Ir*s_F*up_Bv!Z21*(1-EXP(-up_RadSpec!AZ21*s_t_b)))/(s_P*up_RadSpec!AZ21))),".")</f>
        <v>993.50362303732038</v>
      </c>
      <c r="AA21" s="108">
        <f>IFERROR(IF(up_Bv!AA21=0,".",((s_Ir*s_F*up_Bv!AA21*(1-EXP(-up_RadSpec!AZ21*s_t_b)))/(s_P*up_RadSpec!AZ21))),".")</f>
        <v>993.50362303732038</v>
      </c>
      <c r="AB21" s="108">
        <f>IFERROR(IF(up_Bv!C21=0,".",((s_Ir*s_F*s_MLF_apple*(1-EXP(-up_RadSpec!AZ21*s_t_b)))/(s_P*up_RadSpec!AZ21))),".")</f>
        <v>2.6824597822007652</v>
      </c>
      <c r="AC21" s="108">
        <f>IFERROR(IF(up_Bv!D21=0,".",((s_Ir*s_F*s_MLF_asparagus*(1-EXP(-up_RadSpec!AZ21*s_t_b)))/(s_P*up_RadSpec!AZ21))),".")</f>
        <v>2.6824597822007652</v>
      </c>
      <c r="AD21" s="108">
        <f>IFERROR(IF(up_Bv!E21=0,".",((s_Ir*s_F*s_MLF_beet*(1-EXP(-up_RadSpec!AZ21*s_t_b)))/(s_P*up_RadSpec!AZ21))),".")</f>
        <v>2.6824597822007652</v>
      </c>
      <c r="AE21" s="108">
        <f>IFERROR(IF(up_Bv!F21=0,".",((s_Ir*s_F*s_MLF_berries*(1-EXP(-up_RadSpec!AZ21*s_t_b)))/(s_P*up_RadSpec!AZ21))),".")</f>
        <v>2.6824597822007652</v>
      </c>
      <c r="AF21" s="108">
        <f>IFERROR(IF(up_Bv!G21=0,".",((s_Ir*s_F*s_MLF_broccoli*(1-EXP(-up_RadSpec!AZ21*s_t_b)))/(s_P*up_RadSpec!AZ21))),".")</f>
        <v>2.6824597822007652</v>
      </c>
      <c r="AG21" s="108">
        <f>IFERROR(IF(up_Bv!H21=0,".",((s_Ir*s_F*s_MLF_cabbage*(1-EXP(-up_RadSpec!AZ21*s_t_b)))/(s_P*up_RadSpec!AZ21))),".")</f>
        <v>2.6824597822007652</v>
      </c>
      <c r="AH21" s="108">
        <f>IFERROR(IF(up_Bv!I21=0,".",((s_Ir*s_F*s_MLF_carrot*(1-EXP(-up_RadSpec!AZ21*s_t_b)))/(s_P*up_RadSpec!AZ21))),".")</f>
        <v>2.6824597822007652</v>
      </c>
      <c r="AI21" s="108">
        <f>IFERROR(IF(up_Bv!J21=0,".",((s_Ir*s_F*s_MLF_citrus*(1-EXP(-up_RadSpec!AZ21*s_t_b)))/(s_P*up_RadSpec!AZ21))),".")</f>
        <v>2.6824597822007652</v>
      </c>
      <c r="AJ21" s="108">
        <f>IFERROR(IF(up_Bv!K21=0,".",((s_Ir*s_F*s_MLF_corn*(1-EXP(-up_RadSpec!AZ21*s_t_b)))/(s_P*up_RadSpec!AZ21))),".")</f>
        <v>2.6824597822007652</v>
      </c>
      <c r="AK21" s="108">
        <f>IFERROR(IF(up_Bv!L21=0,".",((s_Ir*s_F*s_MLF_cucumber*(1-EXP(-up_RadSpec!AZ21*s_t_b)))/(s_P*up_RadSpec!AZ21))),".")</f>
        <v>2.6824597822007652</v>
      </c>
      <c r="AL21" s="108">
        <f>IFERROR(IF(up_Bv!M21=0,".",((s_Ir*s_F*s_MLF_lettuce*(1-EXP(-up_RadSpec!AZ21*s_t_b)))/(s_P*up_RadSpec!AZ21))),".")</f>
        <v>2.6824597822007652</v>
      </c>
      <c r="AM21" s="108">
        <f>IFERROR(IF(up_Bv!N21=0,".",((s_Ir*s_F*s_MLF_lima_bean*(1-EXP(-up_RadSpec!AZ21*s_t_b)))/(s_P*up_RadSpec!AZ21))),".")</f>
        <v>2.6824597822007652</v>
      </c>
      <c r="AN21" s="108">
        <f>IFERROR(IF(up_Bv!O21=0,".",((s_Ir*s_F*s_MLF_okra*(1-EXP(-up_RadSpec!AZ21*s_t_b)))/(s_P*up_RadSpec!AZ21))),".")</f>
        <v>2.6824597822007652</v>
      </c>
      <c r="AO21" s="108">
        <f>IFERROR(IF(up_Bv!P21=0,".",((s_Ir*s_F*s_MLF_onion*(1-EXP(-up_RadSpec!AZ21*s_t_b)))/(s_P*up_RadSpec!AZ21))),".")</f>
        <v>2.6824597822007652</v>
      </c>
      <c r="AP21" s="108">
        <f>IFERROR(IF(up_Bv!Q21=0,".",((s_Ir*s_F*s_MLF_peach*(1-EXP(-up_RadSpec!AZ21*s_t_b)))/(s_P*up_RadSpec!AZ21))),".")</f>
        <v>2.6824597822007652</v>
      </c>
      <c r="AQ21" s="108">
        <f>IFERROR(IF(up_Bv!R21=0,".",((s_Ir*s_F*s_MLF_pear*(1-EXP(-up_RadSpec!AZ21*s_t_b)))/(s_P*up_RadSpec!AZ21))),".")</f>
        <v>2.6824597822007652</v>
      </c>
      <c r="AR21" s="108">
        <f>IFERROR(IF(up_Bv!S21=0,".",((s_Ir*s_F*s_MLF_peas*(1-EXP(-up_RadSpec!AZ21*s_t_b)))/(s_P*up_RadSpec!AZ21))),".")</f>
        <v>2.6824597822007652</v>
      </c>
      <c r="AS21" s="108">
        <f>IFERROR(IF(up_Bv!T21=0,".",((s_Ir*s_F*s_MLF_peppers*(1-EXP(-up_RadSpec!AZ21*s_t_b)))/(s_P*up_RadSpec!AZ21))),".")</f>
        <v>2.6824597822007652</v>
      </c>
      <c r="AT21" s="108">
        <f>IFERROR(IF(up_Bv!U21=0,".",((s_Ir*s_F*s_MLF_potato*(1-EXP(-up_RadSpec!AZ21*s_t_b)))/(s_P*up_RadSpec!AZ21))),".")</f>
        <v>2.6824597822007652</v>
      </c>
      <c r="AU21" s="108">
        <f>IFERROR(IF(up_Bv!V21=0,".",((s_Ir*s_F*s_MLF_pumpkin*(1-EXP(-up_RadSpec!AZ21*s_t_b)))/(s_P*up_RadSpec!AZ21))),".")</f>
        <v>2.6824597822007652</v>
      </c>
      <c r="AV21" s="108">
        <f>IFERROR(IF(up_Bv!W21=0,".",((s_Ir*s_F*s_MLF_snap_bean*(1-EXP(-up_RadSpec!AZ21*s_t_b)))/(s_P*up_RadSpec!AZ21))),".")</f>
        <v>2.6824597822007652</v>
      </c>
      <c r="AW21" s="108">
        <f>IFERROR(IF(up_Bv!X21=0,".",((s_Ir*s_F*s_MLF_strawberry*(1-EXP(-up_RadSpec!AZ21*s_t_b)))/(s_P*up_RadSpec!AZ21))),".")</f>
        <v>2.6824597822007652</v>
      </c>
      <c r="AX21" s="108">
        <f>IFERROR(IF(up_Bv!Y21=0,".",((s_Ir*s_F*s_MLF_tomato*(1-EXP(-up_RadSpec!AZ21*s_t_b)))/(s_P*up_RadSpec!AZ21))),".")</f>
        <v>2.6824597822007652</v>
      </c>
      <c r="AY21" s="108">
        <f>IFERROR(IF(up_Bv!Z21=0,".",((s_Ir*s_F*s_MLF_rice*(1-EXP(-up_RadSpec!AZ21*s_t_b)))/(s_P*up_RadSpec!AZ21))),".")</f>
        <v>2.6824597822007652</v>
      </c>
      <c r="AZ21" s="108">
        <f>IFERROR(IF(up_Bv!AA21=0,".",((s_Ir*s_F*s_MLF_cereal*(1-EXP(-up_RadSpec!AZ21*s_t_b)))/(s_P*up_RadSpec!AZ21))),".")</f>
        <v>2.6824597822007652</v>
      </c>
      <c r="BA21" s="108">
        <f>IFERROR(IF(up_Bv!C21=0,".",((s_Ir*s_F*s_I_f*s_T*(1-EXP(-up_RadSpec!BA21*s_t_v)))/(s_Y_v*up_RadSpec!BA21))),".")</f>
        <v>9.0143481925428208</v>
      </c>
      <c r="BB21" s="108">
        <f>IFERROR(IF(up_Bv!D21=0,".",((s_Ir*s_F*s_I_f*s_T*(1-EXP(-up_RadSpec!BA21*s_t_v)))/(s_Y_v*up_RadSpec!BA21))),".")</f>
        <v>9.0143481925428208</v>
      </c>
      <c r="BC21" s="108">
        <f>IFERROR(IF(up_Bv!E21=0,".",((s_Ir*s_F*s_I_f*s_T*(1-EXP(-up_RadSpec!BA21*s_t_v)))/(s_Y_v*up_RadSpec!BA21))),".")</f>
        <v>9.0143481925428208</v>
      </c>
      <c r="BD21" s="108">
        <f>IFERROR(IF(up_Bv!F21=0,".",((s_Ir*s_F*s_I_f*s_T*(1-EXP(-up_RadSpec!BA21*s_t_v)))/(s_Y_v*up_RadSpec!BA21))),".")</f>
        <v>9.0143481925428208</v>
      </c>
      <c r="BE21" s="108">
        <f>IFERROR(IF(up_Bv!G21=0,".",((s_Ir*s_F*s_I_f*s_T*(1-EXP(-up_RadSpec!BA21*s_t_v)))/(s_Y_v*up_RadSpec!BA21))),".")</f>
        <v>9.0143481925428208</v>
      </c>
      <c r="BF21" s="108">
        <f>IFERROR(IF(up_Bv!H21=0,".",((s_Ir*s_F*s_I_f*s_T*(1-EXP(-up_RadSpec!BA21*s_t_v)))/(s_Y_v*up_RadSpec!BA21))),".")</f>
        <v>9.0143481925428208</v>
      </c>
      <c r="BG21" s="108">
        <f>IFERROR(IF(up_Bv!I21=0,".",((s_Ir*s_F*s_I_f*s_T*(1-EXP(-up_RadSpec!BA21*s_t_v)))/(s_Y_v*up_RadSpec!BA21))),".")</f>
        <v>9.0143481925428208</v>
      </c>
      <c r="BH21" s="108">
        <f>IFERROR(IF(up_Bv!J21=0,".",((s_Ir*s_F*s_I_f*s_T*(1-EXP(-up_RadSpec!BA21*s_t_v)))/(s_Y_v*up_RadSpec!BA21))),".")</f>
        <v>9.0143481925428208</v>
      </c>
      <c r="BI21" s="108">
        <f>IFERROR(IF(up_Bv!K21=0,".",((s_Ir*s_F*s_I_f*s_T*(1-EXP(-up_RadSpec!BA21*s_t_v)))/(s_Y_v*up_RadSpec!BA21))),".")</f>
        <v>9.0143481925428208</v>
      </c>
      <c r="BJ21" s="108">
        <f>IFERROR(IF(up_Bv!L21=0,".",((s_Ir*s_F*s_I_f*s_T*(1-EXP(-up_RadSpec!BA21*s_t_v)))/(s_Y_v*up_RadSpec!BA21))),".")</f>
        <v>9.0143481925428208</v>
      </c>
      <c r="BK21" s="108">
        <f>IFERROR(IF(up_Bv!M21=0,".",((s_Ir*s_F*s_I_f*s_T*(1-EXP(-up_RadSpec!BA21*s_t_v)))/(s_Y_v*up_RadSpec!BA21))),".")</f>
        <v>9.0143481925428208</v>
      </c>
      <c r="BL21" s="108">
        <f>IFERROR(IF(up_Bv!N21=0,".",((s_Ir*s_F*s_I_f*s_T*(1-EXP(-up_RadSpec!BA21*s_t_v)))/(s_Y_v*up_RadSpec!BA21))),".")</f>
        <v>9.0143481925428208</v>
      </c>
      <c r="BM21" s="108">
        <f>IFERROR(IF(up_Bv!O21=0,".",((s_Ir*s_F*s_I_f*s_T*(1-EXP(-up_RadSpec!BA21*s_t_v)))/(s_Y_v*up_RadSpec!BA21))),".")</f>
        <v>9.0143481925428208</v>
      </c>
      <c r="BN21" s="108">
        <f>IFERROR(IF(up_Bv!P21=0,".",((s_Ir*s_F*s_I_f*s_T*(1-EXP(-up_RadSpec!BA21*s_t_v)))/(s_Y_v*up_RadSpec!BA21))),".")</f>
        <v>9.0143481925428208</v>
      </c>
      <c r="BO21" s="108">
        <f>IFERROR(IF(up_Bv!Q21=0,".",((s_Ir*s_F*s_I_f*s_T*(1-EXP(-up_RadSpec!BA21*s_t_v)))/(s_Y_v*up_RadSpec!BA21))),".")</f>
        <v>9.0143481925428208</v>
      </c>
      <c r="BP21" s="108">
        <f>IFERROR(IF(up_Bv!R21=0,".",((s_Ir*s_F*s_I_f*s_T*(1-EXP(-up_RadSpec!BA21*s_t_v)))/(s_Y_v*up_RadSpec!BA21))),".")</f>
        <v>9.0143481925428208</v>
      </c>
      <c r="BQ21" s="108">
        <f>IFERROR(IF(up_Bv!S21=0,".",((s_Ir*s_F*s_I_f*s_T*(1-EXP(-up_RadSpec!BA21*s_t_v)))/(s_Y_v*up_RadSpec!BA21))),".")</f>
        <v>9.0143481925428208</v>
      </c>
      <c r="BR21" s="108">
        <f>IFERROR(IF(up_Bv!T21=0,".",((s_Ir*s_F*s_I_f*s_T*(1-EXP(-up_RadSpec!BA21*s_t_v)))/(s_Y_v*up_RadSpec!BA21))),".")</f>
        <v>9.0143481925428208</v>
      </c>
      <c r="BS21" s="108">
        <f>IFERROR(IF(up_Bv!U21=0,".",((s_Ir*s_F*s_I_f*s_T*(1-EXP(-up_RadSpec!BA21*s_t_v)))/(s_Y_v*up_RadSpec!BA21))),".")</f>
        <v>9.0143481925428208</v>
      </c>
      <c r="BT21" s="108">
        <f>IFERROR(IF(up_Bv!V21=0,".",((s_Ir*s_F*s_I_f*s_T*(1-EXP(-up_RadSpec!BA21*s_t_v)))/(s_Y_v*up_RadSpec!BA21))),".")</f>
        <v>9.0143481925428208</v>
      </c>
      <c r="BU21" s="108">
        <f>IFERROR(IF(up_Bv!W21=0,".",((s_Ir*s_F*s_I_f*s_T*(1-EXP(-up_RadSpec!BA21*s_t_v)))/(s_Y_v*up_RadSpec!BA21))),".")</f>
        <v>9.0143481925428208</v>
      </c>
      <c r="BV21" s="108">
        <f>IFERROR(IF(up_Bv!X21=0,".",((s_Ir*s_F*s_I_f*s_T*(1-EXP(-up_RadSpec!BA21*s_t_v)))/(s_Y_v*up_RadSpec!BA21))),".")</f>
        <v>9.0143481925428208</v>
      </c>
      <c r="BW21" s="108">
        <f>IFERROR(IF(up_Bv!Y21=0,".",((s_Ir*s_F*s_I_f*s_T*(1-EXP(-up_RadSpec!BA21*s_t_v)))/(s_Y_v*up_RadSpec!BA21))),".")</f>
        <v>9.0143481925428208</v>
      </c>
      <c r="BX21" s="108">
        <f>IFERROR(IF(up_Bv!Z21=0,".",((s_Ir*s_F*s_I_f*s_T*(1-EXP(-up_RadSpec!BA21*s_t_v)))/(s_Y_v*up_RadSpec!BA21))),".")</f>
        <v>9.0143481925428208</v>
      </c>
      <c r="BY21" s="108">
        <f>IFERROR(IF(up_Bv!AA21=0,".",((s_Ir*s_F*s_I_f*s_T*(1-EXP(-up_RadSpec!BA21*s_t_v)))/(s_Y_v*up_RadSpec!BA21))),".")</f>
        <v>9.0143481925428208</v>
      </c>
    </row>
    <row r="22" spans="1:77" x14ac:dyDescent="0.25">
      <c r="A22" s="44" t="s">
        <v>20</v>
      </c>
      <c r="B22" s="42" t="s">
        <v>1057</v>
      </c>
      <c r="C22" s="108">
        <f>IFERROR(IF(up_Bv!C22=0,".",((s_Ir*s_F*up_Bv!C22*(1-EXP(-up_RadSpec!$AZ22*s_t_b)))/(s_P*up_RadSpec!$AZ22))),".")</f>
        <v>993.50362303732038</v>
      </c>
      <c r="D22" s="108">
        <f>IFERROR(IF(up_Bv!D22=0,".",((s_Ir*s_F*up_Bv!D22*(1-EXP(-up_RadSpec!AZ22*s_t_b)))/(s_P*up_RadSpec!AZ22))),".")</f>
        <v>993.50362303732038</v>
      </c>
      <c r="E22" s="108">
        <f>IFERROR(IF(up_Bv!E22=0,".",((s_Ir*s_F*up_Bv!E22*(1-EXP(-up_RadSpec!AZ22*s_t_b)))/(s_P*up_RadSpec!AZ22))),".")</f>
        <v>993.50362303732038</v>
      </c>
      <c r="F22" s="108">
        <f>IFERROR(IF(up_Bv!F22=0,".",((s_Ir*s_F*up_Bv!F22*(1-EXP(-up_RadSpec!AZ22*s_t_b)))/(s_P*up_RadSpec!AZ22))),".")</f>
        <v>993.50362303732038</v>
      </c>
      <c r="G22" s="108">
        <f>IFERROR(IF(up_Bv!G22=0,".",((s_Ir*s_F*up_Bv!G22*(1-EXP(-up_RadSpec!AZ22*s_t_b)))/(s_P*up_RadSpec!AZ22))),".")</f>
        <v>993.50362303732038</v>
      </c>
      <c r="H22" s="108">
        <f>IFERROR(IF(up_Bv!H22=0,".",((s_Ir*s_F*up_Bv!H22*(1-EXP(-up_RadSpec!AZ22*s_t_b)))/(s_P*up_RadSpec!AZ22))),".")</f>
        <v>993.50362303732038</v>
      </c>
      <c r="I22" s="108">
        <f>IFERROR(IF(up_Bv!I22=0,".",((s_Ir*s_F*up_Bv!I22*(1-EXP(-up_RadSpec!AZ22*s_t_b)))/(s_P*up_RadSpec!AZ22))),".")</f>
        <v>993.50362303732038</v>
      </c>
      <c r="J22" s="108">
        <f>IFERROR(IF(up_Bv!J22=0,".",((s_Ir*s_F*up_Bv!J22*(1-EXP(-up_RadSpec!AZ22*s_t_b)))/(s_P*up_RadSpec!AZ22))),".")</f>
        <v>993.50362303732038</v>
      </c>
      <c r="K22" s="108">
        <f>IFERROR(IF(up_Bv!K22=0,".",((s_Ir*s_F*up_Bv!K22*(1-EXP(-up_RadSpec!AZ22*s_t_b)))/(s_P*up_RadSpec!AZ22))),".")</f>
        <v>993.50362303732038</v>
      </c>
      <c r="L22" s="108">
        <f>IFERROR(IF(up_Bv!L22=0,".",((s_Ir*s_F*up_Bv!L22*(1-EXP(-up_RadSpec!AZ22*s_t_b)))/(s_P*up_RadSpec!AZ22))),".")</f>
        <v>993.50362303732038</v>
      </c>
      <c r="M22" s="108">
        <f>IFERROR(IF(up_Bv!M22=0,".",((s_Ir*s_F*up_Bv!M22*(1-EXP(-up_RadSpec!AZ22*s_t_b)))/(s_P*up_RadSpec!AZ22))),".")</f>
        <v>993.50362303732038</v>
      </c>
      <c r="N22" s="108">
        <f>IFERROR(IF(up_Bv!N22=0,".",((s_Ir*s_F*up_Bv!N22*(1-EXP(-up_RadSpec!AZ22*s_t_b)))/(s_P*up_RadSpec!AZ22))),".")</f>
        <v>993.50362303732038</v>
      </c>
      <c r="O22" s="108">
        <f>IFERROR(IF(up_Bv!O22=0,".",((s_Ir*s_F*up_Bv!O22*(1-EXP(-up_RadSpec!AZ22*s_t_b)))/(s_P*up_RadSpec!AZ22))),".")</f>
        <v>993.50362303732038</v>
      </c>
      <c r="P22" s="108">
        <f>IFERROR(IF(up_Bv!P22=0,".",((s_Ir*s_F*up_Bv!P22*(1-EXP(-up_RadSpec!AZ22*s_t_b)))/(s_P*up_RadSpec!AZ22))),".")</f>
        <v>993.50362303732038</v>
      </c>
      <c r="Q22" s="108">
        <f>IFERROR(IF(up_Bv!Q22=0,".",((s_Ir*s_F*up_Bv!Q22*(1-EXP(-up_RadSpec!AZ22*s_t_b)))/(s_P*up_RadSpec!AZ22))),".")</f>
        <v>993.50362303732038</v>
      </c>
      <c r="R22" s="108">
        <f>IFERROR(IF(up_Bv!R22=0,".",((s_Ir*s_F*up_Bv!R22*(1-EXP(-up_RadSpec!AZ22*s_t_b)))/(s_P*up_RadSpec!AZ22))),".")</f>
        <v>993.50362303732038</v>
      </c>
      <c r="S22" s="108">
        <f>IFERROR(IF(up_Bv!S22=0,".",((s_Ir*s_F*up_Bv!S22*(1-EXP(-up_RadSpec!AZ22*s_t_b)))/(s_P*up_RadSpec!AZ22))),".")</f>
        <v>993.50362303732038</v>
      </c>
      <c r="T22" s="108">
        <f>IFERROR(IF(up_Bv!T22=0,".",((s_Ir*s_F*up_Bv!T22*(1-EXP(-up_RadSpec!AZ22*s_t_b)))/(s_P*up_RadSpec!AZ22))),".")</f>
        <v>993.50362303732038</v>
      </c>
      <c r="U22" s="108">
        <f>IFERROR(IF(up_Bv!U22=0,".",((s_Ir*s_F*up_Bv!U22*(1-EXP(-up_RadSpec!AZ22*s_t_b)))/(s_P*up_RadSpec!AZ22))),".")</f>
        <v>993.50362303732038</v>
      </c>
      <c r="V22" s="108">
        <f>IFERROR(IF(up_Bv!V22=0,".",((s_Ir*s_F*up_Bv!V22*(1-EXP(-up_RadSpec!AZ22*s_t_b)))/(s_P*up_RadSpec!AZ22))),".")</f>
        <v>993.50362303732038</v>
      </c>
      <c r="W22" s="108">
        <f>IFERROR(IF(up_Bv!W22=0,".",((s_Ir*s_F*up_Bv!W22*(1-EXP(-up_RadSpec!AZ22*s_t_b)))/(s_P*up_RadSpec!AZ22))),".")</f>
        <v>993.50362303732038</v>
      </c>
      <c r="X22" s="108">
        <f>IFERROR(IF(up_Bv!X22=0,".",((s_Ir*s_F*up_Bv!X22*(1-EXP(-up_RadSpec!AZ22*s_t_b)))/(s_P*up_RadSpec!AZ22))),".")</f>
        <v>993.50362303732038</v>
      </c>
      <c r="Y22" s="108">
        <f>IFERROR(IF(up_Bv!Y22=0,".",((s_Ir*s_F*up_Bv!Y22*(1-EXP(-up_RadSpec!AZ22*s_t_b)))/(s_P*up_RadSpec!AZ22))),".")</f>
        <v>993.50362303732038</v>
      </c>
      <c r="Z22" s="108">
        <f>IFERROR(IF(up_Bv!Z22=0,".",((s_Ir*s_F*up_Bv!Z22*(1-EXP(-up_RadSpec!AZ22*s_t_b)))/(s_P*up_RadSpec!AZ22))),".")</f>
        <v>993.50362303732038</v>
      </c>
      <c r="AA22" s="108">
        <f>IFERROR(IF(up_Bv!AA22=0,".",((s_Ir*s_F*up_Bv!AA22*(1-EXP(-up_RadSpec!AZ22*s_t_b)))/(s_P*up_RadSpec!AZ22))),".")</f>
        <v>993.50362303732038</v>
      </c>
      <c r="AB22" s="108">
        <f>IFERROR(IF(up_Bv!C22=0,".",((s_Ir*s_F*s_MLF_apple*(1-EXP(-up_RadSpec!AZ22*s_t_b)))/(s_P*up_RadSpec!AZ22))),".")</f>
        <v>2.6824597822007652</v>
      </c>
      <c r="AC22" s="108">
        <f>IFERROR(IF(up_Bv!D22=0,".",((s_Ir*s_F*s_MLF_asparagus*(1-EXP(-up_RadSpec!AZ22*s_t_b)))/(s_P*up_RadSpec!AZ22))),".")</f>
        <v>2.6824597822007652</v>
      </c>
      <c r="AD22" s="108">
        <f>IFERROR(IF(up_Bv!E22=0,".",((s_Ir*s_F*s_MLF_beet*(1-EXP(-up_RadSpec!AZ22*s_t_b)))/(s_P*up_RadSpec!AZ22))),".")</f>
        <v>2.6824597822007652</v>
      </c>
      <c r="AE22" s="108">
        <f>IFERROR(IF(up_Bv!F22=0,".",((s_Ir*s_F*s_MLF_berries*(1-EXP(-up_RadSpec!AZ22*s_t_b)))/(s_P*up_RadSpec!AZ22))),".")</f>
        <v>2.6824597822007652</v>
      </c>
      <c r="AF22" s="108">
        <f>IFERROR(IF(up_Bv!G22=0,".",((s_Ir*s_F*s_MLF_broccoli*(1-EXP(-up_RadSpec!AZ22*s_t_b)))/(s_P*up_RadSpec!AZ22))),".")</f>
        <v>2.6824597822007652</v>
      </c>
      <c r="AG22" s="108">
        <f>IFERROR(IF(up_Bv!H22=0,".",((s_Ir*s_F*s_MLF_cabbage*(1-EXP(-up_RadSpec!AZ22*s_t_b)))/(s_P*up_RadSpec!AZ22))),".")</f>
        <v>2.6824597822007652</v>
      </c>
      <c r="AH22" s="108">
        <f>IFERROR(IF(up_Bv!I22=0,".",((s_Ir*s_F*s_MLF_carrot*(1-EXP(-up_RadSpec!AZ22*s_t_b)))/(s_P*up_RadSpec!AZ22))),".")</f>
        <v>2.6824597822007652</v>
      </c>
      <c r="AI22" s="108">
        <f>IFERROR(IF(up_Bv!J22=0,".",((s_Ir*s_F*s_MLF_citrus*(1-EXP(-up_RadSpec!AZ22*s_t_b)))/(s_P*up_RadSpec!AZ22))),".")</f>
        <v>2.6824597822007652</v>
      </c>
      <c r="AJ22" s="108">
        <f>IFERROR(IF(up_Bv!K22=0,".",((s_Ir*s_F*s_MLF_corn*(1-EXP(-up_RadSpec!AZ22*s_t_b)))/(s_P*up_RadSpec!AZ22))),".")</f>
        <v>2.6824597822007652</v>
      </c>
      <c r="AK22" s="108">
        <f>IFERROR(IF(up_Bv!L22=0,".",((s_Ir*s_F*s_MLF_cucumber*(1-EXP(-up_RadSpec!AZ22*s_t_b)))/(s_P*up_RadSpec!AZ22))),".")</f>
        <v>2.6824597822007652</v>
      </c>
      <c r="AL22" s="108">
        <f>IFERROR(IF(up_Bv!M22=0,".",((s_Ir*s_F*s_MLF_lettuce*(1-EXP(-up_RadSpec!AZ22*s_t_b)))/(s_P*up_RadSpec!AZ22))),".")</f>
        <v>2.6824597822007652</v>
      </c>
      <c r="AM22" s="108">
        <f>IFERROR(IF(up_Bv!N22=0,".",((s_Ir*s_F*s_MLF_lima_bean*(1-EXP(-up_RadSpec!AZ22*s_t_b)))/(s_P*up_RadSpec!AZ22))),".")</f>
        <v>2.6824597822007652</v>
      </c>
      <c r="AN22" s="108">
        <f>IFERROR(IF(up_Bv!O22=0,".",((s_Ir*s_F*s_MLF_okra*(1-EXP(-up_RadSpec!AZ22*s_t_b)))/(s_P*up_RadSpec!AZ22))),".")</f>
        <v>2.6824597822007652</v>
      </c>
      <c r="AO22" s="108">
        <f>IFERROR(IF(up_Bv!P22=0,".",((s_Ir*s_F*s_MLF_onion*(1-EXP(-up_RadSpec!AZ22*s_t_b)))/(s_P*up_RadSpec!AZ22))),".")</f>
        <v>2.6824597822007652</v>
      </c>
      <c r="AP22" s="108">
        <f>IFERROR(IF(up_Bv!Q22=0,".",((s_Ir*s_F*s_MLF_peach*(1-EXP(-up_RadSpec!AZ22*s_t_b)))/(s_P*up_RadSpec!AZ22))),".")</f>
        <v>2.6824597822007652</v>
      </c>
      <c r="AQ22" s="108">
        <f>IFERROR(IF(up_Bv!R22=0,".",((s_Ir*s_F*s_MLF_pear*(1-EXP(-up_RadSpec!AZ22*s_t_b)))/(s_P*up_RadSpec!AZ22))),".")</f>
        <v>2.6824597822007652</v>
      </c>
      <c r="AR22" s="108">
        <f>IFERROR(IF(up_Bv!S22=0,".",((s_Ir*s_F*s_MLF_peas*(1-EXP(-up_RadSpec!AZ22*s_t_b)))/(s_P*up_RadSpec!AZ22))),".")</f>
        <v>2.6824597822007652</v>
      </c>
      <c r="AS22" s="108">
        <f>IFERROR(IF(up_Bv!T22=0,".",((s_Ir*s_F*s_MLF_peppers*(1-EXP(-up_RadSpec!AZ22*s_t_b)))/(s_P*up_RadSpec!AZ22))),".")</f>
        <v>2.6824597822007652</v>
      </c>
      <c r="AT22" s="108">
        <f>IFERROR(IF(up_Bv!U22=0,".",((s_Ir*s_F*s_MLF_potato*(1-EXP(-up_RadSpec!AZ22*s_t_b)))/(s_P*up_RadSpec!AZ22))),".")</f>
        <v>2.6824597822007652</v>
      </c>
      <c r="AU22" s="108">
        <f>IFERROR(IF(up_Bv!V22=0,".",((s_Ir*s_F*s_MLF_pumpkin*(1-EXP(-up_RadSpec!AZ22*s_t_b)))/(s_P*up_RadSpec!AZ22))),".")</f>
        <v>2.6824597822007652</v>
      </c>
      <c r="AV22" s="108">
        <f>IFERROR(IF(up_Bv!W22=0,".",((s_Ir*s_F*s_MLF_snap_bean*(1-EXP(-up_RadSpec!AZ22*s_t_b)))/(s_P*up_RadSpec!AZ22))),".")</f>
        <v>2.6824597822007652</v>
      </c>
      <c r="AW22" s="108">
        <f>IFERROR(IF(up_Bv!X22=0,".",((s_Ir*s_F*s_MLF_strawberry*(1-EXP(-up_RadSpec!AZ22*s_t_b)))/(s_P*up_RadSpec!AZ22))),".")</f>
        <v>2.6824597822007652</v>
      </c>
      <c r="AX22" s="108">
        <f>IFERROR(IF(up_Bv!Y22=0,".",((s_Ir*s_F*s_MLF_tomato*(1-EXP(-up_RadSpec!AZ22*s_t_b)))/(s_P*up_RadSpec!AZ22))),".")</f>
        <v>2.6824597822007652</v>
      </c>
      <c r="AY22" s="108">
        <f>IFERROR(IF(up_Bv!Z22=0,".",((s_Ir*s_F*s_MLF_rice*(1-EXP(-up_RadSpec!AZ22*s_t_b)))/(s_P*up_RadSpec!AZ22))),".")</f>
        <v>2.6824597822007652</v>
      </c>
      <c r="AZ22" s="108">
        <f>IFERROR(IF(up_Bv!AA22=0,".",((s_Ir*s_F*s_MLF_cereal*(1-EXP(-up_RadSpec!AZ22*s_t_b)))/(s_P*up_RadSpec!AZ22))),".")</f>
        <v>2.6824597822007652</v>
      </c>
      <c r="BA22" s="108">
        <f>IFERROR(IF(up_Bv!C22=0,".",((s_Ir*s_F*s_I_f*s_T*(1-EXP(-up_RadSpec!BA22*s_t_v)))/(s_Y_v*up_RadSpec!BA22))),".")</f>
        <v>9.0143481925428208</v>
      </c>
      <c r="BB22" s="108">
        <f>IFERROR(IF(up_Bv!D22=0,".",((s_Ir*s_F*s_I_f*s_T*(1-EXP(-up_RadSpec!BA22*s_t_v)))/(s_Y_v*up_RadSpec!BA22))),".")</f>
        <v>9.0143481925428208</v>
      </c>
      <c r="BC22" s="108">
        <f>IFERROR(IF(up_Bv!E22=0,".",((s_Ir*s_F*s_I_f*s_T*(1-EXP(-up_RadSpec!BA22*s_t_v)))/(s_Y_v*up_RadSpec!BA22))),".")</f>
        <v>9.0143481925428208</v>
      </c>
      <c r="BD22" s="108">
        <f>IFERROR(IF(up_Bv!F22=0,".",((s_Ir*s_F*s_I_f*s_T*(1-EXP(-up_RadSpec!BA22*s_t_v)))/(s_Y_v*up_RadSpec!BA22))),".")</f>
        <v>9.0143481925428208</v>
      </c>
      <c r="BE22" s="108">
        <f>IFERROR(IF(up_Bv!G22=0,".",((s_Ir*s_F*s_I_f*s_T*(1-EXP(-up_RadSpec!BA22*s_t_v)))/(s_Y_v*up_RadSpec!BA22))),".")</f>
        <v>9.0143481925428208</v>
      </c>
      <c r="BF22" s="108">
        <f>IFERROR(IF(up_Bv!H22=0,".",((s_Ir*s_F*s_I_f*s_T*(1-EXP(-up_RadSpec!BA22*s_t_v)))/(s_Y_v*up_RadSpec!BA22))),".")</f>
        <v>9.0143481925428208</v>
      </c>
      <c r="BG22" s="108">
        <f>IFERROR(IF(up_Bv!I22=0,".",((s_Ir*s_F*s_I_f*s_T*(1-EXP(-up_RadSpec!BA22*s_t_v)))/(s_Y_v*up_RadSpec!BA22))),".")</f>
        <v>9.0143481925428208</v>
      </c>
      <c r="BH22" s="108">
        <f>IFERROR(IF(up_Bv!J22=0,".",((s_Ir*s_F*s_I_f*s_T*(1-EXP(-up_RadSpec!BA22*s_t_v)))/(s_Y_v*up_RadSpec!BA22))),".")</f>
        <v>9.0143481925428208</v>
      </c>
      <c r="BI22" s="108">
        <f>IFERROR(IF(up_Bv!K22=0,".",((s_Ir*s_F*s_I_f*s_T*(1-EXP(-up_RadSpec!BA22*s_t_v)))/(s_Y_v*up_RadSpec!BA22))),".")</f>
        <v>9.0143481925428208</v>
      </c>
      <c r="BJ22" s="108">
        <f>IFERROR(IF(up_Bv!L22=0,".",((s_Ir*s_F*s_I_f*s_T*(1-EXP(-up_RadSpec!BA22*s_t_v)))/(s_Y_v*up_RadSpec!BA22))),".")</f>
        <v>9.0143481925428208</v>
      </c>
      <c r="BK22" s="108">
        <f>IFERROR(IF(up_Bv!M22=0,".",((s_Ir*s_F*s_I_f*s_T*(1-EXP(-up_RadSpec!BA22*s_t_v)))/(s_Y_v*up_RadSpec!BA22))),".")</f>
        <v>9.0143481925428208</v>
      </c>
      <c r="BL22" s="108">
        <f>IFERROR(IF(up_Bv!N22=0,".",((s_Ir*s_F*s_I_f*s_T*(1-EXP(-up_RadSpec!BA22*s_t_v)))/(s_Y_v*up_RadSpec!BA22))),".")</f>
        <v>9.0143481925428208</v>
      </c>
      <c r="BM22" s="108">
        <f>IFERROR(IF(up_Bv!O22=0,".",((s_Ir*s_F*s_I_f*s_T*(1-EXP(-up_RadSpec!BA22*s_t_v)))/(s_Y_v*up_RadSpec!BA22))),".")</f>
        <v>9.0143481925428208</v>
      </c>
      <c r="BN22" s="108">
        <f>IFERROR(IF(up_Bv!P22=0,".",((s_Ir*s_F*s_I_f*s_T*(1-EXP(-up_RadSpec!BA22*s_t_v)))/(s_Y_v*up_RadSpec!BA22))),".")</f>
        <v>9.0143481925428208</v>
      </c>
      <c r="BO22" s="108">
        <f>IFERROR(IF(up_Bv!Q22=0,".",((s_Ir*s_F*s_I_f*s_T*(1-EXP(-up_RadSpec!BA22*s_t_v)))/(s_Y_v*up_RadSpec!BA22))),".")</f>
        <v>9.0143481925428208</v>
      </c>
      <c r="BP22" s="108">
        <f>IFERROR(IF(up_Bv!R22=0,".",((s_Ir*s_F*s_I_f*s_T*(1-EXP(-up_RadSpec!BA22*s_t_v)))/(s_Y_v*up_RadSpec!BA22))),".")</f>
        <v>9.0143481925428208</v>
      </c>
      <c r="BQ22" s="108">
        <f>IFERROR(IF(up_Bv!S22=0,".",((s_Ir*s_F*s_I_f*s_T*(1-EXP(-up_RadSpec!BA22*s_t_v)))/(s_Y_v*up_RadSpec!BA22))),".")</f>
        <v>9.0143481925428208</v>
      </c>
      <c r="BR22" s="108">
        <f>IFERROR(IF(up_Bv!T22=0,".",((s_Ir*s_F*s_I_f*s_T*(1-EXP(-up_RadSpec!BA22*s_t_v)))/(s_Y_v*up_RadSpec!BA22))),".")</f>
        <v>9.0143481925428208</v>
      </c>
      <c r="BS22" s="108">
        <f>IFERROR(IF(up_Bv!U22=0,".",((s_Ir*s_F*s_I_f*s_T*(1-EXP(-up_RadSpec!BA22*s_t_v)))/(s_Y_v*up_RadSpec!BA22))),".")</f>
        <v>9.0143481925428208</v>
      </c>
      <c r="BT22" s="108">
        <f>IFERROR(IF(up_Bv!V22=0,".",((s_Ir*s_F*s_I_f*s_T*(1-EXP(-up_RadSpec!BA22*s_t_v)))/(s_Y_v*up_RadSpec!BA22))),".")</f>
        <v>9.0143481925428208</v>
      </c>
      <c r="BU22" s="108">
        <f>IFERROR(IF(up_Bv!W22=0,".",((s_Ir*s_F*s_I_f*s_T*(1-EXP(-up_RadSpec!BA22*s_t_v)))/(s_Y_v*up_RadSpec!BA22))),".")</f>
        <v>9.0143481925428208</v>
      </c>
      <c r="BV22" s="108">
        <f>IFERROR(IF(up_Bv!X22=0,".",((s_Ir*s_F*s_I_f*s_T*(1-EXP(-up_RadSpec!BA22*s_t_v)))/(s_Y_v*up_RadSpec!BA22))),".")</f>
        <v>9.0143481925428208</v>
      </c>
      <c r="BW22" s="108">
        <f>IFERROR(IF(up_Bv!Y22=0,".",((s_Ir*s_F*s_I_f*s_T*(1-EXP(-up_RadSpec!BA22*s_t_v)))/(s_Y_v*up_RadSpec!BA22))),".")</f>
        <v>9.0143481925428208</v>
      </c>
      <c r="BX22" s="108">
        <f>IFERROR(IF(up_Bv!Z22=0,".",((s_Ir*s_F*s_I_f*s_T*(1-EXP(-up_RadSpec!BA22*s_t_v)))/(s_Y_v*up_RadSpec!BA22))),".")</f>
        <v>9.0143481925428208</v>
      </c>
      <c r="BY22" s="108">
        <f>IFERROR(IF(up_Bv!AA22=0,".",((s_Ir*s_F*s_I_f*s_T*(1-EXP(-up_RadSpec!BA22*s_t_v)))/(s_Y_v*up_RadSpec!BA22))),".")</f>
        <v>9.0143481925428208</v>
      </c>
    </row>
    <row r="23" spans="1:77" x14ac:dyDescent="0.25">
      <c r="A23" s="46" t="s">
        <v>21</v>
      </c>
      <c r="B23" s="42" t="s">
        <v>335</v>
      </c>
      <c r="C23" s="108">
        <f>IFERROR(IF(up_Bv!C23=0,".",((s_Ir*s_F*up_Bv!C23*(1-EXP(-up_RadSpec!$AZ23*s_t_b)))/(s_P*up_RadSpec!$AZ23))),".")</f>
        <v>993.50362303732038</v>
      </c>
      <c r="D23" s="108">
        <f>IFERROR(IF(up_Bv!D23=0,".",((s_Ir*s_F*up_Bv!D23*(1-EXP(-up_RadSpec!AZ23*s_t_b)))/(s_P*up_RadSpec!AZ23))),".")</f>
        <v>993.50362303732038</v>
      </c>
      <c r="E23" s="108">
        <f>IFERROR(IF(up_Bv!E23=0,".",((s_Ir*s_F*up_Bv!E23*(1-EXP(-up_RadSpec!AZ23*s_t_b)))/(s_P*up_RadSpec!AZ23))),".")</f>
        <v>993.50362303732038</v>
      </c>
      <c r="F23" s="108">
        <f>IFERROR(IF(up_Bv!F23=0,".",((s_Ir*s_F*up_Bv!F23*(1-EXP(-up_RadSpec!AZ23*s_t_b)))/(s_P*up_RadSpec!AZ23))),".")</f>
        <v>993.50362303732038</v>
      </c>
      <c r="G23" s="108">
        <f>IFERROR(IF(up_Bv!G23=0,".",((s_Ir*s_F*up_Bv!G23*(1-EXP(-up_RadSpec!AZ23*s_t_b)))/(s_P*up_RadSpec!AZ23))),".")</f>
        <v>993.50362303732038</v>
      </c>
      <c r="H23" s="108">
        <f>IFERROR(IF(up_Bv!H23=0,".",((s_Ir*s_F*up_Bv!H23*(1-EXP(-up_RadSpec!AZ23*s_t_b)))/(s_P*up_RadSpec!AZ23))),".")</f>
        <v>993.50362303732038</v>
      </c>
      <c r="I23" s="108">
        <f>IFERROR(IF(up_Bv!I23=0,".",((s_Ir*s_F*up_Bv!I23*(1-EXP(-up_RadSpec!AZ23*s_t_b)))/(s_P*up_RadSpec!AZ23))),".")</f>
        <v>993.50362303732038</v>
      </c>
      <c r="J23" s="108">
        <f>IFERROR(IF(up_Bv!J23=0,".",((s_Ir*s_F*up_Bv!J23*(1-EXP(-up_RadSpec!AZ23*s_t_b)))/(s_P*up_RadSpec!AZ23))),".")</f>
        <v>993.50362303732038</v>
      </c>
      <c r="K23" s="108">
        <f>IFERROR(IF(up_Bv!K23=0,".",((s_Ir*s_F*up_Bv!K23*(1-EXP(-up_RadSpec!AZ23*s_t_b)))/(s_P*up_RadSpec!AZ23))),".")</f>
        <v>993.50362303732038</v>
      </c>
      <c r="L23" s="108">
        <f>IFERROR(IF(up_Bv!L23=0,".",((s_Ir*s_F*up_Bv!L23*(1-EXP(-up_RadSpec!AZ23*s_t_b)))/(s_P*up_RadSpec!AZ23))),".")</f>
        <v>993.50362303732038</v>
      </c>
      <c r="M23" s="108">
        <f>IFERROR(IF(up_Bv!M23=0,".",((s_Ir*s_F*up_Bv!M23*(1-EXP(-up_RadSpec!AZ23*s_t_b)))/(s_P*up_RadSpec!AZ23))),".")</f>
        <v>993.50362303732038</v>
      </c>
      <c r="N23" s="108">
        <f>IFERROR(IF(up_Bv!N23=0,".",((s_Ir*s_F*up_Bv!N23*(1-EXP(-up_RadSpec!AZ23*s_t_b)))/(s_P*up_RadSpec!AZ23))),".")</f>
        <v>993.50362303732038</v>
      </c>
      <c r="O23" s="108">
        <f>IFERROR(IF(up_Bv!O23=0,".",((s_Ir*s_F*up_Bv!O23*(1-EXP(-up_RadSpec!AZ23*s_t_b)))/(s_P*up_RadSpec!AZ23))),".")</f>
        <v>993.50362303732038</v>
      </c>
      <c r="P23" s="108">
        <f>IFERROR(IF(up_Bv!P23=0,".",((s_Ir*s_F*up_Bv!P23*(1-EXP(-up_RadSpec!AZ23*s_t_b)))/(s_P*up_RadSpec!AZ23))),".")</f>
        <v>993.50362303732038</v>
      </c>
      <c r="Q23" s="108">
        <f>IFERROR(IF(up_Bv!Q23=0,".",((s_Ir*s_F*up_Bv!Q23*(1-EXP(-up_RadSpec!AZ23*s_t_b)))/(s_P*up_RadSpec!AZ23))),".")</f>
        <v>993.50362303732038</v>
      </c>
      <c r="R23" s="108">
        <f>IFERROR(IF(up_Bv!R23=0,".",((s_Ir*s_F*up_Bv!R23*(1-EXP(-up_RadSpec!AZ23*s_t_b)))/(s_P*up_RadSpec!AZ23))),".")</f>
        <v>993.50362303732038</v>
      </c>
      <c r="S23" s="108">
        <f>IFERROR(IF(up_Bv!S23=0,".",((s_Ir*s_F*up_Bv!S23*(1-EXP(-up_RadSpec!AZ23*s_t_b)))/(s_P*up_RadSpec!AZ23))),".")</f>
        <v>993.50362303732038</v>
      </c>
      <c r="T23" s="108">
        <f>IFERROR(IF(up_Bv!T23=0,".",((s_Ir*s_F*up_Bv!T23*(1-EXP(-up_RadSpec!AZ23*s_t_b)))/(s_P*up_RadSpec!AZ23))),".")</f>
        <v>993.50362303732038</v>
      </c>
      <c r="U23" s="108">
        <f>IFERROR(IF(up_Bv!U23=0,".",((s_Ir*s_F*up_Bv!U23*(1-EXP(-up_RadSpec!AZ23*s_t_b)))/(s_P*up_RadSpec!AZ23))),".")</f>
        <v>993.50362303732038</v>
      </c>
      <c r="V23" s="108">
        <f>IFERROR(IF(up_Bv!V23=0,".",((s_Ir*s_F*up_Bv!V23*(1-EXP(-up_RadSpec!AZ23*s_t_b)))/(s_P*up_RadSpec!AZ23))),".")</f>
        <v>993.50362303732038</v>
      </c>
      <c r="W23" s="108">
        <f>IFERROR(IF(up_Bv!W23=0,".",((s_Ir*s_F*up_Bv!W23*(1-EXP(-up_RadSpec!AZ23*s_t_b)))/(s_P*up_RadSpec!AZ23))),".")</f>
        <v>993.50362303732038</v>
      </c>
      <c r="X23" s="108">
        <f>IFERROR(IF(up_Bv!X23=0,".",((s_Ir*s_F*up_Bv!X23*(1-EXP(-up_RadSpec!AZ23*s_t_b)))/(s_P*up_RadSpec!AZ23))),".")</f>
        <v>993.50362303732038</v>
      </c>
      <c r="Y23" s="108">
        <f>IFERROR(IF(up_Bv!Y23=0,".",((s_Ir*s_F*up_Bv!Y23*(1-EXP(-up_RadSpec!AZ23*s_t_b)))/(s_P*up_RadSpec!AZ23))),".")</f>
        <v>993.50362303732038</v>
      </c>
      <c r="Z23" s="108">
        <f>IFERROR(IF(up_Bv!Z23=0,".",((s_Ir*s_F*up_Bv!Z23*(1-EXP(-up_RadSpec!AZ23*s_t_b)))/(s_P*up_RadSpec!AZ23))),".")</f>
        <v>993.50362303732038</v>
      </c>
      <c r="AA23" s="108">
        <f>IFERROR(IF(up_Bv!AA23=0,".",((s_Ir*s_F*up_Bv!AA23*(1-EXP(-up_RadSpec!AZ23*s_t_b)))/(s_P*up_RadSpec!AZ23))),".")</f>
        <v>993.50362303732038</v>
      </c>
      <c r="AB23" s="108">
        <f>IFERROR(IF(up_Bv!C23=0,".",((s_Ir*s_F*s_MLF_apple*(1-EXP(-up_RadSpec!AZ23*s_t_b)))/(s_P*up_RadSpec!AZ23))),".")</f>
        <v>2.6824597822007652</v>
      </c>
      <c r="AC23" s="108">
        <f>IFERROR(IF(up_Bv!D23=0,".",((s_Ir*s_F*s_MLF_asparagus*(1-EXP(-up_RadSpec!AZ23*s_t_b)))/(s_P*up_RadSpec!AZ23))),".")</f>
        <v>2.6824597822007652</v>
      </c>
      <c r="AD23" s="108">
        <f>IFERROR(IF(up_Bv!E23=0,".",((s_Ir*s_F*s_MLF_beet*(1-EXP(-up_RadSpec!AZ23*s_t_b)))/(s_P*up_RadSpec!AZ23))),".")</f>
        <v>2.6824597822007652</v>
      </c>
      <c r="AE23" s="108">
        <f>IFERROR(IF(up_Bv!F23=0,".",((s_Ir*s_F*s_MLF_berries*(1-EXP(-up_RadSpec!AZ23*s_t_b)))/(s_P*up_RadSpec!AZ23))),".")</f>
        <v>2.6824597822007652</v>
      </c>
      <c r="AF23" s="108">
        <f>IFERROR(IF(up_Bv!G23=0,".",((s_Ir*s_F*s_MLF_broccoli*(1-EXP(-up_RadSpec!AZ23*s_t_b)))/(s_P*up_RadSpec!AZ23))),".")</f>
        <v>2.6824597822007652</v>
      </c>
      <c r="AG23" s="108">
        <f>IFERROR(IF(up_Bv!H23=0,".",((s_Ir*s_F*s_MLF_cabbage*(1-EXP(-up_RadSpec!AZ23*s_t_b)))/(s_P*up_RadSpec!AZ23))),".")</f>
        <v>2.6824597822007652</v>
      </c>
      <c r="AH23" s="108">
        <f>IFERROR(IF(up_Bv!I23=0,".",((s_Ir*s_F*s_MLF_carrot*(1-EXP(-up_RadSpec!AZ23*s_t_b)))/(s_P*up_RadSpec!AZ23))),".")</f>
        <v>2.6824597822007652</v>
      </c>
      <c r="AI23" s="108">
        <f>IFERROR(IF(up_Bv!J23=0,".",((s_Ir*s_F*s_MLF_citrus*(1-EXP(-up_RadSpec!AZ23*s_t_b)))/(s_P*up_RadSpec!AZ23))),".")</f>
        <v>2.6824597822007652</v>
      </c>
      <c r="AJ23" s="108">
        <f>IFERROR(IF(up_Bv!K23=0,".",((s_Ir*s_F*s_MLF_corn*(1-EXP(-up_RadSpec!AZ23*s_t_b)))/(s_P*up_RadSpec!AZ23))),".")</f>
        <v>2.6824597822007652</v>
      </c>
      <c r="AK23" s="108">
        <f>IFERROR(IF(up_Bv!L23=0,".",((s_Ir*s_F*s_MLF_cucumber*(1-EXP(-up_RadSpec!AZ23*s_t_b)))/(s_P*up_RadSpec!AZ23))),".")</f>
        <v>2.6824597822007652</v>
      </c>
      <c r="AL23" s="108">
        <f>IFERROR(IF(up_Bv!M23=0,".",((s_Ir*s_F*s_MLF_lettuce*(1-EXP(-up_RadSpec!AZ23*s_t_b)))/(s_P*up_RadSpec!AZ23))),".")</f>
        <v>2.6824597822007652</v>
      </c>
      <c r="AM23" s="108">
        <f>IFERROR(IF(up_Bv!N23=0,".",((s_Ir*s_F*s_MLF_lima_bean*(1-EXP(-up_RadSpec!AZ23*s_t_b)))/(s_P*up_RadSpec!AZ23))),".")</f>
        <v>2.6824597822007652</v>
      </c>
      <c r="AN23" s="108">
        <f>IFERROR(IF(up_Bv!O23=0,".",((s_Ir*s_F*s_MLF_okra*(1-EXP(-up_RadSpec!AZ23*s_t_b)))/(s_P*up_RadSpec!AZ23))),".")</f>
        <v>2.6824597822007652</v>
      </c>
      <c r="AO23" s="108">
        <f>IFERROR(IF(up_Bv!P23=0,".",((s_Ir*s_F*s_MLF_onion*(1-EXP(-up_RadSpec!AZ23*s_t_b)))/(s_P*up_RadSpec!AZ23))),".")</f>
        <v>2.6824597822007652</v>
      </c>
      <c r="AP23" s="108">
        <f>IFERROR(IF(up_Bv!Q23=0,".",((s_Ir*s_F*s_MLF_peach*(1-EXP(-up_RadSpec!AZ23*s_t_b)))/(s_P*up_RadSpec!AZ23))),".")</f>
        <v>2.6824597822007652</v>
      </c>
      <c r="AQ23" s="108">
        <f>IFERROR(IF(up_Bv!R23=0,".",((s_Ir*s_F*s_MLF_pear*(1-EXP(-up_RadSpec!AZ23*s_t_b)))/(s_P*up_RadSpec!AZ23))),".")</f>
        <v>2.6824597822007652</v>
      </c>
      <c r="AR23" s="108">
        <f>IFERROR(IF(up_Bv!S23=0,".",((s_Ir*s_F*s_MLF_peas*(1-EXP(-up_RadSpec!AZ23*s_t_b)))/(s_P*up_RadSpec!AZ23))),".")</f>
        <v>2.6824597822007652</v>
      </c>
      <c r="AS23" s="108">
        <f>IFERROR(IF(up_Bv!T23=0,".",((s_Ir*s_F*s_MLF_peppers*(1-EXP(-up_RadSpec!AZ23*s_t_b)))/(s_P*up_RadSpec!AZ23))),".")</f>
        <v>2.6824597822007652</v>
      </c>
      <c r="AT23" s="108">
        <f>IFERROR(IF(up_Bv!U23=0,".",((s_Ir*s_F*s_MLF_potato*(1-EXP(-up_RadSpec!AZ23*s_t_b)))/(s_P*up_RadSpec!AZ23))),".")</f>
        <v>2.6824597822007652</v>
      </c>
      <c r="AU23" s="108">
        <f>IFERROR(IF(up_Bv!V23=0,".",((s_Ir*s_F*s_MLF_pumpkin*(1-EXP(-up_RadSpec!AZ23*s_t_b)))/(s_P*up_RadSpec!AZ23))),".")</f>
        <v>2.6824597822007652</v>
      </c>
      <c r="AV23" s="108">
        <f>IFERROR(IF(up_Bv!W23=0,".",((s_Ir*s_F*s_MLF_snap_bean*(1-EXP(-up_RadSpec!AZ23*s_t_b)))/(s_P*up_RadSpec!AZ23))),".")</f>
        <v>2.6824597822007652</v>
      </c>
      <c r="AW23" s="108">
        <f>IFERROR(IF(up_Bv!X23=0,".",((s_Ir*s_F*s_MLF_strawberry*(1-EXP(-up_RadSpec!AZ23*s_t_b)))/(s_P*up_RadSpec!AZ23))),".")</f>
        <v>2.6824597822007652</v>
      </c>
      <c r="AX23" s="108">
        <f>IFERROR(IF(up_Bv!Y23=0,".",((s_Ir*s_F*s_MLF_tomato*(1-EXP(-up_RadSpec!AZ23*s_t_b)))/(s_P*up_RadSpec!AZ23))),".")</f>
        <v>2.6824597822007652</v>
      </c>
      <c r="AY23" s="108">
        <f>IFERROR(IF(up_Bv!Z23=0,".",((s_Ir*s_F*s_MLF_rice*(1-EXP(-up_RadSpec!AZ23*s_t_b)))/(s_P*up_RadSpec!AZ23))),".")</f>
        <v>2.6824597822007652</v>
      </c>
      <c r="AZ23" s="108">
        <f>IFERROR(IF(up_Bv!AA23=0,".",((s_Ir*s_F*s_MLF_cereal*(1-EXP(-up_RadSpec!AZ23*s_t_b)))/(s_P*up_RadSpec!AZ23))),".")</f>
        <v>2.6824597822007652</v>
      </c>
      <c r="BA23" s="108">
        <f>IFERROR(IF(up_Bv!C23=0,".",((s_Ir*s_F*s_I_f*s_T*(1-EXP(-up_RadSpec!BA23*s_t_v)))/(s_Y_v*up_RadSpec!BA23))),".")</f>
        <v>9.0143481925428208</v>
      </c>
      <c r="BB23" s="108">
        <f>IFERROR(IF(up_Bv!D23=0,".",((s_Ir*s_F*s_I_f*s_T*(1-EXP(-up_RadSpec!BA23*s_t_v)))/(s_Y_v*up_RadSpec!BA23))),".")</f>
        <v>9.0143481925428208</v>
      </c>
      <c r="BC23" s="108">
        <f>IFERROR(IF(up_Bv!E23=0,".",((s_Ir*s_F*s_I_f*s_T*(1-EXP(-up_RadSpec!BA23*s_t_v)))/(s_Y_v*up_RadSpec!BA23))),".")</f>
        <v>9.0143481925428208</v>
      </c>
      <c r="BD23" s="108">
        <f>IFERROR(IF(up_Bv!F23=0,".",((s_Ir*s_F*s_I_f*s_T*(1-EXP(-up_RadSpec!BA23*s_t_v)))/(s_Y_v*up_RadSpec!BA23))),".")</f>
        <v>9.0143481925428208</v>
      </c>
      <c r="BE23" s="108">
        <f>IFERROR(IF(up_Bv!G23=0,".",((s_Ir*s_F*s_I_f*s_T*(1-EXP(-up_RadSpec!BA23*s_t_v)))/(s_Y_v*up_RadSpec!BA23))),".")</f>
        <v>9.0143481925428208</v>
      </c>
      <c r="BF23" s="108">
        <f>IFERROR(IF(up_Bv!H23=0,".",((s_Ir*s_F*s_I_f*s_T*(1-EXP(-up_RadSpec!BA23*s_t_v)))/(s_Y_v*up_RadSpec!BA23))),".")</f>
        <v>9.0143481925428208</v>
      </c>
      <c r="BG23" s="108">
        <f>IFERROR(IF(up_Bv!I23=0,".",((s_Ir*s_F*s_I_f*s_T*(1-EXP(-up_RadSpec!BA23*s_t_v)))/(s_Y_v*up_RadSpec!BA23))),".")</f>
        <v>9.0143481925428208</v>
      </c>
      <c r="BH23" s="108">
        <f>IFERROR(IF(up_Bv!J23=0,".",((s_Ir*s_F*s_I_f*s_T*(1-EXP(-up_RadSpec!BA23*s_t_v)))/(s_Y_v*up_RadSpec!BA23))),".")</f>
        <v>9.0143481925428208</v>
      </c>
      <c r="BI23" s="108">
        <f>IFERROR(IF(up_Bv!K23=0,".",((s_Ir*s_F*s_I_f*s_T*(1-EXP(-up_RadSpec!BA23*s_t_v)))/(s_Y_v*up_RadSpec!BA23))),".")</f>
        <v>9.0143481925428208</v>
      </c>
      <c r="BJ23" s="108">
        <f>IFERROR(IF(up_Bv!L23=0,".",((s_Ir*s_F*s_I_f*s_T*(1-EXP(-up_RadSpec!BA23*s_t_v)))/(s_Y_v*up_RadSpec!BA23))),".")</f>
        <v>9.0143481925428208</v>
      </c>
      <c r="BK23" s="108">
        <f>IFERROR(IF(up_Bv!M23=0,".",((s_Ir*s_F*s_I_f*s_T*(1-EXP(-up_RadSpec!BA23*s_t_v)))/(s_Y_v*up_RadSpec!BA23))),".")</f>
        <v>9.0143481925428208</v>
      </c>
      <c r="BL23" s="108">
        <f>IFERROR(IF(up_Bv!N23=0,".",((s_Ir*s_F*s_I_f*s_T*(1-EXP(-up_RadSpec!BA23*s_t_v)))/(s_Y_v*up_RadSpec!BA23))),".")</f>
        <v>9.0143481925428208</v>
      </c>
      <c r="BM23" s="108">
        <f>IFERROR(IF(up_Bv!O23=0,".",((s_Ir*s_F*s_I_f*s_T*(1-EXP(-up_RadSpec!BA23*s_t_v)))/(s_Y_v*up_RadSpec!BA23))),".")</f>
        <v>9.0143481925428208</v>
      </c>
      <c r="BN23" s="108">
        <f>IFERROR(IF(up_Bv!P23=0,".",((s_Ir*s_F*s_I_f*s_T*(1-EXP(-up_RadSpec!BA23*s_t_v)))/(s_Y_v*up_RadSpec!BA23))),".")</f>
        <v>9.0143481925428208</v>
      </c>
      <c r="BO23" s="108">
        <f>IFERROR(IF(up_Bv!Q23=0,".",((s_Ir*s_F*s_I_f*s_T*(1-EXP(-up_RadSpec!BA23*s_t_v)))/(s_Y_v*up_RadSpec!BA23))),".")</f>
        <v>9.0143481925428208</v>
      </c>
      <c r="BP23" s="108">
        <f>IFERROR(IF(up_Bv!R23=0,".",((s_Ir*s_F*s_I_f*s_T*(1-EXP(-up_RadSpec!BA23*s_t_v)))/(s_Y_v*up_RadSpec!BA23))),".")</f>
        <v>9.0143481925428208</v>
      </c>
      <c r="BQ23" s="108">
        <f>IFERROR(IF(up_Bv!S23=0,".",((s_Ir*s_F*s_I_f*s_T*(1-EXP(-up_RadSpec!BA23*s_t_v)))/(s_Y_v*up_RadSpec!BA23))),".")</f>
        <v>9.0143481925428208</v>
      </c>
      <c r="BR23" s="108">
        <f>IFERROR(IF(up_Bv!T23=0,".",((s_Ir*s_F*s_I_f*s_T*(1-EXP(-up_RadSpec!BA23*s_t_v)))/(s_Y_v*up_RadSpec!BA23))),".")</f>
        <v>9.0143481925428208</v>
      </c>
      <c r="BS23" s="108">
        <f>IFERROR(IF(up_Bv!U23=0,".",((s_Ir*s_F*s_I_f*s_T*(1-EXP(-up_RadSpec!BA23*s_t_v)))/(s_Y_v*up_RadSpec!BA23))),".")</f>
        <v>9.0143481925428208</v>
      </c>
      <c r="BT23" s="108">
        <f>IFERROR(IF(up_Bv!V23=0,".",((s_Ir*s_F*s_I_f*s_T*(1-EXP(-up_RadSpec!BA23*s_t_v)))/(s_Y_v*up_RadSpec!BA23))),".")</f>
        <v>9.0143481925428208</v>
      </c>
      <c r="BU23" s="108">
        <f>IFERROR(IF(up_Bv!W23=0,".",((s_Ir*s_F*s_I_f*s_T*(1-EXP(-up_RadSpec!BA23*s_t_v)))/(s_Y_v*up_RadSpec!BA23))),".")</f>
        <v>9.0143481925428208</v>
      </c>
      <c r="BV23" s="108">
        <f>IFERROR(IF(up_Bv!X23=0,".",((s_Ir*s_F*s_I_f*s_T*(1-EXP(-up_RadSpec!BA23*s_t_v)))/(s_Y_v*up_RadSpec!BA23))),".")</f>
        <v>9.0143481925428208</v>
      </c>
      <c r="BW23" s="108">
        <f>IFERROR(IF(up_Bv!Y23=0,".",((s_Ir*s_F*s_I_f*s_T*(1-EXP(-up_RadSpec!BA23*s_t_v)))/(s_Y_v*up_RadSpec!BA23))),".")</f>
        <v>9.0143481925428208</v>
      </c>
      <c r="BX23" s="108">
        <f>IFERROR(IF(up_Bv!Z23=0,".",((s_Ir*s_F*s_I_f*s_T*(1-EXP(-up_RadSpec!BA23*s_t_v)))/(s_Y_v*up_RadSpec!BA23))),".")</f>
        <v>9.0143481925428208</v>
      </c>
      <c r="BY23" s="108">
        <f>IFERROR(IF(up_Bv!AA23=0,".",((s_Ir*s_F*s_I_f*s_T*(1-EXP(-up_RadSpec!BA23*s_t_v)))/(s_Y_v*up_RadSpec!BA23))),".")</f>
        <v>9.0143481925428208</v>
      </c>
    </row>
    <row r="24" spans="1:77" x14ac:dyDescent="0.25">
      <c r="A24" s="44" t="s">
        <v>22</v>
      </c>
      <c r="B24" s="42" t="s">
        <v>1057</v>
      </c>
      <c r="C24" s="108">
        <f>IFERROR(IF(up_Bv!C24=0,".",((s_Ir*s_F*up_Bv!C24*(1-EXP(-up_RadSpec!$AZ24*s_t_b)))/(s_P*up_RadSpec!$AZ24))),".")</f>
        <v>993.50362303732038</v>
      </c>
      <c r="D24" s="108">
        <f>IFERROR(IF(up_Bv!D24=0,".",((s_Ir*s_F*up_Bv!D24*(1-EXP(-up_RadSpec!AZ24*s_t_b)))/(s_P*up_RadSpec!AZ24))),".")</f>
        <v>993.50362303732038</v>
      </c>
      <c r="E24" s="108">
        <f>IFERROR(IF(up_Bv!E24=0,".",((s_Ir*s_F*up_Bv!E24*(1-EXP(-up_RadSpec!AZ24*s_t_b)))/(s_P*up_RadSpec!AZ24))),".")</f>
        <v>993.50362303732038</v>
      </c>
      <c r="F24" s="108">
        <f>IFERROR(IF(up_Bv!F24=0,".",((s_Ir*s_F*up_Bv!F24*(1-EXP(-up_RadSpec!AZ24*s_t_b)))/(s_P*up_RadSpec!AZ24))),".")</f>
        <v>993.50362303732038</v>
      </c>
      <c r="G24" s="108">
        <f>IFERROR(IF(up_Bv!G24=0,".",((s_Ir*s_F*up_Bv!G24*(1-EXP(-up_RadSpec!AZ24*s_t_b)))/(s_P*up_RadSpec!AZ24))),".")</f>
        <v>993.50362303732038</v>
      </c>
      <c r="H24" s="108">
        <f>IFERROR(IF(up_Bv!H24=0,".",((s_Ir*s_F*up_Bv!H24*(1-EXP(-up_RadSpec!AZ24*s_t_b)))/(s_P*up_RadSpec!AZ24))),".")</f>
        <v>993.50362303732038</v>
      </c>
      <c r="I24" s="108">
        <f>IFERROR(IF(up_Bv!I24=0,".",((s_Ir*s_F*up_Bv!I24*(1-EXP(-up_RadSpec!AZ24*s_t_b)))/(s_P*up_RadSpec!AZ24))),".")</f>
        <v>993.50362303732038</v>
      </c>
      <c r="J24" s="108">
        <f>IFERROR(IF(up_Bv!J24=0,".",((s_Ir*s_F*up_Bv!J24*(1-EXP(-up_RadSpec!AZ24*s_t_b)))/(s_P*up_RadSpec!AZ24))),".")</f>
        <v>993.50362303732038</v>
      </c>
      <c r="K24" s="108">
        <f>IFERROR(IF(up_Bv!K24=0,".",((s_Ir*s_F*up_Bv!K24*(1-EXP(-up_RadSpec!AZ24*s_t_b)))/(s_P*up_RadSpec!AZ24))),".")</f>
        <v>993.50362303732038</v>
      </c>
      <c r="L24" s="108">
        <f>IFERROR(IF(up_Bv!L24=0,".",((s_Ir*s_F*up_Bv!L24*(1-EXP(-up_RadSpec!AZ24*s_t_b)))/(s_P*up_RadSpec!AZ24))),".")</f>
        <v>993.50362303732038</v>
      </c>
      <c r="M24" s="108">
        <f>IFERROR(IF(up_Bv!M24=0,".",((s_Ir*s_F*up_Bv!M24*(1-EXP(-up_RadSpec!AZ24*s_t_b)))/(s_P*up_RadSpec!AZ24))),".")</f>
        <v>993.50362303732038</v>
      </c>
      <c r="N24" s="108">
        <f>IFERROR(IF(up_Bv!N24=0,".",((s_Ir*s_F*up_Bv!N24*(1-EXP(-up_RadSpec!AZ24*s_t_b)))/(s_P*up_RadSpec!AZ24))),".")</f>
        <v>993.50362303732038</v>
      </c>
      <c r="O24" s="108">
        <f>IFERROR(IF(up_Bv!O24=0,".",((s_Ir*s_F*up_Bv!O24*(1-EXP(-up_RadSpec!AZ24*s_t_b)))/(s_P*up_RadSpec!AZ24))),".")</f>
        <v>993.50362303732038</v>
      </c>
      <c r="P24" s="108">
        <f>IFERROR(IF(up_Bv!P24=0,".",((s_Ir*s_F*up_Bv!P24*(1-EXP(-up_RadSpec!AZ24*s_t_b)))/(s_P*up_RadSpec!AZ24))),".")</f>
        <v>993.50362303732038</v>
      </c>
      <c r="Q24" s="108">
        <f>IFERROR(IF(up_Bv!Q24=0,".",((s_Ir*s_F*up_Bv!Q24*(1-EXP(-up_RadSpec!AZ24*s_t_b)))/(s_P*up_RadSpec!AZ24))),".")</f>
        <v>993.50362303732038</v>
      </c>
      <c r="R24" s="108">
        <f>IFERROR(IF(up_Bv!R24=0,".",((s_Ir*s_F*up_Bv!R24*(1-EXP(-up_RadSpec!AZ24*s_t_b)))/(s_P*up_RadSpec!AZ24))),".")</f>
        <v>993.50362303732038</v>
      </c>
      <c r="S24" s="108">
        <f>IFERROR(IF(up_Bv!S24=0,".",((s_Ir*s_F*up_Bv!S24*(1-EXP(-up_RadSpec!AZ24*s_t_b)))/(s_P*up_RadSpec!AZ24))),".")</f>
        <v>993.50362303732038</v>
      </c>
      <c r="T24" s="108">
        <f>IFERROR(IF(up_Bv!T24=0,".",((s_Ir*s_F*up_Bv!T24*(1-EXP(-up_RadSpec!AZ24*s_t_b)))/(s_P*up_RadSpec!AZ24))),".")</f>
        <v>993.50362303732038</v>
      </c>
      <c r="U24" s="108">
        <f>IFERROR(IF(up_Bv!U24=0,".",((s_Ir*s_F*up_Bv!U24*(1-EXP(-up_RadSpec!AZ24*s_t_b)))/(s_P*up_RadSpec!AZ24))),".")</f>
        <v>993.50362303732038</v>
      </c>
      <c r="V24" s="108">
        <f>IFERROR(IF(up_Bv!V24=0,".",((s_Ir*s_F*up_Bv!V24*(1-EXP(-up_RadSpec!AZ24*s_t_b)))/(s_P*up_RadSpec!AZ24))),".")</f>
        <v>993.50362303732038</v>
      </c>
      <c r="W24" s="108">
        <f>IFERROR(IF(up_Bv!W24=0,".",((s_Ir*s_F*up_Bv!W24*(1-EXP(-up_RadSpec!AZ24*s_t_b)))/(s_P*up_RadSpec!AZ24))),".")</f>
        <v>993.50362303732038</v>
      </c>
      <c r="X24" s="108">
        <f>IFERROR(IF(up_Bv!X24=0,".",((s_Ir*s_F*up_Bv!X24*(1-EXP(-up_RadSpec!AZ24*s_t_b)))/(s_P*up_RadSpec!AZ24))),".")</f>
        <v>993.50362303732038</v>
      </c>
      <c r="Y24" s="108">
        <f>IFERROR(IF(up_Bv!Y24=0,".",((s_Ir*s_F*up_Bv!Y24*(1-EXP(-up_RadSpec!AZ24*s_t_b)))/(s_P*up_RadSpec!AZ24))),".")</f>
        <v>993.50362303732038</v>
      </c>
      <c r="Z24" s="108">
        <f>IFERROR(IF(up_Bv!Z24=0,".",((s_Ir*s_F*up_Bv!Z24*(1-EXP(-up_RadSpec!AZ24*s_t_b)))/(s_P*up_RadSpec!AZ24))),".")</f>
        <v>993.50362303732038</v>
      </c>
      <c r="AA24" s="108">
        <f>IFERROR(IF(up_Bv!AA24=0,".",((s_Ir*s_F*up_Bv!AA24*(1-EXP(-up_RadSpec!AZ24*s_t_b)))/(s_P*up_RadSpec!AZ24))),".")</f>
        <v>993.50362303732038</v>
      </c>
      <c r="AB24" s="108">
        <f>IFERROR(IF(up_Bv!C24=0,".",((s_Ir*s_F*s_MLF_apple*(1-EXP(-up_RadSpec!AZ24*s_t_b)))/(s_P*up_RadSpec!AZ24))),".")</f>
        <v>2.6824597822007652</v>
      </c>
      <c r="AC24" s="108">
        <f>IFERROR(IF(up_Bv!D24=0,".",((s_Ir*s_F*s_MLF_asparagus*(1-EXP(-up_RadSpec!AZ24*s_t_b)))/(s_P*up_RadSpec!AZ24))),".")</f>
        <v>2.6824597822007652</v>
      </c>
      <c r="AD24" s="108">
        <f>IFERROR(IF(up_Bv!E24=0,".",((s_Ir*s_F*s_MLF_beet*(1-EXP(-up_RadSpec!AZ24*s_t_b)))/(s_P*up_RadSpec!AZ24))),".")</f>
        <v>2.6824597822007652</v>
      </c>
      <c r="AE24" s="108">
        <f>IFERROR(IF(up_Bv!F24=0,".",((s_Ir*s_F*s_MLF_berries*(1-EXP(-up_RadSpec!AZ24*s_t_b)))/(s_P*up_RadSpec!AZ24))),".")</f>
        <v>2.6824597822007652</v>
      </c>
      <c r="AF24" s="108">
        <f>IFERROR(IF(up_Bv!G24=0,".",((s_Ir*s_F*s_MLF_broccoli*(1-EXP(-up_RadSpec!AZ24*s_t_b)))/(s_P*up_RadSpec!AZ24))),".")</f>
        <v>2.6824597822007652</v>
      </c>
      <c r="AG24" s="108">
        <f>IFERROR(IF(up_Bv!H24=0,".",((s_Ir*s_F*s_MLF_cabbage*(1-EXP(-up_RadSpec!AZ24*s_t_b)))/(s_P*up_RadSpec!AZ24))),".")</f>
        <v>2.6824597822007652</v>
      </c>
      <c r="AH24" s="108">
        <f>IFERROR(IF(up_Bv!I24=0,".",((s_Ir*s_F*s_MLF_carrot*(1-EXP(-up_RadSpec!AZ24*s_t_b)))/(s_P*up_RadSpec!AZ24))),".")</f>
        <v>2.6824597822007652</v>
      </c>
      <c r="AI24" s="108">
        <f>IFERROR(IF(up_Bv!J24=0,".",((s_Ir*s_F*s_MLF_citrus*(1-EXP(-up_RadSpec!AZ24*s_t_b)))/(s_P*up_RadSpec!AZ24))),".")</f>
        <v>2.6824597822007652</v>
      </c>
      <c r="AJ24" s="108">
        <f>IFERROR(IF(up_Bv!K24=0,".",((s_Ir*s_F*s_MLF_corn*(1-EXP(-up_RadSpec!AZ24*s_t_b)))/(s_P*up_RadSpec!AZ24))),".")</f>
        <v>2.6824597822007652</v>
      </c>
      <c r="AK24" s="108">
        <f>IFERROR(IF(up_Bv!L24=0,".",((s_Ir*s_F*s_MLF_cucumber*(1-EXP(-up_RadSpec!AZ24*s_t_b)))/(s_P*up_RadSpec!AZ24))),".")</f>
        <v>2.6824597822007652</v>
      </c>
      <c r="AL24" s="108">
        <f>IFERROR(IF(up_Bv!M24=0,".",((s_Ir*s_F*s_MLF_lettuce*(1-EXP(-up_RadSpec!AZ24*s_t_b)))/(s_P*up_RadSpec!AZ24))),".")</f>
        <v>2.6824597822007652</v>
      </c>
      <c r="AM24" s="108">
        <f>IFERROR(IF(up_Bv!N24=0,".",((s_Ir*s_F*s_MLF_lima_bean*(1-EXP(-up_RadSpec!AZ24*s_t_b)))/(s_P*up_RadSpec!AZ24))),".")</f>
        <v>2.6824597822007652</v>
      </c>
      <c r="AN24" s="108">
        <f>IFERROR(IF(up_Bv!O24=0,".",((s_Ir*s_F*s_MLF_okra*(1-EXP(-up_RadSpec!AZ24*s_t_b)))/(s_P*up_RadSpec!AZ24))),".")</f>
        <v>2.6824597822007652</v>
      </c>
      <c r="AO24" s="108">
        <f>IFERROR(IF(up_Bv!P24=0,".",((s_Ir*s_F*s_MLF_onion*(1-EXP(-up_RadSpec!AZ24*s_t_b)))/(s_P*up_RadSpec!AZ24))),".")</f>
        <v>2.6824597822007652</v>
      </c>
      <c r="AP24" s="108">
        <f>IFERROR(IF(up_Bv!Q24=0,".",((s_Ir*s_F*s_MLF_peach*(1-EXP(-up_RadSpec!AZ24*s_t_b)))/(s_P*up_RadSpec!AZ24))),".")</f>
        <v>2.6824597822007652</v>
      </c>
      <c r="AQ24" s="108">
        <f>IFERROR(IF(up_Bv!R24=0,".",((s_Ir*s_F*s_MLF_pear*(1-EXP(-up_RadSpec!AZ24*s_t_b)))/(s_P*up_RadSpec!AZ24))),".")</f>
        <v>2.6824597822007652</v>
      </c>
      <c r="AR24" s="108">
        <f>IFERROR(IF(up_Bv!S24=0,".",((s_Ir*s_F*s_MLF_peas*(1-EXP(-up_RadSpec!AZ24*s_t_b)))/(s_P*up_RadSpec!AZ24))),".")</f>
        <v>2.6824597822007652</v>
      </c>
      <c r="AS24" s="108">
        <f>IFERROR(IF(up_Bv!T24=0,".",((s_Ir*s_F*s_MLF_peppers*(1-EXP(-up_RadSpec!AZ24*s_t_b)))/(s_P*up_RadSpec!AZ24))),".")</f>
        <v>2.6824597822007652</v>
      </c>
      <c r="AT24" s="108">
        <f>IFERROR(IF(up_Bv!U24=0,".",((s_Ir*s_F*s_MLF_potato*(1-EXP(-up_RadSpec!AZ24*s_t_b)))/(s_P*up_RadSpec!AZ24))),".")</f>
        <v>2.6824597822007652</v>
      </c>
      <c r="AU24" s="108">
        <f>IFERROR(IF(up_Bv!V24=0,".",((s_Ir*s_F*s_MLF_pumpkin*(1-EXP(-up_RadSpec!AZ24*s_t_b)))/(s_P*up_RadSpec!AZ24))),".")</f>
        <v>2.6824597822007652</v>
      </c>
      <c r="AV24" s="108">
        <f>IFERROR(IF(up_Bv!W24=0,".",((s_Ir*s_F*s_MLF_snap_bean*(1-EXP(-up_RadSpec!AZ24*s_t_b)))/(s_P*up_RadSpec!AZ24))),".")</f>
        <v>2.6824597822007652</v>
      </c>
      <c r="AW24" s="108">
        <f>IFERROR(IF(up_Bv!X24=0,".",((s_Ir*s_F*s_MLF_strawberry*(1-EXP(-up_RadSpec!AZ24*s_t_b)))/(s_P*up_RadSpec!AZ24))),".")</f>
        <v>2.6824597822007652</v>
      </c>
      <c r="AX24" s="108">
        <f>IFERROR(IF(up_Bv!Y24=0,".",((s_Ir*s_F*s_MLF_tomato*(1-EXP(-up_RadSpec!AZ24*s_t_b)))/(s_P*up_RadSpec!AZ24))),".")</f>
        <v>2.6824597822007652</v>
      </c>
      <c r="AY24" s="108">
        <f>IFERROR(IF(up_Bv!Z24=0,".",((s_Ir*s_F*s_MLF_rice*(1-EXP(-up_RadSpec!AZ24*s_t_b)))/(s_P*up_RadSpec!AZ24))),".")</f>
        <v>2.6824597822007652</v>
      </c>
      <c r="AZ24" s="108">
        <f>IFERROR(IF(up_Bv!AA24=0,".",((s_Ir*s_F*s_MLF_cereal*(1-EXP(-up_RadSpec!AZ24*s_t_b)))/(s_P*up_RadSpec!AZ24))),".")</f>
        <v>2.6824597822007652</v>
      </c>
      <c r="BA24" s="108">
        <f>IFERROR(IF(up_Bv!C24=0,".",((s_Ir*s_F*s_I_f*s_T*(1-EXP(-up_RadSpec!BA24*s_t_v)))/(s_Y_v*up_RadSpec!BA24))),".")</f>
        <v>9.0143481925428208</v>
      </c>
      <c r="BB24" s="108">
        <f>IFERROR(IF(up_Bv!D24=0,".",((s_Ir*s_F*s_I_f*s_T*(1-EXP(-up_RadSpec!BA24*s_t_v)))/(s_Y_v*up_RadSpec!BA24))),".")</f>
        <v>9.0143481925428208</v>
      </c>
      <c r="BC24" s="108">
        <f>IFERROR(IF(up_Bv!E24=0,".",((s_Ir*s_F*s_I_f*s_T*(1-EXP(-up_RadSpec!BA24*s_t_v)))/(s_Y_v*up_RadSpec!BA24))),".")</f>
        <v>9.0143481925428208</v>
      </c>
      <c r="BD24" s="108">
        <f>IFERROR(IF(up_Bv!F24=0,".",((s_Ir*s_F*s_I_f*s_T*(1-EXP(-up_RadSpec!BA24*s_t_v)))/(s_Y_v*up_RadSpec!BA24))),".")</f>
        <v>9.0143481925428208</v>
      </c>
      <c r="BE24" s="108">
        <f>IFERROR(IF(up_Bv!G24=0,".",((s_Ir*s_F*s_I_f*s_T*(1-EXP(-up_RadSpec!BA24*s_t_v)))/(s_Y_v*up_RadSpec!BA24))),".")</f>
        <v>9.0143481925428208</v>
      </c>
      <c r="BF24" s="108">
        <f>IFERROR(IF(up_Bv!H24=0,".",((s_Ir*s_F*s_I_f*s_T*(1-EXP(-up_RadSpec!BA24*s_t_v)))/(s_Y_v*up_RadSpec!BA24))),".")</f>
        <v>9.0143481925428208</v>
      </c>
      <c r="BG24" s="108">
        <f>IFERROR(IF(up_Bv!I24=0,".",((s_Ir*s_F*s_I_f*s_T*(1-EXP(-up_RadSpec!BA24*s_t_v)))/(s_Y_v*up_RadSpec!BA24))),".")</f>
        <v>9.0143481925428208</v>
      </c>
      <c r="BH24" s="108">
        <f>IFERROR(IF(up_Bv!J24=0,".",((s_Ir*s_F*s_I_f*s_T*(1-EXP(-up_RadSpec!BA24*s_t_v)))/(s_Y_v*up_RadSpec!BA24))),".")</f>
        <v>9.0143481925428208</v>
      </c>
      <c r="BI24" s="108">
        <f>IFERROR(IF(up_Bv!K24=0,".",((s_Ir*s_F*s_I_f*s_T*(1-EXP(-up_RadSpec!BA24*s_t_v)))/(s_Y_v*up_RadSpec!BA24))),".")</f>
        <v>9.0143481925428208</v>
      </c>
      <c r="BJ24" s="108">
        <f>IFERROR(IF(up_Bv!L24=0,".",((s_Ir*s_F*s_I_f*s_T*(1-EXP(-up_RadSpec!BA24*s_t_v)))/(s_Y_v*up_RadSpec!BA24))),".")</f>
        <v>9.0143481925428208</v>
      </c>
      <c r="BK24" s="108">
        <f>IFERROR(IF(up_Bv!M24=0,".",((s_Ir*s_F*s_I_f*s_T*(1-EXP(-up_RadSpec!BA24*s_t_v)))/(s_Y_v*up_RadSpec!BA24))),".")</f>
        <v>9.0143481925428208</v>
      </c>
      <c r="BL24" s="108">
        <f>IFERROR(IF(up_Bv!N24=0,".",((s_Ir*s_F*s_I_f*s_T*(1-EXP(-up_RadSpec!BA24*s_t_v)))/(s_Y_v*up_RadSpec!BA24))),".")</f>
        <v>9.0143481925428208</v>
      </c>
      <c r="BM24" s="108">
        <f>IFERROR(IF(up_Bv!O24=0,".",((s_Ir*s_F*s_I_f*s_T*(1-EXP(-up_RadSpec!BA24*s_t_v)))/(s_Y_v*up_RadSpec!BA24))),".")</f>
        <v>9.0143481925428208</v>
      </c>
      <c r="BN24" s="108">
        <f>IFERROR(IF(up_Bv!P24=0,".",((s_Ir*s_F*s_I_f*s_T*(1-EXP(-up_RadSpec!BA24*s_t_v)))/(s_Y_v*up_RadSpec!BA24))),".")</f>
        <v>9.0143481925428208</v>
      </c>
      <c r="BO24" s="108">
        <f>IFERROR(IF(up_Bv!Q24=0,".",((s_Ir*s_F*s_I_f*s_T*(1-EXP(-up_RadSpec!BA24*s_t_v)))/(s_Y_v*up_RadSpec!BA24))),".")</f>
        <v>9.0143481925428208</v>
      </c>
      <c r="BP24" s="108">
        <f>IFERROR(IF(up_Bv!R24=0,".",((s_Ir*s_F*s_I_f*s_T*(1-EXP(-up_RadSpec!BA24*s_t_v)))/(s_Y_v*up_RadSpec!BA24))),".")</f>
        <v>9.0143481925428208</v>
      </c>
      <c r="BQ24" s="108">
        <f>IFERROR(IF(up_Bv!S24=0,".",((s_Ir*s_F*s_I_f*s_T*(1-EXP(-up_RadSpec!BA24*s_t_v)))/(s_Y_v*up_RadSpec!BA24))),".")</f>
        <v>9.0143481925428208</v>
      </c>
      <c r="BR24" s="108">
        <f>IFERROR(IF(up_Bv!T24=0,".",((s_Ir*s_F*s_I_f*s_T*(1-EXP(-up_RadSpec!BA24*s_t_v)))/(s_Y_v*up_RadSpec!BA24))),".")</f>
        <v>9.0143481925428208</v>
      </c>
      <c r="BS24" s="108">
        <f>IFERROR(IF(up_Bv!U24=0,".",((s_Ir*s_F*s_I_f*s_T*(1-EXP(-up_RadSpec!BA24*s_t_v)))/(s_Y_v*up_RadSpec!BA24))),".")</f>
        <v>9.0143481925428208</v>
      </c>
      <c r="BT24" s="108">
        <f>IFERROR(IF(up_Bv!V24=0,".",((s_Ir*s_F*s_I_f*s_T*(1-EXP(-up_RadSpec!BA24*s_t_v)))/(s_Y_v*up_RadSpec!BA24))),".")</f>
        <v>9.0143481925428208</v>
      </c>
      <c r="BU24" s="108">
        <f>IFERROR(IF(up_Bv!W24=0,".",((s_Ir*s_F*s_I_f*s_T*(1-EXP(-up_RadSpec!BA24*s_t_v)))/(s_Y_v*up_RadSpec!BA24))),".")</f>
        <v>9.0143481925428208</v>
      </c>
      <c r="BV24" s="108">
        <f>IFERROR(IF(up_Bv!X24=0,".",((s_Ir*s_F*s_I_f*s_T*(1-EXP(-up_RadSpec!BA24*s_t_v)))/(s_Y_v*up_RadSpec!BA24))),".")</f>
        <v>9.0143481925428208</v>
      </c>
      <c r="BW24" s="108">
        <f>IFERROR(IF(up_Bv!Y24=0,".",((s_Ir*s_F*s_I_f*s_T*(1-EXP(-up_RadSpec!BA24*s_t_v)))/(s_Y_v*up_RadSpec!BA24))),".")</f>
        <v>9.0143481925428208</v>
      </c>
      <c r="BX24" s="108">
        <f>IFERROR(IF(up_Bv!Z24=0,".",((s_Ir*s_F*s_I_f*s_T*(1-EXP(-up_RadSpec!BA24*s_t_v)))/(s_Y_v*up_RadSpec!BA24))),".")</f>
        <v>9.0143481925428208</v>
      </c>
      <c r="BY24" s="108">
        <f>IFERROR(IF(up_Bv!AA24=0,".",((s_Ir*s_F*s_I_f*s_T*(1-EXP(-up_RadSpec!BA24*s_t_v)))/(s_Y_v*up_RadSpec!BA24))),".")</f>
        <v>9.0143481925428208</v>
      </c>
    </row>
    <row r="25" spans="1:77" x14ac:dyDescent="0.25">
      <c r="A25" s="46" t="s">
        <v>23</v>
      </c>
      <c r="B25" s="42" t="s">
        <v>335</v>
      </c>
      <c r="C25" s="108">
        <f>IFERROR(IF(up_Bv!C25=0,".",((s_Ir*s_F*up_Bv!C25*(1-EXP(-up_RadSpec!$AZ25*s_t_b)))/(s_P*up_RadSpec!$AZ25))),".")</f>
        <v>993.50362303732038</v>
      </c>
      <c r="D25" s="108">
        <f>IFERROR(IF(up_Bv!D25=0,".",((s_Ir*s_F*up_Bv!D25*(1-EXP(-up_RadSpec!AZ25*s_t_b)))/(s_P*up_RadSpec!AZ25))),".")</f>
        <v>993.50362303732038</v>
      </c>
      <c r="E25" s="108">
        <f>IFERROR(IF(up_Bv!E25=0,".",((s_Ir*s_F*up_Bv!E25*(1-EXP(-up_RadSpec!AZ25*s_t_b)))/(s_P*up_RadSpec!AZ25))),".")</f>
        <v>993.50362303732038</v>
      </c>
      <c r="F25" s="108">
        <f>IFERROR(IF(up_Bv!F25=0,".",((s_Ir*s_F*up_Bv!F25*(1-EXP(-up_RadSpec!AZ25*s_t_b)))/(s_P*up_RadSpec!AZ25))),".")</f>
        <v>993.50362303732038</v>
      </c>
      <c r="G25" s="108">
        <f>IFERROR(IF(up_Bv!G25=0,".",((s_Ir*s_F*up_Bv!G25*(1-EXP(-up_RadSpec!AZ25*s_t_b)))/(s_P*up_RadSpec!AZ25))),".")</f>
        <v>993.50362303732038</v>
      </c>
      <c r="H25" s="108">
        <f>IFERROR(IF(up_Bv!H25=0,".",((s_Ir*s_F*up_Bv!H25*(1-EXP(-up_RadSpec!AZ25*s_t_b)))/(s_P*up_RadSpec!AZ25))),".")</f>
        <v>993.50362303732038</v>
      </c>
      <c r="I25" s="108">
        <f>IFERROR(IF(up_Bv!I25=0,".",((s_Ir*s_F*up_Bv!I25*(1-EXP(-up_RadSpec!AZ25*s_t_b)))/(s_P*up_RadSpec!AZ25))),".")</f>
        <v>993.50362303732038</v>
      </c>
      <c r="J25" s="108">
        <f>IFERROR(IF(up_Bv!J25=0,".",((s_Ir*s_F*up_Bv!J25*(1-EXP(-up_RadSpec!AZ25*s_t_b)))/(s_P*up_RadSpec!AZ25))),".")</f>
        <v>993.50362303732038</v>
      </c>
      <c r="K25" s="108">
        <f>IFERROR(IF(up_Bv!K25=0,".",((s_Ir*s_F*up_Bv!K25*(1-EXP(-up_RadSpec!AZ25*s_t_b)))/(s_P*up_RadSpec!AZ25))),".")</f>
        <v>993.50362303732038</v>
      </c>
      <c r="L25" s="108">
        <f>IFERROR(IF(up_Bv!L25=0,".",((s_Ir*s_F*up_Bv!L25*(1-EXP(-up_RadSpec!AZ25*s_t_b)))/(s_P*up_RadSpec!AZ25))),".")</f>
        <v>993.50362303732038</v>
      </c>
      <c r="M25" s="108">
        <f>IFERROR(IF(up_Bv!M25=0,".",((s_Ir*s_F*up_Bv!M25*(1-EXP(-up_RadSpec!AZ25*s_t_b)))/(s_P*up_RadSpec!AZ25))),".")</f>
        <v>993.50362303732038</v>
      </c>
      <c r="N25" s="108">
        <f>IFERROR(IF(up_Bv!N25=0,".",((s_Ir*s_F*up_Bv!N25*(1-EXP(-up_RadSpec!AZ25*s_t_b)))/(s_P*up_RadSpec!AZ25))),".")</f>
        <v>993.50362303732038</v>
      </c>
      <c r="O25" s="108">
        <f>IFERROR(IF(up_Bv!O25=0,".",((s_Ir*s_F*up_Bv!O25*(1-EXP(-up_RadSpec!AZ25*s_t_b)))/(s_P*up_RadSpec!AZ25))),".")</f>
        <v>993.50362303732038</v>
      </c>
      <c r="P25" s="108">
        <f>IFERROR(IF(up_Bv!P25=0,".",((s_Ir*s_F*up_Bv!P25*(1-EXP(-up_RadSpec!AZ25*s_t_b)))/(s_P*up_RadSpec!AZ25))),".")</f>
        <v>993.50362303732038</v>
      </c>
      <c r="Q25" s="108">
        <f>IFERROR(IF(up_Bv!Q25=0,".",((s_Ir*s_F*up_Bv!Q25*(1-EXP(-up_RadSpec!AZ25*s_t_b)))/(s_P*up_RadSpec!AZ25))),".")</f>
        <v>993.50362303732038</v>
      </c>
      <c r="R25" s="108">
        <f>IFERROR(IF(up_Bv!R25=0,".",((s_Ir*s_F*up_Bv!R25*(1-EXP(-up_RadSpec!AZ25*s_t_b)))/(s_P*up_RadSpec!AZ25))),".")</f>
        <v>993.50362303732038</v>
      </c>
      <c r="S25" s="108">
        <f>IFERROR(IF(up_Bv!S25=0,".",((s_Ir*s_F*up_Bv!S25*(1-EXP(-up_RadSpec!AZ25*s_t_b)))/(s_P*up_RadSpec!AZ25))),".")</f>
        <v>993.50362303732038</v>
      </c>
      <c r="T25" s="108">
        <f>IFERROR(IF(up_Bv!T25=0,".",((s_Ir*s_F*up_Bv!T25*(1-EXP(-up_RadSpec!AZ25*s_t_b)))/(s_P*up_RadSpec!AZ25))),".")</f>
        <v>993.50362303732038</v>
      </c>
      <c r="U25" s="108">
        <f>IFERROR(IF(up_Bv!U25=0,".",((s_Ir*s_F*up_Bv!U25*(1-EXP(-up_RadSpec!AZ25*s_t_b)))/(s_P*up_RadSpec!AZ25))),".")</f>
        <v>993.50362303732038</v>
      </c>
      <c r="V25" s="108">
        <f>IFERROR(IF(up_Bv!V25=0,".",((s_Ir*s_F*up_Bv!V25*(1-EXP(-up_RadSpec!AZ25*s_t_b)))/(s_P*up_RadSpec!AZ25))),".")</f>
        <v>993.50362303732038</v>
      </c>
      <c r="W25" s="108">
        <f>IFERROR(IF(up_Bv!W25=0,".",((s_Ir*s_F*up_Bv!W25*(1-EXP(-up_RadSpec!AZ25*s_t_b)))/(s_P*up_RadSpec!AZ25))),".")</f>
        <v>993.50362303732038</v>
      </c>
      <c r="X25" s="108">
        <f>IFERROR(IF(up_Bv!X25=0,".",((s_Ir*s_F*up_Bv!X25*(1-EXP(-up_RadSpec!AZ25*s_t_b)))/(s_P*up_RadSpec!AZ25))),".")</f>
        <v>993.50362303732038</v>
      </c>
      <c r="Y25" s="108">
        <f>IFERROR(IF(up_Bv!Y25=0,".",((s_Ir*s_F*up_Bv!Y25*(1-EXP(-up_RadSpec!AZ25*s_t_b)))/(s_P*up_RadSpec!AZ25))),".")</f>
        <v>993.50362303732038</v>
      </c>
      <c r="Z25" s="108">
        <f>IFERROR(IF(up_Bv!Z25=0,".",((s_Ir*s_F*up_Bv!Z25*(1-EXP(-up_RadSpec!AZ25*s_t_b)))/(s_P*up_RadSpec!AZ25))),".")</f>
        <v>993.50362303732038</v>
      </c>
      <c r="AA25" s="108">
        <f>IFERROR(IF(up_Bv!AA25=0,".",((s_Ir*s_F*up_Bv!AA25*(1-EXP(-up_RadSpec!AZ25*s_t_b)))/(s_P*up_RadSpec!AZ25))),".")</f>
        <v>993.50362303732038</v>
      </c>
      <c r="AB25" s="108">
        <f>IFERROR(IF(up_Bv!C25=0,".",((s_Ir*s_F*s_MLF_apple*(1-EXP(-up_RadSpec!AZ25*s_t_b)))/(s_P*up_RadSpec!AZ25))),".")</f>
        <v>2.6824597822007652</v>
      </c>
      <c r="AC25" s="108">
        <f>IFERROR(IF(up_Bv!D25=0,".",((s_Ir*s_F*s_MLF_asparagus*(1-EXP(-up_RadSpec!AZ25*s_t_b)))/(s_P*up_RadSpec!AZ25))),".")</f>
        <v>2.6824597822007652</v>
      </c>
      <c r="AD25" s="108">
        <f>IFERROR(IF(up_Bv!E25=0,".",((s_Ir*s_F*s_MLF_beet*(1-EXP(-up_RadSpec!AZ25*s_t_b)))/(s_P*up_RadSpec!AZ25))),".")</f>
        <v>2.6824597822007652</v>
      </c>
      <c r="AE25" s="108">
        <f>IFERROR(IF(up_Bv!F25=0,".",((s_Ir*s_F*s_MLF_berries*(1-EXP(-up_RadSpec!AZ25*s_t_b)))/(s_P*up_RadSpec!AZ25))),".")</f>
        <v>2.6824597822007652</v>
      </c>
      <c r="AF25" s="108">
        <f>IFERROR(IF(up_Bv!G25=0,".",((s_Ir*s_F*s_MLF_broccoli*(1-EXP(-up_RadSpec!AZ25*s_t_b)))/(s_P*up_RadSpec!AZ25))),".")</f>
        <v>2.6824597822007652</v>
      </c>
      <c r="AG25" s="108">
        <f>IFERROR(IF(up_Bv!H25=0,".",((s_Ir*s_F*s_MLF_cabbage*(1-EXP(-up_RadSpec!AZ25*s_t_b)))/(s_P*up_RadSpec!AZ25))),".")</f>
        <v>2.6824597822007652</v>
      </c>
      <c r="AH25" s="108">
        <f>IFERROR(IF(up_Bv!I25=0,".",((s_Ir*s_F*s_MLF_carrot*(1-EXP(-up_RadSpec!AZ25*s_t_b)))/(s_P*up_RadSpec!AZ25))),".")</f>
        <v>2.6824597822007652</v>
      </c>
      <c r="AI25" s="108">
        <f>IFERROR(IF(up_Bv!J25=0,".",((s_Ir*s_F*s_MLF_citrus*(1-EXP(-up_RadSpec!AZ25*s_t_b)))/(s_P*up_RadSpec!AZ25))),".")</f>
        <v>2.6824597822007652</v>
      </c>
      <c r="AJ25" s="108">
        <f>IFERROR(IF(up_Bv!K25=0,".",((s_Ir*s_F*s_MLF_corn*(1-EXP(-up_RadSpec!AZ25*s_t_b)))/(s_P*up_RadSpec!AZ25))),".")</f>
        <v>2.6824597822007652</v>
      </c>
      <c r="AK25" s="108">
        <f>IFERROR(IF(up_Bv!L25=0,".",((s_Ir*s_F*s_MLF_cucumber*(1-EXP(-up_RadSpec!AZ25*s_t_b)))/(s_P*up_RadSpec!AZ25))),".")</f>
        <v>2.6824597822007652</v>
      </c>
      <c r="AL25" s="108">
        <f>IFERROR(IF(up_Bv!M25=0,".",((s_Ir*s_F*s_MLF_lettuce*(1-EXP(-up_RadSpec!AZ25*s_t_b)))/(s_P*up_RadSpec!AZ25))),".")</f>
        <v>2.6824597822007652</v>
      </c>
      <c r="AM25" s="108">
        <f>IFERROR(IF(up_Bv!N25=0,".",((s_Ir*s_F*s_MLF_lima_bean*(1-EXP(-up_RadSpec!AZ25*s_t_b)))/(s_P*up_RadSpec!AZ25))),".")</f>
        <v>2.6824597822007652</v>
      </c>
      <c r="AN25" s="108">
        <f>IFERROR(IF(up_Bv!O25=0,".",((s_Ir*s_F*s_MLF_okra*(1-EXP(-up_RadSpec!AZ25*s_t_b)))/(s_P*up_RadSpec!AZ25))),".")</f>
        <v>2.6824597822007652</v>
      </c>
      <c r="AO25" s="108">
        <f>IFERROR(IF(up_Bv!P25=0,".",((s_Ir*s_F*s_MLF_onion*(1-EXP(-up_RadSpec!AZ25*s_t_b)))/(s_P*up_RadSpec!AZ25))),".")</f>
        <v>2.6824597822007652</v>
      </c>
      <c r="AP25" s="108">
        <f>IFERROR(IF(up_Bv!Q25=0,".",((s_Ir*s_F*s_MLF_peach*(1-EXP(-up_RadSpec!AZ25*s_t_b)))/(s_P*up_RadSpec!AZ25))),".")</f>
        <v>2.6824597822007652</v>
      </c>
      <c r="AQ25" s="108">
        <f>IFERROR(IF(up_Bv!R25=0,".",((s_Ir*s_F*s_MLF_pear*(1-EXP(-up_RadSpec!AZ25*s_t_b)))/(s_P*up_RadSpec!AZ25))),".")</f>
        <v>2.6824597822007652</v>
      </c>
      <c r="AR25" s="108">
        <f>IFERROR(IF(up_Bv!S25=0,".",((s_Ir*s_F*s_MLF_peas*(1-EXP(-up_RadSpec!AZ25*s_t_b)))/(s_P*up_RadSpec!AZ25))),".")</f>
        <v>2.6824597822007652</v>
      </c>
      <c r="AS25" s="108">
        <f>IFERROR(IF(up_Bv!T25=0,".",((s_Ir*s_F*s_MLF_peppers*(1-EXP(-up_RadSpec!AZ25*s_t_b)))/(s_P*up_RadSpec!AZ25))),".")</f>
        <v>2.6824597822007652</v>
      </c>
      <c r="AT25" s="108">
        <f>IFERROR(IF(up_Bv!U25=0,".",((s_Ir*s_F*s_MLF_potato*(1-EXP(-up_RadSpec!AZ25*s_t_b)))/(s_P*up_RadSpec!AZ25))),".")</f>
        <v>2.6824597822007652</v>
      </c>
      <c r="AU25" s="108">
        <f>IFERROR(IF(up_Bv!V25=0,".",((s_Ir*s_F*s_MLF_pumpkin*(1-EXP(-up_RadSpec!AZ25*s_t_b)))/(s_P*up_RadSpec!AZ25))),".")</f>
        <v>2.6824597822007652</v>
      </c>
      <c r="AV25" s="108">
        <f>IFERROR(IF(up_Bv!W25=0,".",((s_Ir*s_F*s_MLF_snap_bean*(1-EXP(-up_RadSpec!AZ25*s_t_b)))/(s_P*up_RadSpec!AZ25))),".")</f>
        <v>2.6824597822007652</v>
      </c>
      <c r="AW25" s="108">
        <f>IFERROR(IF(up_Bv!X25=0,".",((s_Ir*s_F*s_MLF_strawberry*(1-EXP(-up_RadSpec!AZ25*s_t_b)))/(s_P*up_RadSpec!AZ25))),".")</f>
        <v>2.6824597822007652</v>
      </c>
      <c r="AX25" s="108">
        <f>IFERROR(IF(up_Bv!Y25=0,".",((s_Ir*s_F*s_MLF_tomato*(1-EXP(-up_RadSpec!AZ25*s_t_b)))/(s_P*up_RadSpec!AZ25))),".")</f>
        <v>2.6824597822007652</v>
      </c>
      <c r="AY25" s="108">
        <f>IFERROR(IF(up_Bv!Z25=0,".",((s_Ir*s_F*s_MLF_rice*(1-EXP(-up_RadSpec!AZ25*s_t_b)))/(s_P*up_RadSpec!AZ25))),".")</f>
        <v>2.6824597822007652</v>
      </c>
      <c r="AZ25" s="108">
        <f>IFERROR(IF(up_Bv!AA25=0,".",((s_Ir*s_F*s_MLF_cereal*(1-EXP(-up_RadSpec!AZ25*s_t_b)))/(s_P*up_RadSpec!AZ25))),".")</f>
        <v>2.6824597822007652</v>
      </c>
      <c r="BA25" s="108">
        <f>IFERROR(IF(up_Bv!C25=0,".",((s_Ir*s_F*s_I_f*s_T*(1-EXP(-up_RadSpec!BA25*s_t_v)))/(s_Y_v*up_RadSpec!BA25))),".")</f>
        <v>9.0143481925428208</v>
      </c>
      <c r="BB25" s="108">
        <f>IFERROR(IF(up_Bv!D25=0,".",((s_Ir*s_F*s_I_f*s_T*(1-EXP(-up_RadSpec!BA25*s_t_v)))/(s_Y_v*up_RadSpec!BA25))),".")</f>
        <v>9.0143481925428208</v>
      </c>
      <c r="BC25" s="108">
        <f>IFERROR(IF(up_Bv!E25=0,".",((s_Ir*s_F*s_I_f*s_T*(1-EXP(-up_RadSpec!BA25*s_t_v)))/(s_Y_v*up_RadSpec!BA25))),".")</f>
        <v>9.0143481925428208</v>
      </c>
      <c r="BD25" s="108">
        <f>IFERROR(IF(up_Bv!F25=0,".",((s_Ir*s_F*s_I_f*s_T*(1-EXP(-up_RadSpec!BA25*s_t_v)))/(s_Y_v*up_RadSpec!BA25))),".")</f>
        <v>9.0143481925428208</v>
      </c>
      <c r="BE25" s="108">
        <f>IFERROR(IF(up_Bv!G25=0,".",((s_Ir*s_F*s_I_f*s_T*(1-EXP(-up_RadSpec!BA25*s_t_v)))/(s_Y_v*up_RadSpec!BA25))),".")</f>
        <v>9.0143481925428208</v>
      </c>
      <c r="BF25" s="108">
        <f>IFERROR(IF(up_Bv!H25=0,".",((s_Ir*s_F*s_I_f*s_T*(1-EXP(-up_RadSpec!BA25*s_t_v)))/(s_Y_v*up_RadSpec!BA25))),".")</f>
        <v>9.0143481925428208</v>
      </c>
      <c r="BG25" s="108">
        <f>IFERROR(IF(up_Bv!I25=0,".",((s_Ir*s_F*s_I_f*s_T*(1-EXP(-up_RadSpec!BA25*s_t_v)))/(s_Y_v*up_RadSpec!BA25))),".")</f>
        <v>9.0143481925428208</v>
      </c>
      <c r="BH25" s="108">
        <f>IFERROR(IF(up_Bv!J25=0,".",((s_Ir*s_F*s_I_f*s_T*(1-EXP(-up_RadSpec!BA25*s_t_v)))/(s_Y_v*up_RadSpec!BA25))),".")</f>
        <v>9.0143481925428208</v>
      </c>
      <c r="BI25" s="108">
        <f>IFERROR(IF(up_Bv!K25=0,".",((s_Ir*s_F*s_I_f*s_T*(1-EXP(-up_RadSpec!BA25*s_t_v)))/(s_Y_v*up_RadSpec!BA25))),".")</f>
        <v>9.0143481925428208</v>
      </c>
      <c r="BJ25" s="108">
        <f>IFERROR(IF(up_Bv!L25=0,".",((s_Ir*s_F*s_I_f*s_T*(1-EXP(-up_RadSpec!BA25*s_t_v)))/(s_Y_v*up_RadSpec!BA25))),".")</f>
        <v>9.0143481925428208</v>
      </c>
      <c r="BK25" s="108">
        <f>IFERROR(IF(up_Bv!M25=0,".",((s_Ir*s_F*s_I_f*s_T*(1-EXP(-up_RadSpec!BA25*s_t_v)))/(s_Y_v*up_RadSpec!BA25))),".")</f>
        <v>9.0143481925428208</v>
      </c>
      <c r="BL25" s="108">
        <f>IFERROR(IF(up_Bv!N25=0,".",((s_Ir*s_F*s_I_f*s_T*(1-EXP(-up_RadSpec!BA25*s_t_v)))/(s_Y_v*up_RadSpec!BA25))),".")</f>
        <v>9.0143481925428208</v>
      </c>
      <c r="BM25" s="108">
        <f>IFERROR(IF(up_Bv!O25=0,".",((s_Ir*s_F*s_I_f*s_T*(1-EXP(-up_RadSpec!BA25*s_t_v)))/(s_Y_v*up_RadSpec!BA25))),".")</f>
        <v>9.0143481925428208</v>
      </c>
      <c r="BN25" s="108">
        <f>IFERROR(IF(up_Bv!P25=0,".",((s_Ir*s_F*s_I_f*s_T*(1-EXP(-up_RadSpec!BA25*s_t_v)))/(s_Y_v*up_RadSpec!BA25))),".")</f>
        <v>9.0143481925428208</v>
      </c>
      <c r="BO25" s="108">
        <f>IFERROR(IF(up_Bv!Q25=0,".",((s_Ir*s_F*s_I_f*s_T*(1-EXP(-up_RadSpec!BA25*s_t_v)))/(s_Y_v*up_RadSpec!BA25))),".")</f>
        <v>9.0143481925428208</v>
      </c>
      <c r="BP25" s="108">
        <f>IFERROR(IF(up_Bv!R25=0,".",((s_Ir*s_F*s_I_f*s_T*(1-EXP(-up_RadSpec!BA25*s_t_v)))/(s_Y_v*up_RadSpec!BA25))),".")</f>
        <v>9.0143481925428208</v>
      </c>
      <c r="BQ25" s="108">
        <f>IFERROR(IF(up_Bv!S25=0,".",((s_Ir*s_F*s_I_f*s_T*(1-EXP(-up_RadSpec!BA25*s_t_v)))/(s_Y_v*up_RadSpec!BA25))),".")</f>
        <v>9.0143481925428208</v>
      </c>
      <c r="BR25" s="108">
        <f>IFERROR(IF(up_Bv!T25=0,".",((s_Ir*s_F*s_I_f*s_T*(1-EXP(-up_RadSpec!BA25*s_t_v)))/(s_Y_v*up_RadSpec!BA25))),".")</f>
        <v>9.0143481925428208</v>
      </c>
      <c r="BS25" s="108">
        <f>IFERROR(IF(up_Bv!U25=0,".",((s_Ir*s_F*s_I_f*s_T*(1-EXP(-up_RadSpec!BA25*s_t_v)))/(s_Y_v*up_RadSpec!BA25))),".")</f>
        <v>9.0143481925428208</v>
      </c>
      <c r="BT25" s="108">
        <f>IFERROR(IF(up_Bv!V25=0,".",((s_Ir*s_F*s_I_f*s_T*(1-EXP(-up_RadSpec!BA25*s_t_v)))/(s_Y_v*up_RadSpec!BA25))),".")</f>
        <v>9.0143481925428208</v>
      </c>
      <c r="BU25" s="108">
        <f>IFERROR(IF(up_Bv!W25=0,".",((s_Ir*s_F*s_I_f*s_T*(1-EXP(-up_RadSpec!BA25*s_t_v)))/(s_Y_v*up_RadSpec!BA25))),".")</f>
        <v>9.0143481925428208</v>
      </c>
      <c r="BV25" s="108">
        <f>IFERROR(IF(up_Bv!X25=0,".",((s_Ir*s_F*s_I_f*s_T*(1-EXP(-up_RadSpec!BA25*s_t_v)))/(s_Y_v*up_RadSpec!BA25))),".")</f>
        <v>9.0143481925428208</v>
      </c>
      <c r="BW25" s="108">
        <f>IFERROR(IF(up_Bv!Y25=0,".",((s_Ir*s_F*s_I_f*s_T*(1-EXP(-up_RadSpec!BA25*s_t_v)))/(s_Y_v*up_RadSpec!BA25))),".")</f>
        <v>9.0143481925428208</v>
      </c>
      <c r="BX25" s="108">
        <f>IFERROR(IF(up_Bv!Z25=0,".",((s_Ir*s_F*s_I_f*s_T*(1-EXP(-up_RadSpec!BA25*s_t_v)))/(s_Y_v*up_RadSpec!BA25))),".")</f>
        <v>9.0143481925428208</v>
      </c>
      <c r="BY25" s="108">
        <f>IFERROR(IF(up_Bv!AA25=0,".",((s_Ir*s_F*s_I_f*s_T*(1-EXP(-up_RadSpec!BA25*s_t_v)))/(s_Y_v*up_RadSpec!BA25))),".")</f>
        <v>9.0143481925428208</v>
      </c>
    </row>
    <row r="26" spans="1:77" x14ac:dyDescent="0.25">
      <c r="A26" s="44" t="s">
        <v>24</v>
      </c>
      <c r="B26" s="42" t="s">
        <v>1057</v>
      </c>
      <c r="C26" s="108">
        <f>IFERROR(IF(up_Bv!C26=0,".",((s_Ir*s_F*up_Bv!C26*(1-EXP(-up_RadSpec!$AZ26*s_t_b)))/(s_P*up_RadSpec!$AZ26))),".")</f>
        <v>993.50362303732038</v>
      </c>
      <c r="D26" s="108">
        <f>IFERROR(IF(up_Bv!D26=0,".",((s_Ir*s_F*up_Bv!D26*(1-EXP(-up_RadSpec!AZ26*s_t_b)))/(s_P*up_RadSpec!AZ26))),".")</f>
        <v>993.50362303732038</v>
      </c>
      <c r="E26" s="108">
        <f>IFERROR(IF(up_Bv!E26=0,".",((s_Ir*s_F*up_Bv!E26*(1-EXP(-up_RadSpec!AZ26*s_t_b)))/(s_P*up_RadSpec!AZ26))),".")</f>
        <v>993.50362303732038</v>
      </c>
      <c r="F26" s="108">
        <f>IFERROR(IF(up_Bv!F26=0,".",((s_Ir*s_F*up_Bv!F26*(1-EXP(-up_RadSpec!AZ26*s_t_b)))/(s_P*up_RadSpec!AZ26))),".")</f>
        <v>993.50362303732038</v>
      </c>
      <c r="G26" s="108">
        <f>IFERROR(IF(up_Bv!G26=0,".",((s_Ir*s_F*up_Bv!G26*(1-EXP(-up_RadSpec!AZ26*s_t_b)))/(s_P*up_RadSpec!AZ26))),".")</f>
        <v>993.50362303732038</v>
      </c>
      <c r="H26" s="108">
        <f>IFERROR(IF(up_Bv!H26=0,".",((s_Ir*s_F*up_Bv!H26*(1-EXP(-up_RadSpec!AZ26*s_t_b)))/(s_P*up_RadSpec!AZ26))),".")</f>
        <v>993.50362303732038</v>
      </c>
      <c r="I26" s="108">
        <f>IFERROR(IF(up_Bv!I26=0,".",((s_Ir*s_F*up_Bv!I26*(1-EXP(-up_RadSpec!AZ26*s_t_b)))/(s_P*up_RadSpec!AZ26))),".")</f>
        <v>993.50362303732038</v>
      </c>
      <c r="J26" s="108">
        <f>IFERROR(IF(up_Bv!J26=0,".",((s_Ir*s_F*up_Bv!J26*(1-EXP(-up_RadSpec!AZ26*s_t_b)))/(s_P*up_RadSpec!AZ26))),".")</f>
        <v>993.50362303732038</v>
      </c>
      <c r="K26" s="108">
        <f>IFERROR(IF(up_Bv!K26=0,".",((s_Ir*s_F*up_Bv!K26*(1-EXP(-up_RadSpec!AZ26*s_t_b)))/(s_P*up_RadSpec!AZ26))),".")</f>
        <v>993.50362303732038</v>
      </c>
      <c r="L26" s="108">
        <f>IFERROR(IF(up_Bv!L26=0,".",((s_Ir*s_F*up_Bv!L26*(1-EXP(-up_RadSpec!AZ26*s_t_b)))/(s_P*up_RadSpec!AZ26))),".")</f>
        <v>993.50362303732038</v>
      </c>
      <c r="M26" s="108">
        <f>IFERROR(IF(up_Bv!M26=0,".",((s_Ir*s_F*up_Bv!M26*(1-EXP(-up_RadSpec!AZ26*s_t_b)))/(s_P*up_RadSpec!AZ26))),".")</f>
        <v>993.50362303732038</v>
      </c>
      <c r="N26" s="108">
        <f>IFERROR(IF(up_Bv!N26=0,".",((s_Ir*s_F*up_Bv!N26*(1-EXP(-up_RadSpec!AZ26*s_t_b)))/(s_P*up_RadSpec!AZ26))),".")</f>
        <v>993.50362303732038</v>
      </c>
      <c r="O26" s="108">
        <f>IFERROR(IF(up_Bv!O26=0,".",((s_Ir*s_F*up_Bv!O26*(1-EXP(-up_RadSpec!AZ26*s_t_b)))/(s_P*up_RadSpec!AZ26))),".")</f>
        <v>993.50362303732038</v>
      </c>
      <c r="P26" s="108">
        <f>IFERROR(IF(up_Bv!P26=0,".",((s_Ir*s_F*up_Bv!P26*(1-EXP(-up_RadSpec!AZ26*s_t_b)))/(s_P*up_RadSpec!AZ26))),".")</f>
        <v>993.50362303732038</v>
      </c>
      <c r="Q26" s="108">
        <f>IFERROR(IF(up_Bv!Q26=0,".",((s_Ir*s_F*up_Bv!Q26*(1-EXP(-up_RadSpec!AZ26*s_t_b)))/(s_P*up_RadSpec!AZ26))),".")</f>
        <v>993.50362303732038</v>
      </c>
      <c r="R26" s="108">
        <f>IFERROR(IF(up_Bv!R26=0,".",((s_Ir*s_F*up_Bv!R26*(1-EXP(-up_RadSpec!AZ26*s_t_b)))/(s_P*up_RadSpec!AZ26))),".")</f>
        <v>993.50362303732038</v>
      </c>
      <c r="S26" s="108">
        <f>IFERROR(IF(up_Bv!S26=0,".",((s_Ir*s_F*up_Bv!S26*(1-EXP(-up_RadSpec!AZ26*s_t_b)))/(s_P*up_RadSpec!AZ26))),".")</f>
        <v>993.50362303732038</v>
      </c>
      <c r="T26" s="108">
        <f>IFERROR(IF(up_Bv!T26=0,".",((s_Ir*s_F*up_Bv!T26*(1-EXP(-up_RadSpec!AZ26*s_t_b)))/(s_P*up_RadSpec!AZ26))),".")</f>
        <v>993.50362303732038</v>
      </c>
      <c r="U26" s="108">
        <f>IFERROR(IF(up_Bv!U26=0,".",((s_Ir*s_F*up_Bv!U26*(1-EXP(-up_RadSpec!AZ26*s_t_b)))/(s_P*up_RadSpec!AZ26))),".")</f>
        <v>993.50362303732038</v>
      </c>
      <c r="V26" s="108">
        <f>IFERROR(IF(up_Bv!V26=0,".",((s_Ir*s_F*up_Bv!V26*(1-EXP(-up_RadSpec!AZ26*s_t_b)))/(s_P*up_RadSpec!AZ26))),".")</f>
        <v>993.50362303732038</v>
      </c>
      <c r="W26" s="108">
        <f>IFERROR(IF(up_Bv!W26=0,".",((s_Ir*s_F*up_Bv!W26*(1-EXP(-up_RadSpec!AZ26*s_t_b)))/(s_P*up_RadSpec!AZ26))),".")</f>
        <v>993.50362303732038</v>
      </c>
      <c r="X26" s="108">
        <f>IFERROR(IF(up_Bv!X26=0,".",((s_Ir*s_F*up_Bv!X26*(1-EXP(-up_RadSpec!AZ26*s_t_b)))/(s_P*up_RadSpec!AZ26))),".")</f>
        <v>993.50362303732038</v>
      </c>
      <c r="Y26" s="108">
        <f>IFERROR(IF(up_Bv!Y26=0,".",((s_Ir*s_F*up_Bv!Y26*(1-EXP(-up_RadSpec!AZ26*s_t_b)))/(s_P*up_RadSpec!AZ26))),".")</f>
        <v>993.50362303732038</v>
      </c>
      <c r="Z26" s="108">
        <f>IFERROR(IF(up_Bv!Z26=0,".",((s_Ir*s_F*up_Bv!Z26*(1-EXP(-up_RadSpec!AZ26*s_t_b)))/(s_P*up_RadSpec!AZ26))),".")</f>
        <v>993.50362303732038</v>
      </c>
      <c r="AA26" s="108">
        <f>IFERROR(IF(up_Bv!AA26=0,".",((s_Ir*s_F*up_Bv!AA26*(1-EXP(-up_RadSpec!AZ26*s_t_b)))/(s_P*up_RadSpec!AZ26))),".")</f>
        <v>993.50362303732038</v>
      </c>
      <c r="AB26" s="108">
        <f>IFERROR(IF(up_Bv!C26=0,".",((s_Ir*s_F*s_MLF_apple*(1-EXP(-up_RadSpec!AZ26*s_t_b)))/(s_P*up_RadSpec!AZ26))),".")</f>
        <v>2.6824597822007652</v>
      </c>
      <c r="AC26" s="108">
        <f>IFERROR(IF(up_Bv!D26=0,".",((s_Ir*s_F*s_MLF_asparagus*(1-EXP(-up_RadSpec!AZ26*s_t_b)))/(s_P*up_RadSpec!AZ26))),".")</f>
        <v>2.6824597822007652</v>
      </c>
      <c r="AD26" s="108">
        <f>IFERROR(IF(up_Bv!E26=0,".",((s_Ir*s_F*s_MLF_beet*(1-EXP(-up_RadSpec!AZ26*s_t_b)))/(s_P*up_RadSpec!AZ26))),".")</f>
        <v>2.6824597822007652</v>
      </c>
      <c r="AE26" s="108">
        <f>IFERROR(IF(up_Bv!F26=0,".",((s_Ir*s_F*s_MLF_berries*(1-EXP(-up_RadSpec!AZ26*s_t_b)))/(s_P*up_RadSpec!AZ26))),".")</f>
        <v>2.6824597822007652</v>
      </c>
      <c r="AF26" s="108">
        <f>IFERROR(IF(up_Bv!G26=0,".",((s_Ir*s_F*s_MLF_broccoli*(1-EXP(-up_RadSpec!AZ26*s_t_b)))/(s_P*up_RadSpec!AZ26))),".")</f>
        <v>2.6824597822007652</v>
      </c>
      <c r="AG26" s="108">
        <f>IFERROR(IF(up_Bv!H26=0,".",((s_Ir*s_F*s_MLF_cabbage*(1-EXP(-up_RadSpec!AZ26*s_t_b)))/(s_P*up_RadSpec!AZ26))),".")</f>
        <v>2.6824597822007652</v>
      </c>
      <c r="AH26" s="108">
        <f>IFERROR(IF(up_Bv!I26=0,".",((s_Ir*s_F*s_MLF_carrot*(1-EXP(-up_RadSpec!AZ26*s_t_b)))/(s_P*up_RadSpec!AZ26))),".")</f>
        <v>2.6824597822007652</v>
      </c>
      <c r="AI26" s="108">
        <f>IFERROR(IF(up_Bv!J26=0,".",((s_Ir*s_F*s_MLF_citrus*(1-EXP(-up_RadSpec!AZ26*s_t_b)))/(s_P*up_RadSpec!AZ26))),".")</f>
        <v>2.6824597822007652</v>
      </c>
      <c r="AJ26" s="108">
        <f>IFERROR(IF(up_Bv!K26=0,".",((s_Ir*s_F*s_MLF_corn*(1-EXP(-up_RadSpec!AZ26*s_t_b)))/(s_P*up_RadSpec!AZ26))),".")</f>
        <v>2.6824597822007652</v>
      </c>
      <c r="AK26" s="108">
        <f>IFERROR(IF(up_Bv!L26=0,".",((s_Ir*s_F*s_MLF_cucumber*(1-EXP(-up_RadSpec!AZ26*s_t_b)))/(s_P*up_RadSpec!AZ26))),".")</f>
        <v>2.6824597822007652</v>
      </c>
      <c r="AL26" s="108">
        <f>IFERROR(IF(up_Bv!M26=0,".",((s_Ir*s_F*s_MLF_lettuce*(1-EXP(-up_RadSpec!AZ26*s_t_b)))/(s_P*up_RadSpec!AZ26))),".")</f>
        <v>2.6824597822007652</v>
      </c>
      <c r="AM26" s="108">
        <f>IFERROR(IF(up_Bv!N26=0,".",((s_Ir*s_F*s_MLF_lima_bean*(1-EXP(-up_RadSpec!AZ26*s_t_b)))/(s_P*up_RadSpec!AZ26))),".")</f>
        <v>2.6824597822007652</v>
      </c>
      <c r="AN26" s="108">
        <f>IFERROR(IF(up_Bv!O26=0,".",((s_Ir*s_F*s_MLF_okra*(1-EXP(-up_RadSpec!AZ26*s_t_b)))/(s_P*up_RadSpec!AZ26))),".")</f>
        <v>2.6824597822007652</v>
      </c>
      <c r="AO26" s="108">
        <f>IFERROR(IF(up_Bv!P26=0,".",((s_Ir*s_F*s_MLF_onion*(1-EXP(-up_RadSpec!AZ26*s_t_b)))/(s_P*up_RadSpec!AZ26))),".")</f>
        <v>2.6824597822007652</v>
      </c>
      <c r="AP26" s="108">
        <f>IFERROR(IF(up_Bv!Q26=0,".",((s_Ir*s_F*s_MLF_peach*(1-EXP(-up_RadSpec!AZ26*s_t_b)))/(s_P*up_RadSpec!AZ26))),".")</f>
        <v>2.6824597822007652</v>
      </c>
      <c r="AQ26" s="108">
        <f>IFERROR(IF(up_Bv!R26=0,".",((s_Ir*s_F*s_MLF_pear*(1-EXP(-up_RadSpec!AZ26*s_t_b)))/(s_P*up_RadSpec!AZ26))),".")</f>
        <v>2.6824597822007652</v>
      </c>
      <c r="AR26" s="108">
        <f>IFERROR(IF(up_Bv!S26=0,".",((s_Ir*s_F*s_MLF_peas*(1-EXP(-up_RadSpec!AZ26*s_t_b)))/(s_P*up_RadSpec!AZ26))),".")</f>
        <v>2.6824597822007652</v>
      </c>
      <c r="AS26" s="108">
        <f>IFERROR(IF(up_Bv!T26=0,".",((s_Ir*s_F*s_MLF_peppers*(1-EXP(-up_RadSpec!AZ26*s_t_b)))/(s_P*up_RadSpec!AZ26))),".")</f>
        <v>2.6824597822007652</v>
      </c>
      <c r="AT26" s="108">
        <f>IFERROR(IF(up_Bv!U26=0,".",((s_Ir*s_F*s_MLF_potato*(1-EXP(-up_RadSpec!AZ26*s_t_b)))/(s_P*up_RadSpec!AZ26))),".")</f>
        <v>2.6824597822007652</v>
      </c>
      <c r="AU26" s="108">
        <f>IFERROR(IF(up_Bv!V26=0,".",((s_Ir*s_F*s_MLF_pumpkin*(1-EXP(-up_RadSpec!AZ26*s_t_b)))/(s_P*up_RadSpec!AZ26))),".")</f>
        <v>2.6824597822007652</v>
      </c>
      <c r="AV26" s="108">
        <f>IFERROR(IF(up_Bv!W26=0,".",((s_Ir*s_F*s_MLF_snap_bean*(1-EXP(-up_RadSpec!AZ26*s_t_b)))/(s_P*up_RadSpec!AZ26))),".")</f>
        <v>2.6824597822007652</v>
      </c>
      <c r="AW26" s="108">
        <f>IFERROR(IF(up_Bv!X26=0,".",((s_Ir*s_F*s_MLF_strawberry*(1-EXP(-up_RadSpec!AZ26*s_t_b)))/(s_P*up_RadSpec!AZ26))),".")</f>
        <v>2.6824597822007652</v>
      </c>
      <c r="AX26" s="108">
        <f>IFERROR(IF(up_Bv!Y26=0,".",((s_Ir*s_F*s_MLF_tomato*(1-EXP(-up_RadSpec!AZ26*s_t_b)))/(s_P*up_RadSpec!AZ26))),".")</f>
        <v>2.6824597822007652</v>
      </c>
      <c r="AY26" s="108">
        <f>IFERROR(IF(up_Bv!Z26=0,".",((s_Ir*s_F*s_MLF_rice*(1-EXP(-up_RadSpec!AZ26*s_t_b)))/(s_P*up_RadSpec!AZ26))),".")</f>
        <v>2.6824597822007652</v>
      </c>
      <c r="AZ26" s="108">
        <f>IFERROR(IF(up_Bv!AA26=0,".",((s_Ir*s_F*s_MLF_cereal*(1-EXP(-up_RadSpec!AZ26*s_t_b)))/(s_P*up_RadSpec!AZ26))),".")</f>
        <v>2.6824597822007652</v>
      </c>
      <c r="BA26" s="108">
        <f>IFERROR(IF(up_Bv!C26=0,".",((s_Ir*s_F*s_I_f*s_T*(1-EXP(-up_RadSpec!BA26*s_t_v)))/(s_Y_v*up_RadSpec!BA26))),".")</f>
        <v>9.0143481925428208</v>
      </c>
      <c r="BB26" s="108">
        <f>IFERROR(IF(up_Bv!D26=0,".",((s_Ir*s_F*s_I_f*s_T*(1-EXP(-up_RadSpec!BA26*s_t_v)))/(s_Y_v*up_RadSpec!BA26))),".")</f>
        <v>9.0143481925428208</v>
      </c>
      <c r="BC26" s="108">
        <f>IFERROR(IF(up_Bv!E26=0,".",((s_Ir*s_F*s_I_f*s_T*(1-EXP(-up_RadSpec!BA26*s_t_v)))/(s_Y_v*up_RadSpec!BA26))),".")</f>
        <v>9.0143481925428208</v>
      </c>
      <c r="BD26" s="108">
        <f>IFERROR(IF(up_Bv!F26=0,".",((s_Ir*s_F*s_I_f*s_T*(1-EXP(-up_RadSpec!BA26*s_t_v)))/(s_Y_v*up_RadSpec!BA26))),".")</f>
        <v>9.0143481925428208</v>
      </c>
      <c r="BE26" s="108">
        <f>IFERROR(IF(up_Bv!G26=0,".",((s_Ir*s_F*s_I_f*s_T*(1-EXP(-up_RadSpec!BA26*s_t_v)))/(s_Y_v*up_RadSpec!BA26))),".")</f>
        <v>9.0143481925428208</v>
      </c>
      <c r="BF26" s="108">
        <f>IFERROR(IF(up_Bv!H26=0,".",((s_Ir*s_F*s_I_f*s_T*(1-EXP(-up_RadSpec!BA26*s_t_v)))/(s_Y_v*up_RadSpec!BA26))),".")</f>
        <v>9.0143481925428208</v>
      </c>
      <c r="BG26" s="108">
        <f>IFERROR(IF(up_Bv!I26=0,".",((s_Ir*s_F*s_I_f*s_T*(1-EXP(-up_RadSpec!BA26*s_t_v)))/(s_Y_v*up_RadSpec!BA26))),".")</f>
        <v>9.0143481925428208</v>
      </c>
      <c r="BH26" s="108">
        <f>IFERROR(IF(up_Bv!J26=0,".",((s_Ir*s_F*s_I_f*s_T*(1-EXP(-up_RadSpec!BA26*s_t_v)))/(s_Y_v*up_RadSpec!BA26))),".")</f>
        <v>9.0143481925428208</v>
      </c>
      <c r="BI26" s="108">
        <f>IFERROR(IF(up_Bv!K26=0,".",((s_Ir*s_F*s_I_f*s_T*(1-EXP(-up_RadSpec!BA26*s_t_v)))/(s_Y_v*up_RadSpec!BA26))),".")</f>
        <v>9.0143481925428208</v>
      </c>
      <c r="BJ26" s="108">
        <f>IFERROR(IF(up_Bv!L26=0,".",((s_Ir*s_F*s_I_f*s_T*(1-EXP(-up_RadSpec!BA26*s_t_v)))/(s_Y_v*up_RadSpec!BA26))),".")</f>
        <v>9.0143481925428208</v>
      </c>
      <c r="BK26" s="108">
        <f>IFERROR(IF(up_Bv!M26=0,".",((s_Ir*s_F*s_I_f*s_T*(1-EXP(-up_RadSpec!BA26*s_t_v)))/(s_Y_v*up_RadSpec!BA26))),".")</f>
        <v>9.0143481925428208</v>
      </c>
      <c r="BL26" s="108">
        <f>IFERROR(IF(up_Bv!N26=0,".",((s_Ir*s_F*s_I_f*s_T*(1-EXP(-up_RadSpec!BA26*s_t_v)))/(s_Y_v*up_RadSpec!BA26))),".")</f>
        <v>9.0143481925428208</v>
      </c>
      <c r="BM26" s="108">
        <f>IFERROR(IF(up_Bv!O26=0,".",((s_Ir*s_F*s_I_f*s_T*(1-EXP(-up_RadSpec!BA26*s_t_v)))/(s_Y_v*up_RadSpec!BA26))),".")</f>
        <v>9.0143481925428208</v>
      </c>
      <c r="BN26" s="108">
        <f>IFERROR(IF(up_Bv!P26=0,".",((s_Ir*s_F*s_I_f*s_T*(1-EXP(-up_RadSpec!BA26*s_t_v)))/(s_Y_v*up_RadSpec!BA26))),".")</f>
        <v>9.0143481925428208</v>
      </c>
      <c r="BO26" s="108">
        <f>IFERROR(IF(up_Bv!Q26=0,".",((s_Ir*s_F*s_I_f*s_T*(1-EXP(-up_RadSpec!BA26*s_t_v)))/(s_Y_v*up_RadSpec!BA26))),".")</f>
        <v>9.0143481925428208</v>
      </c>
      <c r="BP26" s="108">
        <f>IFERROR(IF(up_Bv!R26=0,".",((s_Ir*s_F*s_I_f*s_T*(1-EXP(-up_RadSpec!BA26*s_t_v)))/(s_Y_v*up_RadSpec!BA26))),".")</f>
        <v>9.0143481925428208</v>
      </c>
      <c r="BQ26" s="108">
        <f>IFERROR(IF(up_Bv!S26=0,".",((s_Ir*s_F*s_I_f*s_T*(1-EXP(-up_RadSpec!BA26*s_t_v)))/(s_Y_v*up_RadSpec!BA26))),".")</f>
        <v>9.0143481925428208</v>
      </c>
      <c r="BR26" s="108">
        <f>IFERROR(IF(up_Bv!T26=0,".",((s_Ir*s_F*s_I_f*s_T*(1-EXP(-up_RadSpec!BA26*s_t_v)))/(s_Y_v*up_RadSpec!BA26))),".")</f>
        <v>9.0143481925428208</v>
      </c>
      <c r="BS26" s="108">
        <f>IFERROR(IF(up_Bv!U26=0,".",((s_Ir*s_F*s_I_f*s_T*(1-EXP(-up_RadSpec!BA26*s_t_v)))/(s_Y_v*up_RadSpec!BA26))),".")</f>
        <v>9.0143481925428208</v>
      </c>
      <c r="BT26" s="108">
        <f>IFERROR(IF(up_Bv!V26=0,".",((s_Ir*s_F*s_I_f*s_T*(1-EXP(-up_RadSpec!BA26*s_t_v)))/(s_Y_v*up_RadSpec!BA26))),".")</f>
        <v>9.0143481925428208</v>
      </c>
      <c r="BU26" s="108">
        <f>IFERROR(IF(up_Bv!W26=0,".",((s_Ir*s_F*s_I_f*s_T*(1-EXP(-up_RadSpec!BA26*s_t_v)))/(s_Y_v*up_RadSpec!BA26))),".")</f>
        <v>9.0143481925428208</v>
      </c>
      <c r="BV26" s="108">
        <f>IFERROR(IF(up_Bv!X26=0,".",((s_Ir*s_F*s_I_f*s_T*(1-EXP(-up_RadSpec!BA26*s_t_v)))/(s_Y_v*up_RadSpec!BA26))),".")</f>
        <v>9.0143481925428208</v>
      </c>
      <c r="BW26" s="108">
        <f>IFERROR(IF(up_Bv!Y26=0,".",((s_Ir*s_F*s_I_f*s_T*(1-EXP(-up_RadSpec!BA26*s_t_v)))/(s_Y_v*up_RadSpec!BA26))),".")</f>
        <v>9.0143481925428208</v>
      </c>
      <c r="BX26" s="108">
        <f>IFERROR(IF(up_Bv!Z26=0,".",((s_Ir*s_F*s_I_f*s_T*(1-EXP(-up_RadSpec!BA26*s_t_v)))/(s_Y_v*up_RadSpec!BA26))),".")</f>
        <v>9.0143481925428208</v>
      </c>
      <c r="BY26" s="108">
        <f>IFERROR(IF(up_Bv!AA26=0,".",((s_Ir*s_F*s_I_f*s_T*(1-EXP(-up_RadSpec!BA26*s_t_v)))/(s_Y_v*up_RadSpec!BA26))),".")</f>
        <v>9.0143481925428208</v>
      </c>
    </row>
    <row r="27" spans="1:77" x14ac:dyDescent="0.25">
      <c r="A27" s="44" t="s">
        <v>25</v>
      </c>
      <c r="B27" s="42" t="s">
        <v>1057</v>
      </c>
      <c r="C27" s="108">
        <f>IFERROR(IF(up_Bv!C27=0,".",((s_Ir*s_F*up_Bv!C27*(1-EXP(-up_RadSpec!$AZ27*s_t_b)))/(s_P*up_RadSpec!$AZ27))),".")</f>
        <v>993.50362303732038</v>
      </c>
      <c r="D27" s="108">
        <f>IFERROR(IF(up_Bv!D27=0,".",((s_Ir*s_F*up_Bv!D27*(1-EXP(-up_RadSpec!AZ27*s_t_b)))/(s_P*up_RadSpec!AZ27))),".")</f>
        <v>993.50362303732038</v>
      </c>
      <c r="E27" s="108">
        <f>IFERROR(IF(up_Bv!E27=0,".",((s_Ir*s_F*up_Bv!E27*(1-EXP(-up_RadSpec!AZ27*s_t_b)))/(s_P*up_RadSpec!AZ27))),".")</f>
        <v>993.50362303732038</v>
      </c>
      <c r="F27" s="108">
        <f>IFERROR(IF(up_Bv!F27=0,".",((s_Ir*s_F*up_Bv!F27*(1-EXP(-up_RadSpec!AZ27*s_t_b)))/(s_P*up_RadSpec!AZ27))),".")</f>
        <v>993.50362303732038</v>
      </c>
      <c r="G27" s="108">
        <f>IFERROR(IF(up_Bv!G27=0,".",((s_Ir*s_F*up_Bv!G27*(1-EXP(-up_RadSpec!AZ27*s_t_b)))/(s_P*up_RadSpec!AZ27))),".")</f>
        <v>993.50362303732038</v>
      </c>
      <c r="H27" s="108">
        <f>IFERROR(IF(up_Bv!H27=0,".",((s_Ir*s_F*up_Bv!H27*(1-EXP(-up_RadSpec!AZ27*s_t_b)))/(s_P*up_RadSpec!AZ27))),".")</f>
        <v>993.50362303732038</v>
      </c>
      <c r="I27" s="108">
        <f>IFERROR(IF(up_Bv!I27=0,".",((s_Ir*s_F*up_Bv!I27*(1-EXP(-up_RadSpec!AZ27*s_t_b)))/(s_P*up_RadSpec!AZ27))),".")</f>
        <v>993.50362303732038</v>
      </c>
      <c r="J27" s="108">
        <f>IFERROR(IF(up_Bv!J27=0,".",((s_Ir*s_F*up_Bv!J27*(1-EXP(-up_RadSpec!AZ27*s_t_b)))/(s_P*up_RadSpec!AZ27))),".")</f>
        <v>993.50362303732038</v>
      </c>
      <c r="K27" s="108">
        <f>IFERROR(IF(up_Bv!K27=0,".",((s_Ir*s_F*up_Bv!K27*(1-EXP(-up_RadSpec!AZ27*s_t_b)))/(s_P*up_RadSpec!AZ27))),".")</f>
        <v>993.50362303732038</v>
      </c>
      <c r="L27" s="108">
        <f>IFERROR(IF(up_Bv!L27=0,".",((s_Ir*s_F*up_Bv!L27*(1-EXP(-up_RadSpec!AZ27*s_t_b)))/(s_P*up_RadSpec!AZ27))),".")</f>
        <v>993.50362303732038</v>
      </c>
      <c r="M27" s="108">
        <f>IFERROR(IF(up_Bv!M27=0,".",((s_Ir*s_F*up_Bv!M27*(1-EXP(-up_RadSpec!AZ27*s_t_b)))/(s_P*up_RadSpec!AZ27))),".")</f>
        <v>993.50362303732038</v>
      </c>
      <c r="N27" s="108">
        <f>IFERROR(IF(up_Bv!N27=0,".",((s_Ir*s_F*up_Bv!N27*(1-EXP(-up_RadSpec!AZ27*s_t_b)))/(s_P*up_RadSpec!AZ27))),".")</f>
        <v>993.50362303732038</v>
      </c>
      <c r="O27" s="108">
        <f>IFERROR(IF(up_Bv!O27=0,".",((s_Ir*s_F*up_Bv!O27*(1-EXP(-up_RadSpec!AZ27*s_t_b)))/(s_P*up_RadSpec!AZ27))),".")</f>
        <v>993.50362303732038</v>
      </c>
      <c r="P27" s="108">
        <f>IFERROR(IF(up_Bv!P27=0,".",((s_Ir*s_F*up_Bv!P27*(1-EXP(-up_RadSpec!AZ27*s_t_b)))/(s_P*up_RadSpec!AZ27))),".")</f>
        <v>993.50362303732038</v>
      </c>
      <c r="Q27" s="108">
        <f>IFERROR(IF(up_Bv!Q27=0,".",((s_Ir*s_F*up_Bv!Q27*(1-EXP(-up_RadSpec!AZ27*s_t_b)))/(s_P*up_RadSpec!AZ27))),".")</f>
        <v>993.50362303732038</v>
      </c>
      <c r="R27" s="108">
        <f>IFERROR(IF(up_Bv!R27=0,".",((s_Ir*s_F*up_Bv!R27*(1-EXP(-up_RadSpec!AZ27*s_t_b)))/(s_P*up_RadSpec!AZ27))),".")</f>
        <v>993.50362303732038</v>
      </c>
      <c r="S27" s="108">
        <f>IFERROR(IF(up_Bv!S27=0,".",((s_Ir*s_F*up_Bv!S27*(1-EXP(-up_RadSpec!AZ27*s_t_b)))/(s_P*up_RadSpec!AZ27))),".")</f>
        <v>993.50362303732038</v>
      </c>
      <c r="T27" s="108">
        <f>IFERROR(IF(up_Bv!T27=0,".",((s_Ir*s_F*up_Bv!T27*(1-EXP(-up_RadSpec!AZ27*s_t_b)))/(s_P*up_RadSpec!AZ27))),".")</f>
        <v>993.50362303732038</v>
      </c>
      <c r="U27" s="108">
        <f>IFERROR(IF(up_Bv!U27=0,".",((s_Ir*s_F*up_Bv!U27*(1-EXP(-up_RadSpec!AZ27*s_t_b)))/(s_P*up_RadSpec!AZ27))),".")</f>
        <v>993.50362303732038</v>
      </c>
      <c r="V27" s="108">
        <f>IFERROR(IF(up_Bv!V27=0,".",((s_Ir*s_F*up_Bv!V27*(1-EXP(-up_RadSpec!AZ27*s_t_b)))/(s_P*up_RadSpec!AZ27))),".")</f>
        <v>993.50362303732038</v>
      </c>
      <c r="W27" s="108">
        <f>IFERROR(IF(up_Bv!W27=0,".",((s_Ir*s_F*up_Bv!W27*(1-EXP(-up_RadSpec!AZ27*s_t_b)))/(s_P*up_RadSpec!AZ27))),".")</f>
        <v>993.50362303732038</v>
      </c>
      <c r="X27" s="108">
        <f>IFERROR(IF(up_Bv!X27=0,".",((s_Ir*s_F*up_Bv!X27*(1-EXP(-up_RadSpec!AZ27*s_t_b)))/(s_P*up_RadSpec!AZ27))),".")</f>
        <v>993.50362303732038</v>
      </c>
      <c r="Y27" s="108">
        <f>IFERROR(IF(up_Bv!Y27=0,".",((s_Ir*s_F*up_Bv!Y27*(1-EXP(-up_RadSpec!AZ27*s_t_b)))/(s_P*up_RadSpec!AZ27))),".")</f>
        <v>993.50362303732038</v>
      </c>
      <c r="Z27" s="108">
        <f>IFERROR(IF(up_Bv!Z27=0,".",((s_Ir*s_F*up_Bv!Z27*(1-EXP(-up_RadSpec!AZ27*s_t_b)))/(s_P*up_RadSpec!AZ27))),".")</f>
        <v>993.50362303732038</v>
      </c>
      <c r="AA27" s="108">
        <f>IFERROR(IF(up_Bv!AA27=0,".",((s_Ir*s_F*up_Bv!AA27*(1-EXP(-up_RadSpec!AZ27*s_t_b)))/(s_P*up_RadSpec!AZ27))),".")</f>
        <v>993.50362303732038</v>
      </c>
      <c r="AB27" s="108">
        <f>IFERROR(IF(up_Bv!C27=0,".",((s_Ir*s_F*s_MLF_apple*(1-EXP(-up_RadSpec!AZ27*s_t_b)))/(s_P*up_RadSpec!AZ27))),".")</f>
        <v>2.6824597822007652</v>
      </c>
      <c r="AC27" s="108">
        <f>IFERROR(IF(up_Bv!D27=0,".",((s_Ir*s_F*s_MLF_asparagus*(1-EXP(-up_RadSpec!AZ27*s_t_b)))/(s_P*up_RadSpec!AZ27))),".")</f>
        <v>2.6824597822007652</v>
      </c>
      <c r="AD27" s="108">
        <f>IFERROR(IF(up_Bv!E27=0,".",((s_Ir*s_F*s_MLF_beet*(1-EXP(-up_RadSpec!AZ27*s_t_b)))/(s_P*up_RadSpec!AZ27))),".")</f>
        <v>2.6824597822007652</v>
      </c>
      <c r="AE27" s="108">
        <f>IFERROR(IF(up_Bv!F27=0,".",((s_Ir*s_F*s_MLF_berries*(1-EXP(-up_RadSpec!AZ27*s_t_b)))/(s_P*up_RadSpec!AZ27))),".")</f>
        <v>2.6824597822007652</v>
      </c>
      <c r="AF27" s="108">
        <f>IFERROR(IF(up_Bv!G27=0,".",((s_Ir*s_F*s_MLF_broccoli*(1-EXP(-up_RadSpec!AZ27*s_t_b)))/(s_P*up_RadSpec!AZ27))),".")</f>
        <v>2.6824597822007652</v>
      </c>
      <c r="AG27" s="108">
        <f>IFERROR(IF(up_Bv!H27=0,".",((s_Ir*s_F*s_MLF_cabbage*(1-EXP(-up_RadSpec!AZ27*s_t_b)))/(s_P*up_RadSpec!AZ27))),".")</f>
        <v>2.6824597822007652</v>
      </c>
      <c r="AH27" s="108">
        <f>IFERROR(IF(up_Bv!I27=0,".",((s_Ir*s_F*s_MLF_carrot*(1-EXP(-up_RadSpec!AZ27*s_t_b)))/(s_P*up_RadSpec!AZ27))),".")</f>
        <v>2.6824597822007652</v>
      </c>
      <c r="AI27" s="108">
        <f>IFERROR(IF(up_Bv!J27=0,".",((s_Ir*s_F*s_MLF_citrus*(1-EXP(-up_RadSpec!AZ27*s_t_b)))/(s_P*up_RadSpec!AZ27))),".")</f>
        <v>2.6824597822007652</v>
      </c>
      <c r="AJ27" s="108">
        <f>IFERROR(IF(up_Bv!K27=0,".",((s_Ir*s_F*s_MLF_corn*(1-EXP(-up_RadSpec!AZ27*s_t_b)))/(s_P*up_RadSpec!AZ27))),".")</f>
        <v>2.6824597822007652</v>
      </c>
      <c r="AK27" s="108">
        <f>IFERROR(IF(up_Bv!L27=0,".",((s_Ir*s_F*s_MLF_cucumber*(1-EXP(-up_RadSpec!AZ27*s_t_b)))/(s_P*up_RadSpec!AZ27))),".")</f>
        <v>2.6824597822007652</v>
      </c>
      <c r="AL27" s="108">
        <f>IFERROR(IF(up_Bv!M27=0,".",((s_Ir*s_F*s_MLF_lettuce*(1-EXP(-up_RadSpec!AZ27*s_t_b)))/(s_P*up_RadSpec!AZ27))),".")</f>
        <v>2.6824597822007652</v>
      </c>
      <c r="AM27" s="108">
        <f>IFERROR(IF(up_Bv!N27=0,".",((s_Ir*s_F*s_MLF_lima_bean*(1-EXP(-up_RadSpec!AZ27*s_t_b)))/(s_P*up_RadSpec!AZ27))),".")</f>
        <v>2.6824597822007652</v>
      </c>
      <c r="AN27" s="108">
        <f>IFERROR(IF(up_Bv!O27=0,".",((s_Ir*s_F*s_MLF_okra*(1-EXP(-up_RadSpec!AZ27*s_t_b)))/(s_P*up_RadSpec!AZ27))),".")</f>
        <v>2.6824597822007652</v>
      </c>
      <c r="AO27" s="108">
        <f>IFERROR(IF(up_Bv!P27=0,".",((s_Ir*s_F*s_MLF_onion*(1-EXP(-up_RadSpec!AZ27*s_t_b)))/(s_P*up_RadSpec!AZ27))),".")</f>
        <v>2.6824597822007652</v>
      </c>
      <c r="AP27" s="108">
        <f>IFERROR(IF(up_Bv!Q27=0,".",((s_Ir*s_F*s_MLF_peach*(1-EXP(-up_RadSpec!AZ27*s_t_b)))/(s_P*up_RadSpec!AZ27))),".")</f>
        <v>2.6824597822007652</v>
      </c>
      <c r="AQ27" s="108">
        <f>IFERROR(IF(up_Bv!R27=0,".",((s_Ir*s_F*s_MLF_pear*(1-EXP(-up_RadSpec!AZ27*s_t_b)))/(s_P*up_RadSpec!AZ27))),".")</f>
        <v>2.6824597822007652</v>
      </c>
      <c r="AR27" s="108">
        <f>IFERROR(IF(up_Bv!S27=0,".",((s_Ir*s_F*s_MLF_peas*(1-EXP(-up_RadSpec!AZ27*s_t_b)))/(s_P*up_RadSpec!AZ27))),".")</f>
        <v>2.6824597822007652</v>
      </c>
      <c r="AS27" s="108">
        <f>IFERROR(IF(up_Bv!T27=0,".",((s_Ir*s_F*s_MLF_peppers*(1-EXP(-up_RadSpec!AZ27*s_t_b)))/(s_P*up_RadSpec!AZ27))),".")</f>
        <v>2.6824597822007652</v>
      </c>
      <c r="AT27" s="108">
        <f>IFERROR(IF(up_Bv!U27=0,".",((s_Ir*s_F*s_MLF_potato*(1-EXP(-up_RadSpec!AZ27*s_t_b)))/(s_P*up_RadSpec!AZ27))),".")</f>
        <v>2.6824597822007652</v>
      </c>
      <c r="AU27" s="108">
        <f>IFERROR(IF(up_Bv!V27=0,".",((s_Ir*s_F*s_MLF_pumpkin*(1-EXP(-up_RadSpec!AZ27*s_t_b)))/(s_P*up_RadSpec!AZ27))),".")</f>
        <v>2.6824597822007652</v>
      </c>
      <c r="AV27" s="108">
        <f>IFERROR(IF(up_Bv!W27=0,".",((s_Ir*s_F*s_MLF_snap_bean*(1-EXP(-up_RadSpec!AZ27*s_t_b)))/(s_P*up_RadSpec!AZ27))),".")</f>
        <v>2.6824597822007652</v>
      </c>
      <c r="AW27" s="108">
        <f>IFERROR(IF(up_Bv!X27=0,".",((s_Ir*s_F*s_MLF_strawberry*(1-EXP(-up_RadSpec!AZ27*s_t_b)))/(s_P*up_RadSpec!AZ27))),".")</f>
        <v>2.6824597822007652</v>
      </c>
      <c r="AX27" s="108">
        <f>IFERROR(IF(up_Bv!Y27=0,".",((s_Ir*s_F*s_MLF_tomato*(1-EXP(-up_RadSpec!AZ27*s_t_b)))/(s_P*up_RadSpec!AZ27))),".")</f>
        <v>2.6824597822007652</v>
      </c>
      <c r="AY27" s="108">
        <f>IFERROR(IF(up_Bv!Z27=0,".",((s_Ir*s_F*s_MLF_rice*(1-EXP(-up_RadSpec!AZ27*s_t_b)))/(s_P*up_RadSpec!AZ27))),".")</f>
        <v>2.6824597822007652</v>
      </c>
      <c r="AZ27" s="108">
        <f>IFERROR(IF(up_Bv!AA27=0,".",((s_Ir*s_F*s_MLF_cereal*(1-EXP(-up_RadSpec!AZ27*s_t_b)))/(s_P*up_RadSpec!AZ27))),".")</f>
        <v>2.6824597822007652</v>
      </c>
      <c r="BA27" s="108">
        <f>IFERROR(IF(up_Bv!C27=0,".",((s_Ir*s_F*s_I_f*s_T*(1-EXP(-up_RadSpec!BA27*s_t_v)))/(s_Y_v*up_RadSpec!BA27))),".")</f>
        <v>9.0143481925428208</v>
      </c>
      <c r="BB27" s="108">
        <f>IFERROR(IF(up_Bv!D27=0,".",((s_Ir*s_F*s_I_f*s_T*(1-EXP(-up_RadSpec!BA27*s_t_v)))/(s_Y_v*up_RadSpec!BA27))),".")</f>
        <v>9.0143481925428208</v>
      </c>
      <c r="BC27" s="108">
        <f>IFERROR(IF(up_Bv!E27=0,".",((s_Ir*s_F*s_I_f*s_T*(1-EXP(-up_RadSpec!BA27*s_t_v)))/(s_Y_v*up_RadSpec!BA27))),".")</f>
        <v>9.0143481925428208</v>
      </c>
      <c r="BD27" s="108">
        <f>IFERROR(IF(up_Bv!F27=0,".",((s_Ir*s_F*s_I_f*s_T*(1-EXP(-up_RadSpec!BA27*s_t_v)))/(s_Y_v*up_RadSpec!BA27))),".")</f>
        <v>9.0143481925428208</v>
      </c>
      <c r="BE27" s="108">
        <f>IFERROR(IF(up_Bv!G27=0,".",((s_Ir*s_F*s_I_f*s_T*(1-EXP(-up_RadSpec!BA27*s_t_v)))/(s_Y_v*up_RadSpec!BA27))),".")</f>
        <v>9.0143481925428208</v>
      </c>
      <c r="BF27" s="108">
        <f>IFERROR(IF(up_Bv!H27=0,".",((s_Ir*s_F*s_I_f*s_T*(1-EXP(-up_RadSpec!BA27*s_t_v)))/(s_Y_v*up_RadSpec!BA27))),".")</f>
        <v>9.0143481925428208</v>
      </c>
      <c r="BG27" s="108">
        <f>IFERROR(IF(up_Bv!I27=0,".",((s_Ir*s_F*s_I_f*s_T*(1-EXP(-up_RadSpec!BA27*s_t_v)))/(s_Y_v*up_RadSpec!BA27))),".")</f>
        <v>9.0143481925428208</v>
      </c>
      <c r="BH27" s="108">
        <f>IFERROR(IF(up_Bv!J27=0,".",((s_Ir*s_F*s_I_f*s_T*(1-EXP(-up_RadSpec!BA27*s_t_v)))/(s_Y_v*up_RadSpec!BA27))),".")</f>
        <v>9.0143481925428208</v>
      </c>
      <c r="BI27" s="108">
        <f>IFERROR(IF(up_Bv!K27=0,".",((s_Ir*s_F*s_I_f*s_T*(1-EXP(-up_RadSpec!BA27*s_t_v)))/(s_Y_v*up_RadSpec!BA27))),".")</f>
        <v>9.0143481925428208</v>
      </c>
      <c r="BJ27" s="108">
        <f>IFERROR(IF(up_Bv!L27=0,".",((s_Ir*s_F*s_I_f*s_T*(1-EXP(-up_RadSpec!BA27*s_t_v)))/(s_Y_v*up_RadSpec!BA27))),".")</f>
        <v>9.0143481925428208</v>
      </c>
      <c r="BK27" s="108">
        <f>IFERROR(IF(up_Bv!M27=0,".",((s_Ir*s_F*s_I_f*s_T*(1-EXP(-up_RadSpec!BA27*s_t_v)))/(s_Y_v*up_RadSpec!BA27))),".")</f>
        <v>9.0143481925428208</v>
      </c>
      <c r="BL27" s="108">
        <f>IFERROR(IF(up_Bv!N27=0,".",((s_Ir*s_F*s_I_f*s_T*(1-EXP(-up_RadSpec!BA27*s_t_v)))/(s_Y_v*up_RadSpec!BA27))),".")</f>
        <v>9.0143481925428208</v>
      </c>
      <c r="BM27" s="108">
        <f>IFERROR(IF(up_Bv!O27=0,".",((s_Ir*s_F*s_I_f*s_T*(1-EXP(-up_RadSpec!BA27*s_t_v)))/(s_Y_v*up_RadSpec!BA27))),".")</f>
        <v>9.0143481925428208</v>
      </c>
      <c r="BN27" s="108">
        <f>IFERROR(IF(up_Bv!P27=0,".",((s_Ir*s_F*s_I_f*s_T*(1-EXP(-up_RadSpec!BA27*s_t_v)))/(s_Y_v*up_RadSpec!BA27))),".")</f>
        <v>9.0143481925428208</v>
      </c>
      <c r="BO27" s="108">
        <f>IFERROR(IF(up_Bv!Q27=0,".",((s_Ir*s_F*s_I_f*s_T*(1-EXP(-up_RadSpec!BA27*s_t_v)))/(s_Y_v*up_RadSpec!BA27))),".")</f>
        <v>9.0143481925428208</v>
      </c>
      <c r="BP27" s="108">
        <f>IFERROR(IF(up_Bv!R27=0,".",((s_Ir*s_F*s_I_f*s_T*(1-EXP(-up_RadSpec!BA27*s_t_v)))/(s_Y_v*up_RadSpec!BA27))),".")</f>
        <v>9.0143481925428208</v>
      </c>
      <c r="BQ27" s="108">
        <f>IFERROR(IF(up_Bv!S27=0,".",((s_Ir*s_F*s_I_f*s_T*(1-EXP(-up_RadSpec!BA27*s_t_v)))/(s_Y_v*up_RadSpec!BA27))),".")</f>
        <v>9.0143481925428208</v>
      </c>
      <c r="BR27" s="108">
        <f>IFERROR(IF(up_Bv!T27=0,".",((s_Ir*s_F*s_I_f*s_T*(1-EXP(-up_RadSpec!BA27*s_t_v)))/(s_Y_v*up_RadSpec!BA27))),".")</f>
        <v>9.0143481925428208</v>
      </c>
      <c r="BS27" s="108">
        <f>IFERROR(IF(up_Bv!U27=0,".",((s_Ir*s_F*s_I_f*s_T*(1-EXP(-up_RadSpec!BA27*s_t_v)))/(s_Y_v*up_RadSpec!BA27))),".")</f>
        <v>9.0143481925428208</v>
      </c>
      <c r="BT27" s="108">
        <f>IFERROR(IF(up_Bv!V27=0,".",((s_Ir*s_F*s_I_f*s_T*(1-EXP(-up_RadSpec!BA27*s_t_v)))/(s_Y_v*up_RadSpec!BA27))),".")</f>
        <v>9.0143481925428208</v>
      </c>
      <c r="BU27" s="108">
        <f>IFERROR(IF(up_Bv!W27=0,".",((s_Ir*s_F*s_I_f*s_T*(1-EXP(-up_RadSpec!BA27*s_t_v)))/(s_Y_v*up_RadSpec!BA27))),".")</f>
        <v>9.0143481925428208</v>
      </c>
      <c r="BV27" s="108">
        <f>IFERROR(IF(up_Bv!X27=0,".",((s_Ir*s_F*s_I_f*s_T*(1-EXP(-up_RadSpec!BA27*s_t_v)))/(s_Y_v*up_RadSpec!BA27))),".")</f>
        <v>9.0143481925428208</v>
      </c>
      <c r="BW27" s="108">
        <f>IFERROR(IF(up_Bv!Y27=0,".",((s_Ir*s_F*s_I_f*s_T*(1-EXP(-up_RadSpec!BA27*s_t_v)))/(s_Y_v*up_RadSpec!BA27))),".")</f>
        <v>9.0143481925428208</v>
      </c>
      <c r="BX27" s="108">
        <f>IFERROR(IF(up_Bv!Z27=0,".",((s_Ir*s_F*s_I_f*s_T*(1-EXP(-up_RadSpec!BA27*s_t_v)))/(s_Y_v*up_RadSpec!BA27))),".")</f>
        <v>9.0143481925428208</v>
      </c>
      <c r="BY27" s="108">
        <f>IFERROR(IF(up_Bv!AA27=0,".",((s_Ir*s_F*s_I_f*s_T*(1-EXP(-up_RadSpec!BA27*s_t_v)))/(s_Y_v*up_RadSpec!BA27))),".")</f>
        <v>9.0143481925428208</v>
      </c>
    </row>
    <row r="28" spans="1:77" x14ac:dyDescent="0.25">
      <c r="A28" s="44" t="s">
        <v>26</v>
      </c>
      <c r="B28" s="42" t="s">
        <v>1057</v>
      </c>
      <c r="C28" s="108">
        <f>IFERROR(IF(up_Bv!C28=0,".",((s_Ir*s_F*up_Bv!C28*(1-EXP(-up_RadSpec!$AZ28*s_t_b)))/(s_P*up_RadSpec!$AZ28))),".")</f>
        <v>993.50362303732038</v>
      </c>
      <c r="D28" s="108">
        <f>IFERROR(IF(up_Bv!D28=0,".",((s_Ir*s_F*up_Bv!D28*(1-EXP(-up_RadSpec!AZ28*s_t_b)))/(s_P*up_RadSpec!AZ28))),".")</f>
        <v>993.50362303732038</v>
      </c>
      <c r="E28" s="108">
        <f>IFERROR(IF(up_Bv!E28=0,".",((s_Ir*s_F*up_Bv!E28*(1-EXP(-up_RadSpec!AZ28*s_t_b)))/(s_P*up_RadSpec!AZ28))),".")</f>
        <v>993.50362303732038</v>
      </c>
      <c r="F28" s="108">
        <f>IFERROR(IF(up_Bv!F28=0,".",((s_Ir*s_F*up_Bv!F28*(1-EXP(-up_RadSpec!AZ28*s_t_b)))/(s_P*up_RadSpec!AZ28))),".")</f>
        <v>993.50362303732038</v>
      </c>
      <c r="G28" s="108">
        <f>IFERROR(IF(up_Bv!G28=0,".",((s_Ir*s_F*up_Bv!G28*(1-EXP(-up_RadSpec!AZ28*s_t_b)))/(s_P*up_RadSpec!AZ28))),".")</f>
        <v>993.50362303732038</v>
      </c>
      <c r="H28" s="108">
        <f>IFERROR(IF(up_Bv!H28=0,".",((s_Ir*s_F*up_Bv!H28*(1-EXP(-up_RadSpec!AZ28*s_t_b)))/(s_P*up_RadSpec!AZ28))),".")</f>
        <v>993.50362303732038</v>
      </c>
      <c r="I28" s="108">
        <f>IFERROR(IF(up_Bv!I28=0,".",((s_Ir*s_F*up_Bv!I28*(1-EXP(-up_RadSpec!AZ28*s_t_b)))/(s_P*up_RadSpec!AZ28))),".")</f>
        <v>993.50362303732038</v>
      </c>
      <c r="J28" s="108">
        <f>IFERROR(IF(up_Bv!J28=0,".",((s_Ir*s_F*up_Bv!J28*(1-EXP(-up_RadSpec!AZ28*s_t_b)))/(s_P*up_RadSpec!AZ28))),".")</f>
        <v>993.50362303732038</v>
      </c>
      <c r="K28" s="108">
        <f>IFERROR(IF(up_Bv!K28=0,".",((s_Ir*s_F*up_Bv!K28*(1-EXP(-up_RadSpec!AZ28*s_t_b)))/(s_P*up_RadSpec!AZ28))),".")</f>
        <v>993.50362303732038</v>
      </c>
      <c r="L28" s="108">
        <f>IFERROR(IF(up_Bv!L28=0,".",((s_Ir*s_F*up_Bv!L28*(1-EXP(-up_RadSpec!AZ28*s_t_b)))/(s_P*up_RadSpec!AZ28))),".")</f>
        <v>993.50362303732038</v>
      </c>
      <c r="M28" s="108">
        <f>IFERROR(IF(up_Bv!M28=0,".",((s_Ir*s_F*up_Bv!M28*(1-EXP(-up_RadSpec!AZ28*s_t_b)))/(s_P*up_RadSpec!AZ28))),".")</f>
        <v>993.50362303732038</v>
      </c>
      <c r="N28" s="108">
        <f>IFERROR(IF(up_Bv!N28=0,".",((s_Ir*s_F*up_Bv!N28*(1-EXP(-up_RadSpec!AZ28*s_t_b)))/(s_P*up_RadSpec!AZ28))),".")</f>
        <v>993.50362303732038</v>
      </c>
      <c r="O28" s="108">
        <f>IFERROR(IF(up_Bv!O28=0,".",((s_Ir*s_F*up_Bv!O28*(1-EXP(-up_RadSpec!AZ28*s_t_b)))/(s_P*up_RadSpec!AZ28))),".")</f>
        <v>993.50362303732038</v>
      </c>
      <c r="P28" s="108">
        <f>IFERROR(IF(up_Bv!P28=0,".",((s_Ir*s_F*up_Bv!P28*(1-EXP(-up_RadSpec!AZ28*s_t_b)))/(s_P*up_RadSpec!AZ28))),".")</f>
        <v>993.50362303732038</v>
      </c>
      <c r="Q28" s="108">
        <f>IFERROR(IF(up_Bv!Q28=0,".",((s_Ir*s_F*up_Bv!Q28*(1-EXP(-up_RadSpec!AZ28*s_t_b)))/(s_P*up_RadSpec!AZ28))),".")</f>
        <v>993.50362303732038</v>
      </c>
      <c r="R28" s="108">
        <f>IFERROR(IF(up_Bv!R28=0,".",((s_Ir*s_F*up_Bv!R28*(1-EXP(-up_RadSpec!AZ28*s_t_b)))/(s_P*up_RadSpec!AZ28))),".")</f>
        <v>993.50362303732038</v>
      </c>
      <c r="S28" s="108">
        <f>IFERROR(IF(up_Bv!S28=0,".",((s_Ir*s_F*up_Bv!S28*(1-EXP(-up_RadSpec!AZ28*s_t_b)))/(s_P*up_RadSpec!AZ28))),".")</f>
        <v>993.50362303732038</v>
      </c>
      <c r="T28" s="108">
        <f>IFERROR(IF(up_Bv!T28=0,".",((s_Ir*s_F*up_Bv!T28*(1-EXP(-up_RadSpec!AZ28*s_t_b)))/(s_P*up_RadSpec!AZ28))),".")</f>
        <v>993.50362303732038</v>
      </c>
      <c r="U28" s="108">
        <f>IFERROR(IF(up_Bv!U28=0,".",((s_Ir*s_F*up_Bv!U28*(1-EXP(-up_RadSpec!AZ28*s_t_b)))/(s_P*up_RadSpec!AZ28))),".")</f>
        <v>993.50362303732038</v>
      </c>
      <c r="V28" s="108">
        <f>IFERROR(IF(up_Bv!V28=0,".",((s_Ir*s_F*up_Bv!V28*(1-EXP(-up_RadSpec!AZ28*s_t_b)))/(s_P*up_RadSpec!AZ28))),".")</f>
        <v>993.50362303732038</v>
      </c>
      <c r="W28" s="108">
        <f>IFERROR(IF(up_Bv!W28=0,".",((s_Ir*s_F*up_Bv!W28*(1-EXP(-up_RadSpec!AZ28*s_t_b)))/(s_P*up_RadSpec!AZ28))),".")</f>
        <v>993.50362303732038</v>
      </c>
      <c r="X28" s="108">
        <f>IFERROR(IF(up_Bv!X28=0,".",((s_Ir*s_F*up_Bv!X28*(1-EXP(-up_RadSpec!AZ28*s_t_b)))/(s_P*up_RadSpec!AZ28))),".")</f>
        <v>993.50362303732038</v>
      </c>
      <c r="Y28" s="108">
        <f>IFERROR(IF(up_Bv!Y28=0,".",((s_Ir*s_F*up_Bv!Y28*(1-EXP(-up_RadSpec!AZ28*s_t_b)))/(s_P*up_RadSpec!AZ28))),".")</f>
        <v>993.50362303732038</v>
      </c>
      <c r="Z28" s="108">
        <f>IFERROR(IF(up_Bv!Z28=0,".",((s_Ir*s_F*up_Bv!Z28*(1-EXP(-up_RadSpec!AZ28*s_t_b)))/(s_P*up_RadSpec!AZ28))),".")</f>
        <v>993.50362303732038</v>
      </c>
      <c r="AA28" s="108">
        <f>IFERROR(IF(up_Bv!AA28=0,".",((s_Ir*s_F*up_Bv!AA28*(1-EXP(-up_RadSpec!AZ28*s_t_b)))/(s_P*up_RadSpec!AZ28))),".")</f>
        <v>993.50362303732038</v>
      </c>
      <c r="AB28" s="108">
        <f>IFERROR(IF(up_Bv!C28=0,".",((s_Ir*s_F*s_MLF_apple*(1-EXP(-up_RadSpec!AZ28*s_t_b)))/(s_P*up_RadSpec!AZ28))),".")</f>
        <v>2.6824597822007652</v>
      </c>
      <c r="AC28" s="108">
        <f>IFERROR(IF(up_Bv!D28=0,".",((s_Ir*s_F*s_MLF_asparagus*(1-EXP(-up_RadSpec!AZ28*s_t_b)))/(s_P*up_RadSpec!AZ28))),".")</f>
        <v>2.6824597822007652</v>
      </c>
      <c r="AD28" s="108">
        <f>IFERROR(IF(up_Bv!E28=0,".",((s_Ir*s_F*s_MLF_beet*(1-EXP(-up_RadSpec!AZ28*s_t_b)))/(s_P*up_RadSpec!AZ28))),".")</f>
        <v>2.6824597822007652</v>
      </c>
      <c r="AE28" s="108">
        <f>IFERROR(IF(up_Bv!F28=0,".",((s_Ir*s_F*s_MLF_berries*(1-EXP(-up_RadSpec!AZ28*s_t_b)))/(s_P*up_RadSpec!AZ28))),".")</f>
        <v>2.6824597822007652</v>
      </c>
      <c r="AF28" s="108">
        <f>IFERROR(IF(up_Bv!G28=0,".",((s_Ir*s_F*s_MLF_broccoli*(1-EXP(-up_RadSpec!AZ28*s_t_b)))/(s_P*up_RadSpec!AZ28))),".")</f>
        <v>2.6824597822007652</v>
      </c>
      <c r="AG28" s="108">
        <f>IFERROR(IF(up_Bv!H28=0,".",((s_Ir*s_F*s_MLF_cabbage*(1-EXP(-up_RadSpec!AZ28*s_t_b)))/(s_P*up_RadSpec!AZ28))),".")</f>
        <v>2.6824597822007652</v>
      </c>
      <c r="AH28" s="108">
        <f>IFERROR(IF(up_Bv!I28=0,".",((s_Ir*s_F*s_MLF_carrot*(1-EXP(-up_RadSpec!AZ28*s_t_b)))/(s_P*up_RadSpec!AZ28))),".")</f>
        <v>2.6824597822007652</v>
      </c>
      <c r="AI28" s="108">
        <f>IFERROR(IF(up_Bv!J28=0,".",((s_Ir*s_F*s_MLF_citrus*(1-EXP(-up_RadSpec!AZ28*s_t_b)))/(s_P*up_RadSpec!AZ28))),".")</f>
        <v>2.6824597822007652</v>
      </c>
      <c r="AJ28" s="108">
        <f>IFERROR(IF(up_Bv!K28=0,".",((s_Ir*s_F*s_MLF_corn*(1-EXP(-up_RadSpec!AZ28*s_t_b)))/(s_P*up_RadSpec!AZ28))),".")</f>
        <v>2.6824597822007652</v>
      </c>
      <c r="AK28" s="108">
        <f>IFERROR(IF(up_Bv!L28=0,".",((s_Ir*s_F*s_MLF_cucumber*(1-EXP(-up_RadSpec!AZ28*s_t_b)))/(s_P*up_RadSpec!AZ28))),".")</f>
        <v>2.6824597822007652</v>
      </c>
      <c r="AL28" s="108">
        <f>IFERROR(IF(up_Bv!M28=0,".",((s_Ir*s_F*s_MLF_lettuce*(1-EXP(-up_RadSpec!AZ28*s_t_b)))/(s_P*up_RadSpec!AZ28))),".")</f>
        <v>2.6824597822007652</v>
      </c>
      <c r="AM28" s="108">
        <f>IFERROR(IF(up_Bv!N28=0,".",((s_Ir*s_F*s_MLF_lima_bean*(1-EXP(-up_RadSpec!AZ28*s_t_b)))/(s_P*up_RadSpec!AZ28))),".")</f>
        <v>2.6824597822007652</v>
      </c>
      <c r="AN28" s="108">
        <f>IFERROR(IF(up_Bv!O28=0,".",((s_Ir*s_F*s_MLF_okra*(1-EXP(-up_RadSpec!AZ28*s_t_b)))/(s_P*up_RadSpec!AZ28))),".")</f>
        <v>2.6824597822007652</v>
      </c>
      <c r="AO28" s="108">
        <f>IFERROR(IF(up_Bv!P28=0,".",((s_Ir*s_F*s_MLF_onion*(1-EXP(-up_RadSpec!AZ28*s_t_b)))/(s_P*up_RadSpec!AZ28))),".")</f>
        <v>2.6824597822007652</v>
      </c>
      <c r="AP28" s="108">
        <f>IFERROR(IF(up_Bv!Q28=0,".",((s_Ir*s_F*s_MLF_peach*(1-EXP(-up_RadSpec!AZ28*s_t_b)))/(s_P*up_RadSpec!AZ28))),".")</f>
        <v>2.6824597822007652</v>
      </c>
      <c r="AQ28" s="108">
        <f>IFERROR(IF(up_Bv!R28=0,".",((s_Ir*s_F*s_MLF_pear*(1-EXP(-up_RadSpec!AZ28*s_t_b)))/(s_P*up_RadSpec!AZ28))),".")</f>
        <v>2.6824597822007652</v>
      </c>
      <c r="AR28" s="108">
        <f>IFERROR(IF(up_Bv!S28=0,".",((s_Ir*s_F*s_MLF_peas*(1-EXP(-up_RadSpec!AZ28*s_t_b)))/(s_P*up_RadSpec!AZ28))),".")</f>
        <v>2.6824597822007652</v>
      </c>
      <c r="AS28" s="108">
        <f>IFERROR(IF(up_Bv!T28=0,".",((s_Ir*s_F*s_MLF_peppers*(1-EXP(-up_RadSpec!AZ28*s_t_b)))/(s_P*up_RadSpec!AZ28))),".")</f>
        <v>2.6824597822007652</v>
      </c>
      <c r="AT28" s="108">
        <f>IFERROR(IF(up_Bv!U28=0,".",((s_Ir*s_F*s_MLF_potato*(1-EXP(-up_RadSpec!AZ28*s_t_b)))/(s_P*up_RadSpec!AZ28))),".")</f>
        <v>2.6824597822007652</v>
      </c>
      <c r="AU28" s="108">
        <f>IFERROR(IF(up_Bv!V28=0,".",((s_Ir*s_F*s_MLF_pumpkin*(1-EXP(-up_RadSpec!AZ28*s_t_b)))/(s_P*up_RadSpec!AZ28))),".")</f>
        <v>2.6824597822007652</v>
      </c>
      <c r="AV28" s="108">
        <f>IFERROR(IF(up_Bv!W28=0,".",((s_Ir*s_F*s_MLF_snap_bean*(1-EXP(-up_RadSpec!AZ28*s_t_b)))/(s_P*up_RadSpec!AZ28))),".")</f>
        <v>2.6824597822007652</v>
      </c>
      <c r="AW28" s="108">
        <f>IFERROR(IF(up_Bv!X28=0,".",((s_Ir*s_F*s_MLF_strawberry*(1-EXP(-up_RadSpec!AZ28*s_t_b)))/(s_P*up_RadSpec!AZ28))),".")</f>
        <v>2.6824597822007652</v>
      </c>
      <c r="AX28" s="108">
        <f>IFERROR(IF(up_Bv!Y28=0,".",((s_Ir*s_F*s_MLF_tomato*(1-EXP(-up_RadSpec!AZ28*s_t_b)))/(s_P*up_RadSpec!AZ28))),".")</f>
        <v>2.6824597822007652</v>
      </c>
      <c r="AY28" s="108">
        <f>IFERROR(IF(up_Bv!Z28=0,".",((s_Ir*s_F*s_MLF_rice*(1-EXP(-up_RadSpec!AZ28*s_t_b)))/(s_P*up_RadSpec!AZ28))),".")</f>
        <v>2.6824597822007652</v>
      </c>
      <c r="AZ28" s="108">
        <f>IFERROR(IF(up_Bv!AA28=0,".",((s_Ir*s_F*s_MLF_cereal*(1-EXP(-up_RadSpec!AZ28*s_t_b)))/(s_P*up_RadSpec!AZ28))),".")</f>
        <v>2.6824597822007652</v>
      </c>
      <c r="BA28" s="108">
        <f>IFERROR(IF(up_Bv!C28=0,".",((s_Ir*s_F*s_I_f*s_T*(1-EXP(-up_RadSpec!BA28*s_t_v)))/(s_Y_v*up_RadSpec!BA28))),".")</f>
        <v>9.0143481925428208</v>
      </c>
      <c r="BB28" s="108">
        <f>IFERROR(IF(up_Bv!D28=0,".",((s_Ir*s_F*s_I_f*s_T*(1-EXP(-up_RadSpec!BA28*s_t_v)))/(s_Y_v*up_RadSpec!BA28))),".")</f>
        <v>9.0143481925428208</v>
      </c>
      <c r="BC28" s="108">
        <f>IFERROR(IF(up_Bv!E28=0,".",((s_Ir*s_F*s_I_f*s_T*(1-EXP(-up_RadSpec!BA28*s_t_v)))/(s_Y_v*up_RadSpec!BA28))),".")</f>
        <v>9.0143481925428208</v>
      </c>
      <c r="BD28" s="108">
        <f>IFERROR(IF(up_Bv!F28=0,".",((s_Ir*s_F*s_I_f*s_T*(1-EXP(-up_RadSpec!BA28*s_t_v)))/(s_Y_v*up_RadSpec!BA28))),".")</f>
        <v>9.0143481925428208</v>
      </c>
      <c r="BE28" s="108">
        <f>IFERROR(IF(up_Bv!G28=0,".",((s_Ir*s_F*s_I_f*s_T*(1-EXP(-up_RadSpec!BA28*s_t_v)))/(s_Y_v*up_RadSpec!BA28))),".")</f>
        <v>9.0143481925428208</v>
      </c>
      <c r="BF28" s="108">
        <f>IFERROR(IF(up_Bv!H28=0,".",((s_Ir*s_F*s_I_f*s_T*(1-EXP(-up_RadSpec!BA28*s_t_v)))/(s_Y_v*up_RadSpec!BA28))),".")</f>
        <v>9.0143481925428208</v>
      </c>
      <c r="BG28" s="108">
        <f>IFERROR(IF(up_Bv!I28=0,".",((s_Ir*s_F*s_I_f*s_T*(1-EXP(-up_RadSpec!BA28*s_t_v)))/(s_Y_v*up_RadSpec!BA28))),".")</f>
        <v>9.0143481925428208</v>
      </c>
      <c r="BH28" s="108">
        <f>IFERROR(IF(up_Bv!J28=0,".",((s_Ir*s_F*s_I_f*s_T*(1-EXP(-up_RadSpec!BA28*s_t_v)))/(s_Y_v*up_RadSpec!BA28))),".")</f>
        <v>9.0143481925428208</v>
      </c>
      <c r="BI28" s="108">
        <f>IFERROR(IF(up_Bv!K28=0,".",((s_Ir*s_F*s_I_f*s_T*(1-EXP(-up_RadSpec!BA28*s_t_v)))/(s_Y_v*up_RadSpec!BA28))),".")</f>
        <v>9.0143481925428208</v>
      </c>
      <c r="BJ28" s="108">
        <f>IFERROR(IF(up_Bv!L28=0,".",((s_Ir*s_F*s_I_f*s_T*(1-EXP(-up_RadSpec!BA28*s_t_v)))/(s_Y_v*up_RadSpec!BA28))),".")</f>
        <v>9.0143481925428208</v>
      </c>
      <c r="BK28" s="108">
        <f>IFERROR(IF(up_Bv!M28=0,".",((s_Ir*s_F*s_I_f*s_T*(1-EXP(-up_RadSpec!BA28*s_t_v)))/(s_Y_v*up_RadSpec!BA28))),".")</f>
        <v>9.0143481925428208</v>
      </c>
      <c r="BL28" s="108">
        <f>IFERROR(IF(up_Bv!N28=0,".",((s_Ir*s_F*s_I_f*s_T*(1-EXP(-up_RadSpec!BA28*s_t_v)))/(s_Y_v*up_RadSpec!BA28))),".")</f>
        <v>9.0143481925428208</v>
      </c>
      <c r="BM28" s="108">
        <f>IFERROR(IF(up_Bv!O28=0,".",((s_Ir*s_F*s_I_f*s_T*(1-EXP(-up_RadSpec!BA28*s_t_v)))/(s_Y_v*up_RadSpec!BA28))),".")</f>
        <v>9.0143481925428208</v>
      </c>
      <c r="BN28" s="108">
        <f>IFERROR(IF(up_Bv!P28=0,".",((s_Ir*s_F*s_I_f*s_T*(1-EXP(-up_RadSpec!BA28*s_t_v)))/(s_Y_v*up_RadSpec!BA28))),".")</f>
        <v>9.0143481925428208</v>
      </c>
      <c r="BO28" s="108">
        <f>IFERROR(IF(up_Bv!Q28=0,".",((s_Ir*s_F*s_I_f*s_T*(1-EXP(-up_RadSpec!BA28*s_t_v)))/(s_Y_v*up_RadSpec!BA28))),".")</f>
        <v>9.0143481925428208</v>
      </c>
      <c r="BP28" s="108">
        <f>IFERROR(IF(up_Bv!R28=0,".",((s_Ir*s_F*s_I_f*s_T*(1-EXP(-up_RadSpec!BA28*s_t_v)))/(s_Y_v*up_RadSpec!BA28))),".")</f>
        <v>9.0143481925428208</v>
      </c>
      <c r="BQ28" s="108">
        <f>IFERROR(IF(up_Bv!S28=0,".",((s_Ir*s_F*s_I_f*s_T*(1-EXP(-up_RadSpec!BA28*s_t_v)))/(s_Y_v*up_RadSpec!BA28))),".")</f>
        <v>9.0143481925428208</v>
      </c>
      <c r="BR28" s="108">
        <f>IFERROR(IF(up_Bv!T28=0,".",((s_Ir*s_F*s_I_f*s_T*(1-EXP(-up_RadSpec!BA28*s_t_v)))/(s_Y_v*up_RadSpec!BA28))),".")</f>
        <v>9.0143481925428208</v>
      </c>
      <c r="BS28" s="108">
        <f>IFERROR(IF(up_Bv!U28=0,".",((s_Ir*s_F*s_I_f*s_T*(1-EXP(-up_RadSpec!BA28*s_t_v)))/(s_Y_v*up_RadSpec!BA28))),".")</f>
        <v>9.0143481925428208</v>
      </c>
      <c r="BT28" s="108">
        <f>IFERROR(IF(up_Bv!V28=0,".",((s_Ir*s_F*s_I_f*s_T*(1-EXP(-up_RadSpec!BA28*s_t_v)))/(s_Y_v*up_RadSpec!BA28))),".")</f>
        <v>9.0143481925428208</v>
      </c>
      <c r="BU28" s="108">
        <f>IFERROR(IF(up_Bv!W28=0,".",((s_Ir*s_F*s_I_f*s_T*(1-EXP(-up_RadSpec!BA28*s_t_v)))/(s_Y_v*up_RadSpec!BA28))),".")</f>
        <v>9.0143481925428208</v>
      </c>
      <c r="BV28" s="108">
        <f>IFERROR(IF(up_Bv!X28=0,".",((s_Ir*s_F*s_I_f*s_T*(1-EXP(-up_RadSpec!BA28*s_t_v)))/(s_Y_v*up_RadSpec!BA28))),".")</f>
        <v>9.0143481925428208</v>
      </c>
      <c r="BW28" s="108">
        <f>IFERROR(IF(up_Bv!Y28=0,".",((s_Ir*s_F*s_I_f*s_T*(1-EXP(-up_RadSpec!BA28*s_t_v)))/(s_Y_v*up_RadSpec!BA28))),".")</f>
        <v>9.0143481925428208</v>
      </c>
      <c r="BX28" s="108">
        <f>IFERROR(IF(up_Bv!Z28=0,".",((s_Ir*s_F*s_I_f*s_T*(1-EXP(-up_RadSpec!BA28*s_t_v)))/(s_Y_v*up_RadSpec!BA28))),".")</f>
        <v>9.0143481925428208</v>
      </c>
      <c r="BY28" s="108">
        <f>IFERROR(IF(up_Bv!AA28=0,".",((s_Ir*s_F*s_I_f*s_T*(1-EXP(-up_RadSpec!BA28*s_t_v)))/(s_Y_v*up_RadSpec!BA28))),".")</f>
        <v>9.0143481925428208</v>
      </c>
    </row>
    <row r="29" spans="1:77" x14ac:dyDescent="0.25">
      <c r="A29" s="44" t="s">
        <v>27</v>
      </c>
      <c r="B29" s="42" t="s">
        <v>1057</v>
      </c>
      <c r="C29" s="108">
        <f>IFERROR(IF(up_Bv!C29=0,".",((s_Ir*s_F*up_Bv!C29*(1-EXP(-up_RadSpec!$AZ29*s_t_b)))/(s_P*up_RadSpec!$AZ29))),".")</f>
        <v>993.50362303732038</v>
      </c>
      <c r="D29" s="108">
        <f>IFERROR(IF(up_Bv!D29=0,".",((s_Ir*s_F*up_Bv!D29*(1-EXP(-up_RadSpec!AZ29*s_t_b)))/(s_P*up_RadSpec!AZ29))),".")</f>
        <v>993.50362303732038</v>
      </c>
      <c r="E29" s="108">
        <f>IFERROR(IF(up_Bv!E29=0,".",((s_Ir*s_F*up_Bv!E29*(1-EXP(-up_RadSpec!AZ29*s_t_b)))/(s_P*up_RadSpec!AZ29))),".")</f>
        <v>993.50362303732038</v>
      </c>
      <c r="F29" s="108">
        <f>IFERROR(IF(up_Bv!F29=0,".",((s_Ir*s_F*up_Bv!F29*(1-EXP(-up_RadSpec!AZ29*s_t_b)))/(s_P*up_RadSpec!AZ29))),".")</f>
        <v>993.50362303732038</v>
      </c>
      <c r="G29" s="108">
        <f>IFERROR(IF(up_Bv!G29=0,".",((s_Ir*s_F*up_Bv!G29*(1-EXP(-up_RadSpec!AZ29*s_t_b)))/(s_P*up_RadSpec!AZ29))),".")</f>
        <v>993.50362303732038</v>
      </c>
      <c r="H29" s="108">
        <f>IFERROR(IF(up_Bv!H29=0,".",((s_Ir*s_F*up_Bv!H29*(1-EXP(-up_RadSpec!AZ29*s_t_b)))/(s_P*up_RadSpec!AZ29))),".")</f>
        <v>993.50362303732038</v>
      </c>
      <c r="I29" s="108">
        <f>IFERROR(IF(up_Bv!I29=0,".",((s_Ir*s_F*up_Bv!I29*(1-EXP(-up_RadSpec!AZ29*s_t_b)))/(s_P*up_RadSpec!AZ29))),".")</f>
        <v>993.50362303732038</v>
      </c>
      <c r="J29" s="108">
        <f>IFERROR(IF(up_Bv!J29=0,".",((s_Ir*s_F*up_Bv!J29*(1-EXP(-up_RadSpec!AZ29*s_t_b)))/(s_P*up_RadSpec!AZ29))),".")</f>
        <v>993.50362303732038</v>
      </c>
      <c r="K29" s="108">
        <f>IFERROR(IF(up_Bv!K29=0,".",((s_Ir*s_F*up_Bv!K29*(1-EXP(-up_RadSpec!AZ29*s_t_b)))/(s_P*up_RadSpec!AZ29))),".")</f>
        <v>993.50362303732038</v>
      </c>
      <c r="L29" s="108">
        <f>IFERROR(IF(up_Bv!L29=0,".",((s_Ir*s_F*up_Bv!L29*(1-EXP(-up_RadSpec!AZ29*s_t_b)))/(s_P*up_RadSpec!AZ29))),".")</f>
        <v>993.50362303732038</v>
      </c>
      <c r="M29" s="108">
        <f>IFERROR(IF(up_Bv!M29=0,".",((s_Ir*s_F*up_Bv!M29*(1-EXP(-up_RadSpec!AZ29*s_t_b)))/(s_P*up_RadSpec!AZ29))),".")</f>
        <v>993.50362303732038</v>
      </c>
      <c r="N29" s="108">
        <f>IFERROR(IF(up_Bv!N29=0,".",((s_Ir*s_F*up_Bv!N29*(1-EXP(-up_RadSpec!AZ29*s_t_b)))/(s_P*up_RadSpec!AZ29))),".")</f>
        <v>993.50362303732038</v>
      </c>
      <c r="O29" s="108">
        <f>IFERROR(IF(up_Bv!O29=0,".",((s_Ir*s_F*up_Bv!O29*(1-EXP(-up_RadSpec!AZ29*s_t_b)))/(s_P*up_RadSpec!AZ29))),".")</f>
        <v>993.50362303732038</v>
      </c>
      <c r="P29" s="108">
        <f>IFERROR(IF(up_Bv!P29=0,".",((s_Ir*s_F*up_Bv!P29*(1-EXP(-up_RadSpec!AZ29*s_t_b)))/(s_P*up_RadSpec!AZ29))),".")</f>
        <v>993.50362303732038</v>
      </c>
      <c r="Q29" s="108">
        <f>IFERROR(IF(up_Bv!Q29=0,".",((s_Ir*s_F*up_Bv!Q29*(1-EXP(-up_RadSpec!AZ29*s_t_b)))/(s_P*up_RadSpec!AZ29))),".")</f>
        <v>993.50362303732038</v>
      </c>
      <c r="R29" s="108">
        <f>IFERROR(IF(up_Bv!R29=0,".",((s_Ir*s_F*up_Bv!R29*(1-EXP(-up_RadSpec!AZ29*s_t_b)))/(s_P*up_RadSpec!AZ29))),".")</f>
        <v>993.50362303732038</v>
      </c>
      <c r="S29" s="108">
        <f>IFERROR(IF(up_Bv!S29=0,".",((s_Ir*s_F*up_Bv!S29*(1-EXP(-up_RadSpec!AZ29*s_t_b)))/(s_P*up_RadSpec!AZ29))),".")</f>
        <v>993.50362303732038</v>
      </c>
      <c r="T29" s="108">
        <f>IFERROR(IF(up_Bv!T29=0,".",((s_Ir*s_F*up_Bv!T29*(1-EXP(-up_RadSpec!AZ29*s_t_b)))/(s_P*up_RadSpec!AZ29))),".")</f>
        <v>993.50362303732038</v>
      </c>
      <c r="U29" s="108">
        <f>IFERROR(IF(up_Bv!U29=0,".",((s_Ir*s_F*up_Bv!U29*(1-EXP(-up_RadSpec!AZ29*s_t_b)))/(s_P*up_RadSpec!AZ29))),".")</f>
        <v>993.50362303732038</v>
      </c>
      <c r="V29" s="108">
        <f>IFERROR(IF(up_Bv!V29=0,".",((s_Ir*s_F*up_Bv!V29*(1-EXP(-up_RadSpec!AZ29*s_t_b)))/(s_P*up_RadSpec!AZ29))),".")</f>
        <v>993.50362303732038</v>
      </c>
      <c r="W29" s="108">
        <f>IFERROR(IF(up_Bv!W29=0,".",((s_Ir*s_F*up_Bv!W29*(1-EXP(-up_RadSpec!AZ29*s_t_b)))/(s_P*up_RadSpec!AZ29))),".")</f>
        <v>993.50362303732038</v>
      </c>
      <c r="X29" s="108">
        <f>IFERROR(IF(up_Bv!X29=0,".",((s_Ir*s_F*up_Bv!X29*(1-EXP(-up_RadSpec!AZ29*s_t_b)))/(s_P*up_RadSpec!AZ29))),".")</f>
        <v>993.50362303732038</v>
      </c>
      <c r="Y29" s="108">
        <f>IFERROR(IF(up_Bv!Y29=0,".",((s_Ir*s_F*up_Bv!Y29*(1-EXP(-up_RadSpec!AZ29*s_t_b)))/(s_P*up_RadSpec!AZ29))),".")</f>
        <v>993.50362303732038</v>
      </c>
      <c r="Z29" s="108">
        <f>IFERROR(IF(up_Bv!Z29=0,".",((s_Ir*s_F*up_Bv!Z29*(1-EXP(-up_RadSpec!AZ29*s_t_b)))/(s_P*up_RadSpec!AZ29))),".")</f>
        <v>993.50362303732038</v>
      </c>
      <c r="AA29" s="108">
        <f>IFERROR(IF(up_Bv!AA29=0,".",((s_Ir*s_F*up_Bv!AA29*(1-EXP(-up_RadSpec!AZ29*s_t_b)))/(s_P*up_RadSpec!AZ29))),".")</f>
        <v>993.50362303732038</v>
      </c>
      <c r="AB29" s="108">
        <f>IFERROR(IF(up_Bv!C29=0,".",((s_Ir*s_F*s_MLF_apple*(1-EXP(-up_RadSpec!AZ29*s_t_b)))/(s_P*up_RadSpec!AZ29))),".")</f>
        <v>2.6824597822007652</v>
      </c>
      <c r="AC29" s="108">
        <f>IFERROR(IF(up_Bv!D29=0,".",((s_Ir*s_F*s_MLF_asparagus*(1-EXP(-up_RadSpec!AZ29*s_t_b)))/(s_P*up_RadSpec!AZ29))),".")</f>
        <v>2.6824597822007652</v>
      </c>
      <c r="AD29" s="108">
        <f>IFERROR(IF(up_Bv!E29=0,".",((s_Ir*s_F*s_MLF_beet*(1-EXP(-up_RadSpec!AZ29*s_t_b)))/(s_P*up_RadSpec!AZ29))),".")</f>
        <v>2.6824597822007652</v>
      </c>
      <c r="AE29" s="108">
        <f>IFERROR(IF(up_Bv!F29=0,".",((s_Ir*s_F*s_MLF_berries*(1-EXP(-up_RadSpec!AZ29*s_t_b)))/(s_P*up_RadSpec!AZ29))),".")</f>
        <v>2.6824597822007652</v>
      </c>
      <c r="AF29" s="108">
        <f>IFERROR(IF(up_Bv!G29=0,".",((s_Ir*s_F*s_MLF_broccoli*(1-EXP(-up_RadSpec!AZ29*s_t_b)))/(s_P*up_RadSpec!AZ29))),".")</f>
        <v>2.6824597822007652</v>
      </c>
      <c r="AG29" s="108">
        <f>IFERROR(IF(up_Bv!H29=0,".",((s_Ir*s_F*s_MLF_cabbage*(1-EXP(-up_RadSpec!AZ29*s_t_b)))/(s_P*up_RadSpec!AZ29))),".")</f>
        <v>2.6824597822007652</v>
      </c>
      <c r="AH29" s="108">
        <f>IFERROR(IF(up_Bv!I29=0,".",((s_Ir*s_F*s_MLF_carrot*(1-EXP(-up_RadSpec!AZ29*s_t_b)))/(s_P*up_RadSpec!AZ29))),".")</f>
        <v>2.6824597822007652</v>
      </c>
      <c r="AI29" s="108">
        <f>IFERROR(IF(up_Bv!J29=0,".",((s_Ir*s_F*s_MLF_citrus*(1-EXP(-up_RadSpec!AZ29*s_t_b)))/(s_P*up_RadSpec!AZ29))),".")</f>
        <v>2.6824597822007652</v>
      </c>
      <c r="AJ29" s="108">
        <f>IFERROR(IF(up_Bv!K29=0,".",((s_Ir*s_F*s_MLF_corn*(1-EXP(-up_RadSpec!AZ29*s_t_b)))/(s_P*up_RadSpec!AZ29))),".")</f>
        <v>2.6824597822007652</v>
      </c>
      <c r="AK29" s="108">
        <f>IFERROR(IF(up_Bv!L29=0,".",((s_Ir*s_F*s_MLF_cucumber*(1-EXP(-up_RadSpec!AZ29*s_t_b)))/(s_P*up_RadSpec!AZ29))),".")</f>
        <v>2.6824597822007652</v>
      </c>
      <c r="AL29" s="108">
        <f>IFERROR(IF(up_Bv!M29=0,".",((s_Ir*s_F*s_MLF_lettuce*(1-EXP(-up_RadSpec!AZ29*s_t_b)))/(s_P*up_RadSpec!AZ29))),".")</f>
        <v>2.6824597822007652</v>
      </c>
      <c r="AM29" s="108">
        <f>IFERROR(IF(up_Bv!N29=0,".",((s_Ir*s_F*s_MLF_lima_bean*(1-EXP(-up_RadSpec!AZ29*s_t_b)))/(s_P*up_RadSpec!AZ29))),".")</f>
        <v>2.6824597822007652</v>
      </c>
      <c r="AN29" s="108">
        <f>IFERROR(IF(up_Bv!O29=0,".",((s_Ir*s_F*s_MLF_okra*(1-EXP(-up_RadSpec!AZ29*s_t_b)))/(s_P*up_RadSpec!AZ29))),".")</f>
        <v>2.6824597822007652</v>
      </c>
      <c r="AO29" s="108">
        <f>IFERROR(IF(up_Bv!P29=0,".",((s_Ir*s_F*s_MLF_onion*(1-EXP(-up_RadSpec!AZ29*s_t_b)))/(s_P*up_RadSpec!AZ29))),".")</f>
        <v>2.6824597822007652</v>
      </c>
      <c r="AP29" s="108">
        <f>IFERROR(IF(up_Bv!Q29=0,".",((s_Ir*s_F*s_MLF_peach*(1-EXP(-up_RadSpec!AZ29*s_t_b)))/(s_P*up_RadSpec!AZ29))),".")</f>
        <v>2.6824597822007652</v>
      </c>
      <c r="AQ29" s="108">
        <f>IFERROR(IF(up_Bv!R29=0,".",((s_Ir*s_F*s_MLF_pear*(1-EXP(-up_RadSpec!AZ29*s_t_b)))/(s_P*up_RadSpec!AZ29))),".")</f>
        <v>2.6824597822007652</v>
      </c>
      <c r="AR29" s="108">
        <f>IFERROR(IF(up_Bv!S29=0,".",((s_Ir*s_F*s_MLF_peas*(1-EXP(-up_RadSpec!AZ29*s_t_b)))/(s_P*up_RadSpec!AZ29))),".")</f>
        <v>2.6824597822007652</v>
      </c>
      <c r="AS29" s="108">
        <f>IFERROR(IF(up_Bv!T29=0,".",((s_Ir*s_F*s_MLF_peppers*(1-EXP(-up_RadSpec!AZ29*s_t_b)))/(s_P*up_RadSpec!AZ29))),".")</f>
        <v>2.6824597822007652</v>
      </c>
      <c r="AT29" s="108">
        <f>IFERROR(IF(up_Bv!U29=0,".",((s_Ir*s_F*s_MLF_potato*(1-EXP(-up_RadSpec!AZ29*s_t_b)))/(s_P*up_RadSpec!AZ29))),".")</f>
        <v>2.6824597822007652</v>
      </c>
      <c r="AU29" s="108">
        <f>IFERROR(IF(up_Bv!V29=0,".",((s_Ir*s_F*s_MLF_pumpkin*(1-EXP(-up_RadSpec!AZ29*s_t_b)))/(s_P*up_RadSpec!AZ29))),".")</f>
        <v>2.6824597822007652</v>
      </c>
      <c r="AV29" s="108">
        <f>IFERROR(IF(up_Bv!W29=0,".",((s_Ir*s_F*s_MLF_snap_bean*(1-EXP(-up_RadSpec!AZ29*s_t_b)))/(s_P*up_RadSpec!AZ29))),".")</f>
        <v>2.6824597822007652</v>
      </c>
      <c r="AW29" s="108">
        <f>IFERROR(IF(up_Bv!X29=0,".",((s_Ir*s_F*s_MLF_strawberry*(1-EXP(-up_RadSpec!AZ29*s_t_b)))/(s_P*up_RadSpec!AZ29))),".")</f>
        <v>2.6824597822007652</v>
      </c>
      <c r="AX29" s="108">
        <f>IFERROR(IF(up_Bv!Y29=0,".",((s_Ir*s_F*s_MLF_tomato*(1-EXP(-up_RadSpec!AZ29*s_t_b)))/(s_P*up_RadSpec!AZ29))),".")</f>
        <v>2.6824597822007652</v>
      </c>
      <c r="AY29" s="108">
        <f>IFERROR(IF(up_Bv!Z29=0,".",((s_Ir*s_F*s_MLF_rice*(1-EXP(-up_RadSpec!AZ29*s_t_b)))/(s_P*up_RadSpec!AZ29))),".")</f>
        <v>2.6824597822007652</v>
      </c>
      <c r="AZ29" s="108">
        <f>IFERROR(IF(up_Bv!AA29=0,".",((s_Ir*s_F*s_MLF_cereal*(1-EXP(-up_RadSpec!AZ29*s_t_b)))/(s_P*up_RadSpec!AZ29))),".")</f>
        <v>2.6824597822007652</v>
      </c>
      <c r="BA29" s="108">
        <f>IFERROR(IF(up_Bv!C29=0,".",((s_Ir*s_F*s_I_f*s_T*(1-EXP(-up_RadSpec!BA29*s_t_v)))/(s_Y_v*up_RadSpec!BA29))),".")</f>
        <v>9.0143481925428208</v>
      </c>
      <c r="BB29" s="108">
        <f>IFERROR(IF(up_Bv!D29=0,".",((s_Ir*s_F*s_I_f*s_T*(1-EXP(-up_RadSpec!BA29*s_t_v)))/(s_Y_v*up_RadSpec!BA29))),".")</f>
        <v>9.0143481925428208</v>
      </c>
      <c r="BC29" s="108">
        <f>IFERROR(IF(up_Bv!E29=0,".",((s_Ir*s_F*s_I_f*s_T*(1-EXP(-up_RadSpec!BA29*s_t_v)))/(s_Y_v*up_RadSpec!BA29))),".")</f>
        <v>9.0143481925428208</v>
      </c>
      <c r="BD29" s="108">
        <f>IFERROR(IF(up_Bv!F29=0,".",((s_Ir*s_F*s_I_f*s_T*(1-EXP(-up_RadSpec!BA29*s_t_v)))/(s_Y_v*up_RadSpec!BA29))),".")</f>
        <v>9.0143481925428208</v>
      </c>
      <c r="BE29" s="108">
        <f>IFERROR(IF(up_Bv!G29=0,".",((s_Ir*s_F*s_I_f*s_T*(1-EXP(-up_RadSpec!BA29*s_t_v)))/(s_Y_v*up_RadSpec!BA29))),".")</f>
        <v>9.0143481925428208</v>
      </c>
      <c r="BF29" s="108">
        <f>IFERROR(IF(up_Bv!H29=0,".",((s_Ir*s_F*s_I_f*s_T*(1-EXP(-up_RadSpec!BA29*s_t_v)))/(s_Y_v*up_RadSpec!BA29))),".")</f>
        <v>9.0143481925428208</v>
      </c>
      <c r="BG29" s="108">
        <f>IFERROR(IF(up_Bv!I29=0,".",((s_Ir*s_F*s_I_f*s_T*(1-EXP(-up_RadSpec!BA29*s_t_v)))/(s_Y_v*up_RadSpec!BA29))),".")</f>
        <v>9.0143481925428208</v>
      </c>
      <c r="BH29" s="108">
        <f>IFERROR(IF(up_Bv!J29=0,".",((s_Ir*s_F*s_I_f*s_T*(1-EXP(-up_RadSpec!BA29*s_t_v)))/(s_Y_v*up_RadSpec!BA29))),".")</f>
        <v>9.0143481925428208</v>
      </c>
      <c r="BI29" s="108">
        <f>IFERROR(IF(up_Bv!K29=0,".",((s_Ir*s_F*s_I_f*s_T*(1-EXP(-up_RadSpec!BA29*s_t_v)))/(s_Y_v*up_RadSpec!BA29))),".")</f>
        <v>9.0143481925428208</v>
      </c>
      <c r="BJ29" s="108">
        <f>IFERROR(IF(up_Bv!L29=0,".",((s_Ir*s_F*s_I_f*s_T*(1-EXP(-up_RadSpec!BA29*s_t_v)))/(s_Y_v*up_RadSpec!BA29))),".")</f>
        <v>9.0143481925428208</v>
      </c>
      <c r="BK29" s="108">
        <f>IFERROR(IF(up_Bv!M29=0,".",((s_Ir*s_F*s_I_f*s_T*(1-EXP(-up_RadSpec!BA29*s_t_v)))/(s_Y_v*up_RadSpec!BA29))),".")</f>
        <v>9.0143481925428208</v>
      </c>
      <c r="BL29" s="108">
        <f>IFERROR(IF(up_Bv!N29=0,".",((s_Ir*s_F*s_I_f*s_T*(1-EXP(-up_RadSpec!BA29*s_t_v)))/(s_Y_v*up_RadSpec!BA29))),".")</f>
        <v>9.0143481925428208</v>
      </c>
      <c r="BM29" s="108">
        <f>IFERROR(IF(up_Bv!O29=0,".",((s_Ir*s_F*s_I_f*s_T*(1-EXP(-up_RadSpec!BA29*s_t_v)))/(s_Y_v*up_RadSpec!BA29))),".")</f>
        <v>9.0143481925428208</v>
      </c>
      <c r="BN29" s="108">
        <f>IFERROR(IF(up_Bv!P29=0,".",((s_Ir*s_F*s_I_f*s_T*(1-EXP(-up_RadSpec!BA29*s_t_v)))/(s_Y_v*up_RadSpec!BA29))),".")</f>
        <v>9.0143481925428208</v>
      </c>
      <c r="BO29" s="108">
        <f>IFERROR(IF(up_Bv!Q29=0,".",((s_Ir*s_F*s_I_f*s_T*(1-EXP(-up_RadSpec!BA29*s_t_v)))/(s_Y_v*up_RadSpec!BA29))),".")</f>
        <v>9.0143481925428208</v>
      </c>
      <c r="BP29" s="108">
        <f>IFERROR(IF(up_Bv!R29=0,".",((s_Ir*s_F*s_I_f*s_T*(1-EXP(-up_RadSpec!BA29*s_t_v)))/(s_Y_v*up_RadSpec!BA29))),".")</f>
        <v>9.0143481925428208</v>
      </c>
      <c r="BQ29" s="108">
        <f>IFERROR(IF(up_Bv!S29=0,".",((s_Ir*s_F*s_I_f*s_T*(1-EXP(-up_RadSpec!BA29*s_t_v)))/(s_Y_v*up_RadSpec!BA29))),".")</f>
        <v>9.0143481925428208</v>
      </c>
      <c r="BR29" s="108">
        <f>IFERROR(IF(up_Bv!T29=0,".",((s_Ir*s_F*s_I_f*s_T*(1-EXP(-up_RadSpec!BA29*s_t_v)))/(s_Y_v*up_RadSpec!BA29))),".")</f>
        <v>9.0143481925428208</v>
      </c>
      <c r="BS29" s="108">
        <f>IFERROR(IF(up_Bv!U29=0,".",((s_Ir*s_F*s_I_f*s_T*(1-EXP(-up_RadSpec!BA29*s_t_v)))/(s_Y_v*up_RadSpec!BA29))),".")</f>
        <v>9.0143481925428208</v>
      </c>
      <c r="BT29" s="108">
        <f>IFERROR(IF(up_Bv!V29=0,".",((s_Ir*s_F*s_I_f*s_T*(1-EXP(-up_RadSpec!BA29*s_t_v)))/(s_Y_v*up_RadSpec!BA29))),".")</f>
        <v>9.0143481925428208</v>
      </c>
      <c r="BU29" s="108">
        <f>IFERROR(IF(up_Bv!W29=0,".",((s_Ir*s_F*s_I_f*s_T*(1-EXP(-up_RadSpec!BA29*s_t_v)))/(s_Y_v*up_RadSpec!BA29))),".")</f>
        <v>9.0143481925428208</v>
      </c>
      <c r="BV29" s="108">
        <f>IFERROR(IF(up_Bv!X29=0,".",((s_Ir*s_F*s_I_f*s_T*(1-EXP(-up_RadSpec!BA29*s_t_v)))/(s_Y_v*up_RadSpec!BA29))),".")</f>
        <v>9.0143481925428208</v>
      </c>
      <c r="BW29" s="108">
        <f>IFERROR(IF(up_Bv!Y29=0,".",((s_Ir*s_F*s_I_f*s_T*(1-EXP(-up_RadSpec!BA29*s_t_v)))/(s_Y_v*up_RadSpec!BA29))),".")</f>
        <v>9.0143481925428208</v>
      </c>
      <c r="BX29" s="108">
        <f>IFERROR(IF(up_Bv!Z29=0,".",((s_Ir*s_F*s_I_f*s_T*(1-EXP(-up_RadSpec!BA29*s_t_v)))/(s_Y_v*up_RadSpec!BA29))),".")</f>
        <v>9.0143481925428208</v>
      </c>
      <c r="BY29" s="108">
        <f>IFERROR(IF(up_Bv!AA29=0,".",((s_Ir*s_F*s_I_f*s_T*(1-EXP(-up_RadSpec!BA29*s_t_v)))/(s_Y_v*up_RadSpec!BA29))),".")</f>
        <v>9.0143481925428208</v>
      </c>
    </row>
    <row r="30" spans="1:77" x14ac:dyDescent="0.25">
      <c r="A30" s="44" t="s">
        <v>28</v>
      </c>
      <c r="B30" s="42" t="s">
        <v>1057</v>
      </c>
      <c r="C30" s="108">
        <f>IFERROR(IF(up_Bv!C30=0,".",((s_Ir*s_F*up_Bv!C30*(1-EXP(-up_RadSpec!$AZ30*s_t_b)))/(s_P*up_RadSpec!$AZ30))),".")</f>
        <v>993.50362303732038</v>
      </c>
      <c r="D30" s="108">
        <f>IFERROR(IF(up_Bv!D30=0,".",((s_Ir*s_F*up_Bv!D30*(1-EXP(-up_RadSpec!AZ30*s_t_b)))/(s_P*up_RadSpec!AZ30))),".")</f>
        <v>993.50362303732038</v>
      </c>
      <c r="E30" s="108">
        <f>IFERROR(IF(up_Bv!E30=0,".",((s_Ir*s_F*up_Bv!E30*(1-EXP(-up_RadSpec!AZ30*s_t_b)))/(s_P*up_RadSpec!AZ30))),".")</f>
        <v>993.50362303732038</v>
      </c>
      <c r="F30" s="108">
        <f>IFERROR(IF(up_Bv!F30=0,".",((s_Ir*s_F*up_Bv!F30*(1-EXP(-up_RadSpec!AZ30*s_t_b)))/(s_P*up_RadSpec!AZ30))),".")</f>
        <v>993.50362303732038</v>
      </c>
      <c r="G30" s="108">
        <f>IFERROR(IF(up_Bv!G30=0,".",((s_Ir*s_F*up_Bv!G30*(1-EXP(-up_RadSpec!AZ30*s_t_b)))/(s_P*up_RadSpec!AZ30))),".")</f>
        <v>993.50362303732038</v>
      </c>
      <c r="H30" s="108">
        <f>IFERROR(IF(up_Bv!H30=0,".",((s_Ir*s_F*up_Bv!H30*(1-EXP(-up_RadSpec!AZ30*s_t_b)))/(s_P*up_RadSpec!AZ30))),".")</f>
        <v>993.50362303732038</v>
      </c>
      <c r="I30" s="108">
        <f>IFERROR(IF(up_Bv!I30=0,".",((s_Ir*s_F*up_Bv!I30*(1-EXP(-up_RadSpec!AZ30*s_t_b)))/(s_P*up_RadSpec!AZ30))),".")</f>
        <v>993.50362303732038</v>
      </c>
      <c r="J30" s="108">
        <f>IFERROR(IF(up_Bv!J30=0,".",((s_Ir*s_F*up_Bv!J30*(1-EXP(-up_RadSpec!AZ30*s_t_b)))/(s_P*up_RadSpec!AZ30))),".")</f>
        <v>993.50362303732038</v>
      </c>
      <c r="K30" s="108">
        <f>IFERROR(IF(up_Bv!K30=0,".",((s_Ir*s_F*up_Bv!K30*(1-EXP(-up_RadSpec!AZ30*s_t_b)))/(s_P*up_RadSpec!AZ30))),".")</f>
        <v>993.50362303732038</v>
      </c>
      <c r="L30" s="108">
        <f>IFERROR(IF(up_Bv!L30=0,".",((s_Ir*s_F*up_Bv!L30*(1-EXP(-up_RadSpec!AZ30*s_t_b)))/(s_P*up_RadSpec!AZ30))),".")</f>
        <v>993.50362303732038</v>
      </c>
      <c r="M30" s="108">
        <f>IFERROR(IF(up_Bv!M30=0,".",((s_Ir*s_F*up_Bv!M30*(1-EXP(-up_RadSpec!AZ30*s_t_b)))/(s_P*up_RadSpec!AZ30))),".")</f>
        <v>993.50362303732038</v>
      </c>
      <c r="N30" s="108">
        <f>IFERROR(IF(up_Bv!N30=0,".",((s_Ir*s_F*up_Bv!N30*(1-EXP(-up_RadSpec!AZ30*s_t_b)))/(s_P*up_RadSpec!AZ30))),".")</f>
        <v>993.50362303732038</v>
      </c>
      <c r="O30" s="108">
        <f>IFERROR(IF(up_Bv!O30=0,".",((s_Ir*s_F*up_Bv!O30*(1-EXP(-up_RadSpec!AZ30*s_t_b)))/(s_P*up_RadSpec!AZ30))),".")</f>
        <v>993.50362303732038</v>
      </c>
      <c r="P30" s="108">
        <f>IFERROR(IF(up_Bv!P30=0,".",((s_Ir*s_F*up_Bv!P30*(1-EXP(-up_RadSpec!AZ30*s_t_b)))/(s_P*up_RadSpec!AZ30))),".")</f>
        <v>993.50362303732038</v>
      </c>
      <c r="Q30" s="108">
        <f>IFERROR(IF(up_Bv!Q30=0,".",((s_Ir*s_F*up_Bv!Q30*(1-EXP(-up_RadSpec!AZ30*s_t_b)))/(s_P*up_RadSpec!AZ30))),".")</f>
        <v>993.50362303732038</v>
      </c>
      <c r="R30" s="108">
        <f>IFERROR(IF(up_Bv!R30=0,".",((s_Ir*s_F*up_Bv!R30*(1-EXP(-up_RadSpec!AZ30*s_t_b)))/(s_P*up_RadSpec!AZ30))),".")</f>
        <v>993.50362303732038</v>
      </c>
      <c r="S30" s="108">
        <f>IFERROR(IF(up_Bv!S30=0,".",((s_Ir*s_F*up_Bv!S30*(1-EXP(-up_RadSpec!AZ30*s_t_b)))/(s_P*up_RadSpec!AZ30))),".")</f>
        <v>993.50362303732038</v>
      </c>
      <c r="T30" s="108">
        <f>IFERROR(IF(up_Bv!T30=0,".",((s_Ir*s_F*up_Bv!T30*(1-EXP(-up_RadSpec!AZ30*s_t_b)))/(s_P*up_RadSpec!AZ30))),".")</f>
        <v>993.50362303732038</v>
      </c>
      <c r="U30" s="108">
        <f>IFERROR(IF(up_Bv!U30=0,".",((s_Ir*s_F*up_Bv!U30*(1-EXP(-up_RadSpec!AZ30*s_t_b)))/(s_P*up_RadSpec!AZ30))),".")</f>
        <v>993.50362303732038</v>
      </c>
      <c r="V30" s="108">
        <f>IFERROR(IF(up_Bv!V30=0,".",((s_Ir*s_F*up_Bv!V30*(1-EXP(-up_RadSpec!AZ30*s_t_b)))/(s_P*up_RadSpec!AZ30))),".")</f>
        <v>993.50362303732038</v>
      </c>
      <c r="W30" s="108">
        <f>IFERROR(IF(up_Bv!W30=0,".",((s_Ir*s_F*up_Bv!W30*(1-EXP(-up_RadSpec!AZ30*s_t_b)))/(s_P*up_RadSpec!AZ30))),".")</f>
        <v>993.50362303732038</v>
      </c>
      <c r="X30" s="108">
        <f>IFERROR(IF(up_Bv!X30=0,".",((s_Ir*s_F*up_Bv!X30*(1-EXP(-up_RadSpec!AZ30*s_t_b)))/(s_P*up_RadSpec!AZ30))),".")</f>
        <v>993.50362303732038</v>
      </c>
      <c r="Y30" s="108">
        <f>IFERROR(IF(up_Bv!Y30=0,".",((s_Ir*s_F*up_Bv!Y30*(1-EXP(-up_RadSpec!AZ30*s_t_b)))/(s_P*up_RadSpec!AZ30))),".")</f>
        <v>993.50362303732038</v>
      </c>
      <c r="Z30" s="108">
        <f>IFERROR(IF(up_Bv!Z30=0,".",((s_Ir*s_F*up_Bv!Z30*(1-EXP(-up_RadSpec!AZ30*s_t_b)))/(s_P*up_RadSpec!AZ30))),".")</f>
        <v>993.50362303732038</v>
      </c>
      <c r="AA30" s="108">
        <f>IFERROR(IF(up_Bv!AA30=0,".",((s_Ir*s_F*up_Bv!AA30*(1-EXP(-up_RadSpec!AZ30*s_t_b)))/(s_P*up_RadSpec!AZ30))),".")</f>
        <v>993.50362303732038</v>
      </c>
      <c r="AB30" s="108">
        <f>IFERROR(IF(up_Bv!C30=0,".",((s_Ir*s_F*s_MLF_apple*(1-EXP(-up_RadSpec!AZ30*s_t_b)))/(s_P*up_RadSpec!AZ30))),".")</f>
        <v>2.6824597822007652</v>
      </c>
      <c r="AC30" s="108">
        <f>IFERROR(IF(up_Bv!D30=0,".",((s_Ir*s_F*s_MLF_asparagus*(1-EXP(-up_RadSpec!AZ30*s_t_b)))/(s_P*up_RadSpec!AZ30))),".")</f>
        <v>2.6824597822007652</v>
      </c>
      <c r="AD30" s="108">
        <f>IFERROR(IF(up_Bv!E30=0,".",((s_Ir*s_F*s_MLF_beet*(1-EXP(-up_RadSpec!AZ30*s_t_b)))/(s_P*up_RadSpec!AZ30))),".")</f>
        <v>2.6824597822007652</v>
      </c>
      <c r="AE30" s="108">
        <f>IFERROR(IF(up_Bv!F30=0,".",((s_Ir*s_F*s_MLF_berries*(1-EXP(-up_RadSpec!AZ30*s_t_b)))/(s_P*up_RadSpec!AZ30))),".")</f>
        <v>2.6824597822007652</v>
      </c>
      <c r="AF30" s="108">
        <f>IFERROR(IF(up_Bv!G30=0,".",((s_Ir*s_F*s_MLF_broccoli*(1-EXP(-up_RadSpec!AZ30*s_t_b)))/(s_P*up_RadSpec!AZ30))),".")</f>
        <v>2.6824597822007652</v>
      </c>
      <c r="AG30" s="108">
        <f>IFERROR(IF(up_Bv!H30=0,".",((s_Ir*s_F*s_MLF_cabbage*(1-EXP(-up_RadSpec!AZ30*s_t_b)))/(s_P*up_RadSpec!AZ30))),".")</f>
        <v>2.6824597822007652</v>
      </c>
      <c r="AH30" s="108">
        <f>IFERROR(IF(up_Bv!I30=0,".",((s_Ir*s_F*s_MLF_carrot*(1-EXP(-up_RadSpec!AZ30*s_t_b)))/(s_P*up_RadSpec!AZ30))),".")</f>
        <v>2.6824597822007652</v>
      </c>
      <c r="AI30" s="108">
        <f>IFERROR(IF(up_Bv!J30=0,".",((s_Ir*s_F*s_MLF_citrus*(1-EXP(-up_RadSpec!AZ30*s_t_b)))/(s_P*up_RadSpec!AZ30))),".")</f>
        <v>2.6824597822007652</v>
      </c>
      <c r="AJ30" s="108">
        <f>IFERROR(IF(up_Bv!K30=0,".",((s_Ir*s_F*s_MLF_corn*(1-EXP(-up_RadSpec!AZ30*s_t_b)))/(s_P*up_RadSpec!AZ30))),".")</f>
        <v>2.6824597822007652</v>
      </c>
      <c r="AK30" s="108">
        <f>IFERROR(IF(up_Bv!L30=0,".",((s_Ir*s_F*s_MLF_cucumber*(1-EXP(-up_RadSpec!AZ30*s_t_b)))/(s_P*up_RadSpec!AZ30))),".")</f>
        <v>2.6824597822007652</v>
      </c>
      <c r="AL30" s="108">
        <f>IFERROR(IF(up_Bv!M30=0,".",((s_Ir*s_F*s_MLF_lettuce*(1-EXP(-up_RadSpec!AZ30*s_t_b)))/(s_P*up_RadSpec!AZ30))),".")</f>
        <v>2.6824597822007652</v>
      </c>
      <c r="AM30" s="108">
        <f>IFERROR(IF(up_Bv!N30=0,".",((s_Ir*s_F*s_MLF_lima_bean*(1-EXP(-up_RadSpec!AZ30*s_t_b)))/(s_P*up_RadSpec!AZ30))),".")</f>
        <v>2.6824597822007652</v>
      </c>
      <c r="AN30" s="108">
        <f>IFERROR(IF(up_Bv!O30=0,".",((s_Ir*s_F*s_MLF_okra*(1-EXP(-up_RadSpec!AZ30*s_t_b)))/(s_P*up_RadSpec!AZ30))),".")</f>
        <v>2.6824597822007652</v>
      </c>
      <c r="AO30" s="108">
        <f>IFERROR(IF(up_Bv!P30=0,".",((s_Ir*s_F*s_MLF_onion*(1-EXP(-up_RadSpec!AZ30*s_t_b)))/(s_P*up_RadSpec!AZ30))),".")</f>
        <v>2.6824597822007652</v>
      </c>
      <c r="AP30" s="108">
        <f>IFERROR(IF(up_Bv!Q30=0,".",((s_Ir*s_F*s_MLF_peach*(1-EXP(-up_RadSpec!AZ30*s_t_b)))/(s_P*up_RadSpec!AZ30))),".")</f>
        <v>2.6824597822007652</v>
      </c>
      <c r="AQ30" s="108">
        <f>IFERROR(IF(up_Bv!R30=0,".",((s_Ir*s_F*s_MLF_pear*(1-EXP(-up_RadSpec!AZ30*s_t_b)))/(s_P*up_RadSpec!AZ30))),".")</f>
        <v>2.6824597822007652</v>
      </c>
      <c r="AR30" s="108">
        <f>IFERROR(IF(up_Bv!S30=0,".",((s_Ir*s_F*s_MLF_peas*(1-EXP(-up_RadSpec!AZ30*s_t_b)))/(s_P*up_RadSpec!AZ30))),".")</f>
        <v>2.6824597822007652</v>
      </c>
      <c r="AS30" s="108">
        <f>IFERROR(IF(up_Bv!T30=0,".",((s_Ir*s_F*s_MLF_peppers*(1-EXP(-up_RadSpec!AZ30*s_t_b)))/(s_P*up_RadSpec!AZ30))),".")</f>
        <v>2.6824597822007652</v>
      </c>
      <c r="AT30" s="108">
        <f>IFERROR(IF(up_Bv!U30=0,".",((s_Ir*s_F*s_MLF_potato*(1-EXP(-up_RadSpec!AZ30*s_t_b)))/(s_P*up_RadSpec!AZ30))),".")</f>
        <v>2.6824597822007652</v>
      </c>
      <c r="AU30" s="108">
        <f>IFERROR(IF(up_Bv!V30=0,".",((s_Ir*s_F*s_MLF_pumpkin*(1-EXP(-up_RadSpec!AZ30*s_t_b)))/(s_P*up_RadSpec!AZ30))),".")</f>
        <v>2.6824597822007652</v>
      </c>
      <c r="AV30" s="108">
        <f>IFERROR(IF(up_Bv!W30=0,".",((s_Ir*s_F*s_MLF_snap_bean*(1-EXP(-up_RadSpec!AZ30*s_t_b)))/(s_P*up_RadSpec!AZ30))),".")</f>
        <v>2.6824597822007652</v>
      </c>
      <c r="AW30" s="108">
        <f>IFERROR(IF(up_Bv!X30=0,".",((s_Ir*s_F*s_MLF_strawberry*(1-EXP(-up_RadSpec!AZ30*s_t_b)))/(s_P*up_RadSpec!AZ30))),".")</f>
        <v>2.6824597822007652</v>
      </c>
      <c r="AX30" s="108">
        <f>IFERROR(IF(up_Bv!Y30=0,".",((s_Ir*s_F*s_MLF_tomato*(1-EXP(-up_RadSpec!AZ30*s_t_b)))/(s_P*up_RadSpec!AZ30))),".")</f>
        <v>2.6824597822007652</v>
      </c>
      <c r="AY30" s="108">
        <f>IFERROR(IF(up_Bv!Z30=0,".",((s_Ir*s_F*s_MLF_rice*(1-EXP(-up_RadSpec!AZ30*s_t_b)))/(s_P*up_RadSpec!AZ30))),".")</f>
        <v>2.6824597822007652</v>
      </c>
      <c r="AZ30" s="108">
        <f>IFERROR(IF(up_Bv!AA30=0,".",((s_Ir*s_F*s_MLF_cereal*(1-EXP(-up_RadSpec!AZ30*s_t_b)))/(s_P*up_RadSpec!AZ30))),".")</f>
        <v>2.6824597822007652</v>
      </c>
      <c r="BA30" s="108">
        <f>IFERROR(IF(up_Bv!C30=0,".",((s_Ir*s_F*s_I_f*s_T*(1-EXP(-up_RadSpec!BA30*s_t_v)))/(s_Y_v*up_RadSpec!BA30))),".")</f>
        <v>9.0143481925428208</v>
      </c>
      <c r="BB30" s="108">
        <f>IFERROR(IF(up_Bv!D30=0,".",((s_Ir*s_F*s_I_f*s_T*(1-EXP(-up_RadSpec!BA30*s_t_v)))/(s_Y_v*up_RadSpec!BA30))),".")</f>
        <v>9.0143481925428208</v>
      </c>
      <c r="BC30" s="108">
        <f>IFERROR(IF(up_Bv!E30=0,".",((s_Ir*s_F*s_I_f*s_T*(1-EXP(-up_RadSpec!BA30*s_t_v)))/(s_Y_v*up_RadSpec!BA30))),".")</f>
        <v>9.0143481925428208</v>
      </c>
      <c r="BD30" s="108">
        <f>IFERROR(IF(up_Bv!F30=0,".",((s_Ir*s_F*s_I_f*s_T*(1-EXP(-up_RadSpec!BA30*s_t_v)))/(s_Y_v*up_RadSpec!BA30))),".")</f>
        <v>9.0143481925428208</v>
      </c>
      <c r="BE30" s="108">
        <f>IFERROR(IF(up_Bv!G30=0,".",((s_Ir*s_F*s_I_f*s_T*(1-EXP(-up_RadSpec!BA30*s_t_v)))/(s_Y_v*up_RadSpec!BA30))),".")</f>
        <v>9.0143481925428208</v>
      </c>
      <c r="BF30" s="108">
        <f>IFERROR(IF(up_Bv!H30=0,".",((s_Ir*s_F*s_I_f*s_T*(1-EXP(-up_RadSpec!BA30*s_t_v)))/(s_Y_v*up_RadSpec!BA30))),".")</f>
        <v>9.0143481925428208</v>
      </c>
      <c r="BG30" s="108">
        <f>IFERROR(IF(up_Bv!I30=0,".",((s_Ir*s_F*s_I_f*s_T*(1-EXP(-up_RadSpec!BA30*s_t_v)))/(s_Y_v*up_RadSpec!BA30))),".")</f>
        <v>9.0143481925428208</v>
      </c>
      <c r="BH30" s="108">
        <f>IFERROR(IF(up_Bv!J30=0,".",((s_Ir*s_F*s_I_f*s_T*(1-EXP(-up_RadSpec!BA30*s_t_v)))/(s_Y_v*up_RadSpec!BA30))),".")</f>
        <v>9.0143481925428208</v>
      </c>
      <c r="BI30" s="108">
        <f>IFERROR(IF(up_Bv!K30=0,".",((s_Ir*s_F*s_I_f*s_T*(1-EXP(-up_RadSpec!BA30*s_t_v)))/(s_Y_v*up_RadSpec!BA30))),".")</f>
        <v>9.0143481925428208</v>
      </c>
      <c r="BJ30" s="108">
        <f>IFERROR(IF(up_Bv!L30=0,".",((s_Ir*s_F*s_I_f*s_T*(1-EXP(-up_RadSpec!BA30*s_t_v)))/(s_Y_v*up_RadSpec!BA30))),".")</f>
        <v>9.0143481925428208</v>
      </c>
      <c r="BK30" s="108">
        <f>IFERROR(IF(up_Bv!M30=0,".",((s_Ir*s_F*s_I_f*s_T*(1-EXP(-up_RadSpec!BA30*s_t_v)))/(s_Y_v*up_RadSpec!BA30))),".")</f>
        <v>9.0143481925428208</v>
      </c>
      <c r="BL30" s="108">
        <f>IFERROR(IF(up_Bv!N30=0,".",((s_Ir*s_F*s_I_f*s_T*(1-EXP(-up_RadSpec!BA30*s_t_v)))/(s_Y_v*up_RadSpec!BA30))),".")</f>
        <v>9.0143481925428208</v>
      </c>
      <c r="BM30" s="108">
        <f>IFERROR(IF(up_Bv!O30=0,".",((s_Ir*s_F*s_I_f*s_T*(1-EXP(-up_RadSpec!BA30*s_t_v)))/(s_Y_v*up_RadSpec!BA30))),".")</f>
        <v>9.0143481925428208</v>
      </c>
      <c r="BN30" s="108">
        <f>IFERROR(IF(up_Bv!P30=0,".",((s_Ir*s_F*s_I_f*s_T*(1-EXP(-up_RadSpec!BA30*s_t_v)))/(s_Y_v*up_RadSpec!BA30))),".")</f>
        <v>9.0143481925428208</v>
      </c>
      <c r="BO30" s="108">
        <f>IFERROR(IF(up_Bv!Q30=0,".",((s_Ir*s_F*s_I_f*s_T*(1-EXP(-up_RadSpec!BA30*s_t_v)))/(s_Y_v*up_RadSpec!BA30))),".")</f>
        <v>9.0143481925428208</v>
      </c>
      <c r="BP30" s="108">
        <f>IFERROR(IF(up_Bv!R30=0,".",((s_Ir*s_F*s_I_f*s_T*(1-EXP(-up_RadSpec!BA30*s_t_v)))/(s_Y_v*up_RadSpec!BA30))),".")</f>
        <v>9.0143481925428208</v>
      </c>
      <c r="BQ30" s="108">
        <f>IFERROR(IF(up_Bv!S30=0,".",((s_Ir*s_F*s_I_f*s_T*(1-EXP(-up_RadSpec!BA30*s_t_v)))/(s_Y_v*up_RadSpec!BA30))),".")</f>
        <v>9.0143481925428208</v>
      </c>
      <c r="BR30" s="108">
        <f>IFERROR(IF(up_Bv!T30=0,".",((s_Ir*s_F*s_I_f*s_T*(1-EXP(-up_RadSpec!BA30*s_t_v)))/(s_Y_v*up_RadSpec!BA30))),".")</f>
        <v>9.0143481925428208</v>
      </c>
      <c r="BS30" s="108">
        <f>IFERROR(IF(up_Bv!U30=0,".",((s_Ir*s_F*s_I_f*s_T*(1-EXP(-up_RadSpec!BA30*s_t_v)))/(s_Y_v*up_RadSpec!BA30))),".")</f>
        <v>9.0143481925428208</v>
      </c>
      <c r="BT30" s="108">
        <f>IFERROR(IF(up_Bv!V30=0,".",((s_Ir*s_F*s_I_f*s_T*(1-EXP(-up_RadSpec!BA30*s_t_v)))/(s_Y_v*up_RadSpec!BA30))),".")</f>
        <v>9.0143481925428208</v>
      </c>
      <c r="BU30" s="108">
        <f>IFERROR(IF(up_Bv!W30=0,".",((s_Ir*s_F*s_I_f*s_T*(1-EXP(-up_RadSpec!BA30*s_t_v)))/(s_Y_v*up_RadSpec!BA30))),".")</f>
        <v>9.0143481925428208</v>
      </c>
      <c r="BV30" s="108">
        <f>IFERROR(IF(up_Bv!X30=0,".",((s_Ir*s_F*s_I_f*s_T*(1-EXP(-up_RadSpec!BA30*s_t_v)))/(s_Y_v*up_RadSpec!BA30))),".")</f>
        <v>9.0143481925428208</v>
      </c>
      <c r="BW30" s="108">
        <f>IFERROR(IF(up_Bv!Y30=0,".",((s_Ir*s_F*s_I_f*s_T*(1-EXP(-up_RadSpec!BA30*s_t_v)))/(s_Y_v*up_RadSpec!BA30))),".")</f>
        <v>9.0143481925428208</v>
      </c>
      <c r="BX30" s="108">
        <f>IFERROR(IF(up_Bv!Z30=0,".",((s_Ir*s_F*s_I_f*s_T*(1-EXP(-up_RadSpec!BA30*s_t_v)))/(s_Y_v*up_RadSpec!BA30))),".")</f>
        <v>9.0143481925428208</v>
      </c>
      <c r="BY30" s="108">
        <f>IFERROR(IF(up_Bv!AA30=0,".",((s_Ir*s_F*s_I_f*s_T*(1-EXP(-up_RadSpec!BA30*s_t_v)))/(s_Y_v*up_RadSpec!BA30))),".")</f>
        <v>9.0143481925428208</v>
      </c>
    </row>
  </sheetData>
  <sheetProtection algorithmName="SHA-512" hashValue="sq2HVUKVHKpvMZxsnV/1Rv7tuZQe3TyFuX7IKoEXglpkEY45oBLzGH83/oM4vnbTS12WUALwNiWCAna/QV/ZHg==" saltValue="Rw/KfJEAQH+o0FL1kPWVIA==" spinCount="100000" sheet="1" formatColumns="0" formatRows="0" autoFilter="0"/>
  <autoFilter ref="A1:BV1299" xr:uid="{00000000-0009-0000-0000-00001A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C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69" bestFit="1" customWidth="1"/>
    <col min="2" max="2" width="13.28515625" style="69" bestFit="1" customWidth="1"/>
    <col min="3" max="3" width="22.5703125" style="69" bestFit="1" customWidth="1"/>
    <col min="4" max="4" width="16" style="71" bestFit="1" customWidth="1"/>
    <col min="5" max="5" width="16.140625" style="71" bestFit="1" customWidth="1"/>
    <col min="6" max="6" width="15" style="71" bestFit="1" customWidth="1"/>
    <col min="7" max="7" width="15.7109375" style="71" bestFit="1" customWidth="1"/>
    <col min="8" max="8" width="15" style="71" bestFit="1" customWidth="1"/>
    <col min="9" max="9" width="15.42578125" style="71" bestFit="1" customWidth="1"/>
    <col min="10" max="10" width="14.7109375" style="71" bestFit="1" customWidth="1"/>
    <col min="11" max="11" width="16.140625" style="71" bestFit="1" customWidth="1"/>
    <col min="12" max="12" width="15" style="71" bestFit="1" customWidth="1"/>
    <col min="13" max="13" width="16.85546875" style="71" bestFit="1" customWidth="1"/>
    <col min="14" max="14" width="14" style="71" bestFit="1" customWidth="1"/>
    <col min="15" max="16" width="15" style="71" bestFit="1" customWidth="1"/>
    <col min="17" max="17" width="16.140625" style="71" bestFit="1" customWidth="1"/>
    <col min="18" max="18" width="16.28515625" style="71" bestFit="1" customWidth="1"/>
    <col min="19" max="19" width="15" style="71" bestFit="1" customWidth="1"/>
    <col min="20" max="20" width="14.28515625" style="71" bestFit="1" customWidth="1"/>
    <col min="21" max="21" width="15.5703125" style="71" bestFit="1" customWidth="1"/>
    <col min="22" max="22" width="15.7109375" style="71" bestFit="1" customWidth="1"/>
    <col min="23" max="23" width="16.140625" style="71" bestFit="1" customWidth="1"/>
    <col min="24" max="24" width="15.42578125" style="71" bestFit="1" customWidth="1"/>
    <col min="25" max="25" width="16" style="71" bestFit="1" customWidth="1"/>
    <col min="26" max="27" width="14.42578125" style="71" bestFit="1" customWidth="1"/>
    <col min="28" max="28" width="16.42578125" style="71" bestFit="1" customWidth="1"/>
    <col min="29" max="29" width="22.42578125" style="71" bestFit="1" customWidth="1"/>
    <col min="30" max="30" width="15.85546875" style="71" bestFit="1" customWidth="1"/>
    <col min="31" max="31" width="16" style="71" bestFit="1" customWidth="1"/>
    <col min="32" max="32" width="14.7109375" style="71" bestFit="1" customWidth="1"/>
    <col min="33" max="33" width="15.5703125" style="71" bestFit="1" customWidth="1"/>
    <col min="34" max="34" width="14.85546875" style="71" bestFit="1" customWidth="1"/>
    <col min="35" max="35" width="15.28515625" style="71" bestFit="1" customWidth="1"/>
    <col min="36" max="36" width="14.5703125" style="71" bestFit="1" customWidth="1"/>
    <col min="37" max="37" width="16" style="71" bestFit="1" customWidth="1"/>
    <col min="38" max="38" width="14.85546875" style="71" bestFit="1" customWidth="1"/>
    <col min="39" max="39" width="16.7109375" style="71" bestFit="1" customWidth="1"/>
    <col min="40" max="40" width="13.85546875" style="71" bestFit="1" customWidth="1"/>
    <col min="41" max="42" width="14.85546875" style="71" bestFit="1" customWidth="1"/>
    <col min="43" max="43" width="16" style="71" bestFit="1" customWidth="1"/>
    <col min="44" max="44" width="16.140625" style="71" bestFit="1" customWidth="1"/>
    <col min="45" max="45" width="14.85546875" style="71" bestFit="1" customWidth="1"/>
    <col min="46" max="46" width="14.140625" style="71" bestFit="1" customWidth="1"/>
    <col min="47" max="47" width="15.28515625" style="71" bestFit="1" customWidth="1"/>
    <col min="48" max="48" width="15.5703125" style="71" bestFit="1" customWidth="1"/>
    <col min="49" max="49" width="15.85546875" style="71" bestFit="1" customWidth="1"/>
    <col min="50" max="50" width="15.28515625" style="71" bestFit="1" customWidth="1"/>
    <col min="51" max="51" width="15.85546875" style="71" bestFit="1" customWidth="1"/>
    <col min="52" max="53" width="14.28515625" style="71" bestFit="1" customWidth="1"/>
    <col min="54" max="54" width="15.5703125" style="71" bestFit="1" customWidth="1"/>
    <col min="55" max="55" width="22.5703125" style="71" bestFit="1" customWidth="1"/>
    <col min="56" max="56" width="15.85546875" style="71" bestFit="1" customWidth="1"/>
    <col min="57" max="57" width="16" style="71" bestFit="1" customWidth="1"/>
    <col min="58" max="58" width="14.7109375" style="71" bestFit="1" customWidth="1"/>
    <col min="59" max="59" width="15.42578125" style="71" bestFit="1" customWidth="1"/>
    <col min="60" max="60" width="14.7109375" style="71" bestFit="1" customWidth="1"/>
    <col min="61" max="61" width="15.140625" style="71" bestFit="1" customWidth="1"/>
    <col min="62" max="62" width="14.28515625" style="71" bestFit="1" customWidth="1"/>
    <col min="63" max="63" width="15.7109375" style="71" bestFit="1" customWidth="1"/>
    <col min="64" max="64" width="14.7109375" style="71" bestFit="1" customWidth="1"/>
    <col min="65" max="65" width="16.7109375" style="71" bestFit="1" customWidth="1"/>
    <col min="66" max="66" width="13.7109375" style="71" bestFit="1" customWidth="1"/>
    <col min="67" max="67" width="14.5703125" style="71" bestFit="1" customWidth="1"/>
    <col min="68" max="68" width="14.85546875" style="71" bestFit="1" customWidth="1"/>
    <col min="69" max="69" width="16" style="71" bestFit="1" customWidth="1"/>
    <col min="70" max="70" width="16.28515625" style="71" bestFit="1" customWidth="1"/>
    <col min="71" max="71" width="14.85546875" style="71" bestFit="1" customWidth="1"/>
    <col min="72" max="72" width="14.140625" style="71" bestFit="1" customWidth="1"/>
    <col min="73" max="73" width="15.28515625" style="71" bestFit="1" customWidth="1"/>
    <col min="74" max="74" width="15.85546875" style="71" bestFit="1" customWidth="1"/>
    <col min="75" max="75" width="16.140625" style="71" bestFit="1" customWidth="1"/>
    <col min="76" max="76" width="15.140625" style="71" bestFit="1" customWidth="1"/>
    <col min="77" max="77" width="16" style="71" bestFit="1" customWidth="1"/>
    <col min="78" max="78" width="14.42578125" style="71" bestFit="1" customWidth="1"/>
    <col min="79" max="79" width="13.85546875" style="71" bestFit="1" customWidth="1"/>
    <col min="80" max="80" width="15.42578125" style="71" bestFit="1" customWidth="1"/>
    <col min="81" max="16384" width="9.140625" style="71"/>
  </cols>
  <sheetData>
    <row r="1" spans="1:80" x14ac:dyDescent="0.25">
      <c r="A1" s="81" t="s">
        <v>39</v>
      </c>
      <c r="B1" s="82" t="s">
        <v>334</v>
      </c>
      <c r="C1" s="84" t="s">
        <v>1429</v>
      </c>
      <c r="D1" s="84" t="s">
        <v>1430</v>
      </c>
      <c r="E1" s="84" t="s">
        <v>1431</v>
      </c>
      <c r="F1" s="84" t="s">
        <v>1432</v>
      </c>
      <c r="G1" s="84" t="s">
        <v>1433</v>
      </c>
      <c r="H1" s="84" t="s">
        <v>1434</v>
      </c>
      <c r="I1" s="84" t="s">
        <v>1435</v>
      </c>
      <c r="J1" s="84" t="s">
        <v>1436</v>
      </c>
      <c r="K1" s="84" t="s">
        <v>1437</v>
      </c>
      <c r="L1" s="84" t="s">
        <v>1438</v>
      </c>
      <c r="M1" s="84" t="s">
        <v>1439</v>
      </c>
      <c r="N1" s="84" t="s">
        <v>1440</v>
      </c>
      <c r="O1" s="84" t="s">
        <v>1441</v>
      </c>
      <c r="P1" s="84" t="s">
        <v>1442</v>
      </c>
      <c r="Q1" s="84" t="s">
        <v>1443</v>
      </c>
      <c r="R1" s="84" t="s">
        <v>1444</v>
      </c>
      <c r="S1" s="84" t="s">
        <v>1445</v>
      </c>
      <c r="T1" s="84" t="s">
        <v>1446</v>
      </c>
      <c r="U1" s="84" t="s">
        <v>1447</v>
      </c>
      <c r="V1" s="84" t="s">
        <v>1448</v>
      </c>
      <c r="W1" s="84" t="s">
        <v>1449</v>
      </c>
      <c r="X1" s="84" t="s">
        <v>1450</v>
      </c>
      <c r="Y1" s="84" t="s">
        <v>1451</v>
      </c>
      <c r="Z1" s="84" t="s">
        <v>1452</v>
      </c>
      <c r="AA1" s="84" t="s">
        <v>1453</v>
      </c>
      <c r="AB1" s="84" t="s">
        <v>1454</v>
      </c>
      <c r="AC1" s="84" t="s">
        <v>1455</v>
      </c>
      <c r="AD1" s="84" t="s">
        <v>1456</v>
      </c>
      <c r="AE1" s="84" t="s">
        <v>1457</v>
      </c>
      <c r="AF1" s="84" t="s">
        <v>1458</v>
      </c>
      <c r="AG1" s="84" t="s">
        <v>1459</v>
      </c>
      <c r="AH1" s="84" t="s">
        <v>1460</v>
      </c>
      <c r="AI1" s="84" t="s">
        <v>1461</v>
      </c>
      <c r="AJ1" s="84" t="s">
        <v>1462</v>
      </c>
      <c r="AK1" s="84" t="s">
        <v>1463</v>
      </c>
      <c r="AL1" s="84" t="s">
        <v>1464</v>
      </c>
      <c r="AM1" s="84" t="s">
        <v>1465</v>
      </c>
      <c r="AN1" s="84" t="s">
        <v>1466</v>
      </c>
      <c r="AO1" s="84" t="s">
        <v>1467</v>
      </c>
      <c r="AP1" s="84" t="s">
        <v>1468</v>
      </c>
      <c r="AQ1" s="84" t="s">
        <v>1469</v>
      </c>
      <c r="AR1" s="84" t="s">
        <v>1470</v>
      </c>
      <c r="AS1" s="84" t="s">
        <v>1471</v>
      </c>
      <c r="AT1" s="84" t="s">
        <v>1472</v>
      </c>
      <c r="AU1" s="84" t="s">
        <v>1473</v>
      </c>
      <c r="AV1" s="84" t="s">
        <v>1474</v>
      </c>
      <c r="AW1" s="84" t="s">
        <v>1475</v>
      </c>
      <c r="AX1" s="84" t="s">
        <v>1476</v>
      </c>
      <c r="AY1" s="84" t="s">
        <v>1477</v>
      </c>
      <c r="AZ1" s="84" t="s">
        <v>1478</v>
      </c>
      <c r="BA1" s="84" t="s">
        <v>1479</v>
      </c>
      <c r="BB1" s="84" t="s">
        <v>1480</v>
      </c>
      <c r="BC1" s="85" t="s">
        <v>1130</v>
      </c>
      <c r="BD1" s="85" t="s">
        <v>1223</v>
      </c>
      <c r="BE1" s="85" t="s">
        <v>1224</v>
      </c>
      <c r="BF1" s="85" t="s">
        <v>1225</v>
      </c>
      <c r="BG1" s="85" t="s">
        <v>1226</v>
      </c>
      <c r="BH1" s="85" t="s">
        <v>1227</v>
      </c>
      <c r="BI1" s="85" t="s">
        <v>1228</v>
      </c>
      <c r="BJ1" s="85" t="s">
        <v>1229</v>
      </c>
      <c r="BK1" s="85" t="s">
        <v>1230</v>
      </c>
      <c r="BL1" s="85" t="s">
        <v>1231</v>
      </c>
      <c r="BM1" s="85" t="s">
        <v>1232</v>
      </c>
      <c r="BN1" s="85" t="s">
        <v>1233</v>
      </c>
      <c r="BO1" s="85" t="s">
        <v>1234</v>
      </c>
      <c r="BP1" s="85" t="s">
        <v>1235</v>
      </c>
      <c r="BQ1" s="85" t="s">
        <v>1236</v>
      </c>
      <c r="BR1" s="85" t="s">
        <v>1237</v>
      </c>
      <c r="BS1" s="85" t="s">
        <v>1238</v>
      </c>
      <c r="BT1" s="85" t="s">
        <v>1239</v>
      </c>
      <c r="BU1" s="85" t="s">
        <v>1305</v>
      </c>
      <c r="BV1" s="85" t="s">
        <v>1240</v>
      </c>
      <c r="BW1" s="85" t="s">
        <v>1241</v>
      </c>
      <c r="BX1" s="85" t="s">
        <v>1242</v>
      </c>
      <c r="BY1" s="85" t="s">
        <v>1243</v>
      </c>
      <c r="BZ1" s="85" t="s">
        <v>1244</v>
      </c>
      <c r="CA1" s="85" t="s">
        <v>1245</v>
      </c>
      <c r="CB1" s="85" t="s">
        <v>1246</v>
      </c>
    </row>
    <row r="2" spans="1:80" x14ac:dyDescent="0.25">
      <c r="A2" s="86" t="s">
        <v>0</v>
      </c>
      <c r="B2" s="84" t="s">
        <v>1057</v>
      </c>
      <c r="C2" s="70">
        <f>IFERROR(1/SUM(1/D2,1/U2,1/AA2,1/AB2),".")</f>
        <v>1.6528925619834712E-4</v>
      </c>
      <c r="D2" s="70">
        <f>IFERROR(s_DL/(up_RadSpec!$H2*s_IFAP_res_adj*s_CF_apple),".")</f>
        <v>6.6115702479338848E-4</v>
      </c>
      <c r="E2" s="70">
        <f>IFERROR(s_DL/(up_RadSpec!$H2*s_IFAS_res_adj*s_CF_asparagus),".")</f>
        <v>6.6115702479338848E-4</v>
      </c>
      <c r="F2" s="70">
        <f>IFERROR(s_DL/(up_RadSpec!$H2*s_IFBT_res_adj*s_CF_beet),".")</f>
        <v>6.6115702479338848E-4</v>
      </c>
      <c r="G2" s="70">
        <f>IFERROR(s_DL/(up_RadSpec!$H2*s_IFBE_res_adj*s_CF_berries),".")</f>
        <v>6.6115702479338848E-4</v>
      </c>
      <c r="H2" s="70">
        <f>IFERROR(s_DL/(up_RadSpec!$H2*s_IFBR_res_adj*s_CF_broccoli),".")</f>
        <v>6.6115702479338848E-4</v>
      </c>
      <c r="I2" s="70">
        <f>IFERROR(s_DL/(up_RadSpec!$H2*s_IFCB_res_adj*s_CF_cabbage),".")</f>
        <v>6.6115702479338848E-4</v>
      </c>
      <c r="J2" s="70">
        <f>IFERROR(s_DL/(up_RadSpec!$H2*s_IFCR_res_adj*s_CF_carrot),".")</f>
        <v>6.6115702479338848E-4</v>
      </c>
      <c r="K2" s="70">
        <f>IFERROR(s_DL/(up_RadSpec!$H2*s_IFCI_res_adj*s_CF_citrus),".")</f>
        <v>6.6115702479338848E-4</v>
      </c>
      <c r="L2" s="70">
        <f>IFERROR(s_DL/(up_RadSpec!$H2*s_IFCO_res_adj*s_CF_corn),".")</f>
        <v>6.6115702479338848E-4</v>
      </c>
      <c r="M2" s="70">
        <f>IFERROR(s_DL/(up_RadSpec!$H2*s_IFCU_res_adj*s_CF_cucumber),".")</f>
        <v>6.6115702479338848E-4</v>
      </c>
      <c r="N2" s="70">
        <f>IFERROR(s_DL/(up_RadSpec!$H2*s_IFLE_res_adj*s_CF_lettuce),".")</f>
        <v>6.6115702479338848E-4</v>
      </c>
      <c r="O2" s="70">
        <f>IFERROR(s_DL/(up_RadSpec!$H2*s_IFLI_res_adj*s_CF_lima_bean),".")</f>
        <v>6.6115702479338848E-4</v>
      </c>
      <c r="P2" s="70">
        <f>IFERROR(s_DL/(up_RadSpec!$H2*s_IFOK_res_adj*s_CF_okra),".")</f>
        <v>6.6115702479338848E-4</v>
      </c>
      <c r="Q2" s="70">
        <f>IFERROR(s_DL/(up_RadSpec!$H2*s_IFON_res_adj*s_CF_onion),".")</f>
        <v>6.6115702479338848E-4</v>
      </c>
      <c r="R2" s="70">
        <f>IFERROR(s_DL/(up_RadSpec!$H2*s_IFPC_res_adj*s_CF_peach),".")</f>
        <v>6.6115702479338848E-4</v>
      </c>
      <c r="S2" s="70">
        <f>IFERROR(s_DL/(up_RadSpec!$H2*s_IFPR_res_adj*s_CF_pear),".")</f>
        <v>6.6115702479338848E-4</v>
      </c>
      <c r="T2" s="70">
        <f>IFERROR(s_DL/(up_RadSpec!$H2*s_IFPE_res_adj*s_CF_peas),".")</f>
        <v>6.6115702479338848E-4</v>
      </c>
      <c r="U2" s="70">
        <f>IFERROR(s_DL/(up_RadSpec!$H2*s_IFPP_res_adj*s_CF_peppers),".")</f>
        <v>6.6115702479338848E-4</v>
      </c>
      <c r="V2" s="70">
        <f>IFERROR(s_DL/(up_RadSpec!$H2*s_IFPT_res_adj*s_CF_potato),".")</f>
        <v>6.6115702479338848E-4</v>
      </c>
      <c r="W2" s="70">
        <f>IFERROR(s_DL/(up_RadSpec!$H2*s_IFPU_res_adj*s_CF_pumpkin),".")</f>
        <v>6.6115702479338848E-4</v>
      </c>
      <c r="X2" s="70">
        <f>IFERROR(s_DL/(up_RadSpec!$H2*s_IFSN_res_adj*s_CF_snap_bean),".")</f>
        <v>6.6115702479338848E-4</v>
      </c>
      <c r="Y2" s="70">
        <f>IFERROR(s_DL/(up_RadSpec!$H2*s_IFST_res_adj*s_CF_strawberry),".")</f>
        <v>6.6115702479338848E-4</v>
      </c>
      <c r="Z2" s="70">
        <f>IFERROR(s_DL/(up_RadSpec!$H2*s_IFTO_res_adj*s_CF_tomato),".")</f>
        <v>6.6115702479338848E-4</v>
      </c>
      <c r="AA2" s="70">
        <f>IFERROR(s_DL/(up_RadSpec!$H2*s_IFRI_res_adj*s_CF_rice),".")</f>
        <v>6.6115702479338848E-4</v>
      </c>
      <c r="AB2" s="70">
        <f>IFERROR(s_DL/(up_RadSpec!$H2*s_IFCG_res_adj*s_CF_cereal),".")</f>
        <v>6.6115702479338848E-4</v>
      </c>
      <c r="AC2" s="70">
        <f>IFERROR(1/SUM(1/AD2,1/AU2,1/BA2,1/BB2),".")</f>
        <v>1.6528925619834712E-4</v>
      </c>
      <c r="AD2" s="70">
        <f>IFERROR(s_DL/(up_RadSpec!$H2*s_IFAP_far_adj*s_CF_apple),".")</f>
        <v>6.6115702479338848E-4</v>
      </c>
      <c r="AE2" s="70">
        <f>IFERROR(s_DL/(up_RadSpec!$H2*s_IFAS_far_adj*s_CF_asparagus),".")</f>
        <v>6.6115702479338848E-4</v>
      </c>
      <c r="AF2" s="70">
        <f>IFERROR(s_DL/(up_RadSpec!$H2*s_IFBT_far_adj*s_CF_beet),".")</f>
        <v>6.6115702479338848E-4</v>
      </c>
      <c r="AG2" s="70">
        <f>IFERROR(s_DL/(up_RadSpec!$H2*s_IFBE_far_adj*s_CF_berries),".")</f>
        <v>6.6115702479338848E-4</v>
      </c>
      <c r="AH2" s="70">
        <f>IFERROR(s_DL/(up_RadSpec!$H2*s_IFBR_far_adj*s_CF_broccoli),".")</f>
        <v>6.6115702479338848E-4</v>
      </c>
      <c r="AI2" s="70">
        <f>IFERROR(s_DL/(up_RadSpec!$H2*s_IFCB_far_adj*s_CF_cabbage),".")</f>
        <v>6.6115702479338848E-4</v>
      </c>
      <c r="AJ2" s="70">
        <f>IFERROR(s_DL/(up_RadSpec!$H2*s_IFCR_far_adj*s_CF_carrot),".")</f>
        <v>6.6115702479338848E-4</v>
      </c>
      <c r="AK2" s="70">
        <f>IFERROR(s_DL/(up_RadSpec!$H2*s_IFCI_far_adj*s_CF_citrus),".")</f>
        <v>6.6115702479338848E-4</v>
      </c>
      <c r="AL2" s="70">
        <f>IFERROR(s_DL/(up_RadSpec!$H2*s_IFCO_far_adj*s_CF_corn),".")</f>
        <v>6.6115702479338848E-4</v>
      </c>
      <c r="AM2" s="70">
        <f>IFERROR(s_DL/(up_RadSpec!$H2*s_IFCU_far_adj*s_CF_cucumber),".")</f>
        <v>6.6115702479338848E-4</v>
      </c>
      <c r="AN2" s="70">
        <f>IFERROR(s_DL/(up_RadSpec!$H2*s_IFLE_far_adj*s_CF_lettuce),".")</f>
        <v>6.6115702479338848E-4</v>
      </c>
      <c r="AO2" s="70">
        <f>IFERROR(s_DL/(up_RadSpec!$H2*s_IFLI_far_adj*s_CF_lima_bean),".")</f>
        <v>6.6115702479338848E-4</v>
      </c>
      <c r="AP2" s="70">
        <f>IFERROR(s_DL/(up_RadSpec!$H2*s_IFOK_far_adj*s_CF_okra),".")</f>
        <v>6.6115702479338848E-4</v>
      </c>
      <c r="AQ2" s="70">
        <f>IFERROR(s_DL/(up_RadSpec!$H2*s_IFON_far_adj*s_CF_onion),".")</f>
        <v>6.6115702479338848E-4</v>
      </c>
      <c r="AR2" s="70">
        <f>IFERROR(s_DL/(up_RadSpec!$H2*s_IFPC_far_adj*s_CF_peach),".")</f>
        <v>6.6115702479338848E-4</v>
      </c>
      <c r="AS2" s="70">
        <f>IFERROR(s_DL/(up_RadSpec!$H2*s_IFPR_far_adj*s_CF_pear),".")</f>
        <v>6.6115702479338848E-4</v>
      </c>
      <c r="AT2" s="70">
        <f>IFERROR(s_DL/(up_RadSpec!$H2*s_IFPE_far_adj*s_CF_peas),".")</f>
        <v>6.6115702479338848E-4</v>
      </c>
      <c r="AU2" s="70">
        <f>IFERROR(s_DL/(up_RadSpec!$H2*s_IFPP_far_adj*s_CF_peppers),".")</f>
        <v>6.6115702479338848E-4</v>
      </c>
      <c r="AV2" s="70">
        <f>IFERROR(s_DL/(up_RadSpec!$H2*s_IFPT_far_adj*s_CF_potato),".")</f>
        <v>6.6115702479338848E-4</v>
      </c>
      <c r="AW2" s="70">
        <f>IFERROR(s_DL/(up_RadSpec!$H2*s_IFPU_far_adj*s_CF_pumpkin),".")</f>
        <v>6.6115702479338848E-4</v>
      </c>
      <c r="AX2" s="70">
        <f>IFERROR(s_DL/(up_RadSpec!$H2*s_IFSN_far_adj*s_CF_snap_bean),".")</f>
        <v>6.6115702479338848E-4</v>
      </c>
      <c r="AY2" s="70">
        <f>IFERROR(s_DL/(up_RadSpec!$H2*s_IFST_far_adj*s_CF_strawberry),".")</f>
        <v>6.6115702479338848E-4</v>
      </c>
      <c r="AZ2" s="70">
        <f>IFERROR(s_DL/(up_RadSpec!$H2*s_IFTO_far_adj*s_CF_tomato),".")</f>
        <v>6.6115702479338848E-4</v>
      </c>
      <c r="BA2" s="70">
        <f>IFERROR(s_DL/(up_RadSpec!$H2*s_IFRI_far_adj*s_CF_rice),".")</f>
        <v>6.6115702479338848E-4</v>
      </c>
      <c r="BB2" s="70">
        <f>IFERROR(s_DL/(up_RadSpec!$H2*s_IFCG_far_adj*s_CF_cereal),".")</f>
        <v>6.6115702479338848E-4</v>
      </c>
      <c r="BC2" s="87">
        <f>SUM(BD2,BU2,CA2:CB2)</f>
        <v>30250</v>
      </c>
      <c r="BD2" s="87">
        <f t="shared" ref="BD2:BD30" si="0">IFERROR(s_C*s_IFAP_far_adj*s_CF_apple,".")</f>
        <v>7562.5</v>
      </c>
      <c r="BE2" s="87">
        <f t="shared" ref="BE2:BE30" si="1">IFERROR(s_C*s_IFAS_far_adj*s_CF_asparagus,".")</f>
        <v>7562.5</v>
      </c>
      <c r="BF2" s="87">
        <f t="shared" ref="BF2:BF30" si="2">IFERROR(s_C*s_IFBT_far_adj*s_CF_beet,".")</f>
        <v>7562.5</v>
      </c>
      <c r="BG2" s="87">
        <f t="shared" ref="BG2:BG30" si="3">IFERROR(s_C*s_IFBR_far_adj*s_CF_berries,".")</f>
        <v>7562.5</v>
      </c>
      <c r="BH2" s="87">
        <f t="shared" ref="BH2:BH30" si="4">IFERROR(s_C*s_IFBR_far_adj*s_CF_broccoli,".")</f>
        <v>7562.5</v>
      </c>
      <c r="BI2" s="87">
        <f t="shared" ref="BI2:BI30" si="5">IFERROR(s_C*s_IFCB_far_adj*s_CF_cabbage,".")</f>
        <v>7562.5</v>
      </c>
      <c r="BJ2" s="87">
        <f t="shared" ref="BJ2:BJ30" si="6">IFERROR(s_C*s_IFCR_far_adj*s_CF_carrot,".")</f>
        <v>7562.5</v>
      </c>
      <c r="BK2" s="87">
        <f t="shared" ref="BK2:BK30" si="7">IFERROR(s_C*s_IFCI_far_adj*s_CF_citrus,".")</f>
        <v>7562.5</v>
      </c>
      <c r="BL2" s="87">
        <f t="shared" ref="BL2:BL30" si="8">IFERROR(s_C*s_IFCO_far_adj*s_CF_corn,".")</f>
        <v>7562.5</v>
      </c>
      <c r="BM2" s="87">
        <f t="shared" ref="BM2:BM30" si="9">IFERROR(s_C*s_IFCU_far_adj*s_CF_cucumber,".")</f>
        <v>7562.5</v>
      </c>
      <c r="BN2" s="87">
        <f t="shared" ref="BN2:BN30" si="10">IFERROR(s_C*s_IFLE_far_adj*s_CF_lettuce,".")</f>
        <v>7562.5</v>
      </c>
      <c r="BO2" s="87">
        <f t="shared" ref="BO2:BO30" si="11">IFERROR(s_C*s_IFLI_far_adj*s_CF_lima_bean,".")</f>
        <v>7562.5</v>
      </c>
      <c r="BP2" s="87">
        <f t="shared" ref="BP2:BP30" si="12">IFERROR(s_C*s_IFOK_far_adj*s_CF_okra,".")</f>
        <v>7562.5</v>
      </c>
      <c r="BQ2" s="87">
        <f t="shared" ref="BQ2:BQ30" si="13">IFERROR(s_C*s_IFON_far_adj*s_CF_onion,".")</f>
        <v>7562.5</v>
      </c>
      <c r="BR2" s="87">
        <f t="shared" ref="BR2:BR30" si="14">IFERROR(s_C*s_IFPC_far_adj*s_CF_peach,".")</f>
        <v>7562.5</v>
      </c>
      <c r="BS2" s="87">
        <f t="shared" ref="BS2:BS30" si="15">IFERROR(s_C*s_IFPR_far_adj*s_CF_pear,".")</f>
        <v>7562.5</v>
      </c>
      <c r="BT2" s="87">
        <f>IFERROR(s_C*s_IFPE_far_adj*s_CF_peas,".")</f>
        <v>7562.5</v>
      </c>
      <c r="BU2" s="87">
        <f t="shared" ref="BU2:BU30" si="16">IFERROR(s_C*s_IFPP_far_adj*s_CF_peppers,".")</f>
        <v>7562.5</v>
      </c>
      <c r="BV2" s="87">
        <f t="shared" ref="BV2:BV30" si="17">IFERROR(s_C*s_IFPT_far_adj*s_CF_potato,".")</f>
        <v>7562.5</v>
      </c>
      <c r="BW2" s="87">
        <f t="shared" ref="BW2:BW30" si="18">IFERROR(s_C*s_IFPU_far_adj*s_CF_pumpkin,".")</f>
        <v>7562.5</v>
      </c>
      <c r="BX2" s="87">
        <f t="shared" ref="BX2:BX30" si="19">IFERROR(s_C*s_IFSN_far_adj*s_CF_snap_bean,".")</f>
        <v>7562.5</v>
      </c>
      <c r="BY2" s="87">
        <f t="shared" ref="BY2:BY30" si="20">IFERROR(s_C*s_IFST_far_adj*s_CF_strawberry,".")</f>
        <v>7562.5</v>
      </c>
      <c r="BZ2" s="87">
        <f t="shared" ref="BZ2:BZ30" si="21">IFERROR(s_C*s_IFTO_far_adj*s_CF_tomato,".")</f>
        <v>7562.5</v>
      </c>
      <c r="CA2" s="87">
        <f t="shared" ref="CA2:CA30" si="22">IFERROR(s_C*s_IFRI_far_adj*s_CF_rice,".")</f>
        <v>7562.5</v>
      </c>
      <c r="CB2" s="87">
        <f t="shared" ref="CB2:CB30" si="23">IFERROR(s_C*s_IFCG_far_adj*s_CF_cereal,".")</f>
        <v>7562.5</v>
      </c>
    </row>
    <row r="3" spans="1:80" x14ac:dyDescent="0.25">
      <c r="A3" s="88" t="s">
        <v>1</v>
      </c>
      <c r="B3" s="84" t="s">
        <v>335</v>
      </c>
      <c r="C3" s="70">
        <f t="shared" ref="C3:C30" si="24">IFERROR(1/SUM(1/D3,1/U3,1/AA3,1/AB3),".")</f>
        <v>1.6528925619834712E-4</v>
      </c>
      <c r="D3" s="70">
        <f>IFERROR(s_DL/(up_RadSpec!$H3*s_IFAP_res_adj*s_CF_apple),".")</f>
        <v>6.6115702479338848E-4</v>
      </c>
      <c r="E3" s="70">
        <f>IFERROR(s_DL/(up_RadSpec!$H3*s_IFAS_res_adj*s_CF_asparagus),".")</f>
        <v>6.6115702479338848E-4</v>
      </c>
      <c r="F3" s="70">
        <f>IFERROR(s_DL/(up_RadSpec!$H3*s_IFBT_res_adj*s_CF_beet),".")</f>
        <v>6.6115702479338848E-4</v>
      </c>
      <c r="G3" s="70">
        <f>IFERROR(s_DL/(up_RadSpec!$H3*s_IFBE_res_adj*s_CF_berries),".")</f>
        <v>6.6115702479338848E-4</v>
      </c>
      <c r="H3" s="70">
        <f>IFERROR(s_DL/(up_RadSpec!$H3*s_IFBR_res_adj*s_CF_broccoli),".")</f>
        <v>6.6115702479338848E-4</v>
      </c>
      <c r="I3" s="70">
        <f>IFERROR(s_DL/(up_RadSpec!$H3*s_IFCB_res_adj*s_CF_cabbage),".")</f>
        <v>6.6115702479338848E-4</v>
      </c>
      <c r="J3" s="70">
        <f>IFERROR(s_DL/(up_RadSpec!$H3*s_IFCR_res_adj*s_CF_carrot),".")</f>
        <v>6.6115702479338848E-4</v>
      </c>
      <c r="K3" s="70">
        <f>IFERROR(s_DL/(up_RadSpec!$H3*s_IFCI_res_adj*s_CF_citrus),".")</f>
        <v>6.6115702479338848E-4</v>
      </c>
      <c r="L3" s="70">
        <f>IFERROR(s_DL/(up_RadSpec!$H3*s_IFCO_res_adj*s_CF_corn),".")</f>
        <v>6.6115702479338848E-4</v>
      </c>
      <c r="M3" s="70">
        <f>IFERROR(s_DL/(up_RadSpec!$H3*s_IFCU_res_adj*s_CF_cucumber),".")</f>
        <v>6.6115702479338848E-4</v>
      </c>
      <c r="N3" s="70">
        <f>IFERROR(s_DL/(up_RadSpec!$H3*s_IFLE_res_adj*s_CF_lettuce),".")</f>
        <v>6.6115702479338848E-4</v>
      </c>
      <c r="O3" s="70">
        <f>IFERROR(s_DL/(up_RadSpec!$H3*s_IFLI_res_adj*s_CF_lima_bean),".")</f>
        <v>6.6115702479338848E-4</v>
      </c>
      <c r="P3" s="70">
        <f>IFERROR(s_DL/(up_RadSpec!$H3*s_IFOK_res_adj*s_CF_okra),".")</f>
        <v>6.6115702479338848E-4</v>
      </c>
      <c r="Q3" s="70">
        <f>IFERROR(s_DL/(up_RadSpec!$H3*s_IFON_res_adj*s_CF_onion),".")</f>
        <v>6.6115702479338848E-4</v>
      </c>
      <c r="R3" s="70">
        <f>IFERROR(s_DL/(up_RadSpec!$H3*s_IFPC_res_adj*s_CF_peach),".")</f>
        <v>6.6115702479338848E-4</v>
      </c>
      <c r="S3" s="70">
        <f>IFERROR(s_DL/(up_RadSpec!$H3*s_IFPR_res_adj*s_CF_pear),".")</f>
        <v>6.6115702479338848E-4</v>
      </c>
      <c r="T3" s="70">
        <f>IFERROR(s_DL/(up_RadSpec!$H3*s_IFPE_res_adj*s_CF_peas),".")</f>
        <v>6.6115702479338848E-4</v>
      </c>
      <c r="U3" s="70">
        <f>IFERROR(s_DL/(up_RadSpec!$H3*s_IFPP_res_adj*s_CF_peppers),".")</f>
        <v>6.6115702479338848E-4</v>
      </c>
      <c r="V3" s="70">
        <f>IFERROR(s_DL/(up_RadSpec!$H3*s_IFPT_res_adj*s_CF_potato),".")</f>
        <v>6.6115702479338848E-4</v>
      </c>
      <c r="W3" s="70">
        <f>IFERROR(s_DL/(up_RadSpec!$H3*s_IFPU_res_adj*s_CF_pumpkin),".")</f>
        <v>6.6115702479338848E-4</v>
      </c>
      <c r="X3" s="70">
        <f>IFERROR(s_DL/(up_RadSpec!$H3*s_IFSN_res_adj*s_CF_snap_bean),".")</f>
        <v>6.6115702479338848E-4</v>
      </c>
      <c r="Y3" s="70">
        <f>IFERROR(s_DL/(up_RadSpec!$H3*s_IFST_res_adj*s_CF_strawberry),".")</f>
        <v>6.6115702479338848E-4</v>
      </c>
      <c r="Z3" s="70">
        <f>IFERROR(s_DL/(up_RadSpec!$H3*s_IFTO_res_adj*s_CF_tomato),".")</f>
        <v>6.6115702479338848E-4</v>
      </c>
      <c r="AA3" s="70">
        <f>IFERROR(s_DL/(up_RadSpec!$H3*s_IFRI_res_adj*s_CF_rice),".")</f>
        <v>6.6115702479338848E-4</v>
      </c>
      <c r="AB3" s="70">
        <f>IFERROR(s_DL/(up_RadSpec!$H3*s_IFCG_res_adj*s_CF_cereal),".")</f>
        <v>6.6115702479338848E-4</v>
      </c>
      <c r="AC3" s="70">
        <f t="shared" ref="AC3:AC30" si="25">IFERROR(1/SUM(1/AD3,1/AU3,1/BA3,1/BB3),".")</f>
        <v>1.6528925619834712E-4</v>
      </c>
      <c r="AD3" s="70">
        <f>IFERROR(s_DL/(up_RadSpec!$H3*s_IFAP_far_adj*s_CF_apple),".")</f>
        <v>6.6115702479338848E-4</v>
      </c>
      <c r="AE3" s="70">
        <f>IFERROR(s_DL/(up_RadSpec!$H3*s_IFAS_far_adj*s_CF_asparagus),".")</f>
        <v>6.6115702479338848E-4</v>
      </c>
      <c r="AF3" s="70">
        <f>IFERROR(s_DL/(up_RadSpec!$H3*s_IFBT_far_adj*s_CF_beet),".")</f>
        <v>6.6115702479338848E-4</v>
      </c>
      <c r="AG3" s="70">
        <f>IFERROR(s_DL/(up_RadSpec!$H3*s_IFBE_far_adj*s_CF_berries),".")</f>
        <v>6.6115702479338848E-4</v>
      </c>
      <c r="AH3" s="70">
        <f>IFERROR(s_DL/(up_RadSpec!$H3*s_IFBR_far_adj*s_CF_broccoli),".")</f>
        <v>6.6115702479338848E-4</v>
      </c>
      <c r="AI3" s="70">
        <f>IFERROR(s_DL/(up_RadSpec!$H3*s_IFCB_far_adj*s_CF_cabbage),".")</f>
        <v>6.6115702479338848E-4</v>
      </c>
      <c r="AJ3" s="70">
        <f>IFERROR(s_DL/(up_RadSpec!$H3*s_IFCR_far_adj*s_CF_carrot),".")</f>
        <v>6.6115702479338848E-4</v>
      </c>
      <c r="AK3" s="70">
        <f>IFERROR(s_DL/(up_RadSpec!$H3*s_IFCI_far_adj*s_CF_citrus),".")</f>
        <v>6.6115702479338848E-4</v>
      </c>
      <c r="AL3" s="70">
        <f>IFERROR(s_DL/(up_RadSpec!$H3*s_IFCO_far_adj*s_CF_corn),".")</f>
        <v>6.6115702479338848E-4</v>
      </c>
      <c r="AM3" s="70">
        <f>IFERROR(s_DL/(up_RadSpec!$H3*s_IFCU_far_adj*s_CF_cucumber),".")</f>
        <v>6.6115702479338848E-4</v>
      </c>
      <c r="AN3" s="70">
        <f>IFERROR(s_DL/(up_RadSpec!$H3*s_IFLE_far_adj*s_CF_lettuce),".")</f>
        <v>6.6115702479338848E-4</v>
      </c>
      <c r="AO3" s="70">
        <f>IFERROR(s_DL/(up_RadSpec!$H3*s_IFLI_far_adj*s_CF_lima_bean),".")</f>
        <v>6.6115702479338848E-4</v>
      </c>
      <c r="AP3" s="70">
        <f>IFERROR(s_DL/(up_RadSpec!$H3*s_IFOK_far_adj*s_CF_okra),".")</f>
        <v>6.6115702479338848E-4</v>
      </c>
      <c r="AQ3" s="70">
        <f>IFERROR(s_DL/(up_RadSpec!$H3*s_IFON_far_adj*s_CF_onion),".")</f>
        <v>6.6115702479338848E-4</v>
      </c>
      <c r="AR3" s="70">
        <f>IFERROR(s_DL/(up_RadSpec!$H3*s_IFPC_far_adj*s_CF_peach),".")</f>
        <v>6.6115702479338848E-4</v>
      </c>
      <c r="AS3" s="70">
        <f>IFERROR(s_DL/(up_RadSpec!$H3*s_IFPR_far_adj*s_CF_pear),".")</f>
        <v>6.6115702479338848E-4</v>
      </c>
      <c r="AT3" s="70">
        <f>IFERROR(s_DL/(up_RadSpec!$H3*s_IFPE_far_adj*s_CF_peas),".")</f>
        <v>6.6115702479338848E-4</v>
      </c>
      <c r="AU3" s="70">
        <f>IFERROR(s_DL/(up_RadSpec!$H3*s_IFPP_far_adj*s_CF_peppers),".")</f>
        <v>6.6115702479338848E-4</v>
      </c>
      <c r="AV3" s="70">
        <f>IFERROR(s_DL/(up_RadSpec!$H3*s_IFPT_far_adj*s_CF_potato),".")</f>
        <v>6.6115702479338848E-4</v>
      </c>
      <c r="AW3" s="70">
        <f>IFERROR(s_DL/(up_RadSpec!$H3*s_IFPU_far_adj*s_CF_pumpkin),".")</f>
        <v>6.6115702479338848E-4</v>
      </c>
      <c r="AX3" s="70">
        <f>IFERROR(s_DL/(up_RadSpec!$H3*s_IFSN_far_adj*s_CF_snap_bean),".")</f>
        <v>6.6115702479338848E-4</v>
      </c>
      <c r="AY3" s="70">
        <f>IFERROR(s_DL/(up_RadSpec!$H3*s_IFST_far_adj*s_CF_strawberry),".")</f>
        <v>6.6115702479338848E-4</v>
      </c>
      <c r="AZ3" s="70">
        <f>IFERROR(s_DL/(up_RadSpec!$H3*s_IFTO_far_adj*s_CF_tomato),".")</f>
        <v>6.6115702479338848E-4</v>
      </c>
      <c r="BA3" s="70">
        <f>IFERROR(s_DL/(up_RadSpec!$H3*s_IFRI_far_adj*s_CF_rice),".")</f>
        <v>6.6115702479338848E-4</v>
      </c>
      <c r="BB3" s="70">
        <f>IFERROR(s_DL/(up_RadSpec!$H3*s_IFCG_far_adj*s_CF_cereal),".")</f>
        <v>6.6115702479338848E-4</v>
      </c>
      <c r="BC3" s="87">
        <f t="shared" ref="BC3:BC30" si="26">SUM(BD3,BU3,CA3:CB3)</f>
        <v>30250</v>
      </c>
      <c r="BD3" s="87">
        <f t="shared" si="0"/>
        <v>7562.5</v>
      </c>
      <c r="BE3" s="87">
        <f t="shared" si="1"/>
        <v>7562.5</v>
      </c>
      <c r="BF3" s="87">
        <f t="shared" si="2"/>
        <v>7562.5</v>
      </c>
      <c r="BG3" s="87">
        <f t="shared" si="3"/>
        <v>7562.5</v>
      </c>
      <c r="BH3" s="87">
        <f t="shared" si="4"/>
        <v>7562.5</v>
      </c>
      <c r="BI3" s="87">
        <f t="shared" si="5"/>
        <v>7562.5</v>
      </c>
      <c r="BJ3" s="87">
        <f t="shared" si="6"/>
        <v>7562.5</v>
      </c>
      <c r="BK3" s="87">
        <f t="shared" si="7"/>
        <v>7562.5</v>
      </c>
      <c r="BL3" s="87">
        <f t="shared" si="8"/>
        <v>7562.5</v>
      </c>
      <c r="BM3" s="87">
        <f t="shared" si="9"/>
        <v>7562.5</v>
      </c>
      <c r="BN3" s="87">
        <f t="shared" si="10"/>
        <v>7562.5</v>
      </c>
      <c r="BO3" s="87">
        <f t="shared" si="11"/>
        <v>7562.5</v>
      </c>
      <c r="BP3" s="87">
        <f t="shared" si="12"/>
        <v>7562.5</v>
      </c>
      <c r="BQ3" s="87">
        <f t="shared" si="13"/>
        <v>7562.5</v>
      </c>
      <c r="BR3" s="87">
        <f t="shared" si="14"/>
        <v>7562.5</v>
      </c>
      <c r="BS3" s="87">
        <f t="shared" si="15"/>
        <v>7562.5</v>
      </c>
      <c r="BT3" s="87">
        <f t="shared" ref="BT3:BT30" si="27">IFERROR(s_C*s_IFPE_far_adj*s_CF_peas,".")</f>
        <v>7562.5</v>
      </c>
      <c r="BU3" s="87">
        <f t="shared" si="16"/>
        <v>7562.5</v>
      </c>
      <c r="BV3" s="87">
        <f t="shared" si="17"/>
        <v>7562.5</v>
      </c>
      <c r="BW3" s="87">
        <f t="shared" si="18"/>
        <v>7562.5</v>
      </c>
      <c r="BX3" s="87">
        <f t="shared" si="19"/>
        <v>7562.5</v>
      </c>
      <c r="BY3" s="87">
        <f t="shared" si="20"/>
        <v>7562.5</v>
      </c>
      <c r="BZ3" s="87">
        <f t="shared" si="21"/>
        <v>7562.5</v>
      </c>
      <c r="CA3" s="87">
        <f t="shared" si="22"/>
        <v>7562.5</v>
      </c>
      <c r="CB3" s="87">
        <f t="shared" si="23"/>
        <v>7562.5</v>
      </c>
    </row>
    <row r="4" spans="1:80" x14ac:dyDescent="0.25">
      <c r="A4" s="86" t="s">
        <v>2</v>
      </c>
      <c r="B4" s="84" t="s">
        <v>1057</v>
      </c>
      <c r="C4" s="70">
        <f t="shared" si="24"/>
        <v>1.6528925619834712E-4</v>
      </c>
      <c r="D4" s="70">
        <f>IFERROR(s_DL/(up_RadSpec!$H4*s_IFAP_res_adj*s_CF_apple),".")</f>
        <v>6.6115702479338848E-4</v>
      </c>
      <c r="E4" s="70">
        <f>IFERROR(s_DL/(up_RadSpec!$H4*s_IFAS_res_adj*s_CF_asparagus),".")</f>
        <v>6.6115702479338848E-4</v>
      </c>
      <c r="F4" s="70">
        <f>IFERROR(s_DL/(up_RadSpec!$H4*s_IFBT_res_adj*s_CF_beet),".")</f>
        <v>6.6115702479338848E-4</v>
      </c>
      <c r="G4" s="70">
        <f>IFERROR(s_DL/(up_RadSpec!$H4*s_IFBE_res_adj*s_CF_berries),".")</f>
        <v>6.6115702479338848E-4</v>
      </c>
      <c r="H4" s="70">
        <f>IFERROR(s_DL/(up_RadSpec!$H4*s_IFBR_res_adj*s_CF_broccoli),".")</f>
        <v>6.6115702479338848E-4</v>
      </c>
      <c r="I4" s="70">
        <f>IFERROR(s_DL/(up_RadSpec!$H4*s_IFCB_res_adj*s_CF_cabbage),".")</f>
        <v>6.6115702479338848E-4</v>
      </c>
      <c r="J4" s="70">
        <f>IFERROR(s_DL/(up_RadSpec!$H4*s_IFCR_res_adj*s_CF_carrot),".")</f>
        <v>6.6115702479338848E-4</v>
      </c>
      <c r="K4" s="70">
        <f>IFERROR(s_DL/(up_RadSpec!$H4*s_IFCI_res_adj*s_CF_citrus),".")</f>
        <v>6.6115702479338848E-4</v>
      </c>
      <c r="L4" s="70">
        <f>IFERROR(s_DL/(up_RadSpec!$H4*s_IFCO_res_adj*s_CF_corn),".")</f>
        <v>6.6115702479338848E-4</v>
      </c>
      <c r="M4" s="70">
        <f>IFERROR(s_DL/(up_RadSpec!$H4*s_IFCU_res_adj*s_CF_cucumber),".")</f>
        <v>6.6115702479338848E-4</v>
      </c>
      <c r="N4" s="70">
        <f>IFERROR(s_DL/(up_RadSpec!$H4*s_IFLE_res_adj*s_CF_lettuce),".")</f>
        <v>6.6115702479338848E-4</v>
      </c>
      <c r="O4" s="70">
        <f>IFERROR(s_DL/(up_RadSpec!$H4*s_IFLI_res_adj*s_CF_lima_bean),".")</f>
        <v>6.6115702479338848E-4</v>
      </c>
      <c r="P4" s="70">
        <f>IFERROR(s_DL/(up_RadSpec!$H4*s_IFOK_res_adj*s_CF_okra),".")</f>
        <v>6.6115702479338848E-4</v>
      </c>
      <c r="Q4" s="70">
        <f>IFERROR(s_DL/(up_RadSpec!$H4*s_IFON_res_adj*s_CF_onion),".")</f>
        <v>6.6115702479338848E-4</v>
      </c>
      <c r="R4" s="70">
        <f>IFERROR(s_DL/(up_RadSpec!$H4*s_IFPC_res_adj*s_CF_peach),".")</f>
        <v>6.6115702479338848E-4</v>
      </c>
      <c r="S4" s="70">
        <f>IFERROR(s_DL/(up_RadSpec!$H4*s_IFPR_res_adj*s_CF_pear),".")</f>
        <v>6.6115702479338848E-4</v>
      </c>
      <c r="T4" s="70">
        <f>IFERROR(s_DL/(up_RadSpec!$H4*s_IFPE_res_adj*s_CF_peas),".")</f>
        <v>6.6115702479338848E-4</v>
      </c>
      <c r="U4" s="70">
        <f>IFERROR(s_DL/(up_RadSpec!$H4*s_IFPP_res_adj*s_CF_peppers),".")</f>
        <v>6.6115702479338848E-4</v>
      </c>
      <c r="V4" s="70">
        <f>IFERROR(s_DL/(up_RadSpec!$H4*s_IFPT_res_adj*s_CF_potato),".")</f>
        <v>6.6115702479338848E-4</v>
      </c>
      <c r="W4" s="70">
        <f>IFERROR(s_DL/(up_RadSpec!$H4*s_IFPU_res_adj*s_CF_pumpkin),".")</f>
        <v>6.6115702479338848E-4</v>
      </c>
      <c r="X4" s="70">
        <f>IFERROR(s_DL/(up_RadSpec!$H4*s_IFSN_res_adj*s_CF_snap_bean),".")</f>
        <v>6.6115702479338848E-4</v>
      </c>
      <c r="Y4" s="70">
        <f>IFERROR(s_DL/(up_RadSpec!$H4*s_IFST_res_adj*s_CF_strawberry),".")</f>
        <v>6.6115702479338848E-4</v>
      </c>
      <c r="Z4" s="70">
        <f>IFERROR(s_DL/(up_RadSpec!$H4*s_IFTO_res_adj*s_CF_tomato),".")</f>
        <v>6.6115702479338848E-4</v>
      </c>
      <c r="AA4" s="70">
        <f>IFERROR(s_DL/(up_RadSpec!$H4*s_IFRI_res_adj*s_CF_rice),".")</f>
        <v>6.6115702479338848E-4</v>
      </c>
      <c r="AB4" s="70">
        <f>IFERROR(s_DL/(up_RadSpec!$H4*s_IFCG_res_adj*s_CF_cereal),".")</f>
        <v>6.6115702479338848E-4</v>
      </c>
      <c r="AC4" s="70">
        <f t="shared" si="25"/>
        <v>1.6528925619834712E-4</v>
      </c>
      <c r="AD4" s="70">
        <f>IFERROR(s_DL/(up_RadSpec!$H4*s_IFAP_far_adj*s_CF_apple),".")</f>
        <v>6.6115702479338848E-4</v>
      </c>
      <c r="AE4" s="70">
        <f>IFERROR(s_DL/(up_RadSpec!$H4*s_IFAS_far_adj*s_CF_asparagus),".")</f>
        <v>6.6115702479338848E-4</v>
      </c>
      <c r="AF4" s="70">
        <f>IFERROR(s_DL/(up_RadSpec!$H4*s_IFBT_far_adj*s_CF_beet),".")</f>
        <v>6.6115702479338848E-4</v>
      </c>
      <c r="AG4" s="70">
        <f>IFERROR(s_DL/(up_RadSpec!$H4*s_IFBE_far_adj*s_CF_berries),".")</f>
        <v>6.6115702479338848E-4</v>
      </c>
      <c r="AH4" s="70">
        <f>IFERROR(s_DL/(up_RadSpec!$H4*s_IFBR_far_adj*s_CF_broccoli),".")</f>
        <v>6.6115702479338848E-4</v>
      </c>
      <c r="AI4" s="70">
        <f>IFERROR(s_DL/(up_RadSpec!$H4*s_IFCB_far_adj*s_CF_cabbage),".")</f>
        <v>6.6115702479338848E-4</v>
      </c>
      <c r="AJ4" s="70">
        <f>IFERROR(s_DL/(up_RadSpec!$H4*s_IFCR_far_adj*s_CF_carrot),".")</f>
        <v>6.6115702479338848E-4</v>
      </c>
      <c r="AK4" s="70">
        <f>IFERROR(s_DL/(up_RadSpec!$H4*s_IFCI_far_adj*s_CF_citrus),".")</f>
        <v>6.6115702479338848E-4</v>
      </c>
      <c r="AL4" s="70">
        <f>IFERROR(s_DL/(up_RadSpec!$H4*s_IFCO_far_adj*s_CF_corn),".")</f>
        <v>6.6115702479338848E-4</v>
      </c>
      <c r="AM4" s="70">
        <f>IFERROR(s_DL/(up_RadSpec!$H4*s_IFCU_far_adj*s_CF_cucumber),".")</f>
        <v>6.6115702479338848E-4</v>
      </c>
      <c r="AN4" s="70">
        <f>IFERROR(s_DL/(up_RadSpec!$H4*s_IFLE_far_adj*s_CF_lettuce),".")</f>
        <v>6.6115702479338848E-4</v>
      </c>
      <c r="AO4" s="70">
        <f>IFERROR(s_DL/(up_RadSpec!$H4*s_IFLI_far_adj*s_CF_lima_bean),".")</f>
        <v>6.6115702479338848E-4</v>
      </c>
      <c r="AP4" s="70">
        <f>IFERROR(s_DL/(up_RadSpec!$H4*s_IFOK_far_adj*s_CF_okra),".")</f>
        <v>6.6115702479338848E-4</v>
      </c>
      <c r="AQ4" s="70">
        <f>IFERROR(s_DL/(up_RadSpec!$H4*s_IFON_far_adj*s_CF_onion),".")</f>
        <v>6.6115702479338848E-4</v>
      </c>
      <c r="AR4" s="70">
        <f>IFERROR(s_DL/(up_RadSpec!$H4*s_IFPC_far_adj*s_CF_peach),".")</f>
        <v>6.6115702479338848E-4</v>
      </c>
      <c r="AS4" s="70">
        <f>IFERROR(s_DL/(up_RadSpec!$H4*s_IFPR_far_adj*s_CF_pear),".")</f>
        <v>6.6115702479338848E-4</v>
      </c>
      <c r="AT4" s="70">
        <f>IFERROR(s_DL/(up_RadSpec!$H4*s_IFPE_far_adj*s_CF_peas),".")</f>
        <v>6.6115702479338848E-4</v>
      </c>
      <c r="AU4" s="70">
        <f>IFERROR(s_DL/(up_RadSpec!$H4*s_IFPP_far_adj*s_CF_peppers),".")</f>
        <v>6.6115702479338848E-4</v>
      </c>
      <c r="AV4" s="70">
        <f>IFERROR(s_DL/(up_RadSpec!$H4*s_IFPT_far_adj*s_CF_potato),".")</f>
        <v>6.6115702479338848E-4</v>
      </c>
      <c r="AW4" s="70">
        <f>IFERROR(s_DL/(up_RadSpec!$H4*s_IFPU_far_adj*s_CF_pumpkin),".")</f>
        <v>6.6115702479338848E-4</v>
      </c>
      <c r="AX4" s="70">
        <f>IFERROR(s_DL/(up_RadSpec!$H4*s_IFSN_far_adj*s_CF_snap_bean),".")</f>
        <v>6.6115702479338848E-4</v>
      </c>
      <c r="AY4" s="70">
        <f>IFERROR(s_DL/(up_RadSpec!$H4*s_IFST_far_adj*s_CF_strawberry),".")</f>
        <v>6.6115702479338848E-4</v>
      </c>
      <c r="AZ4" s="70">
        <f>IFERROR(s_DL/(up_RadSpec!$H4*s_IFTO_far_adj*s_CF_tomato),".")</f>
        <v>6.6115702479338848E-4</v>
      </c>
      <c r="BA4" s="70">
        <f>IFERROR(s_DL/(up_RadSpec!$H4*s_IFRI_far_adj*s_CF_rice),".")</f>
        <v>6.6115702479338848E-4</v>
      </c>
      <c r="BB4" s="70">
        <f>IFERROR(s_DL/(up_RadSpec!$H4*s_IFCG_far_adj*s_CF_cereal),".")</f>
        <v>6.6115702479338848E-4</v>
      </c>
      <c r="BC4" s="87">
        <f t="shared" si="26"/>
        <v>30250</v>
      </c>
      <c r="BD4" s="87">
        <f t="shared" si="0"/>
        <v>7562.5</v>
      </c>
      <c r="BE4" s="87">
        <f t="shared" si="1"/>
        <v>7562.5</v>
      </c>
      <c r="BF4" s="87">
        <f t="shared" si="2"/>
        <v>7562.5</v>
      </c>
      <c r="BG4" s="87">
        <f t="shared" si="3"/>
        <v>7562.5</v>
      </c>
      <c r="BH4" s="87">
        <f t="shared" si="4"/>
        <v>7562.5</v>
      </c>
      <c r="BI4" s="87">
        <f t="shared" si="5"/>
        <v>7562.5</v>
      </c>
      <c r="BJ4" s="87">
        <f t="shared" si="6"/>
        <v>7562.5</v>
      </c>
      <c r="BK4" s="87">
        <f t="shared" si="7"/>
        <v>7562.5</v>
      </c>
      <c r="BL4" s="87">
        <f t="shared" si="8"/>
        <v>7562.5</v>
      </c>
      <c r="BM4" s="87">
        <f t="shared" si="9"/>
        <v>7562.5</v>
      </c>
      <c r="BN4" s="87">
        <f t="shared" si="10"/>
        <v>7562.5</v>
      </c>
      <c r="BO4" s="87">
        <f t="shared" si="11"/>
        <v>7562.5</v>
      </c>
      <c r="BP4" s="87">
        <f t="shared" si="12"/>
        <v>7562.5</v>
      </c>
      <c r="BQ4" s="87">
        <f t="shared" si="13"/>
        <v>7562.5</v>
      </c>
      <c r="BR4" s="87">
        <f t="shared" si="14"/>
        <v>7562.5</v>
      </c>
      <c r="BS4" s="87">
        <f t="shared" si="15"/>
        <v>7562.5</v>
      </c>
      <c r="BT4" s="87">
        <f t="shared" si="27"/>
        <v>7562.5</v>
      </c>
      <c r="BU4" s="87">
        <f t="shared" si="16"/>
        <v>7562.5</v>
      </c>
      <c r="BV4" s="87">
        <f t="shared" si="17"/>
        <v>7562.5</v>
      </c>
      <c r="BW4" s="87">
        <f t="shared" si="18"/>
        <v>7562.5</v>
      </c>
      <c r="BX4" s="87">
        <f t="shared" si="19"/>
        <v>7562.5</v>
      </c>
      <c r="BY4" s="87">
        <f t="shared" si="20"/>
        <v>7562.5</v>
      </c>
      <c r="BZ4" s="87">
        <f t="shared" si="21"/>
        <v>7562.5</v>
      </c>
      <c r="CA4" s="87">
        <f t="shared" si="22"/>
        <v>7562.5</v>
      </c>
      <c r="CB4" s="87">
        <f t="shared" si="23"/>
        <v>7562.5</v>
      </c>
    </row>
    <row r="5" spans="1:80" x14ac:dyDescent="0.25">
      <c r="A5" s="86" t="s">
        <v>3</v>
      </c>
      <c r="B5" s="84" t="s">
        <v>1057</v>
      </c>
      <c r="C5" s="70">
        <f t="shared" si="24"/>
        <v>1.6528925619834712E-4</v>
      </c>
      <c r="D5" s="70">
        <f>IFERROR(s_DL/(up_RadSpec!$H5*s_IFAP_res_adj*s_CF_apple),".")</f>
        <v>6.6115702479338848E-4</v>
      </c>
      <c r="E5" s="70">
        <f>IFERROR(s_DL/(up_RadSpec!$H5*s_IFAS_res_adj*s_CF_asparagus),".")</f>
        <v>6.6115702479338848E-4</v>
      </c>
      <c r="F5" s="70">
        <f>IFERROR(s_DL/(up_RadSpec!$H5*s_IFBT_res_adj*s_CF_beet),".")</f>
        <v>6.6115702479338848E-4</v>
      </c>
      <c r="G5" s="70">
        <f>IFERROR(s_DL/(up_RadSpec!$H5*s_IFBE_res_adj*s_CF_berries),".")</f>
        <v>6.6115702479338848E-4</v>
      </c>
      <c r="H5" s="70">
        <f>IFERROR(s_DL/(up_RadSpec!$H5*s_IFBR_res_adj*s_CF_broccoli),".")</f>
        <v>6.6115702479338848E-4</v>
      </c>
      <c r="I5" s="70">
        <f>IFERROR(s_DL/(up_RadSpec!$H5*s_IFCB_res_adj*s_CF_cabbage),".")</f>
        <v>6.6115702479338848E-4</v>
      </c>
      <c r="J5" s="70">
        <f>IFERROR(s_DL/(up_RadSpec!$H5*s_IFCR_res_adj*s_CF_carrot),".")</f>
        <v>6.6115702479338848E-4</v>
      </c>
      <c r="K5" s="70">
        <f>IFERROR(s_DL/(up_RadSpec!$H5*s_IFCI_res_adj*s_CF_citrus),".")</f>
        <v>6.6115702479338848E-4</v>
      </c>
      <c r="L5" s="70">
        <f>IFERROR(s_DL/(up_RadSpec!$H5*s_IFCO_res_adj*s_CF_corn),".")</f>
        <v>6.6115702479338848E-4</v>
      </c>
      <c r="M5" s="70">
        <f>IFERROR(s_DL/(up_RadSpec!$H5*s_IFCU_res_adj*s_CF_cucumber),".")</f>
        <v>6.6115702479338848E-4</v>
      </c>
      <c r="N5" s="70">
        <f>IFERROR(s_DL/(up_RadSpec!$H5*s_IFLE_res_adj*s_CF_lettuce),".")</f>
        <v>6.6115702479338848E-4</v>
      </c>
      <c r="O5" s="70">
        <f>IFERROR(s_DL/(up_RadSpec!$H5*s_IFLI_res_adj*s_CF_lima_bean),".")</f>
        <v>6.6115702479338848E-4</v>
      </c>
      <c r="P5" s="70">
        <f>IFERROR(s_DL/(up_RadSpec!$H5*s_IFOK_res_adj*s_CF_okra),".")</f>
        <v>6.6115702479338848E-4</v>
      </c>
      <c r="Q5" s="70">
        <f>IFERROR(s_DL/(up_RadSpec!$H5*s_IFON_res_adj*s_CF_onion),".")</f>
        <v>6.6115702479338848E-4</v>
      </c>
      <c r="R5" s="70">
        <f>IFERROR(s_DL/(up_RadSpec!$H5*s_IFPC_res_adj*s_CF_peach),".")</f>
        <v>6.6115702479338848E-4</v>
      </c>
      <c r="S5" s="70">
        <f>IFERROR(s_DL/(up_RadSpec!$H5*s_IFPR_res_adj*s_CF_pear),".")</f>
        <v>6.6115702479338848E-4</v>
      </c>
      <c r="T5" s="70">
        <f>IFERROR(s_DL/(up_RadSpec!$H5*s_IFPE_res_adj*s_CF_peas),".")</f>
        <v>6.6115702479338848E-4</v>
      </c>
      <c r="U5" s="70">
        <f>IFERROR(s_DL/(up_RadSpec!$H5*s_IFPP_res_adj*s_CF_peppers),".")</f>
        <v>6.6115702479338848E-4</v>
      </c>
      <c r="V5" s="70">
        <f>IFERROR(s_DL/(up_RadSpec!$H5*s_IFPT_res_adj*s_CF_potato),".")</f>
        <v>6.6115702479338848E-4</v>
      </c>
      <c r="W5" s="70">
        <f>IFERROR(s_DL/(up_RadSpec!$H5*s_IFPU_res_adj*s_CF_pumpkin),".")</f>
        <v>6.6115702479338848E-4</v>
      </c>
      <c r="X5" s="70">
        <f>IFERROR(s_DL/(up_RadSpec!$H5*s_IFSN_res_adj*s_CF_snap_bean),".")</f>
        <v>6.6115702479338848E-4</v>
      </c>
      <c r="Y5" s="70">
        <f>IFERROR(s_DL/(up_RadSpec!$H5*s_IFST_res_adj*s_CF_strawberry),".")</f>
        <v>6.6115702479338848E-4</v>
      </c>
      <c r="Z5" s="70">
        <f>IFERROR(s_DL/(up_RadSpec!$H5*s_IFTO_res_adj*s_CF_tomato),".")</f>
        <v>6.6115702479338848E-4</v>
      </c>
      <c r="AA5" s="70">
        <f>IFERROR(s_DL/(up_RadSpec!$H5*s_IFRI_res_adj*s_CF_rice),".")</f>
        <v>6.6115702479338848E-4</v>
      </c>
      <c r="AB5" s="70">
        <f>IFERROR(s_DL/(up_RadSpec!$H5*s_IFCG_res_adj*s_CF_cereal),".")</f>
        <v>6.6115702479338848E-4</v>
      </c>
      <c r="AC5" s="70">
        <f t="shared" si="25"/>
        <v>1.6528925619834712E-4</v>
      </c>
      <c r="AD5" s="70">
        <f>IFERROR(s_DL/(up_RadSpec!$H5*s_IFAP_far_adj*s_CF_apple),".")</f>
        <v>6.6115702479338848E-4</v>
      </c>
      <c r="AE5" s="70">
        <f>IFERROR(s_DL/(up_RadSpec!$H5*s_IFAS_far_adj*s_CF_asparagus),".")</f>
        <v>6.6115702479338848E-4</v>
      </c>
      <c r="AF5" s="70">
        <f>IFERROR(s_DL/(up_RadSpec!$H5*s_IFBT_far_adj*s_CF_beet),".")</f>
        <v>6.6115702479338848E-4</v>
      </c>
      <c r="AG5" s="70">
        <f>IFERROR(s_DL/(up_RadSpec!$H5*s_IFBE_far_adj*s_CF_berries),".")</f>
        <v>6.6115702479338848E-4</v>
      </c>
      <c r="AH5" s="70">
        <f>IFERROR(s_DL/(up_RadSpec!$H5*s_IFBR_far_adj*s_CF_broccoli),".")</f>
        <v>6.6115702479338848E-4</v>
      </c>
      <c r="AI5" s="70">
        <f>IFERROR(s_DL/(up_RadSpec!$H5*s_IFCB_far_adj*s_CF_cabbage),".")</f>
        <v>6.6115702479338848E-4</v>
      </c>
      <c r="AJ5" s="70">
        <f>IFERROR(s_DL/(up_RadSpec!$H5*s_IFCR_far_adj*s_CF_carrot),".")</f>
        <v>6.6115702479338848E-4</v>
      </c>
      <c r="AK5" s="70">
        <f>IFERROR(s_DL/(up_RadSpec!$H5*s_IFCI_far_adj*s_CF_citrus),".")</f>
        <v>6.6115702479338848E-4</v>
      </c>
      <c r="AL5" s="70">
        <f>IFERROR(s_DL/(up_RadSpec!$H5*s_IFCO_far_adj*s_CF_corn),".")</f>
        <v>6.6115702479338848E-4</v>
      </c>
      <c r="AM5" s="70">
        <f>IFERROR(s_DL/(up_RadSpec!$H5*s_IFCU_far_adj*s_CF_cucumber),".")</f>
        <v>6.6115702479338848E-4</v>
      </c>
      <c r="AN5" s="70">
        <f>IFERROR(s_DL/(up_RadSpec!$H5*s_IFLE_far_adj*s_CF_lettuce),".")</f>
        <v>6.6115702479338848E-4</v>
      </c>
      <c r="AO5" s="70">
        <f>IFERROR(s_DL/(up_RadSpec!$H5*s_IFLI_far_adj*s_CF_lima_bean),".")</f>
        <v>6.6115702479338848E-4</v>
      </c>
      <c r="AP5" s="70">
        <f>IFERROR(s_DL/(up_RadSpec!$H5*s_IFOK_far_adj*s_CF_okra),".")</f>
        <v>6.6115702479338848E-4</v>
      </c>
      <c r="AQ5" s="70">
        <f>IFERROR(s_DL/(up_RadSpec!$H5*s_IFON_far_adj*s_CF_onion),".")</f>
        <v>6.6115702479338848E-4</v>
      </c>
      <c r="AR5" s="70">
        <f>IFERROR(s_DL/(up_RadSpec!$H5*s_IFPC_far_adj*s_CF_peach),".")</f>
        <v>6.6115702479338848E-4</v>
      </c>
      <c r="AS5" s="70">
        <f>IFERROR(s_DL/(up_RadSpec!$H5*s_IFPR_far_adj*s_CF_pear),".")</f>
        <v>6.6115702479338848E-4</v>
      </c>
      <c r="AT5" s="70">
        <f>IFERROR(s_DL/(up_RadSpec!$H5*s_IFPE_far_adj*s_CF_peas),".")</f>
        <v>6.6115702479338848E-4</v>
      </c>
      <c r="AU5" s="70">
        <f>IFERROR(s_DL/(up_RadSpec!$H5*s_IFPP_far_adj*s_CF_peppers),".")</f>
        <v>6.6115702479338848E-4</v>
      </c>
      <c r="AV5" s="70">
        <f>IFERROR(s_DL/(up_RadSpec!$H5*s_IFPT_far_adj*s_CF_potato),".")</f>
        <v>6.6115702479338848E-4</v>
      </c>
      <c r="AW5" s="70">
        <f>IFERROR(s_DL/(up_RadSpec!$H5*s_IFPU_far_adj*s_CF_pumpkin),".")</f>
        <v>6.6115702479338848E-4</v>
      </c>
      <c r="AX5" s="70">
        <f>IFERROR(s_DL/(up_RadSpec!$H5*s_IFSN_far_adj*s_CF_snap_bean),".")</f>
        <v>6.6115702479338848E-4</v>
      </c>
      <c r="AY5" s="70">
        <f>IFERROR(s_DL/(up_RadSpec!$H5*s_IFST_far_adj*s_CF_strawberry),".")</f>
        <v>6.6115702479338848E-4</v>
      </c>
      <c r="AZ5" s="70">
        <f>IFERROR(s_DL/(up_RadSpec!$H5*s_IFTO_far_adj*s_CF_tomato),".")</f>
        <v>6.6115702479338848E-4</v>
      </c>
      <c r="BA5" s="70">
        <f>IFERROR(s_DL/(up_RadSpec!$H5*s_IFRI_far_adj*s_CF_rice),".")</f>
        <v>6.6115702479338848E-4</v>
      </c>
      <c r="BB5" s="70">
        <f>IFERROR(s_DL/(up_RadSpec!$H5*s_IFCG_far_adj*s_CF_cereal),".")</f>
        <v>6.6115702479338848E-4</v>
      </c>
      <c r="BC5" s="87">
        <f t="shared" si="26"/>
        <v>30250</v>
      </c>
      <c r="BD5" s="87">
        <f t="shared" si="0"/>
        <v>7562.5</v>
      </c>
      <c r="BE5" s="87">
        <f t="shared" si="1"/>
        <v>7562.5</v>
      </c>
      <c r="BF5" s="87">
        <f t="shared" si="2"/>
        <v>7562.5</v>
      </c>
      <c r="BG5" s="87">
        <f t="shared" si="3"/>
        <v>7562.5</v>
      </c>
      <c r="BH5" s="87">
        <f t="shared" si="4"/>
        <v>7562.5</v>
      </c>
      <c r="BI5" s="87">
        <f t="shared" si="5"/>
        <v>7562.5</v>
      </c>
      <c r="BJ5" s="87">
        <f t="shared" si="6"/>
        <v>7562.5</v>
      </c>
      <c r="BK5" s="87">
        <f t="shared" si="7"/>
        <v>7562.5</v>
      </c>
      <c r="BL5" s="87">
        <f t="shared" si="8"/>
        <v>7562.5</v>
      </c>
      <c r="BM5" s="87">
        <f t="shared" si="9"/>
        <v>7562.5</v>
      </c>
      <c r="BN5" s="87">
        <f t="shared" si="10"/>
        <v>7562.5</v>
      </c>
      <c r="BO5" s="87">
        <f t="shared" si="11"/>
        <v>7562.5</v>
      </c>
      <c r="BP5" s="87">
        <f t="shared" si="12"/>
        <v>7562.5</v>
      </c>
      <c r="BQ5" s="87">
        <f t="shared" si="13"/>
        <v>7562.5</v>
      </c>
      <c r="BR5" s="87">
        <f t="shared" si="14"/>
        <v>7562.5</v>
      </c>
      <c r="BS5" s="87">
        <f t="shared" si="15"/>
        <v>7562.5</v>
      </c>
      <c r="BT5" s="87">
        <f t="shared" si="27"/>
        <v>7562.5</v>
      </c>
      <c r="BU5" s="87">
        <f t="shared" si="16"/>
        <v>7562.5</v>
      </c>
      <c r="BV5" s="87">
        <f t="shared" si="17"/>
        <v>7562.5</v>
      </c>
      <c r="BW5" s="87">
        <f t="shared" si="18"/>
        <v>7562.5</v>
      </c>
      <c r="BX5" s="87">
        <f t="shared" si="19"/>
        <v>7562.5</v>
      </c>
      <c r="BY5" s="87">
        <f t="shared" si="20"/>
        <v>7562.5</v>
      </c>
      <c r="BZ5" s="87">
        <f t="shared" si="21"/>
        <v>7562.5</v>
      </c>
      <c r="CA5" s="87">
        <f t="shared" si="22"/>
        <v>7562.5</v>
      </c>
      <c r="CB5" s="87">
        <f t="shared" si="23"/>
        <v>7562.5</v>
      </c>
    </row>
    <row r="6" spans="1:80" x14ac:dyDescent="0.25">
      <c r="A6" s="86" t="s">
        <v>4</v>
      </c>
      <c r="B6" s="84" t="s">
        <v>1057</v>
      </c>
      <c r="C6" s="70">
        <f t="shared" si="24"/>
        <v>1.6528925619834712E-4</v>
      </c>
      <c r="D6" s="70">
        <f>IFERROR(s_DL/(up_RadSpec!$H6*s_IFAP_res_adj*s_CF_apple),".")</f>
        <v>6.6115702479338848E-4</v>
      </c>
      <c r="E6" s="70">
        <f>IFERROR(s_DL/(up_RadSpec!$H6*s_IFAS_res_adj*s_CF_asparagus),".")</f>
        <v>6.6115702479338848E-4</v>
      </c>
      <c r="F6" s="70">
        <f>IFERROR(s_DL/(up_RadSpec!$H6*s_IFBT_res_adj*s_CF_beet),".")</f>
        <v>6.6115702479338848E-4</v>
      </c>
      <c r="G6" s="70">
        <f>IFERROR(s_DL/(up_RadSpec!$H6*s_IFBE_res_adj*s_CF_berries),".")</f>
        <v>6.6115702479338848E-4</v>
      </c>
      <c r="H6" s="70">
        <f>IFERROR(s_DL/(up_RadSpec!$H6*s_IFBR_res_adj*s_CF_broccoli),".")</f>
        <v>6.6115702479338848E-4</v>
      </c>
      <c r="I6" s="70">
        <f>IFERROR(s_DL/(up_RadSpec!$H6*s_IFCB_res_adj*s_CF_cabbage),".")</f>
        <v>6.6115702479338848E-4</v>
      </c>
      <c r="J6" s="70">
        <f>IFERROR(s_DL/(up_RadSpec!$H6*s_IFCR_res_adj*s_CF_carrot),".")</f>
        <v>6.6115702479338848E-4</v>
      </c>
      <c r="K6" s="70">
        <f>IFERROR(s_DL/(up_RadSpec!$H6*s_IFCI_res_adj*s_CF_citrus),".")</f>
        <v>6.6115702479338848E-4</v>
      </c>
      <c r="L6" s="70">
        <f>IFERROR(s_DL/(up_RadSpec!$H6*s_IFCO_res_adj*s_CF_corn),".")</f>
        <v>6.6115702479338848E-4</v>
      </c>
      <c r="M6" s="70">
        <f>IFERROR(s_DL/(up_RadSpec!$H6*s_IFCU_res_adj*s_CF_cucumber),".")</f>
        <v>6.6115702479338848E-4</v>
      </c>
      <c r="N6" s="70">
        <f>IFERROR(s_DL/(up_RadSpec!$H6*s_IFLE_res_adj*s_CF_lettuce),".")</f>
        <v>6.6115702479338848E-4</v>
      </c>
      <c r="O6" s="70">
        <f>IFERROR(s_DL/(up_RadSpec!$H6*s_IFLI_res_adj*s_CF_lima_bean),".")</f>
        <v>6.6115702479338848E-4</v>
      </c>
      <c r="P6" s="70">
        <f>IFERROR(s_DL/(up_RadSpec!$H6*s_IFOK_res_adj*s_CF_okra),".")</f>
        <v>6.6115702479338848E-4</v>
      </c>
      <c r="Q6" s="70">
        <f>IFERROR(s_DL/(up_RadSpec!$H6*s_IFON_res_adj*s_CF_onion),".")</f>
        <v>6.6115702479338848E-4</v>
      </c>
      <c r="R6" s="70">
        <f>IFERROR(s_DL/(up_RadSpec!$H6*s_IFPC_res_adj*s_CF_peach),".")</f>
        <v>6.6115702479338848E-4</v>
      </c>
      <c r="S6" s="70">
        <f>IFERROR(s_DL/(up_RadSpec!$H6*s_IFPR_res_adj*s_CF_pear),".")</f>
        <v>6.6115702479338848E-4</v>
      </c>
      <c r="T6" s="70">
        <f>IFERROR(s_DL/(up_RadSpec!$H6*s_IFPE_res_adj*s_CF_peas),".")</f>
        <v>6.6115702479338848E-4</v>
      </c>
      <c r="U6" s="70">
        <f>IFERROR(s_DL/(up_RadSpec!$H6*s_IFPP_res_adj*s_CF_peppers),".")</f>
        <v>6.6115702479338848E-4</v>
      </c>
      <c r="V6" s="70">
        <f>IFERROR(s_DL/(up_RadSpec!$H6*s_IFPT_res_adj*s_CF_potato),".")</f>
        <v>6.6115702479338848E-4</v>
      </c>
      <c r="W6" s="70">
        <f>IFERROR(s_DL/(up_RadSpec!$H6*s_IFPU_res_adj*s_CF_pumpkin),".")</f>
        <v>6.6115702479338848E-4</v>
      </c>
      <c r="X6" s="70">
        <f>IFERROR(s_DL/(up_RadSpec!$H6*s_IFSN_res_adj*s_CF_snap_bean),".")</f>
        <v>6.6115702479338848E-4</v>
      </c>
      <c r="Y6" s="70">
        <f>IFERROR(s_DL/(up_RadSpec!$H6*s_IFST_res_adj*s_CF_strawberry),".")</f>
        <v>6.6115702479338848E-4</v>
      </c>
      <c r="Z6" s="70">
        <f>IFERROR(s_DL/(up_RadSpec!$H6*s_IFTO_res_adj*s_CF_tomato),".")</f>
        <v>6.6115702479338848E-4</v>
      </c>
      <c r="AA6" s="70">
        <f>IFERROR(s_DL/(up_RadSpec!$H6*s_IFRI_res_adj*s_CF_rice),".")</f>
        <v>6.6115702479338848E-4</v>
      </c>
      <c r="AB6" s="70">
        <f>IFERROR(s_DL/(up_RadSpec!$H6*s_IFCG_res_adj*s_CF_cereal),".")</f>
        <v>6.6115702479338848E-4</v>
      </c>
      <c r="AC6" s="70">
        <f t="shared" si="25"/>
        <v>1.6528925619834712E-4</v>
      </c>
      <c r="AD6" s="70">
        <f>IFERROR(s_DL/(up_RadSpec!$H6*s_IFAP_far_adj*s_CF_apple),".")</f>
        <v>6.6115702479338848E-4</v>
      </c>
      <c r="AE6" s="70">
        <f>IFERROR(s_DL/(up_RadSpec!$H6*s_IFAS_far_adj*s_CF_asparagus),".")</f>
        <v>6.6115702479338848E-4</v>
      </c>
      <c r="AF6" s="70">
        <f>IFERROR(s_DL/(up_RadSpec!$H6*s_IFBT_far_adj*s_CF_beet),".")</f>
        <v>6.6115702479338848E-4</v>
      </c>
      <c r="AG6" s="70">
        <f>IFERROR(s_DL/(up_RadSpec!$H6*s_IFBE_far_adj*s_CF_berries),".")</f>
        <v>6.6115702479338848E-4</v>
      </c>
      <c r="AH6" s="70">
        <f>IFERROR(s_DL/(up_RadSpec!$H6*s_IFBR_far_adj*s_CF_broccoli),".")</f>
        <v>6.6115702479338848E-4</v>
      </c>
      <c r="AI6" s="70">
        <f>IFERROR(s_DL/(up_RadSpec!$H6*s_IFCB_far_adj*s_CF_cabbage),".")</f>
        <v>6.6115702479338848E-4</v>
      </c>
      <c r="AJ6" s="70">
        <f>IFERROR(s_DL/(up_RadSpec!$H6*s_IFCR_far_adj*s_CF_carrot),".")</f>
        <v>6.6115702479338848E-4</v>
      </c>
      <c r="AK6" s="70">
        <f>IFERROR(s_DL/(up_RadSpec!$H6*s_IFCI_far_adj*s_CF_citrus),".")</f>
        <v>6.6115702479338848E-4</v>
      </c>
      <c r="AL6" s="70">
        <f>IFERROR(s_DL/(up_RadSpec!$H6*s_IFCO_far_adj*s_CF_corn),".")</f>
        <v>6.6115702479338848E-4</v>
      </c>
      <c r="AM6" s="70">
        <f>IFERROR(s_DL/(up_RadSpec!$H6*s_IFCU_far_adj*s_CF_cucumber),".")</f>
        <v>6.6115702479338848E-4</v>
      </c>
      <c r="AN6" s="70">
        <f>IFERROR(s_DL/(up_RadSpec!$H6*s_IFLE_far_adj*s_CF_lettuce),".")</f>
        <v>6.6115702479338848E-4</v>
      </c>
      <c r="AO6" s="70">
        <f>IFERROR(s_DL/(up_RadSpec!$H6*s_IFLI_far_adj*s_CF_lima_bean),".")</f>
        <v>6.6115702479338848E-4</v>
      </c>
      <c r="AP6" s="70">
        <f>IFERROR(s_DL/(up_RadSpec!$H6*s_IFOK_far_adj*s_CF_okra),".")</f>
        <v>6.6115702479338848E-4</v>
      </c>
      <c r="AQ6" s="70">
        <f>IFERROR(s_DL/(up_RadSpec!$H6*s_IFON_far_adj*s_CF_onion),".")</f>
        <v>6.6115702479338848E-4</v>
      </c>
      <c r="AR6" s="70">
        <f>IFERROR(s_DL/(up_RadSpec!$H6*s_IFPC_far_adj*s_CF_peach),".")</f>
        <v>6.6115702479338848E-4</v>
      </c>
      <c r="AS6" s="70">
        <f>IFERROR(s_DL/(up_RadSpec!$H6*s_IFPR_far_adj*s_CF_pear),".")</f>
        <v>6.6115702479338848E-4</v>
      </c>
      <c r="AT6" s="70">
        <f>IFERROR(s_DL/(up_RadSpec!$H6*s_IFPE_far_adj*s_CF_peas),".")</f>
        <v>6.6115702479338848E-4</v>
      </c>
      <c r="AU6" s="70">
        <f>IFERROR(s_DL/(up_RadSpec!$H6*s_IFPP_far_adj*s_CF_peppers),".")</f>
        <v>6.6115702479338848E-4</v>
      </c>
      <c r="AV6" s="70">
        <f>IFERROR(s_DL/(up_RadSpec!$H6*s_IFPT_far_adj*s_CF_potato),".")</f>
        <v>6.6115702479338848E-4</v>
      </c>
      <c r="AW6" s="70">
        <f>IFERROR(s_DL/(up_RadSpec!$H6*s_IFPU_far_adj*s_CF_pumpkin),".")</f>
        <v>6.6115702479338848E-4</v>
      </c>
      <c r="AX6" s="70">
        <f>IFERROR(s_DL/(up_RadSpec!$H6*s_IFSN_far_adj*s_CF_snap_bean),".")</f>
        <v>6.6115702479338848E-4</v>
      </c>
      <c r="AY6" s="70">
        <f>IFERROR(s_DL/(up_RadSpec!$H6*s_IFST_far_adj*s_CF_strawberry),".")</f>
        <v>6.6115702479338848E-4</v>
      </c>
      <c r="AZ6" s="70">
        <f>IFERROR(s_DL/(up_RadSpec!$H6*s_IFTO_far_adj*s_CF_tomato),".")</f>
        <v>6.6115702479338848E-4</v>
      </c>
      <c r="BA6" s="70">
        <f>IFERROR(s_DL/(up_RadSpec!$H6*s_IFRI_far_adj*s_CF_rice),".")</f>
        <v>6.6115702479338848E-4</v>
      </c>
      <c r="BB6" s="70">
        <f>IFERROR(s_DL/(up_RadSpec!$H6*s_IFCG_far_adj*s_CF_cereal),".")</f>
        <v>6.6115702479338848E-4</v>
      </c>
      <c r="BC6" s="87">
        <f t="shared" si="26"/>
        <v>30250</v>
      </c>
      <c r="BD6" s="87">
        <f t="shared" si="0"/>
        <v>7562.5</v>
      </c>
      <c r="BE6" s="87">
        <f t="shared" si="1"/>
        <v>7562.5</v>
      </c>
      <c r="BF6" s="87">
        <f t="shared" si="2"/>
        <v>7562.5</v>
      </c>
      <c r="BG6" s="87">
        <f t="shared" si="3"/>
        <v>7562.5</v>
      </c>
      <c r="BH6" s="87">
        <f t="shared" si="4"/>
        <v>7562.5</v>
      </c>
      <c r="BI6" s="87">
        <f t="shared" si="5"/>
        <v>7562.5</v>
      </c>
      <c r="BJ6" s="87">
        <f t="shared" si="6"/>
        <v>7562.5</v>
      </c>
      <c r="BK6" s="87">
        <f t="shared" si="7"/>
        <v>7562.5</v>
      </c>
      <c r="BL6" s="87">
        <f t="shared" si="8"/>
        <v>7562.5</v>
      </c>
      <c r="BM6" s="87">
        <f t="shared" si="9"/>
        <v>7562.5</v>
      </c>
      <c r="BN6" s="87">
        <f t="shared" si="10"/>
        <v>7562.5</v>
      </c>
      <c r="BO6" s="87">
        <f t="shared" si="11"/>
        <v>7562.5</v>
      </c>
      <c r="BP6" s="87">
        <f t="shared" si="12"/>
        <v>7562.5</v>
      </c>
      <c r="BQ6" s="87">
        <f t="shared" si="13"/>
        <v>7562.5</v>
      </c>
      <c r="BR6" s="87">
        <f t="shared" si="14"/>
        <v>7562.5</v>
      </c>
      <c r="BS6" s="87">
        <f t="shared" si="15"/>
        <v>7562.5</v>
      </c>
      <c r="BT6" s="87">
        <f t="shared" si="27"/>
        <v>7562.5</v>
      </c>
      <c r="BU6" s="87">
        <f t="shared" si="16"/>
        <v>7562.5</v>
      </c>
      <c r="BV6" s="87">
        <f t="shared" si="17"/>
        <v>7562.5</v>
      </c>
      <c r="BW6" s="87">
        <f t="shared" si="18"/>
        <v>7562.5</v>
      </c>
      <c r="BX6" s="87">
        <f t="shared" si="19"/>
        <v>7562.5</v>
      </c>
      <c r="BY6" s="87">
        <f t="shared" si="20"/>
        <v>7562.5</v>
      </c>
      <c r="BZ6" s="87">
        <f t="shared" si="21"/>
        <v>7562.5</v>
      </c>
      <c r="CA6" s="87">
        <f t="shared" si="22"/>
        <v>7562.5</v>
      </c>
      <c r="CB6" s="87">
        <f t="shared" si="23"/>
        <v>7562.5</v>
      </c>
    </row>
    <row r="7" spans="1:80" x14ac:dyDescent="0.25">
      <c r="A7" s="86" t="s">
        <v>5</v>
      </c>
      <c r="B7" s="84" t="s">
        <v>1057</v>
      </c>
      <c r="C7" s="70">
        <f t="shared" si="24"/>
        <v>1.6528925619834712E-4</v>
      </c>
      <c r="D7" s="70">
        <f>IFERROR(s_DL/(up_RadSpec!$H7*s_IFAP_res_adj*s_CF_apple),".")</f>
        <v>6.6115702479338848E-4</v>
      </c>
      <c r="E7" s="70">
        <f>IFERROR(s_DL/(up_RadSpec!$H7*s_IFAS_res_adj*s_CF_asparagus),".")</f>
        <v>6.6115702479338848E-4</v>
      </c>
      <c r="F7" s="70">
        <f>IFERROR(s_DL/(up_RadSpec!$H7*s_IFBT_res_adj*s_CF_beet),".")</f>
        <v>6.6115702479338848E-4</v>
      </c>
      <c r="G7" s="70">
        <f>IFERROR(s_DL/(up_RadSpec!$H7*s_IFBE_res_adj*s_CF_berries),".")</f>
        <v>6.6115702479338848E-4</v>
      </c>
      <c r="H7" s="70">
        <f>IFERROR(s_DL/(up_RadSpec!$H7*s_IFBR_res_adj*s_CF_broccoli),".")</f>
        <v>6.6115702479338848E-4</v>
      </c>
      <c r="I7" s="70">
        <f>IFERROR(s_DL/(up_RadSpec!$H7*s_IFCB_res_adj*s_CF_cabbage),".")</f>
        <v>6.6115702479338848E-4</v>
      </c>
      <c r="J7" s="70">
        <f>IFERROR(s_DL/(up_RadSpec!$H7*s_IFCR_res_adj*s_CF_carrot),".")</f>
        <v>6.6115702479338848E-4</v>
      </c>
      <c r="K7" s="70">
        <f>IFERROR(s_DL/(up_RadSpec!$H7*s_IFCI_res_adj*s_CF_citrus),".")</f>
        <v>6.6115702479338848E-4</v>
      </c>
      <c r="L7" s="70">
        <f>IFERROR(s_DL/(up_RadSpec!$H7*s_IFCO_res_adj*s_CF_corn),".")</f>
        <v>6.6115702479338848E-4</v>
      </c>
      <c r="M7" s="70">
        <f>IFERROR(s_DL/(up_RadSpec!$H7*s_IFCU_res_adj*s_CF_cucumber),".")</f>
        <v>6.6115702479338848E-4</v>
      </c>
      <c r="N7" s="70">
        <f>IFERROR(s_DL/(up_RadSpec!$H7*s_IFLE_res_adj*s_CF_lettuce),".")</f>
        <v>6.6115702479338848E-4</v>
      </c>
      <c r="O7" s="70">
        <f>IFERROR(s_DL/(up_RadSpec!$H7*s_IFLI_res_adj*s_CF_lima_bean),".")</f>
        <v>6.6115702479338848E-4</v>
      </c>
      <c r="P7" s="70">
        <f>IFERROR(s_DL/(up_RadSpec!$H7*s_IFOK_res_adj*s_CF_okra),".")</f>
        <v>6.6115702479338848E-4</v>
      </c>
      <c r="Q7" s="70">
        <f>IFERROR(s_DL/(up_RadSpec!$H7*s_IFON_res_adj*s_CF_onion),".")</f>
        <v>6.6115702479338848E-4</v>
      </c>
      <c r="R7" s="70">
        <f>IFERROR(s_DL/(up_RadSpec!$H7*s_IFPC_res_adj*s_CF_peach),".")</f>
        <v>6.6115702479338848E-4</v>
      </c>
      <c r="S7" s="70">
        <f>IFERROR(s_DL/(up_RadSpec!$H7*s_IFPR_res_adj*s_CF_pear),".")</f>
        <v>6.6115702479338848E-4</v>
      </c>
      <c r="T7" s="70">
        <f>IFERROR(s_DL/(up_RadSpec!$H7*s_IFPE_res_adj*s_CF_peas),".")</f>
        <v>6.6115702479338848E-4</v>
      </c>
      <c r="U7" s="70">
        <f>IFERROR(s_DL/(up_RadSpec!$H7*s_IFPP_res_adj*s_CF_peppers),".")</f>
        <v>6.6115702479338848E-4</v>
      </c>
      <c r="V7" s="70">
        <f>IFERROR(s_DL/(up_RadSpec!$H7*s_IFPT_res_adj*s_CF_potato),".")</f>
        <v>6.6115702479338848E-4</v>
      </c>
      <c r="W7" s="70">
        <f>IFERROR(s_DL/(up_RadSpec!$H7*s_IFPU_res_adj*s_CF_pumpkin),".")</f>
        <v>6.6115702479338848E-4</v>
      </c>
      <c r="X7" s="70">
        <f>IFERROR(s_DL/(up_RadSpec!$H7*s_IFSN_res_adj*s_CF_snap_bean),".")</f>
        <v>6.6115702479338848E-4</v>
      </c>
      <c r="Y7" s="70">
        <f>IFERROR(s_DL/(up_RadSpec!$H7*s_IFST_res_adj*s_CF_strawberry),".")</f>
        <v>6.6115702479338848E-4</v>
      </c>
      <c r="Z7" s="70">
        <f>IFERROR(s_DL/(up_RadSpec!$H7*s_IFTO_res_adj*s_CF_tomato),".")</f>
        <v>6.6115702479338848E-4</v>
      </c>
      <c r="AA7" s="70">
        <f>IFERROR(s_DL/(up_RadSpec!$H7*s_IFRI_res_adj*s_CF_rice),".")</f>
        <v>6.6115702479338848E-4</v>
      </c>
      <c r="AB7" s="70">
        <f>IFERROR(s_DL/(up_RadSpec!$H7*s_IFCG_res_adj*s_CF_cereal),".")</f>
        <v>6.6115702479338848E-4</v>
      </c>
      <c r="AC7" s="70">
        <f t="shared" si="25"/>
        <v>1.6528925619834712E-4</v>
      </c>
      <c r="AD7" s="70">
        <f>IFERROR(s_DL/(up_RadSpec!$H7*s_IFAP_far_adj*s_CF_apple),".")</f>
        <v>6.6115702479338848E-4</v>
      </c>
      <c r="AE7" s="70">
        <f>IFERROR(s_DL/(up_RadSpec!$H7*s_IFAS_far_adj*s_CF_asparagus),".")</f>
        <v>6.6115702479338848E-4</v>
      </c>
      <c r="AF7" s="70">
        <f>IFERROR(s_DL/(up_RadSpec!$H7*s_IFBT_far_adj*s_CF_beet),".")</f>
        <v>6.6115702479338848E-4</v>
      </c>
      <c r="AG7" s="70">
        <f>IFERROR(s_DL/(up_RadSpec!$H7*s_IFBE_far_adj*s_CF_berries),".")</f>
        <v>6.6115702479338848E-4</v>
      </c>
      <c r="AH7" s="70">
        <f>IFERROR(s_DL/(up_RadSpec!$H7*s_IFBR_far_adj*s_CF_broccoli),".")</f>
        <v>6.6115702479338848E-4</v>
      </c>
      <c r="AI7" s="70">
        <f>IFERROR(s_DL/(up_RadSpec!$H7*s_IFCB_far_adj*s_CF_cabbage),".")</f>
        <v>6.6115702479338848E-4</v>
      </c>
      <c r="AJ7" s="70">
        <f>IFERROR(s_DL/(up_RadSpec!$H7*s_IFCR_far_adj*s_CF_carrot),".")</f>
        <v>6.6115702479338848E-4</v>
      </c>
      <c r="AK7" s="70">
        <f>IFERROR(s_DL/(up_RadSpec!$H7*s_IFCI_far_adj*s_CF_citrus),".")</f>
        <v>6.6115702479338848E-4</v>
      </c>
      <c r="AL7" s="70">
        <f>IFERROR(s_DL/(up_RadSpec!$H7*s_IFCO_far_adj*s_CF_corn),".")</f>
        <v>6.6115702479338848E-4</v>
      </c>
      <c r="AM7" s="70">
        <f>IFERROR(s_DL/(up_RadSpec!$H7*s_IFCU_far_adj*s_CF_cucumber),".")</f>
        <v>6.6115702479338848E-4</v>
      </c>
      <c r="AN7" s="70">
        <f>IFERROR(s_DL/(up_RadSpec!$H7*s_IFLE_far_adj*s_CF_lettuce),".")</f>
        <v>6.6115702479338848E-4</v>
      </c>
      <c r="AO7" s="70">
        <f>IFERROR(s_DL/(up_RadSpec!$H7*s_IFLI_far_adj*s_CF_lima_bean),".")</f>
        <v>6.6115702479338848E-4</v>
      </c>
      <c r="AP7" s="70">
        <f>IFERROR(s_DL/(up_RadSpec!$H7*s_IFOK_far_adj*s_CF_okra),".")</f>
        <v>6.6115702479338848E-4</v>
      </c>
      <c r="AQ7" s="70">
        <f>IFERROR(s_DL/(up_RadSpec!$H7*s_IFON_far_adj*s_CF_onion),".")</f>
        <v>6.6115702479338848E-4</v>
      </c>
      <c r="AR7" s="70">
        <f>IFERROR(s_DL/(up_RadSpec!$H7*s_IFPC_far_adj*s_CF_peach),".")</f>
        <v>6.6115702479338848E-4</v>
      </c>
      <c r="AS7" s="70">
        <f>IFERROR(s_DL/(up_RadSpec!$H7*s_IFPR_far_adj*s_CF_pear),".")</f>
        <v>6.6115702479338848E-4</v>
      </c>
      <c r="AT7" s="70">
        <f>IFERROR(s_DL/(up_RadSpec!$H7*s_IFPE_far_adj*s_CF_peas),".")</f>
        <v>6.6115702479338848E-4</v>
      </c>
      <c r="AU7" s="70">
        <f>IFERROR(s_DL/(up_RadSpec!$H7*s_IFPP_far_adj*s_CF_peppers),".")</f>
        <v>6.6115702479338848E-4</v>
      </c>
      <c r="AV7" s="70">
        <f>IFERROR(s_DL/(up_RadSpec!$H7*s_IFPT_far_adj*s_CF_potato),".")</f>
        <v>6.6115702479338848E-4</v>
      </c>
      <c r="AW7" s="70">
        <f>IFERROR(s_DL/(up_RadSpec!$H7*s_IFPU_far_adj*s_CF_pumpkin),".")</f>
        <v>6.6115702479338848E-4</v>
      </c>
      <c r="AX7" s="70">
        <f>IFERROR(s_DL/(up_RadSpec!$H7*s_IFSN_far_adj*s_CF_snap_bean),".")</f>
        <v>6.6115702479338848E-4</v>
      </c>
      <c r="AY7" s="70">
        <f>IFERROR(s_DL/(up_RadSpec!$H7*s_IFST_far_adj*s_CF_strawberry),".")</f>
        <v>6.6115702479338848E-4</v>
      </c>
      <c r="AZ7" s="70">
        <f>IFERROR(s_DL/(up_RadSpec!$H7*s_IFTO_far_adj*s_CF_tomato),".")</f>
        <v>6.6115702479338848E-4</v>
      </c>
      <c r="BA7" s="70">
        <f>IFERROR(s_DL/(up_RadSpec!$H7*s_IFRI_far_adj*s_CF_rice),".")</f>
        <v>6.6115702479338848E-4</v>
      </c>
      <c r="BB7" s="70">
        <f>IFERROR(s_DL/(up_RadSpec!$H7*s_IFCG_far_adj*s_CF_cereal),".")</f>
        <v>6.6115702479338848E-4</v>
      </c>
      <c r="BC7" s="87">
        <f t="shared" si="26"/>
        <v>30250</v>
      </c>
      <c r="BD7" s="87">
        <f t="shared" si="0"/>
        <v>7562.5</v>
      </c>
      <c r="BE7" s="87">
        <f t="shared" si="1"/>
        <v>7562.5</v>
      </c>
      <c r="BF7" s="87">
        <f t="shared" si="2"/>
        <v>7562.5</v>
      </c>
      <c r="BG7" s="87">
        <f t="shared" si="3"/>
        <v>7562.5</v>
      </c>
      <c r="BH7" s="87">
        <f t="shared" si="4"/>
        <v>7562.5</v>
      </c>
      <c r="BI7" s="87">
        <f t="shared" si="5"/>
        <v>7562.5</v>
      </c>
      <c r="BJ7" s="87">
        <f t="shared" si="6"/>
        <v>7562.5</v>
      </c>
      <c r="BK7" s="87">
        <f t="shared" si="7"/>
        <v>7562.5</v>
      </c>
      <c r="BL7" s="87">
        <f t="shared" si="8"/>
        <v>7562.5</v>
      </c>
      <c r="BM7" s="87">
        <f t="shared" si="9"/>
        <v>7562.5</v>
      </c>
      <c r="BN7" s="87">
        <f t="shared" si="10"/>
        <v>7562.5</v>
      </c>
      <c r="BO7" s="87">
        <f t="shared" si="11"/>
        <v>7562.5</v>
      </c>
      <c r="BP7" s="87">
        <f t="shared" si="12"/>
        <v>7562.5</v>
      </c>
      <c r="BQ7" s="87">
        <f t="shared" si="13"/>
        <v>7562.5</v>
      </c>
      <c r="BR7" s="87">
        <f t="shared" si="14"/>
        <v>7562.5</v>
      </c>
      <c r="BS7" s="87">
        <f t="shared" si="15"/>
        <v>7562.5</v>
      </c>
      <c r="BT7" s="87">
        <f t="shared" si="27"/>
        <v>7562.5</v>
      </c>
      <c r="BU7" s="87">
        <f t="shared" si="16"/>
        <v>7562.5</v>
      </c>
      <c r="BV7" s="87">
        <f t="shared" si="17"/>
        <v>7562.5</v>
      </c>
      <c r="BW7" s="87">
        <f t="shared" si="18"/>
        <v>7562.5</v>
      </c>
      <c r="BX7" s="87">
        <f t="shared" si="19"/>
        <v>7562.5</v>
      </c>
      <c r="BY7" s="87">
        <f t="shared" si="20"/>
        <v>7562.5</v>
      </c>
      <c r="BZ7" s="87">
        <f t="shared" si="21"/>
        <v>7562.5</v>
      </c>
      <c r="CA7" s="87">
        <f t="shared" si="22"/>
        <v>7562.5</v>
      </c>
      <c r="CB7" s="87">
        <f t="shared" si="23"/>
        <v>7562.5</v>
      </c>
    </row>
    <row r="8" spans="1:80" x14ac:dyDescent="0.25">
      <c r="A8" s="86" t="s">
        <v>6</v>
      </c>
      <c r="B8" s="84" t="s">
        <v>1057</v>
      </c>
      <c r="C8" s="70">
        <f t="shared" si="24"/>
        <v>1.6528925619834712E-4</v>
      </c>
      <c r="D8" s="70">
        <f>IFERROR(s_DL/(up_RadSpec!$H8*s_IFAP_res_adj*s_CF_apple),".")</f>
        <v>6.6115702479338848E-4</v>
      </c>
      <c r="E8" s="70">
        <f>IFERROR(s_DL/(up_RadSpec!$H8*s_IFAS_res_adj*s_CF_asparagus),".")</f>
        <v>6.6115702479338848E-4</v>
      </c>
      <c r="F8" s="70">
        <f>IFERROR(s_DL/(up_RadSpec!$H8*s_IFBT_res_adj*s_CF_beet),".")</f>
        <v>6.6115702479338848E-4</v>
      </c>
      <c r="G8" s="70">
        <f>IFERROR(s_DL/(up_RadSpec!$H8*s_IFBE_res_adj*s_CF_berries),".")</f>
        <v>6.6115702479338848E-4</v>
      </c>
      <c r="H8" s="70">
        <f>IFERROR(s_DL/(up_RadSpec!$H8*s_IFBR_res_adj*s_CF_broccoli),".")</f>
        <v>6.6115702479338848E-4</v>
      </c>
      <c r="I8" s="70">
        <f>IFERROR(s_DL/(up_RadSpec!$H8*s_IFCB_res_adj*s_CF_cabbage),".")</f>
        <v>6.6115702479338848E-4</v>
      </c>
      <c r="J8" s="70">
        <f>IFERROR(s_DL/(up_RadSpec!$H8*s_IFCR_res_adj*s_CF_carrot),".")</f>
        <v>6.6115702479338848E-4</v>
      </c>
      <c r="K8" s="70">
        <f>IFERROR(s_DL/(up_RadSpec!$H8*s_IFCI_res_adj*s_CF_citrus),".")</f>
        <v>6.6115702479338848E-4</v>
      </c>
      <c r="L8" s="70">
        <f>IFERROR(s_DL/(up_RadSpec!$H8*s_IFCO_res_adj*s_CF_corn),".")</f>
        <v>6.6115702479338848E-4</v>
      </c>
      <c r="M8" s="70">
        <f>IFERROR(s_DL/(up_RadSpec!$H8*s_IFCU_res_adj*s_CF_cucumber),".")</f>
        <v>6.6115702479338848E-4</v>
      </c>
      <c r="N8" s="70">
        <f>IFERROR(s_DL/(up_RadSpec!$H8*s_IFLE_res_adj*s_CF_lettuce),".")</f>
        <v>6.6115702479338848E-4</v>
      </c>
      <c r="O8" s="70">
        <f>IFERROR(s_DL/(up_RadSpec!$H8*s_IFLI_res_adj*s_CF_lima_bean),".")</f>
        <v>6.6115702479338848E-4</v>
      </c>
      <c r="P8" s="70">
        <f>IFERROR(s_DL/(up_RadSpec!$H8*s_IFOK_res_adj*s_CF_okra),".")</f>
        <v>6.6115702479338848E-4</v>
      </c>
      <c r="Q8" s="70">
        <f>IFERROR(s_DL/(up_RadSpec!$H8*s_IFON_res_adj*s_CF_onion),".")</f>
        <v>6.6115702479338848E-4</v>
      </c>
      <c r="R8" s="70">
        <f>IFERROR(s_DL/(up_RadSpec!$H8*s_IFPC_res_adj*s_CF_peach),".")</f>
        <v>6.6115702479338848E-4</v>
      </c>
      <c r="S8" s="70">
        <f>IFERROR(s_DL/(up_RadSpec!$H8*s_IFPR_res_adj*s_CF_pear),".")</f>
        <v>6.6115702479338848E-4</v>
      </c>
      <c r="T8" s="70">
        <f>IFERROR(s_DL/(up_RadSpec!$H8*s_IFPE_res_adj*s_CF_peas),".")</f>
        <v>6.6115702479338848E-4</v>
      </c>
      <c r="U8" s="70">
        <f>IFERROR(s_DL/(up_RadSpec!$H8*s_IFPP_res_adj*s_CF_peppers),".")</f>
        <v>6.6115702479338848E-4</v>
      </c>
      <c r="V8" s="70">
        <f>IFERROR(s_DL/(up_RadSpec!$H8*s_IFPT_res_adj*s_CF_potato),".")</f>
        <v>6.6115702479338848E-4</v>
      </c>
      <c r="W8" s="70">
        <f>IFERROR(s_DL/(up_RadSpec!$H8*s_IFPU_res_adj*s_CF_pumpkin),".")</f>
        <v>6.6115702479338848E-4</v>
      </c>
      <c r="X8" s="70">
        <f>IFERROR(s_DL/(up_RadSpec!$H8*s_IFSN_res_adj*s_CF_snap_bean),".")</f>
        <v>6.6115702479338848E-4</v>
      </c>
      <c r="Y8" s="70">
        <f>IFERROR(s_DL/(up_RadSpec!$H8*s_IFST_res_adj*s_CF_strawberry),".")</f>
        <v>6.6115702479338848E-4</v>
      </c>
      <c r="Z8" s="70">
        <f>IFERROR(s_DL/(up_RadSpec!$H8*s_IFTO_res_adj*s_CF_tomato),".")</f>
        <v>6.6115702479338848E-4</v>
      </c>
      <c r="AA8" s="70">
        <f>IFERROR(s_DL/(up_RadSpec!$H8*s_IFRI_res_adj*s_CF_rice),".")</f>
        <v>6.6115702479338848E-4</v>
      </c>
      <c r="AB8" s="70">
        <f>IFERROR(s_DL/(up_RadSpec!$H8*s_IFCG_res_adj*s_CF_cereal),".")</f>
        <v>6.6115702479338848E-4</v>
      </c>
      <c r="AC8" s="70">
        <f t="shared" si="25"/>
        <v>1.6528925619834712E-4</v>
      </c>
      <c r="AD8" s="70">
        <f>IFERROR(s_DL/(up_RadSpec!$H8*s_IFAP_far_adj*s_CF_apple),".")</f>
        <v>6.6115702479338848E-4</v>
      </c>
      <c r="AE8" s="70">
        <f>IFERROR(s_DL/(up_RadSpec!$H8*s_IFAS_far_adj*s_CF_asparagus),".")</f>
        <v>6.6115702479338848E-4</v>
      </c>
      <c r="AF8" s="70">
        <f>IFERROR(s_DL/(up_RadSpec!$H8*s_IFBT_far_adj*s_CF_beet),".")</f>
        <v>6.6115702479338848E-4</v>
      </c>
      <c r="AG8" s="70">
        <f>IFERROR(s_DL/(up_RadSpec!$H8*s_IFBE_far_adj*s_CF_berries),".")</f>
        <v>6.6115702479338848E-4</v>
      </c>
      <c r="AH8" s="70">
        <f>IFERROR(s_DL/(up_RadSpec!$H8*s_IFBR_far_adj*s_CF_broccoli),".")</f>
        <v>6.6115702479338848E-4</v>
      </c>
      <c r="AI8" s="70">
        <f>IFERROR(s_DL/(up_RadSpec!$H8*s_IFCB_far_adj*s_CF_cabbage),".")</f>
        <v>6.6115702479338848E-4</v>
      </c>
      <c r="AJ8" s="70">
        <f>IFERROR(s_DL/(up_RadSpec!$H8*s_IFCR_far_adj*s_CF_carrot),".")</f>
        <v>6.6115702479338848E-4</v>
      </c>
      <c r="AK8" s="70">
        <f>IFERROR(s_DL/(up_RadSpec!$H8*s_IFCI_far_adj*s_CF_citrus),".")</f>
        <v>6.6115702479338848E-4</v>
      </c>
      <c r="AL8" s="70">
        <f>IFERROR(s_DL/(up_RadSpec!$H8*s_IFCO_far_adj*s_CF_corn),".")</f>
        <v>6.6115702479338848E-4</v>
      </c>
      <c r="AM8" s="70">
        <f>IFERROR(s_DL/(up_RadSpec!$H8*s_IFCU_far_adj*s_CF_cucumber),".")</f>
        <v>6.6115702479338848E-4</v>
      </c>
      <c r="AN8" s="70">
        <f>IFERROR(s_DL/(up_RadSpec!$H8*s_IFLE_far_adj*s_CF_lettuce),".")</f>
        <v>6.6115702479338848E-4</v>
      </c>
      <c r="AO8" s="70">
        <f>IFERROR(s_DL/(up_RadSpec!$H8*s_IFLI_far_adj*s_CF_lima_bean),".")</f>
        <v>6.6115702479338848E-4</v>
      </c>
      <c r="AP8" s="70">
        <f>IFERROR(s_DL/(up_RadSpec!$H8*s_IFOK_far_adj*s_CF_okra),".")</f>
        <v>6.6115702479338848E-4</v>
      </c>
      <c r="AQ8" s="70">
        <f>IFERROR(s_DL/(up_RadSpec!$H8*s_IFON_far_adj*s_CF_onion),".")</f>
        <v>6.6115702479338848E-4</v>
      </c>
      <c r="AR8" s="70">
        <f>IFERROR(s_DL/(up_RadSpec!$H8*s_IFPC_far_adj*s_CF_peach),".")</f>
        <v>6.6115702479338848E-4</v>
      </c>
      <c r="AS8" s="70">
        <f>IFERROR(s_DL/(up_RadSpec!$H8*s_IFPR_far_adj*s_CF_pear),".")</f>
        <v>6.6115702479338848E-4</v>
      </c>
      <c r="AT8" s="70">
        <f>IFERROR(s_DL/(up_RadSpec!$H8*s_IFPE_far_adj*s_CF_peas),".")</f>
        <v>6.6115702479338848E-4</v>
      </c>
      <c r="AU8" s="70">
        <f>IFERROR(s_DL/(up_RadSpec!$H8*s_IFPP_far_adj*s_CF_peppers),".")</f>
        <v>6.6115702479338848E-4</v>
      </c>
      <c r="AV8" s="70">
        <f>IFERROR(s_DL/(up_RadSpec!$H8*s_IFPT_far_adj*s_CF_potato),".")</f>
        <v>6.6115702479338848E-4</v>
      </c>
      <c r="AW8" s="70">
        <f>IFERROR(s_DL/(up_RadSpec!$H8*s_IFPU_far_adj*s_CF_pumpkin),".")</f>
        <v>6.6115702479338848E-4</v>
      </c>
      <c r="AX8" s="70">
        <f>IFERROR(s_DL/(up_RadSpec!$H8*s_IFSN_far_adj*s_CF_snap_bean),".")</f>
        <v>6.6115702479338848E-4</v>
      </c>
      <c r="AY8" s="70">
        <f>IFERROR(s_DL/(up_RadSpec!$H8*s_IFST_far_adj*s_CF_strawberry),".")</f>
        <v>6.6115702479338848E-4</v>
      </c>
      <c r="AZ8" s="70">
        <f>IFERROR(s_DL/(up_RadSpec!$H8*s_IFTO_far_adj*s_CF_tomato),".")</f>
        <v>6.6115702479338848E-4</v>
      </c>
      <c r="BA8" s="70">
        <f>IFERROR(s_DL/(up_RadSpec!$H8*s_IFRI_far_adj*s_CF_rice),".")</f>
        <v>6.6115702479338848E-4</v>
      </c>
      <c r="BB8" s="70">
        <f>IFERROR(s_DL/(up_RadSpec!$H8*s_IFCG_far_adj*s_CF_cereal),".")</f>
        <v>6.6115702479338848E-4</v>
      </c>
      <c r="BC8" s="87">
        <f t="shared" si="26"/>
        <v>30250</v>
      </c>
      <c r="BD8" s="87">
        <f t="shared" si="0"/>
        <v>7562.5</v>
      </c>
      <c r="BE8" s="87">
        <f t="shared" si="1"/>
        <v>7562.5</v>
      </c>
      <c r="BF8" s="87">
        <f t="shared" si="2"/>
        <v>7562.5</v>
      </c>
      <c r="BG8" s="87">
        <f t="shared" si="3"/>
        <v>7562.5</v>
      </c>
      <c r="BH8" s="87">
        <f t="shared" si="4"/>
        <v>7562.5</v>
      </c>
      <c r="BI8" s="87">
        <f t="shared" si="5"/>
        <v>7562.5</v>
      </c>
      <c r="BJ8" s="87">
        <f t="shared" si="6"/>
        <v>7562.5</v>
      </c>
      <c r="BK8" s="87">
        <f t="shared" si="7"/>
        <v>7562.5</v>
      </c>
      <c r="BL8" s="87">
        <f t="shared" si="8"/>
        <v>7562.5</v>
      </c>
      <c r="BM8" s="87">
        <f t="shared" si="9"/>
        <v>7562.5</v>
      </c>
      <c r="BN8" s="87">
        <f t="shared" si="10"/>
        <v>7562.5</v>
      </c>
      <c r="BO8" s="87">
        <f t="shared" si="11"/>
        <v>7562.5</v>
      </c>
      <c r="BP8" s="87">
        <f t="shared" si="12"/>
        <v>7562.5</v>
      </c>
      <c r="BQ8" s="87">
        <f t="shared" si="13"/>
        <v>7562.5</v>
      </c>
      <c r="BR8" s="87">
        <f t="shared" si="14"/>
        <v>7562.5</v>
      </c>
      <c r="BS8" s="87">
        <f t="shared" si="15"/>
        <v>7562.5</v>
      </c>
      <c r="BT8" s="87">
        <f t="shared" si="27"/>
        <v>7562.5</v>
      </c>
      <c r="BU8" s="87">
        <f t="shared" si="16"/>
        <v>7562.5</v>
      </c>
      <c r="BV8" s="87">
        <f t="shared" si="17"/>
        <v>7562.5</v>
      </c>
      <c r="BW8" s="87">
        <f t="shared" si="18"/>
        <v>7562.5</v>
      </c>
      <c r="BX8" s="87">
        <f t="shared" si="19"/>
        <v>7562.5</v>
      </c>
      <c r="BY8" s="87">
        <f t="shared" si="20"/>
        <v>7562.5</v>
      </c>
      <c r="BZ8" s="87">
        <f t="shared" si="21"/>
        <v>7562.5</v>
      </c>
      <c r="CA8" s="87">
        <f t="shared" si="22"/>
        <v>7562.5</v>
      </c>
      <c r="CB8" s="87">
        <f t="shared" si="23"/>
        <v>7562.5</v>
      </c>
    </row>
    <row r="9" spans="1:80" x14ac:dyDescent="0.25">
      <c r="A9" s="86" t="s">
        <v>7</v>
      </c>
      <c r="B9" s="84" t="s">
        <v>1057</v>
      </c>
      <c r="C9" s="70">
        <f t="shared" si="24"/>
        <v>1.6528925619834712E-4</v>
      </c>
      <c r="D9" s="70">
        <f>IFERROR(s_DL/(up_RadSpec!$H9*s_IFAP_res_adj*s_CF_apple),".")</f>
        <v>6.6115702479338848E-4</v>
      </c>
      <c r="E9" s="70">
        <f>IFERROR(s_DL/(up_RadSpec!$H9*s_IFAS_res_adj*s_CF_asparagus),".")</f>
        <v>6.6115702479338848E-4</v>
      </c>
      <c r="F9" s="70">
        <f>IFERROR(s_DL/(up_RadSpec!$H9*s_IFBT_res_adj*s_CF_beet),".")</f>
        <v>6.6115702479338848E-4</v>
      </c>
      <c r="G9" s="70">
        <f>IFERROR(s_DL/(up_RadSpec!$H9*s_IFBE_res_adj*s_CF_berries),".")</f>
        <v>6.6115702479338848E-4</v>
      </c>
      <c r="H9" s="70">
        <f>IFERROR(s_DL/(up_RadSpec!$H9*s_IFBR_res_adj*s_CF_broccoli),".")</f>
        <v>6.6115702479338848E-4</v>
      </c>
      <c r="I9" s="70">
        <f>IFERROR(s_DL/(up_RadSpec!$H9*s_IFCB_res_adj*s_CF_cabbage),".")</f>
        <v>6.6115702479338848E-4</v>
      </c>
      <c r="J9" s="70">
        <f>IFERROR(s_DL/(up_RadSpec!$H9*s_IFCR_res_adj*s_CF_carrot),".")</f>
        <v>6.6115702479338848E-4</v>
      </c>
      <c r="K9" s="70">
        <f>IFERROR(s_DL/(up_RadSpec!$H9*s_IFCI_res_adj*s_CF_citrus),".")</f>
        <v>6.6115702479338848E-4</v>
      </c>
      <c r="L9" s="70">
        <f>IFERROR(s_DL/(up_RadSpec!$H9*s_IFCO_res_adj*s_CF_corn),".")</f>
        <v>6.6115702479338848E-4</v>
      </c>
      <c r="M9" s="70">
        <f>IFERROR(s_DL/(up_RadSpec!$H9*s_IFCU_res_adj*s_CF_cucumber),".")</f>
        <v>6.6115702479338848E-4</v>
      </c>
      <c r="N9" s="70">
        <f>IFERROR(s_DL/(up_RadSpec!$H9*s_IFLE_res_adj*s_CF_lettuce),".")</f>
        <v>6.6115702479338848E-4</v>
      </c>
      <c r="O9" s="70">
        <f>IFERROR(s_DL/(up_RadSpec!$H9*s_IFLI_res_adj*s_CF_lima_bean),".")</f>
        <v>6.6115702479338848E-4</v>
      </c>
      <c r="P9" s="70">
        <f>IFERROR(s_DL/(up_RadSpec!$H9*s_IFOK_res_adj*s_CF_okra),".")</f>
        <v>6.6115702479338848E-4</v>
      </c>
      <c r="Q9" s="70">
        <f>IFERROR(s_DL/(up_RadSpec!$H9*s_IFON_res_adj*s_CF_onion),".")</f>
        <v>6.6115702479338848E-4</v>
      </c>
      <c r="R9" s="70">
        <f>IFERROR(s_DL/(up_RadSpec!$H9*s_IFPC_res_adj*s_CF_peach),".")</f>
        <v>6.6115702479338848E-4</v>
      </c>
      <c r="S9" s="70">
        <f>IFERROR(s_DL/(up_RadSpec!$H9*s_IFPR_res_adj*s_CF_pear),".")</f>
        <v>6.6115702479338848E-4</v>
      </c>
      <c r="T9" s="70">
        <f>IFERROR(s_DL/(up_RadSpec!$H9*s_IFPE_res_adj*s_CF_peas),".")</f>
        <v>6.6115702479338848E-4</v>
      </c>
      <c r="U9" s="70">
        <f>IFERROR(s_DL/(up_RadSpec!$H9*s_IFPP_res_adj*s_CF_peppers),".")</f>
        <v>6.6115702479338848E-4</v>
      </c>
      <c r="V9" s="70">
        <f>IFERROR(s_DL/(up_RadSpec!$H9*s_IFPT_res_adj*s_CF_potato),".")</f>
        <v>6.6115702479338848E-4</v>
      </c>
      <c r="W9" s="70">
        <f>IFERROR(s_DL/(up_RadSpec!$H9*s_IFPU_res_adj*s_CF_pumpkin),".")</f>
        <v>6.6115702479338848E-4</v>
      </c>
      <c r="X9" s="70">
        <f>IFERROR(s_DL/(up_RadSpec!$H9*s_IFSN_res_adj*s_CF_snap_bean),".")</f>
        <v>6.6115702479338848E-4</v>
      </c>
      <c r="Y9" s="70">
        <f>IFERROR(s_DL/(up_RadSpec!$H9*s_IFST_res_adj*s_CF_strawberry),".")</f>
        <v>6.6115702479338848E-4</v>
      </c>
      <c r="Z9" s="70">
        <f>IFERROR(s_DL/(up_RadSpec!$H9*s_IFTO_res_adj*s_CF_tomato),".")</f>
        <v>6.6115702479338848E-4</v>
      </c>
      <c r="AA9" s="70">
        <f>IFERROR(s_DL/(up_RadSpec!$H9*s_IFRI_res_adj*s_CF_rice),".")</f>
        <v>6.6115702479338848E-4</v>
      </c>
      <c r="AB9" s="70">
        <f>IFERROR(s_DL/(up_RadSpec!$H9*s_IFCG_res_adj*s_CF_cereal),".")</f>
        <v>6.6115702479338848E-4</v>
      </c>
      <c r="AC9" s="70">
        <f t="shared" si="25"/>
        <v>1.6528925619834712E-4</v>
      </c>
      <c r="AD9" s="70">
        <f>IFERROR(s_DL/(up_RadSpec!$H9*s_IFAP_far_adj*s_CF_apple),".")</f>
        <v>6.6115702479338848E-4</v>
      </c>
      <c r="AE9" s="70">
        <f>IFERROR(s_DL/(up_RadSpec!$H9*s_IFAS_far_adj*s_CF_asparagus),".")</f>
        <v>6.6115702479338848E-4</v>
      </c>
      <c r="AF9" s="70">
        <f>IFERROR(s_DL/(up_RadSpec!$H9*s_IFBT_far_adj*s_CF_beet),".")</f>
        <v>6.6115702479338848E-4</v>
      </c>
      <c r="AG9" s="70">
        <f>IFERROR(s_DL/(up_RadSpec!$H9*s_IFBE_far_adj*s_CF_berries),".")</f>
        <v>6.6115702479338848E-4</v>
      </c>
      <c r="AH9" s="70">
        <f>IFERROR(s_DL/(up_RadSpec!$H9*s_IFBR_far_adj*s_CF_broccoli),".")</f>
        <v>6.6115702479338848E-4</v>
      </c>
      <c r="AI9" s="70">
        <f>IFERROR(s_DL/(up_RadSpec!$H9*s_IFCB_far_adj*s_CF_cabbage),".")</f>
        <v>6.6115702479338848E-4</v>
      </c>
      <c r="AJ9" s="70">
        <f>IFERROR(s_DL/(up_RadSpec!$H9*s_IFCR_far_adj*s_CF_carrot),".")</f>
        <v>6.6115702479338848E-4</v>
      </c>
      <c r="AK9" s="70">
        <f>IFERROR(s_DL/(up_RadSpec!$H9*s_IFCI_far_adj*s_CF_citrus),".")</f>
        <v>6.6115702479338848E-4</v>
      </c>
      <c r="AL9" s="70">
        <f>IFERROR(s_DL/(up_RadSpec!$H9*s_IFCO_far_adj*s_CF_corn),".")</f>
        <v>6.6115702479338848E-4</v>
      </c>
      <c r="AM9" s="70">
        <f>IFERROR(s_DL/(up_RadSpec!$H9*s_IFCU_far_adj*s_CF_cucumber),".")</f>
        <v>6.6115702479338848E-4</v>
      </c>
      <c r="AN9" s="70">
        <f>IFERROR(s_DL/(up_RadSpec!$H9*s_IFLE_far_adj*s_CF_lettuce),".")</f>
        <v>6.6115702479338848E-4</v>
      </c>
      <c r="AO9" s="70">
        <f>IFERROR(s_DL/(up_RadSpec!$H9*s_IFLI_far_adj*s_CF_lima_bean),".")</f>
        <v>6.6115702479338848E-4</v>
      </c>
      <c r="AP9" s="70">
        <f>IFERROR(s_DL/(up_RadSpec!$H9*s_IFOK_far_adj*s_CF_okra),".")</f>
        <v>6.6115702479338848E-4</v>
      </c>
      <c r="AQ9" s="70">
        <f>IFERROR(s_DL/(up_RadSpec!$H9*s_IFON_far_adj*s_CF_onion),".")</f>
        <v>6.6115702479338848E-4</v>
      </c>
      <c r="AR9" s="70">
        <f>IFERROR(s_DL/(up_RadSpec!$H9*s_IFPC_far_adj*s_CF_peach),".")</f>
        <v>6.6115702479338848E-4</v>
      </c>
      <c r="AS9" s="70">
        <f>IFERROR(s_DL/(up_RadSpec!$H9*s_IFPR_far_adj*s_CF_pear),".")</f>
        <v>6.6115702479338848E-4</v>
      </c>
      <c r="AT9" s="70">
        <f>IFERROR(s_DL/(up_RadSpec!$H9*s_IFPE_far_adj*s_CF_peas),".")</f>
        <v>6.6115702479338848E-4</v>
      </c>
      <c r="AU9" s="70">
        <f>IFERROR(s_DL/(up_RadSpec!$H9*s_IFPP_far_adj*s_CF_peppers),".")</f>
        <v>6.6115702479338848E-4</v>
      </c>
      <c r="AV9" s="70">
        <f>IFERROR(s_DL/(up_RadSpec!$H9*s_IFPT_far_adj*s_CF_potato),".")</f>
        <v>6.6115702479338848E-4</v>
      </c>
      <c r="AW9" s="70">
        <f>IFERROR(s_DL/(up_RadSpec!$H9*s_IFPU_far_adj*s_CF_pumpkin),".")</f>
        <v>6.6115702479338848E-4</v>
      </c>
      <c r="AX9" s="70">
        <f>IFERROR(s_DL/(up_RadSpec!$H9*s_IFSN_far_adj*s_CF_snap_bean),".")</f>
        <v>6.6115702479338848E-4</v>
      </c>
      <c r="AY9" s="70">
        <f>IFERROR(s_DL/(up_RadSpec!$H9*s_IFST_far_adj*s_CF_strawberry),".")</f>
        <v>6.6115702479338848E-4</v>
      </c>
      <c r="AZ9" s="70">
        <f>IFERROR(s_DL/(up_RadSpec!$H9*s_IFTO_far_adj*s_CF_tomato),".")</f>
        <v>6.6115702479338848E-4</v>
      </c>
      <c r="BA9" s="70">
        <f>IFERROR(s_DL/(up_RadSpec!$H9*s_IFRI_far_adj*s_CF_rice),".")</f>
        <v>6.6115702479338848E-4</v>
      </c>
      <c r="BB9" s="70">
        <f>IFERROR(s_DL/(up_RadSpec!$H9*s_IFCG_far_adj*s_CF_cereal),".")</f>
        <v>6.6115702479338848E-4</v>
      </c>
      <c r="BC9" s="87">
        <f t="shared" si="26"/>
        <v>30250</v>
      </c>
      <c r="BD9" s="87">
        <f t="shared" si="0"/>
        <v>7562.5</v>
      </c>
      <c r="BE9" s="87">
        <f t="shared" si="1"/>
        <v>7562.5</v>
      </c>
      <c r="BF9" s="87">
        <f t="shared" si="2"/>
        <v>7562.5</v>
      </c>
      <c r="BG9" s="87">
        <f t="shared" si="3"/>
        <v>7562.5</v>
      </c>
      <c r="BH9" s="87">
        <f t="shared" si="4"/>
        <v>7562.5</v>
      </c>
      <c r="BI9" s="87">
        <f t="shared" si="5"/>
        <v>7562.5</v>
      </c>
      <c r="BJ9" s="87">
        <f t="shared" si="6"/>
        <v>7562.5</v>
      </c>
      <c r="BK9" s="87">
        <f t="shared" si="7"/>
        <v>7562.5</v>
      </c>
      <c r="BL9" s="87">
        <f t="shared" si="8"/>
        <v>7562.5</v>
      </c>
      <c r="BM9" s="87">
        <f t="shared" si="9"/>
        <v>7562.5</v>
      </c>
      <c r="BN9" s="87">
        <f t="shared" si="10"/>
        <v>7562.5</v>
      </c>
      <c r="BO9" s="87">
        <f t="shared" si="11"/>
        <v>7562.5</v>
      </c>
      <c r="BP9" s="87">
        <f t="shared" si="12"/>
        <v>7562.5</v>
      </c>
      <c r="BQ9" s="87">
        <f t="shared" si="13"/>
        <v>7562.5</v>
      </c>
      <c r="BR9" s="87">
        <f t="shared" si="14"/>
        <v>7562.5</v>
      </c>
      <c r="BS9" s="87">
        <f t="shared" si="15"/>
        <v>7562.5</v>
      </c>
      <c r="BT9" s="87">
        <f t="shared" si="27"/>
        <v>7562.5</v>
      </c>
      <c r="BU9" s="87">
        <f t="shared" si="16"/>
        <v>7562.5</v>
      </c>
      <c r="BV9" s="87">
        <f t="shared" si="17"/>
        <v>7562.5</v>
      </c>
      <c r="BW9" s="87">
        <f t="shared" si="18"/>
        <v>7562.5</v>
      </c>
      <c r="BX9" s="87">
        <f t="shared" si="19"/>
        <v>7562.5</v>
      </c>
      <c r="BY9" s="87">
        <f t="shared" si="20"/>
        <v>7562.5</v>
      </c>
      <c r="BZ9" s="87">
        <f t="shared" si="21"/>
        <v>7562.5</v>
      </c>
      <c r="CA9" s="87">
        <f t="shared" si="22"/>
        <v>7562.5</v>
      </c>
      <c r="CB9" s="87">
        <f t="shared" si="23"/>
        <v>7562.5</v>
      </c>
    </row>
    <row r="10" spans="1:80" x14ac:dyDescent="0.25">
      <c r="A10" s="88" t="s">
        <v>8</v>
      </c>
      <c r="B10" s="84" t="s">
        <v>335</v>
      </c>
      <c r="C10" s="70">
        <f t="shared" si="24"/>
        <v>1.6528925619834712E-4</v>
      </c>
      <c r="D10" s="70">
        <f>IFERROR(s_DL/(up_RadSpec!$H10*s_IFAP_res_adj*s_CF_apple),".")</f>
        <v>6.6115702479338848E-4</v>
      </c>
      <c r="E10" s="70">
        <f>IFERROR(s_DL/(up_RadSpec!$H10*s_IFAS_res_adj*s_CF_asparagus),".")</f>
        <v>6.6115702479338848E-4</v>
      </c>
      <c r="F10" s="70">
        <f>IFERROR(s_DL/(up_RadSpec!$H10*s_IFBT_res_adj*s_CF_beet),".")</f>
        <v>6.6115702479338848E-4</v>
      </c>
      <c r="G10" s="70">
        <f>IFERROR(s_DL/(up_RadSpec!$H10*s_IFBE_res_adj*s_CF_berries),".")</f>
        <v>6.6115702479338848E-4</v>
      </c>
      <c r="H10" s="70">
        <f>IFERROR(s_DL/(up_RadSpec!$H10*s_IFBR_res_adj*s_CF_broccoli),".")</f>
        <v>6.6115702479338848E-4</v>
      </c>
      <c r="I10" s="70">
        <f>IFERROR(s_DL/(up_RadSpec!$H10*s_IFCB_res_adj*s_CF_cabbage),".")</f>
        <v>6.6115702479338848E-4</v>
      </c>
      <c r="J10" s="70">
        <f>IFERROR(s_DL/(up_RadSpec!$H10*s_IFCR_res_adj*s_CF_carrot),".")</f>
        <v>6.6115702479338848E-4</v>
      </c>
      <c r="K10" s="70">
        <f>IFERROR(s_DL/(up_RadSpec!$H10*s_IFCI_res_adj*s_CF_citrus),".")</f>
        <v>6.6115702479338848E-4</v>
      </c>
      <c r="L10" s="70">
        <f>IFERROR(s_DL/(up_RadSpec!$H10*s_IFCO_res_adj*s_CF_corn),".")</f>
        <v>6.6115702479338848E-4</v>
      </c>
      <c r="M10" s="70">
        <f>IFERROR(s_DL/(up_RadSpec!$H10*s_IFCU_res_adj*s_CF_cucumber),".")</f>
        <v>6.6115702479338848E-4</v>
      </c>
      <c r="N10" s="70">
        <f>IFERROR(s_DL/(up_RadSpec!$H10*s_IFLE_res_adj*s_CF_lettuce),".")</f>
        <v>6.6115702479338848E-4</v>
      </c>
      <c r="O10" s="70">
        <f>IFERROR(s_DL/(up_RadSpec!$H10*s_IFLI_res_adj*s_CF_lima_bean),".")</f>
        <v>6.6115702479338848E-4</v>
      </c>
      <c r="P10" s="70">
        <f>IFERROR(s_DL/(up_RadSpec!$H10*s_IFOK_res_adj*s_CF_okra),".")</f>
        <v>6.6115702479338848E-4</v>
      </c>
      <c r="Q10" s="70">
        <f>IFERROR(s_DL/(up_RadSpec!$H10*s_IFON_res_adj*s_CF_onion),".")</f>
        <v>6.6115702479338848E-4</v>
      </c>
      <c r="R10" s="70">
        <f>IFERROR(s_DL/(up_RadSpec!$H10*s_IFPC_res_adj*s_CF_peach),".")</f>
        <v>6.6115702479338848E-4</v>
      </c>
      <c r="S10" s="70">
        <f>IFERROR(s_DL/(up_RadSpec!$H10*s_IFPR_res_adj*s_CF_pear),".")</f>
        <v>6.6115702479338848E-4</v>
      </c>
      <c r="T10" s="70">
        <f>IFERROR(s_DL/(up_RadSpec!$H10*s_IFPE_res_adj*s_CF_peas),".")</f>
        <v>6.6115702479338848E-4</v>
      </c>
      <c r="U10" s="70">
        <f>IFERROR(s_DL/(up_RadSpec!$H10*s_IFPP_res_adj*s_CF_peppers),".")</f>
        <v>6.6115702479338848E-4</v>
      </c>
      <c r="V10" s="70">
        <f>IFERROR(s_DL/(up_RadSpec!$H10*s_IFPT_res_adj*s_CF_potato),".")</f>
        <v>6.6115702479338848E-4</v>
      </c>
      <c r="W10" s="70">
        <f>IFERROR(s_DL/(up_RadSpec!$H10*s_IFPU_res_adj*s_CF_pumpkin),".")</f>
        <v>6.6115702479338848E-4</v>
      </c>
      <c r="X10" s="70">
        <f>IFERROR(s_DL/(up_RadSpec!$H10*s_IFSN_res_adj*s_CF_snap_bean),".")</f>
        <v>6.6115702479338848E-4</v>
      </c>
      <c r="Y10" s="70">
        <f>IFERROR(s_DL/(up_RadSpec!$H10*s_IFST_res_adj*s_CF_strawberry),".")</f>
        <v>6.6115702479338848E-4</v>
      </c>
      <c r="Z10" s="70">
        <f>IFERROR(s_DL/(up_RadSpec!$H10*s_IFTO_res_adj*s_CF_tomato),".")</f>
        <v>6.6115702479338848E-4</v>
      </c>
      <c r="AA10" s="70">
        <f>IFERROR(s_DL/(up_RadSpec!$H10*s_IFRI_res_adj*s_CF_rice),".")</f>
        <v>6.6115702479338848E-4</v>
      </c>
      <c r="AB10" s="70">
        <f>IFERROR(s_DL/(up_RadSpec!$H10*s_IFCG_res_adj*s_CF_cereal),".")</f>
        <v>6.6115702479338848E-4</v>
      </c>
      <c r="AC10" s="70">
        <f t="shared" si="25"/>
        <v>1.6528925619834712E-4</v>
      </c>
      <c r="AD10" s="70">
        <f>IFERROR(s_DL/(up_RadSpec!$H10*s_IFAP_far_adj*s_CF_apple),".")</f>
        <v>6.6115702479338848E-4</v>
      </c>
      <c r="AE10" s="70">
        <f>IFERROR(s_DL/(up_RadSpec!$H10*s_IFAS_far_adj*s_CF_asparagus),".")</f>
        <v>6.6115702479338848E-4</v>
      </c>
      <c r="AF10" s="70">
        <f>IFERROR(s_DL/(up_RadSpec!$H10*s_IFBT_far_adj*s_CF_beet),".")</f>
        <v>6.6115702479338848E-4</v>
      </c>
      <c r="AG10" s="70">
        <f>IFERROR(s_DL/(up_RadSpec!$H10*s_IFBE_far_adj*s_CF_berries),".")</f>
        <v>6.6115702479338848E-4</v>
      </c>
      <c r="AH10" s="70">
        <f>IFERROR(s_DL/(up_RadSpec!$H10*s_IFBR_far_adj*s_CF_broccoli),".")</f>
        <v>6.6115702479338848E-4</v>
      </c>
      <c r="AI10" s="70">
        <f>IFERROR(s_DL/(up_RadSpec!$H10*s_IFCB_far_adj*s_CF_cabbage),".")</f>
        <v>6.6115702479338848E-4</v>
      </c>
      <c r="AJ10" s="70">
        <f>IFERROR(s_DL/(up_RadSpec!$H10*s_IFCR_far_adj*s_CF_carrot),".")</f>
        <v>6.6115702479338848E-4</v>
      </c>
      <c r="AK10" s="70">
        <f>IFERROR(s_DL/(up_RadSpec!$H10*s_IFCI_far_adj*s_CF_citrus),".")</f>
        <v>6.6115702479338848E-4</v>
      </c>
      <c r="AL10" s="70">
        <f>IFERROR(s_DL/(up_RadSpec!$H10*s_IFCO_far_adj*s_CF_corn),".")</f>
        <v>6.6115702479338848E-4</v>
      </c>
      <c r="AM10" s="70">
        <f>IFERROR(s_DL/(up_RadSpec!$H10*s_IFCU_far_adj*s_CF_cucumber),".")</f>
        <v>6.6115702479338848E-4</v>
      </c>
      <c r="AN10" s="70">
        <f>IFERROR(s_DL/(up_RadSpec!$H10*s_IFLE_far_adj*s_CF_lettuce),".")</f>
        <v>6.6115702479338848E-4</v>
      </c>
      <c r="AO10" s="70">
        <f>IFERROR(s_DL/(up_RadSpec!$H10*s_IFLI_far_adj*s_CF_lima_bean),".")</f>
        <v>6.6115702479338848E-4</v>
      </c>
      <c r="AP10" s="70">
        <f>IFERROR(s_DL/(up_RadSpec!$H10*s_IFOK_far_adj*s_CF_okra),".")</f>
        <v>6.6115702479338848E-4</v>
      </c>
      <c r="AQ10" s="70">
        <f>IFERROR(s_DL/(up_RadSpec!$H10*s_IFON_far_adj*s_CF_onion),".")</f>
        <v>6.6115702479338848E-4</v>
      </c>
      <c r="AR10" s="70">
        <f>IFERROR(s_DL/(up_RadSpec!$H10*s_IFPC_far_adj*s_CF_peach),".")</f>
        <v>6.6115702479338848E-4</v>
      </c>
      <c r="AS10" s="70">
        <f>IFERROR(s_DL/(up_RadSpec!$H10*s_IFPR_far_adj*s_CF_pear),".")</f>
        <v>6.6115702479338848E-4</v>
      </c>
      <c r="AT10" s="70">
        <f>IFERROR(s_DL/(up_RadSpec!$H10*s_IFPE_far_adj*s_CF_peas),".")</f>
        <v>6.6115702479338848E-4</v>
      </c>
      <c r="AU10" s="70">
        <f>IFERROR(s_DL/(up_RadSpec!$H10*s_IFPP_far_adj*s_CF_peppers),".")</f>
        <v>6.6115702479338848E-4</v>
      </c>
      <c r="AV10" s="70">
        <f>IFERROR(s_DL/(up_RadSpec!$H10*s_IFPT_far_adj*s_CF_potato),".")</f>
        <v>6.6115702479338848E-4</v>
      </c>
      <c r="AW10" s="70">
        <f>IFERROR(s_DL/(up_RadSpec!$H10*s_IFPU_far_adj*s_CF_pumpkin),".")</f>
        <v>6.6115702479338848E-4</v>
      </c>
      <c r="AX10" s="70">
        <f>IFERROR(s_DL/(up_RadSpec!$H10*s_IFSN_far_adj*s_CF_snap_bean),".")</f>
        <v>6.6115702479338848E-4</v>
      </c>
      <c r="AY10" s="70">
        <f>IFERROR(s_DL/(up_RadSpec!$H10*s_IFST_far_adj*s_CF_strawberry),".")</f>
        <v>6.6115702479338848E-4</v>
      </c>
      <c r="AZ10" s="70">
        <f>IFERROR(s_DL/(up_RadSpec!$H10*s_IFTO_far_adj*s_CF_tomato),".")</f>
        <v>6.6115702479338848E-4</v>
      </c>
      <c r="BA10" s="70">
        <f>IFERROR(s_DL/(up_RadSpec!$H10*s_IFRI_far_adj*s_CF_rice),".")</f>
        <v>6.6115702479338848E-4</v>
      </c>
      <c r="BB10" s="70">
        <f>IFERROR(s_DL/(up_RadSpec!$H10*s_IFCG_far_adj*s_CF_cereal),".")</f>
        <v>6.6115702479338848E-4</v>
      </c>
      <c r="BC10" s="87">
        <f t="shared" si="26"/>
        <v>30250</v>
      </c>
      <c r="BD10" s="87">
        <f t="shared" si="0"/>
        <v>7562.5</v>
      </c>
      <c r="BE10" s="87">
        <f t="shared" si="1"/>
        <v>7562.5</v>
      </c>
      <c r="BF10" s="87">
        <f t="shared" si="2"/>
        <v>7562.5</v>
      </c>
      <c r="BG10" s="87">
        <f t="shared" si="3"/>
        <v>7562.5</v>
      </c>
      <c r="BH10" s="87">
        <f t="shared" si="4"/>
        <v>7562.5</v>
      </c>
      <c r="BI10" s="87">
        <f t="shared" si="5"/>
        <v>7562.5</v>
      </c>
      <c r="BJ10" s="87">
        <f t="shared" si="6"/>
        <v>7562.5</v>
      </c>
      <c r="BK10" s="87">
        <f t="shared" si="7"/>
        <v>7562.5</v>
      </c>
      <c r="BL10" s="87">
        <f t="shared" si="8"/>
        <v>7562.5</v>
      </c>
      <c r="BM10" s="87">
        <f t="shared" si="9"/>
        <v>7562.5</v>
      </c>
      <c r="BN10" s="87">
        <f t="shared" si="10"/>
        <v>7562.5</v>
      </c>
      <c r="BO10" s="87">
        <f t="shared" si="11"/>
        <v>7562.5</v>
      </c>
      <c r="BP10" s="87">
        <f t="shared" si="12"/>
        <v>7562.5</v>
      </c>
      <c r="BQ10" s="87">
        <f t="shared" si="13"/>
        <v>7562.5</v>
      </c>
      <c r="BR10" s="87">
        <f t="shared" si="14"/>
        <v>7562.5</v>
      </c>
      <c r="BS10" s="87">
        <f t="shared" si="15"/>
        <v>7562.5</v>
      </c>
      <c r="BT10" s="87">
        <f t="shared" si="27"/>
        <v>7562.5</v>
      </c>
      <c r="BU10" s="87">
        <f t="shared" si="16"/>
        <v>7562.5</v>
      </c>
      <c r="BV10" s="87">
        <f t="shared" si="17"/>
        <v>7562.5</v>
      </c>
      <c r="BW10" s="87">
        <f t="shared" si="18"/>
        <v>7562.5</v>
      </c>
      <c r="BX10" s="87">
        <f t="shared" si="19"/>
        <v>7562.5</v>
      </c>
      <c r="BY10" s="87">
        <f t="shared" si="20"/>
        <v>7562.5</v>
      </c>
      <c r="BZ10" s="87">
        <f t="shared" si="21"/>
        <v>7562.5</v>
      </c>
      <c r="CA10" s="87">
        <f t="shared" si="22"/>
        <v>7562.5</v>
      </c>
      <c r="CB10" s="87">
        <f t="shared" si="23"/>
        <v>7562.5</v>
      </c>
    </row>
    <row r="11" spans="1:80" x14ac:dyDescent="0.25">
      <c r="A11" s="86" t="s">
        <v>9</v>
      </c>
      <c r="B11" s="84" t="s">
        <v>1057</v>
      </c>
      <c r="C11" s="70">
        <f t="shared" si="24"/>
        <v>1.6528925619834712E-4</v>
      </c>
      <c r="D11" s="70">
        <f>IFERROR(s_DL/(up_RadSpec!$H11*s_IFAP_res_adj*s_CF_apple),".")</f>
        <v>6.6115702479338848E-4</v>
      </c>
      <c r="E11" s="70">
        <f>IFERROR(s_DL/(up_RadSpec!$H11*s_IFAS_res_adj*s_CF_asparagus),".")</f>
        <v>6.6115702479338848E-4</v>
      </c>
      <c r="F11" s="70">
        <f>IFERROR(s_DL/(up_RadSpec!$H11*s_IFBT_res_adj*s_CF_beet),".")</f>
        <v>6.6115702479338848E-4</v>
      </c>
      <c r="G11" s="70">
        <f>IFERROR(s_DL/(up_RadSpec!$H11*s_IFBE_res_adj*s_CF_berries),".")</f>
        <v>6.6115702479338848E-4</v>
      </c>
      <c r="H11" s="70">
        <f>IFERROR(s_DL/(up_RadSpec!$H11*s_IFBR_res_adj*s_CF_broccoli),".")</f>
        <v>6.6115702479338848E-4</v>
      </c>
      <c r="I11" s="70">
        <f>IFERROR(s_DL/(up_RadSpec!$H11*s_IFCB_res_adj*s_CF_cabbage),".")</f>
        <v>6.6115702479338848E-4</v>
      </c>
      <c r="J11" s="70">
        <f>IFERROR(s_DL/(up_RadSpec!$H11*s_IFCR_res_adj*s_CF_carrot),".")</f>
        <v>6.6115702479338848E-4</v>
      </c>
      <c r="K11" s="70">
        <f>IFERROR(s_DL/(up_RadSpec!$H11*s_IFCI_res_adj*s_CF_citrus),".")</f>
        <v>6.6115702479338848E-4</v>
      </c>
      <c r="L11" s="70">
        <f>IFERROR(s_DL/(up_RadSpec!$H11*s_IFCO_res_adj*s_CF_corn),".")</f>
        <v>6.6115702479338848E-4</v>
      </c>
      <c r="M11" s="70">
        <f>IFERROR(s_DL/(up_RadSpec!$H11*s_IFCU_res_adj*s_CF_cucumber),".")</f>
        <v>6.6115702479338848E-4</v>
      </c>
      <c r="N11" s="70">
        <f>IFERROR(s_DL/(up_RadSpec!$H11*s_IFLE_res_adj*s_CF_lettuce),".")</f>
        <v>6.6115702479338848E-4</v>
      </c>
      <c r="O11" s="70">
        <f>IFERROR(s_DL/(up_RadSpec!$H11*s_IFLI_res_adj*s_CF_lima_bean),".")</f>
        <v>6.6115702479338848E-4</v>
      </c>
      <c r="P11" s="70">
        <f>IFERROR(s_DL/(up_RadSpec!$H11*s_IFOK_res_adj*s_CF_okra),".")</f>
        <v>6.6115702479338848E-4</v>
      </c>
      <c r="Q11" s="70">
        <f>IFERROR(s_DL/(up_RadSpec!$H11*s_IFON_res_adj*s_CF_onion),".")</f>
        <v>6.6115702479338848E-4</v>
      </c>
      <c r="R11" s="70">
        <f>IFERROR(s_DL/(up_RadSpec!$H11*s_IFPC_res_adj*s_CF_peach),".")</f>
        <v>6.6115702479338848E-4</v>
      </c>
      <c r="S11" s="70">
        <f>IFERROR(s_DL/(up_RadSpec!$H11*s_IFPR_res_adj*s_CF_pear),".")</f>
        <v>6.6115702479338848E-4</v>
      </c>
      <c r="T11" s="70">
        <f>IFERROR(s_DL/(up_RadSpec!$H11*s_IFPE_res_adj*s_CF_peas),".")</f>
        <v>6.6115702479338848E-4</v>
      </c>
      <c r="U11" s="70">
        <f>IFERROR(s_DL/(up_RadSpec!$H11*s_IFPP_res_adj*s_CF_peppers),".")</f>
        <v>6.6115702479338848E-4</v>
      </c>
      <c r="V11" s="70">
        <f>IFERROR(s_DL/(up_RadSpec!$H11*s_IFPT_res_adj*s_CF_potato),".")</f>
        <v>6.6115702479338848E-4</v>
      </c>
      <c r="W11" s="70">
        <f>IFERROR(s_DL/(up_RadSpec!$H11*s_IFPU_res_adj*s_CF_pumpkin),".")</f>
        <v>6.6115702479338848E-4</v>
      </c>
      <c r="X11" s="70">
        <f>IFERROR(s_DL/(up_RadSpec!$H11*s_IFSN_res_adj*s_CF_snap_bean),".")</f>
        <v>6.6115702479338848E-4</v>
      </c>
      <c r="Y11" s="70">
        <f>IFERROR(s_DL/(up_RadSpec!$H11*s_IFST_res_adj*s_CF_strawberry),".")</f>
        <v>6.6115702479338848E-4</v>
      </c>
      <c r="Z11" s="70">
        <f>IFERROR(s_DL/(up_RadSpec!$H11*s_IFTO_res_adj*s_CF_tomato),".")</f>
        <v>6.6115702479338848E-4</v>
      </c>
      <c r="AA11" s="70">
        <f>IFERROR(s_DL/(up_RadSpec!$H11*s_IFRI_res_adj*s_CF_rice),".")</f>
        <v>6.6115702479338848E-4</v>
      </c>
      <c r="AB11" s="70">
        <f>IFERROR(s_DL/(up_RadSpec!$H11*s_IFCG_res_adj*s_CF_cereal),".")</f>
        <v>6.6115702479338848E-4</v>
      </c>
      <c r="AC11" s="70">
        <f t="shared" si="25"/>
        <v>1.6528925619834712E-4</v>
      </c>
      <c r="AD11" s="70">
        <f>IFERROR(s_DL/(up_RadSpec!$H11*s_IFAP_far_adj*s_CF_apple),".")</f>
        <v>6.6115702479338848E-4</v>
      </c>
      <c r="AE11" s="70">
        <f>IFERROR(s_DL/(up_RadSpec!$H11*s_IFAS_far_adj*s_CF_asparagus),".")</f>
        <v>6.6115702479338848E-4</v>
      </c>
      <c r="AF11" s="70">
        <f>IFERROR(s_DL/(up_RadSpec!$H11*s_IFBT_far_adj*s_CF_beet),".")</f>
        <v>6.6115702479338848E-4</v>
      </c>
      <c r="AG11" s="70">
        <f>IFERROR(s_DL/(up_RadSpec!$H11*s_IFBE_far_adj*s_CF_berries),".")</f>
        <v>6.6115702479338848E-4</v>
      </c>
      <c r="AH11" s="70">
        <f>IFERROR(s_DL/(up_RadSpec!$H11*s_IFBR_far_adj*s_CF_broccoli),".")</f>
        <v>6.6115702479338848E-4</v>
      </c>
      <c r="AI11" s="70">
        <f>IFERROR(s_DL/(up_RadSpec!$H11*s_IFCB_far_adj*s_CF_cabbage),".")</f>
        <v>6.6115702479338848E-4</v>
      </c>
      <c r="AJ11" s="70">
        <f>IFERROR(s_DL/(up_RadSpec!$H11*s_IFCR_far_adj*s_CF_carrot),".")</f>
        <v>6.6115702479338848E-4</v>
      </c>
      <c r="AK11" s="70">
        <f>IFERROR(s_DL/(up_RadSpec!$H11*s_IFCI_far_adj*s_CF_citrus),".")</f>
        <v>6.6115702479338848E-4</v>
      </c>
      <c r="AL11" s="70">
        <f>IFERROR(s_DL/(up_RadSpec!$H11*s_IFCO_far_adj*s_CF_corn),".")</f>
        <v>6.6115702479338848E-4</v>
      </c>
      <c r="AM11" s="70">
        <f>IFERROR(s_DL/(up_RadSpec!$H11*s_IFCU_far_adj*s_CF_cucumber),".")</f>
        <v>6.6115702479338848E-4</v>
      </c>
      <c r="AN11" s="70">
        <f>IFERROR(s_DL/(up_RadSpec!$H11*s_IFLE_far_adj*s_CF_lettuce),".")</f>
        <v>6.6115702479338848E-4</v>
      </c>
      <c r="AO11" s="70">
        <f>IFERROR(s_DL/(up_RadSpec!$H11*s_IFLI_far_adj*s_CF_lima_bean),".")</f>
        <v>6.6115702479338848E-4</v>
      </c>
      <c r="AP11" s="70">
        <f>IFERROR(s_DL/(up_RadSpec!$H11*s_IFOK_far_adj*s_CF_okra),".")</f>
        <v>6.6115702479338848E-4</v>
      </c>
      <c r="AQ11" s="70">
        <f>IFERROR(s_DL/(up_RadSpec!$H11*s_IFON_far_adj*s_CF_onion),".")</f>
        <v>6.6115702479338848E-4</v>
      </c>
      <c r="AR11" s="70">
        <f>IFERROR(s_DL/(up_RadSpec!$H11*s_IFPC_far_adj*s_CF_peach),".")</f>
        <v>6.6115702479338848E-4</v>
      </c>
      <c r="AS11" s="70">
        <f>IFERROR(s_DL/(up_RadSpec!$H11*s_IFPR_far_adj*s_CF_pear),".")</f>
        <v>6.6115702479338848E-4</v>
      </c>
      <c r="AT11" s="70">
        <f>IFERROR(s_DL/(up_RadSpec!$H11*s_IFPE_far_adj*s_CF_peas),".")</f>
        <v>6.6115702479338848E-4</v>
      </c>
      <c r="AU11" s="70">
        <f>IFERROR(s_DL/(up_RadSpec!$H11*s_IFPP_far_adj*s_CF_peppers),".")</f>
        <v>6.6115702479338848E-4</v>
      </c>
      <c r="AV11" s="70">
        <f>IFERROR(s_DL/(up_RadSpec!$H11*s_IFPT_far_adj*s_CF_potato),".")</f>
        <v>6.6115702479338848E-4</v>
      </c>
      <c r="AW11" s="70">
        <f>IFERROR(s_DL/(up_RadSpec!$H11*s_IFPU_far_adj*s_CF_pumpkin),".")</f>
        <v>6.6115702479338848E-4</v>
      </c>
      <c r="AX11" s="70">
        <f>IFERROR(s_DL/(up_RadSpec!$H11*s_IFSN_far_adj*s_CF_snap_bean),".")</f>
        <v>6.6115702479338848E-4</v>
      </c>
      <c r="AY11" s="70">
        <f>IFERROR(s_DL/(up_RadSpec!$H11*s_IFST_far_adj*s_CF_strawberry),".")</f>
        <v>6.6115702479338848E-4</v>
      </c>
      <c r="AZ11" s="70">
        <f>IFERROR(s_DL/(up_RadSpec!$H11*s_IFTO_far_adj*s_CF_tomato),".")</f>
        <v>6.6115702479338848E-4</v>
      </c>
      <c r="BA11" s="70">
        <f>IFERROR(s_DL/(up_RadSpec!$H11*s_IFRI_far_adj*s_CF_rice),".")</f>
        <v>6.6115702479338848E-4</v>
      </c>
      <c r="BB11" s="70">
        <f>IFERROR(s_DL/(up_RadSpec!$H11*s_IFCG_far_adj*s_CF_cereal),".")</f>
        <v>6.6115702479338848E-4</v>
      </c>
      <c r="BC11" s="87">
        <f t="shared" si="26"/>
        <v>30250</v>
      </c>
      <c r="BD11" s="87">
        <f t="shared" si="0"/>
        <v>7562.5</v>
      </c>
      <c r="BE11" s="87">
        <f t="shared" si="1"/>
        <v>7562.5</v>
      </c>
      <c r="BF11" s="87">
        <f t="shared" si="2"/>
        <v>7562.5</v>
      </c>
      <c r="BG11" s="87">
        <f t="shared" si="3"/>
        <v>7562.5</v>
      </c>
      <c r="BH11" s="87">
        <f t="shared" si="4"/>
        <v>7562.5</v>
      </c>
      <c r="BI11" s="87">
        <f t="shared" si="5"/>
        <v>7562.5</v>
      </c>
      <c r="BJ11" s="87">
        <f t="shared" si="6"/>
        <v>7562.5</v>
      </c>
      <c r="BK11" s="87">
        <f t="shared" si="7"/>
        <v>7562.5</v>
      </c>
      <c r="BL11" s="87">
        <f t="shared" si="8"/>
        <v>7562.5</v>
      </c>
      <c r="BM11" s="87">
        <f t="shared" si="9"/>
        <v>7562.5</v>
      </c>
      <c r="BN11" s="87">
        <f t="shared" si="10"/>
        <v>7562.5</v>
      </c>
      <c r="BO11" s="87">
        <f t="shared" si="11"/>
        <v>7562.5</v>
      </c>
      <c r="BP11" s="87">
        <f t="shared" si="12"/>
        <v>7562.5</v>
      </c>
      <c r="BQ11" s="87">
        <f t="shared" si="13"/>
        <v>7562.5</v>
      </c>
      <c r="BR11" s="87">
        <f t="shared" si="14"/>
        <v>7562.5</v>
      </c>
      <c r="BS11" s="87">
        <f t="shared" si="15"/>
        <v>7562.5</v>
      </c>
      <c r="BT11" s="87">
        <f t="shared" si="27"/>
        <v>7562.5</v>
      </c>
      <c r="BU11" s="87">
        <f t="shared" si="16"/>
        <v>7562.5</v>
      </c>
      <c r="BV11" s="87">
        <f t="shared" si="17"/>
        <v>7562.5</v>
      </c>
      <c r="BW11" s="87">
        <f t="shared" si="18"/>
        <v>7562.5</v>
      </c>
      <c r="BX11" s="87">
        <f t="shared" si="19"/>
        <v>7562.5</v>
      </c>
      <c r="BY11" s="87">
        <f t="shared" si="20"/>
        <v>7562.5</v>
      </c>
      <c r="BZ11" s="87">
        <f t="shared" si="21"/>
        <v>7562.5</v>
      </c>
      <c r="CA11" s="87">
        <f t="shared" si="22"/>
        <v>7562.5</v>
      </c>
      <c r="CB11" s="87">
        <f t="shared" si="23"/>
        <v>7562.5</v>
      </c>
    </row>
    <row r="12" spans="1:80" x14ac:dyDescent="0.25">
      <c r="A12" s="86" t="s">
        <v>10</v>
      </c>
      <c r="B12" s="84" t="s">
        <v>1057</v>
      </c>
      <c r="C12" s="70">
        <f>IFERROR(1/SUM(1/D12,1/U12,1/AA12,1/AB12),".")</f>
        <v>1.6528925619834712E-4</v>
      </c>
      <c r="D12" s="70">
        <f>IFERROR(s_DL/(up_RadSpec!$H12*s_IFAP_res_adj*s_CF_apple),".")</f>
        <v>6.6115702479338848E-4</v>
      </c>
      <c r="E12" s="70">
        <f>IFERROR(s_DL/(up_RadSpec!$H12*s_IFAS_res_adj*s_CF_asparagus),".")</f>
        <v>6.6115702479338848E-4</v>
      </c>
      <c r="F12" s="70">
        <f>IFERROR(s_DL/(up_RadSpec!$H12*s_IFBT_res_adj*s_CF_beet),".")</f>
        <v>6.6115702479338848E-4</v>
      </c>
      <c r="G12" s="70">
        <f>IFERROR(s_DL/(up_RadSpec!$H12*s_IFBE_res_adj*s_CF_berries),".")</f>
        <v>6.6115702479338848E-4</v>
      </c>
      <c r="H12" s="70">
        <f>IFERROR(s_DL/(up_RadSpec!$H12*s_IFBR_res_adj*s_CF_broccoli),".")</f>
        <v>6.6115702479338848E-4</v>
      </c>
      <c r="I12" s="70">
        <f>IFERROR(s_DL/(up_RadSpec!$H12*s_IFCB_res_adj*s_CF_cabbage),".")</f>
        <v>6.6115702479338848E-4</v>
      </c>
      <c r="J12" s="70">
        <f>IFERROR(s_DL/(up_RadSpec!$H12*s_IFCR_res_adj*s_CF_carrot),".")</f>
        <v>6.6115702479338848E-4</v>
      </c>
      <c r="K12" s="70">
        <f>IFERROR(s_DL/(up_RadSpec!$H12*s_IFCI_res_adj*s_CF_citrus),".")</f>
        <v>6.6115702479338848E-4</v>
      </c>
      <c r="L12" s="70">
        <f>IFERROR(s_DL/(up_RadSpec!$H12*s_IFCO_res_adj*s_CF_corn),".")</f>
        <v>6.6115702479338848E-4</v>
      </c>
      <c r="M12" s="70">
        <f>IFERROR(s_DL/(up_RadSpec!$H12*s_IFCU_res_adj*s_CF_cucumber),".")</f>
        <v>6.6115702479338848E-4</v>
      </c>
      <c r="N12" s="70">
        <f>IFERROR(s_DL/(up_RadSpec!$H12*s_IFLE_res_adj*s_CF_lettuce),".")</f>
        <v>6.6115702479338848E-4</v>
      </c>
      <c r="O12" s="70">
        <f>IFERROR(s_DL/(up_RadSpec!$H12*s_IFLI_res_adj*s_CF_lima_bean),".")</f>
        <v>6.6115702479338848E-4</v>
      </c>
      <c r="P12" s="70">
        <f>IFERROR(s_DL/(up_RadSpec!$H12*s_IFOK_res_adj*s_CF_okra),".")</f>
        <v>6.6115702479338848E-4</v>
      </c>
      <c r="Q12" s="70">
        <f>IFERROR(s_DL/(up_RadSpec!$H12*s_IFON_res_adj*s_CF_onion),".")</f>
        <v>6.6115702479338848E-4</v>
      </c>
      <c r="R12" s="70">
        <f>IFERROR(s_DL/(up_RadSpec!$H12*s_IFPC_res_adj*s_CF_peach),".")</f>
        <v>6.6115702479338848E-4</v>
      </c>
      <c r="S12" s="70">
        <f>IFERROR(s_DL/(up_RadSpec!$H12*s_IFPR_res_adj*s_CF_pear),".")</f>
        <v>6.6115702479338848E-4</v>
      </c>
      <c r="T12" s="70">
        <f>IFERROR(s_DL/(up_RadSpec!$H12*s_IFPE_res_adj*s_CF_peas),".")</f>
        <v>6.6115702479338848E-4</v>
      </c>
      <c r="U12" s="70">
        <f>IFERROR(s_DL/(up_RadSpec!$H12*s_IFPP_res_adj*s_CF_peppers),".")</f>
        <v>6.6115702479338848E-4</v>
      </c>
      <c r="V12" s="70">
        <f>IFERROR(s_DL/(up_RadSpec!$H12*s_IFPT_res_adj*s_CF_potato),".")</f>
        <v>6.6115702479338848E-4</v>
      </c>
      <c r="W12" s="70">
        <f>IFERROR(s_DL/(up_RadSpec!$H12*s_IFPU_res_adj*s_CF_pumpkin),".")</f>
        <v>6.6115702479338848E-4</v>
      </c>
      <c r="X12" s="70">
        <f>IFERROR(s_DL/(up_RadSpec!$H12*s_IFSN_res_adj*s_CF_snap_bean),".")</f>
        <v>6.6115702479338848E-4</v>
      </c>
      <c r="Y12" s="70">
        <f>IFERROR(s_DL/(up_RadSpec!$H12*s_IFST_res_adj*s_CF_strawberry),".")</f>
        <v>6.6115702479338848E-4</v>
      </c>
      <c r="Z12" s="70">
        <f>IFERROR(s_DL/(up_RadSpec!$H12*s_IFTO_res_adj*s_CF_tomato),".")</f>
        <v>6.6115702479338848E-4</v>
      </c>
      <c r="AA12" s="70">
        <f>IFERROR(s_DL/(up_RadSpec!$H12*s_IFRI_res_adj*s_CF_rice),".")</f>
        <v>6.6115702479338848E-4</v>
      </c>
      <c r="AB12" s="70">
        <f>IFERROR(s_DL/(up_RadSpec!$H12*s_IFCG_res_adj*s_CF_cereal),".")</f>
        <v>6.6115702479338848E-4</v>
      </c>
      <c r="AC12" s="70">
        <f t="shared" si="25"/>
        <v>1.6528925619834712E-4</v>
      </c>
      <c r="AD12" s="70">
        <f>IFERROR(s_DL/(up_RadSpec!$H12*s_IFAP_far_adj*s_CF_apple),".")</f>
        <v>6.6115702479338848E-4</v>
      </c>
      <c r="AE12" s="70">
        <f>IFERROR(s_DL/(up_RadSpec!$H12*s_IFAS_far_adj*s_CF_asparagus),".")</f>
        <v>6.6115702479338848E-4</v>
      </c>
      <c r="AF12" s="70">
        <f>IFERROR(s_DL/(up_RadSpec!$H12*s_IFBT_far_adj*s_CF_beet),".")</f>
        <v>6.6115702479338848E-4</v>
      </c>
      <c r="AG12" s="70">
        <f>IFERROR(s_DL/(up_RadSpec!$H12*s_IFBE_far_adj*s_CF_berries),".")</f>
        <v>6.6115702479338848E-4</v>
      </c>
      <c r="AH12" s="70">
        <f>IFERROR(s_DL/(up_RadSpec!$H12*s_IFBR_far_adj*s_CF_broccoli),".")</f>
        <v>6.6115702479338848E-4</v>
      </c>
      <c r="AI12" s="70">
        <f>IFERROR(s_DL/(up_RadSpec!$H12*s_IFCB_far_adj*s_CF_cabbage),".")</f>
        <v>6.6115702479338848E-4</v>
      </c>
      <c r="AJ12" s="70">
        <f>IFERROR(s_DL/(up_RadSpec!$H12*s_IFCR_far_adj*s_CF_carrot),".")</f>
        <v>6.6115702479338848E-4</v>
      </c>
      <c r="AK12" s="70">
        <f>IFERROR(s_DL/(up_RadSpec!$H12*s_IFCI_far_adj*s_CF_citrus),".")</f>
        <v>6.6115702479338848E-4</v>
      </c>
      <c r="AL12" s="70">
        <f>IFERROR(s_DL/(up_RadSpec!$H12*s_IFCO_far_adj*s_CF_corn),".")</f>
        <v>6.6115702479338848E-4</v>
      </c>
      <c r="AM12" s="70">
        <f>IFERROR(s_DL/(up_RadSpec!$H12*s_IFCU_far_adj*s_CF_cucumber),".")</f>
        <v>6.6115702479338848E-4</v>
      </c>
      <c r="AN12" s="70">
        <f>IFERROR(s_DL/(up_RadSpec!$H12*s_IFLE_far_adj*s_CF_lettuce),".")</f>
        <v>6.6115702479338848E-4</v>
      </c>
      <c r="AO12" s="70">
        <f>IFERROR(s_DL/(up_RadSpec!$H12*s_IFLI_far_adj*s_CF_lima_bean),".")</f>
        <v>6.6115702479338848E-4</v>
      </c>
      <c r="AP12" s="70">
        <f>IFERROR(s_DL/(up_RadSpec!$H12*s_IFOK_far_adj*s_CF_okra),".")</f>
        <v>6.6115702479338848E-4</v>
      </c>
      <c r="AQ12" s="70">
        <f>IFERROR(s_DL/(up_RadSpec!$H12*s_IFON_far_adj*s_CF_onion),".")</f>
        <v>6.6115702479338848E-4</v>
      </c>
      <c r="AR12" s="70">
        <f>IFERROR(s_DL/(up_RadSpec!$H12*s_IFPC_far_adj*s_CF_peach),".")</f>
        <v>6.6115702479338848E-4</v>
      </c>
      <c r="AS12" s="70">
        <f>IFERROR(s_DL/(up_RadSpec!$H12*s_IFPR_far_adj*s_CF_pear),".")</f>
        <v>6.6115702479338848E-4</v>
      </c>
      <c r="AT12" s="70">
        <f>IFERROR(s_DL/(up_RadSpec!$H12*s_IFPE_far_adj*s_CF_peas),".")</f>
        <v>6.6115702479338848E-4</v>
      </c>
      <c r="AU12" s="70">
        <f>IFERROR(s_DL/(up_RadSpec!$H12*s_IFPP_far_adj*s_CF_peppers),".")</f>
        <v>6.6115702479338848E-4</v>
      </c>
      <c r="AV12" s="70">
        <f>IFERROR(s_DL/(up_RadSpec!$H12*s_IFPT_far_adj*s_CF_potato),".")</f>
        <v>6.6115702479338848E-4</v>
      </c>
      <c r="AW12" s="70">
        <f>IFERROR(s_DL/(up_RadSpec!$H12*s_IFPU_far_adj*s_CF_pumpkin),".")</f>
        <v>6.6115702479338848E-4</v>
      </c>
      <c r="AX12" s="70">
        <f>IFERROR(s_DL/(up_RadSpec!$H12*s_IFSN_far_adj*s_CF_snap_bean),".")</f>
        <v>6.6115702479338848E-4</v>
      </c>
      <c r="AY12" s="70">
        <f>IFERROR(s_DL/(up_RadSpec!$H12*s_IFST_far_adj*s_CF_strawberry),".")</f>
        <v>6.6115702479338848E-4</v>
      </c>
      <c r="AZ12" s="70">
        <f>IFERROR(s_DL/(up_RadSpec!$H12*s_IFTO_far_adj*s_CF_tomato),".")</f>
        <v>6.6115702479338848E-4</v>
      </c>
      <c r="BA12" s="70">
        <f>IFERROR(s_DL/(up_RadSpec!$H12*s_IFRI_far_adj*s_CF_rice),".")</f>
        <v>6.6115702479338848E-4</v>
      </c>
      <c r="BB12" s="70">
        <f>IFERROR(s_DL/(up_RadSpec!$H12*s_IFCG_far_adj*s_CF_cereal),".")</f>
        <v>6.6115702479338848E-4</v>
      </c>
      <c r="BC12" s="87">
        <f t="shared" si="26"/>
        <v>30250</v>
      </c>
      <c r="BD12" s="87">
        <f t="shared" si="0"/>
        <v>7562.5</v>
      </c>
      <c r="BE12" s="87">
        <f t="shared" si="1"/>
        <v>7562.5</v>
      </c>
      <c r="BF12" s="87">
        <f t="shared" si="2"/>
        <v>7562.5</v>
      </c>
      <c r="BG12" s="87">
        <f t="shared" si="3"/>
        <v>7562.5</v>
      </c>
      <c r="BH12" s="87">
        <f t="shared" si="4"/>
        <v>7562.5</v>
      </c>
      <c r="BI12" s="87">
        <f t="shared" si="5"/>
        <v>7562.5</v>
      </c>
      <c r="BJ12" s="87">
        <f t="shared" si="6"/>
        <v>7562.5</v>
      </c>
      <c r="BK12" s="87">
        <f t="shared" si="7"/>
        <v>7562.5</v>
      </c>
      <c r="BL12" s="87">
        <f t="shared" si="8"/>
        <v>7562.5</v>
      </c>
      <c r="BM12" s="87">
        <f t="shared" si="9"/>
        <v>7562.5</v>
      </c>
      <c r="BN12" s="87">
        <f t="shared" si="10"/>
        <v>7562.5</v>
      </c>
      <c r="BO12" s="87">
        <f t="shared" si="11"/>
        <v>7562.5</v>
      </c>
      <c r="BP12" s="87">
        <f t="shared" si="12"/>
        <v>7562.5</v>
      </c>
      <c r="BQ12" s="87">
        <f t="shared" si="13"/>
        <v>7562.5</v>
      </c>
      <c r="BR12" s="87">
        <f t="shared" si="14"/>
        <v>7562.5</v>
      </c>
      <c r="BS12" s="87">
        <f t="shared" si="15"/>
        <v>7562.5</v>
      </c>
      <c r="BT12" s="87">
        <f t="shared" si="27"/>
        <v>7562.5</v>
      </c>
      <c r="BU12" s="87">
        <f t="shared" si="16"/>
        <v>7562.5</v>
      </c>
      <c r="BV12" s="87">
        <f t="shared" si="17"/>
        <v>7562.5</v>
      </c>
      <c r="BW12" s="87">
        <f t="shared" si="18"/>
        <v>7562.5</v>
      </c>
      <c r="BX12" s="87">
        <f t="shared" si="19"/>
        <v>7562.5</v>
      </c>
      <c r="BY12" s="87">
        <f t="shared" si="20"/>
        <v>7562.5</v>
      </c>
      <c r="BZ12" s="87">
        <f t="shared" si="21"/>
        <v>7562.5</v>
      </c>
      <c r="CA12" s="87">
        <f t="shared" si="22"/>
        <v>7562.5</v>
      </c>
      <c r="CB12" s="87">
        <f t="shared" si="23"/>
        <v>7562.5</v>
      </c>
    </row>
    <row r="13" spans="1:80" x14ac:dyDescent="0.25">
      <c r="A13" s="86" t="s">
        <v>11</v>
      </c>
      <c r="B13" s="84" t="s">
        <v>1057</v>
      </c>
      <c r="C13" s="70">
        <f t="shared" si="24"/>
        <v>1.6528925619834712E-4</v>
      </c>
      <c r="D13" s="70">
        <f>IFERROR(s_DL/(up_RadSpec!$H13*s_IFAP_res_adj*s_CF_apple),".")</f>
        <v>6.6115702479338848E-4</v>
      </c>
      <c r="E13" s="70">
        <f>IFERROR(s_DL/(up_RadSpec!$H13*s_IFAS_res_adj*s_CF_asparagus),".")</f>
        <v>6.6115702479338848E-4</v>
      </c>
      <c r="F13" s="70">
        <f>IFERROR(s_DL/(up_RadSpec!$H13*s_IFBT_res_adj*s_CF_beet),".")</f>
        <v>6.6115702479338848E-4</v>
      </c>
      <c r="G13" s="70">
        <f>IFERROR(s_DL/(up_RadSpec!$H13*s_IFBE_res_adj*s_CF_berries),".")</f>
        <v>6.6115702479338848E-4</v>
      </c>
      <c r="H13" s="70">
        <f>IFERROR(s_DL/(up_RadSpec!$H13*s_IFBR_res_adj*s_CF_broccoli),".")</f>
        <v>6.6115702479338848E-4</v>
      </c>
      <c r="I13" s="70">
        <f>IFERROR(s_DL/(up_RadSpec!$H13*s_IFCB_res_adj*s_CF_cabbage),".")</f>
        <v>6.6115702479338848E-4</v>
      </c>
      <c r="J13" s="70">
        <f>IFERROR(s_DL/(up_RadSpec!$H13*s_IFCR_res_adj*s_CF_carrot),".")</f>
        <v>6.6115702479338848E-4</v>
      </c>
      <c r="K13" s="70">
        <f>IFERROR(s_DL/(up_RadSpec!$H13*s_IFCI_res_adj*s_CF_citrus),".")</f>
        <v>6.6115702479338848E-4</v>
      </c>
      <c r="L13" s="70">
        <f>IFERROR(s_DL/(up_RadSpec!$H13*s_IFCO_res_adj*s_CF_corn),".")</f>
        <v>6.6115702479338848E-4</v>
      </c>
      <c r="M13" s="70">
        <f>IFERROR(s_DL/(up_RadSpec!$H13*s_IFCU_res_adj*s_CF_cucumber),".")</f>
        <v>6.6115702479338848E-4</v>
      </c>
      <c r="N13" s="70">
        <f>IFERROR(s_DL/(up_RadSpec!$H13*s_IFLE_res_adj*s_CF_lettuce),".")</f>
        <v>6.6115702479338848E-4</v>
      </c>
      <c r="O13" s="70">
        <f>IFERROR(s_DL/(up_RadSpec!$H13*s_IFLI_res_adj*s_CF_lima_bean),".")</f>
        <v>6.6115702479338848E-4</v>
      </c>
      <c r="P13" s="70">
        <f>IFERROR(s_DL/(up_RadSpec!$H13*s_IFOK_res_adj*s_CF_okra),".")</f>
        <v>6.6115702479338848E-4</v>
      </c>
      <c r="Q13" s="70">
        <f>IFERROR(s_DL/(up_RadSpec!$H13*s_IFON_res_adj*s_CF_onion),".")</f>
        <v>6.6115702479338848E-4</v>
      </c>
      <c r="R13" s="70">
        <f>IFERROR(s_DL/(up_RadSpec!$H13*s_IFPC_res_adj*s_CF_peach),".")</f>
        <v>6.6115702479338848E-4</v>
      </c>
      <c r="S13" s="70">
        <f>IFERROR(s_DL/(up_RadSpec!$H13*s_IFPR_res_adj*s_CF_pear),".")</f>
        <v>6.6115702479338848E-4</v>
      </c>
      <c r="T13" s="70">
        <f>IFERROR(s_DL/(up_RadSpec!$H13*s_IFPE_res_adj*s_CF_peas),".")</f>
        <v>6.6115702479338848E-4</v>
      </c>
      <c r="U13" s="70">
        <f>IFERROR(s_DL/(up_RadSpec!$H13*s_IFPP_res_adj*s_CF_peppers),".")</f>
        <v>6.6115702479338848E-4</v>
      </c>
      <c r="V13" s="70">
        <f>IFERROR(s_DL/(up_RadSpec!$H13*s_IFPT_res_adj*s_CF_potato),".")</f>
        <v>6.6115702479338848E-4</v>
      </c>
      <c r="W13" s="70">
        <f>IFERROR(s_DL/(up_RadSpec!$H13*s_IFPU_res_adj*s_CF_pumpkin),".")</f>
        <v>6.6115702479338848E-4</v>
      </c>
      <c r="X13" s="70">
        <f>IFERROR(s_DL/(up_RadSpec!$H13*s_IFSN_res_adj*s_CF_snap_bean),".")</f>
        <v>6.6115702479338848E-4</v>
      </c>
      <c r="Y13" s="70">
        <f>IFERROR(s_DL/(up_RadSpec!$H13*s_IFST_res_adj*s_CF_strawberry),".")</f>
        <v>6.6115702479338848E-4</v>
      </c>
      <c r="Z13" s="70">
        <f>IFERROR(s_DL/(up_RadSpec!$H13*s_IFTO_res_adj*s_CF_tomato),".")</f>
        <v>6.6115702479338848E-4</v>
      </c>
      <c r="AA13" s="70">
        <f>IFERROR(s_DL/(up_RadSpec!$H13*s_IFRI_res_adj*s_CF_rice),".")</f>
        <v>6.6115702479338848E-4</v>
      </c>
      <c r="AB13" s="70">
        <f>IFERROR(s_DL/(up_RadSpec!$H13*s_IFCG_res_adj*s_CF_cereal),".")</f>
        <v>6.6115702479338848E-4</v>
      </c>
      <c r="AC13" s="70">
        <f>IFERROR(1/SUM(1/AD13,1/AU13,1/BA13,1/BB13),".")</f>
        <v>1.6528925619834712E-4</v>
      </c>
      <c r="AD13" s="70">
        <f>IFERROR(s_DL/(up_RadSpec!$H13*s_IFAP_far_adj*s_CF_apple),".")</f>
        <v>6.6115702479338848E-4</v>
      </c>
      <c r="AE13" s="70">
        <f>IFERROR(s_DL/(up_RadSpec!$H13*s_IFAS_far_adj*s_CF_asparagus),".")</f>
        <v>6.6115702479338848E-4</v>
      </c>
      <c r="AF13" s="70">
        <f>IFERROR(s_DL/(up_RadSpec!$H13*s_IFBT_far_adj*s_CF_beet),".")</f>
        <v>6.6115702479338848E-4</v>
      </c>
      <c r="AG13" s="70">
        <f>IFERROR(s_DL/(up_RadSpec!$H13*s_IFBE_far_adj*s_CF_berries),".")</f>
        <v>6.6115702479338848E-4</v>
      </c>
      <c r="AH13" s="70">
        <f>IFERROR(s_DL/(up_RadSpec!$H13*s_IFBR_far_adj*s_CF_broccoli),".")</f>
        <v>6.6115702479338848E-4</v>
      </c>
      <c r="AI13" s="70">
        <f>IFERROR(s_DL/(up_RadSpec!$H13*s_IFCB_far_adj*s_CF_cabbage),".")</f>
        <v>6.6115702479338848E-4</v>
      </c>
      <c r="AJ13" s="70">
        <f>IFERROR(s_DL/(up_RadSpec!$H13*s_IFCR_far_adj*s_CF_carrot),".")</f>
        <v>6.6115702479338848E-4</v>
      </c>
      <c r="AK13" s="70">
        <f>IFERROR(s_DL/(up_RadSpec!$H13*s_IFCI_far_adj*s_CF_citrus),".")</f>
        <v>6.6115702479338848E-4</v>
      </c>
      <c r="AL13" s="70">
        <f>IFERROR(s_DL/(up_RadSpec!$H13*s_IFCO_far_adj*s_CF_corn),".")</f>
        <v>6.6115702479338848E-4</v>
      </c>
      <c r="AM13" s="70">
        <f>IFERROR(s_DL/(up_RadSpec!$H13*s_IFCU_far_adj*s_CF_cucumber),".")</f>
        <v>6.6115702479338848E-4</v>
      </c>
      <c r="AN13" s="70">
        <f>IFERROR(s_DL/(up_RadSpec!$H13*s_IFLE_far_adj*s_CF_lettuce),".")</f>
        <v>6.6115702479338848E-4</v>
      </c>
      <c r="AO13" s="70">
        <f>IFERROR(s_DL/(up_RadSpec!$H13*s_IFLI_far_adj*s_CF_lima_bean),".")</f>
        <v>6.6115702479338848E-4</v>
      </c>
      <c r="AP13" s="70">
        <f>IFERROR(s_DL/(up_RadSpec!$H13*s_IFOK_far_adj*s_CF_okra),".")</f>
        <v>6.6115702479338848E-4</v>
      </c>
      <c r="AQ13" s="70">
        <f>IFERROR(s_DL/(up_RadSpec!$H13*s_IFON_far_adj*s_CF_onion),".")</f>
        <v>6.6115702479338848E-4</v>
      </c>
      <c r="AR13" s="70">
        <f>IFERROR(s_DL/(up_RadSpec!$H13*s_IFPC_far_adj*s_CF_peach),".")</f>
        <v>6.6115702479338848E-4</v>
      </c>
      <c r="AS13" s="70">
        <f>IFERROR(s_DL/(up_RadSpec!$H13*s_IFPR_far_adj*s_CF_pear),".")</f>
        <v>6.6115702479338848E-4</v>
      </c>
      <c r="AT13" s="70">
        <f>IFERROR(s_DL/(up_RadSpec!$H13*s_IFPE_far_adj*s_CF_peas),".")</f>
        <v>6.6115702479338848E-4</v>
      </c>
      <c r="AU13" s="70">
        <f>IFERROR(s_DL/(up_RadSpec!$H13*s_IFPP_far_adj*s_CF_peppers),".")</f>
        <v>6.6115702479338848E-4</v>
      </c>
      <c r="AV13" s="70">
        <f>IFERROR(s_DL/(up_RadSpec!$H13*s_IFPT_far_adj*s_CF_potato),".")</f>
        <v>6.6115702479338848E-4</v>
      </c>
      <c r="AW13" s="70">
        <f>IFERROR(s_DL/(up_RadSpec!$H13*s_IFPU_far_adj*s_CF_pumpkin),".")</f>
        <v>6.6115702479338848E-4</v>
      </c>
      <c r="AX13" s="70">
        <f>IFERROR(s_DL/(up_RadSpec!$H13*s_IFSN_far_adj*s_CF_snap_bean),".")</f>
        <v>6.6115702479338848E-4</v>
      </c>
      <c r="AY13" s="70">
        <f>IFERROR(s_DL/(up_RadSpec!$H13*s_IFST_far_adj*s_CF_strawberry),".")</f>
        <v>6.6115702479338848E-4</v>
      </c>
      <c r="AZ13" s="70">
        <f>IFERROR(s_DL/(up_RadSpec!$H13*s_IFTO_far_adj*s_CF_tomato),".")</f>
        <v>6.6115702479338848E-4</v>
      </c>
      <c r="BA13" s="70">
        <f>IFERROR(s_DL/(up_RadSpec!$H13*s_IFRI_far_adj*s_CF_rice),".")</f>
        <v>6.6115702479338848E-4</v>
      </c>
      <c r="BB13" s="70">
        <f>IFERROR(s_DL/(up_RadSpec!$H13*s_IFCG_far_adj*s_CF_cereal),".")</f>
        <v>6.6115702479338848E-4</v>
      </c>
      <c r="BC13" s="87">
        <f t="shared" si="26"/>
        <v>30250</v>
      </c>
      <c r="BD13" s="87">
        <f t="shared" si="0"/>
        <v>7562.5</v>
      </c>
      <c r="BE13" s="87">
        <f t="shared" si="1"/>
        <v>7562.5</v>
      </c>
      <c r="BF13" s="87">
        <f t="shared" si="2"/>
        <v>7562.5</v>
      </c>
      <c r="BG13" s="87">
        <f t="shared" si="3"/>
        <v>7562.5</v>
      </c>
      <c r="BH13" s="87">
        <f t="shared" si="4"/>
        <v>7562.5</v>
      </c>
      <c r="BI13" s="87">
        <f t="shared" si="5"/>
        <v>7562.5</v>
      </c>
      <c r="BJ13" s="87">
        <f t="shared" si="6"/>
        <v>7562.5</v>
      </c>
      <c r="BK13" s="87">
        <f t="shared" si="7"/>
        <v>7562.5</v>
      </c>
      <c r="BL13" s="87">
        <f t="shared" si="8"/>
        <v>7562.5</v>
      </c>
      <c r="BM13" s="87">
        <f t="shared" si="9"/>
        <v>7562.5</v>
      </c>
      <c r="BN13" s="87">
        <f t="shared" si="10"/>
        <v>7562.5</v>
      </c>
      <c r="BO13" s="87">
        <f t="shared" si="11"/>
        <v>7562.5</v>
      </c>
      <c r="BP13" s="87">
        <f t="shared" si="12"/>
        <v>7562.5</v>
      </c>
      <c r="BQ13" s="87">
        <f t="shared" si="13"/>
        <v>7562.5</v>
      </c>
      <c r="BR13" s="87">
        <f t="shared" si="14"/>
        <v>7562.5</v>
      </c>
      <c r="BS13" s="87">
        <f t="shared" si="15"/>
        <v>7562.5</v>
      </c>
      <c r="BT13" s="87">
        <f t="shared" si="27"/>
        <v>7562.5</v>
      </c>
      <c r="BU13" s="87">
        <f t="shared" si="16"/>
        <v>7562.5</v>
      </c>
      <c r="BV13" s="87">
        <f t="shared" si="17"/>
        <v>7562.5</v>
      </c>
      <c r="BW13" s="87">
        <f t="shared" si="18"/>
        <v>7562.5</v>
      </c>
      <c r="BX13" s="87">
        <f t="shared" si="19"/>
        <v>7562.5</v>
      </c>
      <c r="BY13" s="87">
        <f t="shared" si="20"/>
        <v>7562.5</v>
      </c>
      <c r="BZ13" s="87">
        <f t="shared" si="21"/>
        <v>7562.5</v>
      </c>
      <c r="CA13" s="87">
        <f t="shared" si="22"/>
        <v>7562.5</v>
      </c>
      <c r="CB13" s="87">
        <f t="shared" si="23"/>
        <v>7562.5</v>
      </c>
    </row>
    <row r="14" spans="1:80" x14ac:dyDescent="0.25">
      <c r="A14" s="86" t="s">
        <v>12</v>
      </c>
      <c r="B14" s="84" t="s">
        <v>1057</v>
      </c>
      <c r="C14" s="70">
        <f t="shared" si="24"/>
        <v>1.6528925619834712E-4</v>
      </c>
      <c r="D14" s="70">
        <f>IFERROR(s_DL/(up_RadSpec!$H14*s_IFAP_res_adj*s_CF_apple),".")</f>
        <v>6.6115702479338848E-4</v>
      </c>
      <c r="E14" s="70">
        <f>IFERROR(s_DL/(up_RadSpec!$H14*s_IFAS_res_adj*s_CF_asparagus),".")</f>
        <v>6.6115702479338848E-4</v>
      </c>
      <c r="F14" s="70">
        <f>IFERROR(s_DL/(up_RadSpec!$H14*s_IFBT_res_adj*s_CF_beet),".")</f>
        <v>6.6115702479338848E-4</v>
      </c>
      <c r="G14" s="70">
        <f>IFERROR(s_DL/(up_RadSpec!$H14*s_IFBE_res_adj*s_CF_berries),".")</f>
        <v>6.6115702479338848E-4</v>
      </c>
      <c r="H14" s="70">
        <f>IFERROR(s_DL/(up_RadSpec!$H14*s_IFBR_res_adj*s_CF_broccoli),".")</f>
        <v>6.6115702479338848E-4</v>
      </c>
      <c r="I14" s="70">
        <f>IFERROR(s_DL/(up_RadSpec!$H14*s_IFCB_res_adj*s_CF_cabbage),".")</f>
        <v>6.6115702479338848E-4</v>
      </c>
      <c r="J14" s="70">
        <f>IFERROR(s_DL/(up_RadSpec!$H14*s_IFCR_res_adj*s_CF_carrot),".")</f>
        <v>6.6115702479338848E-4</v>
      </c>
      <c r="K14" s="70">
        <f>IFERROR(s_DL/(up_RadSpec!$H14*s_IFCI_res_adj*s_CF_citrus),".")</f>
        <v>6.6115702479338848E-4</v>
      </c>
      <c r="L14" s="70">
        <f>IFERROR(s_DL/(up_RadSpec!$H14*s_IFCO_res_adj*s_CF_corn),".")</f>
        <v>6.6115702479338848E-4</v>
      </c>
      <c r="M14" s="70">
        <f>IFERROR(s_DL/(up_RadSpec!$H14*s_IFCU_res_adj*s_CF_cucumber),".")</f>
        <v>6.6115702479338848E-4</v>
      </c>
      <c r="N14" s="70">
        <f>IFERROR(s_DL/(up_RadSpec!$H14*s_IFLE_res_adj*s_CF_lettuce),".")</f>
        <v>6.6115702479338848E-4</v>
      </c>
      <c r="O14" s="70">
        <f>IFERROR(s_DL/(up_RadSpec!$H14*s_IFLI_res_adj*s_CF_lima_bean),".")</f>
        <v>6.6115702479338848E-4</v>
      </c>
      <c r="P14" s="70">
        <f>IFERROR(s_DL/(up_RadSpec!$H14*s_IFOK_res_adj*s_CF_okra),".")</f>
        <v>6.6115702479338848E-4</v>
      </c>
      <c r="Q14" s="70">
        <f>IFERROR(s_DL/(up_RadSpec!$H14*s_IFON_res_adj*s_CF_onion),".")</f>
        <v>6.6115702479338848E-4</v>
      </c>
      <c r="R14" s="70">
        <f>IFERROR(s_DL/(up_RadSpec!$H14*s_IFPC_res_adj*s_CF_peach),".")</f>
        <v>6.6115702479338848E-4</v>
      </c>
      <c r="S14" s="70">
        <f>IFERROR(s_DL/(up_RadSpec!$H14*s_IFPR_res_adj*s_CF_pear),".")</f>
        <v>6.6115702479338848E-4</v>
      </c>
      <c r="T14" s="70">
        <f>IFERROR(s_DL/(up_RadSpec!$H14*s_IFPE_res_adj*s_CF_peas),".")</f>
        <v>6.6115702479338848E-4</v>
      </c>
      <c r="U14" s="70">
        <f>IFERROR(s_DL/(up_RadSpec!$H14*s_IFPP_res_adj*s_CF_peppers),".")</f>
        <v>6.6115702479338848E-4</v>
      </c>
      <c r="V14" s="70">
        <f>IFERROR(s_DL/(up_RadSpec!$H14*s_IFPT_res_adj*s_CF_potato),".")</f>
        <v>6.6115702479338848E-4</v>
      </c>
      <c r="W14" s="70">
        <f>IFERROR(s_DL/(up_RadSpec!$H14*s_IFPU_res_adj*s_CF_pumpkin),".")</f>
        <v>6.6115702479338848E-4</v>
      </c>
      <c r="X14" s="70">
        <f>IFERROR(s_DL/(up_RadSpec!$H14*s_IFSN_res_adj*s_CF_snap_bean),".")</f>
        <v>6.6115702479338848E-4</v>
      </c>
      <c r="Y14" s="70">
        <f>IFERROR(s_DL/(up_RadSpec!$H14*s_IFST_res_adj*s_CF_strawberry),".")</f>
        <v>6.6115702479338848E-4</v>
      </c>
      <c r="Z14" s="70">
        <f>IFERROR(s_DL/(up_RadSpec!$H14*s_IFTO_res_adj*s_CF_tomato),".")</f>
        <v>6.6115702479338848E-4</v>
      </c>
      <c r="AA14" s="70">
        <f>IFERROR(s_DL/(up_RadSpec!$H14*s_IFRI_res_adj*s_CF_rice),".")</f>
        <v>6.6115702479338848E-4</v>
      </c>
      <c r="AB14" s="70">
        <f>IFERROR(s_DL/(up_RadSpec!$H14*s_IFCG_res_adj*s_CF_cereal),".")</f>
        <v>6.6115702479338848E-4</v>
      </c>
      <c r="AC14" s="70">
        <f t="shared" si="25"/>
        <v>1.6528925619834712E-4</v>
      </c>
      <c r="AD14" s="70">
        <f>IFERROR(s_DL/(up_RadSpec!$H14*s_IFAP_far_adj*s_CF_apple),".")</f>
        <v>6.6115702479338848E-4</v>
      </c>
      <c r="AE14" s="70">
        <f>IFERROR(s_DL/(up_RadSpec!$H14*s_IFAS_far_adj*s_CF_asparagus),".")</f>
        <v>6.6115702479338848E-4</v>
      </c>
      <c r="AF14" s="70">
        <f>IFERROR(s_DL/(up_RadSpec!$H14*s_IFBT_far_adj*s_CF_beet),".")</f>
        <v>6.6115702479338848E-4</v>
      </c>
      <c r="AG14" s="70">
        <f>IFERROR(s_DL/(up_RadSpec!$H14*s_IFBE_far_adj*s_CF_berries),".")</f>
        <v>6.6115702479338848E-4</v>
      </c>
      <c r="AH14" s="70">
        <f>IFERROR(s_DL/(up_RadSpec!$H14*s_IFBR_far_adj*s_CF_broccoli),".")</f>
        <v>6.6115702479338848E-4</v>
      </c>
      <c r="AI14" s="70">
        <f>IFERROR(s_DL/(up_RadSpec!$H14*s_IFCB_far_adj*s_CF_cabbage),".")</f>
        <v>6.6115702479338848E-4</v>
      </c>
      <c r="AJ14" s="70">
        <f>IFERROR(s_DL/(up_RadSpec!$H14*s_IFCR_far_adj*s_CF_carrot),".")</f>
        <v>6.6115702479338848E-4</v>
      </c>
      <c r="AK14" s="70">
        <f>IFERROR(s_DL/(up_RadSpec!$H14*s_IFCI_far_adj*s_CF_citrus),".")</f>
        <v>6.6115702479338848E-4</v>
      </c>
      <c r="AL14" s="70">
        <f>IFERROR(s_DL/(up_RadSpec!$H14*s_IFCO_far_adj*s_CF_corn),".")</f>
        <v>6.6115702479338848E-4</v>
      </c>
      <c r="AM14" s="70">
        <f>IFERROR(s_DL/(up_RadSpec!$H14*s_IFCU_far_adj*s_CF_cucumber),".")</f>
        <v>6.6115702479338848E-4</v>
      </c>
      <c r="AN14" s="70">
        <f>IFERROR(s_DL/(up_RadSpec!$H14*s_IFLE_far_adj*s_CF_lettuce),".")</f>
        <v>6.6115702479338848E-4</v>
      </c>
      <c r="AO14" s="70">
        <f>IFERROR(s_DL/(up_RadSpec!$H14*s_IFLI_far_adj*s_CF_lima_bean),".")</f>
        <v>6.6115702479338848E-4</v>
      </c>
      <c r="AP14" s="70">
        <f>IFERROR(s_DL/(up_RadSpec!$H14*s_IFOK_far_adj*s_CF_okra),".")</f>
        <v>6.6115702479338848E-4</v>
      </c>
      <c r="AQ14" s="70">
        <f>IFERROR(s_DL/(up_RadSpec!$H14*s_IFON_far_adj*s_CF_onion),".")</f>
        <v>6.6115702479338848E-4</v>
      </c>
      <c r="AR14" s="70">
        <f>IFERROR(s_DL/(up_RadSpec!$H14*s_IFPC_far_adj*s_CF_peach),".")</f>
        <v>6.6115702479338848E-4</v>
      </c>
      <c r="AS14" s="70">
        <f>IFERROR(s_DL/(up_RadSpec!$H14*s_IFPR_far_adj*s_CF_pear),".")</f>
        <v>6.6115702479338848E-4</v>
      </c>
      <c r="AT14" s="70">
        <f>IFERROR(s_DL/(up_RadSpec!$H14*s_IFPE_far_adj*s_CF_peas),".")</f>
        <v>6.6115702479338848E-4</v>
      </c>
      <c r="AU14" s="70">
        <f>IFERROR(s_DL/(up_RadSpec!$H14*s_IFPP_far_adj*s_CF_peppers),".")</f>
        <v>6.6115702479338848E-4</v>
      </c>
      <c r="AV14" s="70">
        <f>IFERROR(s_DL/(up_RadSpec!$H14*s_IFPT_far_adj*s_CF_potato),".")</f>
        <v>6.6115702479338848E-4</v>
      </c>
      <c r="AW14" s="70">
        <f>IFERROR(s_DL/(up_RadSpec!$H14*s_IFPU_far_adj*s_CF_pumpkin),".")</f>
        <v>6.6115702479338848E-4</v>
      </c>
      <c r="AX14" s="70">
        <f>IFERROR(s_DL/(up_RadSpec!$H14*s_IFSN_far_adj*s_CF_snap_bean),".")</f>
        <v>6.6115702479338848E-4</v>
      </c>
      <c r="AY14" s="70">
        <f>IFERROR(s_DL/(up_RadSpec!$H14*s_IFST_far_adj*s_CF_strawberry),".")</f>
        <v>6.6115702479338848E-4</v>
      </c>
      <c r="AZ14" s="70">
        <f>IFERROR(s_DL/(up_RadSpec!$H14*s_IFTO_far_adj*s_CF_tomato),".")</f>
        <v>6.6115702479338848E-4</v>
      </c>
      <c r="BA14" s="70">
        <f>IFERROR(s_DL/(up_RadSpec!$H14*s_IFRI_far_adj*s_CF_rice),".")</f>
        <v>6.6115702479338848E-4</v>
      </c>
      <c r="BB14" s="70">
        <f>IFERROR(s_DL/(up_RadSpec!$H14*s_IFCG_far_adj*s_CF_cereal),".")</f>
        <v>6.6115702479338848E-4</v>
      </c>
      <c r="BC14" s="87">
        <f t="shared" si="26"/>
        <v>30250</v>
      </c>
      <c r="BD14" s="87">
        <f t="shared" si="0"/>
        <v>7562.5</v>
      </c>
      <c r="BE14" s="87">
        <f t="shared" si="1"/>
        <v>7562.5</v>
      </c>
      <c r="BF14" s="87">
        <f t="shared" si="2"/>
        <v>7562.5</v>
      </c>
      <c r="BG14" s="87">
        <f t="shared" si="3"/>
        <v>7562.5</v>
      </c>
      <c r="BH14" s="87">
        <f t="shared" si="4"/>
        <v>7562.5</v>
      </c>
      <c r="BI14" s="87">
        <f t="shared" si="5"/>
        <v>7562.5</v>
      </c>
      <c r="BJ14" s="87">
        <f t="shared" si="6"/>
        <v>7562.5</v>
      </c>
      <c r="BK14" s="87">
        <f t="shared" si="7"/>
        <v>7562.5</v>
      </c>
      <c r="BL14" s="87">
        <f t="shared" si="8"/>
        <v>7562.5</v>
      </c>
      <c r="BM14" s="87">
        <f t="shared" si="9"/>
        <v>7562.5</v>
      </c>
      <c r="BN14" s="87">
        <f t="shared" si="10"/>
        <v>7562.5</v>
      </c>
      <c r="BO14" s="87">
        <f t="shared" si="11"/>
        <v>7562.5</v>
      </c>
      <c r="BP14" s="87">
        <f t="shared" si="12"/>
        <v>7562.5</v>
      </c>
      <c r="BQ14" s="87">
        <f t="shared" si="13"/>
        <v>7562.5</v>
      </c>
      <c r="BR14" s="87">
        <f t="shared" si="14"/>
        <v>7562.5</v>
      </c>
      <c r="BS14" s="87">
        <f t="shared" si="15"/>
        <v>7562.5</v>
      </c>
      <c r="BT14" s="87">
        <f t="shared" si="27"/>
        <v>7562.5</v>
      </c>
      <c r="BU14" s="87">
        <f t="shared" si="16"/>
        <v>7562.5</v>
      </c>
      <c r="BV14" s="87">
        <f t="shared" si="17"/>
        <v>7562.5</v>
      </c>
      <c r="BW14" s="87">
        <f t="shared" si="18"/>
        <v>7562.5</v>
      </c>
      <c r="BX14" s="87">
        <f t="shared" si="19"/>
        <v>7562.5</v>
      </c>
      <c r="BY14" s="87">
        <f t="shared" si="20"/>
        <v>7562.5</v>
      </c>
      <c r="BZ14" s="87">
        <f t="shared" si="21"/>
        <v>7562.5</v>
      </c>
      <c r="CA14" s="87">
        <f t="shared" si="22"/>
        <v>7562.5</v>
      </c>
      <c r="CB14" s="87">
        <f t="shared" si="23"/>
        <v>7562.5</v>
      </c>
    </row>
    <row r="15" spans="1:80" x14ac:dyDescent="0.25">
      <c r="A15" s="86" t="s">
        <v>13</v>
      </c>
      <c r="B15" s="84" t="s">
        <v>1057</v>
      </c>
      <c r="C15" s="70">
        <f t="shared" si="24"/>
        <v>1.6528925619834712E-4</v>
      </c>
      <c r="D15" s="70">
        <f>IFERROR(s_DL/(up_RadSpec!$H15*s_IFAP_res_adj*s_CF_apple),".")</f>
        <v>6.6115702479338848E-4</v>
      </c>
      <c r="E15" s="70">
        <f>IFERROR(s_DL/(up_RadSpec!$H15*s_IFAS_res_adj*s_CF_asparagus),".")</f>
        <v>6.6115702479338848E-4</v>
      </c>
      <c r="F15" s="70">
        <f>IFERROR(s_DL/(up_RadSpec!$H15*s_IFBT_res_adj*s_CF_beet),".")</f>
        <v>6.6115702479338848E-4</v>
      </c>
      <c r="G15" s="70">
        <f>IFERROR(s_DL/(up_RadSpec!$H15*s_IFBE_res_adj*s_CF_berries),".")</f>
        <v>6.6115702479338848E-4</v>
      </c>
      <c r="H15" s="70">
        <f>IFERROR(s_DL/(up_RadSpec!$H15*s_IFBR_res_adj*s_CF_broccoli),".")</f>
        <v>6.6115702479338848E-4</v>
      </c>
      <c r="I15" s="70">
        <f>IFERROR(s_DL/(up_RadSpec!$H15*s_IFCB_res_adj*s_CF_cabbage),".")</f>
        <v>6.6115702479338848E-4</v>
      </c>
      <c r="J15" s="70">
        <f>IFERROR(s_DL/(up_RadSpec!$H15*s_IFCR_res_adj*s_CF_carrot),".")</f>
        <v>6.6115702479338848E-4</v>
      </c>
      <c r="K15" s="70">
        <f>IFERROR(s_DL/(up_RadSpec!$H15*s_IFCI_res_adj*s_CF_citrus),".")</f>
        <v>6.6115702479338848E-4</v>
      </c>
      <c r="L15" s="70">
        <f>IFERROR(s_DL/(up_RadSpec!$H15*s_IFCO_res_adj*s_CF_corn),".")</f>
        <v>6.6115702479338848E-4</v>
      </c>
      <c r="M15" s="70">
        <f>IFERROR(s_DL/(up_RadSpec!$H15*s_IFCU_res_adj*s_CF_cucumber),".")</f>
        <v>6.6115702479338848E-4</v>
      </c>
      <c r="N15" s="70">
        <f>IFERROR(s_DL/(up_RadSpec!$H15*s_IFLE_res_adj*s_CF_lettuce),".")</f>
        <v>6.6115702479338848E-4</v>
      </c>
      <c r="O15" s="70">
        <f>IFERROR(s_DL/(up_RadSpec!$H15*s_IFLI_res_adj*s_CF_lima_bean),".")</f>
        <v>6.6115702479338848E-4</v>
      </c>
      <c r="P15" s="70">
        <f>IFERROR(s_DL/(up_RadSpec!$H15*s_IFOK_res_adj*s_CF_okra),".")</f>
        <v>6.6115702479338848E-4</v>
      </c>
      <c r="Q15" s="70">
        <f>IFERROR(s_DL/(up_RadSpec!$H15*s_IFON_res_adj*s_CF_onion),".")</f>
        <v>6.6115702479338848E-4</v>
      </c>
      <c r="R15" s="70">
        <f>IFERROR(s_DL/(up_RadSpec!$H15*s_IFPC_res_adj*s_CF_peach),".")</f>
        <v>6.6115702479338848E-4</v>
      </c>
      <c r="S15" s="70">
        <f>IFERROR(s_DL/(up_RadSpec!$H15*s_IFPR_res_adj*s_CF_pear),".")</f>
        <v>6.6115702479338848E-4</v>
      </c>
      <c r="T15" s="70">
        <f>IFERROR(s_DL/(up_RadSpec!$H15*s_IFPE_res_adj*s_CF_peas),".")</f>
        <v>6.6115702479338848E-4</v>
      </c>
      <c r="U15" s="70">
        <f>IFERROR(s_DL/(up_RadSpec!$H15*s_IFPP_res_adj*s_CF_peppers),".")</f>
        <v>6.6115702479338848E-4</v>
      </c>
      <c r="V15" s="70">
        <f>IFERROR(s_DL/(up_RadSpec!$H15*s_IFPT_res_adj*s_CF_potato),".")</f>
        <v>6.6115702479338848E-4</v>
      </c>
      <c r="W15" s="70">
        <f>IFERROR(s_DL/(up_RadSpec!$H15*s_IFPU_res_adj*s_CF_pumpkin),".")</f>
        <v>6.6115702479338848E-4</v>
      </c>
      <c r="X15" s="70">
        <f>IFERROR(s_DL/(up_RadSpec!$H15*s_IFSN_res_adj*s_CF_snap_bean),".")</f>
        <v>6.6115702479338848E-4</v>
      </c>
      <c r="Y15" s="70">
        <f>IFERROR(s_DL/(up_RadSpec!$H15*s_IFST_res_adj*s_CF_strawberry),".")</f>
        <v>6.6115702479338848E-4</v>
      </c>
      <c r="Z15" s="70">
        <f>IFERROR(s_DL/(up_RadSpec!$H15*s_IFTO_res_adj*s_CF_tomato),".")</f>
        <v>6.6115702479338848E-4</v>
      </c>
      <c r="AA15" s="70">
        <f>IFERROR(s_DL/(up_RadSpec!$H15*s_IFRI_res_adj*s_CF_rice),".")</f>
        <v>6.6115702479338848E-4</v>
      </c>
      <c r="AB15" s="70">
        <f>IFERROR(s_DL/(up_RadSpec!$H15*s_IFCG_res_adj*s_CF_cereal),".")</f>
        <v>6.6115702479338848E-4</v>
      </c>
      <c r="AC15" s="70">
        <f t="shared" si="25"/>
        <v>1.6528925619834712E-4</v>
      </c>
      <c r="AD15" s="70">
        <f>IFERROR(s_DL/(up_RadSpec!$H15*s_IFAP_far_adj*s_CF_apple),".")</f>
        <v>6.6115702479338848E-4</v>
      </c>
      <c r="AE15" s="70">
        <f>IFERROR(s_DL/(up_RadSpec!$H15*s_IFAS_far_adj*s_CF_asparagus),".")</f>
        <v>6.6115702479338848E-4</v>
      </c>
      <c r="AF15" s="70">
        <f>IFERROR(s_DL/(up_RadSpec!$H15*s_IFBT_far_adj*s_CF_beet),".")</f>
        <v>6.6115702479338848E-4</v>
      </c>
      <c r="AG15" s="70">
        <f>IFERROR(s_DL/(up_RadSpec!$H15*s_IFBE_far_adj*s_CF_berries),".")</f>
        <v>6.6115702479338848E-4</v>
      </c>
      <c r="AH15" s="70">
        <f>IFERROR(s_DL/(up_RadSpec!$H15*s_IFBR_far_adj*s_CF_broccoli),".")</f>
        <v>6.6115702479338848E-4</v>
      </c>
      <c r="AI15" s="70">
        <f>IFERROR(s_DL/(up_RadSpec!$H15*s_IFCB_far_adj*s_CF_cabbage),".")</f>
        <v>6.6115702479338848E-4</v>
      </c>
      <c r="AJ15" s="70">
        <f>IFERROR(s_DL/(up_RadSpec!$H15*s_IFCR_far_adj*s_CF_carrot),".")</f>
        <v>6.6115702479338848E-4</v>
      </c>
      <c r="AK15" s="70">
        <f>IFERROR(s_DL/(up_RadSpec!$H15*s_IFCI_far_adj*s_CF_citrus),".")</f>
        <v>6.6115702479338848E-4</v>
      </c>
      <c r="AL15" s="70">
        <f>IFERROR(s_DL/(up_RadSpec!$H15*s_IFCO_far_adj*s_CF_corn),".")</f>
        <v>6.6115702479338848E-4</v>
      </c>
      <c r="AM15" s="70">
        <f>IFERROR(s_DL/(up_RadSpec!$H15*s_IFCU_far_adj*s_CF_cucumber),".")</f>
        <v>6.6115702479338848E-4</v>
      </c>
      <c r="AN15" s="70">
        <f>IFERROR(s_DL/(up_RadSpec!$H15*s_IFLE_far_adj*s_CF_lettuce),".")</f>
        <v>6.6115702479338848E-4</v>
      </c>
      <c r="AO15" s="70">
        <f>IFERROR(s_DL/(up_RadSpec!$H15*s_IFLI_far_adj*s_CF_lima_bean),".")</f>
        <v>6.6115702479338848E-4</v>
      </c>
      <c r="AP15" s="70">
        <f>IFERROR(s_DL/(up_RadSpec!$H15*s_IFOK_far_adj*s_CF_okra),".")</f>
        <v>6.6115702479338848E-4</v>
      </c>
      <c r="AQ15" s="70">
        <f>IFERROR(s_DL/(up_RadSpec!$H15*s_IFON_far_adj*s_CF_onion),".")</f>
        <v>6.6115702479338848E-4</v>
      </c>
      <c r="AR15" s="70">
        <f>IFERROR(s_DL/(up_RadSpec!$H15*s_IFPC_far_adj*s_CF_peach),".")</f>
        <v>6.6115702479338848E-4</v>
      </c>
      <c r="AS15" s="70">
        <f>IFERROR(s_DL/(up_RadSpec!$H15*s_IFPR_far_adj*s_CF_pear),".")</f>
        <v>6.6115702479338848E-4</v>
      </c>
      <c r="AT15" s="70">
        <f>IFERROR(s_DL/(up_RadSpec!$H15*s_IFPE_far_adj*s_CF_peas),".")</f>
        <v>6.6115702479338848E-4</v>
      </c>
      <c r="AU15" s="70">
        <f>IFERROR(s_DL/(up_RadSpec!$H15*s_IFPP_far_adj*s_CF_peppers),".")</f>
        <v>6.6115702479338848E-4</v>
      </c>
      <c r="AV15" s="70">
        <f>IFERROR(s_DL/(up_RadSpec!$H15*s_IFPT_far_adj*s_CF_potato),".")</f>
        <v>6.6115702479338848E-4</v>
      </c>
      <c r="AW15" s="70">
        <f>IFERROR(s_DL/(up_RadSpec!$H15*s_IFPU_far_adj*s_CF_pumpkin),".")</f>
        <v>6.6115702479338848E-4</v>
      </c>
      <c r="AX15" s="70">
        <f>IFERROR(s_DL/(up_RadSpec!$H15*s_IFSN_far_adj*s_CF_snap_bean),".")</f>
        <v>6.6115702479338848E-4</v>
      </c>
      <c r="AY15" s="70">
        <f>IFERROR(s_DL/(up_RadSpec!$H15*s_IFST_far_adj*s_CF_strawberry),".")</f>
        <v>6.6115702479338848E-4</v>
      </c>
      <c r="AZ15" s="70">
        <f>IFERROR(s_DL/(up_RadSpec!$H15*s_IFTO_far_adj*s_CF_tomato),".")</f>
        <v>6.6115702479338848E-4</v>
      </c>
      <c r="BA15" s="70">
        <f>IFERROR(s_DL/(up_RadSpec!$H15*s_IFRI_far_adj*s_CF_rice),".")</f>
        <v>6.6115702479338848E-4</v>
      </c>
      <c r="BB15" s="70">
        <f>IFERROR(s_DL/(up_RadSpec!$H15*s_IFCG_far_adj*s_CF_cereal),".")</f>
        <v>6.6115702479338848E-4</v>
      </c>
      <c r="BC15" s="87">
        <f t="shared" si="26"/>
        <v>30250</v>
      </c>
      <c r="BD15" s="87">
        <f t="shared" si="0"/>
        <v>7562.5</v>
      </c>
      <c r="BE15" s="87">
        <f t="shared" si="1"/>
        <v>7562.5</v>
      </c>
      <c r="BF15" s="87">
        <f t="shared" si="2"/>
        <v>7562.5</v>
      </c>
      <c r="BG15" s="87">
        <f t="shared" si="3"/>
        <v>7562.5</v>
      </c>
      <c r="BH15" s="87">
        <f t="shared" si="4"/>
        <v>7562.5</v>
      </c>
      <c r="BI15" s="87">
        <f t="shared" si="5"/>
        <v>7562.5</v>
      </c>
      <c r="BJ15" s="87">
        <f t="shared" si="6"/>
        <v>7562.5</v>
      </c>
      <c r="BK15" s="87">
        <f t="shared" si="7"/>
        <v>7562.5</v>
      </c>
      <c r="BL15" s="87">
        <f t="shared" si="8"/>
        <v>7562.5</v>
      </c>
      <c r="BM15" s="87">
        <f t="shared" si="9"/>
        <v>7562.5</v>
      </c>
      <c r="BN15" s="87">
        <f t="shared" si="10"/>
        <v>7562.5</v>
      </c>
      <c r="BO15" s="87">
        <f t="shared" si="11"/>
        <v>7562.5</v>
      </c>
      <c r="BP15" s="87">
        <f t="shared" si="12"/>
        <v>7562.5</v>
      </c>
      <c r="BQ15" s="87">
        <f t="shared" si="13"/>
        <v>7562.5</v>
      </c>
      <c r="BR15" s="87">
        <f t="shared" si="14"/>
        <v>7562.5</v>
      </c>
      <c r="BS15" s="87">
        <f t="shared" si="15"/>
        <v>7562.5</v>
      </c>
      <c r="BT15" s="87">
        <f t="shared" si="27"/>
        <v>7562.5</v>
      </c>
      <c r="BU15" s="87">
        <f t="shared" si="16"/>
        <v>7562.5</v>
      </c>
      <c r="BV15" s="87">
        <f t="shared" si="17"/>
        <v>7562.5</v>
      </c>
      <c r="BW15" s="87">
        <f t="shared" si="18"/>
        <v>7562.5</v>
      </c>
      <c r="BX15" s="87">
        <f t="shared" si="19"/>
        <v>7562.5</v>
      </c>
      <c r="BY15" s="87">
        <f t="shared" si="20"/>
        <v>7562.5</v>
      </c>
      <c r="BZ15" s="87">
        <f t="shared" si="21"/>
        <v>7562.5</v>
      </c>
      <c r="CA15" s="87">
        <f t="shared" si="22"/>
        <v>7562.5</v>
      </c>
      <c r="CB15" s="87">
        <f t="shared" si="23"/>
        <v>7562.5</v>
      </c>
    </row>
    <row r="16" spans="1:80" x14ac:dyDescent="0.25">
      <c r="A16" s="86" t="s">
        <v>14</v>
      </c>
      <c r="B16" s="84" t="s">
        <v>1057</v>
      </c>
      <c r="C16" s="70">
        <f t="shared" si="24"/>
        <v>1.6528925619834712E-4</v>
      </c>
      <c r="D16" s="70">
        <f>IFERROR(s_DL/(up_RadSpec!$H16*s_IFAP_res_adj*s_CF_apple),".")</f>
        <v>6.6115702479338848E-4</v>
      </c>
      <c r="E16" s="70">
        <f>IFERROR(s_DL/(up_RadSpec!$H16*s_IFAS_res_adj*s_CF_asparagus),".")</f>
        <v>6.6115702479338848E-4</v>
      </c>
      <c r="F16" s="70">
        <f>IFERROR(s_DL/(up_RadSpec!$H16*s_IFBT_res_adj*s_CF_beet),".")</f>
        <v>6.6115702479338848E-4</v>
      </c>
      <c r="G16" s="70">
        <f>IFERROR(s_DL/(up_RadSpec!$H16*s_IFBE_res_adj*s_CF_berries),".")</f>
        <v>6.6115702479338848E-4</v>
      </c>
      <c r="H16" s="70">
        <f>IFERROR(s_DL/(up_RadSpec!$H16*s_IFBR_res_adj*s_CF_broccoli),".")</f>
        <v>6.6115702479338848E-4</v>
      </c>
      <c r="I16" s="70">
        <f>IFERROR(s_DL/(up_RadSpec!$H16*s_IFCB_res_adj*s_CF_cabbage),".")</f>
        <v>6.6115702479338848E-4</v>
      </c>
      <c r="J16" s="70">
        <f>IFERROR(s_DL/(up_RadSpec!$H16*s_IFCR_res_adj*s_CF_carrot),".")</f>
        <v>6.6115702479338848E-4</v>
      </c>
      <c r="K16" s="70">
        <f>IFERROR(s_DL/(up_RadSpec!$H16*s_IFCI_res_adj*s_CF_citrus),".")</f>
        <v>6.6115702479338848E-4</v>
      </c>
      <c r="L16" s="70">
        <f>IFERROR(s_DL/(up_RadSpec!$H16*s_IFCO_res_adj*s_CF_corn),".")</f>
        <v>6.6115702479338848E-4</v>
      </c>
      <c r="M16" s="70">
        <f>IFERROR(s_DL/(up_RadSpec!$H16*s_IFCU_res_adj*s_CF_cucumber),".")</f>
        <v>6.6115702479338848E-4</v>
      </c>
      <c r="N16" s="70">
        <f>IFERROR(s_DL/(up_RadSpec!$H16*s_IFLE_res_adj*s_CF_lettuce),".")</f>
        <v>6.6115702479338848E-4</v>
      </c>
      <c r="O16" s="70">
        <f>IFERROR(s_DL/(up_RadSpec!$H16*s_IFLI_res_adj*s_CF_lima_bean),".")</f>
        <v>6.6115702479338848E-4</v>
      </c>
      <c r="P16" s="70">
        <f>IFERROR(s_DL/(up_RadSpec!$H16*s_IFOK_res_adj*s_CF_okra),".")</f>
        <v>6.6115702479338848E-4</v>
      </c>
      <c r="Q16" s="70">
        <f>IFERROR(s_DL/(up_RadSpec!$H16*s_IFON_res_adj*s_CF_onion),".")</f>
        <v>6.6115702479338848E-4</v>
      </c>
      <c r="R16" s="70">
        <f>IFERROR(s_DL/(up_RadSpec!$H16*s_IFPC_res_adj*s_CF_peach),".")</f>
        <v>6.6115702479338848E-4</v>
      </c>
      <c r="S16" s="70">
        <f>IFERROR(s_DL/(up_RadSpec!$H16*s_IFPR_res_adj*s_CF_pear),".")</f>
        <v>6.6115702479338848E-4</v>
      </c>
      <c r="T16" s="70">
        <f>IFERROR(s_DL/(up_RadSpec!$H16*s_IFPE_res_adj*s_CF_peas),".")</f>
        <v>6.6115702479338848E-4</v>
      </c>
      <c r="U16" s="70">
        <f>IFERROR(s_DL/(up_RadSpec!$H16*s_IFPP_res_adj*s_CF_peppers),".")</f>
        <v>6.6115702479338848E-4</v>
      </c>
      <c r="V16" s="70">
        <f>IFERROR(s_DL/(up_RadSpec!$H16*s_IFPT_res_adj*s_CF_potato),".")</f>
        <v>6.6115702479338848E-4</v>
      </c>
      <c r="W16" s="70">
        <f>IFERROR(s_DL/(up_RadSpec!$H16*s_IFPU_res_adj*s_CF_pumpkin),".")</f>
        <v>6.6115702479338848E-4</v>
      </c>
      <c r="X16" s="70">
        <f>IFERROR(s_DL/(up_RadSpec!$H16*s_IFSN_res_adj*s_CF_snap_bean),".")</f>
        <v>6.6115702479338848E-4</v>
      </c>
      <c r="Y16" s="70">
        <f>IFERROR(s_DL/(up_RadSpec!$H16*s_IFST_res_adj*s_CF_strawberry),".")</f>
        <v>6.6115702479338848E-4</v>
      </c>
      <c r="Z16" s="70">
        <f>IFERROR(s_DL/(up_RadSpec!$H16*s_IFTO_res_adj*s_CF_tomato),".")</f>
        <v>6.6115702479338848E-4</v>
      </c>
      <c r="AA16" s="70">
        <f>IFERROR(s_DL/(up_RadSpec!$H16*s_IFRI_res_adj*s_CF_rice),".")</f>
        <v>6.6115702479338848E-4</v>
      </c>
      <c r="AB16" s="70">
        <f>IFERROR(s_DL/(up_RadSpec!$H16*s_IFCG_res_adj*s_CF_cereal),".")</f>
        <v>6.6115702479338848E-4</v>
      </c>
      <c r="AC16" s="70">
        <f t="shared" si="25"/>
        <v>1.6528925619834712E-4</v>
      </c>
      <c r="AD16" s="70">
        <f>IFERROR(s_DL/(up_RadSpec!$H16*s_IFAP_far_adj*s_CF_apple),".")</f>
        <v>6.6115702479338848E-4</v>
      </c>
      <c r="AE16" s="70">
        <f>IFERROR(s_DL/(up_RadSpec!$H16*s_IFAS_far_adj*s_CF_asparagus),".")</f>
        <v>6.6115702479338848E-4</v>
      </c>
      <c r="AF16" s="70">
        <f>IFERROR(s_DL/(up_RadSpec!$H16*s_IFBT_far_adj*s_CF_beet),".")</f>
        <v>6.6115702479338848E-4</v>
      </c>
      <c r="AG16" s="70">
        <f>IFERROR(s_DL/(up_RadSpec!$H16*s_IFBE_far_adj*s_CF_berries),".")</f>
        <v>6.6115702479338848E-4</v>
      </c>
      <c r="AH16" s="70">
        <f>IFERROR(s_DL/(up_RadSpec!$H16*s_IFBR_far_adj*s_CF_broccoli),".")</f>
        <v>6.6115702479338848E-4</v>
      </c>
      <c r="AI16" s="70">
        <f>IFERROR(s_DL/(up_RadSpec!$H16*s_IFCB_far_adj*s_CF_cabbage),".")</f>
        <v>6.6115702479338848E-4</v>
      </c>
      <c r="AJ16" s="70">
        <f>IFERROR(s_DL/(up_RadSpec!$H16*s_IFCR_far_adj*s_CF_carrot),".")</f>
        <v>6.6115702479338848E-4</v>
      </c>
      <c r="AK16" s="70">
        <f>IFERROR(s_DL/(up_RadSpec!$H16*s_IFCI_far_adj*s_CF_citrus),".")</f>
        <v>6.6115702479338848E-4</v>
      </c>
      <c r="AL16" s="70">
        <f>IFERROR(s_DL/(up_RadSpec!$H16*s_IFCO_far_adj*s_CF_corn),".")</f>
        <v>6.6115702479338848E-4</v>
      </c>
      <c r="AM16" s="70">
        <f>IFERROR(s_DL/(up_RadSpec!$H16*s_IFCU_far_adj*s_CF_cucumber),".")</f>
        <v>6.6115702479338848E-4</v>
      </c>
      <c r="AN16" s="70">
        <f>IFERROR(s_DL/(up_RadSpec!$H16*s_IFLE_far_adj*s_CF_lettuce),".")</f>
        <v>6.6115702479338848E-4</v>
      </c>
      <c r="AO16" s="70">
        <f>IFERROR(s_DL/(up_RadSpec!$H16*s_IFLI_far_adj*s_CF_lima_bean),".")</f>
        <v>6.6115702479338848E-4</v>
      </c>
      <c r="AP16" s="70">
        <f>IFERROR(s_DL/(up_RadSpec!$H16*s_IFOK_far_adj*s_CF_okra),".")</f>
        <v>6.6115702479338848E-4</v>
      </c>
      <c r="AQ16" s="70">
        <f>IFERROR(s_DL/(up_RadSpec!$H16*s_IFON_far_adj*s_CF_onion),".")</f>
        <v>6.6115702479338848E-4</v>
      </c>
      <c r="AR16" s="70">
        <f>IFERROR(s_DL/(up_RadSpec!$H16*s_IFPC_far_adj*s_CF_peach),".")</f>
        <v>6.6115702479338848E-4</v>
      </c>
      <c r="AS16" s="70">
        <f>IFERROR(s_DL/(up_RadSpec!$H16*s_IFPR_far_adj*s_CF_pear),".")</f>
        <v>6.6115702479338848E-4</v>
      </c>
      <c r="AT16" s="70">
        <f>IFERROR(s_DL/(up_RadSpec!$H16*s_IFPE_far_adj*s_CF_peas),".")</f>
        <v>6.6115702479338848E-4</v>
      </c>
      <c r="AU16" s="70">
        <f>IFERROR(s_DL/(up_RadSpec!$H16*s_IFPP_far_adj*s_CF_peppers),".")</f>
        <v>6.6115702479338848E-4</v>
      </c>
      <c r="AV16" s="70">
        <f>IFERROR(s_DL/(up_RadSpec!$H16*s_IFPT_far_adj*s_CF_potato),".")</f>
        <v>6.6115702479338848E-4</v>
      </c>
      <c r="AW16" s="70">
        <f>IFERROR(s_DL/(up_RadSpec!$H16*s_IFPU_far_adj*s_CF_pumpkin),".")</f>
        <v>6.6115702479338848E-4</v>
      </c>
      <c r="AX16" s="70">
        <f>IFERROR(s_DL/(up_RadSpec!$H16*s_IFSN_far_adj*s_CF_snap_bean),".")</f>
        <v>6.6115702479338848E-4</v>
      </c>
      <c r="AY16" s="70">
        <f>IFERROR(s_DL/(up_RadSpec!$H16*s_IFST_far_adj*s_CF_strawberry),".")</f>
        <v>6.6115702479338848E-4</v>
      </c>
      <c r="AZ16" s="70">
        <f>IFERROR(s_DL/(up_RadSpec!$H16*s_IFTO_far_adj*s_CF_tomato),".")</f>
        <v>6.6115702479338848E-4</v>
      </c>
      <c r="BA16" s="70">
        <f>IFERROR(s_DL/(up_RadSpec!$H16*s_IFRI_far_adj*s_CF_rice),".")</f>
        <v>6.6115702479338848E-4</v>
      </c>
      <c r="BB16" s="70">
        <f>IFERROR(s_DL/(up_RadSpec!$H16*s_IFCG_far_adj*s_CF_cereal),".")</f>
        <v>6.6115702479338848E-4</v>
      </c>
      <c r="BC16" s="87">
        <f t="shared" si="26"/>
        <v>30250</v>
      </c>
      <c r="BD16" s="87">
        <f t="shared" si="0"/>
        <v>7562.5</v>
      </c>
      <c r="BE16" s="87">
        <f t="shared" si="1"/>
        <v>7562.5</v>
      </c>
      <c r="BF16" s="87">
        <f t="shared" si="2"/>
        <v>7562.5</v>
      </c>
      <c r="BG16" s="87">
        <f t="shared" si="3"/>
        <v>7562.5</v>
      </c>
      <c r="BH16" s="87">
        <f t="shared" si="4"/>
        <v>7562.5</v>
      </c>
      <c r="BI16" s="87">
        <f t="shared" si="5"/>
        <v>7562.5</v>
      </c>
      <c r="BJ16" s="87">
        <f t="shared" si="6"/>
        <v>7562.5</v>
      </c>
      <c r="BK16" s="87">
        <f t="shared" si="7"/>
        <v>7562.5</v>
      </c>
      <c r="BL16" s="87">
        <f t="shared" si="8"/>
        <v>7562.5</v>
      </c>
      <c r="BM16" s="87">
        <f t="shared" si="9"/>
        <v>7562.5</v>
      </c>
      <c r="BN16" s="87">
        <f t="shared" si="10"/>
        <v>7562.5</v>
      </c>
      <c r="BO16" s="87">
        <f t="shared" si="11"/>
        <v>7562.5</v>
      </c>
      <c r="BP16" s="87">
        <f t="shared" si="12"/>
        <v>7562.5</v>
      </c>
      <c r="BQ16" s="87">
        <f t="shared" si="13"/>
        <v>7562.5</v>
      </c>
      <c r="BR16" s="87">
        <f t="shared" si="14"/>
        <v>7562.5</v>
      </c>
      <c r="BS16" s="87">
        <f t="shared" si="15"/>
        <v>7562.5</v>
      </c>
      <c r="BT16" s="87">
        <f t="shared" si="27"/>
        <v>7562.5</v>
      </c>
      <c r="BU16" s="87">
        <f t="shared" si="16"/>
        <v>7562.5</v>
      </c>
      <c r="BV16" s="87">
        <f t="shared" si="17"/>
        <v>7562.5</v>
      </c>
      <c r="BW16" s="87">
        <f t="shared" si="18"/>
        <v>7562.5</v>
      </c>
      <c r="BX16" s="87">
        <f t="shared" si="19"/>
        <v>7562.5</v>
      </c>
      <c r="BY16" s="87">
        <f t="shared" si="20"/>
        <v>7562.5</v>
      </c>
      <c r="BZ16" s="87">
        <f t="shared" si="21"/>
        <v>7562.5</v>
      </c>
      <c r="CA16" s="87">
        <f t="shared" si="22"/>
        <v>7562.5</v>
      </c>
      <c r="CB16" s="87">
        <f t="shared" si="23"/>
        <v>7562.5</v>
      </c>
    </row>
    <row r="17" spans="1:80" x14ac:dyDescent="0.25">
      <c r="A17" s="86" t="s">
        <v>15</v>
      </c>
      <c r="B17" s="84" t="s">
        <v>1057</v>
      </c>
      <c r="C17" s="70">
        <f t="shared" si="24"/>
        <v>1.6528925619834712E-4</v>
      </c>
      <c r="D17" s="70">
        <f>IFERROR(s_DL/(up_RadSpec!$H17*s_IFAP_res_adj*s_CF_apple),".")</f>
        <v>6.6115702479338848E-4</v>
      </c>
      <c r="E17" s="70">
        <f>IFERROR(s_DL/(up_RadSpec!$H17*s_IFAS_res_adj*s_CF_asparagus),".")</f>
        <v>6.6115702479338848E-4</v>
      </c>
      <c r="F17" s="70">
        <f>IFERROR(s_DL/(up_RadSpec!$H17*s_IFBT_res_adj*s_CF_beet),".")</f>
        <v>6.6115702479338848E-4</v>
      </c>
      <c r="G17" s="70">
        <f>IFERROR(s_DL/(up_RadSpec!$H17*s_IFBE_res_adj*s_CF_berries),".")</f>
        <v>6.6115702479338848E-4</v>
      </c>
      <c r="H17" s="70">
        <f>IFERROR(s_DL/(up_RadSpec!$H17*s_IFBR_res_adj*s_CF_broccoli),".")</f>
        <v>6.6115702479338848E-4</v>
      </c>
      <c r="I17" s="70">
        <f>IFERROR(s_DL/(up_RadSpec!$H17*s_IFCB_res_adj*s_CF_cabbage),".")</f>
        <v>6.6115702479338848E-4</v>
      </c>
      <c r="J17" s="70">
        <f>IFERROR(s_DL/(up_RadSpec!$H17*s_IFCR_res_adj*s_CF_carrot),".")</f>
        <v>6.6115702479338848E-4</v>
      </c>
      <c r="K17" s="70">
        <f>IFERROR(s_DL/(up_RadSpec!$H17*s_IFCI_res_adj*s_CF_citrus),".")</f>
        <v>6.6115702479338848E-4</v>
      </c>
      <c r="L17" s="70">
        <f>IFERROR(s_DL/(up_RadSpec!$H17*s_IFCO_res_adj*s_CF_corn),".")</f>
        <v>6.6115702479338848E-4</v>
      </c>
      <c r="M17" s="70">
        <f>IFERROR(s_DL/(up_RadSpec!$H17*s_IFCU_res_adj*s_CF_cucumber),".")</f>
        <v>6.6115702479338848E-4</v>
      </c>
      <c r="N17" s="70">
        <f>IFERROR(s_DL/(up_RadSpec!$H17*s_IFLE_res_adj*s_CF_lettuce),".")</f>
        <v>6.6115702479338848E-4</v>
      </c>
      <c r="O17" s="70">
        <f>IFERROR(s_DL/(up_RadSpec!$H17*s_IFLI_res_adj*s_CF_lima_bean),".")</f>
        <v>6.6115702479338848E-4</v>
      </c>
      <c r="P17" s="70">
        <f>IFERROR(s_DL/(up_RadSpec!$H17*s_IFOK_res_adj*s_CF_okra),".")</f>
        <v>6.6115702479338848E-4</v>
      </c>
      <c r="Q17" s="70">
        <f>IFERROR(s_DL/(up_RadSpec!$H17*s_IFON_res_adj*s_CF_onion),".")</f>
        <v>6.6115702479338848E-4</v>
      </c>
      <c r="R17" s="70">
        <f>IFERROR(s_DL/(up_RadSpec!$H17*s_IFPC_res_adj*s_CF_peach),".")</f>
        <v>6.6115702479338848E-4</v>
      </c>
      <c r="S17" s="70">
        <f>IFERROR(s_DL/(up_RadSpec!$H17*s_IFPR_res_adj*s_CF_pear),".")</f>
        <v>6.6115702479338848E-4</v>
      </c>
      <c r="T17" s="70">
        <f>IFERROR(s_DL/(up_RadSpec!$H17*s_IFPE_res_adj*s_CF_peas),".")</f>
        <v>6.6115702479338848E-4</v>
      </c>
      <c r="U17" s="70">
        <f>IFERROR(s_DL/(up_RadSpec!$H17*s_IFPP_res_adj*s_CF_peppers),".")</f>
        <v>6.6115702479338848E-4</v>
      </c>
      <c r="V17" s="70">
        <f>IFERROR(s_DL/(up_RadSpec!$H17*s_IFPT_res_adj*s_CF_potato),".")</f>
        <v>6.6115702479338848E-4</v>
      </c>
      <c r="W17" s="70">
        <f>IFERROR(s_DL/(up_RadSpec!$H17*s_IFPU_res_adj*s_CF_pumpkin),".")</f>
        <v>6.6115702479338848E-4</v>
      </c>
      <c r="X17" s="70">
        <f>IFERROR(s_DL/(up_RadSpec!$H17*s_IFSN_res_adj*s_CF_snap_bean),".")</f>
        <v>6.6115702479338848E-4</v>
      </c>
      <c r="Y17" s="70">
        <f>IFERROR(s_DL/(up_RadSpec!$H17*s_IFST_res_adj*s_CF_strawberry),".")</f>
        <v>6.6115702479338848E-4</v>
      </c>
      <c r="Z17" s="70">
        <f>IFERROR(s_DL/(up_RadSpec!$H17*s_IFTO_res_adj*s_CF_tomato),".")</f>
        <v>6.6115702479338848E-4</v>
      </c>
      <c r="AA17" s="70">
        <f>IFERROR(s_DL/(up_RadSpec!$H17*s_IFRI_res_adj*s_CF_rice),".")</f>
        <v>6.6115702479338848E-4</v>
      </c>
      <c r="AB17" s="70">
        <f>IFERROR(s_DL/(up_RadSpec!$H17*s_IFCG_res_adj*s_CF_cereal),".")</f>
        <v>6.6115702479338848E-4</v>
      </c>
      <c r="AC17" s="70">
        <f t="shared" si="25"/>
        <v>1.6528925619834712E-4</v>
      </c>
      <c r="AD17" s="70">
        <f>IFERROR(s_DL/(up_RadSpec!$H17*s_IFAP_far_adj*s_CF_apple),".")</f>
        <v>6.6115702479338848E-4</v>
      </c>
      <c r="AE17" s="70">
        <f>IFERROR(s_DL/(up_RadSpec!$H17*s_IFAS_far_adj*s_CF_asparagus),".")</f>
        <v>6.6115702479338848E-4</v>
      </c>
      <c r="AF17" s="70">
        <f>IFERROR(s_DL/(up_RadSpec!$H17*s_IFBT_far_adj*s_CF_beet),".")</f>
        <v>6.6115702479338848E-4</v>
      </c>
      <c r="AG17" s="70">
        <f>IFERROR(s_DL/(up_RadSpec!$H17*s_IFBE_far_adj*s_CF_berries),".")</f>
        <v>6.6115702479338848E-4</v>
      </c>
      <c r="AH17" s="70">
        <f>IFERROR(s_DL/(up_RadSpec!$H17*s_IFBR_far_adj*s_CF_broccoli),".")</f>
        <v>6.6115702479338848E-4</v>
      </c>
      <c r="AI17" s="70">
        <f>IFERROR(s_DL/(up_RadSpec!$H17*s_IFCB_far_adj*s_CF_cabbage),".")</f>
        <v>6.6115702479338848E-4</v>
      </c>
      <c r="AJ17" s="70">
        <f>IFERROR(s_DL/(up_RadSpec!$H17*s_IFCR_far_adj*s_CF_carrot),".")</f>
        <v>6.6115702479338848E-4</v>
      </c>
      <c r="AK17" s="70">
        <f>IFERROR(s_DL/(up_RadSpec!$H17*s_IFCI_far_adj*s_CF_citrus),".")</f>
        <v>6.6115702479338848E-4</v>
      </c>
      <c r="AL17" s="70">
        <f>IFERROR(s_DL/(up_RadSpec!$H17*s_IFCO_far_adj*s_CF_corn),".")</f>
        <v>6.6115702479338848E-4</v>
      </c>
      <c r="AM17" s="70">
        <f>IFERROR(s_DL/(up_RadSpec!$H17*s_IFCU_far_adj*s_CF_cucumber),".")</f>
        <v>6.6115702479338848E-4</v>
      </c>
      <c r="AN17" s="70">
        <f>IFERROR(s_DL/(up_RadSpec!$H17*s_IFLE_far_adj*s_CF_lettuce),".")</f>
        <v>6.6115702479338848E-4</v>
      </c>
      <c r="AO17" s="70">
        <f>IFERROR(s_DL/(up_RadSpec!$H17*s_IFLI_far_adj*s_CF_lima_bean),".")</f>
        <v>6.6115702479338848E-4</v>
      </c>
      <c r="AP17" s="70">
        <f>IFERROR(s_DL/(up_RadSpec!$H17*s_IFOK_far_adj*s_CF_okra),".")</f>
        <v>6.6115702479338848E-4</v>
      </c>
      <c r="AQ17" s="70">
        <f>IFERROR(s_DL/(up_RadSpec!$H17*s_IFON_far_adj*s_CF_onion),".")</f>
        <v>6.6115702479338848E-4</v>
      </c>
      <c r="AR17" s="70">
        <f>IFERROR(s_DL/(up_RadSpec!$H17*s_IFPC_far_adj*s_CF_peach),".")</f>
        <v>6.6115702479338848E-4</v>
      </c>
      <c r="AS17" s="70">
        <f>IFERROR(s_DL/(up_RadSpec!$H17*s_IFPR_far_adj*s_CF_pear),".")</f>
        <v>6.6115702479338848E-4</v>
      </c>
      <c r="AT17" s="70">
        <f>IFERROR(s_DL/(up_RadSpec!$H17*s_IFPE_far_adj*s_CF_peas),".")</f>
        <v>6.6115702479338848E-4</v>
      </c>
      <c r="AU17" s="70">
        <f>IFERROR(s_DL/(up_RadSpec!$H17*s_IFPP_far_adj*s_CF_peppers),".")</f>
        <v>6.6115702479338848E-4</v>
      </c>
      <c r="AV17" s="70">
        <f>IFERROR(s_DL/(up_RadSpec!$H17*s_IFPT_far_adj*s_CF_potato),".")</f>
        <v>6.6115702479338848E-4</v>
      </c>
      <c r="AW17" s="70">
        <f>IFERROR(s_DL/(up_RadSpec!$H17*s_IFPU_far_adj*s_CF_pumpkin),".")</f>
        <v>6.6115702479338848E-4</v>
      </c>
      <c r="AX17" s="70">
        <f>IFERROR(s_DL/(up_RadSpec!$H17*s_IFSN_far_adj*s_CF_snap_bean),".")</f>
        <v>6.6115702479338848E-4</v>
      </c>
      <c r="AY17" s="70">
        <f>IFERROR(s_DL/(up_RadSpec!$H17*s_IFST_far_adj*s_CF_strawberry),".")</f>
        <v>6.6115702479338848E-4</v>
      </c>
      <c r="AZ17" s="70">
        <f>IFERROR(s_DL/(up_RadSpec!$H17*s_IFTO_far_adj*s_CF_tomato),".")</f>
        <v>6.6115702479338848E-4</v>
      </c>
      <c r="BA17" s="70">
        <f>IFERROR(s_DL/(up_RadSpec!$H17*s_IFRI_far_adj*s_CF_rice),".")</f>
        <v>6.6115702479338848E-4</v>
      </c>
      <c r="BB17" s="70">
        <f>IFERROR(s_DL/(up_RadSpec!$H17*s_IFCG_far_adj*s_CF_cereal),".")</f>
        <v>6.6115702479338848E-4</v>
      </c>
      <c r="BC17" s="87">
        <f t="shared" si="26"/>
        <v>30250</v>
      </c>
      <c r="BD17" s="87">
        <f t="shared" si="0"/>
        <v>7562.5</v>
      </c>
      <c r="BE17" s="87">
        <f t="shared" si="1"/>
        <v>7562.5</v>
      </c>
      <c r="BF17" s="87">
        <f t="shared" si="2"/>
        <v>7562.5</v>
      </c>
      <c r="BG17" s="87">
        <f t="shared" si="3"/>
        <v>7562.5</v>
      </c>
      <c r="BH17" s="87">
        <f t="shared" si="4"/>
        <v>7562.5</v>
      </c>
      <c r="BI17" s="87">
        <f t="shared" si="5"/>
        <v>7562.5</v>
      </c>
      <c r="BJ17" s="87">
        <f t="shared" si="6"/>
        <v>7562.5</v>
      </c>
      <c r="BK17" s="87">
        <f t="shared" si="7"/>
        <v>7562.5</v>
      </c>
      <c r="BL17" s="87">
        <f t="shared" si="8"/>
        <v>7562.5</v>
      </c>
      <c r="BM17" s="87">
        <f t="shared" si="9"/>
        <v>7562.5</v>
      </c>
      <c r="BN17" s="87">
        <f t="shared" si="10"/>
        <v>7562.5</v>
      </c>
      <c r="BO17" s="87">
        <f t="shared" si="11"/>
        <v>7562.5</v>
      </c>
      <c r="BP17" s="87">
        <f t="shared" si="12"/>
        <v>7562.5</v>
      </c>
      <c r="BQ17" s="87">
        <f t="shared" si="13"/>
        <v>7562.5</v>
      </c>
      <c r="BR17" s="87">
        <f t="shared" si="14"/>
        <v>7562.5</v>
      </c>
      <c r="BS17" s="87">
        <f t="shared" si="15"/>
        <v>7562.5</v>
      </c>
      <c r="BT17" s="87">
        <f t="shared" si="27"/>
        <v>7562.5</v>
      </c>
      <c r="BU17" s="87">
        <f t="shared" si="16"/>
        <v>7562.5</v>
      </c>
      <c r="BV17" s="87">
        <f t="shared" si="17"/>
        <v>7562.5</v>
      </c>
      <c r="BW17" s="87">
        <f t="shared" si="18"/>
        <v>7562.5</v>
      </c>
      <c r="BX17" s="87">
        <f t="shared" si="19"/>
        <v>7562.5</v>
      </c>
      <c r="BY17" s="87">
        <f t="shared" si="20"/>
        <v>7562.5</v>
      </c>
      <c r="BZ17" s="87">
        <f t="shared" si="21"/>
        <v>7562.5</v>
      </c>
      <c r="CA17" s="87">
        <f t="shared" si="22"/>
        <v>7562.5</v>
      </c>
      <c r="CB17" s="87">
        <f t="shared" si="23"/>
        <v>7562.5</v>
      </c>
    </row>
    <row r="18" spans="1:80" x14ac:dyDescent="0.25">
      <c r="A18" s="86" t="s">
        <v>16</v>
      </c>
      <c r="B18" s="84" t="s">
        <v>1057</v>
      </c>
      <c r="C18" s="70">
        <f t="shared" si="24"/>
        <v>1.6528925619834712E-4</v>
      </c>
      <c r="D18" s="70">
        <f>IFERROR(s_DL/(up_RadSpec!$H18*s_IFAP_res_adj*s_CF_apple),".")</f>
        <v>6.6115702479338848E-4</v>
      </c>
      <c r="E18" s="70">
        <f>IFERROR(s_DL/(up_RadSpec!$H18*s_IFAS_res_adj*s_CF_asparagus),".")</f>
        <v>6.6115702479338848E-4</v>
      </c>
      <c r="F18" s="70">
        <f>IFERROR(s_DL/(up_RadSpec!$H18*s_IFBT_res_adj*s_CF_beet),".")</f>
        <v>6.6115702479338848E-4</v>
      </c>
      <c r="G18" s="70">
        <f>IFERROR(s_DL/(up_RadSpec!$H18*s_IFBE_res_adj*s_CF_berries),".")</f>
        <v>6.6115702479338848E-4</v>
      </c>
      <c r="H18" s="70">
        <f>IFERROR(s_DL/(up_RadSpec!$H18*s_IFBR_res_adj*s_CF_broccoli),".")</f>
        <v>6.6115702479338848E-4</v>
      </c>
      <c r="I18" s="70">
        <f>IFERROR(s_DL/(up_RadSpec!$H18*s_IFCB_res_adj*s_CF_cabbage),".")</f>
        <v>6.6115702479338848E-4</v>
      </c>
      <c r="J18" s="70">
        <f>IFERROR(s_DL/(up_RadSpec!$H18*s_IFCR_res_adj*s_CF_carrot),".")</f>
        <v>6.6115702479338848E-4</v>
      </c>
      <c r="K18" s="70">
        <f>IFERROR(s_DL/(up_RadSpec!$H18*s_IFCI_res_adj*s_CF_citrus),".")</f>
        <v>6.6115702479338848E-4</v>
      </c>
      <c r="L18" s="70">
        <f>IFERROR(s_DL/(up_RadSpec!$H18*s_IFCO_res_adj*s_CF_corn),".")</f>
        <v>6.6115702479338848E-4</v>
      </c>
      <c r="M18" s="70">
        <f>IFERROR(s_DL/(up_RadSpec!$H18*s_IFCU_res_adj*s_CF_cucumber),".")</f>
        <v>6.6115702479338848E-4</v>
      </c>
      <c r="N18" s="70">
        <f>IFERROR(s_DL/(up_RadSpec!$H18*s_IFLE_res_adj*s_CF_lettuce),".")</f>
        <v>6.6115702479338848E-4</v>
      </c>
      <c r="O18" s="70">
        <f>IFERROR(s_DL/(up_RadSpec!$H18*s_IFLI_res_adj*s_CF_lima_bean),".")</f>
        <v>6.6115702479338848E-4</v>
      </c>
      <c r="P18" s="70">
        <f>IFERROR(s_DL/(up_RadSpec!$H18*s_IFOK_res_adj*s_CF_okra),".")</f>
        <v>6.6115702479338848E-4</v>
      </c>
      <c r="Q18" s="70">
        <f>IFERROR(s_DL/(up_RadSpec!$H18*s_IFON_res_adj*s_CF_onion),".")</f>
        <v>6.6115702479338848E-4</v>
      </c>
      <c r="R18" s="70">
        <f>IFERROR(s_DL/(up_RadSpec!$H18*s_IFPC_res_adj*s_CF_peach),".")</f>
        <v>6.6115702479338848E-4</v>
      </c>
      <c r="S18" s="70">
        <f>IFERROR(s_DL/(up_RadSpec!$H18*s_IFPR_res_adj*s_CF_pear),".")</f>
        <v>6.6115702479338848E-4</v>
      </c>
      <c r="T18" s="70">
        <f>IFERROR(s_DL/(up_RadSpec!$H18*s_IFPE_res_adj*s_CF_peas),".")</f>
        <v>6.6115702479338848E-4</v>
      </c>
      <c r="U18" s="70">
        <f>IFERROR(s_DL/(up_RadSpec!$H18*s_IFPP_res_adj*s_CF_peppers),".")</f>
        <v>6.6115702479338848E-4</v>
      </c>
      <c r="V18" s="70">
        <f>IFERROR(s_DL/(up_RadSpec!$H18*s_IFPT_res_adj*s_CF_potato),".")</f>
        <v>6.6115702479338848E-4</v>
      </c>
      <c r="W18" s="70">
        <f>IFERROR(s_DL/(up_RadSpec!$H18*s_IFPU_res_adj*s_CF_pumpkin),".")</f>
        <v>6.6115702479338848E-4</v>
      </c>
      <c r="X18" s="70">
        <f>IFERROR(s_DL/(up_RadSpec!$H18*s_IFSN_res_adj*s_CF_snap_bean),".")</f>
        <v>6.6115702479338848E-4</v>
      </c>
      <c r="Y18" s="70">
        <f>IFERROR(s_DL/(up_RadSpec!$H18*s_IFST_res_adj*s_CF_strawberry),".")</f>
        <v>6.6115702479338848E-4</v>
      </c>
      <c r="Z18" s="70">
        <f>IFERROR(s_DL/(up_RadSpec!$H18*s_IFTO_res_adj*s_CF_tomato),".")</f>
        <v>6.6115702479338848E-4</v>
      </c>
      <c r="AA18" s="70">
        <f>IFERROR(s_DL/(up_RadSpec!$H18*s_IFRI_res_adj*s_CF_rice),".")</f>
        <v>6.6115702479338848E-4</v>
      </c>
      <c r="AB18" s="70">
        <f>IFERROR(s_DL/(up_RadSpec!$H18*s_IFCG_res_adj*s_CF_cereal),".")</f>
        <v>6.6115702479338848E-4</v>
      </c>
      <c r="AC18" s="70">
        <f t="shared" si="25"/>
        <v>1.6528925619834712E-4</v>
      </c>
      <c r="AD18" s="70">
        <f>IFERROR(s_DL/(up_RadSpec!$H18*s_IFAP_far_adj*s_CF_apple),".")</f>
        <v>6.6115702479338848E-4</v>
      </c>
      <c r="AE18" s="70">
        <f>IFERROR(s_DL/(up_RadSpec!$H18*s_IFAS_far_adj*s_CF_asparagus),".")</f>
        <v>6.6115702479338848E-4</v>
      </c>
      <c r="AF18" s="70">
        <f>IFERROR(s_DL/(up_RadSpec!$H18*s_IFBT_far_adj*s_CF_beet),".")</f>
        <v>6.6115702479338848E-4</v>
      </c>
      <c r="AG18" s="70">
        <f>IFERROR(s_DL/(up_RadSpec!$H18*s_IFBE_far_adj*s_CF_berries),".")</f>
        <v>6.6115702479338848E-4</v>
      </c>
      <c r="AH18" s="70">
        <f>IFERROR(s_DL/(up_RadSpec!$H18*s_IFBR_far_adj*s_CF_broccoli),".")</f>
        <v>6.6115702479338848E-4</v>
      </c>
      <c r="AI18" s="70">
        <f>IFERROR(s_DL/(up_RadSpec!$H18*s_IFCB_far_adj*s_CF_cabbage),".")</f>
        <v>6.6115702479338848E-4</v>
      </c>
      <c r="AJ18" s="70">
        <f>IFERROR(s_DL/(up_RadSpec!$H18*s_IFCR_far_adj*s_CF_carrot),".")</f>
        <v>6.6115702479338848E-4</v>
      </c>
      <c r="AK18" s="70">
        <f>IFERROR(s_DL/(up_RadSpec!$H18*s_IFCI_far_adj*s_CF_citrus),".")</f>
        <v>6.6115702479338848E-4</v>
      </c>
      <c r="AL18" s="70">
        <f>IFERROR(s_DL/(up_RadSpec!$H18*s_IFCO_far_adj*s_CF_corn),".")</f>
        <v>6.6115702479338848E-4</v>
      </c>
      <c r="AM18" s="70">
        <f>IFERROR(s_DL/(up_RadSpec!$H18*s_IFCU_far_adj*s_CF_cucumber),".")</f>
        <v>6.6115702479338848E-4</v>
      </c>
      <c r="AN18" s="70">
        <f>IFERROR(s_DL/(up_RadSpec!$H18*s_IFLE_far_adj*s_CF_lettuce),".")</f>
        <v>6.6115702479338848E-4</v>
      </c>
      <c r="AO18" s="70">
        <f>IFERROR(s_DL/(up_RadSpec!$H18*s_IFLI_far_adj*s_CF_lima_bean),".")</f>
        <v>6.6115702479338848E-4</v>
      </c>
      <c r="AP18" s="70">
        <f>IFERROR(s_DL/(up_RadSpec!$H18*s_IFOK_far_adj*s_CF_okra),".")</f>
        <v>6.6115702479338848E-4</v>
      </c>
      <c r="AQ18" s="70">
        <f>IFERROR(s_DL/(up_RadSpec!$H18*s_IFON_far_adj*s_CF_onion),".")</f>
        <v>6.6115702479338848E-4</v>
      </c>
      <c r="AR18" s="70">
        <f>IFERROR(s_DL/(up_RadSpec!$H18*s_IFPC_far_adj*s_CF_peach),".")</f>
        <v>6.6115702479338848E-4</v>
      </c>
      <c r="AS18" s="70">
        <f>IFERROR(s_DL/(up_RadSpec!$H18*s_IFPR_far_adj*s_CF_pear),".")</f>
        <v>6.6115702479338848E-4</v>
      </c>
      <c r="AT18" s="70">
        <f>IFERROR(s_DL/(up_RadSpec!$H18*s_IFPE_far_adj*s_CF_peas),".")</f>
        <v>6.6115702479338848E-4</v>
      </c>
      <c r="AU18" s="70">
        <f>IFERROR(s_DL/(up_RadSpec!$H18*s_IFPP_far_adj*s_CF_peppers),".")</f>
        <v>6.6115702479338848E-4</v>
      </c>
      <c r="AV18" s="70">
        <f>IFERROR(s_DL/(up_RadSpec!$H18*s_IFPT_far_adj*s_CF_potato),".")</f>
        <v>6.6115702479338848E-4</v>
      </c>
      <c r="AW18" s="70">
        <f>IFERROR(s_DL/(up_RadSpec!$H18*s_IFPU_far_adj*s_CF_pumpkin),".")</f>
        <v>6.6115702479338848E-4</v>
      </c>
      <c r="AX18" s="70">
        <f>IFERROR(s_DL/(up_RadSpec!$H18*s_IFSN_far_adj*s_CF_snap_bean),".")</f>
        <v>6.6115702479338848E-4</v>
      </c>
      <c r="AY18" s="70">
        <f>IFERROR(s_DL/(up_RadSpec!$H18*s_IFST_far_adj*s_CF_strawberry),".")</f>
        <v>6.6115702479338848E-4</v>
      </c>
      <c r="AZ18" s="70">
        <f>IFERROR(s_DL/(up_RadSpec!$H18*s_IFTO_far_adj*s_CF_tomato),".")</f>
        <v>6.6115702479338848E-4</v>
      </c>
      <c r="BA18" s="70">
        <f>IFERROR(s_DL/(up_RadSpec!$H18*s_IFRI_far_adj*s_CF_rice),".")</f>
        <v>6.6115702479338848E-4</v>
      </c>
      <c r="BB18" s="70">
        <f>IFERROR(s_DL/(up_RadSpec!$H18*s_IFCG_far_adj*s_CF_cereal),".")</f>
        <v>6.6115702479338848E-4</v>
      </c>
      <c r="BC18" s="87">
        <f t="shared" si="26"/>
        <v>30250</v>
      </c>
      <c r="BD18" s="87">
        <f t="shared" si="0"/>
        <v>7562.5</v>
      </c>
      <c r="BE18" s="87">
        <f t="shared" si="1"/>
        <v>7562.5</v>
      </c>
      <c r="BF18" s="87">
        <f t="shared" si="2"/>
        <v>7562.5</v>
      </c>
      <c r="BG18" s="87">
        <f t="shared" si="3"/>
        <v>7562.5</v>
      </c>
      <c r="BH18" s="87">
        <f t="shared" si="4"/>
        <v>7562.5</v>
      </c>
      <c r="BI18" s="87">
        <f t="shared" si="5"/>
        <v>7562.5</v>
      </c>
      <c r="BJ18" s="87">
        <f t="shared" si="6"/>
        <v>7562.5</v>
      </c>
      <c r="BK18" s="87">
        <f t="shared" si="7"/>
        <v>7562.5</v>
      </c>
      <c r="BL18" s="87">
        <f t="shared" si="8"/>
        <v>7562.5</v>
      </c>
      <c r="BM18" s="87">
        <f t="shared" si="9"/>
        <v>7562.5</v>
      </c>
      <c r="BN18" s="87">
        <f t="shared" si="10"/>
        <v>7562.5</v>
      </c>
      <c r="BO18" s="87">
        <f t="shared" si="11"/>
        <v>7562.5</v>
      </c>
      <c r="BP18" s="87">
        <f t="shared" si="12"/>
        <v>7562.5</v>
      </c>
      <c r="BQ18" s="87">
        <f t="shared" si="13"/>
        <v>7562.5</v>
      </c>
      <c r="BR18" s="87">
        <f t="shared" si="14"/>
        <v>7562.5</v>
      </c>
      <c r="BS18" s="87">
        <f t="shared" si="15"/>
        <v>7562.5</v>
      </c>
      <c r="BT18" s="87">
        <f t="shared" si="27"/>
        <v>7562.5</v>
      </c>
      <c r="BU18" s="87">
        <f t="shared" si="16"/>
        <v>7562.5</v>
      </c>
      <c r="BV18" s="87">
        <f t="shared" si="17"/>
        <v>7562.5</v>
      </c>
      <c r="BW18" s="87">
        <f t="shared" si="18"/>
        <v>7562.5</v>
      </c>
      <c r="BX18" s="87">
        <f t="shared" si="19"/>
        <v>7562.5</v>
      </c>
      <c r="BY18" s="87">
        <f t="shared" si="20"/>
        <v>7562.5</v>
      </c>
      <c r="BZ18" s="87">
        <f t="shared" si="21"/>
        <v>7562.5</v>
      </c>
      <c r="CA18" s="87">
        <f t="shared" si="22"/>
        <v>7562.5</v>
      </c>
      <c r="CB18" s="87">
        <f t="shared" si="23"/>
        <v>7562.5</v>
      </c>
    </row>
    <row r="19" spans="1:80" x14ac:dyDescent="0.25">
      <c r="A19" s="86" t="s">
        <v>17</v>
      </c>
      <c r="B19" s="84" t="s">
        <v>1057</v>
      </c>
      <c r="C19" s="70">
        <f t="shared" si="24"/>
        <v>1.6528925619834712E-4</v>
      </c>
      <c r="D19" s="70">
        <f>IFERROR(s_DL/(up_RadSpec!$H19*s_IFAP_res_adj*s_CF_apple),".")</f>
        <v>6.6115702479338848E-4</v>
      </c>
      <c r="E19" s="70">
        <f>IFERROR(s_DL/(up_RadSpec!$H19*s_IFAS_res_adj*s_CF_asparagus),".")</f>
        <v>6.6115702479338848E-4</v>
      </c>
      <c r="F19" s="70">
        <f>IFERROR(s_DL/(up_RadSpec!$H19*s_IFBT_res_adj*s_CF_beet),".")</f>
        <v>6.6115702479338848E-4</v>
      </c>
      <c r="G19" s="70">
        <f>IFERROR(s_DL/(up_RadSpec!$H19*s_IFBE_res_adj*s_CF_berries),".")</f>
        <v>6.6115702479338848E-4</v>
      </c>
      <c r="H19" s="70">
        <f>IFERROR(s_DL/(up_RadSpec!$H19*s_IFBR_res_adj*s_CF_broccoli),".")</f>
        <v>6.6115702479338848E-4</v>
      </c>
      <c r="I19" s="70">
        <f>IFERROR(s_DL/(up_RadSpec!$H19*s_IFCB_res_adj*s_CF_cabbage),".")</f>
        <v>6.6115702479338848E-4</v>
      </c>
      <c r="J19" s="70">
        <f>IFERROR(s_DL/(up_RadSpec!$H19*s_IFCR_res_adj*s_CF_carrot),".")</f>
        <v>6.6115702479338848E-4</v>
      </c>
      <c r="K19" s="70">
        <f>IFERROR(s_DL/(up_RadSpec!$H19*s_IFCI_res_adj*s_CF_citrus),".")</f>
        <v>6.6115702479338848E-4</v>
      </c>
      <c r="L19" s="70">
        <f>IFERROR(s_DL/(up_RadSpec!$H19*s_IFCO_res_adj*s_CF_corn),".")</f>
        <v>6.6115702479338848E-4</v>
      </c>
      <c r="M19" s="70">
        <f>IFERROR(s_DL/(up_RadSpec!$H19*s_IFCU_res_adj*s_CF_cucumber),".")</f>
        <v>6.6115702479338848E-4</v>
      </c>
      <c r="N19" s="70">
        <f>IFERROR(s_DL/(up_RadSpec!$H19*s_IFLE_res_adj*s_CF_lettuce),".")</f>
        <v>6.6115702479338848E-4</v>
      </c>
      <c r="O19" s="70">
        <f>IFERROR(s_DL/(up_RadSpec!$H19*s_IFLI_res_adj*s_CF_lima_bean),".")</f>
        <v>6.6115702479338848E-4</v>
      </c>
      <c r="P19" s="70">
        <f>IFERROR(s_DL/(up_RadSpec!$H19*s_IFOK_res_adj*s_CF_okra),".")</f>
        <v>6.6115702479338848E-4</v>
      </c>
      <c r="Q19" s="70">
        <f>IFERROR(s_DL/(up_RadSpec!$H19*s_IFON_res_adj*s_CF_onion),".")</f>
        <v>6.6115702479338848E-4</v>
      </c>
      <c r="R19" s="70">
        <f>IFERROR(s_DL/(up_RadSpec!$H19*s_IFPC_res_adj*s_CF_peach),".")</f>
        <v>6.6115702479338848E-4</v>
      </c>
      <c r="S19" s="70">
        <f>IFERROR(s_DL/(up_RadSpec!$H19*s_IFPR_res_adj*s_CF_pear),".")</f>
        <v>6.6115702479338848E-4</v>
      </c>
      <c r="T19" s="70">
        <f>IFERROR(s_DL/(up_RadSpec!$H19*s_IFPE_res_adj*s_CF_peas),".")</f>
        <v>6.6115702479338848E-4</v>
      </c>
      <c r="U19" s="70">
        <f>IFERROR(s_DL/(up_RadSpec!$H19*s_IFPP_res_adj*s_CF_peppers),".")</f>
        <v>6.6115702479338848E-4</v>
      </c>
      <c r="V19" s="70">
        <f>IFERROR(s_DL/(up_RadSpec!$H19*s_IFPT_res_adj*s_CF_potato),".")</f>
        <v>6.6115702479338848E-4</v>
      </c>
      <c r="W19" s="70">
        <f>IFERROR(s_DL/(up_RadSpec!$H19*s_IFPU_res_adj*s_CF_pumpkin),".")</f>
        <v>6.6115702479338848E-4</v>
      </c>
      <c r="X19" s="70">
        <f>IFERROR(s_DL/(up_RadSpec!$H19*s_IFSN_res_adj*s_CF_snap_bean),".")</f>
        <v>6.6115702479338848E-4</v>
      </c>
      <c r="Y19" s="70">
        <f>IFERROR(s_DL/(up_RadSpec!$H19*s_IFST_res_adj*s_CF_strawberry),".")</f>
        <v>6.6115702479338848E-4</v>
      </c>
      <c r="Z19" s="70">
        <f>IFERROR(s_DL/(up_RadSpec!$H19*s_IFTO_res_adj*s_CF_tomato),".")</f>
        <v>6.6115702479338848E-4</v>
      </c>
      <c r="AA19" s="70">
        <f>IFERROR(s_DL/(up_RadSpec!$H19*s_IFRI_res_adj*s_CF_rice),".")</f>
        <v>6.6115702479338848E-4</v>
      </c>
      <c r="AB19" s="70">
        <f>IFERROR(s_DL/(up_RadSpec!$H19*s_IFCG_res_adj*s_CF_cereal),".")</f>
        <v>6.6115702479338848E-4</v>
      </c>
      <c r="AC19" s="70">
        <f t="shared" si="25"/>
        <v>1.6528925619834712E-4</v>
      </c>
      <c r="AD19" s="70">
        <f>IFERROR(s_DL/(up_RadSpec!$H19*s_IFAP_far_adj*s_CF_apple),".")</f>
        <v>6.6115702479338848E-4</v>
      </c>
      <c r="AE19" s="70">
        <f>IFERROR(s_DL/(up_RadSpec!$H19*s_IFAS_far_adj*s_CF_asparagus),".")</f>
        <v>6.6115702479338848E-4</v>
      </c>
      <c r="AF19" s="70">
        <f>IFERROR(s_DL/(up_RadSpec!$H19*s_IFBT_far_adj*s_CF_beet),".")</f>
        <v>6.6115702479338848E-4</v>
      </c>
      <c r="AG19" s="70">
        <f>IFERROR(s_DL/(up_RadSpec!$H19*s_IFBE_far_adj*s_CF_berries),".")</f>
        <v>6.6115702479338848E-4</v>
      </c>
      <c r="AH19" s="70">
        <f>IFERROR(s_DL/(up_RadSpec!$H19*s_IFBR_far_adj*s_CF_broccoli),".")</f>
        <v>6.6115702479338848E-4</v>
      </c>
      <c r="AI19" s="70">
        <f>IFERROR(s_DL/(up_RadSpec!$H19*s_IFCB_far_adj*s_CF_cabbage),".")</f>
        <v>6.6115702479338848E-4</v>
      </c>
      <c r="AJ19" s="70">
        <f>IFERROR(s_DL/(up_RadSpec!$H19*s_IFCR_far_adj*s_CF_carrot),".")</f>
        <v>6.6115702479338848E-4</v>
      </c>
      <c r="AK19" s="70">
        <f>IFERROR(s_DL/(up_RadSpec!$H19*s_IFCI_far_adj*s_CF_citrus),".")</f>
        <v>6.6115702479338848E-4</v>
      </c>
      <c r="AL19" s="70">
        <f>IFERROR(s_DL/(up_RadSpec!$H19*s_IFCO_far_adj*s_CF_corn),".")</f>
        <v>6.6115702479338848E-4</v>
      </c>
      <c r="AM19" s="70">
        <f>IFERROR(s_DL/(up_RadSpec!$H19*s_IFCU_far_adj*s_CF_cucumber),".")</f>
        <v>6.6115702479338848E-4</v>
      </c>
      <c r="AN19" s="70">
        <f>IFERROR(s_DL/(up_RadSpec!$H19*s_IFLE_far_adj*s_CF_lettuce),".")</f>
        <v>6.6115702479338848E-4</v>
      </c>
      <c r="AO19" s="70">
        <f>IFERROR(s_DL/(up_RadSpec!$H19*s_IFLI_far_adj*s_CF_lima_bean),".")</f>
        <v>6.6115702479338848E-4</v>
      </c>
      <c r="AP19" s="70">
        <f>IFERROR(s_DL/(up_RadSpec!$H19*s_IFOK_far_adj*s_CF_okra),".")</f>
        <v>6.6115702479338848E-4</v>
      </c>
      <c r="AQ19" s="70">
        <f>IFERROR(s_DL/(up_RadSpec!$H19*s_IFON_far_adj*s_CF_onion),".")</f>
        <v>6.6115702479338848E-4</v>
      </c>
      <c r="AR19" s="70">
        <f>IFERROR(s_DL/(up_RadSpec!$H19*s_IFPC_far_adj*s_CF_peach),".")</f>
        <v>6.6115702479338848E-4</v>
      </c>
      <c r="AS19" s="70">
        <f>IFERROR(s_DL/(up_RadSpec!$H19*s_IFPR_far_adj*s_CF_pear),".")</f>
        <v>6.6115702479338848E-4</v>
      </c>
      <c r="AT19" s="70">
        <f>IFERROR(s_DL/(up_RadSpec!$H19*s_IFPE_far_adj*s_CF_peas),".")</f>
        <v>6.6115702479338848E-4</v>
      </c>
      <c r="AU19" s="70">
        <f>IFERROR(s_DL/(up_RadSpec!$H19*s_IFPP_far_adj*s_CF_peppers),".")</f>
        <v>6.6115702479338848E-4</v>
      </c>
      <c r="AV19" s="70">
        <f>IFERROR(s_DL/(up_RadSpec!$H19*s_IFPT_far_adj*s_CF_potato),".")</f>
        <v>6.6115702479338848E-4</v>
      </c>
      <c r="AW19" s="70">
        <f>IFERROR(s_DL/(up_RadSpec!$H19*s_IFPU_far_adj*s_CF_pumpkin),".")</f>
        <v>6.6115702479338848E-4</v>
      </c>
      <c r="AX19" s="70">
        <f>IFERROR(s_DL/(up_RadSpec!$H19*s_IFSN_far_adj*s_CF_snap_bean),".")</f>
        <v>6.6115702479338848E-4</v>
      </c>
      <c r="AY19" s="70">
        <f>IFERROR(s_DL/(up_RadSpec!$H19*s_IFST_far_adj*s_CF_strawberry),".")</f>
        <v>6.6115702479338848E-4</v>
      </c>
      <c r="AZ19" s="70">
        <f>IFERROR(s_DL/(up_RadSpec!$H19*s_IFTO_far_adj*s_CF_tomato),".")</f>
        <v>6.6115702479338848E-4</v>
      </c>
      <c r="BA19" s="70">
        <f>IFERROR(s_DL/(up_RadSpec!$H19*s_IFRI_far_adj*s_CF_rice),".")</f>
        <v>6.6115702479338848E-4</v>
      </c>
      <c r="BB19" s="70">
        <f>IFERROR(s_DL/(up_RadSpec!$H19*s_IFCG_far_adj*s_CF_cereal),".")</f>
        <v>6.6115702479338848E-4</v>
      </c>
      <c r="BC19" s="87">
        <f t="shared" si="26"/>
        <v>30250</v>
      </c>
      <c r="BD19" s="87">
        <f t="shared" si="0"/>
        <v>7562.5</v>
      </c>
      <c r="BE19" s="87">
        <f t="shared" si="1"/>
        <v>7562.5</v>
      </c>
      <c r="BF19" s="87">
        <f t="shared" si="2"/>
        <v>7562.5</v>
      </c>
      <c r="BG19" s="87">
        <f t="shared" si="3"/>
        <v>7562.5</v>
      </c>
      <c r="BH19" s="87">
        <f t="shared" si="4"/>
        <v>7562.5</v>
      </c>
      <c r="BI19" s="87">
        <f t="shared" si="5"/>
        <v>7562.5</v>
      </c>
      <c r="BJ19" s="87">
        <f t="shared" si="6"/>
        <v>7562.5</v>
      </c>
      <c r="BK19" s="87">
        <f t="shared" si="7"/>
        <v>7562.5</v>
      </c>
      <c r="BL19" s="87">
        <f t="shared" si="8"/>
        <v>7562.5</v>
      </c>
      <c r="BM19" s="87">
        <f t="shared" si="9"/>
        <v>7562.5</v>
      </c>
      <c r="BN19" s="87">
        <f t="shared" si="10"/>
        <v>7562.5</v>
      </c>
      <c r="BO19" s="87">
        <f t="shared" si="11"/>
        <v>7562.5</v>
      </c>
      <c r="BP19" s="87">
        <f t="shared" si="12"/>
        <v>7562.5</v>
      </c>
      <c r="BQ19" s="87">
        <f t="shared" si="13"/>
        <v>7562.5</v>
      </c>
      <c r="BR19" s="87">
        <f t="shared" si="14"/>
        <v>7562.5</v>
      </c>
      <c r="BS19" s="87">
        <f t="shared" si="15"/>
        <v>7562.5</v>
      </c>
      <c r="BT19" s="87">
        <f t="shared" si="27"/>
        <v>7562.5</v>
      </c>
      <c r="BU19" s="87">
        <f t="shared" si="16"/>
        <v>7562.5</v>
      </c>
      <c r="BV19" s="87">
        <f t="shared" si="17"/>
        <v>7562.5</v>
      </c>
      <c r="BW19" s="87">
        <f t="shared" si="18"/>
        <v>7562.5</v>
      </c>
      <c r="BX19" s="87">
        <f t="shared" si="19"/>
        <v>7562.5</v>
      </c>
      <c r="BY19" s="87">
        <f t="shared" si="20"/>
        <v>7562.5</v>
      </c>
      <c r="BZ19" s="87">
        <f t="shared" si="21"/>
        <v>7562.5</v>
      </c>
      <c r="CA19" s="87">
        <f t="shared" si="22"/>
        <v>7562.5</v>
      </c>
      <c r="CB19" s="87">
        <f t="shared" si="23"/>
        <v>7562.5</v>
      </c>
    </row>
    <row r="20" spans="1:80" x14ac:dyDescent="0.25">
      <c r="A20" s="86" t="s">
        <v>18</v>
      </c>
      <c r="B20" s="84" t="s">
        <v>1057</v>
      </c>
      <c r="C20" s="70">
        <f t="shared" si="24"/>
        <v>1.6528925619834712E-4</v>
      </c>
      <c r="D20" s="70">
        <f>IFERROR(s_DL/(up_RadSpec!$H20*s_IFAP_res_adj*s_CF_apple),".")</f>
        <v>6.6115702479338848E-4</v>
      </c>
      <c r="E20" s="70">
        <f>IFERROR(s_DL/(up_RadSpec!$H20*s_IFAS_res_adj*s_CF_asparagus),".")</f>
        <v>6.6115702479338848E-4</v>
      </c>
      <c r="F20" s="70">
        <f>IFERROR(s_DL/(up_RadSpec!$H20*s_IFBT_res_adj*s_CF_beet),".")</f>
        <v>6.6115702479338848E-4</v>
      </c>
      <c r="G20" s="70">
        <f>IFERROR(s_DL/(up_RadSpec!$H20*s_IFBE_res_adj*s_CF_berries),".")</f>
        <v>6.6115702479338848E-4</v>
      </c>
      <c r="H20" s="70">
        <f>IFERROR(s_DL/(up_RadSpec!$H20*s_IFBR_res_adj*s_CF_broccoli),".")</f>
        <v>6.6115702479338848E-4</v>
      </c>
      <c r="I20" s="70">
        <f>IFERROR(s_DL/(up_RadSpec!$H20*s_IFCB_res_adj*s_CF_cabbage),".")</f>
        <v>6.6115702479338848E-4</v>
      </c>
      <c r="J20" s="70">
        <f>IFERROR(s_DL/(up_RadSpec!$H20*s_IFCR_res_adj*s_CF_carrot),".")</f>
        <v>6.6115702479338848E-4</v>
      </c>
      <c r="K20" s="70">
        <f>IFERROR(s_DL/(up_RadSpec!$H20*s_IFCI_res_adj*s_CF_citrus),".")</f>
        <v>6.6115702479338848E-4</v>
      </c>
      <c r="L20" s="70">
        <f>IFERROR(s_DL/(up_RadSpec!$H20*s_IFCO_res_adj*s_CF_corn),".")</f>
        <v>6.6115702479338848E-4</v>
      </c>
      <c r="M20" s="70">
        <f>IFERROR(s_DL/(up_RadSpec!$H20*s_IFCU_res_adj*s_CF_cucumber),".")</f>
        <v>6.6115702479338848E-4</v>
      </c>
      <c r="N20" s="70">
        <f>IFERROR(s_DL/(up_RadSpec!$H20*s_IFLE_res_adj*s_CF_lettuce),".")</f>
        <v>6.6115702479338848E-4</v>
      </c>
      <c r="O20" s="70">
        <f>IFERROR(s_DL/(up_RadSpec!$H20*s_IFLI_res_adj*s_CF_lima_bean),".")</f>
        <v>6.6115702479338848E-4</v>
      </c>
      <c r="P20" s="70">
        <f>IFERROR(s_DL/(up_RadSpec!$H20*s_IFOK_res_adj*s_CF_okra),".")</f>
        <v>6.6115702479338848E-4</v>
      </c>
      <c r="Q20" s="70">
        <f>IFERROR(s_DL/(up_RadSpec!$H20*s_IFON_res_adj*s_CF_onion),".")</f>
        <v>6.6115702479338848E-4</v>
      </c>
      <c r="R20" s="70">
        <f>IFERROR(s_DL/(up_RadSpec!$H20*s_IFPC_res_adj*s_CF_peach),".")</f>
        <v>6.6115702479338848E-4</v>
      </c>
      <c r="S20" s="70">
        <f>IFERROR(s_DL/(up_RadSpec!$H20*s_IFPR_res_adj*s_CF_pear),".")</f>
        <v>6.6115702479338848E-4</v>
      </c>
      <c r="T20" s="70">
        <f>IFERROR(s_DL/(up_RadSpec!$H20*s_IFPE_res_adj*s_CF_peas),".")</f>
        <v>6.6115702479338848E-4</v>
      </c>
      <c r="U20" s="70">
        <f>IFERROR(s_DL/(up_RadSpec!$H20*s_IFPP_res_adj*s_CF_peppers),".")</f>
        <v>6.6115702479338848E-4</v>
      </c>
      <c r="V20" s="70">
        <f>IFERROR(s_DL/(up_RadSpec!$H20*s_IFPT_res_adj*s_CF_potato),".")</f>
        <v>6.6115702479338848E-4</v>
      </c>
      <c r="W20" s="70">
        <f>IFERROR(s_DL/(up_RadSpec!$H20*s_IFPU_res_adj*s_CF_pumpkin),".")</f>
        <v>6.6115702479338848E-4</v>
      </c>
      <c r="X20" s="70">
        <f>IFERROR(s_DL/(up_RadSpec!$H20*s_IFSN_res_adj*s_CF_snap_bean),".")</f>
        <v>6.6115702479338848E-4</v>
      </c>
      <c r="Y20" s="70">
        <f>IFERROR(s_DL/(up_RadSpec!$H20*s_IFST_res_adj*s_CF_strawberry),".")</f>
        <v>6.6115702479338848E-4</v>
      </c>
      <c r="Z20" s="70">
        <f>IFERROR(s_DL/(up_RadSpec!$H20*s_IFTO_res_adj*s_CF_tomato),".")</f>
        <v>6.6115702479338848E-4</v>
      </c>
      <c r="AA20" s="70">
        <f>IFERROR(s_DL/(up_RadSpec!$H20*s_IFRI_res_adj*s_CF_rice),".")</f>
        <v>6.6115702479338848E-4</v>
      </c>
      <c r="AB20" s="70">
        <f>IFERROR(s_DL/(up_RadSpec!$H20*s_IFCG_res_adj*s_CF_cereal),".")</f>
        <v>6.6115702479338848E-4</v>
      </c>
      <c r="AC20" s="70">
        <f t="shared" si="25"/>
        <v>1.6528925619834712E-4</v>
      </c>
      <c r="AD20" s="70">
        <f>IFERROR(s_DL/(up_RadSpec!$H20*s_IFAP_far_adj*s_CF_apple),".")</f>
        <v>6.6115702479338848E-4</v>
      </c>
      <c r="AE20" s="70">
        <f>IFERROR(s_DL/(up_RadSpec!$H20*s_IFAS_far_adj*s_CF_asparagus),".")</f>
        <v>6.6115702479338848E-4</v>
      </c>
      <c r="AF20" s="70">
        <f>IFERROR(s_DL/(up_RadSpec!$H20*s_IFBT_far_adj*s_CF_beet),".")</f>
        <v>6.6115702479338848E-4</v>
      </c>
      <c r="AG20" s="70">
        <f>IFERROR(s_DL/(up_RadSpec!$H20*s_IFBE_far_adj*s_CF_berries),".")</f>
        <v>6.6115702479338848E-4</v>
      </c>
      <c r="AH20" s="70">
        <f>IFERROR(s_DL/(up_RadSpec!$H20*s_IFBR_far_adj*s_CF_broccoli),".")</f>
        <v>6.6115702479338848E-4</v>
      </c>
      <c r="AI20" s="70">
        <f>IFERROR(s_DL/(up_RadSpec!$H20*s_IFCB_far_adj*s_CF_cabbage),".")</f>
        <v>6.6115702479338848E-4</v>
      </c>
      <c r="AJ20" s="70">
        <f>IFERROR(s_DL/(up_RadSpec!$H20*s_IFCR_far_adj*s_CF_carrot),".")</f>
        <v>6.6115702479338848E-4</v>
      </c>
      <c r="AK20" s="70">
        <f>IFERROR(s_DL/(up_RadSpec!$H20*s_IFCI_far_adj*s_CF_citrus),".")</f>
        <v>6.6115702479338848E-4</v>
      </c>
      <c r="AL20" s="70">
        <f>IFERROR(s_DL/(up_RadSpec!$H20*s_IFCO_far_adj*s_CF_corn),".")</f>
        <v>6.6115702479338848E-4</v>
      </c>
      <c r="AM20" s="70">
        <f>IFERROR(s_DL/(up_RadSpec!$H20*s_IFCU_far_adj*s_CF_cucumber),".")</f>
        <v>6.6115702479338848E-4</v>
      </c>
      <c r="AN20" s="70">
        <f>IFERROR(s_DL/(up_RadSpec!$H20*s_IFLE_far_adj*s_CF_lettuce),".")</f>
        <v>6.6115702479338848E-4</v>
      </c>
      <c r="AO20" s="70">
        <f>IFERROR(s_DL/(up_RadSpec!$H20*s_IFLI_far_adj*s_CF_lima_bean),".")</f>
        <v>6.6115702479338848E-4</v>
      </c>
      <c r="AP20" s="70">
        <f>IFERROR(s_DL/(up_RadSpec!$H20*s_IFOK_far_adj*s_CF_okra),".")</f>
        <v>6.6115702479338848E-4</v>
      </c>
      <c r="AQ20" s="70">
        <f>IFERROR(s_DL/(up_RadSpec!$H20*s_IFON_far_adj*s_CF_onion),".")</f>
        <v>6.6115702479338848E-4</v>
      </c>
      <c r="AR20" s="70">
        <f>IFERROR(s_DL/(up_RadSpec!$H20*s_IFPC_far_adj*s_CF_peach),".")</f>
        <v>6.6115702479338848E-4</v>
      </c>
      <c r="AS20" s="70">
        <f>IFERROR(s_DL/(up_RadSpec!$H20*s_IFPR_far_adj*s_CF_pear),".")</f>
        <v>6.6115702479338848E-4</v>
      </c>
      <c r="AT20" s="70">
        <f>IFERROR(s_DL/(up_RadSpec!$H20*s_IFPE_far_adj*s_CF_peas),".")</f>
        <v>6.6115702479338848E-4</v>
      </c>
      <c r="AU20" s="70">
        <f>IFERROR(s_DL/(up_RadSpec!$H20*s_IFPP_far_adj*s_CF_peppers),".")</f>
        <v>6.6115702479338848E-4</v>
      </c>
      <c r="AV20" s="70">
        <f>IFERROR(s_DL/(up_RadSpec!$H20*s_IFPT_far_adj*s_CF_potato),".")</f>
        <v>6.6115702479338848E-4</v>
      </c>
      <c r="AW20" s="70">
        <f>IFERROR(s_DL/(up_RadSpec!$H20*s_IFPU_far_adj*s_CF_pumpkin),".")</f>
        <v>6.6115702479338848E-4</v>
      </c>
      <c r="AX20" s="70">
        <f>IFERROR(s_DL/(up_RadSpec!$H20*s_IFSN_far_adj*s_CF_snap_bean),".")</f>
        <v>6.6115702479338848E-4</v>
      </c>
      <c r="AY20" s="70">
        <f>IFERROR(s_DL/(up_RadSpec!$H20*s_IFST_far_adj*s_CF_strawberry),".")</f>
        <v>6.6115702479338848E-4</v>
      </c>
      <c r="AZ20" s="70">
        <f>IFERROR(s_DL/(up_RadSpec!$H20*s_IFTO_far_adj*s_CF_tomato),".")</f>
        <v>6.6115702479338848E-4</v>
      </c>
      <c r="BA20" s="70">
        <f>IFERROR(s_DL/(up_RadSpec!$H20*s_IFRI_far_adj*s_CF_rice),".")</f>
        <v>6.6115702479338848E-4</v>
      </c>
      <c r="BB20" s="70">
        <f>IFERROR(s_DL/(up_RadSpec!$H20*s_IFCG_far_adj*s_CF_cereal),".")</f>
        <v>6.6115702479338848E-4</v>
      </c>
      <c r="BC20" s="87">
        <f t="shared" si="26"/>
        <v>30250</v>
      </c>
      <c r="BD20" s="87">
        <f t="shared" si="0"/>
        <v>7562.5</v>
      </c>
      <c r="BE20" s="87">
        <f t="shared" si="1"/>
        <v>7562.5</v>
      </c>
      <c r="BF20" s="87">
        <f t="shared" si="2"/>
        <v>7562.5</v>
      </c>
      <c r="BG20" s="87">
        <f t="shared" si="3"/>
        <v>7562.5</v>
      </c>
      <c r="BH20" s="87">
        <f t="shared" si="4"/>
        <v>7562.5</v>
      </c>
      <c r="BI20" s="87">
        <f t="shared" si="5"/>
        <v>7562.5</v>
      </c>
      <c r="BJ20" s="87">
        <f t="shared" si="6"/>
        <v>7562.5</v>
      </c>
      <c r="BK20" s="87">
        <f t="shared" si="7"/>
        <v>7562.5</v>
      </c>
      <c r="BL20" s="87">
        <f t="shared" si="8"/>
        <v>7562.5</v>
      </c>
      <c r="BM20" s="87">
        <f t="shared" si="9"/>
        <v>7562.5</v>
      </c>
      <c r="BN20" s="87">
        <f t="shared" si="10"/>
        <v>7562.5</v>
      </c>
      <c r="BO20" s="87">
        <f t="shared" si="11"/>
        <v>7562.5</v>
      </c>
      <c r="BP20" s="87">
        <f t="shared" si="12"/>
        <v>7562.5</v>
      </c>
      <c r="BQ20" s="87">
        <f t="shared" si="13"/>
        <v>7562.5</v>
      </c>
      <c r="BR20" s="87">
        <f t="shared" si="14"/>
        <v>7562.5</v>
      </c>
      <c r="BS20" s="87">
        <f t="shared" si="15"/>
        <v>7562.5</v>
      </c>
      <c r="BT20" s="87">
        <f t="shared" si="27"/>
        <v>7562.5</v>
      </c>
      <c r="BU20" s="87">
        <f t="shared" si="16"/>
        <v>7562.5</v>
      </c>
      <c r="BV20" s="87">
        <f t="shared" si="17"/>
        <v>7562.5</v>
      </c>
      <c r="BW20" s="87">
        <f t="shared" si="18"/>
        <v>7562.5</v>
      </c>
      <c r="BX20" s="87">
        <f t="shared" si="19"/>
        <v>7562.5</v>
      </c>
      <c r="BY20" s="87">
        <f t="shared" si="20"/>
        <v>7562.5</v>
      </c>
      <c r="BZ20" s="87">
        <f t="shared" si="21"/>
        <v>7562.5</v>
      </c>
      <c r="CA20" s="87">
        <f t="shared" si="22"/>
        <v>7562.5</v>
      </c>
      <c r="CB20" s="87">
        <f t="shared" si="23"/>
        <v>7562.5</v>
      </c>
    </row>
    <row r="21" spans="1:80" x14ac:dyDescent="0.25">
      <c r="A21" s="86" t="s">
        <v>19</v>
      </c>
      <c r="B21" s="84" t="s">
        <v>1057</v>
      </c>
      <c r="C21" s="70">
        <f t="shared" si="24"/>
        <v>1.6528925619834712E-4</v>
      </c>
      <c r="D21" s="70">
        <f>IFERROR(s_DL/(up_RadSpec!$H21*s_IFAP_res_adj*s_CF_apple),".")</f>
        <v>6.6115702479338848E-4</v>
      </c>
      <c r="E21" s="70">
        <f>IFERROR(s_DL/(up_RadSpec!$H21*s_IFAS_res_adj*s_CF_asparagus),".")</f>
        <v>6.6115702479338848E-4</v>
      </c>
      <c r="F21" s="70">
        <f>IFERROR(s_DL/(up_RadSpec!$H21*s_IFBT_res_adj*s_CF_beet),".")</f>
        <v>6.6115702479338848E-4</v>
      </c>
      <c r="G21" s="70">
        <f>IFERROR(s_DL/(up_RadSpec!$H21*s_IFBE_res_adj*s_CF_berries),".")</f>
        <v>6.6115702479338848E-4</v>
      </c>
      <c r="H21" s="70">
        <f>IFERROR(s_DL/(up_RadSpec!$H21*s_IFBR_res_adj*s_CF_broccoli),".")</f>
        <v>6.6115702479338848E-4</v>
      </c>
      <c r="I21" s="70">
        <f>IFERROR(s_DL/(up_RadSpec!$H21*s_IFCB_res_adj*s_CF_cabbage),".")</f>
        <v>6.6115702479338848E-4</v>
      </c>
      <c r="J21" s="70">
        <f>IFERROR(s_DL/(up_RadSpec!$H21*s_IFCR_res_adj*s_CF_carrot),".")</f>
        <v>6.6115702479338848E-4</v>
      </c>
      <c r="K21" s="70">
        <f>IFERROR(s_DL/(up_RadSpec!$H21*s_IFCI_res_adj*s_CF_citrus),".")</f>
        <v>6.6115702479338848E-4</v>
      </c>
      <c r="L21" s="70">
        <f>IFERROR(s_DL/(up_RadSpec!$H21*s_IFCO_res_adj*s_CF_corn),".")</f>
        <v>6.6115702479338848E-4</v>
      </c>
      <c r="M21" s="70">
        <f>IFERROR(s_DL/(up_RadSpec!$H21*s_IFCU_res_adj*s_CF_cucumber),".")</f>
        <v>6.6115702479338848E-4</v>
      </c>
      <c r="N21" s="70">
        <f>IFERROR(s_DL/(up_RadSpec!$H21*s_IFLE_res_adj*s_CF_lettuce),".")</f>
        <v>6.6115702479338848E-4</v>
      </c>
      <c r="O21" s="70">
        <f>IFERROR(s_DL/(up_RadSpec!$H21*s_IFLI_res_adj*s_CF_lima_bean),".")</f>
        <v>6.6115702479338848E-4</v>
      </c>
      <c r="P21" s="70">
        <f>IFERROR(s_DL/(up_RadSpec!$H21*s_IFOK_res_adj*s_CF_okra),".")</f>
        <v>6.6115702479338848E-4</v>
      </c>
      <c r="Q21" s="70">
        <f>IFERROR(s_DL/(up_RadSpec!$H21*s_IFON_res_adj*s_CF_onion),".")</f>
        <v>6.6115702479338848E-4</v>
      </c>
      <c r="R21" s="70">
        <f>IFERROR(s_DL/(up_RadSpec!$H21*s_IFPC_res_adj*s_CF_peach),".")</f>
        <v>6.6115702479338848E-4</v>
      </c>
      <c r="S21" s="70">
        <f>IFERROR(s_DL/(up_RadSpec!$H21*s_IFPR_res_adj*s_CF_pear),".")</f>
        <v>6.6115702479338848E-4</v>
      </c>
      <c r="T21" s="70">
        <f>IFERROR(s_DL/(up_RadSpec!$H21*s_IFPE_res_adj*s_CF_peas),".")</f>
        <v>6.6115702479338848E-4</v>
      </c>
      <c r="U21" s="70">
        <f>IFERROR(s_DL/(up_RadSpec!$H21*s_IFPP_res_adj*s_CF_peppers),".")</f>
        <v>6.6115702479338848E-4</v>
      </c>
      <c r="V21" s="70">
        <f>IFERROR(s_DL/(up_RadSpec!$H21*s_IFPT_res_adj*s_CF_potato),".")</f>
        <v>6.6115702479338848E-4</v>
      </c>
      <c r="W21" s="70">
        <f>IFERROR(s_DL/(up_RadSpec!$H21*s_IFPU_res_adj*s_CF_pumpkin),".")</f>
        <v>6.6115702479338848E-4</v>
      </c>
      <c r="X21" s="70">
        <f>IFERROR(s_DL/(up_RadSpec!$H21*s_IFSN_res_adj*s_CF_snap_bean),".")</f>
        <v>6.6115702479338848E-4</v>
      </c>
      <c r="Y21" s="70">
        <f>IFERROR(s_DL/(up_RadSpec!$H21*s_IFST_res_adj*s_CF_strawberry),".")</f>
        <v>6.6115702479338848E-4</v>
      </c>
      <c r="Z21" s="70">
        <f>IFERROR(s_DL/(up_RadSpec!$H21*s_IFTO_res_adj*s_CF_tomato),".")</f>
        <v>6.6115702479338848E-4</v>
      </c>
      <c r="AA21" s="70">
        <f>IFERROR(s_DL/(up_RadSpec!$H21*s_IFRI_res_adj*s_CF_rice),".")</f>
        <v>6.6115702479338848E-4</v>
      </c>
      <c r="AB21" s="70">
        <f>IFERROR(s_DL/(up_RadSpec!$H21*s_IFCG_res_adj*s_CF_cereal),".")</f>
        <v>6.6115702479338848E-4</v>
      </c>
      <c r="AC21" s="70">
        <f t="shared" si="25"/>
        <v>1.6528925619834712E-4</v>
      </c>
      <c r="AD21" s="70">
        <f>IFERROR(s_DL/(up_RadSpec!$H21*s_IFAP_far_adj*s_CF_apple),".")</f>
        <v>6.6115702479338848E-4</v>
      </c>
      <c r="AE21" s="70">
        <f>IFERROR(s_DL/(up_RadSpec!$H21*s_IFAS_far_adj*s_CF_asparagus),".")</f>
        <v>6.6115702479338848E-4</v>
      </c>
      <c r="AF21" s="70">
        <f>IFERROR(s_DL/(up_RadSpec!$H21*s_IFBT_far_adj*s_CF_beet),".")</f>
        <v>6.6115702479338848E-4</v>
      </c>
      <c r="AG21" s="70">
        <f>IFERROR(s_DL/(up_RadSpec!$H21*s_IFBE_far_adj*s_CF_berries),".")</f>
        <v>6.6115702479338848E-4</v>
      </c>
      <c r="AH21" s="70">
        <f>IFERROR(s_DL/(up_RadSpec!$H21*s_IFBR_far_adj*s_CF_broccoli),".")</f>
        <v>6.6115702479338848E-4</v>
      </c>
      <c r="AI21" s="70">
        <f>IFERROR(s_DL/(up_RadSpec!$H21*s_IFCB_far_adj*s_CF_cabbage),".")</f>
        <v>6.6115702479338848E-4</v>
      </c>
      <c r="AJ21" s="70">
        <f>IFERROR(s_DL/(up_RadSpec!$H21*s_IFCR_far_adj*s_CF_carrot),".")</f>
        <v>6.6115702479338848E-4</v>
      </c>
      <c r="AK21" s="70">
        <f>IFERROR(s_DL/(up_RadSpec!$H21*s_IFCI_far_adj*s_CF_citrus),".")</f>
        <v>6.6115702479338848E-4</v>
      </c>
      <c r="AL21" s="70">
        <f>IFERROR(s_DL/(up_RadSpec!$H21*s_IFCO_far_adj*s_CF_corn),".")</f>
        <v>6.6115702479338848E-4</v>
      </c>
      <c r="AM21" s="70">
        <f>IFERROR(s_DL/(up_RadSpec!$H21*s_IFCU_far_adj*s_CF_cucumber),".")</f>
        <v>6.6115702479338848E-4</v>
      </c>
      <c r="AN21" s="70">
        <f>IFERROR(s_DL/(up_RadSpec!$H21*s_IFLE_far_adj*s_CF_lettuce),".")</f>
        <v>6.6115702479338848E-4</v>
      </c>
      <c r="AO21" s="70">
        <f>IFERROR(s_DL/(up_RadSpec!$H21*s_IFLI_far_adj*s_CF_lima_bean),".")</f>
        <v>6.6115702479338848E-4</v>
      </c>
      <c r="AP21" s="70">
        <f>IFERROR(s_DL/(up_RadSpec!$H21*s_IFOK_far_adj*s_CF_okra),".")</f>
        <v>6.6115702479338848E-4</v>
      </c>
      <c r="AQ21" s="70">
        <f>IFERROR(s_DL/(up_RadSpec!$H21*s_IFON_far_adj*s_CF_onion),".")</f>
        <v>6.6115702479338848E-4</v>
      </c>
      <c r="AR21" s="70">
        <f>IFERROR(s_DL/(up_RadSpec!$H21*s_IFPC_far_adj*s_CF_peach),".")</f>
        <v>6.6115702479338848E-4</v>
      </c>
      <c r="AS21" s="70">
        <f>IFERROR(s_DL/(up_RadSpec!$H21*s_IFPR_far_adj*s_CF_pear),".")</f>
        <v>6.6115702479338848E-4</v>
      </c>
      <c r="AT21" s="70">
        <f>IFERROR(s_DL/(up_RadSpec!$H21*s_IFPE_far_adj*s_CF_peas),".")</f>
        <v>6.6115702479338848E-4</v>
      </c>
      <c r="AU21" s="70">
        <f>IFERROR(s_DL/(up_RadSpec!$H21*s_IFPP_far_adj*s_CF_peppers),".")</f>
        <v>6.6115702479338848E-4</v>
      </c>
      <c r="AV21" s="70">
        <f>IFERROR(s_DL/(up_RadSpec!$H21*s_IFPT_far_adj*s_CF_potato),".")</f>
        <v>6.6115702479338848E-4</v>
      </c>
      <c r="AW21" s="70">
        <f>IFERROR(s_DL/(up_RadSpec!$H21*s_IFPU_far_adj*s_CF_pumpkin),".")</f>
        <v>6.6115702479338848E-4</v>
      </c>
      <c r="AX21" s="70">
        <f>IFERROR(s_DL/(up_RadSpec!$H21*s_IFSN_far_adj*s_CF_snap_bean),".")</f>
        <v>6.6115702479338848E-4</v>
      </c>
      <c r="AY21" s="70">
        <f>IFERROR(s_DL/(up_RadSpec!$H21*s_IFST_far_adj*s_CF_strawberry),".")</f>
        <v>6.6115702479338848E-4</v>
      </c>
      <c r="AZ21" s="70">
        <f>IFERROR(s_DL/(up_RadSpec!$H21*s_IFTO_far_adj*s_CF_tomato),".")</f>
        <v>6.6115702479338848E-4</v>
      </c>
      <c r="BA21" s="70">
        <f>IFERROR(s_DL/(up_RadSpec!$H21*s_IFRI_far_adj*s_CF_rice),".")</f>
        <v>6.6115702479338848E-4</v>
      </c>
      <c r="BB21" s="70">
        <f>IFERROR(s_DL/(up_RadSpec!$H21*s_IFCG_far_adj*s_CF_cereal),".")</f>
        <v>6.6115702479338848E-4</v>
      </c>
      <c r="BC21" s="87">
        <f t="shared" si="26"/>
        <v>30250</v>
      </c>
      <c r="BD21" s="87">
        <f t="shared" si="0"/>
        <v>7562.5</v>
      </c>
      <c r="BE21" s="87">
        <f t="shared" si="1"/>
        <v>7562.5</v>
      </c>
      <c r="BF21" s="87">
        <f t="shared" si="2"/>
        <v>7562.5</v>
      </c>
      <c r="BG21" s="87">
        <f t="shared" si="3"/>
        <v>7562.5</v>
      </c>
      <c r="BH21" s="87">
        <f t="shared" si="4"/>
        <v>7562.5</v>
      </c>
      <c r="BI21" s="87">
        <f t="shared" si="5"/>
        <v>7562.5</v>
      </c>
      <c r="BJ21" s="87">
        <f t="shared" si="6"/>
        <v>7562.5</v>
      </c>
      <c r="BK21" s="87">
        <f t="shared" si="7"/>
        <v>7562.5</v>
      </c>
      <c r="BL21" s="87">
        <f t="shared" si="8"/>
        <v>7562.5</v>
      </c>
      <c r="BM21" s="87">
        <f t="shared" si="9"/>
        <v>7562.5</v>
      </c>
      <c r="BN21" s="87">
        <f t="shared" si="10"/>
        <v>7562.5</v>
      </c>
      <c r="BO21" s="87">
        <f t="shared" si="11"/>
        <v>7562.5</v>
      </c>
      <c r="BP21" s="87">
        <f t="shared" si="12"/>
        <v>7562.5</v>
      </c>
      <c r="BQ21" s="87">
        <f t="shared" si="13"/>
        <v>7562.5</v>
      </c>
      <c r="BR21" s="87">
        <f t="shared" si="14"/>
        <v>7562.5</v>
      </c>
      <c r="BS21" s="87">
        <f t="shared" si="15"/>
        <v>7562.5</v>
      </c>
      <c r="BT21" s="87">
        <f t="shared" si="27"/>
        <v>7562.5</v>
      </c>
      <c r="BU21" s="87">
        <f t="shared" si="16"/>
        <v>7562.5</v>
      </c>
      <c r="BV21" s="87">
        <f t="shared" si="17"/>
        <v>7562.5</v>
      </c>
      <c r="BW21" s="87">
        <f t="shared" si="18"/>
        <v>7562.5</v>
      </c>
      <c r="BX21" s="87">
        <f t="shared" si="19"/>
        <v>7562.5</v>
      </c>
      <c r="BY21" s="87">
        <f t="shared" si="20"/>
        <v>7562.5</v>
      </c>
      <c r="BZ21" s="87">
        <f t="shared" si="21"/>
        <v>7562.5</v>
      </c>
      <c r="CA21" s="87">
        <f t="shared" si="22"/>
        <v>7562.5</v>
      </c>
      <c r="CB21" s="87">
        <f t="shared" si="23"/>
        <v>7562.5</v>
      </c>
    </row>
    <row r="22" spans="1:80" x14ac:dyDescent="0.25">
      <c r="A22" s="86" t="s">
        <v>20</v>
      </c>
      <c r="B22" s="84" t="s">
        <v>1057</v>
      </c>
      <c r="C22" s="70">
        <f t="shared" si="24"/>
        <v>1.6528925619834712E-4</v>
      </c>
      <c r="D22" s="70">
        <f>IFERROR(s_DL/(up_RadSpec!$H22*s_IFAP_res_adj*s_CF_apple),".")</f>
        <v>6.6115702479338848E-4</v>
      </c>
      <c r="E22" s="70">
        <f>IFERROR(s_DL/(up_RadSpec!$H22*s_IFAS_res_adj*s_CF_asparagus),".")</f>
        <v>6.6115702479338848E-4</v>
      </c>
      <c r="F22" s="70">
        <f>IFERROR(s_DL/(up_RadSpec!$H22*s_IFBT_res_adj*s_CF_beet),".")</f>
        <v>6.6115702479338848E-4</v>
      </c>
      <c r="G22" s="70">
        <f>IFERROR(s_DL/(up_RadSpec!$H22*s_IFBE_res_adj*s_CF_berries),".")</f>
        <v>6.6115702479338848E-4</v>
      </c>
      <c r="H22" s="70">
        <f>IFERROR(s_DL/(up_RadSpec!$H22*s_IFBR_res_adj*s_CF_broccoli),".")</f>
        <v>6.6115702479338848E-4</v>
      </c>
      <c r="I22" s="70">
        <f>IFERROR(s_DL/(up_RadSpec!$H22*s_IFCB_res_adj*s_CF_cabbage),".")</f>
        <v>6.6115702479338848E-4</v>
      </c>
      <c r="J22" s="70">
        <f>IFERROR(s_DL/(up_RadSpec!$H22*s_IFCR_res_adj*s_CF_carrot),".")</f>
        <v>6.6115702479338848E-4</v>
      </c>
      <c r="K22" s="70">
        <f>IFERROR(s_DL/(up_RadSpec!$H22*s_IFCI_res_adj*s_CF_citrus),".")</f>
        <v>6.6115702479338848E-4</v>
      </c>
      <c r="L22" s="70">
        <f>IFERROR(s_DL/(up_RadSpec!$H22*s_IFCO_res_adj*s_CF_corn),".")</f>
        <v>6.6115702479338848E-4</v>
      </c>
      <c r="M22" s="70">
        <f>IFERROR(s_DL/(up_RadSpec!$H22*s_IFCU_res_adj*s_CF_cucumber),".")</f>
        <v>6.6115702479338848E-4</v>
      </c>
      <c r="N22" s="70">
        <f>IFERROR(s_DL/(up_RadSpec!$H22*s_IFLE_res_adj*s_CF_lettuce),".")</f>
        <v>6.6115702479338848E-4</v>
      </c>
      <c r="O22" s="70">
        <f>IFERROR(s_DL/(up_RadSpec!$H22*s_IFLI_res_adj*s_CF_lima_bean),".")</f>
        <v>6.6115702479338848E-4</v>
      </c>
      <c r="P22" s="70">
        <f>IFERROR(s_DL/(up_RadSpec!$H22*s_IFOK_res_adj*s_CF_okra),".")</f>
        <v>6.6115702479338848E-4</v>
      </c>
      <c r="Q22" s="70">
        <f>IFERROR(s_DL/(up_RadSpec!$H22*s_IFON_res_adj*s_CF_onion),".")</f>
        <v>6.6115702479338848E-4</v>
      </c>
      <c r="R22" s="70">
        <f>IFERROR(s_DL/(up_RadSpec!$H22*s_IFPC_res_adj*s_CF_peach),".")</f>
        <v>6.6115702479338848E-4</v>
      </c>
      <c r="S22" s="70">
        <f>IFERROR(s_DL/(up_RadSpec!$H22*s_IFPR_res_adj*s_CF_pear),".")</f>
        <v>6.6115702479338848E-4</v>
      </c>
      <c r="T22" s="70">
        <f>IFERROR(s_DL/(up_RadSpec!$H22*s_IFPE_res_adj*s_CF_peas),".")</f>
        <v>6.6115702479338848E-4</v>
      </c>
      <c r="U22" s="70">
        <f>IFERROR(s_DL/(up_RadSpec!$H22*s_IFPP_res_adj*s_CF_peppers),".")</f>
        <v>6.6115702479338848E-4</v>
      </c>
      <c r="V22" s="70">
        <f>IFERROR(s_DL/(up_RadSpec!$H22*s_IFPT_res_adj*s_CF_potato),".")</f>
        <v>6.6115702479338848E-4</v>
      </c>
      <c r="W22" s="70">
        <f>IFERROR(s_DL/(up_RadSpec!$H22*s_IFPU_res_adj*s_CF_pumpkin),".")</f>
        <v>6.6115702479338848E-4</v>
      </c>
      <c r="X22" s="70">
        <f>IFERROR(s_DL/(up_RadSpec!$H22*s_IFSN_res_adj*s_CF_snap_bean),".")</f>
        <v>6.6115702479338848E-4</v>
      </c>
      <c r="Y22" s="70">
        <f>IFERROR(s_DL/(up_RadSpec!$H22*s_IFST_res_adj*s_CF_strawberry),".")</f>
        <v>6.6115702479338848E-4</v>
      </c>
      <c r="Z22" s="70">
        <f>IFERROR(s_DL/(up_RadSpec!$H22*s_IFTO_res_adj*s_CF_tomato),".")</f>
        <v>6.6115702479338848E-4</v>
      </c>
      <c r="AA22" s="70">
        <f>IFERROR(s_DL/(up_RadSpec!$H22*s_IFRI_res_adj*s_CF_rice),".")</f>
        <v>6.6115702479338848E-4</v>
      </c>
      <c r="AB22" s="70">
        <f>IFERROR(s_DL/(up_RadSpec!$H22*s_IFCG_res_adj*s_CF_cereal),".")</f>
        <v>6.6115702479338848E-4</v>
      </c>
      <c r="AC22" s="70">
        <f t="shared" si="25"/>
        <v>1.6528925619834712E-4</v>
      </c>
      <c r="AD22" s="70">
        <f>IFERROR(s_DL/(up_RadSpec!$H22*s_IFAP_far_adj*s_CF_apple),".")</f>
        <v>6.6115702479338848E-4</v>
      </c>
      <c r="AE22" s="70">
        <f>IFERROR(s_DL/(up_RadSpec!$H22*s_IFAS_far_adj*s_CF_asparagus),".")</f>
        <v>6.6115702479338848E-4</v>
      </c>
      <c r="AF22" s="70">
        <f>IFERROR(s_DL/(up_RadSpec!$H22*s_IFBT_far_adj*s_CF_beet),".")</f>
        <v>6.6115702479338848E-4</v>
      </c>
      <c r="AG22" s="70">
        <f>IFERROR(s_DL/(up_RadSpec!$H22*s_IFBE_far_adj*s_CF_berries),".")</f>
        <v>6.6115702479338848E-4</v>
      </c>
      <c r="AH22" s="70">
        <f>IFERROR(s_DL/(up_RadSpec!$H22*s_IFBR_far_adj*s_CF_broccoli),".")</f>
        <v>6.6115702479338848E-4</v>
      </c>
      <c r="AI22" s="70">
        <f>IFERROR(s_DL/(up_RadSpec!$H22*s_IFCB_far_adj*s_CF_cabbage),".")</f>
        <v>6.6115702479338848E-4</v>
      </c>
      <c r="AJ22" s="70">
        <f>IFERROR(s_DL/(up_RadSpec!$H22*s_IFCR_far_adj*s_CF_carrot),".")</f>
        <v>6.6115702479338848E-4</v>
      </c>
      <c r="AK22" s="70">
        <f>IFERROR(s_DL/(up_RadSpec!$H22*s_IFCI_far_adj*s_CF_citrus),".")</f>
        <v>6.6115702479338848E-4</v>
      </c>
      <c r="AL22" s="70">
        <f>IFERROR(s_DL/(up_RadSpec!$H22*s_IFCO_far_adj*s_CF_corn),".")</f>
        <v>6.6115702479338848E-4</v>
      </c>
      <c r="AM22" s="70">
        <f>IFERROR(s_DL/(up_RadSpec!$H22*s_IFCU_far_adj*s_CF_cucumber),".")</f>
        <v>6.6115702479338848E-4</v>
      </c>
      <c r="AN22" s="70">
        <f>IFERROR(s_DL/(up_RadSpec!$H22*s_IFLE_far_adj*s_CF_lettuce),".")</f>
        <v>6.6115702479338848E-4</v>
      </c>
      <c r="AO22" s="70">
        <f>IFERROR(s_DL/(up_RadSpec!$H22*s_IFLI_far_adj*s_CF_lima_bean),".")</f>
        <v>6.6115702479338848E-4</v>
      </c>
      <c r="AP22" s="70">
        <f>IFERROR(s_DL/(up_RadSpec!$H22*s_IFOK_far_adj*s_CF_okra),".")</f>
        <v>6.6115702479338848E-4</v>
      </c>
      <c r="AQ22" s="70">
        <f>IFERROR(s_DL/(up_RadSpec!$H22*s_IFON_far_adj*s_CF_onion),".")</f>
        <v>6.6115702479338848E-4</v>
      </c>
      <c r="AR22" s="70">
        <f>IFERROR(s_DL/(up_RadSpec!$H22*s_IFPC_far_adj*s_CF_peach),".")</f>
        <v>6.6115702479338848E-4</v>
      </c>
      <c r="AS22" s="70">
        <f>IFERROR(s_DL/(up_RadSpec!$H22*s_IFPR_far_adj*s_CF_pear),".")</f>
        <v>6.6115702479338848E-4</v>
      </c>
      <c r="AT22" s="70">
        <f>IFERROR(s_DL/(up_RadSpec!$H22*s_IFPE_far_adj*s_CF_peas),".")</f>
        <v>6.6115702479338848E-4</v>
      </c>
      <c r="AU22" s="70">
        <f>IFERROR(s_DL/(up_RadSpec!$H22*s_IFPP_far_adj*s_CF_peppers),".")</f>
        <v>6.6115702479338848E-4</v>
      </c>
      <c r="AV22" s="70">
        <f>IFERROR(s_DL/(up_RadSpec!$H22*s_IFPT_far_adj*s_CF_potato),".")</f>
        <v>6.6115702479338848E-4</v>
      </c>
      <c r="AW22" s="70">
        <f>IFERROR(s_DL/(up_RadSpec!$H22*s_IFPU_far_adj*s_CF_pumpkin),".")</f>
        <v>6.6115702479338848E-4</v>
      </c>
      <c r="AX22" s="70">
        <f>IFERROR(s_DL/(up_RadSpec!$H22*s_IFSN_far_adj*s_CF_snap_bean),".")</f>
        <v>6.6115702479338848E-4</v>
      </c>
      <c r="AY22" s="70">
        <f>IFERROR(s_DL/(up_RadSpec!$H22*s_IFST_far_adj*s_CF_strawberry),".")</f>
        <v>6.6115702479338848E-4</v>
      </c>
      <c r="AZ22" s="70">
        <f>IFERROR(s_DL/(up_RadSpec!$H22*s_IFTO_far_adj*s_CF_tomato),".")</f>
        <v>6.6115702479338848E-4</v>
      </c>
      <c r="BA22" s="70">
        <f>IFERROR(s_DL/(up_RadSpec!$H22*s_IFRI_far_adj*s_CF_rice),".")</f>
        <v>6.6115702479338848E-4</v>
      </c>
      <c r="BB22" s="70">
        <f>IFERROR(s_DL/(up_RadSpec!$H22*s_IFCG_far_adj*s_CF_cereal),".")</f>
        <v>6.6115702479338848E-4</v>
      </c>
      <c r="BC22" s="87">
        <f t="shared" si="26"/>
        <v>30250</v>
      </c>
      <c r="BD22" s="87">
        <f t="shared" si="0"/>
        <v>7562.5</v>
      </c>
      <c r="BE22" s="87">
        <f t="shared" si="1"/>
        <v>7562.5</v>
      </c>
      <c r="BF22" s="87">
        <f t="shared" si="2"/>
        <v>7562.5</v>
      </c>
      <c r="BG22" s="87">
        <f t="shared" si="3"/>
        <v>7562.5</v>
      </c>
      <c r="BH22" s="87">
        <f t="shared" si="4"/>
        <v>7562.5</v>
      </c>
      <c r="BI22" s="87">
        <f t="shared" si="5"/>
        <v>7562.5</v>
      </c>
      <c r="BJ22" s="87">
        <f t="shared" si="6"/>
        <v>7562.5</v>
      </c>
      <c r="BK22" s="87">
        <f t="shared" si="7"/>
        <v>7562.5</v>
      </c>
      <c r="BL22" s="87">
        <f t="shared" si="8"/>
        <v>7562.5</v>
      </c>
      <c r="BM22" s="87">
        <f t="shared" si="9"/>
        <v>7562.5</v>
      </c>
      <c r="BN22" s="87">
        <f t="shared" si="10"/>
        <v>7562.5</v>
      </c>
      <c r="BO22" s="87">
        <f t="shared" si="11"/>
        <v>7562.5</v>
      </c>
      <c r="BP22" s="87">
        <f t="shared" si="12"/>
        <v>7562.5</v>
      </c>
      <c r="BQ22" s="87">
        <f t="shared" si="13"/>
        <v>7562.5</v>
      </c>
      <c r="BR22" s="87">
        <f t="shared" si="14"/>
        <v>7562.5</v>
      </c>
      <c r="BS22" s="87">
        <f t="shared" si="15"/>
        <v>7562.5</v>
      </c>
      <c r="BT22" s="87">
        <f t="shared" si="27"/>
        <v>7562.5</v>
      </c>
      <c r="BU22" s="87">
        <f t="shared" si="16"/>
        <v>7562.5</v>
      </c>
      <c r="BV22" s="87">
        <f t="shared" si="17"/>
        <v>7562.5</v>
      </c>
      <c r="BW22" s="87">
        <f t="shared" si="18"/>
        <v>7562.5</v>
      </c>
      <c r="BX22" s="87">
        <f t="shared" si="19"/>
        <v>7562.5</v>
      </c>
      <c r="BY22" s="87">
        <f t="shared" si="20"/>
        <v>7562.5</v>
      </c>
      <c r="BZ22" s="87">
        <f t="shared" si="21"/>
        <v>7562.5</v>
      </c>
      <c r="CA22" s="87">
        <f t="shared" si="22"/>
        <v>7562.5</v>
      </c>
      <c r="CB22" s="87">
        <f t="shared" si="23"/>
        <v>7562.5</v>
      </c>
    </row>
    <row r="23" spans="1:80" x14ac:dyDescent="0.25">
      <c r="A23" s="88" t="s">
        <v>21</v>
      </c>
      <c r="B23" s="84" t="s">
        <v>335</v>
      </c>
      <c r="C23" s="70">
        <f t="shared" si="24"/>
        <v>1.6528925619834712E-4</v>
      </c>
      <c r="D23" s="70">
        <f>IFERROR(s_DL/(up_RadSpec!$H23*s_IFAP_res_adj*s_CF_apple),".")</f>
        <v>6.6115702479338848E-4</v>
      </c>
      <c r="E23" s="70">
        <f>IFERROR(s_DL/(up_RadSpec!$H23*s_IFAS_res_adj*s_CF_asparagus),".")</f>
        <v>6.6115702479338848E-4</v>
      </c>
      <c r="F23" s="70">
        <f>IFERROR(s_DL/(up_RadSpec!$H23*s_IFBT_res_adj*s_CF_beet),".")</f>
        <v>6.6115702479338848E-4</v>
      </c>
      <c r="G23" s="70">
        <f>IFERROR(s_DL/(up_RadSpec!$H23*s_IFBE_res_adj*s_CF_berries),".")</f>
        <v>6.6115702479338848E-4</v>
      </c>
      <c r="H23" s="70">
        <f>IFERROR(s_DL/(up_RadSpec!$H23*s_IFBR_res_adj*s_CF_broccoli),".")</f>
        <v>6.6115702479338848E-4</v>
      </c>
      <c r="I23" s="70">
        <f>IFERROR(s_DL/(up_RadSpec!$H23*s_IFCB_res_adj*s_CF_cabbage),".")</f>
        <v>6.6115702479338848E-4</v>
      </c>
      <c r="J23" s="70">
        <f>IFERROR(s_DL/(up_RadSpec!$H23*s_IFCR_res_adj*s_CF_carrot),".")</f>
        <v>6.6115702479338848E-4</v>
      </c>
      <c r="K23" s="70">
        <f>IFERROR(s_DL/(up_RadSpec!$H23*s_IFCI_res_adj*s_CF_citrus),".")</f>
        <v>6.6115702479338848E-4</v>
      </c>
      <c r="L23" s="70">
        <f>IFERROR(s_DL/(up_RadSpec!$H23*s_IFCO_res_adj*s_CF_corn),".")</f>
        <v>6.6115702479338848E-4</v>
      </c>
      <c r="M23" s="70">
        <f>IFERROR(s_DL/(up_RadSpec!$H23*s_IFCU_res_adj*s_CF_cucumber),".")</f>
        <v>6.6115702479338848E-4</v>
      </c>
      <c r="N23" s="70">
        <f>IFERROR(s_DL/(up_RadSpec!$H23*s_IFLE_res_adj*s_CF_lettuce),".")</f>
        <v>6.6115702479338848E-4</v>
      </c>
      <c r="O23" s="70">
        <f>IFERROR(s_DL/(up_RadSpec!$H23*s_IFLI_res_adj*s_CF_lima_bean),".")</f>
        <v>6.6115702479338848E-4</v>
      </c>
      <c r="P23" s="70">
        <f>IFERROR(s_DL/(up_RadSpec!$H23*s_IFOK_res_adj*s_CF_okra),".")</f>
        <v>6.6115702479338848E-4</v>
      </c>
      <c r="Q23" s="70">
        <f>IFERROR(s_DL/(up_RadSpec!$H23*s_IFON_res_adj*s_CF_onion),".")</f>
        <v>6.6115702479338848E-4</v>
      </c>
      <c r="R23" s="70">
        <f>IFERROR(s_DL/(up_RadSpec!$H23*s_IFPC_res_adj*s_CF_peach),".")</f>
        <v>6.6115702479338848E-4</v>
      </c>
      <c r="S23" s="70">
        <f>IFERROR(s_DL/(up_RadSpec!$H23*s_IFPR_res_adj*s_CF_pear),".")</f>
        <v>6.6115702479338848E-4</v>
      </c>
      <c r="T23" s="70">
        <f>IFERROR(s_DL/(up_RadSpec!$H23*s_IFPE_res_adj*s_CF_peas),".")</f>
        <v>6.6115702479338848E-4</v>
      </c>
      <c r="U23" s="70">
        <f>IFERROR(s_DL/(up_RadSpec!$H23*s_IFPP_res_adj*s_CF_peppers),".")</f>
        <v>6.6115702479338848E-4</v>
      </c>
      <c r="V23" s="70">
        <f>IFERROR(s_DL/(up_RadSpec!$H23*s_IFPT_res_adj*s_CF_potato),".")</f>
        <v>6.6115702479338848E-4</v>
      </c>
      <c r="W23" s="70">
        <f>IFERROR(s_DL/(up_RadSpec!$H23*s_IFPU_res_adj*s_CF_pumpkin),".")</f>
        <v>6.6115702479338848E-4</v>
      </c>
      <c r="X23" s="70">
        <f>IFERROR(s_DL/(up_RadSpec!$H23*s_IFSN_res_adj*s_CF_snap_bean),".")</f>
        <v>6.6115702479338848E-4</v>
      </c>
      <c r="Y23" s="70">
        <f>IFERROR(s_DL/(up_RadSpec!$H23*s_IFST_res_adj*s_CF_strawberry),".")</f>
        <v>6.6115702479338848E-4</v>
      </c>
      <c r="Z23" s="70">
        <f>IFERROR(s_DL/(up_RadSpec!$H23*s_IFTO_res_adj*s_CF_tomato),".")</f>
        <v>6.6115702479338848E-4</v>
      </c>
      <c r="AA23" s="70">
        <f>IFERROR(s_DL/(up_RadSpec!$H23*s_IFRI_res_adj*s_CF_rice),".")</f>
        <v>6.6115702479338848E-4</v>
      </c>
      <c r="AB23" s="70">
        <f>IFERROR(s_DL/(up_RadSpec!$H23*s_IFCG_res_adj*s_CF_cereal),".")</f>
        <v>6.6115702479338848E-4</v>
      </c>
      <c r="AC23" s="70">
        <f t="shared" si="25"/>
        <v>1.6528925619834712E-4</v>
      </c>
      <c r="AD23" s="70">
        <f>IFERROR(s_DL/(up_RadSpec!$H23*s_IFAP_far_adj*s_CF_apple),".")</f>
        <v>6.6115702479338848E-4</v>
      </c>
      <c r="AE23" s="70">
        <f>IFERROR(s_DL/(up_RadSpec!$H23*s_IFAS_far_adj*s_CF_asparagus),".")</f>
        <v>6.6115702479338848E-4</v>
      </c>
      <c r="AF23" s="70">
        <f>IFERROR(s_DL/(up_RadSpec!$H23*s_IFBT_far_adj*s_CF_beet),".")</f>
        <v>6.6115702479338848E-4</v>
      </c>
      <c r="AG23" s="70">
        <f>IFERROR(s_DL/(up_RadSpec!$H23*s_IFBE_far_adj*s_CF_berries),".")</f>
        <v>6.6115702479338848E-4</v>
      </c>
      <c r="AH23" s="70">
        <f>IFERROR(s_DL/(up_RadSpec!$H23*s_IFBR_far_adj*s_CF_broccoli),".")</f>
        <v>6.6115702479338848E-4</v>
      </c>
      <c r="AI23" s="70">
        <f>IFERROR(s_DL/(up_RadSpec!$H23*s_IFCB_far_adj*s_CF_cabbage),".")</f>
        <v>6.6115702479338848E-4</v>
      </c>
      <c r="AJ23" s="70">
        <f>IFERROR(s_DL/(up_RadSpec!$H23*s_IFCR_far_adj*s_CF_carrot),".")</f>
        <v>6.6115702479338848E-4</v>
      </c>
      <c r="AK23" s="70">
        <f>IFERROR(s_DL/(up_RadSpec!$H23*s_IFCI_far_adj*s_CF_citrus),".")</f>
        <v>6.6115702479338848E-4</v>
      </c>
      <c r="AL23" s="70">
        <f>IFERROR(s_DL/(up_RadSpec!$H23*s_IFCO_far_adj*s_CF_corn),".")</f>
        <v>6.6115702479338848E-4</v>
      </c>
      <c r="AM23" s="70">
        <f>IFERROR(s_DL/(up_RadSpec!$H23*s_IFCU_far_adj*s_CF_cucumber),".")</f>
        <v>6.6115702479338848E-4</v>
      </c>
      <c r="AN23" s="70">
        <f>IFERROR(s_DL/(up_RadSpec!$H23*s_IFLE_far_adj*s_CF_lettuce),".")</f>
        <v>6.6115702479338848E-4</v>
      </c>
      <c r="AO23" s="70">
        <f>IFERROR(s_DL/(up_RadSpec!$H23*s_IFLI_far_adj*s_CF_lima_bean),".")</f>
        <v>6.6115702479338848E-4</v>
      </c>
      <c r="AP23" s="70">
        <f>IFERROR(s_DL/(up_RadSpec!$H23*s_IFOK_far_adj*s_CF_okra),".")</f>
        <v>6.6115702479338848E-4</v>
      </c>
      <c r="AQ23" s="70">
        <f>IFERROR(s_DL/(up_RadSpec!$H23*s_IFON_far_adj*s_CF_onion),".")</f>
        <v>6.6115702479338848E-4</v>
      </c>
      <c r="AR23" s="70">
        <f>IFERROR(s_DL/(up_RadSpec!$H23*s_IFPC_far_adj*s_CF_peach),".")</f>
        <v>6.6115702479338848E-4</v>
      </c>
      <c r="AS23" s="70">
        <f>IFERROR(s_DL/(up_RadSpec!$H23*s_IFPR_far_adj*s_CF_pear),".")</f>
        <v>6.6115702479338848E-4</v>
      </c>
      <c r="AT23" s="70">
        <f>IFERROR(s_DL/(up_RadSpec!$H23*s_IFPE_far_adj*s_CF_peas),".")</f>
        <v>6.6115702479338848E-4</v>
      </c>
      <c r="AU23" s="70">
        <f>IFERROR(s_DL/(up_RadSpec!$H23*s_IFPP_far_adj*s_CF_peppers),".")</f>
        <v>6.6115702479338848E-4</v>
      </c>
      <c r="AV23" s="70">
        <f>IFERROR(s_DL/(up_RadSpec!$H23*s_IFPT_far_adj*s_CF_potato),".")</f>
        <v>6.6115702479338848E-4</v>
      </c>
      <c r="AW23" s="70">
        <f>IFERROR(s_DL/(up_RadSpec!$H23*s_IFPU_far_adj*s_CF_pumpkin),".")</f>
        <v>6.6115702479338848E-4</v>
      </c>
      <c r="AX23" s="70">
        <f>IFERROR(s_DL/(up_RadSpec!$H23*s_IFSN_far_adj*s_CF_snap_bean),".")</f>
        <v>6.6115702479338848E-4</v>
      </c>
      <c r="AY23" s="70">
        <f>IFERROR(s_DL/(up_RadSpec!$H23*s_IFST_far_adj*s_CF_strawberry),".")</f>
        <v>6.6115702479338848E-4</v>
      </c>
      <c r="AZ23" s="70">
        <f>IFERROR(s_DL/(up_RadSpec!$H23*s_IFTO_far_adj*s_CF_tomato),".")</f>
        <v>6.6115702479338848E-4</v>
      </c>
      <c r="BA23" s="70">
        <f>IFERROR(s_DL/(up_RadSpec!$H23*s_IFRI_far_adj*s_CF_rice),".")</f>
        <v>6.6115702479338848E-4</v>
      </c>
      <c r="BB23" s="70">
        <f>IFERROR(s_DL/(up_RadSpec!$H23*s_IFCG_far_adj*s_CF_cereal),".")</f>
        <v>6.6115702479338848E-4</v>
      </c>
      <c r="BC23" s="87">
        <f t="shared" si="26"/>
        <v>30250</v>
      </c>
      <c r="BD23" s="87">
        <f t="shared" si="0"/>
        <v>7562.5</v>
      </c>
      <c r="BE23" s="87">
        <f t="shared" si="1"/>
        <v>7562.5</v>
      </c>
      <c r="BF23" s="87">
        <f t="shared" si="2"/>
        <v>7562.5</v>
      </c>
      <c r="BG23" s="87">
        <f t="shared" si="3"/>
        <v>7562.5</v>
      </c>
      <c r="BH23" s="87">
        <f t="shared" si="4"/>
        <v>7562.5</v>
      </c>
      <c r="BI23" s="87">
        <f t="shared" si="5"/>
        <v>7562.5</v>
      </c>
      <c r="BJ23" s="87">
        <f t="shared" si="6"/>
        <v>7562.5</v>
      </c>
      <c r="BK23" s="87">
        <f t="shared" si="7"/>
        <v>7562.5</v>
      </c>
      <c r="BL23" s="87">
        <f t="shared" si="8"/>
        <v>7562.5</v>
      </c>
      <c r="BM23" s="87">
        <f t="shared" si="9"/>
        <v>7562.5</v>
      </c>
      <c r="BN23" s="87">
        <f t="shared" si="10"/>
        <v>7562.5</v>
      </c>
      <c r="BO23" s="87">
        <f t="shared" si="11"/>
        <v>7562.5</v>
      </c>
      <c r="BP23" s="87">
        <f t="shared" si="12"/>
        <v>7562.5</v>
      </c>
      <c r="BQ23" s="87">
        <f t="shared" si="13"/>
        <v>7562.5</v>
      </c>
      <c r="BR23" s="87">
        <f t="shared" si="14"/>
        <v>7562.5</v>
      </c>
      <c r="BS23" s="87">
        <f t="shared" si="15"/>
        <v>7562.5</v>
      </c>
      <c r="BT23" s="87">
        <f t="shared" si="27"/>
        <v>7562.5</v>
      </c>
      <c r="BU23" s="87">
        <f t="shared" si="16"/>
        <v>7562.5</v>
      </c>
      <c r="BV23" s="87">
        <f t="shared" si="17"/>
        <v>7562.5</v>
      </c>
      <c r="BW23" s="87">
        <f t="shared" si="18"/>
        <v>7562.5</v>
      </c>
      <c r="BX23" s="87">
        <f t="shared" si="19"/>
        <v>7562.5</v>
      </c>
      <c r="BY23" s="87">
        <f t="shared" si="20"/>
        <v>7562.5</v>
      </c>
      <c r="BZ23" s="87">
        <f t="shared" si="21"/>
        <v>7562.5</v>
      </c>
      <c r="CA23" s="87">
        <f t="shared" si="22"/>
        <v>7562.5</v>
      </c>
      <c r="CB23" s="87">
        <f t="shared" si="23"/>
        <v>7562.5</v>
      </c>
    </row>
    <row r="24" spans="1:80" x14ac:dyDescent="0.25">
      <c r="A24" s="86" t="s">
        <v>22</v>
      </c>
      <c r="B24" s="84" t="s">
        <v>1057</v>
      </c>
      <c r="C24" s="70">
        <f t="shared" si="24"/>
        <v>1.6528925619834712E-4</v>
      </c>
      <c r="D24" s="70">
        <f>IFERROR(s_DL/(up_RadSpec!$H24*s_IFAP_res_adj*s_CF_apple),".")</f>
        <v>6.6115702479338848E-4</v>
      </c>
      <c r="E24" s="70">
        <f>IFERROR(s_DL/(up_RadSpec!$H24*s_IFAS_res_adj*s_CF_asparagus),".")</f>
        <v>6.6115702479338848E-4</v>
      </c>
      <c r="F24" s="70">
        <f>IFERROR(s_DL/(up_RadSpec!$H24*s_IFBT_res_adj*s_CF_beet),".")</f>
        <v>6.6115702479338848E-4</v>
      </c>
      <c r="G24" s="70">
        <f>IFERROR(s_DL/(up_RadSpec!$H24*s_IFBE_res_adj*s_CF_berries),".")</f>
        <v>6.6115702479338848E-4</v>
      </c>
      <c r="H24" s="70">
        <f>IFERROR(s_DL/(up_RadSpec!$H24*s_IFBR_res_adj*s_CF_broccoli),".")</f>
        <v>6.6115702479338848E-4</v>
      </c>
      <c r="I24" s="70">
        <f>IFERROR(s_DL/(up_RadSpec!$H24*s_IFCB_res_adj*s_CF_cabbage),".")</f>
        <v>6.6115702479338848E-4</v>
      </c>
      <c r="J24" s="70">
        <f>IFERROR(s_DL/(up_RadSpec!$H24*s_IFCR_res_adj*s_CF_carrot),".")</f>
        <v>6.6115702479338848E-4</v>
      </c>
      <c r="K24" s="70">
        <f>IFERROR(s_DL/(up_RadSpec!$H24*s_IFCI_res_adj*s_CF_citrus),".")</f>
        <v>6.6115702479338848E-4</v>
      </c>
      <c r="L24" s="70">
        <f>IFERROR(s_DL/(up_RadSpec!$H24*s_IFCO_res_adj*s_CF_corn),".")</f>
        <v>6.6115702479338848E-4</v>
      </c>
      <c r="M24" s="70">
        <f>IFERROR(s_DL/(up_RadSpec!$H24*s_IFCU_res_adj*s_CF_cucumber),".")</f>
        <v>6.6115702479338848E-4</v>
      </c>
      <c r="N24" s="70">
        <f>IFERROR(s_DL/(up_RadSpec!$H24*s_IFLE_res_adj*s_CF_lettuce),".")</f>
        <v>6.6115702479338848E-4</v>
      </c>
      <c r="O24" s="70">
        <f>IFERROR(s_DL/(up_RadSpec!$H24*s_IFLI_res_adj*s_CF_lima_bean),".")</f>
        <v>6.6115702479338848E-4</v>
      </c>
      <c r="P24" s="70">
        <f>IFERROR(s_DL/(up_RadSpec!$H24*s_IFOK_res_adj*s_CF_okra),".")</f>
        <v>6.6115702479338848E-4</v>
      </c>
      <c r="Q24" s="70">
        <f>IFERROR(s_DL/(up_RadSpec!$H24*s_IFON_res_adj*s_CF_onion),".")</f>
        <v>6.6115702479338848E-4</v>
      </c>
      <c r="R24" s="70">
        <f>IFERROR(s_DL/(up_RadSpec!$H24*s_IFPC_res_adj*s_CF_peach),".")</f>
        <v>6.6115702479338848E-4</v>
      </c>
      <c r="S24" s="70">
        <f>IFERROR(s_DL/(up_RadSpec!$H24*s_IFPR_res_adj*s_CF_pear),".")</f>
        <v>6.6115702479338848E-4</v>
      </c>
      <c r="T24" s="70">
        <f>IFERROR(s_DL/(up_RadSpec!$H24*s_IFPE_res_adj*s_CF_peas),".")</f>
        <v>6.6115702479338848E-4</v>
      </c>
      <c r="U24" s="70">
        <f>IFERROR(s_DL/(up_RadSpec!$H24*s_IFPP_res_adj*s_CF_peppers),".")</f>
        <v>6.6115702479338848E-4</v>
      </c>
      <c r="V24" s="70">
        <f>IFERROR(s_DL/(up_RadSpec!$H24*s_IFPT_res_adj*s_CF_potato),".")</f>
        <v>6.6115702479338848E-4</v>
      </c>
      <c r="W24" s="70">
        <f>IFERROR(s_DL/(up_RadSpec!$H24*s_IFPU_res_adj*s_CF_pumpkin),".")</f>
        <v>6.6115702479338848E-4</v>
      </c>
      <c r="X24" s="70">
        <f>IFERROR(s_DL/(up_RadSpec!$H24*s_IFSN_res_adj*s_CF_snap_bean),".")</f>
        <v>6.6115702479338848E-4</v>
      </c>
      <c r="Y24" s="70">
        <f>IFERROR(s_DL/(up_RadSpec!$H24*s_IFST_res_adj*s_CF_strawberry),".")</f>
        <v>6.6115702479338848E-4</v>
      </c>
      <c r="Z24" s="70">
        <f>IFERROR(s_DL/(up_RadSpec!$H24*s_IFTO_res_adj*s_CF_tomato),".")</f>
        <v>6.6115702479338848E-4</v>
      </c>
      <c r="AA24" s="70">
        <f>IFERROR(s_DL/(up_RadSpec!$H24*s_IFRI_res_adj*s_CF_rice),".")</f>
        <v>6.6115702479338848E-4</v>
      </c>
      <c r="AB24" s="70">
        <f>IFERROR(s_DL/(up_RadSpec!$H24*s_IFCG_res_adj*s_CF_cereal),".")</f>
        <v>6.6115702479338848E-4</v>
      </c>
      <c r="AC24" s="70">
        <f t="shared" si="25"/>
        <v>1.6528925619834712E-4</v>
      </c>
      <c r="AD24" s="70">
        <f>IFERROR(s_DL/(up_RadSpec!$H24*s_IFAP_far_adj*s_CF_apple),".")</f>
        <v>6.6115702479338848E-4</v>
      </c>
      <c r="AE24" s="70">
        <f>IFERROR(s_DL/(up_RadSpec!$H24*s_IFAS_far_adj*s_CF_asparagus),".")</f>
        <v>6.6115702479338848E-4</v>
      </c>
      <c r="AF24" s="70">
        <f>IFERROR(s_DL/(up_RadSpec!$H24*s_IFBT_far_adj*s_CF_beet),".")</f>
        <v>6.6115702479338848E-4</v>
      </c>
      <c r="AG24" s="70">
        <f>IFERROR(s_DL/(up_RadSpec!$H24*s_IFBE_far_adj*s_CF_berries),".")</f>
        <v>6.6115702479338848E-4</v>
      </c>
      <c r="AH24" s="70">
        <f>IFERROR(s_DL/(up_RadSpec!$H24*s_IFBR_far_adj*s_CF_broccoli),".")</f>
        <v>6.6115702479338848E-4</v>
      </c>
      <c r="AI24" s="70">
        <f>IFERROR(s_DL/(up_RadSpec!$H24*s_IFCB_far_adj*s_CF_cabbage),".")</f>
        <v>6.6115702479338848E-4</v>
      </c>
      <c r="AJ24" s="70">
        <f>IFERROR(s_DL/(up_RadSpec!$H24*s_IFCR_far_adj*s_CF_carrot),".")</f>
        <v>6.6115702479338848E-4</v>
      </c>
      <c r="AK24" s="70">
        <f>IFERROR(s_DL/(up_RadSpec!$H24*s_IFCI_far_adj*s_CF_citrus),".")</f>
        <v>6.6115702479338848E-4</v>
      </c>
      <c r="AL24" s="70">
        <f>IFERROR(s_DL/(up_RadSpec!$H24*s_IFCO_far_adj*s_CF_corn),".")</f>
        <v>6.6115702479338848E-4</v>
      </c>
      <c r="AM24" s="70">
        <f>IFERROR(s_DL/(up_RadSpec!$H24*s_IFCU_far_adj*s_CF_cucumber),".")</f>
        <v>6.6115702479338848E-4</v>
      </c>
      <c r="AN24" s="70">
        <f>IFERROR(s_DL/(up_RadSpec!$H24*s_IFLE_far_adj*s_CF_lettuce),".")</f>
        <v>6.6115702479338848E-4</v>
      </c>
      <c r="AO24" s="70">
        <f>IFERROR(s_DL/(up_RadSpec!$H24*s_IFLI_far_adj*s_CF_lima_bean),".")</f>
        <v>6.6115702479338848E-4</v>
      </c>
      <c r="AP24" s="70">
        <f>IFERROR(s_DL/(up_RadSpec!$H24*s_IFOK_far_adj*s_CF_okra),".")</f>
        <v>6.6115702479338848E-4</v>
      </c>
      <c r="AQ24" s="70">
        <f>IFERROR(s_DL/(up_RadSpec!$H24*s_IFON_far_adj*s_CF_onion),".")</f>
        <v>6.6115702479338848E-4</v>
      </c>
      <c r="AR24" s="70">
        <f>IFERROR(s_DL/(up_RadSpec!$H24*s_IFPC_far_adj*s_CF_peach),".")</f>
        <v>6.6115702479338848E-4</v>
      </c>
      <c r="AS24" s="70">
        <f>IFERROR(s_DL/(up_RadSpec!$H24*s_IFPR_far_adj*s_CF_pear),".")</f>
        <v>6.6115702479338848E-4</v>
      </c>
      <c r="AT24" s="70">
        <f>IFERROR(s_DL/(up_RadSpec!$H24*s_IFPE_far_adj*s_CF_peas),".")</f>
        <v>6.6115702479338848E-4</v>
      </c>
      <c r="AU24" s="70">
        <f>IFERROR(s_DL/(up_RadSpec!$H24*s_IFPP_far_adj*s_CF_peppers),".")</f>
        <v>6.6115702479338848E-4</v>
      </c>
      <c r="AV24" s="70">
        <f>IFERROR(s_DL/(up_RadSpec!$H24*s_IFPT_far_adj*s_CF_potato),".")</f>
        <v>6.6115702479338848E-4</v>
      </c>
      <c r="AW24" s="70">
        <f>IFERROR(s_DL/(up_RadSpec!$H24*s_IFPU_far_adj*s_CF_pumpkin),".")</f>
        <v>6.6115702479338848E-4</v>
      </c>
      <c r="AX24" s="70">
        <f>IFERROR(s_DL/(up_RadSpec!$H24*s_IFSN_far_adj*s_CF_snap_bean),".")</f>
        <v>6.6115702479338848E-4</v>
      </c>
      <c r="AY24" s="70">
        <f>IFERROR(s_DL/(up_RadSpec!$H24*s_IFST_far_adj*s_CF_strawberry),".")</f>
        <v>6.6115702479338848E-4</v>
      </c>
      <c r="AZ24" s="70">
        <f>IFERROR(s_DL/(up_RadSpec!$H24*s_IFTO_far_adj*s_CF_tomato),".")</f>
        <v>6.6115702479338848E-4</v>
      </c>
      <c r="BA24" s="70">
        <f>IFERROR(s_DL/(up_RadSpec!$H24*s_IFRI_far_adj*s_CF_rice),".")</f>
        <v>6.6115702479338848E-4</v>
      </c>
      <c r="BB24" s="70">
        <f>IFERROR(s_DL/(up_RadSpec!$H24*s_IFCG_far_adj*s_CF_cereal),".")</f>
        <v>6.6115702479338848E-4</v>
      </c>
      <c r="BC24" s="87">
        <f t="shared" si="26"/>
        <v>30250</v>
      </c>
      <c r="BD24" s="87">
        <f t="shared" si="0"/>
        <v>7562.5</v>
      </c>
      <c r="BE24" s="87">
        <f t="shared" si="1"/>
        <v>7562.5</v>
      </c>
      <c r="BF24" s="87">
        <f t="shared" si="2"/>
        <v>7562.5</v>
      </c>
      <c r="BG24" s="87">
        <f t="shared" si="3"/>
        <v>7562.5</v>
      </c>
      <c r="BH24" s="87">
        <f t="shared" si="4"/>
        <v>7562.5</v>
      </c>
      <c r="BI24" s="87">
        <f t="shared" si="5"/>
        <v>7562.5</v>
      </c>
      <c r="BJ24" s="87">
        <f t="shared" si="6"/>
        <v>7562.5</v>
      </c>
      <c r="BK24" s="87">
        <f t="shared" si="7"/>
        <v>7562.5</v>
      </c>
      <c r="BL24" s="87">
        <f t="shared" si="8"/>
        <v>7562.5</v>
      </c>
      <c r="BM24" s="87">
        <f t="shared" si="9"/>
        <v>7562.5</v>
      </c>
      <c r="BN24" s="87">
        <f t="shared" si="10"/>
        <v>7562.5</v>
      </c>
      <c r="BO24" s="87">
        <f t="shared" si="11"/>
        <v>7562.5</v>
      </c>
      <c r="BP24" s="87">
        <f t="shared" si="12"/>
        <v>7562.5</v>
      </c>
      <c r="BQ24" s="87">
        <f t="shared" si="13"/>
        <v>7562.5</v>
      </c>
      <c r="BR24" s="87">
        <f t="shared" si="14"/>
        <v>7562.5</v>
      </c>
      <c r="BS24" s="87">
        <f t="shared" si="15"/>
        <v>7562.5</v>
      </c>
      <c r="BT24" s="87">
        <f t="shared" si="27"/>
        <v>7562.5</v>
      </c>
      <c r="BU24" s="87">
        <f t="shared" si="16"/>
        <v>7562.5</v>
      </c>
      <c r="BV24" s="87">
        <f t="shared" si="17"/>
        <v>7562.5</v>
      </c>
      <c r="BW24" s="87">
        <f t="shared" si="18"/>
        <v>7562.5</v>
      </c>
      <c r="BX24" s="87">
        <f t="shared" si="19"/>
        <v>7562.5</v>
      </c>
      <c r="BY24" s="87">
        <f t="shared" si="20"/>
        <v>7562.5</v>
      </c>
      <c r="BZ24" s="87">
        <f t="shared" si="21"/>
        <v>7562.5</v>
      </c>
      <c r="CA24" s="87">
        <f t="shared" si="22"/>
        <v>7562.5</v>
      </c>
      <c r="CB24" s="87">
        <f t="shared" si="23"/>
        <v>7562.5</v>
      </c>
    </row>
    <row r="25" spans="1:80" x14ac:dyDescent="0.25">
      <c r="A25" s="88" t="s">
        <v>23</v>
      </c>
      <c r="B25" s="84" t="s">
        <v>335</v>
      </c>
      <c r="C25" s="70">
        <f t="shared" si="24"/>
        <v>1.6528925619834712E-4</v>
      </c>
      <c r="D25" s="70">
        <f>IFERROR(s_DL/(up_RadSpec!$H25*s_IFAP_res_adj*s_CF_apple),".")</f>
        <v>6.6115702479338848E-4</v>
      </c>
      <c r="E25" s="70">
        <f>IFERROR(s_DL/(up_RadSpec!$H25*s_IFAS_res_adj*s_CF_asparagus),".")</f>
        <v>6.6115702479338848E-4</v>
      </c>
      <c r="F25" s="70">
        <f>IFERROR(s_DL/(up_RadSpec!$H25*s_IFBT_res_adj*s_CF_beet),".")</f>
        <v>6.6115702479338848E-4</v>
      </c>
      <c r="G25" s="70">
        <f>IFERROR(s_DL/(up_RadSpec!$H25*s_IFBE_res_adj*s_CF_berries),".")</f>
        <v>6.6115702479338848E-4</v>
      </c>
      <c r="H25" s="70">
        <f>IFERROR(s_DL/(up_RadSpec!$H25*s_IFBR_res_adj*s_CF_broccoli),".")</f>
        <v>6.6115702479338848E-4</v>
      </c>
      <c r="I25" s="70">
        <f>IFERROR(s_DL/(up_RadSpec!$H25*s_IFCB_res_adj*s_CF_cabbage),".")</f>
        <v>6.6115702479338848E-4</v>
      </c>
      <c r="J25" s="70">
        <f>IFERROR(s_DL/(up_RadSpec!$H25*s_IFCR_res_adj*s_CF_carrot),".")</f>
        <v>6.6115702479338848E-4</v>
      </c>
      <c r="K25" s="70">
        <f>IFERROR(s_DL/(up_RadSpec!$H25*s_IFCI_res_adj*s_CF_citrus),".")</f>
        <v>6.6115702479338848E-4</v>
      </c>
      <c r="L25" s="70">
        <f>IFERROR(s_DL/(up_RadSpec!$H25*s_IFCO_res_adj*s_CF_corn),".")</f>
        <v>6.6115702479338848E-4</v>
      </c>
      <c r="M25" s="70">
        <f>IFERROR(s_DL/(up_RadSpec!$H25*s_IFCU_res_adj*s_CF_cucumber),".")</f>
        <v>6.6115702479338848E-4</v>
      </c>
      <c r="N25" s="70">
        <f>IFERROR(s_DL/(up_RadSpec!$H25*s_IFLE_res_adj*s_CF_lettuce),".")</f>
        <v>6.6115702479338848E-4</v>
      </c>
      <c r="O25" s="70">
        <f>IFERROR(s_DL/(up_RadSpec!$H25*s_IFLI_res_adj*s_CF_lima_bean),".")</f>
        <v>6.6115702479338848E-4</v>
      </c>
      <c r="P25" s="70">
        <f>IFERROR(s_DL/(up_RadSpec!$H25*s_IFOK_res_adj*s_CF_okra),".")</f>
        <v>6.6115702479338848E-4</v>
      </c>
      <c r="Q25" s="70">
        <f>IFERROR(s_DL/(up_RadSpec!$H25*s_IFON_res_adj*s_CF_onion),".")</f>
        <v>6.6115702479338848E-4</v>
      </c>
      <c r="R25" s="70">
        <f>IFERROR(s_DL/(up_RadSpec!$H25*s_IFPC_res_adj*s_CF_peach),".")</f>
        <v>6.6115702479338848E-4</v>
      </c>
      <c r="S25" s="70">
        <f>IFERROR(s_DL/(up_RadSpec!$H25*s_IFPR_res_adj*s_CF_pear),".")</f>
        <v>6.6115702479338848E-4</v>
      </c>
      <c r="T25" s="70">
        <f>IFERROR(s_DL/(up_RadSpec!$H25*s_IFPE_res_adj*s_CF_peas),".")</f>
        <v>6.6115702479338848E-4</v>
      </c>
      <c r="U25" s="70">
        <f>IFERROR(s_DL/(up_RadSpec!$H25*s_IFPP_res_adj*s_CF_peppers),".")</f>
        <v>6.6115702479338848E-4</v>
      </c>
      <c r="V25" s="70">
        <f>IFERROR(s_DL/(up_RadSpec!$H25*s_IFPT_res_adj*s_CF_potato),".")</f>
        <v>6.6115702479338848E-4</v>
      </c>
      <c r="W25" s="70">
        <f>IFERROR(s_DL/(up_RadSpec!$H25*s_IFPU_res_adj*s_CF_pumpkin),".")</f>
        <v>6.6115702479338848E-4</v>
      </c>
      <c r="X25" s="70">
        <f>IFERROR(s_DL/(up_RadSpec!$H25*s_IFSN_res_adj*s_CF_snap_bean),".")</f>
        <v>6.6115702479338848E-4</v>
      </c>
      <c r="Y25" s="70">
        <f>IFERROR(s_DL/(up_RadSpec!$H25*s_IFST_res_adj*s_CF_strawberry),".")</f>
        <v>6.6115702479338848E-4</v>
      </c>
      <c r="Z25" s="70">
        <f>IFERROR(s_DL/(up_RadSpec!$H25*s_IFTO_res_adj*s_CF_tomato),".")</f>
        <v>6.6115702479338848E-4</v>
      </c>
      <c r="AA25" s="70">
        <f>IFERROR(s_DL/(up_RadSpec!$H25*s_IFRI_res_adj*s_CF_rice),".")</f>
        <v>6.6115702479338848E-4</v>
      </c>
      <c r="AB25" s="70">
        <f>IFERROR(s_DL/(up_RadSpec!$H25*s_IFCG_res_adj*s_CF_cereal),".")</f>
        <v>6.6115702479338848E-4</v>
      </c>
      <c r="AC25" s="70">
        <f t="shared" si="25"/>
        <v>1.6528925619834712E-4</v>
      </c>
      <c r="AD25" s="70">
        <f>IFERROR(s_DL/(up_RadSpec!$H25*s_IFAP_far_adj*s_CF_apple),".")</f>
        <v>6.6115702479338848E-4</v>
      </c>
      <c r="AE25" s="70">
        <f>IFERROR(s_DL/(up_RadSpec!$H25*s_IFAS_far_adj*s_CF_asparagus),".")</f>
        <v>6.6115702479338848E-4</v>
      </c>
      <c r="AF25" s="70">
        <f>IFERROR(s_DL/(up_RadSpec!$H25*s_IFBT_far_adj*s_CF_beet),".")</f>
        <v>6.6115702479338848E-4</v>
      </c>
      <c r="AG25" s="70">
        <f>IFERROR(s_DL/(up_RadSpec!$H25*s_IFBE_far_adj*s_CF_berries),".")</f>
        <v>6.6115702479338848E-4</v>
      </c>
      <c r="AH25" s="70">
        <f>IFERROR(s_DL/(up_RadSpec!$H25*s_IFBR_far_adj*s_CF_broccoli),".")</f>
        <v>6.6115702479338848E-4</v>
      </c>
      <c r="AI25" s="70">
        <f>IFERROR(s_DL/(up_RadSpec!$H25*s_IFCB_far_adj*s_CF_cabbage),".")</f>
        <v>6.6115702479338848E-4</v>
      </c>
      <c r="AJ25" s="70">
        <f>IFERROR(s_DL/(up_RadSpec!$H25*s_IFCR_far_adj*s_CF_carrot),".")</f>
        <v>6.6115702479338848E-4</v>
      </c>
      <c r="AK25" s="70">
        <f>IFERROR(s_DL/(up_RadSpec!$H25*s_IFCI_far_adj*s_CF_citrus),".")</f>
        <v>6.6115702479338848E-4</v>
      </c>
      <c r="AL25" s="70">
        <f>IFERROR(s_DL/(up_RadSpec!$H25*s_IFCO_far_adj*s_CF_corn),".")</f>
        <v>6.6115702479338848E-4</v>
      </c>
      <c r="AM25" s="70">
        <f>IFERROR(s_DL/(up_RadSpec!$H25*s_IFCU_far_adj*s_CF_cucumber),".")</f>
        <v>6.6115702479338848E-4</v>
      </c>
      <c r="AN25" s="70">
        <f>IFERROR(s_DL/(up_RadSpec!$H25*s_IFLE_far_adj*s_CF_lettuce),".")</f>
        <v>6.6115702479338848E-4</v>
      </c>
      <c r="AO25" s="70">
        <f>IFERROR(s_DL/(up_RadSpec!$H25*s_IFLI_far_adj*s_CF_lima_bean),".")</f>
        <v>6.6115702479338848E-4</v>
      </c>
      <c r="AP25" s="70">
        <f>IFERROR(s_DL/(up_RadSpec!$H25*s_IFOK_far_adj*s_CF_okra),".")</f>
        <v>6.6115702479338848E-4</v>
      </c>
      <c r="AQ25" s="70">
        <f>IFERROR(s_DL/(up_RadSpec!$H25*s_IFON_far_adj*s_CF_onion),".")</f>
        <v>6.6115702479338848E-4</v>
      </c>
      <c r="AR25" s="70">
        <f>IFERROR(s_DL/(up_RadSpec!$H25*s_IFPC_far_adj*s_CF_peach),".")</f>
        <v>6.6115702479338848E-4</v>
      </c>
      <c r="AS25" s="70">
        <f>IFERROR(s_DL/(up_RadSpec!$H25*s_IFPR_far_adj*s_CF_pear),".")</f>
        <v>6.6115702479338848E-4</v>
      </c>
      <c r="AT25" s="70">
        <f>IFERROR(s_DL/(up_RadSpec!$H25*s_IFPE_far_adj*s_CF_peas),".")</f>
        <v>6.6115702479338848E-4</v>
      </c>
      <c r="AU25" s="70">
        <f>IFERROR(s_DL/(up_RadSpec!$H25*s_IFPP_far_adj*s_CF_peppers),".")</f>
        <v>6.6115702479338848E-4</v>
      </c>
      <c r="AV25" s="70">
        <f>IFERROR(s_DL/(up_RadSpec!$H25*s_IFPT_far_adj*s_CF_potato),".")</f>
        <v>6.6115702479338848E-4</v>
      </c>
      <c r="AW25" s="70">
        <f>IFERROR(s_DL/(up_RadSpec!$H25*s_IFPU_far_adj*s_CF_pumpkin),".")</f>
        <v>6.6115702479338848E-4</v>
      </c>
      <c r="AX25" s="70">
        <f>IFERROR(s_DL/(up_RadSpec!$H25*s_IFSN_far_adj*s_CF_snap_bean),".")</f>
        <v>6.6115702479338848E-4</v>
      </c>
      <c r="AY25" s="70">
        <f>IFERROR(s_DL/(up_RadSpec!$H25*s_IFST_far_adj*s_CF_strawberry),".")</f>
        <v>6.6115702479338848E-4</v>
      </c>
      <c r="AZ25" s="70">
        <f>IFERROR(s_DL/(up_RadSpec!$H25*s_IFTO_far_adj*s_CF_tomato),".")</f>
        <v>6.6115702479338848E-4</v>
      </c>
      <c r="BA25" s="70">
        <f>IFERROR(s_DL/(up_RadSpec!$H25*s_IFRI_far_adj*s_CF_rice),".")</f>
        <v>6.6115702479338848E-4</v>
      </c>
      <c r="BB25" s="70">
        <f>IFERROR(s_DL/(up_RadSpec!$H25*s_IFCG_far_adj*s_CF_cereal),".")</f>
        <v>6.6115702479338848E-4</v>
      </c>
      <c r="BC25" s="87">
        <f t="shared" si="26"/>
        <v>30250</v>
      </c>
      <c r="BD25" s="87">
        <f t="shared" si="0"/>
        <v>7562.5</v>
      </c>
      <c r="BE25" s="87">
        <f t="shared" si="1"/>
        <v>7562.5</v>
      </c>
      <c r="BF25" s="87">
        <f t="shared" si="2"/>
        <v>7562.5</v>
      </c>
      <c r="BG25" s="87">
        <f t="shared" si="3"/>
        <v>7562.5</v>
      </c>
      <c r="BH25" s="87">
        <f t="shared" si="4"/>
        <v>7562.5</v>
      </c>
      <c r="BI25" s="87">
        <f t="shared" si="5"/>
        <v>7562.5</v>
      </c>
      <c r="BJ25" s="87">
        <f t="shared" si="6"/>
        <v>7562.5</v>
      </c>
      <c r="BK25" s="87">
        <f t="shared" si="7"/>
        <v>7562.5</v>
      </c>
      <c r="BL25" s="87">
        <f t="shared" si="8"/>
        <v>7562.5</v>
      </c>
      <c r="BM25" s="87">
        <f t="shared" si="9"/>
        <v>7562.5</v>
      </c>
      <c r="BN25" s="87">
        <f t="shared" si="10"/>
        <v>7562.5</v>
      </c>
      <c r="BO25" s="87">
        <f t="shared" si="11"/>
        <v>7562.5</v>
      </c>
      <c r="BP25" s="87">
        <f t="shared" si="12"/>
        <v>7562.5</v>
      </c>
      <c r="BQ25" s="87">
        <f t="shared" si="13"/>
        <v>7562.5</v>
      </c>
      <c r="BR25" s="87">
        <f t="shared" si="14"/>
        <v>7562.5</v>
      </c>
      <c r="BS25" s="87">
        <f t="shared" si="15"/>
        <v>7562.5</v>
      </c>
      <c r="BT25" s="87">
        <f t="shared" si="27"/>
        <v>7562.5</v>
      </c>
      <c r="BU25" s="87">
        <f t="shared" si="16"/>
        <v>7562.5</v>
      </c>
      <c r="BV25" s="87">
        <f t="shared" si="17"/>
        <v>7562.5</v>
      </c>
      <c r="BW25" s="87">
        <f t="shared" si="18"/>
        <v>7562.5</v>
      </c>
      <c r="BX25" s="87">
        <f t="shared" si="19"/>
        <v>7562.5</v>
      </c>
      <c r="BY25" s="87">
        <f t="shared" si="20"/>
        <v>7562.5</v>
      </c>
      <c r="BZ25" s="87">
        <f t="shared" si="21"/>
        <v>7562.5</v>
      </c>
      <c r="CA25" s="87">
        <f t="shared" si="22"/>
        <v>7562.5</v>
      </c>
      <c r="CB25" s="87">
        <f t="shared" si="23"/>
        <v>7562.5</v>
      </c>
    </row>
    <row r="26" spans="1:80" x14ac:dyDescent="0.25">
      <c r="A26" s="86" t="s">
        <v>24</v>
      </c>
      <c r="B26" s="84" t="s">
        <v>1057</v>
      </c>
      <c r="C26" s="70">
        <f t="shared" si="24"/>
        <v>1.6528925619834712E-4</v>
      </c>
      <c r="D26" s="70">
        <f>IFERROR(s_DL/(up_RadSpec!$H26*s_IFAP_res_adj*s_CF_apple),".")</f>
        <v>6.6115702479338848E-4</v>
      </c>
      <c r="E26" s="70">
        <f>IFERROR(s_DL/(up_RadSpec!$H26*s_IFAS_res_adj*s_CF_asparagus),".")</f>
        <v>6.6115702479338848E-4</v>
      </c>
      <c r="F26" s="70">
        <f>IFERROR(s_DL/(up_RadSpec!$H26*s_IFBT_res_adj*s_CF_beet),".")</f>
        <v>6.6115702479338848E-4</v>
      </c>
      <c r="G26" s="70">
        <f>IFERROR(s_DL/(up_RadSpec!$H26*s_IFBE_res_adj*s_CF_berries),".")</f>
        <v>6.6115702479338848E-4</v>
      </c>
      <c r="H26" s="70">
        <f>IFERROR(s_DL/(up_RadSpec!$H26*s_IFBR_res_adj*s_CF_broccoli),".")</f>
        <v>6.6115702479338848E-4</v>
      </c>
      <c r="I26" s="70">
        <f>IFERROR(s_DL/(up_RadSpec!$H26*s_IFCB_res_adj*s_CF_cabbage),".")</f>
        <v>6.6115702479338848E-4</v>
      </c>
      <c r="J26" s="70">
        <f>IFERROR(s_DL/(up_RadSpec!$H26*s_IFCR_res_adj*s_CF_carrot),".")</f>
        <v>6.6115702479338848E-4</v>
      </c>
      <c r="K26" s="70">
        <f>IFERROR(s_DL/(up_RadSpec!$H26*s_IFCI_res_adj*s_CF_citrus),".")</f>
        <v>6.6115702479338848E-4</v>
      </c>
      <c r="L26" s="70">
        <f>IFERROR(s_DL/(up_RadSpec!$H26*s_IFCO_res_adj*s_CF_corn),".")</f>
        <v>6.6115702479338848E-4</v>
      </c>
      <c r="M26" s="70">
        <f>IFERROR(s_DL/(up_RadSpec!$H26*s_IFCU_res_adj*s_CF_cucumber),".")</f>
        <v>6.6115702479338848E-4</v>
      </c>
      <c r="N26" s="70">
        <f>IFERROR(s_DL/(up_RadSpec!$H26*s_IFLE_res_adj*s_CF_lettuce),".")</f>
        <v>6.6115702479338848E-4</v>
      </c>
      <c r="O26" s="70">
        <f>IFERROR(s_DL/(up_RadSpec!$H26*s_IFLI_res_adj*s_CF_lima_bean),".")</f>
        <v>6.6115702479338848E-4</v>
      </c>
      <c r="P26" s="70">
        <f>IFERROR(s_DL/(up_RadSpec!$H26*s_IFOK_res_adj*s_CF_okra),".")</f>
        <v>6.6115702479338848E-4</v>
      </c>
      <c r="Q26" s="70">
        <f>IFERROR(s_DL/(up_RadSpec!$H26*s_IFON_res_adj*s_CF_onion),".")</f>
        <v>6.6115702479338848E-4</v>
      </c>
      <c r="R26" s="70">
        <f>IFERROR(s_DL/(up_RadSpec!$H26*s_IFPC_res_adj*s_CF_peach),".")</f>
        <v>6.6115702479338848E-4</v>
      </c>
      <c r="S26" s="70">
        <f>IFERROR(s_DL/(up_RadSpec!$H26*s_IFPR_res_adj*s_CF_pear),".")</f>
        <v>6.6115702479338848E-4</v>
      </c>
      <c r="T26" s="70">
        <f>IFERROR(s_DL/(up_RadSpec!$H26*s_IFPE_res_adj*s_CF_peas),".")</f>
        <v>6.6115702479338848E-4</v>
      </c>
      <c r="U26" s="70">
        <f>IFERROR(s_DL/(up_RadSpec!$H26*s_IFPP_res_adj*s_CF_peppers),".")</f>
        <v>6.6115702479338848E-4</v>
      </c>
      <c r="V26" s="70">
        <f>IFERROR(s_DL/(up_RadSpec!$H26*s_IFPT_res_adj*s_CF_potato),".")</f>
        <v>6.6115702479338848E-4</v>
      </c>
      <c r="W26" s="70">
        <f>IFERROR(s_DL/(up_RadSpec!$H26*s_IFPU_res_adj*s_CF_pumpkin),".")</f>
        <v>6.6115702479338848E-4</v>
      </c>
      <c r="X26" s="70">
        <f>IFERROR(s_DL/(up_RadSpec!$H26*s_IFSN_res_adj*s_CF_snap_bean),".")</f>
        <v>6.6115702479338848E-4</v>
      </c>
      <c r="Y26" s="70">
        <f>IFERROR(s_DL/(up_RadSpec!$H26*s_IFST_res_adj*s_CF_strawberry),".")</f>
        <v>6.6115702479338848E-4</v>
      </c>
      <c r="Z26" s="70">
        <f>IFERROR(s_DL/(up_RadSpec!$H26*s_IFTO_res_adj*s_CF_tomato),".")</f>
        <v>6.6115702479338848E-4</v>
      </c>
      <c r="AA26" s="70">
        <f>IFERROR(s_DL/(up_RadSpec!$H26*s_IFRI_res_adj*s_CF_rice),".")</f>
        <v>6.6115702479338848E-4</v>
      </c>
      <c r="AB26" s="70">
        <f>IFERROR(s_DL/(up_RadSpec!$H26*s_IFCG_res_adj*s_CF_cereal),".")</f>
        <v>6.6115702479338848E-4</v>
      </c>
      <c r="AC26" s="70">
        <f t="shared" si="25"/>
        <v>1.6528925619834712E-4</v>
      </c>
      <c r="AD26" s="70">
        <f>IFERROR(s_DL/(up_RadSpec!$H26*s_IFAP_far_adj*s_CF_apple),".")</f>
        <v>6.6115702479338848E-4</v>
      </c>
      <c r="AE26" s="70">
        <f>IFERROR(s_DL/(up_RadSpec!$H26*s_IFAS_far_adj*s_CF_asparagus),".")</f>
        <v>6.6115702479338848E-4</v>
      </c>
      <c r="AF26" s="70">
        <f>IFERROR(s_DL/(up_RadSpec!$H26*s_IFBT_far_adj*s_CF_beet),".")</f>
        <v>6.6115702479338848E-4</v>
      </c>
      <c r="AG26" s="70">
        <f>IFERROR(s_DL/(up_RadSpec!$H26*s_IFBE_far_adj*s_CF_berries),".")</f>
        <v>6.6115702479338848E-4</v>
      </c>
      <c r="AH26" s="70">
        <f>IFERROR(s_DL/(up_RadSpec!$H26*s_IFBR_far_adj*s_CF_broccoli),".")</f>
        <v>6.6115702479338848E-4</v>
      </c>
      <c r="AI26" s="70">
        <f>IFERROR(s_DL/(up_RadSpec!$H26*s_IFCB_far_adj*s_CF_cabbage),".")</f>
        <v>6.6115702479338848E-4</v>
      </c>
      <c r="AJ26" s="70">
        <f>IFERROR(s_DL/(up_RadSpec!$H26*s_IFCR_far_adj*s_CF_carrot),".")</f>
        <v>6.6115702479338848E-4</v>
      </c>
      <c r="AK26" s="70">
        <f>IFERROR(s_DL/(up_RadSpec!$H26*s_IFCI_far_adj*s_CF_citrus),".")</f>
        <v>6.6115702479338848E-4</v>
      </c>
      <c r="AL26" s="70">
        <f>IFERROR(s_DL/(up_RadSpec!$H26*s_IFCO_far_adj*s_CF_corn),".")</f>
        <v>6.6115702479338848E-4</v>
      </c>
      <c r="AM26" s="70">
        <f>IFERROR(s_DL/(up_RadSpec!$H26*s_IFCU_far_adj*s_CF_cucumber),".")</f>
        <v>6.6115702479338848E-4</v>
      </c>
      <c r="AN26" s="70">
        <f>IFERROR(s_DL/(up_RadSpec!$H26*s_IFLE_far_adj*s_CF_lettuce),".")</f>
        <v>6.6115702479338848E-4</v>
      </c>
      <c r="AO26" s="70">
        <f>IFERROR(s_DL/(up_RadSpec!$H26*s_IFLI_far_adj*s_CF_lima_bean),".")</f>
        <v>6.6115702479338848E-4</v>
      </c>
      <c r="AP26" s="70">
        <f>IFERROR(s_DL/(up_RadSpec!$H26*s_IFOK_far_adj*s_CF_okra),".")</f>
        <v>6.6115702479338848E-4</v>
      </c>
      <c r="AQ26" s="70">
        <f>IFERROR(s_DL/(up_RadSpec!$H26*s_IFON_far_adj*s_CF_onion),".")</f>
        <v>6.6115702479338848E-4</v>
      </c>
      <c r="AR26" s="70">
        <f>IFERROR(s_DL/(up_RadSpec!$H26*s_IFPC_far_adj*s_CF_peach),".")</f>
        <v>6.6115702479338848E-4</v>
      </c>
      <c r="AS26" s="70">
        <f>IFERROR(s_DL/(up_RadSpec!$H26*s_IFPR_far_adj*s_CF_pear),".")</f>
        <v>6.6115702479338848E-4</v>
      </c>
      <c r="AT26" s="70">
        <f>IFERROR(s_DL/(up_RadSpec!$H26*s_IFPE_far_adj*s_CF_peas),".")</f>
        <v>6.6115702479338848E-4</v>
      </c>
      <c r="AU26" s="70">
        <f>IFERROR(s_DL/(up_RadSpec!$H26*s_IFPP_far_adj*s_CF_peppers),".")</f>
        <v>6.6115702479338848E-4</v>
      </c>
      <c r="AV26" s="70">
        <f>IFERROR(s_DL/(up_RadSpec!$H26*s_IFPT_far_adj*s_CF_potato),".")</f>
        <v>6.6115702479338848E-4</v>
      </c>
      <c r="AW26" s="70">
        <f>IFERROR(s_DL/(up_RadSpec!$H26*s_IFPU_far_adj*s_CF_pumpkin),".")</f>
        <v>6.6115702479338848E-4</v>
      </c>
      <c r="AX26" s="70">
        <f>IFERROR(s_DL/(up_RadSpec!$H26*s_IFSN_far_adj*s_CF_snap_bean),".")</f>
        <v>6.6115702479338848E-4</v>
      </c>
      <c r="AY26" s="70">
        <f>IFERROR(s_DL/(up_RadSpec!$H26*s_IFST_far_adj*s_CF_strawberry),".")</f>
        <v>6.6115702479338848E-4</v>
      </c>
      <c r="AZ26" s="70">
        <f>IFERROR(s_DL/(up_RadSpec!$H26*s_IFTO_far_adj*s_CF_tomato),".")</f>
        <v>6.6115702479338848E-4</v>
      </c>
      <c r="BA26" s="70">
        <f>IFERROR(s_DL/(up_RadSpec!$H26*s_IFRI_far_adj*s_CF_rice),".")</f>
        <v>6.6115702479338848E-4</v>
      </c>
      <c r="BB26" s="70">
        <f>IFERROR(s_DL/(up_RadSpec!$H26*s_IFCG_far_adj*s_CF_cereal),".")</f>
        <v>6.6115702479338848E-4</v>
      </c>
      <c r="BC26" s="87">
        <f t="shared" si="26"/>
        <v>30250</v>
      </c>
      <c r="BD26" s="87">
        <f t="shared" si="0"/>
        <v>7562.5</v>
      </c>
      <c r="BE26" s="87">
        <f t="shared" si="1"/>
        <v>7562.5</v>
      </c>
      <c r="BF26" s="87">
        <f t="shared" si="2"/>
        <v>7562.5</v>
      </c>
      <c r="BG26" s="87">
        <f t="shared" si="3"/>
        <v>7562.5</v>
      </c>
      <c r="BH26" s="87">
        <f t="shared" si="4"/>
        <v>7562.5</v>
      </c>
      <c r="BI26" s="87">
        <f t="shared" si="5"/>
        <v>7562.5</v>
      </c>
      <c r="BJ26" s="87">
        <f t="shared" si="6"/>
        <v>7562.5</v>
      </c>
      <c r="BK26" s="87">
        <f t="shared" si="7"/>
        <v>7562.5</v>
      </c>
      <c r="BL26" s="87">
        <f t="shared" si="8"/>
        <v>7562.5</v>
      </c>
      <c r="BM26" s="87">
        <f t="shared" si="9"/>
        <v>7562.5</v>
      </c>
      <c r="BN26" s="87">
        <f t="shared" si="10"/>
        <v>7562.5</v>
      </c>
      <c r="BO26" s="87">
        <f t="shared" si="11"/>
        <v>7562.5</v>
      </c>
      <c r="BP26" s="87">
        <f t="shared" si="12"/>
        <v>7562.5</v>
      </c>
      <c r="BQ26" s="87">
        <f t="shared" si="13"/>
        <v>7562.5</v>
      </c>
      <c r="BR26" s="87">
        <f t="shared" si="14"/>
        <v>7562.5</v>
      </c>
      <c r="BS26" s="87">
        <f t="shared" si="15"/>
        <v>7562.5</v>
      </c>
      <c r="BT26" s="87">
        <f t="shared" si="27"/>
        <v>7562.5</v>
      </c>
      <c r="BU26" s="87">
        <f t="shared" si="16"/>
        <v>7562.5</v>
      </c>
      <c r="BV26" s="87">
        <f t="shared" si="17"/>
        <v>7562.5</v>
      </c>
      <c r="BW26" s="87">
        <f t="shared" si="18"/>
        <v>7562.5</v>
      </c>
      <c r="BX26" s="87">
        <f t="shared" si="19"/>
        <v>7562.5</v>
      </c>
      <c r="BY26" s="87">
        <f t="shared" si="20"/>
        <v>7562.5</v>
      </c>
      <c r="BZ26" s="87">
        <f t="shared" si="21"/>
        <v>7562.5</v>
      </c>
      <c r="CA26" s="87">
        <f t="shared" si="22"/>
        <v>7562.5</v>
      </c>
      <c r="CB26" s="87">
        <f t="shared" si="23"/>
        <v>7562.5</v>
      </c>
    </row>
    <row r="27" spans="1:80" x14ac:dyDescent="0.25">
      <c r="A27" s="86" t="s">
        <v>25</v>
      </c>
      <c r="B27" s="84" t="s">
        <v>1057</v>
      </c>
      <c r="C27" s="70">
        <f t="shared" si="24"/>
        <v>1.6528925619834712E-4</v>
      </c>
      <c r="D27" s="70">
        <f>IFERROR(s_DL/(up_RadSpec!$H27*s_IFAP_res_adj*s_CF_apple),".")</f>
        <v>6.6115702479338848E-4</v>
      </c>
      <c r="E27" s="70">
        <f>IFERROR(s_DL/(up_RadSpec!$H27*s_IFAS_res_adj*s_CF_asparagus),".")</f>
        <v>6.6115702479338848E-4</v>
      </c>
      <c r="F27" s="70">
        <f>IFERROR(s_DL/(up_RadSpec!$H27*s_IFBT_res_adj*s_CF_beet),".")</f>
        <v>6.6115702479338848E-4</v>
      </c>
      <c r="G27" s="70">
        <f>IFERROR(s_DL/(up_RadSpec!$H27*s_IFBE_res_adj*s_CF_berries),".")</f>
        <v>6.6115702479338848E-4</v>
      </c>
      <c r="H27" s="70">
        <f>IFERROR(s_DL/(up_RadSpec!$H27*s_IFBR_res_adj*s_CF_broccoli),".")</f>
        <v>6.6115702479338848E-4</v>
      </c>
      <c r="I27" s="70">
        <f>IFERROR(s_DL/(up_RadSpec!$H27*s_IFCB_res_adj*s_CF_cabbage),".")</f>
        <v>6.6115702479338848E-4</v>
      </c>
      <c r="J27" s="70">
        <f>IFERROR(s_DL/(up_RadSpec!$H27*s_IFCR_res_adj*s_CF_carrot),".")</f>
        <v>6.6115702479338848E-4</v>
      </c>
      <c r="K27" s="70">
        <f>IFERROR(s_DL/(up_RadSpec!$H27*s_IFCI_res_adj*s_CF_citrus),".")</f>
        <v>6.6115702479338848E-4</v>
      </c>
      <c r="L27" s="70">
        <f>IFERROR(s_DL/(up_RadSpec!$H27*s_IFCO_res_adj*s_CF_corn),".")</f>
        <v>6.6115702479338848E-4</v>
      </c>
      <c r="M27" s="70">
        <f>IFERROR(s_DL/(up_RadSpec!$H27*s_IFCU_res_adj*s_CF_cucumber),".")</f>
        <v>6.6115702479338848E-4</v>
      </c>
      <c r="N27" s="70">
        <f>IFERROR(s_DL/(up_RadSpec!$H27*s_IFLE_res_adj*s_CF_lettuce),".")</f>
        <v>6.6115702479338848E-4</v>
      </c>
      <c r="O27" s="70">
        <f>IFERROR(s_DL/(up_RadSpec!$H27*s_IFLI_res_adj*s_CF_lima_bean),".")</f>
        <v>6.6115702479338848E-4</v>
      </c>
      <c r="P27" s="70">
        <f>IFERROR(s_DL/(up_RadSpec!$H27*s_IFOK_res_adj*s_CF_okra),".")</f>
        <v>6.6115702479338848E-4</v>
      </c>
      <c r="Q27" s="70">
        <f>IFERROR(s_DL/(up_RadSpec!$H27*s_IFON_res_adj*s_CF_onion),".")</f>
        <v>6.6115702479338848E-4</v>
      </c>
      <c r="R27" s="70">
        <f>IFERROR(s_DL/(up_RadSpec!$H27*s_IFPC_res_adj*s_CF_peach),".")</f>
        <v>6.6115702479338848E-4</v>
      </c>
      <c r="S27" s="70">
        <f>IFERROR(s_DL/(up_RadSpec!$H27*s_IFPR_res_adj*s_CF_pear),".")</f>
        <v>6.6115702479338848E-4</v>
      </c>
      <c r="T27" s="70">
        <f>IFERROR(s_DL/(up_RadSpec!$H27*s_IFPE_res_adj*s_CF_peas),".")</f>
        <v>6.6115702479338848E-4</v>
      </c>
      <c r="U27" s="70">
        <f>IFERROR(s_DL/(up_RadSpec!$H27*s_IFPP_res_adj*s_CF_peppers),".")</f>
        <v>6.6115702479338848E-4</v>
      </c>
      <c r="V27" s="70">
        <f>IFERROR(s_DL/(up_RadSpec!$H27*s_IFPT_res_adj*s_CF_potato),".")</f>
        <v>6.6115702479338848E-4</v>
      </c>
      <c r="W27" s="70">
        <f>IFERROR(s_DL/(up_RadSpec!$H27*s_IFPU_res_adj*s_CF_pumpkin),".")</f>
        <v>6.6115702479338848E-4</v>
      </c>
      <c r="X27" s="70">
        <f>IFERROR(s_DL/(up_RadSpec!$H27*s_IFSN_res_adj*s_CF_snap_bean),".")</f>
        <v>6.6115702479338848E-4</v>
      </c>
      <c r="Y27" s="70">
        <f>IFERROR(s_DL/(up_RadSpec!$H27*s_IFST_res_adj*s_CF_strawberry),".")</f>
        <v>6.6115702479338848E-4</v>
      </c>
      <c r="Z27" s="70">
        <f>IFERROR(s_DL/(up_RadSpec!$H27*s_IFTO_res_adj*s_CF_tomato),".")</f>
        <v>6.6115702479338848E-4</v>
      </c>
      <c r="AA27" s="70">
        <f>IFERROR(s_DL/(up_RadSpec!$H27*s_IFRI_res_adj*s_CF_rice),".")</f>
        <v>6.6115702479338848E-4</v>
      </c>
      <c r="AB27" s="70">
        <f>IFERROR(s_DL/(up_RadSpec!$H27*s_IFCG_res_adj*s_CF_cereal),".")</f>
        <v>6.6115702479338848E-4</v>
      </c>
      <c r="AC27" s="70">
        <f t="shared" si="25"/>
        <v>1.6528925619834712E-4</v>
      </c>
      <c r="AD27" s="70">
        <f>IFERROR(s_DL/(up_RadSpec!$H27*s_IFAP_far_adj*s_CF_apple),".")</f>
        <v>6.6115702479338848E-4</v>
      </c>
      <c r="AE27" s="70">
        <f>IFERROR(s_DL/(up_RadSpec!$H27*s_IFAS_far_adj*s_CF_asparagus),".")</f>
        <v>6.6115702479338848E-4</v>
      </c>
      <c r="AF27" s="70">
        <f>IFERROR(s_DL/(up_RadSpec!$H27*s_IFBT_far_adj*s_CF_beet),".")</f>
        <v>6.6115702479338848E-4</v>
      </c>
      <c r="AG27" s="70">
        <f>IFERROR(s_DL/(up_RadSpec!$H27*s_IFBE_far_adj*s_CF_berries),".")</f>
        <v>6.6115702479338848E-4</v>
      </c>
      <c r="AH27" s="70">
        <f>IFERROR(s_DL/(up_RadSpec!$H27*s_IFBR_far_adj*s_CF_broccoli),".")</f>
        <v>6.6115702479338848E-4</v>
      </c>
      <c r="AI27" s="70">
        <f>IFERROR(s_DL/(up_RadSpec!$H27*s_IFCB_far_adj*s_CF_cabbage),".")</f>
        <v>6.6115702479338848E-4</v>
      </c>
      <c r="AJ27" s="70">
        <f>IFERROR(s_DL/(up_RadSpec!$H27*s_IFCR_far_adj*s_CF_carrot),".")</f>
        <v>6.6115702479338848E-4</v>
      </c>
      <c r="AK27" s="70">
        <f>IFERROR(s_DL/(up_RadSpec!$H27*s_IFCI_far_adj*s_CF_citrus),".")</f>
        <v>6.6115702479338848E-4</v>
      </c>
      <c r="AL27" s="70">
        <f>IFERROR(s_DL/(up_RadSpec!$H27*s_IFCO_far_adj*s_CF_corn),".")</f>
        <v>6.6115702479338848E-4</v>
      </c>
      <c r="AM27" s="70">
        <f>IFERROR(s_DL/(up_RadSpec!$H27*s_IFCU_far_adj*s_CF_cucumber),".")</f>
        <v>6.6115702479338848E-4</v>
      </c>
      <c r="AN27" s="70">
        <f>IFERROR(s_DL/(up_RadSpec!$H27*s_IFLE_far_adj*s_CF_lettuce),".")</f>
        <v>6.6115702479338848E-4</v>
      </c>
      <c r="AO27" s="70">
        <f>IFERROR(s_DL/(up_RadSpec!$H27*s_IFLI_far_adj*s_CF_lima_bean),".")</f>
        <v>6.6115702479338848E-4</v>
      </c>
      <c r="AP27" s="70">
        <f>IFERROR(s_DL/(up_RadSpec!$H27*s_IFOK_far_adj*s_CF_okra),".")</f>
        <v>6.6115702479338848E-4</v>
      </c>
      <c r="AQ27" s="70">
        <f>IFERROR(s_DL/(up_RadSpec!$H27*s_IFON_far_adj*s_CF_onion),".")</f>
        <v>6.6115702479338848E-4</v>
      </c>
      <c r="AR27" s="70">
        <f>IFERROR(s_DL/(up_RadSpec!$H27*s_IFPC_far_adj*s_CF_peach),".")</f>
        <v>6.6115702479338848E-4</v>
      </c>
      <c r="AS27" s="70">
        <f>IFERROR(s_DL/(up_RadSpec!$H27*s_IFPR_far_adj*s_CF_pear),".")</f>
        <v>6.6115702479338848E-4</v>
      </c>
      <c r="AT27" s="70">
        <f>IFERROR(s_DL/(up_RadSpec!$H27*s_IFPE_far_adj*s_CF_peas),".")</f>
        <v>6.6115702479338848E-4</v>
      </c>
      <c r="AU27" s="70">
        <f>IFERROR(s_DL/(up_RadSpec!$H27*s_IFPP_far_adj*s_CF_peppers),".")</f>
        <v>6.6115702479338848E-4</v>
      </c>
      <c r="AV27" s="70">
        <f>IFERROR(s_DL/(up_RadSpec!$H27*s_IFPT_far_adj*s_CF_potato),".")</f>
        <v>6.6115702479338848E-4</v>
      </c>
      <c r="AW27" s="70">
        <f>IFERROR(s_DL/(up_RadSpec!$H27*s_IFPU_far_adj*s_CF_pumpkin),".")</f>
        <v>6.6115702479338848E-4</v>
      </c>
      <c r="AX27" s="70">
        <f>IFERROR(s_DL/(up_RadSpec!$H27*s_IFSN_far_adj*s_CF_snap_bean),".")</f>
        <v>6.6115702479338848E-4</v>
      </c>
      <c r="AY27" s="70">
        <f>IFERROR(s_DL/(up_RadSpec!$H27*s_IFST_far_adj*s_CF_strawberry),".")</f>
        <v>6.6115702479338848E-4</v>
      </c>
      <c r="AZ27" s="70">
        <f>IFERROR(s_DL/(up_RadSpec!$H27*s_IFTO_far_adj*s_CF_tomato),".")</f>
        <v>6.6115702479338848E-4</v>
      </c>
      <c r="BA27" s="70">
        <f>IFERROR(s_DL/(up_RadSpec!$H27*s_IFRI_far_adj*s_CF_rice),".")</f>
        <v>6.6115702479338848E-4</v>
      </c>
      <c r="BB27" s="70">
        <f>IFERROR(s_DL/(up_RadSpec!$H27*s_IFCG_far_adj*s_CF_cereal),".")</f>
        <v>6.6115702479338848E-4</v>
      </c>
      <c r="BC27" s="87">
        <f t="shared" si="26"/>
        <v>30250</v>
      </c>
      <c r="BD27" s="87">
        <f t="shared" si="0"/>
        <v>7562.5</v>
      </c>
      <c r="BE27" s="87">
        <f t="shared" si="1"/>
        <v>7562.5</v>
      </c>
      <c r="BF27" s="87">
        <f t="shared" si="2"/>
        <v>7562.5</v>
      </c>
      <c r="BG27" s="87">
        <f t="shared" si="3"/>
        <v>7562.5</v>
      </c>
      <c r="BH27" s="87">
        <f t="shared" si="4"/>
        <v>7562.5</v>
      </c>
      <c r="BI27" s="87">
        <f t="shared" si="5"/>
        <v>7562.5</v>
      </c>
      <c r="BJ27" s="87">
        <f t="shared" si="6"/>
        <v>7562.5</v>
      </c>
      <c r="BK27" s="87">
        <f t="shared" si="7"/>
        <v>7562.5</v>
      </c>
      <c r="BL27" s="87">
        <f t="shared" si="8"/>
        <v>7562.5</v>
      </c>
      <c r="BM27" s="87">
        <f t="shared" si="9"/>
        <v>7562.5</v>
      </c>
      <c r="BN27" s="87">
        <f t="shared" si="10"/>
        <v>7562.5</v>
      </c>
      <c r="BO27" s="87">
        <f t="shared" si="11"/>
        <v>7562.5</v>
      </c>
      <c r="BP27" s="87">
        <f t="shared" si="12"/>
        <v>7562.5</v>
      </c>
      <c r="BQ27" s="87">
        <f t="shared" si="13"/>
        <v>7562.5</v>
      </c>
      <c r="BR27" s="87">
        <f t="shared" si="14"/>
        <v>7562.5</v>
      </c>
      <c r="BS27" s="87">
        <f t="shared" si="15"/>
        <v>7562.5</v>
      </c>
      <c r="BT27" s="87">
        <f t="shared" si="27"/>
        <v>7562.5</v>
      </c>
      <c r="BU27" s="87">
        <f t="shared" si="16"/>
        <v>7562.5</v>
      </c>
      <c r="BV27" s="87">
        <f t="shared" si="17"/>
        <v>7562.5</v>
      </c>
      <c r="BW27" s="87">
        <f t="shared" si="18"/>
        <v>7562.5</v>
      </c>
      <c r="BX27" s="87">
        <f t="shared" si="19"/>
        <v>7562.5</v>
      </c>
      <c r="BY27" s="87">
        <f t="shared" si="20"/>
        <v>7562.5</v>
      </c>
      <c r="BZ27" s="87">
        <f t="shared" si="21"/>
        <v>7562.5</v>
      </c>
      <c r="CA27" s="87">
        <f t="shared" si="22"/>
        <v>7562.5</v>
      </c>
      <c r="CB27" s="87">
        <f t="shared" si="23"/>
        <v>7562.5</v>
      </c>
    </row>
    <row r="28" spans="1:80" x14ac:dyDescent="0.25">
      <c r="A28" s="86" t="s">
        <v>26</v>
      </c>
      <c r="B28" s="84" t="s">
        <v>1057</v>
      </c>
      <c r="C28" s="70">
        <f t="shared" si="24"/>
        <v>1.6528925619834712E-4</v>
      </c>
      <c r="D28" s="70">
        <f>IFERROR(s_DL/(up_RadSpec!$H28*s_IFAP_res_adj*s_CF_apple),".")</f>
        <v>6.6115702479338848E-4</v>
      </c>
      <c r="E28" s="70">
        <f>IFERROR(s_DL/(up_RadSpec!$H28*s_IFAS_res_adj*s_CF_asparagus),".")</f>
        <v>6.6115702479338848E-4</v>
      </c>
      <c r="F28" s="70">
        <f>IFERROR(s_DL/(up_RadSpec!$H28*s_IFBT_res_adj*s_CF_beet),".")</f>
        <v>6.6115702479338848E-4</v>
      </c>
      <c r="G28" s="70">
        <f>IFERROR(s_DL/(up_RadSpec!$H28*s_IFBE_res_adj*s_CF_berries),".")</f>
        <v>6.6115702479338848E-4</v>
      </c>
      <c r="H28" s="70">
        <f>IFERROR(s_DL/(up_RadSpec!$H28*s_IFBR_res_adj*s_CF_broccoli),".")</f>
        <v>6.6115702479338848E-4</v>
      </c>
      <c r="I28" s="70">
        <f>IFERROR(s_DL/(up_RadSpec!$H28*s_IFCB_res_adj*s_CF_cabbage),".")</f>
        <v>6.6115702479338848E-4</v>
      </c>
      <c r="J28" s="70">
        <f>IFERROR(s_DL/(up_RadSpec!$H28*s_IFCR_res_adj*s_CF_carrot),".")</f>
        <v>6.6115702479338848E-4</v>
      </c>
      <c r="K28" s="70">
        <f>IFERROR(s_DL/(up_RadSpec!$H28*s_IFCI_res_adj*s_CF_citrus),".")</f>
        <v>6.6115702479338848E-4</v>
      </c>
      <c r="L28" s="70">
        <f>IFERROR(s_DL/(up_RadSpec!$H28*s_IFCO_res_adj*s_CF_corn),".")</f>
        <v>6.6115702479338848E-4</v>
      </c>
      <c r="M28" s="70">
        <f>IFERROR(s_DL/(up_RadSpec!$H28*s_IFCU_res_adj*s_CF_cucumber),".")</f>
        <v>6.6115702479338848E-4</v>
      </c>
      <c r="N28" s="70">
        <f>IFERROR(s_DL/(up_RadSpec!$H28*s_IFLE_res_adj*s_CF_lettuce),".")</f>
        <v>6.6115702479338848E-4</v>
      </c>
      <c r="O28" s="70">
        <f>IFERROR(s_DL/(up_RadSpec!$H28*s_IFLI_res_adj*s_CF_lima_bean),".")</f>
        <v>6.6115702479338848E-4</v>
      </c>
      <c r="P28" s="70">
        <f>IFERROR(s_DL/(up_RadSpec!$H28*s_IFOK_res_adj*s_CF_okra),".")</f>
        <v>6.6115702479338848E-4</v>
      </c>
      <c r="Q28" s="70">
        <f>IFERROR(s_DL/(up_RadSpec!$H28*s_IFON_res_adj*s_CF_onion),".")</f>
        <v>6.6115702479338848E-4</v>
      </c>
      <c r="R28" s="70">
        <f>IFERROR(s_DL/(up_RadSpec!$H28*s_IFPC_res_adj*s_CF_peach),".")</f>
        <v>6.6115702479338848E-4</v>
      </c>
      <c r="S28" s="70">
        <f>IFERROR(s_DL/(up_RadSpec!$H28*s_IFPR_res_adj*s_CF_pear),".")</f>
        <v>6.6115702479338848E-4</v>
      </c>
      <c r="T28" s="70">
        <f>IFERROR(s_DL/(up_RadSpec!$H28*s_IFPE_res_adj*s_CF_peas),".")</f>
        <v>6.6115702479338848E-4</v>
      </c>
      <c r="U28" s="70">
        <f>IFERROR(s_DL/(up_RadSpec!$H28*s_IFPP_res_adj*s_CF_peppers),".")</f>
        <v>6.6115702479338848E-4</v>
      </c>
      <c r="V28" s="70">
        <f>IFERROR(s_DL/(up_RadSpec!$H28*s_IFPT_res_adj*s_CF_potato),".")</f>
        <v>6.6115702479338848E-4</v>
      </c>
      <c r="W28" s="70">
        <f>IFERROR(s_DL/(up_RadSpec!$H28*s_IFPU_res_adj*s_CF_pumpkin),".")</f>
        <v>6.6115702479338848E-4</v>
      </c>
      <c r="X28" s="70">
        <f>IFERROR(s_DL/(up_RadSpec!$H28*s_IFSN_res_adj*s_CF_snap_bean),".")</f>
        <v>6.6115702479338848E-4</v>
      </c>
      <c r="Y28" s="70">
        <f>IFERROR(s_DL/(up_RadSpec!$H28*s_IFST_res_adj*s_CF_strawberry),".")</f>
        <v>6.6115702479338848E-4</v>
      </c>
      <c r="Z28" s="70">
        <f>IFERROR(s_DL/(up_RadSpec!$H28*s_IFTO_res_adj*s_CF_tomato),".")</f>
        <v>6.6115702479338848E-4</v>
      </c>
      <c r="AA28" s="70">
        <f>IFERROR(s_DL/(up_RadSpec!$H28*s_IFRI_res_adj*s_CF_rice),".")</f>
        <v>6.6115702479338848E-4</v>
      </c>
      <c r="AB28" s="70">
        <f>IFERROR(s_DL/(up_RadSpec!$H28*s_IFCG_res_adj*s_CF_cereal),".")</f>
        <v>6.6115702479338848E-4</v>
      </c>
      <c r="AC28" s="70">
        <f t="shared" si="25"/>
        <v>1.6528925619834712E-4</v>
      </c>
      <c r="AD28" s="70">
        <f>IFERROR(s_DL/(up_RadSpec!$H28*s_IFAP_far_adj*s_CF_apple),".")</f>
        <v>6.6115702479338848E-4</v>
      </c>
      <c r="AE28" s="70">
        <f>IFERROR(s_DL/(up_RadSpec!$H28*s_IFAS_far_adj*s_CF_asparagus),".")</f>
        <v>6.6115702479338848E-4</v>
      </c>
      <c r="AF28" s="70">
        <f>IFERROR(s_DL/(up_RadSpec!$H28*s_IFBT_far_adj*s_CF_beet),".")</f>
        <v>6.6115702479338848E-4</v>
      </c>
      <c r="AG28" s="70">
        <f>IFERROR(s_DL/(up_RadSpec!$H28*s_IFBE_far_adj*s_CF_berries),".")</f>
        <v>6.6115702479338848E-4</v>
      </c>
      <c r="AH28" s="70">
        <f>IFERROR(s_DL/(up_RadSpec!$H28*s_IFBR_far_adj*s_CF_broccoli),".")</f>
        <v>6.6115702479338848E-4</v>
      </c>
      <c r="AI28" s="70">
        <f>IFERROR(s_DL/(up_RadSpec!$H28*s_IFCB_far_adj*s_CF_cabbage),".")</f>
        <v>6.6115702479338848E-4</v>
      </c>
      <c r="AJ28" s="70">
        <f>IFERROR(s_DL/(up_RadSpec!$H28*s_IFCR_far_adj*s_CF_carrot),".")</f>
        <v>6.6115702479338848E-4</v>
      </c>
      <c r="AK28" s="70">
        <f>IFERROR(s_DL/(up_RadSpec!$H28*s_IFCI_far_adj*s_CF_citrus),".")</f>
        <v>6.6115702479338848E-4</v>
      </c>
      <c r="AL28" s="70">
        <f>IFERROR(s_DL/(up_RadSpec!$H28*s_IFCO_far_adj*s_CF_corn),".")</f>
        <v>6.6115702479338848E-4</v>
      </c>
      <c r="AM28" s="70">
        <f>IFERROR(s_DL/(up_RadSpec!$H28*s_IFCU_far_adj*s_CF_cucumber),".")</f>
        <v>6.6115702479338848E-4</v>
      </c>
      <c r="AN28" s="70">
        <f>IFERROR(s_DL/(up_RadSpec!$H28*s_IFLE_far_adj*s_CF_lettuce),".")</f>
        <v>6.6115702479338848E-4</v>
      </c>
      <c r="AO28" s="70">
        <f>IFERROR(s_DL/(up_RadSpec!$H28*s_IFLI_far_adj*s_CF_lima_bean),".")</f>
        <v>6.6115702479338848E-4</v>
      </c>
      <c r="AP28" s="70">
        <f>IFERROR(s_DL/(up_RadSpec!$H28*s_IFOK_far_adj*s_CF_okra),".")</f>
        <v>6.6115702479338848E-4</v>
      </c>
      <c r="AQ28" s="70">
        <f>IFERROR(s_DL/(up_RadSpec!$H28*s_IFON_far_adj*s_CF_onion),".")</f>
        <v>6.6115702479338848E-4</v>
      </c>
      <c r="AR28" s="70">
        <f>IFERROR(s_DL/(up_RadSpec!$H28*s_IFPC_far_adj*s_CF_peach),".")</f>
        <v>6.6115702479338848E-4</v>
      </c>
      <c r="AS28" s="70">
        <f>IFERROR(s_DL/(up_RadSpec!$H28*s_IFPR_far_adj*s_CF_pear),".")</f>
        <v>6.6115702479338848E-4</v>
      </c>
      <c r="AT28" s="70">
        <f>IFERROR(s_DL/(up_RadSpec!$H28*s_IFPE_far_adj*s_CF_peas),".")</f>
        <v>6.6115702479338848E-4</v>
      </c>
      <c r="AU28" s="70">
        <f>IFERROR(s_DL/(up_RadSpec!$H28*s_IFPP_far_adj*s_CF_peppers),".")</f>
        <v>6.6115702479338848E-4</v>
      </c>
      <c r="AV28" s="70">
        <f>IFERROR(s_DL/(up_RadSpec!$H28*s_IFPT_far_adj*s_CF_potato),".")</f>
        <v>6.6115702479338848E-4</v>
      </c>
      <c r="AW28" s="70">
        <f>IFERROR(s_DL/(up_RadSpec!$H28*s_IFPU_far_adj*s_CF_pumpkin),".")</f>
        <v>6.6115702479338848E-4</v>
      </c>
      <c r="AX28" s="70">
        <f>IFERROR(s_DL/(up_RadSpec!$H28*s_IFSN_far_adj*s_CF_snap_bean),".")</f>
        <v>6.6115702479338848E-4</v>
      </c>
      <c r="AY28" s="70">
        <f>IFERROR(s_DL/(up_RadSpec!$H28*s_IFST_far_adj*s_CF_strawberry),".")</f>
        <v>6.6115702479338848E-4</v>
      </c>
      <c r="AZ28" s="70">
        <f>IFERROR(s_DL/(up_RadSpec!$H28*s_IFTO_far_adj*s_CF_tomato),".")</f>
        <v>6.6115702479338848E-4</v>
      </c>
      <c r="BA28" s="70">
        <f>IFERROR(s_DL/(up_RadSpec!$H28*s_IFRI_far_adj*s_CF_rice),".")</f>
        <v>6.6115702479338848E-4</v>
      </c>
      <c r="BB28" s="70">
        <f>IFERROR(s_DL/(up_RadSpec!$H28*s_IFCG_far_adj*s_CF_cereal),".")</f>
        <v>6.6115702479338848E-4</v>
      </c>
      <c r="BC28" s="87">
        <f t="shared" si="26"/>
        <v>30250</v>
      </c>
      <c r="BD28" s="87">
        <f t="shared" si="0"/>
        <v>7562.5</v>
      </c>
      <c r="BE28" s="87">
        <f t="shared" si="1"/>
        <v>7562.5</v>
      </c>
      <c r="BF28" s="87">
        <f t="shared" si="2"/>
        <v>7562.5</v>
      </c>
      <c r="BG28" s="87">
        <f t="shared" si="3"/>
        <v>7562.5</v>
      </c>
      <c r="BH28" s="87">
        <f t="shared" si="4"/>
        <v>7562.5</v>
      </c>
      <c r="BI28" s="87">
        <f t="shared" si="5"/>
        <v>7562.5</v>
      </c>
      <c r="BJ28" s="87">
        <f t="shared" si="6"/>
        <v>7562.5</v>
      </c>
      <c r="BK28" s="87">
        <f t="shared" si="7"/>
        <v>7562.5</v>
      </c>
      <c r="BL28" s="87">
        <f t="shared" si="8"/>
        <v>7562.5</v>
      </c>
      <c r="BM28" s="87">
        <f t="shared" si="9"/>
        <v>7562.5</v>
      </c>
      <c r="BN28" s="87">
        <f t="shared" si="10"/>
        <v>7562.5</v>
      </c>
      <c r="BO28" s="87">
        <f t="shared" si="11"/>
        <v>7562.5</v>
      </c>
      <c r="BP28" s="87">
        <f t="shared" si="12"/>
        <v>7562.5</v>
      </c>
      <c r="BQ28" s="87">
        <f t="shared" si="13"/>
        <v>7562.5</v>
      </c>
      <c r="BR28" s="87">
        <f t="shared" si="14"/>
        <v>7562.5</v>
      </c>
      <c r="BS28" s="87">
        <f t="shared" si="15"/>
        <v>7562.5</v>
      </c>
      <c r="BT28" s="87">
        <f t="shared" si="27"/>
        <v>7562.5</v>
      </c>
      <c r="BU28" s="87">
        <f t="shared" si="16"/>
        <v>7562.5</v>
      </c>
      <c r="BV28" s="87">
        <f t="shared" si="17"/>
        <v>7562.5</v>
      </c>
      <c r="BW28" s="87">
        <f t="shared" si="18"/>
        <v>7562.5</v>
      </c>
      <c r="BX28" s="87">
        <f t="shared" si="19"/>
        <v>7562.5</v>
      </c>
      <c r="BY28" s="87">
        <f t="shared" si="20"/>
        <v>7562.5</v>
      </c>
      <c r="BZ28" s="87">
        <f t="shared" si="21"/>
        <v>7562.5</v>
      </c>
      <c r="CA28" s="87">
        <f t="shared" si="22"/>
        <v>7562.5</v>
      </c>
      <c r="CB28" s="87">
        <f t="shared" si="23"/>
        <v>7562.5</v>
      </c>
    </row>
    <row r="29" spans="1:80" x14ac:dyDescent="0.25">
      <c r="A29" s="86" t="s">
        <v>27</v>
      </c>
      <c r="B29" s="84" t="s">
        <v>1057</v>
      </c>
      <c r="C29" s="70">
        <f t="shared" si="24"/>
        <v>1.6528925619834712E-4</v>
      </c>
      <c r="D29" s="70">
        <f>IFERROR(s_DL/(up_RadSpec!$H29*s_IFAP_res_adj*s_CF_apple),".")</f>
        <v>6.6115702479338848E-4</v>
      </c>
      <c r="E29" s="70">
        <f>IFERROR(s_DL/(up_RadSpec!$H29*s_IFAS_res_adj*s_CF_asparagus),".")</f>
        <v>6.6115702479338848E-4</v>
      </c>
      <c r="F29" s="70">
        <f>IFERROR(s_DL/(up_RadSpec!$H29*s_IFBT_res_adj*s_CF_beet),".")</f>
        <v>6.6115702479338848E-4</v>
      </c>
      <c r="G29" s="70">
        <f>IFERROR(s_DL/(up_RadSpec!$H29*s_IFBE_res_adj*s_CF_berries),".")</f>
        <v>6.6115702479338848E-4</v>
      </c>
      <c r="H29" s="70">
        <f>IFERROR(s_DL/(up_RadSpec!$H29*s_IFBR_res_adj*s_CF_broccoli),".")</f>
        <v>6.6115702479338848E-4</v>
      </c>
      <c r="I29" s="70">
        <f>IFERROR(s_DL/(up_RadSpec!$H29*s_IFCB_res_adj*s_CF_cabbage),".")</f>
        <v>6.6115702479338848E-4</v>
      </c>
      <c r="J29" s="70">
        <f>IFERROR(s_DL/(up_RadSpec!$H29*s_IFCR_res_adj*s_CF_carrot),".")</f>
        <v>6.6115702479338848E-4</v>
      </c>
      <c r="K29" s="70">
        <f>IFERROR(s_DL/(up_RadSpec!$H29*s_IFCI_res_adj*s_CF_citrus),".")</f>
        <v>6.6115702479338848E-4</v>
      </c>
      <c r="L29" s="70">
        <f>IFERROR(s_DL/(up_RadSpec!$H29*s_IFCO_res_adj*s_CF_corn),".")</f>
        <v>6.6115702479338848E-4</v>
      </c>
      <c r="M29" s="70">
        <f>IFERROR(s_DL/(up_RadSpec!$H29*s_IFCU_res_adj*s_CF_cucumber),".")</f>
        <v>6.6115702479338848E-4</v>
      </c>
      <c r="N29" s="70">
        <f>IFERROR(s_DL/(up_RadSpec!$H29*s_IFLE_res_adj*s_CF_lettuce),".")</f>
        <v>6.6115702479338848E-4</v>
      </c>
      <c r="O29" s="70">
        <f>IFERROR(s_DL/(up_RadSpec!$H29*s_IFLI_res_adj*s_CF_lima_bean),".")</f>
        <v>6.6115702479338848E-4</v>
      </c>
      <c r="P29" s="70">
        <f>IFERROR(s_DL/(up_RadSpec!$H29*s_IFOK_res_adj*s_CF_okra),".")</f>
        <v>6.6115702479338848E-4</v>
      </c>
      <c r="Q29" s="70">
        <f>IFERROR(s_DL/(up_RadSpec!$H29*s_IFON_res_adj*s_CF_onion),".")</f>
        <v>6.6115702479338848E-4</v>
      </c>
      <c r="R29" s="70">
        <f>IFERROR(s_DL/(up_RadSpec!$H29*s_IFPC_res_adj*s_CF_peach),".")</f>
        <v>6.6115702479338848E-4</v>
      </c>
      <c r="S29" s="70">
        <f>IFERROR(s_DL/(up_RadSpec!$H29*s_IFPR_res_adj*s_CF_pear),".")</f>
        <v>6.6115702479338848E-4</v>
      </c>
      <c r="T29" s="70">
        <f>IFERROR(s_DL/(up_RadSpec!$H29*s_IFPE_res_adj*s_CF_peas),".")</f>
        <v>6.6115702479338848E-4</v>
      </c>
      <c r="U29" s="70">
        <f>IFERROR(s_DL/(up_RadSpec!$H29*s_IFPP_res_adj*s_CF_peppers),".")</f>
        <v>6.6115702479338848E-4</v>
      </c>
      <c r="V29" s="70">
        <f>IFERROR(s_DL/(up_RadSpec!$H29*s_IFPT_res_adj*s_CF_potato),".")</f>
        <v>6.6115702479338848E-4</v>
      </c>
      <c r="W29" s="70">
        <f>IFERROR(s_DL/(up_RadSpec!$H29*s_IFPU_res_adj*s_CF_pumpkin),".")</f>
        <v>6.6115702479338848E-4</v>
      </c>
      <c r="X29" s="70">
        <f>IFERROR(s_DL/(up_RadSpec!$H29*s_IFSN_res_adj*s_CF_snap_bean),".")</f>
        <v>6.6115702479338848E-4</v>
      </c>
      <c r="Y29" s="70">
        <f>IFERROR(s_DL/(up_RadSpec!$H29*s_IFST_res_adj*s_CF_strawberry),".")</f>
        <v>6.6115702479338848E-4</v>
      </c>
      <c r="Z29" s="70">
        <f>IFERROR(s_DL/(up_RadSpec!$H29*s_IFTO_res_adj*s_CF_tomato),".")</f>
        <v>6.6115702479338848E-4</v>
      </c>
      <c r="AA29" s="70">
        <f>IFERROR(s_DL/(up_RadSpec!$H29*s_IFRI_res_adj*s_CF_rice),".")</f>
        <v>6.6115702479338848E-4</v>
      </c>
      <c r="AB29" s="70">
        <f>IFERROR(s_DL/(up_RadSpec!$H29*s_IFCG_res_adj*s_CF_cereal),".")</f>
        <v>6.6115702479338848E-4</v>
      </c>
      <c r="AC29" s="70">
        <f t="shared" si="25"/>
        <v>1.6528925619834712E-4</v>
      </c>
      <c r="AD29" s="70">
        <f>IFERROR(s_DL/(up_RadSpec!$H29*s_IFAP_far_adj*s_CF_apple),".")</f>
        <v>6.6115702479338848E-4</v>
      </c>
      <c r="AE29" s="70">
        <f>IFERROR(s_DL/(up_RadSpec!$H29*s_IFAS_far_adj*s_CF_asparagus),".")</f>
        <v>6.6115702479338848E-4</v>
      </c>
      <c r="AF29" s="70">
        <f>IFERROR(s_DL/(up_RadSpec!$H29*s_IFBT_far_adj*s_CF_beet),".")</f>
        <v>6.6115702479338848E-4</v>
      </c>
      <c r="AG29" s="70">
        <f>IFERROR(s_DL/(up_RadSpec!$H29*s_IFBE_far_adj*s_CF_berries),".")</f>
        <v>6.6115702479338848E-4</v>
      </c>
      <c r="AH29" s="70">
        <f>IFERROR(s_DL/(up_RadSpec!$H29*s_IFBR_far_adj*s_CF_broccoli),".")</f>
        <v>6.6115702479338848E-4</v>
      </c>
      <c r="AI29" s="70">
        <f>IFERROR(s_DL/(up_RadSpec!$H29*s_IFCB_far_adj*s_CF_cabbage),".")</f>
        <v>6.6115702479338848E-4</v>
      </c>
      <c r="AJ29" s="70">
        <f>IFERROR(s_DL/(up_RadSpec!$H29*s_IFCR_far_adj*s_CF_carrot),".")</f>
        <v>6.6115702479338848E-4</v>
      </c>
      <c r="AK29" s="70">
        <f>IFERROR(s_DL/(up_RadSpec!$H29*s_IFCI_far_adj*s_CF_citrus),".")</f>
        <v>6.6115702479338848E-4</v>
      </c>
      <c r="AL29" s="70">
        <f>IFERROR(s_DL/(up_RadSpec!$H29*s_IFCO_far_adj*s_CF_corn),".")</f>
        <v>6.6115702479338848E-4</v>
      </c>
      <c r="AM29" s="70">
        <f>IFERROR(s_DL/(up_RadSpec!$H29*s_IFCU_far_adj*s_CF_cucumber),".")</f>
        <v>6.6115702479338848E-4</v>
      </c>
      <c r="AN29" s="70">
        <f>IFERROR(s_DL/(up_RadSpec!$H29*s_IFLE_far_adj*s_CF_lettuce),".")</f>
        <v>6.6115702479338848E-4</v>
      </c>
      <c r="AO29" s="70">
        <f>IFERROR(s_DL/(up_RadSpec!$H29*s_IFLI_far_adj*s_CF_lima_bean),".")</f>
        <v>6.6115702479338848E-4</v>
      </c>
      <c r="AP29" s="70">
        <f>IFERROR(s_DL/(up_RadSpec!$H29*s_IFOK_far_adj*s_CF_okra),".")</f>
        <v>6.6115702479338848E-4</v>
      </c>
      <c r="AQ29" s="70">
        <f>IFERROR(s_DL/(up_RadSpec!$H29*s_IFON_far_adj*s_CF_onion),".")</f>
        <v>6.6115702479338848E-4</v>
      </c>
      <c r="AR29" s="70">
        <f>IFERROR(s_DL/(up_RadSpec!$H29*s_IFPC_far_adj*s_CF_peach),".")</f>
        <v>6.6115702479338848E-4</v>
      </c>
      <c r="AS29" s="70">
        <f>IFERROR(s_DL/(up_RadSpec!$H29*s_IFPR_far_adj*s_CF_pear),".")</f>
        <v>6.6115702479338848E-4</v>
      </c>
      <c r="AT29" s="70">
        <f>IFERROR(s_DL/(up_RadSpec!$H29*s_IFPE_far_adj*s_CF_peas),".")</f>
        <v>6.6115702479338848E-4</v>
      </c>
      <c r="AU29" s="70">
        <f>IFERROR(s_DL/(up_RadSpec!$H29*s_IFPP_far_adj*s_CF_peppers),".")</f>
        <v>6.6115702479338848E-4</v>
      </c>
      <c r="AV29" s="70">
        <f>IFERROR(s_DL/(up_RadSpec!$H29*s_IFPT_far_adj*s_CF_potato),".")</f>
        <v>6.6115702479338848E-4</v>
      </c>
      <c r="AW29" s="70">
        <f>IFERROR(s_DL/(up_RadSpec!$H29*s_IFPU_far_adj*s_CF_pumpkin),".")</f>
        <v>6.6115702479338848E-4</v>
      </c>
      <c r="AX29" s="70">
        <f>IFERROR(s_DL/(up_RadSpec!$H29*s_IFSN_far_adj*s_CF_snap_bean),".")</f>
        <v>6.6115702479338848E-4</v>
      </c>
      <c r="AY29" s="70">
        <f>IFERROR(s_DL/(up_RadSpec!$H29*s_IFST_far_adj*s_CF_strawberry),".")</f>
        <v>6.6115702479338848E-4</v>
      </c>
      <c r="AZ29" s="70">
        <f>IFERROR(s_DL/(up_RadSpec!$H29*s_IFTO_far_adj*s_CF_tomato),".")</f>
        <v>6.6115702479338848E-4</v>
      </c>
      <c r="BA29" s="70">
        <f>IFERROR(s_DL/(up_RadSpec!$H29*s_IFRI_far_adj*s_CF_rice),".")</f>
        <v>6.6115702479338848E-4</v>
      </c>
      <c r="BB29" s="70">
        <f>IFERROR(s_DL/(up_RadSpec!$H29*s_IFCG_far_adj*s_CF_cereal),".")</f>
        <v>6.6115702479338848E-4</v>
      </c>
      <c r="BC29" s="87">
        <f t="shared" si="26"/>
        <v>30250</v>
      </c>
      <c r="BD29" s="87">
        <f t="shared" si="0"/>
        <v>7562.5</v>
      </c>
      <c r="BE29" s="87">
        <f t="shared" si="1"/>
        <v>7562.5</v>
      </c>
      <c r="BF29" s="87">
        <f t="shared" si="2"/>
        <v>7562.5</v>
      </c>
      <c r="BG29" s="87">
        <f t="shared" si="3"/>
        <v>7562.5</v>
      </c>
      <c r="BH29" s="87">
        <f t="shared" si="4"/>
        <v>7562.5</v>
      </c>
      <c r="BI29" s="87">
        <f t="shared" si="5"/>
        <v>7562.5</v>
      </c>
      <c r="BJ29" s="87">
        <f t="shared" si="6"/>
        <v>7562.5</v>
      </c>
      <c r="BK29" s="87">
        <f t="shared" si="7"/>
        <v>7562.5</v>
      </c>
      <c r="BL29" s="87">
        <f t="shared" si="8"/>
        <v>7562.5</v>
      </c>
      <c r="BM29" s="87">
        <f t="shared" si="9"/>
        <v>7562.5</v>
      </c>
      <c r="BN29" s="87">
        <f t="shared" si="10"/>
        <v>7562.5</v>
      </c>
      <c r="BO29" s="87">
        <f t="shared" si="11"/>
        <v>7562.5</v>
      </c>
      <c r="BP29" s="87">
        <f t="shared" si="12"/>
        <v>7562.5</v>
      </c>
      <c r="BQ29" s="87">
        <f t="shared" si="13"/>
        <v>7562.5</v>
      </c>
      <c r="BR29" s="87">
        <f t="shared" si="14"/>
        <v>7562.5</v>
      </c>
      <c r="BS29" s="87">
        <f t="shared" si="15"/>
        <v>7562.5</v>
      </c>
      <c r="BT29" s="87">
        <f t="shared" si="27"/>
        <v>7562.5</v>
      </c>
      <c r="BU29" s="87">
        <f t="shared" si="16"/>
        <v>7562.5</v>
      </c>
      <c r="BV29" s="87">
        <f t="shared" si="17"/>
        <v>7562.5</v>
      </c>
      <c r="BW29" s="87">
        <f t="shared" si="18"/>
        <v>7562.5</v>
      </c>
      <c r="BX29" s="87">
        <f t="shared" si="19"/>
        <v>7562.5</v>
      </c>
      <c r="BY29" s="87">
        <f t="shared" si="20"/>
        <v>7562.5</v>
      </c>
      <c r="BZ29" s="87">
        <f t="shared" si="21"/>
        <v>7562.5</v>
      </c>
      <c r="CA29" s="87">
        <f t="shared" si="22"/>
        <v>7562.5</v>
      </c>
      <c r="CB29" s="87">
        <f t="shared" si="23"/>
        <v>7562.5</v>
      </c>
    </row>
    <row r="30" spans="1:80" x14ac:dyDescent="0.25">
      <c r="A30" s="86" t="s">
        <v>28</v>
      </c>
      <c r="B30" s="84" t="s">
        <v>1057</v>
      </c>
      <c r="C30" s="70">
        <f t="shared" si="24"/>
        <v>1.6528925619834712E-4</v>
      </c>
      <c r="D30" s="70">
        <f>IFERROR(s_DL/(up_RadSpec!$H30*s_IFAP_res_adj*s_CF_apple),".")</f>
        <v>6.6115702479338848E-4</v>
      </c>
      <c r="E30" s="70">
        <f>IFERROR(s_DL/(up_RadSpec!$H30*s_IFAS_res_adj*s_CF_asparagus),".")</f>
        <v>6.6115702479338848E-4</v>
      </c>
      <c r="F30" s="70">
        <f>IFERROR(s_DL/(up_RadSpec!$H30*s_IFBT_res_adj*s_CF_beet),".")</f>
        <v>6.6115702479338848E-4</v>
      </c>
      <c r="G30" s="70">
        <f>IFERROR(s_DL/(up_RadSpec!$H30*s_IFBE_res_adj*s_CF_berries),".")</f>
        <v>6.6115702479338848E-4</v>
      </c>
      <c r="H30" s="70">
        <f>IFERROR(s_DL/(up_RadSpec!$H30*s_IFBR_res_adj*s_CF_broccoli),".")</f>
        <v>6.6115702479338848E-4</v>
      </c>
      <c r="I30" s="70">
        <f>IFERROR(s_DL/(up_RadSpec!$H30*s_IFCB_res_adj*s_CF_cabbage),".")</f>
        <v>6.6115702479338848E-4</v>
      </c>
      <c r="J30" s="70">
        <f>IFERROR(s_DL/(up_RadSpec!$H30*s_IFCR_res_adj*s_CF_carrot),".")</f>
        <v>6.6115702479338848E-4</v>
      </c>
      <c r="K30" s="70">
        <f>IFERROR(s_DL/(up_RadSpec!$H30*s_IFCI_res_adj*s_CF_citrus),".")</f>
        <v>6.6115702479338848E-4</v>
      </c>
      <c r="L30" s="70">
        <f>IFERROR(s_DL/(up_RadSpec!$H30*s_IFCO_res_adj*s_CF_corn),".")</f>
        <v>6.6115702479338848E-4</v>
      </c>
      <c r="M30" s="70">
        <f>IFERROR(s_DL/(up_RadSpec!$H30*s_IFCU_res_adj*s_CF_cucumber),".")</f>
        <v>6.6115702479338848E-4</v>
      </c>
      <c r="N30" s="70">
        <f>IFERROR(s_DL/(up_RadSpec!$H30*s_IFLE_res_adj*s_CF_lettuce),".")</f>
        <v>6.6115702479338848E-4</v>
      </c>
      <c r="O30" s="70">
        <f>IFERROR(s_DL/(up_RadSpec!$H30*s_IFLI_res_adj*s_CF_lima_bean),".")</f>
        <v>6.6115702479338848E-4</v>
      </c>
      <c r="P30" s="70">
        <f>IFERROR(s_DL/(up_RadSpec!$H30*s_IFOK_res_adj*s_CF_okra),".")</f>
        <v>6.6115702479338848E-4</v>
      </c>
      <c r="Q30" s="70">
        <f>IFERROR(s_DL/(up_RadSpec!$H30*s_IFON_res_adj*s_CF_onion),".")</f>
        <v>6.6115702479338848E-4</v>
      </c>
      <c r="R30" s="70">
        <f>IFERROR(s_DL/(up_RadSpec!$H30*s_IFPC_res_adj*s_CF_peach),".")</f>
        <v>6.6115702479338848E-4</v>
      </c>
      <c r="S30" s="70">
        <f>IFERROR(s_DL/(up_RadSpec!$H30*s_IFPR_res_adj*s_CF_pear),".")</f>
        <v>6.6115702479338848E-4</v>
      </c>
      <c r="T30" s="70">
        <f>IFERROR(s_DL/(up_RadSpec!$H30*s_IFPE_res_adj*s_CF_peas),".")</f>
        <v>6.6115702479338848E-4</v>
      </c>
      <c r="U30" s="70">
        <f>IFERROR(s_DL/(up_RadSpec!$H30*s_IFPP_res_adj*s_CF_peppers),".")</f>
        <v>6.6115702479338848E-4</v>
      </c>
      <c r="V30" s="70">
        <f>IFERROR(s_DL/(up_RadSpec!$H30*s_IFPT_res_adj*s_CF_potato),".")</f>
        <v>6.6115702479338848E-4</v>
      </c>
      <c r="W30" s="70">
        <f>IFERROR(s_DL/(up_RadSpec!$H30*s_IFPU_res_adj*s_CF_pumpkin),".")</f>
        <v>6.6115702479338848E-4</v>
      </c>
      <c r="X30" s="70">
        <f>IFERROR(s_DL/(up_RadSpec!$H30*s_IFSN_res_adj*s_CF_snap_bean),".")</f>
        <v>6.6115702479338848E-4</v>
      </c>
      <c r="Y30" s="70">
        <f>IFERROR(s_DL/(up_RadSpec!$H30*s_IFST_res_adj*s_CF_strawberry),".")</f>
        <v>6.6115702479338848E-4</v>
      </c>
      <c r="Z30" s="70">
        <f>IFERROR(s_DL/(up_RadSpec!$H30*s_IFTO_res_adj*s_CF_tomato),".")</f>
        <v>6.6115702479338848E-4</v>
      </c>
      <c r="AA30" s="70">
        <f>IFERROR(s_DL/(up_RadSpec!$H30*s_IFRI_res_adj*s_CF_rice),".")</f>
        <v>6.6115702479338848E-4</v>
      </c>
      <c r="AB30" s="70">
        <f>IFERROR(s_DL/(up_RadSpec!$H30*s_IFCG_res_adj*s_CF_cereal),".")</f>
        <v>6.6115702479338848E-4</v>
      </c>
      <c r="AC30" s="70">
        <f t="shared" si="25"/>
        <v>1.6528925619834712E-4</v>
      </c>
      <c r="AD30" s="70">
        <f>IFERROR(s_DL/(up_RadSpec!$H30*s_IFAP_far_adj*s_CF_apple),".")</f>
        <v>6.6115702479338848E-4</v>
      </c>
      <c r="AE30" s="70">
        <f>IFERROR(s_DL/(up_RadSpec!$H30*s_IFAS_far_adj*s_CF_asparagus),".")</f>
        <v>6.6115702479338848E-4</v>
      </c>
      <c r="AF30" s="70">
        <f>IFERROR(s_DL/(up_RadSpec!$H30*s_IFBT_far_adj*s_CF_beet),".")</f>
        <v>6.6115702479338848E-4</v>
      </c>
      <c r="AG30" s="70">
        <f>IFERROR(s_DL/(up_RadSpec!$H30*s_IFBE_far_adj*s_CF_berries),".")</f>
        <v>6.6115702479338848E-4</v>
      </c>
      <c r="AH30" s="70">
        <f>IFERROR(s_DL/(up_RadSpec!$H30*s_IFBR_far_adj*s_CF_broccoli),".")</f>
        <v>6.6115702479338848E-4</v>
      </c>
      <c r="AI30" s="70">
        <f>IFERROR(s_DL/(up_RadSpec!$H30*s_IFCB_far_adj*s_CF_cabbage),".")</f>
        <v>6.6115702479338848E-4</v>
      </c>
      <c r="AJ30" s="70">
        <f>IFERROR(s_DL/(up_RadSpec!$H30*s_IFCR_far_adj*s_CF_carrot),".")</f>
        <v>6.6115702479338848E-4</v>
      </c>
      <c r="AK30" s="70">
        <f>IFERROR(s_DL/(up_RadSpec!$H30*s_IFCI_far_adj*s_CF_citrus),".")</f>
        <v>6.6115702479338848E-4</v>
      </c>
      <c r="AL30" s="70">
        <f>IFERROR(s_DL/(up_RadSpec!$H30*s_IFCO_far_adj*s_CF_corn),".")</f>
        <v>6.6115702479338848E-4</v>
      </c>
      <c r="AM30" s="70">
        <f>IFERROR(s_DL/(up_RadSpec!$H30*s_IFCU_far_adj*s_CF_cucumber),".")</f>
        <v>6.6115702479338848E-4</v>
      </c>
      <c r="AN30" s="70">
        <f>IFERROR(s_DL/(up_RadSpec!$H30*s_IFLE_far_adj*s_CF_lettuce),".")</f>
        <v>6.6115702479338848E-4</v>
      </c>
      <c r="AO30" s="70">
        <f>IFERROR(s_DL/(up_RadSpec!$H30*s_IFLI_far_adj*s_CF_lima_bean),".")</f>
        <v>6.6115702479338848E-4</v>
      </c>
      <c r="AP30" s="70">
        <f>IFERROR(s_DL/(up_RadSpec!$H30*s_IFOK_far_adj*s_CF_okra),".")</f>
        <v>6.6115702479338848E-4</v>
      </c>
      <c r="AQ30" s="70">
        <f>IFERROR(s_DL/(up_RadSpec!$H30*s_IFON_far_adj*s_CF_onion),".")</f>
        <v>6.6115702479338848E-4</v>
      </c>
      <c r="AR30" s="70">
        <f>IFERROR(s_DL/(up_RadSpec!$H30*s_IFPC_far_adj*s_CF_peach),".")</f>
        <v>6.6115702479338848E-4</v>
      </c>
      <c r="AS30" s="70">
        <f>IFERROR(s_DL/(up_RadSpec!$H30*s_IFPR_far_adj*s_CF_pear),".")</f>
        <v>6.6115702479338848E-4</v>
      </c>
      <c r="AT30" s="70">
        <f>IFERROR(s_DL/(up_RadSpec!$H30*s_IFPE_far_adj*s_CF_peas),".")</f>
        <v>6.6115702479338848E-4</v>
      </c>
      <c r="AU30" s="70">
        <f>IFERROR(s_DL/(up_RadSpec!$H30*s_IFPP_far_adj*s_CF_peppers),".")</f>
        <v>6.6115702479338848E-4</v>
      </c>
      <c r="AV30" s="70">
        <f>IFERROR(s_DL/(up_RadSpec!$H30*s_IFPT_far_adj*s_CF_potato),".")</f>
        <v>6.6115702479338848E-4</v>
      </c>
      <c r="AW30" s="70">
        <f>IFERROR(s_DL/(up_RadSpec!$H30*s_IFPU_far_adj*s_CF_pumpkin),".")</f>
        <v>6.6115702479338848E-4</v>
      </c>
      <c r="AX30" s="70">
        <f>IFERROR(s_DL/(up_RadSpec!$H30*s_IFSN_far_adj*s_CF_snap_bean),".")</f>
        <v>6.6115702479338848E-4</v>
      </c>
      <c r="AY30" s="70">
        <f>IFERROR(s_DL/(up_RadSpec!$H30*s_IFST_far_adj*s_CF_strawberry),".")</f>
        <v>6.6115702479338848E-4</v>
      </c>
      <c r="AZ30" s="70">
        <f>IFERROR(s_DL/(up_RadSpec!$H30*s_IFTO_far_adj*s_CF_tomato),".")</f>
        <v>6.6115702479338848E-4</v>
      </c>
      <c r="BA30" s="70">
        <f>IFERROR(s_DL/(up_RadSpec!$H30*s_IFRI_far_adj*s_CF_rice),".")</f>
        <v>6.6115702479338848E-4</v>
      </c>
      <c r="BB30" s="70">
        <f>IFERROR(s_DL/(up_RadSpec!$H30*s_IFCG_far_adj*s_CF_cereal),".")</f>
        <v>6.6115702479338848E-4</v>
      </c>
      <c r="BC30" s="87">
        <f t="shared" si="26"/>
        <v>30250</v>
      </c>
      <c r="BD30" s="87">
        <f t="shared" si="0"/>
        <v>7562.5</v>
      </c>
      <c r="BE30" s="87">
        <f t="shared" si="1"/>
        <v>7562.5</v>
      </c>
      <c r="BF30" s="87">
        <f t="shared" si="2"/>
        <v>7562.5</v>
      </c>
      <c r="BG30" s="87">
        <f t="shared" si="3"/>
        <v>7562.5</v>
      </c>
      <c r="BH30" s="87">
        <f t="shared" si="4"/>
        <v>7562.5</v>
      </c>
      <c r="BI30" s="87">
        <f t="shared" si="5"/>
        <v>7562.5</v>
      </c>
      <c r="BJ30" s="87">
        <f t="shared" si="6"/>
        <v>7562.5</v>
      </c>
      <c r="BK30" s="87">
        <f t="shared" si="7"/>
        <v>7562.5</v>
      </c>
      <c r="BL30" s="87">
        <f t="shared" si="8"/>
        <v>7562.5</v>
      </c>
      <c r="BM30" s="87">
        <f t="shared" si="9"/>
        <v>7562.5</v>
      </c>
      <c r="BN30" s="87">
        <f t="shared" si="10"/>
        <v>7562.5</v>
      </c>
      <c r="BO30" s="87">
        <f t="shared" si="11"/>
        <v>7562.5</v>
      </c>
      <c r="BP30" s="87">
        <f t="shared" si="12"/>
        <v>7562.5</v>
      </c>
      <c r="BQ30" s="87">
        <f t="shared" si="13"/>
        <v>7562.5</v>
      </c>
      <c r="BR30" s="87">
        <f t="shared" si="14"/>
        <v>7562.5</v>
      </c>
      <c r="BS30" s="87">
        <f t="shared" si="15"/>
        <v>7562.5</v>
      </c>
      <c r="BT30" s="87">
        <f t="shared" si="27"/>
        <v>7562.5</v>
      </c>
      <c r="BU30" s="87">
        <f t="shared" si="16"/>
        <v>7562.5</v>
      </c>
      <c r="BV30" s="87">
        <f t="shared" si="17"/>
        <v>7562.5</v>
      </c>
      <c r="BW30" s="87">
        <f t="shared" si="18"/>
        <v>7562.5</v>
      </c>
      <c r="BX30" s="87">
        <f t="shared" si="19"/>
        <v>7562.5</v>
      </c>
      <c r="BY30" s="87">
        <f t="shared" si="20"/>
        <v>7562.5</v>
      </c>
      <c r="BZ30" s="87">
        <f t="shared" si="21"/>
        <v>7562.5</v>
      </c>
      <c r="CA30" s="87">
        <f t="shared" si="22"/>
        <v>7562.5</v>
      </c>
      <c r="CB30" s="87">
        <f t="shared" si="23"/>
        <v>7562.5</v>
      </c>
    </row>
    <row r="31" spans="1:80" x14ac:dyDescent="0.25">
      <c r="A31" s="89" t="s">
        <v>1</v>
      </c>
      <c r="B31" s="89" t="s">
        <v>1057</v>
      </c>
      <c r="C31" s="90">
        <f t="shared" ref="C31:AH31" si="28">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1.3774517918733154E-5</v>
      </c>
      <c r="D31" s="90">
        <f t="shared" si="28"/>
        <v>5.5098071674932618E-5</v>
      </c>
      <c r="E31" s="90">
        <f t="shared" si="28"/>
        <v>5.5098071674932618E-5</v>
      </c>
      <c r="F31" s="90">
        <f t="shared" si="28"/>
        <v>5.5098071674932618E-5</v>
      </c>
      <c r="G31" s="90">
        <f t="shared" si="28"/>
        <v>5.5098071674932618E-5</v>
      </c>
      <c r="H31" s="90">
        <f t="shared" si="28"/>
        <v>5.5098071674932618E-5</v>
      </c>
      <c r="I31" s="90">
        <f t="shared" si="28"/>
        <v>5.5098071674932618E-5</v>
      </c>
      <c r="J31" s="90">
        <f t="shared" si="28"/>
        <v>5.5098071674932618E-5</v>
      </c>
      <c r="K31" s="90">
        <f t="shared" si="28"/>
        <v>5.5098071674932618E-5</v>
      </c>
      <c r="L31" s="90">
        <f t="shared" si="28"/>
        <v>5.5098071674932618E-5</v>
      </c>
      <c r="M31" s="90">
        <f t="shared" si="28"/>
        <v>5.5098071674932618E-5</v>
      </c>
      <c r="N31" s="90">
        <f t="shared" si="28"/>
        <v>5.5098071674932618E-5</v>
      </c>
      <c r="O31" s="90">
        <f t="shared" si="28"/>
        <v>5.5098071674932618E-5</v>
      </c>
      <c r="P31" s="90">
        <f t="shared" si="28"/>
        <v>5.5098071674932618E-5</v>
      </c>
      <c r="Q31" s="90">
        <f t="shared" si="28"/>
        <v>5.5098071674932618E-5</v>
      </c>
      <c r="R31" s="90">
        <f t="shared" si="28"/>
        <v>5.5098071674932618E-5</v>
      </c>
      <c r="S31" s="90">
        <f t="shared" si="28"/>
        <v>5.5098071674932618E-5</v>
      </c>
      <c r="T31" s="90">
        <f t="shared" si="28"/>
        <v>5.5098071674932618E-5</v>
      </c>
      <c r="U31" s="90">
        <f t="shared" si="28"/>
        <v>5.5098071674932618E-5</v>
      </c>
      <c r="V31" s="90">
        <f t="shared" si="28"/>
        <v>5.5098071674932618E-5</v>
      </c>
      <c r="W31" s="90">
        <f t="shared" si="28"/>
        <v>5.5098071674932618E-5</v>
      </c>
      <c r="X31" s="90">
        <f t="shared" si="28"/>
        <v>5.5098071674932618E-5</v>
      </c>
      <c r="Y31" s="90">
        <f t="shared" si="28"/>
        <v>5.5098071674932618E-5</v>
      </c>
      <c r="Z31" s="90">
        <f t="shared" si="28"/>
        <v>5.5098071674932618E-5</v>
      </c>
      <c r="AA31" s="90">
        <f t="shared" si="28"/>
        <v>5.5098071674932618E-5</v>
      </c>
      <c r="AB31" s="90">
        <f t="shared" si="28"/>
        <v>5.5098071674932618E-5</v>
      </c>
      <c r="AC31" s="90">
        <f>IFERROR(1/SUM(IFERROR(1/SUMIF(AC32,"&lt;&gt;.",AC32),0),IFERROR(1/SUMIF(AC33,"&lt;&gt;.",AC33),0),IFERROR(1/SUMIF(AC34,"&lt;&gt;.",AC34),0),IFERROR(1/SUMIF(AC35,"&lt;&gt;.",AC35),0),IFERROR(1/SUMIF(AC36,"&lt;&gt;.",AC36),0),IFERROR(1/SUMIF(AC37,"&lt;&gt;.",AC37),0),IFERROR(1/SUMIF(AC38,"&lt;&gt;.",AC38),0),IFERROR(1/SUMIF(AC39,"&lt;&gt;.",AC39),0),IFERROR(1/SUMIF(AC40,"&lt;&gt;.",AC40),0),IFERROR(1/SUMIF(AC41,"&lt;&gt;.",AC41),0),IFERROR(1/SUMIF(AC42,"&lt;&gt;.",AC42),0),IFERROR(1/SUMIF(AC43,"&lt;&gt;.",AC43),0),IFERROR(1/SUMIF(AC44,"&lt;&gt;.",AC44),0)),".")</f>
        <v>1.3774517918733154E-5</v>
      </c>
      <c r="AD31" s="90">
        <f t="shared" si="28"/>
        <v>5.5098071674932618E-5</v>
      </c>
      <c r="AE31" s="90">
        <f t="shared" si="28"/>
        <v>5.5098071674932618E-5</v>
      </c>
      <c r="AF31" s="90">
        <f t="shared" si="28"/>
        <v>5.5098071674932618E-5</v>
      </c>
      <c r="AG31" s="90">
        <f t="shared" si="28"/>
        <v>5.5098071674932618E-5</v>
      </c>
      <c r="AH31" s="90">
        <f t="shared" si="28"/>
        <v>5.5098071674932618E-5</v>
      </c>
      <c r="AI31" s="90">
        <f t="shared" ref="AI31:BB31" si="29">IFERROR(1/SUM(IFERROR(1/SUMIF(AI32,"&lt;&gt;.",AI32),0),IFERROR(1/SUMIF(AI33,"&lt;&gt;.",AI33),0),IFERROR(1/SUMIF(AI34,"&lt;&gt;.",AI34),0),IFERROR(1/SUMIF(AI35,"&lt;&gt;.",AI35),0),IFERROR(1/SUMIF(AI36,"&lt;&gt;.",AI36),0),IFERROR(1/SUMIF(AI37,"&lt;&gt;.",AI37),0),IFERROR(1/SUMIF(AI38,"&lt;&gt;.",AI38),0),IFERROR(1/SUMIF(AI39,"&lt;&gt;.",AI39),0),IFERROR(1/SUMIF(AI40,"&lt;&gt;.",AI40),0),IFERROR(1/SUMIF(AI41,"&lt;&gt;.",AI41),0),IFERROR(1/SUMIF(AI42,"&lt;&gt;.",AI42),0),IFERROR(1/SUMIF(AI43,"&lt;&gt;.",AI43),0),IFERROR(1/SUMIF(AI44,"&lt;&gt;.",AI44),0)),".")</f>
        <v>5.5098071674932618E-5</v>
      </c>
      <c r="AJ31" s="90">
        <f t="shared" si="29"/>
        <v>5.5098071674932618E-5</v>
      </c>
      <c r="AK31" s="90">
        <f t="shared" si="29"/>
        <v>5.5098071674932618E-5</v>
      </c>
      <c r="AL31" s="90">
        <f t="shared" si="29"/>
        <v>5.5098071674932618E-5</v>
      </c>
      <c r="AM31" s="90">
        <f t="shared" si="29"/>
        <v>5.5098071674932618E-5</v>
      </c>
      <c r="AN31" s="90">
        <f t="shared" si="29"/>
        <v>5.5098071674932618E-5</v>
      </c>
      <c r="AO31" s="90">
        <f t="shared" si="29"/>
        <v>5.5098071674932618E-5</v>
      </c>
      <c r="AP31" s="90">
        <f t="shared" si="29"/>
        <v>5.5098071674932618E-5</v>
      </c>
      <c r="AQ31" s="90">
        <f t="shared" si="29"/>
        <v>5.5098071674932618E-5</v>
      </c>
      <c r="AR31" s="90">
        <f t="shared" si="29"/>
        <v>5.5098071674932618E-5</v>
      </c>
      <c r="AS31" s="90">
        <f t="shared" si="29"/>
        <v>5.5098071674932618E-5</v>
      </c>
      <c r="AT31" s="90">
        <f t="shared" si="29"/>
        <v>5.5098071674932618E-5</v>
      </c>
      <c r="AU31" s="90">
        <f t="shared" si="29"/>
        <v>5.5098071674932618E-5</v>
      </c>
      <c r="AV31" s="90">
        <f t="shared" si="29"/>
        <v>5.5098071674932618E-5</v>
      </c>
      <c r="AW31" s="90">
        <f t="shared" si="29"/>
        <v>5.5098071674932618E-5</v>
      </c>
      <c r="AX31" s="90">
        <f t="shared" si="29"/>
        <v>5.5098071674932618E-5</v>
      </c>
      <c r="AY31" s="90">
        <f t="shared" si="29"/>
        <v>5.5098071674932618E-5</v>
      </c>
      <c r="AZ31" s="90">
        <f t="shared" si="29"/>
        <v>5.5098071674932618E-5</v>
      </c>
      <c r="BA31" s="90">
        <f t="shared" si="29"/>
        <v>5.5098071674932618E-5</v>
      </c>
      <c r="BB31" s="90">
        <f t="shared" si="29"/>
        <v>5.5098071674932618E-5</v>
      </c>
      <c r="BC31" s="91">
        <f>IFERROR(SUM(BD32:BD44,BU32:BU44,CA32:CA44,CB32:CB44),".")</f>
        <v>1814945.5499999993</v>
      </c>
      <c r="BD31" s="91">
        <f>IFERROR(SUM(BD32:BD44),".")</f>
        <v>453736.38750000007</v>
      </c>
      <c r="BE31" s="91">
        <f t="shared" ref="BE31:CB31" si="30">IFERROR(SUM(BE32:BE44),".")</f>
        <v>453736.38750000007</v>
      </c>
      <c r="BF31" s="91">
        <f t="shared" si="30"/>
        <v>453736.38750000007</v>
      </c>
      <c r="BG31" s="91">
        <f t="shared" si="30"/>
        <v>453736.38750000007</v>
      </c>
      <c r="BH31" s="91">
        <f t="shared" si="30"/>
        <v>453736.38750000007</v>
      </c>
      <c r="BI31" s="91">
        <f t="shared" si="30"/>
        <v>453736.38750000007</v>
      </c>
      <c r="BJ31" s="91">
        <f t="shared" si="30"/>
        <v>453736.38750000007</v>
      </c>
      <c r="BK31" s="91">
        <f t="shared" si="30"/>
        <v>453736.38750000007</v>
      </c>
      <c r="BL31" s="91">
        <f t="shared" si="30"/>
        <v>453736.38750000007</v>
      </c>
      <c r="BM31" s="91">
        <f t="shared" si="30"/>
        <v>453736.38750000007</v>
      </c>
      <c r="BN31" s="91">
        <f t="shared" si="30"/>
        <v>453736.38750000007</v>
      </c>
      <c r="BO31" s="91">
        <f t="shared" si="30"/>
        <v>453736.38750000007</v>
      </c>
      <c r="BP31" s="91">
        <f t="shared" si="30"/>
        <v>453736.38750000007</v>
      </c>
      <c r="BQ31" s="91">
        <f t="shared" si="30"/>
        <v>453736.38750000007</v>
      </c>
      <c r="BR31" s="91">
        <f t="shared" si="30"/>
        <v>453736.38750000007</v>
      </c>
      <c r="BS31" s="91">
        <f t="shared" si="30"/>
        <v>453736.38750000007</v>
      </c>
      <c r="BT31" s="91">
        <f t="shared" si="30"/>
        <v>453736.38750000007</v>
      </c>
      <c r="BU31" s="91">
        <f t="shared" si="30"/>
        <v>453736.38750000007</v>
      </c>
      <c r="BV31" s="91">
        <f t="shared" si="30"/>
        <v>453736.38750000007</v>
      </c>
      <c r="BW31" s="91">
        <f t="shared" si="30"/>
        <v>453736.38750000007</v>
      </c>
      <c r="BX31" s="91">
        <f t="shared" si="30"/>
        <v>453736.38750000007</v>
      </c>
      <c r="BY31" s="91">
        <f t="shared" si="30"/>
        <v>453736.38750000007</v>
      </c>
      <c r="BZ31" s="91">
        <f t="shared" si="30"/>
        <v>453736.38750000007</v>
      </c>
      <c r="CA31" s="91">
        <f t="shared" si="30"/>
        <v>453736.38750000007</v>
      </c>
      <c r="CB31" s="91">
        <f t="shared" si="30"/>
        <v>453736.38750000007</v>
      </c>
    </row>
    <row r="32" spans="1:80" x14ac:dyDescent="0.25">
      <c r="A32" s="92" t="s">
        <v>1085</v>
      </c>
      <c r="B32" s="84">
        <v>1</v>
      </c>
      <c r="C32" s="93">
        <f t="shared" ref="C32:AH32" si="31">IFERROR(C3/$B32,".")</f>
        <v>1.6528925619834712E-4</v>
      </c>
      <c r="D32" s="93">
        <f t="shared" si="31"/>
        <v>6.6115702479338848E-4</v>
      </c>
      <c r="E32" s="93">
        <f t="shared" si="31"/>
        <v>6.6115702479338848E-4</v>
      </c>
      <c r="F32" s="93">
        <f t="shared" si="31"/>
        <v>6.6115702479338848E-4</v>
      </c>
      <c r="G32" s="93">
        <f t="shared" si="31"/>
        <v>6.6115702479338848E-4</v>
      </c>
      <c r="H32" s="93">
        <f t="shared" si="31"/>
        <v>6.6115702479338848E-4</v>
      </c>
      <c r="I32" s="93">
        <f t="shared" si="31"/>
        <v>6.6115702479338848E-4</v>
      </c>
      <c r="J32" s="93">
        <f t="shared" si="31"/>
        <v>6.6115702479338848E-4</v>
      </c>
      <c r="K32" s="93">
        <f t="shared" si="31"/>
        <v>6.6115702479338848E-4</v>
      </c>
      <c r="L32" s="93">
        <f t="shared" si="31"/>
        <v>6.6115702479338848E-4</v>
      </c>
      <c r="M32" s="93">
        <f t="shared" si="31"/>
        <v>6.6115702479338848E-4</v>
      </c>
      <c r="N32" s="93">
        <f t="shared" si="31"/>
        <v>6.6115702479338848E-4</v>
      </c>
      <c r="O32" s="93">
        <f t="shared" si="31"/>
        <v>6.6115702479338848E-4</v>
      </c>
      <c r="P32" s="93">
        <f t="shared" si="31"/>
        <v>6.6115702479338848E-4</v>
      </c>
      <c r="Q32" s="93">
        <f t="shared" si="31"/>
        <v>6.6115702479338848E-4</v>
      </c>
      <c r="R32" s="93">
        <f t="shared" si="31"/>
        <v>6.6115702479338848E-4</v>
      </c>
      <c r="S32" s="93">
        <f t="shared" si="31"/>
        <v>6.6115702479338848E-4</v>
      </c>
      <c r="T32" s="93">
        <f t="shared" si="31"/>
        <v>6.6115702479338848E-4</v>
      </c>
      <c r="U32" s="93">
        <f t="shared" si="31"/>
        <v>6.6115702479338848E-4</v>
      </c>
      <c r="V32" s="93">
        <f t="shared" si="31"/>
        <v>6.6115702479338848E-4</v>
      </c>
      <c r="W32" s="93">
        <f t="shared" si="31"/>
        <v>6.6115702479338848E-4</v>
      </c>
      <c r="X32" s="93">
        <f t="shared" si="31"/>
        <v>6.6115702479338848E-4</v>
      </c>
      <c r="Y32" s="93">
        <f t="shared" si="31"/>
        <v>6.6115702479338848E-4</v>
      </c>
      <c r="Z32" s="93">
        <f t="shared" si="31"/>
        <v>6.6115702479338848E-4</v>
      </c>
      <c r="AA32" s="93">
        <f t="shared" si="31"/>
        <v>6.6115702479338848E-4</v>
      </c>
      <c r="AB32" s="93">
        <f t="shared" si="31"/>
        <v>6.6115702479338848E-4</v>
      </c>
      <c r="AC32" s="93">
        <f t="shared" si="31"/>
        <v>1.6528925619834712E-4</v>
      </c>
      <c r="AD32" s="93">
        <f>IFERROR(AD3/$B32,".")</f>
        <v>6.6115702479338848E-4</v>
      </c>
      <c r="AE32" s="93">
        <f t="shared" si="31"/>
        <v>6.6115702479338848E-4</v>
      </c>
      <c r="AF32" s="93">
        <f t="shared" si="31"/>
        <v>6.6115702479338848E-4</v>
      </c>
      <c r="AG32" s="93">
        <f t="shared" si="31"/>
        <v>6.6115702479338848E-4</v>
      </c>
      <c r="AH32" s="93">
        <f t="shared" si="31"/>
        <v>6.6115702479338848E-4</v>
      </c>
      <c r="AI32" s="93">
        <f t="shared" ref="AI32:BB32" si="32">IFERROR(AI3/$B32,".")</f>
        <v>6.6115702479338848E-4</v>
      </c>
      <c r="AJ32" s="93">
        <f t="shared" si="32"/>
        <v>6.6115702479338848E-4</v>
      </c>
      <c r="AK32" s="93">
        <f t="shared" si="32"/>
        <v>6.6115702479338848E-4</v>
      </c>
      <c r="AL32" s="93">
        <f t="shared" si="32"/>
        <v>6.6115702479338848E-4</v>
      </c>
      <c r="AM32" s="93">
        <f t="shared" si="32"/>
        <v>6.6115702479338848E-4</v>
      </c>
      <c r="AN32" s="93">
        <f t="shared" si="32"/>
        <v>6.6115702479338848E-4</v>
      </c>
      <c r="AO32" s="93">
        <f t="shared" si="32"/>
        <v>6.6115702479338848E-4</v>
      </c>
      <c r="AP32" s="93">
        <f t="shared" si="32"/>
        <v>6.6115702479338848E-4</v>
      </c>
      <c r="AQ32" s="93">
        <f t="shared" si="32"/>
        <v>6.6115702479338848E-4</v>
      </c>
      <c r="AR32" s="93">
        <f t="shared" si="32"/>
        <v>6.6115702479338848E-4</v>
      </c>
      <c r="AS32" s="93">
        <f t="shared" si="32"/>
        <v>6.6115702479338848E-4</v>
      </c>
      <c r="AT32" s="93">
        <f t="shared" si="32"/>
        <v>6.6115702479338848E-4</v>
      </c>
      <c r="AU32" s="93">
        <f t="shared" si="32"/>
        <v>6.6115702479338848E-4</v>
      </c>
      <c r="AV32" s="93">
        <f t="shared" si="32"/>
        <v>6.6115702479338848E-4</v>
      </c>
      <c r="AW32" s="93">
        <f t="shared" si="32"/>
        <v>6.6115702479338848E-4</v>
      </c>
      <c r="AX32" s="93">
        <f t="shared" si="32"/>
        <v>6.6115702479338848E-4</v>
      </c>
      <c r="AY32" s="93">
        <f t="shared" si="32"/>
        <v>6.6115702479338848E-4</v>
      </c>
      <c r="AZ32" s="93">
        <f t="shared" si="32"/>
        <v>6.6115702479338848E-4</v>
      </c>
      <c r="BA32" s="93">
        <f t="shared" si="32"/>
        <v>6.6115702479338848E-4</v>
      </c>
      <c r="BB32" s="93">
        <f t="shared" si="32"/>
        <v>6.6115702479338848E-4</v>
      </c>
      <c r="BC32" s="94">
        <f t="shared" ref="BC32:BC44" si="33">IF(AND(BD32&lt;&gt;".",BU32&lt;&gt;".",CA32&lt;&gt;".",CB32&lt;&gt;"."),SUM(BD32,BU32,CA32:CB32),".")</f>
        <v>151250</v>
      </c>
      <c r="BD32" s="94">
        <f>IF(AD32=".",".",up_RadSpec!$F$3*(BD3*$B32))</f>
        <v>37812.5</v>
      </c>
      <c r="BE32" s="94">
        <f>IF(AE32=".",".",up_RadSpec!$F$3*(BE3*$B32))</f>
        <v>37812.5</v>
      </c>
      <c r="BF32" s="94">
        <f>IF(AF32=".",".",up_RadSpec!$F$3*(BF3*$B32))</f>
        <v>37812.5</v>
      </c>
      <c r="BG32" s="94">
        <f>IF(AG32=".",".",up_RadSpec!$F$3*(BG3*$B32))</f>
        <v>37812.5</v>
      </c>
      <c r="BH32" s="94">
        <f>IF(AH32=".",".",up_RadSpec!$F$3*(BH3*$B32))</f>
        <v>37812.5</v>
      </c>
      <c r="BI32" s="94">
        <f>IF(AI32=".",".",up_RadSpec!$F$3*(BI3*$B32))</f>
        <v>37812.5</v>
      </c>
      <c r="BJ32" s="94">
        <f>IF(AJ32=".",".",up_RadSpec!$F$3*(BJ3*$B32))</f>
        <v>37812.5</v>
      </c>
      <c r="BK32" s="94">
        <f>IF(AK32=".",".",up_RadSpec!$F$3*(BK3*$B32))</f>
        <v>37812.5</v>
      </c>
      <c r="BL32" s="94">
        <f>IF(AL32=".",".",up_RadSpec!$F$3*(BL3*$B32))</f>
        <v>37812.5</v>
      </c>
      <c r="BM32" s="94">
        <f>IF(AM32=".",".",up_RadSpec!$F$3*(BM3*$B32))</f>
        <v>37812.5</v>
      </c>
      <c r="BN32" s="94">
        <f>IF(AN32=".",".",up_RadSpec!$F$3*(BN3*$B32))</f>
        <v>37812.5</v>
      </c>
      <c r="BO32" s="94">
        <f>IF(AO32=".",".",up_RadSpec!$F$3*(BO3*$B32))</f>
        <v>37812.5</v>
      </c>
      <c r="BP32" s="94">
        <f>IF(AP32=".",".",up_RadSpec!$F$3*(BP3*$B32))</f>
        <v>37812.5</v>
      </c>
      <c r="BQ32" s="94">
        <f>IF(AQ32=".",".",up_RadSpec!$F$3*(BQ3*$B32))</f>
        <v>37812.5</v>
      </c>
      <c r="BR32" s="94">
        <f>IF(AR32=".",".",up_RadSpec!$F$3*(BR3*$B32))</f>
        <v>37812.5</v>
      </c>
      <c r="BS32" s="94">
        <f>IF(AS32=".",".",up_RadSpec!$F$3*(BS3*$B32))</f>
        <v>37812.5</v>
      </c>
      <c r="BT32" s="94">
        <f>IF(AT32=".",".",up_RadSpec!$F$3*(BT3*$B32))</f>
        <v>37812.5</v>
      </c>
      <c r="BU32" s="94">
        <f>IF(AU32=".",".",up_RadSpec!$F$3*(BU3*$B32))</f>
        <v>37812.5</v>
      </c>
      <c r="BV32" s="94">
        <f>IF(AV32=".",".",up_RadSpec!$F$3*(BV3*$B32))</f>
        <v>37812.5</v>
      </c>
      <c r="BW32" s="94">
        <f>IF(AW32=".",".",up_RadSpec!$F$3*(BW3*$B32))</f>
        <v>37812.5</v>
      </c>
      <c r="BX32" s="94">
        <f>IF(AX32=".",".",up_RadSpec!$F$3*(BX3*$B32))</f>
        <v>37812.5</v>
      </c>
      <c r="BY32" s="94">
        <f>IF(AY32=".",".",up_RadSpec!$F$3*(BY3*$B32))</f>
        <v>37812.5</v>
      </c>
      <c r="BZ32" s="94">
        <f>IF(AZ32=".",".",up_RadSpec!$F$3*(BZ3*$B32))</f>
        <v>37812.5</v>
      </c>
      <c r="CA32" s="94">
        <f>IF(BA32=".",".",up_RadSpec!$F$3*(CA3*$B32))</f>
        <v>37812.5</v>
      </c>
      <c r="CB32" s="94">
        <f>IF(BB32=".",".",up_RadSpec!$F$3*(CB3*$B32))</f>
        <v>37812.5</v>
      </c>
    </row>
    <row r="33" spans="1:80" x14ac:dyDescent="0.25">
      <c r="A33" s="92" t="s">
        <v>1061</v>
      </c>
      <c r="B33" s="84">
        <v>1</v>
      </c>
      <c r="C33" s="93">
        <f t="shared" ref="C33:BB34" si="34">IFERROR(C13/$B33,".")</f>
        <v>1.6528925619834712E-4</v>
      </c>
      <c r="D33" s="93">
        <f t="shared" si="34"/>
        <v>6.6115702479338848E-4</v>
      </c>
      <c r="E33" s="93">
        <f t="shared" si="34"/>
        <v>6.6115702479338848E-4</v>
      </c>
      <c r="F33" s="93">
        <f t="shared" si="34"/>
        <v>6.6115702479338848E-4</v>
      </c>
      <c r="G33" s="93">
        <f t="shared" si="34"/>
        <v>6.6115702479338848E-4</v>
      </c>
      <c r="H33" s="93">
        <f t="shared" si="34"/>
        <v>6.6115702479338848E-4</v>
      </c>
      <c r="I33" s="93">
        <f t="shared" si="34"/>
        <v>6.6115702479338848E-4</v>
      </c>
      <c r="J33" s="93">
        <f t="shared" si="34"/>
        <v>6.6115702479338848E-4</v>
      </c>
      <c r="K33" s="93">
        <f t="shared" si="34"/>
        <v>6.6115702479338848E-4</v>
      </c>
      <c r="L33" s="93">
        <f t="shared" si="34"/>
        <v>6.6115702479338848E-4</v>
      </c>
      <c r="M33" s="93">
        <f t="shared" si="34"/>
        <v>6.6115702479338848E-4</v>
      </c>
      <c r="N33" s="93">
        <f t="shared" si="34"/>
        <v>6.6115702479338848E-4</v>
      </c>
      <c r="O33" s="93">
        <f t="shared" si="34"/>
        <v>6.6115702479338848E-4</v>
      </c>
      <c r="P33" s="93">
        <f t="shared" si="34"/>
        <v>6.6115702479338848E-4</v>
      </c>
      <c r="Q33" s="93">
        <f t="shared" si="34"/>
        <v>6.6115702479338848E-4</v>
      </c>
      <c r="R33" s="93">
        <f t="shared" si="34"/>
        <v>6.6115702479338848E-4</v>
      </c>
      <c r="S33" s="93">
        <f t="shared" si="34"/>
        <v>6.6115702479338848E-4</v>
      </c>
      <c r="T33" s="93">
        <f t="shared" si="34"/>
        <v>6.6115702479338848E-4</v>
      </c>
      <c r="U33" s="93">
        <f t="shared" si="34"/>
        <v>6.6115702479338848E-4</v>
      </c>
      <c r="V33" s="93">
        <f t="shared" si="34"/>
        <v>6.6115702479338848E-4</v>
      </c>
      <c r="W33" s="93">
        <f t="shared" si="34"/>
        <v>6.6115702479338848E-4</v>
      </c>
      <c r="X33" s="93">
        <f t="shared" si="34"/>
        <v>6.6115702479338848E-4</v>
      </c>
      <c r="Y33" s="93">
        <f t="shared" si="34"/>
        <v>6.6115702479338848E-4</v>
      </c>
      <c r="Z33" s="93">
        <f t="shared" si="34"/>
        <v>6.6115702479338848E-4</v>
      </c>
      <c r="AA33" s="93">
        <f t="shared" si="34"/>
        <v>6.6115702479338848E-4</v>
      </c>
      <c r="AB33" s="93">
        <f t="shared" si="34"/>
        <v>6.6115702479338848E-4</v>
      </c>
      <c r="AC33" s="93">
        <f t="shared" si="34"/>
        <v>1.6528925619834712E-4</v>
      </c>
      <c r="AD33" s="93">
        <f t="shared" si="34"/>
        <v>6.6115702479338848E-4</v>
      </c>
      <c r="AE33" s="93">
        <f t="shared" si="34"/>
        <v>6.6115702479338848E-4</v>
      </c>
      <c r="AF33" s="93">
        <f t="shared" si="34"/>
        <v>6.6115702479338848E-4</v>
      </c>
      <c r="AG33" s="93">
        <f t="shared" si="34"/>
        <v>6.6115702479338848E-4</v>
      </c>
      <c r="AH33" s="93">
        <f t="shared" si="34"/>
        <v>6.6115702479338848E-4</v>
      </c>
      <c r="AI33" s="93">
        <f t="shared" si="34"/>
        <v>6.6115702479338848E-4</v>
      </c>
      <c r="AJ33" s="93">
        <f t="shared" si="34"/>
        <v>6.6115702479338848E-4</v>
      </c>
      <c r="AK33" s="93">
        <f t="shared" si="34"/>
        <v>6.6115702479338848E-4</v>
      </c>
      <c r="AL33" s="93">
        <f t="shared" si="34"/>
        <v>6.6115702479338848E-4</v>
      </c>
      <c r="AM33" s="93">
        <f t="shared" si="34"/>
        <v>6.6115702479338848E-4</v>
      </c>
      <c r="AN33" s="93">
        <f t="shared" si="34"/>
        <v>6.6115702479338848E-4</v>
      </c>
      <c r="AO33" s="93">
        <f t="shared" si="34"/>
        <v>6.6115702479338848E-4</v>
      </c>
      <c r="AP33" s="93">
        <f t="shared" si="34"/>
        <v>6.6115702479338848E-4</v>
      </c>
      <c r="AQ33" s="93">
        <f t="shared" si="34"/>
        <v>6.6115702479338848E-4</v>
      </c>
      <c r="AR33" s="93">
        <f t="shared" si="34"/>
        <v>6.6115702479338848E-4</v>
      </c>
      <c r="AS33" s="93">
        <f t="shared" si="34"/>
        <v>6.6115702479338848E-4</v>
      </c>
      <c r="AT33" s="93">
        <f t="shared" si="34"/>
        <v>6.6115702479338848E-4</v>
      </c>
      <c r="AU33" s="93">
        <f t="shared" si="34"/>
        <v>6.6115702479338848E-4</v>
      </c>
      <c r="AV33" s="93">
        <f t="shared" si="34"/>
        <v>6.6115702479338848E-4</v>
      </c>
      <c r="AW33" s="93">
        <f t="shared" si="34"/>
        <v>6.6115702479338848E-4</v>
      </c>
      <c r="AX33" s="93">
        <f t="shared" si="34"/>
        <v>6.6115702479338848E-4</v>
      </c>
      <c r="AY33" s="93">
        <f t="shared" si="34"/>
        <v>6.6115702479338848E-4</v>
      </c>
      <c r="AZ33" s="93">
        <f t="shared" si="34"/>
        <v>6.6115702479338848E-4</v>
      </c>
      <c r="BA33" s="93">
        <f t="shared" si="34"/>
        <v>6.6115702479338848E-4</v>
      </c>
      <c r="BB33" s="93">
        <f t="shared" si="34"/>
        <v>6.6115702479338848E-4</v>
      </c>
      <c r="BC33" s="94">
        <f t="shared" si="33"/>
        <v>151250</v>
      </c>
      <c r="BD33" s="94">
        <f>IF(AD33=".",".",up_RadSpec!$F$13*(BD13*$B33))</f>
        <v>37812.5</v>
      </c>
      <c r="BE33" s="94">
        <f>IF(AE33=".",".",up_RadSpec!$F$13*(BE13*$B33))</f>
        <v>37812.5</v>
      </c>
      <c r="BF33" s="94">
        <f>IF(AF33=".",".",up_RadSpec!$F$13*(BF13*$B33))</f>
        <v>37812.5</v>
      </c>
      <c r="BG33" s="94">
        <f>IF(AG33=".",".",up_RadSpec!$F$13*(BG13*$B33))</f>
        <v>37812.5</v>
      </c>
      <c r="BH33" s="94">
        <f>IF(AH33=".",".",up_RadSpec!$F$13*(BH13*$B33))</f>
        <v>37812.5</v>
      </c>
      <c r="BI33" s="94">
        <f>IF(AI33=".",".",up_RadSpec!$F$13*(BI13*$B33))</f>
        <v>37812.5</v>
      </c>
      <c r="BJ33" s="94">
        <f>IF(AJ33=".",".",up_RadSpec!$F$13*(BJ13*$B33))</f>
        <v>37812.5</v>
      </c>
      <c r="BK33" s="94">
        <f>IF(AK33=".",".",up_RadSpec!$F$13*(BK13*$B33))</f>
        <v>37812.5</v>
      </c>
      <c r="BL33" s="94">
        <f>IF(AL33=".",".",up_RadSpec!$F$13*(BL13*$B33))</f>
        <v>37812.5</v>
      </c>
      <c r="BM33" s="94">
        <f>IF(AM33=".",".",up_RadSpec!$F$13*(BM13*$B33))</f>
        <v>37812.5</v>
      </c>
      <c r="BN33" s="94">
        <f>IF(AN33=".",".",up_RadSpec!$F$13*(BN13*$B33))</f>
        <v>37812.5</v>
      </c>
      <c r="BO33" s="94">
        <f>IF(AO33=".",".",up_RadSpec!$F$13*(BO13*$B33))</f>
        <v>37812.5</v>
      </c>
      <c r="BP33" s="94">
        <f>IF(AP33=".",".",up_RadSpec!$F$13*(BP13*$B33))</f>
        <v>37812.5</v>
      </c>
      <c r="BQ33" s="94">
        <f>IF(AQ33=".",".",up_RadSpec!$F$13*(BQ13*$B33))</f>
        <v>37812.5</v>
      </c>
      <c r="BR33" s="94">
        <f>IF(AR33=".",".",up_RadSpec!$F$13*(BR13*$B33))</f>
        <v>37812.5</v>
      </c>
      <c r="BS33" s="94">
        <f>IF(AS33=".",".",up_RadSpec!$F$13*(BS13*$B33))</f>
        <v>37812.5</v>
      </c>
      <c r="BT33" s="94">
        <f>IF(AT33=".",".",up_RadSpec!$F$13*(BT13*$B33))</f>
        <v>37812.5</v>
      </c>
      <c r="BU33" s="94">
        <f>IF(AU33=".",".",up_RadSpec!$F$13*(BU13*$B33))</f>
        <v>37812.5</v>
      </c>
      <c r="BV33" s="94">
        <f>IF(AV33=".",".",up_RadSpec!$F$13*(BV13*$B33))</f>
        <v>37812.5</v>
      </c>
      <c r="BW33" s="94">
        <f>IF(AW33=".",".",up_RadSpec!$F$13*(BW13*$B33))</f>
        <v>37812.5</v>
      </c>
      <c r="BX33" s="94">
        <f>IF(AX33=".",".",up_RadSpec!$F$13*(BX13*$B33))</f>
        <v>37812.5</v>
      </c>
      <c r="BY33" s="94">
        <f>IF(AY33=".",".",up_RadSpec!$F$13*(BY13*$B33))</f>
        <v>37812.5</v>
      </c>
      <c r="BZ33" s="94">
        <f>IF(AZ33=".",".",up_RadSpec!$F$13*(BZ13*$B33))</f>
        <v>37812.5</v>
      </c>
      <c r="CA33" s="94">
        <f>IF(BA33=".",".",up_RadSpec!$F$13*(CA13*$B33))</f>
        <v>37812.5</v>
      </c>
      <c r="CB33" s="94">
        <f>IF(BB33=".",".",up_RadSpec!$F$13*(CB13*$B33))</f>
        <v>37812.5</v>
      </c>
    </row>
    <row r="34" spans="1:80" x14ac:dyDescent="0.25">
      <c r="A34" s="92" t="s">
        <v>1062</v>
      </c>
      <c r="B34" s="84">
        <v>1</v>
      </c>
      <c r="C34" s="93">
        <f t="shared" si="34"/>
        <v>1.6528925619834712E-4</v>
      </c>
      <c r="D34" s="93">
        <f t="shared" si="34"/>
        <v>6.6115702479338848E-4</v>
      </c>
      <c r="E34" s="93">
        <f t="shared" si="34"/>
        <v>6.6115702479338848E-4</v>
      </c>
      <c r="F34" s="93">
        <f t="shared" si="34"/>
        <v>6.6115702479338848E-4</v>
      </c>
      <c r="G34" s="93">
        <f t="shared" si="34"/>
        <v>6.6115702479338848E-4</v>
      </c>
      <c r="H34" s="93">
        <f t="shared" si="34"/>
        <v>6.6115702479338848E-4</v>
      </c>
      <c r="I34" s="93">
        <f t="shared" si="34"/>
        <v>6.6115702479338848E-4</v>
      </c>
      <c r="J34" s="93">
        <f t="shared" si="34"/>
        <v>6.6115702479338848E-4</v>
      </c>
      <c r="K34" s="93">
        <f t="shared" si="34"/>
        <v>6.6115702479338848E-4</v>
      </c>
      <c r="L34" s="93">
        <f t="shared" si="34"/>
        <v>6.6115702479338848E-4</v>
      </c>
      <c r="M34" s="93">
        <f t="shared" si="34"/>
        <v>6.6115702479338848E-4</v>
      </c>
      <c r="N34" s="93">
        <f t="shared" si="34"/>
        <v>6.6115702479338848E-4</v>
      </c>
      <c r="O34" s="93">
        <f t="shared" si="34"/>
        <v>6.6115702479338848E-4</v>
      </c>
      <c r="P34" s="93">
        <f t="shared" si="34"/>
        <v>6.6115702479338848E-4</v>
      </c>
      <c r="Q34" s="93">
        <f t="shared" si="34"/>
        <v>6.6115702479338848E-4</v>
      </c>
      <c r="R34" s="93">
        <f t="shared" si="34"/>
        <v>6.6115702479338848E-4</v>
      </c>
      <c r="S34" s="93">
        <f t="shared" si="34"/>
        <v>6.6115702479338848E-4</v>
      </c>
      <c r="T34" s="93">
        <f t="shared" si="34"/>
        <v>6.6115702479338848E-4</v>
      </c>
      <c r="U34" s="93">
        <f t="shared" si="34"/>
        <v>6.6115702479338848E-4</v>
      </c>
      <c r="V34" s="93">
        <f t="shared" si="34"/>
        <v>6.6115702479338848E-4</v>
      </c>
      <c r="W34" s="93">
        <f t="shared" si="34"/>
        <v>6.6115702479338848E-4</v>
      </c>
      <c r="X34" s="93">
        <f t="shared" si="34"/>
        <v>6.6115702479338848E-4</v>
      </c>
      <c r="Y34" s="93">
        <f t="shared" si="34"/>
        <v>6.6115702479338848E-4</v>
      </c>
      <c r="Z34" s="93">
        <f t="shared" si="34"/>
        <v>6.6115702479338848E-4</v>
      </c>
      <c r="AA34" s="93">
        <f t="shared" si="34"/>
        <v>6.6115702479338848E-4</v>
      </c>
      <c r="AB34" s="93">
        <f t="shared" si="34"/>
        <v>6.6115702479338848E-4</v>
      </c>
      <c r="AC34" s="93">
        <f t="shared" si="34"/>
        <v>1.6528925619834712E-4</v>
      </c>
      <c r="AD34" s="93">
        <f t="shared" si="34"/>
        <v>6.6115702479338848E-4</v>
      </c>
      <c r="AE34" s="93">
        <f t="shared" si="34"/>
        <v>6.6115702479338848E-4</v>
      </c>
      <c r="AF34" s="93">
        <f t="shared" si="34"/>
        <v>6.6115702479338848E-4</v>
      </c>
      <c r="AG34" s="93">
        <f t="shared" si="34"/>
        <v>6.6115702479338848E-4</v>
      </c>
      <c r="AH34" s="93">
        <f t="shared" si="34"/>
        <v>6.6115702479338848E-4</v>
      </c>
      <c r="AI34" s="93">
        <f t="shared" si="34"/>
        <v>6.6115702479338848E-4</v>
      </c>
      <c r="AJ34" s="93">
        <f t="shared" si="34"/>
        <v>6.6115702479338848E-4</v>
      </c>
      <c r="AK34" s="93">
        <f t="shared" si="34"/>
        <v>6.6115702479338848E-4</v>
      </c>
      <c r="AL34" s="93">
        <f t="shared" si="34"/>
        <v>6.6115702479338848E-4</v>
      </c>
      <c r="AM34" s="93">
        <f t="shared" si="34"/>
        <v>6.6115702479338848E-4</v>
      </c>
      <c r="AN34" s="93">
        <f t="shared" si="34"/>
        <v>6.6115702479338848E-4</v>
      </c>
      <c r="AO34" s="93">
        <f t="shared" si="34"/>
        <v>6.6115702479338848E-4</v>
      </c>
      <c r="AP34" s="93">
        <f t="shared" si="34"/>
        <v>6.6115702479338848E-4</v>
      </c>
      <c r="AQ34" s="93">
        <f t="shared" si="34"/>
        <v>6.6115702479338848E-4</v>
      </c>
      <c r="AR34" s="93">
        <f t="shared" si="34"/>
        <v>6.6115702479338848E-4</v>
      </c>
      <c r="AS34" s="93">
        <f t="shared" si="34"/>
        <v>6.6115702479338848E-4</v>
      </c>
      <c r="AT34" s="93">
        <f t="shared" si="34"/>
        <v>6.6115702479338848E-4</v>
      </c>
      <c r="AU34" s="93">
        <f t="shared" si="34"/>
        <v>6.6115702479338848E-4</v>
      </c>
      <c r="AV34" s="93">
        <f t="shared" si="34"/>
        <v>6.6115702479338848E-4</v>
      </c>
      <c r="AW34" s="93">
        <f t="shared" si="34"/>
        <v>6.6115702479338848E-4</v>
      </c>
      <c r="AX34" s="93">
        <f t="shared" si="34"/>
        <v>6.6115702479338848E-4</v>
      </c>
      <c r="AY34" s="93">
        <f t="shared" si="34"/>
        <v>6.6115702479338848E-4</v>
      </c>
      <c r="AZ34" s="93">
        <f t="shared" si="34"/>
        <v>6.6115702479338848E-4</v>
      </c>
      <c r="BA34" s="93">
        <f t="shared" si="34"/>
        <v>6.6115702479338848E-4</v>
      </c>
      <c r="BB34" s="93">
        <f t="shared" si="34"/>
        <v>6.6115702479338848E-4</v>
      </c>
      <c r="BC34" s="94">
        <f t="shared" si="33"/>
        <v>151250</v>
      </c>
      <c r="BD34" s="94">
        <f>IF(AD34=".",".",up_RadSpec!$F$14*(BD14*$B34))</f>
        <v>37812.5</v>
      </c>
      <c r="BE34" s="94">
        <f>IF(AE34=".",".",up_RadSpec!$F$14*(BE14*$B34))</f>
        <v>37812.5</v>
      </c>
      <c r="BF34" s="94">
        <f>IF(AF34=".",".",up_RadSpec!$F$14*(BF14*$B34))</f>
        <v>37812.5</v>
      </c>
      <c r="BG34" s="94">
        <f>IF(AG34=".",".",up_RadSpec!$F$14*(BG14*$B34))</f>
        <v>37812.5</v>
      </c>
      <c r="BH34" s="94">
        <f>IF(AH34=".",".",up_RadSpec!$F$14*(BH14*$B34))</f>
        <v>37812.5</v>
      </c>
      <c r="BI34" s="94">
        <f>IF(AI34=".",".",up_RadSpec!$F$14*(BI14*$B34))</f>
        <v>37812.5</v>
      </c>
      <c r="BJ34" s="94">
        <f>IF(AJ34=".",".",up_RadSpec!$F$14*(BJ14*$B34))</f>
        <v>37812.5</v>
      </c>
      <c r="BK34" s="94">
        <f>IF(AK34=".",".",up_RadSpec!$F$14*(BK14*$B34))</f>
        <v>37812.5</v>
      </c>
      <c r="BL34" s="94">
        <f>IF(AL34=".",".",up_RadSpec!$F$14*(BL14*$B34))</f>
        <v>37812.5</v>
      </c>
      <c r="BM34" s="94">
        <f>IF(AM34=".",".",up_RadSpec!$F$14*(BM14*$B34))</f>
        <v>37812.5</v>
      </c>
      <c r="BN34" s="94">
        <f>IF(AN34=".",".",up_RadSpec!$F$14*(BN14*$B34))</f>
        <v>37812.5</v>
      </c>
      <c r="BO34" s="94">
        <f>IF(AO34=".",".",up_RadSpec!$F$14*(BO14*$B34))</f>
        <v>37812.5</v>
      </c>
      <c r="BP34" s="94">
        <f>IF(AP34=".",".",up_RadSpec!$F$14*(BP14*$B34))</f>
        <v>37812.5</v>
      </c>
      <c r="BQ34" s="94">
        <f>IF(AQ34=".",".",up_RadSpec!$F$14*(BQ14*$B34))</f>
        <v>37812.5</v>
      </c>
      <c r="BR34" s="94">
        <f>IF(AR34=".",".",up_RadSpec!$F$14*(BR14*$B34))</f>
        <v>37812.5</v>
      </c>
      <c r="BS34" s="94">
        <f>IF(AS34=".",".",up_RadSpec!$F$14*(BS14*$B34))</f>
        <v>37812.5</v>
      </c>
      <c r="BT34" s="94">
        <f>IF(AT34=".",".",up_RadSpec!$F$14*(BT14*$B34))</f>
        <v>37812.5</v>
      </c>
      <c r="BU34" s="94">
        <f>IF(AU34=".",".",up_RadSpec!$F$14*(BU14*$B34))</f>
        <v>37812.5</v>
      </c>
      <c r="BV34" s="94">
        <f>IF(AV34=".",".",up_RadSpec!$F$14*(BV14*$B34))</f>
        <v>37812.5</v>
      </c>
      <c r="BW34" s="94">
        <f>IF(AW34=".",".",up_RadSpec!$F$14*(BW14*$B34))</f>
        <v>37812.5</v>
      </c>
      <c r="BX34" s="94">
        <f>IF(AX34=".",".",up_RadSpec!$F$14*(BX14*$B34))</f>
        <v>37812.5</v>
      </c>
      <c r="BY34" s="94">
        <f>IF(AY34=".",".",up_RadSpec!$F$14*(BY14*$B34))</f>
        <v>37812.5</v>
      </c>
      <c r="BZ34" s="94">
        <f>IF(AZ34=".",".",up_RadSpec!$F$14*(BZ14*$B34))</f>
        <v>37812.5</v>
      </c>
      <c r="CA34" s="94">
        <f>IF(BA34=".",".",up_RadSpec!$F$14*(CA14*$B34))</f>
        <v>37812.5</v>
      </c>
      <c r="CB34" s="94">
        <f>IF(BB34=".",".",up_RadSpec!$F$14*(CB14*$B34))</f>
        <v>37812.5</v>
      </c>
    </row>
    <row r="35" spans="1:80" x14ac:dyDescent="0.25">
      <c r="A35" s="92" t="s">
        <v>1063</v>
      </c>
      <c r="B35" s="84">
        <v>1</v>
      </c>
      <c r="C35" s="93">
        <f t="shared" ref="C35:AH35" si="35">IFERROR(C30/$B35,".")</f>
        <v>1.6528925619834712E-4</v>
      </c>
      <c r="D35" s="93">
        <f t="shared" si="35"/>
        <v>6.6115702479338848E-4</v>
      </c>
      <c r="E35" s="93">
        <f t="shared" si="35"/>
        <v>6.6115702479338848E-4</v>
      </c>
      <c r="F35" s="93">
        <f t="shared" si="35"/>
        <v>6.6115702479338848E-4</v>
      </c>
      <c r="G35" s="93">
        <f t="shared" si="35"/>
        <v>6.6115702479338848E-4</v>
      </c>
      <c r="H35" s="93">
        <f t="shared" si="35"/>
        <v>6.6115702479338848E-4</v>
      </c>
      <c r="I35" s="93">
        <f t="shared" si="35"/>
        <v>6.6115702479338848E-4</v>
      </c>
      <c r="J35" s="93">
        <f t="shared" si="35"/>
        <v>6.6115702479338848E-4</v>
      </c>
      <c r="K35" s="93">
        <f t="shared" si="35"/>
        <v>6.6115702479338848E-4</v>
      </c>
      <c r="L35" s="93">
        <f t="shared" si="35"/>
        <v>6.6115702479338848E-4</v>
      </c>
      <c r="M35" s="93">
        <f t="shared" si="35"/>
        <v>6.6115702479338848E-4</v>
      </c>
      <c r="N35" s="93">
        <f t="shared" si="35"/>
        <v>6.6115702479338848E-4</v>
      </c>
      <c r="O35" s="93">
        <f t="shared" si="35"/>
        <v>6.6115702479338848E-4</v>
      </c>
      <c r="P35" s="93">
        <f t="shared" si="35"/>
        <v>6.6115702479338848E-4</v>
      </c>
      <c r="Q35" s="93">
        <f t="shared" si="35"/>
        <v>6.6115702479338848E-4</v>
      </c>
      <c r="R35" s="93">
        <f t="shared" si="35"/>
        <v>6.6115702479338848E-4</v>
      </c>
      <c r="S35" s="93">
        <f t="shared" si="35"/>
        <v>6.6115702479338848E-4</v>
      </c>
      <c r="T35" s="93">
        <f t="shared" si="35"/>
        <v>6.6115702479338848E-4</v>
      </c>
      <c r="U35" s="93">
        <f t="shared" si="35"/>
        <v>6.6115702479338848E-4</v>
      </c>
      <c r="V35" s="93">
        <f t="shared" si="35"/>
        <v>6.6115702479338848E-4</v>
      </c>
      <c r="W35" s="93">
        <f t="shared" si="35"/>
        <v>6.6115702479338848E-4</v>
      </c>
      <c r="X35" s="93">
        <f t="shared" si="35"/>
        <v>6.6115702479338848E-4</v>
      </c>
      <c r="Y35" s="93">
        <f t="shared" si="35"/>
        <v>6.6115702479338848E-4</v>
      </c>
      <c r="Z35" s="93">
        <f t="shared" si="35"/>
        <v>6.6115702479338848E-4</v>
      </c>
      <c r="AA35" s="93">
        <f t="shared" si="35"/>
        <v>6.6115702479338848E-4</v>
      </c>
      <c r="AB35" s="93">
        <f t="shared" si="35"/>
        <v>6.6115702479338848E-4</v>
      </c>
      <c r="AC35" s="93">
        <f t="shared" si="35"/>
        <v>1.6528925619834712E-4</v>
      </c>
      <c r="AD35" s="93">
        <f t="shared" si="35"/>
        <v>6.6115702479338848E-4</v>
      </c>
      <c r="AE35" s="93">
        <f t="shared" si="35"/>
        <v>6.6115702479338848E-4</v>
      </c>
      <c r="AF35" s="93">
        <f t="shared" si="35"/>
        <v>6.6115702479338848E-4</v>
      </c>
      <c r="AG35" s="93">
        <f t="shared" si="35"/>
        <v>6.6115702479338848E-4</v>
      </c>
      <c r="AH35" s="93">
        <f t="shared" si="35"/>
        <v>6.6115702479338848E-4</v>
      </c>
      <c r="AI35" s="93">
        <f t="shared" ref="AI35:BB35" si="36">IFERROR(AI30/$B35,".")</f>
        <v>6.6115702479338848E-4</v>
      </c>
      <c r="AJ35" s="93">
        <f t="shared" si="36"/>
        <v>6.6115702479338848E-4</v>
      </c>
      <c r="AK35" s="93">
        <f t="shared" si="36"/>
        <v>6.6115702479338848E-4</v>
      </c>
      <c r="AL35" s="93">
        <f t="shared" si="36"/>
        <v>6.6115702479338848E-4</v>
      </c>
      <c r="AM35" s="93">
        <f t="shared" si="36"/>
        <v>6.6115702479338848E-4</v>
      </c>
      <c r="AN35" s="93">
        <f t="shared" si="36"/>
        <v>6.6115702479338848E-4</v>
      </c>
      <c r="AO35" s="93">
        <f t="shared" si="36"/>
        <v>6.6115702479338848E-4</v>
      </c>
      <c r="AP35" s="93">
        <f t="shared" si="36"/>
        <v>6.6115702479338848E-4</v>
      </c>
      <c r="AQ35" s="93">
        <f t="shared" si="36"/>
        <v>6.6115702479338848E-4</v>
      </c>
      <c r="AR35" s="93">
        <f t="shared" si="36"/>
        <v>6.6115702479338848E-4</v>
      </c>
      <c r="AS35" s="93">
        <f t="shared" si="36"/>
        <v>6.6115702479338848E-4</v>
      </c>
      <c r="AT35" s="93">
        <f t="shared" si="36"/>
        <v>6.6115702479338848E-4</v>
      </c>
      <c r="AU35" s="93">
        <f t="shared" si="36"/>
        <v>6.6115702479338848E-4</v>
      </c>
      <c r="AV35" s="93">
        <f t="shared" si="36"/>
        <v>6.6115702479338848E-4</v>
      </c>
      <c r="AW35" s="93">
        <f t="shared" si="36"/>
        <v>6.6115702479338848E-4</v>
      </c>
      <c r="AX35" s="93">
        <f t="shared" si="36"/>
        <v>6.6115702479338848E-4</v>
      </c>
      <c r="AY35" s="93">
        <f t="shared" si="36"/>
        <v>6.6115702479338848E-4</v>
      </c>
      <c r="AZ35" s="93">
        <f t="shared" si="36"/>
        <v>6.6115702479338848E-4</v>
      </c>
      <c r="BA35" s="93">
        <f t="shared" si="36"/>
        <v>6.6115702479338848E-4</v>
      </c>
      <c r="BB35" s="93">
        <f t="shared" si="36"/>
        <v>6.6115702479338848E-4</v>
      </c>
      <c r="BC35" s="94">
        <f t="shared" si="33"/>
        <v>151250</v>
      </c>
      <c r="BD35" s="94">
        <f>IF(AD35=".",".",up_RadSpec!$F$30*(BD30*$B35))</f>
        <v>37812.5</v>
      </c>
      <c r="BE35" s="94">
        <f>IF(AE35=".",".",up_RadSpec!$F$30*(BE30*$B35))</f>
        <v>37812.5</v>
      </c>
      <c r="BF35" s="94">
        <f>IF(AF35=".",".",up_RadSpec!$F$30*(BF30*$B35))</f>
        <v>37812.5</v>
      </c>
      <c r="BG35" s="94">
        <f>IF(AG35=".",".",up_RadSpec!$F$30*(BG30*$B35))</f>
        <v>37812.5</v>
      </c>
      <c r="BH35" s="94">
        <f>IF(AH35=".",".",up_RadSpec!$F$30*(BH30*$B35))</f>
        <v>37812.5</v>
      </c>
      <c r="BI35" s="94">
        <f>IF(AI35=".",".",up_RadSpec!$F$30*(BI30*$B35))</f>
        <v>37812.5</v>
      </c>
      <c r="BJ35" s="94">
        <f>IF(AJ35=".",".",up_RadSpec!$F$30*(BJ30*$B35))</f>
        <v>37812.5</v>
      </c>
      <c r="BK35" s="94">
        <f>IF(AK35=".",".",up_RadSpec!$F$30*(BK30*$B35))</f>
        <v>37812.5</v>
      </c>
      <c r="BL35" s="94">
        <f>IF(AL35=".",".",up_RadSpec!$F$30*(BL30*$B35))</f>
        <v>37812.5</v>
      </c>
      <c r="BM35" s="94">
        <f>IF(AM35=".",".",up_RadSpec!$F$30*(BM30*$B35))</f>
        <v>37812.5</v>
      </c>
      <c r="BN35" s="94">
        <f>IF(AN35=".",".",up_RadSpec!$F$30*(BN30*$B35))</f>
        <v>37812.5</v>
      </c>
      <c r="BO35" s="94">
        <f>IF(AO35=".",".",up_RadSpec!$F$30*(BO30*$B35))</f>
        <v>37812.5</v>
      </c>
      <c r="BP35" s="94">
        <f>IF(AP35=".",".",up_RadSpec!$F$30*(BP30*$B35))</f>
        <v>37812.5</v>
      </c>
      <c r="BQ35" s="94">
        <f>IF(AQ35=".",".",up_RadSpec!$F$30*(BQ30*$B35))</f>
        <v>37812.5</v>
      </c>
      <c r="BR35" s="94">
        <f>IF(AR35=".",".",up_RadSpec!$F$30*(BR30*$B35))</f>
        <v>37812.5</v>
      </c>
      <c r="BS35" s="94">
        <f>IF(AS35=".",".",up_RadSpec!$F$30*(BS30*$B35))</f>
        <v>37812.5</v>
      </c>
      <c r="BT35" s="94">
        <f>IF(AT35=".",".",up_RadSpec!$F$30*(BT30*$B35))</f>
        <v>37812.5</v>
      </c>
      <c r="BU35" s="94">
        <f>IF(AU35=".",".",up_RadSpec!$F$30*(BU30*$B35))</f>
        <v>37812.5</v>
      </c>
      <c r="BV35" s="94">
        <f>IF(AV35=".",".",up_RadSpec!$F$30*(BV30*$B35))</f>
        <v>37812.5</v>
      </c>
      <c r="BW35" s="94">
        <f>IF(AW35=".",".",up_RadSpec!$F$30*(BW30*$B35))</f>
        <v>37812.5</v>
      </c>
      <c r="BX35" s="94">
        <f>IF(AX35=".",".",up_RadSpec!$F$30*(BX30*$B35))</f>
        <v>37812.5</v>
      </c>
      <c r="BY35" s="94">
        <f>IF(AY35=".",".",up_RadSpec!$F$30*(BY30*$B35))</f>
        <v>37812.5</v>
      </c>
      <c r="BZ35" s="94">
        <f>IF(AZ35=".",".",up_RadSpec!$F$30*(BZ30*$B35))</f>
        <v>37812.5</v>
      </c>
      <c r="CA35" s="94">
        <f>IF(BA35=".",".",up_RadSpec!$F$30*(CA30*$B35))</f>
        <v>37812.5</v>
      </c>
      <c r="CB35" s="94">
        <f>IF(BB35=".",".",up_RadSpec!$F$30*(CB30*$B35))</f>
        <v>37812.5</v>
      </c>
    </row>
    <row r="36" spans="1:80" x14ac:dyDescent="0.25">
      <c r="A36" s="92" t="s">
        <v>1064</v>
      </c>
      <c r="B36" s="84">
        <v>1</v>
      </c>
      <c r="C36" s="93">
        <f t="shared" ref="C36:AH36" si="37">IFERROR(C26/$B36,".")</f>
        <v>1.6528925619834712E-4</v>
      </c>
      <c r="D36" s="93">
        <f t="shared" si="37"/>
        <v>6.6115702479338848E-4</v>
      </c>
      <c r="E36" s="93">
        <f t="shared" si="37"/>
        <v>6.6115702479338848E-4</v>
      </c>
      <c r="F36" s="93">
        <f t="shared" si="37"/>
        <v>6.6115702479338848E-4</v>
      </c>
      <c r="G36" s="93">
        <f t="shared" si="37"/>
        <v>6.6115702479338848E-4</v>
      </c>
      <c r="H36" s="93">
        <f t="shared" si="37"/>
        <v>6.6115702479338848E-4</v>
      </c>
      <c r="I36" s="93">
        <f t="shared" si="37"/>
        <v>6.6115702479338848E-4</v>
      </c>
      <c r="J36" s="93">
        <f t="shared" si="37"/>
        <v>6.6115702479338848E-4</v>
      </c>
      <c r="K36" s="93">
        <f t="shared" si="37"/>
        <v>6.6115702479338848E-4</v>
      </c>
      <c r="L36" s="93">
        <f t="shared" si="37"/>
        <v>6.6115702479338848E-4</v>
      </c>
      <c r="M36" s="93">
        <f t="shared" si="37"/>
        <v>6.6115702479338848E-4</v>
      </c>
      <c r="N36" s="93">
        <f t="shared" si="37"/>
        <v>6.6115702479338848E-4</v>
      </c>
      <c r="O36" s="93">
        <f t="shared" si="37"/>
        <v>6.6115702479338848E-4</v>
      </c>
      <c r="P36" s="93">
        <f t="shared" si="37"/>
        <v>6.6115702479338848E-4</v>
      </c>
      <c r="Q36" s="93">
        <f t="shared" si="37"/>
        <v>6.6115702479338848E-4</v>
      </c>
      <c r="R36" s="93">
        <f t="shared" si="37"/>
        <v>6.6115702479338848E-4</v>
      </c>
      <c r="S36" s="93">
        <f t="shared" si="37"/>
        <v>6.6115702479338848E-4</v>
      </c>
      <c r="T36" s="93">
        <f t="shared" si="37"/>
        <v>6.6115702479338848E-4</v>
      </c>
      <c r="U36" s="93">
        <f t="shared" si="37"/>
        <v>6.6115702479338848E-4</v>
      </c>
      <c r="V36" s="93">
        <f t="shared" si="37"/>
        <v>6.6115702479338848E-4</v>
      </c>
      <c r="W36" s="93">
        <f t="shared" si="37"/>
        <v>6.6115702479338848E-4</v>
      </c>
      <c r="X36" s="93">
        <f t="shared" si="37"/>
        <v>6.6115702479338848E-4</v>
      </c>
      <c r="Y36" s="93">
        <f t="shared" si="37"/>
        <v>6.6115702479338848E-4</v>
      </c>
      <c r="Z36" s="93">
        <f t="shared" si="37"/>
        <v>6.6115702479338848E-4</v>
      </c>
      <c r="AA36" s="93">
        <f t="shared" si="37"/>
        <v>6.6115702479338848E-4</v>
      </c>
      <c r="AB36" s="93">
        <f t="shared" si="37"/>
        <v>6.6115702479338848E-4</v>
      </c>
      <c r="AC36" s="93">
        <f t="shared" si="37"/>
        <v>1.6528925619834712E-4</v>
      </c>
      <c r="AD36" s="93">
        <f t="shared" si="37"/>
        <v>6.6115702479338848E-4</v>
      </c>
      <c r="AE36" s="93">
        <f t="shared" si="37"/>
        <v>6.6115702479338848E-4</v>
      </c>
      <c r="AF36" s="93">
        <f t="shared" si="37"/>
        <v>6.6115702479338848E-4</v>
      </c>
      <c r="AG36" s="93">
        <f t="shared" si="37"/>
        <v>6.6115702479338848E-4</v>
      </c>
      <c r="AH36" s="93">
        <f t="shared" si="37"/>
        <v>6.6115702479338848E-4</v>
      </c>
      <c r="AI36" s="93">
        <f t="shared" ref="AI36:BB36" si="38">IFERROR(AI26/$B36,".")</f>
        <v>6.6115702479338848E-4</v>
      </c>
      <c r="AJ36" s="93">
        <f t="shared" si="38"/>
        <v>6.6115702479338848E-4</v>
      </c>
      <c r="AK36" s="93">
        <f t="shared" si="38"/>
        <v>6.6115702479338848E-4</v>
      </c>
      <c r="AL36" s="93">
        <f t="shared" si="38"/>
        <v>6.6115702479338848E-4</v>
      </c>
      <c r="AM36" s="93">
        <f t="shared" si="38"/>
        <v>6.6115702479338848E-4</v>
      </c>
      <c r="AN36" s="93">
        <f t="shared" si="38"/>
        <v>6.6115702479338848E-4</v>
      </c>
      <c r="AO36" s="93">
        <f t="shared" si="38"/>
        <v>6.6115702479338848E-4</v>
      </c>
      <c r="AP36" s="93">
        <f t="shared" si="38"/>
        <v>6.6115702479338848E-4</v>
      </c>
      <c r="AQ36" s="93">
        <f t="shared" si="38"/>
        <v>6.6115702479338848E-4</v>
      </c>
      <c r="AR36" s="93">
        <f t="shared" si="38"/>
        <v>6.6115702479338848E-4</v>
      </c>
      <c r="AS36" s="93">
        <f t="shared" si="38"/>
        <v>6.6115702479338848E-4</v>
      </c>
      <c r="AT36" s="93">
        <f t="shared" si="38"/>
        <v>6.6115702479338848E-4</v>
      </c>
      <c r="AU36" s="93">
        <f t="shared" si="38"/>
        <v>6.6115702479338848E-4</v>
      </c>
      <c r="AV36" s="93">
        <f t="shared" si="38"/>
        <v>6.6115702479338848E-4</v>
      </c>
      <c r="AW36" s="93">
        <f t="shared" si="38"/>
        <v>6.6115702479338848E-4</v>
      </c>
      <c r="AX36" s="93">
        <f t="shared" si="38"/>
        <v>6.6115702479338848E-4</v>
      </c>
      <c r="AY36" s="93">
        <f t="shared" si="38"/>
        <v>6.6115702479338848E-4</v>
      </c>
      <c r="AZ36" s="93">
        <f t="shared" si="38"/>
        <v>6.6115702479338848E-4</v>
      </c>
      <c r="BA36" s="93">
        <f t="shared" si="38"/>
        <v>6.6115702479338848E-4</v>
      </c>
      <c r="BB36" s="93">
        <f t="shared" si="38"/>
        <v>6.6115702479338848E-4</v>
      </c>
      <c r="BC36" s="94">
        <f t="shared" si="33"/>
        <v>151250</v>
      </c>
      <c r="BD36" s="94">
        <f>IF(AD36=".",".",up_RadSpec!$F$26*(BD26*$B36))</f>
        <v>37812.5</v>
      </c>
      <c r="BE36" s="94">
        <f>IF(AE36=".",".",up_RadSpec!$F$26*(BE26*$B36))</f>
        <v>37812.5</v>
      </c>
      <c r="BF36" s="94">
        <f>IF(AF36=".",".",up_RadSpec!$F$26*(BF26*$B36))</f>
        <v>37812.5</v>
      </c>
      <c r="BG36" s="94">
        <f>IF(AG36=".",".",up_RadSpec!$F$26*(BG26*$B36))</f>
        <v>37812.5</v>
      </c>
      <c r="BH36" s="94">
        <f>IF(AH36=".",".",up_RadSpec!$F$26*(BH26*$B36))</f>
        <v>37812.5</v>
      </c>
      <c r="BI36" s="94">
        <f>IF(AI36=".",".",up_RadSpec!$F$26*(BI26*$B36))</f>
        <v>37812.5</v>
      </c>
      <c r="BJ36" s="94">
        <f>IF(AJ36=".",".",up_RadSpec!$F$26*(BJ26*$B36))</f>
        <v>37812.5</v>
      </c>
      <c r="BK36" s="94">
        <f>IF(AK36=".",".",up_RadSpec!$F$26*(BK26*$B36))</f>
        <v>37812.5</v>
      </c>
      <c r="BL36" s="94">
        <f>IF(AL36=".",".",up_RadSpec!$F$26*(BL26*$B36))</f>
        <v>37812.5</v>
      </c>
      <c r="BM36" s="94">
        <f>IF(AM36=".",".",up_RadSpec!$F$26*(BM26*$B36))</f>
        <v>37812.5</v>
      </c>
      <c r="BN36" s="94">
        <f>IF(AN36=".",".",up_RadSpec!$F$26*(BN26*$B36))</f>
        <v>37812.5</v>
      </c>
      <c r="BO36" s="94">
        <f>IF(AO36=".",".",up_RadSpec!$F$26*(BO26*$B36))</f>
        <v>37812.5</v>
      </c>
      <c r="BP36" s="94">
        <f>IF(AP36=".",".",up_RadSpec!$F$26*(BP26*$B36))</f>
        <v>37812.5</v>
      </c>
      <c r="BQ36" s="94">
        <f>IF(AQ36=".",".",up_RadSpec!$F$26*(BQ26*$B36))</f>
        <v>37812.5</v>
      </c>
      <c r="BR36" s="94">
        <f>IF(AR36=".",".",up_RadSpec!$F$26*(BR26*$B36))</f>
        <v>37812.5</v>
      </c>
      <c r="BS36" s="94">
        <f>IF(AS36=".",".",up_RadSpec!$F$26*(BS26*$B36))</f>
        <v>37812.5</v>
      </c>
      <c r="BT36" s="94">
        <f>IF(AT36=".",".",up_RadSpec!$F$26*(BT26*$B36))</f>
        <v>37812.5</v>
      </c>
      <c r="BU36" s="94">
        <f>IF(AU36=".",".",up_RadSpec!$F$26*(BU26*$B36))</f>
        <v>37812.5</v>
      </c>
      <c r="BV36" s="94">
        <f>IF(AV36=".",".",up_RadSpec!$F$26*(BV26*$B36))</f>
        <v>37812.5</v>
      </c>
      <c r="BW36" s="94">
        <f>IF(AW36=".",".",up_RadSpec!$F$26*(BW26*$B36))</f>
        <v>37812.5</v>
      </c>
      <c r="BX36" s="94">
        <f>IF(AX36=".",".",up_RadSpec!$F$26*(BX26*$B36))</f>
        <v>37812.5</v>
      </c>
      <c r="BY36" s="94">
        <f>IF(AY36=".",".",up_RadSpec!$F$26*(BY26*$B36))</f>
        <v>37812.5</v>
      </c>
      <c r="BZ36" s="94">
        <f>IF(AZ36=".",".",up_RadSpec!$F$26*(BZ26*$B36))</f>
        <v>37812.5</v>
      </c>
      <c r="CA36" s="94">
        <f>IF(BA36=".",".",up_RadSpec!$F$26*(CA26*$B36))</f>
        <v>37812.5</v>
      </c>
      <c r="CB36" s="94">
        <f>IF(BB36=".",".",up_RadSpec!$F$26*(CB26*$B36))</f>
        <v>37812.5</v>
      </c>
    </row>
    <row r="37" spans="1:80" x14ac:dyDescent="0.25">
      <c r="A37" s="92" t="s">
        <v>1065</v>
      </c>
      <c r="B37" s="84">
        <v>1</v>
      </c>
      <c r="C37" s="93">
        <f t="shared" ref="C37:AH37" si="39">IFERROR(C22/$B37,".")</f>
        <v>1.6528925619834712E-4</v>
      </c>
      <c r="D37" s="93">
        <f t="shared" si="39"/>
        <v>6.6115702479338848E-4</v>
      </c>
      <c r="E37" s="93">
        <f t="shared" si="39"/>
        <v>6.6115702479338848E-4</v>
      </c>
      <c r="F37" s="93">
        <f t="shared" si="39"/>
        <v>6.6115702479338848E-4</v>
      </c>
      <c r="G37" s="93">
        <f t="shared" si="39"/>
        <v>6.6115702479338848E-4</v>
      </c>
      <c r="H37" s="93">
        <f t="shared" si="39"/>
        <v>6.6115702479338848E-4</v>
      </c>
      <c r="I37" s="93">
        <f t="shared" si="39"/>
        <v>6.6115702479338848E-4</v>
      </c>
      <c r="J37" s="93">
        <f t="shared" si="39"/>
        <v>6.6115702479338848E-4</v>
      </c>
      <c r="K37" s="93">
        <f t="shared" si="39"/>
        <v>6.6115702479338848E-4</v>
      </c>
      <c r="L37" s="93">
        <f t="shared" si="39"/>
        <v>6.6115702479338848E-4</v>
      </c>
      <c r="M37" s="93">
        <f t="shared" si="39"/>
        <v>6.6115702479338848E-4</v>
      </c>
      <c r="N37" s="93">
        <f t="shared" si="39"/>
        <v>6.6115702479338848E-4</v>
      </c>
      <c r="O37" s="93">
        <f t="shared" si="39"/>
        <v>6.6115702479338848E-4</v>
      </c>
      <c r="P37" s="93">
        <f t="shared" si="39"/>
        <v>6.6115702479338848E-4</v>
      </c>
      <c r="Q37" s="93">
        <f t="shared" si="39"/>
        <v>6.6115702479338848E-4</v>
      </c>
      <c r="R37" s="93">
        <f t="shared" si="39"/>
        <v>6.6115702479338848E-4</v>
      </c>
      <c r="S37" s="93">
        <f t="shared" si="39"/>
        <v>6.6115702479338848E-4</v>
      </c>
      <c r="T37" s="93">
        <f t="shared" si="39"/>
        <v>6.6115702479338848E-4</v>
      </c>
      <c r="U37" s="93">
        <f t="shared" si="39"/>
        <v>6.6115702479338848E-4</v>
      </c>
      <c r="V37" s="93">
        <f t="shared" si="39"/>
        <v>6.6115702479338848E-4</v>
      </c>
      <c r="W37" s="93">
        <f t="shared" si="39"/>
        <v>6.6115702479338848E-4</v>
      </c>
      <c r="X37" s="93">
        <f t="shared" si="39"/>
        <v>6.6115702479338848E-4</v>
      </c>
      <c r="Y37" s="93">
        <f t="shared" si="39"/>
        <v>6.6115702479338848E-4</v>
      </c>
      <c r="Z37" s="93">
        <f t="shared" si="39"/>
        <v>6.6115702479338848E-4</v>
      </c>
      <c r="AA37" s="93">
        <f t="shared" si="39"/>
        <v>6.6115702479338848E-4</v>
      </c>
      <c r="AB37" s="93">
        <f t="shared" si="39"/>
        <v>6.6115702479338848E-4</v>
      </c>
      <c r="AC37" s="93">
        <f t="shared" si="39"/>
        <v>1.6528925619834712E-4</v>
      </c>
      <c r="AD37" s="93">
        <f t="shared" si="39"/>
        <v>6.6115702479338848E-4</v>
      </c>
      <c r="AE37" s="93">
        <f t="shared" si="39"/>
        <v>6.6115702479338848E-4</v>
      </c>
      <c r="AF37" s="93">
        <f t="shared" si="39"/>
        <v>6.6115702479338848E-4</v>
      </c>
      <c r="AG37" s="93">
        <f t="shared" si="39"/>
        <v>6.6115702479338848E-4</v>
      </c>
      <c r="AH37" s="93">
        <f t="shared" si="39"/>
        <v>6.6115702479338848E-4</v>
      </c>
      <c r="AI37" s="93">
        <f t="shared" ref="AI37:BB37" si="40">IFERROR(AI22/$B37,".")</f>
        <v>6.6115702479338848E-4</v>
      </c>
      <c r="AJ37" s="93">
        <f t="shared" si="40"/>
        <v>6.6115702479338848E-4</v>
      </c>
      <c r="AK37" s="93">
        <f t="shared" si="40"/>
        <v>6.6115702479338848E-4</v>
      </c>
      <c r="AL37" s="93">
        <f t="shared" si="40"/>
        <v>6.6115702479338848E-4</v>
      </c>
      <c r="AM37" s="93">
        <f t="shared" si="40"/>
        <v>6.6115702479338848E-4</v>
      </c>
      <c r="AN37" s="93">
        <f t="shared" si="40"/>
        <v>6.6115702479338848E-4</v>
      </c>
      <c r="AO37" s="93">
        <f t="shared" si="40"/>
        <v>6.6115702479338848E-4</v>
      </c>
      <c r="AP37" s="93">
        <f t="shared" si="40"/>
        <v>6.6115702479338848E-4</v>
      </c>
      <c r="AQ37" s="93">
        <f t="shared" si="40"/>
        <v>6.6115702479338848E-4</v>
      </c>
      <c r="AR37" s="93">
        <f t="shared" si="40"/>
        <v>6.6115702479338848E-4</v>
      </c>
      <c r="AS37" s="93">
        <f t="shared" si="40"/>
        <v>6.6115702479338848E-4</v>
      </c>
      <c r="AT37" s="93">
        <f t="shared" si="40"/>
        <v>6.6115702479338848E-4</v>
      </c>
      <c r="AU37" s="93">
        <f t="shared" si="40"/>
        <v>6.6115702479338848E-4</v>
      </c>
      <c r="AV37" s="93">
        <f t="shared" si="40"/>
        <v>6.6115702479338848E-4</v>
      </c>
      <c r="AW37" s="93">
        <f t="shared" si="40"/>
        <v>6.6115702479338848E-4</v>
      </c>
      <c r="AX37" s="93">
        <f t="shared" si="40"/>
        <v>6.6115702479338848E-4</v>
      </c>
      <c r="AY37" s="93">
        <f t="shared" si="40"/>
        <v>6.6115702479338848E-4</v>
      </c>
      <c r="AZ37" s="93">
        <f t="shared" si="40"/>
        <v>6.6115702479338848E-4</v>
      </c>
      <c r="BA37" s="93">
        <f t="shared" si="40"/>
        <v>6.6115702479338848E-4</v>
      </c>
      <c r="BB37" s="93">
        <f t="shared" si="40"/>
        <v>6.6115702479338848E-4</v>
      </c>
      <c r="BC37" s="94">
        <f t="shared" si="33"/>
        <v>151250</v>
      </c>
      <c r="BD37" s="94">
        <f>IF(AD37=".",".",up_RadSpec!$F$22*(BD22*$B37))</f>
        <v>37812.5</v>
      </c>
      <c r="BE37" s="94">
        <f>IF(AE37=".",".",up_RadSpec!$F$22*(BE22*$B37))</f>
        <v>37812.5</v>
      </c>
      <c r="BF37" s="94">
        <f>IF(AF37=".",".",up_RadSpec!$F$22*(BF22*$B37))</f>
        <v>37812.5</v>
      </c>
      <c r="BG37" s="94">
        <f>IF(AG37=".",".",up_RadSpec!$F$22*(BG22*$B37))</f>
        <v>37812.5</v>
      </c>
      <c r="BH37" s="94">
        <f>IF(AH37=".",".",up_RadSpec!$F$22*(BH22*$B37))</f>
        <v>37812.5</v>
      </c>
      <c r="BI37" s="94">
        <f>IF(AI37=".",".",up_RadSpec!$F$22*(BI22*$B37))</f>
        <v>37812.5</v>
      </c>
      <c r="BJ37" s="94">
        <f>IF(AJ37=".",".",up_RadSpec!$F$22*(BJ22*$B37))</f>
        <v>37812.5</v>
      </c>
      <c r="BK37" s="94">
        <f>IF(AK37=".",".",up_RadSpec!$F$22*(BK22*$B37))</f>
        <v>37812.5</v>
      </c>
      <c r="BL37" s="94">
        <f>IF(AL37=".",".",up_RadSpec!$F$22*(BL22*$B37))</f>
        <v>37812.5</v>
      </c>
      <c r="BM37" s="94">
        <f>IF(AM37=".",".",up_RadSpec!$F$22*(BM22*$B37))</f>
        <v>37812.5</v>
      </c>
      <c r="BN37" s="94">
        <f>IF(AN37=".",".",up_RadSpec!$F$22*(BN22*$B37))</f>
        <v>37812.5</v>
      </c>
      <c r="BO37" s="94">
        <f>IF(AO37=".",".",up_RadSpec!$F$22*(BO22*$B37))</f>
        <v>37812.5</v>
      </c>
      <c r="BP37" s="94">
        <f>IF(AP37=".",".",up_RadSpec!$F$22*(BP22*$B37))</f>
        <v>37812.5</v>
      </c>
      <c r="BQ37" s="94">
        <f>IF(AQ37=".",".",up_RadSpec!$F$22*(BQ22*$B37))</f>
        <v>37812.5</v>
      </c>
      <c r="BR37" s="94">
        <f>IF(AR37=".",".",up_RadSpec!$F$22*(BR22*$B37))</f>
        <v>37812.5</v>
      </c>
      <c r="BS37" s="94">
        <f>IF(AS37=".",".",up_RadSpec!$F$22*(BS22*$B37))</f>
        <v>37812.5</v>
      </c>
      <c r="BT37" s="94">
        <f>IF(AT37=".",".",up_RadSpec!$F$22*(BT22*$B37))</f>
        <v>37812.5</v>
      </c>
      <c r="BU37" s="94">
        <f>IF(AU37=".",".",up_RadSpec!$F$22*(BU22*$B37))</f>
        <v>37812.5</v>
      </c>
      <c r="BV37" s="94">
        <f>IF(AV37=".",".",up_RadSpec!$F$22*(BV22*$B37))</f>
        <v>37812.5</v>
      </c>
      <c r="BW37" s="94">
        <f>IF(AW37=".",".",up_RadSpec!$F$22*(BW22*$B37))</f>
        <v>37812.5</v>
      </c>
      <c r="BX37" s="94">
        <f>IF(AX37=".",".",up_RadSpec!$F$22*(BX22*$B37))</f>
        <v>37812.5</v>
      </c>
      <c r="BY37" s="94">
        <f>IF(AY37=".",".",up_RadSpec!$F$22*(BY22*$B37))</f>
        <v>37812.5</v>
      </c>
      <c r="BZ37" s="94">
        <f>IF(AZ37=".",".",up_RadSpec!$F$22*(BZ22*$B37))</f>
        <v>37812.5</v>
      </c>
      <c r="CA37" s="94">
        <f>IF(BA37=".",".",up_RadSpec!$F$22*(CA22*$B37))</f>
        <v>37812.5</v>
      </c>
      <c r="CB37" s="94">
        <f>IF(BB37=".",".",up_RadSpec!$F$22*(CB22*$B37))</f>
        <v>37812.5</v>
      </c>
    </row>
    <row r="38" spans="1:80" x14ac:dyDescent="0.25">
      <c r="A38" s="92" t="s">
        <v>1066</v>
      </c>
      <c r="B38" s="84">
        <v>1</v>
      </c>
      <c r="C38" s="93">
        <f t="shared" ref="C38:AH38" si="41">IFERROR(C2/$B38,".")</f>
        <v>1.6528925619834712E-4</v>
      </c>
      <c r="D38" s="93">
        <f t="shared" si="41"/>
        <v>6.6115702479338848E-4</v>
      </c>
      <c r="E38" s="93">
        <f t="shared" si="41"/>
        <v>6.6115702479338848E-4</v>
      </c>
      <c r="F38" s="93">
        <f t="shared" si="41"/>
        <v>6.6115702479338848E-4</v>
      </c>
      <c r="G38" s="93">
        <f t="shared" si="41"/>
        <v>6.6115702479338848E-4</v>
      </c>
      <c r="H38" s="93">
        <f t="shared" si="41"/>
        <v>6.6115702479338848E-4</v>
      </c>
      <c r="I38" s="93">
        <f t="shared" si="41"/>
        <v>6.6115702479338848E-4</v>
      </c>
      <c r="J38" s="93">
        <f t="shared" si="41"/>
        <v>6.6115702479338848E-4</v>
      </c>
      <c r="K38" s="93">
        <f t="shared" si="41"/>
        <v>6.6115702479338848E-4</v>
      </c>
      <c r="L38" s="93">
        <f t="shared" si="41"/>
        <v>6.6115702479338848E-4</v>
      </c>
      <c r="M38" s="93">
        <f t="shared" si="41"/>
        <v>6.6115702479338848E-4</v>
      </c>
      <c r="N38" s="93">
        <f t="shared" si="41"/>
        <v>6.6115702479338848E-4</v>
      </c>
      <c r="O38" s="93">
        <f t="shared" si="41"/>
        <v>6.6115702479338848E-4</v>
      </c>
      <c r="P38" s="93">
        <f t="shared" si="41"/>
        <v>6.6115702479338848E-4</v>
      </c>
      <c r="Q38" s="93">
        <f t="shared" si="41"/>
        <v>6.6115702479338848E-4</v>
      </c>
      <c r="R38" s="93">
        <f t="shared" si="41"/>
        <v>6.6115702479338848E-4</v>
      </c>
      <c r="S38" s="93">
        <f t="shared" si="41"/>
        <v>6.6115702479338848E-4</v>
      </c>
      <c r="T38" s="93">
        <f t="shared" si="41"/>
        <v>6.6115702479338848E-4</v>
      </c>
      <c r="U38" s="93">
        <f t="shared" si="41"/>
        <v>6.6115702479338848E-4</v>
      </c>
      <c r="V38" s="93">
        <f t="shared" si="41"/>
        <v>6.6115702479338848E-4</v>
      </c>
      <c r="W38" s="93">
        <f t="shared" si="41"/>
        <v>6.6115702479338848E-4</v>
      </c>
      <c r="X38" s="93">
        <f t="shared" si="41"/>
        <v>6.6115702479338848E-4</v>
      </c>
      <c r="Y38" s="93">
        <f t="shared" si="41"/>
        <v>6.6115702479338848E-4</v>
      </c>
      <c r="Z38" s="93">
        <f t="shared" si="41"/>
        <v>6.6115702479338848E-4</v>
      </c>
      <c r="AA38" s="93">
        <f t="shared" si="41"/>
        <v>6.6115702479338848E-4</v>
      </c>
      <c r="AB38" s="93">
        <f t="shared" si="41"/>
        <v>6.6115702479338848E-4</v>
      </c>
      <c r="AC38" s="93">
        <f t="shared" si="41"/>
        <v>1.6528925619834712E-4</v>
      </c>
      <c r="AD38" s="93">
        <f t="shared" si="41"/>
        <v>6.6115702479338848E-4</v>
      </c>
      <c r="AE38" s="93">
        <f t="shared" si="41"/>
        <v>6.6115702479338848E-4</v>
      </c>
      <c r="AF38" s="93">
        <f t="shared" si="41"/>
        <v>6.6115702479338848E-4</v>
      </c>
      <c r="AG38" s="93">
        <f t="shared" si="41"/>
        <v>6.6115702479338848E-4</v>
      </c>
      <c r="AH38" s="93">
        <f t="shared" si="41"/>
        <v>6.6115702479338848E-4</v>
      </c>
      <c r="AI38" s="93">
        <f t="shared" ref="AI38:BB38" si="42">IFERROR(AI2/$B38,".")</f>
        <v>6.6115702479338848E-4</v>
      </c>
      <c r="AJ38" s="93">
        <f t="shared" si="42"/>
        <v>6.6115702479338848E-4</v>
      </c>
      <c r="AK38" s="93">
        <f t="shared" si="42"/>
        <v>6.6115702479338848E-4</v>
      </c>
      <c r="AL38" s="93">
        <f t="shared" si="42"/>
        <v>6.6115702479338848E-4</v>
      </c>
      <c r="AM38" s="93">
        <f t="shared" si="42"/>
        <v>6.6115702479338848E-4</v>
      </c>
      <c r="AN38" s="93">
        <f t="shared" si="42"/>
        <v>6.6115702479338848E-4</v>
      </c>
      <c r="AO38" s="93">
        <f t="shared" si="42"/>
        <v>6.6115702479338848E-4</v>
      </c>
      <c r="AP38" s="93">
        <f t="shared" si="42"/>
        <v>6.6115702479338848E-4</v>
      </c>
      <c r="AQ38" s="93">
        <f t="shared" si="42"/>
        <v>6.6115702479338848E-4</v>
      </c>
      <c r="AR38" s="93">
        <f t="shared" si="42"/>
        <v>6.6115702479338848E-4</v>
      </c>
      <c r="AS38" s="93">
        <f t="shared" si="42"/>
        <v>6.6115702479338848E-4</v>
      </c>
      <c r="AT38" s="93">
        <f t="shared" si="42"/>
        <v>6.6115702479338848E-4</v>
      </c>
      <c r="AU38" s="93">
        <f t="shared" si="42"/>
        <v>6.6115702479338848E-4</v>
      </c>
      <c r="AV38" s="93">
        <f t="shared" si="42"/>
        <v>6.6115702479338848E-4</v>
      </c>
      <c r="AW38" s="93">
        <f t="shared" si="42"/>
        <v>6.6115702479338848E-4</v>
      </c>
      <c r="AX38" s="93">
        <f t="shared" si="42"/>
        <v>6.6115702479338848E-4</v>
      </c>
      <c r="AY38" s="93">
        <f t="shared" si="42"/>
        <v>6.6115702479338848E-4</v>
      </c>
      <c r="AZ38" s="93">
        <f t="shared" si="42"/>
        <v>6.6115702479338848E-4</v>
      </c>
      <c r="BA38" s="93">
        <f t="shared" si="42"/>
        <v>6.6115702479338848E-4</v>
      </c>
      <c r="BB38" s="93">
        <f t="shared" si="42"/>
        <v>6.6115702479338848E-4</v>
      </c>
      <c r="BC38" s="94">
        <f t="shared" si="33"/>
        <v>151250</v>
      </c>
      <c r="BD38" s="94">
        <f>IF(AD38=".",".",up_RadSpec!$F$2*(BD2*$B38))</f>
        <v>37812.5</v>
      </c>
      <c r="BE38" s="94">
        <f>IF(AE38=".",".",up_RadSpec!$F$2*(BE2*$B38))</f>
        <v>37812.5</v>
      </c>
      <c r="BF38" s="94">
        <f>IF(AF38=".",".",up_RadSpec!$F$2*(BF2*$B38))</f>
        <v>37812.5</v>
      </c>
      <c r="BG38" s="94">
        <f>IF(AG38=".",".",up_RadSpec!$F$2*(BG2*$B38))</f>
        <v>37812.5</v>
      </c>
      <c r="BH38" s="94">
        <f>IF(AH38=".",".",up_RadSpec!$F$2*(BH2*$B38))</f>
        <v>37812.5</v>
      </c>
      <c r="BI38" s="94">
        <f>IF(AI38=".",".",up_RadSpec!$F$2*(BI2*$B38))</f>
        <v>37812.5</v>
      </c>
      <c r="BJ38" s="94">
        <f>IF(AJ38=".",".",up_RadSpec!$F$2*(BJ2*$B38))</f>
        <v>37812.5</v>
      </c>
      <c r="BK38" s="94">
        <f>IF(AK38=".",".",up_RadSpec!$F$2*(BK2*$B38))</f>
        <v>37812.5</v>
      </c>
      <c r="BL38" s="94">
        <f>IF(AL38=".",".",up_RadSpec!$F$2*(BL2*$B38))</f>
        <v>37812.5</v>
      </c>
      <c r="BM38" s="94">
        <f>IF(AM38=".",".",up_RadSpec!$F$2*(BM2*$B38))</f>
        <v>37812.5</v>
      </c>
      <c r="BN38" s="94">
        <f>IF(AN38=".",".",up_RadSpec!$F$2*(BN2*$B38))</f>
        <v>37812.5</v>
      </c>
      <c r="BO38" s="94">
        <f>IF(AO38=".",".",up_RadSpec!$F$2*(BO2*$B38))</f>
        <v>37812.5</v>
      </c>
      <c r="BP38" s="94">
        <f>IF(AP38=".",".",up_RadSpec!$F$2*(BP2*$B38))</f>
        <v>37812.5</v>
      </c>
      <c r="BQ38" s="94">
        <f>IF(AQ38=".",".",up_RadSpec!$F$2*(BQ2*$B38))</f>
        <v>37812.5</v>
      </c>
      <c r="BR38" s="94">
        <f>IF(AR38=".",".",up_RadSpec!$F$2*(BR2*$B38))</f>
        <v>37812.5</v>
      </c>
      <c r="BS38" s="94">
        <f>IF(AS38=".",".",up_RadSpec!$F$2*(BS2*$B38))</f>
        <v>37812.5</v>
      </c>
      <c r="BT38" s="94">
        <f>IF(AT38=".",".",up_RadSpec!$F$2*(BT2*$B38))</f>
        <v>37812.5</v>
      </c>
      <c r="BU38" s="94">
        <f>IF(AU38=".",".",up_RadSpec!$F$2*(BU2*$B38))</f>
        <v>37812.5</v>
      </c>
      <c r="BV38" s="94">
        <f>IF(AV38=".",".",up_RadSpec!$F$2*(BV2*$B38))</f>
        <v>37812.5</v>
      </c>
      <c r="BW38" s="94">
        <f>IF(AW38=".",".",up_RadSpec!$F$2*(BW2*$B38))</f>
        <v>37812.5</v>
      </c>
      <c r="BX38" s="94">
        <f>IF(AX38=".",".",up_RadSpec!$F$2*(BX2*$B38))</f>
        <v>37812.5</v>
      </c>
      <c r="BY38" s="94">
        <f>IF(AY38=".",".",up_RadSpec!$F$2*(BY2*$B38))</f>
        <v>37812.5</v>
      </c>
      <c r="BZ38" s="94">
        <f>IF(AZ38=".",".",up_RadSpec!$F$2*(BZ2*$B38))</f>
        <v>37812.5</v>
      </c>
      <c r="CA38" s="94">
        <f>IF(BA38=".",".",up_RadSpec!$F$2*(CA2*$B38))</f>
        <v>37812.5</v>
      </c>
      <c r="CB38" s="94">
        <f>IF(BB38=".",".",up_RadSpec!$F$2*(CB2*$B38))</f>
        <v>37812.5</v>
      </c>
    </row>
    <row r="39" spans="1:80" x14ac:dyDescent="0.25">
      <c r="A39" s="92" t="s">
        <v>1067</v>
      </c>
      <c r="B39" s="84">
        <v>1</v>
      </c>
      <c r="C39" s="93">
        <f t="shared" ref="C39:AH39" si="43">IFERROR(C11/$B39,".")</f>
        <v>1.6528925619834712E-4</v>
      </c>
      <c r="D39" s="93">
        <f t="shared" si="43"/>
        <v>6.6115702479338848E-4</v>
      </c>
      <c r="E39" s="93">
        <f t="shared" si="43"/>
        <v>6.6115702479338848E-4</v>
      </c>
      <c r="F39" s="93">
        <f t="shared" si="43"/>
        <v>6.6115702479338848E-4</v>
      </c>
      <c r="G39" s="93">
        <f t="shared" si="43"/>
        <v>6.6115702479338848E-4</v>
      </c>
      <c r="H39" s="93">
        <f t="shared" si="43"/>
        <v>6.6115702479338848E-4</v>
      </c>
      <c r="I39" s="93">
        <f t="shared" si="43"/>
        <v>6.6115702479338848E-4</v>
      </c>
      <c r="J39" s="93">
        <f t="shared" si="43"/>
        <v>6.6115702479338848E-4</v>
      </c>
      <c r="K39" s="93">
        <f t="shared" si="43"/>
        <v>6.6115702479338848E-4</v>
      </c>
      <c r="L39" s="93">
        <f t="shared" si="43"/>
        <v>6.6115702479338848E-4</v>
      </c>
      <c r="M39" s="93">
        <f t="shared" si="43"/>
        <v>6.6115702479338848E-4</v>
      </c>
      <c r="N39" s="93">
        <f t="shared" si="43"/>
        <v>6.6115702479338848E-4</v>
      </c>
      <c r="O39" s="93">
        <f t="shared" si="43"/>
        <v>6.6115702479338848E-4</v>
      </c>
      <c r="P39" s="93">
        <f t="shared" si="43"/>
        <v>6.6115702479338848E-4</v>
      </c>
      <c r="Q39" s="93">
        <f t="shared" si="43"/>
        <v>6.6115702479338848E-4</v>
      </c>
      <c r="R39" s="93">
        <f t="shared" si="43"/>
        <v>6.6115702479338848E-4</v>
      </c>
      <c r="S39" s="93">
        <f t="shared" si="43"/>
        <v>6.6115702479338848E-4</v>
      </c>
      <c r="T39" s="93">
        <f t="shared" si="43"/>
        <v>6.6115702479338848E-4</v>
      </c>
      <c r="U39" s="93">
        <f t="shared" si="43"/>
        <v>6.6115702479338848E-4</v>
      </c>
      <c r="V39" s="93">
        <f t="shared" si="43"/>
        <v>6.6115702479338848E-4</v>
      </c>
      <c r="W39" s="93">
        <f t="shared" si="43"/>
        <v>6.6115702479338848E-4</v>
      </c>
      <c r="X39" s="93">
        <f t="shared" si="43"/>
        <v>6.6115702479338848E-4</v>
      </c>
      <c r="Y39" s="93">
        <f t="shared" si="43"/>
        <v>6.6115702479338848E-4</v>
      </c>
      <c r="Z39" s="93">
        <f t="shared" si="43"/>
        <v>6.6115702479338848E-4</v>
      </c>
      <c r="AA39" s="93">
        <f t="shared" si="43"/>
        <v>6.6115702479338848E-4</v>
      </c>
      <c r="AB39" s="93">
        <f t="shared" si="43"/>
        <v>6.6115702479338848E-4</v>
      </c>
      <c r="AC39" s="93">
        <f t="shared" si="43"/>
        <v>1.6528925619834712E-4</v>
      </c>
      <c r="AD39" s="93">
        <f t="shared" si="43"/>
        <v>6.6115702479338848E-4</v>
      </c>
      <c r="AE39" s="93">
        <f t="shared" si="43"/>
        <v>6.6115702479338848E-4</v>
      </c>
      <c r="AF39" s="93">
        <f t="shared" si="43"/>
        <v>6.6115702479338848E-4</v>
      </c>
      <c r="AG39" s="93">
        <f t="shared" si="43"/>
        <v>6.6115702479338848E-4</v>
      </c>
      <c r="AH39" s="93">
        <f t="shared" si="43"/>
        <v>6.6115702479338848E-4</v>
      </c>
      <c r="AI39" s="93">
        <f t="shared" ref="AI39:BB39" si="44">IFERROR(AI11/$B39,".")</f>
        <v>6.6115702479338848E-4</v>
      </c>
      <c r="AJ39" s="93">
        <f t="shared" si="44"/>
        <v>6.6115702479338848E-4</v>
      </c>
      <c r="AK39" s="93">
        <f t="shared" si="44"/>
        <v>6.6115702479338848E-4</v>
      </c>
      <c r="AL39" s="93">
        <f t="shared" si="44"/>
        <v>6.6115702479338848E-4</v>
      </c>
      <c r="AM39" s="93">
        <f t="shared" si="44"/>
        <v>6.6115702479338848E-4</v>
      </c>
      <c r="AN39" s="93">
        <f t="shared" si="44"/>
        <v>6.6115702479338848E-4</v>
      </c>
      <c r="AO39" s="93">
        <f t="shared" si="44"/>
        <v>6.6115702479338848E-4</v>
      </c>
      <c r="AP39" s="93">
        <f t="shared" si="44"/>
        <v>6.6115702479338848E-4</v>
      </c>
      <c r="AQ39" s="93">
        <f t="shared" si="44"/>
        <v>6.6115702479338848E-4</v>
      </c>
      <c r="AR39" s="93">
        <f t="shared" si="44"/>
        <v>6.6115702479338848E-4</v>
      </c>
      <c r="AS39" s="93">
        <f t="shared" si="44"/>
        <v>6.6115702479338848E-4</v>
      </c>
      <c r="AT39" s="93">
        <f t="shared" si="44"/>
        <v>6.6115702479338848E-4</v>
      </c>
      <c r="AU39" s="93">
        <f t="shared" si="44"/>
        <v>6.6115702479338848E-4</v>
      </c>
      <c r="AV39" s="93">
        <f t="shared" si="44"/>
        <v>6.6115702479338848E-4</v>
      </c>
      <c r="AW39" s="93">
        <f t="shared" si="44"/>
        <v>6.6115702479338848E-4</v>
      </c>
      <c r="AX39" s="93">
        <f t="shared" si="44"/>
        <v>6.6115702479338848E-4</v>
      </c>
      <c r="AY39" s="93">
        <f t="shared" si="44"/>
        <v>6.6115702479338848E-4</v>
      </c>
      <c r="AZ39" s="93">
        <f t="shared" si="44"/>
        <v>6.6115702479338848E-4</v>
      </c>
      <c r="BA39" s="93">
        <f t="shared" si="44"/>
        <v>6.6115702479338848E-4</v>
      </c>
      <c r="BB39" s="93">
        <f t="shared" si="44"/>
        <v>6.6115702479338848E-4</v>
      </c>
      <c r="BC39" s="94">
        <f t="shared" si="33"/>
        <v>151250</v>
      </c>
      <c r="BD39" s="94">
        <f>IF(AD39=".",".",up_RadSpec!$F$11*(BD11*$B39))</f>
        <v>37812.5</v>
      </c>
      <c r="BE39" s="94">
        <f>IF(AE39=".",".",up_RadSpec!$F$11*(BE11*$B39))</f>
        <v>37812.5</v>
      </c>
      <c r="BF39" s="94">
        <f>IF(AF39=".",".",up_RadSpec!$F$11*(BF11*$B39))</f>
        <v>37812.5</v>
      </c>
      <c r="BG39" s="94">
        <f>IF(AG39=".",".",up_RadSpec!$F$11*(BG11*$B39))</f>
        <v>37812.5</v>
      </c>
      <c r="BH39" s="94">
        <f>IF(AH39=".",".",up_RadSpec!$F$11*(BH11*$B39))</f>
        <v>37812.5</v>
      </c>
      <c r="BI39" s="94">
        <f>IF(AI39=".",".",up_RadSpec!$F$11*(BI11*$B39))</f>
        <v>37812.5</v>
      </c>
      <c r="BJ39" s="94">
        <f>IF(AJ39=".",".",up_RadSpec!$F$11*(BJ11*$B39))</f>
        <v>37812.5</v>
      </c>
      <c r="BK39" s="94">
        <f>IF(AK39=".",".",up_RadSpec!$F$11*(BK11*$B39))</f>
        <v>37812.5</v>
      </c>
      <c r="BL39" s="94">
        <f>IF(AL39=".",".",up_RadSpec!$F$11*(BL11*$B39))</f>
        <v>37812.5</v>
      </c>
      <c r="BM39" s="94">
        <f>IF(AM39=".",".",up_RadSpec!$F$11*(BM11*$B39))</f>
        <v>37812.5</v>
      </c>
      <c r="BN39" s="94">
        <f>IF(AN39=".",".",up_RadSpec!$F$11*(BN11*$B39))</f>
        <v>37812.5</v>
      </c>
      <c r="BO39" s="94">
        <f>IF(AO39=".",".",up_RadSpec!$F$11*(BO11*$B39))</f>
        <v>37812.5</v>
      </c>
      <c r="BP39" s="94">
        <f>IF(AP39=".",".",up_RadSpec!$F$11*(BP11*$B39))</f>
        <v>37812.5</v>
      </c>
      <c r="BQ39" s="94">
        <f>IF(AQ39=".",".",up_RadSpec!$F$11*(BQ11*$B39))</f>
        <v>37812.5</v>
      </c>
      <c r="BR39" s="94">
        <f>IF(AR39=".",".",up_RadSpec!$F$11*(BR11*$B39))</f>
        <v>37812.5</v>
      </c>
      <c r="BS39" s="94">
        <f>IF(AS39=".",".",up_RadSpec!$F$11*(BS11*$B39))</f>
        <v>37812.5</v>
      </c>
      <c r="BT39" s="94">
        <f>IF(AT39=".",".",up_RadSpec!$F$11*(BT11*$B39))</f>
        <v>37812.5</v>
      </c>
      <c r="BU39" s="94">
        <f>IF(AU39=".",".",up_RadSpec!$F$11*(BU11*$B39))</f>
        <v>37812.5</v>
      </c>
      <c r="BV39" s="94">
        <f>IF(AV39=".",".",up_RadSpec!$F$11*(BV11*$B39))</f>
        <v>37812.5</v>
      </c>
      <c r="BW39" s="94">
        <f>IF(AW39=".",".",up_RadSpec!$F$11*(BW11*$B39))</f>
        <v>37812.5</v>
      </c>
      <c r="BX39" s="94">
        <f>IF(AX39=".",".",up_RadSpec!$F$11*(BX11*$B39))</f>
        <v>37812.5</v>
      </c>
      <c r="BY39" s="94">
        <f>IF(AY39=".",".",up_RadSpec!$F$11*(BY11*$B39))</f>
        <v>37812.5</v>
      </c>
      <c r="BZ39" s="94">
        <f>IF(AZ39=".",".",up_RadSpec!$F$11*(BZ11*$B39))</f>
        <v>37812.5</v>
      </c>
      <c r="CA39" s="94">
        <f>IF(BA39=".",".",up_RadSpec!$F$11*(CA11*$B39))</f>
        <v>37812.5</v>
      </c>
      <c r="CB39" s="94">
        <f>IF(BB39=".",".",up_RadSpec!$F$11*(CB11*$B39))</f>
        <v>37812.5</v>
      </c>
    </row>
    <row r="40" spans="1:80" x14ac:dyDescent="0.25">
      <c r="A40" s="92" t="s">
        <v>1068</v>
      </c>
      <c r="B40" s="84">
        <v>1</v>
      </c>
      <c r="C40" s="93">
        <f t="shared" ref="C40:AH40" si="45">IFERROR(C4/$B40,".")</f>
        <v>1.6528925619834712E-4</v>
      </c>
      <c r="D40" s="93">
        <f t="shared" si="45"/>
        <v>6.6115702479338848E-4</v>
      </c>
      <c r="E40" s="93">
        <f t="shared" si="45"/>
        <v>6.6115702479338848E-4</v>
      </c>
      <c r="F40" s="93">
        <f t="shared" si="45"/>
        <v>6.6115702479338848E-4</v>
      </c>
      <c r="G40" s="93">
        <f t="shared" si="45"/>
        <v>6.6115702479338848E-4</v>
      </c>
      <c r="H40" s="93">
        <f t="shared" si="45"/>
        <v>6.6115702479338848E-4</v>
      </c>
      <c r="I40" s="93">
        <f t="shared" si="45"/>
        <v>6.6115702479338848E-4</v>
      </c>
      <c r="J40" s="93">
        <f t="shared" si="45"/>
        <v>6.6115702479338848E-4</v>
      </c>
      <c r="K40" s="93">
        <f t="shared" si="45"/>
        <v>6.6115702479338848E-4</v>
      </c>
      <c r="L40" s="93">
        <f t="shared" si="45"/>
        <v>6.6115702479338848E-4</v>
      </c>
      <c r="M40" s="93">
        <f t="shared" si="45"/>
        <v>6.6115702479338848E-4</v>
      </c>
      <c r="N40" s="93">
        <f t="shared" si="45"/>
        <v>6.6115702479338848E-4</v>
      </c>
      <c r="O40" s="93">
        <f t="shared" si="45"/>
        <v>6.6115702479338848E-4</v>
      </c>
      <c r="P40" s="93">
        <f t="shared" si="45"/>
        <v>6.6115702479338848E-4</v>
      </c>
      <c r="Q40" s="93">
        <f t="shared" si="45"/>
        <v>6.6115702479338848E-4</v>
      </c>
      <c r="R40" s="93">
        <f t="shared" si="45"/>
        <v>6.6115702479338848E-4</v>
      </c>
      <c r="S40" s="93">
        <f t="shared" si="45"/>
        <v>6.6115702479338848E-4</v>
      </c>
      <c r="T40" s="93">
        <f t="shared" si="45"/>
        <v>6.6115702479338848E-4</v>
      </c>
      <c r="U40" s="93">
        <f t="shared" si="45"/>
        <v>6.6115702479338848E-4</v>
      </c>
      <c r="V40" s="93">
        <f t="shared" si="45"/>
        <v>6.6115702479338848E-4</v>
      </c>
      <c r="W40" s="93">
        <f t="shared" si="45"/>
        <v>6.6115702479338848E-4</v>
      </c>
      <c r="X40" s="93">
        <f t="shared" si="45"/>
        <v>6.6115702479338848E-4</v>
      </c>
      <c r="Y40" s="93">
        <f t="shared" si="45"/>
        <v>6.6115702479338848E-4</v>
      </c>
      <c r="Z40" s="93">
        <f t="shared" si="45"/>
        <v>6.6115702479338848E-4</v>
      </c>
      <c r="AA40" s="93">
        <f t="shared" si="45"/>
        <v>6.6115702479338848E-4</v>
      </c>
      <c r="AB40" s="93">
        <f t="shared" si="45"/>
        <v>6.6115702479338848E-4</v>
      </c>
      <c r="AC40" s="93">
        <f t="shared" si="45"/>
        <v>1.6528925619834712E-4</v>
      </c>
      <c r="AD40" s="93">
        <f t="shared" si="45"/>
        <v>6.6115702479338848E-4</v>
      </c>
      <c r="AE40" s="93">
        <f t="shared" si="45"/>
        <v>6.6115702479338848E-4</v>
      </c>
      <c r="AF40" s="93">
        <f t="shared" si="45"/>
        <v>6.6115702479338848E-4</v>
      </c>
      <c r="AG40" s="93">
        <f t="shared" si="45"/>
        <v>6.6115702479338848E-4</v>
      </c>
      <c r="AH40" s="93">
        <f t="shared" si="45"/>
        <v>6.6115702479338848E-4</v>
      </c>
      <c r="AI40" s="93">
        <f t="shared" ref="AI40:BB40" si="46">IFERROR(AI4/$B40,".")</f>
        <v>6.6115702479338848E-4</v>
      </c>
      <c r="AJ40" s="93">
        <f t="shared" si="46"/>
        <v>6.6115702479338848E-4</v>
      </c>
      <c r="AK40" s="93">
        <f t="shared" si="46"/>
        <v>6.6115702479338848E-4</v>
      </c>
      <c r="AL40" s="93">
        <f t="shared" si="46"/>
        <v>6.6115702479338848E-4</v>
      </c>
      <c r="AM40" s="93">
        <f t="shared" si="46"/>
        <v>6.6115702479338848E-4</v>
      </c>
      <c r="AN40" s="93">
        <f t="shared" si="46"/>
        <v>6.6115702479338848E-4</v>
      </c>
      <c r="AO40" s="93">
        <f t="shared" si="46"/>
        <v>6.6115702479338848E-4</v>
      </c>
      <c r="AP40" s="93">
        <f t="shared" si="46"/>
        <v>6.6115702479338848E-4</v>
      </c>
      <c r="AQ40" s="93">
        <f t="shared" si="46"/>
        <v>6.6115702479338848E-4</v>
      </c>
      <c r="AR40" s="93">
        <f t="shared" si="46"/>
        <v>6.6115702479338848E-4</v>
      </c>
      <c r="AS40" s="93">
        <f t="shared" si="46"/>
        <v>6.6115702479338848E-4</v>
      </c>
      <c r="AT40" s="93">
        <f t="shared" si="46"/>
        <v>6.6115702479338848E-4</v>
      </c>
      <c r="AU40" s="93">
        <f t="shared" si="46"/>
        <v>6.6115702479338848E-4</v>
      </c>
      <c r="AV40" s="93">
        <f t="shared" si="46"/>
        <v>6.6115702479338848E-4</v>
      </c>
      <c r="AW40" s="93">
        <f t="shared" si="46"/>
        <v>6.6115702479338848E-4</v>
      </c>
      <c r="AX40" s="93">
        <f t="shared" si="46"/>
        <v>6.6115702479338848E-4</v>
      </c>
      <c r="AY40" s="93">
        <f t="shared" si="46"/>
        <v>6.6115702479338848E-4</v>
      </c>
      <c r="AZ40" s="93">
        <f t="shared" si="46"/>
        <v>6.6115702479338848E-4</v>
      </c>
      <c r="BA40" s="93">
        <f t="shared" si="46"/>
        <v>6.6115702479338848E-4</v>
      </c>
      <c r="BB40" s="93">
        <f t="shared" si="46"/>
        <v>6.6115702479338848E-4</v>
      </c>
      <c r="BC40" s="94">
        <f t="shared" si="33"/>
        <v>151250</v>
      </c>
      <c r="BD40" s="94">
        <f>IF(AD40=".",".",up_RadSpec!$F$4*(BD4*$B40))</f>
        <v>37812.5</v>
      </c>
      <c r="BE40" s="94">
        <f>IF(AE40=".",".",up_RadSpec!$F$4*(BE4*$B40))</f>
        <v>37812.5</v>
      </c>
      <c r="BF40" s="94">
        <f>IF(AF40=".",".",up_RadSpec!$F$4*(BF4*$B40))</f>
        <v>37812.5</v>
      </c>
      <c r="BG40" s="94">
        <f>IF(AG40=".",".",up_RadSpec!$F$4*(BG4*$B40))</f>
        <v>37812.5</v>
      </c>
      <c r="BH40" s="94">
        <f>IF(AH40=".",".",up_RadSpec!$F$4*(BH4*$B40))</f>
        <v>37812.5</v>
      </c>
      <c r="BI40" s="94">
        <f>IF(AI40=".",".",up_RadSpec!$F$4*(BI4*$B40))</f>
        <v>37812.5</v>
      </c>
      <c r="BJ40" s="94">
        <f>IF(AJ40=".",".",up_RadSpec!$F$4*(BJ4*$B40))</f>
        <v>37812.5</v>
      </c>
      <c r="BK40" s="94">
        <f>IF(AK40=".",".",up_RadSpec!$F$4*(BK4*$B40))</f>
        <v>37812.5</v>
      </c>
      <c r="BL40" s="94">
        <f>IF(AL40=".",".",up_RadSpec!$F$4*(BL4*$B40))</f>
        <v>37812.5</v>
      </c>
      <c r="BM40" s="94">
        <f>IF(AM40=".",".",up_RadSpec!$F$4*(BM4*$B40))</f>
        <v>37812.5</v>
      </c>
      <c r="BN40" s="94">
        <f>IF(AN40=".",".",up_RadSpec!$F$4*(BN4*$B40))</f>
        <v>37812.5</v>
      </c>
      <c r="BO40" s="94">
        <f>IF(AO40=".",".",up_RadSpec!$F$4*(BO4*$B40))</f>
        <v>37812.5</v>
      </c>
      <c r="BP40" s="94">
        <f>IF(AP40=".",".",up_RadSpec!$F$4*(BP4*$B40))</f>
        <v>37812.5</v>
      </c>
      <c r="BQ40" s="94">
        <f>IF(AQ40=".",".",up_RadSpec!$F$4*(BQ4*$B40))</f>
        <v>37812.5</v>
      </c>
      <c r="BR40" s="94">
        <f>IF(AR40=".",".",up_RadSpec!$F$4*(BR4*$B40))</f>
        <v>37812.5</v>
      </c>
      <c r="BS40" s="94">
        <f>IF(AS40=".",".",up_RadSpec!$F$4*(BS4*$B40))</f>
        <v>37812.5</v>
      </c>
      <c r="BT40" s="94">
        <f>IF(AT40=".",".",up_RadSpec!$F$4*(BT4*$B40))</f>
        <v>37812.5</v>
      </c>
      <c r="BU40" s="94">
        <f>IF(AU40=".",".",up_RadSpec!$F$4*(BU4*$B40))</f>
        <v>37812.5</v>
      </c>
      <c r="BV40" s="94">
        <f>IF(AV40=".",".",up_RadSpec!$F$4*(BV4*$B40))</f>
        <v>37812.5</v>
      </c>
      <c r="BW40" s="94">
        <f>IF(AW40=".",".",up_RadSpec!$F$4*(BW4*$B40))</f>
        <v>37812.5</v>
      </c>
      <c r="BX40" s="94">
        <f>IF(AX40=".",".",up_RadSpec!$F$4*(BX4*$B40))</f>
        <v>37812.5</v>
      </c>
      <c r="BY40" s="94">
        <f>IF(AY40=".",".",up_RadSpec!$F$4*(BY4*$B40))</f>
        <v>37812.5</v>
      </c>
      <c r="BZ40" s="94">
        <f>IF(AZ40=".",".",up_RadSpec!$F$4*(BZ4*$B40))</f>
        <v>37812.5</v>
      </c>
      <c r="CA40" s="94">
        <f>IF(BA40=".",".",up_RadSpec!$F$4*(CA4*$B40))</f>
        <v>37812.5</v>
      </c>
      <c r="CB40" s="94">
        <f>IF(BB40=".",".",up_RadSpec!$F$4*(CB4*$B40))</f>
        <v>37812.5</v>
      </c>
    </row>
    <row r="41" spans="1:80" x14ac:dyDescent="0.25">
      <c r="A41" s="92" t="s">
        <v>1069</v>
      </c>
      <c r="B41" s="95">
        <v>0.99987999999999999</v>
      </c>
      <c r="C41" s="93">
        <f t="shared" ref="C41:AH41" si="47">IFERROR(C8/$B41,".")</f>
        <v>1.6530909328954188E-4</v>
      </c>
      <c r="D41" s="93">
        <f t="shared" si="47"/>
        <v>6.612363731581675E-4</v>
      </c>
      <c r="E41" s="93">
        <f t="shared" si="47"/>
        <v>6.612363731581675E-4</v>
      </c>
      <c r="F41" s="93">
        <f t="shared" si="47"/>
        <v>6.612363731581675E-4</v>
      </c>
      <c r="G41" s="93">
        <f t="shared" si="47"/>
        <v>6.612363731581675E-4</v>
      </c>
      <c r="H41" s="93">
        <f t="shared" si="47"/>
        <v>6.612363731581675E-4</v>
      </c>
      <c r="I41" s="93">
        <f t="shared" si="47"/>
        <v>6.612363731581675E-4</v>
      </c>
      <c r="J41" s="93">
        <f t="shared" si="47"/>
        <v>6.612363731581675E-4</v>
      </c>
      <c r="K41" s="93">
        <f t="shared" si="47"/>
        <v>6.612363731581675E-4</v>
      </c>
      <c r="L41" s="93">
        <f t="shared" si="47"/>
        <v>6.612363731581675E-4</v>
      </c>
      <c r="M41" s="93">
        <f t="shared" si="47"/>
        <v>6.612363731581675E-4</v>
      </c>
      <c r="N41" s="93">
        <f t="shared" si="47"/>
        <v>6.612363731581675E-4</v>
      </c>
      <c r="O41" s="93">
        <f t="shared" si="47"/>
        <v>6.612363731581675E-4</v>
      </c>
      <c r="P41" s="93">
        <f t="shared" si="47"/>
        <v>6.612363731581675E-4</v>
      </c>
      <c r="Q41" s="93">
        <f t="shared" si="47"/>
        <v>6.612363731581675E-4</v>
      </c>
      <c r="R41" s="93">
        <f t="shared" si="47"/>
        <v>6.612363731581675E-4</v>
      </c>
      <c r="S41" s="93">
        <f t="shared" si="47"/>
        <v>6.612363731581675E-4</v>
      </c>
      <c r="T41" s="93">
        <f t="shared" si="47"/>
        <v>6.612363731581675E-4</v>
      </c>
      <c r="U41" s="93">
        <f t="shared" si="47"/>
        <v>6.612363731581675E-4</v>
      </c>
      <c r="V41" s="93">
        <f t="shared" si="47"/>
        <v>6.612363731581675E-4</v>
      </c>
      <c r="W41" s="93">
        <f t="shared" si="47"/>
        <v>6.612363731581675E-4</v>
      </c>
      <c r="X41" s="93">
        <f t="shared" si="47"/>
        <v>6.612363731581675E-4</v>
      </c>
      <c r="Y41" s="93">
        <f t="shared" si="47"/>
        <v>6.612363731581675E-4</v>
      </c>
      <c r="Z41" s="93">
        <f t="shared" si="47"/>
        <v>6.612363731581675E-4</v>
      </c>
      <c r="AA41" s="93">
        <f t="shared" si="47"/>
        <v>6.612363731581675E-4</v>
      </c>
      <c r="AB41" s="93">
        <f t="shared" si="47"/>
        <v>6.612363731581675E-4</v>
      </c>
      <c r="AC41" s="93">
        <f t="shared" si="47"/>
        <v>1.6530909328954188E-4</v>
      </c>
      <c r="AD41" s="93">
        <f t="shared" si="47"/>
        <v>6.612363731581675E-4</v>
      </c>
      <c r="AE41" s="93">
        <f t="shared" si="47"/>
        <v>6.612363731581675E-4</v>
      </c>
      <c r="AF41" s="93">
        <f t="shared" si="47"/>
        <v>6.612363731581675E-4</v>
      </c>
      <c r="AG41" s="93">
        <f t="shared" si="47"/>
        <v>6.612363731581675E-4</v>
      </c>
      <c r="AH41" s="93">
        <f t="shared" si="47"/>
        <v>6.612363731581675E-4</v>
      </c>
      <c r="AI41" s="93">
        <f t="shared" ref="AI41:BB41" si="48">IFERROR(AI8/$B41,".")</f>
        <v>6.612363731581675E-4</v>
      </c>
      <c r="AJ41" s="93">
        <f t="shared" si="48"/>
        <v>6.612363731581675E-4</v>
      </c>
      <c r="AK41" s="93">
        <f t="shared" si="48"/>
        <v>6.612363731581675E-4</v>
      </c>
      <c r="AL41" s="93">
        <f t="shared" si="48"/>
        <v>6.612363731581675E-4</v>
      </c>
      <c r="AM41" s="93">
        <f t="shared" si="48"/>
        <v>6.612363731581675E-4</v>
      </c>
      <c r="AN41" s="93">
        <f t="shared" si="48"/>
        <v>6.612363731581675E-4</v>
      </c>
      <c r="AO41" s="93">
        <f t="shared" si="48"/>
        <v>6.612363731581675E-4</v>
      </c>
      <c r="AP41" s="93">
        <f t="shared" si="48"/>
        <v>6.612363731581675E-4</v>
      </c>
      <c r="AQ41" s="93">
        <f t="shared" si="48"/>
        <v>6.612363731581675E-4</v>
      </c>
      <c r="AR41" s="93">
        <f t="shared" si="48"/>
        <v>6.612363731581675E-4</v>
      </c>
      <c r="AS41" s="93">
        <f t="shared" si="48"/>
        <v>6.612363731581675E-4</v>
      </c>
      <c r="AT41" s="93">
        <f t="shared" si="48"/>
        <v>6.612363731581675E-4</v>
      </c>
      <c r="AU41" s="93">
        <f t="shared" si="48"/>
        <v>6.612363731581675E-4</v>
      </c>
      <c r="AV41" s="93">
        <f t="shared" si="48"/>
        <v>6.612363731581675E-4</v>
      </c>
      <c r="AW41" s="93">
        <f t="shared" si="48"/>
        <v>6.612363731581675E-4</v>
      </c>
      <c r="AX41" s="93">
        <f t="shared" si="48"/>
        <v>6.612363731581675E-4</v>
      </c>
      <c r="AY41" s="93">
        <f t="shared" si="48"/>
        <v>6.612363731581675E-4</v>
      </c>
      <c r="AZ41" s="93">
        <f t="shared" si="48"/>
        <v>6.612363731581675E-4</v>
      </c>
      <c r="BA41" s="93">
        <f t="shared" si="48"/>
        <v>6.612363731581675E-4</v>
      </c>
      <c r="BB41" s="93">
        <f t="shared" si="48"/>
        <v>6.612363731581675E-4</v>
      </c>
      <c r="BC41" s="94">
        <f t="shared" si="33"/>
        <v>151231.85</v>
      </c>
      <c r="BD41" s="94">
        <f>IF(AD41=".",".",up_RadSpec!$F$8*(BD8*$B41))</f>
        <v>37807.962500000001</v>
      </c>
      <c r="BE41" s="94">
        <f>IF(AE41=".",".",up_RadSpec!$F$8*(BE8*$B41))</f>
        <v>37807.962500000001</v>
      </c>
      <c r="BF41" s="94">
        <f>IF(AF41=".",".",up_RadSpec!$F$8*(BF8*$B41))</f>
        <v>37807.962500000001</v>
      </c>
      <c r="BG41" s="94">
        <f>IF(AG41=".",".",up_RadSpec!$F$8*(BG8*$B41))</f>
        <v>37807.962500000001</v>
      </c>
      <c r="BH41" s="94">
        <f>IF(AH41=".",".",up_RadSpec!$F$8*(BH8*$B41))</f>
        <v>37807.962500000001</v>
      </c>
      <c r="BI41" s="94">
        <f>IF(AI41=".",".",up_RadSpec!$F$8*(BI8*$B41))</f>
        <v>37807.962500000001</v>
      </c>
      <c r="BJ41" s="94">
        <f>IF(AJ41=".",".",up_RadSpec!$F$8*(BJ8*$B41))</f>
        <v>37807.962500000001</v>
      </c>
      <c r="BK41" s="94">
        <f>IF(AK41=".",".",up_RadSpec!$F$8*(BK8*$B41))</f>
        <v>37807.962500000001</v>
      </c>
      <c r="BL41" s="94">
        <f>IF(AL41=".",".",up_RadSpec!$F$8*(BL8*$B41))</f>
        <v>37807.962500000001</v>
      </c>
      <c r="BM41" s="94">
        <f>IF(AM41=".",".",up_RadSpec!$F$8*(BM8*$B41))</f>
        <v>37807.962500000001</v>
      </c>
      <c r="BN41" s="94">
        <f>IF(AN41=".",".",up_RadSpec!$F$8*(BN8*$B41))</f>
        <v>37807.962500000001</v>
      </c>
      <c r="BO41" s="94">
        <f>IF(AO41=".",".",up_RadSpec!$F$8*(BO8*$B41))</f>
        <v>37807.962500000001</v>
      </c>
      <c r="BP41" s="94">
        <f>IF(AP41=".",".",up_RadSpec!$F$8*(BP8*$B41))</f>
        <v>37807.962500000001</v>
      </c>
      <c r="BQ41" s="94">
        <f>IF(AQ41=".",".",up_RadSpec!$F$8*(BQ8*$B41))</f>
        <v>37807.962500000001</v>
      </c>
      <c r="BR41" s="94">
        <f>IF(AR41=".",".",up_RadSpec!$F$8*(BR8*$B41))</f>
        <v>37807.962500000001</v>
      </c>
      <c r="BS41" s="94">
        <f>IF(AS41=".",".",up_RadSpec!$F$8*(BS8*$B41))</f>
        <v>37807.962500000001</v>
      </c>
      <c r="BT41" s="94">
        <f>IF(AT41=".",".",up_RadSpec!$F$8*(BT8*$B41))</f>
        <v>37807.962500000001</v>
      </c>
      <c r="BU41" s="94">
        <f>IF(AU41=".",".",up_RadSpec!$F$8*(BU8*$B41))</f>
        <v>37807.962500000001</v>
      </c>
      <c r="BV41" s="94">
        <f>IF(AV41=".",".",up_RadSpec!$F$8*(BV8*$B41))</f>
        <v>37807.962500000001</v>
      </c>
      <c r="BW41" s="94">
        <f>IF(AW41=".",".",up_RadSpec!$F$8*(BW8*$B41))</f>
        <v>37807.962500000001</v>
      </c>
      <c r="BX41" s="94">
        <f>IF(AX41=".",".",up_RadSpec!$F$8*(BX8*$B41))</f>
        <v>37807.962500000001</v>
      </c>
      <c r="BY41" s="94">
        <f>IF(AY41=".",".",up_RadSpec!$F$8*(BY8*$B41))</f>
        <v>37807.962500000001</v>
      </c>
      <c r="BZ41" s="94">
        <f>IF(AZ41=".",".",up_RadSpec!$F$8*(BZ8*$B41))</f>
        <v>37807.962500000001</v>
      </c>
      <c r="CA41" s="94">
        <f>IF(BA41=".",".",up_RadSpec!$F$8*(CA8*$B41))</f>
        <v>37807.962500000001</v>
      </c>
      <c r="CB41" s="94">
        <f>IF(BB41=".",".",up_RadSpec!$F$8*(CB8*$B41))</f>
        <v>37807.962500000001</v>
      </c>
    </row>
    <row r="42" spans="1:80" x14ac:dyDescent="0.25">
      <c r="A42" s="92" t="s">
        <v>1070</v>
      </c>
      <c r="B42" s="84">
        <v>0.97898250799999997</v>
      </c>
      <c r="C42" s="93">
        <f t="shared" ref="C42:AH42" si="49">IFERROR(C19/$B42,".")</f>
        <v>1.6883780338018778E-4</v>
      </c>
      <c r="D42" s="93">
        <f t="shared" si="49"/>
        <v>6.7535121352075113E-4</v>
      </c>
      <c r="E42" s="93">
        <f t="shared" si="49"/>
        <v>6.7535121352075113E-4</v>
      </c>
      <c r="F42" s="93">
        <f t="shared" si="49"/>
        <v>6.7535121352075113E-4</v>
      </c>
      <c r="G42" s="93">
        <f t="shared" si="49"/>
        <v>6.7535121352075113E-4</v>
      </c>
      <c r="H42" s="93">
        <f t="shared" si="49"/>
        <v>6.7535121352075113E-4</v>
      </c>
      <c r="I42" s="93">
        <f t="shared" si="49"/>
        <v>6.7535121352075113E-4</v>
      </c>
      <c r="J42" s="93">
        <f t="shared" si="49"/>
        <v>6.7535121352075113E-4</v>
      </c>
      <c r="K42" s="93">
        <f t="shared" si="49"/>
        <v>6.7535121352075113E-4</v>
      </c>
      <c r="L42" s="93">
        <f t="shared" si="49"/>
        <v>6.7535121352075113E-4</v>
      </c>
      <c r="M42" s="93">
        <f t="shared" si="49"/>
        <v>6.7535121352075113E-4</v>
      </c>
      <c r="N42" s="93">
        <f t="shared" si="49"/>
        <v>6.7535121352075113E-4</v>
      </c>
      <c r="O42" s="93">
        <f t="shared" si="49"/>
        <v>6.7535121352075113E-4</v>
      </c>
      <c r="P42" s="93">
        <f t="shared" si="49"/>
        <v>6.7535121352075113E-4</v>
      </c>
      <c r="Q42" s="93">
        <f t="shared" si="49"/>
        <v>6.7535121352075113E-4</v>
      </c>
      <c r="R42" s="93">
        <f t="shared" si="49"/>
        <v>6.7535121352075113E-4</v>
      </c>
      <c r="S42" s="93">
        <f t="shared" si="49"/>
        <v>6.7535121352075113E-4</v>
      </c>
      <c r="T42" s="93">
        <f t="shared" si="49"/>
        <v>6.7535121352075113E-4</v>
      </c>
      <c r="U42" s="93">
        <f t="shared" si="49"/>
        <v>6.7535121352075113E-4</v>
      </c>
      <c r="V42" s="93">
        <f t="shared" si="49"/>
        <v>6.7535121352075113E-4</v>
      </c>
      <c r="W42" s="93">
        <f t="shared" si="49"/>
        <v>6.7535121352075113E-4</v>
      </c>
      <c r="X42" s="93">
        <f t="shared" si="49"/>
        <v>6.7535121352075113E-4</v>
      </c>
      <c r="Y42" s="93">
        <f t="shared" si="49"/>
        <v>6.7535121352075113E-4</v>
      </c>
      <c r="Z42" s="93">
        <f t="shared" si="49"/>
        <v>6.7535121352075113E-4</v>
      </c>
      <c r="AA42" s="93">
        <f t="shared" si="49"/>
        <v>6.7535121352075113E-4</v>
      </c>
      <c r="AB42" s="93">
        <f t="shared" si="49"/>
        <v>6.7535121352075113E-4</v>
      </c>
      <c r="AC42" s="93">
        <f t="shared" si="49"/>
        <v>1.6883780338018778E-4</v>
      </c>
      <c r="AD42" s="93">
        <f t="shared" si="49"/>
        <v>6.7535121352075113E-4</v>
      </c>
      <c r="AE42" s="93">
        <f t="shared" si="49"/>
        <v>6.7535121352075113E-4</v>
      </c>
      <c r="AF42" s="93">
        <f t="shared" si="49"/>
        <v>6.7535121352075113E-4</v>
      </c>
      <c r="AG42" s="93">
        <f t="shared" si="49"/>
        <v>6.7535121352075113E-4</v>
      </c>
      <c r="AH42" s="93">
        <f t="shared" si="49"/>
        <v>6.7535121352075113E-4</v>
      </c>
      <c r="AI42" s="93">
        <f t="shared" ref="AI42:BB42" si="50">IFERROR(AI19/$B42,".")</f>
        <v>6.7535121352075113E-4</v>
      </c>
      <c r="AJ42" s="93">
        <f t="shared" si="50"/>
        <v>6.7535121352075113E-4</v>
      </c>
      <c r="AK42" s="93">
        <f t="shared" si="50"/>
        <v>6.7535121352075113E-4</v>
      </c>
      <c r="AL42" s="93">
        <f t="shared" si="50"/>
        <v>6.7535121352075113E-4</v>
      </c>
      <c r="AM42" s="93">
        <f t="shared" si="50"/>
        <v>6.7535121352075113E-4</v>
      </c>
      <c r="AN42" s="93">
        <f t="shared" si="50"/>
        <v>6.7535121352075113E-4</v>
      </c>
      <c r="AO42" s="93">
        <f t="shared" si="50"/>
        <v>6.7535121352075113E-4</v>
      </c>
      <c r="AP42" s="93">
        <f t="shared" si="50"/>
        <v>6.7535121352075113E-4</v>
      </c>
      <c r="AQ42" s="93">
        <f t="shared" si="50"/>
        <v>6.7535121352075113E-4</v>
      </c>
      <c r="AR42" s="93">
        <f t="shared" si="50"/>
        <v>6.7535121352075113E-4</v>
      </c>
      <c r="AS42" s="93">
        <f t="shared" si="50"/>
        <v>6.7535121352075113E-4</v>
      </c>
      <c r="AT42" s="93">
        <f t="shared" si="50"/>
        <v>6.7535121352075113E-4</v>
      </c>
      <c r="AU42" s="93">
        <f t="shared" si="50"/>
        <v>6.7535121352075113E-4</v>
      </c>
      <c r="AV42" s="93">
        <f t="shared" si="50"/>
        <v>6.7535121352075113E-4</v>
      </c>
      <c r="AW42" s="93">
        <f t="shared" si="50"/>
        <v>6.7535121352075113E-4</v>
      </c>
      <c r="AX42" s="93">
        <f t="shared" si="50"/>
        <v>6.7535121352075113E-4</v>
      </c>
      <c r="AY42" s="93">
        <f t="shared" si="50"/>
        <v>6.7535121352075113E-4</v>
      </c>
      <c r="AZ42" s="93">
        <f t="shared" si="50"/>
        <v>6.7535121352075113E-4</v>
      </c>
      <c r="BA42" s="93">
        <f t="shared" si="50"/>
        <v>6.7535121352075113E-4</v>
      </c>
      <c r="BB42" s="93">
        <f t="shared" si="50"/>
        <v>6.7535121352075113E-4</v>
      </c>
      <c r="BC42" s="94">
        <f t="shared" si="33"/>
        <v>148071.10433500001</v>
      </c>
      <c r="BD42" s="94">
        <f>IF(AD42=".",".",up_RadSpec!$F$19*(BD19*$B42))</f>
        <v>37017.776083750003</v>
      </c>
      <c r="BE42" s="94">
        <f>IF(AE42=".",".",up_RadSpec!$F$19*(BE19*$B42))</f>
        <v>37017.776083750003</v>
      </c>
      <c r="BF42" s="94">
        <f>IF(AF42=".",".",up_RadSpec!$F$19*(BF19*$B42))</f>
        <v>37017.776083750003</v>
      </c>
      <c r="BG42" s="94">
        <f>IF(AG42=".",".",up_RadSpec!$F$19*(BG19*$B42))</f>
        <v>37017.776083750003</v>
      </c>
      <c r="BH42" s="94">
        <f>IF(AH42=".",".",up_RadSpec!$F$19*(BH19*$B42))</f>
        <v>37017.776083750003</v>
      </c>
      <c r="BI42" s="94">
        <f>IF(AI42=".",".",up_RadSpec!$F$19*(BI19*$B42))</f>
        <v>37017.776083750003</v>
      </c>
      <c r="BJ42" s="94">
        <f>IF(AJ42=".",".",up_RadSpec!$F$19*(BJ19*$B42))</f>
        <v>37017.776083750003</v>
      </c>
      <c r="BK42" s="94">
        <f>IF(AK42=".",".",up_RadSpec!$F$19*(BK19*$B42))</f>
        <v>37017.776083750003</v>
      </c>
      <c r="BL42" s="94">
        <f>IF(AL42=".",".",up_RadSpec!$F$19*(BL19*$B42))</f>
        <v>37017.776083750003</v>
      </c>
      <c r="BM42" s="94">
        <f>IF(AM42=".",".",up_RadSpec!$F$19*(BM19*$B42))</f>
        <v>37017.776083750003</v>
      </c>
      <c r="BN42" s="94">
        <f>IF(AN42=".",".",up_RadSpec!$F$19*(BN19*$B42))</f>
        <v>37017.776083750003</v>
      </c>
      <c r="BO42" s="94">
        <f>IF(AO42=".",".",up_RadSpec!$F$19*(BO19*$B42))</f>
        <v>37017.776083750003</v>
      </c>
      <c r="BP42" s="94">
        <f>IF(AP42=".",".",up_RadSpec!$F$19*(BP19*$B42))</f>
        <v>37017.776083750003</v>
      </c>
      <c r="BQ42" s="94">
        <f>IF(AQ42=".",".",up_RadSpec!$F$19*(BQ19*$B42))</f>
        <v>37017.776083750003</v>
      </c>
      <c r="BR42" s="94">
        <f>IF(AR42=".",".",up_RadSpec!$F$19*(BR19*$B42))</f>
        <v>37017.776083750003</v>
      </c>
      <c r="BS42" s="94">
        <f>IF(AS42=".",".",up_RadSpec!$F$19*(BS19*$B42))</f>
        <v>37017.776083750003</v>
      </c>
      <c r="BT42" s="94">
        <f>IF(AT42=".",".",up_RadSpec!$F$19*(BT19*$B42))</f>
        <v>37017.776083750003</v>
      </c>
      <c r="BU42" s="94">
        <f>IF(AU42=".",".",up_RadSpec!$F$19*(BU19*$B42))</f>
        <v>37017.776083750003</v>
      </c>
      <c r="BV42" s="94">
        <f>IF(AV42=".",".",up_RadSpec!$F$19*(BV19*$B42))</f>
        <v>37017.776083750003</v>
      </c>
      <c r="BW42" s="94">
        <f>IF(AW42=".",".",up_RadSpec!$F$19*(BW19*$B42))</f>
        <v>37017.776083750003</v>
      </c>
      <c r="BX42" s="94">
        <f>IF(AX42=".",".",up_RadSpec!$F$19*(BX19*$B42))</f>
        <v>37017.776083750003</v>
      </c>
      <c r="BY42" s="94">
        <f>IF(AY42=".",".",up_RadSpec!$F$19*(BY19*$B42))</f>
        <v>37017.776083750003</v>
      </c>
      <c r="BZ42" s="94">
        <f>IF(AZ42=".",".",up_RadSpec!$F$19*(BZ19*$B42))</f>
        <v>37017.776083750003</v>
      </c>
      <c r="CA42" s="94">
        <f>IF(BA42=".",".",up_RadSpec!$F$19*(CA19*$B42))</f>
        <v>37017.776083750003</v>
      </c>
      <c r="CB42" s="94">
        <f>IF(BB42=".",".",up_RadSpec!$F$19*(CB19*$B42))</f>
        <v>37017.776083750003</v>
      </c>
    </row>
    <row r="43" spans="1:80" x14ac:dyDescent="0.25">
      <c r="A43" s="92" t="s">
        <v>1071</v>
      </c>
      <c r="B43" s="84">
        <v>2.0897492E-2</v>
      </c>
      <c r="C43" s="93">
        <f t="shared" ref="C43:AH43" si="51">IFERROR(C28/$B43,".")</f>
        <v>7.9095259947149221E-3</v>
      </c>
      <c r="D43" s="93">
        <f t="shared" si="51"/>
        <v>3.1638103978859689E-2</v>
      </c>
      <c r="E43" s="93">
        <f t="shared" si="51"/>
        <v>3.1638103978859689E-2</v>
      </c>
      <c r="F43" s="93">
        <f t="shared" si="51"/>
        <v>3.1638103978859689E-2</v>
      </c>
      <c r="G43" s="93">
        <f t="shared" si="51"/>
        <v>3.1638103978859689E-2</v>
      </c>
      <c r="H43" s="93">
        <f t="shared" si="51"/>
        <v>3.1638103978859689E-2</v>
      </c>
      <c r="I43" s="93">
        <f t="shared" si="51"/>
        <v>3.1638103978859689E-2</v>
      </c>
      <c r="J43" s="93">
        <f t="shared" si="51"/>
        <v>3.1638103978859689E-2</v>
      </c>
      <c r="K43" s="93">
        <f t="shared" si="51"/>
        <v>3.1638103978859689E-2</v>
      </c>
      <c r="L43" s="93">
        <f t="shared" si="51"/>
        <v>3.1638103978859689E-2</v>
      </c>
      <c r="M43" s="93">
        <f t="shared" si="51"/>
        <v>3.1638103978859689E-2</v>
      </c>
      <c r="N43" s="93">
        <f t="shared" si="51"/>
        <v>3.1638103978859689E-2</v>
      </c>
      <c r="O43" s="93">
        <f t="shared" si="51"/>
        <v>3.1638103978859689E-2</v>
      </c>
      <c r="P43" s="93">
        <f t="shared" si="51"/>
        <v>3.1638103978859689E-2</v>
      </c>
      <c r="Q43" s="93">
        <f t="shared" si="51"/>
        <v>3.1638103978859689E-2</v>
      </c>
      <c r="R43" s="93">
        <f t="shared" si="51"/>
        <v>3.1638103978859689E-2</v>
      </c>
      <c r="S43" s="93">
        <f t="shared" si="51"/>
        <v>3.1638103978859689E-2</v>
      </c>
      <c r="T43" s="93">
        <f t="shared" si="51"/>
        <v>3.1638103978859689E-2</v>
      </c>
      <c r="U43" s="93">
        <f t="shared" si="51"/>
        <v>3.1638103978859689E-2</v>
      </c>
      <c r="V43" s="93">
        <f t="shared" si="51"/>
        <v>3.1638103978859689E-2</v>
      </c>
      <c r="W43" s="93">
        <f t="shared" si="51"/>
        <v>3.1638103978859689E-2</v>
      </c>
      <c r="X43" s="93">
        <f t="shared" si="51"/>
        <v>3.1638103978859689E-2</v>
      </c>
      <c r="Y43" s="93">
        <f t="shared" si="51"/>
        <v>3.1638103978859689E-2</v>
      </c>
      <c r="Z43" s="93">
        <f t="shared" si="51"/>
        <v>3.1638103978859689E-2</v>
      </c>
      <c r="AA43" s="93">
        <f t="shared" si="51"/>
        <v>3.1638103978859689E-2</v>
      </c>
      <c r="AB43" s="93">
        <f t="shared" si="51"/>
        <v>3.1638103978859689E-2</v>
      </c>
      <c r="AC43" s="93">
        <f t="shared" si="51"/>
        <v>7.9095259947149221E-3</v>
      </c>
      <c r="AD43" s="93">
        <f t="shared" si="51"/>
        <v>3.1638103978859689E-2</v>
      </c>
      <c r="AE43" s="93">
        <f t="shared" si="51"/>
        <v>3.1638103978859689E-2</v>
      </c>
      <c r="AF43" s="93">
        <f t="shared" si="51"/>
        <v>3.1638103978859689E-2</v>
      </c>
      <c r="AG43" s="93">
        <f t="shared" si="51"/>
        <v>3.1638103978859689E-2</v>
      </c>
      <c r="AH43" s="93">
        <f t="shared" si="51"/>
        <v>3.1638103978859689E-2</v>
      </c>
      <c r="AI43" s="93">
        <f t="shared" ref="AI43:BB43" si="52">IFERROR(AI28/$B43,".")</f>
        <v>3.1638103978859689E-2</v>
      </c>
      <c r="AJ43" s="93">
        <f t="shared" si="52"/>
        <v>3.1638103978859689E-2</v>
      </c>
      <c r="AK43" s="93">
        <f t="shared" si="52"/>
        <v>3.1638103978859689E-2</v>
      </c>
      <c r="AL43" s="93">
        <f t="shared" si="52"/>
        <v>3.1638103978859689E-2</v>
      </c>
      <c r="AM43" s="93">
        <f t="shared" si="52"/>
        <v>3.1638103978859689E-2</v>
      </c>
      <c r="AN43" s="93">
        <f t="shared" si="52"/>
        <v>3.1638103978859689E-2</v>
      </c>
      <c r="AO43" s="93">
        <f t="shared" si="52"/>
        <v>3.1638103978859689E-2</v>
      </c>
      <c r="AP43" s="93">
        <f t="shared" si="52"/>
        <v>3.1638103978859689E-2</v>
      </c>
      <c r="AQ43" s="93">
        <f t="shared" si="52"/>
        <v>3.1638103978859689E-2</v>
      </c>
      <c r="AR43" s="93">
        <f t="shared" si="52"/>
        <v>3.1638103978859689E-2</v>
      </c>
      <c r="AS43" s="93">
        <f t="shared" si="52"/>
        <v>3.1638103978859689E-2</v>
      </c>
      <c r="AT43" s="93">
        <f t="shared" si="52"/>
        <v>3.1638103978859689E-2</v>
      </c>
      <c r="AU43" s="93">
        <f t="shared" si="52"/>
        <v>3.1638103978859689E-2</v>
      </c>
      <c r="AV43" s="93">
        <f t="shared" si="52"/>
        <v>3.1638103978859689E-2</v>
      </c>
      <c r="AW43" s="93">
        <f t="shared" si="52"/>
        <v>3.1638103978859689E-2</v>
      </c>
      <c r="AX43" s="93">
        <f t="shared" si="52"/>
        <v>3.1638103978859689E-2</v>
      </c>
      <c r="AY43" s="93">
        <f t="shared" si="52"/>
        <v>3.1638103978859689E-2</v>
      </c>
      <c r="AZ43" s="93">
        <f t="shared" si="52"/>
        <v>3.1638103978859689E-2</v>
      </c>
      <c r="BA43" s="93">
        <f t="shared" si="52"/>
        <v>3.1638103978859689E-2</v>
      </c>
      <c r="BB43" s="93">
        <f t="shared" si="52"/>
        <v>3.1638103978859689E-2</v>
      </c>
      <c r="BC43" s="94">
        <f t="shared" si="33"/>
        <v>3160.7456649999999</v>
      </c>
      <c r="BD43" s="94">
        <f>IF(AD43=".",".",up_RadSpec!$F$28*(BD28*$B43))</f>
        <v>790.18641624999998</v>
      </c>
      <c r="BE43" s="94">
        <f>IF(AE43=".",".",up_RadSpec!$F$28*(BE28*$B43))</f>
        <v>790.18641624999998</v>
      </c>
      <c r="BF43" s="94">
        <f>IF(AF43=".",".",up_RadSpec!$F$28*(BF28*$B43))</f>
        <v>790.18641624999998</v>
      </c>
      <c r="BG43" s="94">
        <f>IF(AG43=".",".",up_RadSpec!$F$28*(BG28*$B43))</f>
        <v>790.18641624999998</v>
      </c>
      <c r="BH43" s="94">
        <f>IF(AH43=".",".",up_RadSpec!$F$28*(BH28*$B43))</f>
        <v>790.18641624999998</v>
      </c>
      <c r="BI43" s="94">
        <f>IF(AI43=".",".",up_RadSpec!$F$28*(BI28*$B43))</f>
        <v>790.18641624999998</v>
      </c>
      <c r="BJ43" s="94">
        <f>IF(AJ43=".",".",up_RadSpec!$F$28*(BJ28*$B43))</f>
        <v>790.18641624999998</v>
      </c>
      <c r="BK43" s="94">
        <f>IF(AK43=".",".",up_RadSpec!$F$28*(BK28*$B43))</f>
        <v>790.18641624999998</v>
      </c>
      <c r="BL43" s="94">
        <f>IF(AL43=".",".",up_RadSpec!$F$28*(BL28*$B43))</f>
        <v>790.18641624999998</v>
      </c>
      <c r="BM43" s="94">
        <f>IF(AM43=".",".",up_RadSpec!$F$28*(BM28*$B43))</f>
        <v>790.18641624999998</v>
      </c>
      <c r="BN43" s="94">
        <f>IF(AN43=".",".",up_RadSpec!$F$28*(BN28*$B43))</f>
        <v>790.18641624999998</v>
      </c>
      <c r="BO43" s="94">
        <f>IF(AO43=".",".",up_RadSpec!$F$28*(BO28*$B43))</f>
        <v>790.18641624999998</v>
      </c>
      <c r="BP43" s="94">
        <f>IF(AP43=".",".",up_RadSpec!$F$28*(BP28*$B43))</f>
        <v>790.18641624999998</v>
      </c>
      <c r="BQ43" s="94">
        <f>IF(AQ43=".",".",up_RadSpec!$F$28*(BQ28*$B43))</f>
        <v>790.18641624999998</v>
      </c>
      <c r="BR43" s="94">
        <f>IF(AR43=".",".",up_RadSpec!$F$28*(BR28*$B43))</f>
        <v>790.18641624999998</v>
      </c>
      <c r="BS43" s="94">
        <f>IF(AS43=".",".",up_RadSpec!$F$28*(BS28*$B43))</f>
        <v>790.18641624999998</v>
      </c>
      <c r="BT43" s="94">
        <f>IF(AT43=".",".",up_RadSpec!$F$28*(BT28*$B43))</f>
        <v>790.18641624999998</v>
      </c>
      <c r="BU43" s="94">
        <f>IF(AU43=".",".",up_RadSpec!$F$28*(BU28*$B43))</f>
        <v>790.18641624999998</v>
      </c>
      <c r="BV43" s="94">
        <f>IF(AV43=".",".",up_RadSpec!$F$28*(BV28*$B43))</f>
        <v>790.18641624999998</v>
      </c>
      <c r="BW43" s="94">
        <f>IF(AW43=".",".",up_RadSpec!$F$28*(BW28*$B43))</f>
        <v>790.18641624999998</v>
      </c>
      <c r="BX43" s="94">
        <f>IF(AX43=".",".",up_RadSpec!$F$28*(BX28*$B43))</f>
        <v>790.18641624999998</v>
      </c>
      <c r="BY43" s="94">
        <f>IF(AY43=".",".",up_RadSpec!$F$28*(BY28*$B43))</f>
        <v>790.18641624999998</v>
      </c>
      <c r="BZ43" s="94">
        <f>IF(AZ43=".",".",up_RadSpec!$F$28*(BZ28*$B43))</f>
        <v>790.18641624999998</v>
      </c>
      <c r="CA43" s="94">
        <f>IF(BA43=".",".",up_RadSpec!$F$28*(CA28*$B43))</f>
        <v>790.18641624999998</v>
      </c>
      <c r="CB43" s="94">
        <f>IF(BB43=".",".",up_RadSpec!$F$28*(CB28*$B43))</f>
        <v>790.18641624999998</v>
      </c>
    </row>
    <row r="44" spans="1:80" x14ac:dyDescent="0.25">
      <c r="A44" s="92" t="s">
        <v>1072</v>
      </c>
      <c r="B44" s="84">
        <v>0.99987999999999999</v>
      </c>
      <c r="C44" s="93">
        <f t="shared" ref="C44:AH44" si="53">IFERROR(C15/$B44,".")</f>
        <v>1.6530909328954188E-4</v>
      </c>
      <c r="D44" s="93">
        <f t="shared" si="53"/>
        <v>6.612363731581675E-4</v>
      </c>
      <c r="E44" s="93">
        <f t="shared" si="53"/>
        <v>6.612363731581675E-4</v>
      </c>
      <c r="F44" s="93">
        <f t="shared" si="53"/>
        <v>6.612363731581675E-4</v>
      </c>
      <c r="G44" s="93">
        <f t="shared" si="53"/>
        <v>6.612363731581675E-4</v>
      </c>
      <c r="H44" s="93">
        <f t="shared" si="53"/>
        <v>6.612363731581675E-4</v>
      </c>
      <c r="I44" s="93">
        <f t="shared" si="53"/>
        <v>6.612363731581675E-4</v>
      </c>
      <c r="J44" s="93">
        <f t="shared" si="53"/>
        <v>6.612363731581675E-4</v>
      </c>
      <c r="K44" s="93">
        <f t="shared" si="53"/>
        <v>6.612363731581675E-4</v>
      </c>
      <c r="L44" s="93">
        <f t="shared" si="53"/>
        <v>6.612363731581675E-4</v>
      </c>
      <c r="M44" s="93">
        <f t="shared" si="53"/>
        <v>6.612363731581675E-4</v>
      </c>
      <c r="N44" s="93">
        <f t="shared" si="53"/>
        <v>6.612363731581675E-4</v>
      </c>
      <c r="O44" s="93">
        <f t="shared" si="53"/>
        <v>6.612363731581675E-4</v>
      </c>
      <c r="P44" s="93">
        <f t="shared" si="53"/>
        <v>6.612363731581675E-4</v>
      </c>
      <c r="Q44" s="93">
        <f t="shared" si="53"/>
        <v>6.612363731581675E-4</v>
      </c>
      <c r="R44" s="93">
        <f t="shared" si="53"/>
        <v>6.612363731581675E-4</v>
      </c>
      <c r="S44" s="93">
        <f t="shared" si="53"/>
        <v>6.612363731581675E-4</v>
      </c>
      <c r="T44" s="93">
        <f t="shared" si="53"/>
        <v>6.612363731581675E-4</v>
      </c>
      <c r="U44" s="93">
        <f t="shared" si="53"/>
        <v>6.612363731581675E-4</v>
      </c>
      <c r="V44" s="93">
        <f t="shared" si="53"/>
        <v>6.612363731581675E-4</v>
      </c>
      <c r="W44" s="93">
        <f t="shared" si="53"/>
        <v>6.612363731581675E-4</v>
      </c>
      <c r="X44" s="93">
        <f t="shared" si="53"/>
        <v>6.612363731581675E-4</v>
      </c>
      <c r="Y44" s="93">
        <f t="shared" si="53"/>
        <v>6.612363731581675E-4</v>
      </c>
      <c r="Z44" s="93">
        <f t="shared" si="53"/>
        <v>6.612363731581675E-4</v>
      </c>
      <c r="AA44" s="93">
        <f t="shared" si="53"/>
        <v>6.612363731581675E-4</v>
      </c>
      <c r="AB44" s="93">
        <f t="shared" si="53"/>
        <v>6.612363731581675E-4</v>
      </c>
      <c r="AC44" s="93">
        <f t="shared" si="53"/>
        <v>1.6530909328954188E-4</v>
      </c>
      <c r="AD44" s="93">
        <f t="shared" si="53"/>
        <v>6.612363731581675E-4</v>
      </c>
      <c r="AE44" s="93">
        <f t="shared" si="53"/>
        <v>6.612363731581675E-4</v>
      </c>
      <c r="AF44" s="93">
        <f t="shared" si="53"/>
        <v>6.612363731581675E-4</v>
      </c>
      <c r="AG44" s="93">
        <f t="shared" si="53"/>
        <v>6.612363731581675E-4</v>
      </c>
      <c r="AH44" s="93">
        <f t="shared" si="53"/>
        <v>6.612363731581675E-4</v>
      </c>
      <c r="AI44" s="93">
        <f t="shared" ref="AI44:BB44" si="54">IFERROR(AI15/$B44,".")</f>
        <v>6.612363731581675E-4</v>
      </c>
      <c r="AJ44" s="93">
        <f t="shared" si="54"/>
        <v>6.612363731581675E-4</v>
      </c>
      <c r="AK44" s="93">
        <f t="shared" si="54"/>
        <v>6.612363731581675E-4</v>
      </c>
      <c r="AL44" s="93">
        <f t="shared" si="54"/>
        <v>6.612363731581675E-4</v>
      </c>
      <c r="AM44" s="93">
        <f t="shared" si="54"/>
        <v>6.612363731581675E-4</v>
      </c>
      <c r="AN44" s="93">
        <f t="shared" si="54"/>
        <v>6.612363731581675E-4</v>
      </c>
      <c r="AO44" s="93">
        <f t="shared" si="54"/>
        <v>6.612363731581675E-4</v>
      </c>
      <c r="AP44" s="93">
        <f t="shared" si="54"/>
        <v>6.612363731581675E-4</v>
      </c>
      <c r="AQ44" s="93">
        <f t="shared" si="54"/>
        <v>6.612363731581675E-4</v>
      </c>
      <c r="AR44" s="93">
        <f t="shared" si="54"/>
        <v>6.612363731581675E-4</v>
      </c>
      <c r="AS44" s="93">
        <f t="shared" si="54"/>
        <v>6.612363731581675E-4</v>
      </c>
      <c r="AT44" s="93">
        <f t="shared" si="54"/>
        <v>6.612363731581675E-4</v>
      </c>
      <c r="AU44" s="93">
        <f t="shared" si="54"/>
        <v>6.612363731581675E-4</v>
      </c>
      <c r="AV44" s="93">
        <f t="shared" si="54"/>
        <v>6.612363731581675E-4</v>
      </c>
      <c r="AW44" s="93">
        <f t="shared" si="54"/>
        <v>6.612363731581675E-4</v>
      </c>
      <c r="AX44" s="93">
        <f t="shared" si="54"/>
        <v>6.612363731581675E-4</v>
      </c>
      <c r="AY44" s="93">
        <f t="shared" si="54"/>
        <v>6.612363731581675E-4</v>
      </c>
      <c r="AZ44" s="93">
        <f t="shared" si="54"/>
        <v>6.612363731581675E-4</v>
      </c>
      <c r="BA44" s="93">
        <f t="shared" si="54"/>
        <v>6.612363731581675E-4</v>
      </c>
      <c r="BB44" s="93">
        <f t="shared" si="54"/>
        <v>6.612363731581675E-4</v>
      </c>
      <c r="BC44" s="94">
        <f t="shared" si="33"/>
        <v>151231.85</v>
      </c>
      <c r="BD44" s="94">
        <f>IF(AD44=".",".",up_RadSpec!$F$15*(BD15*$B44))</f>
        <v>37807.962500000001</v>
      </c>
      <c r="BE44" s="94">
        <f>IF(AE44=".",".",up_RadSpec!$F$15*(BE15*$B44))</f>
        <v>37807.962500000001</v>
      </c>
      <c r="BF44" s="94">
        <f>IF(AF44=".",".",up_RadSpec!$F$15*(BF15*$B44))</f>
        <v>37807.962500000001</v>
      </c>
      <c r="BG44" s="94">
        <f>IF(AG44=".",".",up_RadSpec!$F$15*(BG15*$B44))</f>
        <v>37807.962500000001</v>
      </c>
      <c r="BH44" s="94">
        <f>IF(AH44=".",".",up_RadSpec!$F$15*(BH15*$B44))</f>
        <v>37807.962500000001</v>
      </c>
      <c r="BI44" s="94">
        <f>IF(AI44=".",".",up_RadSpec!$F$15*(BI15*$B44))</f>
        <v>37807.962500000001</v>
      </c>
      <c r="BJ44" s="94">
        <f>IF(AJ44=".",".",up_RadSpec!$F$15*(BJ15*$B44))</f>
        <v>37807.962500000001</v>
      </c>
      <c r="BK44" s="94">
        <f>IF(AK44=".",".",up_RadSpec!$F$15*(BK15*$B44))</f>
        <v>37807.962500000001</v>
      </c>
      <c r="BL44" s="94">
        <f>IF(AL44=".",".",up_RadSpec!$F$15*(BL15*$B44))</f>
        <v>37807.962500000001</v>
      </c>
      <c r="BM44" s="94">
        <f>IF(AM44=".",".",up_RadSpec!$F$15*(BM15*$B44))</f>
        <v>37807.962500000001</v>
      </c>
      <c r="BN44" s="94">
        <f>IF(AN44=".",".",up_RadSpec!$F$15*(BN15*$B44))</f>
        <v>37807.962500000001</v>
      </c>
      <c r="BO44" s="94">
        <f>IF(AO44=".",".",up_RadSpec!$F$15*(BO15*$B44))</f>
        <v>37807.962500000001</v>
      </c>
      <c r="BP44" s="94">
        <f>IF(AP44=".",".",up_RadSpec!$F$15*(BP15*$B44))</f>
        <v>37807.962500000001</v>
      </c>
      <c r="BQ44" s="94">
        <f>IF(AQ44=".",".",up_RadSpec!$F$15*(BQ15*$B44))</f>
        <v>37807.962500000001</v>
      </c>
      <c r="BR44" s="94">
        <f>IF(AR44=".",".",up_RadSpec!$F$15*(BR15*$B44))</f>
        <v>37807.962500000001</v>
      </c>
      <c r="BS44" s="94">
        <f>IF(AS44=".",".",up_RadSpec!$F$15*(BS15*$B44))</f>
        <v>37807.962500000001</v>
      </c>
      <c r="BT44" s="94">
        <f>IF(AT44=".",".",up_RadSpec!$F$15*(BT15*$B44))</f>
        <v>37807.962500000001</v>
      </c>
      <c r="BU44" s="94">
        <f>IF(AU44=".",".",up_RadSpec!$F$15*(BU15*$B44))</f>
        <v>37807.962500000001</v>
      </c>
      <c r="BV44" s="94">
        <f>IF(AV44=".",".",up_RadSpec!$F$15*(BV15*$B44))</f>
        <v>37807.962500000001</v>
      </c>
      <c r="BW44" s="94">
        <f>IF(AW44=".",".",up_RadSpec!$F$15*(BW15*$B44))</f>
        <v>37807.962500000001</v>
      </c>
      <c r="BX44" s="94">
        <f>IF(AX44=".",".",up_RadSpec!$F$15*(BX15*$B44))</f>
        <v>37807.962500000001</v>
      </c>
      <c r="BY44" s="94">
        <f>IF(AY44=".",".",up_RadSpec!$F$15*(BY15*$B44))</f>
        <v>37807.962500000001</v>
      </c>
      <c r="BZ44" s="94">
        <f>IF(AZ44=".",".",up_RadSpec!$F$15*(BZ15*$B44))</f>
        <v>37807.962500000001</v>
      </c>
      <c r="CA44" s="94">
        <f>IF(BA44=".",".",up_RadSpec!$F$15*(CA15*$B44))</f>
        <v>37807.962500000001</v>
      </c>
      <c r="CB44" s="94">
        <f>IF(BB44=".",".",up_RadSpec!$F$15*(CB15*$B44))</f>
        <v>37807.962500000001</v>
      </c>
    </row>
    <row r="45" spans="1:80" x14ac:dyDescent="0.25">
      <c r="A45" s="89" t="s">
        <v>8</v>
      </c>
      <c r="B45" s="89" t="s">
        <v>1057</v>
      </c>
      <c r="C45" s="90">
        <f t="shared" ref="C45:AH45" si="55">IFERROR(1/SUM(IFERROR(1/SUMIF(C46,"&lt;&gt;.",C46),0),IFERROR(1/SUMIF(C47,"&lt;&gt;.",C47),0)),".")</f>
        <v>8.50257749259755E-5</v>
      </c>
      <c r="D45" s="90">
        <f t="shared" si="55"/>
        <v>3.40103099703902E-4</v>
      </c>
      <c r="E45" s="90">
        <f t="shared" si="55"/>
        <v>3.40103099703902E-4</v>
      </c>
      <c r="F45" s="90">
        <f t="shared" si="55"/>
        <v>3.40103099703902E-4</v>
      </c>
      <c r="G45" s="90">
        <f t="shared" si="55"/>
        <v>3.40103099703902E-4</v>
      </c>
      <c r="H45" s="90">
        <f t="shared" si="55"/>
        <v>3.40103099703902E-4</v>
      </c>
      <c r="I45" s="90">
        <f t="shared" si="55"/>
        <v>3.40103099703902E-4</v>
      </c>
      <c r="J45" s="90">
        <f t="shared" si="55"/>
        <v>3.40103099703902E-4</v>
      </c>
      <c r="K45" s="90">
        <f t="shared" si="55"/>
        <v>3.40103099703902E-4</v>
      </c>
      <c r="L45" s="90">
        <f t="shared" si="55"/>
        <v>3.40103099703902E-4</v>
      </c>
      <c r="M45" s="90">
        <f t="shared" si="55"/>
        <v>3.40103099703902E-4</v>
      </c>
      <c r="N45" s="90">
        <f t="shared" si="55"/>
        <v>3.40103099703902E-4</v>
      </c>
      <c r="O45" s="90">
        <f t="shared" si="55"/>
        <v>3.40103099703902E-4</v>
      </c>
      <c r="P45" s="90">
        <f t="shared" si="55"/>
        <v>3.40103099703902E-4</v>
      </c>
      <c r="Q45" s="90">
        <f t="shared" si="55"/>
        <v>3.40103099703902E-4</v>
      </c>
      <c r="R45" s="90">
        <f t="shared" si="55"/>
        <v>3.40103099703902E-4</v>
      </c>
      <c r="S45" s="90">
        <f t="shared" si="55"/>
        <v>3.40103099703902E-4</v>
      </c>
      <c r="T45" s="90">
        <f t="shared" si="55"/>
        <v>3.40103099703902E-4</v>
      </c>
      <c r="U45" s="90">
        <f t="shared" si="55"/>
        <v>3.40103099703902E-4</v>
      </c>
      <c r="V45" s="90">
        <f t="shared" si="55"/>
        <v>3.40103099703902E-4</v>
      </c>
      <c r="W45" s="90">
        <f t="shared" si="55"/>
        <v>3.40103099703902E-4</v>
      </c>
      <c r="X45" s="90">
        <f t="shared" si="55"/>
        <v>3.40103099703902E-4</v>
      </c>
      <c r="Y45" s="90">
        <f t="shared" si="55"/>
        <v>3.40103099703902E-4</v>
      </c>
      <c r="Z45" s="90">
        <f t="shared" si="55"/>
        <v>3.40103099703902E-4</v>
      </c>
      <c r="AA45" s="90">
        <f t="shared" si="55"/>
        <v>3.40103099703902E-4</v>
      </c>
      <c r="AB45" s="90">
        <f t="shared" si="55"/>
        <v>3.40103099703902E-4</v>
      </c>
      <c r="AC45" s="90">
        <f t="shared" si="55"/>
        <v>8.50257749259755E-5</v>
      </c>
      <c r="AD45" s="90">
        <f t="shared" si="55"/>
        <v>3.40103099703902E-4</v>
      </c>
      <c r="AE45" s="90">
        <f t="shared" si="55"/>
        <v>3.40103099703902E-4</v>
      </c>
      <c r="AF45" s="90">
        <f t="shared" si="55"/>
        <v>3.40103099703902E-4</v>
      </c>
      <c r="AG45" s="90">
        <f t="shared" si="55"/>
        <v>3.40103099703902E-4</v>
      </c>
      <c r="AH45" s="90">
        <f t="shared" si="55"/>
        <v>3.40103099703902E-4</v>
      </c>
      <c r="AI45" s="90">
        <f t="shared" ref="AI45:BB45" si="56">IFERROR(1/SUM(IFERROR(1/SUMIF(AI46,"&lt;&gt;.",AI46),0),IFERROR(1/SUMIF(AI47,"&lt;&gt;.",AI47),0)),".")</f>
        <v>3.40103099703902E-4</v>
      </c>
      <c r="AJ45" s="90">
        <f t="shared" si="56"/>
        <v>3.40103099703902E-4</v>
      </c>
      <c r="AK45" s="90">
        <f t="shared" si="56"/>
        <v>3.40103099703902E-4</v>
      </c>
      <c r="AL45" s="90">
        <f t="shared" si="56"/>
        <v>3.40103099703902E-4</v>
      </c>
      <c r="AM45" s="90">
        <f t="shared" si="56"/>
        <v>3.40103099703902E-4</v>
      </c>
      <c r="AN45" s="90">
        <f t="shared" si="56"/>
        <v>3.40103099703902E-4</v>
      </c>
      <c r="AO45" s="90">
        <f t="shared" si="56"/>
        <v>3.40103099703902E-4</v>
      </c>
      <c r="AP45" s="90">
        <f t="shared" si="56"/>
        <v>3.40103099703902E-4</v>
      </c>
      <c r="AQ45" s="90">
        <f t="shared" si="56"/>
        <v>3.40103099703902E-4</v>
      </c>
      <c r="AR45" s="90">
        <f t="shared" si="56"/>
        <v>3.40103099703902E-4</v>
      </c>
      <c r="AS45" s="90">
        <f t="shared" si="56"/>
        <v>3.40103099703902E-4</v>
      </c>
      <c r="AT45" s="90">
        <f t="shared" si="56"/>
        <v>3.40103099703902E-4</v>
      </c>
      <c r="AU45" s="90">
        <f t="shared" si="56"/>
        <v>3.40103099703902E-4</v>
      </c>
      <c r="AV45" s="90">
        <f t="shared" si="56"/>
        <v>3.40103099703902E-4</v>
      </c>
      <c r="AW45" s="90">
        <f t="shared" si="56"/>
        <v>3.40103099703902E-4</v>
      </c>
      <c r="AX45" s="90">
        <f t="shared" si="56"/>
        <v>3.40103099703902E-4</v>
      </c>
      <c r="AY45" s="90">
        <f t="shared" si="56"/>
        <v>3.40103099703902E-4</v>
      </c>
      <c r="AZ45" s="90">
        <f t="shared" si="56"/>
        <v>3.40103099703902E-4</v>
      </c>
      <c r="BA45" s="90">
        <f t="shared" si="56"/>
        <v>3.40103099703902E-4</v>
      </c>
      <c r="BB45" s="90">
        <f t="shared" si="56"/>
        <v>3.40103099703902E-4</v>
      </c>
      <c r="BC45" s="91">
        <f>IFERROR(SUM(BD46:BD47,BU46:BU47,CA46:CA47,CB46:CB47),".")</f>
        <v>294028.48749999999</v>
      </c>
      <c r="BD45" s="91">
        <f>IFERROR(SUM(BD46:BD47),".")</f>
        <v>73507.121874999997</v>
      </c>
      <c r="BE45" s="91">
        <f t="shared" ref="BE45:CB45" si="57">IFERROR(SUM(BE46:BE47),".")</f>
        <v>73507.121874999997</v>
      </c>
      <c r="BF45" s="91">
        <f t="shared" si="57"/>
        <v>73507.121874999997</v>
      </c>
      <c r="BG45" s="91">
        <f t="shared" si="57"/>
        <v>73507.121874999997</v>
      </c>
      <c r="BH45" s="91">
        <f t="shared" si="57"/>
        <v>73507.121874999997</v>
      </c>
      <c r="BI45" s="91">
        <f t="shared" si="57"/>
        <v>73507.121874999997</v>
      </c>
      <c r="BJ45" s="91">
        <f t="shared" si="57"/>
        <v>73507.121874999997</v>
      </c>
      <c r="BK45" s="91">
        <f t="shared" si="57"/>
        <v>73507.121874999997</v>
      </c>
      <c r="BL45" s="91">
        <f t="shared" si="57"/>
        <v>73507.121874999997</v>
      </c>
      <c r="BM45" s="91">
        <f t="shared" si="57"/>
        <v>73507.121874999997</v>
      </c>
      <c r="BN45" s="91">
        <f t="shared" si="57"/>
        <v>73507.121874999997</v>
      </c>
      <c r="BO45" s="91">
        <f t="shared" si="57"/>
        <v>73507.121874999997</v>
      </c>
      <c r="BP45" s="91">
        <f t="shared" si="57"/>
        <v>73507.121874999997</v>
      </c>
      <c r="BQ45" s="91">
        <f t="shared" si="57"/>
        <v>73507.121874999997</v>
      </c>
      <c r="BR45" s="91">
        <f t="shared" si="57"/>
        <v>73507.121874999997</v>
      </c>
      <c r="BS45" s="91">
        <f t="shared" si="57"/>
        <v>73507.121874999997</v>
      </c>
      <c r="BT45" s="91">
        <f t="shared" si="57"/>
        <v>73507.121874999997</v>
      </c>
      <c r="BU45" s="91">
        <f t="shared" si="57"/>
        <v>73507.121874999997</v>
      </c>
      <c r="BV45" s="91">
        <f t="shared" si="57"/>
        <v>73507.121874999997</v>
      </c>
      <c r="BW45" s="91">
        <f t="shared" si="57"/>
        <v>73507.121874999997</v>
      </c>
      <c r="BX45" s="91">
        <f t="shared" si="57"/>
        <v>73507.121874999997</v>
      </c>
      <c r="BY45" s="91">
        <f t="shared" si="57"/>
        <v>73507.121874999997</v>
      </c>
      <c r="BZ45" s="91">
        <f t="shared" si="57"/>
        <v>73507.121874999997</v>
      </c>
      <c r="CA45" s="91">
        <f t="shared" si="57"/>
        <v>73507.121874999997</v>
      </c>
      <c r="CB45" s="91">
        <f t="shared" si="57"/>
        <v>73507.121874999997</v>
      </c>
    </row>
    <row r="46" spans="1:80" x14ac:dyDescent="0.25">
      <c r="A46" s="92" t="s">
        <v>1084</v>
      </c>
      <c r="B46" s="84">
        <v>1</v>
      </c>
      <c r="C46" s="93">
        <f t="shared" ref="C46:AH46" si="58">IFERROR(C10/$B46,".")</f>
        <v>1.6528925619834712E-4</v>
      </c>
      <c r="D46" s="93">
        <f t="shared" si="58"/>
        <v>6.6115702479338848E-4</v>
      </c>
      <c r="E46" s="93">
        <f t="shared" si="58"/>
        <v>6.6115702479338848E-4</v>
      </c>
      <c r="F46" s="93">
        <f t="shared" si="58"/>
        <v>6.6115702479338848E-4</v>
      </c>
      <c r="G46" s="93">
        <f t="shared" si="58"/>
        <v>6.6115702479338848E-4</v>
      </c>
      <c r="H46" s="93">
        <f t="shared" si="58"/>
        <v>6.6115702479338848E-4</v>
      </c>
      <c r="I46" s="93">
        <f t="shared" si="58"/>
        <v>6.6115702479338848E-4</v>
      </c>
      <c r="J46" s="93">
        <f t="shared" si="58"/>
        <v>6.6115702479338848E-4</v>
      </c>
      <c r="K46" s="93">
        <f t="shared" si="58"/>
        <v>6.6115702479338848E-4</v>
      </c>
      <c r="L46" s="93">
        <f t="shared" si="58"/>
        <v>6.6115702479338848E-4</v>
      </c>
      <c r="M46" s="93">
        <f t="shared" si="58"/>
        <v>6.6115702479338848E-4</v>
      </c>
      <c r="N46" s="93">
        <f t="shared" si="58"/>
        <v>6.6115702479338848E-4</v>
      </c>
      <c r="O46" s="93">
        <f t="shared" si="58"/>
        <v>6.6115702479338848E-4</v>
      </c>
      <c r="P46" s="93">
        <f t="shared" si="58"/>
        <v>6.6115702479338848E-4</v>
      </c>
      <c r="Q46" s="93">
        <f t="shared" si="58"/>
        <v>6.6115702479338848E-4</v>
      </c>
      <c r="R46" s="93">
        <f t="shared" si="58"/>
        <v>6.6115702479338848E-4</v>
      </c>
      <c r="S46" s="93">
        <f t="shared" si="58"/>
        <v>6.6115702479338848E-4</v>
      </c>
      <c r="T46" s="93">
        <f t="shared" si="58"/>
        <v>6.6115702479338848E-4</v>
      </c>
      <c r="U46" s="93">
        <f t="shared" si="58"/>
        <v>6.6115702479338848E-4</v>
      </c>
      <c r="V46" s="93">
        <f t="shared" si="58"/>
        <v>6.6115702479338848E-4</v>
      </c>
      <c r="W46" s="93">
        <f t="shared" si="58"/>
        <v>6.6115702479338848E-4</v>
      </c>
      <c r="X46" s="93">
        <f t="shared" si="58"/>
        <v>6.6115702479338848E-4</v>
      </c>
      <c r="Y46" s="93">
        <f t="shared" si="58"/>
        <v>6.6115702479338848E-4</v>
      </c>
      <c r="Z46" s="93">
        <f t="shared" si="58"/>
        <v>6.6115702479338848E-4</v>
      </c>
      <c r="AA46" s="93">
        <f t="shared" si="58"/>
        <v>6.6115702479338848E-4</v>
      </c>
      <c r="AB46" s="93">
        <f t="shared" si="58"/>
        <v>6.6115702479338848E-4</v>
      </c>
      <c r="AC46" s="93">
        <f t="shared" si="58"/>
        <v>1.6528925619834712E-4</v>
      </c>
      <c r="AD46" s="93">
        <f t="shared" si="58"/>
        <v>6.6115702479338848E-4</v>
      </c>
      <c r="AE46" s="93">
        <f t="shared" si="58"/>
        <v>6.6115702479338848E-4</v>
      </c>
      <c r="AF46" s="93">
        <f t="shared" si="58"/>
        <v>6.6115702479338848E-4</v>
      </c>
      <c r="AG46" s="93">
        <f t="shared" si="58"/>
        <v>6.6115702479338848E-4</v>
      </c>
      <c r="AH46" s="93">
        <f t="shared" si="58"/>
        <v>6.6115702479338848E-4</v>
      </c>
      <c r="AI46" s="93">
        <f t="shared" ref="AI46:BB46" si="59">IFERROR(AI10/$B46,".")</f>
        <v>6.6115702479338848E-4</v>
      </c>
      <c r="AJ46" s="93">
        <f t="shared" si="59"/>
        <v>6.6115702479338848E-4</v>
      </c>
      <c r="AK46" s="93">
        <f t="shared" si="59"/>
        <v>6.6115702479338848E-4</v>
      </c>
      <c r="AL46" s="93">
        <f t="shared" si="59"/>
        <v>6.6115702479338848E-4</v>
      </c>
      <c r="AM46" s="93">
        <f t="shared" si="59"/>
        <v>6.6115702479338848E-4</v>
      </c>
      <c r="AN46" s="93">
        <f t="shared" si="59"/>
        <v>6.6115702479338848E-4</v>
      </c>
      <c r="AO46" s="93">
        <f t="shared" si="59"/>
        <v>6.6115702479338848E-4</v>
      </c>
      <c r="AP46" s="93">
        <f t="shared" si="59"/>
        <v>6.6115702479338848E-4</v>
      </c>
      <c r="AQ46" s="93">
        <f t="shared" si="59"/>
        <v>6.6115702479338848E-4</v>
      </c>
      <c r="AR46" s="93">
        <f t="shared" si="59"/>
        <v>6.6115702479338848E-4</v>
      </c>
      <c r="AS46" s="93">
        <f t="shared" si="59"/>
        <v>6.6115702479338848E-4</v>
      </c>
      <c r="AT46" s="93">
        <f t="shared" si="59"/>
        <v>6.6115702479338848E-4</v>
      </c>
      <c r="AU46" s="93">
        <f t="shared" si="59"/>
        <v>6.6115702479338848E-4</v>
      </c>
      <c r="AV46" s="93">
        <f t="shared" si="59"/>
        <v>6.6115702479338848E-4</v>
      </c>
      <c r="AW46" s="93">
        <f t="shared" si="59"/>
        <v>6.6115702479338848E-4</v>
      </c>
      <c r="AX46" s="93">
        <f t="shared" si="59"/>
        <v>6.6115702479338848E-4</v>
      </c>
      <c r="AY46" s="93">
        <f t="shared" si="59"/>
        <v>6.6115702479338848E-4</v>
      </c>
      <c r="AZ46" s="93">
        <f t="shared" si="59"/>
        <v>6.6115702479338848E-4</v>
      </c>
      <c r="BA46" s="93">
        <f t="shared" si="59"/>
        <v>6.6115702479338848E-4</v>
      </c>
      <c r="BB46" s="93">
        <f t="shared" si="59"/>
        <v>6.6115702479338848E-4</v>
      </c>
      <c r="BC46" s="94">
        <f>IF(AND(BD46&lt;&gt;".",BU46&lt;&gt;".",CA46&lt;&gt;".",CB46&lt;&gt;"."),SUM(BD46,BU46,CA46:CB46),".")</f>
        <v>151250</v>
      </c>
      <c r="BD46" s="94">
        <f>IF(AD46=".",".",up_RadSpec!$F$10*(BD10*$B46))</f>
        <v>37812.5</v>
      </c>
      <c r="BE46" s="94">
        <f>IF(AE46=".",".",up_RadSpec!$F$10*(BE10*$B46))</f>
        <v>37812.5</v>
      </c>
      <c r="BF46" s="94">
        <f>IF(AF46=".",".",up_RadSpec!$F$10*(BF10*$B46))</f>
        <v>37812.5</v>
      </c>
      <c r="BG46" s="94">
        <f>IF(AG46=".",".",up_RadSpec!$F$10*(BG10*$B46))</f>
        <v>37812.5</v>
      </c>
      <c r="BH46" s="94">
        <f>IF(AH46=".",".",up_RadSpec!$F$10*(BH10*$B46))</f>
        <v>37812.5</v>
      </c>
      <c r="BI46" s="94">
        <f>IF(AI46=".",".",up_RadSpec!$F$10*(BI10*$B46))</f>
        <v>37812.5</v>
      </c>
      <c r="BJ46" s="94">
        <f>IF(AJ46=".",".",up_RadSpec!$F$10*(BJ10*$B46))</f>
        <v>37812.5</v>
      </c>
      <c r="BK46" s="94">
        <f>IF(AK46=".",".",up_RadSpec!$F$10*(BK10*$B46))</f>
        <v>37812.5</v>
      </c>
      <c r="BL46" s="94">
        <f>IF(AL46=".",".",up_RadSpec!$F$10*(BL10*$B46))</f>
        <v>37812.5</v>
      </c>
      <c r="BM46" s="94">
        <f>IF(AM46=".",".",up_RadSpec!$F$10*(BM10*$B46))</f>
        <v>37812.5</v>
      </c>
      <c r="BN46" s="94">
        <f>IF(AN46=".",".",up_RadSpec!$F$10*(BN10*$B46))</f>
        <v>37812.5</v>
      </c>
      <c r="BO46" s="94">
        <f>IF(AO46=".",".",up_RadSpec!$F$10*(BO10*$B46))</f>
        <v>37812.5</v>
      </c>
      <c r="BP46" s="94">
        <f>IF(AP46=".",".",up_RadSpec!$F$10*(BP10*$B46))</f>
        <v>37812.5</v>
      </c>
      <c r="BQ46" s="94">
        <f>IF(AQ46=".",".",up_RadSpec!$F$10*(BQ10*$B46))</f>
        <v>37812.5</v>
      </c>
      <c r="BR46" s="94">
        <f>IF(AR46=".",".",up_RadSpec!$F$10*(BR10*$B46))</f>
        <v>37812.5</v>
      </c>
      <c r="BS46" s="94">
        <f>IF(AS46=".",".",up_RadSpec!$F$10*(BS10*$B46))</f>
        <v>37812.5</v>
      </c>
      <c r="BT46" s="94">
        <f>IF(AT46=".",".",up_RadSpec!$F$10*(BT10*$B46))</f>
        <v>37812.5</v>
      </c>
      <c r="BU46" s="94">
        <f>IF(AU46=".",".",up_RadSpec!$F$10*(BU10*$B46))</f>
        <v>37812.5</v>
      </c>
      <c r="BV46" s="94">
        <f>IF(AV46=".",".",up_RadSpec!$F$10*(BV10*$B46))</f>
        <v>37812.5</v>
      </c>
      <c r="BW46" s="94">
        <f>IF(AW46=".",".",up_RadSpec!$F$10*(BW10*$B46))</f>
        <v>37812.5</v>
      </c>
      <c r="BX46" s="94">
        <f>IF(AX46=".",".",up_RadSpec!$F$10*(BX10*$B46))</f>
        <v>37812.5</v>
      </c>
      <c r="BY46" s="94">
        <f>IF(AY46=".",".",up_RadSpec!$F$10*(BY10*$B46))</f>
        <v>37812.5</v>
      </c>
      <c r="BZ46" s="94">
        <f>IF(AZ46=".",".",up_RadSpec!$F$10*(BZ10*$B46))</f>
        <v>37812.5</v>
      </c>
      <c r="CA46" s="94">
        <f>IF(BA46=".",".",up_RadSpec!$F$10*(CA10*$B46))</f>
        <v>37812.5</v>
      </c>
      <c r="CB46" s="94">
        <f>IF(BB46=".",".",up_RadSpec!$F$10*(CB10*$B46))</f>
        <v>37812.5</v>
      </c>
    </row>
    <row r="47" spans="1:80" x14ac:dyDescent="0.25">
      <c r="A47" s="92" t="s">
        <v>1058</v>
      </c>
      <c r="B47" s="96">
        <v>0.94399</v>
      </c>
      <c r="C47" s="93">
        <f t="shared" ref="C47:AH47" si="60">IFERROR(C6/$B$47,".")</f>
        <v>1.750964058923793E-4</v>
      </c>
      <c r="D47" s="93">
        <f t="shared" si="60"/>
        <v>7.0038562356951719E-4</v>
      </c>
      <c r="E47" s="93">
        <f t="shared" si="60"/>
        <v>7.0038562356951719E-4</v>
      </c>
      <c r="F47" s="93">
        <f t="shared" si="60"/>
        <v>7.0038562356951719E-4</v>
      </c>
      <c r="G47" s="93">
        <f t="shared" si="60"/>
        <v>7.0038562356951719E-4</v>
      </c>
      <c r="H47" s="93">
        <f t="shared" si="60"/>
        <v>7.0038562356951719E-4</v>
      </c>
      <c r="I47" s="93">
        <f t="shared" si="60"/>
        <v>7.0038562356951719E-4</v>
      </c>
      <c r="J47" s="93">
        <f t="shared" si="60"/>
        <v>7.0038562356951719E-4</v>
      </c>
      <c r="K47" s="93">
        <f t="shared" si="60"/>
        <v>7.0038562356951719E-4</v>
      </c>
      <c r="L47" s="93">
        <f t="shared" si="60"/>
        <v>7.0038562356951719E-4</v>
      </c>
      <c r="M47" s="93">
        <f t="shared" si="60"/>
        <v>7.0038562356951719E-4</v>
      </c>
      <c r="N47" s="93">
        <f t="shared" si="60"/>
        <v>7.0038562356951719E-4</v>
      </c>
      <c r="O47" s="93">
        <f t="shared" si="60"/>
        <v>7.0038562356951719E-4</v>
      </c>
      <c r="P47" s="93">
        <f t="shared" si="60"/>
        <v>7.0038562356951719E-4</v>
      </c>
      <c r="Q47" s="93">
        <f t="shared" si="60"/>
        <v>7.0038562356951719E-4</v>
      </c>
      <c r="R47" s="93">
        <f t="shared" si="60"/>
        <v>7.0038562356951719E-4</v>
      </c>
      <c r="S47" s="93">
        <f t="shared" si="60"/>
        <v>7.0038562356951719E-4</v>
      </c>
      <c r="T47" s="93">
        <f t="shared" si="60"/>
        <v>7.0038562356951719E-4</v>
      </c>
      <c r="U47" s="93">
        <f t="shared" si="60"/>
        <v>7.0038562356951719E-4</v>
      </c>
      <c r="V47" s="93">
        <f t="shared" si="60"/>
        <v>7.0038562356951719E-4</v>
      </c>
      <c r="W47" s="93">
        <f t="shared" si="60"/>
        <v>7.0038562356951719E-4</v>
      </c>
      <c r="X47" s="93">
        <f t="shared" si="60"/>
        <v>7.0038562356951719E-4</v>
      </c>
      <c r="Y47" s="93">
        <f t="shared" si="60"/>
        <v>7.0038562356951719E-4</v>
      </c>
      <c r="Z47" s="93">
        <f t="shared" si="60"/>
        <v>7.0038562356951719E-4</v>
      </c>
      <c r="AA47" s="93">
        <f t="shared" si="60"/>
        <v>7.0038562356951719E-4</v>
      </c>
      <c r="AB47" s="93">
        <f t="shared" si="60"/>
        <v>7.0038562356951719E-4</v>
      </c>
      <c r="AC47" s="93">
        <f t="shared" si="60"/>
        <v>1.750964058923793E-4</v>
      </c>
      <c r="AD47" s="93">
        <f t="shared" si="60"/>
        <v>7.0038562356951719E-4</v>
      </c>
      <c r="AE47" s="93">
        <f t="shared" si="60"/>
        <v>7.0038562356951719E-4</v>
      </c>
      <c r="AF47" s="93">
        <f t="shared" si="60"/>
        <v>7.0038562356951719E-4</v>
      </c>
      <c r="AG47" s="93">
        <f t="shared" si="60"/>
        <v>7.0038562356951719E-4</v>
      </c>
      <c r="AH47" s="93">
        <f t="shared" si="60"/>
        <v>7.0038562356951719E-4</v>
      </c>
      <c r="AI47" s="93">
        <f t="shared" ref="AI47:BB47" si="61">IFERROR(AI6/$B$47,".")</f>
        <v>7.0038562356951719E-4</v>
      </c>
      <c r="AJ47" s="93">
        <f t="shared" si="61"/>
        <v>7.0038562356951719E-4</v>
      </c>
      <c r="AK47" s="93">
        <f t="shared" si="61"/>
        <v>7.0038562356951719E-4</v>
      </c>
      <c r="AL47" s="93">
        <f t="shared" si="61"/>
        <v>7.0038562356951719E-4</v>
      </c>
      <c r="AM47" s="93">
        <f t="shared" si="61"/>
        <v>7.0038562356951719E-4</v>
      </c>
      <c r="AN47" s="93">
        <f t="shared" si="61"/>
        <v>7.0038562356951719E-4</v>
      </c>
      <c r="AO47" s="93">
        <f t="shared" si="61"/>
        <v>7.0038562356951719E-4</v>
      </c>
      <c r="AP47" s="93">
        <f t="shared" si="61"/>
        <v>7.0038562356951719E-4</v>
      </c>
      <c r="AQ47" s="93">
        <f t="shared" si="61"/>
        <v>7.0038562356951719E-4</v>
      </c>
      <c r="AR47" s="93">
        <f t="shared" si="61"/>
        <v>7.0038562356951719E-4</v>
      </c>
      <c r="AS47" s="93">
        <f t="shared" si="61"/>
        <v>7.0038562356951719E-4</v>
      </c>
      <c r="AT47" s="93">
        <f t="shared" si="61"/>
        <v>7.0038562356951719E-4</v>
      </c>
      <c r="AU47" s="93">
        <f t="shared" si="61"/>
        <v>7.0038562356951719E-4</v>
      </c>
      <c r="AV47" s="93">
        <f t="shared" si="61"/>
        <v>7.0038562356951719E-4</v>
      </c>
      <c r="AW47" s="93">
        <f t="shared" si="61"/>
        <v>7.0038562356951719E-4</v>
      </c>
      <c r="AX47" s="93">
        <f t="shared" si="61"/>
        <v>7.0038562356951719E-4</v>
      </c>
      <c r="AY47" s="93">
        <f t="shared" si="61"/>
        <v>7.0038562356951719E-4</v>
      </c>
      <c r="AZ47" s="93">
        <f t="shared" si="61"/>
        <v>7.0038562356951719E-4</v>
      </c>
      <c r="BA47" s="93">
        <f t="shared" si="61"/>
        <v>7.0038562356951719E-4</v>
      </c>
      <c r="BB47" s="93">
        <f t="shared" si="61"/>
        <v>7.0038562356951719E-4</v>
      </c>
      <c r="BC47" s="94">
        <f>IF(AND(BD47&lt;&gt;".",BU47&lt;&gt;".",CA47&lt;&gt;".",CB47&lt;&gt;"."),SUM(BD47,BU47,CA47:CB47),".")</f>
        <v>142778.48749999999</v>
      </c>
      <c r="BD47" s="94">
        <f>IF(AD47=".",".",up_RadSpec!$F$6*(BD6*$B47))</f>
        <v>35694.621874999997</v>
      </c>
      <c r="BE47" s="94">
        <f>IF(AE47=".",".",up_RadSpec!$F$6*(BE6*$B47))</f>
        <v>35694.621874999997</v>
      </c>
      <c r="BF47" s="94">
        <f>IF(AF47=".",".",up_RadSpec!$F$6*(BF6*$B47))</f>
        <v>35694.621874999997</v>
      </c>
      <c r="BG47" s="94">
        <f>IF(AG47=".",".",up_RadSpec!$F$6*(BG6*$B47))</f>
        <v>35694.621874999997</v>
      </c>
      <c r="BH47" s="94">
        <f>IF(AH47=".",".",up_RadSpec!$F$6*(BH6*$B47))</f>
        <v>35694.621874999997</v>
      </c>
      <c r="BI47" s="94">
        <f>IF(AI47=".",".",up_RadSpec!$F$6*(BI6*$B47))</f>
        <v>35694.621874999997</v>
      </c>
      <c r="BJ47" s="94">
        <f>IF(AJ47=".",".",up_RadSpec!$F$6*(BJ6*$B47))</f>
        <v>35694.621874999997</v>
      </c>
      <c r="BK47" s="94">
        <f>IF(AK47=".",".",up_RadSpec!$F$6*(BK6*$B47))</f>
        <v>35694.621874999997</v>
      </c>
      <c r="BL47" s="94">
        <f>IF(AL47=".",".",up_RadSpec!$F$6*(BL6*$B47))</f>
        <v>35694.621874999997</v>
      </c>
      <c r="BM47" s="94">
        <f>IF(AM47=".",".",up_RadSpec!$F$6*(BM6*$B47))</f>
        <v>35694.621874999997</v>
      </c>
      <c r="BN47" s="94">
        <f>IF(AN47=".",".",up_RadSpec!$F$6*(BN6*$B47))</f>
        <v>35694.621874999997</v>
      </c>
      <c r="BO47" s="94">
        <f>IF(AO47=".",".",up_RadSpec!$F$6*(BO6*$B47))</f>
        <v>35694.621874999997</v>
      </c>
      <c r="BP47" s="94">
        <f>IF(AP47=".",".",up_RadSpec!$F$6*(BP6*$B47))</f>
        <v>35694.621874999997</v>
      </c>
      <c r="BQ47" s="94">
        <f>IF(AQ47=".",".",up_RadSpec!$F$6*(BQ6*$B47))</f>
        <v>35694.621874999997</v>
      </c>
      <c r="BR47" s="94">
        <f>IF(AR47=".",".",up_RadSpec!$F$6*(BR6*$B47))</f>
        <v>35694.621874999997</v>
      </c>
      <c r="BS47" s="94">
        <f>IF(AS47=".",".",up_RadSpec!$F$6*(BS6*$B47))</f>
        <v>35694.621874999997</v>
      </c>
      <c r="BT47" s="94">
        <f>IF(AT47=".",".",up_RadSpec!$F$6*(BT6*$B47))</f>
        <v>35694.621874999997</v>
      </c>
      <c r="BU47" s="94">
        <f>IF(AU47=".",".",up_RadSpec!$F$6*(BU6*$B47))</f>
        <v>35694.621874999997</v>
      </c>
      <c r="BV47" s="94">
        <f>IF(AV47=".",".",up_RadSpec!$F$6*(BV6*$B47))</f>
        <v>35694.621874999997</v>
      </c>
      <c r="BW47" s="94">
        <f>IF(AW47=".",".",up_RadSpec!$F$6*(BW6*$B47))</f>
        <v>35694.621874999997</v>
      </c>
      <c r="BX47" s="94">
        <f>IF(AX47=".",".",up_RadSpec!$F$6*(BX6*$B47))</f>
        <v>35694.621874999997</v>
      </c>
      <c r="BY47" s="94">
        <f>IF(AY47=".",".",up_RadSpec!$F$6*(BY6*$B47))</f>
        <v>35694.621874999997</v>
      </c>
      <c r="BZ47" s="94">
        <f>IF(AZ47=".",".",up_RadSpec!$F$6*(BZ6*$B47))</f>
        <v>35694.621874999997</v>
      </c>
      <c r="CA47" s="94">
        <f>IF(BA47=".",".",up_RadSpec!$F$6*(CA6*$B47))</f>
        <v>35694.621874999997</v>
      </c>
      <c r="CB47" s="94">
        <f>IF(BB47=".",".",up_RadSpec!$F$6*(CB6*$B47))</f>
        <v>35694.621874999997</v>
      </c>
    </row>
    <row r="48" spans="1:80" x14ac:dyDescent="0.25">
      <c r="A48" s="89" t="s">
        <v>21</v>
      </c>
      <c r="B48" s="89" t="s">
        <v>1057</v>
      </c>
      <c r="C48" s="90">
        <f t="shared" ref="C48:AH48" si="62">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1.8365470139782076E-5</v>
      </c>
      <c r="D48" s="90">
        <f t="shared" si="62"/>
        <v>7.3461880559128306E-5</v>
      </c>
      <c r="E48" s="90">
        <f t="shared" si="62"/>
        <v>7.3461880559128306E-5</v>
      </c>
      <c r="F48" s="90">
        <f t="shared" si="62"/>
        <v>7.3461880559128306E-5</v>
      </c>
      <c r="G48" s="90">
        <f t="shared" si="62"/>
        <v>7.3461880559128306E-5</v>
      </c>
      <c r="H48" s="90">
        <f t="shared" si="62"/>
        <v>7.3461880559128306E-5</v>
      </c>
      <c r="I48" s="90">
        <f t="shared" si="62"/>
        <v>7.3461880559128306E-5</v>
      </c>
      <c r="J48" s="90">
        <f t="shared" si="62"/>
        <v>7.3461880559128306E-5</v>
      </c>
      <c r="K48" s="90">
        <f t="shared" si="62"/>
        <v>7.3461880559128306E-5</v>
      </c>
      <c r="L48" s="90">
        <f t="shared" si="62"/>
        <v>7.3461880559128306E-5</v>
      </c>
      <c r="M48" s="90">
        <f t="shared" si="62"/>
        <v>7.3461880559128306E-5</v>
      </c>
      <c r="N48" s="90">
        <f t="shared" si="62"/>
        <v>7.3461880559128306E-5</v>
      </c>
      <c r="O48" s="90">
        <f t="shared" si="62"/>
        <v>7.3461880559128306E-5</v>
      </c>
      <c r="P48" s="90">
        <f t="shared" si="62"/>
        <v>7.3461880559128306E-5</v>
      </c>
      <c r="Q48" s="90">
        <f t="shared" si="62"/>
        <v>7.3461880559128306E-5</v>
      </c>
      <c r="R48" s="90">
        <f t="shared" si="62"/>
        <v>7.3461880559128306E-5</v>
      </c>
      <c r="S48" s="90">
        <f t="shared" si="62"/>
        <v>7.3461880559128306E-5</v>
      </c>
      <c r="T48" s="90">
        <f t="shared" si="62"/>
        <v>7.3461880559128306E-5</v>
      </c>
      <c r="U48" s="90">
        <f t="shared" si="62"/>
        <v>7.3461880559128306E-5</v>
      </c>
      <c r="V48" s="90">
        <f t="shared" si="62"/>
        <v>7.3461880559128306E-5</v>
      </c>
      <c r="W48" s="90">
        <f t="shared" si="62"/>
        <v>7.3461880559128306E-5</v>
      </c>
      <c r="X48" s="90">
        <f t="shared" si="62"/>
        <v>7.3461880559128306E-5</v>
      </c>
      <c r="Y48" s="90">
        <f t="shared" si="62"/>
        <v>7.3461880559128306E-5</v>
      </c>
      <c r="Z48" s="90">
        <f t="shared" si="62"/>
        <v>7.3461880559128306E-5</v>
      </c>
      <c r="AA48" s="90">
        <f t="shared" si="62"/>
        <v>7.3461880559128306E-5</v>
      </c>
      <c r="AB48" s="90">
        <f t="shared" si="62"/>
        <v>7.3461880559128306E-5</v>
      </c>
      <c r="AC48" s="90">
        <f t="shared" si="62"/>
        <v>1.8365470139782076E-5</v>
      </c>
      <c r="AD48" s="90">
        <f t="shared" si="62"/>
        <v>7.3461880559128306E-5</v>
      </c>
      <c r="AE48" s="90">
        <f t="shared" si="62"/>
        <v>7.3461880559128306E-5</v>
      </c>
      <c r="AF48" s="90">
        <f t="shared" si="62"/>
        <v>7.3461880559128306E-5</v>
      </c>
      <c r="AG48" s="90">
        <f t="shared" si="62"/>
        <v>7.3461880559128306E-5</v>
      </c>
      <c r="AH48" s="90">
        <f t="shared" si="62"/>
        <v>7.3461880559128306E-5</v>
      </c>
      <c r="AI48" s="90">
        <f t="shared" ref="AI48:BB48" si="63">IFERROR(1/SUM(IFERROR(1/SUMIF(AI49,"&lt;&gt;.",AI49),0),IFERROR(1/SUMIF(AI50,"&lt;&gt;.",AI50),0),IFERROR(1/SUMIF(AI51,"&lt;&gt;.",AI51),0),IFERROR(1/SUMIF(AI52,"&lt;&gt;.",AI52),0),IFERROR(1/SUMIF(AI53,"&lt;&gt;.",AI53),0),IFERROR(1/SUMIF(AI54,"&lt;&gt;.",AI54),0),IFERROR(1/SUMIF(AI55,"&lt;&gt;.",AI55),0),IFERROR(1/SUMIF(AI56,"&lt;&gt;.",AI56),0),IFERROR(1/SUMIF(AI57,"&lt;&gt;.",AI57),0),IFERROR(1/SUMIF(AI58,"&lt;&gt;.",AI58),0),IFERROR(1/SUMIF(AI59,"&lt;&gt;.",AI59),0),IFERROR(1/SUMIF(AI60,"&lt;&gt;.",AI60),0),IFERROR(1/SUMIF(AI61,"&lt;&gt;.",AI61),0),IFERROR(1/SUMIF(AI62,"&lt;&gt;.",AI62),0)),".")</f>
        <v>7.3461880559128306E-5</v>
      </c>
      <c r="AJ48" s="90">
        <f t="shared" si="63"/>
        <v>7.3461880559128306E-5</v>
      </c>
      <c r="AK48" s="90">
        <f t="shared" si="63"/>
        <v>7.3461880559128306E-5</v>
      </c>
      <c r="AL48" s="90">
        <f t="shared" si="63"/>
        <v>7.3461880559128306E-5</v>
      </c>
      <c r="AM48" s="90">
        <f t="shared" si="63"/>
        <v>7.3461880559128306E-5</v>
      </c>
      <c r="AN48" s="90">
        <f t="shared" si="63"/>
        <v>7.3461880559128306E-5</v>
      </c>
      <c r="AO48" s="90">
        <f t="shared" si="63"/>
        <v>7.3461880559128306E-5</v>
      </c>
      <c r="AP48" s="90">
        <f t="shared" si="63"/>
        <v>7.3461880559128306E-5</v>
      </c>
      <c r="AQ48" s="90">
        <f t="shared" si="63"/>
        <v>7.3461880559128306E-5</v>
      </c>
      <c r="AR48" s="90">
        <f t="shared" si="63"/>
        <v>7.3461880559128306E-5</v>
      </c>
      <c r="AS48" s="90">
        <f t="shared" si="63"/>
        <v>7.3461880559128306E-5</v>
      </c>
      <c r="AT48" s="90">
        <f t="shared" si="63"/>
        <v>7.3461880559128306E-5</v>
      </c>
      <c r="AU48" s="90">
        <f t="shared" si="63"/>
        <v>7.3461880559128306E-5</v>
      </c>
      <c r="AV48" s="90">
        <f t="shared" si="63"/>
        <v>7.3461880559128306E-5</v>
      </c>
      <c r="AW48" s="90">
        <f t="shared" si="63"/>
        <v>7.3461880559128306E-5</v>
      </c>
      <c r="AX48" s="90">
        <f t="shared" si="63"/>
        <v>7.3461880559128306E-5</v>
      </c>
      <c r="AY48" s="90">
        <f t="shared" si="63"/>
        <v>7.3461880559128306E-5</v>
      </c>
      <c r="AZ48" s="90">
        <f t="shared" si="63"/>
        <v>7.3461880559128306E-5</v>
      </c>
      <c r="BA48" s="90">
        <f t="shared" si="63"/>
        <v>7.3461880559128306E-5</v>
      </c>
      <c r="BB48" s="90">
        <f t="shared" si="63"/>
        <v>7.3461880559128306E-5</v>
      </c>
      <c r="BC48" s="91">
        <f>IFERROR(SUM(BD49:BD62,BU49:BU62,CA49:CA62,CB49:CB62),".")</f>
        <v>1361250.2053975</v>
      </c>
      <c r="BD48" s="91">
        <f>IFERROR(SUM(BD49:BD62),".")</f>
        <v>340312.55134937499</v>
      </c>
      <c r="BE48" s="91">
        <f t="shared" ref="BE48:CB48" si="64">IFERROR(SUM(BE49:BE62),".")</f>
        <v>340312.55134937499</v>
      </c>
      <c r="BF48" s="91">
        <f t="shared" si="64"/>
        <v>340312.55134937499</v>
      </c>
      <c r="BG48" s="91">
        <f t="shared" si="64"/>
        <v>340312.55134937499</v>
      </c>
      <c r="BH48" s="91">
        <f t="shared" si="64"/>
        <v>340312.55134937499</v>
      </c>
      <c r="BI48" s="91">
        <f t="shared" si="64"/>
        <v>340312.55134937499</v>
      </c>
      <c r="BJ48" s="91">
        <f t="shared" si="64"/>
        <v>340312.55134937499</v>
      </c>
      <c r="BK48" s="91">
        <f t="shared" si="64"/>
        <v>340312.55134937499</v>
      </c>
      <c r="BL48" s="91">
        <f t="shared" si="64"/>
        <v>340312.55134937499</v>
      </c>
      <c r="BM48" s="91">
        <f t="shared" si="64"/>
        <v>340312.55134937499</v>
      </c>
      <c r="BN48" s="91">
        <f t="shared" si="64"/>
        <v>340312.55134937499</v>
      </c>
      <c r="BO48" s="91">
        <f t="shared" si="64"/>
        <v>340312.55134937499</v>
      </c>
      <c r="BP48" s="91">
        <f t="shared" si="64"/>
        <v>340312.55134937499</v>
      </c>
      <c r="BQ48" s="91">
        <f t="shared" si="64"/>
        <v>340312.55134937499</v>
      </c>
      <c r="BR48" s="91">
        <f t="shared" si="64"/>
        <v>340312.55134937499</v>
      </c>
      <c r="BS48" s="91">
        <f t="shared" si="64"/>
        <v>340312.55134937499</v>
      </c>
      <c r="BT48" s="91">
        <f t="shared" si="64"/>
        <v>340312.55134937499</v>
      </c>
      <c r="BU48" s="91">
        <f t="shared" si="64"/>
        <v>340312.55134937499</v>
      </c>
      <c r="BV48" s="91">
        <f t="shared" si="64"/>
        <v>340312.55134937499</v>
      </c>
      <c r="BW48" s="91">
        <f t="shared" si="64"/>
        <v>340312.55134937499</v>
      </c>
      <c r="BX48" s="91">
        <f t="shared" si="64"/>
        <v>340312.55134937499</v>
      </c>
      <c r="BY48" s="91">
        <f t="shared" si="64"/>
        <v>340312.55134937499</v>
      </c>
      <c r="BZ48" s="91">
        <f t="shared" si="64"/>
        <v>340312.55134937499</v>
      </c>
      <c r="CA48" s="91">
        <f t="shared" si="64"/>
        <v>340312.55134937499</v>
      </c>
      <c r="CB48" s="91">
        <f t="shared" si="64"/>
        <v>340312.55134937499</v>
      </c>
    </row>
    <row r="49" spans="1:80" x14ac:dyDescent="0.25">
      <c r="A49" s="92" t="s">
        <v>1086</v>
      </c>
      <c r="B49" s="84">
        <v>1</v>
      </c>
      <c r="C49" s="93">
        <f t="shared" ref="C49:AH49" si="65">IFERROR(C23/$B49,".")</f>
        <v>1.6528925619834712E-4</v>
      </c>
      <c r="D49" s="93">
        <f t="shared" si="65"/>
        <v>6.6115702479338848E-4</v>
      </c>
      <c r="E49" s="93">
        <f t="shared" si="65"/>
        <v>6.6115702479338848E-4</v>
      </c>
      <c r="F49" s="93">
        <f t="shared" si="65"/>
        <v>6.6115702479338848E-4</v>
      </c>
      <c r="G49" s="93">
        <f t="shared" si="65"/>
        <v>6.6115702479338848E-4</v>
      </c>
      <c r="H49" s="93">
        <f t="shared" si="65"/>
        <v>6.6115702479338848E-4</v>
      </c>
      <c r="I49" s="93">
        <f t="shared" si="65"/>
        <v>6.6115702479338848E-4</v>
      </c>
      <c r="J49" s="93">
        <f t="shared" si="65"/>
        <v>6.6115702479338848E-4</v>
      </c>
      <c r="K49" s="93">
        <f t="shared" si="65"/>
        <v>6.6115702479338848E-4</v>
      </c>
      <c r="L49" s="93">
        <f t="shared" si="65"/>
        <v>6.6115702479338848E-4</v>
      </c>
      <c r="M49" s="93">
        <f t="shared" si="65"/>
        <v>6.6115702479338848E-4</v>
      </c>
      <c r="N49" s="93">
        <f t="shared" si="65"/>
        <v>6.6115702479338848E-4</v>
      </c>
      <c r="O49" s="93">
        <f t="shared" si="65"/>
        <v>6.6115702479338848E-4</v>
      </c>
      <c r="P49" s="93">
        <f t="shared" si="65"/>
        <v>6.6115702479338848E-4</v>
      </c>
      <c r="Q49" s="93">
        <f t="shared" si="65"/>
        <v>6.6115702479338848E-4</v>
      </c>
      <c r="R49" s="93">
        <f t="shared" si="65"/>
        <v>6.6115702479338848E-4</v>
      </c>
      <c r="S49" s="93">
        <f t="shared" si="65"/>
        <v>6.6115702479338848E-4</v>
      </c>
      <c r="T49" s="93">
        <f t="shared" si="65"/>
        <v>6.6115702479338848E-4</v>
      </c>
      <c r="U49" s="93">
        <f t="shared" si="65"/>
        <v>6.6115702479338848E-4</v>
      </c>
      <c r="V49" s="93">
        <f t="shared" si="65"/>
        <v>6.6115702479338848E-4</v>
      </c>
      <c r="W49" s="93">
        <f t="shared" si="65"/>
        <v>6.6115702479338848E-4</v>
      </c>
      <c r="X49" s="93">
        <f t="shared" si="65"/>
        <v>6.6115702479338848E-4</v>
      </c>
      <c r="Y49" s="93">
        <f t="shared" si="65"/>
        <v>6.6115702479338848E-4</v>
      </c>
      <c r="Z49" s="93">
        <f t="shared" si="65"/>
        <v>6.6115702479338848E-4</v>
      </c>
      <c r="AA49" s="93">
        <f t="shared" si="65"/>
        <v>6.6115702479338848E-4</v>
      </c>
      <c r="AB49" s="93">
        <f t="shared" si="65"/>
        <v>6.6115702479338848E-4</v>
      </c>
      <c r="AC49" s="93">
        <f t="shared" si="65"/>
        <v>1.6528925619834712E-4</v>
      </c>
      <c r="AD49" s="93">
        <f t="shared" si="65"/>
        <v>6.6115702479338848E-4</v>
      </c>
      <c r="AE49" s="93">
        <f t="shared" si="65"/>
        <v>6.6115702479338848E-4</v>
      </c>
      <c r="AF49" s="93">
        <f t="shared" si="65"/>
        <v>6.6115702479338848E-4</v>
      </c>
      <c r="AG49" s="93">
        <f t="shared" si="65"/>
        <v>6.6115702479338848E-4</v>
      </c>
      <c r="AH49" s="93">
        <f t="shared" si="65"/>
        <v>6.6115702479338848E-4</v>
      </c>
      <c r="AI49" s="93">
        <f t="shared" ref="AI49:BB49" si="66">IFERROR(AI23/$B49,".")</f>
        <v>6.6115702479338848E-4</v>
      </c>
      <c r="AJ49" s="93">
        <f t="shared" si="66"/>
        <v>6.6115702479338848E-4</v>
      </c>
      <c r="AK49" s="93">
        <f t="shared" si="66"/>
        <v>6.6115702479338848E-4</v>
      </c>
      <c r="AL49" s="93">
        <f t="shared" si="66"/>
        <v>6.6115702479338848E-4</v>
      </c>
      <c r="AM49" s="93">
        <f t="shared" si="66"/>
        <v>6.6115702479338848E-4</v>
      </c>
      <c r="AN49" s="93">
        <f t="shared" si="66"/>
        <v>6.6115702479338848E-4</v>
      </c>
      <c r="AO49" s="93">
        <f t="shared" si="66"/>
        <v>6.6115702479338848E-4</v>
      </c>
      <c r="AP49" s="93">
        <f t="shared" si="66"/>
        <v>6.6115702479338848E-4</v>
      </c>
      <c r="AQ49" s="93">
        <f t="shared" si="66"/>
        <v>6.6115702479338848E-4</v>
      </c>
      <c r="AR49" s="93">
        <f t="shared" si="66"/>
        <v>6.6115702479338848E-4</v>
      </c>
      <c r="AS49" s="93">
        <f t="shared" si="66"/>
        <v>6.6115702479338848E-4</v>
      </c>
      <c r="AT49" s="93">
        <f t="shared" si="66"/>
        <v>6.6115702479338848E-4</v>
      </c>
      <c r="AU49" s="93">
        <f t="shared" si="66"/>
        <v>6.6115702479338848E-4</v>
      </c>
      <c r="AV49" s="93">
        <f t="shared" si="66"/>
        <v>6.6115702479338848E-4</v>
      </c>
      <c r="AW49" s="93">
        <f t="shared" si="66"/>
        <v>6.6115702479338848E-4</v>
      </c>
      <c r="AX49" s="93">
        <f t="shared" si="66"/>
        <v>6.6115702479338848E-4</v>
      </c>
      <c r="AY49" s="93">
        <f t="shared" si="66"/>
        <v>6.6115702479338848E-4</v>
      </c>
      <c r="AZ49" s="93">
        <f t="shared" si="66"/>
        <v>6.6115702479338848E-4</v>
      </c>
      <c r="BA49" s="93">
        <f t="shared" si="66"/>
        <v>6.6115702479338848E-4</v>
      </c>
      <c r="BB49" s="93">
        <f t="shared" si="66"/>
        <v>6.6115702479338848E-4</v>
      </c>
      <c r="BC49" s="94">
        <f t="shared" ref="BC49:BC62" si="67">IF(AND(BD49&lt;&gt;".",BU49&lt;&gt;".",CA49&lt;&gt;".",CB49&lt;&gt;"."),SUM(BD49,BU49,CA49:CB49),".")</f>
        <v>151250</v>
      </c>
      <c r="BD49" s="94">
        <f>IF(AD49=".",".",up_RadSpec!$F$23*(BD23*$B49))</f>
        <v>37812.5</v>
      </c>
      <c r="BE49" s="94">
        <f>IF(AE49=".",".",up_RadSpec!$F$23*(BE23*$B49))</f>
        <v>37812.5</v>
      </c>
      <c r="BF49" s="94">
        <f>IF(AF49=".",".",up_RadSpec!$F$23*(BF23*$B49))</f>
        <v>37812.5</v>
      </c>
      <c r="BG49" s="94">
        <f>IF(AG49=".",".",up_RadSpec!$F$23*(BG23*$B49))</f>
        <v>37812.5</v>
      </c>
      <c r="BH49" s="94">
        <f>IF(AH49=".",".",up_RadSpec!$F$23*(BH23*$B49))</f>
        <v>37812.5</v>
      </c>
      <c r="BI49" s="94">
        <f>IF(AI49=".",".",up_RadSpec!$F$23*(BI23*$B49))</f>
        <v>37812.5</v>
      </c>
      <c r="BJ49" s="94">
        <f>IF(AJ49=".",".",up_RadSpec!$F$23*(BJ23*$B49))</f>
        <v>37812.5</v>
      </c>
      <c r="BK49" s="94">
        <f>IF(AK49=".",".",up_RadSpec!$F$23*(BK23*$B49))</f>
        <v>37812.5</v>
      </c>
      <c r="BL49" s="94">
        <f>IF(AL49=".",".",up_RadSpec!$F$23*(BL23*$B49))</f>
        <v>37812.5</v>
      </c>
      <c r="BM49" s="94">
        <f>IF(AM49=".",".",up_RadSpec!$F$23*(BM23*$B49))</f>
        <v>37812.5</v>
      </c>
      <c r="BN49" s="94">
        <f>IF(AN49=".",".",up_RadSpec!$F$23*(BN23*$B49))</f>
        <v>37812.5</v>
      </c>
      <c r="BO49" s="94">
        <f>IF(AO49=".",".",up_RadSpec!$F$23*(BO23*$B49))</f>
        <v>37812.5</v>
      </c>
      <c r="BP49" s="94">
        <f>IF(AP49=".",".",up_RadSpec!$F$23*(BP23*$B49))</f>
        <v>37812.5</v>
      </c>
      <c r="BQ49" s="94">
        <f>IF(AQ49=".",".",up_RadSpec!$F$23*(BQ23*$B49))</f>
        <v>37812.5</v>
      </c>
      <c r="BR49" s="94">
        <f>IF(AR49=".",".",up_RadSpec!$F$23*(BR23*$B49))</f>
        <v>37812.5</v>
      </c>
      <c r="BS49" s="94">
        <f>IF(AS49=".",".",up_RadSpec!$F$23*(BS23*$B49))</f>
        <v>37812.5</v>
      </c>
      <c r="BT49" s="94">
        <f>IF(AT49=".",".",up_RadSpec!$F$23*(BT23*$B49))</f>
        <v>37812.5</v>
      </c>
      <c r="BU49" s="94">
        <f>IF(AU49=".",".",up_RadSpec!$F$23*(BU23*$B49))</f>
        <v>37812.5</v>
      </c>
      <c r="BV49" s="94">
        <f>IF(AV49=".",".",up_RadSpec!$F$23*(BV23*$B49))</f>
        <v>37812.5</v>
      </c>
      <c r="BW49" s="94">
        <f>IF(AW49=".",".",up_RadSpec!$F$23*(BW23*$B49))</f>
        <v>37812.5</v>
      </c>
      <c r="BX49" s="94">
        <f>IF(AX49=".",".",up_RadSpec!$F$23*(BX23*$B49))</f>
        <v>37812.5</v>
      </c>
      <c r="BY49" s="94">
        <f>IF(AY49=".",".",up_RadSpec!$F$23*(BY23*$B49))</f>
        <v>37812.5</v>
      </c>
      <c r="BZ49" s="94">
        <f>IF(AZ49=".",".",up_RadSpec!$F$23*(BZ23*$B49))</f>
        <v>37812.5</v>
      </c>
      <c r="CA49" s="94">
        <f>IF(BA49=".",".",up_RadSpec!$F$23*(CA23*$B49))</f>
        <v>37812.5</v>
      </c>
      <c r="CB49" s="94">
        <f>IF(BB49=".",".",up_RadSpec!$F$23*(CB23*$B49))</f>
        <v>37812.5</v>
      </c>
    </row>
    <row r="50" spans="1:80" x14ac:dyDescent="0.25">
      <c r="A50" s="92" t="s">
        <v>1073</v>
      </c>
      <c r="B50" s="84">
        <v>1</v>
      </c>
      <c r="C50" s="93">
        <f t="shared" ref="C50:AH50" si="68">IFERROR(C25/$B50,".")</f>
        <v>1.6528925619834712E-4</v>
      </c>
      <c r="D50" s="93">
        <f t="shared" si="68"/>
        <v>6.6115702479338848E-4</v>
      </c>
      <c r="E50" s="93">
        <f t="shared" si="68"/>
        <v>6.6115702479338848E-4</v>
      </c>
      <c r="F50" s="93">
        <f t="shared" si="68"/>
        <v>6.6115702479338848E-4</v>
      </c>
      <c r="G50" s="93">
        <f t="shared" si="68"/>
        <v>6.6115702479338848E-4</v>
      </c>
      <c r="H50" s="93">
        <f t="shared" si="68"/>
        <v>6.6115702479338848E-4</v>
      </c>
      <c r="I50" s="93">
        <f t="shared" si="68"/>
        <v>6.6115702479338848E-4</v>
      </c>
      <c r="J50" s="93">
        <f t="shared" si="68"/>
        <v>6.6115702479338848E-4</v>
      </c>
      <c r="K50" s="93">
        <f t="shared" si="68"/>
        <v>6.6115702479338848E-4</v>
      </c>
      <c r="L50" s="93">
        <f t="shared" si="68"/>
        <v>6.6115702479338848E-4</v>
      </c>
      <c r="M50" s="93">
        <f t="shared" si="68"/>
        <v>6.6115702479338848E-4</v>
      </c>
      <c r="N50" s="93">
        <f t="shared" si="68"/>
        <v>6.6115702479338848E-4</v>
      </c>
      <c r="O50" s="93">
        <f t="shared" si="68"/>
        <v>6.6115702479338848E-4</v>
      </c>
      <c r="P50" s="93">
        <f t="shared" si="68"/>
        <v>6.6115702479338848E-4</v>
      </c>
      <c r="Q50" s="93">
        <f t="shared" si="68"/>
        <v>6.6115702479338848E-4</v>
      </c>
      <c r="R50" s="93">
        <f t="shared" si="68"/>
        <v>6.6115702479338848E-4</v>
      </c>
      <c r="S50" s="93">
        <f t="shared" si="68"/>
        <v>6.6115702479338848E-4</v>
      </c>
      <c r="T50" s="93">
        <f t="shared" si="68"/>
        <v>6.6115702479338848E-4</v>
      </c>
      <c r="U50" s="93">
        <f t="shared" si="68"/>
        <v>6.6115702479338848E-4</v>
      </c>
      <c r="V50" s="93">
        <f t="shared" si="68"/>
        <v>6.6115702479338848E-4</v>
      </c>
      <c r="W50" s="93">
        <f t="shared" si="68"/>
        <v>6.6115702479338848E-4</v>
      </c>
      <c r="X50" s="93">
        <f t="shared" si="68"/>
        <v>6.6115702479338848E-4</v>
      </c>
      <c r="Y50" s="93">
        <f t="shared" si="68"/>
        <v>6.6115702479338848E-4</v>
      </c>
      <c r="Z50" s="93">
        <f t="shared" si="68"/>
        <v>6.6115702479338848E-4</v>
      </c>
      <c r="AA50" s="93">
        <f t="shared" si="68"/>
        <v>6.6115702479338848E-4</v>
      </c>
      <c r="AB50" s="93">
        <f t="shared" si="68"/>
        <v>6.6115702479338848E-4</v>
      </c>
      <c r="AC50" s="93">
        <f t="shared" si="68"/>
        <v>1.6528925619834712E-4</v>
      </c>
      <c r="AD50" s="93">
        <f t="shared" si="68"/>
        <v>6.6115702479338848E-4</v>
      </c>
      <c r="AE50" s="93">
        <f t="shared" si="68"/>
        <v>6.6115702479338848E-4</v>
      </c>
      <c r="AF50" s="93">
        <f t="shared" si="68"/>
        <v>6.6115702479338848E-4</v>
      </c>
      <c r="AG50" s="93">
        <f t="shared" si="68"/>
        <v>6.6115702479338848E-4</v>
      </c>
      <c r="AH50" s="93">
        <f t="shared" si="68"/>
        <v>6.6115702479338848E-4</v>
      </c>
      <c r="AI50" s="93">
        <f t="shared" ref="AI50:BB50" si="69">IFERROR(AI25/$B50,".")</f>
        <v>6.6115702479338848E-4</v>
      </c>
      <c r="AJ50" s="93">
        <f t="shared" si="69"/>
        <v>6.6115702479338848E-4</v>
      </c>
      <c r="AK50" s="93">
        <f t="shared" si="69"/>
        <v>6.6115702479338848E-4</v>
      </c>
      <c r="AL50" s="93">
        <f t="shared" si="69"/>
        <v>6.6115702479338848E-4</v>
      </c>
      <c r="AM50" s="93">
        <f t="shared" si="69"/>
        <v>6.6115702479338848E-4</v>
      </c>
      <c r="AN50" s="93">
        <f t="shared" si="69"/>
        <v>6.6115702479338848E-4</v>
      </c>
      <c r="AO50" s="93">
        <f t="shared" si="69"/>
        <v>6.6115702479338848E-4</v>
      </c>
      <c r="AP50" s="93">
        <f t="shared" si="69"/>
        <v>6.6115702479338848E-4</v>
      </c>
      <c r="AQ50" s="93">
        <f t="shared" si="69"/>
        <v>6.6115702479338848E-4</v>
      </c>
      <c r="AR50" s="93">
        <f t="shared" si="69"/>
        <v>6.6115702479338848E-4</v>
      </c>
      <c r="AS50" s="93">
        <f t="shared" si="69"/>
        <v>6.6115702479338848E-4</v>
      </c>
      <c r="AT50" s="93">
        <f t="shared" si="69"/>
        <v>6.6115702479338848E-4</v>
      </c>
      <c r="AU50" s="93">
        <f t="shared" si="69"/>
        <v>6.6115702479338848E-4</v>
      </c>
      <c r="AV50" s="93">
        <f t="shared" si="69"/>
        <v>6.6115702479338848E-4</v>
      </c>
      <c r="AW50" s="93">
        <f t="shared" si="69"/>
        <v>6.6115702479338848E-4</v>
      </c>
      <c r="AX50" s="93">
        <f t="shared" si="69"/>
        <v>6.6115702479338848E-4</v>
      </c>
      <c r="AY50" s="93">
        <f t="shared" si="69"/>
        <v>6.6115702479338848E-4</v>
      </c>
      <c r="AZ50" s="93">
        <f t="shared" si="69"/>
        <v>6.6115702479338848E-4</v>
      </c>
      <c r="BA50" s="93">
        <f t="shared" si="69"/>
        <v>6.6115702479338848E-4</v>
      </c>
      <c r="BB50" s="93">
        <f t="shared" si="69"/>
        <v>6.6115702479338848E-4</v>
      </c>
      <c r="BC50" s="94">
        <f t="shared" si="67"/>
        <v>151250</v>
      </c>
      <c r="BD50" s="94">
        <f>IF(AD50=".",".",up_RadSpec!$F$25*(BD25*$B50))</f>
        <v>37812.5</v>
      </c>
      <c r="BE50" s="94">
        <f>IF(AE50=".",".",up_RadSpec!$F$25*(BE25*$B50))</f>
        <v>37812.5</v>
      </c>
      <c r="BF50" s="94">
        <f>IF(AF50=".",".",up_RadSpec!$F$25*(BF25*$B50))</f>
        <v>37812.5</v>
      </c>
      <c r="BG50" s="94">
        <f>IF(AG50=".",".",up_RadSpec!$F$25*(BG25*$B50))</f>
        <v>37812.5</v>
      </c>
      <c r="BH50" s="94">
        <f>IF(AH50=".",".",up_RadSpec!$F$25*(BH25*$B50))</f>
        <v>37812.5</v>
      </c>
      <c r="BI50" s="94">
        <f>IF(AI50=".",".",up_RadSpec!$F$25*(BI25*$B50))</f>
        <v>37812.5</v>
      </c>
      <c r="BJ50" s="94">
        <f>IF(AJ50=".",".",up_RadSpec!$F$25*(BJ25*$B50))</f>
        <v>37812.5</v>
      </c>
      <c r="BK50" s="94">
        <f>IF(AK50=".",".",up_RadSpec!$F$25*(BK25*$B50))</f>
        <v>37812.5</v>
      </c>
      <c r="BL50" s="94">
        <f>IF(AL50=".",".",up_RadSpec!$F$25*(BL25*$B50))</f>
        <v>37812.5</v>
      </c>
      <c r="BM50" s="94">
        <f>IF(AM50=".",".",up_RadSpec!$F$25*(BM25*$B50))</f>
        <v>37812.5</v>
      </c>
      <c r="BN50" s="94">
        <f>IF(AN50=".",".",up_RadSpec!$F$25*(BN25*$B50))</f>
        <v>37812.5</v>
      </c>
      <c r="BO50" s="94">
        <f>IF(AO50=".",".",up_RadSpec!$F$25*(BO25*$B50))</f>
        <v>37812.5</v>
      </c>
      <c r="BP50" s="94">
        <f>IF(AP50=".",".",up_RadSpec!$F$25*(BP25*$B50))</f>
        <v>37812.5</v>
      </c>
      <c r="BQ50" s="94">
        <f>IF(AQ50=".",".",up_RadSpec!$F$25*(BQ25*$B50))</f>
        <v>37812.5</v>
      </c>
      <c r="BR50" s="94">
        <f>IF(AR50=".",".",up_RadSpec!$F$25*(BR25*$B50))</f>
        <v>37812.5</v>
      </c>
      <c r="BS50" s="94">
        <f>IF(AS50=".",".",up_RadSpec!$F$25*(BS25*$B50))</f>
        <v>37812.5</v>
      </c>
      <c r="BT50" s="94">
        <f>IF(AT50=".",".",up_RadSpec!$F$25*(BT25*$B50))</f>
        <v>37812.5</v>
      </c>
      <c r="BU50" s="94">
        <f>IF(AU50=".",".",up_RadSpec!$F$25*(BU25*$B50))</f>
        <v>37812.5</v>
      </c>
      <c r="BV50" s="94">
        <f>IF(AV50=".",".",up_RadSpec!$F$25*(BV25*$B50))</f>
        <v>37812.5</v>
      </c>
      <c r="BW50" s="94">
        <f>IF(AW50=".",".",up_RadSpec!$F$25*(BW25*$B50))</f>
        <v>37812.5</v>
      </c>
      <c r="BX50" s="94">
        <f>IF(AX50=".",".",up_RadSpec!$F$25*(BX25*$B50))</f>
        <v>37812.5</v>
      </c>
      <c r="BY50" s="94">
        <f>IF(AY50=".",".",up_RadSpec!$F$25*(BY25*$B50))</f>
        <v>37812.5</v>
      </c>
      <c r="BZ50" s="94">
        <f>IF(AZ50=".",".",up_RadSpec!$F$25*(BZ25*$B50))</f>
        <v>37812.5</v>
      </c>
      <c r="CA50" s="94">
        <f>IF(BA50=".",".",up_RadSpec!$F$25*(CA25*$B50))</f>
        <v>37812.5</v>
      </c>
      <c r="CB50" s="94">
        <f>IF(BB50=".",".",up_RadSpec!$F$25*(CB25*$B50))</f>
        <v>37812.5</v>
      </c>
    </row>
    <row r="51" spans="1:80" x14ac:dyDescent="0.25">
      <c r="A51" s="92" t="s">
        <v>1059</v>
      </c>
      <c r="B51" s="84">
        <v>1</v>
      </c>
      <c r="C51" s="93">
        <f t="shared" ref="C51:AH51" si="70">IFERROR(C21/$B51,".")</f>
        <v>1.6528925619834712E-4</v>
      </c>
      <c r="D51" s="93">
        <f t="shared" si="70"/>
        <v>6.6115702479338848E-4</v>
      </c>
      <c r="E51" s="93">
        <f t="shared" si="70"/>
        <v>6.6115702479338848E-4</v>
      </c>
      <c r="F51" s="93">
        <f t="shared" si="70"/>
        <v>6.6115702479338848E-4</v>
      </c>
      <c r="G51" s="93">
        <f t="shared" si="70"/>
        <v>6.6115702479338848E-4</v>
      </c>
      <c r="H51" s="93">
        <f t="shared" si="70"/>
        <v>6.6115702479338848E-4</v>
      </c>
      <c r="I51" s="93">
        <f t="shared" si="70"/>
        <v>6.6115702479338848E-4</v>
      </c>
      <c r="J51" s="93">
        <f t="shared" si="70"/>
        <v>6.6115702479338848E-4</v>
      </c>
      <c r="K51" s="93">
        <f t="shared" si="70"/>
        <v>6.6115702479338848E-4</v>
      </c>
      <c r="L51" s="93">
        <f t="shared" si="70"/>
        <v>6.6115702479338848E-4</v>
      </c>
      <c r="M51" s="93">
        <f t="shared" si="70"/>
        <v>6.6115702479338848E-4</v>
      </c>
      <c r="N51" s="93">
        <f t="shared" si="70"/>
        <v>6.6115702479338848E-4</v>
      </c>
      <c r="O51" s="93">
        <f t="shared" si="70"/>
        <v>6.6115702479338848E-4</v>
      </c>
      <c r="P51" s="93">
        <f t="shared" si="70"/>
        <v>6.6115702479338848E-4</v>
      </c>
      <c r="Q51" s="93">
        <f t="shared" si="70"/>
        <v>6.6115702479338848E-4</v>
      </c>
      <c r="R51" s="93">
        <f t="shared" si="70"/>
        <v>6.6115702479338848E-4</v>
      </c>
      <c r="S51" s="93">
        <f t="shared" si="70"/>
        <v>6.6115702479338848E-4</v>
      </c>
      <c r="T51" s="93">
        <f t="shared" si="70"/>
        <v>6.6115702479338848E-4</v>
      </c>
      <c r="U51" s="93">
        <f t="shared" si="70"/>
        <v>6.6115702479338848E-4</v>
      </c>
      <c r="V51" s="93">
        <f t="shared" si="70"/>
        <v>6.6115702479338848E-4</v>
      </c>
      <c r="W51" s="93">
        <f t="shared" si="70"/>
        <v>6.6115702479338848E-4</v>
      </c>
      <c r="X51" s="93">
        <f t="shared" si="70"/>
        <v>6.6115702479338848E-4</v>
      </c>
      <c r="Y51" s="93">
        <f t="shared" si="70"/>
        <v>6.6115702479338848E-4</v>
      </c>
      <c r="Z51" s="93">
        <f t="shared" si="70"/>
        <v>6.6115702479338848E-4</v>
      </c>
      <c r="AA51" s="93">
        <f t="shared" si="70"/>
        <v>6.6115702479338848E-4</v>
      </c>
      <c r="AB51" s="93">
        <f t="shared" si="70"/>
        <v>6.6115702479338848E-4</v>
      </c>
      <c r="AC51" s="93">
        <f t="shared" si="70"/>
        <v>1.6528925619834712E-4</v>
      </c>
      <c r="AD51" s="93">
        <f t="shared" si="70"/>
        <v>6.6115702479338848E-4</v>
      </c>
      <c r="AE51" s="93">
        <f t="shared" si="70"/>
        <v>6.6115702479338848E-4</v>
      </c>
      <c r="AF51" s="93">
        <f t="shared" si="70"/>
        <v>6.6115702479338848E-4</v>
      </c>
      <c r="AG51" s="93">
        <f t="shared" si="70"/>
        <v>6.6115702479338848E-4</v>
      </c>
      <c r="AH51" s="93">
        <f t="shared" si="70"/>
        <v>6.6115702479338848E-4</v>
      </c>
      <c r="AI51" s="93">
        <f t="shared" ref="AI51:BB51" si="71">IFERROR(AI21/$B51,".")</f>
        <v>6.6115702479338848E-4</v>
      </c>
      <c r="AJ51" s="93">
        <f t="shared" si="71"/>
        <v>6.6115702479338848E-4</v>
      </c>
      <c r="AK51" s="93">
        <f t="shared" si="71"/>
        <v>6.6115702479338848E-4</v>
      </c>
      <c r="AL51" s="93">
        <f t="shared" si="71"/>
        <v>6.6115702479338848E-4</v>
      </c>
      <c r="AM51" s="93">
        <f t="shared" si="71"/>
        <v>6.6115702479338848E-4</v>
      </c>
      <c r="AN51" s="93">
        <f t="shared" si="71"/>
        <v>6.6115702479338848E-4</v>
      </c>
      <c r="AO51" s="93">
        <f t="shared" si="71"/>
        <v>6.6115702479338848E-4</v>
      </c>
      <c r="AP51" s="93">
        <f t="shared" si="71"/>
        <v>6.6115702479338848E-4</v>
      </c>
      <c r="AQ51" s="93">
        <f t="shared" si="71"/>
        <v>6.6115702479338848E-4</v>
      </c>
      <c r="AR51" s="93">
        <f t="shared" si="71"/>
        <v>6.6115702479338848E-4</v>
      </c>
      <c r="AS51" s="93">
        <f t="shared" si="71"/>
        <v>6.6115702479338848E-4</v>
      </c>
      <c r="AT51" s="93">
        <f t="shared" si="71"/>
        <v>6.6115702479338848E-4</v>
      </c>
      <c r="AU51" s="93">
        <f t="shared" si="71"/>
        <v>6.6115702479338848E-4</v>
      </c>
      <c r="AV51" s="93">
        <f t="shared" si="71"/>
        <v>6.6115702479338848E-4</v>
      </c>
      <c r="AW51" s="93">
        <f t="shared" si="71"/>
        <v>6.6115702479338848E-4</v>
      </c>
      <c r="AX51" s="93">
        <f t="shared" si="71"/>
        <v>6.6115702479338848E-4</v>
      </c>
      <c r="AY51" s="93">
        <f t="shared" si="71"/>
        <v>6.6115702479338848E-4</v>
      </c>
      <c r="AZ51" s="93">
        <f t="shared" si="71"/>
        <v>6.6115702479338848E-4</v>
      </c>
      <c r="BA51" s="93">
        <f t="shared" si="71"/>
        <v>6.6115702479338848E-4</v>
      </c>
      <c r="BB51" s="93">
        <f t="shared" si="71"/>
        <v>6.6115702479338848E-4</v>
      </c>
      <c r="BC51" s="94">
        <f t="shared" si="67"/>
        <v>151250</v>
      </c>
      <c r="BD51" s="94">
        <f>IF(AD51=".",".",up_RadSpec!$F$21*(BD21*$B51))</f>
        <v>37812.5</v>
      </c>
      <c r="BE51" s="94">
        <f>IF(AE51=".",".",up_RadSpec!$F$21*(BE21*$B51))</f>
        <v>37812.5</v>
      </c>
      <c r="BF51" s="94">
        <f>IF(AF51=".",".",up_RadSpec!$F$21*(BF21*$B51))</f>
        <v>37812.5</v>
      </c>
      <c r="BG51" s="94">
        <f>IF(AG51=".",".",up_RadSpec!$F$21*(BG21*$B51))</f>
        <v>37812.5</v>
      </c>
      <c r="BH51" s="94">
        <f>IF(AH51=".",".",up_RadSpec!$F$21*(BH21*$B51))</f>
        <v>37812.5</v>
      </c>
      <c r="BI51" s="94">
        <f>IF(AI51=".",".",up_RadSpec!$F$21*(BI21*$B51))</f>
        <v>37812.5</v>
      </c>
      <c r="BJ51" s="94">
        <f>IF(AJ51=".",".",up_RadSpec!$F$21*(BJ21*$B51))</f>
        <v>37812.5</v>
      </c>
      <c r="BK51" s="94">
        <f>IF(AK51=".",".",up_RadSpec!$F$21*(BK21*$B51))</f>
        <v>37812.5</v>
      </c>
      <c r="BL51" s="94">
        <f>IF(AL51=".",".",up_RadSpec!$F$21*(BL21*$B51))</f>
        <v>37812.5</v>
      </c>
      <c r="BM51" s="94">
        <f>IF(AM51=".",".",up_RadSpec!$F$21*(BM21*$B51))</f>
        <v>37812.5</v>
      </c>
      <c r="BN51" s="94">
        <f>IF(AN51=".",".",up_RadSpec!$F$21*(BN21*$B51))</f>
        <v>37812.5</v>
      </c>
      <c r="BO51" s="94">
        <f>IF(AO51=".",".",up_RadSpec!$F$21*(BO21*$B51))</f>
        <v>37812.5</v>
      </c>
      <c r="BP51" s="94">
        <f>IF(AP51=".",".",up_RadSpec!$F$21*(BP21*$B51))</f>
        <v>37812.5</v>
      </c>
      <c r="BQ51" s="94">
        <f>IF(AQ51=".",".",up_RadSpec!$F$21*(BQ21*$B51))</f>
        <v>37812.5</v>
      </c>
      <c r="BR51" s="94">
        <f>IF(AR51=".",".",up_RadSpec!$F$21*(BR21*$B51))</f>
        <v>37812.5</v>
      </c>
      <c r="BS51" s="94">
        <f>IF(AS51=".",".",up_RadSpec!$F$21*(BS21*$B51))</f>
        <v>37812.5</v>
      </c>
      <c r="BT51" s="94">
        <f>IF(AT51=".",".",up_RadSpec!$F$21*(BT21*$B51))</f>
        <v>37812.5</v>
      </c>
      <c r="BU51" s="94">
        <f>IF(AU51=".",".",up_RadSpec!$F$21*(BU21*$B51))</f>
        <v>37812.5</v>
      </c>
      <c r="BV51" s="94">
        <f>IF(AV51=".",".",up_RadSpec!$F$21*(BV21*$B51))</f>
        <v>37812.5</v>
      </c>
      <c r="BW51" s="94">
        <f>IF(AW51=".",".",up_RadSpec!$F$21*(BW21*$B51))</f>
        <v>37812.5</v>
      </c>
      <c r="BX51" s="94">
        <f>IF(AX51=".",".",up_RadSpec!$F$21*(BX21*$B51))</f>
        <v>37812.5</v>
      </c>
      <c r="BY51" s="94">
        <f>IF(AY51=".",".",up_RadSpec!$F$21*(BY21*$B51))</f>
        <v>37812.5</v>
      </c>
      <c r="BZ51" s="94">
        <f>IF(AZ51=".",".",up_RadSpec!$F$21*(BZ21*$B51))</f>
        <v>37812.5</v>
      </c>
      <c r="CA51" s="94">
        <f>IF(BA51=".",".",up_RadSpec!$F$21*(CA21*$B51))</f>
        <v>37812.5</v>
      </c>
      <c r="CB51" s="94">
        <f>IF(BB51=".",".",up_RadSpec!$F$21*(CB21*$B51))</f>
        <v>37812.5</v>
      </c>
    </row>
    <row r="52" spans="1:80" x14ac:dyDescent="0.25">
      <c r="A52" s="92" t="s">
        <v>1060</v>
      </c>
      <c r="B52" s="96">
        <v>0.99980000000000002</v>
      </c>
      <c r="C52" s="93">
        <f t="shared" ref="C52:AH52" si="72">IFERROR(C17/$B52,".")</f>
        <v>1.6532232066247962E-4</v>
      </c>
      <c r="D52" s="93">
        <f t="shared" si="72"/>
        <v>6.6128928264991846E-4</v>
      </c>
      <c r="E52" s="93">
        <f t="shared" si="72"/>
        <v>6.6128928264991846E-4</v>
      </c>
      <c r="F52" s="93">
        <f t="shared" si="72"/>
        <v>6.6128928264991846E-4</v>
      </c>
      <c r="G52" s="93">
        <f t="shared" si="72"/>
        <v>6.6128928264991846E-4</v>
      </c>
      <c r="H52" s="93">
        <f t="shared" si="72"/>
        <v>6.6128928264991846E-4</v>
      </c>
      <c r="I52" s="93">
        <f t="shared" si="72"/>
        <v>6.6128928264991846E-4</v>
      </c>
      <c r="J52" s="93">
        <f t="shared" si="72"/>
        <v>6.6128928264991846E-4</v>
      </c>
      <c r="K52" s="93">
        <f t="shared" si="72"/>
        <v>6.6128928264991846E-4</v>
      </c>
      <c r="L52" s="93">
        <f t="shared" si="72"/>
        <v>6.6128928264991846E-4</v>
      </c>
      <c r="M52" s="93">
        <f t="shared" si="72"/>
        <v>6.6128928264991846E-4</v>
      </c>
      <c r="N52" s="93">
        <f t="shared" si="72"/>
        <v>6.6128928264991846E-4</v>
      </c>
      <c r="O52" s="93">
        <f t="shared" si="72"/>
        <v>6.6128928264991846E-4</v>
      </c>
      <c r="P52" s="93">
        <f t="shared" si="72"/>
        <v>6.6128928264991846E-4</v>
      </c>
      <c r="Q52" s="93">
        <f t="shared" si="72"/>
        <v>6.6128928264991846E-4</v>
      </c>
      <c r="R52" s="93">
        <f t="shared" si="72"/>
        <v>6.6128928264991846E-4</v>
      </c>
      <c r="S52" s="93">
        <f t="shared" si="72"/>
        <v>6.6128928264991846E-4</v>
      </c>
      <c r="T52" s="93">
        <f t="shared" si="72"/>
        <v>6.6128928264991846E-4</v>
      </c>
      <c r="U52" s="93">
        <f t="shared" si="72"/>
        <v>6.6128928264991846E-4</v>
      </c>
      <c r="V52" s="93">
        <f t="shared" si="72"/>
        <v>6.6128928264991846E-4</v>
      </c>
      <c r="W52" s="93">
        <f t="shared" si="72"/>
        <v>6.6128928264991846E-4</v>
      </c>
      <c r="X52" s="93">
        <f t="shared" si="72"/>
        <v>6.6128928264991846E-4</v>
      </c>
      <c r="Y52" s="93">
        <f t="shared" si="72"/>
        <v>6.6128928264991846E-4</v>
      </c>
      <c r="Z52" s="93">
        <f t="shared" si="72"/>
        <v>6.6128928264991846E-4</v>
      </c>
      <c r="AA52" s="93">
        <f t="shared" si="72"/>
        <v>6.6128928264991846E-4</v>
      </c>
      <c r="AB52" s="93">
        <f t="shared" si="72"/>
        <v>6.6128928264991846E-4</v>
      </c>
      <c r="AC52" s="93">
        <f t="shared" si="72"/>
        <v>1.6532232066247962E-4</v>
      </c>
      <c r="AD52" s="93">
        <f t="shared" si="72"/>
        <v>6.6128928264991846E-4</v>
      </c>
      <c r="AE52" s="93">
        <f t="shared" si="72"/>
        <v>6.6128928264991846E-4</v>
      </c>
      <c r="AF52" s="93">
        <f t="shared" si="72"/>
        <v>6.6128928264991846E-4</v>
      </c>
      <c r="AG52" s="93">
        <f t="shared" si="72"/>
        <v>6.6128928264991846E-4</v>
      </c>
      <c r="AH52" s="93">
        <f t="shared" si="72"/>
        <v>6.6128928264991846E-4</v>
      </c>
      <c r="AI52" s="93">
        <f t="shared" ref="AI52:BB52" si="73">IFERROR(AI17/$B52,".")</f>
        <v>6.6128928264991846E-4</v>
      </c>
      <c r="AJ52" s="93">
        <f t="shared" si="73"/>
        <v>6.6128928264991846E-4</v>
      </c>
      <c r="AK52" s="93">
        <f t="shared" si="73"/>
        <v>6.6128928264991846E-4</v>
      </c>
      <c r="AL52" s="93">
        <f t="shared" si="73"/>
        <v>6.6128928264991846E-4</v>
      </c>
      <c r="AM52" s="93">
        <f t="shared" si="73"/>
        <v>6.6128928264991846E-4</v>
      </c>
      <c r="AN52" s="93">
        <f t="shared" si="73"/>
        <v>6.6128928264991846E-4</v>
      </c>
      <c r="AO52" s="93">
        <f t="shared" si="73"/>
        <v>6.6128928264991846E-4</v>
      </c>
      <c r="AP52" s="93">
        <f t="shared" si="73"/>
        <v>6.6128928264991846E-4</v>
      </c>
      <c r="AQ52" s="93">
        <f t="shared" si="73"/>
        <v>6.6128928264991846E-4</v>
      </c>
      <c r="AR52" s="93">
        <f t="shared" si="73"/>
        <v>6.6128928264991846E-4</v>
      </c>
      <c r="AS52" s="93">
        <f t="shared" si="73"/>
        <v>6.6128928264991846E-4</v>
      </c>
      <c r="AT52" s="93">
        <f t="shared" si="73"/>
        <v>6.6128928264991846E-4</v>
      </c>
      <c r="AU52" s="93">
        <f t="shared" si="73"/>
        <v>6.6128928264991846E-4</v>
      </c>
      <c r="AV52" s="93">
        <f t="shared" si="73"/>
        <v>6.6128928264991846E-4</v>
      </c>
      <c r="AW52" s="93">
        <f t="shared" si="73"/>
        <v>6.6128928264991846E-4</v>
      </c>
      <c r="AX52" s="93">
        <f t="shared" si="73"/>
        <v>6.6128928264991846E-4</v>
      </c>
      <c r="AY52" s="93">
        <f t="shared" si="73"/>
        <v>6.6128928264991846E-4</v>
      </c>
      <c r="AZ52" s="93">
        <f t="shared" si="73"/>
        <v>6.6128928264991846E-4</v>
      </c>
      <c r="BA52" s="93">
        <f t="shared" si="73"/>
        <v>6.6128928264991846E-4</v>
      </c>
      <c r="BB52" s="93">
        <f t="shared" si="73"/>
        <v>6.6128928264991846E-4</v>
      </c>
      <c r="BC52" s="94">
        <f t="shared" si="67"/>
        <v>151219.75</v>
      </c>
      <c r="BD52" s="94">
        <f>IF(AD52=".",".",up_RadSpec!$F$17*(BD17*$B52))</f>
        <v>37804.9375</v>
      </c>
      <c r="BE52" s="94">
        <f>IF(AE52=".",".",up_RadSpec!$F$17*(BE17*$B52))</f>
        <v>37804.9375</v>
      </c>
      <c r="BF52" s="94">
        <f>IF(AF52=".",".",up_RadSpec!$F$17*(BF17*$B52))</f>
        <v>37804.9375</v>
      </c>
      <c r="BG52" s="94">
        <f>IF(AG52=".",".",up_RadSpec!$F$17*(BG17*$B52))</f>
        <v>37804.9375</v>
      </c>
      <c r="BH52" s="94">
        <f>IF(AH52=".",".",up_RadSpec!$F$17*(BH17*$B52))</f>
        <v>37804.9375</v>
      </c>
      <c r="BI52" s="94">
        <f>IF(AI52=".",".",up_RadSpec!$F$17*(BI17*$B52))</f>
        <v>37804.9375</v>
      </c>
      <c r="BJ52" s="94">
        <f>IF(AJ52=".",".",up_RadSpec!$F$17*(BJ17*$B52))</f>
        <v>37804.9375</v>
      </c>
      <c r="BK52" s="94">
        <f>IF(AK52=".",".",up_RadSpec!$F$17*(BK17*$B52))</f>
        <v>37804.9375</v>
      </c>
      <c r="BL52" s="94">
        <f>IF(AL52=".",".",up_RadSpec!$F$17*(BL17*$B52))</f>
        <v>37804.9375</v>
      </c>
      <c r="BM52" s="94">
        <f>IF(AM52=".",".",up_RadSpec!$F$17*(BM17*$B52))</f>
        <v>37804.9375</v>
      </c>
      <c r="BN52" s="94">
        <f>IF(AN52=".",".",up_RadSpec!$F$17*(BN17*$B52))</f>
        <v>37804.9375</v>
      </c>
      <c r="BO52" s="94">
        <f>IF(AO52=".",".",up_RadSpec!$F$17*(BO17*$B52))</f>
        <v>37804.9375</v>
      </c>
      <c r="BP52" s="94">
        <f>IF(AP52=".",".",up_RadSpec!$F$17*(BP17*$B52))</f>
        <v>37804.9375</v>
      </c>
      <c r="BQ52" s="94">
        <f>IF(AQ52=".",".",up_RadSpec!$F$17*(BQ17*$B52))</f>
        <v>37804.9375</v>
      </c>
      <c r="BR52" s="94">
        <f>IF(AR52=".",".",up_RadSpec!$F$17*(BR17*$B52))</f>
        <v>37804.9375</v>
      </c>
      <c r="BS52" s="94">
        <f>IF(AS52=".",".",up_RadSpec!$F$17*(BS17*$B52))</f>
        <v>37804.9375</v>
      </c>
      <c r="BT52" s="94">
        <f>IF(AT52=".",".",up_RadSpec!$F$17*(BT17*$B52))</f>
        <v>37804.9375</v>
      </c>
      <c r="BU52" s="94">
        <f>IF(AU52=".",".",up_RadSpec!$F$17*(BU17*$B52))</f>
        <v>37804.9375</v>
      </c>
      <c r="BV52" s="94">
        <f>IF(AV52=".",".",up_RadSpec!$F$17*(BV17*$B52))</f>
        <v>37804.9375</v>
      </c>
      <c r="BW52" s="94">
        <f>IF(AW52=".",".",up_RadSpec!$F$17*(BW17*$B52))</f>
        <v>37804.9375</v>
      </c>
      <c r="BX52" s="94">
        <f>IF(AX52=".",".",up_RadSpec!$F$17*(BX17*$B52))</f>
        <v>37804.9375</v>
      </c>
      <c r="BY52" s="94">
        <f>IF(AY52=".",".",up_RadSpec!$F$17*(BY17*$B52))</f>
        <v>37804.9375</v>
      </c>
      <c r="BZ52" s="94">
        <f>IF(AZ52=".",".",up_RadSpec!$F$17*(BZ17*$B52))</f>
        <v>37804.9375</v>
      </c>
      <c r="CA52" s="94">
        <f>IF(BA52=".",".",up_RadSpec!$F$17*(CA17*$B52))</f>
        <v>37804.9375</v>
      </c>
      <c r="CB52" s="94">
        <f>IF(BB52=".",".",up_RadSpec!$F$17*(CB17*$B52))</f>
        <v>37804.9375</v>
      </c>
    </row>
    <row r="53" spans="1:80" x14ac:dyDescent="0.25">
      <c r="A53" s="92" t="s">
        <v>1074</v>
      </c>
      <c r="B53" s="84">
        <v>2.0000000000000001E-4</v>
      </c>
      <c r="C53" s="93">
        <f t="shared" ref="C53:AH53" si="74">IFERROR(C5/$B53,".")</f>
        <v>0.82644628099173556</v>
      </c>
      <c r="D53" s="93">
        <f t="shared" si="74"/>
        <v>3.3057851239669422</v>
      </c>
      <c r="E53" s="93">
        <f t="shared" si="74"/>
        <v>3.3057851239669422</v>
      </c>
      <c r="F53" s="93">
        <f t="shared" si="74"/>
        <v>3.3057851239669422</v>
      </c>
      <c r="G53" s="93">
        <f t="shared" si="74"/>
        <v>3.3057851239669422</v>
      </c>
      <c r="H53" s="93">
        <f t="shared" si="74"/>
        <v>3.3057851239669422</v>
      </c>
      <c r="I53" s="93">
        <f t="shared" si="74"/>
        <v>3.3057851239669422</v>
      </c>
      <c r="J53" s="93">
        <f t="shared" si="74"/>
        <v>3.3057851239669422</v>
      </c>
      <c r="K53" s="93">
        <f t="shared" si="74"/>
        <v>3.3057851239669422</v>
      </c>
      <c r="L53" s="93">
        <f t="shared" si="74"/>
        <v>3.3057851239669422</v>
      </c>
      <c r="M53" s="93">
        <f t="shared" si="74"/>
        <v>3.3057851239669422</v>
      </c>
      <c r="N53" s="93">
        <f t="shared" si="74"/>
        <v>3.3057851239669422</v>
      </c>
      <c r="O53" s="93">
        <f t="shared" si="74"/>
        <v>3.3057851239669422</v>
      </c>
      <c r="P53" s="93">
        <f t="shared" si="74"/>
        <v>3.3057851239669422</v>
      </c>
      <c r="Q53" s="93">
        <f t="shared" si="74"/>
        <v>3.3057851239669422</v>
      </c>
      <c r="R53" s="93">
        <f t="shared" si="74"/>
        <v>3.3057851239669422</v>
      </c>
      <c r="S53" s="93">
        <f t="shared" si="74"/>
        <v>3.3057851239669422</v>
      </c>
      <c r="T53" s="93">
        <f t="shared" si="74"/>
        <v>3.3057851239669422</v>
      </c>
      <c r="U53" s="93">
        <f t="shared" si="74"/>
        <v>3.3057851239669422</v>
      </c>
      <c r="V53" s="93">
        <f t="shared" si="74"/>
        <v>3.3057851239669422</v>
      </c>
      <c r="W53" s="93">
        <f t="shared" si="74"/>
        <v>3.3057851239669422</v>
      </c>
      <c r="X53" s="93">
        <f t="shared" si="74"/>
        <v>3.3057851239669422</v>
      </c>
      <c r="Y53" s="93">
        <f t="shared" si="74"/>
        <v>3.3057851239669422</v>
      </c>
      <c r="Z53" s="93">
        <f t="shared" si="74"/>
        <v>3.3057851239669422</v>
      </c>
      <c r="AA53" s="93">
        <f t="shared" si="74"/>
        <v>3.3057851239669422</v>
      </c>
      <c r="AB53" s="93">
        <f t="shared" si="74"/>
        <v>3.3057851239669422</v>
      </c>
      <c r="AC53" s="93">
        <f t="shared" si="74"/>
        <v>0.82644628099173556</v>
      </c>
      <c r="AD53" s="93">
        <f t="shared" si="74"/>
        <v>3.3057851239669422</v>
      </c>
      <c r="AE53" s="93">
        <f t="shared" si="74"/>
        <v>3.3057851239669422</v>
      </c>
      <c r="AF53" s="93">
        <f t="shared" si="74"/>
        <v>3.3057851239669422</v>
      </c>
      <c r="AG53" s="93">
        <f t="shared" si="74"/>
        <v>3.3057851239669422</v>
      </c>
      <c r="AH53" s="93">
        <f t="shared" si="74"/>
        <v>3.3057851239669422</v>
      </c>
      <c r="AI53" s="93">
        <f t="shared" ref="AI53:BB53" si="75">IFERROR(AI5/$B53,".")</f>
        <v>3.3057851239669422</v>
      </c>
      <c r="AJ53" s="93">
        <f t="shared" si="75"/>
        <v>3.3057851239669422</v>
      </c>
      <c r="AK53" s="93">
        <f t="shared" si="75"/>
        <v>3.3057851239669422</v>
      </c>
      <c r="AL53" s="93">
        <f t="shared" si="75"/>
        <v>3.3057851239669422</v>
      </c>
      <c r="AM53" s="93">
        <f t="shared" si="75"/>
        <v>3.3057851239669422</v>
      </c>
      <c r="AN53" s="93">
        <f t="shared" si="75"/>
        <v>3.3057851239669422</v>
      </c>
      <c r="AO53" s="93">
        <f t="shared" si="75"/>
        <v>3.3057851239669422</v>
      </c>
      <c r="AP53" s="93">
        <f t="shared" si="75"/>
        <v>3.3057851239669422</v>
      </c>
      <c r="AQ53" s="93">
        <f t="shared" si="75"/>
        <v>3.3057851239669422</v>
      </c>
      <c r="AR53" s="93">
        <f t="shared" si="75"/>
        <v>3.3057851239669422</v>
      </c>
      <c r="AS53" s="93">
        <f t="shared" si="75"/>
        <v>3.3057851239669422</v>
      </c>
      <c r="AT53" s="93">
        <f t="shared" si="75"/>
        <v>3.3057851239669422</v>
      </c>
      <c r="AU53" s="93">
        <f t="shared" si="75"/>
        <v>3.3057851239669422</v>
      </c>
      <c r="AV53" s="93">
        <f t="shared" si="75"/>
        <v>3.3057851239669422</v>
      </c>
      <c r="AW53" s="93">
        <f t="shared" si="75"/>
        <v>3.3057851239669422</v>
      </c>
      <c r="AX53" s="93">
        <f t="shared" si="75"/>
        <v>3.3057851239669422</v>
      </c>
      <c r="AY53" s="93">
        <f t="shared" si="75"/>
        <v>3.3057851239669422</v>
      </c>
      <c r="AZ53" s="93">
        <f t="shared" si="75"/>
        <v>3.3057851239669422</v>
      </c>
      <c r="BA53" s="93">
        <f t="shared" si="75"/>
        <v>3.3057851239669422</v>
      </c>
      <c r="BB53" s="93">
        <f t="shared" si="75"/>
        <v>3.3057851239669422</v>
      </c>
      <c r="BC53" s="94">
        <f t="shared" si="67"/>
        <v>30.250000000000004</v>
      </c>
      <c r="BD53" s="94">
        <f>IF(AD53=".",".",up_RadSpec!$F$5*(BD5*$B53))</f>
        <v>7.5625000000000009</v>
      </c>
      <c r="BE53" s="94">
        <f>IF(AE53=".",".",up_RadSpec!$F$5*(BE5*$B53))</f>
        <v>7.5625000000000009</v>
      </c>
      <c r="BF53" s="94">
        <f>IF(AF53=".",".",up_RadSpec!$F$5*(BF5*$B53))</f>
        <v>7.5625000000000009</v>
      </c>
      <c r="BG53" s="94">
        <f>IF(AG53=".",".",up_RadSpec!$F$5*(BG5*$B53))</f>
        <v>7.5625000000000009</v>
      </c>
      <c r="BH53" s="94">
        <f>IF(AH53=".",".",up_RadSpec!$F$5*(BH5*$B53))</f>
        <v>7.5625000000000009</v>
      </c>
      <c r="BI53" s="94">
        <f>IF(AI53=".",".",up_RadSpec!$F$5*(BI5*$B53))</f>
        <v>7.5625000000000009</v>
      </c>
      <c r="BJ53" s="94">
        <f>IF(AJ53=".",".",up_RadSpec!$F$5*(BJ5*$B53))</f>
        <v>7.5625000000000009</v>
      </c>
      <c r="BK53" s="94">
        <f>IF(AK53=".",".",up_RadSpec!$F$5*(BK5*$B53))</f>
        <v>7.5625000000000009</v>
      </c>
      <c r="BL53" s="94">
        <f>IF(AL53=".",".",up_RadSpec!$F$5*(BL5*$B53))</f>
        <v>7.5625000000000009</v>
      </c>
      <c r="BM53" s="94">
        <f>IF(AM53=".",".",up_RadSpec!$F$5*(BM5*$B53))</f>
        <v>7.5625000000000009</v>
      </c>
      <c r="BN53" s="94">
        <f>IF(AN53=".",".",up_RadSpec!$F$5*(BN5*$B53))</f>
        <v>7.5625000000000009</v>
      </c>
      <c r="BO53" s="94">
        <f>IF(AO53=".",".",up_RadSpec!$F$5*(BO5*$B53))</f>
        <v>7.5625000000000009</v>
      </c>
      <c r="BP53" s="94">
        <f>IF(AP53=".",".",up_RadSpec!$F$5*(BP5*$B53))</f>
        <v>7.5625000000000009</v>
      </c>
      <c r="BQ53" s="94">
        <f>IF(AQ53=".",".",up_RadSpec!$F$5*(BQ5*$B53))</f>
        <v>7.5625000000000009</v>
      </c>
      <c r="BR53" s="94">
        <f>IF(AR53=".",".",up_RadSpec!$F$5*(BR5*$B53))</f>
        <v>7.5625000000000009</v>
      </c>
      <c r="BS53" s="94">
        <f>IF(AS53=".",".",up_RadSpec!$F$5*(BS5*$B53))</f>
        <v>7.5625000000000009</v>
      </c>
      <c r="BT53" s="94">
        <f>IF(AT53=".",".",up_RadSpec!$F$5*(BT5*$B53))</f>
        <v>7.5625000000000009</v>
      </c>
      <c r="BU53" s="94">
        <f>IF(AU53=".",".",up_RadSpec!$F$5*(BU5*$B53))</f>
        <v>7.5625000000000009</v>
      </c>
      <c r="BV53" s="94">
        <f>IF(AV53=".",".",up_RadSpec!$F$5*(BV5*$B53))</f>
        <v>7.5625000000000009</v>
      </c>
      <c r="BW53" s="94">
        <f>IF(AW53=".",".",up_RadSpec!$F$5*(BW5*$B53))</f>
        <v>7.5625000000000009</v>
      </c>
      <c r="BX53" s="94">
        <f>IF(AX53=".",".",up_RadSpec!$F$5*(BX5*$B53))</f>
        <v>7.5625000000000009</v>
      </c>
      <c r="BY53" s="94">
        <f>IF(AY53=".",".",up_RadSpec!$F$5*(BY5*$B53))</f>
        <v>7.5625000000000009</v>
      </c>
      <c r="BZ53" s="94">
        <f>IF(AZ53=".",".",up_RadSpec!$F$5*(BZ5*$B53))</f>
        <v>7.5625000000000009</v>
      </c>
      <c r="CA53" s="94">
        <f>IF(BA53=".",".",up_RadSpec!$F$5*(CA5*$B53))</f>
        <v>7.5625000000000009</v>
      </c>
      <c r="CB53" s="94">
        <f>IF(BB53=".",".",up_RadSpec!$F$5*(CB5*$B53))</f>
        <v>7.5625000000000009</v>
      </c>
    </row>
    <row r="54" spans="1:80" x14ac:dyDescent="0.25">
      <c r="A54" s="92" t="s">
        <v>1075</v>
      </c>
      <c r="B54" s="84">
        <v>0.99999979999999999</v>
      </c>
      <c r="C54" s="93">
        <f t="shared" ref="C54:AH54" si="76">IFERROR(C9/$B54,".")</f>
        <v>1.6528928925620498E-4</v>
      </c>
      <c r="D54" s="93">
        <f t="shared" si="76"/>
        <v>6.611571570248199E-4</v>
      </c>
      <c r="E54" s="93">
        <f t="shared" si="76"/>
        <v>6.611571570248199E-4</v>
      </c>
      <c r="F54" s="93">
        <f t="shared" si="76"/>
        <v>6.611571570248199E-4</v>
      </c>
      <c r="G54" s="93">
        <f t="shared" si="76"/>
        <v>6.611571570248199E-4</v>
      </c>
      <c r="H54" s="93">
        <f t="shared" si="76"/>
        <v>6.611571570248199E-4</v>
      </c>
      <c r="I54" s="93">
        <f t="shared" si="76"/>
        <v>6.611571570248199E-4</v>
      </c>
      <c r="J54" s="93">
        <f t="shared" si="76"/>
        <v>6.611571570248199E-4</v>
      </c>
      <c r="K54" s="93">
        <f t="shared" si="76"/>
        <v>6.611571570248199E-4</v>
      </c>
      <c r="L54" s="93">
        <f t="shared" si="76"/>
        <v>6.611571570248199E-4</v>
      </c>
      <c r="M54" s="93">
        <f t="shared" si="76"/>
        <v>6.611571570248199E-4</v>
      </c>
      <c r="N54" s="93">
        <f t="shared" si="76"/>
        <v>6.611571570248199E-4</v>
      </c>
      <c r="O54" s="93">
        <f t="shared" si="76"/>
        <v>6.611571570248199E-4</v>
      </c>
      <c r="P54" s="93">
        <f t="shared" si="76"/>
        <v>6.611571570248199E-4</v>
      </c>
      <c r="Q54" s="93">
        <f t="shared" si="76"/>
        <v>6.611571570248199E-4</v>
      </c>
      <c r="R54" s="93">
        <f t="shared" si="76"/>
        <v>6.611571570248199E-4</v>
      </c>
      <c r="S54" s="93">
        <f t="shared" si="76"/>
        <v>6.611571570248199E-4</v>
      </c>
      <c r="T54" s="93">
        <f t="shared" si="76"/>
        <v>6.611571570248199E-4</v>
      </c>
      <c r="U54" s="93">
        <f t="shared" si="76"/>
        <v>6.611571570248199E-4</v>
      </c>
      <c r="V54" s="93">
        <f t="shared" si="76"/>
        <v>6.611571570248199E-4</v>
      </c>
      <c r="W54" s="93">
        <f t="shared" si="76"/>
        <v>6.611571570248199E-4</v>
      </c>
      <c r="X54" s="93">
        <f t="shared" si="76"/>
        <v>6.611571570248199E-4</v>
      </c>
      <c r="Y54" s="93">
        <f t="shared" si="76"/>
        <v>6.611571570248199E-4</v>
      </c>
      <c r="Z54" s="93">
        <f t="shared" si="76"/>
        <v>6.611571570248199E-4</v>
      </c>
      <c r="AA54" s="93">
        <f t="shared" si="76"/>
        <v>6.611571570248199E-4</v>
      </c>
      <c r="AB54" s="93">
        <f t="shared" si="76"/>
        <v>6.611571570248199E-4</v>
      </c>
      <c r="AC54" s="93">
        <f t="shared" si="76"/>
        <v>1.6528928925620498E-4</v>
      </c>
      <c r="AD54" s="93">
        <f t="shared" si="76"/>
        <v>6.611571570248199E-4</v>
      </c>
      <c r="AE54" s="93">
        <f t="shared" si="76"/>
        <v>6.611571570248199E-4</v>
      </c>
      <c r="AF54" s="93">
        <f t="shared" si="76"/>
        <v>6.611571570248199E-4</v>
      </c>
      <c r="AG54" s="93">
        <f t="shared" si="76"/>
        <v>6.611571570248199E-4</v>
      </c>
      <c r="AH54" s="93">
        <f t="shared" si="76"/>
        <v>6.611571570248199E-4</v>
      </c>
      <c r="AI54" s="93">
        <f t="shared" ref="AI54:BB54" si="77">IFERROR(AI9/$B54,".")</f>
        <v>6.611571570248199E-4</v>
      </c>
      <c r="AJ54" s="93">
        <f t="shared" si="77"/>
        <v>6.611571570248199E-4</v>
      </c>
      <c r="AK54" s="93">
        <f t="shared" si="77"/>
        <v>6.611571570248199E-4</v>
      </c>
      <c r="AL54" s="93">
        <f t="shared" si="77"/>
        <v>6.611571570248199E-4</v>
      </c>
      <c r="AM54" s="93">
        <f t="shared" si="77"/>
        <v>6.611571570248199E-4</v>
      </c>
      <c r="AN54" s="93">
        <f t="shared" si="77"/>
        <v>6.611571570248199E-4</v>
      </c>
      <c r="AO54" s="93">
        <f t="shared" si="77"/>
        <v>6.611571570248199E-4</v>
      </c>
      <c r="AP54" s="93">
        <f t="shared" si="77"/>
        <v>6.611571570248199E-4</v>
      </c>
      <c r="AQ54" s="93">
        <f t="shared" si="77"/>
        <v>6.611571570248199E-4</v>
      </c>
      <c r="AR54" s="93">
        <f t="shared" si="77"/>
        <v>6.611571570248199E-4</v>
      </c>
      <c r="AS54" s="93">
        <f t="shared" si="77"/>
        <v>6.611571570248199E-4</v>
      </c>
      <c r="AT54" s="93">
        <f t="shared" si="77"/>
        <v>6.611571570248199E-4</v>
      </c>
      <c r="AU54" s="93">
        <f t="shared" si="77"/>
        <v>6.611571570248199E-4</v>
      </c>
      <c r="AV54" s="93">
        <f t="shared" si="77"/>
        <v>6.611571570248199E-4</v>
      </c>
      <c r="AW54" s="93">
        <f t="shared" si="77"/>
        <v>6.611571570248199E-4</v>
      </c>
      <c r="AX54" s="93">
        <f t="shared" si="77"/>
        <v>6.611571570248199E-4</v>
      </c>
      <c r="AY54" s="93">
        <f t="shared" si="77"/>
        <v>6.611571570248199E-4</v>
      </c>
      <c r="AZ54" s="93">
        <f t="shared" si="77"/>
        <v>6.611571570248199E-4</v>
      </c>
      <c r="BA54" s="93">
        <f t="shared" si="77"/>
        <v>6.611571570248199E-4</v>
      </c>
      <c r="BB54" s="93">
        <f t="shared" si="77"/>
        <v>6.611571570248199E-4</v>
      </c>
      <c r="BC54" s="94">
        <f t="shared" si="67"/>
        <v>151249.96974999999</v>
      </c>
      <c r="BD54" s="94">
        <f>IF(AD54=".",".",up_RadSpec!$F$9*(BD9*$B54))</f>
        <v>37812.492437499997</v>
      </c>
      <c r="BE54" s="94">
        <f>IF(AE54=".",".",up_RadSpec!$F$9*(BE9*$B54))</f>
        <v>37812.492437499997</v>
      </c>
      <c r="BF54" s="94">
        <f>IF(AF54=".",".",up_RadSpec!$F$9*(BF9*$B54))</f>
        <v>37812.492437499997</v>
      </c>
      <c r="BG54" s="94">
        <f>IF(AG54=".",".",up_RadSpec!$F$9*(BG9*$B54))</f>
        <v>37812.492437499997</v>
      </c>
      <c r="BH54" s="94">
        <f>IF(AH54=".",".",up_RadSpec!$F$9*(BH9*$B54))</f>
        <v>37812.492437499997</v>
      </c>
      <c r="BI54" s="94">
        <f>IF(AI54=".",".",up_RadSpec!$F$9*(BI9*$B54))</f>
        <v>37812.492437499997</v>
      </c>
      <c r="BJ54" s="94">
        <f>IF(AJ54=".",".",up_RadSpec!$F$9*(BJ9*$B54))</f>
        <v>37812.492437499997</v>
      </c>
      <c r="BK54" s="94">
        <f>IF(AK54=".",".",up_RadSpec!$F$9*(BK9*$B54))</f>
        <v>37812.492437499997</v>
      </c>
      <c r="BL54" s="94">
        <f>IF(AL54=".",".",up_RadSpec!$F$9*(BL9*$B54))</f>
        <v>37812.492437499997</v>
      </c>
      <c r="BM54" s="94">
        <f>IF(AM54=".",".",up_RadSpec!$F$9*(BM9*$B54))</f>
        <v>37812.492437499997</v>
      </c>
      <c r="BN54" s="94">
        <f>IF(AN54=".",".",up_RadSpec!$F$9*(BN9*$B54))</f>
        <v>37812.492437499997</v>
      </c>
      <c r="BO54" s="94">
        <f>IF(AO54=".",".",up_RadSpec!$F$9*(BO9*$B54))</f>
        <v>37812.492437499997</v>
      </c>
      <c r="BP54" s="94">
        <f>IF(AP54=".",".",up_RadSpec!$F$9*(BP9*$B54))</f>
        <v>37812.492437499997</v>
      </c>
      <c r="BQ54" s="94">
        <f>IF(AQ54=".",".",up_RadSpec!$F$9*(BQ9*$B54))</f>
        <v>37812.492437499997</v>
      </c>
      <c r="BR54" s="94">
        <f>IF(AR54=".",".",up_RadSpec!$F$9*(BR9*$B54))</f>
        <v>37812.492437499997</v>
      </c>
      <c r="BS54" s="94">
        <f>IF(AS54=".",".",up_RadSpec!$F$9*(BS9*$B54))</f>
        <v>37812.492437499997</v>
      </c>
      <c r="BT54" s="94">
        <f>IF(AT54=".",".",up_RadSpec!$F$9*(BT9*$B54))</f>
        <v>37812.492437499997</v>
      </c>
      <c r="BU54" s="94">
        <f>IF(AU54=".",".",up_RadSpec!$F$9*(BU9*$B54))</f>
        <v>37812.492437499997</v>
      </c>
      <c r="BV54" s="94">
        <f>IF(AV54=".",".",up_RadSpec!$F$9*(BV9*$B54))</f>
        <v>37812.492437499997</v>
      </c>
      <c r="BW54" s="94">
        <f>IF(AW54=".",".",up_RadSpec!$F$9*(BW9*$B54))</f>
        <v>37812.492437499997</v>
      </c>
      <c r="BX54" s="94">
        <f>IF(AX54=".",".",up_RadSpec!$F$9*(BX9*$B54))</f>
        <v>37812.492437499997</v>
      </c>
      <c r="BY54" s="94">
        <f>IF(AY54=".",".",up_RadSpec!$F$9*(BY9*$B54))</f>
        <v>37812.492437499997</v>
      </c>
      <c r="BZ54" s="94">
        <f>IF(AZ54=".",".",up_RadSpec!$F$9*(BZ9*$B54))</f>
        <v>37812.492437499997</v>
      </c>
      <c r="CA54" s="94">
        <f>IF(BA54=".",".",up_RadSpec!$F$9*(CA9*$B54))</f>
        <v>37812.492437499997</v>
      </c>
      <c r="CB54" s="94">
        <f>IF(BB54=".",".",up_RadSpec!$F$9*(CB9*$B54))</f>
        <v>37812.492437499997</v>
      </c>
    </row>
    <row r="55" spans="1:80" x14ac:dyDescent="0.25">
      <c r="A55" s="92" t="s">
        <v>1076</v>
      </c>
      <c r="B55" s="84">
        <v>1.9999999999999999E-7</v>
      </c>
      <c r="C55" s="93">
        <f t="shared" ref="C55:AH55" si="78">IFERROR(C24/$B55,".")</f>
        <v>826.44628099173565</v>
      </c>
      <c r="D55" s="93">
        <f t="shared" si="78"/>
        <v>3305.7851239669426</v>
      </c>
      <c r="E55" s="93">
        <f t="shared" si="78"/>
        <v>3305.7851239669426</v>
      </c>
      <c r="F55" s="93">
        <f t="shared" si="78"/>
        <v>3305.7851239669426</v>
      </c>
      <c r="G55" s="93">
        <f t="shared" si="78"/>
        <v>3305.7851239669426</v>
      </c>
      <c r="H55" s="93">
        <f t="shared" si="78"/>
        <v>3305.7851239669426</v>
      </c>
      <c r="I55" s="93">
        <f t="shared" si="78"/>
        <v>3305.7851239669426</v>
      </c>
      <c r="J55" s="93">
        <f t="shared" si="78"/>
        <v>3305.7851239669426</v>
      </c>
      <c r="K55" s="93">
        <f t="shared" si="78"/>
        <v>3305.7851239669426</v>
      </c>
      <c r="L55" s="93">
        <f t="shared" si="78"/>
        <v>3305.7851239669426</v>
      </c>
      <c r="M55" s="93">
        <f t="shared" si="78"/>
        <v>3305.7851239669426</v>
      </c>
      <c r="N55" s="93">
        <f t="shared" si="78"/>
        <v>3305.7851239669426</v>
      </c>
      <c r="O55" s="93">
        <f t="shared" si="78"/>
        <v>3305.7851239669426</v>
      </c>
      <c r="P55" s="93">
        <f t="shared" si="78"/>
        <v>3305.7851239669426</v>
      </c>
      <c r="Q55" s="93">
        <f t="shared" si="78"/>
        <v>3305.7851239669426</v>
      </c>
      <c r="R55" s="93">
        <f t="shared" si="78"/>
        <v>3305.7851239669426</v>
      </c>
      <c r="S55" s="93">
        <f t="shared" si="78"/>
        <v>3305.7851239669426</v>
      </c>
      <c r="T55" s="93">
        <f t="shared" si="78"/>
        <v>3305.7851239669426</v>
      </c>
      <c r="U55" s="93">
        <f t="shared" si="78"/>
        <v>3305.7851239669426</v>
      </c>
      <c r="V55" s="93">
        <f t="shared" si="78"/>
        <v>3305.7851239669426</v>
      </c>
      <c r="W55" s="93">
        <f t="shared" si="78"/>
        <v>3305.7851239669426</v>
      </c>
      <c r="X55" s="93">
        <f t="shared" si="78"/>
        <v>3305.7851239669426</v>
      </c>
      <c r="Y55" s="93">
        <f t="shared" si="78"/>
        <v>3305.7851239669426</v>
      </c>
      <c r="Z55" s="93">
        <f t="shared" si="78"/>
        <v>3305.7851239669426</v>
      </c>
      <c r="AA55" s="93">
        <f t="shared" si="78"/>
        <v>3305.7851239669426</v>
      </c>
      <c r="AB55" s="93">
        <f t="shared" si="78"/>
        <v>3305.7851239669426</v>
      </c>
      <c r="AC55" s="93">
        <f t="shared" si="78"/>
        <v>826.44628099173565</v>
      </c>
      <c r="AD55" s="93">
        <f t="shared" si="78"/>
        <v>3305.7851239669426</v>
      </c>
      <c r="AE55" s="93">
        <f t="shared" si="78"/>
        <v>3305.7851239669426</v>
      </c>
      <c r="AF55" s="93">
        <f t="shared" si="78"/>
        <v>3305.7851239669426</v>
      </c>
      <c r="AG55" s="93">
        <f t="shared" si="78"/>
        <v>3305.7851239669426</v>
      </c>
      <c r="AH55" s="93">
        <f t="shared" si="78"/>
        <v>3305.7851239669426</v>
      </c>
      <c r="AI55" s="93">
        <f t="shared" ref="AI55:BB55" si="79">IFERROR(AI24/$B55,".")</f>
        <v>3305.7851239669426</v>
      </c>
      <c r="AJ55" s="93">
        <f t="shared" si="79"/>
        <v>3305.7851239669426</v>
      </c>
      <c r="AK55" s="93">
        <f t="shared" si="79"/>
        <v>3305.7851239669426</v>
      </c>
      <c r="AL55" s="93">
        <f t="shared" si="79"/>
        <v>3305.7851239669426</v>
      </c>
      <c r="AM55" s="93">
        <f t="shared" si="79"/>
        <v>3305.7851239669426</v>
      </c>
      <c r="AN55" s="93">
        <f t="shared" si="79"/>
        <v>3305.7851239669426</v>
      </c>
      <c r="AO55" s="93">
        <f t="shared" si="79"/>
        <v>3305.7851239669426</v>
      </c>
      <c r="AP55" s="93">
        <f t="shared" si="79"/>
        <v>3305.7851239669426</v>
      </c>
      <c r="AQ55" s="93">
        <f t="shared" si="79"/>
        <v>3305.7851239669426</v>
      </c>
      <c r="AR55" s="93">
        <f t="shared" si="79"/>
        <v>3305.7851239669426</v>
      </c>
      <c r="AS55" s="93">
        <f t="shared" si="79"/>
        <v>3305.7851239669426</v>
      </c>
      <c r="AT55" s="93">
        <f t="shared" si="79"/>
        <v>3305.7851239669426</v>
      </c>
      <c r="AU55" s="93">
        <f t="shared" si="79"/>
        <v>3305.7851239669426</v>
      </c>
      <c r="AV55" s="93">
        <f t="shared" si="79"/>
        <v>3305.7851239669426</v>
      </c>
      <c r="AW55" s="93">
        <f t="shared" si="79"/>
        <v>3305.7851239669426</v>
      </c>
      <c r="AX55" s="93">
        <f t="shared" si="79"/>
        <v>3305.7851239669426</v>
      </c>
      <c r="AY55" s="93">
        <f t="shared" si="79"/>
        <v>3305.7851239669426</v>
      </c>
      <c r="AZ55" s="93">
        <f t="shared" si="79"/>
        <v>3305.7851239669426</v>
      </c>
      <c r="BA55" s="93">
        <f t="shared" si="79"/>
        <v>3305.7851239669426</v>
      </c>
      <c r="BB55" s="93">
        <f t="shared" si="79"/>
        <v>3305.7851239669426</v>
      </c>
      <c r="BC55" s="94">
        <f t="shared" si="67"/>
        <v>3.0249999999999999E-2</v>
      </c>
      <c r="BD55" s="94">
        <f>IF(AD55=".",".",up_RadSpec!$F$24*(BD24*$B55))</f>
        <v>7.5624999999999998E-3</v>
      </c>
      <c r="BE55" s="94">
        <f>IF(AE55=".",".",up_RadSpec!$F$24*(BE24*$B55))</f>
        <v>7.5624999999999998E-3</v>
      </c>
      <c r="BF55" s="94">
        <f>IF(AF55=".",".",up_RadSpec!$F$24*(BF24*$B55))</f>
        <v>7.5624999999999998E-3</v>
      </c>
      <c r="BG55" s="94">
        <f>IF(AG55=".",".",up_RadSpec!$F$24*(BG24*$B55))</f>
        <v>7.5624999999999998E-3</v>
      </c>
      <c r="BH55" s="94">
        <f>IF(AH55=".",".",up_RadSpec!$F$24*(BH24*$B55))</f>
        <v>7.5624999999999998E-3</v>
      </c>
      <c r="BI55" s="94">
        <f>IF(AI55=".",".",up_RadSpec!$F$24*(BI24*$B55))</f>
        <v>7.5624999999999998E-3</v>
      </c>
      <c r="BJ55" s="94">
        <f>IF(AJ55=".",".",up_RadSpec!$F$24*(BJ24*$B55))</f>
        <v>7.5624999999999998E-3</v>
      </c>
      <c r="BK55" s="94">
        <f>IF(AK55=".",".",up_RadSpec!$F$24*(BK24*$B55))</f>
        <v>7.5624999999999998E-3</v>
      </c>
      <c r="BL55" s="94">
        <f>IF(AL55=".",".",up_RadSpec!$F$24*(BL24*$B55))</f>
        <v>7.5624999999999998E-3</v>
      </c>
      <c r="BM55" s="94">
        <f>IF(AM55=".",".",up_RadSpec!$F$24*(BM24*$B55))</f>
        <v>7.5624999999999998E-3</v>
      </c>
      <c r="BN55" s="94">
        <f>IF(AN55=".",".",up_RadSpec!$F$24*(BN24*$B55))</f>
        <v>7.5624999999999998E-3</v>
      </c>
      <c r="BO55" s="94">
        <f>IF(AO55=".",".",up_RadSpec!$F$24*(BO24*$B55))</f>
        <v>7.5624999999999998E-3</v>
      </c>
      <c r="BP55" s="94">
        <f>IF(AP55=".",".",up_RadSpec!$F$24*(BP24*$B55))</f>
        <v>7.5624999999999998E-3</v>
      </c>
      <c r="BQ55" s="94">
        <f>IF(AQ55=".",".",up_RadSpec!$F$24*(BQ24*$B55))</f>
        <v>7.5624999999999998E-3</v>
      </c>
      <c r="BR55" s="94">
        <f>IF(AR55=".",".",up_RadSpec!$F$24*(BR24*$B55))</f>
        <v>7.5624999999999998E-3</v>
      </c>
      <c r="BS55" s="94">
        <f>IF(AS55=".",".",up_RadSpec!$F$24*(BS24*$B55))</f>
        <v>7.5624999999999998E-3</v>
      </c>
      <c r="BT55" s="94">
        <f>IF(AT55=".",".",up_RadSpec!$F$24*(BT24*$B55))</f>
        <v>7.5624999999999998E-3</v>
      </c>
      <c r="BU55" s="94">
        <f>IF(AU55=".",".",up_RadSpec!$F$24*(BU24*$B55))</f>
        <v>7.5624999999999998E-3</v>
      </c>
      <c r="BV55" s="94">
        <f>IF(AV55=".",".",up_RadSpec!$F$24*(BV24*$B55))</f>
        <v>7.5624999999999998E-3</v>
      </c>
      <c r="BW55" s="94">
        <f>IF(AW55=".",".",up_RadSpec!$F$24*(BW24*$B55))</f>
        <v>7.5624999999999998E-3</v>
      </c>
      <c r="BX55" s="94">
        <f>IF(AX55=".",".",up_RadSpec!$F$24*(BX24*$B55))</f>
        <v>7.5624999999999998E-3</v>
      </c>
      <c r="BY55" s="94">
        <f>IF(AY55=".",".",up_RadSpec!$F$24*(BY24*$B55))</f>
        <v>7.5624999999999998E-3</v>
      </c>
      <c r="BZ55" s="94">
        <f>IF(AZ55=".",".",up_RadSpec!$F$24*(BZ24*$B55))</f>
        <v>7.5624999999999998E-3</v>
      </c>
      <c r="CA55" s="94">
        <f>IF(BA55=".",".",up_RadSpec!$F$24*(CA24*$B55))</f>
        <v>7.5624999999999998E-3</v>
      </c>
      <c r="CB55" s="94">
        <f>IF(BB55=".",".",up_RadSpec!$F$24*(CB24*$B55))</f>
        <v>7.5624999999999998E-3</v>
      </c>
    </row>
    <row r="56" spans="1:80" x14ac:dyDescent="0.25">
      <c r="A56" s="92" t="s">
        <v>1077</v>
      </c>
      <c r="B56" s="84">
        <v>0.99979000004200003</v>
      </c>
      <c r="C56" s="93">
        <f t="shared" ref="C56:AH56" si="80">IFERROR(C20/$B56,".")</f>
        <v>1.6532397422599097E-4</v>
      </c>
      <c r="D56" s="93">
        <f t="shared" si="80"/>
        <v>6.6129589690396386E-4</v>
      </c>
      <c r="E56" s="93">
        <f t="shared" si="80"/>
        <v>6.6129589690396386E-4</v>
      </c>
      <c r="F56" s="93">
        <f t="shared" si="80"/>
        <v>6.6129589690396386E-4</v>
      </c>
      <c r="G56" s="93">
        <f t="shared" si="80"/>
        <v>6.6129589690396386E-4</v>
      </c>
      <c r="H56" s="93">
        <f t="shared" si="80"/>
        <v>6.6129589690396386E-4</v>
      </c>
      <c r="I56" s="93">
        <f t="shared" si="80"/>
        <v>6.6129589690396386E-4</v>
      </c>
      <c r="J56" s="93">
        <f t="shared" si="80"/>
        <v>6.6129589690396386E-4</v>
      </c>
      <c r="K56" s="93">
        <f t="shared" si="80"/>
        <v>6.6129589690396386E-4</v>
      </c>
      <c r="L56" s="93">
        <f t="shared" si="80"/>
        <v>6.6129589690396386E-4</v>
      </c>
      <c r="M56" s="93">
        <f t="shared" si="80"/>
        <v>6.6129589690396386E-4</v>
      </c>
      <c r="N56" s="93">
        <f t="shared" si="80"/>
        <v>6.6129589690396386E-4</v>
      </c>
      <c r="O56" s="93">
        <f t="shared" si="80"/>
        <v>6.6129589690396386E-4</v>
      </c>
      <c r="P56" s="93">
        <f t="shared" si="80"/>
        <v>6.6129589690396386E-4</v>
      </c>
      <c r="Q56" s="93">
        <f t="shared" si="80"/>
        <v>6.6129589690396386E-4</v>
      </c>
      <c r="R56" s="93">
        <f t="shared" si="80"/>
        <v>6.6129589690396386E-4</v>
      </c>
      <c r="S56" s="93">
        <f t="shared" si="80"/>
        <v>6.6129589690396386E-4</v>
      </c>
      <c r="T56" s="93">
        <f t="shared" si="80"/>
        <v>6.6129589690396386E-4</v>
      </c>
      <c r="U56" s="93">
        <f t="shared" si="80"/>
        <v>6.6129589690396386E-4</v>
      </c>
      <c r="V56" s="93">
        <f t="shared" si="80"/>
        <v>6.6129589690396386E-4</v>
      </c>
      <c r="W56" s="93">
        <f t="shared" si="80"/>
        <v>6.6129589690396386E-4</v>
      </c>
      <c r="X56" s="93">
        <f t="shared" si="80"/>
        <v>6.6129589690396386E-4</v>
      </c>
      <c r="Y56" s="93">
        <f t="shared" si="80"/>
        <v>6.6129589690396386E-4</v>
      </c>
      <c r="Z56" s="93">
        <f t="shared" si="80"/>
        <v>6.6129589690396386E-4</v>
      </c>
      <c r="AA56" s="93">
        <f t="shared" si="80"/>
        <v>6.6129589690396386E-4</v>
      </c>
      <c r="AB56" s="93">
        <f t="shared" si="80"/>
        <v>6.6129589690396386E-4</v>
      </c>
      <c r="AC56" s="93">
        <f t="shared" si="80"/>
        <v>1.6532397422599097E-4</v>
      </c>
      <c r="AD56" s="93">
        <f t="shared" si="80"/>
        <v>6.6129589690396386E-4</v>
      </c>
      <c r="AE56" s="93">
        <f t="shared" si="80"/>
        <v>6.6129589690396386E-4</v>
      </c>
      <c r="AF56" s="93">
        <f t="shared" si="80"/>
        <v>6.6129589690396386E-4</v>
      </c>
      <c r="AG56" s="93">
        <f t="shared" si="80"/>
        <v>6.6129589690396386E-4</v>
      </c>
      <c r="AH56" s="93">
        <f t="shared" si="80"/>
        <v>6.6129589690396386E-4</v>
      </c>
      <c r="AI56" s="93">
        <f t="shared" ref="AI56:BB56" si="81">IFERROR(AI20/$B56,".")</f>
        <v>6.6129589690396386E-4</v>
      </c>
      <c r="AJ56" s="93">
        <f t="shared" si="81"/>
        <v>6.6129589690396386E-4</v>
      </c>
      <c r="AK56" s="93">
        <f t="shared" si="81"/>
        <v>6.6129589690396386E-4</v>
      </c>
      <c r="AL56" s="93">
        <f t="shared" si="81"/>
        <v>6.6129589690396386E-4</v>
      </c>
      <c r="AM56" s="93">
        <f t="shared" si="81"/>
        <v>6.6129589690396386E-4</v>
      </c>
      <c r="AN56" s="93">
        <f t="shared" si="81"/>
        <v>6.6129589690396386E-4</v>
      </c>
      <c r="AO56" s="93">
        <f t="shared" si="81"/>
        <v>6.6129589690396386E-4</v>
      </c>
      <c r="AP56" s="93">
        <f t="shared" si="81"/>
        <v>6.6129589690396386E-4</v>
      </c>
      <c r="AQ56" s="93">
        <f t="shared" si="81"/>
        <v>6.6129589690396386E-4</v>
      </c>
      <c r="AR56" s="93">
        <f t="shared" si="81"/>
        <v>6.6129589690396386E-4</v>
      </c>
      <c r="AS56" s="93">
        <f t="shared" si="81"/>
        <v>6.6129589690396386E-4</v>
      </c>
      <c r="AT56" s="93">
        <f t="shared" si="81"/>
        <v>6.6129589690396386E-4</v>
      </c>
      <c r="AU56" s="93">
        <f t="shared" si="81"/>
        <v>6.6129589690396386E-4</v>
      </c>
      <c r="AV56" s="93">
        <f t="shared" si="81"/>
        <v>6.6129589690396386E-4</v>
      </c>
      <c r="AW56" s="93">
        <f t="shared" si="81"/>
        <v>6.6129589690396386E-4</v>
      </c>
      <c r="AX56" s="93">
        <f t="shared" si="81"/>
        <v>6.6129589690396386E-4</v>
      </c>
      <c r="AY56" s="93">
        <f t="shared" si="81"/>
        <v>6.6129589690396386E-4</v>
      </c>
      <c r="AZ56" s="93">
        <f t="shared" si="81"/>
        <v>6.6129589690396386E-4</v>
      </c>
      <c r="BA56" s="93">
        <f t="shared" si="81"/>
        <v>6.6129589690396386E-4</v>
      </c>
      <c r="BB56" s="93">
        <f t="shared" si="81"/>
        <v>6.6129589690396386E-4</v>
      </c>
      <c r="BC56" s="94">
        <f t="shared" si="67"/>
        <v>151218.23750635251</v>
      </c>
      <c r="BD56" s="94">
        <f>IF(AD56=".",".",up_RadSpec!$F$20*(BD20*$B56))</f>
        <v>37804.559376588128</v>
      </c>
      <c r="BE56" s="94">
        <f>IF(AE56=".",".",up_RadSpec!$F$20*(BE20*$B56))</f>
        <v>37804.559376588128</v>
      </c>
      <c r="BF56" s="94">
        <f>IF(AF56=".",".",up_RadSpec!$F$20*(BF20*$B56))</f>
        <v>37804.559376588128</v>
      </c>
      <c r="BG56" s="94">
        <f>IF(AG56=".",".",up_RadSpec!$F$20*(BG20*$B56))</f>
        <v>37804.559376588128</v>
      </c>
      <c r="BH56" s="94">
        <f>IF(AH56=".",".",up_RadSpec!$F$20*(BH20*$B56))</f>
        <v>37804.559376588128</v>
      </c>
      <c r="BI56" s="94">
        <f>IF(AI56=".",".",up_RadSpec!$F$20*(BI20*$B56))</f>
        <v>37804.559376588128</v>
      </c>
      <c r="BJ56" s="94">
        <f>IF(AJ56=".",".",up_RadSpec!$F$20*(BJ20*$B56))</f>
        <v>37804.559376588128</v>
      </c>
      <c r="BK56" s="94">
        <f>IF(AK56=".",".",up_RadSpec!$F$20*(BK20*$B56))</f>
        <v>37804.559376588128</v>
      </c>
      <c r="BL56" s="94">
        <f>IF(AL56=".",".",up_RadSpec!$F$20*(BL20*$B56))</f>
        <v>37804.559376588128</v>
      </c>
      <c r="BM56" s="94">
        <f>IF(AM56=".",".",up_RadSpec!$F$20*(BM20*$B56))</f>
        <v>37804.559376588128</v>
      </c>
      <c r="BN56" s="94">
        <f>IF(AN56=".",".",up_RadSpec!$F$20*(BN20*$B56))</f>
        <v>37804.559376588128</v>
      </c>
      <c r="BO56" s="94">
        <f>IF(AO56=".",".",up_RadSpec!$F$20*(BO20*$B56))</f>
        <v>37804.559376588128</v>
      </c>
      <c r="BP56" s="94">
        <f>IF(AP56=".",".",up_RadSpec!$F$20*(BP20*$B56))</f>
        <v>37804.559376588128</v>
      </c>
      <c r="BQ56" s="94">
        <f>IF(AQ56=".",".",up_RadSpec!$F$20*(BQ20*$B56))</f>
        <v>37804.559376588128</v>
      </c>
      <c r="BR56" s="94">
        <f>IF(AR56=".",".",up_RadSpec!$F$20*(BR20*$B56))</f>
        <v>37804.559376588128</v>
      </c>
      <c r="BS56" s="94">
        <f>IF(AS56=".",".",up_RadSpec!$F$20*(BS20*$B56))</f>
        <v>37804.559376588128</v>
      </c>
      <c r="BT56" s="94">
        <f>IF(AT56=".",".",up_RadSpec!$F$20*(BT20*$B56))</f>
        <v>37804.559376588128</v>
      </c>
      <c r="BU56" s="94">
        <f>IF(AU56=".",".",up_RadSpec!$F$20*(BU20*$B56))</f>
        <v>37804.559376588128</v>
      </c>
      <c r="BV56" s="94">
        <f>IF(AV56=".",".",up_RadSpec!$F$20*(BV20*$B56))</f>
        <v>37804.559376588128</v>
      </c>
      <c r="BW56" s="94">
        <f>IF(AW56=".",".",up_RadSpec!$F$20*(BW20*$B56))</f>
        <v>37804.559376588128</v>
      </c>
      <c r="BX56" s="94">
        <f>IF(AX56=".",".",up_RadSpec!$F$20*(BX20*$B56))</f>
        <v>37804.559376588128</v>
      </c>
      <c r="BY56" s="94">
        <f>IF(AY56=".",".",up_RadSpec!$F$20*(BY20*$B56))</f>
        <v>37804.559376588128</v>
      </c>
      <c r="BZ56" s="94">
        <f>IF(AZ56=".",".",up_RadSpec!$F$20*(BZ20*$B56))</f>
        <v>37804.559376588128</v>
      </c>
      <c r="CA56" s="94">
        <f>IF(BA56=".",".",up_RadSpec!$F$20*(CA20*$B56))</f>
        <v>37804.559376588128</v>
      </c>
      <c r="CB56" s="94">
        <f>IF(BB56=".",".",up_RadSpec!$F$20*(CB20*$B56))</f>
        <v>37804.559376588128</v>
      </c>
    </row>
    <row r="57" spans="1:80" x14ac:dyDescent="0.25">
      <c r="A57" s="92" t="s">
        <v>1078</v>
      </c>
      <c r="B57" s="84">
        <v>2.0999995799999999E-4</v>
      </c>
      <c r="C57" s="93">
        <f t="shared" ref="C57:AH57" si="82">IFERROR(C29/$B57,".")</f>
        <v>0.78709185360097611</v>
      </c>
      <c r="D57" s="93">
        <f t="shared" si="82"/>
        <v>3.1483674144039044</v>
      </c>
      <c r="E57" s="93">
        <f t="shared" si="82"/>
        <v>3.1483674144039044</v>
      </c>
      <c r="F57" s="93">
        <f t="shared" si="82"/>
        <v>3.1483674144039044</v>
      </c>
      <c r="G57" s="93">
        <f t="shared" si="82"/>
        <v>3.1483674144039044</v>
      </c>
      <c r="H57" s="93">
        <f t="shared" si="82"/>
        <v>3.1483674144039044</v>
      </c>
      <c r="I57" s="93">
        <f t="shared" si="82"/>
        <v>3.1483674144039044</v>
      </c>
      <c r="J57" s="93">
        <f t="shared" si="82"/>
        <v>3.1483674144039044</v>
      </c>
      <c r="K57" s="93">
        <f t="shared" si="82"/>
        <v>3.1483674144039044</v>
      </c>
      <c r="L57" s="93">
        <f t="shared" si="82"/>
        <v>3.1483674144039044</v>
      </c>
      <c r="M57" s="93">
        <f t="shared" si="82"/>
        <v>3.1483674144039044</v>
      </c>
      <c r="N57" s="93">
        <f t="shared" si="82"/>
        <v>3.1483674144039044</v>
      </c>
      <c r="O57" s="93">
        <f t="shared" si="82"/>
        <v>3.1483674144039044</v>
      </c>
      <c r="P57" s="93">
        <f t="shared" si="82"/>
        <v>3.1483674144039044</v>
      </c>
      <c r="Q57" s="93">
        <f t="shared" si="82"/>
        <v>3.1483674144039044</v>
      </c>
      <c r="R57" s="93">
        <f t="shared" si="82"/>
        <v>3.1483674144039044</v>
      </c>
      <c r="S57" s="93">
        <f t="shared" si="82"/>
        <v>3.1483674144039044</v>
      </c>
      <c r="T57" s="93">
        <f t="shared" si="82"/>
        <v>3.1483674144039044</v>
      </c>
      <c r="U57" s="93">
        <f t="shared" si="82"/>
        <v>3.1483674144039044</v>
      </c>
      <c r="V57" s="93">
        <f t="shared" si="82"/>
        <v>3.1483674144039044</v>
      </c>
      <c r="W57" s="93">
        <f t="shared" si="82"/>
        <v>3.1483674144039044</v>
      </c>
      <c r="X57" s="93">
        <f t="shared" si="82"/>
        <v>3.1483674144039044</v>
      </c>
      <c r="Y57" s="93">
        <f t="shared" si="82"/>
        <v>3.1483674144039044</v>
      </c>
      <c r="Z57" s="93">
        <f t="shared" si="82"/>
        <v>3.1483674144039044</v>
      </c>
      <c r="AA57" s="93">
        <f t="shared" si="82"/>
        <v>3.1483674144039044</v>
      </c>
      <c r="AB57" s="93">
        <f t="shared" si="82"/>
        <v>3.1483674144039044</v>
      </c>
      <c r="AC57" s="93">
        <f t="shared" si="82"/>
        <v>0.78709185360097611</v>
      </c>
      <c r="AD57" s="93">
        <f t="shared" si="82"/>
        <v>3.1483674144039044</v>
      </c>
      <c r="AE57" s="93">
        <f t="shared" si="82"/>
        <v>3.1483674144039044</v>
      </c>
      <c r="AF57" s="93">
        <f t="shared" si="82"/>
        <v>3.1483674144039044</v>
      </c>
      <c r="AG57" s="93">
        <f t="shared" si="82"/>
        <v>3.1483674144039044</v>
      </c>
      <c r="AH57" s="93">
        <f t="shared" si="82"/>
        <v>3.1483674144039044</v>
      </c>
      <c r="AI57" s="93">
        <f t="shared" ref="AI57:BB57" si="83">IFERROR(AI29/$B57,".")</f>
        <v>3.1483674144039044</v>
      </c>
      <c r="AJ57" s="93">
        <f t="shared" si="83"/>
        <v>3.1483674144039044</v>
      </c>
      <c r="AK57" s="93">
        <f t="shared" si="83"/>
        <v>3.1483674144039044</v>
      </c>
      <c r="AL57" s="93">
        <f t="shared" si="83"/>
        <v>3.1483674144039044</v>
      </c>
      <c r="AM57" s="93">
        <f t="shared" si="83"/>
        <v>3.1483674144039044</v>
      </c>
      <c r="AN57" s="93">
        <f t="shared" si="83"/>
        <v>3.1483674144039044</v>
      </c>
      <c r="AO57" s="93">
        <f t="shared" si="83"/>
        <v>3.1483674144039044</v>
      </c>
      <c r="AP57" s="93">
        <f t="shared" si="83"/>
        <v>3.1483674144039044</v>
      </c>
      <c r="AQ57" s="93">
        <f t="shared" si="83"/>
        <v>3.1483674144039044</v>
      </c>
      <c r="AR57" s="93">
        <f t="shared" si="83"/>
        <v>3.1483674144039044</v>
      </c>
      <c r="AS57" s="93">
        <f t="shared" si="83"/>
        <v>3.1483674144039044</v>
      </c>
      <c r="AT57" s="93">
        <f t="shared" si="83"/>
        <v>3.1483674144039044</v>
      </c>
      <c r="AU57" s="93">
        <f t="shared" si="83"/>
        <v>3.1483674144039044</v>
      </c>
      <c r="AV57" s="93">
        <f t="shared" si="83"/>
        <v>3.1483674144039044</v>
      </c>
      <c r="AW57" s="93">
        <f t="shared" si="83"/>
        <v>3.1483674144039044</v>
      </c>
      <c r="AX57" s="93">
        <f t="shared" si="83"/>
        <v>3.1483674144039044</v>
      </c>
      <c r="AY57" s="93">
        <f t="shared" si="83"/>
        <v>3.1483674144039044</v>
      </c>
      <c r="AZ57" s="93">
        <f t="shared" si="83"/>
        <v>3.1483674144039044</v>
      </c>
      <c r="BA57" s="93">
        <f t="shared" si="83"/>
        <v>3.1483674144039044</v>
      </c>
      <c r="BB57" s="93">
        <f t="shared" si="83"/>
        <v>3.1483674144039044</v>
      </c>
      <c r="BC57" s="94">
        <f t="shared" si="67"/>
        <v>31.762493647499998</v>
      </c>
      <c r="BD57" s="94">
        <f>IF(AD57=".",".",up_RadSpec!$F$29*(BD29*$B57))</f>
        <v>7.9406234118749994</v>
      </c>
      <c r="BE57" s="94">
        <f>IF(AE57=".",".",up_RadSpec!$F$29*(BE29*$B57))</f>
        <v>7.9406234118749994</v>
      </c>
      <c r="BF57" s="94">
        <f>IF(AF57=".",".",up_RadSpec!$F$29*(BF29*$B57))</f>
        <v>7.9406234118749994</v>
      </c>
      <c r="BG57" s="94">
        <f>IF(AG57=".",".",up_RadSpec!$F$29*(BG29*$B57))</f>
        <v>7.9406234118749994</v>
      </c>
      <c r="BH57" s="94">
        <f>IF(AH57=".",".",up_RadSpec!$F$29*(BH29*$B57))</f>
        <v>7.9406234118749994</v>
      </c>
      <c r="BI57" s="94">
        <f>IF(AI57=".",".",up_RadSpec!$F$29*(BI29*$B57))</f>
        <v>7.9406234118749994</v>
      </c>
      <c r="BJ57" s="94">
        <f>IF(AJ57=".",".",up_RadSpec!$F$29*(BJ29*$B57))</f>
        <v>7.9406234118749994</v>
      </c>
      <c r="BK57" s="94">
        <f>IF(AK57=".",".",up_RadSpec!$F$29*(BK29*$B57))</f>
        <v>7.9406234118749994</v>
      </c>
      <c r="BL57" s="94">
        <f>IF(AL57=".",".",up_RadSpec!$F$29*(BL29*$B57))</f>
        <v>7.9406234118749994</v>
      </c>
      <c r="BM57" s="94">
        <f>IF(AM57=".",".",up_RadSpec!$F$29*(BM29*$B57))</f>
        <v>7.9406234118749994</v>
      </c>
      <c r="BN57" s="94">
        <f>IF(AN57=".",".",up_RadSpec!$F$29*(BN29*$B57))</f>
        <v>7.9406234118749994</v>
      </c>
      <c r="BO57" s="94">
        <f>IF(AO57=".",".",up_RadSpec!$F$29*(BO29*$B57))</f>
        <v>7.9406234118749994</v>
      </c>
      <c r="BP57" s="94">
        <f>IF(AP57=".",".",up_RadSpec!$F$29*(BP29*$B57))</f>
        <v>7.9406234118749994</v>
      </c>
      <c r="BQ57" s="94">
        <f>IF(AQ57=".",".",up_RadSpec!$F$29*(BQ29*$B57))</f>
        <v>7.9406234118749994</v>
      </c>
      <c r="BR57" s="94">
        <f>IF(AR57=".",".",up_RadSpec!$F$29*(BR29*$B57))</f>
        <v>7.9406234118749994</v>
      </c>
      <c r="BS57" s="94">
        <f>IF(AS57=".",".",up_RadSpec!$F$29*(BS29*$B57))</f>
        <v>7.9406234118749994</v>
      </c>
      <c r="BT57" s="94">
        <f>IF(AT57=".",".",up_RadSpec!$F$29*(BT29*$B57))</f>
        <v>7.9406234118749994</v>
      </c>
      <c r="BU57" s="94">
        <f>IF(AU57=".",".",up_RadSpec!$F$29*(BU29*$B57))</f>
        <v>7.9406234118749994</v>
      </c>
      <c r="BV57" s="94">
        <f>IF(AV57=".",".",up_RadSpec!$F$29*(BV29*$B57))</f>
        <v>7.9406234118749994</v>
      </c>
      <c r="BW57" s="94">
        <f>IF(AW57=".",".",up_RadSpec!$F$29*(BW29*$B57))</f>
        <v>7.9406234118749994</v>
      </c>
      <c r="BX57" s="94">
        <f>IF(AX57=".",".",up_RadSpec!$F$29*(BX29*$B57))</f>
        <v>7.9406234118749994</v>
      </c>
      <c r="BY57" s="94">
        <f>IF(AY57=".",".",up_RadSpec!$F$29*(BY29*$B57))</f>
        <v>7.9406234118749994</v>
      </c>
      <c r="BZ57" s="94">
        <f>IF(AZ57=".",".",up_RadSpec!$F$29*(BZ29*$B57))</f>
        <v>7.9406234118749994</v>
      </c>
      <c r="CA57" s="94">
        <f>IF(BA57=".",".",up_RadSpec!$F$29*(CA29*$B57))</f>
        <v>7.9406234118749994</v>
      </c>
      <c r="CB57" s="94">
        <f>IF(BB57=".",".",up_RadSpec!$F$29*(CB29*$B57))</f>
        <v>7.9406234118749994</v>
      </c>
    </row>
    <row r="58" spans="1:80" x14ac:dyDescent="0.25">
      <c r="A58" s="92" t="s">
        <v>1079</v>
      </c>
      <c r="B58" s="84">
        <v>1</v>
      </c>
      <c r="C58" s="93">
        <f t="shared" ref="C58:AH58" si="84">IFERROR(C16/$B58,".")</f>
        <v>1.6528925619834712E-4</v>
      </c>
      <c r="D58" s="93">
        <f t="shared" si="84"/>
        <v>6.6115702479338848E-4</v>
      </c>
      <c r="E58" s="93">
        <f t="shared" si="84"/>
        <v>6.6115702479338848E-4</v>
      </c>
      <c r="F58" s="93">
        <f t="shared" si="84"/>
        <v>6.6115702479338848E-4</v>
      </c>
      <c r="G58" s="93">
        <f t="shared" si="84"/>
        <v>6.6115702479338848E-4</v>
      </c>
      <c r="H58" s="93">
        <f t="shared" si="84"/>
        <v>6.6115702479338848E-4</v>
      </c>
      <c r="I58" s="93">
        <f t="shared" si="84"/>
        <v>6.6115702479338848E-4</v>
      </c>
      <c r="J58" s="93">
        <f t="shared" si="84"/>
        <v>6.6115702479338848E-4</v>
      </c>
      <c r="K58" s="93">
        <f t="shared" si="84"/>
        <v>6.6115702479338848E-4</v>
      </c>
      <c r="L58" s="93">
        <f t="shared" si="84"/>
        <v>6.6115702479338848E-4</v>
      </c>
      <c r="M58" s="93">
        <f t="shared" si="84"/>
        <v>6.6115702479338848E-4</v>
      </c>
      <c r="N58" s="93">
        <f t="shared" si="84"/>
        <v>6.6115702479338848E-4</v>
      </c>
      <c r="O58" s="93">
        <f t="shared" si="84"/>
        <v>6.6115702479338848E-4</v>
      </c>
      <c r="P58" s="93">
        <f t="shared" si="84"/>
        <v>6.6115702479338848E-4</v>
      </c>
      <c r="Q58" s="93">
        <f t="shared" si="84"/>
        <v>6.6115702479338848E-4</v>
      </c>
      <c r="R58" s="93">
        <f t="shared" si="84"/>
        <v>6.6115702479338848E-4</v>
      </c>
      <c r="S58" s="93">
        <f t="shared" si="84"/>
        <v>6.6115702479338848E-4</v>
      </c>
      <c r="T58" s="93">
        <f t="shared" si="84"/>
        <v>6.6115702479338848E-4</v>
      </c>
      <c r="U58" s="93">
        <f t="shared" si="84"/>
        <v>6.6115702479338848E-4</v>
      </c>
      <c r="V58" s="93">
        <f t="shared" si="84"/>
        <v>6.6115702479338848E-4</v>
      </c>
      <c r="W58" s="93">
        <f t="shared" si="84"/>
        <v>6.6115702479338848E-4</v>
      </c>
      <c r="X58" s="93">
        <f t="shared" si="84"/>
        <v>6.6115702479338848E-4</v>
      </c>
      <c r="Y58" s="93">
        <f t="shared" si="84"/>
        <v>6.6115702479338848E-4</v>
      </c>
      <c r="Z58" s="93">
        <f t="shared" si="84"/>
        <v>6.6115702479338848E-4</v>
      </c>
      <c r="AA58" s="93">
        <f t="shared" si="84"/>
        <v>6.6115702479338848E-4</v>
      </c>
      <c r="AB58" s="93">
        <f t="shared" si="84"/>
        <v>6.6115702479338848E-4</v>
      </c>
      <c r="AC58" s="93">
        <f t="shared" si="84"/>
        <v>1.6528925619834712E-4</v>
      </c>
      <c r="AD58" s="93">
        <f t="shared" si="84"/>
        <v>6.6115702479338848E-4</v>
      </c>
      <c r="AE58" s="93">
        <f t="shared" si="84"/>
        <v>6.6115702479338848E-4</v>
      </c>
      <c r="AF58" s="93">
        <f t="shared" si="84"/>
        <v>6.6115702479338848E-4</v>
      </c>
      <c r="AG58" s="93">
        <f t="shared" si="84"/>
        <v>6.6115702479338848E-4</v>
      </c>
      <c r="AH58" s="93">
        <f t="shared" si="84"/>
        <v>6.6115702479338848E-4</v>
      </c>
      <c r="AI58" s="93">
        <f t="shared" ref="AI58:BB58" si="85">IFERROR(AI16/$B58,".")</f>
        <v>6.6115702479338848E-4</v>
      </c>
      <c r="AJ58" s="93">
        <f t="shared" si="85"/>
        <v>6.6115702479338848E-4</v>
      </c>
      <c r="AK58" s="93">
        <f t="shared" si="85"/>
        <v>6.6115702479338848E-4</v>
      </c>
      <c r="AL58" s="93">
        <f t="shared" si="85"/>
        <v>6.6115702479338848E-4</v>
      </c>
      <c r="AM58" s="93">
        <f t="shared" si="85"/>
        <v>6.6115702479338848E-4</v>
      </c>
      <c r="AN58" s="93">
        <f t="shared" si="85"/>
        <v>6.6115702479338848E-4</v>
      </c>
      <c r="AO58" s="93">
        <f t="shared" si="85"/>
        <v>6.6115702479338848E-4</v>
      </c>
      <c r="AP58" s="93">
        <f t="shared" si="85"/>
        <v>6.6115702479338848E-4</v>
      </c>
      <c r="AQ58" s="93">
        <f t="shared" si="85"/>
        <v>6.6115702479338848E-4</v>
      </c>
      <c r="AR58" s="93">
        <f t="shared" si="85"/>
        <v>6.6115702479338848E-4</v>
      </c>
      <c r="AS58" s="93">
        <f t="shared" si="85"/>
        <v>6.6115702479338848E-4</v>
      </c>
      <c r="AT58" s="93">
        <f t="shared" si="85"/>
        <v>6.6115702479338848E-4</v>
      </c>
      <c r="AU58" s="93">
        <f t="shared" si="85"/>
        <v>6.6115702479338848E-4</v>
      </c>
      <c r="AV58" s="93">
        <f t="shared" si="85"/>
        <v>6.6115702479338848E-4</v>
      </c>
      <c r="AW58" s="93">
        <f t="shared" si="85"/>
        <v>6.6115702479338848E-4</v>
      </c>
      <c r="AX58" s="93">
        <f t="shared" si="85"/>
        <v>6.6115702479338848E-4</v>
      </c>
      <c r="AY58" s="93">
        <f t="shared" si="85"/>
        <v>6.6115702479338848E-4</v>
      </c>
      <c r="AZ58" s="93">
        <f t="shared" si="85"/>
        <v>6.6115702479338848E-4</v>
      </c>
      <c r="BA58" s="93">
        <f t="shared" si="85"/>
        <v>6.6115702479338848E-4</v>
      </c>
      <c r="BB58" s="93">
        <f t="shared" si="85"/>
        <v>6.6115702479338848E-4</v>
      </c>
      <c r="BC58" s="94">
        <f t="shared" si="67"/>
        <v>151250</v>
      </c>
      <c r="BD58" s="94">
        <f>IF(AD58=".",".",up_RadSpec!$F$16*(BD16*$B58))</f>
        <v>37812.5</v>
      </c>
      <c r="BE58" s="94">
        <f>IF(AE58=".",".",up_RadSpec!$F$16*(BE16*$B58))</f>
        <v>37812.5</v>
      </c>
      <c r="BF58" s="94">
        <f>IF(AF58=".",".",up_RadSpec!$F$16*(BF16*$B58))</f>
        <v>37812.5</v>
      </c>
      <c r="BG58" s="94">
        <f>IF(AG58=".",".",up_RadSpec!$F$16*(BG16*$B58))</f>
        <v>37812.5</v>
      </c>
      <c r="BH58" s="94">
        <f>IF(AH58=".",".",up_RadSpec!$F$16*(BH16*$B58))</f>
        <v>37812.5</v>
      </c>
      <c r="BI58" s="94">
        <f>IF(AI58=".",".",up_RadSpec!$F$16*(BI16*$B58))</f>
        <v>37812.5</v>
      </c>
      <c r="BJ58" s="94">
        <f>IF(AJ58=".",".",up_RadSpec!$F$16*(BJ16*$B58))</f>
        <v>37812.5</v>
      </c>
      <c r="BK58" s="94">
        <f>IF(AK58=".",".",up_RadSpec!$F$16*(BK16*$B58))</f>
        <v>37812.5</v>
      </c>
      <c r="BL58" s="94">
        <f>IF(AL58=".",".",up_RadSpec!$F$16*(BL16*$B58))</f>
        <v>37812.5</v>
      </c>
      <c r="BM58" s="94">
        <f>IF(AM58=".",".",up_RadSpec!$F$16*(BM16*$B58))</f>
        <v>37812.5</v>
      </c>
      <c r="BN58" s="94">
        <f>IF(AN58=".",".",up_RadSpec!$F$16*(BN16*$B58))</f>
        <v>37812.5</v>
      </c>
      <c r="BO58" s="94">
        <f>IF(AO58=".",".",up_RadSpec!$F$16*(BO16*$B58))</f>
        <v>37812.5</v>
      </c>
      <c r="BP58" s="94">
        <f>IF(AP58=".",".",up_RadSpec!$F$16*(BP16*$B58))</f>
        <v>37812.5</v>
      </c>
      <c r="BQ58" s="94">
        <f>IF(AQ58=".",".",up_RadSpec!$F$16*(BQ16*$B58))</f>
        <v>37812.5</v>
      </c>
      <c r="BR58" s="94">
        <f>IF(AR58=".",".",up_RadSpec!$F$16*(BR16*$B58))</f>
        <v>37812.5</v>
      </c>
      <c r="BS58" s="94">
        <f>IF(AS58=".",".",up_RadSpec!$F$16*(BS16*$B58))</f>
        <v>37812.5</v>
      </c>
      <c r="BT58" s="94">
        <f>IF(AT58=".",".",up_RadSpec!$F$16*(BT16*$B58))</f>
        <v>37812.5</v>
      </c>
      <c r="BU58" s="94">
        <f>IF(AU58=".",".",up_RadSpec!$F$16*(BU16*$B58))</f>
        <v>37812.5</v>
      </c>
      <c r="BV58" s="94">
        <f>IF(AV58=".",".",up_RadSpec!$F$16*(BV16*$B58))</f>
        <v>37812.5</v>
      </c>
      <c r="BW58" s="94">
        <f>IF(AW58=".",".",up_RadSpec!$F$16*(BW16*$B58))</f>
        <v>37812.5</v>
      </c>
      <c r="BX58" s="94">
        <f>IF(AX58=".",".",up_RadSpec!$F$16*(BX16*$B58))</f>
        <v>37812.5</v>
      </c>
      <c r="BY58" s="94">
        <f>IF(AY58=".",".",up_RadSpec!$F$16*(BY16*$B58))</f>
        <v>37812.5</v>
      </c>
      <c r="BZ58" s="94">
        <f>IF(AZ58=".",".",up_RadSpec!$F$16*(BZ16*$B58))</f>
        <v>37812.5</v>
      </c>
      <c r="CA58" s="94">
        <f>IF(BA58=".",".",up_RadSpec!$F$16*(CA16*$B58))</f>
        <v>37812.5</v>
      </c>
      <c r="CB58" s="94">
        <f>IF(BB58=".",".",up_RadSpec!$F$16*(CB16*$B58))</f>
        <v>37812.5</v>
      </c>
    </row>
    <row r="59" spans="1:80" x14ac:dyDescent="0.25">
      <c r="A59" s="92" t="s">
        <v>1080</v>
      </c>
      <c r="B59" s="84">
        <v>1</v>
      </c>
      <c r="C59" s="93">
        <f t="shared" ref="C59:AH59" si="86">IFERROR(C7/$B59,".")</f>
        <v>1.6528925619834712E-4</v>
      </c>
      <c r="D59" s="93">
        <f t="shared" si="86"/>
        <v>6.6115702479338848E-4</v>
      </c>
      <c r="E59" s="93">
        <f t="shared" si="86"/>
        <v>6.6115702479338848E-4</v>
      </c>
      <c r="F59" s="93">
        <f t="shared" si="86"/>
        <v>6.6115702479338848E-4</v>
      </c>
      <c r="G59" s="93">
        <f t="shared" si="86"/>
        <v>6.6115702479338848E-4</v>
      </c>
      <c r="H59" s="93">
        <f t="shared" si="86"/>
        <v>6.6115702479338848E-4</v>
      </c>
      <c r="I59" s="93">
        <f t="shared" si="86"/>
        <v>6.6115702479338848E-4</v>
      </c>
      <c r="J59" s="93">
        <f t="shared" si="86"/>
        <v>6.6115702479338848E-4</v>
      </c>
      <c r="K59" s="93">
        <f t="shared" si="86"/>
        <v>6.6115702479338848E-4</v>
      </c>
      <c r="L59" s="93">
        <f t="shared" si="86"/>
        <v>6.6115702479338848E-4</v>
      </c>
      <c r="M59" s="93">
        <f t="shared" si="86"/>
        <v>6.6115702479338848E-4</v>
      </c>
      <c r="N59" s="93">
        <f t="shared" si="86"/>
        <v>6.6115702479338848E-4</v>
      </c>
      <c r="O59" s="93">
        <f t="shared" si="86"/>
        <v>6.6115702479338848E-4</v>
      </c>
      <c r="P59" s="93">
        <f t="shared" si="86"/>
        <v>6.6115702479338848E-4</v>
      </c>
      <c r="Q59" s="93">
        <f t="shared" si="86"/>
        <v>6.6115702479338848E-4</v>
      </c>
      <c r="R59" s="93">
        <f t="shared" si="86"/>
        <v>6.6115702479338848E-4</v>
      </c>
      <c r="S59" s="93">
        <f t="shared" si="86"/>
        <v>6.6115702479338848E-4</v>
      </c>
      <c r="T59" s="93">
        <f t="shared" si="86"/>
        <v>6.6115702479338848E-4</v>
      </c>
      <c r="U59" s="93">
        <f t="shared" si="86"/>
        <v>6.6115702479338848E-4</v>
      </c>
      <c r="V59" s="93">
        <f t="shared" si="86"/>
        <v>6.6115702479338848E-4</v>
      </c>
      <c r="W59" s="93">
        <f t="shared" si="86"/>
        <v>6.6115702479338848E-4</v>
      </c>
      <c r="X59" s="93">
        <f t="shared" si="86"/>
        <v>6.6115702479338848E-4</v>
      </c>
      <c r="Y59" s="93">
        <f t="shared" si="86"/>
        <v>6.6115702479338848E-4</v>
      </c>
      <c r="Z59" s="93">
        <f t="shared" si="86"/>
        <v>6.6115702479338848E-4</v>
      </c>
      <c r="AA59" s="93">
        <f t="shared" si="86"/>
        <v>6.6115702479338848E-4</v>
      </c>
      <c r="AB59" s="93">
        <f t="shared" si="86"/>
        <v>6.6115702479338848E-4</v>
      </c>
      <c r="AC59" s="93">
        <f t="shared" si="86"/>
        <v>1.6528925619834712E-4</v>
      </c>
      <c r="AD59" s="93">
        <f t="shared" si="86"/>
        <v>6.6115702479338848E-4</v>
      </c>
      <c r="AE59" s="93">
        <f t="shared" si="86"/>
        <v>6.6115702479338848E-4</v>
      </c>
      <c r="AF59" s="93">
        <f t="shared" si="86"/>
        <v>6.6115702479338848E-4</v>
      </c>
      <c r="AG59" s="93">
        <f t="shared" si="86"/>
        <v>6.6115702479338848E-4</v>
      </c>
      <c r="AH59" s="93">
        <f t="shared" si="86"/>
        <v>6.6115702479338848E-4</v>
      </c>
      <c r="AI59" s="93">
        <f t="shared" ref="AI59:BB59" si="87">IFERROR(AI7/$B59,".")</f>
        <v>6.6115702479338848E-4</v>
      </c>
      <c r="AJ59" s="93">
        <f t="shared" si="87"/>
        <v>6.6115702479338848E-4</v>
      </c>
      <c r="AK59" s="93">
        <f t="shared" si="87"/>
        <v>6.6115702479338848E-4</v>
      </c>
      <c r="AL59" s="93">
        <f t="shared" si="87"/>
        <v>6.6115702479338848E-4</v>
      </c>
      <c r="AM59" s="93">
        <f t="shared" si="87"/>
        <v>6.6115702479338848E-4</v>
      </c>
      <c r="AN59" s="93">
        <f t="shared" si="87"/>
        <v>6.6115702479338848E-4</v>
      </c>
      <c r="AO59" s="93">
        <f t="shared" si="87"/>
        <v>6.6115702479338848E-4</v>
      </c>
      <c r="AP59" s="93">
        <f t="shared" si="87"/>
        <v>6.6115702479338848E-4</v>
      </c>
      <c r="AQ59" s="93">
        <f t="shared" si="87"/>
        <v>6.6115702479338848E-4</v>
      </c>
      <c r="AR59" s="93">
        <f t="shared" si="87"/>
        <v>6.6115702479338848E-4</v>
      </c>
      <c r="AS59" s="93">
        <f t="shared" si="87"/>
        <v>6.6115702479338848E-4</v>
      </c>
      <c r="AT59" s="93">
        <f t="shared" si="87"/>
        <v>6.6115702479338848E-4</v>
      </c>
      <c r="AU59" s="93">
        <f t="shared" si="87"/>
        <v>6.6115702479338848E-4</v>
      </c>
      <c r="AV59" s="93">
        <f t="shared" si="87"/>
        <v>6.6115702479338848E-4</v>
      </c>
      <c r="AW59" s="93">
        <f t="shared" si="87"/>
        <v>6.6115702479338848E-4</v>
      </c>
      <c r="AX59" s="93">
        <f t="shared" si="87"/>
        <v>6.6115702479338848E-4</v>
      </c>
      <c r="AY59" s="93">
        <f t="shared" si="87"/>
        <v>6.6115702479338848E-4</v>
      </c>
      <c r="AZ59" s="93">
        <f t="shared" si="87"/>
        <v>6.6115702479338848E-4</v>
      </c>
      <c r="BA59" s="93">
        <f t="shared" si="87"/>
        <v>6.6115702479338848E-4</v>
      </c>
      <c r="BB59" s="93">
        <f t="shared" si="87"/>
        <v>6.6115702479338848E-4</v>
      </c>
      <c r="BC59" s="94">
        <f t="shared" si="67"/>
        <v>151250</v>
      </c>
      <c r="BD59" s="94">
        <f>IF(AD59=".",".",up_RadSpec!$F$7*(BD7*$B59))</f>
        <v>37812.5</v>
      </c>
      <c r="BE59" s="94">
        <f>IF(AE59=".",".",up_RadSpec!$F$7*(BE7*$B59))</f>
        <v>37812.5</v>
      </c>
      <c r="BF59" s="94">
        <f>IF(AF59=".",".",up_RadSpec!$F$7*(BF7*$B59))</f>
        <v>37812.5</v>
      </c>
      <c r="BG59" s="94">
        <f>IF(AG59=".",".",up_RadSpec!$F$7*(BG7*$B59))</f>
        <v>37812.5</v>
      </c>
      <c r="BH59" s="94">
        <f>IF(AH59=".",".",up_RadSpec!$F$7*(BH7*$B59))</f>
        <v>37812.5</v>
      </c>
      <c r="BI59" s="94">
        <f>IF(AI59=".",".",up_RadSpec!$F$7*(BI7*$B59))</f>
        <v>37812.5</v>
      </c>
      <c r="BJ59" s="94">
        <f>IF(AJ59=".",".",up_RadSpec!$F$7*(BJ7*$B59))</f>
        <v>37812.5</v>
      </c>
      <c r="BK59" s="94">
        <f>IF(AK59=".",".",up_RadSpec!$F$7*(BK7*$B59))</f>
        <v>37812.5</v>
      </c>
      <c r="BL59" s="94">
        <f>IF(AL59=".",".",up_RadSpec!$F$7*(BL7*$B59))</f>
        <v>37812.5</v>
      </c>
      <c r="BM59" s="94">
        <f>IF(AM59=".",".",up_RadSpec!$F$7*(BM7*$B59))</f>
        <v>37812.5</v>
      </c>
      <c r="BN59" s="94">
        <f>IF(AN59=".",".",up_RadSpec!$F$7*(BN7*$B59))</f>
        <v>37812.5</v>
      </c>
      <c r="BO59" s="94">
        <f>IF(AO59=".",".",up_RadSpec!$F$7*(BO7*$B59))</f>
        <v>37812.5</v>
      </c>
      <c r="BP59" s="94">
        <f>IF(AP59=".",".",up_RadSpec!$F$7*(BP7*$B59))</f>
        <v>37812.5</v>
      </c>
      <c r="BQ59" s="94">
        <f>IF(AQ59=".",".",up_RadSpec!$F$7*(BQ7*$B59))</f>
        <v>37812.5</v>
      </c>
      <c r="BR59" s="94">
        <f>IF(AR59=".",".",up_RadSpec!$F$7*(BR7*$B59))</f>
        <v>37812.5</v>
      </c>
      <c r="BS59" s="94">
        <f>IF(AS59=".",".",up_RadSpec!$F$7*(BS7*$B59))</f>
        <v>37812.5</v>
      </c>
      <c r="BT59" s="94">
        <f>IF(AT59=".",".",up_RadSpec!$F$7*(BT7*$B59))</f>
        <v>37812.5</v>
      </c>
      <c r="BU59" s="94">
        <f>IF(AU59=".",".",up_RadSpec!$F$7*(BU7*$B59))</f>
        <v>37812.5</v>
      </c>
      <c r="BV59" s="94">
        <f>IF(AV59=".",".",up_RadSpec!$F$7*(BV7*$B59))</f>
        <v>37812.5</v>
      </c>
      <c r="BW59" s="94">
        <f>IF(AW59=".",".",up_RadSpec!$F$7*(BW7*$B59))</f>
        <v>37812.5</v>
      </c>
      <c r="BX59" s="94">
        <f>IF(AX59=".",".",up_RadSpec!$F$7*(BX7*$B59))</f>
        <v>37812.5</v>
      </c>
      <c r="BY59" s="94">
        <f>IF(AY59=".",".",up_RadSpec!$F$7*(BY7*$B59))</f>
        <v>37812.5</v>
      </c>
      <c r="BZ59" s="94">
        <f>IF(AZ59=".",".",up_RadSpec!$F$7*(BZ7*$B59))</f>
        <v>37812.5</v>
      </c>
      <c r="CA59" s="94">
        <f>IF(BA59=".",".",up_RadSpec!$F$7*(CA7*$B59))</f>
        <v>37812.5</v>
      </c>
      <c r="CB59" s="94">
        <f>IF(BB59=".",".",up_RadSpec!$F$7*(CB7*$B59))</f>
        <v>37812.5</v>
      </c>
    </row>
    <row r="60" spans="1:80" x14ac:dyDescent="0.25">
      <c r="A60" s="92" t="s">
        <v>1081</v>
      </c>
      <c r="B60" s="97">
        <v>1.9000000000000001E-8</v>
      </c>
      <c r="C60" s="93">
        <f t="shared" ref="C60:AH60" si="88">IFERROR(C12/$B60,".")</f>
        <v>8699.4345367551105</v>
      </c>
      <c r="D60" s="93">
        <f t="shared" si="88"/>
        <v>34797.738147020442</v>
      </c>
      <c r="E60" s="93">
        <f t="shared" si="88"/>
        <v>34797.738147020442</v>
      </c>
      <c r="F60" s="93">
        <f t="shared" si="88"/>
        <v>34797.738147020442</v>
      </c>
      <c r="G60" s="93">
        <f t="shared" si="88"/>
        <v>34797.738147020442</v>
      </c>
      <c r="H60" s="93">
        <f t="shared" si="88"/>
        <v>34797.738147020442</v>
      </c>
      <c r="I60" s="93">
        <f t="shared" si="88"/>
        <v>34797.738147020442</v>
      </c>
      <c r="J60" s="93">
        <f t="shared" si="88"/>
        <v>34797.738147020442</v>
      </c>
      <c r="K60" s="93">
        <f t="shared" si="88"/>
        <v>34797.738147020442</v>
      </c>
      <c r="L60" s="93">
        <f t="shared" si="88"/>
        <v>34797.738147020442</v>
      </c>
      <c r="M60" s="93">
        <f t="shared" si="88"/>
        <v>34797.738147020442</v>
      </c>
      <c r="N60" s="93">
        <f t="shared" si="88"/>
        <v>34797.738147020442</v>
      </c>
      <c r="O60" s="93">
        <f t="shared" si="88"/>
        <v>34797.738147020442</v>
      </c>
      <c r="P60" s="93">
        <f t="shared" si="88"/>
        <v>34797.738147020442</v>
      </c>
      <c r="Q60" s="93">
        <f t="shared" si="88"/>
        <v>34797.738147020442</v>
      </c>
      <c r="R60" s="93">
        <f t="shared" si="88"/>
        <v>34797.738147020442</v>
      </c>
      <c r="S60" s="93">
        <f t="shared" si="88"/>
        <v>34797.738147020442</v>
      </c>
      <c r="T60" s="93">
        <f t="shared" si="88"/>
        <v>34797.738147020442</v>
      </c>
      <c r="U60" s="93">
        <f t="shared" si="88"/>
        <v>34797.738147020442</v>
      </c>
      <c r="V60" s="93">
        <f t="shared" si="88"/>
        <v>34797.738147020442</v>
      </c>
      <c r="W60" s="93">
        <f t="shared" si="88"/>
        <v>34797.738147020442</v>
      </c>
      <c r="X60" s="93">
        <f t="shared" si="88"/>
        <v>34797.738147020442</v>
      </c>
      <c r="Y60" s="93">
        <f t="shared" si="88"/>
        <v>34797.738147020442</v>
      </c>
      <c r="Z60" s="93">
        <f t="shared" si="88"/>
        <v>34797.738147020442</v>
      </c>
      <c r="AA60" s="93">
        <f t="shared" si="88"/>
        <v>34797.738147020442</v>
      </c>
      <c r="AB60" s="93">
        <f t="shared" si="88"/>
        <v>34797.738147020442</v>
      </c>
      <c r="AC60" s="93">
        <f t="shared" si="88"/>
        <v>8699.4345367551105</v>
      </c>
      <c r="AD60" s="93">
        <f t="shared" si="88"/>
        <v>34797.738147020442</v>
      </c>
      <c r="AE60" s="93">
        <f t="shared" si="88"/>
        <v>34797.738147020442</v>
      </c>
      <c r="AF60" s="93">
        <f t="shared" si="88"/>
        <v>34797.738147020442</v>
      </c>
      <c r="AG60" s="93">
        <f t="shared" si="88"/>
        <v>34797.738147020442</v>
      </c>
      <c r="AH60" s="93">
        <f t="shared" si="88"/>
        <v>34797.738147020442</v>
      </c>
      <c r="AI60" s="93">
        <f t="shared" ref="AI60:BB60" si="89">IFERROR(AI12/$B60,".")</f>
        <v>34797.738147020442</v>
      </c>
      <c r="AJ60" s="93">
        <f t="shared" si="89"/>
        <v>34797.738147020442</v>
      </c>
      <c r="AK60" s="93">
        <f t="shared" si="89"/>
        <v>34797.738147020442</v>
      </c>
      <c r="AL60" s="93">
        <f t="shared" si="89"/>
        <v>34797.738147020442</v>
      </c>
      <c r="AM60" s="93">
        <f t="shared" si="89"/>
        <v>34797.738147020442</v>
      </c>
      <c r="AN60" s="93">
        <f t="shared" si="89"/>
        <v>34797.738147020442</v>
      </c>
      <c r="AO60" s="93">
        <f t="shared" si="89"/>
        <v>34797.738147020442</v>
      </c>
      <c r="AP60" s="93">
        <f t="shared" si="89"/>
        <v>34797.738147020442</v>
      </c>
      <c r="AQ60" s="93">
        <f t="shared" si="89"/>
        <v>34797.738147020442</v>
      </c>
      <c r="AR60" s="93">
        <f t="shared" si="89"/>
        <v>34797.738147020442</v>
      </c>
      <c r="AS60" s="93">
        <f t="shared" si="89"/>
        <v>34797.738147020442</v>
      </c>
      <c r="AT60" s="93">
        <f t="shared" si="89"/>
        <v>34797.738147020442</v>
      </c>
      <c r="AU60" s="93">
        <f t="shared" si="89"/>
        <v>34797.738147020442</v>
      </c>
      <c r="AV60" s="93">
        <f t="shared" si="89"/>
        <v>34797.738147020442</v>
      </c>
      <c r="AW60" s="93">
        <f t="shared" si="89"/>
        <v>34797.738147020442</v>
      </c>
      <c r="AX60" s="93">
        <f t="shared" si="89"/>
        <v>34797.738147020442</v>
      </c>
      <c r="AY60" s="93">
        <f t="shared" si="89"/>
        <v>34797.738147020442</v>
      </c>
      <c r="AZ60" s="93">
        <f t="shared" si="89"/>
        <v>34797.738147020442</v>
      </c>
      <c r="BA60" s="93">
        <f t="shared" si="89"/>
        <v>34797.738147020442</v>
      </c>
      <c r="BB60" s="93">
        <f t="shared" si="89"/>
        <v>34797.738147020442</v>
      </c>
      <c r="BC60" s="94">
        <f t="shared" si="67"/>
        <v>2.8737500000000004E-3</v>
      </c>
      <c r="BD60" s="94">
        <f>IF(AD60=".",".",up_RadSpec!$F$12*(BD12*$B60))</f>
        <v>7.1843750000000011E-4</v>
      </c>
      <c r="BE60" s="94">
        <f>IF(AE60=".",".",up_RadSpec!$F$12*(BE12*$B60))</f>
        <v>7.1843750000000011E-4</v>
      </c>
      <c r="BF60" s="94">
        <f>IF(AF60=".",".",up_RadSpec!$F$12*(BF12*$B60))</f>
        <v>7.1843750000000011E-4</v>
      </c>
      <c r="BG60" s="94">
        <f>IF(AG60=".",".",up_RadSpec!$F$12*(BG12*$B60))</f>
        <v>7.1843750000000011E-4</v>
      </c>
      <c r="BH60" s="94">
        <f>IF(AH60=".",".",up_RadSpec!$F$12*(BH12*$B60))</f>
        <v>7.1843750000000011E-4</v>
      </c>
      <c r="BI60" s="94">
        <f>IF(AI60=".",".",up_RadSpec!$F$12*(BI12*$B60))</f>
        <v>7.1843750000000011E-4</v>
      </c>
      <c r="BJ60" s="94">
        <f>IF(AJ60=".",".",up_RadSpec!$F$12*(BJ12*$B60))</f>
        <v>7.1843750000000011E-4</v>
      </c>
      <c r="BK60" s="94">
        <f>IF(AK60=".",".",up_RadSpec!$F$12*(BK12*$B60))</f>
        <v>7.1843750000000011E-4</v>
      </c>
      <c r="BL60" s="94">
        <f>IF(AL60=".",".",up_RadSpec!$F$12*(BL12*$B60))</f>
        <v>7.1843750000000011E-4</v>
      </c>
      <c r="BM60" s="94">
        <f>IF(AM60=".",".",up_RadSpec!$F$12*(BM12*$B60))</f>
        <v>7.1843750000000011E-4</v>
      </c>
      <c r="BN60" s="94">
        <f>IF(AN60=".",".",up_RadSpec!$F$12*(BN12*$B60))</f>
        <v>7.1843750000000011E-4</v>
      </c>
      <c r="BO60" s="94">
        <f>IF(AO60=".",".",up_RadSpec!$F$12*(BO12*$B60))</f>
        <v>7.1843750000000011E-4</v>
      </c>
      <c r="BP60" s="94">
        <f>IF(AP60=".",".",up_RadSpec!$F$12*(BP12*$B60))</f>
        <v>7.1843750000000011E-4</v>
      </c>
      <c r="BQ60" s="94">
        <f>IF(AQ60=".",".",up_RadSpec!$F$12*(BQ12*$B60))</f>
        <v>7.1843750000000011E-4</v>
      </c>
      <c r="BR60" s="94">
        <f>IF(AR60=".",".",up_RadSpec!$F$12*(BR12*$B60))</f>
        <v>7.1843750000000011E-4</v>
      </c>
      <c r="BS60" s="94">
        <f>IF(AS60=".",".",up_RadSpec!$F$12*(BS12*$B60))</f>
        <v>7.1843750000000011E-4</v>
      </c>
      <c r="BT60" s="94">
        <f>IF(AT60=".",".",up_RadSpec!$F$12*(BT12*$B60))</f>
        <v>7.1843750000000011E-4</v>
      </c>
      <c r="BU60" s="94">
        <f>IF(AU60=".",".",up_RadSpec!$F$12*(BU12*$B60))</f>
        <v>7.1843750000000011E-4</v>
      </c>
      <c r="BV60" s="94">
        <f>IF(AV60=".",".",up_RadSpec!$F$12*(BV12*$B60))</f>
        <v>7.1843750000000011E-4</v>
      </c>
      <c r="BW60" s="94">
        <f>IF(AW60=".",".",up_RadSpec!$F$12*(BW12*$B60))</f>
        <v>7.1843750000000011E-4</v>
      </c>
      <c r="BX60" s="94">
        <f>IF(AX60=".",".",up_RadSpec!$F$12*(BX12*$B60))</f>
        <v>7.1843750000000011E-4</v>
      </c>
      <c r="BY60" s="94">
        <f>IF(AY60=".",".",up_RadSpec!$F$12*(BY12*$B60))</f>
        <v>7.1843750000000011E-4</v>
      </c>
      <c r="BZ60" s="94">
        <f>IF(AZ60=".",".",up_RadSpec!$F$12*(BZ12*$B60))</f>
        <v>7.1843750000000011E-4</v>
      </c>
      <c r="CA60" s="94">
        <f>IF(BA60=".",".",up_RadSpec!$F$12*(CA12*$B60))</f>
        <v>7.1843750000000011E-4</v>
      </c>
      <c r="CB60" s="94">
        <f>IF(BB60=".",".",up_RadSpec!$F$12*(CB12*$B60))</f>
        <v>7.1843750000000011E-4</v>
      </c>
    </row>
    <row r="61" spans="1:80" x14ac:dyDescent="0.25">
      <c r="A61" s="92" t="s">
        <v>1082</v>
      </c>
      <c r="B61" s="84">
        <v>1</v>
      </c>
      <c r="C61" s="93">
        <f t="shared" ref="C61:AH61" si="90">IFERROR(C18/$B61,".")</f>
        <v>1.6528925619834712E-4</v>
      </c>
      <c r="D61" s="93">
        <f t="shared" si="90"/>
        <v>6.6115702479338848E-4</v>
      </c>
      <c r="E61" s="93">
        <f t="shared" si="90"/>
        <v>6.6115702479338848E-4</v>
      </c>
      <c r="F61" s="93">
        <f t="shared" si="90"/>
        <v>6.6115702479338848E-4</v>
      </c>
      <c r="G61" s="93">
        <f t="shared" si="90"/>
        <v>6.6115702479338848E-4</v>
      </c>
      <c r="H61" s="93">
        <f t="shared" si="90"/>
        <v>6.6115702479338848E-4</v>
      </c>
      <c r="I61" s="93">
        <f t="shared" si="90"/>
        <v>6.6115702479338848E-4</v>
      </c>
      <c r="J61" s="93">
        <f t="shared" si="90"/>
        <v>6.6115702479338848E-4</v>
      </c>
      <c r="K61" s="93">
        <f t="shared" si="90"/>
        <v>6.6115702479338848E-4</v>
      </c>
      <c r="L61" s="93">
        <f t="shared" si="90"/>
        <v>6.6115702479338848E-4</v>
      </c>
      <c r="M61" s="93">
        <f t="shared" si="90"/>
        <v>6.6115702479338848E-4</v>
      </c>
      <c r="N61" s="93">
        <f t="shared" si="90"/>
        <v>6.6115702479338848E-4</v>
      </c>
      <c r="O61" s="93">
        <f t="shared" si="90"/>
        <v>6.6115702479338848E-4</v>
      </c>
      <c r="P61" s="93">
        <f t="shared" si="90"/>
        <v>6.6115702479338848E-4</v>
      </c>
      <c r="Q61" s="93">
        <f t="shared" si="90"/>
        <v>6.6115702479338848E-4</v>
      </c>
      <c r="R61" s="93">
        <f t="shared" si="90"/>
        <v>6.6115702479338848E-4</v>
      </c>
      <c r="S61" s="93">
        <f t="shared" si="90"/>
        <v>6.6115702479338848E-4</v>
      </c>
      <c r="T61" s="93">
        <f t="shared" si="90"/>
        <v>6.6115702479338848E-4</v>
      </c>
      <c r="U61" s="93">
        <f t="shared" si="90"/>
        <v>6.6115702479338848E-4</v>
      </c>
      <c r="V61" s="93">
        <f t="shared" si="90"/>
        <v>6.6115702479338848E-4</v>
      </c>
      <c r="W61" s="93">
        <f t="shared" si="90"/>
        <v>6.6115702479338848E-4</v>
      </c>
      <c r="X61" s="93">
        <f t="shared" si="90"/>
        <v>6.6115702479338848E-4</v>
      </c>
      <c r="Y61" s="93">
        <f t="shared" si="90"/>
        <v>6.6115702479338848E-4</v>
      </c>
      <c r="Z61" s="93">
        <f t="shared" si="90"/>
        <v>6.6115702479338848E-4</v>
      </c>
      <c r="AA61" s="93">
        <f t="shared" si="90"/>
        <v>6.6115702479338848E-4</v>
      </c>
      <c r="AB61" s="93">
        <f t="shared" si="90"/>
        <v>6.6115702479338848E-4</v>
      </c>
      <c r="AC61" s="93">
        <f t="shared" si="90"/>
        <v>1.6528925619834712E-4</v>
      </c>
      <c r="AD61" s="93">
        <f t="shared" si="90"/>
        <v>6.6115702479338848E-4</v>
      </c>
      <c r="AE61" s="93">
        <f t="shared" si="90"/>
        <v>6.6115702479338848E-4</v>
      </c>
      <c r="AF61" s="93">
        <f t="shared" si="90"/>
        <v>6.6115702479338848E-4</v>
      </c>
      <c r="AG61" s="93">
        <f t="shared" si="90"/>
        <v>6.6115702479338848E-4</v>
      </c>
      <c r="AH61" s="93">
        <f t="shared" si="90"/>
        <v>6.6115702479338848E-4</v>
      </c>
      <c r="AI61" s="93">
        <f t="shared" ref="AI61:BB61" si="91">IFERROR(AI18/$B61,".")</f>
        <v>6.6115702479338848E-4</v>
      </c>
      <c r="AJ61" s="93">
        <f t="shared" si="91"/>
        <v>6.6115702479338848E-4</v>
      </c>
      <c r="AK61" s="93">
        <f t="shared" si="91"/>
        <v>6.6115702479338848E-4</v>
      </c>
      <c r="AL61" s="93">
        <f t="shared" si="91"/>
        <v>6.6115702479338848E-4</v>
      </c>
      <c r="AM61" s="93">
        <f t="shared" si="91"/>
        <v>6.6115702479338848E-4</v>
      </c>
      <c r="AN61" s="93">
        <f t="shared" si="91"/>
        <v>6.6115702479338848E-4</v>
      </c>
      <c r="AO61" s="93">
        <f t="shared" si="91"/>
        <v>6.6115702479338848E-4</v>
      </c>
      <c r="AP61" s="93">
        <f t="shared" si="91"/>
        <v>6.6115702479338848E-4</v>
      </c>
      <c r="AQ61" s="93">
        <f t="shared" si="91"/>
        <v>6.6115702479338848E-4</v>
      </c>
      <c r="AR61" s="93">
        <f t="shared" si="91"/>
        <v>6.6115702479338848E-4</v>
      </c>
      <c r="AS61" s="93">
        <f t="shared" si="91"/>
        <v>6.6115702479338848E-4</v>
      </c>
      <c r="AT61" s="93">
        <f t="shared" si="91"/>
        <v>6.6115702479338848E-4</v>
      </c>
      <c r="AU61" s="93">
        <f t="shared" si="91"/>
        <v>6.6115702479338848E-4</v>
      </c>
      <c r="AV61" s="93">
        <f t="shared" si="91"/>
        <v>6.6115702479338848E-4</v>
      </c>
      <c r="AW61" s="93">
        <f t="shared" si="91"/>
        <v>6.6115702479338848E-4</v>
      </c>
      <c r="AX61" s="93">
        <f t="shared" si="91"/>
        <v>6.6115702479338848E-4</v>
      </c>
      <c r="AY61" s="93">
        <f t="shared" si="91"/>
        <v>6.6115702479338848E-4</v>
      </c>
      <c r="AZ61" s="93">
        <f t="shared" si="91"/>
        <v>6.6115702479338848E-4</v>
      </c>
      <c r="BA61" s="93">
        <f t="shared" si="91"/>
        <v>6.6115702479338848E-4</v>
      </c>
      <c r="BB61" s="93">
        <f t="shared" si="91"/>
        <v>6.6115702479338848E-4</v>
      </c>
      <c r="BC61" s="94">
        <f t="shared" si="67"/>
        <v>151250</v>
      </c>
      <c r="BD61" s="94">
        <f>IF(AD61=".",".",up_RadSpec!$F$18*(BD18*$B61))</f>
        <v>37812.5</v>
      </c>
      <c r="BE61" s="94">
        <f>IF(AE61=".",".",up_RadSpec!$F$18*(BE18*$B61))</f>
        <v>37812.5</v>
      </c>
      <c r="BF61" s="94">
        <f>IF(AF61=".",".",up_RadSpec!$F$18*(BF18*$B61))</f>
        <v>37812.5</v>
      </c>
      <c r="BG61" s="94">
        <f>IF(AG61=".",".",up_RadSpec!$F$18*(BG18*$B61))</f>
        <v>37812.5</v>
      </c>
      <c r="BH61" s="94">
        <f>IF(AH61=".",".",up_RadSpec!$F$18*(BH18*$B61))</f>
        <v>37812.5</v>
      </c>
      <c r="BI61" s="94">
        <f>IF(AI61=".",".",up_RadSpec!$F$18*(BI18*$B61))</f>
        <v>37812.5</v>
      </c>
      <c r="BJ61" s="94">
        <f>IF(AJ61=".",".",up_RadSpec!$F$18*(BJ18*$B61))</f>
        <v>37812.5</v>
      </c>
      <c r="BK61" s="94">
        <f>IF(AK61=".",".",up_RadSpec!$F$18*(BK18*$B61))</f>
        <v>37812.5</v>
      </c>
      <c r="BL61" s="94">
        <f>IF(AL61=".",".",up_RadSpec!$F$18*(BL18*$B61))</f>
        <v>37812.5</v>
      </c>
      <c r="BM61" s="94">
        <f>IF(AM61=".",".",up_RadSpec!$F$18*(BM18*$B61))</f>
        <v>37812.5</v>
      </c>
      <c r="BN61" s="94">
        <f>IF(AN61=".",".",up_RadSpec!$F$18*(BN18*$B61))</f>
        <v>37812.5</v>
      </c>
      <c r="BO61" s="94">
        <f>IF(AO61=".",".",up_RadSpec!$F$18*(BO18*$B61))</f>
        <v>37812.5</v>
      </c>
      <c r="BP61" s="94">
        <f>IF(AP61=".",".",up_RadSpec!$F$18*(BP18*$B61))</f>
        <v>37812.5</v>
      </c>
      <c r="BQ61" s="94">
        <f>IF(AQ61=".",".",up_RadSpec!$F$18*(BQ18*$B61))</f>
        <v>37812.5</v>
      </c>
      <c r="BR61" s="94">
        <f>IF(AR61=".",".",up_RadSpec!$F$18*(BR18*$B61))</f>
        <v>37812.5</v>
      </c>
      <c r="BS61" s="94">
        <f>IF(AS61=".",".",up_RadSpec!$F$18*(BS18*$B61))</f>
        <v>37812.5</v>
      </c>
      <c r="BT61" s="94">
        <f>IF(AT61=".",".",up_RadSpec!$F$18*(BT18*$B61))</f>
        <v>37812.5</v>
      </c>
      <c r="BU61" s="94">
        <f>IF(AU61=".",".",up_RadSpec!$F$18*(BU18*$B61))</f>
        <v>37812.5</v>
      </c>
      <c r="BV61" s="94">
        <f>IF(AV61=".",".",up_RadSpec!$F$18*(BV18*$B61))</f>
        <v>37812.5</v>
      </c>
      <c r="BW61" s="94">
        <f>IF(AW61=".",".",up_RadSpec!$F$18*(BW18*$B61))</f>
        <v>37812.5</v>
      </c>
      <c r="BX61" s="94">
        <f>IF(AX61=".",".",up_RadSpec!$F$18*(BX18*$B61))</f>
        <v>37812.5</v>
      </c>
      <c r="BY61" s="94">
        <f>IF(AY61=".",".",up_RadSpec!$F$18*(BY18*$B61))</f>
        <v>37812.5</v>
      </c>
      <c r="BZ61" s="94">
        <f>IF(AZ61=".",".",up_RadSpec!$F$18*(BZ18*$B61))</f>
        <v>37812.5</v>
      </c>
      <c r="CA61" s="94">
        <f>IF(BA61=".",".",up_RadSpec!$F$18*(CA18*$B61))</f>
        <v>37812.5</v>
      </c>
      <c r="CB61" s="94">
        <f>IF(BB61=".",".",up_RadSpec!$F$18*(CB18*$B61))</f>
        <v>37812.5</v>
      </c>
    </row>
    <row r="62" spans="1:80" x14ac:dyDescent="0.25">
      <c r="A62" s="92" t="s">
        <v>1083</v>
      </c>
      <c r="B62" s="84">
        <v>1.339E-6</v>
      </c>
      <c r="C62" s="93">
        <f t="shared" ref="C62:AH62" si="92">IFERROR(C27/$B62,".")</f>
        <v>123.44231232139441</v>
      </c>
      <c r="D62" s="93">
        <f t="shared" si="92"/>
        <v>493.76924928557764</v>
      </c>
      <c r="E62" s="93">
        <f t="shared" si="92"/>
        <v>493.76924928557764</v>
      </c>
      <c r="F62" s="93">
        <f t="shared" si="92"/>
        <v>493.76924928557764</v>
      </c>
      <c r="G62" s="93">
        <f t="shared" si="92"/>
        <v>493.76924928557764</v>
      </c>
      <c r="H62" s="93">
        <f t="shared" si="92"/>
        <v>493.76924928557764</v>
      </c>
      <c r="I62" s="93">
        <f t="shared" si="92"/>
        <v>493.76924928557764</v>
      </c>
      <c r="J62" s="93">
        <f t="shared" si="92"/>
        <v>493.76924928557764</v>
      </c>
      <c r="K62" s="93">
        <f t="shared" si="92"/>
        <v>493.76924928557764</v>
      </c>
      <c r="L62" s="93">
        <f t="shared" si="92"/>
        <v>493.76924928557764</v>
      </c>
      <c r="M62" s="93">
        <f t="shared" si="92"/>
        <v>493.76924928557764</v>
      </c>
      <c r="N62" s="93">
        <f t="shared" si="92"/>
        <v>493.76924928557764</v>
      </c>
      <c r="O62" s="93">
        <f t="shared" si="92"/>
        <v>493.76924928557764</v>
      </c>
      <c r="P62" s="93">
        <f t="shared" si="92"/>
        <v>493.76924928557764</v>
      </c>
      <c r="Q62" s="93">
        <f t="shared" si="92"/>
        <v>493.76924928557764</v>
      </c>
      <c r="R62" s="93">
        <f t="shared" si="92"/>
        <v>493.76924928557764</v>
      </c>
      <c r="S62" s="93">
        <f t="shared" si="92"/>
        <v>493.76924928557764</v>
      </c>
      <c r="T62" s="93">
        <f t="shared" si="92"/>
        <v>493.76924928557764</v>
      </c>
      <c r="U62" s="93">
        <f t="shared" si="92"/>
        <v>493.76924928557764</v>
      </c>
      <c r="V62" s="93">
        <f t="shared" si="92"/>
        <v>493.76924928557764</v>
      </c>
      <c r="W62" s="93">
        <f t="shared" si="92"/>
        <v>493.76924928557764</v>
      </c>
      <c r="X62" s="93">
        <f t="shared" si="92"/>
        <v>493.76924928557764</v>
      </c>
      <c r="Y62" s="93">
        <f t="shared" si="92"/>
        <v>493.76924928557764</v>
      </c>
      <c r="Z62" s="93">
        <f t="shared" si="92"/>
        <v>493.76924928557764</v>
      </c>
      <c r="AA62" s="93">
        <f t="shared" si="92"/>
        <v>493.76924928557764</v>
      </c>
      <c r="AB62" s="93">
        <f t="shared" si="92"/>
        <v>493.76924928557764</v>
      </c>
      <c r="AC62" s="93">
        <f t="shared" si="92"/>
        <v>123.44231232139441</v>
      </c>
      <c r="AD62" s="93">
        <f t="shared" si="92"/>
        <v>493.76924928557764</v>
      </c>
      <c r="AE62" s="93">
        <f t="shared" si="92"/>
        <v>493.76924928557764</v>
      </c>
      <c r="AF62" s="93">
        <f t="shared" si="92"/>
        <v>493.76924928557764</v>
      </c>
      <c r="AG62" s="93">
        <f t="shared" si="92"/>
        <v>493.76924928557764</v>
      </c>
      <c r="AH62" s="93">
        <f t="shared" si="92"/>
        <v>493.76924928557764</v>
      </c>
      <c r="AI62" s="93">
        <f t="shared" ref="AI62:BB62" si="93">IFERROR(AI27/$B62,".")</f>
        <v>493.76924928557764</v>
      </c>
      <c r="AJ62" s="93">
        <f t="shared" si="93"/>
        <v>493.76924928557764</v>
      </c>
      <c r="AK62" s="93">
        <f t="shared" si="93"/>
        <v>493.76924928557764</v>
      </c>
      <c r="AL62" s="93">
        <f t="shared" si="93"/>
        <v>493.76924928557764</v>
      </c>
      <c r="AM62" s="93">
        <f t="shared" si="93"/>
        <v>493.76924928557764</v>
      </c>
      <c r="AN62" s="93">
        <f t="shared" si="93"/>
        <v>493.76924928557764</v>
      </c>
      <c r="AO62" s="93">
        <f t="shared" si="93"/>
        <v>493.76924928557764</v>
      </c>
      <c r="AP62" s="93">
        <f t="shared" si="93"/>
        <v>493.76924928557764</v>
      </c>
      <c r="AQ62" s="93">
        <f t="shared" si="93"/>
        <v>493.76924928557764</v>
      </c>
      <c r="AR62" s="93">
        <f t="shared" si="93"/>
        <v>493.76924928557764</v>
      </c>
      <c r="AS62" s="93">
        <f t="shared" si="93"/>
        <v>493.76924928557764</v>
      </c>
      <c r="AT62" s="93">
        <f t="shared" si="93"/>
        <v>493.76924928557764</v>
      </c>
      <c r="AU62" s="93">
        <f t="shared" si="93"/>
        <v>493.76924928557764</v>
      </c>
      <c r="AV62" s="93">
        <f t="shared" si="93"/>
        <v>493.76924928557764</v>
      </c>
      <c r="AW62" s="93">
        <f t="shared" si="93"/>
        <v>493.76924928557764</v>
      </c>
      <c r="AX62" s="93">
        <f t="shared" si="93"/>
        <v>493.76924928557764</v>
      </c>
      <c r="AY62" s="93">
        <f t="shared" si="93"/>
        <v>493.76924928557764</v>
      </c>
      <c r="AZ62" s="93">
        <f t="shared" si="93"/>
        <v>493.76924928557764</v>
      </c>
      <c r="BA62" s="93">
        <f t="shared" si="93"/>
        <v>493.76924928557764</v>
      </c>
      <c r="BB62" s="93">
        <f t="shared" si="93"/>
        <v>493.76924928557764</v>
      </c>
      <c r="BC62" s="94">
        <f t="shared" si="67"/>
        <v>0.20252375</v>
      </c>
      <c r="BD62" s="94">
        <f>IF(AD62=".",".",up_RadSpec!$F$27*(BD27*$B62))</f>
        <v>5.0630937500000001E-2</v>
      </c>
      <c r="BE62" s="94">
        <f>IF(AE62=".",".",up_RadSpec!$F$27*(BE27*$B62))</f>
        <v>5.0630937500000001E-2</v>
      </c>
      <c r="BF62" s="94">
        <f>IF(AF62=".",".",up_RadSpec!$F$27*(BF27*$B62))</f>
        <v>5.0630937500000001E-2</v>
      </c>
      <c r="BG62" s="94">
        <f>IF(AG62=".",".",up_RadSpec!$F$27*(BG27*$B62))</f>
        <v>5.0630937500000001E-2</v>
      </c>
      <c r="BH62" s="94">
        <f>IF(AH62=".",".",up_RadSpec!$F$27*(BH27*$B62))</f>
        <v>5.0630937500000001E-2</v>
      </c>
      <c r="BI62" s="94">
        <f>IF(AI62=".",".",up_RadSpec!$F$27*(BI27*$B62))</f>
        <v>5.0630937500000001E-2</v>
      </c>
      <c r="BJ62" s="94">
        <f>IF(AJ62=".",".",up_RadSpec!$F$27*(BJ27*$B62))</f>
        <v>5.0630937500000001E-2</v>
      </c>
      <c r="BK62" s="94">
        <f>IF(AK62=".",".",up_RadSpec!$F$27*(BK27*$B62))</f>
        <v>5.0630937500000001E-2</v>
      </c>
      <c r="BL62" s="94">
        <f>IF(AL62=".",".",up_RadSpec!$F$27*(BL27*$B62))</f>
        <v>5.0630937500000001E-2</v>
      </c>
      <c r="BM62" s="94">
        <f>IF(AM62=".",".",up_RadSpec!$F$27*(BM27*$B62))</f>
        <v>5.0630937500000001E-2</v>
      </c>
      <c r="BN62" s="94">
        <f>IF(AN62=".",".",up_RadSpec!$F$27*(BN27*$B62))</f>
        <v>5.0630937500000001E-2</v>
      </c>
      <c r="BO62" s="94">
        <f>IF(AO62=".",".",up_RadSpec!$F$27*(BO27*$B62))</f>
        <v>5.0630937500000001E-2</v>
      </c>
      <c r="BP62" s="94">
        <f>IF(AP62=".",".",up_RadSpec!$F$27*(BP27*$B62))</f>
        <v>5.0630937500000001E-2</v>
      </c>
      <c r="BQ62" s="94">
        <f>IF(AQ62=".",".",up_RadSpec!$F$27*(BQ27*$B62))</f>
        <v>5.0630937500000001E-2</v>
      </c>
      <c r="BR62" s="94">
        <f>IF(AR62=".",".",up_RadSpec!$F$27*(BR27*$B62))</f>
        <v>5.0630937500000001E-2</v>
      </c>
      <c r="BS62" s="94">
        <f>IF(AS62=".",".",up_RadSpec!$F$27*(BS27*$B62))</f>
        <v>5.0630937500000001E-2</v>
      </c>
      <c r="BT62" s="94">
        <f>IF(AT62=".",".",up_RadSpec!$F$27*(BT27*$B62))</f>
        <v>5.0630937500000001E-2</v>
      </c>
      <c r="BU62" s="94">
        <f>IF(AU62=".",".",up_RadSpec!$F$27*(BU27*$B62))</f>
        <v>5.0630937500000001E-2</v>
      </c>
      <c r="BV62" s="94">
        <f>IF(AV62=".",".",up_RadSpec!$F$27*(BV27*$B62))</f>
        <v>5.0630937500000001E-2</v>
      </c>
      <c r="BW62" s="94">
        <f>IF(AW62=".",".",up_RadSpec!$F$27*(BW27*$B62))</f>
        <v>5.0630937500000001E-2</v>
      </c>
      <c r="BX62" s="94">
        <f>IF(AX62=".",".",up_RadSpec!$F$27*(BX27*$B62))</f>
        <v>5.0630937500000001E-2</v>
      </c>
      <c r="BY62" s="94">
        <f>IF(AY62=".",".",up_RadSpec!$F$27*(BY27*$B62))</f>
        <v>5.0630937500000001E-2</v>
      </c>
      <c r="BZ62" s="94">
        <f>IF(AZ62=".",".",up_RadSpec!$F$27*(BZ27*$B62))</f>
        <v>5.0630937500000001E-2</v>
      </c>
      <c r="CA62" s="94">
        <f>IF(BA62=".",".",up_RadSpec!$F$27*(CA27*$B62))</f>
        <v>5.0630937500000001E-2</v>
      </c>
      <c r="CB62" s="94">
        <f>IF(BB62=".",".",up_RadSpec!$F$27*(CB27*$B62))</f>
        <v>5.0630937500000001E-2</v>
      </c>
    </row>
    <row r="63" spans="1:80" x14ac:dyDescent="0.25">
      <c r="A63" s="89" t="s">
        <v>23</v>
      </c>
      <c r="B63" s="89" t="s">
        <v>1057</v>
      </c>
      <c r="C63" s="90">
        <f t="shared" ref="C63:AH63" si="94">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2.0661153517562578E-5</v>
      </c>
      <c r="D63" s="90">
        <f t="shared" si="94"/>
        <v>8.2644614070250314E-5</v>
      </c>
      <c r="E63" s="90">
        <f t="shared" si="94"/>
        <v>8.2644614070250314E-5</v>
      </c>
      <c r="F63" s="90">
        <f t="shared" si="94"/>
        <v>8.2644614070250314E-5</v>
      </c>
      <c r="G63" s="90">
        <f t="shared" si="94"/>
        <v>8.2644614070250314E-5</v>
      </c>
      <c r="H63" s="90">
        <f t="shared" si="94"/>
        <v>8.2644614070250314E-5</v>
      </c>
      <c r="I63" s="90">
        <f t="shared" si="94"/>
        <v>8.2644614070250314E-5</v>
      </c>
      <c r="J63" s="90">
        <f t="shared" si="94"/>
        <v>8.2644614070250314E-5</v>
      </c>
      <c r="K63" s="90">
        <f t="shared" si="94"/>
        <v>8.2644614070250314E-5</v>
      </c>
      <c r="L63" s="90">
        <f t="shared" si="94"/>
        <v>8.2644614070250314E-5</v>
      </c>
      <c r="M63" s="90">
        <f t="shared" si="94"/>
        <v>8.2644614070250314E-5</v>
      </c>
      <c r="N63" s="90">
        <f t="shared" si="94"/>
        <v>8.2644614070250314E-5</v>
      </c>
      <c r="O63" s="90">
        <f t="shared" si="94"/>
        <v>8.2644614070250314E-5</v>
      </c>
      <c r="P63" s="90">
        <f t="shared" si="94"/>
        <v>8.2644614070250314E-5</v>
      </c>
      <c r="Q63" s="90">
        <f t="shared" si="94"/>
        <v>8.2644614070250314E-5</v>
      </c>
      <c r="R63" s="90">
        <f t="shared" si="94"/>
        <v>8.2644614070250314E-5</v>
      </c>
      <c r="S63" s="90">
        <f t="shared" si="94"/>
        <v>8.2644614070250314E-5</v>
      </c>
      <c r="T63" s="90">
        <f t="shared" si="94"/>
        <v>8.2644614070250314E-5</v>
      </c>
      <c r="U63" s="90">
        <f t="shared" si="94"/>
        <v>8.2644614070250314E-5</v>
      </c>
      <c r="V63" s="90">
        <f t="shared" si="94"/>
        <v>8.2644614070250314E-5</v>
      </c>
      <c r="W63" s="90">
        <f t="shared" si="94"/>
        <v>8.2644614070250314E-5</v>
      </c>
      <c r="X63" s="90">
        <f t="shared" si="94"/>
        <v>8.2644614070250314E-5</v>
      </c>
      <c r="Y63" s="90">
        <f t="shared" si="94"/>
        <v>8.2644614070250314E-5</v>
      </c>
      <c r="Z63" s="90">
        <f t="shared" si="94"/>
        <v>8.2644614070250314E-5</v>
      </c>
      <c r="AA63" s="90">
        <f t="shared" si="94"/>
        <v>8.2644614070250314E-5</v>
      </c>
      <c r="AB63" s="90">
        <f t="shared" si="94"/>
        <v>8.2644614070250314E-5</v>
      </c>
      <c r="AC63" s="90">
        <f t="shared" si="94"/>
        <v>2.0661153517562578E-5</v>
      </c>
      <c r="AD63" s="90">
        <f t="shared" si="94"/>
        <v>8.2644614070250314E-5</v>
      </c>
      <c r="AE63" s="90">
        <f t="shared" si="94"/>
        <v>8.2644614070250314E-5</v>
      </c>
      <c r="AF63" s="90">
        <f t="shared" si="94"/>
        <v>8.2644614070250314E-5</v>
      </c>
      <c r="AG63" s="90">
        <f t="shared" si="94"/>
        <v>8.2644614070250314E-5</v>
      </c>
      <c r="AH63" s="90">
        <f t="shared" si="94"/>
        <v>8.2644614070250314E-5</v>
      </c>
      <c r="AI63" s="90">
        <f t="shared" ref="AI63:BB63" si="95">IFERROR(1/SUM(IFERROR(1/SUMIF(AI64,"&lt;&gt;.",AI64),0),IFERROR(1/SUMIF(AI65,"&lt;&gt;.",AI65),0),IFERROR(1/SUMIF(AI66,"&lt;&gt;.",AI66),0),IFERROR(1/SUMIF(AI67,"&lt;&gt;.",AI67),0),IFERROR(1/SUMIF(AI68,"&lt;&gt;.",AI68),0),IFERROR(1/SUMIF(AI69,"&lt;&gt;.",AI69),0),IFERROR(1/SUMIF(AI70,"&lt;&gt;.",AI70),0),IFERROR(1/SUMIF(AI71,"&lt;&gt;.",AI71),0),IFERROR(1/SUMIF(AI72,"&lt;&gt;.",AI72),0),IFERROR(1/SUMIF(AI73,"&lt;&gt;.",AI73),0),IFERROR(1/SUMIF(AI74,"&lt;&gt;.",AI74),0),IFERROR(1/SUMIF(AI75,"&lt;&gt;.",AI75),0),IFERROR(1/SUMIF(AI76,"&lt;&gt;.",AI76),0)),".")</f>
        <v>8.2644614070250314E-5</v>
      </c>
      <c r="AJ63" s="90">
        <f t="shared" si="95"/>
        <v>8.2644614070250314E-5</v>
      </c>
      <c r="AK63" s="90">
        <f t="shared" si="95"/>
        <v>8.2644614070250314E-5</v>
      </c>
      <c r="AL63" s="90">
        <f t="shared" si="95"/>
        <v>8.2644614070250314E-5</v>
      </c>
      <c r="AM63" s="90">
        <f t="shared" si="95"/>
        <v>8.2644614070250314E-5</v>
      </c>
      <c r="AN63" s="90">
        <f t="shared" si="95"/>
        <v>8.2644614070250314E-5</v>
      </c>
      <c r="AO63" s="90">
        <f t="shared" si="95"/>
        <v>8.2644614070250314E-5</v>
      </c>
      <c r="AP63" s="90">
        <f t="shared" si="95"/>
        <v>8.2644614070250314E-5</v>
      </c>
      <c r="AQ63" s="90">
        <f t="shared" si="95"/>
        <v>8.2644614070250314E-5</v>
      </c>
      <c r="AR63" s="90">
        <f t="shared" si="95"/>
        <v>8.2644614070250314E-5</v>
      </c>
      <c r="AS63" s="90">
        <f t="shared" si="95"/>
        <v>8.2644614070250314E-5</v>
      </c>
      <c r="AT63" s="90">
        <f t="shared" si="95"/>
        <v>8.2644614070250314E-5</v>
      </c>
      <c r="AU63" s="90">
        <f t="shared" si="95"/>
        <v>8.2644614070250314E-5</v>
      </c>
      <c r="AV63" s="90">
        <f t="shared" si="95"/>
        <v>8.2644614070250314E-5</v>
      </c>
      <c r="AW63" s="90">
        <f t="shared" si="95"/>
        <v>8.2644614070250314E-5</v>
      </c>
      <c r="AX63" s="90">
        <f t="shared" si="95"/>
        <v>8.2644614070250314E-5</v>
      </c>
      <c r="AY63" s="90">
        <f t="shared" si="95"/>
        <v>8.2644614070250314E-5</v>
      </c>
      <c r="AZ63" s="90">
        <f t="shared" si="95"/>
        <v>8.2644614070250314E-5</v>
      </c>
      <c r="BA63" s="90">
        <f t="shared" si="95"/>
        <v>8.2644614070250314E-5</v>
      </c>
      <c r="BB63" s="90">
        <f t="shared" si="95"/>
        <v>8.2644614070250314E-5</v>
      </c>
      <c r="BC63" s="91">
        <f>IFERROR(SUM(BD64:BD76,BU64:BU76,CA64:CA76,CB64:CB76),".")</f>
        <v>1210000.2053975</v>
      </c>
      <c r="BD63" s="91">
        <f>IFERROR(SUM(BD64:BD76),".")</f>
        <v>302500.05134937499</v>
      </c>
      <c r="BE63" s="91">
        <f t="shared" ref="BE63:CB63" si="96">IFERROR(SUM(BE64:BE76),".")</f>
        <v>302500.05134937499</v>
      </c>
      <c r="BF63" s="91">
        <f t="shared" si="96"/>
        <v>302500.05134937499</v>
      </c>
      <c r="BG63" s="91">
        <f t="shared" si="96"/>
        <v>302500.05134937499</v>
      </c>
      <c r="BH63" s="91">
        <f t="shared" si="96"/>
        <v>302500.05134937499</v>
      </c>
      <c r="BI63" s="91">
        <f t="shared" si="96"/>
        <v>302500.05134937499</v>
      </c>
      <c r="BJ63" s="91">
        <f t="shared" si="96"/>
        <v>302500.05134937499</v>
      </c>
      <c r="BK63" s="91">
        <f t="shared" si="96"/>
        <v>302500.05134937499</v>
      </c>
      <c r="BL63" s="91">
        <f t="shared" si="96"/>
        <v>302500.05134937499</v>
      </c>
      <c r="BM63" s="91">
        <f t="shared" si="96"/>
        <v>302500.05134937499</v>
      </c>
      <c r="BN63" s="91">
        <f t="shared" si="96"/>
        <v>302500.05134937499</v>
      </c>
      <c r="BO63" s="91">
        <f t="shared" si="96"/>
        <v>302500.05134937499</v>
      </c>
      <c r="BP63" s="91">
        <f t="shared" si="96"/>
        <v>302500.05134937499</v>
      </c>
      <c r="BQ63" s="91">
        <f t="shared" si="96"/>
        <v>302500.05134937499</v>
      </c>
      <c r="BR63" s="91">
        <f t="shared" si="96"/>
        <v>302500.05134937499</v>
      </c>
      <c r="BS63" s="91">
        <f t="shared" si="96"/>
        <v>302500.05134937499</v>
      </c>
      <c r="BT63" s="91">
        <f t="shared" si="96"/>
        <v>302500.05134937499</v>
      </c>
      <c r="BU63" s="91">
        <f t="shared" si="96"/>
        <v>302500.05134937499</v>
      </c>
      <c r="BV63" s="91">
        <f t="shared" si="96"/>
        <v>302500.05134937499</v>
      </c>
      <c r="BW63" s="91">
        <f t="shared" si="96"/>
        <v>302500.05134937499</v>
      </c>
      <c r="BX63" s="91">
        <f t="shared" si="96"/>
        <v>302500.05134937499</v>
      </c>
      <c r="BY63" s="91">
        <f t="shared" si="96"/>
        <v>302500.05134937499</v>
      </c>
      <c r="BZ63" s="91">
        <f t="shared" si="96"/>
        <v>302500.05134937499</v>
      </c>
      <c r="CA63" s="91">
        <f t="shared" si="96"/>
        <v>302500.05134937499</v>
      </c>
      <c r="CB63" s="91">
        <f t="shared" si="96"/>
        <v>302500.05134937499</v>
      </c>
    </row>
    <row r="64" spans="1:80" x14ac:dyDescent="0.25">
      <c r="A64" s="92" t="s">
        <v>1073</v>
      </c>
      <c r="B64" s="84">
        <v>1</v>
      </c>
      <c r="C64" s="93">
        <f t="shared" ref="C64:AH64" si="97">IFERROR(C25/$B50,".")</f>
        <v>1.6528925619834712E-4</v>
      </c>
      <c r="D64" s="93">
        <f t="shared" si="97"/>
        <v>6.6115702479338848E-4</v>
      </c>
      <c r="E64" s="93">
        <f t="shared" si="97"/>
        <v>6.6115702479338848E-4</v>
      </c>
      <c r="F64" s="93">
        <f t="shared" si="97"/>
        <v>6.6115702479338848E-4</v>
      </c>
      <c r="G64" s="93">
        <f t="shared" si="97"/>
        <v>6.6115702479338848E-4</v>
      </c>
      <c r="H64" s="93">
        <f t="shared" si="97"/>
        <v>6.6115702479338848E-4</v>
      </c>
      <c r="I64" s="93">
        <f t="shared" si="97"/>
        <v>6.6115702479338848E-4</v>
      </c>
      <c r="J64" s="93">
        <f t="shared" si="97"/>
        <v>6.6115702479338848E-4</v>
      </c>
      <c r="K64" s="93">
        <f t="shared" si="97"/>
        <v>6.6115702479338848E-4</v>
      </c>
      <c r="L64" s="93">
        <f t="shared" si="97"/>
        <v>6.6115702479338848E-4</v>
      </c>
      <c r="M64" s="93">
        <f t="shared" si="97"/>
        <v>6.6115702479338848E-4</v>
      </c>
      <c r="N64" s="93">
        <f t="shared" si="97"/>
        <v>6.6115702479338848E-4</v>
      </c>
      <c r="O64" s="93">
        <f t="shared" si="97"/>
        <v>6.6115702479338848E-4</v>
      </c>
      <c r="P64" s="93">
        <f t="shared" si="97"/>
        <v>6.6115702479338848E-4</v>
      </c>
      <c r="Q64" s="93">
        <f t="shared" si="97"/>
        <v>6.6115702479338848E-4</v>
      </c>
      <c r="R64" s="93">
        <f t="shared" si="97"/>
        <v>6.6115702479338848E-4</v>
      </c>
      <c r="S64" s="93">
        <f t="shared" si="97"/>
        <v>6.6115702479338848E-4</v>
      </c>
      <c r="T64" s="93">
        <f t="shared" si="97"/>
        <v>6.6115702479338848E-4</v>
      </c>
      <c r="U64" s="93">
        <f t="shared" si="97"/>
        <v>6.6115702479338848E-4</v>
      </c>
      <c r="V64" s="93">
        <f t="shared" si="97"/>
        <v>6.6115702479338848E-4</v>
      </c>
      <c r="W64" s="93">
        <f t="shared" si="97"/>
        <v>6.6115702479338848E-4</v>
      </c>
      <c r="X64" s="93">
        <f t="shared" si="97"/>
        <v>6.6115702479338848E-4</v>
      </c>
      <c r="Y64" s="93">
        <f t="shared" si="97"/>
        <v>6.6115702479338848E-4</v>
      </c>
      <c r="Z64" s="93">
        <f t="shared" si="97"/>
        <v>6.6115702479338848E-4</v>
      </c>
      <c r="AA64" s="93">
        <f t="shared" si="97"/>
        <v>6.6115702479338848E-4</v>
      </c>
      <c r="AB64" s="93">
        <f t="shared" si="97"/>
        <v>6.6115702479338848E-4</v>
      </c>
      <c r="AC64" s="93">
        <f t="shared" si="97"/>
        <v>1.6528925619834712E-4</v>
      </c>
      <c r="AD64" s="93">
        <f t="shared" si="97"/>
        <v>6.6115702479338848E-4</v>
      </c>
      <c r="AE64" s="93">
        <f t="shared" si="97"/>
        <v>6.6115702479338848E-4</v>
      </c>
      <c r="AF64" s="93">
        <f t="shared" si="97"/>
        <v>6.6115702479338848E-4</v>
      </c>
      <c r="AG64" s="93">
        <f t="shared" si="97"/>
        <v>6.6115702479338848E-4</v>
      </c>
      <c r="AH64" s="93">
        <f t="shared" si="97"/>
        <v>6.6115702479338848E-4</v>
      </c>
      <c r="AI64" s="93">
        <f t="shared" ref="AI64:BB64" si="98">IFERROR(AI25/$B50,".")</f>
        <v>6.6115702479338848E-4</v>
      </c>
      <c r="AJ64" s="93">
        <f t="shared" si="98"/>
        <v>6.6115702479338848E-4</v>
      </c>
      <c r="AK64" s="93">
        <f t="shared" si="98"/>
        <v>6.6115702479338848E-4</v>
      </c>
      <c r="AL64" s="93">
        <f t="shared" si="98"/>
        <v>6.6115702479338848E-4</v>
      </c>
      <c r="AM64" s="93">
        <f t="shared" si="98"/>
        <v>6.6115702479338848E-4</v>
      </c>
      <c r="AN64" s="93">
        <f t="shared" si="98"/>
        <v>6.6115702479338848E-4</v>
      </c>
      <c r="AO64" s="93">
        <f t="shared" si="98"/>
        <v>6.6115702479338848E-4</v>
      </c>
      <c r="AP64" s="93">
        <f t="shared" si="98"/>
        <v>6.6115702479338848E-4</v>
      </c>
      <c r="AQ64" s="93">
        <f t="shared" si="98"/>
        <v>6.6115702479338848E-4</v>
      </c>
      <c r="AR64" s="93">
        <f t="shared" si="98"/>
        <v>6.6115702479338848E-4</v>
      </c>
      <c r="AS64" s="93">
        <f t="shared" si="98"/>
        <v>6.6115702479338848E-4</v>
      </c>
      <c r="AT64" s="93">
        <f t="shared" si="98"/>
        <v>6.6115702479338848E-4</v>
      </c>
      <c r="AU64" s="93">
        <f t="shared" si="98"/>
        <v>6.6115702479338848E-4</v>
      </c>
      <c r="AV64" s="93">
        <f t="shared" si="98"/>
        <v>6.6115702479338848E-4</v>
      </c>
      <c r="AW64" s="93">
        <f t="shared" si="98"/>
        <v>6.6115702479338848E-4</v>
      </c>
      <c r="AX64" s="93">
        <f t="shared" si="98"/>
        <v>6.6115702479338848E-4</v>
      </c>
      <c r="AY64" s="93">
        <f t="shared" si="98"/>
        <v>6.6115702479338848E-4</v>
      </c>
      <c r="AZ64" s="93">
        <f t="shared" si="98"/>
        <v>6.6115702479338848E-4</v>
      </c>
      <c r="BA64" s="93">
        <f t="shared" si="98"/>
        <v>6.6115702479338848E-4</v>
      </c>
      <c r="BB64" s="93">
        <f t="shared" si="98"/>
        <v>6.6115702479338848E-4</v>
      </c>
      <c r="BC64" s="94">
        <f t="shared" ref="BC64:BC76" si="99">IF(AND(BD64&lt;&gt;".",BU64&lt;&gt;".",CA64&lt;&gt;".",CB64&lt;&gt;"."),SUM(BD64,BU64,CA64:CB64),".")</f>
        <v>151250</v>
      </c>
      <c r="BD64" s="94">
        <f>IF(AD64=".",".",up_RadSpec!$F$25*(BD25*$B64))</f>
        <v>37812.5</v>
      </c>
      <c r="BE64" s="94">
        <f>IF(AE64=".",".",up_RadSpec!$F$25*(BE25*$B64))</f>
        <v>37812.5</v>
      </c>
      <c r="BF64" s="94">
        <f>IF(AF64=".",".",up_RadSpec!$F$25*(BF25*$B64))</f>
        <v>37812.5</v>
      </c>
      <c r="BG64" s="94">
        <f>IF(AG64=".",".",up_RadSpec!$F$25*(BG25*$B64))</f>
        <v>37812.5</v>
      </c>
      <c r="BH64" s="94">
        <f>IF(AH64=".",".",up_RadSpec!$F$25*(BH25*$B64))</f>
        <v>37812.5</v>
      </c>
      <c r="BI64" s="94">
        <f>IF(AI64=".",".",up_RadSpec!$F$25*(BI25*$B64))</f>
        <v>37812.5</v>
      </c>
      <c r="BJ64" s="94">
        <f>IF(AJ64=".",".",up_RadSpec!$F$25*(BJ25*$B64))</f>
        <v>37812.5</v>
      </c>
      <c r="BK64" s="94">
        <f>IF(AK64=".",".",up_RadSpec!$F$25*(BK25*$B64))</f>
        <v>37812.5</v>
      </c>
      <c r="BL64" s="94">
        <f>IF(AL64=".",".",up_RadSpec!$F$25*(BL25*$B64))</f>
        <v>37812.5</v>
      </c>
      <c r="BM64" s="94">
        <f>IF(AM64=".",".",up_RadSpec!$F$25*(BM25*$B64))</f>
        <v>37812.5</v>
      </c>
      <c r="BN64" s="94">
        <f>IF(AN64=".",".",up_RadSpec!$F$25*(BN25*$B64))</f>
        <v>37812.5</v>
      </c>
      <c r="BO64" s="94">
        <f>IF(AO64=".",".",up_RadSpec!$F$25*(BO25*$B64))</f>
        <v>37812.5</v>
      </c>
      <c r="BP64" s="94">
        <f>IF(AP64=".",".",up_RadSpec!$F$25*(BP25*$B64))</f>
        <v>37812.5</v>
      </c>
      <c r="BQ64" s="94">
        <f>IF(AQ64=".",".",up_RadSpec!$F$25*(BQ25*$B64))</f>
        <v>37812.5</v>
      </c>
      <c r="BR64" s="94">
        <f>IF(AR64=".",".",up_RadSpec!$F$25*(BR25*$B64))</f>
        <v>37812.5</v>
      </c>
      <c r="BS64" s="94">
        <f>IF(AS64=".",".",up_RadSpec!$F$25*(BS25*$B64))</f>
        <v>37812.5</v>
      </c>
      <c r="BT64" s="94">
        <f>IF(AT64=".",".",up_RadSpec!$F$25*(BT25*$B64))</f>
        <v>37812.5</v>
      </c>
      <c r="BU64" s="94">
        <f>IF(AU64=".",".",up_RadSpec!$F$25*(BU25*$B64))</f>
        <v>37812.5</v>
      </c>
      <c r="BV64" s="94">
        <f>IF(AV64=".",".",up_RadSpec!$F$25*(BV25*$B64))</f>
        <v>37812.5</v>
      </c>
      <c r="BW64" s="94">
        <f>IF(AW64=".",".",up_RadSpec!$F$25*(BW25*$B64))</f>
        <v>37812.5</v>
      </c>
      <c r="BX64" s="94">
        <f>IF(AX64=".",".",up_RadSpec!$F$25*(BX25*$B64))</f>
        <v>37812.5</v>
      </c>
      <c r="BY64" s="94">
        <f>IF(AY64=".",".",up_RadSpec!$F$25*(BY25*$B64))</f>
        <v>37812.5</v>
      </c>
      <c r="BZ64" s="94">
        <f>IF(AZ64=".",".",up_RadSpec!$F$25*(BZ25*$B64))</f>
        <v>37812.5</v>
      </c>
      <c r="CA64" s="94">
        <f>IF(BA64=".",".",up_RadSpec!$F$25*(CA25*$B64))</f>
        <v>37812.5</v>
      </c>
      <c r="CB64" s="94">
        <f>IF(BB64=".",".",up_RadSpec!$F$25*(CB25*$B64))</f>
        <v>37812.5</v>
      </c>
    </row>
    <row r="65" spans="1:80" x14ac:dyDescent="0.25">
      <c r="A65" s="92" t="s">
        <v>1059</v>
      </c>
      <c r="B65" s="84">
        <v>1</v>
      </c>
      <c r="C65" s="93">
        <f t="shared" ref="C65:AH65" si="100">IFERROR(C21/$B51,".")</f>
        <v>1.6528925619834712E-4</v>
      </c>
      <c r="D65" s="93">
        <f t="shared" si="100"/>
        <v>6.6115702479338848E-4</v>
      </c>
      <c r="E65" s="93">
        <f t="shared" si="100"/>
        <v>6.6115702479338848E-4</v>
      </c>
      <c r="F65" s="93">
        <f t="shared" si="100"/>
        <v>6.6115702479338848E-4</v>
      </c>
      <c r="G65" s="93">
        <f t="shared" si="100"/>
        <v>6.6115702479338848E-4</v>
      </c>
      <c r="H65" s="93">
        <f t="shared" si="100"/>
        <v>6.6115702479338848E-4</v>
      </c>
      <c r="I65" s="93">
        <f t="shared" si="100"/>
        <v>6.6115702479338848E-4</v>
      </c>
      <c r="J65" s="93">
        <f t="shared" si="100"/>
        <v>6.6115702479338848E-4</v>
      </c>
      <c r="K65" s="93">
        <f t="shared" si="100"/>
        <v>6.6115702479338848E-4</v>
      </c>
      <c r="L65" s="93">
        <f t="shared" si="100"/>
        <v>6.6115702479338848E-4</v>
      </c>
      <c r="M65" s="93">
        <f t="shared" si="100"/>
        <v>6.6115702479338848E-4</v>
      </c>
      <c r="N65" s="93">
        <f t="shared" si="100"/>
        <v>6.6115702479338848E-4</v>
      </c>
      <c r="O65" s="93">
        <f t="shared" si="100"/>
        <v>6.6115702479338848E-4</v>
      </c>
      <c r="P65" s="93">
        <f t="shared" si="100"/>
        <v>6.6115702479338848E-4</v>
      </c>
      <c r="Q65" s="93">
        <f t="shared" si="100"/>
        <v>6.6115702479338848E-4</v>
      </c>
      <c r="R65" s="93">
        <f t="shared" si="100"/>
        <v>6.6115702479338848E-4</v>
      </c>
      <c r="S65" s="93">
        <f t="shared" si="100"/>
        <v>6.6115702479338848E-4</v>
      </c>
      <c r="T65" s="93">
        <f t="shared" si="100"/>
        <v>6.6115702479338848E-4</v>
      </c>
      <c r="U65" s="93">
        <f t="shared" si="100"/>
        <v>6.6115702479338848E-4</v>
      </c>
      <c r="V65" s="93">
        <f t="shared" si="100"/>
        <v>6.6115702479338848E-4</v>
      </c>
      <c r="W65" s="93">
        <f t="shared" si="100"/>
        <v>6.6115702479338848E-4</v>
      </c>
      <c r="X65" s="93">
        <f t="shared" si="100"/>
        <v>6.6115702479338848E-4</v>
      </c>
      <c r="Y65" s="93">
        <f t="shared" si="100"/>
        <v>6.6115702479338848E-4</v>
      </c>
      <c r="Z65" s="93">
        <f t="shared" si="100"/>
        <v>6.6115702479338848E-4</v>
      </c>
      <c r="AA65" s="93">
        <f t="shared" si="100"/>
        <v>6.6115702479338848E-4</v>
      </c>
      <c r="AB65" s="93">
        <f t="shared" si="100"/>
        <v>6.6115702479338848E-4</v>
      </c>
      <c r="AC65" s="93">
        <f t="shared" si="100"/>
        <v>1.6528925619834712E-4</v>
      </c>
      <c r="AD65" s="93">
        <f t="shared" si="100"/>
        <v>6.6115702479338848E-4</v>
      </c>
      <c r="AE65" s="93">
        <f t="shared" si="100"/>
        <v>6.6115702479338848E-4</v>
      </c>
      <c r="AF65" s="93">
        <f t="shared" si="100"/>
        <v>6.6115702479338848E-4</v>
      </c>
      <c r="AG65" s="93">
        <f t="shared" si="100"/>
        <v>6.6115702479338848E-4</v>
      </c>
      <c r="AH65" s="93">
        <f t="shared" si="100"/>
        <v>6.6115702479338848E-4</v>
      </c>
      <c r="AI65" s="93">
        <f t="shared" ref="AI65:BB65" si="101">IFERROR(AI21/$B51,".")</f>
        <v>6.6115702479338848E-4</v>
      </c>
      <c r="AJ65" s="93">
        <f t="shared" si="101"/>
        <v>6.6115702479338848E-4</v>
      </c>
      <c r="AK65" s="93">
        <f t="shared" si="101"/>
        <v>6.6115702479338848E-4</v>
      </c>
      <c r="AL65" s="93">
        <f t="shared" si="101"/>
        <v>6.6115702479338848E-4</v>
      </c>
      <c r="AM65" s="93">
        <f t="shared" si="101"/>
        <v>6.6115702479338848E-4</v>
      </c>
      <c r="AN65" s="93">
        <f t="shared" si="101"/>
        <v>6.6115702479338848E-4</v>
      </c>
      <c r="AO65" s="93">
        <f t="shared" si="101"/>
        <v>6.6115702479338848E-4</v>
      </c>
      <c r="AP65" s="93">
        <f t="shared" si="101"/>
        <v>6.6115702479338848E-4</v>
      </c>
      <c r="AQ65" s="93">
        <f t="shared" si="101"/>
        <v>6.6115702479338848E-4</v>
      </c>
      <c r="AR65" s="93">
        <f t="shared" si="101"/>
        <v>6.6115702479338848E-4</v>
      </c>
      <c r="AS65" s="93">
        <f t="shared" si="101"/>
        <v>6.6115702479338848E-4</v>
      </c>
      <c r="AT65" s="93">
        <f t="shared" si="101"/>
        <v>6.6115702479338848E-4</v>
      </c>
      <c r="AU65" s="93">
        <f t="shared" si="101"/>
        <v>6.6115702479338848E-4</v>
      </c>
      <c r="AV65" s="93">
        <f t="shared" si="101"/>
        <v>6.6115702479338848E-4</v>
      </c>
      <c r="AW65" s="93">
        <f t="shared" si="101"/>
        <v>6.6115702479338848E-4</v>
      </c>
      <c r="AX65" s="93">
        <f t="shared" si="101"/>
        <v>6.6115702479338848E-4</v>
      </c>
      <c r="AY65" s="93">
        <f t="shared" si="101"/>
        <v>6.6115702479338848E-4</v>
      </c>
      <c r="AZ65" s="93">
        <f t="shared" si="101"/>
        <v>6.6115702479338848E-4</v>
      </c>
      <c r="BA65" s="93">
        <f t="shared" si="101"/>
        <v>6.6115702479338848E-4</v>
      </c>
      <c r="BB65" s="93">
        <f t="shared" si="101"/>
        <v>6.6115702479338848E-4</v>
      </c>
      <c r="BC65" s="94">
        <f t="shared" si="99"/>
        <v>151250</v>
      </c>
      <c r="BD65" s="94">
        <f>IF(AD65=".",".",up_RadSpec!$F$21*(BD21*$B65))</f>
        <v>37812.5</v>
      </c>
      <c r="BE65" s="94">
        <f>IF(AE65=".",".",up_RadSpec!$F$21*(BE21*$B65))</f>
        <v>37812.5</v>
      </c>
      <c r="BF65" s="94">
        <f>IF(AF65=".",".",up_RadSpec!$F$21*(BF21*$B65))</f>
        <v>37812.5</v>
      </c>
      <c r="BG65" s="94">
        <f>IF(AG65=".",".",up_RadSpec!$F$21*(BG21*$B65))</f>
        <v>37812.5</v>
      </c>
      <c r="BH65" s="94">
        <f>IF(AH65=".",".",up_RadSpec!$F$21*(BH21*$B65))</f>
        <v>37812.5</v>
      </c>
      <c r="BI65" s="94">
        <f>IF(AI65=".",".",up_RadSpec!$F$21*(BI21*$B65))</f>
        <v>37812.5</v>
      </c>
      <c r="BJ65" s="94">
        <f>IF(AJ65=".",".",up_RadSpec!$F$21*(BJ21*$B65))</f>
        <v>37812.5</v>
      </c>
      <c r="BK65" s="94">
        <f>IF(AK65=".",".",up_RadSpec!$F$21*(BK21*$B65))</f>
        <v>37812.5</v>
      </c>
      <c r="BL65" s="94">
        <f>IF(AL65=".",".",up_RadSpec!$F$21*(BL21*$B65))</f>
        <v>37812.5</v>
      </c>
      <c r="BM65" s="94">
        <f>IF(AM65=".",".",up_RadSpec!$F$21*(BM21*$B65))</f>
        <v>37812.5</v>
      </c>
      <c r="BN65" s="94">
        <f>IF(AN65=".",".",up_RadSpec!$F$21*(BN21*$B65))</f>
        <v>37812.5</v>
      </c>
      <c r="BO65" s="94">
        <f>IF(AO65=".",".",up_RadSpec!$F$21*(BO21*$B65))</f>
        <v>37812.5</v>
      </c>
      <c r="BP65" s="94">
        <f>IF(AP65=".",".",up_RadSpec!$F$21*(BP21*$B65))</f>
        <v>37812.5</v>
      </c>
      <c r="BQ65" s="94">
        <f>IF(AQ65=".",".",up_RadSpec!$F$21*(BQ21*$B65))</f>
        <v>37812.5</v>
      </c>
      <c r="BR65" s="94">
        <f>IF(AR65=".",".",up_RadSpec!$F$21*(BR21*$B65))</f>
        <v>37812.5</v>
      </c>
      <c r="BS65" s="94">
        <f>IF(AS65=".",".",up_RadSpec!$F$21*(BS21*$B65))</f>
        <v>37812.5</v>
      </c>
      <c r="BT65" s="94">
        <f>IF(AT65=".",".",up_RadSpec!$F$21*(BT21*$B65))</f>
        <v>37812.5</v>
      </c>
      <c r="BU65" s="94">
        <f>IF(AU65=".",".",up_RadSpec!$F$21*(BU21*$B65))</f>
        <v>37812.5</v>
      </c>
      <c r="BV65" s="94">
        <f>IF(AV65=".",".",up_RadSpec!$F$21*(BV21*$B65))</f>
        <v>37812.5</v>
      </c>
      <c r="BW65" s="94">
        <f>IF(AW65=".",".",up_RadSpec!$F$21*(BW21*$B65))</f>
        <v>37812.5</v>
      </c>
      <c r="BX65" s="94">
        <f>IF(AX65=".",".",up_RadSpec!$F$21*(BX21*$B65))</f>
        <v>37812.5</v>
      </c>
      <c r="BY65" s="94">
        <f>IF(AY65=".",".",up_RadSpec!$F$21*(BY21*$B65))</f>
        <v>37812.5</v>
      </c>
      <c r="BZ65" s="94">
        <f>IF(AZ65=".",".",up_RadSpec!$F$21*(BZ21*$B65))</f>
        <v>37812.5</v>
      </c>
      <c r="CA65" s="94">
        <f>IF(BA65=".",".",up_RadSpec!$F$21*(CA21*$B65))</f>
        <v>37812.5</v>
      </c>
      <c r="CB65" s="94">
        <f>IF(BB65=".",".",up_RadSpec!$F$21*(CB21*$B65))</f>
        <v>37812.5</v>
      </c>
    </row>
    <row r="66" spans="1:80" x14ac:dyDescent="0.25">
      <c r="A66" s="92" t="s">
        <v>1060</v>
      </c>
      <c r="B66" s="96">
        <v>0.99980000000000002</v>
      </c>
      <c r="C66" s="93">
        <f t="shared" ref="C66:AH66" si="102">IFERROR(C17/$B52,".")</f>
        <v>1.6532232066247962E-4</v>
      </c>
      <c r="D66" s="93">
        <f t="shared" si="102"/>
        <v>6.6128928264991846E-4</v>
      </c>
      <c r="E66" s="93">
        <f t="shared" si="102"/>
        <v>6.6128928264991846E-4</v>
      </c>
      <c r="F66" s="93">
        <f t="shared" si="102"/>
        <v>6.6128928264991846E-4</v>
      </c>
      <c r="G66" s="93">
        <f t="shared" si="102"/>
        <v>6.6128928264991846E-4</v>
      </c>
      <c r="H66" s="93">
        <f t="shared" si="102"/>
        <v>6.6128928264991846E-4</v>
      </c>
      <c r="I66" s="93">
        <f t="shared" si="102"/>
        <v>6.6128928264991846E-4</v>
      </c>
      <c r="J66" s="93">
        <f t="shared" si="102"/>
        <v>6.6128928264991846E-4</v>
      </c>
      <c r="K66" s="93">
        <f t="shared" si="102"/>
        <v>6.6128928264991846E-4</v>
      </c>
      <c r="L66" s="93">
        <f t="shared" si="102"/>
        <v>6.6128928264991846E-4</v>
      </c>
      <c r="M66" s="93">
        <f t="shared" si="102"/>
        <v>6.6128928264991846E-4</v>
      </c>
      <c r="N66" s="93">
        <f t="shared" si="102"/>
        <v>6.6128928264991846E-4</v>
      </c>
      <c r="O66" s="93">
        <f t="shared" si="102"/>
        <v>6.6128928264991846E-4</v>
      </c>
      <c r="P66" s="93">
        <f t="shared" si="102"/>
        <v>6.6128928264991846E-4</v>
      </c>
      <c r="Q66" s="93">
        <f t="shared" si="102"/>
        <v>6.6128928264991846E-4</v>
      </c>
      <c r="R66" s="93">
        <f t="shared" si="102"/>
        <v>6.6128928264991846E-4</v>
      </c>
      <c r="S66" s="93">
        <f t="shared" si="102"/>
        <v>6.6128928264991846E-4</v>
      </c>
      <c r="T66" s="93">
        <f t="shared" si="102"/>
        <v>6.6128928264991846E-4</v>
      </c>
      <c r="U66" s="93">
        <f t="shared" si="102"/>
        <v>6.6128928264991846E-4</v>
      </c>
      <c r="V66" s="93">
        <f t="shared" si="102"/>
        <v>6.6128928264991846E-4</v>
      </c>
      <c r="W66" s="93">
        <f t="shared" si="102"/>
        <v>6.6128928264991846E-4</v>
      </c>
      <c r="X66" s="93">
        <f t="shared" si="102"/>
        <v>6.6128928264991846E-4</v>
      </c>
      <c r="Y66" s="93">
        <f t="shared" si="102"/>
        <v>6.6128928264991846E-4</v>
      </c>
      <c r="Z66" s="93">
        <f t="shared" si="102"/>
        <v>6.6128928264991846E-4</v>
      </c>
      <c r="AA66" s="93">
        <f t="shared" si="102"/>
        <v>6.6128928264991846E-4</v>
      </c>
      <c r="AB66" s="93">
        <f t="shared" si="102"/>
        <v>6.6128928264991846E-4</v>
      </c>
      <c r="AC66" s="93">
        <f t="shared" si="102"/>
        <v>1.6532232066247962E-4</v>
      </c>
      <c r="AD66" s="93">
        <f t="shared" si="102"/>
        <v>6.6128928264991846E-4</v>
      </c>
      <c r="AE66" s="93">
        <f t="shared" si="102"/>
        <v>6.6128928264991846E-4</v>
      </c>
      <c r="AF66" s="93">
        <f t="shared" si="102"/>
        <v>6.6128928264991846E-4</v>
      </c>
      <c r="AG66" s="93">
        <f t="shared" si="102"/>
        <v>6.6128928264991846E-4</v>
      </c>
      <c r="AH66" s="93">
        <f t="shared" si="102"/>
        <v>6.6128928264991846E-4</v>
      </c>
      <c r="AI66" s="93">
        <f t="shared" ref="AI66:BB66" si="103">IFERROR(AI17/$B52,".")</f>
        <v>6.6128928264991846E-4</v>
      </c>
      <c r="AJ66" s="93">
        <f t="shared" si="103"/>
        <v>6.6128928264991846E-4</v>
      </c>
      <c r="AK66" s="93">
        <f t="shared" si="103"/>
        <v>6.6128928264991846E-4</v>
      </c>
      <c r="AL66" s="93">
        <f t="shared" si="103"/>
        <v>6.6128928264991846E-4</v>
      </c>
      <c r="AM66" s="93">
        <f t="shared" si="103"/>
        <v>6.6128928264991846E-4</v>
      </c>
      <c r="AN66" s="93">
        <f t="shared" si="103"/>
        <v>6.6128928264991846E-4</v>
      </c>
      <c r="AO66" s="93">
        <f t="shared" si="103"/>
        <v>6.6128928264991846E-4</v>
      </c>
      <c r="AP66" s="93">
        <f t="shared" si="103"/>
        <v>6.6128928264991846E-4</v>
      </c>
      <c r="AQ66" s="93">
        <f t="shared" si="103"/>
        <v>6.6128928264991846E-4</v>
      </c>
      <c r="AR66" s="93">
        <f t="shared" si="103"/>
        <v>6.6128928264991846E-4</v>
      </c>
      <c r="AS66" s="93">
        <f t="shared" si="103"/>
        <v>6.6128928264991846E-4</v>
      </c>
      <c r="AT66" s="93">
        <f t="shared" si="103"/>
        <v>6.6128928264991846E-4</v>
      </c>
      <c r="AU66" s="93">
        <f t="shared" si="103"/>
        <v>6.6128928264991846E-4</v>
      </c>
      <c r="AV66" s="93">
        <f t="shared" si="103"/>
        <v>6.6128928264991846E-4</v>
      </c>
      <c r="AW66" s="93">
        <f t="shared" si="103"/>
        <v>6.6128928264991846E-4</v>
      </c>
      <c r="AX66" s="93">
        <f t="shared" si="103"/>
        <v>6.6128928264991846E-4</v>
      </c>
      <c r="AY66" s="93">
        <f t="shared" si="103"/>
        <v>6.6128928264991846E-4</v>
      </c>
      <c r="AZ66" s="93">
        <f t="shared" si="103"/>
        <v>6.6128928264991846E-4</v>
      </c>
      <c r="BA66" s="93">
        <f t="shared" si="103"/>
        <v>6.6128928264991846E-4</v>
      </c>
      <c r="BB66" s="93">
        <f t="shared" si="103"/>
        <v>6.6128928264991846E-4</v>
      </c>
      <c r="BC66" s="94">
        <f t="shared" si="99"/>
        <v>151219.75</v>
      </c>
      <c r="BD66" s="94">
        <f>IF(AD66=".",".",up_RadSpec!$F$17*(BD17*$B66))</f>
        <v>37804.9375</v>
      </c>
      <c r="BE66" s="94">
        <f>IF(AE66=".",".",up_RadSpec!$F$17*(BE17*$B66))</f>
        <v>37804.9375</v>
      </c>
      <c r="BF66" s="94">
        <f>IF(AF66=".",".",up_RadSpec!$F$17*(BF17*$B66))</f>
        <v>37804.9375</v>
      </c>
      <c r="BG66" s="94">
        <f>IF(AG66=".",".",up_RadSpec!$F$17*(BG17*$B66))</f>
        <v>37804.9375</v>
      </c>
      <c r="BH66" s="94">
        <f>IF(AH66=".",".",up_RadSpec!$F$17*(BH17*$B66))</f>
        <v>37804.9375</v>
      </c>
      <c r="BI66" s="94">
        <f>IF(AI66=".",".",up_RadSpec!$F$17*(BI17*$B66))</f>
        <v>37804.9375</v>
      </c>
      <c r="BJ66" s="94">
        <f>IF(AJ66=".",".",up_RadSpec!$F$17*(BJ17*$B66))</f>
        <v>37804.9375</v>
      </c>
      <c r="BK66" s="94">
        <f>IF(AK66=".",".",up_RadSpec!$F$17*(BK17*$B66))</f>
        <v>37804.9375</v>
      </c>
      <c r="BL66" s="94">
        <f>IF(AL66=".",".",up_RadSpec!$F$17*(BL17*$B66))</f>
        <v>37804.9375</v>
      </c>
      <c r="BM66" s="94">
        <f>IF(AM66=".",".",up_RadSpec!$F$17*(BM17*$B66))</f>
        <v>37804.9375</v>
      </c>
      <c r="BN66" s="94">
        <f>IF(AN66=".",".",up_RadSpec!$F$17*(BN17*$B66))</f>
        <v>37804.9375</v>
      </c>
      <c r="BO66" s="94">
        <f>IF(AO66=".",".",up_RadSpec!$F$17*(BO17*$B66))</f>
        <v>37804.9375</v>
      </c>
      <c r="BP66" s="94">
        <f>IF(AP66=".",".",up_RadSpec!$F$17*(BP17*$B66))</f>
        <v>37804.9375</v>
      </c>
      <c r="BQ66" s="94">
        <f>IF(AQ66=".",".",up_RadSpec!$F$17*(BQ17*$B66))</f>
        <v>37804.9375</v>
      </c>
      <c r="BR66" s="94">
        <f>IF(AR66=".",".",up_RadSpec!$F$17*(BR17*$B66))</f>
        <v>37804.9375</v>
      </c>
      <c r="BS66" s="94">
        <f>IF(AS66=".",".",up_RadSpec!$F$17*(BS17*$B66))</f>
        <v>37804.9375</v>
      </c>
      <c r="BT66" s="94">
        <f>IF(AT66=".",".",up_RadSpec!$F$17*(BT17*$B66))</f>
        <v>37804.9375</v>
      </c>
      <c r="BU66" s="94">
        <f>IF(AU66=".",".",up_RadSpec!$F$17*(BU17*$B66))</f>
        <v>37804.9375</v>
      </c>
      <c r="BV66" s="94">
        <f>IF(AV66=".",".",up_RadSpec!$F$17*(BV17*$B66))</f>
        <v>37804.9375</v>
      </c>
      <c r="BW66" s="94">
        <f>IF(AW66=".",".",up_RadSpec!$F$17*(BW17*$B66))</f>
        <v>37804.9375</v>
      </c>
      <c r="BX66" s="94">
        <f>IF(AX66=".",".",up_RadSpec!$F$17*(BX17*$B66))</f>
        <v>37804.9375</v>
      </c>
      <c r="BY66" s="94">
        <f>IF(AY66=".",".",up_RadSpec!$F$17*(BY17*$B66))</f>
        <v>37804.9375</v>
      </c>
      <c r="BZ66" s="94">
        <f>IF(AZ66=".",".",up_RadSpec!$F$17*(BZ17*$B66))</f>
        <v>37804.9375</v>
      </c>
      <c r="CA66" s="94">
        <f>IF(BA66=".",".",up_RadSpec!$F$17*(CA17*$B66))</f>
        <v>37804.9375</v>
      </c>
      <c r="CB66" s="94">
        <f>IF(BB66=".",".",up_RadSpec!$F$17*(CB17*$B66))</f>
        <v>37804.9375</v>
      </c>
    </row>
    <row r="67" spans="1:80" x14ac:dyDescent="0.25">
      <c r="A67" s="92" t="s">
        <v>1074</v>
      </c>
      <c r="B67" s="84">
        <v>2.0000000000000001E-4</v>
      </c>
      <c r="C67" s="93">
        <f t="shared" ref="C67:AH67" si="104">IFERROR(C5/$B53,".")</f>
        <v>0.82644628099173556</v>
      </c>
      <c r="D67" s="93">
        <f t="shared" si="104"/>
        <v>3.3057851239669422</v>
      </c>
      <c r="E67" s="93">
        <f t="shared" si="104"/>
        <v>3.3057851239669422</v>
      </c>
      <c r="F67" s="93">
        <f t="shared" si="104"/>
        <v>3.3057851239669422</v>
      </c>
      <c r="G67" s="93">
        <f t="shared" si="104"/>
        <v>3.3057851239669422</v>
      </c>
      <c r="H67" s="93">
        <f t="shared" si="104"/>
        <v>3.3057851239669422</v>
      </c>
      <c r="I67" s="93">
        <f t="shared" si="104"/>
        <v>3.3057851239669422</v>
      </c>
      <c r="J67" s="93">
        <f t="shared" si="104"/>
        <v>3.3057851239669422</v>
      </c>
      <c r="K67" s="93">
        <f t="shared" si="104"/>
        <v>3.3057851239669422</v>
      </c>
      <c r="L67" s="93">
        <f t="shared" si="104"/>
        <v>3.3057851239669422</v>
      </c>
      <c r="M67" s="93">
        <f t="shared" si="104"/>
        <v>3.3057851239669422</v>
      </c>
      <c r="N67" s="93">
        <f t="shared" si="104"/>
        <v>3.3057851239669422</v>
      </c>
      <c r="O67" s="93">
        <f t="shared" si="104"/>
        <v>3.3057851239669422</v>
      </c>
      <c r="P67" s="93">
        <f t="shared" si="104"/>
        <v>3.3057851239669422</v>
      </c>
      <c r="Q67" s="93">
        <f t="shared" si="104"/>
        <v>3.3057851239669422</v>
      </c>
      <c r="R67" s="93">
        <f t="shared" si="104"/>
        <v>3.3057851239669422</v>
      </c>
      <c r="S67" s="93">
        <f t="shared" si="104"/>
        <v>3.3057851239669422</v>
      </c>
      <c r="T67" s="93">
        <f t="shared" si="104"/>
        <v>3.3057851239669422</v>
      </c>
      <c r="U67" s="93">
        <f t="shared" si="104"/>
        <v>3.3057851239669422</v>
      </c>
      <c r="V67" s="93">
        <f t="shared" si="104"/>
        <v>3.3057851239669422</v>
      </c>
      <c r="W67" s="93">
        <f t="shared" si="104"/>
        <v>3.3057851239669422</v>
      </c>
      <c r="X67" s="93">
        <f t="shared" si="104"/>
        <v>3.3057851239669422</v>
      </c>
      <c r="Y67" s="93">
        <f t="shared" si="104"/>
        <v>3.3057851239669422</v>
      </c>
      <c r="Z67" s="93">
        <f t="shared" si="104"/>
        <v>3.3057851239669422</v>
      </c>
      <c r="AA67" s="93">
        <f t="shared" si="104"/>
        <v>3.3057851239669422</v>
      </c>
      <c r="AB67" s="93">
        <f t="shared" si="104"/>
        <v>3.3057851239669422</v>
      </c>
      <c r="AC67" s="93">
        <f t="shared" si="104"/>
        <v>0.82644628099173556</v>
      </c>
      <c r="AD67" s="93">
        <f t="shared" si="104"/>
        <v>3.3057851239669422</v>
      </c>
      <c r="AE67" s="93">
        <f t="shared" si="104"/>
        <v>3.3057851239669422</v>
      </c>
      <c r="AF67" s="93">
        <f t="shared" si="104"/>
        <v>3.3057851239669422</v>
      </c>
      <c r="AG67" s="93">
        <f t="shared" si="104"/>
        <v>3.3057851239669422</v>
      </c>
      <c r="AH67" s="93">
        <f t="shared" si="104"/>
        <v>3.3057851239669422</v>
      </c>
      <c r="AI67" s="93">
        <f t="shared" ref="AI67:BB67" si="105">IFERROR(AI5/$B53,".")</f>
        <v>3.3057851239669422</v>
      </c>
      <c r="AJ67" s="93">
        <f t="shared" si="105"/>
        <v>3.3057851239669422</v>
      </c>
      <c r="AK67" s="93">
        <f t="shared" si="105"/>
        <v>3.3057851239669422</v>
      </c>
      <c r="AL67" s="93">
        <f t="shared" si="105"/>
        <v>3.3057851239669422</v>
      </c>
      <c r="AM67" s="93">
        <f t="shared" si="105"/>
        <v>3.3057851239669422</v>
      </c>
      <c r="AN67" s="93">
        <f t="shared" si="105"/>
        <v>3.3057851239669422</v>
      </c>
      <c r="AO67" s="93">
        <f t="shared" si="105"/>
        <v>3.3057851239669422</v>
      </c>
      <c r="AP67" s="93">
        <f t="shared" si="105"/>
        <v>3.3057851239669422</v>
      </c>
      <c r="AQ67" s="93">
        <f t="shared" si="105"/>
        <v>3.3057851239669422</v>
      </c>
      <c r="AR67" s="93">
        <f t="shared" si="105"/>
        <v>3.3057851239669422</v>
      </c>
      <c r="AS67" s="93">
        <f t="shared" si="105"/>
        <v>3.3057851239669422</v>
      </c>
      <c r="AT67" s="93">
        <f t="shared" si="105"/>
        <v>3.3057851239669422</v>
      </c>
      <c r="AU67" s="93">
        <f t="shared" si="105"/>
        <v>3.3057851239669422</v>
      </c>
      <c r="AV67" s="93">
        <f t="shared" si="105"/>
        <v>3.3057851239669422</v>
      </c>
      <c r="AW67" s="93">
        <f t="shared" si="105"/>
        <v>3.3057851239669422</v>
      </c>
      <c r="AX67" s="93">
        <f t="shared" si="105"/>
        <v>3.3057851239669422</v>
      </c>
      <c r="AY67" s="93">
        <f t="shared" si="105"/>
        <v>3.3057851239669422</v>
      </c>
      <c r="AZ67" s="93">
        <f t="shared" si="105"/>
        <v>3.3057851239669422</v>
      </c>
      <c r="BA67" s="93">
        <f t="shared" si="105"/>
        <v>3.3057851239669422</v>
      </c>
      <c r="BB67" s="93">
        <f t="shared" si="105"/>
        <v>3.3057851239669422</v>
      </c>
      <c r="BC67" s="94">
        <f t="shared" si="99"/>
        <v>30.250000000000004</v>
      </c>
      <c r="BD67" s="94">
        <f>IF(AD67=".",".",up_RadSpec!$F$5*(BD5*$B67))</f>
        <v>7.5625000000000009</v>
      </c>
      <c r="BE67" s="94">
        <f>IF(AE67=".",".",up_RadSpec!$F$5*(BE5*$B67))</f>
        <v>7.5625000000000009</v>
      </c>
      <c r="BF67" s="94">
        <f>IF(AF67=".",".",up_RadSpec!$F$5*(BF5*$B67))</f>
        <v>7.5625000000000009</v>
      </c>
      <c r="BG67" s="94">
        <f>IF(AG67=".",".",up_RadSpec!$F$5*(BG5*$B67))</f>
        <v>7.5625000000000009</v>
      </c>
      <c r="BH67" s="94">
        <f>IF(AH67=".",".",up_RadSpec!$F$5*(BH5*$B67))</f>
        <v>7.5625000000000009</v>
      </c>
      <c r="BI67" s="94">
        <f>IF(AI67=".",".",up_RadSpec!$F$5*(BI5*$B67))</f>
        <v>7.5625000000000009</v>
      </c>
      <c r="BJ67" s="94">
        <f>IF(AJ67=".",".",up_RadSpec!$F$5*(BJ5*$B67))</f>
        <v>7.5625000000000009</v>
      </c>
      <c r="BK67" s="94">
        <f>IF(AK67=".",".",up_RadSpec!$F$5*(BK5*$B67))</f>
        <v>7.5625000000000009</v>
      </c>
      <c r="BL67" s="94">
        <f>IF(AL67=".",".",up_RadSpec!$F$5*(BL5*$B67))</f>
        <v>7.5625000000000009</v>
      </c>
      <c r="BM67" s="94">
        <f>IF(AM67=".",".",up_RadSpec!$F$5*(BM5*$B67))</f>
        <v>7.5625000000000009</v>
      </c>
      <c r="BN67" s="94">
        <f>IF(AN67=".",".",up_RadSpec!$F$5*(BN5*$B67))</f>
        <v>7.5625000000000009</v>
      </c>
      <c r="BO67" s="94">
        <f>IF(AO67=".",".",up_RadSpec!$F$5*(BO5*$B67))</f>
        <v>7.5625000000000009</v>
      </c>
      <c r="BP67" s="94">
        <f>IF(AP67=".",".",up_RadSpec!$F$5*(BP5*$B67))</f>
        <v>7.5625000000000009</v>
      </c>
      <c r="BQ67" s="94">
        <f>IF(AQ67=".",".",up_RadSpec!$F$5*(BQ5*$B67))</f>
        <v>7.5625000000000009</v>
      </c>
      <c r="BR67" s="94">
        <f>IF(AR67=".",".",up_RadSpec!$F$5*(BR5*$B67))</f>
        <v>7.5625000000000009</v>
      </c>
      <c r="BS67" s="94">
        <f>IF(AS67=".",".",up_RadSpec!$F$5*(BS5*$B67))</f>
        <v>7.5625000000000009</v>
      </c>
      <c r="BT67" s="94">
        <f>IF(AT67=".",".",up_RadSpec!$F$5*(BT5*$B67))</f>
        <v>7.5625000000000009</v>
      </c>
      <c r="BU67" s="94">
        <f>IF(AU67=".",".",up_RadSpec!$F$5*(BU5*$B67))</f>
        <v>7.5625000000000009</v>
      </c>
      <c r="BV67" s="94">
        <f>IF(AV67=".",".",up_RadSpec!$F$5*(BV5*$B67))</f>
        <v>7.5625000000000009</v>
      </c>
      <c r="BW67" s="94">
        <f>IF(AW67=".",".",up_RadSpec!$F$5*(BW5*$B67))</f>
        <v>7.5625000000000009</v>
      </c>
      <c r="BX67" s="94">
        <f>IF(AX67=".",".",up_RadSpec!$F$5*(BX5*$B67))</f>
        <v>7.5625000000000009</v>
      </c>
      <c r="BY67" s="94">
        <f>IF(AY67=".",".",up_RadSpec!$F$5*(BY5*$B67))</f>
        <v>7.5625000000000009</v>
      </c>
      <c r="BZ67" s="94">
        <f>IF(AZ67=".",".",up_RadSpec!$F$5*(BZ5*$B67))</f>
        <v>7.5625000000000009</v>
      </c>
      <c r="CA67" s="94">
        <f>IF(BA67=".",".",up_RadSpec!$F$5*(CA5*$B67))</f>
        <v>7.5625000000000009</v>
      </c>
      <c r="CB67" s="94">
        <f>IF(BB67=".",".",up_RadSpec!$F$5*(CB5*$B67))</f>
        <v>7.5625000000000009</v>
      </c>
    </row>
    <row r="68" spans="1:80" x14ac:dyDescent="0.25">
      <c r="A68" s="92" t="s">
        <v>1075</v>
      </c>
      <c r="B68" s="84">
        <v>0.99999979999999999</v>
      </c>
      <c r="C68" s="93">
        <f t="shared" ref="C68:AH68" si="106">IFERROR(C9/$B54,".")</f>
        <v>1.6528928925620498E-4</v>
      </c>
      <c r="D68" s="93">
        <f t="shared" si="106"/>
        <v>6.611571570248199E-4</v>
      </c>
      <c r="E68" s="93">
        <f t="shared" si="106"/>
        <v>6.611571570248199E-4</v>
      </c>
      <c r="F68" s="93">
        <f t="shared" si="106"/>
        <v>6.611571570248199E-4</v>
      </c>
      <c r="G68" s="93">
        <f t="shared" si="106"/>
        <v>6.611571570248199E-4</v>
      </c>
      <c r="H68" s="93">
        <f t="shared" si="106"/>
        <v>6.611571570248199E-4</v>
      </c>
      <c r="I68" s="93">
        <f t="shared" si="106"/>
        <v>6.611571570248199E-4</v>
      </c>
      <c r="J68" s="93">
        <f t="shared" si="106"/>
        <v>6.611571570248199E-4</v>
      </c>
      <c r="K68" s="93">
        <f t="shared" si="106"/>
        <v>6.611571570248199E-4</v>
      </c>
      <c r="L68" s="93">
        <f t="shared" si="106"/>
        <v>6.611571570248199E-4</v>
      </c>
      <c r="M68" s="93">
        <f t="shared" si="106"/>
        <v>6.611571570248199E-4</v>
      </c>
      <c r="N68" s="93">
        <f t="shared" si="106"/>
        <v>6.611571570248199E-4</v>
      </c>
      <c r="O68" s="93">
        <f t="shared" si="106"/>
        <v>6.611571570248199E-4</v>
      </c>
      <c r="P68" s="93">
        <f t="shared" si="106"/>
        <v>6.611571570248199E-4</v>
      </c>
      <c r="Q68" s="93">
        <f t="shared" si="106"/>
        <v>6.611571570248199E-4</v>
      </c>
      <c r="R68" s="93">
        <f t="shared" si="106"/>
        <v>6.611571570248199E-4</v>
      </c>
      <c r="S68" s="93">
        <f t="shared" si="106"/>
        <v>6.611571570248199E-4</v>
      </c>
      <c r="T68" s="93">
        <f t="shared" si="106"/>
        <v>6.611571570248199E-4</v>
      </c>
      <c r="U68" s="93">
        <f t="shared" si="106"/>
        <v>6.611571570248199E-4</v>
      </c>
      <c r="V68" s="93">
        <f t="shared" si="106"/>
        <v>6.611571570248199E-4</v>
      </c>
      <c r="W68" s="93">
        <f t="shared" si="106"/>
        <v>6.611571570248199E-4</v>
      </c>
      <c r="X68" s="93">
        <f t="shared" si="106"/>
        <v>6.611571570248199E-4</v>
      </c>
      <c r="Y68" s="93">
        <f t="shared" si="106"/>
        <v>6.611571570248199E-4</v>
      </c>
      <c r="Z68" s="93">
        <f t="shared" si="106"/>
        <v>6.611571570248199E-4</v>
      </c>
      <c r="AA68" s="93">
        <f t="shared" si="106"/>
        <v>6.611571570248199E-4</v>
      </c>
      <c r="AB68" s="93">
        <f t="shared" si="106"/>
        <v>6.611571570248199E-4</v>
      </c>
      <c r="AC68" s="93">
        <f t="shared" si="106"/>
        <v>1.6528928925620498E-4</v>
      </c>
      <c r="AD68" s="93">
        <f t="shared" si="106"/>
        <v>6.611571570248199E-4</v>
      </c>
      <c r="AE68" s="93">
        <f t="shared" si="106"/>
        <v>6.611571570248199E-4</v>
      </c>
      <c r="AF68" s="93">
        <f t="shared" si="106"/>
        <v>6.611571570248199E-4</v>
      </c>
      <c r="AG68" s="93">
        <f t="shared" si="106"/>
        <v>6.611571570248199E-4</v>
      </c>
      <c r="AH68" s="93">
        <f t="shared" si="106"/>
        <v>6.611571570248199E-4</v>
      </c>
      <c r="AI68" s="93">
        <f t="shared" ref="AI68:BB68" si="107">IFERROR(AI9/$B54,".")</f>
        <v>6.611571570248199E-4</v>
      </c>
      <c r="AJ68" s="93">
        <f t="shared" si="107"/>
        <v>6.611571570248199E-4</v>
      </c>
      <c r="AK68" s="93">
        <f t="shared" si="107"/>
        <v>6.611571570248199E-4</v>
      </c>
      <c r="AL68" s="93">
        <f t="shared" si="107"/>
        <v>6.611571570248199E-4</v>
      </c>
      <c r="AM68" s="93">
        <f t="shared" si="107"/>
        <v>6.611571570248199E-4</v>
      </c>
      <c r="AN68" s="93">
        <f t="shared" si="107"/>
        <v>6.611571570248199E-4</v>
      </c>
      <c r="AO68" s="93">
        <f t="shared" si="107"/>
        <v>6.611571570248199E-4</v>
      </c>
      <c r="AP68" s="93">
        <f t="shared" si="107"/>
        <v>6.611571570248199E-4</v>
      </c>
      <c r="AQ68" s="93">
        <f t="shared" si="107"/>
        <v>6.611571570248199E-4</v>
      </c>
      <c r="AR68" s="93">
        <f t="shared" si="107"/>
        <v>6.611571570248199E-4</v>
      </c>
      <c r="AS68" s="93">
        <f t="shared" si="107"/>
        <v>6.611571570248199E-4</v>
      </c>
      <c r="AT68" s="93">
        <f t="shared" si="107"/>
        <v>6.611571570248199E-4</v>
      </c>
      <c r="AU68" s="93">
        <f t="shared" si="107"/>
        <v>6.611571570248199E-4</v>
      </c>
      <c r="AV68" s="93">
        <f t="shared" si="107"/>
        <v>6.611571570248199E-4</v>
      </c>
      <c r="AW68" s="93">
        <f t="shared" si="107"/>
        <v>6.611571570248199E-4</v>
      </c>
      <c r="AX68" s="93">
        <f t="shared" si="107"/>
        <v>6.611571570248199E-4</v>
      </c>
      <c r="AY68" s="93">
        <f t="shared" si="107"/>
        <v>6.611571570248199E-4</v>
      </c>
      <c r="AZ68" s="93">
        <f t="shared" si="107"/>
        <v>6.611571570248199E-4</v>
      </c>
      <c r="BA68" s="93">
        <f t="shared" si="107"/>
        <v>6.611571570248199E-4</v>
      </c>
      <c r="BB68" s="93">
        <f t="shared" si="107"/>
        <v>6.611571570248199E-4</v>
      </c>
      <c r="BC68" s="94">
        <f t="shared" si="99"/>
        <v>151249.96974999999</v>
      </c>
      <c r="BD68" s="94">
        <f>IF(AD68=".",".",up_RadSpec!$F$9*(BD9*$B68))</f>
        <v>37812.492437499997</v>
      </c>
      <c r="BE68" s="94">
        <f>IF(AE68=".",".",up_RadSpec!$F$9*(BE9*$B68))</f>
        <v>37812.492437499997</v>
      </c>
      <c r="BF68" s="94">
        <f>IF(AF68=".",".",up_RadSpec!$F$9*(BF9*$B68))</f>
        <v>37812.492437499997</v>
      </c>
      <c r="BG68" s="94">
        <f>IF(AG68=".",".",up_RadSpec!$F$9*(BG9*$B68))</f>
        <v>37812.492437499997</v>
      </c>
      <c r="BH68" s="94">
        <f>IF(AH68=".",".",up_RadSpec!$F$9*(BH9*$B68))</f>
        <v>37812.492437499997</v>
      </c>
      <c r="BI68" s="94">
        <f>IF(AI68=".",".",up_RadSpec!$F$9*(BI9*$B68))</f>
        <v>37812.492437499997</v>
      </c>
      <c r="BJ68" s="94">
        <f>IF(AJ68=".",".",up_RadSpec!$F$9*(BJ9*$B68))</f>
        <v>37812.492437499997</v>
      </c>
      <c r="BK68" s="94">
        <f>IF(AK68=".",".",up_RadSpec!$F$9*(BK9*$B68))</f>
        <v>37812.492437499997</v>
      </c>
      <c r="BL68" s="94">
        <f>IF(AL68=".",".",up_RadSpec!$F$9*(BL9*$B68))</f>
        <v>37812.492437499997</v>
      </c>
      <c r="BM68" s="94">
        <f>IF(AM68=".",".",up_RadSpec!$F$9*(BM9*$B68))</f>
        <v>37812.492437499997</v>
      </c>
      <c r="BN68" s="94">
        <f>IF(AN68=".",".",up_RadSpec!$F$9*(BN9*$B68))</f>
        <v>37812.492437499997</v>
      </c>
      <c r="BO68" s="94">
        <f>IF(AO68=".",".",up_RadSpec!$F$9*(BO9*$B68))</f>
        <v>37812.492437499997</v>
      </c>
      <c r="BP68" s="94">
        <f>IF(AP68=".",".",up_RadSpec!$F$9*(BP9*$B68))</f>
        <v>37812.492437499997</v>
      </c>
      <c r="BQ68" s="94">
        <f>IF(AQ68=".",".",up_RadSpec!$F$9*(BQ9*$B68))</f>
        <v>37812.492437499997</v>
      </c>
      <c r="BR68" s="94">
        <f>IF(AR68=".",".",up_RadSpec!$F$9*(BR9*$B68))</f>
        <v>37812.492437499997</v>
      </c>
      <c r="BS68" s="94">
        <f>IF(AS68=".",".",up_RadSpec!$F$9*(BS9*$B68))</f>
        <v>37812.492437499997</v>
      </c>
      <c r="BT68" s="94">
        <f>IF(AT68=".",".",up_RadSpec!$F$9*(BT9*$B68))</f>
        <v>37812.492437499997</v>
      </c>
      <c r="BU68" s="94">
        <f>IF(AU68=".",".",up_RadSpec!$F$9*(BU9*$B68))</f>
        <v>37812.492437499997</v>
      </c>
      <c r="BV68" s="94">
        <f>IF(AV68=".",".",up_RadSpec!$F$9*(BV9*$B68))</f>
        <v>37812.492437499997</v>
      </c>
      <c r="BW68" s="94">
        <f>IF(AW68=".",".",up_RadSpec!$F$9*(BW9*$B68))</f>
        <v>37812.492437499997</v>
      </c>
      <c r="BX68" s="94">
        <f>IF(AX68=".",".",up_RadSpec!$F$9*(BX9*$B68))</f>
        <v>37812.492437499997</v>
      </c>
      <c r="BY68" s="94">
        <f>IF(AY68=".",".",up_RadSpec!$F$9*(BY9*$B68))</f>
        <v>37812.492437499997</v>
      </c>
      <c r="BZ68" s="94">
        <f>IF(AZ68=".",".",up_RadSpec!$F$9*(BZ9*$B68))</f>
        <v>37812.492437499997</v>
      </c>
      <c r="CA68" s="94">
        <f>IF(BA68=".",".",up_RadSpec!$F$9*(CA9*$B68))</f>
        <v>37812.492437499997</v>
      </c>
      <c r="CB68" s="94">
        <f>IF(BB68=".",".",up_RadSpec!$F$9*(CB9*$B68))</f>
        <v>37812.492437499997</v>
      </c>
    </row>
    <row r="69" spans="1:80" x14ac:dyDescent="0.25">
      <c r="A69" s="92" t="s">
        <v>1076</v>
      </c>
      <c r="B69" s="84">
        <v>1.9999999999999999E-7</v>
      </c>
      <c r="C69" s="93">
        <f t="shared" ref="C69:AH69" si="108">IFERROR(C24/$B55,".")</f>
        <v>826.44628099173565</v>
      </c>
      <c r="D69" s="93">
        <f t="shared" si="108"/>
        <v>3305.7851239669426</v>
      </c>
      <c r="E69" s="93">
        <f t="shared" si="108"/>
        <v>3305.7851239669426</v>
      </c>
      <c r="F69" s="93">
        <f t="shared" si="108"/>
        <v>3305.7851239669426</v>
      </c>
      <c r="G69" s="93">
        <f t="shared" si="108"/>
        <v>3305.7851239669426</v>
      </c>
      <c r="H69" s="93">
        <f t="shared" si="108"/>
        <v>3305.7851239669426</v>
      </c>
      <c r="I69" s="93">
        <f t="shared" si="108"/>
        <v>3305.7851239669426</v>
      </c>
      <c r="J69" s="93">
        <f t="shared" si="108"/>
        <v>3305.7851239669426</v>
      </c>
      <c r="K69" s="93">
        <f t="shared" si="108"/>
        <v>3305.7851239669426</v>
      </c>
      <c r="L69" s="93">
        <f t="shared" si="108"/>
        <v>3305.7851239669426</v>
      </c>
      <c r="M69" s="93">
        <f t="shared" si="108"/>
        <v>3305.7851239669426</v>
      </c>
      <c r="N69" s="93">
        <f t="shared" si="108"/>
        <v>3305.7851239669426</v>
      </c>
      <c r="O69" s="93">
        <f t="shared" si="108"/>
        <v>3305.7851239669426</v>
      </c>
      <c r="P69" s="93">
        <f t="shared" si="108"/>
        <v>3305.7851239669426</v>
      </c>
      <c r="Q69" s="93">
        <f t="shared" si="108"/>
        <v>3305.7851239669426</v>
      </c>
      <c r="R69" s="93">
        <f t="shared" si="108"/>
        <v>3305.7851239669426</v>
      </c>
      <c r="S69" s="93">
        <f t="shared" si="108"/>
        <v>3305.7851239669426</v>
      </c>
      <c r="T69" s="93">
        <f t="shared" si="108"/>
        <v>3305.7851239669426</v>
      </c>
      <c r="U69" s="93">
        <f t="shared" si="108"/>
        <v>3305.7851239669426</v>
      </c>
      <c r="V69" s="93">
        <f t="shared" si="108"/>
        <v>3305.7851239669426</v>
      </c>
      <c r="W69" s="93">
        <f t="shared" si="108"/>
        <v>3305.7851239669426</v>
      </c>
      <c r="X69" s="93">
        <f t="shared" si="108"/>
        <v>3305.7851239669426</v>
      </c>
      <c r="Y69" s="93">
        <f t="shared" si="108"/>
        <v>3305.7851239669426</v>
      </c>
      <c r="Z69" s="93">
        <f t="shared" si="108"/>
        <v>3305.7851239669426</v>
      </c>
      <c r="AA69" s="93">
        <f t="shared" si="108"/>
        <v>3305.7851239669426</v>
      </c>
      <c r="AB69" s="93">
        <f t="shared" si="108"/>
        <v>3305.7851239669426</v>
      </c>
      <c r="AC69" s="93">
        <f t="shared" si="108"/>
        <v>826.44628099173565</v>
      </c>
      <c r="AD69" s="93">
        <f t="shared" si="108"/>
        <v>3305.7851239669426</v>
      </c>
      <c r="AE69" s="93">
        <f t="shared" si="108"/>
        <v>3305.7851239669426</v>
      </c>
      <c r="AF69" s="93">
        <f t="shared" si="108"/>
        <v>3305.7851239669426</v>
      </c>
      <c r="AG69" s="93">
        <f t="shared" si="108"/>
        <v>3305.7851239669426</v>
      </c>
      <c r="AH69" s="93">
        <f t="shared" si="108"/>
        <v>3305.7851239669426</v>
      </c>
      <c r="AI69" s="93">
        <f t="shared" ref="AI69:BB69" si="109">IFERROR(AI24/$B55,".")</f>
        <v>3305.7851239669426</v>
      </c>
      <c r="AJ69" s="93">
        <f t="shared" si="109"/>
        <v>3305.7851239669426</v>
      </c>
      <c r="AK69" s="93">
        <f t="shared" si="109"/>
        <v>3305.7851239669426</v>
      </c>
      <c r="AL69" s="93">
        <f t="shared" si="109"/>
        <v>3305.7851239669426</v>
      </c>
      <c r="AM69" s="93">
        <f t="shared" si="109"/>
        <v>3305.7851239669426</v>
      </c>
      <c r="AN69" s="93">
        <f t="shared" si="109"/>
        <v>3305.7851239669426</v>
      </c>
      <c r="AO69" s="93">
        <f t="shared" si="109"/>
        <v>3305.7851239669426</v>
      </c>
      <c r="AP69" s="93">
        <f t="shared" si="109"/>
        <v>3305.7851239669426</v>
      </c>
      <c r="AQ69" s="93">
        <f t="shared" si="109"/>
        <v>3305.7851239669426</v>
      </c>
      <c r="AR69" s="93">
        <f t="shared" si="109"/>
        <v>3305.7851239669426</v>
      </c>
      <c r="AS69" s="93">
        <f t="shared" si="109"/>
        <v>3305.7851239669426</v>
      </c>
      <c r="AT69" s="93">
        <f t="shared" si="109"/>
        <v>3305.7851239669426</v>
      </c>
      <c r="AU69" s="93">
        <f t="shared" si="109"/>
        <v>3305.7851239669426</v>
      </c>
      <c r="AV69" s="93">
        <f t="shared" si="109"/>
        <v>3305.7851239669426</v>
      </c>
      <c r="AW69" s="93">
        <f t="shared" si="109"/>
        <v>3305.7851239669426</v>
      </c>
      <c r="AX69" s="93">
        <f t="shared" si="109"/>
        <v>3305.7851239669426</v>
      </c>
      <c r="AY69" s="93">
        <f t="shared" si="109"/>
        <v>3305.7851239669426</v>
      </c>
      <c r="AZ69" s="93">
        <f t="shared" si="109"/>
        <v>3305.7851239669426</v>
      </c>
      <c r="BA69" s="93">
        <f t="shared" si="109"/>
        <v>3305.7851239669426</v>
      </c>
      <c r="BB69" s="93">
        <f t="shared" si="109"/>
        <v>3305.7851239669426</v>
      </c>
      <c r="BC69" s="94">
        <f t="shared" si="99"/>
        <v>3.0249999999999999E-2</v>
      </c>
      <c r="BD69" s="94">
        <f>IF(AD69=".",".",up_RadSpec!$F$24*(BD24*$B69))</f>
        <v>7.5624999999999998E-3</v>
      </c>
      <c r="BE69" s="94">
        <f>IF(AE69=".",".",up_RadSpec!$F$24*(BE24*$B69))</f>
        <v>7.5624999999999998E-3</v>
      </c>
      <c r="BF69" s="94">
        <f>IF(AF69=".",".",up_RadSpec!$F$24*(BF24*$B69))</f>
        <v>7.5624999999999998E-3</v>
      </c>
      <c r="BG69" s="94">
        <f>IF(AG69=".",".",up_RadSpec!$F$24*(BG24*$B69))</f>
        <v>7.5624999999999998E-3</v>
      </c>
      <c r="BH69" s="94">
        <f>IF(AH69=".",".",up_RadSpec!$F$24*(BH24*$B69))</f>
        <v>7.5624999999999998E-3</v>
      </c>
      <c r="BI69" s="94">
        <f>IF(AI69=".",".",up_RadSpec!$F$24*(BI24*$B69))</f>
        <v>7.5624999999999998E-3</v>
      </c>
      <c r="BJ69" s="94">
        <f>IF(AJ69=".",".",up_RadSpec!$F$24*(BJ24*$B69))</f>
        <v>7.5624999999999998E-3</v>
      </c>
      <c r="BK69" s="94">
        <f>IF(AK69=".",".",up_RadSpec!$F$24*(BK24*$B69))</f>
        <v>7.5624999999999998E-3</v>
      </c>
      <c r="BL69" s="94">
        <f>IF(AL69=".",".",up_RadSpec!$F$24*(BL24*$B69))</f>
        <v>7.5624999999999998E-3</v>
      </c>
      <c r="BM69" s="94">
        <f>IF(AM69=".",".",up_RadSpec!$F$24*(BM24*$B69))</f>
        <v>7.5624999999999998E-3</v>
      </c>
      <c r="BN69" s="94">
        <f>IF(AN69=".",".",up_RadSpec!$F$24*(BN24*$B69))</f>
        <v>7.5624999999999998E-3</v>
      </c>
      <c r="BO69" s="94">
        <f>IF(AO69=".",".",up_RadSpec!$F$24*(BO24*$B69))</f>
        <v>7.5624999999999998E-3</v>
      </c>
      <c r="BP69" s="94">
        <f>IF(AP69=".",".",up_RadSpec!$F$24*(BP24*$B69))</f>
        <v>7.5624999999999998E-3</v>
      </c>
      <c r="BQ69" s="94">
        <f>IF(AQ69=".",".",up_RadSpec!$F$24*(BQ24*$B69))</f>
        <v>7.5624999999999998E-3</v>
      </c>
      <c r="BR69" s="94">
        <f>IF(AR69=".",".",up_RadSpec!$F$24*(BR24*$B69))</f>
        <v>7.5624999999999998E-3</v>
      </c>
      <c r="BS69" s="94">
        <f>IF(AS69=".",".",up_RadSpec!$F$24*(BS24*$B69))</f>
        <v>7.5624999999999998E-3</v>
      </c>
      <c r="BT69" s="94">
        <f>IF(AT69=".",".",up_RadSpec!$F$24*(BT24*$B69))</f>
        <v>7.5624999999999998E-3</v>
      </c>
      <c r="BU69" s="94">
        <f>IF(AU69=".",".",up_RadSpec!$F$24*(BU24*$B69))</f>
        <v>7.5624999999999998E-3</v>
      </c>
      <c r="BV69" s="94">
        <f>IF(AV69=".",".",up_RadSpec!$F$24*(BV24*$B69))</f>
        <v>7.5624999999999998E-3</v>
      </c>
      <c r="BW69" s="94">
        <f>IF(AW69=".",".",up_RadSpec!$F$24*(BW24*$B69))</f>
        <v>7.5624999999999998E-3</v>
      </c>
      <c r="BX69" s="94">
        <f>IF(AX69=".",".",up_RadSpec!$F$24*(BX24*$B69))</f>
        <v>7.5624999999999998E-3</v>
      </c>
      <c r="BY69" s="94">
        <f>IF(AY69=".",".",up_RadSpec!$F$24*(BY24*$B69))</f>
        <v>7.5624999999999998E-3</v>
      </c>
      <c r="BZ69" s="94">
        <f>IF(AZ69=".",".",up_RadSpec!$F$24*(BZ24*$B69))</f>
        <v>7.5624999999999998E-3</v>
      </c>
      <c r="CA69" s="94">
        <f>IF(BA69=".",".",up_RadSpec!$F$24*(CA24*$B69))</f>
        <v>7.5624999999999998E-3</v>
      </c>
      <c r="CB69" s="94">
        <f>IF(BB69=".",".",up_RadSpec!$F$24*(CB24*$B69))</f>
        <v>7.5624999999999998E-3</v>
      </c>
    </row>
    <row r="70" spans="1:80" x14ac:dyDescent="0.25">
      <c r="A70" s="92" t="s">
        <v>1077</v>
      </c>
      <c r="B70" s="84">
        <v>0.99979000004200003</v>
      </c>
      <c r="C70" s="93">
        <f t="shared" ref="C70:AH70" si="110">IFERROR(C20/$B56,".")</f>
        <v>1.6532397422599097E-4</v>
      </c>
      <c r="D70" s="93">
        <f t="shared" si="110"/>
        <v>6.6129589690396386E-4</v>
      </c>
      <c r="E70" s="93">
        <f t="shared" si="110"/>
        <v>6.6129589690396386E-4</v>
      </c>
      <c r="F70" s="93">
        <f t="shared" si="110"/>
        <v>6.6129589690396386E-4</v>
      </c>
      <c r="G70" s="93">
        <f t="shared" si="110"/>
        <v>6.6129589690396386E-4</v>
      </c>
      <c r="H70" s="93">
        <f t="shared" si="110"/>
        <v>6.6129589690396386E-4</v>
      </c>
      <c r="I70" s="93">
        <f t="shared" si="110"/>
        <v>6.6129589690396386E-4</v>
      </c>
      <c r="J70" s="93">
        <f t="shared" si="110"/>
        <v>6.6129589690396386E-4</v>
      </c>
      <c r="K70" s="93">
        <f t="shared" si="110"/>
        <v>6.6129589690396386E-4</v>
      </c>
      <c r="L70" s="93">
        <f t="shared" si="110"/>
        <v>6.6129589690396386E-4</v>
      </c>
      <c r="M70" s="93">
        <f t="shared" si="110"/>
        <v>6.6129589690396386E-4</v>
      </c>
      <c r="N70" s="93">
        <f t="shared" si="110"/>
        <v>6.6129589690396386E-4</v>
      </c>
      <c r="O70" s="93">
        <f t="shared" si="110"/>
        <v>6.6129589690396386E-4</v>
      </c>
      <c r="P70" s="93">
        <f t="shared" si="110"/>
        <v>6.6129589690396386E-4</v>
      </c>
      <c r="Q70" s="93">
        <f t="shared" si="110"/>
        <v>6.6129589690396386E-4</v>
      </c>
      <c r="R70" s="93">
        <f t="shared" si="110"/>
        <v>6.6129589690396386E-4</v>
      </c>
      <c r="S70" s="93">
        <f t="shared" si="110"/>
        <v>6.6129589690396386E-4</v>
      </c>
      <c r="T70" s="93">
        <f t="shared" si="110"/>
        <v>6.6129589690396386E-4</v>
      </c>
      <c r="U70" s="93">
        <f t="shared" si="110"/>
        <v>6.6129589690396386E-4</v>
      </c>
      <c r="V70" s="93">
        <f t="shared" si="110"/>
        <v>6.6129589690396386E-4</v>
      </c>
      <c r="W70" s="93">
        <f t="shared" si="110"/>
        <v>6.6129589690396386E-4</v>
      </c>
      <c r="X70" s="93">
        <f t="shared" si="110"/>
        <v>6.6129589690396386E-4</v>
      </c>
      <c r="Y70" s="93">
        <f t="shared" si="110"/>
        <v>6.6129589690396386E-4</v>
      </c>
      <c r="Z70" s="93">
        <f t="shared" si="110"/>
        <v>6.6129589690396386E-4</v>
      </c>
      <c r="AA70" s="93">
        <f t="shared" si="110"/>
        <v>6.6129589690396386E-4</v>
      </c>
      <c r="AB70" s="93">
        <f t="shared" si="110"/>
        <v>6.6129589690396386E-4</v>
      </c>
      <c r="AC70" s="93">
        <f t="shared" si="110"/>
        <v>1.6532397422599097E-4</v>
      </c>
      <c r="AD70" s="93">
        <f t="shared" si="110"/>
        <v>6.6129589690396386E-4</v>
      </c>
      <c r="AE70" s="93">
        <f t="shared" si="110"/>
        <v>6.6129589690396386E-4</v>
      </c>
      <c r="AF70" s="93">
        <f t="shared" si="110"/>
        <v>6.6129589690396386E-4</v>
      </c>
      <c r="AG70" s="93">
        <f t="shared" si="110"/>
        <v>6.6129589690396386E-4</v>
      </c>
      <c r="AH70" s="93">
        <f t="shared" si="110"/>
        <v>6.6129589690396386E-4</v>
      </c>
      <c r="AI70" s="93">
        <f t="shared" ref="AI70:BB70" si="111">IFERROR(AI20/$B56,".")</f>
        <v>6.6129589690396386E-4</v>
      </c>
      <c r="AJ70" s="93">
        <f t="shared" si="111"/>
        <v>6.6129589690396386E-4</v>
      </c>
      <c r="AK70" s="93">
        <f t="shared" si="111"/>
        <v>6.6129589690396386E-4</v>
      </c>
      <c r="AL70" s="93">
        <f t="shared" si="111"/>
        <v>6.6129589690396386E-4</v>
      </c>
      <c r="AM70" s="93">
        <f t="shared" si="111"/>
        <v>6.6129589690396386E-4</v>
      </c>
      <c r="AN70" s="93">
        <f t="shared" si="111"/>
        <v>6.6129589690396386E-4</v>
      </c>
      <c r="AO70" s="93">
        <f t="shared" si="111"/>
        <v>6.6129589690396386E-4</v>
      </c>
      <c r="AP70" s="93">
        <f t="shared" si="111"/>
        <v>6.6129589690396386E-4</v>
      </c>
      <c r="AQ70" s="93">
        <f t="shared" si="111"/>
        <v>6.6129589690396386E-4</v>
      </c>
      <c r="AR70" s="93">
        <f t="shared" si="111"/>
        <v>6.6129589690396386E-4</v>
      </c>
      <c r="AS70" s="93">
        <f t="shared" si="111"/>
        <v>6.6129589690396386E-4</v>
      </c>
      <c r="AT70" s="93">
        <f t="shared" si="111"/>
        <v>6.6129589690396386E-4</v>
      </c>
      <c r="AU70" s="93">
        <f t="shared" si="111"/>
        <v>6.6129589690396386E-4</v>
      </c>
      <c r="AV70" s="93">
        <f t="shared" si="111"/>
        <v>6.6129589690396386E-4</v>
      </c>
      <c r="AW70" s="93">
        <f t="shared" si="111"/>
        <v>6.6129589690396386E-4</v>
      </c>
      <c r="AX70" s="93">
        <f t="shared" si="111"/>
        <v>6.6129589690396386E-4</v>
      </c>
      <c r="AY70" s="93">
        <f t="shared" si="111"/>
        <v>6.6129589690396386E-4</v>
      </c>
      <c r="AZ70" s="93">
        <f t="shared" si="111"/>
        <v>6.6129589690396386E-4</v>
      </c>
      <c r="BA70" s="93">
        <f t="shared" si="111"/>
        <v>6.6129589690396386E-4</v>
      </c>
      <c r="BB70" s="93">
        <f t="shared" si="111"/>
        <v>6.6129589690396386E-4</v>
      </c>
      <c r="BC70" s="94">
        <f t="shared" si="99"/>
        <v>151218.23750635251</v>
      </c>
      <c r="BD70" s="94">
        <f>IF(AD70=".",".",up_RadSpec!$F$20*(BD20*$B70))</f>
        <v>37804.559376588128</v>
      </c>
      <c r="BE70" s="94">
        <f>IF(AE70=".",".",up_RadSpec!$F$20*(BE20*$B70))</f>
        <v>37804.559376588128</v>
      </c>
      <c r="BF70" s="94">
        <f>IF(AF70=".",".",up_RadSpec!$F$20*(BF20*$B70))</f>
        <v>37804.559376588128</v>
      </c>
      <c r="BG70" s="94">
        <f>IF(AG70=".",".",up_RadSpec!$F$20*(BG20*$B70))</f>
        <v>37804.559376588128</v>
      </c>
      <c r="BH70" s="94">
        <f>IF(AH70=".",".",up_RadSpec!$F$20*(BH20*$B70))</f>
        <v>37804.559376588128</v>
      </c>
      <c r="BI70" s="94">
        <f>IF(AI70=".",".",up_RadSpec!$F$20*(BI20*$B70))</f>
        <v>37804.559376588128</v>
      </c>
      <c r="BJ70" s="94">
        <f>IF(AJ70=".",".",up_RadSpec!$F$20*(BJ20*$B70))</f>
        <v>37804.559376588128</v>
      </c>
      <c r="BK70" s="94">
        <f>IF(AK70=".",".",up_RadSpec!$F$20*(BK20*$B70))</f>
        <v>37804.559376588128</v>
      </c>
      <c r="BL70" s="94">
        <f>IF(AL70=".",".",up_RadSpec!$F$20*(BL20*$B70))</f>
        <v>37804.559376588128</v>
      </c>
      <c r="BM70" s="94">
        <f>IF(AM70=".",".",up_RadSpec!$F$20*(BM20*$B70))</f>
        <v>37804.559376588128</v>
      </c>
      <c r="BN70" s="94">
        <f>IF(AN70=".",".",up_RadSpec!$F$20*(BN20*$B70))</f>
        <v>37804.559376588128</v>
      </c>
      <c r="BO70" s="94">
        <f>IF(AO70=".",".",up_RadSpec!$F$20*(BO20*$B70))</f>
        <v>37804.559376588128</v>
      </c>
      <c r="BP70" s="94">
        <f>IF(AP70=".",".",up_RadSpec!$F$20*(BP20*$B70))</f>
        <v>37804.559376588128</v>
      </c>
      <c r="BQ70" s="94">
        <f>IF(AQ70=".",".",up_RadSpec!$F$20*(BQ20*$B70))</f>
        <v>37804.559376588128</v>
      </c>
      <c r="BR70" s="94">
        <f>IF(AR70=".",".",up_RadSpec!$F$20*(BR20*$B70))</f>
        <v>37804.559376588128</v>
      </c>
      <c r="BS70" s="94">
        <f>IF(AS70=".",".",up_RadSpec!$F$20*(BS20*$B70))</f>
        <v>37804.559376588128</v>
      </c>
      <c r="BT70" s="94">
        <f>IF(AT70=".",".",up_RadSpec!$F$20*(BT20*$B70))</f>
        <v>37804.559376588128</v>
      </c>
      <c r="BU70" s="94">
        <f>IF(AU70=".",".",up_RadSpec!$F$20*(BU20*$B70))</f>
        <v>37804.559376588128</v>
      </c>
      <c r="BV70" s="94">
        <f>IF(AV70=".",".",up_RadSpec!$F$20*(BV20*$B70))</f>
        <v>37804.559376588128</v>
      </c>
      <c r="BW70" s="94">
        <f>IF(AW70=".",".",up_RadSpec!$F$20*(BW20*$B70))</f>
        <v>37804.559376588128</v>
      </c>
      <c r="BX70" s="94">
        <f>IF(AX70=".",".",up_RadSpec!$F$20*(BX20*$B70))</f>
        <v>37804.559376588128</v>
      </c>
      <c r="BY70" s="94">
        <f>IF(AY70=".",".",up_RadSpec!$F$20*(BY20*$B70))</f>
        <v>37804.559376588128</v>
      </c>
      <c r="BZ70" s="94">
        <f>IF(AZ70=".",".",up_RadSpec!$F$20*(BZ20*$B70))</f>
        <v>37804.559376588128</v>
      </c>
      <c r="CA70" s="94">
        <f>IF(BA70=".",".",up_RadSpec!$F$20*(CA20*$B70))</f>
        <v>37804.559376588128</v>
      </c>
      <c r="CB70" s="94">
        <f>IF(BB70=".",".",up_RadSpec!$F$20*(CB20*$B70))</f>
        <v>37804.559376588128</v>
      </c>
    </row>
    <row r="71" spans="1:80" x14ac:dyDescent="0.25">
      <c r="A71" s="92" t="s">
        <v>1078</v>
      </c>
      <c r="B71" s="84">
        <v>2.0999995799999999E-4</v>
      </c>
      <c r="C71" s="93">
        <f t="shared" ref="C71:AH71" si="112">IFERROR(C29/$B57,".")</f>
        <v>0.78709185360097611</v>
      </c>
      <c r="D71" s="93">
        <f t="shared" si="112"/>
        <v>3.1483674144039044</v>
      </c>
      <c r="E71" s="93">
        <f t="shared" si="112"/>
        <v>3.1483674144039044</v>
      </c>
      <c r="F71" s="93">
        <f t="shared" si="112"/>
        <v>3.1483674144039044</v>
      </c>
      <c r="G71" s="93">
        <f t="shared" si="112"/>
        <v>3.1483674144039044</v>
      </c>
      <c r="H71" s="93">
        <f t="shared" si="112"/>
        <v>3.1483674144039044</v>
      </c>
      <c r="I71" s="93">
        <f t="shared" si="112"/>
        <v>3.1483674144039044</v>
      </c>
      <c r="J71" s="93">
        <f t="shared" si="112"/>
        <v>3.1483674144039044</v>
      </c>
      <c r="K71" s="93">
        <f t="shared" si="112"/>
        <v>3.1483674144039044</v>
      </c>
      <c r="L71" s="93">
        <f t="shared" si="112"/>
        <v>3.1483674144039044</v>
      </c>
      <c r="M71" s="93">
        <f t="shared" si="112"/>
        <v>3.1483674144039044</v>
      </c>
      <c r="N71" s="93">
        <f t="shared" si="112"/>
        <v>3.1483674144039044</v>
      </c>
      <c r="O71" s="93">
        <f t="shared" si="112"/>
        <v>3.1483674144039044</v>
      </c>
      <c r="P71" s="93">
        <f t="shared" si="112"/>
        <v>3.1483674144039044</v>
      </c>
      <c r="Q71" s="93">
        <f t="shared" si="112"/>
        <v>3.1483674144039044</v>
      </c>
      <c r="R71" s="93">
        <f t="shared" si="112"/>
        <v>3.1483674144039044</v>
      </c>
      <c r="S71" s="93">
        <f t="shared" si="112"/>
        <v>3.1483674144039044</v>
      </c>
      <c r="T71" s="93">
        <f t="shared" si="112"/>
        <v>3.1483674144039044</v>
      </c>
      <c r="U71" s="93">
        <f t="shared" si="112"/>
        <v>3.1483674144039044</v>
      </c>
      <c r="V71" s="93">
        <f t="shared" si="112"/>
        <v>3.1483674144039044</v>
      </c>
      <c r="W71" s="93">
        <f t="shared" si="112"/>
        <v>3.1483674144039044</v>
      </c>
      <c r="X71" s="93">
        <f t="shared" si="112"/>
        <v>3.1483674144039044</v>
      </c>
      <c r="Y71" s="93">
        <f t="shared" si="112"/>
        <v>3.1483674144039044</v>
      </c>
      <c r="Z71" s="93">
        <f t="shared" si="112"/>
        <v>3.1483674144039044</v>
      </c>
      <c r="AA71" s="93">
        <f t="shared" si="112"/>
        <v>3.1483674144039044</v>
      </c>
      <c r="AB71" s="93">
        <f t="shared" si="112"/>
        <v>3.1483674144039044</v>
      </c>
      <c r="AC71" s="93">
        <f t="shared" si="112"/>
        <v>0.78709185360097611</v>
      </c>
      <c r="AD71" s="93">
        <f t="shared" si="112"/>
        <v>3.1483674144039044</v>
      </c>
      <c r="AE71" s="93">
        <f t="shared" si="112"/>
        <v>3.1483674144039044</v>
      </c>
      <c r="AF71" s="93">
        <f t="shared" si="112"/>
        <v>3.1483674144039044</v>
      </c>
      <c r="AG71" s="93">
        <f t="shared" si="112"/>
        <v>3.1483674144039044</v>
      </c>
      <c r="AH71" s="93">
        <f t="shared" si="112"/>
        <v>3.1483674144039044</v>
      </c>
      <c r="AI71" s="93">
        <f t="shared" ref="AI71:BB71" si="113">IFERROR(AI29/$B57,".")</f>
        <v>3.1483674144039044</v>
      </c>
      <c r="AJ71" s="93">
        <f t="shared" si="113"/>
        <v>3.1483674144039044</v>
      </c>
      <c r="AK71" s="93">
        <f t="shared" si="113"/>
        <v>3.1483674144039044</v>
      </c>
      <c r="AL71" s="93">
        <f t="shared" si="113"/>
        <v>3.1483674144039044</v>
      </c>
      <c r="AM71" s="93">
        <f t="shared" si="113"/>
        <v>3.1483674144039044</v>
      </c>
      <c r="AN71" s="93">
        <f t="shared" si="113"/>
        <v>3.1483674144039044</v>
      </c>
      <c r="AO71" s="93">
        <f t="shared" si="113"/>
        <v>3.1483674144039044</v>
      </c>
      <c r="AP71" s="93">
        <f t="shared" si="113"/>
        <v>3.1483674144039044</v>
      </c>
      <c r="AQ71" s="93">
        <f t="shared" si="113"/>
        <v>3.1483674144039044</v>
      </c>
      <c r="AR71" s="93">
        <f t="shared" si="113"/>
        <v>3.1483674144039044</v>
      </c>
      <c r="AS71" s="93">
        <f t="shared" si="113"/>
        <v>3.1483674144039044</v>
      </c>
      <c r="AT71" s="93">
        <f t="shared" si="113"/>
        <v>3.1483674144039044</v>
      </c>
      <c r="AU71" s="93">
        <f t="shared" si="113"/>
        <v>3.1483674144039044</v>
      </c>
      <c r="AV71" s="93">
        <f t="shared" si="113"/>
        <v>3.1483674144039044</v>
      </c>
      <c r="AW71" s="93">
        <f t="shared" si="113"/>
        <v>3.1483674144039044</v>
      </c>
      <c r="AX71" s="93">
        <f t="shared" si="113"/>
        <v>3.1483674144039044</v>
      </c>
      <c r="AY71" s="93">
        <f t="shared" si="113"/>
        <v>3.1483674144039044</v>
      </c>
      <c r="AZ71" s="93">
        <f t="shared" si="113"/>
        <v>3.1483674144039044</v>
      </c>
      <c r="BA71" s="93">
        <f t="shared" si="113"/>
        <v>3.1483674144039044</v>
      </c>
      <c r="BB71" s="93">
        <f t="shared" si="113"/>
        <v>3.1483674144039044</v>
      </c>
      <c r="BC71" s="94">
        <f t="shared" si="99"/>
        <v>31.762493647499998</v>
      </c>
      <c r="BD71" s="94">
        <f>IF(AD71=".",".",up_RadSpec!$F$29*(BD29*$B71))</f>
        <v>7.9406234118749994</v>
      </c>
      <c r="BE71" s="94">
        <f>IF(AE71=".",".",up_RadSpec!$F$29*(BE29*$B71))</f>
        <v>7.9406234118749994</v>
      </c>
      <c r="BF71" s="94">
        <f>IF(AF71=".",".",up_RadSpec!$F$29*(BF29*$B71))</f>
        <v>7.9406234118749994</v>
      </c>
      <c r="BG71" s="94">
        <f>IF(AG71=".",".",up_RadSpec!$F$29*(BG29*$B71))</f>
        <v>7.9406234118749994</v>
      </c>
      <c r="BH71" s="94">
        <f>IF(AH71=".",".",up_RadSpec!$F$29*(BH29*$B71))</f>
        <v>7.9406234118749994</v>
      </c>
      <c r="BI71" s="94">
        <f>IF(AI71=".",".",up_RadSpec!$F$29*(BI29*$B71))</f>
        <v>7.9406234118749994</v>
      </c>
      <c r="BJ71" s="94">
        <f>IF(AJ71=".",".",up_RadSpec!$F$29*(BJ29*$B71))</f>
        <v>7.9406234118749994</v>
      </c>
      <c r="BK71" s="94">
        <f>IF(AK71=".",".",up_RadSpec!$F$29*(BK29*$B71))</f>
        <v>7.9406234118749994</v>
      </c>
      <c r="BL71" s="94">
        <f>IF(AL71=".",".",up_RadSpec!$F$29*(BL29*$B71))</f>
        <v>7.9406234118749994</v>
      </c>
      <c r="BM71" s="94">
        <f>IF(AM71=".",".",up_RadSpec!$F$29*(BM29*$B71))</f>
        <v>7.9406234118749994</v>
      </c>
      <c r="BN71" s="94">
        <f>IF(AN71=".",".",up_RadSpec!$F$29*(BN29*$B71))</f>
        <v>7.9406234118749994</v>
      </c>
      <c r="BO71" s="94">
        <f>IF(AO71=".",".",up_RadSpec!$F$29*(BO29*$B71))</f>
        <v>7.9406234118749994</v>
      </c>
      <c r="BP71" s="94">
        <f>IF(AP71=".",".",up_RadSpec!$F$29*(BP29*$B71))</f>
        <v>7.9406234118749994</v>
      </c>
      <c r="BQ71" s="94">
        <f>IF(AQ71=".",".",up_RadSpec!$F$29*(BQ29*$B71))</f>
        <v>7.9406234118749994</v>
      </c>
      <c r="BR71" s="94">
        <f>IF(AR71=".",".",up_RadSpec!$F$29*(BR29*$B71))</f>
        <v>7.9406234118749994</v>
      </c>
      <c r="BS71" s="94">
        <f>IF(AS71=".",".",up_RadSpec!$F$29*(BS29*$B71))</f>
        <v>7.9406234118749994</v>
      </c>
      <c r="BT71" s="94">
        <f>IF(AT71=".",".",up_RadSpec!$F$29*(BT29*$B71))</f>
        <v>7.9406234118749994</v>
      </c>
      <c r="BU71" s="94">
        <f>IF(AU71=".",".",up_RadSpec!$F$29*(BU29*$B71))</f>
        <v>7.9406234118749994</v>
      </c>
      <c r="BV71" s="94">
        <f>IF(AV71=".",".",up_RadSpec!$F$29*(BV29*$B71))</f>
        <v>7.9406234118749994</v>
      </c>
      <c r="BW71" s="94">
        <f>IF(AW71=".",".",up_RadSpec!$F$29*(BW29*$B71))</f>
        <v>7.9406234118749994</v>
      </c>
      <c r="BX71" s="94">
        <f>IF(AX71=".",".",up_RadSpec!$F$29*(BX29*$B71))</f>
        <v>7.9406234118749994</v>
      </c>
      <c r="BY71" s="94">
        <f>IF(AY71=".",".",up_RadSpec!$F$29*(BY29*$B71))</f>
        <v>7.9406234118749994</v>
      </c>
      <c r="BZ71" s="94">
        <f>IF(AZ71=".",".",up_RadSpec!$F$29*(BZ29*$B71))</f>
        <v>7.9406234118749994</v>
      </c>
      <c r="CA71" s="94">
        <f>IF(BA71=".",".",up_RadSpec!$F$29*(CA29*$B71))</f>
        <v>7.9406234118749994</v>
      </c>
      <c r="CB71" s="94">
        <f>IF(BB71=".",".",up_RadSpec!$F$29*(CB29*$B71))</f>
        <v>7.9406234118749994</v>
      </c>
    </row>
    <row r="72" spans="1:80" x14ac:dyDescent="0.25">
      <c r="A72" s="92" t="s">
        <v>1079</v>
      </c>
      <c r="B72" s="84">
        <v>1</v>
      </c>
      <c r="C72" s="93">
        <f t="shared" ref="C72:AH72" si="114">IFERROR(C16/$B58,".")</f>
        <v>1.6528925619834712E-4</v>
      </c>
      <c r="D72" s="93">
        <f t="shared" si="114"/>
        <v>6.6115702479338848E-4</v>
      </c>
      <c r="E72" s="93">
        <f t="shared" si="114"/>
        <v>6.6115702479338848E-4</v>
      </c>
      <c r="F72" s="93">
        <f t="shared" si="114"/>
        <v>6.6115702479338848E-4</v>
      </c>
      <c r="G72" s="93">
        <f t="shared" si="114"/>
        <v>6.6115702479338848E-4</v>
      </c>
      <c r="H72" s="93">
        <f t="shared" si="114"/>
        <v>6.6115702479338848E-4</v>
      </c>
      <c r="I72" s="93">
        <f t="shared" si="114"/>
        <v>6.6115702479338848E-4</v>
      </c>
      <c r="J72" s="93">
        <f t="shared" si="114"/>
        <v>6.6115702479338848E-4</v>
      </c>
      <c r="K72" s="93">
        <f t="shared" si="114"/>
        <v>6.6115702479338848E-4</v>
      </c>
      <c r="L72" s="93">
        <f t="shared" si="114"/>
        <v>6.6115702479338848E-4</v>
      </c>
      <c r="M72" s="93">
        <f t="shared" si="114"/>
        <v>6.6115702479338848E-4</v>
      </c>
      <c r="N72" s="93">
        <f t="shared" si="114"/>
        <v>6.6115702479338848E-4</v>
      </c>
      <c r="O72" s="93">
        <f t="shared" si="114"/>
        <v>6.6115702479338848E-4</v>
      </c>
      <c r="P72" s="93">
        <f t="shared" si="114"/>
        <v>6.6115702479338848E-4</v>
      </c>
      <c r="Q72" s="93">
        <f t="shared" si="114"/>
        <v>6.6115702479338848E-4</v>
      </c>
      <c r="R72" s="93">
        <f t="shared" si="114"/>
        <v>6.6115702479338848E-4</v>
      </c>
      <c r="S72" s="93">
        <f t="shared" si="114"/>
        <v>6.6115702479338848E-4</v>
      </c>
      <c r="T72" s="93">
        <f t="shared" si="114"/>
        <v>6.6115702479338848E-4</v>
      </c>
      <c r="U72" s="93">
        <f t="shared" si="114"/>
        <v>6.6115702479338848E-4</v>
      </c>
      <c r="V72" s="93">
        <f t="shared" si="114"/>
        <v>6.6115702479338848E-4</v>
      </c>
      <c r="W72" s="93">
        <f t="shared" si="114"/>
        <v>6.6115702479338848E-4</v>
      </c>
      <c r="X72" s="93">
        <f t="shared" si="114"/>
        <v>6.6115702479338848E-4</v>
      </c>
      <c r="Y72" s="93">
        <f t="shared" si="114"/>
        <v>6.6115702479338848E-4</v>
      </c>
      <c r="Z72" s="93">
        <f t="shared" si="114"/>
        <v>6.6115702479338848E-4</v>
      </c>
      <c r="AA72" s="93">
        <f t="shared" si="114"/>
        <v>6.6115702479338848E-4</v>
      </c>
      <c r="AB72" s="93">
        <f t="shared" si="114"/>
        <v>6.6115702479338848E-4</v>
      </c>
      <c r="AC72" s="93">
        <f t="shared" si="114"/>
        <v>1.6528925619834712E-4</v>
      </c>
      <c r="AD72" s="93">
        <f t="shared" si="114"/>
        <v>6.6115702479338848E-4</v>
      </c>
      <c r="AE72" s="93">
        <f t="shared" si="114"/>
        <v>6.6115702479338848E-4</v>
      </c>
      <c r="AF72" s="93">
        <f t="shared" si="114"/>
        <v>6.6115702479338848E-4</v>
      </c>
      <c r="AG72" s="93">
        <f t="shared" si="114"/>
        <v>6.6115702479338848E-4</v>
      </c>
      <c r="AH72" s="93">
        <f t="shared" si="114"/>
        <v>6.6115702479338848E-4</v>
      </c>
      <c r="AI72" s="93">
        <f t="shared" ref="AI72:BB72" si="115">IFERROR(AI16/$B58,".")</f>
        <v>6.6115702479338848E-4</v>
      </c>
      <c r="AJ72" s="93">
        <f t="shared" si="115"/>
        <v>6.6115702479338848E-4</v>
      </c>
      <c r="AK72" s="93">
        <f t="shared" si="115"/>
        <v>6.6115702479338848E-4</v>
      </c>
      <c r="AL72" s="93">
        <f t="shared" si="115"/>
        <v>6.6115702479338848E-4</v>
      </c>
      <c r="AM72" s="93">
        <f t="shared" si="115"/>
        <v>6.6115702479338848E-4</v>
      </c>
      <c r="AN72" s="93">
        <f t="shared" si="115"/>
        <v>6.6115702479338848E-4</v>
      </c>
      <c r="AO72" s="93">
        <f t="shared" si="115"/>
        <v>6.6115702479338848E-4</v>
      </c>
      <c r="AP72" s="93">
        <f t="shared" si="115"/>
        <v>6.6115702479338848E-4</v>
      </c>
      <c r="AQ72" s="93">
        <f t="shared" si="115"/>
        <v>6.6115702479338848E-4</v>
      </c>
      <c r="AR72" s="93">
        <f t="shared" si="115"/>
        <v>6.6115702479338848E-4</v>
      </c>
      <c r="AS72" s="93">
        <f t="shared" si="115"/>
        <v>6.6115702479338848E-4</v>
      </c>
      <c r="AT72" s="93">
        <f t="shared" si="115"/>
        <v>6.6115702479338848E-4</v>
      </c>
      <c r="AU72" s="93">
        <f t="shared" si="115"/>
        <v>6.6115702479338848E-4</v>
      </c>
      <c r="AV72" s="93">
        <f t="shared" si="115"/>
        <v>6.6115702479338848E-4</v>
      </c>
      <c r="AW72" s="93">
        <f t="shared" si="115"/>
        <v>6.6115702479338848E-4</v>
      </c>
      <c r="AX72" s="93">
        <f t="shared" si="115"/>
        <v>6.6115702479338848E-4</v>
      </c>
      <c r="AY72" s="93">
        <f t="shared" si="115"/>
        <v>6.6115702479338848E-4</v>
      </c>
      <c r="AZ72" s="93">
        <f t="shared" si="115"/>
        <v>6.6115702479338848E-4</v>
      </c>
      <c r="BA72" s="93">
        <f t="shared" si="115"/>
        <v>6.6115702479338848E-4</v>
      </c>
      <c r="BB72" s="93">
        <f t="shared" si="115"/>
        <v>6.6115702479338848E-4</v>
      </c>
      <c r="BC72" s="94">
        <f t="shared" si="99"/>
        <v>151250</v>
      </c>
      <c r="BD72" s="94">
        <f>IF(AD72=".",".",up_RadSpec!$F$16*(BD16*$B72))</f>
        <v>37812.5</v>
      </c>
      <c r="BE72" s="94">
        <f>IF(AE72=".",".",up_RadSpec!$F$16*(BE16*$B72))</f>
        <v>37812.5</v>
      </c>
      <c r="BF72" s="94">
        <f>IF(AF72=".",".",up_RadSpec!$F$16*(BF16*$B72))</f>
        <v>37812.5</v>
      </c>
      <c r="BG72" s="94">
        <f>IF(AG72=".",".",up_RadSpec!$F$16*(BG16*$B72))</f>
        <v>37812.5</v>
      </c>
      <c r="BH72" s="94">
        <f>IF(AH72=".",".",up_RadSpec!$F$16*(BH16*$B72))</f>
        <v>37812.5</v>
      </c>
      <c r="BI72" s="94">
        <f>IF(AI72=".",".",up_RadSpec!$F$16*(BI16*$B72))</f>
        <v>37812.5</v>
      </c>
      <c r="BJ72" s="94">
        <f>IF(AJ72=".",".",up_RadSpec!$F$16*(BJ16*$B72))</f>
        <v>37812.5</v>
      </c>
      <c r="BK72" s="94">
        <f>IF(AK72=".",".",up_RadSpec!$F$16*(BK16*$B72))</f>
        <v>37812.5</v>
      </c>
      <c r="BL72" s="94">
        <f>IF(AL72=".",".",up_RadSpec!$F$16*(BL16*$B72))</f>
        <v>37812.5</v>
      </c>
      <c r="BM72" s="94">
        <f>IF(AM72=".",".",up_RadSpec!$F$16*(BM16*$B72))</f>
        <v>37812.5</v>
      </c>
      <c r="BN72" s="94">
        <f>IF(AN72=".",".",up_RadSpec!$F$16*(BN16*$B72))</f>
        <v>37812.5</v>
      </c>
      <c r="BO72" s="94">
        <f>IF(AO72=".",".",up_RadSpec!$F$16*(BO16*$B72))</f>
        <v>37812.5</v>
      </c>
      <c r="BP72" s="94">
        <f>IF(AP72=".",".",up_RadSpec!$F$16*(BP16*$B72))</f>
        <v>37812.5</v>
      </c>
      <c r="BQ72" s="94">
        <f>IF(AQ72=".",".",up_RadSpec!$F$16*(BQ16*$B72))</f>
        <v>37812.5</v>
      </c>
      <c r="BR72" s="94">
        <f>IF(AR72=".",".",up_RadSpec!$F$16*(BR16*$B72))</f>
        <v>37812.5</v>
      </c>
      <c r="BS72" s="94">
        <f>IF(AS72=".",".",up_RadSpec!$F$16*(BS16*$B72))</f>
        <v>37812.5</v>
      </c>
      <c r="BT72" s="94">
        <f>IF(AT72=".",".",up_RadSpec!$F$16*(BT16*$B72))</f>
        <v>37812.5</v>
      </c>
      <c r="BU72" s="94">
        <f>IF(AU72=".",".",up_RadSpec!$F$16*(BU16*$B72))</f>
        <v>37812.5</v>
      </c>
      <c r="BV72" s="94">
        <f>IF(AV72=".",".",up_RadSpec!$F$16*(BV16*$B72))</f>
        <v>37812.5</v>
      </c>
      <c r="BW72" s="94">
        <f>IF(AW72=".",".",up_RadSpec!$F$16*(BW16*$B72))</f>
        <v>37812.5</v>
      </c>
      <c r="BX72" s="94">
        <f>IF(AX72=".",".",up_RadSpec!$F$16*(BX16*$B72))</f>
        <v>37812.5</v>
      </c>
      <c r="BY72" s="94">
        <f>IF(AY72=".",".",up_RadSpec!$F$16*(BY16*$B72))</f>
        <v>37812.5</v>
      </c>
      <c r="BZ72" s="94">
        <f>IF(AZ72=".",".",up_RadSpec!$F$16*(BZ16*$B72))</f>
        <v>37812.5</v>
      </c>
      <c r="CA72" s="94">
        <f>IF(BA72=".",".",up_RadSpec!$F$16*(CA16*$B72))</f>
        <v>37812.5</v>
      </c>
      <c r="CB72" s="94">
        <f>IF(BB72=".",".",up_RadSpec!$F$16*(CB16*$B72))</f>
        <v>37812.5</v>
      </c>
    </row>
    <row r="73" spans="1:80" x14ac:dyDescent="0.25">
      <c r="A73" s="92" t="s">
        <v>1080</v>
      </c>
      <c r="B73" s="84">
        <v>1</v>
      </c>
      <c r="C73" s="93">
        <f t="shared" ref="C73:AH73" si="116">IFERROR(C7/$B59,".")</f>
        <v>1.6528925619834712E-4</v>
      </c>
      <c r="D73" s="93">
        <f t="shared" si="116"/>
        <v>6.6115702479338848E-4</v>
      </c>
      <c r="E73" s="93">
        <f t="shared" si="116"/>
        <v>6.6115702479338848E-4</v>
      </c>
      <c r="F73" s="93">
        <f t="shared" si="116"/>
        <v>6.6115702479338848E-4</v>
      </c>
      <c r="G73" s="93">
        <f t="shared" si="116"/>
        <v>6.6115702479338848E-4</v>
      </c>
      <c r="H73" s="93">
        <f t="shared" si="116"/>
        <v>6.6115702479338848E-4</v>
      </c>
      <c r="I73" s="93">
        <f t="shared" si="116"/>
        <v>6.6115702479338848E-4</v>
      </c>
      <c r="J73" s="93">
        <f t="shared" si="116"/>
        <v>6.6115702479338848E-4</v>
      </c>
      <c r="K73" s="93">
        <f t="shared" si="116"/>
        <v>6.6115702479338848E-4</v>
      </c>
      <c r="L73" s="93">
        <f t="shared" si="116"/>
        <v>6.6115702479338848E-4</v>
      </c>
      <c r="M73" s="93">
        <f t="shared" si="116"/>
        <v>6.6115702479338848E-4</v>
      </c>
      <c r="N73" s="93">
        <f t="shared" si="116"/>
        <v>6.6115702479338848E-4</v>
      </c>
      <c r="O73" s="93">
        <f t="shared" si="116"/>
        <v>6.6115702479338848E-4</v>
      </c>
      <c r="P73" s="93">
        <f t="shared" si="116"/>
        <v>6.6115702479338848E-4</v>
      </c>
      <c r="Q73" s="93">
        <f t="shared" si="116"/>
        <v>6.6115702479338848E-4</v>
      </c>
      <c r="R73" s="93">
        <f t="shared" si="116"/>
        <v>6.6115702479338848E-4</v>
      </c>
      <c r="S73" s="93">
        <f t="shared" si="116"/>
        <v>6.6115702479338848E-4</v>
      </c>
      <c r="T73" s="93">
        <f t="shared" si="116"/>
        <v>6.6115702479338848E-4</v>
      </c>
      <c r="U73" s="93">
        <f t="shared" si="116"/>
        <v>6.6115702479338848E-4</v>
      </c>
      <c r="V73" s="93">
        <f t="shared" si="116"/>
        <v>6.6115702479338848E-4</v>
      </c>
      <c r="W73" s="93">
        <f t="shared" si="116"/>
        <v>6.6115702479338848E-4</v>
      </c>
      <c r="X73" s="93">
        <f t="shared" si="116"/>
        <v>6.6115702479338848E-4</v>
      </c>
      <c r="Y73" s="93">
        <f t="shared" si="116"/>
        <v>6.6115702479338848E-4</v>
      </c>
      <c r="Z73" s="93">
        <f t="shared" si="116"/>
        <v>6.6115702479338848E-4</v>
      </c>
      <c r="AA73" s="93">
        <f t="shared" si="116"/>
        <v>6.6115702479338848E-4</v>
      </c>
      <c r="AB73" s="93">
        <f t="shared" si="116"/>
        <v>6.6115702479338848E-4</v>
      </c>
      <c r="AC73" s="93">
        <f t="shared" si="116"/>
        <v>1.6528925619834712E-4</v>
      </c>
      <c r="AD73" s="93">
        <f t="shared" si="116"/>
        <v>6.6115702479338848E-4</v>
      </c>
      <c r="AE73" s="93">
        <f t="shared" si="116"/>
        <v>6.6115702479338848E-4</v>
      </c>
      <c r="AF73" s="93">
        <f t="shared" si="116"/>
        <v>6.6115702479338848E-4</v>
      </c>
      <c r="AG73" s="93">
        <f t="shared" si="116"/>
        <v>6.6115702479338848E-4</v>
      </c>
      <c r="AH73" s="93">
        <f t="shared" si="116"/>
        <v>6.6115702479338848E-4</v>
      </c>
      <c r="AI73" s="93">
        <f t="shared" ref="AI73:BB73" si="117">IFERROR(AI7/$B59,".")</f>
        <v>6.6115702479338848E-4</v>
      </c>
      <c r="AJ73" s="93">
        <f t="shared" si="117"/>
        <v>6.6115702479338848E-4</v>
      </c>
      <c r="AK73" s="93">
        <f t="shared" si="117"/>
        <v>6.6115702479338848E-4</v>
      </c>
      <c r="AL73" s="93">
        <f t="shared" si="117"/>
        <v>6.6115702479338848E-4</v>
      </c>
      <c r="AM73" s="93">
        <f t="shared" si="117"/>
        <v>6.6115702479338848E-4</v>
      </c>
      <c r="AN73" s="93">
        <f t="shared" si="117"/>
        <v>6.6115702479338848E-4</v>
      </c>
      <c r="AO73" s="93">
        <f t="shared" si="117"/>
        <v>6.6115702479338848E-4</v>
      </c>
      <c r="AP73" s="93">
        <f t="shared" si="117"/>
        <v>6.6115702479338848E-4</v>
      </c>
      <c r="AQ73" s="93">
        <f t="shared" si="117"/>
        <v>6.6115702479338848E-4</v>
      </c>
      <c r="AR73" s="93">
        <f t="shared" si="117"/>
        <v>6.6115702479338848E-4</v>
      </c>
      <c r="AS73" s="93">
        <f t="shared" si="117"/>
        <v>6.6115702479338848E-4</v>
      </c>
      <c r="AT73" s="93">
        <f t="shared" si="117"/>
        <v>6.6115702479338848E-4</v>
      </c>
      <c r="AU73" s="93">
        <f t="shared" si="117"/>
        <v>6.6115702479338848E-4</v>
      </c>
      <c r="AV73" s="93">
        <f t="shared" si="117"/>
        <v>6.6115702479338848E-4</v>
      </c>
      <c r="AW73" s="93">
        <f t="shared" si="117"/>
        <v>6.6115702479338848E-4</v>
      </c>
      <c r="AX73" s="93">
        <f t="shared" si="117"/>
        <v>6.6115702479338848E-4</v>
      </c>
      <c r="AY73" s="93">
        <f t="shared" si="117"/>
        <v>6.6115702479338848E-4</v>
      </c>
      <c r="AZ73" s="93">
        <f t="shared" si="117"/>
        <v>6.6115702479338848E-4</v>
      </c>
      <c r="BA73" s="93">
        <f t="shared" si="117"/>
        <v>6.6115702479338848E-4</v>
      </c>
      <c r="BB73" s="93">
        <f t="shared" si="117"/>
        <v>6.6115702479338848E-4</v>
      </c>
      <c r="BC73" s="94">
        <f t="shared" si="99"/>
        <v>151250</v>
      </c>
      <c r="BD73" s="94">
        <f>IF(AD73=".",".",up_RadSpec!$F$7*(BD7*$B73))</f>
        <v>37812.5</v>
      </c>
      <c r="BE73" s="94">
        <f>IF(AE73=".",".",up_RadSpec!$F$7*(BE7*$B73))</f>
        <v>37812.5</v>
      </c>
      <c r="BF73" s="94">
        <f>IF(AF73=".",".",up_RadSpec!$F$7*(BF7*$B73))</f>
        <v>37812.5</v>
      </c>
      <c r="BG73" s="94">
        <f>IF(AG73=".",".",up_RadSpec!$F$7*(BG7*$B73))</f>
        <v>37812.5</v>
      </c>
      <c r="BH73" s="94">
        <f>IF(AH73=".",".",up_RadSpec!$F$7*(BH7*$B73))</f>
        <v>37812.5</v>
      </c>
      <c r="BI73" s="94">
        <f>IF(AI73=".",".",up_RadSpec!$F$7*(BI7*$B73))</f>
        <v>37812.5</v>
      </c>
      <c r="BJ73" s="94">
        <f>IF(AJ73=".",".",up_RadSpec!$F$7*(BJ7*$B73))</f>
        <v>37812.5</v>
      </c>
      <c r="BK73" s="94">
        <f>IF(AK73=".",".",up_RadSpec!$F$7*(BK7*$B73))</f>
        <v>37812.5</v>
      </c>
      <c r="BL73" s="94">
        <f>IF(AL73=".",".",up_RadSpec!$F$7*(BL7*$B73))</f>
        <v>37812.5</v>
      </c>
      <c r="BM73" s="94">
        <f>IF(AM73=".",".",up_RadSpec!$F$7*(BM7*$B73))</f>
        <v>37812.5</v>
      </c>
      <c r="BN73" s="94">
        <f>IF(AN73=".",".",up_RadSpec!$F$7*(BN7*$B73))</f>
        <v>37812.5</v>
      </c>
      <c r="BO73" s="94">
        <f>IF(AO73=".",".",up_RadSpec!$F$7*(BO7*$B73))</f>
        <v>37812.5</v>
      </c>
      <c r="BP73" s="94">
        <f>IF(AP73=".",".",up_RadSpec!$F$7*(BP7*$B73))</f>
        <v>37812.5</v>
      </c>
      <c r="BQ73" s="94">
        <f>IF(AQ73=".",".",up_RadSpec!$F$7*(BQ7*$B73))</f>
        <v>37812.5</v>
      </c>
      <c r="BR73" s="94">
        <f>IF(AR73=".",".",up_RadSpec!$F$7*(BR7*$B73))</f>
        <v>37812.5</v>
      </c>
      <c r="BS73" s="94">
        <f>IF(AS73=".",".",up_RadSpec!$F$7*(BS7*$B73))</f>
        <v>37812.5</v>
      </c>
      <c r="BT73" s="94">
        <f>IF(AT73=".",".",up_RadSpec!$F$7*(BT7*$B73))</f>
        <v>37812.5</v>
      </c>
      <c r="BU73" s="94">
        <f>IF(AU73=".",".",up_RadSpec!$F$7*(BU7*$B73))</f>
        <v>37812.5</v>
      </c>
      <c r="BV73" s="94">
        <f>IF(AV73=".",".",up_RadSpec!$F$7*(BV7*$B73))</f>
        <v>37812.5</v>
      </c>
      <c r="BW73" s="94">
        <f>IF(AW73=".",".",up_RadSpec!$F$7*(BW7*$B73))</f>
        <v>37812.5</v>
      </c>
      <c r="BX73" s="94">
        <f>IF(AX73=".",".",up_RadSpec!$F$7*(BX7*$B73))</f>
        <v>37812.5</v>
      </c>
      <c r="BY73" s="94">
        <f>IF(AY73=".",".",up_RadSpec!$F$7*(BY7*$B73))</f>
        <v>37812.5</v>
      </c>
      <c r="BZ73" s="94">
        <f>IF(AZ73=".",".",up_RadSpec!$F$7*(BZ7*$B73))</f>
        <v>37812.5</v>
      </c>
      <c r="CA73" s="94">
        <f>IF(BA73=".",".",up_RadSpec!$F$7*(CA7*$B73))</f>
        <v>37812.5</v>
      </c>
      <c r="CB73" s="94">
        <f>IF(BB73=".",".",up_RadSpec!$F$7*(CB7*$B73))</f>
        <v>37812.5</v>
      </c>
    </row>
    <row r="74" spans="1:80" x14ac:dyDescent="0.25">
      <c r="A74" s="92" t="s">
        <v>1081</v>
      </c>
      <c r="B74" s="97">
        <v>1.9000000000000001E-8</v>
      </c>
      <c r="C74" s="93">
        <f t="shared" ref="C74:AH74" si="118">IFERROR(C12/$B60,".")</f>
        <v>8699.4345367551105</v>
      </c>
      <c r="D74" s="93">
        <f t="shared" si="118"/>
        <v>34797.738147020442</v>
      </c>
      <c r="E74" s="93">
        <f t="shared" si="118"/>
        <v>34797.738147020442</v>
      </c>
      <c r="F74" s="93">
        <f t="shared" si="118"/>
        <v>34797.738147020442</v>
      </c>
      <c r="G74" s="93">
        <f t="shared" si="118"/>
        <v>34797.738147020442</v>
      </c>
      <c r="H74" s="93">
        <f t="shared" si="118"/>
        <v>34797.738147020442</v>
      </c>
      <c r="I74" s="93">
        <f t="shared" si="118"/>
        <v>34797.738147020442</v>
      </c>
      <c r="J74" s="93">
        <f t="shared" si="118"/>
        <v>34797.738147020442</v>
      </c>
      <c r="K74" s="93">
        <f t="shared" si="118"/>
        <v>34797.738147020442</v>
      </c>
      <c r="L74" s="93">
        <f t="shared" si="118"/>
        <v>34797.738147020442</v>
      </c>
      <c r="M74" s="93">
        <f t="shared" si="118"/>
        <v>34797.738147020442</v>
      </c>
      <c r="N74" s="93">
        <f t="shared" si="118"/>
        <v>34797.738147020442</v>
      </c>
      <c r="O74" s="93">
        <f t="shared" si="118"/>
        <v>34797.738147020442</v>
      </c>
      <c r="P74" s="93">
        <f t="shared" si="118"/>
        <v>34797.738147020442</v>
      </c>
      <c r="Q74" s="93">
        <f t="shared" si="118"/>
        <v>34797.738147020442</v>
      </c>
      <c r="R74" s="93">
        <f t="shared" si="118"/>
        <v>34797.738147020442</v>
      </c>
      <c r="S74" s="93">
        <f t="shared" si="118"/>
        <v>34797.738147020442</v>
      </c>
      <c r="T74" s="93">
        <f t="shared" si="118"/>
        <v>34797.738147020442</v>
      </c>
      <c r="U74" s="93">
        <f t="shared" si="118"/>
        <v>34797.738147020442</v>
      </c>
      <c r="V74" s="93">
        <f t="shared" si="118"/>
        <v>34797.738147020442</v>
      </c>
      <c r="W74" s="93">
        <f t="shared" si="118"/>
        <v>34797.738147020442</v>
      </c>
      <c r="X74" s="93">
        <f t="shared" si="118"/>
        <v>34797.738147020442</v>
      </c>
      <c r="Y74" s="93">
        <f t="shared" si="118"/>
        <v>34797.738147020442</v>
      </c>
      <c r="Z74" s="93">
        <f t="shared" si="118"/>
        <v>34797.738147020442</v>
      </c>
      <c r="AA74" s="93">
        <f t="shared" si="118"/>
        <v>34797.738147020442</v>
      </c>
      <c r="AB74" s="93">
        <f t="shared" si="118"/>
        <v>34797.738147020442</v>
      </c>
      <c r="AC74" s="93">
        <f t="shared" si="118"/>
        <v>8699.4345367551105</v>
      </c>
      <c r="AD74" s="93">
        <f t="shared" si="118"/>
        <v>34797.738147020442</v>
      </c>
      <c r="AE74" s="93">
        <f t="shared" si="118"/>
        <v>34797.738147020442</v>
      </c>
      <c r="AF74" s="93">
        <f t="shared" si="118"/>
        <v>34797.738147020442</v>
      </c>
      <c r="AG74" s="93">
        <f t="shared" si="118"/>
        <v>34797.738147020442</v>
      </c>
      <c r="AH74" s="93">
        <f t="shared" si="118"/>
        <v>34797.738147020442</v>
      </c>
      <c r="AI74" s="93">
        <f t="shared" ref="AI74:BB74" si="119">IFERROR(AI12/$B60,".")</f>
        <v>34797.738147020442</v>
      </c>
      <c r="AJ74" s="93">
        <f t="shared" si="119"/>
        <v>34797.738147020442</v>
      </c>
      <c r="AK74" s="93">
        <f t="shared" si="119"/>
        <v>34797.738147020442</v>
      </c>
      <c r="AL74" s="93">
        <f t="shared" si="119"/>
        <v>34797.738147020442</v>
      </c>
      <c r="AM74" s="93">
        <f t="shared" si="119"/>
        <v>34797.738147020442</v>
      </c>
      <c r="AN74" s="93">
        <f t="shared" si="119"/>
        <v>34797.738147020442</v>
      </c>
      <c r="AO74" s="93">
        <f t="shared" si="119"/>
        <v>34797.738147020442</v>
      </c>
      <c r="AP74" s="93">
        <f t="shared" si="119"/>
        <v>34797.738147020442</v>
      </c>
      <c r="AQ74" s="93">
        <f t="shared" si="119"/>
        <v>34797.738147020442</v>
      </c>
      <c r="AR74" s="93">
        <f t="shared" si="119"/>
        <v>34797.738147020442</v>
      </c>
      <c r="AS74" s="93">
        <f t="shared" si="119"/>
        <v>34797.738147020442</v>
      </c>
      <c r="AT74" s="93">
        <f t="shared" si="119"/>
        <v>34797.738147020442</v>
      </c>
      <c r="AU74" s="93">
        <f t="shared" si="119"/>
        <v>34797.738147020442</v>
      </c>
      <c r="AV74" s="93">
        <f t="shared" si="119"/>
        <v>34797.738147020442</v>
      </c>
      <c r="AW74" s="93">
        <f t="shared" si="119"/>
        <v>34797.738147020442</v>
      </c>
      <c r="AX74" s="93">
        <f t="shared" si="119"/>
        <v>34797.738147020442</v>
      </c>
      <c r="AY74" s="93">
        <f t="shared" si="119"/>
        <v>34797.738147020442</v>
      </c>
      <c r="AZ74" s="93">
        <f t="shared" si="119"/>
        <v>34797.738147020442</v>
      </c>
      <c r="BA74" s="93">
        <f t="shared" si="119"/>
        <v>34797.738147020442</v>
      </c>
      <c r="BB74" s="93">
        <f t="shared" si="119"/>
        <v>34797.738147020442</v>
      </c>
      <c r="BC74" s="94">
        <f t="shared" si="99"/>
        <v>2.8737500000000004E-3</v>
      </c>
      <c r="BD74" s="94">
        <f>IF(AD74=".",".",up_RadSpec!$F$12*(BD12*$B74))</f>
        <v>7.1843750000000011E-4</v>
      </c>
      <c r="BE74" s="94">
        <f>IF(AE74=".",".",up_RadSpec!$F$12*(BE12*$B74))</f>
        <v>7.1843750000000011E-4</v>
      </c>
      <c r="BF74" s="94">
        <f>IF(AF74=".",".",up_RadSpec!$F$12*(BF12*$B74))</f>
        <v>7.1843750000000011E-4</v>
      </c>
      <c r="BG74" s="94">
        <f>IF(AG74=".",".",up_RadSpec!$F$12*(BG12*$B74))</f>
        <v>7.1843750000000011E-4</v>
      </c>
      <c r="BH74" s="94">
        <f>IF(AH74=".",".",up_RadSpec!$F$12*(BH12*$B74))</f>
        <v>7.1843750000000011E-4</v>
      </c>
      <c r="BI74" s="94">
        <f>IF(AI74=".",".",up_RadSpec!$F$12*(BI12*$B74))</f>
        <v>7.1843750000000011E-4</v>
      </c>
      <c r="BJ74" s="94">
        <f>IF(AJ74=".",".",up_RadSpec!$F$12*(BJ12*$B74))</f>
        <v>7.1843750000000011E-4</v>
      </c>
      <c r="BK74" s="94">
        <f>IF(AK74=".",".",up_RadSpec!$F$12*(BK12*$B74))</f>
        <v>7.1843750000000011E-4</v>
      </c>
      <c r="BL74" s="94">
        <f>IF(AL74=".",".",up_RadSpec!$F$12*(BL12*$B74))</f>
        <v>7.1843750000000011E-4</v>
      </c>
      <c r="BM74" s="94">
        <f>IF(AM74=".",".",up_RadSpec!$F$12*(BM12*$B74))</f>
        <v>7.1843750000000011E-4</v>
      </c>
      <c r="BN74" s="94">
        <f>IF(AN74=".",".",up_RadSpec!$F$12*(BN12*$B74))</f>
        <v>7.1843750000000011E-4</v>
      </c>
      <c r="BO74" s="94">
        <f>IF(AO74=".",".",up_RadSpec!$F$12*(BO12*$B74))</f>
        <v>7.1843750000000011E-4</v>
      </c>
      <c r="BP74" s="94">
        <f>IF(AP74=".",".",up_RadSpec!$F$12*(BP12*$B74))</f>
        <v>7.1843750000000011E-4</v>
      </c>
      <c r="BQ74" s="94">
        <f>IF(AQ74=".",".",up_RadSpec!$F$12*(BQ12*$B74))</f>
        <v>7.1843750000000011E-4</v>
      </c>
      <c r="BR74" s="94">
        <f>IF(AR74=".",".",up_RadSpec!$F$12*(BR12*$B74))</f>
        <v>7.1843750000000011E-4</v>
      </c>
      <c r="BS74" s="94">
        <f>IF(AS74=".",".",up_RadSpec!$F$12*(BS12*$B74))</f>
        <v>7.1843750000000011E-4</v>
      </c>
      <c r="BT74" s="94">
        <f>IF(AT74=".",".",up_RadSpec!$F$12*(BT12*$B74))</f>
        <v>7.1843750000000011E-4</v>
      </c>
      <c r="BU74" s="94">
        <f>IF(AU74=".",".",up_RadSpec!$F$12*(BU12*$B74))</f>
        <v>7.1843750000000011E-4</v>
      </c>
      <c r="BV74" s="94">
        <f>IF(AV74=".",".",up_RadSpec!$F$12*(BV12*$B74))</f>
        <v>7.1843750000000011E-4</v>
      </c>
      <c r="BW74" s="94">
        <f>IF(AW74=".",".",up_RadSpec!$F$12*(BW12*$B74))</f>
        <v>7.1843750000000011E-4</v>
      </c>
      <c r="BX74" s="94">
        <f>IF(AX74=".",".",up_RadSpec!$F$12*(BX12*$B74))</f>
        <v>7.1843750000000011E-4</v>
      </c>
      <c r="BY74" s="94">
        <f>IF(AY74=".",".",up_RadSpec!$F$12*(BY12*$B74))</f>
        <v>7.1843750000000011E-4</v>
      </c>
      <c r="BZ74" s="94">
        <f>IF(AZ74=".",".",up_RadSpec!$F$12*(BZ12*$B74))</f>
        <v>7.1843750000000011E-4</v>
      </c>
      <c r="CA74" s="94">
        <f>IF(BA74=".",".",up_RadSpec!$F$12*(CA12*$B74))</f>
        <v>7.1843750000000011E-4</v>
      </c>
      <c r="CB74" s="94">
        <f>IF(BB74=".",".",up_RadSpec!$F$12*(CB12*$B74))</f>
        <v>7.1843750000000011E-4</v>
      </c>
    </row>
    <row r="75" spans="1:80" x14ac:dyDescent="0.25">
      <c r="A75" s="92" t="s">
        <v>1082</v>
      </c>
      <c r="B75" s="84">
        <v>1</v>
      </c>
      <c r="C75" s="93">
        <f t="shared" ref="C75:AH75" si="120">IFERROR(C18/$B61,".")</f>
        <v>1.6528925619834712E-4</v>
      </c>
      <c r="D75" s="93">
        <f t="shared" si="120"/>
        <v>6.6115702479338848E-4</v>
      </c>
      <c r="E75" s="93">
        <f t="shared" si="120"/>
        <v>6.6115702479338848E-4</v>
      </c>
      <c r="F75" s="93">
        <f t="shared" si="120"/>
        <v>6.6115702479338848E-4</v>
      </c>
      <c r="G75" s="93">
        <f t="shared" si="120"/>
        <v>6.6115702479338848E-4</v>
      </c>
      <c r="H75" s="93">
        <f t="shared" si="120"/>
        <v>6.6115702479338848E-4</v>
      </c>
      <c r="I75" s="93">
        <f t="shared" si="120"/>
        <v>6.6115702479338848E-4</v>
      </c>
      <c r="J75" s="93">
        <f t="shared" si="120"/>
        <v>6.6115702479338848E-4</v>
      </c>
      <c r="K75" s="93">
        <f t="shared" si="120"/>
        <v>6.6115702479338848E-4</v>
      </c>
      <c r="L75" s="93">
        <f t="shared" si="120"/>
        <v>6.6115702479338848E-4</v>
      </c>
      <c r="M75" s="93">
        <f t="shared" si="120"/>
        <v>6.6115702479338848E-4</v>
      </c>
      <c r="N75" s="93">
        <f t="shared" si="120"/>
        <v>6.6115702479338848E-4</v>
      </c>
      <c r="O75" s="93">
        <f t="shared" si="120"/>
        <v>6.6115702479338848E-4</v>
      </c>
      <c r="P75" s="93">
        <f t="shared" si="120"/>
        <v>6.6115702479338848E-4</v>
      </c>
      <c r="Q75" s="93">
        <f t="shared" si="120"/>
        <v>6.6115702479338848E-4</v>
      </c>
      <c r="R75" s="93">
        <f t="shared" si="120"/>
        <v>6.6115702479338848E-4</v>
      </c>
      <c r="S75" s="93">
        <f t="shared" si="120"/>
        <v>6.6115702479338848E-4</v>
      </c>
      <c r="T75" s="93">
        <f t="shared" si="120"/>
        <v>6.6115702479338848E-4</v>
      </c>
      <c r="U75" s="93">
        <f t="shared" si="120"/>
        <v>6.6115702479338848E-4</v>
      </c>
      <c r="V75" s="93">
        <f t="shared" si="120"/>
        <v>6.6115702479338848E-4</v>
      </c>
      <c r="W75" s="93">
        <f t="shared" si="120"/>
        <v>6.6115702479338848E-4</v>
      </c>
      <c r="X75" s="93">
        <f t="shared" si="120"/>
        <v>6.6115702479338848E-4</v>
      </c>
      <c r="Y75" s="93">
        <f t="shared" si="120"/>
        <v>6.6115702479338848E-4</v>
      </c>
      <c r="Z75" s="93">
        <f t="shared" si="120"/>
        <v>6.6115702479338848E-4</v>
      </c>
      <c r="AA75" s="93">
        <f t="shared" si="120"/>
        <v>6.6115702479338848E-4</v>
      </c>
      <c r="AB75" s="93">
        <f t="shared" si="120"/>
        <v>6.6115702479338848E-4</v>
      </c>
      <c r="AC75" s="93">
        <f t="shared" si="120"/>
        <v>1.6528925619834712E-4</v>
      </c>
      <c r="AD75" s="93">
        <f t="shared" si="120"/>
        <v>6.6115702479338848E-4</v>
      </c>
      <c r="AE75" s="93">
        <f t="shared" si="120"/>
        <v>6.6115702479338848E-4</v>
      </c>
      <c r="AF75" s="93">
        <f t="shared" si="120"/>
        <v>6.6115702479338848E-4</v>
      </c>
      <c r="AG75" s="93">
        <f t="shared" si="120"/>
        <v>6.6115702479338848E-4</v>
      </c>
      <c r="AH75" s="93">
        <f t="shared" si="120"/>
        <v>6.6115702479338848E-4</v>
      </c>
      <c r="AI75" s="93">
        <f t="shared" ref="AI75:BB75" si="121">IFERROR(AI18/$B61,".")</f>
        <v>6.6115702479338848E-4</v>
      </c>
      <c r="AJ75" s="93">
        <f t="shared" si="121"/>
        <v>6.6115702479338848E-4</v>
      </c>
      <c r="AK75" s="93">
        <f t="shared" si="121"/>
        <v>6.6115702479338848E-4</v>
      </c>
      <c r="AL75" s="93">
        <f t="shared" si="121"/>
        <v>6.6115702479338848E-4</v>
      </c>
      <c r="AM75" s="93">
        <f t="shared" si="121"/>
        <v>6.6115702479338848E-4</v>
      </c>
      <c r="AN75" s="93">
        <f t="shared" si="121"/>
        <v>6.6115702479338848E-4</v>
      </c>
      <c r="AO75" s="93">
        <f t="shared" si="121"/>
        <v>6.6115702479338848E-4</v>
      </c>
      <c r="AP75" s="93">
        <f t="shared" si="121"/>
        <v>6.6115702479338848E-4</v>
      </c>
      <c r="AQ75" s="93">
        <f t="shared" si="121"/>
        <v>6.6115702479338848E-4</v>
      </c>
      <c r="AR75" s="93">
        <f t="shared" si="121"/>
        <v>6.6115702479338848E-4</v>
      </c>
      <c r="AS75" s="93">
        <f t="shared" si="121"/>
        <v>6.6115702479338848E-4</v>
      </c>
      <c r="AT75" s="93">
        <f t="shared" si="121"/>
        <v>6.6115702479338848E-4</v>
      </c>
      <c r="AU75" s="93">
        <f t="shared" si="121"/>
        <v>6.6115702479338848E-4</v>
      </c>
      <c r="AV75" s="93">
        <f t="shared" si="121"/>
        <v>6.6115702479338848E-4</v>
      </c>
      <c r="AW75" s="93">
        <f t="shared" si="121"/>
        <v>6.6115702479338848E-4</v>
      </c>
      <c r="AX75" s="93">
        <f t="shared" si="121"/>
        <v>6.6115702479338848E-4</v>
      </c>
      <c r="AY75" s="93">
        <f t="shared" si="121"/>
        <v>6.6115702479338848E-4</v>
      </c>
      <c r="AZ75" s="93">
        <f t="shared" si="121"/>
        <v>6.6115702479338848E-4</v>
      </c>
      <c r="BA75" s="93">
        <f t="shared" si="121"/>
        <v>6.6115702479338848E-4</v>
      </c>
      <c r="BB75" s="93">
        <f t="shared" si="121"/>
        <v>6.6115702479338848E-4</v>
      </c>
      <c r="BC75" s="94">
        <f t="shared" si="99"/>
        <v>151250</v>
      </c>
      <c r="BD75" s="94">
        <f>IF(AD75=".",".",up_RadSpec!$F$18*(BD18*$B75))</f>
        <v>37812.5</v>
      </c>
      <c r="BE75" s="94">
        <f>IF(AE75=".",".",up_RadSpec!$F$18*(BE18*$B75))</f>
        <v>37812.5</v>
      </c>
      <c r="BF75" s="94">
        <f>IF(AF75=".",".",up_RadSpec!$F$18*(BF18*$B75))</f>
        <v>37812.5</v>
      </c>
      <c r="BG75" s="94">
        <f>IF(AG75=".",".",up_RadSpec!$F$18*(BG18*$B75))</f>
        <v>37812.5</v>
      </c>
      <c r="BH75" s="94">
        <f>IF(AH75=".",".",up_RadSpec!$F$18*(BH18*$B75))</f>
        <v>37812.5</v>
      </c>
      <c r="BI75" s="94">
        <f>IF(AI75=".",".",up_RadSpec!$F$18*(BI18*$B75))</f>
        <v>37812.5</v>
      </c>
      <c r="BJ75" s="94">
        <f>IF(AJ75=".",".",up_RadSpec!$F$18*(BJ18*$B75))</f>
        <v>37812.5</v>
      </c>
      <c r="BK75" s="94">
        <f>IF(AK75=".",".",up_RadSpec!$F$18*(BK18*$B75))</f>
        <v>37812.5</v>
      </c>
      <c r="BL75" s="94">
        <f>IF(AL75=".",".",up_RadSpec!$F$18*(BL18*$B75))</f>
        <v>37812.5</v>
      </c>
      <c r="BM75" s="94">
        <f>IF(AM75=".",".",up_RadSpec!$F$18*(BM18*$B75))</f>
        <v>37812.5</v>
      </c>
      <c r="BN75" s="94">
        <f>IF(AN75=".",".",up_RadSpec!$F$18*(BN18*$B75))</f>
        <v>37812.5</v>
      </c>
      <c r="BO75" s="94">
        <f>IF(AO75=".",".",up_RadSpec!$F$18*(BO18*$B75))</f>
        <v>37812.5</v>
      </c>
      <c r="BP75" s="94">
        <f>IF(AP75=".",".",up_RadSpec!$F$18*(BP18*$B75))</f>
        <v>37812.5</v>
      </c>
      <c r="BQ75" s="94">
        <f>IF(AQ75=".",".",up_RadSpec!$F$18*(BQ18*$B75))</f>
        <v>37812.5</v>
      </c>
      <c r="BR75" s="94">
        <f>IF(AR75=".",".",up_RadSpec!$F$18*(BR18*$B75))</f>
        <v>37812.5</v>
      </c>
      <c r="BS75" s="94">
        <f>IF(AS75=".",".",up_RadSpec!$F$18*(BS18*$B75))</f>
        <v>37812.5</v>
      </c>
      <c r="BT75" s="94">
        <f>IF(AT75=".",".",up_RadSpec!$F$18*(BT18*$B75))</f>
        <v>37812.5</v>
      </c>
      <c r="BU75" s="94">
        <f>IF(AU75=".",".",up_RadSpec!$F$18*(BU18*$B75))</f>
        <v>37812.5</v>
      </c>
      <c r="BV75" s="94">
        <f>IF(AV75=".",".",up_RadSpec!$F$18*(BV18*$B75))</f>
        <v>37812.5</v>
      </c>
      <c r="BW75" s="94">
        <f>IF(AW75=".",".",up_RadSpec!$F$18*(BW18*$B75))</f>
        <v>37812.5</v>
      </c>
      <c r="BX75" s="94">
        <f>IF(AX75=".",".",up_RadSpec!$F$18*(BX18*$B75))</f>
        <v>37812.5</v>
      </c>
      <c r="BY75" s="94">
        <f>IF(AY75=".",".",up_RadSpec!$F$18*(BY18*$B75))</f>
        <v>37812.5</v>
      </c>
      <c r="BZ75" s="94">
        <f>IF(AZ75=".",".",up_RadSpec!$F$18*(BZ18*$B75))</f>
        <v>37812.5</v>
      </c>
      <c r="CA75" s="94">
        <f>IF(BA75=".",".",up_RadSpec!$F$18*(CA18*$B75))</f>
        <v>37812.5</v>
      </c>
      <c r="CB75" s="94">
        <f>IF(BB75=".",".",up_RadSpec!$F$18*(CB18*$B75))</f>
        <v>37812.5</v>
      </c>
    </row>
    <row r="76" spans="1:80" x14ac:dyDescent="0.25">
      <c r="A76" s="92" t="s">
        <v>1083</v>
      </c>
      <c r="B76" s="84">
        <v>1.339E-6</v>
      </c>
      <c r="C76" s="93">
        <f t="shared" ref="C76:AH76" si="122">IFERROR(C27/$B62,".")</f>
        <v>123.44231232139441</v>
      </c>
      <c r="D76" s="93">
        <f t="shared" si="122"/>
        <v>493.76924928557764</v>
      </c>
      <c r="E76" s="93">
        <f t="shared" si="122"/>
        <v>493.76924928557764</v>
      </c>
      <c r="F76" s="93">
        <f t="shared" si="122"/>
        <v>493.76924928557764</v>
      </c>
      <c r="G76" s="93">
        <f t="shared" si="122"/>
        <v>493.76924928557764</v>
      </c>
      <c r="H76" s="93">
        <f t="shared" si="122"/>
        <v>493.76924928557764</v>
      </c>
      <c r="I76" s="93">
        <f t="shared" si="122"/>
        <v>493.76924928557764</v>
      </c>
      <c r="J76" s="93">
        <f t="shared" si="122"/>
        <v>493.76924928557764</v>
      </c>
      <c r="K76" s="93">
        <f t="shared" si="122"/>
        <v>493.76924928557764</v>
      </c>
      <c r="L76" s="93">
        <f t="shared" si="122"/>
        <v>493.76924928557764</v>
      </c>
      <c r="M76" s="93">
        <f t="shared" si="122"/>
        <v>493.76924928557764</v>
      </c>
      <c r="N76" s="93">
        <f t="shared" si="122"/>
        <v>493.76924928557764</v>
      </c>
      <c r="O76" s="93">
        <f t="shared" si="122"/>
        <v>493.76924928557764</v>
      </c>
      <c r="P76" s="93">
        <f t="shared" si="122"/>
        <v>493.76924928557764</v>
      </c>
      <c r="Q76" s="93">
        <f t="shared" si="122"/>
        <v>493.76924928557764</v>
      </c>
      <c r="R76" s="93">
        <f t="shared" si="122"/>
        <v>493.76924928557764</v>
      </c>
      <c r="S76" s="93">
        <f t="shared" si="122"/>
        <v>493.76924928557764</v>
      </c>
      <c r="T76" s="93">
        <f t="shared" si="122"/>
        <v>493.76924928557764</v>
      </c>
      <c r="U76" s="93">
        <f t="shared" si="122"/>
        <v>493.76924928557764</v>
      </c>
      <c r="V76" s="93">
        <f t="shared" si="122"/>
        <v>493.76924928557764</v>
      </c>
      <c r="W76" s="93">
        <f t="shared" si="122"/>
        <v>493.76924928557764</v>
      </c>
      <c r="X76" s="93">
        <f t="shared" si="122"/>
        <v>493.76924928557764</v>
      </c>
      <c r="Y76" s="93">
        <f t="shared" si="122"/>
        <v>493.76924928557764</v>
      </c>
      <c r="Z76" s="93">
        <f t="shared" si="122"/>
        <v>493.76924928557764</v>
      </c>
      <c r="AA76" s="93">
        <f t="shared" si="122"/>
        <v>493.76924928557764</v>
      </c>
      <c r="AB76" s="93">
        <f t="shared" si="122"/>
        <v>493.76924928557764</v>
      </c>
      <c r="AC76" s="93">
        <f t="shared" si="122"/>
        <v>123.44231232139441</v>
      </c>
      <c r="AD76" s="93">
        <f t="shared" si="122"/>
        <v>493.76924928557764</v>
      </c>
      <c r="AE76" s="93">
        <f t="shared" si="122"/>
        <v>493.76924928557764</v>
      </c>
      <c r="AF76" s="93">
        <f t="shared" si="122"/>
        <v>493.76924928557764</v>
      </c>
      <c r="AG76" s="93">
        <f t="shared" si="122"/>
        <v>493.76924928557764</v>
      </c>
      <c r="AH76" s="93">
        <f t="shared" si="122"/>
        <v>493.76924928557764</v>
      </c>
      <c r="AI76" s="93">
        <f t="shared" ref="AI76:BB76" si="123">IFERROR(AI27/$B62,".")</f>
        <v>493.76924928557764</v>
      </c>
      <c r="AJ76" s="93">
        <f t="shared" si="123"/>
        <v>493.76924928557764</v>
      </c>
      <c r="AK76" s="93">
        <f t="shared" si="123"/>
        <v>493.76924928557764</v>
      </c>
      <c r="AL76" s="93">
        <f t="shared" si="123"/>
        <v>493.76924928557764</v>
      </c>
      <c r="AM76" s="93">
        <f t="shared" si="123"/>
        <v>493.76924928557764</v>
      </c>
      <c r="AN76" s="93">
        <f t="shared" si="123"/>
        <v>493.76924928557764</v>
      </c>
      <c r="AO76" s="93">
        <f t="shared" si="123"/>
        <v>493.76924928557764</v>
      </c>
      <c r="AP76" s="93">
        <f t="shared" si="123"/>
        <v>493.76924928557764</v>
      </c>
      <c r="AQ76" s="93">
        <f t="shared" si="123"/>
        <v>493.76924928557764</v>
      </c>
      <c r="AR76" s="93">
        <f t="shared" si="123"/>
        <v>493.76924928557764</v>
      </c>
      <c r="AS76" s="93">
        <f t="shared" si="123"/>
        <v>493.76924928557764</v>
      </c>
      <c r="AT76" s="93">
        <f t="shared" si="123"/>
        <v>493.76924928557764</v>
      </c>
      <c r="AU76" s="93">
        <f t="shared" si="123"/>
        <v>493.76924928557764</v>
      </c>
      <c r="AV76" s="93">
        <f t="shared" si="123"/>
        <v>493.76924928557764</v>
      </c>
      <c r="AW76" s="93">
        <f t="shared" si="123"/>
        <v>493.76924928557764</v>
      </c>
      <c r="AX76" s="93">
        <f t="shared" si="123"/>
        <v>493.76924928557764</v>
      </c>
      <c r="AY76" s="93">
        <f t="shared" si="123"/>
        <v>493.76924928557764</v>
      </c>
      <c r="AZ76" s="93">
        <f t="shared" si="123"/>
        <v>493.76924928557764</v>
      </c>
      <c r="BA76" s="93">
        <f t="shared" si="123"/>
        <v>493.76924928557764</v>
      </c>
      <c r="BB76" s="93">
        <f t="shared" si="123"/>
        <v>493.76924928557764</v>
      </c>
      <c r="BC76" s="94">
        <f t="shared" si="99"/>
        <v>0.20252375</v>
      </c>
      <c r="BD76" s="94">
        <f>IF(AD76=".",".",up_RadSpec!$F$27*(BD27*$B76))</f>
        <v>5.0630937500000001E-2</v>
      </c>
      <c r="BE76" s="94">
        <f>IF(AE76=".",".",up_RadSpec!$F$27*(BE27*$B76))</f>
        <v>5.0630937500000001E-2</v>
      </c>
      <c r="BF76" s="94">
        <f>IF(AF76=".",".",up_RadSpec!$F$27*(BF27*$B76))</f>
        <v>5.0630937500000001E-2</v>
      </c>
      <c r="BG76" s="94">
        <f>IF(AG76=".",".",up_RadSpec!$F$27*(BG27*$B76))</f>
        <v>5.0630937500000001E-2</v>
      </c>
      <c r="BH76" s="94">
        <f>IF(AH76=".",".",up_RadSpec!$F$27*(BH27*$B76))</f>
        <v>5.0630937500000001E-2</v>
      </c>
      <c r="BI76" s="94">
        <f>IF(AI76=".",".",up_RadSpec!$F$27*(BI27*$B76))</f>
        <v>5.0630937500000001E-2</v>
      </c>
      <c r="BJ76" s="94">
        <f>IF(AJ76=".",".",up_RadSpec!$F$27*(BJ27*$B76))</f>
        <v>5.0630937500000001E-2</v>
      </c>
      <c r="BK76" s="94">
        <f>IF(AK76=".",".",up_RadSpec!$F$27*(BK27*$B76))</f>
        <v>5.0630937500000001E-2</v>
      </c>
      <c r="BL76" s="94">
        <f>IF(AL76=".",".",up_RadSpec!$F$27*(BL27*$B76))</f>
        <v>5.0630937500000001E-2</v>
      </c>
      <c r="BM76" s="94">
        <f>IF(AM76=".",".",up_RadSpec!$F$27*(BM27*$B76))</f>
        <v>5.0630937500000001E-2</v>
      </c>
      <c r="BN76" s="94">
        <f>IF(AN76=".",".",up_RadSpec!$F$27*(BN27*$B76))</f>
        <v>5.0630937500000001E-2</v>
      </c>
      <c r="BO76" s="94">
        <f>IF(AO76=".",".",up_RadSpec!$F$27*(BO27*$B76))</f>
        <v>5.0630937500000001E-2</v>
      </c>
      <c r="BP76" s="94">
        <f>IF(AP76=".",".",up_RadSpec!$F$27*(BP27*$B76))</f>
        <v>5.0630937500000001E-2</v>
      </c>
      <c r="BQ76" s="94">
        <f>IF(AQ76=".",".",up_RadSpec!$F$27*(BQ27*$B76))</f>
        <v>5.0630937500000001E-2</v>
      </c>
      <c r="BR76" s="94">
        <f>IF(AR76=".",".",up_RadSpec!$F$27*(BR27*$B76))</f>
        <v>5.0630937500000001E-2</v>
      </c>
      <c r="BS76" s="94">
        <f>IF(AS76=".",".",up_RadSpec!$F$27*(BS27*$B76))</f>
        <v>5.0630937500000001E-2</v>
      </c>
      <c r="BT76" s="94">
        <f>IF(AT76=".",".",up_RadSpec!$F$27*(BT27*$B76))</f>
        <v>5.0630937500000001E-2</v>
      </c>
      <c r="BU76" s="94">
        <f>IF(AU76=".",".",up_RadSpec!$F$27*(BU27*$B76))</f>
        <v>5.0630937500000001E-2</v>
      </c>
      <c r="BV76" s="94">
        <f>IF(AV76=".",".",up_RadSpec!$F$27*(BV27*$B76))</f>
        <v>5.0630937500000001E-2</v>
      </c>
      <c r="BW76" s="94">
        <f>IF(AW76=".",".",up_RadSpec!$F$27*(BW27*$B76))</f>
        <v>5.0630937500000001E-2</v>
      </c>
      <c r="BX76" s="94">
        <f>IF(AX76=".",".",up_RadSpec!$F$27*(BX27*$B76))</f>
        <v>5.0630937500000001E-2</v>
      </c>
      <c r="BY76" s="94">
        <f>IF(AY76=".",".",up_RadSpec!$F$27*(BY27*$B76))</f>
        <v>5.0630937500000001E-2</v>
      </c>
      <c r="BZ76" s="94">
        <f>IF(AZ76=".",".",up_RadSpec!$F$27*(BZ27*$B76))</f>
        <v>5.0630937500000001E-2</v>
      </c>
      <c r="CA76" s="94">
        <f>IF(BA76=".",".",up_RadSpec!$F$27*(CA27*$B76))</f>
        <v>5.0630937500000001E-2</v>
      </c>
      <c r="CB76" s="94">
        <f>IF(BB76=".",".",up_RadSpec!$F$27*(CB27*$B76))</f>
        <v>5.0630937500000001E-2</v>
      </c>
    </row>
  </sheetData>
  <sheetProtection algorithmName="SHA-512" hashValue="nSc2xvWyYu2uEwac0lNyz7t7sO+v/c+HikhtTapU5n3mg0rzcFCiYKPeLcJbDX8N1B0loBz3WrueACvQco8W3Q==" saltValue="qvY0uFa5EMvwP9MmsJ4EkQ==" spinCount="100000" sheet="1" formatColumns="0" formatRows="0" autoFilter="0"/>
  <autoFilter ref="A1:BY76" xr:uid="{0D17F666-105E-4FEE-AC22-BBB8076B344D}"/>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D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2" bestFit="1" customWidth="1"/>
    <col min="2" max="2" width="13.28515625" style="42" bestFit="1" customWidth="1"/>
    <col min="3" max="3" width="27" style="42" bestFit="1" customWidth="1"/>
    <col min="4" max="4" width="16" style="42" bestFit="1" customWidth="1"/>
    <col min="5" max="5" width="16.140625" style="42" bestFit="1" customWidth="1"/>
    <col min="6" max="6" width="15" style="42" bestFit="1" customWidth="1"/>
    <col min="7" max="7" width="15.7109375" style="42" bestFit="1" customWidth="1"/>
    <col min="8" max="8" width="15" style="42" bestFit="1" customWidth="1"/>
    <col min="9" max="9" width="15.42578125" style="42" bestFit="1" customWidth="1"/>
    <col min="10" max="10" width="14.7109375" style="42" bestFit="1" customWidth="1"/>
    <col min="11" max="11" width="16.140625" style="42" bestFit="1" customWidth="1"/>
    <col min="12" max="12" width="15" style="42" bestFit="1" customWidth="1"/>
    <col min="13" max="13" width="16.85546875" style="42" bestFit="1" customWidth="1"/>
    <col min="14" max="14" width="14" style="42" bestFit="1" customWidth="1"/>
    <col min="15" max="16" width="15" style="42" bestFit="1" customWidth="1"/>
    <col min="17" max="17" width="16.140625" style="42" bestFit="1" customWidth="1"/>
    <col min="18" max="18" width="16.28515625" style="42" bestFit="1" customWidth="1"/>
    <col min="19" max="19" width="15" style="42" bestFit="1" customWidth="1"/>
    <col min="20" max="20" width="14.28515625" style="42" bestFit="1" customWidth="1"/>
    <col min="21" max="21" width="14.28515625" style="42" customWidth="1"/>
    <col min="22" max="22" width="15.7109375" style="42" bestFit="1" customWidth="1"/>
    <col min="23" max="23" width="16.140625" style="42" bestFit="1" customWidth="1"/>
    <col min="24" max="24" width="15.42578125" style="42" bestFit="1" customWidth="1"/>
    <col min="25" max="25" width="16" style="42" bestFit="1" customWidth="1"/>
    <col min="26" max="27" width="14.42578125" style="42" bestFit="1" customWidth="1"/>
    <col min="28" max="28" width="16.42578125" style="42" bestFit="1" customWidth="1"/>
    <col min="29" max="29" width="22.5703125" style="42" bestFit="1" customWidth="1"/>
    <col min="30" max="30" width="15.85546875" style="42" bestFit="1" customWidth="1"/>
    <col min="31" max="31" width="16" style="42" bestFit="1" customWidth="1"/>
    <col min="32" max="32" width="14.7109375" style="42" bestFit="1" customWidth="1"/>
    <col min="33" max="33" width="15.42578125" style="42" bestFit="1" customWidth="1"/>
    <col min="34" max="34" width="14.7109375" style="42" bestFit="1" customWidth="1"/>
    <col min="35" max="35" width="15.140625" style="42" bestFit="1" customWidth="1"/>
    <col min="36" max="36" width="14.28515625" style="42" bestFit="1" customWidth="1"/>
    <col min="37" max="37" width="15.7109375" style="42" bestFit="1" customWidth="1"/>
    <col min="38" max="38" width="14.7109375" style="42" bestFit="1" customWidth="1"/>
    <col min="39" max="39" width="16.7109375" style="42" bestFit="1" customWidth="1"/>
    <col min="40" max="40" width="13.7109375" style="42" bestFit="1" customWidth="1"/>
    <col min="41" max="41" width="14.5703125" style="42" bestFit="1" customWidth="1"/>
    <col min="42" max="42" width="14.85546875" style="42" bestFit="1" customWidth="1"/>
    <col min="43" max="43" width="16" style="42" bestFit="1" customWidth="1"/>
    <col min="44" max="44" width="16.28515625" style="42" bestFit="1" customWidth="1"/>
    <col min="45" max="45" width="14.85546875" style="42" bestFit="1" customWidth="1"/>
    <col min="46" max="46" width="14.140625" style="42" bestFit="1" customWidth="1"/>
    <col min="47" max="47" width="14.140625" style="42" customWidth="1"/>
    <col min="48" max="48" width="15.85546875" style="42" bestFit="1" customWidth="1"/>
    <col min="49" max="49" width="16.140625" style="42" bestFit="1" customWidth="1"/>
    <col min="50" max="50" width="15.140625" style="42" bestFit="1" customWidth="1"/>
    <col min="51" max="51" width="16" style="42" bestFit="1" customWidth="1"/>
    <col min="52" max="52" width="14.42578125" style="42" bestFit="1" customWidth="1"/>
    <col min="53" max="53" width="13.85546875" style="42" bestFit="1" customWidth="1"/>
    <col min="54" max="54" width="16.140625" style="42" bestFit="1" customWidth="1"/>
    <col min="55" max="55" width="26.85546875" style="42" bestFit="1" customWidth="1"/>
    <col min="56" max="56" width="15.85546875" style="42" bestFit="1" customWidth="1"/>
    <col min="57" max="57" width="16" style="42" bestFit="1" customWidth="1"/>
    <col min="58" max="58" width="14.7109375" style="42" bestFit="1" customWidth="1"/>
    <col min="59" max="59" width="15.5703125" style="42" bestFit="1" customWidth="1"/>
    <col min="60" max="60" width="14.85546875" style="42" bestFit="1" customWidth="1"/>
    <col min="61" max="61" width="15.28515625" style="42" bestFit="1" customWidth="1"/>
    <col min="62" max="62" width="14.5703125" style="42" bestFit="1" customWidth="1"/>
    <col min="63" max="63" width="16" style="42" bestFit="1" customWidth="1"/>
    <col min="64" max="64" width="14.85546875" style="42" bestFit="1" customWidth="1"/>
    <col min="65" max="65" width="16.7109375" style="42" bestFit="1" customWidth="1"/>
    <col min="66" max="66" width="13.85546875" style="42" bestFit="1" customWidth="1"/>
    <col min="67" max="68" width="14.85546875" style="42" bestFit="1" customWidth="1"/>
    <col min="69" max="69" width="16" style="42" bestFit="1" customWidth="1"/>
    <col min="70" max="70" width="16.140625" style="42" bestFit="1" customWidth="1"/>
    <col min="71" max="71" width="14.85546875" style="42" bestFit="1" customWidth="1"/>
    <col min="72" max="72" width="14.140625" style="42" bestFit="1" customWidth="1"/>
    <col min="73" max="73" width="14.140625" style="42" customWidth="1"/>
    <col min="74" max="74" width="15.5703125" style="42" bestFit="1" customWidth="1"/>
    <col min="75" max="75" width="15.85546875" style="42" bestFit="1" customWidth="1"/>
    <col min="76" max="76" width="15.28515625" style="42" bestFit="1" customWidth="1"/>
    <col min="77" max="77" width="15.85546875" style="42" bestFit="1" customWidth="1"/>
    <col min="78" max="79" width="14.28515625" style="42" bestFit="1" customWidth="1"/>
    <col min="80" max="80" width="15.5703125" style="42" bestFit="1" customWidth="1"/>
    <col min="81" max="81" width="22.5703125" style="42" bestFit="1" customWidth="1"/>
    <col min="82" max="82" width="15.85546875" style="42" bestFit="1" customWidth="1"/>
    <col min="83" max="83" width="16" style="42" bestFit="1" customWidth="1"/>
    <col min="84" max="84" width="14.7109375" style="42" bestFit="1" customWidth="1"/>
    <col min="85" max="85" width="15.42578125" style="42" bestFit="1" customWidth="1"/>
    <col min="86" max="86" width="14.7109375" style="42" bestFit="1" customWidth="1"/>
    <col min="87" max="87" width="15.140625" style="42" bestFit="1" customWidth="1"/>
    <col min="88" max="88" width="14.28515625" style="42" bestFit="1" customWidth="1"/>
    <col min="89" max="89" width="15.7109375" style="42" bestFit="1" customWidth="1"/>
    <col min="90" max="90" width="14.7109375" style="42" bestFit="1" customWidth="1"/>
    <col min="91" max="91" width="16.7109375" style="42" bestFit="1" customWidth="1"/>
    <col min="92" max="92" width="13.7109375" style="42" bestFit="1" customWidth="1"/>
    <col min="93" max="93" width="14.5703125" style="42" bestFit="1" customWidth="1"/>
    <col min="94" max="94" width="14.85546875" style="42" bestFit="1" customWidth="1"/>
    <col min="95" max="95" width="16" style="42" bestFit="1" customWidth="1"/>
    <col min="96" max="96" width="16.28515625" style="42" bestFit="1" customWidth="1"/>
    <col min="97" max="97" width="14.85546875" style="42" bestFit="1" customWidth="1"/>
    <col min="98" max="98" width="14.140625" style="42" bestFit="1" customWidth="1"/>
    <col min="99" max="99" width="14.140625" style="42" customWidth="1"/>
    <col min="100" max="100" width="15.85546875" style="42" bestFit="1" customWidth="1"/>
    <col min="101" max="101" width="16.140625" style="42" bestFit="1" customWidth="1"/>
    <col min="102" max="102" width="15.140625" style="42" bestFit="1" customWidth="1"/>
    <col min="103" max="103" width="16" style="42" bestFit="1" customWidth="1"/>
    <col min="104" max="104" width="14.42578125" style="42" bestFit="1" customWidth="1"/>
    <col min="105" max="105" width="13.85546875" style="42" bestFit="1" customWidth="1"/>
    <col min="106" max="106" width="15.42578125" style="42" bestFit="1" customWidth="1"/>
    <col min="107" max="16384" width="9.140625" style="42"/>
  </cols>
  <sheetData>
    <row r="1" spans="1:106" x14ac:dyDescent="0.25">
      <c r="A1" s="72" t="s">
        <v>39</v>
      </c>
      <c r="B1" s="73" t="s">
        <v>334</v>
      </c>
      <c r="C1" s="74" t="s">
        <v>1481</v>
      </c>
      <c r="D1" s="42" t="s">
        <v>1430</v>
      </c>
      <c r="E1" s="42" t="s">
        <v>1431</v>
      </c>
      <c r="F1" s="42" t="s">
        <v>1432</v>
      </c>
      <c r="G1" s="42" t="s">
        <v>1433</v>
      </c>
      <c r="H1" s="42" t="s">
        <v>1434</v>
      </c>
      <c r="I1" s="42" t="s">
        <v>1435</v>
      </c>
      <c r="J1" s="42" t="s">
        <v>1436</v>
      </c>
      <c r="K1" s="42" t="s">
        <v>1437</v>
      </c>
      <c r="L1" s="42" t="s">
        <v>1438</v>
      </c>
      <c r="M1" s="42" t="s">
        <v>1439</v>
      </c>
      <c r="N1" s="42" t="s">
        <v>1440</v>
      </c>
      <c r="O1" s="42" t="s">
        <v>1441</v>
      </c>
      <c r="P1" s="42" t="s">
        <v>1442</v>
      </c>
      <c r="Q1" s="42" t="s">
        <v>1443</v>
      </c>
      <c r="R1" s="42" t="s">
        <v>1444</v>
      </c>
      <c r="S1" s="42" t="s">
        <v>1445</v>
      </c>
      <c r="T1" s="42" t="s">
        <v>1446</v>
      </c>
      <c r="U1" s="42" t="s">
        <v>1447</v>
      </c>
      <c r="V1" s="42" t="s">
        <v>1448</v>
      </c>
      <c r="W1" s="42" t="s">
        <v>1449</v>
      </c>
      <c r="X1" s="42" t="s">
        <v>1450</v>
      </c>
      <c r="Y1" s="42" t="s">
        <v>1451</v>
      </c>
      <c r="Z1" s="42" t="s">
        <v>1452</v>
      </c>
      <c r="AA1" s="42" t="s">
        <v>1453</v>
      </c>
      <c r="AB1" s="42" t="s">
        <v>1454</v>
      </c>
      <c r="AC1" s="75" t="s">
        <v>1105</v>
      </c>
      <c r="AD1" s="75" t="s">
        <v>1106</v>
      </c>
      <c r="AE1" s="75" t="s">
        <v>1107</v>
      </c>
      <c r="AF1" s="75" t="s">
        <v>1108</v>
      </c>
      <c r="AG1" s="75" t="s">
        <v>1109</v>
      </c>
      <c r="AH1" s="75" t="s">
        <v>1110</v>
      </c>
      <c r="AI1" s="75" t="s">
        <v>1111</v>
      </c>
      <c r="AJ1" s="75" t="s">
        <v>1112</v>
      </c>
      <c r="AK1" s="75" t="s">
        <v>1113</v>
      </c>
      <c r="AL1" s="75" t="s">
        <v>1114</v>
      </c>
      <c r="AM1" s="75" t="s">
        <v>1115</v>
      </c>
      <c r="AN1" s="75" t="s">
        <v>1116</v>
      </c>
      <c r="AO1" s="75" t="s">
        <v>1117</v>
      </c>
      <c r="AP1" s="75" t="s">
        <v>1118</v>
      </c>
      <c r="AQ1" s="75" t="s">
        <v>1119</v>
      </c>
      <c r="AR1" s="75" t="s">
        <v>1120</v>
      </c>
      <c r="AS1" s="75" t="s">
        <v>1121</v>
      </c>
      <c r="AT1" s="75" t="s">
        <v>1122</v>
      </c>
      <c r="AU1" s="75" t="s">
        <v>1307</v>
      </c>
      <c r="AV1" s="75" t="s">
        <v>1123</v>
      </c>
      <c r="AW1" s="75" t="s">
        <v>1124</v>
      </c>
      <c r="AX1" s="75" t="s">
        <v>1125</v>
      </c>
      <c r="AY1" s="75" t="s">
        <v>1126</v>
      </c>
      <c r="AZ1" s="75" t="s">
        <v>1127</v>
      </c>
      <c r="BA1" s="75" t="s">
        <v>1128</v>
      </c>
      <c r="BB1" s="75" t="s">
        <v>1129</v>
      </c>
      <c r="BC1" s="42" t="s">
        <v>1482</v>
      </c>
      <c r="BD1" s="42" t="s">
        <v>1456</v>
      </c>
      <c r="BE1" s="42" t="s">
        <v>1457</v>
      </c>
      <c r="BF1" s="42" t="s">
        <v>1458</v>
      </c>
      <c r="BG1" s="42" t="s">
        <v>1459</v>
      </c>
      <c r="BH1" s="42" t="s">
        <v>1460</v>
      </c>
      <c r="BI1" s="42" t="s">
        <v>1461</v>
      </c>
      <c r="BJ1" s="42" t="s">
        <v>1462</v>
      </c>
      <c r="BK1" s="42" t="s">
        <v>1463</v>
      </c>
      <c r="BL1" s="42" t="s">
        <v>1464</v>
      </c>
      <c r="BM1" s="42" t="s">
        <v>1465</v>
      </c>
      <c r="BN1" s="42" t="s">
        <v>1466</v>
      </c>
      <c r="BO1" s="42" t="s">
        <v>1467</v>
      </c>
      <c r="BP1" s="42" t="s">
        <v>1468</v>
      </c>
      <c r="BQ1" s="42" t="s">
        <v>1469</v>
      </c>
      <c r="BR1" s="42" t="s">
        <v>1470</v>
      </c>
      <c r="BS1" s="42" t="s">
        <v>1471</v>
      </c>
      <c r="BT1" s="42" t="s">
        <v>1472</v>
      </c>
      <c r="BU1" s="42" t="s">
        <v>1473</v>
      </c>
      <c r="BV1" s="42" t="s">
        <v>1474</v>
      </c>
      <c r="BW1" s="42" t="s">
        <v>1475</v>
      </c>
      <c r="BX1" s="42" t="s">
        <v>1476</v>
      </c>
      <c r="BY1" s="42" t="s">
        <v>1477</v>
      </c>
      <c r="BZ1" s="42" t="s">
        <v>1478</v>
      </c>
      <c r="CA1" s="42" t="s">
        <v>1479</v>
      </c>
      <c r="CB1" s="42" t="s">
        <v>1480</v>
      </c>
      <c r="CC1" s="75" t="s">
        <v>1130</v>
      </c>
      <c r="CD1" s="75" t="s">
        <v>1223</v>
      </c>
      <c r="CE1" s="75" t="s">
        <v>1224</v>
      </c>
      <c r="CF1" s="75" t="s">
        <v>1225</v>
      </c>
      <c r="CG1" s="75" t="s">
        <v>1226</v>
      </c>
      <c r="CH1" s="75" t="s">
        <v>1227</v>
      </c>
      <c r="CI1" s="75" t="s">
        <v>1228</v>
      </c>
      <c r="CJ1" s="75" t="s">
        <v>1229</v>
      </c>
      <c r="CK1" s="75" t="s">
        <v>1230</v>
      </c>
      <c r="CL1" s="75" t="s">
        <v>1231</v>
      </c>
      <c r="CM1" s="75" t="s">
        <v>1232</v>
      </c>
      <c r="CN1" s="75" t="s">
        <v>1233</v>
      </c>
      <c r="CO1" s="75" t="s">
        <v>1234</v>
      </c>
      <c r="CP1" s="75" t="s">
        <v>1235</v>
      </c>
      <c r="CQ1" s="75" t="s">
        <v>1236</v>
      </c>
      <c r="CR1" s="75" t="s">
        <v>1237</v>
      </c>
      <c r="CS1" s="75" t="s">
        <v>1238</v>
      </c>
      <c r="CT1" s="75" t="s">
        <v>1239</v>
      </c>
      <c r="CU1" s="75" t="s">
        <v>1305</v>
      </c>
      <c r="CV1" s="75" t="s">
        <v>1240</v>
      </c>
      <c r="CW1" s="75" t="s">
        <v>1241</v>
      </c>
      <c r="CX1" s="75" t="s">
        <v>1242</v>
      </c>
      <c r="CY1" s="75" t="s">
        <v>1243</v>
      </c>
      <c r="CZ1" s="75" t="s">
        <v>1244</v>
      </c>
      <c r="DA1" s="75" t="s">
        <v>1245</v>
      </c>
      <c r="DB1" s="75" t="s">
        <v>1246</v>
      </c>
    </row>
    <row r="2" spans="1:106" ht="15" customHeight="1" x14ac:dyDescent="0.25">
      <c r="A2" s="44" t="s">
        <v>0</v>
      </c>
      <c r="B2" s="42" t="s">
        <v>1057</v>
      </c>
      <c r="C2" s="15">
        <f>IFERROR(1/SUM(1/D2,1/U2,1/AA2,1/AB2),".")</f>
        <v>3.2968835384132272E-5</v>
      </c>
      <c r="D2" s="15">
        <f>IFERROR((up_dir!D2/(up_Bv!C2+s_MLF_apple)),".")</f>
        <v>1.3187534153652909E-4</v>
      </c>
      <c r="E2" s="15">
        <f>IFERROR((up_dir!E2/(up_Bv!D2+s_MLF_asparagus)),".")</f>
        <v>1.3187534153652909E-4</v>
      </c>
      <c r="F2" s="15">
        <f>IFERROR((up_dir!F2/(up_Bv!E2+s_MLF_beet)),".")</f>
        <v>1.3187534153652909E-4</v>
      </c>
      <c r="G2" s="15">
        <f>IFERROR((up_dir!G2/(up_Bv!F2+s_MLF_berries)),".")</f>
        <v>1.3187534153652909E-4</v>
      </c>
      <c r="H2" s="15">
        <f>IFERROR((up_dir!H2/(up_Bv!G2+s_MLF_broccoli)),".")</f>
        <v>1.3187534153652909E-4</v>
      </c>
      <c r="I2" s="15">
        <f>IFERROR((up_dir!I2/(up_Bv!H2+s_MLF_cabbage)),".")</f>
        <v>1.3187534153652909E-4</v>
      </c>
      <c r="J2" s="15">
        <f>IFERROR((up_dir!J2/(up_Bv!I2+s_MLF_carrot)),".")</f>
        <v>1.3187534153652909E-4</v>
      </c>
      <c r="K2" s="15">
        <f>IFERROR((up_dir!K2/(up_Bv!J2+s_MLF_citrus)),".")</f>
        <v>1.3187534153652909E-4</v>
      </c>
      <c r="L2" s="15">
        <f>IFERROR((up_dir!L2/(up_Bv!K2+s_MLF_corn)),".")</f>
        <v>1.3187534153652909E-4</v>
      </c>
      <c r="M2" s="15">
        <f>IFERROR((up_dir!M2/(up_Bv!L2+s_MLF_cucumber)),".")</f>
        <v>1.3187534153652909E-4</v>
      </c>
      <c r="N2" s="15">
        <f>IFERROR((up_dir!N2/(up_Bv!M2+s_MLF_lettuce)),".")</f>
        <v>1.3187534153652909E-4</v>
      </c>
      <c r="O2" s="15">
        <f>IFERROR((up_dir!O2/(up_Bv!N2+s_MLF_lima_bean)),".")</f>
        <v>1.3187534153652909E-4</v>
      </c>
      <c r="P2" s="15">
        <f>IFERROR((up_dir!P2/(up_Bv!O2+s_MLF_okra)),".")</f>
        <v>1.3187534153652909E-4</v>
      </c>
      <c r="Q2" s="15">
        <f>IFERROR((up_dir!Q2/(up_Bv!P2+s_MLF_onion)),".")</f>
        <v>1.3187534153652909E-4</v>
      </c>
      <c r="R2" s="15">
        <f>IFERROR((up_dir!R2/(up_Bv!Q2+s_MLF_peach)),".")</f>
        <v>1.3187534153652909E-4</v>
      </c>
      <c r="S2" s="15">
        <f>IFERROR((up_dir!S2/(up_Bv!R2+s_MLF_pear)),".")</f>
        <v>1.3187534153652909E-4</v>
      </c>
      <c r="T2" s="15">
        <f>IFERROR((up_dir!T2/(up_Bv!S2+s_MLF_peas)),".")</f>
        <v>1.3187534153652909E-4</v>
      </c>
      <c r="U2" s="15">
        <f>IFERROR((up_dir!U2/(up_Bv!T2+s_MLF_peppers)),".")</f>
        <v>1.3187534153652909E-4</v>
      </c>
      <c r="V2" s="15">
        <f>IFERROR((up_dir!V2/(up_Bv!U2+s_MLF_potato)),".")</f>
        <v>1.3187534153652909E-4</v>
      </c>
      <c r="W2" s="15">
        <f>IFERROR((up_dir!W2/(up_Bv!V2+s_MLF_pumpkin)),".")</f>
        <v>1.3187534153652909E-4</v>
      </c>
      <c r="X2" s="15">
        <f>IFERROR((up_dir!X2/(up_Bv!W2+s_MLF_snap_bean)),".")</f>
        <v>1.3187534153652909E-4</v>
      </c>
      <c r="Y2" s="15">
        <f>IFERROR((up_dir!Y2/(up_Bv!X2+s_MLF_strawberry)),".")</f>
        <v>1.3187534153652909E-4</v>
      </c>
      <c r="Z2" s="15">
        <f>IFERROR((up_dir!Z2/(up_Bv!Y2+s_MLF_tomato)),".")</f>
        <v>1.3187534153652909E-4</v>
      </c>
      <c r="AA2" s="15">
        <f>IFERROR((up_dir!AA2/(up_Bv!Z2+s_MLF_rice)),".")</f>
        <v>1.3187534153652909E-4</v>
      </c>
      <c r="AB2" s="15">
        <f>IFERROR((up_dir!AB2/(up_Bv!AA2+s_MLF_cereal)),".")</f>
        <v>1.3187534153652909E-4</v>
      </c>
      <c r="AC2" s="40">
        <f t="shared" ref="AC2:AC30" si="0">SUM(AD2,AU2,BA2:BB2)</f>
        <v>151658.375</v>
      </c>
      <c r="AD2" s="40">
        <f>s_C*(up_Bv!C2+s_MLF_apple)*s_IFAP_res_adj*s_CF_apple</f>
        <v>37914.59375</v>
      </c>
      <c r="AE2" s="40">
        <f>s_C*(up_Bv!D2+s_MLF_asparagus)*s_IFAS_res_adj*s_CF_asparagus</f>
        <v>37914.59375</v>
      </c>
      <c r="AF2" s="40">
        <f>s_C*(up_Bv!E2+s_MLF_beet)*s_IFBT_res_adj*s_CF_beet</f>
        <v>37914.59375</v>
      </c>
      <c r="AG2" s="40">
        <f>s_C*(up_Bv!F2+s_MLF_berries)*s_IFBE_res_adj*s_CF_berries</f>
        <v>37914.59375</v>
      </c>
      <c r="AH2" s="40">
        <f>s_C*(up_Bv!G2+s_MLF_broccoli)*s_IFBR_res_adj*s_CF_broccoli</f>
        <v>37914.59375</v>
      </c>
      <c r="AI2" s="40">
        <f>s_C*(up_Bv!H2+s_MLF_cabbage)*s_IFCB_res_adj*s_CF_cabbage</f>
        <v>37914.59375</v>
      </c>
      <c r="AJ2" s="40">
        <f>s_C*(up_Bv!I2+s_MLF_carrot)*s_IFCR_res_adj*s_CF_carrot</f>
        <v>37914.59375</v>
      </c>
      <c r="AK2" s="40">
        <f>s_C*(up_Bv!J2+s_MLF_citrus)*s_IFCI_res_adj*s_CF_citrus</f>
        <v>37914.59375</v>
      </c>
      <c r="AL2" s="40">
        <f>s_C*(up_Bv!K2+s_MLF_corn)*s_IFCO_res_adj*s_CF_corn</f>
        <v>37914.59375</v>
      </c>
      <c r="AM2" s="40">
        <f>s_C*(up_Bv!L2+s_MLF_cucumber)*s_IFCU_res_adj*s_CF_cucumber</f>
        <v>37914.59375</v>
      </c>
      <c r="AN2" s="40">
        <f>s_C*(up_Bv!M2+s_MLF_lettuce)*s_IFLE_res_adj*s_CF_lettuce</f>
        <v>37914.59375</v>
      </c>
      <c r="AO2" s="40">
        <f>s_C*(up_Bv!N2+s_MLF_lima_bean)*s_IFLI_res_adj*s_CF_lima_bean</f>
        <v>37914.59375</v>
      </c>
      <c r="AP2" s="40">
        <f>s_C*(up_Bv!O2+s_MLF_okra)*s_IFOK_res_adj*s_CF_okra</f>
        <v>37914.59375</v>
      </c>
      <c r="AQ2" s="40">
        <f>s_C*(up_Bv!P2+s_MLF_onion)*s_IFON_res_adj*s_CF_onion</f>
        <v>37914.59375</v>
      </c>
      <c r="AR2" s="40">
        <f>s_C*(up_Bv!Q2+s_MLF_peach)*s_IFPC_res_adj*s_CF_peach</f>
        <v>37914.59375</v>
      </c>
      <c r="AS2" s="40">
        <f>s_C*(up_Bv!R2+s_MLF_pear)*s_IFPR_res_adj*s_CF_pear</f>
        <v>37914.59375</v>
      </c>
      <c r="AT2" s="40">
        <f>s_C*(up_Bv!S2+s_MLF_peas)*s_IFPE_res_adj*s_CF_peas</f>
        <v>37914.59375</v>
      </c>
      <c r="AU2" s="40">
        <f>s_C*(up_Bv!T2+s_MLF_peppers)*s_IFPP_res_adj*s_CF_peppers</f>
        <v>37914.59375</v>
      </c>
      <c r="AV2" s="40">
        <f>s_C*(up_Bv!U2+s_MLF_potato)*s_IFPT_res_adj*s_CF_potato</f>
        <v>37914.59375</v>
      </c>
      <c r="AW2" s="40">
        <f>s_C*(up_Bv!V2+s_MLF_pumpkin)*s_IFPU_res_adj*s_CF_pumpkin</f>
        <v>37914.59375</v>
      </c>
      <c r="AX2" s="40">
        <f>s_C*(up_Bv!W2+s_MLF_snap_bean)*s_IFSN_res_adj*s_CF_snap_bean</f>
        <v>37914.59375</v>
      </c>
      <c r="AY2" s="40">
        <f>s_C*(up_Bv!X2+s_MLF_strawberry)*s_IFST_res_adj*s_CF_strawberry</f>
        <v>37914.59375</v>
      </c>
      <c r="AZ2" s="40">
        <f>s_C*(up_Bv!Y2+s_MLF_tomato)*s_IFTO_res_adj*s_CF_tomato</f>
        <v>37914.59375</v>
      </c>
      <c r="BA2" s="40">
        <f>s_C*(up_Bv!Z2+s_MLF_rice)*s_IFRI_res_adj*s_CF_rice</f>
        <v>37914.59375</v>
      </c>
      <c r="BB2" s="40">
        <f>s_C*(up_Bv!AA2+s_MLF_cereal)*s_IFCG_res_adj*s_CF_cereal</f>
        <v>37914.59375</v>
      </c>
      <c r="BC2" s="15">
        <f>IFERROR(1/SUM(1/BD2,1/BU2,1/CA2,1/CB2),".")</f>
        <v>3.2968835384132272E-5</v>
      </c>
      <c r="BD2" s="15">
        <f>IFERROR((up_dir!AD2/(up_Bv!C2+s_MLF_apple)),".")</f>
        <v>1.3187534153652909E-4</v>
      </c>
      <c r="BE2" s="15">
        <f>IFERROR((up_dir!AE2/(up_Bv!D2+s_MLF_asparagus)),".")</f>
        <v>1.3187534153652909E-4</v>
      </c>
      <c r="BF2" s="15">
        <f>IFERROR((up_dir!AF2/(up_Bv!E2+s_MLF_beet)),".")</f>
        <v>1.3187534153652909E-4</v>
      </c>
      <c r="BG2" s="15">
        <f>IFERROR((up_dir!AG2/(up_Bv!F2+s_MLF_berries)),".")</f>
        <v>1.3187534153652909E-4</v>
      </c>
      <c r="BH2" s="15">
        <f>IFERROR((up_dir!AH2/(up_Bv!G2+s_MLF_broccoli)),".")</f>
        <v>1.3187534153652909E-4</v>
      </c>
      <c r="BI2" s="15">
        <f>IFERROR((up_dir!AI2/(up_Bv!H2+s_MLF_cabbage)),".")</f>
        <v>1.3187534153652909E-4</v>
      </c>
      <c r="BJ2" s="15">
        <f>IFERROR((up_dir!AJ2/(up_Bv!I2+s_MLF_carrot)),".")</f>
        <v>1.3187534153652909E-4</v>
      </c>
      <c r="BK2" s="15">
        <f>IFERROR((up_dir!AK2/(up_Bv!J2+s_MLF_citrus)),".")</f>
        <v>1.3187534153652909E-4</v>
      </c>
      <c r="BL2" s="15">
        <f>IFERROR((up_dir!AL2/(up_Bv!K2+s_MLF_corn)),".")</f>
        <v>1.3187534153652909E-4</v>
      </c>
      <c r="BM2" s="15">
        <f>IFERROR((up_dir!AM2/(up_Bv!L2+s_MLF_cucumber)),".")</f>
        <v>1.3187534153652909E-4</v>
      </c>
      <c r="BN2" s="15">
        <f>IFERROR((up_dir!AN2/(up_Bv!M2+s_MLF_lettuce)),".")</f>
        <v>1.3187534153652909E-4</v>
      </c>
      <c r="BO2" s="15">
        <f>IFERROR((up_dir!AO2/(up_Bv!N2+s_MLF_lima_bean)),".")</f>
        <v>1.3187534153652909E-4</v>
      </c>
      <c r="BP2" s="15">
        <f>IFERROR((up_dir!AP2/(up_Bv!O2+s_MLF_okra)),".")</f>
        <v>1.3187534153652909E-4</v>
      </c>
      <c r="BQ2" s="15">
        <f>IFERROR((up_dir!AQ2/(up_Bv!P2+s_MLF_onion)),".")</f>
        <v>1.3187534153652909E-4</v>
      </c>
      <c r="BR2" s="15">
        <f>IFERROR((up_dir!AR2/(up_Bv!Q2+s_MLF_peach)),".")</f>
        <v>1.3187534153652909E-4</v>
      </c>
      <c r="BS2" s="15">
        <f>IFERROR((up_dir!AS2/(up_Bv!R2+s_MLF_pear)),".")</f>
        <v>1.3187534153652909E-4</v>
      </c>
      <c r="BT2" s="15">
        <f>IFERROR((up_dir!AT2/(up_Bv!S2+s_MLF_peas)),".")</f>
        <v>1.3187534153652909E-4</v>
      </c>
      <c r="BU2" s="15">
        <f>IFERROR((up_dir!AU2/(up_Bv!T2+s_MLF_peppers)),".")</f>
        <v>1.3187534153652909E-4</v>
      </c>
      <c r="BV2" s="15">
        <f>IFERROR((up_dir!AV2/(up_Bv!U2+s_MLF_potato)),".")</f>
        <v>1.3187534153652909E-4</v>
      </c>
      <c r="BW2" s="15">
        <f>IFERROR((up_dir!AW2/(up_Bv!V2+s_MLF_pumpkin)),".")</f>
        <v>1.3187534153652909E-4</v>
      </c>
      <c r="BX2" s="15">
        <f>IFERROR((up_dir!AX2/(up_Bv!W2+s_MLF_snap_bean)),".")</f>
        <v>1.3187534153652909E-4</v>
      </c>
      <c r="BY2" s="15">
        <f>IFERROR((up_dir!AY2/(up_Bv!X2+s_MLF_strawberry)),".")</f>
        <v>1.3187534153652909E-4</v>
      </c>
      <c r="BZ2" s="15">
        <f>IFERROR((up_dir!AZ2/(up_Bv!Y2+s_MLF_tomato)),".")</f>
        <v>1.3187534153652909E-4</v>
      </c>
      <c r="CA2" s="15">
        <f>IFERROR((up_dir!BA2/(up_Bv!Z2+s_MLF_rice)),".")</f>
        <v>1.3187534153652909E-4</v>
      </c>
      <c r="CB2" s="15">
        <f>IFERROR((up_dir!BB2/(up_Bv!AA2+s_MLF_cereal)),".")</f>
        <v>1.3187534153652909E-4</v>
      </c>
      <c r="CC2" s="40">
        <f>SUM(CD2,CU2,DA2:DB2)</f>
        <v>151658.375</v>
      </c>
      <c r="CD2" s="40">
        <f>IFERROR(s_C*(up_Bv!C2+s_MLF_apple)*s_IFAP_far_adj*s_CF_apple,".")</f>
        <v>37914.59375</v>
      </c>
      <c r="CE2" s="40">
        <f>IFERROR(s_C*(up_Bv!D2+s_MLF_asparagus)*s_IFAS_far_adj*s_CF_asparagus,".")</f>
        <v>37914.59375</v>
      </c>
      <c r="CF2" s="40">
        <f>IFERROR(s_C*(up_Bv!E2+s_MLF_beet)*s_IFBT_far_adj*s_CF_beet,".")</f>
        <v>37914.59375</v>
      </c>
      <c r="CG2" s="40">
        <f>IFERROR(s_C*(up_Bv!F2+s_MLF_berries)*s_IFBR_far_adj*s_CF_berries,".")</f>
        <v>37914.59375</v>
      </c>
      <c r="CH2" s="40">
        <f>IFERROR(s_C*(up_Bv!G2+s_MLF_broccoli)*s_IFBR_far_adj*s_CF_broccoli,".")</f>
        <v>37914.59375</v>
      </c>
      <c r="CI2" s="40">
        <f>IFERROR(s_C*(up_Bv!H2+s_MLF_cabbage)*s_IFCB_far_adj*s_CF_cabbage,".")</f>
        <v>37914.59375</v>
      </c>
      <c r="CJ2" s="40">
        <f>IFERROR(s_C*(up_Bv!I2+s_MLF_carrot)*s_IFCR_far_adj*s_CF_carrot,".")</f>
        <v>37914.59375</v>
      </c>
      <c r="CK2" s="40">
        <f>IFERROR(s_C*(up_Bv!J2+s_MLF_citrus)*s_IFCI_far_adj*s_CF_citrus,".")</f>
        <v>37914.59375</v>
      </c>
      <c r="CL2" s="40">
        <f>IFERROR(s_C*(up_Bv!K2+s_MLF_corn)*s_IFCO_far_adj*s_CF_corn,".")</f>
        <v>37914.59375</v>
      </c>
      <c r="CM2" s="40">
        <f>IFERROR(s_C*(up_Bv!L2+s_MLF_cucumber)*s_IFCU_far_adj*s_CF_cucumber,".")</f>
        <v>37914.59375</v>
      </c>
      <c r="CN2" s="40">
        <f>IFERROR(s_C*(up_Bv!M2+s_MLF_lettuce)*s_IFLE_far_adj*s_CF_lettuce,".")</f>
        <v>37914.59375</v>
      </c>
      <c r="CO2" s="40">
        <f>IFERROR(s_C*(up_Bv!N2+s_MLF_lima_bean)*s_IFLI_far_adj*s_CF_lima_bean,".")</f>
        <v>37914.59375</v>
      </c>
      <c r="CP2" s="40">
        <f>IFERROR(s_C*(up_Bv!O2+s_MLF_okra)*s_IFOK_far_adj*s_CF_okra,".")</f>
        <v>37914.59375</v>
      </c>
      <c r="CQ2" s="40">
        <f>IFERROR(s_C*(up_Bv!P2+s_MLF_onion)*s_IFON_far_adj*s_CF_onion,".")</f>
        <v>37914.59375</v>
      </c>
      <c r="CR2" s="40">
        <f>IFERROR(s_C*(up_Bv!Q2+s_MLF_peach)*s_IFPC_far_adj*s_CF_peach,".")</f>
        <v>37914.59375</v>
      </c>
      <c r="CS2" s="40">
        <f>IFERROR(s_C*(up_Bv!R2+s_MLF_pear)*s_IFPR_far_adj*s_CF_pear,".")</f>
        <v>37914.59375</v>
      </c>
      <c r="CT2" s="40">
        <f>IFERROR(s_C*(up_Bv!S2+s_MLF_peas)*s_IFPE_far_adj*s_CF_peas,".")</f>
        <v>37914.59375</v>
      </c>
      <c r="CU2" s="40">
        <f>IFERROR(s_C*(up_Bv!T2+s_MLF_peppers)*s_IFPP_far_adj*s_CF_peppers,".")</f>
        <v>37914.59375</v>
      </c>
      <c r="CV2" s="40">
        <f>IFERROR(s_C*(up_Bv!U2+s_MLF_potato)*s_IFPT_far_adj*s_CF_potato,".")</f>
        <v>37914.59375</v>
      </c>
      <c r="CW2" s="40">
        <f>IFERROR(s_C*(up_Bv!V2+s_MLF_pumpkin)*s_IFPU_far_adj*s_CF_pumpkin,".")</f>
        <v>37914.59375</v>
      </c>
      <c r="CX2" s="40">
        <f>IFERROR(s_C*(up_Bv!W2+s_MLF_snap_bean)*s_IFSN_far_adj*s_CF_snap_bean,".")</f>
        <v>37914.59375</v>
      </c>
      <c r="CY2" s="40">
        <f>IFERROR(s_C*(up_Bv!X2+s_MLF_strawberry)*s_IFST_far_adj*s_CF_strawberry,".")</f>
        <v>37914.59375</v>
      </c>
      <c r="CZ2" s="40">
        <f>IFERROR(s_C*(up_Bv!Y2+s_MLF_tomato)*s_IFTO_far_adj*s_CF_tomato,".")</f>
        <v>37914.59375</v>
      </c>
      <c r="DA2" s="40">
        <f>IFERROR(s_C*(up_Bv!Z2+s_MLF_rice)*s_IFRI_far_adj*s_CF_rice,".")</f>
        <v>37914.59375</v>
      </c>
      <c r="DB2" s="40">
        <f>IFERROR(s_C*(up_Bv!AA2+s_MLF_cereal)*s_IFCG_far_adj*s_CF_cereal,".")</f>
        <v>37914.59375</v>
      </c>
    </row>
    <row r="3" spans="1:106" x14ac:dyDescent="0.25">
      <c r="A3" s="46" t="s">
        <v>1</v>
      </c>
      <c r="B3" s="42" t="s">
        <v>335</v>
      </c>
      <c r="C3" s="15">
        <f t="shared" ref="C3:C30" si="1">IFERROR(1/SUM(1/D3,1/U3,1/AA3,1/AB3),".")</f>
        <v>3.2968835384132272E-5</v>
      </c>
      <c r="D3" s="15">
        <f>IFERROR((up_dir!D3/(up_Bv!C3+s_MLF_apple)),".")</f>
        <v>1.3187534153652909E-4</v>
      </c>
      <c r="E3" s="15">
        <f>IFERROR((up_dir!E3/(up_Bv!D3+s_MLF_asparagus)),".")</f>
        <v>1.3187534153652909E-4</v>
      </c>
      <c r="F3" s="15">
        <f>IFERROR((up_dir!F3/(up_Bv!E3+s_MLF_beet)),".")</f>
        <v>1.3187534153652909E-4</v>
      </c>
      <c r="G3" s="15">
        <f>IFERROR((up_dir!G3/(up_Bv!F3+s_MLF_berries)),".")</f>
        <v>1.3187534153652909E-4</v>
      </c>
      <c r="H3" s="15">
        <f>IFERROR((up_dir!H3/(up_Bv!G3+s_MLF_broccoli)),".")</f>
        <v>1.3187534153652909E-4</v>
      </c>
      <c r="I3" s="15">
        <f>IFERROR((up_dir!I3/(up_Bv!H3+s_MLF_cabbage)),".")</f>
        <v>1.3187534153652909E-4</v>
      </c>
      <c r="J3" s="15">
        <f>IFERROR((up_dir!J3/(up_Bv!I3+s_MLF_carrot)),".")</f>
        <v>1.3187534153652909E-4</v>
      </c>
      <c r="K3" s="15">
        <f>IFERROR((up_dir!K3/(up_Bv!J3+s_MLF_citrus)),".")</f>
        <v>1.3187534153652909E-4</v>
      </c>
      <c r="L3" s="15">
        <f>IFERROR((up_dir!L3/(up_Bv!K3+s_MLF_corn)),".")</f>
        <v>1.3187534153652909E-4</v>
      </c>
      <c r="M3" s="15">
        <f>IFERROR((up_dir!M3/(up_Bv!L3+s_MLF_cucumber)),".")</f>
        <v>1.3187534153652909E-4</v>
      </c>
      <c r="N3" s="15">
        <f>IFERROR((up_dir!N3/(up_Bv!M3+s_MLF_lettuce)),".")</f>
        <v>1.3187534153652909E-4</v>
      </c>
      <c r="O3" s="15">
        <f>IFERROR((up_dir!O3/(up_Bv!N3+s_MLF_lima_bean)),".")</f>
        <v>1.3187534153652909E-4</v>
      </c>
      <c r="P3" s="15">
        <f>IFERROR((up_dir!P3/(up_Bv!O3+s_MLF_okra)),".")</f>
        <v>1.3187534153652909E-4</v>
      </c>
      <c r="Q3" s="15">
        <f>IFERROR((up_dir!Q3/(up_Bv!P3+s_MLF_onion)),".")</f>
        <v>1.3187534153652909E-4</v>
      </c>
      <c r="R3" s="15">
        <f>IFERROR((up_dir!R3/(up_Bv!Q3+s_MLF_peach)),".")</f>
        <v>1.3187534153652909E-4</v>
      </c>
      <c r="S3" s="15">
        <f>IFERROR((up_dir!S3/(up_Bv!R3+s_MLF_pear)),".")</f>
        <v>1.3187534153652909E-4</v>
      </c>
      <c r="T3" s="15">
        <f>IFERROR((up_dir!T3/(up_Bv!S3+s_MLF_peas)),".")</f>
        <v>1.3187534153652909E-4</v>
      </c>
      <c r="U3" s="15">
        <f>IFERROR((up_dir!U3/(up_Bv!T3+s_MLF_peppers)),".")</f>
        <v>1.3187534153652909E-4</v>
      </c>
      <c r="V3" s="15">
        <f>IFERROR((up_dir!V3/(up_Bv!U3+s_MLF_potato)),".")</f>
        <v>1.3187534153652909E-4</v>
      </c>
      <c r="W3" s="15">
        <f>IFERROR((up_dir!W3/(up_Bv!V3+s_MLF_pumpkin)),".")</f>
        <v>1.3187534153652909E-4</v>
      </c>
      <c r="X3" s="15">
        <f>IFERROR((up_dir!X3/(up_Bv!W3+s_MLF_snap_bean)),".")</f>
        <v>1.3187534153652909E-4</v>
      </c>
      <c r="Y3" s="15">
        <f>IFERROR((up_dir!Y3/(up_Bv!X3+s_MLF_strawberry)),".")</f>
        <v>1.3187534153652909E-4</v>
      </c>
      <c r="Z3" s="15">
        <f>IFERROR((up_dir!Z3/(up_Bv!Y3+s_MLF_tomato)),".")</f>
        <v>1.3187534153652909E-4</v>
      </c>
      <c r="AA3" s="15">
        <f>IFERROR((up_dir!AA3/(up_Bv!Z3+s_MLF_rice)),".")</f>
        <v>1.3187534153652909E-4</v>
      </c>
      <c r="AB3" s="15">
        <f>IFERROR((up_dir!AB3/(up_Bv!AA3+s_MLF_cereal)),".")</f>
        <v>1.3187534153652909E-4</v>
      </c>
      <c r="AC3" s="40">
        <f t="shared" si="0"/>
        <v>151658.375</v>
      </c>
      <c r="AD3" s="40">
        <f>s_C*(up_Bv!C3+s_MLF_apple)*s_IFAP_res_adj*s_CF_apple</f>
        <v>37914.59375</v>
      </c>
      <c r="AE3" s="40">
        <f>s_C*(up_Bv!D3+s_MLF_asparagus)*s_IFAS_res_adj*s_CF_asparagus</f>
        <v>37914.59375</v>
      </c>
      <c r="AF3" s="40">
        <f>s_C*(up_Bv!E3+s_MLF_beet)*s_IFBT_res_adj*s_CF_beet</f>
        <v>37914.59375</v>
      </c>
      <c r="AG3" s="40">
        <f>s_C*(up_Bv!F3+s_MLF_berries)*s_IFBE_res_adj*s_CF_berries</f>
        <v>37914.59375</v>
      </c>
      <c r="AH3" s="40">
        <f>s_C*(up_Bv!G3+s_MLF_broccoli)*s_IFBR_res_adj*s_CF_broccoli</f>
        <v>37914.59375</v>
      </c>
      <c r="AI3" s="40">
        <f>s_C*(up_Bv!H3+s_MLF_cabbage)*s_IFCB_res_adj*s_CF_cabbage</f>
        <v>37914.59375</v>
      </c>
      <c r="AJ3" s="40">
        <f>s_C*(up_Bv!I3+s_MLF_carrot)*s_IFCR_res_adj*s_CF_carrot</f>
        <v>37914.59375</v>
      </c>
      <c r="AK3" s="40">
        <f>s_C*(up_Bv!J3+s_MLF_citrus)*s_IFCI_res_adj*s_CF_citrus</f>
        <v>37914.59375</v>
      </c>
      <c r="AL3" s="40">
        <f>s_C*(up_Bv!K3+s_MLF_corn)*s_IFCO_res_adj*s_CF_corn</f>
        <v>37914.59375</v>
      </c>
      <c r="AM3" s="40">
        <f>s_C*(up_Bv!L3+s_MLF_cucumber)*s_IFCU_res_adj*s_CF_cucumber</f>
        <v>37914.59375</v>
      </c>
      <c r="AN3" s="40">
        <f>s_C*(up_Bv!M3+s_MLF_lettuce)*s_IFLE_res_adj*s_CF_lettuce</f>
        <v>37914.59375</v>
      </c>
      <c r="AO3" s="40">
        <f>s_C*(up_Bv!N3+s_MLF_lima_bean)*s_IFLI_res_adj*s_CF_lima_bean</f>
        <v>37914.59375</v>
      </c>
      <c r="AP3" s="40">
        <f>s_C*(up_Bv!O3+s_MLF_okra)*s_IFOK_res_adj*s_CF_okra</f>
        <v>37914.59375</v>
      </c>
      <c r="AQ3" s="40">
        <f>s_C*(up_Bv!P3+s_MLF_onion)*s_IFON_res_adj*s_CF_onion</f>
        <v>37914.59375</v>
      </c>
      <c r="AR3" s="40">
        <f>s_C*(up_Bv!Q3+s_MLF_peach)*s_IFPC_res_adj*s_CF_peach</f>
        <v>37914.59375</v>
      </c>
      <c r="AS3" s="40">
        <f>s_C*(up_Bv!R3+s_MLF_pear)*s_IFPR_res_adj*s_CF_pear</f>
        <v>37914.59375</v>
      </c>
      <c r="AT3" s="40">
        <f>s_C*(up_Bv!S3+s_MLF_peas)*s_IFPE_res_adj*s_CF_peas</f>
        <v>37914.59375</v>
      </c>
      <c r="AU3" s="40">
        <f>s_C*(up_Bv!T3+s_MLF_peppers)*s_IFPP_res_adj*s_CF_peppers</f>
        <v>37914.59375</v>
      </c>
      <c r="AV3" s="40">
        <f>s_C*(up_Bv!U3+s_MLF_potato)*s_IFPT_res_adj*s_CF_potato</f>
        <v>37914.59375</v>
      </c>
      <c r="AW3" s="40">
        <f>s_C*(up_Bv!V3+s_MLF_pumpkin)*s_IFPU_res_adj*s_CF_pumpkin</f>
        <v>37914.59375</v>
      </c>
      <c r="AX3" s="40">
        <f>s_C*(up_Bv!W3+s_MLF_snap_bean)*s_IFSN_res_adj*s_CF_snap_bean</f>
        <v>37914.59375</v>
      </c>
      <c r="AY3" s="40">
        <f>s_C*(up_Bv!X3+s_MLF_strawberry)*s_IFST_res_adj*s_CF_strawberry</f>
        <v>37914.59375</v>
      </c>
      <c r="AZ3" s="40">
        <f>s_C*(up_Bv!Y3+s_MLF_tomato)*s_IFTO_res_adj*s_CF_tomato</f>
        <v>37914.59375</v>
      </c>
      <c r="BA3" s="40">
        <f>s_C*(up_Bv!Z3+s_MLF_rice)*s_IFRI_res_adj*s_CF_rice</f>
        <v>37914.59375</v>
      </c>
      <c r="BB3" s="40">
        <f>s_C*(up_Bv!AA3+s_MLF_cereal)*s_IFCG_res_adj*s_CF_cereal</f>
        <v>37914.59375</v>
      </c>
      <c r="BC3" s="15">
        <f t="shared" ref="BC3:BC30" si="2">IFERROR(1/SUM(1/BD3,1/BU3,1/CA3,1/CB3),".")</f>
        <v>3.2968835384132272E-5</v>
      </c>
      <c r="BD3" s="15">
        <f>IFERROR((up_dir!AD3/(up_Bv!C3+s_MLF_apple)),".")</f>
        <v>1.3187534153652909E-4</v>
      </c>
      <c r="BE3" s="15">
        <f>IFERROR((up_dir!AE3/(up_Bv!D3+s_MLF_asparagus)),".")</f>
        <v>1.3187534153652909E-4</v>
      </c>
      <c r="BF3" s="15">
        <f>IFERROR((up_dir!AF3/(up_Bv!E3+s_MLF_beet)),".")</f>
        <v>1.3187534153652909E-4</v>
      </c>
      <c r="BG3" s="15">
        <f>IFERROR((up_dir!AG3/(up_Bv!F3+s_MLF_berries)),".")</f>
        <v>1.3187534153652909E-4</v>
      </c>
      <c r="BH3" s="15">
        <f>IFERROR((up_dir!AH3/(up_Bv!G3+s_MLF_broccoli)),".")</f>
        <v>1.3187534153652909E-4</v>
      </c>
      <c r="BI3" s="15">
        <f>IFERROR((up_dir!AI3/(up_Bv!H3+s_MLF_cabbage)),".")</f>
        <v>1.3187534153652909E-4</v>
      </c>
      <c r="BJ3" s="15">
        <f>IFERROR((up_dir!AJ3/(up_Bv!I3+s_MLF_carrot)),".")</f>
        <v>1.3187534153652909E-4</v>
      </c>
      <c r="BK3" s="15">
        <f>IFERROR((up_dir!AK3/(up_Bv!J3+s_MLF_citrus)),".")</f>
        <v>1.3187534153652909E-4</v>
      </c>
      <c r="BL3" s="15">
        <f>IFERROR((up_dir!AL3/(up_Bv!K3+s_MLF_corn)),".")</f>
        <v>1.3187534153652909E-4</v>
      </c>
      <c r="BM3" s="15">
        <f>IFERROR((up_dir!AM3/(up_Bv!L3+s_MLF_cucumber)),".")</f>
        <v>1.3187534153652909E-4</v>
      </c>
      <c r="BN3" s="15">
        <f>IFERROR((up_dir!AN3/(up_Bv!M3+s_MLF_lettuce)),".")</f>
        <v>1.3187534153652909E-4</v>
      </c>
      <c r="BO3" s="15">
        <f>IFERROR((up_dir!AO3/(up_Bv!N3+s_MLF_lima_bean)),".")</f>
        <v>1.3187534153652909E-4</v>
      </c>
      <c r="BP3" s="15">
        <f>IFERROR((up_dir!AP3/(up_Bv!O3+s_MLF_okra)),".")</f>
        <v>1.3187534153652909E-4</v>
      </c>
      <c r="BQ3" s="15">
        <f>IFERROR((up_dir!AQ3/(up_Bv!P3+s_MLF_onion)),".")</f>
        <v>1.3187534153652909E-4</v>
      </c>
      <c r="BR3" s="15">
        <f>IFERROR((up_dir!AR3/(up_Bv!Q3+s_MLF_peach)),".")</f>
        <v>1.3187534153652909E-4</v>
      </c>
      <c r="BS3" s="15">
        <f>IFERROR((up_dir!AS3/(up_Bv!R3+s_MLF_pear)),".")</f>
        <v>1.3187534153652909E-4</v>
      </c>
      <c r="BT3" s="15">
        <f>IFERROR((up_dir!AT3/(up_Bv!S3+s_MLF_peas)),".")</f>
        <v>1.3187534153652909E-4</v>
      </c>
      <c r="BU3" s="15">
        <f>IFERROR((up_dir!AU3/(up_Bv!T3+s_MLF_peppers)),".")</f>
        <v>1.3187534153652909E-4</v>
      </c>
      <c r="BV3" s="15">
        <f>IFERROR((up_dir!AV3/(up_Bv!U3+s_MLF_potato)),".")</f>
        <v>1.3187534153652909E-4</v>
      </c>
      <c r="BW3" s="15">
        <f>IFERROR((up_dir!AW3/(up_Bv!V3+s_MLF_pumpkin)),".")</f>
        <v>1.3187534153652909E-4</v>
      </c>
      <c r="BX3" s="15">
        <f>IFERROR((up_dir!AX3/(up_Bv!W3+s_MLF_snap_bean)),".")</f>
        <v>1.3187534153652909E-4</v>
      </c>
      <c r="BY3" s="15">
        <f>IFERROR((up_dir!AY3/(up_Bv!X3+s_MLF_strawberry)),".")</f>
        <v>1.3187534153652909E-4</v>
      </c>
      <c r="BZ3" s="15">
        <f>IFERROR((up_dir!AZ3/(up_Bv!Y3+s_MLF_tomato)),".")</f>
        <v>1.3187534153652909E-4</v>
      </c>
      <c r="CA3" s="15">
        <f>IFERROR((up_dir!BA3/(up_Bv!Z3+s_MLF_rice)),".")</f>
        <v>1.3187534153652909E-4</v>
      </c>
      <c r="CB3" s="15">
        <f>IFERROR((up_dir!BB3/(up_Bv!AA3+s_MLF_cereal)),".")</f>
        <v>1.3187534153652909E-4</v>
      </c>
      <c r="CC3" s="40">
        <f t="shared" ref="CC3:CC30" si="3">SUM(CD3,CU3,DA3:DB3)</f>
        <v>151658.375</v>
      </c>
      <c r="CD3" s="40">
        <f>IFERROR(s_C*(up_Bv!C3+s_MLF_apple)*s_IFAP_far_adj*s_CF_apple,".")</f>
        <v>37914.59375</v>
      </c>
      <c r="CE3" s="40">
        <f>IFERROR(s_C*(up_Bv!D3+s_MLF_asparagus)*s_IFAS_far_adj*s_CF_asparagus,".")</f>
        <v>37914.59375</v>
      </c>
      <c r="CF3" s="40">
        <f>IFERROR(s_C*(up_Bv!E3+s_MLF_beet)*s_IFBT_far_adj*s_CF_beet,".")</f>
        <v>37914.59375</v>
      </c>
      <c r="CG3" s="40">
        <f>IFERROR(s_C*(up_Bv!F3+s_MLF_berries)*s_IFBR_far_adj*s_CF_berries,".")</f>
        <v>37914.59375</v>
      </c>
      <c r="CH3" s="40">
        <f>IFERROR(s_C*(up_Bv!G3+s_MLF_broccoli)*s_IFBR_far_adj*s_CF_broccoli,".")</f>
        <v>37914.59375</v>
      </c>
      <c r="CI3" s="40">
        <f>IFERROR(s_C*(up_Bv!H3+s_MLF_cabbage)*s_IFCB_far_adj*s_CF_cabbage,".")</f>
        <v>37914.59375</v>
      </c>
      <c r="CJ3" s="40">
        <f>IFERROR(s_C*(up_Bv!I3+s_MLF_carrot)*s_IFCR_far_adj*s_CF_carrot,".")</f>
        <v>37914.59375</v>
      </c>
      <c r="CK3" s="40">
        <f>IFERROR(s_C*(up_Bv!J3+s_MLF_citrus)*s_IFCI_far_adj*s_CF_citrus,".")</f>
        <v>37914.59375</v>
      </c>
      <c r="CL3" s="40">
        <f>IFERROR(s_C*(up_Bv!K3+s_MLF_corn)*s_IFCO_far_adj*s_CF_corn,".")</f>
        <v>37914.59375</v>
      </c>
      <c r="CM3" s="40">
        <f>IFERROR(s_C*(up_Bv!L3+s_MLF_cucumber)*s_IFCU_far_adj*s_CF_cucumber,".")</f>
        <v>37914.59375</v>
      </c>
      <c r="CN3" s="40">
        <f>IFERROR(s_C*(up_Bv!M3+s_MLF_lettuce)*s_IFLE_far_adj*s_CF_lettuce,".")</f>
        <v>37914.59375</v>
      </c>
      <c r="CO3" s="40">
        <f>IFERROR(s_C*(up_Bv!N3+s_MLF_lima_bean)*s_IFLI_far_adj*s_CF_lima_bean,".")</f>
        <v>37914.59375</v>
      </c>
      <c r="CP3" s="40">
        <f>IFERROR(s_C*(up_Bv!O3+s_MLF_okra)*s_IFOK_far_adj*s_CF_okra,".")</f>
        <v>37914.59375</v>
      </c>
      <c r="CQ3" s="40">
        <f>IFERROR(s_C*(up_Bv!P3+s_MLF_onion)*s_IFON_far_adj*s_CF_onion,".")</f>
        <v>37914.59375</v>
      </c>
      <c r="CR3" s="40">
        <f>IFERROR(s_C*(up_Bv!Q3+s_MLF_peach)*s_IFPC_far_adj*s_CF_peach,".")</f>
        <v>37914.59375</v>
      </c>
      <c r="CS3" s="40">
        <f>IFERROR(s_C*(up_Bv!R3+s_MLF_pear)*s_IFPR_far_adj*s_CF_pear,".")</f>
        <v>37914.59375</v>
      </c>
      <c r="CT3" s="40">
        <f>IFERROR(s_C*(up_Bv!S3+s_MLF_peas)*s_IFPE_far_adj*s_CF_peas,".")</f>
        <v>37914.59375</v>
      </c>
      <c r="CU3" s="40">
        <f>IFERROR(s_C*(up_Bv!T3+s_MLF_peppers)*s_IFPP_far_adj*s_CF_peppers,".")</f>
        <v>37914.59375</v>
      </c>
      <c r="CV3" s="40">
        <f>IFERROR(s_C*(up_Bv!U3+s_MLF_potato)*s_IFPT_far_adj*s_CF_potato,".")</f>
        <v>37914.59375</v>
      </c>
      <c r="CW3" s="40">
        <f>IFERROR(s_C*(up_Bv!V3+s_MLF_pumpkin)*s_IFPU_far_adj*s_CF_pumpkin,".")</f>
        <v>37914.59375</v>
      </c>
      <c r="CX3" s="40">
        <f>IFERROR(s_C*(up_Bv!W3+s_MLF_snap_bean)*s_IFSN_far_adj*s_CF_snap_bean,".")</f>
        <v>37914.59375</v>
      </c>
      <c r="CY3" s="40">
        <f>IFERROR(s_C*(up_Bv!X3+s_MLF_strawberry)*s_IFST_far_adj*s_CF_strawberry,".")</f>
        <v>37914.59375</v>
      </c>
      <c r="CZ3" s="40">
        <f>IFERROR(s_C*(up_Bv!Y3+s_MLF_tomato)*s_IFTO_far_adj*s_CF_tomato,".")</f>
        <v>37914.59375</v>
      </c>
      <c r="DA3" s="40">
        <f>IFERROR(s_C*(up_Bv!Z3+s_MLF_rice)*s_IFRI_far_adj*s_CF_rice,".")</f>
        <v>37914.59375</v>
      </c>
      <c r="DB3" s="40">
        <f>IFERROR(s_C*(up_Bv!AA3+s_MLF_cereal)*s_IFCG_far_adj*s_CF_cereal,".")</f>
        <v>37914.59375</v>
      </c>
    </row>
    <row r="4" spans="1:106" ht="15" customHeight="1" x14ac:dyDescent="0.25">
      <c r="A4" s="44" t="s">
        <v>2</v>
      </c>
      <c r="B4" s="42" t="s">
        <v>1057</v>
      </c>
      <c r="C4" s="15">
        <f t="shared" si="1"/>
        <v>3.2968835384132272E-5</v>
      </c>
      <c r="D4" s="15">
        <f>IFERROR((up_dir!D4/(up_Bv!C4+s_MLF_apple)),".")</f>
        <v>1.3187534153652909E-4</v>
      </c>
      <c r="E4" s="15">
        <f>IFERROR((up_dir!E4/(up_Bv!D4+s_MLF_asparagus)),".")</f>
        <v>1.3187534153652909E-4</v>
      </c>
      <c r="F4" s="15">
        <f>IFERROR((up_dir!F4/(up_Bv!E4+s_MLF_beet)),".")</f>
        <v>1.3187534153652909E-4</v>
      </c>
      <c r="G4" s="15">
        <f>IFERROR((up_dir!G4/(up_Bv!F4+s_MLF_berries)),".")</f>
        <v>1.3187534153652909E-4</v>
      </c>
      <c r="H4" s="15">
        <f>IFERROR((up_dir!H4/(up_Bv!G4+s_MLF_broccoli)),".")</f>
        <v>1.3187534153652909E-4</v>
      </c>
      <c r="I4" s="15">
        <f>IFERROR((up_dir!I4/(up_Bv!H4+s_MLF_cabbage)),".")</f>
        <v>1.3187534153652909E-4</v>
      </c>
      <c r="J4" s="15">
        <f>IFERROR((up_dir!J4/(up_Bv!I4+s_MLF_carrot)),".")</f>
        <v>1.3187534153652909E-4</v>
      </c>
      <c r="K4" s="15">
        <f>IFERROR((up_dir!K4/(up_Bv!J4+s_MLF_citrus)),".")</f>
        <v>1.3187534153652909E-4</v>
      </c>
      <c r="L4" s="15">
        <f>IFERROR((up_dir!L4/(up_Bv!K4+s_MLF_corn)),".")</f>
        <v>1.3187534153652909E-4</v>
      </c>
      <c r="M4" s="15">
        <f>IFERROR((up_dir!M4/(up_Bv!L4+s_MLF_cucumber)),".")</f>
        <v>1.3187534153652909E-4</v>
      </c>
      <c r="N4" s="15">
        <f>IFERROR((up_dir!N4/(up_Bv!M4+s_MLF_lettuce)),".")</f>
        <v>1.3187534153652909E-4</v>
      </c>
      <c r="O4" s="15">
        <f>IFERROR((up_dir!O4/(up_Bv!N4+s_MLF_lima_bean)),".")</f>
        <v>1.3187534153652909E-4</v>
      </c>
      <c r="P4" s="15">
        <f>IFERROR((up_dir!P4/(up_Bv!O4+s_MLF_okra)),".")</f>
        <v>1.3187534153652909E-4</v>
      </c>
      <c r="Q4" s="15">
        <f>IFERROR((up_dir!Q4/(up_Bv!P4+s_MLF_onion)),".")</f>
        <v>1.3187534153652909E-4</v>
      </c>
      <c r="R4" s="15">
        <f>IFERROR((up_dir!R4/(up_Bv!Q4+s_MLF_peach)),".")</f>
        <v>1.3187534153652909E-4</v>
      </c>
      <c r="S4" s="15">
        <f>IFERROR((up_dir!S4/(up_Bv!R4+s_MLF_pear)),".")</f>
        <v>1.3187534153652909E-4</v>
      </c>
      <c r="T4" s="15">
        <f>IFERROR((up_dir!T4/(up_Bv!S4+s_MLF_peas)),".")</f>
        <v>1.3187534153652909E-4</v>
      </c>
      <c r="U4" s="15">
        <f>IFERROR((up_dir!U4/(up_Bv!T4+s_MLF_peppers)),".")</f>
        <v>1.3187534153652909E-4</v>
      </c>
      <c r="V4" s="15">
        <f>IFERROR((up_dir!V4/(up_Bv!U4+s_MLF_potato)),".")</f>
        <v>1.3187534153652909E-4</v>
      </c>
      <c r="W4" s="15">
        <f>IFERROR((up_dir!W4/(up_Bv!V4+s_MLF_pumpkin)),".")</f>
        <v>1.3187534153652909E-4</v>
      </c>
      <c r="X4" s="15">
        <f>IFERROR((up_dir!X4/(up_Bv!W4+s_MLF_snap_bean)),".")</f>
        <v>1.3187534153652909E-4</v>
      </c>
      <c r="Y4" s="15">
        <f>IFERROR((up_dir!Y4/(up_Bv!X4+s_MLF_strawberry)),".")</f>
        <v>1.3187534153652909E-4</v>
      </c>
      <c r="Z4" s="15">
        <f>IFERROR((up_dir!Z4/(up_Bv!Y4+s_MLF_tomato)),".")</f>
        <v>1.3187534153652909E-4</v>
      </c>
      <c r="AA4" s="15">
        <f>IFERROR((up_dir!AA4/(up_Bv!Z4+s_MLF_rice)),".")</f>
        <v>1.3187534153652909E-4</v>
      </c>
      <c r="AB4" s="15">
        <f>IFERROR((up_dir!AB4/(up_Bv!AA4+s_MLF_cereal)),".")</f>
        <v>1.3187534153652909E-4</v>
      </c>
      <c r="AC4" s="40">
        <f t="shared" si="0"/>
        <v>151658.375</v>
      </c>
      <c r="AD4" s="40">
        <f>s_C*(up_Bv!C4+s_MLF_apple)*s_IFAP_res_adj*s_CF_apple</f>
        <v>37914.59375</v>
      </c>
      <c r="AE4" s="40">
        <f>s_C*(up_Bv!D4+s_MLF_asparagus)*s_IFAS_res_adj*s_CF_asparagus</f>
        <v>37914.59375</v>
      </c>
      <c r="AF4" s="40">
        <f>s_C*(up_Bv!E4+s_MLF_beet)*s_IFBT_res_adj*s_CF_beet</f>
        <v>37914.59375</v>
      </c>
      <c r="AG4" s="40">
        <f>s_C*(up_Bv!F4+s_MLF_berries)*s_IFBE_res_adj*s_CF_berries</f>
        <v>37914.59375</v>
      </c>
      <c r="AH4" s="40">
        <f>s_C*(up_Bv!G4+s_MLF_broccoli)*s_IFBR_res_adj*s_CF_broccoli</f>
        <v>37914.59375</v>
      </c>
      <c r="AI4" s="40">
        <f>s_C*(up_Bv!H4+s_MLF_cabbage)*s_IFCB_res_adj*s_CF_cabbage</f>
        <v>37914.59375</v>
      </c>
      <c r="AJ4" s="40">
        <f>s_C*(up_Bv!I4+s_MLF_carrot)*s_IFCR_res_adj*s_CF_carrot</f>
        <v>37914.59375</v>
      </c>
      <c r="AK4" s="40">
        <f>s_C*(up_Bv!J4+s_MLF_citrus)*s_IFCI_res_adj*s_CF_citrus</f>
        <v>37914.59375</v>
      </c>
      <c r="AL4" s="40">
        <f>s_C*(up_Bv!K4+s_MLF_corn)*s_IFCO_res_adj*s_CF_corn</f>
        <v>37914.59375</v>
      </c>
      <c r="AM4" s="40">
        <f>s_C*(up_Bv!L4+s_MLF_cucumber)*s_IFCU_res_adj*s_CF_cucumber</f>
        <v>37914.59375</v>
      </c>
      <c r="AN4" s="40">
        <f>s_C*(up_Bv!M4+s_MLF_lettuce)*s_IFLE_res_adj*s_CF_lettuce</f>
        <v>37914.59375</v>
      </c>
      <c r="AO4" s="40">
        <f>s_C*(up_Bv!N4+s_MLF_lima_bean)*s_IFLI_res_adj*s_CF_lima_bean</f>
        <v>37914.59375</v>
      </c>
      <c r="AP4" s="40">
        <f>s_C*(up_Bv!O4+s_MLF_okra)*s_IFOK_res_adj*s_CF_okra</f>
        <v>37914.59375</v>
      </c>
      <c r="AQ4" s="40">
        <f>s_C*(up_Bv!P4+s_MLF_onion)*s_IFON_res_adj*s_CF_onion</f>
        <v>37914.59375</v>
      </c>
      <c r="AR4" s="40">
        <f>s_C*(up_Bv!Q4+s_MLF_peach)*s_IFPC_res_adj*s_CF_peach</f>
        <v>37914.59375</v>
      </c>
      <c r="AS4" s="40">
        <f>s_C*(up_Bv!R4+s_MLF_pear)*s_IFPR_res_adj*s_CF_pear</f>
        <v>37914.59375</v>
      </c>
      <c r="AT4" s="40">
        <f>s_C*(up_Bv!S4+s_MLF_peas)*s_IFPE_res_adj*s_CF_peas</f>
        <v>37914.59375</v>
      </c>
      <c r="AU4" s="40">
        <f>s_C*(up_Bv!T4+s_MLF_peppers)*s_IFPP_res_adj*s_CF_peppers</f>
        <v>37914.59375</v>
      </c>
      <c r="AV4" s="40">
        <f>s_C*(up_Bv!U4+s_MLF_potato)*s_IFPT_res_adj*s_CF_potato</f>
        <v>37914.59375</v>
      </c>
      <c r="AW4" s="40">
        <f>s_C*(up_Bv!V4+s_MLF_pumpkin)*s_IFPU_res_adj*s_CF_pumpkin</f>
        <v>37914.59375</v>
      </c>
      <c r="AX4" s="40">
        <f>s_C*(up_Bv!W4+s_MLF_snap_bean)*s_IFSN_res_adj*s_CF_snap_bean</f>
        <v>37914.59375</v>
      </c>
      <c r="AY4" s="40">
        <f>s_C*(up_Bv!X4+s_MLF_strawberry)*s_IFST_res_adj*s_CF_strawberry</f>
        <v>37914.59375</v>
      </c>
      <c r="AZ4" s="40">
        <f>s_C*(up_Bv!Y4+s_MLF_tomato)*s_IFTO_res_adj*s_CF_tomato</f>
        <v>37914.59375</v>
      </c>
      <c r="BA4" s="40">
        <f>s_C*(up_Bv!Z4+s_MLF_rice)*s_IFRI_res_adj*s_CF_rice</f>
        <v>37914.59375</v>
      </c>
      <c r="BB4" s="40">
        <f>s_C*(up_Bv!AA4+s_MLF_cereal)*s_IFCG_res_adj*s_CF_cereal</f>
        <v>37914.59375</v>
      </c>
      <c r="BC4" s="15">
        <f t="shared" si="2"/>
        <v>3.2968835384132272E-5</v>
      </c>
      <c r="BD4" s="15">
        <f>IFERROR((up_dir!AD4/(up_Bv!C4+s_MLF_apple)),".")</f>
        <v>1.3187534153652909E-4</v>
      </c>
      <c r="BE4" s="15">
        <f>IFERROR((up_dir!AE4/(up_Bv!D4+s_MLF_asparagus)),".")</f>
        <v>1.3187534153652909E-4</v>
      </c>
      <c r="BF4" s="15">
        <f>IFERROR((up_dir!AF4/(up_Bv!E4+s_MLF_beet)),".")</f>
        <v>1.3187534153652909E-4</v>
      </c>
      <c r="BG4" s="15">
        <f>IFERROR((up_dir!AG4/(up_Bv!F4+s_MLF_berries)),".")</f>
        <v>1.3187534153652909E-4</v>
      </c>
      <c r="BH4" s="15">
        <f>IFERROR((up_dir!AH4/(up_Bv!G4+s_MLF_broccoli)),".")</f>
        <v>1.3187534153652909E-4</v>
      </c>
      <c r="BI4" s="15">
        <f>IFERROR((up_dir!AI4/(up_Bv!H4+s_MLF_cabbage)),".")</f>
        <v>1.3187534153652909E-4</v>
      </c>
      <c r="BJ4" s="15">
        <f>IFERROR((up_dir!AJ4/(up_Bv!I4+s_MLF_carrot)),".")</f>
        <v>1.3187534153652909E-4</v>
      </c>
      <c r="BK4" s="15">
        <f>IFERROR((up_dir!AK4/(up_Bv!J4+s_MLF_citrus)),".")</f>
        <v>1.3187534153652909E-4</v>
      </c>
      <c r="BL4" s="15">
        <f>IFERROR((up_dir!AL4/(up_Bv!K4+s_MLF_corn)),".")</f>
        <v>1.3187534153652909E-4</v>
      </c>
      <c r="BM4" s="15">
        <f>IFERROR((up_dir!AM4/(up_Bv!L4+s_MLF_cucumber)),".")</f>
        <v>1.3187534153652909E-4</v>
      </c>
      <c r="BN4" s="15">
        <f>IFERROR((up_dir!AN4/(up_Bv!M4+s_MLF_lettuce)),".")</f>
        <v>1.3187534153652909E-4</v>
      </c>
      <c r="BO4" s="15">
        <f>IFERROR((up_dir!AO4/(up_Bv!N4+s_MLF_lima_bean)),".")</f>
        <v>1.3187534153652909E-4</v>
      </c>
      <c r="BP4" s="15">
        <f>IFERROR((up_dir!AP4/(up_Bv!O4+s_MLF_okra)),".")</f>
        <v>1.3187534153652909E-4</v>
      </c>
      <c r="BQ4" s="15">
        <f>IFERROR((up_dir!AQ4/(up_Bv!P4+s_MLF_onion)),".")</f>
        <v>1.3187534153652909E-4</v>
      </c>
      <c r="BR4" s="15">
        <f>IFERROR((up_dir!AR4/(up_Bv!Q4+s_MLF_peach)),".")</f>
        <v>1.3187534153652909E-4</v>
      </c>
      <c r="BS4" s="15">
        <f>IFERROR((up_dir!AS4/(up_Bv!R4+s_MLF_pear)),".")</f>
        <v>1.3187534153652909E-4</v>
      </c>
      <c r="BT4" s="15">
        <f>IFERROR((up_dir!AT4/(up_Bv!S4+s_MLF_peas)),".")</f>
        <v>1.3187534153652909E-4</v>
      </c>
      <c r="BU4" s="15">
        <f>IFERROR((up_dir!AU4/(up_Bv!T4+s_MLF_peppers)),".")</f>
        <v>1.3187534153652909E-4</v>
      </c>
      <c r="BV4" s="15">
        <f>IFERROR((up_dir!AV4/(up_Bv!U4+s_MLF_potato)),".")</f>
        <v>1.3187534153652909E-4</v>
      </c>
      <c r="BW4" s="15">
        <f>IFERROR((up_dir!AW4/(up_Bv!V4+s_MLF_pumpkin)),".")</f>
        <v>1.3187534153652909E-4</v>
      </c>
      <c r="BX4" s="15">
        <f>IFERROR((up_dir!AX4/(up_Bv!W4+s_MLF_snap_bean)),".")</f>
        <v>1.3187534153652909E-4</v>
      </c>
      <c r="BY4" s="15">
        <f>IFERROR((up_dir!AY4/(up_Bv!X4+s_MLF_strawberry)),".")</f>
        <v>1.3187534153652909E-4</v>
      </c>
      <c r="BZ4" s="15">
        <f>IFERROR((up_dir!AZ4/(up_Bv!Y4+s_MLF_tomato)),".")</f>
        <v>1.3187534153652909E-4</v>
      </c>
      <c r="CA4" s="15">
        <f>IFERROR((up_dir!BA4/(up_Bv!Z4+s_MLF_rice)),".")</f>
        <v>1.3187534153652909E-4</v>
      </c>
      <c r="CB4" s="15">
        <f>IFERROR((up_dir!BB4/(up_Bv!AA4+s_MLF_cereal)),".")</f>
        <v>1.3187534153652909E-4</v>
      </c>
      <c r="CC4" s="40">
        <f t="shared" si="3"/>
        <v>151658.375</v>
      </c>
      <c r="CD4" s="40">
        <f>IFERROR(s_C*(up_Bv!C4+s_MLF_apple)*s_IFAP_far_adj*s_CF_apple,".")</f>
        <v>37914.59375</v>
      </c>
      <c r="CE4" s="40">
        <f>IFERROR(s_C*(up_Bv!D4+s_MLF_asparagus)*s_IFAS_far_adj*s_CF_asparagus,".")</f>
        <v>37914.59375</v>
      </c>
      <c r="CF4" s="40">
        <f>IFERROR(s_C*(up_Bv!E4+s_MLF_beet)*s_IFBT_far_adj*s_CF_beet,".")</f>
        <v>37914.59375</v>
      </c>
      <c r="CG4" s="40">
        <f>IFERROR(s_C*(up_Bv!F4+s_MLF_berries)*s_IFBR_far_adj*s_CF_berries,".")</f>
        <v>37914.59375</v>
      </c>
      <c r="CH4" s="40">
        <f>IFERROR(s_C*(up_Bv!G4+s_MLF_broccoli)*s_IFBR_far_adj*s_CF_broccoli,".")</f>
        <v>37914.59375</v>
      </c>
      <c r="CI4" s="40">
        <f>IFERROR(s_C*(up_Bv!H4+s_MLF_cabbage)*s_IFCB_far_adj*s_CF_cabbage,".")</f>
        <v>37914.59375</v>
      </c>
      <c r="CJ4" s="40">
        <f>IFERROR(s_C*(up_Bv!I4+s_MLF_carrot)*s_IFCR_far_adj*s_CF_carrot,".")</f>
        <v>37914.59375</v>
      </c>
      <c r="CK4" s="40">
        <f>IFERROR(s_C*(up_Bv!J4+s_MLF_citrus)*s_IFCI_far_adj*s_CF_citrus,".")</f>
        <v>37914.59375</v>
      </c>
      <c r="CL4" s="40">
        <f>IFERROR(s_C*(up_Bv!K4+s_MLF_corn)*s_IFCO_far_adj*s_CF_corn,".")</f>
        <v>37914.59375</v>
      </c>
      <c r="CM4" s="40">
        <f>IFERROR(s_C*(up_Bv!L4+s_MLF_cucumber)*s_IFCU_far_adj*s_CF_cucumber,".")</f>
        <v>37914.59375</v>
      </c>
      <c r="CN4" s="40">
        <f>IFERROR(s_C*(up_Bv!M4+s_MLF_lettuce)*s_IFLE_far_adj*s_CF_lettuce,".")</f>
        <v>37914.59375</v>
      </c>
      <c r="CO4" s="40">
        <f>IFERROR(s_C*(up_Bv!N4+s_MLF_lima_bean)*s_IFLI_far_adj*s_CF_lima_bean,".")</f>
        <v>37914.59375</v>
      </c>
      <c r="CP4" s="40">
        <f>IFERROR(s_C*(up_Bv!O4+s_MLF_okra)*s_IFOK_far_adj*s_CF_okra,".")</f>
        <v>37914.59375</v>
      </c>
      <c r="CQ4" s="40">
        <f>IFERROR(s_C*(up_Bv!P4+s_MLF_onion)*s_IFON_far_adj*s_CF_onion,".")</f>
        <v>37914.59375</v>
      </c>
      <c r="CR4" s="40">
        <f>IFERROR(s_C*(up_Bv!Q4+s_MLF_peach)*s_IFPC_far_adj*s_CF_peach,".")</f>
        <v>37914.59375</v>
      </c>
      <c r="CS4" s="40">
        <f>IFERROR(s_C*(up_Bv!R4+s_MLF_pear)*s_IFPR_far_adj*s_CF_pear,".")</f>
        <v>37914.59375</v>
      </c>
      <c r="CT4" s="40">
        <f>IFERROR(s_C*(up_Bv!S4+s_MLF_peas)*s_IFPE_far_adj*s_CF_peas,".")</f>
        <v>37914.59375</v>
      </c>
      <c r="CU4" s="40">
        <f>IFERROR(s_C*(up_Bv!T4+s_MLF_peppers)*s_IFPP_far_adj*s_CF_peppers,".")</f>
        <v>37914.59375</v>
      </c>
      <c r="CV4" s="40">
        <f>IFERROR(s_C*(up_Bv!U4+s_MLF_potato)*s_IFPT_far_adj*s_CF_potato,".")</f>
        <v>37914.59375</v>
      </c>
      <c r="CW4" s="40">
        <f>IFERROR(s_C*(up_Bv!V4+s_MLF_pumpkin)*s_IFPU_far_adj*s_CF_pumpkin,".")</f>
        <v>37914.59375</v>
      </c>
      <c r="CX4" s="40">
        <f>IFERROR(s_C*(up_Bv!W4+s_MLF_snap_bean)*s_IFSN_far_adj*s_CF_snap_bean,".")</f>
        <v>37914.59375</v>
      </c>
      <c r="CY4" s="40">
        <f>IFERROR(s_C*(up_Bv!X4+s_MLF_strawberry)*s_IFST_far_adj*s_CF_strawberry,".")</f>
        <v>37914.59375</v>
      </c>
      <c r="CZ4" s="40">
        <f>IFERROR(s_C*(up_Bv!Y4+s_MLF_tomato)*s_IFTO_far_adj*s_CF_tomato,".")</f>
        <v>37914.59375</v>
      </c>
      <c r="DA4" s="40">
        <f>IFERROR(s_C*(up_Bv!Z4+s_MLF_rice)*s_IFRI_far_adj*s_CF_rice,".")</f>
        <v>37914.59375</v>
      </c>
      <c r="DB4" s="40">
        <f>IFERROR(s_C*(up_Bv!AA4+s_MLF_cereal)*s_IFCG_far_adj*s_CF_cereal,".")</f>
        <v>37914.59375</v>
      </c>
    </row>
    <row r="5" spans="1:106" ht="15" customHeight="1" x14ac:dyDescent="0.25">
      <c r="A5" s="44" t="s">
        <v>3</v>
      </c>
      <c r="B5" s="42" t="s">
        <v>1057</v>
      </c>
      <c r="C5" s="15">
        <f t="shared" si="1"/>
        <v>3.2968835384132272E-5</v>
      </c>
      <c r="D5" s="15">
        <f>IFERROR((up_dir!D5/(up_Bv!C5+s_MLF_apple)),".")</f>
        <v>1.3187534153652909E-4</v>
      </c>
      <c r="E5" s="15">
        <f>IFERROR((up_dir!E5/(up_Bv!D5+s_MLF_asparagus)),".")</f>
        <v>1.3187534153652909E-4</v>
      </c>
      <c r="F5" s="15">
        <f>IFERROR((up_dir!F5/(up_Bv!E5+s_MLF_beet)),".")</f>
        <v>1.3187534153652909E-4</v>
      </c>
      <c r="G5" s="15">
        <f>IFERROR((up_dir!G5/(up_Bv!F5+s_MLF_berries)),".")</f>
        <v>1.3187534153652909E-4</v>
      </c>
      <c r="H5" s="15">
        <f>IFERROR((up_dir!H5/(up_Bv!G5+s_MLF_broccoli)),".")</f>
        <v>1.3187534153652909E-4</v>
      </c>
      <c r="I5" s="15">
        <f>IFERROR((up_dir!I5/(up_Bv!H5+s_MLF_cabbage)),".")</f>
        <v>1.3187534153652909E-4</v>
      </c>
      <c r="J5" s="15">
        <f>IFERROR((up_dir!J5/(up_Bv!I5+s_MLF_carrot)),".")</f>
        <v>1.3187534153652909E-4</v>
      </c>
      <c r="K5" s="15">
        <f>IFERROR((up_dir!K5/(up_Bv!J5+s_MLF_citrus)),".")</f>
        <v>1.3187534153652909E-4</v>
      </c>
      <c r="L5" s="15">
        <f>IFERROR((up_dir!L5/(up_Bv!K5+s_MLF_corn)),".")</f>
        <v>1.3187534153652909E-4</v>
      </c>
      <c r="M5" s="15">
        <f>IFERROR((up_dir!M5/(up_Bv!L5+s_MLF_cucumber)),".")</f>
        <v>1.3187534153652909E-4</v>
      </c>
      <c r="N5" s="15">
        <f>IFERROR((up_dir!N5/(up_Bv!M5+s_MLF_lettuce)),".")</f>
        <v>1.3187534153652909E-4</v>
      </c>
      <c r="O5" s="15">
        <f>IFERROR((up_dir!O5/(up_Bv!N5+s_MLF_lima_bean)),".")</f>
        <v>1.3187534153652909E-4</v>
      </c>
      <c r="P5" s="15">
        <f>IFERROR((up_dir!P5/(up_Bv!O5+s_MLF_okra)),".")</f>
        <v>1.3187534153652909E-4</v>
      </c>
      <c r="Q5" s="15">
        <f>IFERROR((up_dir!Q5/(up_Bv!P5+s_MLF_onion)),".")</f>
        <v>1.3187534153652909E-4</v>
      </c>
      <c r="R5" s="15">
        <f>IFERROR((up_dir!R5/(up_Bv!Q5+s_MLF_peach)),".")</f>
        <v>1.3187534153652909E-4</v>
      </c>
      <c r="S5" s="15">
        <f>IFERROR((up_dir!S5/(up_Bv!R5+s_MLF_pear)),".")</f>
        <v>1.3187534153652909E-4</v>
      </c>
      <c r="T5" s="15">
        <f>IFERROR((up_dir!T5/(up_Bv!S5+s_MLF_peas)),".")</f>
        <v>1.3187534153652909E-4</v>
      </c>
      <c r="U5" s="15">
        <f>IFERROR((up_dir!U5/(up_Bv!T5+s_MLF_peppers)),".")</f>
        <v>1.3187534153652909E-4</v>
      </c>
      <c r="V5" s="15">
        <f>IFERROR((up_dir!V5/(up_Bv!U5+s_MLF_potato)),".")</f>
        <v>1.3187534153652909E-4</v>
      </c>
      <c r="W5" s="15">
        <f>IFERROR((up_dir!W5/(up_Bv!V5+s_MLF_pumpkin)),".")</f>
        <v>1.3187534153652909E-4</v>
      </c>
      <c r="X5" s="15">
        <f>IFERROR((up_dir!X5/(up_Bv!W5+s_MLF_snap_bean)),".")</f>
        <v>1.3187534153652909E-4</v>
      </c>
      <c r="Y5" s="15">
        <f>IFERROR((up_dir!Y5/(up_Bv!X5+s_MLF_strawberry)),".")</f>
        <v>1.3187534153652909E-4</v>
      </c>
      <c r="Z5" s="15">
        <f>IFERROR((up_dir!Z5/(up_Bv!Y5+s_MLF_tomato)),".")</f>
        <v>1.3187534153652909E-4</v>
      </c>
      <c r="AA5" s="15">
        <f>IFERROR((up_dir!AA5/(up_Bv!Z5+s_MLF_rice)),".")</f>
        <v>1.3187534153652909E-4</v>
      </c>
      <c r="AB5" s="15">
        <f>IFERROR((up_dir!AB5/(up_Bv!AA5+s_MLF_cereal)),".")</f>
        <v>1.3187534153652909E-4</v>
      </c>
      <c r="AC5" s="40">
        <f t="shared" si="0"/>
        <v>151658.375</v>
      </c>
      <c r="AD5" s="40">
        <f>s_C*(up_Bv!C5+s_MLF_apple)*s_IFAP_res_adj*s_CF_apple</f>
        <v>37914.59375</v>
      </c>
      <c r="AE5" s="40">
        <f>s_C*(up_Bv!D5+s_MLF_asparagus)*s_IFAS_res_adj*s_CF_asparagus</f>
        <v>37914.59375</v>
      </c>
      <c r="AF5" s="40">
        <f>s_C*(up_Bv!E5+s_MLF_beet)*s_IFBT_res_adj*s_CF_beet</f>
        <v>37914.59375</v>
      </c>
      <c r="AG5" s="40">
        <f>s_C*(up_Bv!F5+s_MLF_berries)*s_IFBE_res_adj*s_CF_berries</f>
        <v>37914.59375</v>
      </c>
      <c r="AH5" s="40">
        <f>s_C*(up_Bv!G5+s_MLF_broccoli)*s_IFBR_res_adj*s_CF_broccoli</f>
        <v>37914.59375</v>
      </c>
      <c r="AI5" s="40">
        <f>s_C*(up_Bv!H5+s_MLF_cabbage)*s_IFCB_res_adj*s_CF_cabbage</f>
        <v>37914.59375</v>
      </c>
      <c r="AJ5" s="40">
        <f>s_C*(up_Bv!I5+s_MLF_carrot)*s_IFCR_res_adj*s_CF_carrot</f>
        <v>37914.59375</v>
      </c>
      <c r="AK5" s="40">
        <f>s_C*(up_Bv!J5+s_MLF_citrus)*s_IFCI_res_adj*s_CF_citrus</f>
        <v>37914.59375</v>
      </c>
      <c r="AL5" s="40">
        <f>s_C*(up_Bv!K5+s_MLF_corn)*s_IFCO_res_adj*s_CF_corn</f>
        <v>37914.59375</v>
      </c>
      <c r="AM5" s="40">
        <f>s_C*(up_Bv!L5+s_MLF_cucumber)*s_IFCU_res_adj*s_CF_cucumber</f>
        <v>37914.59375</v>
      </c>
      <c r="AN5" s="40">
        <f>s_C*(up_Bv!M5+s_MLF_lettuce)*s_IFLE_res_adj*s_CF_lettuce</f>
        <v>37914.59375</v>
      </c>
      <c r="AO5" s="40">
        <f>s_C*(up_Bv!N5+s_MLF_lima_bean)*s_IFLI_res_adj*s_CF_lima_bean</f>
        <v>37914.59375</v>
      </c>
      <c r="AP5" s="40">
        <f>s_C*(up_Bv!O5+s_MLF_okra)*s_IFOK_res_adj*s_CF_okra</f>
        <v>37914.59375</v>
      </c>
      <c r="AQ5" s="40">
        <f>s_C*(up_Bv!P5+s_MLF_onion)*s_IFON_res_adj*s_CF_onion</f>
        <v>37914.59375</v>
      </c>
      <c r="AR5" s="40">
        <f>s_C*(up_Bv!Q5+s_MLF_peach)*s_IFPC_res_adj*s_CF_peach</f>
        <v>37914.59375</v>
      </c>
      <c r="AS5" s="40">
        <f>s_C*(up_Bv!R5+s_MLF_pear)*s_IFPR_res_adj*s_CF_pear</f>
        <v>37914.59375</v>
      </c>
      <c r="AT5" s="40">
        <f>s_C*(up_Bv!S5+s_MLF_peas)*s_IFPE_res_adj*s_CF_peas</f>
        <v>37914.59375</v>
      </c>
      <c r="AU5" s="40">
        <f>s_C*(up_Bv!T5+s_MLF_peppers)*s_IFPP_res_adj*s_CF_peppers</f>
        <v>37914.59375</v>
      </c>
      <c r="AV5" s="40">
        <f>s_C*(up_Bv!U5+s_MLF_potato)*s_IFPT_res_adj*s_CF_potato</f>
        <v>37914.59375</v>
      </c>
      <c r="AW5" s="40">
        <f>s_C*(up_Bv!V5+s_MLF_pumpkin)*s_IFPU_res_adj*s_CF_pumpkin</f>
        <v>37914.59375</v>
      </c>
      <c r="AX5" s="40">
        <f>s_C*(up_Bv!W5+s_MLF_snap_bean)*s_IFSN_res_adj*s_CF_snap_bean</f>
        <v>37914.59375</v>
      </c>
      <c r="AY5" s="40">
        <f>s_C*(up_Bv!X5+s_MLF_strawberry)*s_IFST_res_adj*s_CF_strawberry</f>
        <v>37914.59375</v>
      </c>
      <c r="AZ5" s="40">
        <f>s_C*(up_Bv!Y5+s_MLF_tomato)*s_IFTO_res_adj*s_CF_tomato</f>
        <v>37914.59375</v>
      </c>
      <c r="BA5" s="40">
        <f>s_C*(up_Bv!Z5+s_MLF_rice)*s_IFRI_res_adj*s_CF_rice</f>
        <v>37914.59375</v>
      </c>
      <c r="BB5" s="40">
        <f>s_C*(up_Bv!AA5+s_MLF_cereal)*s_IFCG_res_adj*s_CF_cereal</f>
        <v>37914.59375</v>
      </c>
      <c r="BC5" s="15">
        <f t="shared" si="2"/>
        <v>3.2968835384132272E-5</v>
      </c>
      <c r="BD5" s="15">
        <f>IFERROR((up_dir!AD5/(up_Bv!C5+s_MLF_apple)),".")</f>
        <v>1.3187534153652909E-4</v>
      </c>
      <c r="BE5" s="15">
        <f>IFERROR((up_dir!AE5/(up_Bv!D5+s_MLF_asparagus)),".")</f>
        <v>1.3187534153652909E-4</v>
      </c>
      <c r="BF5" s="15">
        <f>IFERROR((up_dir!AF5/(up_Bv!E5+s_MLF_beet)),".")</f>
        <v>1.3187534153652909E-4</v>
      </c>
      <c r="BG5" s="15">
        <f>IFERROR((up_dir!AG5/(up_Bv!F5+s_MLF_berries)),".")</f>
        <v>1.3187534153652909E-4</v>
      </c>
      <c r="BH5" s="15">
        <f>IFERROR((up_dir!AH5/(up_Bv!G5+s_MLF_broccoli)),".")</f>
        <v>1.3187534153652909E-4</v>
      </c>
      <c r="BI5" s="15">
        <f>IFERROR((up_dir!AI5/(up_Bv!H5+s_MLF_cabbage)),".")</f>
        <v>1.3187534153652909E-4</v>
      </c>
      <c r="BJ5" s="15">
        <f>IFERROR((up_dir!AJ5/(up_Bv!I5+s_MLF_carrot)),".")</f>
        <v>1.3187534153652909E-4</v>
      </c>
      <c r="BK5" s="15">
        <f>IFERROR((up_dir!AK5/(up_Bv!J5+s_MLF_citrus)),".")</f>
        <v>1.3187534153652909E-4</v>
      </c>
      <c r="BL5" s="15">
        <f>IFERROR((up_dir!AL5/(up_Bv!K5+s_MLF_corn)),".")</f>
        <v>1.3187534153652909E-4</v>
      </c>
      <c r="BM5" s="15">
        <f>IFERROR((up_dir!AM5/(up_Bv!L5+s_MLF_cucumber)),".")</f>
        <v>1.3187534153652909E-4</v>
      </c>
      <c r="BN5" s="15">
        <f>IFERROR((up_dir!AN5/(up_Bv!M5+s_MLF_lettuce)),".")</f>
        <v>1.3187534153652909E-4</v>
      </c>
      <c r="BO5" s="15">
        <f>IFERROR((up_dir!AO5/(up_Bv!N5+s_MLF_lima_bean)),".")</f>
        <v>1.3187534153652909E-4</v>
      </c>
      <c r="BP5" s="15">
        <f>IFERROR((up_dir!AP5/(up_Bv!O5+s_MLF_okra)),".")</f>
        <v>1.3187534153652909E-4</v>
      </c>
      <c r="BQ5" s="15">
        <f>IFERROR((up_dir!AQ5/(up_Bv!P5+s_MLF_onion)),".")</f>
        <v>1.3187534153652909E-4</v>
      </c>
      <c r="BR5" s="15">
        <f>IFERROR((up_dir!AR5/(up_Bv!Q5+s_MLF_peach)),".")</f>
        <v>1.3187534153652909E-4</v>
      </c>
      <c r="BS5" s="15">
        <f>IFERROR((up_dir!AS5/(up_Bv!R5+s_MLF_pear)),".")</f>
        <v>1.3187534153652909E-4</v>
      </c>
      <c r="BT5" s="15">
        <f>IFERROR((up_dir!AT5/(up_Bv!S5+s_MLF_peas)),".")</f>
        <v>1.3187534153652909E-4</v>
      </c>
      <c r="BU5" s="15">
        <f>IFERROR((up_dir!AU5/(up_Bv!T5+s_MLF_peppers)),".")</f>
        <v>1.3187534153652909E-4</v>
      </c>
      <c r="BV5" s="15">
        <f>IFERROR((up_dir!AV5/(up_Bv!U5+s_MLF_potato)),".")</f>
        <v>1.3187534153652909E-4</v>
      </c>
      <c r="BW5" s="15">
        <f>IFERROR((up_dir!AW5/(up_Bv!V5+s_MLF_pumpkin)),".")</f>
        <v>1.3187534153652909E-4</v>
      </c>
      <c r="BX5" s="15">
        <f>IFERROR((up_dir!AX5/(up_Bv!W5+s_MLF_snap_bean)),".")</f>
        <v>1.3187534153652909E-4</v>
      </c>
      <c r="BY5" s="15">
        <f>IFERROR((up_dir!AY5/(up_Bv!X5+s_MLF_strawberry)),".")</f>
        <v>1.3187534153652909E-4</v>
      </c>
      <c r="BZ5" s="15">
        <f>IFERROR((up_dir!AZ5/(up_Bv!Y5+s_MLF_tomato)),".")</f>
        <v>1.3187534153652909E-4</v>
      </c>
      <c r="CA5" s="15">
        <f>IFERROR((up_dir!BA5/(up_Bv!Z5+s_MLF_rice)),".")</f>
        <v>1.3187534153652909E-4</v>
      </c>
      <c r="CB5" s="15">
        <f>IFERROR((up_dir!BB5/(up_Bv!AA5+s_MLF_cereal)),".")</f>
        <v>1.3187534153652909E-4</v>
      </c>
      <c r="CC5" s="40">
        <f t="shared" si="3"/>
        <v>151658.375</v>
      </c>
      <c r="CD5" s="40">
        <f>IFERROR(s_C*(up_Bv!C5+s_MLF_apple)*s_IFAP_far_adj*s_CF_apple,".")</f>
        <v>37914.59375</v>
      </c>
      <c r="CE5" s="40">
        <f>IFERROR(s_C*(up_Bv!D5+s_MLF_asparagus)*s_IFAS_far_adj*s_CF_asparagus,".")</f>
        <v>37914.59375</v>
      </c>
      <c r="CF5" s="40">
        <f>IFERROR(s_C*(up_Bv!E5+s_MLF_beet)*s_IFBT_far_adj*s_CF_beet,".")</f>
        <v>37914.59375</v>
      </c>
      <c r="CG5" s="40">
        <f>IFERROR(s_C*(up_Bv!F5+s_MLF_berries)*s_IFBR_far_adj*s_CF_berries,".")</f>
        <v>37914.59375</v>
      </c>
      <c r="CH5" s="40">
        <f>IFERROR(s_C*(up_Bv!G5+s_MLF_broccoli)*s_IFBR_far_adj*s_CF_broccoli,".")</f>
        <v>37914.59375</v>
      </c>
      <c r="CI5" s="40">
        <f>IFERROR(s_C*(up_Bv!H5+s_MLF_cabbage)*s_IFCB_far_adj*s_CF_cabbage,".")</f>
        <v>37914.59375</v>
      </c>
      <c r="CJ5" s="40">
        <f>IFERROR(s_C*(up_Bv!I5+s_MLF_carrot)*s_IFCR_far_adj*s_CF_carrot,".")</f>
        <v>37914.59375</v>
      </c>
      <c r="CK5" s="40">
        <f>IFERROR(s_C*(up_Bv!J5+s_MLF_citrus)*s_IFCI_far_adj*s_CF_citrus,".")</f>
        <v>37914.59375</v>
      </c>
      <c r="CL5" s="40">
        <f>IFERROR(s_C*(up_Bv!K5+s_MLF_corn)*s_IFCO_far_adj*s_CF_corn,".")</f>
        <v>37914.59375</v>
      </c>
      <c r="CM5" s="40">
        <f>IFERROR(s_C*(up_Bv!L5+s_MLF_cucumber)*s_IFCU_far_adj*s_CF_cucumber,".")</f>
        <v>37914.59375</v>
      </c>
      <c r="CN5" s="40">
        <f>IFERROR(s_C*(up_Bv!M5+s_MLF_lettuce)*s_IFLE_far_adj*s_CF_lettuce,".")</f>
        <v>37914.59375</v>
      </c>
      <c r="CO5" s="40">
        <f>IFERROR(s_C*(up_Bv!N5+s_MLF_lima_bean)*s_IFLI_far_adj*s_CF_lima_bean,".")</f>
        <v>37914.59375</v>
      </c>
      <c r="CP5" s="40">
        <f>IFERROR(s_C*(up_Bv!O5+s_MLF_okra)*s_IFOK_far_adj*s_CF_okra,".")</f>
        <v>37914.59375</v>
      </c>
      <c r="CQ5" s="40">
        <f>IFERROR(s_C*(up_Bv!P5+s_MLF_onion)*s_IFON_far_adj*s_CF_onion,".")</f>
        <v>37914.59375</v>
      </c>
      <c r="CR5" s="40">
        <f>IFERROR(s_C*(up_Bv!Q5+s_MLF_peach)*s_IFPC_far_adj*s_CF_peach,".")</f>
        <v>37914.59375</v>
      </c>
      <c r="CS5" s="40">
        <f>IFERROR(s_C*(up_Bv!R5+s_MLF_pear)*s_IFPR_far_adj*s_CF_pear,".")</f>
        <v>37914.59375</v>
      </c>
      <c r="CT5" s="40">
        <f>IFERROR(s_C*(up_Bv!S5+s_MLF_peas)*s_IFPE_far_adj*s_CF_peas,".")</f>
        <v>37914.59375</v>
      </c>
      <c r="CU5" s="40">
        <f>IFERROR(s_C*(up_Bv!T5+s_MLF_peppers)*s_IFPP_far_adj*s_CF_peppers,".")</f>
        <v>37914.59375</v>
      </c>
      <c r="CV5" s="40">
        <f>IFERROR(s_C*(up_Bv!U5+s_MLF_potato)*s_IFPT_far_adj*s_CF_potato,".")</f>
        <v>37914.59375</v>
      </c>
      <c r="CW5" s="40">
        <f>IFERROR(s_C*(up_Bv!V5+s_MLF_pumpkin)*s_IFPU_far_adj*s_CF_pumpkin,".")</f>
        <v>37914.59375</v>
      </c>
      <c r="CX5" s="40">
        <f>IFERROR(s_C*(up_Bv!W5+s_MLF_snap_bean)*s_IFSN_far_adj*s_CF_snap_bean,".")</f>
        <v>37914.59375</v>
      </c>
      <c r="CY5" s="40">
        <f>IFERROR(s_C*(up_Bv!X5+s_MLF_strawberry)*s_IFST_far_adj*s_CF_strawberry,".")</f>
        <v>37914.59375</v>
      </c>
      <c r="CZ5" s="40">
        <f>IFERROR(s_C*(up_Bv!Y5+s_MLF_tomato)*s_IFTO_far_adj*s_CF_tomato,".")</f>
        <v>37914.59375</v>
      </c>
      <c r="DA5" s="40">
        <f>IFERROR(s_C*(up_Bv!Z5+s_MLF_rice)*s_IFRI_far_adj*s_CF_rice,".")</f>
        <v>37914.59375</v>
      </c>
      <c r="DB5" s="40">
        <f>IFERROR(s_C*(up_Bv!AA5+s_MLF_cereal)*s_IFCG_far_adj*s_CF_cereal,".")</f>
        <v>37914.59375</v>
      </c>
    </row>
    <row r="6" spans="1:106" ht="15" customHeight="1" x14ac:dyDescent="0.25">
      <c r="A6" s="44" t="s">
        <v>4</v>
      </c>
      <c r="B6" s="42" t="s">
        <v>1057</v>
      </c>
      <c r="C6" s="15">
        <f t="shared" si="1"/>
        <v>3.2968835384132272E-5</v>
      </c>
      <c r="D6" s="15">
        <f>IFERROR((up_dir!D6/(up_Bv!C6+s_MLF_apple)),".")</f>
        <v>1.3187534153652909E-4</v>
      </c>
      <c r="E6" s="15">
        <f>IFERROR((up_dir!E6/(up_Bv!D6+s_MLF_asparagus)),".")</f>
        <v>1.3187534153652909E-4</v>
      </c>
      <c r="F6" s="15">
        <f>IFERROR((up_dir!F6/(up_Bv!E6+s_MLF_beet)),".")</f>
        <v>1.3187534153652909E-4</v>
      </c>
      <c r="G6" s="15">
        <f>IFERROR((up_dir!G6/(up_Bv!F6+s_MLF_berries)),".")</f>
        <v>1.3187534153652909E-4</v>
      </c>
      <c r="H6" s="15">
        <f>IFERROR((up_dir!H6/(up_Bv!G6+s_MLF_broccoli)),".")</f>
        <v>1.3187534153652909E-4</v>
      </c>
      <c r="I6" s="15">
        <f>IFERROR((up_dir!I6/(up_Bv!H6+s_MLF_cabbage)),".")</f>
        <v>1.3187534153652909E-4</v>
      </c>
      <c r="J6" s="15">
        <f>IFERROR((up_dir!J6/(up_Bv!I6+s_MLF_carrot)),".")</f>
        <v>1.3187534153652909E-4</v>
      </c>
      <c r="K6" s="15">
        <f>IFERROR((up_dir!K6/(up_Bv!J6+s_MLF_citrus)),".")</f>
        <v>1.3187534153652909E-4</v>
      </c>
      <c r="L6" s="15">
        <f>IFERROR((up_dir!L6/(up_Bv!K6+s_MLF_corn)),".")</f>
        <v>1.3187534153652909E-4</v>
      </c>
      <c r="M6" s="15">
        <f>IFERROR((up_dir!M6/(up_Bv!L6+s_MLF_cucumber)),".")</f>
        <v>1.3187534153652909E-4</v>
      </c>
      <c r="N6" s="15">
        <f>IFERROR((up_dir!N6/(up_Bv!M6+s_MLF_lettuce)),".")</f>
        <v>1.3187534153652909E-4</v>
      </c>
      <c r="O6" s="15">
        <f>IFERROR((up_dir!O6/(up_Bv!N6+s_MLF_lima_bean)),".")</f>
        <v>1.3187534153652909E-4</v>
      </c>
      <c r="P6" s="15">
        <f>IFERROR((up_dir!P6/(up_Bv!O6+s_MLF_okra)),".")</f>
        <v>1.3187534153652909E-4</v>
      </c>
      <c r="Q6" s="15">
        <f>IFERROR((up_dir!Q6/(up_Bv!P6+s_MLF_onion)),".")</f>
        <v>1.3187534153652909E-4</v>
      </c>
      <c r="R6" s="15">
        <f>IFERROR((up_dir!R6/(up_Bv!Q6+s_MLF_peach)),".")</f>
        <v>1.3187534153652909E-4</v>
      </c>
      <c r="S6" s="15">
        <f>IFERROR((up_dir!S6/(up_Bv!R6+s_MLF_pear)),".")</f>
        <v>1.3187534153652909E-4</v>
      </c>
      <c r="T6" s="15">
        <f>IFERROR((up_dir!T6/(up_Bv!S6+s_MLF_peas)),".")</f>
        <v>1.3187534153652909E-4</v>
      </c>
      <c r="U6" s="15">
        <f>IFERROR((up_dir!U6/(up_Bv!T6+s_MLF_peppers)),".")</f>
        <v>1.3187534153652909E-4</v>
      </c>
      <c r="V6" s="15">
        <f>IFERROR((up_dir!V6/(up_Bv!U6+s_MLF_potato)),".")</f>
        <v>1.3187534153652909E-4</v>
      </c>
      <c r="W6" s="15">
        <f>IFERROR((up_dir!W6/(up_Bv!V6+s_MLF_pumpkin)),".")</f>
        <v>1.3187534153652909E-4</v>
      </c>
      <c r="X6" s="15">
        <f>IFERROR((up_dir!X6/(up_Bv!W6+s_MLF_snap_bean)),".")</f>
        <v>1.3187534153652909E-4</v>
      </c>
      <c r="Y6" s="15">
        <f>IFERROR((up_dir!Y6/(up_Bv!X6+s_MLF_strawberry)),".")</f>
        <v>1.3187534153652909E-4</v>
      </c>
      <c r="Z6" s="15">
        <f>IFERROR((up_dir!Z6/(up_Bv!Y6+s_MLF_tomato)),".")</f>
        <v>1.3187534153652909E-4</v>
      </c>
      <c r="AA6" s="15">
        <f>IFERROR((up_dir!AA6/(up_Bv!Z6+s_MLF_rice)),".")</f>
        <v>1.3187534153652909E-4</v>
      </c>
      <c r="AB6" s="15">
        <f>IFERROR((up_dir!AB6/(up_Bv!AA6+s_MLF_cereal)),".")</f>
        <v>1.3187534153652909E-4</v>
      </c>
      <c r="AC6" s="40">
        <f t="shared" si="0"/>
        <v>151658.375</v>
      </c>
      <c r="AD6" s="40">
        <f>s_C*(up_Bv!C6+s_MLF_apple)*s_IFAP_res_adj*s_CF_apple</f>
        <v>37914.59375</v>
      </c>
      <c r="AE6" s="40">
        <f>s_C*(up_Bv!D6+s_MLF_asparagus)*s_IFAS_res_adj*s_CF_asparagus</f>
        <v>37914.59375</v>
      </c>
      <c r="AF6" s="40">
        <f>s_C*(up_Bv!E6+s_MLF_beet)*s_IFBT_res_adj*s_CF_beet</f>
        <v>37914.59375</v>
      </c>
      <c r="AG6" s="40">
        <f>s_C*(up_Bv!F6+s_MLF_berries)*s_IFBE_res_adj*s_CF_berries</f>
        <v>37914.59375</v>
      </c>
      <c r="AH6" s="40">
        <f>s_C*(up_Bv!G6+s_MLF_broccoli)*s_IFBR_res_adj*s_CF_broccoli</f>
        <v>37914.59375</v>
      </c>
      <c r="AI6" s="40">
        <f>s_C*(up_Bv!H6+s_MLF_cabbage)*s_IFCB_res_adj*s_CF_cabbage</f>
        <v>37914.59375</v>
      </c>
      <c r="AJ6" s="40">
        <f>s_C*(up_Bv!I6+s_MLF_carrot)*s_IFCR_res_adj*s_CF_carrot</f>
        <v>37914.59375</v>
      </c>
      <c r="AK6" s="40">
        <f>s_C*(up_Bv!J6+s_MLF_citrus)*s_IFCI_res_adj*s_CF_citrus</f>
        <v>37914.59375</v>
      </c>
      <c r="AL6" s="40">
        <f>s_C*(up_Bv!K6+s_MLF_corn)*s_IFCO_res_adj*s_CF_corn</f>
        <v>37914.59375</v>
      </c>
      <c r="AM6" s="40">
        <f>s_C*(up_Bv!L6+s_MLF_cucumber)*s_IFCU_res_adj*s_CF_cucumber</f>
        <v>37914.59375</v>
      </c>
      <c r="AN6" s="40">
        <f>s_C*(up_Bv!M6+s_MLF_lettuce)*s_IFLE_res_adj*s_CF_lettuce</f>
        <v>37914.59375</v>
      </c>
      <c r="AO6" s="40">
        <f>s_C*(up_Bv!N6+s_MLF_lima_bean)*s_IFLI_res_adj*s_CF_lima_bean</f>
        <v>37914.59375</v>
      </c>
      <c r="AP6" s="40">
        <f>s_C*(up_Bv!O6+s_MLF_okra)*s_IFOK_res_adj*s_CF_okra</f>
        <v>37914.59375</v>
      </c>
      <c r="AQ6" s="40">
        <f>s_C*(up_Bv!P6+s_MLF_onion)*s_IFON_res_adj*s_CF_onion</f>
        <v>37914.59375</v>
      </c>
      <c r="AR6" s="40">
        <f>s_C*(up_Bv!Q6+s_MLF_peach)*s_IFPC_res_adj*s_CF_peach</f>
        <v>37914.59375</v>
      </c>
      <c r="AS6" s="40">
        <f>s_C*(up_Bv!R6+s_MLF_pear)*s_IFPR_res_adj*s_CF_pear</f>
        <v>37914.59375</v>
      </c>
      <c r="AT6" s="40">
        <f>s_C*(up_Bv!S6+s_MLF_peas)*s_IFPE_res_adj*s_CF_peas</f>
        <v>37914.59375</v>
      </c>
      <c r="AU6" s="40">
        <f>s_C*(up_Bv!T6+s_MLF_peppers)*s_IFPP_res_adj*s_CF_peppers</f>
        <v>37914.59375</v>
      </c>
      <c r="AV6" s="40">
        <f>s_C*(up_Bv!U6+s_MLF_potato)*s_IFPT_res_adj*s_CF_potato</f>
        <v>37914.59375</v>
      </c>
      <c r="AW6" s="40">
        <f>s_C*(up_Bv!V6+s_MLF_pumpkin)*s_IFPU_res_adj*s_CF_pumpkin</f>
        <v>37914.59375</v>
      </c>
      <c r="AX6" s="40">
        <f>s_C*(up_Bv!W6+s_MLF_snap_bean)*s_IFSN_res_adj*s_CF_snap_bean</f>
        <v>37914.59375</v>
      </c>
      <c r="AY6" s="40">
        <f>s_C*(up_Bv!X6+s_MLF_strawberry)*s_IFST_res_adj*s_CF_strawberry</f>
        <v>37914.59375</v>
      </c>
      <c r="AZ6" s="40">
        <f>s_C*(up_Bv!Y6+s_MLF_tomato)*s_IFTO_res_adj*s_CF_tomato</f>
        <v>37914.59375</v>
      </c>
      <c r="BA6" s="40">
        <f>s_C*(up_Bv!Z6+s_MLF_rice)*s_IFRI_res_adj*s_CF_rice</f>
        <v>37914.59375</v>
      </c>
      <c r="BB6" s="40">
        <f>s_C*(up_Bv!AA6+s_MLF_cereal)*s_IFCG_res_adj*s_CF_cereal</f>
        <v>37914.59375</v>
      </c>
      <c r="BC6" s="15">
        <f t="shared" si="2"/>
        <v>3.2968835384132272E-5</v>
      </c>
      <c r="BD6" s="15">
        <f>IFERROR((up_dir!AD6/(up_Bv!C6+s_MLF_apple)),".")</f>
        <v>1.3187534153652909E-4</v>
      </c>
      <c r="BE6" s="15">
        <f>IFERROR((up_dir!AE6/(up_Bv!D6+s_MLF_asparagus)),".")</f>
        <v>1.3187534153652909E-4</v>
      </c>
      <c r="BF6" s="15">
        <f>IFERROR((up_dir!AF6/(up_Bv!E6+s_MLF_beet)),".")</f>
        <v>1.3187534153652909E-4</v>
      </c>
      <c r="BG6" s="15">
        <f>IFERROR((up_dir!AG6/(up_Bv!F6+s_MLF_berries)),".")</f>
        <v>1.3187534153652909E-4</v>
      </c>
      <c r="BH6" s="15">
        <f>IFERROR((up_dir!AH6/(up_Bv!G6+s_MLF_broccoli)),".")</f>
        <v>1.3187534153652909E-4</v>
      </c>
      <c r="BI6" s="15">
        <f>IFERROR((up_dir!AI6/(up_Bv!H6+s_MLF_cabbage)),".")</f>
        <v>1.3187534153652909E-4</v>
      </c>
      <c r="BJ6" s="15">
        <f>IFERROR((up_dir!AJ6/(up_Bv!I6+s_MLF_carrot)),".")</f>
        <v>1.3187534153652909E-4</v>
      </c>
      <c r="BK6" s="15">
        <f>IFERROR((up_dir!AK6/(up_Bv!J6+s_MLF_citrus)),".")</f>
        <v>1.3187534153652909E-4</v>
      </c>
      <c r="BL6" s="15">
        <f>IFERROR((up_dir!AL6/(up_Bv!K6+s_MLF_corn)),".")</f>
        <v>1.3187534153652909E-4</v>
      </c>
      <c r="BM6" s="15">
        <f>IFERROR((up_dir!AM6/(up_Bv!L6+s_MLF_cucumber)),".")</f>
        <v>1.3187534153652909E-4</v>
      </c>
      <c r="BN6" s="15">
        <f>IFERROR((up_dir!AN6/(up_Bv!M6+s_MLF_lettuce)),".")</f>
        <v>1.3187534153652909E-4</v>
      </c>
      <c r="BO6" s="15">
        <f>IFERROR((up_dir!AO6/(up_Bv!N6+s_MLF_lima_bean)),".")</f>
        <v>1.3187534153652909E-4</v>
      </c>
      <c r="BP6" s="15">
        <f>IFERROR((up_dir!AP6/(up_Bv!O6+s_MLF_okra)),".")</f>
        <v>1.3187534153652909E-4</v>
      </c>
      <c r="BQ6" s="15">
        <f>IFERROR((up_dir!AQ6/(up_Bv!P6+s_MLF_onion)),".")</f>
        <v>1.3187534153652909E-4</v>
      </c>
      <c r="BR6" s="15">
        <f>IFERROR((up_dir!AR6/(up_Bv!Q6+s_MLF_peach)),".")</f>
        <v>1.3187534153652909E-4</v>
      </c>
      <c r="BS6" s="15">
        <f>IFERROR((up_dir!AS6/(up_Bv!R6+s_MLF_pear)),".")</f>
        <v>1.3187534153652909E-4</v>
      </c>
      <c r="BT6" s="15">
        <f>IFERROR((up_dir!AT6/(up_Bv!S6+s_MLF_peas)),".")</f>
        <v>1.3187534153652909E-4</v>
      </c>
      <c r="BU6" s="15">
        <f>IFERROR((up_dir!AU6/(up_Bv!T6+s_MLF_peppers)),".")</f>
        <v>1.3187534153652909E-4</v>
      </c>
      <c r="BV6" s="15">
        <f>IFERROR((up_dir!AV6/(up_Bv!U6+s_MLF_potato)),".")</f>
        <v>1.3187534153652909E-4</v>
      </c>
      <c r="BW6" s="15">
        <f>IFERROR((up_dir!AW6/(up_Bv!V6+s_MLF_pumpkin)),".")</f>
        <v>1.3187534153652909E-4</v>
      </c>
      <c r="BX6" s="15">
        <f>IFERROR((up_dir!AX6/(up_Bv!W6+s_MLF_snap_bean)),".")</f>
        <v>1.3187534153652909E-4</v>
      </c>
      <c r="BY6" s="15">
        <f>IFERROR((up_dir!AY6/(up_Bv!X6+s_MLF_strawberry)),".")</f>
        <v>1.3187534153652909E-4</v>
      </c>
      <c r="BZ6" s="15">
        <f>IFERROR((up_dir!AZ6/(up_Bv!Y6+s_MLF_tomato)),".")</f>
        <v>1.3187534153652909E-4</v>
      </c>
      <c r="CA6" s="15">
        <f>IFERROR((up_dir!BA6/(up_Bv!Z6+s_MLF_rice)),".")</f>
        <v>1.3187534153652909E-4</v>
      </c>
      <c r="CB6" s="15">
        <f>IFERROR((up_dir!BB6/(up_Bv!AA6+s_MLF_cereal)),".")</f>
        <v>1.3187534153652909E-4</v>
      </c>
      <c r="CC6" s="40">
        <f t="shared" si="3"/>
        <v>151658.375</v>
      </c>
      <c r="CD6" s="40">
        <f>IFERROR(s_C*(up_Bv!C6+s_MLF_apple)*s_IFAP_far_adj*s_CF_apple,".")</f>
        <v>37914.59375</v>
      </c>
      <c r="CE6" s="40">
        <f>IFERROR(s_C*(up_Bv!D6+s_MLF_asparagus)*s_IFAS_far_adj*s_CF_asparagus,".")</f>
        <v>37914.59375</v>
      </c>
      <c r="CF6" s="40">
        <f>IFERROR(s_C*(up_Bv!E6+s_MLF_beet)*s_IFBT_far_adj*s_CF_beet,".")</f>
        <v>37914.59375</v>
      </c>
      <c r="CG6" s="40">
        <f>IFERROR(s_C*(up_Bv!F6+s_MLF_berries)*s_IFBR_far_adj*s_CF_berries,".")</f>
        <v>37914.59375</v>
      </c>
      <c r="CH6" s="40">
        <f>IFERROR(s_C*(up_Bv!G6+s_MLF_broccoli)*s_IFBR_far_adj*s_CF_broccoli,".")</f>
        <v>37914.59375</v>
      </c>
      <c r="CI6" s="40">
        <f>IFERROR(s_C*(up_Bv!H6+s_MLF_cabbage)*s_IFCB_far_adj*s_CF_cabbage,".")</f>
        <v>37914.59375</v>
      </c>
      <c r="CJ6" s="40">
        <f>IFERROR(s_C*(up_Bv!I6+s_MLF_carrot)*s_IFCR_far_adj*s_CF_carrot,".")</f>
        <v>37914.59375</v>
      </c>
      <c r="CK6" s="40">
        <f>IFERROR(s_C*(up_Bv!J6+s_MLF_citrus)*s_IFCI_far_adj*s_CF_citrus,".")</f>
        <v>37914.59375</v>
      </c>
      <c r="CL6" s="40">
        <f>IFERROR(s_C*(up_Bv!K6+s_MLF_corn)*s_IFCO_far_adj*s_CF_corn,".")</f>
        <v>37914.59375</v>
      </c>
      <c r="CM6" s="40">
        <f>IFERROR(s_C*(up_Bv!L6+s_MLF_cucumber)*s_IFCU_far_adj*s_CF_cucumber,".")</f>
        <v>37914.59375</v>
      </c>
      <c r="CN6" s="40">
        <f>IFERROR(s_C*(up_Bv!M6+s_MLF_lettuce)*s_IFLE_far_adj*s_CF_lettuce,".")</f>
        <v>37914.59375</v>
      </c>
      <c r="CO6" s="40">
        <f>IFERROR(s_C*(up_Bv!N6+s_MLF_lima_bean)*s_IFLI_far_adj*s_CF_lima_bean,".")</f>
        <v>37914.59375</v>
      </c>
      <c r="CP6" s="40">
        <f>IFERROR(s_C*(up_Bv!O6+s_MLF_okra)*s_IFOK_far_adj*s_CF_okra,".")</f>
        <v>37914.59375</v>
      </c>
      <c r="CQ6" s="40">
        <f>IFERROR(s_C*(up_Bv!P6+s_MLF_onion)*s_IFON_far_adj*s_CF_onion,".")</f>
        <v>37914.59375</v>
      </c>
      <c r="CR6" s="40">
        <f>IFERROR(s_C*(up_Bv!Q6+s_MLF_peach)*s_IFPC_far_adj*s_CF_peach,".")</f>
        <v>37914.59375</v>
      </c>
      <c r="CS6" s="40">
        <f>IFERROR(s_C*(up_Bv!R6+s_MLF_pear)*s_IFPR_far_adj*s_CF_pear,".")</f>
        <v>37914.59375</v>
      </c>
      <c r="CT6" s="40">
        <f>IFERROR(s_C*(up_Bv!S6+s_MLF_peas)*s_IFPE_far_adj*s_CF_peas,".")</f>
        <v>37914.59375</v>
      </c>
      <c r="CU6" s="40">
        <f>IFERROR(s_C*(up_Bv!T6+s_MLF_peppers)*s_IFPP_far_adj*s_CF_peppers,".")</f>
        <v>37914.59375</v>
      </c>
      <c r="CV6" s="40">
        <f>IFERROR(s_C*(up_Bv!U6+s_MLF_potato)*s_IFPT_far_adj*s_CF_potato,".")</f>
        <v>37914.59375</v>
      </c>
      <c r="CW6" s="40">
        <f>IFERROR(s_C*(up_Bv!V6+s_MLF_pumpkin)*s_IFPU_far_adj*s_CF_pumpkin,".")</f>
        <v>37914.59375</v>
      </c>
      <c r="CX6" s="40">
        <f>IFERROR(s_C*(up_Bv!W6+s_MLF_snap_bean)*s_IFSN_far_adj*s_CF_snap_bean,".")</f>
        <v>37914.59375</v>
      </c>
      <c r="CY6" s="40">
        <f>IFERROR(s_C*(up_Bv!X6+s_MLF_strawberry)*s_IFST_far_adj*s_CF_strawberry,".")</f>
        <v>37914.59375</v>
      </c>
      <c r="CZ6" s="40">
        <f>IFERROR(s_C*(up_Bv!Y6+s_MLF_tomato)*s_IFTO_far_adj*s_CF_tomato,".")</f>
        <v>37914.59375</v>
      </c>
      <c r="DA6" s="40">
        <f>IFERROR(s_C*(up_Bv!Z6+s_MLF_rice)*s_IFRI_far_adj*s_CF_rice,".")</f>
        <v>37914.59375</v>
      </c>
      <c r="DB6" s="40">
        <f>IFERROR(s_C*(up_Bv!AA6+s_MLF_cereal)*s_IFCG_far_adj*s_CF_cereal,".")</f>
        <v>37914.59375</v>
      </c>
    </row>
    <row r="7" spans="1:106" ht="15" customHeight="1" x14ac:dyDescent="0.25">
      <c r="A7" s="44" t="s">
        <v>5</v>
      </c>
      <c r="B7" s="42" t="s">
        <v>1057</v>
      </c>
      <c r="C7" s="15">
        <f t="shared" si="1"/>
        <v>3.2968835384132272E-5</v>
      </c>
      <c r="D7" s="15">
        <f>IFERROR((up_dir!D7/(up_Bv!C7+s_MLF_apple)),".")</f>
        <v>1.3187534153652909E-4</v>
      </c>
      <c r="E7" s="15">
        <f>IFERROR((up_dir!E7/(up_Bv!D7+s_MLF_asparagus)),".")</f>
        <v>1.3187534153652909E-4</v>
      </c>
      <c r="F7" s="15">
        <f>IFERROR((up_dir!F7/(up_Bv!E7+s_MLF_beet)),".")</f>
        <v>1.3187534153652909E-4</v>
      </c>
      <c r="G7" s="15">
        <f>IFERROR((up_dir!G7/(up_Bv!F7+s_MLF_berries)),".")</f>
        <v>1.3187534153652909E-4</v>
      </c>
      <c r="H7" s="15">
        <f>IFERROR((up_dir!H7/(up_Bv!G7+s_MLF_broccoli)),".")</f>
        <v>1.3187534153652909E-4</v>
      </c>
      <c r="I7" s="15">
        <f>IFERROR((up_dir!I7/(up_Bv!H7+s_MLF_cabbage)),".")</f>
        <v>1.3187534153652909E-4</v>
      </c>
      <c r="J7" s="15">
        <f>IFERROR((up_dir!J7/(up_Bv!I7+s_MLF_carrot)),".")</f>
        <v>1.3187534153652909E-4</v>
      </c>
      <c r="K7" s="15">
        <f>IFERROR((up_dir!K7/(up_Bv!J7+s_MLF_citrus)),".")</f>
        <v>1.3187534153652909E-4</v>
      </c>
      <c r="L7" s="15">
        <f>IFERROR((up_dir!L7/(up_Bv!K7+s_MLF_corn)),".")</f>
        <v>1.3187534153652909E-4</v>
      </c>
      <c r="M7" s="15">
        <f>IFERROR((up_dir!M7/(up_Bv!L7+s_MLF_cucumber)),".")</f>
        <v>1.3187534153652909E-4</v>
      </c>
      <c r="N7" s="15">
        <f>IFERROR((up_dir!N7/(up_Bv!M7+s_MLF_lettuce)),".")</f>
        <v>1.3187534153652909E-4</v>
      </c>
      <c r="O7" s="15">
        <f>IFERROR((up_dir!O7/(up_Bv!N7+s_MLF_lima_bean)),".")</f>
        <v>1.3187534153652909E-4</v>
      </c>
      <c r="P7" s="15">
        <f>IFERROR((up_dir!P7/(up_Bv!O7+s_MLF_okra)),".")</f>
        <v>1.3187534153652909E-4</v>
      </c>
      <c r="Q7" s="15">
        <f>IFERROR((up_dir!Q7/(up_Bv!P7+s_MLF_onion)),".")</f>
        <v>1.3187534153652909E-4</v>
      </c>
      <c r="R7" s="15">
        <f>IFERROR((up_dir!R7/(up_Bv!Q7+s_MLF_peach)),".")</f>
        <v>1.3187534153652909E-4</v>
      </c>
      <c r="S7" s="15">
        <f>IFERROR((up_dir!S7/(up_Bv!R7+s_MLF_pear)),".")</f>
        <v>1.3187534153652909E-4</v>
      </c>
      <c r="T7" s="15">
        <f>IFERROR((up_dir!T7/(up_Bv!S7+s_MLF_peas)),".")</f>
        <v>1.3187534153652909E-4</v>
      </c>
      <c r="U7" s="15">
        <f>IFERROR((up_dir!U7/(up_Bv!T7+s_MLF_peppers)),".")</f>
        <v>1.3187534153652909E-4</v>
      </c>
      <c r="V7" s="15">
        <f>IFERROR((up_dir!V7/(up_Bv!U7+s_MLF_potato)),".")</f>
        <v>1.3187534153652909E-4</v>
      </c>
      <c r="W7" s="15">
        <f>IFERROR((up_dir!W7/(up_Bv!V7+s_MLF_pumpkin)),".")</f>
        <v>1.3187534153652909E-4</v>
      </c>
      <c r="X7" s="15">
        <f>IFERROR((up_dir!X7/(up_Bv!W7+s_MLF_snap_bean)),".")</f>
        <v>1.3187534153652909E-4</v>
      </c>
      <c r="Y7" s="15">
        <f>IFERROR((up_dir!Y7/(up_Bv!X7+s_MLF_strawberry)),".")</f>
        <v>1.3187534153652909E-4</v>
      </c>
      <c r="Z7" s="15">
        <f>IFERROR((up_dir!Z7/(up_Bv!Y7+s_MLF_tomato)),".")</f>
        <v>1.3187534153652909E-4</v>
      </c>
      <c r="AA7" s="15">
        <f>IFERROR((up_dir!AA7/(up_Bv!Z7+s_MLF_rice)),".")</f>
        <v>1.3187534153652909E-4</v>
      </c>
      <c r="AB7" s="15">
        <f>IFERROR((up_dir!AB7/(up_Bv!AA7+s_MLF_cereal)),".")</f>
        <v>1.3187534153652909E-4</v>
      </c>
      <c r="AC7" s="40">
        <f t="shared" si="0"/>
        <v>151658.375</v>
      </c>
      <c r="AD7" s="40">
        <f>s_C*(up_Bv!C7+s_MLF_apple)*s_IFAP_res_adj*s_CF_apple</f>
        <v>37914.59375</v>
      </c>
      <c r="AE7" s="40">
        <f>s_C*(up_Bv!D7+s_MLF_asparagus)*s_IFAS_res_adj*s_CF_asparagus</f>
        <v>37914.59375</v>
      </c>
      <c r="AF7" s="40">
        <f>s_C*(up_Bv!E7+s_MLF_beet)*s_IFBT_res_adj*s_CF_beet</f>
        <v>37914.59375</v>
      </c>
      <c r="AG7" s="40">
        <f>s_C*(up_Bv!F7+s_MLF_berries)*s_IFBE_res_adj*s_CF_berries</f>
        <v>37914.59375</v>
      </c>
      <c r="AH7" s="40">
        <f>s_C*(up_Bv!G7+s_MLF_broccoli)*s_IFBR_res_adj*s_CF_broccoli</f>
        <v>37914.59375</v>
      </c>
      <c r="AI7" s="40">
        <f>s_C*(up_Bv!H7+s_MLF_cabbage)*s_IFCB_res_adj*s_CF_cabbage</f>
        <v>37914.59375</v>
      </c>
      <c r="AJ7" s="40">
        <f>s_C*(up_Bv!I7+s_MLF_carrot)*s_IFCR_res_adj*s_CF_carrot</f>
        <v>37914.59375</v>
      </c>
      <c r="AK7" s="40">
        <f>s_C*(up_Bv!J7+s_MLF_citrus)*s_IFCI_res_adj*s_CF_citrus</f>
        <v>37914.59375</v>
      </c>
      <c r="AL7" s="40">
        <f>s_C*(up_Bv!K7+s_MLF_corn)*s_IFCO_res_adj*s_CF_corn</f>
        <v>37914.59375</v>
      </c>
      <c r="AM7" s="40">
        <f>s_C*(up_Bv!L7+s_MLF_cucumber)*s_IFCU_res_adj*s_CF_cucumber</f>
        <v>37914.59375</v>
      </c>
      <c r="AN7" s="40">
        <f>s_C*(up_Bv!M7+s_MLF_lettuce)*s_IFLE_res_adj*s_CF_lettuce</f>
        <v>37914.59375</v>
      </c>
      <c r="AO7" s="40">
        <f>s_C*(up_Bv!N7+s_MLF_lima_bean)*s_IFLI_res_adj*s_CF_lima_bean</f>
        <v>37914.59375</v>
      </c>
      <c r="AP7" s="40">
        <f>s_C*(up_Bv!O7+s_MLF_okra)*s_IFOK_res_adj*s_CF_okra</f>
        <v>37914.59375</v>
      </c>
      <c r="AQ7" s="40">
        <f>s_C*(up_Bv!P7+s_MLF_onion)*s_IFON_res_adj*s_CF_onion</f>
        <v>37914.59375</v>
      </c>
      <c r="AR7" s="40">
        <f>s_C*(up_Bv!Q7+s_MLF_peach)*s_IFPC_res_adj*s_CF_peach</f>
        <v>37914.59375</v>
      </c>
      <c r="AS7" s="40">
        <f>s_C*(up_Bv!R7+s_MLF_pear)*s_IFPR_res_adj*s_CF_pear</f>
        <v>37914.59375</v>
      </c>
      <c r="AT7" s="40">
        <f>s_C*(up_Bv!S7+s_MLF_peas)*s_IFPE_res_adj*s_CF_peas</f>
        <v>37914.59375</v>
      </c>
      <c r="AU7" s="40">
        <f>s_C*(up_Bv!T7+s_MLF_peppers)*s_IFPP_res_adj*s_CF_peppers</f>
        <v>37914.59375</v>
      </c>
      <c r="AV7" s="40">
        <f>s_C*(up_Bv!U7+s_MLF_potato)*s_IFPT_res_adj*s_CF_potato</f>
        <v>37914.59375</v>
      </c>
      <c r="AW7" s="40">
        <f>s_C*(up_Bv!V7+s_MLF_pumpkin)*s_IFPU_res_adj*s_CF_pumpkin</f>
        <v>37914.59375</v>
      </c>
      <c r="AX7" s="40">
        <f>s_C*(up_Bv!W7+s_MLF_snap_bean)*s_IFSN_res_adj*s_CF_snap_bean</f>
        <v>37914.59375</v>
      </c>
      <c r="AY7" s="40">
        <f>s_C*(up_Bv!X7+s_MLF_strawberry)*s_IFST_res_adj*s_CF_strawberry</f>
        <v>37914.59375</v>
      </c>
      <c r="AZ7" s="40">
        <f>s_C*(up_Bv!Y7+s_MLF_tomato)*s_IFTO_res_adj*s_CF_tomato</f>
        <v>37914.59375</v>
      </c>
      <c r="BA7" s="40">
        <f>s_C*(up_Bv!Z7+s_MLF_rice)*s_IFRI_res_adj*s_CF_rice</f>
        <v>37914.59375</v>
      </c>
      <c r="BB7" s="40">
        <f>s_C*(up_Bv!AA7+s_MLF_cereal)*s_IFCG_res_adj*s_CF_cereal</f>
        <v>37914.59375</v>
      </c>
      <c r="BC7" s="15">
        <f t="shared" si="2"/>
        <v>3.2968835384132272E-5</v>
      </c>
      <c r="BD7" s="15">
        <f>IFERROR((up_dir!AD7/(up_Bv!C7+s_MLF_apple)),".")</f>
        <v>1.3187534153652909E-4</v>
      </c>
      <c r="BE7" s="15">
        <f>IFERROR((up_dir!AE7/(up_Bv!D7+s_MLF_asparagus)),".")</f>
        <v>1.3187534153652909E-4</v>
      </c>
      <c r="BF7" s="15">
        <f>IFERROR((up_dir!AF7/(up_Bv!E7+s_MLF_beet)),".")</f>
        <v>1.3187534153652909E-4</v>
      </c>
      <c r="BG7" s="15">
        <f>IFERROR((up_dir!AG7/(up_Bv!F7+s_MLF_berries)),".")</f>
        <v>1.3187534153652909E-4</v>
      </c>
      <c r="BH7" s="15">
        <f>IFERROR((up_dir!AH7/(up_Bv!G7+s_MLF_broccoli)),".")</f>
        <v>1.3187534153652909E-4</v>
      </c>
      <c r="BI7" s="15">
        <f>IFERROR((up_dir!AI7/(up_Bv!H7+s_MLF_cabbage)),".")</f>
        <v>1.3187534153652909E-4</v>
      </c>
      <c r="BJ7" s="15">
        <f>IFERROR((up_dir!AJ7/(up_Bv!I7+s_MLF_carrot)),".")</f>
        <v>1.3187534153652909E-4</v>
      </c>
      <c r="BK7" s="15">
        <f>IFERROR((up_dir!AK7/(up_Bv!J7+s_MLF_citrus)),".")</f>
        <v>1.3187534153652909E-4</v>
      </c>
      <c r="BL7" s="15">
        <f>IFERROR((up_dir!AL7/(up_Bv!K7+s_MLF_corn)),".")</f>
        <v>1.3187534153652909E-4</v>
      </c>
      <c r="BM7" s="15">
        <f>IFERROR((up_dir!AM7/(up_Bv!L7+s_MLF_cucumber)),".")</f>
        <v>1.3187534153652909E-4</v>
      </c>
      <c r="BN7" s="15">
        <f>IFERROR((up_dir!AN7/(up_Bv!M7+s_MLF_lettuce)),".")</f>
        <v>1.3187534153652909E-4</v>
      </c>
      <c r="BO7" s="15">
        <f>IFERROR((up_dir!AO7/(up_Bv!N7+s_MLF_lima_bean)),".")</f>
        <v>1.3187534153652909E-4</v>
      </c>
      <c r="BP7" s="15">
        <f>IFERROR((up_dir!AP7/(up_Bv!O7+s_MLF_okra)),".")</f>
        <v>1.3187534153652909E-4</v>
      </c>
      <c r="BQ7" s="15">
        <f>IFERROR((up_dir!AQ7/(up_Bv!P7+s_MLF_onion)),".")</f>
        <v>1.3187534153652909E-4</v>
      </c>
      <c r="BR7" s="15">
        <f>IFERROR((up_dir!AR7/(up_Bv!Q7+s_MLF_peach)),".")</f>
        <v>1.3187534153652909E-4</v>
      </c>
      <c r="BS7" s="15">
        <f>IFERROR((up_dir!AS7/(up_Bv!R7+s_MLF_pear)),".")</f>
        <v>1.3187534153652909E-4</v>
      </c>
      <c r="BT7" s="15">
        <f>IFERROR((up_dir!AT7/(up_Bv!S7+s_MLF_peas)),".")</f>
        <v>1.3187534153652909E-4</v>
      </c>
      <c r="BU7" s="15">
        <f>IFERROR((up_dir!AU7/(up_Bv!T7+s_MLF_peppers)),".")</f>
        <v>1.3187534153652909E-4</v>
      </c>
      <c r="BV7" s="15">
        <f>IFERROR((up_dir!AV7/(up_Bv!U7+s_MLF_potato)),".")</f>
        <v>1.3187534153652909E-4</v>
      </c>
      <c r="BW7" s="15">
        <f>IFERROR((up_dir!AW7/(up_Bv!V7+s_MLF_pumpkin)),".")</f>
        <v>1.3187534153652909E-4</v>
      </c>
      <c r="BX7" s="15">
        <f>IFERROR((up_dir!AX7/(up_Bv!W7+s_MLF_snap_bean)),".")</f>
        <v>1.3187534153652909E-4</v>
      </c>
      <c r="BY7" s="15">
        <f>IFERROR((up_dir!AY7/(up_Bv!X7+s_MLF_strawberry)),".")</f>
        <v>1.3187534153652909E-4</v>
      </c>
      <c r="BZ7" s="15">
        <f>IFERROR((up_dir!AZ7/(up_Bv!Y7+s_MLF_tomato)),".")</f>
        <v>1.3187534153652909E-4</v>
      </c>
      <c r="CA7" s="15">
        <f>IFERROR((up_dir!BA7/(up_Bv!Z7+s_MLF_rice)),".")</f>
        <v>1.3187534153652909E-4</v>
      </c>
      <c r="CB7" s="15">
        <f>IFERROR((up_dir!BB7/(up_Bv!AA7+s_MLF_cereal)),".")</f>
        <v>1.3187534153652909E-4</v>
      </c>
      <c r="CC7" s="40">
        <f t="shared" si="3"/>
        <v>151658.375</v>
      </c>
      <c r="CD7" s="40">
        <f>IFERROR(s_C*(up_Bv!C7+s_MLF_apple)*s_IFAP_far_adj*s_CF_apple,".")</f>
        <v>37914.59375</v>
      </c>
      <c r="CE7" s="40">
        <f>IFERROR(s_C*(up_Bv!D7+s_MLF_asparagus)*s_IFAS_far_adj*s_CF_asparagus,".")</f>
        <v>37914.59375</v>
      </c>
      <c r="CF7" s="40">
        <f>IFERROR(s_C*(up_Bv!E7+s_MLF_beet)*s_IFBT_far_adj*s_CF_beet,".")</f>
        <v>37914.59375</v>
      </c>
      <c r="CG7" s="40">
        <f>IFERROR(s_C*(up_Bv!F7+s_MLF_berries)*s_IFBR_far_adj*s_CF_berries,".")</f>
        <v>37914.59375</v>
      </c>
      <c r="CH7" s="40">
        <f>IFERROR(s_C*(up_Bv!G7+s_MLF_broccoli)*s_IFBR_far_adj*s_CF_broccoli,".")</f>
        <v>37914.59375</v>
      </c>
      <c r="CI7" s="40">
        <f>IFERROR(s_C*(up_Bv!H7+s_MLF_cabbage)*s_IFCB_far_adj*s_CF_cabbage,".")</f>
        <v>37914.59375</v>
      </c>
      <c r="CJ7" s="40">
        <f>IFERROR(s_C*(up_Bv!I7+s_MLF_carrot)*s_IFCR_far_adj*s_CF_carrot,".")</f>
        <v>37914.59375</v>
      </c>
      <c r="CK7" s="40">
        <f>IFERROR(s_C*(up_Bv!J7+s_MLF_citrus)*s_IFCI_far_adj*s_CF_citrus,".")</f>
        <v>37914.59375</v>
      </c>
      <c r="CL7" s="40">
        <f>IFERROR(s_C*(up_Bv!K7+s_MLF_corn)*s_IFCO_far_adj*s_CF_corn,".")</f>
        <v>37914.59375</v>
      </c>
      <c r="CM7" s="40">
        <f>IFERROR(s_C*(up_Bv!L7+s_MLF_cucumber)*s_IFCU_far_adj*s_CF_cucumber,".")</f>
        <v>37914.59375</v>
      </c>
      <c r="CN7" s="40">
        <f>IFERROR(s_C*(up_Bv!M7+s_MLF_lettuce)*s_IFLE_far_adj*s_CF_lettuce,".")</f>
        <v>37914.59375</v>
      </c>
      <c r="CO7" s="40">
        <f>IFERROR(s_C*(up_Bv!N7+s_MLF_lima_bean)*s_IFLI_far_adj*s_CF_lima_bean,".")</f>
        <v>37914.59375</v>
      </c>
      <c r="CP7" s="40">
        <f>IFERROR(s_C*(up_Bv!O7+s_MLF_okra)*s_IFOK_far_adj*s_CF_okra,".")</f>
        <v>37914.59375</v>
      </c>
      <c r="CQ7" s="40">
        <f>IFERROR(s_C*(up_Bv!P7+s_MLF_onion)*s_IFON_far_adj*s_CF_onion,".")</f>
        <v>37914.59375</v>
      </c>
      <c r="CR7" s="40">
        <f>IFERROR(s_C*(up_Bv!Q7+s_MLF_peach)*s_IFPC_far_adj*s_CF_peach,".")</f>
        <v>37914.59375</v>
      </c>
      <c r="CS7" s="40">
        <f>IFERROR(s_C*(up_Bv!R7+s_MLF_pear)*s_IFPR_far_adj*s_CF_pear,".")</f>
        <v>37914.59375</v>
      </c>
      <c r="CT7" s="40">
        <f>IFERROR(s_C*(up_Bv!S7+s_MLF_peas)*s_IFPE_far_adj*s_CF_peas,".")</f>
        <v>37914.59375</v>
      </c>
      <c r="CU7" s="40">
        <f>IFERROR(s_C*(up_Bv!T7+s_MLF_peppers)*s_IFPP_far_adj*s_CF_peppers,".")</f>
        <v>37914.59375</v>
      </c>
      <c r="CV7" s="40">
        <f>IFERROR(s_C*(up_Bv!U7+s_MLF_potato)*s_IFPT_far_adj*s_CF_potato,".")</f>
        <v>37914.59375</v>
      </c>
      <c r="CW7" s="40">
        <f>IFERROR(s_C*(up_Bv!V7+s_MLF_pumpkin)*s_IFPU_far_adj*s_CF_pumpkin,".")</f>
        <v>37914.59375</v>
      </c>
      <c r="CX7" s="40">
        <f>IFERROR(s_C*(up_Bv!W7+s_MLF_snap_bean)*s_IFSN_far_adj*s_CF_snap_bean,".")</f>
        <v>37914.59375</v>
      </c>
      <c r="CY7" s="40">
        <f>IFERROR(s_C*(up_Bv!X7+s_MLF_strawberry)*s_IFST_far_adj*s_CF_strawberry,".")</f>
        <v>37914.59375</v>
      </c>
      <c r="CZ7" s="40">
        <f>IFERROR(s_C*(up_Bv!Y7+s_MLF_tomato)*s_IFTO_far_adj*s_CF_tomato,".")</f>
        <v>37914.59375</v>
      </c>
      <c r="DA7" s="40">
        <f>IFERROR(s_C*(up_Bv!Z7+s_MLF_rice)*s_IFRI_far_adj*s_CF_rice,".")</f>
        <v>37914.59375</v>
      </c>
      <c r="DB7" s="40">
        <f>IFERROR(s_C*(up_Bv!AA7+s_MLF_cereal)*s_IFCG_far_adj*s_CF_cereal,".")</f>
        <v>37914.59375</v>
      </c>
    </row>
    <row r="8" spans="1:106" ht="15" customHeight="1" x14ac:dyDescent="0.25">
      <c r="A8" s="44" t="s">
        <v>6</v>
      </c>
      <c r="B8" s="42" t="s">
        <v>1057</v>
      </c>
      <c r="C8" s="15">
        <f t="shared" si="1"/>
        <v>3.2968835384132272E-5</v>
      </c>
      <c r="D8" s="15">
        <f>IFERROR((up_dir!D8/(up_Bv!C8+s_MLF_apple)),".")</f>
        <v>1.3187534153652909E-4</v>
      </c>
      <c r="E8" s="15">
        <f>IFERROR((up_dir!E8/(up_Bv!D8+s_MLF_asparagus)),".")</f>
        <v>1.3187534153652909E-4</v>
      </c>
      <c r="F8" s="15">
        <f>IFERROR((up_dir!F8/(up_Bv!E8+s_MLF_beet)),".")</f>
        <v>1.3187534153652909E-4</v>
      </c>
      <c r="G8" s="15">
        <f>IFERROR((up_dir!G8/(up_Bv!F8+s_MLF_berries)),".")</f>
        <v>1.3187534153652909E-4</v>
      </c>
      <c r="H8" s="15">
        <f>IFERROR((up_dir!H8/(up_Bv!G8+s_MLF_broccoli)),".")</f>
        <v>1.3187534153652909E-4</v>
      </c>
      <c r="I8" s="15">
        <f>IFERROR((up_dir!I8/(up_Bv!H8+s_MLF_cabbage)),".")</f>
        <v>1.3187534153652909E-4</v>
      </c>
      <c r="J8" s="15">
        <f>IFERROR((up_dir!J8/(up_Bv!I8+s_MLF_carrot)),".")</f>
        <v>1.3187534153652909E-4</v>
      </c>
      <c r="K8" s="15">
        <f>IFERROR((up_dir!K8/(up_Bv!J8+s_MLF_citrus)),".")</f>
        <v>1.3187534153652909E-4</v>
      </c>
      <c r="L8" s="15">
        <f>IFERROR((up_dir!L8/(up_Bv!K8+s_MLF_corn)),".")</f>
        <v>1.3187534153652909E-4</v>
      </c>
      <c r="M8" s="15">
        <f>IFERROR((up_dir!M8/(up_Bv!L8+s_MLF_cucumber)),".")</f>
        <v>1.3187534153652909E-4</v>
      </c>
      <c r="N8" s="15">
        <f>IFERROR((up_dir!N8/(up_Bv!M8+s_MLF_lettuce)),".")</f>
        <v>1.3187534153652909E-4</v>
      </c>
      <c r="O8" s="15">
        <f>IFERROR((up_dir!O8/(up_Bv!N8+s_MLF_lima_bean)),".")</f>
        <v>1.3187534153652909E-4</v>
      </c>
      <c r="P8" s="15">
        <f>IFERROR((up_dir!P8/(up_Bv!O8+s_MLF_okra)),".")</f>
        <v>1.3187534153652909E-4</v>
      </c>
      <c r="Q8" s="15">
        <f>IFERROR((up_dir!Q8/(up_Bv!P8+s_MLF_onion)),".")</f>
        <v>1.3187534153652909E-4</v>
      </c>
      <c r="R8" s="15">
        <f>IFERROR((up_dir!R8/(up_Bv!Q8+s_MLF_peach)),".")</f>
        <v>1.3187534153652909E-4</v>
      </c>
      <c r="S8" s="15">
        <f>IFERROR((up_dir!S8/(up_Bv!R8+s_MLF_pear)),".")</f>
        <v>1.3187534153652909E-4</v>
      </c>
      <c r="T8" s="15">
        <f>IFERROR((up_dir!T8/(up_Bv!S8+s_MLF_peas)),".")</f>
        <v>1.3187534153652909E-4</v>
      </c>
      <c r="U8" s="15">
        <f>IFERROR((up_dir!U8/(up_Bv!T8+s_MLF_peppers)),".")</f>
        <v>1.3187534153652909E-4</v>
      </c>
      <c r="V8" s="15">
        <f>IFERROR((up_dir!V8/(up_Bv!U8+s_MLF_potato)),".")</f>
        <v>1.3187534153652909E-4</v>
      </c>
      <c r="W8" s="15">
        <f>IFERROR((up_dir!W8/(up_Bv!V8+s_MLF_pumpkin)),".")</f>
        <v>1.3187534153652909E-4</v>
      </c>
      <c r="X8" s="15">
        <f>IFERROR((up_dir!X8/(up_Bv!W8+s_MLF_snap_bean)),".")</f>
        <v>1.3187534153652909E-4</v>
      </c>
      <c r="Y8" s="15">
        <f>IFERROR((up_dir!Y8/(up_Bv!X8+s_MLF_strawberry)),".")</f>
        <v>1.3187534153652909E-4</v>
      </c>
      <c r="Z8" s="15">
        <f>IFERROR((up_dir!Z8/(up_Bv!Y8+s_MLF_tomato)),".")</f>
        <v>1.3187534153652909E-4</v>
      </c>
      <c r="AA8" s="15">
        <f>IFERROR((up_dir!AA8/(up_Bv!Z8+s_MLF_rice)),".")</f>
        <v>1.3187534153652909E-4</v>
      </c>
      <c r="AB8" s="15">
        <f>IFERROR((up_dir!AB8/(up_Bv!AA8+s_MLF_cereal)),".")</f>
        <v>1.3187534153652909E-4</v>
      </c>
      <c r="AC8" s="40">
        <f t="shared" si="0"/>
        <v>151658.375</v>
      </c>
      <c r="AD8" s="40">
        <f>s_C*(up_Bv!C8+s_MLF_apple)*s_IFAP_res_adj*s_CF_apple</f>
        <v>37914.59375</v>
      </c>
      <c r="AE8" s="40">
        <f>s_C*(up_Bv!D8+s_MLF_asparagus)*s_IFAS_res_adj*s_CF_asparagus</f>
        <v>37914.59375</v>
      </c>
      <c r="AF8" s="40">
        <f>s_C*(up_Bv!E8+s_MLF_beet)*s_IFBT_res_adj*s_CF_beet</f>
        <v>37914.59375</v>
      </c>
      <c r="AG8" s="40">
        <f>s_C*(up_Bv!F8+s_MLF_berries)*s_IFBE_res_adj*s_CF_berries</f>
        <v>37914.59375</v>
      </c>
      <c r="AH8" s="40">
        <f>s_C*(up_Bv!G8+s_MLF_broccoli)*s_IFBR_res_adj*s_CF_broccoli</f>
        <v>37914.59375</v>
      </c>
      <c r="AI8" s="40">
        <f>s_C*(up_Bv!H8+s_MLF_cabbage)*s_IFCB_res_adj*s_CF_cabbage</f>
        <v>37914.59375</v>
      </c>
      <c r="AJ8" s="40">
        <f>s_C*(up_Bv!I8+s_MLF_carrot)*s_IFCR_res_adj*s_CF_carrot</f>
        <v>37914.59375</v>
      </c>
      <c r="AK8" s="40">
        <f>s_C*(up_Bv!J8+s_MLF_citrus)*s_IFCI_res_adj*s_CF_citrus</f>
        <v>37914.59375</v>
      </c>
      <c r="AL8" s="40">
        <f>s_C*(up_Bv!K8+s_MLF_corn)*s_IFCO_res_adj*s_CF_corn</f>
        <v>37914.59375</v>
      </c>
      <c r="AM8" s="40">
        <f>s_C*(up_Bv!L8+s_MLF_cucumber)*s_IFCU_res_adj*s_CF_cucumber</f>
        <v>37914.59375</v>
      </c>
      <c r="AN8" s="40">
        <f>s_C*(up_Bv!M8+s_MLF_lettuce)*s_IFLE_res_adj*s_CF_lettuce</f>
        <v>37914.59375</v>
      </c>
      <c r="AO8" s="40">
        <f>s_C*(up_Bv!N8+s_MLF_lima_bean)*s_IFLI_res_adj*s_CF_lima_bean</f>
        <v>37914.59375</v>
      </c>
      <c r="AP8" s="40">
        <f>s_C*(up_Bv!O8+s_MLF_okra)*s_IFOK_res_adj*s_CF_okra</f>
        <v>37914.59375</v>
      </c>
      <c r="AQ8" s="40">
        <f>s_C*(up_Bv!P8+s_MLF_onion)*s_IFON_res_adj*s_CF_onion</f>
        <v>37914.59375</v>
      </c>
      <c r="AR8" s="40">
        <f>s_C*(up_Bv!Q8+s_MLF_peach)*s_IFPC_res_adj*s_CF_peach</f>
        <v>37914.59375</v>
      </c>
      <c r="AS8" s="40">
        <f>s_C*(up_Bv!R8+s_MLF_pear)*s_IFPR_res_adj*s_CF_pear</f>
        <v>37914.59375</v>
      </c>
      <c r="AT8" s="40">
        <f>s_C*(up_Bv!S8+s_MLF_peas)*s_IFPE_res_adj*s_CF_peas</f>
        <v>37914.59375</v>
      </c>
      <c r="AU8" s="40">
        <f>s_C*(up_Bv!T8+s_MLF_peppers)*s_IFPP_res_adj*s_CF_peppers</f>
        <v>37914.59375</v>
      </c>
      <c r="AV8" s="40">
        <f>s_C*(up_Bv!U8+s_MLF_potato)*s_IFPT_res_adj*s_CF_potato</f>
        <v>37914.59375</v>
      </c>
      <c r="AW8" s="40">
        <f>s_C*(up_Bv!V8+s_MLF_pumpkin)*s_IFPU_res_adj*s_CF_pumpkin</f>
        <v>37914.59375</v>
      </c>
      <c r="AX8" s="40">
        <f>s_C*(up_Bv!W8+s_MLF_snap_bean)*s_IFSN_res_adj*s_CF_snap_bean</f>
        <v>37914.59375</v>
      </c>
      <c r="AY8" s="40">
        <f>s_C*(up_Bv!X8+s_MLF_strawberry)*s_IFST_res_adj*s_CF_strawberry</f>
        <v>37914.59375</v>
      </c>
      <c r="AZ8" s="40">
        <f>s_C*(up_Bv!Y8+s_MLF_tomato)*s_IFTO_res_adj*s_CF_tomato</f>
        <v>37914.59375</v>
      </c>
      <c r="BA8" s="40">
        <f>s_C*(up_Bv!Z8+s_MLF_rice)*s_IFRI_res_adj*s_CF_rice</f>
        <v>37914.59375</v>
      </c>
      <c r="BB8" s="40">
        <f>s_C*(up_Bv!AA8+s_MLF_cereal)*s_IFCG_res_adj*s_CF_cereal</f>
        <v>37914.59375</v>
      </c>
      <c r="BC8" s="15">
        <f t="shared" si="2"/>
        <v>3.2968835384132272E-5</v>
      </c>
      <c r="BD8" s="15">
        <f>IFERROR((up_dir!AD8/(up_Bv!C8+s_MLF_apple)),".")</f>
        <v>1.3187534153652909E-4</v>
      </c>
      <c r="BE8" s="15">
        <f>IFERROR((up_dir!AE8/(up_Bv!D8+s_MLF_asparagus)),".")</f>
        <v>1.3187534153652909E-4</v>
      </c>
      <c r="BF8" s="15">
        <f>IFERROR((up_dir!AF8/(up_Bv!E8+s_MLF_beet)),".")</f>
        <v>1.3187534153652909E-4</v>
      </c>
      <c r="BG8" s="15">
        <f>IFERROR((up_dir!AG8/(up_Bv!F8+s_MLF_berries)),".")</f>
        <v>1.3187534153652909E-4</v>
      </c>
      <c r="BH8" s="15">
        <f>IFERROR((up_dir!AH8/(up_Bv!G8+s_MLF_broccoli)),".")</f>
        <v>1.3187534153652909E-4</v>
      </c>
      <c r="BI8" s="15">
        <f>IFERROR((up_dir!AI8/(up_Bv!H8+s_MLF_cabbage)),".")</f>
        <v>1.3187534153652909E-4</v>
      </c>
      <c r="BJ8" s="15">
        <f>IFERROR((up_dir!AJ8/(up_Bv!I8+s_MLF_carrot)),".")</f>
        <v>1.3187534153652909E-4</v>
      </c>
      <c r="BK8" s="15">
        <f>IFERROR((up_dir!AK8/(up_Bv!J8+s_MLF_citrus)),".")</f>
        <v>1.3187534153652909E-4</v>
      </c>
      <c r="BL8" s="15">
        <f>IFERROR((up_dir!AL8/(up_Bv!K8+s_MLF_corn)),".")</f>
        <v>1.3187534153652909E-4</v>
      </c>
      <c r="BM8" s="15">
        <f>IFERROR((up_dir!AM8/(up_Bv!L8+s_MLF_cucumber)),".")</f>
        <v>1.3187534153652909E-4</v>
      </c>
      <c r="BN8" s="15">
        <f>IFERROR((up_dir!AN8/(up_Bv!M8+s_MLF_lettuce)),".")</f>
        <v>1.3187534153652909E-4</v>
      </c>
      <c r="BO8" s="15">
        <f>IFERROR((up_dir!AO8/(up_Bv!N8+s_MLF_lima_bean)),".")</f>
        <v>1.3187534153652909E-4</v>
      </c>
      <c r="BP8" s="15">
        <f>IFERROR((up_dir!AP8/(up_Bv!O8+s_MLF_okra)),".")</f>
        <v>1.3187534153652909E-4</v>
      </c>
      <c r="BQ8" s="15">
        <f>IFERROR((up_dir!AQ8/(up_Bv!P8+s_MLF_onion)),".")</f>
        <v>1.3187534153652909E-4</v>
      </c>
      <c r="BR8" s="15">
        <f>IFERROR((up_dir!AR8/(up_Bv!Q8+s_MLF_peach)),".")</f>
        <v>1.3187534153652909E-4</v>
      </c>
      <c r="BS8" s="15">
        <f>IFERROR((up_dir!AS8/(up_Bv!R8+s_MLF_pear)),".")</f>
        <v>1.3187534153652909E-4</v>
      </c>
      <c r="BT8" s="15">
        <f>IFERROR((up_dir!AT8/(up_Bv!S8+s_MLF_peas)),".")</f>
        <v>1.3187534153652909E-4</v>
      </c>
      <c r="BU8" s="15">
        <f>IFERROR((up_dir!AU8/(up_Bv!T8+s_MLF_peppers)),".")</f>
        <v>1.3187534153652909E-4</v>
      </c>
      <c r="BV8" s="15">
        <f>IFERROR((up_dir!AV8/(up_Bv!U8+s_MLF_potato)),".")</f>
        <v>1.3187534153652909E-4</v>
      </c>
      <c r="BW8" s="15">
        <f>IFERROR((up_dir!AW8/(up_Bv!V8+s_MLF_pumpkin)),".")</f>
        <v>1.3187534153652909E-4</v>
      </c>
      <c r="BX8" s="15">
        <f>IFERROR((up_dir!AX8/(up_Bv!W8+s_MLF_snap_bean)),".")</f>
        <v>1.3187534153652909E-4</v>
      </c>
      <c r="BY8" s="15">
        <f>IFERROR((up_dir!AY8/(up_Bv!X8+s_MLF_strawberry)),".")</f>
        <v>1.3187534153652909E-4</v>
      </c>
      <c r="BZ8" s="15">
        <f>IFERROR((up_dir!AZ8/(up_Bv!Y8+s_MLF_tomato)),".")</f>
        <v>1.3187534153652909E-4</v>
      </c>
      <c r="CA8" s="15">
        <f>IFERROR((up_dir!BA8/(up_Bv!Z8+s_MLF_rice)),".")</f>
        <v>1.3187534153652909E-4</v>
      </c>
      <c r="CB8" s="15">
        <f>IFERROR((up_dir!BB8/(up_Bv!AA8+s_MLF_cereal)),".")</f>
        <v>1.3187534153652909E-4</v>
      </c>
      <c r="CC8" s="40">
        <f t="shared" si="3"/>
        <v>151658.375</v>
      </c>
      <c r="CD8" s="40">
        <f>IFERROR(s_C*(up_Bv!C8+s_MLF_apple)*s_IFAP_far_adj*s_CF_apple,".")</f>
        <v>37914.59375</v>
      </c>
      <c r="CE8" s="40">
        <f>IFERROR(s_C*(up_Bv!D8+s_MLF_asparagus)*s_IFAS_far_adj*s_CF_asparagus,".")</f>
        <v>37914.59375</v>
      </c>
      <c r="CF8" s="40">
        <f>IFERROR(s_C*(up_Bv!E8+s_MLF_beet)*s_IFBT_far_adj*s_CF_beet,".")</f>
        <v>37914.59375</v>
      </c>
      <c r="CG8" s="40">
        <f>IFERROR(s_C*(up_Bv!F8+s_MLF_berries)*s_IFBR_far_adj*s_CF_berries,".")</f>
        <v>37914.59375</v>
      </c>
      <c r="CH8" s="40">
        <f>IFERROR(s_C*(up_Bv!G8+s_MLF_broccoli)*s_IFBR_far_adj*s_CF_broccoli,".")</f>
        <v>37914.59375</v>
      </c>
      <c r="CI8" s="40">
        <f>IFERROR(s_C*(up_Bv!H8+s_MLF_cabbage)*s_IFCB_far_adj*s_CF_cabbage,".")</f>
        <v>37914.59375</v>
      </c>
      <c r="CJ8" s="40">
        <f>IFERROR(s_C*(up_Bv!I8+s_MLF_carrot)*s_IFCR_far_adj*s_CF_carrot,".")</f>
        <v>37914.59375</v>
      </c>
      <c r="CK8" s="40">
        <f>IFERROR(s_C*(up_Bv!J8+s_MLF_citrus)*s_IFCI_far_adj*s_CF_citrus,".")</f>
        <v>37914.59375</v>
      </c>
      <c r="CL8" s="40">
        <f>IFERROR(s_C*(up_Bv!K8+s_MLF_corn)*s_IFCO_far_adj*s_CF_corn,".")</f>
        <v>37914.59375</v>
      </c>
      <c r="CM8" s="40">
        <f>IFERROR(s_C*(up_Bv!L8+s_MLF_cucumber)*s_IFCU_far_adj*s_CF_cucumber,".")</f>
        <v>37914.59375</v>
      </c>
      <c r="CN8" s="40">
        <f>IFERROR(s_C*(up_Bv!M8+s_MLF_lettuce)*s_IFLE_far_adj*s_CF_lettuce,".")</f>
        <v>37914.59375</v>
      </c>
      <c r="CO8" s="40">
        <f>IFERROR(s_C*(up_Bv!N8+s_MLF_lima_bean)*s_IFLI_far_adj*s_CF_lima_bean,".")</f>
        <v>37914.59375</v>
      </c>
      <c r="CP8" s="40">
        <f>IFERROR(s_C*(up_Bv!O8+s_MLF_okra)*s_IFOK_far_adj*s_CF_okra,".")</f>
        <v>37914.59375</v>
      </c>
      <c r="CQ8" s="40">
        <f>IFERROR(s_C*(up_Bv!P8+s_MLF_onion)*s_IFON_far_adj*s_CF_onion,".")</f>
        <v>37914.59375</v>
      </c>
      <c r="CR8" s="40">
        <f>IFERROR(s_C*(up_Bv!Q8+s_MLF_peach)*s_IFPC_far_adj*s_CF_peach,".")</f>
        <v>37914.59375</v>
      </c>
      <c r="CS8" s="40">
        <f>IFERROR(s_C*(up_Bv!R8+s_MLF_pear)*s_IFPR_far_adj*s_CF_pear,".")</f>
        <v>37914.59375</v>
      </c>
      <c r="CT8" s="40">
        <f>IFERROR(s_C*(up_Bv!S8+s_MLF_peas)*s_IFPE_far_adj*s_CF_peas,".")</f>
        <v>37914.59375</v>
      </c>
      <c r="CU8" s="40">
        <f>IFERROR(s_C*(up_Bv!T8+s_MLF_peppers)*s_IFPP_far_adj*s_CF_peppers,".")</f>
        <v>37914.59375</v>
      </c>
      <c r="CV8" s="40">
        <f>IFERROR(s_C*(up_Bv!U8+s_MLF_potato)*s_IFPT_far_adj*s_CF_potato,".")</f>
        <v>37914.59375</v>
      </c>
      <c r="CW8" s="40">
        <f>IFERROR(s_C*(up_Bv!V8+s_MLF_pumpkin)*s_IFPU_far_adj*s_CF_pumpkin,".")</f>
        <v>37914.59375</v>
      </c>
      <c r="CX8" s="40">
        <f>IFERROR(s_C*(up_Bv!W8+s_MLF_snap_bean)*s_IFSN_far_adj*s_CF_snap_bean,".")</f>
        <v>37914.59375</v>
      </c>
      <c r="CY8" s="40">
        <f>IFERROR(s_C*(up_Bv!X8+s_MLF_strawberry)*s_IFST_far_adj*s_CF_strawberry,".")</f>
        <v>37914.59375</v>
      </c>
      <c r="CZ8" s="40">
        <f>IFERROR(s_C*(up_Bv!Y8+s_MLF_tomato)*s_IFTO_far_adj*s_CF_tomato,".")</f>
        <v>37914.59375</v>
      </c>
      <c r="DA8" s="40">
        <f>IFERROR(s_C*(up_Bv!Z8+s_MLF_rice)*s_IFRI_far_adj*s_CF_rice,".")</f>
        <v>37914.59375</v>
      </c>
      <c r="DB8" s="40">
        <f>IFERROR(s_C*(up_Bv!AA8+s_MLF_cereal)*s_IFCG_far_adj*s_CF_cereal,".")</f>
        <v>37914.59375</v>
      </c>
    </row>
    <row r="9" spans="1:106" ht="15" customHeight="1" x14ac:dyDescent="0.25">
      <c r="A9" s="44" t="s">
        <v>7</v>
      </c>
      <c r="B9" s="42" t="s">
        <v>1057</v>
      </c>
      <c r="C9" s="15">
        <f t="shared" si="1"/>
        <v>3.2968835384132272E-5</v>
      </c>
      <c r="D9" s="15">
        <f>IFERROR((up_dir!D9/(up_Bv!C9+s_MLF_apple)),".")</f>
        <v>1.3187534153652909E-4</v>
      </c>
      <c r="E9" s="15">
        <f>IFERROR((up_dir!E9/(up_Bv!D9+s_MLF_asparagus)),".")</f>
        <v>1.3187534153652909E-4</v>
      </c>
      <c r="F9" s="15">
        <f>IFERROR((up_dir!F9/(up_Bv!E9+s_MLF_beet)),".")</f>
        <v>1.3187534153652909E-4</v>
      </c>
      <c r="G9" s="15">
        <f>IFERROR((up_dir!G9/(up_Bv!F9+s_MLF_berries)),".")</f>
        <v>1.3187534153652909E-4</v>
      </c>
      <c r="H9" s="15">
        <f>IFERROR((up_dir!H9/(up_Bv!G9+s_MLF_broccoli)),".")</f>
        <v>1.3187534153652909E-4</v>
      </c>
      <c r="I9" s="15">
        <f>IFERROR((up_dir!I9/(up_Bv!H9+s_MLF_cabbage)),".")</f>
        <v>1.3187534153652909E-4</v>
      </c>
      <c r="J9" s="15">
        <f>IFERROR((up_dir!J9/(up_Bv!I9+s_MLF_carrot)),".")</f>
        <v>1.3187534153652909E-4</v>
      </c>
      <c r="K9" s="15">
        <f>IFERROR((up_dir!K9/(up_Bv!J9+s_MLF_citrus)),".")</f>
        <v>1.3187534153652909E-4</v>
      </c>
      <c r="L9" s="15">
        <f>IFERROR((up_dir!L9/(up_Bv!K9+s_MLF_corn)),".")</f>
        <v>1.3187534153652909E-4</v>
      </c>
      <c r="M9" s="15">
        <f>IFERROR((up_dir!M9/(up_Bv!L9+s_MLF_cucumber)),".")</f>
        <v>1.3187534153652909E-4</v>
      </c>
      <c r="N9" s="15">
        <f>IFERROR((up_dir!N9/(up_Bv!M9+s_MLF_lettuce)),".")</f>
        <v>1.3187534153652909E-4</v>
      </c>
      <c r="O9" s="15">
        <f>IFERROR((up_dir!O9/(up_Bv!N9+s_MLF_lima_bean)),".")</f>
        <v>1.3187534153652909E-4</v>
      </c>
      <c r="P9" s="15">
        <f>IFERROR((up_dir!P9/(up_Bv!O9+s_MLF_okra)),".")</f>
        <v>1.3187534153652909E-4</v>
      </c>
      <c r="Q9" s="15">
        <f>IFERROR((up_dir!Q9/(up_Bv!P9+s_MLF_onion)),".")</f>
        <v>1.3187534153652909E-4</v>
      </c>
      <c r="R9" s="15">
        <f>IFERROR((up_dir!R9/(up_Bv!Q9+s_MLF_peach)),".")</f>
        <v>1.3187534153652909E-4</v>
      </c>
      <c r="S9" s="15">
        <f>IFERROR((up_dir!S9/(up_Bv!R9+s_MLF_pear)),".")</f>
        <v>1.3187534153652909E-4</v>
      </c>
      <c r="T9" s="15">
        <f>IFERROR((up_dir!T9/(up_Bv!S9+s_MLF_peas)),".")</f>
        <v>1.3187534153652909E-4</v>
      </c>
      <c r="U9" s="15">
        <f>IFERROR((up_dir!U9/(up_Bv!T9+s_MLF_peppers)),".")</f>
        <v>1.3187534153652909E-4</v>
      </c>
      <c r="V9" s="15">
        <f>IFERROR((up_dir!V9/(up_Bv!U9+s_MLF_potato)),".")</f>
        <v>1.3187534153652909E-4</v>
      </c>
      <c r="W9" s="15">
        <f>IFERROR((up_dir!W9/(up_Bv!V9+s_MLF_pumpkin)),".")</f>
        <v>1.3187534153652909E-4</v>
      </c>
      <c r="X9" s="15">
        <f>IFERROR((up_dir!X9/(up_Bv!W9+s_MLF_snap_bean)),".")</f>
        <v>1.3187534153652909E-4</v>
      </c>
      <c r="Y9" s="15">
        <f>IFERROR((up_dir!Y9/(up_Bv!X9+s_MLF_strawberry)),".")</f>
        <v>1.3187534153652909E-4</v>
      </c>
      <c r="Z9" s="15">
        <f>IFERROR((up_dir!Z9/(up_Bv!Y9+s_MLF_tomato)),".")</f>
        <v>1.3187534153652909E-4</v>
      </c>
      <c r="AA9" s="15">
        <f>IFERROR((up_dir!AA9/(up_Bv!Z9+s_MLF_rice)),".")</f>
        <v>1.3187534153652909E-4</v>
      </c>
      <c r="AB9" s="15">
        <f>IFERROR((up_dir!AB9/(up_Bv!AA9+s_MLF_cereal)),".")</f>
        <v>1.3187534153652909E-4</v>
      </c>
      <c r="AC9" s="40">
        <f t="shared" si="0"/>
        <v>151658.375</v>
      </c>
      <c r="AD9" s="40">
        <f>s_C*(up_Bv!C9+s_MLF_apple)*s_IFAP_res_adj*s_CF_apple</f>
        <v>37914.59375</v>
      </c>
      <c r="AE9" s="40">
        <f>s_C*(up_Bv!D9+s_MLF_asparagus)*s_IFAS_res_adj*s_CF_asparagus</f>
        <v>37914.59375</v>
      </c>
      <c r="AF9" s="40">
        <f>s_C*(up_Bv!E9+s_MLF_beet)*s_IFBT_res_adj*s_CF_beet</f>
        <v>37914.59375</v>
      </c>
      <c r="AG9" s="40">
        <f>s_C*(up_Bv!F9+s_MLF_berries)*s_IFBE_res_adj*s_CF_berries</f>
        <v>37914.59375</v>
      </c>
      <c r="AH9" s="40">
        <f>s_C*(up_Bv!G9+s_MLF_broccoli)*s_IFBR_res_adj*s_CF_broccoli</f>
        <v>37914.59375</v>
      </c>
      <c r="AI9" s="40">
        <f>s_C*(up_Bv!H9+s_MLF_cabbage)*s_IFCB_res_adj*s_CF_cabbage</f>
        <v>37914.59375</v>
      </c>
      <c r="AJ9" s="40">
        <f>s_C*(up_Bv!I9+s_MLF_carrot)*s_IFCR_res_adj*s_CF_carrot</f>
        <v>37914.59375</v>
      </c>
      <c r="AK9" s="40">
        <f>s_C*(up_Bv!J9+s_MLF_citrus)*s_IFCI_res_adj*s_CF_citrus</f>
        <v>37914.59375</v>
      </c>
      <c r="AL9" s="40">
        <f>s_C*(up_Bv!K9+s_MLF_corn)*s_IFCO_res_adj*s_CF_corn</f>
        <v>37914.59375</v>
      </c>
      <c r="AM9" s="40">
        <f>s_C*(up_Bv!L9+s_MLF_cucumber)*s_IFCU_res_adj*s_CF_cucumber</f>
        <v>37914.59375</v>
      </c>
      <c r="AN9" s="40">
        <f>s_C*(up_Bv!M9+s_MLF_lettuce)*s_IFLE_res_adj*s_CF_lettuce</f>
        <v>37914.59375</v>
      </c>
      <c r="AO9" s="40">
        <f>s_C*(up_Bv!N9+s_MLF_lima_bean)*s_IFLI_res_adj*s_CF_lima_bean</f>
        <v>37914.59375</v>
      </c>
      <c r="AP9" s="40">
        <f>s_C*(up_Bv!O9+s_MLF_okra)*s_IFOK_res_adj*s_CF_okra</f>
        <v>37914.59375</v>
      </c>
      <c r="AQ9" s="40">
        <f>s_C*(up_Bv!P9+s_MLF_onion)*s_IFON_res_adj*s_CF_onion</f>
        <v>37914.59375</v>
      </c>
      <c r="AR9" s="40">
        <f>s_C*(up_Bv!Q9+s_MLF_peach)*s_IFPC_res_adj*s_CF_peach</f>
        <v>37914.59375</v>
      </c>
      <c r="AS9" s="40">
        <f>s_C*(up_Bv!R9+s_MLF_pear)*s_IFPR_res_adj*s_CF_pear</f>
        <v>37914.59375</v>
      </c>
      <c r="AT9" s="40">
        <f>s_C*(up_Bv!S9+s_MLF_peas)*s_IFPE_res_adj*s_CF_peas</f>
        <v>37914.59375</v>
      </c>
      <c r="AU9" s="40">
        <f>s_C*(up_Bv!T9+s_MLF_peppers)*s_IFPP_res_adj*s_CF_peppers</f>
        <v>37914.59375</v>
      </c>
      <c r="AV9" s="40">
        <f>s_C*(up_Bv!U9+s_MLF_potato)*s_IFPT_res_adj*s_CF_potato</f>
        <v>37914.59375</v>
      </c>
      <c r="AW9" s="40">
        <f>s_C*(up_Bv!V9+s_MLF_pumpkin)*s_IFPU_res_adj*s_CF_pumpkin</f>
        <v>37914.59375</v>
      </c>
      <c r="AX9" s="40">
        <f>s_C*(up_Bv!W9+s_MLF_snap_bean)*s_IFSN_res_adj*s_CF_snap_bean</f>
        <v>37914.59375</v>
      </c>
      <c r="AY9" s="40">
        <f>s_C*(up_Bv!X9+s_MLF_strawberry)*s_IFST_res_adj*s_CF_strawberry</f>
        <v>37914.59375</v>
      </c>
      <c r="AZ9" s="40">
        <f>s_C*(up_Bv!Y9+s_MLF_tomato)*s_IFTO_res_adj*s_CF_tomato</f>
        <v>37914.59375</v>
      </c>
      <c r="BA9" s="40">
        <f>s_C*(up_Bv!Z9+s_MLF_rice)*s_IFRI_res_adj*s_CF_rice</f>
        <v>37914.59375</v>
      </c>
      <c r="BB9" s="40">
        <f>s_C*(up_Bv!AA9+s_MLF_cereal)*s_IFCG_res_adj*s_CF_cereal</f>
        <v>37914.59375</v>
      </c>
      <c r="BC9" s="15">
        <f t="shared" si="2"/>
        <v>3.2968835384132272E-5</v>
      </c>
      <c r="BD9" s="15">
        <f>IFERROR((up_dir!AD9/(up_Bv!C9+s_MLF_apple)),".")</f>
        <v>1.3187534153652909E-4</v>
      </c>
      <c r="BE9" s="15">
        <f>IFERROR((up_dir!AE9/(up_Bv!D9+s_MLF_asparagus)),".")</f>
        <v>1.3187534153652909E-4</v>
      </c>
      <c r="BF9" s="15">
        <f>IFERROR((up_dir!AF9/(up_Bv!E9+s_MLF_beet)),".")</f>
        <v>1.3187534153652909E-4</v>
      </c>
      <c r="BG9" s="15">
        <f>IFERROR((up_dir!AG9/(up_Bv!F9+s_MLF_berries)),".")</f>
        <v>1.3187534153652909E-4</v>
      </c>
      <c r="BH9" s="15">
        <f>IFERROR((up_dir!AH9/(up_Bv!G9+s_MLF_broccoli)),".")</f>
        <v>1.3187534153652909E-4</v>
      </c>
      <c r="BI9" s="15">
        <f>IFERROR((up_dir!AI9/(up_Bv!H9+s_MLF_cabbage)),".")</f>
        <v>1.3187534153652909E-4</v>
      </c>
      <c r="BJ9" s="15">
        <f>IFERROR((up_dir!AJ9/(up_Bv!I9+s_MLF_carrot)),".")</f>
        <v>1.3187534153652909E-4</v>
      </c>
      <c r="BK9" s="15">
        <f>IFERROR((up_dir!AK9/(up_Bv!J9+s_MLF_citrus)),".")</f>
        <v>1.3187534153652909E-4</v>
      </c>
      <c r="BL9" s="15">
        <f>IFERROR((up_dir!AL9/(up_Bv!K9+s_MLF_corn)),".")</f>
        <v>1.3187534153652909E-4</v>
      </c>
      <c r="BM9" s="15">
        <f>IFERROR((up_dir!AM9/(up_Bv!L9+s_MLF_cucumber)),".")</f>
        <v>1.3187534153652909E-4</v>
      </c>
      <c r="BN9" s="15">
        <f>IFERROR((up_dir!AN9/(up_Bv!M9+s_MLF_lettuce)),".")</f>
        <v>1.3187534153652909E-4</v>
      </c>
      <c r="BO9" s="15">
        <f>IFERROR((up_dir!AO9/(up_Bv!N9+s_MLF_lima_bean)),".")</f>
        <v>1.3187534153652909E-4</v>
      </c>
      <c r="BP9" s="15">
        <f>IFERROR((up_dir!AP9/(up_Bv!O9+s_MLF_okra)),".")</f>
        <v>1.3187534153652909E-4</v>
      </c>
      <c r="BQ9" s="15">
        <f>IFERROR((up_dir!AQ9/(up_Bv!P9+s_MLF_onion)),".")</f>
        <v>1.3187534153652909E-4</v>
      </c>
      <c r="BR9" s="15">
        <f>IFERROR((up_dir!AR9/(up_Bv!Q9+s_MLF_peach)),".")</f>
        <v>1.3187534153652909E-4</v>
      </c>
      <c r="BS9" s="15">
        <f>IFERROR((up_dir!AS9/(up_Bv!R9+s_MLF_pear)),".")</f>
        <v>1.3187534153652909E-4</v>
      </c>
      <c r="BT9" s="15">
        <f>IFERROR((up_dir!AT9/(up_Bv!S9+s_MLF_peas)),".")</f>
        <v>1.3187534153652909E-4</v>
      </c>
      <c r="BU9" s="15">
        <f>IFERROR((up_dir!AU9/(up_Bv!T9+s_MLF_peppers)),".")</f>
        <v>1.3187534153652909E-4</v>
      </c>
      <c r="BV9" s="15">
        <f>IFERROR((up_dir!AV9/(up_Bv!U9+s_MLF_potato)),".")</f>
        <v>1.3187534153652909E-4</v>
      </c>
      <c r="BW9" s="15">
        <f>IFERROR((up_dir!AW9/(up_Bv!V9+s_MLF_pumpkin)),".")</f>
        <v>1.3187534153652909E-4</v>
      </c>
      <c r="BX9" s="15">
        <f>IFERROR((up_dir!AX9/(up_Bv!W9+s_MLF_snap_bean)),".")</f>
        <v>1.3187534153652909E-4</v>
      </c>
      <c r="BY9" s="15">
        <f>IFERROR((up_dir!AY9/(up_Bv!X9+s_MLF_strawberry)),".")</f>
        <v>1.3187534153652909E-4</v>
      </c>
      <c r="BZ9" s="15">
        <f>IFERROR((up_dir!AZ9/(up_Bv!Y9+s_MLF_tomato)),".")</f>
        <v>1.3187534153652909E-4</v>
      </c>
      <c r="CA9" s="15">
        <f>IFERROR((up_dir!BA9/(up_Bv!Z9+s_MLF_rice)),".")</f>
        <v>1.3187534153652909E-4</v>
      </c>
      <c r="CB9" s="15">
        <f>IFERROR((up_dir!BB9/(up_Bv!AA9+s_MLF_cereal)),".")</f>
        <v>1.3187534153652909E-4</v>
      </c>
      <c r="CC9" s="40">
        <f t="shared" si="3"/>
        <v>151658.375</v>
      </c>
      <c r="CD9" s="40">
        <f>IFERROR(s_C*(up_Bv!C9+s_MLF_apple)*s_IFAP_far_adj*s_CF_apple,".")</f>
        <v>37914.59375</v>
      </c>
      <c r="CE9" s="40">
        <f>IFERROR(s_C*(up_Bv!D9+s_MLF_asparagus)*s_IFAS_far_adj*s_CF_asparagus,".")</f>
        <v>37914.59375</v>
      </c>
      <c r="CF9" s="40">
        <f>IFERROR(s_C*(up_Bv!E9+s_MLF_beet)*s_IFBT_far_adj*s_CF_beet,".")</f>
        <v>37914.59375</v>
      </c>
      <c r="CG9" s="40">
        <f>IFERROR(s_C*(up_Bv!F9+s_MLF_berries)*s_IFBR_far_adj*s_CF_berries,".")</f>
        <v>37914.59375</v>
      </c>
      <c r="CH9" s="40">
        <f>IFERROR(s_C*(up_Bv!G9+s_MLF_broccoli)*s_IFBR_far_adj*s_CF_broccoli,".")</f>
        <v>37914.59375</v>
      </c>
      <c r="CI9" s="40">
        <f>IFERROR(s_C*(up_Bv!H9+s_MLF_cabbage)*s_IFCB_far_adj*s_CF_cabbage,".")</f>
        <v>37914.59375</v>
      </c>
      <c r="CJ9" s="40">
        <f>IFERROR(s_C*(up_Bv!I9+s_MLF_carrot)*s_IFCR_far_adj*s_CF_carrot,".")</f>
        <v>37914.59375</v>
      </c>
      <c r="CK9" s="40">
        <f>IFERROR(s_C*(up_Bv!J9+s_MLF_citrus)*s_IFCI_far_adj*s_CF_citrus,".")</f>
        <v>37914.59375</v>
      </c>
      <c r="CL9" s="40">
        <f>IFERROR(s_C*(up_Bv!K9+s_MLF_corn)*s_IFCO_far_adj*s_CF_corn,".")</f>
        <v>37914.59375</v>
      </c>
      <c r="CM9" s="40">
        <f>IFERROR(s_C*(up_Bv!L9+s_MLF_cucumber)*s_IFCU_far_adj*s_CF_cucumber,".")</f>
        <v>37914.59375</v>
      </c>
      <c r="CN9" s="40">
        <f>IFERROR(s_C*(up_Bv!M9+s_MLF_lettuce)*s_IFLE_far_adj*s_CF_lettuce,".")</f>
        <v>37914.59375</v>
      </c>
      <c r="CO9" s="40">
        <f>IFERROR(s_C*(up_Bv!N9+s_MLF_lima_bean)*s_IFLI_far_adj*s_CF_lima_bean,".")</f>
        <v>37914.59375</v>
      </c>
      <c r="CP9" s="40">
        <f>IFERROR(s_C*(up_Bv!O9+s_MLF_okra)*s_IFOK_far_adj*s_CF_okra,".")</f>
        <v>37914.59375</v>
      </c>
      <c r="CQ9" s="40">
        <f>IFERROR(s_C*(up_Bv!P9+s_MLF_onion)*s_IFON_far_adj*s_CF_onion,".")</f>
        <v>37914.59375</v>
      </c>
      <c r="CR9" s="40">
        <f>IFERROR(s_C*(up_Bv!Q9+s_MLF_peach)*s_IFPC_far_adj*s_CF_peach,".")</f>
        <v>37914.59375</v>
      </c>
      <c r="CS9" s="40">
        <f>IFERROR(s_C*(up_Bv!R9+s_MLF_pear)*s_IFPR_far_adj*s_CF_pear,".")</f>
        <v>37914.59375</v>
      </c>
      <c r="CT9" s="40">
        <f>IFERROR(s_C*(up_Bv!S9+s_MLF_peas)*s_IFPE_far_adj*s_CF_peas,".")</f>
        <v>37914.59375</v>
      </c>
      <c r="CU9" s="40">
        <f>IFERROR(s_C*(up_Bv!T9+s_MLF_peppers)*s_IFPP_far_adj*s_CF_peppers,".")</f>
        <v>37914.59375</v>
      </c>
      <c r="CV9" s="40">
        <f>IFERROR(s_C*(up_Bv!U9+s_MLF_potato)*s_IFPT_far_adj*s_CF_potato,".")</f>
        <v>37914.59375</v>
      </c>
      <c r="CW9" s="40">
        <f>IFERROR(s_C*(up_Bv!V9+s_MLF_pumpkin)*s_IFPU_far_adj*s_CF_pumpkin,".")</f>
        <v>37914.59375</v>
      </c>
      <c r="CX9" s="40">
        <f>IFERROR(s_C*(up_Bv!W9+s_MLF_snap_bean)*s_IFSN_far_adj*s_CF_snap_bean,".")</f>
        <v>37914.59375</v>
      </c>
      <c r="CY9" s="40">
        <f>IFERROR(s_C*(up_Bv!X9+s_MLF_strawberry)*s_IFST_far_adj*s_CF_strawberry,".")</f>
        <v>37914.59375</v>
      </c>
      <c r="CZ9" s="40">
        <f>IFERROR(s_C*(up_Bv!Y9+s_MLF_tomato)*s_IFTO_far_adj*s_CF_tomato,".")</f>
        <v>37914.59375</v>
      </c>
      <c r="DA9" s="40">
        <f>IFERROR(s_C*(up_Bv!Z9+s_MLF_rice)*s_IFRI_far_adj*s_CF_rice,".")</f>
        <v>37914.59375</v>
      </c>
      <c r="DB9" s="40">
        <f>IFERROR(s_C*(up_Bv!AA9+s_MLF_cereal)*s_IFCG_far_adj*s_CF_cereal,".")</f>
        <v>37914.59375</v>
      </c>
    </row>
    <row r="10" spans="1:106" x14ac:dyDescent="0.25">
      <c r="A10" s="46" t="s">
        <v>8</v>
      </c>
      <c r="B10" s="42" t="s">
        <v>335</v>
      </c>
      <c r="C10" s="15">
        <f t="shared" si="1"/>
        <v>3.2968835384132272E-5</v>
      </c>
      <c r="D10" s="15">
        <f>IFERROR((up_dir!D10/(up_Bv!C10+s_MLF_apple)),".")</f>
        <v>1.3187534153652909E-4</v>
      </c>
      <c r="E10" s="15">
        <f>IFERROR((up_dir!E10/(up_Bv!D10+s_MLF_asparagus)),".")</f>
        <v>1.3187534153652909E-4</v>
      </c>
      <c r="F10" s="15">
        <f>IFERROR((up_dir!F10/(up_Bv!E10+s_MLF_beet)),".")</f>
        <v>1.3187534153652909E-4</v>
      </c>
      <c r="G10" s="15">
        <f>IFERROR((up_dir!G10/(up_Bv!F10+s_MLF_berries)),".")</f>
        <v>1.3187534153652909E-4</v>
      </c>
      <c r="H10" s="15">
        <f>IFERROR((up_dir!H10/(up_Bv!G10+s_MLF_broccoli)),".")</f>
        <v>1.3187534153652909E-4</v>
      </c>
      <c r="I10" s="15">
        <f>IFERROR((up_dir!I10/(up_Bv!H10+s_MLF_cabbage)),".")</f>
        <v>1.3187534153652909E-4</v>
      </c>
      <c r="J10" s="15">
        <f>IFERROR((up_dir!J10/(up_Bv!I10+s_MLF_carrot)),".")</f>
        <v>1.3187534153652909E-4</v>
      </c>
      <c r="K10" s="15">
        <f>IFERROR((up_dir!K10/(up_Bv!J10+s_MLF_citrus)),".")</f>
        <v>1.3187534153652909E-4</v>
      </c>
      <c r="L10" s="15">
        <f>IFERROR((up_dir!L10/(up_Bv!K10+s_MLF_corn)),".")</f>
        <v>1.3187534153652909E-4</v>
      </c>
      <c r="M10" s="15">
        <f>IFERROR((up_dir!M10/(up_Bv!L10+s_MLF_cucumber)),".")</f>
        <v>1.3187534153652909E-4</v>
      </c>
      <c r="N10" s="15">
        <f>IFERROR((up_dir!N10/(up_Bv!M10+s_MLF_lettuce)),".")</f>
        <v>1.3187534153652909E-4</v>
      </c>
      <c r="O10" s="15">
        <f>IFERROR((up_dir!O10/(up_Bv!N10+s_MLF_lima_bean)),".")</f>
        <v>1.3187534153652909E-4</v>
      </c>
      <c r="P10" s="15">
        <f>IFERROR((up_dir!P10/(up_Bv!O10+s_MLF_okra)),".")</f>
        <v>1.3187534153652909E-4</v>
      </c>
      <c r="Q10" s="15">
        <f>IFERROR((up_dir!Q10/(up_Bv!P10+s_MLF_onion)),".")</f>
        <v>1.3187534153652909E-4</v>
      </c>
      <c r="R10" s="15">
        <f>IFERROR((up_dir!R10/(up_Bv!Q10+s_MLF_peach)),".")</f>
        <v>1.3187534153652909E-4</v>
      </c>
      <c r="S10" s="15">
        <f>IFERROR((up_dir!S10/(up_Bv!R10+s_MLF_pear)),".")</f>
        <v>1.3187534153652909E-4</v>
      </c>
      <c r="T10" s="15">
        <f>IFERROR((up_dir!T10/(up_Bv!S10+s_MLF_peas)),".")</f>
        <v>1.3187534153652909E-4</v>
      </c>
      <c r="U10" s="15">
        <f>IFERROR((up_dir!U10/(up_Bv!T10+s_MLF_peppers)),".")</f>
        <v>1.3187534153652909E-4</v>
      </c>
      <c r="V10" s="15">
        <f>IFERROR((up_dir!V10/(up_Bv!U10+s_MLF_potato)),".")</f>
        <v>1.3187534153652909E-4</v>
      </c>
      <c r="W10" s="15">
        <f>IFERROR((up_dir!W10/(up_Bv!V10+s_MLF_pumpkin)),".")</f>
        <v>1.3187534153652909E-4</v>
      </c>
      <c r="X10" s="15">
        <f>IFERROR((up_dir!X10/(up_Bv!W10+s_MLF_snap_bean)),".")</f>
        <v>1.3187534153652909E-4</v>
      </c>
      <c r="Y10" s="15">
        <f>IFERROR((up_dir!Y10/(up_Bv!X10+s_MLF_strawberry)),".")</f>
        <v>1.3187534153652909E-4</v>
      </c>
      <c r="Z10" s="15">
        <f>IFERROR((up_dir!Z10/(up_Bv!Y10+s_MLF_tomato)),".")</f>
        <v>1.3187534153652909E-4</v>
      </c>
      <c r="AA10" s="15">
        <f>IFERROR((up_dir!AA10/(up_Bv!Z10+s_MLF_rice)),".")</f>
        <v>1.3187534153652909E-4</v>
      </c>
      <c r="AB10" s="15">
        <f>IFERROR((up_dir!AB10/(up_Bv!AA10+s_MLF_cereal)),".")</f>
        <v>1.3187534153652909E-4</v>
      </c>
      <c r="AC10" s="40">
        <f t="shared" si="0"/>
        <v>151658.375</v>
      </c>
      <c r="AD10" s="40">
        <f>s_C*(up_Bv!C10+s_MLF_apple)*s_IFAP_res_adj*s_CF_apple</f>
        <v>37914.59375</v>
      </c>
      <c r="AE10" s="40">
        <f>s_C*(up_Bv!D10+s_MLF_asparagus)*s_IFAS_res_adj*s_CF_asparagus</f>
        <v>37914.59375</v>
      </c>
      <c r="AF10" s="40">
        <f>s_C*(up_Bv!E10+s_MLF_beet)*s_IFBT_res_adj*s_CF_beet</f>
        <v>37914.59375</v>
      </c>
      <c r="AG10" s="40">
        <f>s_C*(up_Bv!F10+s_MLF_berries)*s_IFBE_res_adj*s_CF_berries</f>
        <v>37914.59375</v>
      </c>
      <c r="AH10" s="40">
        <f>s_C*(up_Bv!G10+s_MLF_broccoli)*s_IFBR_res_adj*s_CF_broccoli</f>
        <v>37914.59375</v>
      </c>
      <c r="AI10" s="40">
        <f>s_C*(up_Bv!H10+s_MLF_cabbage)*s_IFCB_res_adj*s_CF_cabbage</f>
        <v>37914.59375</v>
      </c>
      <c r="AJ10" s="40">
        <f>s_C*(up_Bv!I10+s_MLF_carrot)*s_IFCR_res_adj*s_CF_carrot</f>
        <v>37914.59375</v>
      </c>
      <c r="AK10" s="40">
        <f>s_C*(up_Bv!J10+s_MLF_citrus)*s_IFCI_res_adj*s_CF_citrus</f>
        <v>37914.59375</v>
      </c>
      <c r="AL10" s="40">
        <f>s_C*(up_Bv!K10+s_MLF_corn)*s_IFCO_res_adj*s_CF_corn</f>
        <v>37914.59375</v>
      </c>
      <c r="AM10" s="40">
        <f>s_C*(up_Bv!L10+s_MLF_cucumber)*s_IFCU_res_adj*s_CF_cucumber</f>
        <v>37914.59375</v>
      </c>
      <c r="AN10" s="40">
        <f>s_C*(up_Bv!M10+s_MLF_lettuce)*s_IFLE_res_adj*s_CF_lettuce</f>
        <v>37914.59375</v>
      </c>
      <c r="AO10" s="40">
        <f>s_C*(up_Bv!N10+s_MLF_lima_bean)*s_IFLI_res_adj*s_CF_lima_bean</f>
        <v>37914.59375</v>
      </c>
      <c r="AP10" s="40">
        <f>s_C*(up_Bv!O10+s_MLF_okra)*s_IFOK_res_adj*s_CF_okra</f>
        <v>37914.59375</v>
      </c>
      <c r="AQ10" s="40">
        <f>s_C*(up_Bv!P10+s_MLF_onion)*s_IFON_res_adj*s_CF_onion</f>
        <v>37914.59375</v>
      </c>
      <c r="AR10" s="40">
        <f>s_C*(up_Bv!Q10+s_MLF_peach)*s_IFPC_res_adj*s_CF_peach</f>
        <v>37914.59375</v>
      </c>
      <c r="AS10" s="40">
        <f>s_C*(up_Bv!R10+s_MLF_pear)*s_IFPR_res_adj*s_CF_pear</f>
        <v>37914.59375</v>
      </c>
      <c r="AT10" s="40">
        <f>s_C*(up_Bv!S10+s_MLF_peas)*s_IFPE_res_adj*s_CF_peas</f>
        <v>37914.59375</v>
      </c>
      <c r="AU10" s="40">
        <f>s_C*(up_Bv!T10+s_MLF_peppers)*s_IFPP_res_adj*s_CF_peppers</f>
        <v>37914.59375</v>
      </c>
      <c r="AV10" s="40">
        <f>s_C*(up_Bv!U10+s_MLF_potato)*s_IFPT_res_adj*s_CF_potato</f>
        <v>37914.59375</v>
      </c>
      <c r="AW10" s="40">
        <f>s_C*(up_Bv!V10+s_MLF_pumpkin)*s_IFPU_res_adj*s_CF_pumpkin</f>
        <v>37914.59375</v>
      </c>
      <c r="AX10" s="40">
        <f>s_C*(up_Bv!W10+s_MLF_snap_bean)*s_IFSN_res_adj*s_CF_snap_bean</f>
        <v>37914.59375</v>
      </c>
      <c r="AY10" s="40">
        <f>s_C*(up_Bv!X10+s_MLF_strawberry)*s_IFST_res_adj*s_CF_strawberry</f>
        <v>37914.59375</v>
      </c>
      <c r="AZ10" s="40">
        <f>s_C*(up_Bv!Y10+s_MLF_tomato)*s_IFTO_res_adj*s_CF_tomato</f>
        <v>37914.59375</v>
      </c>
      <c r="BA10" s="40">
        <f>s_C*(up_Bv!Z10+s_MLF_rice)*s_IFRI_res_adj*s_CF_rice</f>
        <v>37914.59375</v>
      </c>
      <c r="BB10" s="40">
        <f>s_C*(up_Bv!AA10+s_MLF_cereal)*s_IFCG_res_adj*s_CF_cereal</f>
        <v>37914.59375</v>
      </c>
      <c r="BC10" s="15">
        <f t="shared" si="2"/>
        <v>3.2968835384132272E-5</v>
      </c>
      <c r="BD10" s="15">
        <f>IFERROR((up_dir!AD10/(up_Bv!C10+s_MLF_apple)),".")</f>
        <v>1.3187534153652909E-4</v>
      </c>
      <c r="BE10" s="15">
        <f>IFERROR((up_dir!AE10/(up_Bv!D10+s_MLF_asparagus)),".")</f>
        <v>1.3187534153652909E-4</v>
      </c>
      <c r="BF10" s="15">
        <f>IFERROR((up_dir!AF10/(up_Bv!E10+s_MLF_beet)),".")</f>
        <v>1.3187534153652909E-4</v>
      </c>
      <c r="BG10" s="15">
        <f>IFERROR((up_dir!AG10/(up_Bv!F10+s_MLF_berries)),".")</f>
        <v>1.3187534153652909E-4</v>
      </c>
      <c r="BH10" s="15">
        <f>IFERROR((up_dir!AH10/(up_Bv!G10+s_MLF_broccoli)),".")</f>
        <v>1.3187534153652909E-4</v>
      </c>
      <c r="BI10" s="15">
        <f>IFERROR((up_dir!AI10/(up_Bv!H10+s_MLF_cabbage)),".")</f>
        <v>1.3187534153652909E-4</v>
      </c>
      <c r="BJ10" s="15">
        <f>IFERROR((up_dir!AJ10/(up_Bv!I10+s_MLF_carrot)),".")</f>
        <v>1.3187534153652909E-4</v>
      </c>
      <c r="BK10" s="15">
        <f>IFERROR((up_dir!AK10/(up_Bv!J10+s_MLF_citrus)),".")</f>
        <v>1.3187534153652909E-4</v>
      </c>
      <c r="BL10" s="15">
        <f>IFERROR((up_dir!AL10/(up_Bv!K10+s_MLF_corn)),".")</f>
        <v>1.3187534153652909E-4</v>
      </c>
      <c r="BM10" s="15">
        <f>IFERROR((up_dir!AM10/(up_Bv!L10+s_MLF_cucumber)),".")</f>
        <v>1.3187534153652909E-4</v>
      </c>
      <c r="BN10" s="15">
        <f>IFERROR((up_dir!AN10/(up_Bv!M10+s_MLF_lettuce)),".")</f>
        <v>1.3187534153652909E-4</v>
      </c>
      <c r="BO10" s="15">
        <f>IFERROR((up_dir!AO10/(up_Bv!N10+s_MLF_lima_bean)),".")</f>
        <v>1.3187534153652909E-4</v>
      </c>
      <c r="BP10" s="15">
        <f>IFERROR((up_dir!AP10/(up_Bv!O10+s_MLF_okra)),".")</f>
        <v>1.3187534153652909E-4</v>
      </c>
      <c r="BQ10" s="15">
        <f>IFERROR((up_dir!AQ10/(up_Bv!P10+s_MLF_onion)),".")</f>
        <v>1.3187534153652909E-4</v>
      </c>
      <c r="BR10" s="15">
        <f>IFERROR((up_dir!AR10/(up_Bv!Q10+s_MLF_peach)),".")</f>
        <v>1.3187534153652909E-4</v>
      </c>
      <c r="BS10" s="15">
        <f>IFERROR((up_dir!AS10/(up_Bv!R10+s_MLF_pear)),".")</f>
        <v>1.3187534153652909E-4</v>
      </c>
      <c r="BT10" s="15">
        <f>IFERROR((up_dir!AT10/(up_Bv!S10+s_MLF_peas)),".")</f>
        <v>1.3187534153652909E-4</v>
      </c>
      <c r="BU10" s="15">
        <f>IFERROR((up_dir!AU10/(up_Bv!T10+s_MLF_peppers)),".")</f>
        <v>1.3187534153652909E-4</v>
      </c>
      <c r="BV10" s="15">
        <f>IFERROR((up_dir!AV10/(up_Bv!U10+s_MLF_potato)),".")</f>
        <v>1.3187534153652909E-4</v>
      </c>
      <c r="BW10" s="15">
        <f>IFERROR((up_dir!AW10/(up_Bv!V10+s_MLF_pumpkin)),".")</f>
        <v>1.3187534153652909E-4</v>
      </c>
      <c r="BX10" s="15">
        <f>IFERROR((up_dir!AX10/(up_Bv!W10+s_MLF_snap_bean)),".")</f>
        <v>1.3187534153652909E-4</v>
      </c>
      <c r="BY10" s="15">
        <f>IFERROR((up_dir!AY10/(up_Bv!X10+s_MLF_strawberry)),".")</f>
        <v>1.3187534153652909E-4</v>
      </c>
      <c r="BZ10" s="15">
        <f>IFERROR((up_dir!AZ10/(up_Bv!Y10+s_MLF_tomato)),".")</f>
        <v>1.3187534153652909E-4</v>
      </c>
      <c r="CA10" s="15">
        <f>IFERROR((up_dir!BA10/(up_Bv!Z10+s_MLF_rice)),".")</f>
        <v>1.3187534153652909E-4</v>
      </c>
      <c r="CB10" s="15">
        <f>IFERROR((up_dir!BB10/(up_Bv!AA10+s_MLF_cereal)),".")</f>
        <v>1.3187534153652909E-4</v>
      </c>
      <c r="CC10" s="40">
        <f t="shared" si="3"/>
        <v>151658.375</v>
      </c>
      <c r="CD10" s="40">
        <f>IFERROR(s_C*(up_Bv!C10+s_MLF_apple)*s_IFAP_far_adj*s_CF_apple,".")</f>
        <v>37914.59375</v>
      </c>
      <c r="CE10" s="40">
        <f>IFERROR(s_C*(up_Bv!D10+s_MLF_asparagus)*s_IFAS_far_adj*s_CF_asparagus,".")</f>
        <v>37914.59375</v>
      </c>
      <c r="CF10" s="40">
        <f>IFERROR(s_C*(up_Bv!E10+s_MLF_beet)*s_IFBT_far_adj*s_CF_beet,".")</f>
        <v>37914.59375</v>
      </c>
      <c r="CG10" s="40">
        <f>IFERROR(s_C*(up_Bv!F10+s_MLF_berries)*s_IFBR_far_adj*s_CF_berries,".")</f>
        <v>37914.59375</v>
      </c>
      <c r="CH10" s="40">
        <f>IFERROR(s_C*(up_Bv!G10+s_MLF_broccoli)*s_IFBR_far_adj*s_CF_broccoli,".")</f>
        <v>37914.59375</v>
      </c>
      <c r="CI10" s="40">
        <f>IFERROR(s_C*(up_Bv!H10+s_MLF_cabbage)*s_IFCB_far_adj*s_CF_cabbage,".")</f>
        <v>37914.59375</v>
      </c>
      <c r="CJ10" s="40">
        <f>IFERROR(s_C*(up_Bv!I10+s_MLF_carrot)*s_IFCR_far_adj*s_CF_carrot,".")</f>
        <v>37914.59375</v>
      </c>
      <c r="CK10" s="40">
        <f>IFERROR(s_C*(up_Bv!J10+s_MLF_citrus)*s_IFCI_far_adj*s_CF_citrus,".")</f>
        <v>37914.59375</v>
      </c>
      <c r="CL10" s="40">
        <f>IFERROR(s_C*(up_Bv!K10+s_MLF_corn)*s_IFCO_far_adj*s_CF_corn,".")</f>
        <v>37914.59375</v>
      </c>
      <c r="CM10" s="40">
        <f>IFERROR(s_C*(up_Bv!L10+s_MLF_cucumber)*s_IFCU_far_adj*s_CF_cucumber,".")</f>
        <v>37914.59375</v>
      </c>
      <c r="CN10" s="40">
        <f>IFERROR(s_C*(up_Bv!M10+s_MLF_lettuce)*s_IFLE_far_adj*s_CF_lettuce,".")</f>
        <v>37914.59375</v>
      </c>
      <c r="CO10" s="40">
        <f>IFERROR(s_C*(up_Bv!N10+s_MLF_lima_bean)*s_IFLI_far_adj*s_CF_lima_bean,".")</f>
        <v>37914.59375</v>
      </c>
      <c r="CP10" s="40">
        <f>IFERROR(s_C*(up_Bv!O10+s_MLF_okra)*s_IFOK_far_adj*s_CF_okra,".")</f>
        <v>37914.59375</v>
      </c>
      <c r="CQ10" s="40">
        <f>IFERROR(s_C*(up_Bv!P10+s_MLF_onion)*s_IFON_far_adj*s_CF_onion,".")</f>
        <v>37914.59375</v>
      </c>
      <c r="CR10" s="40">
        <f>IFERROR(s_C*(up_Bv!Q10+s_MLF_peach)*s_IFPC_far_adj*s_CF_peach,".")</f>
        <v>37914.59375</v>
      </c>
      <c r="CS10" s="40">
        <f>IFERROR(s_C*(up_Bv!R10+s_MLF_pear)*s_IFPR_far_adj*s_CF_pear,".")</f>
        <v>37914.59375</v>
      </c>
      <c r="CT10" s="40">
        <f>IFERROR(s_C*(up_Bv!S10+s_MLF_peas)*s_IFPE_far_adj*s_CF_peas,".")</f>
        <v>37914.59375</v>
      </c>
      <c r="CU10" s="40">
        <f>IFERROR(s_C*(up_Bv!T10+s_MLF_peppers)*s_IFPP_far_adj*s_CF_peppers,".")</f>
        <v>37914.59375</v>
      </c>
      <c r="CV10" s="40">
        <f>IFERROR(s_C*(up_Bv!U10+s_MLF_potato)*s_IFPT_far_adj*s_CF_potato,".")</f>
        <v>37914.59375</v>
      </c>
      <c r="CW10" s="40">
        <f>IFERROR(s_C*(up_Bv!V10+s_MLF_pumpkin)*s_IFPU_far_adj*s_CF_pumpkin,".")</f>
        <v>37914.59375</v>
      </c>
      <c r="CX10" s="40">
        <f>IFERROR(s_C*(up_Bv!W10+s_MLF_snap_bean)*s_IFSN_far_adj*s_CF_snap_bean,".")</f>
        <v>37914.59375</v>
      </c>
      <c r="CY10" s="40">
        <f>IFERROR(s_C*(up_Bv!X10+s_MLF_strawberry)*s_IFST_far_adj*s_CF_strawberry,".")</f>
        <v>37914.59375</v>
      </c>
      <c r="CZ10" s="40">
        <f>IFERROR(s_C*(up_Bv!Y10+s_MLF_tomato)*s_IFTO_far_adj*s_CF_tomato,".")</f>
        <v>37914.59375</v>
      </c>
      <c r="DA10" s="40">
        <f>IFERROR(s_C*(up_Bv!Z10+s_MLF_rice)*s_IFRI_far_adj*s_CF_rice,".")</f>
        <v>37914.59375</v>
      </c>
      <c r="DB10" s="40">
        <f>IFERROR(s_C*(up_Bv!AA10+s_MLF_cereal)*s_IFCG_far_adj*s_CF_cereal,".")</f>
        <v>37914.59375</v>
      </c>
    </row>
    <row r="11" spans="1:106" ht="15" customHeight="1" x14ac:dyDescent="0.25">
      <c r="A11" s="44" t="s">
        <v>9</v>
      </c>
      <c r="B11" s="42" t="s">
        <v>1057</v>
      </c>
      <c r="C11" s="15">
        <f t="shared" si="1"/>
        <v>3.2968835384132272E-5</v>
      </c>
      <c r="D11" s="15">
        <f>IFERROR((up_dir!D11/(up_Bv!C11+s_MLF_apple)),".")</f>
        <v>1.3187534153652909E-4</v>
      </c>
      <c r="E11" s="15">
        <f>IFERROR((up_dir!E11/(up_Bv!D11+s_MLF_asparagus)),".")</f>
        <v>1.3187534153652909E-4</v>
      </c>
      <c r="F11" s="15">
        <f>IFERROR((up_dir!F11/(up_Bv!E11+s_MLF_beet)),".")</f>
        <v>1.3187534153652909E-4</v>
      </c>
      <c r="G11" s="15">
        <f>IFERROR((up_dir!G11/(up_Bv!F11+s_MLF_berries)),".")</f>
        <v>1.3187534153652909E-4</v>
      </c>
      <c r="H11" s="15">
        <f>IFERROR((up_dir!H11/(up_Bv!G11+s_MLF_broccoli)),".")</f>
        <v>1.3187534153652909E-4</v>
      </c>
      <c r="I11" s="15">
        <f>IFERROR((up_dir!I11/(up_Bv!H11+s_MLF_cabbage)),".")</f>
        <v>1.3187534153652909E-4</v>
      </c>
      <c r="J11" s="15">
        <f>IFERROR((up_dir!J11/(up_Bv!I11+s_MLF_carrot)),".")</f>
        <v>1.3187534153652909E-4</v>
      </c>
      <c r="K11" s="15">
        <f>IFERROR((up_dir!K11/(up_Bv!J11+s_MLF_citrus)),".")</f>
        <v>1.3187534153652909E-4</v>
      </c>
      <c r="L11" s="15">
        <f>IFERROR((up_dir!L11/(up_Bv!K11+s_MLF_corn)),".")</f>
        <v>1.3187534153652909E-4</v>
      </c>
      <c r="M11" s="15">
        <f>IFERROR((up_dir!M11/(up_Bv!L11+s_MLF_cucumber)),".")</f>
        <v>1.3187534153652909E-4</v>
      </c>
      <c r="N11" s="15">
        <f>IFERROR((up_dir!N11/(up_Bv!M11+s_MLF_lettuce)),".")</f>
        <v>1.3187534153652909E-4</v>
      </c>
      <c r="O11" s="15">
        <f>IFERROR((up_dir!O11/(up_Bv!N11+s_MLF_lima_bean)),".")</f>
        <v>1.3187534153652909E-4</v>
      </c>
      <c r="P11" s="15">
        <f>IFERROR((up_dir!P11/(up_Bv!O11+s_MLF_okra)),".")</f>
        <v>1.3187534153652909E-4</v>
      </c>
      <c r="Q11" s="15">
        <f>IFERROR((up_dir!Q11/(up_Bv!P11+s_MLF_onion)),".")</f>
        <v>1.3187534153652909E-4</v>
      </c>
      <c r="R11" s="15">
        <f>IFERROR((up_dir!R11/(up_Bv!Q11+s_MLF_peach)),".")</f>
        <v>1.3187534153652909E-4</v>
      </c>
      <c r="S11" s="15">
        <f>IFERROR((up_dir!S11/(up_Bv!R11+s_MLF_pear)),".")</f>
        <v>1.3187534153652909E-4</v>
      </c>
      <c r="T11" s="15">
        <f>IFERROR((up_dir!T11/(up_Bv!S11+s_MLF_peas)),".")</f>
        <v>1.3187534153652909E-4</v>
      </c>
      <c r="U11" s="15">
        <f>IFERROR((up_dir!U11/(up_Bv!T11+s_MLF_peppers)),".")</f>
        <v>1.3187534153652909E-4</v>
      </c>
      <c r="V11" s="15">
        <f>IFERROR((up_dir!V11/(up_Bv!U11+s_MLF_potato)),".")</f>
        <v>1.3187534153652909E-4</v>
      </c>
      <c r="W11" s="15">
        <f>IFERROR((up_dir!W11/(up_Bv!V11+s_MLF_pumpkin)),".")</f>
        <v>1.3187534153652909E-4</v>
      </c>
      <c r="X11" s="15">
        <f>IFERROR((up_dir!X11/(up_Bv!W11+s_MLF_snap_bean)),".")</f>
        <v>1.3187534153652909E-4</v>
      </c>
      <c r="Y11" s="15">
        <f>IFERROR((up_dir!Y11/(up_Bv!X11+s_MLF_strawberry)),".")</f>
        <v>1.3187534153652909E-4</v>
      </c>
      <c r="Z11" s="15">
        <f>IFERROR((up_dir!Z11/(up_Bv!Y11+s_MLF_tomato)),".")</f>
        <v>1.3187534153652909E-4</v>
      </c>
      <c r="AA11" s="15">
        <f>IFERROR((up_dir!AA11/(up_Bv!Z11+s_MLF_rice)),".")</f>
        <v>1.3187534153652909E-4</v>
      </c>
      <c r="AB11" s="15">
        <f>IFERROR((up_dir!AB11/(up_Bv!AA11+s_MLF_cereal)),".")</f>
        <v>1.3187534153652909E-4</v>
      </c>
      <c r="AC11" s="40">
        <f t="shared" si="0"/>
        <v>151658.375</v>
      </c>
      <c r="AD11" s="40">
        <f>s_C*(up_Bv!C11+s_MLF_apple)*s_IFAP_res_adj*s_CF_apple</f>
        <v>37914.59375</v>
      </c>
      <c r="AE11" s="40">
        <f>s_C*(up_Bv!D11+s_MLF_asparagus)*s_IFAS_res_adj*s_CF_asparagus</f>
        <v>37914.59375</v>
      </c>
      <c r="AF11" s="40">
        <f>s_C*(up_Bv!E11+s_MLF_beet)*s_IFBT_res_adj*s_CF_beet</f>
        <v>37914.59375</v>
      </c>
      <c r="AG11" s="40">
        <f>s_C*(up_Bv!F11+s_MLF_berries)*s_IFBE_res_adj*s_CF_berries</f>
        <v>37914.59375</v>
      </c>
      <c r="AH11" s="40">
        <f>s_C*(up_Bv!G11+s_MLF_broccoli)*s_IFBR_res_adj*s_CF_broccoli</f>
        <v>37914.59375</v>
      </c>
      <c r="AI11" s="40">
        <f>s_C*(up_Bv!H11+s_MLF_cabbage)*s_IFCB_res_adj*s_CF_cabbage</f>
        <v>37914.59375</v>
      </c>
      <c r="AJ11" s="40">
        <f>s_C*(up_Bv!I11+s_MLF_carrot)*s_IFCR_res_adj*s_CF_carrot</f>
        <v>37914.59375</v>
      </c>
      <c r="AK11" s="40">
        <f>s_C*(up_Bv!J11+s_MLF_citrus)*s_IFCI_res_adj*s_CF_citrus</f>
        <v>37914.59375</v>
      </c>
      <c r="AL11" s="40">
        <f>s_C*(up_Bv!K11+s_MLF_corn)*s_IFCO_res_adj*s_CF_corn</f>
        <v>37914.59375</v>
      </c>
      <c r="AM11" s="40">
        <f>s_C*(up_Bv!L11+s_MLF_cucumber)*s_IFCU_res_adj*s_CF_cucumber</f>
        <v>37914.59375</v>
      </c>
      <c r="AN11" s="40">
        <f>s_C*(up_Bv!M11+s_MLF_lettuce)*s_IFLE_res_adj*s_CF_lettuce</f>
        <v>37914.59375</v>
      </c>
      <c r="AO11" s="40">
        <f>s_C*(up_Bv!N11+s_MLF_lima_bean)*s_IFLI_res_adj*s_CF_lima_bean</f>
        <v>37914.59375</v>
      </c>
      <c r="AP11" s="40">
        <f>s_C*(up_Bv!O11+s_MLF_okra)*s_IFOK_res_adj*s_CF_okra</f>
        <v>37914.59375</v>
      </c>
      <c r="AQ11" s="40">
        <f>s_C*(up_Bv!P11+s_MLF_onion)*s_IFON_res_adj*s_CF_onion</f>
        <v>37914.59375</v>
      </c>
      <c r="AR11" s="40">
        <f>s_C*(up_Bv!Q11+s_MLF_peach)*s_IFPC_res_adj*s_CF_peach</f>
        <v>37914.59375</v>
      </c>
      <c r="AS11" s="40">
        <f>s_C*(up_Bv!R11+s_MLF_pear)*s_IFPR_res_adj*s_CF_pear</f>
        <v>37914.59375</v>
      </c>
      <c r="AT11" s="40">
        <f>s_C*(up_Bv!S11+s_MLF_peas)*s_IFPE_res_adj*s_CF_peas</f>
        <v>37914.59375</v>
      </c>
      <c r="AU11" s="40">
        <f>s_C*(up_Bv!T11+s_MLF_peppers)*s_IFPP_res_adj*s_CF_peppers</f>
        <v>37914.59375</v>
      </c>
      <c r="AV11" s="40">
        <f>s_C*(up_Bv!U11+s_MLF_potato)*s_IFPT_res_adj*s_CF_potato</f>
        <v>37914.59375</v>
      </c>
      <c r="AW11" s="40">
        <f>s_C*(up_Bv!V11+s_MLF_pumpkin)*s_IFPU_res_adj*s_CF_pumpkin</f>
        <v>37914.59375</v>
      </c>
      <c r="AX11" s="40">
        <f>s_C*(up_Bv!W11+s_MLF_snap_bean)*s_IFSN_res_adj*s_CF_snap_bean</f>
        <v>37914.59375</v>
      </c>
      <c r="AY11" s="40">
        <f>s_C*(up_Bv!X11+s_MLF_strawberry)*s_IFST_res_adj*s_CF_strawberry</f>
        <v>37914.59375</v>
      </c>
      <c r="AZ11" s="40">
        <f>s_C*(up_Bv!Y11+s_MLF_tomato)*s_IFTO_res_adj*s_CF_tomato</f>
        <v>37914.59375</v>
      </c>
      <c r="BA11" s="40">
        <f>s_C*(up_Bv!Z11+s_MLF_rice)*s_IFRI_res_adj*s_CF_rice</f>
        <v>37914.59375</v>
      </c>
      <c r="BB11" s="40">
        <f>s_C*(up_Bv!AA11+s_MLF_cereal)*s_IFCG_res_adj*s_CF_cereal</f>
        <v>37914.59375</v>
      </c>
      <c r="BC11" s="15">
        <f t="shared" si="2"/>
        <v>3.2968835384132272E-5</v>
      </c>
      <c r="BD11" s="15">
        <f>IFERROR((up_dir!AD11/(up_Bv!C11+s_MLF_apple)),".")</f>
        <v>1.3187534153652909E-4</v>
      </c>
      <c r="BE11" s="15">
        <f>IFERROR((up_dir!AE11/(up_Bv!D11+s_MLF_asparagus)),".")</f>
        <v>1.3187534153652909E-4</v>
      </c>
      <c r="BF11" s="15">
        <f>IFERROR((up_dir!AF11/(up_Bv!E11+s_MLF_beet)),".")</f>
        <v>1.3187534153652909E-4</v>
      </c>
      <c r="BG11" s="15">
        <f>IFERROR((up_dir!AG11/(up_Bv!F11+s_MLF_berries)),".")</f>
        <v>1.3187534153652909E-4</v>
      </c>
      <c r="BH11" s="15">
        <f>IFERROR((up_dir!AH11/(up_Bv!G11+s_MLF_broccoli)),".")</f>
        <v>1.3187534153652909E-4</v>
      </c>
      <c r="BI11" s="15">
        <f>IFERROR((up_dir!AI11/(up_Bv!H11+s_MLF_cabbage)),".")</f>
        <v>1.3187534153652909E-4</v>
      </c>
      <c r="BJ11" s="15">
        <f>IFERROR((up_dir!AJ11/(up_Bv!I11+s_MLF_carrot)),".")</f>
        <v>1.3187534153652909E-4</v>
      </c>
      <c r="BK11" s="15">
        <f>IFERROR((up_dir!AK11/(up_Bv!J11+s_MLF_citrus)),".")</f>
        <v>1.3187534153652909E-4</v>
      </c>
      <c r="BL11" s="15">
        <f>IFERROR((up_dir!AL11/(up_Bv!K11+s_MLF_corn)),".")</f>
        <v>1.3187534153652909E-4</v>
      </c>
      <c r="BM11" s="15">
        <f>IFERROR((up_dir!AM11/(up_Bv!L11+s_MLF_cucumber)),".")</f>
        <v>1.3187534153652909E-4</v>
      </c>
      <c r="BN11" s="15">
        <f>IFERROR((up_dir!AN11/(up_Bv!M11+s_MLF_lettuce)),".")</f>
        <v>1.3187534153652909E-4</v>
      </c>
      <c r="BO11" s="15">
        <f>IFERROR((up_dir!AO11/(up_Bv!N11+s_MLF_lima_bean)),".")</f>
        <v>1.3187534153652909E-4</v>
      </c>
      <c r="BP11" s="15">
        <f>IFERROR((up_dir!AP11/(up_Bv!O11+s_MLF_okra)),".")</f>
        <v>1.3187534153652909E-4</v>
      </c>
      <c r="BQ11" s="15">
        <f>IFERROR((up_dir!AQ11/(up_Bv!P11+s_MLF_onion)),".")</f>
        <v>1.3187534153652909E-4</v>
      </c>
      <c r="BR11" s="15">
        <f>IFERROR((up_dir!AR11/(up_Bv!Q11+s_MLF_peach)),".")</f>
        <v>1.3187534153652909E-4</v>
      </c>
      <c r="BS11" s="15">
        <f>IFERROR((up_dir!AS11/(up_Bv!R11+s_MLF_pear)),".")</f>
        <v>1.3187534153652909E-4</v>
      </c>
      <c r="BT11" s="15">
        <f>IFERROR((up_dir!AT11/(up_Bv!S11+s_MLF_peas)),".")</f>
        <v>1.3187534153652909E-4</v>
      </c>
      <c r="BU11" s="15">
        <f>IFERROR((up_dir!AU11/(up_Bv!T11+s_MLF_peppers)),".")</f>
        <v>1.3187534153652909E-4</v>
      </c>
      <c r="BV11" s="15">
        <f>IFERROR((up_dir!AV11/(up_Bv!U11+s_MLF_potato)),".")</f>
        <v>1.3187534153652909E-4</v>
      </c>
      <c r="BW11" s="15">
        <f>IFERROR((up_dir!AW11/(up_Bv!V11+s_MLF_pumpkin)),".")</f>
        <v>1.3187534153652909E-4</v>
      </c>
      <c r="BX11" s="15">
        <f>IFERROR((up_dir!AX11/(up_Bv!W11+s_MLF_snap_bean)),".")</f>
        <v>1.3187534153652909E-4</v>
      </c>
      <c r="BY11" s="15">
        <f>IFERROR((up_dir!AY11/(up_Bv!X11+s_MLF_strawberry)),".")</f>
        <v>1.3187534153652909E-4</v>
      </c>
      <c r="BZ11" s="15">
        <f>IFERROR((up_dir!AZ11/(up_Bv!Y11+s_MLF_tomato)),".")</f>
        <v>1.3187534153652909E-4</v>
      </c>
      <c r="CA11" s="15">
        <f>IFERROR((up_dir!BA11/(up_Bv!Z11+s_MLF_rice)),".")</f>
        <v>1.3187534153652909E-4</v>
      </c>
      <c r="CB11" s="15">
        <f>IFERROR((up_dir!BB11/(up_Bv!AA11+s_MLF_cereal)),".")</f>
        <v>1.3187534153652909E-4</v>
      </c>
      <c r="CC11" s="40">
        <f t="shared" si="3"/>
        <v>151658.375</v>
      </c>
      <c r="CD11" s="40">
        <f>IFERROR(s_C*(up_Bv!C11+s_MLF_apple)*s_IFAP_far_adj*s_CF_apple,".")</f>
        <v>37914.59375</v>
      </c>
      <c r="CE11" s="40">
        <f>IFERROR(s_C*(up_Bv!D11+s_MLF_asparagus)*s_IFAS_far_adj*s_CF_asparagus,".")</f>
        <v>37914.59375</v>
      </c>
      <c r="CF11" s="40">
        <f>IFERROR(s_C*(up_Bv!E11+s_MLF_beet)*s_IFBT_far_adj*s_CF_beet,".")</f>
        <v>37914.59375</v>
      </c>
      <c r="CG11" s="40">
        <f>IFERROR(s_C*(up_Bv!F11+s_MLF_berries)*s_IFBR_far_adj*s_CF_berries,".")</f>
        <v>37914.59375</v>
      </c>
      <c r="CH11" s="40">
        <f>IFERROR(s_C*(up_Bv!G11+s_MLF_broccoli)*s_IFBR_far_adj*s_CF_broccoli,".")</f>
        <v>37914.59375</v>
      </c>
      <c r="CI11" s="40">
        <f>IFERROR(s_C*(up_Bv!H11+s_MLF_cabbage)*s_IFCB_far_adj*s_CF_cabbage,".")</f>
        <v>37914.59375</v>
      </c>
      <c r="CJ11" s="40">
        <f>IFERROR(s_C*(up_Bv!I11+s_MLF_carrot)*s_IFCR_far_adj*s_CF_carrot,".")</f>
        <v>37914.59375</v>
      </c>
      <c r="CK11" s="40">
        <f>IFERROR(s_C*(up_Bv!J11+s_MLF_citrus)*s_IFCI_far_adj*s_CF_citrus,".")</f>
        <v>37914.59375</v>
      </c>
      <c r="CL11" s="40">
        <f>IFERROR(s_C*(up_Bv!K11+s_MLF_corn)*s_IFCO_far_adj*s_CF_corn,".")</f>
        <v>37914.59375</v>
      </c>
      <c r="CM11" s="40">
        <f>IFERROR(s_C*(up_Bv!L11+s_MLF_cucumber)*s_IFCU_far_adj*s_CF_cucumber,".")</f>
        <v>37914.59375</v>
      </c>
      <c r="CN11" s="40">
        <f>IFERROR(s_C*(up_Bv!M11+s_MLF_lettuce)*s_IFLE_far_adj*s_CF_lettuce,".")</f>
        <v>37914.59375</v>
      </c>
      <c r="CO11" s="40">
        <f>IFERROR(s_C*(up_Bv!N11+s_MLF_lima_bean)*s_IFLI_far_adj*s_CF_lima_bean,".")</f>
        <v>37914.59375</v>
      </c>
      <c r="CP11" s="40">
        <f>IFERROR(s_C*(up_Bv!O11+s_MLF_okra)*s_IFOK_far_adj*s_CF_okra,".")</f>
        <v>37914.59375</v>
      </c>
      <c r="CQ11" s="40">
        <f>IFERROR(s_C*(up_Bv!P11+s_MLF_onion)*s_IFON_far_adj*s_CF_onion,".")</f>
        <v>37914.59375</v>
      </c>
      <c r="CR11" s="40">
        <f>IFERROR(s_C*(up_Bv!Q11+s_MLF_peach)*s_IFPC_far_adj*s_CF_peach,".")</f>
        <v>37914.59375</v>
      </c>
      <c r="CS11" s="40">
        <f>IFERROR(s_C*(up_Bv!R11+s_MLF_pear)*s_IFPR_far_adj*s_CF_pear,".")</f>
        <v>37914.59375</v>
      </c>
      <c r="CT11" s="40">
        <f>IFERROR(s_C*(up_Bv!S11+s_MLF_peas)*s_IFPE_far_adj*s_CF_peas,".")</f>
        <v>37914.59375</v>
      </c>
      <c r="CU11" s="40">
        <f>IFERROR(s_C*(up_Bv!T11+s_MLF_peppers)*s_IFPP_far_adj*s_CF_peppers,".")</f>
        <v>37914.59375</v>
      </c>
      <c r="CV11" s="40">
        <f>IFERROR(s_C*(up_Bv!U11+s_MLF_potato)*s_IFPT_far_adj*s_CF_potato,".")</f>
        <v>37914.59375</v>
      </c>
      <c r="CW11" s="40">
        <f>IFERROR(s_C*(up_Bv!V11+s_MLF_pumpkin)*s_IFPU_far_adj*s_CF_pumpkin,".")</f>
        <v>37914.59375</v>
      </c>
      <c r="CX11" s="40">
        <f>IFERROR(s_C*(up_Bv!W11+s_MLF_snap_bean)*s_IFSN_far_adj*s_CF_snap_bean,".")</f>
        <v>37914.59375</v>
      </c>
      <c r="CY11" s="40">
        <f>IFERROR(s_C*(up_Bv!X11+s_MLF_strawberry)*s_IFST_far_adj*s_CF_strawberry,".")</f>
        <v>37914.59375</v>
      </c>
      <c r="CZ11" s="40">
        <f>IFERROR(s_C*(up_Bv!Y11+s_MLF_tomato)*s_IFTO_far_adj*s_CF_tomato,".")</f>
        <v>37914.59375</v>
      </c>
      <c r="DA11" s="40">
        <f>IFERROR(s_C*(up_Bv!Z11+s_MLF_rice)*s_IFRI_far_adj*s_CF_rice,".")</f>
        <v>37914.59375</v>
      </c>
      <c r="DB11" s="40">
        <f>IFERROR(s_C*(up_Bv!AA11+s_MLF_cereal)*s_IFCG_far_adj*s_CF_cereal,".")</f>
        <v>37914.59375</v>
      </c>
    </row>
    <row r="12" spans="1:106" ht="15" customHeight="1" x14ac:dyDescent="0.25">
      <c r="A12" s="44" t="s">
        <v>10</v>
      </c>
      <c r="B12" s="42" t="s">
        <v>1057</v>
      </c>
      <c r="C12" s="15">
        <f t="shared" si="1"/>
        <v>3.2968835384132272E-5</v>
      </c>
      <c r="D12" s="15">
        <f>IFERROR((up_dir!D12/(up_Bv!C12+s_MLF_apple)),".")</f>
        <v>1.3187534153652909E-4</v>
      </c>
      <c r="E12" s="15">
        <f>IFERROR((up_dir!E12/(up_Bv!D12+s_MLF_asparagus)),".")</f>
        <v>1.3187534153652909E-4</v>
      </c>
      <c r="F12" s="15">
        <f>IFERROR((up_dir!F12/(up_Bv!E12+s_MLF_beet)),".")</f>
        <v>1.3187534153652909E-4</v>
      </c>
      <c r="G12" s="15">
        <f>IFERROR((up_dir!G12/(up_Bv!F12+s_MLF_berries)),".")</f>
        <v>1.3187534153652909E-4</v>
      </c>
      <c r="H12" s="15">
        <f>IFERROR((up_dir!H12/(up_Bv!G12+s_MLF_broccoli)),".")</f>
        <v>1.3187534153652909E-4</v>
      </c>
      <c r="I12" s="15">
        <f>IFERROR((up_dir!I12/(up_Bv!H12+s_MLF_cabbage)),".")</f>
        <v>1.3187534153652909E-4</v>
      </c>
      <c r="J12" s="15">
        <f>IFERROR((up_dir!J12/(up_Bv!I12+s_MLF_carrot)),".")</f>
        <v>1.3187534153652909E-4</v>
      </c>
      <c r="K12" s="15">
        <f>IFERROR((up_dir!K12/(up_Bv!J12+s_MLF_citrus)),".")</f>
        <v>1.3187534153652909E-4</v>
      </c>
      <c r="L12" s="15">
        <f>IFERROR((up_dir!L12/(up_Bv!K12+s_MLF_corn)),".")</f>
        <v>1.3187534153652909E-4</v>
      </c>
      <c r="M12" s="15">
        <f>IFERROR((up_dir!M12/(up_Bv!L12+s_MLF_cucumber)),".")</f>
        <v>1.3187534153652909E-4</v>
      </c>
      <c r="N12" s="15">
        <f>IFERROR((up_dir!N12/(up_Bv!M12+s_MLF_lettuce)),".")</f>
        <v>1.3187534153652909E-4</v>
      </c>
      <c r="O12" s="15">
        <f>IFERROR((up_dir!O12/(up_Bv!N12+s_MLF_lima_bean)),".")</f>
        <v>1.3187534153652909E-4</v>
      </c>
      <c r="P12" s="15">
        <f>IFERROR((up_dir!P12/(up_Bv!O12+s_MLF_okra)),".")</f>
        <v>1.3187534153652909E-4</v>
      </c>
      <c r="Q12" s="15">
        <f>IFERROR((up_dir!Q12/(up_Bv!P12+s_MLF_onion)),".")</f>
        <v>1.3187534153652909E-4</v>
      </c>
      <c r="R12" s="15">
        <f>IFERROR((up_dir!R12/(up_Bv!Q12+s_MLF_peach)),".")</f>
        <v>1.3187534153652909E-4</v>
      </c>
      <c r="S12" s="15">
        <f>IFERROR((up_dir!S12/(up_Bv!R12+s_MLF_pear)),".")</f>
        <v>1.3187534153652909E-4</v>
      </c>
      <c r="T12" s="15">
        <f>IFERROR((up_dir!T12/(up_Bv!S12+s_MLF_peas)),".")</f>
        <v>1.3187534153652909E-4</v>
      </c>
      <c r="U12" s="15">
        <f>IFERROR((up_dir!U12/(up_Bv!T12+s_MLF_peppers)),".")</f>
        <v>1.3187534153652909E-4</v>
      </c>
      <c r="V12" s="15">
        <f>IFERROR((up_dir!V12/(up_Bv!U12+s_MLF_potato)),".")</f>
        <v>1.3187534153652909E-4</v>
      </c>
      <c r="W12" s="15">
        <f>IFERROR((up_dir!W12/(up_Bv!V12+s_MLF_pumpkin)),".")</f>
        <v>1.3187534153652909E-4</v>
      </c>
      <c r="X12" s="15">
        <f>IFERROR((up_dir!X12/(up_Bv!W12+s_MLF_snap_bean)),".")</f>
        <v>1.3187534153652909E-4</v>
      </c>
      <c r="Y12" s="15">
        <f>IFERROR((up_dir!Y12/(up_Bv!X12+s_MLF_strawberry)),".")</f>
        <v>1.3187534153652909E-4</v>
      </c>
      <c r="Z12" s="15">
        <f>IFERROR((up_dir!Z12/(up_Bv!Y12+s_MLF_tomato)),".")</f>
        <v>1.3187534153652909E-4</v>
      </c>
      <c r="AA12" s="15">
        <f>IFERROR((up_dir!AA12/(up_Bv!Z12+s_MLF_rice)),".")</f>
        <v>1.3187534153652909E-4</v>
      </c>
      <c r="AB12" s="15">
        <f>IFERROR((up_dir!AB12/(up_Bv!AA12+s_MLF_cereal)),".")</f>
        <v>1.3187534153652909E-4</v>
      </c>
      <c r="AC12" s="40">
        <f t="shared" si="0"/>
        <v>151658.375</v>
      </c>
      <c r="AD12" s="40">
        <f>s_C*(up_Bv!C12+s_MLF_apple)*s_IFAP_res_adj*s_CF_apple</f>
        <v>37914.59375</v>
      </c>
      <c r="AE12" s="40">
        <f>s_C*(up_Bv!D12+s_MLF_asparagus)*s_IFAS_res_adj*s_CF_asparagus</f>
        <v>37914.59375</v>
      </c>
      <c r="AF12" s="40">
        <f>s_C*(up_Bv!E12+s_MLF_beet)*s_IFBT_res_adj*s_CF_beet</f>
        <v>37914.59375</v>
      </c>
      <c r="AG12" s="40">
        <f>s_C*(up_Bv!F12+s_MLF_berries)*s_IFBE_res_adj*s_CF_berries</f>
        <v>37914.59375</v>
      </c>
      <c r="AH12" s="40">
        <f>s_C*(up_Bv!G12+s_MLF_broccoli)*s_IFBR_res_adj*s_CF_broccoli</f>
        <v>37914.59375</v>
      </c>
      <c r="AI12" s="40">
        <f>s_C*(up_Bv!H12+s_MLF_cabbage)*s_IFCB_res_adj*s_CF_cabbage</f>
        <v>37914.59375</v>
      </c>
      <c r="AJ12" s="40">
        <f>s_C*(up_Bv!I12+s_MLF_carrot)*s_IFCR_res_adj*s_CF_carrot</f>
        <v>37914.59375</v>
      </c>
      <c r="AK12" s="40">
        <f>s_C*(up_Bv!J12+s_MLF_citrus)*s_IFCI_res_adj*s_CF_citrus</f>
        <v>37914.59375</v>
      </c>
      <c r="AL12" s="40">
        <f>s_C*(up_Bv!K12+s_MLF_corn)*s_IFCO_res_adj*s_CF_corn</f>
        <v>37914.59375</v>
      </c>
      <c r="AM12" s="40">
        <f>s_C*(up_Bv!L12+s_MLF_cucumber)*s_IFCU_res_adj*s_CF_cucumber</f>
        <v>37914.59375</v>
      </c>
      <c r="AN12" s="40">
        <f>s_C*(up_Bv!M12+s_MLF_lettuce)*s_IFLE_res_adj*s_CF_lettuce</f>
        <v>37914.59375</v>
      </c>
      <c r="AO12" s="40">
        <f>s_C*(up_Bv!N12+s_MLF_lima_bean)*s_IFLI_res_adj*s_CF_lima_bean</f>
        <v>37914.59375</v>
      </c>
      <c r="AP12" s="40">
        <f>s_C*(up_Bv!O12+s_MLF_okra)*s_IFOK_res_adj*s_CF_okra</f>
        <v>37914.59375</v>
      </c>
      <c r="AQ12" s="40">
        <f>s_C*(up_Bv!P12+s_MLF_onion)*s_IFON_res_adj*s_CF_onion</f>
        <v>37914.59375</v>
      </c>
      <c r="AR12" s="40">
        <f>s_C*(up_Bv!Q12+s_MLF_peach)*s_IFPC_res_adj*s_CF_peach</f>
        <v>37914.59375</v>
      </c>
      <c r="AS12" s="40">
        <f>s_C*(up_Bv!R12+s_MLF_pear)*s_IFPR_res_adj*s_CF_pear</f>
        <v>37914.59375</v>
      </c>
      <c r="AT12" s="40">
        <f>s_C*(up_Bv!S12+s_MLF_peas)*s_IFPE_res_adj*s_CF_peas</f>
        <v>37914.59375</v>
      </c>
      <c r="AU12" s="40">
        <f>s_C*(up_Bv!T12+s_MLF_peppers)*s_IFPP_res_adj*s_CF_peppers</f>
        <v>37914.59375</v>
      </c>
      <c r="AV12" s="40">
        <f>s_C*(up_Bv!U12+s_MLF_potato)*s_IFPT_res_adj*s_CF_potato</f>
        <v>37914.59375</v>
      </c>
      <c r="AW12" s="40">
        <f>s_C*(up_Bv!V12+s_MLF_pumpkin)*s_IFPU_res_adj*s_CF_pumpkin</f>
        <v>37914.59375</v>
      </c>
      <c r="AX12" s="40">
        <f>s_C*(up_Bv!W12+s_MLF_snap_bean)*s_IFSN_res_adj*s_CF_snap_bean</f>
        <v>37914.59375</v>
      </c>
      <c r="AY12" s="40">
        <f>s_C*(up_Bv!X12+s_MLF_strawberry)*s_IFST_res_adj*s_CF_strawberry</f>
        <v>37914.59375</v>
      </c>
      <c r="AZ12" s="40">
        <f>s_C*(up_Bv!Y12+s_MLF_tomato)*s_IFTO_res_adj*s_CF_tomato</f>
        <v>37914.59375</v>
      </c>
      <c r="BA12" s="40">
        <f>s_C*(up_Bv!Z12+s_MLF_rice)*s_IFRI_res_adj*s_CF_rice</f>
        <v>37914.59375</v>
      </c>
      <c r="BB12" s="40">
        <f>s_C*(up_Bv!AA12+s_MLF_cereal)*s_IFCG_res_adj*s_CF_cereal</f>
        <v>37914.59375</v>
      </c>
      <c r="BC12" s="15">
        <f t="shared" si="2"/>
        <v>3.2968835384132272E-5</v>
      </c>
      <c r="BD12" s="15">
        <f>IFERROR((up_dir!AD12/(up_Bv!C12+s_MLF_apple)),".")</f>
        <v>1.3187534153652909E-4</v>
      </c>
      <c r="BE12" s="15">
        <f>IFERROR((up_dir!AE12/(up_Bv!D12+s_MLF_asparagus)),".")</f>
        <v>1.3187534153652909E-4</v>
      </c>
      <c r="BF12" s="15">
        <f>IFERROR((up_dir!AF12/(up_Bv!E12+s_MLF_beet)),".")</f>
        <v>1.3187534153652909E-4</v>
      </c>
      <c r="BG12" s="15">
        <f>IFERROR((up_dir!AG12/(up_Bv!F12+s_MLF_berries)),".")</f>
        <v>1.3187534153652909E-4</v>
      </c>
      <c r="BH12" s="15">
        <f>IFERROR((up_dir!AH12/(up_Bv!G12+s_MLF_broccoli)),".")</f>
        <v>1.3187534153652909E-4</v>
      </c>
      <c r="BI12" s="15">
        <f>IFERROR((up_dir!AI12/(up_Bv!H12+s_MLF_cabbage)),".")</f>
        <v>1.3187534153652909E-4</v>
      </c>
      <c r="BJ12" s="15">
        <f>IFERROR((up_dir!AJ12/(up_Bv!I12+s_MLF_carrot)),".")</f>
        <v>1.3187534153652909E-4</v>
      </c>
      <c r="BK12" s="15">
        <f>IFERROR((up_dir!AK12/(up_Bv!J12+s_MLF_citrus)),".")</f>
        <v>1.3187534153652909E-4</v>
      </c>
      <c r="BL12" s="15">
        <f>IFERROR((up_dir!AL12/(up_Bv!K12+s_MLF_corn)),".")</f>
        <v>1.3187534153652909E-4</v>
      </c>
      <c r="BM12" s="15">
        <f>IFERROR((up_dir!AM12/(up_Bv!L12+s_MLF_cucumber)),".")</f>
        <v>1.3187534153652909E-4</v>
      </c>
      <c r="BN12" s="15">
        <f>IFERROR((up_dir!AN12/(up_Bv!M12+s_MLF_lettuce)),".")</f>
        <v>1.3187534153652909E-4</v>
      </c>
      <c r="BO12" s="15">
        <f>IFERROR((up_dir!AO12/(up_Bv!N12+s_MLF_lima_bean)),".")</f>
        <v>1.3187534153652909E-4</v>
      </c>
      <c r="BP12" s="15">
        <f>IFERROR((up_dir!AP12/(up_Bv!O12+s_MLF_okra)),".")</f>
        <v>1.3187534153652909E-4</v>
      </c>
      <c r="BQ12" s="15">
        <f>IFERROR((up_dir!AQ12/(up_Bv!P12+s_MLF_onion)),".")</f>
        <v>1.3187534153652909E-4</v>
      </c>
      <c r="BR12" s="15">
        <f>IFERROR((up_dir!AR12/(up_Bv!Q12+s_MLF_peach)),".")</f>
        <v>1.3187534153652909E-4</v>
      </c>
      <c r="BS12" s="15">
        <f>IFERROR((up_dir!AS12/(up_Bv!R12+s_MLF_pear)),".")</f>
        <v>1.3187534153652909E-4</v>
      </c>
      <c r="BT12" s="15">
        <f>IFERROR((up_dir!AT12/(up_Bv!S12+s_MLF_peas)),".")</f>
        <v>1.3187534153652909E-4</v>
      </c>
      <c r="BU12" s="15">
        <f>IFERROR((up_dir!AU12/(up_Bv!T12+s_MLF_peppers)),".")</f>
        <v>1.3187534153652909E-4</v>
      </c>
      <c r="BV12" s="15">
        <f>IFERROR((up_dir!AV12/(up_Bv!U12+s_MLF_potato)),".")</f>
        <v>1.3187534153652909E-4</v>
      </c>
      <c r="BW12" s="15">
        <f>IFERROR((up_dir!AW12/(up_Bv!V12+s_MLF_pumpkin)),".")</f>
        <v>1.3187534153652909E-4</v>
      </c>
      <c r="BX12" s="15">
        <f>IFERROR((up_dir!AX12/(up_Bv!W12+s_MLF_snap_bean)),".")</f>
        <v>1.3187534153652909E-4</v>
      </c>
      <c r="BY12" s="15">
        <f>IFERROR((up_dir!AY12/(up_Bv!X12+s_MLF_strawberry)),".")</f>
        <v>1.3187534153652909E-4</v>
      </c>
      <c r="BZ12" s="15">
        <f>IFERROR((up_dir!AZ12/(up_Bv!Y12+s_MLF_tomato)),".")</f>
        <v>1.3187534153652909E-4</v>
      </c>
      <c r="CA12" s="15">
        <f>IFERROR((up_dir!BA12/(up_Bv!Z12+s_MLF_rice)),".")</f>
        <v>1.3187534153652909E-4</v>
      </c>
      <c r="CB12" s="15">
        <f>IFERROR((up_dir!BB12/(up_Bv!AA12+s_MLF_cereal)),".")</f>
        <v>1.3187534153652909E-4</v>
      </c>
      <c r="CC12" s="40">
        <f t="shared" si="3"/>
        <v>151658.375</v>
      </c>
      <c r="CD12" s="40">
        <f>IFERROR(s_C*(up_Bv!C12+s_MLF_apple)*s_IFAP_far_adj*s_CF_apple,".")</f>
        <v>37914.59375</v>
      </c>
      <c r="CE12" s="40">
        <f>IFERROR(s_C*(up_Bv!D12+s_MLF_asparagus)*s_IFAS_far_adj*s_CF_asparagus,".")</f>
        <v>37914.59375</v>
      </c>
      <c r="CF12" s="40">
        <f>IFERROR(s_C*(up_Bv!E12+s_MLF_beet)*s_IFBT_far_adj*s_CF_beet,".")</f>
        <v>37914.59375</v>
      </c>
      <c r="CG12" s="40">
        <f>IFERROR(s_C*(up_Bv!F12+s_MLF_berries)*s_IFBR_far_adj*s_CF_berries,".")</f>
        <v>37914.59375</v>
      </c>
      <c r="CH12" s="40">
        <f>IFERROR(s_C*(up_Bv!G12+s_MLF_broccoli)*s_IFBR_far_adj*s_CF_broccoli,".")</f>
        <v>37914.59375</v>
      </c>
      <c r="CI12" s="40">
        <f>IFERROR(s_C*(up_Bv!H12+s_MLF_cabbage)*s_IFCB_far_adj*s_CF_cabbage,".")</f>
        <v>37914.59375</v>
      </c>
      <c r="CJ12" s="40">
        <f>IFERROR(s_C*(up_Bv!I12+s_MLF_carrot)*s_IFCR_far_adj*s_CF_carrot,".")</f>
        <v>37914.59375</v>
      </c>
      <c r="CK12" s="40">
        <f>IFERROR(s_C*(up_Bv!J12+s_MLF_citrus)*s_IFCI_far_adj*s_CF_citrus,".")</f>
        <v>37914.59375</v>
      </c>
      <c r="CL12" s="40">
        <f>IFERROR(s_C*(up_Bv!K12+s_MLF_corn)*s_IFCO_far_adj*s_CF_corn,".")</f>
        <v>37914.59375</v>
      </c>
      <c r="CM12" s="40">
        <f>IFERROR(s_C*(up_Bv!L12+s_MLF_cucumber)*s_IFCU_far_adj*s_CF_cucumber,".")</f>
        <v>37914.59375</v>
      </c>
      <c r="CN12" s="40">
        <f>IFERROR(s_C*(up_Bv!M12+s_MLF_lettuce)*s_IFLE_far_adj*s_CF_lettuce,".")</f>
        <v>37914.59375</v>
      </c>
      <c r="CO12" s="40">
        <f>IFERROR(s_C*(up_Bv!N12+s_MLF_lima_bean)*s_IFLI_far_adj*s_CF_lima_bean,".")</f>
        <v>37914.59375</v>
      </c>
      <c r="CP12" s="40">
        <f>IFERROR(s_C*(up_Bv!O12+s_MLF_okra)*s_IFOK_far_adj*s_CF_okra,".")</f>
        <v>37914.59375</v>
      </c>
      <c r="CQ12" s="40">
        <f>IFERROR(s_C*(up_Bv!P12+s_MLF_onion)*s_IFON_far_adj*s_CF_onion,".")</f>
        <v>37914.59375</v>
      </c>
      <c r="CR12" s="40">
        <f>IFERROR(s_C*(up_Bv!Q12+s_MLF_peach)*s_IFPC_far_adj*s_CF_peach,".")</f>
        <v>37914.59375</v>
      </c>
      <c r="CS12" s="40">
        <f>IFERROR(s_C*(up_Bv!R12+s_MLF_pear)*s_IFPR_far_adj*s_CF_pear,".")</f>
        <v>37914.59375</v>
      </c>
      <c r="CT12" s="40">
        <f>IFERROR(s_C*(up_Bv!S12+s_MLF_peas)*s_IFPE_far_adj*s_CF_peas,".")</f>
        <v>37914.59375</v>
      </c>
      <c r="CU12" s="40">
        <f>IFERROR(s_C*(up_Bv!T12+s_MLF_peppers)*s_IFPP_far_adj*s_CF_peppers,".")</f>
        <v>37914.59375</v>
      </c>
      <c r="CV12" s="40">
        <f>IFERROR(s_C*(up_Bv!U12+s_MLF_potato)*s_IFPT_far_adj*s_CF_potato,".")</f>
        <v>37914.59375</v>
      </c>
      <c r="CW12" s="40">
        <f>IFERROR(s_C*(up_Bv!V12+s_MLF_pumpkin)*s_IFPU_far_adj*s_CF_pumpkin,".")</f>
        <v>37914.59375</v>
      </c>
      <c r="CX12" s="40">
        <f>IFERROR(s_C*(up_Bv!W12+s_MLF_snap_bean)*s_IFSN_far_adj*s_CF_snap_bean,".")</f>
        <v>37914.59375</v>
      </c>
      <c r="CY12" s="40">
        <f>IFERROR(s_C*(up_Bv!X12+s_MLF_strawberry)*s_IFST_far_adj*s_CF_strawberry,".")</f>
        <v>37914.59375</v>
      </c>
      <c r="CZ12" s="40">
        <f>IFERROR(s_C*(up_Bv!Y12+s_MLF_tomato)*s_IFTO_far_adj*s_CF_tomato,".")</f>
        <v>37914.59375</v>
      </c>
      <c r="DA12" s="40">
        <f>IFERROR(s_C*(up_Bv!Z12+s_MLF_rice)*s_IFRI_far_adj*s_CF_rice,".")</f>
        <v>37914.59375</v>
      </c>
      <c r="DB12" s="40">
        <f>IFERROR(s_C*(up_Bv!AA12+s_MLF_cereal)*s_IFCG_far_adj*s_CF_cereal,".")</f>
        <v>37914.59375</v>
      </c>
    </row>
    <row r="13" spans="1:106" ht="15" customHeight="1" x14ac:dyDescent="0.25">
      <c r="A13" s="44" t="s">
        <v>11</v>
      </c>
      <c r="B13" s="42" t="s">
        <v>1057</v>
      </c>
      <c r="C13" s="15">
        <f t="shared" si="1"/>
        <v>3.2968835384132272E-5</v>
      </c>
      <c r="D13" s="15">
        <f>IFERROR((up_dir!D13/(up_Bv!C13+s_MLF_apple)),".")</f>
        <v>1.3187534153652909E-4</v>
      </c>
      <c r="E13" s="15">
        <f>IFERROR((up_dir!E13/(up_Bv!D13+s_MLF_asparagus)),".")</f>
        <v>1.3187534153652909E-4</v>
      </c>
      <c r="F13" s="15">
        <f>IFERROR((up_dir!F13/(up_Bv!E13+s_MLF_beet)),".")</f>
        <v>1.3187534153652909E-4</v>
      </c>
      <c r="G13" s="15">
        <f>IFERROR((up_dir!G13/(up_Bv!F13+s_MLF_berries)),".")</f>
        <v>1.3187534153652909E-4</v>
      </c>
      <c r="H13" s="15">
        <f>IFERROR((up_dir!H13/(up_Bv!G13+s_MLF_broccoli)),".")</f>
        <v>1.3187534153652909E-4</v>
      </c>
      <c r="I13" s="15">
        <f>IFERROR((up_dir!I13/(up_Bv!H13+s_MLF_cabbage)),".")</f>
        <v>1.3187534153652909E-4</v>
      </c>
      <c r="J13" s="15">
        <f>IFERROR((up_dir!J13/(up_Bv!I13+s_MLF_carrot)),".")</f>
        <v>1.3187534153652909E-4</v>
      </c>
      <c r="K13" s="15">
        <f>IFERROR((up_dir!K13/(up_Bv!J13+s_MLF_citrus)),".")</f>
        <v>1.3187534153652909E-4</v>
      </c>
      <c r="L13" s="15">
        <f>IFERROR((up_dir!L13/(up_Bv!K13+s_MLF_corn)),".")</f>
        <v>1.3187534153652909E-4</v>
      </c>
      <c r="M13" s="15">
        <f>IFERROR((up_dir!M13/(up_Bv!L13+s_MLF_cucumber)),".")</f>
        <v>1.3187534153652909E-4</v>
      </c>
      <c r="N13" s="15">
        <f>IFERROR((up_dir!N13/(up_Bv!M13+s_MLF_lettuce)),".")</f>
        <v>1.3187534153652909E-4</v>
      </c>
      <c r="O13" s="15">
        <f>IFERROR((up_dir!O13/(up_Bv!N13+s_MLF_lima_bean)),".")</f>
        <v>1.3187534153652909E-4</v>
      </c>
      <c r="P13" s="15">
        <f>IFERROR((up_dir!P13/(up_Bv!O13+s_MLF_okra)),".")</f>
        <v>1.3187534153652909E-4</v>
      </c>
      <c r="Q13" s="15">
        <f>IFERROR((up_dir!Q13/(up_Bv!P13+s_MLF_onion)),".")</f>
        <v>1.3187534153652909E-4</v>
      </c>
      <c r="R13" s="15">
        <f>IFERROR((up_dir!R13/(up_Bv!Q13+s_MLF_peach)),".")</f>
        <v>1.3187534153652909E-4</v>
      </c>
      <c r="S13" s="15">
        <f>IFERROR((up_dir!S13/(up_Bv!R13+s_MLF_pear)),".")</f>
        <v>1.3187534153652909E-4</v>
      </c>
      <c r="T13" s="15">
        <f>IFERROR((up_dir!T13/(up_Bv!S13+s_MLF_peas)),".")</f>
        <v>1.3187534153652909E-4</v>
      </c>
      <c r="U13" s="15">
        <f>IFERROR((up_dir!U13/(up_Bv!T13+s_MLF_peppers)),".")</f>
        <v>1.3187534153652909E-4</v>
      </c>
      <c r="V13" s="15">
        <f>IFERROR((up_dir!V13/(up_Bv!U13+s_MLF_potato)),".")</f>
        <v>1.3187534153652909E-4</v>
      </c>
      <c r="W13" s="15">
        <f>IFERROR((up_dir!W13/(up_Bv!V13+s_MLF_pumpkin)),".")</f>
        <v>1.3187534153652909E-4</v>
      </c>
      <c r="X13" s="15">
        <f>IFERROR((up_dir!X13/(up_Bv!W13+s_MLF_snap_bean)),".")</f>
        <v>1.3187534153652909E-4</v>
      </c>
      <c r="Y13" s="15">
        <f>IFERROR((up_dir!Y13/(up_Bv!X13+s_MLF_strawberry)),".")</f>
        <v>1.3187534153652909E-4</v>
      </c>
      <c r="Z13" s="15">
        <f>IFERROR((up_dir!Z13/(up_Bv!Y13+s_MLF_tomato)),".")</f>
        <v>1.3187534153652909E-4</v>
      </c>
      <c r="AA13" s="15">
        <f>IFERROR((up_dir!AA13/(up_Bv!Z13+s_MLF_rice)),".")</f>
        <v>1.3187534153652909E-4</v>
      </c>
      <c r="AB13" s="15">
        <f>IFERROR((up_dir!AB13/(up_Bv!AA13+s_MLF_cereal)),".")</f>
        <v>1.3187534153652909E-4</v>
      </c>
      <c r="AC13" s="40">
        <f t="shared" si="0"/>
        <v>151658.375</v>
      </c>
      <c r="AD13" s="40">
        <f>s_C*(up_Bv!C13+s_MLF_apple)*s_IFAP_res_adj*s_CF_apple</f>
        <v>37914.59375</v>
      </c>
      <c r="AE13" s="40">
        <f>s_C*(up_Bv!D13+s_MLF_asparagus)*s_IFAS_res_adj*s_CF_asparagus</f>
        <v>37914.59375</v>
      </c>
      <c r="AF13" s="40">
        <f>s_C*(up_Bv!E13+s_MLF_beet)*s_IFBT_res_adj*s_CF_beet</f>
        <v>37914.59375</v>
      </c>
      <c r="AG13" s="40">
        <f>s_C*(up_Bv!F13+s_MLF_berries)*s_IFBE_res_adj*s_CF_berries</f>
        <v>37914.59375</v>
      </c>
      <c r="AH13" s="40">
        <f>s_C*(up_Bv!G13+s_MLF_broccoli)*s_IFBR_res_adj*s_CF_broccoli</f>
        <v>37914.59375</v>
      </c>
      <c r="AI13" s="40">
        <f>s_C*(up_Bv!H13+s_MLF_cabbage)*s_IFCB_res_adj*s_CF_cabbage</f>
        <v>37914.59375</v>
      </c>
      <c r="AJ13" s="40">
        <f>s_C*(up_Bv!I13+s_MLF_carrot)*s_IFCR_res_adj*s_CF_carrot</f>
        <v>37914.59375</v>
      </c>
      <c r="AK13" s="40">
        <f>s_C*(up_Bv!J13+s_MLF_citrus)*s_IFCI_res_adj*s_CF_citrus</f>
        <v>37914.59375</v>
      </c>
      <c r="AL13" s="40">
        <f>s_C*(up_Bv!K13+s_MLF_corn)*s_IFCO_res_adj*s_CF_corn</f>
        <v>37914.59375</v>
      </c>
      <c r="AM13" s="40">
        <f>s_C*(up_Bv!L13+s_MLF_cucumber)*s_IFCU_res_adj*s_CF_cucumber</f>
        <v>37914.59375</v>
      </c>
      <c r="AN13" s="40">
        <f>s_C*(up_Bv!M13+s_MLF_lettuce)*s_IFLE_res_adj*s_CF_lettuce</f>
        <v>37914.59375</v>
      </c>
      <c r="AO13" s="40">
        <f>s_C*(up_Bv!N13+s_MLF_lima_bean)*s_IFLI_res_adj*s_CF_lima_bean</f>
        <v>37914.59375</v>
      </c>
      <c r="AP13" s="40">
        <f>s_C*(up_Bv!O13+s_MLF_okra)*s_IFOK_res_adj*s_CF_okra</f>
        <v>37914.59375</v>
      </c>
      <c r="AQ13" s="40">
        <f>s_C*(up_Bv!P13+s_MLF_onion)*s_IFON_res_adj*s_CF_onion</f>
        <v>37914.59375</v>
      </c>
      <c r="AR13" s="40">
        <f>s_C*(up_Bv!Q13+s_MLF_peach)*s_IFPC_res_adj*s_CF_peach</f>
        <v>37914.59375</v>
      </c>
      <c r="AS13" s="40">
        <f>s_C*(up_Bv!R13+s_MLF_pear)*s_IFPR_res_adj*s_CF_pear</f>
        <v>37914.59375</v>
      </c>
      <c r="AT13" s="40">
        <f>s_C*(up_Bv!S13+s_MLF_peas)*s_IFPE_res_adj*s_CF_peas</f>
        <v>37914.59375</v>
      </c>
      <c r="AU13" s="40">
        <f>s_C*(up_Bv!T13+s_MLF_peppers)*s_IFPP_res_adj*s_CF_peppers</f>
        <v>37914.59375</v>
      </c>
      <c r="AV13" s="40">
        <f>s_C*(up_Bv!U13+s_MLF_potato)*s_IFPT_res_adj*s_CF_potato</f>
        <v>37914.59375</v>
      </c>
      <c r="AW13" s="40">
        <f>s_C*(up_Bv!V13+s_MLF_pumpkin)*s_IFPU_res_adj*s_CF_pumpkin</f>
        <v>37914.59375</v>
      </c>
      <c r="AX13" s="40">
        <f>s_C*(up_Bv!W13+s_MLF_snap_bean)*s_IFSN_res_adj*s_CF_snap_bean</f>
        <v>37914.59375</v>
      </c>
      <c r="AY13" s="40">
        <f>s_C*(up_Bv!X13+s_MLF_strawberry)*s_IFST_res_adj*s_CF_strawberry</f>
        <v>37914.59375</v>
      </c>
      <c r="AZ13" s="40">
        <f>s_C*(up_Bv!Y13+s_MLF_tomato)*s_IFTO_res_adj*s_CF_tomato</f>
        <v>37914.59375</v>
      </c>
      <c r="BA13" s="40">
        <f>s_C*(up_Bv!Z13+s_MLF_rice)*s_IFRI_res_adj*s_CF_rice</f>
        <v>37914.59375</v>
      </c>
      <c r="BB13" s="40">
        <f>s_C*(up_Bv!AA13+s_MLF_cereal)*s_IFCG_res_adj*s_CF_cereal</f>
        <v>37914.59375</v>
      </c>
      <c r="BC13" s="15">
        <f t="shared" si="2"/>
        <v>3.2968835384132272E-5</v>
      </c>
      <c r="BD13" s="15">
        <f>IFERROR((up_dir!AD13/(up_Bv!C13+s_MLF_apple)),".")</f>
        <v>1.3187534153652909E-4</v>
      </c>
      <c r="BE13" s="15">
        <f>IFERROR((up_dir!AE13/(up_Bv!D13+s_MLF_asparagus)),".")</f>
        <v>1.3187534153652909E-4</v>
      </c>
      <c r="BF13" s="15">
        <f>IFERROR((up_dir!AF13/(up_Bv!E13+s_MLF_beet)),".")</f>
        <v>1.3187534153652909E-4</v>
      </c>
      <c r="BG13" s="15">
        <f>IFERROR((up_dir!AG13/(up_Bv!F13+s_MLF_berries)),".")</f>
        <v>1.3187534153652909E-4</v>
      </c>
      <c r="BH13" s="15">
        <f>IFERROR((up_dir!AH13/(up_Bv!G13+s_MLF_broccoli)),".")</f>
        <v>1.3187534153652909E-4</v>
      </c>
      <c r="BI13" s="15">
        <f>IFERROR((up_dir!AI13/(up_Bv!H13+s_MLF_cabbage)),".")</f>
        <v>1.3187534153652909E-4</v>
      </c>
      <c r="BJ13" s="15">
        <f>IFERROR((up_dir!AJ13/(up_Bv!I13+s_MLF_carrot)),".")</f>
        <v>1.3187534153652909E-4</v>
      </c>
      <c r="BK13" s="15">
        <f>IFERROR((up_dir!AK13/(up_Bv!J13+s_MLF_citrus)),".")</f>
        <v>1.3187534153652909E-4</v>
      </c>
      <c r="BL13" s="15">
        <f>IFERROR((up_dir!AL13/(up_Bv!K13+s_MLF_corn)),".")</f>
        <v>1.3187534153652909E-4</v>
      </c>
      <c r="BM13" s="15">
        <f>IFERROR((up_dir!AM13/(up_Bv!L13+s_MLF_cucumber)),".")</f>
        <v>1.3187534153652909E-4</v>
      </c>
      <c r="BN13" s="15">
        <f>IFERROR((up_dir!AN13/(up_Bv!M13+s_MLF_lettuce)),".")</f>
        <v>1.3187534153652909E-4</v>
      </c>
      <c r="BO13" s="15">
        <f>IFERROR((up_dir!AO13/(up_Bv!N13+s_MLF_lima_bean)),".")</f>
        <v>1.3187534153652909E-4</v>
      </c>
      <c r="BP13" s="15">
        <f>IFERROR((up_dir!AP13/(up_Bv!O13+s_MLF_okra)),".")</f>
        <v>1.3187534153652909E-4</v>
      </c>
      <c r="BQ13" s="15">
        <f>IFERROR((up_dir!AQ13/(up_Bv!P13+s_MLF_onion)),".")</f>
        <v>1.3187534153652909E-4</v>
      </c>
      <c r="BR13" s="15">
        <f>IFERROR((up_dir!AR13/(up_Bv!Q13+s_MLF_peach)),".")</f>
        <v>1.3187534153652909E-4</v>
      </c>
      <c r="BS13" s="15">
        <f>IFERROR((up_dir!AS13/(up_Bv!R13+s_MLF_pear)),".")</f>
        <v>1.3187534153652909E-4</v>
      </c>
      <c r="BT13" s="15">
        <f>IFERROR((up_dir!AT13/(up_Bv!S13+s_MLF_peas)),".")</f>
        <v>1.3187534153652909E-4</v>
      </c>
      <c r="BU13" s="15">
        <f>IFERROR((up_dir!AU13/(up_Bv!T13+s_MLF_peppers)),".")</f>
        <v>1.3187534153652909E-4</v>
      </c>
      <c r="BV13" s="15">
        <f>IFERROR((up_dir!AV13/(up_Bv!U13+s_MLF_potato)),".")</f>
        <v>1.3187534153652909E-4</v>
      </c>
      <c r="BW13" s="15">
        <f>IFERROR((up_dir!AW13/(up_Bv!V13+s_MLF_pumpkin)),".")</f>
        <v>1.3187534153652909E-4</v>
      </c>
      <c r="BX13" s="15">
        <f>IFERROR((up_dir!AX13/(up_Bv!W13+s_MLF_snap_bean)),".")</f>
        <v>1.3187534153652909E-4</v>
      </c>
      <c r="BY13" s="15">
        <f>IFERROR((up_dir!AY13/(up_Bv!X13+s_MLF_strawberry)),".")</f>
        <v>1.3187534153652909E-4</v>
      </c>
      <c r="BZ13" s="15">
        <f>IFERROR((up_dir!AZ13/(up_Bv!Y13+s_MLF_tomato)),".")</f>
        <v>1.3187534153652909E-4</v>
      </c>
      <c r="CA13" s="15">
        <f>IFERROR((up_dir!BA13/(up_Bv!Z13+s_MLF_rice)),".")</f>
        <v>1.3187534153652909E-4</v>
      </c>
      <c r="CB13" s="15">
        <f>IFERROR((up_dir!BB13/(up_Bv!AA13+s_MLF_cereal)),".")</f>
        <v>1.3187534153652909E-4</v>
      </c>
      <c r="CC13" s="40">
        <f t="shared" si="3"/>
        <v>151658.375</v>
      </c>
      <c r="CD13" s="40">
        <f>IFERROR(s_C*(up_Bv!C13+s_MLF_apple)*s_IFAP_far_adj*s_CF_apple,".")</f>
        <v>37914.59375</v>
      </c>
      <c r="CE13" s="40">
        <f>IFERROR(s_C*(up_Bv!D13+s_MLF_asparagus)*s_IFAS_far_adj*s_CF_asparagus,".")</f>
        <v>37914.59375</v>
      </c>
      <c r="CF13" s="40">
        <f>IFERROR(s_C*(up_Bv!E13+s_MLF_beet)*s_IFBT_far_adj*s_CF_beet,".")</f>
        <v>37914.59375</v>
      </c>
      <c r="CG13" s="40">
        <f>IFERROR(s_C*(up_Bv!F13+s_MLF_berries)*s_IFBR_far_adj*s_CF_berries,".")</f>
        <v>37914.59375</v>
      </c>
      <c r="CH13" s="40">
        <f>IFERROR(s_C*(up_Bv!G13+s_MLF_broccoli)*s_IFBR_far_adj*s_CF_broccoli,".")</f>
        <v>37914.59375</v>
      </c>
      <c r="CI13" s="40">
        <f>IFERROR(s_C*(up_Bv!H13+s_MLF_cabbage)*s_IFCB_far_adj*s_CF_cabbage,".")</f>
        <v>37914.59375</v>
      </c>
      <c r="CJ13" s="40">
        <f>IFERROR(s_C*(up_Bv!I13+s_MLF_carrot)*s_IFCR_far_adj*s_CF_carrot,".")</f>
        <v>37914.59375</v>
      </c>
      <c r="CK13" s="40">
        <f>IFERROR(s_C*(up_Bv!J13+s_MLF_citrus)*s_IFCI_far_adj*s_CF_citrus,".")</f>
        <v>37914.59375</v>
      </c>
      <c r="CL13" s="40">
        <f>IFERROR(s_C*(up_Bv!K13+s_MLF_corn)*s_IFCO_far_adj*s_CF_corn,".")</f>
        <v>37914.59375</v>
      </c>
      <c r="CM13" s="40">
        <f>IFERROR(s_C*(up_Bv!L13+s_MLF_cucumber)*s_IFCU_far_adj*s_CF_cucumber,".")</f>
        <v>37914.59375</v>
      </c>
      <c r="CN13" s="40">
        <f>IFERROR(s_C*(up_Bv!M13+s_MLF_lettuce)*s_IFLE_far_adj*s_CF_lettuce,".")</f>
        <v>37914.59375</v>
      </c>
      <c r="CO13" s="40">
        <f>IFERROR(s_C*(up_Bv!N13+s_MLF_lima_bean)*s_IFLI_far_adj*s_CF_lima_bean,".")</f>
        <v>37914.59375</v>
      </c>
      <c r="CP13" s="40">
        <f>IFERROR(s_C*(up_Bv!O13+s_MLF_okra)*s_IFOK_far_adj*s_CF_okra,".")</f>
        <v>37914.59375</v>
      </c>
      <c r="CQ13" s="40">
        <f>IFERROR(s_C*(up_Bv!P13+s_MLF_onion)*s_IFON_far_adj*s_CF_onion,".")</f>
        <v>37914.59375</v>
      </c>
      <c r="CR13" s="40">
        <f>IFERROR(s_C*(up_Bv!Q13+s_MLF_peach)*s_IFPC_far_adj*s_CF_peach,".")</f>
        <v>37914.59375</v>
      </c>
      <c r="CS13" s="40">
        <f>IFERROR(s_C*(up_Bv!R13+s_MLF_pear)*s_IFPR_far_adj*s_CF_pear,".")</f>
        <v>37914.59375</v>
      </c>
      <c r="CT13" s="40">
        <f>IFERROR(s_C*(up_Bv!S13+s_MLF_peas)*s_IFPE_far_adj*s_CF_peas,".")</f>
        <v>37914.59375</v>
      </c>
      <c r="CU13" s="40">
        <f>IFERROR(s_C*(up_Bv!T13+s_MLF_peppers)*s_IFPP_far_adj*s_CF_peppers,".")</f>
        <v>37914.59375</v>
      </c>
      <c r="CV13" s="40">
        <f>IFERROR(s_C*(up_Bv!U13+s_MLF_potato)*s_IFPT_far_adj*s_CF_potato,".")</f>
        <v>37914.59375</v>
      </c>
      <c r="CW13" s="40">
        <f>IFERROR(s_C*(up_Bv!V13+s_MLF_pumpkin)*s_IFPU_far_adj*s_CF_pumpkin,".")</f>
        <v>37914.59375</v>
      </c>
      <c r="CX13" s="40">
        <f>IFERROR(s_C*(up_Bv!W13+s_MLF_snap_bean)*s_IFSN_far_adj*s_CF_snap_bean,".")</f>
        <v>37914.59375</v>
      </c>
      <c r="CY13" s="40">
        <f>IFERROR(s_C*(up_Bv!X13+s_MLF_strawberry)*s_IFST_far_adj*s_CF_strawberry,".")</f>
        <v>37914.59375</v>
      </c>
      <c r="CZ13" s="40">
        <f>IFERROR(s_C*(up_Bv!Y13+s_MLF_tomato)*s_IFTO_far_adj*s_CF_tomato,".")</f>
        <v>37914.59375</v>
      </c>
      <c r="DA13" s="40">
        <f>IFERROR(s_C*(up_Bv!Z13+s_MLF_rice)*s_IFRI_far_adj*s_CF_rice,".")</f>
        <v>37914.59375</v>
      </c>
      <c r="DB13" s="40">
        <f>IFERROR(s_C*(up_Bv!AA13+s_MLF_cereal)*s_IFCG_far_adj*s_CF_cereal,".")</f>
        <v>37914.59375</v>
      </c>
    </row>
    <row r="14" spans="1:106" ht="15" customHeight="1" x14ac:dyDescent="0.25">
      <c r="A14" s="44" t="s">
        <v>12</v>
      </c>
      <c r="B14" s="42" t="s">
        <v>1057</v>
      </c>
      <c r="C14" s="15">
        <f t="shared" si="1"/>
        <v>3.2968835384132272E-5</v>
      </c>
      <c r="D14" s="15">
        <f>IFERROR((up_dir!D14/(up_Bv!C14+s_MLF_apple)),".")</f>
        <v>1.3187534153652909E-4</v>
      </c>
      <c r="E14" s="15">
        <f>IFERROR((up_dir!E14/(up_Bv!D14+s_MLF_asparagus)),".")</f>
        <v>1.3187534153652909E-4</v>
      </c>
      <c r="F14" s="15">
        <f>IFERROR((up_dir!F14/(up_Bv!E14+s_MLF_beet)),".")</f>
        <v>1.3187534153652909E-4</v>
      </c>
      <c r="G14" s="15">
        <f>IFERROR((up_dir!G14/(up_Bv!F14+s_MLF_berries)),".")</f>
        <v>1.3187534153652909E-4</v>
      </c>
      <c r="H14" s="15">
        <f>IFERROR((up_dir!H14/(up_Bv!G14+s_MLF_broccoli)),".")</f>
        <v>1.3187534153652909E-4</v>
      </c>
      <c r="I14" s="15">
        <f>IFERROR((up_dir!I14/(up_Bv!H14+s_MLF_cabbage)),".")</f>
        <v>1.3187534153652909E-4</v>
      </c>
      <c r="J14" s="15">
        <f>IFERROR((up_dir!J14/(up_Bv!I14+s_MLF_carrot)),".")</f>
        <v>1.3187534153652909E-4</v>
      </c>
      <c r="K14" s="15">
        <f>IFERROR((up_dir!K14/(up_Bv!J14+s_MLF_citrus)),".")</f>
        <v>1.3187534153652909E-4</v>
      </c>
      <c r="L14" s="15">
        <f>IFERROR((up_dir!L14/(up_Bv!K14+s_MLF_corn)),".")</f>
        <v>1.3187534153652909E-4</v>
      </c>
      <c r="M14" s="15">
        <f>IFERROR((up_dir!M14/(up_Bv!L14+s_MLF_cucumber)),".")</f>
        <v>1.3187534153652909E-4</v>
      </c>
      <c r="N14" s="15">
        <f>IFERROR((up_dir!N14/(up_Bv!M14+s_MLF_lettuce)),".")</f>
        <v>1.3187534153652909E-4</v>
      </c>
      <c r="O14" s="15">
        <f>IFERROR((up_dir!O14/(up_Bv!N14+s_MLF_lima_bean)),".")</f>
        <v>1.3187534153652909E-4</v>
      </c>
      <c r="P14" s="15">
        <f>IFERROR((up_dir!P14/(up_Bv!O14+s_MLF_okra)),".")</f>
        <v>1.3187534153652909E-4</v>
      </c>
      <c r="Q14" s="15">
        <f>IFERROR((up_dir!Q14/(up_Bv!P14+s_MLF_onion)),".")</f>
        <v>1.3187534153652909E-4</v>
      </c>
      <c r="R14" s="15">
        <f>IFERROR((up_dir!R14/(up_Bv!Q14+s_MLF_peach)),".")</f>
        <v>1.3187534153652909E-4</v>
      </c>
      <c r="S14" s="15">
        <f>IFERROR((up_dir!S14/(up_Bv!R14+s_MLF_pear)),".")</f>
        <v>1.3187534153652909E-4</v>
      </c>
      <c r="T14" s="15">
        <f>IFERROR((up_dir!T14/(up_Bv!S14+s_MLF_peas)),".")</f>
        <v>1.3187534153652909E-4</v>
      </c>
      <c r="U14" s="15">
        <f>IFERROR((up_dir!U14/(up_Bv!T14+s_MLF_peppers)),".")</f>
        <v>1.3187534153652909E-4</v>
      </c>
      <c r="V14" s="15">
        <f>IFERROR((up_dir!V14/(up_Bv!U14+s_MLF_potato)),".")</f>
        <v>1.3187534153652909E-4</v>
      </c>
      <c r="W14" s="15">
        <f>IFERROR((up_dir!W14/(up_Bv!V14+s_MLF_pumpkin)),".")</f>
        <v>1.3187534153652909E-4</v>
      </c>
      <c r="X14" s="15">
        <f>IFERROR((up_dir!X14/(up_Bv!W14+s_MLF_snap_bean)),".")</f>
        <v>1.3187534153652909E-4</v>
      </c>
      <c r="Y14" s="15">
        <f>IFERROR((up_dir!Y14/(up_Bv!X14+s_MLF_strawberry)),".")</f>
        <v>1.3187534153652909E-4</v>
      </c>
      <c r="Z14" s="15">
        <f>IFERROR((up_dir!Z14/(up_Bv!Y14+s_MLF_tomato)),".")</f>
        <v>1.3187534153652909E-4</v>
      </c>
      <c r="AA14" s="15">
        <f>IFERROR((up_dir!AA14/(up_Bv!Z14+s_MLF_rice)),".")</f>
        <v>1.3187534153652909E-4</v>
      </c>
      <c r="AB14" s="15">
        <f>IFERROR((up_dir!AB14/(up_Bv!AA14+s_MLF_cereal)),".")</f>
        <v>1.3187534153652909E-4</v>
      </c>
      <c r="AC14" s="40">
        <f t="shared" si="0"/>
        <v>151658.375</v>
      </c>
      <c r="AD14" s="40">
        <f>s_C*(up_Bv!C14+s_MLF_apple)*s_IFAP_res_adj*s_CF_apple</f>
        <v>37914.59375</v>
      </c>
      <c r="AE14" s="40">
        <f>s_C*(up_Bv!D14+s_MLF_asparagus)*s_IFAS_res_adj*s_CF_asparagus</f>
        <v>37914.59375</v>
      </c>
      <c r="AF14" s="40">
        <f>s_C*(up_Bv!E14+s_MLF_beet)*s_IFBT_res_adj*s_CF_beet</f>
        <v>37914.59375</v>
      </c>
      <c r="AG14" s="40">
        <f>s_C*(up_Bv!F14+s_MLF_berries)*s_IFBE_res_adj*s_CF_berries</f>
        <v>37914.59375</v>
      </c>
      <c r="AH14" s="40">
        <f>s_C*(up_Bv!G14+s_MLF_broccoli)*s_IFBR_res_adj*s_CF_broccoli</f>
        <v>37914.59375</v>
      </c>
      <c r="AI14" s="40">
        <f>s_C*(up_Bv!H14+s_MLF_cabbage)*s_IFCB_res_adj*s_CF_cabbage</f>
        <v>37914.59375</v>
      </c>
      <c r="AJ14" s="40">
        <f>s_C*(up_Bv!I14+s_MLF_carrot)*s_IFCR_res_adj*s_CF_carrot</f>
        <v>37914.59375</v>
      </c>
      <c r="AK14" s="40">
        <f>s_C*(up_Bv!J14+s_MLF_citrus)*s_IFCI_res_adj*s_CF_citrus</f>
        <v>37914.59375</v>
      </c>
      <c r="AL14" s="40">
        <f>s_C*(up_Bv!K14+s_MLF_corn)*s_IFCO_res_adj*s_CF_corn</f>
        <v>37914.59375</v>
      </c>
      <c r="AM14" s="40">
        <f>s_C*(up_Bv!L14+s_MLF_cucumber)*s_IFCU_res_adj*s_CF_cucumber</f>
        <v>37914.59375</v>
      </c>
      <c r="AN14" s="40">
        <f>s_C*(up_Bv!M14+s_MLF_lettuce)*s_IFLE_res_adj*s_CF_lettuce</f>
        <v>37914.59375</v>
      </c>
      <c r="AO14" s="40">
        <f>s_C*(up_Bv!N14+s_MLF_lima_bean)*s_IFLI_res_adj*s_CF_lima_bean</f>
        <v>37914.59375</v>
      </c>
      <c r="AP14" s="40">
        <f>s_C*(up_Bv!O14+s_MLF_okra)*s_IFOK_res_adj*s_CF_okra</f>
        <v>37914.59375</v>
      </c>
      <c r="AQ14" s="40">
        <f>s_C*(up_Bv!P14+s_MLF_onion)*s_IFON_res_adj*s_CF_onion</f>
        <v>37914.59375</v>
      </c>
      <c r="AR14" s="40">
        <f>s_C*(up_Bv!Q14+s_MLF_peach)*s_IFPC_res_adj*s_CF_peach</f>
        <v>37914.59375</v>
      </c>
      <c r="AS14" s="40">
        <f>s_C*(up_Bv!R14+s_MLF_pear)*s_IFPR_res_adj*s_CF_pear</f>
        <v>37914.59375</v>
      </c>
      <c r="AT14" s="40">
        <f>s_C*(up_Bv!S14+s_MLF_peas)*s_IFPE_res_adj*s_CF_peas</f>
        <v>37914.59375</v>
      </c>
      <c r="AU14" s="40">
        <f>s_C*(up_Bv!T14+s_MLF_peppers)*s_IFPP_res_adj*s_CF_peppers</f>
        <v>37914.59375</v>
      </c>
      <c r="AV14" s="40">
        <f>s_C*(up_Bv!U14+s_MLF_potato)*s_IFPT_res_adj*s_CF_potato</f>
        <v>37914.59375</v>
      </c>
      <c r="AW14" s="40">
        <f>s_C*(up_Bv!V14+s_MLF_pumpkin)*s_IFPU_res_adj*s_CF_pumpkin</f>
        <v>37914.59375</v>
      </c>
      <c r="AX14" s="40">
        <f>s_C*(up_Bv!W14+s_MLF_snap_bean)*s_IFSN_res_adj*s_CF_snap_bean</f>
        <v>37914.59375</v>
      </c>
      <c r="AY14" s="40">
        <f>s_C*(up_Bv!X14+s_MLF_strawberry)*s_IFST_res_adj*s_CF_strawberry</f>
        <v>37914.59375</v>
      </c>
      <c r="AZ14" s="40">
        <f>s_C*(up_Bv!Y14+s_MLF_tomato)*s_IFTO_res_adj*s_CF_tomato</f>
        <v>37914.59375</v>
      </c>
      <c r="BA14" s="40">
        <f>s_C*(up_Bv!Z14+s_MLF_rice)*s_IFRI_res_adj*s_CF_rice</f>
        <v>37914.59375</v>
      </c>
      <c r="BB14" s="40">
        <f>s_C*(up_Bv!AA14+s_MLF_cereal)*s_IFCG_res_adj*s_CF_cereal</f>
        <v>37914.59375</v>
      </c>
      <c r="BC14" s="15">
        <f t="shared" si="2"/>
        <v>3.2968835384132272E-5</v>
      </c>
      <c r="BD14" s="15">
        <f>IFERROR((up_dir!AD14/(up_Bv!C14+s_MLF_apple)),".")</f>
        <v>1.3187534153652909E-4</v>
      </c>
      <c r="BE14" s="15">
        <f>IFERROR((up_dir!AE14/(up_Bv!D14+s_MLF_asparagus)),".")</f>
        <v>1.3187534153652909E-4</v>
      </c>
      <c r="BF14" s="15">
        <f>IFERROR((up_dir!AF14/(up_Bv!E14+s_MLF_beet)),".")</f>
        <v>1.3187534153652909E-4</v>
      </c>
      <c r="BG14" s="15">
        <f>IFERROR((up_dir!AG14/(up_Bv!F14+s_MLF_berries)),".")</f>
        <v>1.3187534153652909E-4</v>
      </c>
      <c r="BH14" s="15">
        <f>IFERROR((up_dir!AH14/(up_Bv!G14+s_MLF_broccoli)),".")</f>
        <v>1.3187534153652909E-4</v>
      </c>
      <c r="BI14" s="15">
        <f>IFERROR((up_dir!AI14/(up_Bv!H14+s_MLF_cabbage)),".")</f>
        <v>1.3187534153652909E-4</v>
      </c>
      <c r="BJ14" s="15">
        <f>IFERROR((up_dir!AJ14/(up_Bv!I14+s_MLF_carrot)),".")</f>
        <v>1.3187534153652909E-4</v>
      </c>
      <c r="BK14" s="15">
        <f>IFERROR((up_dir!AK14/(up_Bv!J14+s_MLF_citrus)),".")</f>
        <v>1.3187534153652909E-4</v>
      </c>
      <c r="BL14" s="15">
        <f>IFERROR((up_dir!AL14/(up_Bv!K14+s_MLF_corn)),".")</f>
        <v>1.3187534153652909E-4</v>
      </c>
      <c r="BM14" s="15">
        <f>IFERROR((up_dir!AM14/(up_Bv!L14+s_MLF_cucumber)),".")</f>
        <v>1.3187534153652909E-4</v>
      </c>
      <c r="BN14" s="15">
        <f>IFERROR((up_dir!AN14/(up_Bv!M14+s_MLF_lettuce)),".")</f>
        <v>1.3187534153652909E-4</v>
      </c>
      <c r="BO14" s="15">
        <f>IFERROR((up_dir!AO14/(up_Bv!N14+s_MLF_lima_bean)),".")</f>
        <v>1.3187534153652909E-4</v>
      </c>
      <c r="BP14" s="15">
        <f>IFERROR((up_dir!AP14/(up_Bv!O14+s_MLF_okra)),".")</f>
        <v>1.3187534153652909E-4</v>
      </c>
      <c r="BQ14" s="15">
        <f>IFERROR((up_dir!AQ14/(up_Bv!P14+s_MLF_onion)),".")</f>
        <v>1.3187534153652909E-4</v>
      </c>
      <c r="BR14" s="15">
        <f>IFERROR((up_dir!AR14/(up_Bv!Q14+s_MLF_peach)),".")</f>
        <v>1.3187534153652909E-4</v>
      </c>
      <c r="BS14" s="15">
        <f>IFERROR((up_dir!AS14/(up_Bv!R14+s_MLF_pear)),".")</f>
        <v>1.3187534153652909E-4</v>
      </c>
      <c r="BT14" s="15">
        <f>IFERROR((up_dir!AT14/(up_Bv!S14+s_MLF_peas)),".")</f>
        <v>1.3187534153652909E-4</v>
      </c>
      <c r="BU14" s="15">
        <f>IFERROR((up_dir!AU14/(up_Bv!T14+s_MLF_peppers)),".")</f>
        <v>1.3187534153652909E-4</v>
      </c>
      <c r="BV14" s="15">
        <f>IFERROR((up_dir!AV14/(up_Bv!U14+s_MLF_potato)),".")</f>
        <v>1.3187534153652909E-4</v>
      </c>
      <c r="BW14" s="15">
        <f>IFERROR((up_dir!AW14/(up_Bv!V14+s_MLF_pumpkin)),".")</f>
        <v>1.3187534153652909E-4</v>
      </c>
      <c r="BX14" s="15">
        <f>IFERROR((up_dir!AX14/(up_Bv!W14+s_MLF_snap_bean)),".")</f>
        <v>1.3187534153652909E-4</v>
      </c>
      <c r="BY14" s="15">
        <f>IFERROR((up_dir!AY14/(up_Bv!X14+s_MLF_strawberry)),".")</f>
        <v>1.3187534153652909E-4</v>
      </c>
      <c r="BZ14" s="15">
        <f>IFERROR((up_dir!AZ14/(up_Bv!Y14+s_MLF_tomato)),".")</f>
        <v>1.3187534153652909E-4</v>
      </c>
      <c r="CA14" s="15">
        <f>IFERROR((up_dir!BA14/(up_Bv!Z14+s_MLF_rice)),".")</f>
        <v>1.3187534153652909E-4</v>
      </c>
      <c r="CB14" s="15">
        <f>IFERROR((up_dir!BB14/(up_Bv!AA14+s_MLF_cereal)),".")</f>
        <v>1.3187534153652909E-4</v>
      </c>
      <c r="CC14" s="40">
        <f t="shared" si="3"/>
        <v>151658.375</v>
      </c>
      <c r="CD14" s="40">
        <f>IFERROR(s_C*(up_Bv!C14+s_MLF_apple)*s_IFAP_far_adj*s_CF_apple,".")</f>
        <v>37914.59375</v>
      </c>
      <c r="CE14" s="40">
        <f>IFERROR(s_C*(up_Bv!D14+s_MLF_asparagus)*s_IFAS_far_adj*s_CF_asparagus,".")</f>
        <v>37914.59375</v>
      </c>
      <c r="CF14" s="40">
        <f>IFERROR(s_C*(up_Bv!E14+s_MLF_beet)*s_IFBT_far_adj*s_CF_beet,".")</f>
        <v>37914.59375</v>
      </c>
      <c r="CG14" s="40">
        <f>IFERROR(s_C*(up_Bv!F14+s_MLF_berries)*s_IFBR_far_adj*s_CF_berries,".")</f>
        <v>37914.59375</v>
      </c>
      <c r="CH14" s="40">
        <f>IFERROR(s_C*(up_Bv!G14+s_MLF_broccoli)*s_IFBR_far_adj*s_CF_broccoli,".")</f>
        <v>37914.59375</v>
      </c>
      <c r="CI14" s="40">
        <f>IFERROR(s_C*(up_Bv!H14+s_MLF_cabbage)*s_IFCB_far_adj*s_CF_cabbage,".")</f>
        <v>37914.59375</v>
      </c>
      <c r="CJ14" s="40">
        <f>IFERROR(s_C*(up_Bv!I14+s_MLF_carrot)*s_IFCR_far_adj*s_CF_carrot,".")</f>
        <v>37914.59375</v>
      </c>
      <c r="CK14" s="40">
        <f>IFERROR(s_C*(up_Bv!J14+s_MLF_citrus)*s_IFCI_far_adj*s_CF_citrus,".")</f>
        <v>37914.59375</v>
      </c>
      <c r="CL14" s="40">
        <f>IFERROR(s_C*(up_Bv!K14+s_MLF_corn)*s_IFCO_far_adj*s_CF_corn,".")</f>
        <v>37914.59375</v>
      </c>
      <c r="CM14" s="40">
        <f>IFERROR(s_C*(up_Bv!L14+s_MLF_cucumber)*s_IFCU_far_adj*s_CF_cucumber,".")</f>
        <v>37914.59375</v>
      </c>
      <c r="CN14" s="40">
        <f>IFERROR(s_C*(up_Bv!M14+s_MLF_lettuce)*s_IFLE_far_adj*s_CF_lettuce,".")</f>
        <v>37914.59375</v>
      </c>
      <c r="CO14" s="40">
        <f>IFERROR(s_C*(up_Bv!N14+s_MLF_lima_bean)*s_IFLI_far_adj*s_CF_lima_bean,".")</f>
        <v>37914.59375</v>
      </c>
      <c r="CP14" s="40">
        <f>IFERROR(s_C*(up_Bv!O14+s_MLF_okra)*s_IFOK_far_adj*s_CF_okra,".")</f>
        <v>37914.59375</v>
      </c>
      <c r="CQ14" s="40">
        <f>IFERROR(s_C*(up_Bv!P14+s_MLF_onion)*s_IFON_far_adj*s_CF_onion,".")</f>
        <v>37914.59375</v>
      </c>
      <c r="CR14" s="40">
        <f>IFERROR(s_C*(up_Bv!Q14+s_MLF_peach)*s_IFPC_far_adj*s_CF_peach,".")</f>
        <v>37914.59375</v>
      </c>
      <c r="CS14" s="40">
        <f>IFERROR(s_C*(up_Bv!R14+s_MLF_pear)*s_IFPR_far_adj*s_CF_pear,".")</f>
        <v>37914.59375</v>
      </c>
      <c r="CT14" s="40">
        <f>IFERROR(s_C*(up_Bv!S14+s_MLF_peas)*s_IFPE_far_adj*s_CF_peas,".")</f>
        <v>37914.59375</v>
      </c>
      <c r="CU14" s="40">
        <f>IFERROR(s_C*(up_Bv!T14+s_MLF_peppers)*s_IFPP_far_adj*s_CF_peppers,".")</f>
        <v>37914.59375</v>
      </c>
      <c r="CV14" s="40">
        <f>IFERROR(s_C*(up_Bv!U14+s_MLF_potato)*s_IFPT_far_adj*s_CF_potato,".")</f>
        <v>37914.59375</v>
      </c>
      <c r="CW14" s="40">
        <f>IFERROR(s_C*(up_Bv!V14+s_MLF_pumpkin)*s_IFPU_far_adj*s_CF_pumpkin,".")</f>
        <v>37914.59375</v>
      </c>
      <c r="CX14" s="40">
        <f>IFERROR(s_C*(up_Bv!W14+s_MLF_snap_bean)*s_IFSN_far_adj*s_CF_snap_bean,".")</f>
        <v>37914.59375</v>
      </c>
      <c r="CY14" s="40">
        <f>IFERROR(s_C*(up_Bv!X14+s_MLF_strawberry)*s_IFST_far_adj*s_CF_strawberry,".")</f>
        <v>37914.59375</v>
      </c>
      <c r="CZ14" s="40">
        <f>IFERROR(s_C*(up_Bv!Y14+s_MLF_tomato)*s_IFTO_far_adj*s_CF_tomato,".")</f>
        <v>37914.59375</v>
      </c>
      <c r="DA14" s="40">
        <f>IFERROR(s_C*(up_Bv!Z14+s_MLF_rice)*s_IFRI_far_adj*s_CF_rice,".")</f>
        <v>37914.59375</v>
      </c>
      <c r="DB14" s="40">
        <f>IFERROR(s_C*(up_Bv!AA14+s_MLF_cereal)*s_IFCG_far_adj*s_CF_cereal,".")</f>
        <v>37914.59375</v>
      </c>
    </row>
    <row r="15" spans="1:106" ht="15" customHeight="1" x14ac:dyDescent="0.25">
      <c r="A15" s="44" t="s">
        <v>13</v>
      </c>
      <c r="B15" s="42" t="s">
        <v>1057</v>
      </c>
      <c r="C15" s="15">
        <f t="shared" si="1"/>
        <v>3.2968835384132272E-5</v>
      </c>
      <c r="D15" s="15">
        <f>IFERROR((up_dir!D15/(up_Bv!C15+s_MLF_apple)),".")</f>
        <v>1.3187534153652909E-4</v>
      </c>
      <c r="E15" s="15">
        <f>IFERROR((up_dir!E15/(up_Bv!D15+s_MLF_asparagus)),".")</f>
        <v>1.3187534153652909E-4</v>
      </c>
      <c r="F15" s="15">
        <f>IFERROR((up_dir!F15/(up_Bv!E15+s_MLF_beet)),".")</f>
        <v>1.3187534153652909E-4</v>
      </c>
      <c r="G15" s="15">
        <f>IFERROR((up_dir!G15/(up_Bv!F15+s_MLF_berries)),".")</f>
        <v>1.3187534153652909E-4</v>
      </c>
      <c r="H15" s="15">
        <f>IFERROR((up_dir!H15/(up_Bv!G15+s_MLF_broccoli)),".")</f>
        <v>1.3187534153652909E-4</v>
      </c>
      <c r="I15" s="15">
        <f>IFERROR((up_dir!I15/(up_Bv!H15+s_MLF_cabbage)),".")</f>
        <v>1.3187534153652909E-4</v>
      </c>
      <c r="J15" s="15">
        <f>IFERROR((up_dir!J15/(up_Bv!I15+s_MLF_carrot)),".")</f>
        <v>1.3187534153652909E-4</v>
      </c>
      <c r="K15" s="15">
        <f>IFERROR((up_dir!K15/(up_Bv!J15+s_MLF_citrus)),".")</f>
        <v>1.3187534153652909E-4</v>
      </c>
      <c r="L15" s="15">
        <f>IFERROR((up_dir!L15/(up_Bv!K15+s_MLF_corn)),".")</f>
        <v>1.3187534153652909E-4</v>
      </c>
      <c r="M15" s="15">
        <f>IFERROR((up_dir!M15/(up_Bv!L15+s_MLF_cucumber)),".")</f>
        <v>1.3187534153652909E-4</v>
      </c>
      <c r="N15" s="15">
        <f>IFERROR((up_dir!N15/(up_Bv!M15+s_MLF_lettuce)),".")</f>
        <v>1.3187534153652909E-4</v>
      </c>
      <c r="O15" s="15">
        <f>IFERROR((up_dir!O15/(up_Bv!N15+s_MLF_lima_bean)),".")</f>
        <v>1.3187534153652909E-4</v>
      </c>
      <c r="P15" s="15">
        <f>IFERROR((up_dir!P15/(up_Bv!O15+s_MLF_okra)),".")</f>
        <v>1.3187534153652909E-4</v>
      </c>
      <c r="Q15" s="15">
        <f>IFERROR((up_dir!Q15/(up_Bv!P15+s_MLF_onion)),".")</f>
        <v>1.3187534153652909E-4</v>
      </c>
      <c r="R15" s="15">
        <f>IFERROR((up_dir!R15/(up_Bv!Q15+s_MLF_peach)),".")</f>
        <v>1.3187534153652909E-4</v>
      </c>
      <c r="S15" s="15">
        <f>IFERROR((up_dir!S15/(up_Bv!R15+s_MLF_pear)),".")</f>
        <v>1.3187534153652909E-4</v>
      </c>
      <c r="T15" s="15">
        <f>IFERROR((up_dir!T15/(up_Bv!S15+s_MLF_peas)),".")</f>
        <v>1.3187534153652909E-4</v>
      </c>
      <c r="U15" s="15">
        <f>IFERROR((up_dir!U15/(up_Bv!T15+s_MLF_peppers)),".")</f>
        <v>1.3187534153652909E-4</v>
      </c>
      <c r="V15" s="15">
        <f>IFERROR((up_dir!V15/(up_Bv!U15+s_MLF_potato)),".")</f>
        <v>1.3187534153652909E-4</v>
      </c>
      <c r="W15" s="15">
        <f>IFERROR((up_dir!W15/(up_Bv!V15+s_MLF_pumpkin)),".")</f>
        <v>1.3187534153652909E-4</v>
      </c>
      <c r="X15" s="15">
        <f>IFERROR((up_dir!X15/(up_Bv!W15+s_MLF_snap_bean)),".")</f>
        <v>1.3187534153652909E-4</v>
      </c>
      <c r="Y15" s="15">
        <f>IFERROR((up_dir!Y15/(up_Bv!X15+s_MLF_strawberry)),".")</f>
        <v>1.3187534153652909E-4</v>
      </c>
      <c r="Z15" s="15">
        <f>IFERROR((up_dir!Z15/(up_Bv!Y15+s_MLF_tomato)),".")</f>
        <v>1.3187534153652909E-4</v>
      </c>
      <c r="AA15" s="15">
        <f>IFERROR((up_dir!AA15/(up_Bv!Z15+s_MLF_rice)),".")</f>
        <v>1.3187534153652909E-4</v>
      </c>
      <c r="AB15" s="15">
        <f>IFERROR((up_dir!AB15/(up_Bv!AA15+s_MLF_cereal)),".")</f>
        <v>1.3187534153652909E-4</v>
      </c>
      <c r="AC15" s="40">
        <f t="shared" si="0"/>
        <v>151658.375</v>
      </c>
      <c r="AD15" s="40">
        <f>s_C*(up_Bv!C15+s_MLF_apple)*s_IFAP_res_adj*s_CF_apple</f>
        <v>37914.59375</v>
      </c>
      <c r="AE15" s="40">
        <f>s_C*(up_Bv!D15+s_MLF_asparagus)*s_IFAS_res_adj*s_CF_asparagus</f>
        <v>37914.59375</v>
      </c>
      <c r="AF15" s="40">
        <f>s_C*(up_Bv!E15+s_MLF_beet)*s_IFBT_res_adj*s_CF_beet</f>
        <v>37914.59375</v>
      </c>
      <c r="AG15" s="40">
        <f>s_C*(up_Bv!F15+s_MLF_berries)*s_IFBE_res_adj*s_CF_berries</f>
        <v>37914.59375</v>
      </c>
      <c r="AH15" s="40">
        <f>s_C*(up_Bv!G15+s_MLF_broccoli)*s_IFBR_res_adj*s_CF_broccoli</f>
        <v>37914.59375</v>
      </c>
      <c r="AI15" s="40">
        <f>s_C*(up_Bv!H15+s_MLF_cabbage)*s_IFCB_res_adj*s_CF_cabbage</f>
        <v>37914.59375</v>
      </c>
      <c r="AJ15" s="40">
        <f>s_C*(up_Bv!I15+s_MLF_carrot)*s_IFCR_res_adj*s_CF_carrot</f>
        <v>37914.59375</v>
      </c>
      <c r="AK15" s="40">
        <f>s_C*(up_Bv!J15+s_MLF_citrus)*s_IFCI_res_adj*s_CF_citrus</f>
        <v>37914.59375</v>
      </c>
      <c r="AL15" s="40">
        <f>s_C*(up_Bv!K15+s_MLF_corn)*s_IFCO_res_adj*s_CF_corn</f>
        <v>37914.59375</v>
      </c>
      <c r="AM15" s="40">
        <f>s_C*(up_Bv!L15+s_MLF_cucumber)*s_IFCU_res_adj*s_CF_cucumber</f>
        <v>37914.59375</v>
      </c>
      <c r="AN15" s="40">
        <f>s_C*(up_Bv!M15+s_MLF_lettuce)*s_IFLE_res_adj*s_CF_lettuce</f>
        <v>37914.59375</v>
      </c>
      <c r="AO15" s="40">
        <f>s_C*(up_Bv!N15+s_MLF_lima_bean)*s_IFLI_res_adj*s_CF_lima_bean</f>
        <v>37914.59375</v>
      </c>
      <c r="AP15" s="40">
        <f>s_C*(up_Bv!O15+s_MLF_okra)*s_IFOK_res_adj*s_CF_okra</f>
        <v>37914.59375</v>
      </c>
      <c r="AQ15" s="40">
        <f>s_C*(up_Bv!P15+s_MLF_onion)*s_IFON_res_adj*s_CF_onion</f>
        <v>37914.59375</v>
      </c>
      <c r="AR15" s="40">
        <f>s_C*(up_Bv!Q15+s_MLF_peach)*s_IFPC_res_adj*s_CF_peach</f>
        <v>37914.59375</v>
      </c>
      <c r="AS15" s="40">
        <f>s_C*(up_Bv!R15+s_MLF_pear)*s_IFPR_res_adj*s_CF_pear</f>
        <v>37914.59375</v>
      </c>
      <c r="AT15" s="40">
        <f>s_C*(up_Bv!S15+s_MLF_peas)*s_IFPE_res_adj*s_CF_peas</f>
        <v>37914.59375</v>
      </c>
      <c r="AU15" s="40">
        <f>s_C*(up_Bv!T15+s_MLF_peppers)*s_IFPP_res_adj*s_CF_peppers</f>
        <v>37914.59375</v>
      </c>
      <c r="AV15" s="40">
        <f>s_C*(up_Bv!U15+s_MLF_potato)*s_IFPT_res_adj*s_CF_potato</f>
        <v>37914.59375</v>
      </c>
      <c r="AW15" s="40">
        <f>s_C*(up_Bv!V15+s_MLF_pumpkin)*s_IFPU_res_adj*s_CF_pumpkin</f>
        <v>37914.59375</v>
      </c>
      <c r="AX15" s="40">
        <f>s_C*(up_Bv!W15+s_MLF_snap_bean)*s_IFSN_res_adj*s_CF_snap_bean</f>
        <v>37914.59375</v>
      </c>
      <c r="AY15" s="40">
        <f>s_C*(up_Bv!X15+s_MLF_strawberry)*s_IFST_res_adj*s_CF_strawberry</f>
        <v>37914.59375</v>
      </c>
      <c r="AZ15" s="40">
        <f>s_C*(up_Bv!Y15+s_MLF_tomato)*s_IFTO_res_adj*s_CF_tomato</f>
        <v>37914.59375</v>
      </c>
      <c r="BA15" s="40">
        <f>s_C*(up_Bv!Z15+s_MLF_rice)*s_IFRI_res_adj*s_CF_rice</f>
        <v>37914.59375</v>
      </c>
      <c r="BB15" s="40">
        <f>s_C*(up_Bv!AA15+s_MLF_cereal)*s_IFCG_res_adj*s_CF_cereal</f>
        <v>37914.59375</v>
      </c>
      <c r="BC15" s="15">
        <f t="shared" si="2"/>
        <v>3.2968835384132272E-5</v>
      </c>
      <c r="BD15" s="15">
        <f>IFERROR((up_dir!AD15/(up_Bv!C15+s_MLF_apple)),".")</f>
        <v>1.3187534153652909E-4</v>
      </c>
      <c r="BE15" s="15">
        <f>IFERROR((up_dir!AE15/(up_Bv!D15+s_MLF_asparagus)),".")</f>
        <v>1.3187534153652909E-4</v>
      </c>
      <c r="BF15" s="15">
        <f>IFERROR((up_dir!AF15/(up_Bv!E15+s_MLF_beet)),".")</f>
        <v>1.3187534153652909E-4</v>
      </c>
      <c r="BG15" s="15">
        <f>IFERROR((up_dir!AG15/(up_Bv!F15+s_MLF_berries)),".")</f>
        <v>1.3187534153652909E-4</v>
      </c>
      <c r="BH15" s="15">
        <f>IFERROR((up_dir!AH15/(up_Bv!G15+s_MLF_broccoli)),".")</f>
        <v>1.3187534153652909E-4</v>
      </c>
      <c r="BI15" s="15">
        <f>IFERROR((up_dir!AI15/(up_Bv!H15+s_MLF_cabbage)),".")</f>
        <v>1.3187534153652909E-4</v>
      </c>
      <c r="BJ15" s="15">
        <f>IFERROR((up_dir!AJ15/(up_Bv!I15+s_MLF_carrot)),".")</f>
        <v>1.3187534153652909E-4</v>
      </c>
      <c r="BK15" s="15">
        <f>IFERROR((up_dir!AK15/(up_Bv!J15+s_MLF_citrus)),".")</f>
        <v>1.3187534153652909E-4</v>
      </c>
      <c r="BL15" s="15">
        <f>IFERROR((up_dir!AL15/(up_Bv!K15+s_MLF_corn)),".")</f>
        <v>1.3187534153652909E-4</v>
      </c>
      <c r="BM15" s="15">
        <f>IFERROR((up_dir!AM15/(up_Bv!L15+s_MLF_cucumber)),".")</f>
        <v>1.3187534153652909E-4</v>
      </c>
      <c r="BN15" s="15">
        <f>IFERROR((up_dir!AN15/(up_Bv!M15+s_MLF_lettuce)),".")</f>
        <v>1.3187534153652909E-4</v>
      </c>
      <c r="BO15" s="15">
        <f>IFERROR((up_dir!AO15/(up_Bv!N15+s_MLF_lima_bean)),".")</f>
        <v>1.3187534153652909E-4</v>
      </c>
      <c r="BP15" s="15">
        <f>IFERROR((up_dir!AP15/(up_Bv!O15+s_MLF_okra)),".")</f>
        <v>1.3187534153652909E-4</v>
      </c>
      <c r="BQ15" s="15">
        <f>IFERROR((up_dir!AQ15/(up_Bv!P15+s_MLF_onion)),".")</f>
        <v>1.3187534153652909E-4</v>
      </c>
      <c r="BR15" s="15">
        <f>IFERROR((up_dir!AR15/(up_Bv!Q15+s_MLF_peach)),".")</f>
        <v>1.3187534153652909E-4</v>
      </c>
      <c r="BS15" s="15">
        <f>IFERROR((up_dir!AS15/(up_Bv!R15+s_MLF_pear)),".")</f>
        <v>1.3187534153652909E-4</v>
      </c>
      <c r="BT15" s="15">
        <f>IFERROR((up_dir!AT15/(up_Bv!S15+s_MLF_peas)),".")</f>
        <v>1.3187534153652909E-4</v>
      </c>
      <c r="BU15" s="15">
        <f>IFERROR((up_dir!AU15/(up_Bv!T15+s_MLF_peppers)),".")</f>
        <v>1.3187534153652909E-4</v>
      </c>
      <c r="BV15" s="15">
        <f>IFERROR((up_dir!AV15/(up_Bv!U15+s_MLF_potato)),".")</f>
        <v>1.3187534153652909E-4</v>
      </c>
      <c r="BW15" s="15">
        <f>IFERROR((up_dir!AW15/(up_Bv!V15+s_MLF_pumpkin)),".")</f>
        <v>1.3187534153652909E-4</v>
      </c>
      <c r="BX15" s="15">
        <f>IFERROR((up_dir!AX15/(up_Bv!W15+s_MLF_snap_bean)),".")</f>
        <v>1.3187534153652909E-4</v>
      </c>
      <c r="BY15" s="15">
        <f>IFERROR((up_dir!AY15/(up_Bv!X15+s_MLF_strawberry)),".")</f>
        <v>1.3187534153652909E-4</v>
      </c>
      <c r="BZ15" s="15">
        <f>IFERROR((up_dir!AZ15/(up_Bv!Y15+s_MLF_tomato)),".")</f>
        <v>1.3187534153652909E-4</v>
      </c>
      <c r="CA15" s="15">
        <f>IFERROR((up_dir!BA15/(up_Bv!Z15+s_MLF_rice)),".")</f>
        <v>1.3187534153652909E-4</v>
      </c>
      <c r="CB15" s="15">
        <f>IFERROR((up_dir!BB15/(up_Bv!AA15+s_MLF_cereal)),".")</f>
        <v>1.3187534153652909E-4</v>
      </c>
      <c r="CC15" s="40">
        <f t="shared" si="3"/>
        <v>151658.375</v>
      </c>
      <c r="CD15" s="40">
        <f>IFERROR(s_C*(up_Bv!C15+s_MLF_apple)*s_IFAP_far_adj*s_CF_apple,".")</f>
        <v>37914.59375</v>
      </c>
      <c r="CE15" s="40">
        <f>IFERROR(s_C*(up_Bv!D15+s_MLF_asparagus)*s_IFAS_far_adj*s_CF_asparagus,".")</f>
        <v>37914.59375</v>
      </c>
      <c r="CF15" s="40">
        <f>IFERROR(s_C*(up_Bv!E15+s_MLF_beet)*s_IFBT_far_adj*s_CF_beet,".")</f>
        <v>37914.59375</v>
      </c>
      <c r="CG15" s="40">
        <f>IFERROR(s_C*(up_Bv!F15+s_MLF_berries)*s_IFBR_far_adj*s_CF_berries,".")</f>
        <v>37914.59375</v>
      </c>
      <c r="CH15" s="40">
        <f>IFERROR(s_C*(up_Bv!G15+s_MLF_broccoli)*s_IFBR_far_adj*s_CF_broccoli,".")</f>
        <v>37914.59375</v>
      </c>
      <c r="CI15" s="40">
        <f>IFERROR(s_C*(up_Bv!H15+s_MLF_cabbage)*s_IFCB_far_adj*s_CF_cabbage,".")</f>
        <v>37914.59375</v>
      </c>
      <c r="CJ15" s="40">
        <f>IFERROR(s_C*(up_Bv!I15+s_MLF_carrot)*s_IFCR_far_adj*s_CF_carrot,".")</f>
        <v>37914.59375</v>
      </c>
      <c r="CK15" s="40">
        <f>IFERROR(s_C*(up_Bv!J15+s_MLF_citrus)*s_IFCI_far_adj*s_CF_citrus,".")</f>
        <v>37914.59375</v>
      </c>
      <c r="CL15" s="40">
        <f>IFERROR(s_C*(up_Bv!K15+s_MLF_corn)*s_IFCO_far_adj*s_CF_corn,".")</f>
        <v>37914.59375</v>
      </c>
      <c r="CM15" s="40">
        <f>IFERROR(s_C*(up_Bv!L15+s_MLF_cucumber)*s_IFCU_far_adj*s_CF_cucumber,".")</f>
        <v>37914.59375</v>
      </c>
      <c r="CN15" s="40">
        <f>IFERROR(s_C*(up_Bv!M15+s_MLF_lettuce)*s_IFLE_far_adj*s_CF_lettuce,".")</f>
        <v>37914.59375</v>
      </c>
      <c r="CO15" s="40">
        <f>IFERROR(s_C*(up_Bv!N15+s_MLF_lima_bean)*s_IFLI_far_adj*s_CF_lima_bean,".")</f>
        <v>37914.59375</v>
      </c>
      <c r="CP15" s="40">
        <f>IFERROR(s_C*(up_Bv!O15+s_MLF_okra)*s_IFOK_far_adj*s_CF_okra,".")</f>
        <v>37914.59375</v>
      </c>
      <c r="CQ15" s="40">
        <f>IFERROR(s_C*(up_Bv!P15+s_MLF_onion)*s_IFON_far_adj*s_CF_onion,".")</f>
        <v>37914.59375</v>
      </c>
      <c r="CR15" s="40">
        <f>IFERROR(s_C*(up_Bv!Q15+s_MLF_peach)*s_IFPC_far_adj*s_CF_peach,".")</f>
        <v>37914.59375</v>
      </c>
      <c r="CS15" s="40">
        <f>IFERROR(s_C*(up_Bv!R15+s_MLF_pear)*s_IFPR_far_adj*s_CF_pear,".")</f>
        <v>37914.59375</v>
      </c>
      <c r="CT15" s="40">
        <f>IFERROR(s_C*(up_Bv!S15+s_MLF_peas)*s_IFPE_far_adj*s_CF_peas,".")</f>
        <v>37914.59375</v>
      </c>
      <c r="CU15" s="40">
        <f>IFERROR(s_C*(up_Bv!T15+s_MLF_peppers)*s_IFPP_far_adj*s_CF_peppers,".")</f>
        <v>37914.59375</v>
      </c>
      <c r="CV15" s="40">
        <f>IFERROR(s_C*(up_Bv!U15+s_MLF_potato)*s_IFPT_far_adj*s_CF_potato,".")</f>
        <v>37914.59375</v>
      </c>
      <c r="CW15" s="40">
        <f>IFERROR(s_C*(up_Bv!V15+s_MLF_pumpkin)*s_IFPU_far_adj*s_CF_pumpkin,".")</f>
        <v>37914.59375</v>
      </c>
      <c r="CX15" s="40">
        <f>IFERROR(s_C*(up_Bv!W15+s_MLF_snap_bean)*s_IFSN_far_adj*s_CF_snap_bean,".")</f>
        <v>37914.59375</v>
      </c>
      <c r="CY15" s="40">
        <f>IFERROR(s_C*(up_Bv!X15+s_MLF_strawberry)*s_IFST_far_adj*s_CF_strawberry,".")</f>
        <v>37914.59375</v>
      </c>
      <c r="CZ15" s="40">
        <f>IFERROR(s_C*(up_Bv!Y15+s_MLF_tomato)*s_IFTO_far_adj*s_CF_tomato,".")</f>
        <v>37914.59375</v>
      </c>
      <c r="DA15" s="40">
        <f>IFERROR(s_C*(up_Bv!Z15+s_MLF_rice)*s_IFRI_far_adj*s_CF_rice,".")</f>
        <v>37914.59375</v>
      </c>
      <c r="DB15" s="40">
        <f>IFERROR(s_C*(up_Bv!AA15+s_MLF_cereal)*s_IFCG_far_adj*s_CF_cereal,".")</f>
        <v>37914.59375</v>
      </c>
    </row>
    <row r="16" spans="1:106" ht="15" customHeight="1" x14ac:dyDescent="0.25">
      <c r="A16" s="44" t="s">
        <v>14</v>
      </c>
      <c r="B16" s="42" t="s">
        <v>1057</v>
      </c>
      <c r="C16" s="15">
        <f t="shared" si="1"/>
        <v>3.2968835384132272E-5</v>
      </c>
      <c r="D16" s="15">
        <f>IFERROR((up_dir!D16/(up_Bv!C16+s_MLF_apple)),".")</f>
        <v>1.3187534153652909E-4</v>
      </c>
      <c r="E16" s="15">
        <f>IFERROR((up_dir!E16/(up_Bv!D16+s_MLF_asparagus)),".")</f>
        <v>1.3187534153652909E-4</v>
      </c>
      <c r="F16" s="15">
        <f>IFERROR((up_dir!F16/(up_Bv!E16+s_MLF_beet)),".")</f>
        <v>1.3187534153652909E-4</v>
      </c>
      <c r="G16" s="15">
        <f>IFERROR((up_dir!G16/(up_Bv!F16+s_MLF_berries)),".")</f>
        <v>1.3187534153652909E-4</v>
      </c>
      <c r="H16" s="15">
        <f>IFERROR((up_dir!H16/(up_Bv!G16+s_MLF_broccoli)),".")</f>
        <v>1.3187534153652909E-4</v>
      </c>
      <c r="I16" s="15">
        <f>IFERROR((up_dir!I16/(up_Bv!H16+s_MLF_cabbage)),".")</f>
        <v>1.3187534153652909E-4</v>
      </c>
      <c r="J16" s="15">
        <f>IFERROR((up_dir!J16/(up_Bv!I16+s_MLF_carrot)),".")</f>
        <v>1.3187534153652909E-4</v>
      </c>
      <c r="K16" s="15">
        <f>IFERROR((up_dir!K16/(up_Bv!J16+s_MLF_citrus)),".")</f>
        <v>1.3187534153652909E-4</v>
      </c>
      <c r="L16" s="15">
        <f>IFERROR((up_dir!L16/(up_Bv!K16+s_MLF_corn)),".")</f>
        <v>1.3187534153652909E-4</v>
      </c>
      <c r="M16" s="15">
        <f>IFERROR((up_dir!M16/(up_Bv!L16+s_MLF_cucumber)),".")</f>
        <v>1.3187534153652909E-4</v>
      </c>
      <c r="N16" s="15">
        <f>IFERROR((up_dir!N16/(up_Bv!M16+s_MLF_lettuce)),".")</f>
        <v>1.3187534153652909E-4</v>
      </c>
      <c r="O16" s="15">
        <f>IFERROR((up_dir!O16/(up_Bv!N16+s_MLF_lima_bean)),".")</f>
        <v>1.3187534153652909E-4</v>
      </c>
      <c r="P16" s="15">
        <f>IFERROR((up_dir!P16/(up_Bv!O16+s_MLF_okra)),".")</f>
        <v>1.3187534153652909E-4</v>
      </c>
      <c r="Q16" s="15">
        <f>IFERROR((up_dir!Q16/(up_Bv!P16+s_MLF_onion)),".")</f>
        <v>1.3187534153652909E-4</v>
      </c>
      <c r="R16" s="15">
        <f>IFERROR((up_dir!R16/(up_Bv!Q16+s_MLF_peach)),".")</f>
        <v>1.3187534153652909E-4</v>
      </c>
      <c r="S16" s="15">
        <f>IFERROR((up_dir!S16/(up_Bv!R16+s_MLF_pear)),".")</f>
        <v>1.3187534153652909E-4</v>
      </c>
      <c r="T16" s="15">
        <f>IFERROR((up_dir!T16/(up_Bv!S16+s_MLF_peas)),".")</f>
        <v>1.3187534153652909E-4</v>
      </c>
      <c r="U16" s="15">
        <f>IFERROR((up_dir!U16/(up_Bv!T16+s_MLF_peppers)),".")</f>
        <v>1.3187534153652909E-4</v>
      </c>
      <c r="V16" s="15">
        <f>IFERROR((up_dir!V16/(up_Bv!U16+s_MLF_potato)),".")</f>
        <v>1.3187534153652909E-4</v>
      </c>
      <c r="W16" s="15">
        <f>IFERROR((up_dir!W16/(up_Bv!V16+s_MLF_pumpkin)),".")</f>
        <v>1.3187534153652909E-4</v>
      </c>
      <c r="X16" s="15">
        <f>IFERROR((up_dir!X16/(up_Bv!W16+s_MLF_snap_bean)),".")</f>
        <v>1.3187534153652909E-4</v>
      </c>
      <c r="Y16" s="15">
        <f>IFERROR((up_dir!Y16/(up_Bv!X16+s_MLF_strawberry)),".")</f>
        <v>1.3187534153652909E-4</v>
      </c>
      <c r="Z16" s="15">
        <f>IFERROR((up_dir!Z16/(up_Bv!Y16+s_MLF_tomato)),".")</f>
        <v>1.3187534153652909E-4</v>
      </c>
      <c r="AA16" s="15">
        <f>IFERROR((up_dir!AA16/(up_Bv!Z16+s_MLF_rice)),".")</f>
        <v>1.3187534153652909E-4</v>
      </c>
      <c r="AB16" s="15">
        <f>IFERROR((up_dir!AB16/(up_Bv!AA16+s_MLF_cereal)),".")</f>
        <v>1.3187534153652909E-4</v>
      </c>
      <c r="AC16" s="40">
        <f t="shared" si="0"/>
        <v>151658.375</v>
      </c>
      <c r="AD16" s="40">
        <f>s_C*(up_Bv!C16+s_MLF_apple)*s_IFAP_res_adj*s_CF_apple</f>
        <v>37914.59375</v>
      </c>
      <c r="AE16" s="40">
        <f>s_C*(up_Bv!D16+s_MLF_asparagus)*s_IFAS_res_adj*s_CF_asparagus</f>
        <v>37914.59375</v>
      </c>
      <c r="AF16" s="40">
        <f>s_C*(up_Bv!E16+s_MLF_beet)*s_IFBT_res_adj*s_CF_beet</f>
        <v>37914.59375</v>
      </c>
      <c r="AG16" s="40">
        <f>s_C*(up_Bv!F16+s_MLF_berries)*s_IFBE_res_adj*s_CF_berries</f>
        <v>37914.59375</v>
      </c>
      <c r="AH16" s="40">
        <f>s_C*(up_Bv!G16+s_MLF_broccoli)*s_IFBR_res_adj*s_CF_broccoli</f>
        <v>37914.59375</v>
      </c>
      <c r="AI16" s="40">
        <f>s_C*(up_Bv!H16+s_MLF_cabbage)*s_IFCB_res_adj*s_CF_cabbage</f>
        <v>37914.59375</v>
      </c>
      <c r="AJ16" s="40">
        <f>s_C*(up_Bv!I16+s_MLF_carrot)*s_IFCR_res_adj*s_CF_carrot</f>
        <v>37914.59375</v>
      </c>
      <c r="AK16" s="40">
        <f>s_C*(up_Bv!J16+s_MLF_citrus)*s_IFCI_res_adj*s_CF_citrus</f>
        <v>37914.59375</v>
      </c>
      <c r="AL16" s="40">
        <f>s_C*(up_Bv!K16+s_MLF_corn)*s_IFCO_res_adj*s_CF_corn</f>
        <v>37914.59375</v>
      </c>
      <c r="AM16" s="40">
        <f>s_C*(up_Bv!L16+s_MLF_cucumber)*s_IFCU_res_adj*s_CF_cucumber</f>
        <v>37914.59375</v>
      </c>
      <c r="AN16" s="40">
        <f>s_C*(up_Bv!M16+s_MLF_lettuce)*s_IFLE_res_adj*s_CF_lettuce</f>
        <v>37914.59375</v>
      </c>
      <c r="AO16" s="40">
        <f>s_C*(up_Bv!N16+s_MLF_lima_bean)*s_IFLI_res_adj*s_CF_lima_bean</f>
        <v>37914.59375</v>
      </c>
      <c r="AP16" s="40">
        <f>s_C*(up_Bv!O16+s_MLF_okra)*s_IFOK_res_adj*s_CF_okra</f>
        <v>37914.59375</v>
      </c>
      <c r="AQ16" s="40">
        <f>s_C*(up_Bv!P16+s_MLF_onion)*s_IFON_res_adj*s_CF_onion</f>
        <v>37914.59375</v>
      </c>
      <c r="AR16" s="40">
        <f>s_C*(up_Bv!Q16+s_MLF_peach)*s_IFPC_res_adj*s_CF_peach</f>
        <v>37914.59375</v>
      </c>
      <c r="AS16" s="40">
        <f>s_C*(up_Bv!R16+s_MLF_pear)*s_IFPR_res_adj*s_CF_pear</f>
        <v>37914.59375</v>
      </c>
      <c r="AT16" s="40">
        <f>s_C*(up_Bv!S16+s_MLF_peas)*s_IFPE_res_adj*s_CF_peas</f>
        <v>37914.59375</v>
      </c>
      <c r="AU16" s="40">
        <f>s_C*(up_Bv!T16+s_MLF_peppers)*s_IFPP_res_adj*s_CF_peppers</f>
        <v>37914.59375</v>
      </c>
      <c r="AV16" s="40">
        <f>s_C*(up_Bv!U16+s_MLF_potato)*s_IFPT_res_adj*s_CF_potato</f>
        <v>37914.59375</v>
      </c>
      <c r="AW16" s="40">
        <f>s_C*(up_Bv!V16+s_MLF_pumpkin)*s_IFPU_res_adj*s_CF_pumpkin</f>
        <v>37914.59375</v>
      </c>
      <c r="AX16" s="40">
        <f>s_C*(up_Bv!W16+s_MLF_snap_bean)*s_IFSN_res_adj*s_CF_snap_bean</f>
        <v>37914.59375</v>
      </c>
      <c r="AY16" s="40">
        <f>s_C*(up_Bv!X16+s_MLF_strawberry)*s_IFST_res_adj*s_CF_strawberry</f>
        <v>37914.59375</v>
      </c>
      <c r="AZ16" s="40">
        <f>s_C*(up_Bv!Y16+s_MLF_tomato)*s_IFTO_res_adj*s_CF_tomato</f>
        <v>37914.59375</v>
      </c>
      <c r="BA16" s="40">
        <f>s_C*(up_Bv!Z16+s_MLF_rice)*s_IFRI_res_adj*s_CF_rice</f>
        <v>37914.59375</v>
      </c>
      <c r="BB16" s="40">
        <f>s_C*(up_Bv!AA16+s_MLF_cereal)*s_IFCG_res_adj*s_CF_cereal</f>
        <v>37914.59375</v>
      </c>
      <c r="BC16" s="15">
        <f t="shared" si="2"/>
        <v>3.2968835384132272E-5</v>
      </c>
      <c r="BD16" s="15">
        <f>IFERROR((up_dir!AD16/(up_Bv!C16+s_MLF_apple)),".")</f>
        <v>1.3187534153652909E-4</v>
      </c>
      <c r="BE16" s="15">
        <f>IFERROR((up_dir!AE16/(up_Bv!D16+s_MLF_asparagus)),".")</f>
        <v>1.3187534153652909E-4</v>
      </c>
      <c r="BF16" s="15">
        <f>IFERROR((up_dir!AF16/(up_Bv!E16+s_MLF_beet)),".")</f>
        <v>1.3187534153652909E-4</v>
      </c>
      <c r="BG16" s="15">
        <f>IFERROR((up_dir!AG16/(up_Bv!F16+s_MLF_berries)),".")</f>
        <v>1.3187534153652909E-4</v>
      </c>
      <c r="BH16" s="15">
        <f>IFERROR((up_dir!AH16/(up_Bv!G16+s_MLF_broccoli)),".")</f>
        <v>1.3187534153652909E-4</v>
      </c>
      <c r="BI16" s="15">
        <f>IFERROR((up_dir!AI16/(up_Bv!H16+s_MLF_cabbage)),".")</f>
        <v>1.3187534153652909E-4</v>
      </c>
      <c r="BJ16" s="15">
        <f>IFERROR((up_dir!AJ16/(up_Bv!I16+s_MLF_carrot)),".")</f>
        <v>1.3187534153652909E-4</v>
      </c>
      <c r="BK16" s="15">
        <f>IFERROR((up_dir!AK16/(up_Bv!J16+s_MLF_citrus)),".")</f>
        <v>1.3187534153652909E-4</v>
      </c>
      <c r="BL16" s="15">
        <f>IFERROR((up_dir!AL16/(up_Bv!K16+s_MLF_corn)),".")</f>
        <v>1.3187534153652909E-4</v>
      </c>
      <c r="BM16" s="15">
        <f>IFERROR((up_dir!AM16/(up_Bv!L16+s_MLF_cucumber)),".")</f>
        <v>1.3187534153652909E-4</v>
      </c>
      <c r="BN16" s="15">
        <f>IFERROR((up_dir!AN16/(up_Bv!M16+s_MLF_lettuce)),".")</f>
        <v>1.3187534153652909E-4</v>
      </c>
      <c r="BO16" s="15">
        <f>IFERROR((up_dir!AO16/(up_Bv!N16+s_MLF_lima_bean)),".")</f>
        <v>1.3187534153652909E-4</v>
      </c>
      <c r="BP16" s="15">
        <f>IFERROR((up_dir!AP16/(up_Bv!O16+s_MLF_okra)),".")</f>
        <v>1.3187534153652909E-4</v>
      </c>
      <c r="BQ16" s="15">
        <f>IFERROR((up_dir!AQ16/(up_Bv!P16+s_MLF_onion)),".")</f>
        <v>1.3187534153652909E-4</v>
      </c>
      <c r="BR16" s="15">
        <f>IFERROR((up_dir!AR16/(up_Bv!Q16+s_MLF_peach)),".")</f>
        <v>1.3187534153652909E-4</v>
      </c>
      <c r="BS16" s="15">
        <f>IFERROR((up_dir!AS16/(up_Bv!R16+s_MLF_pear)),".")</f>
        <v>1.3187534153652909E-4</v>
      </c>
      <c r="BT16" s="15">
        <f>IFERROR((up_dir!AT16/(up_Bv!S16+s_MLF_peas)),".")</f>
        <v>1.3187534153652909E-4</v>
      </c>
      <c r="BU16" s="15">
        <f>IFERROR((up_dir!AU16/(up_Bv!T16+s_MLF_peppers)),".")</f>
        <v>1.3187534153652909E-4</v>
      </c>
      <c r="BV16" s="15">
        <f>IFERROR((up_dir!AV16/(up_Bv!U16+s_MLF_potato)),".")</f>
        <v>1.3187534153652909E-4</v>
      </c>
      <c r="BW16" s="15">
        <f>IFERROR((up_dir!AW16/(up_Bv!V16+s_MLF_pumpkin)),".")</f>
        <v>1.3187534153652909E-4</v>
      </c>
      <c r="BX16" s="15">
        <f>IFERROR((up_dir!AX16/(up_Bv!W16+s_MLF_snap_bean)),".")</f>
        <v>1.3187534153652909E-4</v>
      </c>
      <c r="BY16" s="15">
        <f>IFERROR((up_dir!AY16/(up_Bv!X16+s_MLF_strawberry)),".")</f>
        <v>1.3187534153652909E-4</v>
      </c>
      <c r="BZ16" s="15">
        <f>IFERROR((up_dir!AZ16/(up_Bv!Y16+s_MLF_tomato)),".")</f>
        <v>1.3187534153652909E-4</v>
      </c>
      <c r="CA16" s="15">
        <f>IFERROR((up_dir!BA16/(up_Bv!Z16+s_MLF_rice)),".")</f>
        <v>1.3187534153652909E-4</v>
      </c>
      <c r="CB16" s="15">
        <f>IFERROR((up_dir!BB16/(up_Bv!AA16+s_MLF_cereal)),".")</f>
        <v>1.3187534153652909E-4</v>
      </c>
      <c r="CC16" s="40">
        <f t="shared" si="3"/>
        <v>151658.375</v>
      </c>
      <c r="CD16" s="40">
        <f>IFERROR(s_C*(up_Bv!C16+s_MLF_apple)*s_IFAP_far_adj*s_CF_apple,".")</f>
        <v>37914.59375</v>
      </c>
      <c r="CE16" s="40">
        <f>IFERROR(s_C*(up_Bv!D16+s_MLF_asparagus)*s_IFAS_far_adj*s_CF_asparagus,".")</f>
        <v>37914.59375</v>
      </c>
      <c r="CF16" s="40">
        <f>IFERROR(s_C*(up_Bv!E16+s_MLF_beet)*s_IFBT_far_adj*s_CF_beet,".")</f>
        <v>37914.59375</v>
      </c>
      <c r="CG16" s="40">
        <f>IFERROR(s_C*(up_Bv!F16+s_MLF_berries)*s_IFBR_far_adj*s_CF_berries,".")</f>
        <v>37914.59375</v>
      </c>
      <c r="CH16" s="40">
        <f>IFERROR(s_C*(up_Bv!G16+s_MLF_broccoli)*s_IFBR_far_adj*s_CF_broccoli,".")</f>
        <v>37914.59375</v>
      </c>
      <c r="CI16" s="40">
        <f>IFERROR(s_C*(up_Bv!H16+s_MLF_cabbage)*s_IFCB_far_adj*s_CF_cabbage,".")</f>
        <v>37914.59375</v>
      </c>
      <c r="CJ16" s="40">
        <f>IFERROR(s_C*(up_Bv!I16+s_MLF_carrot)*s_IFCR_far_adj*s_CF_carrot,".")</f>
        <v>37914.59375</v>
      </c>
      <c r="CK16" s="40">
        <f>IFERROR(s_C*(up_Bv!J16+s_MLF_citrus)*s_IFCI_far_adj*s_CF_citrus,".")</f>
        <v>37914.59375</v>
      </c>
      <c r="CL16" s="40">
        <f>IFERROR(s_C*(up_Bv!K16+s_MLF_corn)*s_IFCO_far_adj*s_CF_corn,".")</f>
        <v>37914.59375</v>
      </c>
      <c r="CM16" s="40">
        <f>IFERROR(s_C*(up_Bv!L16+s_MLF_cucumber)*s_IFCU_far_adj*s_CF_cucumber,".")</f>
        <v>37914.59375</v>
      </c>
      <c r="CN16" s="40">
        <f>IFERROR(s_C*(up_Bv!M16+s_MLF_lettuce)*s_IFLE_far_adj*s_CF_lettuce,".")</f>
        <v>37914.59375</v>
      </c>
      <c r="CO16" s="40">
        <f>IFERROR(s_C*(up_Bv!N16+s_MLF_lima_bean)*s_IFLI_far_adj*s_CF_lima_bean,".")</f>
        <v>37914.59375</v>
      </c>
      <c r="CP16" s="40">
        <f>IFERROR(s_C*(up_Bv!O16+s_MLF_okra)*s_IFOK_far_adj*s_CF_okra,".")</f>
        <v>37914.59375</v>
      </c>
      <c r="CQ16" s="40">
        <f>IFERROR(s_C*(up_Bv!P16+s_MLF_onion)*s_IFON_far_adj*s_CF_onion,".")</f>
        <v>37914.59375</v>
      </c>
      <c r="CR16" s="40">
        <f>IFERROR(s_C*(up_Bv!Q16+s_MLF_peach)*s_IFPC_far_adj*s_CF_peach,".")</f>
        <v>37914.59375</v>
      </c>
      <c r="CS16" s="40">
        <f>IFERROR(s_C*(up_Bv!R16+s_MLF_pear)*s_IFPR_far_adj*s_CF_pear,".")</f>
        <v>37914.59375</v>
      </c>
      <c r="CT16" s="40">
        <f>IFERROR(s_C*(up_Bv!S16+s_MLF_peas)*s_IFPE_far_adj*s_CF_peas,".")</f>
        <v>37914.59375</v>
      </c>
      <c r="CU16" s="40">
        <f>IFERROR(s_C*(up_Bv!T16+s_MLF_peppers)*s_IFPP_far_adj*s_CF_peppers,".")</f>
        <v>37914.59375</v>
      </c>
      <c r="CV16" s="40">
        <f>IFERROR(s_C*(up_Bv!U16+s_MLF_potato)*s_IFPT_far_adj*s_CF_potato,".")</f>
        <v>37914.59375</v>
      </c>
      <c r="CW16" s="40">
        <f>IFERROR(s_C*(up_Bv!V16+s_MLF_pumpkin)*s_IFPU_far_adj*s_CF_pumpkin,".")</f>
        <v>37914.59375</v>
      </c>
      <c r="CX16" s="40">
        <f>IFERROR(s_C*(up_Bv!W16+s_MLF_snap_bean)*s_IFSN_far_adj*s_CF_snap_bean,".")</f>
        <v>37914.59375</v>
      </c>
      <c r="CY16" s="40">
        <f>IFERROR(s_C*(up_Bv!X16+s_MLF_strawberry)*s_IFST_far_adj*s_CF_strawberry,".")</f>
        <v>37914.59375</v>
      </c>
      <c r="CZ16" s="40">
        <f>IFERROR(s_C*(up_Bv!Y16+s_MLF_tomato)*s_IFTO_far_adj*s_CF_tomato,".")</f>
        <v>37914.59375</v>
      </c>
      <c r="DA16" s="40">
        <f>IFERROR(s_C*(up_Bv!Z16+s_MLF_rice)*s_IFRI_far_adj*s_CF_rice,".")</f>
        <v>37914.59375</v>
      </c>
      <c r="DB16" s="40">
        <f>IFERROR(s_C*(up_Bv!AA16+s_MLF_cereal)*s_IFCG_far_adj*s_CF_cereal,".")</f>
        <v>37914.59375</v>
      </c>
    </row>
    <row r="17" spans="1:106" ht="15" customHeight="1" x14ac:dyDescent="0.25">
      <c r="A17" s="44" t="s">
        <v>15</v>
      </c>
      <c r="B17" s="42" t="s">
        <v>1057</v>
      </c>
      <c r="C17" s="15">
        <f t="shared" si="1"/>
        <v>3.2968835384132272E-5</v>
      </c>
      <c r="D17" s="15">
        <f>IFERROR((up_dir!D17/(up_Bv!C17+s_MLF_apple)),".")</f>
        <v>1.3187534153652909E-4</v>
      </c>
      <c r="E17" s="15">
        <f>IFERROR((up_dir!E17/(up_Bv!D17+s_MLF_asparagus)),".")</f>
        <v>1.3187534153652909E-4</v>
      </c>
      <c r="F17" s="15">
        <f>IFERROR((up_dir!F17/(up_Bv!E17+s_MLF_beet)),".")</f>
        <v>1.3187534153652909E-4</v>
      </c>
      <c r="G17" s="15">
        <f>IFERROR((up_dir!G17/(up_Bv!F17+s_MLF_berries)),".")</f>
        <v>1.3187534153652909E-4</v>
      </c>
      <c r="H17" s="15">
        <f>IFERROR((up_dir!H17/(up_Bv!G17+s_MLF_broccoli)),".")</f>
        <v>1.3187534153652909E-4</v>
      </c>
      <c r="I17" s="15">
        <f>IFERROR((up_dir!I17/(up_Bv!H17+s_MLF_cabbage)),".")</f>
        <v>1.3187534153652909E-4</v>
      </c>
      <c r="J17" s="15">
        <f>IFERROR((up_dir!J17/(up_Bv!I17+s_MLF_carrot)),".")</f>
        <v>1.3187534153652909E-4</v>
      </c>
      <c r="K17" s="15">
        <f>IFERROR((up_dir!K17/(up_Bv!J17+s_MLF_citrus)),".")</f>
        <v>1.3187534153652909E-4</v>
      </c>
      <c r="L17" s="15">
        <f>IFERROR((up_dir!L17/(up_Bv!K17+s_MLF_corn)),".")</f>
        <v>1.3187534153652909E-4</v>
      </c>
      <c r="M17" s="15">
        <f>IFERROR((up_dir!M17/(up_Bv!L17+s_MLF_cucumber)),".")</f>
        <v>1.3187534153652909E-4</v>
      </c>
      <c r="N17" s="15">
        <f>IFERROR((up_dir!N17/(up_Bv!M17+s_MLF_lettuce)),".")</f>
        <v>1.3187534153652909E-4</v>
      </c>
      <c r="O17" s="15">
        <f>IFERROR((up_dir!O17/(up_Bv!N17+s_MLF_lima_bean)),".")</f>
        <v>1.3187534153652909E-4</v>
      </c>
      <c r="P17" s="15">
        <f>IFERROR((up_dir!P17/(up_Bv!O17+s_MLF_okra)),".")</f>
        <v>1.3187534153652909E-4</v>
      </c>
      <c r="Q17" s="15">
        <f>IFERROR((up_dir!Q17/(up_Bv!P17+s_MLF_onion)),".")</f>
        <v>1.3187534153652909E-4</v>
      </c>
      <c r="R17" s="15">
        <f>IFERROR((up_dir!R17/(up_Bv!Q17+s_MLF_peach)),".")</f>
        <v>1.3187534153652909E-4</v>
      </c>
      <c r="S17" s="15">
        <f>IFERROR((up_dir!S17/(up_Bv!R17+s_MLF_pear)),".")</f>
        <v>1.3187534153652909E-4</v>
      </c>
      <c r="T17" s="15">
        <f>IFERROR((up_dir!T17/(up_Bv!S17+s_MLF_peas)),".")</f>
        <v>1.3187534153652909E-4</v>
      </c>
      <c r="U17" s="15">
        <f>IFERROR((up_dir!U17/(up_Bv!T17+s_MLF_peppers)),".")</f>
        <v>1.3187534153652909E-4</v>
      </c>
      <c r="V17" s="15">
        <f>IFERROR((up_dir!V17/(up_Bv!U17+s_MLF_potato)),".")</f>
        <v>1.3187534153652909E-4</v>
      </c>
      <c r="W17" s="15">
        <f>IFERROR((up_dir!W17/(up_Bv!V17+s_MLF_pumpkin)),".")</f>
        <v>1.3187534153652909E-4</v>
      </c>
      <c r="X17" s="15">
        <f>IFERROR((up_dir!X17/(up_Bv!W17+s_MLF_snap_bean)),".")</f>
        <v>1.3187534153652909E-4</v>
      </c>
      <c r="Y17" s="15">
        <f>IFERROR((up_dir!Y17/(up_Bv!X17+s_MLF_strawberry)),".")</f>
        <v>1.3187534153652909E-4</v>
      </c>
      <c r="Z17" s="15">
        <f>IFERROR((up_dir!Z17/(up_Bv!Y17+s_MLF_tomato)),".")</f>
        <v>1.3187534153652909E-4</v>
      </c>
      <c r="AA17" s="15">
        <f>IFERROR((up_dir!AA17/(up_Bv!Z17+s_MLF_rice)),".")</f>
        <v>1.3187534153652909E-4</v>
      </c>
      <c r="AB17" s="15">
        <f>IFERROR((up_dir!AB17/(up_Bv!AA17+s_MLF_cereal)),".")</f>
        <v>1.3187534153652909E-4</v>
      </c>
      <c r="AC17" s="40">
        <f t="shared" si="0"/>
        <v>151658.375</v>
      </c>
      <c r="AD17" s="40">
        <f>s_C*(up_Bv!C17+s_MLF_apple)*s_IFAP_res_adj*s_CF_apple</f>
        <v>37914.59375</v>
      </c>
      <c r="AE17" s="40">
        <f>s_C*(up_Bv!D17+s_MLF_asparagus)*s_IFAS_res_adj*s_CF_asparagus</f>
        <v>37914.59375</v>
      </c>
      <c r="AF17" s="40">
        <f>s_C*(up_Bv!E17+s_MLF_beet)*s_IFBT_res_adj*s_CF_beet</f>
        <v>37914.59375</v>
      </c>
      <c r="AG17" s="40">
        <f>s_C*(up_Bv!F17+s_MLF_berries)*s_IFBE_res_adj*s_CF_berries</f>
        <v>37914.59375</v>
      </c>
      <c r="AH17" s="40">
        <f>s_C*(up_Bv!G17+s_MLF_broccoli)*s_IFBR_res_adj*s_CF_broccoli</f>
        <v>37914.59375</v>
      </c>
      <c r="AI17" s="40">
        <f>s_C*(up_Bv!H17+s_MLF_cabbage)*s_IFCB_res_adj*s_CF_cabbage</f>
        <v>37914.59375</v>
      </c>
      <c r="AJ17" s="40">
        <f>s_C*(up_Bv!I17+s_MLF_carrot)*s_IFCR_res_adj*s_CF_carrot</f>
        <v>37914.59375</v>
      </c>
      <c r="AK17" s="40">
        <f>s_C*(up_Bv!J17+s_MLF_citrus)*s_IFCI_res_adj*s_CF_citrus</f>
        <v>37914.59375</v>
      </c>
      <c r="AL17" s="40">
        <f>s_C*(up_Bv!K17+s_MLF_corn)*s_IFCO_res_adj*s_CF_corn</f>
        <v>37914.59375</v>
      </c>
      <c r="AM17" s="40">
        <f>s_C*(up_Bv!L17+s_MLF_cucumber)*s_IFCU_res_adj*s_CF_cucumber</f>
        <v>37914.59375</v>
      </c>
      <c r="AN17" s="40">
        <f>s_C*(up_Bv!M17+s_MLF_lettuce)*s_IFLE_res_adj*s_CF_lettuce</f>
        <v>37914.59375</v>
      </c>
      <c r="AO17" s="40">
        <f>s_C*(up_Bv!N17+s_MLF_lima_bean)*s_IFLI_res_adj*s_CF_lima_bean</f>
        <v>37914.59375</v>
      </c>
      <c r="AP17" s="40">
        <f>s_C*(up_Bv!O17+s_MLF_okra)*s_IFOK_res_adj*s_CF_okra</f>
        <v>37914.59375</v>
      </c>
      <c r="AQ17" s="40">
        <f>s_C*(up_Bv!P17+s_MLF_onion)*s_IFON_res_adj*s_CF_onion</f>
        <v>37914.59375</v>
      </c>
      <c r="AR17" s="40">
        <f>s_C*(up_Bv!Q17+s_MLF_peach)*s_IFPC_res_adj*s_CF_peach</f>
        <v>37914.59375</v>
      </c>
      <c r="AS17" s="40">
        <f>s_C*(up_Bv!R17+s_MLF_pear)*s_IFPR_res_adj*s_CF_pear</f>
        <v>37914.59375</v>
      </c>
      <c r="AT17" s="40">
        <f>s_C*(up_Bv!S17+s_MLF_peas)*s_IFPE_res_adj*s_CF_peas</f>
        <v>37914.59375</v>
      </c>
      <c r="AU17" s="40">
        <f>s_C*(up_Bv!T17+s_MLF_peppers)*s_IFPP_res_adj*s_CF_peppers</f>
        <v>37914.59375</v>
      </c>
      <c r="AV17" s="40">
        <f>s_C*(up_Bv!U17+s_MLF_potato)*s_IFPT_res_adj*s_CF_potato</f>
        <v>37914.59375</v>
      </c>
      <c r="AW17" s="40">
        <f>s_C*(up_Bv!V17+s_MLF_pumpkin)*s_IFPU_res_adj*s_CF_pumpkin</f>
        <v>37914.59375</v>
      </c>
      <c r="AX17" s="40">
        <f>s_C*(up_Bv!W17+s_MLF_snap_bean)*s_IFSN_res_adj*s_CF_snap_bean</f>
        <v>37914.59375</v>
      </c>
      <c r="AY17" s="40">
        <f>s_C*(up_Bv!X17+s_MLF_strawberry)*s_IFST_res_adj*s_CF_strawberry</f>
        <v>37914.59375</v>
      </c>
      <c r="AZ17" s="40">
        <f>s_C*(up_Bv!Y17+s_MLF_tomato)*s_IFTO_res_adj*s_CF_tomato</f>
        <v>37914.59375</v>
      </c>
      <c r="BA17" s="40">
        <f>s_C*(up_Bv!Z17+s_MLF_rice)*s_IFRI_res_adj*s_CF_rice</f>
        <v>37914.59375</v>
      </c>
      <c r="BB17" s="40">
        <f>s_C*(up_Bv!AA17+s_MLF_cereal)*s_IFCG_res_adj*s_CF_cereal</f>
        <v>37914.59375</v>
      </c>
      <c r="BC17" s="15">
        <f t="shared" si="2"/>
        <v>3.2968835384132272E-5</v>
      </c>
      <c r="BD17" s="15">
        <f>IFERROR((up_dir!AD17/(up_Bv!C17+s_MLF_apple)),".")</f>
        <v>1.3187534153652909E-4</v>
      </c>
      <c r="BE17" s="15">
        <f>IFERROR((up_dir!AE17/(up_Bv!D17+s_MLF_asparagus)),".")</f>
        <v>1.3187534153652909E-4</v>
      </c>
      <c r="BF17" s="15">
        <f>IFERROR((up_dir!AF17/(up_Bv!E17+s_MLF_beet)),".")</f>
        <v>1.3187534153652909E-4</v>
      </c>
      <c r="BG17" s="15">
        <f>IFERROR((up_dir!AG17/(up_Bv!F17+s_MLF_berries)),".")</f>
        <v>1.3187534153652909E-4</v>
      </c>
      <c r="BH17" s="15">
        <f>IFERROR((up_dir!AH17/(up_Bv!G17+s_MLF_broccoli)),".")</f>
        <v>1.3187534153652909E-4</v>
      </c>
      <c r="BI17" s="15">
        <f>IFERROR((up_dir!AI17/(up_Bv!H17+s_MLF_cabbage)),".")</f>
        <v>1.3187534153652909E-4</v>
      </c>
      <c r="BJ17" s="15">
        <f>IFERROR((up_dir!AJ17/(up_Bv!I17+s_MLF_carrot)),".")</f>
        <v>1.3187534153652909E-4</v>
      </c>
      <c r="BK17" s="15">
        <f>IFERROR((up_dir!AK17/(up_Bv!J17+s_MLF_citrus)),".")</f>
        <v>1.3187534153652909E-4</v>
      </c>
      <c r="BL17" s="15">
        <f>IFERROR((up_dir!AL17/(up_Bv!K17+s_MLF_corn)),".")</f>
        <v>1.3187534153652909E-4</v>
      </c>
      <c r="BM17" s="15">
        <f>IFERROR((up_dir!AM17/(up_Bv!L17+s_MLF_cucumber)),".")</f>
        <v>1.3187534153652909E-4</v>
      </c>
      <c r="BN17" s="15">
        <f>IFERROR((up_dir!AN17/(up_Bv!M17+s_MLF_lettuce)),".")</f>
        <v>1.3187534153652909E-4</v>
      </c>
      <c r="BO17" s="15">
        <f>IFERROR((up_dir!AO17/(up_Bv!N17+s_MLF_lima_bean)),".")</f>
        <v>1.3187534153652909E-4</v>
      </c>
      <c r="BP17" s="15">
        <f>IFERROR((up_dir!AP17/(up_Bv!O17+s_MLF_okra)),".")</f>
        <v>1.3187534153652909E-4</v>
      </c>
      <c r="BQ17" s="15">
        <f>IFERROR((up_dir!AQ17/(up_Bv!P17+s_MLF_onion)),".")</f>
        <v>1.3187534153652909E-4</v>
      </c>
      <c r="BR17" s="15">
        <f>IFERROR((up_dir!AR17/(up_Bv!Q17+s_MLF_peach)),".")</f>
        <v>1.3187534153652909E-4</v>
      </c>
      <c r="BS17" s="15">
        <f>IFERROR((up_dir!AS17/(up_Bv!R17+s_MLF_pear)),".")</f>
        <v>1.3187534153652909E-4</v>
      </c>
      <c r="BT17" s="15">
        <f>IFERROR((up_dir!AT17/(up_Bv!S17+s_MLF_peas)),".")</f>
        <v>1.3187534153652909E-4</v>
      </c>
      <c r="BU17" s="15">
        <f>IFERROR((up_dir!AU17/(up_Bv!T17+s_MLF_peppers)),".")</f>
        <v>1.3187534153652909E-4</v>
      </c>
      <c r="BV17" s="15">
        <f>IFERROR((up_dir!AV17/(up_Bv!U17+s_MLF_potato)),".")</f>
        <v>1.3187534153652909E-4</v>
      </c>
      <c r="BW17" s="15">
        <f>IFERROR((up_dir!AW17/(up_Bv!V17+s_MLF_pumpkin)),".")</f>
        <v>1.3187534153652909E-4</v>
      </c>
      <c r="BX17" s="15">
        <f>IFERROR((up_dir!AX17/(up_Bv!W17+s_MLF_snap_bean)),".")</f>
        <v>1.3187534153652909E-4</v>
      </c>
      <c r="BY17" s="15">
        <f>IFERROR((up_dir!AY17/(up_Bv!X17+s_MLF_strawberry)),".")</f>
        <v>1.3187534153652909E-4</v>
      </c>
      <c r="BZ17" s="15">
        <f>IFERROR((up_dir!AZ17/(up_Bv!Y17+s_MLF_tomato)),".")</f>
        <v>1.3187534153652909E-4</v>
      </c>
      <c r="CA17" s="15">
        <f>IFERROR((up_dir!BA17/(up_Bv!Z17+s_MLF_rice)),".")</f>
        <v>1.3187534153652909E-4</v>
      </c>
      <c r="CB17" s="15">
        <f>IFERROR((up_dir!BB17/(up_Bv!AA17+s_MLF_cereal)),".")</f>
        <v>1.3187534153652909E-4</v>
      </c>
      <c r="CC17" s="40">
        <f t="shared" si="3"/>
        <v>151658.375</v>
      </c>
      <c r="CD17" s="40">
        <f>IFERROR(s_C*(up_Bv!C17+s_MLF_apple)*s_IFAP_far_adj*s_CF_apple,".")</f>
        <v>37914.59375</v>
      </c>
      <c r="CE17" s="40">
        <f>IFERROR(s_C*(up_Bv!D17+s_MLF_asparagus)*s_IFAS_far_adj*s_CF_asparagus,".")</f>
        <v>37914.59375</v>
      </c>
      <c r="CF17" s="40">
        <f>IFERROR(s_C*(up_Bv!E17+s_MLF_beet)*s_IFBT_far_adj*s_CF_beet,".")</f>
        <v>37914.59375</v>
      </c>
      <c r="CG17" s="40">
        <f>IFERROR(s_C*(up_Bv!F17+s_MLF_berries)*s_IFBR_far_adj*s_CF_berries,".")</f>
        <v>37914.59375</v>
      </c>
      <c r="CH17" s="40">
        <f>IFERROR(s_C*(up_Bv!G17+s_MLF_broccoli)*s_IFBR_far_adj*s_CF_broccoli,".")</f>
        <v>37914.59375</v>
      </c>
      <c r="CI17" s="40">
        <f>IFERROR(s_C*(up_Bv!H17+s_MLF_cabbage)*s_IFCB_far_adj*s_CF_cabbage,".")</f>
        <v>37914.59375</v>
      </c>
      <c r="CJ17" s="40">
        <f>IFERROR(s_C*(up_Bv!I17+s_MLF_carrot)*s_IFCR_far_adj*s_CF_carrot,".")</f>
        <v>37914.59375</v>
      </c>
      <c r="CK17" s="40">
        <f>IFERROR(s_C*(up_Bv!J17+s_MLF_citrus)*s_IFCI_far_adj*s_CF_citrus,".")</f>
        <v>37914.59375</v>
      </c>
      <c r="CL17" s="40">
        <f>IFERROR(s_C*(up_Bv!K17+s_MLF_corn)*s_IFCO_far_adj*s_CF_corn,".")</f>
        <v>37914.59375</v>
      </c>
      <c r="CM17" s="40">
        <f>IFERROR(s_C*(up_Bv!L17+s_MLF_cucumber)*s_IFCU_far_adj*s_CF_cucumber,".")</f>
        <v>37914.59375</v>
      </c>
      <c r="CN17" s="40">
        <f>IFERROR(s_C*(up_Bv!M17+s_MLF_lettuce)*s_IFLE_far_adj*s_CF_lettuce,".")</f>
        <v>37914.59375</v>
      </c>
      <c r="CO17" s="40">
        <f>IFERROR(s_C*(up_Bv!N17+s_MLF_lima_bean)*s_IFLI_far_adj*s_CF_lima_bean,".")</f>
        <v>37914.59375</v>
      </c>
      <c r="CP17" s="40">
        <f>IFERROR(s_C*(up_Bv!O17+s_MLF_okra)*s_IFOK_far_adj*s_CF_okra,".")</f>
        <v>37914.59375</v>
      </c>
      <c r="CQ17" s="40">
        <f>IFERROR(s_C*(up_Bv!P17+s_MLF_onion)*s_IFON_far_adj*s_CF_onion,".")</f>
        <v>37914.59375</v>
      </c>
      <c r="CR17" s="40">
        <f>IFERROR(s_C*(up_Bv!Q17+s_MLF_peach)*s_IFPC_far_adj*s_CF_peach,".")</f>
        <v>37914.59375</v>
      </c>
      <c r="CS17" s="40">
        <f>IFERROR(s_C*(up_Bv!R17+s_MLF_pear)*s_IFPR_far_adj*s_CF_pear,".")</f>
        <v>37914.59375</v>
      </c>
      <c r="CT17" s="40">
        <f>IFERROR(s_C*(up_Bv!S17+s_MLF_peas)*s_IFPE_far_adj*s_CF_peas,".")</f>
        <v>37914.59375</v>
      </c>
      <c r="CU17" s="40">
        <f>IFERROR(s_C*(up_Bv!T17+s_MLF_peppers)*s_IFPP_far_adj*s_CF_peppers,".")</f>
        <v>37914.59375</v>
      </c>
      <c r="CV17" s="40">
        <f>IFERROR(s_C*(up_Bv!U17+s_MLF_potato)*s_IFPT_far_adj*s_CF_potato,".")</f>
        <v>37914.59375</v>
      </c>
      <c r="CW17" s="40">
        <f>IFERROR(s_C*(up_Bv!V17+s_MLF_pumpkin)*s_IFPU_far_adj*s_CF_pumpkin,".")</f>
        <v>37914.59375</v>
      </c>
      <c r="CX17" s="40">
        <f>IFERROR(s_C*(up_Bv!W17+s_MLF_snap_bean)*s_IFSN_far_adj*s_CF_snap_bean,".")</f>
        <v>37914.59375</v>
      </c>
      <c r="CY17" s="40">
        <f>IFERROR(s_C*(up_Bv!X17+s_MLF_strawberry)*s_IFST_far_adj*s_CF_strawberry,".")</f>
        <v>37914.59375</v>
      </c>
      <c r="CZ17" s="40">
        <f>IFERROR(s_C*(up_Bv!Y17+s_MLF_tomato)*s_IFTO_far_adj*s_CF_tomato,".")</f>
        <v>37914.59375</v>
      </c>
      <c r="DA17" s="40">
        <f>IFERROR(s_C*(up_Bv!Z17+s_MLF_rice)*s_IFRI_far_adj*s_CF_rice,".")</f>
        <v>37914.59375</v>
      </c>
      <c r="DB17" s="40">
        <f>IFERROR(s_C*(up_Bv!AA17+s_MLF_cereal)*s_IFCG_far_adj*s_CF_cereal,".")</f>
        <v>37914.59375</v>
      </c>
    </row>
    <row r="18" spans="1:106" ht="15" customHeight="1" x14ac:dyDescent="0.25">
      <c r="A18" s="44" t="s">
        <v>16</v>
      </c>
      <c r="B18" s="42" t="s">
        <v>1057</v>
      </c>
      <c r="C18" s="15">
        <f t="shared" si="1"/>
        <v>3.2968835384132272E-5</v>
      </c>
      <c r="D18" s="15">
        <f>IFERROR((up_dir!D18/(up_Bv!C18+s_MLF_apple)),".")</f>
        <v>1.3187534153652909E-4</v>
      </c>
      <c r="E18" s="15">
        <f>IFERROR((up_dir!E18/(up_Bv!D18+s_MLF_asparagus)),".")</f>
        <v>1.3187534153652909E-4</v>
      </c>
      <c r="F18" s="15">
        <f>IFERROR((up_dir!F18/(up_Bv!E18+s_MLF_beet)),".")</f>
        <v>1.3187534153652909E-4</v>
      </c>
      <c r="G18" s="15">
        <f>IFERROR((up_dir!G18/(up_Bv!F18+s_MLF_berries)),".")</f>
        <v>1.3187534153652909E-4</v>
      </c>
      <c r="H18" s="15">
        <f>IFERROR((up_dir!H18/(up_Bv!G18+s_MLF_broccoli)),".")</f>
        <v>1.3187534153652909E-4</v>
      </c>
      <c r="I18" s="15">
        <f>IFERROR((up_dir!I18/(up_Bv!H18+s_MLF_cabbage)),".")</f>
        <v>1.3187534153652909E-4</v>
      </c>
      <c r="J18" s="15">
        <f>IFERROR((up_dir!J18/(up_Bv!I18+s_MLF_carrot)),".")</f>
        <v>1.3187534153652909E-4</v>
      </c>
      <c r="K18" s="15">
        <f>IFERROR((up_dir!K18/(up_Bv!J18+s_MLF_citrus)),".")</f>
        <v>1.3187534153652909E-4</v>
      </c>
      <c r="L18" s="15">
        <f>IFERROR((up_dir!L18/(up_Bv!K18+s_MLF_corn)),".")</f>
        <v>1.3187534153652909E-4</v>
      </c>
      <c r="M18" s="15">
        <f>IFERROR((up_dir!M18/(up_Bv!L18+s_MLF_cucumber)),".")</f>
        <v>1.3187534153652909E-4</v>
      </c>
      <c r="N18" s="15">
        <f>IFERROR((up_dir!N18/(up_Bv!M18+s_MLF_lettuce)),".")</f>
        <v>1.3187534153652909E-4</v>
      </c>
      <c r="O18" s="15">
        <f>IFERROR((up_dir!O18/(up_Bv!N18+s_MLF_lima_bean)),".")</f>
        <v>1.3187534153652909E-4</v>
      </c>
      <c r="P18" s="15">
        <f>IFERROR((up_dir!P18/(up_Bv!O18+s_MLF_okra)),".")</f>
        <v>1.3187534153652909E-4</v>
      </c>
      <c r="Q18" s="15">
        <f>IFERROR((up_dir!Q18/(up_Bv!P18+s_MLF_onion)),".")</f>
        <v>1.3187534153652909E-4</v>
      </c>
      <c r="R18" s="15">
        <f>IFERROR((up_dir!R18/(up_Bv!Q18+s_MLF_peach)),".")</f>
        <v>1.3187534153652909E-4</v>
      </c>
      <c r="S18" s="15">
        <f>IFERROR((up_dir!S18/(up_Bv!R18+s_MLF_pear)),".")</f>
        <v>1.3187534153652909E-4</v>
      </c>
      <c r="T18" s="15">
        <f>IFERROR((up_dir!T18/(up_Bv!S18+s_MLF_peas)),".")</f>
        <v>1.3187534153652909E-4</v>
      </c>
      <c r="U18" s="15">
        <f>IFERROR((up_dir!U18/(up_Bv!T18+s_MLF_peppers)),".")</f>
        <v>1.3187534153652909E-4</v>
      </c>
      <c r="V18" s="15">
        <f>IFERROR((up_dir!V18/(up_Bv!U18+s_MLF_potato)),".")</f>
        <v>1.3187534153652909E-4</v>
      </c>
      <c r="W18" s="15">
        <f>IFERROR((up_dir!W18/(up_Bv!V18+s_MLF_pumpkin)),".")</f>
        <v>1.3187534153652909E-4</v>
      </c>
      <c r="X18" s="15">
        <f>IFERROR((up_dir!X18/(up_Bv!W18+s_MLF_snap_bean)),".")</f>
        <v>1.3187534153652909E-4</v>
      </c>
      <c r="Y18" s="15">
        <f>IFERROR((up_dir!Y18/(up_Bv!X18+s_MLF_strawberry)),".")</f>
        <v>1.3187534153652909E-4</v>
      </c>
      <c r="Z18" s="15">
        <f>IFERROR((up_dir!Z18/(up_Bv!Y18+s_MLF_tomato)),".")</f>
        <v>1.3187534153652909E-4</v>
      </c>
      <c r="AA18" s="15">
        <f>IFERROR((up_dir!AA18/(up_Bv!Z18+s_MLF_rice)),".")</f>
        <v>1.3187534153652909E-4</v>
      </c>
      <c r="AB18" s="15">
        <f>IFERROR((up_dir!AB18/(up_Bv!AA18+s_MLF_cereal)),".")</f>
        <v>1.3187534153652909E-4</v>
      </c>
      <c r="AC18" s="40">
        <f t="shared" si="0"/>
        <v>151658.375</v>
      </c>
      <c r="AD18" s="40">
        <f>s_C*(up_Bv!C18+s_MLF_apple)*s_IFAP_res_adj*s_CF_apple</f>
        <v>37914.59375</v>
      </c>
      <c r="AE18" s="40">
        <f>s_C*(up_Bv!D18+s_MLF_asparagus)*s_IFAS_res_adj*s_CF_asparagus</f>
        <v>37914.59375</v>
      </c>
      <c r="AF18" s="40">
        <f>s_C*(up_Bv!E18+s_MLF_beet)*s_IFBT_res_adj*s_CF_beet</f>
        <v>37914.59375</v>
      </c>
      <c r="AG18" s="40">
        <f>s_C*(up_Bv!F18+s_MLF_berries)*s_IFBE_res_adj*s_CF_berries</f>
        <v>37914.59375</v>
      </c>
      <c r="AH18" s="40">
        <f>s_C*(up_Bv!G18+s_MLF_broccoli)*s_IFBR_res_adj*s_CF_broccoli</f>
        <v>37914.59375</v>
      </c>
      <c r="AI18" s="40">
        <f>s_C*(up_Bv!H18+s_MLF_cabbage)*s_IFCB_res_adj*s_CF_cabbage</f>
        <v>37914.59375</v>
      </c>
      <c r="AJ18" s="40">
        <f>s_C*(up_Bv!I18+s_MLF_carrot)*s_IFCR_res_adj*s_CF_carrot</f>
        <v>37914.59375</v>
      </c>
      <c r="AK18" s="40">
        <f>s_C*(up_Bv!J18+s_MLF_citrus)*s_IFCI_res_adj*s_CF_citrus</f>
        <v>37914.59375</v>
      </c>
      <c r="AL18" s="40">
        <f>s_C*(up_Bv!K18+s_MLF_corn)*s_IFCO_res_adj*s_CF_corn</f>
        <v>37914.59375</v>
      </c>
      <c r="AM18" s="40">
        <f>s_C*(up_Bv!L18+s_MLF_cucumber)*s_IFCU_res_adj*s_CF_cucumber</f>
        <v>37914.59375</v>
      </c>
      <c r="AN18" s="40">
        <f>s_C*(up_Bv!M18+s_MLF_lettuce)*s_IFLE_res_adj*s_CF_lettuce</f>
        <v>37914.59375</v>
      </c>
      <c r="AO18" s="40">
        <f>s_C*(up_Bv!N18+s_MLF_lima_bean)*s_IFLI_res_adj*s_CF_lima_bean</f>
        <v>37914.59375</v>
      </c>
      <c r="AP18" s="40">
        <f>s_C*(up_Bv!O18+s_MLF_okra)*s_IFOK_res_adj*s_CF_okra</f>
        <v>37914.59375</v>
      </c>
      <c r="AQ18" s="40">
        <f>s_C*(up_Bv!P18+s_MLF_onion)*s_IFON_res_adj*s_CF_onion</f>
        <v>37914.59375</v>
      </c>
      <c r="AR18" s="40">
        <f>s_C*(up_Bv!Q18+s_MLF_peach)*s_IFPC_res_adj*s_CF_peach</f>
        <v>37914.59375</v>
      </c>
      <c r="AS18" s="40">
        <f>s_C*(up_Bv!R18+s_MLF_pear)*s_IFPR_res_adj*s_CF_pear</f>
        <v>37914.59375</v>
      </c>
      <c r="AT18" s="40">
        <f>s_C*(up_Bv!S18+s_MLF_peas)*s_IFPE_res_adj*s_CF_peas</f>
        <v>37914.59375</v>
      </c>
      <c r="AU18" s="40">
        <f>s_C*(up_Bv!T18+s_MLF_peppers)*s_IFPP_res_adj*s_CF_peppers</f>
        <v>37914.59375</v>
      </c>
      <c r="AV18" s="40">
        <f>s_C*(up_Bv!U18+s_MLF_potato)*s_IFPT_res_adj*s_CF_potato</f>
        <v>37914.59375</v>
      </c>
      <c r="AW18" s="40">
        <f>s_C*(up_Bv!V18+s_MLF_pumpkin)*s_IFPU_res_adj*s_CF_pumpkin</f>
        <v>37914.59375</v>
      </c>
      <c r="AX18" s="40">
        <f>s_C*(up_Bv!W18+s_MLF_snap_bean)*s_IFSN_res_adj*s_CF_snap_bean</f>
        <v>37914.59375</v>
      </c>
      <c r="AY18" s="40">
        <f>s_C*(up_Bv!X18+s_MLF_strawberry)*s_IFST_res_adj*s_CF_strawberry</f>
        <v>37914.59375</v>
      </c>
      <c r="AZ18" s="40">
        <f>s_C*(up_Bv!Y18+s_MLF_tomato)*s_IFTO_res_adj*s_CF_tomato</f>
        <v>37914.59375</v>
      </c>
      <c r="BA18" s="40">
        <f>s_C*(up_Bv!Z18+s_MLF_rice)*s_IFRI_res_adj*s_CF_rice</f>
        <v>37914.59375</v>
      </c>
      <c r="BB18" s="40">
        <f>s_C*(up_Bv!AA18+s_MLF_cereal)*s_IFCG_res_adj*s_CF_cereal</f>
        <v>37914.59375</v>
      </c>
      <c r="BC18" s="15">
        <f t="shared" si="2"/>
        <v>3.2968835384132272E-5</v>
      </c>
      <c r="BD18" s="15">
        <f>IFERROR((up_dir!AD18/(up_Bv!C18+s_MLF_apple)),".")</f>
        <v>1.3187534153652909E-4</v>
      </c>
      <c r="BE18" s="15">
        <f>IFERROR((up_dir!AE18/(up_Bv!D18+s_MLF_asparagus)),".")</f>
        <v>1.3187534153652909E-4</v>
      </c>
      <c r="BF18" s="15">
        <f>IFERROR((up_dir!AF18/(up_Bv!E18+s_MLF_beet)),".")</f>
        <v>1.3187534153652909E-4</v>
      </c>
      <c r="BG18" s="15">
        <f>IFERROR((up_dir!AG18/(up_Bv!F18+s_MLF_berries)),".")</f>
        <v>1.3187534153652909E-4</v>
      </c>
      <c r="BH18" s="15">
        <f>IFERROR((up_dir!AH18/(up_Bv!G18+s_MLF_broccoli)),".")</f>
        <v>1.3187534153652909E-4</v>
      </c>
      <c r="BI18" s="15">
        <f>IFERROR((up_dir!AI18/(up_Bv!H18+s_MLF_cabbage)),".")</f>
        <v>1.3187534153652909E-4</v>
      </c>
      <c r="BJ18" s="15">
        <f>IFERROR((up_dir!AJ18/(up_Bv!I18+s_MLF_carrot)),".")</f>
        <v>1.3187534153652909E-4</v>
      </c>
      <c r="BK18" s="15">
        <f>IFERROR((up_dir!AK18/(up_Bv!J18+s_MLF_citrus)),".")</f>
        <v>1.3187534153652909E-4</v>
      </c>
      <c r="BL18" s="15">
        <f>IFERROR((up_dir!AL18/(up_Bv!K18+s_MLF_corn)),".")</f>
        <v>1.3187534153652909E-4</v>
      </c>
      <c r="BM18" s="15">
        <f>IFERROR((up_dir!AM18/(up_Bv!L18+s_MLF_cucumber)),".")</f>
        <v>1.3187534153652909E-4</v>
      </c>
      <c r="BN18" s="15">
        <f>IFERROR((up_dir!AN18/(up_Bv!M18+s_MLF_lettuce)),".")</f>
        <v>1.3187534153652909E-4</v>
      </c>
      <c r="BO18" s="15">
        <f>IFERROR((up_dir!AO18/(up_Bv!N18+s_MLF_lima_bean)),".")</f>
        <v>1.3187534153652909E-4</v>
      </c>
      <c r="BP18" s="15">
        <f>IFERROR((up_dir!AP18/(up_Bv!O18+s_MLF_okra)),".")</f>
        <v>1.3187534153652909E-4</v>
      </c>
      <c r="BQ18" s="15">
        <f>IFERROR((up_dir!AQ18/(up_Bv!P18+s_MLF_onion)),".")</f>
        <v>1.3187534153652909E-4</v>
      </c>
      <c r="BR18" s="15">
        <f>IFERROR((up_dir!AR18/(up_Bv!Q18+s_MLF_peach)),".")</f>
        <v>1.3187534153652909E-4</v>
      </c>
      <c r="BS18" s="15">
        <f>IFERROR((up_dir!AS18/(up_Bv!R18+s_MLF_pear)),".")</f>
        <v>1.3187534153652909E-4</v>
      </c>
      <c r="BT18" s="15">
        <f>IFERROR((up_dir!AT18/(up_Bv!S18+s_MLF_peas)),".")</f>
        <v>1.3187534153652909E-4</v>
      </c>
      <c r="BU18" s="15">
        <f>IFERROR((up_dir!AU18/(up_Bv!T18+s_MLF_peppers)),".")</f>
        <v>1.3187534153652909E-4</v>
      </c>
      <c r="BV18" s="15">
        <f>IFERROR((up_dir!AV18/(up_Bv!U18+s_MLF_potato)),".")</f>
        <v>1.3187534153652909E-4</v>
      </c>
      <c r="BW18" s="15">
        <f>IFERROR((up_dir!AW18/(up_Bv!V18+s_MLF_pumpkin)),".")</f>
        <v>1.3187534153652909E-4</v>
      </c>
      <c r="BX18" s="15">
        <f>IFERROR((up_dir!AX18/(up_Bv!W18+s_MLF_snap_bean)),".")</f>
        <v>1.3187534153652909E-4</v>
      </c>
      <c r="BY18" s="15">
        <f>IFERROR((up_dir!AY18/(up_Bv!X18+s_MLF_strawberry)),".")</f>
        <v>1.3187534153652909E-4</v>
      </c>
      <c r="BZ18" s="15">
        <f>IFERROR((up_dir!AZ18/(up_Bv!Y18+s_MLF_tomato)),".")</f>
        <v>1.3187534153652909E-4</v>
      </c>
      <c r="CA18" s="15">
        <f>IFERROR((up_dir!BA18/(up_Bv!Z18+s_MLF_rice)),".")</f>
        <v>1.3187534153652909E-4</v>
      </c>
      <c r="CB18" s="15">
        <f>IFERROR((up_dir!BB18/(up_Bv!AA18+s_MLF_cereal)),".")</f>
        <v>1.3187534153652909E-4</v>
      </c>
      <c r="CC18" s="40">
        <f t="shared" si="3"/>
        <v>151658.375</v>
      </c>
      <c r="CD18" s="40">
        <f>IFERROR(s_C*(up_Bv!C18+s_MLF_apple)*s_IFAP_far_adj*s_CF_apple,".")</f>
        <v>37914.59375</v>
      </c>
      <c r="CE18" s="40">
        <f>IFERROR(s_C*(up_Bv!D18+s_MLF_asparagus)*s_IFAS_far_adj*s_CF_asparagus,".")</f>
        <v>37914.59375</v>
      </c>
      <c r="CF18" s="40">
        <f>IFERROR(s_C*(up_Bv!E18+s_MLF_beet)*s_IFBT_far_adj*s_CF_beet,".")</f>
        <v>37914.59375</v>
      </c>
      <c r="CG18" s="40">
        <f>IFERROR(s_C*(up_Bv!F18+s_MLF_berries)*s_IFBR_far_adj*s_CF_berries,".")</f>
        <v>37914.59375</v>
      </c>
      <c r="CH18" s="40">
        <f>IFERROR(s_C*(up_Bv!G18+s_MLF_broccoli)*s_IFBR_far_adj*s_CF_broccoli,".")</f>
        <v>37914.59375</v>
      </c>
      <c r="CI18" s="40">
        <f>IFERROR(s_C*(up_Bv!H18+s_MLF_cabbage)*s_IFCB_far_adj*s_CF_cabbage,".")</f>
        <v>37914.59375</v>
      </c>
      <c r="CJ18" s="40">
        <f>IFERROR(s_C*(up_Bv!I18+s_MLF_carrot)*s_IFCR_far_adj*s_CF_carrot,".")</f>
        <v>37914.59375</v>
      </c>
      <c r="CK18" s="40">
        <f>IFERROR(s_C*(up_Bv!J18+s_MLF_citrus)*s_IFCI_far_adj*s_CF_citrus,".")</f>
        <v>37914.59375</v>
      </c>
      <c r="CL18" s="40">
        <f>IFERROR(s_C*(up_Bv!K18+s_MLF_corn)*s_IFCO_far_adj*s_CF_corn,".")</f>
        <v>37914.59375</v>
      </c>
      <c r="CM18" s="40">
        <f>IFERROR(s_C*(up_Bv!L18+s_MLF_cucumber)*s_IFCU_far_adj*s_CF_cucumber,".")</f>
        <v>37914.59375</v>
      </c>
      <c r="CN18" s="40">
        <f>IFERROR(s_C*(up_Bv!M18+s_MLF_lettuce)*s_IFLE_far_adj*s_CF_lettuce,".")</f>
        <v>37914.59375</v>
      </c>
      <c r="CO18" s="40">
        <f>IFERROR(s_C*(up_Bv!N18+s_MLF_lima_bean)*s_IFLI_far_adj*s_CF_lima_bean,".")</f>
        <v>37914.59375</v>
      </c>
      <c r="CP18" s="40">
        <f>IFERROR(s_C*(up_Bv!O18+s_MLF_okra)*s_IFOK_far_adj*s_CF_okra,".")</f>
        <v>37914.59375</v>
      </c>
      <c r="CQ18" s="40">
        <f>IFERROR(s_C*(up_Bv!P18+s_MLF_onion)*s_IFON_far_adj*s_CF_onion,".")</f>
        <v>37914.59375</v>
      </c>
      <c r="CR18" s="40">
        <f>IFERROR(s_C*(up_Bv!Q18+s_MLF_peach)*s_IFPC_far_adj*s_CF_peach,".")</f>
        <v>37914.59375</v>
      </c>
      <c r="CS18" s="40">
        <f>IFERROR(s_C*(up_Bv!R18+s_MLF_pear)*s_IFPR_far_adj*s_CF_pear,".")</f>
        <v>37914.59375</v>
      </c>
      <c r="CT18" s="40">
        <f>IFERROR(s_C*(up_Bv!S18+s_MLF_peas)*s_IFPE_far_adj*s_CF_peas,".")</f>
        <v>37914.59375</v>
      </c>
      <c r="CU18" s="40">
        <f>IFERROR(s_C*(up_Bv!T18+s_MLF_peppers)*s_IFPP_far_adj*s_CF_peppers,".")</f>
        <v>37914.59375</v>
      </c>
      <c r="CV18" s="40">
        <f>IFERROR(s_C*(up_Bv!U18+s_MLF_potato)*s_IFPT_far_adj*s_CF_potato,".")</f>
        <v>37914.59375</v>
      </c>
      <c r="CW18" s="40">
        <f>IFERROR(s_C*(up_Bv!V18+s_MLF_pumpkin)*s_IFPU_far_adj*s_CF_pumpkin,".")</f>
        <v>37914.59375</v>
      </c>
      <c r="CX18" s="40">
        <f>IFERROR(s_C*(up_Bv!W18+s_MLF_snap_bean)*s_IFSN_far_adj*s_CF_snap_bean,".")</f>
        <v>37914.59375</v>
      </c>
      <c r="CY18" s="40">
        <f>IFERROR(s_C*(up_Bv!X18+s_MLF_strawberry)*s_IFST_far_adj*s_CF_strawberry,".")</f>
        <v>37914.59375</v>
      </c>
      <c r="CZ18" s="40">
        <f>IFERROR(s_C*(up_Bv!Y18+s_MLF_tomato)*s_IFTO_far_adj*s_CF_tomato,".")</f>
        <v>37914.59375</v>
      </c>
      <c r="DA18" s="40">
        <f>IFERROR(s_C*(up_Bv!Z18+s_MLF_rice)*s_IFRI_far_adj*s_CF_rice,".")</f>
        <v>37914.59375</v>
      </c>
      <c r="DB18" s="40">
        <f>IFERROR(s_C*(up_Bv!AA18+s_MLF_cereal)*s_IFCG_far_adj*s_CF_cereal,".")</f>
        <v>37914.59375</v>
      </c>
    </row>
    <row r="19" spans="1:106" ht="15" customHeight="1" x14ac:dyDescent="0.25">
      <c r="A19" s="44" t="s">
        <v>17</v>
      </c>
      <c r="B19" s="42" t="s">
        <v>1057</v>
      </c>
      <c r="C19" s="15">
        <f t="shared" si="1"/>
        <v>3.2968835384132272E-5</v>
      </c>
      <c r="D19" s="15">
        <f>IFERROR((up_dir!D19/(up_Bv!C19+s_MLF_apple)),".")</f>
        <v>1.3187534153652909E-4</v>
      </c>
      <c r="E19" s="15">
        <f>IFERROR((up_dir!E19/(up_Bv!D19+s_MLF_asparagus)),".")</f>
        <v>1.3187534153652909E-4</v>
      </c>
      <c r="F19" s="15">
        <f>IFERROR((up_dir!F19/(up_Bv!E19+s_MLF_beet)),".")</f>
        <v>1.3187534153652909E-4</v>
      </c>
      <c r="G19" s="15">
        <f>IFERROR((up_dir!G19/(up_Bv!F19+s_MLF_berries)),".")</f>
        <v>1.3187534153652909E-4</v>
      </c>
      <c r="H19" s="15">
        <f>IFERROR((up_dir!H19/(up_Bv!G19+s_MLF_broccoli)),".")</f>
        <v>1.3187534153652909E-4</v>
      </c>
      <c r="I19" s="15">
        <f>IFERROR((up_dir!I19/(up_Bv!H19+s_MLF_cabbage)),".")</f>
        <v>1.3187534153652909E-4</v>
      </c>
      <c r="J19" s="15">
        <f>IFERROR((up_dir!J19/(up_Bv!I19+s_MLF_carrot)),".")</f>
        <v>1.3187534153652909E-4</v>
      </c>
      <c r="K19" s="15">
        <f>IFERROR((up_dir!K19/(up_Bv!J19+s_MLF_citrus)),".")</f>
        <v>1.3187534153652909E-4</v>
      </c>
      <c r="L19" s="15">
        <f>IFERROR((up_dir!L19/(up_Bv!K19+s_MLF_corn)),".")</f>
        <v>1.3187534153652909E-4</v>
      </c>
      <c r="M19" s="15">
        <f>IFERROR((up_dir!M19/(up_Bv!L19+s_MLF_cucumber)),".")</f>
        <v>1.3187534153652909E-4</v>
      </c>
      <c r="N19" s="15">
        <f>IFERROR((up_dir!N19/(up_Bv!M19+s_MLF_lettuce)),".")</f>
        <v>1.3187534153652909E-4</v>
      </c>
      <c r="O19" s="15">
        <f>IFERROR((up_dir!O19/(up_Bv!N19+s_MLF_lima_bean)),".")</f>
        <v>1.3187534153652909E-4</v>
      </c>
      <c r="P19" s="15">
        <f>IFERROR((up_dir!P19/(up_Bv!O19+s_MLF_okra)),".")</f>
        <v>1.3187534153652909E-4</v>
      </c>
      <c r="Q19" s="15">
        <f>IFERROR((up_dir!Q19/(up_Bv!P19+s_MLF_onion)),".")</f>
        <v>1.3187534153652909E-4</v>
      </c>
      <c r="R19" s="15">
        <f>IFERROR((up_dir!R19/(up_Bv!Q19+s_MLF_peach)),".")</f>
        <v>1.3187534153652909E-4</v>
      </c>
      <c r="S19" s="15">
        <f>IFERROR((up_dir!S19/(up_Bv!R19+s_MLF_pear)),".")</f>
        <v>1.3187534153652909E-4</v>
      </c>
      <c r="T19" s="15">
        <f>IFERROR((up_dir!T19/(up_Bv!S19+s_MLF_peas)),".")</f>
        <v>1.3187534153652909E-4</v>
      </c>
      <c r="U19" s="15">
        <f>IFERROR((up_dir!U19/(up_Bv!T19+s_MLF_peppers)),".")</f>
        <v>1.3187534153652909E-4</v>
      </c>
      <c r="V19" s="15">
        <f>IFERROR((up_dir!V19/(up_Bv!U19+s_MLF_potato)),".")</f>
        <v>1.3187534153652909E-4</v>
      </c>
      <c r="W19" s="15">
        <f>IFERROR((up_dir!W19/(up_Bv!V19+s_MLF_pumpkin)),".")</f>
        <v>1.3187534153652909E-4</v>
      </c>
      <c r="X19" s="15">
        <f>IFERROR((up_dir!X19/(up_Bv!W19+s_MLF_snap_bean)),".")</f>
        <v>1.3187534153652909E-4</v>
      </c>
      <c r="Y19" s="15">
        <f>IFERROR((up_dir!Y19/(up_Bv!X19+s_MLF_strawberry)),".")</f>
        <v>1.3187534153652909E-4</v>
      </c>
      <c r="Z19" s="15">
        <f>IFERROR((up_dir!Z19/(up_Bv!Y19+s_MLF_tomato)),".")</f>
        <v>1.3187534153652909E-4</v>
      </c>
      <c r="AA19" s="15">
        <f>IFERROR((up_dir!AA19/(up_Bv!Z19+s_MLF_rice)),".")</f>
        <v>1.3187534153652909E-4</v>
      </c>
      <c r="AB19" s="15">
        <f>IFERROR((up_dir!AB19/(up_Bv!AA19+s_MLF_cereal)),".")</f>
        <v>1.3187534153652909E-4</v>
      </c>
      <c r="AC19" s="40">
        <f t="shared" si="0"/>
        <v>151658.375</v>
      </c>
      <c r="AD19" s="40">
        <f>s_C*(up_Bv!C19+s_MLF_apple)*s_IFAP_res_adj*s_CF_apple</f>
        <v>37914.59375</v>
      </c>
      <c r="AE19" s="40">
        <f>s_C*(up_Bv!D19+s_MLF_asparagus)*s_IFAS_res_adj*s_CF_asparagus</f>
        <v>37914.59375</v>
      </c>
      <c r="AF19" s="40">
        <f>s_C*(up_Bv!E19+s_MLF_beet)*s_IFBT_res_adj*s_CF_beet</f>
        <v>37914.59375</v>
      </c>
      <c r="AG19" s="40">
        <f>s_C*(up_Bv!F19+s_MLF_berries)*s_IFBE_res_adj*s_CF_berries</f>
        <v>37914.59375</v>
      </c>
      <c r="AH19" s="40">
        <f>s_C*(up_Bv!G19+s_MLF_broccoli)*s_IFBR_res_adj*s_CF_broccoli</f>
        <v>37914.59375</v>
      </c>
      <c r="AI19" s="40">
        <f>s_C*(up_Bv!H19+s_MLF_cabbage)*s_IFCB_res_adj*s_CF_cabbage</f>
        <v>37914.59375</v>
      </c>
      <c r="AJ19" s="40">
        <f>s_C*(up_Bv!I19+s_MLF_carrot)*s_IFCR_res_adj*s_CF_carrot</f>
        <v>37914.59375</v>
      </c>
      <c r="AK19" s="40">
        <f>s_C*(up_Bv!J19+s_MLF_citrus)*s_IFCI_res_adj*s_CF_citrus</f>
        <v>37914.59375</v>
      </c>
      <c r="AL19" s="40">
        <f>s_C*(up_Bv!K19+s_MLF_corn)*s_IFCO_res_adj*s_CF_corn</f>
        <v>37914.59375</v>
      </c>
      <c r="AM19" s="40">
        <f>s_C*(up_Bv!L19+s_MLF_cucumber)*s_IFCU_res_adj*s_CF_cucumber</f>
        <v>37914.59375</v>
      </c>
      <c r="AN19" s="40">
        <f>s_C*(up_Bv!M19+s_MLF_lettuce)*s_IFLE_res_adj*s_CF_lettuce</f>
        <v>37914.59375</v>
      </c>
      <c r="AO19" s="40">
        <f>s_C*(up_Bv!N19+s_MLF_lima_bean)*s_IFLI_res_adj*s_CF_lima_bean</f>
        <v>37914.59375</v>
      </c>
      <c r="AP19" s="40">
        <f>s_C*(up_Bv!O19+s_MLF_okra)*s_IFOK_res_adj*s_CF_okra</f>
        <v>37914.59375</v>
      </c>
      <c r="AQ19" s="40">
        <f>s_C*(up_Bv!P19+s_MLF_onion)*s_IFON_res_adj*s_CF_onion</f>
        <v>37914.59375</v>
      </c>
      <c r="AR19" s="40">
        <f>s_C*(up_Bv!Q19+s_MLF_peach)*s_IFPC_res_adj*s_CF_peach</f>
        <v>37914.59375</v>
      </c>
      <c r="AS19" s="40">
        <f>s_C*(up_Bv!R19+s_MLF_pear)*s_IFPR_res_adj*s_CF_pear</f>
        <v>37914.59375</v>
      </c>
      <c r="AT19" s="40">
        <f>s_C*(up_Bv!S19+s_MLF_peas)*s_IFPE_res_adj*s_CF_peas</f>
        <v>37914.59375</v>
      </c>
      <c r="AU19" s="40">
        <f>s_C*(up_Bv!T19+s_MLF_peppers)*s_IFPP_res_adj*s_CF_peppers</f>
        <v>37914.59375</v>
      </c>
      <c r="AV19" s="40">
        <f>s_C*(up_Bv!U19+s_MLF_potato)*s_IFPT_res_adj*s_CF_potato</f>
        <v>37914.59375</v>
      </c>
      <c r="AW19" s="40">
        <f>s_C*(up_Bv!V19+s_MLF_pumpkin)*s_IFPU_res_adj*s_CF_pumpkin</f>
        <v>37914.59375</v>
      </c>
      <c r="AX19" s="40">
        <f>s_C*(up_Bv!W19+s_MLF_snap_bean)*s_IFSN_res_adj*s_CF_snap_bean</f>
        <v>37914.59375</v>
      </c>
      <c r="AY19" s="40">
        <f>s_C*(up_Bv!X19+s_MLF_strawberry)*s_IFST_res_adj*s_CF_strawberry</f>
        <v>37914.59375</v>
      </c>
      <c r="AZ19" s="40">
        <f>s_C*(up_Bv!Y19+s_MLF_tomato)*s_IFTO_res_adj*s_CF_tomato</f>
        <v>37914.59375</v>
      </c>
      <c r="BA19" s="40">
        <f>s_C*(up_Bv!Z19+s_MLF_rice)*s_IFRI_res_adj*s_CF_rice</f>
        <v>37914.59375</v>
      </c>
      <c r="BB19" s="40">
        <f>s_C*(up_Bv!AA19+s_MLF_cereal)*s_IFCG_res_adj*s_CF_cereal</f>
        <v>37914.59375</v>
      </c>
      <c r="BC19" s="15">
        <f t="shared" si="2"/>
        <v>3.2968835384132272E-5</v>
      </c>
      <c r="BD19" s="15">
        <f>IFERROR((up_dir!AD19/(up_Bv!C19+s_MLF_apple)),".")</f>
        <v>1.3187534153652909E-4</v>
      </c>
      <c r="BE19" s="15">
        <f>IFERROR((up_dir!AE19/(up_Bv!D19+s_MLF_asparagus)),".")</f>
        <v>1.3187534153652909E-4</v>
      </c>
      <c r="BF19" s="15">
        <f>IFERROR((up_dir!AF19/(up_Bv!E19+s_MLF_beet)),".")</f>
        <v>1.3187534153652909E-4</v>
      </c>
      <c r="BG19" s="15">
        <f>IFERROR((up_dir!AG19/(up_Bv!F19+s_MLF_berries)),".")</f>
        <v>1.3187534153652909E-4</v>
      </c>
      <c r="BH19" s="15">
        <f>IFERROR((up_dir!AH19/(up_Bv!G19+s_MLF_broccoli)),".")</f>
        <v>1.3187534153652909E-4</v>
      </c>
      <c r="BI19" s="15">
        <f>IFERROR((up_dir!AI19/(up_Bv!H19+s_MLF_cabbage)),".")</f>
        <v>1.3187534153652909E-4</v>
      </c>
      <c r="BJ19" s="15">
        <f>IFERROR((up_dir!AJ19/(up_Bv!I19+s_MLF_carrot)),".")</f>
        <v>1.3187534153652909E-4</v>
      </c>
      <c r="BK19" s="15">
        <f>IFERROR((up_dir!AK19/(up_Bv!J19+s_MLF_citrus)),".")</f>
        <v>1.3187534153652909E-4</v>
      </c>
      <c r="BL19" s="15">
        <f>IFERROR((up_dir!AL19/(up_Bv!K19+s_MLF_corn)),".")</f>
        <v>1.3187534153652909E-4</v>
      </c>
      <c r="BM19" s="15">
        <f>IFERROR((up_dir!AM19/(up_Bv!L19+s_MLF_cucumber)),".")</f>
        <v>1.3187534153652909E-4</v>
      </c>
      <c r="BN19" s="15">
        <f>IFERROR((up_dir!AN19/(up_Bv!M19+s_MLF_lettuce)),".")</f>
        <v>1.3187534153652909E-4</v>
      </c>
      <c r="BO19" s="15">
        <f>IFERROR((up_dir!AO19/(up_Bv!N19+s_MLF_lima_bean)),".")</f>
        <v>1.3187534153652909E-4</v>
      </c>
      <c r="BP19" s="15">
        <f>IFERROR((up_dir!AP19/(up_Bv!O19+s_MLF_okra)),".")</f>
        <v>1.3187534153652909E-4</v>
      </c>
      <c r="BQ19" s="15">
        <f>IFERROR((up_dir!AQ19/(up_Bv!P19+s_MLF_onion)),".")</f>
        <v>1.3187534153652909E-4</v>
      </c>
      <c r="BR19" s="15">
        <f>IFERROR((up_dir!AR19/(up_Bv!Q19+s_MLF_peach)),".")</f>
        <v>1.3187534153652909E-4</v>
      </c>
      <c r="BS19" s="15">
        <f>IFERROR((up_dir!AS19/(up_Bv!R19+s_MLF_pear)),".")</f>
        <v>1.3187534153652909E-4</v>
      </c>
      <c r="BT19" s="15">
        <f>IFERROR((up_dir!AT19/(up_Bv!S19+s_MLF_peas)),".")</f>
        <v>1.3187534153652909E-4</v>
      </c>
      <c r="BU19" s="15">
        <f>IFERROR((up_dir!AU19/(up_Bv!T19+s_MLF_peppers)),".")</f>
        <v>1.3187534153652909E-4</v>
      </c>
      <c r="BV19" s="15">
        <f>IFERROR((up_dir!AV19/(up_Bv!U19+s_MLF_potato)),".")</f>
        <v>1.3187534153652909E-4</v>
      </c>
      <c r="BW19" s="15">
        <f>IFERROR((up_dir!AW19/(up_Bv!V19+s_MLF_pumpkin)),".")</f>
        <v>1.3187534153652909E-4</v>
      </c>
      <c r="BX19" s="15">
        <f>IFERROR((up_dir!AX19/(up_Bv!W19+s_MLF_snap_bean)),".")</f>
        <v>1.3187534153652909E-4</v>
      </c>
      <c r="BY19" s="15">
        <f>IFERROR((up_dir!AY19/(up_Bv!X19+s_MLF_strawberry)),".")</f>
        <v>1.3187534153652909E-4</v>
      </c>
      <c r="BZ19" s="15">
        <f>IFERROR((up_dir!AZ19/(up_Bv!Y19+s_MLF_tomato)),".")</f>
        <v>1.3187534153652909E-4</v>
      </c>
      <c r="CA19" s="15">
        <f>IFERROR((up_dir!BA19/(up_Bv!Z19+s_MLF_rice)),".")</f>
        <v>1.3187534153652909E-4</v>
      </c>
      <c r="CB19" s="15">
        <f>IFERROR((up_dir!BB19/(up_Bv!AA19+s_MLF_cereal)),".")</f>
        <v>1.3187534153652909E-4</v>
      </c>
      <c r="CC19" s="40">
        <f t="shared" si="3"/>
        <v>151658.375</v>
      </c>
      <c r="CD19" s="40">
        <f>IFERROR(s_C*(up_Bv!C19+s_MLF_apple)*s_IFAP_far_adj*s_CF_apple,".")</f>
        <v>37914.59375</v>
      </c>
      <c r="CE19" s="40">
        <f>IFERROR(s_C*(up_Bv!D19+s_MLF_asparagus)*s_IFAS_far_adj*s_CF_asparagus,".")</f>
        <v>37914.59375</v>
      </c>
      <c r="CF19" s="40">
        <f>IFERROR(s_C*(up_Bv!E19+s_MLF_beet)*s_IFBT_far_adj*s_CF_beet,".")</f>
        <v>37914.59375</v>
      </c>
      <c r="CG19" s="40">
        <f>IFERROR(s_C*(up_Bv!F19+s_MLF_berries)*s_IFBR_far_adj*s_CF_berries,".")</f>
        <v>37914.59375</v>
      </c>
      <c r="CH19" s="40">
        <f>IFERROR(s_C*(up_Bv!G19+s_MLF_broccoli)*s_IFBR_far_adj*s_CF_broccoli,".")</f>
        <v>37914.59375</v>
      </c>
      <c r="CI19" s="40">
        <f>IFERROR(s_C*(up_Bv!H19+s_MLF_cabbage)*s_IFCB_far_adj*s_CF_cabbage,".")</f>
        <v>37914.59375</v>
      </c>
      <c r="CJ19" s="40">
        <f>IFERROR(s_C*(up_Bv!I19+s_MLF_carrot)*s_IFCR_far_adj*s_CF_carrot,".")</f>
        <v>37914.59375</v>
      </c>
      <c r="CK19" s="40">
        <f>IFERROR(s_C*(up_Bv!J19+s_MLF_citrus)*s_IFCI_far_adj*s_CF_citrus,".")</f>
        <v>37914.59375</v>
      </c>
      <c r="CL19" s="40">
        <f>IFERROR(s_C*(up_Bv!K19+s_MLF_corn)*s_IFCO_far_adj*s_CF_corn,".")</f>
        <v>37914.59375</v>
      </c>
      <c r="CM19" s="40">
        <f>IFERROR(s_C*(up_Bv!L19+s_MLF_cucumber)*s_IFCU_far_adj*s_CF_cucumber,".")</f>
        <v>37914.59375</v>
      </c>
      <c r="CN19" s="40">
        <f>IFERROR(s_C*(up_Bv!M19+s_MLF_lettuce)*s_IFLE_far_adj*s_CF_lettuce,".")</f>
        <v>37914.59375</v>
      </c>
      <c r="CO19" s="40">
        <f>IFERROR(s_C*(up_Bv!N19+s_MLF_lima_bean)*s_IFLI_far_adj*s_CF_lima_bean,".")</f>
        <v>37914.59375</v>
      </c>
      <c r="CP19" s="40">
        <f>IFERROR(s_C*(up_Bv!O19+s_MLF_okra)*s_IFOK_far_adj*s_CF_okra,".")</f>
        <v>37914.59375</v>
      </c>
      <c r="CQ19" s="40">
        <f>IFERROR(s_C*(up_Bv!P19+s_MLF_onion)*s_IFON_far_adj*s_CF_onion,".")</f>
        <v>37914.59375</v>
      </c>
      <c r="CR19" s="40">
        <f>IFERROR(s_C*(up_Bv!Q19+s_MLF_peach)*s_IFPC_far_adj*s_CF_peach,".")</f>
        <v>37914.59375</v>
      </c>
      <c r="CS19" s="40">
        <f>IFERROR(s_C*(up_Bv!R19+s_MLF_pear)*s_IFPR_far_adj*s_CF_pear,".")</f>
        <v>37914.59375</v>
      </c>
      <c r="CT19" s="40">
        <f>IFERROR(s_C*(up_Bv!S19+s_MLF_peas)*s_IFPE_far_adj*s_CF_peas,".")</f>
        <v>37914.59375</v>
      </c>
      <c r="CU19" s="40">
        <f>IFERROR(s_C*(up_Bv!T19+s_MLF_peppers)*s_IFPP_far_adj*s_CF_peppers,".")</f>
        <v>37914.59375</v>
      </c>
      <c r="CV19" s="40">
        <f>IFERROR(s_C*(up_Bv!U19+s_MLF_potato)*s_IFPT_far_adj*s_CF_potato,".")</f>
        <v>37914.59375</v>
      </c>
      <c r="CW19" s="40">
        <f>IFERROR(s_C*(up_Bv!V19+s_MLF_pumpkin)*s_IFPU_far_adj*s_CF_pumpkin,".")</f>
        <v>37914.59375</v>
      </c>
      <c r="CX19" s="40">
        <f>IFERROR(s_C*(up_Bv!W19+s_MLF_snap_bean)*s_IFSN_far_adj*s_CF_snap_bean,".")</f>
        <v>37914.59375</v>
      </c>
      <c r="CY19" s="40">
        <f>IFERROR(s_C*(up_Bv!X19+s_MLF_strawberry)*s_IFST_far_adj*s_CF_strawberry,".")</f>
        <v>37914.59375</v>
      </c>
      <c r="CZ19" s="40">
        <f>IFERROR(s_C*(up_Bv!Y19+s_MLF_tomato)*s_IFTO_far_adj*s_CF_tomato,".")</f>
        <v>37914.59375</v>
      </c>
      <c r="DA19" s="40">
        <f>IFERROR(s_C*(up_Bv!Z19+s_MLF_rice)*s_IFRI_far_adj*s_CF_rice,".")</f>
        <v>37914.59375</v>
      </c>
      <c r="DB19" s="40">
        <f>IFERROR(s_C*(up_Bv!AA19+s_MLF_cereal)*s_IFCG_far_adj*s_CF_cereal,".")</f>
        <v>37914.59375</v>
      </c>
    </row>
    <row r="20" spans="1:106" ht="15" customHeight="1" x14ac:dyDescent="0.25">
      <c r="A20" s="44" t="s">
        <v>18</v>
      </c>
      <c r="B20" s="42" t="s">
        <v>1057</v>
      </c>
      <c r="C20" s="15">
        <f t="shared" si="1"/>
        <v>3.2968835384132272E-5</v>
      </c>
      <c r="D20" s="15">
        <f>IFERROR((up_dir!D20/(up_Bv!C20+s_MLF_apple)),".")</f>
        <v>1.3187534153652909E-4</v>
      </c>
      <c r="E20" s="15">
        <f>IFERROR((up_dir!E20/(up_Bv!D20+s_MLF_asparagus)),".")</f>
        <v>1.3187534153652909E-4</v>
      </c>
      <c r="F20" s="15">
        <f>IFERROR((up_dir!F20/(up_Bv!E20+s_MLF_beet)),".")</f>
        <v>1.3187534153652909E-4</v>
      </c>
      <c r="G20" s="15">
        <f>IFERROR((up_dir!G20/(up_Bv!F20+s_MLF_berries)),".")</f>
        <v>1.3187534153652909E-4</v>
      </c>
      <c r="H20" s="15">
        <f>IFERROR((up_dir!H20/(up_Bv!G20+s_MLF_broccoli)),".")</f>
        <v>1.3187534153652909E-4</v>
      </c>
      <c r="I20" s="15">
        <f>IFERROR((up_dir!I20/(up_Bv!H20+s_MLF_cabbage)),".")</f>
        <v>1.3187534153652909E-4</v>
      </c>
      <c r="J20" s="15">
        <f>IFERROR((up_dir!J20/(up_Bv!I20+s_MLF_carrot)),".")</f>
        <v>1.3187534153652909E-4</v>
      </c>
      <c r="K20" s="15">
        <f>IFERROR((up_dir!K20/(up_Bv!J20+s_MLF_citrus)),".")</f>
        <v>1.3187534153652909E-4</v>
      </c>
      <c r="L20" s="15">
        <f>IFERROR((up_dir!L20/(up_Bv!K20+s_MLF_corn)),".")</f>
        <v>1.3187534153652909E-4</v>
      </c>
      <c r="M20" s="15">
        <f>IFERROR((up_dir!M20/(up_Bv!L20+s_MLF_cucumber)),".")</f>
        <v>1.3187534153652909E-4</v>
      </c>
      <c r="N20" s="15">
        <f>IFERROR((up_dir!N20/(up_Bv!M20+s_MLF_lettuce)),".")</f>
        <v>1.3187534153652909E-4</v>
      </c>
      <c r="O20" s="15">
        <f>IFERROR((up_dir!O20/(up_Bv!N20+s_MLF_lima_bean)),".")</f>
        <v>1.3187534153652909E-4</v>
      </c>
      <c r="P20" s="15">
        <f>IFERROR((up_dir!P20/(up_Bv!O20+s_MLF_okra)),".")</f>
        <v>1.3187534153652909E-4</v>
      </c>
      <c r="Q20" s="15">
        <f>IFERROR((up_dir!Q20/(up_Bv!P20+s_MLF_onion)),".")</f>
        <v>1.3187534153652909E-4</v>
      </c>
      <c r="R20" s="15">
        <f>IFERROR((up_dir!R20/(up_Bv!Q20+s_MLF_peach)),".")</f>
        <v>1.3187534153652909E-4</v>
      </c>
      <c r="S20" s="15">
        <f>IFERROR((up_dir!S20/(up_Bv!R20+s_MLF_pear)),".")</f>
        <v>1.3187534153652909E-4</v>
      </c>
      <c r="T20" s="15">
        <f>IFERROR((up_dir!T20/(up_Bv!S20+s_MLF_peas)),".")</f>
        <v>1.3187534153652909E-4</v>
      </c>
      <c r="U20" s="15">
        <f>IFERROR((up_dir!U20/(up_Bv!T20+s_MLF_peppers)),".")</f>
        <v>1.3187534153652909E-4</v>
      </c>
      <c r="V20" s="15">
        <f>IFERROR((up_dir!V20/(up_Bv!U20+s_MLF_potato)),".")</f>
        <v>1.3187534153652909E-4</v>
      </c>
      <c r="W20" s="15">
        <f>IFERROR((up_dir!W20/(up_Bv!V20+s_MLF_pumpkin)),".")</f>
        <v>1.3187534153652909E-4</v>
      </c>
      <c r="X20" s="15">
        <f>IFERROR((up_dir!X20/(up_Bv!W20+s_MLF_snap_bean)),".")</f>
        <v>1.3187534153652909E-4</v>
      </c>
      <c r="Y20" s="15">
        <f>IFERROR((up_dir!Y20/(up_Bv!X20+s_MLF_strawberry)),".")</f>
        <v>1.3187534153652909E-4</v>
      </c>
      <c r="Z20" s="15">
        <f>IFERROR((up_dir!Z20/(up_Bv!Y20+s_MLF_tomato)),".")</f>
        <v>1.3187534153652909E-4</v>
      </c>
      <c r="AA20" s="15">
        <f>IFERROR((up_dir!AA20/(up_Bv!Z20+s_MLF_rice)),".")</f>
        <v>1.3187534153652909E-4</v>
      </c>
      <c r="AB20" s="15">
        <f>IFERROR((up_dir!AB20/(up_Bv!AA20+s_MLF_cereal)),".")</f>
        <v>1.3187534153652909E-4</v>
      </c>
      <c r="AC20" s="40">
        <f t="shared" si="0"/>
        <v>151658.375</v>
      </c>
      <c r="AD20" s="40">
        <f>s_C*(up_Bv!C20+s_MLF_apple)*s_IFAP_res_adj*s_CF_apple</f>
        <v>37914.59375</v>
      </c>
      <c r="AE20" s="40">
        <f>s_C*(up_Bv!D20+s_MLF_asparagus)*s_IFAS_res_adj*s_CF_asparagus</f>
        <v>37914.59375</v>
      </c>
      <c r="AF20" s="40">
        <f>s_C*(up_Bv!E20+s_MLF_beet)*s_IFBT_res_adj*s_CF_beet</f>
        <v>37914.59375</v>
      </c>
      <c r="AG20" s="40">
        <f>s_C*(up_Bv!F20+s_MLF_berries)*s_IFBE_res_adj*s_CF_berries</f>
        <v>37914.59375</v>
      </c>
      <c r="AH20" s="40">
        <f>s_C*(up_Bv!G20+s_MLF_broccoli)*s_IFBR_res_adj*s_CF_broccoli</f>
        <v>37914.59375</v>
      </c>
      <c r="AI20" s="40">
        <f>s_C*(up_Bv!H20+s_MLF_cabbage)*s_IFCB_res_adj*s_CF_cabbage</f>
        <v>37914.59375</v>
      </c>
      <c r="AJ20" s="40">
        <f>s_C*(up_Bv!I20+s_MLF_carrot)*s_IFCR_res_adj*s_CF_carrot</f>
        <v>37914.59375</v>
      </c>
      <c r="AK20" s="40">
        <f>s_C*(up_Bv!J20+s_MLF_citrus)*s_IFCI_res_adj*s_CF_citrus</f>
        <v>37914.59375</v>
      </c>
      <c r="AL20" s="40">
        <f>s_C*(up_Bv!K20+s_MLF_corn)*s_IFCO_res_adj*s_CF_corn</f>
        <v>37914.59375</v>
      </c>
      <c r="AM20" s="40">
        <f>s_C*(up_Bv!L20+s_MLF_cucumber)*s_IFCU_res_adj*s_CF_cucumber</f>
        <v>37914.59375</v>
      </c>
      <c r="AN20" s="40">
        <f>s_C*(up_Bv!M20+s_MLF_lettuce)*s_IFLE_res_adj*s_CF_lettuce</f>
        <v>37914.59375</v>
      </c>
      <c r="AO20" s="40">
        <f>s_C*(up_Bv!N20+s_MLF_lima_bean)*s_IFLI_res_adj*s_CF_lima_bean</f>
        <v>37914.59375</v>
      </c>
      <c r="AP20" s="40">
        <f>s_C*(up_Bv!O20+s_MLF_okra)*s_IFOK_res_adj*s_CF_okra</f>
        <v>37914.59375</v>
      </c>
      <c r="AQ20" s="40">
        <f>s_C*(up_Bv!P20+s_MLF_onion)*s_IFON_res_adj*s_CF_onion</f>
        <v>37914.59375</v>
      </c>
      <c r="AR20" s="40">
        <f>s_C*(up_Bv!Q20+s_MLF_peach)*s_IFPC_res_adj*s_CF_peach</f>
        <v>37914.59375</v>
      </c>
      <c r="AS20" s="40">
        <f>s_C*(up_Bv!R20+s_MLF_pear)*s_IFPR_res_adj*s_CF_pear</f>
        <v>37914.59375</v>
      </c>
      <c r="AT20" s="40">
        <f>s_C*(up_Bv!S20+s_MLF_peas)*s_IFPE_res_adj*s_CF_peas</f>
        <v>37914.59375</v>
      </c>
      <c r="AU20" s="40">
        <f>s_C*(up_Bv!T20+s_MLF_peppers)*s_IFPP_res_adj*s_CF_peppers</f>
        <v>37914.59375</v>
      </c>
      <c r="AV20" s="40">
        <f>s_C*(up_Bv!U20+s_MLF_potato)*s_IFPT_res_adj*s_CF_potato</f>
        <v>37914.59375</v>
      </c>
      <c r="AW20" s="40">
        <f>s_C*(up_Bv!V20+s_MLF_pumpkin)*s_IFPU_res_adj*s_CF_pumpkin</f>
        <v>37914.59375</v>
      </c>
      <c r="AX20" s="40">
        <f>s_C*(up_Bv!W20+s_MLF_snap_bean)*s_IFSN_res_adj*s_CF_snap_bean</f>
        <v>37914.59375</v>
      </c>
      <c r="AY20" s="40">
        <f>s_C*(up_Bv!X20+s_MLF_strawberry)*s_IFST_res_adj*s_CF_strawberry</f>
        <v>37914.59375</v>
      </c>
      <c r="AZ20" s="40">
        <f>s_C*(up_Bv!Y20+s_MLF_tomato)*s_IFTO_res_adj*s_CF_tomato</f>
        <v>37914.59375</v>
      </c>
      <c r="BA20" s="40">
        <f>s_C*(up_Bv!Z20+s_MLF_rice)*s_IFRI_res_adj*s_CF_rice</f>
        <v>37914.59375</v>
      </c>
      <c r="BB20" s="40">
        <f>s_C*(up_Bv!AA20+s_MLF_cereal)*s_IFCG_res_adj*s_CF_cereal</f>
        <v>37914.59375</v>
      </c>
      <c r="BC20" s="15">
        <f t="shared" si="2"/>
        <v>3.2968835384132272E-5</v>
      </c>
      <c r="BD20" s="15">
        <f>IFERROR((up_dir!AD20/(up_Bv!C20+s_MLF_apple)),".")</f>
        <v>1.3187534153652909E-4</v>
      </c>
      <c r="BE20" s="15">
        <f>IFERROR((up_dir!AE20/(up_Bv!D20+s_MLF_asparagus)),".")</f>
        <v>1.3187534153652909E-4</v>
      </c>
      <c r="BF20" s="15">
        <f>IFERROR((up_dir!AF20/(up_Bv!E20+s_MLF_beet)),".")</f>
        <v>1.3187534153652909E-4</v>
      </c>
      <c r="BG20" s="15">
        <f>IFERROR((up_dir!AG20/(up_Bv!F20+s_MLF_berries)),".")</f>
        <v>1.3187534153652909E-4</v>
      </c>
      <c r="BH20" s="15">
        <f>IFERROR((up_dir!AH20/(up_Bv!G20+s_MLF_broccoli)),".")</f>
        <v>1.3187534153652909E-4</v>
      </c>
      <c r="BI20" s="15">
        <f>IFERROR((up_dir!AI20/(up_Bv!H20+s_MLF_cabbage)),".")</f>
        <v>1.3187534153652909E-4</v>
      </c>
      <c r="BJ20" s="15">
        <f>IFERROR((up_dir!AJ20/(up_Bv!I20+s_MLF_carrot)),".")</f>
        <v>1.3187534153652909E-4</v>
      </c>
      <c r="BK20" s="15">
        <f>IFERROR((up_dir!AK20/(up_Bv!J20+s_MLF_citrus)),".")</f>
        <v>1.3187534153652909E-4</v>
      </c>
      <c r="BL20" s="15">
        <f>IFERROR((up_dir!AL20/(up_Bv!K20+s_MLF_corn)),".")</f>
        <v>1.3187534153652909E-4</v>
      </c>
      <c r="BM20" s="15">
        <f>IFERROR((up_dir!AM20/(up_Bv!L20+s_MLF_cucumber)),".")</f>
        <v>1.3187534153652909E-4</v>
      </c>
      <c r="BN20" s="15">
        <f>IFERROR((up_dir!AN20/(up_Bv!M20+s_MLF_lettuce)),".")</f>
        <v>1.3187534153652909E-4</v>
      </c>
      <c r="BO20" s="15">
        <f>IFERROR((up_dir!AO20/(up_Bv!N20+s_MLF_lima_bean)),".")</f>
        <v>1.3187534153652909E-4</v>
      </c>
      <c r="BP20" s="15">
        <f>IFERROR((up_dir!AP20/(up_Bv!O20+s_MLF_okra)),".")</f>
        <v>1.3187534153652909E-4</v>
      </c>
      <c r="BQ20" s="15">
        <f>IFERROR((up_dir!AQ20/(up_Bv!P20+s_MLF_onion)),".")</f>
        <v>1.3187534153652909E-4</v>
      </c>
      <c r="BR20" s="15">
        <f>IFERROR((up_dir!AR20/(up_Bv!Q20+s_MLF_peach)),".")</f>
        <v>1.3187534153652909E-4</v>
      </c>
      <c r="BS20" s="15">
        <f>IFERROR((up_dir!AS20/(up_Bv!R20+s_MLF_pear)),".")</f>
        <v>1.3187534153652909E-4</v>
      </c>
      <c r="BT20" s="15">
        <f>IFERROR((up_dir!AT20/(up_Bv!S20+s_MLF_peas)),".")</f>
        <v>1.3187534153652909E-4</v>
      </c>
      <c r="BU20" s="15">
        <f>IFERROR((up_dir!AU20/(up_Bv!T20+s_MLF_peppers)),".")</f>
        <v>1.3187534153652909E-4</v>
      </c>
      <c r="BV20" s="15">
        <f>IFERROR((up_dir!AV20/(up_Bv!U20+s_MLF_potato)),".")</f>
        <v>1.3187534153652909E-4</v>
      </c>
      <c r="BW20" s="15">
        <f>IFERROR((up_dir!AW20/(up_Bv!V20+s_MLF_pumpkin)),".")</f>
        <v>1.3187534153652909E-4</v>
      </c>
      <c r="BX20" s="15">
        <f>IFERROR((up_dir!AX20/(up_Bv!W20+s_MLF_snap_bean)),".")</f>
        <v>1.3187534153652909E-4</v>
      </c>
      <c r="BY20" s="15">
        <f>IFERROR((up_dir!AY20/(up_Bv!X20+s_MLF_strawberry)),".")</f>
        <v>1.3187534153652909E-4</v>
      </c>
      <c r="BZ20" s="15">
        <f>IFERROR((up_dir!AZ20/(up_Bv!Y20+s_MLF_tomato)),".")</f>
        <v>1.3187534153652909E-4</v>
      </c>
      <c r="CA20" s="15">
        <f>IFERROR((up_dir!BA20/(up_Bv!Z20+s_MLF_rice)),".")</f>
        <v>1.3187534153652909E-4</v>
      </c>
      <c r="CB20" s="15">
        <f>IFERROR((up_dir!BB20/(up_Bv!AA20+s_MLF_cereal)),".")</f>
        <v>1.3187534153652909E-4</v>
      </c>
      <c r="CC20" s="40">
        <f t="shared" si="3"/>
        <v>151658.375</v>
      </c>
      <c r="CD20" s="40">
        <f>IFERROR(s_C*(up_Bv!C20+s_MLF_apple)*s_IFAP_far_adj*s_CF_apple,".")</f>
        <v>37914.59375</v>
      </c>
      <c r="CE20" s="40">
        <f>IFERROR(s_C*(up_Bv!D20+s_MLF_asparagus)*s_IFAS_far_adj*s_CF_asparagus,".")</f>
        <v>37914.59375</v>
      </c>
      <c r="CF20" s="40">
        <f>IFERROR(s_C*(up_Bv!E20+s_MLF_beet)*s_IFBT_far_adj*s_CF_beet,".")</f>
        <v>37914.59375</v>
      </c>
      <c r="CG20" s="40">
        <f>IFERROR(s_C*(up_Bv!F20+s_MLF_berries)*s_IFBR_far_adj*s_CF_berries,".")</f>
        <v>37914.59375</v>
      </c>
      <c r="CH20" s="40">
        <f>IFERROR(s_C*(up_Bv!G20+s_MLF_broccoli)*s_IFBR_far_adj*s_CF_broccoli,".")</f>
        <v>37914.59375</v>
      </c>
      <c r="CI20" s="40">
        <f>IFERROR(s_C*(up_Bv!H20+s_MLF_cabbage)*s_IFCB_far_adj*s_CF_cabbage,".")</f>
        <v>37914.59375</v>
      </c>
      <c r="CJ20" s="40">
        <f>IFERROR(s_C*(up_Bv!I20+s_MLF_carrot)*s_IFCR_far_adj*s_CF_carrot,".")</f>
        <v>37914.59375</v>
      </c>
      <c r="CK20" s="40">
        <f>IFERROR(s_C*(up_Bv!J20+s_MLF_citrus)*s_IFCI_far_adj*s_CF_citrus,".")</f>
        <v>37914.59375</v>
      </c>
      <c r="CL20" s="40">
        <f>IFERROR(s_C*(up_Bv!K20+s_MLF_corn)*s_IFCO_far_adj*s_CF_corn,".")</f>
        <v>37914.59375</v>
      </c>
      <c r="CM20" s="40">
        <f>IFERROR(s_C*(up_Bv!L20+s_MLF_cucumber)*s_IFCU_far_adj*s_CF_cucumber,".")</f>
        <v>37914.59375</v>
      </c>
      <c r="CN20" s="40">
        <f>IFERROR(s_C*(up_Bv!M20+s_MLF_lettuce)*s_IFLE_far_adj*s_CF_lettuce,".")</f>
        <v>37914.59375</v>
      </c>
      <c r="CO20" s="40">
        <f>IFERROR(s_C*(up_Bv!N20+s_MLF_lima_bean)*s_IFLI_far_adj*s_CF_lima_bean,".")</f>
        <v>37914.59375</v>
      </c>
      <c r="CP20" s="40">
        <f>IFERROR(s_C*(up_Bv!O20+s_MLF_okra)*s_IFOK_far_adj*s_CF_okra,".")</f>
        <v>37914.59375</v>
      </c>
      <c r="CQ20" s="40">
        <f>IFERROR(s_C*(up_Bv!P20+s_MLF_onion)*s_IFON_far_adj*s_CF_onion,".")</f>
        <v>37914.59375</v>
      </c>
      <c r="CR20" s="40">
        <f>IFERROR(s_C*(up_Bv!Q20+s_MLF_peach)*s_IFPC_far_adj*s_CF_peach,".")</f>
        <v>37914.59375</v>
      </c>
      <c r="CS20" s="40">
        <f>IFERROR(s_C*(up_Bv!R20+s_MLF_pear)*s_IFPR_far_adj*s_CF_pear,".")</f>
        <v>37914.59375</v>
      </c>
      <c r="CT20" s="40">
        <f>IFERROR(s_C*(up_Bv!S20+s_MLF_peas)*s_IFPE_far_adj*s_CF_peas,".")</f>
        <v>37914.59375</v>
      </c>
      <c r="CU20" s="40">
        <f>IFERROR(s_C*(up_Bv!T20+s_MLF_peppers)*s_IFPP_far_adj*s_CF_peppers,".")</f>
        <v>37914.59375</v>
      </c>
      <c r="CV20" s="40">
        <f>IFERROR(s_C*(up_Bv!U20+s_MLF_potato)*s_IFPT_far_adj*s_CF_potato,".")</f>
        <v>37914.59375</v>
      </c>
      <c r="CW20" s="40">
        <f>IFERROR(s_C*(up_Bv!V20+s_MLF_pumpkin)*s_IFPU_far_adj*s_CF_pumpkin,".")</f>
        <v>37914.59375</v>
      </c>
      <c r="CX20" s="40">
        <f>IFERROR(s_C*(up_Bv!W20+s_MLF_snap_bean)*s_IFSN_far_adj*s_CF_snap_bean,".")</f>
        <v>37914.59375</v>
      </c>
      <c r="CY20" s="40">
        <f>IFERROR(s_C*(up_Bv!X20+s_MLF_strawberry)*s_IFST_far_adj*s_CF_strawberry,".")</f>
        <v>37914.59375</v>
      </c>
      <c r="CZ20" s="40">
        <f>IFERROR(s_C*(up_Bv!Y20+s_MLF_tomato)*s_IFTO_far_adj*s_CF_tomato,".")</f>
        <v>37914.59375</v>
      </c>
      <c r="DA20" s="40">
        <f>IFERROR(s_C*(up_Bv!Z20+s_MLF_rice)*s_IFRI_far_adj*s_CF_rice,".")</f>
        <v>37914.59375</v>
      </c>
      <c r="DB20" s="40">
        <f>IFERROR(s_C*(up_Bv!AA20+s_MLF_cereal)*s_IFCG_far_adj*s_CF_cereal,".")</f>
        <v>37914.59375</v>
      </c>
    </row>
    <row r="21" spans="1:106" ht="15" customHeight="1" x14ac:dyDescent="0.25">
      <c r="A21" s="44" t="s">
        <v>19</v>
      </c>
      <c r="B21" s="42" t="s">
        <v>1057</v>
      </c>
      <c r="C21" s="15">
        <f t="shared" si="1"/>
        <v>3.2968835384132272E-5</v>
      </c>
      <c r="D21" s="15">
        <f>IFERROR((up_dir!D21/(up_Bv!C21+s_MLF_apple)),".")</f>
        <v>1.3187534153652909E-4</v>
      </c>
      <c r="E21" s="15">
        <f>IFERROR((up_dir!E21/(up_Bv!D21+s_MLF_asparagus)),".")</f>
        <v>1.3187534153652909E-4</v>
      </c>
      <c r="F21" s="15">
        <f>IFERROR((up_dir!F21/(up_Bv!E21+s_MLF_beet)),".")</f>
        <v>1.3187534153652909E-4</v>
      </c>
      <c r="G21" s="15">
        <f>IFERROR((up_dir!G21/(up_Bv!F21+s_MLF_berries)),".")</f>
        <v>1.3187534153652909E-4</v>
      </c>
      <c r="H21" s="15">
        <f>IFERROR((up_dir!H21/(up_Bv!G21+s_MLF_broccoli)),".")</f>
        <v>1.3187534153652909E-4</v>
      </c>
      <c r="I21" s="15">
        <f>IFERROR((up_dir!I21/(up_Bv!H21+s_MLF_cabbage)),".")</f>
        <v>1.3187534153652909E-4</v>
      </c>
      <c r="J21" s="15">
        <f>IFERROR((up_dir!J21/(up_Bv!I21+s_MLF_carrot)),".")</f>
        <v>1.3187534153652909E-4</v>
      </c>
      <c r="K21" s="15">
        <f>IFERROR((up_dir!K21/(up_Bv!J21+s_MLF_citrus)),".")</f>
        <v>1.3187534153652909E-4</v>
      </c>
      <c r="L21" s="15">
        <f>IFERROR((up_dir!L21/(up_Bv!K21+s_MLF_corn)),".")</f>
        <v>1.3187534153652909E-4</v>
      </c>
      <c r="M21" s="15">
        <f>IFERROR((up_dir!M21/(up_Bv!L21+s_MLF_cucumber)),".")</f>
        <v>1.3187534153652909E-4</v>
      </c>
      <c r="N21" s="15">
        <f>IFERROR((up_dir!N21/(up_Bv!M21+s_MLF_lettuce)),".")</f>
        <v>1.3187534153652909E-4</v>
      </c>
      <c r="O21" s="15">
        <f>IFERROR((up_dir!O21/(up_Bv!N21+s_MLF_lima_bean)),".")</f>
        <v>1.3187534153652909E-4</v>
      </c>
      <c r="P21" s="15">
        <f>IFERROR((up_dir!P21/(up_Bv!O21+s_MLF_okra)),".")</f>
        <v>1.3187534153652909E-4</v>
      </c>
      <c r="Q21" s="15">
        <f>IFERROR((up_dir!Q21/(up_Bv!P21+s_MLF_onion)),".")</f>
        <v>1.3187534153652909E-4</v>
      </c>
      <c r="R21" s="15">
        <f>IFERROR((up_dir!R21/(up_Bv!Q21+s_MLF_peach)),".")</f>
        <v>1.3187534153652909E-4</v>
      </c>
      <c r="S21" s="15">
        <f>IFERROR((up_dir!S21/(up_Bv!R21+s_MLF_pear)),".")</f>
        <v>1.3187534153652909E-4</v>
      </c>
      <c r="T21" s="15">
        <f>IFERROR((up_dir!T21/(up_Bv!S21+s_MLF_peas)),".")</f>
        <v>1.3187534153652909E-4</v>
      </c>
      <c r="U21" s="15">
        <f>IFERROR((up_dir!U21/(up_Bv!T21+s_MLF_peppers)),".")</f>
        <v>1.3187534153652909E-4</v>
      </c>
      <c r="V21" s="15">
        <f>IFERROR((up_dir!V21/(up_Bv!U21+s_MLF_potato)),".")</f>
        <v>1.3187534153652909E-4</v>
      </c>
      <c r="W21" s="15">
        <f>IFERROR((up_dir!W21/(up_Bv!V21+s_MLF_pumpkin)),".")</f>
        <v>1.3187534153652909E-4</v>
      </c>
      <c r="X21" s="15">
        <f>IFERROR((up_dir!X21/(up_Bv!W21+s_MLF_snap_bean)),".")</f>
        <v>1.3187534153652909E-4</v>
      </c>
      <c r="Y21" s="15">
        <f>IFERROR((up_dir!Y21/(up_Bv!X21+s_MLF_strawberry)),".")</f>
        <v>1.3187534153652909E-4</v>
      </c>
      <c r="Z21" s="15">
        <f>IFERROR((up_dir!Z21/(up_Bv!Y21+s_MLF_tomato)),".")</f>
        <v>1.3187534153652909E-4</v>
      </c>
      <c r="AA21" s="15">
        <f>IFERROR((up_dir!AA21/(up_Bv!Z21+s_MLF_rice)),".")</f>
        <v>1.3187534153652909E-4</v>
      </c>
      <c r="AB21" s="15">
        <f>IFERROR((up_dir!AB21/(up_Bv!AA21+s_MLF_cereal)),".")</f>
        <v>1.3187534153652909E-4</v>
      </c>
      <c r="AC21" s="40">
        <f t="shared" si="0"/>
        <v>151658.375</v>
      </c>
      <c r="AD21" s="40">
        <f>s_C*(up_Bv!C21+s_MLF_apple)*s_IFAP_res_adj*s_CF_apple</f>
        <v>37914.59375</v>
      </c>
      <c r="AE21" s="40">
        <f>s_C*(up_Bv!D21+s_MLF_asparagus)*s_IFAS_res_adj*s_CF_asparagus</f>
        <v>37914.59375</v>
      </c>
      <c r="AF21" s="40">
        <f>s_C*(up_Bv!E21+s_MLF_beet)*s_IFBT_res_adj*s_CF_beet</f>
        <v>37914.59375</v>
      </c>
      <c r="AG21" s="40">
        <f>s_C*(up_Bv!F21+s_MLF_berries)*s_IFBE_res_adj*s_CF_berries</f>
        <v>37914.59375</v>
      </c>
      <c r="AH21" s="40">
        <f>s_C*(up_Bv!G21+s_MLF_broccoli)*s_IFBR_res_adj*s_CF_broccoli</f>
        <v>37914.59375</v>
      </c>
      <c r="AI21" s="40">
        <f>s_C*(up_Bv!H21+s_MLF_cabbage)*s_IFCB_res_adj*s_CF_cabbage</f>
        <v>37914.59375</v>
      </c>
      <c r="AJ21" s="40">
        <f>s_C*(up_Bv!I21+s_MLF_carrot)*s_IFCR_res_adj*s_CF_carrot</f>
        <v>37914.59375</v>
      </c>
      <c r="AK21" s="40">
        <f>s_C*(up_Bv!J21+s_MLF_citrus)*s_IFCI_res_adj*s_CF_citrus</f>
        <v>37914.59375</v>
      </c>
      <c r="AL21" s="40">
        <f>s_C*(up_Bv!K21+s_MLF_corn)*s_IFCO_res_adj*s_CF_corn</f>
        <v>37914.59375</v>
      </c>
      <c r="AM21" s="40">
        <f>s_C*(up_Bv!L21+s_MLF_cucumber)*s_IFCU_res_adj*s_CF_cucumber</f>
        <v>37914.59375</v>
      </c>
      <c r="AN21" s="40">
        <f>s_C*(up_Bv!M21+s_MLF_lettuce)*s_IFLE_res_adj*s_CF_lettuce</f>
        <v>37914.59375</v>
      </c>
      <c r="AO21" s="40">
        <f>s_C*(up_Bv!N21+s_MLF_lima_bean)*s_IFLI_res_adj*s_CF_lima_bean</f>
        <v>37914.59375</v>
      </c>
      <c r="AP21" s="40">
        <f>s_C*(up_Bv!O21+s_MLF_okra)*s_IFOK_res_adj*s_CF_okra</f>
        <v>37914.59375</v>
      </c>
      <c r="AQ21" s="40">
        <f>s_C*(up_Bv!P21+s_MLF_onion)*s_IFON_res_adj*s_CF_onion</f>
        <v>37914.59375</v>
      </c>
      <c r="AR21" s="40">
        <f>s_C*(up_Bv!Q21+s_MLF_peach)*s_IFPC_res_adj*s_CF_peach</f>
        <v>37914.59375</v>
      </c>
      <c r="AS21" s="40">
        <f>s_C*(up_Bv!R21+s_MLF_pear)*s_IFPR_res_adj*s_CF_pear</f>
        <v>37914.59375</v>
      </c>
      <c r="AT21" s="40">
        <f>s_C*(up_Bv!S21+s_MLF_peas)*s_IFPE_res_adj*s_CF_peas</f>
        <v>37914.59375</v>
      </c>
      <c r="AU21" s="40">
        <f>s_C*(up_Bv!T21+s_MLF_peppers)*s_IFPP_res_adj*s_CF_peppers</f>
        <v>37914.59375</v>
      </c>
      <c r="AV21" s="40">
        <f>s_C*(up_Bv!U21+s_MLF_potato)*s_IFPT_res_adj*s_CF_potato</f>
        <v>37914.59375</v>
      </c>
      <c r="AW21" s="40">
        <f>s_C*(up_Bv!V21+s_MLF_pumpkin)*s_IFPU_res_adj*s_CF_pumpkin</f>
        <v>37914.59375</v>
      </c>
      <c r="AX21" s="40">
        <f>s_C*(up_Bv!W21+s_MLF_snap_bean)*s_IFSN_res_adj*s_CF_snap_bean</f>
        <v>37914.59375</v>
      </c>
      <c r="AY21" s="40">
        <f>s_C*(up_Bv!X21+s_MLF_strawberry)*s_IFST_res_adj*s_CF_strawberry</f>
        <v>37914.59375</v>
      </c>
      <c r="AZ21" s="40">
        <f>s_C*(up_Bv!Y21+s_MLF_tomato)*s_IFTO_res_adj*s_CF_tomato</f>
        <v>37914.59375</v>
      </c>
      <c r="BA21" s="40">
        <f>s_C*(up_Bv!Z21+s_MLF_rice)*s_IFRI_res_adj*s_CF_rice</f>
        <v>37914.59375</v>
      </c>
      <c r="BB21" s="40">
        <f>s_C*(up_Bv!AA21+s_MLF_cereal)*s_IFCG_res_adj*s_CF_cereal</f>
        <v>37914.59375</v>
      </c>
      <c r="BC21" s="15">
        <f t="shared" si="2"/>
        <v>3.2968835384132272E-5</v>
      </c>
      <c r="BD21" s="15">
        <f>IFERROR((up_dir!AD21/(up_Bv!C21+s_MLF_apple)),".")</f>
        <v>1.3187534153652909E-4</v>
      </c>
      <c r="BE21" s="15">
        <f>IFERROR((up_dir!AE21/(up_Bv!D21+s_MLF_asparagus)),".")</f>
        <v>1.3187534153652909E-4</v>
      </c>
      <c r="BF21" s="15">
        <f>IFERROR((up_dir!AF21/(up_Bv!E21+s_MLF_beet)),".")</f>
        <v>1.3187534153652909E-4</v>
      </c>
      <c r="BG21" s="15">
        <f>IFERROR((up_dir!AG21/(up_Bv!F21+s_MLF_berries)),".")</f>
        <v>1.3187534153652909E-4</v>
      </c>
      <c r="BH21" s="15">
        <f>IFERROR((up_dir!AH21/(up_Bv!G21+s_MLF_broccoli)),".")</f>
        <v>1.3187534153652909E-4</v>
      </c>
      <c r="BI21" s="15">
        <f>IFERROR((up_dir!AI21/(up_Bv!H21+s_MLF_cabbage)),".")</f>
        <v>1.3187534153652909E-4</v>
      </c>
      <c r="BJ21" s="15">
        <f>IFERROR((up_dir!AJ21/(up_Bv!I21+s_MLF_carrot)),".")</f>
        <v>1.3187534153652909E-4</v>
      </c>
      <c r="BK21" s="15">
        <f>IFERROR((up_dir!AK21/(up_Bv!J21+s_MLF_citrus)),".")</f>
        <v>1.3187534153652909E-4</v>
      </c>
      <c r="BL21" s="15">
        <f>IFERROR((up_dir!AL21/(up_Bv!K21+s_MLF_corn)),".")</f>
        <v>1.3187534153652909E-4</v>
      </c>
      <c r="BM21" s="15">
        <f>IFERROR((up_dir!AM21/(up_Bv!L21+s_MLF_cucumber)),".")</f>
        <v>1.3187534153652909E-4</v>
      </c>
      <c r="BN21" s="15">
        <f>IFERROR((up_dir!AN21/(up_Bv!M21+s_MLF_lettuce)),".")</f>
        <v>1.3187534153652909E-4</v>
      </c>
      <c r="BO21" s="15">
        <f>IFERROR((up_dir!AO21/(up_Bv!N21+s_MLF_lima_bean)),".")</f>
        <v>1.3187534153652909E-4</v>
      </c>
      <c r="BP21" s="15">
        <f>IFERROR((up_dir!AP21/(up_Bv!O21+s_MLF_okra)),".")</f>
        <v>1.3187534153652909E-4</v>
      </c>
      <c r="BQ21" s="15">
        <f>IFERROR((up_dir!AQ21/(up_Bv!P21+s_MLF_onion)),".")</f>
        <v>1.3187534153652909E-4</v>
      </c>
      <c r="BR21" s="15">
        <f>IFERROR((up_dir!AR21/(up_Bv!Q21+s_MLF_peach)),".")</f>
        <v>1.3187534153652909E-4</v>
      </c>
      <c r="BS21" s="15">
        <f>IFERROR((up_dir!AS21/(up_Bv!R21+s_MLF_pear)),".")</f>
        <v>1.3187534153652909E-4</v>
      </c>
      <c r="BT21" s="15">
        <f>IFERROR((up_dir!AT21/(up_Bv!S21+s_MLF_peas)),".")</f>
        <v>1.3187534153652909E-4</v>
      </c>
      <c r="BU21" s="15">
        <f>IFERROR((up_dir!AU21/(up_Bv!T21+s_MLF_peppers)),".")</f>
        <v>1.3187534153652909E-4</v>
      </c>
      <c r="BV21" s="15">
        <f>IFERROR((up_dir!AV21/(up_Bv!U21+s_MLF_potato)),".")</f>
        <v>1.3187534153652909E-4</v>
      </c>
      <c r="BW21" s="15">
        <f>IFERROR((up_dir!AW21/(up_Bv!V21+s_MLF_pumpkin)),".")</f>
        <v>1.3187534153652909E-4</v>
      </c>
      <c r="BX21" s="15">
        <f>IFERROR((up_dir!AX21/(up_Bv!W21+s_MLF_snap_bean)),".")</f>
        <v>1.3187534153652909E-4</v>
      </c>
      <c r="BY21" s="15">
        <f>IFERROR((up_dir!AY21/(up_Bv!X21+s_MLF_strawberry)),".")</f>
        <v>1.3187534153652909E-4</v>
      </c>
      <c r="BZ21" s="15">
        <f>IFERROR((up_dir!AZ21/(up_Bv!Y21+s_MLF_tomato)),".")</f>
        <v>1.3187534153652909E-4</v>
      </c>
      <c r="CA21" s="15">
        <f>IFERROR((up_dir!BA21/(up_Bv!Z21+s_MLF_rice)),".")</f>
        <v>1.3187534153652909E-4</v>
      </c>
      <c r="CB21" s="15">
        <f>IFERROR((up_dir!BB21/(up_Bv!AA21+s_MLF_cereal)),".")</f>
        <v>1.3187534153652909E-4</v>
      </c>
      <c r="CC21" s="40">
        <f t="shared" si="3"/>
        <v>151658.375</v>
      </c>
      <c r="CD21" s="40">
        <f>IFERROR(s_C*(up_Bv!C21+s_MLF_apple)*s_IFAP_far_adj*s_CF_apple,".")</f>
        <v>37914.59375</v>
      </c>
      <c r="CE21" s="40">
        <f>IFERROR(s_C*(up_Bv!D21+s_MLF_asparagus)*s_IFAS_far_adj*s_CF_asparagus,".")</f>
        <v>37914.59375</v>
      </c>
      <c r="CF21" s="40">
        <f>IFERROR(s_C*(up_Bv!E21+s_MLF_beet)*s_IFBT_far_adj*s_CF_beet,".")</f>
        <v>37914.59375</v>
      </c>
      <c r="CG21" s="40">
        <f>IFERROR(s_C*(up_Bv!F21+s_MLF_berries)*s_IFBR_far_adj*s_CF_berries,".")</f>
        <v>37914.59375</v>
      </c>
      <c r="CH21" s="40">
        <f>IFERROR(s_C*(up_Bv!G21+s_MLF_broccoli)*s_IFBR_far_adj*s_CF_broccoli,".")</f>
        <v>37914.59375</v>
      </c>
      <c r="CI21" s="40">
        <f>IFERROR(s_C*(up_Bv!H21+s_MLF_cabbage)*s_IFCB_far_adj*s_CF_cabbage,".")</f>
        <v>37914.59375</v>
      </c>
      <c r="CJ21" s="40">
        <f>IFERROR(s_C*(up_Bv!I21+s_MLF_carrot)*s_IFCR_far_adj*s_CF_carrot,".")</f>
        <v>37914.59375</v>
      </c>
      <c r="CK21" s="40">
        <f>IFERROR(s_C*(up_Bv!J21+s_MLF_citrus)*s_IFCI_far_adj*s_CF_citrus,".")</f>
        <v>37914.59375</v>
      </c>
      <c r="CL21" s="40">
        <f>IFERROR(s_C*(up_Bv!K21+s_MLF_corn)*s_IFCO_far_adj*s_CF_corn,".")</f>
        <v>37914.59375</v>
      </c>
      <c r="CM21" s="40">
        <f>IFERROR(s_C*(up_Bv!L21+s_MLF_cucumber)*s_IFCU_far_adj*s_CF_cucumber,".")</f>
        <v>37914.59375</v>
      </c>
      <c r="CN21" s="40">
        <f>IFERROR(s_C*(up_Bv!M21+s_MLF_lettuce)*s_IFLE_far_adj*s_CF_lettuce,".")</f>
        <v>37914.59375</v>
      </c>
      <c r="CO21" s="40">
        <f>IFERROR(s_C*(up_Bv!N21+s_MLF_lima_bean)*s_IFLI_far_adj*s_CF_lima_bean,".")</f>
        <v>37914.59375</v>
      </c>
      <c r="CP21" s="40">
        <f>IFERROR(s_C*(up_Bv!O21+s_MLF_okra)*s_IFOK_far_adj*s_CF_okra,".")</f>
        <v>37914.59375</v>
      </c>
      <c r="CQ21" s="40">
        <f>IFERROR(s_C*(up_Bv!P21+s_MLF_onion)*s_IFON_far_adj*s_CF_onion,".")</f>
        <v>37914.59375</v>
      </c>
      <c r="CR21" s="40">
        <f>IFERROR(s_C*(up_Bv!Q21+s_MLF_peach)*s_IFPC_far_adj*s_CF_peach,".")</f>
        <v>37914.59375</v>
      </c>
      <c r="CS21" s="40">
        <f>IFERROR(s_C*(up_Bv!R21+s_MLF_pear)*s_IFPR_far_adj*s_CF_pear,".")</f>
        <v>37914.59375</v>
      </c>
      <c r="CT21" s="40">
        <f>IFERROR(s_C*(up_Bv!S21+s_MLF_peas)*s_IFPE_far_adj*s_CF_peas,".")</f>
        <v>37914.59375</v>
      </c>
      <c r="CU21" s="40">
        <f>IFERROR(s_C*(up_Bv!T21+s_MLF_peppers)*s_IFPP_far_adj*s_CF_peppers,".")</f>
        <v>37914.59375</v>
      </c>
      <c r="CV21" s="40">
        <f>IFERROR(s_C*(up_Bv!U21+s_MLF_potato)*s_IFPT_far_adj*s_CF_potato,".")</f>
        <v>37914.59375</v>
      </c>
      <c r="CW21" s="40">
        <f>IFERROR(s_C*(up_Bv!V21+s_MLF_pumpkin)*s_IFPU_far_adj*s_CF_pumpkin,".")</f>
        <v>37914.59375</v>
      </c>
      <c r="CX21" s="40">
        <f>IFERROR(s_C*(up_Bv!W21+s_MLF_snap_bean)*s_IFSN_far_adj*s_CF_snap_bean,".")</f>
        <v>37914.59375</v>
      </c>
      <c r="CY21" s="40">
        <f>IFERROR(s_C*(up_Bv!X21+s_MLF_strawberry)*s_IFST_far_adj*s_CF_strawberry,".")</f>
        <v>37914.59375</v>
      </c>
      <c r="CZ21" s="40">
        <f>IFERROR(s_C*(up_Bv!Y21+s_MLF_tomato)*s_IFTO_far_adj*s_CF_tomato,".")</f>
        <v>37914.59375</v>
      </c>
      <c r="DA21" s="40">
        <f>IFERROR(s_C*(up_Bv!Z21+s_MLF_rice)*s_IFRI_far_adj*s_CF_rice,".")</f>
        <v>37914.59375</v>
      </c>
      <c r="DB21" s="40">
        <f>IFERROR(s_C*(up_Bv!AA21+s_MLF_cereal)*s_IFCG_far_adj*s_CF_cereal,".")</f>
        <v>37914.59375</v>
      </c>
    </row>
    <row r="22" spans="1:106" ht="15" customHeight="1" x14ac:dyDescent="0.25">
      <c r="A22" s="44" t="s">
        <v>20</v>
      </c>
      <c r="B22" s="42" t="s">
        <v>1057</v>
      </c>
      <c r="C22" s="15">
        <f t="shared" si="1"/>
        <v>3.2968835384132272E-5</v>
      </c>
      <c r="D22" s="15">
        <f>IFERROR((up_dir!D22/(up_Bv!C22+s_MLF_apple)),".")</f>
        <v>1.3187534153652909E-4</v>
      </c>
      <c r="E22" s="15">
        <f>IFERROR((up_dir!E22/(up_Bv!D22+s_MLF_asparagus)),".")</f>
        <v>1.3187534153652909E-4</v>
      </c>
      <c r="F22" s="15">
        <f>IFERROR((up_dir!F22/(up_Bv!E22+s_MLF_beet)),".")</f>
        <v>1.3187534153652909E-4</v>
      </c>
      <c r="G22" s="15">
        <f>IFERROR((up_dir!G22/(up_Bv!F22+s_MLF_berries)),".")</f>
        <v>1.3187534153652909E-4</v>
      </c>
      <c r="H22" s="15">
        <f>IFERROR((up_dir!H22/(up_Bv!G22+s_MLF_broccoli)),".")</f>
        <v>1.3187534153652909E-4</v>
      </c>
      <c r="I22" s="15">
        <f>IFERROR((up_dir!I22/(up_Bv!H22+s_MLF_cabbage)),".")</f>
        <v>1.3187534153652909E-4</v>
      </c>
      <c r="J22" s="15">
        <f>IFERROR((up_dir!J22/(up_Bv!I22+s_MLF_carrot)),".")</f>
        <v>1.3187534153652909E-4</v>
      </c>
      <c r="K22" s="15">
        <f>IFERROR((up_dir!K22/(up_Bv!J22+s_MLF_citrus)),".")</f>
        <v>1.3187534153652909E-4</v>
      </c>
      <c r="L22" s="15">
        <f>IFERROR((up_dir!L22/(up_Bv!K22+s_MLF_corn)),".")</f>
        <v>1.3187534153652909E-4</v>
      </c>
      <c r="M22" s="15">
        <f>IFERROR((up_dir!M22/(up_Bv!L22+s_MLF_cucumber)),".")</f>
        <v>1.3187534153652909E-4</v>
      </c>
      <c r="N22" s="15">
        <f>IFERROR((up_dir!N22/(up_Bv!M22+s_MLF_lettuce)),".")</f>
        <v>1.3187534153652909E-4</v>
      </c>
      <c r="O22" s="15">
        <f>IFERROR((up_dir!O22/(up_Bv!N22+s_MLF_lima_bean)),".")</f>
        <v>1.3187534153652909E-4</v>
      </c>
      <c r="P22" s="15">
        <f>IFERROR((up_dir!P22/(up_Bv!O22+s_MLF_okra)),".")</f>
        <v>1.3187534153652909E-4</v>
      </c>
      <c r="Q22" s="15">
        <f>IFERROR((up_dir!Q22/(up_Bv!P22+s_MLF_onion)),".")</f>
        <v>1.3187534153652909E-4</v>
      </c>
      <c r="R22" s="15">
        <f>IFERROR((up_dir!R22/(up_Bv!Q22+s_MLF_peach)),".")</f>
        <v>1.3187534153652909E-4</v>
      </c>
      <c r="S22" s="15">
        <f>IFERROR((up_dir!S22/(up_Bv!R22+s_MLF_pear)),".")</f>
        <v>1.3187534153652909E-4</v>
      </c>
      <c r="T22" s="15">
        <f>IFERROR((up_dir!T22/(up_Bv!S22+s_MLF_peas)),".")</f>
        <v>1.3187534153652909E-4</v>
      </c>
      <c r="U22" s="15">
        <f>IFERROR((up_dir!U22/(up_Bv!T22+s_MLF_peppers)),".")</f>
        <v>1.3187534153652909E-4</v>
      </c>
      <c r="V22" s="15">
        <f>IFERROR((up_dir!V22/(up_Bv!U22+s_MLF_potato)),".")</f>
        <v>1.3187534153652909E-4</v>
      </c>
      <c r="W22" s="15">
        <f>IFERROR((up_dir!W22/(up_Bv!V22+s_MLF_pumpkin)),".")</f>
        <v>1.3187534153652909E-4</v>
      </c>
      <c r="X22" s="15">
        <f>IFERROR((up_dir!X22/(up_Bv!W22+s_MLF_snap_bean)),".")</f>
        <v>1.3187534153652909E-4</v>
      </c>
      <c r="Y22" s="15">
        <f>IFERROR((up_dir!Y22/(up_Bv!X22+s_MLF_strawberry)),".")</f>
        <v>1.3187534153652909E-4</v>
      </c>
      <c r="Z22" s="15">
        <f>IFERROR((up_dir!Z22/(up_Bv!Y22+s_MLF_tomato)),".")</f>
        <v>1.3187534153652909E-4</v>
      </c>
      <c r="AA22" s="15">
        <f>IFERROR((up_dir!AA22/(up_Bv!Z22+s_MLF_rice)),".")</f>
        <v>1.3187534153652909E-4</v>
      </c>
      <c r="AB22" s="15">
        <f>IFERROR((up_dir!AB22/(up_Bv!AA22+s_MLF_cereal)),".")</f>
        <v>1.3187534153652909E-4</v>
      </c>
      <c r="AC22" s="40">
        <f t="shared" si="0"/>
        <v>151658.375</v>
      </c>
      <c r="AD22" s="40">
        <f>s_C*(up_Bv!C22+s_MLF_apple)*s_IFAP_res_adj*s_CF_apple</f>
        <v>37914.59375</v>
      </c>
      <c r="AE22" s="40">
        <f>s_C*(up_Bv!D22+s_MLF_asparagus)*s_IFAS_res_adj*s_CF_asparagus</f>
        <v>37914.59375</v>
      </c>
      <c r="AF22" s="40">
        <f>s_C*(up_Bv!E22+s_MLF_beet)*s_IFBT_res_adj*s_CF_beet</f>
        <v>37914.59375</v>
      </c>
      <c r="AG22" s="40">
        <f>s_C*(up_Bv!F22+s_MLF_berries)*s_IFBE_res_adj*s_CF_berries</f>
        <v>37914.59375</v>
      </c>
      <c r="AH22" s="40">
        <f>s_C*(up_Bv!G22+s_MLF_broccoli)*s_IFBR_res_adj*s_CF_broccoli</f>
        <v>37914.59375</v>
      </c>
      <c r="AI22" s="40">
        <f>s_C*(up_Bv!H22+s_MLF_cabbage)*s_IFCB_res_adj*s_CF_cabbage</f>
        <v>37914.59375</v>
      </c>
      <c r="AJ22" s="40">
        <f>s_C*(up_Bv!I22+s_MLF_carrot)*s_IFCR_res_adj*s_CF_carrot</f>
        <v>37914.59375</v>
      </c>
      <c r="AK22" s="40">
        <f>s_C*(up_Bv!J22+s_MLF_citrus)*s_IFCI_res_adj*s_CF_citrus</f>
        <v>37914.59375</v>
      </c>
      <c r="AL22" s="40">
        <f>s_C*(up_Bv!K22+s_MLF_corn)*s_IFCO_res_adj*s_CF_corn</f>
        <v>37914.59375</v>
      </c>
      <c r="AM22" s="40">
        <f>s_C*(up_Bv!L22+s_MLF_cucumber)*s_IFCU_res_adj*s_CF_cucumber</f>
        <v>37914.59375</v>
      </c>
      <c r="AN22" s="40">
        <f>s_C*(up_Bv!M22+s_MLF_lettuce)*s_IFLE_res_adj*s_CF_lettuce</f>
        <v>37914.59375</v>
      </c>
      <c r="AO22" s="40">
        <f>s_C*(up_Bv!N22+s_MLF_lima_bean)*s_IFLI_res_adj*s_CF_lima_bean</f>
        <v>37914.59375</v>
      </c>
      <c r="AP22" s="40">
        <f>s_C*(up_Bv!O22+s_MLF_okra)*s_IFOK_res_adj*s_CF_okra</f>
        <v>37914.59375</v>
      </c>
      <c r="AQ22" s="40">
        <f>s_C*(up_Bv!P22+s_MLF_onion)*s_IFON_res_adj*s_CF_onion</f>
        <v>37914.59375</v>
      </c>
      <c r="AR22" s="40">
        <f>s_C*(up_Bv!Q22+s_MLF_peach)*s_IFPC_res_adj*s_CF_peach</f>
        <v>37914.59375</v>
      </c>
      <c r="AS22" s="40">
        <f>s_C*(up_Bv!R22+s_MLF_pear)*s_IFPR_res_adj*s_CF_pear</f>
        <v>37914.59375</v>
      </c>
      <c r="AT22" s="40">
        <f>s_C*(up_Bv!S22+s_MLF_peas)*s_IFPE_res_adj*s_CF_peas</f>
        <v>37914.59375</v>
      </c>
      <c r="AU22" s="40">
        <f>s_C*(up_Bv!T22+s_MLF_peppers)*s_IFPP_res_adj*s_CF_peppers</f>
        <v>37914.59375</v>
      </c>
      <c r="AV22" s="40">
        <f>s_C*(up_Bv!U22+s_MLF_potato)*s_IFPT_res_adj*s_CF_potato</f>
        <v>37914.59375</v>
      </c>
      <c r="AW22" s="40">
        <f>s_C*(up_Bv!V22+s_MLF_pumpkin)*s_IFPU_res_adj*s_CF_pumpkin</f>
        <v>37914.59375</v>
      </c>
      <c r="AX22" s="40">
        <f>s_C*(up_Bv!W22+s_MLF_snap_bean)*s_IFSN_res_adj*s_CF_snap_bean</f>
        <v>37914.59375</v>
      </c>
      <c r="AY22" s="40">
        <f>s_C*(up_Bv!X22+s_MLF_strawberry)*s_IFST_res_adj*s_CF_strawberry</f>
        <v>37914.59375</v>
      </c>
      <c r="AZ22" s="40">
        <f>s_C*(up_Bv!Y22+s_MLF_tomato)*s_IFTO_res_adj*s_CF_tomato</f>
        <v>37914.59375</v>
      </c>
      <c r="BA22" s="40">
        <f>s_C*(up_Bv!Z22+s_MLF_rice)*s_IFRI_res_adj*s_CF_rice</f>
        <v>37914.59375</v>
      </c>
      <c r="BB22" s="40">
        <f>s_C*(up_Bv!AA22+s_MLF_cereal)*s_IFCG_res_adj*s_CF_cereal</f>
        <v>37914.59375</v>
      </c>
      <c r="BC22" s="15">
        <f t="shared" si="2"/>
        <v>3.2968835384132272E-5</v>
      </c>
      <c r="BD22" s="15">
        <f>IFERROR((up_dir!AD22/(up_Bv!C22+s_MLF_apple)),".")</f>
        <v>1.3187534153652909E-4</v>
      </c>
      <c r="BE22" s="15">
        <f>IFERROR((up_dir!AE22/(up_Bv!D22+s_MLF_asparagus)),".")</f>
        <v>1.3187534153652909E-4</v>
      </c>
      <c r="BF22" s="15">
        <f>IFERROR((up_dir!AF22/(up_Bv!E22+s_MLF_beet)),".")</f>
        <v>1.3187534153652909E-4</v>
      </c>
      <c r="BG22" s="15">
        <f>IFERROR((up_dir!AG22/(up_Bv!F22+s_MLF_berries)),".")</f>
        <v>1.3187534153652909E-4</v>
      </c>
      <c r="BH22" s="15">
        <f>IFERROR((up_dir!AH22/(up_Bv!G22+s_MLF_broccoli)),".")</f>
        <v>1.3187534153652909E-4</v>
      </c>
      <c r="BI22" s="15">
        <f>IFERROR((up_dir!AI22/(up_Bv!H22+s_MLF_cabbage)),".")</f>
        <v>1.3187534153652909E-4</v>
      </c>
      <c r="BJ22" s="15">
        <f>IFERROR((up_dir!AJ22/(up_Bv!I22+s_MLF_carrot)),".")</f>
        <v>1.3187534153652909E-4</v>
      </c>
      <c r="BK22" s="15">
        <f>IFERROR((up_dir!AK22/(up_Bv!J22+s_MLF_citrus)),".")</f>
        <v>1.3187534153652909E-4</v>
      </c>
      <c r="BL22" s="15">
        <f>IFERROR((up_dir!AL22/(up_Bv!K22+s_MLF_corn)),".")</f>
        <v>1.3187534153652909E-4</v>
      </c>
      <c r="BM22" s="15">
        <f>IFERROR((up_dir!AM22/(up_Bv!L22+s_MLF_cucumber)),".")</f>
        <v>1.3187534153652909E-4</v>
      </c>
      <c r="BN22" s="15">
        <f>IFERROR((up_dir!AN22/(up_Bv!M22+s_MLF_lettuce)),".")</f>
        <v>1.3187534153652909E-4</v>
      </c>
      <c r="BO22" s="15">
        <f>IFERROR((up_dir!AO22/(up_Bv!N22+s_MLF_lima_bean)),".")</f>
        <v>1.3187534153652909E-4</v>
      </c>
      <c r="BP22" s="15">
        <f>IFERROR((up_dir!AP22/(up_Bv!O22+s_MLF_okra)),".")</f>
        <v>1.3187534153652909E-4</v>
      </c>
      <c r="BQ22" s="15">
        <f>IFERROR((up_dir!AQ22/(up_Bv!P22+s_MLF_onion)),".")</f>
        <v>1.3187534153652909E-4</v>
      </c>
      <c r="BR22" s="15">
        <f>IFERROR((up_dir!AR22/(up_Bv!Q22+s_MLF_peach)),".")</f>
        <v>1.3187534153652909E-4</v>
      </c>
      <c r="BS22" s="15">
        <f>IFERROR((up_dir!AS22/(up_Bv!R22+s_MLF_pear)),".")</f>
        <v>1.3187534153652909E-4</v>
      </c>
      <c r="BT22" s="15">
        <f>IFERROR((up_dir!AT22/(up_Bv!S22+s_MLF_peas)),".")</f>
        <v>1.3187534153652909E-4</v>
      </c>
      <c r="BU22" s="15">
        <f>IFERROR((up_dir!AU22/(up_Bv!T22+s_MLF_peppers)),".")</f>
        <v>1.3187534153652909E-4</v>
      </c>
      <c r="BV22" s="15">
        <f>IFERROR((up_dir!AV22/(up_Bv!U22+s_MLF_potato)),".")</f>
        <v>1.3187534153652909E-4</v>
      </c>
      <c r="BW22" s="15">
        <f>IFERROR((up_dir!AW22/(up_Bv!V22+s_MLF_pumpkin)),".")</f>
        <v>1.3187534153652909E-4</v>
      </c>
      <c r="BX22" s="15">
        <f>IFERROR((up_dir!AX22/(up_Bv!W22+s_MLF_snap_bean)),".")</f>
        <v>1.3187534153652909E-4</v>
      </c>
      <c r="BY22" s="15">
        <f>IFERROR((up_dir!AY22/(up_Bv!X22+s_MLF_strawberry)),".")</f>
        <v>1.3187534153652909E-4</v>
      </c>
      <c r="BZ22" s="15">
        <f>IFERROR((up_dir!AZ22/(up_Bv!Y22+s_MLF_tomato)),".")</f>
        <v>1.3187534153652909E-4</v>
      </c>
      <c r="CA22" s="15">
        <f>IFERROR((up_dir!BA22/(up_Bv!Z22+s_MLF_rice)),".")</f>
        <v>1.3187534153652909E-4</v>
      </c>
      <c r="CB22" s="15">
        <f>IFERROR((up_dir!BB22/(up_Bv!AA22+s_MLF_cereal)),".")</f>
        <v>1.3187534153652909E-4</v>
      </c>
      <c r="CC22" s="40">
        <f t="shared" si="3"/>
        <v>151658.375</v>
      </c>
      <c r="CD22" s="40">
        <f>IFERROR(s_C*(up_Bv!C22+s_MLF_apple)*s_IFAP_far_adj*s_CF_apple,".")</f>
        <v>37914.59375</v>
      </c>
      <c r="CE22" s="40">
        <f>IFERROR(s_C*(up_Bv!D22+s_MLF_asparagus)*s_IFAS_far_adj*s_CF_asparagus,".")</f>
        <v>37914.59375</v>
      </c>
      <c r="CF22" s="40">
        <f>IFERROR(s_C*(up_Bv!E22+s_MLF_beet)*s_IFBT_far_adj*s_CF_beet,".")</f>
        <v>37914.59375</v>
      </c>
      <c r="CG22" s="40">
        <f>IFERROR(s_C*(up_Bv!F22+s_MLF_berries)*s_IFBR_far_adj*s_CF_berries,".")</f>
        <v>37914.59375</v>
      </c>
      <c r="CH22" s="40">
        <f>IFERROR(s_C*(up_Bv!G22+s_MLF_broccoli)*s_IFBR_far_adj*s_CF_broccoli,".")</f>
        <v>37914.59375</v>
      </c>
      <c r="CI22" s="40">
        <f>IFERROR(s_C*(up_Bv!H22+s_MLF_cabbage)*s_IFCB_far_adj*s_CF_cabbage,".")</f>
        <v>37914.59375</v>
      </c>
      <c r="CJ22" s="40">
        <f>IFERROR(s_C*(up_Bv!I22+s_MLF_carrot)*s_IFCR_far_adj*s_CF_carrot,".")</f>
        <v>37914.59375</v>
      </c>
      <c r="CK22" s="40">
        <f>IFERROR(s_C*(up_Bv!J22+s_MLF_citrus)*s_IFCI_far_adj*s_CF_citrus,".")</f>
        <v>37914.59375</v>
      </c>
      <c r="CL22" s="40">
        <f>IFERROR(s_C*(up_Bv!K22+s_MLF_corn)*s_IFCO_far_adj*s_CF_corn,".")</f>
        <v>37914.59375</v>
      </c>
      <c r="CM22" s="40">
        <f>IFERROR(s_C*(up_Bv!L22+s_MLF_cucumber)*s_IFCU_far_adj*s_CF_cucumber,".")</f>
        <v>37914.59375</v>
      </c>
      <c r="CN22" s="40">
        <f>IFERROR(s_C*(up_Bv!M22+s_MLF_lettuce)*s_IFLE_far_adj*s_CF_lettuce,".")</f>
        <v>37914.59375</v>
      </c>
      <c r="CO22" s="40">
        <f>IFERROR(s_C*(up_Bv!N22+s_MLF_lima_bean)*s_IFLI_far_adj*s_CF_lima_bean,".")</f>
        <v>37914.59375</v>
      </c>
      <c r="CP22" s="40">
        <f>IFERROR(s_C*(up_Bv!O22+s_MLF_okra)*s_IFOK_far_adj*s_CF_okra,".")</f>
        <v>37914.59375</v>
      </c>
      <c r="CQ22" s="40">
        <f>IFERROR(s_C*(up_Bv!P22+s_MLF_onion)*s_IFON_far_adj*s_CF_onion,".")</f>
        <v>37914.59375</v>
      </c>
      <c r="CR22" s="40">
        <f>IFERROR(s_C*(up_Bv!Q22+s_MLF_peach)*s_IFPC_far_adj*s_CF_peach,".")</f>
        <v>37914.59375</v>
      </c>
      <c r="CS22" s="40">
        <f>IFERROR(s_C*(up_Bv!R22+s_MLF_pear)*s_IFPR_far_adj*s_CF_pear,".")</f>
        <v>37914.59375</v>
      </c>
      <c r="CT22" s="40">
        <f>IFERROR(s_C*(up_Bv!S22+s_MLF_peas)*s_IFPE_far_adj*s_CF_peas,".")</f>
        <v>37914.59375</v>
      </c>
      <c r="CU22" s="40">
        <f>IFERROR(s_C*(up_Bv!T22+s_MLF_peppers)*s_IFPP_far_adj*s_CF_peppers,".")</f>
        <v>37914.59375</v>
      </c>
      <c r="CV22" s="40">
        <f>IFERROR(s_C*(up_Bv!U22+s_MLF_potato)*s_IFPT_far_adj*s_CF_potato,".")</f>
        <v>37914.59375</v>
      </c>
      <c r="CW22" s="40">
        <f>IFERROR(s_C*(up_Bv!V22+s_MLF_pumpkin)*s_IFPU_far_adj*s_CF_pumpkin,".")</f>
        <v>37914.59375</v>
      </c>
      <c r="CX22" s="40">
        <f>IFERROR(s_C*(up_Bv!W22+s_MLF_snap_bean)*s_IFSN_far_adj*s_CF_snap_bean,".")</f>
        <v>37914.59375</v>
      </c>
      <c r="CY22" s="40">
        <f>IFERROR(s_C*(up_Bv!X22+s_MLF_strawberry)*s_IFST_far_adj*s_CF_strawberry,".")</f>
        <v>37914.59375</v>
      </c>
      <c r="CZ22" s="40">
        <f>IFERROR(s_C*(up_Bv!Y22+s_MLF_tomato)*s_IFTO_far_adj*s_CF_tomato,".")</f>
        <v>37914.59375</v>
      </c>
      <c r="DA22" s="40">
        <f>IFERROR(s_C*(up_Bv!Z22+s_MLF_rice)*s_IFRI_far_adj*s_CF_rice,".")</f>
        <v>37914.59375</v>
      </c>
      <c r="DB22" s="40">
        <f>IFERROR(s_C*(up_Bv!AA22+s_MLF_cereal)*s_IFCG_far_adj*s_CF_cereal,".")</f>
        <v>37914.59375</v>
      </c>
    </row>
    <row r="23" spans="1:106" x14ac:dyDescent="0.25">
      <c r="A23" s="46" t="s">
        <v>21</v>
      </c>
      <c r="B23" s="42" t="s">
        <v>335</v>
      </c>
      <c r="C23" s="15">
        <f t="shared" si="1"/>
        <v>3.2968835384132272E-5</v>
      </c>
      <c r="D23" s="15">
        <f>IFERROR((up_dir!D23/(up_Bv!C23+s_MLF_apple)),".")</f>
        <v>1.3187534153652909E-4</v>
      </c>
      <c r="E23" s="15">
        <f>IFERROR((up_dir!E23/(up_Bv!D23+s_MLF_asparagus)),".")</f>
        <v>1.3187534153652909E-4</v>
      </c>
      <c r="F23" s="15">
        <f>IFERROR((up_dir!F23/(up_Bv!E23+s_MLF_beet)),".")</f>
        <v>1.3187534153652909E-4</v>
      </c>
      <c r="G23" s="15">
        <f>IFERROR((up_dir!G23/(up_Bv!F23+s_MLF_berries)),".")</f>
        <v>1.3187534153652909E-4</v>
      </c>
      <c r="H23" s="15">
        <f>IFERROR((up_dir!H23/(up_Bv!G23+s_MLF_broccoli)),".")</f>
        <v>1.3187534153652909E-4</v>
      </c>
      <c r="I23" s="15">
        <f>IFERROR((up_dir!I23/(up_Bv!H23+s_MLF_cabbage)),".")</f>
        <v>1.3187534153652909E-4</v>
      </c>
      <c r="J23" s="15">
        <f>IFERROR((up_dir!J23/(up_Bv!I23+s_MLF_carrot)),".")</f>
        <v>1.3187534153652909E-4</v>
      </c>
      <c r="K23" s="15">
        <f>IFERROR((up_dir!K23/(up_Bv!J23+s_MLF_citrus)),".")</f>
        <v>1.3187534153652909E-4</v>
      </c>
      <c r="L23" s="15">
        <f>IFERROR((up_dir!L23/(up_Bv!K23+s_MLF_corn)),".")</f>
        <v>1.3187534153652909E-4</v>
      </c>
      <c r="M23" s="15">
        <f>IFERROR((up_dir!M23/(up_Bv!L23+s_MLF_cucumber)),".")</f>
        <v>1.3187534153652909E-4</v>
      </c>
      <c r="N23" s="15">
        <f>IFERROR((up_dir!N23/(up_Bv!M23+s_MLF_lettuce)),".")</f>
        <v>1.3187534153652909E-4</v>
      </c>
      <c r="O23" s="15">
        <f>IFERROR((up_dir!O23/(up_Bv!N23+s_MLF_lima_bean)),".")</f>
        <v>1.3187534153652909E-4</v>
      </c>
      <c r="P23" s="15">
        <f>IFERROR((up_dir!P23/(up_Bv!O23+s_MLF_okra)),".")</f>
        <v>1.3187534153652909E-4</v>
      </c>
      <c r="Q23" s="15">
        <f>IFERROR((up_dir!Q23/(up_Bv!P23+s_MLF_onion)),".")</f>
        <v>1.3187534153652909E-4</v>
      </c>
      <c r="R23" s="15">
        <f>IFERROR((up_dir!R23/(up_Bv!Q23+s_MLF_peach)),".")</f>
        <v>1.3187534153652909E-4</v>
      </c>
      <c r="S23" s="15">
        <f>IFERROR((up_dir!S23/(up_Bv!R23+s_MLF_pear)),".")</f>
        <v>1.3187534153652909E-4</v>
      </c>
      <c r="T23" s="15">
        <f>IFERROR((up_dir!T23/(up_Bv!S23+s_MLF_peas)),".")</f>
        <v>1.3187534153652909E-4</v>
      </c>
      <c r="U23" s="15">
        <f>IFERROR((up_dir!U23/(up_Bv!T23+s_MLF_peppers)),".")</f>
        <v>1.3187534153652909E-4</v>
      </c>
      <c r="V23" s="15">
        <f>IFERROR((up_dir!V23/(up_Bv!U23+s_MLF_potato)),".")</f>
        <v>1.3187534153652909E-4</v>
      </c>
      <c r="W23" s="15">
        <f>IFERROR((up_dir!W23/(up_Bv!V23+s_MLF_pumpkin)),".")</f>
        <v>1.3187534153652909E-4</v>
      </c>
      <c r="X23" s="15">
        <f>IFERROR((up_dir!X23/(up_Bv!W23+s_MLF_snap_bean)),".")</f>
        <v>1.3187534153652909E-4</v>
      </c>
      <c r="Y23" s="15">
        <f>IFERROR((up_dir!Y23/(up_Bv!X23+s_MLF_strawberry)),".")</f>
        <v>1.3187534153652909E-4</v>
      </c>
      <c r="Z23" s="15">
        <f>IFERROR((up_dir!Z23/(up_Bv!Y23+s_MLF_tomato)),".")</f>
        <v>1.3187534153652909E-4</v>
      </c>
      <c r="AA23" s="15">
        <f>IFERROR((up_dir!AA23/(up_Bv!Z23+s_MLF_rice)),".")</f>
        <v>1.3187534153652909E-4</v>
      </c>
      <c r="AB23" s="15">
        <f>IFERROR((up_dir!AB23/(up_Bv!AA23+s_MLF_cereal)),".")</f>
        <v>1.3187534153652909E-4</v>
      </c>
      <c r="AC23" s="40">
        <f t="shared" si="0"/>
        <v>151658.375</v>
      </c>
      <c r="AD23" s="40">
        <f>s_C*(up_Bv!C23+s_MLF_apple)*s_IFAP_res_adj*s_CF_apple</f>
        <v>37914.59375</v>
      </c>
      <c r="AE23" s="40">
        <f>s_C*(up_Bv!D23+s_MLF_asparagus)*s_IFAS_res_adj*s_CF_asparagus</f>
        <v>37914.59375</v>
      </c>
      <c r="AF23" s="40">
        <f>s_C*(up_Bv!E23+s_MLF_beet)*s_IFBT_res_adj*s_CF_beet</f>
        <v>37914.59375</v>
      </c>
      <c r="AG23" s="40">
        <f>s_C*(up_Bv!F23+s_MLF_berries)*s_IFBE_res_adj*s_CF_berries</f>
        <v>37914.59375</v>
      </c>
      <c r="AH23" s="40">
        <f>s_C*(up_Bv!G23+s_MLF_broccoli)*s_IFBR_res_adj*s_CF_broccoli</f>
        <v>37914.59375</v>
      </c>
      <c r="AI23" s="40">
        <f>s_C*(up_Bv!H23+s_MLF_cabbage)*s_IFCB_res_adj*s_CF_cabbage</f>
        <v>37914.59375</v>
      </c>
      <c r="AJ23" s="40">
        <f>s_C*(up_Bv!I23+s_MLF_carrot)*s_IFCR_res_adj*s_CF_carrot</f>
        <v>37914.59375</v>
      </c>
      <c r="AK23" s="40">
        <f>s_C*(up_Bv!J23+s_MLF_citrus)*s_IFCI_res_adj*s_CF_citrus</f>
        <v>37914.59375</v>
      </c>
      <c r="AL23" s="40">
        <f>s_C*(up_Bv!K23+s_MLF_corn)*s_IFCO_res_adj*s_CF_corn</f>
        <v>37914.59375</v>
      </c>
      <c r="AM23" s="40">
        <f>s_C*(up_Bv!L23+s_MLF_cucumber)*s_IFCU_res_adj*s_CF_cucumber</f>
        <v>37914.59375</v>
      </c>
      <c r="AN23" s="40">
        <f>s_C*(up_Bv!M23+s_MLF_lettuce)*s_IFLE_res_adj*s_CF_lettuce</f>
        <v>37914.59375</v>
      </c>
      <c r="AO23" s="40">
        <f>s_C*(up_Bv!N23+s_MLF_lima_bean)*s_IFLI_res_adj*s_CF_lima_bean</f>
        <v>37914.59375</v>
      </c>
      <c r="AP23" s="40">
        <f>s_C*(up_Bv!O23+s_MLF_okra)*s_IFOK_res_adj*s_CF_okra</f>
        <v>37914.59375</v>
      </c>
      <c r="AQ23" s="40">
        <f>s_C*(up_Bv!P23+s_MLF_onion)*s_IFON_res_adj*s_CF_onion</f>
        <v>37914.59375</v>
      </c>
      <c r="AR23" s="40">
        <f>s_C*(up_Bv!Q23+s_MLF_peach)*s_IFPC_res_adj*s_CF_peach</f>
        <v>37914.59375</v>
      </c>
      <c r="AS23" s="40">
        <f>s_C*(up_Bv!R23+s_MLF_pear)*s_IFPR_res_adj*s_CF_pear</f>
        <v>37914.59375</v>
      </c>
      <c r="AT23" s="40">
        <f>s_C*(up_Bv!S23+s_MLF_peas)*s_IFPE_res_adj*s_CF_peas</f>
        <v>37914.59375</v>
      </c>
      <c r="AU23" s="40">
        <f>s_C*(up_Bv!T23+s_MLF_peppers)*s_IFPP_res_adj*s_CF_peppers</f>
        <v>37914.59375</v>
      </c>
      <c r="AV23" s="40">
        <f>s_C*(up_Bv!U23+s_MLF_potato)*s_IFPT_res_adj*s_CF_potato</f>
        <v>37914.59375</v>
      </c>
      <c r="AW23" s="40">
        <f>s_C*(up_Bv!V23+s_MLF_pumpkin)*s_IFPU_res_adj*s_CF_pumpkin</f>
        <v>37914.59375</v>
      </c>
      <c r="AX23" s="40">
        <f>s_C*(up_Bv!W23+s_MLF_snap_bean)*s_IFSN_res_adj*s_CF_snap_bean</f>
        <v>37914.59375</v>
      </c>
      <c r="AY23" s="40">
        <f>s_C*(up_Bv!X23+s_MLF_strawberry)*s_IFST_res_adj*s_CF_strawberry</f>
        <v>37914.59375</v>
      </c>
      <c r="AZ23" s="40">
        <f>s_C*(up_Bv!Y23+s_MLF_tomato)*s_IFTO_res_adj*s_CF_tomato</f>
        <v>37914.59375</v>
      </c>
      <c r="BA23" s="40">
        <f>s_C*(up_Bv!Z23+s_MLF_rice)*s_IFRI_res_adj*s_CF_rice</f>
        <v>37914.59375</v>
      </c>
      <c r="BB23" s="40">
        <f>s_C*(up_Bv!AA23+s_MLF_cereal)*s_IFCG_res_adj*s_CF_cereal</f>
        <v>37914.59375</v>
      </c>
      <c r="BC23" s="15">
        <f t="shared" si="2"/>
        <v>3.2968835384132272E-5</v>
      </c>
      <c r="BD23" s="15">
        <f>IFERROR((up_dir!AD23/(up_Bv!C23+s_MLF_apple)),".")</f>
        <v>1.3187534153652909E-4</v>
      </c>
      <c r="BE23" s="15">
        <f>IFERROR((up_dir!AE23/(up_Bv!D23+s_MLF_asparagus)),".")</f>
        <v>1.3187534153652909E-4</v>
      </c>
      <c r="BF23" s="15">
        <f>IFERROR((up_dir!AF23/(up_Bv!E23+s_MLF_beet)),".")</f>
        <v>1.3187534153652909E-4</v>
      </c>
      <c r="BG23" s="15">
        <f>IFERROR((up_dir!AG23/(up_Bv!F23+s_MLF_berries)),".")</f>
        <v>1.3187534153652909E-4</v>
      </c>
      <c r="BH23" s="15">
        <f>IFERROR((up_dir!AH23/(up_Bv!G23+s_MLF_broccoli)),".")</f>
        <v>1.3187534153652909E-4</v>
      </c>
      <c r="BI23" s="15">
        <f>IFERROR((up_dir!AI23/(up_Bv!H23+s_MLF_cabbage)),".")</f>
        <v>1.3187534153652909E-4</v>
      </c>
      <c r="BJ23" s="15">
        <f>IFERROR((up_dir!AJ23/(up_Bv!I23+s_MLF_carrot)),".")</f>
        <v>1.3187534153652909E-4</v>
      </c>
      <c r="BK23" s="15">
        <f>IFERROR((up_dir!AK23/(up_Bv!J23+s_MLF_citrus)),".")</f>
        <v>1.3187534153652909E-4</v>
      </c>
      <c r="BL23" s="15">
        <f>IFERROR((up_dir!AL23/(up_Bv!K23+s_MLF_corn)),".")</f>
        <v>1.3187534153652909E-4</v>
      </c>
      <c r="BM23" s="15">
        <f>IFERROR((up_dir!AM23/(up_Bv!L23+s_MLF_cucumber)),".")</f>
        <v>1.3187534153652909E-4</v>
      </c>
      <c r="BN23" s="15">
        <f>IFERROR((up_dir!AN23/(up_Bv!M23+s_MLF_lettuce)),".")</f>
        <v>1.3187534153652909E-4</v>
      </c>
      <c r="BO23" s="15">
        <f>IFERROR((up_dir!AO23/(up_Bv!N23+s_MLF_lima_bean)),".")</f>
        <v>1.3187534153652909E-4</v>
      </c>
      <c r="BP23" s="15">
        <f>IFERROR((up_dir!AP23/(up_Bv!O23+s_MLF_okra)),".")</f>
        <v>1.3187534153652909E-4</v>
      </c>
      <c r="BQ23" s="15">
        <f>IFERROR((up_dir!AQ23/(up_Bv!P23+s_MLF_onion)),".")</f>
        <v>1.3187534153652909E-4</v>
      </c>
      <c r="BR23" s="15">
        <f>IFERROR((up_dir!AR23/(up_Bv!Q23+s_MLF_peach)),".")</f>
        <v>1.3187534153652909E-4</v>
      </c>
      <c r="BS23" s="15">
        <f>IFERROR((up_dir!AS23/(up_Bv!R23+s_MLF_pear)),".")</f>
        <v>1.3187534153652909E-4</v>
      </c>
      <c r="BT23" s="15">
        <f>IFERROR((up_dir!AT23/(up_Bv!S23+s_MLF_peas)),".")</f>
        <v>1.3187534153652909E-4</v>
      </c>
      <c r="BU23" s="15">
        <f>IFERROR((up_dir!AU23/(up_Bv!T23+s_MLF_peppers)),".")</f>
        <v>1.3187534153652909E-4</v>
      </c>
      <c r="BV23" s="15">
        <f>IFERROR((up_dir!AV23/(up_Bv!U23+s_MLF_potato)),".")</f>
        <v>1.3187534153652909E-4</v>
      </c>
      <c r="BW23" s="15">
        <f>IFERROR((up_dir!AW23/(up_Bv!V23+s_MLF_pumpkin)),".")</f>
        <v>1.3187534153652909E-4</v>
      </c>
      <c r="BX23" s="15">
        <f>IFERROR((up_dir!AX23/(up_Bv!W23+s_MLF_snap_bean)),".")</f>
        <v>1.3187534153652909E-4</v>
      </c>
      <c r="BY23" s="15">
        <f>IFERROR((up_dir!AY23/(up_Bv!X23+s_MLF_strawberry)),".")</f>
        <v>1.3187534153652909E-4</v>
      </c>
      <c r="BZ23" s="15">
        <f>IFERROR((up_dir!AZ23/(up_Bv!Y23+s_MLF_tomato)),".")</f>
        <v>1.3187534153652909E-4</v>
      </c>
      <c r="CA23" s="15">
        <f>IFERROR((up_dir!BA23/(up_Bv!Z23+s_MLF_rice)),".")</f>
        <v>1.3187534153652909E-4</v>
      </c>
      <c r="CB23" s="15">
        <f>IFERROR((up_dir!BB23/(up_Bv!AA23+s_MLF_cereal)),".")</f>
        <v>1.3187534153652909E-4</v>
      </c>
      <c r="CC23" s="40">
        <f t="shared" si="3"/>
        <v>151658.375</v>
      </c>
      <c r="CD23" s="40">
        <f>IFERROR(s_C*(up_Bv!C23+s_MLF_apple)*s_IFAP_far_adj*s_CF_apple,".")</f>
        <v>37914.59375</v>
      </c>
      <c r="CE23" s="40">
        <f>IFERROR(s_C*(up_Bv!D23+s_MLF_asparagus)*s_IFAS_far_adj*s_CF_asparagus,".")</f>
        <v>37914.59375</v>
      </c>
      <c r="CF23" s="40">
        <f>IFERROR(s_C*(up_Bv!E23+s_MLF_beet)*s_IFBT_far_adj*s_CF_beet,".")</f>
        <v>37914.59375</v>
      </c>
      <c r="CG23" s="40">
        <f>IFERROR(s_C*(up_Bv!F23+s_MLF_berries)*s_IFBR_far_adj*s_CF_berries,".")</f>
        <v>37914.59375</v>
      </c>
      <c r="CH23" s="40">
        <f>IFERROR(s_C*(up_Bv!G23+s_MLF_broccoli)*s_IFBR_far_adj*s_CF_broccoli,".")</f>
        <v>37914.59375</v>
      </c>
      <c r="CI23" s="40">
        <f>IFERROR(s_C*(up_Bv!H23+s_MLF_cabbage)*s_IFCB_far_adj*s_CF_cabbage,".")</f>
        <v>37914.59375</v>
      </c>
      <c r="CJ23" s="40">
        <f>IFERROR(s_C*(up_Bv!I23+s_MLF_carrot)*s_IFCR_far_adj*s_CF_carrot,".")</f>
        <v>37914.59375</v>
      </c>
      <c r="CK23" s="40">
        <f>IFERROR(s_C*(up_Bv!J23+s_MLF_citrus)*s_IFCI_far_adj*s_CF_citrus,".")</f>
        <v>37914.59375</v>
      </c>
      <c r="CL23" s="40">
        <f>IFERROR(s_C*(up_Bv!K23+s_MLF_corn)*s_IFCO_far_adj*s_CF_corn,".")</f>
        <v>37914.59375</v>
      </c>
      <c r="CM23" s="40">
        <f>IFERROR(s_C*(up_Bv!L23+s_MLF_cucumber)*s_IFCU_far_adj*s_CF_cucumber,".")</f>
        <v>37914.59375</v>
      </c>
      <c r="CN23" s="40">
        <f>IFERROR(s_C*(up_Bv!M23+s_MLF_lettuce)*s_IFLE_far_adj*s_CF_lettuce,".")</f>
        <v>37914.59375</v>
      </c>
      <c r="CO23" s="40">
        <f>IFERROR(s_C*(up_Bv!N23+s_MLF_lima_bean)*s_IFLI_far_adj*s_CF_lima_bean,".")</f>
        <v>37914.59375</v>
      </c>
      <c r="CP23" s="40">
        <f>IFERROR(s_C*(up_Bv!O23+s_MLF_okra)*s_IFOK_far_adj*s_CF_okra,".")</f>
        <v>37914.59375</v>
      </c>
      <c r="CQ23" s="40">
        <f>IFERROR(s_C*(up_Bv!P23+s_MLF_onion)*s_IFON_far_adj*s_CF_onion,".")</f>
        <v>37914.59375</v>
      </c>
      <c r="CR23" s="40">
        <f>IFERROR(s_C*(up_Bv!Q23+s_MLF_peach)*s_IFPC_far_adj*s_CF_peach,".")</f>
        <v>37914.59375</v>
      </c>
      <c r="CS23" s="40">
        <f>IFERROR(s_C*(up_Bv!R23+s_MLF_pear)*s_IFPR_far_adj*s_CF_pear,".")</f>
        <v>37914.59375</v>
      </c>
      <c r="CT23" s="40">
        <f>IFERROR(s_C*(up_Bv!S23+s_MLF_peas)*s_IFPE_far_adj*s_CF_peas,".")</f>
        <v>37914.59375</v>
      </c>
      <c r="CU23" s="40">
        <f>IFERROR(s_C*(up_Bv!T23+s_MLF_peppers)*s_IFPP_far_adj*s_CF_peppers,".")</f>
        <v>37914.59375</v>
      </c>
      <c r="CV23" s="40">
        <f>IFERROR(s_C*(up_Bv!U23+s_MLF_potato)*s_IFPT_far_adj*s_CF_potato,".")</f>
        <v>37914.59375</v>
      </c>
      <c r="CW23" s="40">
        <f>IFERROR(s_C*(up_Bv!V23+s_MLF_pumpkin)*s_IFPU_far_adj*s_CF_pumpkin,".")</f>
        <v>37914.59375</v>
      </c>
      <c r="CX23" s="40">
        <f>IFERROR(s_C*(up_Bv!W23+s_MLF_snap_bean)*s_IFSN_far_adj*s_CF_snap_bean,".")</f>
        <v>37914.59375</v>
      </c>
      <c r="CY23" s="40">
        <f>IFERROR(s_C*(up_Bv!X23+s_MLF_strawberry)*s_IFST_far_adj*s_CF_strawberry,".")</f>
        <v>37914.59375</v>
      </c>
      <c r="CZ23" s="40">
        <f>IFERROR(s_C*(up_Bv!Y23+s_MLF_tomato)*s_IFTO_far_adj*s_CF_tomato,".")</f>
        <v>37914.59375</v>
      </c>
      <c r="DA23" s="40">
        <f>IFERROR(s_C*(up_Bv!Z23+s_MLF_rice)*s_IFRI_far_adj*s_CF_rice,".")</f>
        <v>37914.59375</v>
      </c>
      <c r="DB23" s="40">
        <f>IFERROR(s_C*(up_Bv!AA23+s_MLF_cereal)*s_IFCG_far_adj*s_CF_cereal,".")</f>
        <v>37914.59375</v>
      </c>
    </row>
    <row r="24" spans="1:106" ht="15" customHeight="1" x14ac:dyDescent="0.25">
      <c r="A24" s="44" t="s">
        <v>22</v>
      </c>
      <c r="B24" s="42" t="s">
        <v>1057</v>
      </c>
      <c r="C24" s="15">
        <f t="shared" si="1"/>
        <v>3.2968835384132272E-5</v>
      </c>
      <c r="D24" s="15">
        <f>IFERROR((up_dir!D24/(up_Bv!C24+s_MLF_apple)),".")</f>
        <v>1.3187534153652909E-4</v>
      </c>
      <c r="E24" s="15">
        <f>IFERROR((up_dir!E24/(up_Bv!D24+s_MLF_asparagus)),".")</f>
        <v>1.3187534153652909E-4</v>
      </c>
      <c r="F24" s="15">
        <f>IFERROR((up_dir!F24/(up_Bv!E24+s_MLF_beet)),".")</f>
        <v>1.3187534153652909E-4</v>
      </c>
      <c r="G24" s="15">
        <f>IFERROR((up_dir!G24/(up_Bv!F24+s_MLF_berries)),".")</f>
        <v>1.3187534153652909E-4</v>
      </c>
      <c r="H24" s="15">
        <f>IFERROR((up_dir!H24/(up_Bv!G24+s_MLF_broccoli)),".")</f>
        <v>1.3187534153652909E-4</v>
      </c>
      <c r="I24" s="15">
        <f>IFERROR((up_dir!I24/(up_Bv!H24+s_MLF_cabbage)),".")</f>
        <v>1.3187534153652909E-4</v>
      </c>
      <c r="J24" s="15">
        <f>IFERROR((up_dir!J24/(up_Bv!I24+s_MLF_carrot)),".")</f>
        <v>1.3187534153652909E-4</v>
      </c>
      <c r="K24" s="15">
        <f>IFERROR((up_dir!K24/(up_Bv!J24+s_MLF_citrus)),".")</f>
        <v>1.3187534153652909E-4</v>
      </c>
      <c r="L24" s="15">
        <f>IFERROR((up_dir!L24/(up_Bv!K24+s_MLF_corn)),".")</f>
        <v>1.3187534153652909E-4</v>
      </c>
      <c r="M24" s="15">
        <f>IFERROR((up_dir!M24/(up_Bv!L24+s_MLF_cucumber)),".")</f>
        <v>1.3187534153652909E-4</v>
      </c>
      <c r="N24" s="15">
        <f>IFERROR((up_dir!N24/(up_Bv!M24+s_MLF_lettuce)),".")</f>
        <v>1.3187534153652909E-4</v>
      </c>
      <c r="O24" s="15">
        <f>IFERROR((up_dir!O24/(up_Bv!N24+s_MLF_lima_bean)),".")</f>
        <v>1.3187534153652909E-4</v>
      </c>
      <c r="P24" s="15">
        <f>IFERROR((up_dir!P24/(up_Bv!O24+s_MLF_okra)),".")</f>
        <v>1.3187534153652909E-4</v>
      </c>
      <c r="Q24" s="15">
        <f>IFERROR((up_dir!Q24/(up_Bv!P24+s_MLF_onion)),".")</f>
        <v>1.3187534153652909E-4</v>
      </c>
      <c r="R24" s="15">
        <f>IFERROR((up_dir!R24/(up_Bv!Q24+s_MLF_peach)),".")</f>
        <v>1.3187534153652909E-4</v>
      </c>
      <c r="S24" s="15">
        <f>IFERROR((up_dir!S24/(up_Bv!R24+s_MLF_pear)),".")</f>
        <v>1.3187534153652909E-4</v>
      </c>
      <c r="T24" s="15">
        <f>IFERROR((up_dir!T24/(up_Bv!S24+s_MLF_peas)),".")</f>
        <v>1.3187534153652909E-4</v>
      </c>
      <c r="U24" s="15">
        <f>IFERROR((up_dir!U24/(up_Bv!T24+s_MLF_peppers)),".")</f>
        <v>1.3187534153652909E-4</v>
      </c>
      <c r="V24" s="15">
        <f>IFERROR((up_dir!V24/(up_Bv!U24+s_MLF_potato)),".")</f>
        <v>1.3187534153652909E-4</v>
      </c>
      <c r="W24" s="15">
        <f>IFERROR((up_dir!W24/(up_Bv!V24+s_MLF_pumpkin)),".")</f>
        <v>1.3187534153652909E-4</v>
      </c>
      <c r="X24" s="15">
        <f>IFERROR((up_dir!X24/(up_Bv!W24+s_MLF_snap_bean)),".")</f>
        <v>1.3187534153652909E-4</v>
      </c>
      <c r="Y24" s="15">
        <f>IFERROR((up_dir!Y24/(up_Bv!X24+s_MLF_strawberry)),".")</f>
        <v>1.3187534153652909E-4</v>
      </c>
      <c r="Z24" s="15">
        <f>IFERROR((up_dir!Z24/(up_Bv!Y24+s_MLF_tomato)),".")</f>
        <v>1.3187534153652909E-4</v>
      </c>
      <c r="AA24" s="15">
        <f>IFERROR((up_dir!AA24/(up_Bv!Z24+s_MLF_rice)),".")</f>
        <v>1.3187534153652909E-4</v>
      </c>
      <c r="AB24" s="15">
        <f>IFERROR((up_dir!AB24/(up_Bv!AA24+s_MLF_cereal)),".")</f>
        <v>1.3187534153652909E-4</v>
      </c>
      <c r="AC24" s="40">
        <f t="shared" si="0"/>
        <v>151658.375</v>
      </c>
      <c r="AD24" s="40">
        <f>s_C*(up_Bv!C24+s_MLF_apple)*s_IFAP_res_adj*s_CF_apple</f>
        <v>37914.59375</v>
      </c>
      <c r="AE24" s="40">
        <f>s_C*(up_Bv!D24+s_MLF_asparagus)*s_IFAS_res_adj*s_CF_asparagus</f>
        <v>37914.59375</v>
      </c>
      <c r="AF24" s="40">
        <f>s_C*(up_Bv!E24+s_MLF_beet)*s_IFBT_res_adj*s_CF_beet</f>
        <v>37914.59375</v>
      </c>
      <c r="AG24" s="40">
        <f>s_C*(up_Bv!F24+s_MLF_berries)*s_IFBE_res_adj*s_CF_berries</f>
        <v>37914.59375</v>
      </c>
      <c r="AH24" s="40">
        <f>s_C*(up_Bv!G24+s_MLF_broccoli)*s_IFBR_res_adj*s_CF_broccoli</f>
        <v>37914.59375</v>
      </c>
      <c r="AI24" s="40">
        <f>s_C*(up_Bv!H24+s_MLF_cabbage)*s_IFCB_res_adj*s_CF_cabbage</f>
        <v>37914.59375</v>
      </c>
      <c r="AJ24" s="40">
        <f>s_C*(up_Bv!I24+s_MLF_carrot)*s_IFCR_res_adj*s_CF_carrot</f>
        <v>37914.59375</v>
      </c>
      <c r="AK24" s="40">
        <f>s_C*(up_Bv!J24+s_MLF_citrus)*s_IFCI_res_adj*s_CF_citrus</f>
        <v>37914.59375</v>
      </c>
      <c r="AL24" s="40">
        <f>s_C*(up_Bv!K24+s_MLF_corn)*s_IFCO_res_adj*s_CF_corn</f>
        <v>37914.59375</v>
      </c>
      <c r="AM24" s="40">
        <f>s_C*(up_Bv!L24+s_MLF_cucumber)*s_IFCU_res_adj*s_CF_cucumber</f>
        <v>37914.59375</v>
      </c>
      <c r="AN24" s="40">
        <f>s_C*(up_Bv!M24+s_MLF_lettuce)*s_IFLE_res_adj*s_CF_lettuce</f>
        <v>37914.59375</v>
      </c>
      <c r="AO24" s="40">
        <f>s_C*(up_Bv!N24+s_MLF_lima_bean)*s_IFLI_res_adj*s_CF_lima_bean</f>
        <v>37914.59375</v>
      </c>
      <c r="AP24" s="40">
        <f>s_C*(up_Bv!O24+s_MLF_okra)*s_IFOK_res_adj*s_CF_okra</f>
        <v>37914.59375</v>
      </c>
      <c r="AQ24" s="40">
        <f>s_C*(up_Bv!P24+s_MLF_onion)*s_IFON_res_adj*s_CF_onion</f>
        <v>37914.59375</v>
      </c>
      <c r="AR24" s="40">
        <f>s_C*(up_Bv!Q24+s_MLF_peach)*s_IFPC_res_adj*s_CF_peach</f>
        <v>37914.59375</v>
      </c>
      <c r="AS24" s="40">
        <f>s_C*(up_Bv!R24+s_MLF_pear)*s_IFPR_res_adj*s_CF_pear</f>
        <v>37914.59375</v>
      </c>
      <c r="AT24" s="40">
        <f>s_C*(up_Bv!S24+s_MLF_peas)*s_IFPE_res_adj*s_CF_peas</f>
        <v>37914.59375</v>
      </c>
      <c r="AU24" s="40">
        <f>s_C*(up_Bv!T24+s_MLF_peppers)*s_IFPP_res_adj*s_CF_peppers</f>
        <v>37914.59375</v>
      </c>
      <c r="AV24" s="40">
        <f>s_C*(up_Bv!U24+s_MLF_potato)*s_IFPT_res_adj*s_CF_potato</f>
        <v>37914.59375</v>
      </c>
      <c r="AW24" s="40">
        <f>s_C*(up_Bv!V24+s_MLF_pumpkin)*s_IFPU_res_adj*s_CF_pumpkin</f>
        <v>37914.59375</v>
      </c>
      <c r="AX24" s="40">
        <f>s_C*(up_Bv!W24+s_MLF_snap_bean)*s_IFSN_res_adj*s_CF_snap_bean</f>
        <v>37914.59375</v>
      </c>
      <c r="AY24" s="40">
        <f>s_C*(up_Bv!X24+s_MLF_strawberry)*s_IFST_res_adj*s_CF_strawberry</f>
        <v>37914.59375</v>
      </c>
      <c r="AZ24" s="40">
        <f>s_C*(up_Bv!Y24+s_MLF_tomato)*s_IFTO_res_adj*s_CF_tomato</f>
        <v>37914.59375</v>
      </c>
      <c r="BA24" s="40">
        <f>s_C*(up_Bv!Z24+s_MLF_rice)*s_IFRI_res_adj*s_CF_rice</f>
        <v>37914.59375</v>
      </c>
      <c r="BB24" s="40">
        <f>s_C*(up_Bv!AA24+s_MLF_cereal)*s_IFCG_res_adj*s_CF_cereal</f>
        <v>37914.59375</v>
      </c>
      <c r="BC24" s="15">
        <f t="shared" si="2"/>
        <v>3.2968835384132272E-5</v>
      </c>
      <c r="BD24" s="15">
        <f>IFERROR((up_dir!AD24/(up_Bv!C24+s_MLF_apple)),".")</f>
        <v>1.3187534153652909E-4</v>
      </c>
      <c r="BE24" s="15">
        <f>IFERROR((up_dir!AE24/(up_Bv!D24+s_MLF_asparagus)),".")</f>
        <v>1.3187534153652909E-4</v>
      </c>
      <c r="BF24" s="15">
        <f>IFERROR((up_dir!AF24/(up_Bv!E24+s_MLF_beet)),".")</f>
        <v>1.3187534153652909E-4</v>
      </c>
      <c r="BG24" s="15">
        <f>IFERROR((up_dir!AG24/(up_Bv!F24+s_MLF_berries)),".")</f>
        <v>1.3187534153652909E-4</v>
      </c>
      <c r="BH24" s="15">
        <f>IFERROR((up_dir!AH24/(up_Bv!G24+s_MLF_broccoli)),".")</f>
        <v>1.3187534153652909E-4</v>
      </c>
      <c r="BI24" s="15">
        <f>IFERROR((up_dir!AI24/(up_Bv!H24+s_MLF_cabbage)),".")</f>
        <v>1.3187534153652909E-4</v>
      </c>
      <c r="BJ24" s="15">
        <f>IFERROR((up_dir!AJ24/(up_Bv!I24+s_MLF_carrot)),".")</f>
        <v>1.3187534153652909E-4</v>
      </c>
      <c r="BK24" s="15">
        <f>IFERROR((up_dir!AK24/(up_Bv!J24+s_MLF_citrus)),".")</f>
        <v>1.3187534153652909E-4</v>
      </c>
      <c r="BL24" s="15">
        <f>IFERROR((up_dir!AL24/(up_Bv!K24+s_MLF_corn)),".")</f>
        <v>1.3187534153652909E-4</v>
      </c>
      <c r="BM24" s="15">
        <f>IFERROR((up_dir!AM24/(up_Bv!L24+s_MLF_cucumber)),".")</f>
        <v>1.3187534153652909E-4</v>
      </c>
      <c r="BN24" s="15">
        <f>IFERROR((up_dir!AN24/(up_Bv!M24+s_MLF_lettuce)),".")</f>
        <v>1.3187534153652909E-4</v>
      </c>
      <c r="BO24" s="15">
        <f>IFERROR((up_dir!AO24/(up_Bv!N24+s_MLF_lima_bean)),".")</f>
        <v>1.3187534153652909E-4</v>
      </c>
      <c r="BP24" s="15">
        <f>IFERROR((up_dir!AP24/(up_Bv!O24+s_MLF_okra)),".")</f>
        <v>1.3187534153652909E-4</v>
      </c>
      <c r="BQ24" s="15">
        <f>IFERROR((up_dir!AQ24/(up_Bv!P24+s_MLF_onion)),".")</f>
        <v>1.3187534153652909E-4</v>
      </c>
      <c r="BR24" s="15">
        <f>IFERROR((up_dir!AR24/(up_Bv!Q24+s_MLF_peach)),".")</f>
        <v>1.3187534153652909E-4</v>
      </c>
      <c r="BS24" s="15">
        <f>IFERROR((up_dir!AS24/(up_Bv!R24+s_MLF_pear)),".")</f>
        <v>1.3187534153652909E-4</v>
      </c>
      <c r="BT24" s="15">
        <f>IFERROR((up_dir!AT24/(up_Bv!S24+s_MLF_peas)),".")</f>
        <v>1.3187534153652909E-4</v>
      </c>
      <c r="BU24" s="15">
        <f>IFERROR((up_dir!AU24/(up_Bv!T24+s_MLF_peppers)),".")</f>
        <v>1.3187534153652909E-4</v>
      </c>
      <c r="BV24" s="15">
        <f>IFERROR((up_dir!AV24/(up_Bv!U24+s_MLF_potato)),".")</f>
        <v>1.3187534153652909E-4</v>
      </c>
      <c r="BW24" s="15">
        <f>IFERROR((up_dir!AW24/(up_Bv!V24+s_MLF_pumpkin)),".")</f>
        <v>1.3187534153652909E-4</v>
      </c>
      <c r="BX24" s="15">
        <f>IFERROR((up_dir!AX24/(up_Bv!W24+s_MLF_snap_bean)),".")</f>
        <v>1.3187534153652909E-4</v>
      </c>
      <c r="BY24" s="15">
        <f>IFERROR((up_dir!AY24/(up_Bv!X24+s_MLF_strawberry)),".")</f>
        <v>1.3187534153652909E-4</v>
      </c>
      <c r="BZ24" s="15">
        <f>IFERROR((up_dir!AZ24/(up_Bv!Y24+s_MLF_tomato)),".")</f>
        <v>1.3187534153652909E-4</v>
      </c>
      <c r="CA24" s="15">
        <f>IFERROR((up_dir!BA24/(up_Bv!Z24+s_MLF_rice)),".")</f>
        <v>1.3187534153652909E-4</v>
      </c>
      <c r="CB24" s="15">
        <f>IFERROR((up_dir!BB24/(up_Bv!AA24+s_MLF_cereal)),".")</f>
        <v>1.3187534153652909E-4</v>
      </c>
      <c r="CC24" s="40">
        <f t="shared" si="3"/>
        <v>151658.375</v>
      </c>
      <c r="CD24" s="40">
        <f>IFERROR(s_C*(up_Bv!C24+s_MLF_apple)*s_IFAP_far_adj*s_CF_apple,".")</f>
        <v>37914.59375</v>
      </c>
      <c r="CE24" s="40">
        <f>IFERROR(s_C*(up_Bv!D24+s_MLF_asparagus)*s_IFAS_far_adj*s_CF_asparagus,".")</f>
        <v>37914.59375</v>
      </c>
      <c r="CF24" s="40">
        <f>IFERROR(s_C*(up_Bv!E24+s_MLF_beet)*s_IFBT_far_adj*s_CF_beet,".")</f>
        <v>37914.59375</v>
      </c>
      <c r="CG24" s="40">
        <f>IFERROR(s_C*(up_Bv!F24+s_MLF_berries)*s_IFBR_far_adj*s_CF_berries,".")</f>
        <v>37914.59375</v>
      </c>
      <c r="CH24" s="40">
        <f>IFERROR(s_C*(up_Bv!G24+s_MLF_broccoli)*s_IFBR_far_adj*s_CF_broccoli,".")</f>
        <v>37914.59375</v>
      </c>
      <c r="CI24" s="40">
        <f>IFERROR(s_C*(up_Bv!H24+s_MLF_cabbage)*s_IFCB_far_adj*s_CF_cabbage,".")</f>
        <v>37914.59375</v>
      </c>
      <c r="CJ24" s="40">
        <f>IFERROR(s_C*(up_Bv!I24+s_MLF_carrot)*s_IFCR_far_adj*s_CF_carrot,".")</f>
        <v>37914.59375</v>
      </c>
      <c r="CK24" s="40">
        <f>IFERROR(s_C*(up_Bv!J24+s_MLF_citrus)*s_IFCI_far_adj*s_CF_citrus,".")</f>
        <v>37914.59375</v>
      </c>
      <c r="CL24" s="40">
        <f>IFERROR(s_C*(up_Bv!K24+s_MLF_corn)*s_IFCO_far_adj*s_CF_corn,".")</f>
        <v>37914.59375</v>
      </c>
      <c r="CM24" s="40">
        <f>IFERROR(s_C*(up_Bv!L24+s_MLF_cucumber)*s_IFCU_far_adj*s_CF_cucumber,".")</f>
        <v>37914.59375</v>
      </c>
      <c r="CN24" s="40">
        <f>IFERROR(s_C*(up_Bv!M24+s_MLF_lettuce)*s_IFLE_far_adj*s_CF_lettuce,".")</f>
        <v>37914.59375</v>
      </c>
      <c r="CO24" s="40">
        <f>IFERROR(s_C*(up_Bv!N24+s_MLF_lima_bean)*s_IFLI_far_adj*s_CF_lima_bean,".")</f>
        <v>37914.59375</v>
      </c>
      <c r="CP24" s="40">
        <f>IFERROR(s_C*(up_Bv!O24+s_MLF_okra)*s_IFOK_far_adj*s_CF_okra,".")</f>
        <v>37914.59375</v>
      </c>
      <c r="CQ24" s="40">
        <f>IFERROR(s_C*(up_Bv!P24+s_MLF_onion)*s_IFON_far_adj*s_CF_onion,".")</f>
        <v>37914.59375</v>
      </c>
      <c r="CR24" s="40">
        <f>IFERROR(s_C*(up_Bv!Q24+s_MLF_peach)*s_IFPC_far_adj*s_CF_peach,".")</f>
        <v>37914.59375</v>
      </c>
      <c r="CS24" s="40">
        <f>IFERROR(s_C*(up_Bv!R24+s_MLF_pear)*s_IFPR_far_adj*s_CF_pear,".")</f>
        <v>37914.59375</v>
      </c>
      <c r="CT24" s="40">
        <f>IFERROR(s_C*(up_Bv!S24+s_MLF_peas)*s_IFPE_far_adj*s_CF_peas,".")</f>
        <v>37914.59375</v>
      </c>
      <c r="CU24" s="40">
        <f>IFERROR(s_C*(up_Bv!T24+s_MLF_peppers)*s_IFPP_far_adj*s_CF_peppers,".")</f>
        <v>37914.59375</v>
      </c>
      <c r="CV24" s="40">
        <f>IFERROR(s_C*(up_Bv!U24+s_MLF_potato)*s_IFPT_far_adj*s_CF_potato,".")</f>
        <v>37914.59375</v>
      </c>
      <c r="CW24" s="40">
        <f>IFERROR(s_C*(up_Bv!V24+s_MLF_pumpkin)*s_IFPU_far_adj*s_CF_pumpkin,".")</f>
        <v>37914.59375</v>
      </c>
      <c r="CX24" s="40">
        <f>IFERROR(s_C*(up_Bv!W24+s_MLF_snap_bean)*s_IFSN_far_adj*s_CF_snap_bean,".")</f>
        <v>37914.59375</v>
      </c>
      <c r="CY24" s="40">
        <f>IFERROR(s_C*(up_Bv!X24+s_MLF_strawberry)*s_IFST_far_adj*s_CF_strawberry,".")</f>
        <v>37914.59375</v>
      </c>
      <c r="CZ24" s="40">
        <f>IFERROR(s_C*(up_Bv!Y24+s_MLF_tomato)*s_IFTO_far_adj*s_CF_tomato,".")</f>
        <v>37914.59375</v>
      </c>
      <c r="DA24" s="40">
        <f>IFERROR(s_C*(up_Bv!Z24+s_MLF_rice)*s_IFRI_far_adj*s_CF_rice,".")</f>
        <v>37914.59375</v>
      </c>
      <c r="DB24" s="40">
        <f>IFERROR(s_C*(up_Bv!AA24+s_MLF_cereal)*s_IFCG_far_adj*s_CF_cereal,".")</f>
        <v>37914.59375</v>
      </c>
    </row>
    <row r="25" spans="1:106" x14ac:dyDescent="0.25">
      <c r="A25" s="46" t="s">
        <v>23</v>
      </c>
      <c r="B25" s="42" t="s">
        <v>335</v>
      </c>
      <c r="C25" s="15">
        <f t="shared" si="1"/>
        <v>3.2968835384132272E-5</v>
      </c>
      <c r="D25" s="15">
        <f>IFERROR((up_dir!D25/(up_Bv!C25+s_MLF_apple)),".")</f>
        <v>1.3187534153652909E-4</v>
      </c>
      <c r="E25" s="15">
        <f>IFERROR((up_dir!E25/(up_Bv!D25+s_MLF_asparagus)),".")</f>
        <v>1.3187534153652909E-4</v>
      </c>
      <c r="F25" s="15">
        <f>IFERROR((up_dir!F25/(up_Bv!E25+s_MLF_beet)),".")</f>
        <v>1.3187534153652909E-4</v>
      </c>
      <c r="G25" s="15">
        <f>IFERROR((up_dir!G25/(up_Bv!F25+s_MLF_berries)),".")</f>
        <v>1.3187534153652909E-4</v>
      </c>
      <c r="H25" s="15">
        <f>IFERROR((up_dir!H25/(up_Bv!G25+s_MLF_broccoli)),".")</f>
        <v>1.3187534153652909E-4</v>
      </c>
      <c r="I25" s="15">
        <f>IFERROR((up_dir!I25/(up_Bv!H25+s_MLF_cabbage)),".")</f>
        <v>1.3187534153652909E-4</v>
      </c>
      <c r="J25" s="15">
        <f>IFERROR((up_dir!J25/(up_Bv!I25+s_MLF_carrot)),".")</f>
        <v>1.3187534153652909E-4</v>
      </c>
      <c r="K25" s="15">
        <f>IFERROR((up_dir!K25/(up_Bv!J25+s_MLF_citrus)),".")</f>
        <v>1.3187534153652909E-4</v>
      </c>
      <c r="L25" s="15">
        <f>IFERROR((up_dir!L25/(up_Bv!K25+s_MLF_corn)),".")</f>
        <v>1.3187534153652909E-4</v>
      </c>
      <c r="M25" s="15">
        <f>IFERROR((up_dir!M25/(up_Bv!L25+s_MLF_cucumber)),".")</f>
        <v>1.3187534153652909E-4</v>
      </c>
      <c r="N25" s="15">
        <f>IFERROR((up_dir!N25/(up_Bv!M25+s_MLF_lettuce)),".")</f>
        <v>1.3187534153652909E-4</v>
      </c>
      <c r="O25" s="15">
        <f>IFERROR((up_dir!O25/(up_Bv!N25+s_MLF_lima_bean)),".")</f>
        <v>1.3187534153652909E-4</v>
      </c>
      <c r="P25" s="15">
        <f>IFERROR((up_dir!P25/(up_Bv!O25+s_MLF_okra)),".")</f>
        <v>1.3187534153652909E-4</v>
      </c>
      <c r="Q25" s="15">
        <f>IFERROR((up_dir!Q25/(up_Bv!P25+s_MLF_onion)),".")</f>
        <v>1.3187534153652909E-4</v>
      </c>
      <c r="R25" s="15">
        <f>IFERROR((up_dir!R25/(up_Bv!Q25+s_MLF_peach)),".")</f>
        <v>1.3187534153652909E-4</v>
      </c>
      <c r="S25" s="15">
        <f>IFERROR((up_dir!S25/(up_Bv!R25+s_MLF_pear)),".")</f>
        <v>1.3187534153652909E-4</v>
      </c>
      <c r="T25" s="15">
        <f>IFERROR((up_dir!T25/(up_Bv!S25+s_MLF_peas)),".")</f>
        <v>1.3187534153652909E-4</v>
      </c>
      <c r="U25" s="15">
        <f>IFERROR((up_dir!U25/(up_Bv!T25+s_MLF_peppers)),".")</f>
        <v>1.3187534153652909E-4</v>
      </c>
      <c r="V25" s="15">
        <f>IFERROR((up_dir!V25/(up_Bv!U25+s_MLF_potato)),".")</f>
        <v>1.3187534153652909E-4</v>
      </c>
      <c r="W25" s="15">
        <f>IFERROR((up_dir!W25/(up_Bv!V25+s_MLF_pumpkin)),".")</f>
        <v>1.3187534153652909E-4</v>
      </c>
      <c r="X25" s="15">
        <f>IFERROR((up_dir!X25/(up_Bv!W25+s_MLF_snap_bean)),".")</f>
        <v>1.3187534153652909E-4</v>
      </c>
      <c r="Y25" s="15">
        <f>IFERROR((up_dir!Y25/(up_Bv!X25+s_MLF_strawberry)),".")</f>
        <v>1.3187534153652909E-4</v>
      </c>
      <c r="Z25" s="15">
        <f>IFERROR((up_dir!Z25/(up_Bv!Y25+s_MLF_tomato)),".")</f>
        <v>1.3187534153652909E-4</v>
      </c>
      <c r="AA25" s="15">
        <f>IFERROR((up_dir!AA25/(up_Bv!Z25+s_MLF_rice)),".")</f>
        <v>1.3187534153652909E-4</v>
      </c>
      <c r="AB25" s="15">
        <f>IFERROR((up_dir!AB25/(up_Bv!AA25+s_MLF_cereal)),".")</f>
        <v>1.3187534153652909E-4</v>
      </c>
      <c r="AC25" s="40">
        <f t="shared" si="0"/>
        <v>151658.375</v>
      </c>
      <c r="AD25" s="40">
        <f>s_C*(up_Bv!C25+s_MLF_apple)*s_IFAP_res_adj*s_CF_apple</f>
        <v>37914.59375</v>
      </c>
      <c r="AE25" s="40">
        <f>s_C*(up_Bv!D25+s_MLF_asparagus)*s_IFAS_res_adj*s_CF_asparagus</f>
        <v>37914.59375</v>
      </c>
      <c r="AF25" s="40">
        <f>s_C*(up_Bv!E25+s_MLF_beet)*s_IFBT_res_adj*s_CF_beet</f>
        <v>37914.59375</v>
      </c>
      <c r="AG25" s="40">
        <f>s_C*(up_Bv!F25+s_MLF_berries)*s_IFBE_res_adj*s_CF_berries</f>
        <v>37914.59375</v>
      </c>
      <c r="AH25" s="40">
        <f>s_C*(up_Bv!G25+s_MLF_broccoli)*s_IFBR_res_adj*s_CF_broccoli</f>
        <v>37914.59375</v>
      </c>
      <c r="AI25" s="40">
        <f>s_C*(up_Bv!H25+s_MLF_cabbage)*s_IFCB_res_adj*s_CF_cabbage</f>
        <v>37914.59375</v>
      </c>
      <c r="AJ25" s="40">
        <f>s_C*(up_Bv!I25+s_MLF_carrot)*s_IFCR_res_adj*s_CF_carrot</f>
        <v>37914.59375</v>
      </c>
      <c r="AK25" s="40">
        <f>s_C*(up_Bv!J25+s_MLF_citrus)*s_IFCI_res_adj*s_CF_citrus</f>
        <v>37914.59375</v>
      </c>
      <c r="AL25" s="40">
        <f>s_C*(up_Bv!K25+s_MLF_corn)*s_IFCO_res_adj*s_CF_corn</f>
        <v>37914.59375</v>
      </c>
      <c r="AM25" s="40">
        <f>s_C*(up_Bv!L25+s_MLF_cucumber)*s_IFCU_res_adj*s_CF_cucumber</f>
        <v>37914.59375</v>
      </c>
      <c r="AN25" s="40">
        <f>s_C*(up_Bv!M25+s_MLF_lettuce)*s_IFLE_res_adj*s_CF_lettuce</f>
        <v>37914.59375</v>
      </c>
      <c r="AO25" s="40">
        <f>s_C*(up_Bv!N25+s_MLF_lima_bean)*s_IFLI_res_adj*s_CF_lima_bean</f>
        <v>37914.59375</v>
      </c>
      <c r="AP25" s="40">
        <f>s_C*(up_Bv!O25+s_MLF_okra)*s_IFOK_res_adj*s_CF_okra</f>
        <v>37914.59375</v>
      </c>
      <c r="AQ25" s="40">
        <f>s_C*(up_Bv!P25+s_MLF_onion)*s_IFON_res_adj*s_CF_onion</f>
        <v>37914.59375</v>
      </c>
      <c r="AR25" s="40">
        <f>s_C*(up_Bv!Q25+s_MLF_peach)*s_IFPC_res_adj*s_CF_peach</f>
        <v>37914.59375</v>
      </c>
      <c r="AS25" s="40">
        <f>s_C*(up_Bv!R25+s_MLF_pear)*s_IFPR_res_adj*s_CF_pear</f>
        <v>37914.59375</v>
      </c>
      <c r="AT25" s="40">
        <f>s_C*(up_Bv!S25+s_MLF_peas)*s_IFPE_res_adj*s_CF_peas</f>
        <v>37914.59375</v>
      </c>
      <c r="AU25" s="40">
        <f>s_C*(up_Bv!T25+s_MLF_peppers)*s_IFPP_res_adj*s_CF_peppers</f>
        <v>37914.59375</v>
      </c>
      <c r="AV25" s="40">
        <f>s_C*(up_Bv!U25+s_MLF_potato)*s_IFPT_res_adj*s_CF_potato</f>
        <v>37914.59375</v>
      </c>
      <c r="AW25" s="40">
        <f>s_C*(up_Bv!V25+s_MLF_pumpkin)*s_IFPU_res_adj*s_CF_pumpkin</f>
        <v>37914.59375</v>
      </c>
      <c r="AX25" s="40">
        <f>s_C*(up_Bv!W25+s_MLF_snap_bean)*s_IFSN_res_adj*s_CF_snap_bean</f>
        <v>37914.59375</v>
      </c>
      <c r="AY25" s="40">
        <f>s_C*(up_Bv!X25+s_MLF_strawberry)*s_IFST_res_adj*s_CF_strawberry</f>
        <v>37914.59375</v>
      </c>
      <c r="AZ25" s="40">
        <f>s_C*(up_Bv!Y25+s_MLF_tomato)*s_IFTO_res_adj*s_CF_tomato</f>
        <v>37914.59375</v>
      </c>
      <c r="BA25" s="40">
        <f>s_C*(up_Bv!Z25+s_MLF_rice)*s_IFRI_res_adj*s_CF_rice</f>
        <v>37914.59375</v>
      </c>
      <c r="BB25" s="40">
        <f>s_C*(up_Bv!AA25+s_MLF_cereal)*s_IFCG_res_adj*s_CF_cereal</f>
        <v>37914.59375</v>
      </c>
      <c r="BC25" s="15">
        <f t="shared" si="2"/>
        <v>3.2968835384132272E-5</v>
      </c>
      <c r="BD25" s="15">
        <f>IFERROR((up_dir!AD25/(up_Bv!C25+s_MLF_apple)),".")</f>
        <v>1.3187534153652909E-4</v>
      </c>
      <c r="BE25" s="15">
        <f>IFERROR((up_dir!AE25/(up_Bv!D25+s_MLF_asparagus)),".")</f>
        <v>1.3187534153652909E-4</v>
      </c>
      <c r="BF25" s="15">
        <f>IFERROR((up_dir!AF25/(up_Bv!E25+s_MLF_beet)),".")</f>
        <v>1.3187534153652909E-4</v>
      </c>
      <c r="BG25" s="15">
        <f>IFERROR((up_dir!AG25/(up_Bv!F25+s_MLF_berries)),".")</f>
        <v>1.3187534153652909E-4</v>
      </c>
      <c r="BH25" s="15">
        <f>IFERROR((up_dir!AH25/(up_Bv!G25+s_MLF_broccoli)),".")</f>
        <v>1.3187534153652909E-4</v>
      </c>
      <c r="BI25" s="15">
        <f>IFERROR((up_dir!AI25/(up_Bv!H25+s_MLF_cabbage)),".")</f>
        <v>1.3187534153652909E-4</v>
      </c>
      <c r="BJ25" s="15">
        <f>IFERROR((up_dir!AJ25/(up_Bv!I25+s_MLF_carrot)),".")</f>
        <v>1.3187534153652909E-4</v>
      </c>
      <c r="BK25" s="15">
        <f>IFERROR((up_dir!AK25/(up_Bv!J25+s_MLF_citrus)),".")</f>
        <v>1.3187534153652909E-4</v>
      </c>
      <c r="BL25" s="15">
        <f>IFERROR((up_dir!AL25/(up_Bv!K25+s_MLF_corn)),".")</f>
        <v>1.3187534153652909E-4</v>
      </c>
      <c r="BM25" s="15">
        <f>IFERROR((up_dir!AM25/(up_Bv!L25+s_MLF_cucumber)),".")</f>
        <v>1.3187534153652909E-4</v>
      </c>
      <c r="BN25" s="15">
        <f>IFERROR((up_dir!AN25/(up_Bv!M25+s_MLF_lettuce)),".")</f>
        <v>1.3187534153652909E-4</v>
      </c>
      <c r="BO25" s="15">
        <f>IFERROR((up_dir!AO25/(up_Bv!N25+s_MLF_lima_bean)),".")</f>
        <v>1.3187534153652909E-4</v>
      </c>
      <c r="BP25" s="15">
        <f>IFERROR((up_dir!AP25/(up_Bv!O25+s_MLF_okra)),".")</f>
        <v>1.3187534153652909E-4</v>
      </c>
      <c r="BQ25" s="15">
        <f>IFERROR((up_dir!AQ25/(up_Bv!P25+s_MLF_onion)),".")</f>
        <v>1.3187534153652909E-4</v>
      </c>
      <c r="BR25" s="15">
        <f>IFERROR((up_dir!AR25/(up_Bv!Q25+s_MLF_peach)),".")</f>
        <v>1.3187534153652909E-4</v>
      </c>
      <c r="BS25" s="15">
        <f>IFERROR((up_dir!AS25/(up_Bv!R25+s_MLF_pear)),".")</f>
        <v>1.3187534153652909E-4</v>
      </c>
      <c r="BT25" s="15">
        <f>IFERROR((up_dir!AT25/(up_Bv!S25+s_MLF_peas)),".")</f>
        <v>1.3187534153652909E-4</v>
      </c>
      <c r="BU25" s="15">
        <f>IFERROR((up_dir!AU25/(up_Bv!T25+s_MLF_peppers)),".")</f>
        <v>1.3187534153652909E-4</v>
      </c>
      <c r="BV25" s="15">
        <f>IFERROR((up_dir!AV25/(up_Bv!U25+s_MLF_potato)),".")</f>
        <v>1.3187534153652909E-4</v>
      </c>
      <c r="BW25" s="15">
        <f>IFERROR((up_dir!AW25/(up_Bv!V25+s_MLF_pumpkin)),".")</f>
        <v>1.3187534153652909E-4</v>
      </c>
      <c r="BX25" s="15">
        <f>IFERROR((up_dir!AX25/(up_Bv!W25+s_MLF_snap_bean)),".")</f>
        <v>1.3187534153652909E-4</v>
      </c>
      <c r="BY25" s="15">
        <f>IFERROR((up_dir!AY25/(up_Bv!X25+s_MLF_strawberry)),".")</f>
        <v>1.3187534153652909E-4</v>
      </c>
      <c r="BZ25" s="15">
        <f>IFERROR((up_dir!AZ25/(up_Bv!Y25+s_MLF_tomato)),".")</f>
        <v>1.3187534153652909E-4</v>
      </c>
      <c r="CA25" s="15">
        <f>IFERROR((up_dir!BA25/(up_Bv!Z25+s_MLF_rice)),".")</f>
        <v>1.3187534153652909E-4</v>
      </c>
      <c r="CB25" s="15">
        <f>IFERROR((up_dir!BB25/(up_Bv!AA25+s_MLF_cereal)),".")</f>
        <v>1.3187534153652909E-4</v>
      </c>
      <c r="CC25" s="40">
        <f t="shared" si="3"/>
        <v>151658.375</v>
      </c>
      <c r="CD25" s="40">
        <f>IFERROR(s_C*(up_Bv!C25+s_MLF_apple)*s_IFAP_far_adj*s_CF_apple,".")</f>
        <v>37914.59375</v>
      </c>
      <c r="CE25" s="40">
        <f>IFERROR(s_C*(up_Bv!D25+s_MLF_asparagus)*s_IFAS_far_adj*s_CF_asparagus,".")</f>
        <v>37914.59375</v>
      </c>
      <c r="CF25" s="40">
        <f>IFERROR(s_C*(up_Bv!E25+s_MLF_beet)*s_IFBT_far_adj*s_CF_beet,".")</f>
        <v>37914.59375</v>
      </c>
      <c r="CG25" s="40">
        <f>IFERROR(s_C*(up_Bv!F25+s_MLF_berries)*s_IFBR_far_adj*s_CF_berries,".")</f>
        <v>37914.59375</v>
      </c>
      <c r="CH25" s="40">
        <f>IFERROR(s_C*(up_Bv!G25+s_MLF_broccoli)*s_IFBR_far_adj*s_CF_broccoli,".")</f>
        <v>37914.59375</v>
      </c>
      <c r="CI25" s="40">
        <f>IFERROR(s_C*(up_Bv!H25+s_MLF_cabbage)*s_IFCB_far_adj*s_CF_cabbage,".")</f>
        <v>37914.59375</v>
      </c>
      <c r="CJ25" s="40">
        <f>IFERROR(s_C*(up_Bv!I25+s_MLF_carrot)*s_IFCR_far_adj*s_CF_carrot,".")</f>
        <v>37914.59375</v>
      </c>
      <c r="CK25" s="40">
        <f>IFERROR(s_C*(up_Bv!J25+s_MLF_citrus)*s_IFCI_far_adj*s_CF_citrus,".")</f>
        <v>37914.59375</v>
      </c>
      <c r="CL25" s="40">
        <f>IFERROR(s_C*(up_Bv!K25+s_MLF_corn)*s_IFCO_far_adj*s_CF_corn,".")</f>
        <v>37914.59375</v>
      </c>
      <c r="CM25" s="40">
        <f>IFERROR(s_C*(up_Bv!L25+s_MLF_cucumber)*s_IFCU_far_adj*s_CF_cucumber,".")</f>
        <v>37914.59375</v>
      </c>
      <c r="CN25" s="40">
        <f>IFERROR(s_C*(up_Bv!M25+s_MLF_lettuce)*s_IFLE_far_adj*s_CF_lettuce,".")</f>
        <v>37914.59375</v>
      </c>
      <c r="CO25" s="40">
        <f>IFERROR(s_C*(up_Bv!N25+s_MLF_lima_bean)*s_IFLI_far_adj*s_CF_lima_bean,".")</f>
        <v>37914.59375</v>
      </c>
      <c r="CP25" s="40">
        <f>IFERROR(s_C*(up_Bv!O25+s_MLF_okra)*s_IFOK_far_adj*s_CF_okra,".")</f>
        <v>37914.59375</v>
      </c>
      <c r="CQ25" s="40">
        <f>IFERROR(s_C*(up_Bv!P25+s_MLF_onion)*s_IFON_far_adj*s_CF_onion,".")</f>
        <v>37914.59375</v>
      </c>
      <c r="CR25" s="40">
        <f>IFERROR(s_C*(up_Bv!Q25+s_MLF_peach)*s_IFPC_far_adj*s_CF_peach,".")</f>
        <v>37914.59375</v>
      </c>
      <c r="CS25" s="40">
        <f>IFERROR(s_C*(up_Bv!R25+s_MLF_pear)*s_IFPR_far_adj*s_CF_pear,".")</f>
        <v>37914.59375</v>
      </c>
      <c r="CT25" s="40">
        <f>IFERROR(s_C*(up_Bv!S25+s_MLF_peas)*s_IFPE_far_adj*s_CF_peas,".")</f>
        <v>37914.59375</v>
      </c>
      <c r="CU25" s="40">
        <f>IFERROR(s_C*(up_Bv!T25+s_MLF_peppers)*s_IFPP_far_adj*s_CF_peppers,".")</f>
        <v>37914.59375</v>
      </c>
      <c r="CV25" s="40">
        <f>IFERROR(s_C*(up_Bv!U25+s_MLF_potato)*s_IFPT_far_adj*s_CF_potato,".")</f>
        <v>37914.59375</v>
      </c>
      <c r="CW25" s="40">
        <f>IFERROR(s_C*(up_Bv!V25+s_MLF_pumpkin)*s_IFPU_far_adj*s_CF_pumpkin,".")</f>
        <v>37914.59375</v>
      </c>
      <c r="CX25" s="40">
        <f>IFERROR(s_C*(up_Bv!W25+s_MLF_snap_bean)*s_IFSN_far_adj*s_CF_snap_bean,".")</f>
        <v>37914.59375</v>
      </c>
      <c r="CY25" s="40">
        <f>IFERROR(s_C*(up_Bv!X25+s_MLF_strawberry)*s_IFST_far_adj*s_CF_strawberry,".")</f>
        <v>37914.59375</v>
      </c>
      <c r="CZ25" s="40">
        <f>IFERROR(s_C*(up_Bv!Y25+s_MLF_tomato)*s_IFTO_far_adj*s_CF_tomato,".")</f>
        <v>37914.59375</v>
      </c>
      <c r="DA25" s="40">
        <f>IFERROR(s_C*(up_Bv!Z25+s_MLF_rice)*s_IFRI_far_adj*s_CF_rice,".")</f>
        <v>37914.59375</v>
      </c>
      <c r="DB25" s="40">
        <f>IFERROR(s_C*(up_Bv!AA25+s_MLF_cereal)*s_IFCG_far_adj*s_CF_cereal,".")</f>
        <v>37914.59375</v>
      </c>
    </row>
    <row r="26" spans="1:106" ht="15" customHeight="1" x14ac:dyDescent="0.25">
      <c r="A26" s="44" t="s">
        <v>24</v>
      </c>
      <c r="B26" s="42" t="s">
        <v>1057</v>
      </c>
      <c r="C26" s="15">
        <f t="shared" si="1"/>
        <v>3.2968835384132272E-5</v>
      </c>
      <c r="D26" s="15">
        <f>IFERROR((up_dir!D26/(up_Bv!C26+s_MLF_apple)),".")</f>
        <v>1.3187534153652909E-4</v>
      </c>
      <c r="E26" s="15">
        <f>IFERROR((up_dir!E26/(up_Bv!D26+s_MLF_asparagus)),".")</f>
        <v>1.3187534153652909E-4</v>
      </c>
      <c r="F26" s="15">
        <f>IFERROR((up_dir!F26/(up_Bv!E26+s_MLF_beet)),".")</f>
        <v>1.3187534153652909E-4</v>
      </c>
      <c r="G26" s="15">
        <f>IFERROR((up_dir!G26/(up_Bv!F26+s_MLF_berries)),".")</f>
        <v>1.3187534153652909E-4</v>
      </c>
      <c r="H26" s="15">
        <f>IFERROR((up_dir!H26/(up_Bv!G26+s_MLF_broccoli)),".")</f>
        <v>1.3187534153652909E-4</v>
      </c>
      <c r="I26" s="15">
        <f>IFERROR((up_dir!I26/(up_Bv!H26+s_MLF_cabbage)),".")</f>
        <v>1.3187534153652909E-4</v>
      </c>
      <c r="J26" s="15">
        <f>IFERROR((up_dir!J26/(up_Bv!I26+s_MLF_carrot)),".")</f>
        <v>1.3187534153652909E-4</v>
      </c>
      <c r="K26" s="15">
        <f>IFERROR((up_dir!K26/(up_Bv!J26+s_MLF_citrus)),".")</f>
        <v>1.3187534153652909E-4</v>
      </c>
      <c r="L26" s="15">
        <f>IFERROR((up_dir!L26/(up_Bv!K26+s_MLF_corn)),".")</f>
        <v>1.3187534153652909E-4</v>
      </c>
      <c r="M26" s="15">
        <f>IFERROR((up_dir!M26/(up_Bv!L26+s_MLF_cucumber)),".")</f>
        <v>1.3187534153652909E-4</v>
      </c>
      <c r="N26" s="15">
        <f>IFERROR((up_dir!N26/(up_Bv!M26+s_MLF_lettuce)),".")</f>
        <v>1.3187534153652909E-4</v>
      </c>
      <c r="O26" s="15">
        <f>IFERROR((up_dir!O26/(up_Bv!N26+s_MLF_lima_bean)),".")</f>
        <v>1.3187534153652909E-4</v>
      </c>
      <c r="P26" s="15">
        <f>IFERROR((up_dir!P26/(up_Bv!O26+s_MLF_okra)),".")</f>
        <v>1.3187534153652909E-4</v>
      </c>
      <c r="Q26" s="15">
        <f>IFERROR((up_dir!Q26/(up_Bv!P26+s_MLF_onion)),".")</f>
        <v>1.3187534153652909E-4</v>
      </c>
      <c r="R26" s="15">
        <f>IFERROR((up_dir!R26/(up_Bv!Q26+s_MLF_peach)),".")</f>
        <v>1.3187534153652909E-4</v>
      </c>
      <c r="S26" s="15">
        <f>IFERROR((up_dir!S26/(up_Bv!R26+s_MLF_pear)),".")</f>
        <v>1.3187534153652909E-4</v>
      </c>
      <c r="T26" s="15">
        <f>IFERROR((up_dir!T26/(up_Bv!S26+s_MLF_peas)),".")</f>
        <v>1.3187534153652909E-4</v>
      </c>
      <c r="U26" s="15">
        <f>IFERROR((up_dir!U26/(up_Bv!T26+s_MLF_peppers)),".")</f>
        <v>1.3187534153652909E-4</v>
      </c>
      <c r="V26" s="15">
        <f>IFERROR((up_dir!V26/(up_Bv!U26+s_MLF_potato)),".")</f>
        <v>1.3187534153652909E-4</v>
      </c>
      <c r="W26" s="15">
        <f>IFERROR((up_dir!W26/(up_Bv!V26+s_MLF_pumpkin)),".")</f>
        <v>1.3187534153652909E-4</v>
      </c>
      <c r="X26" s="15">
        <f>IFERROR((up_dir!X26/(up_Bv!W26+s_MLF_snap_bean)),".")</f>
        <v>1.3187534153652909E-4</v>
      </c>
      <c r="Y26" s="15">
        <f>IFERROR((up_dir!Y26/(up_Bv!X26+s_MLF_strawberry)),".")</f>
        <v>1.3187534153652909E-4</v>
      </c>
      <c r="Z26" s="15">
        <f>IFERROR((up_dir!Z26/(up_Bv!Y26+s_MLF_tomato)),".")</f>
        <v>1.3187534153652909E-4</v>
      </c>
      <c r="AA26" s="15">
        <f>IFERROR((up_dir!AA26/(up_Bv!Z26+s_MLF_rice)),".")</f>
        <v>1.3187534153652909E-4</v>
      </c>
      <c r="AB26" s="15">
        <f>IFERROR((up_dir!AB26/(up_Bv!AA26+s_MLF_cereal)),".")</f>
        <v>1.3187534153652909E-4</v>
      </c>
      <c r="AC26" s="40">
        <f t="shared" si="0"/>
        <v>151658.375</v>
      </c>
      <c r="AD26" s="40">
        <f>s_C*(up_Bv!C26+s_MLF_apple)*s_IFAP_res_adj*s_CF_apple</f>
        <v>37914.59375</v>
      </c>
      <c r="AE26" s="40">
        <f>s_C*(up_Bv!D26+s_MLF_asparagus)*s_IFAS_res_adj*s_CF_asparagus</f>
        <v>37914.59375</v>
      </c>
      <c r="AF26" s="40">
        <f>s_C*(up_Bv!E26+s_MLF_beet)*s_IFBT_res_adj*s_CF_beet</f>
        <v>37914.59375</v>
      </c>
      <c r="AG26" s="40">
        <f>s_C*(up_Bv!F26+s_MLF_berries)*s_IFBE_res_adj*s_CF_berries</f>
        <v>37914.59375</v>
      </c>
      <c r="AH26" s="40">
        <f>s_C*(up_Bv!G26+s_MLF_broccoli)*s_IFBR_res_adj*s_CF_broccoli</f>
        <v>37914.59375</v>
      </c>
      <c r="AI26" s="40">
        <f>s_C*(up_Bv!H26+s_MLF_cabbage)*s_IFCB_res_adj*s_CF_cabbage</f>
        <v>37914.59375</v>
      </c>
      <c r="AJ26" s="40">
        <f>s_C*(up_Bv!I26+s_MLF_carrot)*s_IFCR_res_adj*s_CF_carrot</f>
        <v>37914.59375</v>
      </c>
      <c r="AK26" s="40">
        <f>s_C*(up_Bv!J26+s_MLF_citrus)*s_IFCI_res_adj*s_CF_citrus</f>
        <v>37914.59375</v>
      </c>
      <c r="AL26" s="40">
        <f>s_C*(up_Bv!K26+s_MLF_corn)*s_IFCO_res_adj*s_CF_corn</f>
        <v>37914.59375</v>
      </c>
      <c r="AM26" s="40">
        <f>s_C*(up_Bv!L26+s_MLF_cucumber)*s_IFCU_res_adj*s_CF_cucumber</f>
        <v>37914.59375</v>
      </c>
      <c r="AN26" s="40">
        <f>s_C*(up_Bv!M26+s_MLF_lettuce)*s_IFLE_res_adj*s_CF_lettuce</f>
        <v>37914.59375</v>
      </c>
      <c r="AO26" s="40">
        <f>s_C*(up_Bv!N26+s_MLF_lima_bean)*s_IFLI_res_adj*s_CF_lima_bean</f>
        <v>37914.59375</v>
      </c>
      <c r="AP26" s="40">
        <f>s_C*(up_Bv!O26+s_MLF_okra)*s_IFOK_res_adj*s_CF_okra</f>
        <v>37914.59375</v>
      </c>
      <c r="AQ26" s="40">
        <f>s_C*(up_Bv!P26+s_MLF_onion)*s_IFON_res_adj*s_CF_onion</f>
        <v>37914.59375</v>
      </c>
      <c r="AR26" s="40">
        <f>s_C*(up_Bv!Q26+s_MLF_peach)*s_IFPC_res_adj*s_CF_peach</f>
        <v>37914.59375</v>
      </c>
      <c r="AS26" s="40">
        <f>s_C*(up_Bv!R26+s_MLF_pear)*s_IFPR_res_adj*s_CF_pear</f>
        <v>37914.59375</v>
      </c>
      <c r="AT26" s="40">
        <f>s_C*(up_Bv!S26+s_MLF_peas)*s_IFPE_res_adj*s_CF_peas</f>
        <v>37914.59375</v>
      </c>
      <c r="AU26" s="40">
        <f>s_C*(up_Bv!T26+s_MLF_peppers)*s_IFPP_res_adj*s_CF_peppers</f>
        <v>37914.59375</v>
      </c>
      <c r="AV26" s="40">
        <f>s_C*(up_Bv!U26+s_MLF_potato)*s_IFPT_res_adj*s_CF_potato</f>
        <v>37914.59375</v>
      </c>
      <c r="AW26" s="40">
        <f>s_C*(up_Bv!V26+s_MLF_pumpkin)*s_IFPU_res_adj*s_CF_pumpkin</f>
        <v>37914.59375</v>
      </c>
      <c r="AX26" s="40">
        <f>s_C*(up_Bv!W26+s_MLF_snap_bean)*s_IFSN_res_adj*s_CF_snap_bean</f>
        <v>37914.59375</v>
      </c>
      <c r="AY26" s="40">
        <f>s_C*(up_Bv!X26+s_MLF_strawberry)*s_IFST_res_adj*s_CF_strawberry</f>
        <v>37914.59375</v>
      </c>
      <c r="AZ26" s="40">
        <f>s_C*(up_Bv!Y26+s_MLF_tomato)*s_IFTO_res_adj*s_CF_tomato</f>
        <v>37914.59375</v>
      </c>
      <c r="BA26" s="40">
        <f>s_C*(up_Bv!Z26+s_MLF_rice)*s_IFRI_res_adj*s_CF_rice</f>
        <v>37914.59375</v>
      </c>
      <c r="BB26" s="40">
        <f>s_C*(up_Bv!AA26+s_MLF_cereal)*s_IFCG_res_adj*s_CF_cereal</f>
        <v>37914.59375</v>
      </c>
      <c r="BC26" s="15">
        <f t="shared" si="2"/>
        <v>3.2968835384132272E-5</v>
      </c>
      <c r="BD26" s="15">
        <f>IFERROR((up_dir!AD26/(up_Bv!C26+s_MLF_apple)),".")</f>
        <v>1.3187534153652909E-4</v>
      </c>
      <c r="BE26" s="15">
        <f>IFERROR((up_dir!AE26/(up_Bv!D26+s_MLF_asparagus)),".")</f>
        <v>1.3187534153652909E-4</v>
      </c>
      <c r="BF26" s="15">
        <f>IFERROR((up_dir!AF26/(up_Bv!E26+s_MLF_beet)),".")</f>
        <v>1.3187534153652909E-4</v>
      </c>
      <c r="BG26" s="15">
        <f>IFERROR((up_dir!AG26/(up_Bv!F26+s_MLF_berries)),".")</f>
        <v>1.3187534153652909E-4</v>
      </c>
      <c r="BH26" s="15">
        <f>IFERROR((up_dir!AH26/(up_Bv!G26+s_MLF_broccoli)),".")</f>
        <v>1.3187534153652909E-4</v>
      </c>
      <c r="BI26" s="15">
        <f>IFERROR((up_dir!AI26/(up_Bv!H26+s_MLF_cabbage)),".")</f>
        <v>1.3187534153652909E-4</v>
      </c>
      <c r="BJ26" s="15">
        <f>IFERROR((up_dir!AJ26/(up_Bv!I26+s_MLF_carrot)),".")</f>
        <v>1.3187534153652909E-4</v>
      </c>
      <c r="BK26" s="15">
        <f>IFERROR((up_dir!AK26/(up_Bv!J26+s_MLF_citrus)),".")</f>
        <v>1.3187534153652909E-4</v>
      </c>
      <c r="BL26" s="15">
        <f>IFERROR((up_dir!AL26/(up_Bv!K26+s_MLF_corn)),".")</f>
        <v>1.3187534153652909E-4</v>
      </c>
      <c r="BM26" s="15">
        <f>IFERROR((up_dir!AM26/(up_Bv!L26+s_MLF_cucumber)),".")</f>
        <v>1.3187534153652909E-4</v>
      </c>
      <c r="BN26" s="15">
        <f>IFERROR((up_dir!AN26/(up_Bv!M26+s_MLF_lettuce)),".")</f>
        <v>1.3187534153652909E-4</v>
      </c>
      <c r="BO26" s="15">
        <f>IFERROR((up_dir!AO26/(up_Bv!N26+s_MLF_lima_bean)),".")</f>
        <v>1.3187534153652909E-4</v>
      </c>
      <c r="BP26" s="15">
        <f>IFERROR((up_dir!AP26/(up_Bv!O26+s_MLF_okra)),".")</f>
        <v>1.3187534153652909E-4</v>
      </c>
      <c r="BQ26" s="15">
        <f>IFERROR((up_dir!AQ26/(up_Bv!P26+s_MLF_onion)),".")</f>
        <v>1.3187534153652909E-4</v>
      </c>
      <c r="BR26" s="15">
        <f>IFERROR((up_dir!AR26/(up_Bv!Q26+s_MLF_peach)),".")</f>
        <v>1.3187534153652909E-4</v>
      </c>
      <c r="BS26" s="15">
        <f>IFERROR((up_dir!AS26/(up_Bv!R26+s_MLF_pear)),".")</f>
        <v>1.3187534153652909E-4</v>
      </c>
      <c r="BT26" s="15">
        <f>IFERROR((up_dir!AT26/(up_Bv!S26+s_MLF_peas)),".")</f>
        <v>1.3187534153652909E-4</v>
      </c>
      <c r="BU26" s="15">
        <f>IFERROR((up_dir!AU26/(up_Bv!T26+s_MLF_peppers)),".")</f>
        <v>1.3187534153652909E-4</v>
      </c>
      <c r="BV26" s="15">
        <f>IFERROR((up_dir!AV26/(up_Bv!U26+s_MLF_potato)),".")</f>
        <v>1.3187534153652909E-4</v>
      </c>
      <c r="BW26" s="15">
        <f>IFERROR((up_dir!AW26/(up_Bv!V26+s_MLF_pumpkin)),".")</f>
        <v>1.3187534153652909E-4</v>
      </c>
      <c r="BX26" s="15">
        <f>IFERROR((up_dir!AX26/(up_Bv!W26+s_MLF_snap_bean)),".")</f>
        <v>1.3187534153652909E-4</v>
      </c>
      <c r="BY26" s="15">
        <f>IFERROR((up_dir!AY26/(up_Bv!X26+s_MLF_strawberry)),".")</f>
        <v>1.3187534153652909E-4</v>
      </c>
      <c r="BZ26" s="15">
        <f>IFERROR((up_dir!AZ26/(up_Bv!Y26+s_MLF_tomato)),".")</f>
        <v>1.3187534153652909E-4</v>
      </c>
      <c r="CA26" s="15">
        <f>IFERROR((up_dir!BA26/(up_Bv!Z26+s_MLF_rice)),".")</f>
        <v>1.3187534153652909E-4</v>
      </c>
      <c r="CB26" s="15">
        <f>IFERROR((up_dir!BB26/(up_Bv!AA26+s_MLF_cereal)),".")</f>
        <v>1.3187534153652909E-4</v>
      </c>
      <c r="CC26" s="40">
        <f t="shared" si="3"/>
        <v>151658.375</v>
      </c>
      <c r="CD26" s="40">
        <f>IFERROR(s_C*(up_Bv!C26+s_MLF_apple)*s_IFAP_far_adj*s_CF_apple,".")</f>
        <v>37914.59375</v>
      </c>
      <c r="CE26" s="40">
        <f>IFERROR(s_C*(up_Bv!D26+s_MLF_asparagus)*s_IFAS_far_adj*s_CF_asparagus,".")</f>
        <v>37914.59375</v>
      </c>
      <c r="CF26" s="40">
        <f>IFERROR(s_C*(up_Bv!E26+s_MLF_beet)*s_IFBT_far_adj*s_CF_beet,".")</f>
        <v>37914.59375</v>
      </c>
      <c r="CG26" s="40">
        <f>IFERROR(s_C*(up_Bv!F26+s_MLF_berries)*s_IFBR_far_adj*s_CF_berries,".")</f>
        <v>37914.59375</v>
      </c>
      <c r="CH26" s="40">
        <f>IFERROR(s_C*(up_Bv!G26+s_MLF_broccoli)*s_IFBR_far_adj*s_CF_broccoli,".")</f>
        <v>37914.59375</v>
      </c>
      <c r="CI26" s="40">
        <f>IFERROR(s_C*(up_Bv!H26+s_MLF_cabbage)*s_IFCB_far_adj*s_CF_cabbage,".")</f>
        <v>37914.59375</v>
      </c>
      <c r="CJ26" s="40">
        <f>IFERROR(s_C*(up_Bv!I26+s_MLF_carrot)*s_IFCR_far_adj*s_CF_carrot,".")</f>
        <v>37914.59375</v>
      </c>
      <c r="CK26" s="40">
        <f>IFERROR(s_C*(up_Bv!J26+s_MLF_citrus)*s_IFCI_far_adj*s_CF_citrus,".")</f>
        <v>37914.59375</v>
      </c>
      <c r="CL26" s="40">
        <f>IFERROR(s_C*(up_Bv!K26+s_MLF_corn)*s_IFCO_far_adj*s_CF_corn,".")</f>
        <v>37914.59375</v>
      </c>
      <c r="CM26" s="40">
        <f>IFERROR(s_C*(up_Bv!L26+s_MLF_cucumber)*s_IFCU_far_adj*s_CF_cucumber,".")</f>
        <v>37914.59375</v>
      </c>
      <c r="CN26" s="40">
        <f>IFERROR(s_C*(up_Bv!M26+s_MLF_lettuce)*s_IFLE_far_adj*s_CF_lettuce,".")</f>
        <v>37914.59375</v>
      </c>
      <c r="CO26" s="40">
        <f>IFERROR(s_C*(up_Bv!N26+s_MLF_lima_bean)*s_IFLI_far_adj*s_CF_lima_bean,".")</f>
        <v>37914.59375</v>
      </c>
      <c r="CP26" s="40">
        <f>IFERROR(s_C*(up_Bv!O26+s_MLF_okra)*s_IFOK_far_adj*s_CF_okra,".")</f>
        <v>37914.59375</v>
      </c>
      <c r="CQ26" s="40">
        <f>IFERROR(s_C*(up_Bv!P26+s_MLF_onion)*s_IFON_far_adj*s_CF_onion,".")</f>
        <v>37914.59375</v>
      </c>
      <c r="CR26" s="40">
        <f>IFERROR(s_C*(up_Bv!Q26+s_MLF_peach)*s_IFPC_far_adj*s_CF_peach,".")</f>
        <v>37914.59375</v>
      </c>
      <c r="CS26" s="40">
        <f>IFERROR(s_C*(up_Bv!R26+s_MLF_pear)*s_IFPR_far_adj*s_CF_pear,".")</f>
        <v>37914.59375</v>
      </c>
      <c r="CT26" s="40">
        <f>IFERROR(s_C*(up_Bv!S26+s_MLF_peas)*s_IFPE_far_adj*s_CF_peas,".")</f>
        <v>37914.59375</v>
      </c>
      <c r="CU26" s="40">
        <f>IFERROR(s_C*(up_Bv!T26+s_MLF_peppers)*s_IFPP_far_adj*s_CF_peppers,".")</f>
        <v>37914.59375</v>
      </c>
      <c r="CV26" s="40">
        <f>IFERROR(s_C*(up_Bv!U26+s_MLF_potato)*s_IFPT_far_adj*s_CF_potato,".")</f>
        <v>37914.59375</v>
      </c>
      <c r="CW26" s="40">
        <f>IFERROR(s_C*(up_Bv!V26+s_MLF_pumpkin)*s_IFPU_far_adj*s_CF_pumpkin,".")</f>
        <v>37914.59375</v>
      </c>
      <c r="CX26" s="40">
        <f>IFERROR(s_C*(up_Bv!W26+s_MLF_snap_bean)*s_IFSN_far_adj*s_CF_snap_bean,".")</f>
        <v>37914.59375</v>
      </c>
      <c r="CY26" s="40">
        <f>IFERROR(s_C*(up_Bv!X26+s_MLF_strawberry)*s_IFST_far_adj*s_CF_strawberry,".")</f>
        <v>37914.59375</v>
      </c>
      <c r="CZ26" s="40">
        <f>IFERROR(s_C*(up_Bv!Y26+s_MLF_tomato)*s_IFTO_far_adj*s_CF_tomato,".")</f>
        <v>37914.59375</v>
      </c>
      <c r="DA26" s="40">
        <f>IFERROR(s_C*(up_Bv!Z26+s_MLF_rice)*s_IFRI_far_adj*s_CF_rice,".")</f>
        <v>37914.59375</v>
      </c>
      <c r="DB26" s="40">
        <f>IFERROR(s_C*(up_Bv!AA26+s_MLF_cereal)*s_IFCG_far_adj*s_CF_cereal,".")</f>
        <v>37914.59375</v>
      </c>
    </row>
    <row r="27" spans="1:106" ht="15" customHeight="1" x14ac:dyDescent="0.25">
      <c r="A27" s="44" t="s">
        <v>25</v>
      </c>
      <c r="B27" s="42" t="s">
        <v>1057</v>
      </c>
      <c r="C27" s="15">
        <f t="shared" si="1"/>
        <v>3.2968835384132272E-5</v>
      </c>
      <c r="D27" s="15">
        <f>IFERROR((up_dir!D27/(up_Bv!C27+s_MLF_apple)),".")</f>
        <v>1.3187534153652909E-4</v>
      </c>
      <c r="E27" s="15">
        <f>IFERROR((up_dir!E27/(up_Bv!D27+s_MLF_asparagus)),".")</f>
        <v>1.3187534153652909E-4</v>
      </c>
      <c r="F27" s="15">
        <f>IFERROR((up_dir!F27/(up_Bv!E27+s_MLF_beet)),".")</f>
        <v>1.3187534153652909E-4</v>
      </c>
      <c r="G27" s="15">
        <f>IFERROR((up_dir!G27/(up_Bv!F27+s_MLF_berries)),".")</f>
        <v>1.3187534153652909E-4</v>
      </c>
      <c r="H27" s="15">
        <f>IFERROR((up_dir!H27/(up_Bv!G27+s_MLF_broccoli)),".")</f>
        <v>1.3187534153652909E-4</v>
      </c>
      <c r="I27" s="15">
        <f>IFERROR((up_dir!I27/(up_Bv!H27+s_MLF_cabbage)),".")</f>
        <v>1.3187534153652909E-4</v>
      </c>
      <c r="J27" s="15">
        <f>IFERROR((up_dir!J27/(up_Bv!I27+s_MLF_carrot)),".")</f>
        <v>1.3187534153652909E-4</v>
      </c>
      <c r="K27" s="15">
        <f>IFERROR((up_dir!K27/(up_Bv!J27+s_MLF_citrus)),".")</f>
        <v>1.3187534153652909E-4</v>
      </c>
      <c r="L27" s="15">
        <f>IFERROR((up_dir!L27/(up_Bv!K27+s_MLF_corn)),".")</f>
        <v>1.3187534153652909E-4</v>
      </c>
      <c r="M27" s="15">
        <f>IFERROR((up_dir!M27/(up_Bv!L27+s_MLF_cucumber)),".")</f>
        <v>1.3187534153652909E-4</v>
      </c>
      <c r="N27" s="15">
        <f>IFERROR((up_dir!N27/(up_Bv!M27+s_MLF_lettuce)),".")</f>
        <v>1.3187534153652909E-4</v>
      </c>
      <c r="O27" s="15">
        <f>IFERROR((up_dir!O27/(up_Bv!N27+s_MLF_lima_bean)),".")</f>
        <v>1.3187534153652909E-4</v>
      </c>
      <c r="P27" s="15">
        <f>IFERROR((up_dir!P27/(up_Bv!O27+s_MLF_okra)),".")</f>
        <v>1.3187534153652909E-4</v>
      </c>
      <c r="Q27" s="15">
        <f>IFERROR((up_dir!Q27/(up_Bv!P27+s_MLF_onion)),".")</f>
        <v>1.3187534153652909E-4</v>
      </c>
      <c r="R27" s="15">
        <f>IFERROR((up_dir!R27/(up_Bv!Q27+s_MLF_peach)),".")</f>
        <v>1.3187534153652909E-4</v>
      </c>
      <c r="S27" s="15">
        <f>IFERROR((up_dir!S27/(up_Bv!R27+s_MLF_pear)),".")</f>
        <v>1.3187534153652909E-4</v>
      </c>
      <c r="T27" s="15">
        <f>IFERROR((up_dir!T27/(up_Bv!S27+s_MLF_peas)),".")</f>
        <v>1.3187534153652909E-4</v>
      </c>
      <c r="U27" s="15">
        <f>IFERROR((up_dir!U27/(up_Bv!T27+s_MLF_peppers)),".")</f>
        <v>1.3187534153652909E-4</v>
      </c>
      <c r="V27" s="15">
        <f>IFERROR((up_dir!V27/(up_Bv!U27+s_MLF_potato)),".")</f>
        <v>1.3187534153652909E-4</v>
      </c>
      <c r="W27" s="15">
        <f>IFERROR((up_dir!W27/(up_Bv!V27+s_MLF_pumpkin)),".")</f>
        <v>1.3187534153652909E-4</v>
      </c>
      <c r="X27" s="15">
        <f>IFERROR((up_dir!X27/(up_Bv!W27+s_MLF_snap_bean)),".")</f>
        <v>1.3187534153652909E-4</v>
      </c>
      <c r="Y27" s="15">
        <f>IFERROR((up_dir!Y27/(up_Bv!X27+s_MLF_strawberry)),".")</f>
        <v>1.3187534153652909E-4</v>
      </c>
      <c r="Z27" s="15">
        <f>IFERROR((up_dir!Z27/(up_Bv!Y27+s_MLF_tomato)),".")</f>
        <v>1.3187534153652909E-4</v>
      </c>
      <c r="AA27" s="15">
        <f>IFERROR((up_dir!AA27/(up_Bv!Z27+s_MLF_rice)),".")</f>
        <v>1.3187534153652909E-4</v>
      </c>
      <c r="AB27" s="15">
        <f>IFERROR((up_dir!AB27/(up_Bv!AA27+s_MLF_cereal)),".")</f>
        <v>1.3187534153652909E-4</v>
      </c>
      <c r="AC27" s="40">
        <f t="shared" si="0"/>
        <v>151658.375</v>
      </c>
      <c r="AD27" s="40">
        <f>s_C*(up_Bv!C27+s_MLF_apple)*s_IFAP_res_adj*s_CF_apple</f>
        <v>37914.59375</v>
      </c>
      <c r="AE27" s="40">
        <f>s_C*(up_Bv!D27+s_MLF_asparagus)*s_IFAS_res_adj*s_CF_asparagus</f>
        <v>37914.59375</v>
      </c>
      <c r="AF27" s="40">
        <f>s_C*(up_Bv!E27+s_MLF_beet)*s_IFBT_res_adj*s_CF_beet</f>
        <v>37914.59375</v>
      </c>
      <c r="AG27" s="40">
        <f>s_C*(up_Bv!F27+s_MLF_berries)*s_IFBE_res_adj*s_CF_berries</f>
        <v>37914.59375</v>
      </c>
      <c r="AH27" s="40">
        <f>s_C*(up_Bv!G27+s_MLF_broccoli)*s_IFBR_res_adj*s_CF_broccoli</f>
        <v>37914.59375</v>
      </c>
      <c r="AI27" s="40">
        <f>s_C*(up_Bv!H27+s_MLF_cabbage)*s_IFCB_res_adj*s_CF_cabbage</f>
        <v>37914.59375</v>
      </c>
      <c r="AJ27" s="40">
        <f>s_C*(up_Bv!I27+s_MLF_carrot)*s_IFCR_res_adj*s_CF_carrot</f>
        <v>37914.59375</v>
      </c>
      <c r="AK27" s="40">
        <f>s_C*(up_Bv!J27+s_MLF_citrus)*s_IFCI_res_adj*s_CF_citrus</f>
        <v>37914.59375</v>
      </c>
      <c r="AL27" s="40">
        <f>s_C*(up_Bv!K27+s_MLF_corn)*s_IFCO_res_adj*s_CF_corn</f>
        <v>37914.59375</v>
      </c>
      <c r="AM27" s="40">
        <f>s_C*(up_Bv!L27+s_MLF_cucumber)*s_IFCU_res_adj*s_CF_cucumber</f>
        <v>37914.59375</v>
      </c>
      <c r="AN27" s="40">
        <f>s_C*(up_Bv!M27+s_MLF_lettuce)*s_IFLE_res_adj*s_CF_lettuce</f>
        <v>37914.59375</v>
      </c>
      <c r="AO27" s="40">
        <f>s_C*(up_Bv!N27+s_MLF_lima_bean)*s_IFLI_res_adj*s_CF_lima_bean</f>
        <v>37914.59375</v>
      </c>
      <c r="AP27" s="40">
        <f>s_C*(up_Bv!O27+s_MLF_okra)*s_IFOK_res_adj*s_CF_okra</f>
        <v>37914.59375</v>
      </c>
      <c r="AQ27" s="40">
        <f>s_C*(up_Bv!P27+s_MLF_onion)*s_IFON_res_adj*s_CF_onion</f>
        <v>37914.59375</v>
      </c>
      <c r="AR27" s="40">
        <f>s_C*(up_Bv!Q27+s_MLF_peach)*s_IFPC_res_adj*s_CF_peach</f>
        <v>37914.59375</v>
      </c>
      <c r="AS27" s="40">
        <f>s_C*(up_Bv!R27+s_MLF_pear)*s_IFPR_res_adj*s_CF_pear</f>
        <v>37914.59375</v>
      </c>
      <c r="AT27" s="40">
        <f>s_C*(up_Bv!S27+s_MLF_peas)*s_IFPE_res_adj*s_CF_peas</f>
        <v>37914.59375</v>
      </c>
      <c r="AU27" s="40">
        <f>s_C*(up_Bv!T27+s_MLF_peppers)*s_IFPP_res_adj*s_CF_peppers</f>
        <v>37914.59375</v>
      </c>
      <c r="AV27" s="40">
        <f>s_C*(up_Bv!U27+s_MLF_potato)*s_IFPT_res_adj*s_CF_potato</f>
        <v>37914.59375</v>
      </c>
      <c r="AW27" s="40">
        <f>s_C*(up_Bv!V27+s_MLF_pumpkin)*s_IFPU_res_adj*s_CF_pumpkin</f>
        <v>37914.59375</v>
      </c>
      <c r="AX27" s="40">
        <f>s_C*(up_Bv!W27+s_MLF_snap_bean)*s_IFSN_res_adj*s_CF_snap_bean</f>
        <v>37914.59375</v>
      </c>
      <c r="AY27" s="40">
        <f>s_C*(up_Bv!X27+s_MLF_strawberry)*s_IFST_res_adj*s_CF_strawberry</f>
        <v>37914.59375</v>
      </c>
      <c r="AZ27" s="40">
        <f>s_C*(up_Bv!Y27+s_MLF_tomato)*s_IFTO_res_adj*s_CF_tomato</f>
        <v>37914.59375</v>
      </c>
      <c r="BA27" s="40">
        <f>s_C*(up_Bv!Z27+s_MLF_rice)*s_IFRI_res_adj*s_CF_rice</f>
        <v>37914.59375</v>
      </c>
      <c r="BB27" s="40">
        <f>s_C*(up_Bv!AA27+s_MLF_cereal)*s_IFCG_res_adj*s_CF_cereal</f>
        <v>37914.59375</v>
      </c>
      <c r="BC27" s="15">
        <f t="shared" si="2"/>
        <v>3.2968835384132272E-5</v>
      </c>
      <c r="BD27" s="15">
        <f>IFERROR((up_dir!AD27/(up_Bv!C27+s_MLF_apple)),".")</f>
        <v>1.3187534153652909E-4</v>
      </c>
      <c r="BE27" s="15">
        <f>IFERROR((up_dir!AE27/(up_Bv!D27+s_MLF_asparagus)),".")</f>
        <v>1.3187534153652909E-4</v>
      </c>
      <c r="BF27" s="15">
        <f>IFERROR((up_dir!AF27/(up_Bv!E27+s_MLF_beet)),".")</f>
        <v>1.3187534153652909E-4</v>
      </c>
      <c r="BG27" s="15">
        <f>IFERROR((up_dir!AG27/(up_Bv!F27+s_MLF_berries)),".")</f>
        <v>1.3187534153652909E-4</v>
      </c>
      <c r="BH27" s="15">
        <f>IFERROR((up_dir!AH27/(up_Bv!G27+s_MLF_broccoli)),".")</f>
        <v>1.3187534153652909E-4</v>
      </c>
      <c r="BI27" s="15">
        <f>IFERROR((up_dir!AI27/(up_Bv!H27+s_MLF_cabbage)),".")</f>
        <v>1.3187534153652909E-4</v>
      </c>
      <c r="BJ27" s="15">
        <f>IFERROR((up_dir!AJ27/(up_Bv!I27+s_MLF_carrot)),".")</f>
        <v>1.3187534153652909E-4</v>
      </c>
      <c r="BK27" s="15">
        <f>IFERROR((up_dir!AK27/(up_Bv!J27+s_MLF_citrus)),".")</f>
        <v>1.3187534153652909E-4</v>
      </c>
      <c r="BL27" s="15">
        <f>IFERROR((up_dir!AL27/(up_Bv!K27+s_MLF_corn)),".")</f>
        <v>1.3187534153652909E-4</v>
      </c>
      <c r="BM27" s="15">
        <f>IFERROR((up_dir!AM27/(up_Bv!L27+s_MLF_cucumber)),".")</f>
        <v>1.3187534153652909E-4</v>
      </c>
      <c r="BN27" s="15">
        <f>IFERROR((up_dir!AN27/(up_Bv!M27+s_MLF_lettuce)),".")</f>
        <v>1.3187534153652909E-4</v>
      </c>
      <c r="BO27" s="15">
        <f>IFERROR((up_dir!AO27/(up_Bv!N27+s_MLF_lima_bean)),".")</f>
        <v>1.3187534153652909E-4</v>
      </c>
      <c r="BP27" s="15">
        <f>IFERROR((up_dir!AP27/(up_Bv!O27+s_MLF_okra)),".")</f>
        <v>1.3187534153652909E-4</v>
      </c>
      <c r="BQ27" s="15">
        <f>IFERROR((up_dir!AQ27/(up_Bv!P27+s_MLF_onion)),".")</f>
        <v>1.3187534153652909E-4</v>
      </c>
      <c r="BR27" s="15">
        <f>IFERROR((up_dir!AR27/(up_Bv!Q27+s_MLF_peach)),".")</f>
        <v>1.3187534153652909E-4</v>
      </c>
      <c r="BS27" s="15">
        <f>IFERROR((up_dir!AS27/(up_Bv!R27+s_MLF_pear)),".")</f>
        <v>1.3187534153652909E-4</v>
      </c>
      <c r="BT27" s="15">
        <f>IFERROR((up_dir!AT27/(up_Bv!S27+s_MLF_peas)),".")</f>
        <v>1.3187534153652909E-4</v>
      </c>
      <c r="BU27" s="15">
        <f>IFERROR((up_dir!AU27/(up_Bv!T27+s_MLF_peppers)),".")</f>
        <v>1.3187534153652909E-4</v>
      </c>
      <c r="BV27" s="15">
        <f>IFERROR((up_dir!AV27/(up_Bv!U27+s_MLF_potato)),".")</f>
        <v>1.3187534153652909E-4</v>
      </c>
      <c r="BW27" s="15">
        <f>IFERROR((up_dir!AW27/(up_Bv!V27+s_MLF_pumpkin)),".")</f>
        <v>1.3187534153652909E-4</v>
      </c>
      <c r="BX27" s="15">
        <f>IFERROR((up_dir!AX27/(up_Bv!W27+s_MLF_snap_bean)),".")</f>
        <v>1.3187534153652909E-4</v>
      </c>
      <c r="BY27" s="15">
        <f>IFERROR((up_dir!AY27/(up_Bv!X27+s_MLF_strawberry)),".")</f>
        <v>1.3187534153652909E-4</v>
      </c>
      <c r="BZ27" s="15">
        <f>IFERROR((up_dir!AZ27/(up_Bv!Y27+s_MLF_tomato)),".")</f>
        <v>1.3187534153652909E-4</v>
      </c>
      <c r="CA27" s="15">
        <f>IFERROR((up_dir!BA27/(up_Bv!Z27+s_MLF_rice)),".")</f>
        <v>1.3187534153652909E-4</v>
      </c>
      <c r="CB27" s="15">
        <f>IFERROR((up_dir!BB27/(up_Bv!AA27+s_MLF_cereal)),".")</f>
        <v>1.3187534153652909E-4</v>
      </c>
      <c r="CC27" s="40">
        <f t="shared" si="3"/>
        <v>151658.375</v>
      </c>
      <c r="CD27" s="40">
        <f>IFERROR(s_C*(up_Bv!C27+s_MLF_apple)*s_IFAP_far_adj*s_CF_apple,".")</f>
        <v>37914.59375</v>
      </c>
      <c r="CE27" s="40">
        <f>IFERROR(s_C*(up_Bv!D27+s_MLF_asparagus)*s_IFAS_far_adj*s_CF_asparagus,".")</f>
        <v>37914.59375</v>
      </c>
      <c r="CF27" s="40">
        <f>IFERROR(s_C*(up_Bv!E27+s_MLF_beet)*s_IFBT_far_adj*s_CF_beet,".")</f>
        <v>37914.59375</v>
      </c>
      <c r="CG27" s="40">
        <f>IFERROR(s_C*(up_Bv!F27+s_MLF_berries)*s_IFBR_far_adj*s_CF_berries,".")</f>
        <v>37914.59375</v>
      </c>
      <c r="CH27" s="40">
        <f>IFERROR(s_C*(up_Bv!G27+s_MLF_broccoli)*s_IFBR_far_adj*s_CF_broccoli,".")</f>
        <v>37914.59375</v>
      </c>
      <c r="CI27" s="40">
        <f>IFERROR(s_C*(up_Bv!H27+s_MLF_cabbage)*s_IFCB_far_adj*s_CF_cabbage,".")</f>
        <v>37914.59375</v>
      </c>
      <c r="CJ27" s="40">
        <f>IFERROR(s_C*(up_Bv!I27+s_MLF_carrot)*s_IFCR_far_adj*s_CF_carrot,".")</f>
        <v>37914.59375</v>
      </c>
      <c r="CK27" s="40">
        <f>IFERROR(s_C*(up_Bv!J27+s_MLF_citrus)*s_IFCI_far_adj*s_CF_citrus,".")</f>
        <v>37914.59375</v>
      </c>
      <c r="CL27" s="40">
        <f>IFERROR(s_C*(up_Bv!K27+s_MLF_corn)*s_IFCO_far_adj*s_CF_corn,".")</f>
        <v>37914.59375</v>
      </c>
      <c r="CM27" s="40">
        <f>IFERROR(s_C*(up_Bv!L27+s_MLF_cucumber)*s_IFCU_far_adj*s_CF_cucumber,".")</f>
        <v>37914.59375</v>
      </c>
      <c r="CN27" s="40">
        <f>IFERROR(s_C*(up_Bv!M27+s_MLF_lettuce)*s_IFLE_far_adj*s_CF_lettuce,".")</f>
        <v>37914.59375</v>
      </c>
      <c r="CO27" s="40">
        <f>IFERROR(s_C*(up_Bv!N27+s_MLF_lima_bean)*s_IFLI_far_adj*s_CF_lima_bean,".")</f>
        <v>37914.59375</v>
      </c>
      <c r="CP27" s="40">
        <f>IFERROR(s_C*(up_Bv!O27+s_MLF_okra)*s_IFOK_far_adj*s_CF_okra,".")</f>
        <v>37914.59375</v>
      </c>
      <c r="CQ27" s="40">
        <f>IFERROR(s_C*(up_Bv!P27+s_MLF_onion)*s_IFON_far_adj*s_CF_onion,".")</f>
        <v>37914.59375</v>
      </c>
      <c r="CR27" s="40">
        <f>IFERROR(s_C*(up_Bv!Q27+s_MLF_peach)*s_IFPC_far_adj*s_CF_peach,".")</f>
        <v>37914.59375</v>
      </c>
      <c r="CS27" s="40">
        <f>IFERROR(s_C*(up_Bv!R27+s_MLF_pear)*s_IFPR_far_adj*s_CF_pear,".")</f>
        <v>37914.59375</v>
      </c>
      <c r="CT27" s="40">
        <f>IFERROR(s_C*(up_Bv!S27+s_MLF_peas)*s_IFPE_far_adj*s_CF_peas,".")</f>
        <v>37914.59375</v>
      </c>
      <c r="CU27" s="40">
        <f>IFERROR(s_C*(up_Bv!T27+s_MLF_peppers)*s_IFPP_far_adj*s_CF_peppers,".")</f>
        <v>37914.59375</v>
      </c>
      <c r="CV27" s="40">
        <f>IFERROR(s_C*(up_Bv!U27+s_MLF_potato)*s_IFPT_far_adj*s_CF_potato,".")</f>
        <v>37914.59375</v>
      </c>
      <c r="CW27" s="40">
        <f>IFERROR(s_C*(up_Bv!V27+s_MLF_pumpkin)*s_IFPU_far_adj*s_CF_pumpkin,".")</f>
        <v>37914.59375</v>
      </c>
      <c r="CX27" s="40">
        <f>IFERROR(s_C*(up_Bv!W27+s_MLF_snap_bean)*s_IFSN_far_adj*s_CF_snap_bean,".")</f>
        <v>37914.59375</v>
      </c>
      <c r="CY27" s="40">
        <f>IFERROR(s_C*(up_Bv!X27+s_MLF_strawberry)*s_IFST_far_adj*s_CF_strawberry,".")</f>
        <v>37914.59375</v>
      </c>
      <c r="CZ27" s="40">
        <f>IFERROR(s_C*(up_Bv!Y27+s_MLF_tomato)*s_IFTO_far_adj*s_CF_tomato,".")</f>
        <v>37914.59375</v>
      </c>
      <c r="DA27" s="40">
        <f>IFERROR(s_C*(up_Bv!Z27+s_MLF_rice)*s_IFRI_far_adj*s_CF_rice,".")</f>
        <v>37914.59375</v>
      </c>
      <c r="DB27" s="40">
        <f>IFERROR(s_C*(up_Bv!AA27+s_MLF_cereal)*s_IFCG_far_adj*s_CF_cereal,".")</f>
        <v>37914.59375</v>
      </c>
    </row>
    <row r="28" spans="1:106" ht="15" customHeight="1" x14ac:dyDescent="0.25">
      <c r="A28" s="44" t="s">
        <v>26</v>
      </c>
      <c r="B28" s="42" t="s">
        <v>1057</v>
      </c>
      <c r="C28" s="15">
        <f t="shared" si="1"/>
        <v>3.2968835384132272E-5</v>
      </c>
      <c r="D28" s="15">
        <f>IFERROR((up_dir!D28/(up_Bv!C28+s_MLF_apple)),".")</f>
        <v>1.3187534153652909E-4</v>
      </c>
      <c r="E28" s="15">
        <f>IFERROR((up_dir!E28/(up_Bv!D28+s_MLF_asparagus)),".")</f>
        <v>1.3187534153652909E-4</v>
      </c>
      <c r="F28" s="15">
        <f>IFERROR((up_dir!F28/(up_Bv!E28+s_MLF_beet)),".")</f>
        <v>1.3187534153652909E-4</v>
      </c>
      <c r="G28" s="15">
        <f>IFERROR((up_dir!G28/(up_Bv!F28+s_MLF_berries)),".")</f>
        <v>1.3187534153652909E-4</v>
      </c>
      <c r="H28" s="15">
        <f>IFERROR((up_dir!H28/(up_Bv!G28+s_MLF_broccoli)),".")</f>
        <v>1.3187534153652909E-4</v>
      </c>
      <c r="I28" s="15">
        <f>IFERROR((up_dir!I28/(up_Bv!H28+s_MLF_cabbage)),".")</f>
        <v>1.3187534153652909E-4</v>
      </c>
      <c r="J28" s="15">
        <f>IFERROR((up_dir!J28/(up_Bv!I28+s_MLF_carrot)),".")</f>
        <v>1.3187534153652909E-4</v>
      </c>
      <c r="K28" s="15">
        <f>IFERROR((up_dir!K28/(up_Bv!J28+s_MLF_citrus)),".")</f>
        <v>1.3187534153652909E-4</v>
      </c>
      <c r="L28" s="15">
        <f>IFERROR((up_dir!L28/(up_Bv!K28+s_MLF_corn)),".")</f>
        <v>1.3187534153652909E-4</v>
      </c>
      <c r="M28" s="15">
        <f>IFERROR((up_dir!M28/(up_Bv!L28+s_MLF_cucumber)),".")</f>
        <v>1.3187534153652909E-4</v>
      </c>
      <c r="N28" s="15">
        <f>IFERROR((up_dir!N28/(up_Bv!M28+s_MLF_lettuce)),".")</f>
        <v>1.3187534153652909E-4</v>
      </c>
      <c r="O28" s="15">
        <f>IFERROR((up_dir!O28/(up_Bv!N28+s_MLF_lima_bean)),".")</f>
        <v>1.3187534153652909E-4</v>
      </c>
      <c r="P28" s="15">
        <f>IFERROR((up_dir!P28/(up_Bv!O28+s_MLF_okra)),".")</f>
        <v>1.3187534153652909E-4</v>
      </c>
      <c r="Q28" s="15">
        <f>IFERROR((up_dir!Q28/(up_Bv!P28+s_MLF_onion)),".")</f>
        <v>1.3187534153652909E-4</v>
      </c>
      <c r="R28" s="15">
        <f>IFERROR((up_dir!R28/(up_Bv!Q28+s_MLF_peach)),".")</f>
        <v>1.3187534153652909E-4</v>
      </c>
      <c r="S28" s="15">
        <f>IFERROR((up_dir!S28/(up_Bv!R28+s_MLF_pear)),".")</f>
        <v>1.3187534153652909E-4</v>
      </c>
      <c r="T28" s="15">
        <f>IFERROR((up_dir!T28/(up_Bv!S28+s_MLF_peas)),".")</f>
        <v>1.3187534153652909E-4</v>
      </c>
      <c r="U28" s="15">
        <f>IFERROR((up_dir!U28/(up_Bv!T28+s_MLF_peppers)),".")</f>
        <v>1.3187534153652909E-4</v>
      </c>
      <c r="V28" s="15">
        <f>IFERROR((up_dir!V28/(up_Bv!U28+s_MLF_potato)),".")</f>
        <v>1.3187534153652909E-4</v>
      </c>
      <c r="W28" s="15">
        <f>IFERROR((up_dir!W28/(up_Bv!V28+s_MLF_pumpkin)),".")</f>
        <v>1.3187534153652909E-4</v>
      </c>
      <c r="X28" s="15">
        <f>IFERROR((up_dir!X28/(up_Bv!W28+s_MLF_snap_bean)),".")</f>
        <v>1.3187534153652909E-4</v>
      </c>
      <c r="Y28" s="15">
        <f>IFERROR((up_dir!Y28/(up_Bv!X28+s_MLF_strawberry)),".")</f>
        <v>1.3187534153652909E-4</v>
      </c>
      <c r="Z28" s="15">
        <f>IFERROR((up_dir!Z28/(up_Bv!Y28+s_MLF_tomato)),".")</f>
        <v>1.3187534153652909E-4</v>
      </c>
      <c r="AA28" s="15">
        <f>IFERROR((up_dir!AA28/(up_Bv!Z28+s_MLF_rice)),".")</f>
        <v>1.3187534153652909E-4</v>
      </c>
      <c r="AB28" s="15">
        <f>IFERROR((up_dir!AB28/(up_Bv!AA28+s_MLF_cereal)),".")</f>
        <v>1.3187534153652909E-4</v>
      </c>
      <c r="AC28" s="40">
        <f t="shared" si="0"/>
        <v>151658.375</v>
      </c>
      <c r="AD28" s="40">
        <f>s_C*(up_Bv!C28+s_MLF_apple)*s_IFAP_res_adj*s_CF_apple</f>
        <v>37914.59375</v>
      </c>
      <c r="AE28" s="40">
        <f>s_C*(up_Bv!D28+s_MLF_asparagus)*s_IFAS_res_adj*s_CF_asparagus</f>
        <v>37914.59375</v>
      </c>
      <c r="AF28" s="40">
        <f>s_C*(up_Bv!E28+s_MLF_beet)*s_IFBT_res_adj*s_CF_beet</f>
        <v>37914.59375</v>
      </c>
      <c r="AG28" s="40">
        <f>s_C*(up_Bv!F28+s_MLF_berries)*s_IFBE_res_adj*s_CF_berries</f>
        <v>37914.59375</v>
      </c>
      <c r="AH28" s="40">
        <f>s_C*(up_Bv!G28+s_MLF_broccoli)*s_IFBR_res_adj*s_CF_broccoli</f>
        <v>37914.59375</v>
      </c>
      <c r="AI28" s="40">
        <f>s_C*(up_Bv!H28+s_MLF_cabbage)*s_IFCB_res_adj*s_CF_cabbage</f>
        <v>37914.59375</v>
      </c>
      <c r="AJ28" s="40">
        <f>s_C*(up_Bv!I28+s_MLF_carrot)*s_IFCR_res_adj*s_CF_carrot</f>
        <v>37914.59375</v>
      </c>
      <c r="AK28" s="40">
        <f>s_C*(up_Bv!J28+s_MLF_citrus)*s_IFCI_res_adj*s_CF_citrus</f>
        <v>37914.59375</v>
      </c>
      <c r="AL28" s="40">
        <f>s_C*(up_Bv!K28+s_MLF_corn)*s_IFCO_res_adj*s_CF_corn</f>
        <v>37914.59375</v>
      </c>
      <c r="AM28" s="40">
        <f>s_C*(up_Bv!L28+s_MLF_cucumber)*s_IFCU_res_adj*s_CF_cucumber</f>
        <v>37914.59375</v>
      </c>
      <c r="AN28" s="40">
        <f>s_C*(up_Bv!M28+s_MLF_lettuce)*s_IFLE_res_adj*s_CF_lettuce</f>
        <v>37914.59375</v>
      </c>
      <c r="AO28" s="40">
        <f>s_C*(up_Bv!N28+s_MLF_lima_bean)*s_IFLI_res_adj*s_CF_lima_bean</f>
        <v>37914.59375</v>
      </c>
      <c r="AP28" s="40">
        <f>s_C*(up_Bv!O28+s_MLF_okra)*s_IFOK_res_adj*s_CF_okra</f>
        <v>37914.59375</v>
      </c>
      <c r="AQ28" s="40">
        <f>s_C*(up_Bv!P28+s_MLF_onion)*s_IFON_res_adj*s_CF_onion</f>
        <v>37914.59375</v>
      </c>
      <c r="AR28" s="40">
        <f>s_C*(up_Bv!Q28+s_MLF_peach)*s_IFPC_res_adj*s_CF_peach</f>
        <v>37914.59375</v>
      </c>
      <c r="AS28" s="40">
        <f>s_C*(up_Bv!R28+s_MLF_pear)*s_IFPR_res_adj*s_CF_pear</f>
        <v>37914.59375</v>
      </c>
      <c r="AT28" s="40">
        <f>s_C*(up_Bv!S28+s_MLF_peas)*s_IFPE_res_adj*s_CF_peas</f>
        <v>37914.59375</v>
      </c>
      <c r="AU28" s="40">
        <f>s_C*(up_Bv!T28+s_MLF_peppers)*s_IFPP_res_adj*s_CF_peppers</f>
        <v>37914.59375</v>
      </c>
      <c r="AV28" s="40">
        <f>s_C*(up_Bv!U28+s_MLF_potato)*s_IFPT_res_adj*s_CF_potato</f>
        <v>37914.59375</v>
      </c>
      <c r="AW28" s="40">
        <f>s_C*(up_Bv!V28+s_MLF_pumpkin)*s_IFPU_res_adj*s_CF_pumpkin</f>
        <v>37914.59375</v>
      </c>
      <c r="AX28" s="40">
        <f>s_C*(up_Bv!W28+s_MLF_snap_bean)*s_IFSN_res_adj*s_CF_snap_bean</f>
        <v>37914.59375</v>
      </c>
      <c r="AY28" s="40">
        <f>s_C*(up_Bv!X28+s_MLF_strawberry)*s_IFST_res_adj*s_CF_strawberry</f>
        <v>37914.59375</v>
      </c>
      <c r="AZ28" s="40">
        <f>s_C*(up_Bv!Y28+s_MLF_tomato)*s_IFTO_res_adj*s_CF_tomato</f>
        <v>37914.59375</v>
      </c>
      <c r="BA28" s="40">
        <f>s_C*(up_Bv!Z28+s_MLF_rice)*s_IFRI_res_adj*s_CF_rice</f>
        <v>37914.59375</v>
      </c>
      <c r="BB28" s="40">
        <f>s_C*(up_Bv!AA28+s_MLF_cereal)*s_IFCG_res_adj*s_CF_cereal</f>
        <v>37914.59375</v>
      </c>
      <c r="BC28" s="15">
        <f t="shared" si="2"/>
        <v>3.2968835384132272E-5</v>
      </c>
      <c r="BD28" s="15">
        <f>IFERROR((up_dir!AD28/(up_Bv!C28+s_MLF_apple)),".")</f>
        <v>1.3187534153652909E-4</v>
      </c>
      <c r="BE28" s="15">
        <f>IFERROR((up_dir!AE28/(up_Bv!D28+s_MLF_asparagus)),".")</f>
        <v>1.3187534153652909E-4</v>
      </c>
      <c r="BF28" s="15">
        <f>IFERROR((up_dir!AF28/(up_Bv!E28+s_MLF_beet)),".")</f>
        <v>1.3187534153652909E-4</v>
      </c>
      <c r="BG28" s="15">
        <f>IFERROR((up_dir!AG28/(up_Bv!F28+s_MLF_berries)),".")</f>
        <v>1.3187534153652909E-4</v>
      </c>
      <c r="BH28" s="15">
        <f>IFERROR((up_dir!AH28/(up_Bv!G28+s_MLF_broccoli)),".")</f>
        <v>1.3187534153652909E-4</v>
      </c>
      <c r="BI28" s="15">
        <f>IFERROR((up_dir!AI28/(up_Bv!H28+s_MLF_cabbage)),".")</f>
        <v>1.3187534153652909E-4</v>
      </c>
      <c r="BJ28" s="15">
        <f>IFERROR((up_dir!AJ28/(up_Bv!I28+s_MLF_carrot)),".")</f>
        <v>1.3187534153652909E-4</v>
      </c>
      <c r="BK28" s="15">
        <f>IFERROR((up_dir!AK28/(up_Bv!J28+s_MLF_citrus)),".")</f>
        <v>1.3187534153652909E-4</v>
      </c>
      <c r="BL28" s="15">
        <f>IFERROR((up_dir!AL28/(up_Bv!K28+s_MLF_corn)),".")</f>
        <v>1.3187534153652909E-4</v>
      </c>
      <c r="BM28" s="15">
        <f>IFERROR((up_dir!AM28/(up_Bv!L28+s_MLF_cucumber)),".")</f>
        <v>1.3187534153652909E-4</v>
      </c>
      <c r="BN28" s="15">
        <f>IFERROR((up_dir!AN28/(up_Bv!M28+s_MLF_lettuce)),".")</f>
        <v>1.3187534153652909E-4</v>
      </c>
      <c r="BO28" s="15">
        <f>IFERROR((up_dir!AO28/(up_Bv!N28+s_MLF_lima_bean)),".")</f>
        <v>1.3187534153652909E-4</v>
      </c>
      <c r="BP28" s="15">
        <f>IFERROR((up_dir!AP28/(up_Bv!O28+s_MLF_okra)),".")</f>
        <v>1.3187534153652909E-4</v>
      </c>
      <c r="BQ28" s="15">
        <f>IFERROR((up_dir!AQ28/(up_Bv!P28+s_MLF_onion)),".")</f>
        <v>1.3187534153652909E-4</v>
      </c>
      <c r="BR28" s="15">
        <f>IFERROR((up_dir!AR28/(up_Bv!Q28+s_MLF_peach)),".")</f>
        <v>1.3187534153652909E-4</v>
      </c>
      <c r="BS28" s="15">
        <f>IFERROR((up_dir!AS28/(up_Bv!R28+s_MLF_pear)),".")</f>
        <v>1.3187534153652909E-4</v>
      </c>
      <c r="BT28" s="15">
        <f>IFERROR((up_dir!AT28/(up_Bv!S28+s_MLF_peas)),".")</f>
        <v>1.3187534153652909E-4</v>
      </c>
      <c r="BU28" s="15">
        <f>IFERROR((up_dir!AU28/(up_Bv!T28+s_MLF_peppers)),".")</f>
        <v>1.3187534153652909E-4</v>
      </c>
      <c r="BV28" s="15">
        <f>IFERROR((up_dir!AV28/(up_Bv!U28+s_MLF_potato)),".")</f>
        <v>1.3187534153652909E-4</v>
      </c>
      <c r="BW28" s="15">
        <f>IFERROR((up_dir!AW28/(up_Bv!V28+s_MLF_pumpkin)),".")</f>
        <v>1.3187534153652909E-4</v>
      </c>
      <c r="BX28" s="15">
        <f>IFERROR((up_dir!AX28/(up_Bv!W28+s_MLF_snap_bean)),".")</f>
        <v>1.3187534153652909E-4</v>
      </c>
      <c r="BY28" s="15">
        <f>IFERROR((up_dir!AY28/(up_Bv!X28+s_MLF_strawberry)),".")</f>
        <v>1.3187534153652909E-4</v>
      </c>
      <c r="BZ28" s="15">
        <f>IFERROR((up_dir!AZ28/(up_Bv!Y28+s_MLF_tomato)),".")</f>
        <v>1.3187534153652909E-4</v>
      </c>
      <c r="CA28" s="15">
        <f>IFERROR((up_dir!BA28/(up_Bv!Z28+s_MLF_rice)),".")</f>
        <v>1.3187534153652909E-4</v>
      </c>
      <c r="CB28" s="15">
        <f>IFERROR((up_dir!BB28/(up_Bv!AA28+s_MLF_cereal)),".")</f>
        <v>1.3187534153652909E-4</v>
      </c>
      <c r="CC28" s="40">
        <f t="shared" si="3"/>
        <v>151658.375</v>
      </c>
      <c r="CD28" s="40">
        <f>IFERROR(s_C*(up_Bv!C28+s_MLF_apple)*s_IFAP_far_adj*s_CF_apple,".")</f>
        <v>37914.59375</v>
      </c>
      <c r="CE28" s="40">
        <f>IFERROR(s_C*(up_Bv!D28+s_MLF_asparagus)*s_IFAS_far_adj*s_CF_asparagus,".")</f>
        <v>37914.59375</v>
      </c>
      <c r="CF28" s="40">
        <f>IFERROR(s_C*(up_Bv!E28+s_MLF_beet)*s_IFBT_far_adj*s_CF_beet,".")</f>
        <v>37914.59375</v>
      </c>
      <c r="CG28" s="40">
        <f>IFERROR(s_C*(up_Bv!F28+s_MLF_berries)*s_IFBR_far_adj*s_CF_berries,".")</f>
        <v>37914.59375</v>
      </c>
      <c r="CH28" s="40">
        <f>IFERROR(s_C*(up_Bv!G28+s_MLF_broccoli)*s_IFBR_far_adj*s_CF_broccoli,".")</f>
        <v>37914.59375</v>
      </c>
      <c r="CI28" s="40">
        <f>IFERROR(s_C*(up_Bv!H28+s_MLF_cabbage)*s_IFCB_far_adj*s_CF_cabbage,".")</f>
        <v>37914.59375</v>
      </c>
      <c r="CJ28" s="40">
        <f>IFERROR(s_C*(up_Bv!I28+s_MLF_carrot)*s_IFCR_far_adj*s_CF_carrot,".")</f>
        <v>37914.59375</v>
      </c>
      <c r="CK28" s="40">
        <f>IFERROR(s_C*(up_Bv!J28+s_MLF_citrus)*s_IFCI_far_adj*s_CF_citrus,".")</f>
        <v>37914.59375</v>
      </c>
      <c r="CL28" s="40">
        <f>IFERROR(s_C*(up_Bv!K28+s_MLF_corn)*s_IFCO_far_adj*s_CF_corn,".")</f>
        <v>37914.59375</v>
      </c>
      <c r="CM28" s="40">
        <f>IFERROR(s_C*(up_Bv!L28+s_MLF_cucumber)*s_IFCU_far_adj*s_CF_cucumber,".")</f>
        <v>37914.59375</v>
      </c>
      <c r="CN28" s="40">
        <f>IFERROR(s_C*(up_Bv!M28+s_MLF_lettuce)*s_IFLE_far_adj*s_CF_lettuce,".")</f>
        <v>37914.59375</v>
      </c>
      <c r="CO28" s="40">
        <f>IFERROR(s_C*(up_Bv!N28+s_MLF_lima_bean)*s_IFLI_far_adj*s_CF_lima_bean,".")</f>
        <v>37914.59375</v>
      </c>
      <c r="CP28" s="40">
        <f>IFERROR(s_C*(up_Bv!O28+s_MLF_okra)*s_IFOK_far_adj*s_CF_okra,".")</f>
        <v>37914.59375</v>
      </c>
      <c r="CQ28" s="40">
        <f>IFERROR(s_C*(up_Bv!P28+s_MLF_onion)*s_IFON_far_adj*s_CF_onion,".")</f>
        <v>37914.59375</v>
      </c>
      <c r="CR28" s="40">
        <f>IFERROR(s_C*(up_Bv!Q28+s_MLF_peach)*s_IFPC_far_adj*s_CF_peach,".")</f>
        <v>37914.59375</v>
      </c>
      <c r="CS28" s="40">
        <f>IFERROR(s_C*(up_Bv!R28+s_MLF_pear)*s_IFPR_far_adj*s_CF_pear,".")</f>
        <v>37914.59375</v>
      </c>
      <c r="CT28" s="40">
        <f>IFERROR(s_C*(up_Bv!S28+s_MLF_peas)*s_IFPE_far_adj*s_CF_peas,".")</f>
        <v>37914.59375</v>
      </c>
      <c r="CU28" s="40">
        <f>IFERROR(s_C*(up_Bv!T28+s_MLF_peppers)*s_IFPP_far_adj*s_CF_peppers,".")</f>
        <v>37914.59375</v>
      </c>
      <c r="CV28" s="40">
        <f>IFERROR(s_C*(up_Bv!U28+s_MLF_potato)*s_IFPT_far_adj*s_CF_potato,".")</f>
        <v>37914.59375</v>
      </c>
      <c r="CW28" s="40">
        <f>IFERROR(s_C*(up_Bv!V28+s_MLF_pumpkin)*s_IFPU_far_adj*s_CF_pumpkin,".")</f>
        <v>37914.59375</v>
      </c>
      <c r="CX28" s="40">
        <f>IFERROR(s_C*(up_Bv!W28+s_MLF_snap_bean)*s_IFSN_far_adj*s_CF_snap_bean,".")</f>
        <v>37914.59375</v>
      </c>
      <c r="CY28" s="40">
        <f>IFERROR(s_C*(up_Bv!X28+s_MLF_strawberry)*s_IFST_far_adj*s_CF_strawberry,".")</f>
        <v>37914.59375</v>
      </c>
      <c r="CZ28" s="40">
        <f>IFERROR(s_C*(up_Bv!Y28+s_MLF_tomato)*s_IFTO_far_adj*s_CF_tomato,".")</f>
        <v>37914.59375</v>
      </c>
      <c r="DA28" s="40">
        <f>IFERROR(s_C*(up_Bv!Z28+s_MLF_rice)*s_IFRI_far_adj*s_CF_rice,".")</f>
        <v>37914.59375</v>
      </c>
      <c r="DB28" s="40">
        <f>IFERROR(s_C*(up_Bv!AA28+s_MLF_cereal)*s_IFCG_far_adj*s_CF_cereal,".")</f>
        <v>37914.59375</v>
      </c>
    </row>
    <row r="29" spans="1:106" ht="15" customHeight="1" x14ac:dyDescent="0.25">
      <c r="A29" s="44" t="s">
        <v>27</v>
      </c>
      <c r="B29" s="42" t="s">
        <v>1057</v>
      </c>
      <c r="C29" s="15">
        <f t="shared" si="1"/>
        <v>3.2968835384132272E-5</v>
      </c>
      <c r="D29" s="15">
        <f>IFERROR((up_dir!D29/(up_Bv!C29+s_MLF_apple)),".")</f>
        <v>1.3187534153652909E-4</v>
      </c>
      <c r="E29" s="15">
        <f>IFERROR((up_dir!E29/(up_Bv!D29+s_MLF_asparagus)),".")</f>
        <v>1.3187534153652909E-4</v>
      </c>
      <c r="F29" s="15">
        <f>IFERROR((up_dir!F29/(up_Bv!E29+s_MLF_beet)),".")</f>
        <v>1.3187534153652909E-4</v>
      </c>
      <c r="G29" s="15">
        <f>IFERROR((up_dir!G29/(up_Bv!F29+s_MLF_berries)),".")</f>
        <v>1.3187534153652909E-4</v>
      </c>
      <c r="H29" s="15">
        <f>IFERROR((up_dir!H29/(up_Bv!G29+s_MLF_broccoli)),".")</f>
        <v>1.3187534153652909E-4</v>
      </c>
      <c r="I29" s="15">
        <f>IFERROR((up_dir!I29/(up_Bv!H29+s_MLF_cabbage)),".")</f>
        <v>1.3187534153652909E-4</v>
      </c>
      <c r="J29" s="15">
        <f>IFERROR((up_dir!J29/(up_Bv!I29+s_MLF_carrot)),".")</f>
        <v>1.3187534153652909E-4</v>
      </c>
      <c r="K29" s="15">
        <f>IFERROR((up_dir!K29/(up_Bv!J29+s_MLF_citrus)),".")</f>
        <v>1.3187534153652909E-4</v>
      </c>
      <c r="L29" s="15">
        <f>IFERROR((up_dir!L29/(up_Bv!K29+s_MLF_corn)),".")</f>
        <v>1.3187534153652909E-4</v>
      </c>
      <c r="M29" s="15">
        <f>IFERROR((up_dir!M29/(up_Bv!L29+s_MLF_cucumber)),".")</f>
        <v>1.3187534153652909E-4</v>
      </c>
      <c r="N29" s="15">
        <f>IFERROR((up_dir!N29/(up_Bv!M29+s_MLF_lettuce)),".")</f>
        <v>1.3187534153652909E-4</v>
      </c>
      <c r="O29" s="15">
        <f>IFERROR((up_dir!O29/(up_Bv!N29+s_MLF_lima_bean)),".")</f>
        <v>1.3187534153652909E-4</v>
      </c>
      <c r="P29" s="15">
        <f>IFERROR((up_dir!P29/(up_Bv!O29+s_MLF_okra)),".")</f>
        <v>1.3187534153652909E-4</v>
      </c>
      <c r="Q29" s="15">
        <f>IFERROR((up_dir!Q29/(up_Bv!P29+s_MLF_onion)),".")</f>
        <v>1.3187534153652909E-4</v>
      </c>
      <c r="R29" s="15">
        <f>IFERROR((up_dir!R29/(up_Bv!Q29+s_MLF_peach)),".")</f>
        <v>1.3187534153652909E-4</v>
      </c>
      <c r="S29" s="15">
        <f>IFERROR((up_dir!S29/(up_Bv!R29+s_MLF_pear)),".")</f>
        <v>1.3187534153652909E-4</v>
      </c>
      <c r="T29" s="15">
        <f>IFERROR((up_dir!T29/(up_Bv!S29+s_MLF_peas)),".")</f>
        <v>1.3187534153652909E-4</v>
      </c>
      <c r="U29" s="15">
        <f>IFERROR((up_dir!U29/(up_Bv!T29+s_MLF_peppers)),".")</f>
        <v>1.3187534153652909E-4</v>
      </c>
      <c r="V29" s="15">
        <f>IFERROR((up_dir!V29/(up_Bv!U29+s_MLF_potato)),".")</f>
        <v>1.3187534153652909E-4</v>
      </c>
      <c r="W29" s="15">
        <f>IFERROR((up_dir!W29/(up_Bv!V29+s_MLF_pumpkin)),".")</f>
        <v>1.3187534153652909E-4</v>
      </c>
      <c r="X29" s="15">
        <f>IFERROR((up_dir!X29/(up_Bv!W29+s_MLF_snap_bean)),".")</f>
        <v>1.3187534153652909E-4</v>
      </c>
      <c r="Y29" s="15">
        <f>IFERROR((up_dir!Y29/(up_Bv!X29+s_MLF_strawberry)),".")</f>
        <v>1.3187534153652909E-4</v>
      </c>
      <c r="Z29" s="15">
        <f>IFERROR((up_dir!Z29/(up_Bv!Y29+s_MLF_tomato)),".")</f>
        <v>1.3187534153652909E-4</v>
      </c>
      <c r="AA29" s="15">
        <f>IFERROR((up_dir!AA29/(up_Bv!Z29+s_MLF_rice)),".")</f>
        <v>1.3187534153652909E-4</v>
      </c>
      <c r="AB29" s="15">
        <f>IFERROR((up_dir!AB29/(up_Bv!AA29+s_MLF_cereal)),".")</f>
        <v>1.3187534153652909E-4</v>
      </c>
      <c r="AC29" s="40">
        <f t="shared" si="0"/>
        <v>151658.375</v>
      </c>
      <c r="AD29" s="40">
        <f>s_C*(up_Bv!C29+s_MLF_apple)*s_IFAP_res_adj*s_CF_apple</f>
        <v>37914.59375</v>
      </c>
      <c r="AE29" s="40">
        <f>s_C*(up_Bv!D29+s_MLF_asparagus)*s_IFAS_res_adj*s_CF_asparagus</f>
        <v>37914.59375</v>
      </c>
      <c r="AF29" s="40">
        <f>s_C*(up_Bv!E29+s_MLF_beet)*s_IFBT_res_adj*s_CF_beet</f>
        <v>37914.59375</v>
      </c>
      <c r="AG29" s="40">
        <f>s_C*(up_Bv!F29+s_MLF_berries)*s_IFBE_res_adj*s_CF_berries</f>
        <v>37914.59375</v>
      </c>
      <c r="AH29" s="40">
        <f>s_C*(up_Bv!G29+s_MLF_broccoli)*s_IFBR_res_adj*s_CF_broccoli</f>
        <v>37914.59375</v>
      </c>
      <c r="AI29" s="40">
        <f>s_C*(up_Bv!H29+s_MLF_cabbage)*s_IFCB_res_adj*s_CF_cabbage</f>
        <v>37914.59375</v>
      </c>
      <c r="AJ29" s="40">
        <f>s_C*(up_Bv!I29+s_MLF_carrot)*s_IFCR_res_adj*s_CF_carrot</f>
        <v>37914.59375</v>
      </c>
      <c r="AK29" s="40">
        <f>s_C*(up_Bv!J29+s_MLF_citrus)*s_IFCI_res_adj*s_CF_citrus</f>
        <v>37914.59375</v>
      </c>
      <c r="AL29" s="40">
        <f>s_C*(up_Bv!K29+s_MLF_corn)*s_IFCO_res_adj*s_CF_corn</f>
        <v>37914.59375</v>
      </c>
      <c r="AM29" s="40">
        <f>s_C*(up_Bv!L29+s_MLF_cucumber)*s_IFCU_res_adj*s_CF_cucumber</f>
        <v>37914.59375</v>
      </c>
      <c r="AN29" s="40">
        <f>s_C*(up_Bv!M29+s_MLF_lettuce)*s_IFLE_res_adj*s_CF_lettuce</f>
        <v>37914.59375</v>
      </c>
      <c r="AO29" s="40">
        <f>s_C*(up_Bv!N29+s_MLF_lima_bean)*s_IFLI_res_adj*s_CF_lima_bean</f>
        <v>37914.59375</v>
      </c>
      <c r="AP29" s="40">
        <f>s_C*(up_Bv!O29+s_MLF_okra)*s_IFOK_res_adj*s_CF_okra</f>
        <v>37914.59375</v>
      </c>
      <c r="AQ29" s="40">
        <f>s_C*(up_Bv!P29+s_MLF_onion)*s_IFON_res_adj*s_CF_onion</f>
        <v>37914.59375</v>
      </c>
      <c r="AR29" s="40">
        <f>s_C*(up_Bv!Q29+s_MLF_peach)*s_IFPC_res_adj*s_CF_peach</f>
        <v>37914.59375</v>
      </c>
      <c r="AS29" s="40">
        <f>s_C*(up_Bv!R29+s_MLF_pear)*s_IFPR_res_adj*s_CF_pear</f>
        <v>37914.59375</v>
      </c>
      <c r="AT29" s="40">
        <f>s_C*(up_Bv!S29+s_MLF_peas)*s_IFPE_res_adj*s_CF_peas</f>
        <v>37914.59375</v>
      </c>
      <c r="AU29" s="40">
        <f>s_C*(up_Bv!T29+s_MLF_peppers)*s_IFPP_res_adj*s_CF_peppers</f>
        <v>37914.59375</v>
      </c>
      <c r="AV29" s="40">
        <f>s_C*(up_Bv!U29+s_MLF_potato)*s_IFPT_res_adj*s_CF_potato</f>
        <v>37914.59375</v>
      </c>
      <c r="AW29" s="40">
        <f>s_C*(up_Bv!V29+s_MLF_pumpkin)*s_IFPU_res_adj*s_CF_pumpkin</f>
        <v>37914.59375</v>
      </c>
      <c r="AX29" s="40">
        <f>s_C*(up_Bv!W29+s_MLF_snap_bean)*s_IFSN_res_adj*s_CF_snap_bean</f>
        <v>37914.59375</v>
      </c>
      <c r="AY29" s="40">
        <f>s_C*(up_Bv!X29+s_MLF_strawberry)*s_IFST_res_adj*s_CF_strawberry</f>
        <v>37914.59375</v>
      </c>
      <c r="AZ29" s="40">
        <f>s_C*(up_Bv!Y29+s_MLF_tomato)*s_IFTO_res_adj*s_CF_tomato</f>
        <v>37914.59375</v>
      </c>
      <c r="BA29" s="40">
        <f>s_C*(up_Bv!Z29+s_MLF_rice)*s_IFRI_res_adj*s_CF_rice</f>
        <v>37914.59375</v>
      </c>
      <c r="BB29" s="40">
        <f>s_C*(up_Bv!AA29+s_MLF_cereal)*s_IFCG_res_adj*s_CF_cereal</f>
        <v>37914.59375</v>
      </c>
      <c r="BC29" s="15">
        <f t="shared" si="2"/>
        <v>3.2968835384132272E-5</v>
      </c>
      <c r="BD29" s="15">
        <f>IFERROR((up_dir!AD29/(up_Bv!C29+s_MLF_apple)),".")</f>
        <v>1.3187534153652909E-4</v>
      </c>
      <c r="BE29" s="15">
        <f>IFERROR((up_dir!AE29/(up_Bv!D29+s_MLF_asparagus)),".")</f>
        <v>1.3187534153652909E-4</v>
      </c>
      <c r="BF29" s="15">
        <f>IFERROR((up_dir!AF29/(up_Bv!E29+s_MLF_beet)),".")</f>
        <v>1.3187534153652909E-4</v>
      </c>
      <c r="BG29" s="15">
        <f>IFERROR((up_dir!AG29/(up_Bv!F29+s_MLF_berries)),".")</f>
        <v>1.3187534153652909E-4</v>
      </c>
      <c r="BH29" s="15">
        <f>IFERROR((up_dir!AH29/(up_Bv!G29+s_MLF_broccoli)),".")</f>
        <v>1.3187534153652909E-4</v>
      </c>
      <c r="BI29" s="15">
        <f>IFERROR((up_dir!AI29/(up_Bv!H29+s_MLF_cabbage)),".")</f>
        <v>1.3187534153652909E-4</v>
      </c>
      <c r="BJ29" s="15">
        <f>IFERROR((up_dir!AJ29/(up_Bv!I29+s_MLF_carrot)),".")</f>
        <v>1.3187534153652909E-4</v>
      </c>
      <c r="BK29" s="15">
        <f>IFERROR((up_dir!AK29/(up_Bv!J29+s_MLF_citrus)),".")</f>
        <v>1.3187534153652909E-4</v>
      </c>
      <c r="BL29" s="15">
        <f>IFERROR((up_dir!AL29/(up_Bv!K29+s_MLF_corn)),".")</f>
        <v>1.3187534153652909E-4</v>
      </c>
      <c r="BM29" s="15">
        <f>IFERROR((up_dir!AM29/(up_Bv!L29+s_MLF_cucumber)),".")</f>
        <v>1.3187534153652909E-4</v>
      </c>
      <c r="BN29" s="15">
        <f>IFERROR((up_dir!AN29/(up_Bv!M29+s_MLF_lettuce)),".")</f>
        <v>1.3187534153652909E-4</v>
      </c>
      <c r="BO29" s="15">
        <f>IFERROR((up_dir!AO29/(up_Bv!N29+s_MLF_lima_bean)),".")</f>
        <v>1.3187534153652909E-4</v>
      </c>
      <c r="BP29" s="15">
        <f>IFERROR((up_dir!AP29/(up_Bv!O29+s_MLF_okra)),".")</f>
        <v>1.3187534153652909E-4</v>
      </c>
      <c r="BQ29" s="15">
        <f>IFERROR((up_dir!AQ29/(up_Bv!P29+s_MLF_onion)),".")</f>
        <v>1.3187534153652909E-4</v>
      </c>
      <c r="BR29" s="15">
        <f>IFERROR((up_dir!AR29/(up_Bv!Q29+s_MLF_peach)),".")</f>
        <v>1.3187534153652909E-4</v>
      </c>
      <c r="BS29" s="15">
        <f>IFERROR((up_dir!AS29/(up_Bv!R29+s_MLF_pear)),".")</f>
        <v>1.3187534153652909E-4</v>
      </c>
      <c r="BT29" s="15">
        <f>IFERROR((up_dir!AT29/(up_Bv!S29+s_MLF_peas)),".")</f>
        <v>1.3187534153652909E-4</v>
      </c>
      <c r="BU29" s="15">
        <f>IFERROR((up_dir!AU29/(up_Bv!T29+s_MLF_peppers)),".")</f>
        <v>1.3187534153652909E-4</v>
      </c>
      <c r="BV29" s="15">
        <f>IFERROR((up_dir!AV29/(up_Bv!U29+s_MLF_potato)),".")</f>
        <v>1.3187534153652909E-4</v>
      </c>
      <c r="BW29" s="15">
        <f>IFERROR((up_dir!AW29/(up_Bv!V29+s_MLF_pumpkin)),".")</f>
        <v>1.3187534153652909E-4</v>
      </c>
      <c r="BX29" s="15">
        <f>IFERROR((up_dir!AX29/(up_Bv!W29+s_MLF_snap_bean)),".")</f>
        <v>1.3187534153652909E-4</v>
      </c>
      <c r="BY29" s="15">
        <f>IFERROR((up_dir!AY29/(up_Bv!X29+s_MLF_strawberry)),".")</f>
        <v>1.3187534153652909E-4</v>
      </c>
      <c r="BZ29" s="15">
        <f>IFERROR((up_dir!AZ29/(up_Bv!Y29+s_MLF_tomato)),".")</f>
        <v>1.3187534153652909E-4</v>
      </c>
      <c r="CA29" s="15">
        <f>IFERROR((up_dir!BA29/(up_Bv!Z29+s_MLF_rice)),".")</f>
        <v>1.3187534153652909E-4</v>
      </c>
      <c r="CB29" s="15">
        <f>IFERROR((up_dir!BB29/(up_Bv!AA29+s_MLF_cereal)),".")</f>
        <v>1.3187534153652909E-4</v>
      </c>
      <c r="CC29" s="40">
        <f t="shared" si="3"/>
        <v>151658.375</v>
      </c>
      <c r="CD29" s="40">
        <f>IFERROR(s_C*(up_Bv!C29+s_MLF_apple)*s_IFAP_far_adj*s_CF_apple,".")</f>
        <v>37914.59375</v>
      </c>
      <c r="CE29" s="40">
        <f>IFERROR(s_C*(up_Bv!D29+s_MLF_asparagus)*s_IFAS_far_adj*s_CF_asparagus,".")</f>
        <v>37914.59375</v>
      </c>
      <c r="CF29" s="40">
        <f>IFERROR(s_C*(up_Bv!E29+s_MLF_beet)*s_IFBT_far_adj*s_CF_beet,".")</f>
        <v>37914.59375</v>
      </c>
      <c r="CG29" s="40">
        <f>IFERROR(s_C*(up_Bv!F29+s_MLF_berries)*s_IFBR_far_adj*s_CF_berries,".")</f>
        <v>37914.59375</v>
      </c>
      <c r="CH29" s="40">
        <f>IFERROR(s_C*(up_Bv!G29+s_MLF_broccoli)*s_IFBR_far_adj*s_CF_broccoli,".")</f>
        <v>37914.59375</v>
      </c>
      <c r="CI29" s="40">
        <f>IFERROR(s_C*(up_Bv!H29+s_MLF_cabbage)*s_IFCB_far_adj*s_CF_cabbage,".")</f>
        <v>37914.59375</v>
      </c>
      <c r="CJ29" s="40">
        <f>IFERROR(s_C*(up_Bv!I29+s_MLF_carrot)*s_IFCR_far_adj*s_CF_carrot,".")</f>
        <v>37914.59375</v>
      </c>
      <c r="CK29" s="40">
        <f>IFERROR(s_C*(up_Bv!J29+s_MLF_citrus)*s_IFCI_far_adj*s_CF_citrus,".")</f>
        <v>37914.59375</v>
      </c>
      <c r="CL29" s="40">
        <f>IFERROR(s_C*(up_Bv!K29+s_MLF_corn)*s_IFCO_far_adj*s_CF_corn,".")</f>
        <v>37914.59375</v>
      </c>
      <c r="CM29" s="40">
        <f>IFERROR(s_C*(up_Bv!L29+s_MLF_cucumber)*s_IFCU_far_adj*s_CF_cucumber,".")</f>
        <v>37914.59375</v>
      </c>
      <c r="CN29" s="40">
        <f>IFERROR(s_C*(up_Bv!M29+s_MLF_lettuce)*s_IFLE_far_adj*s_CF_lettuce,".")</f>
        <v>37914.59375</v>
      </c>
      <c r="CO29" s="40">
        <f>IFERROR(s_C*(up_Bv!N29+s_MLF_lima_bean)*s_IFLI_far_adj*s_CF_lima_bean,".")</f>
        <v>37914.59375</v>
      </c>
      <c r="CP29" s="40">
        <f>IFERROR(s_C*(up_Bv!O29+s_MLF_okra)*s_IFOK_far_adj*s_CF_okra,".")</f>
        <v>37914.59375</v>
      </c>
      <c r="CQ29" s="40">
        <f>IFERROR(s_C*(up_Bv!P29+s_MLF_onion)*s_IFON_far_adj*s_CF_onion,".")</f>
        <v>37914.59375</v>
      </c>
      <c r="CR29" s="40">
        <f>IFERROR(s_C*(up_Bv!Q29+s_MLF_peach)*s_IFPC_far_adj*s_CF_peach,".")</f>
        <v>37914.59375</v>
      </c>
      <c r="CS29" s="40">
        <f>IFERROR(s_C*(up_Bv!R29+s_MLF_pear)*s_IFPR_far_adj*s_CF_pear,".")</f>
        <v>37914.59375</v>
      </c>
      <c r="CT29" s="40">
        <f>IFERROR(s_C*(up_Bv!S29+s_MLF_peas)*s_IFPE_far_adj*s_CF_peas,".")</f>
        <v>37914.59375</v>
      </c>
      <c r="CU29" s="40">
        <f>IFERROR(s_C*(up_Bv!T29+s_MLF_peppers)*s_IFPP_far_adj*s_CF_peppers,".")</f>
        <v>37914.59375</v>
      </c>
      <c r="CV29" s="40">
        <f>IFERROR(s_C*(up_Bv!U29+s_MLF_potato)*s_IFPT_far_adj*s_CF_potato,".")</f>
        <v>37914.59375</v>
      </c>
      <c r="CW29" s="40">
        <f>IFERROR(s_C*(up_Bv!V29+s_MLF_pumpkin)*s_IFPU_far_adj*s_CF_pumpkin,".")</f>
        <v>37914.59375</v>
      </c>
      <c r="CX29" s="40">
        <f>IFERROR(s_C*(up_Bv!W29+s_MLF_snap_bean)*s_IFSN_far_adj*s_CF_snap_bean,".")</f>
        <v>37914.59375</v>
      </c>
      <c r="CY29" s="40">
        <f>IFERROR(s_C*(up_Bv!X29+s_MLF_strawberry)*s_IFST_far_adj*s_CF_strawberry,".")</f>
        <v>37914.59375</v>
      </c>
      <c r="CZ29" s="40">
        <f>IFERROR(s_C*(up_Bv!Y29+s_MLF_tomato)*s_IFTO_far_adj*s_CF_tomato,".")</f>
        <v>37914.59375</v>
      </c>
      <c r="DA29" s="40">
        <f>IFERROR(s_C*(up_Bv!Z29+s_MLF_rice)*s_IFRI_far_adj*s_CF_rice,".")</f>
        <v>37914.59375</v>
      </c>
      <c r="DB29" s="40">
        <f>IFERROR(s_C*(up_Bv!AA29+s_MLF_cereal)*s_IFCG_far_adj*s_CF_cereal,".")</f>
        <v>37914.59375</v>
      </c>
    </row>
    <row r="30" spans="1:106" ht="15" customHeight="1" x14ac:dyDescent="0.25">
      <c r="A30" s="44" t="s">
        <v>28</v>
      </c>
      <c r="B30" s="42" t="s">
        <v>1057</v>
      </c>
      <c r="C30" s="15">
        <f t="shared" si="1"/>
        <v>3.2968835384132272E-5</v>
      </c>
      <c r="D30" s="15">
        <f>IFERROR((up_dir!D30/(up_Bv!C30+s_MLF_apple)),".")</f>
        <v>1.3187534153652909E-4</v>
      </c>
      <c r="E30" s="15">
        <f>IFERROR((up_dir!E30/(up_Bv!D30+s_MLF_asparagus)),".")</f>
        <v>1.3187534153652909E-4</v>
      </c>
      <c r="F30" s="15">
        <f>IFERROR((up_dir!F30/(up_Bv!E30+s_MLF_beet)),".")</f>
        <v>1.3187534153652909E-4</v>
      </c>
      <c r="G30" s="15">
        <f>IFERROR((up_dir!G30/(up_Bv!F30+s_MLF_berries)),".")</f>
        <v>1.3187534153652909E-4</v>
      </c>
      <c r="H30" s="15">
        <f>IFERROR((up_dir!H30/(up_Bv!G30+s_MLF_broccoli)),".")</f>
        <v>1.3187534153652909E-4</v>
      </c>
      <c r="I30" s="15">
        <f>IFERROR((up_dir!I30/(up_Bv!H30+s_MLF_cabbage)),".")</f>
        <v>1.3187534153652909E-4</v>
      </c>
      <c r="J30" s="15">
        <f>IFERROR((up_dir!J30/(up_Bv!I30+s_MLF_carrot)),".")</f>
        <v>1.3187534153652909E-4</v>
      </c>
      <c r="K30" s="15">
        <f>IFERROR((up_dir!K30/(up_Bv!J30+s_MLF_citrus)),".")</f>
        <v>1.3187534153652909E-4</v>
      </c>
      <c r="L30" s="15">
        <f>IFERROR((up_dir!L30/(up_Bv!K30+s_MLF_corn)),".")</f>
        <v>1.3187534153652909E-4</v>
      </c>
      <c r="M30" s="15">
        <f>IFERROR((up_dir!M30/(up_Bv!L30+s_MLF_cucumber)),".")</f>
        <v>1.3187534153652909E-4</v>
      </c>
      <c r="N30" s="15">
        <f>IFERROR((up_dir!N30/(up_Bv!M30+s_MLF_lettuce)),".")</f>
        <v>1.3187534153652909E-4</v>
      </c>
      <c r="O30" s="15">
        <f>IFERROR((up_dir!O30/(up_Bv!N30+s_MLF_lima_bean)),".")</f>
        <v>1.3187534153652909E-4</v>
      </c>
      <c r="P30" s="15">
        <f>IFERROR((up_dir!P30/(up_Bv!O30+s_MLF_okra)),".")</f>
        <v>1.3187534153652909E-4</v>
      </c>
      <c r="Q30" s="15">
        <f>IFERROR((up_dir!Q30/(up_Bv!P30+s_MLF_onion)),".")</f>
        <v>1.3187534153652909E-4</v>
      </c>
      <c r="R30" s="15">
        <f>IFERROR((up_dir!R30/(up_Bv!Q30+s_MLF_peach)),".")</f>
        <v>1.3187534153652909E-4</v>
      </c>
      <c r="S30" s="15">
        <f>IFERROR((up_dir!S30/(up_Bv!R30+s_MLF_pear)),".")</f>
        <v>1.3187534153652909E-4</v>
      </c>
      <c r="T30" s="15">
        <f>IFERROR((up_dir!T30/(up_Bv!S30+s_MLF_peas)),".")</f>
        <v>1.3187534153652909E-4</v>
      </c>
      <c r="U30" s="15">
        <f>IFERROR((up_dir!U30/(up_Bv!T30+s_MLF_peppers)),".")</f>
        <v>1.3187534153652909E-4</v>
      </c>
      <c r="V30" s="15">
        <f>IFERROR((up_dir!V30/(up_Bv!U30+s_MLF_potato)),".")</f>
        <v>1.3187534153652909E-4</v>
      </c>
      <c r="W30" s="15">
        <f>IFERROR((up_dir!W30/(up_Bv!V30+s_MLF_pumpkin)),".")</f>
        <v>1.3187534153652909E-4</v>
      </c>
      <c r="X30" s="15">
        <f>IFERROR((up_dir!X30/(up_Bv!W30+s_MLF_snap_bean)),".")</f>
        <v>1.3187534153652909E-4</v>
      </c>
      <c r="Y30" s="15">
        <f>IFERROR((up_dir!Y30/(up_Bv!X30+s_MLF_strawberry)),".")</f>
        <v>1.3187534153652909E-4</v>
      </c>
      <c r="Z30" s="15">
        <f>IFERROR((up_dir!Z30/(up_Bv!Y30+s_MLF_tomato)),".")</f>
        <v>1.3187534153652909E-4</v>
      </c>
      <c r="AA30" s="15">
        <f>IFERROR((up_dir!AA30/(up_Bv!Z30+s_MLF_rice)),".")</f>
        <v>1.3187534153652909E-4</v>
      </c>
      <c r="AB30" s="15">
        <f>IFERROR((up_dir!AB30/(up_Bv!AA30+s_MLF_cereal)),".")</f>
        <v>1.3187534153652909E-4</v>
      </c>
      <c r="AC30" s="40">
        <f t="shared" si="0"/>
        <v>151658.375</v>
      </c>
      <c r="AD30" s="40">
        <f>s_C*(up_Bv!C30+s_MLF_apple)*s_IFAP_res_adj*s_CF_apple</f>
        <v>37914.59375</v>
      </c>
      <c r="AE30" s="40">
        <f>s_C*(up_Bv!D30+s_MLF_asparagus)*s_IFAS_res_adj*s_CF_asparagus</f>
        <v>37914.59375</v>
      </c>
      <c r="AF30" s="40">
        <f>s_C*(up_Bv!E30+s_MLF_beet)*s_IFBT_res_adj*s_CF_beet</f>
        <v>37914.59375</v>
      </c>
      <c r="AG30" s="40">
        <f>s_C*(up_Bv!F30+s_MLF_berries)*s_IFBE_res_adj*s_CF_berries</f>
        <v>37914.59375</v>
      </c>
      <c r="AH30" s="40">
        <f>s_C*(up_Bv!G30+s_MLF_broccoli)*s_IFBR_res_adj*s_CF_broccoli</f>
        <v>37914.59375</v>
      </c>
      <c r="AI30" s="40">
        <f>s_C*(up_Bv!H30+s_MLF_cabbage)*s_IFCB_res_adj*s_CF_cabbage</f>
        <v>37914.59375</v>
      </c>
      <c r="AJ30" s="40">
        <f>s_C*(up_Bv!I30+s_MLF_carrot)*s_IFCR_res_adj*s_CF_carrot</f>
        <v>37914.59375</v>
      </c>
      <c r="AK30" s="40">
        <f>s_C*(up_Bv!J30+s_MLF_citrus)*s_IFCI_res_adj*s_CF_citrus</f>
        <v>37914.59375</v>
      </c>
      <c r="AL30" s="40">
        <f>s_C*(up_Bv!K30+s_MLF_corn)*s_IFCO_res_adj*s_CF_corn</f>
        <v>37914.59375</v>
      </c>
      <c r="AM30" s="40">
        <f>s_C*(up_Bv!L30+s_MLF_cucumber)*s_IFCU_res_adj*s_CF_cucumber</f>
        <v>37914.59375</v>
      </c>
      <c r="AN30" s="40">
        <f>s_C*(up_Bv!M30+s_MLF_lettuce)*s_IFLE_res_adj*s_CF_lettuce</f>
        <v>37914.59375</v>
      </c>
      <c r="AO30" s="40">
        <f>s_C*(up_Bv!N30+s_MLF_lima_bean)*s_IFLI_res_adj*s_CF_lima_bean</f>
        <v>37914.59375</v>
      </c>
      <c r="AP30" s="40">
        <f>s_C*(up_Bv!O30+s_MLF_okra)*s_IFOK_res_adj*s_CF_okra</f>
        <v>37914.59375</v>
      </c>
      <c r="AQ30" s="40">
        <f>s_C*(up_Bv!P30+s_MLF_onion)*s_IFON_res_adj*s_CF_onion</f>
        <v>37914.59375</v>
      </c>
      <c r="AR30" s="40">
        <f>s_C*(up_Bv!Q30+s_MLF_peach)*s_IFPC_res_adj*s_CF_peach</f>
        <v>37914.59375</v>
      </c>
      <c r="AS30" s="40">
        <f>s_C*(up_Bv!R30+s_MLF_pear)*s_IFPR_res_adj*s_CF_pear</f>
        <v>37914.59375</v>
      </c>
      <c r="AT30" s="40">
        <f>s_C*(up_Bv!S30+s_MLF_peas)*s_IFPE_res_adj*s_CF_peas</f>
        <v>37914.59375</v>
      </c>
      <c r="AU30" s="40">
        <f>s_C*(up_Bv!T30+s_MLF_peppers)*s_IFPP_res_adj*s_CF_peppers</f>
        <v>37914.59375</v>
      </c>
      <c r="AV30" s="40">
        <f>s_C*(up_Bv!U30+s_MLF_potato)*s_IFPT_res_adj*s_CF_potato</f>
        <v>37914.59375</v>
      </c>
      <c r="AW30" s="40">
        <f>s_C*(up_Bv!V30+s_MLF_pumpkin)*s_IFPU_res_adj*s_CF_pumpkin</f>
        <v>37914.59375</v>
      </c>
      <c r="AX30" s="40">
        <f>s_C*(up_Bv!W30+s_MLF_snap_bean)*s_IFSN_res_adj*s_CF_snap_bean</f>
        <v>37914.59375</v>
      </c>
      <c r="AY30" s="40">
        <f>s_C*(up_Bv!X30+s_MLF_strawberry)*s_IFST_res_adj*s_CF_strawberry</f>
        <v>37914.59375</v>
      </c>
      <c r="AZ30" s="40">
        <f>s_C*(up_Bv!Y30+s_MLF_tomato)*s_IFTO_res_adj*s_CF_tomato</f>
        <v>37914.59375</v>
      </c>
      <c r="BA30" s="40">
        <f>s_C*(up_Bv!Z30+s_MLF_rice)*s_IFRI_res_adj*s_CF_rice</f>
        <v>37914.59375</v>
      </c>
      <c r="BB30" s="40">
        <f>s_C*(up_Bv!AA30+s_MLF_cereal)*s_IFCG_res_adj*s_CF_cereal</f>
        <v>37914.59375</v>
      </c>
      <c r="BC30" s="15">
        <f t="shared" si="2"/>
        <v>3.2968835384132272E-5</v>
      </c>
      <c r="BD30" s="15">
        <f>IFERROR((up_dir!AD30/(up_Bv!C30+s_MLF_apple)),".")</f>
        <v>1.3187534153652909E-4</v>
      </c>
      <c r="BE30" s="15">
        <f>IFERROR((up_dir!AE30/(up_Bv!D30+s_MLF_asparagus)),".")</f>
        <v>1.3187534153652909E-4</v>
      </c>
      <c r="BF30" s="15">
        <f>IFERROR((up_dir!AF30/(up_Bv!E30+s_MLF_beet)),".")</f>
        <v>1.3187534153652909E-4</v>
      </c>
      <c r="BG30" s="15">
        <f>IFERROR((up_dir!AG30/(up_Bv!F30+s_MLF_berries)),".")</f>
        <v>1.3187534153652909E-4</v>
      </c>
      <c r="BH30" s="15">
        <f>IFERROR((up_dir!AH30/(up_Bv!G30+s_MLF_broccoli)),".")</f>
        <v>1.3187534153652909E-4</v>
      </c>
      <c r="BI30" s="15">
        <f>IFERROR((up_dir!AI30/(up_Bv!H30+s_MLF_cabbage)),".")</f>
        <v>1.3187534153652909E-4</v>
      </c>
      <c r="BJ30" s="15">
        <f>IFERROR((up_dir!AJ30/(up_Bv!I30+s_MLF_carrot)),".")</f>
        <v>1.3187534153652909E-4</v>
      </c>
      <c r="BK30" s="15">
        <f>IFERROR((up_dir!AK30/(up_Bv!J30+s_MLF_citrus)),".")</f>
        <v>1.3187534153652909E-4</v>
      </c>
      <c r="BL30" s="15">
        <f>IFERROR((up_dir!AL30/(up_Bv!K30+s_MLF_corn)),".")</f>
        <v>1.3187534153652909E-4</v>
      </c>
      <c r="BM30" s="15">
        <f>IFERROR((up_dir!AM30/(up_Bv!L30+s_MLF_cucumber)),".")</f>
        <v>1.3187534153652909E-4</v>
      </c>
      <c r="BN30" s="15">
        <f>IFERROR((up_dir!AN30/(up_Bv!M30+s_MLF_lettuce)),".")</f>
        <v>1.3187534153652909E-4</v>
      </c>
      <c r="BO30" s="15">
        <f>IFERROR((up_dir!AO30/(up_Bv!N30+s_MLF_lima_bean)),".")</f>
        <v>1.3187534153652909E-4</v>
      </c>
      <c r="BP30" s="15">
        <f>IFERROR((up_dir!AP30/(up_Bv!O30+s_MLF_okra)),".")</f>
        <v>1.3187534153652909E-4</v>
      </c>
      <c r="BQ30" s="15">
        <f>IFERROR((up_dir!AQ30/(up_Bv!P30+s_MLF_onion)),".")</f>
        <v>1.3187534153652909E-4</v>
      </c>
      <c r="BR30" s="15">
        <f>IFERROR((up_dir!AR30/(up_Bv!Q30+s_MLF_peach)),".")</f>
        <v>1.3187534153652909E-4</v>
      </c>
      <c r="BS30" s="15">
        <f>IFERROR((up_dir!AS30/(up_Bv!R30+s_MLF_pear)),".")</f>
        <v>1.3187534153652909E-4</v>
      </c>
      <c r="BT30" s="15">
        <f>IFERROR((up_dir!AT30/(up_Bv!S30+s_MLF_peas)),".")</f>
        <v>1.3187534153652909E-4</v>
      </c>
      <c r="BU30" s="15">
        <f>IFERROR((up_dir!AU30/(up_Bv!T30+s_MLF_peppers)),".")</f>
        <v>1.3187534153652909E-4</v>
      </c>
      <c r="BV30" s="15">
        <f>IFERROR((up_dir!AV30/(up_Bv!U30+s_MLF_potato)),".")</f>
        <v>1.3187534153652909E-4</v>
      </c>
      <c r="BW30" s="15">
        <f>IFERROR((up_dir!AW30/(up_Bv!V30+s_MLF_pumpkin)),".")</f>
        <v>1.3187534153652909E-4</v>
      </c>
      <c r="BX30" s="15">
        <f>IFERROR((up_dir!AX30/(up_Bv!W30+s_MLF_snap_bean)),".")</f>
        <v>1.3187534153652909E-4</v>
      </c>
      <c r="BY30" s="15">
        <f>IFERROR((up_dir!AY30/(up_Bv!X30+s_MLF_strawberry)),".")</f>
        <v>1.3187534153652909E-4</v>
      </c>
      <c r="BZ30" s="15">
        <f>IFERROR((up_dir!AZ30/(up_Bv!Y30+s_MLF_tomato)),".")</f>
        <v>1.3187534153652909E-4</v>
      </c>
      <c r="CA30" s="15">
        <f>IFERROR((up_dir!BA30/(up_Bv!Z30+s_MLF_rice)),".")</f>
        <v>1.3187534153652909E-4</v>
      </c>
      <c r="CB30" s="15">
        <f>IFERROR((up_dir!BB30/(up_Bv!AA30+s_MLF_cereal)),".")</f>
        <v>1.3187534153652909E-4</v>
      </c>
      <c r="CC30" s="40">
        <f t="shared" si="3"/>
        <v>151658.375</v>
      </c>
      <c r="CD30" s="40">
        <f>IFERROR(s_C*(up_Bv!C30+s_MLF_apple)*s_IFAP_far_adj*s_CF_apple,".")</f>
        <v>37914.59375</v>
      </c>
      <c r="CE30" s="40">
        <f>IFERROR(s_C*(up_Bv!D30+s_MLF_asparagus)*s_IFAS_far_adj*s_CF_asparagus,".")</f>
        <v>37914.59375</v>
      </c>
      <c r="CF30" s="40">
        <f>IFERROR(s_C*(up_Bv!E30+s_MLF_beet)*s_IFBT_far_adj*s_CF_beet,".")</f>
        <v>37914.59375</v>
      </c>
      <c r="CG30" s="40">
        <f>IFERROR(s_C*(up_Bv!F30+s_MLF_berries)*s_IFBR_far_adj*s_CF_berries,".")</f>
        <v>37914.59375</v>
      </c>
      <c r="CH30" s="40">
        <f>IFERROR(s_C*(up_Bv!G30+s_MLF_broccoli)*s_IFBR_far_adj*s_CF_broccoli,".")</f>
        <v>37914.59375</v>
      </c>
      <c r="CI30" s="40">
        <f>IFERROR(s_C*(up_Bv!H30+s_MLF_cabbage)*s_IFCB_far_adj*s_CF_cabbage,".")</f>
        <v>37914.59375</v>
      </c>
      <c r="CJ30" s="40">
        <f>IFERROR(s_C*(up_Bv!I30+s_MLF_carrot)*s_IFCR_far_adj*s_CF_carrot,".")</f>
        <v>37914.59375</v>
      </c>
      <c r="CK30" s="40">
        <f>IFERROR(s_C*(up_Bv!J30+s_MLF_citrus)*s_IFCI_far_adj*s_CF_citrus,".")</f>
        <v>37914.59375</v>
      </c>
      <c r="CL30" s="40">
        <f>IFERROR(s_C*(up_Bv!K30+s_MLF_corn)*s_IFCO_far_adj*s_CF_corn,".")</f>
        <v>37914.59375</v>
      </c>
      <c r="CM30" s="40">
        <f>IFERROR(s_C*(up_Bv!L30+s_MLF_cucumber)*s_IFCU_far_adj*s_CF_cucumber,".")</f>
        <v>37914.59375</v>
      </c>
      <c r="CN30" s="40">
        <f>IFERROR(s_C*(up_Bv!M30+s_MLF_lettuce)*s_IFLE_far_adj*s_CF_lettuce,".")</f>
        <v>37914.59375</v>
      </c>
      <c r="CO30" s="40">
        <f>IFERROR(s_C*(up_Bv!N30+s_MLF_lima_bean)*s_IFLI_far_adj*s_CF_lima_bean,".")</f>
        <v>37914.59375</v>
      </c>
      <c r="CP30" s="40">
        <f>IFERROR(s_C*(up_Bv!O30+s_MLF_okra)*s_IFOK_far_adj*s_CF_okra,".")</f>
        <v>37914.59375</v>
      </c>
      <c r="CQ30" s="40">
        <f>IFERROR(s_C*(up_Bv!P30+s_MLF_onion)*s_IFON_far_adj*s_CF_onion,".")</f>
        <v>37914.59375</v>
      </c>
      <c r="CR30" s="40">
        <f>IFERROR(s_C*(up_Bv!Q30+s_MLF_peach)*s_IFPC_far_adj*s_CF_peach,".")</f>
        <v>37914.59375</v>
      </c>
      <c r="CS30" s="40">
        <f>IFERROR(s_C*(up_Bv!R30+s_MLF_pear)*s_IFPR_far_adj*s_CF_pear,".")</f>
        <v>37914.59375</v>
      </c>
      <c r="CT30" s="40">
        <f>IFERROR(s_C*(up_Bv!S30+s_MLF_peas)*s_IFPE_far_adj*s_CF_peas,".")</f>
        <v>37914.59375</v>
      </c>
      <c r="CU30" s="40">
        <f>IFERROR(s_C*(up_Bv!T30+s_MLF_peppers)*s_IFPP_far_adj*s_CF_peppers,".")</f>
        <v>37914.59375</v>
      </c>
      <c r="CV30" s="40">
        <f>IFERROR(s_C*(up_Bv!U30+s_MLF_potato)*s_IFPT_far_adj*s_CF_potato,".")</f>
        <v>37914.59375</v>
      </c>
      <c r="CW30" s="40">
        <f>IFERROR(s_C*(up_Bv!V30+s_MLF_pumpkin)*s_IFPU_far_adj*s_CF_pumpkin,".")</f>
        <v>37914.59375</v>
      </c>
      <c r="CX30" s="40">
        <f>IFERROR(s_C*(up_Bv!W30+s_MLF_snap_bean)*s_IFSN_far_adj*s_CF_snap_bean,".")</f>
        <v>37914.59375</v>
      </c>
      <c r="CY30" s="40">
        <f>IFERROR(s_C*(up_Bv!X30+s_MLF_strawberry)*s_IFST_far_adj*s_CF_strawberry,".")</f>
        <v>37914.59375</v>
      </c>
      <c r="CZ30" s="40">
        <f>IFERROR(s_C*(up_Bv!Y30+s_MLF_tomato)*s_IFTO_far_adj*s_CF_tomato,".")</f>
        <v>37914.59375</v>
      </c>
      <c r="DA30" s="40">
        <f>IFERROR(s_C*(up_Bv!Z30+s_MLF_rice)*s_IFRI_far_adj*s_CF_rice,".")</f>
        <v>37914.59375</v>
      </c>
      <c r="DB30" s="40">
        <f>IFERROR(s_C*(up_Bv!AA30+s_MLF_cereal)*s_IFCG_far_adj*s_CF_cereal,".")</f>
        <v>37914.59375</v>
      </c>
    </row>
    <row r="31" spans="1:106" x14ac:dyDescent="0.25">
      <c r="A31" s="76" t="s">
        <v>1</v>
      </c>
      <c r="B31" s="76" t="s">
        <v>1057</v>
      </c>
      <c r="C31" s="58">
        <f t="shared" ref="C31:AB31" si="4">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2.7474853732388867E-6</v>
      </c>
      <c r="D31" s="58">
        <f t="shared" si="4"/>
        <v>1.0989941492955547E-5</v>
      </c>
      <c r="E31" s="58">
        <f t="shared" si="4"/>
        <v>1.0989941492955547E-5</v>
      </c>
      <c r="F31" s="58">
        <f t="shared" si="4"/>
        <v>1.0989941492955547E-5</v>
      </c>
      <c r="G31" s="58">
        <f t="shared" si="4"/>
        <v>1.0989941492955547E-5</v>
      </c>
      <c r="H31" s="58">
        <f t="shared" si="4"/>
        <v>1.0989941492955547E-5</v>
      </c>
      <c r="I31" s="58">
        <f t="shared" si="4"/>
        <v>1.0989941492955547E-5</v>
      </c>
      <c r="J31" s="58">
        <f t="shared" si="4"/>
        <v>1.0989941492955547E-5</v>
      </c>
      <c r="K31" s="58">
        <f t="shared" si="4"/>
        <v>1.0989941492955547E-5</v>
      </c>
      <c r="L31" s="58">
        <f t="shared" si="4"/>
        <v>1.0989941492955547E-5</v>
      </c>
      <c r="M31" s="58">
        <f t="shared" si="4"/>
        <v>1.0989941492955547E-5</v>
      </c>
      <c r="N31" s="58">
        <f t="shared" si="4"/>
        <v>1.0989941492955547E-5</v>
      </c>
      <c r="O31" s="58">
        <f t="shared" si="4"/>
        <v>1.0989941492955547E-5</v>
      </c>
      <c r="P31" s="58">
        <f t="shared" si="4"/>
        <v>1.0989941492955547E-5</v>
      </c>
      <c r="Q31" s="58">
        <f t="shared" si="4"/>
        <v>1.0989941492955547E-5</v>
      </c>
      <c r="R31" s="58">
        <f t="shared" si="4"/>
        <v>1.0989941492955547E-5</v>
      </c>
      <c r="S31" s="58">
        <f t="shared" si="4"/>
        <v>1.0989941492955547E-5</v>
      </c>
      <c r="T31" s="58">
        <f t="shared" si="4"/>
        <v>1.0989941492955547E-5</v>
      </c>
      <c r="U31" s="58">
        <f t="shared" si="4"/>
        <v>1.0989941492955547E-5</v>
      </c>
      <c r="V31" s="58">
        <f t="shared" si="4"/>
        <v>1.0989941492955547E-5</v>
      </c>
      <c r="W31" s="58">
        <f t="shared" si="4"/>
        <v>1.0989941492955547E-5</v>
      </c>
      <c r="X31" s="58">
        <f t="shared" si="4"/>
        <v>1.0989941492955547E-5</v>
      </c>
      <c r="Y31" s="58">
        <f t="shared" si="4"/>
        <v>1.0989941492955547E-5</v>
      </c>
      <c r="Z31" s="58">
        <f t="shared" si="4"/>
        <v>1.0989941492955547E-5</v>
      </c>
      <c r="AA31" s="58">
        <f t="shared" si="4"/>
        <v>1.0989941492955547E-5</v>
      </c>
      <c r="AB31" s="58">
        <f t="shared" si="4"/>
        <v>1.0989941492955547E-5</v>
      </c>
      <c r="AC31" s="91">
        <f>IFERROR(SUM(AD32:AD44,AU32:AU44,BA32:BA44,BB32:BB44),".")</f>
        <v>9099229.5149249975</v>
      </c>
      <c r="AD31" s="91">
        <f>IFERROR(SUM(AD32:AD44),".")</f>
        <v>2274807.3787312503</v>
      </c>
      <c r="AE31" s="91">
        <f t="shared" ref="AE31:BB31" si="5">IFERROR(SUM(AE32:AE44),".")</f>
        <v>2274807.3787312503</v>
      </c>
      <c r="AF31" s="91">
        <f t="shared" si="5"/>
        <v>2274807.3787312503</v>
      </c>
      <c r="AG31" s="91">
        <f t="shared" si="5"/>
        <v>2274807.3787312503</v>
      </c>
      <c r="AH31" s="91">
        <f t="shared" si="5"/>
        <v>2274807.3787312503</v>
      </c>
      <c r="AI31" s="91">
        <f t="shared" si="5"/>
        <v>2274807.3787312503</v>
      </c>
      <c r="AJ31" s="91">
        <f t="shared" si="5"/>
        <v>2274807.3787312503</v>
      </c>
      <c r="AK31" s="91">
        <f t="shared" si="5"/>
        <v>2274807.3787312503</v>
      </c>
      <c r="AL31" s="91">
        <f t="shared" si="5"/>
        <v>2274807.3787312503</v>
      </c>
      <c r="AM31" s="91">
        <f t="shared" si="5"/>
        <v>2274807.3787312503</v>
      </c>
      <c r="AN31" s="91">
        <f t="shared" si="5"/>
        <v>2274807.3787312503</v>
      </c>
      <c r="AO31" s="91">
        <f t="shared" si="5"/>
        <v>2274807.3787312503</v>
      </c>
      <c r="AP31" s="91">
        <f t="shared" si="5"/>
        <v>2274807.3787312503</v>
      </c>
      <c r="AQ31" s="91">
        <f t="shared" si="5"/>
        <v>2274807.3787312503</v>
      </c>
      <c r="AR31" s="91">
        <f t="shared" si="5"/>
        <v>2274807.3787312503</v>
      </c>
      <c r="AS31" s="91">
        <f t="shared" si="5"/>
        <v>2274807.3787312503</v>
      </c>
      <c r="AT31" s="91">
        <f t="shared" si="5"/>
        <v>2274807.3787312503</v>
      </c>
      <c r="AU31" s="91">
        <f t="shared" si="5"/>
        <v>2274807.3787312503</v>
      </c>
      <c r="AV31" s="91">
        <f t="shared" si="5"/>
        <v>2274807.3787312503</v>
      </c>
      <c r="AW31" s="91">
        <f t="shared" si="5"/>
        <v>2274807.3787312503</v>
      </c>
      <c r="AX31" s="91">
        <f t="shared" si="5"/>
        <v>2274807.3787312503</v>
      </c>
      <c r="AY31" s="91">
        <f t="shared" si="5"/>
        <v>2274807.3787312503</v>
      </c>
      <c r="AZ31" s="91">
        <f t="shared" si="5"/>
        <v>2274807.3787312503</v>
      </c>
      <c r="BA31" s="91">
        <f t="shared" si="5"/>
        <v>2274807.3787312503</v>
      </c>
      <c r="BB31" s="91">
        <f t="shared" si="5"/>
        <v>2274807.3787312503</v>
      </c>
      <c r="BC31" s="58">
        <f t="shared" ref="BC31:CB31" si="6">IFERROR(1/SUM(IFERROR(1/SUMIF(BC32,"&lt;&gt;.",BC32),0),IFERROR(1/SUMIF(BC33,"&lt;&gt;.",BC33),0),IFERROR(1/SUMIF(BC34,"&lt;&gt;.",BC34),0),IFERROR(1/SUMIF(BC35,"&lt;&gt;.",BC35),0),IFERROR(1/SUMIF(BC36,"&lt;&gt;.",BC36),0),IFERROR(1/SUMIF(BC37,"&lt;&gt;.",BC37),0),IFERROR(1/SUMIF(BC38,"&lt;&gt;.",BC38),0),IFERROR(1/SUMIF(BC39,"&lt;&gt;.",BC39),0),IFERROR(1/SUMIF(BC40,"&lt;&gt;.",BC40),0),IFERROR(1/SUMIF(BC41,"&lt;&gt;.",BC41),0),IFERROR(1/SUMIF(BC42,"&lt;&gt;.",BC42),0),IFERROR(1/SUMIF(BC43,"&lt;&gt;.",BC43),0),IFERROR(1/SUMIF(BC44,"&lt;&gt;.",BC44),0)),".")</f>
        <v>2.7474853732388867E-6</v>
      </c>
      <c r="BD31" s="58">
        <f t="shared" si="6"/>
        <v>1.0989941492955547E-5</v>
      </c>
      <c r="BE31" s="58">
        <f t="shared" si="6"/>
        <v>1.0989941492955547E-5</v>
      </c>
      <c r="BF31" s="58">
        <f t="shared" si="6"/>
        <v>1.0989941492955547E-5</v>
      </c>
      <c r="BG31" s="58">
        <f t="shared" si="6"/>
        <v>1.0989941492955547E-5</v>
      </c>
      <c r="BH31" s="58">
        <f t="shared" si="6"/>
        <v>1.0989941492955547E-5</v>
      </c>
      <c r="BI31" s="58">
        <f t="shared" si="6"/>
        <v>1.0989941492955547E-5</v>
      </c>
      <c r="BJ31" s="58">
        <f t="shared" si="6"/>
        <v>1.0989941492955547E-5</v>
      </c>
      <c r="BK31" s="58">
        <f t="shared" si="6"/>
        <v>1.0989941492955547E-5</v>
      </c>
      <c r="BL31" s="58">
        <f t="shared" si="6"/>
        <v>1.0989941492955547E-5</v>
      </c>
      <c r="BM31" s="58">
        <f t="shared" si="6"/>
        <v>1.0989941492955547E-5</v>
      </c>
      <c r="BN31" s="58">
        <f t="shared" si="6"/>
        <v>1.0989941492955547E-5</v>
      </c>
      <c r="BO31" s="58">
        <f t="shared" si="6"/>
        <v>1.0989941492955547E-5</v>
      </c>
      <c r="BP31" s="58">
        <f t="shared" si="6"/>
        <v>1.0989941492955547E-5</v>
      </c>
      <c r="BQ31" s="58">
        <f t="shared" si="6"/>
        <v>1.0989941492955547E-5</v>
      </c>
      <c r="BR31" s="58">
        <f t="shared" si="6"/>
        <v>1.0989941492955547E-5</v>
      </c>
      <c r="BS31" s="58">
        <f t="shared" si="6"/>
        <v>1.0989941492955547E-5</v>
      </c>
      <c r="BT31" s="58">
        <f t="shared" si="6"/>
        <v>1.0989941492955547E-5</v>
      </c>
      <c r="BU31" s="58">
        <f t="shared" si="6"/>
        <v>1.0989941492955547E-5</v>
      </c>
      <c r="BV31" s="58">
        <f t="shared" si="6"/>
        <v>1.0989941492955547E-5</v>
      </c>
      <c r="BW31" s="58">
        <f t="shared" si="6"/>
        <v>1.0989941492955547E-5</v>
      </c>
      <c r="BX31" s="58">
        <f t="shared" si="6"/>
        <v>1.0989941492955547E-5</v>
      </c>
      <c r="BY31" s="58">
        <f t="shared" si="6"/>
        <v>1.0989941492955547E-5</v>
      </c>
      <c r="BZ31" s="58">
        <f t="shared" si="6"/>
        <v>1.0989941492955547E-5</v>
      </c>
      <c r="CA31" s="58">
        <f t="shared" si="6"/>
        <v>1.0989941492955547E-5</v>
      </c>
      <c r="CB31" s="58">
        <f t="shared" si="6"/>
        <v>1.0989941492955547E-5</v>
      </c>
      <c r="CC31" s="91">
        <f>IFERROR(SUM(CD32:CD44,CU32:CU44,DA32:DA44,DB32:DB44),".")</f>
        <v>9099229.5149249975</v>
      </c>
      <c r="CD31" s="91">
        <f>IFERROR(SUM(CD32:CD44),".")</f>
        <v>2274807.3787312503</v>
      </c>
      <c r="CE31" s="91">
        <f t="shared" ref="CE31" si="7">IFERROR(SUM(CE32:CE44),".")</f>
        <v>2274807.3787312503</v>
      </c>
      <c r="CF31" s="91">
        <f t="shared" ref="CF31" si="8">IFERROR(SUM(CF32:CF44),".")</f>
        <v>2274807.3787312503</v>
      </c>
      <c r="CG31" s="91">
        <f t="shared" ref="CG31" si="9">IFERROR(SUM(CG32:CG44),".")</f>
        <v>2274807.3787312503</v>
      </c>
      <c r="CH31" s="91">
        <f t="shared" ref="CH31" si="10">IFERROR(SUM(CH32:CH44),".")</f>
        <v>2274807.3787312503</v>
      </c>
      <c r="CI31" s="91">
        <f t="shared" ref="CI31" si="11">IFERROR(SUM(CI32:CI44),".")</f>
        <v>2274807.3787312503</v>
      </c>
      <c r="CJ31" s="91">
        <f t="shared" ref="CJ31" si="12">IFERROR(SUM(CJ32:CJ44),".")</f>
        <v>2274807.3787312503</v>
      </c>
      <c r="CK31" s="91">
        <f t="shared" ref="CK31" si="13">IFERROR(SUM(CK32:CK44),".")</f>
        <v>2274807.3787312503</v>
      </c>
      <c r="CL31" s="91">
        <f t="shared" ref="CL31" si="14">IFERROR(SUM(CL32:CL44),".")</f>
        <v>2274807.3787312503</v>
      </c>
      <c r="CM31" s="91">
        <f t="shared" ref="CM31" si="15">IFERROR(SUM(CM32:CM44),".")</f>
        <v>2274807.3787312503</v>
      </c>
      <c r="CN31" s="91">
        <f t="shared" ref="CN31" si="16">IFERROR(SUM(CN32:CN44),".")</f>
        <v>2274807.3787312503</v>
      </c>
      <c r="CO31" s="91">
        <f t="shared" ref="CO31" si="17">IFERROR(SUM(CO32:CO44),".")</f>
        <v>2274807.3787312503</v>
      </c>
      <c r="CP31" s="91">
        <f t="shared" ref="CP31" si="18">IFERROR(SUM(CP32:CP44),".")</f>
        <v>2274807.3787312503</v>
      </c>
      <c r="CQ31" s="91">
        <f t="shared" ref="CQ31" si="19">IFERROR(SUM(CQ32:CQ44),".")</f>
        <v>2274807.3787312503</v>
      </c>
      <c r="CR31" s="91">
        <f t="shared" ref="CR31" si="20">IFERROR(SUM(CR32:CR44),".")</f>
        <v>2274807.3787312503</v>
      </c>
      <c r="CS31" s="91">
        <f t="shared" ref="CS31" si="21">IFERROR(SUM(CS32:CS44),".")</f>
        <v>2274807.3787312503</v>
      </c>
      <c r="CT31" s="91">
        <f t="shared" ref="CT31" si="22">IFERROR(SUM(CT32:CT44),".")</f>
        <v>2274807.3787312503</v>
      </c>
      <c r="CU31" s="91">
        <f t="shared" ref="CU31" si="23">IFERROR(SUM(CU32:CU44),".")</f>
        <v>2274807.3787312503</v>
      </c>
      <c r="CV31" s="91">
        <f t="shared" ref="CV31" si="24">IFERROR(SUM(CV32:CV44),".")</f>
        <v>2274807.3787312503</v>
      </c>
      <c r="CW31" s="91">
        <f t="shared" ref="CW31" si="25">IFERROR(SUM(CW32:CW44),".")</f>
        <v>2274807.3787312503</v>
      </c>
      <c r="CX31" s="91">
        <f t="shared" ref="CX31" si="26">IFERROR(SUM(CX32:CX44),".")</f>
        <v>2274807.3787312503</v>
      </c>
      <c r="CY31" s="91">
        <f t="shared" ref="CY31" si="27">IFERROR(SUM(CY32:CY44),".")</f>
        <v>2274807.3787312503</v>
      </c>
      <c r="CZ31" s="91">
        <f t="shared" ref="CZ31" si="28">IFERROR(SUM(CZ32:CZ44),".")</f>
        <v>2274807.3787312503</v>
      </c>
      <c r="DA31" s="91">
        <f t="shared" ref="DA31" si="29">IFERROR(SUM(DA32:DA44),".")</f>
        <v>2274807.3787312503</v>
      </c>
      <c r="DB31" s="91">
        <f t="shared" ref="DB31" si="30">IFERROR(SUM(DB32:DB44),".")</f>
        <v>2274807.3787312503</v>
      </c>
    </row>
    <row r="32" spans="1:106" x14ac:dyDescent="0.25">
      <c r="A32" s="77" t="s">
        <v>1085</v>
      </c>
      <c r="B32" s="42">
        <v>1</v>
      </c>
      <c r="C32" s="60">
        <f t="shared" ref="C32:AB32" si="31">IFERROR(C3/$B32,".")</f>
        <v>3.2968835384132272E-5</v>
      </c>
      <c r="D32" s="60">
        <f t="shared" si="31"/>
        <v>1.3187534153652909E-4</v>
      </c>
      <c r="E32" s="60">
        <f t="shared" si="31"/>
        <v>1.3187534153652909E-4</v>
      </c>
      <c r="F32" s="60">
        <f t="shared" si="31"/>
        <v>1.3187534153652909E-4</v>
      </c>
      <c r="G32" s="60">
        <f t="shared" si="31"/>
        <v>1.3187534153652909E-4</v>
      </c>
      <c r="H32" s="60">
        <f t="shared" si="31"/>
        <v>1.3187534153652909E-4</v>
      </c>
      <c r="I32" s="60">
        <f t="shared" si="31"/>
        <v>1.3187534153652909E-4</v>
      </c>
      <c r="J32" s="60">
        <f t="shared" si="31"/>
        <v>1.3187534153652909E-4</v>
      </c>
      <c r="K32" s="60">
        <f t="shared" si="31"/>
        <v>1.3187534153652909E-4</v>
      </c>
      <c r="L32" s="60">
        <f t="shared" si="31"/>
        <v>1.3187534153652909E-4</v>
      </c>
      <c r="M32" s="60">
        <f t="shared" si="31"/>
        <v>1.3187534153652909E-4</v>
      </c>
      <c r="N32" s="60">
        <f t="shared" si="31"/>
        <v>1.3187534153652909E-4</v>
      </c>
      <c r="O32" s="60">
        <f t="shared" si="31"/>
        <v>1.3187534153652909E-4</v>
      </c>
      <c r="P32" s="60">
        <f t="shared" si="31"/>
        <v>1.3187534153652909E-4</v>
      </c>
      <c r="Q32" s="60">
        <f t="shared" si="31"/>
        <v>1.3187534153652909E-4</v>
      </c>
      <c r="R32" s="60">
        <f t="shared" si="31"/>
        <v>1.3187534153652909E-4</v>
      </c>
      <c r="S32" s="60">
        <f t="shared" si="31"/>
        <v>1.3187534153652909E-4</v>
      </c>
      <c r="T32" s="60">
        <f t="shared" si="31"/>
        <v>1.3187534153652909E-4</v>
      </c>
      <c r="U32" s="60">
        <f t="shared" si="31"/>
        <v>1.3187534153652909E-4</v>
      </c>
      <c r="V32" s="60">
        <f t="shared" si="31"/>
        <v>1.3187534153652909E-4</v>
      </c>
      <c r="W32" s="60">
        <f t="shared" si="31"/>
        <v>1.3187534153652909E-4</v>
      </c>
      <c r="X32" s="60">
        <f t="shared" si="31"/>
        <v>1.3187534153652909E-4</v>
      </c>
      <c r="Y32" s="60">
        <f t="shared" si="31"/>
        <v>1.3187534153652909E-4</v>
      </c>
      <c r="Z32" s="60">
        <f t="shared" si="31"/>
        <v>1.3187534153652909E-4</v>
      </c>
      <c r="AA32" s="60">
        <f t="shared" si="31"/>
        <v>1.3187534153652909E-4</v>
      </c>
      <c r="AB32" s="60">
        <f t="shared" si="31"/>
        <v>1.3187534153652909E-4</v>
      </c>
      <c r="AC32" s="94">
        <f t="shared" ref="AC32:AC44" si="32">IF(AND(AD32&lt;&gt;".",AU32&lt;&gt;".",BA32&lt;&gt;".",BB32&lt;&gt;"."),SUM(AD32,AU32,BA32:BB32),".")</f>
        <v>758291.875</v>
      </c>
      <c r="AD32" s="94">
        <f>IF(D32=".",".",up_RadSpec!$F$3*(AD3*$B32))</f>
        <v>189572.96875</v>
      </c>
      <c r="AE32" s="94">
        <f>IF(E32=".",".",up_RadSpec!$F$3*(AE3*$B32))</f>
        <v>189572.96875</v>
      </c>
      <c r="AF32" s="94">
        <f>IF(F32=".",".",up_RadSpec!$F$3*(AF3*$B32))</f>
        <v>189572.96875</v>
      </c>
      <c r="AG32" s="94">
        <f>IF(G32=".",".",up_RadSpec!$F$3*(AG3*$B32))</f>
        <v>189572.96875</v>
      </c>
      <c r="AH32" s="94">
        <f>IF(H32=".",".",up_RadSpec!$F$3*(AH3*$B32))</f>
        <v>189572.96875</v>
      </c>
      <c r="AI32" s="94">
        <f>IF(I32=".",".",up_RadSpec!$F$3*(AI3*$B32))</f>
        <v>189572.96875</v>
      </c>
      <c r="AJ32" s="94">
        <f>IF(J32=".",".",up_RadSpec!$F$3*(AJ3*$B32))</f>
        <v>189572.96875</v>
      </c>
      <c r="AK32" s="94">
        <f>IF(K32=".",".",up_RadSpec!$F$3*(AK3*$B32))</f>
        <v>189572.96875</v>
      </c>
      <c r="AL32" s="94">
        <f>IF(L32=".",".",up_RadSpec!$F$3*(AL3*$B32))</f>
        <v>189572.96875</v>
      </c>
      <c r="AM32" s="94">
        <f>IF(M32=".",".",up_RadSpec!$F$3*(AM3*$B32))</f>
        <v>189572.96875</v>
      </c>
      <c r="AN32" s="94">
        <f>IF(N32=".",".",up_RadSpec!$F$3*(AN3*$B32))</f>
        <v>189572.96875</v>
      </c>
      <c r="AO32" s="94">
        <f>IF(O32=".",".",up_RadSpec!$F$3*(AO3*$B32))</f>
        <v>189572.96875</v>
      </c>
      <c r="AP32" s="94">
        <f>IF(P32=".",".",up_RadSpec!$F$3*(AP3*$B32))</f>
        <v>189572.96875</v>
      </c>
      <c r="AQ32" s="94">
        <f>IF(Q32=".",".",up_RadSpec!$F$3*(AQ3*$B32))</f>
        <v>189572.96875</v>
      </c>
      <c r="AR32" s="94">
        <f>IF(R32=".",".",up_RadSpec!$F$3*(AR3*$B32))</f>
        <v>189572.96875</v>
      </c>
      <c r="AS32" s="94">
        <f>IF(S32=".",".",up_RadSpec!$F$3*(AS3*$B32))</f>
        <v>189572.96875</v>
      </c>
      <c r="AT32" s="94">
        <f>IF(T32=".",".",up_RadSpec!$F$3*(AT3*$B32))</f>
        <v>189572.96875</v>
      </c>
      <c r="AU32" s="94">
        <f>IF(U32=".",".",up_RadSpec!$F$3*(AU3*$B32))</f>
        <v>189572.96875</v>
      </c>
      <c r="AV32" s="94">
        <f>IF(V32=".",".",up_RadSpec!$F$3*(AV3*$B32))</f>
        <v>189572.96875</v>
      </c>
      <c r="AW32" s="94">
        <f>IF(W32=".",".",up_RadSpec!$F$3*(AW3*$B32))</f>
        <v>189572.96875</v>
      </c>
      <c r="AX32" s="94">
        <f>IF(X32=".",".",up_RadSpec!$F$3*(AX3*$B32))</f>
        <v>189572.96875</v>
      </c>
      <c r="AY32" s="94">
        <f>IF(Y32=".",".",up_RadSpec!$F$3*(AY3*$B32))</f>
        <v>189572.96875</v>
      </c>
      <c r="AZ32" s="94">
        <f>IF(Z32=".",".",up_RadSpec!$F$3*(AZ3*$B32))</f>
        <v>189572.96875</v>
      </c>
      <c r="BA32" s="94">
        <f>IF(AA32=".",".",up_RadSpec!$F$3*(BA3*$B32))</f>
        <v>189572.96875</v>
      </c>
      <c r="BB32" s="94">
        <f>IF(AB32=".",".",up_RadSpec!$F$3*(BB3*$B32))</f>
        <v>189572.96875</v>
      </c>
      <c r="BC32" s="60">
        <f t="shared" ref="BC32:CB32" si="33">IFERROR(BC3/$B32,".")</f>
        <v>3.2968835384132272E-5</v>
      </c>
      <c r="BD32" s="60">
        <f t="shared" si="33"/>
        <v>1.3187534153652909E-4</v>
      </c>
      <c r="BE32" s="60">
        <f t="shared" si="33"/>
        <v>1.3187534153652909E-4</v>
      </c>
      <c r="BF32" s="60">
        <f t="shared" si="33"/>
        <v>1.3187534153652909E-4</v>
      </c>
      <c r="BG32" s="60">
        <f t="shared" si="33"/>
        <v>1.3187534153652909E-4</v>
      </c>
      <c r="BH32" s="60">
        <f t="shared" si="33"/>
        <v>1.3187534153652909E-4</v>
      </c>
      <c r="BI32" s="60">
        <f t="shared" si="33"/>
        <v>1.3187534153652909E-4</v>
      </c>
      <c r="BJ32" s="60">
        <f t="shared" si="33"/>
        <v>1.3187534153652909E-4</v>
      </c>
      <c r="BK32" s="60">
        <f t="shared" si="33"/>
        <v>1.3187534153652909E-4</v>
      </c>
      <c r="BL32" s="60">
        <f t="shared" si="33"/>
        <v>1.3187534153652909E-4</v>
      </c>
      <c r="BM32" s="60">
        <f t="shared" si="33"/>
        <v>1.3187534153652909E-4</v>
      </c>
      <c r="BN32" s="60">
        <f t="shared" si="33"/>
        <v>1.3187534153652909E-4</v>
      </c>
      <c r="BO32" s="60">
        <f t="shared" si="33"/>
        <v>1.3187534153652909E-4</v>
      </c>
      <c r="BP32" s="60">
        <f t="shared" si="33"/>
        <v>1.3187534153652909E-4</v>
      </c>
      <c r="BQ32" s="60">
        <f t="shared" si="33"/>
        <v>1.3187534153652909E-4</v>
      </c>
      <c r="BR32" s="60">
        <f t="shared" si="33"/>
        <v>1.3187534153652909E-4</v>
      </c>
      <c r="BS32" s="60">
        <f t="shared" si="33"/>
        <v>1.3187534153652909E-4</v>
      </c>
      <c r="BT32" s="60">
        <f t="shared" si="33"/>
        <v>1.3187534153652909E-4</v>
      </c>
      <c r="BU32" s="60">
        <f t="shared" si="33"/>
        <v>1.3187534153652909E-4</v>
      </c>
      <c r="BV32" s="60">
        <f t="shared" si="33"/>
        <v>1.3187534153652909E-4</v>
      </c>
      <c r="BW32" s="60">
        <f t="shared" si="33"/>
        <v>1.3187534153652909E-4</v>
      </c>
      <c r="BX32" s="60">
        <f t="shared" si="33"/>
        <v>1.3187534153652909E-4</v>
      </c>
      <c r="BY32" s="60">
        <f t="shared" si="33"/>
        <v>1.3187534153652909E-4</v>
      </c>
      <c r="BZ32" s="60">
        <f t="shared" si="33"/>
        <v>1.3187534153652909E-4</v>
      </c>
      <c r="CA32" s="60">
        <f t="shared" si="33"/>
        <v>1.3187534153652909E-4</v>
      </c>
      <c r="CB32" s="60">
        <f t="shared" si="33"/>
        <v>1.3187534153652909E-4</v>
      </c>
      <c r="CC32" s="94">
        <f t="shared" ref="CC32:CC44" si="34">IF(AND(CD32&lt;&gt;".",CU32&lt;&gt;".",DA32&lt;&gt;".",DB32&lt;&gt;"."),SUM(CD32,CU32,DA32:DB32),".")</f>
        <v>758291.875</v>
      </c>
      <c r="CD32" s="94">
        <f>IF(BD32=".",".",up_RadSpec!$F$3*(CD3*$B32))</f>
        <v>189572.96875</v>
      </c>
      <c r="CE32" s="94">
        <f>IF(BE32=".",".",up_RadSpec!$F$3*(CE3*$B32))</f>
        <v>189572.96875</v>
      </c>
      <c r="CF32" s="94">
        <f>IF(BF32=".",".",up_RadSpec!$F$3*(CF3*$B32))</f>
        <v>189572.96875</v>
      </c>
      <c r="CG32" s="94">
        <f>IF(BG32=".",".",up_RadSpec!$F$3*(CG3*$B32))</f>
        <v>189572.96875</v>
      </c>
      <c r="CH32" s="94">
        <f>IF(BH32=".",".",up_RadSpec!$F$3*(CH3*$B32))</f>
        <v>189572.96875</v>
      </c>
      <c r="CI32" s="94">
        <f>IF(BI32=".",".",up_RadSpec!$F$3*(CI3*$B32))</f>
        <v>189572.96875</v>
      </c>
      <c r="CJ32" s="94">
        <f>IF(BJ32=".",".",up_RadSpec!$F$3*(CJ3*$B32))</f>
        <v>189572.96875</v>
      </c>
      <c r="CK32" s="94">
        <f>IF(BK32=".",".",up_RadSpec!$F$3*(CK3*$B32))</f>
        <v>189572.96875</v>
      </c>
      <c r="CL32" s="94">
        <f>IF(BL32=".",".",up_RadSpec!$F$3*(CL3*$B32))</f>
        <v>189572.96875</v>
      </c>
      <c r="CM32" s="94">
        <f>IF(BM32=".",".",up_RadSpec!$F$3*(CM3*$B32))</f>
        <v>189572.96875</v>
      </c>
      <c r="CN32" s="94">
        <f>IF(BN32=".",".",up_RadSpec!$F$3*(CN3*$B32))</f>
        <v>189572.96875</v>
      </c>
      <c r="CO32" s="94">
        <f>IF(BO32=".",".",up_RadSpec!$F$3*(CO3*$B32))</f>
        <v>189572.96875</v>
      </c>
      <c r="CP32" s="94">
        <f>IF(BP32=".",".",up_RadSpec!$F$3*(CP3*$B32))</f>
        <v>189572.96875</v>
      </c>
      <c r="CQ32" s="94">
        <f>IF(BQ32=".",".",up_RadSpec!$F$3*(CQ3*$B32))</f>
        <v>189572.96875</v>
      </c>
      <c r="CR32" s="94">
        <f>IF(BR32=".",".",up_RadSpec!$F$3*(CR3*$B32))</f>
        <v>189572.96875</v>
      </c>
      <c r="CS32" s="94">
        <f>IF(BS32=".",".",up_RadSpec!$F$3*(CS3*$B32))</f>
        <v>189572.96875</v>
      </c>
      <c r="CT32" s="94">
        <f>IF(BT32=".",".",up_RadSpec!$F$3*(CT3*$B32))</f>
        <v>189572.96875</v>
      </c>
      <c r="CU32" s="94">
        <f>IF(BU32=".",".",up_RadSpec!$F$3*(CU3*$B32))</f>
        <v>189572.96875</v>
      </c>
      <c r="CV32" s="94">
        <f>IF(BV32=".",".",up_RadSpec!$F$3*(CV3*$B32))</f>
        <v>189572.96875</v>
      </c>
      <c r="CW32" s="94">
        <f>IF(BW32=".",".",up_RadSpec!$F$3*(CW3*$B32))</f>
        <v>189572.96875</v>
      </c>
      <c r="CX32" s="94">
        <f>IF(BX32=".",".",up_RadSpec!$F$3*(CX3*$B32))</f>
        <v>189572.96875</v>
      </c>
      <c r="CY32" s="94">
        <f>IF(BY32=".",".",up_RadSpec!$F$3*(CY3*$B32))</f>
        <v>189572.96875</v>
      </c>
      <c r="CZ32" s="94">
        <f>IF(BZ32=".",".",up_RadSpec!$F$3*(CZ3*$B32))</f>
        <v>189572.96875</v>
      </c>
      <c r="DA32" s="94">
        <f>IF(CA32=".",".",up_RadSpec!$F$3*(DA3*$B32))</f>
        <v>189572.96875</v>
      </c>
      <c r="DB32" s="94">
        <f>IF(CB32=".",".",up_RadSpec!$F$3*(DB3*$B32))</f>
        <v>189572.96875</v>
      </c>
    </row>
    <row r="33" spans="1:106" x14ac:dyDescent="0.25">
      <c r="A33" s="77" t="s">
        <v>1061</v>
      </c>
      <c r="B33" s="42">
        <v>1</v>
      </c>
      <c r="C33" s="60">
        <f t="shared" ref="C33:AB34" si="35">IFERROR(C13/$B33,".")</f>
        <v>3.2968835384132272E-5</v>
      </c>
      <c r="D33" s="60">
        <f t="shared" si="35"/>
        <v>1.3187534153652909E-4</v>
      </c>
      <c r="E33" s="60">
        <f t="shared" si="35"/>
        <v>1.3187534153652909E-4</v>
      </c>
      <c r="F33" s="60">
        <f t="shared" si="35"/>
        <v>1.3187534153652909E-4</v>
      </c>
      <c r="G33" s="60">
        <f t="shared" si="35"/>
        <v>1.3187534153652909E-4</v>
      </c>
      <c r="H33" s="60">
        <f t="shared" si="35"/>
        <v>1.3187534153652909E-4</v>
      </c>
      <c r="I33" s="60">
        <f t="shared" si="35"/>
        <v>1.3187534153652909E-4</v>
      </c>
      <c r="J33" s="60">
        <f t="shared" si="35"/>
        <v>1.3187534153652909E-4</v>
      </c>
      <c r="K33" s="60">
        <f t="shared" si="35"/>
        <v>1.3187534153652909E-4</v>
      </c>
      <c r="L33" s="60">
        <f t="shared" si="35"/>
        <v>1.3187534153652909E-4</v>
      </c>
      <c r="M33" s="60">
        <f t="shared" si="35"/>
        <v>1.3187534153652909E-4</v>
      </c>
      <c r="N33" s="60">
        <f t="shared" si="35"/>
        <v>1.3187534153652909E-4</v>
      </c>
      <c r="O33" s="60">
        <f t="shared" si="35"/>
        <v>1.3187534153652909E-4</v>
      </c>
      <c r="P33" s="60">
        <f t="shared" si="35"/>
        <v>1.3187534153652909E-4</v>
      </c>
      <c r="Q33" s="60">
        <f t="shared" si="35"/>
        <v>1.3187534153652909E-4</v>
      </c>
      <c r="R33" s="60">
        <f t="shared" si="35"/>
        <v>1.3187534153652909E-4</v>
      </c>
      <c r="S33" s="60">
        <f t="shared" si="35"/>
        <v>1.3187534153652909E-4</v>
      </c>
      <c r="T33" s="60">
        <f t="shared" si="35"/>
        <v>1.3187534153652909E-4</v>
      </c>
      <c r="U33" s="60">
        <f t="shared" si="35"/>
        <v>1.3187534153652909E-4</v>
      </c>
      <c r="V33" s="60">
        <f t="shared" si="35"/>
        <v>1.3187534153652909E-4</v>
      </c>
      <c r="W33" s="60">
        <f t="shared" si="35"/>
        <v>1.3187534153652909E-4</v>
      </c>
      <c r="X33" s="60">
        <f t="shared" si="35"/>
        <v>1.3187534153652909E-4</v>
      </c>
      <c r="Y33" s="60">
        <f t="shared" si="35"/>
        <v>1.3187534153652909E-4</v>
      </c>
      <c r="Z33" s="60">
        <f t="shared" si="35"/>
        <v>1.3187534153652909E-4</v>
      </c>
      <c r="AA33" s="60">
        <f t="shared" si="35"/>
        <v>1.3187534153652909E-4</v>
      </c>
      <c r="AB33" s="60">
        <f t="shared" si="35"/>
        <v>1.3187534153652909E-4</v>
      </c>
      <c r="AC33" s="94">
        <f t="shared" si="32"/>
        <v>758291.875</v>
      </c>
      <c r="AD33" s="94">
        <f>IF(D33=".",".",up_RadSpec!$F$13*(AD13*$B33))</f>
        <v>189572.96875</v>
      </c>
      <c r="AE33" s="94">
        <f>IF(E33=".",".",up_RadSpec!$F$13*(AE13*$B33))</f>
        <v>189572.96875</v>
      </c>
      <c r="AF33" s="94">
        <f>IF(F33=".",".",up_RadSpec!$F$13*(AF13*$B33))</f>
        <v>189572.96875</v>
      </c>
      <c r="AG33" s="94">
        <f>IF(G33=".",".",up_RadSpec!$F$13*(AG13*$B33))</f>
        <v>189572.96875</v>
      </c>
      <c r="AH33" s="94">
        <f>IF(H33=".",".",up_RadSpec!$F$13*(AH13*$B33))</f>
        <v>189572.96875</v>
      </c>
      <c r="AI33" s="94">
        <f>IF(I33=".",".",up_RadSpec!$F$13*(AI13*$B33))</f>
        <v>189572.96875</v>
      </c>
      <c r="AJ33" s="94">
        <f>IF(J33=".",".",up_RadSpec!$F$13*(AJ13*$B33))</f>
        <v>189572.96875</v>
      </c>
      <c r="AK33" s="94">
        <f>IF(K33=".",".",up_RadSpec!$F$13*(AK13*$B33))</f>
        <v>189572.96875</v>
      </c>
      <c r="AL33" s="94">
        <f>IF(L33=".",".",up_RadSpec!$F$13*(AL13*$B33))</f>
        <v>189572.96875</v>
      </c>
      <c r="AM33" s="94">
        <f>IF(M33=".",".",up_RadSpec!$F$13*(AM13*$B33))</f>
        <v>189572.96875</v>
      </c>
      <c r="AN33" s="94">
        <f>IF(N33=".",".",up_RadSpec!$F$13*(AN13*$B33))</f>
        <v>189572.96875</v>
      </c>
      <c r="AO33" s="94">
        <f>IF(O33=".",".",up_RadSpec!$F$13*(AO13*$B33))</f>
        <v>189572.96875</v>
      </c>
      <c r="AP33" s="94">
        <f>IF(P33=".",".",up_RadSpec!$F$13*(AP13*$B33))</f>
        <v>189572.96875</v>
      </c>
      <c r="AQ33" s="94">
        <f>IF(Q33=".",".",up_RadSpec!$F$13*(AQ13*$B33))</f>
        <v>189572.96875</v>
      </c>
      <c r="AR33" s="94">
        <f>IF(R33=".",".",up_RadSpec!$F$13*(AR13*$B33))</f>
        <v>189572.96875</v>
      </c>
      <c r="AS33" s="94">
        <f>IF(S33=".",".",up_RadSpec!$F$13*(AS13*$B33))</f>
        <v>189572.96875</v>
      </c>
      <c r="AT33" s="94">
        <f>IF(T33=".",".",up_RadSpec!$F$13*(AT13*$B33))</f>
        <v>189572.96875</v>
      </c>
      <c r="AU33" s="94">
        <f>IF(U33=".",".",up_RadSpec!$F$13*(AU13*$B33))</f>
        <v>189572.96875</v>
      </c>
      <c r="AV33" s="94">
        <f>IF(V33=".",".",up_RadSpec!$F$13*(AV13*$B33))</f>
        <v>189572.96875</v>
      </c>
      <c r="AW33" s="94">
        <f>IF(W33=".",".",up_RadSpec!$F$13*(AW13*$B33))</f>
        <v>189572.96875</v>
      </c>
      <c r="AX33" s="94">
        <f>IF(X33=".",".",up_RadSpec!$F$13*(AX13*$B33))</f>
        <v>189572.96875</v>
      </c>
      <c r="AY33" s="94">
        <f>IF(Y33=".",".",up_RadSpec!$F$13*(AY13*$B33))</f>
        <v>189572.96875</v>
      </c>
      <c r="AZ33" s="94">
        <f>IF(Z33=".",".",up_RadSpec!$F$13*(AZ13*$B33))</f>
        <v>189572.96875</v>
      </c>
      <c r="BA33" s="94">
        <f>IF(AA33=".",".",up_RadSpec!$F$13*(BA13*$B33))</f>
        <v>189572.96875</v>
      </c>
      <c r="BB33" s="94">
        <f>IF(AB33=".",".",up_RadSpec!$F$13*(BB13*$B33))</f>
        <v>189572.96875</v>
      </c>
      <c r="BC33" s="60">
        <f t="shared" ref="BC33:CB34" si="36">IFERROR(BC13/$B33,".")</f>
        <v>3.2968835384132272E-5</v>
      </c>
      <c r="BD33" s="60">
        <f t="shared" si="36"/>
        <v>1.3187534153652909E-4</v>
      </c>
      <c r="BE33" s="60">
        <f t="shared" si="36"/>
        <v>1.3187534153652909E-4</v>
      </c>
      <c r="BF33" s="60">
        <f t="shared" si="36"/>
        <v>1.3187534153652909E-4</v>
      </c>
      <c r="BG33" s="60">
        <f t="shared" si="36"/>
        <v>1.3187534153652909E-4</v>
      </c>
      <c r="BH33" s="60">
        <f t="shared" si="36"/>
        <v>1.3187534153652909E-4</v>
      </c>
      <c r="BI33" s="60">
        <f t="shared" si="36"/>
        <v>1.3187534153652909E-4</v>
      </c>
      <c r="BJ33" s="60">
        <f t="shared" si="36"/>
        <v>1.3187534153652909E-4</v>
      </c>
      <c r="BK33" s="60">
        <f t="shared" si="36"/>
        <v>1.3187534153652909E-4</v>
      </c>
      <c r="BL33" s="60">
        <f t="shared" si="36"/>
        <v>1.3187534153652909E-4</v>
      </c>
      <c r="BM33" s="60">
        <f t="shared" si="36"/>
        <v>1.3187534153652909E-4</v>
      </c>
      <c r="BN33" s="60">
        <f t="shared" si="36"/>
        <v>1.3187534153652909E-4</v>
      </c>
      <c r="BO33" s="60">
        <f t="shared" si="36"/>
        <v>1.3187534153652909E-4</v>
      </c>
      <c r="BP33" s="60">
        <f t="shared" si="36"/>
        <v>1.3187534153652909E-4</v>
      </c>
      <c r="BQ33" s="60">
        <f t="shared" si="36"/>
        <v>1.3187534153652909E-4</v>
      </c>
      <c r="BR33" s="60">
        <f t="shared" si="36"/>
        <v>1.3187534153652909E-4</v>
      </c>
      <c r="BS33" s="60">
        <f t="shared" si="36"/>
        <v>1.3187534153652909E-4</v>
      </c>
      <c r="BT33" s="60">
        <f t="shared" si="36"/>
        <v>1.3187534153652909E-4</v>
      </c>
      <c r="BU33" s="60">
        <f t="shared" si="36"/>
        <v>1.3187534153652909E-4</v>
      </c>
      <c r="BV33" s="60">
        <f t="shared" si="36"/>
        <v>1.3187534153652909E-4</v>
      </c>
      <c r="BW33" s="60">
        <f t="shared" si="36"/>
        <v>1.3187534153652909E-4</v>
      </c>
      <c r="BX33" s="60">
        <f t="shared" si="36"/>
        <v>1.3187534153652909E-4</v>
      </c>
      <c r="BY33" s="60">
        <f t="shared" si="36"/>
        <v>1.3187534153652909E-4</v>
      </c>
      <c r="BZ33" s="60">
        <f t="shared" si="36"/>
        <v>1.3187534153652909E-4</v>
      </c>
      <c r="CA33" s="60">
        <f t="shared" si="36"/>
        <v>1.3187534153652909E-4</v>
      </c>
      <c r="CB33" s="60">
        <f t="shared" si="36"/>
        <v>1.3187534153652909E-4</v>
      </c>
      <c r="CC33" s="94">
        <f t="shared" si="34"/>
        <v>758291.875</v>
      </c>
      <c r="CD33" s="94">
        <f>IF(BD33=".",".",up_RadSpec!$F$13*(CD13*$B33))</f>
        <v>189572.96875</v>
      </c>
      <c r="CE33" s="94">
        <f>IF(BE33=".",".",up_RadSpec!$F$13*(CE13*$B33))</f>
        <v>189572.96875</v>
      </c>
      <c r="CF33" s="94">
        <f>IF(BF33=".",".",up_RadSpec!$F$13*(CF13*$B33))</f>
        <v>189572.96875</v>
      </c>
      <c r="CG33" s="94">
        <f>IF(BG33=".",".",up_RadSpec!$F$13*(CG13*$B33))</f>
        <v>189572.96875</v>
      </c>
      <c r="CH33" s="94">
        <f>IF(BH33=".",".",up_RadSpec!$F$13*(CH13*$B33))</f>
        <v>189572.96875</v>
      </c>
      <c r="CI33" s="94">
        <f>IF(BI33=".",".",up_RadSpec!$F$13*(CI13*$B33))</f>
        <v>189572.96875</v>
      </c>
      <c r="CJ33" s="94">
        <f>IF(BJ33=".",".",up_RadSpec!$F$13*(CJ13*$B33))</f>
        <v>189572.96875</v>
      </c>
      <c r="CK33" s="94">
        <f>IF(BK33=".",".",up_RadSpec!$F$13*(CK13*$B33))</f>
        <v>189572.96875</v>
      </c>
      <c r="CL33" s="94">
        <f>IF(BL33=".",".",up_RadSpec!$F$13*(CL13*$B33))</f>
        <v>189572.96875</v>
      </c>
      <c r="CM33" s="94">
        <f>IF(BM33=".",".",up_RadSpec!$F$13*(CM13*$B33))</f>
        <v>189572.96875</v>
      </c>
      <c r="CN33" s="94">
        <f>IF(BN33=".",".",up_RadSpec!$F$13*(CN13*$B33))</f>
        <v>189572.96875</v>
      </c>
      <c r="CO33" s="94">
        <f>IF(BO33=".",".",up_RadSpec!$F$13*(CO13*$B33))</f>
        <v>189572.96875</v>
      </c>
      <c r="CP33" s="94">
        <f>IF(BP33=".",".",up_RadSpec!$F$13*(CP13*$B33))</f>
        <v>189572.96875</v>
      </c>
      <c r="CQ33" s="94">
        <f>IF(BQ33=".",".",up_RadSpec!$F$13*(CQ13*$B33))</f>
        <v>189572.96875</v>
      </c>
      <c r="CR33" s="94">
        <f>IF(BR33=".",".",up_RadSpec!$F$13*(CR13*$B33))</f>
        <v>189572.96875</v>
      </c>
      <c r="CS33" s="94">
        <f>IF(BS33=".",".",up_RadSpec!$F$13*(CS13*$B33))</f>
        <v>189572.96875</v>
      </c>
      <c r="CT33" s="94">
        <f>IF(BT33=".",".",up_RadSpec!$F$13*(CT13*$B33))</f>
        <v>189572.96875</v>
      </c>
      <c r="CU33" s="94">
        <f>IF(BU33=".",".",up_RadSpec!$F$13*(CU13*$B33))</f>
        <v>189572.96875</v>
      </c>
      <c r="CV33" s="94">
        <f>IF(BV33=".",".",up_RadSpec!$F$13*(CV13*$B33))</f>
        <v>189572.96875</v>
      </c>
      <c r="CW33" s="94">
        <f>IF(BW33=".",".",up_RadSpec!$F$13*(CW13*$B33))</f>
        <v>189572.96875</v>
      </c>
      <c r="CX33" s="94">
        <f>IF(BX33=".",".",up_RadSpec!$F$13*(CX13*$B33))</f>
        <v>189572.96875</v>
      </c>
      <c r="CY33" s="94">
        <f>IF(BY33=".",".",up_RadSpec!$F$13*(CY13*$B33))</f>
        <v>189572.96875</v>
      </c>
      <c r="CZ33" s="94">
        <f>IF(BZ33=".",".",up_RadSpec!$F$13*(CZ13*$B33))</f>
        <v>189572.96875</v>
      </c>
      <c r="DA33" s="94">
        <f>IF(CA33=".",".",up_RadSpec!$F$13*(DA13*$B33))</f>
        <v>189572.96875</v>
      </c>
      <c r="DB33" s="94">
        <f>IF(CB33=".",".",up_RadSpec!$F$13*(DB13*$B33))</f>
        <v>189572.96875</v>
      </c>
    </row>
    <row r="34" spans="1:106" x14ac:dyDescent="0.25">
      <c r="A34" s="77" t="s">
        <v>1062</v>
      </c>
      <c r="B34" s="42">
        <v>1</v>
      </c>
      <c r="C34" s="60">
        <f t="shared" si="35"/>
        <v>3.2968835384132272E-5</v>
      </c>
      <c r="D34" s="60">
        <f t="shared" si="35"/>
        <v>1.3187534153652909E-4</v>
      </c>
      <c r="E34" s="60">
        <f t="shared" si="35"/>
        <v>1.3187534153652909E-4</v>
      </c>
      <c r="F34" s="60">
        <f t="shared" si="35"/>
        <v>1.3187534153652909E-4</v>
      </c>
      <c r="G34" s="60">
        <f t="shared" si="35"/>
        <v>1.3187534153652909E-4</v>
      </c>
      <c r="H34" s="60">
        <f t="shared" si="35"/>
        <v>1.3187534153652909E-4</v>
      </c>
      <c r="I34" s="60">
        <f t="shared" si="35"/>
        <v>1.3187534153652909E-4</v>
      </c>
      <c r="J34" s="60">
        <f t="shared" si="35"/>
        <v>1.3187534153652909E-4</v>
      </c>
      <c r="K34" s="60">
        <f t="shared" si="35"/>
        <v>1.3187534153652909E-4</v>
      </c>
      <c r="L34" s="60">
        <f t="shared" si="35"/>
        <v>1.3187534153652909E-4</v>
      </c>
      <c r="M34" s="60">
        <f t="shared" si="35"/>
        <v>1.3187534153652909E-4</v>
      </c>
      <c r="N34" s="60">
        <f t="shared" si="35"/>
        <v>1.3187534153652909E-4</v>
      </c>
      <c r="O34" s="60">
        <f t="shared" si="35"/>
        <v>1.3187534153652909E-4</v>
      </c>
      <c r="P34" s="60">
        <f t="shared" si="35"/>
        <v>1.3187534153652909E-4</v>
      </c>
      <c r="Q34" s="60">
        <f t="shared" si="35"/>
        <v>1.3187534153652909E-4</v>
      </c>
      <c r="R34" s="60">
        <f t="shared" si="35"/>
        <v>1.3187534153652909E-4</v>
      </c>
      <c r="S34" s="60">
        <f t="shared" si="35"/>
        <v>1.3187534153652909E-4</v>
      </c>
      <c r="T34" s="60">
        <f t="shared" si="35"/>
        <v>1.3187534153652909E-4</v>
      </c>
      <c r="U34" s="60">
        <f t="shared" si="35"/>
        <v>1.3187534153652909E-4</v>
      </c>
      <c r="V34" s="60">
        <f t="shared" si="35"/>
        <v>1.3187534153652909E-4</v>
      </c>
      <c r="W34" s="60">
        <f t="shared" si="35"/>
        <v>1.3187534153652909E-4</v>
      </c>
      <c r="X34" s="60">
        <f t="shared" si="35"/>
        <v>1.3187534153652909E-4</v>
      </c>
      <c r="Y34" s="60">
        <f t="shared" si="35"/>
        <v>1.3187534153652909E-4</v>
      </c>
      <c r="Z34" s="60">
        <f t="shared" si="35"/>
        <v>1.3187534153652909E-4</v>
      </c>
      <c r="AA34" s="60">
        <f t="shared" si="35"/>
        <v>1.3187534153652909E-4</v>
      </c>
      <c r="AB34" s="60">
        <f t="shared" si="35"/>
        <v>1.3187534153652909E-4</v>
      </c>
      <c r="AC34" s="94">
        <f t="shared" si="32"/>
        <v>758291.875</v>
      </c>
      <c r="AD34" s="94">
        <f>IF(D34=".",".",up_RadSpec!$F$14*(AD14*$B34))</f>
        <v>189572.96875</v>
      </c>
      <c r="AE34" s="94">
        <f>IF(E34=".",".",up_RadSpec!$F$14*(AE14*$B34))</f>
        <v>189572.96875</v>
      </c>
      <c r="AF34" s="94">
        <f>IF(F34=".",".",up_RadSpec!$F$14*(AF14*$B34))</f>
        <v>189572.96875</v>
      </c>
      <c r="AG34" s="94">
        <f>IF(G34=".",".",up_RadSpec!$F$14*(AG14*$B34))</f>
        <v>189572.96875</v>
      </c>
      <c r="AH34" s="94">
        <f>IF(H34=".",".",up_RadSpec!$F$14*(AH14*$B34))</f>
        <v>189572.96875</v>
      </c>
      <c r="AI34" s="94">
        <f>IF(I34=".",".",up_RadSpec!$F$14*(AI14*$B34))</f>
        <v>189572.96875</v>
      </c>
      <c r="AJ34" s="94">
        <f>IF(J34=".",".",up_RadSpec!$F$14*(AJ14*$B34))</f>
        <v>189572.96875</v>
      </c>
      <c r="AK34" s="94">
        <f>IF(K34=".",".",up_RadSpec!$F$14*(AK14*$B34))</f>
        <v>189572.96875</v>
      </c>
      <c r="AL34" s="94">
        <f>IF(L34=".",".",up_RadSpec!$F$14*(AL14*$B34))</f>
        <v>189572.96875</v>
      </c>
      <c r="AM34" s="94">
        <f>IF(M34=".",".",up_RadSpec!$F$14*(AM14*$B34))</f>
        <v>189572.96875</v>
      </c>
      <c r="AN34" s="94">
        <f>IF(N34=".",".",up_RadSpec!$F$14*(AN14*$B34))</f>
        <v>189572.96875</v>
      </c>
      <c r="AO34" s="94">
        <f>IF(O34=".",".",up_RadSpec!$F$14*(AO14*$B34))</f>
        <v>189572.96875</v>
      </c>
      <c r="AP34" s="94">
        <f>IF(P34=".",".",up_RadSpec!$F$14*(AP14*$B34))</f>
        <v>189572.96875</v>
      </c>
      <c r="AQ34" s="94">
        <f>IF(Q34=".",".",up_RadSpec!$F$14*(AQ14*$B34))</f>
        <v>189572.96875</v>
      </c>
      <c r="AR34" s="94">
        <f>IF(R34=".",".",up_RadSpec!$F$14*(AR14*$B34))</f>
        <v>189572.96875</v>
      </c>
      <c r="AS34" s="94">
        <f>IF(S34=".",".",up_RadSpec!$F$14*(AS14*$B34))</f>
        <v>189572.96875</v>
      </c>
      <c r="AT34" s="94">
        <f>IF(T34=".",".",up_RadSpec!$F$14*(AT14*$B34))</f>
        <v>189572.96875</v>
      </c>
      <c r="AU34" s="94">
        <f>IF(U34=".",".",up_RadSpec!$F$14*(AU14*$B34))</f>
        <v>189572.96875</v>
      </c>
      <c r="AV34" s="94">
        <f>IF(V34=".",".",up_RadSpec!$F$14*(AV14*$B34))</f>
        <v>189572.96875</v>
      </c>
      <c r="AW34" s="94">
        <f>IF(W34=".",".",up_RadSpec!$F$14*(AW14*$B34))</f>
        <v>189572.96875</v>
      </c>
      <c r="AX34" s="94">
        <f>IF(X34=".",".",up_RadSpec!$F$14*(AX14*$B34))</f>
        <v>189572.96875</v>
      </c>
      <c r="AY34" s="94">
        <f>IF(Y34=".",".",up_RadSpec!$F$14*(AY14*$B34))</f>
        <v>189572.96875</v>
      </c>
      <c r="AZ34" s="94">
        <f>IF(Z34=".",".",up_RadSpec!$F$14*(AZ14*$B34))</f>
        <v>189572.96875</v>
      </c>
      <c r="BA34" s="94">
        <f>IF(AA34=".",".",up_RadSpec!$F$14*(BA14*$B34))</f>
        <v>189572.96875</v>
      </c>
      <c r="BB34" s="94">
        <f>IF(AB34=".",".",up_RadSpec!$F$14*(BB14*$B34))</f>
        <v>189572.96875</v>
      </c>
      <c r="BC34" s="60">
        <f t="shared" si="36"/>
        <v>3.2968835384132272E-5</v>
      </c>
      <c r="BD34" s="60">
        <f t="shared" si="36"/>
        <v>1.3187534153652909E-4</v>
      </c>
      <c r="BE34" s="60">
        <f t="shared" si="36"/>
        <v>1.3187534153652909E-4</v>
      </c>
      <c r="BF34" s="60">
        <f t="shared" si="36"/>
        <v>1.3187534153652909E-4</v>
      </c>
      <c r="BG34" s="60">
        <f t="shared" si="36"/>
        <v>1.3187534153652909E-4</v>
      </c>
      <c r="BH34" s="60">
        <f t="shared" si="36"/>
        <v>1.3187534153652909E-4</v>
      </c>
      <c r="BI34" s="60">
        <f t="shared" si="36"/>
        <v>1.3187534153652909E-4</v>
      </c>
      <c r="BJ34" s="60">
        <f t="shared" si="36"/>
        <v>1.3187534153652909E-4</v>
      </c>
      <c r="BK34" s="60">
        <f t="shared" si="36"/>
        <v>1.3187534153652909E-4</v>
      </c>
      <c r="BL34" s="60">
        <f t="shared" si="36"/>
        <v>1.3187534153652909E-4</v>
      </c>
      <c r="BM34" s="60">
        <f t="shared" si="36"/>
        <v>1.3187534153652909E-4</v>
      </c>
      <c r="BN34" s="60">
        <f t="shared" si="36"/>
        <v>1.3187534153652909E-4</v>
      </c>
      <c r="BO34" s="60">
        <f t="shared" si="36"/>
        <v>1.3187534153652909E-4</v>
      </c>
      <c r="BP34" s="60">
        <f t="shared" si="36"/>
        <v>1.3187534153652909E-4</v>
      </c>
      <c r="BQ34" s="60">
        <f t="shared" si="36"/>
        <v>1.3187534153652909E-4</v>
      </c>
      <c r="BR34" s="60">
        <f t="shared" si="36"/>
        <v>1.3187534153652909E-4</v>
      </c>
      <c r="BS34" s="60">
        <f t="shared" si="36"/>
        <v>1.3187534153652909E-4</v>
      </c>
      <c r="BT34" s="60">
        <f t="shared" si="36"/>
        <v>1.3187534153652909E-4</v>
      </c>
      <c r="BU34" s="60">
        <f t="shared" si="36"/>
        <v>1.3187534153652909E-4</v>
      </c>
      <c r="BV34" s="60">
        <f t="shared" si="36"/>
        <v>1.3187534153652909E-4</v>
      </c>
      <c r="BW34" s="60">
        <f t="shared" si="36"/>
        <v>1.3187534153652909E-4</v>
      </c>
      <c r="BX34" s="60">
        <f t="shared" si="36"/>
        <v>1.3187534153652909E-4</v>
      </c>
      <c r="BY34" s="60">
        <f t="shared" si="36"/>
        <v>1.3187534153652909E-4</v>
      </c>
      <c r="BZ34" s="60">
        <f t="shared" si="36"/>
        <v>1.3187534153652909E-4</v>
      </c>
      <c r="CA34" s="60">
        <f t="shared" si="36"/>
        <v>1.3187534153652909E-4</v>
      </c>
      <c r="CB34" s="60">
        <f t="shared" si="36"/>
        <v>1.3187534153652909E-4</v>
      </c>
      <c r="CC34" s="94">
        <f t="shared" si="34"/>
        <v>758291.875</v>
      </c>
      <c r="CD34" s="94">
        <f>IF(BD34=".",".",up_RadSpec!$F$14*(CD14*$B34))</f>
        <v>189572.96875</v>
      </c>
      <c r="CE34" s="94">
        <f>IF(BE34=".",".",up_RadSpec!$F$14*(CE14*$B34))</f>
        <v>189572.96875</v>
      </c>
      <c r="CF34" s="94">
        <f>IF(BF34=".",".",up_RadSpec!$F$14*(CF14*$B34))</f>
        <v>189572.96875</v>
      </c>
      <c r="CG34" s="94">
        <f>IF(BG34=".",".",up_RadSpec!$F$14*(CG14*$B34))</f>
        <v>189572.96875</v>
      </c>
      <c r="CH34" s="94">
        <f>IF(BH34=".",".",up_RadSpec!$F$14*(CH14*$B34))</f>
        <v>189572.96875</v>
      </c>
      <c r="CI34" s="94">
        <f>IF(BI34=".",".",up_RadSpec!$F$14*(CI14*$B34))</f>
        <v>189572.96875</v>
      </c>
      <c r="CJ34" s="94">
        <f>IF(BJ34=".",".",up_RadSpec!$F$14*(CJ14*$B34))</f>
        <v>189572.96875</v>
      </c>
      <c r="CK34" s="94">
        <f>IF(BK34=".",".",up_RadSpec!$F$14*(CK14*$B34))</f>
        <v>189572.96875</v>
      </c>
      <c r="CL34" s="94">
        <f>IF(BL34=".",".",up_RadSpec!$F$14*(CL14*$B34))</f>
        <v>189572.96875</v>
      </c>
      <c r="CM34" s="94">
        <f>IF(BM34=".",".",up_RadSpec!$F$14*(CM14*$B34))</f>
        <v>189572.96875</v>
      </c>
      <c r="CN34" s="94">
        <f>IF(BN34=".",".",up_RadSpec!$F$14*(CN14*$B34))</f>
        <v>189572.96875</v>
      </c>
      <c r="CO34" s="94">
        <f>IF(BO34=".",".",up_RadSpec!$F$14*(CO14*$B34))</f>
        <v>189572.96875</v>
      </c>
      <c r="CP34" s="94">
        <f>IF(BP34=".",".",up_RadSpec!$F$14*(CP14*$B34))</f>
        <v>189572.96875</v>
      </c>
      <c r="CQ34" s="94">
        <f>IF(BQ34=".",".",up_RadSpec!$F$14*(CQ14*$B34))</f>
        <v>189572.96875</v>
      </c>
      <c r="CR34" s="94">
        <f>IF(BR34=".",".",up_RadSpec!$F$14*(CR14*$B34))</f>
        <v>189572.96875</v>
      </c>
      <c r="CS34" s="94">
        <f>IF(BS34=".",".",up_RadSpec!$F$14*(CS14*$B34))</f>
        <v>189572.96875</v>
      </c>
      <c r="CT34" s="94">
        <f>IF(BT34=".",".",up_RadSpec!$F$14*(CT14*$B34))</f>
        <v>189572.96875</v>
      </c>
      <c r="CU34" s="94">
        <f>IF(BU34=".",".",up_RadSpec!$F$14*(CU14*$B34))</f>
        <v>189572.96875</v>
      </c>
      <c r="CV34" s="94">
        <f>IF(BV34=".",".",up_RadSpec!$F$14*(CV14*$B34))</f>
        <v>189572.96875</v>
      </c>
      <c r="CW34" s="94">
        <f>IF(BW34=".",".",up_RadSpec!$F$14*(CW14*$B34))</f>
        <v>189572.96875</v>
      </c>
      <c r="CX34" s="94">
        <f>IF(BX34=".",".",up_RadSpec!$F$14*(CX14*$B34))</f>
        <v>189572.96875</v>
      </c>
      <c r="CY34" s="94">
        <f>IF(BY34=".",".",up_RadSpec!$F$14*(CY14*$B34))</f>
        <v>189572.96875</v>
      </c>
      <c r="CZ34" s="94">
        <f>IF(BZ34=".",".",up_RadSpec!$F$14*(CZ14*$B34))</f>
        <v>189572.96875</v>
      </c>
      <c r="DA34" s="94">
        <f>IF(CA34=".",".",up_RadSpec!$F$14*(DA14*$B34))</f>
        <v>189572.96875</v>
      </c>
      <c r="DB34" s="94">
        <f>IF(CB34=".",".",up_RadSpec!$F$14*(DB14*$B34))</f>
        <v>189572.96875</v>
      </c>
    </row>
    <row r="35" spans="1:106" x14ac:dyDescent="0.25">
      <c r="A35" s="77" t="s">
        <v>1063</v>
      </c>
      <c r="B35" s="42">
        <v>1</v>
      </c>
      <c r="C35" s="60">
        <f t="shared" ref="C35:AB35" si="37">IFERROR(C30/$B35,".")</f>
        <v>3.2968835384132272E-5</v>
      </c>
      <c r="D35" s="60">
        <f t="shared" si="37"/>
        <v>1.3187534153652909E-4</v>
      </c>
      <c r="E35" s="60">
        <f t="shared" si="37"/>
        <v>1.3187534153652909E-4</v>
      </c>
      <c r="F35" s="60">
        <f t="shared" si="37"/>
        <v>1.3187534153652909E-4</v>
      </c>
      <c r="G35" s="60">
        <f t="shared" si="37"/>
        <v>1.3187534153652909E-4</v>
      </c>
      <c r="H35" s="60">
        <f t="shared" si="37"/>
        <v>1.3187534153652909E-4</v>
      </c>
      <c r="I35" s="60">
        <f t="shared" si="37"/>
        <v>1.3187534153652909E-4</v>
      </c>
      <c r="J35" s="60">
        <f t="shared" si="37"/>
        <v>1.3187534153652909E-4</v>
      </c>
      <c r="K35" s="60">
        <f t="shared" si="37"/>
        <v>1.3187534153652909E-4</v>
      </c>
      <c r="L35" s="60">
        <f t="shared" si="37"/>
        <v>1.3187534153652909E-4</v>
      </c>
      <c r="M35" s="60">
        <f t="shared" si="37"/>
        <v>1.3187534153652909E-4</v>
      </c>
      <c r="N35" s="60">
        <f t="shared" si="37"/>
        <v>1.3187534153652909E-4</v>
      </c>
      <c r="O35" s="60">
        <f t="shared" si="37"/>
        <v>1.3187534153652909E-4</v>
      </c>
      <c r="P35" s="60">
        <f t="shared" si="37"/>
        <v>1.3187534153652909E-4</v>
      </c>
      <c r="Q35" s="60">
        <f t="shared" si="37"/>
        <v>1.3187534153652909E-4</v>
      </c>
      <c r="R35" s="60">
        <f t="shared" si="37"/>
        <v>1.3187534153652909E-4</v>
      </c>
      <c r="S35" s="60">
        <f t="shared" si="37"/>
        <v>1.3187534153652909E-4</v>
      </c>
      <c r="T35" s="60">
        <f t="shared" si="37"/>
        <v>1.3187534153652909E-4</v>
      </c>
      <c r="U35" s="60">
        <f t="shared" si="37"/>
        <v>1.3187534153652909E-4</v>
      </c>
      <c r="V35" s="60">
        <f t="shared" si="37"/>
        <v>1.3187534153652909E-4</v>
      </c>
      <c r="W35" s="60">
        <f t="shared" si="37"/>
        <v>1.3187534153652909E-4</v>
      </c>
      <c r="X35" s="60">
        <f t="shared" si="37"/>
        <v>1.3187534153652909E-4</v>
      </c>
      <c r="Y35" s="60">
        <f t="shared" si="37"/>
        <v>1.3187534153652909E-4</v>
      </c>
      <c r="Z35" s="60">
        <f t="shared" si="37"/>
        <v>1.3187534153652909E-4</v>
      </c>
      <c r="AA35" s="60">
        <f t="shared" si="37"/>
        <v>1.3187534153652909E-4</v>
      </c>
      <c r="AB35" s="60">
        <f t="shared" si="37"/>
        <v>1.3187534153652909E-4</v>
      </c>
      <c r="AC35" s="94">
        <f t="shared" si="32"/>
        <v>758291.875</v>
      </c>
      <c r="AD35" s="94">
        <f>IF(D35=".",".",up_RadSpec!$F$30*(AD30*$B35))</f>
        <v>189572.96875</v>
      </c>
      <c r="AE35" s="94">
        <f>IF(E35=".",".",up_RadSpec!$F$30*(AE30*$B35))</f>
        <v>189572.96875</v>
      </c>
      <c r="AF35" s="94">
        <f>IF(F35=".",".",up_RadSpec!$F$30*(AF30*$B35))</f>
        <v>189572.96875</v>
      </c>
      <c r="AG35" s="94">
        <f>IF(G35=".",".",up_RadSpec!$F$30*(AG30*$B35))</f>
        <v>189572.96875</v>
      </c>
      <c r="AH35" s="94">
        <f>IF(H35=".",".",up_RadSpec!$F$30*(AH30*$B35))</f>
        <v>189572.96875</v>
      </c>
      <c r="AI35" s="94">
        <f>IF(I35=".",".",up_RadSpec!$F$30*(AI30*$B35))</f>
        <v>189572.96875</v>
      </c>
      <c r="AJ35" s="94">
        <f>IF(J35=".",".",up_RadSpec!$F$30*(AJ30*$B35))</f>
        <v>189572.96875</v>
      </c>
      <c r="AK35" s="94">
        <f>IF(K35=".",".",up_RadSpec!$F$30*(AK30*$B35))</f>
        <v>189572.96875</v>
      </c>
      <c r="AL35" s="94">
        <f>IF(L35=".",".",up_RadSpec!$F$30*(AL30*$B35))</f>
        <v>189572.96875</v>
      </c>
      <c r="AM35" s="94">
        <f>IF(M35=".",".",up_RadSpec!$F$30*(AM30*$B35))</f>
        <v>189572.96875</v>
      </c>
      <c r="AN35" s="94">
        <f>IF(N35=".",".",up_RadSpec!$F$30*(AN30*$B35))</f>
        <v>189572.96875</v>
      </c>
      <c r="AO35" s="94">
        <f>IF(O35=".",".",up_RadSpec!$F$30*(AO30*$B35))</f>
        <v>189572.96875</v>
      </c>
      <c r="AP35" s="94">
        <f>IF(P35=".",".",up_RadSpec!$F$30*(AP30*$B35))</f>
        <v>189572.96875</v>
      </c>
      <c r="AQ35" s="94">
        <f>IF(Q35=".",".",up_RadSpec!$F$30*(AQ30*$B35))</f>
        <v>189572.96875</v>
      </c>
      <c r="AR35" s="94">
        <f>IF(R35=".",".",up_RadSpec!$F$30*(AR30*$B35))</f>
        <v>189572.96875</v>
      </c>
      <c r="AS35" s="94">
        <f>IF(S35=".",".",up_RadSpec!$F$30*(AS30*$B35))</f>
        <v>189572.96875</v>
      </c>
      <c r="AT35" s="94">
        <f>IF(T35=".",".",up_RadSpec!$F$30*(AT30*$B35))</f>
        <v>189572.96875</v>
      </c>
      <c r="AU35" s="94">
        <f>IF(U35=".",".",up_RadSpec!$F$30*(AU30*$B35))</f>
        <v>189572.96875</v>
      </c>
      <c r="AV35" s="94">
        <f>IF(V35=".",".",up_RadSpec!$F$30*(AV30*$B35))</f>
        <v>189572.96875</v>
      </c>
      <c r="AW35" s="94">
        <f>IF(W35=".",".",up_RadSpec!$F$30*(AW30*$B35))</f>
        <v>189572.96875</v>
      </c>
      <c r="AX35" s="94">
        <f>IF(X35=".",".",up_RadSpec!$F$30*(AX30*$B35))</f>
        <v>189572.96875</v>
      </c>
      <c r="AY35" s="94">
        <f>IF(Y35=".",".",up_RadSpec!$F$30*(AY30*$B35))</f>
        <v>189572.96875</v>
      </c>
      <c r="AZ35" s="94">
        <f>IF(Z35=".",".",up_RadSpec!$F$30*(AZ30*$B35))</f>
        <v>189572.96875</v>
      </c>
      <c r="BA35" s="94">
        <f>IF(AA35=".",".",up_RadSpec!$F$30*(BA30*$B35))</f>
        <v>189572.96875</v>
      </c>
      <c r="BB35" s="94">
        <f>IF(AB35=".",".",up_RadSpec!$F$30*(BB30*$B35))</f>
        <v>189572.96875</v>
      </c>
      <c r="BC35" s="60">
        <f t="shared" ref="BC35:CB35" si="38">IFERROR(BC30/$B35,".")</f>
        <v>3.2968835384132272E-5</v>
      </c>
      <c r="BD35" s="60">
        <f t="shared" si="38"/>
        <v>1.3187534153652909E-4</v>
      </c>
      <c r="BE35" s="60">
        <f t="shared" si="38"/>
        <v>1.3187534153652909E-4</v>
      </c>
      <c r="BF35" s="60">
        <f t="shared" si="38"/>
        <v>1.3187534153652909E-4</v>
      </c>
      <c r="BG35" s="60">
        <f t="shared" si="38"/>
        <v>1.3187534153652909E-4</v>
      </c>
      <c r="BH35" s="60">
        <f t="shared" si="38"/>
        <v>1.3187534153652909E-4</v>
      </c>
      <c r="BI35" s="60">
        <f t="shared" si="38"/>
        <v>1.3187534153652909E-4</v>
      </c>
      <c r="BJ35" s="60">
        <f t="shared" si="38"/>
        <v>1.3187534153652909E-4</v>
      </c>
      <c r="BK35" s="60">
        <f t="shared" si="38"/>
        <v>1.3187534153652909E-4</v>
      </c>
      <c r="BL35" s="60">
        <f t="shared" si="38"/>
        <v>1.3187534153652909E-4</v>
      </c>
      <c r="BM35" s="60">
        <f t="shared" si="38"/>
        <v>1.3187534153652909E-4</v>
      </c>
      <c r="BN35" s="60">
        <f t="shared" si="38"/>
        <v>1.3187534153652909E-4</v>
      </c>
      <c r="BO35" s="60">
        <f t="shared" si="38"/>
        <v>1.3187534153652909E-4</v>
      </c>
      <c r="BP35" s="60">
        <f t="shared" si="38"/>
        <v>1.3187534153652909E-4</v>
      </c>
      <c r="BQ35" s="60">
        <f t="shared" si="38"/>
        <v>1.3187534153652909E-4</v>
      </c>
      <c r="BR35" s="60">
        <f t="shared" si="38"/>
        <v>1.3187534153652909E-4</v>
      </c>
      <c r="BS35" s="60">
        <f t="shared" si="38"/>
        <v>1.3187534153652909E-4</v>
      </c>
      <c r="BT35" s="60">
        <f t="shared" si="38"/>
        <v>1.3187534153652909E-4</v>
      </c>
      <c r="BU35" s="60">
        <f t="shared" si="38"/>
        <v>1.3187534153652909E-4</v>
      </c>
      <c r="BV35" s="60">
        <f t="shared" si="38"/>
        <v>1.3187534153652909E-4</v>
      </c>
      <c r="BW35" s="60">
        <f t="shared" si="38"/>
        <v>1.3187534153652909E-4</v>
      </c>
      <c r="BX35" s="60">
        <f t="shared" si="38"/>
        <v>1.3187534153652909E-4</v>
      </c>
      <c r="BY35" s="60">
        <f t="shared" si="38"/>
        <v>1.3187534153652909E-4</v>
      </c>
      <c r="BZ35" s="60">
        <f t="shared" si="38"/>
        <v>1.3187534153652909E-4</v>
      </c>
      <c r="CA35" s="60">
        <f t="shared" si="38"/>
        <v>1.3187534153652909E-4</v>
      </c>
      <c r="CB35" s="60">
        <f t="shared" si="38"/>
        <v>1.3187534153652909E-4</v>
      </c>
      <c r="CC35" s="94">
        <f t="shared" si="34"/>
        <v>758291.875</v>
      </c>
      <c r="CD35" s="94">
        <f>IF(BD35=".",".",up_RadSpec!$F$30*(CD30*$B35))</f>
        <v>189572.96875</v>
      </c>
      <c r="CE35" s="94">
        <f>IF(BE35=".",".",up_RadSpec!$F$30*(CE30*$B35))</f>
        <v>189572.96875</v>
      </c>
      <c r="CF35" s="94">
        <f>IF(BF35=".",".",up_RadSpec!$F$30*(CF30*$B35))</f>
        <v>189572.96875</v>
      </c>
      <c r="CG35" s="94">
        <f>IF(BG35=".",".",up_RadSpec!$F$30*(CG30*$B35))</f>
        <v>189572.96875</v>
      </c>
      <c r="CH35" s="94">
        <f>IF(BH35=".",".",up_RadSpec!$F$30*(CH30*$B35))</f>
        <v>189572.96875</v>
      </c>
      <c r="CI35" s="94">
        <f>IF(BI35=".",".",up_RadSpec!$F$30*(CI30*$B35))</f>
        <v>189572.96875</v>
      </c>
      <c r="CJ35" s="94">
        <f>IF(BJ35=".",".",up_RadSpec!$F$30*(CJ30*$B35))</f>
        <v>189572.96875</v>
      </c>
      <c r="CK35" s="94">
        <f>IF(BK35=".",".",up_RadSpec!$F$30*(CK30*$B35))</f>
        <v>189572.96875</v>
      </c>
      <c r="CL35" s="94">
        <f>IF(BL35=".",".",up_RadSpec!$F$30*(CL30*$B35))</f>
        <v>189572.96875</v>
      </c>
      <c r="CM35" s="94">
        <f>IF(BM35=".",".",up_RadSpec!$F$30*(CM30*$B35))</f>
        <v>189572.96875</v>
      </c>
      <c r="CN35" s="94">
        <f>IF(BN35=".",".",up_RadSpec!$F$30*(CN30*$B35))</f>
        <v>189572.96875</v>
      </c>
      <c r="CO35" s="94">
        <f>IF(BO35=".",".",up_RadSpec!$F$30*(CO30*$B35))</f>
        <v>189572.96875</v>
      </c>
      <c r="CP35" s="94">
        <f>IF(BP35=".",".",up_RadSpec!$F$30*(CP30*$B35))</f>
        <v>189572.96875</v>
      </c>
      <c r="CQ35" s="94">
        <f>IF(BQ35=".",".",up_RadSpec!$F$30*(CQ30*$B35))</f>
        <v>189572.96875</v>
      </c>
      <c r="CR35" s="94">
        <f>IF(BR35=".",".",up_RadSpec!$F$30*(CR30*$B35))</f>
        <v>189572.96875</v>
      </c>
      <c r="CS35" s="94">
        <f>IF(BS35=".",".",up_RadSpec!$F$30*(CS30*$B35))</f>
        <v>189572.96875</v>
      </c>
      <c r="CT35" s="94">
        <f>IF(BT35=".",".",up_RadSpec!$F$30*(CT30*$B35))</f>
        <v>189572.96875</v>
      </c>
      <c r="CU35" s="94">
        <f>IF(BU35=".",".",up_RadSpec!$F$30*(CU30*$B35))</f>
        <v>189572.96875</v>
      </c>
      <c r="CV35" s="94">
        <f>IF(BV35=".",".",up_RadSpec!$F$30*(CV30*$B35))</f>
        <v>189572.96875</v>
      </c>
      <c r="CW35" s="94">
        <f>IF(BW35=".",".",up_RadSpec!$F$30*(CW30*$B35))</f>
        <v>189572.96875</v>
      </c>
      <c r="CX35" s="94">
        <f>IF(BX35=".",".",up_RadSpec!$F$30*(CX30*$B35))</f>
        <v>189572.96875</v>
      </c>
      <c r="CY35" s="94">
        <f>IF(BY35=".",".",up_RadSpec!$F$30*(CY30*$B35))</f>
        <v>189572.96875</v>
      </c>
      <c r="CZ35" s="94">
        <f>IF(BZ35=".",".",up_RadSpec!$F$30*(CZ30*$B35))</f>
        <v>189572.96875</v>
      </c>
      <c r="DA35" s="94">
        <f>IF(CA35=".",".",up_RadSpec!$F$30*(DA30*$B35))</f>
        <v>189572.96875</v>
      </c>
      <c r="DB35" s="94">
        <f>IF(CB35=".",".",up_RadSpec!$F$30*(DB30*$B35))</f>
        <v>189572.96875</v>
      </c>
    </row>
    <row r="36" spans="1:106" x14ac:dyDescent="0.25">
      <c r="A36" s="77" t="s">
        <v>1064</v>
      </c>
      <c r="B36" s="42">
        <v>1</v>
      </c>
      <c r="C36" s="60">
        <f t="shared" ref="C36:AB36" si="39">IFERROR(C26/$B36,".")</f>
        <v>3.2968835384132272E-5</v>
      </c>
      <c r="D36" s="60">
        <f t="shared" si="39"/>
        <v>1.3187534153652909E-4</v>
      </c>
      <c r="E36" s="60">
        <f t="shared" si="39"/>
        <v>1.3187534153652909E-4</v>
      </c>
      <c r="F36" s="60">
        <f t="shared" si="39"/>
        <v>1.3187534153652909E-4</v>
      </c>
      <c r="G36" s="60">
        <f t="shared" si="39"/>
        <v>1.3187534153652909E-4</v>
      </c>
      <c r="H36" s="60">
        <f t="shared" si="39"/>
        <v>1.3187534153652909E-4</v>
      </c>
      <c r="I36" s="60">
        <f t="shared" si="39"/>
        <v>1.3187534153652909E-4</v>
      </c>
      <c r="J36" s="60">
        <f t="shared" si="39"/>
        <v>1.3187534153652909E-4</v>
      </c>
      <c r="K36" s="60">
        <f t="shared" si="39"/>
        <v>1.3187534153652909E-4</v>
      </c>
      <c r="L36" s="60">
        <f t="shared" si="39"/>
        <v>1.3187534153652909E-4</v>
      </c>
      <c r="M36" s="60">
        <f t="shared" si="39"/>
        <v>1.3187534153652909E-4</v>
      </c>
      <c r="N36" s="60">
        <f t="shared" si="39"/>
        <v>1.3187534153652909E-4</v>
      </c>
      <c r="O36" s="60">
        <f t="shared" si="39"/>
        <v>1.3187534153652909E-4</v>
      </c>
      <c r="P36" s="60">
        <f t="shared" si="39"/>
        <v>1.3187534153652909E-4</v>
      </c>
      <c r="Q36" s="60">
        <f t="shared" si="39"/>
        <v>1.3187534153652909E-4</v>
      </c>
      <c r="R36" s="60">
        <f t="shared" si="39"/>
        <v>1.3187534153652909E-4</v>
      </c>
      <c r="S36" s="60">
        <f t="shared" si="39"/>
        <v>1.3187534153652909E-4</v>
      </c>
      <c r="T36" s="60">
        <f t="shared" si="39"/>
        <v>1.3187534153652909E-4</v>
      </c>
      <c r="U36" s="60">
        <f t="shared" si="39"/>
        <v>1.3187534153652909E-4</v>
      </c>
      <c r="V36" s="60">
        <f t="shared" si="39"/>
        <v>1.3187534153652909E-4</v>
      </c>
      <c r="W36" s="60">
        <f t="shared" si="39"/>
        <v>1.3187534153652909E-4</v>
      </c>
      <c r="X36" s="60">
        <f t="shared" si="39"/>
        <v>1.3187534153652909E-4</v>
      </c>
      <c r="Y36" s="60">
        <f t="shared" si="39"/>
        <v>1.3187534153652909E-4</v>
      </c>
      <c r="Z36" s="60">
        <f t="shared" si="39"/>
        <v>1.3187534153652909E-4</v>
      </c>
      <c r="AA36" s="60">
        <f t="shared" si="39"/>
        <v>1.3187534153652909E-4</v>
      </c>
      <c r="AB36" s="60">
        <f t="shared" si="39"/>
        <v>1.3187534153652909E-4</v>
      </c>
      <c r="AC36" s="94">
        <f t="shared" si="32"/>
        <v>758291.875</v>
      </c>
      <c r="AD36" s="94">
        <f>IF(D36=".",".",up_RadSpec!$F$26*(AD26*$B36))</f>
        <v>189572.96875</v>
      </c>
      <c r="AE36" s="94">
        <f>IF(E36=".",".",up_RadSpec!$F$26*(AE26*$B36))</f>
        <v>189572.96875</v>
      </c>
      <c r="AF36" s="94">
        <f>IF(F36=".",".",up_RadSpec!$F$26*(AF26*$B36))</f>
        <v>189572.96875</v>
      </c>
      <c r="AG36" s="94">
        <f>IF(G36=".",".",up_RadSpec!$F$26*(AG26*$B36))</f>
        <v>189572.96875</v>
      </c>
      <c r="AH36" s="94">
        <f>IF(H36=".",".",up_RadSpec!$F$26*(AH26*$B36))</f>
        <v>189572.96875</v>
      </c>
      <c r="AI36" s="94">
        <f>IF(I36=".",".",up_RadSpec!$F$26*(AI26*$B36))</f>
        <v>189572.96875</v>
      </c>
      <c r="AJ36" s="94">
        <f>IF(J36=".",".",up_RadSpec!$F$26*(AJ26*$B36))</f>
        <v>189572.96875</v>
      </c>
      <c r="AK36" s="94">
        <f>IF(K36=".",".",up_RadSpec!$F$26*(AK26*$B36))</f>
        <v>189572.96875</v>
      </c>
      <c r="AL36" s="94">
        <f>IF(L36=".",".",up_RadSpec!$F$26*(AL26*$B36))</f>
        <v>189572.96875</v>
      </c>
      <c r="AM36" s="94">
        <f>IF(M36=".",".",up_RadSpec!$F$26*(AM26*$B36))</f>
        <v>189572.96875</v>
      </c>
      <c r="AN36" s="94">
        <f>IF(N36=".",".",up_RadSpec!$F$26*(AN26*$B36))</f>
        <v>189572.96875</v>
      </c>
      <c r="AO36" s="94">
        <f>IF(O36=".",".",up_RadSpec!$F$26*(AO26*$B36))</f>
        <v>189572.96875</v>
      </c>
      <c r="AP36" s="94">
        <f>IF(P36=".",".",up_RadSpec!$F$26*(AP26*$B36))</f>
        <v>189572.96875</v>
      </c>
      <c r="AQ36" s="94">
        <f>IF(Q36=".",".",up_RadSpec!$F$26*(AQ26*$B36))</f>
        <v>189572.96875</v>
      </c>
      <c r="AR36" s="94">
        <f>IF(R36=".",".",up_RadSpec!$F$26*(AR26*$B36))</f>
        <v>189572.96875</v>
      </c>
      <c r="AS36" s="94">
        <f>IF(S36=".",".",up_RadSpec!$F$26*(AS26*$B36))</f>
        <v>189572.96875</v>
      </c>
      <c r="AT36" s="94">
        <f>IF(T36=".",".",up_RadSpec!$F$26*(AT26*$B36))</f>
        <v>189572.96875</v>
      </c>
      <c r="AU36" s="94">
        <f>IF(U36=".",".",up_RadSpec!$F$26*(AU26*$B36))</f>
        <v>189572.96875</v>
      </c>
      <c r="AV36" s="94">
        <f>IF(V36=".",".",up_RadSpec!$F$26*(AV26*$B36))</f>
        <v>189572.96875</v>
      </c>
      <c r="AW36" s="94">
        <f>IF(W36=".",".",up_RadSpec!$F$26*(AW26*$B36))</f>
        <v>189572.96875</v>
      </c>
      <c r="AX36" s="94">
        <f>IF(X36=".",".",up_RadSpec!$F$26*(AX26*$B36))</f>
        <v>189572.96875</v>
      </c>
      <c r="AY36" s="94">
        <f>IF(Y36=".",".",up_RadSpec!$F$26*(AY26*$B36))</f>
        <v>189572.96875</v>
      </c>
      <c r="AZ36" s="94">
        <f>IF(Z36=".",".",up_RadSpec!$F$26*(AZ26*$B36))</f>
        <v>189572.96875</v>
      </c>
      <c r="BA36" s="94">
        <f>IF(AA36=".",".",up_RadSpec!$F$26*(BA26*$B36))</f>
        <v>189572.96875</v>
      </c>
      <c r="BB36" s="94">
        <f>IF(AB36=".",".",up_RadSpec!$F$26*(BB26*$B36))</f>
        <v>189572.96875</v>
      </c>
      <c r="BC36" s="60">
        <f t="shared" ref="BC36:CB36" si="40">IFERROR(BC26/$B36,".")</f>
        <v>3.2968835384132272E-5</v>
      </c>
      <c r="BD36" s="60">
        <f t="shared" si="40"/>
        <v>1.3187534153652909E-4</v>
      </c>
      <c r="BE36" s="60">
        <f t="shared" si="40"/>
        <v>1.3187534153652909E-4</v>
      </c>
      <c r="BF36" s="60">
        <f t="shared" si="40"/>
        <v>1.3187534153652909E-4</v>
      </c>
      <c r="BG36" s="60">
        <f t="shared" si="40"/>
        <v>1.3187534153652909E-4</v>
      </c>
      <c r="BH36" s="60">
        <f t="shared" si="40"/>
        <v>1.3187534153652909E-4</v>
      </c>
      <c r="BI36" s="60">
        <f t="shared" si="40"/>
        <v>1.3187534153652909E-4</v>
      </c>
      <c r="BJ36" s="60">
        <f t="shared" si="40"/>
        <v>1.3187534153652909E-4</v>
      </c>
      <c r="BK36" s="60">
        <f t="shared" si="40"/>
        <v>1.3187534153652909E-4</v>
      </c>
      <c r="BL36" s="60">
        <f t="shared" si="40"/>
        <v>1.3187534153652909E-4</v>
      </c>
      <c r="BM36" s="60">
        <f t="shared" si="40"/>
        <v>1.3187534153652909E-4</v>
      </c>
      <c r="BN36" s="60">
        <f t="shared" si="40"/>
        <v>1.3187534153652909E-4</v>
      </c>
      <c r="BO36" s="60">
        <f t="shared" si="40"/>
        <v>1.3187534153652909E-4</v>
      </c>
      <c r="BP36" s="60">
        <f t="shared" si="40"/>
        <v>1.3187534153652909E-4</v>
      </c>
      <c r="BQ36" s="60">
        <f t="shared" si="40"/>
        <v>1.3187534153652909E-4</v>
      </c>
      <c r="BR36" s="60">
        <f t="shared" si="40"/>
        <v>1.3187534153652909E-4</v>
      </c>
      <c r="BS36" s="60">
        <f t="shared" si="40"/>
        <v>1.3187534153652909E-4</v>
      </c>
      <c r="BT36" s="60">
        <f t="shared" si="40"/>
        <v>1.3187534153652909E-4</v>
      </c>
      <c r="BU36" s="60">
        <f t="shared" si="40"/>
        <v>1.3187534153652909E-4</v>
      </c>
      <c r="BV36" s="60">
        <f t="shared" si="40"/>
        <v>1.3187534153652909E-4</v>
      </c>
      <c r="BW36" s="60">
        <f t="shared" si="40"/>
        <v>1.3187534153652909E-4</v>
      </c>
      <c r="BX36" s="60">
        <f t="shared" si="40"/>
        <v>1.3187534153652909E-4</v>
      </c>
      <c r="BY36" s="60">
        <f t="shared" si="40"/>
        <v>1.3187534153652909E-4</v>
      </c>
      <c r="BZ36" s="60">
        <f t="shared" si="40"/>
        <v>1.3187534153652909E-4</v>
      </c>
      <c r="CA36" s="60">
        <f t="shared" si="40"/>
        <v>1.3187534153652909E-4</v>
      </c>
      <c r="CB36" s="60">
        <f t="shared" si="40"/>
        <v>1.3187534153652909E-4</v>
      </c>
      <c r="CC36" s="94">
        <f t="shared" si="34"/>
        <v>758291.875</v>
      </c>
      <c r="CD36" s="94">
        <f>IF(BD36=".",".",up_RadSpec!$F$26*(CD26*$B36))</f>
        <v>189572.96875</v>
      </c>
      <c r="CE36" s="94">
        <f>IF(BE36=".",".",up_RadSpec!$F$26*(CE26*$B36))</f>
        <v>189572.96875</v>
      </c>
      <c r="CF36" s="94">
        <f>IF(BF36=".",".",up_RadSpec!$F$26*(CF26*$B36))</f>
        <v>189572.96875</v>
      </c>
      <c r="CG36" s="94">
        <f>IF(BG36=".",".",up_RadSpec!$F$26*(CG26*$B36))</f>
        <v>189572.96875</v>
      </c>
      <c r="CH36" s="94">
        <f>IF(BH36=".",".",up_RadSpec!$F$26*(CH26*$B36))</f>
        <v>189572.96875</v>
      </c>
      <c r="CI36" s="94">
        <f>IF(BI36=".",".",up_RadSpec!$F$26*(CI26*$B36))</f>
        <v>189572.96875</v>
      </c>
      <c r="CJ36" s="94">
        <f>IF(BJ36=".",".",up_RadSpec!$F$26*(CJ26*$B36))</f>
        <v>189572.96875</v>
      </c>
      <c r="CK36" s="94">
        <f>IF(BK36=".",".",up_RadSpec!$F$26*(CK26*$B36))</f>
        <v>189572.96875</v>
      </c>
      <c r="CL36" s="94">
        <f>IF(BL36=".",".",up_RadSpec!$F$26*(CL26*$B36))</f>
        <v>189572.96875</v>
      </c>
      <c r="CM36" s="94">
        <f>IF(BM36=".",".",up_RadSpec!$F$26*(CM26*$B36))</f>
        <v>189572.96875</v>
      </c>
      <c r="CN36" s="94">
        <f>IF(BN36=".",".",up_RadSpec!$F$26*(CN26*$B36))</f>
        <v>189572.96875</v>
      </c>
      <c r="CO36" s="94">
        <f>IF(BO36=".",".",up_RadSpec!$F$26*(CO26*$B36))</f>
        <v>189572.96875</v>
      </c>
      <c r="CP36" s="94">
        <f>IF(BP36=".",".",up_RadSpec!$F$26*(CP26*$B36))</f>
        <v>189572.96875</v>
      </c>
      <c r="CQ36" s="94">
        <f>IF(BQ36=".",".",up_RadSpec!$F$26*(CQ26*$B36))</f>
        <v>189572.96875</v>
      </c>
      <c r="CR36" s="94">
        <f>IF(BR36=".",".",up_RadSpec!$F$26*(CR26*$B36))</f>
        <v>189572.96875</v>
      </c>
      <c r="CS36" s="94">
        <f>IF(BS36=".",".",up_RadSpec!$F$26*(CS26*$B36))</f>
        <v>189572.96875</v>
      </c>
      <c r="CT36" s="94">
        <f>IF(BT36=".",".",up_RadSpec!$F$26*(CT26*$B36))</f>
        <v>189572.96875</v>
      </c>
      <c r="CU36" s="94">
        <f>IF(BU36=".",".",up_RadSpec!$F$26*(CU26*$B36))</f>
        <v>189572.96875</v>
      </c>
      <c r="CV36" s="94">
        <f>IF(BV36=".",".",up_RadSpec!$F$26*(CV26*$B36))</f>
        <v>189572.96875</v>
      </c>
      <c r="CW36" s="94">
        <f>IF(BW36=".",".",up_RadSpec!$F$26*(CW26*$B36))</f>
        <v>189572.96875</v>
      </c>
      <c r="CX36" s="94">
        <f>IF(BX36=".",".",up_RadSpec!$F$26*(CX26*$B36))</f>
        <v>189572.96875</v>
      </c>
      <c r="CY36" s="94">
        <f>IF(BY36=".",".",up_RadSpec!$F$26*(CY26*$B36))</f>
        <v>189572.96875</v>
      </c>
      <c r="CZ36" s="94">
        <f>IF(BZ36=".",".",up_RadSpec!$F$26*(CZ26*$B36))</f>
        <v>189572.96875</v>
      </c>
      <c r="DA36" s="94">
        <f>IF(CA36=".",".",up_RadSpec!$F$26*(DA26*$B36))</f>
        <v>189572.96875</v>
      </c>
      <c r="DB36" s="94">
        <f>IF(CB36=".",".",up_RadSpec!$F$26*(DB26*$B36))</f>
        <v>189572.96875</v>
      </c>
    </row>
    <row r="37" spans="1:106" x14ac:dyDescent="0.25">
      <c r="A37" s="77" t="s">
        <v>1065</v>
      </c>
      <c r="B37" s="42">
        <v>1</v>
      </c>
      <c r="C37" s="60">
        <f t="shared" ref="C37:AB37" si="41">IFERROR(C22/$B37,".")</f>
        <v>3.2968835384132272E-5</v>
      </c>
      <c r="D37" s="60">
        <f t="shared" si="41"/>
        <v>1.3187534153652909E-4</v>
      </c>
      <c r="E37" s="60">
        <f t="shared" si="41"/>
        <v>1.3187534153652909E-4</v>
      </c>
      <c r="F37" s="60">
        <f t="shared" si="41"/>
        <v>1.3187534153652909E-4</v>
      </c>
      <c r="G37" s="60">
        <f t="shared" si="41"/>
        <v>1.3187534153652909E-4</v>
      </c>
      <c r="H37" s="60">
        <f t="shared" si="41"/>
        <v>1.3187534153652909E-4</v>
      </c>
      <c r="I37" s="60">
        <f t="shared" si="41"/>
        <v>1.3187534153652909E-4</v>
      </c>
      <c r="J37" s="60">
        <f t="shared" si="41"/>
        <v>1.3187534153652909E-4</v>
      </c>
      <c r="K37" s="60">
        <f t="shared" si="41"/>
        <v>1.3187534153652909E-4</v>
      </c>
      <c r="L37" s="60">
        <f t="shared" si="41"/>
        <v>1.3187534153652909E-4</v>
      </c>
      <c r="M37" s="60">
        <f t="shared" si="41"/>
        <v>1.3187534153652909E-4</v>
      </c>
      <c r="N37" s="60">
        <f t="shared" si="41"/>
        <v>1.3187534153652909E-4</v>
      </c>
      <c r="O37" s="60">
        <f t="shared" si="41"/>
        <v>1.3187534153652909E-4</v>
      </c>
      <c r="P37" s="60">
        <f t="shared" si="41"/>
        <v>1.3187534153652909E-4</v>
      </c>
      <c r="Q37" s="60">
        <f t="shared" si="41"/>
        <v>1.3187534153652909E-4</v>
      </c>
      <c r="R37" s="60">
        <f t="shared" si="41"/>
        <v>1.3187534153652909E-4</v>
      </c>
      <c r="S37" s="60">
        <f t="shared" si="41"/>
        <v>1.3187534153652909E-4</v>
      </c>
      <c r="T37" s="60">
        <f t="shared" si="41"/>
        <v>1.3187534153652909E-4</v>
      </c>
      <c r="U37" s="60">
        <f t="shared" si="41"/>
        <v>1.3187534153652909E-4</v>
      </c>
      <c r="V37" s="60">
        <f t="shared" si="41"/>
        <v>1.3187534153652909E-4</v>
      </c>
      <c r="W37" s="60">
        <f t="shared" si="41"/>
        <v>1.3187534153652909E-4</v>
      </c>
      <c r="X37" s="60">
        <f t="shared" si="41"/>
        <v>1.3187534153652909E-4</v>
      </c>
      <c r="Y37" s="60">
        <f t="shared" si="41"/>
        <v>1.3187534153652909E-4</v>
      </c>
      <c r="Z37" s="60">
        <f t="shared" si="41"/>
        <v>1.3187534153652909E-4</v>
      </c>
      <c r="AA37" s="60">
        <f t="shared" si="41"/>
        <v>1.3187534153652909E-4</v>
      </c>
      <c r="AB37" s="60">
        <f t="shared" si="41"/>
        <v>1.3187534153652909E-4</v>
      </c>
      <c r="AC37" s="94">
        <f t="shared" si="32"/>
        <v>758291.875</v>
      </c>
      <c r="AD37" s="94">
        <f>IF(D37=".",".",up_RadSpec!$F$22*(AD22*$B37))</f>
        <v>189572.96875</v>
      </c>
      <c r="AE37" s="94">
        <f>IF(E37=".",".",up_RadSpec!$F$22*(AE22*$B37))</f>
        <v>189572.96875</v>
      </c>
      <c r="AF37" s="94">
        <f>IF(F37=".",".",up_RadSpec!$F$22*(AF22*$B37))</f>
        <v>189572.96875</v>
      </c>
      <c r="AG37" s="94">
        <f>IF(G37=".",".",up_RadSpec!$F$22*(AG22*$B37))</f>
        <v>189572.96875</v>
      </c>
      <c r="AH37" s="94">
        <f>IF(H37=".",".",up_RadSpec!$F$22*(AH22*$B37))</f>
        <v>189572.96875</v>
      </c>
      <c r="AI37" s="94">
        <f>IF(I37=".",".",up_RadSpec!$F$22*(AI22*$B37))</f>
        <v>189572.96875</v>
      </c>
      <c r="AJ37" s="94">
        <f>IF(J37=".",".",up_RadSpec!$F$22*(AJ22*$B37))</f>
        <v>189572.96875</v>
      </c>
      <c r="AK37" s="94">
        <f>IF(K37=".",".",up_RadSpec!$F$22*(AK22*$B37))</f>
        <v>189572.96875</v>
      </c>
      <c r="AL37" s="94">
        <f>IF(L37=".",".",up_RadSpec!$F$22*(AL22*$B37))</f>
        <v>189572.96875</v>
      </c>
      <c r="AM37" s="94">
        <f>IF(M37=".",".",up_RadSpec!$F$22*(AM22*$B37))</f>
        <v>189572.96875</v>
      </c>
      <c r="AN37" s="94">
        <f>IF(N37=".",".",up_RadSpec!$F$22*(AN22*$B37))</f>
        <v>189572.96875</v>
      </c>
      <c r="AO37" s="94">
        <f>IF(O37=".",".",up_RadSpec!$F$22*(AO22*$B37))</f>
        <v>189572.96875</v>
      </c>
      <c r="AP37" s="94">
        <f>IF(P37=".",".",up_RadSpec!$F$22*(AP22*$B37))</f>
        <v>189572.96875</v>
      </c>
      <c r="AQ37" s="94">
        <f>IF(Q37=".",".",up_RadSpec!$F$22*(AQ22*$B37))</f>
        <v>189572.96875</v>
      </c>
      <c r="AR37" s="94">
        <f>IF(R37=".",".",up_RadSpec!$F$22*(AR22*$B37))</f>
        <v>189572.96875</v>
      </c>
      <c r="AS37" s="94">
        <f>IF(S37=".",".",up_RadSpec!$F$22*(AS22*$B37))</f>
        <v>189572.96875</v>
      </c>
      <c r="AT37" s="94">
        <f>IF(T37=".",".",up_RadSpec!$F$22*(AT22*$B37))</f>
        <v>189572.96875</v>
      </c>
      <c r="AU37" s="94">
        <f>IF(U37=".",".",up_RadSpec!$F$22*(AU22*$B37))</f>
        <v>189572.96875</v>
      </c>
      <c r="AV37" s="94">
        <f>IF(V37=".",".",up_RadSpec!$F$22*(AV22*$B37))</f>
        <v>189572.96875</v>
      </c>
      <c r="AW37" s="94">
        <f>IF(W37=".",".",up_RadSpec!$F$22*(AW22*$B37))</f>
        <v>189572.96875</v>
      </c>
      <c r="AX37" s="94">
        <f>IF(X37=".",".",up_RadSpec!$F$22*(AX22*$B37))</f>
        <v>189572.96875</v>
      </c>
      <c r="AY37" s="94">
        <f>IF(Y37=".",".",up_RadSpec!$F$22*(AY22*$B37))</f>
        <v>189572.96875</v>
      </c>
      <c r="AZ37" s="94">
        <f>IF(Z37=".",".",up_RadSpec!$F$22*(AZ22*$B37))</f>
        <v>189572.96875</v>
      </c>
      <c r="BA37" s="94">
        <f>IF(AA37=".",".",up_RadSpec!$F$22*(BA22*$B37))</f>
        <v>189572.96875</v>
      </c>
      <c r="BB37" s="94">
        <f>IF(AB37=".",".",up_RadSpec!$F$22*(BB22*$B37))</f>
        <v>189572.96875</v>
      </c>
      <c r="BC37" s="60">
        <f t="shared" ref="BC37:CB37" si="42">IFERROR(BC22/$B37,".")</f>
        <v>3.2968835384132272E-5</v>
      </c>
      <c r="BD37" s="60">
        <f t="shared" si="42"/>
        <v>1.3187534153652909E-4</v>
      </c>
      <c r="BE37" s="60">
        <f t="shared" si="42"/>
        <v>1.3187534153652909E-4</v>
      </c>
      <c r="BF37" s="60">
        <f t="shared" si="42"/>
        <v>1.3187534153652909E-4</v>
      </c>
      <c r="BG37" s="60">
        <f t="shared" si="42"/>
        <v>1.3187534153652909E-4</v>
      </c>
      <c r="BH37" s="60">
        <f t="shared" si="42"/>
        <v>1.3187534153652909E-4</v>
      </c>
      <c r="BI37" s="60">
        <f t="shared" si="42"/>
        <v>1.3187534153652909E-4</v>
      </c>
      <c r="BJ37" s="60">
        <f t="shared" si="42"/>
        <v>1.3187534153652909E-4</v>
      </c>
      <c r="BK37" s="60">
        <f t="shared" si="42"/>
        <v>1.3187534153652909E-4</v>
      </c>
      <c r="BL37" s="60">
        <f t="shared" si="42"/>
        <v>1.3187534153652909E-4</v>
      </c>
      <c r="BM37" s="60">
        <f t="shared" si="42"/>
        <v>1.3187534153652909E-4</v>
      </c>
      <c r="BN37" s="60">
        <f t="shared" si="42"/>
        <v>1.3187534153652909E-4</v>
      </c>
      <c r="BO37" s="60">
        <f t="shared" si="42"/>
        <v>1.3187534153652909E-4</v>
      </c>
      <c r="BP37" s="60">
        <f t="shared" si="42"/>
        <v>1.3187534153652909E-4</v>
      </c>
      <c r="BQ37" s="60">
        <f t="shared" si="42"/>
        <v>1.3187534153652909E-4</v>
      </c>
      <c r="BR37" s="60">
        <f t="shared" si="42"/>
        <v>1.3187534153652909E-4</v>
      </c>
      <c r="BS37" s="60">
        <f t="shared" si="42"/>
        <v>1.3187534153652909E-4</v>
      </c>
      <c r="BT37" s="60">
        <f t="shared" si="42"/>
        <v>1.3187534153652909E-4</v>
      </c>
      <c r="BU37" s="60">
        <f t="shared" si="42"/>
        <v>1.3187534153652909E-4</v>
      </c>
      <c r="BV37" s="60">
        <f t="shared" si="42"/>
        <v>1.3187534153652909E-4</v>
      </c>
      <c r="BW37" s="60">
        <f t="shared" si="42"/>
        <v>1.3187534153652909E-4</v>
      </c>
      <c r="BX37" s="60">
        <f t="shared" si="42"/>
        <v>1.3187534153652909E-4</v>
      </c>
      <c r="BY37" s="60">
        <f t="shared" si="42"/>
        <v>1.3187534153652909E-4</v>
      </c>
      <c r="BZ37" s="60">
        <f t="shared" si="42"/>
        <v>1.3187534153652909E-4</v>
      </c>
      <c r="CA37" s="60">
        <f t="shared" si="42"/>
        <v>1.3187534153652909E-4</v>
      </c>
      <c r="CB37" s="60">
        <f t="shared" si="42"/>
        <v>1.3187534153652909E-4</v>
      </c>
      <c r="CC37" s="94">
        <f t="shared" si="34"/>
        <v>758291.875</v>
      </c>
      <c r="CD37" s="94">
        <f>IF(BD37=".",".",up_RadSpec!$F$22*(CD22*$B37))</f>
        <v>189572.96875</v>
      </c>
      <c r="CE37" s="94">
        <f>IF(BE37=".",".",up_RadSpec!$F$22*(CE22*$B37))</f>
        <v>189572.96875</v>
      </c>
      <c r="CF37" s="94">
        <f>IF(BF37=".",".",up_RadSpec!$F$22*(CF22*$B37))</f>
        <v>189572.96875</v>
      </c>
      <c r="CG37" s="94">
        <f>IF(BG37=".",".",up_RadSpec!$F$22*(CG22*$B37))</f>
        <v>189572.96875</v>
      </c>
      <c r="CH37" s="94">
        <f>IF(BH37=".",".",up_RadSpec!$F$22*(CH22*$B37))</f>
        <v>189572.96875</v>
      </c>
      <c r="CI37" s="94">
        <f>IF(BI37=".",".",up_RadSpec!$F$22*(CI22*$B37))</f>
        <v>189572.96875</v>
      </c>
      <c r="CJ37" s="94">
        <f>IF(BJ37=".",".",up_RadSpec!$F$22*(CJ22*$B37))</f>
        <v>189572.96875</v>
      </c>
      <c r="CK37" s="94">
        <f>IF(BK37=".",".",up_RadSpec!$F$22*(CK22*$B37))</f>
        <v>189572.96875</v>
      </c>
      <c r="CL37" s="94">
        <f>IF(BL37=".",".",up_RadSpec!$F$22*(CL22*$B37))</f>
        <v>189572.96875</v>
      </c>
      <c r="CM37" s="94">
        <f>IF(BM37=".",".",up_RadSpec!$F$22*(CM22*$B37))</f>
        <v>189572.96875</v>
      </c>
      <c r="CN37" s="94">
        <f>IF(BN37=".",".",up_RadSpec!$F$22*(CN22*$B37))</f>
        <v>189572.96875</v>
      </c>
      <c r="CO37" s="94">
        <f>IF(BO37=".",".",up_RadSpec!$F$22*(CO22*$B37))</f>
        <v>189572.96875</v>
      </c>
      <c r="CP37" s="94">
        <f>IF(BP37=".",".",up_RadSpec!$F$22*(CP22*$B37))</f>
        <v>189572.96875</v>
      </c>
      <c r="CQ37" s="94">
        <f>IF(BQ37=".",".",up_RadSpec!$F$22*(CQ22*$B37))</f>
        <v>189572.96875</v>
      </c>
      <c r="CR37" s="94">
        <f>IF(BR37=".",".",up_RadSpec!$F$22*(CR22*$B37))</f>
        <v>189572.96875</v>
      </c>
      <c r="CS37" s="94">
        <f>IF(BS37=".",".",up_RadSpec!$F$22*(CS22*$B37))</f>
        <v>189572.96875</v>
      </c>
      <c r="CT37" s="94">
        <f>IF(BT37=".",".",up_RadSpec!$F$22*(CT22*$B37))</f>
        <v>189572.96875</v>
      </c>
      <c r="CU37" s="94">
        <f>IF(BU37=".",".",up_RadSpec!$F$22*(CU22*$B37))</f>
        <v>189572.96875</v>
      </c>
      <c r="CV37" s="94">
        <f>IF(BV37=".",".",up_RadSpec!$F$22*(CV22*$B37))</f>
        <v>189572.96875</v>
      </c>
      <c r="CW37" s="94">
        <f>IF(BW37=".",".",up_RadSpec!$F$22*(CW22*$B37))</f>
        <v>189572.96875</v>
      </c>
      <c r="CX37" s="94">
        <f>IF(BX37=".",".",up_RadSpec!$F$22*(CX22*$B37))</f>
        <v>189572.96875</v>
      </c>
      <c r="CY37" s="94">
        <f>IF(BY37=".",".",up_RadSpec!$F$22*(CY22*$B37))</f>
        <v>189572.96875</v>
      </c>
      <c r="CZ37" s="94">
        <f>IF(BZ37=".",".",up_RadSpec!$F$22*(CZ22*$B37))</f>
        <v>189572.96875</v>
      </c>
      <c r="DA37" s="94">
        <f>IF(CA37=".",".",up_RadSpec!$F$22*(DA22*$B37))</f>
        <v>189572.96875</v>
      </c>
      <c r="DB37" s="94">
        <f>IF(CB37=".",".",up_RadSpec!$F$22*(DB22*$B37))</f>
        <v>189572.96875</v>
      </c>
    </row>
    <row r="38" spans="1:106" x14ac:dyDescent="0.25">
      <c r="A38" s="77" t="s">
        <v>1066</v>
      </c>
      <c r="B38" s="42">
        <v>1</v>
      </c>
      <c r="C38" s="60">
        <f t="shared" ref="C38:AB38" si="43">IFERROR(C2/$B38,".")</f>
        <v>3.2968835384132272E-5</v>
      </c>
      <c r="D38" s="60">
        <f t="shared" si="43"/>
        <v>1.3187534153652909E-4</v>
      </c>
      <c r="E38" s="60">
        <f t="shared" si="43"/>
        <v>1.3187534153652909E-4</v>
      </c>
      <c r="F38" s="60">
        <f t="shared" si="43"/>
        <v>1.3187534153652909E-4</v>
      </c>
      <c r="G38" s="60">
        <f t="shared" si="43"/>
        <v>1.3187534153652909E-4</v>
      </c>
      <c r="H38" s="60">
        <f t="shared" si="43"/>
        <v>1.3187534153652909E-4</v>
      </c>
      <c r="I38" s="60">
        <f t="shared" si="43"/>
        <v>1.3187534153652909E-4</v>
      </c>
      <c r="J38" s="60">
        <f t="shared" si="43"/>
        <v>1.3187534153652909E-4</v>
      </c>
      <c r="K38" s="60">
        <f t="shared" si="43"/>
        <v>1.3187534153652909E-4</v>
      </c>
      <c r="L38" s="60">
        <f t="shared" si="43"/>
        <v>1.3187534153652909E-4</v>
      </c>
      <c r="M38" s="60">
        <f t="shared" si="43"/>
        <v>1.3187534153652909E-4</v>
      </c>
      <c r="N38" s="60">
        <f t="shared" si="43"/>
        <v>1.3187534153652909E-4</v>
      </c>
      <c r="O38" s="60">
        <f t="shared" si="43"/>
        <v>1.3187534153652909E-4</v>
      </c>
      <c r="P38" s="60">
        <f t="shared" si="43"/>
        <v>1.3187534153652909E-4</v>
      </c>
      <c r="Q38" s="60">
        <f t="shared" si="43"/>
        <v>1.3187534153652909E-4</v>
      </c>
      <c r="R38" s="60">
        <f t="shared" si="43"/>
        <v>1.3187534153652909E-4</v>
      </c>
      <c r="S38" s="60">
        <f t="shared" si="43"/>
        <v>1.3187534153652909E-4</v>
      </c>
      <c r="T38" s="60">
        <f t="shared" si="43"/>
        <v>1.3187534153652909E-4</v>
      </c>
      <c r="U38" s="60">
        <f t="shared" si="43"/>
        <v>1.3187534153652909E-4</v>
      </c>
      <c r="V38" s="60">
        <f t="shared" si="43"/>
        <v>1.3187534153652909E-4</v>
      </c>
      <c r="W38" s="60">
        <f t="shared" si="43"/>
        <v>1.3187534153652909E-4</v>
      </c>
      <c r="X38" s="60">
        <f t="shared" si="43"/>
        <v>1.3187534153652909E-4</v>
      </c>
      <c r="Y38" s="60">
        <f t="shared" si="43"/>
        <v>1.3187534153652909E-4</v>
      </c>
      <c r="Z38" s="60">
        <f t="shared" si="43"/>
        <v>1.3187534153652909E-4</v>
      </c>
      <c r="AA38" s="60">
        <f t="shared" si="43"/>
        <v>1.3187534153652909E-4</v>
      </c>
      <c r="AB38" s="60">
        <f t="shared" si="43"/>
        <v>1.3187534153652909E-4</v>
      </c>
      <c r="AC38" s="94">
        <f t="shared" si="32"/>
        <v>758291.875</v>
      </c>
      <c r="AD38" s="94">
        <f>IF(D38=".",".",up_RadSpec!$F$2*(AD2*$B38))</f>
        <v>189572.96875</v>
      </c>
      <c r="AE38" s="94">
        <f>IF(E38=".",".",up_RadSpec!$F$2*(AE2*$B38))</f>
        <v>189572.96875</v>
      </c>
      <c r="AF38" s="94">
        <f>IF(F38=".",".",up_RadSpec!$F$2*(AF2*$B38))</f>
        <v>189572.96875</v>
      </c>
      <c r="AG38" s="94">
        <f>IF(G38=".",".",up_RadSpec!$F$2*(AG2*$B38))</f>
        <v>189572.96875</v>
      </c>
      <c r="AH38" s="94">
        <f>IF(H38=".",".",up_RadSpec!$F$2*(AH2*$B38))</f>
        <v>189572.96875</v>
      </c>
      <c r="AI38" s="94">
        <f>IF(I38=".",".",up_RadSpec!$F$2*(AI2*$B38))</f>
        <v>189572.96875</v>
      </c>
      <c r="AJ38" s="94">
        <f>IF(J38=".",".",up_RadSpec!$F$2*(AJ2*$B38))</f>
        <v>189572.96875</v>
      </c>
      <c r="AK38" s="94">
        <f>IF(K38=".",".",up_RadSpec!$F$2*(AK2*$B38))</f>
        <v>189572.96875</v>
      </c>
      <c r="AL38" s="94">
        <f>IF(L38=".",".",up_RadSpec!$F$2*(AL2*$B38))</f>
        <v>189572.96875</v>
      </c>
      <c r="AM38" s="94">
        <f>IF(M38=".",".",up_RadSpec!$F$2*(AM2*$B38))</f>
        <v>189572.96875</v>
      </c>
      <c r="AN38" s="94">
        <f>IF(N38=".",".",up_RadSpec!$F$2*(AN2*$B38))</f>
        <v>189572.96875</v>
      </c>
      <c r="AO38" s="94">
        <f>IF(O38=".",".",up_RadSpec!$F$2*(AO2*$B38))</f>
        <v>189572.96875</v>
      </c>
      <c r="AP38" s="94">
        <f>IF(P38=".",".",up_RadSpec!$F$2*(AP2*$B38))</f>
        <v>189572.96875</v>
      </c>
      <c r="AQ38" s="94">
        <f>IF(Q38=".",".",up_RadSpec!$F$2*(AQ2*$B38))</f>
        <v>189572.96875</v>
      </c>
      <c r="AR38" s="94">
        <f>IF(R38=".",".",up_RadSpec!$F$2*(AR2*$B38))</f>
        <v>189572.96875</v>
      </c>
      <c r="AS38" s="94">
        <f>IF(S38=".",".",up_RadSpec!$F$2*(AS2*$B38))</f>
        <v>189572.96875</v>
      </c>
      <c r="AT38" s="94">
        <f>IF(T38=".",".",up_RadSpec!$F$2*(AT2*$B38))</f>
        <v>189572.96875</v>
      </c>
      <c r="AU38" s="94">
        <f>IF(U38=".",".",up_RadSpec!$F$2*(AU2*$B38))</f>
        <v>189572.96875</v>
      </c>
      <c r="AV38" s="94">
        <f>IF(V38=".",".",up_RadSpec!$F$2*(AV2*$B38))</f>
        <v>189572.96875</v>
      </c>
      <c r="AW38" s="94">
        <f>IF(W38=".",".",up_RadSpec!$F$2*(AW2*$B38))</f>
        <v>189572.96875</v>
      </c>
      <c r="AX38" s="94">
        <f>IF(X38=".",".",up_RadSpec!$F$2*(AX2*$B38))</f>
        <v>189572.96875</v>
      </c>
      <c r="AY38" s="94">
        <f>IF(Y38=".",".",up_RadSpec!$F$2*(AY2*$B38))</f>
        <v>189572.96875</v>
      </c>
      <c r="AZ38" s="94">
        <f>IF(Z38=".",".",up_RadSpec!$F$2*(AZ2*$B38))</f>
        <v>189572.96875</v>
      </c>
      <c r="BA38" s="94">
        <f>IF(AA38=".",".",up_RadSpec!$F$2*(BA2*$B38))</f>
        <v>189572.96875</v>
      </c>
      <c r="BB38" s="94">
        <f>IF(AB38=".",".",up_RadSpec!$F$2*(BB2*$B38))</f>
        <v>189572.96875</v>
      </c>
      <c r="BC38" s="60">
        <f t="shared" ref="BC38:CB38" si="44">IFERROR(BC2/$B38,".")</f>
        <v>3.2968835384132272E-5</v>
      </c>
      <c r="BD38" s="60">
        <f t="shared" si="44"/>
        <v>1.3187534153652909E-4</v>
      </c>
      <c r="BE38" s="60">
        <f t="shared" si="44"/>
        <v>1.3187534153652909E-4</v>
      </c>
      <c r="BF38" s="60">
        <f t="shared" si="44"/>
        <v>1.3187534153652909E-4</v>
      </c>
      <c r="BG38" s="60">
        <f t="shared" si="44"/>
        <v>1.3187534153652909E-4</v>
      </c>
      <c r="BH38" s="60">
        <f t="shared" si="44"/>
        <v>1.3187534153652909E-4</v>
      </c>
      <c r="BI38" s="60">
        <f t="shared" si="44"/>
        <v>1.3187534153652909E-4</v>
      </c>
      <c r="BJ38" s="60">
        <f t="shared" si="44"/>
        <v>1.3187534153652909E-4</v>
      </c>
      <c r="BK38" s="60">
        <f t="shared" si="44"/>
        <v>1.3187534153652909E-4</v>
      </c>
      <c r="BL38" s="60">
        <f t="shared" si="44"/>
        <v>1.3187534153652909E-4</v>
      </c>
      <c r="BM38" s="60">
        <f t="shared" si="44"/>
        <v>1.3187534153652909E-4</v>
      </c>
      <c r="BN38" s="60">
        <f t="shared" si="44"/>
        <v>1.3187534153652909E-4</v>
      </c>
      <c r="BO38" s="60">
        <f t="shared" si="44"/>
        <v>1.3187534153652909E-4</v>
      </c>
      <c r="BP38" s="60">
        <f t="shared" si="44"/>
        <v>1.3187534153652909E-4</v>
      </c>
      <c r="BQ38" s="60">
        <f t="shared" si="44"/>
        <v>1.3187534153652909E-4</v>
      </c>
      <c r="BR38" s="60">
        <f t="shared" si="44"/>
        <v>1.3187534153652909E-4</v>
      </c>
      <c r="BS38" s="60">
        <f t="shared" si="44"/>
        <v>1.3187534153652909E-4</v>
      </c>
      <c r="BT38" s="60">
        <f t="shared" si="44"/>
        <v>1.3187534153652909E-4</v>
      </c>
      <c r="BU38" s="60">
        <f t="shared" si="44"/>
        <v>1.3187534153652909E-4</v>
      </c>
      <c r="BV38" s="60">
        <f t="shared" si="44"/>
        <v>1.3187534153652909E-4</v>
      </c>
      <c r="BW38" s="60">
        <f t="shared" si="44"/>
        <v>1.3187534153652909E-4</v>
      </c>
      <c r="BX38" s="60">
        <f t="shared" si="44"/>
        <v>1.3187534153652909E-4</v>
      </c>
      <c r="BY38" s="60">
        <f t="shared" si="44"/>
        <v>1.3187534153652909E-4</v>
      </c>
      <c r="BZ38" s="60">
        <f t="shared" si="44"/>
        <v>1.3187534153652909E-4</v>
      </c>
      <c r="CA38" s="60">
        <f t="shared" si="44"/>
        <v>1.3187534153652909E-4</v>
      </c>
      <c r="CB38" s="60">
        <f t="shared" si="44"/>
        <v>1.3187534153652909E-4</v>
      </c>
      <c r="CC38" s="94">
        <f t="shared" si="34"/>
        <v>758291.875</v>
      </c>
      <c r="CD38" s="94">
        <f>IF(BD38=".",".",up_RadSpec!$F$2*(CD2*$B38))</f>
        <v>189572.96875</v>
      </c>
      <c r="CE38" s="94">
        <f>IF(BE38=".",".",up_RadSpec!$F$2*(CE2*$B38))</f>
        <v>189572.96875</v>
      </c>
      <c r="CF38" s="94">
        <f>IF(BF38=".",".",up_RadSpec!$F$2*(CF2*$B38))</f>
        <v>189572.96875</v>
      </c>
      <c r="CG38" s="94">
        <f>IF(BG38=".",".",up_RadSpec!$F$2*(CG2*$B38))</f>
        <v>189572.96875</v>
      </c>
      <c r="CH38" s="94">
        <f>IF(BH38=".",".",up_RadSpec!$F$2*(CH2*$B38))</f>
        <v>189572.96875</v>
      </c>
      <c r="CI38" s="94">
        <f>IF(BI38=".",".",up_RadSpec!$F$2*(CI2*$B38))</f>
        <v>189572.96875</v>
      </c>
      <c r="CJ38" s="94">
        <f>IF(BJ38=".",".",up_RadSpec!$F$2*(CJ2*$B38))</f>
        <v>189572.96875</v>
      </c>
      <c r="CK38" s="94">
        <f>IF(BK38=".",".",up_RadSpec!$F$2*(CK2*$B38))</f>
        <v>189572.96875</v>
      </c>
      <c r="CL38" s="94">
        <f>IF(BL38=".",".",up_RadSpec!$F$2*(CL2*$B38))</f>
        <v>189572.96875</v>
      </c>
      <c r="CM38" s="94">
        <f>IF(BM38=".",".",up_RadSpec!$F$2*(CM2*$B38))</f>
        <v>189572.96875</v>
      </c>
      <c r="CN38" s="94">
        <f>IF(BN38=".",".",up_RadSpec!$F$2*(CN2*$B38))</f>
        <v>189572.96875</v>
      </c>
      <c r="CO38" s="94">
        <f>IF(BO38=".",".",up_RadSpec!$F$2*(CO2*$B38))</f>
        <v>189572.96875</v>
      </c>
      <c r="CP38" s="94">
        <f>IF(BP38=".",".",up_RadSpec!$F$2*(CP2*$B38))</f>
        <v>189572.96875</v>
      </c>
      <c r="CQ38" s="94">
        <f>IF(BQ38=".",".",up_RadSpec!$F$2*(CQ2*$B38))</f>
        <v>189572.96875</v>
      </c>
      <c r="CR38" s="94">
        <f>IF(BR38=".",".",up_RadSpec!$F$2*(CR2*$B38))</f>
        <v>189572.96875</v>
      </c>
      <c r="CS38" s="94">
        <f>IF(BS38=".",".",up_RadSpec!$F$2*(CS2*$B38))</f>
        <v>189572.96875</v>
      </c>
      <c r="CT38" s="94">
        <f>IF(BT38=".",".",up_RadSpec!$F$2*(CT2*$B38))</f>
        <v>189572.96875</v>
      </c>
      <c r="CU38" s="94">
        <f>IF(BU38=".",".",up_RadSpec!$F$2*(CU2*$B38))</f>
        <v>189572.96875</v>
      </c>
      <c r="CV38" s="94">
        <f>IF(BV38=".",".",up_RadSpec!$F$2*(CV2*$B38))</f>
        <v>189572.96875</v>
      </c>
      <c r="CW38" s="94">
        <f>IF(BW38=".",".",up_RadSpec!$F$2*(CW2*$B38))</f>
        <v>189572.96875</v>
      </c>
      <c r="CX38" s="94">
        <f>IF(BX38=".",".",up_RadSpec!$F$2*(CX2*$B38))</f>
        <v>189572.96875</v>
      </c>
      <c r="CY38" s="94">
        <f>IF(BY38=".",".",up_RadSpec!$F$2*(CY2*$B38))</f>
        <v>189572.96875</v>
      </c>
      <c r="CZ38" s="94">
        <f>IF(BZ38=".",".",up_RadSpec!$F$2*(CZ2*$B38))</f>
        <v>189572.96875</v>
      </c>
      <c r="DA38" s="94">
        <f>IF(CA38=".",".",up_RadSpec!$F$2*(DA2*$B38))</f>
        <v>189572.96875</v>
      </c>
      <c r="DB38" s="94">
        <f>IF(CB38=".",".",up_RadSpec!$F$2*(DB2*$B38))</f>
        <v>189572.96875</v>
      </c>
    </row>
    <row r="39" spans="1:106" x14ac:dyDescent="0.25">
      <c r="A39" s="77" t="s">
        <v>1067</v>
      </c>
      <c r="B39" s="42">
        <v>1</v>
      </c>
      <c r="C39" s="60">
        <f t="shared" ref="C39:AB39" si="45">IFERROR(C11/$B39,".")</f>
        <v>3.2968835384132272E-5</v>
      </c>
      <c r="D39" s="60">
        <f t="shared" si="45"/>
        <v>1.3187534153652909E-4</v>
      </c>
      <c r="E39" s="60">
        <f t="shared" si="45"/>
        <v>1.3187534153652909E-4</v>
      </c>
      <c r="F39" s="60">
        <f t="shared" si="45"/>
        <v>1.3187534153652909E-4</v>
      </c>
      <c r="G39" s="60">
        <f t="shared" si="45"/>
        <v>1.3187534153652909E-4</v>
      </c>
      <c r="H39" s="60">
        <f t="shared" si="45"/>
        <v>1.3187534153652909E-4</v>
      </c>
      <c r="I39" s="60">
        <f t="shared" si="45"/>
        <v>1.3187534153652909E-4</v>
      </c>
      <c r="J39" s="60">
        <f t="shared" si="45"/>
        <v>1.3187534153652909E-4</v>
      </c>
      <c r="K39" s="60">
        <f t="shared" si="45"/>
        <v>1.3187534153652909E-4</v>
      </c>
      <c r="L39" s="60">
        <f t="shared" si="45"/>
        <v>1.3187534153652909E-4</v>
      </c>
      <c r="M39" s="60">
        <f t="shared" si="45"/>
        <v>1.3187534153652909E-4</v>
      </c>
      <c r="N39" s="60">
        <f t="shared" si="45"/>
        <v>1.3187534153652909E-4</v>
      </c>
      <c r="O39" s="60">
        <f t="shared" si="45"/>
        <v>1.3187534153652909E-4</v>
      </c>
      <c r="P39" s="60">
        <f t="shared" si="45"/>
        <v>1.3187534153652909E-4</v>
      </c>
      <c r="Q39" s="60">
        <f t="shared" si="45"/>
        <v>1.3187534153652909E-4</v>
      </c>
      <c r="R39" s="60">
        <f t="shared" si="45"/>
        <v>1.3187534153652909E-4</v>
      </c>
      <c r="S39" s="60">
        <f t="shared" si="45"/>
        <v>1.3187534153652909E-4</v>
      </c>
      <c r="T39" s="60">
        <f t="shared" si="45"/>
        <v>1.3187534153652909E-4</v>
      </c>
      <c r="U39" s="60">
        <f t="shared" si="45"/>
        <v>1.3187534153652909E-4</v>
      </c>
      <c r="V39" s="60">
        <f t="shared" si="45"/>
        <v>1.3187534153652909E-4</v>
      </c>
      <c r="W39" s="60">
        <f t="shared" si="45"/>
        <v>1.3187534153652909E-4</v>
      </c>
      <c r="X39" s="60">
        <f t="shared" si="45"/>
        <v>1.3187534153652909E-4</v>
      </c>
      <c r="Y39" s="60">
        <f t="shared" si="45"/>
        <v>1.3187534153652909E-4</v>
      </c>
      <c r="Z39" s="60">
        <f t="shared" si="45"/>
        <v>1.3187534153652909E-4</v>
      </c>
      <c r="AA39" s="60">
        <f t="shared" si="45"/>
        <v>1.3187534153652909E-4</v>
      </c>
      <c r="AB39" s="60">
        <f t="shared" si="45"/>
        <v>1.3187534153652909E-4</v>
      </c>
      <c r="AC39" s="94">
        <f t="shared" si="32"/>
        <v>758291.875</v>
      </c>
      <c r="AD39" s="94">
        <f>IF(D39=".",".",up_RadSpec!$F$11*(AD11*$B39))</f>
        <v>189572.96875</v>
      </c>
      <c r="AE39" s="94">
        <f>IF(E39=".",".",up_RadSpec!$F$11*(AE11*$B39))</f>
        <v>189572.96875</v>
      </c>
      <c r="AF39" s="94">
        <f>IF(F39=".",".",up_RadSpec!$F$11*(AF11*$B39))</f>
        <v>189572.96875</v>
      </c>
      <c r="AG39" s="94">
        <f>IF(G39=".",".",up_RadSpec!$F$11*(AG11*$B39))</f>
        <v>189572.96875</v>
      </c>
      <c r="AH39" s="94">
        <f>IF(H39=".",".",up_RadSpec!$F$11*(AH11*$B39))</f>
        <v>189572.96875</v>
      </c>
      <c r="AI39" s="94">
        <f>IF(I39=".",".",up_RadSpec!$F$11*(AI11*$B39))</f>
        <v>189572.96875</v>
      </c>
      <c r="AJ39" s="94">
        <f>IF(J39=".",".",up_RadSpec!$F$11*(AJ11*$B39))</f>
        <v>189572.96875</v>
      </c>
      <c r="AK39" s="94">
        <f>IF(K39=".",".",up_RadSpec!$F$11*(AK11*$B39))</f>
        <v>189572.96875</v>
      </c>
      <c r="AL39" s="94">
        <f>IF(L39=".",".",up_RadSpec!$F$11*(AL11*$B39))</f>
        <v>189572.96875</v>
      </c>
      <c r="AM39" s="94">
        <f>IF(M39=".",".",up_RadSpec!$F$11*(AM11*$B39))</f>
        <v>189572.96875</v>
      </c>
      <c r="AN39" s="94">
        <f>IF(N39=".",".",up_RadSpec!$F$11*(AN11*$B39))</f>
        <v>189572.96875</v>
      </c>
      <c r="AO39" s="94">
        <f>IF(O39=".",".",up_RadSpec!$F$11*(AO11*$B39))</f>
        <v>189572.96875</v>
      </c>
      <c r="AP39" s="94">
        <f>IF(P39=".",".",up_RadSpec!$F$11*(AP11*$B39))</f>
        <v>189572.96875</v>
      </c>
      <c r="AQ39" s="94">
        <f>IF(Q39=".",".",up_RadSpec!$F$11*(AQ11*$B39))</f>
        <v>189572.96875</v>
      </c>
      <c r="AR39" s="94">
        <f>IF(R39=".",".",up_RadSpec!$F$11*(AR11*$B39))</f>
        <v>189572.96875</v>
      </c>
      <c r="AS39" s="94">
        <f>IF(S39=".",".",up_RadSpec!$F$11*(AS11*$B39))</f>
        <v>189572.96875</v>
      </c>
      <c r="AT39" s="94">
        <f>IF(T39=".",".",up_RadSpec!$F$11*(AT11*$B39))</f>
        <v>189572.96875</v>
      </c>
      <c r="AU39" s="94">
        <f>IF(U39=".",".",up_RadSpec!$F$11*(AU11*$B39))</f>
        <v>189572.96875</v>
      </c>
      <c r="AV39" s="94">
        <f>IF(V39=".",".",up_RadSpec!$F$11*(AV11*$B39))</f>
        <v>189572.96875</v>
      </c>
      <c r="AW39" s="94">
        <f>IF(W39=".",".",up_RadSpec!$F$11*(AW11*$B39))</f>
        <v>189572.96875</v>
      </c>
      <c r="AX39" s="94">
        <f>IF(X39=".",".",up_RadSpec!$F$11*(AX11*$B39))</f>
        <v>189572.96875</v>
      </c>
      <c r="AY39" s="94">
        <f>IF(Y39=".",".",up_RadSpec!$F$11*(AY11*$B39))</f>
        <v>189572.96875</v>
      </c>
      <c r="AZ39" s="94">
        <f>IF(Z39=".",".",up_RadSpec!$F$11*(AZ11*$B39))</f>
        <v>189572.96875</v>
      </c>
      <c r="BA39" s="94">
        <f>IF(AA39=".",".",up_RadSpec!$F$11*(BA11*$B39))</f>
        <v>189572.96875</v>
      </c>
      <c r="BB39" s="94">
        <f>IF(AB39=".",".",up_RadSpec!$F$11*(BB11*$B39))</f>
        <v>189572.96875</v>
      </c>
      <c r="BC39" s="60">
        <f t="shared" ref="BC39:CB39" si="46">IFERROR(BC11/$B39,".")</f>
        <v>3.2968835384132272E-5</v>
      </c>
      <c r="BD39" s="60">
        <f t="shared" si="46"/>
        <v>1.3187534153652909E-4</v>
      </c>
      <c r="BE39" s="60">
        <f t="shared" si="46"/>
        <v>1.3187534153652909E-4</v>
      </c>
      <c r="BF39" s="60">
        <f t="shared" si="46"/>
        <v>1.3187534153652909E-4</v>
      </c>
      <c r="BG39" s="60">
        <f t="shared" si="46"/>
        <v>1.3187534153652909E-4</v>
      </c>
      <c r="BH39" s="60">
        <f t="shared" si="46"/>
        <v>1.3187534153652909E-4</v>
      </c>
      <c r="BI39" s="60">
        <f t="shared" si="46"/>
        <v>1.3187534153652909E-4</v>
      </c>
      <c r="BJ39" s="60">
        <f t="shared" si="46"/>
        <v>1.3187534153652909E-4</v>
      </c>
      <c r="BK39" s="60">
        <f t="shared" si="46"/>
        <v>1.3187534153652909E-4</v>
      </c>
      <c r="BL39" s="60">
        <f t="shared" si="46"/>
        <v>1.3187534153652909E-4</v>
      </c>
      <c r="BM39" s="60">
        <f t="shared" si="46"/>
        <v>1.3187534153652909E-4</v>
      </c>
      <c r="BN39" s="60">
        <f t="shared" si="46"/>
        <v>1.3187534153652909E-4</v>
      </c>
      <c r="BO39" s="60">
        <f t="shared" si="46"/>
        <v>1.3187534153652909E-4</v>
      </c>
      <c r="BP39" s="60">
        <f t="shared" si="46"/>
        <v>1.3187534153652909E-4</v>
      </c>
      <c r="BQ39" s="60">
        <f t="shared" si="46"/>
        <v>1.3187534153652909E-4</v>
      </c>
      <c r="BR39" s="60">
        <f t="shared" si="46"/>
        <v>1.3187534153652909E-4</v>
      </c>
      <c r="BS39" s="60">
        <f t="shared" si="46"/>
        <v>1.3187534153652909E-4</v>
      </c>
      <c r="BT39" s="60">
        <f t="shared" si="46"/>
        <v>1.3187534153652909E-4</v>
      </c>
      <c r="BU39" s="60">
        <f t="shared" si="46"/>
        <v>1.3187534153652909E-4</v>
      </c>
      <c r="BV39" s="60">
        <f t="shared" si="46"/>
        <v>1.3187534153652909E-4</v>
      </c>
      <c r="BW39" s="60">
        <f t="shared" si="46"/>
        <v>1.3187534153652909E-4</v>
      </c>
      <c r="BX39" s="60">
        <f t="shared" si="46"/>
        <v>1.3187534153652909E-4</v>
      </c>
      <c r="BY39" s="60">
        <f t="shared" si="46"/>
        <v>1.3187534153652909E-4</v>
      </c>
      <c r="BZ39" s="60">
        <f t="shared" si="46"/>
        <v>1.3187534153652909E-4</v>
      </c>
      <c r="CA39" s="60">
        <f t="shared" si="46"/>
        <v>1.3187534153652909E-4</v>
      </c>
      <c r="CB39" s="60">
        <f t="shared" si="46"/>
        <v>1.3187534153652909E-4</v>
      </c>
      <c r="CC39" s="94">
        <f t="shared" si="34"/>
        <v>758291.875</v>
      </c>
      <c r="CD39" s="94">
        <f>IF(BD39=".",".",up_RadSpec!$F$11*(CD11*$B39))</f>
        <v>189572.96875</v>
      </c>
      <c r="CE39" s="94">
        <f>IF(BE39=".",".",up_RadSpec!$F$11*(CE11*$B39))</f>
        <v>189572.96875</v>
      </c>
      <c r="CF39" s="94">
        <f>IF(BF39=".",".",up_RadSpec!$F$11*(CF11*$B39))</f>
        <v>189572.96875</v>
      </c>
      <c r="CG39" s="94">
        <f>IF(BG39=".",".",up_RadSpec!$F$11*(CG11*$B39))</f>
        <v>189572.96875</v>
      </c>
      <c r="CH39" s="94">
        <f>IF(BH39=".",".",up_RadSpec!$F$11*(CH11*$B39))</f>
        <v>189572.96875</v>
      </c>
      <c r="CI39" s="94">
        <f>IF(BI39=".",".",up_RadSpec!$F$11*(CI11*$B39))</f>
        <v>189572.96875</v>
      </c>
      <c r="CJ39" s="94">
        <f>IF(BJ39=".",".",up_RadSpec!$F$11*(CJ11*$B39))</f>
        <v>189572.96875</v>
      </c>
      <c r="CK39" s="94">
        <f>IF(BK39=".",".",up_RadSpec!$F$11*(CK11*$B39))</f>
        <v>189572.96875</v>
      </c>
      <c r="CL39" s="94">
        <f>IF(BL39=".",".",up_RadSpec!$F$11*(CL11*$B39))</f>
        <v>189572.96875</v>
      </c>
      <c r="CM39" s="94">
        <f>IF(BM39=".",".",up_RadSpec!$F$11*(CM11*$B39))</f>
        <v>189572.96875</v>
      </c>
      <c r="CN39" s="94">
        <f>IF(BN39=".",".",up_RadSpec!$F$11*(CN11*$B39))</f>
        <v>189572.96875</v>
      </c>
      <c r="CO39" s="94">
        <f>IF(BO39=".",".",up_RadSpec!$F$11*(CO11*$B39))</f>
        <v>189572.96875</v>
      </c>
      <c r="CP39" s="94">
        <f>IF(BP39=".",".",up_RadSpec!$F$11*(CP11*$B39))</f>
        <v>189572.96875</v>
      </c>
      <c r="CQ39" s="94">
        <f>IF(BQ39=".",".",up_RadSpec!$F$11*(CQ11*$B39))</f>
        <v>189572.96875</v>
      </c>
      <c r="CR39" s="94">
        <f>IF(BR39=".",".",up_RadSpec!$F$11*(CR11*$B39))</f>
        <v>189572.96875</v>
      </c>
      <c r="CS39" s="94">
        <f>IF(BS39=".",".",up_RadSpec!$F$11*(CS11*$B39))</f>
        <v>189572.96875</v>
      </c>
      <c r="CT39" s="94">
        <f>IF(BT39=".",".",up_RadSpec!$F$11*(CT11*$B39))</f>
        <v>189572.96875</v>
      </c>
      <c r="CU39" s="94">
        <f>IF(BU39=".",".",up_RadSpec!$F$11*(CU11*$B39))</f>
        <v>189572.96875</v>
      </c>
      <c r="CV39" s="94">
        <f>IF(BV39=".",".",up_RadSpec!$F$11*(CV11*$B39))</f>
        <v>189572.96875</v>
      </c>
      <c r="CW39" s="94">
        <f>IF(BW39=".",".",up_RadSpec!$F$11*(CW11*$B39))</f>
        <v>189572.96875</v>
      </c>
      <c r="CX39" s="94">
        <f>IF(BX39=".",".",up_RadSpec!$F$11*(CX11*$B39))</f>
        <v>189572.96875</v>
      </c>
      <c r="CY39" s="94">
        <f>IF(BY39=".",".",up_RadSpec!$F$11*(CY11*$B39))</f>
        <v>189572.96875</v>
      </c>
      <c r="CZ39" s="94">
        <f>IF(BZ39=".",".",up_RadSpec!$F$11*(CZ11*$B39))</f>
        <v>189572.96875</v>
      </c>
      <c r="DA39" s="94">
        <f>IF(CA39=".",".",up_RadSpec!$F$11*(DA11*$B39))</f>
        <v>189572.96875</v>
      </c>
      <c r="DB39" s="94">
        <f>IF(CB39=".",".",up_RadSpec!$F$11*(DB11*$B39))</f>
        <v>189572.96875</v>
      </c>
    </row>
    <row r="40" spans="1:106" x14ac:dyDescent="0.25">
      <c r="A40" s="77" t="s">
        <v>1068</v>
      </c>
      <c r="B40" s="42">
        <v>1</v>
      </c>
      <c r="C40" s="60">
        <f t="shared" ref="C40:AB40" si="47">IFERROR(C4/$B40,".")</f>
        <v>3.2968835384132272E-5</v>
      </c>
      <c r="D40" s="60">
        <f t="shared" si="47"/>
        <v>1.3187534153652909E-4</v>
      </c>
      <c r="E40" s="60">
        <f t="shared" si="47"/>
        <v>1.3187534153652909E-4</v>
      </c>
      <c r="F40" s="60">
        <f t="shared" si="47"/>
        <v>1.3187534153652909E-4</v>
      </c>
      <c r="G40" s="60">
        <f t="shared" si="47"/>
        <v>1.3187534153652909E-4</v>
      </c>
      <c r="H40" s="60">
        <f t="shared" si="47"/>
        <v>1.3187534153652909E-4</v>
      </c>
      <c r="I40" s="60">
        <f t="shared" si="47"/>
        <v>1.3187534153652909E-4</v>
      </c>
      <c r="J40" s="60">
        <f t="shared" si="47"/>
        <v>1.3187534153652909E-4</v>
      </c>
      <c r="K40" s="60">
        <f t="shared" si="47"/>
        <v>1.3187534153652909E-4</v>
      </c>
      <c r="L40" s="60">
        <f t="shared" si="47"/>
        <v>1.3187534153652909E-4</v>
      </c>
      <c r="M40" s="60">
        <f t="shared" si="47"/>
        <v>1.3187534153652909E-4</v>
      </c>
      <c r="N40" s="60">
        <f t="shared" si="47"/>
        <v>1.3187534153652909E-4</v>
      </c>
      <c r="O40" s="60">
        <f t="shared" si="47"/>
        <v>1.3187534153652909E-4</v>
      </c>
      <c r="P40" s="60">
        <f t="shared" si="47"/>
        <v>1.3187534153652909E-4</v>
      </c>
      <c r="Q40" s="60">
        <f t="shared" si="47"/>
        <v>1.3187534153652909E-4</v>
      </c>
      <c r="R40" s="60">
        <f t="shared" si="47"/>
        <v>1.3187534153652909E-4</v>
      </c>
      <c r="S40" s="60">
        <f t="shared" si="47"/>
        <v>1.3187534153652909E-4</v>
      </c>
      <c r="T40" s="60">
        <f t="shared" si="47"/>
        <v>1.3187534153652909E-4</v>
      </c>
      <c r="U40" s="60">
        <f t="shared" si="47"/>
        <v>1.3187534153652909E-4</v>
      </c>
      <c r="V40" s="60">
        <f t="shared" si="47"/>
        <v>1.3187534153652909E-4</v>
      </c>
      <c r="W40" s="60">
        <f t="shared" si="47"/>
        <v>1.3187534153652909E-4</v>
      </c>
      <c r="X40" s="60">
        <f t="shared" si="47"/>
        <v>1.3187534153652909E-4</v>
      </c>
      <c r="Y40" s="60">
        <f t="shared" si="47"/>
        <v>1.3187534153652909E-4</v>
      </c>
      <c r="Z40" s="60">
        <f t="shared" si="47"/>
        <v>1.3187534153652909E-4</v>
      </c>
      <c r="AA40" s="60">
        <f t="shared" si="47"/>
        <v>1.3187534153652909E-4</v>
      </c>
      <c r="AB40" s="60">
        <f t="shared" si="47"/>
        <v>1.3187534153652909E-4</v>
      </c>
      <c r="AC40" s="94">
        <f t="shared" si="32"/>
        <v>758291.875</v>
      </c>
      <c r="AD40" s="94">
        <f>IF(D40=".",".",up_RadSpec!$F$4*(AD4*$B40))</f>
        <v>189572.96875</v>
      </c>
      <c r="AE40" s="94">
        <f>IF(E40=".",".",up_RadSpec!$F$4*(AE4*$B40))</f>
        <v>189572.96875</v>
      </c>
      <c r="AF40" s="94">
        <f>IF(F40=".",".",up_RadSpec!$F$4*(AF4*$B40))</f>
        <v>189572.96875</v>
      </c>
      <c r="AG40" s="94">
        <f>IF(G40=".",".",up_RadSpec!$F$4*(AG4*$B40))</f>
        <v>189572.96875</v>
      </c>
      <c r="AH40" s="94">
        <f>IF(H40=".",".",up_RadSpec!$F$4*(AH4*$B40))</f>
        <v>189572.96875</v>
      </c>
      <c r="AI40" s="94">
        <f>IF(I40=".",".",up_RadSpec!$F$4*(AI4*$B40))</f>
        <v>189572.96875</v>
      </c>
      <c r="AJ40" s="94">
        <f>IF(J40=".",".",up_RadSpec!$F$4*(AJ4*$B40))</f>
        <v>189572.96875</v>
      </c>
      <c r="AK40" s="94">
        <f>IF(K40=".",".",up_RadSpec!$F$4*(AK4*$B40))</f>
        <v>189572.96875</v>
      </c>
      <c r="AL40" s="94">
        <f>IF(L40=".",".",up_RadSpec!$F$4*(AL4*$B40))</f>
        <v>189572.96875</v>
      </c>
      <c r="AM40" s="94">
        <f>IF(M40=".",".",up_RadSpec!$F$4*(AM4*$B40))</f>
        <v>189572.96875</v>
      </c>
      <c r="AN40" s="94">
        <f>IF(N40=".",".",up_RadSpec!$F$4*(AN4*$B40))</f>
        <v>189572.96875</v>
      </c>
      <c r="AO40" s="94">
        <f>IF(O40=".",".",up_RadSpec!$F$4*(AO4*$B40))</f>
        <v>189572.96875</v>
      </c>
      <c r="AP40" s="94">
        <f>IF(P40=".",".",up_RadSpec!$F$4*(AP4*$B40))</f>
        <v>189572.96875</v>
      </c>
      <c r="AQ40" s="94">
        <f>IF(Q40=".",".",up_RadSpec!$F$4*(AQ4*$B40))</f>
        <v>189572.96875</v>
      </c>
      <c r="AR40" s="94">
        <f>IF(R40=".",".",up_RadSpec!$F$4*(AR4*$B40))</f>
        <v>189572.96875</v>
      </c>
      <c r="AS40" s="94">
        <f>IF(S40=".",".",up_RadSpec!$F$4*(AS4*$B40))</f>
        <v>189572.96875</v>
      </c>
      <c r="AT40" s="94">
        <f>IF(T40=".",".",up_RadSpec!$F$4*(AT4*$B40))</f>
        <v>189572.96875</v>
      </c>
      <c r="AU40" s="94">
        <f>IF(U40=".",".",up_RadSpec!$F$4*(AU4*$B40))</f>
        <v>189572.96875</v>
      </c>
      <c r="AV40" s="94">
        <f>IF(V40=".",".",up_RadSpec!$F$4*(AV4*$B40))</f>
        <v>189572.96875</v>
      </c>
      <c r="AW40" s="94">
        <f>IF(W40=".",".",up_RadSpec!$F$4*(AW4*$B40))</f>
        <v>189572.96875</v>
      </c>
      <c r="AX40" s="94">
        <f>IF(X40=".",".",up_RadSpec!$F$4*(AX4*$B40))</f>
        <v>189572.96875</v>
      </c>
      <c r="AY40" s="94">
        <f>IF(Y40=".",".",up_RadSpec!$F$4*(AY4*$B40))</f>
        <v>189572.96875</v>
      </c>
      <c r="AZ40" s="94">
        <f>IF(Z40=".",".",up_RadSpec!$F$4*(AZ4*$B40))</f>
        <v>189572.96875</v>
      </c>
      <c r="BA40" s="94">
        <f>IF(AA40=".",".",up_RadSpec!$F$4*(BA4*$B40))</f>
        <v>189572.96875</v>
      </c>
      <c r="BB40" s="94">
        <f>IF(AB40=".",".",up_RadSpec!$F$4*(BB4*$B40))</f>
        <v>189572.96875</v>
      </c>
      <c r="BC40" s="60">
        <f t="shared" ref="BC40:CB40" si="48">IFERROR(BC4/$B40,".")</f>
        <v>3.2968835384132272E-5</v>
      </c>
      <c r="BD40" s="60">
        <f t="shared" si="48"/>
        <v>1.3187534153652909E-4</v>
      </c>
      <c r="BE40" s="60">
        <f t="shared" si="48"/>
        <v>1.3187534153652909E-4</v>
      </c>
      <c r="BF40" s="60">
        <f t="shared" si="48"/>
        <v>1.3187534153652909E-4</v>
      </c>
      <c r="BG40" s="60">
        <f t="shared" si="48"/>
        <v>1.3187534153652909E-4</v>
      </c>
      <c r="BH40" s="60">
        <f t="shared" si="48"/>
        <v>1.3187534153652909E-4</v>
      </c>
      <c r="BI40" s="60">
        <f t="shared" si="48"/>
        <v>1.3187534153652909E-4</v>
      </c>
      <c r="BJ40" s="60">
        <f t="shared" si="48"/>
        <v>1.3187534153652909E-4</v>
      </c>
      <c r="BK40" s="60">
        <f t="shared" si="48"/>
        <v>1.3187534153652909E-4</v>
      </c>
      <c r="BL40" s="60">
        <f t="shared" si="48"/>
        <v>1.3187534153652909E-4</v>
      </c>
      <c r="BM40" s="60">
        <f t="shared" si="48"/>
        <v>1.3187534153652909E-4</v>
      </c>
      <c r="BN40" s="60">
        <f t="shared" si="48"/>
        <v>1.3187534153652909E-4</v>
      </c>
      <c r="BO40" s="60">
        <f t="shared" si="48"/>
        <v>1.3187534153652909E-4</v>
      </c>
      <c r="BP40" s="60">
        <f t="shared" si="48"/>
        <v>1.3187534153652909E-4</v>
      </c>
      <c r="BQ40" s="60">
        <f t="shared" si="48"/>
        <v>1.3187534153652909E-4</v>
      </c>
      <c r="BR40" s="60">
        <f t="shared" si="48"/>
        <v>1.3187534153652909E-4</v>
      </c>
      <c r="BS40" s="60">
        <f t="shared" si="48"/>
        <v>1.3187534153652909E-4</v>
      </c>
      <c r="BT40" s="60">
        <f t="shared" si="48"/>
        <v>1.3187534153652909E-4</v>
      </c>
      <c r="BU40" s="60">
        <f t="shared" si="48"/>
        <v>1.3187534153652909E-4</v>
      </c>
      <c r="BV40" s="60">
        <f t="shared" si="48"/>
        <v>1.3187534153652909E-4</v>
      </c>
      <c r="BW40" s="60">
        <f t="shared" si="48"/>
        <v>1.3187534153652909E-4</v>
      </c>
      <c r="BX40" s="60">
        <f t="shared" si="48"/>
        <v>1.3187534153652909E-4</v>
      </c>
      <c r="BY40" s="60">
        <f t="shared" si="48"/>
        <v>1.3187534153652909E-4</v>
      </c>
      <c r="BZ40" s="60">
        <f t="shared" si="48"/>
        <v>1.3187534153652909E-4</v>
      </c>
      <c r="CA40" s="60">
        <f t="shared" si="48"/>
        <v>1.3187534153652909E-4</v>
      </c>
      <c r="CB40" s="60">
        <f t="shared" si="48"/>
        <v>1.3187534153652909E-4</v>
      </c>
      <c r="CC40" s="94">
        <f t="shared" si="34"/>
        <v>758291.875</v>
      </c>
      <c r="CD40" s="94">
        <f>IF(BD40=".",".",up_RadSpec!$F$4*(CD4*$B40))</f>
        <v>189572.96875</v>
      </c>
      <c r="CE40" s="94">
        <f>IF(BE40=".",".",up_RadSpec!$F$4*(CE4*$B40))</f>
        <v>189572.96875</v>
      </c>
      <c r="CF40" s="94">
        <f>IF(BF40=".",".",up_RadSpec!$F$4*(CF4*$B40))</f>
        <v>189572.96875</v>
      </c>
      <c r="CG40" s="94">
        <f>IF(BG40=".",".",up_RadSpec!$F$4*(CG4*$B40))</f>
        <v>189572.96875</v>
      </c>
      <c r="CH40" s="94">
        <f>IF(BH40=".",".",up_RadSpec!$F$4*(CH4*$B40))</f>
        <v>189572.96875</v>
      </c>
      <c r="CI40" s="94">
        <f>IF(BI40=".",".",up_RadSpec!$F$4*(CI4*$B40))</f>
        <v>189572.96875</v>
      </c>
      <c r="CJ40" s="94">
        <f>IF(BJ40=".",".",up_RadSpec!$F$4*(CJ4*$B40))</f>
        <v>189572.96875</v>
      </c>
      <c r="CK40" s="94">
        <f>IF(BK40=".",".",up_RadSpec!$F$4*(CK4*$B40))</f>
        <v>189572.96875</v>
      </c>
      <c r="CL40" s="94">
        <f>IF(BL40=".",".",up_RadSpec!$F$4*(CL4*$B40))</f>
        <v>189572.96875</v>
      </c>
      <c r="CM40" s="94">
        <f>IF(BM40=".",".",up_RadSpec!$F$4*(CM4*$B40))</f>
        <v>189572.96875</v>
      </c>
      <c r="CN40" s="94">
        <f>IF(BN40=".",".",up_RadSpec!$F$4*(CN4*$B40))</f>
        <v>189572.96875</v>
      </c>
      <c r="CO40" s="94">
        <f>IF(BO40=".",".",up_RadSpec!$F$4*(CO4*$B40))</f>
        <v>189572.96875</v>
      </c>
      <c r="CP40" s="94">
        <f>IF(BP40=".",".",up_RadSpec!$F$4*(CP4*$B40))</f>
        <v>189572.96875</v>
      </c>
      <c r="CQ40" s="94">
        <f>IF(BQ40=".",".",up_RadSpec!$F$4*(CQ4*$B40))</f>
        <v>189572.96875</v>
      </c>
      <c r="CR40" s="94">
        <f>IF(BR40=".",".",up_RadSpec!$F$4*(CR4*$B40))</f>
        <v>189572.96875</v>
      </c>
      <c r="CS40" s="94">
        <f>IF(BS40=".",".",up_RadSpec!$F$4*(CS4*$B40))</f>
        <v>189572.96875</v>
      </c>
      <c r="CT40" s="94">
        <f>IF(BT40=".",".",up_RadSpec!$F$4*(CT4*$B40))</f>
        <v>189572.96875</v>
      </c>
      <c r="CU40" s="94">
        <f>IF(BU40=".",".",up_RadSpec!$F$4*(CU4*$B40))</f>
        <v>189572.96875</v>
      </c>
      <c r="CV40" s="94">
        <f>IF(BV40=".",".",up_RadSpec!$F$4*(CV4*$B40))</f>
        <v>189572.96875</v>
      </c>
      <c r="CW40" s="94">
        <f>IF(BW40=".",".",up_RadSpec!$F$4*(CW4*$B40))</f>
        <v>189572.96875</v>
      </c>
      <c r="CX40" s="94">
        <f>IF(BX40=".",".",up_RadSpec!$F$4*(CX4*$B40))</f>
        <v>189572.96875</v>
      </c>
      <c r="CY40" s="94">
        <f>IF(BY40=".",".",up_RadSpec!$F$4*(CY4*$B40))</f>
        <v>189572.96875</v>
      </c>
      <c r="CZ40" s="94">
        <f>IF(BZ40=".",".",up_RadSpec!$F$4*(CZ4*$B40))</f>
        <v>189572.96875</v>
      </c>
      <c r="DA40" s="94">
        <f>IF(CA40=".",".",up_RadSpec!$F$4*(DA4*$B40))</f>
        <v>189572.96875</v>
      </c>
      <c r="DB40" s="94">
        <f>IF(CB40=".",".",up_RadSpec!$F$4*(DB4*$B40))</f>
        <v>189572.96875</v>
      </c>
    </row>
    <row r="41" spans="1:106" x14ac:dyDescent="0.25">
      <c r="A41" s="77" t="s">
        <v>1069</v>
      </c>
      <c r="B41" s="78">
        <v>0.99987999999999999</v>
      </c>
      <c r="C41" s="60">
        <f t="shared" ref="C41:AB41" si="49">IFERROR(C8/$B41,".")</f>
        <v>3.2972792119186577E-5</v>
      </c>
      <c r="D41" s="60">
        <f t="shared" si="49"/>
        <v>1.3189116847674631E-4</v>
      </c>
      <c r="E41" s="60">
        <f t="shared" si="49"/>
        <v>1.3189116847674631E-4</v>
      </c>
      <c r="F41" s="60">
        <f t="shared" si="49"/>
        <v>1.3189116847674631E-4</v>
      </c>
      <c r="G41" s="60">
        <f t="shared" si="49"/>
        <v>1.3189116847674631E-4</v>
      </c>
      <c r="H41" s="60">
        <f t="shared" si="49"/>
        <v>1.3189116847674631E-4</v>
      </c>
      <c r="I41" s="60">
        <f t="shared" si="49"/>
        <v>1.3189116847674631E-4</v>
      </c>
      <c r="J41" s="60">
        <f t="shared" si="49"/>
        <v>1.3189116847674631E-4</v>
      </c>
      <c r="K41" s="60">
        <f t="shared" si="49"/>
        <v>1.3189116847674631E-4</v>
      </c>
      <c r="L41" s="60">
        <f t="shared" si="49"/>
        <v>1.3189116847674631E-4</v>
      </c>
      <c r="M41" s="60">
        <f t="shared" si="49"/>
        <v>1.3189116847674631E-4</v>
      </c>
      <c r="N41" s="60">
        <f t="shared" si="49"/>
        <v>1.3189116847674631E-4</v>
      </c>
      <c r="O41" s="60">
        <f t="shared" si="49"/>
        <v>1.3189116847674631E-4</v>
      </c>
      <c r="P41" s="60">
        <f t="shared" si="49"/>
        <v>1.3189116847674631E-4</v>
      </c>
      <c r="Q41" s="60">
        <f t="shared" si="49"/>
        <v>1.3189116847674631E-4</v>
      </c>
      <c r="R41" s="60">
        <f t="shared" si="49"/>
        <v>1.3189116847674631E-4</v>
      </c>
      <c r="S41" s="60">
        <f t="shared" si="49"/>
        <v>1.3189116847674631E-4</v>
      </c>
      <c r="T41" s="60">
        <f t="shared" si="49"/>
        <v>1.3189116847674631E-4</v>
      </c>
      <c r="U41" s="60">
        <f t="shared" si="49"/>
        <v>1.3189116847674631E-4</v>
      </c>
      <c r="V41" s="60">
        <f t="shared" si="49"/>
        <v>1.3189116847674631E-4</v>
      </c>
      <c r="W41" s="60">
        <f t="shared" si="49"/>
        <v>1.3189116847674631E-4</v>
      </c>
      <c r="X41" s="60">
        <f t="shared" si="49"/>
        <v>1.3189116847674631E-4</v>
      </c>
      <c r="Y41" s="60">
        <f t="shared" si="49"/>
        <v>1.3189116847674631E-4</v>
      </c>
      <c r="Z41" s="60">
        <f t="shared" si="49"/>
        <v>1.3189116847674631E-4</v>
      </c>
      <c r="AA41" s="60">
        <f t="shared" si="49"/>
        <v>1.3189116847674631E-4</v>
      </c>
      <c r="AB41" s="60">
        <f t="shared" si="49"/>
        <v>1.3189116847674631E-4</v>
      </c>
      <c r="AC41" s="94">
        <f t="shared" si="32"/>
        <v>758200.87997499993</v>
      </c>
      <c r="AD41" s="94">
        <f>IF(D41=".",".",up_RadSpec!$F$8*(AD8*$B41))</f>
        <v>189550.21999374998</v>
      </c>
      <c r="AE41" s="94">
        <f>IF(E41=".",".",up_RadSpec!$F$8*(AE8*$B41))</f>
        <v>189550.21999374998</v>
      </c>
      <c r="AF41" s="94">
        <f>IF(F41=".",".",up_RadSpec!$F$8*(AF8*$B41))</f>
        <v>189550.21999374998</v>
      </c>
      <c r="AG41" s="94">
        <f>IF(G41=".",".",up_RadSpec!$F$8*(AG8*$B41))</f>
        <v>189550.21999374998</v>
      </c>
      <c r="AH41" s="94">
        <f>IF(H41=".",".",up_RadSpec!$F$8*(AH8*$B41))</f>
        <v>189550.21999374998</v>
      </c>
      <c r="AI41" s="94">
        <f>IF(I41=".",".",up_RadSpec!$F$8*(AI8*$B41))</f>
        <v>189550.21999374998</v>
      </c>
      <c r="AJ41" s="94">
        <f>IF(J41=".",".",up_RadSpec!$F$8*(AJ8*$B41))</f>
        <v>189550.21999374998</v>
      </c>
      <c r="AK41" s="94">
        <f>IF(K41=".",".",up_RadSpec!$F$8*(AK8*$B41))</f>
        <v>189550.21999374998</v>
      </c>
      <c r="AL41" s="94">
        <f>IF(L41=".",".",up_RadSpec!$F$8*(AL8*$B41))</f>
        <v>189550.21999374998</v>
      </c>
      <c r="AM41" s="94">
        <f>IF(M41=".",".",up_RadSpec!$F$8*(AM8*$B41))</f>
        <v>189550.21999374998</v>
      </c>
      <c r="AN41" s="94">
        <f>IF(N41=".",".",up_RadSpec!$F$8*(AN8*$B41))</f>
        <v>189550.21999374998</v>
      </c>
      <c r="AO41" s="94">
        <f>IF(O41=".",".",up_RadSpec!$F$8*(AO8*$B41))</f>
        <v>189550.21999374998</v>
      </c>
      <c r="AP41" s="94">
        <f>IF(P41=".",".",up_RadSpec!$F$8*(AP8*$B41))</f>
        <v>189550.21999374998</v>
      </c>
      <c r="AQ41" s="94">
        <f>IF(Q41=".",".",up_RadSpec!$F$8*(AQ8*$B41))</f>
        <v>189550.21999374998</v>
      </c>
      <c r="AR41" s="94">
        <f>IF(R41=".",".",up_RadSpec!$F$8*(AR8*$B41))</f>
        <v>189550.21999374998</v>
      </c>
      <c r="AS41" s="94">
        <f>IF(S41=".",".",up_RadSpec!$F$8*(AS8*$B41))</f>
        <v>189550.21999374998</v>
      </c>
      <c r="AT41" s="94">
        <f>IF(T41=".",".",up_RadSpec!$F$8*(AT8*$B41))</f>
        <v>189550.21999374998</v>
      </c>
      <c r="AU41" s="94">
        <f>IF(U41=".",".",up_RadSpec!$F$8*(AU8*$B41))</f>
        <v>189550.21999374998</v>
      </c>
      <c r="AV41" s="94">
        <f>IF(V41=".",".",up_RadSpec!$F$8*(AV8*$B41))</f>
        <v>189550.21999374998</v>
      </c>
      <c r="AW41" s="94">
        <f>IF(W41=".",".",up_RadSpec!$F$8*(AW8*$B41))</f>
        <v>189550.21999374998</v>
      </c>
      <c r="AX41" s="94">
        <f>IF(X41=".",".",up_RadSpec!$F$8*(AX8*$B41))</f>
        <v>189550.21999374998</v>
      </c>
      <c r="AY41" s="94">
        <f>IF(Y41=".",".",up_RadSpec!$F$8*(AY8*$B41))</f>
        <v>189550.21999374998</v>
      </c>
      <c r="AZ41" s="94">
        <f>IF(Z41=".",".",up_RadSpec!$F$8*(AZ8*$B41))</f>
        <v>189550.21999374998</v>
      </c>
      <c r="BA41" s="94">
        <f>IF(AA41=".",".",up_RadSpec!$F$8*(BA8*$B41))</f>
        <v>189550.21999374998</v>
      </c>
      <c r="BB41" s="94">
        <f>IF(AB41=".",".",up_RadSpec!$F$8*(BB8*$B41))</f>
        <v>189550.21999374998</v>
      </c>
      <c r="BC41" s="60">
        <f t="shared" ref="BC41:CB41" si="50">IFERROR(BC8/$B41,".")</f>
        <v>3.2972792119186577E-5</v>
      </c>
      <c r="BD41" s="60">
        <f t="shared" si="50"/>
        <v>1.3189116847674631E-4</v>
      </c>
      <c r="BE41" s="60">
        <f t="shared" si="50"/>
        <v>1.3189116847674631E-4</v>
      </c>
      <c r="BF41" s="60">
        <f t="shared" si="50"/>
        <v>1.3189116847674631E-4</v>
      </c>
      <c r="BG41" s="60">
        <f t="shared" si="50"/>
        <v>1.3189116847674631E-4</v>
      </c>
      <c r="BH41" s="60">
        <f t="shared" si="50"/>
        <v>1.3189116847674631E-4</v>
      </c>
      <c r="BI41" s="60">
        <f t="shared" si="50"/>
        <v>1.3189116847674631E-4</v>
      </c>
      <c r="BJ41" s="60">
        <f t="shared" si="50"/>
        <v>1.3189116847674631E-4</v>
      </c>
      <c r="BK41" s="60">
        <f t="shared" si="50"/>
        <v>1.3189116847674631E-4</v>
      </c>
      <c r="BL41" s="60">
        <f t="shared" si="50"/>
        <v>1.3189116847674631E-4</v>
      </c>
      <c r="BM41" s="60">
        <f t="shared" si="50"/>
        <v>1.3189116847674631E-4</v>
      </c>
      <c r="BN41" s="60">
        <f t="shared" si="50"/>
        <v>1.3189116847674631E-4</v>
      </c>
      <c r="BO41" s="60">
        <f t="shared" si="50"/>
        <v>1.3189116847674631E-4</v>
      </c>
      <c r="BP41" s="60">
        <f t="shared" si="50"/>
        <v>1.3189116847674631E-4</v>
      </c>
      <c r="BQ41" s="60">
        <f t="shared" si="50"/>
        <v>1.3189116847674631E-4</v>
      </c>
      <c r="BR41" s="60">
        <f t="shared" si="50"/>
        <v>1.3189116847674631E-4</v>
      </c>
      <c r="BS41" s="60">
        <f t="shared" si="50"/>
        <v>1.3189116847674631E-4</v>
      </c>
      <c r="BT41" s="60">
        <f t="shared" si="50"/>
        <v>1.3189116847674631E-4</v>
      </c>
      <c r="BU41" s="60">
        <f t="shared" si="50"/>
        <v>1.3189116847674631E-4</v>
      </c>
      <c r="BV41" s="60">
        <f t="shared" si="50"/>
        <v>1.3189116847674631E-4</v>
      </c>
      <c r="BW41" s="60">
        <f t="shared" si="50"/>
        <v>1.3189116847674631E-4</v>
      </c>
      <c r="BX41" s="60">
        <f t="shared" si="50"/>
        <v>1.3189116847674631E-4</v>
      </c>
      <c r="BY41" s="60">
        <f t="shared" si="50"/>
        <v>1.3189116847674631E-4</v>
      </c>
      <c r="BZ41" s="60">
        <f t="shared" si="50"/>
        <v>1.3189116847674631E-4</v>
      </c>
      <c r="CA41" s="60">
        <f t="shared" si="50"/>
        <v>1.3189116847674631E-4</v>
      </c>
      <c r="CB41" s="60">
        <f t="shared" si="50"/>
        <v>1.3189116847674631E-4</v>
      </c>
      <c r="CC41" s="94">
        <f t="shared" si="34"/>
        <v>758200.87997499993</v>
      </c>
      <c r="CD41" s="94">
        <f>IF(BD41=".",".",up_RadSpec!$F$8*(CD8*$B41))</f>
        <v>189550.21999374998</v>
      </c>
      <c r="CE41" s="94">
        <f>IF(BE41=".",".",up_RadSpec!$F$8*(CE8*$B41))</f>
        <v>189550.21999374998</v>
      </c>
      <c r="CF41" s="94">
        <f>IF(BF41=".",".",up_RadSpec!$F$8*(CF8*$B41))</f>
        <v>189550.21999374998</v>
      </c>
      <c r="CG41" s="94">
        <f>IF(BG41=".",".",up_RadSpec!$F$8*(CG8*$B41))</f>
        <v>189550.21999374998</v>
      </c>
      <c r="CH41" s="94">
        <f>IF(BH41=".",".",up_RadSpec!$F$8*(CH8*$B41))</f>
        <v>189550.21999374998</v>
      </c>
      <c r="CI41" s="94">
        <f>IF(BI41=".",".",up_RadSpec!$F$8*(CI8*$B41))</f>
        <v>189550.21999374998</v>
      </c>
      <c r="CJ41" s="94">
        <f>IF(BJ41=".",".",up_RadSpec!$F$8*(CJ8*$B41))</f>
        <v>189550.21999374998</v>
      </c>
      <c r="CK41" s="94">
        <f>IF(BK41=".",".",up_RadSpec!$F$8*(CK8*$B41))</f>
        <v>189550.21999374998</v>
      </c>
      <c r="CL41" s="94">
        <f>IF(BL41=".",".",up_RadSpec!$F$8*(CL8*$B41))</f>
        <v>189550.21999374998</v>
      </c>
      <c r="CM41" s="94">
        <f>IF(BM41=".",".",up_RadSpec!$F$8*(CM8*$B41))</f>
        <v>189550.21999374998</v>
      </c>
      <c r="CN41" s="94">
        <f>IF(BN41=".",".",up_RadSpec!$F$8*(CN8*$B41))</f>
        <v>189550.21999374998</v>
      </c>
      <c r="CO41" s="94">
        <f>IF(BO41=".",".",up_RadSpec!$F$8*(CO8*$B41))</f>
        <v>189550.21999374998</v>
      </c>
      <c r="CP41" s="94">
        <f>IF(BP41=".",".",up_RadSpec!$F$8*(CP8*$B41))</f>
        <v>189550.21999374998</v>
      </c>
      <c r="CQ41" s="94">
        <f>IF(BQ41=".",".",up_RadSpec!$F$8*(CQ8*$B41))</f>
        <v>189550.21999374998</v>
      </c>
      <c r="CR41" s="94">
        <f>IF(BR41=".",".",up_RadSpec!$F$8*(CR8*$B41))</f>
        <v>189550.21999374998</v>
      </c>
      <c r="CS41" s="94">
        <f>IF(BS41=".",".",up_RadSpec!$F$8*(CS8*$B41))</f>
        <v>189550.21999374998</v>
      </c>
      <c r="CT41" s="94">
        <f>IF(BT41=".",".",up_RadSpec!$F$8*(CT8*$B41))</f>
        <v>189550.21999374998</v>
      </c>
      <c r="CU41" s="94">
        <f>IF(BU41=".",".",up_RadSpec!$F$8*(CU8*$B41))</f>
        <v>189550.21999374998</v>
      </c>
      <c r="CV41" s="94">
        <f>IF(BV41=".",".",up_RadSpec!$F$8*(CV8*$B41))</f>
        <v>189550.21999374998</v>
      </c>
      <c r="CW41" s="94">
        <f>IF(BW41=".",".",up_RadSpec!$F$8*(CW8*$B41))</f>
        <v>189550.21999374998</v>
      </c>
      <c r="CX41" s="94">
        <f>IF(BX41=".",".",up_RadSpec!$F$8*(CX8*$B41))</f>
        <v>189550.21999374998</v>
      </c>
      <c r="CY41" s="94">
        <f>IF(BY41=".",".",up_RadSpec!$F$8*(CY8*$B41))</f>
        <v>189550.21999374998</v>
      </c>
      <c r="CZ41" s="94">
        <f>IF(BZ41=".",".",up_RadSpec!$F$8*(CZ8*$B41))</f>
        <v>189550.21999374998</v>
      </c>
      <c r="DA41" s="94">
        <f>IF(CA41=".",".",up_RadSpec!$F$8*(DA8*$B41))</f>
        <v>189550.21999374998</v>
      </c>
      <c r="DB41" s="94">
        <f>IF(CB41=".",".",up_RadSpec!$F$8*(DB8*$B41))</f>
        <v>189550.21999374998</v>
      </c>
    </row>
    <row r="42" spans="1:106" x14ac:dyDescent="0.25">
      <c r="A42" s="77" t="s">
        <v>1070</v>
      </c>
      <c r="B42" s="42">
        <v>0.97898250799999997</v>
      </c>
      <c r="C42" s="60">
        <f t="shared" ref="C42:AB42" si="51">IFERROR(C19/$B42,".")</f>
        <v>3.3676633764872411E-5</v>
      </c>
      <c r="D42" s="60">
        <f t="shared" si="51"/>
        <v>1.3470653505948964E-4</v>
      </c>
      <c r="E42" s="60">
        <f t="shared" si="51"/>
        <v>1.3470653505948964E-4</v>
      </c>
      <c r="F42" s="60">
        <f t="shared" si="51"/>
        <v>1.3470653505948964E-4</v>
      </c>
      <c r="G42" s="60">
        <f t="shared" si="51"/>
        <v>1.3470653505948964E-4</v>
      </c>
      <c r="H42" s="60">
        <f t="shared" si="51"/>
        <v>1.3470653505948964E-4</v>
      </c>
      <c r="I42" s="60">
        <f t="shared" si="51"/>
        <v>1.3470653505948964E-4</v>
      </c>
      <c r="J42" s="60">
        <f t="shared" si="51"/>
        <v>1.3470653505948964E-4</v>
      </c>
      <c r="K42" s="60">
        <f t="shared" si="51"/>
        <v>1.3470653505948964E-4</v>
      </c>
      <c r="L42" s="60">
        <f t="shared" si="51"/>
        <v>1.3470653505948964E-4</v>
      </c>
      <c r="M42" s="60">
        <f t="shared" si="51"/>
        <v>1.3470653505948964E-4</v>
      </c>
      <c r="N42" s="60">
        <f t="shared" si="51"/>
        <v>1.3470653505948964E-4</v>
      </c>
      <c r="O42" s="60">
        <f t="shared" si="51"/>
        <v>1.3470653505948964E-4</v>
      </c>
      <c r="P42" s="60">
        <f t="shared" si="51"/>
        <v>1.3470653505948964E-4</v>
      </c>
      <c r="Q42" s="60">
        <f t="shared" si="51"/>
        <v>1.3470653505948964E-4</v>
      </c>
      <c r="R42" s="60">
        <f t="shared" si="51"/>
        <v>1.3470653505948964E-4</v>
      </c>
      <c r="S42" s="60">
        <f t="shared" si="51"/>
        <v>1.3470653505948964E-4</v>
      </c>
      <c r="T42" s="60">
        <f t="shared" si="51"/>
        <v>1.3470653505948964E-4</v>
      </c>
      <c r="U42" s="60">
        <f t="shared" si="51"/>
        <v>1.3470653505948964E-4</v>
      </c>
      <c r="V42" s="60">
        <f t="shared" si="51"/>
        <v>1.3470653505948964E-4</v>
      </c>
      <c r="W42" s="60">
        <f t="shared" si="51"/>
        <v>1.3470653505948964E-4</v>
      </c>
      <c r="X42" s="60">
        <f t="shared" si="51"/>
        <v>1.3470653505948964E-4</v>
      </c>
      <c r="Y42" s="60">
        <f t="shared" si="51"/>
        <v>1.3470653505948964E-4</v>
      </c>
      <c r="Z42" s="60">
        <f t="shared" si="51"/>
        <v>1.3470653505948964E-4</v>
      </c>
      <c r="AA42" s="60">
        <f t="shared" si="51"/>
        <v>1.3470653505948964E-4</v>
      </c>
      <c r="AB42" s="60">
        <f t="shared" si="51"/>
        <v>1.3470653505948964E-4</v>
      </c>
      <c r="AC42" s="94">
        <f t="shared" si="32"/>
        <v>742354.4815835224</v>
      </c>
      <c r="AD42" s="94">
        <f>IF(D42=".",".",up_RadSpec!$F$19*(AD19*$B42))</f>
        <v>185588.6203958806</v>
      </c>
      <c r="AE42" s="94">
        <f>IF(E42=".",".",up_RadSpec!$F$19*(AE19*$B42))</f>
        <v>185588.6203958806</v>
      </c>
      <c r="AF42" s="94">
        <f>IF(F42=".",".",up_RadSpec!$F$19*(AF19*$B42))</f>
        <v>185588.6203958806</v>
      </c>
      <c r="AG42" s="94">
        <f>IF(G42=".",".",up_RadSpec!$F$19*(AG19*$B42))</f>
        <v>185588.6203958806</v>
      </c>
      <c r="AH42" s="94">
        <f>IF(H42=".",".",up_RadSpec!$F$19*(AH19*$B42))</f>
        <v>185588.6203958806</v>
      </c>
      <c r="AI42" s="94">
        <f>IF(I42=".",".",up_RadSpec!$F$19*(AI19*$B42))</f>
        <v>185588.6203958806</v>
      </c>
      <c r="AJ42" s="94">
        <f>IF(J42=".",".",up_RadSpec!$F$19*(AJ19*$B42))</f>
        <v>185588.6203958806</v>
      </c>
      <c r="AK42" s="94">
        <f>IF(K42=".",".",up_RadSpec!$F$19*(AK19*$B42))</f>
        <v>185588.6203958806</v>
      </c>
      <c r="AL42" s="94">
        <f>IF(L42=".",".",up_RadSpec!$F$19*(AL19*$B42))</f>
        <v>185588.6203958806</v>
      </c>
      <c r="AM42" s="94">
        <f>IF(M42=".",".",up_RadSpec!$F$19*(AM19*$B42))</f>
        <v>185588.6203958806</v>
      </c>
      <c r="AN42" s="94">
        <f>IF(N42=".",".",up_RadSpec!$F$19*(AN19*$B42))</f>
        <v>185588.6203958806</v>
      </c>
      <c r="AO42" s="94">
        <f>IF(O42=".",".",up_RadSpec!$F$19*(AO19*$B42))</f>
        <v>185588.6203958806</v>
      </c>
      <c r="AP42" s="94">
        <f>IF(P42=".",".",up_RadSpec!$F$19*(AP19*$B42))</f>
        <v>185588.6203958806</v>
      </c>
      <c r="AQ42" s="94">
        <f>IF(Q42=".",".",up_RadSpec!$F$19*(AQ19*$B42))</f>
        <v>185588.6203958806</v>
      </c>
      <c r="AR42" s="94">
        <f>IF(R42=".",".",up_RadSpec!$F$19*(AR19*$B42))</f>
        <v>185588.6203958806</v>
      </c>
      <c r="AS42" s="94">
        <f>IF(S42=".",".",up_RadSpec!$F$19*(AS19*$B42))</f>
        <v>185588.6203958806</v>
      </c>
      <c r="AT42" s="94">
        <f>IF(T42=".",".",up_RadSpec!$F$19*(AT19*$B42))</f>
        <v>185588.6203958806</v>
      </c>
      <c r="AU42" s="94">
        <f>IF(U42=".",".",up_RadSpec!$F$19*(AU19*$B42))</f>
        <v>185588.6203958806</v>
      </c>
      <c r="AV42" s="94">
        <f>IF(V42=".",".",up_RadSpec!$F$19*(AV19*$B42))</f>
        <v>185588.6203958806</v>
      </c>
      <c r="AW42" s="94">
        <f>IF(W42=".",".",up_RadSpec!$F$19*(AW19*$B42))</f>
        <v>185588.6203958806</v>
      </c>
      <c r="AX42" s="94">
        <f>IF(X42=".",".",up_RadSpec!$F$19*(AX19*$B42))</f>
        <v>185588.6203958806</v>
      </c>
      <c r="AY42" s="94">
        <f>IF(Y42=".",".",up_RadSpec!$F$19*(AY19*$B42))</f>
        <v>185588.6203958806</v>
      </c>
      <c r="AZ42" s="94">
        <f>IF(Z42=".",".",up_RadSpec!$F$19*(AZ19*$B42))</f>
        <v>185588.6203958806</v>
      </c>
      <c r="BA42" s="94">
        <f>IF(AA42=".",".",up_RadSpec!$F$19*(BA19*$B42))</f>
        <v>185588.6203958806</v>
      </c>
      <c r="BB42" s="94">
        <f>IF(AB42=".",".",up_RadSpec!$F$19*(BB19*$B42))</f>
        <v>185588.6203958806</v>
      </c>
      <c r="BC42" s="60">
        <f t="shared" ref="BC42:CB42" si="52">IFERROR(BC19/$B42,".")</f>
        <v>3.3676633764872411E-5</v>
      </c>
      <c r="BD42" s="60">
        <f t="shared" si="52"/>
        <v>1.3470653505948964E-4</v>
      </c>
      <c r="BE42" s="60">
        <f t="shared" si="52"/>
        <v>1.3470653505948964E-4</v>
      </c>
      <c r="BF42" s="60">
        <f t="shared" si="52"/>
        <v>1.3470653505948964E-4</v>
      </c>
      <c r="BG42" s="60">
        <f t="shared" si="52"/>
        <v>1.3470653505948964E-4</v>
      </c>
      <c r="BH42" s="60">
        <f t="shared" si="52"/>
        <v>1.3470653505948964E-4</v>
      </c>
      <c r="BI42" s="60">
        <f t="shared" si="52"/>
        <v>1.3470653505948964E-4</v>
      </c>
      <c r="BJ42" s="60">
        <f t="shared" si="52"/>
        <v>1.3470653505948964E-4</v>
      </c>
      <c r="BK42" s="60">
        <f t="shared" si="52"/>
        <v>1.3470653505948964E-4</v>
      </c>
      <c r="BL42" s="60">
        <f t="shared" si="52"/>
        <v>1.3470653505948964E-4</v>
      </c>
      <c r="BM42" s="60">
        <f t="shared" si="52"/>
        <v>1.3470653505948964E-4</v>
      </c>
      <c r="BN42" s="60">
        <f t="shared" si="52"/>
        <v>1.3470653505948964E-4</v>
      </c>
      <c r="BO42" s="60">
        <f t="shared" si="52"/>
        <v>1.3470653505948964E-4</v>
      </c>
      <c r="BP42" s="60">
        <f t="shared" si="52"/>
        <v>1.3470653505948964E-4</v>
      </c>
      <c r="BQ42" s="60">
        <f t="shared" si="52"/>
        <v>1.3470653505948964E-4</v>
      </c>
      <c r="BR42" s="60">
        <f t="shared" si="52"/>
        <v>1.3470653505948964E-4</v>
      </c>
      <c r="BS42" s="60">
        <f t="shared" si="52"/>
        <v>1.3470653505948964E-4</v>
      </c>
      <c r="BT42" s="60">
        <f t="shared" si="52"/>
        <v>1.3470653505948964E-4</v>
      </c>
      <c r="BU42" s="60">
        <f t="shared" si="52"/>
        <v>1.3470653505948964E-4</v>
      </c>
      <c r="BV42" s="60">
        <f t="shared" si="52"/>
        <v>1.3470653505948964E-4</v>
      </c>
      <c r="BW42" s="60">
        <f t="shared" si="52"/>
        <v>1.3470653505948964E-4</v>
      </c>
      <c r="BX42" s="60">
        <f t="shared" si="52"/>
        <v>1.3470653505948964E-4</v>
      </c>
      <c r="BY42" s="60">
        <f t="shared" si="52"/>
        <v>1.3470653505948964E-4</v>
      </c>
      <c r="BZ42" s="60">
        <f t="shared" si="52"/>
        <v>1.3470653505948964E-4</v>
      </c>
      <c r="CA42" s="60">
        <f t="shared" si="52"/>
        <v>1.3470653505948964E-4</v>
      </c>
      <c r="CB42" s="60">
        <f t="shared" si="52"/>
        <v>1.3470653505948964E-4</v>
      </c>
      <c r="CC42" s="94">
        <f t="shared" si="34"/>
        <v>742354.4815835224</v>
      </c>
      <c r="CD42" s="94">
        <f>IF(BD42=".",".",up_RadSpec!$F$19*(CD19*$B42))</f>
        <v>185588.6203958806</v>
      </c>
      <c r="CE42" s="94">
        <f>IF(BE42=".",".",up_RadSpec!$F$19*(CE19*$B42))</f>
        <v>185588.6203958806</v>
      </c>
      <c r="CF42" s="94">
        <f>IF(BF42=".",".",up_RadSpec!$F$19*(CF19*$B42))</f>
        <v>185588.6203958806</v>
      </c>
      <c r="CG42" s="94">
        <f>IF(BG42=".",".",up_RadSpec!$F$19*(CG19*$B42))</f>
        <v>185588.6203958806</v>
      </c>
      <c r="CH42" s="94">
        <f>IF(BH42=".",".",up_RadSpec!$F$19*(CH19*$B42))</f>
        <v>185588.6203958806</v>
      </c>
      <c r="CI42" s="94">
        <f>IF(BI42=".",".",up_RadSpec!$F$19*(CI19*$B42))</f>
        <v>185588.6203958806</v>
      </c>
      <c r="CJ42" s="94">
        <f>IF(BJ42=".",".",up_RadSpec!$F$19*(CJ19*$B42))</f>
        <v>185588.6203958806</v>
      </c>
      <c r="CK42" s="94">
        <f>IF(BK42=".",".",up_RadSpec!$F$19*(CK19*$B42))</f>
        <v>185588.6203958806</v>
      </c>
      <c r="CL42" s="94">
        <f>IF(BL42=".",".",up_RadSpec!$F$19*(CL19*$B42))</f>
        <v>185588.6203958806</v>
      </c>
      <c r="CM42" s="94">
        <f>IF(BM42=".",".",up_RadSpec!$F$19*(CM19*$B42))</f>
        <v>185588.6203958806</v>
      </c>
      <c r="CN42" s="94">
        <f>IF(BN42=".",".",up_RadSpec!$F$19*(CN19*$B42))</f>
        <v>185588.6203958806</v>
      </c>
      <c r="CO42" s="94">
        <f>IF(BO42=".",".",up_RadSpec!$F$19*(CO19*$B42))</f>
        <v>185588.6203958806</v>
      </c>
      <c r="CP42" s="94">
        <f>IF(BP42=".",".",up_RadSpec!$F$19*(CP19*$B42))</f>
        <v>185588.6203958806</v>
      </c>
      <c r="CQ42" s="94">
        <f>IF(BQ42=".",".",up_RadSpec!$F$19*(CQ19*$B42))</f>
        <v>185588.6203958806</v>
      </c>
      <c r="CR42" s="94">
        <f>IF(BR42=".",".",up_RadSpec!$F$19*(CR19*$B42))</f>
        <v>185588.6203958806</v>
      </c>
      <c r="CS42" s="94">
        <f>IF(BS42=".",".",up_RadSpec!$F$19*(CS19*$B42))</f>
        <v>185588.6203958806</v>
      </c>
      <c r="CT42" s="94">
        <f>IF(BT42=".",".",up_RadSpec!$F$19*(CT19*$B42))</f>
        <v>185588.6203958806</v>
      </c>
      <c r="CU42" s="94">
        <f>IF(BU42=".",".",up_RadSpec!$F$19*(CU19*$B42))</f>
        <v>185588.6203958806</v>
      </c>
      <c r="CV42" s="94">
        <f>IF(BV42=".",".",up_RadSpec!$F$19*(CV19*$B42))</f>
        <v>185588.6203958806</v>
      </c>
      <c r="CW42" s="94">
        <f>IF(BW42=".",".",up_RadSpec!$F$19*(CW19*$B42))</f>
        <v>185588.6203958806</v>
      </c>
      <c r="CX42" s="94">
        <f>IF(BX42=".",".",up_RadSpec!$F$19*(CX19*$B42))</f>
        <v>185588.6203958806</v>
      </c>
      <c r="CY42" s="94">
        <f>IF(BY42=".",".",up_RadSpec!$F$19*(CY19*$B42))</f>
        <v>185588.6203958806</v>
      </c>
      <c r="CZ42" s="94">
        <f>IF(BZ42=".",".",up_RadSpec!$F$19*(CZ19*$B42))</f>
        <v>185588.6203958806</v>
      </c>
      <c r="DA42" s="94">
        <f>IF(CA42=".",".",up_RadSpec!$F$19*(DA19*$B42))</f>
        <v>185588.6203958806</v>
      </c>
      <c r="DB42" s="94">
        <f>IF(CB42=".",".",up_RadSpec!$F$19*(DB19*$B42))</f>
        <v>185588.6203958806</v>
      </c>
    </row>
    <row r="43" spans="1:106" x14ac:dyDescent="0.25">
      <c r="A43" s="77" t="s">
        <v>1071</v>
      </c>
      <c r="B43" s="42">
        <v>2.0897492E-2</v>
      </c>
      <c r="C43" s="60">
        <f t="shared" ref="C43:AB43" si="53">IFERROR(C28/$B43,".")</f>
        <v>1.5776455559419413E-3</v>
      </c>
      <c r="D43" s="60">
        <f t="shared" si="53"/>
        <v>6.3105822237677651E-3</v>
      </c>
      <c r="E43" s="60">
        <f t="shared" si="53"/>
        <v>6.3105822237677651E-3</v>
      </c>
      <c r="F43" s="60">
        <f t="shared" si="53"/>
        <v>6.3105822237677651E-3</v>
      </c>
      <c r="G43" s="60">
        <f t="shared" si="53"/>
        <v>6.3105822237677651E-3</v>
      </c>
      <c r="H43" s="60">
        <f t="shared" si="53"/>
        <v>6.3105822237677651E-3</v>
      </c>
      <c r="I43" s="60">
        <f t="shared" si="53"/>
        <v>6.3105822237677651E-3</v>
      </c>
      <c r="J43" s="60">
        <f t="shared" si="53"/>
        <v>6.3105822237677651E-3</v>
      </c>
      <c r="K43" s="60">
        <f t="shared" si="53"/>
        <v>6.3105822237677651E-3</v>
      </c>
      <c r="L43" s="60">
        <f t="shared" si="53"/>
        <v>6.3105822237677651E-3</v>
      </c>
      <c r="M43" s="60">
        <f t="shared" si="53"/>
        <v>6.3105822237677651E-3</v>
      </c>
      <c r="N43" s="60">
        <f t="shared" si="53"/>
        <v>6.3105822237677651E-3</v>
      </c>
      <c r="O43" s="60">
        <f t="shared" si="53"/>
        <v>6.3105822237677651E-3</v>
      </c>
      <c r="P43" s="60">
        <f t="shared" si="53"/>
        <v>6.3105822237677651E-3</v>
      </c>
      <c r="Q43" s="60">
        <f t="shared" si="53"/>
        <v>6.3105822237677651E-3</v>
      </c>
      <c r="R43" s="60">
        <f t="shared" si="53"/>
        <v>6.3105822237677651E-3</v>
      </c>
      <c r="S43" s="60">
        <f t="shared" si="53"/>
        <v>6.3105822237677651E-3</v>
      </c>
      <c r="T43" s="60">
        <f t="shared" si="53"/>
        <v>6.3105822237677651E-3</v>
      </c>
      <c r="U43" s="60">
        <f t="shared" si="53"/>
        <v>6.3105822237677651E-3</v>
      </c>
      <c r="V43" s="60">
        <f t="shared" si="53"/>
        <v>6.3105822237677651E-3</v>
      </c>
      <c r="W43" s="60">
        <f t="shared" si="53"/>
        <v>6.3105822237677651E-3</v>
      </c>
      <c r="X43" s="60">
        <f t="shared" si="53"/>
        <v>6.3105822237677651E-3</v>
      </c>
      <c r="Y43" s="60">
        <f t="shared" si="53"/>
        <v>6.3105822237677651E-3</v>
      </c>
      <c r="Z43" s="60">
        <f t="shared" si="53"/>
        <v>6.3105822237677651E-3</v>
      </c>
      <c r="AA43" s="60">
        <f t="shared" si="53"/>
        <v>6.3105822237677651E-3</v>
      </c>
      <c r="AB43" s="60">
        <f t="shared" si="53"/>
        <v>6.3105822237677651E-3</v>
      </c>
      <c r="AC43" s="94">
        <f t="shared" si="32"/>
        <v>15846.398391477502</v>
      </c>
      <c r="AD43" s="94">
        <f>IF(D43=".",".",up_RadSpec!$F$28*(AD28*$B43))</f>
        <v>3961.5995978693754</v>
      </c>
      <c r="AE43" s="94">
        <f>IF(E43=".",".",up_RadSpec!$F$28*(AE28*$B43))</f>
        <v>3961.5995978693754</v>
      </c>
      <c r="AF43" s="94">
        <f>IF(F43=".",".",up_RadSpec!$F$28*(AF28*$B43))</f>
        <v>3961.5995978693754</v>
      </c>
      <c r="AG43" s="94">
        <f>IF(G43=".",".",up_RadSpec!$F$28*(AG28*$B43))</f>
        <v>3961.5995978693754</v>
      </c>
      <c r="AH43" s="94">
        <f>IF(H43=".",".",up_RadSpec!$F$28*(AH28*$B43))</f>
        <v>3961.5995978693754</v>
      </c>
      <c r="AI43" s="94">
        <f>IF(I43=".",".",up_RadSpec!$F$28*(AI28*$B43))</f>
        <v>3961.5995978693754</v>
      </c>
      <c r="AJ43" s="94">
        <f>IF(J43=".",".",up_RadSpec!$F$28*(AJ28*$B43))</f>
        <v>3961.5995978693754</v>
      </c>
      <c r="AK43" s="94">
        <f>IF(K43=".",".",up_RadSpec!$F$28*(AK28*$B43))</f>
        <v>3961.5995978693754</v>
      </c>
      <c r="AL43" s="94">
        <f>IF(L43=".",".",up_RadSpec!$F$28*(AL28*$B43))</f>
        <v>3961.5995978693754</v>
      </c>
      <c r="AM43" s="94">
        <f>IF(M43=".",".",up_RadSpec!$F$28*(AM28*$B43))</f>
        <v>3961.5995978693754</v>
      </c>
      <c r="AN43" s="94">
        <f>IF(N43=".",".",up_RadSpec!$F$28*(AN28*$B43))</f>
        <v>3961.5995978693754</v>
      </c>
      <c r="AO43" s="94">
        <f>IF(O43=".",".",up_RadSpec!$F$28*(AO28*$B43))</f>
        <v>3961.5995978693754</v>
      </c>
      <c r="AP43" s="94">
        <f>IF(P43=".",".",up_RadSpec!$F$28*(AP28*$B43))</f>
        <v>3961.5995978693754</v>
      </c>
      <c r="AQ43" s="94">
        <f>IF(Q43=".",".",up_RadSpec!$F$28*(AQ28*$B43))</f>
        <v>3961.5995978693754</v>
      </c>
      <c r="AR43" s="94">
        <f>IF(R43=".",".",up_RadSpec!$F$28*(AR28*$B43))</f>
        <v>3961.5995978693754</v>
      </c>
      <c r="AS43" s="94">
        <f>IF(S43=".",".",up_RadSpec!$F$28*(AS28*$B43))</f>
        <v>3961.5995978693754</v>
      </c>
      <c r="AT43" s="94">
        <f>IF(T43=".",".",up_RadSpec!$F$28*(AT28*$B43))</f>
        <v>3961.5995978693754</v>
      </c>
      <c r="AU43" s="94">
        <f>IF(U43=".",".",up_RadSpec!$F$28*(AU28*$B43))</f>
        <v>3961.5995978693754</v>
      </c>
      <c r="AV43" s="94">
        <f>IF(V43=".",".",up_RadSpec!$F$28*(AV28*$B43))</f>
        <v>3961.5995978693754</v>
      </c>
      <c r="AW43" s="94">
        <f>IF(W43=".",".",up_RadSpec!$F$28*(AW28*$B43))</f>
        <v>3961.5995978693754</v>
      </c>
      <c r="AX43" s="94">
        <f>IF(X43=".",".",up_RadSpec!$F$28*(AX28*$B43))</f>
        <v>3961.5995978693754</v>
      </c>
      <c r="AY43" s="94">
        <f>IF(Y43=".",".",up_RadSpec!$F$28*(AY28*$B43))</f>
        <v>3961.5995978693754</v>
      </c>
      <c r="AZ43" s="94">
        <f>IF(Z43=".",".",up_RadSpec!$F$28*(AZ28*$B43))</f>
        <v>3961.5995978693754</v>
      </c>
      <c r="BA43" s="94">
        <f>IF(AA43=".",".",up_RadSpec!$F$28*(BA28*$B43))</f>
        <v>3961.5995978693754</v>
      </c>
      <c r="BB43" s="94">
        <f>IF(AB43=".",".",up_RadSpec!$F$28*(BB28*$B43))</f>
        <v>3961.5995978693754</v>
      </c>
      <c r="BC43" s="60">
        <f t="shared" ref="BC43:CB43" si="54">IFERROR(BC28/$B43,".")</f>
        <v>1.5776455559419413E-3</v>
      </c>
      <c r="BD43" s="60">
        <f t="shared" si="54"/>
        <v>6.3105822237677651E-3</v>
      </c>
      <c r="BE43" s="60">
        <f t="shared" si="54"/>
        <v>6.3105822237677651E-3</v>
      </c>
      <c r="BF43" s="60">
        <f t="shared" si="54"/>
        <v>6.3105822237677651E-3</v>
      </c>
      <c r="BG43" s="60">
        <f t="shared" si="54"/>
        <v>6.3105822237677651E-3</v>
      </c>
      <c r="BH43" s="60">
        <f t="shared" si="54"/>
        <v>6.3105822237677651E-3</v>
      </c>
      <c r="BI43" s="60">
        <f t="shared" si="54"/>
        <v>6.3105822237677651E-3</v>
      </c>
      <c r="BJ43" s="60">
        <f t="shared" si="54"/>
        <v>6.3105822237677651E-3</v>
      </c>
      <c r="BK43" s="60">
        <f t="shared" si="54"/>
        <v>6.3105822237677651E-3</v>
      </c>
      <c r="BL43" s="60">
        <f t="shared" si="54"/>
        <v>6.3105822237677651E-3</v>
      </c>
      <c r="BM43" s="60">
        <f t="shared" si="54"/>
        <v>6.3105822237677651E-3</v>
      </c>
      <c r="BN43" s="60">
        <f t="shared" si="54"/>
        <v>6.3105822237677651E-3</v>
      </c>
      <c r="BO43" s="60">
        <f t="shared" si="54"/>
        <v>6.3105822237677651E-3</v>
      </c>
      <c r="BP43" s="60">
        <f t="shared" si="54"/>
        <v>6.3105822237677651E-3</v>
      </c>
      <c r="BQ43" s="60">
        <f t="shared" si="54"/>
        <v>6.3105822237677651E-3</v>
      </c>
      <c r="BR43" s="60">
        <f t="shared" si="54"/>
        <v>6.3105822237677651E-3</v>
      </c>
      <c r="BS43" s="60">
        <f t="shared" si="54"/>
        <v>6.3105822237677651E-3</v>
      </c>
      <c r="BT43" s="60">
        <f t="shared" si="54"/>
        <v>6.3105822237677651E-3</v>
      </c>
      <c r="BU43" s="60">
        <f t="shared" si="54"/>
        <v>6.3105822237677651E-3</v>
      </c>
      <c r="BV43" s="60">
        <f t="shared" si="54"/>
        <v>6.3105822237677651E-3</v>
      </c>
      <c r="BW43" s="60">
        <f t="shared" si="54"/>
        <v>6.3105822237677651E-3</v>
      </c>
      <c r="BX43" s="60">
        <f t="shared" si="54"/>
        <v>6.3105822237677651E-3</v>
      </c>
      <c r="BY43" s="60">
        <f t="shared" si="54"/>
        <v>6.3105822237677651E-3</v>
      </c>
      <c r="BZ43" s="60">
        <f t="shared" si="54"/>
        <v>6.3105822237677651E-3</v>
      </c>
      <c r="CA43" s="60">
        <f t="shared" si="54"/>
        <v>6.3105822237677651E-3</v>
      </c>
      <c r="CB43" s="60">
        <f t="shared" si="54"/>
        <v>6.3105822237677651E-3</v>
      </c>
      <c r="CC43" s="94">
        <f t="shared" si="34"/>
        <v>15846.398391477502</v>
      </c>
      <c r="CD43" s="94">
        <f>IF(BD43=".",".",up_RadSpec!$F$28*(CD28*$B43))</f>
        <v>3961.5995978693754</v>
      </c>
      <c r="CE43" s="94">
        <f>IF(BE43=".",".",up_RadSpec!$F$28*(CE28*$B43))</f>
        <v>3961.5995978693754</v>
      </c>
      <c r="CF43" s="94">
        <f>IF(BF43=".",".",up_RadSpec!$F$28*(CF28*$B43))</f>
        <v>3961.5995978693754</v>
      </c>
      <c r="CG43" s="94">
        <f>IF(BG43=".",".",up_RadSpec!$F$28*(CG28*$B43))</f>
        <v>3961.5995978693754</v>
      </c>
      <c r="CH43" s="94">
        <f>IF(BH43=".",".",up_RadSpec!$F$28*(CH28*$B43))</f>
        <v>3961.5995978693754</v>
      </c>
      <c r="CI43" s="94">
        <f>IF(BI43=".",".",up_RadSpec!$F$28*(CI28*$B43))</f>
        <v>3961.5995978693754</v>
      </c>
      <c r="CJ43" s="94">
        <f>IF(BJ43=".",".",up_RadSpec!$F$28*(CJ28*$B43))</f>
        <v>3961.5995978693754</v>
      </c>
      <c r="CK43" s="94">
        <f>IF(BK43=".",".",up_RadSpec!$F$28*(CK28*$B43))</f>
        <v>3961.5995978693754</v>
      </c>
      <c r="CL43" s="94">
        <f>IF(BL43=".",".",up_RadSpec!$F$28*(CL28*$B43))</f>
        <v>3961.5995978693754</v>
      </c>
      <c r="CM43" s="94">
        <f>IF(BM43=".",".",up_RadSpec!$F$28*(CM28*$B43))</f>
        <v>3961.5995978693754</v>
      </c>
      <c r="CN43" s="94">
        <f>IF(BN43=".",".",up_RadSpec!$F$28*(CN28*$B43))</f>
        <v>3961.5995978693754</v>
      </c>
      <c r="CO43" s="94">
        <f>IF(BO43=".",".",up_RadSpec!$F$28*(CO28*$B43))</f>
        <v>3961.5995978693754</v>
      </c>
      <c r="CP43" s="94">
        <f>IF(BP43=".",".",up_RadSpec!$F$28*(CP28*$B43))</f>
        <v>3961.5995978693754</v>
      </c>
      <c r="CQ43" s="94">
        <f>IF(BQ43=".",".",up_RadSpec!$F$28*(CQ28*$B43))</f>
        <v>3961.5995978693754</v>
      </c>
      <c r="CR43" s="94">
        <f>IF(BR43=".",".",up_RadSpec!$F$28*(CR28*$B43))</f>
        <v>3961.5995978693754</v>
      </c>
      <c r="CS43" s="94">
        <f>IF(BS43=".",".",up_RadSpec!$F$28*(CS28*$B43))</f>
        <v>3961.5995978693754</v>
      </c>
      <c r="CT43" s="94">
        <f>IF(BT43=".",".",up_RadSpec!$F$28*(CT28*$B43))</f>
        <v>3961.5995978693754</v>
      </c>
      <c r="CU43" s="94">
        <f>IF(BU43=".",".",up_RadSpec!$F$28*(CU28*$B43))</f>
        <v>3961.5995978693754</v>
      </c>
      <c r="CV43" s="94">
        <f>IF(BV43=".",".",up_RadSpec!$F$28*(CV28*$B43))</f>
        <v>3961.5995978693754</v>
      </c>
      <c r="CW43" s="94">
        <f>IF(BW43=".",".",up_RadSpec!$F$28*(CW28*$B43))</f>
        <v>3961.5995978693754</v>
      </c>
      <c r="CX43" s="94">
        <f>IF(BX43=".",".",up_RadSpec!$F$28*(CX28*$B43))</f>
        <v>3961.5995978693754</v>
      </c>
      <c r="CY43" s="94">
        <f>IF(BY43=".",".",up_RadSpec!$F$28*(CY28*$B43))</f>
        <v>3961.5995978693754</v>
      </c>
      <c r="CZ43" s="94">
        <f>IF(BZ43=".",".",up_RadSpec!$F$28*(CZ28*$B43))</f>
        <v>3961.5995978693754</v>
      </c>
      <c r="DA43" s="94">
        <f>IF(CA43=".",".",up_RadSpec!$F$28*(DA28*$B43))</f>
        <v>3961.5995978693754</v>
      </c>
      <c r="DB43" s="94">
        <f>IF(CB43=".",".",up_RadSpec!$F$28*(DB28*$B43))</f>
        <v>3961.5995978693754</v>
      </c>
    </row>
    <row r="44" spans="1:106" x14ac:dyDescent="0.25">
      <c r="A44" s="77" t="s">
        <v>1072</v>
      </c>
      <c r="B44" s="42">
        <v>0.99987999999999999</v>
      </c>
      <c r="C44" s="60">
        <f t="shared" ref="C44:AB44" si="55">IFERROR(C15/$B44,".")</f>
        <v>3.2972792119186577E-5</v>
      </c>
      <c r="D44" s="60">
        <f t="shared" si="55"/>
        <v>1.3189116847674631E-4</v>
      </c>
      <c r="E44" s="60">
        <f t="shared" si="55"/>
        <v>1.3189116847674631E-4</v>
      </c>
      <c r="F44" s="60">
        <f t="shared" si="55"/>
        <v>1.3189116847674631E-4</v>
      </c>
      <c r="G44" s="60">
        <f t="shared" si="55"/>
        <v>1.3189116847674631E-4</v>
      </c>
      <c r="H44" s="60">
        <f t="shared" si="55"/>
        <v>1.3189116847674631E-4</v>
      </c>
      <c r="I44" s="60">
        <f t="shared" si="55"/>
        <v>1.3189116847674631E-4</v>
      </c>
      <c r="J44" s="60">
        <f t="shared" si="55"/>
        <v>1.3189116847674631E-4</v>
      </c>
      <c r="K44" s="60">
        <f t="shared" si="55"/>
        <v>1.3189116847674631E-4</v>
      </c>
      <c r="L44" s="60">
        <f t="shared" si="55"/>
        <v>1.3189116847674631E-4</v>
      </c>
      <c r="M44" s="60">
        <f t="shared" si="55"/>
        <v>1.3189116847674631E-4</v>
      </c>
      <c r="N44" s="60">
        <f t="shared" si="55"/>
        <v>1.3189116847674631E-4</v>
      </c>
      <c r="O44" s="60">
        <f t="shared" si="55"/>
        <v>1.3189116847674631E-4</v>
      </c>
      <c r="P44" s="60">
        <f t="shared" si="55"/>
        <v>1.3189116847674631E-4</v>
      </c>
      <c r="Q44" s="60">
        <f t="shared" si="55"/>
        <v>1.3189116847674631E-4</v>
      </c>
      <c r="R44" s="60">
        <f t="shared" si="55"/>
        <v>1.3189116847674631E-4</v>
      </c>
      <c r="S44" s="60">
        <f t="shared" si="55"/>
        <v>1.3189116847674631E-4</v>
      </c>
      <c r="T44" s="60">
        <f t="shared" si="55"/>
        <v>1.3189116847674631E-4</v>
      </c>
      <c r="U44" s="60">
        <f t="shared" si="55"/>
        <v>1.3189116847674631E-4</v>
      </c>
      <c r="V44" s="60">
        <f t="shared" si="55"/>
        <v>1.3189116847674631E-4</v>
      </c>
      <c r="W44" s="60">
        <f t="shared" si="55"/>
        <v>1.3189116847674631E-4</v>
      </c>
      <c r="X44" s="60">
        <f t="shared" si="55"/>
        <v>1.3189116847674631E-4</v>
      </c>
      <c r="Y44" s="60">
        <f t="shared" si="55"/>
        <v>1.3189116847674631E-4</v>
      </c>
      <c r="Z44" s="60">
        <f t="shared" si="55"/>
        <v>1.3189116847674631E-4</v>
      </c>
      <c r="AA44" s="60">
        <f t="shared" si="55"/>
        <v>1.3189116847674631E-4</v>
      </c>
      <c r="AB44" s="60">
        <f t="shared" si="55"/>
        <v>1.3189116847674631E-4</v>
      </c>
      <c r="AC44" s="94">
        <f t="shared" si="32"/>
        <v>758200.87997499993</v>
      </c>
      <c r="AD44" s="94">
        <f>IF(D44=".",".",up_RadSpec!$F$15*(AD15*$B44))</f>
        <v>189550.21999374998</v>
      </c>
      <c r="AE44" s="94">
        <f>IF(E44=".",".",up_RadSpec!$F$15*(AE15*$B44))</f>
        <v>189550.21999374998</v>
      </c>
      <c r="AF44" s="94">
        <f>IF(F44=".",".",up_RadSpec!$F$15*(AF15*$B44))</f>
        <v>189550.21999374998</v>
      </c>
      <c r="AG44" s="94">
        <f>IF(G44=".",".",up_RadSpec!$F$15*(AG15*$B44))</f>
        <v>189550.21999374998</v>
      </c>
      <c r="AH44" s="94">
        <f>IF(H44=".",".",up_RadSpec!$F$15*(AH15*$B44))</f>
        <v>189550.21999374998</v>
      </c>
      <c r="AI44" s="94">
        <f>IF(I44=".",".",up_RadSpec!$F$15*(AI15*$B44))</f>
        <v>189550.21999374998</v>
      </c>
      <c r="AJ44" s="94">
        <f>IF(J44=".",".",up_RadSpec!$F$15*(AJ15*$B44))</f>
        <v>189550.21999374998</v>
      </c>
      <c r="AK44" s="94">
        <f>IF(K44=".",".",up_RadSpec!$F$15*(AK15*$B44))</f>
        <v>189550.21999374998</v>
      </c>
      <c r="AL44" s="94">
        <f>IF(L44=".",".",up_RadSpec!$F$15*(AL15*$B44))</f>
        <v>189550.21999374998</v>
      </c>
      <c r="AM44" s="94">
        <f>IF(M44=".",".",up_RadSpec!$F$15*(AM15*$B44))</f>
        <v>189550.21999374998</v>
      </c>
      <c r="AN44" s="94">
        <f>IF(N44=".",".",up_RadSpec!$F$15*(AN15*$B44))</f>
        <v>189550.21999374998</v>
      </c>
      <c r="AO44" s="94">
        <f>IF(O44=".",".",up_RadSpec!$F$15*(AO15*$B44))</f>
        <v>189550.21999374998</v>
      </c>
      <c r="AP44" s="94">
        <f>IF(P44=".",".",up_RadSpec!$F$15*(AP15*$B44))</f>
        <v>189550.21999374998</v>
      </c>
      <c r="AQ44" s="94">
        <f>IF(Q44=".",".",up_RadSpec!$F$15*(AQ15*$B44))</f>
        <v>189550.21999374998</v>
      </c>
      <c r="AR44" s="94">
        <f>IF(R44=".",".",up_RadSpec!$F$15*(AR15*$B44))</f>
        <v>189550.21999374998</v>
      </c>
      <c r="AS44" s="94">
        <f>IF(S44=".",".",up_RadSpec!$F$15*(AS15*$B44))</f>
        <v>189550.21999374998</v>
      </c>
      <c r="AT44" s="94">
        <f>IF(T44=".",".",up_RadSpec!$F$15*(AT15*$B44))</f>
        <v>189550.21999374998</v>
      </c>
      <c r="AU44" s="94">
        <f>IF(U44=".",".",up_RadSpec!$F$15*(AU15*$B44))</f>
        <v>189550.21999374998</v>
      </c>
      <c r="AV44" s="94">
        <f>IF(V44=".",".",up_RadSpec!$F$15*(AV15*$B44))</f>
        <v>189550.21999374998</v>
      </c>
      <c r="AW44" s="94">
        <f>IF(W44=".",".",up_RadSpec!$F$15*(AW15*$B44))</f>
        <v>189550.21999374998</v>
      </c>
      <c r="AX44" s="94">
        <f>IF(X44=".",".",up_RadSpec!$F$15*(AX15*$B44))</f>
        <v>189550.21999374998</v>
      </c>
      <c r="AY44" s="94">
        <f>IF(Y44=".",".",up_RadSpec!$F$15*(AY15*$B44))</f>
        <v>189550.21999374998</v>
      </c>
      <c r="AZ44" s="94">
        <f>IF(Z44=".",".",up_RadSpec!$F$15*(AZ15*$B44))</f>
        <v>189550.21999374998</v>
      </c>
      <c r="BA44" s="94">
        <f>IF(AA44=".",".",up_RadSpec!$F$15*(BA15*$B44))</f>
        <v>189550.21999374998</v>
      </c>
      <c r="BB44" s="94">
        <f>IF(AB44=".",".",up_RadSpec!$F$15*(BB15*$B44))</f>
        <v>189550.21999374998</v>
      </c>
      <c r="BC44" s="60">
        <f t="shared" ref="BC44:CB44" si="56">IFERROR(BC15/$B44,".")</f>
        <v>3.2972792119186577E-5</v>
      </c>
      <c r="BD44" s="60">
        <f t="shared" si="56"/>
        <v>1.3189116847674631E-4</v>
      </c>
      <c r="BE44" s="60">
        <f t="shared" si="56"/>
        <v>1.3189116847674631E-4</v>
      </c>
      <c r="BF44" s="60">
        <f t="shared" si="56"/>
        <v>1.3189116847674631E-4</v>
      </c>
      <c r="BG44" s="60">
        <f t="shared" si="56"/>
        <v>1.3189116847674631E-4</v>
      </c>
      <c r="BH44" s="60">
        <f t="shared" si="56"/>
        <v>1.3189116847674631E-4</v>
      </c>
      <c r="BI44" s="60">
        <f t="shared" si="56"/>
        <v>1.3189116847674631E-4</v>
      </c>
      <c r="BJ44" s="60">
        <f t="shared" si="56"/>
        <v>1.3189116847674631E-4</v>
      </c>
      <c r="BK44" s="60">
        <f t="shared" si="56"/>
        <v>1.3189116847674631E-4</v>
      </c>
      <c r="BL44" s="60">
        <f t="shared" si="56"/>
        <v>1.3189116847674631E-4</v>
      </c>
      <c r="BM44" s="60">
        <f t="shared" si="56"/>
        <v>1.3189116847674631E-4</v>
      </c>
      <c r="BN44" s="60">
        <f t="shared" si="56"/>
        <v>1.3189116847674631E-4</v>
      </c>
      <c r="BO44" s="60">
        <f t="shared" si="56"/>
        <v>1.3189116847674631E-4</v>
      </c>
      <c r="BP44" s="60">
        <f t="shared" si="56"/>
        <v>1.3189116847674631E-4</v>
      </c>
      <c r="BQ44" s="60">
        <f t="shared" si="56"/>
        <v>1.3189116847674631E-4</v>
      </c>
      <c r="BR44" s="60">
        <f t="shared" si="56"/>
        <v>1.3189116847674631E-4</v>
      </c>
      <c r="BS44" s="60">
        <f t="shared" si="56"/>
        <v>1.3189116847674631E-4</v>
      </c>
      <c r="BT44" s="60">
        <f t="shared" si="56"/>
        <v>1.3189116847674631E-4</v>
      </c>
      <c r="BU44" s="60">
        <f t="shared" si="56"/>
        <v>1.3189116847674631E-4</v>
      </c>
      <c r="BV44" s="60">
        <f t="shared" si="56"/>
        <v>1.3189116847674631E-4</v>
      </c>
      <c r="BW44" s="60">
        <f t="shared" si="56"/>
        <v>1.3189116847674631E-4</v>
      </c>
      <c r="BX44" s="60">
        <f t="shared" si="56"/>
        <v>1.3189116847674631E-4</v>
      </c>
      <c r="BY44" s="60">
        <f t="shared" si="56"/>
        <v>1.3189116847674631E-4</v>
      </c>
      <c r="BZ44" s="60">
        <f t="shared" si="56"/>
        <v>1.3189116847674631E-4</v>
      </c>
      <c r="CA44" s="60">
        <f t="shared" si="56"/>
        <v>1.3189116847674631E-4</v>
      </c>
      <c r="CB44" s="60">
        <f t="shared" si="56"/>
        <v>1.3189116847674631E-4</v>
      </c>
      <c r="CC44" s="94">
        <f t="shared" si="34"/>
        <v>758200.87997499993</v>
      </c>
      <c r="CD44" s="94">
        <f>IF(BD44=".",".",up_RadSpec!$F$15*(CD15*$B44))</f>
        <v>189550.21999374998</v>
      </c>
      <c r="CE44" s="94">
        <f>IF(BE44=".",".",up_RadSpec!$F$15*(CE15*$B44))</f>
        <v>189550.21999374998</v>
      </c>
      <c r="CF44" s="94">
        <f>IF(BF44=".",".",up_RadSpec!$F$15*(CF15*$B44))</f>
        <v>189550.21999374998</v>
      </c>
      <c r="CG44" s="94">
        <f>IF(BG44=".",".",up_RadSpec!$F$15*(CG15*$B44))</f>
        <v>189550.21999374998</v>
      </c>
      <c r="CH44" s="94">
        <f>IF(BH44=".",".",up_RadSpec!$F$15*(CH15*$B44))</f>
        <v>189550.21999374998</v>
      </c>
      <c r="CI44" s="94">
        <f>IF(BI44=".",".",up_RadSpec!$F$15*(CI15*$B44))</f>
        <v>189550.21999374998</v>
      </c>
      <c r="CJ44" s="94">
        <f>IF(BJ44=".",".",up_RadSpec!$F$15*(CJ15*$B44))</f>
        <v>189550.21999374998</v>
      </c>
      <c r="CK44" s="94">
        <f>IF(BK44=".",".",up_RadSpec!$F$15*(CK15*$B44))</f>
        <v>189550.21999374998</v>
      </c>
      <c r="CL44" s="94">
        <f>IF(BL44=".",".",up_RadSpec!$F$15*(CL15*$B44))</f>
        <v>189550.21999374998</v>
      </c>
      <c r="CM44" s="94">
        <f>IF(BM44=".",".",up_RadSpec!$F$15*(CM15*$B44))</f>
        <v>189550.21999374998</v>
      </c>
      <c r="CN44" s="94">
        <f>IF(BN44=".",".",up_RadSpec!$F$15*(CN15*$B44))</f>
        <v>189550.21999374998</v>
      </c>
      <c r="CO44" s="94">
        <f>IF(BO44=".",".",up_RadSpec!$F$15*(CO15*$B44))</f>
        <v>189550.21999374998</v>
      </c>
      <c r="CP44" s="94">
        <f>IF(BP44=".",".",up_RadSpec!$F$15*(CP15*$B44))</f>
        <v>189550.21999374998</v>
      </c>
      <c r="CQ44" s="94">
        <f>IF(BQ44=".",".",up_RadSpec!$F$15*(CQ15*$B44))</f>
        <v>189550.21999374998</v>
      </c>
      <c r="CR44" s="94">
        <f>IF(BR44=".",".",up_RadSpec!$F$15*(CR15*$B44))</f>
        <v>189550.21999374998</v>
      </c>
      <c r="CS44" s="94">
        <f>IF(BS44=".",".",up_RadSpec!$F$15*(CS15*$B44))</f>
        <v>189550.21999374998</v>
      </c>
      <c r="CT44" s="94">
        <f>IF(BT44=".",".",up_RadSpec!$F$15*(CT15*$B44))</f>
        <v>189550.21999374998</v>
      </c>
      <c r="CU44" s="94">
        <f>IF(BU44=".",".",up_RadSpec!$F$15*(CU15*$B44))</f>
        <v>189550.21999374998</v>
      </c>
      <c r="CV44" s="94">
        <f>IF(BV44=".",".",up_RadSpec!$F$15*(CV15*$B44))</f>
        <v>189550.21999374998</v>
      </c>
      <c r="CW44" s="94">
        <f>IF(BW44=".",".",up_RadSpec!$F$15*(CW15*$B44))</f>
        <v>189550.21999374998</v>
      </c>
      <c r="CX44" s="94">
        <f>IF(BX44=".",".",up_RadSpec!$F$15*(CX15*$B44))</f>
        <v>189550.21999374998</v>
      </c>
      <c r="CY44" s="94">
        <f>IF(BY44=".",".",up_RadSpec!$F$15*(CY15*$B44))</f>
        <v>189550.21999374998</v>
      </c>
      <c r="CZ44" s="94">
        <f>IF(BZ44=".",".",up_RadSpec!$F$15*(CZ15*$B44))</f>
        <v>189550.21999374998</v>
      </c>
      <c r="DA44" s="94">
        <f>IF(CA44=".",".",up_RadSpec!$F$15*(DA15*$B44))</f>
        <v>189550.21999374998</v>
      </c>
      <c r="DB44" s="94">
        <f>IF(CB44=".",".",up_RadSpec!$F$15*(DB15*$B44))</f>
        <v>189550.21999374998</v>
      </c>
    </row>
    <row r="45" spans="1:106" x14ac:dyDescent="0.25">
      <c r="A45" s="76" t="s">
        <v>8</v>
      </c>
      <c r="B45" s="76" t="s">
        <v>1057</v>
      </c>
      <c r="C45" s="58">
        <f t="shared" ref="C45:AB45" si="57">IFERROR(1/SUM(IFERROR(1/SUMIF(C46,"&lt;&gt;.",C46),0),IFERROR(1/SUMIF(C47,"&lt;&gt;.",C47),0)),".")</f>
        <v>1.6959364700503746E-5</v>
      </c>
      <c r="D45" s="58">
        <f t="shared" si="57"/>
        <v>6.7837458802014983E-5</v>
      </c>
      <c r="E45" s="58">
        <f t="shared" si="57"/>
        <v>6.7837458802014983E-5</v>
      </c>
      <c r="F45" s="58">
        <f t="shared" si="57"/>
        <v>6.7837458802014983E-5</v>
      </c>
      <c r="G45" s="58">
        <f t="shared" si="57"/>
        <v>6.7837458802014983E-5</v>
      </c>
      <c r="H45" s="58">
        <f t="shared" si="57"/>
        <v>6.7837458802014983E-5</v>
      </c>
      <c r="I45" s="58">
        <f t="shared" si="57"/>
        <v>6.7837458802014983E-5</v>
      </c>
      <c r="J45" s="58">
        <f t="shared" si="57"/>
        <v>6.7837458802014983E-5</v>
      </c>
      <c r="K45" s="58">
        <f t="shared" si="57"/>
        <v>6.7837458802014983E-5</v>
      </c>
      <c r="L45" s="58">
        <f t="shared" si="57"/>
        <v>6.7837458802014983E-5</v>
      </c>
      <c r="M45" s="58">
        <f t="shared" si="57"/>
        <v>6.7837458802014983E-5</v>
      </c>
      <c r="N45" s="58">
        <f t="shared" si="57"/>
        <v>6.7837458802014983E-5</v>
      </c>
      <c r="O45" s="58">
        <f t="shared" si="57"/>
        <v>6.7837458802014983E-5</v>
      </c>
      <c r="P45" s="58">
        <f t="shared" si="57"/>
        <v>6.7837458802014983E-5</v>
      </c>
      <c r="Q45" s="58">
        <f t="shared" si="57"/>
        <v>6.7837458802014983E-5</v>
      </c>
      <c r="R45" s="58">
        <f t="shared" si="57"/>
        <v>6.7837458802014983E-5</v>
      </c>
      <c r="S45" s="58">
        <f t="shared" si="57"/>
        <v>6.7837458802014983E-5</v>
      </c>
      <c r="T45" s="58">
        <f t="shared" si="57"/>
        <v>6.7837458802014983E-5</v>
      </c>
      <c r="U45" s="58">
        <f t="shared" si="57"/>
        <v>6.7837458802014983E-5</v>
      </c>
      <c r="V45" s="58">
        <f t="shared" si="57"/>
        <v>6.7837458802014983E-5</v>
      </c>
      <c r="W45" s="58">
        <f t="shared" si="57"/>
        <v>6.7837458802014983E-5</v>
      </c>
      <c r="X45" s="58">
        <f t="shared" si="57"/>
        <v>6.7837458802014983E-5</v>
      </c>
      <c r="Y45" s="58">
        <f t="shared" si="57"/>
        <v>6.7837458802014983E-5</v>
      </c>
      <c r="Z45" s="58">
        <f t="shared" si="57"/>
        <v>6.7837458802014983E-5</v>
      </c>
      <c r="AA45" s="58">
        <f t="shared" si="57"/>
        <v>6.7837458802014983E-5</v>
      </c>
      <c r="AB45" s="58">
        <f t="shared" si="57"/>
        <v>6.7837458802014983E-5</v>
      </c>
      <c r="AC45" s="91">
        <f>IFERROR(SUM(AD46:AD47,AU46:AU47,BA46:BA47,BB46:BB47),".")</f>
        <v>1474111.8220812501</v>
      </c>
      <c r="AD45" s="91">
        <f>IFERROR(SUM(AD46:AD47),".")</f>
        <v>368527.95552031253</v>
      </c>
      <c r="AE45" s="91">
        <f t="shared" ref="AE45:BB45" si="58">IFERROR(SUM(AE46:AE47),".")</f>
        <v>368527.95552031253</v>
      </c>
      <c r="AF45" s="91">
        <f t="shared" si="58"/>
        <v>368527.95552031253</v>
      </c>
      <c r="AG45" s="91">
        <f t="shared" si="58"/>
        <v>368527.95552031253</v>
      </c>
      <c r="AH45" s="91">
        <f t="shared" si="58"/>
        <v>368527.95552031253</v>
      </c>
      <c r="AI45" s="91">
        <f t="shared" si="58"/>
        <v>368527.95552031253</v>
      </c>
      <c r="AJ45" s="91">
        <f t="shared" si="58"/>
        <v>368527.95552031253</v>
      </c>
      <c r="AK45" s="91">
        <f t="shared" si="58"/>
        <v>368527.95552031253</v>
      </c>
      <c r="AL45" s="91">
        <f t="shared" si="58"/>
        <v>368527.95552031253</v>
      </c>
      <c r="AM45" s="91">
        <f t="shared" si="58"/>
        <v>368527.95552031253</v>
      </c>
      <c r="AN45" s="91">
        <f t="shared" si="58"/>
        <v>368527.95552031253</v>
      </c>
      <c r="AO45" s="91">
        <f t="shared" si="58"/>
        <v>368527.95552031253</v>
      </c>
      <c r="AP45" s="91">
        <f t="shared" si="58"/>
        <v>368527.95552031253</v>
      </c>
      <c r="AQ45" s="91">
        <f t="shared" si="58"/>
        <v>368527.95552031253</v>
      </c>
      <c r="AR45" s="91">
        <f t="shared" si="58"/>
        <v>368527.95552031253</v>
      </c>
      <c r="AS45" s="91">
        <f t="shared" si="58"/>
        <v>368527.95552031253</v>
      </c>
      <c r="AT45" s="91">
        <f t="shared" si="58"/>
        <v>368527.95552031253</v>
      </c>
      <c r="AU45" s="91">
        <f t="shared" si="58"/>
        <v>368527.95552031253</v>
      </c>
      <c r="AV45" s="91">
        <f t="shared" si="58"/>
        <v>368527.95552031253</v>
      </c>
      <c r="AW45" s="91">
        <f t="shared" si="58"/>
        <v>368527.95552031253</v>
      </c>
      <c r="AX45" s="91">
        <f t="shared" si="58"/>
        <v>368527.95552031253</v>
      </c>
      <c r="AY45" s="91">
        <f t="shared" si="58"/>
        <v>368527.95552031253</v>
      </c>
      <c r="AZ45" s="91">
        <f t="shared" si="58"/>
        <v>368527.95552031253</v>
      </c>
      <c r="BA45" s="91">
        <f t="shared" si="58"/>
        <v>368527.95552031253</v>
      </c>
      <c r="BB45" s="91">
        <f t="shared" si="58"/>
        <v>368527.95552031253</v>
      </c>
      <c r="BC45" s="58">
        <f t="shared" ref="BC45:CB45" si="59">IFERROR(1/SUM(IFERROR(1/SUMIF(BC46,"&lt;&gt;.",BC46),0),IFERROR(1/SUMIF(BC47,"&lt;&gt;.",BC47),0)),".")</f>
        <v>1.6959364700503746E-5</v>
      </c>
      <c r="BD45" s="58">
        <f t="shared" si="59"/>
        <v>6.7837458802014983E-5</v>
      </c>
      <c r="BE45" s="58">
        <f t="shared" si="59"/>
        <v>6.7837458802014983E-5</v>
      </c>
      <c r="BF45" s="58">
        <f t="shared" si="59"/>
        <v>6.7837458802014983E-5</v>
      </c>
      <c r="BG45" s="58">
        <f t="shared" si="59"/>
        <v>6.7837458802014983E-5</v>
      </c>
      <c r="BH45" s="58">
        <f t="shared" si="59"/>
        <v>6.7837458802014983E-5</v>
      </c>
      <c r="BI45" s="58">
        <f t="shared" si="59"/>
        <v>6.7837458802014983E-5</v>
      </c>
      <c r="BJ45" s="58">
        <f t="shared" si="59"/>
        <v>6.7837458802014983E-5</v>
      </c>
      <c r="BK45" s="58">
        <f t="shared" si="59"/>
        <v>6.7837458802014983E-5</v>
      </c>
      <c r="BL45" s="58">
        <f t="shared" si="59"/>
        <v>6.7837458802014983E-5</v>
      </c>
      <c r="BM45" s="58">
        <f t="shared" si="59"/>
        <v>6.7837458802014983E-5</v>
      </c>
      <c r="BN45" s="58">
        <f t="shared" si="59"/>
        <v>6.7837458802014983E-5</v>
      </c>
      <c r="BO45" s="58">
        <f t="shared" si="59"/>
        <v>6.7837458802014983E-5</v>
      </c>
      <c r="BP45" s="58">
        <f t="shared" si="59"/>
        <v>6.7837458802014983E-5</v>
      </c>
      <c r="BQ45" s="58">
        <f t="shared" si="59"/>
        <v>6.7837458802014983E-5</v>
      </c>
      <c r="BR45" s="58">
        <f t="shared" si="59"/>
        <v>6.7837458802014983E-5</v>
      </c>
      <c r="BS45" s="58">
        <f t="shared" si="59"/>
        <v>6.7837458802014983E-5</v>
      </c>
      <c r="BT45" s="58">
        <f t="shared" si="59"/>
        <v>6.7837458802014983E-5</v>
      </c>
      <c r="BU45" s="58">
        <f t="shared" si="59"/>
        <v>6.7837458802014983E-5</v>
      </c>
      <c r="BV45" s="58">
        <f t="shared" si="59"/>
        <v>6.7837458802014983E-5</v>
      </c>
      <c r="BW45" s="58">
        <f t="shared" si="59"/>
        <v>6.7837458802014983E-5</v>
      </c>
      <c r="BX45" s="58">
        <f t="shared" si="59"/>
        <v>6.7837458802014983E-5</v>
      </c>
      <c r="BY45" s="58">
        <f t="shared" si="59"/>
        <v>6.7837458802014983E-5</v>
      </c>
      <c r="BZ45" s="58">
        <f t="shared" si="59"/>
        <v>6.7837458802014983E-5</v>
      </c>
      <c r="CA45" s="58">
        <f t="shared" si="59"/>
        <v>6.7837458802014983E-5</v>
      </c>
      <c r="CB45" s="58">
        <f t="shared" si="59"/>
        <v>6.7837458802014983E-5</v>
      </c>
      <c r="CC45" s="91">
        <f>IFERROR(SUM(CD46:CD47,CU46:CU47,DA46:DA47,DB46:DB47),".")</f>
        <v>1474111.8220812501</v>
      </c>
      <c r="CD45" s="91">
        <f>IFERROR(SUM(CD46:CD47),".")</f>
        <v>368527.95552031253</v>
      </c>
      <c r="CE45" s="91">
        <f t="shared" ref="CE45" si="60">IFERROR(SUM(CE46:CE47),".")</f>
        <v>368527.95552031253</v>
      </c>
      <c r="CF45" s="91">
        <f t="shared" ref="CF45" si="61">IFERROR(SUM(CF46:CF47),".")</f>
        <v>368527.95552031253</v>
      </c>
      <c r="CG45" s="91">
        <f t="shared" ref="CG45" si="62">IFERROR(SUM(CG46:CG47),".")</f>
        <v>368527.95552031253</v>
      </c>
      <c r="CH45" s="91">
        <f t="shared" ref="CH45" si="63">IFERROR(SUM(CH46:CH47),".")</f>
        <v>368527.95552031253</v>
      </c>
      <c r="CI45" s="91">
        <f t="shared" ref="CI45" si="64">IFERROR(SUM(CI46:CI47),".")</f>
        <v>368527.95552031253</v>
      </c>
      <c r="CJ45" s="91">
        <f t="shared" ref="CJ45" si="65">IFERROR(SUM(CJ46:CJ47),".")</f>
        <v>368527.95552031253</v>
      </c>
      <c r="CK45" s="91">
        <f t="shared" ref="CK45" si="66">IFERROR(SUM(CK46:CK47),".")</f>
        <v>368527.95552031253</v>
      </c>
      <c r="CL45" s="91">
        <f t="shared" ref="CL45" si="67">IFERROR(SUM(CL46:CL47),".")</f>
        <v>368527.95552031253</v>
      </c>
      <c r="CM45" s="91">
        <f t="shared" ref="CM45" si="68">IFERROR(SUM(CM46:CM47),".")</f>
        <v>368527.95552031253</v>
      </c>
      <c r="CN45" s="91">
        <f t="shared" ref="CN45" si="69">IFERROR(SUM(CN46:CN47),".")</f>
        <v>368527.95552031253</v>
      </c>
      <c r="CO45" s="91">
        <f t="shared" ref="CO45" si="70">IFERROR(SUM(CO46:CO47),".")</f>
        <v>368527.95552031253</v>
      </c>
      <c r="CP45" s="91">
        <f t="shared" ref="CP45" si="71">IFERROR(SUM(CP46:CP47),".")</f>
        <v>368527.95552031253</v>
      </c>
      <c r="CQ45" s="91">
        <f t="shared" ref="CQ45" si="72">IFERROR(SUM(CQ46:CQ47),".")</f>
        <v>368527.95552031253</v>
      </c>
      <c r="CR45" s="91">
        <f t="shared" ref="CR45" si="73">IFERROR(SUM(CR46:CR47),".")</f>
        <v>368527.95552031253</v>
      </c>
      <c r="CS45" s="91">
        <f t="shared" ref="CS45" si="74">IFERROR(SUM(CS46:CS47),".")</f>
        <v>368527.95552031253</v>
      </c>
      <c r="CT45" s="91">
        <f t="shared" ref="CT45" si="75">IFERROR(SUM(CT46:CT47),".")</f>
        <v>368527.95552031253</v>
      </c>
      <c r="CU45" s="91">
        <f t="shared" ref="CU45" si="76">IFERROR(SUM(CU46:CU47),".")</f>
        <v>368527.95552031253</v>
      </c>
      <c r="CV45" s="91">
        <f t="shared" ref="CV45" si="77">IFERROR(SUM(CV46:CV47),".")</f>
        <v>368527.95552031253</v>
      </c>
      <c r="CW45" s="91">
        <f t="shared" ref="CW45" si="78">IFERROR(SUM(CW46:CW47),".")</f>
        <v>368527.95552031253</v>
      </c>
      <c r="CX45" s="91">
        <f t="shared" ref="CX45" si="79">IFERROR(SUM(CX46:CX47),".")</f>
        <v>368527.95552031253</v>
      </c>
      <c r="CY45" s="91">
        <f t="shared" ref="CY45" si="80">IFERROR(SUM(CY46:CY47),".")</f>
        <v>368527.95552031253</v>
      </c>
      <c r="CZ45" s="91">
        <f t="shared" ref="CZ45" si="81">IFERROR(SUM(CZ46:CZ47),".")</f>
        <v>368527.95552031253</v>
      </c>
      <c r="DA45" s="91">
        <f t="shared" ref="DA45" si="82">IFERROR(SUM(DA46:DA47),".")</f>
        <v>368527.95552031253</v>
      </c>
      <c r="DB45" s="91">
        <f t="shared" ref="DB45" si="83">IFERROR(SUM(DB46:DB47),".")</f>
        <v>368527.95552031253</v>
      </c>
    </row>
    <row r="46" spans="1:106" x14ac:dyDescent="0.25">
      <c r="A46" s="77" t="s">
        <v>1084</v>
      </c>
      <c r="B46" s="42">
        <v>1</v>
      </c>
      <c r="C46" s="60">
        <f t="shared" ref="C46:AB46" si="84">IFERROR(C10/$B46,".")</f>
        <v>3.2968835384132272E-5</v>
      </c>
      <c r="D46" s="60">
        <f t="shared" si="84"/>
        <v>1.3187534153652909E-4</v>
      </c>
      <c r="E46" s="60">
        <f t="shared" si="84"/>
        <v>1.3187534153652909E-4</v>
      </c>
      <c r="F46" s="60">
        <f t="shared" si="84"/>
        <v>1.3187534153652909E-4</v>
      </c>
      <c r="G46" s="60">
        <f t="shared" si="84"/>
        <v>1.3187534153652909E-4</v>
      </c>
      <c r="H46" s="60">
        <f t="shared" si="84"/>
        <v>1.3187534153652909E-4</v>
      </c>
      <c r="I46" s="60">
        <f t="shared" si="84"/>
        <v>1.3187534153652909E-4</v>
      </c>
      <c r="J46" s="60">
        <f t="shared" si="84"/>
        <v>1.3187534153652909E-4</v>
      </c>
      <c r="K46" s="60">
        <f t="shared" si="84"/>
        <v>1.3187534153652909E-4</v>
      </c>
      <c r="L46" s="60">
        <f t="shared" si="84"/>
        <v>1.3187534153652909E-4</v>
      </c>
      <c r="M46" s="60">
        <f t="shared" si="84"/>
        <v>1.3187534153652909E-4</v>
      </c>
      <c r="N46" s="60">
        <f t="shared" si="84"/>
        <v>1.3187534153652909E-4</v>
      </c>
      <c r="O46" s="60">
        <f t="shared" si="84"/>
        <v>1.3187534153652909E-4</v>
      </c>
      <c r="P46" s="60">
        <f t="shared" si="84"/>
        <v>1.3187534153652909E-4</v>
      </c>
      <c r="Q46" s="60">
        <f t="shared" si="84"/>
        <v>1.3187534153652909E-4</v>
      </c>
      <c r="R46" s="60">
        <f t="shared" si="84"/>
        <v>1.3187534153652909E-4</v>
      </c>
      <c r="S46" s="60">
        <f t="shared" si="84"/>
        <v>1.3187534153652909E-4</v>
      </c>
      <c r="T46" s="60">
        <f t="shared" si="84"/>
        <v>1.3187534153652909E-4</v>
      </c>
      <c r="U46" s="60">
        <f t="shared" si="84"/>
        <v>1.3187534153652909E-4</v>
      </c>
      <c r="V46" s="60">
        <f t="shared" si="84"/>
        <v>1.3187534153652909E-4</v>
      </c>
      <c r="W46" s="60">
        <f t="shared" si="84"/>
        <v>1.3187534153652909E-4</v>
      </c>
      <c r="X46" s="60">
        <f t="shared" si="84"/>
        <v>1.3187534153652909E-4</v>
      </c>
      <c r="Y46" s="60">
        <f t="shared" si="84"/>
        <v>1.3187534153652909E-4</v>
      </c>
      <c r="Z46" s="60">
        <f t="shared" si="84"/>
        <v>1.3187534153652909E-4</v>
      </c>
      <c r="AA46" s="60">
        <f t="shared" si="84"/>
        <v>1.3187534153652909E-4</v>
      </c>
      <c r="AB46" s="60">
        <f t="shared" si="84"/>
        <v>1.3187534153652909E-4</v>
      </c>
      <c r="AC46" s="94">
        <f>IF(AND(AD46&lt;&gt;".",AU46&lt;&gt;".",BA46&lt;&gt;".",BB46&lt;&gt;"."),SUM(AD46,AU46,BA46:BB46),".")</f>
        <v>758291.875</v>
      </c>
      <c r="AD46" s="94">
        <f>IF(D46=".",".",up_RadSpec!$F$10*(AD10*$B46))</f>
        <v>189572.96875</v>
      </c>
      <c r="AE46" s="94">
        <f>IF(E46=".",".",up_RadSpec!$F$10*(AE10*$B46))</f>
        <v>189572.96875</v>
      </c>
      <c r="AF46" s="94">
        <f>IF(F46=".",".",up_RadSpec!$F$10*(AF10*$B46))</f>
        <v>189572.96875</v>
      </c>
      <c r="AG46" s="94">
        <f>IF(G46=".",".",up_RadSpec!$F$10*(AG10*$B46))</f>
        <v>189572.96875</v>
      </c>
      <c r="AH46" s="94">
        <f>IF(H46=".",".",up_RadSpec!$F$10*(AH10*$B46))</f>
        <v>189572.96875</v>
      </c>
      <c r="AI46" s="94">
        <f>IF(I46=".",".",up_RadSpec!$F$10*(AI10*$B46))</f>
        <v>189572.96875</v>
      </c>
      <c r="AJ46" s="94">
        <f>IF(J46=".",".",up_RadSpec!$F$10*(AJ10*$B46))</f>
        <v>189572.96875</v>
      </c>
      <c r="AK46" s="94">
        <f>IF(K46=".",".",up_RadSpec!$F$10*(AK10*$B46))</f>
        <v>189572.96875</v>
      </c>
      <c r="AL46" s="94">
        <f>IF(L46=".",".",up_RadSpec!$F$10*(AL10*$B46))</f>
        <v>189572.96875</v>
      </c>
      <c r="AM46" s="94">
        <f>IF(M46=".",".",up_RadSpec!$F$10*(AM10*$B46))</f>
        <v>189572.96875</v>
      </c>
      <c r="AN46" s="94">
        <f>IF(N46=".",".",up_RadSpec!$F$10*(AN10*$B46))</f>
        <v>189572.96875</v>
      </c>
      <c r="AO46" s="94">
        <f>IF(O46=".",".",up_RadSpec!$F$10*(AO10*$B46))</f>
        <v>189572.96875</v>
      </c>
      <c r="AP46" s="94">
        <f>IF(P46=".",".",up_RadSpec!$F$10*(AP10*$B46))</f>
        <v>189572.96875</v>
      </c>
      <c r="AQ46" s="94">
        <f>IF(Q46=".",".",up_RadSpec!$F$10*(AQ10*$B46))</f>
        <v>189572.96875</v>
      </c>
      <c r="AR46" s="94">
        <f>IF(R46=".",".",up_RadSpec!$F$10*(AR10*$B46))</f>
        <v>189572.96875</v>
      </c>
      <c r="AS46" s="94">
        <f>IF(S46=".",".",up_RadSpec!$F$10*(AS10*$B46))</f>
        <v>189572.96875</v>
      </c>
      <c r="AT46" s="94">
        <f>IF(T46=".",".",up_RadSpec!$F$10*(AT10*$B46))</f>
        <v>189572.96875</v>
      </c>
      <c r="AU46" s="94">
        <f>IF(U46=".",".",up_RadSpec!$F$10*(AU10*$B46))</f>
        <v>189572.96875</v>
      </c>
      <c r="AV46" s="94">
        <f>IF(V46=".",".",up_RadSpec!$F$10*(AV10*$B46))</f>
        <v>189572.96875</v>
      </c>
      <c r="AW46" s="94">
        <f>IF(W46=".",".",up_RadSpec!$F$10*(AW10*$B46))</f>
        <v>189572.96875</v>
      </c>
      <c r="AX46" s="94">
        <f>IF(X46=".",".",up_RadSpec!$F$10*(AX10*$B46))</f>
        <v>189572.96875</v>
      </c>
      <c r="AY46" s="94">
        <f>IF(Y46=".",".",up_RadSpec!$F$10*(AY10*$B46))</f>
        <v>189572.96875</v>
      </c>
      <c r="AZ46" s="94">
        <f>IF(Z46=".",".",up_RadSpec!$F$10*(AZ10*$B46))</f>
        <v>189572.96875</v>
      </c>
      <c r="BA46" s="94">
        <f>IF(AA46=".",".",up_RadSpec!$F$10*(BA10*$B46))</f>
        <v>189572.96875</v>
      </c>
      <c r="BB46" s="94">
        <f>IF(AB46=".",".",up_RadSpec!$F$10*(BB10*$B46))</f>
        <v>189572.96875</v>
      </c>
      <c r="BC46" s="60">
        <f t="shared" ref="BC46:CB46" si="85">IFERROR(BC10/$B46,".")</f>
        <v>3.2968835384132272E-5</v>
      </c>
      <c r="BD46" s="60">
        <f t="shared" si="85"/>
        <v>1.3187534153652909E-4</v>
      </c>
      <c r="BE46" s="60">
        <f t="shared" si="85"/>
        <v>1.3187534153652909E-4</v>
      </c>
      <c r="BF46" s="60">
        <f t="shared" si="85"/>
        <v>1.3187534153652909E-4</v>
      </c>
      <c r="BG46" s="60">
        <f t="shared" si="85"/>
        <v>1.3187534153652909E-4</v>
      </c>
      <c r="BH46" s="60">
        <f t="shared" si="85"/>
        <v>1.3187534153652909E-4</v>
      </c>
      <c r="BI46" s="60">
        <f t="shared" si="85"/>
        <v>1.3187534153652909E-4</v>
      </c>
      <c r="BJ46" s="60">
        <f t="shared" si="85"/>
        <v>1.3187534153652909E-4</v>
      </c>
      <c r="BK46" s="60">
        <f t="shared" si="85"/>
        <v>1.3187534153652909E-4</v>
      </c>
      <c r="BL46" s="60">
        <f t="shared" si="85"/>
        <v>1.3187534153652909E-4</v>
      </c>
      <c r="BM46" s="60">
        <f t="shared" si="85"/>
        <v>1.3187534153652909E-4</v>
      </c>
      <c r="BN46" s="60">
        <f t="shared" si="85"/>
        <v>1.3187534153652909E-4</v>
      </c>
      <c r="BO46" s="60">
        <f t="shared" si="85"/>
        <v>1.3187534153652909E-4</v>
      </c>
      <c r="BP46" s="60">
        <f t="shared" si="85"/>
        <v>1.3187534153652909E-4</v>
      </c>
      <c r="BQ46" s="60">
        <f t="shared" si="85"/>
        <v>1.3187534153652909E-4</v>
      </c>
      <c r="BR46" s="60">
        <f t="shared" si="85"/>
        <v>1.3187534153652909E-4</v>
      </c>
      <c r="BS46" s="60">
        <f t="shared" si="85"/>
        <v>1.3187534153652909E-4</v>
      </c>
      <c r="BT46" s="60">
        <f t="shared" si="85"/>
        <v>1.3187534153652909E-4</v>
      </c>
      <c r="BU46" s="60">
        <f t="shared" si="85"/>
        <v>1.3187534153652909E-4</v>
      </c>
      <c r="BV46" s="60">
        <f t="shared" si="85"/>
        <v>1.3187534153652909E-4</v>
      </c>
      <c r="BW46" s="60">
        <f t="shared" si="85"/>
        <v>1.3187534153652909E-4</v>
      </c>
      <c r="BX46" s="60">
        <f t="shared" si="85"/>
        <v>1.3187534153652909E-4</v>
      </c>
      <c r="BY46" s="60">
        <f t="shared" si="85"/>
        <v>1.3187534153652909E-4</v>
      </c>
      <c r="BZ46" s="60">
        <f t="shared" si="85"/>
        <v>1.3187534153652909E-4</v>
      </c>
      <c r="CA46" s="60">
        <f t="shared" si="85"/>
        <v>1.3187534153652909E-4</v>
      </c>
      <c r="CB46" s="60">
        <f t="shared" si="85"/>
        <v>1.3187534153652909E-4</v>
      </c>
      <c r="CC46" s="94">
        <f>IF(AND(CD46&lt;&gt;".",CU46&lt;&gt;".",DA46&lt;&gt;".",DB46&lt;&gt;"."),SUM(CD46,CU46,DA46:DB46),".")</f>
        <v>758291.875</v>
      </c>
      <c r="CD46" s="94">
        <f>IF(BD46=".",".",up_RadSpec!$F$10*(CD10*$B46))</f>
        <v>189572.96875</v>
      </c>
      <c r="CE46" s="94">
        <f>IF(BE46=".",".",up_RadSpec!$F$10*(CE10*$B46))</f>
        <v>189572.96875</v>
      </c>
      <c r="CF46" s="94">
        <f>IF(BF46=".",".",up_RadSpec!$F$10*(CF10*$B46))</f>
        <v>189572.96875</v>
      </c>
      <c r="CG46" s="94">
        <f>IF(BG46=".",".",up_RadSpec!$F$10*(CG10*$B46))</f>
        <v>189572.96875</v>
      </c>
      <c r="CH46" s="94">
        <f>IF(BH46=".",".",up_RadSpec!$F$10*(CH10*$B46))</f>
        <v>189572.96875</v>
      </c>
      <c r="CI46" s="94">
        <f>IF(BI46=".",".",up_RadSpec!$F$10*(CI10*$B46))</f>
        <v>189572.96875</v>
      </c>
      <c r="CJ46" s="94">
        <f>IF(BJ46=".",".",up_RadSpec!$F$10*(CJ10*$B46))</f>
        <v>189572.96875</v>
      </c>
      <c r="CK46" s="94">
        <f>IF(BK46=".",".",up_RadSpec!$F$10*(CK10*$B46))</f>
        <v>189572.96875</v>
      </c>
      <c r="CL46" s="94">
        <f>IF(BL46=".",".",up_RadSpec!$F$10*(CL10*$B46))</f>
        <v>189572.96875</v>
      </c>
      <c r="CM46" s="94">
        <f>IF(BM46=".",".",up_RadSpec!$F$10*(CM10*$B46))</f>
        <v>189572.96875</v>
      </c>
      <c r="CN46" s="94">
        <f>IF(BN46=".",".",up_RadSpec!$F$10*(CN10*$B46))</f>
        <v>189572.96875</v>
      </c>
      <c r="CO46" s="94">
        <f>IF(BO46=".",".",up_RadSpec!$F$10*(CO10*$B46))</f>
        <v>189572.96875</v>
      </c>
      <c r="CP46" s="94">
        <f>IF(BP46=".",".",up_RadSpec!$F$10*(CP10*$B46))</f>
        <v>189572.96875</v>
      </c>
      <c r="CQ46" s="94">
        <f>IF(BQ46=".",".",up_RadSpec!$F$10*(CQ10*$B46))</f>
        <v>189572.96875</v>
      </c>
      <c r="CR46" s="94">
        <f>IF(BR46=".",".",up_RadSpec!$F$10*(CR10*$B46))</f>
        <v>189572.96875</v>
      </c>
      <c r="CS46" s="94">
        <f>IF(BS46=".",".",up_RadSpec!$F$10*(CS10*$B46))</f>
        <v>189572.96875</v>
      </c>
      <c r="CT46" s="94">
        <f>IF(BT46=".",".",up_RadSpec!$F$10*(CT10*$B46))</f>
        <v>189572.96875</v>
      </c>
      <c r="CU46" s="94">
        <f>IF(BU46=".",".",up_RadSpec!$F$10*(CU10*$B46))</f>
        <v>189572.96875</v>
      </c>
      <c r="CV46" s="94">
        <f>IF(BV46=".",".",up_RadSpec!$F$10*(CV10*$B46))</f>
        <v>189572.96875</v>
      </c>
      <c r="CW46" s="94">
        <f>IF(BW46=".",".",up_RadSpec!$F$10*(CW10*$B46))</f>
        <v>189572.96875</v>
      </c>
      <c r="CX46" s="94">
        <f>IF(BX46=".",".",up_RadSpec!$F$10*(CX10*$B46))</f>
        <v>189572.96875</v>
      </c>
      <c r="CY46" s="94">
        <f>IF(BY46=".",".",up_RadSpec!$F$10*(CY10*$B46))</f>
        <v>189572.96875</v>
      </c>
      <c r="CZ46" s="94">
        <f>IF(BZ46=".",".",up_RadSpec!$F$10*(CZ10*$B46))</f>
        <v>189572.96875</v>
      </c>
      <c r="DA46" s="94">
        <f>IF(CA46=".",".",up_RadSpec!$F$10*(DA10*$B46))</f>
        <v>189572.96875</v>
      </c>
      <c r="DB46" s="94">
        <f>IF(CB46=".",".",up_RadSpec!$F$10*(DB10*$B46))</f>
        <v>189572.96875</v>
      </c>
    </row>
    <row r="47" spans="1:106" x14ac:dyDescent="0.25">
      <c r="A47" s="77" t="s">
        <v>1058</v>
      </c>
      <c r="B47" s="79">
        <v>0.94399</v>
      </c>
      <c r="C47" s="60">
        <f t="shared" ref="C47:AB47" si="86">IFERROR(C6/$B$47,".")</f>
        <v>3.4924983722425316E-5</v>
      </c>
      <c r="D47" s="60">
        <f t="shared" si="86"/>
        <v>1.3969993488970126E-4</v>
      </c>
      <c r="E47" s="60">
        <f t="shared" si="86"/>
        <v>1.3969993488970126E-4</v>
      </c>
      <c r="F47" s="60">
        <f t="shared" si="86"/>
        <v>1.3969993488970126E-4</v>
      </c>
      <c r="G47" s="60">
        <f t="shared" si="86"/>
        <v>1.3969993488970126E-4</v>
      </c>
      <c r="H47" s="60">
        <f t="shared" si="86"/>
        <v>1.3969993488970126E-4</v>
      </c>
      <c r="I47" s="60">
        <f t="shared" si="86"/>
        <v>1.3969993488970126E-4</v>
      </c>
      <c r="J47" s="60">
        <f t="shared" si="86"/>
        <v>1.3969993488970126E-4</v>
      </c>
      <c r="K47" s="60">
        <f t="shared" si="86"/>
        <v>1.3969993488970126E-4</v>
      </c>
      <c r="L47" s="60">
        <f t="shared" si="86"/>
        <v>1.3969993488970126E-4</v>
      </c>
      <c r="M47" s="60">
        <f t="shared" si="86"/>
        <v>1.3969993488970126E-4</v>
      </c>
      <c r="N47" s="60">
        <f t="shared" si="86"/>
        <v>1.3969993488970126E-4</v>
      </c>
      <c r="O47" s="60">
        <f t="shared" si="86"/>
        <v>1.3969993488970126E-4</v>
      </c>
      <c r="P47" s="60">
        <f t="shared" si="86"/>
        <v>1.3969993488970126E-4</v>
      </c>
      <c r="Q47" s="60">
        <f t="shared" si="86"/>
        <v>1.3969993488970126E-4</v>
      </c>
      <c r="R47" s="60">
        <f t="shared" si="86"/>
        <v>1.3969993488970126E-4</v>
      </c>
      <c r="S47" s="60">
        <f t="shared" si="86"/>
        <v>1.3969993488970126E-4</v>
      </c>
      <c r="T47" s="60">
        <f t="shared" si="86"/>
        <v>1.3969993488970126E-4</v>
      </c>
      <c r="U47" s="60">
        <f t="shared" si="86"/>
        <v>1.3969993488970126E-4</v>
      </c>
      <c r="V47" s="60">
        <f t="shared" si="86"/>
        <v>1.3969993488970126E-4</v>
      </c>
      <c r="W47" s="60">
        <f t="shared" si="86"/>
        <v>1.3969993488970126E-4</v>
      </c>
      <c r="X47" s="60">
        <f t="shared" si="86"/>
        <v>1.3969993488970126E-4</v>
      </c>
      <c r="Y47" s="60">
        <f t="shared" si="86"/>
        <v>1.3969993488970126E-4</v>
      </c>
      <c r="Z47" s="60">
        <f t="shared" si="86"/>
        <v>1.3969993488970126E-4</v>
      </c>
      <c r="AA47" s="60">
        <f t="shared" si="86"/>
        <v>1.3969993488970126E-4</v>
      </c>
      <c r="AB47" s="60">
        <f t="shared" si="86"/>
        <v>1.3969993488970126E-4</v>
      </c>
      <c r="AC47" s="94">
        <f>IF(AND(AD47&lt;&gt;".",AU47&lt;&gt;".",BA47&lt;&gt;".",BB47&lt;&gt;"."),SUM(AD47,AU47,BA47:BB47),".")</f>
        <v>715819.94708125002</v>
      </c>
      <c r="AD47" s="94">
        <f>IF(D47=".",".",up_RadSpec!$F$6*(AD6*$B47))</f>
        <v>178954.98677031251</v>
      </c>
      <c r="AE47" s="94">
        <f>IF(E47=".",".",up_RadSpec!$F$6*(AE6*$B47))</f>
        <v>178954.98677031251</v>
      </c>
      <c r="AF47" s="94">
        <f>IF(F47=".",".",up_RadSpec!$F$6*(AF6*$B47))</f>
        <v>178954.98677031251</v>
      </c>
      <c r="AG47" s="94">
        <f>IF(G47=".",".",up_RadSpec!$F$6*(AG6*$B47))</f>
        <v>178954.98677031251</v>
      </c>
      <c r="AH47" s="94">
        <f>IF(H47=".",".",up_RadSpec!$F$6*(AH6*$B47))</f>
        <v>178954.98677031251</v>
      </c>
      <c r="AI47" s="94">
        <f>IF(I47=".",".",up_RadSpec!$F$6*(AI6*$B47))</f>
        <v>178954.98677031251</v>
      </c>
      <c r="AJ47" s="94">
        <f>IF(J47=".",".",up_RadSpec!$F$6*(AJ6*$B47))</f>
        <v>178954.98677031251</v>
      </c>
      <c r="AK47" s="94">
        <f>IF(K47=".",".",up_RadSpec!$F$6*(AK6*$B47))</f>
        <v>178954.98677031251</v>
      </c>
      <c r="AL47" s="94">
        <f>IF(L47=".",".",up_RadSpec!$F$6*(AL6*$B47))</f>
        <v>178954.98677031251</v>
      </c>
      <c r="AM47" s="94">
        <f>IF(M47=".",".",up_RadSpec!$F$6*(AM6*$B47))</f>
        <v>178954.98677031251</v>
      </c>
      <c r="AN47" s="94">
        <f>IF(N47=".",".",up_RadSpec!$F$6*(AN6*$B47))</f>
        <v>178954.98677031251</v>
      </c>
      <c r="AO47" s="94">
        <f>IF(O47=".",".",up_RadSpec!$F$6*(AO6*$B47))</f>
        <v>178954.98677031251</v>
      </c>
      <c r="AP47" s="94">
        <f>IF(P47=".",".",up_RadSpec!$F$6*(AP6*$B47))</f>
        <v>178954.98677031251</v>
      </c>
      <c r="AQ47" s="94">
        <f>IF(Q47=".",".",up_RadSpec!$F$6*(AQ6*$B47))</f>
        <v>178954.98677031251</v>
      </c>
      <c r="AR47" s="94">
        <f>IF(R47=".",".",up_RadSpec!$F$6*(AR6*$B47))</f>
        <v>178954.98677031251</v>
      </c>
      <c r="AS47" s="94">
        <f>IF(S47=".",".",up_RadSpec!$F$6*(AS6*$B47))</f>
        <v>178954.98677031251</v>
      </c>
      <c r="AT47" s="94">
        <f>IF(T47=".",".",up_RadSpec!$F$6*(AT6*$B47))</f>
        <v>178954.98677031251</v>
      </c>
      <c r="AU47" s="94">
        <f>IF(U47=".",".",up_RadSpec!$F$6*(AU6*$B47))</f>
        <v>178954.98677031251</v>
      </c>
      <c r="AV47" s="94">
        <f>IF(V47=".",".",up_RadSpec!$F$6*(AV6*$B47))</f>
        <v>178954.98677031251</v>
      </c>
      <c r="AW47" s="94">
        <f>IF(W47=".",".",up_RadSpec!$F$6*(AW6*$B47))</f>
        <v>178954.98677031251</v>
      </c>
      <c r="AX47" s="94">
        <f>IF(X47=".",".",up_RadSpec!$F$6*(AX6*$B47))</f>
        <v>178954.98677031251</v>
      </c>
      <c r="AY47" s="94">
        <f>IF(Y47=".",".",up_RadSpec!$F$6*(AY6*$B47))</f>
        <v>178954.98677031251</v>
      </c>
      <c r="AZ47" s="94">
        <f>IF(Z47=".",".",up_RadSpec!$F$6*(AZ6*$B47))</f>
        <v>178954.98677031251</v>
      </c>
      <c r="BA47" s="94">
        <f>IF(AA47=".",".",up_RadSpec!$F$6*(BA6*$B47))</f>
        <v>178954.98677031251</v>
      </c>
      <c r="BB47" s="94">
        <f>IF(AB47=".",".",up_RadSpec!$F$6*(BB6*$B47))</f>
        <v>178954.98677031251</v>
      </c>
      <c r="BC47" s="60">
        <f t="shared" ref="BC47:CB47" si="87">IFERROR(BC6/$B$47,".")</f>
        <v>3.4924983722425316E-5</v>
      </c>
      <c r="BD47" s="60">
        <f t="shared" si="87"/>
        <v>1.3969993488970126E-4</v>
      </c>
      <c r="BE47" s="60">
        <f t="shared" si="87"/>
        <v>1.3969993488970126E-4</v>
      </c>
      <c r="BF47" s="60">
        <f t="shared" si="87"/>
        <v>1.3969993488970126E-4</v>
      </c>
      <c r="BG47" s="60">
        <f t="shared" si="87"/>
        <v>1.3969993488970126E-4</v>
      </c>
      <c r="BH47" s="60">
        <f t="shared" si="87"/>
        <v>1.3969993488970126E-4</v>
      </c>
      <c r="BI47" s="60">
        <f t="shared" si="87"/>
        <v>1.3969993488970126E-4</v>
      </c>
      <c r="BJ47" s="60">
        <f t="shared" si="87"/>
        <v>1.3969993488970126E-4</v>
      </c>
      <c r="BK47" s="60">
        <f t="shared" si="87"/>
        <v>1.3969993488970126E-4</v>
      </c>
      <c r="BL47" s="60">
        <f t="shared" si="87"/>
        <v>1.3969993488970126E-4</v>
      </c>
      <c r="BM47" s="60">
        <f t="shared" si="87"/>
        <v>1.3969993488970126E-4</v>
      </c>
      <c r="BN47" s="60">
        <f t="shared" si="87"/>
        <v>1.3969993488970126E-4</v>
      </c>
      <c r="BO47" s="60">
        <f t="shared" si="87"/>
        <v>1.3969993488970126E-4</v>
      </c>
      <c r="BP47" s="60">
        <f t="shared" si="87"/>
        <v>1.3969993488970126E-4</v>
      </c>
      <c r="BQ47" s="60">
        <f t="shared" si="87"/>
        <v>1.3969993488970126E-4</v>
      </c>
      <c r="BR47" s="60">
        <f t="shared" si="87"/>
        <v>1.3969993488970126E-4</v>
      </c>
      <c r="BS47" s="60">
        <f t="shared" si="87"/>
        <v>1.3969993488970126E-4</v>
      </c>
      <c r="BT47" s="60">
        <f t="shared" si="87"/>
        <v>1.3969993488970126E-4</v>
      </c>
      <c r="BU47" s="60">
        <f t="shared" si="87"/>
        <v>1.3969993488970126E-4</v>
      </c>
      <c r="BV47" s="60">
        <f t="shared" si="87"/>
        <v>1.3969993488970126E-4</v>
      </c>
      <c r="BW47" s="60">
        <f t="shared" si="87"/>
        <v>1.3969993488970126E-4</v>
      </c>
      <c r="BX47" s="60">
        <f t="shared" si="87"/>
        <v>1.3969993488970126E-4</v>
      </c>
      <c r="BY47" s="60">
        <f t="shared" si="87"/>
        <v>1.3969993488970126E-4</v>
      </c>
      <c r="BZ47" s="60">
        <f t="shared" si="87"/>
        <v>1.3969993488970126E-4</v>
      </c>
      <c r="CA47" s="60">
        <f t="shared" si="87"/>
        <v>1.3969993488970126E-4</v>
      </c>
      <c r="CB47" s="60">
        <f t="shared" si="87"/>
        <v>1.3969993488970126E-4</v>
      </c>
      <c r="CC47" s="94">
        <f>IF(AND(CD47&lt;&gt;".",CU47&lt;&gt;".",DA47&lt;&gt;".",DB47&lt;&gt;"."),SUM(CD47,CU47,DA47:DB47),".")</f>
        <v>715819.94708125002</v>
      </c>
      <c r="CD47" s="94">
        <f>IF(BD47=".",".",up_RadSpec!$F$6*(CD6*$B47))</f>
        <v>178954.98677031251</v>
      </c>
      <c r="CE47" s="94">
        <f>IF(BE47=".",".",up_RadSpec!$F$6*(CE6*$B47))</f>
        <v>178954.98677031251</v>
      </c>
      <c r="CF47" s="94">
        <f>IF(BF47=".",".",up_RadSpec!$F$6*(CF6*$B47))</f>
        <v>178954.98677031251</v>
      </c>
      <c r="CG47" s="94">
        <f>IF(BG47=".",".",up_RadSpec!$F$6*(CG6*$B47))</f>
        <v>178954.98677031251</v>
      </c>
      <c r="CH47" s="94">
        <f>IF(BH47=".",".",up_RadSpec!$F$6*(CH6*$B47))</f>
        <v>178954.98677031251</v>
      </c>
      <c r="CI47" s="94">
        <f>IF(BI47=".",".",up_RadSpec!$F$6*(CI6*$B47))</f>
        <v>178954.98677031251</v>
      </c>
      <c r="CJ47" s="94">
        <f>IF(BJ47=".",".",up_RadSpec!$F$6*(CJ6*$B47))</f>
        <v>178954.98677031251</v>
      </c>
      <c r="CK47" s="94">
        <f>IF(BK47=".",".",up_RadSpec!$F$6*(CK6*$B47))</f>
        <v>178954.98677031251</v>
      </c>
      <c r="CL47" s="94">
        <f>IF(BL47=".",".",up_RadSpec!$F$6*(CL6*$B47))</f>
        <v>178954.98677031251</v>
      </c>
      <c r="CM47" s="94">
        <f>IF(BM47=".",".",up_RadSpec!$F$6*(CM6*$B47))</f>
        <v>178954.98677031251</v>
      </c>
      <c r="CN47" s="94">
        <f>IF(BN47=".",".",up_RadSpec!$F$6*(CN6*$B47))</f>
        <v>178954.98677031251</v>
      </c>
      <c r="CO47" s="94">
        <f>IF(BO47=".",".",up_RadSpec!$F$6*(CO6*$B47))</f>
        <v>178954.98677031251</v>
      </c>
      <c r="CP47" s="94">
        <f>IF(BP47=".",".",up_RadSpec!$F$6*(CP6*$B47))</f>
        <v>178954.98677031251</v>
      </c>
      <c r="CQ47" s="94">
        <f>IF(BQ47=".",".",up_RadSpec!$F$6*(CQ6*$B47))</f>
        <v>178954.98677031251</v>
      </c>
      <c r="CR47" s="94">
        <f>IF(BR47=".",".",up_RadSpec!$F$6*(CR6*$B47))</f>
        <v>178954.98677031251</v>
      </c>
      <c r="CS47" s="94">
        <f>IF(BS47=".",".",up_RadSpec!$F$6*(CS6*$B47))</f>
        <v>178954.98677031251</v>
      </c>
      <c r="CT47" s="94">
        <f>IF(BT47=".",".",up_RadSpec!$F$6*(CT6*$B47))</f>
        <v>178954.98677031251</v>
      </c>
      <c r="CU47" s="94">
        <f>IF(BU47=".",".",up_RadSpec!$F$6*(CU6*$B47))</f>
        <v>178954.98677031251</v>
      </c>
      <c r="CV47" s="94">
        <f>IF(BV47=".",".",up_RadSpec!$F$6*(CV6*$B47))</f>
        <v>178954.98677031251</v>
      </c>
      <c r="CW47" s="94">
        <f>IF(BW47=".",".",up_RadSpec!$F$6*(CW6*$B47))</f>
        <v>178954.98677031251</v>
      </c>
      <c r="CX47" s="94">
        <f>IF(BX47=".",".",up_RadSpec!$F$6*(CX6*$B47))</f>
        <v>178954.98677031251</v>
      </c>
      <c r="CY47" s="94">
        <f>IF(BY47=".",".",up_RadSpec!$F$6*(CY6*$B47))</f>
        <v>178954.98677031251</v>
      </c>
      <c r="CZ47" s="94">
        <f>IF(BZ47=".",".",up_RadSpec!$F$6*(CZ6*$B47))</f>
        <v>178954.98677031251</v>
      </c>
      <c r="DA47" s="94">
        <f>IF(CA47=".",".",up_RadSpec!$F$6*(DA6*$B47))</f>
        <v>178954.98677031251</v>
      </c>
      <c r="DB47" s="94">
        <f>IF(CB47=".",".",up_RadSpec!$F$6*(DB6*$B47))</f>
        <v>178954.98677031251</v>
      </c>
    </row>
    <row r="48" spans="1:106" x14ac:dyDescent="0.25">
      <c r="A48" s="76" t="s">
        <v>21</v>
      </c>
      <c r="B48" s="76" t="s">
        <v>1057</v>
      </c>
      <c r="C48" s="58">
        <f t="shared" ref="C48:AB48" si="88">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3.6632033788335657E-6</v>
      </c>
      <c r="D48" s="58">
        <f t="shared" si="88"/>
        <v>1.4652813515334263E-5</v>
      </c>
      <c r="E48" s="58">
        <f t="shared" si="88"/>
        <v>1.4652813515334263E-5</v>
      </c>
      <c r="F48" s="58">
        <f t="shared" si="88"/>
        <v>1.4652813515334263E-5</v>
      </c>
      <c r="G48" s="58">
        <f t="shared" si="88"/>
        <v>1.4652813515334263E-5</v>
      </c>
      <c r="H48" s="58">
        <f t="shared" si="88"/>
        <v>1.4652813515334263E-5</v>
      </c>
      <c r="I48" s="58">
        <f t="shared" si="88"/>
        <v>1.4652813515334263E-5</v>
      </c>
      <c r="J48" s="58">
        <f t="shared" si="88"/>
        <v>1.4652813515334263E-5</v>
      </c>
      <c r="K48" s="58">
        <f t="shared" si="88"/>
        <v>1.4652813515334263E-5</v>
      </c>
      <c r="L48" s="58">
        <f t="shared" si="88"/>
        <v>1.4652813515334263E-5</v>
      </c>
      <c r="M48" s="58">
        <f t="shared" si="88"/>
        <v>1.4652813515334263E-5</v>
      </c>
      <c r="N48" s="58">
        <f t="shared" si="88"/>
        <v>1.4652813515334263E-5</v>
      </c>
      <c r="O48" s="58">
        <f t="shared" si="88"/>
        <v>1.4652813515334263E-5</v>
      </c>
      <c r="P48" s="58">
        <f t="shared" si="88"/>
        <v>1.4652813515334263E-5</v>
      </c>
      <c r="Q48" s="58">
        <f t="shared" si="88"/>
        <v>1.4652813515334263E-5</v>
      </c>
      <c r="R48" s="58">
        <f t="shared" si="88"/>
        <v>1.4652813515334263E-5</v>
      </c>
      <c r="S48" s="58">
        <f t="shared" si="88"/>
        <v>1.4652813515334263E-5</v>
      </c>
      <c r="T48" s="58">
        <f t="shared" si="88"/>
        <v>1.4652813515334263E-5</v>
      </c>
      <c r="U48" s="58">
        <f t="shared" si="88"/>
        <v>1.4652813515334263E-5</v>
      </c>
      <c r="V48" s="58">
        <f t="shared" si="88"/>
        <v>1.4652813515334263E-5</v>
      </c>
      <c r="W48" s="58">
        <f t="shared" si="88"/>
        <v>1.4652813515334263E-5</v>
      </c>
      <c r="X48" s="58">
        <f t="shared" si="88"/>
        <v>1.4652813515334263E-5</v>
      </c>
      <c r="Y48" s="58">
        <f t="shared" si="88"/>
        <v>1.4652813515334263E-5</v>
      </c>
      <c r="Z48" s="58">
        <f t="shared" si="88"/>
        <v>1.4652813515334263E-5</v>
      </c>
      <c r="AA48" s="58">
        <f t="shared" si="88"/>
        <v>1.4652813515334263E-5</v>
      </c>
      <c r="AB48" s="58">
        <f t="shared" si="88"/>
        <v>1.4652813515334263E-5</v>
      </c>
      <c r="AC48" s="91">
        <f>IFERROR(SUM(AD49:AD62,AU49:AU62,BA49:BA62,BB49:BB62),".")</f>
        <v>6824627.9047603654</v>
      </c>
      <c r="AD48" s="91">
        <f>IFERROR(SUM(AD49:AD62),".")</f>
        <v>1706156.9761900916</v>
      </c>
      <c r="AE48" s="91">
        <f t="shared" ref="AE48:BB48" si="89">IFERROR(SUM(AE49:AE62),".")</f>
        <v>1706156.9761900916</v>
      </c>
      <c r="AF48" s="91">
        <f t="shared" si="89"/>
        <v>1706156.9761900916</v>
      </c>
      <c r="AG48" s="91">
        <f t="shared" si="89"/>
        <v>1706156.9761900916</v>
      </c>
      <c r="AH48" s="91">
        <f t="shared" si="89"/>
        <v>1706156.9761900916</v>
      </c>
      <c r="AI48" s="91">
        <f t="shared" si="89"/>
        <v>1706156.9761900916</v>
      </c>
      <c r="AJ48" s="91">
        <f t="shared" si="89"/>
        <v>1706156.9761900916</v>
      </c>
      <c r="AK48" s="91">
        <f t="shared" si="89"/>
        <v>1706156.9761900916</v>
      </c>
      <c r="AL48" s="91">
        <f t="shared" si="89"/>
        <v>1706156.9761900916</v>
      </c>
      <c r="AM48" s="91">
        <f t="shared" si="89"/>
        <v>1706156.9761900916</v>
      </c>
      <c r="AN48" s="91">
        <f t="shared" si="89"/>
        <v>1706156.9761900916</v>
      </c>
      <c r="AO48" s="91">
        <f t="shared" si="89"/>
        <v>1706156.9761900916</v>
      </c>
      <c r="AP48" s="91">
        <f t="shared" si="89"/>
        <v>1706156.9761900916</v>
      </c>
      <c r="AQ48" s="91">
        <f t="shared" si="89"/>
        <v>1706156.9761900916</v>
      </c>
      <c r="AR48" s="91">
        <f t="shared" si="89"/>
        <v>1706156.9761900916</v>
      </c>
      <c r="AS48" s="91">
        <f t="shared" si="89"/>
        <v>1706156.9761900916</v>
      </c>
      <c r="AT48" s="91">
        <f t="shared" si="89"/>
        <v>1706156.9761900916</v>
      </c>
      <c r="AU48" s="91">
        <f t="shared" si="89"/>
        <v>1706156.9761900916</v>
      </c>
      <c r="AV48" s="91">
        <f t="shared" si="89"/>
        <v>1706156.9761900916</v>
      </c>
      <c r="AW48" s="91">
        <f t="shared" si="89"/>
        <v>1706156.9761900916</v>
      </c>
      <c r="AX48" s="91">
        <f t="shared" si="89"/>
        <v>1706156.9761900916</v>
      </c>
      <c r="AY48" s="91">
        <f t="shared" si="89"/>
        <v>1706156.9761900916</v>
      </c>
      <c r="AZ48" s="91">
        <f t="shared" si="89"/>
        <v>1706156.9761900916</v>
      </c>
      <c r="BA48" s="91">
        <f t="shared" si="89"/>
        <v>1706156.9761900916</v>
      </c>
      <c r="BB48" s="91">
        <f t="shared" si="89"/>
        <v>1706156.9761900916</v>
      </c>
      <c r="BC48" s="58">
        <f t="shared" ref="BC48:CB48" si="90">IFERROR(1/SUM(IFERROR(1/SUMIF(BC49,"&lt;&gt;.",BC49),0),IFERROR(1/SUMIF(BC50,"&lt;&gt;.",BC50),0),IFERROR(1/SUMIF(BC51,"&lt;&gt;.",BC51),0),IFERROR(1/SUMIF(BC52,"&lt;&gt;.",BC52),0),IFERROR(1/SUMIF(BC53,"&lt;&gt;.",BC53),0),IFERROR(1/SUMIF(BC54,"&lt;&gt;.",BC54),0),IFERROR(1/SUMIF(BC55,"&lt;&gt;.",BC55),0),IFERROR(1/SUMIF(BC56,"&lt;&gt;.",BC56),0),IFERROR(1/SUMIF(BC57,"&lt;&gt;.",BC57),0),IFERROR(1/SUMIF(BC58,"&lt;&gt;.",BC58),0),IFERROR(1/SUMIF(BC59,"&lt;&gt;.",BC59),0),IFERROR(1/SUMIF(BC60,"&lt;&gt;.",BC60),0),IFERROR(1/SUMIF(BC61,"&lt;&gt;.",BC61),0),IFERROR(1/SUMIF(BC62,"&lt;&gt;.",BC62),0)),".")</f>
        <v>3.6632033788335657E-6</v>
      </c>
      <c r="BD48" s="58">
        <f t="shared" si="90"/>
        <v>1.4652813515334263E-5</v>
      </c>
      <c r="BE48" s="58">
        <f t="shared" si="90"/>
        <v>1.4652813515334263E-5</v>
      </c>
      <c r="BF48" s="58">
        <f t="shared" si="90"/>
        <v>1.4652813515334263E-5</v>
      </c>
      <c r="BG48" s="58">
        <f t="shared" si="90"/>
        <v>1.4652813515334263E-5</v>
      </c>
      <c r="BH48" s="58">
        <f t="shared" si="90"/>
        <v>1.4652813515334263E-5</v>
      </c>
      <c r="BI48" s="58">
        <f t="shared" si="90"/>
        <v>1.4652813515334263E-5</v>
      </c>
      <c r="BJ48" s="58">
        <f t="shared" si="90"/>
        <v>1.4652813515334263E-5</v>
      </c>
      <c r="BK48" s="58">
        <f t="shared" si="90"/>
        <v>1.4652813515334263E-5</v>
      </c>
      <c r="BL48" s="58">
        <f t="shared" si="90"/>
        <v>1.4652813515334263E-5</v>
      </c>
      <c r="BM48" s="58">
        <f t="shared" si="90"/>
        <v>1.4652813515334263E-5</v>
      </c>
      <c r="BN48" s="58">
        <f t="shared" si="90"/>
        <v>1.4652813515334263E-5</v>
      </c>
      <c r="BO48" s="58">
        <f t="shared" si="90"/>
        <v>1.4652813515334263E-5</v>
      </c>
      <c r="BP48" s="58">
        <f t="shared" si="90"/>
        <v>1.4652813515334263E-5</v>
      </c>
      <c r="BQ48" s="58">
        <f t="shared" si="90"/>
        <v>1.4652813515334263E-5</v>
      </c>
      <c r="BR48" s="58">
        <f t="shared" si="90"/>
        <v>1.4652813515334263E-5</v>
      </c>
      <c r="BS48" s="58">
        <f t="shared" si="90"/>
        <v>1.4652813515334263E-5</v>
      </c>
      <c r="BT48" s="58">
        <f t="shared" si="90"/>
        <v>1.4652813515334263E-5</v>
      </c>
      <c r="BU48" s="58">
        <f t="shared" si="90"/>
        <v>1.4652813515334263E-5</v>
      </c>
      <c r="BV48" s="58">
        <f t="shared" si="90"/>
        <v>1.4652813515334263E-5</v>
      </c>
      <c r="BW48" s="58">
        <f t="shared" si="90"/>
        <v>1.4652813515334263E-5</v>
      </c>
      <c r="BX48" s="58">
        <f t="shared" si="90"/>
        <v>1.4652813515334263E-5</v>
      </c>
      <c r="BY48" s="58">
        <f t="shared" si="90"/>
        <v>1.4652813515334263E-5</v>
      </c>
      <c r="BZ48" s="58">
        <f t="shared" si="90"/>
        <v>1.4652813515334263E-5</v>
      </c>
      <c r="CA48" s="58">
        <f t="shared" si="90"/>
        <v>1.4652813515334263E-5</v>
      </c>
      <c r="CB48" s="58">
        <f t="shared" si="90"/>
        <v>1.4652813515334263E-5</v>
      </c>
      <c r="CC48" s="91">
        <f>IFERROR(SUM(CD49:CD62,CU49:CU62,DA49:DA62,DB49:DB62),".")</f>
        <v>6824627.9047603654</v>
      </c>
      <c r="CD48" s="91">
        <f>IFERROR(SUM(CD49:CD62),".")</f>
        <v>1706156.9761900916</v>
      </c>
      <c r="CE48" s="91">
        <f t="shared" ref="CE48" si="91">IFERROR(SUM(CE49:CE62),".")</f>
        <v>1706156.9761900916</v>
      </c>
      <c r="CF48" s="91">
        <f t="shared" ref="CF48" si="92">IFERROR(SUM(CF49:CF62),".")</f>
        <v>1706156.9761900916</v>
      </c>
      <c r="CG48" s="91">
        <f t="shared" ref="CG48" si="93">IFERROR(SUM(CG49:CG62),".")</f>
        <v>1706156.9761900916</v>
      </c>
      <c r="CH48" s="91">
        <f t="shared" ref="CH48" si="94">IFERROR(SUM(CH49:CH62),".")</f>
        <v>1706156.9761900916</v>
      </c>
      <c r="CI48" s="91">
        <f t="shared" ref="CI48" si="95">IFERROR(SUM(CI49:CI62),".")</f>
        <v>1706156.9761900916</v>
      </c>
      <c r="CJ48" s="91">
        <f t="shared" ref="CJ48" si="96">IFERROR(SUM(CJ49:CJ62),".")</f>
        <v>1706156.9761900916</v>
      </c>
      <c r="CK48" s="91">
        <f t="shared" ref="CK48" si="97">IFERROR(SUM(CK49:CK62),".")</f>
        <v>1706156.9761900916</v>
      </c>
      <c r="CL48" s="91">
        <f t="shared" ref="CL48" si="98">IFERROR(SUM(CL49:CL62),".")</f>
        <v>1706156.9761900916</v>
      </c>
      <c r="CM48" s="91">
        <f t="shared" ref="CM48" si="99">IFERROR(SUM(CM49:CM62),".")</f>
        <v>1706156.9761900916</v>
      </c>
      <c r="CN48" s="91">
        <f t="shared" ref="CN48" si="100">IFERROR(SUM(CN49:CN62),".")</f>
        <v>1706156.9761900916</v>
      </c>
      <c r="CO48" s="91">
        <f t="shared" ref="CO48" si="101">IFERROR(SUM(CO49:CO62),".")</f>
        <v>1706156.9761900916</v>
      </c>
      <c r="CP48" s="91">
        <f t="shared" ref="CP48" si="102">IFERROR(SUM(CP49:CP62),".")</f>
        <v>1706156.9761900916</v>
      </c>
      <c r="CQ48" s="91">
        <f t="shared" ref="CQ48" si="103">IFERROR(SUM(CQ49:CQ62),".")</f>
        <v>1706156.9761900916</v>
      </c>
      <c r="CR48" s="91">
        <f t="shared" ref="CR48" si="104">IFERROR(SUM(CR49:CR62),".")</f>
        <v>1706156.9761900916</v>
      </c>
      <c r="CS48" s="91">
        <f t="shared" ref="CS48" si="105">IFERROR(SUM(CS49:CS62),".")</f>
        <v>1706156.9761900916</v>
      </c>
      <c r="CT48" s="91">
        <f t="shared" ref="CT48" si="106">IFERROR(SUM(CT49:CT62),".")</f>
        <v>1706156.9761900916</v>
      </c>
      <c r="CU48" s="91">
        <f t="shared" ref="CU48" si="107">IFERROR(SUM(CU49:CU62),".")</f>
        <v>1706156.9761900916</v>
      </c>
      <c r="CV48" s="91">
        <f t="shared" ref="CV48" si="108">IFERROR(SUM(CV49:CV62),".")</f>
        <v>1706156.9761900916</v>
      </c>
      <c r="CW48" s="91">
        <f t="shared" ref="CW48" si="109">IFERROR(SUM(CW49:CW62),".")</f>
        <v>1706156.9761900916</v>
      </c>
      <c r="CX48" s="91">
        <f t="shared" ref="CX48" si="110">IFERROR(SUM(CX49:CX62),".")</f>
        <v>1706156.9761900916</v>
      </c>
      <c r="CY48" s="91">
        <f t="shared" ref="CY48" si="111">IFERROR(SUM(CY49:CY62),".")</f>
        <v>1706156.9761900916</v>
      </c>
      <c r="CZ48" s="91">
        <f t="shared" ref="CZ48" si="112">IFERROR(SUM(CZ49:CZ62),".")</f>
        <v>1706156.9761900916</v>
      </c>
      <c r="DA48" s="91">
        <f t="shared" ref="DA48" si="113">IFERROR(SUM(DA49:DA62),".")</f>
        <v>1706156.9761900916</v>
      </c>
      <c r="DB48" s="91">
        <f t="shared" ref="DB48" si="114">IFERROR(SUM(DB49:DB62),".")</f>
        <v>1706156.9761900916</v>
      </c>
    </row>
    <row r="49" spans="1:106" x14ac:dyDescent="0.25">
      <c r="A49" s="77" t="s">
        <v>1086</v>
      </c>
      <c r="B49" s="42">
        <v>1</v>
      </c>
      <c r="C49" s="60">
        <f t="shared" ref="C49:AB49" si="115">IFERROR(C23/$B49,".")</f>
        <v>3.2968835384132272E-5</v>
      </c>
      <c r="D49" s="60">
        <f t="shared" si="115"/>
        <v>1.3187534153652909E-4</v>
      </c>
      <c r="E49" s="60">
        <f t="shared" si="115"/>
        <v>1.3187534153652909E-4</v>
      </c>
      <c r="F49" s="60">
        <f t="shared" si="115"/>
        <v>1.3187534153652909E-4</v>
      </c>
      <c r="G49" s="60">
        <f t="shared" si="115"/>
        <v>1.3187534153652909E-4</v>
      </c>
      <c r="H49" s="60">
        <f t="shared" si="115"/>
        <v>1.3187534153652909E-4</v>
      </c>
      <c r="I49" s="60">
        <f t="shared" si="115"/>
        <v>1.3187534153652909E-4</v>
      </c>
      <c r="J49" s="60">
        <f t="shared" si="115"/>
        <v>1.3187534153652909E-4</v>
      </c>
      <c r="K49" s="60">
        <f t="shared" si="115"/>
        <v>1.3187534153652909E-4</v>
      </c>
      <c r="L49" s="60">
        <f t="shared" si="115"/>
        <v>1.3187534153652909E-4</v>
      </c>
      <c r="M49" s="60">
        <f t="shared" si="115"/>
        <v>1.3187534153652909E-4</v>
      </c>
      <c r="N49" s="60">
        <f t="shared" si="115"/>
        <v>1.3187534153652909E-4</v>
      </c>
      <c r="O49" s="60">
        <f t="shared" si="115"/>
        <v>1.3187534153652909E-4</v>
      </c>
      <c r="P49" s="60">
        <f t="shared" si="115"/>
        <v>1.3187534153652909E-4</v>
      </c>
      <c r="Q49" s="60">
        <f t="shared" si="115"/>
        <v>1.3187534153652909E-4</v>
      </c>
      <c r="R49" s="60">
        <f t="shared" si="115"/>
        <v>1.3187534153652909E-4</v>
      </c>
      <c r="S49" s="60">
        <f t="shared" si="115"/>
        <v>1.3187534153652909E-4</v>
      </c>
      <c r="T49" s="60">
        <f t="shared" si="115"/>
        <v>1.3187534153652909E-4</v>
      </c>
      <c r="U49" s="60">
        <f t="shared" si="115"/>
        <v>1.3187534153652909E-4</v>
      </c>
      <c r="V49" s="60">
        <f t="shared" si="115"/>
        <v>1.3187534153652909E-4</v>
      </c>
      <c r="W49" s="60">
        <f t="shared" si="115"/>
        <v>1.3187534153652909E-4</v>
      </c>
      <c r="X49" s="60">
        <f t="shared" si="115"/>
        <v>1.3187534153652909E-4</v>
      </c>
      <c r="Y49" s="60">
        <f t="shared" si="115"/>
        <v>1.3187534153652909E-4</v>
      </c>
      <c r="Z49" s="60">
        <f t="shared" si="115"/>
        <v>1.3187534153652909E-4</v>
      </c>
      <c r="AA49" s="60">
        <f t="shared" si="115"/>
        <v>1.3187534153652909E-4</v>
      </c>
      <c r="AB49" s="60">
        <f t="shared" si="115"/>
        <v>1.3187534153652909E-4</v>
      </c>
      <c r="AC49" s="94">
        <f t="shared" ref="AC49:AC62" si="116">IF(AND(AD49&lt;&gt;".",AU49&lt;&gt;".",BA49&lt;&gt;".",BB49&lt;&gt;"."),SUM(AD49,AU49,BA49:BB49),".")</f>
        <v>758291.875</v>
      </c>
      <c r="AD49" s="94">
        <f>IF(D49=".",".",up_RadSpec!$F$23*(AD23*$B49))</f>
        <v>189572.96875</v>
      </c>
      <c r="AE49" s="94">
        <f>IF(E49=".",".",up_RadSpec!$F$23*(AE23*$B49))</f>
        <v>189572.96875</v>
      </c>
      <c r="AF49" s="94">
        <f>IF(F49=".",".",up_RadSpec!$F$23*(AF23*$B49))</f>
        <v>189572.96875</v>
      </c>
      <c r="AG49" s="94">
        <f>IF(G49=".",".",up_RadSpec!$F$23*(AG23*$B49))</f>
        <v>189572.96875</v>
      </c>
      <c r="AH49" s="94">
        <f>IF(H49=".",".",up_RadSpec!$F$23*(AH23*$B49))</f>
        <v>189572.96875</v>
      </c>
      <c r="AI49" s="94">
        <f>IF(I49=".",".",up_RadSpec!$F$23*(AI23*$B49))</f>
        <v>189572.96875</v>
      </c>
      <c r="AJ49" s="94">
        <f>IF(J49=".",".",up_RadSpec!$F$23*(AJ23*$B49))</f>
        <v>189572.96875</v>
      </c>
      <c r="AK49" s="94">
        <f>IF(K49=".",".",up_RadSpec!$F$23*(AK23*$B49))</f>
        <v>189572.96875</v>
      </c>
      <c r="AL49" s="94">
        <f>IF(L49=".",".",up_RadSpec!$F$23*(AL23*$B49))</f>
        <v>189572.96875</v>
      </c>
      <c r="AM49" s="94">
        <f>IF(M49=".",".",up_RadSpec!$F$23*(AM23*$B49))</f>
        <v>189572.96875</v>
      </c>
      <c r="AN49" s="94">
        <f>IF(N49=".",".",up_RadSpec!$F$23*(AN23*$B49))</f>
        <v>189572.96875</v>
      </c>
      <c r="AO49" s="94">
        <f>IF(O49=".",".",up_RadSpec!$F$23*(AO23*$B49))</f>
        <v>189572.96875</v>
      </c>
      <c r="AP49" s="94">
        <f>IF(P49=".",".",up_RadSpec!$F$23*(AP23*$B49))</f>
        <v>189572.96875</v>
      </c>
      <c r="AQ49" s="94">
        <f>IF(Q49=".",".",up_RadSpec!$F$23*(AQ23*$B49))</f>
        <v>189572.96875</v>
      </c>
      <c r="AR49" s="94">
        <f>IF(R49=".",".",up_RadSpec!$F$23*(AR23*$B49))</f>
        <v>189572.96875</v>
      </c>
      <c r="AS49" s="94">
        <f>IF(S49=".",".",up_RadSpec!$F$23*(AS23*$B49))</f>
        <v>189572.96875</v>
      </c>
      <c r="AT49" s="94">
        <f>IF(T49=".",".",up_RadSpec!$F$23*(AT23*$B49))</f>
        <v>189572.96875</v>
      </c>
      <c r="AU49" s="94">
        <f>IF(U49=".",".",up_RadSpec!$F$23*(AU23*$B49))</f>
        <v>189572.96875</v>
      </c>
      <c r="AV49" s="94">
        <f>IF(V49=".",".",up_RadSpec!$F$23*(AV23*$B49))</f>
        <v>189572.96875</v>
      </c>
      <c r="AW49" s="94">
        <f>IF(W49=".",".",up_RadSpec!$F$23*(AW23*$B49))</f>
        <v>189572.96875</v>
      </c>
      <c r="AX49" s="94">
        <f>IF(X49=".",".",up_RadSpec!$F$23*(AX23*$B49))</f>
        <v>189572.96875</v>
      </c>
      <c r="AY49" s="94">
        <f>IF(Y49=".",".",up_RadSpec!$F$23*(AY23*$B49))</f>
        <v>189572.96875</v>
      </c>
      <c r="AZ49" s="94">
        <f>IF(Z49=".",".",up_RadSpec!$F$23*(AZ23*$B49))</f>
        <v>189572.96875</v>
      </c>
      <c r="BA49" s="94">
        <f>IF(AA49=".",".",up_RadSpec!$F$23*(BA23*$B49))</f>
        <v>189572.96875</v>
      </c>
      <c r="BB49" s="94">
        <f>IF(AB49=".",".",up_RadSpec!$F$23*(BB23*$B49))</f>
        <v>189572.96875</v>
      </c>
      <c r="BC49" s="60">
        <f t="shared" ref="BC49:CB49" si="117">IFERROR(BC23/$B49,".")</f>
        <v>3.2968835384132272E-5</v>
      </c>
      <c r="BD49" s="60">
        <f t="shared" si="117"/>
        <v>1.3187534153652909E-4</v>
      </c>
      <c r="BE49" s="60">
        <f t="shared" si="117"/>
        <v>1.3187534153652909E-4</v>
      </c>
      <c r="BF49" s="60">
        <f t="shared" si="117"/>
        <v>1.3187534153652909E-4</v>
      </c>
      <c r="BG49" s="60">
        <f t="shared" si="117"/>
        <v>1.3187534153652909E-4</v>
      </c>
      <c r="BH49" s="60">
        <f t="shared" si="117"/>
        <v>1.3187534153652909E-4</v>
      </c>
      <c r="BI49" s="60">
        <f t="shared" si="117"/>
        <v>1.3187534153652909E-4</v>
      </c>
      <c r="BJ49" s="60">
        <f t="shared" si="117"/>
        <v>1.3187534153652909E-4</v>
      </c>
      <c r="BK49" s="60">
        <f t="shared" si="117"/>
        <v>1.3187534153652909E-4</v>
      </c>
      <c r="BL49" s="60">
        <f t="shared" si="117"/>
        <v>1.3187534153652909E-4</v>
      </c>
      <c r="BM49" s="60">
        <f t="shared" si="117"/>
        <v>1.3187534153652909E-4</v>
      </c>
      <c r="BN49" s="60">
        <f t="shared" si="117"/>
        <v>1.3187534153652909E-4</v>
      </c>
      <c r="BO49" s="60">
        <f t="shared" si="117"/>
        <v>1.3187534153652909E-4</v>
      </c>
      <c r="BP49" s="60">
        <f t="shared" si="117"/>
        <v>1.3187534153652909E-4</v>
      </c>
      <c r="BQ49" s="60">
        <f t="shared" si="117"/>
        <v>1.3187534153652909E-4</v>
      </c>
      <c r="BR49" s="60">
        <f t="shared" si="117"/>
        <v>1.3187534153652909E-4</v>
      </c>
      <c r="BS49" s="60">
        <f t="shared" si="117"/>
        <v>1.3187534153652909E-4</v>
      </c>
      <c r="BT49" s="60">
        <f t="shared" si="117"/>
        <v>1.3187534153652909E-4</v>
      </c>
      <c r="BU49" s="60">
        <f t="shared" si="117"/>
        <v>1.3187534153652909E-4</v>
      </c>
      <c r="BV49" s="60">
        <f t="shared" si="117"/>
        <v>1.3187534153652909E-4</v>
      </c>
      <c r="BW49" s="60">
        <f t="shared" si="117"/>
        <v>1.3187534153652909E-4</v>
      </c>
      <c r="BX49" s="60">
        <f t="shared" si="117"/>
        <v>1.3187534153652909E-4</v>
      </c>
      <c r="BY49" s="60">
        <f t="shared" si="117"/>
        <v>1.3187534153652909E-4</v>
      </c>
      <c r="BZ49" s="60">
        <f t="shared" si="117"/>
        <v>1.3187534153652909E-4</v>
      </c>
      <c r="CA49" s="60">
        <f t="shared" si="117"/>
        <v>1.3187534153652909E-4</v>
      </c>
      <c r="CB49" s="60">
        <f t="shared" si="117"/>
        <v>1.3187534153652909E-4</v>
      </c>
      <c r="CC49" s="94">
        <f t="shared" ref="CC49:CC62" si="118">IF(AND(CD49&lt;&gt;".",CU49&lt;&gt;".",DA49&lt;&gt;".",DB49&lt;&gt;"."),SUM(CD49,CU49,DA49:DB49),".")</f>
        <v>758291.875</v>
      </c>
      <c r="CD49" s="94">
        <f>IF(BD49=".",".",up_RadSpec!$F$23*(CD23*$B49))</f>
        <v>189572.96875</v>
      </c>
      <c r="CE49" s="94">
        <f>IF(BE49=".",".",up_RadSpec!$F$23*(CE23*$B49))</f>
        <v>189572.96875</v>
      </c>
      <c r="CF49" s="94">
        <f>IF(BF49=".",".",up_RadSpec!$F$23*(CF23*$B49))</f>
        <v>189572.96875</v>
      </c>
      <c r="CG49" s="94">
        <f>IF(BG49=".",".",up_RadSpec!$F$23*(CG23*$B49))</f>
        <v>189572.96875</v>
      </c>
      <c r="CH49" s="94">
        <f>IF(BH49=".",".",up_RadSpec!$F$23*(CH23*$B49))</f>
        <v>189572.96875</v>
      </c>
      <c r="CI49" s="94">
        <f>IF(BI49=".",".",up_RadSpec!$F$23*(CI23*$B49))</f>
        <v>189572.96875</v>
      </c>
      <c r="CJ49" s="94">
        <f>IF(BJ49=".",".",up_RadSpec!$F$23*(CJ23*$B49))</f>
        <v>189572.96875</v>
      </c>
      <c r="CK49" s="94">
        <f>IF(BK49=".",".",up_RadSpec!$F$23*(CK23*$B49))</f>
        <v>189572.96875</v>
      </c>
      <c r="CL49" s="94">
        <f>IF(BL49=".",".",up_RadSpec!$F$23*(CL23*$B49))</f>
        <v>189572.96875</v>
      </c>
      <c r="CM49" s="94">
        <f>IF(BM49=".",".",up_RadSpec!$F$23*(CM23*$B49))</f>
        <v>189572.96875</v>
      </c>
      <c r="CN49" s="94">
        <f>IF(BN49=".",".",up_RadSpec!$F$23*(CN23*$B49))</f>
        <v>189572.96875</v>
      </c>
      <c r="CO49" s="94">
        <f>IF(BO49=".",".",up_RadSpec!$F$23*(CO23*$B49))</f>
        <v>189572.96875</v>
      </c>
      <c r="CP49" s="94">
        <f>IF(BP49=".",".",up_RadSpec!$F$23*(CP23*$B49))</f>
        <v>189572.96875</v>
      </c>
      <c r="CQ49" s="94">
        <f>IF(BQ49=".",".",up_RadSpec!$F$23*(CQ23*$B49))</f>
        <v>189572.96875</v>
      </c>
      <c r="CR49" s="94">
        <f>IF(BR49=".",".",up_RadSpec!$F$23*(CR23*$B49))</f>
        <v>189572.96875</v>
      </c>
      <c r="CS49" s="94">
        <f>IF(BS49=".",".",up_RadSpec!$F$23*(CS23*$B49))</f>
        <v>189572.96875</v>
      </c>
      <c r="CT49" s="94">
        <f>IF(BT49=".",".",up_RadSpec!$F$23*(CT23*$B49))</f>
        <v>189572.96875</v>
      </c>
      <c r="CU49" s="94">
        <f>IF(BU49=".",".",up_RadSpec!$F$23*(CU23*$B49))</f>
        <v>189572.96875</v>
      </c>
      <c r="CV49" s="94">
        <f>IF(BV49=".",".",up_RadSpec!$F$23*(CV23*$B49))</f>
        <v>189572.96875</v>
      </c>
      <c r="CW49" s="94">
        <f>IF(BW49=".",".",up_RadSpec!$F$23*(CW23*$B49))</f>
        <v>189572.96875</v>
      </c>
      <c r="CX49" s="94">
        <f>IF(BX49=".",".",up_RadSpec!$F$23*(CX23*$B49))</f>
        <v>189572.96875</v>
      </c>
      <c r="CY49" s="94">
        <f>IF(BY49=".",".",up_RadSpec!$F$23*(CY23*$B49))</f>
        <v>189572.96875</v>
      </c>
      <c r="CZ49" s="94">
        <f>IF(BZ49=".",".",up_RadSpec!$F$23*(CZ23*$B49))</f>
        <v>189572.96875</v>
      </c>
      <c r="DA49" s="94">
        <f>IF(CA49=".",".",up_RadSpec!$F$23*(DA23*$B49))</f>
        <v>189572.96875</v>
      </c>
      <c r="DB49" s="94">
        <f>IF(CB49=".",".",up_RadSpec!$F$23*(DB23*$B49))</f>
        <v>189572.96875</v>
      </c>
    </row>
    <row r="50" spans="1:106" x14ac:dyDescent="0.25">
      <c r="A50" s="77" t="s">
        <v>1073</v>
      </c>
      <c r="B50" s="42">
        <v>1</v>
      </c>
      <c r="C50" s="60">
        <f t="shared" ref="C50:AB50" si="119">IFERROR(C25/$B50,".")</f>
        <v>3.2968835384132272E-5</v>
      </c>
      <c r="D50" s="60">
        <f t="shared" si="119"/>
        <v>1.3187534153652909E-4</v>
      </c>
      <c r="E50" s="60">
        <f t="shared" si="119"/>
        <v>1.3187534153652909E-4</v>
      </c>
      <c r="F50" s="60">
        <f t="shared" si="119"/>
        <v>1.3187534153652909E-4</v>
      </c>
      <c r="G50" s="60">
        <f t="shared" si="119"/>
        <v>1.3187534153652909E-4</v>
      </c>
      <c r="H50" s="60">
        <f t="shared" si="119"/>
        <v>1.3187534153652909E-4</v>
      </c>
      <c r="I50" s="60">
        <f t="shared" si="119"/>
        <v>1.3187534153652909E-4</v>
      </c>
      <c r="J50" s="60">
        <f t="shared" si="119"/>
        <v>1.3187534153652909E-4</v>
      </c>
      <c r="K50" s="60">
        <f t="shared" si="119"/>
        <v>1.3187534153652909E-4</v>
      </c>
      <c r="L50" s="60">
        <f t="shared" si="119"/>
        <v>1.3187534153652909E-4</v>
      </c>
      <c r="M50" s="60">
        <f t="shared" si="119"/>
        <v>1.3187534153652909E-4</v>
      </c>
      <c r="N50" s="60">
        <f t="shared" si="119"/>
        <v>1.3187534153652909E-4</v>
      </c>
      <c r="O50" s="60">
        <f t="shared" si="119"/>
        <v>1.3187534153652909E-4</v>
      </c>
      <c r="P50" s="60">
        <f t="shared" si="119"/>
        <v>1.3187534153652909E-4</v>
      </c>
      <c r="Q50" s="60">
        <f t="shared" si="119"/>
        <v>1.3187534153652909E-4</v>
      </c>
      <c r="R50" s="60">
        <f t="shared" si="119"/>
        <v>1.3187534153652909E-4</v>
      </c>
      <c r="S50" s="60">
        <f t="shared" si="119"/>
        <v>1.3187534153652909E-4</v>
      </c>
      <c r="T50" s="60">
        <f t="shared" si="119"/>
        <v>1.3187534153652909E-4</v>
      </c>
      <c r="U50" s="60">
        <f t="shared" si="119"/>
        <v>1.3187534153652909E-4</v>
      </c>
      <c r="V50" s="60">
        <f t="shared" si="119"/>
        <v>1.3187534153652909E-4</v>
      </c>
      <c r="W50" s="60">
        <f t="shared" si="119"/>
        <v>1.3187534153652909E-4</v>
      </c>
      <c r="X50" s="60">
        <f t="shared" si="119"/>
        <v>1.3187534153652909E-4</v>
      </c>
      <c r="Y50" s="60">
        <f t="shared" si="119"/>
        <v>1.3187534153652909E-4</v>
      </c>
      <c r="Z50" s="60">
        <f t="shared" si="119"/>
        <v>1.3187534153652909E-4</v>
      </c>
      <c r="AA50" s="60">
        <f t="shared" si="119"/>
        <v>1.3187534153652909E-4</v>
      </c>
      <c r="AB50" s="60">
        <f t="shared" si="119"/>
        <v>1.3187534153652909E-4</v>
      </c>
      <c r="AC50" s="94">
        <f t="shared" si="116"/>
        <v>758291.875</v>
      </c>
      <c r="AD50" s="94">
        <f>IF(D50=".",".",up_RadSpec!$F$25*(AD25*$B50))</f>
        <v>189572.96875</v>
      </c>
      <c r="AE50" s="94">
        <f>IF(E50=".",".",up_RadSpec!$F$25*(AE25*$B50))</f>
        <v>189572.96875</v>
      </c>
      <c r="AF50" s="94">
        <f>IF(F50=".",".",up_RadSpec!$F$25*(AF25*$B50))</f>
        <v>189572.96875</v>
      </c>
      <c r="AG50" s="94">
        <f>IF(G50=".",".",up_RadSpec!$F$25*(AG25*$B50))</f>
        <v>189572.96875</v>
      </c>
      <c r="AH50" s="94">
        <f>IF(H50=".",".",up_RadSpec!$F$25*(AH25*$B50))</f>
        <v>189572.96875</v>
      </c>
      <c r="AI50" s="94">
        <f>IF(I50=".",".",up_RadSpec!$F$25*(AI25*$B50))</f>
        <v>189572.96875</v>
      </c>
      <c r="AJ50" s="94">
        <f>IF(J50=".",".",up_RadSpec!$F$25*(AJ25*$B50))</f>
        <v>189572.96875</v>
      </c>
      <c r="AK50" s="94">
        <f>IF(K50=".",".",up_RadSpec!$F$25*(AK25*$B50))</f>
        <v>189572.96875</v>
      </c>
      <c r="AL50" s="94">
        <f>IF(L50=".",".",up_RadSpec!$F$25*(AL25*$B50))</f>
        <v>189572.96875</v>
      </c>
      <c r="AM50" s="94">
        <f>IF(M50=".",".",up_RadSpec!$F$25*(AM25*$B50))</f>
        <v>189572.96875</v>
      </c>
      <c r="AN50" s="94">
        <f>IF(N50=".",".",up_RadSpec!$F$25*(AN25*$B50))</f>
        <v>189572.96875</v>
      </c>
      <c r="AO50" s="94">
        <f>IF(O50=".",".",up_RadSpec!$F$25*(AO25*$B50))</f>
        <v>189572.96875</v>
      </c>
      <c r="AP50" s="94">
        <f>IF(P50=".",".",up_RadSpec!$F$25*(AP25*$B50))</f>
        <v>189572.96875</v>
      </c>
      <c r="AQ50" s="94">
        <f>IF(Q50=".",".",up_RadSpec!$F$25*(AQ25*$B50))</f>
        <v>189572.96875</v>
      </c>
      <c r="AR50" s="94">
        <f>IF(R50=".",".",up_RadSpec!$F$25*(AR25*$B50))</f>
        <v>189572.96875</v>
      </c>
      <c r="AS50" s="94">
        <f>IF(S50=".",".",up_RadSpec!$F$25*(AS25*$B50))</f>
        <v>189572.96875</v>
      </c>
      <c r="AT50" s="94">
        <f>IF(T50=".",".",up_RadSpec!$F$25*(AT25*$B50))</f>
        <v>189572.96875</v>
      </c>
      <c r="AU50" s="94">
        <f>IF(U50=".",".",up_RadSpec!$F$25*(AU25*$B50))</f>
        <v>189572.96875</v>
      </c>
      <c r="AV50" s="94">
        <f>IF(V50=".",".",up_RadSpec!$F$25*(AV25*$B50))</f>
        <v>189572.96875</v>
      </c>
      <c r="AW50" s="94">
        <f>IF(W50=".",".",up_RadSpec!$F$25*(AW25*$B50))</f>
        <v>189572.96875</v>
      </c>
      <c r="AX50" s="94">
        <f>IF(X50=".",".",up_RadSpec!$F$25*(AX25*$B50))</f>
        <v>189572.96875</v>
      </c>
      <c r="AY50" s="94">
        <f>IF(Y50=".",".",up_RadSpec!$F$25*(AY25*$B50))</f>
        <v>189572.96875</v>
      </c>
      <c r="AZ50" s="94">
        <f>IF(Z50=".",".",up_RadSpec!$F$25*(AZ25*$B50))</f>
        <v>189572.96875</v>
      </c>
      <c r="BA50" s="94">
        <f>IF(AA50=".",".",up_RadSpec!$F$25*(BA25*$B50))</f>
        <v>189572.96875</v>
      </c>
      <c r="BB50" s="94">
        <f>IF(AB50=".",".",up_RadSpec!$F$25*(BB25*$B50))</f>
        <v>189572.96875</v>
      </c>
      <c r="BC50" s="60">
        <f t="shared" ref="BC50:CB50" si="120">IFERROR(BC25/$B50,".")</f>
        <v>3.2968835384132272E-5</v>
      </c>
      <c r="BD50" s="60">
        <f t="shared" si="120"/>
        <v>1.3187534153652909E-4</v>
      </c>
      <c r="BE50" s="60">
        <f t="shared" si="120"/>
        <v>1.3187534153652909E-4</v>
      </c>
      <c r="BF50" s="60">
        <f t="shared" si="120"/>
        <v>1.3187534153652909E-4</v>
      </c>
      <c r="BG50" s="60">
        <f t="shared" si="120"/>
        <v>1.3187534153652909E-4</v>
      </c>
      <c r="BH50" s="60">
        <f t="shared" si="120"/>
        <v>1.3187534153652909E-4</v>
      </c>
      <c r="BI50" s="60">
        <f t="shared" si="120"/>
        <v>1.3187534153652909E-4</v>
      </c>
      <c r="BJ50" s="60">
        <f t="shared" si="120"/>
        <v>1.3187534153652909E-4</v>
      </c>
      <c r="BK50" s="60">
        <f t="shared" si="120"/>
        <v>1.3187534153652909E-4</v>
      </c>
      <c r="BL50" s="60">
        <f t="shared" si="120"/>
        <v>1.3187534153652909E-4</v>
      </c>
      <c r="BM50" s="60">
        <f t="shared" si="120"/>
        <v>1.3187534153652909E-4</v>
      </c>
      <c r="BN50" s="60">
        <f t="shared" si="120"/>
        <v>1.3187534153652909E-4</v>
      </c>
      <c r="BO50" s="60">
        <f t="shared" si="120"/>
        <v>1.3187534153652909E-4</v>
      </c>
      <c r="BP50" s="60">
        <f t="shared" si="120"/>
        <v>1.3187534153652909E-4</v>
      </c>
      <c r="BQ50" s="60">
        <f t="shared" si="120"/>
        <v>1.3187534153652909E-4</v>
      </c>
      <c r="BR50" s="60">
        <f t="shared" si="120"/>
        <v>1.3187534153652909E-4</v>
      </c>
      <c r="BS50" s="60">
        <f t="shared" si="120"/>
        <v>1.3187534153652909E-4</v>
      </c>
      <c r="BT50" s="60">
        <f t="shared" si="120"/>
        <v>1.3187534153652909E-4</v>
      </c>
      <c r="BU50" s="60">
        <f t="shared" si="120"/>
        <v>1.3187534153652909E-4</v>
      </c>
      <c r="BV50" s="60">
        <f t="shared" si="120"/>
        <v>1.3187534153652909E-4</v>
      </c>
      <c r="BW50" s="60">
        <f t="shared" si="120"/>
        <v>1.3187534153652909E-4</v>
      </c>
      <c r="BX50" s="60">
        <f t="shared" si="120"/>
        <v>1.3187534153652909E-4</v>
      </c>
      <c r="BY50" s="60">
        <f t="shared" si="120"/>
        <v>1.3187534153652909E-4</v>
      </c>
      <c r="BZ50" s="60">
        <f t="shared" si="120"/>
        <v>1.3187534153652909E-4</v>
      </c>
      <c r="CA50" s="60">
        <f t="shared" si="120"/>
        <v>1.3187534153652909E-4</v>
      </c>
      <c r="CB50" s="60">
        <f t="shared" si="120"/>
        <v>1.3187534153652909E-4</v>
      </c>
      <c r="CC50" s="94">
        <f t="shared" si="118"/>
        <v>758291.875</v>
      </c>
      <c r="CD50" s="94">
        <f>IF(BD50=".",".",up_RadSpec!$F$25*(CD25*$B50))</f>
        <v>189572.96875</v>
      </c>
      <c r="CE50" s="94">
        <f>IF(BE50=".",".",up_RadSpec!$F$25*(CE25*$B50))</f>
        <v>189572.96875</v>
      </c>
      <c r="CF50" s="94">
        <f>IF(BF50=".",".",up_RadSpec!$F$25*(CF25*$B50))</f>
        <v>189572.96875</v>
      </c>
      <c r="CG50" s="94">
        <f>IF(BG50=".",".",up_RadSpec!$F$25*(CG25*$B50))</f>
        <v>189572.96875</v>
      </c>
      <c r="CH50" s="94">
        <f>IF(BH50=".",".",up_RadSpec!$F$25*(CH25*$B50))</f>
        <v>189572.96875</v>
      </c>
      <c r="CI50" s="94">
        <f>IF(BI50=".",".",up_RadSpec!$F$25*(CI25*$B50))</f>
        <v>189572.96875</v>
      </c>
      <c r="CJ50" s="94">
        <f>IF(BJ50=".",".",up_RadSpec!$F$25*(CJ25*$B50))</f>
        <v>189572.96875</v>
      </c>
      <c r="CK50" s="94">
        <f>IF(BK50=".",".",up_RadSpec!$F$25*(CK25*$B50))</f>
        <v>189572.96875</v>
      </c>
      <c r="CL50" s="94">
        <f>IF(BL50=".",".",up_RadSpec!$F$25*(CL25*$B50))</f>
        <v>189572.96875</v>
      </c>
      <c r="CM50" s="94">
        <f>IF(BM50=".",".",up_RadSpec!$F$25*(CM25*$B50))</f>
        <v>189572.96875</v>
      </c>
      <c r="CN50" s="94">
        <f>IF(BN50=".",".",up_RadSpec!$F$25*(CN25*$B50))</f>
        <v>189572.96875</v>
      </c>
      <c r="CO50" s="94">
        <f>IF(BO50=".",".",up_RadSpec!$F$25*(CO25*$B50))</f>
        <v>189572.96875</v>
      </c>
      <c r="CP50" s="94">
        <f>IF(BP50=".",".",up_RadSpec!$F$25*(CP25*$B50))</f>
        <v>189572.96875</v>
      </c>
      <c r="CQ50" s="94">
        <f>IF(BQ50=".",".",up_RadSpec!$F$25*(CQ25*$B50))</f>
        <v>189572.96875</v>
      </c>
      <c r="CR50" s="94">
        <f>IF(BR50=".",".",up_RadSpec!$F$25*(CR25*$B50))</f>
        <v>189572.96875</v>
      </c>
      <c r="CS50" s="94">
        <f>IF(BS50=".",".",up_RadSpec!$F$25*(CS25*$B50))</f>
        <v>189572.96875</v>
      </c>
      <c r="CT50" s="94">
        <f>IF(BT50=".",".",up_RadSpec!$F$25*(CT25*$B50))</f>
        <v>189572.96875</v>
      </c>
      <c r="CU50" s="94">
        <f>IF(BU50=".",".",up_RadSpec!$F$25*(CU25*$B50))</f>
        <v>189572.96875</v>
      </c>
      <c r="CV50" s="94">
        <f>IF(BV50=".",".",up_RadSpec!$F$25*(CV25*$B50))</f>
        <v>189572.96875</v>
      </c>
      <c r="CW50" s="94">
        <f>IF(BW50=".",".",up_RadSpec!$F$25*(CW25*$B50))</f>
        <v>189572.96875</v>
      </c>
      <c r="CX50" s="94">
        <f>IF(BX50=".",".",up_RadSpec!$F$25*(CX25*$B50))</f>
        <v>189572.96875</v>
      </c>
      <c r="CY50" s="94">
        <f>IF(BY50=".",".",up_RadSpec!$F$25*(CY25*$B50))</f>
        <v>189572.96875</v>
      </c>
      <c r="CZ50" s="94">
        <f>IF(BZ50=".",".",up_RadSpec!$F$25*(CZ25*$B50))</f>
        <v>189572.96875</v>
      </c>
      <c r="DA50" s="94">
        <f>IF(CA50=".",".",up_RadSpec!$F$25*(DA25*$B50))</f>
        <v>189572.96875</v>
      </c>
      <c r="DB50" s="94">
        <f>IF(CB50=".",".",up_RadSpec!$F$25*(DB25*$B50))</f>
        <v>189572.96875</v>
      </c>
    </row>
    <row r="51" spans="1:106" x14ac:dyDescent="0.25">
      <c r="A51" s="77" t="s">
        <v>1059</v>
      </c>
      <c r="B51" s="42">
        <v>1</v>
      </c>
      <c r="C51" s="60">
        <f t="shared" ref="C51:AB51" si="121">IFERROR(C21/$B51,".")</f>
        <v>3.2968835384132272E-5</v>
      </c>
      <c r="D51" s="60">
        <f t="shared" si="121"/>
        <v>1.3187534153652909E-4</v>
      </c>
      <c r="E51" s="60">
        <f t="shared" si="121"/>
        <v>1.3187534153652909E-4</v>
      </c>
      <c r="F51" s="60">
        <f t="shared" si="121"/>
        <v>1.3187534153652909E-4</v>
      </c>
      <c r="G51" s="60">
        <f t="shared" si="121"/>
        <v>1.3187534153652909E-4</v>
      </c>
      <c r="H51" s="60">
        <f t="shared" si="121"/>
        <v>1.3187534153652909E-4</v>
      </c>
      <c r="I51" s="60">
        <f t="shared" si="121"/>
        <v>1.3187534153652909E-4</v>
      </c>
      <c r="J51" s="60">
        <f t="shared" si="121"/>
        <v>1.3187534153652909E-4</v>
      </c>
      <c r="K51" s="60">
        <f t="shared" si="121"/>
        <v>1.3187534153652909E-4</v>
      </c>
      <c r="L51" s="60">
        <f t="shared" si="121"/>
        <v>1.3187534153652909E-4</v>
      </c>
      <c r="M51" s="60">
        <f t="shared" si="121"/>
        <v>1.3187534153652909E-4</v>
      </c>
      <c r="N51" s="60">
        <f t="shared" si="121"/>
        <v>1.3187534153652909E-4</v>
      </c>
      <c r="O51" s="60">
        <f t="shared" si="121"/>
        <v>1.3187534153652909E-4</v>
      </c>
      <c r="P51" s="60">
        <f t="shared" si="121"/>
        <v>1.3187534153652909E-4</v>
      </c>
      <c r="Q51" s="60">
        <f t="shared" si="121"/>
        <v>1.3187534153652909E-4</v>
      </c>
      <c r="R51" s="60">
        <f t="shared" si="121"/>
        <v>1.3187534153652909E-4</v>
      </c>
      <c r="S51" s="60">
        <f t="shared" si="121"/>
        <v>1.3187534153652909E-4</v>
      </c>
      <c r="T51" s="60">
        <f t="shared" si="121"/>
        <v>1.3187534153652909E-4</v>
      </c>
      <c r="U51" s="60">
        <f t="shared" si="121"/>
        <v>1.3187534153652909E-4</v>
      </c>
      <c r="V51" s="60">
        <f t="shared" si="121"/>
        <v>1.3187534153652909E-4</v>
      </c>
      <c r="W51" s="60">
        <f t="shared" si="121"/>
        <v>1.3187534153652909E-4</v>
      </c>
      <c r="X51" s="60">
        <f t="shared" si="121"/>
        <v>1.3187534153652909E-4</v>
      </c>
      <c r="Y51" s="60">
        <f t="shared" si="121"/>
        <v>1.3187534153652909E-4</v>
      </c>
      <c r="Z51" s="60">
        <f t="shared" si="121"/>
        <v>1.3187534153652909E-4</v>
      </c>
      <c r="AA51" s="60">
        <f t="shared" si="121"/>
        <v>1.3187534153652909E-4</v>
      </c>
      <c r="AB51" s="60">
        <f t="shared" si="121"/>
        <v>1.3187534153652909E-4</v>
      </c>
      <c r="AC51" s="94">
        <f t="shared" si="116"/>
        <v>758291.875</v>
      </c>
      <c r="AD51" s="94">
        <f>IF(D51=".",".",up_RadSpec!$F$21*(AD21*$B51))</f>
        <v>189572.96875</v>
      </c>
      <c r="AE51" s="94">
        <f>IF(E51=".",".",up_RadSpec!$F$21*(AE21*$B51))</f>
        <v>189572.96875</v>
      </c>
      <c r="AF51" s="94">
        <f>IF(F51=".",".",up_RadSpec!$F$21*(AF21*$B51))</f>
        <v>189572.96875</v>
      </c>
      <c r="AG51" s="94">
        <f>IF(G51=".",".",up_RadSpec!$F$21*(AG21*$B51))</f>
        <v>189572.96875</v>
      </c>
      <c r="AH51" s="94">
        <f>IF(H51=".",".",up_RadSpec!$F$21*(AH21*$B51))</f>
        <v>189572.96875</v>
      </c>
      <c r="AI51" s="94">
        <f>IF(I51=".",".",up_RadSpec!$F$21*(AI21*$B51))</f>
        <v>189572.96875</v>
      </c>
      <c r="AJ51" s="94">
        <f>IF(J51=".",".",up_RadSpec!$F$21*(AJ21*$B51))</f>
        <v>189572.96875</v>
      </c>
      <c r="AK51" s="94">
        <f>IF(K51=".",".",up_RadSpec!$F$21*(AK21*$B51))</f>
        <v>189572.96875</v>
      </c>
      <c r="AL51" s="94">
        <f>IF(L51=".",".",up_RadSpec!$F$21*(AL21*$B51))</f>
        <v>189572.96875</v>
      </c>
      <c r="AM51" s="94">
        <f>IF(M51=".",".",up_RadSpec!$F$21*(AM21*$B51))</f>
        <v>189572.96875</v>
      </c>
      <c r="AN51" s="94">
        <f>IF(N51=".",".",up_RadSpec!$F$21*(AN21*$B51))</f>
        <v>189572.96875</v>
      </c>
      <c r="AO51" s="94">
        <f>IF(O51=".",".",up_RadSpec!$F$21*(AO21*$B51))</f>
        <v>189572.96875</v>
      </c>
      <c r="AP51" s="94">
        <f>IF(P51=".",".",up_RadSpec!$F$21*(AP21*$B51))</f>
        <v>189572.96875</v>
      </c>
      <c r="AQ51" s="94">
        <f>IF(Q51=".",".",up_RadSpec!$F$21*(AQ21*$B51))</f>
        <v>189572.96875</v>
      </c>
      <c r="AR51" s="94">
        <f>IF(R51=".",".",up_RadSpec!$F$21*(AR21*$B51))</f>
        <v>189572.96875</v>
      </c>
      <c r="AS51" s="94">
        <f>IF(S51=".",".",up_RadSpec!$F$21*(AS21*$B51))</f>
        <v>189572.96875</v>
      </c>
      <c r="AT51" s="94">
        <f>IF(T51=".",".",up_RadSpec!$F$21*(AT21*$B51))</f>
        <v>189572.96875</v>
      </c>
      <c r="AU51" s="94">
        <f>IF(U51=".",".",up_RadSpec!$F$21*(AU21*$B51))</f>
        <v>189572.96875</v>
      </c>
      <c r="AV51" s="94">
        <f>IF(V51=".",".",up_RadSpec!$F$21*(AV21*$B51))</f>
        <v>189572.96875</v>
      </c>
      <c r="AW51" s="94">
        <f>IF(W51=".",".",up_RadSpec!$F$21*(AW21*$B51))</f>
        <v>189572.96875</v>
      </c>
      <c r="AX51" s="94">
        <f>IF(X51=".",".",up_RadSpec!$F$21*(AX21*$B51))</f>
        <v>189572.96875</v>
      </c>
      <c r="AY51" s="94">
        <f>IF(Y51=".",".",up_RadSpec!$F$21*(AY21*$B51))</f>
        <v>189572.96875</v>
      </c>
      <c r="AZ51" s="94">
        <f>IF(Z51=".",".",up_RadSpec!$F$21*(AZ21*$B51))</f>
        <v>189572.96875</v>
      </c>
      <c r="BA51" s="94">
        <f>IF(AA51=".",".",up_RadSpec!$F$21*(BA21*$B51))</f>
        <v>189572.96875</v>
      </c>
      <c r="BB51" s="94">
        <f>IF(AB51=".",".",up_RadSpec!$F$21*(BB21*$B51))</f>
        <v>189572.96875</v>
      </c>
      <c r="BC51" s="60">
        <f t="shared" ref="BC51:CB51" si="122">IFERROR(BC21/$B51,".")</f>
        <v>3.2968835384132272E-5</v>
      </c>
      <c r="BD51" s="60">
        <f t="shared" si="122"/>
        <v>1.3187534153652909E-4</v>
      </c>
      <c r="BE51" s="60">
        <f t="shared" si="122"/>
        <v>1.3187534153652909E-4</v>
      </c>
      <c r="BF51" s="60">
        <f t="shared" si="122"/>
        <v>1.3187534153652909E-4</v>
      </c>
      <c r="BG51" s="60">
        <f t="shared" si="122"/>
        <v>1.3187534153652909E-4</v>
      </c>
      <c r="BH51" s="60">
        <f t="shared" si="122"/>
        <v>1.3187534153652909E-4</v>
      </c>
      <c r="BI51" s="60">
        <f t="shared" si="122"/>
        <v>1.3187534153652909E-4</v>
      </c>
      <c r="BJ51" s="60">
        <f t="shared" si="122"/>
        <v>1.3187534153652909E-4</v>
      </c>
      <c r="BK51" s="60">
        <f t="shared" si="122"/>
        <v>1.3187534153652909E-4</v>
      </c>
      <c r="BL51" s="60">
        <f t="shared" si="122"/>
        <v>1.3187534153652909E-4</v>
      </c>
      <c r="BM51" s="60">
        <f t="shared" si="122"/>
        <v>1.3187534153652909E-4</v>
      </c>
      <c r="BN51" s="60">
        <f t="shared" si="122"/>
        <v>1.3187534153652909E-4</v>
      </c>
      <c r="BO51" s="60">
        <f t="shared" si="122"/>
        <v>1.3187534153652909E-4</v>
      </c>
      <c r="BP51" s="60">
        <f t="shared" si="122"/>
        <v>1.3187534153652909E-4</v>
      </c>
      <c r="BQ51" s="60">
        <f t="shared" si="122"/>
        <v>1.3187534153652909E-4</v>
      </c>
      <c r="BR51" s="60">
        <f t="shared" si="122"/>
        <v>1.3187534153652909E-4</v>
      </c>
      <c r="BS51" s="60">
        <f t="shared" si="122"/>
        <v>1.3187534153652909E-4</v>
      </c>
      <c r="BT51" s="60">
        <f t="shared" si="122"/>
        <v>1.3187534153652909E-4</v>
      </c>
      <c r="BU51" s="60">
        <f t="shared" si="122"/>
        <v>1.3187534153652909E-4</v>
      </c>
      <c r="BV51" s="60">
        <f t="shared" si="122"/>
        <v>1.3187534153652909E-4</v>
      </c>
      <c r="BW51" s="60">
        <f t="shared" si="122"/>
        <v>1.3187534153652909E-4</v>
      </c>
      <c r="BX51" s="60">
        <f t="shared" si="122"/>
        <v>1.3187534153652909E-4</v>
      </c>
      <c r="BY51" s="60">
        <f t="shared" si="122"/>
        <v>1.3187534153652909E-4</v>
      </c>
      <c r="BZ51" s="60">
        <f t="shared" si="122"/>
        <v>1.3187534153652909E-4</v>
      </c>
      <c r="CA51" s="60">
        <f t="shared" si="122"/>
        <v>1.3187534153652909E-4</v>
      </c>
      <c r="CB51" s="60">
        <f t="shared" si="122"/>
        <v>1.3187534153652909E-4</v>
      </c>
      <c r="CC51" s="94">
        <f t="shared" si="118"/>
        <v>758291.875</v>
      </c>
      <c r="CD51" s="94">
        <f>IF(BD51=".",".",up_RadSpec!$F$21*(CD21*$B51))</f>
        <v>189572.96875</v>
      </c>
      <c r="CE51" s="94">
        <f>IF(BE51=".",".",up_RadSpec!$F$21*(CE21*$B51))</f>
        <v>189572.96875</v>
      </c>
      <c r="CF51" s="94">
        <f>IF(BF51=".",".",up_RadSpec!$F$21*(CF21*$B51))</f>
        <v>189572.96875</v>
      </c>
      <c r="CG51" s="94">
        <f>IF(BG51=".",".",up_RadSpec!$F$21*(CG21*$B51))</f>
        <v>189572.96875</v>
      </c>
      <c r="CH51" s="94">
        <f>IF(BH51=".",".",up_RadSpec!$F$21*(CH21*$B51))</f>
        <v>189572.96875</v>
      </c>
      <c r="CI51" s="94">
        <f>IF(BI51=".",".",up_RadSpec!$F$21*(CI21*$B51))</f>
        <v>189572.96875</v>
      </c>
      <c r="CJ51" s="94">
        <f>IF(BJ51=".",".",up_RadSpec!$F$21*(CJ21*$B51))</f>
        <v>189572.96875</v>
      </c>
      <c r="CK51" s="94">
        <f>IF(BK51=".",".",up_RadSpec!$F$21*(CK21*$B51))</f>
        <v>189572.96875</v>
      </c>
      <c r="CL51" s="94">
        <f>IF(BL51=".",".",up_RadSpec!$F$21*(CL21*$B51))</f>
        <v>189572.96875</v>
      </c>
      <c r="CM51" s="94">
        <f>IF(BM51=".",".",up_RadSpec!$F$21*(CM21*$B51))</f>
        <v>189572.96875</v>
      </c>
      <c r="CN51" s="94">
        <f>IF(BN51=".",".",up_RadSpec!$F$21*(CN21*$B51))</f>
        <v>189572.96875</v>
      </c>
      <c r="CO51" s="94">
        <f>IF(BO51=".",".",up_RadSpec!$F$21*(CO21*$B51))</f>
        <v>189572.96875</v>
      </c>
      <c r="CP51" s="94">
        <f>IF(BP51=".",".",up_RadSpec!$F$21*(CP21*$B51))</f>
        <v>189572.96875</v>
      </c>
      <c r="CQ51" s="94">
        <f>IF(BQ51=".",".",up_RadSpec!$F$21*(CQ21*$B51))</f>
        <v>189572.96875</v>
      </c>
      <c r="CR51" s="94">
        <f>IF(BR51=".",".",up_RadSpec!$F$21*(CR21*$B51))</f>
        <v>189572.96875</v>
      </c>
      <c r="CS51" s="94">
        <f>IF(BS51=".",".",up_RadSpec!$F$21*(CS21*$B51))</f>
        <v>189572.96875</v>
      </c>
      <c r="CT51" s="94">
        <f>IF(BT51=".",".",up_RadSpec!$F$21*(CT21*$B51))</f>
        <v>189572.96875</v>
      </c>
      <c r="CU51" s="94">
        <f>IF(BU51=".",".",up_RadSpec!$F$21*(CU21*$B51))</f>
        <v>189572.96875</v>
      </c>
      <c r="CV51" s="94">
        <f>IF(BV51=".",".",up_RadSpec!$F$21*(CV21*$B51))</f>
        <v>189572.96875</v>
      </c>
      <c r="CW51" s="94">
        <f>IF(BW51=".",".",up_RadSpec!$F$21*(CW21*$B51))</f>
        <v>189572.96875</v>
      </c>
      <c r="CX51" s="94">
        <f>IF(BX51=".",".",up_RadSpec!$F$21*(CX21*$B51))</f>
        <v>189572.96875</v>
      </c>
      <c r="CY51" s="94">
        <f>IF(BY51=".",".",up_RadSpec!$F$21*(CY21*$B51))</f>
        <v>189572.96875</v>
      </c>
      <c r="CZ51" s="94">
        <f>IF(BZ51=".",".",up_RadSpec!$F$21*(CZ21*$B51))</f>
        <v>189572.96875</v>
      </c>
      <c r="DA51" s="94">
        <f>IF(CA51=".",".",up_RadSpec!$F$21*(DA21*$B51))</f>
        <v>189572.96875</v>
      </c>
      <c r="DB51" s="94">
        <f>IF(CB51=".",".",up_RadSpec!$F$21*(DB21*$B51))</f>
        <v>189572.96875</v>
      </c>
    </row>
    <row r="52" spans="1:106" x14ac:dyDescent="0.25">
      <c r="A52" s="77" t="s">
        <v>1060</v>
      </c>
      <c r="B52" s="79">
        <v>0.99980000000000002</v>
      </c>
      <c r="C52" s="60">
        <f t="shared" ref="C52:AB52" si="123">IFERROR(C17/$B52,".")</f>
        <v>3.2975430470226314E-5</v>
      </c>
      <c r="D52" s="60">
        <f t="shared" si="123"/>
        <v>1.3190172188090525E-4</v>
      </c>
      <c r="E52" s="60">
        <f t="shared" si="123"/>
        <v>1.3190172188090525E-4</v>
      </c>
      <c r="F52" s="60">
        <f t="shared" si="123"/>
        <v>1.3190172188090525E-4</v>
      </c>
      <c r="G52" s="60">
        <f t="shared" si="123"/>
        <v>1.3190172188090525E-4</v>
      </c>
      <c r="H52" s="60">
        <f t="shared" si="123"/>
        <v>1.3190172188090525E-4</v>
      </c>
      <c r="I52" s="60">
        <f t="shared" si="123"/>
        <v>1.3190172188090525E-4</v>
      </c>
      <c r="J52" s="60">
        <f t="shared" si="123"/>
        <v>1.3190172188090525E-4</v>
      </c>
      <c r="K52" s="60">
        <f t="shared" si="123"/>
        <v>1.3190172188090525E-4</v>
      </c>
      <c r="L52" s="60">
        <f t="shared" si="123"/>
        <v>1.3190172188090525E-4</v>
      </c>
      <c r="M52" s="60">
        <f t="shared" si="123"/>
        <v>1.3190172188090525E-4</v>
      </c>
      <c r="N52" s="60">
        <f t="shared" si="123"/>
        <v>1.3190172188090525E-4</v>
      </c>
      <c r="O52" s="60">
        <f t="shared" si="123"/>
        <v>1.3190172188090525E-4</v>
      </c>
      <c r="P52" s="60">
        <f t="shared" si="123"/>
        <v>1.3190172188090525E-4</v>
      </c>
      <c r="Q52" s="60">
        <f t="shared" si="123"/>
        <v>1.3190172188090525E-4</v>
      </c>
      <c r="R52" s="60">
        <f t="shared" si="123"/>
        <v>1.3190172188090525E-4</v>
      </c>
      <c r="S52" s="60">
        <f t="shared" si="123"/>
        <v>1.3190172188090525E-4</v>
      </c>
      <c r="T52" s="60">
        <f t="shared" si="123"/>
        <v>1.3190172188090525E-4</v>
      </c>
      <c r="U52" s="60">
        <f t="shared" si="123"/>
        <v>1.3190172188090525E-4</v>
      </c>
      <c r="V52" s="60">
        <f t="shared" si="123"/>
        <v>1.3190172188090525E-4</v>
      </c>
      <c r="W52" s="60">
        <f t="shared" si="123"/>
        <v>1.3190172188090525E-4</v>
      </c>
      <c r="X52" s="60">
        <f t="shared" si="123"/>
        <v>1.3190172188090525E-4</v>
      </c>
      <c r="Y52" s="60">
        <f t="shared" si="123"/>
        <v>1.3190172188090525E-4</v>
      </c>
      <c r="Z52" s="60">
        <f t="shared" si="123"/>
        <v>1.3190172188090525E-4</v>
      </c>
      <c r="AA52" s="60">
        <f t="shared" si="123"/>
        <v>1.3190172188090525E-4</v>
      </c>
      <c r="AB52" s="60">
        <f t="shared" si="123"/>
        <v>1.3190172188090525E-4</v>
      </c>
      <c r="AC52" s="94">
        <f t="shared" si="116"/>
        <v>758140.216625</v>
      </c>
      <c r="AD52" s="94">
        <f>IF(D52=".",".",up_RadSpec!$F$17*(AD17*$B52))</f>
        <v>189535.05415625</v>
      </c>
      <c r="AE52" s="94">
        <f>IF(E52=".",".",up_RadSpec!$F$17*(AE17*$B52))</f>
        <v>189535.05415625</v>
      </c>
      <c r="AF52" s="94">
        <f>IF(F52=".",".",up_RadSpec!$F$17*(AF17*$B52))</f>
        <v>189535.05415625</v>
      </c>
      <c r="AG52" s="94">
        <f>IF(G52=".",".",up_RadSpec!$F$17*(AG17*$B52))</f>
        <v>189535.05415625</v>
      </c>
      <c r="AH52" s="94">
        <f>IF(H52=".",".",up_RadSpec!$F$17*(AH17*$B52))</f>
        <v>189535.05415625</v>
      </c>
      <c r="AI52" s="94">
        <f>IF(I52=".",".",up_RadSpec!$F$17*(AI17*$B52))</f>
        <v>189535.05415625</v>
      </c>
      <c r="AJ52" s="94">
        <f>IF(J52=".",".",up_RadSpec!$F$17*(AJ17*$B52))</f>
        <v>189535.05415625</v>
      </c>
      <c r="AK52" s="94">
        <f>IF(K52=".",".",up_RadSpec!$F$17*(AK17*$B52))</f>
        <v>189535.05415625</v>
      </c>
      <c r="AL52" s="94">
        <f>IF(L52=".",".",up_RadSpec!$F$17*(AL17*$B52))</f>
        <v>189535.05415625</v>
      </c>
      <c r="AM52" s="94">
        <f>IF(M52=".",".",up_RadSpec!$F$17*(AM17*$B52))</f>
        <v>189535.05415625</v>
      </c>
      <c r="AN52" s="94">
        <f>IF(N52=".",".",up_RadSpec!$F$17*(AN17*$B52))</f>
        <v>189535.05415625</v>
      </c>
      <c r="AO52" s="94">
        <f>IF(O52=".",".",up_RadSpec!$F$17*(AO17*$B52))</f>
        <v>189535.05415625</v>
      </c>
      <c r="AP52" s="94">
        <f>IF(P52=".",".",up_RadSpec!$F$17*(AP17*$B52))</f>
        <v>189535.05415625</v>
      </c>
      <c r="AQ52" s="94">
        <f>IF(Q52=".",".",up_RadSpec!$F$17*(AQ17*$B52))</f>
        <v>189535.05415625</v>
      </c>
      <c r="AR52" s="94">
        <f>IF(R52=".",".",up_RadSpec!$F$17*(AR17*$B52))</f>
        <v>189535.05415625</v>
      </c>
      <c r="AS52" s="94">
        <f>IF(S52=".",".",up_RadSpec!$F$17*(AS17*$B52))</f>
        <v>189535.05415625</v>
      </c>
      <c r="AT52" s="94">
        <f>IF(T52=".",".",up_RadSpec!$F$17*(AT17*$B52))</f>
        <v>189535.05415625</v>
      </c>
      <c r="AU52" s="94">
        <f>IF(U52=".",".",up_RadSpec!$F$17*(AU17*$B52))</f>
        <v>189535.05415625</v>
      </c>
      <c r="AV52" s="94">
        <f>IF(V52=".",".",up_RadSpec!$F$17*(AV17*$B52))</f>
        <v>189535.05415625</v>
      </c>
      <c r="AW52" s="94">
        <f>IF(W52=".",".",up_RadSpec!$F$17*(AW17*$B52))</f>
        <v>189535.05415625</v>
      </c>
      <c r="AX52" s="94">
        <f>IF(X52=".",".",up_RadSpec!$F$17*(AX17*$B52))</f>
        <v>189535.05415625</v>
      </c>
      <c r="AY52" s="94">
        <f>IF(Y52=".",".",up_RadSpec!$F$17*(AY17*$B52))</f>
        <v>189535.05415625</v>
      </c>
      <c r="AZ52" s="94">
        <f>IF(Z52=".",".",up_RadSpec!$F$17*(AZ17*$B52))</f>
        <v>189535.05415625</v>
      </c>
      <c r="BA52" s="94">
        <f>IF(AA52=".",".",up_RadSpec!$F$17*(BA17*$B52))</f>
        <v>189535.05415625</v>
      </c>
      <c r="BB52" s="94">
        <f>IF(AB52=".",".",up_RadSpec!$F$17*(BB17*$B52))</f>
        <v>189535.05415625</v>
      </c>
      <c r="BC52" s="60">
        <f t="shared" ref="BC52:CB52" si="124">IFERROR(BC17/$B52,".")</f>
        <v>3.2975430470226314E-5</v>
      </c>
      <c r="BD52" s="60">
        <f t="shared" si="124"/>
        <v>1.3190172188090525E-4</v>
      </c>
      <c r="BE52" s="60">
        <f t="shared" si="124"/>
        <v>1.3190172188090525E-4</v>
      </c>
      <c r="BF52" s="60">
        <f t="shared" si="124"/>
        <v>1.3190172188090525E-4</v>
      </c>
      <c r="BG52" s="60">
        <f t="shared" si="124"/>
        <v>1.3190172188090525E-4</v>
      </c>
      <c r="BH52" s="60">
        <f t="shared" si="124"/>
        <v>1.3190172188090525E-4</v>
      </c>
      <c r="BI52" s="60">
        <f t="shared" si="124"/>
        <v>1.3190172188090525E-4</v>
      </c>
      <c r="BJ52" s="60">
        <f t="shared" si="124"/>
        <v>1.3190172188090525E-4</v>
      </c>
      <c r="BK52" s="60">
        <f t="shared" si="124"/>
        <v>1.3190172188090525E-4</v>
      </c>
      <c r="BL52" s="60">
        <f t="shared" si="124"/>
        <v>1.3190172188090525E-4</v>
      </c>
      <c r="BM52" s="60">
        <f t="shared" si="124"/>
        <v>1.3190172188090525E-4</v>
      </c>
      <c r="BN52" s="60">
        <f t="shared" si="124"/>
        <v>1.3190172188090525E-4</v>
      </c>
      <c r="BO52" s="60">
        <f t="shared" si="124"/>
        <v>1.3190172188090525E-4</v>
      </c>
      <c r="BP52" s="60">
        <f t="shared" si="124"/>
        <v>1.3190172188090525E-4</v>
      </c>
      <c r="BQ52" s="60">
        <f t="shared" si="124"/>
        <v>1.3190172188090525E-4</v>
      </c>
      <c r="BR52" s="60">
        <f t="shared" si="124"/>
        <v>1.3190172188090525E-4</v>
      </c>
      <c r="BS52" s="60">
        <f t="shared" si="124"/>
        <v>1.3190172188090525E-4</v>
      </c>
      <c r="BT52" s="60">
        <f t="shared" si="124"/>
        <v>1.3190172188090525E-4</v>
      </c>
      <c r="BU52" s="60">
        <f t="shared" si="124"/>
        <v>1.3190172188090525E-4</v>
      </c>
      <c r="BV52" s="60">
        <f t="shared" si="124"/>
        <v>1.3190172188090525E-4</v>
      </c>
      <c r="BW52" s="60">
        <f t="shared" si="124"/>
        <v>1.3190172188090525E-4</v>
      </c>
      <c r="BX52" s="60">
        <f t="shared" si="124"/>
        <v>1.3190172188090525E-4</v>
      </c>
      <c r="BY52" s="60">
        <f t="shared" si="124"/>
        <v>1.3190172188090525E-4</v>
      </c>
      <c r="BZ52" s="60">
        <f t="shared" si="124"/>
        <v>1.3190172188090525E-4</v>
      </c>
      <c r="CA52" s="60">
        <f t="shared" si="124"/>
        <v>1.3190172188090525E-4</v>
      </c>
      <c r="CB52" s="60">
        <f t="shared" si="124"/>
        <v>1.3190172188090525E-4</v>
      </c>
      <c r="CC52" s="94">
        <f t="shared" si="118"/>
        <v>758140.216625</v>
      </c>
      <c r="CD52" s="94">
        <f>IF(BD52=".",".",up_RadSpec!$F$17*(CD17*$B52))</f>
        <v>189535.05415625</v>
      </c>
      <c r="CE52" s="94">
        <f>IF(BE52=".",".",up_RadSpec!$F$17*(CE17*$B52))</f>
        <v>189535.05415625</v>
      </c>
      <c r="CF52" s="94">
        <f>IF(BF52=".",".",up_RadSpec!$F$17*(CF17*$B52))</f>
        <v>189535.05415625</v>
      </c>
      <c r="CG52" s="94">
        <f>IF(BG52=".",".",up_RadSpec!$F$17*(CG17*$B52))</f>
        <v>189535.05415625</v>
      </c>
      <c r="CH52" s="94">
        <f>IF(BH52=".",".",up_RadSpec!$F$17*(CH17*$B52))</f>
        <v>189535.05415625</v>
      </c>
      <c r="CI52" s="94">
        <f>IF(BI52=".",".",up_RadSpec!$F$17*(CI17*$B52))</f>
        <v>189535.05415625</v>
      </c>
      <c r="CJ52" s="94">
        <f>IF(BJ52=".",".",up_RadSpec!$F$17*(CJ17*$B52))</f>
        <v>189535.05415625</v>
      </c>
      <c r="CK52" s="94">
        <f>IF(BK52=".",".",up_RadSpec!$F$17*(CK17*$B52))</f>
        <v>189535.05415625</v>
      </c>
      <c r="CL52" s="94">
        <f>IF(BL52=".",".",up_RadSpec!$F$17*(CL17*$B52))</f>
        <v>189535.05415625</v>
      </c>
      <c r="CM52" s="94">
        <f>IF(BM52=".",".",up_RadSpec!$F$17*(CM17*$B52))</f>
        <v>189535.05415625</v>
      </c>
      <c r="CN52" s="94">
        <f>IF(BN52=".",".",up_RadSpec!$F$17*(CN17*$B52))</f>
        <v>189535.05415625</v>
      </c>
      <c r="CO52" s="94">
        <f>IF(BO52=".",".",up_RadSpec!$F$17*(CO17*$B52))</f>
        <v>189535.05415625</v>
      </c>
      <c r="CP52" s="94">
        <f>IF(BP52=".",".",up_RadSpec!$F$17*(CP17*$B52))</f>
        <v>189535.05415625</v>
      </c>
      <c r="CQ52" s="94">
        <f>IF(BQ52=".",".",up_RadSpec!$F$17*(CQ17*$B52))</f>
        <v>189535.05415625</v>
      </c>
      <c r="CR52" s="94">
        <f>IF(BR52=".",".",up_RadSpec!$F$17*(CR17*$B52))</f>
        <v>189535.05415625</v>
      </c>
      <c r="CS52" s="94">
        <f>IF(BS52=".",".",up_RadSpec!$F$17*(CS17*$B52))</f>
        <v>189535.05415625</v>
      </c>
      <c r="CT52" s="94">
        <f>IF(BT52=".",".",up_RadSpec!$F$17*(CT17*$B52))</f>
        <v>189535.05415625</v>
      </c>
      <c r="CU52" s="94">
        <f>IF(BU52=".",".",up_RadSpec!$F$17*(CU17*$B52))</f>
        <v>189535.05415625</v>
      </c>
      <c r="CV52" s="94">
        <f>IF(BV52=".",".",up_RadSpec!$F$17*(CV17*$B52))</f>
        <v>189535.05415625</v>
      </c>
      <c r="CW52" s="94">
        <f>IF(BW52=".",".",up_RadSpec!$F$17*(CW17*$B52))</f>
        <v>189535.05415625</v>
      </c>
      <c r="CX52" s="94">
        <f>IF(BX52=".",".",up_RadSpec!$F$17*(CX17*$B52))</f>
        <v>189535.05415625</v>
      </c>
      <c r="CY52" s="94">
        <f>IF(BY52=".",".",up_RadSpec!$F$17*(CY17*$B52))</f>
        <v>189535.05415625</v>
      </c>
      <c r="CZ52" s="94">
        <f>IF(BZ52=".",".",up_RadSpec!$F$17*(CZ17*$B52))</f>
        <v>189535.05415625</v>
      </c>
      <c r="DA52" s="94">
        <f>IF(CA52=".",".",up_RadSpec!$F$17*(DA17*$B52))</f>
        <v>189535.05415625</v>
      </c>
      <c r="DB52" s="94">
        <f>IF(CB52=".",".",up_RadSpec!$F$17*(DB17*$B52))</f>
        <v>189535.05415625</v>
      </c>
    </row>
    <row r="53" spans="1:106" x14ac:dyDescent="0.25">
      <c r="A53" s="77" t="s">
        <v>1074</v>
      </c>
      <c r="B53" s="42">
        <v>2.0000000000000001E-4</v>
      </c>
      <c r="C53" s="60">
        <f t="shared" ref="C53:AB53" si="125">IFERROR(C5/$B53,".")</f>
        <v>0.16484417692066136</v>
      </c>
      <c r="D53" s="60">
        <f t="shared" si="125"/>
        <v>0.65937670768264545</v>
      </c>
      <c r="E53" s="60">
        <f t="shared" si="125"/>
        <v>0.65937670768264545</v>
      </c>
      <c r="F53" s="60">
        <f t="shared" si="125"/>
        <v>0.65937670768264545</v>
      </c>
      <c r="G53" s="60">
        <f t="shared" si="125"/>
        <v>0.65937670768264545</v>
      </c>
      <c r="H53" s="60">
        <f t="shared" si="125"/>
        <v>0.65937670768264545</v>
      </c>
      <c r="I53" s="60">
        <f t="shared" si="125"/>
        <v>0.65937670768264545</v>
      </c>
      <c r="J53" s="60">
        <f t="shared" si="125"/>
        <v>0.65937670768264545</v>
      </c>
      <c r="K53" s="60">
        <f t="shared" si="125"/>
        <v>0.65937670768264545</v>
      </c>
      <c r="L53" s="60">
        <f t="shared" si="125"/>
        <v>0.65937670768264545</v>
      </c>
      <c r="M53" s="60">
        <f t="shared" si="125"/>
        <v>0.65937670768264545</v>
      </c>
      <c r="N53" s="60">
        <f t="shared" si="125"/>
        <v>0.65937670768264545</v>
      </c>
      <c r="O53" s="60">
        <f t="shared" si="125"/>
        <v>0.65937670768264545</v>
      </c>
      <c r="P53" s="60">
        <f t="shared" si="125"/>
        <v>0.65937670768264545</v>
      </c>
      <c r="Q53" s="60">
        <f t="shared" si="125"/>
        <v>0.65937670768264545</v>
      </c>
      <c r="R53" s="60">
        <f t="shared" si="125"/>
        <v>0.65937670768264545</v>
      </c>
      <c r="S53" s="60">
        <f t="shared" si="125"/>
        <v>0.65937670768264545</v>
      </c>
      <c r="T53" s="60">
        <f t="shared" si="125"/>
        <v>0.65937670768264545</v>
      </c>
      <c r="U53" s="60">
        <f t="shared" si="125"/>
        <v>0.65937670768264545</v>
      </c>
      <c r="V53" s="60">
        <f t="shared" si="125"/>
        <v>0.65937670768264545</v>
      </c>
      <c r="W53" s="60">
        <f t="shared" si="125"/>
        <v>0.65937670768264545</v>
      </c>
      <c r="X53" s="60">
        <f t="shared" si="125"/>
        <v>0.65937670768264545</v>
      </c>
      <c r="Y53" s="60">
        <f t="shared" si="125"/>
        <v>0.65937670768264545</v>
      </c>
      <c r="Z53" s="60">
        <f t="shared" si="125"/>
        <v>0.65937670768264545</v>
      </c>
      <c r="AA53" s="60">
        <f t="shared" si="125"/>
        <v>0.65937670768264545</v>
      </c>
      <c r="AB53" s="60">
        <f t="shared" si="125"/>
        <v>0.65937670768264545</v>
      </c>
      <c r="AC53" s="94">
        <f t="shared" si="116"/>
        <v>151.65837500000001</v>
      </c>
      <c r="AD53" s="94">
        <f>IF(D53=".",".",up_RadSpec!$F$5*(AD5*$B53))</f>
        <v>37.914593750000002</v>
      </c>
      <c r="AE53" s="94">
        <f>IF(E53=".",".",up_RadSpec!$F$5*(AE5*$B53))</f>
        <v>37.914593750000002</v>
      </c>
      <c r="AF53" s="94">
        <f>IF(F53=".",".",up_RadSpec!$F$5*(AF5*$B53))</f>
        <v>37.914593750000002</v>
      </c>
      <c r="AG53" s="94">
        <f>IF(G53=".",".",up_RadSpec!$F$5*(AG5*$B53))</f>
        <v>37.914593750000002</v>
      </c>
      <c r="AH53" s="94">
        <f>IF(H53=".",".",up_RadSpec!$F$5*(AH5*$B53))</f>
        <v>37.914593750000002</v>
      </c>
      <c r="AI53" s="94">
        <f>IF(I53=".",".",up_RadSpec!$F$5*(AI5*$B53))</f>
        <v>37.914593750000002</v>
      </c>
      <c r="AJ53" s="94">
        <f>IF(J53=".",".",up_RadSpec!$F$5*(AJ5*$B53))</f>
        <v>37.914593750000002</v>
      </c>
      <c r="AK53" s="94">
        <f>IF(K53=".",".",up_RadSpec!$F$5*(AK5*$B53))</f>
        <v>37.914593750000002</v>
      </c>
      <c r="AL53" s="94">
        <f>IF(L53=".",".",up_RadSpec!$F$5*(AL5*$B53))</f>
        <v>37.914593750000002</v>
      </c>
      <c r="AM53" s="94">
        <f>IF(M53=".",".",up_RadSpec!$F$5*(AM5*$B53))</f>
        <v>37.914593750000002</v>
      </c>
      <c r="AN53" s="94">
        <f>IF(N53=".",".",up_RadSpec!$F$5*(AN5*$B53))</f>
        <v>37.914593750000002</v>
      </c>
      <c r="AO53" s="94">
        <f>IF(O53=".",".",up_RadSpec!$F$5*(AO5*$B53))</f>
        <v>37.914593750000002</v>
      </c>
      <c r="AP53" s="94">
        <f>IF(P53=".",".",up_RadSpec!$F$5*(AP5*$B53))</f>
        <v>37.914593750000002</v>
      </c>
      <c r="AQ53" s="94">
        <f>IF(Q53=".",".",up_RadSpec!$F$5*(AQ5*$B53))</f>
        <v>37.914593750000002</v>
      </c>
      <c r="AR53" s="94">
        <f>IF(R53=".",".",up_RadSpec!$F$5*(AR5*$B53))</f>
        <v>37.914593750000002</v>
      </c>
      <c r="AS53" s="94">
        <f>IF(S53=".",".",up_RadSpec!$F$5*(AS5*$B53))</f>
        <v>37.914593750000002</v>
      </c>
      <c r="AT53" s="94">
        <f>IF(T53=".",".",up_RadSpec!$F$5*(AT5*$B53))</f>
        <v>37.914593750000002</v>
      </c>
      <c r="AU53" s="94">
        <f>IF(U53=".",".",up_RadSpec!$F$5*(AU5*$B53))</f>
        <v>37.914593750000002</v>
      </c>
      <c r="AV53" s="94">
        <f>IF(V53=".",".",up_RadSpec!$F$5*(AV5*$B53))</f>
        <v>37.914593750000002</v>
      </c>
      <c r="AW53" s="94">
        <f>IF(W53=".",".",up_RadSpec!$F$5*(AW5*$B53))</f>
        <v>37.914593750000002</v>
      </c>
      <c r="AX53" s="94">
        <f>IF(X53=".",".",up_RadSpec!$F$5*(AX5*$B53))</f>
        <v>37.914593750000002</v>
      </c>
      <c r="AY53" s="94">
        <f>IF(Y53=".",".",up_RadSpec!$F$5*(AY5*$B53))</f>
        <v>37.914593750000002</v>
      </c>
      <c r="AZ53" s="94">
        <f>IF(Z53=".",".",up_RadSpec!$F$5*(AZ5*$B53))</f>
        <v>37.914593750000002</v>
      </c>
      <c r="BA53" s="94">
        <f>IF(AA53=".",".",up_RadSpec!$F$5*(BA5*$B53))</f>
        <v>37.914593750000002</v>
      </c>
      <c r="BB53" s="94">
        <f>IF(AB53=".",".",up_RadSpec!$F$5*(BB5*$B53))</f>
        <v>37.914593750000002</v>
      </c>
      <c r="BC53" s="60">
        <f t="shared" ref="BC53:CB53" si="126">IFERROR(BC5/$B53,".")</f>
        <v>0.16484417692066136</v>
      </c>
      <c r="BD53" s="60">
        <f t="shared" si="126"/>
        <v>0.65937670768264545</v>
      </c>
      <c r="BE53" s="60">
        <f t="shared" si="126"/>
        <v>0.65937670768264545</v>
      </c>
      <c r="BF53" s="60">
        <f t="shared" si="126"/>
        <v>0.65937670768264545</v>
      </c>
      <c r="BG53" s="60">
        <f t="shared" si="126"/>
        <v>0.65937670768264545</v>
      </c>
      <c r="BH53" s="60">
        <f t="shared" si="126"/>
        <v>0.65937670768264545</v>
      </c>
      <c r="BI53" s="60">
        <f t="shared" si="126"/>
        <v>0.65937670768264545</v>
      </c>
      <c r="BJ53" s="60">
        <f t="shared" si="126"/>
        <v>0.65937670768264545</v>
      </c>
      <c r="BK53" s="60">
        <f t="shared" si="126"/>
        <v>0.65937670768264545</v>
      </c>
      <c r="BL53" s="60">
        <f t="shared" si="126"/>
        <v>0.65937670768264545</v>
      </c>
      <c r="BM53" s="60">
        <f t="shared" si="126"/>
        <v>0.65937670768264545</v>
      </c>
      <c r="BN53" s="60">
        <f t="shared" si="126"/>
        <v>0.65937670768264545</v>
      </c>
      <c r="BO53" s="60">
        <f t="shared" si="126"/>
        <v>0.65937670768264545</v>
      </c>
      <c r="BP53" s="60">
        <f t="shared" si="126"/>
        <v>0.65937670768264545</v>
      </c>
      <c r="BQ53" s="60">
        <f t="shared" si="126"/>
        <v>0.65937670768264545</v>
      </c>
      <c r="BR53" s="60">
        <f t="shared" si="126"/>
        <v>0.65937670768264545</v>
      </c>
      <c r="BS53" s="60">
        <f t="shared" si="126"/>
        <v>0.65937670768264545</v>
      </c>
      <c r="BT53" s="60">
        <f t="shared" si="126"/>
        <v>0.65937670768264545</v>
      </c>
      <c r="BU53" s="60">
        <f t="shared" si="126"/>
        <v>0.65937670768264545</v>
      </c>
      <c r="BV53" s="60">
        <f t="shared" si="126"/>
        <v>0.65937670768264545</v>
      </c>
      <c r="BW53" s="60">
        <f t="shared" si="126"/>
        <v>0.65937670768264545</v>
      </c>
      <c r="BX53" s="60">
        <f t="shared" si="126"/>
        <v>0.65937670768264545</v>
      </c>
      <c r="BY53" s="60">
        <f t="shared" si="126"/>
        <v>0.65937670768264545</v>
      </c>
      <c r="BZ53" s="60">
        <f t="shared" si="126"/>
        <v>0.65937670768264545</v>
      </c>
      <c r="CA53" s="60">
        <f t="shared" si="126"/>
        <v>0.65937670768264545</v>
      </c>
      <c r="CB53" s="60">
        <f t="shared" si="126"/>
        <v>0.65937670768264545</v>
      </c>
      <c r="CC53" s="94">
        <f t="shared" si="118"/>
        <v>151.65837500000001</v>
      </c>
      <c r="CD53" s="94">
        <f>IF(BD53=".",".",up_RadSpec!$F$5*(CD5*$B53))</f>
        <v>37.914593750000002</v>
      </c>
      <c r="CE53" s="94">
        <f>IF(BE53=".",".",up_RadSpec!$F$5*(CE5*$B53))</f>
        <v>37.914593750000002</v>
      </c>
      <c r="CF53" s="94">
        <f>IF(BF53=".",".",up_RadSpec!$F$5*(CF5*$B53))</f>
        <v>37.914593750000002</v>
      </c>
      <c r="CG53" s="94">
        <f>IF(BG53=".",".",up_RadSpec!$F$5*(CG5*$B53))</f>
        <v>37.914593750000002</v>
      </c>
      <c r="CH53" s="94">
        <f>IF(BH53=".",".",up_RadSpec!$F$5*(CH5*$B53))</f>
        <v>37.914593750000002</v>
      </c>
      <c r="CI53" s="94">
        <f>IF(BI53=".",".",up_RadSpec!$F$5*(CI5*$B53))</f>
        <v>37.914593750000002</v>
      </c>
      <c r="CJ53" s="94">
        <f>IF(BJ53=".",".",up_RadSpec!$F$5*(CJ5*$B53))</f>
        <v>37.914593750000002</v>
      </c>
      <c r="CK53" s="94">
        <f>IF(BK53=".",".",up_RadSpec!$F$5*(CK5*$B53))</f>
        <v>37.914593750000002</v>
      </c>
      <c r="CL53" s="94">
        <f>IF(BL53=".",".",up_RadSpec!$F$5*(CL5*$B53))</f>
        <v>37.914593750000002</v>
      </c>
      <c r="CM53" s="94">
        <f>IF(BM53=".",".",up_RadSpec!$F$5*(CM5*$B53))</f>
        <v>37.914593750000002</v>
      </c>
      <c r="CN53" s="94">
        <f>IF(BN53=".",".",up_RadSpec!$F$5*(CN5*$B53))</f>
        <v>37.914593750000002</v>
      </c>
      <c r="CO53" s="94">
        <f>IF(BO53=".",".",up_RadSpec!$F$5*(CO5*$B53))</f>
        <v>37.914593750000002</v>
      </c>
      <c r="CP53" s="94">
        <f>IF(BP53=".",".",up_RadSpec!$F$5*(CP5*$B53))</f>
        <v>37.914593750000002</v>
      </c>
      <c r="CQ53" s="94">
        <f>IF(BQ53=".",".",up_RadSpec!$F$5*(CQ5*$B53))</f>
        <v>37.914593750000002</v>
      </c>
      <c r="CR53" s="94">
        <f>IF(BR53=".",".",up_RadSpec!$F$5*(CR5*$B53))</f>
        <v>37.914593750000002</v>
      </c>
      <c r="CS53" s="94">
        <f>IF(BS53=".",".",up_RadSpec!$F$5*(CS5*$B53))</f>
        <v>37.914593750000002</v>
      </c>
      <c r="CT53" s="94">
        <f>IF(BT53=".",".",up_RadSpec!$F$5*(CT5*$B53))</f>
        <v>37.914593750000002</v>
      </c>
      <c r="CU53" s="94">
        <f>IF(BU53=".",".",up_RadSpec!$F$5*(CU5*$B53))</f>
        <v>37.914593750000002</v>
      </c>
      <c r="CV53" s="94">
        <f>IF(BV53=".",".",up_RadSpec!$F$5*(CV5*$B53))</f>
        <v>37.914593750000002</v>
      </c>
      <c r="CW53" s="94">
        <f>IF(BW53=".",".",up_RadSpec!$F$5*(CW5*$B53))</f>
        <v>37.914593750000002</v>
      </c>
      <c r="CX53" s="94">
        <f>IF(BX53=".",".",up_RadSpec!$F$5*(CX5*$B53))</f>
        <v>37.914593750000002</v>
      </c>
      <c r="CY53" s="94">
        <f>IF(BY53=".",".",up_RadSpec!$F$5*(CY5*$B53))</f>
        <v>37.914593750000002</v>
      </c>
      <c r="CZ53" s="94">
        <f>IF(BZ53=".",".",up_RadSpec!$F$5*(CZ5*$B53))</f>
        <v>37.914593750000002</v>
      </c>
      <c r="DA53" s="94">
        <f>IF(CA53=".",".",up_RadSpec!$F$5*(DA5*$B53))</f>
        <v>37.914593750000002</v>
      </c>
      <c r="DB53" s="94">
        <f>IF(CB53=".",".",up_RadSpec!$F$5*(DB5*$B53))</f>
        <v>37.914593750000002</v>
      </c>
    </row>
    <row r="54" spans="1:106" x14ac:dyDescent="0.25">
      <c r="A54" s="77" t="s">
        <v>1075</v>
      </c>
      <c r="B54" s="42">
        <v>0.99999979999999999</v>
      </c>
      <c r="C54" s="60">
        <f t="shared" ref="C54:AB54" si="127">IFERROR(C9/$B54,".")</f>
        <v>3.296884197790067E-5</v>
      </c>
      <c r="D54" s="60">
        <f t="shared" si="127"/>
        <v>1.3187536791160268E-4</v>
      </c>
      <c r="E54" s="60">
        <f t="shared" si="127"/>
        <v>1.3187536791160268E-4</v>
      </c>
      <c r="F54" s="60">
        <f t="shared" si="127"/>
        <v>1.3187536791160268E-4</v>
      </c>
      <c r="G54" s="60">
        <f t="shared" si="127"/>
        <v>1.3187536791160268E-4</v>
      </c>
      <c r="H54" s="60">
        <f t="shared" si="127"/>
        <v>1.3187536791160268E-4</v>
      </c>
      <c r="I54" s="60">
        <f t="shared" si="127"/>
        <v>1.3187536791160268E-4</v>
      </c>
      <c r="J54" s="60">
        <f t="shared" si="127"/>
        <v>1.3187536791160268E-4</v>
      </c>
      <c r="K54" s="60">
        <f t="shared" si="127"/>
        <v>1.3187536791160268E-4</v>
      </c>
      <c r="L54" s="60">
        <f t="shared" si="127"/>
        <v>1.3187536791160268E-4</v>
      </c>
      <c r="M54" s="60">
        <f t="shared" si="127"/>
        <v>1.3187536791160268E-4</v>
      </c>
      <c r="N54" s="60">
        <f t="shared" si="127"/>
        <v>1.3187536791160268E-4</v>
      </c>
      <c r="O54" s="60">
        <f t="shared" si="127"/>
        <v>1.3187536791160268E-4</v>
      </c>
      <c r="P54" s="60">
        <f t="shared" si="127"/>
        <v>1.3187536791160268E-4</v>
      </c>
      <c r="Q54" s="60">
        <f t="shared" si="127"/>
        <v>1.3187536791160268E-4</v>
      </c>
      <c r="R54" s="60">
        <f t="shared" si="127"/>
        <v>1.3187536791160268E-4</v>
      </c>
      <c r="S54" s="60">
        <f t="shared" si="127"/>
        <v>1.3187536791160268E-4</v>
      </c>
      <c r="T54" s="60">
        <f t="shared" si="127"/>
        <v>1.3187536791160268E-4</v>
      </c>
      <c r="U54" s="60">
        <f t="shared" si="127"/>
        <v>1.3187536791160268E-4</v>
      </c>
      <c r="V54" s="60">
        <f t="shared" si="127"/>
        <v>1.3187536791160268E-4</v>
      </c>
      <c r="W54" s="60">
        <f t="shared" si="127"/>
        <v>1.3187536791160268E-4</v>
      </c>
      <c r="X54" s="60">
        <f t="shared" si="127"/>
        <v>1.3187536791160268E-4</v>
      </c>
      <c r="Y54" s="60">
        <f t="shared" si="127"/>
        <v>1.3187536791160268E-4</v>
      </c>
      <c r="Z54" s="60">
        <f t="shared" si="127"/>
        <v>1.3187536791160268E-4</v>
      </c>
      <c r="AA54" s="60">
        <f t="shared" si="127"/>
        <v>1.3187536791160268E-4</v>
      </c>
      <c r="AB54" s="60">
        <f t="shared" si="127"/>
        <v>1.3187536791160268E-4</v>
      </c>
      <c r="AC54" s="94">
        <f t="shared" si="116"/>
        <v>758291.72334162507</v>
      </c>
      <c r="AD54" s="94">
        <f>IF(D54=".",".",up_RadSpec!$F$9*(AD9*$B54))</f>
        <v>189572.93083540627</v>
      </c>
      <c r="AE54" s="94">
        <f>IF(E54=".",".",up_RadSpec!$F$9*(AE9*$B54))</f>
        <v>189572.93083540627</v>
      </c>
      <c r="AF54" s="94">
        <f>IF(F54=".",".",up_RadSpec!$F$9*(AF9*$B54))</f>
        <v>189572.93083540627</v>
      </c>
      <c r="AG54" s="94">
        <f>IF(G54=".",".",up_RadSpec!$F$9*(AG9*$B54))</f>
        <v>189572.93083540627</v>
      </c>
      <c r="AH54" s="94">
        <f>IF(H54=".",".",up_RadSpec!$F$9*(AH9*$B54))</f>
        <v>189572.93083540627</v>
      </c>
      <c r="AI54" s="94">
        <f>IF(I54=".",".",up_RadSpec!$F$9*(AI9*$B54))</f>
        <v>189572.93083540627</v>
      </c>
      <c r="AJ54" s="94">
        <f>IF(J54=".",".",up_RadSpec!$F$9*(AJ9*$B54))</f>
        <v>189572.93083540627</v>
      </c>
      <c r="AK54" s="94">
        <f>IF(K54=".",".",up_RadSpec!$F$9*(AK9*$B54))</f>
        <v>189572.93083540627</v>
      </c>
      <c r="AL54" s="94">
        <f>IF(L54=".",".",up_RadSpec!$F$9*(AL9*$B54))</f>
        <v>189572.93083540627</v>
      </c>
      <c r="AM54" s="94">
        <f>IF(M54=".",".",up_RadSpec!$F$9*(AM9*$B54))</f>
        <v>189572.93083540627</v>
      </c>
      <c r="AN54" s="94">
        <f>IF(N54=".",".",up_RadSpec!$F$9*(AN9*$B54))</f>
        <v>189572.93083540627</v>
      </c>
      <c r="AO54" s="94">
        <f>IF(O54=".",".",up_RadSpec!$F$9*(AO9*$B54))</f>
        <v>189572.93083540627</v>
      </c>
      <c r="AP54" s="94">
        <f>IF(P54=".",".",up_RadSpec!$F$9*(AP9*$B54))</f>
        <v>189572.93083540627</v>
      </c>
      <c r="AQ54" s="94">
        <f>IF(Q54=".",".",up_RadSpec!$F$9*(AQ9*$B54))</f>
        <v>189572.93083540627</v>
      </c>
      <c r="AR54" s="94">
        <f>IF(R54=".",".",up_RadSpec!$F$9*(AR9*$B54))</f>
        <v>189572.93083540627</v>
      </c>
      <c r="AS54" s="94">
        <f>IF(S54=".",".",up_RadSpec!$F$9*(AS9*$B54))</f>
        <v>189572.93083540627</v>
      </c>
      <c r="AT54" s="94">
        <f>IF(T54=".",".",up_RadSpec!$F$9*(AT9*$B54))</f>
        <v>189572.93083540627</v>
      </c>
      <c r="AU54" s="94">
        <f>IF(U54=".",".",up_RadSpec!$F$9*(AU9*$B54))</f>
        <v>189572.93083540627</v>
      </c>
      <c r="AV54" s="94">
        <f>IF(V54=".",".",up_RadSpec!$F$9*(AV9*$B54))</f>
        <v>189572.93083540627</v>
      </c>
      <c r="AW54" s="94">
        <f>IF(W54=".",".",up_RadSpec!$F$9*(AW9*$B54))</f>
        <v>189572.93083540627</v>
      </c>
      <c r="AX54" s="94">
        <f>IF(X54=".",".",up_RadSpec!$F$9*(AX9*$B54))</f>
        <v>189572.93083540627</v>
      </c>
      <c r="AY54" s="94">
        <f>IF(Y54=".",".",up_RadSpec!$F$9*(AY9*$B54))</f>
        <v>189572.93083540627</v>
      </c>
      <c r="AZ54" s="94">
        <f>IF(Z54=".",".",up_RadSpec!$F$9*(AZ9*$B54))</f>
        <v>189572.93083540627</v>
      </c>
      <c r="BA54" s="94">
        <f>IF(AA54=".",".",up_RadSpec!$F$9*(BA9*$B54))</f>
        <v>189572.93083540627</v>
      </c>
      <c r="BB54" s="94">
        <f>IF(AB54=".",".",up_RadSpec!$F$9*(BB9*$B54))</f>
        <v>189572.93083540627</v>
      </c>
      <c r="BC54" s="60">
        <f t="shared" ref="BC54:CB54" si="128">IFERROR(BC9/$B54,".")</f>
        <v>3.296884197790067E-5</v>
      </c>
      <c r="BD54" s="60">
        <f t="shared" si="128"/>
        <v>1.3187536791160268E-4</v>
      </c>
      <c r="BE54" s="60">
        <f t="shared" si="128"/>
        <v>1.3187536791160268E-4</v>
      </c>
      <c r="BF54" s="60">
        <f t="shared" si="128"/>
        <v>1.3187536791160268E-4</v>
      </c>
      <c r="BG54" s="60">
        <f t="shared" si="128"/>
        <v>1.3187536791160268E-4</v>
      </c>
      <c r="BH54" s="60">
        <f t="shared" si="128"/>
        <v>1.3187536791160268E-4</v>
      </c>
      <c r="BI54" s="60">
        <f t="shared" si="128"/>
        <v>1.3187536791160268E-4</v>
      </c>
      <c r="BJ54" s="60">
        <f t="shared" si="128"/>
        <v>1.3187536791160268E-4</v>
      </c>
      <c r="BK54" s="60">
        <f t="shared" si="128"/>
        <v>1.3187536791160268E-4</v>
      </c>
      <c r="BL54" s="60">
        <f t="shared" si="128"/>
        <v>1.3187536791160268E-4</v>
      </c>
      <c r="BM54" s="60">
        <f t="shared" si="128"/>
        <v>1.3187536791160268E-4</v>
      </c>
      <c r="BN54" s="60">
        <f t="shared" si="128"/>
        <v>1.3187536791160268E-4</v>
      </c>
      <c r="BO54" s="60">
        <f t="shared" si="128"/>
        <v>1.3187536791160268E-4</v>
      </c>
      <c r="BP54" s="60">
        <f t="shared" si="128"/>
        <v>1.3187536791160268E-4</v>
      </c>
      <c r="BQ54" s="60">
        <f t="shared" si="128"/>
        <v>1.3187536791160268E-4</v>
      </c>
      <c r="BR54" s="60">
        <f t="shared" si="128"/>
        <v>1.3187536791160268E-4</v>
      </c>
      <c r="BS54" s="60">
        <f t="shared" si="128"/>
        <v>1.3187536791160268E-4</v>
      </c>
      <c r="BT54" s="60">
        <f t="shared" si="128"/>
        <v>1.3187536791160268E-4</v>
      </c>
      <c r="BU54" s="60">
        <f t="shared" si="128"/>
        <v>1.3187536791160268E-4</v>
      </c>
      <c r="BV54" s="60">
        <f t="shared" si="128"/>
        <v>1.3187536791160268E-4</v>
      </c>
      <c r="BW54" s="60">
        <f t="shared" si="128"/>
        <v>1.3187536791160268E-4</v>
      </c>
      <c r="BX54" s="60">
        <f t="shared" si="128"/>
        <v>1.3187536791160268E-4</v>
      </c>
      <c r="BY54" s="60">
        <f t="shared" si="128"/>
        <v>1.3187536791160268E-4</v>
      </c>
      <c r="BZ54" s="60">
        <f t="shared" si="128"/>
        <v>1.3187536791160268E-4</v>
      </c>
      <c r="CA54" s="60">
        <f t="shared" si="128"/>
        <v>1.3187536791160268E-4</v>
      </c>
      <c r="CB54" s="60">
        <f t="shared" si="128"/>
        <v>1.3187536791160268E-4</v>
      </c>
      <c r="CC54" s="94">
        <f t="shared" si="118"/>
        <v>758291.72334162507</v>
      </c>
      <c r="CD54" s="94">
        <f>IF(BD54=".",".",up_RadSpec!$F$9*(CD9*$B54))</f>
        <v>189572.93083540627</v>
      </c>
      <c r="CE54" s="94">
        <f>IF(BE54=".",".",up_RadSpec!$F$9*(CE9*$B54))</f>
        <v>189572.93083540627</v>
      </c>
      <c r="CF54" s="94">
        <f>IF(BF54=".",".",up_RadSpec!$F$9*(CF9*$B54))</f>
        <v>189572.93083540627</v>
      </c>
      <c r="CG54" s="94">
        <f>IF(BG54=".",".",up_RadSpec!$F$9*(CG9*$B54))</f>
        <v>189572.93083540627</v>
      </c>
      <c r="CH54" s="94">
        <f>IF(BH54=".",".",up_RadSpec!$F$9*(CH9*$B54))</f>
        <v>189572.93083540627</v>
      </c>
      <c r="CI54" s="94">
        <f>IF(BI54=".",".",up_RadSpec!$F$9*(CI9*$B54))</f>
        <v>189572.93083540627</v>
      </c>
      <c r="CJ54" s="94">
        <f>IF(BJ54=".",".",up_RadSpec!$F$9*(CJ9*$B54))</f>
        <v>189572.93083540627</v>
      </c>
      <c r="CK54" s="94">
        <f>IF(BK54=".",".",up_RadSpec!$F$9*(CK9*$B54))</f>
        <v>189572.93083540627</v>
      </c>
      <c r="CL54" s="94">
        <f>IF(BL54=".",".",up_RadSpec!$F$9*(CL9*$B54))</f>
        <v>189572.93083540627</v>
      </c>
      <c r="CM54" s="94">
        <f>IF(BM54=".",".",up_RadSpec!$F$9*(CM9*$B54))</f>
        <v>189572.93083540627</v>
      </c>
      <c r="CN54" s="94">
        <f>IF(BN54=".",".",up_RadSpec!$F$9*(CN9*$B54))</f>
        <v>189572.93083540627</v>
      </c>
      <c r="CO54" s="94">
        <f>IF(BO54=".",".",up_RadSpec!$F$9*(CO9*$B54))</f>
        <v>189572.93083540627</v>
      </c>
      <c r="CP54" s="94">
        <f>IF(BP54=".",".",up_RadSpec!$F$9*(CP9*$B54))</f>
        <v>189572.93083540627</v>
      </c>
      <c r="CQ54" s="94">
        <f>IF(BQ54=".",".",up_RadSpec!$F$9*(CQ9*$B54))</f>
        <v>189572.93083540627</v>
      </c>
      <c r="CR54" s="94">
        <f>IF(BR54=".",".",up_RadSpec!$F$9*(CR9*$B54))</f>
        <v>189572.93083540627</v>
      </c>
      <c r="CS54" s="94">
        <f>IF(BS54=".",".",up_RadSpec!$F$9*(CS9*$B54))</f>
        <v>189572.93083540627</v>
      </c>
      <c r="CT54" s="94">
        <f>IF(BT54=".",".",up_RadSpec!$F$9*(CT9*$B54))</f>
        <v>189572.93083540627</v>
      </c>
      <c r="CU54" s="94">
        <f>IF(BU54=".",".",up_RadSpec!$F$9*(CU9*$B54))</f>
        <v>189572.93083540627</v>
      </c>
      <c r="CV54" s="94">
        <f>IF(BV54=".",".",up_RadSpec!$F$9*(CV9*$B54))</f>
        <v>189572.93083540627</v>
      </c>
      <c r="CW54" s="94">
        <f>IF(BW54=".",".",up_RadSpec!$F$9*(CW9*$B54))</f>
        <v>189572.93083540627</v>
      </c>
      <c r="CX54" s="94">
        <f>IF(BX54=".",".",up_RadSpec!$F$9*(CX9*$B54))</f>
        <v>189572.93083540627</v>
      </c>
      <c r="CY54" s="94">
        <f>IF(BY54=".",".",up_RadSpec!$F$9*(CY9*$B54))</f>
        <v>189572.93083540627</v>
      </c>
      <c r="CZ54" s="94">
        <f>IF(BZ54=".",".",up_RadSpec!$F$9*(CZ9*$B54))</f>
        <v>189572.93083540627</v>
      </c>
      <c r="DA54" s="94">
        <f>IF(CA54=".",".",up_RadSpec!$F$9*(DA9*$B54))</f>
        <v>189572.93083540627</v>
      </c>
      <c r="DB54" s="94">
        <f>IF(CB54=".",".",up_RadSpec!$F$9*(DB9*$B54))</f>
        <v>189572.93083540627</v>
      </c>
    </row>
    <row r="55" spans="1:106" x14ac:dyDescent="0.25">
      <c r="A55" s="77" t="s">
        <v>1076</v>
      </c>
      <c r="B55" s="42">
        <v>1.9999999999999999E-7</v>
      </c>
      <c r="C55" s="60">
        <f t="shared" ref="C55:AB55" si="129">IFERROR(C24/$B55,".")</f>
        <v>164.84417692066137</v>
      </c>
      <c r="D55" s="60">
        <f t="shared" si="129"/>
        <v>659.37670768264547</v>
      </c>
      <c r="E55" s="60">
        <f t="shared" si="129"/>
        <v>659.37670768264547</v>
      </c>
      <c r="F55" s="60">
        <f t="shared" si="129"/>
        <v>659.37670768264547</v>
      </c>
      <c r="G55" s="60">
        <f t="shared" si="129"/>
        <v>659.37670768264547</v>
      </c>
      <c r="H55" s="60">
        <f t="shared" si="129"/>
        <v>659.37670768264547</v>
      </c>
      <c r="I55" s="60">
        <f t="shared" si="129"/>
        <v>659.37670768264547</v>
      </c>
      <c r="J55" s="60">
        <f t="shared" si="129"/>
        <v>659.37670768264547</v>
      </c>
      <c r="K55" s="60">
        <f t="shared" si="129"/>
        <v>659.37670768264547</v>
      </c>
      <c r="L55" s="60">
        <f t="shared" si="129"/>
        <v>659.37670768264547</v>
      </c>
      <c r="M55" s="60">
        <f t="shared" si="129"/>
        <v>659.37670768264547</v>
      </c>
      <c r="N55" s="60">
        <f t="shared" si="129"/>
        <v>659.37670768264547</v>
      </c>
      <c r="O55" s="60">
        <f t="shared" si="129"/>
        <v>659.37670768264547</v>
      </c>
      <c r="P55" s="60">
        <f t="shared" si="129"/>
        <v>659.37670768264547</v>
      </c>
      <c r="Q55" s="60">
        <f t="shared" si="129"/>
        <v>659.37670768264547</v>
      </c>
      <c r="R55" s="60">
        <f t="shared" si="129"/>
        <v>659.37670768264547</v>
      </c>
      <c r="S55" s="60">
        <f t="shared" si="129"/>
        <v>659.37670768264547</v>
      </c>
      <c r="T55" s="60">
        <f t="shared" si="129"/>
        <v>659.37670768264547</v>
      </c>
      <c r="U55" s="60">
        <f t="shared" si="129"/>
        <v>659.37670768264547</v>
      </c>
      <c r="V55" s="60">
        <f t="shared" si="129"/>
        <v>659.37670768264547</v>
      </c>
      <c r="W55" s="60">
        <f t="shared" si="129"/>
        <v>659.37670768264547</v>
      </c>
      <c r="X55" s="60">
        <f t="shared" si="129"/>
        <v>659.37670768264547</v>
      </c>
      <c r="Y55" s="60">
        <f t="shared" si="129"/>
        <v>659.37670768264547</v>
      </c>
      <c r="Z55" s="60">
        <f t="shared" si="129"/>
        <v>659.37670768264547</v>
      </c>
      <c r="AA55" s="60">
        <f t="shared" si="129"/>
        <v>659.37670768264547</v>
      </c>
      <c r="AB55" s="60">
        <f t="shared" si="129"/>
        <v>659.37670768264547</v>
      </c>
      <c r="AC55" s="94">
        <f t="shared" si="116"/>
        <v>0.15165837499999998</v>
      </c>
      <c r="AD55" s="94">
        <f>IF(D55=".",".",up_RadSpec!$F$24*(AD24*$B55))</f>
        <v>3.7914593749999996E-2</v>
      </c>
      <c r="AE55" s="94">
        <f>IF(E55=".",".",up_RadSpec!$F$24*(AE24*$B55))</f>
        <v>3.7914593749999996E-2</v>
      </c>
      <c r="AF55" s="94">
        <f>IF(F55=".",".",up_RadSpec!$F$24*(AF24*$B55))</f>
        <v>3.7914593749999996E-2</v>
      </c>
      <c r="AG55" s="94">
        <f>IF(G55=".",".",up_RadSpec!$F$24*(AG24*$B55))</f>
        <v>3.7914593749999996E-2</v>
      </c>
      <c r="AH55" s="94">
        <f>IF(H55=".",".",up_RadSpec!$F$24*(AH24*$B55))</f>
        <v>3.7914593749999996E-2</v>
      </c>
      <c r="AI55" s="94">
        <f>IF(I55=".",".",up_RadSpec!$F$24*(AI24*$B55))</f>
        <v>3.7914593749999996E-2</v>
      </c>
      <c r="AJ55" s="94">
        <f>IF(J55=".",".",up_RadSpec!$F$24*(AJ24*$B55))</f>
        <v>3.7914593749999996E-2</v>
      </c>
      <c r="AK55" s="94">
        <f>IF(K55=".",".",up_RadSpec!$F$24*(AK24*$B55))</f>
        <v>3.7914593749999996E-2</v>
      </c>
      <c r="AL55" s="94">
        <f>IF(L55=".",".",up_RadSpec!$F$24*(AL24*$B55))</f>
        <v>3.7914593749999996E-2</v>
      </c>
      <c r="AM55" s="94">
        <f>IF(M55=".",".",up_RadSpec!$F$24*(AM24*$B55))</f>
        <v>3.7914593749999996E-2</v>
      </c>
      <c r="AN55" s="94">
        <f>IF(N55=".",".",up_RadSpec!$F$24*(AN24*$B55))</f>
        <v>3.7914593749999996E-2</v>
      </c>
      <c r="AO55" s="94">
        <f>IF(O55=".",".",up_RadSpec!$F$24*(AO24*$B55))</f>
        <v>3.7914593749999996E-2</v>
      </c>
      <c r="AP55" s="94">
        <f>IF(P55=".",".",up_RadSpec!$F$24*(AP24*$B55))</f>
        <v>3.7914593749999996E-2</v>
      </c>
      <c r="AQ55" s="94">
        <f>IF(Q55=".",".",up_RadSpec!$F$24*(AQ24*$B55))</f>
        <v>3.7914593749999996E-2</v>
      </c>
      <c r="AR55" s="94">
        <f>IF(R55=".",".",up_RadSpec!$F$24*(AR24*$B55))</f>
        <v>3.7914593749999996E-2</v>
      </c>
      <c r="AS55" s="94">
        <f>IF(S55=".",".",up_RadSpec!$F$24*(AS24*$B55))</f>
        <v>3.7914593749999996E-2</v>
      </c>
      <c r="AT55" s="94">
        <f>IF(T55=".",".",up_RadSpec!$F$24*(AT24*$B55))</f>
        <v>3.7914593749999996E-2</v>
      </c>
      <c r="AU55" s="94">
        <f>IF(U55=".",".",up_RadSpec!$F$24*(AU24*$B55))</f>
        <v>3.7914593749999996E-2</v>
      </c>
      <c r="AV55" s="94">
        <f>IF(V55=".",".",up_RadSpec!$F$24*(AV24*$B55))</f>
        <v>3.7914593749999996E-2</v>
      </c>
      <c r="AW55" s="94">
        <f>IF(W55=".",".",up_RadSpec!$F$24*(AW24*$B55))</f>
        <v>3.7914593749999996E-2</v>
      </c>
      <c r="AX55" s="94">
        <f>IF(X55=".",".",up_RadSpec!$F$24*(AX24*$B55))</f>
        <v>3.7914593749999996E-2</v>
      </c>
      <c r="AY55" s="94">
        <f>IF(Y55=".",".",up_RadSpec!$F$24*(AY24*$B55))</f>
        <v>3.7914593749999996E-2</v>
      </c>
      <c r="AZ55" s="94">
        <f>IF(Z55=".",".",up_RadSpec!$F$24*(AZ24*$B55))</f>
        <v>3.7914593749999996E-2</v>
      </c>
      <c r="BA55" s="94">
        <f>IF(AA55=".",".",up_RadSpec!$F$24*(BA24*$B55))</f>
        <v>3.7914593749999996E-2</v>
      </c>
      <c r="BB55" s="94">
        <f>IF(AB55=".",".",up_RadSpec!$F$24*(BB24*$B55))</f>
        <v>3.7914593749999996E-2</v>
      </c>
      <c r="BC55" s="60">
        <f t="shared" ref="BC55:CB55" si="130">IFERROR(BC24/$B55,".")</f>
        <v>164.84417692066137</v>
      </c>
      <c r="BD55" s="60">
        <f t="shared" si="130"/>
        <v>659.37670768264547</v>
      </c>
      <c r="BE55" s="60">
        <f t="shared" si="130"/>
        <v>659.37670768264547</v>
      </c>
      <c r="BF55" s="60">
        <f t="shared" si="130"/>
        <v>659.37670768264547</v>
      </c>
      <c r="BG55" s="60">
        <f t="shared" si="130"/>
        <v>659.37670768264547</v>
      </c>
      <c r="BH55" s="60">
        <f t="shared" si="130"/>
        <v>659.37670768264547</v>
      </c>
      <c r="BI55" s="60">
        <f t="shared" si="130"/>
        <v>659.37670768264547</v>
      </c>
      <c r="BJ55" s="60">
        <f t="shared" si="130"/>
        <v>659.37670768264547</v>
      </c>
      <c r="BK55" s="60">
        <f t="shared" si="130"/>
        <v>659.37670768264547</v>
      </c>
      <c r="BL55" s="60">
        <f t="shared" si="130"/>
        <v>659.37670768264547</v>
      </c>
      <c r="BM55" s="60">
        <f t="shared" si="130"/>
        <v>659.37670768264547</v>
      </c>
      <c r="BN55" s="60">
        <f t="shared" si="130"/>
        <v>659.37670768264547</v>
      </c>
      <c r="BO55" s="60">
        <f t="shared" si="130"/>
        <v>659.37670768264547</v>
      </c>
      <c r="BP55" s="60">
        <f t="shared" si="130"/>
        <v>659.37670768264547</v>
      </c>
      <c r="BQ55" s="60">
        <f t="shared" si="130"/>
        <v>659.37670768264547</v>
      </c>
      <c r="BR55" s="60">
        <f t="shared" si="130"/>
        <v>659.37670768264547</v>
      </c>
      <c r="BS55" s="60">
        <f t="shared" si="130"/>
        <v>659.37670768264547</v>
      </c>
      <c r="BT55" s="60">
        <f t="shared" si="130"/>
        <v>659.37670768264547</v>
      </c>
      <c r="BU55" s="60">
        <f t="shared" si="130"/>
        <v>659.37670768264547</v>
      </c>
      <c r="BV55" s="60">
        <f t="shared" si="130"/>
        <v>659.37670768264547</v>
      </c>
      <c r="BW55" s="60">
        <f t="shared" si="130"/>
        <v>659.37670768264547</v>
      </c>
      <c r="BX55" s="60">
        <f t="shared" si="130"/>
        <v>659.37670768264547</v>
      </c>
      <c r="BY55" s="60">
        <f t="shared" si="130"/>
        <v>659.37670768264547</v>
      </c>
      <c r="BZ55" s="60">
        <f t="shared" si="130"/>
        <v>659.37670768264547</v>
      </c>
      <c r="CA55" s="60">
        <f t="shared" si="130"/>
        <v>659.37670768264547</v>
      </c>
      <c r="CB55" s="60">
        <f t="shared" si="130"/>
        <v>659.37670768264547</v>
      </c>
      <c r="CC55" s="94">
        <f t="shared" si="118"/>
        <v>0.15165837499999998</v>
      </c>
      <c r="CD55" s="94">
        <f>IF(BD55=".",".",up_RadSpec!$F$24*(CD24*$B55))</f>
        <v>3.7914593749999996E-2</v>
      </c>
      <c r="CE55" s="94">
        <f>IF(BE55=".",".",up_RadSpec!$F$24*(CE24*$B55))</f>
        <v>3.7914593749999996E-2</v>
      </c>
      <c r="CF55" s="94">
        <f>IF(BF55=".",".",up_RadSpec!$F$24*(CF24*$B55))</f>
        <v>3.7914593749999996E-2</v>
      </c>
      <c r="CG55" s="94">
        <f>IF(BG55=".",".",up_RadSpec!$F$24*(CG24*$B55))</f>
        <v>3.7914593749999996E-2</v>
      </c>
      <c r="CH55" s="94">
        <f>IF(BH55=".",".",up_RadSpec!$F$24*(CH24*$B55))</f>
        <v>3.7914593749999996E-2</v>
      </c>
      <c r="CI55" s="94">
        <f>IF(BI55=".",".",up_RadSpec!$F$24*(CI24*$B55))</f>
        <v>3.7914593749999996E-2</v>
      </c>
      <c r="CJ55" s="94">
        <f>IF(BJ55=".",".",up_RadSpec!$F$24*(CJ24*$B55))</f>
        <v>3.7914593749999996E-2</v>
      </c>
      <c r="CK55" s="94">
        <f>IF(BK55=".",".",up_RadSpec!$F$24*(CK24*$B55))</f>
        <v>3.7914593749999996E-2</v>
      </c>
      <c r="CL55" s="94">
        <f>IF(BL55=".",".",up_RadSpec!$F$24*(CL24*$B55))</f>
        <v>3.7914593749999996E-2</v>
      </c>
      <c r="CM55" s="94">
        <f>IF(BM55=".",".",up_RadSpec!$F$24*(CM24*$B55))</f>
        <v>3.7914593749999996E-2</v>
      </c>
      <c r="CN55" s="94">
        <f>IF(BN55=".",".",up_RadSpec!$F$24*(CN24*$B55))</f>
        <v>3.7914593749999996E-2</v>
      </c>
      <c r="CO55" s="94">
        <f>IF(BO55=".",".",up_RadSpec!$F$24*(CO24*$B55))</f>
        <v>3.7914593749999996E-2</v>
      </c>
      <c r="CP55" s="94">
        <f>IF(BP55=".",".",up_RadSpec!$F$24*(CP24*$B55))</f>
        <v>3.7914593749999996E-2</v>
      </c>
      <c r="CQ55" s="94">
        <f>IF(BQ55=".",".",up_RadSpec!$F$24*(CQ24*$B55))</f>
        <v>3.7914593749999996E-2</v>
      </c>
      <c r="CR55" s="94">
        <f>IF(BR55=".",".",up_RadSpec!$F$24*(CR24*$B55))</f>
        <v>3.7914593749999996E-2</v>
      </c>
      <c r="CS55" s="94">
        <f>IF(BS55=".",".",up_RadSpec!$F$24*(CS24*$B55))</f>
        <v>3.7914593749999996E-2</v>
      </c>
      <c r="CT55" s="94">
        <f>IF(BT55=".",".",up_RadSpec!$F$24*(CT24*$B55))</f>
        <v>3.7914593749999996E-2</v>
      </c>
      <c r="CU55" s="94">
        <f>IF(BU55=".",".",up_RadSpec!$F$24*(CU24*$B55))</f>
        <v>3.7914593749999996E-2</v>
      </c>
      <c r="CV55" s="94">
        <f>IF(BV55=".",".",up_RadSpec!$F$24*(CV24*$B55))</f>
        <v>3.7914593749999996E-2</v>
      </c>
      <c r="CW55" s="94">
        <f>IF(BW55=".",".",up_RadSpec!$F$24*(CW24*$B55))</f>
        <v>3.7914593749999996E-2</v>
      </c>
      <c r="CX55" s="94">
        <f>IF(BX55=".",".",up_RadSpec!$F$24*(CX24*$B55))</f>
        <v>3.7914593749999996E-2</v>
      </c>
      <c r="CY55" s="94">
        <f>IF(BY55=".",".",up_RadSpec!$F$24*(CY24*$B55))</f>
        <v>3.7914593749999996E-2</v>
      </c>
      <c r="CZ55" s="94">
        <f>IF(BZ55=".",".",up_RadSpec!$F$24*(CZ24*$B55))</f>
        <v>3.7914593749999996E-2</v>
      </c>
      <c r="DA55" s="94">
        <f>IF(CA55=".",".",up_RadSpec!$F$24*(DA24*$B55))</f>
        <v>3.7914593749999996E-2</v>
      </c>
      <c r="DB55" s="94">
        <f>IF(CB55=".",".",up_RadSpec!$F$24*(DB24*$B55))</f>
        <v>3.7914593749999996E-2</v>
      </c>
    </row>
    <row r="56" spans="1:106" x14ac:dyDescent="0.25">
      <c r="A56" s="77" t="s">
        <v>1077</v>
      </c>
      <c r="B56" s="42">
        <v>0.99979000004200003</v>
      </c>
      <c r="C56" s="60">
        <f t="shared" ref="C56:AB56" si="131">IFERROR(C20/$B56,".")</f>
        <v>3.2975760292408697E-5</v>
      </c>
      <c r="D56" s="60">
        <f t="shared" si="131"/>
        <v>1.3190304116963479E-4</v>
      </c>
      <c r="E56" s="60">
        <f t="shared" si="131"/>
        <v>1.3190304116963479E-4</v>
      </c>
      <c r="F56" s="60">
        <f t="shared" si="131"/>
        <v>1.3190304116963479E-4</v>
      </c>
      <c r="G56" s="60">
        <f t="shared" si="131"/>
        <v>1.3190304116963479E-4</v>
      </c>
      <c r="H56" s="60">
        <f t="shared" si="131"/>
        <v>1.3190304116963479E-4</v>
      </c>
      <c r="I56" s="60">
        <f t="shared" si="131"/>
        <v>1.3190304116963479E-4</v>
      </c>
      <c r="J56" s="60">
        <f t="shared" si="131"/>
        <v>1.3190304116963479E-4</v>
      </c>
      <c r="K56" s="60">
        <f t="shared" si="131"/>
        <v>1.3190304116963479E-4</v>
      </c>
      <c r="L56" s="60">
        <f t="shared" si="131"/>
        <v>1.3190304116963479E-4</v>
      </c>
      <c r="M56" s="60">
        <f t="shared" si="131"/>
        <v>1.3190304116963479E-4</v>
      </c>
      <c r="N56" s="60">
        <f t="shared" si="131"/>
        <v>1.3190304116963479E-4</v>
      </c>
      <c r="O56" s="60">
        <f t="shared" si="131"/>
        <v>1.3190304116963479E-4</v>
      </c>
      <c r="P56" s="60">
        <f t="shared" si="131"/>
        <v>1.3190304116963479E-4</v>
      </c>
      <c r="Q56" s="60">
        <f t="shared" si="131"/>
        <v>1.3190304116963479E-4</v>
      </c>
      <c r="R56" s="60">
        <f t="shared" si="131"/>
        <v>1.3190304116963479E-4</v>
      </c>
      <c r="S56" s="60">
        <f t="shared" si="131"/>
        <v>1.3190304116963479E-4</v>
      </c>
      <c r="T56" s="60">
        <f t="shared" si="131"/>
        <v>1.3190304116963479E-4</v>
      </c>
      <c r="U56" s="60">
        <f t="shared" si="131"/>
        <v>1.3190304116963479E-4</v>
      </c>
      <c r="V56" s="60">
        <f t="shared" si="131"/>
        <v>1.3190304116963479E-4</v>
      </c>
      <c r="W56" s="60">
        <f t="shared" si="131"/>
        <v>1.3190304116963479E-4</v>
      </c>
      <c r="X56" s="60">
        <f t="shared" si="131"/>
        <v>1.3190304116963479E-4</v>
      </c>
      <c r="Y56" s="60">
        <f t="shared" si="131"/>
        <v>1.3190304116963479E-4</v>
      </c>
      <c r="Z56" s="60">
        <f t="shared" si="131"/>
        <v>1.3190304116963479E-4</v>
      </c>
      <c r="AA56" s="60">
        <f t="shared" si="131"/>
        <v>1.3190304116963479E-4</v>
      </c>
      <c r="AB56" s="60">
        <f t="shared" si="131"/>
        <v>1.3190304116963479E-4</v>
      </c>
      <c r="AC56" s="94">
        <f t="shared" si="116"/>
        <v>758132.6337380982</v>
      </c>
      <c r="AD56" s="94">
        <f>IF(D56=".",".",up_RadSpec!$F$20*(AD20*$B56))</f>
        <v>189533.15843452455</v>
      </c>
      <c r="AE56" s="94">
        <f>IF(E56=".",".",up_RadSpec!$F$20*(AE20*$B56))</f>
        <v>189533.15843452455</v>
      </c>
      <c r="AF56" s="94">
        <f>IF(F56=".",".",up_RadSpec!$F$20*(AF20*$B56))</f>
        <v>189533.15843452455</v>
      </c>
      <c r="AG56" s="94">
        <f>IF(G56=".",".",up_RadSpec!$F$20*(AG20*$B56))</f>
        <v>189533.15843452455</v>
      </c>
      <c r="AH56" s="94">
        <f>IF(H56=".",".",up_RadSpec!$F$20*(AH20*$B56))</f>
        <v>189533.15843452455</v>
      </c>
      <c r="AI56" s="94">
        <f>IF(I56=".",".",up_RadSpec!$F$20*(AI20*$B56))</f>
        <v>189533.15843452455</v>
      </c>
      <c r="AJ56" s="94">
        <f>IF(J56=".",".",up_RadSpec!$F$20*(AJ20*$B56))</f>
        <v>189533.15843452455</v>
      </c>
      <c r="AK56" s="94">
        <f>IF(K56=".",".",up_RadSpec!$F$20*(AK20*$B56))</f>
        <v>189533.15843452455</v>
      </c>
      <c r="AL56" s="94">
        <f>IF(L56=".",".",up_RadSpec!$F$20*(AL20*$B56))</f>
        <v>189533.15843452455</v>
      </c>
      <c r="AM56" s="94">
        <f>IF(M56=".",".",up_RadSpec!$F$20*(AM20*$B56))</f>
        <v>189533.15843452455</v>
      </c>
      <c r="AN56" s="94">
        <f>IF(N56=".",".",up_RadSpec!$F$20*(AN20*$B56))</f>
        <v>189533.15843452455</v>
      </c>
      <c r="AO56" s="94">
        <f>IF(O56=".",".",up_RadSpec!$F$20*(AO20*$B56))</f>
        <v>189533.15843452455</v>
      </c>
      <c r="AP56" s="94">
        <f>IF(P56=".",".",up_RadSpec!$F$20*(AP20*$B56))</f>
        <v>189533.15843452455</v>
      </c>
      <c r="AQ56" s="94">
        <f>IF(Q56=".",".",up_RadSpec!$F$20*(AQ20*$B56))</f>
        <v>189533.15843452455</v>
      </c>
      <c r="AR56" s="94">
        <f>IF(R56=".",".",up_RadSpec!$F$20*(AR20*$B56))</f>
        <v>189533.15843452455</v>
      </c>
      <c r="AS56" s="94">
        <f>IF(S56=".",".",up_RadSpec!$F$20*(AS20*$B56))</f>
        <v>189533.15843452455</v>
      </c>
      <c r="AT56" s="94">
        <f>IF(T56=".",".",up_RadSpec!$F$20*(AT20*$B56))</f>
        <v>189533.15843452455</v>
      </c>
      <c r="AU56" s="94">
        <f>IF(U56=".",".",up_RadSpec!$F$20*(AU20*$B56))</f>
        <v>189533.15843452455</v>
      </c>
      <c r="AV56" s="94">
        <f>IF(V56=".",".",up_RadSpec!$F$20*(AV20*$B56))</f>
        <v>189533.15843452455</v>
      </c>
      <c r="AW56" s="94">
        <f>IF(W56=".",".",up_RadSpec!$F$20*(AW20*$B56))</f>
        <v>189533.15843452455</v>
      </c>
      <c r="AX56" s="94">
        <f>IF(X56=".",".",up_RadSpec!$F$20*(AX20*$B56))</f>
        <v>189533.15843452455</v>
      </c>
      <c r="AY56" s="94">
        <f>IF(Y56=".",".",up_RadSpec!$F$20*(AY20*$B56))</f>
        <v>189533.15843452455</v>
      </c>
      <c r="AZ56" s="94">
        <f>IF(Z56=".",".",up_RadSpec!$F$20*(AZ20*$B56))</f>
        <v>189533.15843452455</v>
      </c>
      <c r="BA56" s="94">
        <f>IF(AA56=".",".",up_RadSpec!$F$20*(BA20*$B56))</f>
        <v>189533.15843452455</v>
      </c>
      <c r="BB56" s="94">
        <f>IF(AB56=".",".",up_RadSpec!$F$20*(BB20*$B56))</f>
        <v>189533.15843452455</v>
      </c>
      <c r="BC56" s="60">
        <f t="shared" ref="BC56:CB56" si="132">IFERROR(BC20/$B56,".")</f>
        <v>3.2975760292408697E-5</v>
      </c>
      <c r="BD56" s="60">
        <f t="shared" si="132"/>
        <v>1.3190304116963479E-4</v>
      </c>
      <c r="BE56" s="60">
        <f t="shared" si="132"/>
        <v>1.3190304116963479E-4</v>
      </c>
      <c r="BF56" s="60">
        <f t="shared" si="132"/>
        <v>1.3190304116963479E-4</v>
      </c>
      <c r="BG56" s="60">
        <f t="shared" si="132"/>
        <v>1.3190304116963479E-4</v>
      </c>
      <c r="BH56" s="60">
        <f t="shared" si="132"/>
        <v>1.3190304116963479E-4</v>
      </c>
      <c r="BI56" s="60">
        <f t="shared" si="132"/>
        <v>1.3190304116963479E-4</v>
      </c>
      <c r="BJ56" s="60">
        <f t="shared" si="132"/>
        <v>1.3190304116963479E-4</v>
      </c>
      <c r="BK56" s="60">
        <f t="shared" si="132"/>
        <v>1.3190304116963479E-4</v>
      </c>
      <c r="BL56" s="60">
        <f t="shared" si="132"/>
        <v>1.3190304116963479E-4</v>
      </c>
      <c r="BM56" s="60">
        <f t="shared" si="132"/>
        <v>1.3190304116963479E-4</v>
      </c>
      <c r="BN56" s="60">
        <f t="shared" si="132"/>
        <v>1.3190304116963479E-4</v>
      </c>
      <c r="BO56" s="60">
        <f t="shared" si="132"/>
        <v>1.3190304116963479E-4</v>
      </c>
      <c r="BP56" s="60">
        <f t="shared" si="132"/>
        <v>1.3190304116963479E-4</v>
      </c>
      <c r="BQ56" s="60">
        <f t="shared" si="132"/>
        <v>1.3190304116963479E-4</v>
      </c>
      <c r="BR56" s="60">
        <f t="shared" si="132"/>
        <v>1.3190304116963479E-4</v>
      </c>
      <c r="BS56" s="60">
        <f t="shared" si="132"/>
        <v>1.3190304116963479E-4</v>
      </c>
      <c r="BT56" s="60">
        <f t="shared" si="132"/>
        <v>1.3190304116963479E-4</v>
      </c>
      <c r="BU56" s="60">
        <f t="shared" si="132"/>
        <v>1.3190304116963479E-4</v>
      </c>
      <c r="BV56" s="60">
        <f t="shared" si="132"/>
        <v>1.3190304116963479E-4</v>
      </c>
      <c r="BW56" s="60">
        <f t="shared" si="132"/>
        <v>1.3190304116963479E-4</v>
      </c>
      <c r="BX56" s="60">
        <f t="shared" si="132"/>
        <v>1.3190304116963479E-4</v>
      </c>
      <c r="BY56" s="60">
        <f t="shared" si="132"/>
        <v>1.3190304116963479E-4</v>
      </c>
      <c r="BZ56" s="60">
        <f t="shared" si="132"/>
        <v>1.3190304116963479E-4</v>
      </c>
      <c r="CA56" s="60">
        <f t="shared" si="132"/>
        <v>1.3190304116963479E-4</v>
      </c>
      <c r="CB56" s="60">
        <f t="shared" si="132"/>
        <v>1.3190304116963479E-4</v>
      </c>
      <c r="CC56" s="94">
        <f t="shared" si="118"/>
        <v>758132.6337380982</v>
      </c>
      <c r="CD56" s="94">
        <f>IF(BD56=".",".",up_RadSpec!$F$20*(CD20*$B56))</f>
        <v>189533.15843452455</v>
      </c>
      <c r="CE56" s="94">
        <f>IF(BE56=".",".",up_RadSpec!$F$20*(CE20*$B56))</f>
        <v>189533.15843452455</v>
      </c>
      <c r="CF56" s="94">
        <f>IF(BF56=".",".",up_RadSpec!$F$20*(CF20*$B56))</f>
        <v>189533.15843452455</v>
      </c>
      <c r="CG56" s="94">
        <f>IF(BG56=".",".",up_RadSpec!$F$20*(CG20*$B56))</f>
        <v>189533.15843452455</v>
      </c>
      <c r="CH56" s="94">
        <f>IF(BH56=".",".",up_RadSpec!$F$20*(CH20*$B56))</f>
        <v>189533.15843452455</v>
      </c>
      <c r="CI56" s="94">
        <f>IF(BI56=".",".",up_RadSpec!$F$20*(CI20*$B56))</f>
        <v>189533.15843452455</v>
      </c>
      <c r="CJ56" s="94">
        <f>IF(BJ56=".",".",up_RadSpec!$F$20*(CJ20*$B56))</f>
        <v>189533.15843452455</v>
      </c>
      <c r="CK56" s="94">
        <f>IF(BK56=".",".",up_RadSpec!$F$20*(CK20*$B56))</f>
        <v>189533.15843452455</v>
      </c>
      <c r="CL56" s="94">
        <f>IF(BL56=".",".",up_RadSpec!$F$20*(CL20*$B56))</f>
        <v>189533.15843452455</v>
      </c>
      <c r="CM56" s="94">
        <f>IF(BM56=".",".",up_RadSpec!$F$20*(CM20*$B56))</f>
        <v>189533.15843452455</v>
      </c>
      <c r="CN56" s="94">
        <f>IF(BN56=".",".",up_RadSpec!$F$20*(CN20*$B56))</f>
        <v>189533.15843452455</v>
      </c>
      <c r="CO56" s="94">
        <f>IF(BO56=".",".",up_RadSpec!$F$20*(CO20*$B56))</f>
        <v>189533.15843452455</v>
      </c>
      <c r="CP56" s="94">
        <f>IF(BP56=".",".",up_RadSpec!$F$20*(CP20*$B56))</f>
        <v>189533.15843452455</v>
      </c>
      <c r="CQ56" s="94">
        <f>IF(BQ56=".",".",up_RadSpec!$F$20*(CQ20*$B56))</f>
        <v>189533.15843452455</v>
      </c>
      <c r="CR56" s="94">
        <f>IF(BR56=".",".",up_RadSpec!$F$20*(CR20*$B56))</f>
        <v>189533.15843452455</v>
      </c>
      <c r="CS56" s="94">
        <f>IF(BS56=".",".",up_RadSpec!$F$20*(CS20*$B56))</f>
        <v>189533.15843452455</v>
      </c>
      <c r="CT56" s="94">
        <f>IF(BT56=".",".",up_RadSpec!$F$20*(CT20*$B56))</f>
        <v>189533.15843452455</v>
      </c>
      <c r="CU56" s="94">
        <f>IF(BU56=".",".",up_RadSpec!$F$20*(CU20*$B56))</f>
        <v>189533.15843452455</v>
      </c>
      <c r="CV56" s="94">
        <f>IF(BV56=".",".",up_RadSpec!$F$20*(CV20*$B56))</f>
        <v>189533.15843452455</v>
      </c>
      <c r="CW56" s="94">
        <f>IF(BW56=".",".",up_RadSpec!$F$20*(CW20*$B56))</f>
        <v>189533.15843452455</v>
      </c>
      <c r="CX56" s="94">
        <f>IF(BX56=".",".",up_RadSpec!$F$20*(CX20*$B56))</f>
        <v>189533.15843452455</v>
      </c>
      <c r="CY56" s="94">
        <f>IF(BY56=".",".",up_RadSpec!$F$20*(CY20*$B56))</f>
        <v>189533.15843452455</v>
      </c>
      <c r="CZ56" s="94">
        <f>IF(BZ56=".",".",up_RadSpec!$F$20*(CZ20*$B56))</f>
        <v>189533.15843452455</v>
      </c>
      <c r="DA56" s="94">
        <f>IF(CA56=".",".",up_RadSpec!$F$20*(DA20*$B56))</f>
        <v>189533.15843452455</v>
      </c>
      <c r="DB56" s="94">
        <f>IF(CB56=".",".",up_RadSpec!$F$20*(DB20*$B56))</f>
        <v>189533.15843452455</v>
      </c>
    </row>
    <row r="57" spans="1:106" x14ac:dyDescent="0.25">
      <c r="A57" s="77" t="s">
        <v>1078</v>
      </c>
      <c r="B57" s="42">
        <v>2.0999995799999999E-4</v>
      </c>
      <c r="C57" s="60">
        <f t="shared" ref="C57:AB57" si="133">IFERROR(C29/$B57,".")</f>
        <v>0.1569944856090508</v>
      </c>
      <c r="D57" s="60">
        <f t="shared" si="133"/>
        <v>0.6279779424362032</v>
      </c>
      <c r="E57" s="60">
        <f t="shared" si="133"/>
        <v>0.6279779424362032</v>
      </c>
      <c r="F57" s="60">
        <f t="shared" si="133"/>
        <v>0.6279779424362032</v>
      </c>
      <c r="G57" s="60">
        <f t="shared" si="133"/>
        <v>0.6279779424362032</v>
      </c>
      <c r="H57" s="60">
        <f t="shared" si="133"/>
        <v>0.6279779424362032</v>
      </c>
      <c r="I57" s="60">
        <f t="shared" si="133"/>
        <v>0.6279779424362032</v>
      </c>
      <c r="J57" s="60">
        <f t="shared" si="133"/>
        <v>0.6279779424362032</v>
      </c>
      <c r="K57" s="60">
        <f t="shared" si="133"/>
        <v>0.6279779424362032</v>
      </c>
      <c r="L57" s="60">
        <f t="shared" si="133"/>
        <v>0.6279779424362032</v>
      </c>
      <c r="M57" s="60">
        <f t="shared" si="133"/>
        <v>0.6279779424362032</v>
      </c>
      <c r="N57" s="60">
        <f t="shared" si="133"/>
        <v>0.6279779424362032</v>
      </c>
      <c r="O57" s="60">
        <f t="shared" si="133"/>
        <v>0.6279779424362032</v>
      </c>
      <c r="P57" s="60">
        <f t="shared" si="133"/>
        <v>0.6279779424362032</v>
      </c>
      <c r="Q57" s="60">
        <f t="shared" si="133"/>
        <v>0.6279779424362032</v>
      </c>
      <c r="R57" s="60">
        <f t="shared" si="133"/>
        <v>0.6279779424362032</v>
      </c>
      <c r="S57" s="60">
        <f t="shared" si="133"/>
        <v>0.6279779424362032</v>
      </c>
      <c r="T57" s="60">
        <f t="shared" si="133"/>
        <v>0.6279779424362032</v>
      </c>
      <c r="U57" s="60">
        <f t="shared" si="133"/>
        <v>0.6279779424362032</v>
      </c>
      <c r="V57" s="60">
        <f t="shared" si="133"/>
        <v>0.6279779424362032</v>
      </c>
      <c r="W57" s="60">
        <f t="shared" si="133"/>
        <v>0.6279779424362032</v>
      </c>
      <c r="X57" s="60">
        <f t="shared" si="133"/>
        <v>0.6279779424362032</v>
      </c>
      <c r="Y57" s="60">
        <f t="shared" si="133"/>
        <v>0.6279779424362032</v>
      </c>
      <c r="Z57" s="60">
        <f t="shared" si="133"/>
        <v>0.6279779424362032</v>
      </c>
      <c r="AA57" s="60">
        <f t="shared" si="133"/>
        <v>0.6279779424362032</v>
      </c>
      <c r="AB57" s="60">
        <f t="shared" si="133"/>
        <v>0.6279779424362032</v>
      </c>
      <c r="AC57" s="94">
        <f t="shared" si="116"/>
        <v>159.24126190174124</v>
      </c>
      <c r="AD57" s="94">
        <f>IF(D57=".",".",up_RadSpec!$F$29*(AD29*$B57))</f>
        <v>39.81031547543531</v>
      </c>
      <c r="AE57" s="94">
        <f>IF(E57=".",".",up_RadSpec!$F$29*(AE29*$B57))</f>
        <v>39.81031547543531</v>
      </c>
      <c r="AF57" s="94">
        <f>IF(F57=".",".",up_RadSpec!$F$29*(AF29*$B57))</f>
        <v>39.81031547543531</v>
      </c>
      <c r="AG57" s="94">
        <f>IF(G57=".",".",up_RadSpec!$F$29*(AG29*$B57))</f>
        <v>39.81031547543531</v>
      </c>
      <c r="AH57" s="94">
        <f>IF(H57=".",".",up_RadSpec!$F$29*(AH29*$B57))</f>
        <v>39.81031547543531</v>
      </c>
      <c r="AI57" s="94">
        <f>IF(I57=".",".",up_RadSpec!$F$29*(AI29*$B57))</f>
        <v>39.81031547543531</v>
      </c>
      <c r="AJ57" s="94">
        <f>IF(J57=".",".",up_RadSpec!$F$29*(AJ29*$B57))</f>
        <v>39.81031547543531</v>
      </c>
      <c r="AK57" s="94">
        <f>IF(K57=".",".",up_RadSpec!$F$29*(AK29*$B57))</f>
        <v>39.81031547543531</v>
      </c>
      <c r="AL57" s="94">
        <f>IF(L57=".",".",up_RadSpec!$F$29*(AL29*$B57))</f>
        <v>39.81031547543531</v>
      </c>
      <c r="AM57" s="94">
        <f>IF(M57=".",".",up_RadSpec!$F$29*(AM29*$B57))</f>
        <v>39.81031547543531</v>
      </c>
      <c r="AN57" s="94">
        <f>IF(N57=".",".",up_RadSpec!$F$29*(AN29*$B57))</f>
        <v>39.81031547543531</v>
      </c>
      <c r="AO57" s="94">
        <f>IF(O57=".",".",up_RadSpec!$F$29*(AO29*$B57))</f>
        <v>39.81031547543531</v>
      </c>
      <c r="AP57" s="94">
        <f>IF(P57=".",".",up_RadSpec!$F$29*(AP29*$B57))</f>
        <v>39.81031547543531</v>
      </c>
      <c r="AQ57" s="94">
        <f>IF(Q57=".",".",up_RadSpec!$F$29*(AQ29*$B57))</f>
        <v>39.81031547543531</v>
      </c>
      <c r="AR57" s="94">
        <f>IF(R57=".",".",up_RadSpec!$F$29*(AR29*$B57))</f>
        <v>39.81031547543531</v>
      </c>
      <c r="AS57" s="94">
        <f>IF(S57=".",".",up_RadSpec!$F$29*(AS29*$B57))</f>
        <v>39.81031547543531</v>
      </c>
      <c r="AT57" s="94">
        <f>IF(T57=".",".",up_RadSpec!$F$29*(AT29*$B57))</f>
        <v>39.81031547543531</v>
      </c>
      <c r="AU57" s="94">
        <f>IF(U57=".",".",up_RadSpec!$F$29*(AU29*$B57))</f>
        <v>39.81031547543531</v>
      </c>
      <c r="AV57" s="94">
        <f>IF(V57=".",".",up_RadSpec!$F$29*(AV29*$B57))</f>
        <v>39.81031547543531</v>
      </c>
      <c r="AW57" s="94">
        <f>IF(W57=".",".",up_RadSpec!$F$29*(AW29*$B57))</f>
        <v>39.81031547543531</v>
      </c>
      <c r="AX57" s="94">
        <f>IF(X57=".",".",up_RadSpec!$F$29*(AX29*$B57))</f>
        <v>39.81031547543531</v>
      </c>
      <c r="AY57" s="94">
        <f>IF(Y57=".",".",up_RadSpec!$F$29*(AY29*$B57))</f>
        <v>39.81031547543531</v>
      </c>
      <c r="AZ57" s="94">
        <f>IF(Z57=".",".",up_RadSpec!$F$29*(AZ29*$B57))</f>
        <v>39.81031547543531</v>
      </c>
      <c r="BA57" s="94">
        <f>IF(AA57=".",".",up_RadSpec!$F$29*(BA29*$B57))</f>
        <v>39.81031547543531</v>
      </c>
      <c r="BB57" s="94">
        <f>IF(AB57=".",".",up_RadSpec!$F$29*(BB29*$B57))</f>
        <v>39.81031547543531</v>
      </c>
      <c r="BC57" s="60">
        <f t="shared" ref="BC57:CB57" si="134">IFERROR(BC29/$B57,".")</f>
        <v>0.1569944856090508</v>
      </c>
      <c r="BD57" s="60">
        <f t="shared" si="134"/>
        <v>0.6279779424362032</v>
      </c>
      <c r="BE57" s="60">
        <f t="shared" si="134"/>
        <v>0.6279779424362032</v>
      </c>
      <c r="BF57" s="60">
        <f t="shared" si="134"/>
        <v>0.6279779424362032</v>
      </c>
      <c r="BG57" s="60">
        <f t="shared" si="134"/>
        <v>0.6279779424362032</v>
      </c>
      <c r="BH57" s="60">
        <f t="shared" si="134"/>
        <v>0.6279779424362032</v>
      </c>
      <c r="BI57" s="60">
        <f t="shared" si="134"/>
        <v>0.6279779424362032</v>
      </c>
      <c r="BJ57" s="60">
        <f t="shared" si="134"/>
        <v>0.6279779424362032</v>
      </c>
      <c r="BK57" s="60">
        <f t="shared" si="134"/>
        <v>0.6279779424362032</v>
      </c>
      <c r="BL57" s="60">
        <f t="shared" si="134"/>
        <v>0.6279779424362032</v>
      </c>
      <c r="BM57" s="60">
        <f t="shared" si="134"/>
        <v>0.6279779424362032</v>
      </c>
      <c r="BN57" s="60">
        <f t="shared" si="134"/>
        <v>0.6279779424362032</v>
      </c>
      <c r="BO57" s="60">
        <f t="shared" si="134"/>
        <v>0.6279779424362032</v>
      </c>
      <c r="BP57" s="60">
        <f t="shared" si="134"/>
        <v>0.6279779424362032</v>
      </c>
      <c r="BQ57" s="60">
        <f t="shared" si="134"/>
        <v>0.6279779424362032</v>
      </c>
      <c r="BR57" s="60">
        <f t="shared" si="134"/>
        <v>0.6279779424362032</v>
      </c>
      <c r="BS57" s="60">
        <f t="shared" si="134"/>
        <v>0.6279779424362032</v>
      </c>
      <c r="BT57" s="60">
        <f t="shared" si="134"/>
        <v>0.6279779424362032</v>
      </c>
      <c r="BU57" s="60">
        <f t="shared" si="134"/>
        <v>0.6279779424362032</v>
      </c>
      <c r="BV57" s="60">
        <f t="shared" si="134"/>
        <v>0.6279779424362032</v>
      </c>
      <c r="BW57" s="60">
        <f t="shared" si="134"/>
        <v>0.6279779424362032</v>
      </c>
      <c r="BX57" s="60">
        <f t="shared" si="134"/>
        <v>0.6279779424362032</v>
      </c>
      <c r="BY57" s="60">
        <f t="shared" si="134"/>
        <v>0.6279779424362032</v>
      </c>
      <c r="BZ57" s="60">
        <f t="shared" si="134"/>
        <v>0.6279779424362032</v>
      </c>
      <c r="CA57" s="60">
        <f t="shared" si="134"/>
        <v>0.6279779424362032</v>
      </c>
      <c r="CB57" s="60">
        <f t="shared" si="134"/>
        <v>0.6279779424362032</v>
      </c>
      <c r="CC57" s="94">
        <f t="shared" si="118"/>
        <v>159.24126190174124</v>
      </c>
      <c r="CD57" s="94">
        <f>IF(BD57=".",".",up_RadSpec!$F$29*(CD29*$B57))</f>
        <v>39.81031547543531</v>
      </c>
      <c r="CE57" s="94">
        <f>IF(BE57=".",".",up_RadSpec!$F$29*(CE29*$B57))</f>
        <v>39.81031547543531</v>
      </c>
      <c r="CF57" s="94">
        <f>IF(BF57=".",".",up_RadSpec!$F$29*(CF29*$B57))</f>
        <v>39.81031547543531</v>
      </c>
      <c r="CG57" s="94">
        <f>IF(BG57=".",".",up_RadSpec!$F$29*(CG29*$B57))</f>
        <v>39.81031547543531</v>
      </c>
      <c r="CH57" s="94">
        <f>IF(BH57=".",".",up_RadSpec!$F$29*(CH29*$B57))</f>
        <v>39.81031547543531</v>
      </c>
      <c r="CI57" s="94">
        <f>IF(BI57=".",".",up_RadSpec!$F$29*(CI29*$B57))</f>
        <v>39.81031547543531</v>
      </c>
      <c r="CJ57" s="94">
        <f>IF(BJ57=".",".",up_RadSpec!$F$29*(CJ29*$B57))</f>
        <v>39.81031547543531</v>
      </c>
      <c r="CK57" s="94">
        <f>IF(BK57=".",".",up_RadSpec!$F$29*(CK29*$B57))</f>
        <v>39.81031547543531</v>
      </c>
      <c r="CL57" s="94">
        <f>IF(BL57=".",".",up_RadSpec!$F$29*(CL29*$B57))</f>
        <v>39.81031547543531</v>
      </c>
      <c r="CM57" s="94">
        <f>IF(BM57=".",".",up_RadSpec!$F$29*(CM29*$B57))</f>
        <v>39.81031547543531</v>
      </c>
      <c r="CN57" s="94">
        <f>IF(BN57=".",".",up_RadSpec!$F$29*(CN29*$B57))</f>
        <v>39.81031547543531</v>
      </c>
      <c r="CO57" s="94">
        <f>IF(BO57=".",".",up_RadSpec!$F$29*(CO29*$B57))</f>
        <v>39.81031547543531</v>
      </c>
      <c r="CP57" s="94">
        <f>IF(BP57=".",".",up_RadSpec!$F$29*(CP29*$B57))</f>
        <v>39.81031547543531</v>
      </c>
      <c r="CQ57" s="94">
        <f>IF(BQ57=".",".",up_RadSpec!$F$29*(CQ29*$B57))</f>
        <v>39.81031547543531</v>
      </c>
      <c r="CR57" s="94">
        <f>IF(BR57=".",".",up_RadSpec!$F$29*(CR29*$B57))</f>
        <v>39.81031547543531</v>
      </c>
      <c r="CS57" s="94">
        <f>IF(BS57=".",".",up_RadSpec!$F$29*(CS29*$B57))</f>
        <v>39.81031547543531</v>
      </c>
      <c r="CT57" s="94">
        <f>IF(BT57=".",".",up_RadSpec!$F$29*(CT29*$B57))</f>
        <v>39.81031547543531</v>
      </c>
      <c r="CU57" s="94">
        <f>IF(BU57=".",".",up_RadSpec!$F$29*(CU29*$B57))</f>
        <v>39.81031547543531</v>
      </c>
      <c r="CV57" s="94">
        <f>IF(BV57=".",".",up_RadSpec!$F$29*(CV29*$B57))</f>
        <v>39.81031547543531</v>
      </c>
      <c r="CW57" s="94">
        <f>IF(BW57=".",".",up_RadSpec!$F$29*(CW29*$B57))</f>
        <v>39.81031547543531</v>
      </c>
      <c r="CX57" s="94">
        <f>IF(BX57=".",".",up_RadSpec!$F$29*(CX29*$B57))</f>
        <v>39.81031547543531</v>
      </c>
      <c r="CY57" s="94">
        <f>IF(BY57=".",".",up_RadSpec!$F$29*(CY29*$B57))</f>
        <v>39.81031547543531</v>
      </c>
      <c r="CZ57" s="94">
        <f>IF(BZ57=".",".",up_RadSpec!$F$29*(CZ29*$B57))</f>
        <v>39.81031547543531</v>
      </c>
      <c r="DA57" s="94">
        <f>IF(CA57=".",".",up_RadSpec!$F$29*(DA29*$B57))</f>
        <v>39.81031547543531</v>
      </c>
      <c r="DB57" s="94">
        <f>IF(CB57=".",".",up_RadSpec!$F$29*(DB29*$B57))</f>
        <v>39.81031547543531</v>
      </c>
    </row>
    <row r="58" spans="1:106" x14ac:dyDescent="0.25">
      <c r="A58" s="77" t="s">
        <v>1079</v>
      </c>
      <c r="B58" s="42">
        <v>1</v>
      </c>
      <c r="C58" s="60">
        <f t="shared" ref="C58:AB58" si="135">IFERROR(C16/$B58,".")</f>
        <v>3.2968835384132272E-5</v>
      </c>
      <c r="D58" s="60">
        <f t="shared" si="135"/>
        <v>1.3187534153652909E-4</v>
      </c>
      <c r="E58" s="60">
        <f t="shared" si="135"/>
        <v>1.3187534153652909E-4</v>
      </c>
      <c r="F58" s="60">
        <f t="shared" si="135"/>
        <v>1.3187534153652909E-4</v>
      </c>
      <c r="G58" s="60">
        <f t="shared" si="135"/>
        <v>1.3187534153652909E-4</v>
      </c>
      <c r="H58" s="60">
        <f t="shared" si="135"/>
        <v>1.3187534153652909E-4</v>
      </c>
      <c r="I58" s="60">
        <f t="shared" si="135"/>
        <v>1.3187534153652909E-4</v>
      </c>
      <c r="J58" s="60">
        <f t="shared" si="135"/>
        <v>1.3187534153652909E-4</v>
      </c>
      <c r="K58" s="60">
        <f t="shared" si="135"/>
        <v>1.3187534153652909E-4</v>
      </c>
      <c r="L58" s="60">
        <f t="shared" si="135"/>
        <v>1.3187534153652909E-4</v>
      </c>
      <c r="M58" s="60">
        <f t="shared" si="135"/>
        <v>1.3187534153652909E-4</v>
      </c>
      <c r="N58" s="60">
        <f t="shared" si="135"/>
        <v>1.3187534153652909E-4</v>
      </c>
      <c r="O58" s="60">
        <f t="shared" si="135"/>
        <v>1.3187534153652909E-4</v>
      </c>
      <c r="P58" s="60">
        <f t="shared" si="135"/>
        <v>1.3187534153652909E-4</v>
      </c>
      <c r="Q58" s="60">
        <f t="shared" si="135"/>
        <v>1.3187534153652909E-4</v>
      </c>
      <c r="R58" s="60">
        <f t="shared" si="135"/>
        <v>1.3187534153652909E-4</v>
      </c>
      <c r="S58" s="60">
        <f t="shared" si="135"/>
        <v>1.3187534153652909E-4</v>
      </c>
      <c r="T58" s="60">
        <f t="shared" si="135"/>
        <v>1.3187534153652909E-4</v>
      </c>
      <c r="U58" s="60">
        <f t="shared" si="135"/>
        <v>1.3187534153652909E-4</v>
      </c>
      <c r="V58" s="60">
        <f t="shared" si="135"/>
        <v>1.3187534153652909E-4</v>
      </c>
      <c r="W58" s="60">
        <f t="shared" si="135"/>
        <v>1.3187534153652909E-4</v>
      </c>
      <c r="X58" s="60">
        <f t="shared" si="135"/>
        <v>1.3187534153652909E-4</v>
      </c>
      <c r="Y58" s="60">
        <f t="shared" si="135"/>
        <v>1.3187534153652909E-4</v>
      </c>
      <c r="Z58" s="60">
        <f t="shared" si="135"/>
        <v>1.3187534153652909E-4</v>
      </c>
      <c r="AA58" s="60">
        <f t="shared" si="135"/>
        <v>1.3187534153652909E-4</v>
      </c>
      <c r="AB58" s="60">
        <f t="shared" si="135"/>
        <v>1.3187534153652909E-4</v>
      </c>
      <c r="AC58" s="94">
        <f t="shared" si="116"/>
        <v>758291.875</v>
      </c>
      <c r="AD58" s="94">
        <f>IF(D58=".",".",up_RadSpec!$F$16*(AD16*$B58))</f>
        <v>189572.96875</v>
      </c>
      <c r="AE58" s="94">
        <f>IF(E58=".",".",up_RadSpec!$F$16*(AE16*$B58))</f>
        <v>189572.96875</v>
      </c>
      <c r="AF58" s="94">
        <f>IF(F58=".",".",up_RadSpec!$F$16*(AF16*$B58))</f>
        <v>189572.96875</v>
      </c>
      <c r="AG58" s="94">
        <f>IF(G58=".",".",up_RadSpec!$F$16*(AG16*$B58))</f>
        <v>189572.96875</v>
      </c>
      <c r="AH58" s="94">
        <f>IF(H58=".",".",up_RadSpec!$F$16*(AH16*$B58))</f>
        <v>189572.96875</v>
      </c>
      <c r="AI58" s="94">
        <f>IF(I58=".",".",up_RadSpec!$F$16*(AI16*$B58))</f>
        <v>189572.96875</v>
      </c>
      <c r="AJ58" s="94">
        <f>IF(J58=".",".",up_RadSpec!$F$16*(AJ16*$B58))</f>
        <v>189572.96875</v>
      </c>
      <c r="AK58" s="94">
        <f>IF(K58=".",".",up_RadSpec!$F$16*(AK16*$B58))</f>
        <v>189572.96875</v>
      </c>
      <c r="AL58" s="94">
        <f>IF(L58=".",".",up_RadSpec!$F$16*(AL16*$B58))</f>
        <v>189572.96875</v>
      </c>
      <c r="AM58" s="94">
        <f>IF(M58=".",".",up_RadSpec!$F$16*(AM16*$B58))</f>
        <v>189572.96875</v>
      </c>
      <c r="AN58" s="94">
        <f>IF(N58=".",".",up_RadSpec!$F$16*(AN16*$B58))</f>
        <v>189572.96875</v>
      </c>
      <c r="AO58" s="94">
        <f>IF(O58=".",".",up_RadSpec!$F$16*(AO16*$B58))</f>
        <v>189572.96875</v>
      </c>
      <c r="AP58" s="94">
        <f>IF(P58=".",".",up_RadSpec!$F$16*(AP16*$B58))</f>
        <v>189572.96875</v>
      </c>
      <c r="AQ58" s="94">
        <f>IF(Q58=".",".",up_RadSpec!$F$16*(AQ16*$B58))</f>
        <v>189572.96875</v>
      </c>
      <c r="AR58" s="94">
        <f>IF(R58=".",".",up_RadSpec!$F$16*(AR16*$B58))</f>
        <v>189572.96875</v>
      </c>
      <c r="AS58" s="94">
        <f>IF(S58=".",".",up_RadSpec!$F$16*(AS16*$B58))</f>
        <v>189572.96875</v>
      </c>
      <c r="AT58" s="94">
        <f>IF(T58=".",".",up_RadSpec!$F$16*(AT16*$B58))</f>
        <v>189572.96875</v>
      </c>
      <c r="AU58" s="94">
        <f>IF(U58=".",".",up_RadSpec!$F$16*(AU16*$B58))</f>
        <v>189572.96875</v>
      </c>
      <c r="AV58" s="94">
        <f>IF(V58=".",".",up_RadSpec!$F$16*(AV16*$B58))</f>
        <v>189572.96875</v>
      </c>
      <c r="AW58" s="94">
        <f>IF(W58=".",".",up_RadSpec!$F$16*(AW16*$B58))</f>
        <v>189572.96875</v>
      </c>
      <c r="AX58" s="94">
        <f>IF(X58=".",".",up_RadSpec!$F$16*(AX16*$B58))</f>
        <v>189572.96875</v>
      </c>
      <c r="AY58" s="94">
        <f>IF(Y58=".",".",up_RadSpec!$F$16*(AY16*$B58))</f>
        <v>189572.96875</v>
      </c>
      <c r="AZ58" s="94">
        <f>IF(Z58=".",".",up_RadSpec!$F$16*(AZ16*$B58))</f>
        <v>189572.96875</v>
      </c>
      <c r="BA58" s="94">
        <f>IF(AA58=".",".",up_RadSpec!$F$16*(BA16*$B58))</f>
        <v>189572.96875</v>
      </c>
      <c r="BB58" s="94">
        <f>IF(AB58=".",".",up_RadSpec!$F$16*(BB16*$B58))</f>
        <v>189572.96875</v>
      </c>
      <c r="BC58" s="60">
        <f t="shared" ref="BC58:CB58" si="136">IFERROR(BC16/$B58,".")</f>
        <v>3.2968835384132272E-5</v>
      </c>
      <c r="BD58" s="60">
        <f t="shared" si="136"/>
        <v>1.3187534153652909E-4</v>
      </c>
      <c r="BE58" s="60">
        <f t="shared" si="136"/>
        <v>1.3187534153652909E-4</v>
      </c>
      <c r="BF58" s="60">
        <f t="shared" si="136"/>
        <v>1.3187534153652909E-4</v>
      </c>
      <c r="BG58" s="60">
        <f t="shared" si="136"/>
        <v>1.3187534153652909E-4</v>
      </c>
      <c r="BH58" s="60">
        <f t="shared" si="136"/>
        <v>1.3187534153652909E-4</v>
      </c>
      <c r="BI58" s="60">
        <f t="shared" si="136"/>
        <v>1.3187534153652909E-4</v>
      </c>
      <c r="BJ58" s="60">
        <f t="shared" si="136"/>
        <v>1.3187534153652909E-4</v>
      </c>
      <c r="BK58" s="60">
        <f t="shared" si="136"/>
        <v>1.3187534153652909E-4</v>
      </c>
      <c r="BL58" s="60">
        <f t="shared" si="136"/>
        <v>1.3187534153652909E-4</v>
      </c>
      <c r="BM58" s="60">
        <f t="shared" si="136"/>
        <v>1.3187534153652909E-4</v>
      </c>
      <c r="BN58" s="60">
        <f t="shared" si="136"/>
        <v>1.3187534153652909E-4</v>
      </c>
      <c r="BO58" s="60">
        <f t="shared" si="136"/>
        <v>1.3187534153652909E-4</v>
      </c>
      <c r="BP58" s="60">
        <f t="shared" si="136"/>
        <v>1.3187534153652909E-4</v>
      </c>
      <c r="BQ58" s="60">
        <f t="shared" si="136"/>
        <v>1.3187534153652909E-4</v>
      </c>
      <c r="BR58" s="60">
        <f t="shared" si="136"/>
        <v>1.3187534153652909E-4</v>
      </c>
      <c r="BS58" s="60">
        <f t="shared" si="136"/>
        <v>1.3187534153652909E-4</v>
      </c>
      <c r="BT58" s="60">
        <f t="shared" si="136"/>
        <v>1.3187534153652909E-4</v>
      </c>
      <c r="BU58" s="60">
        <f t="shared" si="136"/>
        <v>1.3187534153652909E-4</v>
      </c>
      <c r="BV58" s="60">
        <f t="shared" si="136"/>
        <v>1.3187534153652909E-4</v>
      </c>
      <c r="BW58" s="60">
        <f t="shared" si="136"/>
        <v>1.3187534153652909E-4</v>
      </c>
      <c r="BX58" s="60">
        <f t="shared" si="136"/>
        <v>1.3187534153652909E-4</v>
      </c>
      <c r="BY58" s="60">
        <f t="shared" si="136"/>
        <v>1.3187534153652909E-4</v>
      </c>
      <c r="BZ58" s="60">
        <f t="shared" si="136"/>
        <v>1.3187534153652909E-4</v>
      </c>
      <c r="CA58" s="60">
        <f t="shared" si="136"/>
        <v>1.3187534153652909E-4</v>
      </c>
      <c r="CB58" s="60">
        <f t="shared" si="136"/>
        <v>1.3187534153652909E-4</v>
      </c>
      <c r="CC58" s="94">
        <f t="shared" si="118"/>
        <v>758291.875</v>
      </c>
      <c r="CD58" s="94">
        <f>IF(BD58=".",".",up_RadSpec!$F$16*(CD16*$B58))</f>
        <v>189572.96875</v>
      </c>
      <c r="CE58" s="94">
        <f>IF(BE58=".",".",up_RadSpec!$F$16*(CE16*$B58))</f>
        <v>189572.96875</v>
      </c>
      <c r="CF58" s="94">
        <f>IF(BF58=".",".",up_RadSpec!$F$16*(CF16*$B58))</f>
        <v>189572.96875</v>
      </c>
      <c r="CG58" s="94">
        <f>IF(BG58=".",".",up_RadSpec!$F$16*(CG16*$B58))</f>
        <v>189572.96875</v>
      </c>
      <c r="CH58" s="94">
        <f>IF(BH58=".",".",up_RadSpec!$F$16*(CH16*$B58))</f>
        <v>189572.96875</v>
      </c>
      <c r="CI58" s="94">
        <f>IF(BI58=".",".",up_RadSpec!$F$16*(CI16*$B58))</f>
        <v>189572.96875</v>
      </c>
      <c r="CJ58" s="94">
        <f>IF(BJ58=".",".",up_RadSpec!$F$16*(CJ16*$B58))</f>
        <v>189572.96875</v>
      </c>
      <c r="CK58" s="94">
        <f>IF(BK58=".",".",up_RadSpec!$F$16*(CK16*$B58))</f>
        <v>189572.96875</v>
      </c>
      <c r="CL58" s="94">
        <f>IF(BL58=".",".",up_RadSpec!$F$16*(CL16*$B58))</f>
        <v>189572.96875</v>
      </c>
      <c r="CM58" s="94">
        <f>IF(BM58=".",".",up_RadSpec!$F$16*(CM16*$B58))</f>
        <v>189572.96875</v>
      </c>
      <c r="CN58" s="94">
        <f>IF(BN58=".",".",up_RadSpec!$F$16*(CN16*$B58))</f>
        <v>189572.96875</v>
      </c>
      <c r="CO58" s="94">
        <f>IF(BO58=".",".",up_RadSpec!$F$16*(CO16*$B58))</f>
        <v>189572.96875</v>
      </c>
      <c r="CP58" s="94">
        <f>IF(BP58=".",".",up_RadSpec!$F$16*(CP16*$B58))</f>
        <v>189572.96875</v>
      </c>
      <c r="CQ58" s="94">
        <f>IF(BQ58=".",".",up_RadSpec!$F$16*(CQ16*$B58))</f>
        <v>189572.96875</v>
      </c>
      <c r="CR58" s="94">
        <f>IF(BR58=".",".",up_RadSpec!$F$16*(CR16*$B58))</f>
        <v>189572.96875</v>
      </c>
      <c r="CS58" s="94">
        <f>IF(BS58=".",".",up_RadSpec!$F$16*(CS16*$B58))</f>
        <v>189572.96875</v>
      </c>
      <c r="CT58" s="94">
        <f>IF(BT58=".",".",up_RadSpec!$F$16*(CT16*$B58))</f>
        <v>189572.96875</v>
      </c>
      <c r="CU58" s="94">
        <f>IF(BU58=".",".",up_RadSpec!$F$16*(CU16*$B58))</f>
        <v>189572.96875</v>
      </c>
      <c r="CV58" s="94">
        <f>IF(BV58=".",".",up_RadSpec!$F$16*(CV16*$B58))</f>
        <v>189572.96875</v>
      </c>
      <c r="CW58" s="94">
        <f>IF(BW58=".",".",up_RadSpec!$F$16*(CW16*$B58))</f>
        <v>189572.96875</v>
      </c>
      <c r="CX58" s="94">
        <f>IF(BX58=".",".",up_RadSpec!$F$16*(CX16*$B58))</f>
        <v>189572.96875</v>
      </c>
      <c r="CY58" s="94">
        <f>IF(BY58=".",".",up_RadSpec!$F$16*(CY16*$B58))</f>
        <v>189572.96875</v>
      </c>
      <c r="CZ58" s="94">
        <f>IF(BZ58=".",".",up_RadSpec!$F$16*(CZ16*$B58))</f>
        <v>189572.96875</v>
      </c>
      <c r="DA58" s="94">
        <f>IF(CA58=".",".",up_RadSpec!$F$16*(DA16*$B58))</f>
        <v>189572.96875</v>
      </c>
      <c r="DB58" s="94">
        <f>IF(CB58=".",".",up_RadSpec!$F$16*(DB16*$B58))</f>
        <v>189572.96875</v>
      </c>
    </row>
    <row r="59" spans="1:106" x14ac:dyDescent="0.25">
      <c r="A59" s="77" t="s">
        <v>1080</v>
      </c>
      <c r="B59" s="42">
        <v>1</v>
      </c>
      <c r="C59" s="60">
        <f t="shared" ref="C59:AB59" si="137">IFERROR(C7/$B59,".")</f>
        <v>3.2968835384132272E-5</v>
      </c>
      <c r="D59" s="60">
        <f t="shared" si="137"/>
        <v>1.3187534153652909E-4</v>
      </c>
      <c r="E59" s="60">
        <f t="shared" si="137"/>
        <v>1.3187534153652909E-4</v>
      </c>
      <c r="F59" s="60">
        <f t="shared" si="137"/>
        <v>1.3187534153652909E-4</v>
      </c>
      <c r="G59" s="60">
        <f t="shared" si="137"/>
        <v>1.3187534153652909E-4</v>
      </c>
      <c r="H59" s="60">
        <f t="shared" si="137"/>
        <v>1.3187534153652909E-4</v>
      </c>
      <c r="I59" s="60">
        <f t="shared" si="137"/>
        <v>1.3187534153652909E-4</v>
      </c>
      <c r="J59" s="60">
        <f t="shared" si="137"/>
        <v>1.3187534153652909E-4</v>
      </c>
      <c r="K59" s="60">
        <f t="shared" si="137"/>
        <v>1.3187534153652909E-4</v>
      </c>
      <c r="L59" s="60">
        <f t="shared" si="137"/>
        <v>1.3187534153652909E-4</v>
      </c>
      <c r="M59" s="60">
        <f t="shared" si="137"/>
        <v>1.3187534153652909E-4</v>
      </c>
      <c r="N59" s="60">
        <f t="shared" si="137"/>
        <v>1.3187534153652909E-4</v>
      </c>
      <c r="O59" s="60">
        <f t="shared" si="137"/>
        <v>1.3187534153652909E-4</v>
      </c>
      <c r="P59" s="60">
        <f t="shared" si="137"/>
        <v>1.3187534153652909E-4</v>
      </c>
      <c r="Q59" s="60">
        <f t="shared" si="137"/>
        <v>1.3187534153652909E-4</v>
      </c>
      <c r="R59" s="60">
        <f t="shared" si="137"/>
        <v>1.3187534153652909E-4</v>
      </c>
      <c r="S59" s="60">
        <f t="shared" si="137"/>
        <v>1.3187534153652909E-4</v>
      </c>
      <c r="T59" s="60">
        <f t="shared" si="137"/>
        <v>1.3187534153652909E-4</v>
      </c>
      <c r="U59" s="60">
        <f t="shared" si="137"/>
        <v>1.3187534153652909E-4</v>
      </c>
      <c r="V59" s="60">
        <f t="shared" si="137"/>
        <v>1.3187534153652909E-4</v>
      </c>
      <c r="W59" s="60">
        <f t="shared" si="137"/>
        <v>1.3187534153652909E-4</v>
      </c>
      <c r="X59" s="60">
        <f t="shared" si="137"/>
        <v>1.3187534153652909E-4</v>
      </c>
      <c r="Y59" s="60">
        <f t="shared" si="137"/>
        <v>1.3187534153652909E-4</v>
      </c>
      <c r="Z59" s="60">
        <f t="shared" si="137"/>
        <v>1.3187534153652909E-4</v>
      </c>
      <c r="AA59" s="60">
        <f t="shared" si="137"/>
        <v>1.3187534153652909E-4</v>
      </c>
      <c r="AB59" s="60">
        <f t="shared" si="137"/>
        <v>1.3187534153652909E-4</v>
      </c>
      <c r="AC59" s="94">
        <f t="shared" si="116"/>
        <v>758291.875</v>
      </c>
      <c r="AD59" s="94">
        <f>IF(D59=".",".",up_RadSpec!$F$7*(AD7*$B59))</f>
        <v>189572.96875</v>
      </c>
      <c r="AE59" s="94">
        <f>IF(E59=".",".",up_RadSpec!$F$7*(AE7*$B59))</f>
        <v>189572.96875</v>
      </c>
      <c r="AF59" s="94">
        <f>IF(F59=".",".",up_RadSpec!$F$7*(AF7*$B59))</f>
        <v>189572.96875</v>
      </c>
      <c r="AG59" s="94">
        <f>IF(G59=".",".",up_RadSpec!$F$7*(AG7*$B59))</f>
        <v>189572.96875</v>
      </c>
      <c r="AH59" s="94">
        <f>IF(H59=".",".",up_RadSpec!$F$7*(AH7*$B59))</f>
        <v>189572.96875</v>
      </c>
      <c r="AI59" s="94">
        <f>IF(I59=".",".",up_RadSpec!$F$7*(AI7*$B59))</f>
        <v>189572.96875</v>
      </c>
      <c r="AJ59" s="94">
        <f>IF(J59=".",".",up_RadSpec!$F$7*(AJ7*$B59))</f>
        <v>189572.96875</v>
      </c>
      <c r="AK59" s="94">
        <f>IF(K59=".",".",up_RadSpec!$F$7*(AK7*$B59))</f>
        <v>189572.96875</v>
      </c>
      <c r="AL59" s="94">
        <f>IF(L59=".",".",up_RadSpec!$F$7*(AL7*$B59))</f>
        <v>189572.96875</v>
      </c>
      <c r="AM59" s="94">
        <f>IF(M59=".",".",up_RadSpec!$F$7*(AM7*$B59))</f>
        <v>189572.96875</v>
      </c>
      <c r="AN59" s="94">
        <f>IF(N59=".",".",up_RadSpec!$F$7*(AN7*$B59))</f>
        <v>189572.96875</v>
      </c>
      <c r="AO59" s="94">
        <f>IF(O59=".",".",up_RadSpec!$F$7*(AO7*$B59))</f>
        <v>189572.96875</v>
      </c>
      <c r="AP59" s="94">
        <f>IF(P59=".",".",up_RadSpec!$F$7*(AP7*$B59))</f>
        <v>189572.96875</v>
      </c>
      <c r="AQ59" s="94">
        <f>IF(Q59=".",".",up_RadSpec!$F$7*(AQ7*$B59))</f>
        <v>189572.96875</v>
      </c>
      <c r="AR59" s="94">
        <f>IF(R59=".",".",up_RadSpec!$F$7*(AR7*$B59))</f>
        <v>189572.96875</v>
      </c>
      <c r="AS59" s="94">
        <f>IF(S59=".",".",up_RadSpec!$F$7*(AS7*$B59))</f>
        <v>189572.96875</v>
      </c>
      <c r="AT59" s="94">
        <f>IF(T59=".",".",up_RadSpec!$F$7*(AT7*$B59))</f>
        <v>189572.96875</v>
      </c>
      <c r="AU59" s="94">
        <f>IF(U59=".",".",up_RadSpec!$F$7*(AU7*$B59))</f>
        <v>189572.96875</v>
      </c>
      <c r="AV59" s="94">
        <f>IF(V59=".",".",up_RadSpec!$F$7*(AV7*$B59))</f>
        <v>189572.96875</v>
      </c>
      <c r="AW59" s="94">
        <f>IF(W59=".",".",up_RadSpec!$F$7*(AW7*$B59))</f>
        <v>189572.96875</v>
      </c>
      <c r="AX59" s="94">
        <f>IF(X59=".",".",up_RadSpec!$F$7*(AX7*$B59))</f>
        <v>189572.96875</v>
      </c>
      <c r="AY59" s="94">
        <f>IF(Y59=".",".",up_RadSpec!$F$7*(AY7*$B59))</f>
        <v>189572.96875</v>
      </c>
      <c r="AZ59" s="94">
        <f>IF(Z59=".",".",up_RadSpec!$F$7*(AZ7*$B59))</f>
        <v>189572.96875</v>
      </c>
      <c r="BA59" s="94">
        <f>IF(AA59=".",".",up_RadSpec!$F$7*(BA7*$B59))</f>
        <v>189572.96875</v>
      </c>
      <c r="BB59" s="94">
        <f>IF(AB59=".",".",up_RadSpec!$F$7*(BB7*$B59))</f>
        <v>189572.96875</v>
      </c>
      <c r="BC59" s="60">
        <f t="shared" ref="BC59:CB59" si="138">IFERROR(BC7/$B59,".")</f>
        <v>3.2968835384132272E-5</v>
      </c>
      <c r="BD59" s="60">
        <f t="shared" si="138"/>
        <v>1.3187534153652909E-4</v>
      </c>
      <c r="BE59" s="60">
        <f t="shared" si="138"/>
        <v>1.3187534153652909E-4</v>
      </c>
      <c r="BF59" s="60">
        <f t="shared" si="138"/>
        <v>1.3187534153652909E-4</v>
      </c>
      <c r="BG59" s="60">
        <f t="shared" si="138"/>
        <v>1.3187534153652909E-4</v>
      </c>
      <c r="BH59" s="60">
        <f t="shared" si="138"/>
        <v>1.3187534153652909E-4</v>
      </c>
      <c r="BI59" s="60">
        <f t="shared" si="138"/>
        <v>1.3187534153652909E-4</v>
      </c>
      <c r="BJ59" s="60">
        <f t="shared" si="138"/>
        <v>1.3187534153652909E-4</v>
      </c>
      <c r="BK59" s="60">
        <f t="shared" si="138"/>
        <v>1.3187534153652909E-4</v>
      </c>
      <c r="BL59" s="60">
        <f t="shared" si="138"/>
        <v>1.3187534153652909E-4</v>
      </c>
      <c r="BM59" s="60">
        <f t="shared" si="138"/>
        <v>1.3187534153652909E-4</v>
      </c>
      <c r="BN59" s="60">
        <f t="shared" si="138"/>
        <v>1.3187534153652909E-4</v>
      </c>
      <c r="BO59" s="60">
        <f t="shared" si="138"/>
        <v>1.3187534153652909E-4</v>
      </c>
      <c r="BP59" s="60">
        <f t="shared" si="138"/>
        <v>1.3187534153652909E-4</v>
      </c>
      <c r="BQ59" s="60">
        <f t="shared" si="138"/>
        <v>1.3187534153652909E-4</v>
      </c>
      <c r="BR59" s="60">
        <f t="shared" si="138"/>
        <v>1.3187534153652909E-4</v>
      </c>
      <c r="BS59" s="60">
        <f t="shared" si="138"/>
        <v>1.3187534153652909E-4</v>
      </c>
      <c r="BT59" s="60">
        <f t="shared" si="138"/>
        <v>1.3187534153652909E-4</v>
      </c>
      <c r="BU59" s="60">
        <f t="shared" si="138"/>
        <v>1.3187534153652909E-4</v>
      </c>
      <c r="BV59" s="60">
        <f t="shared" si="138"/>
        <v>1.3187534153652909E-4</v>
      </c>
      <c r="BW59" s="60">
        <f t="shared" si="138"/>
        <v>1.3187534153652909E-4</v>
      </c>
      <c r="BX59" s="60">
        <f t="shared" si="138"/>
        <v>1.3187534153652909E-4</v>
      </c>
      <c r="BY59" s="60">
        <f t="shared" si="138"/>
        <v>1.3187534153652909E-4</v>
      </c>
      <c r="BZ59" s="60">
        <f t="shared" si="138"/>
        <v>1.3187534153652909E-4</v>
      </c>
      <c r="CA59" s="60">
        <f t="shared" si="138"/>
        <v>1.3187534153652909E-4</v>
      </c>
      <c r="CB59" s="60">
        <f t="shared" si="138"/>
        <v>1.3187534153652909E-4</v>
      </c>
      <c r="CC59" s="94">
        <f t="shared" si="118"/>
        <v>758291.875</v>
      </c>
      <c r="CD59" s="94">
        <f>IF(BD59=".",".",up_RadSpec!$F$7*(CD7*$B59))</f>
        <v>189572.96875</v>
      </c>
      <c r="CE59" s="94">
        <f>IF(BE59=".",".",up_RadSpec!$F$7*(CE7*$B59))</f>
        <v>189572.96875</v>
      </c>
      <c r="CF59" s="94">
        <f>IF(BF59=".",".",up_RadSpec!$F$7*(CF7*$B59))</f>
        <v>189572.96875</v>
      </c>
      <c r="CG59" s="94">
        <f>IF(BG59=".",".",up_RadSpec!$F$7*(CG7*$B59))</f>
        <v>189572.96875</v>
      </c>
      <c r="CH59" s="94">
        <f>IF(BH59=".",".",up_RadSpec!$F$7*(CH7*$B59))</f>
        <v>189572.96875</v>
      </c>
      <c r="CI59" s="94">
        <f>IF(BI59=".",".",up_RadSpec!$F$7*(CI7*$B59))</f>
        <v>189572.96875</v>
      </c>
      <c r="CJ59" s="94">
        <f>IF(BJ59=".",".",up_RadSpec!$F$7*(CJ7*$B59))</f>
        <v>189572.96875</v>
      </c>
      <c r="CK59" s="94">
        <f>IF(BK59=".",".",up_RadSpec!$F$7*(CK7*$B59))</f>
        <v>189572.96875</v>
      </c>
      <c r="CL59" s="94">
        <f>IF(BL59=".",".",up_RadSpec!$F$7*(CL7*$B59))</f>
        <v>189572.96875</v>
      </c>
      <c r="CM59" s="94">
        <f>IF(BM59=".",".",up_RadSpec!$F$7*(CM7*$B59))</f>
        <v>189572.96875</v>
      </c>
      <c r="CN59" s="94">
        <f>IF(BN59=".",".",up_RadSpec!$F$7*(CN7*$B59))</f>
        <v>189572.96875</v>
      </c>
      <c r="CO59" s="94">
        <f>IF(BO59=".",".",up_RadSpec!$F$7*(CO7*$B59))</f>
        <v>189572.96875</v>
      </c>
      <c r="CP59" s="94">
        <f>IF(BP59=".",".",up_RadSpec!$F$7*(CP7*$B59))</f>
        <v>189572.96875</v>
      </c>
      <c r="CQ59" s="94">
        <f>IF(BQ59=".",".",up_RadSpec!$F$7*(CQ7*$B59))</f>
        <v>189572.96875</v>
      </c>
      <c r="CR59" s="94">
        <f>IF(BR59=".",".",up_RadSpec!$F$7*(CR7*$B59))</f>
        <v>189572.96875</v>
      </c>
      <c r="CS59" s="94">
        <f>IF(BS59=".",".",up_RadSpec!$F$7*(CS7*$B59))</f>
        <v>189572.96875</v>
      </c>
      <c r="CT59" s="94">
        <f>IF(BT59=".",".",up_RadSpec!$F$7*(CT7*$B59))</f>
        <v>189572.96875</v>
      </c>
      <c r="CU59" s="94">
        <f>IF(BU59=".",".",up_RadSpec!$F$7*(CU7*$B59))</f>
        <v>189572.96875</v>
      </c>
      <c r="CV59" s="94">
        <f>IF(BV59=".",".",up_RadSpec!$F$7*(CV7*$B59))</f>
        <v>189572.96875</v>
      </c>
      <c r="CW59" s="94">
        <f>IF(BW59=".",".",up_RadSpec!$F$7*(CW7*$B59))</f>
        <v>189572.96875</v>
      </c>
      <c r="CX59" s="94">
        <f>IF(BX59=".",".",up_RadSpec!$F$7*(CX7*$B59))</f>
        <v>189572.96875</v>
      </c>
      <c r="CY59" s="94">
        <f>IF(BY59=".",".",up_RadSpec!$F$7*(CY7*$B59))</f>
        <v>189572.96875</v>
      </c>
      <c r="CZ59" s="94">
        <f>IF(BZ59=".",".",up_RadSpec!$F$7*(CZ7*$B59))</f>
        <v>189572.96875</v>
      </c>
      <c r="DA59" s="94">
        <f>IF(CA59=".",".",up_RadSpec!$F$7*(DA7*$B59))</f>
        <v>189572.96875</v>
      </c>
      <c r="DB59" s="94">
        <f>IF(CB59=".",".",up_RadSpec!$F$7*(DB7*$B59))</f>
        <v>189572.96875</v>
      </c>
    </row>
    <row r="60" spans="1:106" x14ac:dyDescent="0.25">
      <c r="A60" s="77" t="s">
        <v>1081</v>
      </c>
      <c r="B60" s="80">
        <v>1.9000000000000001E-8</v>
      </c>
      <c r="C60" s="60">
        <f t="shared" ref="C60:AB60" si="139">IFERROR(C12/$B60,".")</f>
        <v>1735.2018623227509</v>
      </c>
      <c r="D60" s="60">
        <f t="shared" si="139"/>
        <v>6940.8074492910036</v>
      </c>
      <c r="E60" s="60">
        <f t="shared" si="139"/>
        <v>6940.8074492910036</v>
      </c>
      <c r="F60" s="60">
        <f t="shared" si="139"/>
        <v>6940.8074492910036</v>
      </c>
      <c r="G60" s="60">
        <f t="shared" si="139"/>
        <v>6940.8074492910036</v>
      </c>
      <c r="H60" s="60">
        <f t="shared" si="139"/>
        <v>6940.8074492910036</v>
      </c>
      <c r="I60" s="60">
        <f t="shared" si="139"/>
        <v>6940.8074492910036</v>
      </c>
      <c r="J60" s="60">
        <f t="shared" si="139"/>
        <v>6940.8074492910036</v>
      </c>
      <c r="K60" s="60">
        <f t="shared" si="139"/>
        <v>6940.8074492910036</v>
      </c>
      <c r="L60" s="60">
        <f t="shared" si="139"/>
        <v>6940.8074492910036</v>
      </c>
      <c r="M60" s="60">
        <f t="shared" si="139"/>
        <v>6940.8074492910036</v>
      </c>
      <c r="N60" s="60">
        <f t="shared" si="139"/>
        <v>6940.8074492910036</v>
      </c>
      <c r="O60" s="60">
        <f t="shared" si="139"/>
        <v>6940.8074492910036</v>
      </c>
      <c r="P60" s="60">
        <f t="shared" si="139"/>
        <v>6940.8074492910036</v>
      </c>
      <c r="Q60" s="60">
        <f t="shared" si="139"/>
        <v>6940.8074492910036</v>
      </c>
      <c r="R60" s="60">
        <f t="shared" si="139"/>
        <v>6940.8074492910036</v>
      </c>
      <c r="S60" s="60">
        <f t="shared" si="139"/>
        <v>6940.8074492910036</v>
      </c>
      <c r="T60" s="60">
        <f t="shared" si="139"/>
        <v>6940.8074492910036</v>
      </c>
      <c r="U60" s="60">
        <f t="shared" si="139"/>
        <v>6940.8074492910036</v>
      </c>
      <c r="V60" s="60">
        <f t="shared" si="139"/>
        <v>6940.8074492910036</v>
      </c>
      <c r="W60" s="60">
        <f t="shared" si="139"/>
        <v>6940.8074492910036</v>
      </c>
      <c r="X60" s="60">
        <f t="shared" si="139"/>
        <v>6940.8074492910036</v>
      </c>
      <c r="Y60" s="60">
        <f t="shared" si="139"/>
        <v>6940.8074492910036</v>
      </c>
      <c r="Z60" s="60">
        <f t="shared" si="139"/>
        <v>6940.8074492910036</v>
      </c>
      <c r="AA60" s="60">
        <f t="shared" si="139"/>
        <v>6940.8074492910036</v>
      </c>
      <c r="AB60" s="60">
        <f t="shared" si="139"/>
        <v>6940.8074492910036</v>
      </c>
      <c r="AC60" s="94">
        <f t="shared" si="116"/>
        <v>1.4407545625000002E-2</v>
      </c>
      <c r="AD60" s="94">
        <f>IF(D60=".",".",up_RadSpec!$F$12*(AD12*$B60))</f>
        <v>3.6018864062500005E-3</v>
      </c>
      <c r="AE60" s="94">
        <f>IF(E60=".",".",up_RadSpec!$F$12*(AE12*$B60))</f>
        <v>3.6018864062500005E-3</v>
      </c>
      <c r="AF60" s="94">
        <f>IF(F60=".",".",up_RadSpec!$F$12*(AF12*$B60))</f>
        <v>3.6018864062500005E-3</v>
      </c>
      <c r="AG60" s="94">
        <f>IF(G60=".",".",up_RadSpec!$F$12*(AG12*$B60))</f>
        <v>3.6018864062500005E-3</v>
      </c>
      <c r="AH60" s="94">
        <f>IF(H60=".",".",up_RadSpec!$F$12*(AH12*$B60))</f>
        <v>3.6018864062500005E-3</v>
      </c>
      <c r="AI60" s="94">
        <f>IF(I60=".",".",up_RadSpec!$F$12*(AI12*$B60))</f>
        <v>3.6018864062500005E-3</v>
      </c>
      <c r="AJ60" s="94">
        <f>IF(J60=".",".",up_RadSpec!$F$12*(AJ12*$B60))</f>
        <v>3.6018864062500005E-3</v>
      </c>
      <c r="AK60" s="94">
        <f>IF(K60=".",".",up_RadSpec!$F$12*(AK12*$B60))</f>
        <v>3.6018864062500005E-3</v>
      </c>
      <c r="AL60" s="94">
        <f>IF(L60=".",".",up_RadSpec!$F$12*(AL12*$B60))</f>
        <v>3.6018864062500005E-3</v>
      </c>
      <c r="AM60" s="94">
        <f>IF(M60=".",".",up_RadSpec!$F$12*(AM12*$B60))</f>
        <v>3.6018864062500005E-3</v>
      </c>
      <c r="AN60" s="94">
        <f>IF(N60=".",".",up_RadSpec!$F$12*(AN12*$B60))</f>
        <v>3.6018864062500005E-3</v>
      </c>
      <c r="AO60" s="94">
        <f>IF(O60=".",".",up_RadSpec!$F$12*(AO12*$B60))</f>
        <v>3.6018864062500005E-3</v>
      </c>
      <c r="AP60" s="94">
        <f>IF(P60=".",".",up_RadSpec!$F$12*(AP12*$B60))</f>
        <v>3.6018864062500005E-3</v>
      </c>
      <c r="AQ60" s="94">
        <f>IF(Q60=".",".",up_RadSpec!$F$12*(AQ12*$B60))</f>
        <v>3.6018864062500005E-3</v>
      </c>
      <c r="AR60" s="94">
        <f>IF(R60=".",".",up_RadSpec!$F$12*(AR12*$B60))</f>
        <v>3.6018864062500005E-3</v>
      </c>
      <c r="AS60" s="94">
        <f>IF(S60=".",".",up_RadSpec!$F$12*(AS12*$B60))</f>
        <v>3.6018864062500005E-3</v>
      </c>
      <c r="AT60" s="94">
        <f>IF(T60=".",".",up_RadSpec!$F$12*(AT12*$B60))</f>
        <v>3.6018864062500005E-3</v>
      </c>
      <c r="AU60" s="94">
        <f>IF(U60=".",".",up_RadSpec!$F$12*(AU12*$B60))</f>
        <v>3.6018864062500005E-3</v>
      </c>
      <c r="AV60" s="94">
        <f>IF(V60=".",".",up_RadSpec!$F$12*(AV12*$B60))</f>
        <v>3.6018864062500005E-3</v>
      </c>
      <c r="AW60" s="94">
        <f>IF(W60=".",".",up_RadSpec!$F$12*(AW12*$B60))</f>
        <v>3.6018864062500005E-3</v>
      </c>
      <c r="AX60" s="94">
        <f>IF(X60=".",".",up_RadSpec!$F$12*(AX12*$B60))</f>
        <v>3.6018864062500005E-3</v>
      </c>
      <c r="AY60" s="94">
        <f>IF(Y60=".",".",up_RadSpec!$F$12*(AY12*$B60))</f>
        <v>3.6018864062500005E-3</v>
      </c>
      <c r="AZ60" s="94">
        <f>IF(Z60=".",".",up_RadSpec!$F$12*(AZ12*$B60))</f>
        <v>3.6018864062500005E-3</v>
      </c>
      <c r="BA60" s="94">
        <f>IF(AA60=".",".",up_RadSpec!$F$12*(BA12*$B60))</f>
        <v>3.6018864062500005E-3</v>
      </c>
      <c r="BB60" s="94">
        <f>IF(AB60=".",".",up_RadSpec!$F$12*(BB12*$B60))</f>
        <v>3.6018864062500005E-3</v>
      </c>
      <c r="BC60" s="60">
        <f t="shared" ref="BC60:CB60" si="140">IFERROR(BC12/$B60,".")</f>
        <v>1735.2018623227509</v>
      </c>
      <c r="BD60" s="60">
        <f t="shared" si="140"/>
        <v>6940.8074492910036</v>
      </c>
      <c r="BE60" s="60">
        <f t="shared" si="140"/>
        <v>6940.8074492910036</v>
      </c>
      <c r="BF60" s="60">
        <f t="shared" si="140"/>
        <v>6940.8074492910036</v>
      </c>
      <c r="BG60" s="60">
        <f t="shared" si="140"/>
        <v>6940.8074492910036</v>
      </c>
      <c r="BH60" s="60">
        <f t="shared" si="140"/>
        <v>6940.8074492910036</v>
      </c>
      <c r="BI60" s="60">
        <f t="shared" si="140"/>
        <v>6940.8074492910036</v>
      </c>
      <c r="BJ60" s="60">
        <f t="shared" si="140"/>
        <v>6940.8074492910036</v>
      </c>
      <c r="BK60" s="60">
        <f t="shared" si="140"/>
        <v>6940.8074492910036</v>
      </c>
      <c r="BL60" s="60">
        <f t="shared" si="140"/>
        <v>6940.8074492910036</v>
      </c>
      <c r="BM60" s="60">
        <f t="shared" si="140"/>
        <v>6940.8074492910036</v>
      </c>
      <c r="BN60" s="60">
        <f t="shared" si="140"/>
        <v>6940.8074492910036</v>
      </c>
      <c r="BO60" s="60">
        <f t="shared" si="140"/>
        <v>6940.8074492910036</v>
      </c>
      <c r="BP60" s="60">
        <f t="shared" si="140"/>
        <v>6940.8074492910036</v>
      </c>
      <c r="BQ60" s="60">
        <f t="shared" si="140"/>
        <v>6940.8074492910036</v>
      </c>
      <c r="BR60" s="60">
        <f t="shared" si="140"/>
        <v>6940.8074492910036</v>
      </c>
      <c r="BS60" s="60">
        <f t="shared" si="140"/>
        <v>6940.8074492910036</v>
      </c>
      <c r="BT60" s="60">
        <f t="shared" si="140"/>
        <v>6940.8074492910036</v>
      </c>
      <c r="BU60" s="60">
        <f t="shared" si="140"/>
        <v>6940.8074492910036</v>
      </c>
      <c r="BV60" s="60">
        <f t="shared" si="140"/>
        <v>6940.8074492910036</v>
      </c>
      <c r="BW60" s="60">
        <f t="shared" si="140"/>
        <v>6940.8074492910036</v>
      </c>
      <c r="BX60" s="60">
        <f t="shared" si="140"/>
        <v>6940.8074492910036</v>
      </c>
      <c r="BY60" s="60">
        <f t="shared" si="140"/>
        <v>6940.8074492910036</v>
      </c>
      <c r="BZ60" s="60">
        <f t="shared" si="140"/>
        <v>6940.8074492910036</v>
      </c>
      <c r="CA60" s="60">
        <f t="shared" si="140"/>
        <v>6940.8074492910036</v>
      </c>
      <c r="CB60" s="60">
        <f t="shared" si="140"/>
        <v>6940.8074492910036</v>
      </c>
      <c r="CC60" s="94">
        <f t="shared" si="118"/>
        <v>1.4407545625000002E-2</v>
      </c>
      <c r="CD60" s="94">
        <f>IF(BD60=".",".",up_RadSpec!$F$12*(CD12*$B60))</f>
        <v>3.6018864062500005E-3</v>
      </c>
      <c r="CE60" s="94">
        <f>IF(BE60=".",".",up_RadSpec!$F$12*(CE12*$B60))</f>
        <v>3.6018864062500005E-3</v>
      </c>
      <c r="CF60" s="94">
        <f>IF(BF60=".",".",up_RadSpec!$F$12*(CF12*$B60))</f>
        <v>3.6018864062500005E-3</v>
      </c>
      <c r="CG60" s="94">
        <f>IF(BG60=".",".",up_RadSpec!$F$12*(CG12*$B60))</f>
        <v>3.6018864062500005E-3</v>
      </c>
      <c r="CH60" s="94">
        <f>IF(BH60=".",".",up_RadSpec!$F$12*(CH12*$B60))</f>
        <v>3.6018864062500005E-3</v>
      </c>
      <c r="CI60" s="94">
        <f>IF(BI60=".",".",up_RadSpec!$F$12*(CI12*$B60))</f>
        <v>3.6018864062500005E-3</v>
      </c>
      <c r="CJ60" s="94">
        <f>IF(BJ60=".",".",up_RadSpec!$F$12*(CJ12*$B60))</f>
        <v>3.6018864062500005E-3</v>
      </c>
      <c r="CK60" s="94">
        <f>IF(BK60=".",".",up_RadSpec!$F$12*(CK12*$B60))</f>
        <v>3.6018864062500005E-3</v>
      </c>
      <c r="CL60" s="94">
        <f>IF(BL60=".",".",up_RadSpec!$F$12*(CL12*$B60))</f>
        <v>3.6018864062500005E-3</v>
      </c>
      <c r="CM60" s="94">
        <f>IF(BM60=".",".",up_RadSpec!$F$12*(CM12*$B60))</f>
        <v>3.6018864062500005E-3</v>
      </c>
      <c r="CN60" s="94">
        <f>IF(BN60=".",".",up_RadSpec!$F$12*(CN12*$B60))</f>
        <v>3.6018864062500005E-3</v>
      </c>
      <c r="CO60" s="94">
        <f>IF(BO60=".",".",up_RadSpec!$F$12*(CO12*$B60))</f>
        <v>3.6018864062500005E-3</v>
      </c>
      <c r="CP60" s="94">
        <f>IF(BP60=".",".",up_RadSpec!$F$12*(CP12*$B60))</f>
        <v>3.6018864062500005E-3</v>
      </c>
      <c r="CQ60" s="94">
        <f>IF(BQ60=".",".",up_RadSpec!$F$12*(CQ12*$B60))</f>
        <v>3.6018864062500005E-3</v>
      </c>
      <c r="CR60" s="94">
        <f>IF(BR60=".",".",up_RadSpec!$F$12*(CR12*$B60))</f>
        <v>3.6018864062500005E-3</v>
      </c>
      <c r="CS60" s="94">
        <f>IF(BS60=".",".",up_RadSpec!$F$12*(CS12*$B60))</f>
        <v>3.6018864062500005E-3</v>
      </c>
      <c r="CT60" s="94">
        <f>IF(BT60=".",".",up_RadSpec!$F$12*(CT12*$B60))</f>
        <v>3.6018864062500005E-3</v>
      </c>
      <c r="CU60" s="94">
        <f>IF(BU60=".",".",up_RadSpec!$F$12*(CU12*$B60))</f>
        <v>3.6018864062500005E-3</v>
      </c>
      <c r="CV60" s="94">
        <f>IF(BV60=".",".",up_RadSpec!$F$12*(CV12*$B60))</f>
        <v>3.6018864062500005E-3</v>
      </c>
      <c r="CW60" s="94">
        <f>IF(BW60=".",".",up_RadSpec!$F$12*(CW12*$B60))</f>
        <v>3.6018864062500005E-3</v>
      </c>
      <c r="CX60" s="94">
        <f>IF(BX60=".",".",up_RadSpec!$F$12*(CX12*$B60))</f>
        <v>3.6018864062500005E-3</v>
      </c>
      <c r="CY60" s="94">
        <f>IF(BY60=".",".",up_RadSpec!$F$12*(CY12*$B60))</f>
        <v>3.6018864062500005E-3</v>
      </c>
      <c r="CZ60" s="94">
        <f>IF(BZ60=".",".",up_RadSpec!$F$12*(CZ12*$B60))</f>
        <v>3.6018864062500005E-3</v>
      </c>
      <c r="DA60" s="94">
        <f>IF(CA60=".",".",up_RadSpec!$F$12*(DA12*$B60))</f>
        <v>3.6018864062500005E-3</v>
      </c>
      <c r="DB60" s="94">
        <f>IF(CB60=".",".",up_RadSpec!$F$12*(DB12*$B60))</f>
        <v>3.6018864062500005E-3</v>
      </c>
    </row>
    <row r="61" spans="1:106" x14ac:dyDescent="0.25">
      <c r="A61" s="77" t="s">
        <v>1082</v>
      </c>
      <c r="B61" s="42">
        <v>1</v>
      </c>
      <c r="C61" s="60">
        <f t="shared" ref="C61:AB61" si="141">IFERROR(C18/$B61,".")</f>
        <v>3.2968835384132272E-5</v>
      </c>
      <c r="D61" s="60">
        <f t="shared" si="141"/>
        <v>1.3187534153652909E-4</v>
      </c>
      <c r="E61" s="60">
        <f t="shared" si="141"/>
        <v>1.3187534153652909E-4</v>
      </c>
      <c r="F61" s="60">
        <f t="shared" si="141"/>
        <v>1.3187534153652909E-4</v>
      </c>
      <c r="G61" s="60">
        <f t="shared" si="141"/>
        <v>1.3187534153652909E-4</v>
      </c>
      <c r="H61" s="60">
        <f t="shared" si="141"/>
        <v>1.3187534153652909E-4</v>
      </c>
      <c r="I61" s="60">
        <f t="shared" si="141"/>
        <v>1.3187534153652909E-4</v>
      </c>
      <c r="J61" s="60">
        <f t="shared" si="141"/>
        <v>1.3187534153652909E-4</v>
      </c>
      <c r="K61" s="60">
        <f t="shared" si="141"/>
        <v>1.3187534153652909E-4</v>
      </c>
      <c r="L61" s="60">
        <f t="shared" si="141"/>
        <v>1.3187534153652909E-4</v>
      </c>
      <c r="M61" s="60">
        <f t="shared" si="141"/>
        <v>1.3187534153652909E-4</v>
      </c>
      <c r="N61" s="60">
        <f t="shared" si="141"/>
        <v>1.3187534153652909E-4</v>
      </c>
      <c r="O61" s="60">
        <f t="shared" si="141"/>
        <v>1.3187534153652909E-4</v>
      </c>
      <c r="P61" s="60">
        <f t="shared" si="141"/>
        <v>1.3187534153652909E-4</v>
      </c>
      <c r="Q61" s="60">
        <f t="shared" si="141"/>
        <v>1.3187534153652909E-4</v>
      </c>
      <c r="R61" s="60">
        <f t="shared" si="141"/>
        <v>1.3187534153652909E-4</v>
      </c>
      <c r="S61" s="60">
        <f t="shared" si="141"/>
        <v>1.3187534153652909E-4</v>
      </c>
      <c r="T61" s="60">
        <f t="shared" si="141"/>
        <v>1.3187534153652909E-4</v>
      </c>
      <c r="U61" s="60">
        <f t="shared" si="141"/>
        <v>1.3187534153652909E-4</v>
      </c>
      <c r="V61" s="60">
        <f t="shared" si="141"/>
        <v>1.3187534153652909E-4</v>
      </c>
      <c r="W61" s="60">
        <f t="shared" si="141"/>
        <v>1.3187534153652909E-4</v>
      </c>
      <c r="X61" s="60">
        <f t="shared" si="141"/>
        <v>1.3187534153652909E-4</v>
      </c>
      <c r="Y61" s="60">
        <f t="shared" si="141"/>
        <v>1.3187534153652909E-4</v>
      </c>
      <c r="Z61" s="60">
        <f t="shared" si="141"/>
        <v>1.3187534153652909E-4</v>
      </c>
      <c r="AA61" s="60">
        <f t="shared" si="141"/>
        <v>1.3187534153652909E-4</v>
      </c>
      <c r="AB61" s="60">
        <f t="shared" si="141"/>
        <v>1.3187534153652909E-4</v>
      </c>
      <c r="AC61" s="94">
        <f t="shared" si="116"/>
        <v>758291.875</v>
      </c>
      <c r="AD61" s="94">
        <f>IF(D61=".",".",up_RadSpec!$F$18*(AD18*$B61))</f>
        <v>189572.96875</v>
      </c>
      <c r="AE61" s="94">
        <f>IF(E61=".",".",up_RadSpec!$F$18*(AE18*$B61))</f>
        <v>189572.96875</v>
      </c>
      <c r="AF61" s="94">
        <f>IF(F61=".",".",up_RadSpec!$F$18*(AF18*$B61))</f>
        <v>189572.96875</v>
      </c>
      <c r="AG61" s="94">
        <f>IF(G61=".",".",up_RadSpec!$F$18*(AG18*$B61))</f>
        <v>189572.96875</v>
      </c>
      <c r="AH61" s="94">
        <f>IF(H61=".",".",up_RadSpec!$F$18*(AH18*$B61))</f>
        <v>189572.96875</v>
      </c>
      <c r="AI61" s="94">
        <f>IF(I61=".",".",up_RadSpec!$F$18*(AI18*$B61))</f>
        <v>189572.96875</v>
      </c>
      <c r="AJ61" s="94">
        <f>IF(J61=".",".",up_RadSpec!$F$18*(AJ18*$B61))</f>
        <v>189572.96875</v>
      </c>
      <c r="AK61" s="94">
        <f>IF(K61=".",".",up_RadSpec!$F$18*(AK18*$B61))</f>
        <v>189572.96875</v>
      </c>
      <c r="AL61" s="94">
        <f>IF(L61=".",".",up_RadSpec!$F$18*(AL18*$B61))</f>
        <v>189572.96875</v>
      </c>
      <c r="AM61" s="94">
        <f>IF(M61=".",".",up_RadSpec!$F$18*(AM18*$B61))</f>
        <v>189572.96875</v>
      </c>
      <c r="AN61" s="94">
        <f>IF(N61=".",".",up_RadSpec!$F$18*(AN18*$B61))</f>
        <v>189572.96875</v>
      </c>
      <c r="AO61" s="94">
        <f>IF(O61=".",".",up_RadSpec!$F$18*(AO18*$B61))</f>
        <v>189572.96875</v>
      </c>
      <c r="AP61" s="94">
        <f>IF(P61=".",".",up_RadSpec!$F$18*(AP18*$B61))</f>
        <v>189572.96875</v>
      </c>
      <c r="AQ61" s="94">
        <f>IF(Q61=".",".",up_RadSpec!$F$18*(AQ18*$B61))</f>
        <v>189572.96875</v>
      </c>
      <c r="AR61" s="94">
        <f>IF(R61=".",".",up_RadSpec!$F$18*(AR18*$B61))</f>
        <v>189572.96875</v>
      </c>
      <c r="AS61" s="94">
        <f>IF(S61=".",".",up_RadSpec!$F$18*(AS18*$B61))</f>
        <v>189572.96875</v>
      </c>
      <c r="AT61" s="94">
        <f>IF(T61=".",".",up_RadSpec!$F$18*(AT18*$B61))</f>
        <v>189572.96875</v>
      </c>
      <c r="AU61" s="94">
        <f>IF(U61=".",".",up_RadSpec!$F$18*(AU18*$B61))</f>
        <v>189572.96875</v>
      </c>
      <c r="AV61" s="94">
        <f>IF(V61=".",".",up_RadSpec!$F$18*(AV18*$B61))</f>
        <v>189572.96875</v>
      </c>
      <c r="AW61" s="94">
        <f>IF(W61=".",".",up_RadSpec!$F$18*(AW18*$B61))</f>
        <v>189572.96875</v>
      </c>
      <c r="AX61" s="94">
        <f>IF(X61=".",".",up_RadSpec!$F$18*(AX18*$B61))</f>
        <v>189572.96875</v>
      </c>
      <c r="AY61" s="94">
        <f>IF(Y61=".",".",up_RadSpec!$F$18*(AY18*$B61))</f>
        <v>189572.96875</v>
      </c>
      <c r="AZ61" s="94">
        <f>IF(Z61=".",".",up_RadSpec!$F$18*(AZ18*$B61))</f>
        <v>189572.96875</v>
      </c>
      <c r="BA61" s="94">
        <f>IF(AA61=".",".",up_RadSpec!$F$18*(BA18*$B61))</f>
        <v>189572.96875</v>
      </c>
      <c r="BB61" s="94">
        <f>IF(AB61=".",".",up_RadSpec!$F$18*(BB18*$B61))</f>
        <v>189572.96875</v>
      </c>
      <c r="BC61" s="60">
        <f t="shared" ref="BC61:CB61" si="142">IFERROR(BC18/$B61,".")</f>
        <v>3.2968835384132272E-5</v>
      </c>
      <c r="BD61" s="60">
        <f t="shared" si="142"/>
        <v>1.3187534153652909E-4</v>
      </c>
      <c r="BE61" s="60">
        <f t="shared" si="142"/>
        <v>1.3187534153652909E-4</v>
      </c>
      <c r="BF61" s="60">
        <f t="shared" si="142"/>
        <v>1.3187534153652909E-4</v>
      </c>
      <c r="BG61" s="60">
        <f t="shared" si="142"/>
        <v>1.3187534153652909E-4</v>
      </c>
      <c r="BH61" s="60">
        <f t="shared" si="142"/>
        <v>1.3187534153652909E-4</v>
      </c>
      <c r="BI61" s="60">
        <f t="shared" si="142"/>
        <v>1.3187534153652909E-4</v>
      </c>
      <c r="BJ61" s="60">
        <f t="shared" si="142"/>
        <v>1.3187534153652909E-4</v>
      </c>
      <c r="BK61" s="60">
        <f t="shared" si="142"/>
        <v>1.3187534153652909E-4</v>
      </c>
      <c r="BL61" s="60">
        <f t="shared" si="142"/>
        <v>1.3187534153652909E-4</v>
      </c>
      <c r="BM61" s="60">
        <f t="shared" si="142"/>
        <v>1.3187534153652909E-4</v>
      </c>
      <c r="BN61" s="60">
        <f t="shared" si="142"/>
        <v>1.3187534153652909E-4</v>
      </c>
      <c r="BO61" s="60">
        <f t="shared" si="142"/>
        <v>1.3187534153652909E-4</v>
      </c>
      <c r="BP61" s="60">
        <f t="shared" si="142"/>
        <v>1.3187534153652909E-4</v>
      </c>
      <c r="BQ61" s="60">
        <f t="shared" si="142"/>
        <v>1.3187534153652909E-4</v>
      </c>
      <c r="BR61" s="60">
        <f t="shared" si="142"/>
        <v>1.3187534153652909E-4</v>
      </c>
      <c r="BS61" s="60">
        <f t="shared" si="142"/>
        <v>1.3187534153652909E-4</v>
      </c>
      <c r="BT61" s="60">
        <f t="shared" si="142"/>
        <v>1.3187534153652909E-4</v>
      </c>
      <c r="BU61" s="60">
        <f t="shared" si="142"/>
        <v>1.3187534153652909E-4</v>
      </c>
      <c r="BV61" s="60">
        <f t="shared" si="142"/>
        <v>1.3187534153652909E-4</v>
      </c>
      <c r="BW61" s="60">
        <f t="shared" si="142"/>
        <v>1.3187534153652909E-4</v>
      </c>
      <c r="BX61" s="60">
        <f t="shared" si="142"/>
        <v>1.3187534153652909E-4</v>
      </c>
      <c r="BY61" s="60">
        <f t="shared" si="142"/>
        <v>1.3187534153652909E-4</v>
      </c>
      <c r="BZ61" s="60">
        <f t="shared" si="142"/>
        <v>1.3187534153652909E-4</v>
      </c>
      <c r="CA61" s="60">
        <f t="shared" si="142"/>
        <v>1.3187534153652909E-4</v>
      </c>
      <c r="CB61" s="60">
        <f t="shared" si="142"/>
        <v>1.3187534153652909E-4</v>
      </c>
      <c r="CC61" s="94">
        <f t="shared" si="118"/>
        <v>758291.875</v>
      </c>
      <c r="CD61" s="94">
        <f>IF(BD61=".",".",up_RadSpec!$F$18*(CD18*$B61))</f>
        <v>189572.96875</v>
      </c>
      <c r="CE61" s="94">
        <f>IF(BE61=".",".",up_RadSpec!$F$18*(CE18*$B61))</f>
        <v>189572.96875</v>
      </c>
      <c r="CF61" s="94">
        <f>IF(BF61=".",".",up_RadSpec!$F$18*(CF18*$B61))</f>
        <v>189572.96875</v>
      </c>
      <c r="CG61" s="94">
        <f>IF(BG61=".",".",up_RadSpec!$F$18*(CG18*$B61))</f>
        <v>189572.96875</v>
      </c>
      <c r="CH61" s="94">
        <f>IF(BH61=".",".",up_RadSpec!$F$18*(CH18*$B61))</f>
        <v>189572.96875</v>
      </c>
      <c r="CI61" s="94">
        <f>IF(BI61=".",".",up_RadSpec!$F$18*(CI18*$B61))</f>
        <v>189572.96875</v>
      </c>
      <c r="CJ61" s="94">
        <f>IF(BJ61=".",".",up_RadSpec!$F$18*(CJ18*$B61))</f>
        <v>189572.96875</v>
      </c>
      <c r="CK61" s="94">
        <f>IF(BK61=".",".",up_RadSpec!$F$18*(CK18*$B61))</f>
        <v>189572.96875</v>
      </c>
      <c r="CL61" s="94">
        <f>IF(BL61=".",".",up_RadSpec!$F$18*(CL18*$B61))</f>
        <v>189572.96875</v>
      </c>
      <c r="CM61" s="94">
        <f>IF(BM61=".",".",up_RadSpec!$F$18*(CM18*$B61))</f>
        <v>189572.96875</v>
      </c>
      <c r="CN61" s="94">
        <f>IF(BN61=".",".",up_RadSpec!$F$18*(CN18*$B61))</f>
        <v>189572.96875</v>
      </c>
      <c r="CO61" s="94">
        <f>IF(BO61=".",".",up_RadSpec!$F$18*(CO18*$B61))</f>
        <v>189572.96875</v>
      </c>
      <c r="CP61" s="94">
        <f>IF(BP61=".",".",up_RadSpec!$F$18*(CP18*$B61))</f>
        <v>189572.96875</v>
      </c>
      <c r="CQ61" s="94">
        <f>IF(BQ61=".",".",up_RadSpec!$F$18*(CQ18*$B61))</f>
        <v>189572.96875</v>
      </c>
      <c r="CR61" s="94">
        <f>IF(BR61=".",".",up_RadSpec!$F$18*(CR18*$B61))</f>
        <v>189572.96875</v>
      </c>
      <c r="CS61" s="94">
        <f>IF(BS61=".",".",up_RadSpec!$F$18*(CS18*$B61))</f>
        <v>189572.96875</v>
      </c>
      <c r="CT61" s="94">
        <f>IF(BT61=".",".",up_RadSpec!$F$18*(CT18*$B61))</f>
        <v>189572.96875</v>
      </c>
      <c r="CU61" s="94">
        <f>IF(BU61=".",".",up_RadSpec!$F$18*(CU18*$B61))</f>
        <v>189572.96875</v>
      </c>
      <c r="CV61" s="94">
        <f>IF(BV61=".",".",up_RadSpec!$F$18*(CV18*$B61))</f>
        <v>189572.96875</v>
      </c>
      <c r="CW61" s="94">
        <f>IF(BW61=".",".",up_RadSpec!$F$18*(CW18*$B61))</f>
        <v>189572.96875</v>
      </c>
      <c r="CX61" s="94">
        <f>IF(BX61=".",".",up_RadSpec!$F$18*(CX18*$B61))</f>
        <v>189572.96875</v>
      </c>
      <c r="CY61" s="94">
        <f>IF(BY61=".",".",up_RadSpec!$F$18*(CY18*$B61))</f>
        <v>189572.96875</v>
      </c>
      <c r="CZ61" s="94">
        <f>IF(BZ61=".",".",up_RadSpec!$F$18*(CZ18*$B61))</f>
        <v>189572.96875</v>
      </c>
      <c r="DA61" s="94">
        <f>IF(CA61=".",".",up_RadSpec!$F$18*(DA18*$B61))</f>
        <v>189572.96875</v>
      </c>
      <c r="DB61" s="94">
        <f>IF(CB61=".",".",up_RadSpec!$F$18*(DB18*$B61))</f>
        <v>189572.96875</v>
      </c>
    </row>
    <row r="62" spans="1:106" x14ac:dyDescent="0.25">
      <c r="A62" s="77" t="s">
        <v>1083</v>
      </c>
      <c r="B62" s="42">
        <v>1.339E-6</v>
      </c>
      <c r="C62" s="60">
        <f t="shared" ref="C62:AB62" si="143">IFERROR(C27/$B62,".")</f>
        <v>24.621983109882205</v>
      </c>
      <c r="D62" s="60">
        <f t="shared" si="143"/>
        <v>98.487932439528819</v>
      </c>
      <c r="E62" s="60">
        <f t="shared" si="143"/>
        <v>98.487932439528819</v>
      </c>
      <c r="F62" s="60">
        <f t="shared" si="143"/>
        <v>98.487932439528819</v>
      </c>
      <c r="G62" s="60">
        <f t="shared" si="143"/>
        <v>98.487932439528819</v>
      </c>
      <c r="H62" s="60">
        <f t="shared" si="143"/>
        <v>98.487932439528819</v>
      </c>
      <c r="I62" s="60">
        <f t="shared" si="143"/>
        <v>98.487932439528819</v>
      </c>
      <c r="J62" s="60">
        <f t="shared" si="143"/>
        <v>98.487932439528819</v>
      </c>
      <c r="K62" s="60">
        <f t="shared" si="143"/>
        <v>98.487932439528819</v>
      </c>
      <c r="L62" s="60">
        <f t="shared" si="143"/>
        <v>98.487932439528819</v>
      </c>
      <c r="M62" s="60">
        <f t="shared" si="143"/>
        <v>98.487932439528819</v>
      </c>
      <c r="N62" s="60">
        <f t="shared" si="143"/>
        <v>98.487932439528819</v>
      </c>
      <c r="O62" s="60">
        <f t="shared" si="143"/>
        <v>98.487932439528819</v>
      </c>
      <c r="P62" s="60">
        <f t="shared" si="143"/>
        <v>98.487932439528819</v>
      </c>
      <c r="Q62" s="60">
        <f t="shared" si="143"/>
        <v>98.487932439528819</v>
      </c>
      <c r="R62" s="60">
        <f t="shared" si="143"/>
        <v>98.487932439528819</v>
      </c>
      <c r="S62" s="60">
        <f t="shared" si="143"/>
        <v>98.487932439528819</v>
      </c>
      <c r="T62" s="60">
        <f t="shared" si="143"/>
        <v>98.487932439528819</v>
      </c>
      <c r="U62" s="60">
        <f t="shared" si="143"/>
        <v>98.487932439528819</v>
      </c>
      <c r="V62" s="60">
        <f t="shared" si="143"/>
        <v>98.487932439528819</v>
      </c>
      <c r="W62" s="60">
        <f t="shared" si="143"/>
        <v>98.487932439528819</v>
      </c>
      <c r="X62" s="60">
        <f t="shared" si="143"/>
        <v>98.487932439528819</v>
      </c>
      <c r="Y62" s="60">
        <f t="shared" si="143"/>
        <v>98.487932439528819</v>
      </c>
      <c r="Z62" s="60">
        <f t="shared" si="143"/>
        <v>98.487932439528819</v>
      </c>
      <c r="AA62" s="60">
        <f t="shared" si="143"/>
        <v>98.487932439528819</v>
      </c>
      <c r="AB62" s="60">
        <f t="shared" si="143"/>
        <v>98.487932439528819</v>
      </c>
      <c r="AC62" s="94">
        <f t="shared" si="116"/>
        <v>1.015352820625</v>
      </c>
      <c r="AD62" s="94">
        <f>IF(D62=".",".",up_RadSpec!$F$27*(AD27*$B62))</f>
        <v>0.25383820515625</v>
      </c>
      <c r="AE62" s="94">
        <f>IF(E62=".",".",up_RadSpec!$F$27*(AE27*$B62))</f>
        <v>0.25383820515625</v>
      </c>
      <c r="AF62" s="94">
        <f>IF(F62=".",".",up_RadSpec!$F$27*(AF27*$B62))</f>
        <v>0.25383820515625</v>
      </c>
      <c r="AG62" s="94">
        <f>IF(G62=".",".",up_RadSpec!$F$27*(AG27*$B62))</f>
        <v>0.25383820515625</v>
      </c>
      <c r="AH62" s="94">
        <f>IF(H62=".",".",up_RadSpec!$F$27*(AH27*$B62))</f>
        <v>0.25383820515625</v>
      </c>
      <c r="AI62" s="94">
        <f>IF(I62=".",".",up_RadSpec!$F$27*(AI27*$B62))</f>
        <v>0.25383820515625</v>
      </c>
      <c r="AJ62" s="94">
        <f>IF(J62=".",".",up_RadSpec!$F$27*(AJ27*$B62))</f>
        <v>0.25383820515625</v>
      </c>
      <c r="AK62" s="94">
        <f>IF(K62=".",".",up_RadSpec!$F$27*(AK27*$B62))</f>
        <v>0.25383820515625</v>
      </c>
      <c r="AL62" s="94">
        <f>IF(L62=".",".",up_RadSpec!$F$27*(AL27*$B62))</f>
        <v>0.25383820515625</v>
      </c>
      <c r="AM62" s="94">
        <f>IF(M62=".",".",up_RadSpec!$F$27*(AM27*$B62))</f>
        <v>0.25383820515625</v>
      </c>
      <c r="AN62" s="94">
        <f>IF(N62=".",".",up_RadSpec!$F$27*(AN27*$B62))</f>
        <v>0.25383820515625</v>
      </c>
      <c r="AO62" s="94">
        <f>IF(O62=".",".",up_RadSpec!$F$27*(AO27*$B62))</f>
        <v>0.25383820515625</v>
      </c>
      <c r="AP62" s="94">
        <f>IF(P62=".",".",up_RadSpec!$F$27*(AP27*$B62))</f>
        <v>0.25383820515625</v>
      </c>
      <c r="AQ62" s="94">
        <f>IF(Q62=".",".",up_RadSpec!$F$27*(AQ27*$B62))</f>
        <v>0.25383820515625</v>
      </c>
      <c r="AR62" s="94">
        <f>IF(R62=".",".",up_RadSpec!$F$27*(AR27*$B62))</f>
        <v>0.25383820515625</v>
      </c>
      <c r="AS62" s="94">
        <f>IF(S62=".",".",up_RadSpec!$F$27*(AS27*$B62))</f>
        <v>0.25383820515625</v>
      </c>
      <c r="AT62" s="94">
        <f>IF(T62=".",".",up_RadSpec!$F$27*(AT27*$B62))</f>
        <v>0.25383820515625</v>
      </c>
      <c r="AU62" s="94">
        <f>IF(U62=".",".",up_RadSpec!$F$27*(AU27*$B62))</f>
        <v>0.25383820515625</v>
      </c>
      <c r="AV62" s="94">
        <f>IF(V62=".",".",up_RadSpec!$F$27*(AV27*$B62))</f>
        <v>0.25383820515625</v>
      </c>
      <c r="AW62" s="94">
        <f>IF(W62=".",".",up_RadSpec!$F$27*(AW27*$B62))</f>
        <v>0.25383820515625</v>
      </c>
      <c r="AX62" s="94">
        <f>IF(X62=".",".",up_RadSpec!$F$27*(AX27*$B62))</f>
        <v>0.25383820515625</v>
      </c>
      <c r="AY62" s="94">
        <f>IF(Y62=".",".",up_RadSpec!$F$27*(AY27*$B62))</f>
        <v>0.25383820515625</v>
      </c>
      <c r="AZ62" s="94">
        <f>IF(Z62=".",".",up_RadSpec!$F$27*(AZ27*$B62))</f>
        <v>0.25383820515625</v>
      </c>
      <c r="BA62" s="94">
        <f>IF(AA62=".",".",up_RadSpec!$F$27*(BA27*$B62))</f>
        <v>0.25383820515625</v>
      </c>
      <c r="BB62" s="94">
        <f>IF(AB62=".",".",up_RadSpec!$F$27*(BB27*$B62))</f>
        <v>0.25383820515625</v>
      </c>
      <c r="BC62" s="60">
        <f t="shared" ref="BC62:CB62" si="144">IFERROR(BC27/$B62,".")</f>
        <v>24.621983109882205</v>
      </c>
      <c r="BD62" s="60">
        <f t="shared" si="144"/>
        <v>98.487932439528819</v>
      </c>
      <c r="BE62" s="60">
        <f t="shared" si="144"/>
        <v>98.487932439528819</v>
      </c>
      <c r="BF62" s="60">
        <f t="shared" si="144"/>
        <v>98.487932439528819</v>
      </c>
      <c r="BG62" s="60">
        <f t="shared" si="144"/>
        <v>98.487932439528819</v>
      </c>
      <c r="BH62" s="60">
        <f t="shared" si="144"/>
        <v>98.487932439528819</v>
      </c>
      <c r="BI62" s="60">
        <f t="shared" si="144"/>
        <v>98.487932439528819</v>
      </c>
      <c r="BJ62" s="60">
        <f t="shared" si="144"/>
        <v>98.487932439528819</v>
      </c>
      <c r="BK62" s="60">
        <f t="shared" si="144"/>
        <v>98.487932439528819</v>
      </c>
      <c r="BL62" s="60">
        <f t="shared" si="144"/>
        <v>98.487932439528819</v>
      </c>
      <c r="BM62" s="60">
        <f t="shared" si="144"/>
        <v>98.487932439528819</v>
      </c>
      <c r="BN62" s="60">
        <f t="shared" si="144"/>
        <v>98.487932439528819</v>
      </c>
      <c r="BO62" s="60">
        <f t="shared" si="144"/>
        <v>98.487932439528819</v>
      </c>
      <c r="BP62" s="60">
        <f t="shared" si="144"/>
        <v>98.487932439528819</v>
      </c>
      <c r="BQ62" s="60">
        <f t="shared" si="144"/>
        <v>98.487932439528819</v>
      </c>
      <c r="BR62" s="60">
        <f t="shared" si="144"/>
        <v>98.487932439528819</v>
      </c>
      <c r="BS62" s="60">
        <f t="shared" si="144"/>
        <v>98.487932439528819</v>
      </c>
      <c r="BT62" s="60">
        <f t="shared" si="144"/>
        <v>98.487932439528819</v>
      </c>
      <c r="BU62" s="60">
        <f t="shared" si="144"/>
        <v>98.487932439528819</v>
      </c>
      <c r="BV62" s="60">
        <f t="shared" si="144"/>
        <v>98.487932439528819</v>
      </c>
      <c r="BW62" s="60">
        <f t="shared" si="144"/>
        <v>98.487932439528819</v>
      </c>
      <c r="BX62" s="60">
        <f t="shared" si="144"/>
        <v>98.487932439528819</v>
      </c>
      <c r="BY62" s="60">
        <f t="shared" si="144"/>
        <v>98.487932439528819</v>
      </c>
      <c r="BZ62" s="60">
        <f t="shared" si="144"/>
        <v>98.487932439528819</v>
      </c>
      <c r="CA62" s="60">
        <f t="shared" si="144"/>
        <v>98.487932439528819</v>
      </c>
      <c r="CB62" s="60">
        <f t="shared" si="144"/>
        <v>98.487932439528819</v>
      </c>
      <c r="CC62" s="94">
        <f t="shared" si="118"/>
        <v>1.015352820625</v>
      </c>
      <c r="CD62" s="94">
        <f>IF(BD62=".",".",up_RadSpec!$F$27*(CD27*$B62))</f>
        <v>0.25383820515625</v>
      </c>
      <c r="CE62" s="94">
        <f>IF(BE62=".",".",up_RadSpec!$F$27*(CE27*$B62))</f>
        <v>0.25383820515625</v>
      </c>
      <c r="CF62" s="94">
        <f>IF(BF62=".",".",up_RadSpec!$F$27*(CF27*$B62))</f>
        <v>0.25383820515625</v>
      </c>
      <c r="CG62" s="94">
        <f>IF(BG62=".",".",up_RadSpec!$F$27*(CG27*$B62))</f>
        <v>0.25383820515625</v>
      </c>
      <c r="CH62" s="94">
        <f>IF(BH62=".",".",up_RadSpec!$F$27*(CH27*$B62))</f>
        <v>0.25383820515625</v>
      </c>
      <c r="CI62" s="94">
        <f>IF(BI62=".",".",up_RadSpec!$F$27*(CI27*$B62))</f>
        <v>0.25383820515625</v>
      </c>
      <c r="CJ62" s="94">
        <f>IF(BJ62=".",".",up_RadSpec!$F$27*(CJ27*$B62))</f>
        <v>0.25383820515625</v>
      </c>
      <c r="CK62" s="94">
        <f>IF(BK62=".",".",up_RadSpec!$F$27*(CK27*$B62))</f>
        <v>0.25383820515625</v>
      </c>
      <c r="CL62" s="94">
        <f>IF(BL62=".",".",up_RadSpec!$F$27*(CL27*$B62))</f>
        <v>0.25383820515625</v>
      </c>
      <c r="CM62" s="94">
        <f>IF(BM62=".",".",up_RadSpec!$F$27*(CM27*$B62))</f>
        <v>0.25383820515625</v>
      </c>
      <c r="CN62" s="94">
        <f>IF(BN62=".",".",up_RadSpec!$F$27*(CN27*$B62))</f>
        <v>0.25383820515625</v>
      </c>
      <c r="CO62" s="94">
        <f>IF(BO62=".",".",up_RadSpec!$F$27*(CO27*$B62))</f>
        <v>0.25383820515625</v>
      </c>
      <c r="CP62" s="94">
        <f>IF(BP62=".",".",up_RadSpec!$F$27*(CP27*$B62))</f>
        <v>0.25383820515625</v>
      </c>
      <c r="CQ62" s="94">
        <f>IF(BQ62=".",".",up_RadSpec!$F$27*(CQ27*$B62))</f>
        <v>0.25383820515625</v>
      </c>
      <c r="CR62" s="94">
        <f>IF(BR62=".",".",up_RadSpec!$F$27*(CR27*$B62))</f>
        <v>0.25383820515625</v>
      </c>
      <c r="CS62" s="94">
        <f>IF(BS62=".",".",up_RadSpec!$F$27*(CS27*$B62))</f>
        <v>0.25383820515625</v>
      </c>
      <c r="CT62" s="94">
        <f>IF(BT62=".",".",up_RadSpec!$F$27*(CT27*$B62))</f>
        <v>0.25383820515625</v>
      </c>
      <c r="CU62" s="94">
        <f>IF(BU62=".",".",up_RadSpec!$F$27*(CU27*$B62))</f>
        <v>0.25383820515625</v>
      </c>
      <c r="CV62" s="94">
        <f>IF(BV62=".",".",up_RadSpec!$F$27*(CV27*$B62))</f>
        <v>0.25383820515625</v>
      </c>
      <c r="CW62" s="94">
        <f>IF(BW62=".",".",up_RadSpec!$F$27*(CW27*$B62))</f>
        <v>0.25383820515625</v>
      </c>
      <c r="CX62" s="94">
        <f>IF(BX62=".",".",up_RadSpec!$F$27*(CX27*$B62))</f>
        <v>0.25383820515625</v>
      </c>
      <c r="CY62" s="94">
        <f>IF(BY62=".",".",up_RadSpec!$F$27*(CY27*$B62))</f>
        <v>0.25383820515625</v>
      </c>
      <c r="CZ62" s="94">
        <f>IF(BZ62=".",".",up_RadSpec!$F$27*(CZ27*$B62))</f>
        <v>0.25383820515625</v>
      </c>
      <c r="DA62" s="94">
        <f>IF(CA62=".",".",up_RadSpec!$F$27*(DA27*$B62))</f>
        <v>0.25383820515625</v>
      </c>
      <c r="DB62" s="94">
        <f>IF(CB62=".",".",up_RadSpec!$F$27*(DB27*$B62))</f>
        <v>0.25383820515625</v>
      </c>
    </row>
    <row r="63" spans="1:106" x14ac:dyDescent="0.25">
      <c r="A63" s="76" t="s">
        <v>23</v>
      </c>
      <c r="B63" s="76" t="s">
        <v>1057</v>
      </c>
      <c r="C63" s="58">
        <f t="shared" ref="C63:AB63" si="145">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4.1211037234591777E-6</v>
      </c>
      <c r="D63" s="58">
        <f t="shared" si="145"/>
        <v>1.6484414893836711E-5</v>
      </c>
      <c r="E63" s="58">
        <f t="shared" si="145"/>
        <v>1.6484414893836711E-5</v>
      </c>
      <c r="F63" s="58">
        <f t="shared" si="145"/>
        <v>1.6484414893836711E-5</v>
      </c>
      <c r="G63" s="58">
        <f t="shared" si="145"/>
        <v>1.6484414893836711E-5</v>
      </c>
      <c r="H63" s="58">
        <f t="shared" si="145"/>
        <v>1.6484414893836711E-5</v>
      </c>
      <c r="I63" s="58">
        <f t="shared" si="145"/>
        <v>1.6484414893836711E-5</v>
      </c>
      <c r="J63" s="58">
        <f t="shared" si="145"/>
        <v>1.6484414893836711E-5</v>
      </c>
      <c r="K63" s="58">
        <f t="shared" si="145"/>
        <v>1.6484414893836711E-5</v>
      </c>
      <c r="L63" s="58">
        <f t="shared" si="145"/>
        <v>1.6484414893836711E-5</v>
      </c>
      <c r="M63" s="58">
        <f t="shared" si="145"/>
        <v>1.6484414893836711E-5</v>
      </c>
      <c r="N63" s="58">
        <f t="shared" si="145"/>
        <v>1.6484414893836711E-5</v>
      </c>
      <c r="O63" s="58">
        <f t="shared" si="145"/>
        <v>1.6484414893836711E-5</v>
      </c>
      <c r="P63" s="58">
        <f t="shared" si="145"/>
        <v>1.6484414893836711E-5</v>
      </c>
      <c r="Q63" s="58">
        <f t="shared" si="145"/>
        <v>1.6484414893836711E-5</v>
      </c>
      <c r="R63" s="58">
        <f t="shared" si="145"/>
        <v>1.6484414893836711E-5</v>
      </c>
      <c r="S63" s="58">
        <f t="shared" si="145"/>
        <v>1.6484414893836711E-5</v>
      </c>
      <c r="T63" s="58">
        <f t="shared" si="145"/>
        <v>1.6484414893836711E-5</v>
      </c>
      <c r="U63" s="58">
        <f t="shared" si="145"/>
        <v>1.6484414893836711E-5</v>
      </c>
      <c r="V63" s="58">
        <f t="shared" si="145"/>
        <v>1.6484414893836711E-5</v>
      </c>
      <c r="W63" s="58">
        <f t="shared" si="145"/>
        <v>1.6484414893836711E-5</v>
      </c>
      <c r="X63" s="58">
        <f t="shared" si="145"/>
        <v>1.6484414893836711E-5</v>
      </c>
      <c r="Y63" s="58">
        <f t="shared" si="145"/>
        <v>1.6484414893836711E-5</v>
      </c>
      <c r="Z63" s="58">
        <f t="shared" si="145"/>
        <v>1.6484414893836711E-5</v>
      </c>
      <c r="AA63" s="58">
        <f t="shared" si="145"/>
        <v>1.6484414893836711E-5</v>
      </c>
      <c r="AB63" s="58">
        <f t="shared" si="145"/>
        <v>1.6484414893836711E-5</v>
      </c>
      <c r="AC63" s="91">
        <f>IFERROR(SUM(AD64:AD76,AU64:AU76,BA64:BA76,BB64:BB76),".")</f>
        <v>6066336.0297603654</v>
      </c>
      <c r="AD63" s="91">
        <f>IFERROR(SUM(AD64:AD76),".")</f>
        <v>1516584.0074400916</v>
      </c>
      <c r="AE63" s="91">
        <f t="shared" ref="AE63:BB63" si="146">IFERROR(SUM(AE64:AE76),".")</f>
        <v>1516584.0074400916</v>
      </c>
      <c r="AF63" s="91">
        <f t="shared" si="146"/>
        <v>1516584.0074400916</v>
      </c>
      <c r="AG63" s="91">
        <f t="shared" si="146"/>
        <v>1516584.0074400916</v>
      </c>
      <c r="AH63" s="91">
        <f t="shared" si="146"/>
        <v>1516584.0074400916</v>
      </c>
      <c r="AI63" s="91">
        <f t="shared" si="146"/>
        <v>1516584.0074400916</v>
      </c>
      <c r="AJ63" s="91">
        <f t="shared" si="146"/>
        <v>1516584.0074400916</v>
      </c>
      <c r="AK63" s="91">
        <f t="shared" si="146"/>
        <v>1516584.0074400916</v>
      </c>
      <c r="AL63" s="91">
        <f t="shared" si="146"/>
        <v>1516584.0074400916</v>
      </c>
      <c r="AM63" s="91">
        <f t="shared" si="146"/>
        <v>1516584.0074400916</v>
      </c>
      <c r="AN63" s="91">
        <f t="shared" si="146"/>
        <v>1516584.0074400916</v>
      </c>
      <c r="AO63" s="91">
        <f t="shared" si="146"/>
        <v>1516584.0074400916</v>
      </c>
      <c r="AP63" s="91">
        <f t="shared" si="146"/>
        <v>1516584.0074400916</v>
      </c>
      <c r="AQ63" s="91">
        <f t="shared" si="146"/>
        <v>1516584.0074400916</v>
      </c>
      <c r="AR63" s="91">
        <f t="shared" si="146"/>
        <v>1516584.0074400916</v>
      </c>
      <c r="AS63" s="91">
        <f t="shared" si="146"/>
        <v>1516584.0074400916</v>
      </c>
      <c r="AT63" s="91">
        <f t="shared" si="146"/>
        <v>1516584.0074400916</v>
      </c>
      <c r="AU63" s="91">
        <f t="shared" si="146"/>
        <v>1516584.0074400916</v>
      </c>
      <c r="AV63" s="91">
        <f t="shared" si="146"/>
        <v>1516584.0074400916</v>
      </c>
      <c r="AW63" s="91">
        <f t="shared" si="146"/>
        <v>1516584.0074400916</v>
      </c>
      <c r="AX63" s="91">
        <f t="shared" si="146"/>
        <v>1516584.0074400916</v>
      </c>
      <c r="AY63" s="91">
        <f t="shared" si="146"/>
        <v>1516584.0074400916</v>
      </c>
      <c r="AZ63" s="91">
        <f t="shared" si="146"/>
        <v>1516584.0074400916</v>
      </c>
      <c r="BA63" s="91">
        <f t="shared" si="146"/>
        <v>1516584.0074400916</v>
      </c>
      <c r="BB63" s="91">
        <f t="shared" si="146"/>
        <v>1516584.0074400916</v>
      </c>
      <c r="BC63" s="58">
        <f t="shared" ref="BC63:CB63" si="147">IFERROR(1/SUM(IFERROR(1/SUMIF(BC64,"&lt;&gt;.",BC64),0),IFERROR(1/SUMIF(BC65,"&lt;&gt;.",BC65),0),IFERROR(1/SUMIF(BC66,"&lt;&gt;.",BC66),0),IFERROR(1/SUMIF(BC67,"&lt;&gt;.",BC67),0),IFERROR(1/SUMIF(BC68,"&lt;&gt;.",BC68),0),IFERROR(1/SUMIF(BC69,"&lt;&gt;.",BC69),0),IFERROR(1/SUMIF(BC70,"&lt;&gt;.",BC70),0),IFERROR(1/SUMIF(BC71,"&lt;&gt;.",BC71),0),IFERROR(1/SUMIF(BC72,"&lt;&gt;.",BC72),0),IFERROR(1/SUMIF(BC73,"&lt;&gt;.",BC73),0),IFERROR(1/SUMIF(BC74,"&lt;&gt;.",BC74),0),IFERROR(1/SUMIF(BC75,"&lt;&gt;.",BC75),0),IFERROR(1/SUMIF(BC76,"&lt;&gt;.",BC76),0)),".")</f>
        <v>4.1211037234591777E-6</v>
      </c>
      <c r="BD63" s="58">
        <f t="shared" si="147"/>
        <v>1.6484414893836711E-5</v>
      </c>
      <c r="BE63" s="58">
        <f t="shared" si="147"/>
        <v>1.6484414893836711E-5</v>
      </c>
      <c r="BF63" s="58">
        <f t="shared" si="147"/>
        <v>1.6484414893836711E-5</v>
      </c>
      <c r="BG63" s="58">
        <f t="shared" si="147"/>
        <v>1.6484414893836711E-5</v>
      </c>
      <c r="BH63" s="58">
        <f t="shared" si="147"/>
        <v>1.6484414893836711E-5</v>
      </c>
      <c r="BI63" s="58">
        <f t="shared" si="147"/>
        <v>1.6484414893836711E-5</v>
      </c>
      <c r="BJ63" s="58">
        <f t="shared" si="147"/>
        <v>1.6484414893836711E-5</v>
      </c>
      <c r="BK63" s="58">
        <f t="shared" si="147"/>
        <v>1.6484414893836711E-5</v>
      </c>
      <c r="BL63" s="58">
        <f t="shared" si="147"/>
        <v>1.6484414893836711E-5</v>
      </c>
      <c r="BM63" s="58">
        <f t="shared" si="147"/>
        <v>1.6484414893836711E-5</v>
      </c>
      <c r="BN63" s="58">
        <f t="shared" si="147"/>
        <v>1.6484414893836711E-5</v>
      </c>
      <c r="BO63" s="58">
        <f t="shared" si="147"/>
        <v>1.6484414893836711E-5</v>
      </c>
      <c r="BP63" s="58">
        <f t="shared" si="147"/>
        <v>1.6484414893836711E-5</v>
      </c>
      <c r="BQ63" s="58">
        <f t="shared" si="147"/>
        <v>1.6484414893836711E-5</v>
      </c>
      <c r="BR63" s="58">
        <f t="shared" si="147"/>
        <v>1.6484414893836711E-5</v>
      </c>
      <c r="BS63" s="58">
        <f t="shared" si="147"/>
        <v>1.6484414893836711E-5</v>
      </c>
      <c r="BT63" s="58">
        <f t="shared" si="147"/>
        <v>1.6484414893836711E-5</v>
      </c>
      <c r="BU63" s="58">
        <f t="shared" si="147"/>
        <v>1.6484414893836711E-5</v>
      </c>
      <c r="BV63" s="58">
        <f t="shared" si="147"/>
        <v>1.6484414893836711E-5</v>
      </c>
      <c r="BW63" s="58">
        <f t="shared" si="147"/>
        <v>1.6484414893836711E-5</v>
      </c>
      <c r="BX63" s="58">
        <f t="shared" si="147"/>
        <v>1.6484414893836711E-5</v>
      </c>
      <c r="BY63" s="58">
        <f t="shared" si="147"/>
        <v>1.6484414893836711E-5</v>
      </c>
      <c r="BZ63" s="58">
        <f t="shared" si="147"/>
        <v>1.6484414893836711E-5</v>
      </c>
      <c r="CA63" s="58">
        <f t="shared" si="147"/>
        <v>1.6484414893836711E-5</v>
      </c>
      <c r="CB63" s="58">
        <f t="shared" si="147"/>
        <v>1.6484414893836711E-5</v>
      </c>
      <c r="CC63" s="91">
        <f>IFERROR(SUM(CD64:CD76,CU64:CU76,DA64:DA76,DB64:DB76),".")</f>
        <v>6066336.0297603654</v>
      </c>
      <c r="CD63" s="91">
        <f>IFERROR(SUM(CD64:CD76),".")</f>
        <v>1516584.0074400916</v>
      </c>
      <c r="CE63" s="91">
        <f t="shared" ref="CE63" si="148">IFERROR(SUM(CE64:CE76),".")</f>
        <v>1516584.0074400916</v>
      </c>
      <c r="CF63" s="91">
        <f t="shared" ref="CF63" si="149">IFERROR(SUM(CF64:CF76),".")</f>
        <v>1516584.0074400916</v>
      </c>
      <c r="CG63" s="91">
        <f t="shared" ref="CG63" si="150">IFERROR(SUM(CG64:CG76),".")</f>
        <v>1516584.0074400916</v>
      </c>
      <c r="CH63" s="91">
        <f t="shared" ref="CH63" si="151">IFERROR(SUM(CH64:CH76),".")</f>
        <v>1516584.0074400916</v>
      </c>
      <c r="CI63" s="91">
        <f t="shared" ref="CI63" si="152">IFERROR(SUM(CI64:CI76),".")</f>
        <v>1516584.0074400916</v>
      </c>
      <c r="CJ63" s="91">
        <f t="shared" ref="CJ63" si="153">IFERROR(SUM(CJ64:CJ76),".")</f>
        <v>1516584.0074400916</v>
      </c>
      <c r="CK63" s="91">
        <f t="shared" ref="CK63" si="154">IFERROR(SUM(CK64:CK76),".")</f>
        <v>1516584.0074400916</v>
      </c>
      <c r="CL63" s="91">
        <f t="shared" ref="CL63" si="155">IFERROR(SUM(CL64:CL76),".")</f>
        <v>1516584.0074400916</v>
      </c>
      <c r="CM63" s="91">
        <f t="shared" ref="CM63" si="156">IFERROR(SUM(CM64:CM76),".")</f>
        <v>1516584.0074400916</v>
      </c>
      <c r="CN63" s="91">
        <f t="shared" ref="CN63" si="157">IFERROR(SUM(CN64:CN76),".")</f>
        <v>1516584.0074400916</v>
      </c>
      <c r="CO63" s="91">
        <f t="shared" ref="CO63" si="158">IFERROR(SUM(CO64:CO76),".")</f>
        <v>1516584.0074400916</v>
      </c>
      <c r="CP63" s="91">
        <f t="shared" ref="CP63" si="159">IFERROR(SUM(CP64:CP76),".")</f>
        <v>1516584.0074400916</v>
      </c>
      <c r="CQ63" s="91">
        <f t="shared" ref="CQ63" si="160">IFERROR(SUM(CQ64:CQ76),".")</f>
        <v>1516584.0074400916</v>
      </c>
      <c r="CR63" s="91">
        <f t="shared" ref="CR63" si="161">IFERROR(SUM(CR64:CR76),".")</f>
        <v>1516584.0074400916</v>
      </c>
      <c r="CS63" s="91">
        <f t="shared" ref="CS63" si="162">IFERROR(SUM(CS64:CS76),".")</f>
        <v>1516584.0074400916</v>
      </c>
      <c r="CT63" s="91">
        <f t="shared" ref="CT63" si="163">IFERROR(SUM(CT64:CT76),".")</f>
        <v>1516584.0074400916</v>
      </c>
      <c r="CU63" s="91">
        <f t="shared" ref="CU63" si="164">IFERROR(SUM(CU64:CU76),".")</f>
        <v>1516584.0074400916</v>
      </c>
      <c r="CV63" s="91">
        <f t="shared" ref="CV63" si="165">IFERROR(SUM(CV64:CV76),".")</f>
        <v>1516584.0074400916</v>
      </c>
      <c r="CW63" s="91">
        <f t="shared" ref="CW63" si="166">IFERROR(SUM(CW64:CW76),".")</f>
        <v>1516584.0074400916</v>
      </c>
      <c r="CX63" s="91">
        <f t="shared" ref="CX63" si="167">IFERROR(SUM(CX64:CX76),".")</f>
        <v>1516584.0074400916</v>
      </c>
      <c r="CY63" s="91">
        <f t="shared" ref="CY63" si="168">IFERROR(SUM(CY64:CY76),".")</f>
        <v>1516584.0074400916</v>
      </c>
      <c r="CZ63" s="91">
        <f t="shared" ref="CZ63" si="169">IFERROR(SUM(CZ64:CZ76),".")</f>
        <v>1516584.0074400916</v>
      </c>
      <c r="DA63" s="91">
        <f t="shared" ref="DA63" si="170">IFERROR(SUM(DA64:DA76),".")</f>
        <v>1516584.0074400916</v>
      </c>
      <c r="DB63" s="91">
        <f t="shared" ref="DB63" si="171">IFERROR(SUM(DB64:DB76),".")</f>
        <v>1516584.0074400916</v>
      </c>
    </row>
    <row r="64" spans="1:106" x14ac:dyDescent="0.25">
      <c r="A64" s="77" t="s">
        <v>1073</v>
      </c>
      <c r="B64" s="42">
        <v>1</v>
      </c>
      <c r="C64" s="60">
        <f t="shared" ref="C64:AB64" si="172">IFERROR(C25/$B50,".")</f>
        <v>3.2968835384132272E-5</v>
      </c>
      <c r="D64" s="60">
        <f t="shared" si="172"/>
        <v>1.3187534153652909E-4</v>
      </c>
      <c r="E64" s="60">
        <f t="shared" si="172"/>
        <v>1.3187534153652909E-4</v>
      </c>
      <c r="F64" s="60">
        <f t="shared" si="172"/>
        <v>1.3187534153652909E-4</v>
      </c>
      <c r="G64" s="60">
        <f t="shared" si="172"/>
        <v>1.3187534153652909E-4</v>
      </c>
      <c r="H64" s="60">
        <f t="shared" si="172"/>
        <v>1.3187534153652909E-4</v>
      </c>
      <c r="I64" s="60">
        <f t="shared" si="172"/>
        <v>1.3187534153652909E-4</v>
      </c>
      <c r="J64" s="60">
        <f t="shared" si="172"/>
        <v>1.3187534153652909E-4</v>
      </c>
      <c r="K64" s="60">
        <f t="shared" si="172"/>
        <v>1.3187534153652909E-4</v>
      </c>
      <c r="L64" s="60">
        <f t="shared" si="172"/>
        <v>1.3187534153652909E-4</v>
      </c>
      <c r="M64" s="60">
        <f t="shared" si="172"/>
        <v>1.3187534153652909E-4</v>
      </c>
      <c r="N64" s="60">
        <f t="shared" si="172"/>
        <v>1.3187534153652909E-4</v>
      </c>
      <c r="O64" s="60">
        <f t="shared" si="172"/>
        <v>1.3187534153652909E-4</v>
      </c>
      <c r="P64" s="60">
        <f t="shared" si="172"/>
        <v>1.3187534153652909E-4</v>
      </c>
      <c r="Q64" s="60">
        <f t="shared" si="172"/>
        <v>1.3187534153652909E-4</v>
      </c>
      <c r="R64" s="60">
        <f t="shared" si="172"/>
        <v>1.3187534153652909E-4</v>
      </c>
      <c r="S64" s="60">
        <f t="shared" si="172"/>
        <v>1.3187534153652909E-4</v>
      </c>
      <c r="T64" s="60">
        <f t="shared" si="172"/>
        <v>1.3187534153652909E-4</v>
      </c>
      <c r="U64" s="60">
        <f t="shared" si="172"/>
        <v>1.3187534153652909E-4</v>
      </c>
      <c r="V64" s="60">
        <f t="shared" si="172"/>
        <v>1.3187534153652909E-4</v>
      </c>
      <c r="W64" s="60">
        <f t="shared" si="172"/>
        <v>1.3187534153652909E-4</v>
      </c>
      <c r="X64" s="60">
        <f t="shared" si="172"/>
        <v>1.3187534153652909E-4</v>
      </c>
      <c r="Y64" s="60">
        <f t="shared" si="172"/>
        <v>1.3187534153652909E-4</v>
      </c>
      <c r="Z64" s="60">
        <f t="shared" si="172"/>
        <v>1.3187534153652909E-4</v>
      </c>
      <c r="AA64" s="60">
        <f t="shared" si="172"/>
        <v>1.3187534153652909E-4</v>
      </c>
      <c r="AB64" s="60">
        <f t="shared" si="172"/>
        <v>1.3187534153652909E-4</v>
      </c>
      <c r="AC64" s="94">
        <f t="shared" ref="AC64:AC76" si="173">IF(AND(AD64&lt;&gt;".",AU64&lt;&gt;".",BA64&lt;&gt;".",BB64&lt;&gt;"."),SUM(AD64,AU64,BA64:BB64),".")</f>
        <v>758291.875</v>
      </c>
      <c r="AD64" s="94">
        <f>IF(D64=".",".",up_RadSpec!$F$25*(AD25*$B64))</f>
        <v>189572.96875</v>
      </c>
      <c r="AE64" s="94">
        <f>IF(E64=".",".",up_RadSpec!$F$25*(AE25*$B64))</f>
        <v>189572.96875</v>
      </c>
      <c r="AF64" s="94">
        <f>IF(F64=".",".",up_RadSpec!$F$25*(AF25*$B64))</f>
        <v>189572.96875</v>
      </c>
      <c r="AG64" s="94">
        <f>IF(G64=".",".",up_RadSpec!$F$25*(AG25*$B64))</f>
        <v>189572.96875</v>
      </c>
      <c r="AH64" s="94">
        <f>IF(H64=".",".",up_RadSpec!$F$25*(AH25*$B64))</f>
        <v>189572.96875</v>
      </c>
      <c r="AI64" s="94">
        <f>IF(I64=".",".",up_RadSpec!$F$25*(AI25*$B64))</f>
        <v>189572.96875</v>
      </c>
      <c r="AJ64" s="94">
        <f>IF(J64=".",".",up_RadSpec!$F$25*(AJ25*$B64))</f>
        <v>189572.96875</v>
      </c>
      <c r="AK64" s="94">
        <f>IF(K64=".",".",up_RadSpec!$F$25*(AK25*$B64))</f>
        <v>189572.96875</v>
      </c>
      <c r="AL64" s="94">
        <f>IF(L64=".",".",up_RadSpec!$F$25*(AL25*$B64))</f>
        <v>189572.96875</v>
      </c>
      <c r="AM64" s="94">
        <f>IF(M64=".",".",up_RadSpec!$F$25*(AM25*$B64))</f>
        <v>189572.96875</v>
      </c>
      <c r="AN64" s="94">
        <f>IF(N64=".",".",up_RadSpec!$F$25*(AN25*$B64))</f>
        <v>189572.96875</v>
      </c>
      <c r="AO64" s="94">
        <f>IF(O64=".",".",up_RadSpec!$F$25*(AO25*$B64))</f>
        <v>189572.96875</v>
      </c>
      <c r="AP64" s="94">
        <f>IF(P64=".",".",up_RadSpec!$F$25*(AP25*$B64))</f>
        <v>189572.96875</v>
      </c>
      <c r="AQ64" s="94">
        <f>IF(Q64=".",".",up_RadSpec!$F$25*(AQ25*$B64))</f>
        <v>189572.96875</v>
      </c>
      <c r="AR64" s="94">
        <f>IF(R64=".",".",up_RadSpec!$F$25*(AR25*$B64))</f>
        <v>189572.96875</v>
      </c>
      <c r="AS64" s="94">
        <f>IF(S64=".",".",up_RadSpec!$F$25*(AS25*$B64))</f>
        <v>189572.96875</v>
      </c>
      <c r="AT64" s="94">
        <f>IF(T64=".",".",up_RadSpec!$F$25*(AT25*$B64))</f>
        <v>189572.96875</v>
      </c>
      <c r="AU64" s="94">
        <f>IF(U64=".",".",up_RadSpec!$F$25*(AU25*$B64))</f>
        <v>189572.96875</v>
      </c>
      <c r="AV64" s="94">
        <f>IF(V64=".",".",up_RadSpec!$F$25*(AV25*$B64))</f>
        <v>189572.96875</v>
      </c>
      <c r="AW64" s="94">
        <f>IF(W64=".",".",up_RadSpec!$F$25*(AW25*$B64))</f>
        <v>189572.96875</v>
      </c>
      <c r="AX64" s="94">
        <f>IF(X64=".",".",up_RadSpec!$F$25*(AX25*$B64))</f>
        <v>189572.96875</v>
      </c>
      <c r="AY64" s="94">
        <f>IF(Y64=".",".",up_RadSpec!$F$25*(AY25*$B64))</f>
        <v>189572.96875</v>
      </c>
      <c r="AZ64" s="94">
        <f>IF(Z64=".",".",up_RadSpec!$F$25*(AZ25*$B64))</f>
        <v>189572.96875</v>
      </c>
      <c r="BA64" s="94">
        <f>IF(AA64=".",".",up_RadSpec!$F$25*(BA25*$B64))</f>
        <v>189572.96875</v>
      </c>
      <c r="BB64" s="94">
        <f>IF(AB64=".",".",up_RadSpec!$F$25*(BB25*$B64))</f>
        <v>189572.96875</v>
      </c>
      <c r="BC64" s="60">
        <f t="shared" ref="BC64:CB64" si="174">IFERROR(BC25/$B50,".")</f>
        <v>3.2968835384132272E-5</v>
      </c>
      <c r="BD64" s="60">
        <f t="shared" si="174"/>
        <v>1.3187534153652909E-4</v>
      </c>
      <c r="BE64" s="60">
        <f t="shared" si="174"/>
        <v>1.3187534153652909E-4</v>
      </c>
      <c r="BF64" s="60">
        <f t="shared" si="174"/>
        <v>1.3187534153652909E-4</v>
      </c>
      <c r="BG64" s="60">
        <f t="shared" si="174"/>
        <v>1.3187534153652909E-4</v>
      </c>
      <c r="BH64" s="60">
        <f t="shared" si="174"/>
        <v>1.3187534153652909E-4</v>
      </c>
      <c r="BI64" s="60">
        <f t="shared" si="174"/>
        <v>1.3187534153652909E-4</v>
      </c>
      <c r="BJ64" s="60">
        <f t="shared" si="174"/>
        <v>1.3187534153652909E-4</v>
      </c>
      <c r="BK64" s="60">
        <f t="shared" si="174"/>
        <v>1.3187534153652909E-4</v>
      </c>
      <c r="BL64" s="60">
        <f t="shared" si="174"/>
        <v>1.3187534153652909E-4</v>
      </c>
      <c r="BM64" s="60">
        <f t="shared" si="174"/>
        <v>1.3187534153652909E-4</v>
      </c>
      <c r="BN64" s="60">
        <f t="shared" si="174"/>
        <v>1.3187534153652909E-4</v>
      </c>
      <c r="BO64" s="60">
        <f t="shared" si="174"/>
        <v>1.3187534153652909E-4</v>
      </c>
      <c r="BP64" s="60">
        <f t="shared" si="174"/>
        <v>1.3187534153652909E-4</v>
      </c>
      <c r="BQ64" s="60">
        <f t="shared" si="174"/>
        <v>1.3187534153652909E-4</v>
      </c>
      <c r="BR64" s="60">
        <f t="shared" si="174"/>
        <v>1.3187534153652909E-4</v>
      </c>
      <c r="BS64" s="60">
        <f t="shared" si="174"/>
        <v>1.3187534153652909E-4</v>
      </c>
      <c r="BT64" s="60">
        <f t="shared" si="174"/>
        <v>1.3187534153652909E-4</v>
      </c>
      <c r="BU64" s="60">
        <f t="shared" si="174"/>
        <v>1.3187534153652909E-4</v>
      </c>
      <c r="BV64" s="60">
        <f t="shared" si="174"/>
        <v>1.3187534153652909E-4</v>
      </c>
      <c r="BW64" s="60">
        <f t="shared" si="174"/>
        <v>1.3187534153652909E-4</v>
      </c>
      <c r="BX64" s="60">
        <f t="shared" si="174"/>
        <v>1.3187534153652909E-4</v>
      </c>
      <c r="BY64" s="60">
        <f t="shared" si="174"/>
        <v>1.3187534153652909E-4</v>
      </c>
      <c r="BZ64" s="60">
        <f t="shared" si="174"/>
        <v>1.3187534153652909E-4</v>
      </c>
      <c r="CA64" s="60">
        <f t="shared" si="174"/>
        <v>1.3187534153652909E-4</v>
      </c>
      <c r="CB64" s="60">
        <f t="shared" si="174"/>
        <v>1.3187534153652909E-4</v>
      </c>
      <c r="CC64" s="94">
        <f t="shared" ref="CC64:CC76" si="175">IF(AND(CD64&lt;&gt;".",CU64&lt;&gt;".",DA64&lt;&gt;".",DB64&lt;&gt;"."),SUM(CD64,CU64,DA64:DB64),".")</f>
        <v>758291.875</v>
      </c>
      <c r="CD64" s="94">
        <f>IF(BD64=".",".",up_RadSpec!$F$25*(CD25*$B64))</f>
        <v>189572.96875</v>
      </c>
      <c r="CE64" s="94">
        <f>IF(BE64=".",".",up_RadSpec!$F$25*(CE25*$B64))</f>
        <v>189572.96875</v>
      </c>
      <c r="CF64" s="94">
        <f>IF(BF64=".",".",up_RadSpec!$F$25*(CF25*$B64))</f>
        <v>189572.96875</v>
      </c>
      <c r="CG64" s="94">
        <f>IF(BG64=".",".",up_RadSpec!$F$25*(CG25*$B64))</f>
        <v>189572.96875</v>
      </c>
      <c r="CH64" s="94">
        <f>IF(BH64=".",".",up_RadSpec!$F$25*(CH25*$B64))</f>
        <v>189572.96875</v>
      </c>
      <c r="CI64" s="94">
        <f>IF(BI64=".",".",up_RadSpec!$F$25*(CI25*$B64))</f>
        <v>189572.96875</v>
      </c>
      <c r="CJ64" s="94">
        <f>IF(BJ64=".",".",up_RadSpec!$F$25*(CJ25*$B64))</f>
        <v>189572.96875</v>
      </c>
      <c r="CK64" s="94">
        <f>IF(BK64=".",".",up_RadSpec!$F$25*(CK25*$B64))</f>
        <v>189572.96875</v>
      </c>
      <c r="CL64" s="94">
        <f>IF(BL64=".",".",up_RadSpec!$F$25*(CL25*$B64))</f>
        <v>189572.96875</v>
      </c>
      <c r="CM64" s="94">
        <f>IF(BM64=".",".",up_RadSpec!$F$25*(CM25*$B64))</f>
        <v>189572.96875</v>
      </c>
      <c r="CN64" s="94">
        <f>IF(BN64=".",".",up_RadSpec!$F$25*(CN25*$B64))</f>
        <v>189572.96875</v>
      </c>
      <c r="CO64" s="94">
        <f>IF(BO64=".",".",up_RadSpec!$F$25*(CO25*$B64))</f>
        <v>189572.96875</v>
      </c>
      <c r="CP64" s="94">
        <f>IF(BP64=".",".",up_RadSpec!$F$25*(CP25*$B64))</f>
        <v>189572.96875</v>
      </c>
      <c r="CQ64" s="94">
        <f>IF(BQ64=".",".",up_RadSpec!$F$25*(CQ25*$B64))</f>
        <v>189572.96875</v>
      </c>
      <c r="CR64" s="94">
        <f>IF(BR64=".",".",up_RadSpec!$F$25*(CR25*$B64))</f>
        <v>189572.96875</v>
      </c>
      <c r="CS64" s="94">
        <f>IF(BS64=".",".",up_RadSpec!$F$25*(CS25*$B64))</f>
        <v>189572.96875</v>
      </c>
      <c r="CT64" s="94">
        <f>IF(BT64=".",".",up_RadSpec!$F$25*(CT25*$B64))</f>
        <v>189572.96875</v>
      </c>
      <c r="CU64" s="94">
        <f>IF(BU64=".",".",up_RadSpec!$F$25*(CU25*$B64))</f>
        <v>189572.96875</v>
      </c>
      <c r="CV64" s="94">
        <f>IF(BV64=".",".",up_RadSpec!$F$25*(CV25*$B64))</f>
        <v>189572.96875</v>
      </c>
      <c r="CW64" s="94">
        <f>IF(BW64=".",".",up_RadSpec!$F$25*(CW25*$B64))</f>
        <v>189572.96875</v>
      </c>
      <c r="CX64" s="94">
        <f>IF(BX64=".",".",up_RadSpec!$F$25*(CX25*$B64))</f>
        <v>189572.96875</v>
      </c>
      <c r="CY64" s="94">
        <f>IF(BY64=".",".",up_RadSpec!$F$25*(CY25*$B64))</f>
        <v>189572.96875</v>
      </c>
      <c r="CZ64" s="94">
        <f>IF(BZ64=".",".",up_RadSpec!$F$25*(CZ25*$B64))</f>
        <v>189572.96875</v>
      </c>
      <c r="DA64" s="94">
        <f>IF(CA64=".",".",up_RadSpec!$F$25*(DA25*$B64))</f>
        <v>189572.96875</v>
      </c>
      <c r="DB64" s="94">
        <f>IF(CB64=".",".",up_RadSpec!$F$25*(DB25*$B64))</f>
        <v>189572.96875</v>
      </c>
    </row>
    <row r="65" spans="1:106" x14ac:dyDescent="0.25">
      <c r="A65" s="77" t="s">
        <v>1059</v>
      </c>
      <c r="B65" s="42">
        <v>1</v>
      </c>
      <c r="C65" s="60">
        <f t="shared" ref="C65:AB65" si="176">IFERROR(C21/$B51,".")</f>
        <v>3.2968835384132272E-5</v>
      </c>
      <c r="D65" s="60">
        <f t="shared" si="176"/>
        <v>1.3187534153652909E-4</v>
      </c>
      <c r="E65" s="60">
        <f t="shared" si="176"/>
        <v>1.3187534153652909E-4</v>
      </c>
      <c r="F65" s="60">
        <f t="shared" si="176"/>
        <v>1.3187534153652909E-4</v>
      </c>
      <c r="G65" s="60">
        <f t="shared" si="176"/>
        <v>1.3187534153652909E-4</v>
      </c>
      <c r="H65" s="60">
        <f t="shared" si="176"/>
        <v>1.3187534153652909E-4</v>
      </c>
      <c r="I65" s="60">
        <f t="shared" si="176"/>
        <v>1.3187534153652909E-4</v>
      </c>
      <c r="J65" s="60">
        <f t="shared" si="176"/>
        <v>1.3187534153652909E-4</v>
      </c>
      <c r="K65" s="60">
        <f t="shared" si="176"/>
        <v>1.3187534153652909E-4</v>
      </c>
      <c r="L65" s="60">
        <f t="shared" si="176"/>
        <v>1.3187534153652909E-4</v>
      </c>
      <c r="M65" s="60">
        <f t="shared" si="176"/>
        <v>1.3187534153652909E-4</v>
      </c>
      <c r="N65" s="60">
        <f t="shared" si="176"/>
        <v>1.3187534153652909E-4</v>
      </c>
      <c r="O65" s="60">
        <f t="shared" si="176"/>
        <v>1.3187534153652909E-4</v>
      </c>
      <c r="P65" s="60">
        <f t="shared" si="176"/>
        <v>1.3187534153652909E-4</v>
      </c>
      <c r="Q65" s="60">
        <f t="shared" si="176"/>
        <v>1.3187534153652909E-4</v>
      </c>
      <c r="R65" s="60">
        <f t="shared" si="176"/>
        <v>1.3187534153652909E-4</v>
      </c>
      <c r="S65" s="60">
        <f t="shared" si="176"/>
        <v>1.3187534153652909E-4</v>
      </c>
      <c r="T65" s="60">
        <f t="shared" si="176"/>
        <v>1.3187534153652909E-4</v>
      </c>
      <c r="U65" s="60">
        <f t="shared" si="176"/>
        <v>1.3187534153652909E-4</v>
      </c>
      <c r="V65" s="60">
        <f t="shared" si="176"/>
        <v>1.3187534153652909E-4</v>
      </c>
      <c r="W65" s="60">
        <f t="shared" si="176"/>
        <v>1.3187534153652909E-4</v>
      </c>
      <c r="X65" s="60">
        <f t="shared" si="176"/>
        <v>1.3187534153652909E-4</v>
      </c>
      <c r="Y65" s="60">
        <f t="shared" si="176"/>
        <v>1.3187534153652909E-4</v>
      </c>
      <c r="Z65" s="60">
        <f t="shared" si="176"/>
        <v>1.3187534153652909E-4</v>
      </c>
      <c r="AA65" s="60">
        <f t="shared" si="176"/>
        <v>1.3187534153652909E-4</v>
      </c>
      <c r="AB65" s="60">
        <f t="shared" si="176"/>
        <v>1.3187534153652909E-4</v>
      </c>
      <c r="AC65" s="94">
        <f t="shared" si="173"/>
        <v>758291.875</v>
      </c>
      <c r="AD65" s="94">
        <f>IF(D65=".",".",up_RadSpec!$F$21*(AD21*$B65))</f>
        <v>189572.96875</v>
      </c>
      <c r="AE65" s="94">
        <f>IF(E65=".",".",up_RadSpec!$F$21*(AE21*$B65))</f>
        <v>189572.96875</v>
      </c>
      <c r="AF65" s="94">
        <f>IF(F65=".",".",up_RadSpec!$F$21*(AF21*$B65))</f>
        <v>189572.96875</v>
      </c>
      <c r="AG65" s="94">
        <f>IF(G65=".",".",up_RadSpec!$F$21*(AG21*$B65))</f>
        <v>189572.96875</v>
      </c>
      <c r="AH65" s="94">
        <f>IF(H65=".",".",up_RadSpec!$F$21*(AH21*$B65))</f>
        <v>189572.96875</v>
      </c>
      <c r="AI65" s="94">
        <f>IF(I65=".",".",up_RadSpec!$F$21*(AI21*$B65))</f>
        <v>189572.96875</v>
      </c>
      <c r="AJ65" s="94">
        <f>IF(J65=".",".",up_RadSpec!$F$21*(AJ21*$B65))</f>
        <v>189572.96875</v>
      </c>
      <c r="AK65" s="94">
        <f>IF(K65=".",".",up_RadSpec!$F$21*(AK21*$B65))</f>
        <v>189572.96875</v>
      </c>
      <c r="AL65" s="94">
        <f>IF(L65=".",".",up_RadSpec!$F$21*(AL21*$B65))</f>
        <v>189572.96875</v>
      </c>
      <c r="AM65" s="94">
        <f>IF(M65=".",".",up_RadSpec!$F$21*(AM21*$B65))</f>
        <v>189572.96875</v>
      </c>
      <c r="AN65" s="94">
        <f>IF(N65=".",".",up_RadSpec!$F$21*(AN21*$B65))</f>
        <v>189572.96875</v>
      </c>
      <c r="AO65" s="94">
        <f>IF(O65=".",".",up_RadSpec!$F$21*(AO21*$B65))</f>
        <v>189572.96875</v>
      </c>
      <c r="AP65" s="94">
        <f>IF(P65=".",".",up_RadSpec!$F$21*(AP21*$B65))</f>
        <v>189572.96875</v>
      </c>
      <c r="AQ65" s="94">
        <f>IF(Q65=".",".",up_RadSpec!$F$21*(AQ21*$B65))</f>
        <v>189572.96875</v>
      </c>
      <c r="AR65" s="94">
        <f>IF(R65=".",".",up_RadSpec!$F$21*(AR21*$B65))</f>
        <v>189572.96875</v>
      </c>
      <c r="AS65" s="94">
        <f>IF(S65=".",".",up_RadSpec!$F$21*(AS21*$B65))</f>
        <v>189572.96875</v>
      </c>
      <c r="AT65" s="94">
        <f>IF(T65=".",".",up_RadSpec!$F$21*(AT21*$B65))</f>
        <v>189572.96875</v>
      </c>
      <c r="AU65" s="94">
        <f>IF(U65=".",".",up_RadSpec!$F$21*(AU21*$B65))</f>
        <v>189572.96875</v>
      </c>
      <c r="AV65" s="94">
        <f>IF(V65=".",".",up_RadSpec!$F$21*(AV21*$B65))</f>
        <v>189572.96875</v>
      </c>
      <c r="AW65" s="94">
        <f>IF(W65=".",".",up_RadSpec!$F$21*(AW21*$B65))</f>
        <v>189572.96875</v>
      </c>
      <c r="AX65" s="94">
        <f>IF(X65=".",".",up_RadSpec!$F$21*(AX21*$B65))</f>
        <v>189572.96875</v>
      </c>
      <c r="AY65" s="94">
        <f>IF(Y65=".",".",up_RadSpec!$F$21*(AY21*$B65))</f>
        <v>189572.96875</v>
      </c>
      <c r="AZ65" s="94">
        <f>IF(Z65=".",".",up_RadSpec!$F$21*(AZ21*$B65))</f>
        <v>189572.96875</v>
      </c>
      <c r="BA65" s="94">
        <f>IF(AA65=".",".",up_RadSpec!$F$21*(BA21*$B65))</f>
        <v>189572.96875</v>
      </c>
      <c r="BB65" s="94">
        <f>IF(AB65=".",".",up_RadSpec!$F$21*(BB21*$B65))</f>
        <v>189572.96875</v>
      </c>
      <c r="BC65" s="60">
        <f t="shared" ref="BC65:CB65" si="177">IFERROR(BC21/$B51,".")</f>
        <v>3.2968835384132272E-5</v>
      </c>
      <c r="BD65" s="60">
        <f t="shared" si="177"/>
        <v>1.3187534153652909E-4</v>
      </c>
      <c r="BE65" s="60">
        <f t="shared" si="177"/>
        <v>1.3187534153652909E-4</v>
      </c>
      <c r="BF65" s="60">
        <f t="shared" si="177"/>
        <v>1.3187534153652909E-4</v>
      </c>
      <c r="BG65" s="60">
        <f t="shared" si="177"/>
        <v>1.3187534153652909E-4</v>
      </c>
      <c r="BH65" s="60">
        <f t="shared" si="177"/>
        <v>1.3187534153652909E-4</v>
      </c>
      <c r="BI65" s="60">
        <f t="shared" si="177"/>
        <v>1.3187534153652909E-4</v>
      </c>
      <c r="BJ65" s="60">
        <f t="shared" si="177"/>
        <v>1.3187534153652909E-4</v>
      </c>
      <c r="BK65" s="60">
        <f t="shared" si="177"/>
        <v>1.3187534153652909E-4</v>
      </c>
      <c r="BL65" s="60">
        <f t="shared" si="177"/>
        <v>1.3187534153652909E-4</v>
      </c>
      <c r="BM65" s="60">
        <f t="shared" si="177"/>
        <v>1.3187534153652909E-4</v>
      </c>
      <c r="BN65" s="60">
        <f t="shared" si="177"/>
        <v>1.3187534153652909E-4</v>
      </c>
      <c r="BO65" s="60">
        <f t="shared" si="177"/>
        <v>1.3187534153652909E-4</v>
      </c>
      <c r="BP65" s="60">
        <f t="shared" si="177"/>
        <v>1.3187534153652909E-4</v>
      </c>
      <c r="BQ65" s="60">
        <f t="shared" si="177"/>
        <v>1.3187534153652909E-4</v>
      </c>
      <c r="BR65" s="60">
        <f t="shared" si="177"/>
        <v>1.3187534153652909E-4</v>
      </c>
      <c r="BS65" s="60">
        <f t="shared" si="177"/>
        <v>1.3187534153652909E-4</v>
      </c>
      <c r="BT65" s="60">
        <f t="shared" si="177"/>
        <v>1.3187534153652909E-4</v>
      </c>
      <c r="BU65" s="60">
        <f t="shared" si="177"/>
        <v>1.3187534153652909E-4</v>
      </c>
      <c r="BV65" s="60">
        <f t="shared" si="177"/>
        <v>1.3187534153652909E-4</v>
      </c>
      <c r="BW65" s="60">
        <f t="shared" si="177"/>
        <v>1.3187534153652909E-4</v>
      </c>
      <c r="BX65" s="60">
        <f t="shared" si="177"/>
        <v>1.3187534153652909E-4</v>
      </c>
      <c r="BY65" s="60">
        <f t="shared" si="177"/>
        <v>1.3187534153652909E-4</v>
      </c>
      <c r="BZ65" s="60">
        <f t="shared" si="177"/>
        <v>1.3187534153652909E-4</v>
      </c>
      <c r="CA65" s="60">
        <f t="shared" si="177"/>
        <v>1.3187534153652909E-4</v>
      </c>
      <c r="CB65" s="60">
        <f t="shared" si="177"/>
        <v>1.3187534153652909E-4</v>
      </c>
      <c r="CC65" s="94">
        <f t="shared" si="175"/>
        <v>758291.875</v>
      </c>
      <c r="CD65" s="94">
        <f>IF(BD65=".",".",up_RadSpec!$F$21*(CD21*$B65))</f>
        <v>189572.96875</v>
      </c>
      <c r="CE65" s="94">
        <f>IF(BE65=".",".",up_RadSpec!$F$21*(CE21*$B65))</f>
        <v>189572.96875</v>
      </c>
      <c r="CF65" s="94">
        <f>IF(BF65=".",".",up_RadSpec!$F$21*(CF21*$B65))</f>
        <v>189572.96875</v>
      </c>
      <c r="CG65" s="94">
        <f>IF(BG65=".",".",up_RadSpec!$F$21*(CG21*$B65))</f>
        <v>189572.96875</v>
      </c>
      <c r="CH65" s="94">
        <f>IF(BH65=".",".",up_RadSpec!$F$21*(CH21*$B65))</f>
        <v>189572.96875</v>
      </c>
      <c r="CI65" s="94">
        <f>IF(BI65=".",".",up_RadSpec!$F$21*(CI21*$B65))</f>
        <v>189572.96875</v>
      </c>
      <c r="CJ65" s="94">
        <f>IF(BJ65=".",".",up_RadSpec!$F$21*(CJ21*$B65))</f>
        <v>189572.96875</v>
      </c>
      <c r="CK65" s="94">
        <f>IF(BK65=".",".",up_RadSpec!$F$21*(CK21*$B65))</f>
        <v>189572.96875</v>
      </c>
      <c r="CL65" s="94">
        <f>IF(BL65=".",".",up_RadSpec!$F$21*(CL21*$B65))</f>
        <v>189572.96875</v>
      </c>
      <c r="CM65" s="94">
        <f>IF(BM65=".",".",up_RadSpec!$F$21*(CM21*$B65))</f>
        <v>189572.96875</v>
      </c>
      <c r="CN65" s="94">
        <f>IF(BN65=".",".",up_RadSpec!$F$21*(CN21*$B65))</f>
        <v>189572.96875</v>
      </c>
      <c r="CO65" s="94">
        <f>IF(BO65=".",".",up_RadSpec!$F$21*(CO21*$B65))</f>
        <v>189572.96875</v>
      </c>
      <c r="CP65" s="94">
        <f>IF(BP65=".",".",up_RadSpec!$F$21*(CP21*$B65))</f>
        <v>189572.96875</v>
      </c>
      <c r="CQ65" s="94">
        <f>IF(BQ65=".",".",up_RadSpec!$F$21*(CQ21*$B65))</f>
        <v>189572.96875</v>
      </c>
      <c r="CR65" s="94">
        <f>IF(BR65=".",".",up_RadSpec!$F$21*(CR21*$B65))</f>
        <v>189572.96875</v>
      </c>
      <c r="CS65" s="94">
        <f>IF(BS65=".",".",up_RadSpec!$F$21*(CS21*$B65))</f>
        <v>189572.96875</v>
      </c>
      <c r="CT65" s="94">
        <f>IF(BT65=".",".",up_RadSpec!$F$21*(CT21*$B65))</f>
        <v>189572.96875</v>
      </c>
      <c r="CU65" s="94">
        <f>IF(BU65=".",".",up_RadSpec!$F$21*(CU21*$B65))</f>
        <v>189572.96875</v>
      </c>
      <c r="CV65" s="94">
        <f>IF(BV65=".",".",up_RadSpec!$F$21*(CV21*$B65))</f>
        <v>189572.96875</v>
      </c>
      <c r="CW65" s="94">
        <f>IF(BW65=".",".",up_RadSpec!$F$21*(CW21*$B65))</f>
        <v>189572.96875</v>
      </c>
      <c r="CX65" s="94">
        <f>IF(BX65=".",".",up_RadSpec!$F$21*(CX21*$B65))</f>
        <v>189572.96875</v>
      </c>
      <c r="CY65" s="94">
        <f>IF(BY65=".",".",up_RadSpec!$F$21*(CY21*$B65))</f>
        <v>189572.96875</v>
      </c>
      <c r="CZ65" s="94">
        <f>IF(BZ65=".",".",up_RadSpec!$F$21*(CZ21*$B65))</f>
        <v>189572.96875</v>
      </c>
      <c r="DA65" s="94">
        <f>IF(CA65=".",".",up_RadSpec!$F$21*(DA21*$B65))</f>
        <v>189572.96875</v>
      </c>
      <c r="DB65" s="94">
        <f>IF(CB65=".",".",up_RadSpec!$F$21*(DB21*$B65))</f>
        <v>189572.96875</v>
      </c>
    </row>
    <row r="66" spans="1:106" x14ac:dyDescent="0.25">
      <c r="A66" s="77" t="s">
        <v>1060</v>
      </c>
      <c r="B66" s="79">
        <v>0.99980000000000002</v>
      </c>
      <c r="C66" s="60">
        <f t="shared" ref="C66:AB66" si="178">IFERROR(C17/$B52,".")</f>
        <v>3.2975430470226314E-5</v>
      </c>
      <c r="D66" s="60">
        <f t="shared" si="178"/>
        <v>1.3190172188090525E-4</v>
      </c>
      <c r="E66" s="60">
        <f t="shared" si="178"/>
        <v>1.3190172188090525E-4</v>
      </c>
      <c r="F66" s="60">
        <f t="shared" si="178"/>
        <v>1.3190172188090525E-4</v>
      </c>
      <c r="G66" s="60">
        <f t="shared" si="178"/>
        <v>1.3190172188090525E-4</v>
      </c>
      <c r="H66" s="60">
        <f t="shared" si="178"/>
        <v>1.3190172188090525E-4</v>
      </c>
      <c r="I66" s="60">
        <f t="shared" si="178"/>
        <v>1.3190172188090525E-4</v>
      </c>
      <c r="J66" s="60">
        <f t="shared" si="178"/>
        <v>1.3190172188090525E-4</v>
      </c>
      <c r="K66" s="60">
        <f t="shared" si="178"/>
        <v>1.3190172188090525E-4</v>
      </c>
      <c r="L66" s="60">
        <f t="shared" si="178"/>
        <v>1.3190172188090525E-4</v>
      </c>
      <c r="M66" s="60">
        <f t="shared" si="178"/>
        <v>1.3190172188090525E-4</v>
      </c>
      <c r="N66" s="60">
        <f t="shared" si="178"/>
        <v>1.3190172188090525E-4</v>
      </c>
      <c r="O66" s="60">
        <f t="shared" si="178"/>
        <v>1.3190172188090525E-4</v>
      </c>
      <c r="P66" s="60">
        <f t="shared" si="178"/>
        <v>1.3190172188090525E-4</v>
      </c>
      <c r="Q66" s="60">
        <f t="shared" si="178"/>
        <v>1.3190172188090525E-4</v>
      </c>
      <c r="R66" s="60">
        <f t="shared" si="178"/>
        <v>1.3190172188090525E-4</v>
      </c>
      <c r="S66" s="60">
        <f t="shared" si="178"/>
        <v>1.3190172188090525E-4</v>
      </c>
      <c r="T66" s="60">
        <f t="shared" si="178"/>
        <v>1.3190172188090525E-4</v>
      </c>
      <c r="U66" s="60">
        <f t="shared" si="178"/>
        <v>1.3190172188090525E-4</v>
      </c>
      <c r="V66" s="60">
        <f t="shared" si="178"/>
        <v>1.3190172188090525E-4</v>
      </c>
      <c r="W66" s="60">
        <f t="shared" si="178"/>
        <v>1.3190172188090525E-4</v>
      </c>
      <c r="X66" s="60">
        <f t="shared" si="178"/>
        <v>1.3190172188090525E-4</v>
      </c>
      <c r="Y66" s="60">
        <f t="shared" si="178"/>
        <v>1.3190172188090525E-4</v>
      </c>
      <c r="Z66" s="60">
        <f t="shared" si="178"/>
        <v>1.3190172188090525E-4</v>
      </c>
      <c r="AA66" s="60">
        <f t="shared" si="178"/>
        <v>1.3190172188090525E-4</v>
      </c>
      <c r="AB66" s="60">
        <f t="shared" si="178"/>
        <v>1.3190172188090525E-4</v>
      </c>
      <c r="AC66" s="94">
        <f t="shared" si="173"/>
        <v>758140.216625</v>
      </c>
      <c r="AD66" s="94">
        <f>IF(D66=".",".",up_RadSpec!$F$17*(AD17*$B66))</f>
        <v>189535.05415625</v>
      </c>
      <c r="AE66" s="94">
        <f>IF(E66=".",".",up_RadSpec!$F$17*(AE17*$B66))</f>
        <v>189535.05415625</v>
      </c>
      <c r="AF66" s="94">
        <f>IF(F66=".",".",up_RadSpec!$F$17*(AF17*$B66))</f>
        <v>189535.05415625</v>
      </c>
      <c r="AG66" s="94">
        <f>IF(G66=".",".",up_RadSpec!$F$17*(AG17*$B66))</f>
        <v>189535.05415625</v>
      </c>
      <c r="AH66" s="94">
        <f>IF(H66=".",".",up_RadSpec!$F$17*(AH17*$B66))</f>
        <v>189535.05415625</v>
      </c>
      <c r="AI66" s="94">
        <f>IF(I66=".",".",up_RadSpec!$F$17*(AI17*$B66))</f>
        <v>189535.05415625</v>
      </c>
      <c r="AJ66" s="94">
        <f>IF(J66=".",".",up_RadSpec!$F$17*(AJ17*$B66))</f>
        <v>189535.05415625</v>
      </c>
      <c r="AK66" s="94">
        <f>IF(K66=".",".",up_RadSpec!$F$17*(AK17*$B66))</f>
        <v>189535.05415625</v>
      </c>
      <c r="AL66" s="94">
        <f>IF(L66=".",".",up_RadSpec!$F$17*(AL17*$B66))</f>
        <v>189535.05415625</v>
      </c>
      <c r="AM66" s="94">
        <f>IF(M66=".",".",up_RadSpec!$F$17*(AM17*$B66))</f>
        <v>189535.05415625</v>
      </c>
      <c r="AN66" s="94">
        <f>IF(N66=".",".",up_RadSpec!$F$17*(AN17*$B66))</f>
        <v>189535.05415625</v>
      </c>
      <c r="AO66" s="94">
        <f>IF(O66=".",".",up_RadSpec!$F$17*(AO17*$B66))</f>
        <v>189535.05415625</v>
      </c>
      <c r="AP66" s="94">
        <f>IF(P66=".",".",up_RadSpec!$F$17*(AP17*$B66))</f>
        <v>189535.05415625</v>
      </c>
      <c r="AQ66" s="94">
        <f>IF(Q66=".",".",up_RadSpec!$F$17*(AQ17*$B66))</f>
        <v>189535.05415625</v>
      </c>
      <c r="AR66" s="94">
        <f>IF(R66=".",".",up_RadSpec!$F$17*(AR17*$B66))</f>
        <v>189535.05415625</v>
      </c>
      <c r="AS66" s="94">
        <f>IF(S66=".",".",up_RadSpec!$F$17*(AS17*$B66))</f>
        <v>189535.05415625</v>
      </c>
      <c r="AT66" s="94">
        <f>IF(T66=".",".",up_RadSpec!$F$17*(AT17*$B66))</f>
        <v>189535.05415625</v>
      </c>
      <c r="AU66" s="94">
        <f>IF(U66=".",".",up_RadSpec!$F$17*(AU17*$B66))</f>
        <v>189535.05415625</v>
      </c>
      <c r="AV66" s="94">
        <f>IF(V66=".",".",up_RadSpec!$F$17*(AV17*$B66))</f>
        <v>189535.05415625</v>
      </c>
      <c r="AW66" s="94">
        <f>IF(W66=".",".",up_RadSpec!$F$17*(AW17*$B66))</f>
        <v>189535.05415625</v>
      </c>
      <c r="AX66" s="94">
        <f>IF(X66=".",".",up_RadSpec!$F$17*(AX17*$B66))</f>
        <v>189535.05415625</v>
      </c>
      <c r="AY66" s="94">
        <f>IF(Y66=".",".",up_RadSpec!$F$17*(AY17*$B66))</f>
        <v>189535.05415625</v>
      </c>
      <c r="AZ66" s="94">
        <f>IF(Z66=".",".",up_RadSpec!$F$17*(AZ17*$B66))</f>
        <v>189535.05415625</v>
      </c>
      <c r="BA66" s="94">
        <f>IF(AA66=".",".",up_RadSpec!$F$17*(BA17*$B66))</f>
        <v>189535.05415625</v>
      </c>
      <c r="BB66" s="94">
        <f>IF(AB66=".",".",up_RadSpec!$F$17*(BB17*$B66))</f>
        <v>189535.05415625</v>
      </c>
      <c r="BC66" s="60">
        <f t="shared" ref="BC66:CB66" si="179">IFERROR(BC17/$B52,".")</f>
        <v>3.2975430470226314E-5</v>
      </c>
      <c r="BD66" s="60">
        <f t="shared" si="179"/>
        <v>1.3190172188090525E-4</v>
      </c>
      <c r="BE66" s="60">
        <f t="shared" si="179"/>
        <v>1.3190172188090525E-4</v>
      </c>
      <c r="BF66" s="60">
        <f t="shared" si="179"/>
        <v>1.3190172188090525E-4</v>
      </c>
      <c r="BG66" s="60">
        <f t="shared" si="179"/>
        <v>1.3190172188090525E-4</v>
      </c>
      <c r="BH66" s="60">
        <f t="shared" si="179"/>
        <v>1.3190172188090525E-4</v>
      </c>
      <c r="BI66" s="60">
        <f t="shared" si="179"/>
        <v>1.3190172188090525E-4</v>
      </c>
      <c r="BJ66" s="60">
        <f t="shared" si="179"/>
        <v>1.3190172188090525E-4</v>
      </c>
      <c r="BK66" s="60">
        <f t="shared" si="179"/>
        <v>1.3190172188090525E-4</v>
      </c>
      <c r="BL66" s="60">
        <f t="shared" si="179"/>
        <v>1.3190172188090525E-4</v>
      </c>
      <c r="BM66" s="60">
        <f t="shared" si="179"/>
        <v>1.3190172188090525E-4</v>
      </c>
      <c r="BN66" s="60">
        <f t="shared" si="179"/>
        <v>1.3190172188090525E-4</v>
      </c>
      <c r="BO66" s="60">
        <f t="shared" si="179"/>
        <v>1.3190172188090525E-4</v>
      </c>
      <c r="BP66" s="60">
        <f t="shared" si="179"/>
        <v>1.3190172188090525E-4</v>
      </c>
      <c r="BQ66" s="60">
        <f t="shared" si="179"/>
        <v>1.3190172188090525E-4</v>
      </c>
      <c r="BR66" s="60">
        <f t="shared" si="179"/>
        <v>1.3190172188090525E-4</v>
      </c>
      <c r="BS66" s="60">
        <f t="shared" si="179"/>
        <v>1.3190172188090525E-4</v>
      </c>
      <c r="BT66" s="60">
        <f t="shared" si="179"/>
        <v>1.3190172188090525E-4</v>
      </c>
      <c r="BU66" s="60">
        <f t="shared" si="179"/>
        <v>1.3190172188090525E-4</v>
      </c>
      <c r="BV66" s="60">
        <f t="shared" si="179"/>
        <v>1.3190172188090525E-4</v>
      </c>
      <c r="BW66" s="60">
        <f t="shared" si="179"/>
        <v>1.3190172188090525E-4</v>
      </c>
      <c r="BX66" s="60">
        <f t="shared" si="179"/>
        <v>1.3190172188090525E-4</v>
      </c>
      <c r="BY66" s="60">
        <f t="shared" si="179"/>
        <v>1.3190172188090525E-4</v>
      </c>
      <c r="BZ66" s="60">
        <f t="shared" si="179"/>
        <v>1.3190172188090525E-4</v>
      </c>
      <c r="CA66" s="60">
        <f t="shared" si="179"/>
        <v>1.3190172188090525E-4</v>
      </c>
      <c r="CB66" s="60">
        <f t="shared" si="179"/>
        <v>1.3190172188090525E-4</v>
      </c>
      <c r="CC66" s="94">
        <f t="shared" si="175"/>
        <v>758140.216625</v>
      </c>
      <c r="CD66" s="94">
        <f>IF(BD66=".",".",up_RadSpec!$F$17*(CD17*$B66))</f>
        <v>189535.05415625</v>
      </c>
      <c r="CE66" s="94">
        <f>IF(BE66=".",".",up_RadSpec!$F$17*(CE17*$B66))</f>
        <v>189535.05415625</v>
      </c>
      <c r="CF66" s="94">
        <f>IF(BF66=".",".",up_RadSpec!$F$17*(CF17*$B66))</f>
        <v>189535.05415625</v>
      </c>
      <c r="CG66" s="94">
        <f>IF(BG66=".",".",up_RadSpec!$F$17*(CG17*$B66))</f>
        <v>189535.05415625</v>
      </c>
      <c r="CH66" s="94">
        <f>IF(BH66=".",".",up_RadSpec!$F$17*(CH17*$B66))</f>
        <v>189535.05415625</v>
      </c>
      <c r="CI66" s="94">
        <f>IF(BI66=".",".",up_RadSpec!$F$17*(CI17*$B66))</f>
        <v>189535.05415625</v>
      </c>
      <c r="CJ66" s="94">
        <f>IF(BJ66=".",".",up_RadSpec!$F$17*(CJ17*$B66))</f>
        <v>189535.05415625</v>
      </c>
      <c r="CK66" s="94">
        <f>IF(BK66=".",".",up_RadSpec!$F$17*(CK17*$B66))</f>
        <v>189535.05415625</v>
      </c>
      <c r="CL66" s="94">
        <f>IF(BL66=".",".",up_RadSpec!$F$17*(CL17*$B66))</f>
        <v>189535.05415625</v>
      </c>
      <c r="CM66" s="94">
        <f>IF(BM66=".",".",up_RadSpec!$F$17*(CM17*$B66))</f>
        <v>189535.05415625</v>
      </c>
      <c r="CN66" s="94">
        <f>IF(BN66=".",".",up_RadSpec!$F$17*(CN17*$B66))</f>
        <v>189535.05415625</v>
      </c>
      <c r="CO66" s="94">
        <f>IF(BO66=".",".",up_RadSpec!$F$17*(CO17*$B66))</f>
        <v>189535.05415625</v>
      </c>
      <c r="CP66" s="94">
        <f>IF(BP66=".",".",up_RadSpec!$F$17*(CP17*$B66))</f>
        <v>189535.05415625</v>
      </c>
      <c r="CQ66" s="94">
        <f>IF(BQ66=".",".",up_RadSpec!$F$17*(CQ17*$B66))</f>
        <v>189535.05415625</v>
      </c>
      <c r="CR66" s="94">
        <f>IF(BR66=".",".",up_RadSpec!$F$17*(CR17*$B66))</f>
        <v>189535.05415625</v>
      </c>
      <c r="CS66" s="94">
        <f>IF(BS66=".",".",up_RadSpec!$F$17*(CS17*$B66))</f>
        <v>189535.05415625</v>
      </c>
      <c r="CT66" s="94">
        <f>IF(BT66=".",".",up_RadSpec!$F$17*(CT17*$B66))</f>
        <v>189535.05415625</v>
      </c>
      <c r="CU66" s="94">
        <f>IF(BU66=".",".",up_RadSpec!$F$17*(CU17*$B66))</f>
        <v>189535.05415625</v>
      </c>
      <c r="CV66" s="94">
        <f>IF(BV66=".",".",up_RadSpec!$F$17*(CV17*$B66))</f>
        <v>189535.05415625</v>
      </c>
      <c r="CW66" s="94">
        <f>IF(BW66=".",".",up_RadSpec!$F$17*(CW17*$B66))</f>
        <v>189535.05415625</v>
      </c>
      <c r="CX66" s="94">
        <f>IF(BX66=".",".",up_RadSpec!$F$17*(CX17*$B66))</f>
        <v>189535.05415625</v>
      </c>
      <c r="CY66" s="94">
        <f>IF(BY66=".",".",up_RadSpec!$F$17*(CY17*$B66))</f>
        <v>189535.05415625</v>
      </c>
      <c r="CZ66" s="94">
        <f>IF(BZ66=".",".",up_RadSpec!$F$17*(CZ17*$B66))</f>
        <v>189535.05415625</v>
      </c>
      <c r="DA66" s="94">
        <f>IF(CA66=".",".",up_RadSpec!$F$17*(DA17*$B66))</f>
        <v>189535.05415625</v>
      </c>
      <c r="DB66" s="94">
        <f>IF(CB66=".",".",up_RadSpec!$F$17*(DB17*$B66))</f>
        <v>189535.05415625</v>
      </c>
    </row>
    <row r="67" spans="1:106" x14ac:dyDescent="0.25">
      <c r="A67" s="77" t="s">
        <v>1074</v>
      </c>
      <c r="B67" s="42">
        <v>2.0000000000000001E-4</v>
      </c>
      <c r="C67" s="60">
        <f t="shared" ref="C67:AB67" si="180">IFERROR(C5/$B53,".")</f>
        <v>0.16484417692066136</v>
      </c>
      <c r="D67" s="60">
        <f t="shared" si="180"/>
        <v>0.65937670768264545</v>
      </c>
      <c r="E67" s="60">
        <f t="shared" si="180"/>
        <v>0.65937670768264545</v>
      </c>
      <c r="F67" s="60">
        <f t="shared" si="180"/>
        <v>0.65937670768264545</v>
      </c>
      <c r="G67" s="60">
        <f t="shared" si="180"/>
        <v>0.65937670768264545</v>
      </c>
      <c r="H67" s="60">
        <f t="shared" si="180"/>
        <v>0.65937670768264545</v>
      </c>
      <c r="I67" s="60">
        <f t="shared" si="180"/>
        <v>0.65937670768264545</v>
      </c>
      <c r="J67" s="60">
        <f t="shared" si="180"/>
        <v>0.65937670768264545</v>
      </c>
      <c r="K67" s="60">
        <f t="shared" si="180"/>
        <v>0.65937670768264545</v>
      </c>
      <c r="L67" s="60">
        <f t="shared" si="180"/>
        <v>0.65937670768264545</v>
      </c>
      <c r="M67" s="60">
        <f t="shared" si="180"/>
        <v>0.65937670768264545</v>
      </c>
      <c r="N67" s="60">
        <f t="shared" si="180"/>
        <v>0.65937670768264545</v>
      </c>
      <c r="O67" s="60">
        <f t="shared" si="180"/>
        <v>0.65937670768264545</v>
      </c>
      <c r="P67" s="60">
        <f t="shared" si="180"/>
        <v>0.65937670768264545</v>
      </c>
      <c r="Q67" s="60">
        <f t="shared" si="180"/>
        <v>0.65937670768264545</v>
      </c>
      <c r="R67" s="60">
        <f t="shared" si="180"/>
        <v>0.65937670768264545</v>
      </c>
      <c r="S67" s="60">
        <f t="shared" si="180"/>
        <v>0.65937670768264545</v>
      </c>
      <c r="T67" s="60">
        <f t="shared" si="180"/>
        <v>0.65937670768264545</v>
      </c>
      <c r="U67" s="60">
        <f t="shared" si="180"/>
        <v>0.65937670768264545</v>
      </c>
      <c r="V67" s="60">
        <f t="shared" si="180"/>
        <v>0.65937670768264545</v>
      </c>
      <c r="W67" s="60">
        <f t="shared" si="180"/>
        <v>0.65937670768264545</v>
      </c>
      <c r="X67" s="60">
        <f t="shared" si="180"/>
        <v>0.65937670768264545</v>
      </c>
      <c r="Y67" s="60">
        <f t="shared" si="180"/>
        <v>0.65937670768264545</v>
      </c>
      <c r="Z67" s="60">
        <f t="shared" si="180"/>
        <v>0.65937670768264545</v>
      </c>
      <c r="AA67" s="60">
        <f t="shared" si="180"/>
        <v>0.65937670768264545</v>
      </c>
      <c r="AB67" s="60">
        <f t="shared" si="180"/>
        <v>0.65937670768264545</v>
      </c>
      <c r="AC67" s="94">
        <f t="shared" si="173"/>
        <v>151.65837500000001</v>
      </c>
      <c r="AD67" s="94">
        <f>IF(D67=".",".",up_RadSpec!$F$5*(AD5*$B67))</f>
        <v>37.914593750000002</v>
      </c>
      <c r="AE67" s="94">
        <f>IF(E67=".",".",up_RadSpec!$F$5*(AE5*$B67))</f>
        <v>37.914593750000002</v>
      </c>
      <c r="AF67" s="94">
        <f>IF(F67=".",".",up_RadSpec!$F$5*(AF5*$B67))</f>
        <v>37.914593750000002</v>
      </c>
      <c r="AG67" s="94">
        <f>IF(G67=".",".",up_RadSpec!$F$5*(AG5*$B67))</f>
        <v>37.914593750000002</v>
      </c>
      <c r="AH67" s="94">
        <f>IF(H67=".",".",up_RadSpec!$F$5*(AH5*$B67))</f>
        <v>37.914593750000002</v>
      </c>
      <c r="AI67" s="94">
        <f>IF(I67=".",".",up_RadSpec!$F$5*(AI5*$B67))</f>
        <v>37.914593750000002</v>
      </c>
      <c r="AJ67" s="94">
        <f>IF(J67=".",".",up_RadSpec!$F$5*(AJ5*$B67))</f>
        <v>37.914593750000002</v>
      </c>
      <c r="AK67" s="94">
        <f>IF(K67=".",".",up_RadSpec!$F$5*(AK5*$B67))</f>
        <v>37.914593750000002</v>
      </c>
      <c r="AL67" s="94">
        <f>IF(L67=".",".",up_RadSpec!$F$5*(AL5*$B67))</f>
        <v>37.914593750000002</v>
      </c>
      <c r="AM67" s="94">
        <f>IF(M67=".",".",up_RadSpec!$F$5*(AM5*$B67))</f>
        <v>37.914593750000002</v>
      </c>
      <c r="AN67" s="94">
        <f>IF(N67=".",".",up_RadSpec!$F$5*(AN5*$B67))</f>
        <v>37.914593750000002</v>
      </c>
      <c r="AO67" s="94">
        <f>IF(O67=".",".",up_RadSpec!$F$5*(AO5*$B67))</f>
        <v>37.914593750000002</v>
      </c>
      <c r="AP67" s="94">
        <f>IF(P67=".",".",up_RadSpec!$F$5*(AP5*$B67))</f>
        <v>37.914593750000002</v>
      </c>
      <c r="AQ67" s="94">
        <f>IF(Q67=".",".",up_RadSpec!$F$5*(AQ5*$B67))</f>
        <v>37.914593750000002</v>
      </c>
      <c r="AR67" s="94">
        <f>IF(R67=".",".",up_RadSpec!$F$5*(AR5*$B67))</f>
        <v>37.914593750000002</v>
      </c>
      <c r="AS67" s="94">
        <f>IF(S67=".",".",up_RadSpec!$F$5*(AS5*$B67))</f>
        <v>37.914593750000002</v>
      </c>
      <c r="AT67" s="94">
        <f>IF(T67=".",".",up_RadSpec!$F$5*(AT5*$B67))</f>
        <v>37.914593750000002</v>
      </c>
      <c r="AU67" s="94">
        <f>IF(U67=".",".",up_RadSpec!$F$5*(AU5*$B67))</f>
        <v>37.914593750000002</v>
      </c>
      <c r="AV67" s="94">
        <f>IF(V67=".",".",up_RadSpec!$F$5*(AV5*$B67))</f>
        <v>37.914593750000002</v>
      </c>
      <c r="AW67" s="94">
        <f>IF(W67=".",".",up_RadSpec!$F$5*(AW5*$B67))</f>
        <v>37.914593750000002</v>
      </c>
      <c r="AX67" s="94">
        <f>IF(X67=".",".",up_RadSpec!$F$5*(AX5*$B67))</f>
        <v>37.914593750000002</v>
      </c>
      <c r="AY67" s="94">
        <f>IF(Y67=".",".",up_RadSpec!$F$5*(AY5*$B67))</f>
        <v>37.914593750000002</v>
      </c>
      <c r="AZ67" s="94">
        <f>IF(Z67=".",".",up_RadSpec!$F$5*(AZ5*$B67))</f>
        <v>37.914593750000002</v>
      </c>
      <c r="BA67" s="94">
        <f>IF(AA67=".",".",up_RadSpec!$F$5*(BA5*$B67))</f>
        <v>37.914593750000002</v>
      </c>
      <c r="BB67" s="94">
        <f>IF(AB67=".",".",up_RadSpec!$F$5*(BB5*$B67))</f>
        <v>37.914593750000002</v>
      </c>
      <c r="BC67" s="60">
        <f t="shared" ref="BC67:CB67" si="181">IFERROR(BC5/$B53,".")</f>
        <v>0.16484417692066136</v>
      </c>
      <c r="BD67" s="60">
        <f t="shared" si="181"/>
        <v>0.65937670768264545</v>
      </c>
      <c r="BE67" s="60">
        <f t="shared" si="181"/>
        <v>0.65937670768264545</v>
      </c>
      <c r="BF67" s="60">
        <f t="shared" si="181"/>
        <v>0.65937670768264545</v>
      </c>
      <c r="BG67" s="60">
        <f t="shared" si="181"/>
        <v>0.65937670768264545</v>
      </c>
      <c r="BH67" s="60">
        <f t="shared" si="181"/>
        <v>0.65937670768264545</v>
      </c>
      <c r="BI67" s="60">
        <f t="shared" si="181"/>
        <v>0.65937670768264545</v>
      </c>
      <c r="BJ67" s="60">
        <f t="shared" si="181"/>
        <v>0.65937670768264545</v>
      </c>
      <c r="BK67" s="60">
        <f t="shared" si="181"/>
        <v>0.65937670768264545</v>
      </c>
      <c r="BL67" s="60">
        <f t="shared" si="181"/>
        <v>0.65937670768264545</v>
      </c>
      <c r="BM67" s="60">
        <f t="shared" si="181"/>
        <v>0.65937670768264545</v>
      </c>
      <c r="BN67" s="60">
        <f t="shared" si="181"/>
        <v>0.65937670768264545</v>
      </c>
      <c r="BO67" s="60">
        <f t="shared" si="181"/>
        <v>0.65937670768264545</v>
      </c>
      <c r="BP67" s="60">
        <f t="shared" si="181"/>
        <v>0.65937670768264545</v>
      </c>
      <c r="BQ67" s="60">
        <f t="shared" si="181"/>
        <v>0.65937670768264545</v>
      </c>
      <c r="BR67" s="60">
        <f t="shared" si="181"/>
        <v>0.65937670768264545</v>
      </c>
      <c r="BS67" s="60">
        <f t="shared" si="181"/>
        <v>0.65937670768264545</v>
      </c>
      <c r="BT67" s="60">
        <f t="shared" si="181"/>
        <v>0.65937670768264545</v>
      </c>
      <c r="BU67" s="60">
        <f t="shared" si="181"/>
        <v>0.65937670768264545</v>
      </c>
      <c r="BV67" s="60">
        <f t="shared" si="181"/>
        <v>0.65937670768264545</v>
      </c>
      <c r="BW67" s="60">
        <f t="shared" si="181"/>
        <v>0.65937670768264545</v>
      </c>
      <c r="BX67" s="60">
        <f t="shared" si="181"/>
        <v>0.65937670768264545</v>
      </c>
      <c r="BY67" s="60">
        <f t="shared" si="181"/>
        <v>0.65937670768264545</v>
      </c>
      <c r="BZ67" s="60">
        <f t="shared" si="181"/>
        <v>0.65937670768264545</v>
      </c>
      <c r="CA67" s="60">
        <f t="shared" si="181"/>
        <v>0.65937670768264545</v>
      </c>
      <c r="CB67" s="60">
        <f t="shared" si="181"/>
        <v>0.65937670768264545</v>
      </c>
      <c r="CC67" s="94">
        <f t="shared" si="175"/>
        <v>151.65837500000001</v>
      </c>
      <c r="CD67" s="94">
        <f>IF(BD67=".",".",up_RadSpec!$F$5*(CD5*$B67))</f>
        <v>37.914593750000002</v>
      </c>
      <c r="CE67" s="94">
        <f>IF(BE67=".",".",up_RadSpec!$F$5*(CE5*$B67))</f>
        <v>37.914593750000002</v>
      </c>
      <c r="CF67" s="94">
        <f>IF(BF67=".",".",up_RadSpec!$F$5*(CF5*$B67))</f>
        <v>37.914593750000002</v>
      </c>
      <c r="CG67" s="94">
        <f>IF(BG67=".",".",up_RadSpec!$F$5*(CG5*$B67))</f>
        <v>37.914593750000002</v>
      </c>
      <c r="CH67" s="94">
        <f>IF(BH67=".",".",up_RadSpec!$F$5*(CH5*$B67))</f>
        <v>37.914593750000002</v>
      </c>
      <c r="CI67" s="94">
        <f>IF(BI67=".",".",up_RadSpec!$F$5*(CI5*$B67))</f>
        <v>37.914593750000002</v>
      </c>
      <c r="CJ67" s="94">
        <f>IF(BJ67=".",".",up_RadSpec!$F$5*(CJ5*$B67))</f>
        <v>37.914593750000002</v>
      </c>
      <c r="CK67" s="94">
        <f>IF(BK67=".",".",up_RadSpec!$F$5*(CK5*$B67))</f>
        <v>37.914593750000002</v>
      </c>
      <c r="CL67" s="94">
        <f>IF(BL67=".",".",up_RadSpec!$F$5*(CL5*$B67))</f>
        <v>37.914593750000002</v>
      </c>
      <c r="CM67" s="94">
        <f>IF(BM67=".",".",up_RadSpec!$F$5*(CM5*$B67))</f>
        <v>37.914593750000002</v>
      </c>
      <c r="CN67" s="94">
        <f>IF(BN67=".",".",up_RadSpec!$F$5*(CN5*$B67))</f>
        <v>37.914593750000002</v>
      </c>
      <c r="CO67" s="94">
        <f>IF(BO67=".",".",up_RadSpec!$F$5*(CO5*$B67))</f>
        <v>37.914593750000002</v>
      </c>
      <c r="CP67" s="94">
        <f>IF(BP67=".",".",up_RadSpec!$F$5*(CP5*$B67))</f>
        <v>37.914593750000002</v>
      </c>
      <c r="CQ67" s="94">
        <f>IF(BQ67=".",".",up_RadSpec!$F$5*(CQ5*$B67))</f>
        <v>37.914593750000002</v>
      </c>
      <c r="CR67" s="94">
        <f>IF(BR67=".",".",up_RadSpec!$F$5*(CR5*$B67))</f>
        <v>37.914593750000002</v>
      </c>
      <c r="CS67" s="94">
        <f>IF(BS67=".",".",up_RadSpec!$F$5*(CS5*$B67))</f>
        <v>37.914593750000002</v>
      </c>
      <c r="CT67" s="94">
        <f>IF(BT67=".",".",up_RadSpec!$F$5*(CT5*$B67))</f>
        <v>37.914593750000002</v>
      </c>
      <c r="CU67" s="94">
        <f>IF(BU67=".",".",up_RadSpec!$F$5*(CU5*$B67))</f>
        <v>37.914593750000002</v>
      </c>
      <c r="CV67" s="94">
        <f>IF(BV67=".",".",up_RadSpec!$F$5*(CV5*$B67))</f>
        <v>37.914593750000002</v>
      </c>
      <c r="CW67" s="94">
        <f>IF(BW67=".",".",up_RadSpec!$F$5*(CW5*$B67))</f>
        <v>37.914593750000002</v>
      </c>
      <c r="CX67" s="94">
        <f>IF(BX67=".",".",up_RadSpec!$F$5*(CX5*$B67))</f>
        <v>37.914593750000002</v>
      </c>
      <c r="CY67" s="94">
        <f>IF(BY67=".",".",up_RadSpec!$F$5*(CY5*$B67))</f>
        <v>37.914593750000002</v>
      </c>
      <c r="CZ67" s="94">
        <f>IF(BZ67=".",".",up_RadSpec!$F$5*(CZ5*$B67))</f>
        <v>37.914593750000002</v>
      </c>
      <c r="DA67" s="94">
        <f>IF(CA67=".",".",up_RadSpec!$F$5*(DA5*$B67))</f>
        <v>37.914593750000002</v>
      </c>
      <c r="DB67" s="94">
        <f>IF(CB67=".",".",up_RadSpec!$F$5*(DB5*$B67))</f>
        <v>37.914593750000002</v>
      </c>
    </row>
    <row r="68" spans="1:106" x14ac:dyDescent="0.25">
      <c r="A68" s="77" t="s">
        <v>1075</v>
      </c>
      <c r="B68" s="42">
        <v>0.99999979999999999</v>
      </c>
      <c r="C68" s="60">
        <f t="shared" ref="C68:AB68" si="182">IFERROR(C9/$B54,".")</f>
        <v>3.296884197790067E-5</v>
      </c>
      <c r="D68" s="60">
        <f t="shared" si="182"/>
        <v>1.3187536791160268E-4</v>
      </c>
      <c r="E68" s="60">
        <f t="shared" si="182"/>
        <v>1.3187536791160268E-4</v>
      </c>
      <c r="F68" s="60">
        <f t="shared" si="182"/>
        <v>1.3187536791160268E-4</v>
      </c>
      <c r="G68" s="60">
        <f t="shared" si="182"/>
        <v>1.3187536791160268E-4</v>
      </c>
      <c r="H68" s="60">
        <f t="shared" si="182"/>
        <v>1.3187536791160268E-4</v>
      </c>
      <c r="I68" s="60">
        <f t="shared" si="182"/>
        <v>1.3187536791160268E-4</v>
      </c>
      <c r="J68" s="60">
        <f t="shared" si="182"/>
        <v>1.3187536791160268E-4</v>
      </c>
      <c r="K68" s="60">
        <f t="shared" si="182"/>
        <v>1.3187536791160268E-4</v>
      </c>
      <c r="L68" s="60">
        <f t="shared" si="182"/>
        <v>1.3187536791160268E-4</v>
      </c>
      <c r="M68" s="60">
        <f t="shared" si="182"/>
        <v>1.3187536791160268E-4</v>
      </c>
      <c r="N68" s="60">
        <f t="shared" si="182"/>
        <v>1.3187536791160268E-4</v>
      </c>
      <c r="O68" s="60">
        <f t="shared" si="182"/>
        <v>1.3187536791160268E-4</v>
      </c>
      <c r="P68" s="60">
        <f t="shared" si="182"/>
        <v>1.3187536791160268E-4</v>
      </c>
      <c r="Q68" s="60">
        <f t="shared" si="182"/>
        <v>1.3187536791160268E-4</v>
      </c>
      <c r="R68" s="60">
        <f t="shared" si="182"/>
        <v>1.3187536791160268E-4</v>
      </c>
      <c r="S68" s="60">
        <f t="shared" si="182"/>
        <v>1.3187536791160268E-4</v>
      </c>
      <c r="T68" s="60">
        <f t="shared" si="182"/>
        <v>1.3187536791160268E-4</v>
      </c>
      <c r="U68" s="60">
        <f t="shared" si="182"/>
        <v>1.3187536791160268E-4</v>
      </c>
      <c r="V68" s="60">
        <f t="shared" si="182"/>
        <v>1.3187536791160268E-4</v>
      </c>
      <c r="W68" s="60">
        <f t="shared" si="182"/>
        <v>1.3187536791160268E-4</v>
      </c>
      <c r="X68" s="60">
        <f t="shared" si="182"/>
        <v>1.3187536791160268E-4</v>
      </c>
      <c r="Y68" s="60">
        <f t="shared" si="182"/>
        <v>1.3187536791160268E-4</v>
      </c>
      <c r="Z68" s="60">
        <f t="shared" si="182"/>
        <v>1.3187536791160268E-4</v>
      </c>
      <c r="AA68" s="60">
        <f t="shared" si="182"/>
        <v>1.3187536791160268E-4</v>
      </c>
      <c r="AB68" s="60">
        <f t="shared" si="182"/>
        <v>1.3187536791160268E-4</v>
      </c>
      <c r="AC68" s="94">
        <f t="shared" si="173"/>
        <v>758291.72334162507</v>
      </c>
      <c r="AD68" s="94">
        <f>IF(D68=".",".",up_RadSpec!$F$9*(AD9*$B68))</f>
        <v>189572.93083540627</v>
      </c>
      <c r="AE68" s="94">
        <f>IF(E68=".",".",up_RadSpec!$F$9*(AE9*$B68))</f>
        <v>189572.93083540627</v>
      </c>
      <c r="AF68" s="94">
        <f>IF(F68=".",".",up_RadSpec!$F$9*(AF9*$B68))</f>
        <v>189572.93083540627</v>
      </c>
      <c r="AG68" s="94">
        <f>IF(G68=".",".",up_RadSpec!$F$9*(AG9*$B68))</f>
        <v>189572.93083540627</v>
      </c>
      <c r="AH68" s="94">
        <f>IF(H68=".",".",up_RadSpec!$F$9*(AH9*$B68))</f>
        <v>189572.93083540627</v>
      </c>
      <c r="AI68" s="94">
        <f>IF(I68=".",".",up_RadSpec!$F$9*(AI9*$B68))</f>
        <v>189572.93083540627</v>
      </c>
      <c r="AJ68" s="94">
        <f>IF(J68=".",".",up_RadSpec!$F$9*(AJ9*$B68))</f>
        <v>189572.93083540627</v>
      </c>
      <c r="AK68" s="94">
        <f>IF(K68=".",".",up_RadSpec!$F$9*(AK9*$B68))</f>
        <v>189572.93083540627</v>
      </c>
      <c r="AL68" s="94">
        <f>IF(L68=".",".",up_RadSpec!$F$9*(AL9*$B68))</f>
        <v>189572.93083540627</v>
      </c>
      <c r="AM68" s="94">
        <f>IF(M68=".",".",up_RadSpec!$F$9*(AM9*$B68))</f>
        <v>189572.93083540627</v>
      </c>
      <c r="AN68" s="94">
        <f>IF(N68=".",".",up_RadSpec!$F$9*(AN9*$B68))</f>
        <v>189572.93083540627</v>
      </c>
      <c r="AO68" s="94">
        <f>IF(O68=".",".",up_RadSpec!$F$9*(AO9*$B68))</f>
        <v>189572.93083540627</v>
      </c>
      <c r="AP68" s="94">
        <f>IF(P68=".",".",up_RadSpec!$F$9*(AP9*$B68))</f>
        <v>189572.93083540627</v>
      </c>
      <c r="AQ68" s="94">
        <f>IF(Q68=".",".",up_RadSpec!$F$9*(AQ9*$B68))</f>
        <v>189572.93083540627</v>
      </c>
      <c r="AR68" s="94">
        <f>IF(R68=".",".",up_RadSpec!$F$9*(AR9*$B68))</f>
        <v>189572.93083540627</v>
      </c>
      <c r="AS68" s="94">
        <f>IF(S68=".",".",up_RadSpec!$F$9*(AS9*$B68))</f>
        <v>189572.93083540627</v>
      </c>
      <c r="AT68" s="94">
        <f>IF(T68=".",".",up_RadSpec!$F$9*(AT9*$B68))</f>
        <v>189572.93083540627</v>
      </c>
      <c r="AU68" s="94">
        <f>IF(U68=".",".",up_RadSpec!$F$9*(AU9*$B68))</f>
        <v>189572.93083540627</v>
      </c>
      <c r="AV68" s="94">
        <f>IF(V68=".",".",up_RadSpec!$F$9*(AV9*$B68))</f>
        <v>189572.93083540627</v>
      </c>
      <c r="AW68" s="94">
        <f>IF(W68=".",".",up_RadSpec!$F$9*(AW9*$B68))</f>
        <v>189572.93083540627</v>
      </c>
      <c r="AX68" s="94">
        <f>IF(X68=".",".",up_RadSpec!$F$9*(AX9*$B68))</f>
        <v>189572.93083540627</v>
      </c>
      <c r="AY68" s="94">
        <f>IF(Y68=".",".",up_RadSpec!$F$9*(AY9*$B68))</f>
        <v>189572.93083540627</v>
      </c>
      <c r="AZ68" s="94">
        <f>IF(Z68=".",".",up_RadSpec!$F$9*(AZ9*$B68))</f>
        <v>189572.93083540627</v>
      </c>
      <c r="BA68" s="94">
        <f>IF(AA68=".",".",up_RadSpec!$F$9*(BA9*$B68))</f>
        <v>189572.93083540627</v>
      </c>
      <c r="BB68" s="94">
        <f>IF(AB68=".",".",up_RadSpec!$F$9*(BB9*$B68))</f>
        <v>189572.93083540627</v>
      </c>
      <c r="BC68" s="60">
        <f t="shared" ref="BC68:CB68" si="183">IFERROR(BC9/$B54,".")</f>
        <v>3.296884197790067E-5</v>
      </c>
      <c r="BD68" s="60">
        <f t="shared" si="183"/>
        <v>1.3187536791160268E-4</v>
      </c>
      <c r="BE68" s="60">
        <f t="shared" si="183"/>
        <v>1.3187536791160268E-4</v>
      </c>
      <c r="BF68" s="60">
        <f t="shared" si="183"/>
        <v>1.3187536791160268E-4</v>
      </c>
      <c r="BG68" s="60">
        <f t="shared" si="183"/>
        <v>1.3187536791160268E-4</v>
      </c>
      <c r="BH68" s="60">
        <f t="shared" si="183"/>
        <v>1.3187536791160268E-4</v>
      </c>
      <c r="BI68" s="60">
        <f t="shared" si="183"/>
        <v>1.3187536791160268E-4</v>
      </c>
      <c r="BJ68" s="60">
        <f t="shared" si="183"/>
        <v>1.3187536791160268E-4</v>
      </c>
      <c r="BK68" s="60">
        <f t="shared" si="183"/>
        <v>1.3187536791160268E-4</v>
      </c>
      <c r="BL68" s="60">
        <f t="shared" si="183"/>
        <v>1.3187536791160268E-4</v>
      </c>
      <c r="BM68" s="60">
        <f t="shared" si="183"/>
        <v>1.3187536791160268E-4</v>
      </c>
      <c r="BN68" s="60">
        <f t="shared" si="183"/>
        <v>1.3187536791160268E-4</v>
      </c>
      <c r="BO68" s="60">
        <f t="shared" si="183"/>
        <v>1.3187536791160268E-4</v>
      </c>
      <c r="BP68" s="60">
        <f t="shared" si="183"/>
        <v>1.3187536791160268E-4</v>
      </c>
      <c r="BQ68" s="60">
        <f t="shared" si="183"/>
        <v>1.3187536791160268E-4</v>
      </c>
      <c r="BR68" s="60">
        <f t="shared" si="183"/>
        <v>1.3187536791160268E-4</v>
      </c>
      <c r="BS68" s="60">
        <f t="shared" si="183"/>
        <v>1.3187536791160268E-4</v>
      </c>
      <c r="BT68" s="60">
        <f t="shared" si="183"/>
        <v>1.3187536791160268E-4</v>
      </c>
      <c r="BU68" s="60">
        <f t="shared" si="183"/>
        <v>1.3187536791160268E-4</v>
      </c>
      <c r="BV68" s="60">
        <f t="shared" si="183"/>
        <v>1.3187536791160268E-4</v>
      </c>
      <c r="BW68" s="60">
        <f t="shared" si="183"/>
        <v>1.3187536791160268E-4</v>
      </c>
      <c r="BX68" s="60">
        <f t="shared" si="183"/>
        <v>1.3187536791160268E-4</v>
      </c>
      <c r="BY68" s="60">
        <f t="shared" si="183"/>
        <v>1.3187536791160268E-4</v>
      </c>
      <c r="BZ68" s="60">
        <f t="shared" si="183"/>
        <v>1.3187536791160268E-4</v>
      </c>
      <c r="CA68" s="60">
        <f t="shared" si="183"/>
        <v>1.3187536791160268E-4</v>
      </c>
      <c r="CB68" s="60">
        <f t="shared" si="183"/>
        <v>1.3187536791160268E-4</v>
      </c>
      <c r="CC68" s="94">
        <f t="shared" si="175"/>
        <v>758291.72334162507</v>
      </c>
      <c r="CD68" s="94">
        <f>IF(BD68=".",".",up_RadSpec!$F$9*(CD9*$B68))</f>
        <v>189572.93083540627</v>
      </c>
      <c r="CE68" s="94">
        <f>IF(BE68=".",".",up_RadSpec!$F$9*(CE9*$B68))</f>
        <v>189572.93083540627</v>
      </c>
      <c r="CF68" s="94">
        <f>IF(BF68=".",".",up_RadSpec!$F$9*(CF9*$B68))</f>
        <v>189572.93083540627</v>
      </c>
      <c r="CG68" s="94">
        <f>IF(BG68=".",".",up_RadSpec!$F$9*(CG9*$B68))</f>
        <v>189572.93083540627</v>
      </c>
      <c r="CH68" s="94">
        <f>IF(BH68=".",".",up_RadSpec!$F$9*(CH9*$B68))</f>
        <v>189572.93083540627</v>
      </c>
      <c r="CI68" s="94">
        <f>IF(BI68=".",".",up_RadSpec!$F$9*(CI9*$B68))</f>
        <v>189572.93083540627</v>
      </c>
      <c r="CJ68" s="94">
        <f>IF(BJ68=".",".",up_RadSpec!$F$9*(CJ9*$B68))</f>
        <v>189572.93083540627</v>
      </c>
      <c r="CK68" s="94">
        <f>IF(BK68=".",".",up_RadSpec!$F$9*(CK9*$B68))</f>
        <v>189572.93083540627</v>
      </c>
      <c r="CL68" s="94">
        <f>IF(BL68=".",".",up_RadSpec!$F$9*(CL9*$B68))</f>
        <v>189572.93083540627</v>
      </c>
      <c r="CM68" s="94">
        <f>IF(BM68=".",".",up_RadSpec!$F$9*(CM9*$B68))</f>
        <v>189572.93083540627</v>
      </c>
      <c r="CN68" s="94">
        <f>IF(BN68=".",".",up_RadSpec!$F$9*(CN9*$B68))</f>
        <v>189572.93083540627</v>
      </c>
      <c r="CO68" s="94">
        <f>IF(BO68=".",".",up_RadSpec!$F$9*(CO9*$B68))</f>
        <v>189572.93083540627</v>
      </c>
      <c r="CP68" s="94">
        <f>IF(BP68=".",".",up_RadSpec!$F$9*(CP9*$B68))</f>
        <v>189572.93083540627</v>
      </c>
      <c r="CQ68" s="94">
        <f>IF(BQ68=".",".",up_RadSpec!$F$9*(CQ9*$B68))</f>
        <v>189572.93083540627</v>
      </c>
      <c r="CR68" s="94">
        <f>IF(BR68=".",".",up_RadSpec!$F$9*(CR9*$B68))</f>
        <v>189572.93083540627</v>
      </c>
      <c r="CS68" s="94">
        <f>IF(BS68=".",".",up_RadSpec!$F$9*(CS9*$B68))</f>
        <v>189572.93083540627</v>
      </c>
      <c r="CT68" s="94">
        <f>IF(BT68=".",".",up_RadSpec!$F$9*(CT9*$B68))</f>
        <v>189572.93083540627</v>
      </c>
      <c r="CU68" s="94">
        <f>IF(BU68=".",".",up_RadSpec!$F$9*(CU9*$B68))</f>
        <v>189572.93083540627</v>
      </c>
      <c r="CV68" s="94">
        <f>IF(BV68=".",".",up_RadSpec!$F$9*(CV9*$B68))</f>
        <v>189572.93083540627</v>
      </c>
      <c r="CW68" s="94">
        <f>IF(BW68=".",".",up_RadSpec!$F$9*(CW9*$B68))</f>
        <v>189572.93083540627</v>
      </c>
      <c r="CX68" s="94">
        <f>IF(BX68=".",".",up_RadSpec!$F$9*(CX9*$B68))</f>
        <v>189572.93083540627</v>
      </c>
      <c r="CY68" s="94">
        <f>IF(BY68=".",".",up_RadSpec!$F$9*(CY9*$B68))</f>
        <v>189572.93083540627</v>
      </c>
      <c r="CZ68" s="94">
        <f>IF(BZ68=".",".",up_RadSpec!$F$9*(CZ9*$B68))</f>
        <v>189572.93083540627</v>
      </c>
      <c r="DA68" s="94">
        <f>IF(CA68=".",".",up_RadSpec!$F$9*(DA9*$B68))</f>
        <v>189572.93083540627</v>
      </c>
      <c r="DB68" s="94">
        <f>IF(CB68=".",".",up_RadSpec!$F$9*(DB9*$B68))</f>
        <v>189572.93083540627</v>
      </c>
    </row>
    <row r="69" spans="1:106" x14ac:dyDescent="0.25">
      <c r="A69" s="77" t="s">
        <v>1076</v>
      </c>
      <c r="B69" s="42">
        <v>1.9999999999999999E-7</v>
      </c>
      <c r="C69" s="60">
        <f t="shared" ref="C69:AB69" si="184">IFERROR(C24/$B55,".")</f>
        <v>164.84417692066137</v>
      </c>
      <c r="D69" s="60">
        <f t="shared" si="184"/>
        <v>659.37670768264547</v>
      </c>
      <c r="E69" s="60">
        <f t="shared" si="184"/>
        <v>659.37670768264547</v>
      </c>
      <c r="F69" s="60">
        <f t="shared" si="184"/>
        <v>659.37670768264547</v>
      </c>
      <c r="G69" s="60">
        <f t="shared" si="184"/>
        <v>659.37670768264547</v>
      </c>
      <c r="H69" s="60">
        <f t="shared" si="184"/>
        <v>659.37670768264547</v>
      </c>
      <c r="I69" s="60">
        <f t="shared" si="184"/>
        <v>659.37670768264547</v>
      </c>
      <c r="J69" s="60">
        <f t="shared" si="184"/>
        <v>659.37670768264547</v>
      </c>
      <c r="K69" s="60">
        <f t="shared" si="184"/>
        <v>659.37670768264547</v>
      </c>
      <c r="L69" s="60">
        <f t="shared" si="184"/>
        <v>659.37670768264547</v>
      </c>
      <c r="M69" s="60">
        <f t="shared" si="184"/>
        <v>659.37670768264547</v>
      </c>
      <c r="N69" s="60">
        <f t="shared" si="184"/>
        <v>659.37670768264547</v>
      </c>
      <c r="O69" s="60">
        <f t="shared" si="184"/>
        <v>659.37670768264547</v>
      </c>
      <c r="P69" s="60">
        <f t="shared" si="184"/>
        <v>659.37670768264547</v>
      </c>
      <c r="Q69" s="60">
        <f t="shared" si="184"/>
        <v>659.37670768264547</v>
      </c>
      <c r="R69" s="60">
        <f t="shared" si="184"/>
        <v>659.37670768264547</v>
      </c>
      <c r="S69" s="60">
        <f t="shared" si="184"/>
        <v>659.37670768264547</v>
      </c>
      <c r="T69" s="60">
        <f t="shared" si="184"/>
        <v>659.37670768264547</v>
      </c>
      <c r="U69" s="60">
        <f t="shared" si="184"/>
        <v>659.37670768264547</v>
      </c>
      <c r="V69" s="60">
        <f t="shared" si="184"/>
        <v>659.37670768264547</v>
      </c>
      <c r="W69" s="60">
        <f t="shared" si="184"/>
        <v>659.37670768264547</v>
      </c>
      <c r="X69" s="60">
        <f t="shared" si="184"/>
        <v>659.37670768264547</v>
      </c>
      <c r="Y69" s="60">
        <f t="shared" si="184"/>
        <v>659.37670768264547</v>
      </c>
      <c r="Z69" s="60">
        <f t="shared" si="184"/>
        <v>659.37670768264547</v>
      </c>
      <c r="AA69" s="60">
        <f t="shared" si="184"/>
        <v>659.37670768264547</v>
      </c>
      <c r="AB69" s="60">
        <f t="shared" si="184"/>
        <v>659.37670768264547</v>
      </c>
      <c r="AC69" s="94">
        <f t="shared" si="173"/>
        <v>0.15165837499999998</v>
      </c>
      <c r="AD69" s="94">
        <f>IF(D69=".",".",up_RadSpec!$F$24*(AD24*$B69))</f>
        <v>3.7914593749999996E-2</v>
      </c>
      <c r="AE69" s="94">
        <f>IF(E69=".",".",up_RadSpec!$F$24*(AE24*$B69))</f>
        <v>3.7914593749999996E-2</v>
      </c>
      <c r="AF69" s="94">
        <f>IF(F69=".",".",up_RadSpec!$F$24*(AF24*$B69))</f>
        <v>3.7914593749999996E-2</v>
      </c>
      <c r="AG69" s="94">
        <f>IF(G69=".",".",up_RadSpec!$F$24*(AG24*$B69))</f>
        <v>3.7914593749999996E-2</v>
      </c>
      <c r="AH69" s="94">
        <f>IF(H69=".",".",up_RadSpec!$F$24*(AH24*$B69))</f>
        <v>3.7914593749999996E-2</v>
      </c>
      <c r="AI69" s="94">
        <f>IF(I69=".",".",up_RadSpec!$F$24*(AI24*$B69))</f>
        <v>3.7914593749999996E-2</v>
      </c>
      <c r="AJ69" s="94">
        <f>IF(J69=".",".",up_RadSpec!$F$24*(AJ24*$B69))</f>
        <v>3.7914593749999996E-2</v>
      </c>
      <c r="AK69" s="94">
        <f>IF(K69=".",".",up_RadSpec!$F$24*(AK24*$B69))</f>
        <v>3.7914593749999996E-2</v>
      </c>
      <c r="AL69" s="94">
        <f>IF(L69=".",".",up_RadSpec!$F$24*(AL24*$B69))</f>
        <v>3.7914593749999996E-2</v>
      </c>
      <c r="AM69" s="94">
        <f>IF(M69=".",".",up_RadSpec!$F$24*(AM24*$B69))</f>
        <v>3.7914593749999996E-2</v>
      </c>
      <c r="AN69" s="94">
        <f>IF(N69=".",".",up_RadSpec!$F$24*(AN24*$B69))</f>
        <v>3.7914593749999996E-2</v>
      </c>
      <c r="AO69" s="94">
        <f>IF(O69=".",".",up_RadSpec!$F$24*(AO24*$B69))</f>
        <v>3.7914593749999996E-2</v>
      </c>
      <c r="AP69" s="94">
        <f>IF(P69=".",".",up_RadSpec!$F$24*(AP24*$B69))</f>
        <v>3.7914593749999996E-2</v>
      </c>
      <c r="AQ69" s="94">
        <f>IF(Q69=".",".",up_RadSpec!$F$24*(AQ24*$B69))</f>
        <v>3.7914593749999996E-2</v>
      </c>
      <c r="AR69" s="94">
        <f>IF(R69=".",".",up_RadSpec!$F$24*(AR24*$B69))</f>
        <v>3.7914593749999996E-2</v>
      </c>
      <c r="AS69" s="94">
        <f>IF(S69=".",".",up_RadSpec!$F$24*(AS24*$B69))</f>
        <v>3.7914593749999996E-2</v>
      </c>
      <c r="AT69" s="94">
        <f>IF(T69=".",".",up_RadSpec!$F$24*(AT24*$B69))</f>
        <v>3.7914593749999996E-2</v>
      </c>
      <c r="AU69" s="94">
        <f>IF(U69=".",".",up_RadSpec!$F$24*(AU24*$B69))</f>
        <v>3.7914593749999996E-2</v>
      </c>
      <c r="AV69" s="94">
        <f>IF(V69=".",".",up_RadSpec!$F$24*(AV24*$B69))</f>
        <v>3.7914593749999996E-2</v>
      </c>
      <c r="AW69" s="94">
        <f>IF(W69=".",".",up_RadSpec!$F$24*(AW24*$B69))</f>
        <v>3.7914593749999996E-2</v>
      </c>
      <c r="AX69" s="94">
        <f>IF(X69=".",".",up_RadSpec!$F$24*(AX24*$B69))</f>
        <v>3.7914593749999996E-2</v>
      </c>
      <c r="AY69" s="94">
        <f>IF(Y69=".",".",up_RadSpec!$F$24*(AY24*$B69))</f>
        <v>3.7914593749999996E-2</v>
      </c>
      <c r="AZ69" s="94">
        <f>IF(Z69=".",".",up_RadSpec!$F$24*(AZ24*$B69))</f>
        <v>3.7914593749999996E-2</v>
      </c>
      <c r="BA69" s="94">
        <f>IF(AA69=".",".",up_RadSpec!$F$24*(BA24*$B69))</f>
        <v>3.7914593749999996E-2</v>
      </c>
      <c r="BB69" s="94">
        <f>IF(AB69=".",".",up_RadSpec!$F$24*(BB24*$B69))</f>
        <v>3.7914593749999996E-2</v>
      </c>
      <c r="BC69" s="60">
        <f t="shared" ref="BC69:CB69" si="185">IFERROR(BC24/$B55,".")</f>
        <v>164.84417692066137</v>
      </c>
      <c r="BD69" s="60">
        <f t="shared" si="185"/>
        <v>659.37670768264547</v>
      </c>
      <c r="BE69" s="60">
        <f t="shared" si="185"/>
        <v>659.37670768264547</v>
      </c>
      <c r="BF69" s="60">
        <f t="shared" si="185"/>
        <v>659.37670768264547</v>
      </c>
      <c r="BG69" s="60">
        <f t="shared" si="185"/>
        <v>659.37670768264547</v>
      </c>
      <c r="BH69" s="60">
        <f t="shared" si="185"/>
        <v>659.37670768264547</v>
      </c>
      <c r="BI69" s="60">
        <f t="shared" si="185"/>
        <v>659.37670768264547</v>
      </c>
      <c r="BJ69" s="60">
        <f t="shared" si="185"/>
        <v>659.37670768264547</v>
      </c>
      <c r="BK69" s="60">
        <f t="shared" si="185"/>
        <v>659.37670768264547</v>
      </c>
      <c r="BL69" s="60">
        <f t="shared" si="185"/>
        <v>659.37670768264547</v>
      </c>
      <c r="BM69" s="60">
        <f t="shared" si="185"/>
        <v>659.37670768264547</v>
      </c>
      <c r="BN69" s="60">
        <f t="shared" si="185"/>
        <v>659.37670768264547</v>
      </c>
      <c r="BO69" s="60">
        <f t="shared" si="185"/>
        <v>659.37670768264547</v>
      </c>
      <c r="BP69" s="60">
        <f t="shared" si="185"/>
        <v>659.37670768264547</v>
      </c>
      <c r="BQ69" s="60">
        <f t="shared" si="185"/>
        <v>659.37670768264547</v>
      </c>
      <c r="BR69" s="60">
        <f t="shared" si="185"/>
        <v>659.37670768264547</v>
      </c>
      <c r="BS69" s="60">
        <f t="shared" si="185"/>
        <v>659.37670768264547</v>
      </c>
      <c r="BT69" s="60">
        <f t="shared" si="185"/>
        <v>659.37670768264547</v>
      </c>
      <c r="BU69" s="60">
        <f t="shared" si="185"/>
        <v>659.37670768264547</v>
      </c>
      <c r="BV69" s="60">
        <f t="shared" si="185"/>
        <v>659.37670768264547</v>
      </c>
      <c r="BW69" s="60">
        <f t="shared" si="185"/>
        <v>659.37670768264547</v>
      </c>
      <c r="BX69" s="60">
        <f t="shared" si="185"/>
        <v>659.37670768264547</v>
      </c>
      <c r="BY69" s="60">
        <f t="shared" si="185"/>
        <v>659.37670768264547</v>
      </c>
      <c r="BZ69" s="60">
        <f t="shared" si="185"/>
        <v>659.37670768264547</v>
      </c>
      <c r="CA69" s="60">
        <f t="shared" si="185"/>
        <v>659.37670768264547</v>
      </c>
      <c r="CB69" s="60">
        <f t="shared" si="185"/>
        <v>659.37670768264547</v>
      </c>
      <c r="CC69" s="94">
        <f t="shared" si="175"/>
        <v>0.15165837499999998</v>
      </c>
      <c r="CD69" s="94">
        <f>IF(BD69=".",".",up_RadSpec!$F$24*(CD24*$B69))</f>
        <v>3.7914593749999996E-2</v>
      </c>
      <c r="CE69" s="94">
        <f>IF(BE69=".",".",up_RadSpec!$F$24*(CE24*$B69))</f>
        <v>3.7914593749999996E-2</v>
      </c>
      <c r="CF69" s="94">
        <f>IF(BF69=".",".",up_RadSpec!$F$24*(CF24*$B69))</f>
        <v>3.7914593749999996E-2</v>
      </c>
      <c r="CG69" s="94">
        <f>IF(BG69=".",".",up_RadSpec!$F$24*(CG24*$B69))</f>
        <v>3.7914593749999996E-2</v>
      </c>
      <c r="CH69" s="94">
        <f>IF(BH69=".",".",up_RadSpec!$F$24*(CH24*$B69))</f>
        <v>3.7914593749999996E-2</v>
      </c>
      <c r="CI69" s="94">
        <f>IF(BI69=".",".",up_RadSpec!$F$24*(CI24*$B69))</f>
        <v>3.7914593749999996E-2</v>
      </c>
      <c r="CJ69" s="94">
        <f>IF(BJ69=".",".",up_RadSpec!$F$24*(CJ24*$B69))</f>
        <v>3.7914593749999996E-2</v>
      </c>
      <c r="CK69" s="94">
        <f>IF(BK69=".",".",up_RadSpec!$F$24*(CK24*$B69))</f>
        <v>3.7914593749999996E-2</v>
      </c>
      <c r="CL69" s="94">
        <f>IF(BL69=".",".",up_RadSpec!$F$24*(CL24*$B69))</f>
        <v>3.7914593749999996E-2</v>
      </c>
      <c r="CM69" s="94">
        <f>IF(BM69=".",".",up_RadSpec!$F$24*(CM24*$B69))</f>
        <v>3.7914593749999996E-2</v>
      </c>
      <c r="CN69" s="94">
        <f>IF(BN69=".",".",up_RadSpec!$F$24*(CN24*$B69))</f>
        <v>3.7914593749999996E-2</v>
      </c>
      <c r="CO69" s="94">
        <f>IF(BO69=".",".",up_RadSpec!$F$24*(CO24*$B69))</f>
        <v>3.7914593749999996E-2</v>
      </c>
      <c r="CP69" s="94">
        <f>IF(BP69=".",".",up_RadSpec!$F$24*(CP24*$B69))</f>
        <v>3.7914593749999996E-2</v>
      </c>
      <c r="CQ69" s="94">
        <f>IF(BQ69=".",".",up_RadSpec!$F$24*(CQ24*$B69))</f>
        <v>3.7914593749999996E-2</v>
      </c>
      <c r="CR69" s="94">
        <f>IF(BR69=".",".",up_RadSpec!$F$24*(CR24*$B69))</f>
        <v>3.7914593749999996E-2</v>
      </c>
      <c r="CS69" s="94">
        <f>IF(BS69=".",".",up_RadSpec!$F$24*(CS24*$B69))</f>
        <v>3.7914593749999996E-2</v>
      </c>
      <c r="CT69" s="94">
        <f>IF(BT69=".",".",up_RadSpec!$F$24*(CT24*$B69))</f>
        <v>3.7914593749999996E-2</v>
      </c>
      <c r="CU69" s="94">
        <f>IF(BU69=".",".",up_RadSpec!$F$24*(CU24*$B69))</f>
        <v>3.7914593749999996E-2</v>
      </c>
      <c r="CV69" s="94">
        <f>IF(BV69=".",".",up_RadSpec!$F$24*(CV24*$B69))</f>
        <v>3.7914593749999996E-2</v>
      </c>
      <c r="CW69" s="94">
        <f>IF(BW69=".",".",up_RadSpec!$F$24*(CW24*$B69))</f>
        <v>3.7914593749999996E-2</v>
      </c>
      <c r="CX69" s="94">
        <f>IF(BX69=".",".",up_RadSpec!$F$24*(CX24*$B69))</f>
        <v>3.7914593749999996E-2</v>
      </c>
      <c r="CY69" s="94">
        <f>IF(BY69=".",".",up_RadSpec!$F$24*(CY24*$B69))</f>
        <v>3.7914593749999996E-2</v>
      </c>
      <c r="CZ69" s="94">
        <f>IF(BZ69=".",".",up_RadSpec!$F$24*(CZ24*$B69))</f>
        <v>3.7914593749999996E-2</v>
      </c>
      <c r="DA69" s="94">
        <f>IF(CA69=".",".",up_RadSpec!$F$24*(DA24*$B69))</f>
        <v>3.7914593749999996E-2</v>
      </c>
      <c r="DB69" s="94">
        <f>IF(CB69=".",".",up_RadSpec!$F$24*(DB24*$B69))</f>
        <v>3.7914593749999996E-2</v>
      </c>
    </row>
    <row r="70" spans="1:106" x14ac:dyDescent="0.25">
      <c r="A70" s="77" t="s">
        <v>1077</v>
      </c>
      <c r="B70" s="42">
        <v>0.99979000004200003</v>
      </c>
      <c r="C70" s="60">
        <f t="shared" ref="C70:AB70" si="186">IFERROR(C20/$B56,".")</f>
        <v>3.2975760292408697E-5</v>
      </c>
      <c r="D70" s="60">
        <f t="shared" si="186"/>
        <v>1.3190304116963479E-4</v>
      </c>
      <c r="E70" s="60">
        <f t="shared" si="186"/>
        <v>1.3190304116963479E-4</v>
      </c>
      <c r="F70" s="60">
        <f t="shared" si="186"/>
        <v>1.3190304116963479E-4</v>
      </c>
      <c r="G70" s="60">
        <f t="shared" si="186"/>
        <v>1.3190304116963479E-4</v>
      </c>
      <c r="H70" s="60">
        <f t="shared" si="186"/>
        <v>1.3190304116963479E-4</v>
      </c>
      <c r="I70" s="60">
        <f t="shared" si="186"/>
        <v>1.3190304116963479E-4</v>
      </c>
      <c r="J70" s="60">
        <f t="shared" si="186"/>
        <v>1.3190304116963479E-4</v>
      </c>
      <c r="K70" s="60">
        <f t="shared" si="186"/>
        <v>1.3190304116963479E-4</v>
      </c>
      <c r="L70" s="60">
        <f t="shared" si="186"/>
        <v>1.3190304116963479E-4</v>
      </c>
      <c r="M70" s="60">
        <f t="shared" si="186"/>
        <v>1.3190304116963479E-4</v>
      </c>
      <c r="N70" s="60">
        <f t="shared" si="186"/>
        <v>1.3190304116963479E-4</v>
      </c>
      <c r="O70" s="60">
        <f t="shared" si="186"/>
        <v>1.3190304116963479E-4</v>
      </c>
      <c r="P70" s="60">
        <f t="shared" si="186"/>
        <v>1.3190304116963479E-4</v>
      </c>
      <c r="Q70" s="60">
        <f t="shared" si="186"/>
        <v>1.3190304116963479E-4</v>
      </c>
      <c r="R70" s="60">
        <f t="shared" si="186"/>
        <v>1.3190304116963479E-4</v>
      </c>
      <c r="S70" s="60">
        <f t="shared" si="186"/>
        <v>1.3190304116963479E-4</v>
      </c>
      <c r="T70" s="60">
        <f t="shared" si="186"/>
        <v>1.3190304116963479E-4</v>
      </c>
      <c r="U70" s="60">
        <f t="shared" si="186"/>
        <v>1.3190304116963479E-4</v>
      </c>
      <c r="V70" s="60">
        <f t="shared" si="186"/>
        <v>1.3190304116963479E-4</v>
      </c>
      <c r="W70" s="60">
        <f t="shared" si="186"/>
        <v>1.3190304116963479E-4</v>
      </c>
      <c r="X70" s="60">
        <f t="shared" si="186"/>
        <v>1.3190304116963479E-4</v>
      </c>
      <c r="Y70" s="60">
        <f t="shared" si="186"/>
        <v>1.3190304116963479E-4</v>
      </c>
      <c r="Z70" s="60">
        <f t="shared" si="186"/>
        <v>1.3190304116963479E-4</v>
      </c>
      <c r="AA70" s="60">
        <f t="shared" si="186"/>
        <v>1.3190304116963479E-4</v>
      </c>
      <c r="AB70" s="60">
        <f t="shared" si="186"/>
        <v>1.3190304116963479E-4</v>
      </c>
      <c r="AC70" s="94">
        <f t="shared" si="173"/>
        <v>758132.6337380982</v>
      </c>
      <c r="AD70" s="94">
        <f>IF(D70=".",".",up_RadSpec!$F$20*(AD20*$B70))</f>
        <v>189533.15843452455</v>
      </c>
      <c r="AE70" s="94">
        <f>IF(E70=".",".",up_RadSpec!$F$20*(AE20*$B70))</f>
        <v>189533.15843452455</v>
      </c>
      <c r="AF70" s="94">
        <f>IF(F70=".",".",up_RadSpec!$F$20*(AF20*$B70))</f>
        <v>189533.15843452455</v>
      </c>
      <c r="AG70" s="94">
        <f>IF(G70=".",".",up_RadSpec!$F$20*(AG20*$B70))</f>
        <v>189533.15843452455</v>
      </c>
      <c r="AH70" s="94">
        <f>IF(H70=".",".",up_RadSpec!$F$20*(AH20*$B70))</f>
        <v>189533.15843452455</v>
      </c>
      <c r="AI70" s="94">
        <f>IF(I70=".",".",up_RadSpec!$F$20*(AI20*$B70))</f>
        <v>189533.15843452455</v>
      </c>
      <c r="AJ70" s="94">
        <f>IF(J70=".",".",up_RadSpec!$F$20*(AJ20*$B70))</f>
        <v>189533.15843452455</v>
      </c>
      <c r="AK70" s="94">
        <f>IF(K70=".",".",up_RadSpec!$F$20*(AK20*$B70))</f>
        <v>189533.15843452455</v>
      </c>
      <c r="AL70" s="94">
        <f>IF(L70=".",".",up_RadSpec!$F$20*(AL20*$B70))</f>
        <v>189533.15843452455</v>
      </c>
      <c r="AM70" s="94">
        <f>IF(M70=".",".",up_RadSpec!$F$20*(AM20*$B70))</f>
        <v>189533.15843452455</v>
      </c>
      <c r="AN70" s="94">
        <f>IF(N70=".",".",up_RadSpec!$F$20*(AN20*$B70))</f>
        <v>189533.15843452455</v>
      </c>
      <c r="AO70" s="94">
        <f>IF(O70=".",".",up_RadSpec!$F$20*(AO20*$B70))</f>
        <v>189533.15843452455</v>
      </c>
      <c r="AP70" s="94">
        <f>IF(P70=".",".",up_RadSpec!$F$20*(AP20*$B70))</f>
        <v>189533.15843452455</v>
      </c>
      <c r="AQ70" s="94">
        <f>IF(Q70=".",".",up_RadSpec!$F$20*(AQ20*$B70))</f>
        <v>189533.15843452455</v>
      </c>
      <c r="AR70" s="94">
        <f>IF(R70=".",".",up_RadSpec!$F$20*(AR20*$B70))</f>
        <v>189533.15843452455</v>
      </c>
      <c r="AS70" s="94">
        <f>IF(S70=".",".",up_RadSpec!$F$20*(AS20*$B70))</f>
        <v>189533.15843452455</v>
      </c>
      <c r="AT70" s="94">
        <f>IF(T70=".",".",up_RadSpec!$F$20*(AT20*$B70))</f>
        <v>189533.15843452455</v>
      </c>
      <c r="AU70" s="94">
        <f>IF(U70=".",".",up_RadSpec!$F$20*(AU20*$B70))</f>
        <v>189533.15843452455</v>
      </c>
      <c r="AV70" s="94">
        <f>IF(V70=".",".",up_RadSpec!$F$20*(AV20*$B70))</f>
        <v>189533.15843452455</v>
      </c>
      <c r="AW70" s="94">
        <f>IF(W70=".",".",up_RadSpec!$F$20*(AW20*$B70))</f>
        <v>189533.15843452455</v>
      </c>
      <c r="AX70" s="94">
        <f>IF(X70=".",".",up_RadSpec!$F$20*(AX20*$B70))</f>
        <v>189533.15843452455</v>
      </c>
      <c r="AY70" s="94">
        <f>IF(Y70=".",".",up_RadSpec!$F$20*(AY20*$B70))</f>
        <v>189533.15843452455</v>
      </c>
      <c r="AZ70" s="94">
        <f>IF(Z70=".",".",up_RadSpec!$F$20*(AZ20*$B70))</f>
        <v>189533.15843452455</v>
      </c>
      <c r="BA70" s="94">
        <f>IF(AA70=".",".",up_RadSpec!$F$20*(BA20*$B70))</f>
        <v>189533.15843452455</v>
      </c>
      <c r="BB70" s="94">
        <f>IF(AB70=".",".",up_RadSpec!$F$20*(BB20*$B70))</f>
        <v>189533.15843452455</v>
      </c>
      <c r="BC70" s="60">
        <f t="shared" ref="BC70:CB70" si="187">IFERROR(BC20/$B56,".")</f>
        <v>3.2975760292408697E-5</v>
      </c>
      <c r="BD70" s="60">
        <f t="shared" si="187"/>
        <v>1.3190304116963479E-4</v>
      </c>
      <c r="BE70" s="60">
        <f t="shared" si="187"/>
        <v>1.3190304116963479E-4</v>
      </c>
      <c r="BF70" s="60">
        <f t="shared" si="187"/>
        <v>1.3190304116963479E-4</v>
      </c>
      <c r="BG70" s="60">
        <f t="shared" si="187"/>
        <v>1.3190304116963479E-4</v>
      </c>
      <c r="BH70" s="60">
        <f t="shared" si="187"/>
        <v>1.3190304116963479E-4</v>
      </c>
      <c r="BI70" s="60">
        <f t="shared" si="187"/>
        <v>1.3190304116963479E-4</v>
      </c>
      <c r="BJ70" s="60">
        <f t="shared" si="187"/>
        <v>1.3190304116963479E-4</v>
      </c>
      <c r="BK70" s="60">
        <f t="shared" si="187"/>
        <v>1.3190304116963479E-4</v>
      </c>
      <c r="BL70" s="60">
        <f t="shared" si="187"/>
        <v>1.3190304116963479E-4</v>
      </c>
      <c r="BM70" s="60">
        <f t="shared" si="187"/>
        <v>1.3190304116963479E-4</v>
      </c>
      <c r="BN70" s="60">
        <f t="shared" si="187"/>
        <v>1.3190304116963479E-4</v>
      </c>
      <c r="BO70" s="60">
        <f t="shared" si="187"/>
        <v>1.3190304116963479E-4</v>
      </c>
      <c r="BP70" s="60">
        <f t="shared" si="187"/>
        <v>1.3190304116963479E-4</v>
      </c>
      <c r="BQ70" s="60">
        <f t="shared" si="187"/>
        <v>1.3190304116963479E-4</v>
      </c>
      <c r="BR70" s="60">
        <f t="shared" si="187"/>
        <v>1.3190304116963479E-4</v>
      </c>
      <c r="BS70" s="60">
        <f t="shared" si="187"/>
        <v>1.3190304116963479E-4</v>
      </c>
      <c r="BT70" s="60">
        <f t="shared" si="187"/>
        <v>1.3190304116963479E-4</v>
      </c>
      <c r="BU70" s="60">
        <f t="shared" si="187"/>
        <v>1.3190304116963479E-4</v>
      </c>
      <c r="BV70" s="60">
        <f t="shared" si="187"/>
        <v>1.3190304116963479E-4</v>
      </c>
      <c r="BW70" s="60">
        <f t="shared" si="187"/>
        <v>1.3190304116963479E-4</v>
      </c>
      <c r="BX70" s="60">
        <f t="shared" si="187"/>
        <v>1.3190304116963479E-4</v>
      </c>
      <c r="BY70" s="60">
        <f t="shared" si="187"/>
        <v>1.3190304116963479E-4</v>
      </c>
      <c r="BZ70" s="60">
        <f t="shared" si="187"/>
        <v>1.3190304116963479E-4</v>
      </c>
      <c r="CA70" s="60">
        <f t="shared" si="187"/>
        <v>1.3190304116963479E-4</v>
      </c>
      <c r="CB70" s="60">
        <f t="shared" si="187"/>
        <v>1.3190304116963479E-4</v>
      </c>
      <c r="CC70" s="94">
        <f t="shared" si="175"/>
        <v>758132.6337380982</v>
      </c>
      <c r="CD70" s="94">
        <f>IF(BD70=".",".",up_RadSpec!$F$20*(CD20*$B70))</f>
        <v>189533.15843452455</v>
      </c>
      <c r="CE70" s="94">
        <f>IF(BE70=".",".",up_RadSpec!$F$20*(CE20*$B70))</f>
        <v>189533.15843452455</v>
      </c>
      <c r="CF70" s="94">
        <f>IF(BF70=".",".",up_RadSpec!$F$20*(CF20*$B70))</f>
        <v>189533.15843452455</v>
      </c>
      <c r="CG70" s="94">
        <f>IF(BG70=".",".",up_RadSpec!$F$20*(CG20*$B70))</f>
        <v>189533.15843452455</v>
      </c>
      <c r="CH70" s="94">
        <f>IF(BH70=".",".",up_RadSpec!$F$20*(CH20*$B70))</f>
        <v>189533.15843452455</v>
      </c>
      <c r="CI70" s="94">
        <f>IF(BI70=".",".",up_RadSpec!$F$20*(CI20*$B70))</f>
        <v>189533.15843452455</v>
      </c>
      <c r="CJ70" s="94">
        <f>IF(BJ70=".",".",up_RadSpec!$F$20*(CJ20*$B70))</f>
        <v>189533.15843452455</v>
      </c>
      <c r="CK70" s="94">
        <f>IF(BK70=".",".",up_RadSpec!$F$20*(CK20*$B70))</f>
        <v>189533.15843452455</v>
      </c>
      <c r="CL70" s="94">
        <f>IF(BL70=".",".",up_RadSpec!$F$20*(CL20*$B70))</f>
        <v>189533.15843452455</v>
      </c>
      <c r="CM70" s="94">
        <f>IF(BM70=".",".",up_RadSpec!$F$20*(CM20*$B70))</f>
        <v>189533.15843452455</v>
      </c>
      <c r="CN70" s="94">
        <f>IF(BN70=".",".",up_RadSpec!$F$20*(CN20*$B70))</f>
        <v>189533.15843452455</v>
      </c>
      <c r="CO70" s="94">
        <f>IF(BO70=".",".",up_RadSpec!$F$20*(CO20*$B70))</f>
        <v>189533.15843452455</v>
      </c>
      <c r="CP70" s="94">
        <f>IF(BP70=".",".",up_RadSpec!$F$20*(CP20*$B70))</f>
        <v>189533.15843452455</v>
      </c>
      <c r="CQ70" s="94">
        <f>IF(BQ70=".",".",up_RadSpec!$F$20*(CQ20*$B70))</f>
        <v>189533.15843452455</v>
      </c>
      <c r="CR70" s="94">
        <f>IF(BR70=".",".",up_RadSpec!$F$20*(CR20*$B70))</f>
        <v>189533.15843452455</v>
      </c>
      <c r="CS70" s="94">
        <f>IF(BS70=".",".",up_RadSpec!$F$20*(CS20*$B70))</f>
        <v>189533.15843452455</v>
      </c>
      <c r="CT70" s="94">
        <f>IF(BT70=".",".",up_RadSpec!$F$20*(CT20*$B70))</f>
        <v>189533.15843452455</v>
      </c>
      <c r="CU70" s="94">
        <f>IF(BU70=".",".",up_RadSpec!$F$20*(CU20*$B70))</f>
        <v>189533.15843452455</v>
      </c>
      <c r="CV70" s="94">
        <f>IF(BV70=".",".",up_RadSpec!$F$20*(CV20*$B70))</f>
        <v>189533.15843452455</v>
      </c>
      <c r="CW70" s="94">
        <f>IF(BW70=".",".",up_RadSpec!$F$20*(CW20*$B70))</f>
        <v>189533.15843452455</v>
      </c>
      <c r="CX70" s="94">
        <f>IF(BX70=".",".",up_RadSpec!$F$20*(CX20*$B70))</f>
        <v>189533.15843452455</v>
      </c>
      <c r="CY70" s="94">
        <f>IF(BY70=".",".",up_RadSpec!$F$20*(CY20*$B70))</f>
        <v>189533.15843452455</v>
      </c>
      <c r="CZ70" s="94">
        <f>IF(BZ70=".",".",up_RadSpec!$F$20*(CZ20*$B70))</f>
        <v>189533.15843452455</v>
      </c>
      <c r="DA70" s="94">
        <f>IF(CA70=".",".",up_RadSpec!$F$20*(DA20*$B70))</f>
        <v>189533.15843452455</v>
      </c>
      <c r="DB70" s="94">
        <f>IF(CB70=".",".",up_RadSpec!$F$20*(DB20*$B70))</f>
        <v>189533.15843452455</v>
      </c>
    </row>
    <row r="71" spans="1:106" x14ac:dyDescent="0.25">
      <c r="A71" s="77" t="s">
        <v>1078</v>
      </c>
      <c r="B71" s="42">
        <v>2.0999995799999999E-4</v>
      </c>
      <c r="C71" s="60">
        <f t="shared" ref="C71:AB71" si="188">IFERROR(C29/$B57,".")</f>
        <v>0.1569944856090508</v>
      </c>
      <c r="D71" s="60">
        <f t="shared" si="188"/>
        <v>0.6279779424362032</v>
      </c>
      <c r="E71" s="60">
        <f t="shared" si="188"/>
        <v>0.6279779424362032</v>
      </c>
      <c r="F71" s="60">
        <f t="shared" si="188"/>
        <v>0.6279779424362032</v>
      </c>
      <c r="G71" s="60">
        <f t="shared" si="188"/>
        <v>0.6279779424362032</v>
      </c>
      <c r="H71" s="60">
        <f t="shared" si="188"/>
        <v>0.6279779424362032</v>
      </c>
      <c r="I71" s="60">
        <f t="shared" si="188"/>
        <v>0.6279779424362032</v>
      </c>
      <c r="J71" s="60">
        <f t="shared" si="188"/>
        <v>0.6279779424362032</v>
      </c>
      <c r="K71" s="60">
        <f t="shared" si="188"/>
        <v>0.6279779424362032</v>
      </c>
      <c r="L71" s="60">
        <f t="shared" si="188"/>
        <v>0.6279779424362032</v>
      </c>
      <c r="M71" s="60">
        <f t="shared" si="188"/>
        <v>0.6279779424362032</v>
      </c>
      <c r="N71" s="60">
        <f t="shared" si="188"/>
        <v>0.6279779424362032</v>
      </c>
      <c r="O71" s="60">
        <f t="shared" si="188"/>
        <v>0.6279779424362032</v>
      </c>
      <c r="P71" s="60">
        <f t="shared" si="188"/>
        <v>0.6279779424362032</v>
      </c>
      <c r="Q71" s="60">
        <f t="shared" si="188"/>
        <v>0.6279779424362032</v>
      </c>
      <c r="R71" s="60">
        <f t="shared" si="188"/>
        <v>0.6279779424362032</v>
      </c>
      <c r="S71" s="60">
        <f t="shared" si="188"/>
        <v>0.6279779424362032</v>
      </c>
      <c r="T71" s="60">
        <f t="shared" si="188"/>
        <v>0.6279779424362032</v>
      </c>
      <c r="U71" s="60">
        <f t="shared" si="188"/>
        <v>0.6279779424362032</v>
      </c>
      <c r="V71" s="60">
        <f t="shared" si="188"/>
        <v>0.6279779424362032</v>
      </c>
      <c r="W71" s="60">
        <f t="shared" si="188"/>
        <v>0.6279779424362032</v>
      </c>
      <c r="X71" s="60">
        <f t="shared" si="188"/>
        <v>0.6279779424362032</v>
      </c>
      <c r="Y71" s="60">
        <f t="shared" si="188"/>
        <v>0.6279779424362032</v>
      </c>
      <c r="Z71" s="60">
        <f t="shared" si="188"/>
        <v>0.6279779424362032</v>
      </c>
      <c r="AA71" s="60">
        <f t="shared" si="188"/>
        <v>0.6279779424362032</v>
      </c>
      <c r="AB71" s="60">
        <f t="shared" si="188"/>
        <v>0.6279779424362032</v>
      </c>
      <c r="AC71" s="94">
        <f t="shared" si="173"/>
        <v>159.24126190174124</v>
      </c>
      <c r="AD71" s="94">
        <f>IF(D71=".",".",up_RadSpec!$F$29*(AD29*$B71))</f>
        <v>39.81031547543531</v>
      </c>
      <c r="AE71" s="94">
        <f>IF(E71=".",".",up_RadSpec!$F$29*(AE29*$B71))</f>
        <v>39.81031547543531</v>
      </c>
      <c r="AF71" s="94">
        <f>IF(F71=".",".",up_RadSpec!$F$29*(AF29*$B71))</f>
        <v>39.81031547543531</v>
      </c>
      <c r="AG71" s="94">
        <f>IF(G71=".",".",up_RadSpec!$F$29*(AG29*$B71))</f>
        <v>39.81031547543531</v>
      </c>
      <c r="AH71" s="94">
        <f>IF(H71=".",".",up_RadSpec!$F$29*(AH29*$B71))</f>
        <v>39.81031547543531</v>
      </c>
      <c r="AI71" s="94">
        <f>IF(I71=".",".",up_RadSpec!$F$29*(AI29*$B71))</f>
        <v>39.81031547543531</v>
      </c>
      <c r="AJ71" s="94">
        <f>IF(J71=".",".",up_RadSpec!$F$29*(AJ29*$B71))</f>
        <v>39.81031547543531</v>
      </c>
      <c r="AK71" s="94">
        <f>IF(K71=".",".",up_RadSpec!$F$29*(AK29*$B71))</f>
        <v>39.81031547543531</v>
      </c>
      <c r="AL71" s="94">
        <f>IF(L71=".",".",up_RadSpec!$F$29*(AL29*$B71))</f>
        <v>39.81031547543531</v>
      </c>
      <c r="AM71" s="94">
        <f>IF(M71=".",".",up_RadSpec!$F$29*(AM29*$B71))</f>
        <v>39.81031547543531</v>
      </c>
      <c r="AN71" s="94">
        <f>IF(N71=".",".",up_RadSpec!$F$29*(AN29*$B71))</f>
        <v>39.81031547543531</v>
      </c>
      <c r="AO71" s="94">
        <f>IF(O71=".",".",up_RadSpec!$F$29*(AO29*$B71))</f>
        <v>39.81031547543531</v>
      </c>
      <c r="AP71" s="94">
        <f>IF(P71=".",".",up_RadSpec!$F$29*(AP29*$B71))</f>
        <v>39.81031547543531</v>
      </c>
      <c r="AQ71" s="94">
        <f>IF(Q71=".",".",up_RadSpec!$F$29*(AQ29*$B71))</f>
        <v>39.81031547543531</v>
      </c>
      <c r="AR71" s="94">
        <f>IF(R71=".",".",up_RadSpec!$F$29*(AR29*$B71))</f>
        <v>39.81031547543531</v>
      </c>
      <c r="AS71" s="94">
        <f>IF(S71=".",".",up_RadSpec!$F$29*(AS29*$B71))</f>
        <v>39.81031547543531</v>
      </c>
      <c r="AT71" s="94">
        <f>IF(T71=".",".",up_RadSpec!$F$29*(AT29*$B71))</f>
        <v>39.81031547543531</v>
      </c>
      <c r="AU71" s="94">
        <f>IF(U71=".",".",up_RadSpec!$F$29*(AU29*$B71))</f>
        <v>39.81031547543531</v>
      </c>
      <c r="AV71" s="94">
        <f>IF(V71=".",".",up_RadSpec!$F$29*(AV29*$B71))</f>
        <v>39.81031547543531</v>
      </c>
      <c r="AW71" s="94">
        <f>IF(W71=".",".",up_RadSpec!$F$29*(AW29*$B71))</f>
        <v>39.81031547543531</v>
      </c>
      <c r="AX71" s="94">
        <f>IF(X71=".",".",up_RadSpec!$F$29*(AX29*$B71))</f>
        <v>39.81031547543531</v>
      </c>
      <c r="AY71" s="94">
        <f>IF(Y71=".",".",up_RadSpec!$F$29*(AY29*$B71))</f>
        <v>39.81031547543531</v>
      </c>
      <c r="AZ71" s="94">
        <f>IF(Z71=".",".",up_RadSpec!$F$29*(AZ29*$B71))</f>
        <v>39.81031547543531</v>
      </c>
      <c r="BA71" s="94">
        <f>IF(AA71=".",".",up_RadSpec!$F$29*(BA29*$B71))</f>
        <v>39.81031547543531</v>
      </c>
      <c r="BB71" s="94">
        <f>IF(AB71=".",".",up_RadSpec!$F$29*(BB29*$B71))</f>
        <v>39.81031547543531</v>
      </c>
      <c r="BC71" s="60">
        <f t="shared" ref="BC71:CB71" si="189">IFERROR(BC29/$B57,".")</f>
        <v>0.1569944856090508</v>
      </c>
      <c r="BD71" s="60">
        <f t="shared" si="189"/>
        <v>0.6279779424362032</v>
      </c>
      <c r="BE71" s="60">
        <f t="shared" si="189"/>
        <v>0.6279779424362032</v>
      </c>
      <c r="BF71" s="60">
        <f t="shared" si="189"/>
        <v>0.6279779424362032</v>
      </c>
      <c r="BG71" s="60">
        <f t="shared" si="189"/>
        <v>0.6279779424362032</v>
      </c>
      <c r="BH71" s="60">
        <f t="shared" si="189"/>
        <v>0.6279779424362032</v>
      </c>
      <c r="BI71" s="60">
        <f t="shared" si="189"/>
        <v>0.6279779424362032</v>
      </c>
      <c r="BJ71" s="60">
        <f t="shared" si="189"/>
        <v>0.6279779424362032</v>
      </c>
      <c r="BK71" s="60">
        <f t="shared" si="189"/>
        <v>0.6279779424362032</v>
      </c>
      <c r="BL71" s="60">
        <f t="shared" si="189"/>
        <v>0.6279779424362032</v>
      </c>
      <c r="BM71" s="60">
        <f t="shared" si="189"/>
        <v>0.6279779424362032</v>
      </c>
      <c r="BN71" s="60">
        <f t="shared" si="189"/>
        <v>0.6279779424362032</v>
      </c>
      <c r="BO71" s="60">
        <f t="shared" si="189"/>
        <v>0.6279779424362032</v>
      </c>
      <c r="BP71" s="60">
        <f t="shared" si="189"/>
        <v>0.6279779424362032</v>
      </c>
      <c r="BQ71" s="60">
        <f t="shared" si="189"/>
        <v>0.6279779424362032</v>
      </c>
      <c r="BR71" s="60">
        <f t="shared" si="189"/>
        <v>0.6279779424362032</v>
      </c>
      <c r="BS71" s="60">
        <f t="shared" si="189"/>
        <v>0.6279779424362032</v>
      </c>
      <c r="BT71" s="60">
        <f t="shared" si="189"/>
        <v>0.6279779424362032</v>
      </c>
      <c r="BU71" s="60">
        <f t="shared" si="189"/>
        <v>0.6279779424362032</v>
      </c>
      <c r="BV71" s="60">
        <f t="shared" si="189"/>
        <v>0.6279779424362032</v>
      </c>
      <c r="BW71" s="60">
        <f t="shared" si="189"/>
        <v>0.6279779424362032</v>
      </c>
      <c r="BX71" s="60">
        <f t="shared" si="189"/>
        <v>0.6279779424362032</v>
      </c>
      <c r="BY71" s="60">
        <f t="shared" si="189"/>
        <v>0.6279779424362032</v>
      </c>
      <c r="BZ71" s="60">
        <f t="shared" si="189"/>
        <v>0.6279779424362032</v>
      </c>
      <c r="CA71" s="60">
        <f t="shared" si="189"/>
        <v>0.6279779424362032</v>
      </c>
      <c r="CB71" s="60">
        <f t="shared" si="189"/>
        <v>0.6279779424362032</v>
      </c>
      <c r="CC71" s="94">
        <f t="shared" si="175"/>
        <v>159.24126190174124</v>
      </c>
      <c r="CD71" s="94">
        <f>IF(BD71=".",".",up_RadSpec!$F$29*(CD29*$B71))</f>
        <v>39.81031547543531</v>
      </c>
      <c r="CE71" s="94">
        <f>IF(BE71=".",".",up_RadSpec!$F$29*(CE29*$B71))</f>
        <v>39.81031547543531</v>
      </c>
      <c r="CF71" s="94">
        <f>IF(BF71=".",".",up_RadSpec!$F$29*(CF29*$B71))</f>
        <v>39.81031547543531</v>
      </c>
      <c r="CG71" s="94">
        <f>IF(BG71=".",".",up_RadSpec!$F$29*(CG29*$B71))</f>
        <v>39.81031547543531</v>
      </c>
      <c r="CH71" s="94">
        <f>IF(BH71=".",".",up_RadSpec!$F$29*(CH29*$B71))</f>
        <v>39.81031547543531</v>
      </c>
      <c r="CI71" s="94">
        <f>IF(BI71=".",".",up_RadSpec!$F$29*(CI29*$B71))</f>
        <v>39.81031547543531</v>
      </c>
      <c r="CJ71" s="94">
        <f>IF(BJ71=".",".",up_RadSpec!$F$29*(CJ29*$B71))</f>
        <v>39.81031547543531</v>
      </c>
      <c r="CK71" s="94">
        <f>IF(BK71=".",".",up_RadSpec!$F$29*(CK29*$B71))</f>
        <v>39.81031547543531</v>
      </c>
      <c r="CL71" s="94">
        <f>IF(BL71=".",".",up_RadSpec!$F$29*(CL29*$B71))</f>
        <v>39.81031547543531</v>
      </c>
      <c r="CM71" s="94">
        <f>IF(BM71=".",".",up_RadSpec!$F$29*(CM29*$B71))</f>
        <v>39.81031547543531</v>
      </c>
      <c r="CN71" s="94">
        <f>IF(BN71=".",".",up_RadSpec!$F$29*(CN29*$B71))</f>
        <v>39.81031547543531</v>
      </c>
      <c r="CO71" s="94">
        <f>IF(BO71=".",".",up_RadSpec!$F$29*(CO29*$B71))</f>
        <v>39.81031547543531</v>
      </c>
      <c r="CP71" s="94">
        <f>IF(BP71=".",".",up_RadSpec!$F$29*(CP29*$B71))</f>
        <v>39.81031547543531</v>
      </c>
      <c r="CQ71" s="94">
        <f>IF(BQ71=".",".",up_RadSpec!$F$29*(CQ29*$B71))</f>
        <v>39.81031547543531</v>
      </c>
      <c r="CR71" s="94">
        <f>IF(BR71=".",".",up_RadSpec!$F$29*(CR29*$B71))</f>
        <v>39.81031547543531</v>
      </c>
      <c r="CS71" s="94">
        <f>IF(BS71=".",".",up_RadSpec!$F$29*(CS29*$B71))</f>
        <v>39.81031547543531</v>
      </c>
      <c r="CT71" s="94">
        <f>IF(BT71=".",".",up_RadSpec!$F$29*(CT29*$B71))</f>
        <v>39.81031547543531</v>
      </c>
      <c r="CU71" s="94">
        <f>IF(BU71=".",".",up_RadSpec!$F$29*(CU29*$B71))</f>
        <v>39.81031547543531</v>
      </c>
      <c r="CV71" s="94">
        <f>IF(BV71=".",".",up_RadSpec!$F$29*(CV29*$B71))</f>
        <v>39.81031547543531</v>
      </c>
      <c r="CW71" s="94">
        <f>IF(BW71=".",".",up_RadSpec!$F$29*(CW29*$B71))</f>
        <v>39.81031547543531</v>
      </c>
      <c r="CX71" s="94">
        <f>IF(BX71=".",".",up_RadSpec!$F$29*(CX29*$B71))</f>
        <v>39.81031547543531</v>
      </c>
      <c r="CY71" s="94">
        <f>IF(BY71=".",".",up_RadSpec!$F$29*(CY29*$B71))</f>
        <v>39.81031547543531</v>
      </c>
      <c r="CZ71" s="94">
        <f>IF(BZ71=".",".",up_RadSpec!$F$29*(CZ29*$B71))</f>
        <v>39.81031547543531</v>
      </c>
      <c r="DA71" s="94">
        <f>IF(CA71=".",".",up_RadSpec!$F$29*(DA29*$B71))</f>
        <v>39.81031547543531</v>
      </c>
      <c r="DB71" s="94">
        <f>IF(CB71=".",".",up_RadSpec!$F$29*(DB29*$B71))</f>
        <v>39.81031547543531</v>
      </c>
    </row>
    <row r="72" spans="1:106" x14ac:dyDescent="0.25">
      <c r="A72" s="77" t="s">
        <v>1079</v>
      </c>
      <c r="B72" s="42">
        <v>1</v>
      </c>
      <c r="C72" s="60">
        <f t="shared" ref="C72:AB72" si="190">IFERROR(C16/$B58,".")</f>
        <v>3.2968835384132272E-5</v>
      </c>
      <c r="D72" s="60">
        <f t="shared" si="190"/>
        <v>1.3187534153652909E-4</v>
      </c>
      <c r="E72" s="60">
        <f t="shared" si="190"/>
        <v>1.3187534153652909E-4</v>
      </c>
      <c r="F72" s="60">
        <f t="shared" si="190"/>
        <v>1.3187534153652909E-4</v>
      </c>
      <c r="G72" s="60">
        <f t="shared" si="190"/>
        <v>1.3187534153652909E-4</v>
      </c>
      <c r="H72" s="60">
        <f t="shared" si="190"/>
        <v>1.3187534153652909E-4</v>
      </c>
      <c r="I72" s="60">
        <f t="shared" si="190"/>
        <v>1.3187534153652909E-4</v>
      </c>
      <c r="J72" s="60">
        <f t="shared" si="190"/>
        <v>1.3187534153652909E-4</v>
      </c>
      <c r="K72" s="60">
        <f t="shared" si="190"/>
        <v>1.3187534153652909E-4</v>
      </c>
      <c r="L72" s="60">
        <f t="shared" si="190"/>
        <v>1.3187534153652909E-4</v>
      </c>
      <c r="M72" s="60">
        <f t="shared" si="190"/>
        <v>1.3187534153652909E-4</v>
      </c>
      <c r="N72" s="60">
        <f t="shared" si="190"/>
        <v>1.3187534153652909E-4</v>
      </c>
      <c r="O72" s="60">
        <f t="shared" si="190"/>
        <v>1.3187534153652909E-4</v>
      </c>
      <c r="P72" s="60">
        <f t="shared" si="190"/>
        <v>1.3187534153652909E-4</v>
      </c>
      <c r="Q72" s="60">
        <f t="shared" si="190"/>
        <v>1.3187534153652909E-4</v>
      </c>
      <c r="R72" s="60">
        <f t="shared" si="190"/>
        <v>1.3187534153652909E-4</v>
      </c>
      <c r="S72" s="60">
        <f t="shared" si="190"/>
        <v>1.3187534153652909E-4</v>
      </c>
      <c r="T72" s="60">
        <f t="shared" si="190"/>
        <v>1.3187534153652909E-4</v>
      </c>
      <c r="U72" s="60">
        <f t="shared" si="190"/>
        <v>1.3187534153652909E-4</v>
      </c>
      <c r="V72" s="60">
        <f t="shared" si="190"/>
        <v>1.3187534153652909E-4</v>
      </c>
      <c r="W72" s="60">
        <f t="shared" si="190"/>
        <v>1.3187534153652909E-4</v>
      </c>
      <c r="X72" s="60">
        <f t="shared" si="190"/>
        <v>1.3187534153652909E-4</v>
      </c>
      <c r="Y72" s="60">
        <f t="shared" si="190"/>
        <v>1.3187534153652909E-4</v>
      </c>
      <c r="Z72" s="60">
        <f t="shared" si="190"/>
        <v>1.3187534153652909E-4</v>
      </c>
      <c r="AA72" s="60">
        <f t="shared" si="190"/>
        <v>1.3187534153652909E-4</v>
      </c>
      <c r="AB72" s="60">
        <f t="shared" si="190"/>
        <v>1.3187534153652909E-4</v>
      </c>
      <c r="AC72" s="94">
        <f t="shared" si="173"/>
        <v>758291.875</v>
      </c>
      <c r="AD72" s="94">
        <f>IF(D72=".",".",up_RadSpec!$F$16*(AD16*$B72))</f>
        <v>189572.96875</v>
      </c>
      <c r="AE72" s="94">
        <f>IF(E72=".",".",up_RadSpec!$F$16*(AE16*$B72))</f>
        <v>189572.96875</v>
      </c>
      <c r="AF72" s="94">
        <f>IF(F72=".",".",up_RadSpec!$F$16*(AF16*$B72))</f>
        <v>189572.96875</v>
      </c>
      <c r="AG72" s="94">
        <f>IF(G72=".",".",up_RadSpec!$F$16*(AG16*$B72))</f>
        <v>189572.96875</v>
      </c>
      <c r="AH72" s="94">
        <f>IF(H72=".",".",up_RadSpec!$F$16*(AH16*$B72))</f>
        <v>189572.96875</v>
      </c>
      <c r="AI72" s="94">
        <f>IF(I72=".",".",up_RadSpec!$F$16*(AI16*$B72))</f>
        <v>189572.96875</v>
      </c>
      <c r="AJ72" s="94">
        <f>IF(J72=".",".",up_RadSpec!$F$16*(AJ16*$B72))</f>
        <v>189572.96875</v>
      </c>
      <c r="AK72" s="94">
        <f>IF(K72=".",".",up_RadSpec!$F$16*(AK16*$B72))</f>
        <v>189572.96875</v>
      </c>
      <c r="AL72" s="94">
        <f>IF(L72=".",".",up_RadSpec!$F$16*(AL16*$B72))</f>
        <v>189572.96875</v>
      </c>
      <c r="AM72" s="94">
        <f>IF(M72=".",".",up_RadSpec!$F$16*(AM16*$B72))</f>
        <v>189572.96875</v>
      </c>
      <c r="AN72" s="94">
        <f>IF(N72=".",".",up_RadSpec!$F$16*(AN16*$B72))</f>
        <v>189572.96875</v>
      </c>
      <c r="AO72" s="94">
        <f>IF(O72=".",".",up_RadSpec!$F$16*(AO16*$B72))</f>
        <v>189572.96875</v>
      </c>
      <c r="AP72" s="94">
        <f>IF(P72=".",".",up_RadSpec!$F$16*(AP16*$B72))</f>
        <v>189572.96875</v>
      </c>
      <c r="AQ72" s="94">
        <f>IF(Q72=".",".",up_RadSpec!$F$16*(AQ16*$B72))</f>
        <v>189572.96875</v>
      </c>
      <c r="AR72" s="94">
        <f>IF(R72=".",".",up_RadSpec!$F$16*(AR16*$B72))</f>
        <v>189572.96875</v>
      </c>
      <c r="AS72" s="94">
        <f>IF(S72=".",".",up_RadSpec!$F$16*(AS16*$B72))</f>
        <v>189572.96875</v>
      </c>
      <c r="AT72" s="94">
        <f>IF(T72=".",".",up_RadSpec!$F$16*(AT16*$B72))</f>
        <v>189572.96875</v>
      </c>
      <c r="AU72" s="94">
        <f>IF(U72=".",".",up_RadSpec!$F$16*(AU16*$B72))</f>
        <v>189572.96875</v>
      </c>
      <c r="AV72" s="94">
        <f>IF(V72=".",".",up_RadSpec!$F$16*(AV16*$B72))</f>
        <v>189572.96875</v>
      </c>
      <c r="AW72" s="94">
        <f>IF(W72=".",".",up_RadSpec!$F$16*(AW16*$B72))</f>
        <v>189572.96875</v>
      </c>
      <c r="AX72" s="94">
        <f>IF(X72=".",".",up_RadSpec!$F$16*(AX16*$B72))</f>
        <v>189572.96875</v>
      </c>
      <c r="AY72" s="94">
        <f>IF(Y72=".",".",up_RadSpec!$F$16*(AY16*$B72))</f>
        <v>189572.96875</v>
      </c>
      <c r="AZ72" s="94">
        <f>IF(Z72=".",".",up_RadSpec!$F$16*(AZ16*$B72))</f>
        <v>189572.96875</v>
      </c>
      <c r="BA72" s="94">
        <f>IF(AA72=".",".",up_RadSpec!$F$16*(BA16*$B72))</f>
        <v>189572.96875</v>
      </c>
      <c r="BB72" s="94">
        <f>IF(AB72=".",".",up_RadSpec!$F$16*(BB16*$B72))</f>
        <v>189572.96875</v>
      </c>
      <c r="BC72" s="60">
        <f t="shared" ref="BC72:CB72" si="191">IFERROR(BC16/$B58,".")</f>
        <v>3.2968835384132272E-5</v>
      </c>
      <c r="BD72" s="60">
        <f t="shared" si="191"/>
        <v>1.3187534153652909E-4</v>
      </c>
      <c r="BE72" s="60">
        <f t="shared" si="191"/>
        <v>1.3187534153652909E-4</v>
      </c>
      <c r="BF72" s="60">
        <f t="shared" si="191"/>
        <v>1.3187534153652909E-4</v>
      </c>
      <c r="BG72" s="60">
        <f t="shared" si="191"/>
        <v>1.3187534153652909E-4</v>
      </c>
      <c r="BH72" s="60">
        <f t="shared" si="191"/>
        <v>1.3187534153652909E-4</v>
      </c>
      <c r="BI72" s="60">
        <f t="shared" si="191"/>
        <v>1.3187534153652909E-4</v>
      </c>
      <c r="BJ72" s="60">
        <f t="shared" si="191"/>
        <v>1.3187534153652909E-4</v>
      </c>
      <c r="BK72" s="60">
        <f t="shared" si="191"/>
        <v>1.3187534153652909E-4</v>
      </c>
      <c r="BL72" s="60">
        <f t="shared" si="191"/>
        <v>1.3187534153652909E-4</v>
      </c>
      <c r="BM72" s="60">
        <f t="shared" si="191"/>
        <v>1.3187534153652909E-4</v>
      </c>
      <c r="BN72" s="60">
        <f t="shared" si="191"/>
        <v>1.3187534153652909E-4</v>
      </c>
      <c r="BO72" s="60">
        <f t="shared" si="191"/>
        <v>1.3187534153652909E-4</v>
      </c>
      <c r="BP72" s="60">
        <f t="shared" si="191"/>
        <v>1.3187534153652909E-4</v>
      </c>
      <c r="BQ72" s="60">
        <f t="shared" si="191"/>
        <v>1.3187534153652909E-4</v>
      </c>
      <c r="BR72" s="60">
        <f t="shared" si="191"/>
        <v>1.3187534153652909E-4</v>
      </c>
      <c r="BS72" s="60">
        <f t="shared" si="191"/>
        <v>1.3187534153652909E-4</v>
      </c>
      <c r="BT72" s="60">
        <f t="shared" si="191"/>
        <v>1.3187534153652909E-4</v>
      </c>
      <c r="BU72" s="60">
        <f t="shared" si="191"/>
        <v>1.3187534153652909E-4</v>
      </c>
      <c r="BV72" s="60">
        <f t="shared" si="191"/>
        <v>1.3187534153652909E-4</v>
      </c>
      <c r="BW72" s="60">
        <f t="shared" si="191"/>
        <v>1.3187534153652909E-4</v>
      </c>
      <c r="BX72" s="60">
        <f t="shared" si="191"/>
        <v>1.3187534153652909E-4</v>
      </c>
      <c r="BY72" s="60">
        <f t="shared" si="191"/>
        <v>1.3187534153652909E-4</v>
      </c>
      <c r="BZ72" s="60">
        <f t="shared" si="191"/>
        <v>1.3187534153652909E-4</v>
      </c>
      <c r="CA72" s="60">
        <f t="shared" si="191"/>
        <v>1.3187534153652909E-4</v>
      </c>
      <c r="CB72" s="60">
        <f t="shared" si="191"/>
        <v>1.3187534153652909E-4</v>
      </c>
      <c r="CC72" s="94">
        <f t="shared" si="175"/>
        <v>758291.875</v>
      </c>
      <c r="CD72" s="94">
        <f>IF(BD72=".",".",up_RadSpec!$F$16*(CD16*$B72))</f>
        <v>189572.96875</v>
      </c>
      <c r="CE72" s="94">
        <f>IF(BE72=".",".",up_RadSpec!$F$16*(CE16*$B72))</f>
        <v>189572.96875</v>
      </c>
      <c r="CF72" s="94">
        <f>IF(BF72=".",".",up_RadSpec!$F$16*(CF16*$B72))</f>
        <v>189572.96875</v>
      </c>
      <c r="CG72" s="94">
        <f>IF(BG72=".",".",up_RadSpec!$F$16*(CG16*$B72))</f>
        <v>189572.96875</v>
      </c>
      <c r="CH72" s="94">
        <f>IF(BH72=".",".",up_RadSpec!$F$16*(CH16*$B72))</f>
        <v>189572.96875</v>
      </c>
      <c r="CI72" s="94">
        <f>IF(BI72=".",".",up_RadSpec!$F$16*(CI16*$B72))</f>
        <v>189572.96875</v>
      </c>
      <c r="CJ72" s="94">
        <f>IF(BJ72=".",".",up_RadSpec!$F$16*(CJ16*$B72))</f>
        <v>189572.96875</v>
      </c>
      <c r="CK72" s="94">
        <f>IF(BK72=".",".",up_RadSpec!$F$16*(CK16*$B72))</f>
        <v>189572.96875</v>
      </c>
      <c r="CL72" s="94">
        <f>IF(BL72=".",".",up_RadSpec!$F$16*(CL16*$B72))</f>
        <v>189572.96875</v>
      </c>
      <c r="CM72" s="94">
        <f>IF(BM72=".",".",up_RadSpec!$F$16*(CM16*$B72))</f>
        <v>189572.96875</v>
      </c>
      <c r="CN72" s="94">
        <f>IF(BN72=".",".",up_RadSpec!$F$16*(CN16*$B72))</f>
        <v>189572.96875</v>
      </c>
      <c r="CO72" s="94">
        <f>IF(BO72=".",".",up_RadSpec!$F$16*(CO16*$B72))</f>
        <v>189572.96875</v>
      </c>
      <c r="CP72" s="94">
        <f>IF(BP72=".",".",up_RadSpec!$F$16*(CP16*$B72))</f>
        <v>189572.96875</v>
      </c>
      <c r="CQ72" s="94">
        <f>IF(BQ72=".",".",up_RadSpec!$F$16*(CQ16*$B72))</f>
        <v>189572.96875</v>
      </c>
      <c r="CR72" s="94">
        <f>IF(BR72=".",".",up_RadSpec!$F$16*(CR16*$B72))</f>
        <v>189572.96875</v>
      </c>
      <c r="CS72" s="94">
        <f>IF(BS72=".",".",up_RadSpec!$F$16*(CS16*$B72))</f>
        <v>189572.96875</v>
      </c>
      <c r="CT72" s="94">
        <f>IF(BT72=".",".",up_RadSpec!$F$16*(CT16*$B72))</f>
        <v>189572.96875</v>
      </c>
      <c r="CU72" s="94">
        <f>IF(BU72=".",".",up_RadSpec!$F$16*(CU16*$B72))</f>
        <v>189572.96875</v>
      </c>
      <c r="CV72" s="94">
        <f>IF(BV72=".",".",up_RadSpec!$F$16*(CV16*$B72))</f>
        <v>189572.96875</v>
      </c>
      <c r="CW72" s="94">
        <f>IF(BW72=".",".",up_RadSpec!$F$16*(CW16*$B72))</f>
        <v>189572.96875</v>
      </c>
      <c r="CX72" s="94">
        <f>IF(BX72=".",".",up_RadSpec!$F$16*(CX16*$B72))</f>
        <v>189572.96875</v>
      </c>
      <c r="CY72" s="94">
        <f>IF(BY72=".",".",up_RadSpec!$F$16*(CY16*$B72))</f>
        <v>189572.96875</v>
      </c>
      <c r="CZ72" s="94">
        <f>IF(BZ72=".",".",up_RadSpec!$F$16*(CZ16*$B72))</f>
        <v>189572.96875</v>
      </c>
      <c r="DA72" s="94">
        <f>IF(CA72=".",".",up_RadSpec!$F$16*(DA16*$B72))</f>
        <v>189572.96875</v>
      </c>
      <c r="DB72" s="94">
        <f>IF(CB72=".",".",up_RadSpec!$F$16*(DB16*$B72))</f>
        <v>189572.96875</v>
      </c>
    </row>
    <row r="73" spans="1:106" x14ac:dyDescent="0.25">
      <c r="A73" s="77" t="s">
        <v>1080</v>
      </c>
      <c r="B73" s="42">
        <v>1</v>
      </c>
      <c r="C73" s="60">
        <f t="shared" ref="C73:AB73" si="192">IFERROR(C7/$B59,".")</f>
        <v>3.2968835384132272E-5</v>
      </c>
      <c r="D73" s="60">
        <f t="shared" si="192"/>
        <v>1.3187534153652909E-4</v>
      </c>
      <c r="E73" s="60">
        <f t="shared" si="192"/>
        <v>1.3187534153652909E-4</v>
      </c>
      <c r="F73" s="60">
        <f t="shared" si="192"/>
        <v>1.3187534153652909E-4</v>
      </c>
      <c r="G73" s="60">
        <f t="shared" si="192"/>
        <v>1.3187534153652909E-4</v>
      </c>
      <c r="H73" s="60">
        <f t="shared" si="192"/>
        <v>1.3187534153652909E-4</v>
      </c>
      <c r="I73" s="60">
        <f t="shared" si="192"/>
        <v>1.3187534153652909E-4</v>
      </c>
      <c r="J73" s="60">
        <f t="shared" si="192"/>
        <v>1.3187534153652909E-4</v>
      </c>
      <c r="K73" s="60">
        <f t="shared" si="192"/>
        <v>1.3187534153652909E-4</v>
      </c>
      <c r="L73" s="60">
        <f t="shared" si="192"/>
        <v>1.3187534153652909E-4</v>
      </c>
      <c r="M73" s="60">
        <f t="shared" si="192"/>
        <v>1.3187534153652909E-4</v>
      </c>
      <c r="N73" s="60">
        <f t="shared" si="192"/>
        <v>1.3187534153652909E-4</v>
      </c>
      <c r="O73" s="60">
        <f t="shared" si="192"/>
        <v>1.3187534153652909E-4</v>
      </c>
      <c r="P73" s="60">
        <f t="shared" si="192"/>
        <v>1.3187534153652909E-4</v>
      </c>
      <c r="Q73" s="60">
        <f t="shared" si="192"/>
        <v>1.3187534153652909E-4</v>
      </c>
      <c r="R73" s="60">
        <f t="shared" si="192"/>
        <v>1.3187534153652909E-4</v>
      </c>
      <c r="S73" s="60">
        <f t="shared" si="192"/>
        <v>1.3187534153652909E-4</v>
      </c>
      <c r="T73" s="60">
        <f t="shared" si="192"/>
        <v>1.3187534153652909E-4</v>
      </c>
      <c r="U73" s="60">
        <f t="shared" si="192"/>
        <v>1.3187534153652909E-4</v>
      </c>
      <c r="V73" s="60">
        <f t="shared" si="192"/>
        <v>1.3187534153652909E-4</v>
      </c>
      <c r="W73" s="60">
        <f t="shared" si="192"/>
        <v>1.3187534153652909E-4</v>
      </c>
      <c r="X73" s="60">
        <f t="shared" si="192"/>
        <v>1.3187534153652909E-4</v>
      </c>
      <c r="Y73" s="60">
        <f t="shared" si="192"/>
        <v>1.3187534153652909E-4</v>
      </c>
      <c r="Z73" s="60">
        <f t="shared" si="192"/>
        <v>1.3187534153652909E-4</v>
      </c>
      <c r="AA73" s="60">
        <f t="shared" si="192"/>
        <v>1.3187534153652909E-4</v>
      </c>
      <c r="AB73" s="60">
        <f t="shared" si="192"/>
        <v>1.3187534153652909E-4</v>
      </c>
      <c r="AC73" s="94">
        <f t="shared" si="173"/>
        <v>758291.875</v>
      </c>
      <c r="AD73" s="94">
        <f>IF(D73=".",".",up_RadSpec!$F$7*(AD7*$B73))</f>
        <v>189572.96875</v>
      </c>
      <c r="AE73" s="94">
        <f>IF(E73=".",".",up_RadSpec!$F$7*(AE7*$B73))</f>
        <v>189572.96875</v>
      </c>
      <c r="AF73" s="94">
        <f>IF(F73=".",".",up_RadSpec!$F$7*(AF7*$B73))</f>
        <v>189572.96875</v>
      </c>
      <c r="AG73" s="94">
        <f>IF(G73=".",".",up_RadSpec!$F$7*(AG7*$B73))</f>
        <v>189572.96875</v>
      </c>
      <c r="AH73" s="94">
        <f>IF(H73=".",".",up_RadSpec!$F$7*(AH7*$B73))</f>
        <v>189572.96875</v>
      </c>
      <c r="AI73" s="94">
        <f>IF(I73=".",".",up_RadSpec!$F$7*(AI7*$B73))</f>
        <v>189572.96875</v>
      </c>
      <c r="AJ73" s="94">
        <f>IF(J73=".",".",up_RadSpec!$F$7*(AJ7*$B73))</f>
        <v>189572.96875</v>
      </c>
      <c r="AK73" s="94">
        <f>IF(K73=".",".",up_RadSpec!$F$7*(AK7*$B73))</f>
        <v>189572.96875</v>
      </c>
      <c r="AL73" s="94">
        <f>IF(L73=".",".",up_RadSpec!$F$7*(AL7*$B73))</f>
        <v>189572.96875</v>
      </c>
      <c r="AM73" s="94">
        <f>IF(M73=".",".",up_RadSpec!$F$7*(AM7*$B73))</f>
        <v>189572.96875</v>
      </c>
      <c r="AN73" s="94">
        <f>IF(N73=".",".",up_RadSpec!$F$7*(AN7*$B73))</f>
        <v>189572.96875</v>
      </c>
      <c r="AO73" s="94">
        <f>IF(O73=".",".",up_RadSpec!$F$7*(AO7*$B73))</f>
        <v>189572.96875</v>
      </c>
      <c r="AP73" s="94">
        <f>IF(P73=".",".",up_RadSpec!$F$7*(AP7*$B73))</f>
        <v>189572.96875</v>
      </c>
      <c r="AQ73" s="94">
        <f>IF(Q73=".",".",up_RadSpec!$F$7*(AQ7*$B73))</f>
        <v>189572.96875</v>
      </c>
      <c r="AR73" s="94">
        <f>IF(R73=".",".",up_RadSpec!$F$7*(AR7*$B73))</f>
        <v>189572.96875</v>
      </c>
      <c r="AS73" s="94">
        <f>IF(S73=".",".",up_RadSpec!$F$7*(AS7*$B73))</f>
        <v>189572.96875</v>
      </c>
      <c r="AT73" s="94">
        <f>IF(T73=".",".",up_RadSpec!$F$7*(AT7*$B73))</f>
        <v>189572.96875</v>
      </c>
      <c r="AU73" s="94">
        <f>IF(U73=".",".",up_RadSpec!$F$7*(AU7*$B73))</f>
        <v>189572.96875</v>
      </c>
      <c r="AV73" s="94">
        <f>IF(V73=".",".",up_RadSpec!$F$7*(AV7*$B73))</f>
        <v>189572.96875</v>
      </c>
      <c r="AW73" s="94">
        <f>IF(W73=".",".",up_RadSpec!$F$7*(AW7*$B73))</f>
        <v>189572.96875</v>
      </c>
      <c r="AX73" s="94">
        <f>IF(X73=".",".",up_RadSpec!$F$7*(AX7*$B73))</f>
        <v>189572.96875</v>
      </c>
      <c r="AY73" s="94">
        <f>IF(Y73=".",".",up_RadSpec!$F$7*(AY7*$B73))</f>
        <v>189572.96875</v>
      </c>
      <c r="AZ73" s="94">
        <f>IF(Z73=".",".",up_RadSpec!$F$7*(AZ7*$B73))</f>
        <v>189572.96875</v>
      </c>
      <c r="BA73" s="94">
        <f>IF(AA73=".",".",up_RadSpec!$F$7*(BA7*$B73))</f>
        <v>189572.96875</v>
      </c>
      <c r="BB73" s="94">
        <f>IF(AB73=".",".",up_RadSpec!$F$7*(BB7*$B73))</f>
        <v>189572.96875</v>
      </c>
      <c r="BC73" s="60">
        <f t="shared" ref="BC73:CB73" si="193">IFERROR(BC7/$B59,".")</f>
        <v>3.2968835384132272E-5</v>
      </c>
      <c r="BD73" s="60">
        <f t="shared" si="193"/>
        <v>1.3187534153652909E-4</v>
      </c>
      <c r="BE73" s="60">
        <f t="shared" si="193"/>
        <v>1.3187534153652909E-4</v>
      </c>
      <c r="BF73" s="60">
        <f t="shared" si="193"/>
        <v>1.3187534153652909E-4</v>
      </c>
      <c r="BG73" s="60">
        <f t="shared" si="193"/>
        <v>1.3187534153652909E-4</v>
      </c>
      <c r="BH73" s="60">
        <f t="shared" si="193"/>
        <v>1.3187534153652909E-4</v>
      </c>
      <c r="BI73" s="60">
        <f t="shared" si="193"/>
        <v>1.3187534153652909E-4</v>
      </c>
      <c r="BJ73" s="60">
        <f t="shared" si="193"/>
        <v>1.3187534153652909E-4</v>
      </c>
      <c r="BK73" s="60">
        <f t="shared" si="193"/>
        <v>1.3187534153652909E-4</v>
      </c>
      <c r="BL73" s="60">
        <f t="shared" si="193"/>
        <v>1.3187534153652909E-4</v>
      </c>
      <c r="BM73" s="60">
        <f t="shared" si="193"/>
        <v>1.3187534153652909E-4</v>
      </c>
      <c r="BN73" s="60">
        <f t="shared" si="193"/>
        <v>1.3187534153652909E-4</v>
      </c>
      <c r="BO73" s="60">
        <f t="shared" si="193"/>
        <v>1.3187534153652909E-4</v>
      </c>
      <c r="BP73" s="60">
        <f t="shared" si="193"/>
        <v>1.3187534153652909E-4</v>
      </c>
      <c r="BQ73" s="60">
        <f t="shared" si="193"/>
        <v>1.3187534153652909E-4</v>
      </c>
      <c r="BR73" s="60">
        <f t="shared" si="193"/>
        <v>1.3187534153652909E-4</v>
      </c>
      <c r="BS73" s="60">
        <f t="shared" si="193"/>
        <v>1.3187534153652909E-4</v>
      </c>
      <c r="BT73" s="60">
        <f t="shared" si="193"/>
        <v>1.3187534153652909E-4</v>
      </c>
      <c r="BU73" s="60">
        <f t="shared" si="193"/>
        <v>1.3187534153652909E-4</v>
      </c>
      <c r="BV73" s="60">
        <f t="shared" si="193"/>
        <v>1.3187534153652909E-4</v>
      </c>
      <c r="BW73" s="60">
        <f t="shared" si="193"/>
        <v>1.3187534153652909E-4</v>
      </c>
      <c r="BX73" s="60">
        <f t="shared" si="193"/>
        <v>1.3187534153652909E-4</v>
      </c>
      <c r="BY73" s="60">
        <f t="shared" si="193"/>
        <v>1.3187534153652909E-4</v>
      </c>
      <c r="BZ73" s="60">
        <f t="shared" si="193"/>
        <v>1.3187534153652909E-4</v>
      </c>
      <c r="CA73" s="60">
        <f t="shared" si="193"/>
        <v>1.3187534153652909E-4</v>
      </c>
      <c r="CB73" s="60">
        <f t="shared" si="193"/>
        <v>1.3187534153652909E-4</v>
      </c>
      <c r="CC73" s="94">
        <f t="shared" si="175"/>
        <v>758291.875</v>
      </c>
      <c r="CD73" s="94">
        <f>IF(BD73=".",".",up_RadSpec!$F$7*(CD7*$B73))</f>
        <v>189572.96875</v>
      </c>
      <c r="CE73" s="94">
        <f>IF(BE73=".",".",up_RadSpec!$F$7*(CE7*$B73))</f>
        <v>189572.96875</v>
      </c>
      <c r="CF73" s="94">
        <f>IF(BF73=".",".",up_RadSpec!$F$7*(CF7*$B73))</f>
        <v>189572.96875</v>
      </c>
      <c r="CG73" s="94">
        <f>IF(BG73=".",".",up_RadSpec!$F$7*(CG7*$B73))</f>
        <v>189572.96875</v>
      </c>
      <c r="CH73" s="94">
        <f>IF(BH73=".",".",up_RadSpec!$F$7*(CH7*$B73))</f>
        <v>189572.96875</v>
      </c>
      <c r="CI73" s="94">
        <f>IF(BI73=".",".",up_RadSpec!$F$7*(CI7*$B73))</f>
        <v>189572.96875</v>
      </c>
      <c r="CJ73" s="94">
        <f>IF(BJ73=".",".",up_RadSpec!$F$7*(CJ7*$B73))</f>
        <v>189572.96875</v>
      </c>
      <c r="CK73" s="94">
        <f>IF(BK73=".",".",up_RadSpec!$F$7*(CK7*$B73))</f>
        <v>189572.96875</v>
      </c>
      <c r="CL73" s="94">
        <f>IF(BL73=".",".",up_RadSpec!$F$7*(CL7*$B73))</f>
        <v>189572.96875</v>
      </c>
      <c r="CM73" s="94">
        <f>IF(BM73=".",".",up_RadSpec!$F$7*(CM7*$B73))</f>
        <v>189572.96875</v>
      </c>
      <c r="CN73" s="94">
        <f>IF(BN73=".",".",up_RadSpec!$F$7*(CN7*$B73))</f>
        <v>189572.96875</v>
      </c>
      <c r="CO73" s="94">
        <f>IF(BO73=".",".",up_RadSpec!$F$7*(CO7*$B73))</f>
        <v>189572.96875</v>
      </c>
      <c r="CP73" s="94">
        <f>IF(BP73=".",".",up_RadSpec!$F$7*(CP7*$B73))</f>
        <v>189572.96875</v>
      </c>
      <c r="CQ73" s="94">
        <f>IF(BQ73=".",".",up_RadSpec!$F$7*(CQ7*$B73))</f>
        <v>189572.96875</v>
      </c>
      <c r="CR73" s="94">
        <f>IF(BR73=".",".",up_RadSpec!$F$7*(CR7*$B73))</f>
        <v>189572.96875</v>
      </c>
      <c r="CS73" s="94">
        <f>IF(BS73=".",".",up_RadSpec!$F$7*(CS7*$B73))</f>
        <v>189572.96875</v>
      </c>
      <c r="CT73" s="94">
        <f>IF(BT73=".",".",up_RadSpec!$F$7*(CT7*$B73))</f>
        <v>189572.96875</v>
      </c>
      <c r="CU73" s="94">
        <f>IF(BU73=".",".",up_RadSpec!$F$7*(CU7*$B73))</f>
        <v>189572.96875</v>
      </c>
      <c r="CV73" s="94">
        <f>IF(BV73=".",".",up_RadSpec!$F$7*(CV7*$B73))</f>
        <v>189572.96875</v>
      </c>
      <c r="CW73" s="94">
        <f>IF(BW73=".",".",up_RadSpec!$F$7*(CW7*$B73))</f>
        <v>189572.96875</v>
      </c>
      <c r="CX73" s="94">
        <f>IF(BX73=".",".",up_RadSpec!$F$7*(CX7*$B73))</f>
        <v>189572.96875</v>
      </c>
      <c r="CY73" s="94">
        <f>IF(BY73=".",".",up_RadSpec!$F$7*(CY7*$B73))</f>
        <v>189572.96875</v>
      </c>
      <c r="CZ73" s="94">
        <f>IF(BZ73=".",".",up_RadSpec!$F$7*(CZ7*$B73))</f>
        <v>189572.96875</v>
      </c>
      <c r="DA73" s="94">
        <f>IF(CA73=".",".",up_RadSpec!$F$7*(DA7*$B73))</f>
        <v>189572.96875</v>
      </c>
      <c r="DB73" s="94">
        <f>IF(CB73=".",".",up_RadSpec!$F$7*(DB7*$B73))</f>
        <v>189572.96875</v>
      </c>
    </row>
    <row r="74" spans="1:106" x14ac:dyDescent="0.25">
      <c r="A74" s="77" t="s">
        <v>1081</v>
      </c>
      <c r="B74" s="80">
        <v>1.9000000000000001E-8</v>
      </c>
      <c r="C74" s="60">
        <f t="shared" ref="C74:AB74" si="194">IFERROR(C12/$B60,".")</f>
        <v>1735.2018623227509</v>
      </c>
      <c r="D74" s="60">
        <f t="shared" si="194"/>
        <v>6940.8074492910036</v>
      </c>
      <c r="E74" s="60">
        <f t="shared" si="194"/>
        <v>6940.8074492910036</v>
      </c>
      <c r="F74" s="60">
        <f t="shared" si="194"/>
        <v>6940.8074492910036</v>
      </c>
      <c r="G74" s="60">
        <f t="shared" si="194"/>
        <v>6940.8074492910036</v>
      </c>
      <c r="H74" s="60">
        <f t="shared" si="194"/>
        <v>6940.8074492910036</v>
      </c>
      <c r="I74" s="60">
        <f t="shared" si="194"/>
        <v>6940.8074492910036</v>
      </c>
      <c r="J74" s="60">
        <f t="shared" si="194"/>
        <v>6940.8074492910036</v>
      </c>
      <c r="K74" s="60">
        <f t="shared" si="194"/>
        <v>6940.8074492910036</v>
      </c>
      <c r="L74" s="60">
        <f t="shared" si="194"/>
        <v>6940.8074492910036</v>
      </c>
      <c r="M74" s="60">
        <f t="shared" si="194"/>
        <v>6940.8074492910036</v>
      </c>
      <c r="N74" s="60">
        <f t="shared" si="194"/>
        <v>6940.8074492910036</v>
      </c>
      <c r="O74" s="60">
        <f t="shared" si="194"/>
        <v>6940.8074492910036</v>
      </c>
      <c r="P74" s="60">
        <f t="shared" si="194"/>
        <v>6940.8074492910036</v>
      </c>
      <c r="Q74" s="60">
        <f t="shared" si="194"/>
        <v>6940.8074492910036</v>
      </c>
      <c r="R74" s="60">
        <f t="shared" si="194"/>
        <v>6940.8074492910036</v>
      </c>
      <c r="S74" s="60">
        <f t="shared" si="194"/>
        <v>6940.8074492910036</v>
      </c>
      <c r="T74" s="60">
        <f t="shared" si="194"/>
        <v>6940.8074492910036</v>
      </c>
      <c r="U74" s="60">
        <f t="shared" si="194"/>
        <v>6940.8074492910036</v>
      </c>
      <c r="V74" s="60">
        <f t="shared" si="194"/>
        <v>6940.8074492910036</v>
      </c>
      <c r="W74" s="60">
        <f t="shared" si="194"/>
        <v>6940.8074492910036</v>
      </c>
      <c r="X74" s="60">
        <f t="shared" si="194"/>
        <v>6940.8074492910036</v>
      </c>
      <c r="Y74" s="60">
        <f t="shared" si="194"/>
        <v>6940.8074492910036</v>
      </c>
      <c r="Z74" s="60">
        <f t="shared" si="194"/>
        <v>6940.8074492910036</v>
      </c>
      <c r="AA74" s="60">
        <f t="shared" si="194"/>
        <v>6940.8074492910036</v>
      </c>
      <c r="AB74" s="60">
        <f t="shared" si="194"/>
        <v>6940.8074492910036</v>
      </c>
      <c r="AC74" s="94">
        <f t="shared" si="173"/>
        <v>1.4407545625000002E-2</v>
      </c>
      <c r="AD74" s="94">
        <f>IF(D74=".",".",up_RadSpec!$F$12*(AD12*$B74))</f>
        <v>3.6018864062500005E-3</v>
      </c>
      <c r="AE74" s="94">
        <f>IF(E74=".",".",up_RadSpec!$F$12*(AE12*$B74))</f>
        <v>3.6018864062500005E-3</v>
      </c>
      <c r="AF74" s="94">
        <f>IF(F74=".",".",up_RadSpec!$F$12*(AF12*$B74))</f>
        <v>3.6018864062500005E-3</v>
      </c>
      <c r="AG74" s="94">
        <f>IF(G74=".",".",up_RadSpec!$F$12*(AG12*$B74))</f>
        <v>3.6018864062500005E-3</v>
      </c>
      <c r="AH74" s="94">
        <f>IF(H74=".",".",up_RadSpec!$F$12*(AH12*$B74))</f>
        <v>3.6018864062500005E-3</v>
      </c>
      <c r="AI74" s="94">
        <f>IF(I74=".",".",up_RadSpec!$F$12*(AI12*$B74))</f>
        <v>3.6018864062500005E-3</v>
      </c>
      <c r="AJ74" s="94">
        <f>IF(J74=".",".",up_RadSpec!$F$12*(AJ12*$B74))</f>
        <v>3.6018864062500005E-3</v>
      </c>
      <c r="AK74" s="94">
        <f>IF(K74=".",".",up_RadSpec!$F$12*(AK12*$B74))</f>
        <v>3.6018864062500005E-3</v>
      </c>
      <c r="AL74" s="94">
        <f>IF(L74=".",".",up_RadSpec!$F$12*(AL12*$B74))</f>
        <v>3.6018864062500005E-3</v>
      </c>
      <c r="AM74" s="94">
        <f>IF(M74=".",".",up_RadSpec!$F$12*(AM12*$B74))</f>
        <v>3.6018864062500005E-3</v>
      </c>
      <c r="AN74" s="94">
        <f>IF(N74=".",".",up_RadSpec!$F$12*(AN12*$B74))</f>
        <v>3.6018864062500005E-3</v>
      </c>
      <c r="AO74" s="94">
        <f>IF(O74=".",".",up_RadSpec!$F$12*(AO12*$B74))</f>
        <v>3.6018864062500005E-3</v>
      </c>
      <c r="AP74" s="94">
        <f>IF(P74=".",".",up_RadSpec!$F$12*(AP12*$B74))</f>
        <v>3.6018864062500005E-3</v>
      </c>
      <c r="AQ74" s="94">
        <f>IF(Q74=".",".",up_RadSpec!$F$12*(AQ12*$B74))</f>
        <v>3.6018864062500005E-3</v>
      </c>
      <c r="AR74" s="94">
        <f>IF(R74=".",".",up_RadSpec!$F$12*(AR12*$B74))</f>
        <v>3.6018864062500005E-3</v>
      </c>
      <c r="AS74" s="94">
        <f>IF(S74=".",".",up_RadSpec!$F$12*(AS12*$B74))</f>
        <v>3.6018864062500005E-3</v>
      </c>
      <c r="AT74" s="94">
        <f>IF(T74=".",".",up_RadSpec!$F$12*(AT12*$B74))</f>
        <v>3.6018864062500005E-3</v>
      </c>
      <c r="AU74" s="94">
        <f>IF(U74=".",".",up_RadSpec!$F$12*(AU12*$B74))</f>
        <v>3.6018864062500005E-3</v>
      </c>
      <c r="AV74" s="94">
        <f>IF(V74=".",".",up_RadSpec!$F$12*(AV12*$B74))</f>
        <v>3.6018864062500005E-3</v>
      </c>
      <c r="AW74" s="94">
        <f>IF(W74=".",".",up_RadSpec!$F$12*(AW12*$B74))</f>
        <v>3.6018864062500005E-3</v>
      </c>
      <c r="AX74" s="94">
        <f>IF(X74=".",".",up_RadSpec!$F$12*(AX12*$B74))</f>
        <v>3.6018864062500005E-3</v>
      </c>
      <c r="AY74" s="94">
        <f>IF(Y74=".",".",up_RadSpec!$F$12*(AY12*$B74))</f>
        <v>3.6018864062500005E-3</v>
      </c>
      <c r="AZ74" s="94">
        <f>IF(Z74=".",".",up_RadSpec!$F$12*(AZ12*$B74))</f>
        <v>3.6018864062500005E-3</v>
      </c>
      <c r="BA74" s="94">
        <f>IF(AA74=".",".",up_RadSpec!$F$12*(BA12*$B74))</f>
        <v>3.6018864062500005E-3</v>
      </c>
      <c r="BB74" s="94">
        <f>IF(AB74=".",".",up_RadSpec!$F$12*(BB12*$B74))</f>
        <v>3.6018864062500005E-3</v>
      </c>
      <c r="BC74" s="60">
        <f t="shared" ref="BC74:CB74" si="195">IFERROR(BC12/$B60,".")</f>
        <v>1735.2018623227509</v>
      </c>
      <c r="BD74" s="60">
        <f t="shared" si="195"/>
        <v>6940.8074492910036</v>
      </c>
      <c r="BE74" s="60">
        <f t="shared" si="195"/>
        <v>6940.8074492910036</v>
      </c>
      <c r="BF74" s="60">
        <f t="shared" si="195"/>
        <v>6940.8074492910036</v>
      </c>
      <c r="BG74" s="60">
        <f t="shared" si="195"/>
        <v>6940.8074492910036</v>
      </c>
      <c r="BH74" s="60">
        <f t="shared" si="195"/>
        <v>6940.8074492910036</v>
      </c>
      <c r="BI74" s="60">
        <f t="shared" si="195"/>
        <v>6940.8074492910036</v>
      </c>
      <c r="BJ74" s="60">
        <f t="shared" si="195"/>
        <v>6940.8074492910036</v>
      </c>
      <c r="BK74" s="60">
        <f t="shared" si="195"/>
        <v>6940.8074492910036</v>
      </c>
      <c r="BL74" s="60">
        <f t="shared" si="195"/>
        <v>6940.8074492910036</v>
      </c>
      <c r="BM74" s="60">
        <f t="shared" si="195"/>
        <v>6940.8074492910036</v>
      </c>
      <c r="BN74" s="60">
        <f t="shared" si="195"/>
        <v>6940.8074492910036</v>
      </c>
      <c r="BO74" s="60">
        <f t="shared" si="195"/>
        <v>6940.8074492910036</v>
      </c>
      <c r="BP74" s="60">
        <f t="shared" si="195"/>
        <v>6940.8074492910036</v>
      </c>
      <c r="BQ74" s="60">
        <f t="shared" si="195"/>
        <v>6940.8074492910036</v>
      </c>
      <c r="BR74" s="60">
        <f t="shared" si="195"/>
        <v>6940.8074492910036</v>
      </c>
      <c r="BS74" s="60">
        <f t="shared" si="195"/>
        <v>6940.8074492910036</v>
      </c>
      <c r="BT74" s="60">
        <f t="shared" si="195"/>
        <v>6940.8074492910036</v>
      </c>
      <c r="BU74" s="60">
        <f t="shared" si="195"/>
        <v>6940.8074492910036</v>
      </c>
      <c r="BV74" s="60">
        <f t="shared" si="195"/>
        <v>6940.8074492910036</v>
      </c>
      <c r="BW74" s="60">
        <f t="shared" si="195"/>
        <v>6940.8074492910036</v>
      </c>
      <c r="BX74" s="60">
        <f t="shared" si="195"/>
        <v>6940.8074492910036</v>
      </c>
      <c r="BY74" s="60">
        <f t="shared" si="195"/>
        <v>6940.8074492910036</v>
      </c>
      <c r="BZ74" s="60">
        <f t="shared" si="195"/>
        <v>6940.8074492910036</v>
      </c>
      <c r="CA74" s="60">
        <f t="shared" si="195"/>
        <v>6940.8074492910036</v>
      </c>
      <c r="CB74" s="60">
        <f t="shared" si="195"/>
        <v>6940.8074492910036</v>
      </c>
      <c r="CC74" s="94">
        <f t="shared" si="175"/>
        <v>1.4407545625000002E-2</v>
      </c>
      <c r="CD74" s="94">
        <f>IF(BD74=".",".",up_RadSpec!$F$12*(CD12*$B74))</f>
        <v>3.6018864062500005E-3</v>
      </c>
      <c r="CE74" s="94">
        <f>IF(BE74=".",".",up_RadSpec!$F$12*(CE12*$B74))</f>
        <v>3.6018864062500005E-3</v>
      </c>
      <c r="CF74" s="94">
        <f>IF(BF74=".",".",up_RadSpec!$F$12*(CF12*$B74))</f>
        <v>3.6018864062500005E-3</v>
      </c>
      <c r="CG74" s="94">
        <f>IF(BG74=".",".",up_RadSpec!$F$12*(CG12*$B74))</f>
        <v>3.6018864062500005E-3</v>
      </c>
      <c r="CH74" s="94">
        <f>IF(BH74=".",".",up_RadSpec!$F$12*(CH12*$B74))</f>
        <v>3.6018864062500005E-3</v>
      </c>
      <c r="CI74" s="94">
        <f>IF(BI74=".",".",up_RadSpec!$F$12*(CI12*$B74))</f>
        <v>3.6018864062500005E-3</v>
      </c>
      <c r="CJ74" s="94">
        <f>IF(BJ74=".",".",up_RadSpec!$F$12*(CJ12*$B74))</f>
        <v>3.6018864062500005E-3</v>
      </c>
      <c r="CK74" s="94">
        <f>IF(BK74=".",".",up_RadSpec!$F$12*(CK12*$B74))</f>
        <v>3.6018864062500005E-3</v>
      </c>
      <c r="CL74" s="94">
        <f>IF(BL74=".",".",up_RadSpec!$F$12*(CL12*$B74))</f>
        <v>3.6018864062500005E-3</v>
      </c>
      <c r="CM74" s="94">
        <f>IF(BM74=".",".",up_RadSpec!$F$12*(CM12*$B74))</f>
        <v>3.6018864062500005E-3</v>
      </c>
      <c r="CN74" s="94">
        <f>IF(BN74=".",".",up_RadSpec!$F$12*(CN12*$B74))</f>
        <v>3.6018864062500005E-3</v>
      </c>
      <c r="CO74" s="94">
        <f>IF(BO74=".",".",up_RadSpec!$F$12*(CO12*$B74))</f>
        <v>3.6018864062500005E-3</v>
      </c>
      <c r="CP74" s="94">
        <f>IF(BP74=".",".",up_RadSpec!$F$12*(CP12*$B74))</f>
        <v>3.6018864062500005E-3</v>
      </c>
      <c r="CQ74" s="94">
        <f>IF(BQ74=".",".",up_RadSpec!$F$12*(CQ12*$B74))</f>
        <v>3.6018864062500005E-3</v>
      </c>
      <c r="CR74" s="94">
        <f>IF(BR74=".",".",up_RadSpec!$F$12*(CR12*$B74))</f>
        <v>3.6018864062500005E-3</v>
      </c>
      <c r="CS74" s="94">
        <f>IF(BS74=".",".",up_RadSpec!$F$12*(CS12*$B74))</f>
        <v>3.6018864062500005E-3</v>
      </c>
      <c r="CT74" s="94">
        <f>IF(BT74=".",".",up_RadSpec!$F$12*(CT12*$B74))</f>
        <v>3.6018864062500005E-3</v>
      </c>
      <c r="CU74" s="94">
        <f>IF(BU74=".",".",up_RadSpec!$F$12*(CU12*$B74))</f>
        <v>3.6018864062500005E-3</v>
      </c>
      <c r="CV74" s="94">
        <f>IF(BV74=".",".",up_RadSpec!$F$12*(CV12*$B74))</f>
        <v>3.6018864062500005E-3</v>
      </c>
      <c r="CW74" s="94">
        <f>IF(BW74=".",".",up_RadSpec!$F$12*(CW12*$B74))</f>
        <v>3.6018864062500005E-3</v>
      </c>
      <c r="CX74" s="94">
        <f>IF(BX74=".",".",up_RadSpec!$F$12*(CX12*$B74))</f>
        <v>3.6018864062500005E-3</v>
      </c>
      <c r="CY74" s="94">
        <f>IF(BY74=".",".",up_RadSpec!$F$12*(CY12*$B74))</f>
        <v>3.6018864062500005E-3</v>
      </c>
      <c r="CZ74" s="94">
        <f>IF(BZ74=".",".",up_RadSpec!$F$12*(CZ12*$B74))</f>
        <v>3.6018864062500005E-3</v>
      </c>
      <c r="DA74" s="94">
        <f>IF(CA74=".",".",up_RadSpec!$F$12*(DA12*$B74))</f>
        <v>3.6018864062500005E-3</v>
      </c>
      <c r="DB74" s="94">
        <f>IF(CB74=".",".",up_RadSpec!$F$12*(DB12*$B74))</f>
        <v>3.6018864062500005E-3</v>
      </c>
    </row>
    <row r="75" spans="1:106" x14ac:dyDescent="0.25">
      <c r="A75" s="77" t="s">
        <v>1082</v>
      </c>
      <c r="B75" s="42">
        <v>1</v>
      </c>
      <c r="C75" s="60">
        <f t="shared" ref="C75:AB75" si="196">IFERROR(C18/$B61,".")</f>
        <v>3.2968835384132272E-5</v>
      </c>
      <c r="D75" s="60">
        <f t="shared" si="196"/>
        <v>1.3187534153652909E-4</v>
      </c>
      <c r="E75" s="60">
        <f t="shared" si="196"/>
        <v>1.3187534153652909E-4</v>
      </c>
      <c r="F75" s="60">
        <f t="shared" si="196"/>
        <v>1.3187534153652909E-4</v>
      </c>
      <c r="G75" s="60">
        <f t="shared" si="196"/>
        <v>1.3187534153652909E-4</v>
      </c>
      <c r="H75" s="60">
        <f t="shared" si="196"/>
        <v>1.3187534153652909E-4</v>
      </c>
      <c r="I75" s="60">
        <f t="shared" si="196"/>
        <v>1.3187534153652909E-4</v>
      </c>
      <c r="J75" s="60">
        <f t="shared" si="196"/>
        <v>1.3187534153652909E-4</v>
      </c>
      <c r="K75" s="60">
        <f t="shared" si="196"/>
        <v>1.3187534153652909E-4</v>
      </c>
      <c r="L75" s="60">
        <f t="shared" si="196"/>
        <v>1.3187534153652909E-4</v>
      </c>
      <c r="M75" s="60">
        <f t="shared" si="196"/>
        <v>1.3187534153652909E-4</v>
      </c>
      <c r="N75" s="60">
        <f t="shared" si="196"/>
        <v>1.3187534153652909E-4</v>
      </c>
      <c r="O75" s="60">
        <f t="shared" si="196"/>
        <v>1.3187534153652909E-4</v>
      </c>
      <c r="P75" s="60">
        <f t="shared" si="196"/>
        <v>1.3187534153652909E-4</v>
      </c>
      <c r="Q75" s="60">
        <f t="shared" si="196"/>
        <v>1.3187534153652909E-4</v>
      </c>
      <c r="R75" s="60">
        <f t="shared" si="196"/>
        <v>1.3187534153652909E-4</v>
      </c>
      <c r="S75" s="60">
        <f t="shared" si="196"/>
        <v>1.3187534153652909E-4</v>
      </c>
      <c r="T75" s="60">
        <f t="shared" si="196"/>
        <v>1.3187534153652909E-4</v>
      </c>
      <c r="U75" s="60">
        <f t="shared" si="196"/>
        <v>1.3187534153652909E-4</v>
      </c>
      <c r="V75" s="60">
        <f t="shared" si="196"/>
        <v>1.3187534153652909E-4</v>
      </c>
      <c r="W75" s="60">
        <f t="shared" si="196"/>
        <v>1.3187534153652909E-4</v>
      </c>
      <c r="X75" s="60">
        <f t="shared" si="196"/>
        <v>1.3187534153652909E-4</v>
      </c>
      <c r="Y75" s="60">
        <f t="shared" si="196"/>
        <v>1.3187534153652909E-4</v>
      </c>
      <c r="Z75" s="60">
        <f t="shared" si="196"/>
        <v>1.3187534153652909E-4</v>
      </c>
      <c r="AA75" s="60">
        <f t="shared" si="196"/>
        <v>1.3187534153652909E-4</v>
      </c>
      <c r="AB75" s="60">
        <f t="shared" si="196"/>
        <v>1.3187534153652909E-4</v>
      </c>
      <c r="AC75" s="94">
        <f t="shared" si="173"/>
        <v>758291.875</v>
      </c>
      <c r="AD75" s="94">
        <f>IF(D75=".",".",up_RadSpec!$F$18*(AD18*$B75))</f>
        <v>189572.96875</v>
      </c>
      <c r="AE75" s="94">
        <f>IF(E75=".",".",up_RadSpec!$F$18*(AE18*$B75))</f>
        <v>189572.96875</v>
      </c>
      <c r="AF75" s="94">
        <f>IF(F75=".",".",up_RadSpec!$F$18*(AF18*$B75))</f>
        <v>189572.96875</v>
      </c>
      <c r="AG75" s="94">
        <f>IF(G75=".",".",up_RadSpec!$F$18*(AG18*$B75))</f>
        <v>189572.96875</v>
      </c>
      <c r="AH75" s="94">
        <f>IF(H75=".",".",up_RadSpec!$F$18*(AH18*$B75))</f>
        <v>189572.96875</v>
      </c>
      <c r="AI75" s="94">
        <f>IF(I75=".",".",up_RadSpec!$F$18*(AI18*$B75))</f>
        <v>189572.96875</v>
      </c>
      <c r="AJ75" s="94">
        <f>IF(J75=".",".",up_RadSpec!$F$18*(AJ18*$B75))</f>
        <v>189572.96875</v>
      </c>
      <c r="AK75" s="94">
        <f>IF(K75=".",".",up_RadSpec!$F$18*(AK18*$B75))</f>
        <v>189572.96875</v>
      </c>
      <c r="AL75" s="94">
        <f>IF(L75=".",".",up_RadSpec!$F$18*(AL18*$B75))</f>
        <v>189572.96875</v>
      </c>
      <c r="AM75" s="94">
        <f>IF(M75=".",".",up_RadSpec!$F$18*(AM18*$B75))</f>
        <v>189572.96875</v>
      </c>
      <c r="AN75" s="94">
        <f>IF(N75=".",".",up_RadSpec!$F$18*(AN18*$B75))</f>
        <v>189572.96875</v>
      </c>
      <c r="AO75" s="94">
        <f>IF(O75=".",".",up_RadSpec!$F$18*(AO18*$B75))</f>
        <v>189572.96875</v>
      </c>
      <c r="AP75" s="94">
        <f>IF(P75=".",".",up_RadSpec!$F$18*(AP18*$B75))</f>
        <v>189572.96875</v>
      </c>
      <c r="AQ75" s="94">
        <f>IF(Q75=".",".",up_RadSpec!$F$18*(AQ18*$B75))</f>
        <v>189572.96875</v>
      </c>
      <c r="AR75" s="94">
        <f>IF(R75=".",".",up_RadSpec!$F$18*(AR18*$B75))</f>
        <v>189572.96875</v>
      </c>
      <c r="AS75" s="94">
        <f>IF(S75=".",".",up_RadSpec!$F$18*(AS18*$B75))</f>
        <v>189572.96875</v>
      </c>
      <c r="AT75" s="94">
        <f>IF(T75=".",".",up_RadSpec!$F$18*(AT18*$B75))</f>
        <v>189572.96875</v>
      </c>
      <c r="AU75" s="94">
        <f>IF(U75=".",".",up_RadSpec!$F$18*(AU18*$B75))</f>
        <v>189572.96875</v>
      </c>
      <c r="AV75" s="94">
        <f>IF(V75=".",".",up_RadSpec!$F$18*(AV18*$B75))</f>
        <v>189572.96875</v>
      </c>
      <c r="AW75" s="94">
        <f>IF(W75=".",".",up_RadSpec!$F$18*(AW18*$B75))</f>
        <v>189572.96875</v>
      </c>
      <c r="AX75" s="94">
        <f>IF(X75=".",".",up_RadSpec!$F$18*(AX18*$B75))</f>
        <v>189572.96875</v>
      </c>
      <c r="AY75" s="94">
        <f>IF(Y75=".",".",up_RadSpec!$F$18*(AY18*$B75))</f>
        <v>189572.96875</v>
      </c>
      <c r="AZ75" s="94">
        <f>IF(Z75=".",".",up_RadSpec!$F$18*(AZ18*$B75))</f>
        <v>189572.96875</v>
      </c>
      <c r="BA75" s="94">
        <f>IF(AA75=".",".",up_RadSpec!$F$18*(BA18*$B75))</f>
        <v>189572.96875</v>
      </c>
      <c r="BB75" s="94">
        <f>IF(AB75=".",".",up_RadSpec!$F$18*(BB18*$B75))</f>
        <v>189572.96875</v>
      </c>
      <c r="BC75" s="60">
        <f t="shared" ref="BC75:CB75" si="197">IFERROR(BC18/$B61,".")</f>
        <v>3.2968835384132272E-5</v>
      </c>
      <c r="BD75" s="60">
        <f t="shared" si="197"/>
        <v>1.3187534153652909E-4</v>
      </c>
      <c r="BE75" s="60">
        <f t="shared" si="197"/>
        <v>1.3187534153652909E-4</v>
      </c>
      <c r="BF75" s="60">
        <f t="shared" si="197"/>
        <v>1.3187534153652909E-4</v>
      </c>
      <c r="BG75" s="60">
        <f t="shared" si="197"/>
        <v>1.3187534153652909E-4</v>
      </c>
      <c r="BH75" s="60">
        <f t="shared" si="197"/>
        <v>1.3187534153652909E-4</v>
      </c>
      <c r="BI75" s="60">
        <f t="shared" si="197"/>
        <v>1.3187534153652909E-4</v>
      </c>
      <c r="BJ75" s="60">
        <f t="shared" si="197"/>
        <v>1.3187534153652909E-4</v>
      </c>
      <c r="BK75" s="60">
        <f t="shared" si="197"/>
        <v>1.3187534153652909E-4</v>
      </c>
      <c r="BL75" s="60">
        <f t="shared" si="197"/>
        <v>1.3187534153652909E-4</v>
      </c>
      <c r="BM75" s="60">
        <f t="shared" si="197"/>
        <v>1.3187534153652909E-4</v>
      </c>
      <c r="BN75" s="60">
        <f t="shared" si="197"/>
        <v>1.3187534153652909E-4</v>
      </c>
      <c r="BO75" s="60">
        <f t="shared" si="197"/>
        <v>1.3187534153652909E-4</v>
      </c>
      <c r="BP75" s="60">
        <f t="shared" si="197"/>
        <v>1.3187534153652909E-4</v>
      </c>
      <c r="BQ75" s="60">
        <f t="shared" si="197"/>
        <v>1.3187534153652909E-4</v>
      </c>
      <c r="BR75" s="60">
        <f t="shared" si="197"/>
        <v>1.3187534153652909E-4</v>
      </c>
      <c r="BS75" s="60">
        <f t="shared" si="197"/>
        <v>1.3187534153652909E-4</v>
      </c>
      <c r="BT75" s="60">
        <f t="shared" si="197"/>
        <v>1.3187534153652909E-4</v>
      </c>
      <c r="BU75" s="60">
        <f t="shared" si="197"/>
        <v>1.3187534153652909E-4</v>
      </c>
      <c r="BV75" s="60">
        <f t="shared" si="197"/>
        <v>1.3187534153652909E-4</v>
      </c>
      <c r="BW75" s="60">
        <f t="shared" si="197"/>
        <v>1.3187534153652909E-4</v>
      </c>
      <c r="BX75" s="60">
        <f t="shared" si="197"/>
        <v>1.3187534153652909E-4</v>
      </c>
      <c r="BY75" s="60">
        <f t="shared" si="197"/>
        <v>1.3187534153652909E-4</v>
      </c>
      <c r="BZ75" s="60">
        <f t="shared" si="197"/>
        <v>1.3187534153652909E-4</v>
      </c>
      <c r="CA75" s="60">
        <f t="shared" si="197"/>
        <v>1.3187534153652909E-4</v>
      </c>
      <c r="CB75" s="60">
        <f t="shared" si="197"/>
        <v>1.3187534153652909E-4</v>
      </c>
      <c r="CC75" s="94">
        <f t="shared" si="175"/>
        <v>758291.875</v>
      </c>
      <c r="CD75" s="94">
        <f>IF(BD75=".",".",up_RadSpec!$F$18*(CD18*$B75))</f>
        <v>189572.96875</v>
      </c>
      <c r="CE75" s="94">
        <f>IF(BE75=".",".",up_RadSpec!$F$18*(CE18*$B75))</f>
        <v>189572.96875</v>
      </c>
      <c r="CF75" s="94">
        <f>IF(BF75=".",".",up_RadSpec!$F$18*(CF18*$B75))</f>
        <v>189572.96875</v>
      </c>
      <c r="CG75" s="94">
        <f>IF(BG75=".",".",up_RadSpec!$F$18*(CG18*$B75))</f>
        <v>189572.96875</v>
      </c>
      <c r="CH75" s="94">
        <f>IF(BH75=".",".",up_RadSpec!$F$18*(CH18*$B75))</f>
        <v>189572.96875</v>
      </c>
      <c r="CI75" s="94">
        <f>IF(BI75=".",".",up_RadSpec!$F$18*(CI18*$B75))</f>
        <v>189572.96875</v>
      </c>
      <c r="CJ75" s="94">
        <f>IF(BJ75=".",".",up_RadSpec!$F$18*(CJ18*$B75))</f>
        <v>189572.96875</v>
      </c>
      <c r="CK75" s="94">
        <f>IF(BK75=".",".",up_RadSpec!$F$18*(CK18*$B75))</f>
        <v>189572.96875</v>
      </c>
      <c r="CL75" s="94">
        <f>IF(BL75=".",".",up_RadSpec!$F$18*(CL18*$B75))</f>
        <v>189572.96875</v>
      </c>
      <c r="CM75" s="94">
        <f>IF(BM75=".",".",up_RadSpec!$F$18*(CM18*$B75))</f>
        <v>189572.96875</v>
      </c>
      <c r="CN75" s="94">
        <f>IF(BN75=".",".",up_RadSpec!$F$18*(CN18*$B75))</f>
        <v>189572.96875</v>
      </c>
      <c r="CO75" s="94">
        <f>IF(BO75=".",".",up_RadSpec!$F$18*(CO18*$B75))</f>
        <v>189572.96875</v>
      </c>
      <c r="CP75" s="94">
        <f>IF(BP75=".",".",up_RadSpec!$F$18*(CP18*$B75))</f>
        <v>189572.96875</v>
      </c>
      <c r="CQ75" s="94">
        <f>IF(BQ75=".",".",up_RadSpec!$F$18*(CQ18*$B75))</f>
        <v>189572.96875</v>
      </c>
      <c r="CR75" s="94">
        <f>IF(BR75=".",".",up_RadSpec!$F$18*(CR18*$B75))</f>
        <v>189572.96875</v>
      </c>
      <c r="CS75" s="94">
        <f>IF(BS75=".",".",up_RadSpec!$F$18*(CS18*$B75))</f>
        <v>189572.96875</v>
      </c>
      <c r="CT75" s="94">
        <f>IF(BT75=".",".",up_RadSpec!$F$18*(CT18*$B75))</f>
        <v>189572.96875</v>
      </c>
      <c r="CU75" s="94">
        <f>IF(BU75=".",".",up_RadSpec!$F$18*(CU18*$B75))</f>
        <v>189572.96875</v>
      </c>
      <c r="CV75" s="94">
        <f>IF(BV75=".",".",up_RadSpec!$F$18*(CV18*$B75))</f>
        <v>189572.96875</v>
      </c>
      <c r="CW75" s="94">
        <f>IF(BW75=".",".",up_RadSpec!$F$18*(CW18*$B75))</f>
        <v>189572.96875</v>
      </c>
      <c r="CX75" s="94">
        <f>IF(BX75=".",".",up_RadSpec!$F$18*(CX18*$B75))</f>
        <v>189572.96875</v>
      </c>
      <c r="CY75" s="94">
        <f>IF(BY75=".",".",up_RadSpec!$F$18*(CY18*$B75))</f>
        <v>189572.96875</v>
      </c>
      <c r="CZ75" s="94">
        <f>IF(BZ75=".",".",up_RadSpec!$F$18*(CZ18*$B75))</f>
        <v>189572.96875</v>
      </c>
      <c r="DA75" s="94">
        <f>IF(CA75=".",".",up_RadSpec!$F$18*(DA18*$B75))</f>
        <v>189572.96875</v>
      </c>
      <c r="DB75" s="94">
        <f>IF(CB75=".",".",up_RadSpec!$F$18*(DB18*$B75))</f>
        <v>189572.96875</v>
      </c>
    </row>
    <row r="76" spans="1:106" x14ac:dyDescent="0.25">
      <c r="A76" s="77" t="s">
        <v>1083</v>
      </c>
      <c r="B76" s="42">
        <v>1.339E-6</v>
      </c>
      <c r="C76" s="60">
        <f t="shared" ref="C76:AB76" si="198">IFERROR(C27/$B62,".")</f>
        <v>24.621983109882205</v>
      </c>
      <c r="D76" s="60">
        <f t="shared" si="198"/>
        <v>98.487932439528819</v>
      </c>
      <c r="E76" s="60">
        <f t="shared" si="198"/>
        <v>98.487932439528819</v>
      </c>
      <c r="F76" s="60">
        <f t="shared" si="198"/>
        <v>98.487932439528819</v>
      </c>
      <c r="G76" s="60">
        <f t="shared" si="198"/>
        <v>98.487932439528819</v>
      </c>
      <c r="H76" s="60">
        <f t="shared" si="198"/>
        <v>98.487932439528819</v>
      </c>
      <c r="I76" s="60">
        <f t="shared" si="198"/>
        <v>98.487932439528819</v>
      </c>
      <c r="J76" s="60">
        <f t="shared" si="198"/>
        <v>98.487932439528819</v>
      </c>
      <c r="K76" s="60">
        <f t="shared" si="198"/>
        <v>98.487932439528819</v>
      </c>
      <c r="L76" s="60">
        <f t="shared" si="198"/>
        <v>98.487932439528819</v>
      </c>
      <c r="M76" s="60">
        <f t="shared" si="198"/>
        <v>98.487932439528819</v>
      </c>
      <c r="N76" s="60">
        <f t="shared" si="198"/>
        <v>98.487932439528819</v>
      </c>
      <c r="O76" s="60">
        <f t="shared" si="198"/>
        <v>98.487932439528819</v>
      </c>
      <c r="P76" s="60">
        <f t="shared" si="198"/>
        <v>98.487932439528819</v>
      </c>
      <c r="Q76" s="60">
        <f t="shared" si="198"/>
        <v>98.487932439528819</v>
      </c>
      <c r="R76" s="60">
        <f t="shared" si="198"/>
        <v>98.487932439528819</v>
      </c>
      <c r="S76" s="60">
        <f t="shared" si="198"/>
        <v>98.487932439528819</v>
      </c>
      <c r="T76" s="60">
        <f t="shared" si="198"/>
        <v>98.487932439528819</v>
      </c>
      <c r="U76" s="60">
        <f t="shared" si="198"/>
        <v>98.487932439528819</v>
      </c>
      <c r="V76" s="60">
        <f t="shared" si="198"/>
        <v>98.487932439528819</v>
      </c>
      <c r="W76" s="60">
        <f t="shared" si="198"/>
        <v>98.487932439528819</v>
      </c>
      <c r="X76" s="60">
        <f t="shared" si="198"/>
        <v>98.487932439528819</v>
      </c>
      <c r="Y76" s="60">
        <f t="shared" si="198"/>
        <v>98.487932439528819</v>
      </c>
      <c r="Z76" s="60">
        <f t="shared" si="198"/>
        <v>98.487932439528819</v>
      </c>
      <c r="AA76" s="60">
        <f t="shared" si="198"/>
        <v>98.487932439528819</v>
      </c>
      <c r="AB76" s="60">
        <f t="shared" si="198"/>
        <v>98.487932439528819</v>
      </c>
      <c r="AC76" s="94">
        <f t="shared" si="173"/>
        <v>1.015352820625</v>
      </c>
      <c r="AD76" s="94">
        <f>IF(D76=".",".",up_RadSpec!$F$27*(AD27*$B76))</f>
        <v>0.25383820515625</v>
      </c>
      <c r="AE76" s="94">
        <f>IF(E76=".",".",up_RadSpec!$F$27*(AE27*$B76))</f>
        <v>0.25383820515625</v>
      </c>
      <c r="AF76" s="94">
        <f>IF(F76=".",".",up_RadSpec!$F$27*(AF27*$B76))</f>
        <v>0.25383820515625</v>
      </c>
      <c r="AG76" s="94">
        <f>IF(G76=".",".",up_RadSpec!$F$27*(AG27*$B76))</f>
        <v>0.25383820515625</v>
      </c>
      <c r="AH76" s="94">
        <f>IF(H76=".",".",up_RadSpec!$F$27*(AH27*$B76))</f>
        <v>0.25383820515625</v>
      </c>
      <c r="AI76" s="94">
        <f>IF(I76=".",".",up_RadSpec!$F$27*(AI27*$B76))</f>
        <v>0.25383820515625</v>
      </c>
      <c r="AJ76" s="94">
        <f>IF(J76=".",".",up_RadSpec!$F$27*(AJ27*$B76))</f>
        <v>0.25383820515625</v>
      </c>
      <c r="AK76" s="94">
        <f>IF(K76=".",".",up_RadSpec!$F$27*(AK27*$B76))</f>
        <v>0.25383820515625</v>
      </c>
      <c r="AL76" s="94">
        <f>IF(L76=".",".",up_RadSpec!$F$27*(AL27*$B76))</f>
        <v>0.25383820515625</v>
      </c>
      <c r="AM76" s="94">
        <f>IF(M76=".",".",up_RadSpec!$F$27*(AM27*$B76))</f>
        <v>0.25383820515625</v>
      </c>
      <c r="AN76" s="94">
        <f>IF(N76=".",".",up_RadSpec!$F$27*(AN27*$B76))</f>
        <v>0.25383820515625</v>
      </c>
      <c r="AO76" s="94">
        <f>IF(O76=".",".",up_RadSpec!$F$27*(AO27*$B76))</f>
        <v>0.25383820515625</v>
      </c>
      <c r="AP76" s="94">
        <f>IF(P76=".",".",up_RadSpec!$F$27*(AP27*$B76))</f>
        <v>0.25383820515625</v>
      </c>
      <c r="AQ76" s="94">
        <f>IF(Q76=".",".",up_RadSpec!$F$27*(AQ27*$B76))</f>
        <v>0.25383820515625</v>
      </c>
      <c r="AR76" s="94">
        <f>IF(R76=".",".",up_RadSpec!$F$27*(AR27*$B76))</f>
        <v>0.25383820515625</v>
      </c>
      <c r="AS76" s="94">
        <f>IF(S76=".",".",up_RadSpec!$F$27*(AS27*$B76))</f>
        <v>0.25383820515625</v>
      </c>
      <c r="AT76" s="94">
        <f>IF(T76=".",".",up_RadSpec!$F$27*(AT27*$B76))</f>
        <v>0.25383820515625</v>
      </c>
      <c r="AU76" s="94">
        <f>IF(U76=".",".",up_RadSpec!$F$27*(AU27*$B76))</f>
        <v>0.25383820515625</v>
      </c>
      <c r="AV76" s="94">
        <f>IF(V76=".",".",up_RadSpec!$F$27*(AV27*$B76))</f>
        <v>0.25383820515625</v>
      </c>
      <c r="AW76" s="94">
        <f>IF(W76=".",".",up_RadSpec!$F$27*(AW27*$B76))</f>
        <v>0.25383820515625</v>
      </c>
      <c r="AX76" s="94">
        <f>IF(X76=".",".",up_RadSpec!$F$27*(AX27*$B76))</f>
        <v>0.25383820515625</v>
      </c>
      <c r="AY76" s="94">
        <f>IF(Y76=".",".",up_RadSpec!$F$27*(AY27*$B76))</f>
        <v>0.25383820515625</v>
      </c>
      <c r="AZ76" s="94">
        <f>IF(Z76=".",".",up_RadSpec!$F$27*(AZ27*$B76))</f>
        <v>0.25383820515625</v>
      </c>
      <c r="BA76" s="94">
        <f>IF(AA76=".",".",up_RadSpec!$F$27*(BA27*$B76))</f>
        <v>0.25383820515625</v>
      </c>
      <c r="BB76" s="94">
        <f>IF(AB76=".",".",up_RadSpec!$F$27*(BB27*$B76))</f>
        <v>0.25383820515625</v>
      </c>
      <c r="BC76" s="60">
        <f t="shared" ref="BC76:CB76" si="199">IFERROR(BC27/$B62,".")</f>
        <v>24.621983109882205</v>
      </c>
      <c r="BD76" s="60">
        <f t="shared" si="199"/>
        <v>98.487932439528819</v>
      </c>
      <c r="BE76" s="60">
        <f t="shared" si="199"/>
        <v>98.487932439528819</v>
      </c>
      <c r="BF76" s="60">
        <f t="shared" si="199"/>
        <v>98.487932439528819</v>
      </c>
      <c r="BG76" s="60">
        <f t="shared" si="199"/>
        <v>98.487932439528819</v>
      </c>
      <c r="BH76" s="60">
        <f t="shared" si="199"/>
        <v>98.487932439528819</v>
      </c>
      <c r="BI76" s="60">
        <f t="shared" si="199"/>
        <v>98.487932439528819</v>
      </c>
      <c r="BJ76" s="60">
        <f t="shared" si="199"/>
        <v>98.487932439528819</v>
      </c>
      <c r="BK76" s="60">
        <f t="shared" si="199"/>
        <v>98.487932439528819</v>
      </c>
      <c r="BL76" s="60">
        <f t="shared" si="199"/>
        <v>98.487932439528819</v>
      </c>
      <c r="BM76" s="60">
        <f t="shared" si="199"/>
        <v>98.487932439528819</v>
      </c>
      <c r="BN76" s="60">
        <f t="shared" si="199"/>
        <v>98.487932439528819</v>
      </c>
      <c r="BO76" s="60">
        <f t="shared" si="199"/>
        <v>98.487932439528819</v>
      </c>
      <c r="BP76" s="60">
        <f t="shared" si="199"/>
        <v>98.487932439528819</v>
      </c>
      <c r="BQ76" s="60">
        <f t="shared" si="199"/>
        <v>98.487932439528819</v>
      </c>
      <c r="BR76" s="60">
        <f t="shared" si="199"/>
        <v>98.487932439528819</v>
      </c>
      <c r="BS76" s="60">
        <f t="shared" si="199"/>
        <v>98.487932439528819</v>
      </c>
      <c r="BT76" s="60">
        <f t="shared" si="199"/>
        <v>98.487932439528819</v>
      </c>
      <c r="BU76" s="60">
        <f t="shared" si="199"/>
        <v>98.487932439528819</v>
      </c>
      <c r="BV76" s="60">
        <f t="shared" si="199"/>
        <v>98.487932439528819</v>
      </c>
      <c r="BW76" s="60">
        <f t="shared" si="199"/>
        <v>98.487932439528819</v>
      </c>
      <c r="BX76" s="60">
        <f t="shared" si="199"/>
        <v>98.487932439528819</v>
      </c>
      <c r="BY76" s="60">
        <f t="shared" si="199"/>
        <v>98.487932439528819</v>
      </c>
      <c r="BZ76" s="60">
        <f t="shared" si="199"/>
        <v>98.487932439528819</v>
      </c>
      <c r="CA76" s="60">
        <f t="shared" si="199"/>
        <v>98.487932439528819</v>
      </c>
      <c r="CB76" s="60">
        <f t="shared" si="199"/>
        <v>98.487932439528819</v>
      </c>
      <c r="CC76" s="94">
        <f t="shared" si="175"/>
        <v>1.015352820625</v>
      </c>
      <c r="CD76" s="94">
        <f>IF(BD76=".",".",up_RadSpec!$F$27*(CD27*$B76))</f>
        <v>0.25383820515625</v>
      </c>
      <c r="CE76" s="94">
        <f>IF(BE76=".",".",up_RadSpec!$F$27*(CE27*$B76))</f>
        <v>0.25383820515625</v>
      </c>
      <c r="CF76" s="94">
        <f>IF(BF76=".",".",up_RadSpec!$F$27*(CF27*$B76))</f>
        <v>0.25383820515625</v>
      </c>
      <c r="CG76" s="94">
        <f>IF(BG76=".",".",up_RadSpec!$F$27*(CG27*$B76))</f>
        <v>0.25383820515625</v>
      </c>
      <c r="CH76" s="94">
        <f>IF(BH76=".",".",up_RadSpec!$F$27*(CH27*$B76))</f>
        <v>0.25383820515625</v>
      </c>
      <c r="CI76" s="94">
        <f>IF(BI76=".",".",up_RadSpec!$F$27*(CI27*$B76))</f>
        <v>0.25383820515625</v>
      </c>
      <c r="CJ76" s="94">
        <f>IF(BJ76=".",".",up_RadSpec!$F$27*(CJ27*$B76))</f>
        <v>0.25383820515625</v>
      </c>
      <c r="CK76" s="94">
        <f>IF(BK76=".",".",up_RadSpec!$F$27*(CK27*$B76))</f>
        <v>0.25383820515625</v>
      </c>
      <c r="CL76" s="94">
        <f>IF(BL76=".",".",up_RadSpec!$F$27*(CL27*$B76))</f>
        <v>0.25383820515625</v>
      </c>
      <c r="CM76" s="94">
        <f>IF(BM76=".",".",up_RadSpec!$F$27*(CM27*$B76))</f>
        <v>0.25383820515625</v>
      </c>
      <c r="CN76" s="94">
        <f>IF(BN76=".",".",up_RadSpec!$F$27*(CN27*$B76))</f>
        <v>0.25383820515625</v>
      </c>
      <c r="CO76" s="94">
        <f>IF(BO76=".",".",up_RadSpec!$F$27*(CO27*$B76))</f>
        <v>0.25383820515625</v>
      </c>
      <c r="CP76" s="94">
        <f>IF(BP76=".",".",up_RadSpec!$F$27*(CP27*$B76))</f>
        <v>0.25383820515625</v>
      </c>
      <c r="CQ76" s="94">
        <f>IF(BQ76=".",".",up_RadSpec!$F$27*(CQ27*$B76))</f>
        <v>0.25383820515625</v>
      </c>
      <c r="CR76" s="94">
        <f>IF(BR76=".",".",up_RadSpec!$F$27*(CR27*$B76))</f>
        <v>0.25383820515625</v>
      </c>
      <c r="CS76" s="94">
        <f>IF(BS76=".",".",up_RadSpec!$F$27*(CS27*$B76))</f>
        <v>0.25383820515625</v>
      </c>
      <c r="CT76" s="94">
        <f>IF(BT76=".",".",up_RadSpec!$F$27*(CT27*$B76))</f>
        <v>0.25383820515625</v>
      </c>
      <c r="CU76" s="94">
        <f>IF(BU76=".",".",up_RadSpec!$F$27*(CU27*$B76))</f>
        <v>0.25383820515625</v>
      </c>
      <c r="CV76" s="94">
        <f>IF(BV76=".",".",up_RadSpec!$F$27*(CV27*$B76))</f>
        <v>0.25383820515625</v>
      </c>
      <c r="CW76" s="94">
        <f>IF(BW76=".",".",up_RadSpec!$F$27*(CW27*$B76))</f>
        <v>0.25383820515625</v>
      </c>
      <c r="CX76" s="94">
        <f>IF(BX76=".",".",up_RadSpec!$F$27*(CX27*$B76))</f>
        <v>0.25383820515625</v>
      </c>
      <c r="CY76" s="94">
        <f>IF(BY76=".",".",up_RadSpec!$F$27*(CY27*$B76))</f>
        <v>0.25383820515625</v>
      </c>
      <c r="CZ76" s="94">
        <f>IF(BZ76=".",".",up_RadSpec!$F$27*(CZ27*$B76))</f>
        <v>0.25383820515625</v>
      </c>
      <c r="DA76" s="94">
        <f>IF(CA76=".",".",up_RadSpec!$F$27*(DA27*$B76))</f>
        <v>0.25383820515625</v>
      </c>
      <c r="DB76" s="94">
        <f>IF(CB76=".",".",up_RadSpec!$F$27*(DB27*$B76))</f>
        <v>0.25383820515625</v>
      </c>
    </row>
  </sheetData>
  <sheetProtection algorithmName="SHA-512" hashValue="IhKGHHbdoGNO6mD1KAWdzcJDZ7uv6mWPKI1MuE6KAYfrEtqsenmxTS/LrLh2zCJnmiEpRPFMaqa94vLgcBILng==" saltValue="L2V6duGER+E6rCoyusCNng==" spinCount="100000" sheet="1" formatColumns="0" formatRows="0" autoFilter="0"/>
  <autoFilter ref="A1:CX76" xr:uid="{6E27F3FE-A4C7-4CF2-9825-ED84E3DEE6B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D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84" bestFit="1" customWidth="1"/>
    <col min="2" max="2" width="13.28515625" style="84" bestFit="1" customWidth="1"/>
    <col min="3" max="3" width="25" style="84" bestFit="1" customWidth="1"/>
    <col min="4" max="4" width="16" style="84" bestFit="1" customWidth="1"/>
    <col min="5" max="5" width="16.140625" style="84" bestFit="1" customWidth="1"/>
    <col min="6" max="6" width="15" style="84" bestFit="1" customWidth="1"/>
    <col min="7" max="7" width="15.7109375" style="84" bestFit="1" customWidth="1"/>
    <col min="8" max="8" width="15" style="84" bestFit="1" customWidth="1"/>
    <col min="9" max="9" width="15.42578125" style="84" bestFit="1" customWidth="1"/>
    <col min="10" max="10" width="14.7109375" style="84" bestFit="1" customWidth="1"/>
    <col min="11" max="11" width="16.140625" style="84" bestFit="1" customWidth="1"/>
    <col min="12" max="12" width="15" style="84" bestFit="1" customWidth="1"/>
    <col min="13" max="13" width="16.85546875" style="84" bestFit="1" customWidth="1"/>
    <col min="14" max="14" width="14" style="84" bestFit="1" customWidth="1"/>
    <col min="15" max="16" width="15" style="84" bestFit="1" customWidth="1"/>
    <col min="17" max="17" width="16.140625" style="84" bestFit="1" customWidth="1"/>
    <col min="18" max="18" width="16.28515625" style="84" bestFit="1" customWidth="1"/>
    <col min="19" max="19" width="15" style="84" bestFit="1" customWidth="1"/>
    <col min="20" max="20" width="14.28515625" style="84" bestFit="1" customWidth="1"/>
    <col min="21" max="21" width="15.5703125" style="84" bestFit="1" customWidth="1"/>
    <col min="22" max="22" width="15.7109375" style="84" bestFit="1" customWidth="1"/>
    <col min="23" max="23" width="16.140625" style="84" bestFit="1" customWidth="1"/>
    <col min="24" max="24" width="15.42578125" style="84" bestFit="1" customWidth="1"/>
    <col min="25" max="25" width="16" style="84" bestFit="1" customWidth="1"/>
    <col min="26" max="27" width="14.42578125" style="84" bestFit="1" customWidth="1"/>
    <col min="28" max="28" width="16.42578125" style="84" bestFit="1" customWidth="1"/>
    <col min="29" max="29" width="22.5703125" style="84" bestFit="1" customWidth="1"/>
    <col min="30" max="30" width="15.85546875" style="84" bestFit="1" customWidth="1"/>
    <col min="31" max="31" width="16" style="84" bestFit="1" customWidth="1"/>
    <col min="32" max="32" width="14.7109375" style="84" bestFit="1" customWidth="1"/>
    <col min="33" max="33" width="15.42578125" style="84" bestFit="1" customWidth="1"/>
    <col min="34" max="34" width="14.7109375" style="84" bestFit="1" customWidth="1"/>
    <col min="35" max="35" width="15.140625" style="84" bestFit="1" customWidth="1"/>
    <col min="36" max="36" width="14.28515625" style="84" bestFit="1" customWidth="1"/>
    <col min="37" max="37" width="15.7109375" style="84" bestFit="1" customWidth="1"/>
    <col min="38" max="38" width="14.7109375" style="84" bestFit="1" customWidth="1"/>
    <col min="39" max="39" width="16.7109375" style="84" bestFit="1" customWidth="1"/>
    <col min="40" max="40" width="13.7109375" style="84" bestFit="1" customWidth="1"/>
    <col min="41" max="41" width="14.5703125" style="84" bestFit="1" customWidth="1"/>
    <col min="42" max="42" width="14.85546875" style="84" bestFit="1" customWidth="1"/>
    <col min="43" max="43" width="16" style="84" bestFit="1" customWidth="1"/>
    <col min="44" max="44" width="16.28515625" style="84" bestFit="1" customWidth="1"/>
    <col min="45" max="45" width="14.85546875" style="84" bestFit="1" customWidth="1"/>
    <col min="46" max="46" width="14.140625" style="84" bestFit="1" customWidth="1"/>
    <col min="47" max="47" width="15.28515625" style="84" bestFit="1" customWidth="1"/>
    <col min="48" max="48" width="15.85546875" style="84" bestFit="1" customWidth="1"/>
    <col min="49" max="49" width="16.140625" style="84" bestFit="1" customWidth="1"/>
    <col min="50" max="50" width="15.140625" style="84" bestFit="1" customWidth="1"/>
    <col min="51" max="51" width="16" style="84" bestFit="1" customWidth="1"/>
    <col min="52" max="52" width="14.42578125" style="84" bestFit="1" customWidth="1"/>
    <col min="53" max="53" width="13.85546875" style="84" bestFit="1" customWidth="1"/>
    <col min="54" max="54" width="16.140625" style="84" bestFit="1" customWidth="1"/>
    <col min="55" max="55" width="28.7109375" style="84" bestFit="1" customWidth="1"/>
    <col min="56" max="56" width="15.85546875" style="84" bestFit="1" customWidth="1"/>
    <col min="57" max="57" width="16" style="84" bestFit="1" customWidth="1"/>
    <col min="58" max="58" width="14.7109375" style="84" bestFit="1" customWidth="1"/>
    <col min="59" max="59" width="15.5703125" style="84" bestFit="1" customWidth="1"/>
    <col min="60" max="60" width="14.85546875" style="84" bestFit="1" customWidth="1"/>
    <col min="61" max="61" width="15.28515625" style="84" bestFit="1" customWidth="1"/>
    <col min="62" max="62" width="14.5703125" style="84" bestFit="1" customWidth="1"/>
    <col min="63" max="63" width="16" style="84" bestFit="1" customWidth="1"/>
    <col min="64" max="64" width="14.85546875" style="84" bestFit="1" customWidth="1"/>
    <col min="65" max="65" width="16.7109375" style="84" bestFit="1" customWidth="1"/>
    <col min="66" max="66" width="13.85546875" style="84" bestFit="1" customWidth="1"/>
    <col min="67" max="68" width="14.85546875" style="84" bestFit="1" customWidth="1"/>
    <col min="69" max="69" width="16" style="84" bestFit="1" customWidth="1"/>
    <col min="70" max="70" width="16.140625" style="84" bestFit="1" customWidth="1"/>
    <col min="71" max="71" width="14.85546875" style="84" bestFit="1" customWidth="1"/>
    <col min="72" max="72" width="14.140625" style="84" bestFit="1" customWidth="1"/>
    <col min="73" max="73" width="15.28515625" style="84" bestFit="1" customWidth="1"/>
    <col min="74" max="74" width="15.5703125" style="84" bestFit="1" customWidth="1"/>
    <col min="75" max="75" width="15.85546875" style="84" bestFit="1" customWidth="1"/>
    <col min="76" max="76" width="15.28515625" style="84" bestFit="1" customWidth="1"/>
    <col min="77" max="77" width="15.85546875" style="84" bestFit="1" customWidth="1"/>
    <col min="78" max="79" width="14.28515625" style="84" bestFit="1" customWidth="1"/>
    <col min="80" max="80" width="15.5703125" style="84" bestFit="1" customWidth="1"/>
    <col min="81" max="81" width="22.5703125" style="84" bestFit="1" customWidth="1"/>
    <col min="82" max="82" width="15.85546875" style="84" bestFit="1" customWidth="1"/>
    <col min="83" max="83" width="16" style="84" bestFit="1" customWidth="1"/>
    <col min="84" max="84" width="14.7109375" style="84" bestFit="1" customWidth="1"/>
    <col min="85" max="85" width="15.42578125" style="84" bestFit="1" customWidth="1"/>
    <col min="86" max="86" width="14.7109375" style="84" bestFit="1" customWidth="1"/>
    <col min="87" max="87" width="15.140625" style="84" bestFit="1" customWidth="1"/>
    <col min="88" max="88" width="14.28515625" style="84" bestFit="1" customWidth="1"/>
    <col min="89" max="89" width="15.7109375" style="84" bestFit="1" customWidth="1"/>
    <col min="90" max="90" width="14.7109375" style="84" bestFit="1" customWidth="1"/>
    <col min="91" max="91" width="16.7109375" style="84" bestFit="1" customWidth="1"/>
    <col min="92" max="92" width="13.7109375" style="84" bestFit="1" customWidth="1"/>
    <col min="93" max="93" width="14.5703125" style="84" bestFit="1" customWidth="1"/>
    <col min="94" max="94" width="14.85546875" style="84" bestFit="1" customWidth="1"/>
    <col min="95" max="95" width="16" style="84" bestFit="1" customWidth="1"/>
    <col min="96" max="96" width="16.28515625" style="84" bestFit="1" customWidth="1"/>
    <col min="97" max="97" width="14.85546875" style="84" bestFit="1" customWidth="1"/>
    <col min="98" max="98" width="14.140625" style="84" bestFit="1" customWidth="1"/>
    <col min="99" max="99" width="15.28515625" style="84" bestFit="1" customWidth="1"/>
    <col min="100" max="100" width="15.85546875" style="84" bestFit="1" customWidth="1"/>
    <col min="101" max="101" width="16.140625" style="84" bestFit="1" customWidth="1"/>
    <col min="102" max="102" width="15.140625" style="84" bestFit="1" customWidth="1"/>
    <col min="103" max="103" width="13.7109375" style="84" bestFit="1" customWidth="1"/>
    <col min="104" max="104" width="12.140625" style="84" bestFit="1" customWidth="1"/>
    <col min="105" max="105" width="11.5703125" style="84" bestFit="1" customWidth="1"/>
    <col min="106" max="106" width="13.140625" style="84" bestFit="1" customWidth="1"/>
    <col min="107" max="16384" width="9.140625" style="84"/>
  </cols>
  <sheetData>
    <row r="1" spans="1:106" x14ac:dyDescent="0.25">
      <c r="A1" s="81" t="s">
        <v>39</v>
      </c>
      <c r="B1" s="82" t="s">
        <v>334</v>
      </c>
      <c r="C1" s="83" t="s">
        <v>1247</v>
      </c>
      <c r="D1" s="84" t="s">
        <v>1430</v>
      </c>
      <c r="E1" s="84" t="s">
        <v>1431</v>
      </c>
      <c r="F1" s="84" t="s">
        <v>1432</v>
      </c>
      <c r="G1" s="84" t="s">
        <v>1433</v>
      </c>
      <c r="H1" s="84" t="s">
        <v>1434</v>
      </c>
      <c r="I1" s="84" t="s">
        <v>1435</v>
      </c>
      <c r="J1" s="84" t="s">
        <v>1436</v>
      </c>
      <c r="K1" s="84" t="s">
        <v>1437</v>
      </c>
      <c r="L1" s="84" t="s">
        <v>1438</v>
      </c>
      <c r="M1" s="84" t="s">
        <v>1439</v>
      </c>
      <c r="N1" s="84" t="s">
        <v>1440</v>
      </c>
      <c r="O1" s="84" t="s">
        <v>1441</v>
      </c>
      <c r="P1" s="84" t="s">
        <v>1442</v>
      </c>
      <c r="Q1" s="84" t="s">
        <v>1443</v>
      </c>
      <c r="R1" s="84" t="s">
        <v>1444</v>
      </c>
      <c r="S1" s="84" t="s">
        <v>1445</v>
      </c>
      <c r="T1" s="84" t="s">
        <v>1446</v>
      </c>
      <c r="U1" s="84" t="s">
        <v>1447</v>
      </c>
      <c r="V1" s="84" t="s">
        <v>1448</v>
      </c>
      <c r="W1" s="84" t="s">
        <v>1449</v>
      </c>
      <c r="X1" s="84" t="s">
        <v>1450</v>
      </c>
      <c r="Y1" s="84" t="s">
        <v>1451</v>
      </c>
      <c r="Z1" s="84" t="s">
        <v>1452</v>
      </c>
      <c r="AA1" s="84" t="s">
        <v>1453</v>
      </c>
      <c r="AB1" s="84" t="s">
        <v>1454</v>
      </c>
      <c r="AC1" s="85" t="s">
        <v>1105</v>
      </c>
      <c r="AD1" s="85" t="s">
        <v>1106</v>
      </c>
      <c r="AE1" s="85" t="s">
        <v>1107</v>
      </c>
      <c r="AF1" s="85" t="s">
        <v>1108</v>
      </c>
      <c r="AG1" s="85" t="s">
        <v>1109</v>
      </c>
      <c r="AH1" s="85" t="s">
        <v>1110</v>
      </c>
      <c r="AI1" s="85" t="s">
        <v>1111</v>
      </c>
      <c r="AJ1" s="85" t="s">
        <v>1112</v>
      </c>
      <c r="AK1" s="85" t="s">
        <v>1113</v>
      </c>
      <c r="AL1" s="85" t="s">
        <v>1114</v>
      </c>
      <c r="AM1" s="85" t="s">
        <v>1115</v>
      </c>
      <c r="AN1" s="85" t="s">
        <v>1116</v>
      </c>
      <c r="AO1" s="85" t="s">
        <v>1117</v>
      </c>
      <c r="AP1" s="85" t="s">
        <v>1118</v>
      </c>
      <c r="AQ1" s="85" t="s">
        <v>1119</v>
      </c>
      <c r="AR1" s="85" t="s">
        <v>1120</v>
      </c>
      <c r="AS1" s="85" t="s">
        <v>1121</v>
      </c>
      <c r="AT1" s="85" t="s">
        <v>1122</v>
      </c>
      <c r="AU1" s="85" t="s">
        <v>1307</v>
      </c>
      <c r="AV1" s="85" t="s">
        <v>1123</v>
      </c>
      <c r="AW1" s="85" t="s">
        <v>1124</v>
      </c>
      <c r="AX1" s="85" t="s">
        <v>1125</v>
      </c>
      <c r="AY1" s="85" t="s">
        <v>1126</v>
      </c>
      <c r="AZ1" s="85" t="s">
        <v>1127</v>
      </c>
      <c r="BA1" s="85" t="s">
        <v>1128</v>
      </c>
      <c r="BB1" s="85" t="s">
        <v>1129</v>
      </c>
      <c r="BC1" s="84" t="s">
        <v>1483</v>
      </c>
      <c r="BD1" s="84" t="s">
        <v>1456</v>
      </c>
      <c r="BE1" s="84" t="s">
        <v>1457</v>
      </c>
      <c r="BF1" s="84" t="s">
        <v>1458</v>
      </c>
      <c r="BG1" s="84" t="s">
        <v>1459</v>
      </c>
      <c r="BH1" s="84" t="s">
        <v>1460</v>
      </c>
      <c r="BI1" s="84" t="s">
        <v>1461</v>
      </c>
      <c r="BJ1" s="84" t="s">
        <v>1462</v>
      </c>
      <c r="BK1" s="84" t="s">
        <v>1463</v>
      </c>
      <c r="BL1" s="84" t="s">
        <v>1464</v>
      </c>
      <c r="BM1" s="84" t="s">
        <v>1465</v>
      </c>
      <c r="BN1" s="84" t="s">
        <v>1466</v>
      </c>
      <c r="BO1" s="84" t="s">
        <v>1467</v>
      </c>
      <c r="BP1" s="84" t="s">
        <v>1468</v>
      </c>
      <c r="BQ1" s="84" t="s">
        <v>1469</v>
      </c>
      <c r="BR1" s="84" t="s">
        <v>1470</v>
      </c>
      <c r="BS1" s="84" t="s">
        <v>1471</v>
      </c>
      <c r="BT1" s="84" t="s">
        <v>1472</v>
      </c>
      <c r="BU1" s="84" t="s">
        <v>1473</v>
      </c>
      <c r="BV1" s="84" t="s">
        <v>1474</v>
      </c>
      <c r="BW1" s="84" t="s">
        <v>1475</v>
      </c>
      <c r="BX1" s="84" t="s">
        <v>1476</v>
      </c>
      <c r="BY1" s="84" t="s">
        <v>1477</v>
      </c>
      <c r="BZ1" s="84" t="s">
        <v>1478</v>
      </c>
      <c r="CA1" s="84" t="s">
        <v>1479</v>
      </c>
      <c r="CB1" s="84" t="s">
        <v>1480</v>
      </c>
      <c r="CC1" s="85" t="s">
        <v>1130</v>
      </c>
      <c r="CD1" s="85" t="s">
        <v>1223</v>
      </c>
      <c r="CE1" s="85" t="s">
        <v>1224</v>
      </c>
      <c r="CF1" s="85" t="s">
        <v>1225</v>
      </c>
      <c r="CG1" s="85" t="s">
        <v>1226</v>
      </c>
      <c r="CH1" s="85" t="s">
        <v>1227</v>
      </c>
      <c r="CI1" s="85" t="s">
        <v>1228</v>
      </c>
      <c r="CJ1" s="85" t="s">
        <v>1229</v>
      </c>
      <c r="CK1" s="85" t="s">
        <v>1230</v>
      </c>
      <c r="CL1" s="85" t="s">
        <v>1231</v>
      </c>
      <c r="CM1" s="85" t="s">
        <v>1232</v>
      </c>
      <c r="CN1" s="85" t="s">
        <v>1233</v>
      </c>
      <c r="CO1" s="85" t="s">
        <v>1234</v>
      </c>
      <c r="CP1" s="85" t="s">
        <v>1235</v>
      </c>
      <c r="CQ1" s="85" t="s">
        <v>1236</v>
      </c>
      <c r="CR1" s="85" t="s">
        <v>1237</v>
      </c>
      <c r="CS1" s="85" t="s">
        <v>1238</v>
      </c>
      <c r="CT1" s="85" t="s">
        <v>1239</v>
      </c>
      <c r="CU1" s="85" t="s">
        <v>1305</v>
      </c>
      <c r="CV1" s="85" t="s">
        <v>1240</v>
      </c>
      <c r="CW1" s="85" t="s">
        <v>1241</v>
      </c>
      <c r="CX1" s="85" t="s">
        <v>1242</v>
      </c>
      <c r="CY1" s="85" t="s">
        <v>1243</v>
      </c>
      <c r="CZ1" s="85" t="s">
        <v>1244</v>
      </c>
      <c r="DA1" s="85" t="s">
        <v>1245</v>
      </c>
      <c r="DB1" s="85" t="s">
        <v>1246</v>
      </c>
    </row>
    <row r="2" spans="1:106" ht="15" customHeight="1" x14ac:dyDescent="0.25">
      <c r="A2" s="86" t="s">
        <v>0</v>
      </c>
      <c r="B2" s="84" t="s">
        <v>1057</v>
      </c>
      <c r="C2" s="15">
        <f>IFERROR(1/SUM(1/D2,1/U2,1/AA2,1/AB2),".")</f>
        <v>1.6443412786038033E-4</v>
      </c>
      <c r="D2" s="70">
        <f>IFERROR(IF(AND(up_Irr!C2&lt;&gt;".",up_Irr!AB2&lt;&gt;".",up_Irr!BA2&lt;&gt;"."),up_dir!D2/((1/1000)*(up_Irr!C2+up_Irr!AB2+up_Irr!BA2)),IF(AND(up_Irr!C2&lt;&gt;".",up_Irr!AB2&lt;&gt;".",up_Irr!BA2="."),up_dir!D2/((1/1000)*(up_Irr!C2+up_Irr!AB2)),IF(AND(up_Irr!C2&lt;&gt;".",up_Irr!AB2=".",up_Irr!BA2&lt;&gt;"."),up_dir!D2/((1/1000)*(up_Irr!C2+up_Irr!BA2)),IF(AND(up_Irr!C2=".",up_Irr!AB2&lt;&gt;".",up_Irr!BA2&lt;&gt;"."),up_dir!D2/((1/1000)*(up_Irr!AB2+up_Irr!BA2)),IF(AND(up_Irr!C2=".",up_Irr!AB2=".",up_Irr!BA2&lt;&gt;"."),up_dir!D2/((1/1000)*(up_Irr!BA2)),IF(AND(up_Irr!C2=".",up_Irr!AB2&lt;&gt;".",up_Irr!BA2="."),up_dir!D2/((1/1000)*(up_Irr!AB2)),IF(AND(up_Irr!C2&lt;&gt;".",up_Irr!AB2=".",up_Irr!BA2="."),up_dir!D2/((1/1000)*(up_Irr!C2)),IF(AND(up_Irr!C2=".",up_Irr!AB2=".",up_Irr!BA2="."),up_dir!D2*1000)))))))),".")</f>
        <v>6.5773651144152131E-4</v>
      </c>
      <c r="E2" s="70">
        <f>IFERROR(IF(AND(up_Irr!D2&lt;&gt;".",up_Irr!AC2&lt;&gt;".",up_Irr!BB2&lt;&gt;"."),up_dir!E2/((1/1000)*(up_Irr!D2+up_Irr!AC2+up_Irr!BB2)),IF(AND(up_Irr!D2&lt;&gt;".",up_Irr!AC2&lt;&gt;".",up_Irr!BB2="."),up_dir!E2/((1/1000)*(up_Irr!D2+up_Irr!AC2)),IF(AND(up_Irr!D2&lt;&gt;".",up_Irr!AC2=".",up_Irr!BB2&lt;&gt;"."),up_dir!E2/((1/1000)*(up_Irr!D2+up_Irr!BB2)),IF(AND(up_Irr!D2=".",up_Irr!AC2&lt;&gt;".",up_Irr!BB2&lt;&gt;"."),up_dir!E2/((1/1000)*(up_Irr!AC2+up_Irr!BB2)),IF(AND(up_Irr!D2=".",up_Irr!AC2=".",up_Irr!BB2&lt;&gt;"."),up_dir!E2/((1/1000)*(up_Irr!BB2)),IF(AND(up_Irr!D2=".",up_Irr!AC2&lt;&gt;".",up_Irr!BB2="."),up_dir!E2/((1/1000)*(up_Irr!AC2)),IF(AND(up_Irr!D2&lt;&gt;".",up_Irr!AC2=".",up_Irr!BB2="."),up_dir!E2/((1/1000)*(up_Irr!D2)),IF(AND(up_Irr!D2=".",up_Irr!AC2=".",up_Irr!BB2="."),up_dir!E2*1000)))))))),".")</f>
        <v>6.5773651144152131E-4</v>
      </c>
      <c r="F2" s="70">
        <f>IFERROR(IF(AND(up_Irr!E2&lt;&gt;".",up_Irr!AD2&lt;&gt;".",up_Irr!BC2&lt;&gt;"."),up_dir!F2/((1/1000)*(up_Irr!E2+up_Irr!AD2+up_Irr!BC2)),IF(AND(up_Irr!E2&lt;&gt;".",up_Irr!AD2&lt;&gt;".",up_Irr!BC2="."),up_dir!F2/((1/1000)*(up_Irr!E2+up_Irr!AD2)),IF(AND(up_Irr!E2&lt;&gt;".",up_Irr!AD2=".",up_Irr!BC2&lt;&gt;"."),up_dir!F2/((1/1000)*(up_Irr!E2+up_Irr!BC2)),IF(AND(up_Irr!E2=".",up_Irr!AD2&lt;&gt;".",up_Irr!BC2&lt;&gt;"."),up_dir!F2/((1/1000)*(up_Irr!AD2+up_Irr!BC2)),IF(AND(up_Irr!E2=".",up_Irr!AD2=".",up_Irr!BC2&lt;&gt;"."),up_dir!F2/((1/1000)*(up_Irr!BC2)),IF(AND(up_Irr!E2=".",up_Irr!AD2&lt;&gt;".",up_Irr!BC2="."),up_dir!F2/((1/1000)*(up_Irr!AD2)),IF(AND(up_Irr!E2&lt;&gt;".",up_Irr!AD2=".",up_Irr!BC2="."),up_dir!F2/((1/1000)*(up_Irr!E2)),IF(AND(up_Irr!E2=".",up_Irr!AD2=".",up_Irr!BC2="."),up_dir!F2*1000)))))))),".")</f>
        <v>6.5773651144152131E-4</v>
      </c>
      <c r="G2" s="70">
        <f>IFERROR(IF(AND(up_Irr!F2&lt;&gt;".",up_Irr!AE2&lt;&gt;".",up_Irr!BD2&lt;&gt;"."),up_dir!G2/((1/1000)*(up_Irr!F2+up_Irr!AE2+up_Irr!BD2)),IF(AND(up_Irr!F2&lt;&gt;".",up_Irr!AE2&lt;&gt;".",up_Irr!BD2="."),up_dir!G2/((1/1000)*(up_Irr!F2+up_Irr!AE2)),IF(AND(up_Irr!F2&lt;&gt;".",up_Irr!AE2=".",up_Irr!BD2&lt;&gt;"."),up_dir!G2/((1/1000)*(up_Irr!F2+up_Irr!BD2)),IF(AND(up_Irr!F2=".",up_Irr!AE2&lt;&gt;".",up_Irr!BD2&lt;&gt;"."),up_dir!G2/((1/1000)*(up_Irr!AE2+up_Irr!BD2)),IF(AND(up_Irr!F2=".",up_Irr!AE2=".",up_Irr!BD2&lt;&gt;"."),up_dir!G2/((1/1000)*(up_Irr!BD2)),IF(AND(up_Irr!F2=".",up_Irr!AE2&lt;&gt;".",up_Irr!BD2="."),up_dir!G2/((1/1000)*(up_Irr!AE2)),IF(AND(up_Irr!F2&lt;&gt;".",up_Irr!AE2=".",up_Irr!BD2="."),up_dir!G2/((1/1000)*(up_Irr!F2)),IF(AND(up_Irr!F2=".",up_Irr!AE2=".",up_Irr!BD2="."),up_dir!G2*1000)))))))),".")</f>
        <v>6.5773651144152131E-4</v>
      </c>
      <c r="H2" s="70">
        <f>IFERROR(IF(AND(up_Irr!G2&lt;&gt;".",up_Irr!AF2&lt;&gt;".",up_Irr!BE2&lt;&gt;"."),up_dir!H2/((1/1000)*(up_Irr!G2+up_Irr!AF2+up_Irr!BE2)),IF(AND(up_Irr!G2&lt;&gt;".",up_Irr!AF2&lt;&gt;".",up_Irr!BE2="."),up_dir!H2/((1/1000)*(up_Irr!G2+up_Irr!AF2)),IF(AND(up_Irr!G2&lt;&gt;".",up_Irr!AF2=".",up_Irr!BE2&lt;&gt;"."),up_dir!H2/((1/1000)*(up_Irr!G2+up_Irr!BE2)),IF(AND(up_Irr!G2=".",up_Irr!AF2&lt;&gt;".",up_Irr!BE2&lt;&gt;"."),up_dir!H2/((1/1000)*(up_Irr!AF2+up_Irr!BE2)),IF(AND(up_Irr!G2=".",up_Irr!AF2=".",up_Irr!BE2&lt;&gt;"."),up_dir!H2/((1/1000)*(up_Irr!BE2)),IF(AND(up_Irr!G2=".",up_Irr!AF2&lt;&gt;".",up_Irr!BE2="."),up_dir!H2/((1/1000)*(up_Irr!AF2)),IF(AND(up_Irr!G2&lt;&gt;".",up_Irr!AF2=".",up_Irr!BE2="."),up_dir!H2/((1/1000)*(up_Irr!G2)),IF(AND(up_Irr!G2=".",up_Irr!AF2=".",up_Irr!BE2="."),up_dir!H2*1000)))))))),".")</f>
        <v>6.5773651144152131E-4</v>
      </c>
      <c r="I2" s="70">
        <f>IFERROR(IF(AND(up_Irr!H2&lt;&gt;".",up_Irr!AG2&lt;&gt;".",up_Irr!BF2&lt;&gt;"."),up_dir!I2/((1/1000)*(up_Irr!H2+up_Irr!AG2+up_Irr!BF2)),IF(AND(up_Irr!H2&lt;&gt;".",up_Irr!AG2&lt;&gt;".",up_Irr!BF2="."),up_dir!I2/((1/1000)*(up_Irr!H2+up_Irr!AG2)),IF(AND(up_Irr!H2&lt;&gt;".",up_Irr!AG2=".",up_Irr!BF2&lt;&gt;"."),up_dir!I2/((1/1000)*(up_Irr!H2+up_Irr!BF2)),IF(AND(up_Irr!H2=".",up_Irr!AG2&lt;&gt;".",up_Irr!BF2&lt;&gt;"."),up_dir!I2/((1/1000)*(up_Irr!AG2+up_Irr!BF2)),IF(AND(up_Irr!H2=".",up_Irr!AG2=".",up_Irr!BF2&lt;&gt;"."),up_dir!I2/((1/1000)*(up_Irr!BF2)),IF(AND(up_Irr!H2=".",up_Irr!AG2&lt;&gt;".",up_Irr!BF2="."),up_dir!I2/((1/1000)*(up_Irr!AG2)),IF(AND(up_Irr!H2&lt;&gt;".",up_Irr!AG2=".",up_Irr!BF2="."),up_dir!I2/((1/1000)*(up_Irr!H2)),IF(AND(up_Irr!H2=".",up_Irr!AG2=".",up_Irr!BF2="."),up_dir!I2*1000)))))))),".")</f>
        <v>6.5773651144152131E-4</v>
      </c>
      <c r="J2" s="70">
        <f>IFERROR(IF(AND(up_Irr!I2&lt;&gt;".",up_Irr!AH2&lt;&gt;".",up_Irr!BG2&lt;&gt;"."),up_dir!J2/((1/1000)*(up_Irr!I2+up_Irr!AH2+up_Irr!BG2)),IF(AND(up_Irr!I2&lt;&gt;".",up_Irr!AH2&lt;&gt;".",up_Irr!BG2="."),up_dir!J2/((1/1000)*(up_Irr!I2+up_Irr!AH2)),IF(AND(up_Irr!I2&lt;&gt;".",up_Irr!AH2=".",up_Irr!BG2&lt;&gt;"."),up_dir!J2/((1/1000)*(up_Irr!I2+up_Irr!BG2)),IF(AND(up_Irr!I2=".",up_Irr!AH2&lt;&gt;".",up_Irr!BG2&lt;&gt;"."),up_dir!J2/((1/1000)*(up_Irr!AH2+up_Irr!BG2)),IF(AND(up_Irr!I2=".",up_Irr!AH2=".",up_Irr!BG2&lt;&gt;"."),up_dir!J2/((1/1000)*(up_Irr!BG2)),IF(AND(up_Irr!I2=".",up_Irr!AH2&lt;&gt;".",up_Irr!BG2="."),up_dir!J2/((1/1000)*(up_Irr!AH2)),IF(AND(up_Irr!I2&lt;&gt;".",up_Irr!AH2=".",up_Irr!BG2="."),up_dir!J2/((1/1000)*(up_Irr!I2)),IF(AND(up_Irr!I2=".",up_Irr!AH2=".",up_Irr!BG2="."),up_dir!J2*1000)))))))),".")</f>
        <v>6.5773651144152131E-4</v>
      </c>
      <c r="K2" s="70">
        <f>IFERROR(IF(AND(up_Irr!J2&lt;&gt;".",up_Irr!AI2&lt;&gt;".",up_Irr!BH2&lt;&gt;"."),up_dir!K2/((1/1000)*(up_Irr!J2+up_Irr!AI2+up_Irr!BH2)),IF(AND(up_Irr!J2&lt;&gt;".",up_Irr!AI2&lt;&gt;".",up_Irr!BH2="."),up_dir!K2/((1/1000)*(up_Irr!J2+up_Irr!AI2)),IF(AND(up_Irr!J2&lt;&gt;".",up_Irr!AI2=".",up_Irr!BH2&lt;&gt;"."),up_dir!K2/((1/1000)*(up_Irr!J2+up_Irr!BH2)),IF(AND(up_Irr!J2=".",up_Irr!AI2&lt;&gt;".",up_Irr!BH2&lt;&gt;"."),up_dir!K2/((1/1000)*(up_Irr!AI2+up_Irr!BH2)),IF(AND(up_Irr!J2=".",up_Irr!AI2=".",up_Irr!BH2&lt;&gt;"."),up_dir!K2/((1/1000)*(up_Irr!BH2)),IF(AND(up_Irr!J2=".",up_Irr!AI2&lt;&gt;".",up_Irr!BH2="."),up_dir!K2/((1/1000)*(up_Irr!AI2)),IF(AND(up_Irr!J2&lt;&gt;".",up_Irr!AI2=".",up_Irr!BH2="."),up_dir!K2/((1/1000)*(up_Irr!J2)),IF(AND(up_Irr!J2=".",up_Irr!AI2=".",up_Irr!BH2="."),up_dir!K2*1000)))))))),".")</f>
        <v>6.5773651144152131E-4</v>
      </c>
      <c r="L2" s="70">
        <f>IFERROR(IF(AND(up_Irr!K2&lt;&gt;".",up_Irr!AJ2&lt;&gt;".",up_Irr!BI2&lt;&gt;"."),up_dir!L2/((1/1000)*(up_Irr!K2+up_Irr!AJ2+up_Irr!BI2)),IF(AND(up_Irr!K2&lt;&gt;".",up_Irr!AJ2&lt;&gt;".",up_Irr!BI2="."),up_dir!L2/((1/1000)*(up_Irr!K2+up_Irr!AJ2)),IF(AND(up_Irr!K2&lt;&gt;".",up_Irr!AJ2=".",up_Irr!BI2&lt;&gt;"."),up_dir!L2/((1/1000)*(up_Irr!K2+up_Irr!BI2)),IF(AND(up_Irr!K2=".",up_Irr!AJ2&lt;&gt;".",up_Irr!BI2&lt;&gt;"."),up_dir!L2/((1/1000)*(up_Irr!AJ2+up_Irr!BI2)),IF(AND(up_Irr!K2=".",up_Irr!AJ2=".",up_Irr!BI2&lt;&gt;"."),up_dir!L2/((1/1000)*(up_Irr!BI2)),IF(AND(up_Irr!K2=".",up_Irr!AJ2&lt;&gt;".",up_Irr!BI2="."),up_dir!L2/((1/1000)*(up_Irr!AJ2)),IF(AND(up_Irr!K2&lt;&gt;".",up_Irr!AJ2=".",up_Irr!BI2="."),up_dir!L2/((1/1000)*(up_Irr!K2)),IF(AND(up_Irr!K2=".",up_Irr!AJ2=".",up_Irr!BI2="."),up_dir!L2*1000)))))))),".")</f>
        <v>6.5773651144152131E-4</v>
      </c>
      <c r="M2" s="70">
        <f>IFERROR(IF(AND(up_Irr!L2&lt;&gt;".",up_Irr!AK2&lt;&gt;".",up_Irr!BJ2&lt;&gt;"."),up_dir!M2/((1/1000)*(up_Irr!L2+up_Irr!AK2+up_Irr!BJ2)),IF(AND(up_Irr!L2&lt;&gt;".",up_Irr!AK2&lt;&gt;".",up_Irr!BJ2="."),up_dir!M2/((1/1000)*(up_Irr!L2+up_Irr!AK2)),IF(AND(up_Irr!L2&lt;&gt;".",up_Irr!AK2=".",up_Irr!BJ2&lt;&gt;"."),up_dir!M2/((1/1000)*(up_Irr!L2+up_Irr!BJ2)),IF(AND(up_Irr!L2=".",up_Irr!AK2&lt;&gt;".",up_Irr!BJ2&lt;&gt;"."),up_dir!M2/((1/1000)*(up_Irr!AK2+up_Irr!BJ2)),IF(AND(up_Irr!L2=".",up_Irr!AK2=".",up_Irr!BJ2&lt;&gt;"."),up_dir!M2/((1/1000)*(up_Irr!BJ2)),IF(AND(up_Irr!L2=".",up_Irr!AK2&lt;&gt;".",up_Irr!BJ2="."),up_dir!M2/((1/1000)*(up_Irr!AK2)),IF(AND(up_Irr!L2&lt;&gt;".",up_Irr!AK2=".",up_Irr!BJ2="."),up_dir!M2/((1/1000)*(up_Irr!L2)),IF(AND(up_Irr!L2=".",up_Irr!AK2=".",up_Irr!BJ2="."),up_dir!M2*1000)))))))),".")</f>
        <v>6.5773651144152131E-4</v>
      </c>
      <c r="N2" s="70">
        <f>IFERROR(IF(AND(up_Irr!M2&lt;&gt;".",up_Irr!AL2&lt;&gt;".",up_Irr!BK2&lt;&gt;"."),up_dir!N2/((1/1000)*(up_Irr!M2+up_Irr!AL2+up_Irr!BK2)),IF(AND(up_Irr!M2&lt;&gt;".",up_Irr!AL2&lt;&gt;".",up_Irr!BK2="."),up_dir!N2/((1/1000)*(up_Irr!M2+up_Irr!AL2)),IF(AND(up_Irr!M2&lt;&gt;".",up_Irr!AL2=".",up_Irr!BK2&lt;&gt;"."),up_dir!N2/((1/1000)*(up_Irr!M2+up_Irr!BK2)),IF(AND(up_Irr!M2=".",up_Irr!AL2&lt;&gt;".",up_Irr!BK2&lt;&gt;"."),up_dir!N2/((1/1000)*(up_Irr!AL2+up_Irr!BK2)),IF(AND(up_Irr!M2=".",up_Irr!AL2=".",up_Irr!BK2&lt;&gt;"."),up_dir!N2/((1/1000)*(up_Irr!BK2)),IF(AND(up_Irr!M2=".",up_Irr!AL2&lt;&gt;".",up_Irr!BK2="."),up_dir!N2/((1/1000)*(up_Irr!AL2)),IF(AND(up_Irr!M2&lt;&gt;".",up_Irr!AL2=".",up_Irr!BK2="."),up_dir!N2/((1/1000)*(up_Irr!M2)),IF(AND(up_Irr!M2=".",up_Irr!AL2=".",up_Irr!BK2="."),up_dir!N2*1000)))))))),".")</f>
        <v>6.5773651144152131E-4</v>
      </c>
      <c r="O2" s="70">
        <f>IFERROR(IF(AND(up_Irr!N2&lt;&gt;".",up_Irr!AM2&lt;&gt;".",up_Irr!BL2&lt;&gt;"."),up_dir!O2/((1/1000)*(up_Irr!N2+up_Irr!AM2+up_Irr!BL2)),IF(AND(up_Irr!N2&lt;&gt;".",up_Irr!AM2&lt;&gt;".",up_Irr!BL2="."),up_dir!O2/((1/1000)*(up_Irr!N2+up_Irr!AM2)),IF(AND(up_Irr!N2&lt;&gt;".",up_Irr!AM2=".",up_Irr!BL2&lt;&gt;"."),up_dir!O2/((1/1000)*(up_Irr!N2+up_Irr!BL2)),IF(AND(up_Irr!N2=".",up_Irr!AM2&lt;&gt;".",up_Irr!BL2&lt;&gt;"."),up_dir!O2/((1/1000)*(up_Irr!AM2+up_Irr!BL2)),IF(AND(up_Irr!N2=".",up_Irr!AM2=".",up_Irr!BL2&lt;&gt;"."),up_dir!O2/((1/1000)*(up_Irr!BL2)),IF(AND(up_Irr!N2=".",up_Irr!AM2&lt;&gt;".",up_Irr!BL2="."),up_dir!O2/((1/1000)*(up_Irr!AM2)),IF(AND(up_Irr!N2&lt;&gt;".",up_Irr!AM2=".",up_Irr!BL2="."),up_dir!O2/((1/1000)*(up_Irr!N2)),IF(AND(up_Irr!N2=".",up_Irr!AM2=".",up_Irr!BL2="."),up_dir!O2*1000)))))))),".")</f>
        <v>6.5773651144152131E-4</v>
      </c>
      <c r="P2" s="70">
        <f>IFERROR(IF(AND(up_Irr!O2&lt;&gt;".",up_Irr!AN2&lt;&gt;".",up_Irr!BM2&lt;&gt;"."),up_dir!P2/((1/1000)*(up_Irr!O2+up_Irr!AN2+up_Irr!BM2)),IF(AND(up_Irr!O2&lt;&gt;".",up_Irr!AN2&lt;&gt;".",up_Irr!BM2="."),up_dir!P2/((1/1000)*(up_Irr!O2+up_Irr!AN2)),IF(AND(up_Irr!O2&lt;&gt;".",up_Irr!AN2=".",up_Irr!BM2&lt;&gt;"."),up_dir!P2/((1/1000)*(up_Irr!O2+up_Irr!BM2)),IF(AND(up_Irr!O2=".",up_Irr!AN2&lt;&gt;".",up_Irr!BM2&lt;&gt;"."),up_dir!P2/((1/1000)*(up_Irr!AN2+up_Irr!BM2)),IF(AND(up_Irr!O2=".",up_Irr!AN2=".",up_Irr!BM2&lt;&gt;"."),up_dir!P2/((1/1000)*(up_Irr!BM2)),IF(AND(up_Irr!O2=".",up_Irr!AN2&lt;&gt;".",up_Irr!BM2="."),up_dir!P2/((1/1000)*(up_Irr!AN2)),IF(AND(up_Irr!O2&lt;&gt;".",up_Irr!AN2=".",up_Irr!BM2="."),up_dir!P2/((1/1000)*(up_Irr!O2)),IF(AND(up_Irr!O2=".",up_Irr!AN2=".",up_Irr!BM2="."),up_dir!P2*1000)))))))),".")</f>
        <v>6.5773651144152131E-4</v>
      </c>
      <c r="Q2" s="70">
        <f>IFERROR(IF(AND(up_Irr!P2&lt;&gt;".",up_Irr!AO2&lt;&gt;".",up_Irr!BN2&lt;&gt;"."),up_dir!Q2/((1/1000)*(up_Irr!P2+up_Irr!AO2+up_Irr!BN2)),IF(AND(up_Irr!P2&lt;&gt;".",up_Irr!AO2&lt;&gt;".",up_Irr!BN2="."),up_dir!Q2/((1/1000)*(up_Irr!P2+up_Irr!AO2)),IF(AND(up_Irr!P2&lt;&gt;".",up_Irr!AO2=".",up_Irr!BN2&lt;&gt;"."),up_dir!Q2/((1/1000)*(up_Irr!P2+up_Irr!BN2)),IF(AND(up_Irr!P2=".",up_Irr!AO2&lt;&gt;".",up_Irr!BN2&lt;&gt;"."),up_dir!Q2/((1/1000)*(up_Irr!AO2+up_Irr!BN2)),IF(AND(up_Irr!P2=".",up_Irr!AO2=".",up_Irr!BN2&lt;&gt;"."),up_dir!Q2/((1/1000)*(up_Irr!BN2)),IF(AND(up_Irr!P2=".",up_Irr!AO2&lt;&gt;".",up_Irr!BN2="."),up_dir!Q2/((1/1000)*(up_Irr!AO2)),IF(AND(up_Irr!P2&lt;&gt;".",up_Irr!AO2=".",up_Irr!BN2="."),up_dir!Q2/((1/1000)*(up_Irr!P2)),IF(AND(up_Irr!P2=".",up_Irr!AO2=".",up_Irr!BN2="."),up_dir!Q2*1000)))))))),".")</f>
        <v>6.5773651144152131E-4</v>
      </c>
      <c r="R2" s="70">
        <f>IFERROR(IF(AND(up_Irr!Q2&lt;&gt;".",up_Irr!AP2&lt;&gt;".",up_Irr!BO2&lt;&gt;"."),up_dir!R2/((1/1000)*(up_Irr!Q2+up_Irr!AP2+up_Irr!BO2)),IF(AND(up_Irr!Q2&lt;&gt;".",up_Irr!AP2&lt;&gt;".",up_Irr!BO2="."),up_dir!R2/((1/1000)*(up_Irr!Q2+up_Irr!AP2)),IF(AND(up_Irr!Q2&lt;&gt;".",up_Irr!AP2=".",up_Irr!BO2&lt;&gt;"."),up_dir!R2/((1/1000)*(up_Irr!Q2+up_Irr!BO2)),IF(AND(up_Irr!Q2=".",up_Irr!AP2&lt;&gt;".",up_Irr!BO2&lt;&gt;"."),up_dir!R2/((1/1000)*(up_Irr!AP2+up_Irr!BO2)),IF(AND(up_Irr!Q2=".",up_Irr!AP2=".",up_Irr!BO2&lt;&gt;"."),up_dir!R2/((1/1000)*(up_Irr!BO2)),IF(AND(up_Irr!Q2=".",up_Irr!AP2&lt;&gt;".",up_Irr!BO2="."),up_dir!R2/((1/1000)*(up_Irr!AP2)),IF(AND(up_Irr!Q2&lt;&gt;".",up_Irr!AP2=".",up_Irr!BO2="."),up_dir!R2/((1/1000)*(up_Irr!Q2)),IF(AND(up_Irr!Q2=".",up_Irr!AP2=".",up_Irr!BO2="."),up_dir!R2*1000)))))))),".")</f>
        <v>6.5773651144152131E-4</v>
      </c>
      <c r="S2" s="70">
        <f>IFERROR(IF(AND(up_Irr!R2&lt;&gt;".",up_Irr!AQ2&lt;&gt;".",up_Irr!BP2&lt;&gt;"."),up_dir!S2/((1/1000)*(up_Irr!R2+up_Irr!AQ2+up_Irr!BP2)),IF(AND(up_Irr!R2&lt;&gt;".",up_Irr!AQ2&lt;&gt;".",up_Irr!BP2="."),up_dir!S2/((1/1000)*(up_Irr!R2+up_Irr!AQ2)),IF(AND(up_Irr!R2&lt;&gt;".",up_Irr!AQ2=".",up_Irr!BP2&lt;&gt;"."),up_dir!S2/((1/1000)*(up_Irr!R2+up_Irr!BP2)),IF(AND(up_Irr!R2=".",up_Irr!AQ2&lt;&gt;".",up_Irr!BP2&lt;&gt;"."),up_dir!S2/((1/1000)*(up_Irr!AQ2+up_Irr!BP2)),IF(AND(up_Irr!R2=".",up_Irr!AQ2=".",up_Irr!BP2&lt;&gt;"."),up_dir!S2/((1/1000)*(up_Irr!BP2)),IF(AND(up_Irr!R2=".",up_Irr!AQ2&lt;&gt;".",up_Irr!BP2="."),up_dir!S2/((1/1000)*(up_Irr!AQ2)),IF(AND(up_Irr!R2&lt;&gt;".",up_Irr!AQ2=".",up_Irr!BP2="."),up_dir!S2/((1/1000)*(up_Irr!R2)),IF(AND(up_Irr!R2=".",up_Irr!AQ2=".",up_Irr!BP2="."),up_dir!S2*1000)))))))),".")</f>
        <v>6.5773651144152131E-4</v>
      </c>
      <c r="T2" s="70">
        <f>IFERROR(IF(AND(up_Irr!S2&lt;&gt;".",up_Irr!AR2&lt;&gt;".",up_Irr!BQ2&lt;&gt;"."),up_dir!T2/((1/1000)*(up_Irr!S2+up_Irr!AR2+up_Irr!BQ2)),IF(AND(up_Irr!S2&lt;&gt;".",up_Irr!AR2&lt;&gt;".",up_Irr!BQ2="."),up_dir!T2/((1/1000)*(up_Irr!S2+up_Irr!AR2)),IF(AND(up_Irr!S2&lt;&gt;".",up_Irr!AR2=".",up_Irr!BQ2&lt;&gt;"."),up_dir!T2/((1/1000)*(up_Irr!S2+up_Irr!BQ2)),IF(AND(up_Irr!S2=".",up_Irr!AR2&lt;&gt;".",up_Irr!BQ2&lt;&gt;"."),up_dir!T2/((1/1000)*(up_Irr!AR2+up_Irr!BQ2)),IF(AND(up_Irr!S2=".",up_Irr!AR2=".",up_Irr!BQ2&lt;&gt;"."),up_dir!T2/((1/1000)*(up_Irr!BQ2)),IF(AND(up_Irr!S2=".",up_Irr!AR2&lt;&gt;".",up_Irr!BQ2="."),up_dir!T2/((1/1000)*(up_Irr!AR2)),IF(AND(up_Irr!S2&lt;&gt;".",up_Irr!AR2=".",up_Irr!BQ2="."),up_dir!T2/((1/1000)*(up_Irr!S2)),IF(AND(up_Irr!S2=".",up_Irr!AR2=".",up_Irr!BQ2="."),up_dir!T2*1000)))))))),".")</f>
        <v>6.5773651144152131E-4</v>
      </c>
      <c r="U2" s="70">
        <f>IFERROR(IF(AND(up_Irr!T2&lt;&gt;".",up_Irr!AS2&lt;&gt;".",up_Irr!BR2&lt;&gt;"."),up_dir!U2/((1/1000)*(up_Irr!T2+up_Irr!AS2+up_Irr!BR2)),IF(AND(up_Irr!T2&lt;&gt;".",up_Irr!AS2&lt;&gt;".",up_Irr!BR2="."),up_dir!U2/((1/1000)*(up_Irr!T2+up_Irr!AS2)),IF(AND(up_Irr!T2&lt;&gt;".",up_Irr!AS2=".",up_Irr!BR2&lt;&gt;"."),up_dir!U2/((1/1000)*(up_Irr!T2+up_Irr!BR2)),IF(AND(up_Irr!T2=".",up_Irr!AS2&lt;&gt;".",up_Irr!BR2&lt;&gt;"."),up_dir!U2/((1/1000)*(up_Irr!AS2+up_Irr!BR2)),IF(AND(up_Irr!T2=".",up_Irr!AS2=".",up_Irr!BR2&lt;&gt;"."),up_dir!U2/((1/1000)*(up_Irr!BR2)),IF(AND(up_Irr!T2=".",up_Irr!AS2&lt;&gt;".",up_Irr!BR2="."),up_dir!U2/((1/1000)*(up_Irr!AS2)),IF(AND(up_Irr!T2&lt;&gt;".",up_Irr!AS2=".",up_Irr!BR2="."),up_dir!U2/((1/1000)*(up_Irr!T2)),IF(AND(up_Irr!T2=".",up_Irr!AS2=".",up_Irr!BR2="."),up_dir!U2*1000)))))))),".")</f>
        <v>6.5773651144152131E-4</v>
      </c>
      <c r="V2" s="70">
        <f>IFERROR(IF(AND(up_Irr!U2&lt;&gt;".",up_Irr!AT2&lt;&gt;".",up_Irr!BS2&lt;&gt;"."),up_dir!V2/((1/1000)*(up_Irr!U2+up_Irr!AT2+up_Irr!BS2)),IF(AND(up_Irr!U2&lt;&gt;".",up_Irr!AT2&lt;&gt;".",up_Irr!BS2="."),up_dir!V2/((1/1000)*(up_Irr!U2+up_Irr!AT2)),IF(AND(up_Irr!U2&lt;&gt;".",up_Irr!AT2=".",up_Irr!BS2&lt;&gt;"."),up_dir!V2/((1/1000)*(up_Irr!U2+up_Irr!BS2)),IF(AND(up_Irr!U2=".",up_Irr!AT2&lt;&gt;".",up_Irr!BS2&lt;&gt;"."),up_dir!V2/((1/1000)*(up_Irr!AT2+up_Irr!BS2)),IF(AND(up_Irr!U2=".",up_Irr!AT2=".",up_Irr!BS2&lt;&gt;"."),up_dir!V2/((1/1000)*(up_Irr!BS2)),IF(AND(up_Irr!U2=".",up_Irr!AT2&lt;&gt;".",up_Irr!BS2="."),up_dir!V2/((1/1000)*(up_Irr!AT2)),IF(AND(up_Irr!U2&lt;&gt;".",up_Irr!AT2=".",up_Irr!BS2="."),up_dir!V2/((1/1000)*(up_Irr!U2)),IF(AND(up_Irr!U2=".",up_Irr!AT2=".",up_Irr!BS2="."),up_dir!V2*1000)))))))),".")</f>
        <v>6.5773651144152131E-4</v>
      </c>
      <c r="W2" s="70">
        <f>IFERROR(IF(AND(up_Irr!V2&lt;&gt;".",up_Irr!AU2&lt;&gt;".",up_Irr!BT2&lt;&gt;"."),up_dir!W2/((1/1000)*(up_Irr!V2+up_Irr!AU2+up_Irr!BT2)),IF(AND(up_Irr!V2&lt;&gt;".",up_Irr!AU2&lt;&gt;".",up_Irr!BT2="."),up_dir!W2/((1/1000)*(up_Irr!V2+up_Irr!AU2)),IF(AND(up_Irr!V2&lt;&gt;".",up_Irr!AU2=".",up_Irr!BT2&lt;&gt;"."),up_dir!W2/((1/1000)*(up_Irr!V2+up_Irr!BT2)),IF(AND(up_Irr!V2=".",up_Irr!AU2&lt;&gt;".",up_Irr!BT2&lt;&gt;"."),up_dir!W2/((1/1000)*(up_Irr!AU2+up_Irr!BT2)),IF(AND(up_Irr!V2=".",up_Irr!AU2=".",up_Irr!BT2&lt;&gt;"."),up_dir!W2/((1/1000)*(up_Irr!BT2)),IF(AND(up_Irr!V2=".",up_Irr!AU2&lt;&gt;".",up_Irr!BT2="."),up_dir!W2/((1/1000)*(up_Irr!AU2)),IF(AND(up_Irr!V2&lt;&gt;".",up_Irr!AU2=".",up_Irr!BT2="."),up_dir!W2/((1/1000)*(up_Irr!V2)),IF(AND(up_Irr!V2=".",up_Irr!AU2=".",up_Irr!BT2="."),up_dir!W2*1000)))))))),".")</f>
        <v>6.5773651144152131E-4</v>
      </c>
      <c r="X2" s="70">
        <f>IFERROR(IF(AND(up_Irr!W2&lt;&gt;".",up_Irr!AV2&lt;&gt;".",up_Irr!BU2&lt;&gt;"."),up_dir!X2/((1/1000)*(up_Irr!W2+up_Irr!AV2+up_Irr!BU2)),IF(AND(up_Irr!W2&lt;&gt;".",up_Irr!AV2&lt;&gt;".",up_Irr!BU2="."),up_dir!X2/((1/1000)*(up_Irr!W2+up_Irr!AV2)),IF(AND(up_Irr!W2&lt;&gt;".",up_Irr!AV2=".",up_Irr!BU2&lt;&gt;"."),up_dir!X2/((1/1000)*(up_Irr!W2+up_Irr!BU2)),IF(AND(up_Irr!W2=".",up_Irr!AV2&lt;&gt;".",up_Irr!BU2&lt;&gt;"."),up_dir!X2/((1/1000)*(up_Irr!AV2+up_Irr!BU2)),IF(AND(up_Irr!W2=".",up_Irr!AV2=".",up_Irr!BU2&lt;&gt;"."),up_dir!X2/((1/1000)*(up_Irr!BU2)),IF(AND(up_Irr!W2=".",up_Irr!AV2&lt;&gt;".",up_Irr!BU2="."),up_dir!X2/((1/1000)*(up_Irr!AV2)),IF(AND(up_Irr!W2&lt;&gt;".",up_Irr!AV2=".",up_Irr!BU2="."),up_dir!X2/((1/1000)*(up_Irr!W2)),IF(AND(up_Irr!W2=".",up_Irr!AV2=".",up_Irr!BU2="."),up_dir!X2*1000)))))))),".")</f>
        <v>6.5773651144152131E-4</v>
      </c>
      <c r="Y2" s="70">
        <f>IFERROR(IF(AND(up_Irr!X2&lt;&gt;".",up_Irr!AW2&lt;&gt;".",up_Irr!BV2&lt;&gt;"."),up_dir!Y2/((1/1000)*(up_Irr!X2+up_Irr!AW2+up_Irr!BV2)),IF(AND(up_Irr!X2&lt;&gt;".",up_Irr!AW2&lt;&gt;".",up_Irr!BV2="."),up_dir!Y2/((1/1000)*(up_Irr!X2+up_Irr!AW2)),IF(AND(up_Irr!X2&lt;&gt;".",up_Irr!AW2=".",up_Irr!BV2&lt;&gt;"."),up_dir!Y2/((1/1000)*(up_Irr!X2+up_Irr!BV2)),IF(AND(up_Irr!X2=".",up_Irr!AW2&lt;&gt;".",up_Irr!BV2&lt;&gt;"."),up_dir!Y2/((1/1000)*(up_Irr!AW2+up_Irr!BV2)),IF(AND(up_Irr!X2=".",up_Irr!AW2=".",up_Irr!BV2&lt;&gt;"."),up_dir!Y2/((1/1000)*(up_Irr!BV2)),IF(AND(up_Irr!X2=".",up_Irr!AW2&lt;&gt;".",up_Irr!BV2="."),up_dir!Y2/((1/1000)*(up_Irr!AW2)),IF(AND(up_Irr!X2&lt;&gt;".",up_Irr!AW2=".",up_Irr!BV2="."),up_dir!Y2/((1/1000)*(up_Irr!X2)),IF(AND(up_Irr!X2=".",up_Irr!AW2=".",up_Irr!BV2="."),up_dir!Y2*1000)))))))),".")</f>
        <v>6.5773651144152131E-4</v>
      </c>
      <c r="Z2" s="70">
        <f>IFERROR(IF(AND(up_Irr!Y2&lt;&gt;".",up_Irr!AX2&lt;&gt;".",up_Irr!BW2&lt;&gt;"."),up_dir!Z2/((1/1000)*(up_Irr!Y2+up_Irr!AX2+up_Irr!BW2)),IF(AND(up_Irr!Y2&lt;&gt;".",up_Irr!AX2&lt;&gt;".",up_Irr!BW2="."),up_dir!Z2/((1/1000)*(up_Irr!Y2+up_Irr!AX2)),IF(AND(up_Irr!Y2&lt;&gt;".",up_Irr!AX2=".",up_Irr!BW2&lt;&gt;"."),up_dir!Z2/((1/1000)*(up_Irr!Y2+up_Irr!BW2)),IF(AND(up_Irr!Y2=".",up_Irr!AX2&lt;&gt;".",up_Irr!BW2&lt;&gt;"."),up_dir!Z2/((1/1000)*(up_Irr!AX2+up_Irr!BW2)),IF(AND(up_Irr!Y2=".",up_Irr!AX2=".",up_Irr!BW2&lt;&gt;"."),up_dir!Z2/((1/1000)*(up_Irr!BW2)),IF(AND(up_Irr!Y2=".",up_Irr!AX2&lt;&gt;".",up_Irr!BW2="."),up_dir!Z2/((1/1000)*(up_Irr!AX2)),IF(AND(up_Irr!Y2&lt;&gt;".",up_Irr!AX2=".",up_Irr!BW2="."),up_dir!Z2/((1/1000)*(up_Irr!Y2)),IF(AND(up_Irr!Y2=".",up_Irr!AX2=".",up_Irr!BW2="."),up_dir!Z2*1000)))))))),".")</f>
        <v>6.5773651144152131E-4</v>
      </c>
      <c r="AA2" s="70">
        <f>IFERROR(IF(AND(up_Irr!Z2&lt;&gt;".",up_Irr!AY2&lt;&gt;".",up_Irr!BX2&lt;&gt;"."),up_dir!AA2/((1/1000)*(up_Irr!Z2+up_Irr!AY2+up_Irr!BX2)),IF(AND(up_Irr!Z2&lt;&gt;".",up_Irr!AY2&lt;&gt;".",up_Irr!BX2="."),up_dir!AA2/((1/1000)*(up_Irr!Z2+up_Irr!AY2)),IF(AND(up_Irr!Z2&lt;&gt;".",up_Irr!AY2=".",up_Irr!BX2&lt;&gt;"."),up_dir!AA2/((1/1000)*(up_Irr!Z2+up_Irr!BX2)),IF(AND(up_Irr!Z2=".",up_Irr!AY2&lt;&gt;".",up_Irr!BX2&lt;&gt;"."),up_dir!AA2/((1/1000)*(up_Irr!AY2+up_Irr!BX2)),IF(AND(up_Irr!Z2=".",up_Irr!AY2=".",up_Irr!BX2&lt;&gt;"."),up_dir!AA2/((1/1000)*(up_Irr!BX2)),IF(AND(up_Irr!Z2=".",up_Irr!AY2&lt;&gt;".",up_Irr!BX2="."),up_dir!AA2/((1/1000)*(up_Irr!AY2)),IF(AND(up_Irr!Z2&lt;&gt;".",up_Irr!AY2=".",up_Irr!BX2="."),up_dir!AA2/((1/1000)*(up_Irr!Z2)),IF(AND(up_Irr!Z2=".",up_Irr!AY2=".",up_Irr!BX2="."),up_dir!AA2*1000)))))))),".")</f>
        <v>6.5773651144152131E-4</v>
      </c>
      <c r="AB2" s="70">
        <f>IFERROR(IF(AND(up_Irr!AA2&lt;&gt;".",up_Irr!AZ2&lt;&gt;".",up_Irr!BY2&lt;&gt;"."),up_dir!AB2/((1/1000)*(up_Irr!AA2+up_Irr!AZ2+up_Irr!BY2)),IF(AND(up_Irr!AA2&lt;&gt;".",up_Irr!AZ2&lt;&gt;".",up_Irr!BY2="."),up_dir!AB2/((1/1000)*(up_Irr!AA2+up_Irr!AZ2)),IF(AND(up_Irr!AA2&lt;&gt;".",up_Irr!AZ2=".",up_Irr!BY2&lt;&gt;"."),up_dir!AB2/((1/1000)*(up_Irr!AA2+up_Irr!BY2)),IF(AND(up_Irr!AA2=".",up_Irr!AZ2&lt;&gt;".",up_Irr!BY2&lt;&gt;"."),up_dir!AB2/((1/1000)*(up_Irr!AZ2+up_Irr!BY2)),IF(AND(up_Irr!AA2=".",up_Irr!AZ2=".",up_Irr!BY2&lt;&gt;"."),up_dir!AB2/((1/1000)*(up_Irr!BY2)),IF(AND(up_Irr!AA2=".",up_Irr!AZ2&lt;&gt;".",up_Irr!BY2="."),up_dir!AB2/((1/1000)*(up_Irr!AZ2)),IF(AND(up_Irr!AA2&lt;&gt;".",up_Irr!AZ2=".",up_Irr!BY2="."),up_dir!AB2/((1/1000)*(up_Irr!AA2)),IF(AND(up_Irr!AA2=".",up_Irr!AZ2=".",up_Irr!BY2="."),up_dir!AB2*1000)))))))),".")</f>
        <v>6.5773651144152131E-4</v>
      </c>
      <c r="AC2" s="87">
        <f>SUM(AD2,AU2,BA2:BB2)</f>
        <v>30407.313038114935</v>
      </c>
      <c r="AD2" s="87">
        <f>IFERROR(s_C*s_IFAP_res_adj*s_CF_apple*0.001*(up_Irr!C2+up_Irr!AB2+up_Irr!BA2),".")</f>
        <v>7601.8282595287337</v>
      </c>
      <c r="AE2" s="87">
        <f>IFERROR(s_C*s_IFAS_res_adj*s_CF_asparagus*0.001*(up_Irr!D2+up_Irr!AC2+up_Irr!BB2),".")</f>
        <v>7601.8282595287337</v>
      </c>
      <c r="AF2" s="87">
        <f>IFERROR(s_C*s_IFBT_res_adj*s_CF_beet*0.001*(up_Irr!E2+up_Irr!AD2+up_Irr!BC2),".")</f>
        <v>7601.8282595287337</v>
      </c>
      <c r="AG2" s="87">
        <f>IFERROR(s_C*s_IFBE_res_adj*s_CF_berries*0.001*(up_Irr!F2+up_Irr!AE2+up_Irr!BD2),".")</f>
        <v>7601.8282595287337</v>
      </c>
      <c r="AH2" s="87">
        <f>IFERROR(s_C*s_IFBR_res_adj*s_CF_broccoli*0.001*(up_Irr!G2+up_Irr!AF2+up_Irr!BE2),".")</f>
        <v>7601.8282595287337</v>
      </c>
      <c r="AI2" s="87">
        <f>IFERROR(s_C*s_IFCB_res_adj*s_CF_cabbage*0.001*(up_Irr!H2+up_Irr!AG2+up_Irr!BF2),".")</f>
        <v>7601.8282595287337</v>
      </c>
      <c r="AJ2" s="87">
        <f>IFERROR(s_C*s_IFCR_res_adj*s_CF_carrot*0.001*(up_Irr!I2+up_Irr!AH2+up_Irr!BG2),".")</f>
        <v>7601.8282595287337</v>
      </c>
      <c r="AK2" s="87">
        <f>IFERROR(s_C*s_IFCI_res_adj*s_CF_citrus*0.001*(up_Irr!J2+up_Irr!AI2+up_Irr!BH2),".")</f>
        <v>7601.8282595287337</v>
      </c>
      <c r="AL2" s="87">
        <f>IFERROR(s_C*s_IFCO_res_adj*s_CF_corn*0.001*(up_Irr!K2+up_Irr!AJ2+up_Irr!BI2),".")</f>
        <v>7601.8282595287337</v>
      </c>
      <c r="AM2" s="87">
        <f>IFERROR(s_C*s_IFCU_res_adj*s_CF_cucumber*0.001*(up_Irr!L2+up_Irr!AK2+up_Irr!BJ2),".")</f>
        <v>7601.8282595287337</v>
      </c>
      <c r="AN2" s="87">
        <f>IFERROR(s_C*s_IFLE_res_adj*s_CF_lettuce*0.001*(up_Irr!M2+up_Irr!AL2+up_Irr!BK2),".")</f>
        <v>7601.8282595287337</v>
      </c>
      <c r="AO2" s="87">
        <f>IFERROR(s_C*s_IFLI_res_adj*s_CF_lima_bean*0.001*(up_Irr!N2+up_Irr!AM2+up_Irr!BL2),".")</f>
        <v>7601.8282595287337</v>
      </c>
      <c r="AP2" s="87">
        <f>IFERROR(s_C*s_IFOK_res_adj*s_CF_okra*0.001*(up_Irr!O2+up_Irr!AN2+up_Irr!BM2),".")</f>
        <v>7601.8282595287337</v>
      </c>
      <c r="AQ2" s="87">
        <f>IFERROR(s_C*s_IFON_res_adj*s_CF_onion*0.001*(up_Irr!P2+up_Irr!AO2+up_Irr!BN2),".")</f>
        <v>7601.8282595287337</v>
      </c>
      <c r="AR2" s="87">
        <f>IFERROR(s_C*s_IFPC_res_adj*s_CF_peach*0.001*(up_Irr!Q2+up_Irr!AP2+up_Irr!BO2),".")</f>
        <v>7601.8282595287337</v>
      </c>
      <c r="AS2" s="87">
        <f>IFERROR(s_C*s_IFPR_res_adj*s_CF_pear*0.001*(up_Irr!R2+up_Irr!AQ2+up_Irr!BP2),".")</f>
        <v>7601.8282595287337</v>
      </c>
      <c r="AT2" s="87">
        <f>IFERROR(s_C*s_IFPE_res_adj*s_CF_peas*0.001*(up_Irr!S2+up_Irr!AR2+up_Irr!BQ2),".")</f>
        <v>7601.8282595287337</v>
      </c>
      <c r="AU2" s="87">
        <f>IFERROR(s_C*s_IFPP_res_adj*s_CF_peppers*0.001*(up_Irr!T2+up_Irr!AS2+up_Irr!BR2),".")</f>
        <v>7601.8282595287337</v>
      </c>
      <c r="AV2" s="87">
        <f>IFERROR(s_C*s_IFPT_res_adj*s_CF_potato*0.001*(up_Irr!U2+up_Irr!AT2+up_Irr!BS2),".")</f>
        <v>7601.8282595287337</v>
      </c>
      <c r="AW2" s="87">
        <f>IFERROR(s_C*s_IFPU_res_adj*s_CF_pumpkin*0.001*(up_Irr!V2+up_Irr!AU2+up_Irr!BT2),".")</f>
        <v>7601.8282595287337</v>
      </c>
      <c r="AX2" s="87">
        <f>IFERROR(s_C*s_IFSN_res_adj*s_CF_snap_bean*0.001*(up_Irr!W2+up_Irr!AV2+up_Irr!BU2),".")</f>
        <v>7601.8282595287337</v>
      </c>
      <c r="AY2" s="87">
        <f>IFERROR(s_C*s_IFST_res_adj*s_CF_strawberry*0.001*(up_Irr!X2+up_Irr!AW2+up_Irr!BV2),".")</f>
        <v>7601.8282595287337</v>
      </c>
      <c r="AZ2" s="87">
        <f>IFERROR(s_C*s_IFTO_res_adj*s_CF_tomato*0.001*(up_Irr!Y2+up_Irr!AX2+up_Irr!BW2),".")</f>
        <v>7601.8282595287337</v>
      </c>
      <c r="BA2" s="87">
        <f>IFERROR(s_C*s_IFRI_res_adj*s_CF_rice*0.001*(up_Irr!Z2+up_Irr!AY2+up_Irr!BX2),".")</f>
        <v>7601.8282595287337</v>
      </c>
      <c r="BB2" s="87">
        <f>IFERROR(s_C*s_IFCG_res_adj*s_CF_cereal*0.001*(up_Irr!AA2+up_Irr!AZ2+up_Irr!BY2),".")</f>
        <v>7601.8282595287337</v>
      </c>
      <c r="BC2" s="70">
        <f>IFERROR(1/SUM(1/BD2,1/BU2,1/CA2,1/CB2),".")</f>
        <v>1.6443412786038033E-4</v>
      </c>
      <c r="BD2" s="70">
        <f>IFERROR(IF(AND(up_Irr!C2&lt;&gt;".",up_Irr!AB2&lt;&gt;".",up_Irr!BA2&lt;&gt;"."),up_dir!AD2/((1/1000)*(up_Irr!C2+up_Irr!AB2+up_Irr!BA2)),IF(AND(up_Irr!C2&lt;&gt;".",up_Irr!AB2&lt;&gt;".",up_Irr!BA2="."),up_dir!AD2/((1/1000)*(up_Irr!C2+up_Irr!AB2)),IF(AND(up_Irr!C2&lt;&gt;".",up_Irr!AB2=".",up_Irr!BA2&lt;&gt;"."),up_dir!AD2/((1/1000)*(up_Irr!C2+up_Irr!BA2)),IF(AND(up_Irr!C2=".",up_Irr!AB2&lt;&gt;".",up_Irr!BA2&lt;&gt;"."),up_dir!AD2/((1/1000)*(up_Irr!AB2+up_Irr!BA2)),IF(AND(up_Irr!C2=".",up_Irr!AB2=".",up_Irr!BA2&lt;&gt;"."),up_dir!AD2/((1/1000)*(up_Irr!BA2)),IF(AND(up_Irr!C2=".",up_Irr!AB2&lt;&gt;".",up_Irr!BA2="."),up_dir!AD2/((1/1000)*(up_Irr!AB2)),IF(AND(up_Irr!C2&lt;&gt;".",up_Irr!AB2=".",up_Irr!BA2="."),up_dir!AD2/((1/1000)*(up_Irr!C2)),IF(AND(up_Irr!C2=".",up_Irr!AB2=".",up_Irr!BA2="."),up_dir!AD2*1000)))))))),".")</f>
        <v>6.5773651144152131E-4</v>
      </c>
      <c r="BE2" s="70">
        <f>IFERROR(IF(AND(up_Irr!D2&lt;&gt;".",up_Irr!AC2&lt;&gt;".",up_Irr!BB2&lt;&gt;"."),up_dir!AE2/((1/1000)*(up_Irr!D2+up_Irr!AC2+up_Irr!BB2)),IF(AND(up_Irr!D2&lt;&gt;".",up_Irr!AC2&lt;&gt;".",up_Irr!BB2="."),up_dir!AE2/((1/1000)*(up_Irr!D2+up_Irr!AC2)),IF(AND(up_Irr!D2&lt;&gt;".",up_Irr!AC2=".",up_Irr!BB2&lt;&gt;"."),up_dir!AE2/((1/1000)*(up_Irr!D2+up_Irr!BB2)),IF(AND(up_Irr!D2=".",up_Irr!AC2&lt;&gt;".",up_Irr!BB2&lt;&gt;"."),up_dir!AE2/((1/1000)*(up_Irr!AC2+up_Irr!BB2)),IF(AND(up_Irr!D2=".",up_Irr!AC2=".",up_Irr!BB2&lt;&gt;"."),up_dir!AE2/((1/1000)*(up_Irr!BB2)),IF(AND(up_Irr!D2=".",up_Irr!AC2&lt;&gt;".",up_Irr!BB2="."),up_dir!AE2/((1/1000)*(up_Irr!AC2)),IF(AND(up_Irr!D2&lt;&gt;".",up_Irr!AC2=".",up_Irr!BB2="."),up_dir!AE2/((1/1000)*(up_Irr!D2)),IF(AND(up_Irr!D2=".",up_Irr!AC2=".",up_Irr!BB2="."),up_dir!AE2*1000)))))))),".")</f>
        <v>6.5773651144152131E-4</v>
      </c>
      <c r="BF2" s="70">
        <f>IFERROR(IF(AND(up_Irr!E2&lt;&gt;".",up_Irr!AD2&lt;&gt;".",up_Irr!BC2&lt;&gt;"."),up_dir!AF2/((1/1000)*(up_Irr!E2+up_Irr!AD2+up_Irr!BC2)),IF(AND(up_Irr!E2&lt;&gt;".",up_Irr!AD2&lt;&gt;".",up_Irr!BC2="."),up_dir!AF2/((1/1000)*(up_Irr!E2+up_Irr!AD2)),IF(AND(up_Irr!E2&lt;&gt;".",up_Irr!AD2=".",up_Irr!BC2&lt;&gt;"."),up_dir!AF2/((1/1000)*(up_Irr!E2+up_Irr!BC2)),IF(AND(up_Irr!E2=".",up_Irr!AD2&lt;&gt;".",up_Irr!BC2&lt;&gt;"."),up_dir!AF2/((1/1000)*(up_Irr!AD2+up_Irr!BC2)),IF(AND(up_Irr!E2=".",up_Irr!AD2=".",up_Irr!BC2&lt;&gt;"."),up_dir!AF2/((1/1000)*(up_Irr!BC2)),IF(AND(up_Irr!E2=".",up_Irr!AD2&lt;&gt;".",up_Irr!BC2="."),up_dir!AF2/((1/1000)*(up_Irr!AD2)),IF(AND(up_Irr!E2&lt;&gt;".",up_Irr!AD2=".",up_Irr!BC2="."),up_dir!AF2/((1/1000)*(up_Irr!E2)),IF(AND(up_Irr!E2=".",up_Irr!AD2=".",up_Irr!BC2="."),up_dir!AF2*1000)))))))),".")</f>
        <v>6.5773651144152131E-4</v>
      </c>
      <c r="BG2" s="70">
        <f>IFERROR(IF(AND(up_Irr!F2&lt;&gt;".",up_Irr!AE2&lt;&gt;".",up_Irr!BD2&lt;&gt;"."),up_dir!AG2/((1/1000)*(up_Irr!F2+up_Irr!AE2+up_Irr!BD2)),IF(AND(up_Irr!F2&lt;&gt;".",up_Irr!AE2&lt;&gt;".",up_Irr!BD2="."),up_dir!AG2/((1/1000)*(up_Irr!F2+up_Irr!AE2)),IF(AND(up_Irr!F2&lt;&gt;".",up_Irr!AE2=".",up_Irr!BD2&lt;&gt;"."),up_dir!AG2/((1/1000)*(up_Irr!F2+up_Irr!BD2)),IF(AND(up_Irr!F2=".",up_Irr!AE2&lt;&gt;".",up_Irr!BD2&lt;&gt;"."),up_dir!AG2/((1/1000)*(up_Irr!AE2+up_Irr!BD2)),IF(AND(up_Irr!F2=".",up_Irr!AE2=".",up_Irr!BD2&lt;&gt;"."),up_dir!AG2/((1/1000)*(up_Irr!BD2)),IF(AND(up_Irr!F2=".",up_Irr!AE2&lt;&gt;".",up_Irr!BD2="."),up_dir!AG2/((1/1000)*(up_Irr!AE2)),IF(AND(up_Irr!F2&lt;&gt;".",up_Irr!AE2=".",up_Irr!BD2="."),up_dir!AG2/((1/1000)*(up_Irr!F2)),IF(AND(up_Irr!F2=".",up_Irr!AE2=".",up_Irr!BD2="."),up_dir!AG2*1000)))))))),".")</f>
        <v>6.5773651144152131E-4</v>
      </c>
      <c r="BH2" s="70">
        <f>IFERROR(IF(AND(up_Irr!G2&lt;&gt;".",up_Irr!AF2&lt;&gt;".",up_Irr!BE2&lt;&gt;"."),up_dir!AH2/((1/1000)*(up_Irr!G2+up_Irr!AF2+up_Irr!BE2)),IF(AND(up_Irr!G2&lt;&gt;".",up_Irr!AF2&lt;&gt;".",up_Irr!BE2="."),up_dir!AH2/((1/1000)*(up_Irr!G2+up_Irr!AF2)),IF(AND(up_Irr!G2&lt;&gt;".",up_Irr!AF2=".",up_Irr!BE2&lt;&gt;"."),up_dir!AH2/((1/1000)*(up_Irr!G2+up_Irr!BE2)),IF(AND(up_Irr!G2=".",up_Irr!AF2&lt;&gt;".",up_Irr!BE2&lt;&gt;"."),up_dir!AH2/((1/1000)*(up_Irr!AF2+up_Irr!BE2)),IF(AND(up_Irr!G2=".",up_Irr!AF2=".",up_Irr!BE2&lt;&gt;"."),up_dir!AH2/((1/1000)*(up_Irr!BE2)),IF(AND(up_Irr!G2=".",up_Irr!AF2&lt;&gt;".",up_Irr!BE2="."),up_dir!AH2/((1/1000)*(up_Irr!AF2)),IF(AND(up_Irr!G2&lt;&gt;".",up_Irr!AF2=".",up_Irr!BE2="."),up_dir!AH2/((1/1000)*(up_Irr!G2)),IF(AND(up_Irr!G2=".",up_Irr!AF2=".",up_Irr!BE2="."),up_dir!AH2*1000)))))))),".")</f>
        <v>6.5773651144152131E-4</v>
      </c>
      <c r="BI2" s="70">
        <f>IFERROR(IF(AND(up_Irr!H2&lt;&gt;".",up_Irr!AG2&lt;&gt;".",up_Irr!BF2&lt;&gt;"."),up_dir!AI2/((1/1000)*(up_Irr!H2+up_Irr!AG2+up_Irr!BF2)),IF(AND(up_Irr!H2&lt;&gt;".",up_Irr!AG2&lt;&gt;".",up_Irr!BF2="."),up_dir!AI2/((1/1000)*(up_Irr!H2+up_Irr!AG2)),IF(AND(up_Irr!H2&lt;&gt;".",up_Irr!AG2=".",up_Irr!BF2&lt;&gt;"."),up_dir!AI2/((1/1000)*(up_Irr!H2+up_Irr!BF2)),IF(AND(up_Irr!H2=".",up_Irr!AG2&lt;&gt;".",up_Irr!BF2&lt;&gt;"."),up_dir!AI2/((1/1000)*(up_Irr!AG2+up_Irr!BF2)),IF(AND(up_Irr!H2=".",up_Irr!AG2=".",up_Irr!BF2&lt;&gt;"."),up_dir!AI2/((1/1000)*(up_Irr!BF2)),IF(AND(up_Irr!H2=".",up_Irr!AG2&lt;&gt;".",up_Irr!BF2="."),up_dir!AI2/((1/1000)*(up_Irr!AG2)),IF(AND(up_Irr!H2&lt;&gt;".",up_Irr!AG2=".",up_Irr!BF2="."),up_dir!AI2/((1/1000)*(up_Irr!H2)),IF(AND(up_Irr!H2=".",up_Irr!AG2=".",up_Irr!BF2="."),up_dir!AI2*1000)))))))),".")</f>
        <v>6.5773651144152131E-4</v>
      </c>
      <c r="BJ2" s="70">
        <f>IFERROR(IF(AND(up_Irr!I2&lt;&gt;".",up_Irr!AH2&lt;&gt;".",up_Irr!BG2&lt;&gt;"."),up_dir!AJ2/((1/1000)*(up_Irr!I2+up_Irr!AH2+up_Irr!BG2)),IF(AND(up_Irr!I2&lt;&gt;".",up_Irr!AH2&lt;&gt;".",up_Irr!BG2="."),up_dir!AJ2/((1/1000)*(up_Irr!I2+up_Irr!AH2)),IF(AND(up_Irr!I2&lt;&gt;".",up_Irr!AH2=".",up_Irr!BG2&lt;&gt;"."),up_dir!AJ2/((1/1000)*(up_Irr!I2+up_Irr!BG2)),IF(AND(up_Irr!I2=".",up_Irr!AH2&lt;&gt;".",up_Irr!BG2&lt;&gt;"."),up_dir!AJ2/((1/1000)*(up_Irr!AH2+up_Irr!BG2)),IF(AND(up_Irr!I2=".",up_Irr!AH2=".",up_Irr!BG2&lt;&gt;"."),up_dir!AJ2/((1/1000)*(up_Irr!BG2)),IF(AND(up_Irr!I2=".",up_Irr!AH2&lt;&gt;".",up_Irr!BG2="."),up_dir!AJ2/((1/1000)*(up_Irr!AH2)),IF(AND(up_Irr!I2&lt;&gt;".",up_Irr!AH2=".",up_Irr!BG2="."),up_dir!AJ2/((1/1000)*(up_Irr!I2)),IF(AND(up_Irr!I2=".",up_Irr!AH2=".",up_Irr!BG2="."),up_dir!AJ2*1000)))))))),".")</f>
        <v>6.5773651144152131E-4</v>
      </c>
      <c r="BK2" s="70">
        <f>IFERROR(IF(AND(up_Irr!J2&lt;&gt;".",up_Irr!AI2&lt;&gt;".",up_Irr!BH2&lt;&gt;"."),up_dir!AK2/((1/1000)*(up_Irr!J2+up_Irr!AI2+up_Irr!BH2)),IF(AND(up_Irr!J2&lt;&gt;".",up_Irr!AI2&lt;&gt;".",up_Irr!BH2="."),up_dir!AK2/((1/1000)*(up_Irr!J2+up_Irr!AI2)),IF(AND(up_Irr!J2&lt;&gt;".",up_Irr!AI2=".",up_Irr!BH2&lt;&gt;"."),up_dir!AK2/((1/1000)*(up_Irr!J2+up_Irr!BH2)),IF(AND(up_Irr!J2=".",up_Irr!AI2&lt;&gt;".",up_Irr!BH2&lt;&gt;"."),up_dir!AK2/((1/1000)*(up_Irr!AI2+up_Irr!BH2)),IF(AND(up_Irr!J2=".",up_Irr!AI2=".",up_Irr!BH2&lt;&gt;"."),up_dir!AK2/((1/1000)*(up_Irr!BH2)),IF(AND(up_Irr!J2=".",up_Irr!AI2&lt;&gt;".",up_Irr!BH2="."),up_dir!AK2/((1/1000)*(up_Irr!AI2)),IF(AND(up_Irr!J2&lt;&gt;".",up_Irr!AI2=".",up_Irr!BH2="."),up_dir!AK2/((1/1000)*(up_Irr!J2)),IF(AND(up_Irr!J2=".",up_Irr!AI2=".",up_Irr!BH2="."),up_dir!AK2*1000)))))))),".")</f>
        <v>6.5773651144152131E-4</v>
      </c>
      <c r="BL2" s="70">
        <f>IFERROR(IF(AND(up_Irr!K2&lt;&gt;".",up_Irr!AJ2&lt;&gt;".",up_Irr!BI2&lt;&gt;"."),up_dir!AL2/((1/1000)*(up_Irr!K2+up_Irr!AJ2+up_Irr!BI2)),IF(AND(up_Irr!K2&lt;&gt;".",up_Irr!AJ2&lt;&gt;".",up_Irr!BI2="."),up_dir!AL2/((1/1000)*(up_Irr!K2+up_Irr!AJ2)),IF(AND(up_Irr!K2&lt;&gt;".",up_Irr!AJ2=".",up_Irr!BI2&lt;&gt;"."),up_dir!AL2/((1/1000)*(up_Irr!K2+up_Irr!BI2)),IF(AND(up_Irr!K2=".",up_Irr!AJ2&lt;&gt;".",up_Irr!BI2&lt;&gt;"."),up_dir!AL2/((1/1000)*(up_Irr!AJ2+up_Irr!BI2)),IF(AND(up_Irr!K2=".",up_Irr!AJ2=".",up_Irr!BI2&lt;&gt;"."),up_dir!AL2/((1/1000)*(up_Irr!BI2)),IF(AND(up_Irr!K2=".",up_Irr!AJ2&lt;&gt;".",up_Irr!BI2="."),up_dir!AL2/((1/1000)*(up_Irr!AJ2)),IF(AND(up_Irr!K2&lt;&gt;".",up_Irr!AJ2=".",up_Irr!BI2="."),up_dir!AL2/((1/1000)*(up_Irr!K2)),IF(AND(up_Irr!K2=".",up_Irr!AJ2=".",up_Irr!BI2="."),up_dir!AL2*1000)))))))),".")</f>
        <v>6.5773651144152131E-4</v>
      </c>
      <c r="BM2" s="70">
        <f>IFERROR(IF(AND(up_Irr!L2&lt;&gt;".",up_Irr!AK2&lt;&gt;".",up_Irr!BJ2&lt;&gt;"."),up_dir!AM2/((1/1000)*(up_Irr!L2+up_Irr!AK2+up_Irr!BJ2)),IF(AND(up_Irr!L2&lt;&gt;".",up_Irr!AK2&lt;&gt;".",up_Irr!BJ2="."),up_dir!AM2/((1/1000)*(up_Irr!L2+up_Irr!AK2)),IF(AND(up_Irr!L2&lt;&gt;".",up_Irr!AK2=".",up_Irr!BJ2&lt;&gt;"."),up_dir!AM2/((1/1000)*(up_Irr!L2+up_Irr!BJ2)),IF(AND(up_Irr!L2=".",up_Irr!AK2&lt;&gt;".",up_Irr!BJ2&lt;&gt;"."),up_dir!AM2/((1/1000)*(up_Irr!AK2+up_Irr!BJ2)),IF(AND(up_Irr!L2=".",up_Irr!AK2=".",up_Irr!BJ2&lt;&gt;"."),up_dir!AM2/((1/1000)*(up_Irr!BJ2)),IF(AND(up_Irr!L2=".",up_Irr!AK2&lt;&gt;".",up_Irr!BJ2="."),up_dir!AM2/((1/1000)*(up_Irr!AK2)),IF(AND(up_Irr!L2&lt;&gt;".",up_Irr!AK2=".",up_Irr!BJ2="."),up_dir!AM2/((1/1000)*(up_Irr!L2)),IF(AND(up_Irr!L2=".",up_Irr!AK2=".",up_Irr!BJ2="."),up_dir!AM2*1000)))))))),".")</f>
        <v>6.5773651144152131E-4</v>
      </c>
      <c r="BN2" s="70">
        <f>IFERROR(IF(AND(up_Irr!M2&lt;&gt;".",up_Irr!AL2&lt;&gt;".",up_Irr!BK2&lt;&gt;"."),up_dir!AN2/((1/1000)*(up_Irr!M2+up_Irr!AL2+up_Irr!BK2)),IF(AND(up_Irr!M2&lt;&gt;".",up_Irr!AL2&lt;&gt;".",up_Irr!BK2="."),up_dir!AN2/((1/1000)*(up_Irr!M2+up_Irr!AL2)),IF(AND(up_Irr!M2&lt;&gt;".",up_Irr!AL2=".",up_Irr!BK2&lt;&gt;"."),up_dir!AN2/((1/1000)*(up_Irr!M2+up_Irr!BK2)),IF(AND(up_Irr!M2=".",up_Irr!AL2&lt;&gt;".",up_Irr!BK2&lt;&gt;"."),up_dir!AN2/((1/1000)*(up_Irr!AL2+up_Irr!BK2)),IF(AND(up_Irr!M2=".",up_Irr!AL2=".",up_Irr!BK2&lt;&gt;"."),up_dir!AN2/((1/1000)*(up_Irr!BK2)),IF(AND(up_Irr!M2=".",up_Irr!AL2&lt;&gt;".",up_Irr!BK2="."),up_dir!AN2/((1/1000)*(up_Irr!AL2)),IF(AND(up_Irr!M2&lt;&gt;".",up_Irr!AL2=".",up_Irr!BK2="."),up_dir!AN2/((1/1000)*(up_Irr!M2)),IF(AND(up_Irr!M2=".",up_Irr!AL2=".",up_Irr!BK2="."),up_dir!AN2*1000)))))))),".")</f>
        <v>6.5773651144152131E-4</v>
      </c>
      <c r="BO2" s="70">
        <f>IFERROR(IF(AND(up_Irr!N2&lt;&gt;".",up_Irr!AM2&lt;&gt;".",up_Irr!BL2&lt;&gt;"."),up_dir!AO2/((1/1000)*(up_Irr!N2+up_Irr!AM2+up_Irr!BL2)),IF(AND(up_Irr!N2&lt;&gt;".",up_Irr!AM2&lt;&gt;".",up_Irr!BL2="."),up_dir!AO2/((1/1000)*(up_Irr!N2+up_Irr!AM2)),IF(AND(up_Irr!N2&lt;&gt;".",up_Irr!AM2=".",up_Irr!BL2&lt;&gt;"."),up_dir!AO2/((1/1000)*(up_Irr!N2+up_Irr!BL2)),IF(AND(up_Irr!N2=".",up_Irr!AM2&lt;&gt;".",up_Irr!BL2&lt;&gt;"."),up_dir!AO2/((1/1000)*(up_Irr!AM2+up_Irr!BL2)),IF(AND(up_Irr!N2=".",up_Irr!AM2=".",up_Irr!BL2&lt;&gt;"."),up_dir!AO2/((1/1000)*(up_Irr!BL2)),IF(AND(up_Irr!N2=".",up_Irr!AM2&lt;&gt;".",up_Irr!BL2="."),up_dir!AO2/((1/1000)*(up_Irr!AM2)),IF(AND(up_Irr!N2&lt;&gt;".",up_Irr!AM2=".",up_Irr!BL2="."),up_dir!AO2/((1/1000)*(up_Irr!N2)),IF(AND(up_Irr!N2=".",up_Irr!AM2=".",up_Irr!BL2="."),up_dir!AO2*1000)))))))),".")</f>
        <v>6.5773651144152131E-4</v>
      </c>
      <c r="BP2" s="70">
        <f>IFERROR(IF(AND(up_Irr!O2&lt;&gt;".",up_Irr!AN2&lt;&gt;".",up_Irr!BM2&lt;&gt;"."),up_dir!AP2/((1/1000)*(up_Irr!O2+up_Irr!AN2+up_Irr!BM2)),IF(AND(up_Irr!O2&lt;&gt;".",up_Irr!AN2&lt;&gt;".",up_Irr!BM2="."),up_dir!AP2/((1/1000)*(up_Irr!O2+up_Irr!AN2)),IF(AND(up_Irr!O2&lt;&gt;".",up_Irr!AN2=".",up_Irr!BM2&lt;&gt;"."),up_dir!AP2/((1/1000)*(up_Irr!O2+up_Irr!BM2)),IF(AND(up_Irr!O2=".",up_Irr!AN2&lt;&gt;".",up_Irr!BM2&lt;&gt;"."),up_dir!AP2/((1/1000)*(up_Irr!AN2+up_Irr!BM2)),IF(AND(up_Irr!O2=".",up_Irr!AN2=".",up_Irr!BM2&lt;&gt;"."),up_dir!AP2/((1/1000)*(up_Irr!BM2)),IF(AND(up_Irr!O2=".",up_Irr!AN2&lt;&gt;".",up_Irr!BM2="."),up_dir!AP2/((1/1000)*(up_Irr!AN2)),IF(AND(up_Irr!O2&lt;&gt;".",up_Irr!AN2=".",up_Irr!BM2="."),up_dir!AP2/((1/1000)*(up_Irr!O2)),IF(AND(up_Irr!O2=".",up_Irr!AN2=".",up_Irr!BM2="."),up_dir!AP2*1000)))))))),".")</f>
        <v>6.5773651144152131E-4</v>
      </c>
      <c r="BQ2" s="70">
        <f>IFERROR(IF(AND(up_Irr!P2&lt;&gt;".",up_Irr!AO2&lt;&gt;".",up_Irr!BN2&lt;&gt;"."),up_dir!AQ2/((1/1000)*(up_Irr!P2+up_Irr!AO2+up_Irr!BN2)),IF(AND(up_Irr!P2&lt;&gt;".",up_Irr!AO2&lt;&gt;".",up_Irr!BN2="."),up_dir!AQ2/((1/1000)*(up_Irr!P2+up_Irr!AO2)),IF(AND(up_Irr!P2&lt;&gt;".",up_Irr!AO2=".",up_Irr!BN2&lt;&gt;"."),up_dir!AQ2/((1/1000)*(up_Irr!P2+up_Irr!BN2)),IF(AND(up_Irr!P2=".",up_Irr!AO2&lt;&gt;".",up_Irr!BN2&lt;&gt;"."),up_dir!AQ2/((1/1000)*(up_Irr!AO2+up_Irr!BN2)),IF(AND(up_Irr!P2=".",up_Irr!AO2=".",up_Irr!BN2&lt;&gt;"."),up_dir!AQ2/((1/1000)*(up_Irr!BN2)),IF(AND(up_Irr!P2=".",up_Irr!AO2&lt;&gt;".",up_Irr!BN2="."),up_dir!AQ2/((1/1000)*(up_Irr!AO2)),IF(AND(up_Irr!P2&lt;&gt;".",up_Irr!AO2=".",up_Irr!BN2="."),up_dir!AQ2/((1/1000)*(up_Irr!P2)),IF(AND(up_Irr!P2=".",up_Irr!AO2=".",up_Irr!BN2="."),up_dir!AQ2*1000)))))))),".")</f>
        <v>6.5773651144152131E-4</v>
      </c>
      <c r="BR2" s="70">
        <f>IFERROR(IF(AND(up_Irr!Q2&lt;&gt;".",up_Irr!AP2&lt;&gt;".",up_Irr!BO2&lt;&gt;"."),up_dir!AR2/((1/1000)*(up_Irr!Q2+up_Irr!AP2+up_Irr!BO2)),IF(AND(up_Irr!Q2&lt;&gt;".",up_Irr!AP2&lt;&gt;".",up_Irr!BO2="."),up_dir!AR2/((1/1000)*(up_Irr!Q2+up_Irr!AP2)),IF(AND(up_Irr!Q2&lt;&gt;".",up_Irr!AP2=".",up_Irr!BO2&lt;&gt;"."),up_dir!AR2/((1/1000)*(up_Irr!Q2+up_Irr!BO2)),IF(AND(up_Irr!Q2=".",up_Irr!AP2&lt;&gt;".",up_Irr!BO2&lt;&gt;"."),up_dir!AR2/((1/1000)*(up_Irr!AP2+up_Irr!BO2)),IF(AND(up_Irr!Q2=".",up_Irr!AP2=".",up_Irr!BO2&lt;&gt;"."),up_dir!AR2/((1/1000)*(up_Irr!BO2)),IF(AND(up_Irr!Q2=".",up_Irr!AP2&lt;&gt;".",up_Irr!BO2="."),up_dir!AR2/((1/1000)*(up_Irr!AP2)),IF(AND(up_Irr!Q2&lt;&gt;".",up_Irr!AP2=".",up_Irr!BO2="."),up_dir!AR2/((1/1000)*(up_Irr!Q2)),IF(AND(up_Irr!Q2=".",up_Irr!AP2=".",up_Irr!BO2="."),up_dir!AR2*1000)))))))),".")</f>
        <v>6.5773651144152131E-4</v>
      </c>
      <c r="BS2" s="70">
        <f>IFERROR(IF(AND(up_Irr!R2&lt;&gt;".",up_Irr!AQ2&lt;&gt;".",up_Irr!BP2&lt;&gt;"."),up_dir!AS2/((1/1000)*(up_Irr!R2+up_Irr!AQ2+up_Irr!BP2)),IF(AND(up_Irr!R2&lt;&gt;".",up_Irr!AQ2&lt;&gt;".",up_Irr!BP2="."),up_dir!AS2/((1/1000)*(up_Irr!R2+up_Irr!AQ2)),IF(AND(up_Irr!R2&lt;&gt;".",up_Irr!AQ2=".",up_Irr!BP2&lt;&gt;"."),up_dir!AS2/((1/1000)*(up_Irr!R2+up_Irr!BP2)),IF(AND(up_Irr!R2=".",up_Irr!AQ2&lt;&gt;".",up_Irr!BP2&lt;&gt;"."),up_dir!AS2/((1/1000)*(up_Irr!AQ2+up_Irr!BP2)),IF(AND(up_Irr!R2=".",up_Irr!AQ2=".",up_Irr!BP2&lt;&gt;"."),up_dir!AS2/((1/1000)*(up_Irr!BP2)),IF(AND(up_Irr!R2=".",up_Irr!AQ2&lt;&gt;".",up_Irr!BP2="."),up_dir!AS2/((1/1000)*(up_Irr!AQ2)),IF(AND(up_Irr!R2&lt;&gt;".",up_Irr!AQ2=".",up_Irr!BP2="."),up_dir!AS2/((1/1000)*(up_Irr!R2)),IF(AND(up_Irr!R2=".",up_Irr!AQ2=".",up_Irr!BP2="."),up_dir!AS2*1000)))))))),".")</f>
        <v>6.5773651144152131E-4</v>
      </c>
      <c r="BT2" s="70">
        <f>IFERROR(IF(AND(up_Irr!S2&lt;&gt;".",up_Irr!AR2&lt;&gt;".",up_Irr!BQ2&lt;&gt;"."),up_dir!AT2/((1/1000)*(up_Irr!S2+up_Irr!AR2+up_Irr!BQ2)),IF(AND(up_Irr!S2&lt;&gt;".",up_Irr!AR2&lt;&gt;".",up_Irr!BQ2="."),up_dir!AT2/((1/1000)*(up_Irr!S2+up_Irr!AR2)),IF(AND(up_Irr!S2&lt;&gt;".",up_Irr!AR2=".",up_Irr!BQ2&lt;&gt;"."),up_dir!AT2/((1/1000)*(up_Irr!S2+up_Irr!BQ2)),IF(AND(up_Irr!S2=".",up_Irr!AR2&lt;&gt;".",up_Irr!BQ2&lt;&gt;"."),up_dir!AT2/((1/1000)*(up_Irr!AR2+up_Irr!BQ2)),IF(AND(up_Irr!S2=".",up_Irr!AR2=".",up_Irr!BQ2&lt;&gt;"."),up_dir!AT2/((1/1000)*(up_Irr!BQ2)),IF(AND(up_Irr!S2=".",up_Irr!AR2&lt;&gt;".",up_Irr!BQ2="."),up_dir!AT2/((1/1000)*(up_Irr!AR2)),IF(AND(up_Irr!S2&lt;&gt;".",up_Irr!AR2=".",up_Irr!BQ2="."),up_dir!AT2/((1/1000)*(up_Irr!S2)),IF(AND(up_Irr!S2=".",up_Irr!AR2=".",up_Irr!BQ2="."),up_dir!AT2*1000)))))))),".")</f>
        <v>6.5773651144152131E-4</v>
      </c>
      <c r="BU2" s="70">
        <f>IFERROR(IF(AND(up_Irr!T2&lt;&gt;".",up_Irr!AS2&lt;&gt;".",up_Irr!BR2&lt;&gt;"."),up_dir!AU2/((1/1000)*(up_Irr!T2+up_Irr!AS2+up_Irr!BR2)),IF(AND(up_Irr!T2&lt;&gt;".",up_Irr!AS2&lt;&gt;".",up_Irr!BR2="."),up_dir!AU2/((1/1000)*(up_Irr!T2+up_Irr!AS2)),IF(AND(up_Irr!T2&lt;&gt;".",up_Irr!AS2=".",up_Irr!BR2&lt;&gt;"."),up_dir!AU2/((1/1000)*(up_Irr!T2+up_Irr!BR2)),IF(AND(up_Irr!T2=".",up_Irr!AS2&lt;&gt;".",up_Irr!BR2&lt;&gt;"."),up_dir!AU2/((1/1000)*(up_Irr!AS2+up_Irr!BR2)),IF(AND(up_Irr!T2=".",up_Irr!AS2=".",up_Irr!BR2&lt;&gt;"."),up_dir!AU2/((1/1000)*(up_Irr!BR2)),IF(AND(up_Irr!T2=".",up_Irr!AS2&lt;&gt;".",up_Irr!BR2="."),up_dir!AU2/((1/1000)*(up_Irr!AS2)),IF(AND(up_Irr!T2&lt;&gt;".",up_Irr!AS2=".",up_Irr!BR2="."),up_dir!AU2/((1/1000)*(up_Irr!T2)),IF(AND(up_Irr!T2=".",up_Irr!AS2=".",up_Irr!BR2="."),up_dir!AU2*1000)))))))),".")</f>
        <v>6.5773651144152131E-4</v>
      </c>
      <c r="BV2" s="70">
        <f>IFERROR(IF(AND(up_Irr!U2&lt;&gt;".",up_Irr!AT2&lt;&gt;".",up_Irr!BS2&lt;&gt;"."),up_dir!AV2/((1/1000)*(up_Irr!U2+up_Irr!AT2+up_Irr!BS2)),IF(AND(up_Irr!U2&lt;&gt;".",up_Irr!AT2&lt;&gt;".",up_Irr!BS2="."),up_dir!AV2/((1/1000)*(up_Irr!U2+up_Irr!AT2)),IF(AND(up_Irr!U2&lt;&gt;".",up_Irr!AT2=".",up_Irr!BS2&lt;&gt;"."),up_dir!AV2/((1/1000)*(up_Irr!U2+up_Irr!BS2)),IF(AND(up_Irr!U2=".",up_Irr!AT2&lt;&gt;".",up_Irr!BS2&lt;&gt;"."),up_dir!AV2/((1/1000)*(up_Irr!AT2+up_Irr!BS2)),IF(AND(up_Irr!U2=".",up_Irr!AT2=".",up_Irr!BS2&lt;&gt;"."),up_dir!AV2/((1/1000)*(up_Irr!BS2)),IF(AND(up_Irr!U2=".",up_Irr!AT2&lt;&gt;".",up_Irr!BS2="."),up_dir!AV2/((1/1000)*(up_Irr!AT2)),IF(AND(up_Irr!U2&lt;&gt;".",up_Irr!AT2=".",up_Irr!BS2="."),up_dir!AV2/((1/1000)*(up_Irr!U2)),IF(AND(up_Irr!U2=".",up_Irr!AT2=".",up_Irr!BS2="."),up_dir!AV2*1000)))))))),".")</f>
        <v>6.5773651144152131E-4</v>
      </c>
      <c r="BW2" s="70">
        <f>IFERROR(IF(AND(up_Irr!V2&lt;&gt;".",up_Irr!AU2&lt;&gt;".",up_Irr!BT2&lt;&gt;"."),up_dir!AW2/((1/1000)*(up_Irr!V2+up_Irr!AU2+up_Irr!BT2)),IF(AND(up_Irr!V2&lt;&gt;".",up_Irr!AU2&lt;&gt;".",up_Irr!BT2="."),up_dir!AW2/((1/1000)*(up_Irr!V2+up_Irr!AU2)),IF(AND(up_Irr!V2&lt;&gt;".",up_Irr!AU2=".",up_Irr!BT2&lt;&gt;"."),up_dir!AW2/((1/1000)*(up_Irr!V2+up_Irr!BT2)),IF(AND(up_Irr!V2=".",up_Irr!AU2&lt;&gt;".",up_Irr!BT2&lt;&gt;"."),up_dir!AW2/((1/1000)*(up_Irr!AU2+up_Irr!BT2)),IF(AND(up_Irr!V2=".",up_Irr!AU2=".",up_Irr!BT2&lt;&gt;"."),up_dir!AW2/((1/1000)*(up_Irr!BT2)),IF(AND(up_Irr!V2=".",up_Irr!AU2&lt;&gt;".",up_Irr!BT2="."),up_dir!AW2/((1/1000)*(up_Irr!AU2)),IF(AND(up_Irr!V2&lt;&gt;".",up_Irr!AU2=".",up_Irr!BT2="."),up_dir!AW2/((1/1000)*(up_Irr!V2)),IF(AND(up_Irr!V2=".",up_Irr!AU2=".",up_Irr!BT2="."),up_dir!AW2*1000)))))))),".")</f>
        <v>6.5773651144152131E-4</v>
      </c>
      <c r="BX2" s="70">
        <f>IFERROR(IF(AND(up_Irr!W2&lt;&gt;".",up_Irr!AV2&lt;&gt;".",up_Irr!BU2&lt;&gt;"."),up_dir!AX2/((1/1000)*(up_Irr!W2+up_Irr!AV2+up_Irr!BU2)),IF(AND(up_Irr!W2&lt;&gt;".",up_Irr!AV2&lt;&gt;".",up_Irr!BU2="."),up_dir!AX2/((1/1000)*(up_Irr!W2+up_Irr!AV2)),IF(AND(up_Irr!W2&lt;&gt;".",up_Irr!AV2=".",up_Irr!BU2&lt;&gt;"."),up_dir!AX2/((1/1000)*(up_Irr!W2+up_Irr!BU2)),IF(AND(up_Irr!W2=".",up_Irr!AV2&lt;&gt;".",up_Irr!BU2&lt;&gt;"."),up_dir!AX2/((1/1000)*(up_Irr!AV2+up_Irr!BU2)),IF(AND(up_Irr!W2=".",up_Irr!AV2=".",up_Irr!BU2&lt;&gt;"."),up_dir!AX2/((1/1000)*(up_Irr!BU2)),IF(AND(up_Irr!W2=".",up_Irr!AV2&lt;&gt;".",up_Irr!BU2="."),up_dir!AX2/((1/1000)*(up_Irr!AV2)),IF(AND(up_Irr!W2&lt;&gt;".",up_Irr!AV2=".",up_Irr!BU2="."),up_dir!AX2/((1/1000)*(up_Irr!W2)),IF(AND(up_Irr!W2=".",up_Irr!AV2=".",up_Irr!BU2="."),up_dir!AX2*1000)))))))),".")</f>
        <v>6.5773651144152131E-4</v>
      </c>
      <c r="BY2" s="70">
        <f>IFERROR(IF(AND(up_Irr!X2&lt;&gt;".",up_Irr!AW2&lt;&gt;".",up_Irr!BV2&lt;&gt;"."),up_dir!AY2/((1/1000)*(up_Irr!X2+up_Irr!AW2+up_Irr!BV2)),IF(AND(up_Irr!X2&lt;&gt;".",up_Irr!AW2&lt;&gt;".",up_Irr!BV2="."),up_dir!AY2/((1/1000)*(up_Irr!X2+up_Irr!AW2)),IF(AND(up_Irr!X2&lt;&gt;".",up_Irr!AW2=".",up_Irr!BV2&lt;&gt;"."),up_dir!AY2/((1/1000)*(up_Irr!X2+up_Irr!BV2)),IF(AND(up_Irr!X2=".",up_Irr!AW2&lt;&gt;".",up_Irr!BV2&lt;&gt;"."),up_dir!AY2/((1/1000)*(up_Irr!AW2+up_Irr!BV2)),IF(AND(up_Irr!X2=".",up_Irr!AW2=".",up_Irr!BV2&lt;&gt;"."),up_dir!AY2/((1/1000)*(up_Irr!BV2)),IF(AND(up_Irr!X2=".",up_Irr!AW2&lt;&gt;".",up_Irr!BV2="."),up_dir!AY2/((1/1000)*(up_Irr!AW2)),IF(AND(up_Irr!X2&lt;&gt;".",up_Irr!AW2=".",up_Irr!BV2="."),up_dir!AY2/((1/1000)*(up_Irr!X2)),IF(AND(up_Irr!X2=".",up_Irr!AW2=".",up_Irr!BV2="."),up_dir!AY2*1000)))))))),".")</f>
        <v>6.5773651144152131E-4</v>
      </c>
      <c r="BZ2" s="70">
        <f>IFERROR(IF(AND(up_Irr!Y2&lt;&gt;".",up_Irr!AX2&lt;&gt;".",up_Irr!BW2&lt;&gt;"."),up_dir!AZ2/((1/1000)*(up_Irr!Y2+up_Irr!AX2+up_Irr!BW2)),IF(AND(up_Irr!Y2&lt;&gt;".",up_Irr!AX2&lt;&gt;".",up_Irr!BW2="."),up_dir!AZ2/((1/1000)*(up_Irr!Y2+up_Irr!AX2)),IF(AND(up_Irr!Y2&lt;&gt;".",up_Irr!AX2=".",up_Irr!BW2&lt;&gt;"."),up_dir!AZ2/((1/1000)*(up_Irr!Y2+up_Irr!BW2)),IF(AND(up_Irr!Y2=".",up_Irr!AX2&lt;&gt;".",up_Irr!BW2&lt;&gt;"."),up_dir!AZ2/((1/1000)*(up_Irr!AX2+up_Irr!BW2)),IF(AND(up_Irr!Y2=".",up_Irr!AX2=".",up_Irr!BW2&lt;&gt;"."),up_dir!AZ2/((1/1000)*(up_Irr!BW2)),IF(AND(up_Irr!Y2=".",up_Irr!AX2&lt;&gt;".",up_Irr!BW2="."),up_dir!AZ2/((1/1000)*(up_Irr!AX2)),IF(AND(up_Irr!Y2&lt;&gt;".",up_Irr!AX2=".",up_Irr!BW2="."),up_dir!AZ2/((1/1000)*(up_Irr!Y2)),IF(AND(up_Irr!Y2=".",up_Irr!AX2=".",up_Irr!BW2="."),up_dir!AZ2*1000)))))))),".")</f>
        <v>6.5773651144152131E-4</v>
      </c>
      <c r="CA2" s="70">
        <f>IFERROR(IF(AND(up_Irr!Z2&lt;&gt;".",up_Irr!AY2&lt;&gt;".",up_Irr!BX2&lt;&gt;"."),up_dir!BA2/((1/1000)*(up_Irr!Z2+up_Irr!AY2+up_Irr!BX2)),IF(AND(up_Irr!Z2&lt;&gt;".",up_Irr!AY2&lt;&gt;".",up_Irr!BX2="."),up_dir!BA2/((1/1000)*(up_Irr!Z2+up_Irr!AY2)),IF(AND(up_Irr!Z2&lt;&gt;".",up_Irr!AY2=".",up_Irr!BX2&lt;&gt;"."),up_dir!BA2/((1/1000)*(up_Irr!Z2+up_Irr!BX2)),IF(AND(up_Irr!Z2=".",up_Irr!AY2&lt;&gt;".",up_Irr!BX2&lt;&gt;"."),up_dir!BA2/((1/1000)*(up_Irr!AY2+up_Irr!BX2)),IF(AND(up_Irr!Z2=".",up_Irr!AY2=".",up_Irr!BX2&lt;&gt;"."),up_dir!BA2/((1/1000)*(up_Irr!BX2)),IF(AND(up_Irr!Z2=".",up_Irr!AY2&lt;&gt;".",up_Irr!BX2="."),up_dir!BA2/((1/1000)*(up_Irr!AY2)),IF(AND(up_Irr!Z2&lt;&gt;".",up_Irr!AY2=".",up_Irr!BX2="."),up_dir!BA2/((1/1000)*(up_Irr!Z2)),IF(AND(up_Irr!Z2=".",up_Irr!AY2=".",up_Irr!BX2="."),up_dir!BA2*1000)))))))),".")</f>
        <v>6.5773651144152131E-4</v>
      </c>
      <c r="CB2" s="70">
        <f>IFERROR(IF(AND(up_Irr!AA2&lt;&gt;".",up_Irr!AZ2&lt;&gt;".",up_Irr!BY2&lt;&gt;"."),up_dir!BB2/((1/1000)*(up_Irr!AA2+up_Irr!AZ2+up_Irr!BY2)),IF(AND(up_Irr!AA2&lt;&gt;".",up_Irr!AZ2&lt;&gt;".",up_Irr!BY2="."),up_dir!BB2/((1/1000)*(up_Irr!AA2+up_Irr!AZ2)),IF(AND(up_Irr!AA2&lt;&gt;".",up_Irr!AZ2=".",up_Irr!BY2&lt;&gt;"."),up_dir!BB2/((1/1000)*(up_Irr!AA2+up_Irr!BY2)),IF(AND(up_Irr!AA2=".",up_Irr!AZ2&lt;&gt;".",up_Irr!BY2&lt;&gt;"."),up_dir!BB2/((1/1000)*(up_Irr!AZ2+up_Irr!BY2)),IF(AND(up_Irr!AA2=".",up_Irr!AZ2=".",up_Irr!BY2&lt;&gt;"."),up_dir!BB2/((1/1000)*(up_Irr!BY2)),IF(AND(up_Irr!AA2=".",up_Irr!AZ2&lt;&gt;".",up_Irr!BY2="."),up_dir!BB2/((1/1000)*(up_Irr!AZ2)),IF(AND(up_Irr!AA2&lt;&gt;".",up_Irr!AZ2=".",up_Irr!BY2="."),up_dir!BB2/((1/1000)*(up_Irr!AA2)),IF(AND(up_Irr!AA2=".",up_Irr!AZ2=".",up_Irr!BY2="."),up_dir!BB2*1000)))))))),".")</f>
        <v>6.5773651144152131E-4</v>
      </c>
      <c r="CC2" s="87">
        <f>SUM(CD2,CU2,DA2:DB2)</f>
        <v>30407.313038114935</v>
      </c>
      <c r="CD2" s="87">
        <f>IFERROR(s_C*s_IFAP_far_adj*s_CF_apple*(1/1000)*(up_Irr!C2+up_Irr!AB2+up_Irr!BA2),".")</f>
        <v>7601.8282595287337</v>
      </c>
      <c r="CE2" s="87">
        <f>IFERROR(s_C*s_IFAS_far_adj*s_CF_asparagus*(1/1000)*(up_Irr!D2+up_Irr!AC2+up_Irr!BB2),".")</f>
        <v>7601.8282595287337</v>
      </c>
      <c r="CF2" s="87">
        <f>IFERROR(s_C*s_IFBT_far_adj*s_CF_beet*(1/1000)*(up_Irr!E2+up_Irr!AD2+up_Irr!BC2),".")</f>
        <v>7601.8282595287337</v>
      </c>
      <c r="CG2" s="87">
        <f>IFERROR(s_C*s_IFBE_far_adj*s_CF_berries*(1/1000)*(up_Irr!F2+up_Irr!AE2+up_Irr!BD2),".")</f>
        <v>7601.8282595287337</v>
      </c>
      <c r="CH2" s="87">
        <f>IFERROR(s_C*s_IFBR_far_adj*s_CF_broccoli*(1/1000)*(up_Irr!G2+up_Irr!AF2+up_Irr!BE2),".")</f>
        <v>7601.8282595287337</v>
      </c>
      <c r="CI2" s="87">
        <f>IFERROR(s_C*s_IFCB_far_adj*s_CF_cabbage*(1/1000)*(up_Irr!H2+up_Irr!AG2+up_Irr!BF2),".")</f>
        <v>7601.8282595287337</v>
      </c>
      <c r="CJ2" s="87">
        <f>IFERROR(s_C*s_IFCR_far_adj*s_CF_carrot*(1/1000)*(up_Irr!I2+up_Irr!AH2+up_Irr!BG2),".")</f>
        <v>7601.8282595287337</v>
      </c>
      <c r="CK2" s="87">
        <f>IFERROR(s_C*s_IFCI_far_adj*s_CF_citrus*(1/1000)*(up_Irr!J2+up_Irr!AI2+up_Irr!BH2),".")</f>
        <v>7601.8282595287337</v>
      </c>
      <c r="CL2" s="87">
        <f>IFERROR(s_C*s_IFCO_far_adj*s_CF_corn*(1/1000)*(up_Irr!K2+up_Irr!AJ2+up_Irr!BI2),".")</f>
        <v>7601.8282595287337</v>
      </c>
      <c r="CM2" s="87">
        <f>IFERROR(s_C*s_IFCU_far_adj*s_CF_cucumber*(1/1000)*(up_Irr!L2+up_Irr!AK2+up_Irr!BJ2),".")</f>
        <v>7601.8282595287337</v>
      </c>
      <c r="CN2" s="87">
        <f>IFERROR(s_C*s_IFLE_far_adj*s_CF_lettuce*(1/1000)*(up_Irr!M2+up_Irr!AL2+up_Irr!BK2),".")</f>
        <v>7601.8282595287337</v>
      </c>
      <c r="CO2" s="87">
        <f>IFERROR(s_C*s_IFLI_far_adj*s_CF_lima_bean*(1/1000)*(up_Irr!N2+up_Irr!AM2+up_Irr!BL2),".")</f>
        <v>7601.8282595287337</v>
      </c>
      <c r="CP2" s="87">
        <f>IFERROR(s_C*s_IFOK_far_adj*s_CF_okra*(1/1000)*(up_Irr!O2+up_Irr!AN2+up_Irr!BM2),".")</f>
        <v>7601.8282595287337</v>
      </c>
      <c r="CQ2" s="87">
        <f>IFERROR(s_C*s_IFON_far_adj*s_CF_onion*(1/1000)*(up_Irr!P2+up_Irr!AO2+up_Irr!BN2),".")</f>
        <v>7601.8282595287337</v>
      </c>
      <c r="CR2" s="87">
        <f>IFERROR(s_C*s_IFPC_far_adj*s_CF_peach*(1/1000)*(up_Irr!Q2+up_Irr!AP2+up_Irr!BO2),".")</f>
        <v>7601.8282595287337</v>
      </c>
      <c r="CS2" s="87">
        <f>IFERROR(s_C*s_IFPR_far_adj*s_CF_pear*(1/1000)*(up_Irr!R2+up_Irr!AQ2+up_Irr!BP2),".")</f>
        <v>7601.8282595287337</v>
      </c>
      <c r="CT2" s="87">
        <f>IFERROR(s_C*s_IFPE_far_adj*s_CF_peas*(1/1000)*(up_Irr!S2+up_Irr!AR2+up_Irr!BQ2),".")</f>
        <v>7601.8282595287337</v>
      </c>
      <c r="CU2" s="87">
        <f>IFERROR(s_C*s_IFPP_far_adj*s_CF_peppers*(1/1000)*(up_Irr!T2+up_Irr!AS2+up_Irr!BR2),".")</f>
        <v>7601.8282595287337</v>
      </c>
      <c r="CV2" s="87">
        <f>IFERROR(s_C*s_IFPT_far_adj*s_CF_potato*(1/1000)*(up_Irr!U2+up_Irr!AT2+up_Irr!BS2),".")</f>
        <v>7601.8282595287337</v>
      </c>
      <c r="CW2" s="87">
        <f>IFERROR(s_C*s_IFPU_far_adj*s_CF_pumpkin*(1/1000)*(up_Irr!V2+up_Irr!AU2+up_Irr!BT2),".")</f>
        <v>7601.8282595287337</v>
      </c>
      <c r="CX2" s="87">
        <f>IFERROR(s_C*s_IFSN_far_adj*s_CF_snap_bean*(1/1000)*(up_Irr!W2+up_Irr!AV2+up_Irr!BU2),".")</f>
        <v>7601.8282595287337</v>
      </c>
      <c r="CY2" s="87">
        <f>IFERROR(s_C*s_IFST_far_adj*s_CF_strawberry*(1/1000)*(up_Irr!X2+up_Irr!AW2+up_Irr!BV2),".")</f>
        <v>7601.8282595287337</v>
      </c>
      <c r="CZ2" s="87">
        <f>IFERROR(s_C*s_IFTO_far_adj*s_CF_tomato*(1/1000)*(up_Irr!Y2+up_Irr!AX2+up_Irr!BW2),".")</f>
        <v>7601.8282595287337</v>
      </c>
      <c r="DA2" s="87">
        <f>IFERROR(s_C*s_IFRI_far_adj*s_CF_rice*(1/1000)*(up_Irr!Z2+up_Irr!AY2+up_Irr!BX2),".")</f>
        <v>7601.8282595287337</v>
      </c>
      <c r="DB2" s="87">
        <f>IFERROR(s_C*s_IFCG_far_adj*s_CF_cereal*(1/1000)*(up_Irr!AA2+up_Irr!AZ2+up_Irr!BY2),".")</f>
        <v>7601.8282595287337</v>
      </c>
    </row>
    <row r="3" spans="1:106" x14ac:dyDescent="0.25">
      <c r="A3" s="88" t="s">
        <v>1</v>
      </c>
      <c r="B3" s="84" t="s">
        <v>335</v>
      </c>
      <c r="C3" s="15">
        <f t="shared" ref="C3:C30" si="0">IFERROR(1/SUM(1/D3,1/U3,1/AA3,1/AB3),".")</f>
        <v>1.6443412786038033E-4</v>
      </c>
      <c r="D3" s="70">
        <f>IFERROR(IF(AND(up_Irr!C3&lt;&gt;".",up_Irr!AB3&lt;&gt;".",up_Irr!BA3&lt;&gt;"."),up_dir!D3/((1/1000)*(up_Irr!C3+up_Irr!AB3+up_Irr!BA3)),IF(AND(up_Irr!C3&lt;&gt;".",up_Irr!AB3&lt;&gt;".",up_Irr!BA3="."),up_dir!D3/((1/1000)*(up_Irr!C3+up_Irr!AB3)),IF(AND(up_Irr!C3&lt;&gt;".",up_Irr!AB3=".",up_Irr!BA3&lt;&gt;"."),up_dir!D3/((1/1000)*(up_Irr!C3+up_Irr!BA3)),IF(AND(up_Irr!C3=".",up_Irr!AB3&lt;&gt;".",up_Irr!BA3&lt;&gt;"."),up_dir!D3/((1/1000)*(up_Irr!AB3+up_Irr!BA3)),IF(AND(up_Irr!C3=".",up_Irr!AB3=".",up_Irr!BA3&lt;&gt;"."),up_dir!D3/((1/1000)*(up_Irr!BA3)),IF(AND(up_Irr!C3=".",up_Irr!AB3&lt;&gt;".",up_Irr!BA3="."),up_dir!D3/((1/1000)*(up_Irr!AB3)),IF(AND(up_Irr!C3&lt;&gt;".",up_Irr!AB3=".",up_Irr!BA3="."),up_dir!D3/((1/1000)*(up_Irr!C3)),IF(AND(up_Irr!C3=".",up_Irr!AB3=".",up_Irr!BA3="."),up_dir!D3*1000)))))))),".")</f>
        <v>6.5773651144152131E-4</v>
      </c>
      <c r="E3" s="70">
        <f>IFERROR(IF(AND(up_Irr!D3&lt;&gt;".",up_Irr!AC3&lt;&gt;".",up_Irr!BB3&lt;&gt;"."),up_dir!E3/((1/1000)*(up_Irr!D3+up_Irr!AC3+up_Irr!BB3)),IF(AND(up_Irr!D3&lt;&gt;".",up_Irr!AC3&lt;&gt;".",up_Irr!BB3="."),up_dir!E3/((1/1000)*(up_Irr!D3+up_Irr!AC3)),IF(AND(up_Irr!D3&lt;&gt;".",up_Irr!AC3=".",up_Irr!BB3&lt;&gt;"."),up_dir!E3/((1/1000)*(up_Irr!D3+up_Irr!BB3)),IF(AND(up_Irr!D3=".",up_Irr!AC3&lt;&gt;".",up_Irr!BB3&lt;&gt;"."),up_dir!E3/((1/1000)*(up_Irr!AC3+up_Irr!BB3)),IF(AND(up_Irr!D3=".",up_Irr!AC3=".",up_Irr!BB3&lt;&gt;"."),up_dir!E3/((1/1000)*(up_Irr!BB3)),IF(AND(up_Irr!D3=".",up_Irr!AC3&lt;&gt;".",up_Irr!BB3="."),up_dir!E3/((1/1000)*(up_Irr!AC3)),IF(AND(up_Irr!D3&lt;&gt;".",up_Irr!AC3=".",up_Irr!BB3="."),up_dir!E3/((1/1000)*(up_Irr!D3)),IF(AND(up_Irr!D3=".",up_Irr!AC3=".",up_Irr!BB3="."),up_dir!E3*1000)))))))),".")</f>
        <v>6.5773651144152131E-4</v>
      </c>
      <c r="F3" s="70">
        <f>IFERROR(IF(AND(up_Irr!E3&lt;&gt;".",up_Irr!AD3&lt;&gt;".",up_Irr!BC3&lt;&gt;"."),up_dir!F3/((1/1000)*(up_Irr!E3+up_Irr!AD3+up_Irr!BC3)),IF(AND(up_Irr!E3&lt;&gt;".",up_Irr!AD3&lt;&gt;".",up_Irr!BC3="."),up_dir!F3/((1/1000)*(up_Irr!E3+up_Irr!AD3)),IF(AND(up_Irr!E3&lt;&gt;".",up_Irr!AD3=".",up_Irr!BC3&lt;&gt;"."),up_dir!F3/((1/1000)*(up_Irr!E3+up_Irr!BC3)),IF(AND(up_Irr!E3=".",up_Irr!AD3&lt;&gt;".",up_Irr!BC3&lt;&gt;"."),up_dir!F3/((1/1000)*(up_Irr!AD3+up_Irr!BC3)),IF(AND(up_Irr!E3=".",up_Irr!AD3=".",up_Irr!BC3&lt;&gt;"."),up_dir!F3/((1/1000)*(up_Irr!BC3)),IF(AND(up_Irr!E3=".",up_Irr!AD3&lt;&gt;".",up_Irr!BC3="."),up_dir!F3/((1/1000)*(up_Irr!AD3)),IF(AND(up_Irr!E3&lt;&gt;".",up_Irr!AD3=".",up_Irr!BC3="."),up_dir!F3/((1/1000)*(up_Irr!E3)),IF(AND(up_Irr!E3=".",up_Irr!AD3=".",up_Irr!BC3="."),up_dir!F3*1000)))))))),".")</f>
        <v>6.5773651144152131E-4</v>
      </c>
      <c r="G3" s="70">
        <f>IFERROR(IF(AND(up_Irr!F3&lt;&gt;".",up_Irr!AE3&lt;&gt;".",up_Irr!BD3&lt;&gt;"."),up_dir!G3/((1/1000)*(up_Irr!F3+up_Irr!AE3+up_Irr!BD3)),IF(AND(up_Irr!F3&lt;&gt;".",up_Irr!AE3&lt;&gt;".",up_Irr!BD3="."),up_dir!G3/((1/1000)*(up_Irr!F3+up_Irr!AE3)),IF(AND(up_Irr!F3&lt;&gt;".",up_Irr!AE3=".",up_Irr!BD3&lt;&gt;"."),up_dir!G3/((1/1000)*(up_Irr!F3+up_Irr!BD3)),IF(AND(up_Irr!F3=".",up_Irr!AE3&lt;&gt;".",up_Irr!BD3&lt;&gt;"."),up_dir!G3/((1/1000)*(up_Irr!AE3+up_Irr!BD3)),IF(AND(up_Irr!F3=".",up_Irr!AE3=".",up_Irr!BD3&lt;&gt;"."),up_dir!G3/((1/1000)*(up_Irr!BD3)),IF(AND(up_Irr!F3=".",up_Irr!AE3&lt;&gt;".",up_Irr!BD3="."),up_dir!G3/((1/1000)*(up_Irr!AE3)),IF(AND(up_Irr!F3&lt;&gt;".",up_Irr!AE3=".",up_Irr!BD3="."),up_dir!G3/((1/1000)*(up_Irr!F3)),IF(AND(up_Irr!F3=".",up_Irr!AE3=".",up_Irr!BD3="."),up_dir!G3*1000)))))))),".")</f>
        <v>6.5773651144152131E-4</v>
      </c>
      <c r="H3" s="70">
        <f>IFERROR(IF(AND(up_Irr!G3&lt;&gt;".",up_Irr!AF3&lt;&gt;".",up_Irr!BE3&lt;&gt;"."),up_dir!H3/((1/1000)*(up_Irr!G3+up_Irr!AF3+up_Irr!BE3)),IF(AND(up_Irr!G3&lt;&gt;".",up_Irr!AF3&lt;&gt;".",up_Irr!BE3="."),up_dir!H3/((1/1000)*(up_Irr!G3+up_Irr!AF3)),IF(AND(up_Irr!G3&lt;&gt;".",up_Irr!AF3=".",up_Irr!BE3&lt;&gt;"."),up_dir!H3/((1/1000)*(up_Irr!G3+up_Irr!BE3)),IF(AND(up_Irr!G3=".",up_Irr!AF3&lt;&gt;".",up_Irr!BE3&lt;&gt;"."),up_dir!H3/((1/1000)*(up_Irr!AF3+up_Irr!BE3)),IF(AND(up_Irr!G3=".",up_Irr!AF3=".",up_Irr!BE3&lt;&gt;"."),up_dir!H3/((1/1000)*(up_Irr!BE3)),IF(AND(up_Irr!G3=".",up_Irr!AF3&lt;&gt;".",up_Irr!BE3="."),up_dir!H3/((1/1000)*(up_Irr!AF3)),IF(AND(up_Irr!G3&lt;&gt;".",up_Irr!AF3=".",up_Irr!BE3="."),up_dir!H3/((1/1000)*(up_Irr!G3)),IF(AND(up_Irr!G3=".",up_Irr!AF3=".",up_Irr!BE3="."),up_dir!H3*1000)))))))),".")</f>
        <v>6.5773651144152131E-4</v>
      </c>
      <c r="I3" s="70">
        <f>IFERROR(IF(AND(up_Irr!H3&lt;&gt;".",up_Irr!AG3&lt;&gt;".",up_Irr!BF3&lt;&gt;"."),up_dir!I3/((1/1000)*(up_Irr!H3+up_Irr!AG3+up_Irr!BF3)),IF(AND(up_Irr!H3&lt;&gt;".",up_Irr!AG3&lt;&gt;".",up_Irr!BF3="."),up_dir!I3/((1/1000)*(up_Irr!H3+up_Irr!AG3)),IF(AND(up_Irr!H3&lt;&gt;".",up_Irr!AG3=".",up_Irr!BF3&lt;&gt;"."),up_dir!I3/((1/1000)*(up_Irr!H3+up_Irr!BF3)),IF(AND(up_Irr!H3=".",up_Irr!AG3&lt;&gt;".",up_Irr!BF3&lt;&gt;"."),up_dir!I3/((1/1000)*(up_Irr!AG3+up_Irr!BF3)),IF(AND(up_Irr!H3=".",up_Irr!AG3=".",up_Irr!BF3&lt;&gt;"."),up_dir!I3/((1/1000)*(up_Irr!BF3)),IF(AND(up_Irr!H3=".",up_Irr!AG3&lt;&gt;".",up_Irr!BF3="."),up_dir!I3/((1/1000)*(up_Irr!AG3)),IF(AND(up_Irr!H3&lt;&gt;".",up_Irr!AG3=".",up_Irr!BF3="."),up_dir!I3/((1/1000)*(up_Irr!H3)),IF(AND(up_Irr!H3=".",up_Irr!AG3=".",up_Irr!BF3="."),up_dir!I3*1000)))))))),".")</f>
        <v>6.5773651144152131E-4</v>
      </c>
      <c r="J3" s="70">
        <f>IFERROR(IF(AND(up_Irr!I3&lt;&gt;".",up_Irr!AH3&lt;&gt;".",up_Irr!BG3&lt;&gt;"."),up_dir!J3/((1/1000)*(up_Irr!I3+up_Irr!AH3+up_Irr!BG3)),IF(AND(up_Irr!I3&lt;&gt;".",up_Irr!AH3&lt;&gt;".",up_Irr!BG3="."),up_dir!J3/((1/1000)*(up_Irr!I3+up_Irr!AH3)),IF(AND(up_Irr!I3&lt;&gt;".",up_Irr!AH3=".",up_Irr!BG3&lt;&gt;"."),up_dir!J3/((1/1000)*(up_Irr!I3+up_Irr!BG3)),IF(AND(up_Irr!I3=".",up_Irr!AH3&lt;&gt;".",up_Irr!BG3&lt;&gt;"."),up_dir!J3/((1/1000)*(up_Irr!AH3+up_Irr!BG3)),IF(AND(up_Irr!I3=".",up_Irr!AH3=".",up_Irr!BG3&lt;&gt;"."),up_dir!J3/((1/1000)*(up_Irr!BG3)),IF(AND(up_Irr!I3=".",up_Irr!AH3&lt;&gt;".",up_Irr!BG3="."),up_dir!J3/((1/1000)*(up_Irr!AH3)),IF(AND(up_Irr!I3&lt;&gt;".",up_Irr!AH3=".",up_Irr!BG3="."),up_dir!J3/((1/1000)*(up_Irr!I3)),IF(AND(up_Irr!I3=".",up_Irr!AH3=".",up_Irr!BG3="."),up_dir!J3*1000)))))))),".")</f>
        <v>6.5773651144152131E-4</v>
      </c>
      <c r="K3" s="70">
        <f>IFERROR(IF(AND(up_Irr!J3&lt;&gt;".",up_Irr!AI3&lt;&gt;".",up_Irr!BH3&lt;&gt;"."),up_dir!K3/((1/1000)*(up_Irr!J3+up_Irr!AI3+up_Irr!BH3)),IF(AND(up_Irr!J3&lt;&gt;".",up_Irr!AI3&lt;&gt;".",up_Irr!BH3="."),up_dir!K3/((1/1000)*(up_Irr!J3+up_Irr!AI3)),IF(AND(up_Irr!J3&lt;&gt;".",up_Irr!AI3=".",up_Irr!BH3&lt;&gt;"."),up_dir!K3/((1/1000)*(up_Irr!J3+up_Irr!BH3)),IF(AND(up_Irr!J3=".",up_Irr!AI3&lt;&gt;".",up_Irr!BH3&lt;&gt;"."),up_dir!K3/((1/1000)*(up_Irr!AI3+up_Irr!BH3)),IF(AND(up_Irr!J3=".",up_Irr!AI3=".",up_Irr!BH3&lt;&gt;"."),up_dir!K3/((1/1000)*(up_Irr!BH3)),IF(AND(up_Irr!J3=".",up_Irr!AI3&lt;&gt;".",up_Irr!BH3="."),up_dir!K3/((1/1000)*(up_Irr!AI3)),IF(AND(up_Irr!J3&lt;&gt;".",up_Irr!AI3=".",up_Irr!BH3="."),up_dir!K3/((1/1000)*(up_Irr!J3)),IF(AND(up_Irr!J3=".",up_Irr!AI3=".",up_Irr!BH3="."),up_dir!K3*1000)))))))),".")</f>
        <v>6.5773651144152131E-4</v>
      </c>
      <c r="L3" s="70">
        <f>IFERROR(IF(AND(up_Irr!K3&lt;&gt;".",up_Irr!AJ3&lt;&gt;".",up_Irr!BI3&lt;&gt;"."),up_dir!L3/((1/1000)*(up_Irr!K3+up_Irr!AJ3+up_Irr!BI3)),IF(AND(up_Irr!K3&lt;&gt;".",up_Irr!AJ3&lt;&gt;".",up_Irr!BI3="."),up_dir!L3/((1/1000)*(up_Irr!K3+up_Irr!AJ3)),IF(AND(up_Irr!K3&lt;&gt;".",up_Irr!AJ3=".",up_Irr!BI3&lt;&gt;"."),up_dir!L3/((1/1000)*(up_Irr!K3+up_Irr!BI3)),IF(AND(up_Irr!K3=".",up_Irr!AJ3&lt;&gt;".",up_Irr!BI3&lt;&gt;"."),up_dir!L3/((1/1000)*(up_Irr!AJ3+up_Irr!BI3)),IF(AND(up_Irr!K3=".",up_Irr!AJ3=".",up_Irr!BI3&lt;&gt;"."),up_dir!L3/((1/1000)*(up_Irr!BI3)),IF(AND(up_Irr!K3=".",up_Irr!AJ3&lt;&gt;".",up_Irr!BI3="."),up_dir!L3/((1/1000)*(up_Irr!AJ3)),IF(AND(up_Irr!K3&lt;&gt;".",up_Irr!AJ3=".",up_Irr!BI3="."),up_dir!L3/((1/1000)*(up_Irr!K3)),IF(AND(up_Irr!K3=".",up_Irr!AJ3=".",up_Irr!BI3="."),up_dir!L3*1000)))))))),".")</f>
        <v>6.5773651144152131E-4</v>
      </c>
      <c r="M3" s="70">
        <f>IFERROR(IF(AND(up_Irr!L3&lt;&gt;".",up_Irr!AK3&lt;&gt;".",up_Irr!BJ3&lt;&gt;"."),up_dir!M3/((1/1000)*(up_Irr!L3+up_Irr!AK3+up_Irr!BJ3)),IF(AND(up_Irr!L3&lt;&gt;".",up_Irr!AK3&lt;&gt;".",up_Irr!BJ3="."),up_dir!M3/((1/1000)*(up_Irr!L3+up_Irr!AK3)),IF(AND(up_Irr!L3&lt;&gt;".",up_Irr!AK3=".",up_Irr!BJ3&lt;&gt;"."),up_dir!M3/((1/1000)*(up_Irr!L3+up_Irr!BJ3)),IF(AND(up_Irr!L3=".",up_Irr!AK3&lt;&gt;".",up_Irr!BJ3&lt;&gt;"."),up_dir!M3/((1/1000)*(up_Irr!AK3+up_Irr!BJ3)),IF(AND(up_Irr!L3=".",up_Irr!AK3=".",up_Irr!BJ3&lt;&gt;"."),up_dir!M3/((1/1000)*(up_Irr!BJ3)),IF(AND(up_Irr!L3=".",up_Irr!AK3&lt;&gt;".",up_Irr!BJ3="."),up_dir!M3/((1/1000)*(up_Irr!AK3)),IF(AND(up_Irr!L3&lt;&gt;".",up_Irr!AK3=".",up_Irr!BJ3="."),up_dir!M3/((1/1000)*(up_Irr!L3)),IF(AND(up_Irr!L3=".",up_Irr!AK3=".",up_Irr!BJ3="."),up_dir!M3*1000)))))))),".")</f>
        <v>6.5773651144152131E-4</v>
      </c>
      <c r="N3" s="70">
        <f>IFERROR(IF(AND(up_Irr!M3&lt;&gt;".",up_Irr!AL3&lt;&gt;".",up_Irr!BK3&lt;&gt;"."),up_dir!N3/((1/1000)*(up_Irr!M3+up_Irr!AL3+up_Irr!BK3)),IF(AND(up_Irr!M3&lt;&gt;".",up_Irr!AL3&lt;&gt;".",up_Irr!BK3="."),up_dir!N3/((1/1000)*(up_Irr!M3+up_Irr!AL3)),IF(AND(up_Irr!M3&lt;&gt;".",up_Irr!AL3=".",up_Irr!BK3&lt;&gt;"."),up_dir!N3/((1/1000)*(up_Irr!M3+up_Irr!BK3)),IF(AND(up_Irr!M3=".",up_Irr!AL3&lt;&gt;".",up_Irr!BK3&lt;&gt;"."),up_dir!N3/((1/1000)*(up_Irr!AL3+up_Irr!BK3)),IF(AND(up_Irr!M3=".",up_Irr!AL3=".",up_Irr!BK3&lt;&gt;"."),up_dir!N3/((1/1000)*(up_Irr!BK3)),IF(AND(up_Irr!M3=".",up_Irr!AL3&lt;&gt;".",up_Irr!BK3="."),up_dir!N3/((1/1000)*(up_Irr!AL3)),IF(AND(up_Irr!M3&lt;&gt;".",up_Irr!AL3=".",up_Irr!BK3="."),up_dir!N3/((1/1000)*(up_Irr!M3)),IF(AND(up_Irr!M3=".",up_Irr!AL3=".",up_Irr!BK3="."),up_dir!N3*1000)))))))),".")</f>
        <v>6.5773651144152131E-4</v>
      </c>
      <c r="O3" s="70">
        <f>IFERROR(IF(AND(up_Irr!N3&lt;&gt;".",up_Irr!AM3&lt;&gt;".",up_Irr!BL3&lt;&gt;"."),up_dir!O3/((1/1000)*(up_Irr!N3+up_Irr!AM3+up_Irr!BL3)),IF(AND(up_Irr!N3&lt;&gt;".",up_Irr!AM3&lt;&gt;".",up_Irr!BL3="."),up_dir!O3/((1/1000)*(up_Irr!N3+up_Irr!AM3)),IF(AND(up_Irr!N3&lt;&gt;".",up_Irr!AM3=".",up_Irr!BL3&lt;&gt;"."),up_dir!O3/((1/1000)*(up_Irr!N3+up_Irr!BL3)),IF(AND(up_Irr!N3=".",up_Irr!AM3&lt;&gt;".",up_Irr!BL3&lt;&gt;"."),up_dir!O3/((1/1000)*(up_Irr!AM3+up_Irr!BL3)),IF(AND(up_Irr!N3=".",up_Irr!AM3=".",up_Irr!BL3&lt;&gt;"."),up_dir!O3/((1/1000)*(up_Irr!BL3)),IF(AND(up_Irr!N3=".",up_Irr!AM3&lt;&gt;".",up_Irr!BL3="."),up_dir!O3/((1/1000)*(up_Irr!AM3)),IF(AND(up_Irr!N3&lt;&gt;".",up_Irr!AM3=".",up_Irr!BL3="."),up_dir!O3/((1/1000)*(up_Irr!N3)),IF(AND(up_Irr!N3=".",up_Irr!AM3=".",up_Irr!BL3="."),up_dir!O3*1000)))))))),".")</f>
        <v>6.5773651144152131E-4</v>
      </c>
      <c r="P3" s="70">
        <f>IFERROR(IF(AND(up_Irr!O3&lt;&gt;".",up_Irr!AN3&lt;&gt;".",up_Irr!BM3&lt;&gt;"."),up_dir!P3/((1/1000)*(up_Irr!O3+up_Irr!AN3+up_Irr!BM3)),IF(AND(up_Irr!O3&lt;&gt;".",up_Irr!AN3&lt;&gt;".",up_Irr!BM3="."),up_dir!P3/((1/1000)*(up_Irr!O3+up_Irr!AN3)),IF(AND(up_Irr!O3&lt;&gt;".",up_Irr!AN3=".",up_Irr!BM3&lt;&gt;"."),up_dir!P3/((1/1000)*(up_Irr!O3+up_Irr!BM3)),IF(AND(up_Irr!O3=".",up_Irr!AN3&lt;&gt;".",up_Irr!BM3&lt;&gt;"."),up_dir!P3/((1/1000)*(up_Irr!AN3+up_Irr!BM3)),IF(AND(up_Irr!O3=".",up_Irr!AN3=".",up_Irr!BM3&lt;&gt;"."),up_dir!P3/((1/1000)*(up_Irr!BM3)),IF(AND(up_Irr!O3=".",up_Irr!AN3&lt;&gt;".",up_Irr!BM3="."),up_dir!P3/((1/1000)*(up_Irr!AN3)),IF(AND(up_Irr!O3&lt;&gt;".",up_Irr!AN3=".",up_Irr!BM3="."),up_dir!P3/((1/1000)*(up_Irr!O3)),IF(AND(up_Irr!O3=".",up_Irr!AN3=".",up_Irr!BM3="."),up_dir!P3*1000)))))))),".")</f>
        <v>6.5773651144152131E-4</v>
      </c>
      <c r="Q3" s="70">
        <f>IFERROR(IF(AND(up_Irr!P3&lt;&gt;".",up_Irr!AO3&lt;&gt;".",up_Irr!BN3&lt;&gt;"."),up_dir!Q3/((1/1000)*(up_Irr!P3+up_Irr!AO3+up_Irr!BN3)),IF(AND(up_Irr!P3&lt;&gt;".",up_Irr!AO3&lt;&gt;".",up_Irr!BN3="."),up_dir!Q3/((1/1000)*(up_Irr!P3+up_Irr!AO3)),IF(AND(up_Irr!P3&lt;&gt;".",up_Irr!AO3=".",up_Irr!BN3&lt;&gt;"."),up_dir!Q3/((1/1000)*(up_Irr!P3+up_Irr!BN3)),IF(AND(up_Irr!P3=".",up_Irr!AO3&lt;&gt;".",up_Irr!BN3&lt;&gt;"."),up_dir!Q3/((1/1000)*(up_Irr!AO3+up_Irr!BN3)),IF(AND(up_Irr!P3=".",up_Irr!AO3=".",up_Irr!BN3&lt;&gt;"."),up_dir!Q3/((1/1000)*(up_Irr!BN3)),IF(AND(up_Irr!P3=".",up_Irr!AO3&lt;&gt;".",up_Irr!BN3="."),up_dir!Q3/((1/1000)*(up_Irr!AO3)),IF(AND(up_Irr!P3&lt;&gt;".",up_Irr!AO3=".",up_Irr!BN3="."),up_dir!Q3/((1/1000)*(up_Irr!P3)),IF(AND(up_Irr!P3=".",up_Irr!AO3=".",up_Irr!BN3="."),up_dir!Q3*1000)))))))),".")</f>
        <v>6.5773651144152131E-4</v>
      </c>
      <c r="R3" s="70">
        <f>IFERROR(IF(AND(up_Irr!Q3&lt;&gt;".",up_Irr!AP3&lt;&gt;".",up_Irr!BO3&lt;&gt;"."),up_dir!R3/((1/1000)*(up_Irr!Q3+up_Irr!AP3+up_Irr!BO3)),IF(AND(up_Irr!Q3&lt;&gt;".",up_Irr!AP3&lt;&gt;".",up_Irr!BO3="."),up_dir!R3/((1/1000)*(up_Irr!Q3+up_Irr!AP3)),IF(AND(up_Irr!Q3&lt;&gt;".",up_Irr!AP3=".",up_Irr!BO3&lt;&gt;"."),up_dir!R3/((1/1000)*(up_Irr!Q3+up_Irr!BO3)),IF(AND(up_Irr!Q3=".",up_Irr!AP3&lt;&gt;".",up_Irr!BO3&lt;&gt;"."),up_dir!R3/((1/1000)*(up_Irr!AP3+up_Irr!BO3)),IF(AND(up_Irr!Q3=".",up_Irr!AP3=".",up_Irr!BO3&lt;&gt;"."),up_dir!R3/((1/1000)*(up_Irr!BO3)),IF(AND(up_Irr!Q3=".",up_Irr!AP3&lt;&gt;".",up_Irr!BO3="."),up_dir!R3/((1/1000)*(up_Irr!AP3)),IF(AND(up_Irr!Q3&lt;&gt;".",up_Irr!AP3=".",up_Irr!BO3="."),up_dir!R3/((1/1000)*(up_Irr!Q3)),IF(AND(up_Irr!Q3=".",up_Irr!AP3=".",up_Irr!BO3="."),up_dir!R3*1000)))))))),".")</f>
        <v>6.5773651144152131E-4</v>
      </c>
      <c r="S3" s="70">
        <f>IFERROR(IF(AND(up_Irr!R3&lt;&gt;".",up_Irr!AQ3&lt;&gt;".",up_Irr!BP3&lt;&gt;"."),up_dir!S3/((1/1000)*(up_Irr!R3+up_Irr!AQ3+up_Irr!BP3)),IF(AND(up_Irr!R3&lt;&gt;".",up_Irr!AQ3&lt;&gt;".",up_Irr!BP3="."),up_dir!S3/((1/1000)*(up_Irr!R3+up_Irr!AQ3)),IF(AND(up_Irr!R3&lt;&gt;".",up_Irr!AQ3=".",up_Irr!BP3&lt;&gt;"."),up_dir!S3/((1/1000)*(up_Irr!R3+up_Irr!BP3)),IF(AND(up_Irr!R3=".",up_Irr!AQ3&lt;&gt;".",up_Irr!BP3&lt;&gt;"."),up_dir!S3/((1/1000)*(up_Irr!AQ3+up_Irr!BP3)),IF(AND(up_Irr!R3=".",up_Irr!AQ3=".",up_Irr!BP3&lt;&gt;"."),up_dir!S3/((1/1000)*(up_Irr!BP3)),IF(AND(up_Irr!R3=".",up_Irr!AQ3&lt;&gt;".",up_Irr!BP3="."),up_dir!S3/((1/1000)*(up_Irr!AQ3)),IF(AND(up_Irr!R3&lt;&gt;".",up_Irr!AQ3=".",up_Irr!BP3="."),up_dir!S3/((1/1000)*(up_Irr!R3)),IF(AND(up_Irr!R3=".",up_Irr!AQ3=".",up_Irr!BP3="."),up_dir!S3*1000)))))))),".")</f>
        <v>6.5773651144152131E-4</v>
      </c>
      <c r="T3" s="70">
        <f>IFERROR(IF(AND(up_Irr!S3&lt;&gt;".",up_Irr!AR3&lt;&gt;".",up_Irr!BQ3&lt;&gt;"."),up_dir!T3/((1/1000)*(up_Irr!S3+up_Irr!AR3+up_Irr!BQ3)),IF(AND(up_Irr!S3&lt;&gt;".",up_Irr!AR3&lt;&gt;".",up_Irr!BQ3="."),up_dir!T3/((1/1000)*(up_Irr!S3+up_Irr!AR3)),IF(AND(up_Irr!S3&lt;&gt;".",up_Irr!AR3=".",up_Irr!BQ3&lt;&gt;"."),up_dir!T3/((1/1000)*(up_Irr!S3+up_Irr!BQ3)),IF(AND(up_Irr!S3=".",up_Irr!AR3&lt;&gt;".",up_Irr!BQ3&lt;&gt;"."),up_dir!T3/((1/1000)*(up_Irr!AR3+up_Irr!BQ3)),IF(AND(up_Irr!S3=".",up_Irr!AR3=".",up_Irr!BQ3&lt;&gt;"."),up_dir!T3/((1/1000)*(up_Irr!BQ3)),IF(AND(up_Irr!S3=".",up_Irr!AR3&lt;&gt;".",up_Irr!BQ3="."),up_dir!T3/((1/1000)*(up_Irr!AR3)),IF(AND(up_Irr!S3&lt;&gt;".",up_Irr!AR3=".",up_Irr!BQ3="."),up_dir!T3/((1/1000)*(up_Irr!S3)),IF(AND(up_Irr!S3=".",up_Irr!AR3=".",up_Irr!BQ3="."),up_dir!T3*1000)))))))),".")</f>
        <v>6.5773651144152131E-4</v>
      </c>
      <c r="U3" s="70">
        <f>IFERROR(IF(AND(up_Irr!T3&lt;&gt;".",up_Irr!AS3&lt;&gt;".",up_Irr!BR3&lt;&gt;"."),up_dir!U3/((1/1000)*(up_Irr!T3+up_Irr!AS3+up_Irr!BR3)),IF(AND(up_Irr!T3&lt;&gt;".",up_Irr!AS3&lt;&gt;".",up_Irr!BR3="."),up_dir!U3/((1/1000)*(up_Irr!T3+up_Irr!AS3)),IF(AND(up_Irr!T3&lt;&gt;".",up_Irr!AS3=".",up_Irr!BR3&lt;&gt;"."),up_dir!U3/((1/1000)*(up_Irr!T3+up_Irr!BR3)),IF(AND(up_Irr!T3=".",up_Irr!AS3&lt;&gt;".",up_Irr!BR3&lt;&gt;"."),up_dir!U3/((1/1000)*(up_Irr!AS3+up_Irr!BR3)),IF(AND(up_Irr!T3=".",up_Irr!AS3=".",up_Irr!BR3&lt;&gt;"."),up_dir!U3/((1/1000)*(up_Irr!BR3)),IF(AND(up_Irr!T3=".",up_Irr!AS3&lt;&gt;".",up_Irr!BR3="."),up_dir!U3/((1/1000)*(up_Irr!AS3)),IF(AND(up_Irr!T3&lt;&gt;".",up_Irr!AS3=".",up_Irr!BR3="."),up_dir!U3/((1/1000)*(up_Irr!T3)),IF(AND(up_Irr!T3=".",up_Irr!AS3=".",up_Irr!BR3="."),up_dir!U3*1000)))))))),".")</f>
        <v>6.5773651144152131E-4</v>
      </c>
      <c r="V3" s="70">
        <f>IFERROR(IF(AND(up_Irr!U3&lt;&gt;".",up_Irr!AT3&lt;&gt;".",up_Irr!BS3&lt;&gt;"."),up_dir!V3/((1/1000)*(up_Irr!U3+up_Irr!AT3+up_Irr!BS3)),IF(AND(up_Irr!U3&lt;&gt;".",up_Irr!AT3&lt;&gt;".",up_Irr!BS3="."),up_dir!V3/((1/1000)*(up_Irr!U3+up_Irr!AT3)),IF(AND(up_Irr!U3&lt;&gt;".",up_Irr!AT3=".",up_Irr!BS3&lt;&gt;"."),up_dir!V3/((1/1000)*(up_Irr!U3+up_Irr!BS3)),IF(AND(up_Irr!U3=".",up_Irr!AT3&lt;&gt;".",up_Irr!BS3&lt;&gt;"."),up_dir!V3/((1/1000)*(up_Irr!AT3+up_Irr!BS3)),IF(AND(up_Irr!U3=".",up_Irr!AT3=".",up_Irr!BS3&lt;&gt;"."),up_dir!V3/((1/1000)*(up_Irr!BS3)),IF(AND(up_Irr!U3=".",up_Irr!AT3&lt;&gt;".",up_Irr!BS3="."),up_dir!V3/((1/1000)*(up_Irr!AT3)),IF(AND(up_Irr!U3&lt;&gt;".",up_Irr!AT3=".",up_Irr!BS3="."),up_dir!V3/((1/1000)*(up_Irr!U3)),IF(AND(up_Irr!U3=".",up_Irr!AT3=".",up_Irr!BS3="."),up_dir!V3*1000)))))))),".")</f>
        <v>6.5773651144152131E-4</v>
      </c>
      <c r="W3" s="70">
        <f>IFERROR(IF(AND(up_Irr!V3&lt;&gt;".",up_Irr!AU3&lt;&gt;".",up_Irr!BT3&lt;&gt;"."),up_dir!W3/((1/1000)*(up_Irr!V3+up_Irr!AU3+up_Irr!BT3)),IF(AND(up_Irr!V3&lt;&gt;".",up_Irr!AU3&lt;&gt;".",up_Irr!BT3="."),up_dir!W3/((1/1000)*(up_Irr!V3+up_Irr!AU3)),IF(AND(up_Irr!V3&lt;&gt;".",up_Irr!AU3=".",up_Irr!BT3&lt;&gt;"."),up_dir!W3/((1/1000)*(up_Irr!V3+up_Irr!BT3)),IF(AND(up_Irr!V3=".",up_Irr!AU3&lt;&gt;".",up_Irr!BT3&lt;&gt;"."),up_dir!W3/((1/1000)*(up_Irr!AU3+up_Irr!BT3)),IF(AND(up_Irr!V3=".",up_Irr!AU3=".",up_Irr!BT3&lt;&gt;"."),up_dir!W3/((1/1000)*(up_Irr!BT3)),IF(AND(up_Irr!V3=".",up_Irr!AU3&lt;&gt;".",up_Irr!BT3="."),up_dir!W3/((1/1000)*(up_Irr!AU3)),IF(AND(up_Irr!V3&lt;&gt;".",up_Irr!AU3=".",up_Irr!BT3="."),up_dir!W3/((1/1000)*(up_Irr!V3)),IF(AND(up_Irr!V3=".",up_Irr!AU3=".",up_Irr!BT3="."),up_dir!W3*1000)))))))),".")</f>
        <v>6.5773651144152131E-4</v>
      </c>
      <c r="X3" s="70">
        <f>IFERROR(IF(AND(up_Irr!W3&lt;&gt;".",up_Irr!AV3&lt;&gt;".",up_Irr!BU3&lt;&gt;"."),up_dir!X3/((1/1000)*(up_Irr!W3+up_Irr!AV3+up_Irr!BU3)),IF(AND(up_Irr!W3&lt;&gt;".",up_Irr!AV3&lt;&gt;".",up_Irr!BU3="."),up_dir!X3/((1/1000)*(up_Irr!W3+up_Irr!AV3)),IF(AND(up_Irr!W3&lt;&gt;".",up_Irr!AV3=".",up_Irr!BU3&lt;&gt;"."),up_dir!X3/((1/1000)*(up_Irr!W3+up_Irr!BU3)),IF(AND(up_Irr!W3=".",up_Irr!AV3&lt;&gt;".",up_Irr!BU3&lt;&gt;"."),up_dir!X3/((1/1000)*(up_Irr!AV3+up_Irr!BU3)),IF(AND(up_Irr!W3=".",up_Irr!AV3=".",up_Irr!BU3&lt;&gt;"."),up_dir!X3/((1/1000)*(up_Irr!BU3)),IF(AND(up_Irr!W3=".",up_Irr!AV3&lt;&gt;".",up_Irr!BU3="."),up_dir!X3/((1/1000)*(up_Irr!AV3)),IF(AND(up_Irr!W3&lt;&gt;".",up_Irr!AV3=".",up_Irr!BU3="."),up_dir!X3/((1/1000)*(up_Irr!W3)),IF(AND(up_Irr!W3=".",up_Irr!AV3=".",up_Irr!BU3="."),up_dir!X3*1000)))))))),".")</f>
        <v>6.5773651144152131E-4</v>
      </c>
      <c r="Y3" s="70">
        <f>IFERROR(IF(AND(up_Irr!X3&lt;&gt;".",up_Irr!AW3&lt;&gt;".",up_Irr!BV3&lt;&gt;"."),up_dir!Y3/((1/1000)*(up_Irr!X3+up_Irr!AW3+up_Irr!BV3)),IF(AND(up_Irr!X3&lt;&gt;".",up_Irr!AW3&lt;&gt;".",up_Irr!BV3="."),up_dir!Y3/((1/1000)*(up_Irr!X3+up_Irr!AW3)),IF(AND(up_Irr!X3&lt;&gt;".",up_Irr!AW3=".",up_Irr!BV3&lt;&gt;"."),up_dir!Y3/((1/1000)*(up_Irr!X3+up_Irr!BV3)),IF(AND(up_Irr!X3=".",up_Irr!AW3&lt;&gt;".",up_Irr!BV3&lt;&gt;"."),up_dir!Y3/((1/1000)*(up_Irr!AW3+up_Irr!BV3)),IF(AND(up_Irr!X3=".",up_Irr!AW3=".",up_Irr!BV3&lt;&gt;"."),up_dir!Y3/((1/1000)*(up_Irr!BV3)),IF(AND(up_Irr!X3=".",up_Irr!AW3&lt;&gt;".",up_Irr!BV3="."),up_dir!Y3/((1/1000)*(up_Irr!AW3)),IF(AND(up_Irr!X3&lt;&gt;".",up_Irr!AW3=".",up_Irr!BV3="."),up_dir!Y3/((1/1000)*(up_Irr!X3)),IF(AND(up_Irr!X3=".",up_Irr!AW3=".",up_Irr!BV3="."),up_dir!Y3*1000)))))))),".")</f>
        <v>6.5773651144152131E-4</v>
      </c>
      <c r="Z3" s="70">
        <f>IFERROR(IF(AND(up_Irr!Y3&lt;&gt;".",up_Irr!AX3&lt;&gt;".",up_Irr!BW3&lt;&gt;"."),up_dir!Z3/((1/1000)*(up_Irr!Y3+up_Irr!AX3+up_Irr!BW3)),IF(AND(up_Irr!Y3&lt;&gt;".",up_Irr!AX3&lt;&gt;".",up_Irr!BW3="."),up_dir!Z3/((1/1000)*(up_Irr!Y3+up_Irr!AX3)),IF(AND(up_Irr!Y3&lt;&gt;".",up_Irr!AX3=".",up_Irr!BW3&lt;&gt;"."),up_dir!Z3/((1/1000)*(up_Irr!Y3+up_Irr!BW3)),IF(AND(up_Irr!Y3=".",up_Irr!AX3&lt;&gt;".",up_Irr!BW3&lt;&gt;"."),up_dir!Z3/((1/1000)*(up_Irr!AX3+up_Irr!BW3)),IF(AND(up_Irr!Y3=".",up_Irr!AX3=".",up_Irr!BW3&lt;&gt;"."),up_dir!Z3/((1/1000)*(up_Irr!BW3)),IF(AND(up_Irr!Y3=".",up_Irr!AX3&lt;&gt;".",up_Irr!BW3="."),up_dir!Z3/((1/1000)*(up_Irr!AX3)),IF(AND(up_Irr!Y3&lt;&gt;".",up_Irr!AX3=".",up_Irr!BW3="."),up_dir!Z3/((1/1000)*(up_Irr!Y3)),IF(AND(up_Irr!Y3=".",up_Irr!AX3=".",up_Irr!BW3="."),up_dir!Z3*1000)))))))),".")</f>
        <v>6.5773651144152131E-4</v>
      </c>
      <c r="AA3" s="70">
        <f>IFERROR(IF(AND(up_Irr!Z3&lt;&gt;".",up_Irr!AY3&lt;&gt;".",up_Irr!BX3&lt;&gt;"."),up_dir!AA3/((1/1000)*(up_Irr!Z3+up_Irr!AY3+up_Irr!BX3)),IF(AND(up_Irr!Z3&lt;&gt;".",up_Irr!AY3&lt;&gt;".",up_Irr!BX3="."),up_dir!AA3/((1/1000)*(up_Irr!Z3+up_Irr!AY3)),IF(AND(up_Irr!Z3&lt;&gt;".",up_Irr!AY3=".",up_Irr!BX3&lt;&gt;"."),up_dir!AA3/((1/1000)*(up_Irr!Z3+up_Irr!BX3)),IF(AND(up_Irr!Z3=".",up_Irr!AY3&lt;&gt;".",up_Irr!BX3&lt;&gt;"."),up_dir!AA3/((1/1000)*(up_Irr!AY3+up_Irr!BX3)),IF(AND(up_Irr!Z3=".",up_Irr!AY3=".",up_Irr!BX3&lt;&gt;"."),up_dir!AA3/((1/1000)*(up_Irr!BX3)),IF(AND(up_Irr!Z3=".",up_Irr!AY3&lt;&gt;".",up_Irr!BX3="."),up_dir!AA3/((1/1000)*(up_Irr!AY3)),IF(AND(up_Irr!Z3&lt;&gt;".",up_Irr!AY3=".",up_Irr!BX3="."),up_dir!AA3/((1/1000)*(up_Irr!Z3)),IF(AND(up_Irr!Z3=".",up_Irr!AY3=".",up_Irr!BX3="."),up_dir!AA3*1000)))))))),".")</f>
        <v>6.5773651144152131E-4</v>
      </c>
      <c r="AB3" s="70">
        <f>IFERROR(IF(AND(up_Irr!AA3&lt;&gt;".",up_Irr!AZ3&lt;&gt;".",up_Irr!BY3&lt;&gt;"."),up_dir!AB3/((1/1000)*(up_Irr!AA3+up_Irr!AZ3+up_Irr!BY3)),IF(AND(up_Irr!AA3&lt;&gt;".",up_Irr!AZ3&lt;&gt;".",up_Irr!BY3="."),up_dir!AB3/((1/1000)*(up_Irr!AA3+up_Irr!AZ3)),IF(AND(up_Irr!AA3&lt;&gt;".",up_Irr!AZ3=".",up_Irr!BY3&lt;&gt;"."),up_dir!AB3/((1/1000)*(up_Irr!AA3+up_Irr!BY3)),IF(AND(up_Irr!AA3=".",up_Irr!AZ3&lt;&gt;".",up_Irr!BY3&lt;&gt;"."),up_dir!AB3/((1/1000)*(up_Irr!AZ3+up_Irr!BY3)),IF(AND(up_Irr!AA3=".",up_Irr!AZ3=".",up_Irr!BY3&lt;&gt;"."),up_dir!AB3/((1/1000)*(up_Irr!BY3)),IF(AND(up_Irr!AA3=".",up_Irr!AZ3&lt;&gt;".",up_Irr!BY3="."),up_dir!AB3/((1/1000)*(up_Irr!AZ3)),IF(AND(up_Irr!AA3&lt;&gt;".",up_Irr!AZ3=".",up_Irr!BY3="."),up_dir!AB3/((1/1000)*(up_Irr!AA3)),IF(AND(up_Irr!AA3=".",up_Irr!AZ3=".",up_Irr!BY3="."),up_dir!AB3*1000)))))))),".")</f>
        <v>6.5773651144152131E-4</v>
      </c>
      <c r="AC3" s="87">
        <f t="shared" ref="AC3:AC30" si="1">SUM(AD3,AU3,BA3:BB3)</f>
        <v>30407.313038114935</v>
      </c>
      <c r="AD3" s="87">
        <f>IFERROR(s_C*s_IFAP_res_adj*s_CF_apple*0.001*(up_Irr!C3+up_Irr!AB3+up_Irr!BA3),".")</f>
        <v>7601.8282595287337</v>
      </c>
      <c r="AE3" s="87">
        <f>IFERROR(s_C*s_IFAS_res_adj*s_CF_asparagus*0.001*(up_Irr!D3+up_Irr!AC3+up_Irr!BB3),".")</f>
        <v>7601.8282595287337</v>
      </c>
      <c r="AF3" s="87">
        <f>IFERROR(s_C*s_IFBT_res_adj*s_CF_beet*0.001*(up_Irr!E3+up_Irr!AD3+up_Irr!BC3),".")</f>
        <v>7601.8282595287337</v>
      </c>
      <c r="AG3" s="87">
        <f>IFERROR(s_C*s_IFBE_res_adj*s_CF_berries*0.001*(up_Irr!F3+up_Irr!AE3+up_Irr!BD3),".")</f>
        <v>7601.8282595287337</v>
      </c>
      <c r="AH3" s="87">
        <f>IFERROR(s_C*s_IFBR_res_adj*s_CF_broccoli*0.001*(up_Irr!G3+up_Irr!AF3+up_Irr!BE3),".")</f>
        <v>7601.8282595287337</v>
      </c>
      <c r="AI3" s="87">
        <f>IFERROR(s_C*s_IFCB_res_adj*s_CF_cabbage*0.001*(up_Irr!H3+up_Irr!AG3+up_Irr!BF3),".")</f>
        <v>7601.8282595287337</v>
      </c>
      <c r="AJ3" s="87">
        <f>IFERROR(s_C*s_IFCR_res_adj*s_CF_carrot*0.001*(up_Irr!I3+up_Irr!AH3+up_Irr!BG3),".")</f>
        <v>7601.8282595287337</v>
      </c>
      <c r="AK3" s="87">
        <f>IFERROR(s_C*s_IFCI_res_adj*s_CF_citrus*0.001*(up_Irr!J3+up_Irr!AI3+up_Irr!BH3),".")</f>
        <v>7601.8282595287337</v>
      </c>
      <c r="AL3" s="87">
        <f>IFERROR(s_C*s_IFCO_res_adj*s_CF_corn*0.001*(up_Irr!K3+up_Irr!AJ3+up_Irr!BI3),".")</f>
        <v>7601.8282595287337</v>
      </c>
      <c r="AM3" s="87">
        <f>IFERROR(s_C*s_IFCU_res_adj*s_CF_cucumber*0.001*(up_Irr!L3+up_Irr!AK3+up_Irr!BJ3),".")</f>
        <v>7601.8282595287337</v>
      </c>
      <c r="AN3" s="87">
        <f>IFERROR(s_C*s_IFLE_res_adj*s_CF_lettuce*0.001*(up_Irr!M3+up_Irr!AL3+up_Irr!BK3),".")</f>
        <v>7601.8282595287337</v>
      </c>
      <c r="AO3" s="87">
        <f>IFERROR(s_C*s_IFLI_res_adj*s_CF_lima_bean*0.001*(up_Irr!N3+up_Irr!AM3+up_Irr!BL3),".")</f>
        <v>7601.8282595287337</v>
      </c>
      <c r="AP3" s="87">
        <f>IFERROR(s_C*s_IFOK_res_adj*s_CF_okra*0.001*(up_Irr!O3+up_Irr!AN3+up_Irr!BM3),".")</f>
        <v>7601.8282595287337</v>
      </c>
      <c r="AQ3" s="87">
        <f>IFERROR(s_C*s_IFON_res_adj*s_CF_onion*0.001*(up_Irr!P3+up_Irr!AO3+up_Irr!BN3),".")</f>
        <v>7601.8282595287337</v>
      </c>
      <c r="AR3" s="87">
        <f>IFERROR(s_C*s_IFPC_res_adj*s_CF_peach*0.001*(up_Irr!Q3+up_Irr!AP3+up_Irr!BO3),".")</f>
        <v>7601.8282595287337</v>
      </c>
      <c r="AS3" s="87">
        <f>IFERROR(s_C*s_IFPR_res_adj*s_CF_pear*0.001*(up_Irr!R3+up_Irr!AQ3+up_Irr!BP3),".")</f>
        <v>7601.8282595287337</v>
      </c>
      <c r="AT3" s="87">
        <f>IFERROR(s_C*s_IFPE_res_adj*s_CF_peas*0.001*(up_Irr!S3+up_Irr!AR3+up_Irr!BQ3),".")</f>
        <v>7601.8282595287337</v>
      </c>
      <c r="AU3" s="87">
        <f>IFERROR(s_C*s_IFPP_res_adj*s_CF_peppers*0.001*(up_Irr!T3+up_Irr!AS3+up_Irr!BR3),".")</f>
        <v>7601.8282595287337</v>
      </c>
      <c r="AV3" s="87">
        <f>IFERROR(s_C*s_IFPT_res_adj*s_CF_potato*0.001*(up_Irr!U3+up_Irr!AT3+up_Irr!BS3),".")</f>
        <v>7601.8282595287337</v>
      </c>
      <c r="AW3" s="87">
        <f>IFERROR(s_C*s_IFPU_res_adj*s_CF_pumpkin*0.001*(up_Irr!V3+up_Irr!AU3+up_Irr!BT3),".")</f>
        <v>7601.8282595287337</v>
      </c>
      <c r="AX3" s="87">
        <f>IFERROR(s_C*s_IFSN_res_adj*s_CF_snap_bean*0.001*(up_Irr!W3+up_Irr!AV3+up_Irr!BU3),".")</f>
        <v>7601.8282595287337</v>
      </c>
      <c r="AY3" s="87">
        <f>IFERROR(s_C*s_IFST_res_adj*s_CF_strawberry*0.001*(up_Irr!X3+up_Irr!AW3+up_Irr!BV3),".")</f>
        <v>7601.8282595287337</v>
      </c>
      <c r="AZ3" s="87">
        <f>IFERROR(s_C*s_IFTO_res_adj*s_CF_tomato*0.001*(up_Irr!Y3+up_Irr!AX3+up_Irr!BW3),".")</f>
        <v>7601.8282595287337</v>
      </c>
      <c r="BA3" s="87">
        <f>IFERROR(s_C*s_IFRI_res_adj*s_CF_rice*0.001*(up_Irr!Z3+up_Irr!AY3+up_Irr!BX3),".")</f>
        <v>7601.8282595287337</v>
      </c>
      <c r="BB3" s="87">
        <f>IFERROR(s_C*s_IFCG_res_adj*s_CF_cereal*0.001*(up_Irr!AA3+up_Irr!AZ3+up_Irr!BY3),".")</f>
        <v>7601.8282595287337</v>
      </c>
      <c r="BC3" s="70">
        <f t="shared" ref="BC3:BC30" si="2">IFERROR(1/SUM(1/BD3,1/BU3,1/CA3,1/CB3),".")</f>
        <v>1.6443412786038033E-4</v>
      </c>
      <c r="BD3" s="70">
        <f>IFERROR(IF(AND(up_Irr!C3&lt;&gt;".",up_Irr!AB3&lt;&gt;".",up_Irr!BA3&lt;&gt;"."),up_dir!AD3/((1/1000)*(up_Irr!C3+up_Irr!AB3+up_Irr!BA3)),IF(AND(up_Irr!C3&lt;&gt;".",up_Irr!AB3&lt;&gt;".",up_Irr!BA3="."),up_dir!AD3/((1/1000)*(up_Irr!C3+up_Irr!AB3)),IF(AND(up_Irr!C3&lt;&gt;".",up_Irr!AB3=".",up_Irr!BA3&lt;&gt;"."),up_dir!AD3/((1/1000)*(up_Irr!C3+up_Irr!BA3)),IF(AND(up_Irr!C3=".",up_Irr!AB3&lt;&gt;".",up_Irr!BA3&lt;&gt;"."),up_dir!AD3/((1/1000)*(up_Irr!AB3+up_Irr!BA3)),IF(AND(up_Irr!C3=".",up_Irr!AB3=".",up_Irr!BA3&lt;&gt;"."),up_dir!AD3/((1/1000)*(up_Irr!BA3)),IF(AND(up_Irr!C3=".",up_Irr!AB3&lt;&gt;".",up_Irr!BA3="."),up_dir!AD3/((1/1000)*(up_Irr!AB3)),IF(AND(up_Irr!C3&lt;&gt;".",up_Irr!AB3=".",up_Irr!BA3="."),up_dir!AD3/((1/1000)*(up_Irr!C3)),IF(AND(up_Irr!C3=".",up_Irr!AB3=".",up_Irr!BA3="."),up_dir!AD3*1000)))))))),".")</f>
        <v>6.5773651144152131E-4</v>
      </c>
      <c r="BE3" s="70">
        <f>IFERROR(IF(AND(up_Irr!D3&lt;&gt;".",up_Irr!AC3&lt;&gt;".",up_Irr!BB3&lt;&gt;"."),up_dir!AE3/((1/1000)*(up_Irr!D3+up_Irr!AC3+up_Irr!BB3)),IF(AND(up_Irr!D3&lt;&gt;".",up_Irr!AC3&lt;&gt;".",up_Irr!BB3="."),up_dir!AE3/((1/1000)*(up_Irr!D3+up_Irr!AC3)),IF(AND(up_Irr!D3&lt;&gt;".",up_Irr!AC3=".",up_Irr!BB3&lt;&gt;"."),up_dir!AE3/((1/1000)*(up_Irr!D3+up_Irr!BB3)),IF(AND(up_Irr!D3=".",up_Irr!AC3&lt;&gt;".",up_Irr!BB3&lt;&gt;"."),up_dir!AE3/((1/1000)*(up_Irr!AC3+up_Irr!BB3)),IF(AND(up_Irr!D3=".",up_Irr!AC3=".",up_Irr!BB3&lt;&gt;"."),up_dir!AE3/((1/1000)*(up_Irr!BB3)),IF(AND(up_Irr!D3=".",up_Irr!AC3&lt;&gt;".",up_Irr!BB3="."),up_dir!AE3/((1/1000)*(up_Irr!AC3)),IF(AND(up_Irr!D3&lt;&gt;".",up_Irr!AC3=".",up_Irr!BB3="."),up_dir!AE3/((1/1000)*(up_Irr!D3)),IF(AND(up_Irr!D3=".",up_Irr!AC3=".",up_Irr!BB3="."),up_dir!AE3*1000)))))))),".")</f>
        <v>6.5773651144152131E-4</v>
      </c>
      <c r="BF3" s="70">
        <f>IFERROR(IF(AND(up_Irr!E3&lt;&gt;".",up_Irr!AD3&lt;&gt;".",up_Irr!BC3&lt;&gt;"."),up_dir!AF3/((1/1000)*(up_Irr!E3+up_Irr!AD3+up_Irr!BC3)),IF(AND(up_Irr!E3&lt;&gt;".",up_Irr!AD3&lt;&gt;".",up_Irr!BC3="."),up_dir!AF3/((1/1000)*(up_Irr!E3+up_Irr!AD3)),IF(AND(up_Irr!E3&lt;&gt;".",up_Irr!AD3=".",up_Irr!BC3&lt;&gt;"."),up_dir!AF3/((1/1000)*(up_Irr!E3+up_Irr!BC3)),IF(AND(up_Irr!E3=".",up_Irr!AD3&lt;&gt;".",up_Irr!BC3&lt;&gt;"."),up_dir!AF3/((1/1000)*(up_Irr!AD3+up_Irr!BC3)),IF(AND(up_Irr!E3=".",up_Irr!AD3=".",up_Irr!BC3&lt;&gt;"."),up_dir!AF3/((1/1000)*(up_Irr!BC3)),IF(AND(up_Irr!E3=".",up_Irr!AD3&lt;&gt;".",up_Irr!BC3="."),up_dir!AF3/((1/1000)*(up_Irr!AD3)),IF(AND(up_Irr!E3&lt;&gt;".",up_Irr!AD3=".",up_Irr!BC3="."),up_dir!AF3/((1/1000)*(up_Irr!E3)),IF(AND(up_Irr!E3=".",up_Irr!AD3=".",up_Irr!BC3="."),up_dir!AF3*1000)))))))),".")</f>
        <v>6.5773651144152131E-4</v>
      </c>
      <c r="BG3" s="70">
        <f>IFERROR(IF(AND(up_Irr!F3&lt;&gt;".",up_Irr!AE3&lt;&gt;".",up_Irr!BD3&lt;&gt;"."),up_dir!AG3/((1/1000)*(up_Irr!F3+up_Irr!AE3+up_Irr!BD3)),IF(AND(up_Irr!F3&lt;&gt;".",up_Irr!AE3&lt;&gt;".",up_Irr!BD3="."),up_dir!AG3/((1/1000)*(up_Irr!F3+up_Irr!AE3)),IF(AND(up_Irr!F3&lt;&gt;".",up_Irr!AE3=".",up_Irr!BD3&lt;&gt;"."),up_dir!AG3/((1/1000)*(up_Irr!F3+up_Irr!BD3)),IF(AND(up_Irr!F3=".",up_Irr!AE3&lt;&gt;".",up_Irr!BD3&lt;&gt;"."),up_dir!AG3/((1/1000)*(up_Irr!AE3+up_Irr!BD3)),IF(AND(up_Irr!F3=".",up_Irr!AE3=".",up_Irr!BD3&lt;&gt;"."),up_dir!AG3/((1/1000)*(up_Irr!BD3)),IF(AND(up_Irr!F3=".",up_Irr!AE3&lt;&gt;".",up_Irr!BD3="."),up_dir!AG3/((1/1000)*(up_Irr!AE3)),IF(AND(up_Irr!F3&lt;&gt;".",up_Irr!AE3=".",up_Irr!BD3="."),up_dir!AG3/((1/1000)*(up_Irr!F3)),IF(AND(up_Irr!F3=".",up_Irr!AE3=".",up_Irr!BD3="."),up_dir!AG3*1000)))))))),".")</f>
        <v>6.5773651144152131E-4</v>
      </c>
      <c r="BH3" s="70">
        <f>IFERROR(IF(AND(up_Irr!G3&lt;&gt;".",up_Irr!AF3&lt;&gt;".",up_Irr!BE3&lt;&gt;"."),up_dir!AH3/((1/1000)*(up_Irr!G3+up_Irr!AF3+up_Irr!BE3)),IF(AND(up_Irr!G3&lt;&gt;".",up_Irr!AF3&lt;&gt;".",up_Irr!BE3="."),up_dir!AH3/((1/1000)*(up_Irr!G3+up_Irr!AF3)),IF(AND(up_Irr!G3&lt;&gt;".",up_Irr!AF3=".",up_Irr!BE3&lt;&gt;"."),up_dir!AH3/((1/1000)*(up_Irr!G3+up_Irr!BE3)),IF(AND(up_Irr!G3=".",up_Irr!AF3&lt;&gt;".",up_Irr!BE3&lt;&gt;"."),up_dir!AH3/((1/1000)*(up_Irr!AF3+up_Irr!BE3)),IF(AND(up_Irr!G3=".",up_Irr!AF3=".",up_Irr!BE3&lt;&gt;"."),up_dir!AH3/((1/1000)*(up_Irr!BE3)),IF(AND(up_Irr!G3=".",up_Irr!AF3&lt;&gt;".",up_Irr!BE3="."),up_dir!AH3/((1/1000)*(up_Irr!AF3)),IF(AND(up_Irr!G3&lt;&gt;".",up_Irr!AF3=".",up_Irr!BE3="."),up_dir!AH3/((1/1000)*(up_Irr!G3)),IF(AND(up_Irr!G3=".",up_Irr!AF3=".",up_Irr!BE3="."),up_dir!AH3*1000)))))))),".")</f>
        <v>6.5773651144152131E-4</v>
      </c>
      <c r="BI3" s="70">
        <f>IFERROR(IF(AND(up_Irr!H3&lt;&gt;".",up_Irr!AG3&lt;&gt;".",up_Irr!BF3&lt;&gt;"."),up_dir!AI3/((1/1000)*(up_Irr!H3+up_Irr!AG3+up_Irr!BF3)),IF(AND(up_Irr!H3&lt;&gt;".",up_Irr!AG3&lt;&gt;".",up_Irr!BF3="."),up_dir!AI3/((1/1000)*(up_Irr!H3+up_Irr!AG3)),IF(AND(up_Irr!H3&lt;&gt;".",up_Irr!AG3=".",up_Irr!BF3&lt;&gt;"."),up_dir!AI3/((1/1000)*(up_Irr!H3+up_Irr!BF3)),IF(AND(up_Irr!H3=".",up_Irr!AG3&lt;&gt;".",up_Irr!BF3&lt;&gt;"."),up_dir!AI3/((1/1000)*(up_Irr!AG3+up_Irr!BF3)),IF(AND(up_Irr!H3=".",up_Irr!AG3=".",up_Irr!BF3&lt;&gt;"."),up_dir!AI3/((1/1000)*(up_Irr!BF3)),IF(AND(up_Irr!H3=".",up_Irr!AG3&lt;&gt;".",up_Irr!BF3="."),up_dir!AI3/((1/1000)*(up_Irr!AG3)),IF(AND(up_Irr!H3&lt;&gt;".",up_Irr!AG3=".",up_Irr!BF3="."),up_dir!AI3/((1/1000)*(up_Irr!H3)),IF(AND(up_Irr!H3=".",up_Irr!AG3=".",up_Irr!BF3="."),up_dir!AI3*1000)))))))),".")</f>
        <v>6.5773651144152131E-4</v>
      </c>
      <c r="BJ3" s="70">
        <f>IFERROR(IF(AND(up_Irr!I3&lt;&gt;".",up_Irr!AH3&lt;&gt;".",up_Irr!BG3&lt;&gt;"."),up_dir!AJ3/((1/1000)*(up_Irr!I3+up_Irr!AH3+up_Irr!BG3)),IF(AND(up_Irr!I3&lt;&gt;".",up_Irr!AH3&lt;&gt;".",up_Irr!BG3="."),up_dir!AJ3/((1/1000)*(up_Irr!I3+up_Irr!AH3)),IF(AND(up_Irr!I3&lt;&gt;".",up_Irr!AH3=".",up_Irr!BG3&lt;&gt;"."),up_dir!AJ3/((1/1000)*(up_Irr!I3+up_Irr!BG3)),IF(AND(up_Irr!I3=".",up_Irr!AH3&lt;&gt;".",up_Irr!BG3&lt;&gt;"."),up_dir!AJ3/((1/1000)*(up_Irr!AH3+up_Irr!BG3)),IF(AND(up_Irr!I3=".",up_Irr!AH3=".",up_Irr!BG3&lt;&gt;"."),up_dir!AJ3/((1/1000)*(up_Irr!BG3)),IF(AND(up_Irr!I3=".",up_Irr!AH3&lt;&gt;".",up_Irr!BG3="."),up_dir!AJ3/((1/1000)*(up_Irr!AH3)),IF(AND(up_Irr!I3&lt;&gt;".",up_Irr!AH3=".",up_Irr!BG3="."),up_dir!AJ3/((1/1000)*(up_Irr!I3)),IF(AND(up_Irr!I3=".",up_Irr!AH3=".",up_Irr!BG3="."),up_dir!AJ3*1000)))))))),".")</f>
        <v>6.5773651144152131E-4</v>
      </c>
      <c r="BK3" s="70">
        <f>IFERROR(IF(AND(up_Irr!J3&lt;&gt;".",up_Irr!AI3&lt;&gt;".",up_Irr!BH3&lt;&gt;"."),up_dir!AK3/((1/1000)*(up_Irr!J3+up_Irr!AI3+up_Irr!BH3)),IF(AND(up_Irr!J3&lt;&gt;".",up_Irr!AI3&lt;&gt;".",up_Irr!BH3="."),up_dir!AK3/((1/1000)*(up_Irr!J3+up_Irr!AI3)),IF(AND(up_Irr!J3&lt;&gt;".",up_Irr!AI3=".",up_Irr!BH3&lt;&gt;"."),up_dir!AK3/((1/1000)*(up_Irr!J3+up_Irr!BH3)),IF(AND(up_Irr!J3=".",up_Irr!AI3&lt;&gt;".",up_Irr!BH3&lt;&gt;"."),up_dir!AK3/((1/1000)*(up_Irr!AI3+up_Irr!BH3)),IF(AND(up_Irr!J3=".",up_Irr!AI3=".",up_Irr!BH3&lt;&gt;"."),up_dir!AK3/((1/1000)*(up_Irr!BH3)),IF(AND(up_Irr!J3=".",up_Irr!AI3&lt;&gt;".",up_Irr!BH3="."),up_dir!AK3/((1/1000)*(up_Irr!AI3)),IF(AND(up_Irr!J3&lt;&gt;".",up_Irr!AI3=".",up_Irr!BH3="."),up_dir!AK3/((1/1000)*(up_Irr!J3)),IF(AND(up_Irr!J3=".",up_Irr!AI3=".",up_Irr!BH3="."),up_dir!AK3*1000)))))))),".")</f>
        <v>6.5773651144152131E-4</v>
      </c>
      <c r="BL3" s="70">
        <f>IFERROR(IF(AND(up_Irr!K3&lt;&gt;".",up_Irr!AJ3&lt;&gt;".",up_Irr!BI3&lt;&gt;"."),up_dir!AL3/((1/1000)*(up_Irr!K3+up_Irr!AJ3+up_Irr!BI3)),IF(AND(up_Irr!K3&lt;&gt;".",up_Irr!AJ3&lt;&gt;".",up_Irr!BI3="."),up_dir!AL3/((1/1000)*(up_Irr!K3+up_Irr!AJ3)),IF(AND(up_Irr!K3&lt;&gt;".",up_Irr!AJ3=".",up_Irr!BI3&lt;&gt;"."),up_dir!AL3/((1/1000)*(up_Irr!K3+up_Irr!BI3)),IF(AND(up_Irr!K3=".",up_Irr!AJ3&lt;&gt;".",up_Irr!BI3&lt;&gt;"."),up_dir!AL3/((1/1000)*(up_Irr!AJ3+up_Irr!BI3)),IF(AND(up_Irr!K3=".",up_Irr!AJ3=".",up_Irr!BI3&lt;&gt;"."),up_dir!AL3/((1/1000)*(up_Irr!BI3)),IF(AND(up_Irr!K3=".",up_Irr!AJ3&lt;&gt;".",up_Irr!BI3="."),up_dir!AL3/((1/1000)*(up_Irr!AJ3)),IF(AND(up_Irr!K3&lt;&gt;".",up_Irr!AJ3=".",up_Irr!BI3="."),up_dir!AL3/((1/1000)*(up_Irr!K3)),IF(AND(up_Irr!K3=".",up_Irr!AJ3=".",up_Irr!BI3="."),up_dir!AL3*1000)))))))),".")</f>
        <v>6.5773651144152131E-4</v>
      </c>
      <c r="BM3" s="70">
        <f>IFERROR(IF(AND(up_Irr!L3&lt;&gt;".",up_Irr!AK3&lt;&gt;".",up_Irr!BJ3&lt;&gt;"."),up_dir!AM3/((1/1000)*(up_Irr!L3+up_Irr!AK3+up_Irr!BJ3)),IF(AND(up_Irr!L3&lt;&gt;".",up_Irr!AK3&lt;&gt;".",up_Irr!BJ3="."),up_dir!AM3/((1/1000)*(up_Irr!L3+up_Irr!AK3)),IF(AND(up_Irr!L3&lt;&gt;".",up_Irr!AK3=".",up_Irr!BJ3&lt;&gt;"."),up_dir!AM3/((1/1000)*(up_Irr!L3+up_Irr!BJ3)),IF(AND(up_Irr!L3=".",up_Irr!AK3&lt;&gt;".",up_Irr!BJ3&lt;&gt;"."),up_dir!AM3/((1/1000)*(up_Irr!AK3+up_Irr!BJ3)),IF(AND(up_Irr!L3=".",up_Irr!AK3=".",up_Irr!BJ3&lt;&gt;"."),up_dir!AM3/((1/1000)*(up_Irr!BJ3)),IF(AND(up_Irr!L3=".",up_Irr!AK3&lt;&gt;".",up_Irr!BJ3="."),up_dir!AM3/((1/1000)*(up_Irr!AK3)),IF(AND(up_Irr!L3&lt;&gt;".",up_Irr!AK3=".",up_Irr!BJ3="."),up_dir!AM3/((1/1000)*(up_Irr!L3)),IF(AND(up_Irr!L3=".",up_Irr!AK3=".",up_Irr!BJ3="."),up_dir!AM3*1000)))))))),".")</f>
        <v>6.5773651144152131E-4</v>
      </c>
      <c r="BN3" s="70">
        <f>IFERROR(IF(AND(up_Irr!M3&lt;&gt;".",up_Irr!AL3&lt;&gt;".",up_Irr!BK3&lt;&gt;"."),up_dir!AN3/((1/1000)*(up_Irr!M3+up_Irr!AL3+up_Irr!BK3)),IF(AND(up_Irr!M3&lt;&gt;".",up_Irr!AL3&lt;&gt;".",up_Irr!BK3="."),up_dir!AN3/((1/1000)*(up_Irr!M3+up_Irr!AL3)),IF(AND(up_Irr!M3&lt;&gt;".",up_Irr!AL3=".",up_Irr!BK3&lt;&gt;"."),up_dir!AN3/((1/1000)*(up_Irr!M3+up_Irr!BK3)),IF(AND(up_Irr!M3=".",up_Irr!AL3&lt;&gt;".",up_Irr!BK3&lt;&gt;"."),up_dir!AN3/((1/1000)*(up_Irr!AL3+up_Irr!BK3)),IF(AND(up_Irr!M3=".",up_Irr!AL3=".",up_Irr!BK3&lt;&gt;"."),up_dir!AN3/((1/1000)*(up_Irr!BK3)),IF(AND(up_Irr!M3=".",up_Irr!AL3&lt;&gt;".",up_Irr!BK3="."),up_dir!AN3/((1/1000)*(up_Irr!AL3)),IF(AND(up_Irr!M3&lt;&gt;".",up_Irr!AL3=".",up_Irr!BK3="."),up_dir!AN3/((1/1000)*(up_Irr!M3)),IF(AND(up_Irr!M3=".",up_Irr!AL3=".",up_Irr!BK3="."),up_dir!AN3*1000)))))))),".")</f>
        <v>6.5773651144152131E-4</v>
      </c>
      <c r="BO3" s="70">
        <f>IFERROR(IF(AND(up_Irr!N3&lt;&gt;".",up_Irr!AM3&lt;&gt;".",up_Irr!BL3&lt;&gt;"."),up_dir!AO3/((1/1000)*(up_Irr!N3+up_Irr!AM3+up_Irr!BL3)),IF(AND(up_Irr!N3&lt;&gt;".",up_Irr!AM3&lt;&gt;".",up_Irr!BL3="."),up_dir!AO3/((1/1000)*(up_Irr!N3+up_Irr!AM3)),IF(AND(up_Irr!N3&lt;&gt;".",up_Irr!AM3=".",up_Irr!BL3&lt;&gt;"."),up_dir!AO3/((1/1000)*(up_Irr!N3+up_Irr!BL3)),IF(AND(up_Irr!N3=".",up_Irr!AM3&lt;&gt;".",up_Irr!BL3&lt;&gt;"."),up_dir!AO3/((1/1000)*(up_Irr!AM3+up_Irr!BL3)),IF(AND(up_Irr!N3=".",up_Irr!AM3=".",up_Irr!BL3&lt;&gt;"."),up_dir!AO3/((1/1000)*(up_Irr!BL3)),IF(AND(up_Irr!N3=".",up_Irr!AM3&lt;&gt;".",up_Irr!BL3="."),up_dir!AO3/((1/1000)*(up_Irr!AM3)),IF(AND(up_Irr!N3&lt;&gt;".",up_Irr!AM3=".",up_Irr!BL3="."),up_dir!AO3/((1/1000)*(up_Irr!N3)),IF(AND(up_Irr!N3=".",up_Irr!AM3=".",up_Irr!BL3="."),up_dir!AO3*1000)))))))),".")</f>
        <v>6.5773651144152131E-4</v>
      </c>
      <c r="BP3" s="70">
        <f>IFERROR(IF(AND(up_Irr!O3&lt;&gt;".",up_Irr!AN3&lt;&gt;".",up_Irr!BM3&lt;&gt;"."),up_dir!AP3/((1/1000)*(up_Irr!O3+up_Irr!AN3+up_Irr!BM3)),IF(AND(up_Irr!O3&lt;&gt;".",up_Irr!AN3&lt;&gt;".",up_Irr!BM3="."),up_dir!AP3/((1/1000)*(up_Irr!O3+up_Irr!AN3)),IF(AND(up_Irr!O3&lt;&gt;".",up_Irr!AN3=".",up_Irr!BM3&lt;&gt;"."),up_dir!AP3/((1/1000)*(up_Irr!O3+up_Irr!BM3)),IF(AND(up_Irr!O3=".",up_Irr!AN3&lt;&gt;".",up_Irr!BM3&lt;&gt;"."),up_dir!AP3/((1/1000)*(up_Irr!AN3+up_Irr!BM3)),IF(AND(up_Irr!O3=".",up_Irr!AN3=".",up_Irr!BM3&lt;&gt;"."),up_dir!AP3/((1/1000)*(up_Irr!BM3)),IF(AND(up_Irr!O3=".",up_Irr!AN3&lt;&gt;".",up_Irr!BM3="."),up_dir!AP3/((1/1000)*(up_Irr!AN3)),IF(AND(up_Irr!O3&lt;&gt;".",up_Irr!AN3=".",up_Irr!BM3="."),up_dir!AP3/((1/1000)*(up_Irr!O3)),IF(AND(up_Irr!O3=".",up_Irr!AN3=".",up_Irr!BM3="."),up_dir!AP3*1000)))))))),".")</f>
        <v>6.5773651144152131E-4</v>
      </c>
      <c r="BQ3" s="70">
        <f>IFERROR(IF(AND(up_Irr!P3&lt;&gt;".",up_Irr!AO3&lt;&gt;".",up_Irr!BN3&lt;&gt;"."),up_dir!AQ3/((1/1000)*(up_Irr!P3+up_Irr!AO3+up_Irr!BN3)),IF(AND(up_Irr!P3&lt;&gt;".",up_Irr!AO3&lt;&gt;".",up_Irr!BN3="."),up_dir!AQ3/((1/1000)*(up_Irr!P3+up_Irr!AO3)),IF(AND(up_Irr!P3&lt;&gt;".",up_Irr!AO3=".",up_Irr!BN3&lt;&gt;"."),up_dir!AQ3/((1/1000)*(up_Irr!P3+up_Irr!BN3)),IF(AND(up_Irr!P3=".",up_Irr!AO3&lt;&gt;".",up_Irr!BN3&lt;&gt;"."),up_dir!AQ3/((1/1000)*(up_Irr!AO3+up_Irr!BN3)),IF(AND(up_Irr!P3=".",up_Irr!AO3=".",up_Irr!BN3&lt;&gt;"."),up_dir!AQ3/((1/1000)*(up_Irr!BN3)),IF(AND(up_Irr!P3=".",up_Irr!AO3&lt;&gt;".",up_Irr!BN3="."),up_dir!AQ3/((1/1000)*(up_Irr!AO3)),IF(AND(up_Irr!P3&lt;&gt;".",up_Irr!AO3=".",up_Irr!BN3="."),up_dir!AQ3/((1/1000)*(up_Irr!P3)),IF(AND(up_Irr!P3=".",up_Irr!AO3=".",up_Irr!BN3="."),up_dir!AQ3*1000)))))))),".")</f>
        <v>6.5773651144152131E-4</v>
      </c>
      <c r="BR3" s="70">
        <f>IFERROR(IF(AND(up_Irr!Q3&lt;&gt;".",up_Irr!AP3&lt;&gt;".",up_Irr!BO3&lt;&gt;"."),up_dir!AR3/((1/1000)*(up_Irr!Q3+up_Irr!AP3+up_Irr!BO3)),IF(AND(up_Irr!Q3&lt;&gt;".",up_Irr!AP3&lt;&gt;".",up_Irr!BO3="."),up_dir!AR3/((1/1000)*(up_Irr!Q3+up_Irr!AP3)),IF(AND(up_Irr!Q3&lt;&gt;".",up_Irr!AP3=".",up_Irr!BO3&lt;&gt;"."),up_dir!AR3/((1/1000)*(up_Irr!Q3+up_Irr!BO3)),IF(AND(up_Irr!Q3=".",up_Irr!AP3&lt;&gt;".",up_Irr!BO3&lt;&gt;"."),up_dir!AR3/((1/1000)*(up_Irr!AP3+up_Irr!BO3)),IF(AND(up_Irr!Q3=".",up_Irr!AP3=".",up_Irr!BO3&lt;&gt;"."),up_dir!AR3/((1/1000)*(up_Irr!BO3)),IF(AND(up_Irr!Q3=".",up_Irr!AP3&lt;&gt;".",up_Irr!BO3="."),up_dir!AR3/((1/1000)*(up_Irr!AP3)),IF(AND(up_Irr!Q3&lt;&gt;".",up_Irr!AP3=".",up_Irr!BO3="."),up_dir!AR3/((1/1000)*(up_Irr!Q3)),IF(AND(up_Irr!Q3=".",up_Irr!AP3=".",up_Irr!BO3="."),up_dir!AR3*1000)))))))),".")</f>
        <v>6.5773651144152131E-4</v>
      </c>
      <c r="BS3" s="70">
        <f>IFERROR(IF(AND(up_Irr!R3&lt;&gt;".",up_Irr!AQ3&lt;&gt;".",up_Irr!BP3&lt;&gt;"."),up_dir!AS3/((1/1000)*(up_Irr!R3+up_Irr!AQ3+up_Irr!BP3)),IF(AND(up_Irr!R3&lt;&gt;".",up_Irr!AQ3&lt;&gt;".",up_Irr!BP3="."),up_dir!AS3/((1/1000)*(up_Irr!R3+up_Irr!AQ3)),IF(AND(up_Irr!R3&lt;&gt;".",up_Irr!AQ3=".",up_Irr!BP3&lt;&gt;"."),up_dir!AS3/((1/1000)*(up_Irr!R3+up_Irr!BP3)),IF(AND(up_Irr!R3=".",up_Irr!AQ3&lt;&gt;".",up_Irr!BP3&lt;&gt;"."),up_dir!AS3/((1/1000)*(up_Irr!AQ3+up_Irr!BP3)),IF(AND(up_Irr!R3=".",up_Irr!AQ3=".",up_Irr!BP3&lt;&gt;"."),up_dir!AS3/((1/1000)*(up_Irr!BP3)),IF(AND(up_Irr!R3=".",up_Irr!AQ3&lt;&gt;".",up_Irr!BP3="."),up_dir!AS3/((1/1000)*(up_Irr!AQ3)),IF(AND(up_Irr!R3&lt;&gt;".",up_Irr!AQ3=".",up_Irr!BP3="."),up_dir!AS3/((1/1000)*(up_Irr!R3)),IF(AND(up_Irr!R3=".",up_Irr!AQ3=".",up_Irr!BP3="."),up_dir!AS3*1000)))))))),".")</f>
        <v>6.5773651144152131E-4</v>
      </c>
      <c r="BT3" s="70">
        <f>IFERROR(IF(AND(up_Irr!S3&lt;&gt;".",up_Irr!AR3&lt;&gt;".",up_Irr!BQ3&lt;&gt;"."),up_dir!AT3/((1/1000)*(up_Irr!S3+up_Irr!AR3+up_Irr!BQ3)),IF(AND(up_Irr!S3&lt;&gt;".",up_Irr!AR3&lt;&gt;".",up_Irr!BQ3="."),up_dir!AT3/((1/1000)*(up_Irr!S3+up_Irr!AR3)),IF(AND(up_Irr!S3&lt;&gt;".",up_Irr!AR3=".",up_Irr!BQ3&lt;&gt;"."),up_dir!AT3/((1/1000)*(up_Irr!S3+up_Irr!BQ3)),IF(AND(up_Irr!S3=".",up_Irr!AR3&lt;&gt;".",up_Irr!BQ3&lt;&gt;"."),up_dir!AT3/((1/1000)*(up_Irr!AR3+up_Irr!BQ3)),IF(AND(up_Irr!S3=".",up_Irr!AR3=".",up_Irr!BQ3&lt;&gt;"."),up_dir!AT3/((1/1000)*(up_Irr!BQ3)),IF(AND(up_Irr!S3=".",up_Irr!AR3&lt;&gt;".",up_Irr!BQ3="."),up_dir!AT3/((1/1000)*(up_Irr!AR3)),IF(AND(up_Irr!S3&lt;&gt;".",up_Irr!AR3=".",up_Irr!BQ3="."),up_dir!AT3/((1/1000)*(up_Irr!S3)),IF(AND(up_Irr!S3=".",up_Irr!AR3=".",up_Irr!BQ3="."),up_dir!AT3*1000)))))))),".")</f>
        <v>6.5773651144152131E-4</v>
      </c>
      <c r="BU3" s="70">
        <f>IFERROR(IF(AND(up_Irr!T3&lt;&gt;".",up_Irr!AS3&lt;&gt;".",up_Irr!BR3&lt;&gt;"."),up_dir!AU3/((1/1000)*(up_Irr!T3+up_Irr!AS3+up_Irr!BR3)),IF(AND(up_Irr!T3&lt;&gt;".",up_Irr!AS3&lt;&gt;".",up_Irr!BR3="."),up_dir!AU3/((1/1000)*(up_Irr!T3+up_Irr!AS3)),IF(AND(up_Irr!T3&lt;&gt;".",up_Irr!AS3=".",up_Irr!BR3&lt;&gt;"."),up_dir!AU3/((1/1000)*(up_Irr!T3+up_Irr!BR3)),IF(AND(up_Irr!T3=".",up_Irr!AS3&lt;&gt;".",up_Irr!BR3&lt;&gt;"."),up_dir!AU3/((1/1000)*(up_Irr!AS3+up_Irr!BR3)),IF(AND(up_Irr!T3=".",up_Irr!AS3=".",up_Irr!BR3&lt;&gt;"."),up_dir!AU3/((1/1000)*(up_Irr!BR3)),IF(AND(up_Irr!T3=".",up_Irr!AS3&lt;&gt;".",up_Irr!BR3="."),up_dir!AU3/((1/1000)*(up_Irr!AS3)),IF(AND(up_Irr!T3&lt;&gt;".",up_Irr!AS3=".",up_Irr!BR3="."),up_dir!AU3/((1/1000)*(up_Irr!T3)),IF(AND(up_Irr!T3=".",up_Irr!AS3=".",up_Irr!BR3="."),up_dir!AU3*1000)))))))),".")</f>
        <v>6.5773651144152131E-4</v>
      </c>
      <c r="BV3" s="70">
        <f>IFERROR(IF(AND(up_Irr!U3&lt;&gt;".",up_Irr!AT3&lt;&gt;".",up_Irr!BS3&lt;&gt;"."),up_dir!AV3/((1/1000)*(up_Irr!U3+up_Irr!AT3+up_Irr!BS3)),IF(AND(up_Irr!U3&lt;&gt;".",up_Irr!AT3&lt;&gt;".",up_Irr!BS3="."),up_dir!AV3/((1/1000)*(up_Irr!U3+up_Irr!AT3)),IF(AND(up_Irr!U3&lt;&gt;".",up_Irr!AT3=".",up_Irr!BS3&lt;&gt;"."),up_dir!AV3/((1/1000)*(up_Irr!U3+up_Irr!BS3)),IF(AND(up_Irr!U3=".",up_Irr!AT3&lt;&gt;".",up_Irr!BS3&lt;&gt;"."),up_dir!AV3/((1/1000)*(up_Irr!AT3+up_Irr!BS3)),IF(AND(up_Irr!U3=".",up_Irr!AT3=".",up_Irr!BS3&lt;&gt;"."),up_dir!AV3/((1/1000)*(up_Irr!BS3)),IF(AND(up_Irr!U3=".",up_Irr!AT3&lt;&gt;".",up_Irr!BS3="."),up_dir!AV3/((1/1000)*(up_Irr!AT3)),IF(AND(up_Irr!U3&lt;&gt;".",up_Irr!AT3=".",up_Irr!BS3="."),up_dir!AV3/((1/1000)*(up_Irr!U3)),IF(AND(up_Irr!U3=".",up_Irr!AT3=".",up_Irr!BS3="."),up_dir!AV3*1000)))))))),".")</f>
        <v>6.5773651144152131E-4</v>
      </c>
      <c r="BW3" s="70">
        <f>IFERROR(IF(AND(up_Irr!V3&lt;&gt;".",up_Irr!AU3&lt;&gt;".",up_Irr!BT3&lt;&gt;"."),up_dir!AW3/((1/1000)*(up_Irr!V3+up_Irr!AU3+up_Irr!BT3)),IF(AND(up_Irr!V3&lt;&gt;".",up_Irr!AU3&lt;&gt;".",up_Irr!BT3="."),up_dir!AW3/((1/1000)*(up_Irr!V3+up_Irr!AU3)),IF(AND(up_Irr!V3&lt;&gt;".",up_Irr!AU3=".",up_Irr!BT3&lt;&gt;"."),up_dir!AW3/((1/1000)*(up_Irr!V3+up_Irr!BT3)),IF(AND(up_Irr!V3=".",up_Irr!AU3&lt;&gt;".",up_Irr!BT3&lt;&gt;"."),up_dir!AW3/((1/1000)*(up_Irr!AU3+up_Irr!BT3)),IF(AND(up_Irr!V3=".",up_Irr!AU3=".",up_Irr!BT3&lt;&gt;"."),up_dir!AW3/((1/1000)*(up_Irr!BT3)),IF(AND(up_Irr!V3=".",up_Irr!AU3&lt;&gt;".",up_Irr!BT3="."),up_dir!AW3/((1/1000)*(up_Irr!AU3)),IF(AND(up_Irr!V3&lt;&gt;".",up_Irr!AU3=".",up_Irr!BT3="."),up_dir!AW3/((1/1000)*(up_Irr!V3)),IF(AND(up_Irr!V3=".",up_Irr!AU3=".",up_Irr!BT3="."),up_dir!AW3*1000)))))))),".")</f>
        <v>6.5773651144152131E-4</v>
      </c>
      <c r="BX3" s="70">
        <f>IFERROR(IF(AND(up_Irr!W3&lt;&gt;".",up_Irr!AV3&lt;&gt;".",up_Irr!BU3&lt;&gt;"."),up_dir!AX3/((1/1000)*(up_Irr!W3+up_Irr!AV3+up_Irr!BU3)),IF(AND(up_Irr!W3&lt;&gt;".",up_Irr!AV3&lt;&gt;".",up_Irr!BU3="."),up_dir!AX3/((1/1000)*(up_Irr!W3+up_Irr!AV3)),IF(AND(up_Irr!W3&lt;&gt;".",up_Irr!AV3=".",up_Irr!BU3&lt;&gt;"."),up_dir!AX3/((1/1000)*(up_Irr!W3+up_Irr!BU3)),IF(AND(up_Irr!W3=".",up_Irr!AV3&lt;&gt;".",up_Irr!BU3&lt;&gt;"."),up_dir!AX3/((1/1000)*(up_Irr!AV3+up_Irr!BU3)),IF(AND(up_Irr!W3=".",up_Irr!AV3=".",up_Irr!BU3&lt;&gt;"."),up_dir!AX3/((1/1000)*(up_Irr!BU3)),IF(AND(up_Irr!W3=".",up_Irr!AV3&lt;&gt;".",up_Irr!BU3="."),up_dir!AX3/((1/1000)*(up_Irr!AV3)),IF(AND(up_Irr!W3&lt;&gt;".",up_Irr!AV3=".",up_Irr!BU3="."),up_dir!AX3/((1/1000)*(up_Irr!W3)),IF(AND(up_Irr!W3=".",up_Irr!AV3=".",up_Irr!BU3="."),up_dir!AX3*1000)))))))),".")</f>
        <v>6.5773651144152131E-4</v>
      </c>
      <c r="BY3" s="70">
        <f>IFERROR(IF(AND(up_Irr!X3&lt;&gt;".",up_Irr!AW3&lt;&gt;".",up_Irr!BV3&lt;&gt;"."),up_dir!AY3/((1/1000)*(up_Irr!X3+up_Irr!AW3+up_Irr!BV3)),IF(AND(up_Irr!X3&lt;&gt;".",up_Irr!AW3&lt;&gt;".",up_Irr!BV3="."),up_dir!AY3/((1/1000)*(up_Irr!X3+up_Irr!AW3)),IF(AND(up_Irr!X3&lt;&gt;".",up_Irr!AW3=".",up_Irr!BV3&lt;&gt;"."),up_dir!AY3/((1/1000)*(up_Irr!X3+up_Irr!BV3)),IF(AND(up_Irr!X3=".",up_Irr!AW3&lt;&gt;".",up_Irr!BV3&lt;&gt;"."),up_dir!AY3/((1/1000)*(up_Irr!AW3+up_Irr!BV3)),IF(AND(up_Irr!X3=".",up_Irr!AW3=".",up_Irr!BV3&lt;&gt;"."),up_dir!AY3/((1/1000)*(up_Irr!BV3)),IF(AND(up_Irr!X3=".",up_Irr!AW3&lt;&gt;".",up_Irr!BV3="."),up_dir!AY3/((1/1000)*(up_Irr!AW3)),IF(AND(up_Irr!X3&lt;&gt;".",up_Irr!AW3=".",up_Irr!BV3="."),up_dir!AY3/((1/1000)*(up_Irr!X3)),IF(AND(up_Irr!X3=".",up_Irr!AW3=".",up_Irr!BV3="."),up_dir!AY3*1000)))))))),".")</f>
        <v>6.5773651144152131E-4</v>
      </c>
      <c r="BZ3" s="70">
        <f>IFERROR(IF(AND(up_Irr!Y3&lt;&gt;".",up_Irr!AX3&lt;&gt;".",up_Irr!BW3&lt;&gt;"."),up_dir!AZ3/((1/1000)*(up_Irr!Y3+up_Irr!AX3+up_Irr!BW3)),IF(AND(up_Irr!Y3&lt;&gt;".",up_Irr!AX3&lt;&gt;".",up_Irr!BW3="."),up_dir!AZ3/((1/1000)*(up_Irr!Y3+up_Irr!AX3)),IF(AND(up_Irr!Y3&lt;&gt;".",up_Irr!AX3=".",up_Irr!BW3&lt;&gt;"."),up_dir!AZ3/((1/1000)*(up_Irr!Y3+up_Irr!BW3)),IF(AND(up_Irr!Y3=".",up_Irr!AX3&lt;&gt;".",up_Irr!BW3&lt;&gt;"."),up_dir!AZ3/((1/1000)*(up_Irr!AX3+up_Irr!BW3)),IF(AND(up_Irr!Y3=".",up_Irr!AX3=".",up_Irr!BW3&lt;&gt;"."),up_dir!AZ3/((1/1000)*(up_Irr!BW3)),IF(AND(up_Irr!Y3=".",up_Irr!AX3&lt;&gt;".",up_Irr!BW3="."),up_dir!AZ3/((1/1000)*(up_Irr!AX3)),IF(AND(up_Irr!Y3&lt;&gt;".",up_Irr!AX3=".",up_Irr!BW3="."),up_dir!AZ3/((1/1000)*(up_Irr!Y3)),IF(AND(up_Irr!Y3=".",up_Irr!AX3=".",up_Irr!BW3="."),up_dir!AZ3*1000)))))))),".")</f>
        <v>6.5773651144152131E-4</v>
      </c>
      <c r="CA3" s="70">
        <f>IFERROR(IF(AND(up_Irr!Z3&lt;&gt;".",up_Irr!AY3&lt;&gt;".",up_Irr!BX3&lt;&gt;"."),up_dir!BA3/((1/1000)*(up_Irr!Z3+up_Irr!AY3+up_Irr!BX3)),IF(AND(up_Irr!Z3&lt;&gt;".",up_Irr!AY3&lt;&gt;".",up_Irr!BX3="."),up_dir!BA3/((1/1000)*(up_Irr!Z3+up_Irr!AY3)),IF(AND(up_Irr!Z3&lt;&gt;".",up_Irr!AY3=".",up_Irr!BX3&lt;&gt;"."),up_dir!BA3/((1/1000)*(up_Irr!Z3+up_Irr!BX3)),IF(AND(up_Irr!Z3=".",up_Irr!AY3&lt;&gt;".",up_Irr!BX3&lt;&gt;"."),up_dir!BA3/((1/1000)*(up_Irr!AY3+up_Irr!BX3)),IF(AND(up_Irr!Z3=".",up_Irr!AY3=".",up_Irr!BX3&lt;&gt;"."),up_dir!BA3/((1/1000)*(up_Irr!BX3)),IF(AND(up_Irr!Z3=".",up_Irr!AY3&lt;&gt;".",up_Irr!BX3="."),up_dir!BA3/((1/1000)*(up_Irr!AY3)),IF(AND(up_Irr!Z3&lt;&gt;".",up_Irr!AY3=".",up_Irr!BX3="."),up_dir!BA3/((1/1000)*(up_Irr!Z3)),IF(AND(up_Irr!Z3=".",up_Irr!AY3=".",up_Irr!BX3="."),up_dir!BA3*1000)))))))),".")</f>
        <v>6.5773651144152131E-4</v>
      </c>
      <c r="CB3" s="70">
        <f>IFERROR(IF(AND(up_Irr!AA3&lt;&gt;".",up_Irr!AZ3&lt;&gt;".",up_Irr!BY3&lt;&gt;"."),up_dir!BB3/((1/1000)*(up_Irr!AA3+up_Irr!AZ3+up_Irr!BY3)),IF(AND(up_Irr!AA3&lt;&gt;".",up_Irr!AZ3&lt;&gt;".",up_Irr!BY3="."),up_dir!BB3/((1/1000)*(up_Irr!AA3+up_Irr!AZ3)),IF(AND(up_Irr!AA3&lt;&gt;".",up_Irr!AZ3=".",up_Irr!BY3&lt;&gt;"."),up_dir!BB3/((1/1000)*(up_Irr!AA3+up_Irr!BY3)),IF(AND(up_Irr!AA3=".",up_Irr!AZ3&lt;&gt;".",up_Irr!BY3&lt;&gt;"."),up_dir!BB3/((1/1000)*(up_Irr!AZ3+up_Irr!BY3)),IF(AND(up_Irr!AA3=".",up_Irr!AZ3=".",up_Irr!BY3&lt;&gt;"."),up_dir!BB3/((1/1000)*(up_Irr!BY3)),IF(AND(up_Irr!AA3=".",up_Irr!AZ3&lt;&gt;".",up_Irr!BY3="."),up_dir!BB3/((1/1000)*(up_Irr!AZ3)),IF(AND(up_Irr!AA3&lt;&gt;".",up_Irr!AZ3=".",up_Irr!BY3="."),up_dir!BB3/((1/1000)*(up_Irr!AA3)),IF(AND(up_Irr!AA3=".",up_Irr!AZ3=".",up_Irr!BY3="."),up_dir!BB3*1000)))))))),".")</f>
        <v>6.5773651144152131E-4</v>
      </c>
      <c r="CC3" s="87">
        <f t="shared" ref="CC3:CC30" si="3">SUM(CD3,CU3,DA3:DB3)</f>
        <v>30407.313038114935</v>
      </c>
      <c r="CD3" s="87">
        <f>IFERROR(s_C*s_IFAP_far_adj*s_CF_apple*(1/1000)*(up_Irr!C3+up_Irr!AB3+up_Irr!BA3),".")</f>
        <v>7601.8282595287337</v>
      </c>
      <c r="CE3" s="87">
        <f>IFERROR(s_C*s_IFAS_far_adj*s_CF_asparagus*(1/1000)*(up_Irr!D3+up_Irr!AC3+up_Irr!BB3),".")</f>
        <v>7601.8282595287337</v>
      </c>
      <c r="CF3" s="87">
        <f>IFERROR(s_C*s_IFBT_far_adj*s_CF_beet*(1/1000)*(up_Irr!E3+up_Irr!AD3+up_Irr!BC3),".")</f>
        <v>7601.8282595287337</v>
      </c>
      <c r="CG3" s="87">
        <f>IFERROR(s_C*s_IFBE_far_adj*s_CF_berries*(1/1000)*(up_Irr!F3+up_Irr!AE3+up_Irr!BD3),".")</f>
        <v>7601.8282595287337</v>
      </c>
      <c r="CH3" s="87">
        <f>IFERROR(s_C*s_IFBR_far_adj*s_CF_broccoli*(1/1000)*(up_Irr!G3+up_Irr!AF3+up_Irr!BE3),".")</f>
        <v>7601.8282595287337</v>
      </c>
      <c r="CI3" s="87">
        <f>IFERROR(s_C*s_IFCB_far_adj*s_CF_cabbage*(1/1000)*(up_Irr!H3+up_Irr!AG3+up_Irr!BF3),".")</f>
        <v>7601.8282595287337</v>
      </c>
      <c r="CJ3" s="87">
        <f>IFERROR(s_C*s_IFCR_far_adj*s_CF_carrot*(1/1000)*(up_Irr!I3+up_Irr!AH3+up_Irr!BG3),".")</f>
        <v>7601.8282595287337</v>
      </c>
      <c r="CK3" s="87">
        <f>IFERROR(s_C*s_IFCI_far_adj*s_CF_citrus*(1/1000)*(up_Irr!J3+up_Irr!AI3+up_Irr!BH3),".")</f>
        <v>7601.8282595287337</v>
      </c>
      <c r="CL3" s="87">
        <f>IFERROR(s_C*s_IFCO_far_adj*s_CF_corn*(1/1000)*(up_Irr!K3+up_Irr!AJ3+up_Irr!BI3),".")</f>
        <v>7601.8282595287337</v>
      </c>
      <c r="CM3" s="87">
        <f>IFERROR(s_C*s_IFCU_far_adj*s_CF_cucumber*(1/1000)*(up_Irr!L3+up_Irr!AK3+up_Irr!BJ3),".")</f>
        <v>7601.8282595287337</v>
      </c>
      <c r="CN3" s="87">
        <f>IFERROR(s_C*s_IFLE_far_adj*s_CF_lettuce*(1/1000)*(up_Irr!M3+up_Irr!AL3+up_Irr!BK3),".")</f>
        <v>7601.8282595287337</v>
      </c>
      <c r="CO3" s="87">
        <f>IFERROR(s_C*s_IFLI_far_adj*s_CF_lima_bean*(1/1000)*(up_Irr!N3+up_Irr!AM3+up_Irr!BL3),".")</f>
        <v>7601.8282595287337</v>
      </c>
      <c r="CP3" s="87">
        <f>IFERROR(s_C*s_IFOK_far_adj*s_CF_okra*(1/1000)*(up_Irr!O3+up_Irr!AN3+up_Irr!BM3),".")</f>
        <v>7601.8282595287337</v>
      </c>
      <c r="CQ3" s="87">
        <f>IFERROR(s_C*s_IFON_far_adj*s_CF_onion*(1/1000)*(up_Irr!P3+up_Irr!AO3+up_Irr!BN3),".")</f>
        <v>7601.8282595287337</v>
      </c>
      <c r="CR3" s="87">
        <f>IFERROR(s_C*s_IFPC_far_adj*s_CF_peach*(1/1000)*(up_Irr!Q3+up_Irr!AP3+up_Irr!BO3),".")</f>
        <v>7601.8282595287337</v>
      </c>
      <c r="CS3" s="87">
        <f>IFERROR(s_C*s_IFPR_far_adj*s_CF_pear*(1/1000)*(up_Irr!R3+up_Irr!AQ3+up_Irr!BP3),".")</f>
        <v>7601.8282595287337</v>
      </c>
      <c r="CT3" s="87">
        <f>IFERROR(s_C*s_IFPE_far_adj*s_CF_peas*(1/1000)*(up_Irr!S3+up_Irr!AR3+up_Irr!BQ3),".")</f>
        <v>7601.8282595287337</v>
      </c>
      <c r="CU3" s="87">
        <f>IFERROR(s_C*s_IFPP_far_adj*s_CF_peppers*(1/1000)*(up_Irr!T3+up_Irr!AS3+up_Irr!BR3),".")</f>
        <v>7601.8282595287337</v>
      </c>
      <c r="CV3" s="87">
        <f>IFERROR(s_C*s_IFPT_far_adj*s_CF_potato*(1/1000)*(up_Irr!U3+up_Irr!AT3+up_Irr!BS3),".")</f>
        <v>7601.8282595287337</v>
      </c>
      <c r="CW3" s="87">
        <f>IFERROR(s_C*s_IFPU_far_adj*s_CF_pumpkin*(1/1000)*(up_Irr!V3+up_Irr!AU3+up_Irr!BT3),".")</f>
        <v>7601.8282595287337</v>
      </c>
      <c r="CX3" s="87">
        <f>IFERROR(s_C*s_IFSN_far_adj*s_CF_snap_bean*(1/1000)*(up_Irr!W3+up_Irr!AV3+up_Irr!BU3),".")</f>
        <v>7601.8282595287337</v>
      </c>
      <c r="CY3" s="87">
        <f>IFERROR(s_C*s_IFST_far_adj*s_CF_strawberry*(1/1000)*(up_Irr!X3+up_Irr!AW3+up_Irr!BV3),".")</f>
        <v>7601.8282595287337</v>
      </c>
      <c r="CZ3" s="87">
        <f>IFERROR(s_C*s_IFTO_far_adj*s_CF_tomato*(1/1000)*(up_Irr!Y3+up_Irr!AX3+up_Irr!BW3),".")</f>
        <v>7601.8282595287337</v>
      </c>
      <c r="DA3" s="87">
        <f>IFERROR(s_C*s_IFRI_far_adj*s_CF_rice*(1/1000)*(up_Irr!Z3+up_Irr!AY3+up_Irr!BX3),".")</f>
        <v>7601.8282595287337</v>
      </c>
      <c r="DB3" s="87">
        <f>IFERROR(s_C*s_IFCG_far_adj*s_CF_cereal*(1/1000)*(up_Irr!AA3+up_Irr!AZ3+up_Irr!BY3),".")</f>
        <v>7601.8282595287337</v>
      </c>
    </row>
    <row r="4" spans="1:106" ht="15" customHeight="1" x14ac:dyDescent="0.25">
      <c r="A4" s="86" t="s">
        <v>2</v>
      </c>
      <c r="B4" s="84" t="s">
        <v>1057</v>
      </c>
      <c r="C4" s="15">
        <f t="shared" si="0"/>
        <v>1.6443412786038033E-4</v>
      </c>
      <c r="D4" s="70">
        <f>IFERROR(IF(AND(up_Irr!C4&lt;&gt;".",up_Irr!AB4&lt;&gt;".",up_Irr!BA4&lt;&gt;"."),up_dir!D4/((1/1000)*(up_Irr!C4+up_Irr!AB4+up_Irr!BA4)),IF(AND(up_Irr!C4&lt;&gt;".",up_Irr!AB4&lt;&gt;".",up_Irr!BA4="."),up_dir!D4/((1/1000)*(up_Irr!C4+up_Irr!AB4)),IF(AND(up_Irr!C4&lt;&gt;".",up_Irr!AB4=".",up_Irr!BA4&lt;&gt;"."),up_dir!D4/((1/1000)*(up_Irr!C4+up_Irr!BA4)),IF(AND(up_Irr!C4=".",up_Irr!AB4&lt;&gt;".",up_Irr!BA4&lt;&gt;"."),up_dir!D4/((1/1000)*(up_Irr!AB4+up_Irr!BA4)),IF(AND(up_Irr!C4=".",up_Irr!AB4=".",up_Irr!BA4&lt;&gt;"."),up_dir!D4/((1/1000)*(up_Irr!BA4)),IF(AND(up_Irr!C4=".",up_Irr!AB4&lt;&gt;".",up_Irr!BA4="."),up_dir!D4/((1/1000)*(up_Irr!AB4)),IF(AND(up_Irr!C4&lt;&gt;".",up_Irr!AB4=".",up_Irr!BA4="."),up_dir!D4/((1/1000)*(up_Irr!C4)),IF(AND(up_Irr!C4=".",up_Irr!AB4=".",up_Irr!BA4="."),up_dir!D4*1000)))))))),".")</f>
        <v>6.5773651144152131E-4</v>
      </c>
      <c r="E4" s="70">
        <f>IFERROR(IF(AND(up_Irr!D4&lt;&gt;".",up_Irr!AC4&lt;&gt;".",up_Irr!BB4&lt;&gt;"."),up_dir!E4/((1/1000)*(up_Irr!D4+up_Irr!AC4+up_Irr!BB4)),IF(AND(up_Irr!D4&lt;&gt;".",up_Irr!AC4&lt;&gt;".",up_Irr!BB4="."),up_dir!E4/((1/1000)*(up_Irr!D4+up_Irr!AC4)),IF(AND(up_Irr!D4&lt;&gt;".",up_Irr!AC4=".",up_Irr!BB4&lt;&gt;"."),up_dir!E4/((1/1000)*(up_Irr!D4+up_Irr!BB4)),IF(AND(up_Irr!D4=".",up_Irr!AC4&lt;&gt;".",up_Irr!BB4&lt;&gt;"."),up_dir!E4/((1/1000)*(up_Irr!AC4+up_Irr!BB4)),IF(AND(up_Irr!D4=".",up_Irr!AC4=".",up_Irr!BB4&lt;&gt;"."),up_dir!E4/((1/1000)*(up_Irr!BB4)),IF(AND(up_Irr!D4=".",up_Irr!AC4&lt;&gt;".",up_Irr!BB4="."),up_dir!E4/((1/1000)*(up_Irr!AC4)),IF(AND(up_Irr!D4&lt;&gt;".",up_Irr!AC4=".",up_Irr!BB4="."),up_dir!E4/((1/1000)*(up_Irr!D4)),IF(AND(up_Irr!D4=".",up_Irr!AC4=".",up_Irr!BB4="."),up_dir!E4*1000)))))))),".")</f>
        <v>6.5773651144152131E-4</v>
      </c>
      <c r="F4" s="70">
        <f>IFERROR(IF(AND(up_Irr!E4&lt;&gt;".",up_Irr!AD4&lt;&gt;".",up_Irr!BC4&lt;&gt;"."),up_dir!F4/((1/1000)*(up_Irr!E4+up_Irr!AD4+up_Irr!BC4)),IF(AND(up_Irr!E4&lt;&gt;".",up_Irr!AD4&lt;&gt;".",up_Irr!BC4="."),up_dir!F4/((1/1000)*(up_Irr!E4+up_Irr!AD4)),IF(AND(up_Irr!E4&lt;&gt;".",up_Irr!AD4=".",up_Irr!BC4&lt;&gt;"."),up_dir!F4/((1/1000)*(up_Irr!E4+up_Irr!BC4)),IF(AND(up_Irr!E4=".",up_Irr!AD4&lt;&gt;".",up_Irr!BC4&lt;&gt;"."),up_dir!F4/((1/1000)*(up_Irr!AD4+up_Irr!BC4)),IF(AND(up_Irr!E4=".",up_Irr!AD4=".",up_Irr!BC4&lt;&gt;"."),up_dir!F4/((1/1000)*(up_Irr!BC4)),IF(AND(up_Irr!E4=".",up_Irr!AD4&lt;&gt;".",up_Irr!BC4="."),up_dir!F4/((1/1000)*(up_Irr!AD4)),IF(AND(up_Irr!E4&lt;&gt;".",up_Irr!AD4=".",up_Irr!BC4="."),up_dir!F4/((1/1000)*(up_Irr!E4)),IF(AND(up_Irr!E4=".",up_Irr!AD4=".",up_Irr!BC4="."),up_dir!F4*1000)))))))),".")</f>
        <v>6.5773651144152131E-4</v>
      </c>
      <c r="G4" s="70">
        <f>IFERROR(IF(AND(up_Irr!F4&lt;&gt;".",up_Irr!AE4&lt;&gt;".",up_Irr!BD4&lt;&gt;"."),up_dir!G4/((1/1000)*(up_Irr!F4+up_Irr!AE4+up_Irr!BD4)),IF(AND(up_Irr!F4&lt;&gt;".",up_Irr!AE4&lt;&gt;".",up_Irr!BD4="."),up_dir!G4/((1/1000)*(up_Irr!F4+up_Irr!AE4)),IF(AND(up_Irr!F4&lt;&gt;".",up_Irr!AE4=".",up_Irr!BD4&lt;&gt;"."),up_dir!G4/((1/1000)*(up_Irr!F4+up_Irr!BD4)),IF(AND(up_Irr!F4=".",up_Irr!AE4&lt;&gt;".",up_Irr!BD4&lt;&gt;"."),up_dir!G4/((1/1000)*(up_Irr!AE4+up_Irr!BD4)),IF(AND(up_Irr!F4=".",up_Irr!AE4=".",up_Irr!BD4&lt;&gt;"."),up_dir!G4/((1/1000)*(up_Irr!BD4)),IF(AND(up_Irr!F4=".",up_Irr!AE4&lt;&gt;".",up_Irr!BD4="."),up_dir!G4/((1/1000)*(up_Irr!AE4)),IF(AND(up_Irr!F4&lt;&gt;".",up_Irr!AE4=".",up_Irr!BD4="."),up_dir!G4/((1/1000)*(up_Irr!F4)),IF(AND(up_Irr!F4=".",up_Irr!AE4=".",up_Irr!BD4="."),up_dir!G4*1000)))))))),".")</f>
        <v>6.5773651144152131E-4</v>
      </c>
      <c r="H4" s="70">
        <f>IFERROR(IF(AND(up_Irr!G4&lt;&gt;".",up_Irr!AF4&lt;&gt;".",up_Irr!BE4&lt;&gt;"."),up_dir!H4/((1/1000)*(up_Irr!G4+up_Irr!AF4+up_Irr!BE4)),IF(AND(up_Irr!G4&lt;&gt;".",up_Irr!AF4&lt;&gt;".",up_Irr!BE4="."),up_dir!H4/((1/1000)*(up_Irr!G4+up_Irr!AF4)),IF(AND(up_Irr!G4&lt;&gt;".",up_Irr!AF4=".",up_Irr!BE4&lt;&gt;"."),up_dir!H4/((1/1000)*(up_Irr!G4+up_Irr!BE4)),IF(AND(up_Irr!G4=".",up_Irr!AF4&lt;&gt;".",up_Irr!BE4&lt;&gt;"."),up_dir!H4/((1/1000)*(up_Irr!AF4+up_Irr!BE4)),IF(AND(up_Irr!G4=".",up_Irr!AF4=".",up_Irr!BE4&lt;&gt;"."),up_dir!H4/((1/1000)*(up_Irr!BE4)),IF(AND(up_Irr!G4=".",up_Irr!AF4&lt;&gt;".",up_Irr!BE4="."),up_dir!H4/((1/1000)*(up_Irr!AF4)),IF(AND(up_Irr!G4&lt;&gt;".",up_Irr!AF4=".",up_Irr!BE4="."),up_dir!H4/((1/1000)*(up_Irr!G4)),IF(AND(up_Irr!G4=".",up_Irr!AF4=".",up_Irr!BE4="."),up_dir!H4*1000)))))))),".")</f>
        <v>6.5773651144152131E-4</v>
      </c>
      <c r="I4" s="70">
        <f>IFERROR(IF(AND(up_Irr!H4&lt;&gt;".",up_Irr!AG4&lt;&gt;".",up_Irr!BF4&lt;&gt;"."),up_dir!I4/((1/1000)*(up_Irr!H4+up_Irr!AG4+up_Irr!BF4)),IF(AND(up_Irr!H4&lt;&gt;".",up_Irr!AG4&lt;&gt;".",up_Irr!BF4="."),up_dir!I4/((1/1000)*(up_Irr!H4+up_Irr!AG4)),IF(AND(up_Irr!H4&lt;&gt;".",up_Irr!AG4=".",up_Irr!BF4&lt;&gt;"."),up_dir!I4/((1/1000)*(up_Irr!H4+up_Irr!BF4)),IF(AND(up_Irr!H4=".",up_Irr!AG4&lt;&gt;".",up_Irr!BF4&lt;&gt;"."),up_dir!I4/((1/1000)*(up_Irr!AG4+up_Irr!BF4)),IF(AND(up_Irr!H4=".",up_Irr!AG4=".",up_Irr!BF4&lt;&gt;"."),up_dir!I4/((1/1000)*(up_Irr!BF4)),IF(AND(up_Irr!H4=".",up_Irr!AG4&lt;&gt;".",up_Irr!BF4="."),up_dir!I4/((1/1000)*(up_Irr!AG4)),IF(AND(up_Irr!H4&lt;&gt;".",up_Irr!AG4=".",up_Irr!BF4="."),up_dir!I4/((1/1000)*(up_Irr!H4)),IF(AND(up_Irr!H4=".",up_Irr!AG4=".",up_Irr!BF4="."),up_dir!I4*1000)))))))),".")</f>
        <v>6.5773651144152131E-4</v>
      </c>
      <c r="J4" s="70">
        <f>IFERROR(IF(AND(up_Irr!I4&lt;&gt;".",up_Irr!AH4&lt;&gt;".",up_Irr!BG4&lt;&gt;"."),up_dir!J4/((1/1000)*(up_Irr!I4+up_Irr!AH4+up_Irr!BG4)),IF(AND(up_Irr!I4&lt;&gt;".",up_Irr!AH4&lt;&gt;".",up_Irr!BG4="."),up_dir!J4/((1/1000)*(up_Irr!I4+up_Irr!AH4)),IF(AND(up_Irr!I4&lt;&gt;".",up_Irr!AH4=".",up_Irr!BG4&lt;&gt;"."),up_dir!J4/((1/1000)*(up_Irr!I4+up_Irr!BG4)),IF(AND(up_Irr!I4=".",up_Irr!AH4&lt;&gt;".",up_Irr!BG4&lt;&gt;"."),up_dir!J4/((1/1000)*(up_Irr!AH4+up_Irr!BG4)),IF(AND(up_Irr!I4=".",up_Irr!AH4=".",up_Irr!BG4&lt;&gt;"."),up_dir!J4/((1/1000)*(up_Irr!BG4)),IF(AND(up_Irr!I4=".",up_Irr!AH4&lt;&gt;".",up_Irr!BG4="."),up_dir!J4/((1/1000)*(up_Irr!AH4)),IF(AND(up_Irr!I4&lt;&gt;".",up_Irr!AH4=".",up_Irr!BG4="."),up_dir!J4/((1/1000)*(up_Irr!I4)),IF(AND(up_Irr!I4=".",up_Irr!AH4=".",up_Irr!BG4="."),up_dir!J4*1000)))))))),".")</f>
        <v>6.5773651144152131E-4</v>
      </c>
      <c r="K4" s="70">
        <f>IFERROR(IF(AND(up_Irr!J4&lt;&gt;".",up_Irr!AI4&lt;&gt;".",up_Irr!BH4&lt;&gt;"."),up_dir!K4/((1/1000)*(up_Irr!J4+up_Irr!AI4+up_Irr!BH4)),IF(AND(up_Irr!J4&lt;&gt;".",up_Irr!AI4&lt;&gt;".",up_Irr!BH4="."),up_dir!K4/((1/1000)*(up_Irr!J4+up_Irr!AI4)),IF(AND(up_Irr!J4&lt;&gt;".",up_Irr!AI4=".",up_Irr!BH4&lt;&gt;"."),up_dir!K4/((1/1000)*(up_Irr!J4+up_Irr!BH4)),IF(AND(up_Irr!J4=".",up_Irr!AI4&lt;&gt;".",up_Irr!BH4&lt;&gt;"."),up_dir!K4/((1/1000)*(up_Irr!AI4+up_Irr!BH4)),IF(AND(up_Irr!J4=".",up_Irr!AI4=".",up_Irr!BH4&lt;&gt;"."),up_dir!K4/((1/1000)*(up_Irr!BH4)),IF(AND(up_Irr!J4=".",up_Irr!AI4&lt;&gt;".",up_Irr!BH4="."),up_dir!K4/((1/1000)*(up_Irr!AI4)),IF(AND(up_Irr!J4&lt;&gt;".",up_Irr!AI4=".",up_Irr!BH4="."),up_dir!K4/((1/1000)*(up_Irr!J4)),IF(AND(up_Irr!J4=".",up_Irr!AI4=".",up_Irr!BH4="."),up_dir!K4*1000)))))))),".")</f>
        <v>6.5773651144152131E-4</v>
      </c>
      <c r="L4" s="70">
        <f>IFERROR(IF(AND(up_Irr!K4&lt;&gt;".",up_Irr!AJ4&lt;&gt;".",up_Irr!BI4&lt;&gt;"."),up_dir!L4/((1/1000)*(up_Irr!K4+up_Irr!AJ4+up_Irr!BI4)),IF(AND(up_Irr!K4&lt;&gt;".",up_Irr!AJ4&lt;&gt;".",up_Irr!BI4="."),up_dir!L4/((1/1000)*(up_Irr!K4+up_Irr!AJ4)),IF(AND(up_Irr!K4&lt;&gt;".",up_Irr!AJ4=".",up_Irr!BI4&lt;&gt;"."),up_dir!L4/((1/1000)*(up_Irr!K4+up_Irr!BI4)),IF(AND(up_Irr!K4=".",up_Irr!AJ4&lt;&gt;".",up_Irr!BI4&lt;&gt;"."),up_dir!L4/((1/1000)*(up_Irr!AJ4+up_Irr!BI4)),IF(AND(up_Irr!K4=".",up_Irr!AJ4=".",up_Irr!BI4&lt;&gt;"."),up_dir!L4/((1/1000)*(up_Irr!BI4)),IF(AND(up_Irr!K4=".",up_Irr!AJ4&lt;&gt;".",up_Irr!BI4="."),up_dir!L4/((1/1000)*(up_Irr!AJ4)),IF(AND(up_Irr!K4&lt;&gt;".",up_Irr!AJ4=".",up_Irr!BI4="."),up_dir!L4/((1/1000)*(up_Irr!K4)),IF(AND(up_Irr!K4=".",up_Irr!AJ4=".",up_Irr!BI4="."),up_dir!L4*1000)))))))),".")</f>
        <v>6.5773651144152131E-4</v>
      </c>
      <c r="M4" s="70">
        <f>IFERROR(IF(AND(up_Irr!L4&lt;&gt;".",up_Irr!AK4&lt;&gt;".",up_Irr!BJ4&lt;&gt;"."),up_dir!M4/((1/1000)*(up_Irr!L4+up_Irr!AK4+up_Irr!BJ4)),IF(AND(up_Irr!L4&lt;&gt;".",up_Irr!AK4&lt;&gt;".",up_Irr!BJ4="."),up_dir!M4/((1/1000)*(up_Irr!L4+up_Irr!AK4)),IF(AND(up_Irr!L4&lt;&gt;".",up_Irr!AK4=".",up_Irr!BJ4&lt;&gt;"."),up_dir!M4/((1/1000)*(up_Irr!L4+up_Irr!BJ4)),IF(AND(up_Irr!L4=".",up_Irr!AK4&lt;&gt;".",up_Irr!BJ4&lt;&gt;"."),up_dir!M4/((1/1000)*(up_Irr!AK4+up_Irr!BJ4)),IF(AND(up_Irr!L4=".",up_Irr!AK4=".",up_Irr!BJ4&lt;&gt;"."),up_dir!M4/((1/1000)*(up_Irr!BJ4)),IF(AND(up_Irr!L4=".",up_Irr!AK4&lt;&gt;".",up_Irr!BJ4="."),up_dir!M4/((1/1000)*(up_Irr!AK4)),IF(AND(up_Irr!L4&lt;&gt;".",up_Irr!AK4=".",up_Irr!BJ4="."),up_dir!M4/((1/1000)*(up_Irr!L4)),IF(AND(up_Irr!L4=".",up_Irr!AK4=".",up_Irr!BJ4="."),up_dir!M4*1000)))))))),".")</f>
        <v>6.5773651144152131E-4</v>
      </c>
      <c r="N4" s="70">
        <f>IFERROR(IF(AND(up_Irr!M4&lt;&gt;".",up_Irr!AL4&lt;&gt;".",up_Irr!BK4&lt;&gt;"."),up_dir!N4/((1/1000)*(up_Irr!M4+up_Irr!AL4+up_Irr!BK4)),IF(AND(up_Irr!M4&lt;&gt;".",up_Irr!AL4&lt;&gt;".",up_Irr!BK4="."),up_dir!N4/((1/1000)*(up_Irr!M4+up_Irr!AL4)),IF(AND(up_Irr!M4&lt;&gt;".",up_Irr!AL4=".",up_Irr!BK4&lt;&gt;"."),up_dir!N4/((1/1000)*(up_Irr!M4+up_Irr!BK4)),IF(AND(up_Irr!M4=".",up_Irr!AL4&lt;&gt;".",up_Irr!BK4&lt;&gt;"."),up_dir!N4/((1/1000)*(up_Irr!AL4+up_Irr!BK4)),IF(AND(up_Irr!M4=".",up_Irr!AL4=".",up_Irr!BK4&lt;&gt;"."),up_dir!N4/((1/1000)*(up_Irr!BK4)),IF(AND(up_Irr!M4=".",up_Irr!AL4&lt;&gt;".",up_Irr!BK4="."),up_dir!N4/((1/1000)*(up_Irr!AL4)),IF(AND(up_Irr!M4&lt;&gt;".",up_Irr!AL4=".",up_Irr!BK4="."),up_dir!N4/((1/1000)*(up_Irr!M4)),IF(AND(up_Irr!M4=".",up_Irr!AL4=".",up_Irr!BK4="."),up_dir!N4*1000)))))))),".")</f>
        <v>6.5773651144152131E-4</v>
      </c>
      <c r="O4" s="70">
        <f>IFERROR(IF(AND(up_Irr!N4&lt;&gt;".",up_Irr!AM4&lt;&gt;".",up_Irr!BL4&lt;&gt;"."),up_dir!O4/((1/1000)*(up_Irr!N4+up_Irr!AM4+up_Irr!BL4)),IF(AND(up_Irr!N4&lt;&gt;".",up_Irr!AM4&lt;&gt;".",up_Irr!BL4="."),up_dir!O4/((1/1000)*(up_Irr!N4+up_Irr!AM4)),IF(AND(up_Irr!N4&lt;&gt;".",up_Irr!AM4=".",up_Irr!BL4&lt;&gt;"."),up_dir!O4/((1/1000)*(up_Irr!N4+up_Irr!BL4)),IF(AND(up_Irr!N4=".",up_Irr!AM4&lt;&gt;".",up_Irr!BL4&lt;&gt;"."),up_dir!O4/((1/1000)*(up_Irr!AM4+up_Irr!BL4)),IF(AND(up_Irr!N4=".",up_Irr!AM4=".",up_Irr!BL4&lt;&gt;"."),up_dir!O4/((1/1000)*(up_Irr!BL4)),IF(AND(up_Irr!N4=".",up_Irr!AM4&lt;&gt;".",up_Irr!BL4="."),up_dir!O4/((1/1000)*(up_Irr!AM4)),IF(AND(up_Irr!N4&lt;&gt;".",up_Irr!AM4=".",up_Irr!BL4="."),up_dir!O4/((1/1000)*(up_Irr!N4)),IF(AND(up_Irr!N4=".",up_Irr!AM4=".",up_Irr!BL4="."),up_dir!O4*1000)))))))),".")</f>
        <v>6.5773651144152131E-4</v>
      </c>
      <c r="P4" s="70">
        <f>IFERROR(IF(AND(up_Irr!O4&lt;&gt;".",up_Irr!AN4&lt;&gt;".",up_Irr!BM4&lt;&gt;"."),up_dir!P4/((1/1000)*(up_Irr!O4+up_Irr!AN4+up_Irr!BM4)),IF(AND(up_Irr!O4&lt;&gt;".",up_Irr!AN4&lt;&gt;".",up_Irr!BM4="."),up_dir!P4/((1/1000)*(up_Irr!O4+up_Irr!AN4)),IF(AND(up_Irr!O4&lt;&gt;".",up_Irr!AN4=".",up_Irr!BM4&lt;&gt;"."),up_dir!P4/((1/1000)*(up_Irr!O4+up_Irr!BM4)),IF(AND(up_Irr!O4=".",up_Irr!AN4&lt;&gt;".",up_Irr!BM4&lt;&gt;"."),up_dir!P4/((1/1000)*(up_Irr!AN4+up_Irr!BM4)),IF(AND(up_Irr!O4=".",up_Irr!AN4=".",up_Irr!BM4&lt;&gt;"."),up_dir!P4/((1/1000)*(up_Irr!BM4)),IF(AND(up_Irr!O4=".",up_Irr!AN4&lt;&gt;".",up_Irr!BM4="."),up_dir!P4/((1/1000)*(up_Irr!AN4)),IF(AND(up_Irr!O4&lt;&gt;".",up_Irr!AN4=".",up_Irr!BM4="."),up_dir!P4/((1/1000)*(up_Irr!O4)),IF(AND(up_Irr!O4=".",up_Irr!AN4=".",up_Irr!BM4="."),up_dir!P4*1000)))))))),".")</f>
        <v>6.5773651144152131E-4</v>
      </c>
      <c r="Q4" s="70">
        <f>IFERROR(IF(AND(up_Irr!P4&lt;&gt;".",up_Irr!AO4&lt;&gt;".",up_Irr!BN4&lt;&gt;"."),up_dir!Q4/((1/1000)*(up_Irr!P4+up_Irr!AO4+up_Irr!BN4)),IF(AND(up_Irr!P4&lt;&gt;".",up_Irr!AO4&lt;&gt;".",up_Irr!BN4="."),up_dir!Q4/((1/1000)*(up_Irr!P4+up_Irr!AO4)),IF(AND(up_Irr!P4&lt;&gt;".",up_Irr!AO4=".",up_Irr!BN4&lt;&gt;"."),up_dir!Q4/((1/1000)*(up_Irr!P4+up_Irr!BN4)),IF(AND(up_Irr!P4=".",up_Irr!AO4&lt;&gt;".",up_Irr!BN4&lt;&gt;"."),up_dir!Q4/((1/1000)*(up_Irr!AO4+up_Irr!BN4)),IF(AND(up_Irr!P4=".",up_Irr!AO4=".",up_Irr!BN4&lt;&gt;"."),up_dir!Q4/((1/1000)*(up_Irr!BN4)),IF(AND(up_Irr!P4=".",up_Irr!AO4&lt;&gt;".",up_Irr!BN4="."),up_dir!Q4/((1/1000)*(up_Irr!AO4)),IF(AND(up_Irr!P4&lt;&gt;".",up_Irr!AO4=".",up_Irr!BN4="."),up_dir!Q4/((1/1000)*(up_Irr!P4)),IF(AND(up_Irr!P4=".",up_Irr!AO4=".",up_Irr!BN4="."),up_dir!Q4*1000)))))))),".")</f>
        <v>6.5773651144152131E-4</v>
      </c>
      <c r="R4" s="70">
        <f>IFERROR(IF(AND(up_Irr!Q4&lt;&gt;".",up_Irr!AP4&lt;&gt;".",up_Irr!BO4&lt;&gt;"."),up_dir!R4/((1/1000)*(up_Irr!Q4+up_Irr!AP4+up_Irr!BO4)),IF(AND(up_Irr!Q4&lt;&gt;".",up_Irr!AP4&lt;&gt;".",up_Irr!BO4="."),up_dir!R4/((1/1000)*(up_Irr!Q4+up_Irr!AP4)),IF(AND(up_Irr!Q4&lt;&gt;".",up_Irr!AP4=".",up_Irr!BO4&lt;&gt;"."),up_dir!R4/((1/1000)*(up_Irr!Q4+up_Irr!BO4)),IF(AND(up_Irr!Q4=".",up_Irr!AP4&lt;&gt;".",up_Irr!BO4&lt;&gt;"."),up_dir!R4/((1/1000)*(up_Irr!AP4+up_Irr!BO4)),IF(AND(up_Irr!Q4=".",up_Irr!AP4=".",up_Irr!BO4&lt;&gt;"."),up_dir!R4/((1/1000)*(up_Irr!BO4)),IF(AND(up_Irr!Q4=".",up_Irr!AP4&lt;&gt;".",up_Irr!BO4="."),up_dir!R4/((1/1000)*(up_Irr!AP4)),IF(AND(up_Irr!Q4&lt;&gt;".",up_Irr!AP4=".",up_Irr!BO4="."),up_dir!R4/((1/1000)*(up_Irr!Q4)),IF(AND(up_Irr!Q4=".",up_Irr!AP4=".",up_Irr!BO4="."),up_dir!R4*1000)))))))),".")</f>
        <v>6.5773651144152131E-4</v>
      </c>
      <c r="S4" s="70">
        <f>IFERROR(IF(AND(up_Irr!R4&lt;&gt;".",up_Irr!AQ4&lt;&gt;".",up_Irr!BP4&lt;&gt;"."),up_dir!S4/((1/1000)*(up_Irr!R4+up_Irr!AQ4+up_Irr!BP4)),IF(AND(up_Irr!R4&lt;&gt;".",up_Irr!AQ4&lt;&gt;".",up_Irr!BP4="."),up_dir!S4/((1/1000)*(up_Irr!R4+up_Irr!AQ4)),IF(AND(up_Irr!R4&lt;&gt;".",up_Irr!AQ4=".",up_Irr!BP4&lt;&gt;"."),up_dir!S4/((1/1000)*(up_Irr!R4+up_Irr!BP4)),IF(AND(up_Irr!R4=".",up_Irr!AQ4&lt;&gt;".",up_Irr!BP4&lt;&gt;"."),up_dir!S4/((1/1000)*(up_Irr!AQ4+up_Irr!BP4)),IF(AND(up_Irr!R4=".",up_Irr!AQ4=".",up_Irr!BP4&lt;&gt;"."),up_dir!S4/((1/1000)*(up_Irr!BP4)),IF(AND(up_Irr!R4=".",up_Irr!AQ4&lt;&gt;".",up_Irr!BP4="."),up_dir!S4/((1/1000)*(up_Irr!AQ4)),IF(AND(up_Irr!R4&lt;&gt;".",up_Irr!AQ4=".",up_Irr!BP4="."),up_dir!S4/((1/1000)*(up_Irr!R4)),IF(AND(up_Irr!R4=".",up_Irr!AQ4=".",up_Irr!BP4="."),up_dir!S4*1000)))))))),".")</f>
        <v>6.5773651144152131E-4</v>
      </c>
      <c r="T4" s="70">
        <f>IFERROR(IF(AND(up_Irr!S4&lt;&gt;".",up_Irr!AR4&lt;&gt;".",up_Irr!BQ4&lt;&gt;"."),up_dir!T4/((1/1000)*(up_Irr!S4+up_Irr!AR4+up_Irr!BQ4)),IF(AND(up_Irr!S4&lt;&gt;".",up_Irr!AR4&lt;&gt;".",up_Irr!BQ4="."),up_dir!T4/((1/1000)*(up_Irr!S4+up_Irr!AR4)),IF(AND(up_Irr!S4&lt;&gt;".",up_Irr!AR4=".",up_Irr!BQ4&lt;&gt;"."),up_dir!T4/((1/1000)*(up_Irr!S4+up_Irr!BQ4)),IF(AND(up_Irr!S4=".",up_Irr!AR4&lt;&gt;".",up_Irr!BQ4&lt;&gt;"."),up_dir!T4/((1/1000)*(up_Irr!AR4+up_Irr!BQ4)),IF(AND(up_Irr!S4=".",up_Irr!AR4=".",up_Irr!BQ4&lt;&gt;"."),up_dir!T4/((1/1000)*(up_Irr!BQ4)),IF(AND(up_Irr!S4=".",up_Irr!AR4&lt;&gt;".",up_Irr!BQ4="."),up_dir!T4/((1/1000)*(up_Irr!AR4)),IF(AND(up_Irr!S4&lt;&gt;".",up_Irr!AR4=".",up_Irr!BQ4="."),up_dir!T4/((1/1000)*(up_Irr!S4)),IF(AND(up_Irr!S4=".",up_Irr!AR4=".",up_Irr!BQ4="."),up_dir!T4*1000)))))))),".")</f>
        <v>6.5773651144152131E-4</v>
      </c>
      <c r="U4" s="70">
        <f>IFERROR(IF(AND(up_Irr!T4&lt;&gt;".",up_Irr!AS4&lt;&gt;".",up_Irr!BR4&lt;&gt;"."),up_dir!U4/((1/1000)*(up_Irr!T4+up_Irr!AS4+up_Irr!BR4)),IF(AND(up_Irr!T4&lt;&gt;".",up_Irr!AS4&lt;&gt;".",up_Irr!BR4="."),up_dir!U4/((1/1000)*(up_Irr!T4+up_Irr!AS4)),IF(AND(up_Irr!T4&lt;&gt;".",up_Irr!AS4=".",up_Irr!BR4&lt;&gt;"."),up_dir!U4/((1/1000)*(up_Irr!T4+up_Irr!BR4)),IF(AND(up_Irr!T4=".",up_Irr!AS4&lt;&gt;".",up_Irr!BR4&lt;&gt;"."),up_dir!U4/((1/1000)*(up_Irr!AS4+up_Irr!BR4)),IF(AND(up_Irr!T4=".",up_Irr!AS4=".",up_Irr!BR4&lt;&gt;"."),up_dir!U4/((1/1000)*(up_Irr!BR4)),IF(AND(up_Irr!T4=".",up_Irr!AS4&lt;&gt;".",up_Irr!BR4="."),up_dir!U4/((1/1000)*(up_Irr!AS4)),IF(AND(up_Irr!T4&lt;&gt;".",up_Irr!AS4=".",up_Irr!BR4="."),up_dir!U4/((1/1000)*(up_Irr!T4)),IF(AND(up_Irr!T4=".",up_Irr!AS4=".",up_Irr!BR4="."),up_dir!U4*1000)))))))),".")</f>
        <v>6.5773651144152131E-4</v>
      </c>
      <c r="V4" s="70">
        <f>IFERROR(IF(AND(up_Irr!U4&lt;&gt;".",up_Irr!AT4&lt;&gt;".",up_Irr!BS4&lt;&gt;"."),up_dir!V4/((1/1000)*(up_Irr!U4+up_Irr!AT4+up_Irr!BS4)),IF(AND(up_Irr!U4&lt;&gt;".",up_Irr!AT4&lt;&gt;".",up_Irr!BS4="."),up_dir!V4/((1/1000)*(up_Irr!U4+up_Irr!AT4)),IF(AND(up_Irr!U4&lt;&gt;".",up_Irr!AT4=".",up_Irr!BS4&lt;&gt;"."),up_dir!V4/((1/1000)*(up_Irr!U4+up_Irr!BS4)),IF(AND(up_Irr!U4=".",up_Irr!AT4&lt;&gt;".",up_Irr!BS4&lt;&gt;"."),up_dir!V4/((1/1000)*(up_Irr!AT4+up_Irr!BS4)),IF(AND(up_Irr!U4=".",up_Irr!AT4=".",up_Irr!BS4&lt;&gt;"."),up_dir!V4/((1/1000)*(up_Irr!BS4)),IF(AND(up_Irr!U4=".",up_Irr!AT4&lt;&gt;".",up_Irr!BS4="."),up_dir!V4/((1/1000)*(up_Irr!AT4)),IF(AND(up_Irr!U4&lt;&gt;".",up_Irr!AT4=".",up_Irr!BS4="."),up_dir!V4/((1/1000)*(up_Irr!U4)),IF(AND(up_Irr!U4=".",up_Irr!AT4=".",up_Irr!BS4="."),up_dir!V4*1000)))))))),".")</f>
        <v>6.5773651144152131E-4</v>
      </c>
      <c r="W4" s="70">
        <f>IFERROR(IF(AND(up_Irr!V4&lt;&gt;".",up_Irr!AU4&lt;&gt;".",up_Irr!BT4&lt;&gt;"."),up_dir!W4/((1/1000)*(up_Irr!V4+up_Irr!AU4+up_Irr!BT4)),IF(AND(up_Irr!V4&lt;&gt;".",up_Irr!AU4&lt;&gt;".",up_Irr!BT4="."),up_dir!W4/((1/1000)*(up_Irr!V4+up_Irr!AU4)),IF(AND(up_Irr!V4&lt;&gt;".",up_Irr!AU4=".",up_Irr!BT4&lt;&gt;"."),up_dir!W4/((1/1000)*(up_Irr!V4+up_Irr!BT4)),IF(AND(up_Irr!V4=".",up_Irr!AU4&lt;&gt;".",up_Irr!BT4&lt;&gt;"."),up_dir!W4/((1/1000)*(up_Irr!AU4+up_Irr!BT4)),IF(AND(up_Irr!V4=".",up_Irr!AU4=".",up_Irr!BT4&lt;&gt;"."),up_dir!W4/((1/1000)*(up_Irr!BT4)),IF(AND(up_Irr!V4=".",up_Irr!AU4&lt;&gt;".",up_Irr!BT4="."),up_dir!W4/((1/1000)*(up_Irr!AU4)),IF(AND(up_Irr!V4&lt;&gt;".",up_Irr!AU4=".",up_Irr!BT4="."),up_dir!W4/((1/1000)*(up_Irr!V4)),IF(AND(up_Irr!V4=".",up_Irr!AU4=".",up_Irr!BT4="."),up_dir!W4*1000)))))))),".")</f>
        <v>6.5773651144152131E-4</v>
      </c>
      <c r="X4" s="70">
        <f>IFERROR(IF(AND(up_Irr!W4&lt;&gt;".",up_Irr!AV4&lt;&gt;".",up_Irr!BU4&lt;&gt;"."),up_dir!X4/((1/1000)*(up_Irr!W4+up_Irr!AV4+up_Irr!BU4)),IF(AND(up_Irr!W4&lt;&gt;".",up_Irr!AV4&lt;&gt;".",up_Irr!BU4="."),up_dir!X4/((1/1000)*(up_Irr!W4+up_Irr!AV4)),IF(AND(up_Irr!W4&lt;&gt;".",up_Irr!AV4=".",up_Irr!BU4&lt;&gt;"."),up_dir!X4/((1/1000)*(up_Irr!W4+up_Irr!BU4)),IF(AND(up_Irr!W4=".",up_Irr!AV4&lt;&gt;".",up_Irr!BU4&lt;&gt;"."),up_dir!X4/((1/1000)*(up_Irr!AV4+up_Irr!BU4)),IF(AND(up_Irr!W4=".",up_Irr!AV4=".",up_Irr!BU4&lt;&gt;"."),up_dir!X4/((1/1000)*(up_Irr!BU4)),IF(AND(up_Irr!W4=".",up_Irr!AV4&lt;&gt;".",up_Irr!BU4="."),up_dir!X4/((1/1000)*(up_Irr!AV4)),IF(AND(up_Irr!W4&lt;&gt;".",up_Irr!AV4=".",up_Irr!BU4="."),up_dir!X4/((1/1000)*(up_Irr!W4)),IF(AND(up_Irr!W4=".",up_Irr!AV4=".",up_Irr!BU4="."),up_dir!X4*1000)))))))),".")</f>
        <v>6.5773651144152131E-4</v>
      </c>
      <c r="Y4" s="70">
        <f>IFERROR(IF(AND(up_Irr!X4&lt;&gt;".",up_Irr!AW4&lt;&gt;".",up_Irr!BV4&lt;&gt;"."),up_dir!Y4/((1/1000)*(up_Irr!X4+up_Irr!AW4+up_Irr!BV4)),IF(AND(up_Irr!X4&lt;&gt;".",up_Irr!AW4&lt;&gt;".",up_Irr!BV4="."),up_dir!Y4/((1/1000)*(up_Irr!X4+up_Irr!AW4)),IF(AND(up_Irr!X4&lt;&gt;".",up_Irr!AW4=".",up_Irr!BV4&lt;&gt;"."),up_dir!Y4/((1/1000)*(up_Irr!X4+up_Irr!BV4)),IF(AND(up_Irr!X4=".",up_Irr!AW4&lt;&gt;".",up_Irr!BV4&lt;&gt;"."),up_dir!Y4/((1/1000)*(up_Irr!AW4+up_Irr!BV4)),IF(AND(up_Irr!X4=".",up_Irr!AW4=".",up_Irr!BV4&lt;&gt;"."),up_dir!Y4/((1/1000)*(up_Irr!BV4)),IF(AND(up_Irr!X4=".",up_Irr!AW4&lt;&gt;".",up_Irr!BV4="."),up_dir!Y4/((1/1000)*(up_Irr!AW4)),IF(AND(up_Irr!X4&lt;&gt;".",up_Irr!AW4=".",up_Irr!BV4="."),up_dir!Y4/((1/1000)*(up_Irr!X4)),IF(AND(up_Irr!X4=".",up_Irr!AW4=".",up_Irr!BV4="."),up_dir!Y4*1000)))))))),".")</f>
        <v>6.5773651144152131E-4</v>
      </c>
      <c r="Z4" s="70">
        <f>IFERROR(IF(AND(up_Irr!Y4&lt;&gt;".",up_Irr!AX4&lt;&gt;".",up_Irr!BW4&lt;&gt;"."),up_dir!Z4/((1/1000)*(up_Irr!Y4+up_Irr!AX4+up_Irr!BW4)),IF(AND(up_Irr!Y4&lt;&gt;".",up_Irr!AX4&lt;&gt;".",up_Irr!BW4="."),up_dir!Z4/((1/1000)*(up_Irr!Y4+up_Irr!AX4)),IF(AND(up_Irr!Y4&lt;&gt;".",up_Irr!AX4=".",up_Irr!BW4&lt;&gt;"."),up_dir!Z4/((1/1000)*(up_Irr!Y4+up_Irr!BW4)),IF(AND(up_Irr!Y4=".",up_Irr!AX4&lt;&gt;".",up_Irr!BW4&lt;&gt;"."),up_dir!Z4/((1/1000)*(up_Irr!AX4+up_Irr!BW4)),IF(AND(up_Irr!Y4=".",up_Irr!AX4=".",up_Irr!BW4&lt;&gt;"."),up_dir!Z4/((1/1000)*(up_Irr!BW4)),IF(AND(up_Irr!Y4=".",up_Irr!AX4&lt;&gt;".",up_Irr!BW4="."),up_dir!Z4/((1/1000)*(up_Irr!AX4)),IF(AND(up_Irr!Y4&lt;&gt;".",up_Irr!AX4=".",up_Irr!BW4="."),up_dir!Z4/((1/1000)*(up_Irr!Y4)),IF(AND(up_Irr!Y4=".",up_Irr!AX4=".",up_Irr!BW4="."),up_dir!Z4*1000)))))))),".")</f>
        <v>6.5773651144152131E-4</v>
      </c>
      <c r="AA4" s="70">
        <f>IFERROR(IF(AND(up_Irr!Z4&lt;&gt;".",up_Irr!AY4&lt;&gt;".",up_Irr!BX4&lt;&gt;"."),up_dir!AA4/((1/1000)*(up_Irr!Z4+up_Irr!AY4+up_Irr!BX4)),IF(AND(up_Irr!Z4&lt;&gt;".",up_Irr!AY4&lt;&gt;".",up_Irr!BX4="."),up_dir!AA4/((1/1000)*(up_Irr!Z4+up_Irr!AY4)),IF(AND(up_Irr!Z4&lt;&gt;".",up_Irr!AY4=".",up_Irr!BX4&lt;&gt;"."),up_dir!AA4/((1/1000)*(up_Irr!Z4+up_Irr!BX4)),IF(AND(up_Irr!Z4=".",up_Irr!AY4&lt;&gt;".",up_Irr!BX4&lt;&gt;"."),up_dir!AA4/((1/1000)*(up_Irr!AY4+up_Irr!BX4)),IF(AND(up_Irr!Z4=".",up_Irr!AY4=".",up_Irr!BX4&lt;&gt;"."),up_dir!AA4/((1/1000)*(up_Irr!BX4)),IF(AND(up_Irr!Z4=".",up_Irr!AY4&lt;&gt;".",up_Irr!BX4="."),up_dir!AA4/((1/1000)*(up_Irr!AY4)),IF(AND(up_Irr!Z4&lt;&gt;".",up_Irr!AY4=".",up_Irr!BX4="."),up_dir!AA4/((1/1000)*(up_Irr!Z4)),IF(AND(up_Irr!Z4=".",up_Irr!AY4=".",up_Irr!BX4="."),up_dir!AA4*1000)))))))),".")</f>
        <v>6.5773651144152131E-4</v>
      </c>
      <c r="AB4" s="70">
        <f>IFERROR(IF(AND(up_Irr!AA4&lt;&gt;".",up_Irr!AZ4&lt;&gt;".",up_Irr!BY4&lt;&gt;"."),up_dir!AB4/((1/1000)*(up_Irr!AA4+up_Irr!AZ4+up_Irr!BY4)),IF(AND(up_Irr!AA4&lt;&gt;".",up_Irr!AZ4&lt;&gt;".",up_Irr!BY4="."),up_dir!AB4/((1/1000)*(up_Irr!AA4+up_Irr!AZ4)),IF(AND(up_Irr!AA4&lt;&gt;".",up_Irr!AZ4=".",up_Irr!BY4&lt;&gt;"."),up_dir!AB4/((1/1000)*(up_Irr!AA4+up_Irr!BY4)),IF(AND(up_Irr!AA4=".",up_Irr!AZ4&lt;&gt;".",up_Irr!BY4&lt;&gt;"."),up_dir!AB4/((1/1000)*(up_Irr!AZ4+up_Irr!BY4)),IF(AND(up_Irr!AA4=".",up_Irr!AZ4=".",up_Irr!BY4&lt;&gt;"."),up_dir!AB4/((1/1000)*(up_Irr!BY4)),IF(AND(up_Irr!AA4=".",up_Irr!AZ4&lt;&gt;".",up_Irr!BY4="."),up_dir!AB4/((1/1000)*(up_Irr!AZ4)),IF(AND(up_Irr!AA4&lt;&gt;".",up_Irr!AZ4=".",up_Irr!BY4="."),up_dir!AB4/((1/1000)*(up_Irr!AA4)),IF(AND(up_Irr!AA4=".",up_Irr!AZ4=".",up_Irr!BY4="."),up_dir!AB4*1000)))))))),".")</f>
        <v>6.5773651144152131E-4</v>
      </c>
      <c r="AC4" s="87">
        <f t="shared" si="1"/>
        <v>30407.313038114935</v>
      </c>
      <c r="AD4" s="87">
        <f>IFERROR(s_C*s_IFAP_res_adj*s_CF_apple*0.001*(up_Irr!C4+up_Irr!AB4+up_Irr!BA4),".")</f>
        <v>7601.8282595287337</v>
      </c>
      <c r="AE4" s="87">
        <f>IFERROR(s_C*s_IFAS_res_adj*s_CF_asparagus*0.001*(up_Irr!D4+up_Irr!AC4+up_Irr!BB4),".")</f>
        <v>7601.8282595287337</v>
      </c>
      <c r="AF4" s="87">
        <f>IFERROR(s_C*s_IFBT_res_adj*s_CF_beet*0.001*(up_Irr!E4+up_Irr!AD4+up_Irr!BC4),".")</f>
        <v>7601.8282595287337</v>
      </c>
      <c r="AG4" s="87">
        <f>IFERROR(s_C*s_IFBE_res_adj*s_CF_berries*0.001*(up_Irr!F4+up_Irr!AE4+up_Irr!BD4),".")</f>
        <v>7601.8282595287337</v>
      </c>
      <c r="AH4" s="87">
        <f>IFERROR(s_C*s_IFBR_res_adj*s_CF_broccoli*0.001*(up_Irr!G4+up_Irr!AF4+up_Irr!BE4),".")</f>
        <v>7601.8282595287337</v>
      </c>
      <c r="AI4" s="87">
        <f>IFERROR(s_C*s_IFCB_res_adj*s_CF_cabbage*0.001*(up_Irr!H4+up_Irr!AG4+up_Irr!BF4),".")</f>
        <v>7601.8282595287337</v>
      </c>
      <c r="AJ4" s="87">
        <f>IFERROR(s_C*s_IFCR_res_adj*s_CF_carrot*0.001*(up_Irr!I4+up_Irr!AH4+up_Irr!BG4),".")</f>
        <v>7601.8282595287337</v>
      </c>
      <c r="AK4" s="87">
        <f>IFERROR(s_C*s_IFCI_res_adj*s_CF_citrus*0.001*(up_Irr!J4+up_Irr!AI4+up_Irr!BH4),".")</f>
        <v>7601.8282595287337</v>
      </c>
      <c r="AL4" s="87">
        <f>IFERROR(s_C*s_IFCO_res_adj*s_CF_corn*0.001*(up_Irr!K4+up_Irr!AJ4+up_Irr!BI4),".")</f>
        <v>7601.8282595287337</v>
      </c>
      <c r="AM4" s="87">
        <f>IFERROR(s_C*s_IFCU_res_adj*s_CF_cucumber*0.001*(up_Irr!L4+up_Irr!AK4+up_Irr!BJ4),".")</f>
        <v>7601.8282595287337</v>
      </c>
      <c r="AN4" s="87">
        <f>IFERROR(s_C*s_IFLE_res_adj*s_CF_lettuce*0.001*(up_Irr!M4+up_Irr!AL4+up_Irr!BK4),".")</f>
        <v>7601.8282595287337</v>
      </c>
      <c r="AO4" s="87">
        <f>IFERROR(s_C*s_IFLI_res_adj*s_CF_lima_bean*0.001*(up_Irr!N4+up_Irr!AM4+up_Irr!BL4),".")</f>
        <v>7601.8282595287337</v>
      </c>
      <c r="AP4" s="87">
        <f>IFERROR(s_C*s_IFOK_res_adj*s_CF_okra*0.001*(up_Irr!O4+up_Irr!AN4+up_Irr!BM4),".")</f>
        <v>7601.8282595287337</v>
      </c>
      <c r="AQ4" s="87">
        <f>IFERROR(s_C*s_IFON_res_adj*s_CF_onion*0.001*(up_Irr!P4+up_Irr!AO4+up_Irr!BN4),".")</f>
        <v>7601.8282595287337</v>
      </c>
      <c r="AR4" s="87">
        <f>IFERROR(s_C*s_IFPC_res_adj*s_CF_peach*0.001*(up_Irr!Q4+up_Irr!AP4+up_Irr!BO4),".")</f>
        <v>7601.8282595287337</v>
      </c>
      <c r="AS4" s="87">
        <f>IFERROR(s_C*s_IFPR_res_adj*s_CF_pear*0.001*(up_Irr!R4+up_Irr!AQ4+up_Irr!BP4),".")</f>
        <v>7601.8282595287337</v>
      </c>
      <c r="AT4" s="87">
        <f>IFERROR(s_C*s_IFPE_res_adj*s_CF_peas*0.001*(up_Irr!S4+up_Irr!AR4+up_Irr!BQ4),".")</f>
        <v>7601.8282595287337</v>
      </c>
      <c r="AU4" s="87">
        <f>IFERROR(s_C*s_IFPP_res_adj*s_CF_peppers*0.001*(up_Irr!T4+up_Irr!AS4+up_Irr!BR4),".")</f>
        <v>7601.8282595287337</v>
      </c>
      <c r="AV4" s="87">
        <f>IFERROR(s_C*s_IFPT_res_adj*s_CF_potato*0.001*(up_Irr!U4+up_Irr!AT4+up_Irr!BS4),".")</f>
        <v>7601.8282595287337</v>
      </c>
      <c r="AW4" s="87">
        <f>IFERROR(s_C*s_IFPU_res_adj*s_CF_pumpkin*0.001*(up_Irr!V4+up_Irr!AU4+up_Irr!BT4),".")</f>
        <v>7601.8282595287337</v>
      </c>
      <c r="AX4" s="87">
        <f>IFERROR(s_C*s_IFSN_res_adj*s_CF_snap_bean*0.001*(up_Irr!W4+up_Irr!AV4+up_Irr!BU4),".")</f>
        <v>7601.8282595287337</v>
      </c>
      <c r="AY4" s="87">
        <f>IFERROR(s_C*s_IFST_res_adj*s_CF_strawberry*0.001*(up_Irr!X4+up_Irr!AW4+up_Irr!BV4),".")</f>
        <v>7601.8282595287337</v>
      </c>
      <c r="AZ4" s="87">
        <f>IFERROR(s_C*s_IFTO_res_adj*s_CF_tomato*0.001*(up_Irr!Y4+up_Irr!AX4+up_Irr!BW4),".")</f>
        <v>7601.8282595287337</v>
      </c>
      <c r="BA4" s="87">
        <f>IFERROR(s_C*s_IFRI_res_adj*s_CF_rice*0.001*(up_Irr!Z4+up_Irr!AY4+up_Irr!BX4),".")</f>
        <v>7601.8282595287337</v>
      </c>
      <c r="BB4" s="87">
        <f>IFERROR(s_C*s_IFCG_res_adj*s_CF_cereal*0.001*(up_Irr!AA4+up_Irr!AZ4+up_Irr!BY4),".")</f>
        <v>7601.8282595287337</v>
      </c>
      <c r="BC4" s="70">
        <f t="shared" si="2"/>
        <v>1.6443412786038033E-4</v>
      </c>
      <c r="BD4" s="70">
        <f>IFERROR(IF(AND(up_Irr!C4&lt;&gt;".",up_Irr!AB4&lt;&gt;".",up_Irr!BA4&lt;&gt;"."),up_dir!AD4/((1/1000)*(up_Irr!C4+up_Irr!AB4+up_Irr!BA4)),IF(AND(up_Irr!C4&lt;&gt;".",up_Irr!AB4&lt;&gt;".",up_Irr!BA4="."),up_dir!AD4/((1/1000)*(up_Irr!C4+up_Irr!AB4)),IF(AND(up_Irr!C4&lt;&gt;".",up_Irr!AB4=".",up_Irr!BA4&lt;&gt;"."),up_dir!AD4/((1/1000)*(up_Irr!C4+up_Irr!BA4)),IF(AND(up_Irr!C4=".",up_Irr!AB4&lt;&gt;".",up_Irr!BA4&lt;&gt;"."),up_dir!AD4/((1/1000)*(up_Irr!AB4+up_Irr!BA4)),IF(AND(up_Irr!C4=".",up_Irr!AB4=".",up_Irr!BA4&lt;&gt;"."),up_dir!AD4/((1/1000)*(up_Irr!BA4)),IF(AND(up_Irr!C4=".",up_Irr!AB4&lt;&gt;".",up_Irr!BA4="."),up_dir!AD4/((1/1000)*(up_Irr!AB4)),IF(AND(up_Irr!C4&lt;&gt;".",up_Irr!AB4=".",up_Irr!BA4="."),up_dir!AD4/((1/1000)*(up_Irr!C4)),IF(AND(up_Irr!C4=".",up_Irr!AB4=".",up_Irr!BA4="."),up_dir!AD4*1000)))))))),".")</f>
        <v>6.5773651144152131E-4</v>
      </c>
      <c r="BE4" s="70">
        <f>IFERROR(IF(AND(up_Irr!D4&lt;&gt;".",up_Irr!AC4&lt;&gt;".",up_Irr!BB4&lt;&gt;"."),up_dir!AE4/((1/1000)*(up_Irr!D4+up_Irr!AC4+up_Irr!BB4)),IF(AND(up_Irr!D4&lt;&gt;".",up_Irr!AC4&lt;&gt;".",up_Irr!BB4="."),up_dir!AE4/((1/1000)*(up_Irr!D4+up_Irr!AC4)),IF(AND(up_Irr!D4&lt;&gt;".",up_Irr!AC4=".",up_Irr!BB4&lt;&gt;"."),up_dir!AE4/((1/1000)*(up_Irr!D4+up_Irr!BB4)),IF(AND(up_Irr!D4=".",up_Irr!AC4&lt;&gt;".",up_Irr!BB4&lt;&gt;"."),up_dir!AE4/((1/1000)*(up_Irr!AC4+up_Irr!BB4)),IF(AND(up_Irr!D4=".",up_Irr!AC4=".",up_Irr!BB4&lt;&gt;"."),up_dir!AE4/((1/1000)*(up_Irr!BB4)),IF(AND(up_Irr!D4=".",up_Irr!AC4&lt;&gt;".",up_Irr!BB4="."),up_dir!AE4/((1/1000)*(up_Irr!AC4)),IF(AND(up_Irr!D4&lt;&gt;".",up_Irr!AC4=".",up_Irr!BB4="."),up_dir!AE4/((1/1000)*(up_Irr!D4)),IF(AND(up_Irr!D4=".",up_Irr!AC4=".",up_Irr!BB4="."),up_dir!AE4*1000)))))))),".")</f>
        <v>6.5773651144152131E-4</v>
      </c>
      <c r="BF4" s="70">
        <f>IFERROR(IF(AND(up_Irr!E4&lt;&gt;".",up_Irr!AD4&lt;&gt;".",up_Irr!BC4&lt;&gt;"."),up_dir!AF4/((1/1000)*(up_Irr!E4+up_Irr!AD4+up_Irr!BC4)),IF(AND(up_Irr!E4&lt;&gt;".",up_Irr!AD4&lt;&gt;".",up_Irr!BC4="."),up_dir!AF4/((1/1000)*(up_Irr!E4+up_Irr!AD4)),IF(AND(up_Irr!E4&lt;&gt;".",up_Irr!AD4=".",up_Irr!BC4&lt;&gt;"."),up_dir!AF4/((1/1000)*(up_Irr!E4+up_Irr!BC4)),IF(AND(up_Irr!E4=".",up_Irr!AD4&lt;&gt;".",up_Irr!BC4&lt;&gt;"."),up_dir!AF4/((1/1000)*(up_Irr!AD4+up_Irr!BC4)),IF(AND(up_Irr!E4=".",up_Irr!AD4=".",up_Irr!BC4&lt;&gt;"."),up_dir!AF4/((1/1000)*(up_Irr!BC4)),IF(AND(up_Irr!E4=".",up_Irr!AD4&lt;&gt;".",up_Irr!BC4="."),up_dir!AF4/((1/1000)*(up_Irr!AD4)),IF(AND(up_Irr!E4&lt;&gt;".",up_Irr!AD4=".",up_Irr!BC4="."),up_dir!AF4/((1/1000)*(up_Irr!E4)),IF(AND(up_Irr!E4=".",up_Irr!AD4=".",up_Irr!BC4="."),up_dir!AF4*1000)))))))),".")</f>
        <v>6.5773651144152131E-4</v>
      </c>
      <c r="BG4" s="70">
        <f>IFERROR(IF(AND(up_Irr!F4&lt;&gt;".",up_Irr!AE4&lt;&gt;".",up_Irr!BD4&lt;&gt;"."),up_dir!AG4/((1/1000)*(up_Irr!F4+up_Irr!AE4+up_Irr!BD4)),IF(AND(up_Irr!F4&lt;&gt;".",up_Irr!AE4&lt;&gt;".",up_Irr!BD4="."),up_dir!AG4/((1/1000)*(up_Irr!F4+up_Irr!AE4)),IF(AND(up_Irr!F4&lt;&gt;".",up_Irr!AE4=".",up_Irr!BD4&lt;&gt;"."),up_dir!AG4/((1/1000)*(up_Irr!F4+up_Irr!BD4)),IF(AND(up_Irr!F4=".",up_Irr!AE4&lt;&gt;".",up_Irr!BD4&lt;&gt;"."),up_dir!AG4/((1/1000)*(up_Irr!AE4+up_Irr!BD4)),IF(AND(up_Irr!F4=".",up_Irr!AE4=".",up_Irr!BD4&lt;&gt;"."),up_dir!AG4/((1/1000)*(up_Irr!BD4)),IF(AND(up_Irr!F4=".",up_Irr!AE4&lt;&gt;".",up_Irr!BD4="."),up_dir!AG4/((1/1000)*(up_Irr!AE4)),IF(AND(up_Irr!F4&lt;&gt;".",up_Irr!AE4=".",up_Irr!BD4="."),up_dir!AG4/((1/1000)*(up_Irr!F4)),IF(AND(up_Irr!F4=".",up_Irr!AE4=".",up_Irr!BD4="."),up_dir!AG4*1000)))))))),".")</f>
        <v>6.5773651144152131E-4</v>
      </c>
      <c r="BH4" s="70">
        <f>IFERROR(IF(AND(up_Irr!G4&lt;&gt;".",up_Irr!AF4&lt;&gt;".",up_Irr!BE4&lt;&gt;"."),up_dir!AH4/((1/1000)*(up_Irr!G4+up_Irr!AF4+up_Irr!BE4)),IF(AND(up_Irr!G4&lt;&gt;".",up_Irr!AF4&lt;&gt;".",up_Irr!BE4="."),up_dir!AH4/((1/1000)*(up_Irr!G4+up_Irr!AF4)),IF(AND(up_Irr!G4&lt;&gt;".",up_Irr!AF4=".",up_Irr!BE4&lt;&gt;"."),up_dir!AH4/((1/1000)*(up_Irr!G4+up_Irr!BE4)),IF(AND(up_Irr!G4=".",up_Irr!AF4&lt;&gt;".",up_Irr!BE4&lt;&gt;"."),up_dir!AH4/((1/1000)*(up_Irr!AF4+up_Irr!BE4)),IF(AND(up_Irr!G4=".",up_Irr!AF4=".",up_Irr!BE4&lt;&gt;"."),up_dir!AH4/((1/1000)*(up_Irr!BE4)),IF(AND(up_Irr!G4=".",up_Irr!AF4&lt;&gt;".",up_Irr!BE4="."),up_dir!AH4/((1/1000)*(up_Irr!AF4)),IF(AND(up_Irr!G4&lt;&gt;".",up_Irr!AF4=".",up_Irr!BE4="."),up_dir!AH4/((1/1000)*(up_Irr!G4)),IF(AND(up_Irr!G4=".",up_Irr!AF4=".",up_Irr!BE4="."),up_dir!AH4*1000)))))))),".")</f>
        <v>6.5773651144152131E-4</v>
      </c>
      <c r="BI4" s="70">
        <f>IFERROR(IF(AND(up_Irr!H4&lt;&gt;".",up_Irr!AG4&lt;&gt;".",up_Irr!BF4&lt;&gt;"."),up_dir!AI4/((1/1000)*(up_Irr!H4+up_Irr!AG4+up_Irr!BF4)),IF(AND(up_Irr!H4&lt;&gt;".",up_Irr!AG4&lt;&gt;".",up_Irr!BF4="."),up_dir!AI4/((1/1000)*(up_Irr!H4+up_Irr!AG4)),IF(AND(up_Irr!H4&lt;&gt;".",up_Irr!AG4=".",up_Irr!BF4&lt;&gt;"."),up_dir!AI4/((1/1000)*(up_Irr!H4+up_Irr!BF4)),IF(AND(up_Irr!H4=".",up_Irr!AG4&lt;&gt;".",up_Irr!BF4&lt;&gt;"."),up_dir!AI4/((1/1000)*(up_Irr!AG4+up_Irr!BF4)),IF(AND(up_Irr!H4=".",up_Irr!AG4=".",up_Irr!BF4&lt;&gt;"."),up_dir!AI4/((1/1000)*(up_Irr!BF4)),IF(AND(up_Irr!H4=".",up_Irr!AG4&lt;&gt;".",up_Irr!BF4="."),up_dir!AI4/((1/1000)*(up_Irr!AG4)),IF(AND(up_Irr!H4&lt;&gt;".",up_Irr!AG4=".",up_Irr!BF4="."),up_dir!AI4/((1/1000)*(up_Irr!H4)),IF(AND(up_Irr!H4=".",up_Irr!AG4=".",up_Irr!BF4="."),up_dir!AI4*1000)))))))),".")</f>
        <v>6.5773651144152131E-4</v>
      </c>
      <c r="BJ4" s="70">
        <f>IFERROR(IF(AND(up_Irr!I4&lt;&gt;".",up_Irr!AH4&lt;&gt;".",up_Irr!BG4&lt;&gt;"."),up_dir!AJ4/((1/1000)*(up_Irr!I4+up_Irr!AH4+up_Irr!BG4)),IF(AND(up_Irr!I4&lt;&gt;".",up_Irr!AH4&lt;&gt;".",up_Irr!BG4="."),up_dir!AJ4/((1/1000)*(up_Irr!I4+up_Irr!AH4)),IF(AND(up_Irr!I4&lt;&gt;".",up_Irr!AH4=".",up_Irr!BG4&lt;&gt;"."),up_dir!AJ4/((1/1000)*(up_Irr!I4+up_Irr!BG4)),IF(AND(up_Irr!I4=".",up_Irr!AH4&lt;&gt;".",up_Irr!BG4&lt;&gt;"."),up_dir!AJ4/((1/1000)*(up_Irr!AH4+up_Irr!BG4)),IF(AND(up_Irr!I4=".",up_Irr!AH4=".",up_Irr!BG4&lt;&gt;"."),up_dir!AJ4/((1/1000)*(up_Irr!BG4)),IF(AND(up_Irr!I4=".",up_Irr!AH4&lt;&gt;".",up_Irr!BG4="."),up_dir!AJ4/((1/1000)*(up_Irr!AH4)),IF(AND(up_Irr!I4&lt;&gt;".",up_Irr!AH4=".",up_Irr!BG4="."),up_dir!AJ4/((1/1000)*(up_Irr!I4)),IF(AND(up_Irr!I4=".",up_Irr!AH4=".",up_Irr!BG4="."),up_dir!AJ4*1000)))))))),".")</f>
        <v>6.5773651144152131E-4</v>
      </c>
      <c r="BK4" s="70">
        <f>IFERROR(IF(AND(up_Irr!J4&lt;&gt;".",up_Irr!AI4&lt;&gt;".",up_Irr!BH4&lt;&gt;"."),up_dir!AK4/((1/1000)*(up_Irr!J4+up_Irr!AI4+up_Irr!BH4)),IF(AND(up_Irr!J4&lt;&gt;".",up_Irr!AI4&lt;&gt;".",up_Irr!BH4="."),up_dir!AK4/((1/1000)*(up_Irr!J4+up_Irr!AI4)),IF(AND(up_Irr!J4&lt;&gt;".",up_Irr!AI4=".",up_Irr!BH4&lt;&gt;"."),up_dir!AK4/((1/1000)*(up_Irr!J4+up_Irr!BH4)),IF(AND(up_Irr!J4=".",up_Irr!AI4&lt;&gt;".",up_Irr!BH4&lt;&gt;"."),up_dir!AK4/((1/1000)*(up_Irr!AI4+up_Irr!BH4)),IF(AND(up_Irr!J4=".",up_Irr!AI4=".",up_Irr!BH4&lt;&gt;"."),up_dir!AK4/((1/1000)*(up_Irr!BH4)),IF(AND(up_Irr!J4=".",up_Irr!AI4&lt;&gt;".",up_Irr!BH4="."),up_dir!AK4/((1/1000)*(up_Irr!AI4)),IF(AND(up_Irr!J4&lt;&gt;".",up_Irr!AI4=".",up_Irr!BH4="."),up_dir!AK4/((1/1000)*(up_Irr!J4)),IF(AND(up_Irr!J4=".",up_Irr!AI4=".",up_Irr!BH4="."),up_dir!AK4*1000)))))))),".")</f>
        <v>6.5773651144152131E-4</v>
      </c>
      <c r="BL4" s="70">
        <f>IFERROR(IF(AND(up_Irr!K4&lt;&gt;".",up_Irr!AJ4&lt;&gt;".",up_Irr!BI4&lt;&gt;"."),up_dir!AL4/((1/1000)*(up_Irr!K4+up_Irr!AJ4+up_Irr!BI4)),IF(AND(up_Irr!K4&lt;&gt;".",up_Irr!AJ4&lt;&gt;".",up_Irr!BI4="."),up_dir!AL4/((1/1000)*(up_Irr!K4+up_Irr!AJ4)),IF(AND(up_Irr!K4&lt;&gt;".",up_Irr!AJ4=".",up_Irr!BI4&lt;&gt;"."),up_dir!AL4/((1/1000)*(up_Irr!K4+up_Irr!BI4)),IF(AND(up_Irr!K4=".",up_Irr!AJ4&lt;&gt;".",up_Irr!BI4&lt;&gt;"."),up_dir!AL4/((1/1000)*(up_Irr!AJ4+up_Irr!BI4)),IF(AND(up_Irr!K4=".",up_Irr!AJ4=".",up_Irr!BI4&lt;&gt;"."),up_dir!AL4/((1/1000)*(up_Irr!BI4)),IF(AND(up_Irr!K4=".",up_Irr!AJ4&lt;&gt;".",up_Irr!BI4="."),up_dir!AL4/((1/1000)*(up_Irr!AJ4)),IF(AND(up_Irr!K4&lt;&gt;".",up_Irr!AJ4=".",up_Irr!BI4="."),up_dir!AL4/((1/1000)*(up_Irr!K4)),IF(AND(up_Irr!K4=".",up_Irr!AJ4=".",up_Irr!BI4="."),up_dir!AL4*1000)))))))),".")</f>
        <v>6.5773651144152131E-4</v>
      </c>
      <c r="BM4" s="70">
        <f>IFERROR(IF(AND(up_Irr!L4&lt;&gt;".",up_Irr!AK4&lt;&gt;".",up_Irr!BJ4&lt;&gt;"."),up_dir!AM4/((1/1000)*(up_Irr!L4+up_Irr!AK4+up_Irr!BJ4)),IF(AND(up_Irr!L4&lt;&gt;".",up_Irr!AK4&lt;&gt;".",up_Irr!BJ4="."),up_dir!AM4/((1/1000)*(up_Irr!L4+up_Irr!AK4)),IF(AND(up_Irr!L4&lt;&gt;".",up_Irr!AK4=".",up_Irr!BJ4&lt;&gt;"."),up_dir!AM4/((1/1000)*(up_Irr!L4+up_Irr!BJ4)),IF(AND(up_Irr!L4=".",up_Irr!AK4&lt;&gt;".",up_Irr!BJ4&lt;&gt;"."),up_dir!AM4/((1/1000)*(up_Irr!AK4+up_Irr!BJ4)),IF(AND(up_Irr!L4=".",up_Irr!AK4=".",up_Irr!BJ4&lt;&gt;"."),up_dir!AM4/((1/1000)*(up_Irr!BJ4)),IF(AND(up_Irr!L4=".",up_Irr!AK4&lt;&gt;".",up_Irr!BJ4="."),up_dir!AM4/((1/1000)*(up_Irr!AK4)),IF(AND(up_Irr!L4&lt;&gt;".",up_Irr!AK4=".",up_Irr!BJ4="."),up_dir!AM4/((1/1000)*(up_Irr!L4)),IF(AND(up_Irr!L4=".",up_Irr!AK4=".",up_Irr!BJ4="."),up_dir!AM4*1000)))))))),".")</f>
        <v>6.5773651144152131E-4</v>
      </c>
      <c r="BN4" s="70">
        <f>IFERROR(IF(AND(up_Irr!M4&lt;&gt;".",up_Irr!AL4&lt;&gt;".",up_Irr!BK4&lt;&gt;"."),up_dir!AN4/((1/1000)*(up_Irr!M4+up_Irr!AL4+up_Irr!BK4)),IF(AND(up_Irr!M4&lt;&gt;".",up_Irr!AL4&lt;&gt;".",up_Irr!BK4="."),up_dir!AN4/((1/1000)*(up_Irr!M4+up_Irr!AL4)),IF(AND(up_Irr!M4&lt;&gt;".",up_Irr!AL4=".",up_Irr!BK4&lt;&gt;"."),up_dir!AN4/((1/1000)*(up_Irr!M4+up_Irr!BK4)),IF(AND(up_Irr!M4=".",up_Irr!AL4&lt;&gt;".",up_Irr!BK4&lt;&gt;"."),up_dir!AN4/((1/1000)*(up_Irr!AL4+up_Irr!BK4)),IF(AND(up_Irr!M4=".",up_Irr!AL4=".",up_Irr!BK4&lt;&gt;"."),up_dir!AN4/((1/1000)*(up_Irr!BK4)),IF(AND(up_Irr!M4=".",up_Irr!AL4&lt;&gt;".",up_Irr!BK4="."),up_dir!AN4/((1/1000)*(up_Irr!AL4)),IF(AND(up_Irr!M4&lt;&gt;".",up_Irr!AL4=".",up_Irr!BK4="."),up_dir!AN4/((1/1000)*(up_Irr!M4)),IF(AND(up_Irr!M4=".",up_Irr!AL4=".",up_Irr!BK4="."),up_dir!AN4*1000)))))))),".")</f>
        <v>6.5773651144152131E-4</v>
      </c>
      <c r="BO4" s="70">
        <f>IFERROR(IF(AND(up_Irr!N4&lt;&gt;".",up_Irr!AM4&lt;&gt;".",up_Irr!BL4&lt;&gt;"."),up_dir!AO4/((1/1000)*(up_Irr!N4+up_Irr!AM4+up_Irr!BL4)),IF(AND(up_Irr!N4&lt;&gt;".",up_Irr!AM4&lt;&gt;".",up_Irr!BL4="."),up_dir!AO4/((1/1000)*(up_Irr!N4+up_Irr!AM4)),IF(AND(up_Irr!N4&lt;&gt;".",up_Irr!AM4=".",up_Irr!BL4&lt;&gt;"."),up_dir!AO4/((1/1000)*(up_Irr!N4+up_Irr!BL4)),IF(AND(up_Irr!N4=".",up_Irr!AM4&lt;&gt;".",up_Irr!BL4&lt;&gt;"."),up_dir!AO4/((1/1000)*(up_Irr!AM4+up_Irr!BL4)),IF(AND(up_Irr!N4=".",up_Irr!AM4=".",up_Irr!BL4&lt;&gt;"."),up_dir!AO4/((1/1000)*(up_Irr!BL4)),IF(AND(up_Irr!N4=".",up_Irr!AM4&lt;&gt;".",up_Irr!BL4="."),up_dir!AO4/((1/1000)*(up_Irr!AM4)),IF(AND(up_Irr!N4&lt;&gt;".",up_Irr!AM4=".",up_Irr!BL4="."),up_dir!AO4/((1/1000)*(up_Irr!N4)),IF(AND(up_Irr!N4=".",up_Irr!AM4=".",up_Irr!BL4="."),up_dir!AO4*1000)))))))),".")</f>
        <v>6.5773651144152131E-4</v>
      </c>
      <c r="BP4" s="70">
        <f>IFERROR(IF(AND(up_Irr!O4&lt;&gt;".",up_Irr!AN4&lt;&gt;".",up_Irr!BM4&lt;&gt;"."),up_dir!AP4/((1/1000)*(up_Irr!O4+up_Irr!AN4+up_Irr!BM4)),IF(AND(up_Irr!O4&lt;&gt;".",up_Irr!AN4&lt;&gt;".",up_Irr!BM4="."),up_dir!AP4/((1/1000)*(up_Irr!O4+up_Irr!AN4)),IF(AND(up_Irr!O4&lt;&gt;".",up_Irr!AN4=".",up_Irr!BM4&lt;&gt;"."),up_dir!AP4/((1/1000)*(up_Irr!O4+up_Irr!BM4)),IF(AND(up_Irr!O4=".",up_Irr!AN4&lt;&gt;".",up_Irr!BM4&lt;&gt;"."),up_dir!AP4/((1/1000)*(up_Irr!AN4+up_Irr!BM4)),IF(AND(up_Irr!O4=".",up_Irr!AN4=".",up_Irr!BM4&lt;&gt;"."),up_dir!AP4/((1/1000)*(up_Irr!BM4)),IF(AND(up_Irr!O4=".",up_Irr!AN4&lt;&gt;".",up_Irr!BM4="."),up_dir!AP4/((1/1000)*(up_Irr!AN4)),IF(AND(up_Irr!O4&lt;&gt;".",up_Irr!AN4=".",up_Irr!BM4="."),up_dir!AP4/((1/1000)*(up_Irr!O4)),IF(AND(up_Irr!O4=".",up_Irr!AN4=".",up_Irr!BM4="."),up_dir!AP4*1000)))))))),".")</f>
        <v>6.5773651144152131E-4</v>
      </c>
      <c r="BQ4" s="70">
        <f>IFERROR(IF(AND(up_Irr!P4&lt;&gt;".",up_Irr!AO4&lt;&gt;".",up_Irr!BN4&lt;&gt;"."),up_dir!AQ4/((1/1000)*(up_Irr!P4+up_Irr!AO4+up_Irr!BN4)),IF(AND(up_Irr!P4&lt;&gt;".",up_Irr!AO4&lt;&gt;".",up_Irr!BN4="."),up_dir!AQ4/((1/1000)*(up_Irr!P4+up_Irr!AO4)),IF(AND(up_Irr!P4&lt;&gt;".",up_Irr!AO4=".",up_Irr!BN4&lt;&gt;"."),up_dir!AQ4/((1/1000)*(up_Irr!P4+up_Irr!BN4)),IF(AND(up_Irr!P4=".",up_Irr!AO4&lt;&gt;".",up_Irr!BN4&lt;&gt;"."),up_dir!AQ4/((1/1000)*(up_Irr!AO4+up_Irr!BN4)),IF(AND(up_Irr!P4=".",up_Irr!AO4=".",up_Irr!BN4&lt;&gt;"."),up_dir!AQ4/((1/1000)*(up_Irr!BN4)),IF(AND(up_Irr!P4=".",up_Irr!AO4&lt;&gt;".",up_Irr!BN4="."),up_dir!AQ4/((1/1000)*(up_Irr!AO4)),IF(AND(up_Irr!P4&lt;&gt;".",up_Irr!AO4=".",up_Irr!BN4="."),up_dir!AQ4/((1/1000)*(up_Irr!P4)),IF(AND(up_Irr!P4=".",up_Irr!AO4=".",up_Irr!BN4="."),up_dir!AQ4*1000)))))))),".")</f>
        <v>6.5773651144152131E-4</v>
      </c>
      <c r="BR4" s="70">
        <f>IFERROR(IF(AND(up_Irr!Q4&lt;&gt;".",up_Irr!AP4&lt;&gt;".",up_Irr!BO4&lt;&gt;"."),up_dir!AR4/((1/1000)*(up_Irr!Q4+up_Irr!AP4+up_Irr!BO4)),IF(AND(up_Irr!Q4&lt;&gt;".",up_Irr!AP4&lt;&gt;".",up_Irr!BO4="."),up_dir!AR4/((1/1000)*(up_Irr!Q4+up_Irr!AP4)),IF(AND(up_Irr!Q4&lt;&gt;".",up_Irr!AP4=".",up_Irr!BO4&lt;&gt;"."),up_dir!AR4/((1/1000)*(up_Irr!Q4+up_Irr!BO4)),IF(AND(up_Irr!Q4=".",up_Irr!AP4&lt;&gt;".",up_Irr!BO4&lt;&gt;"."),up_dir!AR4/((1/1000)*(up_Irr!AP4+up_Irr!BO4)),IF(AND(up_Irr!Q4=".",up_Irr!AP4=".",up_Irr!BO4&lt;&gt;"."),up_dir!AR4/((1/1000)*(up_Irr!BO4)),IF(AND(up_Irr!Q4=".",up_Irr!AP4&lt;&gt;".",up_Irr!BO4="."),up_dir!AR4/((1/1000)*(up_Irr!AP4)),IF(AND(up_Irr!Q4&lt;&gt;".",up_Irr!AP4=".",up_Irr!BO4="."),up_dir!AR4/((1/1000)*(up_Irr!Q4)),IF(AND(up_Irr!Q4=".",up_Irr!AP4=".",up_Irr!BO4="."),up_dir!AR4*1000)))))))),".")</f>
        <v>6.5773651144152131E-4</v>
      </c>
      <c r="BS4" s="70">
        <f>IFERROR(IF(AND(up_Irr!R4&lt;&gt;".",up_Irr!AQ4&lt;&gt;".",up_Irr!BP4&lt;&gt;"."),up_dir!AS4/((1/1000)*(up_Irr!R4+up_Irr!AQ4+up_Irr!BP4)),IF(AND(up_Irr!R4&lt;&gt;".",up_Irr!AQ4&lt;&gt;".",up_Irr!BP4="."),up_dir!AS4/((1/1000)*(up_Irr!R4+up_Irr!AQ4)),IF(AND(up_Irr!R4&lt;&gt;".",up_Irr!AQ4=".",up_Irr!BP4&lt;&gt;"."),up_dir!AS4/((1/1000)*(up_Irr!R4+up_Irr!BP4)),IF(AND(up_Irr!R4=".",up_Irr!AQ4&lt;&gt;".",up_Irr!BP4&lt;&gt;"."),up_dir!AS4/((1/1000)*(up_Irr!AQ4+up_Irr!BP4)),IF(AND(up_Irr!R4=".",up_Irr!AQ4=".",up_Irr!BP4&lt;&gt;"."),up_dir!AS4/((1/1000)*(up_Irr!BP4)),IF(AND(up_Irr!R4=".",up_Irr!AQ4&lt;&gt;".",up_Irr!BP4="."),up_dir!AS4/((1/1000)*(up_Irr!AQ4)),IF(AND(up_Irr!R4&lt;&gt;".",up_Irr!AQ4=".",up_Irr!BP4="."),up_dir!AS4/((1/1000)*(up_Irr!R4)),IF(AND(up_Irr!R4=".",up_Irr!AQ4=".",up_Irr!BP4="."),up_dir!AS4*1000)))))))),".")</f>
        <v>6.5773651144152131E-4</v>
      </c>
      <c r="BT4" s="70">
        <f>IFERROR(IF(AND(up_Irr!S4&lt;&gt;".",up_Irr!AR4&lt;&gt;".",up_Irr!BQ4&lt;&gt;"."),up_dir!AT4/((1/1000)*(up_Irr!S4+up_Irr!AR4+up_Irr!BQ4)),IF(AND(up_Irr!S4&lt;&gt;".",up_Irr!AR4&lt;&gt;".",up_Irr!BQ4="."),up_dir!AT4/((1/1000)*(up_Irr!S4+up_Irr!AR4)),IF(AND(up_Irr!S4&lt;&gt;".",up_Irr!AR4=".",up_Irr!BQ4&lt;&gt;"."),up_dir!AT4/((1/1000)*(up_Irr!S4+up_Irr!BQ4)),IF(AND(up_Irr!S4=".",up_Irr!AR4&lt;&gt;".",up_Irr!BQ4&lt;&gt;"."),up_dir!AT4/((1/1000)*(up_Irr!AR4+up_Irr!BQ4)),IF(AND(up_Irr!S4=".",up_Irr!AR4=".",up_Irr!BQ4&lt;&gt;"."),up_dir!AT4/((1/1000)*(up_Irr!BQ4)),IF(AND(up_Irr!S4=".",up_Irr!AR4&lt;&gt;".",up_Irr!BQ4="."),up_dir!AT4/((1/1000)*(up_Irr!AR4)),IF(AND(up_Irr!S4&lt;&gt;".",up_Irr!AR4=".",up_Irr!BQ4="."),up_dir!AT4/((1/1000)*(up_Irr!S4)),IF(AND(up_Irr!S4=".",up_Irr!AR4=".",up_Irr!BQ4="."),up_dir!AT4*1000)))))))),".")</f>
        <v>6.5773651144152131E-4</v>
      </c>
      <c r="BU4" s="70">
        <f>IFERROR(IF(AND(up_Irr!T4&lt;&gt;".",up_Irr!AS4&lt;&gt;".",up_Irr!BR4&lt;&gt;"."),up_dir!AU4/((1/1000)*(up_Irr!T4+up_Irr!AS4+up_Irr!BR4)),IF(AND(up_Irr!T4&lt;&gt;".",up_Irr!AS4&lt;&gt;".",up_Irr!BR4="."),up_dir!AU4/((1/1000)*(up_Irr!T4+up_Irr!AS4)),IF(AND(up_Irr!T4&lt;&gt;".",up_Irr!AS4=".",up_Irr!BR4&lt;&gt;"."),up_dir!AU4/((1/1000)*(up_Irr!T4+up_Irr!BR4)),IF(AND(up_Irr!T4=".",up_Irr!AS4&lt;&gt;".",up_Irr!BR4&lt;&gt;"."),up_dir!AU4/((1/1000)*(up_Irr!AS4+up_Irr!BR4)),IF(AND(up_Irr!T4=".",up_Irr!AS4=".",up_Irr!BR4&lt;&gt;"."),up_dir!AU4/((1/1000)*(up_Irr!BR4)),IF(AND(up_Irr!T4=".",up_Irr!AS4&lt;&gt;".",up_Irr!BR4="."),up_dir!AU4/((1/1000)*(up_Irr!AS4)),IF(AND(up_Irr!T4&lt;&gt;".",up_Irr!AS4=".",up_Irr!BR4="."),up_dir!AU4/((1/1000)*(up_Irr!T4)),IF(AND(up_Irr!T4=".",up_Irr!AS4=".",up_Irr!BR4="."),up_dir!AU4*1000)))))))),".")</f>
        <v>6.5773651144152131E-4</v>
      </c>
      <c r="BV4" s="70">
        <f>IFERROR(IF(AND(up_Irr!U4&lt;&gt;".",up_Irr!AT4&lt;&gt;".",up_Irr!BS4&lt;&gt;"."),up_dir!AV4/((1/1000)*(up_Irr!U4+up_Irr!AT4+up_Irr!BS4)),IF(AND(up_Irr!U4&lt;&gt;".",up_Irr!AT4&lt;&gt;".",up_Irr!BS4="."),up_dir!AV4/((1/1000)*(up_Irr!U4+up_Irr!AT4)),IF(AND(up_Irr!U4&lt;&gt;".",up_Irr!AT4=".",up_Irr!BS4&lt;&gt;"."),up_dir!AV4/((1/1000)*(up_Irr!U4+up_Irr!BS4)),IF(AND(up_Irr!U4=".",up_Irr!AT4&lt;&gt;".",up_Irr!BS4&lt;&gt;"."),up_dir!AV4/((1/1000)*(up_Irr!AT4+up_Irr!BS4)),IF(AND(up_Irr!U4=".",up_Irr!AT4=".",up_Irr!BS4&lt;&gt;"."),up_dir!AV4/((1/1000)*(up_Irr!BS4)),IF(AND(up_Irr!U4=".",up_Irr!AT4&lt;&gt;".",up_Irr!BS4="."),up_dir!AV4/((1/1000)*(up_Irr!AT4)),IF(AND(up_Irr!U4&lt;&gt;".",up_Irr!AT4=".",up_Irr!BS4="."),up_dir!AV4/((1/1000)*(up_Irr!U4)),IF(AND(up_Irr!U4=".",up_Irr!AT4=".",up_Irr!BS4="."),up_dir!AV4*1000)))))))),".")</f>
        <v>6.5773651144152131E-4</v>
      </c>
      <c r="BW4" s="70">
        <f>IFERROR(IF(AND(up_Irr!V4&lt;&gt;".",up_Irr!AU4&lt;&gt;".",up_Irr!BT4&lt;&gt;"."),up_dir!AW4/((1/1000)*(up_Irr!V4+up_Irr!AU4+up_Irr!BT4)),IF(AND(up_Irr!V4&lt;&gt;".",up_Irr!AU4&lt;&gt;".",up_Irr!BT4="."),up_dir!AW4/((1/1000)*(up_Irr!V4+up_Irr!AU4)),IF(AND(up_Irr!V4&lt;&gt;".",up_Irr!AU4=".",up_Irr!BT4&lt;&gt;"."),up_dir!AW4/((1/1000)*(up_Irr!V4+up_Irr!BT4)),IF(AND(up_Irr!V4=".",up_Irr!AU4&lt;&gt;".",up_Irr!BT4&lt;&gt;"."),up_dir!AW4/((1/1000)*(up_Irr!AU4+up_Irr!BT4)),IF(AND(up_Irr!V4=".",up_Irr!AU4=".",up_Irr!BT4&lt;&gt;"."),up_dir!AW4/((1/1000)*(up_Irr!BT4)),IF(AND(up_Irr!V4=".",up_Irr!AU4&lt;&gt;".",up_Irr!BT4="."),up_dir!AW4/((1/1000)*(up_Irr!AU4)),IF(AND(up_Irr!V4&lt;&gt;".",up_Irr!AU4=".",up_Irr!BT4="."),up_dir!AW4/((1/1000)*(up_Irr!V4)),IF(AND(up_Irr!V4=".",up_Irr!AU4=".",up_Irr!BT4="."),up_dir!AW4*1000)))))))),".")</f>
        <v>6.5773651144152131E-4</v>
      </c>
      <c r="BX4" s="70">
        <f>IFERROR(IF(AND(up_Irr!W4&lt;&gt;".",up_Irr!AV4&lt;&gt;".",up_Irr!BU4&lt;&gt;"."),up_dir!AX4/((1/1000)*(up_Irr!W4+up_Irr!AV4+up_Irr!BU4)),IF(AND(up_Irr!W4&lt;&gt;".",up_Irr!AV4&lt;&gt;".",up_Irr!BU4="."),up_dir!AX4/((1/1000)*(up_Irr!W4+up_Irr!AV4)),IF(AND(up_Irr!W4&lt;&gt;".",up_Irr!AV4=".",up_Irr!BU4&lt;&gt;"."),up_dir!AX4/((1/1000)*(up_Irr!W4+up_Irr!BU4)),IF(AND(up_Irr!W4=".",up_Irr!AV4&lt;&gt;".",up_Irr!BU4&lt;&gt;"."),up_dir!AX4/((1/1000)*(up_Irr!AV4+up_Irr!BU4)),IF(AND(up_Irr!W4=".",up_Irr!AV4=".",up_Irr!BU4&lt;&gt;"."),up_dir!AX4/((1/1000)*(up_Irr!BU4)),IF(AND(up_Irr!W4=".",up_Irr!AV4&lt;&gt;".",up_Irr!BU4="."),up_dir!AX4/((1/1000)*(up_Irr!AV4)),IF(AND(up_Irr!W4&lt;&gt;".",up_Irr!AV4=".",up_Irr!BU4="."),up_dir!AX4/((1/1000)*(up_Irr!W4)),IF(AND(up_Irr!W4=".",up_Irr!AV4=".",up_Irr!BU4="."),up_dir!AX4*1000)))))))),".")</f>
        <v>6.5773651144152131E-4</v>
      </c>
      <c r="BY4" s="70">
        <f>IFERROR(IF(AND(up_Irr!X4&lt;&gt;".",up_Irr!AW4&lt;&gt;".",up_Irr!BV4&lt;&gt;"."),up_dir!AY4/((1/1000)*(up_Irr!X4+up_Irr!AW4+up_Irr!BV4)),IF(AND(up_Irr!X4&lt;&gt;".",up_Irr!AW4&lt;&gt;".",up_Irr!BV4="."),up_dir!AY4/((1/1000)*(up_Irr!X4+up_Irr!AW4)),IF(AND(up_Irr!X4&lt;&gt;".",up_Irr!AW4=".",up_Irr!BV4&lt;&gt;"."),up_dir!AY4/((1/1000)*(up_Irr!X4+up_Irr!BV4)),IF(AND(up_Irr!X4=".",up_Irr!AW4&lt;&gt;".",up_Irr!BV4&lt;&gt;"."),up_dir!AY4/((1/1000)*(up_Irr!AW4+up_Irr!BV4)),IF(AND(up_Irr!X4=".",up_Irr!AW4=".",up_Irr!BV4&lt;&gt;"."),up_dir!AY4/((1/1000)*(up_Irr!BV4)),IF(AND(up_Irr!X4=".",up_Irr!AW4&lt;&gt;".",up_Irr!BV4="."),up_dir!AY4/((1/1000)*(up_Irr!AW4)),IF(AND(up_Irr!X4&lt;&gt;".",up_Irr!AW4=".",up_Irr!BV4="."),up_dir!AY4/((1/1000)*(up_Irr!X4)),IF(AND(up_Irr!X4=".",up_Irr!AW4=".",up_Irr!BV4="."),up_dir!AY4*1000)))))))),".")</f>
        <v>6.5773651144152131E-4</v>
      </c>
      <c r="BZ4" s="70">
        <f>IFERROR(IF(AND(up_Irr!Y4&lt;&gt;".",up_Irr!AX4&lt;&gt;".",up_Irr!BW4&lt;&gt;"."),up_dir!AZ4/((1/1000)*(up_Irr!Y4+up_Irr!AX4+up_Irr!BW4)),IF(AND(up_Irr!Y4&lt;&gt;".",up_Irr!AX4&lt;&gt;".",up_Irr!BW4="."),up_dir!AZ4/((1/1000)*(up_Irr!Y4+up_Irr!AX4)),IF(AND(up_Irr!Y4&lt;&gt;".",up_Irr!AX4=".",up_Irr!BW4&lt;&gt;"."),up_dir!AZ4/((1/1000)*(up_Irr!Y4+up_Irr!BW4)),IF(AND(up_Irr!Y4=".",up_Irr!AX4&lt;&gt;".",up_Irr!BW4&lt;&gt;"."),up_dir!AZ4/((1/1000)*(up_Irr!AX4+up_Irr!BW4)),IF(AND(up_Irr!Y4=".",up_Irr!AX4=".",up_Irr!BW4&lt;&gt;"."),up_dir!AZ4/((1/1000)*(up_Irr!BW4)),IF(AND(up_Irr!Y4=".",up_Irr!AX4&lt;&gt;".",up_Irr!BW4="."),up_dir!AZ4/((1/1000)*(up_Irr!AX4)),IF(AND(up_Irr!Y4&lt;&gt;".",up_Irr!AX4=".",up_Irr!BW4="."),up_dir!AZ4/((1/1000)*(up_Irr!Y4)),IF(AND(up_Irr!Y4=".",up_Irr!AX4=".",up_Irr!BW4="."),up_dir!AZ4*1000)))))))),".")</f>
        <v>6.5773651144152131E-4</v>
      </c>
      <c r="CA4" s="70">
        <f>IFERROR(IF(AND(up_Irr!Z4&lt;&gt;".",up_Irr!AY4&lt;&gt;".",up_Irr!BX4&lt;&gt;"."),up_dir!BA4/((1/1000)*(up_Irr!Z4+up_Irr!AY4+up_Irr!BX4)),IF(AND(up_Irr!Z4&lt;&gt;".",up_Irr!AY4&lt;&gt;".",up_Irr!BX4="."),up_dir!BA4/((1/1000)*(up_Irr!Z4+up_Irr!AY4)),IF(AND(up_Irr!Z4&lt;&gt;".",up_Irr!AY4=".",up_Irr!BX4&lt;&gt;"."),up_dir!BA4/((1/1000)*(up_Irr!Z4+up_Irr!BX4)),IF(AND(up_Irr!Z4=".",up_Irr!AY4&lt;&gt;".",up_Irr!BX4&lt;&gt;"."),up_dir!BA4/((1/1000)*(up_Irr!AY4+up_Irr!BX4)),IF(AND(up_Irr!Z4=".",up_Irr!AY4=".",up_Irr!BX4&lt;&gt;"."),up_dir!BA4/((1/1000)*(up_Irr!BX4)),IF(AND(up_Irr!Z4=".",up_Irr!AY4&lt;&gt;".",up_Irr!BX4="."),up_dir!BA4/((1/1000)*(up_Irr!AY4)),IF(AND(up_Irr!Z4&lt;&gt;".",up_Irr!AY4=".",up_Irr!BX4="."),up_dir!BA4/((1/1000)*(up_Irr!Z4)),IF(AND(up_Irr!Z4=".",up_Irr!AY4=".",up_Irr!BX4="."),up_dir!BA4*1000)))))))),".")</f>
        <v>6.5773651144152131E-4</v>
      </c>
      <c r="CB4" s="70">
        <f>IFERROR(IF(AND(up_Irr!AA4&lt;&gt;".",up_Irr!AZ4&lt;&gt;".",up_Irr!BY4&lt;&gt;"."),up_dir!BB4/((1/1000)*(up_Irr!AA4+up_Irr!AZ4+up_Irr!BY4)),IF(AND(up_Irr!AA4&lt;&gt;".",up_Irr!AZ4&lt;&gt;".",up_Irr!BY4="."),up_dir!BB4/((1/1000)*(up_Irr!AA4+up_Irr!AZ4)),IF(AND(up_Irr!AA4&lt;&gt;".",up_Irr!AZ4=".",up_Irr!BY4&lt;&gt;"."),up_dir!BB4/((1/1000)*(up_Irr!AA4+up_Irr!BY4)),IF(AND(up_Irr!AA4=".",up_Irr!AZ4&lt;&gt;".",up_Irr!BY4&lt;&gt;"."),up_dir!BB4/((1/1000)*(up_Irr!AZ4+up_Irr!BY4)),IF(AND(up_Irr!AA4=".",up_Irr!AZ4=".",up_Irr!BY4&lt;&gt;"."),up_dir!BB4/((1/1000)*(up_Irr!BY4)),IF(AND(up_Irr!AA4=".",up_Irr!AZ4&lt;&gt;".",up_Irr!BY4="."),up_dir!BB4/((1/1000)*(up_Irr!AZ4)),IF(AND(up_Irr!AA4&lt;&gt;".",up_Irr!AZ4=".",up_Irr!BY4="."),up_dir!BB4/((1/1000)*(up_Irr!AA4)),IF(AND(up_Irr!AA4=".",up_Irr!AZ4=".",up_Irr!BY4="."),up_dir!BB4*1000)))))))),".")</f>
        <v>6.5773651144152131E-4</v>
      </c>
      <c r="CC4" s="87">
        <f t="shared" si="3"/>
        <v>30407.313038114935</v>
      </c>
      <c r="CD4" s="87">
        <f>IFERROR(s_C*s_IFAP_far_adj*s_CF_apple*(1/1000)*(up_Irr!C4+up_Irr!AB4+up_Irr!BA4),".")</f>
        <v>7601.8282595287337</v>
      </c>
      <c r="CE4" s="87">
        <f>IFERROR(s_C*s_IFAS_far_adj*s_CF_asparagus*(1/1000)*(up_Irr!D4+up_Irr!AC4+up_Irr!BB4),".")</f>
        <v>7601.8282595287337</v>
      </c>
      <c r="CF4" s="87">
        <f>IFERROR(s_C*s_IFBT_far_adj*s_CF_beet*(1/1000)*(up_Irr!E4+up_Irr!AD4+up_Irr!BC4),".")</f>
        <v>7601.8282595287337</v>
      </c>
      <c r="CG4" s="87">
        <f>IFERROR(s_C*s_IFBE_far_adj*s_CF_berries*(1/1000)*(up_Irr!F4+up_Irr!AE4+up_Irr!BD4),".")</f>
        <v>7601.8282595287337</v>
      </c>
      <c r="CH4" s="87">
        <f>IFERROR(s_C*s_IFBR_far_adj*s_CF_broccoli*(1/1000)*(up_Irr!G4+up_Irr!AF4+up_Irr!BE4),".")</f>
        <v>7601.8282595287337</v>
      </c>
      <c r="CI4" s="87">
        <f>IFERROR(s_C*s_IFCB_far_adj*s_CF_cabbage*(1/1000)*(up_Irr!H4+up_Irr!AG4+up_Irr!BF4),".")</f>
        <v>7601.8282595287337</v>
      </c>
      <c r="CJ4" s="87">
        <f>IFERROR(s_C*s_IFCR_far_adj*s_CF_carrot*(1/1000)*(up_Irr!I4+up_Irr!AH4+up_Irr!BG4),".")</f>
        <v>7601.8282595287337</v>
      </c>
      <c r="CK4" s="87">
        <f>IFERROR(s_C*s_IFCI_far_adj*s_CF_citrus*(1/1000)*(up_Irr!J4+up_Irr!AI4+up_Irr!BH4),".")</f>
        <v>7601.8282595287337</v>
      </c>
      <c r="CL4" s="87">
        <f>IFERROR(s_C*s_IFCO_far_adj*s_CF_corn*(1/1000)*(up_Irr!K4+up_Irr!AJ4+up_Irr!BI4),".")</f>
        <v>7601.8282595287337</v>
      </c>
      <c r="CM4" s="87">
        <f>IFERROR(s_C*s_IFCU_far_adj*s_CF_cucumber*(1/1000)*(up_Irr!L4+up_Irr!AK4+up_Irr!BJ4),".")</f>
        <v>7601.8282595287337</v>
      </c>
      <c r="CN4" s="87">
        <f>IFERROR(s_C*s_IFLE_far_adj*s_CF_lettuce*(1/1000)*(up_Irr!M4+up_Irr!AL4+up_Irr!BK4),".")</f>
        <v>7601.8282595287337</v>
      </c>
      <c r="CO4" s="87">
        <f>IFERROR(s_C*s_IFLI_far_adj*s_CF_lima_bean*(1/1000)*(up_Irr!N4+up_Irr!AM4+up_Irr!BL4),".")</f>
        <v>7601.8282595287337</v>
      </c>
      <c r="CP4" s="87">
        <f>IFERROR(s_C*s_IFOK_far_adj*s_CF_okra*(1/1000)*(up_Irr!O4+up_Irr!AN4+up_Irr!BM4),".")</f>
        <v>7601.8282595287337</v>
      </c>
      <c r="CQ4" s="87">
        <f>IFERROR(s_C*s_IFON_far_adj*s_CF_onion*(1/1000)*(up_Irr!P4+up_Irr!AO4+up_Irr!BN4),".")</f>
        <v>7601.8282595287337</v>
      </c>
      <c r="CR4" s="87">
        <f>IFERROR(s_C*s_IFPC_far_adj*s_CF_peach*(1/1000)*(up_Irr!Q4+up_Irr!AP4+up_Irr!BO4),".")</f>
        <v>7601.8282595287337</v>
      </c>
      <c r="CS4" s="87">
        <f>IFERROR(s_C*s_IFPR_far_adj*s_CF_pear*(1/1000)*(up_Irr!R4+up_Irr!AQ4+up_Irr!BP4),".")</f>
        <v>7601.8282595287337</v>
      </c>
      <c r="CT4" s="87">
        <f>IFERROR(s_C*s_IFPE_far_adj*s_CF_peas*(1/1000)*(up_Irr!S4+up_Irr!AR4+up_Irr!BQ4),".")</f>
        <v>7601.8282595287337</v>
      </c>
      <c r="CU4" s="87">
        <f>IFERROR(s_C*s_IFPP_far_adj*s_CF_peppers*(1/1000)*(up_Irr!T4+up_Irr!AS4+up_Irr!BR4),".")</f>
        <v>7601.8282595287337</v>
      </c>
      <c r="CV4" s="87">
        <f>IFERROR(s_C*s_IFPT_far_adj*s_CF_potato*(1/1000)*(up_Irr!U4+up_Irr!AT4+up_Irr!BS4),".")</f>
        <v>7601.8282595287337</v>
      </c>
      <c r="CW4" s="87">
        <f>IFERROR(s_C*s_IFPU_far_adj*s_CF_pumpkin*(1/1000)*(up_Irr!V4+up_Irr!AU4+up_Irr!BT4),".")</f>
        <v>7601.8282595287337</v>
      </c>
      <c r="CX4" s="87">
        <f>IFERROR(s_C*s_IFSN_far_adj*s_CF_snap_bean*(1/1000)*(up_Irr!W4+up_Irr!AV4+up_Irr!BU4),".")</f>
        <v>7601.8282595287337</v>
      </c>
      <c r="CY4" s="87">
        <f>IFERROR(s_C*s_IFST_far_adj*s_CF_strawberry*(1/1000)*(up_Irr!X4+up_Irr!AW4+up_Irr!BV4),".")</f>
        <v>7601.8282595287337</v>
      </c>
      <c r="CZ4" s="87">
        <f>IFERROR(s_C*s_IFTO_far_adj*s_CF_tomato*(1/1000)*(up_Irr!Y4+up_Irr!AX4+up_Irr!BW4),".")</f>
        <v>7601.8282595287337</v>
      </c>
      <c r="DA4" s="87">
        <f>IFERROR(s_C*s_IFRI_far_adj*s_CF_rice*(1/1000)*(up_Irr!Z4+up_Irr!AY4+up_Irr!BX4),".")</f>
        <v>7601.8282595287337</v>
      </c>
      <c r="DB4" s="87">
        <f>IFERROR(s_C*s_IFCG_far_adj*s_CF_cereal*(1/1000)*(up_Irr!AA4+up_Irr!AZ4+up_Irr!BY4),".")</f>
        <v>7601.8282595287337</v>
      </c>
    </row>
    <row r="5" spans="1:106" ht="15" customHeight="1" x14ac:dyDescent="0.25">
      <c r="A5" s="86" t="s">
        <v>3</v>
      </c>
      <c r="B5" s="84" t="s">
        <v>1057</v>
      </c>
      <c r="C5" s="15">
        <f t="shared" si="0"/>
        <v>1.6443412786038033E-4</v>
      </c>
      <c r="D5" s="70">
        <f>IFERROR(IF(AND(up_Irr!C5&lt;&gt;".",up_Irr!AB5&lt;&gt;".",up_Irr!BA5&lt;&gt;"."),up_dir!D5/((1/1000)*(up_Irr!C5+up_Irr!AB5+up_Irr!BA5)),IF(AND(up_Irr!C5&lt;&gt;".",up_Irr!AB5&lt;&gt;".",up_Irr!BA5="."),up_dir!D5/((1/1000)*(up_Irr!C5+up_Irr!AB5)),IF(AND(up_Irr!C5&lt;&gt;".",up_Irr!AB5=".",up_Irr!BA5&lt;&gt;"."),up_dir!D5/((1/1000)*(up_Irr!C5+up_Irr!BA5)),IF(AND(up_Irr!C5=".",up_Irr!AB5&lt;&gt;".",up_Irr!BA5&lt;&gt;"."),up_dir!D5/((1/1000)*(up_Irr!AB5+up_Irr!BA5)),IF(AND(up_Irr!C5=".",up_Irr!AB5=".",up_Irr!BA5&lt;&gt;"."),up_dir!D5/((1/1000)*(up_Irr!BA5)),IF(AND(up_Irr!C5=".",up_Irr!AB5&lt;&gt;".",up_Irr!BA5="."),up_dir!D5/((1/1000)*(up_Irr!AB5)),IF(AND(up_Irr!C5&lt;&gt;".",up_Irr!AB5=".",up_Irr!BA5="."),up_dir!D5/((1/1000)*(up_Irr!C5)),IF(AND(up_Irr!C5=".",up_Irr!AB5=".",up_Irr!BA5="."),up_dir!D5*1000)))))))),".")</f>
        <v>6.5773651144152131E-4</v>
      </c>
      <c r="E5" s="70">
        <f>IFERROR(IF(AND(up_Irr!D5&lt;&gt;".",up_Irr!AC5&lt;&gt;".",up_Irr!BB5&lt;&gt;"."),up_dir!E5/((1/1000)*(up_Irr!D5+up_Irr!AC5+up_Irr!BB5)),IF(AND(up_Irr!D5&lt;&gt;".",up_Irr!AC5&lt;&gt;".",up_Irr!BB5="."),up_dir!E5/((1/1000)*(up_Irr!D5+up_Irr!AC5)),IF(AND(up_Irr!D5&lt;&gt;".",up_Irr!AC5=".",up_Irr!BB5&lt;&gt;"."),up_dir!E5/((1/1000)*(up_Irr!D5+up_Irr!BB5)),IF(AND(up_Irr!D5=".",up_Irr!AC5&lt;&gt;".",up_Irr!BB5&lt;&gt;"."),up_dir!E5/((1/1000)*(up_Irr!AC5+up_Irr!BB5)),IF(AND(up_Irr!D5=".",up_Irr!AC5=".",up_Irr!BB5&lt;&gt;"."),up_dir!E5/((1/1000)*(up_Irr!BB5)),IF(AND(up_Irr!D5=".",up_Irr!AC5&lt;&gt;".",up_Irr!BB5="."),up_dir!E5/((1/1000)*(up_Irr!AC5)),IF(AND(up_Irr!D5&lt;&gt;".",up_Irr!AC5=".",up_Irr!BB5="."),up_dir!E5/((1/1000)*(up_Irr!D5)),IF(AND(up_Irr!D5=".",up_Irr!AC5=".",up_Irr!BB5="."),up_dir!E5*1000)))))))),".")</f>
        <v>6.5773651144152131E-4</v>
      </c>
      <c r="F5" s="70">
        <f>IFERROR(IF(AND(up_Irr!E5&lt;&gt;".",up_Irr!AD5&lt;&gt;".",up_Irr!BC5&lt;&gt;"."),up_dir!F5/((1/1000)*(up_Irr!E5+up_Irr!AD5+up_Irr!BC5)),IF(AND(up_Irr!E5&lt;&gt;".",up_Irr!AD5&lt;&gt;".",up_Irr!BC5="."),up_dir!F5/((1/1000)*(up_Irr!E5+up_Irr!AD5)),IF(AND(up_Irr!E5&lt;&gt;".",up_Irr!AD5=".",up_Irr!BC5&lt;&gt;"."),up_dir!F5/((1/1000)*(up_Irr!E5+up_Irr!BC5)),IF(AND(up_Irr!E5=".",up_Irr!AD5&lt;&gt;".",up_Irr!BC5&lt;&gt;"."),up_dir!F5/((1/1000)*(up_Irr!AD5+up_Irr!BC5)),IF(AND(up_Irr!E5=".",up_Irr!AD5=".",up_Irr!BC5&lt;&gt;"."),up_dir!F5/((1/1000)*(up_Irr!BC5)),IF(AND(up_Irr!E5=".",up_Irr!AD5&lt;&gt;".",up_Irr!BC5="."),up_dir!F5/((1/1000)*(up_Irr!AD5)),IF(AND(up_Irr!E5&lt;&gt;".",up_Irr!AD5=".",up_Irr!BC5="."),up_dir!F5/((1/1000)*(up_Irr!E5)),IF(AND(up_Irr!E5=".",up_Irr!AD5=".",up_Irr!BC5="."),up_dir!F5*1000)))))))),".")</f>
        <v>6.5773651144152131E-4</v>
      </c>
      <c r="G5" s="70">
        <f>IFERROR(IF(AND(up_Irr!F5&lt;&gt;".",up_Irr!AE5&lt;&gt;".",up_Irr!BD5&lt;&gt;"."),up_dir!G5/((1/1000)*(up_Irr!F5+up_Irr!AE5+up_Irr!BD5)),IF(AND(up_Irr!F5&lt;&gt;".",up_Irr!AE5&lt;&gt;".",up_Irr!BD5="."),up_dir!G5/((1/1000)*(up_Irr!F5+up_Irr!AE5)),IF(AND(up_Irr!F5&lt;&gt;".",up_Irr!AE5=".",up_Irr!BD5&lt;&gt;"."),up_dir!G5/((1/1000)*(up_Irr!F5+up_Irr!BD5)),IF(AND(up_Irr!F5=".",up_Irr!AE5&lt;&gt;".",up_Irr!BD5&lt;&gt;"."),up_dir!G5/((1/1000)*(up_Irr!AE5+up_Irr!BD5)),IF(AND(up_Irr!F5=".",up_Irr!AE5=".",up_Irr!BD5&lt;&gt;"."),up_dir!G5/((1/1000)*(up_Irr!BD5)),IF(AND(up_Irr!F5=".",up_Irr!AE5&lt;&gt;".",up_Irr!BD5="."),up_dir!G5/((1/1000)*(up_Irr!AE5)),IF(AND(up_Irr!F5&lt;&gt;".",up_Irr!AE5=".",up_Irr!BD5="."),up_dir!G5/((1/1000)*(up_Irr!F5)),IF(AND(up_Irr!F5=".",up_Irr!AE5=".",up_Irr!BD5="."),up_dir!G5*1000)))))))),".")</f>
        <v>6.5773651144152131E-4</v>
      </c>
      <c r="H5" s="70">
        <f>IFERROR(IF(AND(up_Irr!G5&lt;&gt;".",up_Irr!AF5&lt;&gt;".",up_Irr!BE5&lt;&gt;"."),up_dir!H5/((1/1000)*(up_Irr!G5+up_Irr!AF5+up_Irr!BE5)),IF(AND(up_Irr!G5&lt;&gt;".",up_Irr!AF5&lt;&gt;".",up_Irr!BE5="."),up_dir!H5/((1/1000)*(up_Irr!G5+up_Irr!AF5)),IF(AND(up_Irr!G5&lt;&gt;".",up_Irr!AF5=".",up_Irr!BE5&lt;&gt;"."),up_dir!H5/((1/1000)*(up_Irr!G5+up_Irr!BE5)),IF(AND(up_Irr!G5=".",up_Irr!AF5&lt;&gt;".",up_Irr!BE5&lt;&gt;"."),up_dir!H5/((1/1000)*(up_Irr!AF5+up_Irr!BE5)),IF(AND(up_Irr!G5=".",up_Irr!AF5=".",up_Irr!BE5&lt;&gt;"."),up_dir!H5/((1/1000)*(up_Irr!BE5)),IF(AND(up_Irr!G5=".",up_Irr!AF5&lt;&gt;".",up_Irr!BE5="."),up_dir!H5/((1/1000)*(up_Irr!AF5)),IF(AND(up_Irr!G5&lt;&gt;".",up_Irr!AF5=".",up_Irr!BE5="."),up_dir!H5/((1/1000)*(up_Irr!G5)),IF(AND(up_Irr!G5=".",up_Irr!AF5=".",up_Irr!BE5="."),up_dir!H5*1000)))))))),".")</f>
        <v>6.5773651144152131E-4</v>
      </c>
      <c r="I5" s="70">
        <f>IFERROR(IF(AND(up_Irr!H5&lt;&gt;".",up_Irr!AG5&lt;&gt;".",up_Irr!BF5&lt;&gt;"."),up_dir!I5/((1/1000)*(up_Irr!H5+up_Irr!AG5+up_Irr!BF5)),IF(AND(up_Irr!H5&lt;&gt;".",up_Irr!AG5&lt;&gt;".",up_Irr!BF5="."),up_dir!I5/((1/1000)*(up_Irr!H5+up_Irr!AG5)),IF(AND(up_Irr!H5&lt;&gt;".",up_Irr!AG5=".",up_Irr!BF5&lt;&gt;"."),up_dir!I5/((1/1000)*(up_Irr!H5+up_Irr!BF5)),IF(AND(up_Irr!H5=".",up_Irr!AG5&lt;&gt;".",up_Irr!BF5&lt;&gt;"."),up_dir!I5/((1/1000)*(up_Irr!AG5+up_Irr!BF5)),IF(AND(up_Irr!H5=".",up_Irr!AG5=".",up_Irr!BF5&lt;&gt;"."),up_dir!I5/((1/1000)*(up_Irr!BF5)),IF(AND(up_Irr!H5=".",up_Irr!AG5&lt;&gt;".",up_Irr!BF5="."),up_dir!I5/((1/1000)*(up_Irr!AG5)),IF(AND(up_Irr!H5&lt;&gt;".",up_Irr!AG5=".",up_Irr!BF5="."),up_dir!I5/((1/1000)*(up_Irr!H5)),IF(AND(up_Irr!H5=".",up_Irr!AG5=".",up_Irr!BF5="."),up_dir!I5*1000)))))))),".")</f>
        <v>6.5773651144152131E-4</v>
      </c>
      <c r="J5" s="70">
        <f>IFERROR(IF(AND(up_Irr!I5&lt;&gt;".",up_Irr!AH5&lt;&gt;".",up_Irr!BG5&lt;&gt;"."),up_dir!J5/((1/1000)*(up_Irr!I5+up_Irr!AH5+up_Irr!BG5)),IF(AND(up_Irr!I5&lt;&gt;".",up_Irr!AH5&lt;&gt;".",up_Irr!BG5="."),up_dir!J5/((1/1000)*(up_Irr!I5+up_Irr!AH5)),IF(AND(up_Irr!I5&lt;&gt;".",up_Irr!AH5=".",up_Irr!BG5&lt;&gt;"."),up_dir!J5/((1/1000)*(up_Irr!I5+up_Irr!BG5)),IF(AND(up_Irr!I5=".",up_Irr!AH5&lt;&gt;".",up_Irr!BG5&lt;&gt;"."),up_dir!J5/((1/1000)*(up_Irr!AH5+up_Irr!BG5)),IF(AND(up_Irr!I5=".",up_Irr!AH5=".",up_Irr!BG5&lt;&gt;"."),up_dir!J5/((1/1000)*(up_Irr!BG5)),IF(AND(up_Irr!I5=".",up_Irr!AH5&lt;&gt;".",up_Irr!BG5="."),up_dir!J5/((1/1000)*(up_Irr!AH5)),IF(AND(up_Irr!I5&lt;&gt;".",up_Irr!AH5=".",up_Irr!BG5="."),up_dir!J5/((1/1000)*(up_Irr!I5)),IF(AND(up_Irr!I5=".",up_Irr!AH5=".",up_Irr!BG5="."),up_dir!J5*1000)))))))),".")</f>
        <v>6.5773651144152131E-4</v>
      </c>
      <c r="K5" s="70">
        <f>IFERROR(IF(AND(up_Irr!J5&lt;&gt;".",up_Irr!AI5&lt;&gt;".",up_Irr!BH5&lt;&gt;"."),up_dir!K5/((1/1000)*(up_Irr!J5+up_Irr!AI5+up_Irr!BH5)),IF(AND(up_Irr!J5&lt;&gt;".",up_Irr!AI5&lt;&gt;".",up_Irr!BH5="."),up_dir!K5/((1/1000)*(up_Irr!J5+up_Irr!AI5)),IF(AND(up_Irr!J5&lt;&gt;".",up_Irr!AI5=".",up_Irr!BH5&lt;&gt;"."),up_dir!K5/((1/1000)*(up_Irr!J5+up_Irr!BH5)),IF(AND(up_Irr!J5=".",up_Irr!AI5&lt;&gt;".",up_Irr!BH5&lt;&gt;"."),up_dir!K5/((1/1000)*(up_Irr!AI5+up_Irr!BH5)),IF(AND(up_Irr!J5=".",up_Irr!AI5=".",up_Irr!BH5&lt;&gt;"."),up_dir!K5/((1/1000)*(up_Irr!BH5)),IF(AND(up_Irr!J5=".",up_Irr!AI5&lt;&gt;".",up_Irr!BH5="."),up_dir!K5/((1/1000)*(up_Irr!AI5)),IF(AND(up_Irr!J5&lt;&gt;".",up_Irr!AI5=".",up_Irr!BH5="."),up_dir!K5/((1/1000)*(up_Irr!J5)),IF(AND(up_Irr!J5=".",up_Irr!AI5=".",up_Irr!BH5="."),up_dir!K5*1000)))))))),".")</f>
        <v>6.5773651144152131E-4</v>
      </c>
      <c r="L5" s="70">
        <f>IFERROR(IF(AND(up_Irr!K5&lt;&gt;".",up_Irr!AJ5&lt;&gt;".",up_Irr!BI5&lt;&gt;"."),up_dir!L5/((1/1000)*(up_Irr!K5+up_Irr!AJ5+up_Irr!BI5)),IF(AND(up_Irr!K5&lt;&gt;".",up_Irr!AJ5&lt;&gt;".",up_Irr!BI5="."),up_dir!L5/((1/1000)*(up_Irr!K5+up_Irr!AJ5)),IF(AND(up_Irr!K5&lt;&gt;".",up_Irr!AJ5=".",up_Irr!BI5&lt;&gt;"."),up_dir!L5/((1/1000)*(up_Irr!K5+up_Irr!BI5)),IF(AND(up_Irr!K5=".",up_Irr!AJ5&lt;&gt;".",up_Irr!BI5&lt;&gt;"."),up_dir!L5/((1/1000)*(up_Irr!AJ5+up_Irr!BI5)),IF(AND(up_Irr!K5=".",up_Irr!AJ5=".",up_Irr!BI5&lt;&gt;"."),up_dir!L5/((1/1000)*(up_Irr!BI5)),IF(AND(up_Irr!K5=".",up_Irr!AJ5&lt;&gt;".",up_Irr!BI5="."),up_dir!L5/((1/1000)*(up_Irr!AJ5)),IF(AND(up_Irr!K5&lt;&gt;".",up_Irr!AJ5=".",up_Irr!BI5="."),up_dir!L5/((1/1000)*(up_Irr!K5)),IF(AND(up_Irr!K5=".",up_Irr!AJ5=".",up_Irr!BI5="."),up_dir!L5*1000)))))))),".")</f>
        <v>6.5773651144152131E-4</v>
      </c>
      <c r="M5" s="70">
        <f>IFERROR(IF(AND(up_Irr!L5&lt;&gt;".",up_Irr!AK5&lt;&gt;".",up_Irr!BJ5&lt;&gt;"."),up_dir!M5/((1/1000)*(up_Irr!L5+up_Irr!AK5+up_Irr!BJ5)),IF(AND(up_Irr!L5&lt;&gt;".",up_Irr!AK5&lt;&gt;".",up_Irr!BJ5="."),up_dir!M5/((1/1000)*(up_Irr!L5+up_Irr!AK5)),IF(AND(up_Irr!L5&lt;&gt;".",up_Irr!AK5=".",up_Irr!BJ5&lt;&gt;"."),up_dir!M5/((1/1000)*(up_Irr!L5+up_Irr!BJ5)),IF(AND(up_Irr!L5=".",up_Irr!AK5&lt;&gt;".",up_Irr!BJ5&lt;&gt;"."),up_dir!M5/((1/1000)*(up_Irr!AK5+up_Irr!BJ5)),IF(AND(up_Irr!L5=".",up_Irr!AK5=".",up_Irr!BJ5&lt;&gt;"."),up_dir!M5/((1/1000)*(up_Irr!BJ5)),IF(AND(up_Irr!L5=".",up_Irr!AK5&lt;&gt;".",up_Irr!BJ5="."),up_dir!M5/((1/1000)*(up_Irr!AK5)),IF(AND(up_Irr!L5&lt;&gt;".",up_Irr!AK5=".",up_Irr!BJ5="."),up_dir!M5/((1/1000)*(up_Irr!L5)),IF(AND(up_Irr!L5=".",up_Irr!AK5=".",up_Irr!BJ5="."),up_dir!M5*1000)))))))),".")</f>
        <v>6.5773651144152131E-4</v>
      </c>
      <c r="N5" s="70">
        <f>IFERROR(IF(AND(up_Irr!M5&lt;&gt;".",up_Irr!AL5&lt;&gt;".",up_Irr!BK5&lt;&gt;"."),up_dir!N5/((1/1000)*(up_Irr!M5+up_Irr!AL5+up_Irr!BK5)),IF(AND(up_Irr!M5&lt;&gt;".",up_Irr!AL5&lt;&gt;".",up_Irr!BK5="."),up_dir!N5/((1/1000)*(up_Irr!M5+up_Irr!AL5)),IF(AND(up_Irr!M5&lt;&gt;".",up_Irr!AL5=".",up_Irr!BK5&lt;&gt;"."),up_dir!N5/((1/1000)*(up_Irr!M5+up_Irr!BK5)),IF(AND(up_Irr!M5=".",up_Irr!AL5&lt;&gt;".",up_Irr!BK5&lt;&gt;"."),up_dir!N5/((1/1000)*(up_Irr!AL5+up_Irr!BK5)),IF(AND(up_Irr!M5=".",up_Irr!AL5=".",up_Irr!BK5&lt;&gt;"."),up_dir!N5/((1/1000)*(up_Irr!BK5)),IF(AND(up_Irr!M5=".",up_Irr!AL5&lt;&gt;".",up_Irr!BK5="."),up_dir!N5/((1/1000)*(up_Irr!AL5)),IF(AND(up_Irr!M5&lt;&gt;".",up_Irr!AL5=".",up_Irr!BK5="."),up_dir!N5/((1/1000)*(up_Irr!M5)),IF(AND(up_Irr!M5=".",up_Irr!AL5=".",up_Irr!BK5="."),up_dir!N5*1000)))))))),".")</f>
        <v>6.5773651144152131E-4</v>
      </c>
      <c r="O5" s="70">
        <f>IFERROR(IF(AND(up_Irr!N5&lt;&gt;".",up_Irr!AM5&lt;&gt;".",up_Irr!BL5&lt;&gt;"."),up_dir!O5/((1/1000)*(up_Irr!N5+up_Irr!AM5+up_Irr!BL5)),IF(AND(up_Irr!N5&lt;&gt;".",up_Irr!AM5&lt;&gt;".",up_Irr!BL5="."),up_dir!O5/((1/1000)*(up_Irr!N5+up_Irr!AM5)),IF(AND(up_Irr!N5&lt;&gt;".",up_Irr!AM5=".",up_Irr!BL5&lt;&gt;"."),up_dir!O5/((1/1000)*(up_Irr!N5+up_Irr!BL5)),IF(AND(up_Irr!N5=".",up_Irr!AM5&lt;&gt;".",up_Irr!BL5&lt;&gt;"."),up_dir!O5/((1/1000)*(up_Irr!AM5+up_Irr!BL5)),IF(AND(up_Irr!N5=".",up_Irr!AM5=".",up_Irr!BL5&lt;&gt;"."),up_dir!O5/((1/1000)*(up_Irr!BL5)),IF(AND(up_Irr!N5=".",up_Irr!AM5&lt;&gt;".",up_Irr!BL5="."),up_dir!O5/((1/1000)*(up_Irr!AM5)),IF(AND(up_Irr!N5&lt;&gt;".",up_Irr!AM5=".",up_Irr!BL5="."),up_dir!O5/((1/1000)*(up_Irr!N5)),IF(AND(up_Irr!N5=".",up_Irr!AM5=".",up_Irr!BL5="."),up_dir!O5*1000)))))))),".")</f>
        <v>6.5773651144152131E-4</v>
      </c>
      <c r="P5" s="70">
        <f>IFERROR(IF(AND(up_Irr!O5&lt;&gt;".",up_Irr!AN5&lt;&gt;".",up_Irr!BM5&lt;&gt;"."),up_dir!P5/((1/1000)*(up_Irr!O5+up_Irr!AN5+up_Irr!BM5)),IF(AND(up_Irr!O5&lt;&gt;".",up_Irr!AN5&lt;&gt;".",up_Irr!BM5="."),up_dir!P5/((1/1000)*(up_Irr!O5+up_Irr!AN5)),IF(AND(up_Irr!O5&lt;&gt;".",up_Irr!AN5=".",up_Irr!BM5&lt;&gt;"."),up_dir!P5/((1/1000)*(up_Irr!O5+up_Irr!BM5)),IF(AND(up_Irr!O5=".",up_Irr!AN5&lt;&gt;".",up_Irr!BM5&lt;&gt;"."),up_dir!P5/((1/1000)*(up_Irr!AN5+up_Irr!BM5)),IF(AND(up_Irr!O5=".",up_Irr!AN5=".",up_Irr!BM5&lt;&gt;"."),up_dir!P5/((1/1000)*(up_Irr!BM5)),IF(AND(up_Irr!O5=".",up_Irr!AN5&lt;&gt;".",up_Irr!BM5="."),up_dir!P5/((1/1000)*(up_Irr!AN5)),IF(AND(up_Irr!O5&lt;&gt;".",up_Irr!AN5=".",up_Irr!BM5="."),up_dir!P5/((1/1000)*(up_Irr!O5)),IF(AND(up_Irr!O5=".",up_Irr!AN5=".",up_Irr!BM5="."),up_dir!P5*1000)))))))),".")</f>
        <v>6.5773651144152131E-4</v>
      </c>
      <c r="Q5" s="70">
        <f>IFERROR(IF(AND(up_Irr!P5&lt;&gt;".",up_Irr!AO5&lt;&gt;".",up_Irr!BN5&lt;&gt;"."),up_dir!Q5/((1/1000)*(up_Irr!P5+up_Irr!AO5+up_Irr!BN5)),IF(AND(up_Irr!P5&lt;&gt;".",up_Irr!AO5&lt;&gt;".",up_Irr!BN5="."),up_dir!Q5/((1/1000)*(up_Irr!P5+up_Irr!AO5)),IF(AND(up_Irr!P5&lt;&gt;".",up_Irr!AO5=".",up_Irr!BN5&lt;&gt;"."),up_dir!Q5/((1/1000)*(up_Irr!P5+up_Irr!BN5)),IF(AND(up_Irr!P5=".",up_Irr!AO5&lt;&gt;".",up_Irr!BN5&lt;&gt;"."),up_dir!Q5/((1/1000)*(up_Irr!AO5+up_Irr!BN5)),IF(AND(up_Irr!P5=".",up_Irr!AO5=".",up_Irr!BN5&lt;&gt;"."),up_dir!Q5/((1/1000)*(up_Irr!BN5)),IF(AND(up_Irr!P5=".",up_Irr!AO5&lt;&gt;".",up_Irr!BN5="."),up_dir!Q5/((1/1000)*(up_Irr!AO5)),IF(AND(up_Irr!P5&lt;&gt;".",up_Irr!AO5=".",up_Irr!BN5="."),up_dir!Q5/((1/1000)*(up_Irr!P5)),IF(AND(up_Irr!P5=".",up_Irr!AO5=".",up_Irr!BN5="."),up_dir!Q5*1000)))))))),".")</f>
        <v>6.5773651144152131E-4</v>
      </c>
      <c r="R5" s="70">
        <f>IFERROR(IF(AND(up_Irr!Q5&lt;&gt;".",up_Irr!AP5&lt;&gt;".",up_Irr!BO5&lt;&gt;"."),up_dir!R5/((1/1000)*(up_Irr!Q5+up_Irr!AP5+up_Irr!BO5)),IF(AND(up_Irr!Q5&lt;&gt;".",up_Irr!AP5&lt;&gt;".",up_Irr!BO5="."),up_dir!R5/((1/1000)*(up_Irr!Q5+up_Irr!AP5)),IF(AND(up_Irr!Q5&lt;&gt;".",up_Irr!AP5=".",up_Irr!BO5&lt;&gt;"."),up_dir!R5/((1/1000)*(up_Irr!Q5+up_Irr!BO5)),IF(AND(up_Irr!Q5=".",up_Irr!AP5&lt;&gt;".",up_Irr!BO5&lt;&gt;"."),up_dir!R5/((1/1000)*(up_Irr!AP5+up_Irr!BO5)),IF(AND(up_Irr!Q5=".",up_Irr!AP5=".",up_Irr!BO5&lt;&gt;"."),up_dir!R5/((1/1000)*(up_Irr!BO5)),IF(AND(up_Irr!Q5=".",up_Irr!AP5&lt;&gt;".",up_Irr!BO5="."),up_dir!R5/((1/1000)*(up_Irr!AP5)),IF(AND(up_Irr!Q5&lt;&gt;".",up_Irr!AP5=".",up_Irr!BO5="."),up_dir!R5/((1/1000)*(up_Irr!Q5)),IF(AND(up_Irr!Q5=".",up_Irr!AP5=".",up_Irr!BO5="."),up_dir!R5*1000)))))))),".")</f>
        <v>6.5773651144152131E-4</v>
      </c>
      <c r="S5" s="70">
        <f>IFERROR(IF(AND(up_Irr!R5&lt;&gt;".",up_Irr!AQ5&lt;&gt;".",up_Irr!BP5&lt;&gt;"."),up_dir!S5/((1/1000)*(up_Irr!R5+up_Irr!AQ5+up_Irr!BP5)),IF(AND(up_Irr!R5&lt;&gt;".",up_Irr!AQ5&lt;&gt;".",up_Irr!BP5="."),up_dir!S5/((1/1000)*(up_Irr!R5+up_Irr!AQ5)),IF(AND(up_Irr!R5&lt;&gt;".",up_Irr!AQ5=".",up_Irr!BP5&lt;&gt;"."),up_dir!S5/((1/1000)*(up_Irr!R5+up_Irr!BP5)),IF(AND(up_Irr!R5=".",up_Irr!AQ5&lt;&gt;".",up_Irr!BP5&lt;&gt;"."),up_dir!S5/((1/1000)*(up_Irr!AQ5+up_Irr!BP5)),IF(AND(up_Irr!R5=".",up_Irr!AQ5=".",up_Irr!BP5&lt;&gt;"."),up_dir!S5/((1/1000)*(up_Irr!BP5)),IF(AND(up_Irr!R5=".",up_Irr!AQ5&lt;&gt;".",up_Irr!BP5="."),up_dir!S5/((1/1000)*(up_Irr!AQ5)),IF(AND(up_Irr!R5&lt;&gt;".",up_Irr!AQ5=".",up_Irr!BP5="."),up_dir!S5/((1/1000)*(up_Irr!R5)),IF(AND(up_Irr!R5=".",up_Irr!AQ5=".",up_Irr!BP5="."),up_dir!S5*1000)))))))),".")</f>
        <v>6.5773651144152131E-4</v>
      </c>
      <c r="T5" s="70">
        <f>IFERROR(IF(AND(up_Irr!S5&lt;&gt;".",up_Irr!AR5&lt;&gt;".",up_Irr!BQ5&lt;&gt;"."),up_dir!T5/((1/1000)*(up_Irr!S5+up_Irr!AR5+up_Irr!BQ5)),IF(AND(up_Irr!S5&lt;&gt;".",up_Irr!AR5&lt;&gt;".",up_Irr!BQ5="."),up_dir!T5/((1/1000)*(up_Irr!S5+up_Irr!AR5)),IF(AND(up_Irr!S5&lt;&gt;".",up_Irr!AR5=".",up_Irr!BQ5&lt;&gt;"."),up_dir!T5/((1/1000)*(up_Irr!S5+up_Irr!BQ5)),IF(AND(up_Irr!S5=".",up_Irr!AR5&lt;&gt;".",up_Irr!BQ5&lt;&gt;"."),up_dir!T5/((1/1000)*(up_Irr!AR5+up_Irr!BQ5)),IF(AND(up_Irr!S5=".",up_Irr!AR5=".",up_Irr!BQ5&lt;&gt;"."),up_dir!T5/((1/1000)*(up_Irr!BQ5)),IF(AND(up_Irr!S5=".",up_Irr!AR5&lt;&gt;".",up_Irr!BQ5="."),up_dir!T5/((1/1000)*(up_Irr!AR5)),IF(AND(up_Irr!S5&lt;&gt;".",up_Irr!AR5=".",up_Irr!BQ5="."),up_dir!T5/((1/1000)*(up_Irr!S5)),IF(AND(up_Irr!S5=".",up_Irr!AR5=".",up_Irr!BQ5="."),up_dir!T5*1000)))))))),".")</f>
        <v>6.5773651144152131E-4</v>
      </c>
      <c r="U5" s="70">
        <f>IFERROR(IF(AND(up_Irr!T5&lt;&gt;".",up_Irr!AS5&lt;&gt;".",up_Irr!BR5&lt;&gt;"."),up_dir!U5/((1/1000)*(up_Irr!T5+up_Irr!AS5+up_Irr!BR5)),IF(AND(up_Irr!T5&lt;&gt;".",up_Irr!AS5&lt;&gt;".",up_Irr!BR5="."),up_dir!U5/((1/1000)*(up_Irr!T5+up_Irr!AS5)),IF(AND(up_Irr!T5&lt;&gt;".",up_Irr!AS5=".",up_Irr!BR5&lt;&gt;"."),up_dir!U5/((1/1000)*(up_Irr!T5+up_Irr!BR5)),IF(AND(up_Irr!T5=".",up_Irr!AS5&lt;&gt;".",up_Irr!BR5&lt;&gt;"."),up_dir!U5/((1/1000)*(up_Irr!AS5+up_Irr!BR5)),IF(AND(up_Irr!T5=".",up_Irr!AS5=".",up_Irr!BR5&lt;&gt;"."),up_dir!U5/((1/1000)*(up_Irr!BR5)),IF(AND(up_Irr!T5=".",up_Irr!AS5&lt;&gt;".",up_Irr!BR5="."),up_dir!U5/((1/1000)*(up_Irr!AS5)),IF(AND(up_Irr!T5&lt;&gt;".",up_Irr!AS5=".",up_Irr!BR5="."),up_dir!U5/((1/1000)*(up_Irr!T5)),IF(AND(up_Irr!T5=".",up_Irr!AS5=".",up_Irr!BR5="."),up_dir!U5*1000)))))))),".")</f>
        <v>6.5773651144152131E-4</v>
      </c>
      <c r="V5" s="70">
        <f>IFERROR(IF(AND(up_Irr!U5&lt;&gt;".",up_Irr!AT5&lt;&gt;".",up_Irr!BS5&lt;&gt;"."),up_dir!V5/((1/1000)*(up_Irr!U5+up_Irr!AT5+up_Irr!BS5)),IF(AND(up_Irr!U5&lt;&gt;".",up_Irr!AT5&lt;&gt;".",up_Irr!BS5="."),up_dir!V5/((1/1000)*(up_Irr!U5+up_Irr!AT5)),IF(AND(up_Irr!U5&lt;&gt;".",up_Irr!AT5=".",up_Irr!BS5&lt;&gt;"."),up_dir!V5/((1/1000)*(up_Irr!U5+up_Irr!BS5)),IF(AND(up_Irr!U5=".",up_Irr!AT5&lt;&gt;".",up_Irr!BS5&lt;&gt;"."),up_dir!V5/((1/1000)*(up_Irr!AT5+up_Irr!BS5)),IF(AND(up_Irr!U5=".",up_Irr!AT5=".",up_Irr!BS5&lt;&gt;"."),up_dir!V5/((1/1000)*(up_Irr!BS5)),IF(AND(up_Irr!U5=".",up_Irr!AT5&lt;&gt;".",up_Irr!BS5="."),up_dir!V5/((1/1000)*(up_Irr!AT5)),IF(AND(up_Irr!U5&lt;&gt;".",up_Irr!AT5=".",up_Irr!BS5="."),up_dir!V5/((1/1000)*(up_Irr!U5)),IF(AND(up_Irr!U5=".",up_Irr!AT5=".",up_Irr!BS5="."),up_dir!V5*1000)))))))),".")</f>
        <v>6.5773651144152131E-4</v>
      </c>
      <c r="W5" s="70">
        <f>IFERROR(IF(AND(up_Irr!V5&lt;&gt;".",up_Irr!AU5&lt;&gt;".",up_Irr!BT5&lt;&gt;"."),up_dir!W5/((1/1000)*(up_Irr!V5+up_Irr!AU5+up_Irr!BT5)),IF(AND(up_Irr!V5&lt;&gt;".",up_Irr!AU5&lt;&gt;".",up_Irr!BT5="."),up_dir!W5/((1/1000)*(up_Irr!V5+up_Irr!AU5)),IF(AND(up_Irr!V5&lt;&gt;".",up_Irr!AU5=".",up_Irr!BT5&lt;&gt;"."),up_dir!W5/((1/1000)*(up_Irr!V5+up_Irr!BT5)),IF(AND(up_Irr!V5=".",up_Irr!AU5&lt;&gt;".",up_Irr!BT5&lt;&gt;"."),up_dir!W5/((1/1000)*(up_Irr!AU5+up_Irr!BT5)),IF(AND(up_Irr!V5=".",up_Irr!AU5=".",up_Irr!BT5&lt;&gt;"."),up_dir!W5/((1/1000)*(up_Irr!BT5)),IF(AND(up_Irr!V5=".",up_Irr!AU5&lt;&gt;".",up_Irr!BT5="."),up_dir!W5/((1/1000)*(up_Irr!AU5)),IF(AND(up_Irr!V5&lt;&gt;".",up_Irr!AU5=".",up_Irr!BT5="."),up_dir!W5/((1/1000)*(up_Irr!V5)),IF(AND(up_Irr!V5=".",up_Irr!AU5=".",up_Irr!BT5="."),up_dir!W5*1000)))))))),".")</f>
        <v>6.5773651144152131E-4</v>
      </c>
      <c r="X5" s="70">
        <f>IFERROR(IF(AND(up_Irr!W5&lt;&gt;".",up_Irr!AV5&lt;&gt;".",up_Irr!BU5&lt;&gt;"."),up_dir!X5/((1/1000)*(up_Irr!W5+up_Irr!AV5+up_Irr!BU5)),IF(AND(up_Irr!W5&lt;&gt;".",up_Irr!AV5&lt;&gt;".",up_Irr!BU5="."),up_dir!X5/((1/1000)*(up_Irr!W5+up_Irr!AV5)),IF(AND(up_Irr!W5&lt;&gt;".",up_Irr!AV5=".",up_Irr!BU5&lt;&gt;"."),up_dir!X5/((1/1000)*(up_Irr!W5+up_Irr!BU5)),IF(AND(up_Irr!W5=".",up_Irr!AV5&lt;&gt;".",up_Irr!BU5&lt;&gt;"."),up_dir!X5/((1/1000)*(up_Irr!AV5+up_Irr!BU5)),IF(AND(up_Irr!W5=".",up_Irr!AV5=".",up_Irr!BU5&lt;&gt;"."),up_dir!X5/((1/1000)*(up_Irr!BU5)),IF(AND(up_Irr!W5=".",up_Irr!AV5&lt;&gt;".",up_Irr!BU5="."),up_dir!X5/((1/1000)*(up_Irr!AV5)),IF(AND(up_Irr!W5&lt;&gt;".",up_Irr!AV5=".",up_Irr!BU5="."),up_dir!X5/((1/1000)*(up_Irr!W5)),IF(AND(up_Irr!W5=".",up_Irr!AV5=".",up_Irr!BU5="."),up_dir!X5*1000)))))))),".")</f>
        <v>6.5773651144152131E-4</v>
      </c>
      <c r="Y5" s="70">
        <f>IFERROR(IF(AND(up_Irr!X5&lt;&gt;".",up_Irr!AW5&lt;&gt;".",up_Irr!BV5&lt;&gt;"."),up_dir!Y5/((1/1000)*(up_Irr!X5+up_Irr!AW5+up_Irr!BV5)),IF(AND(up_Irr!X5&lt;&gt;".",up_Irr!AW5&lt;&gt;".",up_Irr!BV5="."),up_dir!Y5/((1/1000)*(up_Irr!X5+up_Irr!AW5)),IF(AND(up_Irr!X5&lt;&gt;".",up_Irr!AW5=".",up_Irr!BV5&lt;&gt;"."),up_dir!Y5/((1/1000)*(up_Irr!X5+up_Irr!BV5)),IF(AND(up_Irr!X5=".",up_Irr!AW5&lt;&gt;".",up_Irr!BV5&lt;&gt;"."),up_dir!Y5/((1/1000)*(up_Irr!AW5+up_Irr!BV5)),IF(AND(up_Irr!X5=".",up_Irr!AW5=".",up_Irr!BV5&lt;&gt;"."),up_dir!Y5/((1/1000)*(up_Irr!BV5)),IF(AND(up_Irr!X5=".",up_Irr!AW5&lt;&gt;".",up_Irr!BV5="."),up_dir!Y5/((1/1000)*(up_Irr!AW5)),IF(AND(up_Irr!X5&lt;&gt;".",up_Irr!AW5=".",up_Irr!BV5="."),up_dir!Y5/((1/1000)*(up_Irr!X5)),IF(AND(up_Irr!X5=".",up_Irr!AW5=".",up_Irr!BV5="."),up_dir!Y5*1000)))))))),".")</f>
        <v>6.5773651144152131E-4</v>
      </c>
      <c r="Z5" s="70">
        <f>IFERROR(IF(AND(up_Irr!Y5&lt;&gt;".",up_Irr!AX5&lt;&gt;".",up_Irr!BW5&lt;&gt;"."),up_dir!Z5/((1/1000)*(up_Irr!Y5+up_Irr!AX5+up_Irr!BW5)),IF(AND(up_Irr!Y5&lt;&gt;".",up_Irr!AX5&lt;&gt;".",up_Irr!BW5="."),up_dir!Z5/((1/1000)*(up_Irr!Y5+up_Irr!AX5)),IF(AND(up_Irr!Y5&lt;&gt;".",up_Irr!AX5=".",up_Irr!BW5&lt;&gt;"."),up_dir!Z5/((1/1000)*(up_Irr!Y5+up_Irr!BW5)),IF(AND(up_Irr!Y5=".",up_Irr!AX5&lt;&gt;".",up_Irr!BW5&lt;&gt;"."),up_dir!Z5/((1/1000)*(up_Irr!AX5+up_Irr!BW5)),IF(AND(up_Irr!Y5=".",up_Irr!AX5=".",up_Irr!BW5&lt;&gt;"."),up_dir!Z5/((1/1000)*(up_Irr!BW5)),IF(AND(up_Irr!Y5=".",up_Irr!AX5&lt;&gt;".",up_Irr!BW5="."),up_dir!Z5/((1/1000)*(up_Irr!AX5)),IF(AND(up_Irr!Y5&lt;&gt;".",up_Irr!AX5=".",up_Irr!BW5="."),up_dir!Z5/((1/1000)*(up_Irr!Y5)),IF(AND(up_Irr!Y5=".",up_Irr!AX5=".",up_Irr!BW5="."),up_dir!Z5*1000)))))))),".")</f>
        <v>6.5773651144152131E-4</v>
      </c>
      <c r="AA5" s="70">
        <f>IFERROR(IF(AND(up_Irr!Z5&lt;&gt;".",up_Irr!AY5&lt;&gt;".",up_Irr!BX5&lt;&gt;"."),up_dir!AA5/((1/1000)*(up_Irr!Z5+up_Irr!AY5+up_Irr!BX5)),IF(AND(up_Irr!Z5&lt;&gt;".",up_Irr!AY5&lt;&gt;".",up_Irr!BX5="."),up_dir!AA5/((1/1000)*(up_Irr!Z5+up_Irr!AY5)),IF(AND(up_Irr!Z5&lt;&gt;".",up_Irr!AY5=".",up_Irr!BX5&lt;&gt;"."),up_dir!AA5/((1/1000)*(up_Irr!Z5+up_Irr!BX5)),IF(AND(up_Irr!Z5=".",up_Irr!AY5&lt;&gt;".",up_Irr!BX5&lt;&gt;"."),up_dir!AA5/((1/1000)*(up_Irr!AY5+up_Irr!BX5)),IF(AND(up_Irr!Z5=".",up_Irr!AY5=".",up_Irr!BX5&lt;&gt;"."),up_dir!AA5/((1/1000)*(up_Irr!BX5)),IF(AND(up_Irr!Z5=".",up_Irr!AY5&lt;&gt;".",up_Irr!BX5="."),up_dir!AA5/((1/1000)*(up_Irr!AY5)),IF(AND(up_Irr!Z5&lt;&gt;".",up_Irr!AY5=".",up_Irr!BX5="."),up_dir!AA5/((1/1000)*(up_Irr!Z5)),IF(AND(up_Irr!Z5=".",up_Irr!AY5=".",up_Irr!BX5="."),up_dir!AA5*1000)))))))),".")</f>
        <v>6.5773651144152131E-4</v>
      </c>
      <c r="AB5" s="70">
        <f>IFERROR(IF(AND(up_Irr!AA5&lt;&gt;".",up_Irr!AZ5&lt;&gt;".",up_Irr!BY5&lt;&gt;"."),up_dir!AB5/((1/1000)*(up_Irr!AA5+up_Irr!AZ5+up_Irr!BY5)),IF(AND(up_Irr!AA5&lt;&gt;".",up_Irr!AZ5&lt;&gt;".",up_Irr!BY5="."),up_dir!AB5/((1/1000)*(up_Irr!AA5+up_Irr!AZ5)),IF(AND(up_Irr!AA5&lt;&gt;".",up_Irr!AZ5=".",up_Irr!BY5&lt;&gt;"."),up_dir!AB5/((1/1000)*(up_Irr!AA5+up_Irr!BY5)),IF(AND(up_Irr!AA5=".",up_Irr!AZ5&lt;&gt;".",up_Irr!BY5&lt;&gt;"."),up_dir!AB5/((1/1000)*(up_Irr!AZ5+up_Irr!BY5)),IF(AND(up_Irr!AA5=".",up_Irr!AZ5=".",up_Irr!BY5&lt;&gt;"."),up_dir!AB5/((1/1000)*(up_Irr!BY5)),IF(AND(up_Irr!AA5=".",up_Irr!AZ5&lt;&gt;".",up_Irr!BY5="."),up_dir!AB5/((1/1000)*(up_Irr!AZ5)),IF(AND(up_Irr!AA5&lt;&gt;".",up_Irr!AZ5=".",up_Irr!BY5="."),up_dir!AB5/((1/1000)*(up_Irr!AA5)),IF(AND(up_Irr!AA5=".",up_Irr!AZ5=".",up_Irr!BY5="."),up_dir!AB5*1000)))))))),".")</f>
        <v>6.5773651144152131E-4</v>
      </c>
      <c r="AC5" s="87">
        <f t="shared" si="1"/>
        <v>30407.313038114935</v>
      </c>
      <c r="AD5" s="87">
        <f>IFERROR(s_C*s_IFAP_res_adj*s_CF_apple*0.001*(up_Irr!C5+up_Irr!AB5+up_Irr!BA5),".")</f>
        <v>7601.8282595287337</v>
      </c>
      <c r="AE5" s="87">
        <f>IFERROR(s_C*s_IFAS_res_adj*s_CF_asparagus*0.001*(up_Irr!D5+up_Irr!AC5+up_Irr!BB5),".")</f>
        <v>7601.8282595287337</v>
      </c>
      <c r="AF5" s="87">
        <f>IFERROR(s_C*s_IFBT_res_adj*s_CF_beet*0.001*(up_Irr!E5+up_Irr!AD5+up_Irr!BC5),".")</f>
        <v>7601.8282595287337</v>
      </c>
      <c r="AG5" s="87">
        <f>IFERROR(s_C*s_IFBE_res_adj*s_CF_berries*0.001*(up_Irr!F5+up_Irr!AE5+up_Irr!BD5),".")</f>
        <v>7601.8282595287337</v>
      </c>
      <c r="AH5" s="87">
        <f>IFERROR(s_C*s_IFBR_res_adj*s_CF_broccoli*0.001*(up_Irr!G5+up_Irr!AF5+up_Irr!BE5),".")</f>
        <v>7601.8282595287337</v>
      </c>
      <c r="AI5" s="87">
        <f>IFERROR(s_C*s_IFCB_res_adj*s_CF_cabbage*0.001*(up_Irr!H5+up_Irr!AG5+up_Irr!BF5),".")</f>
        <v>7601.8282595287337</v>
      </c>
      <c r="AJ5" s="87">
        <f>IFERROR(s_C*s_IFCR_res_adj*s_CF_carrot*0.001*(up_Irr!I5+up_Irr!AH5+up_Irr!BG5),".")</f>
        <v>7601.8282595287337</v>
      </c>
      <c r="AK5" s="87">
        <f>IFERROR(s_C*s_IFCI_res_adj*s_CF_citrus*0.001*(up_Irr!J5+up_Irr!AI5+up_Irr!BH5),".")</f>
        <v>7601.8282595287337</v>
      </c>
      <c r="AL5" s="87">
        <f>IFERROR(s_C*s_IFCO_res_adj*s_CF_corn*0.001*(up_Irr!K5+up_Irr!AJ5+up_Irr!BI5),".")</f>
        <v>7601.8282595287337</v>
      </c>
      <c r="AM5" s="87">
        <f>IFERROR(s_C*s_IFCU_res_adj*s_CF_cucumber*0.001*(up_Irr!L5+up_Irr!AK5+up_Irr!BJ5),".")</f>
        <v>7601.8282595287337</v>
      </c>
      <c r="AN5" s="87">
        <f>IFERROR(s_C*s_IFLE_res_adj*s_CF_lettuce*0.001*(up_Irr!M5+up_Irr!AL5+up_Irr!BK5),".")</f>
        <v>7601.8282595287337</v>
      </c>
      <c r="AO5" s="87">
        <f>IFERROR(s_C*s_IFLI_res_adj*s_CF_lima_bean*0.001*(up_Irr!N5+up_Irr!AM5+up_Irr!BL5),".")</f>
        <v>7601.8282595287337</v>
      </c>
      <c r="AP5" s="87">
        <f>IFERROR(s_C*s_IFOK_res_adj*s_CF_okra*0.001*(up_Irr!O5+up_Irr!AN5+up_Irr!BM5),".")</f>
        <v>7601.8282595287337</v>
      </c>
      <c r="AQ5" s="87">
        <f>IFERROR(s_C*s_IFON_res_adj*s_CF_onion*0.001*(up_Irr!P5+up_Irr!AO5+up_Irr!BN5),".")</f>
        <v>7601.8282595287337</v>
      </c>
      <c r="AR5" s="87">
        <f>IFERROR(s_C*s_IFPC_res_adj*s_CF_peach*0.001*(up_Irr!Q5+up_Irr!AP5+up_Irr!BO5),".")</f>
        <v>7601.8282595287337</v>
      </c>
      <c r="AS5" s="87">
        <f>IFERROR(s_C*s_IFPR_res_adj*s_CF_pear*0.001*(up_Irr!R5+up_Irr!AQ5+up_Irr!BP5),".")</f>
        <v>7601.8282595287337</v>
      </c>
      <c r="AT5" s="87">
        <f>IFERROR(s_C*s_IFPE_res_adj*s_CF_peas*0.001*(up_Irr!S5+up_Irr!AR5+up_Irr!BQ5),".")</f>
        <v>7601.8282595287337</v>
      </c>
      <c r="AU5" s="87">
        <f>IFERROR(s_C*s_IFPP_res_adj*s_CF_peppers*0.001*(up_Irr!T5+up_Irr!AS5+up_Irr!BR5),".")</f>
        <v>7601.8282595287337</v>
      </c>
      <c r="AV5" s="87">
        <f>IFERROR(s_C*s_IFPT_res_adj*s_CF_potato*0.001*(up_Irr!U5+up_Irr!AT5+up_Irr!BS5),".")</f>
        <v>7601.8282595287337</v>
      </c>
      <c r="AW5" s="87">
        <f>IFERROR(s_C*s_IFPU_res_adj*s_CF_pumpkin*0.001*(up_Irr!V5+up_Irr!AU5+up_Irr!BT5),".")</f>
        <v>7601.8282595287337</v>
      </c>
      <c r="AX5" s="87">
        <f>IFERROR(s_C*s_IFSN_res_adj*s_CF_snap_bean*0.001*(up_Irr!W5+up_Irr!AV5+up_Irr!BU5),".")</f>
        <v>7601.8282595287337</v>
      </c>
      <c r="AY5" s="87">
        <f>IFERROR(s_C*s_IFST_res_adj*s_CF_strawberry*0.001*(up_Irr!X5+up_Irr!AW5+up_Irr!BV5),".")</f>
        <v>7601.8282595287337</v>
      </c>
      <c r="AZ5" s="87">
        <f>IFERROR(s_C*s_IFTO_res_adj*s_CF_tomato*0.001*(up_Irr!Y5+up_Irr!AX5+up_Irr!BW5),".")</f>
        <v>7601.8282595287337</v>
      </c>
      <c r="BA5" s="87">
        <f>IFERROR(s_C*s_IFRI_res_adj*s_CF_rice*0.001*(up_Irr!Z5+up_Irr!AY5+up_Irr!BX5),".")</f>
        <v>7601.8282595287337</v>
      </c>
      <c r="BB5" s="87">
        <f>IFERROR(s_C*s_IFCG_res_adj*s_CF_cereal*0.001*(up_Irr!AA5+up_Irr!AZ5+up_Irr!BY5),".")</f>
        <v>7601.8282595287337</v>
      </c>
      <c r="BC5" s="70">
        <f t="shared" si="2"/>
        <v>1.6443412786038033E-4</v>
      </c>
      <c r="BD5" s="70">
        <f>IFERROR(IF(AND(up_Irr!C5&lt;&gt;".",up_Irr!AB5&lt;&gt;".",up_Irr!BA5&lt;&gt;"."),up_dir!AD5/((1/1000)*(up_Irr!C5+up_Irr!AB5+up_Irr!BA5)),IF(AND(up_Irr!C5&lt;&gt;".",up_Irr!AB5&lt;&gt;".",up_Irr!BA5="."),up_dir!AD5/((1/1000)*(up_Irr!C5+up_Irr!AB5)),IF(AND(up_Irr!C5&lt;&gt;".",up_Irr!AB5=".",up_Irr!BA5&lt;&gt;"."),up_dir!AD5/((1/1000)*(up_Irr!C5+up_Irr!BA5)),IF(AND(up_Irr!C5=".",up_Irr!AB5&lt;&gt;".",up_Irr!BA5&lt;&gt;"."),up_dir!AD5/((1/1000)*(up_Irr!AB5+up_Irr!BA5)),IF(AND(up_Irr!C5=".",up_Irr!AB5=".",up_Irr!BA5&lt;&gt;"."),up_dir!AD5/((1/1000)*(up_Irr!BA5)),IF(AND(up_Irr!C5=".",up_Irr!AB5&lt;&gt;".",up_Irr!BA5="."),up_dir!AD5/((1/1000)*(up_Irr!AB5)),IF(AND(up_Irr!C5&lt;&gt;".",up_Irr!AB5=".",up_Irr!BA5="."),up_dir!AD5/((1/1000)*(up_Irr!C5)),IF(AND(up_Irr!C5=".",up_Irr!AB5=".",up_Irr!BA5="."),up_dir!AD5*1000)))))))),".")</f>
        <v>6.5773651144152131E-4</v>
      </c>
      <c r="BE5" s="70">
        <f>IFERROR(IF(AND(up_Irr!D5&lt;&gt;".",up_Irr!AC5&lt;&gt;".",up_Irr!BB5&lt;&gt;"."),up_dir!AE5/((1/1000)*(up_Irr!D5+up_Irr!AC5+up_Irr!BB5)),IF(AND(up_Irr!D5&lt;&gt;".",up_Irr!AC5&lt;&gt;".",up_Irr!BB5="."),up_dir!AE5/((1/1000)*(up_Irr!D5+up_Irr!AC5)),IF(AND(up_Irr!D5&lt;&gt;".",up_Irr!AC5=".",up_Irr!BB5&lt;&gt;"."),up_dir!AE5/((1/1000)*(up_Irr!D5+up_Irr!BB5)),IF(AND(up_Irr!D5=".",up_Irr!AC5&lt;&gt;".",up_Irr!BB5&lt;&gt;"."),up_dir!AE5/((1/1000)*(up_Irr!AC5+up_Irr!BB5)),IF(AND(up_Irr!D5=".",up_Irr!AC5=".",up_Irr!BB5&lt;&gt;"."),up_dir!AE5/((1/1000)*(up_Irr!BB5)),IF(AND(up_Irr!D5=".",up_Irr!AC5&lt;&gt;".",up_Irr!BB5="."),up_dir!AE5/((1/1000)*(up_Irr!AC5)),IF(AND(up_Irr!D5&lt;&gt;".",up_Irr!AC5=".",up_Irr!BB5="."),up_dir!AE5/((1/1000)*(up_Irr!D5)),IF(AND(up_Irr!D5=".",up_Irr!AC5=".",up_Irr!BB5="."),up_dir!AE5*1000)))))))),".")</f>
        <v>6.5773651144152131E-4</v>
      </c>
      <c r="BF5" s="70">
        <f>IFERROR(IF(AND(up_Irr!E5&lt;&gt;".",up_Irr!AD5&lt;&gt;".",up_Irr!BC5&lt;&gt;"."),up_dir!AF5/((1/1000)*(up_Irr!E5+up_Irr!AD5+up_Irr!BC5)),IF(AND(up_Irr!E5&lt;&gt;".",up_Irr!AD5&lt;&gt;".",up_Irr!BC5="."),up_dir!AF5/((1/1000)*(up_Irr!E5+up_Irr!AD5)),IF(AND(up_Irr!E5&lt;&gt;".",up_Irr!AD5=".",up_Irr!BC5&lt;&gt;"."),up_dir!AF5/((1/1000)*(up_Irr!E5+up_Irr!BC5)),IF(AND(up_Irr!E5=".",up_Irr!AD5&lt;&gt;".",up_Irr!BC5&lt;&gt;"."),up_dir!AF5/((1/1000)*(up_Irr!AD5+up_Irr!BC5)),IF(AND(up_Irr!E5=".",up_Irr!AD5=".",up_Irr!BC5&lt;&gt;"."),up_dir!AF5/((1/1000)*(up_Irr!BC5)),IF(AND(up_Irr!E5=".",up_Irr!AD5&lt;&gt;".",up_Irr!BC5="."),up_dir!AF5/((1/1000)*(up_Irr!AD5)),IF(AND(up_Irr!E5&lt;&gt;".",up_Irr!AD5=".",up_Irr!BC5="."),up_dir!AF5/((1/1000)*(up_Irr!E5)),IF(AND(up_Irr!E5=".",up_Irr!AD5=".",up_Irr!BC5="."),up_dir!AF5*1000)))))))),".")</f>
        <v>6.5773651144152131E-4</v>
      </c>
      <c r="BG5" s="70">
        <f>IFERROR(IF(AND(up_Irr!F5&lt;&gt;".",up_Irr!AE5&lt;&gt;".",up_Irr!BD5&lt;&gt;"."),up_dir!AG5/((1/1000)*(up_Irr!F5+up_Irr!AE5+up_Irr!BD5)),IF(AND(up_Irr!F5&lt;&gt;".",up_Irr!AE5&lt;&gt;".",up_Irr!BD5="."),up_dir!AG5/((1/1000)*(up_Irr!F5+up_Irr!AE5)),IF(AND(up_Irr!F5&lt;&gt;".",up_Irr!AE5=".",up_Irr!BD5&lt;&gt;"."),up_dir!AG5/((1/1000)*(up_Irr!F5+up_Irr!BD5)),IF(AND(up_Irr!F5=".",up_Irr!AE5&lt;&gt;".",up_Irr!BD5&lt;&gt;"."),up_dir!AG5/((1/1000)*(up_Irr!AE5+up_Irr!BD5)),IF(AND(up_Irr!F5=".",up_Irr!AE5=".",up_Irr!BD5&lt;&gt;"."),up_dir!AG5/((1/1000)*(up_Irr!BD5)),IF(AND(up_Irr!F5=".",up_Irr!AE5&lt;&gt;".",up_Irr!BD5="."),up_dir!AG5/((1/1000)*(up_Irr!AE5)),IF(AND(up_Irr!F5&lt;&gt;".",up_Irr!AE5=".",up_Irr!BD5="."),up_dir!AG5/((1/1000)*(up_Irr!F5)),IF(AND(up_Irr!F5=".",up_Irr!AE5=".",up_Irr!BD5="."),up_dir!AG5*1000)))))))),".")</f>
        <v>6.5773651144152131E-4</v>
      </c>
      <c r="BH5" s="70">
        <f>IFERROR(IF(AND(up_Irr!G5&lt;&gt;".",up_Irr!AF5&lt;&gt;".",up_Irr!BE5&lt;&gt;"."),up_dir!AH5/((1/1000)*(up_Irr!G5+up_Irr!AF5+up_Irr!BE5)),IF(AND(up_Irr!G5&lt;&gt;".",up_Irr!AF5&lt;&gt;".",up_Irr!BE5="."),up_dir!AH5/((1/1000)*(up_Irr!G5+up_Irr!AF5)),IF(AND(up_Irr!G5&lt;&gt;".",up_Irr!AF5=".",up_Irr!BE5&lt;&gt;"."),up_dir!AH5/((1/1000)*(up_Irr!G5+up_Irr!BE5)),IF(AND(up_Irr!G5=".",up_Irr!AF5&lt;&gt;".",up_Irr!BE5&lt;&gt;"."),up_dir!AH5/((1/1000)*(up_Irr!AF5+up_Irr!BE5)),IF(AND(up_Irr!G5=".",up_Irr!AF5=".",up_Irr!BE5&lt;&gt;"."),up_dir!AH5/((1/1000)*(up_Irr!BE5)),IF(AND(up_Irr!G5=".",up_Irr!AF5&lt;&gt;".",up_Irr!BE5="."),up_dir!AH5/((1/1000)*(up_Irr!AF5)),IF(AND(up_Irr!G5&lt;&gt;".",up_Irr!AF5=".",up_Irr!BE5="."),up_dir!AH5/((1/1000)*(up_Irr!G5)),IF(AND(up_Irr!G5=".",up_Irr!AF5=".",up_Irr!BE5="."),up_dir!AH5*1000)))))))),".")</f>
        <v>6.5773651144152131E-4</v>
      </c>
      <c r="BI5" s="70">
        <f>IFERROR(IF(AND(up_Irr!H5&lt;&gt;".",up_Irr!AG5&lt;&gt;".",up_Irr!BF5&lt;&gt;"."),up_dir!AI5/((1/1000)*(up_Irr!H5+up_Irr!AG5+up_Irr!BF5)),IF(AND(up_Irr!H5&lt;&gt;".",up_Irr!AG5&lt;&gt;".",up_Irr!BF5="."),up_dir!AI5/((1/1000)*(up_Irr!H5+up_Irr!AG5)),IF(AND(up_Irr!H5&lt;&gt;".",up_Irr!AG5=".",up_Irr!BF5&lt;&gt;"."),up_dir!AI5/((1/1000)*(up_Irr!H5+up_Irr!BF5)),IF(AND(up_Irr!H5=".",up_Irr!AG5&lt;&gt;".",up_Irr!BF5&lt;&gt;"."),up_dir!AI5/((1/1000)*(up_Irr!AG5+up_Irr!BF5)),IF(AND(up_Irr!H5=".",up_Irr!AG5=".",up_Irr!BF5&lt;&gt;"."),up_dir!AI5/((1/1000)*(up_Irr!BF5)),IF(AND(up_Irr!H5=".",up_Irr!AG5&lt;&gt;".",up_Irr!BF5="."),up_dir!AI5/((1/1000)*(up_Irr!AG5)),IF(AND(up_Irr!H5&lt;&gt;".",up_Irr!AG5=".",up_Irr!BF5="."),up_dir!AI5/((1/1000)*(up_Irr!H5)),IF(AND(up_Irr!H5=".",up_Irr!AG5=".",up_Irr!BF5="."),up_dir!AI5*1000)))))))),".")</f>
        <v>6.5773651144152131E-4</v>
      </c>
      <c r="BJ5" s="70">
        <f>IFERROR(IF(AND(up_Irr!I5&lt;&gt;".",up_Irr!AH5&lt;&gt;".",up_Irr!BG5&lt;&gt;"."),up_dir!AJ5/((1/1000)*(up_Irr!I5+up_Irr!AH5+up_Irr!BG5)),IF(AND(up_Irr!I5&lt;&gt;".",up_Irr!AH5&lt;&gt;".",up_Irr!BG5="."),up_dir!AJ5/((1/1000)*(up_Irr!I5+up_Irr!AH5)),IF(AND(up_Irr!I5&lt;&gt;".",up_Irr!AH5=".",up_Irr!BG5&lt;&gt;"."),up_dir!AJ5/((1/1000)*(up_Irr!I5+up_Irr!BG5)),IF(AND(up_Irr!I5=".",up_Irr!AH5&lt;&gt;".",up_Irr!BG5&lt;&gt;"."),up_dir!AJ5/((1/1000)*(up_Irr!AH5+up_Irr!BG5)),IF(AND(up_Irr!I5=".",up_Irr!AH5=".",up_Irr!BG5&lt;&gt;"."),up_dir!AJ5/((1/1000)*(up_Irr!BG5)),IF(AND(up_Irr!I5=".",up_Irr!AH5&lt;&gt;".",up_Irr!BG5="."),up_dir!AJ5/((1/1000)*(up_Irr!AH5)),IF(AND(up_Irr!I5&lt;&gt;".",up_Irr!AH5=".",up_Irr!BG5="."),up_dir!AJ5/((1/1000)*(up_Irr!I5)),IF(AND(up_Irr!I5=".",up_Irr!AH5=".",up_Irr!BG5="."),up_dir!AJ5*1000)))))))),".")</f>
        <v>6.5773651144152131E-4</v>
      </c>
      <c r="BK5" s="70">
        <f>IFERROR(IF(AND(up_Irr!J5&lt;&gt;".",up_Irr!AI5&lt;&gt;".",up_Irr!BH5&lt;&gt;"."),up_dir!AK5/((1/1000)*(up_Irr!J5+up_Irr!AI5+up_Irr!BH5)),IF(AND(up_Irr!J5&lt;&gt;".",up_Irr!AI5&lt;&gt;".",up_Irr!BH5="."),up_dir!AK5/((1/1000)*(up_Irr!J5+up_Irr!AI5)),IF(AND(up_Irr!J5&lt;&gt;".",up_Irr!AI5=".",up_Irr!BH5&lt;&gt;"."),up_dir!AK5/((1/1000)*(up_Irr!J5+up_Irr!BH5)),IF(AND(up_Irr!J5=".",up_Irr!AI5&lt;&gt;".",up_Irr!BH5&lt;&gt;"."),up_dir!AK5/((1/1000)*(up_Irr!AI5+up_Irr!BH5)),IF(AND(up_Irr!J5=".",up_Irr!AI5=".",up_Irr!BH5&lt;&gt;"."),up_dir!AK5/((1/1000)*(up_Irr!BH5)),IF(AND(up_Irr!J5=".",up_Irr!AI5&lt;&gt;".",up_Irr!BH5="."),up_dir!AK5/((1/1000)*(up_Irr!AI5)),IF(AND(up_Irr!J5&lt;&gt;".",up_Irr!AI5=".",up_Irr!BH5="."),up_dir!AK5/((1/1000)*(up_Irr!J5)),IF(AND(up_Irr!J5=".",up_Irr!AI5=".",up_Irr!BH5="."),up_dir!AK5*1000)))))))),".")</f>
        <v>6.5773651144152131E-4</v>
      </c>
      <c r="BL5" s="70">
        <f>IFERROR(IF(AND(up_Irr!K5&lt;&gt;".",up_Irr!AJ5&lt;&gt;".",up_Irr!BI5&lt;&gt;"."),up_dir!AL5/((1/1000)*(up_Irr!K5+up_Irr!AJ5+up_Irr!BI5)),IF(AND(up_Irr!K5&lt;&gt;".",up_Irr!AJ5&lt;&gt;".",up_Irr!BI5="."),up_dir!AL5/((1/1000)*(up_Irr!K5+up_Irr!AJ5)),IF(AND(up_Irr!K5&lt;&gt;".",up_Irr!AJ5=".",up_Irr!BI5&lt;&gt;"."),up_dir!AL5/((1/1000)*(up_Irr!K5+up_Irr!BI5)),IF(AND(up_Irr!K5=".",up_Irr!AJ5&lt;&gt;".",up_Irr!BI5&lt;&gt;"."),up_dir!AL5/((1/1000)*(up_Irr!AJ5+up_Irr!BI5)),IF(AND(up_Irr!K5=".",up_Irr!AJ5=".",up_Irr!BI5&lt;&gt;"."),up_dir!AL5/((1/1000)*(up_Irr!BI5)),IF(AND(up_Irr!K5=".",up_Irr!AJ5&lt;&gt;".",up_Irr!BI5="."),up_dir!AL5/((1/1000)*(up_Irr!AJ5)),IF(AND(up_Irr!K5&lt;&gt;".",up_Irr!AJ5=".",up_Irr!BI5="."),up_dir!AL5/((1/1000)*(up_Irr!K5)),IF(AND(up_Irr!K5=".",up_Irr!AJ5=".",up_Irr!BI5="."),up_dir!AL5*1000)))))))),".")</f>
        <v>6.5773651144152131E-4</v>
      </c>
      <c r="BM5" s="70">
        <f>IFERROR(IF(AND(up_Irr!L5&lt;&gt;".",up_Irr!AK5&lt;&gt;".",up_Irr!BJ5&lt;&gt;"."),up_dir!AM5/((1/1000)*(up_Irr!L5+up_Irr!AK5+up_Irr!BJ5)),IF(AND(up_Irr!L5&lt;&gt;".",up_Irr!AK5&lt;&gt;".",up_Irr!BJ5="."),up_dir!AM5/((1/1000)*(up_Irr!L5+up_Irr!AK5)),IF(AND(up_Irr!L5&lt;&gt;".",up_Irr!AK5=".",up_Irr!BJ5&lt;&gt;"."),up_dir!AM5/((1/1000)*(up_Irr!L5+up_Irr!BJ5)),IF(AND(up_Irr!L5=".",up_Irr!AK5&lt;&gt;".",up_Irr!BJ5&lt;&gt;"."),up_dir!AM5/((1/1000)*(up_Irr!AK5+up_Irr!BJ5)),IF(AND(up_Irr!L5=".",up_Irr!AK5=".",up_Irr!BJ5&lt;&gt;"."),up_dir!AM5/((1/1000)*(up_Irr!BJ5)),IF(AND(up_Irr!L5=".",up_Irr!AK5&lt;&gt;".",up_Irr!BJ5="."),up_dir!AM5/((1/1000)*(up_Irr!AK5)),IF(AND(up_Irr!L5&lt;&gt;".",up_Irr!AK5=".",up_Irr!BJ5="."),up_dir!AM5/((1/1000)*(up_Irr!L5)),IF(AND(up_Irr!L5=".",up_Irr!AK5=".",up_Irr!BJ5="."),up_dir!AM5*1000)))))))),".")</f>
        <v>6.5773651144152131E-4</v>
      </c>
      <c r="BN5" s="70">
        <f>IFERROR(IF(AND(up_Irr!M5&lt;&gt;".",up_Irr!AL5&lt;&gt;".",up_Irr!BK5&lt;&gt;"."),up_dir!AN5/((1/1000)*(up_Irr!M5+up_Irr!AL5+up_Irr!BK5)),IF(AND(up_Irr!M5&lt;&gt;".",up_Irr!AL5&lt;&gt;".",up_Irr!BK5="."),up_dir!AN5/((1/1000)*(up_Irr!M5+up_Irr!AL5)),IF(AND(up_Irr!M5&lt;&gt;".",up_Irr!AL5=".",up_Irr!BK5&lt;&gt;"."),up_dir!AN5/((1/1000)*(up_Irr!M5+up_Irr!BK5)),IF(AND(up_Irr!M5=".",up_Irr!AL5&lt;&gt;".",up_Irr!BK5&lt;&gt;"."),up_dir!AN5/((1/1000)*(up_Irr!AL5+up_Irr!BK5)),IF(AND(up_Irr!M5=".",up_Irr!AL5=".",up_Irr!BK5&lt;&gt;"."),up_dir!AN5/((1/1000)*(up_Irr!BK5)),IF(AND(up_Irr!M5=".",up_Irr!AL5&lt;&gt;".",up_Irr!BK5="."),up_dir!AN5/((1/1000)*(up_Irr!AL5)),IF(AND(up_Irr!M5&lt;&gt;".",up_Irr!AL5=".",up_Irr!BK5="."),up_dir!AN5/((1/1000)*(up_Irr!M5)),IF(AND(up_Irr!M5=".",up_Irr!AL5=".",up_Irr!BK5="."),up_dir!AN5*1000)))))))),".")</f>
        <v>6.5773651144152131E-4</v>
      </c>
      <c r="BO5" s="70">
        <f>IFERROR(IF(AND(up_Irr!N5&lt;&gt;".",up_Irr!AM5&lt;&gt;".",up_Irr!BL5&lt;&gt;"."),up_dir!AO5/((1/1000)*(up_Irr!N5+up_Irr!AM5+up_Irr!BL5)),IF(AND(up_Irr!N5&lt;&gt;".",up_Irr!AM5&lt;&gt;".",up_Irr!BL5="."),up_dir!AO5/((1/1000)*(up_Irr!N5+up_Irr!AM5)),IF(AND(up_Irr!N5&lt;&gt;".",up_Irr!AM5=".",up_Irr!BL5&lt;&gt;"."),up_dir!AO5/((1/1000)*(up_Irr!N5+up_Irr!BL5)),IF(AND(up_Irr!N5=".",up_Irr!AM5&lt;&gt;".",up_Irr!BL5&lt;&gt;"."),up_dir!AO5/((1/1000)*(up_Irr!AM5+up_Irr!BL5)),IF(AND(up_Irr!N5=".",up_Irr!AM5=".",up_Irr!BL5&lt;&gt;"."),up_dir!AO5/((1/1000)*(up_Irr!BL5)),IF(AND(up_Irr!N5=".",up_Irr!AM5&lt;&gt;".",up_Irr!BL5="."),up_dir!AO5/((1/1000)*(up_Irr!AM5)),IF(AND(up_Irr!N5&lt;&gt;".",up_Irr!AM5=".",up_Irr!BL5="."),up_dir!AO5/((1/1000)*(up_Irr!N5)),IF(AND(up_Irr!N5=".",up_Irr!AM5=".",up_Irr!BL5="."),up_dir!AO5*1000)))))))),".")</f>
        <v>6.5773651144152131E-4</v>
      </c>
      <c r="BP5" s="70">
        <f>IFERROR(IF(AND(up_Irr!O5&lt;&gt;".",up_Irr!AN5&lt;&gt;".",up_Irr!BM5&lt;&gt;"."),up_dir!AP5/((1/1000)*(up_Irr!O5+up_Irr!AN5+up_Irr!BM5)),IF(AND(up_Irr!O5&lt;&gt;".",up_Irr!AN5&lt;&gt;".",up_Irr!BM5="."),up_dir!AP5/((1/1000)*(up_Irr!O5+up_Irr!AN5)),IF(AND(up_Irr!O5&lt;&gt;".",up_Irr!AN5=".",up_Irr!BM5&lt;&gt;"."),up_dir!AP5/((1/1000)*(up_Irr!O5+up_Irr!BM5)),IF(AND(up_Irr!O5=".",up_Irr!AN5&lt;&gt;".",up_Irr!BM5&lt;&gt;"."),up_dir!AP5/((1/1000)*(up_Irr!AN5+up_Irr!BM5)),IF(AND(up_Irr!O5=".",up_Irr!AN5=".",up_Irr!BM5&lt;&gt;"."),up_dir!AP5/((1/1000)*(up_Irr!BM5)),IF(AND(up_Irr!O5=".",up_Irr!AN5&lt;&gt;".",up_Irr!BM5="."),up_dir!AP5/((1/1000)*(up_Irr!AN5)),IF(AND(up_Irr!O5&lt;&gt;".",up_Irr!AN5=".",up_Irr!BM5="."),up_dir!AP5/((1/1000)*(up_Irr!O5)),IF(AND(up_Irr!O5=".",up_Irr!AN5=".",up_Irr!BM5="."),up_dir!AP5*1000)))))))),".")</f>
        <v>6.5773651144152131E-4</v>
      </c>
      <c r="BQ5" s="70">
        <f>IFERROR(IF(AND(up_Irr!P5&lt;&gt;".",up_Irr!AO5&lt;&gt;".",up_Irr!BN5&lt;&gt;"."),up_dir!AQ5/((1/1000)*(up_Irr!P5+up_Irr!AO5+up_Irr!BN5)),IF(AND(up_Irr!P5&lt;&gt;".",up_Irr!AO5&lt;&gt;".",up_Irr!BN5="."),up_dir!AQ5/((1/1000)*(up_Irr!P5+up_Irr!AO5)),IF(AND(up_Irr!P5&lt;&gt;".",up_Irr!AO5=".",up_Irr!BN5&lt;&gt;"."),up_dir!AQ5/((1/1000)*(up_Irr!P5+up_Irr!BN5)),IF(AND(up_Irr!P5=".",up_Irr!AO5&lt;&gt;".",up_Irr!BN5&lt;&gt;"."),up_dir!AQ5/((1/1000)*(up_Irr!AO5+up_Irr!BN5)),IF(AND(up_Irr!P5=".",up_Irr!AO5=".",up_Irr!BN5&lt;&gt;"."),up_dir!AQ5/((1/1000)*(up_Irr!BN5)),IF(AND(up_Irr!P5=".",up_Irr!AO5&lt;&gt;".",up_Irr!BN5="."),up_dir!AQ5/((1/1000)*(up_Irr!AO5)),IF(AND(up_Irr!P5&lt;&gt;".",up_Irr!AO5=".",up_Irr!BN5="."),up_dir!AQ5/((1/1000)*(up_Irr!P5)),IF(AND(up_Irr!P5=".",up_Irr!AO5=".",up_Irr!BN5="."),up_dir!AQ5*1000)))))))),".")</f>
        <v>6.5773651144152131E-4</v>
      </c>
      <c r="BR5" s="70">
        <f>IFERROR(IF(AND(up_Irr!Q5&lt;&gt;".",up_Irr!AP5&lt;&gt;".",up_Irr!BO5&lt;&gt;"."),up_dir!AR5/((1/1000)*(up_Irr!Q5+up_Irr!AP5+up_Irr!BO5)),IF(AND(up_Irr!Q5&lt;&gt;".",up_Irr!AP5&lt;&gt;".",up_Irr!BO5="."),up_dir!AR5/((1/1000)*(up_Irr!Q5+up_Irr!AP5)),IF(AND(up_Irr!Q5&lt;&gt;".",up_Irr!AP5=".",up_Irr!BO5&lt;&gt;"."),up_dir!AR5/((1/1000)*(up_Irr!Q5+up_Irr!BO5)),IF(AND(up_Irr!Q5=".",up_Irr!AP5&lt;&gt;".",up_Irr!BO5&lt;&gt;"."),up_dir!AR5/((1/1000)*(up_Irr!AP5+up_Irr!BO5)),IF(AND(up_Irr!Q5=".",up_Irr!AP5=".",up_Irr!BO5&lt;&gt;"."),up_dir!AR5/((1/1000)*(up_Irr!BO5)),IF(AND(up_Irr!Q5=".",up_Irr!AP5&lt;&gt;".",up_Irr!BO5="."),up_dir!AR5/((1/1000)*(up_Irr!AP5)),IF(AND(up_Irr!Q5&lt;&gt;".",up_Irr!AP5=".",up_Irr!BO5="."),up_dir!AR5/((1/1000)*(up_Irr!Q5)),IF(AND(up_Irr!Q5=".",up_Irr!AP5=".",up_Irr!BO5="."),up_dir!AR5*1000)))))))),".")</f>
        <v>6.5773651144152131E-4</v>
      </c>
      <c r="BS5" s="70">
        <f>IFERROR(IF(AND(up_Irr!R5&lt;&gt;".",up_Irr!AQ5&lt;&gt;".",up_Irr!BP5&lt;&gt;"."),up_dir!AS5/((1/1000)*(up_Irr!R5+up_Irr!AQ5+up_Irr!BP5)),IF(AND(up_Irr!R5&lt;&gt;".",up_Irr!AQ5&lt;&gt;".",up_Irr!BP5="."),up_dir!AS5/((1/1000)*(up_Irr!R5+up_Irr!AQ5)),IF(AND(up_Irr!R5&lt;&gt;".",up_Irr!AQ5=".",up_Irr!BP5&lt;&gt;"."),up_dir!AS5/((1/1000)*(up_Irr!R5+up_Irr!BP5)),IF(AND(up_Irr!R5=".",up_Irr!AQ5&lt;&gt;".",up_Irr!BP5&lt;&gt;"."),up_dir!AS5/((1/1000)*(up_Irr!AQ5+up_Irr!BP5)),IF(AND(up_Irr!R5=".",up_Irr!AQ5=".",up_Irr!BP5&lt;&gt;"."),up_dir!AS5/((1/1000)*(up_Irr!BP5)),IF(AND(up_Irr!R5=".",up_Irr!AQ5&lt;&gt;".",up_Irr!BP5="."),up_dir!AS5/((1/1000)*(up_Irr!AQ5)),IF(AND(up_Irr!R5&lt;&gt;".",up_Irr!AQ5=".",up_Irr!BP5="."),up_dir!AS5/((1/1000)*(up_Irr!R5)),IF(AND(up_Irr!R5=".",up_Irr!AQ5=".",up_Irr!BP5="."),up_dir!AS5*1000)))))))),".")</f>
        <v>6.5773651144152131E-4</v>
      </c>
      <c r="BT5" s="70">
        <f>IFERROR(IF(AND(up_Irr!S5&lt;&gt;".",up_Irr!AR5&lt;&gt;".",up_Irr!BQ5&lt;&gt;"."),up_dir!AT5/((1/1000)*(up_Irr!S5+up_Irr!AR5+up_Irr!BQ5)),IF(AND(up_Irr!S5&lt;&gt;".",up_Irr!AR5&lt;&gt;".",up_Irr!BQ5="."),up_dir!AT5/((1/1000)*(up_Irr!S5+up_Irr!AR5)),IF(AND(up_Irr!S5&lt;&gt;".",up_Irr!AR5=".",up_Irr!BQ5&lt;&gt;"."),up_dir!AT5/((1/1000)*(up_Irr!S5+up_Irr!BQ5)),IF(AND(up_Irr!S5=".",up_Irr!AR5&lt;&gt;".",up_Irr!BQ5&lt;&gt;"."),up_dir!AT5/((1/1000)*(up_Irr!AR5+up_Irr!BQ5)),IF(AND(up_Irr!S5=".",up_Irr!AR5=".",up_Irr!BQ5&lt;&gt;"."),up_dir!AT5/((1/1000)*(up_Irr!BQ5)),IF(AND(up_Irr!S5=".",up_Irr!AR5&lt;&gt;".",up_Irr!BQ5="."),up_dir!AT5/((1/1000)*(up_Irr!AR5)),IF(AND(up_Irr!S5&lt;&gt;".",up_Irr!AR5=".",up_Irr!BQ5="."),up_dir!AT5/((1/1000)*(up_Irr!S5)),IF(AND(up_Irr!S5=".",up_Irr!AR5=".",up_Irr!BQ5="."),up_dir!AT5*1000)))))))),".")</f>
        <v>6.5773651144152131E-4</v>
      </c>
      <c r="BU5" s="70">
        <f>IFERROR(IF(AND(up_Irr!T5&lt;&gt;".",up_Irr!AS5&lt;&gt;".",up_Irr!BR5&lt;&gt;"."),up_dir!AU5/((1/1000)*(up_Irr!T5+up_Irr!AS5+up_Irr!BR5)),IF(AND(up_Irr!T5&lt;&gt;".",up_Irr!AS5&lt;&gt;".",up_Irr!BR5="."),up_dir!AU5/((1/1000)*(up_Irr!T5+up_Irr!AS5)),IF(AND(up_Irr!T5&lt;&gt;".",up_Irr!AS5=".",up_Irr!BR5&lt;&gt;"."),up_dir!AU5/((1/1000)*(up_Irr!T5+up_Irr!BR5)),IF(AND(up_Irr!T5=".",up_Irr!AS5&lt;&gt;".",up_Irr!BR5&lt;&gt;"."),up_dir!AU5/((1/1000)*(up_Irr!AS5+up_Irr!BR5)),IF(AND(up_Irr!T5=".",up_Irr!AS5=".",up_Irr!BR5&lt;&gt;"."),up_dir!AU5/((1/1000)*(up_Irr!BR5)),IF(AND(up_Irr!T5=".",up_Irr!AS5&lt;&gt;".",up_Irr!BR5="."),up_dir!AU5/((1/1000)*(up_Irr!AS5)),IF(AND(up_Irr!T5&lt;&gt;".",up_Irr!AS5=".",up_Irr!BR5="."),up_dir!AU5/((1/1000)*(up_Irr!T5)),IF(AND(up_Irr!T5=".",up_Irr!AS5=".",up_Irr!BR5="."),up_dir!AU5*1000)))))))),".")</f>
        <v>6.5773651144152131E-4</v>
      </c>
      <c r="BV5" s="70">
        <f>IFERROR(IF(AND(up_Irr!U5&lt;&gt;".",up_Irr!AT5&lt;&gt;".",up_Irr!BS5&lt;&gt;"."),up_dir!AV5/((1/1000)*(up_Irr!U5+up_Irr!AT5+up_Irr!BS5)),IF(AND(up_Irr!U5&lt;&gt;".",up_Irr!AT5&lt;&gt;".",up_Irr!BS5="."),up_dir!AV5/((1/1000)*(up_Irr!U5+up_Irr!AT5)),IF(AND(up_Irr!U5&lt;&gt;".",up_Irr!AT5=".",up_Irr!BS5&lt;&gt;"."),up_dir!AV5/((1/1000)*(up_Irr!U5+up_Irr!BS5)),IF(AND(up_Irr!U5=".",up_Irr!AT5&lt;&gt;".",up_Irr!BS5&lt;&gt;"."),up_dir!AV5/((1/1000)*(up_Irr!AT5+up_Irr!BS5)),IF(AND(up_Irr!U5=".",up_Irr!AT5=".",up_Irr!BS5&lt;&gt;"."),up_dir!AV5/((1/1000)*(up_Irr!BS5)),IF(AND(up_Irr!U5=".",up_Irr!AT5&lt;&gt;".",up_Irr!BS5="."),up_dir!AV5/((1/1000)*(up_Irr!AT5)),IF(AND(up_Irr!U5&lt;&gt;".",up_Irr!AT5=".",up_Irr!BS5="."),up_dir!AV5/((1/1000)*(up_Irr!U5)),IF(AND(up_Irr!U5=".",up_Irr!AT5=".",up_Irr!BS5="."),up_dir!AV5*1000)))))))),".")</f>
        <v>6.5773651144152131E-4</v>
      </c>
      <c r="BW5" s="70">
        <f>IFERROR(IF(AND(up_Irr!V5&lt;&gt;".",up_Irr!AU5&lt;&gt;".",up_Irr!BT5&lt;&gt;"."),up_dir!AW5/((1/1000)*(up_Irr!V5+up_Irr!AU5+up_Irr!BT5)),IF(AND(up_Irr!V5&lt;&gt;".",up_Irr!AU5&lt;&gt;".",up_Irr!BT5="."),up_dir!AW5/((1/1000)*(up_Irr!V5+up_Irr!AU5)),IF(AND(up_Irr!V5&lt;&gt;".",up_Irr!AU5=".",up_Irr!BT5&lt;&gt;"."),up_dir!AW5/((1/1000)*(up_Irr!V5+up_Irr!BT5)),IF(AND(up_Irr!V5=".",up_Irr!AU5&lt;&gt;".",up_Irr!BT5&lt;&gt;"."),up_dir!AW5/((1/1000)*(up_Irr!AU5+up_Irr!BT5)),IF(AND(up_Irr!V5=".",up_Irr!AU5=".",up_Irr!BT5&lt;&gt;"."),up_dir!AW5/((1/1000)*(up_Irr!BT5)),IF(AND(up_Irr!V5=".",up_Irr!AU5&lt;&gt;".",up_Irr!BT5="."),up_dir!AW5/((1/1000)*(up_Irr!AU5)),IF(AND(up_Irr!V5&lt;&gt;".",up_Irr!AU5=".",up_Irr!BT5="."),up_dir!AW5/((1/1000)*(up_Irr!V5)),IF(AND(up_Irr!V5=".",up_Irr!AU5=".",up_Irr!BT5="."),up_dir!AW5*1000)))))))),".")</f>
        <v>6.5773651144152131E-4</v>
      </c>
      <c r="BX5" s="70">
        <f>IFERROR(IF(AND(up_Irr!W5&lt;&gt;".",up_Irr!AV5&lt;&gt;".",up_Irr!BU5&lt;&gt;"."),up_dir!AX5/((1/1000)*(up_Irr!W5+up_Irr!AV5+up_Irr!BU5)),IF(AND(up_Irr!W5&lt;&gt;".",up_Irr!AV5&lt;&gt;".",up_Irr!BU5="."),up_dir!AX5/((1/1000)*(up_Irr!W5+up_Irr!AV5)),IF(AND(up_Irr!W5&lt;&gt;".",up_Irr!AV5=".",up_Irr!BU5&lt;&gt;"."),up_dir!AX5/((1/1000)*(up_Irr!W5+up_Irr!BU5)),IF(AND(up_Irr!W5=".",up_Irr!AV5&lt;&gt;".",up_Irr!BU5&lt;&gt;"."),up_dir!AX5/((1/1000)*(up_Irr!AV5+up_Irr!BU5)),IF(AND(up_Irr!W5=".",up_Irr!AV5=".",up_Irr!BU5&lt;&gt;"."),up_dir!AX5/((1/1000)*(up_Irr!BU5)),IF(AND(up_Irr!W5=".",up_Irr!AV5&lt;&gt;".",up_Irr!BU5="."),up_dir!AX5/((1/1000)*(up_Irr!AV5)),IF(AND(up_Irr!W5&lt;&gt;".",up_Irr!AV5=".",up_Irr!BU5="."),up_dir!AX5/((1/1000)*(up_Irr!W5)),IF(AND(up_Irr!W5=".",up_Irr!AV5=".",up_Irr!BU5="."),up_dir!AX5*1000)))))))),".")</f>
        <v>6.5773651144152131E-4</v>
      </c>
      <c r="BY5" s="70">
        <f>IFERROR(IF(AND(up_Irr!X5&lt;&gt;".",up_Irr!AW5&lt;&gt;".",up_Irr!BV5&lt;&gt;"."),up_dir!AY5/((1/1000)*(up_Irr!X5+up_Irr!AW5+up_Irr!BV5)),IF(AND(up_Irr!X5&lt;&gt;".",up_Irr!AW5&lt;&gt;".",up_Irr!BV5="."),up_dir!AY5/((1/1000)*(up_Irr!X5+up_Irr!AW5)),IF(AND(up_Irr!X5&lt;&gt;".",up_Irr!AW5=".",up_Irr!BV5&lt;&gt;"."),up_dir!AY5/((1/1000)*(up_Irr!X5+up_Irr!BV5)),IF(AND(up_Irr!X5=".",up_Irr!AW5&lt;&gt;".",up_Irr!BV5&lt;&gt;"."),up_dir!AY5/((1/1000)*(up_Irr!AW5+up_Irr!BV5)),IF(AND(up_Irr!X5=".",up_Irr!AW5=".",up_Irr!BV5&lt;&gt;"."),up_dir!AY5/((1/1000)*(up_Irr!BV5)),IF(AND(up_Irr!X5=".",up_Irr!AW5&lt;&gt;".",up_Irr!BV5="."),up_dir!AY5/((1/1000)*(up_Irr!AW5)),IF(AND(up_Irr!X5&lt;&gt;".",up_Irr!AW5=".",up_Irr!BV5="."),up_dir!AY5/((1/1000)*(up_Irr!X5)),IF(AND(up_Irr!X5=".",up_Irr!AW5=".",up_Irr!BV5="."),up_dir!AY5*1000)))))))),".")</f>
        <v>6.5773651144152131E-4</v>
      </c>
      <c r="BZ5" s="70">
        <f>IFERROR(IF(AND(up_Irr!Y5&lt;&gt;".",up_Irr!AX5&lt;&gt;".",up_Irr!BW5&lt;&gt;"."),up_dir!AZ5/((1/1000)*(up_Irr!Y5+up_Irr!AX5+up_Irr!BW5)),IF(AND(up_Irr!Y5&lt;&gt;".",up_Irr!AX5&lt;&gt;".",up_Irr!BW5="."),up_dir!AZ5/((1/1000)*(up_Irr!Y5+up_Irr!AX5)),IF(AND(up_Irr!Y5&lt;&gt;".",up_Irr!AX5=".",up_Irr!BW5&lt;&gt;"."),up_dir!AZ5/((1/1000)*(up_Irr!Y5+up_Irr!BW5)),IF(AND(up_Irr!Y5=".",up_Irr!AX5&lt;&gt;".",up_Irr!BW5&lt;&gt;"."),up_dir!AZ5/((1/1000)*(up_Irr!AX5+up_Irr!BW5)),IF(AND(up_Irr!Y5=".",up_Irr!AX5=".",up_Irr!BW5&lt;&gt;"."),up_dir!AZ5/((1/1000)*(up_Irr!BW5)),IF(AND(up_Irr!Y5=".",up_Irr!AX5&lt;&gt;".",up_Irr!BW5="."),up_dir!AZ5/((1/1000)*(up_Irr!AX5)),IF(AND(up_Irr!Y5&lt;&gt;".",up_Irr!AX5=".",up_Irr!BW5="."),up_dir!AZ5/((1/1000)*(up_Irr!Y5)),IF(AND(up_Irr!Y5=".",up_Irr!AX5=".",up_Irr!BW5="."),up_dir!AZ5*1000)))))))),".")</f>
        <v>6.5773651144152131E-4</v>
      </c>
      <c r="CA5" s="70">
        <f>IFERROR(IF(AND(up_Irr!Z5&lt;&gt;".",up_Irr!AY5&lt;&gt;".",up_Irr!BX5&lt;&gt;"."),up_dir!BA5/((1/1000)*(up_Irr!Z5+up_Irr!AY5+up_Irr!BX5)),IF(AND(up_Irr!Z5&lt;&gt;".",up_Irr!AY5&lt;&gt;".",up_Irr!BX5="."),up_dir!BA5/((1/1000)*(up_Irr!Z5+up_Irr!AY5)),IF(AND(up_Irr!Z5&lt;&gt;".",up_Irr!AY5=".",up_Irr!BX5&lt;&gt;"."),up_dir!BA5/((1/1000)*(up_Irr!Z5+up_Irr!BX5)),IF(AND(up_Irr!Z5=".",up_Irr!AY5&lt;&gt;".",up_Irr!BX5&lt;&gt;"."),up_dir!BA5/((1/1000)*(up_Irr!AY5+up_Irr!BX5)),IF(AND(up_Irr!Z5=".",up_Irr!AY5=".",up_Irr!BX5&lt;&gt;"."),up_dir!BA5/((1/1000)*(up_Irr!BX5)),IF(AND(up_Irr!Z5=".",up_Irr!AY5&lt;&gt;".",up_Irr!BX5="."),up_dir!BA5/((1/1000)*(up_Irr!AY5)),IF(AND(up_Irr!Z5&lt;&gt;".",up_Irr!AY5=".",up_Irr!BX5="."),up_dir!BA5/((1/1000)*(up_Irr!Z5)),IF(AND(up_Irr!Z5=".",up_Irr!AY5=".",up_Irr!BX5="."),up_dir!BA5*1000)))))))),".")</f>
        <v>6.5773651144152131E-4</v>
      </c>
      <c r="CB5" s="70">
        <f>IFERROR(IF(AND(up_Irr!AA5&lt;&gt;".",up_Irr!AZ5&lt;&gt;".",up_Irr!BY5&lt;&gt;"."),up_dir!BB5/((1/1000)*(up_Irr!AA5+up_Irr!AZ5+up_Irr!BY5)),IF(AND(up_Irr!AA5&lt;&gt;".",up_Irr!AZ5&lt;&gt;".",up_Irr!BY5="."),up_dir!BB5/((1/1000)*(up_Irr!AA5+up_Irr!AZ5)),IF(AND(up_Irr!AA5&lt;&gt;".",up_Irr!AZ5=".",up_Irr!BY5&lt;&gt;"."),up_dir!BB5/((1/1000)*(up_Irr!AA5+up_Irr!BY5)),IF(AND(up_Irr!AA5=".",up_Irr!AZ5&lt;&gt;".",up_Irr!BY5&lt;&gt;"."),up_dir!BB5/((1/1000)*(up_Irr!AZ5+up_Irr!BY5)),IF(AND(up_Irr!AA5=".",up_Irr!AZ5=".",up_Irr!BY5&lt;&gt;"."),up_dir!BB5/((1/1000)*(up_Irr!BY5)),IF(AND(up_Irr!AA5=".",up_Irr!AZ5&lt;&gt;".",up_Irr!BY5="."),up_dir!BB5/((1/1000)*(up_Irr!AZ5)),IF(AND(up_Irr!AA5&lt;&gt;".",up_Irr!AZ5=".",up_Irr!BY5="."),up_dir!BB5/((1/1000)*(up_Irr!AA5)),IF(AND(up_Irr!AA5=".",up_Irr!AZ5=".",up_Irr!BY5="."),up_dir!BB5*1000)))))))),".")</f>
        <v>6.5773651144152131E-4</v>
      </c>
      <c r="CC5" s="87">
        <f t="shared" si="3"/>
        <v>30407.313038114935</v>
      </c>
      <c r="CD5" s="87">
        <f>IFERROR(s_C*s_IFAP_far_adj*s_CF_apple*(1/1000)*(up_Irr!C5+up_Irr!AB5+up_Irr!BA5),".")</f>
        <v>7601.8282595287337</v>
      </c>
      <c r="CE5" s="87">
        <f>IFERROR(s_C*s_IFAS_far_adj*s_CF_asparagus*(1/1000)*(up_Irr!D5+up_Irr!AC5+up_Irr!BB5),".")</f>
        <v>7601.8282595287337</v>
      </c>
      <c r="CF5" s="87">
        <f>IFERROR(s_C*s_IFBT_far_adj*s_CF_beet*(1/1000)*(up_Irr!E5+up_Irr!AD5+up_Irr!BC5),".")</f>
        <v>7601.8282595287337</v>
      </c>
      <c r="CG5" s="87">
        <f>IFERROR(s_C*s_IFBE_far_adj*s_CF_berries*(1/1000)*(up_Irr!F5+up_Irr!AE5+up_Irr!BD5),".")</f>
        <v>7601.8282595287337</v>
      </c>
      <c r="CH5" s="87">
        <f>IFERROR(s_C*s_IFBR_far_adj*s_CF_broccoli*(1/1000)*(up_Irr!G5+up_Irr!AF5+up_Irr!BE5),".")</f>
        <v>7601.8282595287337</v>
      </c>
      <c r="CI5" s="87">
        <f>IFERROR(s_C*s_IFCB_far_adj*s_CF_cabbage*(1/1000)*(up_Irr!H5+up_Irr!AG5+up_Irr!BF5),".")</f>
        <v>7601.8282595287337</v>
      </c>
      <c r="CJ5" s="87">
        <f>IFERROR(s_C*s_IFCR_far_adj*s_CF_carrot*(1/1000)*(up_Irr!I5+up_Irr!AH5+up_Irr!BG5),".")</f>
        <v>7601.8282595287337</v>
      </c>
      <c r="CK5" s="87">
        <f>IFERROR(s_C*s_IFCI_far_adj*s_CF_citrus*(1/1000)*(up_Irr!J5+up_Irr!AI5+up_Irr!BH5),".")</f>
        <v>7601.8282595287337</v>
      </c>
      <c r="CL5" s="87">
        <f>IFERROR(s_C*s_IFCO_far_adj*s_CF_corn*(1/1000)*(up_Irr!K5+up_Irr!AJ5+up_Irr!BI5),".")</f>
        <v>7601.8282595287337</v>
      </c>
      <c r="CM5" s="87">
        <f>IFERROR(s_C*s_IFCU_far_adj*s_CF_cucumber*(1/1000)*(up_Irr!L5+up_Irr!AK5+up_Irr!BJ5),".")</f>
        <v>7601.8282595287337</v>
      </c>
      <c r="CN5" s="87">
        <f>IFERROR(s_C*s_IFLE_far_adj*s_CF_lettuce*(1/1000)*(up_Irr!M5+up_Irr!AL5+up_Irr!BK5),".")</f>
        <v>7601.8282595287337</v>
      </c>
      <c r="CO5" s="87">
        <f>IFERROR(s_C*s_IFLI_far_adj*s_CF_lima_bean*(1/1000)*(up_Irr!N5+up_Irr!AM5+up_Irr!BL5),".")</f>
        <v>7601.8282595287337</v>
      </c>
      <c r="CP5" s="87">
        <f>IFERROR(s_C*s_IFOK_far_adj*s_CF_okra*(1/1000)*(up_Irr!O5+up_Irr!AN5+up_Irr!BM5),".")</f>
        <v>7601.8282595287337</v>
      </c>
      <c r="CQ5" s="87">
        <f>IFERROR(s_C*s_IFON_far_adj*s_CF_onion*(1/1000)*(up_Irr!P5+up_Irr!AO5+up_Irr!BN5),".")</f>
        <v>7601.8282595287337</v>
      </c>
      <c r="CR5" s="87">
        <f>IFERROR(s_C*s_IFPC_far_adj*s_CF_peach*(1/1000)*(up_Irr!Q5+up_Irr!AP5+up_Irr!BO5),".")</f>
        <v>7601.8282595287337</v>
      </c>
      <c r="CS5" s="87">
        <f>IFERROR(s_C*s_IFPR_far_adj*s_CF_pear*(1/1000)*(up_Irr!R5+up_Irr!AQ5+up_Irr!BP5),".")</f>
        <v>7601.8282595287337</v>
      </c>
      <c r="CT5" s="87">
        <f>IFERROR(s_C*s_IFPE_far_adj*s_CF_peas*(1/1000)*(up_Irr!S5+up_Irr!AR5+up_Irr!BQ5),".")</f>
        <v>7601.8282595287337</v>
      </c>
      <c r="CU5" s="87">
        <f>IFERROR(s_C*s_IFPP_far_adj*s_CF_peppers*(1/1000)*(up_Irr!T5+up_Irr!AS5+up_Irr!BR5),".")</f>
        <v>7601.8282595287337</v>
      </c>
      <c r="CV5" s="87">
        <f>IFERROR(s_C*s_IFPT_far_adj*s_CF_potato*(1/1000)*(up_Irr!U5+up_Irr!AT5+up_Irr!BS5),".")</f>
        <v>7601.8282595287337</v>
      </c>
      <c r="CW5" s="87">
        <f>IFERROR(s_C*s_IFPU_far_adj*s_CF_pumpkin*(1/1000)*(up_Irr!V5+up_Irr!AU5+up_Irr!BT5),".")</f>
        <v>7601.8282595287337</v>
      </c>
      <c r="CX5" s="87">
        <f>IFERROR(s_C*s_IFSN_far_adj*s_CF_snap_bean*(1/1000)*(up_Irr!W5+up_Irr!AV5+up_Irr!BU5),".")</f>
        <v>7601.8282595287337</v>
      </c>
      <c r="CY5" s="87">
        <f>IFERROR(s_C*s_IFST_far_adj*s_CF_strawberry*(1/1000)*(up_Irr!X5+up_Irr!AW5+up_Irr!BV5),".")</f>
        <v>7601.8282595287337</v>
      </c>
      <c r="CZ5" s="87">
        <f>IFERROR(s_C*s_IFTO_far_adj*s_CF_tomato*(1/1000)*(up_Irr!Y5+up_Irr!AX5+up_Irr!BW5),".")</f>
        <v>7601.8282595287337</v>
      </c>
      <c r="DA5" s="87">
        <f>IFERROR(s_C*s_IFRI_far_adj*s_CF_rice*(1/1000)*(up_Irr!Z5+up_Irr!AY5+up_Irr!BX5),".")</f>
        <v>7601.8282595287337</v>
      </c>
      <c r="DB5" s="87">
        <f>IFERROR(s_C*s_IFCG_far_adj*s_CF_cereal*(1/1000)*(up_Irr!AA5+up_Irr!AZ5+up_Irr!BY5),".")</f>
        <v>7601.8282595287337</v>
      </c>
    </row>
    <row r="6" spans="1:106" ht="15" customHeight="1" x14ac:dyDescent="0.25">
      <c r="A6" s="86" t="s">
        <v>4</v>
      </c>
      <c r="B6" s="84" t="s">
        <v>1057</v>
      </c>
      <c r="C6" s="15">
        <f t="shared" si="0"/>
        <v>1.6443412786038033E-4</v>
      </c>
      <c r="D6" s="70">
        <f>IFERROR(IF(AND(up_Irr!C6&lt;&gt;".",up_Irr!AB6&lt;&gt;".",up_Irr!BA6&lt;&gt;"."),up_dir!D6/((1/1000)*(up_Irr!C6+up_Irr!AB6+up_Irr!BA6)),IF(AND(up_Irr!C6&lt;&gt;".",up_Irr!AB6&lt;&gt;".",up_Irr!BA6="."),up_dir!D6/((1/1000)*(up_Irr!C6+up_Irr!AB6)),IF(AND(up_Irr!C6&lt;&gt;".",up_Irr!AB6=".",up_Irr!BA6&lt;&gt;"."),up_dir!D6/((1/1000)*(up_Irr!C6+up_Irr!BA6)),IF(AND(up_Irr!C6=".",up_Irr!AB6&lt;&gt;".",up_Irr!BA6&lt;&gt;"."),up_dir!D6/((1/1000)*(up_Irr!AB6+up_Irr!BA6)),IF(AND(up_Irr!C6=".",up_Irr!AB6=".",up_Irr!BA6&lt;&gt;"."),up_dir!D6/((1/1000)*(up_Irr!BA6)),IF(AND(up_Irr!C6=".",up_Irr!AB6&lt;&gt;".",up_Irr!BA6="."),up_dir!D6/((1/1000)*(up_Irr!AB6)),IF(AND(up_Irr!C6&lt;&gt;".",up_Irr!AB6=".",up_Irr!BA6="."),up_dir!D6/((1/1000)*(up_Irr!C6)),IF(AND(up_Irr!C6=".",up_Irr!AB6=".",up_Irr!BA6="."),up_dir!D6*1000)))))))),".")</f>
        <v>6.5773651144152131E-4</v>
      </c>
      <c r="E6" s="70">
        <f>IFERROR(IF(AND(up_Irr!D6&lt;&gt;".",up_Irr!AC6&lt;&gt;".",up_Irr!BB6&lt;&gt;"."),up_dir!E6/((1/1000)*(up_Irr!D6+up_Irr!AC6+up_Irr!BB6)),IF(AND(up_Irr!D6&lt;&gt;".",up_Irr!AC6&lt;&gt;".",up_Irr!BB6="."),up_dir!E6/((1/1000)*(up_Irr!D6+up_Irr!AC6)),IF(AND(up_Irr!D6&lt;&gt;".",up_Irr!AC6=".",up_Irr!BB6&lt;&gt;"."),up_dir!E6/((1/1000)*(up_Irr!D6+up_Irr!BB6)),IF(AND(up_Irr!D6=".",up_Irr!AC6&lt;&gt;".",up_Irr!BB6&lt;&gt;"."),up_dir!E6/((1/1000)*(up_Irr!AC6+up_Irr!BB6)),IF(AND(up_Irr!D6=".",up_Irr!AC6=".",up_Irr!BB6&lt;&gt;"."),up_dir!E6/((1/1000)*(up_Irr!BB6)),IF(AND(up_Irr!D6=".",up_Irr!AC6&lt;&gt;".",up_Irr!BB6="."),up_dir!E6/((1/1000)*(up_Irr!AC6)),IF(AND(up_Irr!D6&lt;&gt;".",up_Irr!AC6=".",up_Irr!BB6="."),up_dir!E6/((1/1000)*(up_Irr!D6)),IF(AND(up_Irr!D6=".",up_Irr!AC6=".",up_Irr!BB6="."),up_dir!E6*1000)))))))),".")</f>
        <v>6.5773651144152131E-4</v>
      </c>
      <c r="F6" s="70">
        <f>IFERROR(IF(AND(up_Irr!E6&lt;&gt;".",up_Irr!AD6&lt;&gt;".",up_Irr!BC6&lt;&gt;"."),up_dir!F6/((1/1000)*(up_Irr!E6+up_Irr!AD6+up_Irr!BC6)),IF(AND(up_Irr!E6&lt;&gt;".",up_Irr!AD6&lt;&gt;".",up_Irr!BC6="."),up_dir!F6/((1/1000)*(up_Irr!E6+up_Irr!AD6)),IF(AND(up_Irr!E6&lt;&gt;".",up_Irr!AD6=".",up_Irr!BC6&lt;&gt;"."),up_dir!F6/((1/1000)*(up_Irr!E6+up_Irr!BC6)),IF(AND(up_Irr!E6=".",up_Irr!AD6&lt;&gt;".",up_Irr!BC6&lt;&gt;"."),up_dir!F6/((1/1000)*(up_Irr!AD6+up_Irr!BC6)),IF(AND(up_Irr!E6=".",up_Irr!AD6=".",up_Irr!BC6&lt;&gt;"."),up_dir!F6/((1/1000)*(up_Irr!BC6)),IF(AND(up_Irr!E6=".",up_Irr!AD6&lt;&gt;".",up_Irr!BC6="."),up_dir!F6/((1/1000)*(up_Irr!AD6)),IF(AND(up_Irr!E6&lt;&gt;".",up_Irr!AD6=".",up_Irr!BC6="."),up_dir!F6/((1/1000)*(up_Irr!E6)),IF(AND(up_Irr!E6=".",up_Irr!AD6=".",up_Irr!BC6="."),up_dir!F6*1000)))))))),".")</f>
        <v>6.5773651144152131E-4</v>
      </c>
      <c r="G6" s="70">
        <f>IFERROR(IF(AND(up_Irr!F6&lt;&gt;".",up_Irr!AE6&lt;&gt;".",up_Irr!BD6&lt;&gt;"."),up_dir!G6/((1/1000)*(up_Irr!F6+up_Irr!AE6+up_Irr!BD6)),IF(AND(up_Irr!F6&lt;&gt;".",up_Irr!AE6&lt;&gt;".",up_Irr!BD6="."),up_dir!G6/((1/1000)*(up_Irr!F6+up_Irr!AE6)),IF(AND(up_Irr!F6&lt;&gt;".",up_Irr!AE6=".",up_Irr!BD6&lt;&gt;"."),up_dir!G6/((1/1000)*(up_Irr!F6+up_Irr!BD6)),IF(AND(up_Irr!F6=".",up_Irr!AE6&lt;&gt;".",up_Irr!BD6&lt;&gt;"."),up_dir!G6/((1/1000)*(up_Irr!AE6+up_Irr!BD6)),IF(AND(up_Irr!F6=".",up_Irr!AE6=".",up_Irr!BD6&lt;&gt;"."),up_dir!G6/((1/1000)*(up_Irr!BD6)),IF(AND(up_Irr!F6=".",up_Irr!AE6&lt;&gt;".",up_Irr!BD6="."),up_dir!G6/((1/1000)*(up_Irr!AE6)),IF(AND(up_Irr!F6&lt;&gt;".",up_Irr!AE6=".",up_Irr!BD6="."),up_dir!G6/((1/1000)*(up_Irr!F6)),IF(AND(up_Irr!F6=".",up_Irr!AE6=".",up_Irr!BD6="."),up_dir!G6*1000)))))))),".")</f>
        <v>6.5773651144152131E-4</v>
      </c>
      <c r="H6" s="70">
        <f>IFERROR(IF(AND(up_Irr!G6&lt;&gt;".",up_Irr!AF6&lt;&gt;".",up_Irr!BE6&lt;&gt;"."),up_dir!H6/((1/1000)*(up_Irr!G6+up_Irr!AF6+up_Irr!BE6)),IF(AND(up_Irr!G6&lt;&gt;".",up_Irr!AF6&lt;&gt;".",up_Irr!BE6="."),up_dir!H6/((1/1000)*(up_Irr!G6+up_Irr!AF6)),IF(AND(up_Irr!G6&lt;&gt;".",up_Irr!AF6=".",up_Irr!BE6&lt;&gt;"."),up_dir!H6/((1/1000)*(up_Irr!G6+up_Irr!BE6)),IF(AND(up_Irr!G6=".",up_Irr!AF6&lt;&gt;".",up_Irr!BE6&lt;&gt;"."),up_dir!H6/((1/1000)*(up_Irr!AF6+up_Irr!BE6)),IF(AND(up_Irr!G6=".",up_Irr!AF6=".",up_Irr!BE6&lt;&gt;"."),up_dir!H6/((1/1000)*(up_Irr!BE6)),IF(AND(up_Irr!G6=".",up_Irr!AF6&lt;&gt;".",up_Irr!BE6="."),up_dir!H6/((1/1000)*(up_Irr!AF6)),IF(AND(up_Irr!G6&lt;&gt;".",up_Irr!AF6=".",up_Irr!BE6="."),up_dir!H6/((1/1000)*(up_Irr!G6)),IF(AND(up_Irr!G6=".",up_Irr!AF6=".",up_Irr!BE6="."),up_dir!H6*1000)))))))),".")</f>
        <v>6.5773651144152131E-4</v>
      </c>
      <c r="I6" s="70">
        <f>IFERROR(IF(AND(up_Irr!H6&lt;&gt;".",up_Irr!AG6&lt;&gt;".",up_Irr!BF6&lt;&gt;"."),up_dir!I6/((1/1000)*(up_Irr!H6+up_Irr!AG6+up_Irr!BF6)),IF(AND(up_Irr!H6&lt;&gt;".",up_Irr!AG6&lt;&gt;".",up_Irr!BF6="."),up_dir!I6/((1/1000)*(up_Irr!H6+up_Irr!AG6)),IF(AND(up_Irr!H6&lt;&gt;".",up_Irr!AG6=".",up_Irr!BF6&lt;&gt;"."),up_dir!I6/((1/1000)*(up_Irr!H6+up_Irr!BF6)),IF(AND(up_Irr!H6=".",up_Irr!AG6&lt;&gt;".",up_Irr!BF6&lt;&gt;"."),up_dir!I6/((1/1000)*(up_Irr!AG6+up_Irr!BF6)),IF(AND(up_Irr!H6=".",up_Irr!AG6=".",up_Irr!BF6&lt;&gt;"."),up_dir!I6/((1/1000)*(up_Irr!BF6)),IF(AND(up_Irr!H6=".",up_Irr!AG6&lt;&gt;".",up_Irr!BF6="."),up_dir!I6/((1/1000)*(up_Irr!AG6)),IF(AND(up_Irr!H6&lt;&gt;".",up_Irr!AG6=".",up_Irr!BF6="."),up_dir!I6/((1/1000)*(up_Irr!H6)),IF(AND(up_Irr!H6=".",up_Irr!AG6=".",up_Irr!BF6="."),up_dir!I6*1000)))))))),".")</f>
        <v>6.5773651144152131E-4</v>
      </c>
      <c r="J6" s="70">
        <f>IFERROR(IF(AND(up_Irr!I6&lt;&gt;".",up_Irr!AH6&lt;&gt;".",up_Irr!BG6&lt;&gt;"."),up_dir!J6/((1/1000)*(up_Irr!I6+up_Irr!AH6+up_Irr!BG6)),IF(AND(up_Irr!I6&lt;&gt;".",up_Irr!AH6&lt;&gt;".",up_Irr!BG6="."),up_dir!J6/((1/1000)*(up_Irr!I6+up_Irr!AH6)),IF(AND(up_Irr!I6&lt;&gt;".",up_Irr!AH6=".",up_Irr!BG6&lt;&gt;"."),up_dir!J6/((1/1000)*(up_Irr!I6+up_Irr!BG6)),IF(AND(up_Irr!I6=".",up_Irr!AH6&lt;&gt;".",up_Irr!BG6&lt;&gt;"."),up_dir!J6/((1/1000)*(up_Irr!AH6+up_Irr!BG6)),IF(AND(up_Irr!I6=".",up_Irr!AH6=".",up_Irr!BG6&lt;&gt;"."),up_dir!J6/((1/1000)*(up_Irr!BG6)),IF(AND(up_Irr!I6=".",up_Irr!AH6&lt;&gt;".",up_Irr!BG6="."),up_dir!J6/((1/1000)*(up_Irr!AH6)),IF(AND(up_Irr!I6&lt;&gt;".",up_Irr!AH6=".",up_Irr!BG6="."),up_dir!J6/((1/1000)*(up_Irr!I6)),IF(AND(up_Irr!I6=".",up_Irr!AH6=".",up_Irr!BG6="."),up_dir!J6*1000)))))))),".")</f>
        <v>6.5773651144152131E-4</v>
      </c>
      <c r="K6" s="70">
        <f>IFERROR(IF(AND(up_Irr!J6&lt;&gt;".",up_Irr!AI6&lt;&gt;".",up_Irr!BH6&lt;&gt;"."),up_dir!K6/((1/1000)*(up_Irr!J6+up_Irr!AI6+up_Irr!BH6)),IF(AND(up_Irr!J6&lt;&gt;".",up_Irr!AI6&lt;&gt;".",up_Irr!BH6="."),up_dir!K6/((1/1000)*(up_Irr!J6+up_Irr!AI6)),IF(AND(up_Irr!J6&lt;&gt;".",up_Irr!AI6=".",up_Irr!BH6&lt;&gt;"."),up_dir!K6/((1/1000)*(up_Irr!J6+up_Irr!BH6)),IF(AND(up_Irr!J6=".",up_Irr!AI6&lt;&gt;".",up_Irr!BH6&lt;&gt;"."),up_dir!K6/((1/1000)*(up_Irr!AI6+up_Irr!BH6)),IF(AND(up_Irr!J6=".",up_Irr!AI6=".",up_Irr!BH6&lt;&gt;"."),up_dir!K6/((1/1000)*(up_Irr!BH6)),IF(AND(up_Irr!J6=".",up_Irr!AI6&lt;&gt;".",up_Irr!BH6="."),up_dir!K6/((1/1000)*(up_Irr!AI6)),IF(AND(up_Irr!J6&lt;&gt;".",up_Irr!AI6=".",up_Irr!BH6="."),up_dir!K6/((1/1000)*(up_Irr!J6)),IF(AND(up_Irr!J6=".",up_Irr!AI6=".",up_Irr!BH6="."),up_dir!K6*1000)))))))),".")</f>
        <v>6.5773651144152131E-4</v>
      </c>
      <c r="L6" s="70">
        <f>IFERROR(IF(AND(up_Irr!K6&lt;&gt;".",up_Irr!AJ6&lt;&gt;".",up_Irr!BI6&lt;&gt;"."),up_dir!L6/((1/1000)*(up_Irr!K6+up_Irr!AJ6+up_Irr!BI6)),IF(AND(up_Irr!K6&lt;&gt;".",up_Irr!AJ6&lt;&gt;".",up_Irr!BI6="."),up_dir!L6/((1/1000)*(up_Irr!K6+up_Irr!AJ6)),IF(AND(up_Irr!K6&lt;&gt;".",up_Irr!AJ6=".",up_Irr!BI6&lt;&gt;"."),up_dir!L6/((1/1000)*(up_Irr!K6+up_Irr!BI6)),IF(AND(up_Irr!K6=".",up_Irr!AJ6&lt;&gt;".",up_Irr!BI6&lt;&gt;"."),up_dir!L6/((1/1000)*(up_Irr!AJ6+up_Irr!BI6)),IF(AND(up_Irr!K6=".",up_Irr!AJ6=".",up_Irr!BI6&lt;&gt;"."),up_dir!L6/((1/1000)*(up_Irr!BI6)),IF(AND(up_Irr!K6=".",up_Irr!AJ6&lt;&gt;".",up_Irr!BI6="."),up_dir!L6/((1/1000)*(up_Irr!AJ6)),IF(AND(up_Irr!K6&lt;&gt;".",up_Irr!AJ6=".",up_Irr!BI6="."),up_dir!L6/((1/1000)*(up_Irr!K6)),IF(AND(up_Irr!K6=".",up_Irr!AJ6=".",up_Irr!BI6="."),up_dir!L6*1000)))))))),".")</f>
        <v>6.5773651144152131E-4</v>
      </c>
      <c r="M6" s="70">
        <f>IFERROR(IF(AND(up_Irr!L6&lt;&gt;".",up_Irr!AK6&lt;&gt;".",up_Irr!BJ6&lt;&gt;"."),up_dir!M6/((1/1000)*(up_Irr!L6+up_Irr!AK6+up_Irr!BJ6)),IF(AND(up_Irr!L6&lt;&gt;".",up_Irr!AK6&lt;&gt;".",up_Irr!BJ6="."),up_dir!M6/((1/1000)*(up_Irr!L6+up_Irr!AK6)),IF(AND(up_Irr!L6&lt;&gt;".",up_Irr!AK6=".",up_Irr!BJ6&lt;&gt;"."),up_dir!M6/((1/1000)*(up_Irr!L6+up_Irr!BJ6)),IF(AND(up_Irr!L6=".",up_Irr!AK6&lt;&gt;".",up_Irr!BJ6&lt;&gt;"."),up_dir!M6/((1/1000)*(up_Irr!AK6+up_Irr!BJ6)),IF(AND(up_Irr!L6=".",up_Irr!AK6=".",up_Irr!BJ6&lt;&gt;"."),up_dir!M6/((1/1000)*(up_Irr!BJ6)),IF(AND(up_Irr!L6=".",up_Irr!AK6&lt;&gt;".",up_Irr!BJ6="."),up_dir!M6/((1/1000)*(up_Irr!AK6)),IF(AND(up_Irr!L6&lt;&gt;".",up_Irr!AK6=".",up_Irr!BJ6="."),up_dir!M6/((1/1000)*(up_Irr!L6)),IF(AND(up_Irr!L6=".",up_Irr!AK6=".",up_Irr!BJ6="."),up_dir!M6*1000)))))))),".")</f>
        <v>6.5773651144152131E-4</v>
      </c>
      <c r="N6" s="70">
        <f>IFERROR(IF(AND(up_Irr!M6&lt;&gt;".",up_Irr!AL6&lt;&gt;".",up_Irr!BK6&lt;&gt;"."),up_dir!N6/((1/1000)*(up_Irr!M6+up_Irr!AL6+up_Irr!BK6)),IF(AND(up_Irr!M6&lt;&gt;".",up_Irr!AL6&lt;&gt;".",up_Irr!BK6="."),up_dir!N6/((1/1000)*(up_Irr!M6+up_Irr!AL6)),IF(AND(up_Irr!M6&lt;&gt;".",up_Irr!AL6=".",up_Irr!BK6&lt;&gt;"."),up_dir!N6/((1/1000)*(up_Irr!M6+up_Irr!BK6)),IF(AND(up_Irr!M6=".",up_Irr!AL6&lt;&gt;".",up_Irr!BK6&lt;&gt;"."),up_dir!N6/((1/1000)*(up_Irr!AL6+up_Irr!BK6)),IF(AND(up_Irr!M6=".",up_Irr!AL6=".",up_Irr!BK6&lt;&gt;"."),up_dir!N6/((1/1000)*(up_Irr!BK6)),IF(AND(up_Irr!M6=".",up_Irr!AL6&lt;&gt;".",up_Irr!BK6="."),up_dir!N6/((1/1000)*(up_Irr!AL6)),IF(AND(up_Irr!M6&lt;&gt;".",up_Irr!AL6=".",up_Irr!BK6="."),up_dir!N6/((1/1000)*(up_Irr!M6)),IF(AND(up_Irr!M6=".",up_Irr!AL6=".",up_Irr!BK6="."),up_dir!N6*1000)))))))),".")</f>
        <v>6.5773651144152131E-4</v>
      </c>
      <c r="O6" s="70">
        <f>IFERROR(IF(AND(up_Irr!N6&lt;&gt;".",up_Irr!AM6&lt;&gt;".",up_Irr!BL6&lt;&gt;"."),up_dir!O6/((1/1000)*(up_Irr!N6+up_Irr!AM6+up_Irr!BL6)),IF(AND(up_Irr!N6&lt;&gt;".",up_Irr!AM6&lt;&gt;".",up_Irr!BL6="."),up_dir!O6/((1/1000)*(up_Irr!N6+up_Irr!AM6)),IF(AND(up_Irr!N6&lt;&gt;".",up_Irr!AM6=".",up_Irr!BL6&lt;&gt;"."),up_dir!O6/((1/1000)*(up_Irr!N6+up_Irr!BL6)),IF(AND(up_Irr!N6=".",up_Irr!AM6&lt;&gt;".",up_Irr!BL6&lt;&gt;"."),up_dir!O6/((1/1000)*(up_Irr!AM6+up_Irr!BL6)),IF(AND(up_Irr!N6=".",up_Irr!AM6=".",up_Irr!BL6&lt;&gt;"."),up_dir!O6/((1/1000)*(up_Irr!BL6)),IF(AND(up_Irr!N6=".",up_Irr!AM6&lt;&gt;".",up_Irr!BL6="."),up_dir!O6/((1/1000)*(up_Irr!AM6)),IF(AND(up_Irr!N6&lt;&gt;".",up_Irr!AM6=".",up_Irr!BL6="."),up_dir!O6/((1/1000)*(up_Irr!N6)),IF(AND(up_Irr!N6=".",up_Irr!AM6=".",up_Irr!BL6="."),up_dir!O6*1000)))))))),".")</f>
        <v>6.5773651144152131E-4</v>
      </c>
      <c r="P6" s="70">
        <f>IFERROR(IF(AND(up_Irr!O6&lt;&gt;".",up_Irr!AN6&lt;&gt;".",up_Irr!BM6&lt;&gt;"."),up_dir!P6/((1/1000)*(up_Irr!O6+up_Irr!AN6+up_Irr!BM6)),IF(AND(up_Irr!O6&lt;&gt;".",up_Irr!AN6&lt;&gt;".",up_Irr!BM6="."),up_dir!P6/((1/1000)*(up_Irr!O6+up_Irr!AN6)),IF(AND(up_Irr!O6&lt;&gt;".",up_Irr!AN6=".",up_Irr!BM6&lt;&gt;"."),up_dir!P6/((1/1000)*(up_Irr!O6+up_Irr!BM6)),IF(AND(up_Irr!O6=".",up_Irr!AN6&lt;&gt;".",up_Irr!BM6&lt;&gt;"."),up_dir!P6/((1/1000)*(up_Irr!AN6+up_Irr!BM6)),IF(AND(up_Irr!O6=".",up_Irr!AN6=".",up_Irr!BM6&lt;&gt;"."),up_dir!P6/((1/1000)*(up_Irr!BM6)),IF(AND(up_Irr!O6=".",up_Irr!AN6&lt;&gt;".",up_Irr!BM6="."),up_dir!P6/((1/1000)*(up_Irr!AN6)),IF(AND(up_Irr!O6&lt;&gt;".",up_Irr!AN6=".",up_Irr!BM6="."),up_dir!P6/((1/1000)*(up_Irr!O6)),IF(AND(up_Irr!O6=".",up_Irr!AN6=".",up_Irr!BM6="."),up_dir!P6*1000)))))))),".")</f>
        <v>6.5773651144152131E-4</v>
      </c>
      <c r="Q6" s="70">
        <f>IFERROR(IF(AND(up_Irr!P6&lt;&gt;".",up_Irr!AO6&lt;&gt;".",up_Irr!BN6&lt;&gt;"."),up_dir!Q6/((1/1000)*(up_Irr!P6+up_Irr!AO6+up_Irr!BN6)),IF(AND(up_Irr!P6&lt;&gt;".",up_Irr!AO6&lt;&gt;".",up_Irr!BN6="."),up_dir!Q6/((1/1000)*(up_Irr!P6+up_Irr!AO6)),IF(AND(up_Irr!P6&lt;&gt;".",up_Irr!AO6=".",up_Irr!BN6&lt;&gt;"."),up_dir!Q6/((1/1000)*(up_Irr!P6+up_Irr!BN6)),IF(AND(up_Irr!P6=".",up_Irr!AO6&lt;&gt;".",up_Irr!BN6&lt;&gt;"."),up_dir!Q6/((1/1000)*(up_Irr!AO6+up_Irr!BN6)),IF(AND(up_Irr!P6=".",up_Irr!AO6=".",up_Irr!BN6&lt;&gt;"."),up_dir!Q6/((1/1000)*(up_Irr!BN6)),IF(AND(up_Irr!P6=".",up_Irr!AO6&lt;&gt;".",up_Irr!BN6="."),up_dir!Q6/((1/1000)*(up_Irr!AO6)),IF(AND(up_Irr!P6&lt;&gt;".",up_Irr!AO6=".",up_Irr!BN6="."),up_dir!Q6/((1/1000)*(up_Irr!P6)),IF(AND(up_Irr!P6=".",up_Irr!AO6=".",up_Irr!BN6="."),up_dir!Q6*1000)))))))),".")</f>
        <v>6.5773651144152131E-4</v>
      </c>
      <c r="R6" s="70">
        <f>IFERROR(IF(AND(up_Irr!Q6&lt;&gt;".",up_Irr!AP6&lt;&gt;".",up_Irr!BO6&lt;&gt;"."),up_dir!R6/((1/1000)*(up_Irr!Q6+up_Irr!AP6+up_Irr!BO6)),IF(AND(up_Irr!Q6&lt;&gt;".",up_Irr!AP6&lt;&gt;".",up_Irr!BO6="."),up_dir!R6/((1/1000)*(up_Irr!Q6+up_Irr!AP6)),IF(AND(up_Irr!Q6&lt;&gt;".",up_Irr!AP6=".",up_Irr!BO6&lt;&gt;"."),up_dir!R6/((1/1000)*(up_Irr!Q6+up_Irr!BO6)),IF(AND(up_Irr!Q6=".",up_Irr!AP6&lt;&gt;".",up_Irr!BO6&lt;&gt;"."),up_dir!R6/((1/1000)*(up_Irr!AP6+up_Irr!BO6)),IF(AND(up_Irr!Q6=".",up_Irr!AP6=".",up_Irr!BO6&lt;&gt;"."),up_dir!R6/((1/1000)*(up_Irr!BO6)),IF(AND(up_Irr!Q6=".",up_Irr!AP6&lt;&gt;".",up_Irr!BO6="."),up_dir!R6/((1/1000)*(up_Irr!AP6)),IF(AND(up_Irr!Q6&lt;&gt;".",up_Irr!AP6=".",up_Irr!BO6="."),up_dir!R6/((1/1000)*(up_Irr!Q6)),IF(AND(up_Irr!Q6=".",up_Irr!AP6=".",up_Irr!BO6="."),up_dir!R6*1000)))))))),".")</f>
        <v>6.5773651144152131E-4</v>
      </c>
      <c r="S6" s="70">
        <f>IFERROR(IF(AND(up_Irr!R6&lt;&gt;".",up_Irr!AQ6&lt;&gt;".",up_Irr!BP6&lt;&gt;"."),up_dir!S6/((1/1000)*(up_Irr!R6+up_Irr!AQ6+up_Irr!BP6)),IF(AND(up_Irr!R6&lt;&gt;".",up_Irr!AQ6&lt;&gt;".",up_Irr!BP6="."),up_dir!S6/((1/1000)*(up_Irr!R6+up_Irr!AQ6)),IF(AND(up_Irr!R6&lt;&gt;".",up_Irr!AQ6=".",up_Irr!BP6&lt;&gt;"."),up_dir!S6/((1/1000)*(up_Irr!R6+up_Irr!BP6)),IF(AND(up_Irr!R6=".",up_Irr!AQ6&lt;&gt;".",up_Irr!BP6&lt;&gt;"."),up_dir!S6/((1/1000)*(up_Irr!AQ6+up_Irr!BP6)),IF(AND(up_Irr!R6=".",up_Irr!AQ6=".",up_Irr!BP6&lt;&gt;"."),up_dir!S6/((1/1000)*(up_Irr!BP6)),IF(AND(up_Irr!R6=".",up_Irr!AQ6&lt;&gt;".",up_Irr!BP6="."),up_dir!S6/((1/1000)*(up_Irr!AQ6)),IF(AND(up_Irr!R6&lt;&gt;".",up_Irr!AQ6=".",up_Irr!BP6="."),up_dir!S6/((1/1000)*(up_Irr!R6)),IF(AND(up_Irr!R6=".",up_Irr!AQ6=".",up_Irr!BP6="."),up_dir!S6*1000)))))))),".")</f>
        <v>6.5773651144152131E-4</v>
      </c>
      <c r="T6" s="70">
        <f>IFERROR(IF(AND(up_Irr!S6&lt;&gt;".",up_Irr!AR6&lt;&gt;".",up_Irr!BQ6&lt;&gt;"."),up_dir!T6/((1/1000)*(up_Irr!S6+up_Irr!AR6+up_Irr!BQ6)),IF(AND(up_Irr!S6&lt;&gt;".",up_Irr!AR6&lt;&gt;".",up_Irr!BQ6="."),up_dir!T6/((1/1000)*(up_Irr!S6+up_Irr!AR6)),IF(AND(up_Irr!S6&lt;&gt;".",up_Irr!AR6=".",up_Irr!BQ6&lt;&gt;"."),up_dir!T6/((1/1000)*(up_Irr!S6+up_Irr!BQ6)),IF(AND(up_Irr!S6=".",up_Irr!AR6&lt;&gt;".",up_Irr!BQ6&lt;&gt;"."),up_dir!T6/((1/1000)*(up_Irr!AR6+up_Irr!BQ6)),IF(AND(up_Irr!S6=".",up_Irr!AR6=".",up_Irr!BQ6&lt;&gt;"."),up_dir!T6/((1/1000)*(up_Irr!BQ6)),IF(AND(up_Irr!S6=".",up_Irr!AR6&lt;&gt;".",up_Irr!BQ6="."),up_dir!T6/((1/1000)*(up_Irr!AR6)),IF(AND(up_Irr!S6&lt;&gt;".",up_Irr!AR6=".",up_Irr!BQ6="."),up_dir!T6/((1/1000)*(up_Irr!S6)),IF(AND(up_Irr!S6=".",up_Irr!AR6=".",up_Irr!BQ6="."),up_dir!T6*1000)))))))),".")</f>
        <v>6.5773651144152131E-4</v>
      </c>
      <c r="U6" s="70">
        <f>IFERROR(IF(AND(up_Irr!T6&lt;&gt;".",up_Irr!AS6&lt;&gt;".",up_Irr!BR6&lt;&gt;"."),up_dir!U6/((1/1000)*(up_Irr!T6+up_Irr!AS6+up_Irr!BR6)),IF(AND(up_Irr!T6&lt;&gt;".",up_Irr!AS6&lt;&gt;".",up_Irr!BR6="."),up_dir!U6/((1/1000)*(up_Irr!T6+up_Irr!AS6)),IF(AND(up_Irr!T6&lt;&gt;".",up_Irr!AS6=".",up_Irr!BR6&lt;&gt;"."),up_dir!U6/((1/1000)*(up_Irr!T6+up_Irr!BR6)),IF(AND(up_Irr!T6=".",up_Irr!AS6&lt;&gt;".",up_Irr!BR6&lt;&gt;"."),up_dir!U6/((1/1000)*(up_Irr!AS6+up_Irr!BR6)),IF(AND(up_Irr!T6=".",up_Irr!AS6=".",up_Irr!BR6&lt;&gt;"."),up_dir!U6/((1/1000)*(up_Irr!BR6)),IF(AND(up_Irr!T6=".",up_Irr!AS6&lt;&gt;".",up_Irr!BR6="."),up_dir!U6/((1/1000)*(up_Irr!AS6)),IF(AND(up_Irr!T6&lt;&gt;".",up_Irr!AS6=".",up_Irr!BR6="."),up_dir!U6/((1/1000)*(up_Irr!T6)),IF(AND(up_Irr!T6=".",up_Irr!AS6=".",up_Irr!BR6="."),up_dir!U6*1000)))))))),".")</f>
        <v>6.5773651144152131E-4</v>
      </c>
      <c r="V6" s="70">
        <f>IFERROR(IF(AND(up_Irr!U6&lt;&gt;".",up_Irr!AT6&lt;&gt;".",up_Irr!BS6&lt;&gt;"."),up_dir!V6/((1/1000)*(up_Irr!U6+up_Irr!AT6+up_Irr!BS6)),IF(AND(up_Irr!U6&lt;&gt;".",up_Irr!AT6&lt;&gt;".",up_Irr!BS6="."),up_dir!V6/((1/1000)*(up_Irr!U6+up_Irr!AT6)),IF(AND(up_Irr!U6&lt;&gt;".",up_Irr!AT6=".",up_Irr!BS6&lt;&gt;"."),up_dir!V6/((1/1000)*(up_Irr!U6+up_Irr!BS6)),IF(AND(up_Irr!U6=".",up_Irr!AT6&lt;&gt;".",up_Irr!BS6&lt;&gt;"."),up_dir!V6/((1/1000)*(up_Irr!AT6+up_Irr!BS6)),IF(AND(up_Irr!U6=".",up_Irr!AT6=".",up_Irr!BS6&lt;&gt;"."),up_dir!V6/((1/1000)*(up_Irr!BS6)),IF(AND(up_Irr!U6=".",up_Irr!AT6&lt;&gt;".",up_Irr!BS6="."),up_dir!V6/((1/1000)*(up_Irr!AT6)),IF(AND(up_Irr!U6&lt;&gt;".",up_Irr!AT6=".",up_Irr!BS6="."),up_dir!V6/((1/1000)*(up_Irr!U6)),IF(AND(up_Irr!U6=".",up_Irr!AT6=".",up_Irr!BS6="."),up_dir!V6*1000)))))))),".")</f>
        <v>6.5773651144152131E-4</v>
      </c>
      <c r="W6" s="70">
        <f>IFERROR(IF(AND(up_Irr!V6&lt;&gt;".",up_Irr!AU6&lt;&gt;".",up_Irr!BT6&lt;&gt;"."),up_dir!W6/((1/1000)*(up_Irr!V6+up_Irr!AU6+up_Irr!BT6)),IF(AND(up_Irr!V6&lt;&gt;".",up_Irr!AU6&lt;&gt;".",up_Irr!BT6="."),up_dir!W6/((1/1000)*(up_Irr!V6+up_Irr!AU6)),IF(AND(up_Irr!V6&lt;&gt;".",up_Irr!AU6=".",up_Irr!BT6&lt;&gt;"."),up_dir!W6/((1/1000)*(up_Irr!V6+up_Irr!BT6)),IF(AND(up_Irr!V6=".",up_Irr!AU6&lt;&gt;".",up_Irr!BT6&lt;&gt;"."),up_dir!W6/((1/1000)*(up_Irr!AU6+up_Irr!BT6)),IF(AND(up_Irr!V6=".",up_Irr!AU6=".",up_Irr!BT6&lt;&gt;"."),up_dir!W6/((1/1000)*(up_Irr!BT6)),IF(AND(up_Irr!V6=".",up_Irr!AU6&lt;&gt;".",up_Irr!BT6="."),up_dir!W6/((1/1000)*(up_Irr!AU6)),IF(AND(up_Irr!V6&lt;&gt;".",up_Irr!AU6=".",up_Irr!BT6="."),up_dir!W6/((1/1000)*(up_Irr!V6)),IF(AND(up_Irr!V6=".",up_Irr!AU6=".",up_Irr!BT6="."),up_dir!W6*1000)))))))),".")</f>
        <v>6.5773651144152131E-4</v>
      </c>
      <c r="X6" s="70">
        <f>IFERROR(IF(AND(up_Irr!W6&lt;&gt;".",up_Irr!AV6&lt;&gt;".",up_Irr!BU6&lt;&gt;"."),up_dir!X6/((1/1000)*(up_Irr!W6+up_Irr!AV6+up_Irr!BU6)),IF(AND(up_Irr!W6&lt;&gt;".",up_Irr!AV6&lt;&gt;".",up_Irr!BU6="."),up_dir!X6/((1/1000)*(up_Irr!W6+up_Irr!AV6)),IF(AND(up_Irr!W6&lt;&gt;".",up_Irr!AV6=".",up_Irr!BU6&lt;&gt;"."),up_dir!X6/((1/1000)*(up_Irr!W6+up_Irr!BU6)),IF(AND(up_Irr!W6=".",up_Irr!AV6&lt;&gt;".",up_Irr!BU6&lt;&gt;"."),up_dir!X6/((1/1000)*(up_Irr!AV6+up_Irr!BU6)),IF(AND(up_Irr!W6=".",up_Irr!AV6=".",up_Irr!BU6&lt;&gt;"."),up_dir!X6/((1/1000)*(up_Irr!BU6)),IF(AND(up_Irr!W6=".",up_Irr!AV6&lt;&gt;".",up_Irr!BU6="."),up_dir!X6/((1/1000)*(up_Irr!AV6)),IF(AND(up_Irr!W6&lt;&gt;".",up_Irr!AV6=".",up_Irr!BU6="."),up_dir!X6/((1/1000)*(up_Irr!W6)),IF(AND(up_Irr!W6=".",up_Irr!AV6=".",up_Irr!BU6="."),up_dir!X6*1000)))))))),".")</f>
        <v>6.5773651144152131E-4</v>
      </c>
      <c r="Y6" s="70">
        <f>IFERROR(IF(AND(up_Irr!X6&lt;&gt;".",up_Irr!AW6&lt;&gt;".",up_Irr!BV6&lt;&gt;"."),up_dir!Y6/((1/1000)*(up_Irr!X6+up_Irr!AW6+up_Irr!BV6)),IF(AND(up_Irr!X6&lt;&gt;".",up_Irr!AW6&lt;&gt;".",up_Irr!BV6="."),up_dir!Y6/((1/1000)*(up_Irr!X6+up_Irr!AW6)),IF(AND(up_Irr!X6&lt;&gt;".",up_Irr!AW6=".",up_Irr!BV6&lt;&gt;"."),up_dir!Y6/((1/1000)*(up_Irr!X6+up_Irr!BV6)),IF(AND(up_Irr!X6=".",up_Irr!AW6&lt;&gt;".",up_Irr!BV6&lt;&gt;"."),up_dir!Y6/((1/1000)*(up_Irr!AW6+up_Irr!BV6)),IF(AND(up_Irr!X6=".",up_Irr!AW6=".",up_Irr!BV6&lt;&gt;"."),up_dir!Y6/((1/1000)*(up_Irr!BV6)),IF(AND(up_Irr!X6=".",up_Irr!AW6&lt;&gt;".",up_Irr!BV6="."),up_dir!Y6/((1/1000)*(up_Irr!AW6)),IF(AND(up_Irr!X6&lt;&gt;".",up_Irr!AW6=".",up_Irr!BV6="."),up_dir!Y6/((1/1000)*(up_Irr!X6)),IF(AND(up_Irr!X6=".",up_Irr!AW6=".",up_Irr!BV6="."),up_dir!Y6*1000)))))))),".")</f>
        <v>6.5773651144152131E-4</v>
      </c>
      <c r="Z6" s="70">
        <f>IFERROR(IF(AND(up_Irr!Y6&lt;&gt;".",up_Irr!AX6&lt;&gt;".",up_Irr!BW6&lt;&gt;"."),up_dir!Z6/((1/1000)*(up_Irr!Y6+up_Irr!AX6+up_Irr!BW6)),IF(AND(up_Irr!Y6&lt;&gt;".",up_Irr!AX6&lt;&gt;".",up_Irr!BW6="."),up_dir!Z6/((1/1000)*(up_Irr!Y6+up_Irr!AX6)),IF(AND(up_Irr!Y6&lt;&gt;".",up_Irr!AX6=".",up_Irr!BW6&lt;&gt;"."),up_dir!Z6/((1/1000)*(up_Irr!Y6+up_Irr!BW6)),IF(AND(up_Irr!Y6=".",up_Irr!AX6&lt;&gt;".",up_Irr!BW6&lt;&gt;"."),up_dir!Z6/((1/1000)*(up_Irr!AX6+up_Irr!BW6)),IF(AND(up_Irr!Y6=".",up_Irr!AX6=".",up_Irr!BW6&lt;&gt;"."),up_dir!Z6/((1/1000)*(up_Irr!BW6)),IF(AND(up_Irr!Y6=".",up_Irr!AX6&lt;&gt;".",up_Irr!BW6="."),up_dir!Z6/((1/1000)*(up_Irr!AX6)),IF(AND(up_Irr!Y6&lt;&gt;".",up_Irr!AX6=".",up_Irr!BW6="."),up_dir!Z6/((1/1000)*(up_Irr!Y6)),IF(AND(up_Irr!Y6=".",up_Irr!AX6=".",up_Irr!BW6="."),up_dir!Z6*1000)))))))),".")</f>
        <v>6.5773651144152131E-4</v>
      </c>
      <c r="AA6" s="70">
        <f>IFERROR(IF(AND(up_Irr!Z6&lt;&gt;".",up_Irr!AY6&lt;&gt;".",up_Irr!BX6&lt;&gt;"."),up_dir!AA6/((1/1000)*(up_Irr!Z6+up_Irr!AY6+up_Irr!BX6)),IF(AND(up_Irr!Z6&lt;&gt;".",up_Irr!AY6&lt;&gt;".",up_Irr!BX6="."),up_dir!AA6/((1/1000)*(up_Irr!Z6+up_Irr!AY6)),IF(AND(up_Irr!Z6&lt;&gt;".",up_Irr!AY6=".",up_Irr!BX6&lt;&gt;"."),up_dir!AA6/((1/1000)*(up_Irr!Z6+up_Irr!BX6)),IF(AND(up_Irr!Z6=".",up_Irr!AY6&lt;&gt;".",up_Irr!BX6&lt;&gt;"."),up_dir!AA6/((1/1000)*(up_Irr!AY6+up_Irr!BX6)),IF(AND(up_Irr!Z6=".",up_Irr!AY6=".",up_Irr!BX6&lt;&gt;"."),up_dir!AA6/((1/1000)*(up_Irr!BX6)),IF(AND(up_Irr!Z6=".",up_Irr!AY6&lt;&gt;".",up_Irr!BX6="."),up_dir!AA6/((1/1000)*(up_Irr!AY6)),IF(AND(up_Irr!Z6&lt;&gt;".",up_Irr!AY6=".",up_Irr!BX6="."),up_dir!AA6/((1/1000)*(up_Irr!Z6)),IF(AND(up_Irr!Z6=".",up_Irr!AY6=".",up_Irr!BX6="."),up_dir!AA6*1000)))))))),".")</f>
        <v>6.5773651144152131E-4</v>
      </c>
      <c r="AB6" s="70">
        <f>IFERROR(IF(AND(up_Irr!AA6&lt;&gt;".",up_Irr!AZ6&lt;&gt;".",up_Irr!BY6&lt;&gt;"."),up_dir!AB6/((1/1000)*(up_Irr!AA6+up_Irr!AZ6+up_Irr!BY6)),IF(AND(up_Irr!AA6&lt;&gt;".",up_Irr!AZ6&lt;&gt;".",up_Irr!BY6="."),up_dir!AB6/((1/1000)*(up_Irr!AA6+up_Irr!AZ6)),IF(AND(up_Irr!AA6&lt;&gt;".",up_Irr!AZ6=".",up_Irr!BY6&lt;&gt;"."),up_dir!AB6/((1/1000)*(up_Irr!AA6+up_Irr!BY6)),IF(AND(up_Irr!AA6=".",up_Irr!AZ6&lt;&gt;".",up_Irr!BY6&lt;&gt;"."),up_dir!AB6/((1/1000)*(up_Irr!AZ6+up_Irr!BY6)),IF(AND(up_Irr!AA6=".",up_Irr!AZ6=".",up_Irr!BY6&lt;&gt;"."),up_dir!AB6/((1/1000)*(up_Irr!BY6)),IF(AND(up_Irr!AA6=".",up_Irr!AZ6&lt;&gt;".",up_Irr!BY6="."),up_dir!AB6/((1/1000)*(up_Irr!AZ6)),IF(AND(up_Irr!AA6&lt;&gt;".",up_Irr!AZ6=".",up_Irr!BY6="."),up_dir!AB6/((1/1000)*(up_Irr!AA6)),IF(AND(up_Irr!AA6=".",up_Irr!AZ6=".",up_Irr!BY6="."),up_dir!AB6*1000)))))))),".")</f>
        <v>6.5773651144152131E-4</v>
      </c>
      <c r="AC6" s="87">
        <f t="shared" si="1"/>
        <v>30407.313038114935</v>
      </c>
      <c r="AD6" s="87">
        <f>IFERROR(s_C*s_IFAP_res_adj*s_CF_apple*0.001*(up_Irr!C6+up_Irr!AB6+up_Irr!BA6),".")</f>
        <v>7601.8282595287337</v>
      </c>
      <c r="AE6" s="87">
        <f>IFERROR(s_C*s_IFAS_res_adj*s_CF_asparagus*0.001*(up_Irr!D6+up_Irr!AC6+up_Irr!BB6),".")</f>
        <v>7601.8282595287337</v>
      </c>
      <c r="AF6" s="87">
        <f>IFERROR(s_C*s_IFBT_res_adj*s_CF_beet*0.001*(up_Irr!E6+up_Irr!AD6+up_Irr!BC6),".")</f>
        <v>7601.8282595287337</v>
      </c>
      <c r="AG6" s="87">
        <f>IFERROR(s_C*s_IFBE_res_adj*s_CF_berries*0.001*(up_Irr!F6+up_Irr!AE6+up_Irr!BD6),".")</f>
        <v>7601.8282595287337</v>
      </c>
      <c r="AH6" s="87">
        <f>IFERROR(s_C*s_IFBR_res_adj*s_CF_broccoli*0.001*(up_Irr!G6+up_Irr!AF6+up_Irr!BE6),".")</f>
        <v>7601.8282595287337</v>
      </c>
      <c r="AI6" s="87">
        <f>IFERROR(s_C*s_IFCB_res_adj*s_CF_cabbage*0.001*(up_Irr!H6+up_Irr!AG6+up_Irr!BF6),".")</f>
        <v>7601.8282595287337</v>
      </c>
      <c r="AJ6" s="87">
        <f>IFERROR(s_C*s_IFCR_res_adj*s_CF_carrot*0.001*(up_Irr!I6+up_Irr!AH6+up_Irr!BG6),".")</f>
        <v>7601.8282595287337</v>
      </c>
      <c r="AK6" s="87">
        <f>IFERROR(s_C*s_IFCI_res_adj*s_CF_citrus*0.001*(up_Irr!J6+up_Irr!AI6+up_Irr!BH6),".")</f>
        <v>7601.8282595287337</v>
      </c>
      <c r="AL6" s="87">
        <f>IFERROR(s_C*s_IFCO_res_adj*s_CF_corn*0.001*(up_Irr!K6+up_Irr!AJ6+up_Irr!BI6),".")</f>
        <v>7601.8282595287337</v>
      </c>
      <c r="AM6" s="87">
        <f>IFERROR(s_C*s_IFCU_res_adj*s_CF_cucumber*0.001*(up_Irr!L6+up_Irr!AK6+up_Irr!BJ6),".")</f>
        <v>7601.8282595287337</v>
      </c>
      <c r="AN6" s="87">
        <f>IFERROR(s_C*s_IFLE_res_adj*s_CF_lettuce*0.001*(up_Irr!M6+up_Irr!AL6+up_Irr!BK6),".")</f>
        <v>7601.8282595287337</v>
      </c>
      <c r="AO6" s="87">
        <f>IFERROR(s_C*s_IFLI_res_adj*s_CF_lima_bean*0.001*(up_Irr!N6+up_Irr!AM6+up_Irr!BL6),".")</f>
        <v>7601.8282595287337</v>
      </c>
      <c r="AP6" s="87">
        <f>IFERROR(s_C*s_IFOK_res_adj*s_CF_okra*0.001*(up_Irr!O6+up_Irr!AN6+up_Irr!BM6),".")</f>
        <v>7601.8282595287337</v>
      </c>
      <c r="AQ6" s="87">
        <f>IFERROR(s_C*s_IFON_res_adj*s_CF_onion*0.001*(up_Irr!P6+up_Irr!AO6+up_Irr!BN6),".")</f>
        <v>7601.8282595287337</v>
      </c>
      <c r="AR6" s="87">
        <f>IFERROR(s_C*s_IFPC_res_adj*s_CF_peach*0.001*(up_Irr!Q6+up_Irr!AP6+up_Irr!BO6),".")</f>
        <v>7601.8282595287337</v>
      </c>
      <c r="AS6" s="87">
        <f>IFERROR(s_C*s_IFPR_res_adj*s_CF_pear*0.001*(up_Irr!R6+up_Irr!AQ6+up_Irr!BP6),".")</f>
        <v>7601.8282595287337</v>
      </c>
      <c r="AT6" s="87">
        <f>IFERROR(s_C*s_IFPE_res_adj*s_CF_peas*0.001*(up_Irr!S6+up_Irr!AR6+up_Irr!BQ6),".")</f>
        <v>7601.8282595287337</v>
      </c>
      <c r="AU6" s="87">
        <f>IFERROR(s_C*s_IFPP_res_adj*s_CF_peppers*0.001*(up_Irr!T6+up_Irr!AS6+up_Irr!BR6),".")</f>
        <v>7601.8282595287337</v>
      </c>
      <c r="AV6" s="87">
        <f>IFERROR(s_C*s_IFPT_res_adj*s_CF_potato*0.001*(up_Irr!U6+up_Irr!AT6+up_Irr!BS6),".")</f>
        <v>7601.8282595287337</v>
      </c>
      <c r="AW6" s="87">
        <f>IFERROR(s_C*s_IFPU_res_adj*s_CF_pumpkin*0.001*(up_Irr!V6+up_Irr!AU6+up_Irr!BT6),".")</f>
        <v>7601.8282595287337</v>
      </c>
      <c r="AX6" s="87">
        <f>IFERROR(s_C*s_IFSN_res_adj*s_CF_snap_bean*0.001*(up_Irr!W6+up_Irr!AV6+up_Irr!BU6),".")</f>
        <v>7601.8282595287337</v>
      </c>
      <c r="AY6" s="87">
        <f>IFERROR(s_C*s_IFST_res_adj*s_CF_strawberry*0.001*(up_Irr!X6+up_Irr!AW6+up_Irr!BV6),".")</f>
        <v>7601.8282595287337</v>
      </c>
      <c r="AZ6" s="87">
        <f>IFERROR(s_C*s_IFTO_res_adj*s_CF_tomato*0.001*(up_Irr!Y6+up_Irr!AX6+up_Irr!BW6),".")</f>
        <v>7601.8282595287337</v>
      </c>
      <c r="BA6" s="87">
        <f>IFERROR(s_C*s_IFRI_res_adj*s_CF_rice*0.001*(up_Irr!Z6+up_Irr!AY6+up_Irr!BX6),".")</f>
        <v>7601.8282595287337</v>
      </c>
      <c r="BB6" s="87">
        <f>IFERROR(s_C*s_IFCG_res_adj*s_CF_cereal*0.001*(up_Irr!AA6+up_Irr!AZ6+up_Irr!BY6),".")</f>
        <v>7601.8282595287337</v>
      </c>
      <c r="BC6" s="70">
        <f t="shared" si="2"/>
        <v>1.6443412786038033E-4</v>
      </c>
      <c r="BD6" s="70">
        <f>IFERROR(IF(AND(up_Irr!C6&lt;&gt;".",up_Irr!AB6&lt;&gt;".",up_Irr!BA6&lt;&gt;"."),up_dir!AD6/((1/1000)*(up_Irr!C6+up_Irr!AB6+up_Irr!BA6)),IF(AND(up_Irr!C6&lt;&gt;".",up_Irr!AB6&lt;&gt;".",up_Irr!BA6="."),up_dir!AD6/((1/1000)*(up_Irr!C6+up_Irr!AB6)),IF(AND(up_Irr!C6&lt;&gt;".",up_Irr!AB6=".",up_Irr!BA6&lt;&gt;"."),up_dir!AD6/((1/1000)*(up_Irr!C6+up_Irr!BA6)),IF(AND(up_Irr!C6=".",up_Irr!AB6&lt;&gt;".",up_Irr!BA6&lt;&gt;"."),up_dir!AD6/((1/1000)*(up_Irr!AB6+up_Irr!BA6)),IF(AND(up_Irr!C6=".",up_Irr!AB6=".",up_Irr!BA6&lt;&gt;"."),up_dir!AD6/((1/1000)*(up_Irr!BA6)),IF(AND(up_Irr!C6=".",up_Irr!AB6&lt;&gt;".",up_Irr!BA6="."),up_dir!AD6/((1/1000)*(up_Irr!AB6)),IF(AND(up_Irr!C6&lt;&gt;".",up_Irr!AB6=".",up_Irr!BA6="."),up_dir!AD6/((1/1000)*(up_Irr!C6)),IF(AND(up_Irr!C6=".",up_Irr!AB6=".",up_Irr!BA6="."),up_dir!AD6*1000)))))))),".")</f>
        <v>6.5773651144152131E-4</v>
      </c>
      <c r="BE6" s="70">
        <f>IFERROR(IF(AND(up_Irr!D6&lt;&gt;".",up_Irr!AC6&lt;&gt;".",up_Irr!BB6&lt;&gt;"."),up_dir!AE6/((1/1000)*(up_Irr!D6+up_Irr!AC6+up_Irr!BB6)),IF(AND(up_Irr!D6&lt;&gt;".",up_Irr!AC6&lt;&gt;".",up_Irr!BB6="."),up_dir!AE6/((1/1000)*(up_Irr!D6+up_Irr!AC6)),IF(AND(up_Irr!D6&lt;&gt;".",up_Irr!AC6=".",up_Irr!BB6&lt;&gt;"."),up_dir!AE6/((1/1000)*(up_Irr!D6+up_Irr!BB6)),IF(AND(up_Irr!D6=".",up_Irr!AC6&lt;&gt;".",up_Irr!BB6&lt;&gt;"."),up_dir!AE6/((1/1000)*(up_Irr!AC6+up_Irr!BB6)),IF(AND(up_Irr!D6=".",up_Irr!AC6=".",up_Irr!BB6&lt;&gt;"."),up_dir!AE6/((1/1000)*(up_Irr!BB6)),IF(AND(up_Irr!D6=".",up_Irr!AC6&lt;&gt;".",up_Irr!BB6="."),up_dir!AE6/((1/1000)*(up_Irr!AC6)),IF(AND(up_Irr!D6&lt;&gt;".",up_Irr!AC6=".",up_Irr!BB6="."),up_dir!AE6/((1/1000)*(up_Irr!D6)),IF(AND(up_Irr!D6=".",up_Irr!AC6=".",up_Irr!BB6="."),up_dir!AE6*1000)))))))),".")</f>
        <v>6.5773651144152131E-4</v>
      </c>
      <c r="BF6" s="70">
        <f>IFERROR(IF(AND(up_Irr!E6&lt;&gt;".",up_Irr!AD6&lt;&gt;".",up_Irr!BC6&lt;&gt;"."),up_dir!AF6/((1/1000)*(up_Irr!E6+up_Irr!AD6+up_Irr!BC6)),IF(AND(up_Irr!E6&lt;&gt;".",up_Irr!AD6&lt;&gt;".",up_Irr!BC6="."),up_dir!AF6/((1/1000)*(up_Irr!E6+up_Irr!AD6)),IF(AND(up_Irr!E6&lt;&gt;".",up_Irr!AD6=".",up_Irr!BC6&lt;&gt;"."),up_dir!AF6/((1/1000)*(up_Irr!E6+up_Irr!BC6)),IF(AND(up_Irr!E6=".",up_Irr!AD6&lt;&gt;".",up_Irr!BC6&lt;&gt;"."),up_dir!AF6/((1/1000)*(up_Irr!AD6+up_Irr!BC6)),IF(AND(up_Irr!E6=".",up_Irr!AD6=".",up_Irr!BC6&lt;&gt;"."),up_dir!AF6/((1/1000)*(up_Irr!BC6)),IF(AND(up_Irr!E6=".",up_Irr!AD6&lt;&gt;".",up_Irr!BC6="."),up_dir!AF6/((1/1000)*(up_Irr!AD6)),IF(AND(up_Irr!E6&lt;&gt;".",up_Irr!AD6=".",up_Irr!BC6="."),up_dir!AF6/((1/1000)*(up_Irr!E6)),IF(AND(up_Irr!E6=".",up_Irr!AD6=".",up_Irr!BC6="."),up_dir!AF6*1000)))))))),".")</f>
        <v>6.5773651144152131E-4</v>
      </c>
      <c r="BG6" s="70">
        <f>IFERROR(IF(AND(up_Irr!F6&lt;&gt;".",up_Irr!AE6&lt;&gt;".",up_Irr!BD6&lt;&gt;"."),up_dir!AG6/((1/1000)*(up_Irr!F6+up_Irr!AE6+up_Irr!BD6)),IF(AND(up_Irr!F6&lt;&gt;".",up_Irr!AE6&lt;&gt;".",up_Irr!BD6="."),up_dir!AG6/((1/1000)*(up_Irr!F6+up_Irr!AE6)),IF(AND(up_Irr!F6&lt;&gt;".",up_Irr!AE6=".",up_Irr!BD6&lt;&gt;"."),up_dir!AG6/((1/1000)*(up_Irr!F6+up_Irr!BD6)),IF(AND(up_Irr!F6=".",up_Irr!AE6&lt;&gt;".",up_Irr!BD6&lt;&gt;"."),up_dir!AG6/((1/1000)*(up_Irr!AE6+up_Irr!BD6)),IF(AND(up_Irr!F6=".",up_Irr!AE6=".",up_Irr!BD6&lt;&gt;"."),up_dir!AG6/((1/1000)*(up_Irr!BD6)),IF(AND(up_Irr!F6=".",up_Irr!AE6&lt;&gt;".",up_Irr!BD6="."),up_dir!AG6/((1/1000)*(up_Irr!AE6)),IF(AND(up_Irr!F6&lt;&gt;".",up_Irr!AE6=".",up_Irr!BD6="."),up_dir!AG6/((1/1000)*(up_Irr!F6)),IF(AND(up_Irr!F6=".",up_Irr!AE6=".",up_Irr!BD6="."),up_dir!AG6*1000)))))))),".")</f>
        <v>6.5773651144152131E-4</v>
      </c>
      <c r="BH6" s="70">
        <f>IFERROR(IF(AND(up_Irr!G6&lt;&gt;".",up_Irr!AF6&lt;&gt;".",up_Irr!BE6&lt;&gt;"."),up_dir!AH6/((1/1000)*(up_Irr!G6+up_Irr!AF6+up_Irr!BE6)),IF(AND(up_Irr!G6&lt;&gt;".",up_Irr!AF6&lt;&gt;".",up_Irr!BE6="."),up_dir!AH6/((1/1000)*(up_Irr!G6+up_Irr!AF6)),IF(AND(up_Irr!G6&lt;&gt;".",up_Irr!AF6=".",up_Irr!BE6&lt;&gt;"."),up_dir!AH6/((1/1000)*(up_Irr!G6+up_Irr!BE6)),IF(AND(up_Irr!G6=".",up_Irr!AF6&lt;&gt;".",up_Irr!BE6&lt;&gt;"."),up_dir!AH6/((1/1000)*(up_Irr!AF6+up_Irr!BE6)),IF(AND(up_Irr!G6=".",up_Irr!AF6=".",up_Irr!BE6&lt;&gt;"."),up_dir!AH6/((1/1000)*(up_Irr!BE6)),IF(AND(up_Irr!G6=".",up_Irr!AF6&lt;&gt;".",up_Irr!BE6="."),up_dir!AH6/((1/1000)*(up_Irr!AF6)),IF(AND(up_Irr!G6&lt;&gt;".",up_Irr!AF6=".",up_Irr!BE6="."),up_dir!AH6/((1/1000)*(up_Irr!G6)),IF(AND(up_Irr!G6=".",up_Irr!AF6=".",up_Irr!BE6="."),up_dir!AH6*1000)))))))),".")</f>
        <v>6.5773651144152131E-4</v>
      </c>
      <c r="BI6" s="70">
        <f>IFERROR(IF(AND(up_Irr!H6&lt;&gt;".",up_Irr!AG6&lt;&gt;".",up_Irr!BF6&lt;&gt;"."),up_dir!AI6/((1/1000)*(up_Irr!H6+up_Irr!AG6+up_Irr!BF6)),IF(AND(up_Irr!H6&lt;&gt;".",up_Irr!AG6&lt;&gt;".",up_Irr!BF6="."),up_dir!AI6/((1/1000)*(up_Irr!H6+up_Irr!AG6)),IF(AND(up_Irr!H6&lt;&gt;".",up_Irr!AG6=".",up_Irr!BF6&lt;&gt;"."),up_dir!AI6/((1/1000)*(up_Irr!H6+up_Irr!BF6)),IF(AND(up_Irr!H6=".",up_Irr!AG6&lt;&gt;".",up_Irr!BF6&lt;&gt;"."),up_dir!AI6/((1/1000)*(up_Irr!AG6+up_Irr!BF6)),IF(AND(up_Irr!H6=".",up_Irr!AG6=".",up_Irr!BF6&lt;&gt;"."),up_dir!AI6/((1/1000)*(up_Irr!BF6)),IF(AND(up_Irr!H6=".",up_Irr!AG6&lt;&gt;".",up_Irr!BF6="."),up_dir!AI6/((1/1000)*(up_Irr!AG6)),IF(AND(up_Irr!H6&lt;&gt;".",up_Irr!AG6=".",up_Irr!BF6="."),up_dir!AI6/((1/1000)*(up_Irr!H6)),IF(AND(up_Irr!H6=".",up_Irr!AG6=".",up_Irr!BF6="."),up_dir!AI6*1000)))))))),".")</f>
        <v>6.5773651144152131E-4</v>
      </c>
      <c r="BJ6" s="70">
        <f>IFERROR(IF(AND(up_Irr!I6&lt;&gt;".",up_Irr!AH6&lt;&gt;".",up_Irr!BG6&lt;&gt;"."),up_dir!AJ6/((1/1000)*(up_Irr!I6+up_Irr!AH6+up_Irr!BG6)),IF(AND(up_Irr!I6&lt;&gt;".",up_Irr!AH6&lt;&gt;".",up_Irr!BG6="."),up_dir!AJ6/((1/1000)*(up_Irr!I6+up_Irr!AH6)),IF(AND(up_Irr!I6&lt;&gt;".",up_Irr!AH6=".",up_Irr!BG6&lt;&gt;"."),up_dir!AJ6/((1/1000)*(up_Irr!I6+up_Irr!BG6)),IF(AND(up_Irr!I6=".",up_Irr!AH6&lt;&gt;".",up_Irr!BG6&lt;&gt;"."),up_dir!AJ6/((1/1000)*(up_Irr!AH6+up_Irr!BG6)),IF(AND(up_Irr!I6=".",up_Irr!AH6=".",up_Irr!BG6&lt;&gt;"."),up_dir!AJ6/((1/1000)*(up_Irr!BG6)),IF(AND(up_Irr!I6=".",up_Irr!AH6&lt;&gt;".",up_Irr!BG6="."),up_dir!AJ6/((1/1000)*(up_Irr!AH6)),IF(AND(up_Irr!I6&lt;&gt;".",up_Irr!AH6=".",up_Irr!BG6="."),up_dir!AJ6/((1/1000)*(up_Irr!I6)),IF(AND(up_Irr!I6=".",up_Irr!AH6=".",up_Irr!BG6="."),up_dir!AJ6*1000)))))))),".")</f>
        <v>6.5773651144152131E-4</v>
      </c>
      <c r="BK6" s="70">
        <f>IFERROR(IF(AND(up_Irr!J6&lt;&gt;".",up_Irr!AI6&lt;&gt;".",up_Irr!BH6&lt;&gt;"."),up_dir!AK6/((1/1000)*(up_Irr!J6+up_Irr!AI6+up_Irr!BH6)),IF(AND(up_Irr!J6&lt;&gt;".",up_Irr!AI6&lt;&gt;".",up_Irr!BH6="."),up_dir!AK6/((1/1000)*(up_Irr!J6+up_Irr!AI6)),IF(AND(up_Irr!J6&lt;&gt;".",up_Irr!AI6=".",up_Irr!BH6&lt;&gt;"."),up_dir!AK6/((1/1000)*(up_Irr!J6+up_Irr!BH6)),IF(AND(up_Irr!J6=".",up_Irr!AI6&lt;&gt;".",up_Irr!BH6&lt;&gt;"."),up_dir!AK6/((1/1000)*(up_Irr!AI6+up_Irr!BH6)),IF(AND(up_Irr!J6=".",up_Irr!AI6=".",up_Irr!BH6&lt;&gt;"."),up_dir!AK6/((1/1000)*(up_Irr!BH6)),IF(AND(up_Irr!J6=".",up_Irr!AI6&lt;&gt;".",up_Irr!BH6="."),up_dir!AK6/((1/1000)*(up_Irr!AI6)),IF(AND(up_Irr!J6&lt;&gt;".",up_Irr!AI6=".",up_Irr!BH6="."),up_dir!AK6/((1/1000)*(up_Irr!J6)),IF(AND(up_Irr!J6=".",up_Irr!AI6=".",up_Irr!BH6="."),up_dir!AK6*1000)))))))),".")</f>
        <v>6.5773651144152131E-4</v>
      </c>
      <c r="BL6" s="70">
        <f>IFERROR(IF(AND(up_Irr!K6&lt;&gt;".",up_Irr!AJ6&lt;&gt;".",up_Irr!BI6&lt;&gt;"."),up_dir!AL6/((1/1000)*(up_Irr!K6+up_Irr!AJ6+up_Irr!BI6)),IF(AND(up_Irr!K6&lt;&gt;".",up_Irr!AJ6&lt;&gt;".",up_Irr!BI6="."),up_dir!AL6/((1/1000)*(up_Irr!K6+up_Irr!AJ6)),IF(AND(up_Irr!K6&lt;&gt;".",up_Irr!AJ6=".",up_Irr!BI6&lt;&gt;"."),up_dir!AL6/((1/1000)*(up_Irr!K6+up_Irr!BI6)),IF(AND(up_Irr!K6=".",up_Irr!AJ6&lt;&gt;".",up_Irr!BI6&lt;&gt;"."),up_dir!AL6/((1/1000)*(up_Irr!AJ6+up_Irr!BI6)),IF(AND(up_Irr!K6=".",up_Irr!AJ6=".",up_Irr!BI6&lt;&gt;"."),up_dir!AL6/((1/1000)*(up_Irr!BI6)),IF(AND(up_Irr!K6=".",up_Irr!AJ6&lt;&gt;".",up_Irr!BI6="."),up_dir!AL6/((1/1000)*(up_Irr!AJ6)),IF(AND(up_Irr!K6&lt;&gt;".",up_Irr!AJ6=".",up_Irr!BI6="."),up_dir!AL6/((1/1000)*(up_Irr!K6)),IF(AND(up_Irr!K6=".",up_Irr!AJ6=".",up_Irr!BI6="."),up_dir!AL6*1000)))))))),".")</f>
        <v>6.5773651144152131E-4</v>
      </c>
      <c r="BM6" s="70">
        <f>IFERROR(IF(AND(up_Irr!L6&lt;&gt;".",up_Irr!AK6&lt;&gt;".",up_Irr!BJ6&lt;&gt;"."),up_dir!AM6/((1/1000)*(up_Irr!L6+up_Irr!AK6+up_Irr!BJ6)),IF(AND(up_Irr!L6&lt;&gt;".",up_Irr!AK6&lt;&gt;".",up_Irr!BJ6="."),up_dir!AM6/((1/1000)*(up_Irr!L6+up_Irr!AK6)),IF(AND(up_Irr!L6&lt;&gt;".",up_Irr!AK6=".",up_Irr!BJ6&lt;&gt;"."),up_dir!AM6/((1/1000)*(up_Irr!L6+up_Irr!BJ6)),IF(AND(up_Irr!L6=".",up_Irr!AK6&lt;&gt;".",up_Irr!BJ6&lt;&gt;"."),up_dir!AM6/((1/1000)*(up_Irr!AK6+up_Irr!BJ6)),IF(AND(up_Irr!L6=".",up_Irr!AK6=".",up_Irr!BJ6&lt;&gt;"."),up_dir!AM6/((1/1000)*(up_Irr!BJ6)),IF(AND(up_Irr!L6=".",up_Irr!AK6&lt;&gt;".",up_Irr!BJ6="."),up_dir!AM6/((1/1000)*(up_Irr!AK6)),IF(AND(up_Irr!L6&lt;&gt;".",up_Irr!AK6=".",up_Irr!BJ6="."),up_dir!AM6/((1/1000)*(up_Irr!L6)),IF(AND(up_Irr!L6=".",up_Irr!AK6=".",up_Irr!BJ6="."),up_dir!AM6*1000)))))))),".")</f>
        <v>6.5773651144152131E-4</v>
      </c>
      <c r="BN6" s="70">
        <f>IFERROR(IF(AND(up_Irr!M6&lt;&gt;".",up_Irr!AL6&lt;&gt;".",up_Irr!BK6&lt;&gt;"."),up_dir!AN6/((1/1000)*(up_Irr!M6+up_Irr!AL6+up_Irr!BK6)),IF(AND(up_Irr!M6&lt;&gt;".",up_Irr!AL6&lt;&gt;".",up_Irr!BK6="."),up_dir!AN6/((1/1000)*(up_Irr!M6+up_Irr!AL6)),IF(AND(up_Irr!M6&lt;&gt;".",up_Irr!AL6=".",up_Irr!BK6&lt;&gt;"."),up_dir!AN6/((1/1000)*(up_Irr!M6+up_Irr!BK6)),IF(AND(up_Irr!M6=".",up_Irr!AL6&lt;&gt;".",up_Irr!BK6&lt;&gt;"."),up_dir!AN6/((1/1000)*(up_Irr!AL6+up_Irr!BK6)),IF(AND(up_Irr!M6=".",up_Irr!AL6=".",up_Irr!BK6&lt;&gt;"."),up_dir!AN6/((1/1000)*(up_Irr!BK6)),IF(AND(up_Irr!M6=".",up_Irr!AL6&lt;&gt;".",up_Irr!BK6="."),up_dir!AN6/((1/1000)*(up_Irr!AL6)),IF(AND(up_Irr!M6&lt;&gt;".",up_Irr!AL6=".",up_Irr!BK6="."),up_dir!AN6/((1/1000)*(up_Irr!M6)),IF(AND(up_Irr!M6=".",up_Irr!AL6=".",up_Irr!BK6="."),up_dir!AN6*1000)))))))),".")</f>
        <v>6.5773651144152131E-4</v>
      </c>
      <c r="BO6" s="70">
        <f>IFERROR(IF(AND(up_Irr!N6&lt;&gt;".",up_Irr!AM6&lt;&gt;".",up_Irr!BL6&lt;&gt;"."),up_dir!AO6/((1/1000)*(up_Irr!N6+up_Irr!AM6+up_Irr!BL6)),IF(AND(up_Irr!N6&lt;&gt;".",up_Irr!AM6&lt;&gt;".",up_Irr!BL6="."),up_dir!AO6/((1/1000)*(up_Irr!N6+up_Irr!AM6)),IF(AND(up_Irr!N6&lt;&gt;".",up_Irr!AM6=".",up_Irr!BL6&lt;&gt;"."),up_dir!AO6/((1/1000)*(up_Irr!N6+up_Irr!BL6)),IF(AND(up_Irr!N6=".",up_Irr!AM6&lt;&gt;".",up_Irr!BL6&lt;&gt;"."),up_dir!AO6/((1/1000)*(up_Irr!AM6+up_Irr!BL6)),IF(AND(up_Irr!N6=".",up_Irr!AM6=".",up_Irr!BL6&lt;&gt;"."),up_dir!AO6/((1/1000)*(up_Irr!BL6)),IF(AND(up_Irr!N6=".",up_Irr!AM6&lt;&gt;".",up_Irr!BL6="."),up_dir!AO6/((1/1000)*(up_Irr!AM6)),IF(AND(up_Irr!N6&lt;&gt;".",up_Irr!AM6=".",up_Irr!BL6="."),up_dir!AO6/((1/1000)*(up_Irr!N6)),IF(AND(up_Irr!N6=".",up_Irr!AM6=".",up_Irr!BL6="."),up_dir!AO6*1000)))))))),".")</f>
        <v>6.5773651144152131E-4</v>
      </c>
      <c r="BP6" s="70">
        <f>IFERROR(IF(AND(up_Irr!O6&lt;&gt;".",up_Irr!AN6&lt;&gt;".",up_Irr!BM6&lt;&gt;"."),up_dir!AP6/((1/1000)*(up_Irr!O6+up_Irr!AN6+up_Irr!BM6)),IF(AND(up_Irr!O6&lt;&gt;".",up_Irr!AN6&lt;&gt;".",up_Irr!BM6="."),up_dir!AP6/((1/1000)*(up_Irr!O6+up_Irr!AN6)),IF(AND(up_Irr!O6&lt;&gt;".",up_Irr!AN6=".",up_Irr!BM6&lt;&gt;"."),up_dir!AP6/((1/1000)*(up_Irr!O6+up_Irr!BM6)),IF(AND(up_Irr!O6=".",up_Irr!AN6&lt;&gt;".",up_Irr!BM6&lt;&gt;"."),up_dir!AP6/((1/1000)*(up_Irr!AN6+up_Irr!BM6)),IF(AND(up_Irr!O6=".",up_Irr!AN6=".",up_Irr!BM6&lt;&gt;"."),up_dir!AP6/((1/1000)*(up_Irr!BM6)),IF(AND(up_Irr!O6=".",up_Irr!AN6&lt;&gt;".",up_Irr!BM6="."),up_dir!AP6/((1/1000)*(up_Irr!AN6)),IF(AND(up_Irr!O6&lt;&gt;".",up_Irr!AN6=".",up_Irr!BM6="."),up_dir!AP6/((1/1000)*(up_Irr!O6)),IF(AND(up_Irr!O6=".",up_Irr!AN6=".",up_Irr!BM6="."),up_dir!AP6*1000)))))))),".")</f>
        <v>6.5773651144152131E-4</v>
      </c>
      <c r="BQ6" s="70">
        <f>IFERROR(IF(AND(up_Irr!P6&lt;&gt;".",up_Irr!AO6&lt;&gt;".",up_Irr!BN6&lt;&gt;"."),up_dir!AQ6/((1/1000)*(up_Irr!P6+up_Irr!AO6+up_Irr!BN6)),IF(AND(up_Irr!P6&lt;&gt;".",up_Irr!AO6&lt;&gt;".",up_Irr!BN6="."),up_dir!AQ6/((1/1000)*(up_Irr!P6+up_Irr!AO6)),IF(AND(up_Irr!P6&lt;&gt;".",up_Irr!AO6=".",up_Irr!BN6&lt;&gt;"."),up_dir!AQ6/((1/1000)*(up_Irr!P6+up_Irr!BN6)),IF(AND(up_Irr!P6=".",up_Irr!AO6&lt;&gt;".",up_Irr!BN6&lt;&gt;"."),up_dir!AQ6/((1/1000)*(up_Irr!AO6+up_Irr!BN6)),IF(AND(up_Irr!P6=".",up_Irr!AO6=".",up_Irr!BN6&lt;&gt;"."),up_dir!AQ6/((1/1000)*(up_Irr!BN6)),IF(AND(up_Irr!P6=".",up_Irr!AO6&lt;&gt;".",up_Irr!BN6="."),up_dir!AQ6/((1/1000)*(up_Irr!AO6)),IF(AND(up_Irr!P6&lt;&gt;".",up_Irr!AO6=".",up_Irr!BN6="."),up_dir!AQ6/((1/1000)*(up_Irr!P6)),IF(AND(up_Irr!P6=".",up_Irr!AO6=".",up_Irr!BN6="."),up_dir!AQ6*1000)))))))),".")</f>
        <v>6.5773651144152131E-4</v>
      </c>
      <c r="BR6" s="70">
        <f>IFERROR(IF(AND(up_Irr!Q6&lt;&gt;".",up_Irr!AP6&lt;&gt;".",up_Irr!BO6&lt;&gt;"."),up_dir!AR6/((1/1000)*(up_Irr!Q6+up_Irr!AP6+up_Irr!BO6)),IF(AND(up_Irr!Q6&lt;&gt;".",up_Irr!AP6&lt;&gt;".",up_Irr!BO6="."),up_dir!AR6/((1/1000)*(up_Irr!Q6+up_Irr!AP6)),IF(AND(up_Irr!Q6&lt;&gt;".",up_Irr!AP6=".",up_Irr!BO6&lt;&gt;"."),up_dir!AR6/((1/1000)*(up_Irr!Q6+up_Irr!BO6)),IF(AND(up_Irr!Q6=".",up_Irr!AP6&lt;&gt;".",up_Irr!BO6&lt;&gt;"."),up_dir!AR6/((1/1000)*(up_Irr!AP6+up_Irr!BO6)),IF(AND(up_Irr!Q6=".",up_Irr!AP6=".",up_Irr!BO6&lt;&gt;"."),up_dir!AR6/((1/1000)*(up_Irr!BO6)),IF(AND(up_Irr!Q6=".",up_Irr!AP6&lt;&gt;".",up_Irr!BO6="."),up_dir!AR6/((1/1000)*(up_Irr!AP6)),IF(AND(up_Irr!Q6&lt;&gt;".",up_Irr!AP6=".",up_Irr!BO6="."),up_dir!AR6/((1/1000)*(up_Irr!Q6)),IF(AND(up_Irr!Q6=".",up_Irr!AP6=".",up_Irr!BO6="."),up_dir!AR6*1000)))))))),".")</f>
        <v>6.5773651144152131E-4</v>
      </c>
      <c r="BS6" s="70">
        <f>IFERROR(IF(AND(up_Irr!R6&lt;&gt;".",up_Irr!AQ6&lt;&gt;".",up_Irr!BP6&lt;&gt;"."),up_dir!AS6/((1/1000)*(up_Irr!R6+up_Irr!AQ6+up_Irr!BP6)),IF(AND(up_Irr!R6&lt;&gt;".",up_Irr!AQ6&lt;&gt;".",up_Irr!BP6="."),up_dir!AS6/((1/1000)*(up_Irr!R6+up_Irr!AQ6)),IF(AND(up_Irr!R6&lt;&gt;".",up_Irr!AQ6=".",up_Irr!BP6&lt;&gt;"."),up_dir!AS6/((1/1000)*(up_Irr!R6+up_Irr!BP6)),IF(AND(up_Irr!R6=".",up_Irr!AQ6&lt;&gt;".",up_Irr!BP6&lt;&gt;"."),up_dir!AS6/((1/1000)*(up_Irr!AQ6+up_Irr!BP6)),IF(AND(up_Irr!R6=".",up_Irr!AQ6=".",up_Irr!BP6&lt;&gt;"."),up_dir!AS6/((1/1000)*(up_Irr!BP6)),IF(AND(up_Irr!R6=".",up_Irr!AQ6&lt;&gt;".",up_Irr!BP6="."),up_dir!AS6/((1/1000)*(up_Irr!AQ6)),IF(AND(up_Irr!R6&lt;&gt;".",up_Irr!AQ6=".",up_Irr!BP6="."),up_dir!AS6/((1/1000)*(up_Irr!R6)),IF(AND(up_Irr!R6=".",up_Irr!AQ6=".",up_Irr!BP6="."),up_dir!AS6*1000)))))))),".")</f>
        <v>6.5773651144152131E-4</v>
      </c>
      <c r="BT6" s="70">
        <f>IFERROR(IF(AND(up_Irr!S6&lt;&gt;".",up_Irr!AR6&lt;&gt;".",up_Irr!BQ6&lt;&gt;"."),up_dir!AT6/((1/1000)*(up_Irr!S6+up_Irr!AR6+up_Irr!BQ6)),IF(AND(up_Irr!S6&lt;&gt;".",up_Irr!AR6&lt;&gt;".",up_Irr!BQ6="."),up_dir!AT6/((1/1000)*(up_Irr!S6+up_Irr!AR6)),IF(AND(up_Irr!S6&lt;&gt;".",up_Irr!AR6=".",up_Irr!BQ6&lt;&gt;"."),up_dir!AT6/((1/1000)*(up_Irr!S6+up_Irr!BQ6)),IF(AND(up_Irr!S6=".",up_Irr!AR6&lt;&gt;".",up_Irr!BQ6&lt;&gt;"."),up_dir!AT6/((1/1000)*(up_Irr!AR6+up_Irr!BQ6)),IF(AND(up_Irr!S6=".",up_Irr!AR6=".",up_Irr!BQ6&lt;&gt;"."),up_dir!AT6/((1/1000)*(up_Irr!BQ6)),IF(AND(up_Irr!S6=".",up_Irr!AR6&lt;&gt;".",up_Irr!BQ6="."),up_dir!AT6/((1/1000)*(up_Irr!AR6)),IF(AND(up_Irr!S6&lt;&gt;".",up_Irr!AR6=".",up_Irr!BQ6="."),up_dir!AT6/((1/1000)*(up_Irr!S6)),IF(AND(up_Irr!S6=".",up_Irr!AR6=".",up_Irr!BQ6="."),up_dir!AT6*1000)))))))),".")</f>
        <v>6.5773651144152131E-4</v>
      </c>
      <c r="BU6" s="70">
        <f>IFERROR(IF(AND(up_Irr!T6&lt;&gt;".",up_Irr!AS6&lt;&gt;".",up_Irr!BR6&lt;&gt;"."),up_dir!AU6/((1/1000)*(up_Irr!T6+up_Irr!AS6+up_Irr!BR6)),IF(AND(up_Irr!T6&lt;&gt;".",up_Irr!AS6&lt;&gt;".",up_Irr!BR6="."),up_dir!AU6/((1/1000)*(up_Irr!T6+up_Irr!AS6)),IF(AND(up_Irr!T6&lt;&gt;".",up_Irr!AS6=".",up_Irr!BR6&lt;&gt;"."),up_dir!AU6/((1/1000)*(up_Irr!T6+up_Irr!BR6)),IF(AND(up_Irr!T6=".",up_Irr!AS6&lt;&gt;".",up_Irr!BR6&lt;&gt;"."),up_dir!AU6/((1/1000)*(up_Irr!AS6+up_Irr!BR6)),IF(AND(up_Irr!T6=".",up_Irr!AS6=".",up_Irr!BR6&lt;&gt;"."),up_dir!AU6/((1/1000)*(up_Irr!BR6)),IF(AND(up_Irr!T6=".",up_Irr!AS6&lt;&gt;".",up_Irr!BR6="."),up_dir!AU6/((1/1000)*(up_Irr!AS6)),IF(AND(up_Irr!T6&lt;&gt;".",up_Irr!AS6=".",up_Irr!BR6="."),up_dir!AU6/((1/1000)*(up_Irr!T6)),IF(AND(up_Irr!T6=".",up_Irr!AS6=".",up_Irr!BR6="."),up_dir!AU6*1000)))))))),".")</f>
        <v>6.5773651144152131E-4</v>
      </c>
      <c r="BV6" s="70">
        <f>IFERROR(IF(AND(up_Irr!U6&lt;&gt;".",up_Irr!AT6&lt;&gt;".",up_Irr!BS6&lt;&gt;"."),up_dir!AV6/((1/1000)*(up_Irr!U6+up_Irr!AT6+up_Irr!BS6)),IF(AND(up_Irr!U6&lt;&gt;".",up_Irr!AT6&lt;&gt;".",up_Irr!BS6="."),up_dir!AV6/((1/1000)*(up_Irr!U6+up_Irr!AT6)),IF(AND(up_Irr!U6&lt;&gt;".",up_Irr!AT6=".",up_Irr!BS6&lt;&gt;"."),up_dir!AV6/((1/1000)*(up_Irr!U6+up_Irr!BS6)),IF(AND(up_Irr!U6=".",up_Irr!AT6&lt;&gt;".",up_Irr!BS6&lt;&gt;"."),up_dir!AV6/((1/1000)*(up_Irr!AT6+up_Irr!BS6)),IF(AND(up_Irr!U6=".",up_Irr!AT6=".",up_Irr!BS6&lt;&gt;"."),up_dir!AV6/((1/1000)*(up_Irr!BS6)),IF(AND(up_Irr!U6=".",up_Irr!AT6&lt;&gt;".",up_Irr!BS6="."),up_dir!AV6/((1/1000)*(up_Irr!AT6)),IF(AND(up_Irr!U6&lt;&gt;".",up_Irr!AT6=".",up_Irr!BS6="."),up_dir!AV6/((1/1000)*(up_Irr!U6)),IF(AND(up_Irr!U6=".",up_Irr!AT6=".",up_Irr!BS6="."),up_dir!AV6*1000)))))))),".")</f>
        <v>6.5773651144152131E-4</v>
      </c>
      <c r="BW6" s="70">
        <f>IFERROR(IF(AND(up_Irr!V6&lt;&gt;".",up_Irr!AU6&lt;&gt;".",up_Irr!BT6&lt;&gt;"."),up_dir!AW6/((1/1000)*(up_Irr!V6+up_Irr!AU6+up_Irr!BT6)),IF(AND(up_Irr!V6&lt;&gt;".",up_Irr!AU6&lt;&gt;".",up_Irr!BT6="."),up_dir!AW6/((1/1000)*(up_Irr!V6+up_Irr!AU6)),IF(AND(up_Irr!V6&lt;&gt;".",up_Irr!AU6=".",up_Irr!BT6&lt;&gt;"."),up_dir!AW6/((1/1000)*(up_Irr!V6+up_Irr!BT6)),IF(AND(up_Irr!V6=".",up_Irr!AU6&lt;&gt;".",up_Irr!BT6&lt;&gt;"."),up_dir!AW6/((1/1000)*(up_Irr!AU6+up_Irr!BT6)),IF(AND(up_Irr!V6=".",up_Irr!AU6=".",up_Irr!BT6&lt;&gt;"."),up_dir!AW6/((1/1000)*(up_Irr!BT6)),IF(AND(up_Irr!V6=".",up_Irr!AU6&lt;&gt;".",up_Irr!BT6="."),up_dir!AW6/((1/1000)*(up_Irr!AU6)),IF(AND(up_Irr!V6&lt;&gt;".",up_Irr!AU6=".",up_Irr!BT6="."),up_dir!AW6/((1/1000)*(up_Irr!V6)),IF(AND(up_Irr!V6=".",up_Irr!AU6=".",up_Irr!BT6="."),up_dir!AW6*1000)))))))),".")</f>
        <v>6.5773651144152131E-4</v>
      </c>
      <c r="BX6" s="70">
        <f>IFERROR(IF(AND(up_Irr!W6&lt;&gt;".",up_Irr!AV6&lt;&gt;".",up_Irr!BU6&lt;&gt;"."),up_dir!AX6/((1/1000)*(up_Irr!W6+up_Irr!AV6+up_Irr!BU6)),IF(AND(up_Irr!W6&lt;&gt;".",up_Irr!AV6&lt;&gt;".",up_Irr!BU6="."),up_dir!AX6/((1/1000)*(up_Irr!W6+up_Irr!AV6)),IF(AND(up_Irr!W6&lt;&gt;".",up_Irr!AV6=".",up_Irr!BU6&lt;&gt;"."),up_dir!AX6/((1/1000)*(up_Irr!W6+up_Irr!BU6)),IF(AND(up_Irr!W6=".",up_Irr!AV6&lt;&gt;".",up_Irr!BU6&lt;&gt;"."),up_dir!AX6/((1/1000)*(up_Irr!AV6+up_Irr!BU6)),IF(AND(up_Irr!W6=".",up_Irr!AV6=".",up_Irr!BU6&lt;&gt;"."),up_dir!AX6/((1/1000)*(up_Irr!BU6)),IF(AND(up_Irr!W6=".",up_Irr!AV6&lt;&gt;".",up_Irr!BU6="."),up_dir!AX6/((1/1000)*(up_Irr!AV6)),IF(AND(up_Irr!W6&lt;&gt;".",up_Irr!AV6=".",up_Irr!BU6="."),up_dir!AX6/((1/1000)*(up_Irr!W6)),IF(AND(up_Irr!W6=".",up_Irr!AV6=".",up_Irr!BU6="."),up_dir!AX6*1000)))))))),".")</f>
        <v>6.5773651144152131E-4</v>
      </c>
      <c r="BY6" s="70">
        <f>IFERROR(IF(AND(up_Irr!X6&lt;&gt;".",up_Irr!AW6&lt;&gt;".",up_Irr!BV6&lt;&gt;"."),up_dir!AY6/((1/1000)*(up_Irr!X6+up_Irr!AW6+up_Irr!BV6)),IF(AND(up_Irr!X6&lt;&gt;".",up_Irr!AW6&lt;&gt;".",up_Irr!BV6="."),up_dir!AY6/((1/1000)*(up_Irr!X6+up_Irr!AW6)),IF(AND(up_Irr!X6&lt;&gt;".",up_Irr!AW6=".",up_Irr!BV6&lt;&gt;"."),up_dir!AY6/((1/1000)*(up_Irr!X6+up_Irr!BV6)),IF(AND(up_Irr!X6=".",up_Irr!AW6&lt;&gt;".",up_Irr!BV6&lt;&gt;"."),up_dir!AY6/((1/1000)*(up_Irr!AW6+up_Irr!BV6)),IF(AND(up_Irr!X6=".",up_Irr!AW6=".",up_Irr!BV6&lt;&gt;"."),up_dir!AY6/((1/1000)*(up_Irr!BV6)),IF(AND(up_Irr!X6=".",up_Irr!AW6&lt;&gt;".",up_Irr!BV6="."),up_dir!AY6/((1/1000)*(up_Irr!AW6)),IF(AND(up_Irr!X6&lt;&gt;".",up_Irr!AW6=".",up_Irr!BV6="."),up_dir!AY6/((1/1000)*(up_Irr!X6)),IF(AND(up_Irr!X6=".",up_Irr!AW6=".",up_Irr!BV6="."),up_dir!AY6*1000)))))))),".")</f>
        <v>6.5773651144152131E-4</v>
      </c>
      <c r="BZ6" s="70">
        <f>IFERROR(IF(AND(up_Irr!Y6&lt;&gt;".",up_Irr!AX6&lt;&gt;".",up_Irr!BW6&lt;&gt;"."),up_dir!AZ6/((1/1000)*(up_Irr!Y6+up_Irr!AX6+up_Irr!BW6)),IF(AND(up_Irr!Y6&lt;&gt;".",up_Irr!AX6&lt;&gt;".",up_Irr!BW6="."),up_dir!AZ6/((1/1000)*(up_Irr!Y6+up_Irr!AX6)),IF(AND(up_Irr!Y6&lt;&gt;".",up_Irr!AX6=".",up_Irr!BW6&lt;&gt;"."),up_dir!AZ6/((1/1000)*(up_Irr!Y6+up_Irr!BW6)),IF(AND(up_Irr!Y6=".",up_Irr!AX6&lt;&gt;".",up_Irr!BW6&lt;&gt;"."),up_dir!AZ6/((1/1000)*(up_Irr!AX6+up_Irr!BW6)),IF(AND(up_Irr!Y6=".",up_Irr!AX6=".",up_Irr!BW6&lt;&gt;"."),up_dir!AZ6/((1/1000)*(up_Irr!BW6)),IF(AND(up_Irr!Y6=".",up_Irr!AX6&lt;&gt;".",up_Irr!BW6="."),up_dir!AZ6/((1/1000)*(up_Irr!AX6)),IF(AND(up_Irr!Y6&lt;&gt;".",up_Irr!AX6=".",up_Irr!BW6="."),up_dir!AZ6/((1/1000)*(up_Irr!Y6)),IF(AND(up_Irr!Y6=".",up_Irr!AX6=".",up_Irr!BW6="."),up_dir!AZ6*1000)))))))),".")</f>
        <v>6.5773651144152131E-4</v>
      </c>
      <c r="CA6" s="70">
        <f>IFERROR(IF(AND(up_Irr!Z6&lt;&gt;".",up_Irr!AY6&lt;&gt;".",up_Irr!BX6&lt;&gt;"."),up_dir!BA6/((1/1000)*(up_Irr!Z6+up_Irr!AY6+up_Irr!BX6)),IF(AND(up_Irr!Z6&lt;&gt;".",up_Irr!AY6&lt;&gt;".",up_Irr!BX6="."),up_dir!BA6/((1/1000)*(up_Irr!Z6+up_Irr!AY6)),IF(AND(up_Irr!Z6&lt;&gt;".",up_Irr!AY6=".",up_Irr!BX6&lt;&gt;"."),up_dir!BA6/((1/1000)*(up_Irr!Z6+up_Irr!BX6)),IF(AND(up_Irr!Z6=".",up_Irr!AY6&lt;&gt;".",up_Irr!BX6&lt;&gt;"."),up_dir!BA6/((1/1000)*(up_Irr!AY6+up_Irr!BX6)),IF(AND(up_Irr!Z6=".",up_Irr!AY6=".",up_Irr!BX6&lt;&gt;"."),up_dir!BA6/((1/1000)*(up_Irr!BX6)),IF(AND(up_Irr!Z6=".",up_Irr!AY6&lt;&gt;".",up_Irr!BX6="."),up_dir!BA6/((1/1000)*(up_Irr!AY6)),IF(AND(up_Irr!Z6&lt;&gt;".",up_Irr!AY6=".",up_Irr!BX6="."),up_dir!BA6/((1/1000)*(up_Irr!Z6)),IF(AND(up_Irr!Z6=".",up_Irr!AY6=".",up_Irr!BX6="."),up_dir!BA6*1000)))))))),".")</f>
        <v>6.5773651144152131E-4</v>
      </c>
      <c r="CB6" s="70">
        <f>IFERROR(IF(AND(up_Irr!AA6&lt;&gt;".",up_Irr!AZ6&lt;&gt;".",up_Irr!BY6&lt;&gt;"."),up_dir!BB6/((1/1000)*(up_Irr!AA6+up_Irr!AZ6+up_Irr!BY6)),IF(AND(up_Irr!AA6&lt;&gt;".",up_Irr!AZ6&lt;&gt;".",up_Irr!BY6="."),up_dir!BB6/((1/1000)*(up_Irr!AA6+up_Irr!AZ6)),IF(AND(up_Irr!AA6&lt;&gt;".",up_Irr!AZ6=".",up_Irr!BY6&lt;&gt;"."),up_dir!BB6/((1/1000)*(up_Irr!AA6+up_Irr!BY6)),IF(AND(up_Irr!AA6=".",up_Irr!AZ6&lt;&gt;".",up_Irr!BY6&lt;&gt;"."),up_dir!BB6/((1/1000)*(up_Irr!AZ6+up_Irr!BY6)),IF(AND(up_Irr!AA6=".",up_Irr!AZ6=".",up_Irr!BY6&lt;&gt;"."),up_dir!BB6/((1/1000)*(up_Irr!BY6)),IF(AND(up_Irr!AA6=".",up_Irr!AZ6&lt;&gt;".",up_Irr!BY6="."),up_dir!BB6/((1/1000)*(up_Irr!AZ6)),IF(AND(up_Irr!AA6&lt;&gt;".",up_Irr!AZ6=".",up_Irr!BY6="."),up_dir!BB6/((1/1000)*(up_Irr!AA6)),IF(AND(up_Irr!AA6=".",up_Irr!AZ6=".",up_Irr!BY6="."),up_dir!BB6*1000)))))))),".")</f>
        <v>6.5773651144152131E-4</v>
      </c>
      <c r="CC6" s="87">
        <f t="shared" si="3"/>
        <v>30407.313038114935</v>
      </c>
      <c r="CD6" s="87">
        <f>IFERROR(s_C*s_IFAP_far_adj*s_CF_apple*(1/1000)*(up_Irr!C6+up_Irr!AB6+up_Irr!BA6),".")</f>
        <v>7601.8282595287337</v>
      </c>
      <c r="CE6" s="87">
        <f>IFERROR(s_C*s_IFAS_far_adj*s_CF_asparagus*(1/1000)*(up_Irr!D6+up_Irr!AC6+up_Irr!BB6),".")</f>
        <v>7601.8282595287337</v>
      </c>
      <c r="CF6" s="87">
        <f>IFERROR(s_C*s_IFBT_far_adj*s_CF_beet*(1/1000)*(up_Irr!E6+up_Irr!AD6+up_Irr!BC6),".")</f>
        <v>7601.8282595287337</v>
      </c>
      <c r="CG6" s="87">
        <f>IFERROR(s_C*s_IFBE_far_adj*s_CF_berries*(1/1000)*(up_Irr!F6+up_Irr!AE6+up_Irr!BD6),".")</f>
        <v>7601.8282595287337</v>
      </c>
      <c r="CH6" s="87">
        <f>IFERROR(s_C*s_IFBR_far_adj*s_CF_broccoli*(1/1000)*(up_Irr!G6+up_Irr!AF6+up_Irr!BE6),".")</f>
        <v>7601.8282595287337</v>
      </c>
      <c r="CI6" s="87">
        <f>IFERROR(s_C*s_IFCB_far_adj*s_CF_cabbage*(1/1000)*(up_Irr!H6+up_Irr!AG6+up_Irr!BF6),".")</f>
        <v>7601.8282595287337</v>
      </c>
      <c r="CJ6" s="87">
        <f>IFERROR(s_C*s_IFCR_far_adj*s_CF_carrot*(1/1000)*(up_Irr!I6+up_Irr!AH6+up_Irr!BG6),".")</f>
        <v>7601.8282595287337</v>
      </c>
      <c r="CK6" s="87">
        <f>IFERROR(s_C*s_IFCI_far_adj*s_CF_citrus*(1/1000)*(up_Irr!J6+up_Irr!AI6+up_Irr!BH6),".")</f>
        <v>7601.8282595287337</v>
      </c>
      <c r="CL6" s="87">
        <f>IFERROR(s_C*s_IFCO_far_adj*s_CF_corn*(1/1000)*(up_Irr!K6+up_Irr!AJ6+up_Irr!BI6),".")</f>
        <v>7601.8282595287337</v>
      </c>
      <c r="CM6" s="87">
        <f>IFERROR(s_C*s_IFCU_far_adj*s_CF_cucumber*(1/1000)*(up_Irr!L6+up_Irr!AK6+up_Irr!BJ6),".")</f>
        <v>7601.8282595287337</v>
      </c>
      <c r="CN6" s="87">
        <f>IFERROR(s_C*s_IFLE_far_adj*s_CF_lettuce*(1/1000)*(up_Irr!M6+up_Irr!AL6+up_Irr!BK6),".")</f>
        <v>7601.8282595287337</v>
      </c>
      <c r="CO6" s="87">
        <f>IFERROR(s_C*s_IFLI_far_adj*s_CF_lima_bean*(1/1000)*(up_Irr!N6+up_Irr!AM6+up_Irr!BL6),".")</f>
        <v>7601.8282595287337</v>
      </c>
      <c r="CP6" s="87">
        <f>IFERROR(s_C*s_IFOK_far_adj*s_CF_okra*(1/1000)*(up_Irr!O6+up_Irr!AN6+up_Irr!BM6),".")</f>
        <v>7601.8282595287337</v>
      </c>
      <c r="CQ6" s="87">
        <f>IFERROR(s_C*s_IFON_far_adj*s_CF_onion*(1/1000)*(up_Irr!P6+up_Irr!AO6+up_Irr!BN6),".")</f>
        <v>7601.8282595287337</v>
      </c>
      <c r="CR6" s="87">
        <f>IFERROR(s_C*s_IFPC_far_adj*s_CF_peach*(1/1000)*(up_Irr!Q6+up_Irr!AP6+up_Irr!BO6),".")</f>
        <v>7601.8282595287337</v>
      </c>
      <c r="CS6" s="87">
        <f>IFERROR(s_C*s_IFPR_far_adj*s_CF_pear*(1/1000)*(up_Irr!R6+up_Irr!AQ6+up_Irr!BP6),".")</f>
        <v>7601.8282595287337</v>
      </c>
      <c r="CT6" s="87">
        <f>IFERROR(s_C*s_IFPE_far_adj*s_CF_peas*(1/1000)*(up_Irr!S6+up_Irr!AR6+up_Irr!BQ6),".")</f>
        <v>7601.8282595287337</v>
      </c>
      <c r="CU6" s="87">
        <f>IFERROR(s_C*s_IFPP_far_adj*s_CF_peppers*(1/1000)*(up_Irr!T6+up_Irr!AS6+up_Irr!BR6),".")</f>
        <v>7601.8282595287337</v>
      </c>
      <c r="CV6" s="87">
        <f>IFERROR(s_C*s_IFPT_far_adj*s_CF_potato*(1/1000)*(up_Irr!U6+up_Irr!AT6+up_Irr!BS6),".")</f>
        <v>7601.8282595287337</v>
      </c>
      <c r="CW6" s="87">
        <f>IFERROR(s_C*s_IFPU_far_adj*s_CF_pumpkin*(1/1000)*(up_Irr!V6+up_Irr!AU6+up_Irr!BT6),".")</f>
        <v>7601.8282595287337</v>
      </c>
      <c r="CX6" s="87">
        <f>IFERROR(s_C*s_IFSN_far_adj*s_CF_snap_bean*(1/1000)*(up_Irr!W6+up_Irr!AV6+up_Irr!BU6),".")</f>
        <v>7601.8282595287337</v>
      </c>
      <c r="CY6" s="87">
        <f>IFERROR(s_C*s_IFST_far_adj*s_CF_strawberry*(1/1000)*(up_Irr!X6+up_Irr!AW6+up_Irr!BV6),".")</f>
        <v>7601.8282595287337</v>
      </c>
      <c r="CZ6" s="87">
        <f>IFERROR(s_C*s_IFTO_far_adj*s_CF_tomato*(1/1000)*(up_Irr!Y6+up_Irr!AX6+up_Irr!BW6),".")</f>
        <v>7601.8282595287337</v>
      </c>
      <c r="DA6" s="87">
        <f>IFERROR(s_C*s_IFRI_far_adj*s_CF_rice*(1/1000)*(up_Irr!Z6+up_Irr!AY6+up_Irr!BX6),".")</f>
        <v>7601.8282595287337</v>
      </c>
      <c r="DB6" s="87">
        <f>IFERROR(s_C*s_IFCG_far_adj*s_CF_cereal*(1/1000)*(up_Irr!AA6+up_Irr!AZ6+up_Irr!BY6),".")</f>
        <v>7601.8282595287337</v>
      </c>
    </row>
    <row r="7" spans="1:106" ht="15" customHeight="1" x14ac:dyDescent="0.25">
      <c r="A7" s="86" t="s">
        <v>5</v>
      </c>
      <c r="B7" s="84" t="s">
        <v>1057</v>
      </c>
      <c r="C7" s="15">
        <f t="shared" si="0"/>
        <v>1.6443412786038033E-4</v>
      </c>
      <c r="D7" s="70">
        <f>IFERROR(IF(AND(up_Irr!C7&lt;&gt;".",up_Irr!AB7&lt;&gt;".",up_Irr!BA7&lt;&gt;"."),up_dir!D7/((1/1000)*(up_Irr!C7+up_Irr!AB7+up_Irr!BA7)),IF(AND(up_Irr!C7&lt;&gt;".",up_Irr!AB7&lt;&gt;".",up_Irr!BA7="."),up_dir!D7/((1/1000)*(up_Irr!C7+up_Irr!AB7)),IF(AND(up_Irr!C7&lt;&gt;".",up_Irr!AB7=".",up_Irr!BA7&lt;&gt;"."),up_dir!D7/((1/1000)*(up_Irr!C7+up_Irr!BA7)),IF(AND(up_Irr!C7=".",up_Irr!AB7&lt;&gt;".",up_Irr!BA7&lt;&gt;"."),up_dir!D7/((1/1000)*(up_Irr!AB7+up_Irr!BA7)),IF(AND(up_Irr!C7=".",up_Irr!AB7=".",up_Irr!BA7&lt;&gt;"."),up_dir!D7/((1/1000)*(up_Irr!BA7)),IF(AND(up_Irr!C7=".",up_Irr!AB7&lt;&gt;".",up_Irr!BA7="."),up_dir!D7/((1/1000)*(up_Irr!AB7)),IF(AND(up_Irr!C7&lt;&gt;".",up_Irr!AB7=".",up_Irr!BA7="."),up_dir!D7/((1/1000)*(up_Irr!C7)),IF(AND(up_Irr!C7=".",up_Irr!AB7=".",up_Irr!BA7="."),up_dir!D7*1000)))))))),".")</f>
        <v>6.5773651144152131E-4</v>
      </c>
      <c r="E7" s="70">
        <f>IFERROR(IF(AND(up_Irr!D7&lt;&gt;".",up_Irr!AC7&lt;&gt;".",up_Irr!BB7&lt;&gt;"."),up_dir!E7/((1/1000)*(up_Irr!D7+up_Irr!AC7+up_Irr!BB7)),IF(AND(up_Irr!D7&lt;&gt;".",up_Irr!AC7&lt;&gt;".",up_Irr!BB7="."),up_dir!E7/((1/1000)*(up_Irr!D7+up_Irr!AC7)),IF(AND(up_Irr!D7&lt;&gt;".",up_Irr!AC7=".",up_Irr!BB7&lt;&gt;"."),up_dir!E7/((1/1000)*(up_Irr!D7+up_Irr!BB7)),IF(AND(up_Irr!D7=".",up_Irr!AC7&lt;&gt;".",up_Irr!BB7&lt;&gt;"."),up_dir!E7/((1/1000)*(up_Irr!AC7+up_Irr!BB7)),IF(AND(up_Irr!D7=".",up_Irr!AC7=".",up_Irr!BB7&lt;&gt;"."),up_dir!E7/((1/1000)*(up_Irr!BB7)),IF(AND(up_Irr!D7=".",up_Irr!AC7&lt;&gt;".",up_Irr!BB7="."),up_dir!E7/((1/1000)*(up_Irr!AC7)),IF(AND(up_Irr!D7&lt;&gt;".",up_Irr!AC7=".",up_Irr!BB7="."),up_dir!E7/((1/1000)*(up_Irr!D7)),IF(AND(up_Irr!D7=".",up_Irr!AC7=".",up_Irr!BB7="."),up_dir!E7*1000)))))))),".")</f>
        <v>6.5773651144152131E-4</v>
      </c>
      <c r="F7" s="70">
        <f>IFERROR(IF(AND(up_Irr!E7&lt;&gt;".",up_Irr!AD7&lt;&gt;".",up_Irr!BC7&lt;&gt;"."),up_dir!F7/((1/1000)*(up_Irr!E7+up_Irr!AD7+up_Irr!BC7)),IF(AND(up_Irr!E7&lt;&gt;".",up_Irr!AD7&lt;&gt;".",up_Irr!BC7="."),up_dir!F7/((1/1000)*(up_Irr!E7+up_Irr!AD7)),IF(AND(up_Irr!E7&lt;&gt;".",up_Irr!AD7=".",up_Irr!BC7&lt;&gt;"."),up_dir!F7/((1/1000)*(up_Irr!E7+up_Irr!BC7)),IF(AND(up_Irr!E7=".",up_Irr!AD7&lt;&gt;".",up_Irr!BC7&lt;&gt;"."),up_dir!F7/((1/1000)*(up_Irr!AD7+up_Irr!BC7)),IF(AND(up_Irr!E7=".",up_Irr!AD7=".",up_Irr!BC7&lt;&gt;"."),up_dir!F7/((1/1000)*(up_Irr!BC7)),IF(AND(up_Irr!E7=".",up_Irr!AD7&lt;&gt;".",up_Irr!BC7="."),up_dir!F7/((1/1000)*(up_Irr!AD7)),IF(AND(up_Irr!E7&lt;&gt;".",up_Irr!AD7=".",up_Irr!BC7="."),up_dir!F7/((1/1000)*(up_Irr!E7)),IF(AND(up_Irr!E7=".",up_Irr!AD7=".",up_Irr!BC7="."),up_dir!F7*1000)))))))),".")</f>
        <v>6.5773651144152131E-4</v>
      </c>
      <c r="G7" s="70">
        <f>IFERROR(IF(AND(up_Irr!F7&lt;&gt;".",up_Irr!AE7&lt;&gt;".",up_Irr!BD7&lt;&gt;"."),up_dir!G7/((1/1000)*(up_Irr!F7+up_Irr!AE7+up_Irr!BD7)),IF(AND(up_Irr!F7&lt;&gt;".",up_Irr!AE7&lt;&gt;".",up_Irr!BD7="."),up_dir!G7/((1/1000)*(up_Irr!F7+up_Irr!AE7)),IF(AND(up_Irr!F7&lt;&gt;".",up_Irr!AE7=".",up_Irr!BD7&lt;&gt;"."),up_dir!G7/((1/1000)*(up_Irr!F7+up_Irr!BD7)),IF(AND(up_Irr!F7=".",up_Irr!AE7&lt;&gt;".",up_Irr!BD7&lt;&gt;"."),up_dir!G7/((1/1000)*(up_Irr!AE7+up_Irr!BD7)),IF(AND(up_Irr!F7=".",up_Irr!AE7=".",up_Irr!BD7&lt;&gt;"."),up_dir!G7/((1/1000)*(up_Irr!BD7)),IF(AND(up_Irr!F7=".",up_Irr!AE7&lt;&gt;".",up_Irr!BD7="."),up_dir!G7/((1/1000)*(up_Irr!AE7)),IF(AND(up_Irr!F7&lt;&gt;".",up_Irr!AE7=".",up_Irr!BD7="."),up_dir!G7/((1/1000)*(up_Irr!F7)),IF(AND(up_Irr!F7=".",up_Irr!AE7=".",up_Irr!BD7="."),up_dir!G7*1000)))))))),".")</f>
        <v>6.5773651144152131E-4</v>
      </c>
      <c r="H7" s="70">
        <f>IFERROR(IF(AND(up_Irr!G7&lt;&gt;".",up_Irr!AF7&lt;&gt;".",up_Irr!BE7&lt;&gt;"."),up_dir!H7/((1/1000)*(up_Irr!G7+up_Irr!AF7+up_Irr!BE7)),IF(AND(up_Irr!G7&lt;&gt;".",up_Irr!AF7&lt;&gt;".",up_Irr!BE7="."),up_dir!H7/((1/1000)*(up_Irr!G7+up_Irr!AF7)),IF(AND(up_Irr!G7&lt;&gt;".",up_Irr!AF7=".",up_Irr!BE7&lt;&gt;"."),up_dir!H7/((1/1000)*(up_Irr!G7+up_Irr!BE7)),IF(AND(up_Irr!G7=".",up_Irr!AF7&lt;&gt;".",up_Irr!BE7&lt;&gt;"."),up_dir!H7/((1/1000)*(up_Irr!AF7+up_Irr!BE7)),IF(AND(up_Irr!G7=".",up_Irr!AF7=".",up_Irr!BE7&lt;&gt;"."),up_dir!H7/((1/1000)*(up_Irr!BE7)),IF(AND(up_Irr!G7=".",up_Irr!AF7&lt;&gt;".",up_Irr!BE7="."),up_dir!H7/((1/1000)*(up_Irr!AF7)),IF(AND(up_Irr!G7&lt;&gt;".",up_Irr!AF7=".",up_Irr!BE7="."),up_dir!H7/((1/1000)*(up_Irr!G7)),IF(AND(up_Irr!G7=".",up_Irr!AF7=".",up_Irr!BE7="."),up_dir!H7*1000)))))))),".")</f>
        <v>6.5773651144152131E-4</v>
      </c>
      <c r="I7" s="70">
        <f>IFERROR(IF(AND(up_Irr!H7&lt;&gt;".",up_Irr!AG7&lt;&gt;".",up_Irr!BF7&lt;&gt;"."),up_dir!I7/((1/1000)*(up_Irr!H7+up_Irr!AG7+up_Irr!BF7)),IF(AND(up_Irr!H7&lt;&gt;".",up_Irr!AG7&lt;&gt;".",up_Irr!BF7="."),up_dir!I7/((1/1000)*(up_Irr!H7+up_Irr!AG7)),IF(AND(up_Irr!H7&lt;&gt;".",up_Irr!AG7=".",up_Irr!BF7&lt;&gt;"."),up_dir!I7/((1/1000)*(up_Irr!H7+up_Irr!BF7)),IF(AND(up_Irr!H7=".",up_Irr!AG7&lt;&gt;".",up_Irr!BF7&lt;&gt;"."),up_dir!I7/((1/1000)*(up_Irr!AG7+up_Irr!BF7)),IF(AND(up_Irr!H7=".",up_Irr!AG7=".",up_Irr!BF7&lt;&gt;"."),up_dir!I7/((1/1000)*(up_Irr!BF7)),IF(AND(up_Irr!H7=".",up_Irr!AG7&lt;&gt;".",up_Irr!BF7="."),up_dir!I7/((1/1000)*(up_Irr!AG7)),IF(AND(up_Irr!H7&lt;&gt;".",up_Irr!AG7=".",up_Irr!BF7="."),up_dir!I7/((1/1000)*(up_Irr!H7)),IF(AND(up_Irr!H7=".",up_Irr!AG7=".",up_Irr!BF7="."),up_dir!I7*1000)))))))),".")</f>
        <v>6.5773651144152131E-4</v>
      </c>
      <c r="J7" s="70">
        <f>IFERROR(IF(AND(up_Irr!I7&lt;&gt;".",up_Irr!AH7&lt;&gt;".",up_Irr!BG7&lt;&gt;"."),up_dir!J7/((1/1000)*(up_Irr!I7+up_Irr!AH7+up_Irr!BG7)),IF(AND(up_Irr!I7&lt;&gt;".",up_Irr!AH7&lt;&gt;".",up_Irr!BG7="."),up_dir!J7/((1/1000)*(up_Irr!I7+up_Irr!AH7)),IF(AND(up_Irr!I7&lt;&gt;".",up_Irr!AH7=".",up_Irr!BG7&lt;&gt;"."),up_dir!J7/((1/1000)*(up_Irr!I7+up_Irr!BG7)),IF(AND(up_Irr!I7=".",up_Irr!AH7&lt;&gt;".",up_Irr!BG7&lt;&gt;"."),up_dir!J7/((1/1000)*(up_Irr!AH7+up_Irr!BG7)),IF(AND(up_Irr!I7=".",up_Irr!AH7=".",up_Irr!BG7&lt;&gt;"."),up_dir!J7/((1/1000)*(up_Irr!BG7)),IF(AND(up_Irr!I7=".",up_Irr!AH7&lt;&gt;".",up_Irr!BG7="."),up_dir!J7/((1/1000)*(up_Irr!AH7)),IF(AND(up_Irr!I7&lt;&gt;".",up_Irr!AH7=".",up_Irr!BG7="."),up_dir!J7/((1/1000)*(up_Irr!I7)),IF(AND(up_Irr!I7=".",up_Irr!AH7=".",up_Irr!BG7="."),up_dir!J7*1000)))))))),".")</f>
        <v>6.5773651144152131E-4</v>
      </c>
      <c r="K7" s="70">
        <f>IFERROR(IF(AND(up_Irr!J7&lt;&gt;".",up_Irr!AI7&lt;&gt;".",up_Irr!BH7&lt;&gt;"."),up_dir!K7/((1/1000)*(up_Irr!J7+up_Irr!AI7+up_Irr!BH7)),IF(AND(up_Irr!J7&lt;&gt;".",up_Irr!AI7&lt;&gt;".",up_Irr!BH7="."),up_dir!K7/((1/1000)*(up_Irr!J7+up_Irr!AI7)),IF(AND(up_Irr!J7&lt;&gt;".",up_Irr!AI7=".",up_Irr!BH7&lt;&gt;"."),up_dir!K7/((1/1000)*(up_Irr!J7+up_Irr!BH7)),IF(AND(up_Irr!J7=".",up_Irr!AI7&lt;&gt;".",up_Irr!BH7&lt;&gt;"."),up_dir!K7/((1/1000)*(up_Irr!AI7+up_Irr!BH7)),IF(AND(up_Irr!J7=".",up_Irr!AI7=".",up_Irr!BH7&lt;&gt;"."),up_dir!K7/((1/1000)*(up_Irr!BH7)),IF(AND(up_Irr!J7=".",up_Irr!AI7&lt;&gt;".",up_Irr!BH7="."),up_dir!K7/((1/1000)*(up_Irr!AI7)),IF(AND(up_Irr!J7&lt;&gt;".",up_Irr!AI7=".",up_Irr!BH7="."),up_dir!K7/((1/1000)*(up_Irr!J7)),IF(AND(up_Irr!J7=".",up_Irr!AI7=".",up_Irr!BH7="."),up_dir!K7*1000)))))))),".")</f>
        <v>6.5773651144152131E-4</v>
      </c>
      <c r="L7" s="70">
        <f>IFERROR(IF(AND(up_Irr!K7&lt;&gt;".",up_Irr!AJ7&lt;&gt;".",up_Irr!BI7&lt;&gt;"."),up_dir!L7/((1/1000)*(up_Irr!K7+up_Irr!AJ7+up_Irr!BI7)),IF(AND(up_Irr!K7&lt;&gt;".",up_Irr!AJ7&lt;&gt;".",up_Irr!BI7="."),up_dir!L7/((1/1000)*(up_Irr!K7+up_Irr!AJ7)),IF(AND(up_Irr!K7&lt;&gt;".",up_Irr!AJ7=".",up_Irr!BI7&lt;&gt;"."),up_dir!L7/((1/1000)*(up_Irr!K7+up_Irr!BI7)),IF(AND(up_Irr!K7=".",up_Irr!AJ7&lt;&gt;".",up_Irr!BI7&lt;&gt;"."),up_dir!L7/((1/1000)*(up_Irr!AJ7+up_Irr!BI7)),IF(AND(up_Irr!K7=".",up_Irr!AJ7=".",up_Irr!BI7&lt;&gt;"."),up_dir!L7/((1/1000)*(up_Irr!BI7)),IF(AND(up_Irr!K7=".",up_Irr!AJ7&lt;&gt;".",up_Irr!BI7="."),up_dir!L7/((1/1000)*(up_Irr!AJ7)),IF(AND(up_Irr!K7&lt;&gt;".",up_Irr!AJ7=".",up_Irr!BI7="."),up_dir!L7/((1/1000)*(up_Irr!K7)),IF(AND(up_Irr!K7=".",up_Irr!AJ7=".",up_Irr!BI7="."),up_dir!L7*1000)))))))),".")</f>
        <v>6.5773651144152131E-4</v>
      </c>
      <c r="M7" s="70">
        <f>IFERROR(IF(AND(up_Irr!L7&lt;&gt;".",up_Irr!AK7&lt;&gt;".",up_Irr!BJ7&lt;&gt;"."),up_dir!M7/((1/1000)*(up_Irr!L7+up_Irr!AK7+up_Irr!BJ7)),IF(AND(up_Irr!L7&lt;&gt;".",up_Irr!AK7&lt;&gt;".",up_Irr!BJ7="."),up_dir!M7/((1/1000)*(up_Irr!L7+up_Irr!AK7)),IF(AND(up_Irr!L7&lt;&gt;".",up_Irr!AK7=".",up_Irr!BJ7&lt;&gt;"."),up_dir!M7/((1/1000)*(up_Irr!L7+up_Irr!BJ7)),IF(AND(up_Irr!L7=".",up_Irr!AK7&lt;&gt;".",up_Irr!BJ7&lt;&gt;"."),up_dir!M7/((1/1000)*(up_Irr!AK7+up_Irr!BJ7)),IF(AND(up_Irr!L7=".",up_Irr!AK7=".",up_Irr!BJ7&lt;&gt;"."),up_dir!M7/((1/1000)*(up_Irr!BJ7)),IF(AND(up_Irr!L7=".",up_Irr!AK7&lt;&gt;".",up_Irr!BJ7="."),up_dir!M7/((1/1000)*(up_Irr!AK7)),IF(AND(up_Irr!L7&lt;&gt;".",up_Irr!AK7=".",up_Irr!BJ7="."),up_dir!M7/((1/1000)*(up_Irr!L7)),IF(AND(up_Irr!L7=".",up_Irr!AK7=".",up_Irr!BJ7="."),up_dir!M7*1000)))))))),".")</f>
        <v>6.5773651144152131E-4</v>
      </c>
      <c r="N7" s="70">
        <f>IFERROR(IF(AND(up_Irr!M7&lt;&gt;".",up_Irr!AL7&lt;&gt;".",up_Irr!BK7&lt;&gt;"."),up_dir!N7/((1/1000)*(up_Irr!M7+up_Irr!AL7+up_Irr!BK7)),IF(AND(up_Irr!M7&lt;&gt;".",up_Irr!AL7&lt;&gt;".",up_Irr!BK7="."),up_dir!N7/((1/1000)*(up_Irr!M7+up_Irr!AL7)),IF(AND(up_Irr!M7&lt;&gt;".",up_Irr!AL7=".",up_Irr!BK7&lt;&gt;"."),up_dir!N7/((1/1000)*(up_Irr!M7+up_Irr!BK7)),IF(AND(up_Irr!M7=".",up_Irr!AL7&lt;&gt;".",up_Irr!BK7&lt;&gt;"."),up_dir!N7/((1/1000)*(up_Irr!AL7+up_Irr!BK7)),IF(AND(up_Irr!M7=".",up_Irr!AL7=".",up_Irr!BK7&lt;&gt;"."),up_dir!N7/((1/1000)*(up_Irr!BK7)),IF(AND(up_Irr!M7=".",up_Irr!AL7&lt;&gt;".",up_Irr!BK7="."),up_dir!N7/((1/1000)*(up_Irr!AL7)),IF(AND(up_Irr!M7&lt;&gt;".",up_Irr!AL7=".",up_Irr!BK7="."),up_dir!N7/((1/1000)*(up_Irr!M7)),IF(AND(up_Irr!M7=".",up_Irr!AL7=".",up_Irr!BK7="."),up_dir!N7*1000)))))))),".")</f>
        <v>6.5773651144152131E-4</v>
      </c>
      <c r="O7" s="70">
        <f>IFERROR(IF(AND(up_Irr!N7&lt;&gt;".",up_Irr!AM7&lt;&gt;".",up_Irr!BL7&lt;&gt;"."),up_dir!O7/((1/1000)*(up_Irr!N7+up_Irr!AM7+up_Irr!BL7)),IF(AND(up_Irr!N7&lt;&gt;".",up_Irr!AM7&lt;&gt;".",up_Irr!BL7="."),up_dir!O7/((1/1000)*(up_Irr!N7+up_Irr!AM7)),IF(AND(up_Irr!N7&lt;&gt;".",up_Irr!AM7=".",up_Irr!BL7&lt;&gt;"."),up_dir!O7/((1/1000)*(up_Irr!N7+up_Irr!BL7)),IF(AND(up_Irr!N7=".",up_Irr!AM7&lt;&gt;".",up_Irr!BL7&lt;&gt;"."),up_dir!O7/((1/1000)*(up_Irr!AM7+up_Irr!BL7)),IF(AND(up_Irr!N7=".",up_Irr!AM7=".",up_Irr!BL7&lt;&gt;"."),up_dir!O7/((1/1000)*(up_Irr!BL7)),IF(AND(up_Irr!N7=".",up_Irr!AM7&lt;&gt;".",up_Irr!BL7="."),up_dir!O7/((1/1000)*(up_Irr!AM7)),IF(AND(up_Irr!N7&lt;&gt;".",up_Irr!AM7=".",up_Irr!BL7="."),up_dir!O7/((1/1000)*(up_Irr!N7)),IF(AND(up_Irr!N7=".",up_Irr!AM7=".",up_Irr!BL7="."),up_dir!O7*1000)))))))),".")</f>
        <v>6.5773651144152131E-4</v>
      </c>
      <c r="P7" s="70">
        <f>IFERROR(IF(AND(up_Irr!O7&lt;&gt;".",up_Irr!AN7&lt;&gt;".",up_Irr!BM7&lt;&gt;"."),up_dir!P7/((1/1000)*(up_Irr!O7+up_Irr!AN7+up_Irr!BM7)),IF(AND(up_Irr!O7&lt;&gt;".",up_Irr!AN7&lt;&gt;".",up_Irr!BM7="."),up_dir!P7/((1/1000)*(up_Irr!O7+up_Irr!AN7)),IF(AND(up_Irr!O7&lt;&gt;".",up_Irr!AN7=".",up_Irr!BM7&lt;&gt;"."),up_dir!P7/((1/1000)*(up_Irr!O7+up_Irr!BM7)),IF(AND(up_Irr!O7=".",up_Irr!AN7&lt;&gt;".",up_Irr!BM7&lt;&gt;"."),up_dir!P7/((1/1000)*(up_Irr!AN7+up_Irr!BM7)),IF(AND(up_Irr!O7=".",up_Irr!AN7=".",up_Irr!BM7&lt;&gt;"."),up_dir!P7/((1/1000)*(up_Irr!BM7)),IF(AND(up_Irr!O7=".",up_Irr!AN7&lt;&gt;".",up_Irr!BM7="."),up_dir!P7/((1/1000)*(up_Irr!AN7)),IF(AND(up_Irr!O7&lt;&gt;".",up_Irr!AN7=".",up_Irr!BM7="."),up_dir!P7/((1/1000)*(up_Irr!O7)),IF(AND(up_Irr!O7=".",up_Irr!AN7=".",up_Irr!BM7="."),up_dir!P7*1000)))))))),".")</f>
        <v>6.5773651144152131E-4</v>
      </c>
      <c r="Q7" s="70">
        <f>IFERROR(IF(AND(up_Irr!P7&lt;&gt;".",up_Irr!AO7&lt;&gt;".",up_Irr!BN7&lt;&gt;"."),up_dir!Q7/((1/1000)*(up_Irr!P7+up_Irr!AO7+up_Irr!BN7)),IF(AND(up_Irr!P7&lt;&gt;".",up_Irr!AO7&lt;&gt;".",up_Irr!BN7="."),up_dir!Q7/((1/1000)*(up_Irr!P7+up_Irr!AO7)),IF(AND(up_Irr!P7&lt;&gt;".",up_Irr!AO7=".",up_Irr!BN7&lt;&gt;"."),up_dir!Q7/((1/1000)*(up_Irr!P7+up_Irr!BN7)),IF(AND(up_Irr!P7=".",up_Irr!AO7&lt;&gt;".",up_Irr!BN7&lt;&gt;"."),up_dir!Q7/((1/1000)*(up_Irr!AO7+up_Irr!BN7)),IF(AND(up_Irr!P7=".",up_Irr!AO7=".",up_Irr!BN7&lt;&gt;"."),up_dir!Q7/((1/1000)*(up_Irr!BN7)),IF(AND(up_Irr!P7=".",up_Irr!AO7&lt;&gt;".",up_Irr!BN7="."),up_dir!Q7/((1/1000)*(up_Irr!AO7)),IF(AND(up_Irr!P7&lt;&gt;".",up_Irr!AO7=".",up_Irr!BN7="."),up_dir!Q7/((1/1000)*(up_Irr!P7)),IF(AND(up_Irr!P7=".",up_Irr!AO7=".",up_Irr!BN7="."),up_dir!Q7*1000)))))))),".")</f>
        <v>6.5773651144152131E-4</v>
      </c>
      <c r="R7" s="70">
        <f>IFERROR(IF(AND(up_Irr!Q7&lt;&gt;".",up_Irr!AP7&lt;&gt;".",up_Irr!BO7&lt;&gt;"."),up_dir!R7/((1/1000)*(up_Irr!Q7+up_Irr!AP7+up_Irr!BO7)),IF(AND(up_Irr!Q7&lt;&gt;".",up_Irr!AP7&lt;&gt;".",up_Irr!BO7="."),up_dir!R7/((1/1000)*(up_Irr!Q7+up_Irr!AP7)),IF(AND(up_Irr!Q7&lt;&gt;".",up_Irr!AP7=".",up_Irr!BO7&lt;&gt;"."),up_dir!R7/((1/1000)*(up_Irr!Q7+up_Irr!BO7)),IF(AND(up_Irr!Q7=".",up_Irr!AP7&lt;&gt;".",up_Irr!BO7&lt;&gt;"."),up_dir!R7/((1/1000)*(up_Irr!AP7+up_Irr!BO7)),IF(AND(up_Irr!Q7=".",up_Irr!AP7=".",up_Irr!BO7&lt;&gt;"."),up_dir!R7/((1/1000)*(up_Irr!BO7)),IF(AND(up_Irr!Q7=".",up_Irr!AP7&lt;&gt;".",up_Irr!BO7="."),up_dir!R7/((1/1000)*(up_Irr!AP7)),IF(AND(up_Irr!Q7&lt;&gt;".",up_Irr!AP7=".",up_Irr!BO7="."),up_dir!R7/((1/1000)*(up_Irr!Q7)),IF(AND(up_Irr!Q7=".",up_Irr!AP7=".",up_Irr!BO7="."),up_dir!R7*1000)))))))),".")</f>
        <v>6.5773651144152131E-4</v>
      </c>
      <c r="S7" s="70">
        <f>IFERROR(IF(AND(up_Irr!R7&lt;&gt;".",up_Irr!AQ7&lt;&gt;".",up_Irr!BP7&lt;&gt;"."),up_dir!S7/((1/1000)*(up_Irr!R7+up_Irr!AQ7+up_Irr!BP7)),IF(AND(up_Irr!R7&lt;&gt;".",up_Irr!AQ7&lt;&gt;".",up_Irr!BP7="."),up_dir!S7/((1/1000)*(up_Irr!R7+up_Irr!AQ7)),IF(AND(up_Irr!R7&lt;&gt;".",up_Irr!AQ7=".",up_Irr!BP7&lt;&gt;"."),up_dir!S7/((1/1000)*(up_Irr!R7+up_Irr!BP7)),IF(AND(up_Irr!R7=".",up_Irr!AQ7&lt;&gt;".",up_Irr!BP7&lt;&gt;"."),up_dir!S7/((1/1000)*(up_Irr!AQ7+up_Irr!BP7)),IF(AND(up_Irr!R7=".",up_Irr!AQ7=".",up_Irr!BP7&lt;&gt;"."),up_dir!S7/((1/1000)*(up_Irr!BP7)),IF(AND(up_Irr!R7=".",up_Irr!AQ7&lt;&gt;".",up_Irr!BP7="."),up_dir!S7/((1/1000)*(up_Irr!AQ7)),IF(AND(up_Irr!R7&lt;&gt;".",up_Irr!AQ7=".",up_Irr!BP7="."),up_dir!S7/((1/1000)*(up_Irr!R7)),IF(AND(up_Irr!R7=".",up_Irr!AQ7=".",up_Irr!BP7="."),up_dir!S7*1000)))))))),".")</f>
        <v>6.5773651144152131E-4</v>
      </c>
      <c r="T7" s="70">
        <f>IFERROR(IF(AND(up_Irr!S7&lt;&gt;".",up_Irr!AR7&lt;&gt;".",up_Irr!BQ7&lt;&gt;"."),up_dir!T7/((1/1000)*(up_Irr!S7+up_Irr!AR7+up_Irr!BQ7)),IF(AND(up_Irr!S7&lt;&gt;".",up_Irr!AR7&lt;&gt;".",up_Irr!BQ7="."),up_dir!T7/((1/1000)*(up_Irr!S7+up_Irr!AR7)),IF(AND(up_Irr!S7&lt;&gt;".",up_Irr!AR7=".",up_Irr!BQ7&lt;&gt;"."),up_dir!T7/((1/1000)*(up_Irr!S7+up_Irr!BQ7)),IF(AND(up_Irr!S7=".",up_Irr!AR7&lt;&gt;".",up_Irr!BQ7&lt;&gt;"."),up_dir!T7/((1/1000)*(up_Irr!AR7+up_Irr!BQ7)),IF(AND(up_Irr!S7=".",up_Irr!AR7=".",up_Irr!BQ7&lt;&gt;"."),up_dir!T7/((1/1000)*(up_Irr!BQ7)),IF(AND(up_Irr!S7=".",up_Irr!AR7&lt;&gt;".",up_Irr!BQ7="."),up_dir!T7/((1/1000)*(up_Irr!AR7)),IF(AND(up_Irr!S7&lt;&gt;".",up_Irr!AR7=".",up_Irr!BQ7="."),up_dir!T7/((1/1000)*(up_Irr!S7)),IF(AND(up_Irr!S7=".",up_Irr!AR7=".",up_Irr!BQ7="."),up_dir!T7*1000)))))))),".")</f>
        <v>6.5773651144152131E-4</v>
      </c>
      <c r="U7" s="70">
        <f>IFERROR(IF(AND(up_Irr!T7&lt;&gt;".",up_Irr!AS7&lt;&gt;".",up_Irr!BR7&lt;&gt;"."),up_dir!U7/((1/1000)*(up_Irr!T7+up_Irr!AS7+up_Irr!BR7)),IF(AND(up_Irr!T7&lt;&gt;".",up_Irr!AS7&lt;&gt;".",up_Irr!BR7="."),up_dir!U7/((1/1000)*(up_Irr!T7+up_Irr!AS7)),IF(AND(up_Irr!T7&lt;&gt;".",up_Irr!AS7=".",up_Irr!BR7&lt;&gt;"."),up_dir!U7/((1/1000)*(up_Irr!T7+up_Irr!BR7)),IF(AND(up_Irr!T7=".",up_Irr!AS7&lt;&gt;".",up_Irr!BR7&lt;&gt;"."),up_dir!U7/((1/1000)*(up_Irr!AS7+up_Irr!BR7)),IF(AND(up_Irr!T7=".",up_Irr!AS7=".",up_Irr!BR7&lt;&gt;"."),up_dir!U7/((1/1000)*(up_Irr!BR7)),IF(AND(up_Irr!T7=".",up_Irr!AS7&lt;&gt;".",up_Irr!BR7="."),up_dir!U7/((1/1000)*(up_Irr!AS7)),IF(AND(up_Irr!T7&lt;&gt;".",up_Irr!AS7=".",up_Irr!BR7="."),up_dir!U7/((1/1000)*(up_Irr!T7)),IF(AND(up_Irr!T7=".",up_Irr!AS7=".",up_Irr!BR7="."),up_dir!U7*1000)))))))),".")</f>
        <v>6.5773651144152131E-4</v>
      </c>
      <c r="V7" s="70">
        <f>IFERROR(IF(AND(up_Irr!U7&lt;&gt;".",up_Irr!AT7&lt;&gt;".",up_Irr!BS7&lt;&gt;"."),up_dir!V7/((1/1000)*(up_Irr!U7+up_Irr!AT7+up_Irr!BS7)),IF(AND(up_Irr!U7&lt;&gt;".",up_Irr!AT7&lt;&gt;".",up_Irr!BS7="."),up_dir!V7/((1/1000)*(up_Irr!U7+up_Irr!AT7)),IF(AND(up_Irr!U7&lt;&gt;".",up_Irr!AT7=".",up_Irr!BS7&lt;&gt;"."),up_dir!V7/((1/1000)*(up_Irr!U7+up_Irr!BS7)),IF(AND(up_Irr!U7=".",up_Irr!AT7&lt;&gt;".",up_Irr!BS7&lt;&gt;"."),up_dir!V7/((1/1000)*(up_Irr!AT7+up_Irr!BS7)),IF(AND(up_Irr!U7=".",up_Irr!AT7=".",up_Irr!BS7&lt;&gt;"."),up_dir!V7/((1/1000)*(up_Irr!BS7)),IF(AND(up_Irr!U7=".",up_Irr!AT7&lt;&gt;".",up_Irr!BS7="."),up_dir!V7/((1/1000)*(up_Irr!AT7)),IF(AND(up_Irr!U7&lt;&gt;".",up_Irr!AT7=".",up_Irr!BS7="."),up_dir!V7/((1/1000)*(up_Irr!U7)),IF(AND(up_Irr!U7=".",up_Irr!AT7=".",up_Irr!BS7="."),up_dir!V7*1000)))))))),".")</f>
        <v>6.5773651144152131E-4</v>
      </c>
      <c r="W7" s="70">
        <f>IFERROR(IF(AND(up_Irr!V7&lt;&gt;".",up_Irr!AU7&lt;&gt;".",up_Irr!BT7&lt;&gt;"."),up_dir!W7/((1/1000)*(up_Irr!V7+up_Irr!AU7+up_Irr!BT7)),IF(AND(up_Irr!V7&lt;&gt;".",up_Irr!AU7&lt;&gt;".",up_Irr!BT7="."),up_dir!W7/((1/1000)*(up_Irr!V7+up_Irr!AU7)),IF(AND(up_Irr!V7&lt;&gt;".",up_Irr!AU7=".",up_Irr!BT7&lt;&gt;"."),up_dir!W7/((1/1000)*(up_Irr!V7+up_Irr!BT7)),IF(AND(up_Irr!V7=".",up_Irr!AU7&lt;&gt;".",up_Irr!BT7&lt;&gt;"."),up_dir!W7/((1/1000)*(up_Irr!AU7+up_Irr!BT7)),IF(AND(up_Irr!V7=".",up_Irr!AU7=".",up_Irr!BT7&lt;&gt;"."),up_dir!W7/((1/1000)*(up_Irr!BT7)),IF(AND(up_Irr!V7=".",up_Irr!AU7&lt;&gt;".",up_Irr!BT7="."),up_dir!W7/((1/1000)*(up_Irr!AU7)),IF(AND(up_Irr!V7&lt;&gt;".",up_Irr!AU7=".",up_Irr!BT7="."),up_dir!W7/((1/1000)*(up_Irr!V7)),IF(AND(up_Irr!V7=".",up_Irr!AU7=".",up_Irr!BT7="."),up_dir!W7*1000)))))))),".")</f>
        <v>6.5773651144152131E-4</v>
      </c>
      <c r="X7" s="70">
        <f>IFERROR(IF(AND(up_Irr!W7&lt;&gt;".",up_Irr!AV7&lt;&gt;".",up_Irr!BU7&lt;&gt;"."),up_dir!X7/((1/1000)*(up_Irr!W7+up_Irr!AV7+up_Irr!BU7)),IF(AND(up_Irr!W7&lt;&gt;".",up_Irr!AV7&lt;&gt;".",up_Irr!BU7="."),up_dir!X7/((1/1000)*(up_Irr!W7+up_Irr!AV7)),IF(AND(up_Irr!W7&lt;&gt;".",up_Irr!AV7=".",up_Irr!BU7&lt;&gt;"."),up_dir!X7/((1/1000)*(up_Irr!W7+up_Irr!BU7)),IF(AND(up_Irr!W7=".",up_Irr!AV7&lt;&gt;".",up_Irr!BU7&lt;&gt;"."),up_dir!X7/((1/1000)*(up_Irr!AV7+up_Irr!BU7)),IF(AND(up_Irr!W7=".",up_Irr!AV7=".",up_Irr!BU7&lt;&gt;"."),up_dir!X7/((1/1000)*(up_Irr!BU7)),IF(AND(up_Irr!W7=".",up_Irr!AV7&lt;&gt;".",up_Irr!BU7="."),up_dir!X7/((1/1000)*(up_Irr!AV7)),IF(AND(up_Irr!W7&lt;&gt;".",up_Irr!AV7=".",up_Irr!BU7="."),up_dir!X7/((1/1000)*(up_Irr!W7)),IF(AND(up_Irr!W7=".",up_Irr!AV7=".",up_Irr!BU7="."),up_dir!X7*1000)))))))),".")</f>
        <v>6.5773651144152131E-4</v>
      </c>
      <c r="Y7" s="70">
        <f>IFERROR(IF(AND(up_Irr!X7&lt;&gt;".",up_Irr!AW7&lt;&gt;".",up_Irr!BV7&lt;&gt;"."),up_dir!Y7/((1/1000)*(up_Irr!X7+up_Irr!AW7+up_Irr!BV7)),IF(AND(up_Irr!X7&lt;&gt;".",up_Irr!AW7&lt;&gt;".",up_Irr!BV7="."),up_dir!Y7/((1/1000)*(up_Irr!X7+up_Irr!AW7)),IF(AND(up_Irr!X7&lt;&gt;".",up_Irr!AW7=".",up_Irr!BV7&lt;&gt;"."),up_dir!Y7/((1/1000)*(up_Irr!X7+up_Irr!BV7)),IF(AND(up_Irr!X7=".",up_Irr!AW7&lt;&gt;".",up_Irr!BV7&lt;&gt;"."),up_dir!Y7/((1/1000)*(up_Irr!AW7+up_Irr!BV7)),IF(AND(up_Irr!X7=".",up_Irr!AW7=".",up_Irr!BV7&lt;&gt;"."),up_dir!Y7/((1/1000)*(up_Irr!BV7)),IF(AND(up_Irr!X7=".",up_Irr!AW7&lt;&gt;".",up_Irr!BV7="."),up_dir!Y7/((1/1000)*(up_Irr!AW7)),IF(AND(up_Irr!X7&lt;&gt;".",up_Irr!AW7=".",up_Irr!BV7="."),up_dir!Y7/((1/1000)*(up_Irr!X7)),IF(AND(up_Irr!X7=".",up_Irr!AW7=".",up_Irr!BV7="."),up_dir!Y7*1000)))))))),".")</f>
        <v>6.5773651144152131E-4</v>
      </c>
      <c r="Z7" s="70">
        <f>IFERROR(IF(AND(up_Irr!Y7&lt;&gt;".",up_Irr!AX7&lt;&gt;".",up_Irr!BW7&lt;&gt;"."),up_dir!Z7/((1/1000)*(up_Irr!Y7+up_Irr!AX7+up_Irr!BW7)),IF(AND(up_Irr!Y7&lt;&gt;".",up_Irr!AX7&lt;&gt;".",up_Irr!BW7="."),up_dir!Z7/((1/1000)*(up_Irr!Y7+up_Irr!AX7)),IF(AND(up_Irr!Y7&lt;&gt;".",up_Irr!AX7=".",up_Irr!BW7&lt;&gt;"."),up_dir!Z7/((1/1000)*(up_Irr!Y7+up_Irr!BW7)),IF(AND(up_Irr!Y7=".",up_Irr!AX7&lt;&gt;".",up_Irr!BW7&lt;&gt;"."),up_dir!Z7/((1/1000)*(up_Irr!AX7+up_Irr!BW7)),IF(AND(up_Irr!Y7=".",up_Irr!AX7=".",up_Irr!BW7&lt;&gt;"."),up_dir!Z7/((1/1000)*(up_Irr!BW7)),IF(AND(up_Irr!Y7=".",up_Irr!AX7&lt;&gt;".",up_Irr!BW7="."),up_dir!Z7/((1/1000)*(up_Irr!AX7)),IF(AND(up_Irr!Y7&lt;&gt;".",up_Irr!AX7=".",up_Irr!BW7="."),up_dir!Z7/((1/1000)*(up_Irr!Y7)),IF(AND(up_Irr!Y7=".",up_Irr!AX7=".",up_Irr!BW7="."),up_dir!Z7*1000)))))))),".")</f>
        <v>6.5773651144152131E-4</v>
      </c>
      <c r="AA7" s="70">
        <f>IFERROR(IF(AND(up_Irr!Z7&lt;&gt;".",up_Irr!AY7&lt;&gt;".",up_Irr!BX7&lt;&gt;"."),up_dir!AA7/((1/1000)*(up_Irr!Z7+up_Irr!AY7+up_Irr!BX7)),IF(AND(up_Irr!Z7&lt;&gt;".",up_Irr!AY7&lt;&gt;".",up_Irr!BX7="."),up_dir!AA7/((1/1000)*(up_Irr!Z7+up_Irr!AY7)),IF(AND(up_Irr!Z7&lt;&gt;".",up_Irr!AY7=".",up_Irr!BX7&lt;&gt;"."),up_dir!AA7/((1/1000)*(up_Irr!Z7+up_Irr!BX7)),IF(AND(up_Irr!Z7=".",up_Irr!AY7&lt;&gt;".",up_Irr!BX7&lt;&gt;"."),up_dir!AA7/((1/1000)*(up_Irr!AY7+up_Irr!BX7)),IF(AND(up_Irr!Z7=".",up_Irr!AY7=".",up_Irr!BX7&lt;&gt;"."),up_dir!AA7/((1/1000)*(up_Irr!BX7)),IF(AND(up_Irr!Z7=".",up_Irr!AY7&lt;&gt;".",up_Irr!BX7="."),up_dir!AA7/((1/1000)*(up_Irr!AY7)),IF(AND(up_Irr!Z7&lt;&gt;".",up_Irr!AY7=".",up_Irr!BX7="."),up_dir!AA7/((1/1000)*(up_Irr!Z7)),IF(AND(up_Irr!Z7=".",up_Irr!AY7=".",up_Irr!BX7="."),up_dir!AA7*1000)))))))),".")</f>
        <v>6.5773651144152131E-4</v>
      </c>
      <c r="AB7" s="70">
        <f>IFERROR(IF(AND(up_Irr!AA7&lt;&gt;".",up_Irr!AZ7&lt;&gt;".",up_Irr!BY7&lt;&gt;"."),up_dir!AB7/((1/1000)*(up_Irr!AA7+up_Irr!AZ7+up_Irr!BY7)),IF(AND(up_Irr!AA7&lt;&gt;".",up_Irr!AZ7&lt;&gt;".",up_Irr!BY7="."),up_dir!AB7/((1/1000)*(up_Irr!AA7+up_Irr!AZ7)),IF(AND(up_Irr!AA7&lt;&gt;".",up_Irr!AZ7=".",up_Irr!BY7&lt;&gt;"."),up_dir!AB7/((1/1000)*(up_Irr!AA7+up_Irr!BY7)),IF(AND(up_Irr!AA7=".",up_Irr!AZ7&lt;&gt;".",up_Irr!BY7&lt;&gt;"."),up_dir!AB7/((1/1000)*(up_Irr!AZ7+up_Irr!BY7)),IF(AND(up_Irr!AA7=".",up_Irr!AZ7=".",up_Irr!BY7&lt;&gt;"."),up_dir!AB7/((1/1000)*(up_Irr!BY7)),IF(AND(up_Irr!AA7=".",up_Irr!AZ7&lt;&gt;".",up_Irr!BY7="."),up_dir!AB7/((1/1000)*(up_Irr!AZ7)),IF(AND(up_Irr!AA7&lt;&gt;".",up_Irr!AZ7=".",up_Irr!BY7="."),up_dir!AB7/((1/1000)*(up_Irr!AA7)),IF(AND(up_Irr!AA7=".",up_Irr!AZ7=".",up_Irr!BY7="."),up_dir!AB7*1000)))))))),".")</f>
        <v>6.5773651144152131E-4</v>
      </c>
      <c r="AC7" s="87">
        <f t="shared" si="1"/>
        <v>30407.313038114935</v>
      </c>
      <c r="AD7" s="87">
        <f>IFERROR(s_C*s_IFAP_res_adj*s_CF_apple*0.001*(up_Irr!C7+up_Irr!AB7+up_Irr!BA7),".")</f>
        <v>7601.8282595287337</v>
      </c>
      <c r="AE7" s="87">
        <f>IFERROR(s_C*s_IFAS_res_adj*s_CF_asparagus*0.001*(up_Irr!D7+up_Irr!AC7+up_Irr!BB7),".")</f>
        <v>7601.8282595287337</v>
      </c>
      <c r="AF7" s="87">
        <f>IFERROR(s_C*s_IFBT_res_adj*s_CF_beet*0.001*(up_Irr!E7+up_Irr!AD7+up_Irr!BC7),".")</f>
        <v>7601.8282595287337</v>
      </c>
      <c r="AG7" s="87">
        <f>IFERROR(s_C*s_IFBE_res_adj*s_CF_berries*0.001*(up_Irr!F7+up_Irr!AE7+up_Irr!BD7),".")</f>
        <v>7601.8282595287337</v>
      </c>
      <c r="AH7" s="87">
        <f>IFERROR(s_C*s_IFBR_res_adj*s_CF_broccoli*0.001*(up_Irr!G7+up_Irr!AF7+up_Irr!BE7),".")</f>
        <v>7601.8282595287337</v>
      </c>
      <c r="AI7" s="87">
        <f>IFERROR(s_C*s_IFCB_res_adj*s_CF_cabbage*0.001*(up_Irr!H7+up_Irr!AG7+up_Irr!BF7),".")</f>
        <v>7601.8282595287337</v>
      </c>
      <c r="AJ7" s="87">
        <f>IFERROR(s_C*s_IFCR_res_adj*s_CF_carrot*0.001*(up_Irr!I7+up_Irr!AH7+up_Irr!BG7),".")</f>
        <v>7601.8282595287337</v>
      </c>
      <c r="AK7" s="87">
        <f>IFERROR(s_C*s_IFCI_res_adj*s_CF_citrus*0.001*(up_Irr!J7+up_Irr!AI7+up_Irr!BH7),".")</f>
        <v>7601.8282595287337</v>
      </c>
      <c r="AL7" s="87">
        <f>IFERROR(s_C*s_IFCO_res_adj*s_CF_corn*0.001*(up_Irr!K7+up_Irr!AJ7+up_Irr!BI7),".")</f>
        <v>7601.8282595287337</v>
      </c>
      <c r="AM7" s="87">
        <f>IFERROR(s_C*s_IFCU_res_adj*s_CF_cucumber*0.001*(up_Irr!L7+up_Irr!AK7+up_Irr!BJ7),".")</f>
        <v>7601.8282595287337</v>
      </c>
      <c r="AN7" s="87">
        <f>IFERROR(s_C*s_IFLE_res_adj*s_CF_lettuce*0.001*(up_Irr!M7+up_Irr!AL7+up_Irr!BK7),".")</f>
        <v>7601.8282595287337</v>
      </c>
      <c r="AO7" s="87">
        <f>IFERROR(s_C*s_IFLI_res_adj*s_CF_lima_bean*0.001*(up_Irr!N7+up_Irr!AM7+up_Irr!BL7),".")</f>
        <v>7601.8282595287337</v>
      </c>
      <c r="AP7" s="87">
        <f>IFERROR(s_C*s_IFOK_res_adj*s_CF_okra*0.001*(up_Irr!O7+up_Irr!AN7+up_Irr!BM7),".")</f>
        <v>7601.8282595287337</v>
      </c>
      <c r="AQ7" s="87">
        <f>IFERROR(s_C*s_IFON_res_adj*s_CF_onion*0.001*(up_Irr!P7+up_Irr!AO7+up_Irr!BN7),".")</f>
        <v>7601.8282595287337</v>
      </c>
      <c r="AR7" s="87">
        <f>IFERROR(s_C*s_IFPC_res_adj*s_CF_peach*0.001*(up_Irr!Q7+up_Irr!AP7+up_Irr!BO7),".")</f>
        <v>7601.8282595287337</v>
      </c>
      <c r="AS7" s="87">
        <f>IFERROR(s_C*s_IFPR_res_adj*s_CF_pear*0.001*(up_Irr!R7+up_Irr!AQ7+up_Irr!BP7),".")</f>
        <v>7601.8282595287337</v>
      </c>
      <c r="AT7" s="87">
        <f>IFERROR(s_C*s_IFPE_res_adj*s_CF_peas*0.001*(up_Irr!S7+up_Irr!AR7+up_Irr!BQ7),".")</f>
        <v>7601.8282595287337</v>
      </c>
      <c r="AU7" s="87">
        <f>IFERROR(s_C*s_IFPP_res_adj*s_CF_peppers*0.001*(up_Irr!T7+up_Irr!AS7+up_Irr!BR7),".")</f>
        <v>7601.8282595287337</v>
      </c>
      <c r="AV7" s="87">
        <f>IFERROR(s_C*s_IFPT_res_adj*s_CF_potato*0.001*(up_Irr!U7+up_Irr!AT7+up_Irr!BS7),".")</f>
        <v>7601.8282595287337</v>
      </c>
      <c r="AW7" s="87">
        <f>IFERROR(s_C*s_IFPU_res_adj*s_CF_pumpkin*0.001*(up_Irr!V7+up_Irr!AU7+up_Irr!BT7),".")</f>
        <v>7601.8282595287337</v>
      </c>
      <c r="AX7" s="87">
        <f>IFERROR(s_C*s_IFSN_res_adj*s_CF_snap_bean*0.001*(up_Irr!W7+up_Irr!AV7+up_Irr!BU7),".")</f>
        <v>7601.8282595287337</v>
      </c>
      <c r="AY7" s="87">
        <f>IFERROR(s_C*s_IFST_res_adj*s_CF_strawberry*0.001*(up_Irr!X7+up_Irr!AW7+up_Irr!BV7),".")</f>
        <v>7601.8282595287337</v>
      </c>
      <c r="AZ7" s="87">
        <f>IFERROR(s_C*s_IFTO_res_adj*s_CF_tomato*0.001*(up_Irr!Y7+up_Irr!AX7+up_Irr!BW7),".")</f>
        <v>7601.8282595287337</v>
      </c>
      <c r="BA7" s="87">
        <f>IFERROR(s_C*s_IFRI_res_adj*s_CF_rice*0.001*(up_Irr!Z7+up_Irr!AY7+up_Irr!BX7),".")</f>
        <v>7601.8282595287337</v>
      </c>
      <c r="BB7" s="87">
        <f>IFERROR(s_C*s_IFCG_res_adj*s_CF_cereal*0.001*(up_Irr!AA7+up_Irr!AZ7+up_Irr!BY7),".")</f>
        <v>7601.8282595287337</v>
      </c>
      <c r="BC7" s="70">
        <f t="shared" si="2"/>
        <v>1.6443412786038033E-4</v>
      </c>
      <c r="BD7" s="70">
        <f>IFERROR(IF(AND(up_Irr!C7&lt;&gt;".",up_Irr!AB7&lt;&gt;".",up_Irr!BA7&lt;&gt;"."),up_dir!AD7/((1/1000)*(up_Irr!C7+up_Irr!AB7+up_Irr!BA7)),IF(AND(up_Irr!C7&lt;&gt;".",up_Irr!AB7&lt;&gt;".",up_Irr!BA7="."),up_dir!AD7/((1/1000)*(up_Irr!C7+up_Irr!AB7)),IF(AND(up_Irr!C7&lt;&gt;".",up_Irr!AB7=".",up_Irr!BA7&lt;&gt;"."),up_dir!AD7/((1/1000)*(up_Irr!C7+up_Irr!BA7)),IF(AND(up_Irr!C7=".",up_Irr!AB7&lt;&gt;".",up_Irr!BA7&lt;&gt;"."),up_dir!AD7/((1/1000)*(up_Irr!AB7+up_Irr!BA7)),IF(AND(up_Irr!C7=".",up_Irr!AB7=".",up_Irr!BA7&lt;&gt;"."),up_dir!AD7/((1/1000)*(up_Irr!BA7)),IF(AND(up_Irr!C7=".",up_Irr!AB7&lt;&gt;".",up_Irr!BA7="."),up_dir!AD7/((1/1000)*(up_Irr!AB7)),IF(AND(up_Irr!C7&lt;&gt;".",up_Irr!AB7=".",up_Irr!BA7="."),up_dir!AD7/((1/1000)*(up_Irr!C7)),IF(AND(up_Irr!C7=".",up_Irr!AB7=".",up_Irr!BA7="."),up_dir!AD7*1000)))))))),".")</f>
        <v>6.5773651144152131E-4</v>
      </c>
      <c r="BE7" s="70">
        <f>IFERROR(IF(AND(up_Irr!D7&lt;&gt;".",up_Irr!AC7&lt;&gt;".",up_Irr!BB7&lt;&gt;"."),up_dir!AE7/((1/1000)*(up_Irr!D7+up_Irr!AC7+up_Irr!BB7)),IF(AND(up_Irr!D7&lt;&gt;".",up_Irr!AC7&lt;&gt;".",up_Irr!BB7="."),up_dir!AE7/((1/1000)*(up_Irr!D7+up_Irr!AC7)),IF(AND(up_Irr!D7&lt;&gt;".",up_Irr!AC7=".",up_Irr!BB7&lt;&gt;"."),up_dir!AE7/((1/1000)*(up_Irr!D7+up_Irr!BB7)),IF(AND(up_Irr!D7=".",up_Irr!AC7&lt;&gt;".",up_Irr!BB7&lt;&gt;"."),up_dir!AE7/((1/1000)*(up_Irr!AC7+up_Irr!BB7)),IF(AND(up_Irr!D7=".",up_Irr!AC7=".",up_Irr!BB7&lt;&gt;"."),up_dir!AE7/((1/1000)*(up_Irr!BB7)),IF(AND(up_Irr!D7=".",up_Irr!AC7&lt;&gt;".",up_Irr!BB7="."),up_dir!AE7/((1/1000)*(up_Irr!AC7)),IF(AND(up_Irr!D7&lt;&gt;".",up_Irr!AC7=".",up_Irr!BB7="."),up_dir!AE7/((1/1000)*(up_Irr!D7)),IF(AND(up_Irr!D7=".",up_Irr!AC7=".",up_Irr!BB7="."),up_dir!AE7*1000)))))))),".")</f>
        <v>6.5773651144152131E-4</v>
      </c>
      <c r="BF7" s="70">
        <f>IFERROR(IF(AND(up_Irr!E7&lt;&gt;".",up_Irr!AD7&lt;&gt;".",up_Irr!BC7&lt;&gt;"."),up_dir!AF7/((1/1000)*(up_Irr!E7+up_Irr!AD7+up_Irr!BC7)),IF(AND(up_Irr!E7&lt;&gt;".",up_Irr!AD7&lt;&gt;".",up_Irr!BC7="."),up_dir!AF7/((1/1000)*(up_Irr!E7+up_Irr!AD7)),IF(AND(up_Irr!E7&lt;&gt;".",up_Irr!AD7=".",up_Irr!BC7&lt;&gt;"."),up_dir!AF7/((1/1000)*(up_Irr!E7+up_Irr!BC7)),IF(AND(up_Irr!E7=".",up_Irr!AD7&lt;&gt;".",up_Irr!BC7&lt;&gt;"."),up_dir!AF7/((1/1000)*(up_Irr!AD7+up_Irr!BC7)),IF(AND(up_Irr!E7=".",up_Irr!AD7=".",up_Irr!BC7&lt;&gt;"."),up_dir!AF7/((1/1000)*(up_Irr!BC7)),IF(AND(up_Irr!E7=".",up_Irr!AD7&lt;&gt;".",up_Irr!BC7="."),up_dir!AF7/((1/1000)*(up_Irr!AD7)),IF(AND(up_Irr!E7&lt;&gt;".",up_Irr!AD7=".",up_Irr!BC7="."),up_dir!AF7/((1/1000)*(up_Irr!E7)),IF(AND(up_Irr!E7=".",up_Irr!AD7=".",up_Irr!BC7="."),up_dir!AF7*1000)))))))),".")</f>
        <v>6.5773651144152131E-4</v>
      </c>
      <c r="BG7" s="70">
        <f>IFERROR(IF(AND(up_Irr!F7&lt;&gt;".",up_Irr!AE7&lt;&gt;".",up_Irr!BD7&lt;&gt;"."),up_dir!AG7/((1/1000)*(up_Irr!F7+up_Irr!AE7+up_Irr!BD7)),IF(AND(up_Irr!F7&lt;&gt;".",up_Irr!AE7&lt;&gt;".",up_Irr!BD7="."),up_dir!AG7/((1/1000)*(up_Irr!F7+up_Irr!AE7)),IF(AND(up_Irr!F7&lt;&gt;".",up_Irr!AE7=".",up_Irr!BD7&lt;&gt;"."),up_dir!AG7/((1/1000)*(up_Irr!F7+up_Irr!BD7)),IF(AND(up_Irr!F7=".",up_Irr!AE7&lt;&gt;".",up_Irr!BD7&lt;&gt;"."),up_dir!AG7/((1/1000)*(up_Irr!AE7+up_Irr!BD7)),IF(AND(up_Irr!F7=".",up_Irr!AE7=".",up_Irr!BD7&lt;&gt;"."),up_dir!AG7/((1/1000)*(up_Irr!BD7)),IF(AND(up_Irr!F7=".",up_Irr!AE7&lt;&gt;".",up_Irr!BD7="."),up_dir!AG7/((1/1000)*(up_Irr!AE7)),IF(AND(up_Irr!F7&lt;&gt;".",up_Irr!AE7=".",up_Irr!BD7="."),up_dir!AG7/((1/1000)*(up_Irr!F7)),IF(AND(up_Irr!F7=".",up_Irr!AE7=".",up_Irr!BD7="."),up_dir!AG7*1000)))))))),".")</f>
        <v>6.5773651144152131E-4</v>
      </c>
      <c r="BH7" s="70">
        <f>IFERROR(IF(AND(up_Irr!G7&lt;&gt;".",up_Irr!AF7&lt;&gt;".",up_Irr!BE7&lt;&gt;"."),up_dir!AH7/((1/1000)*(up_Irr!G7+up_Irr!AF7+up_Irr!BE7)),IF(AND(up_Irr!G7&lt;&gt;".",up_Irr!AF7&lt;&gt;".",up_Irr!BE7="."),up_dir!AH7/((1/1000)*(up_Irr!G7+up_Irr!AF7)),IF(AND(up_Irr!G7&lt;&gt;".",up_Irr!AF7=".",up_Irr!BE7&lt;&gt;"."),up_dir!AH7/((1/1000)*(up_Irr!G7+up_Irr!BE7)),IF(AND(up_Irr!G7=".",up_Irr!AF7&lt;&gt;".",up_Irr!BE7&lt;&gt;"."),up_dir!AH7/((1/1000)*(up_Irr!AF7+up_Irr!BE7)),IF(AND(up_Irr!G7=".",up_Irr!AF7=".",up_Irr!BE7&lt;&gt;"."),up_dir!AH7/((1/1000)*(up_Irr!BE7)),IF(AND(up_Irr!G7=".",up_Irr!AF7&lt;&gt;".",up_Irr!BE7="."),up_dir!AH7/((1/1000)*(up_Irr!AF7)),IF(AND(up_Irr!G7&lt;&gt;".",up_Irr!AF7=".",up_Irr!BE7="."),up_dir!AH7/((1/1000)*(up_Irr!G7)),IF(AND(up_Irr!G7=".",up_Irr!AF7=".",up_Irr!BE7="."),up_dir!AH7*1000)))))))),".")</f>
        <v>6.5773651144152131E-4</v>
      </c>
      <c r="BI7" s="70">
        <f>IFERROR(IF(AND(up_Irr!H7&lt;&gt;".",up_Irr!AG7&lt;&gt;".",up_Irr!BF7&lt;&gt;"."),up_dir!AI7/((1/1000)*(up_Irr!H7+up_Irr!AG7+up_Irr!BF7)),IF(AND(up_Irr!H7&lt;&gt;".",up_Irr!AG7&lt;&gt;".",up_Irr!BF7="."),up_dir!AI7/((1/1000)*(up_Irr!H7+up_Irr!AG7)),IF(AND(up_Irr!H7&lt;&gt;".",up_Irr!AG7=".",up_Irr!BF7&lt;&gt;"."),up_dir!AI7/((1/1000)*(up_Irr!H7+up_Irr!BF7)),IF(AND(up_Irr!H7=".",up_Irr!AG7&lt;&gt;".",up_Irr!BF7&lt;&gt;"."),up_dir!AI7/((1/1000)*(up_Irr!AG7+up_Irr!BF7)),IF(AND(up_Irr!H7=".",up_Irr!AG7=".",up_Irr!BF7&lt;&gt;"."),up_dir!AI7/((1/1000)*(up_Irr!BF7)),IF(AND(up_Irr!H7=".",up_Irr!AG7&lt;&gt;".",up_Irr!BF7="."),up_dir!AI7/((1/1000)*(up_Irr!AG7)),IF(AND(up_Irr!H7&lt;&gt;".",up_Irr!AG7=".",up_Irr!BF7="."),up_dir!AI7/((1/1000)*(up_Irr!H7)),IF(AND(up_Irr!H7=".",up_Irr!AG7=".",up_Irr!BF7="."),up_dir!AI7*1000)))))))),".")</f>
        <v>6.5773651144152131E-4</v>
      </c>
      <c r="BJ7" s="70">
        <f>IFERROR(IF(AND(up_Irr!I7&lt;&gt;".",up_Irr!AH7&lt;&gt;".",up_Irr!BG7&lt;&gt;"."),up_dir!AJ7/((1/1000)*(up_Irr!I7+up_Irr!AH7+up_Irr!BG7)),IF(AND(up_Irr!I7&lt;&gt;".",up_Irr!AH7&lt;&gt;".",up_Irr!BG7="."),up_dir!AJ7/((1/1000)*(up_Irr!I7+up_Irr!AH7)),IF(AND(up_Irr!I7&lt;&gt;".",up_Irr!AH7=".",up_Irr!BG7&lt;&gt;"."),up_dir!AJ7/((1/1000)*(up_Irr!I7+up_Irr!BG7)),IF(AND(up_Irr!I7=".",up_Irr!AH7&lt;&gt;".",up_Irr!BG7&lt;&gt;"."),up_dir!AJ7/((1/1000)*(up_Irr!AH7+up_Irr!BG7)),IF(AND(up_Irr!I7=".",up_Irr!AH7=".",up_Irr!BG7&lt;&gt;"."),up_dir!AJ7/((1/1000)*(up_Irr!BG7)),IF(AND(up_Irr!I7=".",up_Irr!AH7&lt;&gt;".",up_Irr!BG7="."),up_dir!AJ7/((1/1000)*(up_Irr!AH7)),IF(AND(up_Irr!I7&lt;&gt;".",up_Irr!AH7=".",up_Irr!BG7="."),up_dir!AJ7/((1/1000)*(up_Irr!I7)),IF(AND(up_Irr!I7=".",up_Irr!AH7=".",up_Irr!BG7="."),up_dir!AJ7*1000)))))))),".")</f>
        <v>6.5773651144152131E-4</v>
      </c>
      <c r="BK7" s="70">
        <f>IFERROR(IF(AND(up_Irr!J7&lt;&gt;".",up_Irr!AI7&lt;&gt;".",up_Irr!BH7&lt;&gt;"."),up_dir!AK7/((1/1000)*(up_Irr!J7+up_Irr!AI7+up_Irr!BH7)),IF(AND(up_Irr!J7&lt;&gt;".",up_Irr!AI7&lt;&gt;".",up_Irr!BH7="."),up_dir!AK7/((1/1000)*(up_Irr!J7+up_Irr!AI7)),IF(AND(up_Irr!J7&lt;&gt;".",up_Irr!AI7=".",up_Irr!BH7&lt;&gt;"."),up_dir!AK7/((1/1000)*(up_Irr!J7+up_Irr!BH7)),IF(AND(up_Irr!J7=".",up_Irr!AI7&lt;&gt;".",up_Irr!BH7&lt;&gt;"."),up_dir!AK7/((1/1000)*(up_Irr!AI7+up_Irr!BH7)),IF(AND(up_Irr!J7=".",up_Irr!AI7=".",up_Irr!BH7&lt;&gt;"."),up_dir!AK7/((1/1000)*(up_Irr!BH7)),IF(AND(up_Irr!J7=".",up_Irr!AI7&lt;&gt;".",up_Irr!BH7="."),up_dir!AK7/((1/1000)*(up_Irr!AI7)),IF(AND(up_Irr!J7&lt;&gt;".",up_Irr!AI7=".",up_Irr!BH7="."),up_dir!AK7/((1/1000)*(up_Irr!J7)),IF(AND(up_Irr!J7=".",up_Irr!AI7=".",up_Irr!BH7="."),up_dir!AK7*1000)))))))),".")</f>
        <v>6.5773651144152131E-4</v>
      </c>
      <c r="BL7" s="70">
        <f>IFERROR(IF(AND(up_Irr!K7&lt;&gt;".",up_Irr!AJ7&lt;&gt;".",up_Irr!BI7&lt;&gt;"."),up_dir!AL7/((1/1000)*(up_Irr!K7+up_Irr!AJ7+up_Irr!BI7)),IF(AND(up_Irr!K7&lt;&gt;".",up_Irr!AJ7&lt;&gt;".",up_Irr!BI7="."),up_dir!AL7/((1/1000)*(up_Irr!K7+up_Irr!AJ7)),IF(AND(up_Irr!K7&lt;&gt;".",up_Irr!AJ7=".",up_Irr!BI7&lt;&gt;"."),up_dir!AL7/((1/1000)*(up_Irr!K7+up_Irr!BI7)),IF(AND(up_Irr!K7=".",up_Irr!AJ7&lt;&gt;".",up_Irr!BI7&lt;&gt;"."),up_dir!AL7/((1/1000)*(up_Irr!AJ7+up_Irr!BI7)),IF(AND(up_Irr!K7=".",up_Irr!AJ7=".",up_Irr!BI7&lt;&gt;"."),up_dir!AL7/((1/1000)*(up_Irr!BI7)),IF(AND(up_Irr!K7=".",up_Irr!AJ7&lt;&gt;".",up_Irr!BI7="."),up_dir!AL7/((1/1000)*(up_Irr!AJ7)),IF(AND(up_Irr!K7&lt;&gt;".",up_Irr!AJ7=".",up_Irr!BI7="."),up_dir!AL7/((1/1000)*(up_Irr!K7)),IF(AND(up_Irr!K7=".",up_Irr!AJ7=".",up_Irr!BI7="."),up_dir!AL7*1000)))))))),".")</f>
        <v>6.5773651144152131E-4</v>
      </c>
      <c r="BM7" s="70">
        <f>IFERROR(IF(AND(up_Irr!L7&lt;&gt;".",up_Irr!AK7&lt;&gt;".",up_Irr!BJ7&lt;&gt;"."),up_dir!AM7/((1/1000)*(up_Irr!L7+up_Irr!AK7+up_Irr!BJ7)),IF(AND(up_Irr!L7&lt;&gt;".",up_Irr!AK7&lt;&gt;".",up_Irr!BJ7="."),up_dir!AM7/((1/1000)*(up_Irr!L7+up_Irr!AK7)),IF(AND(up_Irr!L7&lt;&gt;".",up_Irr!AK7=".",up_Irr!BJ7&lt;&gt;"."),up_dir!AM7/((1/1000)*(up_Irr!L7+up_Irr!BJ7)),IF(AND(up_Irr!L7=".",up_Irr!AK7&lt;&gt;".",up_Irr!BJ7&lt;&gt;"."),up_dir!AM7/((1/1000)*(up_Irr!AK7+up_Irr!BJ7)),IF(AND(up_Irr!L7=".",up_Irr!AK7=".",up_Irr!BJ7&lt;&gt;"."),up_dir!AM7/((1/1000)*(up_Irr!BJ7)),IF(AND(up_Irr!L7=".",up_Irr!AK7&lt;&gt;".",up_Irr!BJ7="."),up_dir!AM7/((1/1000)*(up_Irr!AK7)),IF(AND(up_Irr!L7&lt;&gt;".",up_Irr!AK7=".",up_Irr!BJ7="."),up_dir!AM7/((1/1000)*(up_Irr!L7)),IF(AND(up_Irr!L7=".",up_Irr!AK7=".",up_Irr!BJ7="."),up_dir!AM7*1000)))))))),".")</f>
        <v>6.5773651144152131E-4</v>
      </c>
      <c r="BN7" s="70">
        <f>IFERROR(IF(AND(up_Irr!M7&lt;&gt;".",up_Irr!AL7&lt;&gt;".",up_Irr!BK7&lt;&gt;"."),up_dir!AN7/((1/1000)*(up_Irr!M7+up_Irr!AL7+up_Irr!BK7)),IF(AND(up_Irr!M7&lt;&gt;".",up_Irr!AL7&lt;&gt;".",up_Irr!BK7="."),up_dir!AN7/((1/1000)*(up_Irr!M7+up_Irr!AL7)),IF(AND(up_Irr!M7&lt;&gt;".",up_Irr!AL7=".",up_Irr!BK7&lt;&gt;"."),up_dir!AN7/((1/1000)*(up_Irr!M7+up_Irr!BK7)),IF(AND(up_Irr!M7=".",up_Irr!AL7&lt;&gt;".",up_Irr!BK7&lt;&gt;"."),up_dir!AN7/((1/1000)*(up_Irr!AL7+up_Irr!BK7)),IF(AND(up_Irr!M7=".",up_Irr!AL7=".",up_Irr!BK7&lt;&gt;"."),up_dir!AN7/((1/1000)*(up_Irr!BK7)),IF(AND(up_Irr!M7=".",up_Irr!AL7&lt;&gt;".",up_Irr!BK7="."),up_dir!AN7/((1/1000)*(up_Irr!AL7)),IF(AND(up_Irr!M7&lt;&gt;".",up_Irr!AL7=".",up_Irr!BK7="."),up_dir!AN7/((1/1000)*(up_Irr!M7)),IF(AND(up_Irr!M7=".",up_Irr!AL7=".",up_Irr!BK7="."),up_dir!AN7*1000)))))))),".")</f>
        <v>6.5773651144152131E-4</v>
      </c>
      <c r="BO7" s="70">
        <f>IFERROR(IF(AND(up_Irr!N7&lt;&gt;".",up_Irr!AM7&lt;&gt;".",up_Irr!BL7&lt;&gt;"."),up_dir!AO7/((1/1000)*(up_Irr!N7+up_Irr!AM7+up_Irr!BL7)),IF(AND(up_Irr!N7&lt;&gt;".",up_Irr!AM7&lt;&gt;".",up_Irr!BL7="."),up_dir!AO7/((1/1000)*(up_Irr!N7+up_Irr!AM7)),IF(AND(up_Irr!N7&lt;&gt;".",up_Irr!AM7=".",up_Irr!BL7&lt;&gt;"."),up_dir!AO7/((1/1000)*(up_Irr!N7+up_Irr!BL7)),IF(AND(up_Irr!N7=".",up_Irr!AM7&lt;&gt;".",up_Irr!BL7&lt;&gt;"."),up_dir!AO7/((1/1000)*(up_Irr!AM7+up_Irr!BL7)),IF(AND(up_Irr!N7=".",up_Irr!AM7=".",up_Irr!BL7&lt;&gt;"."),up_dir!AO7/((1/1000)*(up_Irr!BL7)),IF(AND(up_Irr!N7=".",up_Irr!AM7&lt;&gt;".",up_Irr!BL7="."),up_dir!AO7/((1/1000)*(up_Irr!AM7)),IF(AND(up_Irr!N7&lt;&gt;".",up_Irr!AM7=".",up_Irr!BL7="."),up_dir!AO7/((1/1000)*(up_Irr!N7)),IF(AND(up_Irr!N7=".",up_Irr!AM7=".",up_Irr!BL7="."),up_dir!AO7*1000)))))))),".")</f>
        <v>6.5773651144152131E-4</v>
      </c>
      <c r="BP7" s="70">
        <f>IFERROR(IF(AND(up_Irr!O7&lt;&gt;".",up_Irr!AN7&lt;&gt;".",up_Irr!BM7&lt;&gt;"."),up_dir!AP7/((1/1000)*(up_Irr!O7+up_Irr!AN7+up_Irr!BM7)),IF(AND(up_Irr!O7&lt;&gt;".",up_Irr!AN7&lt;&gt;".",up_Irr!BM7="."),up_dir!AP7/((1/1000)*(up_Irr!O7+up_Irr!AN7)),IF(AND(up_Irr!O7&lt;&gt;".",up_Irr!AN7=".",up_Irr!BM7&lt;&gt;"."),up_dir!AP7/((1/1000)*(up_Irr!O7+up_Irr!BM7)),IF(AND(up_Irr!O7=".",up_Irr!AN7&lt;&gt;".",up_Irr!BM7&lt;&gt;"."),up_dir!AP7/((1/1000)*(up_Irr!AN7+up_Irr!BM7)),IF(AND(up_Irr!O7=".",up_Irr!AN7=".",up_Irr!BM7&lt;&gt;"."),up_dir!AP7/((1/1000)*(up_Irr!BM7)),IF(AND(up_Irr!O7=".",up_Irr!AN7&lt;&gt;".",up_Irr!BM7="."),up_dir!AP7/((1/1000)*(up_Irr!AN7)),IF(AND(up_Irr!O7&lt;&gt;".",up_Irr!AN7=".",up_Irr!BM7="."),up_dir!AP7/((1/1000)*(up_Irr!O7)),IF(AND(up_Irr!O7=".",up_Irr!AN7=".",up_Irr!BM7="."),up_dir!AP7*1000)))))))),".")</f>
        <v>6.5773651144152131E-4</v>
      </c>
      <c r="BQ7" s="70">
        <f>IFERROR(IF(AND(up_Irr!P7&lt;&gt;".",up_Irr!AO7&lt;&gt;".",up_Irr!BN7&lt;&gt;"."),up_dir!AQ7/((1/1000)*(up_Irr!P7+up_Irr!AO7+up_Irr!BN7)),IF(AND(up_Irr!P7&lt;&gt;".",up_Irr!AO7&lt;&gt;".",up_Irr!BN7="."),up_dir!AQ7/((1/1000)*(up_Irr!P7+up_Irr!AO7)),IF(AND(up_Irr!P7&lt;&gt;".",up_Irr!AO7=".",up_Irr!BN7&lt;&gt;"."),up_dir!AQ7/((1/1000)*(up_Irr!P7+up_Irr!BN7)),IF(AND(up_Irr!P7=".",up_Irr!AO7&lt;&gt;".",up_Irr!BN7&lt;&gt;"."),up_dir!AQ7/((1/1000)*(up_Irr!AO7+up_Irr!BN7)),IF(AND(up_Irr!P7=".",up_Irr!AO7=".",up_Irr!BN7&lt;&gt;"."),up_dir!AQ7/((1/1000)*(up_Irr!BN7)),IF(AND(up_Irr!P7=".",up_Irr!AO7&lt;&gt;".",up_Irr!BN7="."),up_dir!AQ7/((1/1000)*(up_Irr!AO7)),IF(AND(up_Irr!P7&lt;&gt;".",up_Irr!AO7=".",up_Irr!BN7="."),up_dir!AQ7/((1/1000)*(up_Irr!P7)),IF(AND(up_Irr!P7=".",up_Irr!AO7=".",up_Irr!BN7="."),up_dir!AQ7*1000)))))))),".")</f>
        <v>6.5773651144152131E-4</v>
      </c>
      <c r="BR7" s="70">
        <f>IFERROR(IF(AND(up_Irr!Q7&lt;&gt;".",up_Irr!AP7&lt;&gt;".",up_Irr!BO7&lt;&gt;"."),up_dir!AR7/((1/1000)*(up_Irr!Q7+up_Irr!AP7+up_Irr!BO7)),IF(AND(up_Irr!Q7&lt;&gt;".",up_Irr!AP7&lt;&gt;".",up_Irr!BO7="."),up_dir!AR7/((1/1000)*(up_Irr!Q7+up_Irr!AP7)),IF(AND(up_Irr!Q7&lt;&gt;".",up_Irr!AP7=".",up_Irr!BO7&lt;&gt;"."),up_dir!AR7/((1/1000)*(up_Irr!Q7+up_Irr!BO7)),IF(AND(up_Irr!Q7=".",up_Irr!AP7&lt;&gt;".",up_Irr!BO7&lt;&gt;"."),up_dir!AR7/((1/1000)*(up_Irr!AP7+up_Irr!BO7)),IF(AND(up_Irr!Q7=".",up_Irr!AP7=".",up_Irr!BO7&lt;&gt;"."),up_dir!AR7/((1/1000)*(up_Irr!BO7)),IF(AND(up_Irr!Q7=".",up_Irr!AP7&lt;&gt;".",up_Irr!BO7="."),up_dir!AR7/((1/1000)*(up_Irr!AP7)),IF(AND(up_Irr!Q7&lt;&gt;".",up_Irr!AP7=".",up_Irr!BO7="."),up_dir!AR7/((1/1000)*(up_Irr!Q7)),IF(AND(up_Irr!Q7=".",up_Irr!AP7=".",up_Irr!BO7="."),up_dir!AR7*1000)))))))),".")</f>
        <v>6.5773651144152131E-4</v>
      </c>
      <c r="BS7" s="70">
        <f>IFERROR(IF(AND(up_Irr!R7&lt;&gt;".",up_Irr!AQ7&lt;&gt;".",up_Irr!BP7&lt;&gt;"."),up_dir!AS7/((1/1000)*(up_Irr!R7+up_Irr!AQ7+up_Irr!BP7)),IF(AND(up_Irr!R7&lt;&gt;".",up_Irr!AQ7&lt;&gt;".",up_Irr!BP7="."),up_dir!AS7/((1/1000)*(up_Irr!R7+up_Irr!AQ7)),IF(AND(up_Irr!R7&lt;&gt;".",up_Irr!AQ7=".",up_Irr!BP7&lt;&gt;"."),up_dir!AS7/((1/1000)*(up_Irr!R7+up_Irr!BP7)),IF(AND(up_Irr!R7=".",up_Irr!AQ7&lt;&gt;".",up_Irr!BP7&lt;&gt;"."),up_dir!AS7/((1/1000)*(up_Irr!AQ7+up_Irr!BP7)),IF(AND(up_Irr!R7=".",up_Irr!AQ7=".",up_Irr!BP7&lt;&gt;"."),up_dir!AS7/((1/1000)*(up_Irr!BP7)),IF(AND(up_Irr!R7=".",up_Irr!AQ7&lt;&gt;".",up_Irr!BP7="."),up_dir!AS7/((1/1000)*(up_Irr!AQ7)),IF(AND(up_Irr!R7&lt;&gt;".",up_Irr!AQ7=".",up_Irr!BP7="."),up_dir!AS7/((1/1000)*(up_Irr!R7)),IF(AND(up_Irr!R7=".",up_Irr!AQ7=".",up_Irr!BP7="."),up_dir!AS7*1000)))))))),".")</f>
        <v>6.5773651144152131E-4</v>
      </c>
      <c r="BT7" s="70">
        <f>IFERROR(IF(AND(up_Irr!S7&lt;&gt;".",up_Irr!AR7&lt;&gt;".",up_Irr!BQ7&lt;&gt;"."),up_dir!AT7/((1/1000)*(up_Irr!S7+up_Irr!AR7+up_Irr!BQ7)),IF(AND(up_Irr!S7&lt;&gt;".",up_Irr!AR7&lt;&gt;".",up_Irr!BQ7="."),up_dir!AT7/((1/1000)*(up_Irr!S7+up_Irr!AR7)),IF(AND(up_Irr!S7&lt;&gt;".",up_Irr!AR7=".",up_Irr!BQ7&lt;&gt;"."),up_dir!AT7/((1/1000)*(up_Irr!S7+up_Irr!BQ7)),IF(AND(up_Irr!S7=".",up_Irr!AR7&lt;&gt;".",up_Irr!BQ7&lt;&gt;"."),up_dir!AT7/((1/1000)*(up_Irr!AR7+up_Irr!BQ7)),IF(AND(up_Irr!S7=".",up_Irr!AR7=".",up_Irr!BQ7&lt;&gt;"."),up_dir!AT7/((1/1000)*(up_Irr!BQ7)),IF(AND(up_Irr!S7=".",up_Irr!AR7&lt;&gt;".",up_Irr!BQ7="."),up_dir!AT7/((1/1000)*(up_Irr!AR7)),IF(AND(up_Irr!S7&lt;&gt;".",up_Irr!AR7=".",up_Irr!BQ7="."),up_dir!AT7/((1/1000)*(up_Irr!S7)),IF(AND(up_Irr!S7=".",up_Irr!AR7=".",up_Irr!BQ7="."),up_dir!AT7*1000)))))))),".")</f>
        <v>6.5773651144152131E-4</v>
      </c>
      <c r="BU7" s="70">
        <f>IFERROR(IF(AND(up_Irr!T7&lt;&gt;".",up_Irr!AS7&lt;&gt;".",up_Irr!BR7&lt;&gt;"."),up_dir!AU7/((1/1000)*(up_Irr!T7+up_Irr!AS7+up_Irr!BR7)),IF(AND(up_Irr!T7&lt;&gt;".",up_Irr!AS7&lt;&gt;".",up_Irr!BR7="."),up_dir!AU7/((1/1000)*(up_Irr!T7+up_Irr!AS7)),IF(AND(up_Irr!T7&lt;&gt;".",up_Irr!AS7=".",up_Irr!BR7&lt;&gt;"."),up_dir!AU7/((1/1000)*(up_Irr!T7+up_Irr!BR7)),IF(AND(up_Irr!T7=".",up_Irr!AS7&lt;&gt;".",up_Irr!BR7&lt;&gt;"."),up_dir!AU7/((1/1000)*(up_Irr!AS7+up_Irr!BR7)),IF(AND(up_Irr!T7=".",up_Irr!AS7=".",up_Irr!BR7&lt;&gt;"."),up_dir!AU7/((1/1000)*(up_Irr!BR7)),IF(AND(up_Irr!T7=".",up_Irr!AS7&lt;&gt;".",up_Irr!BR7="."),up_dir!AU7/((1/1000)*(up_Irr!AS7)),IF(AND(up_Irr!T7&lt;&gt;".",up_Irr!AS7=".",up_Irr!BR7="."),up_dir!AU7/((1/1000)*(up_Irr!T7)),IF(AND(up_Irr!T7=".",up_Irr!AS7=".",up_Irr!BR7="."),up_dir!AU7*1000)))))))),".")</f>
        <v>6.5773651144152131E-4</v>
      </c>
      <c r="BV7" s="70">
        <f>IFERROR(IF(AND(up_Irr!U7&lt;&gt;".",up_Irr!AT7&lt;&gt;".",up_Irr!BS7&lt;&gt;"."),up_dir!AV7/((1/1000)*(up_Irr!U7+up_Irr!AT7+up_Irr!BS7)),IF(AND(up_Irr!U7&lt;&gt;".",up_Irr!AT7&lt;&gt;".",up_Irr!BS7="."),up_dir!AV7/((1/1000)*(up_Irr!U7+up_Irr!AT7)),IF(AND(up_Irr!U7&lt;&gt;".",up_Irr!AT7=".",up_Irr!BS7&lt;&gt;"."),up_dir!AV7/((1/1000)*(up_Irr!U7+up_Irr!BS7)),IF(AND(up_Irr!U7=".",up_Irr!AT7&lt;&gt;".",up_Irr!BS7&lt;&gt;"."),up_dir!AV7/((1/1000)*(up_Irr!AT7+up_Irr!BS7)),IF(AND(up_Irr!U7=".",up_Irr!AT7=".",up_Irr!BS7&lt;&gt;"."),up_dir!AV7/((1/1000)*(up_Irr!BS7)),IF(AND(up_Irr!U7=".",up_Irr!AT7&lt;&gt;".",up_Irr!BS7="."),up_dir!AV7/((1/1000)*(up_Irr!AT7)),IF(AND(up_Irr!U7&lt;&gt;".",up_Irr!AT7=".",up_Irr!BS7="."),up_dir!AV7/((1/1000)*(up_Irr!U7)),IF(AND(up_Irr!U7=".",up_Irr!AT7=".",up_Irr!BS7="."),up_dir!AV7*1000)))))))),".")</f>
        <v>6.5773651144152131E-4</v>
      </c>
      <c r="BW7" s="70">
        <f>IFERROR(IF(AND(up_Irr!V7&lt;&gt;".",up_Irr!AU7&lt;&gt;".",up_Irr!BT7&lt;&gt;"."),up_dir!AW7/((1/1000)*(up_Irr!V7+up_Irr!AU7+up_Irr!BT7)),IF(AND(up_Irr!V7&lt;&gt;".",up_Irr!AU7&lt;&gt;".",up_Irr!BT7="."),up_dir!AW7/((1/1000)*(up_Irr!V7+up_Irr!AU7)),IF(AND(up_Irr!V7&lt;&gt;".",up_Irr!AU7=".",up_Irr!BT7&lt;&gt;"."),up_dir!AW7/((1/1000)*(up_Irr!V7+up_Irr!BT7)),IF(AND(up_Irr!V7=".",up_Irr!AU7&lt;&gt;".",up_Irr!BT7&lt;&gt;"."),up_dir!AW7/((1/1000)*(up_Irr!AU7+up_Irr!BT7)),IF(AND(up_Irr!V7=".",up_Irr!AU7=".",up_Irr!BT7&lt;&gt;"."),up_dir!AW7/((1/1000)*(up_Irr!BT7)),IF(AND(up_Irr!V7=".",up_Irr!AU7&lt;&gt;".",up_Irr!BT7="."),up_dir!AW7/((1/1000)*(up_Irr!AU7)),IF(AND(up_Irr!V7&lt;&gt;".",up_Irr!AU7=".",up_Irr!BT7="."),up_dir!AW7/((1/1000)*(up_Irr!V7)),IF(AND(up_Irr!V7=".",up_Irr!AU7=".",up_Irr!BT7="."),up_dir!AW7*1000)))))))),".")</f>
        <v>6.5773651144152131E-4</v>
      </c>
      <c r="BX7" s="70">
        <f>IFERROR(IF(AND(up_Irr!W7&lt;&gt;".",up_Irr!AV7&lt;&gt;".",up_Irr!BU7&lt;&gt;"."),up_dir!AX7/((1/1000)*(up_Irr!W7+up_Irr!AV7+up_Irr!BU7)),IF(AND(up_Irr!W7&lt;&gt;".",up_Irr!AV7&lt;&gt;".",up_Irr!BU7="."),up_dir!AX7/((1/1000)*(up_Irr!W7+up_Irr!AV7)),IF(AND(up_Irr!W7&lt;&gt;".",up_Irr!AV7=".",up_Irr!BU7&lt;&gt;"."),up_dir!AX7/((1/1000)*(up_Irr!W7+up_Irr!BU7)),IF(AND(up_Irr!W7=".",up_Irr!AV7&lt;&gt;".",up_Irr!BU7&lt;&gt;"."),up_dir!AX7/((1/1000)*(up_Irr!AV7+up_Irr!BU7)),IF(AND(up_Irr!W7=".",up_Irr!AV7=".",up_Irr!BU7&lt;&gt;"."),up_dir!AX7/((1/1000)*(up_Irr!BU7)),IF(AND(up_Irr!W7=".",up_Irr!AV7&lt;&gt;".",up_Irr!BU7="."),up_dir!AX7/((1/1000)*(up_Irr!AV7)),IF(AND(up_Irr!W7&lt;&gt;".",up_Irr!AV7=".",up_Irr!BU7="."),up_dir!AX7/((1/1000)*(up_Irr!W7)),IF(AND(up_Irr!W7=".",up_Irr!AV7=".",up_Irr!BU7="."),up_dir!AX7*1000)))))))),".")</f>
        <v>6.5773651144152131E-4</v>
      </c>
      <c r="BY7" s="70">
        <f>IFERROR(IF(AND(up_Irr!X7&lt;&gt;".",up_Irr!AW7&lt;&gt;".",up_Irr!BV7&lt;&gt;"."),up_dir!AY7/((1/1000)*(up_Irr!X7+up_Irr!AW7+up_Irr!BV7)),IF(AND(up_Irr!X7&lt;&gt;".",up_Irr!AW7&lt;&gt;".",up_Irr!BV7="."),up_dir!AY7/((1/1000)*(up_Irr!X7+up_Irr!AW7)),IF(AND(up_Irr!X7&lt;&gt;".",up_Irr!AW7=".",up_Irr!BV7&lt;&gt;"."),up_dir!AY7/((1/1000)*(up_Irr!X7+up_Irr!BV7)),IF(AND(up_Irr!X7=".",up_Irr!AW7&lt;&gt;".",up_Irr!BV7&lt;&gt;"."),up_dir!AY7/((1/1000)*(up_Irr!AW7+up_Irr!BV7)),IF(AND(up_Irr!X7=".",up_Irr!AW7=".",up_Irr!BV7&lt;&gt;"."),up_dir!AY7/((1/1000)*(up_Irr!BV7)),IF(AND(up_Irr!X7=".",up_Irr!AW7&lt;&gt;".",up_Irr!BV7="."),up_dir!AY7/((1/1000)*(up_Irr!AW7)),IF(AND(up_Irr!X7&lt;&gt;".",up_Irr!AW7=".",up_Irr!BV7="."),up_dir!AY7/((1/1000)*(up_Irr!X7)),IF(AND(up_Irr!X7=".",up_Irr!AW7=".",up_Irr!BV7="."),up_dir!AY7*1000)))))))),".")</f>
        <v>6.5773651144152131E-4</v>
      </c>
      <c r="BZ7" s="70">
        <f>IFERROR(IF(AND(up_Irr!Y7&lt;&gt;".",up_Irr!AX7&lt;&gt;".",up_Irr!BW7&lt;&gt;"."),up_dir!AZ7/((1/1000)*(up_Irr!Y7+up_Irr!AX7+up_Irr!BW7)),IF(AND(up_Irr!Y7&lt;&gt;".",up_Irr!AX7&lt;&gt;".",up_Irr!BW7="."),up_dir!AZ7/((1/1000)*(up_Irr!Y7+up_Irr!AX7)),IF(AND(up_Irr!Y7&lt;&gt;".",up_Irr!AX7=".",up_Irr!BW7&lt;&gt;"."),up_dir!AZ7/((1/1000)*(up_Irr!Y7+up_Irr!BW7)),IF(AND(up_Irr!Y7=".",up_Irr!AX7&lt;&gt;".",up_Irr!BW7&lt;&gt;"."),up_dir!AZ7/((1/1000)*(up_Irr!AX7+up_Irr!BW7)),IF(AND(up_Irr!Y7=".",up_Irr!AX7=".",up_Irr!BW7&lt;&gt;"."),up_dir!AZ7/((1/1000)*(up_Irr!BW7)),IF(AND(up_Irr!Y7=".",up_Irr!AX7&lt;&gt;".",up_Irr!BW7="."),up_dir!AZ7/((1/1000)*(up_Irr!AX7)),IF(AND(up_Irr!Y7&lt;&gt;".",up_Irr!AX7=".",up_Irr!BW7="."),up_dir!AZ7/((1/1000)*(up_Irr!Y7)),IF(AND(up_Irr!Y7=".",up_Irr!AX7=".",up_Irr!BW7="."),up_dir!AZ7*1000)))))))),".")</f>
        <v>6.5773651144152131E-4</v>
      </c>
      <c r="CA7" s="70">
        <f>IFERROR(IF(AND(up_Irr!Z7&lt;&gt;".",up_Irr!AY7&lt;&gt;".",up_Irr!BX7&lt;&gt;"."),up_dir!BA7/((1/1000)*(up_Irr!Z7+up_Irr!AY7+up_Irr!BX7)),IF(AND(up_Irr!Z7&lt;&gt;".",up_Irr!AY7&lt;&gt;".",up_Irr!BX7="."),up_dir!BA7/((1/1000)*(up_Irr!Z7+up_Irr!AY7)),IF(AND(up_Irr!Z7&lt;&gt;".",up_Irr!AY7=".",up_Irr!BX7&lt;&gt;"."),up_dir!BA7/((1/1000)*(up_Irr!Z7+up_Irr!BX7)),IF(AND(up_Irr!Z7=".",up_Irr!AY7&lt;&gt;".",up_Irr!BX7&lt;&gt;"."),up_dir!BA7/((1/1000)*(up_Irr!AY7+up_Irr!BX7)),IF(AND(up_Irr!Z7=".",up_Irr!AY7=".",up_Irr!BX7&lt;&gt;"."),up_dir!BA7/((1/1000)*(up_Irr!BX7)),IF(AND(up_Irr!Z7=".",up_Irr!AY7&lt;&gt;".",up_Irr!BX7="."),up_dir!BA7/((1/1000)*(up_Irr!AY7)),IF(AND(up_Irr!Z7&lt;&gt;".",up_Irr!AY7=".",up_Irr!BX7="."),up_dir!BA7/((1/1000)*(up_Irr!Z7)),IF(AND(up_Irr!Z7=".",up_Irr!AY7=".",up_Irr!BX7="."),up_dir!BA7*1000)))))))),".")</f>
        <v>6.5773651144152131E-4</v>
      </c>
      <c r="CB7" s="70">
        <f>IFERROR(IF(AND(up_Irr!AA7&lt;&gt;".",up_Irr!AZ7&lt;&gt;".",up_Irr!BY7&lt;&gt;"."),up_dir!BB7/((1/1000)*(up_Irr!AA7+up_Irr!AZ7+up_Irr!BY7)),IF(AND(up_Irr!AA7&lt;&gt;".",up_Irr!AZ7&lt;&gt;".",up_Irr!BY7="."),up_dir!BB7/((1/1000)*(up_Irr!AA7+up_Irr!AZ7)),IF(AND(up_Irr!AA7&lt;&gt;".",up_Irr!AZ7=".",up_Irr!BY7&lt;&gt;"."),up_dir!BB7/((1/1000)*(up_Irr!AA7+up_Irr!BY7)),IF(AND(up_Irr!AA7=".",up_Irr!AZ7&lt;&gt;".",up_Irr!BY7&lt;&gt;"."),up_dir!BB7/((1/1000)*(up_Irr!AZ7+up_Irr!BY7)),IF(AND(up_Irr!AA7=".",up_Irr!AZ7=".",up_Irr!BY7&lt;&gt;"."),up_dir!BB7/((1/1000)*(up_Irr!BY7)),IF(AND(up_Irr!AA7=".",up_Irr!AZ7&lt;&gt;".",up_Irr!BY7="."),up_dir!BB7/((1/1000)*(up_Irr!AZ7)),IF(AND(up_Irr!AA7&lt;&gt;".",up_Irr!AZ7=".",up_Irr!BY7="."),up_dir!BB7/((1/1000)*(up_Irr!AA7)),IF(AND(up_Irr!AA7=".",up_Irr!AZ7=".",up_Irr!BY7="."),up_dir!BB7*1000)))))))),".")</f>
        <v>6.5773651144152131E-4</v>
      </c>
      <c r="CC7" s="87">
        <f t="shared" si="3"/>
        <v>30407.313038114935</v>
      </c>
      <c r="CD7" s="87">
        <f>IFERROR(s_C*s_IFAP_far_adj*s_CF_apple*(1/1000)*(up_Irr!C7+up_Irr!AB7+up_Irr!BA7),".")</f>
        <v>7601.8282595287337</v>
      </c>
      <c r="CE7" s="87">
        <f>IFERROR(s_C*s_IFAS_far_adj*s_CF_asparagus*(1/1000)*(up_Irr!D7+up_Irr!AC7+up_Irr!BB7),".")</f>
        <v>7601.8282595287337</v>
      </c>
      <c r="CF7" s="87">
        <f>IFERROR(s_C*s_IFBT_far_adj*s_CF_beet*(1/1000)*(up_Irr!E7+up_Irr!AD7+up_Irr!BC7),".")</f>
        <v>7601.8282595287337</v>
      </c>
      <c r="CG7" s="87">
        <f>IFERROR(s_C*s_IFBE_far_adj*s_CF_berries*(1/1000)*(up_Irr!F7+up_Irr!AE7+up_Irr!BD7),".")</f>
        <v>7601.8282595287337</v>
      </c>
      <c r="CH7" s="87">
        <f>IFERROR(s_C*s_IFBR_far_adj*s_CF_broccoli*(1/1000)*(up_Irr!G7+up_Irr!AF7+up_Irr!BE7),".")</f>
        <v>7601.8282595287337</v>
      </c>
      <c r="CI7" s="87">
        <f>IFERROR(s_C*s_IFCB_far_adj*s_CF_cabbage*(1/1000)*(up_Irr!H7+up_Irr!AG7+up_Irr!BF7),".")</f>
        <v>7601.8282595287337</v>
      </c>
      <c r="CJ7" s="87">
        <f>IFERROR(s_C*s_IFCR_far_adj*s_CF_carrot*(1/1000)*(up_Irr!I7+up_Irr!AH7+up_Irr!BG7),".")</f>
        <v>7601.8282595287337</v>
      </c>
      <c r="CK7" s="87">
        <f>IFERROR(s_C*s_IFCI_far_adj*s_CF_citrus*(1/1000)*(up_Irr!J7+up_Irr!AI7+up_Irr!BH7),".")</f>
        <v>7601.8282595287337</v>
      </c>
      <c r="CL7" s="87">
        <f>IFERROR(s_C*s_IFCO_far_adj*s_CF_corn*(1/1000)*(up_Irr!K7+up_Irr!AJ7+up_Irr!BI7),".")</f>
        <v>7601.8282595287337</v>
      </c>
      <c r="CM7" s="87">
        <f>IFERROR(s_C*s_IFCU_far_adj*s_CF_cucumber*(1/1000)*(up_Irr!L7+up_Irr!AK7+up_Irr!BJ7),".")</f>
        <v>7601.8282595287337</v>
      </c>
      <c r="CN7" s="87">
        <f>IFERROR(s_C*s_IFLE_far_adj*s_CF_lettuce*(1/1000)*(up_Irr!M7+up_Irr!AL7+up_Irr!BK7),".")</f>
        <v>7601.8282595287337</v>
      </c>
      <c r="CO7" s="87">
        <f>IFERROR(s_C*s_IFLI_far_adj*s_CF_lima_bean*(1/1000)*(up_Irr!N7+up_Irr!AM7+up_Irr!BL7),".")</f>
        <v>7601.8282595287337</v>
      </c>
      <c r="CP7" s="87">
        <f>IFERROR(s_C*s_IFOK_far_adj*s_CF_okra*(1/1000)*(up_Irr!O7+up_Irr!AN7+up_Irr!BM7),".")</f>
        <v>7601.8282595287337</v>
      </c>
      <c r="CQ7" s="87">
        <f>IFERROR(s_C*s_IFON_far_adj*s_CF_onion*(1/1000)*(up_Irr!P7+up_Irr!AO7+up_Irr!BN7),".")</f>
        <v>7601.8282595287337</v>
      </c>
      <c r="CR7" s="87">
        <f>IFERROR(s_C*s_IFPC_far_adj*s_CF_peach*(1/1000)*(up_Irr!Q7+up_Irr!AP7+up_Irr!BO7),".")</f>
        <v>7601.8282595287337</v>
      </c>
      <c r="CS7" s="87">
        <f>IFERROR(s_C*s_IFPR_far_adj*s_CF_pear*(1/1000)*(up_Irr!R7+up_Irr!AQ7+up_Irr!BP7),".")</f>
        <v>7601.8282595287337</v>
      </c>
      <c r="CT7" s="87">
        <f>IFERROR(s_C*s_IFPE_far_adj*s_CF_peas*(1/1000)*(up_Irr!S7+up_Irr!AR7+up_Irr!BQ7),".")</f>
        <v>7601.8282595287337</v>
      </c>
      <c r="CU7" s="87">
        <f>IFERROR(s_C*s_IFPP_far_adj*s_CF_peppers*(1/1000)*(up_Irr!T7+up_Irr!AS7+up_Irr!BR7),".")</f>
        <v>7601.8282595287337</v>
      </c>
      <c r="CV7" s="87">
        <f>IFERROR(s_C*s_IFPT_far_adj*s_CF_potato*(1/1000)*(up_Irr!U7+up_Irr!AT7+up_Irr!BS7),".")</f>
        <v>7601.8282595287337</v>
      </c>
      <c r="CW7" s="87">
        <f>IFERROR(s_C*s_IFPU_far_adj*s_CF_pumpkin*(1/1000)*(up_Irr!V7+up_Irr!AU7+up_Irr!BT7),".")</f>
        <v>7601.8282595287337</v>
      </c>
      <c r="CX7" s="87">
        <f>IFERROR(s_C*s_IFSN_far_adj*s_CF_snap_bean*(1/1000)*(up_Irr!W7+up_Irr!AV7+up_Irr!BU7),".")</f>
        <v>7601.8282595287337</v>
      </c>
      <c r="CY7" s="87">
        <f>IFERROR(s_C*s_IFST_far_adj*s_CF_strawberry*(1/1000)*(up_Irr!X7+up_Irr!AW7+up_Irr!BV7),".")</f>
        <v>7601.8282595287337</v>
      </c>
      <c r="CZ7" s="87">
        <f>IFERROR(s_C*s_IFTO_far_adj*s_CF_tomato*(1/1000)*(up_Irr!Y7+up_Irr!AX7+up_Irr!BW7),".")</f>
        <v>7601.8282595287337</v>
      </c>
      <c r="DA7" s="87">
        <f>IFERROR(s_C*s_IFRI_far_adj*s_CF_rice*(1/1000)*(up_Irr!Z7+up_Irr!AY7+up_Irr!BX7),".")</f>
        <v>7601.8282595287337</v>
      </c>
      <c r="DB7" s="87">
        <f>IFERROR(s_C*s_IFCG_far_adj*s_CF_cereal*(1/1000)*(up_Irr!AA7+up_Irr!AZ7+up_Irr!BY7),".")</f>
        <v>7601.8282595287337</v>
      </c>
    </row>
    <row r="8" spans="1:106" ht="15" customHeight="1" x14ac:dyDescent="0.25">
      <c r="A8" s="86" t="s">
        <v>6</v>
      </c>
      <c r="B8" s="84" t="s">
        <v>1057</v>
      </c>
      <c r="C8" s="15">
        <f t="shared" si="0"/>
        <v>1.6443412786038033E-4</v>
      </c>
      <c r="D8" s="70">
        <f>IFERROR(IF(AND(up_Irr!C8&lt;&gt;".",up_Irr!AB8&lt;&gt;".",up_Irr!BA8&lt;&gt;"."),up_dir!D8/((1/1000)*(up_Irr!C8+up_Irr!AB8+up_Irr!BA8)),IF(AND(up_Irr!C8&lt;&gt;".",up_Irr!AB8&lt;&gt;".",up_Irr!BA8="."),up_dir!D8/((1/1000)*(up_Irr!C8+up_Irr!AB8)),IF(AND(up_Irr!C8&lt;&gt;".",up_Irr!AB8=".",up_Irr!BA8&lt;&gt;"."),up_dir!D8/((1/1000)*(up_Irr!C8+up_Irr!BA8)),IF(AND(up_Irr!C8=".",up_Irr!AB8&lt;&gt;".",up_Irr!BA8&lt;&gt;"."),up_dir!D8/((1/1000)*(up_Irr!AB8+up_Irr!BA8)),IF(AND(up_Irr!C8=".",up_Irr!AB8=".",up_Irr!BA8&lt;&gt;"."),up_dir!D8/((1/1000)*(up_Irr!BA8)),IF(AND(up_Irr!C8=".",up_Irr!AB8&lt;&gt;".",up_Irr!BA8="."),up_dir!D8/((1/1000)*(up_Irr!AB8)),IF(AND(up_Irr!C8&lt;&gt;".",up_Irr!AB8=".",up_Irr!BA8="."),up_dir!D8/((1/1000)*(up_Irr!C8)),IF(AND(up_Irr!C8=".",up_Irr!AB8=".",up_Irr!BA8="."),up_dir!D8*1000)))))))),".")</f>
        <v>6.5773651144152131E-4</v>
      </c>
      <c r="E8" s="70">
        <f>IFERROR(IF(AND(up_Irr!D8&lt;&gt;".",up_Irr!AC8&lt;&gt;".",up_Irr!BB8&lt;&gt;"."),up_dir!E8/((1/1000)*(up_Irr!D8+up_Irr!AC8+up_Irr!BB8)),IF(AND(up_Irr!D8&lt;&gt;".",up_Irr!AC8&lt;&gt;".",up_Irr!BB8="."),up_dir!E8/((1/1000)*(up_Irr!D8+up_Irr!AC8)),IF(AND(up_Irr!D8&lt;&gt;".",up_Irr!AC8=".",up_Irr!BB8&lt;&gt;"."),up_dir!E8/((1/1000)*(up_Irr!D8+up_Irr!BB8)),IF(AND(up_Irr!D8=".",up_Irr!AC8&lt;&gt;".",up_Irr!BB8&lt;&gt;"."),up_dir!E8/((1/1000)*(up_Irr!AC8+up_Irr!BB8)),IF(AND(up_Irr!D8=".",up_Irr!AC8=".",up_Irr!BB8&lt;&gt;"."),up_dir!E8/((1/1000)*(up_Irr!BB8)),IF(AND(up_Irr!D8=".",up_Irr!AC8&lt;&gt;".",up_Irr!BB8="."),up_dir!E8/((1/1000)*(up_Irr!AC8)),IF(AND(up_Irr!D8&lt;&gt;".",up_Irr!AC8=".",up_Irr!BB8="."),up_dir!E8/((1/1000)*(up_Irr!D8)),IF(AND(up_Irr!D8=".",up_Irr!AC8=".",up_Irr!BB8="."),up_dir!E8*1000)))))))),".")</f>
        <v>6.5773651144152131E-4</v>
      </c>
      <c r="F8" s="70">
        <f>IFERROR(IF(AND(up_Irr!E8&lt;&gt;".",up_Irr!AD8&lt;&gt;".",up_Irr!BC8&lt;&gt;"."),up_dir!F8/((1/1000)*(up_Irr!E8+up_Irr!AD8+up_Irr!BC8)),IF(AND(up_Irr!E8&lt;&gt;".",up_Irr!AD8&lt;&gt;".",up_Irr!BC8="."),up_dir!F8/((1/1000)*(up_Irr!E8+up_Irr!AD8)),IF(AND(up_Irr!E8&lt;&gt;".",up_Irr!AD8=".",up_Irr!BC8&lt;&gt;"."),up_dir!F8/((1/1000)*(up_Irr!E8+up_Irr!BC8)),IF(AND(up_Irr!E8=".",up_Irr!AD8&lt;&gt;".",up_Irr!BC8&lt;&gt;"."),up_dir!F8/((1/1000)*(up_Irr!AD8+up_Irr!BC8)),IF(AND(up_Irr!E8=".",up_Irr!AD8=".",up_Irr!BC8&lt;&gt;"."),up_dir!F8/((1/1000)*(up_Irr!BC8)),IF(AND(up_Irr!E8=".",up_Irr!AD8&lt;&gt;".",up_Irr!BC8="."),up_dir!F8/((1/1000)*(up_Irr!AD8)),IF(AND(up_Irr!E8&lt;&gt;".",up_Irr!AD8=".",up_Irr!BC8="."),up_dir!F8/((1/1000)*(up_Irr!E8)),IF(AND(up_Irr!E8=".",up_Irr!AD8=".",up_Irr!BC8="."),up_dir!F8*1000)))))))),".")</f>
        <v>6.5773651144152131E-4</v>
      </c>
      <c r="G8" s="70">
        <f>IFERROR(IF(AND(up_Irr!F8&lt;&gt;".",up_Irr!AE8&lt;&gt;".",up_Irr!BD8&lt;&gt;"."),up_dir!G8/((1/1000)*(up_Irr!F8+up_Irr!AE8+up_Irr!BD8)),IF(AND(up_Irr!F8&lt;&gt;".",up_Irr!AE8&lt;&gt;".",up_Irr!BD8="."),up_dir!G8/((1/1000)*(up_Irr!F8+up_Irr!AE8)),IF(AND(up_Irr!F8&lt;&gt;".",up_Irr!AE8=".",up_Irr!BD8&lt;&gt;"."),up_dir!G8/((1/1000)*(up_Irr!F8+up_Irr!BD8)),IF(AND(up_Irr!F8=".",up_Irr!AE8&lt;&gt;".",up_Irr!BD8&lt;&gt;"."),up_dir!G8/((1/1000)*(up_Irr!AE8+up_Irr!BD8)),IF(AND(up_Irr!F8=".",up_Irr!AE8=".",up_Irr!BD8&lt;&gt;"."),up_dir!G8/((1/1000)*(up_Irr!BD8)),IF(AND(up_Irr!F8=".",up_Irr!AE8&lt;&gt;".",up_Irr!BD8="."),up_dir!G8/((1/1000)*(up_Irr!AE8)),IF(AND(up_Irr!F8&lt;&gt;".",up_Irr!AE8=".",up_Irr!BD8="."),up_dir!G8/((1/1000)*(up_Irr!F8)),IF(AND(up_Irr!F8=".",up_Irr!AE8=".",up_Irr!BD8="."),up_dir!G8*1000)))))))),".")</f>
        <v>6.5773651144152131E-4</v>
      </c>
      <c r="H8" s="70">
        <f>IFERROR(IF(AND(up_Irr!G8&lt;&gt;".",up_Irr!AF8&lt;&gt;".",up_Irr!BE8&lt;&gt;"."),up_dir!H8/((1/1000)*(up_Irr!G8+up_Irr!AF8+up_Irr!BE8)),IF(AND(up_Irr!G8&lt;&gt;".",up_Irr!AF8&lt;&gt;".",up_Irr!BE8="."),up_dir!H8/((1/1000)*(up_Irr!G8+up_Irr!AF8)),IF(AND(up_Irr!G8&lt;&gt;".",up_Irr!AF8=".",up_Irr!BE8&lt;&gt;"."),up_dir!H8/((1/1000)*(up_Irr!G8+up_Irr!BE8)),IF(AND(up_Irr!G8=".",up_Irr!AF8&lt;&gt;".",up_Irr!BE8&lt;&gt;"."),up_dir!H8/((1/1000)*(up_Irr!AF8+up_Irr!BE8)),IF(AND(up_Irr!G8=".",up_Irr!AF8=".",up_Irr!BE8&lt;&gt;"."),up_dir!H8/((1/1000)*(up_Irr!BE8)),IF(AND(up_Irr!G8=".",up_Irr!AF8&lt;&gt;".",up_Irr!BE8="."),up_dir!H8/((1/1000)*(up_Irr!AF8)),IF(AND(up_Irr!G8&lt;&gt;".",up_Irr!AF8=".",up_Irr!BE8="."),up_dir!H8/((1/1000)*(up_Irr!G8)),IF(AND(up_Irr!G8=".",up_Irr!AF8=".",up_Irr!BE8="."),up_dir!H8*1000)))))))),".")</f>
        <v>6.5773651144152131E-4</v>
      </c>
      <c r="I8" s="70">
        <f>IFERROR(IF(AND(up_Irr!H8&lt;&gt;".",up_Irr!AG8&lt;&gt;".",up_Irr!BF8&lt;&gt;"."),up_dir!I8/((1/1000)*(up_Irr!H8+up_Irr!AG8+up_Irr!BF8)),IF(AND(up_Irr!H8&lt;&gt;".",up_Irr!AG8&lt;&gt;".",up_Irr!BF8="."),up_dir!I8/((1/1000)*(up_Irr!H8+up_Irr!AG8)),IF(AND(up_Irr!H8&lt;&gt;".",up_Irr!AG8=".",up_Irr!BF8&lt;&gt;"."),up_dir!I8/((1/1000)*(up_Irr!H8+up_Irr!BF8)),IF(AND(up_Irr!H8=".",up_Irr!AG8&lt;&gt;".",up_Irr!BF8&lt;&gt;"."),up_dir!I8/((1/1000)*(up_Irr!AG8+up_Irr!BF8)),IF(AND(up_Irr!H8=".",up_Irr!AG8=".",up_Irr!BF8&lt;&gt;"."),up_dir!I8/((1/1000)*(up_Irr!BF8)),IF(AND(up_Irr!H8=".",up_Irr!AG8&lt;&gt;".",up_Irr!BF8="."),up_dir!I8/((1/1000)*(up_Irr!AG8)),IF(AND(up_Irr!H8&lt;&gt;".",up_Irr!AG8=".",up_Irr!BF8="."),up_dir!I8/((1/1000)*(up_Irr!H8)),IF(AND(up_Irr!H8=".",up_Irr!AG8=".",up_Irr!BF8="."),up_dir!I8*1000)))))))),".")</f>
        <v>6.5773651144152131E-4</v>
      </c>
      <c r="J8" s="70">
        <f>IFERROR(IF(AND(up_Irr!I8&lt;&gt;".",up_Irr!AH8&lt;&gt;".",up_Irr!BG8&lt;&gt;"."),up_dir!J8/((1/1000)*(up_Irr!I8+up_Irr!AH8+up_Irr!BG8)),IF(AND(up_Irr!I8&lt;&gt;".",up_Irr!AH8&lt;&gt;".",up_Irr!BG8="."),up_dir!J8/((1/1000)*(up_Irr!I8+up_Irr!AH8)),IF(AND(up_Irr!I8&lt;&gt;".",up_Irr!AH8=".",up_Irr!BG8&lt;&gt;"."),up_dir!J8/((1/1000)*(up_Irr!I8+up_Irr!BG8)),IF(AND(up_Irr!I8=".",up_Irr!AH8&lt;&gt;".",up_Irr!BG8&lt;&gt;"."),up_dir!J8/((1/1000)*(up_Irr!AH8+up_Irr!BG8)),IF(AND(up_Irr!I8=".",up_Irr!AH8=".",up_Irr!BG8&lt;&gt;"."),up_dir!J8/((1/1000)*(up_Irr!BG8)),IF(AND(up_Irr!I8=".",up_Irr!AH8&lt;&gt;".",up_Irr!BG8="."),up_dir!J8/((1/1000)*(up_Irr!AH8)),IF(AND(up_Irr!I8&lt;&gt;".",up_Irr!AH8=".",up_Irr!BG8="."),up_dir!J8/((1/1000)*(up_Irr!I8)),IF(AND(up_Irr!I8=".",up_Irr!AH8=".",up_Irr!BG8="."),up_dir!J8*1000)))))))),".")</f>
        <v>6.5773651144152131E-4</v>
      </c>
      <c r="K8" s="70">
        <f>IFERROR(IF(AND(up_Irr!J8&lt;&gt;".",up_Irr!AI8&lt;&gt;".",up_Irr!BH8&lt;&gt;"."),up_dir!K8/((1/1000)*(up_Irr!J8+up_Irr!AI8+up_Irr!BH8)),IF(AND(up_Irr!J8&lt;&gt;".",up_Irr!AI8&lt;&gt;".",up_Irr!BH8="."),up_dir!K8/((1/1000)*(up_Irr!J8+up_Irr!AI8)),IF(AND(up_Irr!J8&lt;&gt;".",up_Irr!AI8=".",up_Irr!BH8&lt;&gt;"."),up_dir!K8/((1/1000)*(up_Irr!J8+up_Irr!BH8)),IF(AND(up_Irr!J8=".",up_Irr!AI8&lt;&gt;".",up_Irr!BH8&lt;&gt;"."),up_dir!K8/((1/1000)*(up_Irr!AI8+up_Irr!BH8)),IF(AND(up_Irr!J8=".",up_Irr!AI8=".",up_Irr!BH8&lt;&gt;"."),up_dir!K8/((1/1000)*(up_Irr!BH8)),IF(AND(up_Irr!J8=".",up_Irr!AI8&lt;&gt;".",up_Irr!BH8="."),up_dir!K8/((1/1000)*(up_Irr!AI8)),IF(AND(up_Irr!J8&lt;&gt;".",up_Irr!AI8=".",up_Irr!BH8="."),up_dir!K8/((1/1000)*(up_Irr!J8)),IF(AND(up_Irr!J8=".",up_Irr!AI8=".",up_Irr!BH8="."),up_dir!K8*1000)))))))),".")</f>
        <v>6.5773651144152131E-4</v>
      </c>
      <c r="L8" s="70">
        <f>IFERROR(IF(AND(up_Irr!K8&lt;&gt;".",up_Irr!AJ8&lt;&gt;".",up_Irr!BI8&lt;&gt;"."),up_dir!L8/((1/1000)*(up_Irr!K8+up_Irr!AJ8+up_Irr!BI8)),IF(AND(up_Irr!K8&lt;&gt;".",up_Irr!AJ8&lt;&gt;".",up_Irr!BI8="."),up_dir!L8/((1/1000)*(up_Irr!K8+up_Irr!AJ8)),IF(AND(up_Irr!K8&lt;&gt;".",up_Irr!AJ8=".",up_Irr!BI8&lt;&gt;"."),up_dir!L8/((1/1000)*(up_Irr!K8+up_Irr!BI8)),IF(AND(up_Irr!K8=".",up_Irr!AJ8&lt;&gt;".",up_Irr!BI8&lt;&gt;"."),up_dir!L8/((1/1000)*(up_Irr!AJ8+up_Irr!BI8)),IF(AND(up_Irr!K8=".",up_Irr!AJ8=".",up_Irr!BI8&lt;&gt;"."),up_dir!L8/((1/1000)*(up_Irr!BI8)),IF(AND(up_Irr!K8=".",up_Irr!AJ8&lt;&gt;".",up_Irr!BI8="."),up_dir!L8/((1/1000)*(up_Irr!AJ8)),IF(AND(up_Irr!K8&lt;&gt;".",up_Irr!AJ8=".",up_Irr!BI8="."),up_dir!L8/((1/1000)*(up_Irr!K8)),IF(AND(up_Irr!K8=".",up_Irr!AJ8=".",up_Irr!BI8="."),up_dir!L8*1000)))))))),".")</f>
        <v>6.5773651144152131E-4</v>
      </c>
      <c r="M8" s="70">
        <f>IFERROR(IF(AND(up_Irr!L8&lt;&gt;".",up_Irr!AK8&lt;&gt;".",up_Irr!BJ8&lt;&gt;"."),up_dir!M8/((1/1000)*(up_Irr!L8+up_Irr!AK8+up_Irr!BJ8)),IF(AND(up_Irr!L8&lt;&gt;".",up_Irr!AK8&lt;&gt;".",up_Irr!BJ8="."),up_dir!M8/((1/1000)*(up_Irr!L8+up_Irr!AK8)),IF(AND(up_Irr!L8&lt;&gt;".",up_Irr!AK8=".",up_Irr!BJ8&lt;&gt;"."),up_dir!M8/((1/1000)*(up_Irr!L8+up_Irr!BJ8)),IF(AND(up_Irr!L8=".",up_Irr!AK8&lt;&gt;".",up_Irr!BJ8&lt;&gt;"."),up_dir!M8/((1/1000)*(up_Irr!AK8+up_Irr!BJ8)),IF(AND(up_Irr!L8=".",up_Irr!AK8=".",up_Irr!BJ8&lt;&gt;"."),up_dir!M8/((1/1000)*(up_Irr!BJ8)),IF(AND(up_Irr!L8=".",up_Irr!AK8&lt;&gt;".",up_Irr!BJ8="."),up_dir!M8/((1/1000)*(up_Irr!AK8)),IF(AND(up_Irr!L8&lt;&gt;".",up_Irr!AK8=".",up_Irr!BJ8="."),up_dir!M8/((1/1000)*(up_Irr!L8)),IF(AND(up_Irr!L8=".",up_Irr!AK8=".",up_Irr!BJ8="."),up_dir!M8*1000)))))))),".")</f>
        <v>6.5773651144152131E-4</v>
      </c>
      <c r="N8" s="70">
        <f>IFERROR(IF(AND(up_Irr!M8&lt;&gt;".",up_Irr!AL8&lt;&gt;".",up_Irr!BK8&lt;&gt;"."),up_dir!N8/((1/1000)*(up_Irr!M8+up_Irr!AL8+up_Irr!BK8)),IF(AND(up_Irr!M8&lt;&gt;".",up_Irr!AL8&lt;&gt;".",up_Irr!BK8="."),up_dir!N8/((1/1000)*(up_Irr!M8+up_Irr!AL8)),IF(AND(up_Irr!M8&lt;&gt;".",up_Irr!AL8=".",up_Irr!BK8&lt;&gt;"."),up_dir!N8/((1/1000)*(up_Irr!M8+up_Irr!BK8)),IF(AND(up_Irr!M8=".",up_Irr!AL8&lt;&gt;".",up_Irr!BK8&lt;&gt;"."),up_dir!N8/((1/1000)*(up_Irr!AL8+up_Irr!BK8)),IF(AND(up_Irr!M8=".",up_Irr!AL8=".",up_Irr!BK8&lt;&gt;"."),up_dir!N8/((1/1000)*(up_Irr!BK8)),IF(AND(up_Irr!M8=".",up_Irr!AL8&lt;&gt;".",up_Irr!BK8="."),up_dir!N8/((1/1000)*(up_Irr!AL8)),IF(AND(up_Irr!M8&lt;&gt;".",up_Irr!AL8=".",up_Irr!BK8="."),up_dir!N8/((1/1000)*(up_Irr!M8)),IF(AND(up_Irr!M8=".",up_Irr!AL8=".",up_Irr!BK8="."),up_dir!N8*1000)))))))),".")</f>
        <v>6.5773651144152131E-4</v>
      </c>
      <c r="O8" s="70">
        <f>IFERROR(IF(AND(up_Irr!N8&lt;&gt;".",up_Irr!AM8&lt;&gt;".",up_Irr!BL8&lt;&gt;"."),up_dir!O8/((1/1000)*(up_Irr!N8+up_Irr!AM8+up_Irr!BL8)),IF(AND(up_Irr!N8&lt;&gt;".",up_Irr!AM8&lt;&gt;".",up_Irr!BL8="."),up_dir!O8/((1/1000)*(up_Irr!N8+up_Irr!AM8)),IF(AND(up_Irr!N8&lt;&gt;".",up_Irr!AM8=".",up_Irr!BL8&lt;&gt;"."),up_dir!O8/((1/1000)*(up_Irr!N8+up_Irr!BL8)),IF(AND(up_Irr!N8=".",up_Irr!AM8&lt;&gt;".",up_Irr!BL8&lt;&gt;"."),up_dir!O8/((1/1000)*(up_Irr!AM8+up_Irr!BL8)),IF(AND(up_Irr!N8=".",up_Irr!AM8=".",up_Irr!BL8&lt;&gt;"."),up_dir!O8/((1/1000)*(up_Irr!BL8)),IF(AND(up_Irr!N8=".",up_Irr!AM8&lt;&gt;".",up_Irr!BL8="."),up_dir!O8/((1/1000)*(up_Irr!AM8)),IF(AND(up_Irr!N8&lt;&gt;".",up_Irr!AM8=".",up_Irr!BL8="."),up_dir!O8/((1/1000)*(up_Irr!N8)),IF(AND(up_Irr!N8=".",up_Irr!AM8=".",up_Irr!BL8="."),up_dir!O8*1000)))))))),".")</f>
        <v>6.5773651144152131E-4</v>
      </c>
      <c r="P8" s="70">
        <f>IFERROR(IF(AND(up_Irr!O8&lt;&gt;".",up_Irr!AN8&lt;&gt;".",up_Irr!BM8&lt;&gt;"."),up_dir!P8/((1/1000)*(up_Irr!O8+up_Irr!AN8+up_Irr!BM8)),IF(AND(up_Irr!O8&lt;&gt;".",up_Irr!AN8&lt;&gt;".",up_Irr!BM8="."),up_dir!P8/((1/1000)*(up_Irr!O8+up_Irr!AN8)),IF(AND(up_Irr!O8&lt;&gt;".",up_Irr!AN8=".",up_Irr!BM8&lt;&gt;"."),up_dir!P8/((1/1000)*(up_Irr!O8+up_Irr!BM8)),IF(AND(up_Irr!O8=".",up_Irr!AN8&lt;&gt;".",up_Irr!BM8&lt;&gt;"."),up_dir!P8/((1/1000)*(up_Irr!AN8+up_Irr!BM8)),IF(AND(up_Irr!O8=".",up_Irr!AN8=".",up_Irr!BM8&lt;&gt;"."),up_dir!P8/((1/1000)*(up_Irr!BM8)),IF(AND(up_Irr!O8=".",up_Irr!AN8&lt;&gt;".",up_Irr!BM8="."),up_dir!P8/((1/1000)*(up_Irr!AN8)),IF(AND(up_Irr!O8&lt;&gt;".",up_Irr!AN8=".",up_Irr!BM8="."),up_dir!P8/((1/1000)*(up_Irr!O8)),IF(AND(up_Irr!O8=".",up_Irr!AN8=".",up_Irr!BM8="."),up_dir!P8*1000)))))))),".")</f>
        <v>6.5773651144152131E-4</v>
      </c>
      <c r="Q8" s="70">
        <f>IFERROR(IF(AND(up_Irr!P8&lt;&gt;".",up_Irr!AO8&lt;&gt;".",up_Irr!BN8&lt;&gt;"."),up_dir!Q8/((1/1000)*(up_Irr!P8+up_Irr!AO8+up_Irr!BN8)),IF(AND(up_Irr!P8&lt;&gt;".",up_Irr!AO8&lt;&gt;".",up_Irr!BN8="."),up_dir!Q8/((1/1000)*(up_Irr!P8+up_Irr!AO8)),IF(AND(up_Irr!P8&lt;&gt;".",up_Irr!AO8=".",up_Irr!BN8&lt;&gt;"."),up_dir!Q8/((1/1000)*(up_Irr!P8+up_Irr!BN8)),IF(AND(up_Irr!P8=".",up_Irr!AO8&lt;&gt;".",up_Irr!BN8&lt;&gt;"."),up_dir!Q8/((1/1000)*(up_Irr!AO8+up_Irr!BN8)),IF(AND(up_Irr!P8=".",up_Irr!AO8=".",up_Irr!BN8&lt;&gt;"."),up_dir!Q8/((1/1000)*(up_Irr!BN8)),IF(AND(up_Irr!P8=".",up_Irr!AO8&lt;&gt;".",up_Irr!BN8="."),up_dir!Q8/((1/1000)*(up_Irr!AO8)),IF(AND(up_Irr!P8&lt;&gt;".",up_Irr!AO8=".",up_Irr!BN8="."),up_dir!Q8/((1/1000)*(up_Irr!P8)),IF(AND(up_Irr!P8=".",up_Irr!AO8=".",up_Irr!BN8="."),up_dir!Q8*1000)))))))),".")</f>
        <v>6.5773651144152131E-4</v>
      </c>
      <c r="R8" s="70">
        <f>IFERROR(IF(AND(up_Irr!Q8&lt;&gt;".",up_Irr!AP8&lt;&gt;".",up_Irr!BO8&lt;&gt;"."),up_dir!R8/((1/1000)*(up_Irr!Q8+up_Irr!AP8+up_Irr!BO8)),IF(AND(up_Irr!Q8&lt;&gt;".",up_Irr!AP8&lt;&gt;".",up_Irr!BO8="."),up_dir!R8/((1/1000)*(up_Irr!Q8+up_Irr!AP8)),IF(AND(up_Irr!Q8&lt;&gt;".",up_Irr!AP8=".",up_Irr!BO8&lt;&gt;"."),up_dir!R8/((1/1000)*(up_Irr!Q8+up_Irr!BO8)),IF(AND(up_Irr!Q8=".",up_Irr!AP8&lt;&gt;".",up_Irr!BO8&lt;&gt;"."),up_dir!R8/((1/1000)*(up_Irr!AP8+up_Irr!BO8)),IF(AND(up_Irr!Q8=".",up_Irr!AP8=".",up_Irr!BO8&lt;&gt;"."),up_dir!R8/((1/1000)*(up_Irr!BO8)),IF(AND(up_Irr!Q8=".",up_Irr!AP8&lt;&gt;".",up_Irr!BO8="."),up_dir!R8/((1/1000)*(up_Irr!AP8)),IF(AND(up_Irr!Q8&lt;&gt;".",up_Irr!AP8=".",up_Irr!BO8="."),up_dir!R8/((1/1000)*(up_Irr!Q8)),IF(AND(up_Irr!Q8=".",up_Irr!AP8=".",up_Irr!BO8="."),up_dir!R8*1000)))))))),".")</f>
        <v>6.5773651144152131E-4</v>
      </c>
      <c r="S8" s="70">
        <f>IFERROR(IF(AND(up_Irr!R8&lt;&gt;".",up_Irr!AQ8&lt;&gt;".",up_Irr!BP8&lt;&gt;"."),up_dir!S8/((1/1000)*(up_Irr!R8+up_Irr!AQ8+up_Irr!BP8)),IF(AND(up_Irr!R8&lt;&gt;".",up_Irr!AQ8&lt;&gt;".",up_Irr!BP8="."),up_dir!S8/((1/1000)*(up_Irr!R8+up_Irr!AQ8)),IF(AND(up_Irr!R8&lt;&gt;".",up_Irr!AQ8=".",up_Irr!BP8&lt;&gt;"."),up_dir!S8/((1/1000)*(up_Irr!R8+up_Irr!BP8)),IF(AND(up_Irr!R8=".",up_Irr!AQ8&lt;&gt;".",up_Irr!BP8&lt;&gt;"."),up_dir!S8/((1/1000)*(up_Irr!AQ8+up_Irr!BP8)),IF(AND(up_Irr!R8=".",up_Irr!AQ8=".",up_Irr!BP8&lt;&gt;"."),up_dir!S8/((1/1000)*(up_Irr!BP8)),IF(AND(up_Irr!R8=".",up_Irr!AQ8&lt;&gt;".",up_Irr!BP8="."),up_dir!S8/((1/1000)*(up_Irr!AQ8)),IF(AND(up_Irr!R8&lt;&gt;".",up_Irr!AQ8=".",up_Irr!BP8="."),up_dir!S8/((1/1000)*(up_Irr!R8)),IF(AND(up_Irr!R8=".",up_Irr!AQ8=".",up_Irr!BP8="."),up_dir!S8*1000)))))))),".")</f>
        <v>6.5773651144152131E-4</v>
      </c>
      <c r="T8" s="70">
        <f>IFERROR(IF(AND(up_Irr!S8&lt;&gt;".",up_Irr!AR8&lt;&gt;".",up_Irr!BQ8&lt;&gt;"."),up_dir!T8/((1/1000)*(up_Irr!S8+up_Irr!AR8+up_Irr!BQ8)),IF(AND(up_Irr!S8&lt;&gt;".",up_Irr!AR8&lt;&gt;".",up_Irr!BQ8="."),up_dir!T8/((1/1000)*(up_Irr!S8+up_Irr!AR8)),IF(AND(up_Irr!S8&lt;&gt;".",up_Irr!AR8=".",up_Irr!BQ8&lt;&gt;"."),up_dir!T8/((1/1000)*(up_Irr!S8+up_Irr!BQ8)),IF(AND(up_Irr!S8=".",up_Irr!AR8&lt;&gt;".",up_Irr!BQ8&lt;&gt;"."),up_dir!T8/((1/1000)*(up_Irr!AR8+up_Irr!BQ8)),IF(AND(up_Irr!S8=".",up_Irr!AR8=".",up_Irr!BQ8&lt;&gt;"."),up_dir!T8/((1/1000)*(up_Irr!BQ8)),IF(AND(up_Irr!S8=".",up_Irr!AR8&lt;&gt;".",up_Irr!BQ8="."),up_dir!T8/((1/1000)*(up_Irr!AR8)),IF(AND(up_Irr!S8&lt;&gt;".",up_Irr!AR8=".",up_Irr!BQ8="."),up_dir!T8/((1/1000)*(up_Irr!S8)),IF(AND(up_Irr!S8=".",up_Irr!AR8=".",up_Irr!BQ8="."),up_dir!T8*1000)))))))),".")</f>
        <v>6.5773651144152131E-4</v>
      </c>
      <c r="U8" s="70">
        <f>IFERROR(IF(AND(up_Irr!T8&lt;&gt;".",up_Irr!AS8&lt;&gt;".",up_Irr!BR8&lt;&gt;"."),up_dir!U8/((1/1000)*(up_Irr!T8+up_Irr!AS8+up_Irr!BR8)),IF(AND(up_Irr!T8&lt;&gt;".",up_Irr!AS8&lt;&gt;".",up_Irr!BR8="."),up_dir!U8/((1/1000)*(up_Irr!T8+up_Irr!AS8)),IF(AND(up_Irr!T8&lt;&gt;".",up_Irr!AS8=".",up_Irr!BR8&lt;&gt;"."),up_dir!U8/((1/1000)*(up_Irr!T8+up_Irr!BR8)),IF(AND(up_Irr!T8=".",up_Irr!AS8&lt;&gt;".",up_Irr!BR8&lt;&gt;"."),up_dir!U8/((1/1000)*(up_Irr!AS8+up_Irr!BR8)),IF(AND(up_Irr!T8=".",up_Irr!AS8=".",up_Irr!BR8&lt;&gt;"."),up_dir!U8/((1/1000)*(up_Irr!BR8)),IF(AND(up_Irr!T8=".",up_Irr!AS8&lt;&gt;".",up_Irr!BR8="."),up_dir!U8/((1/1000)*(up_Irr!AS8)),IF(AND(up_Irr!T8&lt;&gt;".",up_Irr!AS8=".",up_Irr!BR8="."),up_dir!U8/((1/1000)*(up_Irr!T8)),IF(AND(up_Irr!T8=".",up_Irr!AS8=".",up_Irr!BR8="."),up_dir!U8*1000)))))))),".")</f>
        <v>6.5773651144152131E-4</v>
      </c>
      <c r="V8" s="70">
        <f>IFERROR(IF(AND(up_Irr!U8&lt;&gt;".",up_Irr!AT8&lt;&gt;".",up_Irr!BS8&lt;&gt;"."),up_dir!V8/((1/1000)*(up_Irr!U8+up_Irr!AT8+up_Irr!BS8)),IF(AND(up_Irr!U8&lt;&gt;".",up_Irr!AT8&lt;&gt;".",up_Irr!BS8="."),up_dir!V8/((1/1000)*(up_Irr!U8+up_Irr!AT8)),IF(AND(up_Irr!U8&lt;&gt;".",up_Irr!AT8=".",up_Irr!BS8&lt;&gt;"."),up_dir!V8/((1/1000)*(up_Irr!U8+up_Irr!BS8)),IF(AND(up_Irr!U8=".",up_Irr!AT8&lt;&gt;".",up_Irr!BS8&lt;&gt;"."),up_dir!V8/((1/1000)*(up_Irr!AT8+up_Irr!BS8)),IF(AND(up_Irr!U8=".",up_Irr!AT8=".",up_Irr!BS8&lt;&gt;"."),up_dir!V8/((1/1000)*(up_Irr!BS8)),IF(AND(up_Irr!U8=".",up_Irr!AT8&lt;&gt;".",up_Irr!BS8="."),up_dir!V8/((1/1000)*(up_Irr!AT8)),IF(AND(up_Irr!U8&lt;&gt;".",up_Irr!AT8=".",up_Irr!BS8="."),up_dir!V8/((1/1000)*(up_Irr!U8)),IF(AND(up_Irr!U8=".",up_Irr!AT8=".",up_Irr!BS8="."),up_dir!V8*1000)))))))),".")</f>
        <v>6.5773651144152131E-4</v>
      </c>
      <c r="W8" s="70">
        <f>IFERROR(IF(AND(up_Irr!V8&lt;&gt;".",up_Irr!AU8&lt;&gt;".",up_Irr!BT8&lt;&gt;"."),up_dir!W8/((1/1000)*(up_Irr!V8+up_Irr!AU8+up_Irr!BT8)),IF(AND(up_Irr!V8&lt;&gt;".",up_Irr!AU8&lt;&gt;".",up_Irr!BT8="."),up_dir!W8/((1/1000)*(up_Irr!V8+up_Irr!AU8)),IF(AND(up_Irr!V8&lt;&gt;".",up_Irr!AU8=".",up_Irr!BT8&lt;&gt;"."),up_dir!W8/((1/1000)*(up_Irr!V8+up_Irr!BT8)),IF(AND(up_Irr!V8=".",up_Irr!AU8&lt;&gt;".",up_Irr!BT8&lt;&gt;"."),up_dir!W8/((1/1000)*(up_Irr!AU8+up_Irr!BT8)),IF(AND(up_Irr!V8=".",up_Irr!AU8=".",up_Irr!BT8&lt;&gt;"."),up_dir!W8/((1/1000)*(up_Irr!BT8)),IF(AND(up_Irr!V8=".",up_Irr!AU8&lt;&gt;".",up_Irr!BT8="."),up_dir!W8/((1/1000)*(up_Irr!AU8)),IF(AND(up_Irr!V8&lt;&gt;".",up_Irr!AU8=".",up_Irr!BT8="."),up_dir!W8/((1/1000)*(up_Irr!V8)),IF(AND(up_Irr!V8=".",up_Irr!AU8=".",up_Irr!BT8="."),up_dir!W8*1000)))))))),".")</f>
        <v>6.5773651144152131E-4</v>
      </c>
      <c r="X8" s="70">
        <f>IFERROR(IF(AND(up_Irr!W8&lt;&gt;".",up_Irr!AV8&lt;&gt;".",up_Irr!BU8&lt;&gt;"."),up_dir!X8/((1/1000)*(up_Irr!W8+up_Irr!AV8+up_Irr!BU8)),IF(AND(up_Irr!W8&lt;&gt;".",up_Irr!AV8&lt;&gt;".",up_Irr!BU8="."),up_dir!X8/((1/1000)*(up_Irr!W8+up_Irr!AV8)),IF(AND(up_Irr!W8&lt;&gt;".",up_Irr!AV8=".",up_Irr!BU8&lt;&gt;"."),up_dir!X8/((1/1000)*(up_Irr!W8+up_Irr!BU8)),IF(AND(up_Irr!W8=".",up_Irr!AV8&lt;&gt;".",up_Irr!BU8&lt;&gt;"."),up_dir!X8/((1/1000)*(up_Irr!AV8+up_Irr!BU8)),IF(AND(up_Irr!W8=".",up_Irr!AV8=".",up_Irr!BU8&lt;&gt;"."),up_dir!X8/((1/1000)*(up_Irr!BU8)),IF(AND(up_Irr!W8=".",up_Irr!AV8&lt;&gt;".",up_Irr!BU8="."),up_dir!X8/((1/1000)*(up_Irr!AV8)),IF(AND(up_Irr!W8&lt;&gt;".",up_Irr!AV8=".",up_Irr!BU8="."),up_dir!X8/((1/1000)*(up_Irr!W8)),IF(AND(up_Irr!W8=".",up_Irr!AV8=".",up_Irr!BU8="."),up_dir!X8*1000)))))))),".")</f>
        <v>6.5773651144152131E-4</v>
      </c>
      <c r="Y8" s="70">
        <f>IFERROR(IF(AND(up_Irr!X8&lt;&gt;".",up_Irr!AW8&lt;&gt;".",up_Irr!BV8&lt;&gt;"."),up_dir!Y8/((1/1000)*(up_Irr!X8+up_Irr!AW8+up_Irr!BV8)),IF(AND(up_Irr!X8&lt;&gt;".",up_Irr!AW8&lt;&gt;".",up_Irr!BV8="."),up_dir!Y8/((1/1000)*(up_Irr!X8+up_Irr!AW8)),IF(AND(up_Irr!X8&lt;&gt;".",up_Irr!AW8=".",up_Irr!BV8&lt;&gt;"."),up_dir!Y8/((1/1000)*(up_Irr!X8+up_Irr!BV8)),IF(AND(up_Irr!X8=".",up_Irr!AW8&lt;&gt;".",up_Irr!BV8&lt;&gt;"."),up_dir!Y8/((1/1000)*(up_Irr!AW8+up_Irr!BV8)),IF(AND(up_Irr!X8=".",up_Irr!AW8=".",up_Irr!BV8&lt;&gt;"."),up_dir!Y8/((1/1000)*(up_Irr!BV8)),IF(AND(up_Irr!X8=".",up_Irr!AW8&lt;&gt;".",up_Irr!BV8="."),up_dir!Y8/((1/1000)*(up_Irr!AW8)),IF(AND(up_Irr!X8&lt;&gt;".",up_Irr!AW8=".",up_Irr!BV8="."),up_dir!Y8/((1/1000)*(up_Irr!X8)),IF(AND(up_Irr!X8=".",up_Irr!AW8=".",up_Irr!BV8="."),up_dir!Y8*1000)))))))),".")</f>
        <v>6.5773651144152131E-4</v>
      </c>
      <c r="Z8" s="70">
        <f>IFERROR(IF(AND(up_Irr!Y8&lt;&gt;".",up_Irr!AX8&lt;&gt;".",up_Irr!BW8&lt;&gt;"."),up_dir!Z8/((1/1000)*(up_Irr!Y8+up_Irr!AX8+up_Irr!BW8)),IF(AND(up_Irr!Y8&lt;&gt;".",up_Irr!AX8&lt;&gt;".",up_Irr!BW8="."),up_dir!Z8/((1/1000)*(up_Irr!Y8+up_Irr!AX8)),IF(AND(up_Irr!Y8&lt;&gt;".",up_Irr!AX8=".",up_Irr!BW8&lt;&gt;"."),up_dir!Z8/((1/1000)*(up_Irr!Y8+up_Irr!BW8)),IF(AND(up_Irr!Y8=".",up_Irr!AX8&lt;&gt;".",up_Irr!BW8&lt;&gt;"."),up_dir!Z8/((1/1000)*(up_Irr!AX8+up_Irr!BW8)),IF(AND(up_Irr!Y8=".",up_Irr!AX8=".",up_Irr!BW8&lt;&gt;"."),up_dir!Z8/((1/1000)*(up_Irr!BW8)),IF(AND(up_Irr!Y8=".",up_Irr!AX8&lt;&gt;".",up_Irr!BW8="."),up_dir!Z8/((1/1000)*(up_Irr!AX8)),IF(AND(up_Irr!Y8&lt;&gt;".",up_Irr!AX8=".",up_Irr!BW8="."),up_dir!Z8/((1/1000)*(up_Irr!Y8)),IF(AND(up_Irr!Y8=".",up_Irr!AX8=".",up_Irr!BW8="."),up_dir!Z8*1000)))))))),".")</f>
        <v>6.5773651144152131E-4</v>
      </c>
      <c r="AA8" s="70">
        <f>IFERROR(IF(AND(up_Irr!Z8&lt;&gt;".",up_Irr!AY8&lt;&gt;".",up_Irr!BX8&lt;&gt;"."),up_dir!AA8/((1/1000)*(up_Irr!Z8+up_Irr!AY8+up_Irr!BX8)),IF(AND(up_Irr!Z8&lt;&gt;".",up_Irr!AY8&lt;&gt;".",up_Irr!BX8="."),up_dir!AA8/((1/1000)*(up_Irr!Z8+up_Irr!AY8)),IF(AND(up_Irr!Z8&lt;&gt;".",up_Irr!AY8=".",up_Irr!BX8&lt;&gt;"."),up_dir!AA8/((1/1000)*(up_Irr!Z8+up_Irr!BX8)),IF(AND(up_Irr!Z8=".",up_Irr!AY8&lt;&gt;".",up_Irr!BX8&lt;&gt;"."),up_dir!AA8/((1/1000)*(up_Irr!AY8+up_Irr!BX8)),IF(AND(up_Irr!Z8=".",up_Irr!AY8=".",up_Irr!BX8&lt;&gt;"."),up_dir!AA8/((1/1000)*(up_Irr!BX8)),IF(AND(up_Irr!Z8=".",up_Irr!AY8&lt;&gt;".",up_Irr!BX8="."),up_dir!AA8/((1/1000)*(up_Irr!AY8)),IF(AND(up_Irr!Z8&lt;&gt;".",up_Irr!AY8=".",up_Irr!BX8="."),up_dir!AA8/((1/1000)*(up_Irr!Z8)),IF(AND(up_Irr!Z8=".",up_Irr!AY8=".",up_Irr!BX8="."),up_dir!AA8*1000)))))))),".")</f>
        <v>6.5773651144152131E-4</v>
      </c>
      <c r="AB8" s="70">
        <f>IFERROR(IF(AND(up_Irr!AA8&lt;&gt;".",up_Irr!AZ8&lt;&gt;".",up_Irr!BY8&lt;&gt;"."),up_dir!AB8/((1/1000)*(up_Irr!AA8+up_Irr!AZ8+up_Irr!BY8)),IF(AND(up_Irr!AA8&lt;&gt;".",up_Irr!AZ8&lt;&gt;".",up_Irr!BY8="."),up_dir!AB8/((1/1000)*(up_Irr!AA8+up_Irr!AZ8)),IF(AND(up_Irr!AA8&lt;&gt;".",up_Irr!AZ8=".",up_Irr!BY8&lt;&gt;"."),up_dir!AB8/((1/1000)*(up_Irr!AA8+up_Irr!BY8)),IF(AND(up_Irr!AA8=".",up_Irr!AZ8&lt;&gt;".",up_Irr!BY8&lt;&gt;"."),up_dir!AB8/((1/1000)*(up_Irr!AZ8+up_Irr!BY8)),IF(AND(up_Irr!AA8=".",up_Irr!AZ8=".",up_Irr!BY8&lt;&gt;"."),up_dir!AB8/((1/1000)*(up_Irr!BY8)),IF(AND(up_Irr!AA8=".",up_Irr!AZ8&lt;&gt;".",up_Irr!BY8="."),up_dir!AB8/((1/1000)*(up_Irr!AZ8)),IF(AND(up_Irr!AA8&lt;&gt;".",up_Irr!AZ8=".",up_Irr!BY8="."),up_dir!AB8/((1/1000)*(up_Irr!AA8)),IF(AND(up_Irr!AA8=".",up_Irr!AZ8=".",up_Irr!BY8="."),up_dir!AB8*1000)))))))),".")</f>
        <v>6.5773651144152131E-4</v>
      </c>
      <c r="AC8" s="87">
        <f t="shared" si="1"/>
        <v>30407.313038114935</v>
      </c>
      <c r="AD8" s="87">
        <f>IFERROR(s_C*s_IFAP_res_adj*s_CF_apple*0.001*(up_Irr!C8+up_Irr!AB8+up_Irr!BA8),".")</f>
        <v>7601.8282595287337</v>
      </c>
      <c r="AE8" s="87">
        <f>IFERROR(s_C*s_IFAS_res_adj*s_CF_asparagus*0.001*(up_Irr!D8+up_Irr!AC8+up_Irr!BB8),".")</f>
        <v>7601.8282595287337</v>
      </c>
      <c r="AF8" s="87">
        <f>IFERROR(s_C*s_IFBT_res_adj*s_CF_beet*0.001*(up_Irr!E8+up_Irr!AD8+up_Irr!BC8),".")</f>
        <v>7601.8282595287337</v>
      </c>
      <c r="AG8" s="87">
        <f>IFERROR(s_C*s_IFBE_res_adj*s_CF_berries*0.001*(up_Irr!F8+up_Irr!AE8+up_Irr!BD8),".")</f>
        <v>7601.8282595287337</v>
      </c>
      <c r="AH8" s="87">
        <f>IFERROR(s_C*s_IFBR_res_adj*s_CF_broccoli*0.001*(up_Irr!G8+up_Irr!AF8+up_Irr!BE8),".")</f>
        <v>7601.8282595287337</v>
      </c>
      <c r="AI8" s="87">
        <f>IFERROR(s_C*s_IFCB_res_adj*s_CF_cabbage*0.001*(up_Irr!H8+up_Irr!AG8+up_Irr!BF8),".")</f>
        <v>7601.8282595287337</v>
      </c>
      <c r="AJ8" s="87">
        <f>IFERROR(s_C*s_IFCR_res_adj*s_CF_carrot*0.001*(up_Irr!I8+up_Irr!AH8+up_Irr!BG8),".")</f>
        <v>7601.8282595287337</v>
      </c>
      <c r="AK8" s="87">
        <f>IFERROR(s_C*s_IFCI_res_adj*s_CF_citrus*0.001*(up_Irr!J8+up_Irr!AI8+up_Irr!BH8),".")</f>
        <v>7601.8282595287337</v>
      </c>
      <c r="AL8" s="87">
        <f>IFERROR(s_C*s_IFCO_res_adj*s_CF_corn*0.001*(up_Irr!K8+up_Irr!AJ8+up_Irr!BI8),".")</f>
        <v>7601.8282595287337</v>
      </c>
      <c r="AM8" s="87">
        <f>IFERROR(s_C*s_IFCU_res_adj*s_CF_cucumber*0.001*(up_Irr!L8+up_Irr!AK8+up_Irr!BJ8),".")</f>
        <v>7601.8282595287337</v>
      </c>
      <c r="AN8" s="87">
        <f>IFERROR(s_C*s_IFLE_res_adj*s_CF_lettuce*0.001*(up_Irr!M8+up_Irr!AL8+up_Irr!BK8),".")</f>
        <v>7601.8282595287337</v>
      </c>
      <c r="AO8" s="87">
        <f>IFERROR(s_C*s_IFLI_res_adj*s_CF_lima_bean*0.001*(up_Irr!N8+up_Irr!AM8+up_Irr!BL8),".")</f>
        <v>7601.8282595287337</v>
      </c>
      <c r="AP8" s="87">
        <f>IFERROR(s_C*s_IFOK_res_adj*s_CF_okra*0.001*(up_Irr!O8+up_Irr!AN8+up_Irr!BM8),".")</f>
        <v>7601.8282595287337</v>
      </c>
      <c r="AQ8" s="87">
        <f>IFERROR(s_C*s_IFON_res_adj*s_CF_onion*0.001*(up_Irr!P8+up_Irr!AO8+up_Irr!BN8),".")</f>
        <v>7601.8282595287337</v>
      </c>
      <c r="AR8" s="87">
        <f>IFERROR(s_C*s_IFPC_res_adj*s_CF_peach*0.001*(up_Irr!Q8+up_Irr!AP8+up_Irr!BO8),".")</f>
        <v>7601.8282595287337</v>
      </c>
      <c r="AS8" s="87">
        <f>IFERROR(s_C*s_IFPR_res_adj*s_CF_pear*0.001*(up_Irr!R8+up_Irr!AQ8+up_Irr!BP8),".")</f>
        <v>7601.8282595287337</v>
      </c>
      <c r="AT8" s="87">
        <f>IFERROR(s_C*s_IFPE_res_adj*s_CF_peas*0.001*(up_Irr!S8+up_Irr!AR8+up_Irr!BQ8),".")</f>
        <v>7601.8282595287337</v>
      </c>
      <c r="AU8" s="87">
        <f>IFERROR(s_C*s_IFPP_res_adj*s_CF_peppers*0.001*(up_Irr!T8+up_Irr!AS8+up_Irr!BR8),".")</f>
        <v>7601.8282595287337</v>
      </c>
      <c r="AV8" s="87">
        <f>IFERROR(s_C*s_IFPT_res_adj*s_CF_potato*0.001*(up_Irr!U8+up_Irr!AT8+up_Irr!BS8),".")</f>
        <v>7601.8282595287337</v>
      </c>
      <c r="AW8" s="87">
        <f>IFERROR(s_C*s_IFPU_res_adj*s_CF_pumpkin*0.001*(up_Irr!V8+up_Irr!AU8+up_Irr!BT8),".")</f>
        <v>7601.8282595287337</v>
      </c>
      <c r="AX8" s="87">
        <f>IFERROR(s_C*s_IFSN_res_adj*s_CF_snap_bean*0.001*(up_Irr!W8+up_Irr!AV8+up_Irr!BU8),".")</f>
        <v>7601.8282595287337</v>
      </c>
      <c r="AY8" s="87">
        <f>IFERROR(s_C*s_IFST_res_adj*s_CF_strawberry*0.001*(up_Irr!X8+up_Irr!AW8+up_Irr!BV8),".")</f>
        <v>7601.8282595287337</v>
      </c>
      <c r="AZ8" s="87">
        <f>IFERROR(s_C*s_IFTO_res_adj*s_CF_tomato*0.001*(up_Irr!Y8+up_Irr!AX8+up_Irr!BW8),".")</f>
        <v>7601.8282595287337</v>
      </c>
      <c r="BA8" s="87">
        <f>IFERROR(s_C*s_IFRI_res_adj*s_CF_rice*0.001*(up_Irr!Z8+up_Irr!AY8+up_Irr!BX8),".")</f>
        <v>7601.8282595287337</v>
      </c>
      <c r="BB8" s="87">
        <f>IFERROR(s_C*s_IFCG_res_adj*s_CF_cereal*0.001*(up_Irr!AA8+up_Irr!AZ8+up_Irr!BY8),".")</f>
        <v>7601.8282595287337</v>
      </c>
      <c r="BC8" s="70">
        <f t="shared" si="2"/>
        <v>1.6443412786038033E-4</v>
      </c>
      <c r="BD8" s="70">
        <f>IFERROR(IF(AND(up_Irr!C8&lt;&gt;".",up_Irr!AB8&lt;&gt;".",up_Irr!BA8&lt;&gt;"."),up_dir!AD8/((1/1000)*(up_Irr!C8+up_Irr!AB8+up_Irr!BA8)),IF(AND(up_Irr!C8&lt;&gt;".",up_Irr!AB8&lt;&gt;".",up_Irr!BA8="."),up_dir!AD8/((1/1000)*(up_Irr!C8+up_Irr!AB8)),IF(AND(up_Irr!C8&lt;&gt;".",up_Irr!AB8=".",up_Irr!BA8&lt;&gt;"."),up_dir!AD8/((1/1000)*(up_Irr!C8+up_Irr!BA8)),IF(AND(up_Irr!C8=".",up_Irr!AB8&lt;&gt;".",up_Irr!BA8&lt;&gt;"."),up_dir!AD8/((1/1000)*(up_Irr!AB8+up_Irr!BA8)),IF(AND(up_Irr!C8=".",up_Irr!AB8=".",up_Irr!BA8&lt;&gt;"."),up_dir!AD8/((1/1000)*(up_Irr!BA8)),IF(AND(up_Irr!C8=".",up_Irr!AB8&lt;&gt;".",up_Irr!BA8="."),up_dir!AD8/((1/1000)*(up_Irr!AB8)),IF(AND(up_Irr!C8&lt;&gt;".",up_Irr!AB8=".",up_Irr!BA8="."),up_dir!AD8/((1/1000)*(up_Irr!C8)),IF(AND(up_Irr!C8=".",up_Irr!AB8=".",up_Irr!BA8="."),up_dir!AD8*1000)))))))),".")</f>
        <v>6.5773651144152131E-4</v>
      </c>
      <c r="BE8" s="70">
        <f>IFERROR(IF(AND(up_Irr!D8&lt;&gt;".",up_Irr!AC8&lt;&gt;".",up_Irr!BB8&lt;&gt;"."),up_dir!AE8/((1/1000)*(up_Irr!D8+up_Irr!AC8+up_Irr!BB8)),IF(AND(up_Irr!D8&lt;&gt;".",up_Irr!AC8&lt;&gt;".",up_Irr!BB8="."),up_dir!AE8/((1/1000)*(up_Irr!D8+up_Irr!AC8)),IF(AND(up_Irr!D8&lt;&gt;".",up_Irr!AC8=".",up_Irr!BB8&lt;&gt;"."),up_dir!AE8/((1/1000)*(up_Irr!D8+up_Irr!BB8)),IF(AND(up_Irr!D8=".",up_Irr!AC8&lt;&gt;".",up_Irr!BB8&lt;&gt;"."),up_dir!AE8/((1/1000)*(up_Irr!AC8+up_Irr!BB8)),IF(AND(up_Irr!D8=".",up_Irr!AC8=".",up_Irr!BB8&lt;&gt;"."),up_dir!AE8/((1/1000)*(up_Irr!BB8)),IF(AND(up_Irr!D8=".",up_Irr!AC8&lt;&gt;".",up_Irr!BB8="."),up_dir!AE8/((1/1000)*(up_Irr!AC8)),IF(AND(up_Irr!D8&lt;&gt;".",up_Irr!AC8=".",up_Irr!BB8="."),up_dir!AE8/((1/1000)*(up_Irr!D8)),IF(AND(up_Irr!D8=".",up_Irr!AC8=".",up_Irr!BB8="."),up_dir!AE8*1000)))))))),".")</f>
        <v>6.5773651144152131E-4</v>
      </c>
      <c r="BF8" s="70">
        <f>IFERROR(IF(AND(up_Irr!E8&lt;&gt;".",up_Irr!AD8&lt;&gt;".",up_Irr!BC8&lt;&gt;"."),up_dir!AF8/((1/1000)*(up_Irr!E8+up_Irr!AD8+up_Irr!BC8)),IF(AND(up_Irr!E8&lt;&gt;".",up_Irr!AD8&lt;&gt;".",up_Irr!BC8="."),up_dir!AF8/((1/1000)*(up_Irr!E8+up_Irr!AD8)),IF(AND(up_Irr!E8&lt;&gt;".",up_Irr!AD8=".",up_Irr!BC8&lt;&gt;"."),up_dir!AF8/((1/1000)*(up_Irr!E8+up_Irr!BC8)),IF(AND(up_Irr!E8=".",up_Irr!AD8&lt;&gt;".",up_Irr!BC8&lt;&gt;"."),up_dir!AF8/((1/1000)*(up_Irr!AD8+up_Irr!BC8)),IF(AND(up_Irr!E8=".",up_Irr!AD8=".",up_Irr!BC8&lt;&gt;"."),up_dir!AF8/((1/1000)*(up_Irr!BC8)),IF(AND(up_Irr!E8=".",up_Irr!AD8&lt;&gt;".",up_Irr!BC8="."),up_dir!AF8/((1/1000)*(up_Irr!AD8)),IF(AND(up_Irr!E8&lt;&gt;".",up_Irr!AD8=".",up_Irr!BC8="."),up_dir!AF8/((1/1000)*(up_Irr!E8)),IF(AND(up_Irr!E8=".",up_Irr!AD8=".",up_Irr!BC8="."),up_dir!AF8*1000)))))))),".")</f>
        <v>6.5773651144152131E-4</v>
      </c>
      <c r="BG8" s="70">
        <f>IFERROR(IF(AND(up_Irr!F8&lt;&gt;".",up_Irr!AE8&lt;&gt;".",up_Irr!BD8&lt;&gt;"."),up_dir!AG8/((1/1000)*(up_Irr!F8+up_Irr!AE8+up_Irr!BD8)),IF(AND(up_Irr!F8&lt;&gt;".",up_Irr!AE8&lt;&gt;".",up_Irr!BD8="."),up_dir!AG8/((1/1000)*(up_Irr!F8+up_Irr!AE8)),IF(AND(up_Irr!F8&lt;&gt;".",up_Irr!AE8=".",up_Irr!BD8&lt;&gt;"."),up_dir!AG8/((1/1000)*(up_Irr!F8+up_Irr!BD8)),IF(AND(up_Irr!F8=".",up_Irr!AE8&lt;&gt;".",up_Irr!BD8&lt;&gt;"."),up_dir!AG8/((1/1000)*(up_Irr!AE8+up_Irr!BD8)),IF(AND(up_Irr!F8=".",up_Irr!AE8=".",up_Irr!BD8&lt;&gt;"."),up_dir!AG8/((1/1000)*(up_Irr!BD8)),IF(AND(up_Irr!F8=".",up_Irr!AE8&lt;&gt;".",up_Irr!BD8="."),up_dir!AG8/((1/1000)*(up_Irr!AE8)),IF(AND(up_Irr!F8&lt;&gt;".",up_Irr!AE8=".",up_Irr!BD8="."),up_dir!AG8/((1/1000)*(up_Irr!F8)),IF(AND(up_Irr!F8=".",up_Irr!AE8=".",up_Irr!BD8="."),up_dir!AG8*1000)))))))),".")</f>
        <v>6.5773651144152131E-4</v>
      </c>
      <c r="BH8" s="70">
        <f>IFERROR(IF(AND(up_Irr!G8&lt;&gt;".",up_Irr!AF8&lt;&gt;".",up_Irr!BE8&lt;&gt;"."),up_dir!AH8/((1/1000)*(up_Irr!G8+up_Irr!AF8+up_Irr!BE8)),IF(AND(up_Irr!G8&lt;&gt;".",up_Irr!AF8&lt;&gt;".",up_Irr!BE8="."),up_dir!AH8/((1/1000)*(up_Irr!G8+up_Irr!AF8)),IF(AND(up_Irr!G8&lt;&gt;".",up_Irr!AF8=".",up_Irr!BE8&lt;&gt;"."),up_dir!AH8/((1/1000)*(up_Irr!G8+up_Irr!BE8)),IF(AND(up_Irr!G8=".",up_Irr!AF8&lt;&gt;".",up_Irr!BE8&lt;&gt;"."),up_dir!AH8/((1/1000)*(up_Irr!AF8+up_Irr!BE8)),IF(AND(up_Irr!G8=".",up_Irr!AF8=".",up_Irr!BE8&lt;&gt;"."),up_dir!AH8/((1/1000)*(up_Irr!BE8)),IF(AND(up_Irr!G8=".",up_Irr!AF8&lt;&gt;".",up_Irr!BE8="."),up_dir!AH8/((1/1000)*(up_Irr!AF8)),IF(AND(up_Irr!G8&lt;&gt;".",up_Irr!AF8=".",up_Irr!BE8="."),up_dir!AH8/((1/1000)*(up_Irr!G8)),IF(AND(up_Irr!G8=".",up_Irr!AF8=".",up_Irr!BE8="."),up_dir!AH8*1000)))))))),".")</f>
        <v>6.5773651144152131E-4</v>
      </c>
      <c r="BI8" s="70">
        <f>IFERROR(IF(AND(up_Irr!H8&lt;&gt;".",up_Irr!AG8&lt;&gt;".",up_Irr!BF8&lt;&gt;"."),up_dir!AI8/((1/1000)*(up_Irr!H8+up_Irr!AG8+up_Irr!BF8)),IF(AND(up_Irr!H8&lt;&gt;".",up_Irr!AG8&lt;&gt;".",up_Irr!BF8="."),up_dir!AI8/((1/1000)*(up_Irr!H8+up_Irr!AG8)),IF(AND(up_Irr!H8&lt;&gt;".",up_Irr!AG8=".",up_Irr!BF8&lt;&gt;"."),up_dir!AI8/((1/1000)*(up_Irr!H8+up_Irr!BF8)),IF(AND(up_Irr!H8=".",up_Irr!AG8&lt;&gt;".",up_Irr!BF8&lt;&gt;"."),up_dir!AI8/((1/1000)*(up_Irr!AG8+up_Irr!BF8)),IF(AND(up_Irr!H8=".",up_Irr!AG8=".",up_Irr!BF8&lt;&gt;"."),up_dir!AI8/((1/1000)*(up_Irr!BF8)),IF(AND(up_Irr!H8=".",up_Irr!AG8&lt;&gt;".",up_Irr!BF8="."),up_dir!AI8/((1/1000)*(up_Irr!AG8)),IF(AND(up_Irr!H8&lt;&gt;".",up_Irr!AG8=".",up_Irr!BF8="."),up_dir!AI8/((1/1000)*(up_Irr!H8)),IF(AND(up_Irr!H8=".",up_Irr!AG8=".",up_Irr!BF8="."),up_dir!AI8*1000)))))))),".")</f>
        <v>6.5773651144152131E-4</v>
      </c>
      <c r="BJ8" s="70">
        <f>IFERROR(IF(AND(up_Irr!I8&lt;&gt;".",up_Irr!AH8&lt;&gt;".",up_Irr!BG8&lt;&gt;"."),up_dir!AJ8/((1/1000)*(up_Irr!I8+up_Irr!AH8+up_Irr!BG8)),IF(AND(up_Irr!I8&lt;&gt;".",up_Irr!AH8&lt;&gt;".",up_Irr!BG8="."),up_dir!AJ8/((1/1000)*(up_Irr!I8+up_Irr!AH8)),IF(AND(up_Irr!I8&lt;&gt;".",up_Irr!AH8=".",up_Irr!BG8&lt;&gt;"."),up_dir!AJ8/((1/1000)*(up_Irr!I8+up_Irr!BG8)),IF(AND(up_Irr!I8=".",up_Irr!AH8&lt;&gt;".",up_Irr!BG8&lt;&gt;"."),up_dir!AJ8/((1/1000)*(up_Irr!AH8+up_Irr!BG8)),IF(AND(up_Irr!I8=".",up_Irr!AH8=".",up_Irr!BG8&lt;&gt;"."),up_dir!AJ8/((1/1000)*(up_Irr!BG8)),IF(AND(up_Irr!I8=".",up_Irr!AH8&lt;&gt;".",up_Irr!BG8="."),up_dir!AJ8/((1/1000)*(up_Irr!AH8)),IF(AND(up_Irr!I8&lt;&gt;".",up_Irr!AH8=".",up_Irr!BG8="."),up_dir!AJ8/((1/1000)*(up_Irr!I8)),IF(AND(up_Irr!I8=".",up_Irr!AH8=".",up_Irr!BG8="."),up_dir!AJ8*1000)))))))),".")</f>
        <v>6.5773651144152131E-4</v>
      </c>
      <c r="BK8" s="70">
        <f>IFERROR(IF(AND(up_Irr!J8&lt;&gt;".",up_Irr!AI8&lt;&gt;".",up_Irr!BH8&lt;&gt;"."),up_dir!AK8/((1/1000)*(up_Irr!J8+up_Irr!AI8+up_Irr!BH8)),IF(AND(up_Irr!J8&lt;&gt;".",up_Irr!AI8&lt;&gt;".",up_Irr!BH8="."),up_dir!AK8/((1/1000)*(up_Irr!J8+up_Irr!AI8)),IF(AND(up_Irr!J8&lt;&gt;".",up_Irr!AI8=".",up_Irr!BH8&lt;&gt;"."),up_dir!AK8/((1/1000)*(up_Irr!J8+up_Irr!BH8)),IF(AND(up_Irr!J8=".",up_Irr!AI8&lt;&gt;".",up_Irr!BH8&lt;&gt;"."),up_dir!AK8/((1/1000)*(up_Irr!AI8+up_Irr!BH8)),IF(AND(up_Irr!J8=".",up_Irr!AI8=".",up_Irr!BH8&lt;&gt;"."),up_dir!AK8/((1/1000)*(up_Irr!BH8)),IF(AND(up_Irr!J8=".",up_Irr!AI8&lt;&gt;".",up_Irr!BH8="."),up_dir!AK8/((1/1000)*(up_Irr!AI8)),IF(AND(up_Irr!J8&lt;&gt;".",up_Irr!AI8=".",up_Irr!BH8="."),up_dir!AK8/((1/1000)*(up_Irr!J8)),IF(AND(up_Irr!J8=".",up_Irr!AI8=".",up_Irr!BH8="."),up_dir!AK8*1000)))))))),".")</f>
        <v>6.5773651144152131E-4</v>
      </c>
      <c r="BL8" s="70">
        <f>IFERROR(IF(AND(up_Irr!K8&lt;&gt;".",up_Irr!AJ8&lt;&gt;".",up_Irr!BI8&lt;&gt;"."),up_dir!AL8/((1/1000)*(up_Irr!K8+up_Irr!AJ8+up_Irr!BI8)),IF(AND(up_Irr!K8&lt;&gt;".",up_Irr!AJ8&lt;&gt;".",up_Irr!BI8="."),up_dir!AL8/((1/1000)*(up_Irr!K8+up_Irr!AJ8)),IF(AND(up_Irr!K8&lt;&gt;".",up_Irr!AJ8=".",up_Irr!BI8&lt;&gt;"."),up_dir!AL8/((1/1000)*(up_Irr!K8+up_Irr!BI8)),IF(AND(up_Irr!K8=".",up_Irr!AJ8&lt;&gt;".",up_Irr!BI8&lt;&gt;"."),up_dir!AL8/((1/1000)*(up_Irr!AJ8+up_Irr!BI8)),IF(AND(up_Irr!K8=".",up_Irr!AJ8=".",up_Irr!BI8&lt;&gt;"."),up_dir!AL8/((1/1000)*(up_Irr!BI8)),IF(AND(up_Irr!K8=".",up_Irr!AJ8&lt;&gt;".",up_Irr!BI8="."),up_dir!AL8/((1/1000)*(up_Irr!AJ8)),IF(AND(up_Irr!K8&lt;&gt;".",up_Irr!AJ8=".",up_Irr!BI8="."),up_dir!AL8/((1/1000)*(up_Irr!K8)),IF(AND(up_Irr!K8=".",up_Irr!AJ8=".",up_Irr!BI8="."),up_dir!AL8*1000)))))))),".")</f>
        <v>6.5773651144152131E-4</v>
      </c>
      <c r="BM8" s="70">
        <f>IFERROR(IF(AND(up_Irr!L8&lt;&gt;".",up_Irr!AK8&lt;&gt;".",up_Irr!BJ8&lt;&gt;"."),up_dir!AM8/((1/1000)*(up_Irr!L8+up_Irr!AK8+up_Irr!BJ8)),IF(AND(up_Irr!L8&lt;&gt;".",up_Irr!AK8&lt;&gt;".",up_Irr!BJ8="."),up_dir!AM8/((1/1000)*(up_Irr!L8+up_Irr!AK8)),IF(AND(up_Irr!L8&lt;&gt;".",up_Irr!AK8=".",up_Irr!BJ8&lt;&gt;"."),up_dir!AM8/((1/1000)*(up_Irr!L8+up_Irr!BJ8)),IF(AND(up_Irr!L8=".",up_Irr!AK8&lt;&gt;".",up_Irr!BJ8&lt;&gt;"."),up_dir!AM8/((1/1000)*(up_Irr!AK8+up_Irr!BJ8)),IF(AND(up_Irr!L8=".",up_Irr!AK8=".",up_Irr!BJ8&lt;&gt;"."),up_dir!AM8/((1/1000)*(up_Irr!BJ8)),IF(AND(up_Irr!L8=".",up_Irr!AK8&lt;&gt;".",up_Irr!BJ8="."),up_dir!AM8/((1/1000)*(up_Irr!AK8)),IF(AND(up_Irr!L8&lt;&gt;".",up_Irr!AK8=".",up_Irr!BJ8="."),up_dir!AM8/((1/1000)*(up_Irr!L8)),IF(AND(up_Irr!L8=".",up_Irr!AK8=".",up_Irr!BJ8="."),up_dir!AM8*1000)))))))),".")</f>
        <v>6.5773651144152131E-4</v>
      </c>
      <c r="BN8" s="70">
        <f>IFERROR(IF(AND(up_Irr!M8&lt;&gt;".",up_Irr!AL8&lt;&gt;".",up_Irr!BK8&lt;&gt;"."),up_dir!AN8/((1/1000)*(up_Irr!M8+up_Irr!AL8+up_Irr!BK8)),IF(AND(up_Irr!M8&lt;&gt;".",up_Irr!AL8&lt;&gt;".",up_Irr!BK8="."),up_dir!AN8/((1/1000)*(up_Irr!M8+up_Irr!AL8)),IF(AND(up_Irr!M8&lt;&gt;".",up_Irr!AL8=".",up_Irr!BK8&lt;&gt;"."),up_dir!AN8/((1/1000)*(up_Irr!M8+up_Irr!BK8)),IF(AND(up_Irr!M8=".",up_Irr!AL8&lt;&gt;".",up_Irr!BK8&lt;&gt;"."),up_dir!AN8/((1/1000)*(up_Irr!AL8+up_Irr!BK8)),IF(AND(up_Irr!M8=".",up_Irr!AL8=".",up_Irr!BK8&lt;&gt;"."),up_dir!AN8/((1/1000)*(up_Irr!BK8)),IF(AND(up_Irr!M8=".",up_Irr!AL8&lt;&gt;".",up_Irr!BK8="."),up_dir!AN8/((1/1000)*(up_Irr!AL8)),IF(AND(up_Irr!M8&lt;&gt;".",up_Irr!AL8=".",up_Irr!BK8="."),up_dir!AN8/((1/1000)*(up_Irr!M8)),IF(AND(up_Irr!M8=".",up_Irr!AL8=".",up_Irr!BK8="."),up_dir!AN8*1000)))))))),".")</f>
        <v>6.5773651144152131E-4</v>
      </c>
      <c r="BO8" s="70">
        <f>IFERROR(IF(AND(up_Irr!N8&lt;&gt;".",up_Irr!AM8&lt;&gt;".",up_Irr!BL8&lt;&gt;"."),up_dir!AO8/((1/1000)*(up_Irr!N8+up_Irr!AM8+up_Irr!BL8)),IF(AND(up_Irr!N8&lt;&gt;".",up_Irr!AM8&lt;&gt;".",up_Irr!BL8="."),up_dir!AO8/((1/1000)*(up_Irr!N8+up_Irr!AM8)),IF(AND(up_Irr!N8&lt;&gt;".",up_Irr!AM8=".",up_Irr!BL8&lt;&gt;"."),up_dir!AO8/((1/1000)*(up_Irr!N8+up_Irr!BL8)),IF(AND(up_Irr!N8=".",up_Irr!AM8&lt;&gt;".",up_Irr!BL8&lt;&gt;"."),up_dir!AO8/((1/1000)*(up_Irr!AM8+up_Irr!BL8)),IF(AND(up_Irr!N8=".",up_Irr!AM8=".",up_Irr!BL8&lt;&gt;"."),up_dir!AO8/((1/1000)*(up_Irr!BL8)),IF(AND(up_Irr!N8=".",up_Irr!AM8&lt;&gt;".",up_Irr!BL8="."),up_dir!AO8/((1/1000)*(up_Irr!AM8)),IF(AND(up_Irr!N8&lt;&gt;".",up_Irr!AM8=".",up_Irr!BL8="."),up_dir!AO8/((1/1000)*(up_Irr!N8)),IF(AND(up_Irr!N8=".",up_Irr!AM8=".",up_Irr!BL8="."),up_dir!AO8*1000)))))))),".")</f>
        <v>6.5773651144152131E-4</v>
      </c>
      <c r="BP8" s="70">
        <f>IFERROR(IF(AND(up_Irr!O8&lt;&gt;".",up_Irr!AN8&lt;&gt;".",up_Irr!BM8&lt;&gt;"."),up_dir!AP8/((1/1000)*(up_Irr!O8+up_Irr!AN8+up_Irr!BM8)),IF(AND(up_Irr!O8&lt;&gt;".",up_Irr!AN8&lt;&gt;".",up_Irr!BM8="."),up_dir!AP8/((1/1000)*(up_Irr!O8+up_Irr!AN8)),IF(AND(up_Irr!O8&lt;&gt;".",up_Irr!AN8=".",up_Irr!BM8&lt;&gt;"."),up_dir!AP8/((1/1000)*(up_Irr!O8+up_Irr!BM8)),IF(AND(up_Irr!O8=".",up_Irr!AN8&lt;&gt;".",up_Irr!BM8&lt;&gt;"."),up_dir!AP8/((1/1000)*(up_Irr!AN8+up_Irr!BM8)),IF(AND(up_Irr!O8=".",up_Irr!AN8=".",up_Irr!BM8&lt;&gt;"."),up_dir!AP8/((1/1000)*(up_Irr!BM8)),IF(AND(up_Irr!O8=".",up_Irr!AN8&lt;&gt;".",up_Irr!BM8="."),up_dir!AP8/((1/1000)*(up_Irr!AN8)),IF(AND(up_Irr!O8&lt;&gt;".",up_Irr!AN8=".",up_Irr!BM8="."),up_dir!AP8/((1/1000)*(up_Irr!O8)),IF(AND(up_Irr!O8=".",up_Irr!AN8=".",up_Irr!BM8="."),up_dir!AP8*1000)))))))),".")</f>
        <v>6.5773651144152131E-4</v>
      </c>
      <c r="BQ8" s="70">
        <f>IFERROR(IF(AND(up_Irr!P8&lt;&gt;".",up_Irr!AO8&lt;&gt;".",up_Irr!BN8&lt;&gt;"."),up_dir!AQ8/((1/1000)*(up_Irr!P8+up_Irr!AO8+up_Irr!BN8)),IF(AND(up_Irr!P8&lt;&gt;".",up_Irr!AO8&lt;&gt;".",up_Irr!BN8="."),up_dir!AQ8/((1/1000)*(up_Irr!P8+up_Irr!AO8)),IF(AND(up_Irr!P8&lt;&gt;".",up_Irr!AO8=".",up_Irr!BN8&lt;&gt;"."),up_dir!AQ8/((1/1000)*(up_Irr!P8+up_Irr!BN8)),IF(AND(up_Irr!P8=".",up_Irr!AO8&lt;&gt;".",up_Irr!BN8&lt;&gt;"."),up_dir!AQ8/((1/1000)*(up_Irr!AO8+up_Irr!BN8)),IF(AND(up_Irr!P8=".",up_Irr!AO8=".",up_Irr!BN8&lt;&gt;"."),up_dir!AQ8/((1/1000)*(up_Irr!BN8)),IF(AND(up_Irr!P8=".",up_Irr!AO8&lt;&gt;".",up_Irr!BN8="."),up_dir!AQ8/((1/1000)*(up_Irr!AO8)),IF(AND(up_Irr!P8&lt;&gt;".",up_Irr!AO8=".",up_Irr!BN8="."),up_dir!AQ8/((1/1000)*(up_Irr!P8)),IF(AND(up_Irr!P8=".",up_Irr!AO8=".",up_Irr!BN8="."),up_dir!AQ8*1000)))))))),".")</f>
        <v>6.5773651144152131E-4</v>
      </c>
      <c r="BR8" s="70">
        <f>IFERROR(IF(AND(up_Irr!Q8&lt;&gt;".",up_Irr!AP8&lt;&gt;".",up_Irr!BO8&lt;&gt;"."),up_dir!AR8/((1/1000)*(up_Irr!Q8+up_Irr!AP8+up_Irr!BO8)),IF(AND(up_Irr!Q8&lt;&gt;".",up_Irr!AP8&lt;&gt;".",up_Irr!BO8="."),up_dir!AR8/((1/1000)*(up_Irr!Q8+up_Irr!AP8)),IF(AND(up_Irr!Q8&lt;&gt;".",up_Irr!AP8=".",up_Irr!BO8&lt;&gt;"."),up_dir!AR8/((1/1000)*(up_Irr!Q8+up_Irr!BO8)),IF(AND(up_Irr!Q8=".",up_Irr!AP8&lt;&gt;".",up_Irr!BO8&lt;&gt;"."),up_dir!AR8/((1/1000)*(up_Irr!AP8+up_Irr!BO8)),IF(AND(up_Irr!Q8=".",up_Irr!AP8=".",up_Irr!BO8&lt;&gt;"."),up_dir!AR8/((1/1000)*(up_Irr!BO8)),IF(AND(up_Irr!Q8=".",up_Irr!AP8&lt;&gt;".",up_Irr!BO8="."),up_dir!AR8/((1/1000)*(up_Irr!AP8)),IF(AND(up_Irr!Q8&lt;&gt;".",up_Irr!AP8=".",up_Irr!BO8="."),up_dir!AR8/((1/1000)*(up_Irr!Q8)),IF(AND(up_Irr!Q8=".",up_Irr!AP8=".",up_Irr!BO8="."),up_dir!AR8*1000)))))))),".")</f>
        <v>6.5773651144152131E-4</v>
      </c>
      <c r="BS8" s="70">
        <f>IFERROR(IF(AND(up_Irr!R8&lt;&gt;".",up_Irr!AQ8&lt;&gt;".",up_Irr!BP8&lt;&gt;"."),up_dir!AS8/((1/1000)*(up_Irr!R8+up_Irr!AQ8+up_Irr!BP8)),IF(AND(up_Irr!R8&lt;&gt;".",up_Irr!AQ8&lt;&gt;".",up_Irr!BP8="."),up_dir!AS8/((1/1000)*(up_Irr!R8+up_Irr!AQ8)),IF(AND(up_Irr!R8&lt;&gt;".",up_Irr!AQ8=".",up_Irr!BP8&lt;&gt;"."),up_dir!AS8/((1/1000)*(up_Irr!R8+up_Irr!BP8)),IF(AND(up_Irr!R8=".",up_Irr!AQ8&lt;&gt;".",up_Irr!BP8&lt;&gt;"."),up_dir!AS8/((1/1000)*(up_Irr!AQ8+up_Irr!BP8)),IF(AND(up_Irr!R8=".",up_Irr!AQ8=".",up_Irr!BP8&lt;&gt;"."),up_dir!AS8/((1/1000)*(up_Irr!BP8)),IF(AND(up_Irr!R8=".",up_Irr!AQ8&lt;&gt;".",up_Irr!BP8="."),up_dir!AS8/((1/1000)*(up_Irr!AQ8)),IF(AND(up_Irr!R8&lt;&gt;".",up_Irr!AQ8=".",up_Irr!BP8="."),up_dir!AS8/((1/1000)*(up_Irr!R8)),IF(AND(up_Irr!R8=".",up_Irr!AQ8=".",up_Irr!BP8="."),up_dir!AS8*1000)))))))),".")</f>
        <v>6.5773651144152131E-4</v>
      </c>
      <c r="BT8" s="70">
        <f>IFERROR(IF(AND(up_Irr!S8&lt;&gt;".",up_Irr!AR8&lt;&gt;".",up_Irr!BQ8&lt;&gt;"."),up_dir!AT8/((1/1000)*(up_Irr!S8+up_Irr!AR8+up_Irr!BQ8)),IF(AND(up_Irr!S8&lt;&gt;".",up_Irr!AR8&lt;&gt;".",up_Irr!BQ8="."),up_dir!AT8/((1/1000)*(up_Irr!S8+up_Irr!AR8)),IF(AND(up_Irr!S8&lt;&gt;".",up_Irr!AR8=".",up_Irr!BQ8&lt;&gt;"."),up_dir!AT8/((1/1000)*(up_Irr!S8+up_Irr!BQ8)),IF(AND(up_Irr!S8=".",up_Irr!AR8&lt;&gt;".",up_Irr!BQ8&lt;&gt;"."),up_dir!AT8/((1/1000)*(up_Irr!AR8+up_Irr!BQ8)),IF(AND(up_Irr!S8=".",up_Irr!AR8=".",up_Irr!BQ8&lt;&gt;"."),up_dir!AT8/((1/1000)*(up_Irr!BQ8)),IF(AND(up_Irr!S8=".",up_Irr!AR8&lt;&gt;".",up_Irr!BQ8="."),up_dir!AT8/((1/1000)*(up_Irr!AR8)),IF(AND(up_Irr!S8&lt;&gt;".",up_Irr!AR8=".",up_Irr!BQ8="."),up_dir!AT8/((1/1000)*(up_Irr!S8)),IF(AND(up_Irr!S8=".",up_Irr!AR8=".",up_Irr!BQ8="."),up_dir!AT8*1000)))))))),".")</f>
        <v>6.5773651144152131E-4</v>
      </c>
      <c r="BU8" s="70">
        <f>IFERROR(IF(AND(up_Irr!T8&lt;&gt;".",up_Irr!AS8&lt;&gt;".",up_Irr!BR8&lt;&gt;"."),up_dir!AU8/((1/1000)*(up_Irr!T8+up_Irr!AS8+up_Irr!BR8)),IF(AND(up_Irr!T8&lt;&gt;".",up_Irr!AS8&lt;&gt;".",up_Irr!BR8="."),up_dir!AU8/((1/1000)*(up_Irr!T8+up_Irr!AS8)),IF(AND(up_Irr!T8&lt;&gt;".",up_Irr!AS8=".",up_Irr!BR8&lt;&gt;"."),up_dir!AU8/((1/1000)*(up_Irr!T8+up_Irr!BR8)),IF(AND(up_Irr!T8=".",up_Irr!AS8&lt;&gt;".",up_Irr!BR8&lt;&gt;"."),up_dir!AU8/((1/1000)*(up_Irr!AS8+up_Irr!BR8)),IF(AND(up_Irr!T8=".",up_Irr!AS8=".",up_Irr!BR8&lt;&gt;"."),up_dir!AU8/((1/1000)*(up_Irr!BR8)),IF(AND(up_Irr!T8=".",up_Irr!AS8&lt;&gt;".",up_Irr!BR8="."),up_dir!AU8/((1/1000)*(up_Irr!AS8)),IF(AND(up_Irr!T8&lt;&gt;".",up_Irr!AS8=".",up_Irr!BR8="."),up_dir!AU8/((1/1000)*(up_Irr!T8)),IF(AND(up_Irr!T8=".",up_Irr!AS8=".",up_Irr!BR8="."),up_dir!AU8*1000)))))))),".")</f>
        <v>6.5773651144152131E-4</v>
      </c>
      <c r="BV8" s="70">
        <f>IFERROR(IF(AND(up_Irr!U8&lt;&gt;".",up_Irr!AT8&lt;&gt;".",up_Irr!BS8&lt;&gt;"."),up_dir!AV8/((1/1000)*(up_Irr!U8+up_Irr!AT8+up_Irr!BS8)),IF(AND(up_Irr!U8&lt;&gt;".",up_Irr!AT8&lt;&gt;".",up_Irr!BS8="."),up_dir!AV8/((1/1000)*(up_Irr!U8+up_Irr!AT8)),IF(AND(up_Irr!U8&lt;&gt;".",up_Irr!AT8=".",up_Irr!BS8&lt;&gt;"."),up_dir!AV8/((1/1000)*(up_Irr!U8+up_Irr!BS8)),IF(AND(up_Irr!U8=".",up_Irr!AT8&lt;&gt;".",up_Irr!BS8&lt;&gt;"."),up_dir!AV8/((1/1000)*(up_Irr!AT8+up_Irr!BS8)),IF(AND(up_Irr!U8=".",up_Irr!AT8=".",up_Irr!BS8&lt;&gt;"."),up_dir!AV8/((1/1000)*(up_Irr!BS8)),IF(AND(up_Irr!U8=".",up_Irr!AT8&lt;&gt;".",up_Irr!BS8="."),up_dir!AV8/((1/1000)*(up_Irr!AT8)),IF(AND(up_Irr!U8&lt;&gt;".",up_Irr!AT8=".",up_Irr!BS8="."),up_dir!AV8/((1/1000)*(up_Irr!U8)),IF(AND(up_Irr!U8=".",up_Irr!AT8=".",up_Irr!BS8="."),up_dir!AV8*1000)))))))),".")</f>
        <v>6.5773651144152131E-4</v>
      </c>
      <c r="BW8" s="70">
        <f>IFERROR(IF(AND(up_Irr!V8&lt;&gt;".",up_Irr!AU8&lt;&gt;".",up_Irr!BT8&lt;&gt;"."),up_dir!AW8/((1/1000)*(up_Irr!V8+up_Irr!AU8+up_Irr!BT8)),IF(AND(up_Irr!V8&lt;&gt;".",up_Irr!AU8&lt;&gt;".",up_Irr!BT8="."),up_dir!AW8/((1/1000)*(up_Irr!V8+up_Irr!AU8)),IF(AND(up_Irr!V8&lt;&gt;".",up_Irr!AU8=".",up_Irr!BT8&lt;&gt;"."),up_dir!AW8/((1/1000)*(up_Irr!V8+up_Irr!BT8)),IF(AND(up_Irr!V8=".",up_Irr!AU8&lt;&gt;".",up_Irr!BT8&lt;&gt;"."),up_dir!AW8/((1/1000)*(up_Irr!AU8+up_Irr!BT8)),IF(AND(up_Irr!V8=".",up_Irr!AU8=".",up_Irr!BT8&lt;&gt;"."),up_dir!AW8/((1/1000)*(up_Irr!BT8)),IF(AND(up_Irr!V8=".",up_Irr!AU8&lt;&gt;".",up_Irr!BT8="."),up_dir!AW8/((1/1000)*(up_Irr!AU8)),IF(AND(up_Irr!V8&lt;&gt;".",up_Irr!AU8=".",up_Irr!BT8="."),up_dir!AW8/((1/1000)*(up_Irr!V8)),IF(AND(up_Irr!V8=".",up_Irr!AU8=".",up_Irr!BT8="."),up_dir!AW8*1000)))))))),".")</f>
        <v>6.5773651144152131E-4</v>
      </c>
      <c r="BX8" s="70">
        <f>IFERROR(IF(AND(up_Irr!W8&lt;&gt;".",up_Irr!AV8&lt;&gt;".",up_Irr!BU8&lt;&gt;"."),up_dir!AX8/((1/1000)*(up_Irr!W8+up_Irr!AV8+up_Irr!BU8)),IF(AND(up_Irr!W8&lt;&gt;".",up_Irr!AV8&lt;&gt;".",up_Irr!BU8="."),up_dir!AX8/((1/1000)*(up_Irr!W8+up_Irr!AV8)),IF(AND(up_Irr!W8&lt;&gt;".",up_Irr!AV8=".",up_Irr!BU8&lt;&gt;"."),up_dir!AX8/((1/1000)*(up_Irr!W8+up_Irr!BU8)),IF(AND(up_Irr!W8=".",up_Irr!AV8&lt;&gt;".",up_Irr!BU8&lt;&gt;"."),up_dir!AX8/((1/1000)*(up_Irr!AV8+up_Irr!BU8)),IF(AND(up_Irr!W8=".",up_Irr!AV8=".",up_Irr!BU8&lt;&gt;"."),up_dir!AX8/((1/1000)*(up_Irr!BU8)),IF(AND(up_Irr!W8=".",up_Irr!AV8&lt;&gt;".",up_Irr!BU8="."),up_dir!AX8/((1/1000)*(up_Irr!AV8)),IF(AND(up_Irr!W8&lt;&gt;".",up_Irr!AV8=".",up_Irr!BU8="."),up_dir!AX8/((1/1000)*(up_Irr!W8)),IF(AND(up_Irr!W8=".",up_Irr!AV8=".",up_Irr!BU8="."),up_dir!AX8*1000)))))))),".")</f>
        <v>6.5773651144152131E-4</v>
      </c>
      <c r="BY8" s="70">
        <f>IFERROR(IF(AND(up_Irr!X8&lt;&gt;".",up_Irr!AW8&lt;&gt;".",up_Irr!BV8&lt;&gt;"."),up_dir!AY8/((1/1000)*(up_Irr!X8+up_Irr!AW8+up_Irr!BV8)),IF(AND(up_Irr!X8&lt;&gt;".",up_Irr!AW8&lt;&gt;".",up_Irr!BV8="."),up_dir!AY8/((1/1000)*(up_Irr!X8+up_Irr!AW8)),IF(AND(up_Irr!X8&lt;&gt;".",up_Irr!AW8=".",up_Irr!BV8&lt;&gt;"."),up_dir!AY8/((1/1000)*(up_Irr!X8+up_Irr!BV8)),IF(AND(up_Irr!X8=".",up_Irr!AW8&lt;&gt;".",up_Irr!BV8&lt;&gt;"."),up_dir!AY8/((1/1000)*(up_Irr!AW8+up_Irr!BV8)),IF(AND(up_Irr!X8=".",up_Irr!AW8=".",up_Irr!BV8&lt;&gt;"."),up_dir!AY8/((1/1000)*(up_Irr!BV8)),IF(AND(up_Irr!X8=".",up_Irr!AW8&lt;&gt;".",up_Irr!BV8="."),up_dir!AY8/((1/1000)*(up_Irr!AW8)),IF(AND(up_Irr!X8&lt;&gt;".",up_Irr!AW8=".",up_Irr!BV8="."),up_dir!AY8/((1/1000)*(up_Irr!X8)),IF(AND(up_Irr!X8=".",up_Irr!AW8=".",up_Irr!BV8="."),up_dir!AY8*1000)))))))),".")</f>
        <v>6.5773651144152131E-4</v>
      </c>
      <c r="BZ8" s="70">
        <f>IFERROR(IF(AND(up_Irr!Y8&lt;&gt;".",up_Irr!AX8&lt;&gt;".",up_Irr!BW8&lt;&gt;"."),up_dir!AZ8/((1/1000)*(up_Irr!Y8+up_Irr!AX8+up_Irr!BW8)),IF(AND(up_Irr!Y8&lt;&gt;".",up_Irr!AX8&lt;&gt;".",up_Irr!BW8="."),up_dir!AZ8/((1/1000)*(up_Irr!Y8+up_Irr!AX8)),IF(AND(up_Irr!Y8&lt;&gt;".",up_Irr!AX8=".",up_Irr!BW8&lt;&gt;"."),up_dir!AZ8/((1/1000)*(up_Irr!Y8+up_Irr!BW8)),IF(AND(up_Irr!Y8=".",up_Irr!AX8&lt;&gt;".",up_Irr!BW8&lt;&gt;"."),up_dir!AZ8/((1/1000)*(up_Irr!AX8+up_Irr!BW8)),IF(AND(up_Irr!Y8=".",up_Irr!AX8=".",up_Irr!BW8&lt;&gt;"."),up_dir!AZ8/((1/1000)*(up_Irr!BW8)),IF(AND(up_Irr!Y8=".",up_Irr!AX8&lt;&gt;".",up_Irr!BW8="."),up_dir!AZ8/((1/1000)*(up_Irr!AX8)),IF(AND(up_Irr!Y8&lt;&gt;".",up_Irr!AX8=".",up_Irr!BW8="."),up_dir!AZ8/((1/1000)*(up_Irr!Y8)),IF(AND(up_Irr!Y8=".",up_Irr!AX8=".",up_Irr!BW8="."),up_dir!AZ8*1000)))))))),".")</f>
        <v>6.5773651144152131E-4</v>
      </c>
      <c r="CA8" s="70">
        <f>IFERROR(IF(AND(up_Irr!Z8&lt;&gt;".",up_Irr!AY8&lt;&gt;".",up_Irr!BX8&lt;&gt;"."),up_dir!BA8/((1/1000)*(up_Irr!Z8+up_Irr!AY8+up_Irr!BX8)),IF(AND(up_Irr!Z8&lt;&gt;".",up_Irr!AY8&lt;&gt;".",up_Irr!BX8="."),up_dir!BA8/((1/1000)*(up_Irr!Z8+up_Irr!AY8)),IF(AND(up_Irr!Z8&lt;&gt;".",up_Irr!AY8=".",up_Irr!BX8&lt;&gt;"."),up_dir!BA8/((1/1000)*(up_Irr!Z8+up_Irr!BX8)),IF(AND(up_Irr!Z8=".",up_Irr!AY8&lt;&gt;".",up_Irr!BX8&lt;&gt;"."),up_dir!BA8/((1/1000)*(up_Irr!AY8+up_Irr!BX8)),IF(AND(up_Irr!Z8=".",up_Irr!AY8=".",up_Irr!BX8&lt;&gt;"."),up_dir!BA8/((1/1000)*(up_Irr!BX8)),IF(AND(up_Irr!Z8=".",up_Irr!AY8&lt;&gt;".",up_Irr!BX8="."),up_dir!BA8/((1/1000)*(up_Irr!AY8)),IF(AND(up_Irr!Z8&lt;&gt;".",up_Irr!AY8=".",up_Irr!BX8="."),up_dir!BA8/((1/1000)*(up_Irr!Z8)),IF(AND(up_Irr!Z8=".",up_Irr!AY8=".",up_Irr!BX8="."),up_dir!BA8*1000)))))))),".")</f>
        <v>6.5773651144152131E-4</v>
      </c>
      <c r="CB8" s="70">
        <f>IFERROR(IF(AND(up_Irr!AA8&lt;&gt;".",up_Irr!AZ8&lt;&gt;".",up_Irr!BY8&lt;&gt;"."),up_dir!BB8/((1/1000)*(up_Irr!AA8+up_Irr!AZ8+up_Irr!BY8)),IF(AND(up_Irr!AA8&lt;&gt;".",up_Irr!AZ8&lt;&gt;".",up_Irr!BY8="."),up_dir!BB8/((1/1000)*(up_Irr!AA8+up_Irr!AZ8)),IF(AND(up_Irr!AA8&lt;&gt;".",up_Irr!AZ8=".",up_Irr!BY8&lt;&gt;"."),up_dir!BB8/((1/1000)*(up_Irr!AA8+up_Irr!BY8)),IF(AND(up_Irr!AA8=".",up_Irr!AZ8&lt;&gt;".",up_Irr!BY8&lt;&gt;"."),up_dir!BB8/((1/1000)*(up_Irr!AZ8+up_Irr!BY8)),IF(AND(up_Irr!AA8=".",up_Irr!AZ8=".",up_Irr!BY8&lt;&gt;"."),up_dir!BB8/((1/1000)*(up_Irr!BY8)),IF(AND(up_Irr!AA8=".",up_Irr!AZ8&lt;&gt;".",up_Irr!BY8="."),up_dir!BB8/((1/1000)*(up_Irr!AZ8)),IF(AND(up_Irr!AA8&lt;&gt;".",up_Irr!AZ8=".",up_Irr!BY8="."),up_dir!BB8/((1/1000)*(up_Irr!AA8)),IF(AND(up_Irr!AA8=".",up_Irr!AZ8=".",up_Irr!BY8="."),up_dir!BB8*1000)))))))),".")</f>
        <v>6.5773651144152131E-4</v>
      </c>
      <c r="CC8" s="87">
        <f t="shared" si="3"/>
        <v>30407.313038114935</v>
      </c>
      <c r="CD8" s="87">
        <f>IFERROR(s_C*s_IFAP_far_adj*s_CF_apple*(1/1000)*(up_Irr!C8+up_Irr!AB8+up_Irr!BA8),".")</f>
        <v>7601.8282595287337</v>
      </c>
      <c r="CE8" s="87">
        <f>IFERROR(s_C*s_IFAS_far_adj*s_CF_asparagus*(1/1000)*(up_Irr!D8+up_Irr!AC8+up_Irr!BB8),".")</f>
        <v>7601.8282595287337</v>
      </c>
      <c r="CF8" s="87">
        <f>IFERROR(s_C*s_IFBT_far_adj*s_CF_beet*(1/1000)*(up_Irr!E8+up_Irr!AD8+up_Irr!BC8),".")</f>
        <v>7601.8282595287337</v>
      </c>
      <c r="CG8" s="87">
        <f>IFERROR(s_C*s_IFBE_far_adj*s_CF_berries*(1/1000)*(up_Irr!F8+up_Irr!AE8+up_Irr!BD8),".")</f>
        <v>7601.8282595287337</v>
      </c>
      <c r="CH8" s="87">
        <f>IFERROR(s_C*s_IFBR_far_adj*s_CF_broccoli*(1/1000)*(up_Irr!G8+up_Irr!AF8+up_Irr!BE8),".")</f>
        <v>7601.8282595287337</v>
      </c>
      <c r="CI8" s="87">
        <f>IFERROR(s_C*s_IFCB_far_adj*s_CF_cabbage*(1/1000)*(up_Irr!H8+up_Irr!AG8+up_Irr!BF8),".")</f>
        <v>7601.8282595287337</v>
      </c>
      <c r="CJ8" s="87">
        <f>IFERROR(s_C*s_IFCR_far_adj*s_CF_carrot*(1/1000)*(up_Irr!I8+up_Irr!AH8+up_Irr!BG8),".")</f>
        <v>7601.8282595287337</v>
      </c>
      <c r="CK8" s="87">
        <f>IFERROR(s_C*s_IFCI_far_adj*s_CF_citrus*(1/1000)*(up_Irr!J8+up_Irr!AI8+up_Irr!BH8),".")</f>
        <v>7601.8282595287337</v>
      </c>
      <c r="CL8" s="87">
        <f>IFERROR(s_C*s_IFCO_far_adj*s_CF_corn*(1/1000)*(up_Irr!K8+up_Irr!AJ8+up_Irr!BI8),".")</f>
        <v>7601.8282595287337</v>
      </c>
      <c r="CM8" s="87">
        <f>IFERROR(s_C*s_IFCU_far_adj*s_CF_cucumber*(1/1000)*(up_Irr!L8+up_Irr!AK8+up_Irr!BJ8),".")</f>
        <v>7601.8282595287337</v>
      </c>
      <c r="CN8" s="87">
        <f>IFERROR(s_C*s_IFLE_far_adj*s_CF_lettuce*(1/1000)*(up_Irr!M8+up_Irr!AL8+up_Irr!BK8),".")</f>
        <v>7601.8282595287337</v>
      </c>
      <c r="CO8" s="87">
        <f>IFERROR(s_C*s_IFLI_far_adj*s_CF_lima_bean*(1/1000)*(up_Irr!N8+up_Irr!AM8+up_Irr!BL8),".")</f>
        <v>7601.8282595287337</v>
      </c>
      <c r="CP8" s="87">
        <f>IFERROR(s_C*s_IFOK_far_adj*s_CF_okra*(1/1000)*(up_Irr!O8+up_Irr!AN8+up_Irr!BM8),".")</f>
        <v>7601.8282595287337</v>
      </c>
      <c r="CQ8" s="87">
        <f>IFERROR(s_C*s_IFON_far_adj*s_CF_onion*(1/1000)*(up_Irr!P8+up_Irr!AO8+up_Irr!BN8),".")</f>
        <v>7601.8282595287337</v>
      </c>
      <c r="CR8" s="87">
        <f>IFERROR(s_C*s_IFPC_far_adj*s_CF_peach*(1/1000)*(up_Irr!Q8+up_Irr!AP8+up_Irr!BO8),".")</f>
        <v>7601.8282595287337</v>
      </c>
      <c r="CS8" s="87">
        <f>IFERROR(s_C*s_IFPR_far_adj*s_CF_pear*(1/1000)*(up_Irr!R8+up_Irr!AQ8+up_Irr!BP8),".")</f>
        <v>7601.8282595287337</v>
      </c>
      <c r="CT8" s="87">
        <f>IFERROR(s_C*s_IFPE_far_adj*s_CF_peas*(1/1000)*(up_Irr!S8+up_Irr!AR8+up_Irr!BQ8),".")</f>
        <v>7601.8282595287337</v>
      </c>
      <c r="CU8" s="87">
        <f>IFERROR(s_C*s_IFPP_far_adj*s_CF_peppers*(1/1000)*(up_Irr!T8+up_Irr!AS8+up_Irr!BR8),".")</f>
        <v>7601.8282595287337</v>
      </c>
      <c r="CV8" s="87">
        <f>IFERROR(s_C*s_IFPT_far_adj*s_CF_potato*(1/1000)*(up_Irr!U8+up_Irr!AT8+up_Irr!BS8),".")</f>
        <v>7601.8282595287337</v>
      </c>
      <c r="CW8" s="87">
        <f>IFERROR(s_C*s_IFPU_far_adj*s_CF_pumpkin*(1/1000)*(up_Irr!V8+up_Irr!AU8+up_Irr!BT8),".")</f>
        <v>7601.8282595287337</v>
      </c>
      <c r="CX8" s="87">
        <f>IFERROR(s_C*s_IFSN_far_adj*s_CF_snap_bean*(1/1000)*(up_Irr!W8+up_Irr!AV8+up_Irr!BU8),".")</f>
        <v>7601.8282595287337</v>
      </c>
      <c r="CY8" s="87">
        <f>IFERROR(s_C*s_IFST_far_adj*s_CF_strawberry*(1/1000)*(up_Irr!X8+up_Irr!AW8+up_Irr!BV8),".")</f>
        <v>7601.8282595287337</v>
      </c>
      <c r="CZ8" s="87">
        <f>IFERROR(s_C*s_IFTO_far_adj*s_CF_tomato*(1/1000)*(up_Irr!Y8+up_Irr!AX8+up_Irr!BW8),".")</f>
        <v>7601.8282595287337</v>
      </c>
      <c r="DA8" s="87">
        <f>IFERROR(s_C*s_IFRI_far_adj*s_CF_rice*(1/1000)*(up_Irr!Z8+up_Irr!AY8+up_Irr!BX8),".")</f>
        <v>7601.8282595287337</v>
      </c>
      <c r="DB8" s="87">
        <f>IFERROR(s_C*s_IFCG_far_adj*s_CF_cereal*(1/1000)*(up_Irr!AA8+up_Irr!AZ8+up_Irr!BY8),".")</f>
        <v>7601.8282595287337</v>
      </c>
    </row>
    <row r="9" spans="1:106" ht="15" customHeight="1" x14ac:dyDescent="0.25">
      <c r="A9" s="86" t="s">
        <v>7</v>
      </c>
      <c r="B9" s="84" t="s">
        <v>1057</v>
      </c>
      <c r="C9" s="15">
        <f t="shared" si="0"/>
        <v>1.6443412786038033E-4</v>
      </c>
      <c r="D9" s="70">
        <f>IFERROR(IF(AND(up_Irr!C9&lt;&gt;".",up_Irr!AB9&lt;&gt;".",up_Irr!BA9&lt;&gt;"."),up_dir!D9/((1/1000)*(up_Irr!C9+up_Irr!AB9+up_Irr!BA9)),IF(AND(up_Irr!C9&lt;&gt;".",up_Irr!AB9&lt;&gt;".",up_Irr!BA9="."),up_dir!D9/((1/1000)*(up_Irr!C9+up_Irr!AB9)),IF(AND(up_Irr!C9&lt;&gt;".",up_Irr!AB9=".",up_Irr!BA9&lt;&gt;"."),up_dir!D9/((1/1000)*(up_Irr!C9+up_Irr!BA9)),IF(AND(up_Irr!C9=".",up_Irr!AB9&lt;&gt;".",up_Irr!BA9&lt;&gt;"."),up_dir!D9/((1/1000)*(up_Irr!AB9+up_Irr!BA9)),IF(AND(up_Irr!C9=".",up_Irr!AB9=".",up_Irr!BA9&lt;&gt;"."),up_dir!D9/((1/1000)*(up_Irr!BA9)),IF(AND(up_Irr!C9=".",up_Irr!AB9&lt;&gt;".",up_Irr!BA9="."),up_dir!D9/((1/1000)*(up_Irr!AB9)),IF(AND(up_Irr!C9&lt;&gt;".",up_Irr!AB9=".",up_Irr!BA9="."),up_dir!D9/((1/1000)*(up_Irr!C9)),IF(AND(up_Irr!C9=".",up_Irr!AB9=".",up_Irr!BA9="."),up_dir!D9*1000)))))))),".")</f>
        <v>6.5773651144152131E-4</v>
      </c>
      <c r="E9" s="70">
        <f>IFERROR(IF(AND(up_Irr!D9&lt;&gt;".",up_Irr!AC9&lt;&gt;".",up_Irr!BB9&lt;&gt;"."),up_dir!E9/((1/1000)*(up_Irr!D9+up_Irr!AC9+up_Irr!BB9)),IF(AND(up_Irr!D9&lt;&gt;".",up_Irr!AC9&lt;&gt;".",up_Irr!BB9="."),up_dir!E9/((1/1000)*(up_Irr!D9+up_Irr!AC9)),IF(AND(up_Irr!D9&lt;&gt;".",up_Irr!AC9=".",up_Irr!BB9&lt;&gt;"."),up_dir!E9/((1/1000)*(up_Irr!D9+up_Irr!BB9)),IF(AND(up_Irr!D9=".",up_Irr!AC9&lt;&gt;".",up_Irr!BB9&lt;&gt;"."),up_dir!E9/((1/1000)*(up_Irr!AC9+up_Irr!BB9)),IF(AND(up_Irr!D9=".",up_Irr!AC9=".",up_Irr!BB9&lt;&gt;"."),up_dir!E9/((1/1000)*(up_Irr!BB9)),IF(AND(up_Irr!D9=".",up_Irr!AC9&lt;&gt;".",up_Irr!BB9="."),up_dir!E9/((1/1000)*(up_Irr!AC9)),IF(AND(up_Irr!D9&lt;&gt;".",up_Irr!AC9=".",up_Irr!BB9="."),up_dir!E9/((1/1000)*(up_Irr!D9)),IF(AND(up_Irr!D9=".",up_Irr!AC9=".",up_Irr!BB9="."),up_dir!E9*1000)))))))),".")</f>
        <v>6.5773651144152131E-4</v>
      </c>
      <c r="F9" s="70">
        <f>IFERROR(IF(AND(up_Irr!E9&lt;&gt;".",up_Irr!AD9&lt;&gt;".",up_Irr!BC9&lt;&gt;"."),up_dir!F9/((1/1000)*(up_Irr!E9+up_Irr!AD9+up_Irr!BC9)),IF(AND(up_Irr!E9&lt;&gt;".",up_Irr!AD9&lt;&gt;".",up_Irr!BC9="."),up_dir!F9/((1/1000)*(up_Irr!E9+up_Irr!AD9)),IF(AND(up_Irr!E9&lt;&gt;".",up_Irr!AD9=".",up_Irr!BC9&lt;&gt;"."),up_dir!F9/((1/1000)*(up_Irr!E9+up_Irr!BC9)),IF(AND(up_Irr!E9=".",up_Irr!AD9&lt;&gt;".",up_Irr!BC9&lt;&gt;"."),up_dir!F9/((1/1000)*(up_Irr!AD9+up_Irr!BC9)),IF(AND(up_Irr!E9=".",up_Irr!AD9=".",up_Irr!BC9&lt;&gt;"."),up_dir!F9/((1/1000)*(up_Irr!BC9)),IF(AND(up_Irr!E9=".",up_Irr!AD9&lt;&gt;".",up_Irr!BC9="."),up_dir!F9/((1/1000)*(up_Irr!AD9)),IF(AND(up_Irr!E9&lt;&gt;".",up_Irr!AD9=".",up_Irr!BC9="."),up_dir!F9/((1/1000)*(up_Irr!E9)),IF(AND(up_Irr!E9=".",up_Irr!AD9=".",up_Irr!BC9="."),up_dir!F9*1000)))))))),".")</f>
        <v>6.5773651144152131E-4</v>
      </c>
      <c r="G9" s="70">
        <f>IFERROR(IF(AND(up_Irr!F9&lt;&gt;".",up_Irr!AE9&lt;&gt;".",up_Irr!BD9&lt;&gt;"."),up_dir!G9/((1/1000)*(up_Irr!F9+up_Irr!AE9+up_Irr!BD9)),IF(AND(up_Irr!F9&lt;&gt;".",up_Irr!AE9&lt;&gt;".",up_Irr!BD9="."),up_dir!G9/((1/1000)*(up_Irr!F9+up_Irr!AE9)),IF(AND(up_Irr!F9&lt;&gt;".",up_Irr!AE9=".",up_Irr!BD9&lt;&gt;"."),up_dir!G9/((1/1000)*(up_Irr!F9+up_Irr!BD9)),IF(AND(up_Irr!F9=".",up_Irr!AE9&lt;&gt;".",up_Irr!BD9&lt;&gt;"."),up_dir!G9/((1/1000)*(up_Irr!AE9+up_Irr!BD9)),IF(AND(up_Irr!F9=".",up_Irr!AE9=".",up_Irr!BD9&lt;&gt;"."),up_dir!G9/((1/1000)*(up_Irr!BD9)),IF(AND(up_Irr!F9=".",up_Irr!AE9&lt;&gt;".",up_Irr!BD9="."),up_dir!G9/((1/1000)*(up_Irr!AE9)),IF(AND(up_Irr!F9&lt;&gt;".",up_Irr!AE9=".",up_Irr!BD9="."),up_dir!G9/((1/1000)*(up_Irr!F9)),IF(AND(up_Irr!F9=".",up_Irr!AE9=".",up_Irr!BD9="."),up_dir!G9*1000)))))))),".")</f>
        <v>6.5773651144152131E-4</v>
      </c>
      <c r="H9" s="70">
        <f>IFERROR(IF(AND(up_Irr!G9&lt;&gt;".",up_Irr!AF9&lt;&gt;".",up_Irr!BE9&lt;&gt;"."),up_dir!H9/((1/1000)*(up_Irr!G9+up_Irr!AF9+up_Irr!BE9)),IF(AND(up_Irr!G9&lt;&gt;".",up_Irr!AF9&lt;&gt;".",up_Irr!BE9="."),up_dir!H9/((1/1000)*(up_Irr!G9+up_Irr!AF9)),IF(AND(up_Irr!G9&lt;&gt;".",up_Irr!AF9=".",up_Irr!BE9&lt;&gt;"."),up_dir!H9/((1/1000)*(up_Irr!G9+up_Irr!BE9)),IF(AND(up_Irr!G9=".",up_Irr!AF9&lt;&gt;".",up_Irr!BE9&lt;&gt;"."),up_dir!H9/((1/1000)*(up_Irr!AF9+up_Irr!BE9)),IF(AND(up_Irr!G9=".",up_Irr!AF9=".",up_Irr!BE9&lt;&gt;"."),up_dir!H9/((1/1000)*(up_Irr!BE9)),IF(AND(up_Irr!G9=".",up_Irr!AF9&lt;&gt;".",up_Irr!BE9="."),up_dir!H9/((1/1000)*(up_Irr!AF9)),IF(AND(up_Irr!G9&lt;&gt;".",up_Irr!AF9=".",up_Irr!BE9="."),up_dir!H9/((1/1000)*(up_Irr!G9)),IF(AND(up_Irr!G9=".",up_Irr!AF9=".",up_Irr!BE9="."),up_dir!H9*1000)))))))),".")</f>
        <v>6.5773651144152131E-4</v>
      </c>
      <c r="I9" s="70">
        <f>IFERROR(IF(AND(up_Irr!H9&lt;&gt;".",up_Irr!AG9&lt;&gt;".",up_Irr!BF9&lt;&gt;"."),up_dir!I9/((1/1000)*(up_Irr!H9+up_Irr!AG9+up_Irr!BF9)),IF(AND(up_Irr!H9&lt;&gt;".",up_Irr!AG9&lt;&gt;".",up_Irr!BF9="."),up_dir!I9/((1/1000)*(up_Irr!H9+up_Irr!AG9)),IF(AND(up_Irr!H9&lt;&gt;".",up_Irr!AG9=".",up_Irr!BF9&lt;&gt;"."),up_dir!I9/((1/1000)*(up_Irr!H9+up_Irr!BF9)),IF(AND(up_Irr!H9=".",up_Irr!AG9&lt;&gt;".",up_Irr!BF9&lt;&gt;"."),up_dir!I9/((1/1000)*(up_Irr!AG9+up_Irr!BF9)),IF(AND(up_Irr!H9=".",up_Irr!AG9=".",up_Irr!BF9&lt;&gt;"."),up_dir!I9/((1/1000)*(up_Irr!BF9)),IF(AND(up_Irr!H9=".",up_Irr!AG9&lt;&gt;".",up_Irr!BF9="."),up_dir!I9/((1/1000)*(up_Irr!AG9)),IF(AND(up_Irr!H9&lt;&gt;".",up_Irr!AG9=".",up_Irr!BF9="."),up_dir!I9/((1/1000)*(up_Irr!H9)),IF(AND(up_Irr!H9=".",up_Irr!AG9=".",up_Irr!BF9="."),up_dir!I9*1000)))))))),".")</f>
        <v>6.5773651144152131E-4</v>
      </c>
      <c r="J9" s="70">
        <f>IFERROR(IF(AND(up_Irr!I9&lt;&gt;".",up_Irr!AH9&lt;&gt;".",up_Irr!BG9&lt;&gt;"."),up_dir!J9/((1/1000)*(up_Irr!I9+up_Irr!AH9+up_Irr!BG9)),IF(AND(up_Irr!I9&lt;&gt;".",up_Irr!AH9&lt;&gt;".",up_Irr!BG9="."),up_dir!J9/((1/1000)*(up_Irr!I9+up_Irr!AH9)),IF(AND(up_Irr!I9&lt;&gt;".",up_Irr!AH9=".",up_Irr!BG9&lt;&gt;"."),up_dir!J9/((1/1000)*(up_Irr!I9+up_Irr!BG9)),IF(AND(up_Irr!I9=".",up_Irr!AH9&lt;&gt;".",up_Irr!BG9&lt;&gt;"."),up_dir!J9/((1/1000)*(up_Irr!AH9+up_Irr!BG9)),IF(AND(up_Irr!I9=".",up_Irr!AH9=".",up_Irr!BG9&lt;&gt;"."),up_dir!J9/((1/1000)*(up_Irr!BG9)),IF(AND(up_Irr!I9=".",up_Irr!AH9&lt;&gt;".",up_Irr!BG9="."),up_dir!J9/((1/1000)*(up_Irr!AH9)),IF(AND(up_Irr!I9&lt;&gt;".",up_Irr!AH9=".",up_Irr!BG9="."),up_dir!J9/((1/1000)*(up_Irr!I9)),IF(AND(up_Irr!I9=".",up_Irr!AH9=".",up_Irr!BG9="."),up_dir!J9*1000)))))))),".")</f>
        <v>6.5773651144152131E-4</v>
      </c>
      <c r="K9" s="70">
        <f>IFERROR(IF(AND(up_Irr!J9&lt;&gt;".",up_Irr!AI9&lt;&gt;".",up_Irr!BH9&lt;&gt;"."),up_dir!K9/((1/1000)*(up_Irr!J9+up_Irr!AI9+up_Irr!BH9)),IF(AND(up_Irr!J9&lt;&gt;".",up_Irr!AI9&lt;&gt;".",up_Irr!BH9="."),up_dir!K9/((1/1000)*(up_Irr!J9+up_Irr!AI9)),IF(AND(up_Irr!J9&lt;&gt;".",up_Irr!AI9=".",up_Irr!BH9&lt;&gt;"."),up_dir!K9/((1/1000)*(up_Irr!J9+up_Irr!BH9)),IF(AND(up_Irr!J9=".",up_Irr!AI9&lt;&gt;".",up_Irr!BH9&lt;&gt;"."),up_dir!K9/((1/1000)*(up_Irr!AI9+up_Irr!BH9)),IF(AND(up_Irr!J9=".",up_Irr!AI9=".",up_Irr!BH9&lt;&gt;"."),up_dir!K9/((1/1000)*(up_Irr!BH9)),IF(AND(up_Irr!J9=".",up_Irr!AI9&lt;&gt;".",up_Irr!BH9="."),up_dir!K9/((1/1000)*(up_Irr!AI9)),IF(AND(up_Irr!J9&lt;&gt;".",up_Irr!AI9=".",up_Irr!BH9="."),up_dir!K9/((1/1000)*(up_Irr!J9)),IF(AND(up_Irr!J9=".",up_Irr!AI9=".",up_Irr!BH9="."),up_dir!K9*1000)))))))),".")</f>
        <v>6.5773651144152131E-4</v>
      </c>
      <c r="L9" s="70">
        <f>IFERROR(IF(AND(up_Irr!K9&lt;&gt;".",up_Irr!AJ9&lt;&gt;".",up_Irr!BI9&lt;&gt;"."),up_dir!L9/((1/1000)*(up_Irr!K9+up_Irr!AJ9+up_Irr!BI9)),IF(AND(up_Irr!K9&lt;&gt;".",up_Irr!AJ9&lt;&gt;".",up_Irr!BI9="."),up_dir!L9/((1/1000)*(up_Irr!K9+up_Irr!AJ9)),IF(AND(up_Irr!K9&lt;&gt;".",up_Irr!AJ9=".",up_Irr!BI9&lt;&gt;"."),up_dir!L9/((1/1000)*(up_Irr!K9+up_Irr!BI9)),IF(AND(up_Irr!K9=".",up_Irr!AJ9&lt;&gt;".",up_Irr!BI9&lt;&gt;"."),up_dir!L9/((1/1000)*(up_Irr!AJ9+up_Irr!BI9)),IF(AND(up_Irr!K9=".",up_Irr!AJ9=".",up_Irr!BI9&lt;&gt;"."),up_dir!L9/((1/1000)*(up_Irr!BI9)),IF(AND(up_Irr!K9=".",up_Irr!AJ9&lt;&gt;".",up_Irr!BI9="."),up_dir!L9/((1/1000)*(up_Irr!AJ9)),IF(AND(up_Irr!K9&lt;&gt;".",up_Irr!AJ9=".",up_Irr!BI9="."),up_dir!L9/((1/1000)*(up_Irr!K9)),IF(AND(up_Irr!K9=".",up_Irr!AJ9=".",up_Irr!BI9="."),up_dir!L9*1000)))))))),".")</f>
        <v>6.5773651144152131E-4</v>
      </c>
      <c r="M9" s="70">
        <f>IFERROR(IF(AND(up_Irr!L9&lt;&gt;".",up_Irr!AK9&lt;&gt;".",up_Irr!BJ9&lt;&gt;"."),up_dir!M9/((1/1000)*(up_Irr!L9+up_Irr!AK9+up_Irr!BJ9)),IF(AND(up_Irr!L9&lt;&gt;".",up_Irr!AK9&lt;&gt;".",up_Irr!BJ9="."),up_dir!M9/((1/1000)*(up_Irr!L9+up_Irr!AK9)),IF(AND(up_Irr!L9&lt;&gt;".",up_Irr!AK9=".",up_Irr!BJ9&lt;&gt;"."),up_dir!M9/((1/1000)*(up_Irr!L9+up_Irr!BJ9)),IF(AND(up_Irr!L9=".",up_Irr!AK9&lt;&gt;".",up_Irr!BJ9&lt;&gt;"."),up_dir!M9/((1/1000)*(up_Irr!AK9+up_Irr!BJ9)),IF(AND(up_Irr!L9=".",up_Irr!AK9=".",up_Irr!BJ9&lt;&gt;"."),up_dir!M9/((1/1000)*(up_Irr!BJ9)),IF(AND(up_Irr!L9=".",up_Irr!AK9&lt;&gt;".",up_Irr!BJ9="."),up_dir!M9/((1/1000)*(up_Irr!AK9)),IF(AND(up_Irr!L9&lt;&gt;".",up_Irr!AK9=".",up_Irr!BJ9="."),up_dir!M9/((1/1000)*(up_Irr!L9)),IF(AND(up_Irr!L9=".",up_Irr!AK9=".",up_Irr!BJ9="."),up_dir!M9*1000)))))))),".")</f>
        <v>6.5773651144152131E-4</v>
      </c>
      <c r="N9" s="70">
        <f>IFERROR(IF(AND(up_Irr!M9&lt;&gt;".",up_Irr!AL9&lt;&gt;".",up_Irr!BK9&lt;&gt;"."),up_dir!N9/((1/1000)*(up_Irr!M9+up_Irr!AL9+up_Irr!BK9)),IF(AND(up_Irr!M9&lt;&gt;".",up_Irr!AL9&lt;&gt;".",up_Irr!BK9="."),up_dir!N9/((1/1000)*(up_Irr!M9+up_Irr!AL9)),IF(AND(up_Irr!M9&lt;&gt;".",up_Irr!AL9=".",up_Irr!BK9&lt;&gt;"."),up_dir!N9/((1/1000)*(up_Irr!M9+up_Irr!BK9)),IF(AND(up_Irr!M9=".",up_Irr!AL9&lt;&gt;".",up_Irr!BK9&lt;&gt;"."),up_dir!N9/((1/1000)*(up_Irr!AL9+up_Irr!BK9)),IF(AND(up_Irr!M9=".",up_Irr!AL9=".",up_Irr!BK9&lt;&gt;"."),up_dir!N9/((1/1000)*(up_Irr!BK9)),IF(AND(up_Irr!M9=".",up_Irr!AL9&lt;&gt;".",up_Irr!BK9="."),up_dir!N9/((1/1000)*(up_Irr!AL9)),IF(AND(up_Irr!M9&lt;&gt;".",up_Irr!AL9=".",up_Irr!BK9="."),up_dir!N9/((1/1000)*(up_Irr!M9)),IF(AND(up_Irr!M9=".",up_Irr!AL9=".",up_Irr!BK9="."),up_dir!N9*1000)))))))),".")</f>
        <v>6.5773651144152131E-4</v>
      </c>
      <c r="O9" s="70">
        <f>IFERROR(IF(AND(up_Irr!N9&lt;&gt;".",up_Irr!AM9&lt;&gt;".",up_Irr!BL9&lt;&gt;"."),up_dir!O9/((1/1000)*(up_Irr!N9+up_Irr!AM9+up_Irr!BL9)),IF(AND(up_Irr!N9&lt;&gt;".",up_Irr!AM9&lt;&gt;".",up_Irr!BL9="."),up_dir!O9/((1/1000)*(up_Irr!N9+up_Irr!AM9)),IF(AND(up_Irr!N9&lt;&gt;".",up_Irr!AM9=".",up_Irr!BL9&lt;&gt;"."),up_dir!O9/((1/1000)*(up_Irr!N9+up_Irr!BL9)),IF(AND(up_Irr!N9=".",up_Irr!AM9&lt;&gt;".",up_Irr!BL9&lt;&gt;"."),up_dir!O9/((1/1000)*(up_Irr!AM9+up_Irr!BL9)),IF(AND(up_Irr!N9=".",up_Irr!AM9=".",up_Irr!BL9&lt;&gt;"."),up_dir!O9/((1/1000)*(up_Irr!BL9)),IF(AND(up_Irr!N9=".",up_Irr!AM9&lt;&gt;".",up_Irr!BL9="."),up_dir!O9/((1/1000)*(up_Irr!AM9)),IF(AND(up_Irr!N9&lt;&gt;".",up_Irr!AM9=".",up_Irr!BL9="."),up_dir!O9/((1/1000)*(up_Irr!N9)),IF(AND(up_Irr!N9=".",up_Irr!AM9=".",up_Irr!BL9="."),up_dir!O9*1000)))))))),".")</f>
        <v>6.5773651144152131E-4</v>
      </c>
      <c r="P9" s="70">
        <f>IFERROR(IF(AND(up_Irr!O9&lt;&gt;".",up_Irr!AN9&lt;&gt;".",up_Irr!BM9&lt;&gt;"."),up_dir!P9/((1/1000)*(up_Irr!O9+up_Irr!AN9+up_Irr!BM9)),IF(AND(up_Irr!O9&lt;&gt;".",up_Irr!AN9&lt;&gt;".",up_Irr!BM9="."),up_dir!P9/((1/1000)*(up_Irr!O9+up_Irr!AN9)),IF(AND(up_Irr!O9&lt;&gt;".",up_Irr!AN9=".",up_Irr!BM9&lt;&gt;"."),up_dir!P9/((1/1000)*(up_Irr!O9+up_Irr!BM9)),IF(AND(up_Irr!O9=".",up_Irr!AN9&lt;&gt;".",up_Irr!BM9&lt;&gt;"."),up_dir!P9/((1/1000)*(up_Irr!AN9+up_Irr!BM9)),IF(AND(up_Irr!O9=".",up_Irr!AN9=".",up_Irr!BM9&lt;&gt;"."),up_dir!P9/((1/1000)*(up_Irr!BM9)),IF(AND(up_Irr!O9=".",up_Irr!AN9&lt;&gt;".",up_Irr!BM9="."),up_dir!P9/((1/1000)*(up_Irr!AN9)),IF(AND(up_Irr!O9&lt;&gt;".",up_Irr!AN9=".",up_Irr!BM9="."),up_dir!P9/((1/1000)*(up_Irr!O9)),IF(AND(up_Irr!O9=".",up_Irr!AN9=".",up_Irr!BM9="."),up_dir!P9*1000)))))))),".")</f>
        <v>6.5773651144152131E-4</v>
      </c>
      <c r="Q9" s="70">
        <f>IFERROR(IF(AND(up_Irr!P9&lt;&gt;".",up_Irr!AO9&lt;&gt;".",up_Irr!BN9&lt;&gt;"."),up_dir!Q9/((1/1000)*(up_Irr!P9+up_Irr!AO9+up_Irr!BN9)),IF(AND(up_Irr!P9&lt;&gt;".",up_Irr!AO9&lt;&gt;".",up_Irr!BN9="."),up_dir!Q9/((1/1000)*(up_Irr!P9+up_Irr!AO9)),IF(AND(up_Irr!P9&lt;&gt;".",up_Irr!AO9=".",up_Irr!BN9&lt;&gt;"."),up_dir!Q9/((1/1000)*(up_Irr!P9+up_Irr!BN9)),IF(AND(up_Irr!P9=".",up_Irr!AO9&lt;&gt;".",up_Irr!BN9&lt;&gt;"."),up_dir!Q9/((1/1000)*(up_Irr!AO9+up_Irr!BN9)),IF(AND(up_Irr!P9=".",up_Irr!AO9=".",up_Irr!BN9&lt;&gt;"."),up_dir!Q9/((1/1000)*(up_Irr!BN9)),IF(AND(up_Irr!P9=".",up_Irr!AO9&lt;&gt;".",up_Irr!BN9="."),up_dir!Q9/((1/1000)*(up_Irr!AO9)),IF(AND(up_Irr!P9&lt;&gt;".",up_Irr!AO9=".",up_Irr!BN9="."),up_dir!Q9/((1/1000)*(up_Irr!P9)),IF(AND(up_Irr!P9=".",up_Irr!AO9=".",up_Irr!BN9="."),up_dir!Q9*1000)))))))),".")</f>
        <v>6.5773651144152131E-4</v>
      </c>
      <c r="R9" s="70">
        <f>IFERROR(IF(AND(up_Irr!Q9&lt;&gt;".",up_Irr!AP9&lt;&gt;".",up_Irr!BO9&lt;&gt;"."),up_dir!R9/((1/1000)*(up_Irr!Q9+up_Irr!AP9+up_Irr!BO9)),IF(AND(up_Irr!Q9&lt;&gt;".",up_Irr!AP9&lt;&gt;".",up_Irr!BO9="."),up_dir!R9/((1/1000)*(up_Irr!Q9+up_Irr!AP9)),IF(AND(up_Irr!Q9&lt;&gt;".",up_Irr!AP9=".",up_Irr!BO9&lt;&gt;"."),up_dir!R9/((1/1000)*(up_Irr!Q9+up_Irr!BO9)),IF(AND(up_Irr!Q9=".",up_Irr!AP9&lt;&gt;".",up_Irr!BO9&lt;&gt;"."),up_dir!R9/((1/1000)*(up_Irr!AP9+up_Irr!BO9)),IF(AND(up_Irr!Q9=".",up_Irr!AP9=".",up_Irr!BO9&lt;&gt;"."),up_dir!R9/((1/1000)*(up_Irr!BO9)),IF(AND(up_Irr!Q9=".",up_Irr!AP9&lt;&gt;".",up_Irr!BO9="."),up_dir!R9/((1/1000)*(up_Irr!AP9)),IF(AND(up_Irr!Q9&lt;&gt;".",up_Irr!AP9=".",up_Irr!BO9="."),up_dir!R9/((1/1000)*(up_Irr!Q9)),IF(AND(up_Irr!Q9=".",up_Irr!AP9=".",up_Irr!BO9="."),up_dir!R9*1000)))))))),".")</f>
        <v>6.5773651144152131E-4</v>
      </c>
      <c r="S9" s="70">
        <f>IFERROR(IF(AND(up_Irr!R9&lt;&gt;".",up_Irr!AQ9&lt;&gt;".",up_Irr!BP9&lt;&gt;"."),up_dir!S9/((1/1000)*(up_Irr!R9+up_Irr!AQ9+up_Irr!BP9)),IF(AND(up_Irr!R9&lt;&gt;".",up_Irr!AQ9&lt;&gt;".",up_Irr!BP9="."),up_dir!S9/((1/1000)*(up_Irr!R9+up_Irr!AQ9)),IF(AND(up_Irr!R9&lt;&gt;".",up_Irr!AQ9=".",up_Irr!BP9&lt;&gt;"."),up_dir!S9/((1/1000)*(up_Irr!R9+up_Irr!BP9)),IF(AND(up_Irr!R9=".",up_Irr!AQ9&lt;&gt;".",up_Irr!BP9&lt;&gt;"."),up_dir!S9/((1/1000)*(up_Irr!AQ9+up_Irr!BP9)),IF(AND(up_Irr!R9=".",up_Irr!AQ9=".",up_Irr!BP9&lt;&gt;"."),up_dir!S9/((1/1000)*(up_Irr!BP9)),IF(AND(up_Irr!R9=".",up_Irr!AQ9&lt;&gt;".",up_Irr!BP9="."),up_dir!S9/((1/1000)*(up_Irr!AQ9)),IF(AND(up_Irr!R9&lt;&gt;".",up_Irr!AQ9=".",up_Irr!BP9="."),up_dir!S9/((1/1000)*(up_Irr!R9)),IF(AND(up_Irr!R9=".",up_Irr!AQ9=".",up_Irr!BP9="."),up_dir!S9*1000)))))))),".")</f>
        <v>6.5773651144152131E-4</v>
      </c>
      <c r="T9" s="70">
        <f>IFERROR(IF(AND(up_Irr!S9&lt;&gt;".",up_Irr!AR9&lt;&gt;".",up_Irr!BQ9&lt;&gt;"."),up_dir!T9/((1/1000)*(up_Irr!S9+up_Irr!AR9+up_Irr!BQ9)),IF(AND(up_Irr!S9&lt;&gt;".",up_Irr!AR9&lt;&gt;".",up_Irr!BQ9="."),up_dir!T9/((1/1000)*(up_Irr!S9+up_Irr!AR9)),IF(AND(up_Irr!S9&lt;&gt;".",up_Irr!AR9=".",up_Irr!BQ9&lt;&gt;"."),up_dir!T9/((1/1000)*(up_Irr!S9+up_Irr!BQ9)),IF(AND(up_Irr!S9=".",up_Irr!AR9&lt;&gt;".",up_Irr!BQ9&lt;&gt;"."),up_dir!T9/((1/1000)*(up_Irr!AR9+up_Irr!BQ9)),IF(AND(up_Irr!S9=".",up_Irr!AR9=".",up_Irr!BQ9&lt;&gt;"."),up_dir!T9/((1/1000)*(up_Irr!BQ9)),IF(AND(up_Irr!S9=".",up_Irr!AR9&lt;&gt;".",up_Irr!BQ9="."),up_dir!T9/((1/1000)*(up_Irr!AR9)),IF(AND(up_Irr!S9&lt;&gt;".",up_Irr!AR9=".",up_Irr!BQ9="."),up_dir!T9/((1/1000)*(up_Irr!S9)),IF(AND(up_Irr!S9=".",up_Irr!AR9=".",up_Irr!BQ9="."),up_dir!T9*1000)))))))),".")</f>
        <v>6.5773651144152131E-4</v>
      </c>
      <c r="U9" s="70">
        <f>IFERROR(IF(AND(up_Irr!T9&lt;&gt;".",up_Irr!AS9&lt;&gt;".",up_Irr!BR9&lt;&gt;"."),up_dir!U9/((1/1000)*(up_Irr!T9+up_Irr!AS9+up_Irr!BR9)),IF(AND(up_Irr!T9&lt;&gt;".",up_Irr!AS9&lt;&gt;".",up_Irr!BR9="."),up_dir!U9/((1/1000)*(up_Irr!T9+up_Irr!AS9)),IF(AND(up_Irr!T9&lt;&gt;".",up_Irr!AS9=".",up_Irr!BR9&lt;&gt;"."),up_dir!U9/((1/1000)*(up_Irr!T9+up_Irr!BR9)),IF(AND(up_Irr!T9=".",up_Irr!AS9&lt;&gt;".",up_Irr!BR9&lt;&gt;"."),up_dir!U9/((1/1000)*(up_Irr!AS9+up_Irr!BR9)),IF(AND(up_Irr!T9=".",up_Irr!AS9=".",up_Irr!BR9&lt;&gt;"."),up_dir!U9/((1/1000)*(up_Irr!BR9)),IF(AND(up_Irr!T9=".",up_Irr!AS9&lt;&gt;".",up_Irr!BR9="."),up_dir!U9/((1/1000)*(up_Irr!AS9)),IF(AND(up_Irr!T9&lt;&gt;".",up_Irr!AS9=".",up_Irr!BR9="."),up_dir!U9/((1/1000)*(up_Irr!T9)),IF(AND(up_Irr!T9=".",up_Irr!AS9=".",up_Irr!BR9="."),up_dir!U9*1000)))))))),".")</f>
        <v>6.5773651144152131E-4</v>
      </c>
      <c r="V9" s="70">
        <f>IFERROR(IF(AND(up_Irr!U9&lt;&gt;".",up_Irr!AT9&lt;&gt;".",up_Irr!BS9&lt;&gt;"."),up_dir!V9/((1/1000)*(up_Irr!U9+up_Irr!AT9+up_Irr!BS9)),IF(AND(up_Irr!U9&lt;&gt;".",up_Irr!AT9&lt;&gt;".",up_Irr!BS9="."),up_dir!V9/((1/1000)*(up_Irr!U9+up_Irr!AT9)),IF(AND(up_Irr!U9&lt;&gt;".",up_Irr!AT9=".",up_Irr!BS9&lt;&gt;"."),up_dir!V9/((1/1000)*(up_Irr!U9+up_Irr!BS9)),IF(AND(up_Irr!U9=".",up_Irr!AT9&lt;&gt;".",up_Irr!BS9&lt;&gt;"."),up_dir!V9/((1/1000)*(up_Irr!AT9+up_Irr!BS9)),IF(AND(up_Irr!U9=".",up_Irr!AT9=".",up_Irr!BS9&lt;&gt;"."),up_dir!V9/((1/1000)*(up_Irr!BS9)),IF(AND(up_Irr!U9=".",up_Irr!AT9&lt;&gt;".",up_Irr!BS9="."),up_dir!V9/((1/1000)*(up_Irr!AT9)),IF(AND(up_Irr!U9&lt;&gt;".",up_Irr!AT9=".",up_Irr!BS9="."),up_dir!V9/((1/1000)*(up_Irr!U9)),IF(AND(up_Irr!U9=".",up_Irr!AT9=".",up_Irr!BS9="."),up_dir!V9*1000)))))))),".")</f>
        <v>6.5773651144152131E-4</v>
      </c>
      <c r="W9" s="70">
        <f>IFERROR(IF(AND(up_Irr!V9&lt;&gt;".",up_Irr!AU9&lt;&gt;".",up_Irr!BT9&lt;&gt;"."),up_dir!W9/((1/1000)*(up_Irr!V9+up_Irr!AU9+up_Irr!BT9)),IF(AND(up_Irr!V9&lt;&gt;".",up_Irr!AU9&lt;&gt;".",up_Irr!BT9="."),up_dir!W9/((1/1000)*(up_Irr!V9+up_Irr!AU9)),IF(AND(up_Irr!V9&lt;&gt;".",up_Irr!AU9=".",up_Irr!BT9&lt;&gt;"."),up_dir!W9/((1/1000)*(up_Irr!V9+up_Irr!BT9)),IF(AND(up_Irr!V9=".",up_Irr!AU9&lt;&gt;".",up_Irr!BT9&lt;&gt;"."),up_dir!W9/((1/1000)*(up_Irr!AU9+up_Irr!BT9)),IF(AND(up_Irr!V9=".",up_Irr!AU9=".",up_Irr!BT9&lt;&gt;"."),up_dir!W9/((1/1000)*(up_Irr!BT9)),IF(AND(up_Irr!V9=".",up_Irr!AU9&lt;&gt;".",up_Irr!BT9="."),up_dir!W9/((1/1000)*(up_Irr!AU9)),IF(AND(up_Irr!V9&lt;&gt;".",up_Irr!AU9=".",up_Irr!BT9="."),up_dir!W9/((1/1000)*(up_Irr!V9)),IF(AND(up_Irr!V9=".",up_Irr!AU9=".",up_Irr!BT9="."),up_dir!W9*1000)))))))),".")</f>
        <v>6.5773651144152131E-4</v>
      </c>
      <c r="X9" s="70">
        <f>IFERROR(IF(AND(up_Irr!W9&lt;&gt;".",up_Irr!AV9&lt;&gt;".",up_Irr!BU9&lt;&gt;"."),up_dir!X9/((1/1000)*(up_Irr!W9+up_Irr!AV9+up_Irr!BU9)),IF(AND(up_Irr!W9&lt;&gt;".",up_Irr!AV9&lt;&gt;".",up_Irr!BU9="."),up_dir!X9/((1/1000)*(up_Irr!W9+up_Irr!AV9)),IF(AND(up_Irr!W9&lt;&gt;".",up_Irr!AV9=".",up_Irr!BU9&lt;&gt;"."),up_dir!X9/((1/1000)*(up_Irr!W9+up_Irr!BU9)),IF(AND(up_Irr!W9=".",up_Irr!AV9&lt;&gt;".",up_Irr!BU9&lt;&gt;"."),up_dir!X9/((1/1000)*(up_Irr!AV9+up_Irr!BU9)),IF(AND(up_Irr!W9=".",up_Irr!AV9=".",up_Irr!BU9&lt;&gt;"."),up_dir!X9/((1/1000)*(up_Irr!BU9)),IF(AND(up_Irr!W9=".",up_Irr!AV9&lt;&gt;".",up_Irr!BU9="."),up_dir!X9/((1/1000)*(up_Irr!AV9)),IF(AND(up_Irr!W9&lt;&gt;".",up_Irr!AV9=".",up_Irr!BU9="."),up_dir!X9/((1/1000)*(up_Irr!W9)),IF(AND(up_Irr!W9=".",up_Irr!AV9=".",up_Irr!BU9="."),up_dir!X9*1000)))))))),".")</f>
        <v>6.5773651144152131E-4</v>
      </c>
      <c r="Y9" s="70">
        <f>IFERROR(IF(AND(up_Irr!X9&lt;&gt;".",up_Irr!AW9&lt;&gt;".",up_Irr!BV9&lt;&gt;"."),up_dir!Y9/((1/1000)*(up_Irr!X9+up_Irr!AW9+up_Irr!BV9)),IF(AND(up_Irr!X9&lt;&gt;".",up_Irr!AW9&lt;&gt;".",up_Irr!BV9="."),up_dir!Y9/((1/1000)*(up_Irr!X9+up_Irr!AW9)),IF(AND(up_Irr!X9&lt;&gt;".",up_Irr!AW9=".",up_Irr!BV9&lt;&gt;"."),up_dir!Y9/((1/1000)*(up_Irr!X9+up_Irr!BV9)),IF(AND(up_Irr!X9=".",up_Irr!AW9&lt;&gt;".",up_Irr!BV9&lt;&gt;"."),up_dir!Y9/((1/1000)*(up_Irr!AW9+up_Irr!BV9)),IF(AND(up_Irr!X9=".",up_Irr!AW9=".",up_Irr!BV9&lt;&gt;"."),up_dir!Y9/((1/1000)*(up_Irr!BV9)),IF(AND(up_Irr!X9=".",up_Irr!AW9&lt;&gt;".",up_Irr!BV9="."),up_dir!Y9/((1/1000)*(up_Irr!AW9)),IF(AND(up_Irr!X9&lt;&gt;".",up_Irr!AW9=".",up_Irr!BV9="."),up_dir!Y9/((1/1000)*(up_Irr!X9)),IF(AND(up_Irr!X9=".",up_Irr!AW9=".",up_Irr!BV9="."),up_dir!Y9*1000)))))))),".")</f>
        <v>6.5773651144152131E-4</v>
      </c>
      <c r="Z9" s="70">
        <f>IFERROR(IF(AND(up_Irr!Y9&lt;&gt;".",up_Irr!AX9&lt;&gt;".",up_Irr!BW9&lt;&gt;"."),up_dir!Z9/((1/1000)*(up_Irr!Y9+up_Irr!AX9+up_Irr!BW9)),IF(AND(up_Irr!Y9&lt;&gt;".",up_Irr!AX9&lt;&gt;".",up_Irr!BW9="."),up_dir!Z9/((1/1000)*(up_Irr!Y9+up_Irr!AX9)),IF(AND(up_Irr!Y9&lt;&gt;".",up_Irr!AX9=".",up_Irr!BW9&lt;&gt;"."),up_dir!Z9/((1/1000)*(up_Irr!Y9+up_Irr!BW9)),IF(AND(up_Irr!Y9=".",up_Irr!AX9&lt;&gt;".",up_Irr!BW9&lt;&gt;"."),up_dir!Z9/((1/1000)*(up_Irr!AX9+up_Irr!BW9)),IF(AND(up_Irr!Y9=".",up_Irr!AX9=".",up_Irr!BW9&lt;&gt;"."),up_dir!Z9/((1/1000)*(up_Irr!BW9)),IF(AND(up_Irr!Y9=".",up_Irr!AX9&lt;&gt;".",up_Irr!BW9="."),up_dir!Z9/((1/1000)*(up_Irr!AX9)),IF(AND(up_Irr!Y9&lt;&gt;".",up_Irr!AX9=".",up_Irr!BW9="."),up_dir!Z9/((1/1000)*(up_Irr!Y9)),IF(AND(up_Irr!Y9=".",up_Irr!AX9=".",up_Irr!BW9="."),up_dir!Z9*1000)))))))),".")</f>
        <v>6.5773651144152131E-4</v>
      </c>
      <c r="AA9" s="70">
        <f>IFERROR(IF(AND(up_Irr!Z9&lt;&gt;".",up_Irr!AY9&lt;&gt;".",up_Irr!BX9&lt;&gt;"."),up_dir!AA9/((1/1000)*(up_Irr!Z9+up_Irr!AY9+up_Irr!BX9)),IF(AND(up_Irr!Z9&lt;&gt;".",up_Irr!AY9&lt;&gt;".",up_Irr!BX9="."),up_dir!AA9/((1/1000)*(up_Irr!Z9+up_Irr!AY9)),IF(AND(up_Irr!Z9&lt;&gt;".",up_Irr!AY9=".",up_Irr!BX9&lt;&gt;"."),up_dir!AA9/((1/1000)*(up_Irr!Z9+up_Irr!BX9)),IF(AND(up_Irr!Z9=".",up_Irr!AY9&lt;&gt;".",up_Irr!BX9&lt;&gt;"."),up_dir!AA9/((1/1000)*(up_Irr!AY9+up_Irr!BX9)),IF(AND(up_Irr!Z9=".",up_Irr!AY9=".",up_Irr!BX9&lt;&gt;"."),up_dir!AA9/((1/1000)*(up_Irr!BX9)),IF(AND(up_Irr!Z9=".",up_Irr!AY9&lt;&gt;".",up_Irr!BX9="."),up_dir!AA9/((1/1000)*(up_Irr!AY9)),IF(AND(up_Irr!Z9&lt;&gt;".",up_Irr!AY9=".",up_Irr!BX9="."),up_dir!AA9/((1/1000)*(up_Irr!Z9)),IF(AND(up_Irr!Z9=".",up_Irr!AY9=".",up_Irr!BX9="."),up_dir!AA9*1000)))))))),".")</f>
        <v>6.5773651144152131E-4</v>
      </c>
      <c r="AB9" s="70">
        <f>IFERROR(IF(AND(up_Irr!AA9&lt;&gt;".",up_Irr!AZ9&lt;&gt;".",up_Irr!BY9&lt;&gt;"."),up_dir!AB9/((1/1000)*(up_Irr!AA9+up_Irr!AZ9+up_Irr!BY9)),IF(AND(up_Irr!AA9&lt;&gt;".",up_Irr!AZ9&lt;&gt;".",up_Irr!BY9="."),up_dir!AB9/((1/1000)*(up_Irr!AA9+up_Irr!AZ9)),IF(AND(up_Irr!AA9&lt;&gt;".",up_Irr!AZ9=".",up_Irr!BY9&lt;&gt;"."),up_dir!AB9/((1/1000)*(up_Irr!AA9+up_Irr!BY9)),IF(AND(up_Irr!AA9=".",up_Irr!AZ9&lt;&gt;".",up_Irr!BY9&lt;&gt;"."),up_dir!AB9/((1/1000)*(up_Irr!AZ9+up_Irr!BY9)),IF(AND(up_Irr!AA9=".",up_Irr!AZ9=".",up_Irr!BY9&lt;&gt;"."),up_dir!AB9/((1/1000)*(up_Irr!BY9)),IF(AND(up_Irr!AA9=".",up_Irr!AZ9&lt;&gt;".",up_Irr!BY9="."),up_dir!AB9/((1/1000)*(up_Irr!AZ9)),IF(AND(up_Irr!AA9&lt;&gt;".",up_Irr!AZ9=".",up_Irr!BY9="."),up_dir!AB9/((1/1000)*(up_Irr!AA9)),IF(AND(up_Irr!AA9=".",up_Irr!AZ9=".",up_Irr!BY9="."),up_dir!AB9*1000)))))))),".")</f>
        <v>6.5773651144152131E-4</v>
      </c>
      <c r="AC9" s="87">
        <f t="shared" si="1"/>
        <v>30407.313038114935</v>
      </c>
      <c r="AD9" s="87">
        <f>IFERROR(s_C*s_IFAP_res_adj*s_CF_apple*0.001*(up_Irr!C9+up_Irr!AB9+up_Irr!BA9),".")</f>
        <v>7601.8282595287337</v>
      </c>
      <c r="AE9" s="87">
        <f>IFERROR(s_C*s_IFAS_res_adj*s_CF_asparagus*0.001*(up_Irr!D9+up_Irr!AC9+up_Irr!BB9),".")</f>
        <v>7601.8282595287337</v>
      </c>
      <c r="AF9" s="87">
        <f>IFERROR(s_C*s_IFBT_res_adj*s_CF_beet*0.001*(up_Irr!E9+up_Irr!AD9+up_Irr!BC9),".")</f>
        <v>7601.8282595287337</v>
      </c>
      <c r="AG9" s="87">
        <f>IFERROR(s_C*s_IFBE_res_adj*s_CF_berries*0.001*(up_Irr!F9+up_Irr!AE9+up_Irr!BD9),".")</f>
        <v>7601.8282595287337</v>
      </c>
      <c r="AH9" s="87">
        <f>IFERROR(s_C*s_IFBR_res_adj*s_CF_broccoli*0.001*(up_Irr!G9+up_Irr!AF9+up_Irr!BE9),".")</f>
        <v>7601.8282595287337</v>
      </c>
      <c r="AI9" s="87">
        <f>IFERROR(s_C*s_IFCB_res_adj*s_CF_cabbage*0.001*(up_Irr!H9+up_Irr!AG9+up_Irr!BF9),".")</f>
        <v>7601.8282595287337</v>
      </c>
      <c r="AJ9" s="87">
        <f>IFERROR(s_C*s_IFCR_res_adj*s_CF_carrot*0.001*(up_Irr!I9+up_Irr!AH9+up_Irr!BG9),".")</f>
        <v>7601.8282595287337</v>
      </c>
      <c r="AK9" s="87">
        <f>IFERROR(s_C*s_IFCI_res_adj*s_CF_citrus*0.001*(up_Irr!J9+up_Irr!AI9+up_Irr!BH9),".")</f>
        <v>7601.8282595287337</v>
      </c>
      <c r="AL9" s="87">
        <f>IFERROR(s_C*s_IFCO_res_adj*s_CF_corn*0.001*(up_Irr!K9+up_Irr!AJ9+up_Irr!BI9),".")</f>
        <v>7601.8282595287337</v>
      </c>
      <c r="AM9" s="87">
        <f>IFERROR(s_C*s_IFCU_res_adj*s_CF_cucumber*0.001*(up_Irr!L9+up_Irr!AK9+up_Irr!BJ9),".")</f>
        <v>7601.8282595287337</v>
      </c>
      <c r="AN9" s="87">
        <f>IFERROR(s_C*s_IFLE_res_adj*s_CF_lettuce*0.001*(up_Irr!M9+up_Irr!AL9+up_Irr!BK9),".")</f>
        <v>7601.8282595287337</v>
      </c>
      <c r="AO9" s="87">
        <f>IFERROR(s_C*s_IFLI_res_adj*s_CF_lima_bean*0.001*(up_Irr!N9+up_Irr!AM9+up_Irr!BL9),".")</f>
        <v>7601.8282595287337</v>
      </c>
      <c r="AP9" s="87">
        <f>IFERROR(s_C*s_IFOK_res_adj*s_CF_okra*0.001*(up_Irr!O9+up_Irr!AN9+up_Irr!BM9),".")</f>
        <v>7601.8282595287337</v>
      </c>
      <c r="AQ9" s="87">
        <f>IFERROR(s_C*s_IFON_res_adj*s_CF_onion*0.001*(up_Irr!P9+up_Irr!AO9+up_Irr!BN9),".")</f>
        <v>7601.8282595287337</v>
      </c>
      <c r="AR9" s="87">
        <f>IFERROR(s_C*s_IFPC_res_adj*s_CF_peach*0.001*(up_Irr!Q9+up_Irr!AP9+up_Irr!BO9),".")</f>
        <v>7601.8282595287337</v>
      </c>
      <c r="AS9" s="87">
        <f>IFERROR(s_C*s_IFPR_res_adj*s_CF_pear*0.001*(up_Irr!R9+up_Irr!AQ9+up_Irr!BP9),".")</f>
        <v>7601.8282595287337</v>
      </c>
      <c r="AT9" s="87">
        <f>IFERROR(s_C*s_IFPE_res_adj*s_CF_peas*0.001*(up_Irr!S9+up_Irr!AR9+up_Irr!BQ9),".")</f>
        <v>7601.8282595287337</v>
      </c>
      <c r="AU9" s="87">
        <f>IFERROR(s_C*s_IFPP_res_adj*s_CF_peppers*0.001*(up_Irr!T9+up_Irr!AS9+up_Irr!BR9),".")</f>
        <v>7601.8282595287337</v>
      </c>
      <c r="AV9" s="87">
        <f>IFERROR(s_C*s_IFPT_res_adj*s_CF_potato*0.001*(up_Irr!U9+up_Irr!AT9+up_Irr!BS9),".")</f>
        <v>7601.8282595287337</v>
      </c>
      <c r="AW9" s="87">
        <f>IFERROR(s_C*s_IFPU_res_adj*s_CF_pumpkin*0.001*(up_Irr!V9+up_Irr!AU9+up_Irr!BT9),".")</f>
        <v>7601.8282595287337</v>
      </c>
      <c r="AX9" s="87">
        <f>IFERROR(s_C*s_IFSN_res_adj*s_CF_snap_bean*0.001*(up_Irr!W9+up_Irr!AV9+up_Irr!BU9),".")</f>
        <v>7601.8282595287337</v>
      </c>
      <c r="AY9" s="87">
        <f>IFERROR(s_C*s_IFST_res_adj*s_CF_strawberry*0.001*(up_Irr!X9+up_Irr!AW9+up_Irr!BV9),".")</f>
        <v>7601.8282595287337</v>
      </c>
      <c r="AZ9" s="87">
        <f>IFERROR(s_C*s_IFTO_res_adj*s_CF_tomato*0.001*(up_Irr!Y9+up_Irr!AX9+up_Irr!BW9),".")</f>
        <v>7601.8282595287337</v>
      </c>
      <c r="BA9" s="87">
        <f>IFERROR(s_C*s_IFRI_res_adj*s_CF_rice*0.001*(up_Irr!Z9+up_Irr!AY9+up_Irr!BX9),".")</f>
        <v>7601.8282595287337</v>
      </c>
      <c r="BB9" s="87">
        <f>IFERROR(s_C*s_IFCG_res_adj*s_CF_cereal*0.001*(up_Irr!AA9+up_Irr!AZ9+up_Irr!BY9),".")</f>
        <v>7601.8282595287337</v>
      </c>
      <c r="BC9" s="70">
        <f t="shared" si="2"/>
        <v>1.6443412786038033E-4</v>
      </c>
      <c r="BD9" s="70">
        <f>IFERROR(IF(AND(up_Irr!C9&lt;&gt;".",up_Irr!AB9&lt;&gt;".",up_Irr!BA9&lt;&gt;"."),up_dir!AD9/((1/1000)*(up_Irr!C9+up_Irr!AB9+up_Irr!BA9)),IF(AND(up_Irr!C9&lt;&gt;".",up_Irr!AB9&lt;&gt;".",up_Irr!BA9="."),up_dir!AD9/((1/1000)*(up_Irr!C9+up_Irr!AB9)),IF(AND(up_Irr!C9&lt;&gt;".",up_Irr!AB9=".",up_Irr!BA9&lt;&gt;"."),up_dir!AD9/((1/1000)*(up_Irr!C9+up_Irr!BA9)),IF(AND(up_Irr!C9=".",up_Irr!AB9&lt;&gt;".",up_Irr!BA9&lt;&gt;"."),up_dir!AD9/((1/1000)*(up_Irr!AB9+up_Irr!BA9)),IF(AND(up_Irr!C9=".",up_Irr!AB9=".",up_Irr!BA9&lt;&gt;"."),up_dir!AD9/((1/1000)*(up_Irr!BA9)),IF(AND(up_Irr!C9=".",up_Irr!AB9&lt;&gt;".",up_Irr!BA9="."),up_dir!AD9/((1/1000)*(up_Irr!AB9)),IF(AND(up_Irr!C9&lt;&gt;".",up_Irr!AB9=".",up_Irr!BA9="."),up_dir!AD9/((1/1000)*(up_Irr!C9)),IF(AND(up_Irr!C9=".",up_Irr!AB9=".",up_Irr!BA9="."),up_dir!AD9*1000)))))))),".")</f>
        <v>6.5773651144152131E-4</v>
      </c>
      <c r="BE9" s="70">
        <f>IFERROR(IF(AND(up_Irr!D9&lt;&gt;".",up_Irr!AC9&lt;&gt;".",up_Irr!BB9&lt;&gt;"."),up_dir!AE9/((1/1000)*(up_Irr!D9+up_Irr!AC9+up_Irr!BB9)),IF(AND(up_Irr!D9&lt;&gt;".",up_Irr!AC9&lt;&gt;".",up_Irr!BB9="."),up_dir!AE9/((1/1000)*(up_Irr!D9+up_Irr!AC9)),IF(AND(up_Irr!D9&lt;&gt;".",up_Irr!AC9=".",up_Irr!BB9&lt;&gt;"."),up_dir!AE9/((1/1000)*(up_Irr!D9+up_Irr!BB9)),IF(AND(up_Irr!D9=".",up_Irr!AC9&lt;&gt;".",up_Irr!BB9&lt;&gt;"."),up_dir!AE9/((1/1000)*(up_Irr!AC9+up_Irr!BB9)),IF(AND(up_Irr!D9=".",up_Irr!AC9=".",up_Irr!BB9&lt;&gt;"."),up_dir!AE9/((1/1000)*(up_Irr!BB9)),IF(AND(up_Irr!D9=".",up_Irr!AC9&lt;&gt;".",up_Irr!BB9="."),up_dir!AE9/((1/1000)*(up_Irr!AC9)),IF(AND(up_Irr!D9&lt;&gt;".",up_Irr!AC9=".",up_Irr!BB9="."),up_dir!AE9/((1/1000)*(up_Irr!D9)),IF(AND(up_Irr!D9=".",up_Irr!AC9=".",up_Irr!BB9="."),up_dir!AE9*1000)))))))),".")</f>
        <v>6.5773651144152131E-4</v>
      </c>
      <c r="BF9" s="70">
        <f>IFERROR(IF(AND(up_Irr!E9&lt;&gt;".",up_Irr!AD9&lt;&gt;".",up_Irr!BC9&lt;&gt;"."),up_dir!AF9/((1/1000)*(up_Irr!E9+up_Irr!AD9+up_Irr!BC9)),IF(AND(up_Irr!E9&lt;&gt;".",up_Irr!AD9&lt;&gt;".",up_Irr!BC9="."),up_dir!AF9/((1/1000)*(up_Irr!E9+up_Irr!AD9)),IF(AND(up_Irr!E9&lt;&gt;".",up_Irr!AD9=".",up_Irr!BC9&lt;&gt;"."),up_dir!AF9/((1/1000)*(up_Irr!E9+up_Irr!BC9)),IF(AND(up_Irr!E9=".",up_Irr!AD9&lt;&gt;".",up_Irr!BC9&lt;&gt;"."),up_dir!AF9/((1/1000)*(up_Irr!AD9+up_Irr!BC9)),IF(AND(up_Irr!E9=".",up_Irr!AD9=".",up_Irr!BC9&lt;&gt;"."),up_dir!AF9/((1/1000)*(up_Irr!BC9)),IF(AND(up_Irr!E9=".",up_Irr!AD9&lt;&gt;".",up_Irr!BC9="."),up_dir!AF9/((1/1000)*(up_Irr!AD9)),IF(AND(up_Irr!E9&lt;&gt;".",up_Irr!AD9=".",up_Irr!BC9="."),up_dir!AF9/((1/1000)*(up_Irr!E9)),IF(AND(up_Irr!E9=".",up_Irr!AD9=".",up_Irr!BC9="."),up_dir!AF9*1000)))))))),".")</f>
        <v>6.5773651144152131E-4</v>
      </c>
      <c r="BG9" s="70">
        <f>IFERROR(IF(AND(up_Irr!F9&lt;&gt;".",up_Irr!AE9&lt;&gt;".",up_Irr!BD9&lt;&gt;"."),up_dir!AG9/((1/1000)*(up_Irr!F9+up_Irr!AE9+up_Irr!BD9)),IF(AND(up_Irr!F9&lt;&gt;".",up_Irr!AE9&lt;&gt;".",up_Irr!BD9="."),up_dir!AG9/((1/1000)*(up_Irr!F9+up_Irr!AE9)),IF(AND(up_Irr!F9&lt;&gt;".",up_Irr!AE9=".",up_Irr!BD9&lt;&gt;"."),up_dir!AG9/((1/1000)*(up_Irr!F9+up_Irr!BD9)),IF(AND(up_Irr!F9=".",up_Irr!AE9&lt;&gt;".",up_Irr!BD9&lt;&gt;"."),up_dir!AG9/((1/1000)*(up_Irr!AE9+up_Irr!BD9)),IF(AND(up_Irr!F9=".",up_Irr!AE9=".",up_Irr!BD9&lt;&gt;"."),up_dir!AG9/((1/1000)*(up_Irr!BD9)),IF(AND(up_Irr!F9=".",up_Irr!AE9&lt;&gt;".",up_Irr!BD9="."),up_dir!AG9/((1/1000)*(up_Irr!AE9)),IF(AND(up_Irr!F9&lt;&gt;".",up_Irr!AE9=".",up_Irr!BD9="."),up_dir!AG9/((1/1000)*(up_Irr!F9)),IF(AND(up_Irr!F9=".",up_Irr!AE9=".",up_Irr!BD9="."),up_dir!AG9*1000)))))))),".")</f>
        <v>6.5773651144152131E-4</v>
      </c>
      <c r="BH9" s="70">
        <f>IFERROR(IF(AND(up_Irr!G9&lt;&gt;".",up_Irr!AF9&lt;&gt;".",up_Irr!BE9&lt;&gt;"."),up_dir!AH9/((1/1000)*(up_Irr!G9+up_Irr!AF9+up_Irr!BE9)),IF(AND(up_Irr!G9&lt;&gt;".",up_Irr!AF9&lt;&gt;".",up_Irr!BE9="."),up_dir!AH9/((1/1000)*(up_Irr!G9+up_Irr!AF9)),IF(AND(up_Irr!G9&lt;&gt;".",up_Irr!AF9=".",up_Irr!BE9&lt;&gt;"."),up_dir!AH9/((1/1000)*(up_Irr!G9+up_Irr!BE9)),IF(AND(up_Irr!G9=".",up_Irr!AF9&lt;&gt;".",up_Irr!BE9&lt;&gt;"."),up_dir!AH9/((1/1000)*(up_Irr!AF9+up_Irr!BE9)),IF(AND(up_Irr!G9=".",up_Irr!AF9=".",up_Irr!BE9&lt;&gt;"."),up_dir!AH9/((1/1000)*(up_Irr!BE9)),IF(AND(up_Irr!G9=".",up_Irr!AF9&lt;&gt;".",up_Irr!BE9="."),up_dir!AH9/((1/1000)*(up_Irr!AF9)),IF(AND(up_Irr!G9&lt;&gt;".",up_Irr!AF9=".",up_Irr!BE9="."),up_dir!AH9/((1/1000)*(up_Irr!G9)),IF(AND(up_Irr!G9=".",up_Irr!AF9=".",up_Irr!BE9="."),up_dir!AH9*1000)))))))),".")</f>
        <v>6.5773651144152131E-4</v>
      </c>
      <c r="BI9" s="70">
        <f>IFERROR(IF(AND(up_Irr!H9&lt;&gt;".",up_Irr!AG9&lt;&gt;".",up_Irr!BF9&lt;&gt;"."),up_dir!AI9/((1/1000)*(up_Irr!H9+up_Irr!AG9+up_Irr!BF9)),IF(AND(up_Irr!H9&lt;&gt;".",up_Irr!AG9&lt;&gt;".",up_Irr!BF9="."),up_dir!AI9/((1/1000)*(up_Irr!H9+up_Irr!AG9)),IF(AND(up_Irr!H9&lt;&gt;".",up_Irr!AG9=".",up_Irr!BF9&lt;&gt;"."),up_dir!AI9/((1/1000)*(up_Irr!H9+up_Irr!BF9)),IF(AND(up_Irr!H9=".",up_Irr!AG9&lt;&gt;".",up_Irr!BF9&lt;&gt;"."),up_dir!AI9/((1/1000)*(up_Irr!AG9+up_Irr!BF9)),IF(AND(up_Irr!H9=".",up_Irr!AG9=".",up_Irr!BF9&lt;&gt;"."),up_dir!AI9/((1/1000)*(up_Irr!BF9)),IF(AND(up_Irr!H9=".",up_Irr!AG9&lt;&gt;".",up_Irr!BF9="."),up_dir!AI9/((1/1000)*(up_Irr!AG9)),IF(AND(up_Irr!H9&lt;&gt;".",up_Irr!AG9=".",up_Irr!BF9="."),up_dir!AI9/((1/1000)*(up_Irr!H9)),IF(AND(up_Irr!H9=".",up_Irr!AG9=".",up_Irr!BF9="."),up_dir!AI9*1000)))))))),".")</f>
        <v>6.5773651144152131E-4</v>
      </c>
      <c r="BJ9" s="70">
        <f>IFERROR(IF(AND(up_Irr!I9&lt;&gt;".",up_Irr!AH9&lt;&gt;".",up_Irr!BG9&lt;&gt;"."),up_dir!AJ9/((1/1000)*(up_Irr!I9+up_Irr!AH9+up_Irr!BG9)),IF(AND(up_Irr!I9&lt;&gt;".",up_Irr!AH9&lt;&gt;".",up_Irr!BG9="."),up_dir!AJ9/((1/1000)*(up_Irr!I9+up_Irr!AH9)),IF(AND(up_Irr!I9&lt;&gt;".",up_Irr!AH9=".",up_Irr!BG9&lt;&gt;"."),up_dir!AJ9/((1/1000)*(up_Irr!I9+up_Irr!BG9)),IF(AND(up_Irr!I9=".",up_Irr!AH9&lt;&gt;".",up_Irr!BG9&lt;&gt;"."),up_dir!AJ9/((1/1000)*(up_Irr!AH9+up_Irr!BG9)),IF(AND(up_Irr!I9=".",up_Irr!AH9=".",up_Irr!BG9&lt;&gt;"."),up_dir!AJ9/((1/1000)*(up_Irr!BG9)),IF(AND(up_Irr!I9=".",up_Irr!AH9&lt;&gt;".",up_Irr!BG9="."),up_dir!AJ9/((1/1000)*(up_Irr!AH9)),IF(AND(up_Irr!I9&lt;&gt;".",up_Irr!AH9=".",up_Irr!BG9="."),up_dir!AJ9/((1/1000)*(up_Irr!I9)),IF(AND(up_Irr!I9=".",up_Irr!AH9=".",up_Irr!BG9="."),up_dir!AJ9*1000)))))))),".")</f>
        <v>6.5773651144152131E-4</v>
      </c>
      <c r="BK9" s="70">
        <f>IFERROR(IF(AND(up_Irr!J9&lt;&gt;".",up_Irr!AI9&lt;&gt;".",up_Irr!BH9&lt;&gt;"."),up_dir!AK9/((1/1000)*(up_Irr!J9+up_Irr!AI9+up_Irr!BH9)),IF(AND(up_Irr!J9&lt;&gt;".",up_Irr!AI9&lt;&gt;".",up_Irr!BH9="."),up_dir!AK9/((1/1000)*(up_Irr!J9+up_Irr!AI9)),IF(AND(up_Irr!J9&lt;&gt;".",up_Irr!AI9=".",up_Irr!BH9&lt;&gt;"."),up_dir!AK9/((1/1000)*(up_Irr!J9+up_Irr!BH9)),IF(AND(up_Irr!J9=".",up_Irr!AI9&lt;&gt;".",up_Irr!BH9&lt;&gt;"."),up_dir!AK9/((1/1000)*(up_Irr!AI9+up_Irr!BH9)),IF(AND(up_Irr!J9=".",up_Irr!AI9=".",up_Irr!BH9&lt;&gt;"."),up_dir!AK9/((1/1000)*(up_Irr!BH9)),IF(AND(up_Irr!J9=".",up_Irr!AI9&lt;&gt;".",up_Irr!BH9="."),up_dir!AK9/((1/1000)*(up_Irr!AI9)),IF(AND(up_Irr!J9&lt;&gt;".",up_Irr!AI9=".",up_Irr!BH9="."),up_dir!AK9/((1/1000)*(up_Irr!J9)),IF(AND(up_Irr!J9=".",up_Irr!AI9=".",up_Irr!BH9="."),up_dir!AK9*1000)))))))),".")</f>
        <v>6.5773651144152131E-4</v>
      </c>
      <c r="BL9" s="70">
        <f>IFERROR(IF(AND(up_Irr!K9&lt;&gt;".",up_Irr!AJ9&lt;&gt;".",up_Irr!BI9&lt;&gt;"."),up_dir!AL9/((1/1000)*(up_Irr!K9+up_Irr!AJ9+up_Irr!BI9)),IF(AND(up_Irr!K9&lt;&gt;".",up_Irr!AJ9&lt;&gt;".",up_Irr!BI9="."),up_dir!AL9/((1/1000)*(up_Irr!K9+up_Irr!AJ9)),IF(AND(up_Irr!K9&lt;&gt;".",up_Irr!AJ9=".",up_Irr!BI9&lt;&gt;"."),up_dir!AL9/((1/1000)*(up_Irr!K9+up_Irr!BI9)),IF(AND(up_Irr!K9=".",up_Irr!AJ9&lt;&gt;".",up_Irr!BI9&lt;&gt;"."),up_dir!AL9/((1/1000)*(up_Irr!AJ9+up_Irr!BI9)),IF(AND(up_Irr!K9=".",up_Irr!AJ9=".",up_Irr!BI9&lt;&gt;"."),up_dir!AL9/((1/1000)*(up_Irr!BI9)),IF(AND(up_Irr!K9=".",up_Irr!AJ9&lt;&gt;".",up_Irr!BI9="."),up_dir!AL9/((1/1000)*(up_Irr!AJ9)),IF(AND(up_Irr!K9&lt;&gt;".",up_Irr!AJ9=".",up_Irr!BI9="."),up_dir!AL9/((1/1000)*(up_Irr!K9)),IF(AND(up_Irr!K9=".",up_Irr!AJ9=".",up_Irr!BI9="."),up_dir!AL9*1000)))))))),".")</f>
        <v>6.5773651144152131E-4</v>
      </c>
      <c r="BM9" s="70">
        <f>IFERROR(IF(AND(up_Irr!L9&lt;&gt;".",up_Irr!AK9&lt;&gt;".",up_Irr!BJ9&lt;&gt;"."),up_dir!AM9/((1/1000)*(up_Irr!L9+up_Irr!AK9+up_Irr!BJ9)),IF(AND(up_Irr!L9&lt;&gt;".",up_Irr!AK9&lt;&gt;".",up_Irr!BJ9="."),up_dir!AM9/((1/1000)*(up_Irr!L9+up_Irr!AK9)),IF(AND(up_Irr!L9&lt;&gt;".",up_Irr!AK9=".",up_Irr!BJ9&lt;&gt;"."),up_dir!AM9/((1/1000)*(up_Irr!L9+up_Irr!BJ9)),IF(AND(up_Irr!L9=".",up_Irr!AK9&lt;&gt;".",up_Irr!BJ9&lt;&gt;"."),up_dir!AM9/((1/1000)*(up_Irr!AK9+up_Irr!BJ9)),IF(AND(up_Irr!L9=".",up_Irr!AK9=".",up_Irr!BJ9&lt;&gt;"."),up_dir!AM9/((1/1000)*(up_Irr!BJ9)),IF(AND(up_Irr!L9=".",up_Irr!AK9&lt;&gt;".",up_Irr!BJ9="."),up_dir!AM9/((1/1000)*(up_Irr!AK9)),IF(AND(up_Irr!L9&lt;&gt;".",up_Irr!AK9=".",up_Irr!BJ9="."),up_dir!AM9/((1/1000)*(up_Irr!L9)),IF(AND(up_Irr!L9=".",up_Irr!AK9=".",up_Irr!BJ9="."),up_dir!AM9*1000)))))))),".")</f>
        <v>6.5773651144152131E-4</v>
      </c>
      <c r="BN9" s="70">
        <f>IFERROR(IF(AND(up_Irr!M9&lt;&gt;".",up_Irr!AL9&lt;&gt;".",up_Irr!BK9&lt;&gt;"."),up_dir!AN9/((1/1000)*(up_Irr!M9+up_Irr!AL9+up_Irr!BK9)),IF(AND(up_Irr!M9&lt;&gt;".",up_Irr!AL9&lt;&gt;".",up_Irr!BK9="."),up_dir!AN9/((1/1000)*(up_Irr!M9+up_Irr!AL9)),IF(AND(up_Irr!M9&lt;&gt;".",up_Irr!AL9=".",up_Irr!BK9&lt;&gt;"."),up_dir!AN9/((1/1000)*(up_Irr!M9+up_Irr!BK9)),IF(AND(up_Irr!M9=".",up_Irr!AL9&lt;&gt;".",up_Irr!BK9&lt;&gt;"."),up_dir!AN9/((1/1000)*(up_Irr!AL9+up_Irr!BK9)),IF(AND(up_Irr!M9=".",up_Irr!AL9=".",up_Irr!BK9&lt;&gt;"."),up_dir!AN9/((1/1000)*(up_Irr!BK9)),IF(AND(up_Irr!M9=".",up_Irr!AL9&lt;&gt;".",up_Irr!BK9="."),up_dir!AN9/((1/1000)*(up_Irr!AL9)),IF(AND(up_Irr!M9&lt;&gt;".",up_Irr!AL9=".",up_Irr!BK9="."),up_dir!AN9/((1/1000)*(up_Irr!M9)),IF(AND(up_Irr!M9=".",up_Irr!AL9=".",up_Irr!BK9="."),up_dir!AN9*1000)))))))),".")</f>
        <v>6.5773651144152131E-4</v>
      </c>
      <c r="BO9" s="70">
        <f>IFERROR(IF(AND(up_Irr!N9&lt;&gt;".",up_Irr!AM9&lt;&gt;".",up_Irr!BL9&lt;&gt;"."),up_dir!AO9/((1/1000)*(up_Irr!N9+up_Irr!AM9+up_Irr!BL9)),IF(AND(up_Irr!N9&lt;&gt;".",up_Irr!AM9&lt;&gt;".",up_Irr!BL9="."),up_dir!AO9/((1/1000)*(up_Irr!N9+up_Irr!AM9)),IF(AND(up_Irr!N9&lt;&gt;".",up_Irr!AM9=".",up_Irr!BL9&lt;&gt;"."),up_dir!AO9/((1/1000)*(up_Irr!N9+up_Irr!BL9)),IF(AND(up_Irr!N9=".",up_Irr!AM9&lt;&gt;".",up_Irr!BL9&lt;&gt;"."),up_dir!AO9/((1/1000)*(up_Irr!AM9+up_Irr!BL9)),IF(AND(up_Irr!N9=".",up_Irr!AM9=".",up_Irr!BL9&lt;&gt;"."),up_dir!AO9/((1/1000)*(up_Irr!BL9)),IF(AND(up_Irr!N9=".",up_Irr!AM9&lt;&gt;".",up_Irr!BL9="."),up_dir!AO9/((1/1000)*(up_Irr!AM9)),IF(AND(up_Irr!N9&lt;&gt;".",up_Irr!AM9=".",up_Irr!BL9="."),up_dir!AO9/((1/1000)*(up_Irr!N9)),IF(AND(up_Irr!N9=".",up_Irr!AM9=".",up_Irr!BL9="."),up_dir!AO9*1000)))))))),".")</f>
        <v>6.5773651144152131E-4</v>
      </c>
      <c r="BP9" s="70">
        <f>IFERROR(IF(AND(up_Irr!O9&lt;&gt;".",up_Irr!AN9&lt;&gt;".",up_Irr!BM9&lt;&gt;"."),up_dir!AP9/((1/1000)*(up_Irr!O9+up_Irr!AN9+up_Irr!BM9)),IF(AND(up_Irr!O9&lt;&gt;".",up_Irr!AN9&lt;&gt;".",up_Irr!BM9="."),up_dir!AP9/((1/1000)*(up_Irr!O9+up_Irr!AN9)),IF(AND(up_Irr!O9&lt;&gt;".",up_Irr!AN9=".",up_Irr!BM9&lt;&gt;"."),up_dir!AP9/((1/1000)*(up_Irr!O9+up_Irr!BM9)),IF(AND(up_Irr!O9=".",up_Irr!AN9&lt;&gt;".",up_Irr!BM9&lt;&gt;"."),up_dir!AP9/((1/1000)*(up_Irr!AN9+up_Irr!BM9)),IF(AND(up_Irr!O9=".",up_Irr!AN9=".",up_Irr!BM9&lt;&gt;"."),up_dir!AP9/((1/1000)*(up_Irr!BM9)),IF(AND(up_Irr!O9=".",up_Irr!AN9&lt;&gt;".",up_Irr!BM9="."),up_dir!AP9/((1/1000)*(up_Irr!AN9)),IF(AND(up_Irr!O9&lt;&gt;".",up_Irr!AN9=".",up_Irr!BM9="."),up_dir!AP9/((1/1000)*(up_Irr!O9)),IF(AND(up_Irr!O9=".",up_Irr!AN9=".",up_Irr!BM9="."),up_dir!AP9*1000)))))))),".")</f>
        <v>6.5773651144152131E-4</v>
      </c>
      <c r="BQ9" s="70">
        <f>IFERROR(IF(AND(up_Irr!P9&lt;&gt;".",up_Irr!AO9&lt;&gt;".",up_Irr!BN9&lt;&gt;"."),up_dir!AQ9/((1/1000)*(up_Irr!P9+up_Irr!AO9+up_Irr!BN9)),IF(AND(up_Irr!P9&lt;&gt;".",up_Irr!AO9&lt;&gt;".",up_Irr!BN9="."),up_dir!AQ9/((1/1000)*(up_Irr!P9+up_Irr!AO9)),IF(AND(up_Irr!P9&lt;&gt;".",up_Irr!AO9=".",up_Irr!BN9&lt;&gt;"."),up_dir!AQ9/((1/1000)*(up_Irr!P9+up_Irr!BN9)),IF(AND(up_Irr!P9=".",up_Irr!AO9&lt;&gt;".",up_Irr!BN9&lt;&gt;"."),up_dir!AQ9/((1/1000)*(up_Irr!AO9+up_Irr!BN9)),IF(AND(up_Irr!P9=".",up_Irr!AO9=".",up_Irr!BN9&lt;&gt;"."),up_dir!AQ9/((1/1000)*(up_Irr!BN9)),IF(AND(up_Irr!P9=".",up_Irr!AO9&lt;&gt;".",up_Irr!BN9="."),up_dir!AQ9/((1/1000)*(up_Irr!AO9)),IF(AND(up_Irr!P9&lt;&gt;".",up_Irr!AO9=".",up_Irr!BN9="."),up_dir!AQ9/((1/1000)*(up_Irr!P9)),IF(AND(up_Irr!P9=".",up_Irr!AO9=".",up_Irr!BN9="."),up_dir!AQ9*1000)))))))),".")</f>
        <v>6.5773651144152131E-4</v>
      </c>
      <c r="BR9" s="70">
        <f>IFERROR(IF(AND(up_Irr!Q9&lt;&gt;".",up_Irr!AP9&lt;&gt;".",up_Irr!BO9&lt;&gt;"."),up_dir!AR9/((1/1000)*(up_Irr!Q9+up_Irr!AP9+up_Irr!BO9)),IF(AND(up_Irr!Q9&lt;&gt;".",up_Irr!AP9&lt;&gt;".",up_Irr!BO9="."),up_dir!AR9/((1/1000)*(up_Irr!Q9+up_Irr!AP9)),IF(AND(up_Irr!Q9&lt;&gt;".",up_Irr!AP9=".",up_Irr!BO9&lt;&gt;"."),up_dir!AR9/((1/1000)*(up_Irr!Q9+up_Irr!BO9)),IF(AND(up_Irr!Q9=".",up_Irr!AP9&lt;&gt;".",up_Irr!BO9&lt;&gt;"."),up_dir!AR9/((1/1000)*(up_Irr!AP9+up_Irr!BO9)),IF(AND(up_Irr!Q9=".",up_Irr!AP9=".",up_Irr!BO9&lt;&gt;"."),up_dir!AR9/((1/1000)*(up_Irr!BO9)),IF(AND(up_Irr!Q9=".",up_Irr!AP9&lt;&gt;".",up_Irr!BO9="."),up_dir!AR9/((1/1000)*(up_Irr!AP9)),IF(AND(up_Irr!Q9&lt;&gt;".",up_Irr!AP9=".",up_Irr!BO9="."),up_dir!AR9/((1/1000)*(up_Irr!Q9)),IF(AND(up_Irr!Q9=".",up_Irr!AP9=".",up_Irr!BO9="."),up_dir!AR9*1000)))))))),".")</f>
        <v>6.5773651144152131E-4</v>
      </c>
      <c r="BS9" s="70">
        <f>IFERROR(IF(AND(up_Irr!R9&lt;&gt;".",up_Irr!AQ9&lt;&gt;".",up_Irr!BP9&lt;&gt;"."),up_dir!AS9/((1/1000)*(up_Irr!R9+up_Irr!AQ9+up_Irr!BP9)),IF(AND(up_Irr!R9&lt;&gt;".",up_Irr!AQ9&lt;&gt;".",up_Irr!BP9="."),up_dir!AS9/((1/1000)*(up_Irr!R9+up_Irr!AQ9)),IF(AND(up_Irr!R9&lt;&gt;".",up_Irr!AQ9=".",up_Irr!BP9&lt;&gt;"."),up_dir!AS9/((1/1000)*(up_Irr!R9+up_Irr!BP9)),IF(AND(up_Irr!R9=".",up_Irr!AQ9&lt;&gt;".",up_Irr!BP9&lt;&gt;"."),up_dir!AS9/((1/1000)*(up_Irr!AQ9+up_Irr!BP9)),IF(AND(up_Irr!R9=".",up_Irr!AQ9=".",up_Irr!BP9&lt;&gt;"."),up_dir!AS9/((1/1000)*(up_Irr!BP9)),IF(AND(up_Irr!R9=".",up_Irr!AQ9&lt;&gt;".",up_Irr!BP9="."),up_dir!AS9/((1/1000)*(up_Irr!AQ9)),IF(AND(up_Irr!R9&lt;&gt;".",up_Irr!AQ9=".",up_Irr!BP9="."),up_dir!AS9/((1/1000)*(up_Irr!R9)),IF(AND(up_Irr!R9=".",up_Irr!AQ9=".",up_Irr!BP9="."),up_dir!AS9*1000)))))))),".")</f>
        <v>6.5773651144152131E-4</v>
      </c>
      <c r="BT9" s="70">
        <f>IFERROR(IF(AND(up_Irr!S9&lt;&gt;".",up_Irr!AR9&lt;&gt;".",up_Irr!BQ9&lt;&gt;"."),up_dir!AT9/((1/1000)*(up_Irr!S9+up_Irr!AR9+up_Irr!BQ9)),IF(AND(up_Irr!S9&lt;&gt;".",up_Irr!AR9&lt;&gt;".",up_Irr!BQ9="."),up_dir!AT9/((1/1000)*(up_Irr!S9+up_Irr!AR9)),IF(AND(up_Irr!S9&lt;&gt;".",up_Irr!AR9=".",up_Irr!BQ9&lt;&gt;"."),up_dir!AT9/((1/1000)*(up_Irr!S9+up_Irr!BQ9)),IF(AND(up_Irr!S9=".",up_Irr!AR9&lt;&gt;".",up_Irr!BQ9&lt;&gt;"."),up_dir!AT9/((1/1000)*(up_Irr!AR9+up_Irr!BQ9)),IF(AND(up_Irr!S9=".",up_Irr!AR9=".",up_Irr!BQ9&lt;&gt;"."),up_dir!AT9/((1/1000)*(up_Irr!BQ9)),IF(AND(up_Irr!S9=".",up_Irr!AR9&lt;&gt;".",up_Irr!BQ9="."),up_dir!AT9/((1/1000)*(up_Irr!AR9)),IF(AND(up_Irr!S9&lt;&gt;".",up_Irr!AR9=".",up_Irr!BQ9="."),up_dir!AT9/((1/1000)*(up_Irr!S9)),IF(AND(up_Irr!S9=".",up_Irr!AR9=".",up_Irr!BQ9="."),up_dir!AT9*1000)))))))),".")</f>
        <v>6.5773651144152131E-4</v>
      </c>
      <c r="BU9" s="70">
        <f>IFERROR(IF(AND(up_Irr!T9&lt;&gt;".",up_Irr!AS9&lt;&gt;".",up_Irr!BR9&lt;&gt;"."),up_dir!AU9/((1/1000)*(up_Irr!T9+up_Irr!AS9+up_Irr!BR9)),IF(AND(up_Irr!T9&lt;&gt;".",up_Irr!AS9&lt;&gt;".",up_Irr!BR9="."),up_dir!AU9/((1/1000)*(up_Irr!T9+up_Irr!AS9)),IF(AND(up_Irr!T9&lt;&gt;".",up_Irr!AS9=".",up_Irr!BR9&lt;&gt;"."),up_dir!AU9/((1/1000)*(up_Irr!T9+up_Irr!BR9)),IF(AND(up_Irr!T9=".",up_Irr!AS9&lt;&gt;".",up_Irr!BR9&lt;&gt;"."),up_dir!AU9/((1/1000)*(up_Irr!AS9+up_Irr!BR9)),IF(AND(up_Irr!T9=".",up_Irr!AS9=".",up_Irr!BR9&lt;&gt;"."),up_dir!AU9/((1/1000)*(up_Irr!BR9)),IF(AND(up_Irr!T9=".",up_Irr!AS9&lt;&gt;".",up_Irr!BR9="."),up_dir!AU9/((1/1000)*(up_Irr!AS9)),IF(AND(up_Irr!T9&lt;&gt;".",up_Irr!AS9=".",up_Irr!BR9="."),up_dir!AU9/((1/1000)*(up_Irr!T9)),IF(AND(up_Irr!T9=".",up_Irr!AS9=".",up_Irr!BR9="."),up_dir!AU9*1000)))))))),".")</f>
        <v>6.5773651144152131E-4</v>
      </c>
      <c r="BV9" s="70">
        <f>IFERROR(IF(AND(up_Irr!U9&lt;&gt;".",up_Irr!AT9&lt;&gt;".",up_Irr!BS9&lt;&gt;"."),up_dir!AV9/((1/1000)*(up_Irr!U9+up_Irr!AT9+up_Irr!BS9)),IF(AND(up_Irr!U9&lt;&gt;".",up_Irr!AT9&lt;&gt;".",up_Irr!BS9="."),up_dir!AV9/((1/1000)*(up_Irr!U9+up_Irr!AT9)),IF(AND(up_Irr!U9&lt;&gt;".",up_Irr!AT9=".",up_Irr!BS9&lt;&gt;"."),up_dir!AV9/((1/1000)*(up_Irr!U9+up_Irr!BS9)),IF(AND(up_Irr!U9=".",up_Irr!AT9&lt;&gt;".",up_Irr!BS9&lt;&gt;"."),up_dir!AV9/((1/1000)*(up_Irr!AT9+up_Irr!BS9)),IF(AND(up_Irr!U9=".",up_Irr!AT9=".",up_Irr!BS9&lt;&gt;"."),up_dir!AV9/((1/1000)*(up_Irr!BS9)),IF(AND(up_Irr!U9=".",up_Irr!AT9&lt;&gt;".",up_Irr!BS9="."),up_dir!AV9/((1/1000)*(up_Irr!AT9)),IF(AND(up_Irr!U9&lt;&gt;".",up_Irr!AT9=".",up_Irr!BS9="."),up_dir!AV9/((1/1000)*(up_Irr!U9)),IF(AND(up_Irr!U9=".",up_Irr!AT9=".",up_Irr!BS9="."),up_dir!AV9*1000)))))))),".")</f>
        <v>6.5773651144152131E-4</v>
      </c>
      <c r="BW9" s="70">
        <f>IFERROR(IF(AND(up_Irr!V9&lt;&gt;".",up_Irr!AU9&lt;&gt;".",up_Irr!BT9&lt;&gt;"."),up_dir!AW9/((1/1000)*(up_Irr!V9+up_Irr!AU9+up_Irr!BT9)),IF(AND(up_Irr!V9&lt;&gt;".",up_Irr!AU9&lt;&gt;".",up_Irr!BT9="."),up_dir!AW9/((1/1000)*(up_Irr!V9+up_Irr!AU9)),IF(AND(up_Irr!V9&lt;&gt;".",up_Irr!AU9=".",up_Irr!BT9&lt;&gt;"."),up_dir!AW9/((1/1000)*(up_Irr!V9+up_Irr!BT9)),IF(AND(up_Irr!V9=".",up_Irr!AU9&lt;&gt;".",up_Irr!BT9&lt;&gt;"."),up_dir!AW9/((1/1000)*(up_Irr!AU9+up_Irr!BT9)),IF(AND(up_Irr!V9=".",up_Irr!AU9=".",up_Irr!BT9&lt;&gt;"."),up_dir!AW9/((1/1000)*(up_Irr!BT9)),IF(AND(up_Irr!V9=".",up_Irr!AU9&lt;&gt;".",up_Irr!BT9="."),up_dir!AW9/((1/1000)*(up_Irr!AU9)),IF(AND(up_Irr!V9&lt;&gt;".",up_Irr!AU9=".",up_Irr!BT9="."),up_dir!AW9/((1/1000)*(up_Irr!V9)),IF(AND(up_Irr!V9=".",up_Irr!AU9=".",up_Irr!BT9="."),up_dir!AW9*1000)))))))),".")</f>
        <v>6.5773651144152131E-4</v>
      </c>
      <c r="BX9" s="70">
        <f>IFERROR(IF(AND(up_Irr!W9&lt;&gt;".",up_Irr!AV9&lt;&gt;".",up_Irr!BU9&lt;&gt;"."),up_dir!AX9/((1/1000)*(up_Irr!W9+up_Irr!AV9+up_Irr!BU9)),IF(AND(up_Irr!W9&lt;&gt;".",up_Irr!AV9&lt;&gt;".",up_Irr!BU9="."),up_dir!AX9/((1/1000)*(up_Irr!W9+up_Irr!AV9)),IF(AND(up_Irr!W9&lt;&gt;".",up_Irr!AV9=".",up_Irr!BU9&lt;&gt;"."),up_dir!AX9/((1/1000)*(up_Irr!W9+up_Irr!BU9)),IF(AND(up_Irr!W9=".",up_Irr!AV9&lt;&gt;".",up_Irr!BU9&lt;&gt;"."),up_dir!AX9/((1/1000)*(up_Irr!AV9+up_Irr!BU9)),IF(AND(up_Irr!W9=".",up_Irr!AV9=".",up_Irr!BU9&lt;&gt;"."),up_dir!AX9/((1/1000)*(up_Irr!BU9)),IF(AND(up_Irr!W9=".",up_Irr!AV9&lt;&gt;".",up_Irr!BU9="."),up_dir!AX9/((1/1000)*(up_Irr!AV9)),IF(AND(up_Irr!W9&lt;&gt;".",up_Irr!AV9=".",up_Irr!BU9="."),up_dir!AX9/((1/1000)*(up_Irr!W9)),IF(AND(up_Irr!W9=".",up_Irr!AV9=".",up_Irr!BU9="."),up_dir!AX9*1000)))))))),".")</f>
        <v>6.5773651144152131E-4</v>
      </c>
      <c r="BY9" s="70">
        <f>IFERROR(IF(AND(up_Irr!X9&lt;&gt;".",up_Irr!AW9&lt;&gt;".",up_Irr!BV9&lt;&gt;"."),up_dir!AY9/((1/1000)*(up_Irr!X9+up_Irr!AW9+up_Irr!BV9)),IF(AND(up_Irr!X9&lt;&gt;".",up_Irr!AW9&lt;&gt;".",up_Irr!BV9="."),up_dir!AY9/((1/1000)*(up_Irr!X9+up_Irr!AW9)),IF(AND(up_Irr!X9&lt;&gt;".",up_Irr!AW9=".",up_Irr!BV9&lt;&gt;"."),up_dir!AY9/((1/1000)*(up_Irr!X9+up_Irr!BV9)),IF(AND(up_Irr!X9=".",up_Irr!AW9&lt;&gt;".",up_Irr!BV9&lt;&gt;"."),up_dir!AY9/((1/1000)*(up_Irr!AW9+up_Irr!BV9)),IF(AND(up_Irr!X9=".",up_Irr!AW9=".",up_Irr!BV9&lt;&gt;"."),up_dir!AY9/((1/1000)*(up_Irr!BV9)),IF(AND(up_Irr!X9=".",up_Irr!AW9&lt;&gt;".",up_Irr!BV9="."),up_dir!AY9/((1/1000)*(up_Irr!AW9)),IF(AND(up_Irr!X9&lt;&gt;".",up_Irr!AW9=".",up_Irr!BV9="."),up_dir!AY9/((1/1000)*(up_Irr!X9)),IF(AND(up_Irr!X9=".",up_Irr!AW9=".",up_Irr!BV9="."),up_dir!AY9*1000)))))))),".")</f>
        <v>6.5773651144152131E-4</v>
      </c>
      <c r="BZ9" s="70">
        <f>IFERROR(IF(AND(up_Irr!Y9&lt;&gt;".",up_Irr!AX9&lt;&gt;".",up_Irr!BW9&lt;&gt;"."),up_dir!AZ9/((1/1000)*(up_Irr!Y9+up_Irr!AX9+up_Irr!BW9)),IF(AND(up_Irr!Y9&lt;&gt;".",up_Irr!AX9&lt;&gt;".",up_Irr!BW9="."),up_dir!AZ9/((1/1000)*(up_Irr!Y9+up_Irr!AX9)),IF(AND(up_Irr!Y9&lt;&gt;".",up_Irr!AX9=".",up_Irr!BW9&lt;&gt;"."),up_dir!AZ9/((1/1000)*(up_Irr!Y9+up_Irr!BW9)),IF(AND(up_Irr!Y9=".",up_Irr!AX9&lt;&gt;".",up_Irr!BW9&lt;&gt;"."),up_dir!AZ9/((1/1000)*(up_Irr!AX9+up_Irr!BW9)),IF(AND(up_Irr!Y9=".",up_Irr!AX9=".",up_Irr!BW9&lt;&gt;"."),up_dir!AZ9/((1/1000)*(up_Irr!BW9)),IF(AND(up_Irr!Y9=".",up_Irr!AX9&lt;&gt;".",up_Irr!BW9="."),up_dir!AZ9/((1/1000)*(up_Irr!AX9)),IF(AND(up_Irr!Y9&lt;&gt;".",up_Irr!AX9=".",up_Irr!BW9="."),up_dir!AZ9/((1/1000)*(up_Irr!Y9)),IF(AND(up_Irr!Y9=".",up_Irr!AX9=".",up_Irr!BW9="."),up_dir!AZ9*1000)))))))),".")</f>
        <v>6.5773651144152131E-4</v>
      </c>
      <c r="CA9" s="70">
        <f>IFERROR(IF(AND(up_Irr!Z9&lt;&gt;".",up_Irr!AY9&lt;&gt;".",up_Irr!BX9&lt;&gt;"."),up_dir!BA9/((1/1000)*(up_Irr!Z9+up_Irr!AY9+up_Irr!BX9)),IF(AND(up_Irr!Z9&lt;&gt;".",up_Irr!AY9&lt;&gt;".",up_Irr!BX9="."),up_dir!BA9/((1/1000)*(up_Irr!Z9+up_Irr!AY9)),IF(AND(up_Irr!Z9&lt;&gt;".",up_Irr!AY9=".",up_Irr!BX9&lt;&gt;"."),up_dir!BA9/((1/1000)*(up_Irr!Z9+up_Irr!BX9)),IF(AND(up_Irr!Z9=".",up_Irr!AY9&lt;&gt;".",up_Irr!BX9&lt;&gt;"."),up_dir!BA9/((1/1000)*(up_Irr!AY9+up_Irr!BX9)),IF(AND(up_Irr!Z9=".",up_Irr!AY9=".",up_Irr!BX9&lt;&gt;"."),up_dir!BA9/((1/1000)*(up_Irr!BX9)),IF(AND(up_Irr!Z9=".",up_Irr!AY9&lt;&gt;".",up_Irr!BX9="."),up_dir!BA9/((1/1000)*(up_Irr!AY9)),IF(AND(up_Irr!Z9&lt;&gt;".",up_Irr!AY9=".",up_Irr!BX9="."),up_dir!BA9/((1/1000)*(up_Irr!Z9)),IF(AND(up_Irr!Z9=".",up_Irr!AY9=".",up_Irr!BX9="."),up_dir!BA9*1000)))))))),".")</f>
        <v>6.5773651144152131E-4</v>
      </c>
      <c r="CB9" s="70">
        <f>IFERROR(IF(AND(up_Irr!AA9&lt;&gt;".",up_Irr!AZ9&lt;&gt;".",up_Irr!BY9&lt;&gt;"."),up_dir!BB9/((1/1000)*(up_Irr!AA9+up_Irr!AZ9+up_Irr!BY9)),IF(AND(up_Irr!AA9&lt;&gt;".",up_Irr!AZ9&lt;&gt;".",up_Irr!BY9="."),up_dir!BB9/((1/1000)*(up_Irr!AA9+up_Irr!AZ9)),IF(AND(up_Irr!AA9&lt;&gt;".",up_Irr!AZ9=".",up_Irr!BY9&lt;&gt;"."),up_dir!BB9/((1/1000)*(up_Irr!AA9+up_Irr!BY9)),IF(AND(up_Irr!AA9=".",up_Irr!AZ9&lt;&gt;".",up_Irr!BY9&lt;&gt;"."),up_dir!BB9/((1/1000)*(up_Irr!AZ9+up_Irr!BY9)),IF(AND(up_Irr!AA9=".",up_Irr!AZ9=".",up_Irr!BY9&lt;&gt;"."),up_dir!BB9/((1/1000)*(up_Irr!BY9)),IF(AND(up_Irr!AA9=".",up_Irr!AZ9&lt;&gt;".",up_Irr!BY9="."),up_dir!BB9/((1/1000)*(up_Irr!AZ9)),IF(AND(up_Irr!AA9&lt;&gt;".",up_Irr!AZ9=".",up_Irr!BY9="."),up_dir!BB9/((1/1000)*(up_Irr!AA9)),IF(AND(up_Irr!AA9=".",up_Irr!AZ9=".",up_Irr!BY9="."),up_dir!BB9*1000)))))))),".")</f>
        <v>6.5773651144152131E-4</v>
      </c>
      <c r="CC9" s="87">
        <f t="shared" si="3"/>
        <v>30407.313038114935</v>
      </c>
      <c r="CD9" s="87">
        <f>IFERROR(s_C*s_IFAP_far_adj*s_CF_apple*(1/1000)*(up_Irr!C9+up_Irr!AB9+up_Irr!BA9),".")</f>
        <v>7601.8282595287337</v>
      </c>
      <c r="CE9" s="87">
        <f>IFERROR(s_C*s_IFAS_far_adj*s_CF_asparagus*(1/1000)*(up_Irr!D9+up_Irr!AC9+up_Irr!BB9),".")</f>
        <v>7601.8282595287337</v>
      </c>
      <c r="CF9" s="87">
        <f>IFERROR(s_C*s_IFBT_far_adj*s_CF_beet*(1/1000)*(up_Irr!E9+up_Irr!AD9+up_Irr!BC9),".")</f>
        <v>7601.8282595287337</v>
      </c>
      <c r="CG9" s="87">
        <f>IFERROR(s_C*s_IFBE_far_adj*s_CF_berries*(1/1000)*(up_Irr!F9+up_Irr!AE9+up_Irr!BD9),".")</f>
        <v>7601.8282595287337</v>
      </c>
      <c r="CH9" s="87">
        <f>IFERROR(s_C*s_IFBR_far_adj*s_CF_broccoli*(1/1000)*(up_Irr!G9+up_Irr!AF9+up_Irr!BE9),".")</f>
        <v>7601.8282595287337</v>
      </c>
      <c r="CI9" s="87">
        <f>IFERROR(s_C*s_IFCB_far_adj*s_CF_cabbage*(1/1000)*(up_Irr!H9+up_Irr!AG9+up_Irr!BF9),".")</f>
        <v>7601.8282595287337</v>
      </c>
      <c r="CJ9" s="87">
        <f>IFERROR(s_C*s_IFCR_far_adj*s_CF_carrot*(1/1000)*(up_Irr!I9+up_Irr!AH9+up_Irr!BG9),".")</f>
        <v>7601.8282595287337</v>
      </c>
      <c r="CK9" s="87">
        <f>IFERROR(s_C*s_IFCI_far_adj*s_CF_citrus*(1/1000)*(up_Irr!J9+up_Irr!AI9+up_Irr!BH9),".")</f>
        <v>7601.8282595287337</v>
      </c>
      <c r="CL9" s="87">
        <f>IFERROR(s_C*s_IFCO_far_adj*s_CF_corn*(1/1000)*(up_Irr!K9+up_Irr!AJ9+up_Irr!BI9),".")</f>
        <v>7601.8282595287337</v>
      </c>
      <c r="CM9" s="87">
        <f>IFERROR(s_C*s_IFCU_far_adj*s_CF_cucumber*(1/1000)*(up_Irr!L9+up_Irr!AK9+up_Irr!BJ9),".")</f>
        <v>7601.8282595287337</v>
      </c>
      <c r="CN9" s="87">
        <f>IFERROR(s_C*s_IFLE_far_adj*s_CF_lettuce*(1/1000)*(up_Irr!M9+up_Irr!AL9+up_Irr!BK9),".")</f>
        <v>7601.8282595287337</v>
      </c>
      <c r="CO9" s="87">
        <f>IFERROR(s_C*s_IFLI_far_adj*s_CF_lima_bean*(1/1000)*(up_Irr!N9+up_Irr!AM9+up_Irr!BL9),".")</f>
        <v>7601.8282595287337</v>
      </c>
      <c r="CP9" s="87">
        <f>IFERROR(s_C*s_IFOK_far_adj*s_CF_okra*(1/1000)*(up_Irr!O9+up_Irr!AN9+up_Irr!BM9),".")</f>
        <v>7601.8282595287337</v>
      </c>
      <c r="CQ9" s="87">
        <f>IFERROR(s_C*s_IFON_far_adj*s_CF_onion*(1/1000)*(up_Irr!P9+up_Irr!AO9+up_Irr!BN9),".")</f>
        <v>7601.8282595287337</v>
      </c>
      <c r="CR9" s="87">
        <f>IFERROR(s_C*s_IFPC_far_adj*s_CF_peach*(1/1000)*(up_Irr!Q9+up_Irr!AP9+up_Irr!BO9),".")</f>
        <v>7601.8282595287337</v>
      </c>
      <c r="CS9" s="87">
        <f>IFERROR(s_C*s_IFPR_far_adj*s_CF_pear*(1/1000)*(up_Irr!R9+up_Irr!AQ9+up_Irr!BP9),".")</f>
        <v>7601.8282595287337</v>
      </c>
      <c r="CT9" s="87">
        <f>IFERROR(s_C*s_IFPE_far_adj*s_CF_peas*(1/1000)*(up_Irr!S9+up_Irr!AR9+up_Irr!BQ9),".")</f>
        <v>7601.8282595287337</v>
      </c>
      <c r="CU9" s="87">
        <f>IFERROR(s_C*s_IFPP_far_adj*s_CF_peppers*(1/1000)*(up_Irr!T9+up_Irr!AS9+up_Irr!BR9),".")</f>
        <v>7601.8282595287337</v>
      </c>
      <c r="CV9" s="87">
        <f>IFERROR(s_C*s_IFPT_far_adj*s_CF_potato*(1/1000)*(up_Irr!U9+up_Irr!AT9+up_Irr!BS9),".")</f>
        <v>7601.8282595287337</v>
      </c>
      <c r="CW9" s="87">
        <f>IFERROR(s_C*s_IFPU_far_adj*s_CF_pumpkin*(1/1000)*(up_Irr!V9+up_Irr!AU9+up_Irr!BT9),".")</f>
        <v>7601.8282595287337</v>
      </c>
      <c r="CX9" s="87">
        <f>IFERROR(s_C*s_IFSN_far_adj*s_CF_snap_bean*(1/1000)*(up_Irr!W9+up_Irr!AV9+up_Irr!BU9),".")</f>
        <v>7601.8282595287337</v>
      </c>
      <c r="CY9" s="87">
        <f>IFERROR(s_C*s_IFST_far_adj*s_CF_strawberry*(1/1000)*(up_Irr!X9+up_Irr!AW9+up_Irr!BV9),".")</f>
        <v>7601.8282595287337</v>
      </c>
      <c r="CZ9" s="87">
        <f>IFERROR(s_C*s_IFTO_far_adj*s_CF_tomato*(1/1000)*(up_Irr!Y9+up_Irr!AX9+up_Irr!BW9),".")</f>
        <v>7601.8282595287337</v>
      </c>
      <c r="DA9" s="87">
        <f>IFERROR(s_C*s_IFRI_far_adj*s_CF_rice*(1/1000)*(up_Irr!Z9+up_Irr!AY9+up_Irr!BX9),".")</f>
        <v>7601.8282595287337</v>
      </c>
      <c r="DB9" s="87">
        <f>IFERROR(s_C*s_IFCG_far_adj*s_CF_cereal*(1/1000)*(up_Irr!AA9+up_Irr!AZ9+up_Irr!BY9),".")</f>
        <v>7601.8282595287337</v>
      </c>
    </row>
    <row r="10" spans="1:106" x14ac:dyDescent="0.25">
      <c r="A10" s="88" t="s">
        <v>8</v>
      </c>
      <c r="B10" s="84" t="s">
        <v>335</v>
      </c>
      <c r="C10" s="15">
        <f t="shared" si="0"/>
        <v>1.6443412786038033E-4</v>
      </c>
      <c r="D10" s="70">
        <f>IFERROR(IF(AND(up_Irr!C10&lt;&gt;".",up_Irr!AB10&lt;&gt;".",up_Irr!BA10&lt;&gt;"."),up_dir!D10/((1/1000)*(up_Irr!C10+up_Irr!AB10+up_Irr!BA10)),IF(AND(up_Irr!C10&lt;&gt;".",up_Irr!AB10&lt;&gt;".",up_Irr!BA10="."),up_dir!D10/((1/1000)*(up_Irr!C10+up_Irr!AB10)),IF(AND(up_Irr!C10&lt;&gt;".",up_Irr!AB10=".",up_Irr!BA10&lt;&gt;"."),up_dir!D10/((1/1000)*(up_Irr!C10+up_Irr!BA10)),IF(AND(up_Irr!C10=".",up_Irr!AB10&lt;&gt;".",up_Irr!BA10&lt;&gt;"."),up_dir!D10/((1/1000)*(up_Irr!AB10+up_Irr!BA10)),IF(AND(up_Irr!C10=".",up_Irr!AB10=".",up_Irr!BA10&lt;&gt;"."),up_dir!D10/((1/1000)*(up_Irr!BA10)),IF(AND(up_Irr!C10=".",up_Irr!AB10&lt;&gt;".",up_Irr!BA10="."),up_dir!D10/((1/1000)*(up_Irr!AB10)),IF(AND(up_Irr!C10&lt;&gt;".",up_Irr!AB10=".",up_Irr!BA10="."),up_dir!D10/((1/1000)*(up_Irr!C10)),IF(AND(up_Irr!C10=".",up_Irr!AB10=".",up_Irr!BA10="."),up_dir!D10*1000)))))))),".")</f>
        <v>6.5773651144152131E-4</v>
      </c>
      <c r="E10" s="70">
        <f>IFERROR(IF(AND(up_Irr!D10&lt;&gt;".",up_Irr!AC10&lt;&gt;".",up_Irr!BB10&lt;&gt;"."),up_dir!E10/((1/1000)*(up_Irr!D10+up_Irr!AC10+up_Irr!BB10)),IF(AND(up_Irr!D10&lt;&gt;".",up_Irr!AC10&lt;&gt;".",up_Irr!BB10="."),up_dir!E10/((1/1000)*(up_Irr!D10+up_Irr!AC10)),IF(AND(up_Irr!D10&lt;&gt;".",up_Irr!AC10=".",up_Irr!BB10&lt;&gt;"."),up_dir!E10/((1/1000)*(up_Irr!D10+up_Irr!BB10)),IF(AND(up_Irr!D10=".",up_Irr!AC10&lt;&gt;".",up_Irr!BB10&lt;&gt;"."),up_dir!E10/((1/1000)*(up_Irr!AC10+up_Irr!BB10)),IF(AND(up_Irr!D10=".",up_Irr!AC10=".",up_Irr!BB10&lt;&gt;"."),up_dir!E10/((1/1000)*(up_Irr!BB10)),IF(AND(up_Irr!D10=".",up_Irr!AC10&lt;&gt;".",up_Irr!BB10="."),up_dir!E10/((1/1000)*(up_Irr!AC10)),IF(AND(up_Irr!D10&lt;&gt;".",up_Irr!AC10=".",up_Irr!BB10="."),up_dir!E10/((1/1000)*(up_Irr!D10)),IF(AND(up_Irr!D10=".",up_Irr!AC10=".",up_Irr!BB10="."),up_dir!E10*1000)))))))),".")</f>
        <v>6.5773651144152131E-4</v>
      </c>
      <c r="F10" s="70">
        <f>IFERROR(IF(AND(up_Irr!E10&lt;&gt;".",up_Irr!AD10&lt;&gt;".",up_Irr!BC10&lt;&gt;"."),up_dir!F10/((1/1000)*(up_Irr!E10+up_Irr!AD10+up_Irr!BC10)),IF(AND(up_Irr!E10&lt;&gt;".",up_Irr!AD10&lt;&gt;".",up_Irr!BC10="."),up_dir!F10/((1/1000)*(up_Irr!E10+up_Irr!AD10)),IF(AND(up_Irr!E10&lt;&gt;".",up_Irr!AD10=".",up_Irr!BC10&lt;&gt;"."),up_dir!F10/((1/1000)*(up_Irr!E10+up_Irr!BC10)),IF(AND(up_Irr!E10=".",up_Irr!AD10&lt;&gt;".",up_Irr!BC10&lt;&gt;"."),up_dir!F10/((1/1000)*(up_Irr!AD10+up_Irr!BC10)),IF(AND(up_Irr!E10=".",up_Irr!AD10=".",up_Irr!BC10&lt;&gt;"."),up_dir!F10/((1/1000)*(up_Irr!BC10)),IF(AND(up_Irr!E10=".",up_Irr!AD10&lt;&gt;".",up_Irr!BC10="."),up_dir!F10/((1/1000)*(up_Irr!AD10)),IF(AND(up_Irr!E10&lt;&gt;".",up_Irr!AD10=".",up_Irr!BC10="."),up_dir!F10/((1/1000)*(up_Irr!E10)),IF(AND(up_Irr!E10=".",up_Irr!AD10=".",up_Irr!BC10="."),up_dir!F10*1000)))))))),".")</f>
        <v>6.5773651144152131E-4</v>
      </c>
      <c r="G10" s="70">
        <f>IFERROR(IF(AND(up_Irr!F10&lt;&gt;".",up_Irr!AE10&lt;&gt;".",up_Irr!BD10&lt;&gt;"."),up_dir!G10/((1/1000)*(up_Irr!F10+up_Irr!AE10+up_Irr!BD10)),IF(AND(up_Irr!F10&lt;&gt;".",up_Irr!AE10&lt;&gt;".",up_Irr!BD10="."),up_dir!G10/((1/1000)*(up_Irr!F10+up_Irr!AE10)),IF(AND(up_Irr!F10&lt;&gt;".",up_Irr!AE10=".",up_Irr!BD10&lt;&gt;"."),up_dir!G10/((1/1000)*(up_Irr!F10+up_Irr!BD10)),IF(AND(up_Irr!F10=".",up_Irr!AE10&lt;&gt;".",up_Irr!BD10&lt;&gt;"."),up_dir!G10/((1/1000)*(up_Irr!AE10+up_Irr!BD10)),IF(AND(up_Irr!F10=".",up_Irr!AE10=".",up_Irr!BD10&lt;&gt;"."),up_dir!G10/((1/1000)*(up_Irr!BD10)),IF(AND(up_Irr!F10=".",up_Irr!AE10&lt;&gt;".",up_Irr!BD10="."),up_dir!G10/((1/1000)*(up_Irr!AE10)),IF(AND(up_Irr!F10&lt;&gt;".",up_Irr!AE10=".",up_Irr!BD10="."),up_dir!G10/((1/1000)*(up_Irr!F10)),IF(AND(up_Irr!F10=".",up_Irr!AE10=".",up_Irr!BD10="."),up_dir!G10*1000)))))))),".")</f>
        <v>6.5773651144152131E-4</v>
      </c>
      <c r="H10" s="70">
        <f>IFERROR(IF(AND(up_Irr!G10&lt;&gt;".",up_Irr!AF10&lt;&gt;".",up_Irr!BE10&lt;&gt;"."),up_dir!H10/((1/1000)*(up_Irr!G10+up_Irr!AF10+up_Irr!BE10)),IF(AND(up_Irr!G10&lt;&gt;".",up_Irr!AF10&lt;&gt;".",up_Irr!BE10="."),up_dir!H10/((1/1000)*(up_Irr!G10+up_Irr!AF10)),IF(AND(up_Irr!G10&lt;&gt;".",up_Irr!AF10=".",up_Irr!BE10&lt;&gt;"."),up_dir!H10/((1/1000)*(up_Irr!G10+up_Irr!BE10)),IF(AND(up_Irr!G10=".",up_Irr!AF10&lt;&gt;".",up_Irr!BE10&lt;&gt;"."),up_dir!H10/((1/1000)*(up_Irr!AF10+up_Irr!BE10)),IF(AND(up_Irr!G10=".",up_Irr!AF10=".",up_Irr!BE10&lt;&gt;"."),up_dir!H10/((1/1000)*(up_Irr!BE10)),IF(AND(up_Irr!G10=".",up_Irr!AF10&lt;&gt;".",up_Irr!BE10="."),up_dir!H10/((1/1000)*(up_Irr!AF10)),IF(AND(up_Irr!G10&lt;&gt;".",up_Irr!AF10=".",up_Irr!BE10="."),up_dir!H10/((1/1000)*(up_Irr!G10)),IF(AND(up_Irr!G10=".",up_Irr!AF10=".",up_Irr!BE10="."),up_dir!H10*1000)))))))),".")</f>
        <v>6.5773651144152131E-4</v>
      </c>
      <c r="I10" s="70">
        <f>IFERROR(IF(AND(up_Irr!H10&lt;&gt;".",up_Irr!AG10&lt;&gt;".",up_Irr!BF10&lt;&gt;"."),up_dir!I10/((1/1000)*(up_Irr!H10+up_Irr!AG10+up_Irr!BF10)),IF(AND(up_Irr!H10&lt;&gt;".",up_Irr!AG10&lt;&gt;".",up_Irr!BF10="."),up_dir!I10/((1/1000)*(up_Irr!H10+up_Irr!AG10)),IF(AND(up_Irr!H10&lt;&gt;".",up_Irr!AG10=".",up_Irr!BF10&lt;&gt;"."),up_dir!I10/((1/1000)*(up_Irr!H10+up_Irr!BF10)),IF(AND(up_Irr!H10=".",up_Irr!AG10&lt;&gt;".",up_Irr!BF10&lt;&gt;"."),up_dir!I10/((1/1000)*(up_Irr!AG10+up_Irr!BF10)),IF(AND(up_Irr!H10=".",up_Irr!AG10=".",up_Irr!BF10&lt;&gt;"."),up_dir!I10/((1/1000)*(up_Irr!BF10)),IF(AND(up_Irr!H10=".",up_Irr!AG10&lt;&gt;".",up_Irr!BF10="."),up_dir!I10/((1/1000)*(up_Irr!AG10)),IF(AND(up_Irr!H10&lt;&gt;".",up_Irr!AG10=".",up_Irr!BF10="."),up_dir!I10/((1/1000)*(up_Irr!H10)),IF(AND(up_Irr!H10=".",up_Irr!AG10=".",up_Irr!BF10="."),up_dir!I10*1000)))))))),".")</f>
        <v>6.5773651144152131E-4</v>
      </c>
      <c r="J10" s="70">
        <f>IFERROR(IF(AND(up_Irr!I10&lt;&gt;".",up_Irr!AH10&lt;&gt;".",up_Irr!BG10&lt;&gt;"."),up_dir!J10/((1/1000)*(up_Irr!I10+up_Irr!AH10+up_Irr!BG10)),IF(AND(up_Irr!I10&lt;&gt;".",up_Irr!AH10&lt;&gt;".",up_Irr!BG10="."),up_dir!J10/((1/1000)*(up_Irr!I10+up_Irr!AH10)),IF(AND(up_Irr!I10&lt;&gt;".",up_Irr!AH10=".",up_Irr!BG10&lt;&gt;"."),up_dir!J10/((1/1000)*(up_Irr!I10+up_Irr!BG10)),IF(AND(up_Irr!I10=".",up_Irr!AH10&lt;&gt;".",up_Irr!BG10&lt;&gt;"."),up_dir!J10/((1/1000)*(up_Irr!AH10+up_Irr!BG10)),IF(AND(up_Irr!I10=".",up_Irr!AH10=".",up_Irr!BG10&lt;&gt;"."),up_dir!J10/((1/1000)*(up_Irr!BG10)),IF(AND(up_Irr!I10=".",up_Irr!AH10&lt;&gt;".",up_Irr!BG10="."),up_dir!J10/((1/1000)*(up_Irr!AH10)),IF(AND(up_Irr!I10&lt;&gt;".",up_Irr!AH10=".",up_Irr!BG10="."),up_dir!J10/((1/1000)*(up_Irr!I10)),IF(AND(up_Irr!I10=".",up_Irr!AH10=".",up_Irr!BG10="."),up_dir!J10*1000)))))))),".")</f>
        <v>6.5773651144152131E-4</v>
      </c>
      <c r="K10" s="70">
        <f>IFERROR(IF(AND(up_Irr!J10&lt;&gt;".",up_Irr!AI10&lt;&gt;".",up_Irr!BH10&lt;&gt;"."),up_dir!K10/((1/1000)*(up_Irr!J10+up_Irr!AI10+up_Irr!BH10)),IF(AND(up_Irr!J10&lt;&gt;".",up_Irr!AI10&lt;&gt;".",up_Irr!BH10="."),up_dir!K10/((1/1000)*(up_Irr!J10+up_Irr!AI10)),IF(AND(up_Irr!J10&lt;&gt;".",up_Irr!AI10=".",up_Irr!BH10&lt;&gt;"."),up_dir!K10/((1/1000)*(up_Irr!J10+up_Irr!BH10)),IF(AND(up_Irr!J10=".",up_Irr!AI10&lt;&gt;".",up_Irr!BH10&lt;&gt;"."),up_dir!K10/((1/1000)*(up_Irr!AI10+up_Irr!BH10)),IF(AND(up_Irr!J10=".",up_Irr!AI10=".",up_Irr!BH10&lt;&gt;"."),up_dir!K10/((1/1000)*(up_Irr!BH10)),IF(AND(up_Irr!J10=".",up_Irr!AI10&lt;&gt;".",up_Irr!BH10="."),up_dir!K10/((1/1000)*(up_Irr!AI10)),IF(AND(up_Irr!J10&lt;&gt;".",up_Irr!AI10=".",up_Irr!BH10="."),up_dir!K10/((1/1000)*(up_Irr!J10)),IF(AND(up_Irr!J10=".",up_Irr!AI10=".",up_Irr!BH10="."),up_dir!K10*1000)))))))),".")</f>
        <v>6.5773651144152131E-4</v>
      </c>
      <c r="L10" s="70">
        <f>IFERROR(IF(AND(up_Irr!K10&lt;&gt;".",up_Irr!AJ10&lt;&gt;".",up_Irr!BI10&lt;&gt;"."),up_dir!L10/((1/1000)*(up_Irr!K10+up_Irr!AJ10+up_Irr!BI10)),IF(AND(up_Irr!K10&lt;&gt;".",up_Irr!AJ10&lt;&gt;".",up_Irr!BI10="."),up_dir!L10/((1/1000)*(up_Irr!K10+up_Irr!AJ10)),IF(AND(up_Irr!K10&lt;&gt;".",up_Irr!AJ10=".",up_Irr!BI10&lt;&gt;"."),up_dir!L10/((1/1000)*(up_Irr!K10+up_Irr!BI10)),IF(AND(up_Irr!K10=".",up_Irr!AJ10&lt;&gt;".",up_Irr!BI10&lt;&gt;"."),up_dir!L10/((1/1000)*(up_Irr!AJ10+up_Irr!BI10)),IF(AND(up_Irr!K10=".",up_Irr!AJ10=".",up_Irr!BI10&lt;&gt;"."),up_dir!L10/((1/1000)*(up_Irr!BI10)),IF(AND(up_Irr!K10=".",up_Irr!AJ10&lt;&gt;".",up_Irr!BI10="."),up_dir!L10/((1/1000)*(up_Irr!AJ10)),IF(AND(up_Irr!K10&lt;&gt;".",up_Irr!AJ10=".",up_Irr!BI10="."),up_dir!L10/((1/1000)*(up_Irr!K10)),IF(AND(up_Irr!K10=".",up_Irr!AJ10=".",up_Irr!BI10="."),up_dir!L10*1000)))))))),".")</f>
        <v>6.5773651144152131E-4</v>
      </c>
      <c r="M10" s="70">
        <f>IFERROR(IF(AND(up_Irr!L10&lt;&gt;".",up_Irr!AK10&lt;&gt;".",up_Irr!BJ10&lt;&gt;"."),up_dir!M10/((1/1000)*(up_Irr!L10+up_Irr!AK10+up_Irr!BJ10)),IF(AND(up_Irr!L10&lt;&gt;".",up_Irr!AK10&lt;&gt;".",up_Irr!BJ10="."),up_dir!M10/((1/1000)*(up_Irr!L10+up_Irr!AK10)),IF(AND(up_Irr!L10&lt;&gt;".",up_Irr!AK10=".",up_Irr!BJ10&lt;&gt;"."),up_dir!M10/((1/1000)*(up_Irr!L10+up_Irr!BJ10)),IF(AND(up_Irr!L10=".",up_Irr!AK10&lt;&gt;".",up_Irr!BJ10&lt;&gt;"."),up_dir!M10/((1/1000)*(up_Irr!AK10+up_Irr!BJ10)),IF(AND(up_Irr!L10=".",up_Irr!AK10=".",up_Irr!BJ10&lt;&gt;"."),up_dir!M10/((1/1000)*(up_Irr!BJ10)),IF(AND(up_Irr!L10=".",up_Irr!AK10&lt;&gt;".",up_Irr!BJ10="."),up_dir!M10/((1/1000)*(up_Irr!AK10)),IF(AND(up_Irr!L10&lt;&gt;".",up_Irr!AK10=".",up_Irr!BJ10="."),up_dir!M10/((1/1000)*(up_Irr!L10)),IF(AND(up_Irr!L10=".",up_Irr!AK10=".",up_Irr!BJ10="."),up_dir!M10*1000)))))))),".")</f>
        <v>6.5773651144152131E-4</v>
      </c>
      <c r="N10" s="70">
        <f>IFERROR(IF(AND(up_Irr!M10&lt;&gt;".",up_Irr!AL10&lt;&gt;".",up_Irr!BK10&lt;&gt;"."),up_dir!N10/((1/1000)*(up_Irr!M10+up_Irr!AL10+up_Irr!BK10)),IF(AND(up_Irr!M10&lt;&gt;".",up_Irr!AL10&lt;&gt;".",up_Irr!BK10="."),up_dir!N10/((1/1000)*(up_Irr!M10+up_Irr!AL10)),IF(AND(up_Irr!M10&lt;&gt;".",up_Irr!AL10=".",up_Irr!BK10&lt;&gt;"."),up_dir!N10/((1/1000)*(up_Irr!M10+up_Irr!BK10)),IF(AND(up_Irr!M10=".",up_Irr!AL10&lt;&gt;".",up_Irr!BK10&lt;&gt;"."),up_dir!N10/((1/1000)*(up_Irr!AL10+up_Irr!BK10)),IF(AND(up_Irr!M10=".",up_Irr!AL10=".",up_Irr!BK10&lt;&gt;"."),up_dir!N10/((1/1000)*(up_Irr!BK10)),IF(AND(up_Irr!M10=".",up_Irr!AL10&lt;&gt;".",up_Irr!BK10="."),up_dir!N10/((1/1000)*(up_Irr!AL10)),IF(AND(up_Irr!M10&lt;&gt;".",up_Irr!AL10=".",up_Irr!BK10="."),up_dir!N10/((1/1000)*(up_Irr!M10)),IF(AND(up_Irr!M10=".",up_Irr!AL10=".",up_Irr!BK10="."),up_dir!N10*1000)))))))),".")</f>
        <v>6.5773651144152131E-4</v>
      </c>
      <c r="O10" s="70">
        <f>IFERROR(IF(AND(up_Irr!N10&lt;&gt;".",up_Irr!AM10&lt;&gt;".",up_Irr!BL10&lt;&gt;"."),up_dir!O10/((1/1000)*(up_Irr!N10+up_Irr!AM10+up_Irr!BL10)),IF(AND(up_Irr!N10&lt;&gt;".",up_Irr!AM10&lt;&gt;".",up_Irr!BL10="."),up_dir!O10/((1/1000)*(up_Irr!N10+up_Irr!AM10)),IF(AND(up_Irr!N10&lt;&gt;".",up_Irr!AM10=".",up_Irr!BL10&lt;&gt;"."),up_dir!O10/((1/1000)*(up_Irr!N10+up_Irr!BL10)),IF(AND(up_Irr!N10=".",up_Irr!AM10&lt;&gt;".",up_Irr!BL10&lt;&gt;"."),up_dir!O10/((1/1000)*(up_Irr!AM10+up_Irr!BL10)),IF(AND(up_Irr!N10=".",up_Irr!AM10=".",up_Irr!BL10&lt;&gt;"."),up_dir!O10/((1/1000)*(up_Irr!BL10)),IF(AND(up_Irr!N10=".",up_Irr!AM10&lt;&gt;".",up_Irr!BL10="."),up_dir!O10/((1/1000)*(up_Irr!AM10)),IF(AND(up_Irr!N10&lt;&gt;".",up_Irr!AM10=".",up_Irr!BL10="."),up_dir!O10/((1/1000)*(up_Irr!N10)),IF(AND(up_Irr!N10=".",up_Irr!AM10=".",up_Irr!BL10="."),up_dir!O10*1000)))))))),".")</f>
        <v>6.5773651144152131E-4</v>
      </c>
      <c r="P10" s="70">
        <f>IFERROR(IF(AND(up_Irr!O10&lt;&gt;".",up_Irr!AN10&lt;&gt;".",up_Irr!BM10&lt;&gt;"."),up_dir!P10/((1/1000)*(up_Irr!O10+up_Irr!AN10+up_Irr!BM10)),IF(AND(up_Irr!O10&lt;&gt;".",up_Irr!AN10&lt;&gt;".",up_Irr!BM10="."),up_dir!P10/((1/1000)*(up_Irr!O10+up_Irr!AN10)),IF(AND(up_Irr!O10&lt;&gt;".",up_Irr!AN10=".",up_Irr!BM10&lt;&gt;"."),up_dir!P10/((1/1000)*(up_Irr!O10+up_Irr!BM10)),IF(AND(up_Irr!O10=".",up_Irr!AN10&lt;&gt;".",up_Irr!BM10&lt;&gt;"."),up_dir!P10/((1/1000)*(up_Irr!AN10+up_Irr!BM10)),IF(AND(up_Irr!O10=".",up_Irr!AN10=".",up_Irr!BM10&lt;&gt;"."),up_dir!P10/((1/1000)*(up_Irr!BM10)),IF(AND(up_Irr!O10=".",up_Irr!AN10&lt;&gt;".",up_Irr!BM10="."),up_dir!P10/((1/1000)*(up_Irr!AN10)),IF(AND(up_Irr!O10&lt;&gt;".",up_Irr!AN10=".",up_Irr!BM10="."),up_dir!P10/((1/1000)*(up_Irr!O10)),IF(AND(up_Irr!O10=".",up_Irr!AN10=".",up_Irr!BM10="."),up_dir!P10*1000)))))))),".")</f>
        <v>6.5773651144152131E-4</v>
      </c>
      <c r="Q10" s="70">
        <f>IFERROR(IF(AND(up_Irr!P10&lt;&gt;".",up_Irr!AO10&lt;&gt;".",up_Irr!BN10&lt;&gt;"."),up_dir!Q10/((1/1000)*(up_Irr!P10+up_Irr!AO10+up_Irr!BN10)),IF(AND(up_Irr!P10&lt;&gt;".",up_Irr!AO10&lt;&gt;".",up_Irr!BN10="."),up_dir!Q10/((1/1000)*(up_Irr!P10+up_Irr!AO10)),IF(AND(up_Irr!P10&lt;&gt;".",up_Irr!AO10=".",up_Irr!BN10&lt;&gt;"."),up_dir!Q10/((1/1000)*(up_Irr!P10+up_Irr!BN10)),IF(AND(up_Irr!P10=".",up_Irr!AO10&lt;&gt;".",up_Irr!BN10&lt;&gt;"."),up_dir!Q10/((1/1000)*(up_Irr!AO10+up_Irr!BN10)),IF(AND(up_Irr!P10=".",up_Irr!AO10=".",up_Irr!BN10&lt;&gt;"."),up_dir!Q10/((1/1000)*(up_Irr!BN10)),IF(AND(up_Irr!P10=".",up_Irr!AO10&lt;&gt;".",up_Irr!BN10="."),up_dir!Q10/((1/1000)*(up_Irr!AO10)),IF(AND(up_Irr!P10&lt;&gt;".",up_Irr!AO10=".",up_Irr!BN10="."),up_dir!Q10/((1/1000)*(up_Irr!P10)),IF(AND(up_Irr!P10=".",up_Irr!AO10=".",up_Irr!BN10="."),up_dir!Q10*1000)))))))),".")</f>
        <v>6.5773651144152131E-4</v>
      </c>
      <c r="R10" s="70">
        <f>IFERROR(IF(AND(up_Irr!Q10&lt;&gt;".",up_Irr!AP10&lt;&gt;".",up_Irr!BO10&lt;&gt;"."),up_dir!R10/((1/1000)*(up_Irr!Q10+up_Irr!AP10+up_Irr!BO10)),IF(AND(up_Irr!Q10&lt;&gt;".",up_Irr!AP10&lt;&gt;".",up_Irr!BO10="."),up_dir!R10/((1/1000)*(up_Irr!Q10+up_Irr!AP10)),IF(AND(up_Irr!Q10&lt;&gt;".",up_Irr!AP10=".",up_Irr!BO10&lt;&gt;"."),up_dir!R10/((1/1000)*(up_Irr!Q10+up_Irr!BO10)),IF(AND(up_Irr!Q10=".",up_Irr!AP10&lt;&gt;".",up_Irr!BO10&lt;&gt;"."),up_dir!R10/((1/1000)*(up_Irr!AP10+up_Irr!BO10)),IF(AND(up_Irr!Q10=".",up_Irr!AP10=".",up_Irr!BO10&lt;&gt;"."),up_dir!R10/((1/1000)*(up_Irr!BO10)),IF(AND(up_Irr!Q10=".",up_Irr!AP10&lt;&gt;".",up_Irr!BO10="."),up_dir!R10/((1/1000)*(up_Irr!AP10)),IF(AND(up_Irr!Q10&lt;&gt;".",up_Irr!AP10=".",up_Irr!BO10="."),up_dir!R10/((1/1000)*(up_Irr!Q10)),IF(AND(up_Irr!Q10=".",up_Irr!AP10=".",up_Irr!BO10="."),up_dir!R10*1000)))))))),".")</f>
        <v>6.5773651144152131E-4</v>
      </c>
      <c r="S10" s="70">
        <f>IFERROR(IF(AND(up_Irr!R10&lt;&gt;".",up_Irr!AQ10&lt;&gt;".",up_Irr!BP10&lt;&gt;"."),up_dir!S10/((1/1000)*(up_Irr!R10+up_Irr!AQ10+up_Irr!BP10)),IF(AND(up_Irr!R10&lt;&gt;".",up_Irr!AQ10&lt;&gt;".",up_Irr!BP10="."),up_dir!S10/((1/1000)*(up_Irr!R10+up_Irr!AQ10)),IF(AND(up_Irr!R10&lt;&gt;".",up_Irr!AQ10=".",up_Irr!BP10&lt;&gt;"."),up_dir!S10/((1/1000)*(up_Irr!R10+up_Irr!BP10)),IF(AND(up_Irr!R10=".",up_Irr!AQ10&lt;&gt;".",up_Irr!BP10&lt;&gt;"."),up_dir!S10/((1/1000)*(up_Irr!AQ10+up_Irr!BP10)),IF(AND(up_Irr!R10=".",up_Irr!AQ10=".",up_Irr!BP10&lt;&gt;"."),up_dir!S10/((1/1000)*(up_Irr!BP10)),IF(AND(up_Irr!R10=".",up_Irr!AQ10&lt;&gt;".",up_Irr!BP10="."),up_dir!S10/((1/1000)*(up_Irr!AQ10)),IF(AND(up_Irr!R10&lt;&gt;".",up_Irr!AQ10=".",up_Irr!BP10="."),up_dir!S10/((1/1000)*(up_Irr!R10)),IF(AND(up_Irr!R10=".",up_Irr!AQ10=".",up_Irr!BP10="."),up_dir!S10*1000)))))))),".")</f>
        <v>6.5773651144152131E-4</v>
      </c>
      <c r="T10" s="70">
        <f>IFERROR(IF(AND(up_Irr!S10&lt;&gt;".",up_Irr!AR10&lt;&gt;".",up_Irr!BQ10&lt;&gt;"."),up_dir!T10/((1/1000)*(up_Irr!S10+up_Irr!AR10+up_Irr!BQ10)),IF(AND(up_Irr!S10&lt;&gt;".",up_Irr!AR10&lt;&gt;".",up_Irr!BQ10="."),up_dir!T10/((1/1000)*(up_Irr!S10+up_Irr!AR10)),IF(AND(up_Irr!S10&lt;&gt;".",up_Irr!AR10=".",up_Irr!BQ10&lt;&gt;"."),up_dir!T10/((1/1000)*(up_Irr!S10+up_Irr!BQ10)),IF(AND(up_Irr!S10=".",up_Irr!AR10&lt;&gt;".",up_Irr!BQ10&lt;&gt;"."),up_dir!T10/((1/1000)*(up_Irr!AR10+up_Irr!BQ10)),IF(AND(up_Irr!S10=".",up_Irr!AR10=".",up_Irr!BQ10&lt;&gt;"."),up_dir!T10/((1/1000)*(up_Irr!BQ10)),IF(AND(up_Irr!S10=".",up_Irr!AR10&lt;&gt;".",up_Irr!BQ10="."),up_dir!T10/((1/1000)*(up_Irr!AR10)),IF(AND(up_Irr!S10&lt;&gt;".",up_Irr!AR10=".",up_Irr!BQ10="."),up_dir!T10/((1/1000)*(up_Irr!S10)),IF(AND(up_Irr!S10=".",up_Irr!AR10=".",up_Irr!BQ10="."),up_dir!T10*1000)))))))),".")</f>
        <v>6.5773651144152131E-4</v>
      </c>
      <c r="U10" s="70">
        <f>IFERROR(IF(AND(up_Irr!T10&lt;&gt;".",up_Irr!AS10&lt;&gt;".",up_Irr!BR10&lt;&gt;"."),up_dir!U10/((1/1000)*(up_Irr!T10+up_Irr!AS10+up_Irr!BR10)),IF(AND(up_Irr!T10&lt;&gt;".",up_Irr!AS10&lt;&gt;".",up_Irr!BR10="."),up_dir!U10/((1/1000)*(up_Irr!T10+up_Irr!AS10)),IF(AND(up_Irr!T10&lt;&gt;".",up_Irr!AS10=".",up_Irr!BR10&lt;&gt;"."),up_dir!U10/((1/1000)*(up_Irr!T10+up_Irr!BR10)),IF(AND(up_Irr!T10=".",up_Irr!AS10&lt;&gt;".",up_Irr!BR10&lt;&gt;"."),up_dir!U10/((1/1000)*(up_Irr!AS10+up_Irr!BR10)),IF(AND(up_Irr!T10=".",up_Irr!AS10=".",up_Irr!BR10&lt;&gt;"."),up_dir!U10/((1/1000)*(up_Irr!BR10)),IF(AND(up_Irr!T10=".",up_Irr!AS10&lt;&gt;".",up_Irr!BR10="."),up_dir!U10/((1/1000)*(up_Irr!AS10)),IF(AND(up_Irr!T10&lt;&gt;".",up_Irr!AS10=".",up_Irr!BR10="."),up_dir!U10/((1/1000)*(up_Irr!T10)),IF(AND(up_Irr!T10=".",up_Irr!AS10=".",up_Irr!BR10="."),up_dir!U10*1000)))))))),".")</f>
        <v>6.5773651144152131E-4</v>
      </c>
      <c r="V10" s="70">
        <f>IFERROR(IF(AND(up_Irr!U10&lt;&gt;".",up_Irr!AT10&lt;&gt;".",up_Irr!BS10&lt;&gt;"."),up_dir!V10/((1/1000)*(up_Irr!U10+up_Irr!AT10+up_Irr!BS10)),IF(AND(up_Irr!U10&lt;&gt;".",up_Irr!AT10&lt;&gt;".",up_Irr!BS10="."),up_dir!V10/((1/1000)*(up_Irr!U10+up_Irr!AT10)),IF(AND(up_Irr!U10&lt;&gt;".",up_Irr!AT10=".",up_Irr!BS10&lt;&gt;"."),up_dir!V10/((1/1000)*(up_Irr!U10+up_Irr!BS10)),IF(AND(up_Irr!U10=".",up_Irr!AT10&lt;&gt;".",up_Irr!BS10&lt;&gt;"."),up_dir!V10/((1/1000)*(up_Irr!AT10+up_Irr!BS10)),IF(AND(up_Irr!U10=".",up_Irr!AT10=".",up_Irr!BS10&lt;&gt;"."),up_dir!V10/((1/1000)*(up_Irr!BS10)),IF(AND(up_Irr!U10=".",up_Irr!AT10&lt;&gt;".",up_Irr!BS10="."),up_dir!V10/((1/1000)*(up_Irr!AT10)),IF(AND(up_Irr!U10&lt;&gt;".",up_Irr!AT10=".",up_Irr!BS10="."),up_dir!V10/((1/1000)*(up_Irr!U10)),IF(AND(up_Irr!U10=".",up_Irr!AT10=".",up_Irr!BS10="."),up_dir!V10*1000)))))))),".")</f>
        <v>6.5773651144152131E-4</v>
      </c>
      <c r="W10" s="70">
        <f>IFERROR(IF(AND(up_Irr!V10&lt;&gt;".",up_Irr!AU10&lt;&gt;".",up_Irr!BT10&lt;&gt;"."),up_dir!W10/((1/1000)*(up_Irr!V10+up_Irr!AU10+up_Irr!BT10)),IF(AND(up_Irr!V10&lt;&gt;".",up_Irr!AU10&lt;&gt;".",up_Irr!BT10="."),up_dir!W10/((1/1000)*(up_Irr!V10+up_Irr!AU10)),IF(AND(up_Irr!V10&lt;&gt;".",up_Irr!AU10=".",up_Irr!BT10&lt;&gt;"."),up_dir!W10/((1/1000)*(up_Irr!V10+up_Irr!BT10)),IF(AND(up_Irr!V10=".",up_Irr!AU10&lt;&gt;".",up_Irr!BT10&lt;&gt;"."),up_dir!W10/((1/1000)*(up_Irr!AU10+up_Irr!BT10)),IF(AND(up_Irr!V10=".",up_Irr!AU10=".",up_Irr!BT10&lt;&gt;"."),up_dir!W10/((1/1000)*(up_Irr!BT10)),IF(AND(up_Irr!V10=".",up_Irr!AU10&lt;&gt;".",up_Irr!BT10="."),up_dir!W10/((1/1000)*(up_Irr!AU10)),IF(AND(up_Irr!V10&lt;&gt;".",up_Irr!AU10=".",up_Irr!BT10="."),up_dir!W10/((1/1000)*(up_Irr!V10)),IF(AND(up_Irr!V10=".",up_Irr!AU10=".",up_Irr!BT10="."),up_dir!W10*1000)))))))),".")</f>
        <v>6.5773651144152131E-4</v>
      </c>
      <c r="X10" s="70">
        <f>IFERROR(IF(AND(up_Irr!W10&lt;&gt;".",up_Irr!AV10&lt;&gt;".",up_Irr!BU10&lt;&gt;"."),up_dir!X10/((1/1000)*(up_Irr!W10+up_Irr!AV10+up_Irr!BU10)),IF(AND(up_Irr!W10&lt;&gt;".",up_Irr!AV10&lt;&gt;".",up_Irr!BU10="."),up_dir!X10/((1/1000)*(up_Irr!W10+up_Irr!AV10)),IF(AND(up_Irr!W10&lt;&gt;".",up_Irr!AV10=".",up_Irr!BU10&lt;&gt;"."),up_dir!X10/((1/1000)*(up_Irr!W10+up_Irr!BU10)),IF(AND(up_Irr!W10=".",up_Irr!AV10&lt;&gt;".",up_Irr!BU10&lt;&gt;"."),up_dir!X10/((1/1000)*(up_Irr!AV10+up_Irr!BU10)),IF(AND(up_Irr!W10=".",up_Irr!AV10=".",up_Irr!BU10&lt;&gt;"."),up_dir!X10/((1/1000)*(up_Irr!BU10)),IF(AND(up_Irr!W10=".",up_Irr!AV10&lt;&gt;".",up_Irr!BU10="."),up_dir!X10/((1/1000)*(up_Irr!AV10)),IF(AND(up_Irr!W10&lt;&gt;".",up_Irr!AV10=".",up_Irr!BU10="."),up_dir!X10/((1/1000)*(up_Irr!W10)),IF(AND(up_Irr!W10=".",up_Irr!AV10=".",up_Irr!BU10="."),up_dir!X10*1000)))))))),".")</f>
        <v>6.5773651144152131E-4</v>
      </c>
      <c r="Y10" s="70">
        <f>IFERROR(IF(AND(up_Irr!X10&lt;&gt;".",up_Irr!AW10&lt;&gt;".",up_Irr!BV10&lt;&gt;"."),up_dir!Y10/((1/1000)*(up_Irr!X10+up_Irr!AW10+up_Irr!BV10)),IF(AND(up_Irr!X10&lt;&gt;".",up_Irr!AW10&lt;&gt;".",up_Irr!BV10="."),up_dir!Y10/((1/1000)*(up_Irr!X10+up_Irr!AW10)),IF(AND(up_Irr!X10&lt;&gt;".",up_Irr!AW10=".",up_Irr!BV10&lt;&gt;"."),up_dir!Y10/((1/1000)*(up_Irr!X10+up_Irr!BV10)),IF(AND(up_Irr!X10=".",up_Irr!AW10&lt;&gt;".",up_Irr!BV10&lt;&gt;"."),up_dir!Y10/((1/1000)*(up_Irr!AW10+up_Irr!BV10)),IF(AND(up_Irr!X10=".",up_Irr!AW10=".",up_Irr!BV10&lt;&gt;"."),up_dir!Y10/((1/1000)*(up_Irr!BV10)),IF(AND(up_Irr!X10=".",up_Irr!AW10&lt;&gt;".",up_Irr!BV10="."),up_dir!Y10/((1/1000)*(up_Irr!AW10)),IF(AND(up_Irr!X10&lt;&gt;".",up_Irr!AW10=".",up_Irr!BV10="."),up_dir!Y10/((1/1000)*(up_Irr!X10)),IF(AND(up_Irr!X10=".",up_Irr!AW10=".",up_Irr!BV10="."),up_dir!Y10*1000)))))))),".")</f>
        <v>6.5773651144152131E-4</v>
      </c>
      <c r="Z10" s="70">
        <f>IFERROR(IF(AND(up_Irr!Y10&lt;&gt;".",up_Irr!AX10&lt;&gt;".",up_Irr!BW10&lt;&gt;"."),up_dir!Z10/((1/1000)*(up_Irr!Y10+up_Irr!AX10+up_Irr!BW10)),IF(AND(up_Irr!Y10&lt;&gt;".",up_Irr!AX10&lt;&gt;".",up_Irr!BW10="."),up_dir!Z10/((1/1000)*(up_Irr!Y10+up_Irr!AX10)),IF(AND(up_Irr!Y10&lt;&gt;".",up_Irr!AX10=".",up_Irr!BW10&lt;&gt;"."),up_dir!Z10/((1/1000)*(up_Irr!Y10+up_Irr!BW10)),IF(AND(up_Irr!Y10=".",up_Irr!AX10&lt;&gt;".",up_Irr!BW10&lt;&gt;"."),up_dir!Z10/((1/1000)*(up_Irr!AX10+up_Irr!BW10)),IF(AND(up_Irr!Y10=".",up_Irr!AX10=".",up_Irr!BW10&lt;&gt;"."),up_dir!Z10/((1/1000)*(up_Irr!BW10)),IF(AND(up_Irr!Y10=".",up_Irr!AX10&lt;&gt;".",up_Irr!BW10="."),up_dir!Z10/((1/1000)*(up_Irr!AX10)),IF(AND(up_Irr!Y10&lt;&gt;".",up_Irr!AX10=".",up_Irr!BW10="."),up_dir!Z10/((1/1000)*(up_Irr!Y10)),IF(AND(up_Irr!Y10=".",up_Irr!AX10=".",up_Irr!BW10="."),up_dir!Z10*1000)))))))),".")</f>
        <v>6.5773651144152131E-4</v>
      </c>
      <c r="AA10" s="70">
        <f>IFERROR(IF(AND(up_Irr!Z10&lt;&gt;".",up_Irr!AY10&lt;&gt;".",up_Irr!BX10&lt;&gt;"."),up_dir!AA10/((1/1000)*(up_Irr!Z10+up_Irr!AY10+up_Irr!BX10)),IF(AND(up_Irr!Z10&lt;&gt;".",up_Irr!AY10&lt;&gt;".",up_Irr!BX10="."),up_dir!AA10/((1/1000)*(up_Irr!Z10+up_Irr!AY10)),IF(AND(up_Irr!Z10&lt;&gt;".",up_Irr!AY10=".",up_Irr!BX10&lt;&gt;"."),up_dir!AA10/((1/1000)*(up_Irr!Z10+up_Irr!BX10)),IF(AND(up_Irr!Z10=".",up_Irr!AY10&lt;&gt;".",up_Irr!BX10&lt;&gt;"."),up_dir!AA10/((1/1000)*(up_Irr!AY10+up_Irr!BX10)),IF(AND(up_Irr!Z10=".",up_Irr!AY10=".",up_Irr!BX10&lt;&gt;"."),up_dir!AA10/((1/1000)*(up_Irr!BX10)),IF(AND(up_Irr!Z10=".",up_Irr!AY10&lt;&gt;".",up_Irr!BX10="."),up_dir!AA10/((1/1000)*(up_Irr!AY10)),IF(AND(up_Irr!Z10&lt;&gt;".",up_Irr!AY10=".",up_Irr!BX10="."),up_dir!AA10/((1/1000)*(up_Irr!Z10)),IF(AND(up_Irr!Z10=".",up_Irr!AY10=".",up_Irr!BX10="."),up_dir!AA10*1000)))))))),".")</f>
        <v>6.5773651144152131E-4</v>
      </c>
      <c r="AB10" s="70">
        <f>IFERROR(IF(AND(up_Irr!AA10&lt;&gt;".",up_Irr!AZ10&lt;&gt;".",up_Irr!BY10&lt;&gt;"."),up_dir!AB10/((1/1000)*(up_Irr!AA10+up_Irr!AZ10+up_Irr!BY10)),IF(AND(up_Irr!AA10&lt;&gt;".",up_Irr!AZ10&lt;&gt;".",up_Irr!BY10="."),up_dir!AB10/((1/1000)*(up_Irr!AA10+up_Irr!AZ10)),IF(AND(up_Irr!AA10&lt;&gt;".",up_Irr!AZ10=".",up_Irr!BY10&lt;&gt;"."),up_dir!AB10/((1/1000)*(up_Irr!AA10+up_Irr!BY10)),IF(AND(up_Irr!AA10=".",up_Irr!AZ10&lt;&gt;".",up_Irr!BY10&lt;&gt;"."),up_dir!AB10/((1/1000)*(up_Irr!AZ10+up_Irr!BY10)),IF(AND(up_Irr!AA10=".",up_Irr!AZ10=".",up_Irr!BY10&lt;&gt;"."),up_dir!AB10/((1/1000)*(up_Irr!BY10)),IF(AND(up_Irr!AA10=".",up_Irr!AZ10&lt;&gt;".",up_Irr!BY10="."),up_dir!AB10/((1/1000)*(up_Irr!AZ10)),IF(AND(up_Irr!AA10&lt;&gt;".",up_Irr!AZ10=".",up_Irr!BY10="."),up_dir!AB10/((1/1000)*(up_Irr!AA10)),IF(AND(up_Irr!AA10=".",up_Irr!AZ10=".",up_Irr!BY10="."),up_dir!AB10*1000)))))))),".")</f>
        <v>6.5773651144152131E-4</v>
      </c>
      <c r="AC10" s="87">
        <f t="shared" si="1"/>
        <v>30407.313038114935</v>
      </c>
      <c r="AD10" s="87">
        <f>IFERROR(s_C*s_IFAP_res_adj*s_CF_apple*0.001*(up_Irr!C10+up_Irr!AB10+up_Irr!BA10),".")</f>
        <v>7601.8282595287337</v>
      </c>
      <c r="AE10" s="87">
        <f>IFERROR(s_C*s_IFAS_res_adj*s_CF_asparagus*0.001*(up_Irr!D10+up_Irr!AC10+up_Irr!BB10),".")</f>
        <v>7601.8282595287337</v>
      </c>
      <c r="AF10" s="87">
        <f>IFERROR(s_C*s_IFBT_res_adj*s_CF_beet*0.001*(up_Irr!E10+up_Irr!AD10+up_Irr!BC10),".")</f>
        <v>7601.8282595287337</v>
      </c>
      <c r="AG10" s="87">
        <f>IFERROR(s_C*s_IFBE_res_adj*s_CF_berries*0.001*(up_Irr!F10+up_Irr!AE10+up_Irr!BD10),".")</f>
        <v>7601.8282595287337</v>
      </c>
      <c r="AH10" s="87">
        <f>IFERROR(s_C*s_IFBR_res_adj*s_CF_broccoli*0.001*(up_Irr!G10+up_Irr!AF10+up_Irr!BE10),".")</f>
        <v>7601.8282595287337</v>
      </c>
      <c r="AI10" s="87">
        <f>IFERROR(s_C*s_IFCB_res_adj*s_CF_cabbage*0.001*(up_Irr!H10+up_Irr!AG10+up_Irr!BF10),".")</f>
        <v>7601.8282595287337</v>
      </c>
      <c r="AJ10" s="87">
        <f>IFERROR(s_C*s_IFCR_res_adj*s_CF_carrot*0.001*(up_Irr!I10+up_Irr!AH10+up_Irr!BG10),".")</f>
        <v>7601.8282595287337</v>
      </c>
      <c r="AK10" s="87">
        <f>IFERROR(s_C*s_IFCI_res_adj*s_CF_citrus*0.001*(up_Irr!J10+up_Irr!AI10+up_Irr!BH10),".")</f>
        <v>7601.8282595287337</v>
      </c>
      <c r="AL10" s="87">
        <f>IFERROR(s_C*s_IFCO_res_adj*s_CF_corn*0.001*(up_Irr!K10+up_Irr!AJ10+up_Irr!BI10),".")</f>
        <v>7601.8282595287337</v>
      </c>
      <c r="AM10" s="87">
        <f>IFERROR(s_C*s_IFCU_res_adj*s_CF_cucumber*0.001*(up_Irr!L10+up_Irr!AK10+up_Irr!BJ10),".")</f>
        <v>7601.8282595287337</v>
      </c>
      <c r="AN10" s="87">
        <f>IFERROR(s_C*s_IFLE_res_adj*s_CF_lettuce*0.001*(up_Irr!M10+up_Irr!AL10+up_Irr!BK10),".")</f>
        <v>7601.8282595287337</v>
      </c>
      <c r="AO10" s="87">
        <f>IFERROR(s_C*s_IFLI_res_adj*s_CF_lima_bean*0.001*(up_Irr!N10+up_Irr!AM10+up_Irr!BL10),".")</f>
        <v>7601.8282595287337</v>
      </c>
      <c r="AP10" s="87">
        <f>IFERROR(s_C*s_IFOK_res_adj*s_CF_okra*0.001*(up_Irr!O10+up_Irr!AN10+up_Irr!BM10),".")</f>
        <v>7601.8282595287337</v>
      </c>
      <c r="AQ10" s="87">
        <f>IFERROR(s_C*s_IFON_res_adj*s_CF_onion*0.001*(up_Irr!P10+up_Irr!AO10+up_Irr!BN10),".")</f>
        <v>7601.8282595287337</v>
      </c>
      <c r="AR10" s="87">
        <f>IFERROR(s_C*s_IFPC_res_adj*s_CF_peach*0.001*(up_Irr!Q10+up_Irr!AP10+up_Irr!BO10),".")</f>
        <v>7601.8282595287337</v>
      </c>
      <c r="AS10" s="87">
        <f>IFERROR(s_C*s_IFPR_res_adj*s_CF_pear*0.001*(up_Irr!R10+up_Irr!AQ10+up_Irr!BP10),".")</f>
        <v>7601.8282595287337</v>
      </c>
      <c r="AT10" s="87">
        <f>IFERROR(s_C*s_IFPE_res_adj*s_CF_peas*0.001*(up_Irr!S10+up_Irr!AR10+up_Irr!BQ10),".")</f>
        <v>7601.8282595287337</v>
      </c>
      <c r="AU10" s="87">
        <f>IFERROR(s_C*s_IFPP_res_adj*s_CF_peppers*0.001*(up_Irr!T10+up_Irr!AS10+up_Irr!BR10),".")</f>
        <v>7601.8282595287337</v>
      </c>
      <c r="AV10" s="87">
        <f>IFERROR(s_C*s_IFPT_res_adj*s_CF_potato*0.001*(up_Irr!U10+up_Irr!AT10+up_Irr!BS10),".")</f>
        <v>7601.8282595287337</v>
      </c>
      <c r="AW10" s="87">
        <f>IFERROR(s_C*s_IFPU_res_adj*s_CF_pumpkin*0.001*(up_Irr!V10+up_Irr!AU10+up_Irr!BT10),".")</f>
        <v>7601.8282595287337</v>
      </c>
      <c r="AX10" s="87">
        <f>IFERROR(s_C*s_IFSN_res_adj*s_CF_snap_bean*0.001*(up_Irr!W10+up_Irr!AV10+up_Irr!BU10),".")</f>
        <v>7601.8282595287337</v>
      </c>
      <c r="AY10" s="87">
        <f>IFERROR(s_C*s_IFST_res_adj*s_CF_strawberry*0.001*(up_Irr!X10+up_Irr!AW10+up_Irr!BV10),".")</f>
        <v>7601.8282595287337</v>
      </c>
      <c r="AZ10" s="87">
        <f>IFERROR(s_C*s_IFTO_res_adj*s_CF_tomato*0.001*(up_Irr!Y10+up_Irr!AX10+up_Irr!BW10),".")</f>
        <v>7601.8282595287337</v>
      </c>
      <c r="BA10" s="87">
        <f>IFERROR(s_C*s_IFRI_res_adj*s_CF_rice*0.001*(up_Irr!Z10+up_Irr!AY10+up_Irr!BX10),".")</f>
        <v>7601.8282595287337</v>
      </c>
      <c r="BB10" s="87">
        <f>IFERROR(s_C*s_IFCG_res_adj*s_CF_cereal*0.001*(up_Irr!AA10+up_Irr!AZ10+up_Irr!BY10),".")</f>
        <v>7601.8282595287337</v>
      </c>
      <c r="BC10" s="70">
        <f t="shared" si="2"/>
        <v>1.6443412786038033E-4</v>
      </c>
      <c r="BD10" s="70">
        <f>IFERROR(IF(AND(up_Irr!C10&lt;&gt;".",up_Irr!AB10&lt;&gt;".",up_Irr!BA10&lt;&gt;"."),up_dir!AD10/((1/1000)*(up_Irr!C10+up_Irr!AB10+up_Irr!BA10)),IF(AND(up_Irr!C10&lt;&gt;".",up_Irr!AB10&lt;&gt;".",up_Irr!BA10="."),up_dir!AD10/((1/1000)*(up_Irr!C10+up_Irr!AB10)),IF(AND(up_Irr!C10&lt;&gt;".",up_Irr!AB10=".",up_Irr!BA10&lt;&gt;"."),up_dir!AD10/((1/1000)*(up_Irr!C10+up_Irr!BA10)),IF(AND(up_Irr!C10=".",up_Irr!AB10&lt;&gt;".",up_Irr!BA10&lt;&gt;"."),up_dir!AD10/((1/1000)*(up_Irr!AB10+up_Irr!BA10)),IF(AND(up_Irr!C10=".",up_Irr!AB10=".",up_Irr!BA10&lt;&gt;"."),up_dir!AD10/((1/1000)*(up_Irr!BA10)),IF(AND(up_Irr!C10=".",up_Irr!AB10&lt;&gt;".",up_Irr!BA10="."),up_dir!AD10/((1/1000)*(up_Irr!AB10)),IF(AND(up_Irr!C10&lt;&gt;".",up_Irr!AB10=".",up_Irr!BA10="."),up_dir!AD10/((1/1000)*(up_Irr!C10)),IF(AND(up_Irr!C10=".",up_Irr!AB10=".",up_Irr!BA10="."),up_dir!AD10*1000)))))))),".")</f>
        <v>6.5773651144152131E-4</v>
      </c>
      <c r="BE10" s="70">
        <f>IFERROR(IF(AND(up_Irr!D10&lt;&gt;".",up_Irr!AC10&lt;&gt;".",up_Irr!BB10&lt;&gt;"."),up_dir!AE10/((1/1000)*(up_Irr!D10+up_Irr!AC10+up_Irr!BB10)),IF(AND(up_Irr!D10&lt;&gt;".",up_Irr!AC10&lt;&gt;".",up_Irr!BB10="."),up_dir!AE10/((1/1000)*(up_Irr!D10+up_Irr!AC10)),IF(AND(up_Irr!D10&lt;&gt;".",up_Irr!AC10=".",up_Irr!BB10&lt;&gt;"."),up_dir!AE10/((1/1000)*(up_Irr!D10+up_Irr!BB10)),IF(AND(up_Irr!D10=".",up_Irr!AC10&lt;&gt;".",up_Irr!BB10&lt;&gt;"."),up_dir!AE10/((1/1000)*(up_Irr!AC10+up_Irr!BB10)),IF(AND(up_Irr!D10=".",up_Irr!AC10=".",up_Irr!BB10&lt;&gt;"."),up_dir!AE10/((1/1000)*(up_Irr!BB10)),IF(AND(up_Irr!D10=".",up_Irr!AC10&lt;&gt;".",up_Irr!BB10="."),up_dir!AE10/((1/1000)*(up_Irr!AC10)),IF(AND(up_Irr!D10&lt;&gt;".",up_Irr!AC10=".",up_Irr!BB10="."),up_dir!AE10/((1/1000)*(up_Irr!D10)),IF(AND(up_Irr!D10=".",up_Irr!AC10=".",up_Irr!BB10="."),up_dir!AE10*1000)))))))),".")</f>
        <v>6.5773651144152131E-4</v>
      </c>
      <c r="BF10" s="70">
        <f>IFERROR(IF(AND(up_Irr!E10&lt;&gt;".",up_Irr!AD10&lt;&gt;".",up_Irr!BC10&lt;&gt;"."),up_dir!AF10/((1/1000)*(up_Irr!E10+up_Irr!AD10+up_Irr!BC10)),IF(AND(up_Irr!E10&lt;&gt;".",up_Irr!AD10&lt;&gt;".",up_Irr!BC10="."),up_dir!AF10/((1/1000)*(up_Irr!E10+up_Irr!AD10)),IF(AND(up_Irr!E10&lt;&gt;".",up_Irr!AD10=".",up_Irr!BC10&lt;&gt;"."),up_dir!AF10/((1/1000)*(up_Irr!E10+up_Irr!BC10)),IF(AND(up_Irr!E10=".",up_Irr!AD10&lt;&gt;".",up_Irr!BC10&lt;&gt;"."),up_dir!AF10/((1/1000)*(up_Irr!AD10+up_Irr!BC10)),IF(AND(up_Irr!E10=".",up_Irr!AD10=".",up_Irr!BC10&lt;&gt;"."),up_dir!AF10/((1/1000)*(up_Irr!BC10)),IF(AND(up_Irr!E10=".",up_Irr!AD10&lt;&gt;".",up_Irr!BC10="."),up_dir!AF10/((1/1000)*(up_Irr!AD10)),IF(AND(up_Irr!E10&lt;&gt;".",up_Irr!AD10=".",up_Irr!BC10="."),up_dir!AF10/((1/1000)*(up_Irr!E10)),IF(AND(up_Irr!E10=".",up_Irr!AD10=".",up_Irr!BC10="."),up_dir!AF10*1000)))))))),".")</f>
        <v>6.5773651144152131E-4</v>
      </c>
      <c r="BG10" s="70">
        <f>IFERROR(IF(AND(up_Irr!F10&lt;&gt;".",up_Irr!AE10&lt;&gt;".",up_Irr!BD10&lt;&gt;"."),up_dir!AG10/((1/1000)*(up_Irr!F10+up_Irr!AE10+up_Irr!BD10)),IF(AND(up_Irr!F10&lt;&gt;".",up_Irr!AE10&lt;&gt;".",up_Irr!BD10="."),up_dir!AG10/((1/1000)*(up_Irr!F10+up_Irr!AE10)),IF(AND(up_Irr!F10&lt;&gt;".",up_Irr!AE10=".",up_Irr!BD10&lt;&gt;"."),up_dir!AG10/((1/1000)*(up_Irr!F10+up_Irr!BD10)),IF(AND(up_Irr!F10=".",up_Irr!AE10&lt;&gt;".",up_Irr!BD10&lt;&gt;"."),up_dir!AG10/((1/1000)*(up_Irr!AE10+up_Irr!BD10)),IF(AND(up_Irr!F10=".",up_Irr!AE10=".",up_Irr!BD10&lt;&gt;"."),up_dir!AG10/((1/1000)*(up_Irr!BD10)),IF(AND(up_Irr!F10=".",up_Irr!AE10&lt;&gt;".",up_Irr!BD10="."),up_dir!AG10/((1/1000)*(up_Irr!AE10)),IF(AND(up_Irr!F10&lt;&gt;".",up_Irr!AE10=".",up_Irr!BD10="."),up_dir!AG10/((1/1000)*(up_Irr!F10)),IF(AND(up_Irr!F10=".",up_Irr!AE10=".",up_Irr!BD10="."),up_dir!AG10*1000)))))))),".")</f>
        <v>6.5773651144152131E-4</v>
      </c>
      <c r="BH10" s="70">
        <f>IFERROR(IF(AND(up_Irr!G10&lt;&gt;".",up_Irr!AF10&lt;&gt;".",up_Irr!BE10&lt;&gt;"."),up_dir!AH10/((1/1000)*(up_Irr!G10+up_Irr!AF10+up_Irr!BE10)),IF(AND(up_Irr!G10&lt;&gt;".",up_Irr!AF10&lt;&gt;".",up_Irr!BE10="."),up_dir!AH10/((1/1000)*(up_Irr!G10+up_Irr!AF10)),IF(AND(up_Irr!G10&lt;&gt;".",up_Irr!AF10=".",up_Irr!BE10&lt;&gt;"."),up_dir!AH10/((1/1000)*(up_Irr!G10+up_Irr!BE10)),IF(AND(up_Irr!G10=".",up_Irr!AF10&lt;&gt;".",up_Irr!BE10&lt;&gt;"."),up_dir!AH10/((1/1000)*(up_Irr!AF10+up_Irr!BE10)),IF(AND(up_Irr!G10=".",up_Irr!AF10=".",up_Irr!BE10&lt;&gt;"."),up_dir!AH10/((1/1000)*(up_Irr!BE10)),IF(AND(up_Irr!G10=".",up_Irr!AF10&lt;&gt;".",up_Irr!BE10="."),up_dir!AH10/((1/1000)*(up_Irr!AF10)),IF(AND(up_Irr!G10&lt;&gt;".",up_Irr!AF10=".",up_Irr!BE10="."),up_dir!AH10/((1/1000)*(up_Irr!G10)),IF(AND(up_Irr!G10=".",up_Irr!AF10=".",up_Irr!BE10="."),up_dir!AH10*1000)))))))),".")</f>
        <v>6.5773651144152131E-4</v>
      </c>
      <c r="BI10" s="70">
        <f>IFERROR(IF(AND(up_Irr!H10&lt;&gt;".",up_Irr!AG10&lt;&gt;".",up_Irr!BF10&lt;&gt;"."),up_dir!AI10/((1/1000)*(up_Irr!H10+up_Irr!AG10+up_Irr!BF10)),IF(AND(up_Irr!H10&lt;&gt;".",up_Irr!AG10&lt;&gt;".",up_Irr!BF10="."),up_dir!AI10/((1/1000)*(up_Irr!H10+up_Irr!AG10)),IF(AND(up_Irr!H10&lt;&gt;".",up_Irr!AG10=".",up_Irr!BF10&lt;&gt;"."),up_dir!AI10/((1/1000)*(up_Irr!H10+up_Irr!BF10)),IF(AND(up_Irr!H10=".",up_Irr!AG10&lt;&gt;".",up_Irr!BF10&lt;&gt;"."),up_dir!AI10/((1/1000)*(up_Irr!AG10+up_Irr!BF10)),IF(AND(up_Irr!H10=".",up_Irr!AG10=".",up_Irr!BF10&lt;&gt;"."),up_dir!AI10/((1/1000)*(up_Irr!BF10)),IF(AND(up_Irr!H10=".",up_Irr!AG10&lt;&gt;".",up_Irr!BF10="."),up_dir!AI10/((1/1000)*(up_Irr!AG10)),IF(AND(up_Irr!H10&lt;&gt;".",up_Irr!AG10=".",up_Irr!BF10="."),up_dir!AI10/((1/1000)*(up_Irr!H10)),IF(AND(up_Irr!H10=".",up_Irr!AG10=".",up_Irr!BF10="."),up_dir!AI10*1000)))))))),".")</f>
        <v>6.5773651144152131E-4</v>
      </c>
      <c r="BJ10" s="70">
        <f>IFERROR(IF(AND(up_Irr!I10&lt;&gt;".",up_Irr!AH10&lt;&gt;".",up_Irr!BG10&lt;&gt;"."),up_dir!AJ10/((1/1000)*(up_Irr!I10+up_Irr!AH10+up_Irr!BG10)),IF(AND(up_Irr!I10&lt;&gt;".",up_Irr!AH10&lt;&gt;".",up_Irr!BG10="."),up_dir!AJ10/((1/1000)*(up_Irr!I10+up_Irr!AH10)),IF(AND(up_Irr!I10&lt;&gt;".",up_Irr!AH10=".",up_Irr!BG10&lt;&gt;"."),up_dir!AJ10/((1/1000)*(up_Irr!I10+up_Irr!BG10)),IF(AND(up_Irr!I10=".",up_Irr!AH10&lt;&gt;".",up_Irr!BG10&lt;&gt;"."),up_dir!AJ10/((1/1000)*(up_Irr!AH10+up_Irr!BG10)),IF(AND(up_Irr!I10=".",up_Irr!AH10=".",up_Irr!BG10&lt;&gt;"."),up_dir!AJ10/((1/1000)*(up_Irr!BG10)),IF(AND(up_Irr!I10=".",up_Irr!AH10&lt;&gt;".",up_Irr!BG10="."),up_dir!AJ10/((1/1000)*(up_Irr!AH10)),IF(AND(up_Irr!I10&lt;&gt;".",up_Irr!AH10=".",up_Irr!BG10="."),up_dir!AJ10/((1/1000)*(up_Irr!I10)),IF(AND(up_Irr!I10=".",up_Irr!AH10=".",up_Irr!BG10="."),up_dir!AJ10*1000)))))))),".")</f>
        <v>6.5773651144152131E-4</v>
      </c>
      <c r="BK10" s="70">
        <f>IFERROR(IF(AND(up_Irr!J10&lt;&gt;".",up_Irr!AI10&lt;&gt;".",up_Irr!BH10&lt;&gt;"."),up_dir!AK10/((1/1000)*(up_Irr!J10+up_Irr!AI10+up_Irr!BH10)),IF(AND(up_Irr!J10&lt;&gt;".",up_Irr!AI10&lt;&gt;".",up_Irr!BH10="."),up_dir!AK10/((1/1000)*(up_Irr!J10+up_Irr!AI10)),IF(AND(up_Irr!J10&lt;&gt;".",up_Irr!AI10=".",up_Irr!BH10&lt;&gt;"."),up_dir!AK10/((1/1000)*(up_Irr!J10+up_Irr!BH10)),IF(AND(up_Irr!J10=".",up_Irr!AI10&lt;&gt;".",up_Irr!BH10&lt;&gt;"."),up_dir!AK10/((1/1000)*(up_Irr!AI10+up_Irr!BH10)),IF(AND(up_Irr!J10=".",up_Irr!AI10=".",up_Irr!BH10&lt;&gt;"."),up_dir!AK10/((1/1000)*(up_Irr!BH10)),IF(AND(up_Irr!J10=".",up_Irr!AI10&lt;&gt;".",up_Irr!BH10="."),up_dir!AK10/((1/1000)*(up_Irr!AI10)),IF(AND(up_Irr!J10&lt;&gt;".",up_Irr!AI10=".",up_Irr!BH10="."),up_dir!AK10/((1/1000)*(up_Irr!J10)),IF(AND(up_Irr!J10=".",up_Irr!AI10=".",up_Irr!BH10="."),up_dir!AK10*1000)))))))),".")</f>
        <v>6.5773651144152131E-4</v>
      </c>
      <c r="BL10" s="70">
        <f>IFERROR(IF(AND(up_Irr!K10&lt;&gt;".",up_Irr!AJ10&lt;&gt;".",up_Irr!BI10&lt;&gt;"."),up_dir!AL10/((1/1000)*(up_Irr!K10+up_Irr!AJ10+up_Irr!BI10)),IF(AND(up_Irr!K10&lt;&gt;".",up_Irr!AJ10&lt;&gt;".",up_Irr!BI10="."),up_dir!AL10/((1/1000)*(up_Irr!K10+up_Irr!AJ10)),IF(AND(up_Irr!K10&lt;&gt;".",up_Irr!AJ10=".",up_Irr!BI10&lt;&gt;"."),up_dir!AL10/((1/1000)*(up_Irr!K10+up_Irr!BI10)),IF(AND(up_Irr!K10=".",up_Irr!AJ10&lt;&gt;".",up_Irr!BI10&lt;&gt;"."),up_dir!AL10/((1/1000)*(up_Irr!AJ10+up_Irr!BI10)),IF(AND(up_Irr!K10=".",up_Irr!AJ10=".",up_Irr!BI10&lt;&gt;"."),up_dir!AL10/((1/1000)*(up_Irr!BI10)),IF(AND(up_Irr!K10=".",up_Irr!AJ10&lt;&gt;".",up_Irr!BI10="."),up_dir!AL10/((1/1000)*(up_Irr!AJ10)),IF(AND(up_Irr!K10&lt;&gt;".",up_Irr!AJ10=".",up_Irr!BI10="."),up_dir!AL10/((1/1000)*(up_Irr!K10)),IF(AND(up_Irr!K10=".",up_Irr!AJ10=".",up_Irr!BI10="."),up_dir!AL10*1000)))))))),".")</f>
        <v>6.5773651144152131E-4</v>
      </c>
      <c r="BM10" s="70">
        <f>IFERROR(IF(AND(up_Irr!L10&lt;&gt;".",up_Irr!AK10&lt;&gt;".",up_Irr!BJ10&lt;&gt;"."),up_dir!AM10/((1/1000)*(up_Irr!L10+up_Irr!AK10+up_Irr!BJ10)),IF(AND(up_Irr!L10&lt;&gt;".",up_Irr!AK10&lt;&gt;".",up_Irr!BJ10="."),up_dir!AM10/((1/1000)*(up_Irr!L10+up_Irr!AK10)),IF(AND(up_Irr!L10&lt;&gt;".",up_Irr!AK10=".",up_Irr!BJ10&lt;&gt;"."),up_dir!AM10/((1/1000)*(up_Irr!L10+up_Irr!BJ10)),IF(AND(up_Irr!L10=".",up_Irr!AK10&lt;&gt;".",up_Irr!BJ10&lt;&gt;"."),up_dir!AM10/((1/1000)*(up_Irr!AK10+up_Irr!BJ10)),IF(AND(up_Irr!L10=".",up_Irr!AK10=".",up_Irr!BJ10&lt;&gt;"."),up_dir!AM10/((1/1000)*(up_Irr!BJ10)),IF(AND(up_Irr!L10=".",up_Irr!AK10&lt;&gt;".",up_Irr!BJ10="."),up_dir!AM10/((1/1000)*(up_Irr!AK10)),IF(AND(up_Irr!L10&lt;&gt;".",up_Irr!AK10=".",up_Irr!BJ10="."),up_dir!AM10/((1/1000)*(up_Irr!L10)),IF(AND(up_Irr!L10=".",up_Irr!AK10=".",up_Irr!BJ10="."),up_dir!AM10*1000)))))))),".")</f>
        <v>6.5773651144152131E-4</v>
      </c>
      <c r="BN10" s="70">
        <f>IFERROR(IF(AND(up_Irr!M10&lt;&gt;".",up_Irr!AL10&lt;&gt;".",up_Irr!BK10&lt;&gt;"."),up_dir!AN10/((1/1000)*(up_Irr!M10+up_Irr!AL10+up_Irr!BK10)),IF(AND(up_Irr!M10&lt;&gt;".",up_Irr!AL10&lt;&gt;".",up_Irr!BK10="."),up_dir!AN10/((1/1000)*(up_Irr!M10+up_Irr!AL10)),IF(AND(up_Irr!M10&lt;&gt;".",up_Irr!AL10=".",up_Irr!BK10&lt;&gt;"."),up_dir!AN10/((1/1000)*(up_Irr!M10+up_Irr!BK10)),IF(AND(up_Irr!M10=".",up_Irr!AL10&lt;&gt;".",up_Irr!BK10&lt;&gt;"."),up_dir!AN10/((1/1000)*(up_Irr!AL10+up_Irr!BK10)),IF(AND(up_Irr!M10=".",up_Irr!AL10=".",up_Irr!BK10&lt;&gt;"."),up_dir!AN10/((1/1000)*(up_Irr!BK10)),IF(AND(up_Irr!M10=".",up_Irr!AL10&lt;&gt;".",up_Irr!BK10="."),up_dir!AN10/((1/1000)*(up_Irr!AL10)),IF(AND(up_Irr!M10&lt;&gt;".",up_Irr!AL10=".",up_Irr!BK10="."),up_dir!AN10/((1/1000)*(up_Irr!M10)),IF(AND(up_Irr!M10=".",up_Irr!AL10=".",up_Irr!BK10="."),up_dir!AN10*1000)))))))),".")</f>
        <v>6.5773651144152131E-4</v>
      </c>
      <c r="BO10" s="70">
        <f>IFERROR(IF(AND(up_Irr!N10&lt;&gt;".",up_Irr!AM10&lt;&gt;".",up_Irr!BL10&lt;&gt;"."),up_dir!AO10/((1/1000)*(up_Irr!N10+up_Irr!AM10+up_Irr!BL10)),IF(AND(up_Irr!N10&lt;&gt;".",up_Irr!AM10&lt;&gt;".",up_Irr!BL10="."),up_dir!AO10/((1/1000)*(up_Irr!N10+up_Irr!AM10)),IF(AND(up_Irr!N10&lt;&gt;".",up_Irr!AM10=".",up_Irr!BL10&lt;&gt;"."),up_dir!AO10/((1/1000)*(up_Irr!N10+up_Irr!BL10)),IF(AND(up_Irr!N10=".",up_Irr!AM10&lt;&gt;".",up_Irr!BL10&lt;&gt;"."),up_dir!AO10/((1/1000)*(up_Irr!AM10+up_Irr!BL10)),IF(AND(up_Irr!N10=".",up_Irr!AM10=".",up_Irr!BL10&lt;&gt;"."),up_dir!AO10/((1/1000)*(up_Irr!BL10)),IF(AND(up_Irr!N10=".",up_Irr!AM10&lt;&gt;".",up_Irr!BL10="."),up_dir!AO10/((1/1000)*(up_Irr!AM10)),IF(AND(up_Irr!N10&lt;&gt;".",up_Irr!AM10=".",up_Irr!BL10="."),up_dir!AO10/((1/1000)*(up_Irr!N10)),IF(AND(up_Irr!N10=".",up_Irr!AM10=".",up_Irr!BL10="."),up_dir!AO10*1000)))))))),".")</f>
        <v>6.5773651144152131E-4</v>
      </c>
      <c r="BP10" s="70">
        <f>IFERROR(IF(AND(up_Irr!O10&lt;&gt;".",up_Irr!AN10&lt;&gt;".",up_Irr!BM10&lt;&gt;"."),up_dir!AP10/((1/1000)*(up_Irr!O10+up_Irr!AN10+up_Irr!BM10)),IF(AND(up_Irr!O10&lt;&gt;".",up_Irr!AN10&lt;&gt;".",up_Irr!BM10="."),up_dir!AP10/((1/1000)*(up_Irr!O10+up_Irr!AN10)),IF(AND(up_Irr!O10&lt;&gt;".",up_Irr!AN10=".",up_Irr!BM10&lt;&gt;"."),up_dir!AP10/((1/1000)*(up_Irr!O10+up_Irr!BM10)),IF(AND(up_Irr!O10=".",up_Irr!AN10&lt;&gt;".",up_Irr!BM10&lt;&gt;"."),up_dir!AP10/((1/1000)*(up_Irr!AN10+up_Irr!BM10)),IF(AND(up_Irr!O10=".",up_Irr!AN10=".",up_Irr!BM10&lt;&gt;"."),up_dir!AP10/((1/1000)*(up_Irr!BM10)),IF(AND(up_Irr!O10=".",up_Irr!AN10&lt;&gt;".",up_Irr!BM10="."),up_dir!AP10/((1/1000)*(up_Irr!AN10)),IF(AND(up_Irr!O10&lt;&gt;".",up_Irr!AN10=".",up_Irr!BM10="."),up_dir!AP10/((1/1000)*(up_Irr!O10)),IF(AND(up_Irr!O10=".",up_Irr!AN10=".",up_Irr!BM10="."),up_dir!AP10*1000)))))))),".")</f>
        <v>6.5773651144152131E-4</v>
      </c>
      <c r="BQ10" s="70">
        <f>IFERROR(IF(AND(up_Irr!P10&lt;&gt;".",up_Irr!AO10&lt;&gt;".",up_Irr!BN10&lt;&gt;"."),up_dir!AQ10/((1/1000)*(up_Irr!P10+up_Irr!AO10+up_Irr!BN10)),IF(AND(up_Irr!P10&lt;&gt;".",up_Irr!AO10&lt;&gt;".",up_Irr!BN10="."),up_dir!AQ10/((1/1000)*(up_Irr!P10+up_Irr!AO10)),IF(AND(up_Irr!P10&lt;&gt;".",up_Irr!AO10=".",up_Irr!BN10&lt;&gt;"."),up_dir!AQ10/((1/1000)*(up_Irr!P10+up_Irr!BN10)),IF(AND(up_Irr!P10=".",up_Irr!AO10&lt;&gt;".",up_Irr!BN10&lt;&gt;"."),up_dir!AQ10/((1/1000)*(up_Irr!AO10+up_Irr!BN10)),IF(AND(up_Irr!P10=".",up_Irr!AO10=".",up_Irr!BN10&lt;&gt;"."),up_dir!AQ10/((1/1000)*(up_Irr!BN10)),IF(AND(up_Irr!P10=".",up_Irr!AO10&lt;&gt;".",up_Irr!BN10="."),up_dir!AQ10/((1/1000)*(up_Irr!AO10)),IF(AND(up_Irr!P10&lt;&gt;".",up_Irr!AO10=".",up_Irr!BN10="."),up_dir!AQ10/((1/1000)*(up_Irr!P10)),IF(AND(up_Irr!P10=".",up_Irr!AO10=".",up_Irr!BN10="."),up_dir!AQ10*1000)))))))),".")</f>
        <v>6.5773651144152131E-4</v>
      </c>
      <c r="BR10" s="70">
        <f>IFERROR(IF(AND(up_Irr!Q10&lt;&gt;".",up_Irr!AP10&lt;&gt;".",up_Irr!BO10&lt;&gt;"."),up_dir!AR10/((1/1000)*(up_Irr!Q10+up_Irr!AP10+up_Irr!BO10)),IF(AND(up_Irr!Q10&lt;&gt;".",up_Irr!AP10&lt;&gt;".",up_Irr!BO10="."),up_dir!AR10/((1/1000)*(up_Irr!Q10+up_Irr!AP10)),IF(AND(up_Irr!Q10&lt;&gt;".",up_Irr!AP10=".",up_Irr!BO10&lt;&gt;"."),up_dir!AR10/((1/1000)*(up_Irr!Q10+up_Irr!BO10)),IF(AND(up_Irr!Q10=".",up_Irr!AP10&lt;&gt;".",up_Irr!BO10&lt;&gt;"."),up_dir!AR10/((1/1000)*(up_Irr!AP10+up_Irr!BO10)),IF(AND(up_Irr!Q10=".",up_Irr!AP10=".",up_Irr!BO10&lt;&gt;"."),up_dir!AR10/((1/1000)*(up_Irr!BO10)),IF(AND(up_Irr!Q10=".",up_Irr!AP10&lt;&gt;".",up_Irr!BO10="."),up_dir!AR10/((1/1000)*(up_Irr!AP10)),IF(AND(up_Irr!Q10&lt;&gt;".",up_Irr!AP10=".",up_Irr!BO10="."),up_dir!AR10/((1/1000)*(up_Irr!Q10)),IF(AND(up_Irr!Q10=".",up_Irr!AP10=".",up_Irr!BO10="."),up_dir!AR10*1000)))))))),".")</f>
        <v>6.5773651144152131E-4</v>
      </c>
      <c r="BS10" s="70">
        <f>IFERROR(IF(AND(up_Irr!R10&lt;&gt;".",up_Irr!AQ10&lt;&gt;".",up_Irr!BP10&lt;&gt;"."),up_dir!AS10/((1/1000)*(up_Irr!R10+up_Irr!AQ10+up_Irr!BP10)),IF(AND(up_Irr!R10&lt;&gt;".",up_Irr!AQ10&lt;&gt;".",up_Irr!BP10="."),up_dir!AS10/((1/1000)*(up_Irr!R10+up_Irr!AQ10)),IF(AND(up_Irr!R10&lt;&gt;".",up_Irr!AQ10=".",up_Irr!BP10&lt;&gt;"."),up_dir!AS10/((1/1000)*(up_Irr!R10+up_Irr!BP10)),IF(AND(up_Irr!R10=".",up_Irr!AQ10&lt;&gt;".",up_Irr!BP10&lt;&gt;"."),up_dir!AS10/((1/1000)*(up_Irr!AQ10+up_Irr!BP10)),IF(AND(up_Irr!R10=".",up_Irr!AQ10=".",up_Irr!BP10&lt;&gt;"."),up_dir!AS10/((1/1000)*(up_Irr!BP10)),IF(AND(up_Irr!R10=".",up_Irr!AQ10&lt;&gt;".",up_Irr!BP10="."),up_dir!AS10/((1/1000)*(up_Irr!AQ10)),IF(AND(up_Irr!R10&lt;&gt;".",up_Irr!AQ10=".",up_Irr!BP10="."),up_dir!AS10/((1/1000)*(up_Irr!R10)),IF(AND(up_Irr!R10=".",up_Irr!AQ10=".",up_Irr!BP10="."),up_dir!AS10*1000)))))))),".")</f>
        <v>6.5773651144152131E-4</v>
      </c>
      <c r="BT10" s="70">
        <f>IFERROR(IF(AND(up_Irr!S10&lt;&gt;".",up_Irr!AR10&lt;&gt;".",up_Irr!BQ10&lt;&gt;"."),up_dir!AT10/((1/1000)*(up_Irr!S10+up_Irr!AR10+up_Irr!BQ10)),IF(AND(up_Irr!S10&lt;&gt;".",up_Irr!AR10&lt;&gt;".",up_Irr!BQ10="."),up_dir!AT10/((1/1000)*(up_Irr!S10+up_Irr!AR10)),IF(AND(up_Irr!S10&lt;&gt;".",up_Irr!AR10=".",up_Irr!BQ10&lt;&gt;"."),up_dir!AT10/((1/1000)*(up_Irr!S10+up_Irr!BQ10)),IF(AND(up_Irr!S10=".",up_Irr!AR10&lt;&gt;".",up_Irr!BQ10&lt;&gt;"."),up_dir!AT10/((1/1000)*(up_Irr!AR10+up_Irr!BQ10)),IF(AND(up_Irr!S10=".",up_Irr!AR10=".",up_Irr!BQ10&lt;&gt;"."),up_dir!AT10/((1/1000)*(up_Irr!BQ10)),IF(AND(up_Irr!S10=".",up_Irr!AR10&lt;&gt;".",up_Irr!BQ10="."),up_dir!AT10/((1/1000)*(up_Irr!AR10)),IF(AND(up_Irr!S10&lt;&gt;".",up_Irr!AR10=".",up_Irr!BQ10="."),up_dir!AT10/((1/1000)*(up_Irr!S10)),IF(AND(up_Irr!S10=".",up_Irr!AR10=".",up_Irr!BQ10="."),up_dir!AT10*1000)))))))),".")</f>
        <v>6.5773651144152131E-4</v>
      </c>
      <c r="BU10" s="70">
        <f>IFERROR(IF(AND(up_Irr!T10&lt;&gt;".",up_Irr!AS10&lt;&gt;".",up_Irr!BR10&lt;&gt;"."),up_dir!AU10/((1/1000)*(up_Irr!T10+up_Irr!AS10+up_Irr!BR10)),IF(AND(up_Irr!T10&lt;&gt;".",up_Irr!AS10&lt;&gt;".",up_Irr!BR10="."),up_dir!AU10/((1/1000)*(up_Irr!T10+up_Irr!AS10)),IF(AND(up_Irr!T10&lt;&gt;".",up_Irr!AS10=".",up_Irr!BR10&lt;&gt;"."),up_dir!AU10/((1/1000)*(up_Irr!T10+up_Irr!BR10)),IF(AND(up_Irr!T10=".",up_Irr!AS10&lt;&gt;".",up_Irr!BR10&lt;&gt;"."),up_dir!AU10/((1/1000)*(up_Irr!AS10+up_Irr!BR10)),IF(AND(up_Irr!T10=".",up_Irr!AS10=".",up_Irr!BR10&lt;&gt;"."),up_dir!AU10/((1/1000)*(up_Irr!BR10)),IF(AND(up_Irr!T10=".",up_Irr!AS10&lt;&gt;".",up_Irr!BR10="."),up_dir!AU10/((1/1000)*(up_Irr!AS10)),IF(AND(up_Irr!T10&lt;&gt;".",up_Irr!AS10=".",up_Irr!BR10="."),up_dir!AU10/((1/1000)*(up_Irr!T10)),IF(AND(up_Irr!T10=".",up_Irr!AS10=".",up_Irr!BR10="."),up_dir!AU10*1000)))))))),".")</f>
        <v>6.5773651144152131E-4</v>
      </c>
      <c r="BV10" s="70">
        <f>IFERROR(IF(AND(up_Irr!U10&lt;&gt;".",up_Irr!AT10&lt;&gt;".",up_Irr!BS10&lt;&gt;"."),up_dir!AV10/((1/1000)*(up_Irr!U10+up_Irr!AT10+up_Irr!BS10)),IF(AND(up_Irr!U10&lt;&gt;".",up_Irr!AT10&lt;&gt;".",up_Irr!BS10="."),up_dir!AV10/((1/1000)*(up_Irr!U10+up_Irr!AT10)),IF(AND(up_Irr!U10&lt;&gt;".",up_Irr!AT10=".",up_Irr!BS10&lt;&gt;"."),up_dir!AV10/((1/1000)*(up_Irr!U10+up_Irr!BS10)),IF(AND(up_Irr!U10=".",up_Irr!AT10&lt;&gt;".",up_Irr!BS10&lt;&gt;"."),up_dir!AV10/((1/1000)*(up_Irr!AT10+up_Irr!BS10)),IF(AND(up_Irr!U10=".",up_Irr!AT10=".",up_Irr!BS10&lt;&gt;"."),up_dir!AV10/((1/1000)*(up_Irr!BS10)),IF(AND(up_Irr!U10=".",up_Irr!AT10&lt;&gt;".",up_Irr!BS10="."),up_dir!AV10/((1/1000)*(up_Irr!AT10)),IF(AND(up_Irr!U10&lt;&gt;".",up_Irr!AT10=".",up_Irr!BS10="."),up_dir!AV10/((1/1000)*(up_Irr!U10)),IF(AND(up_Irr!U10=".",up_Irr!AT10=".",up_Irr!BS10="."),up_dir!AV10*1000)))))))),".")</f>
        <v>6.5773651144152131E-4</v>
      </c>
      <c r="BW10" s="70">
        <f>IFERROR(IF(AND(up_Irr!V10&lt;&gt;".",up_Irr!AU10&lt;&gt;".",up_Irr!BT10&lt;&gt;"."),up_dir!AW10/((1/1000)*(up_Irr!V10+up_Irr!AU10+up_Irr!BT10)),IF(AND(up_Irr!V10&lt;&gt;".",up_Irr!AU10&lt;&gt;".",up_Irr!BT10="."),up_dir!AW10/((1/1000)*(up_Irr!V10+up_Irr!AU10)),IF(AND(up_Irr!V10&lt;&gt;".",up_Irr!AU10=".",up_Irr!BT10&lt;&gt;"."),up_dir!AW10/((1/1000)*(up_Irr!V10+up_Irr!BT10)),IF(AND(up_Irr!V10=".",up_Irr!AU10&lt;&gt;".",up_Irr!BT10&lt;&gt;"."),up_dir!AW10/((1/1000)*(up_Irr!AU10+up_Irr!BT10)),IF(AND(up_Irr!V10=".",up_Irr!AU10=".",up_Irr!BT10&lt;&gt;"."),up_dir!AW10/((1/1000)*(up_Irr!BT10)),IF(AND(up_Irr!V10=".",up_Irr!AU10&lt;&gt;".",up_Irr!BT10="."),up_dir!AW10/((1/1000)*(up_Irr!AU10)),IF(AND(up_Irr!V10&lt;&gt;".",up_Irr!AU10=".",up_Irr!BT10="."),up_dir!AW10/((1/1000)*(up_Irr!V10)),IF(AND(up_Irr!V10=".",up_Irr!AU10=".",up_Irr!BT10="."),up_dir!AW10*1000)))))))),".")</f>
        <v>6.5773651144152131E-4</v>
      </c>
      <c r="BX10" s="70">
        <f>IFERROR(IF(AND(up_Irr!W10&lt;&gt;".",up_Irr!AV10&lt;&gt;".",up_Irr!BU10&lt;&gt;"."),up_dir!AX10/((1/1000)*(up_Irr!W10+up_Irr!AV10+up_Irr!BU10)),IF(AND(up_Irr!W10&lt;&gt;".",up_Irr!AV10&lt;&gt;".",up_Irr!BU10="."),up_dir!AX10/((1/1000)*(up_Irr!W10+up_Irr!AV10)),IF(AND(up_Irr!W10&lt;&gt;".",up_Irr!AV10=".",up_Irr!BU10&lt;&gt;"."),up_dir!AX10/((1/1000)*(up_Irr!W10+up_Irr!BU10)),IF(AND(up_Irr!W10=".",up_Irr!AV10&lt;&gt;".",up_Irr!BU10&lt;&gt;"."),up_dir!AX10/((1/1000)*(up_Irr!AV10+up_Irr!BU10)),IF(AND(up_Irr!W10=".",up_Irr!AV10=".",up_Irr!BU10&lt;&gt;"."),up_dir!AX10/((1/1000)*(up_Irr!BU10)),IF(AND(up_Irr!W10=".",up_Irr!AV10&lt;&gt;".",up_Irr!BU10="."),up_dir!AX10/((1/1000)*(up_Irr!AV10)),IF(AND(up_Irr!W10&lt;&gt;".",up_Irr!AV10=".",up_Irr!BU10="."),up_dir!AX10/((1/1000)*(up_Irr!W10)),IF(AND(up_Irr!W10=".",up_Irr!AV10=".",up_Irr!BU10="."),up_dir!AX10*1000)))))))),".")</f>
        <v>6.5773651144152131E-4</v>
      </c>
      <c r="BY10" s="70">
        <f>IFERROR(IF(AND(up_Irr!X10&lt;&gt;".",up_Irr!AW10&lt;&gt;".",up_Irr!BV10&lt;&gt;"."),up_dir!AY10/((1/1000)*(up_Irr!X10+up_Irr!AW10+up_Irr!BV10)),IF(AND(up_Irr!X10&lt;&gt;".",up_Irr!AW10&lt;&gt;".",up_Irr!BV10="."),up_dir!AY10/((1/1000)*(up_Irr!X10+up_Irr!AW10)),IF(AND(up_Irr!X10&lt;&gt;".",up_Irr!AW10=".",up_Irr!BV10&lt;&gt;"."),up_dir!AY10/((1/1000)*(up_Irr!X10+up_Irr!BV10)),IF(AND(up_Irr!X10=".",up_Irr!AW10&lt;&gt;".",up_Irr!BV10&lt;&gt;"."),up_dir!AY10/((1/1000)*(up_Irr!AW10+up_Irr!BV10)),IF(AND(up_Irr!X10=".",up_Irr!AW10=".",up_Irr!BV10&lt;&gt;"."),up_dir!AY10/((1/1000)*(up_Irr!BV10)),IF(AND(up_Irr!X10=".",up_Irr!AW10&lt;&gt;".",up_Irr!BV10="."),up_dir!AY10/((1/1000)*(up_Irr!AW10)),IF(AND(up_Irr!X10&lt;&gt;".",up_Irr!AW10=".",up_Irr!BV10="."),up_dir!AY10/((1/1000)*(up_Irr!X10)),IF(AND(up_Irr!X10=".",up_Irr!AW10=".",up_Irr!BV10="."),up_dir!AY10*1000)))))))),".")</f>
        <v>6.5773651144152131E-4</v>
      </c>
      <c r="BZ10" s="70">
        <f>IFERROR(IF(AND(up_Irr!Y10&lt;&gt;".",up_Irr!AX10&lt;&gt;".",up_Irr!BW10&lt;&gt;"."),up_dir!AZ10/((1/1000)*(up_Irr!Y10+up_Irr!AX10+up_Irr!BW10)),IF(AND(up_Irr!Y10&lt;&gt;".",up_Irr!AX10&lt;&gt;".",up_Irr!BW10="."),up_dir!AZ10/((1/1000)*(up_Irr!Y10+up_Irr!AX10)),IF(AND(up_Irr!Y10&lt;&gt;".",up_Irr!AX10=".",up_Irr!BW10&lt;&gt;"."),up_dir!AZ10/((1/1000)*(up_Irr!Y10+up_Irr!BW10)),IF(AND(up_Irr!Y10=".",up_Irr!AX10&lt;&gt;".",up_Irr!BW10&lt;&gt;"."),up_dir!AZ10/((1/1000)*(up_Irr!AX10+up_Irr!BW10)),IF(AND(up_Irr!Y10=".",up_Irr!AX10=".",up_Irr!BW10&lt;&gt;"."),up_dir!AZ10/((1/1000)*(up_Irr!BW10)),IF(AND(up_Irr!Y10=".",up_Irr!AX10&lt;&gt;".",up_Irr!BW10="."),up_dir!AZ10/((1/1000)*(up_Irr!AX10)),IF(AND(up_Irr!Y10&lt;&gt;".",up_Irr!AX10=".",up_Irr!BW10="."),up_dir!AZ10/((1/1000)*(up_Irr!Y10)),IF(AND(up_Irr!Y10=".",up_Irr!AX10=".",up_Irr!BW10="."),up_dir!AZ10*1000)))))))),".")</f>
        <v>6.5773651144152131E-4</v>
      </c>
      <c r="CA10" s="70">
        <f>IFERROR(IF(AND(up_Irr!Z10&lt;&gt;".",up_Irr!AY10&lt;&gt;".",up_Irr!BX10&lt;&gt;"."),up_dir!BA10/((1/1000)*(up_Irr!Z10+up_Irr!AY10+up_Irr!BX10)),IF(AND(up_Irr!Z10&lt;&gt;".",up_Irr!AY10&lt;&gt;".",up_Irr!BX10="."),up_dir!BA10/((1/1000)*(up_Irr!Z10+up_Irr!AY10)),IF(AND(up_Irr!Z10&lt;&gt;".",up_Irr!AY10=".",up_Irr!BX10&lt;&gt;"."),up_dir!BA10/((1/1000)*(up_Irr!Z10+up_Irr!BX10)),IF(AND(up_Irr!Z10=".",up_Irr!AY10&lt;&gt;".",up_Irr!BX10&lt;&gt;"."),up_dir!BA10/((1/1000)*(up_Irr!AY10+up_Irr!BX10)),IF(AND(up_Irr!Z10=".",up_Irr!AY10=".",up_Irr!BX10&lt;&gt;"."),up_dir!BA10/((1/1000)*(up_Irr!BX10)),IF(AND(up_Irr!Z10=".",up_Irr!AY10&lt;&gt;".",up_Irr!BX10="."),up_dir!BA10/((1/1000)*(up_Irr!AY10)),IF(AND(up_Irr!Z10&lt;&gt;".",up_Irr!AY10=".",up_Irr!BX10="."),up_dir!BA10/((1/1000)*(up_Irr!Z10)),IF(AND(up_Irr!Z10=".",up_Irr!AY10=".",up_Irr!BX10="."),up_dir!BA10*1000)))))))),".")</f>
        <v>6.5773651144152131E-4</v>
      </c>
      <c r="CB10" s="70">
        <f>IFERROR(IF(AND(up_Irr!AA10&lt;&gt;".",up_Irr!AZ10&lt;&gt;".",up_Irr!BY10&lt;&gt;"."),up_dir!BB10/((1/1000)*(up_Irr!AA10+up_Irr!AZ10+up_Irr!BY10)),IF(AND(up_Irr!AA10&lt;&gt;".",up_Irr!AZ10&lt;&gt;".",up_Irr!BY10="."),up_dir!BB10/((1/1000)*(up_Irr!AA10+up_Irr!AZ10)),IF(AND(up_Irr!AA10&lt;&gt;".",up_Irr!AZ10=".",up_Irr!BY10&lt;&gt;"."),up_dir!BB10/((1/1000)*(up_Irr!AA10+up_Irr!BY10)),IF(AND(up_Irr!AA10=".",up_Irr!AZ10&lt;&gt;".",up_Irr!BY10&lt;&gt;"."),up_dir!BB10/((1/1000)*(up_Irr!AZ10+up_Irr!BY10)),IF(AND(up_Irr!AA10=".",up_Irr!AZ10=".",up_Irr!BY10&lt;&gt;"."),up_dir!BB10/((1/1000)*(up_Irr!BY10)),IF(AND(up_Irr!AA10=".",up_Irr!AZ10&lt;&gt;".",up_Irr!BY10="."),up_dir!BB10/((1/1000)*(up_Irr!AZ10)),IF(AND(up_Irr!AA10&lt;&gt;".",up_Irr!AZ10=".",up_Irr!BY10="."),up_dir!BB10/((1/1000)*(up_Irr!AA10)),IF(AND(up_Irr!AA10=".",up_Irr!AZ10=".",up_Irr!BY10="."),up_dir!BB10*1000)))))))),".")</f>
        <v>6.5773651144152131E-4</v>
      </c>
      <c r="CC10" s="87">
        <f t="shared" si="3"/>
        <v>30407.313038114935</v>
      </c>
      <c r="CD10" s="87">
        <f>IFERROR(s_C*s_IFAP_far_adj*s_CF_apple*(1/1000)*(up_Irr!C10+up_Irr!AB10+up_Irr!BA10),".")</f>
        <v>7601.8282595287337</v>
      </c>
      <c r="CE10" s="87">
        <f>IFERROR(s_C*s_IFAS_far_adj*s_CF_asparagus*(1/1000)*(up_Irr!D10+up_Irr!AC10+up_Irr!BB10),".")</f>
        <v>7601.8282595287337</v>
      </c>
      <c r="CF10" s="87">
        <f>IFERROR(s_C*s_IFBT_far_adj*s_CF_beet*(1/1000)*(up_Irr!E10+up_Irr!AD10+up_Irr!BC10),".")</f>
        <v>7601.8282595287337</v>
      </c>
      <c r="CG10" s="87">
        <f>IFERROR(s_C*s_IFBE_far_adj*s_CF_berries*(1/1000)*(up_Irr!F10+up_Irr!AE10+up_Irr!BD10),".")</f>
        <v>7601.8282595287337</v>
      </c>
      <c r="CH10" s="87">
        <f>IFERROR(s_C*s_IFBR_far_adj*s_CF_broccoli*(1/1000)*(up_Irr!G10+up_Irr!AF10+up_Irr!BE10),".")</f>
        <v>7601.8282595287337</v>
      </c>
      <c r="CI10" s="87">
        <f>IFERROR(s_C*s_IFCB_far_adj*s_CF_cabbage*(1/1000)*(up_Irr!H10+up_Irr!AG10+up_Irr!BF10),".")</f>
        <v>7601.8282595287337</v>
      </c>
      <c r="CJ10" s="87">
        <f>IFERROR(s_C*s_IFCR_far_adj*s_CF_carrot*(1/1000)*(up_Irr!I10+up_Irr!AH10+up_Irr!BG10),".")</f>
        <v>7601.8282595287337</v>
      </c>
      <c r="CK10" s="87">
        <f>IFERROR(s_C*s_IFCI_far_adj*s_CF_citrus*(1/1000)*(up_Irr!J10+up_Irr!AI10+up_Irr!BH10),".")</f>
        <v>7601.8282595287337</v>
      </c>
      <c r="CL10" s="87">
        <f>IFERROR(s_C*s_IFCO_far_adj*s_CF_corn*(1/1000)*(up_Irr!K10+up_Irr!AJ10+up_Irr!BI10),".")</f>
        <v>7601.8282595287337</v>
      </c>
      <c r="CM10" s="87">
        <f>IFERROR(s_C*s_IFCU_far_adj*s_CF_cucumber*(1/1000)*(up_Irr!L10+up_Irr!AK10+up_Irr!BJ10),".")</f>
        <v>7601.8282595287337</v>
      </c>
      <c r="CN10" s="87">
        <f>IFERROR(s_C*s_IFLE_far_adj*s_CF_lettuce*(1/1000)*(up_Irr!M10+up_Irr!AL10+up_Irr!BK10),".")</f>
        <v>7601.8282595287337</v>
      </c>
      <c r="CO10" s="87">
        <f>IFERROR(s_C*s_IFLI_far_adj*s_CF_lima_bean*(1/1000)*(up_Irr!N10+up_Irr!AM10+up_Irr!BL10),".")</f>
        <v>7601.8282595287337</v>
      </c>
      <c r="CP10" s="87">
        <f>IFERROR(s_C*s_IFOK_far_adj*s_CF_okra*(1/1000)*(up_Irr!O10+up_Irr!AN10+up_Irr!BM10),".")</f>
        <v>7601.8282595287337</v>
      </c>
      <c r="CQ10" s="87">
        <f>IFERROR(s_C*s_IFON_far_adj*s_CF_onion*(1/1000)*(up_Irr!P10+up_Irr!AO10+up_Irr!BN10),".")</f>
        <v>7601.8282595287337</v>
      </c>
      <c r="CR10" s="87">
        <f>IFERROR(s_C*s_IFPC_far_adj*s_CF_peach*(1/1000)*(up_Irr!Q10+up_Irr!AP10+up_Irr!BO10),".")</f>
        <v>7601.8282595287337</v>
      </c>
      <c r="CS10" s="87">
        <f>IFERROR(s_C*s_IFPR_far_adj*s_CF_pear*(1/1000)*(up_Irr!R10+up_Irr!AQ10+up_Irr!BP10),".")</f>
        <v>7601.8282595287337</v>
      </c>
      <c r="CT10" s="87">
        <f>IFERROR(s_C*s_IFPE_far_adj*s_CF_peas*(1/1000)*(up_Irr!S10+up_Irr!AR10+up_Irr!BQ10),".")</f>
        <v>7601.8282595287337</v>
      </c>
      <c r="CU10" s="87">
        <f>IFERROR(s_C*s_IFPP_far_adj*s_CF_peppers*(1/1000)*(up_Irr!T10+up_Irr!AS10+up_Irr!BR10),".")</f>
        <v>7601.8282595287337</v>
      </c>
      <c r="CV10" s="87">
        <f>IFERROR(s_C*s_IFPT_far_adj*s_CF_potato*(1/1000)*(up_Irr!U10+up_Irr!AT10+up_Irr!BS10),".")</f>
        <v>7601.8282595287337</v>
      </c>
      <c r="CW10" s="87">
        <f>IFERROR(s_C*s_IFPU_far_adj*s_CF_pumpkin*(1/1000)*(up_Irr!V10+up_Irr!AU10+up_Irr!BT10),".")</f>
        <v>7601.8282595287337</v>
      </c>
      <c r="CX10" s="87">
        <f>IFERROR(s_C*s_IFSN_far_adj*s_CF_snap_bean*(1/1000)*(up_Irr!W10+up_Irr!AV10+up_Irr!BU10),".")</f>
        <v>7601.8282595287337</v>
      </c>
      <c r="CY10" s="87">
        <f>IFERROR(s_C*s_IFST_far_adj*s_CF_strawberry*(1/1000)*(up_Irr!X10+up_Irr!AW10+up_Irr!BV10),".")</f>
        <v>7601.8282595287337</v>
      </c>
      <c r="CZ10" s="87">
        <f>IFERROR(s_C*s_IFTO_far_adj*s_CF_tomato*(1/1000)*(up_Irr!Y10+up_Irr!AX10+up_Irr!BW10),".")</f>
        <v>7601.8282595287337</v>
      </c>
      <c r="DA10" s="87">
        <f>IFERROR(s_C*s_IFRI_far_adj*s_CF_rice*(1/1000)*(up_Irr!Z10+up_Irr!AY10+up_Irr!BX10),".")</f>
        <v>7601.8282595287337</v>
      </c>
      <c r="DB10" s="87">
        <f>IFERROR(s_C*s_IFCG_far_adj*s_CF_cereal*(1/1000)*(up_Irr!AA10+up_Irr!AZ10+up_Irr!BY10),".")</f>
        <v>7601.8282595287337</v>
      </c>
    </row>
    <row r="11" spans="1:106" ht="15" customHeight="1" x14ac:dyDescent="0.25">
      <c r="A11" s="86" t="s">
        <v>9</v>
      </c>
      <c r="B11" s="84" t="s">
        <v>1057</v>
      </c>
      <c r="C11" s="15">
        <f t="shared" si="0"/>
        <v>1.6443412786038033E-4</v>
      </c>
      <c r="D11" s="70">
        <f>IFERROR(IF(AND(up_Irr!C11&lt;&gt;".",up_Irr!AB11&lt;&gt;".",up_Irr!BA11&lt;&gt;"."),up_dir!D11/((1/1000)*(up_Irr!C11+up_Irr!AB11+up_Irr!BA11)),IF(AND(up_Irr!C11&lt;&gt;".",up_Irr!AB11&lt;&gt;".",up_Irr!BA11="."),up_dir!D11/((1/1000)*(up_Irr!C11+up_Irr!AB11)),IF(AND(up_Irr!C11&lt;&gt;".",up_Irr!AB11=".",up_Irr!BA11&lt;&gt;"."),up_dir!D11/((1/1000)*(up_Irr!C11+up_Irr!BA11)),IF(AND(up_Irr!C11=".",up_Irr!AB11&lt;&gt;".",up_Irr!BA11&lt;&gt;"."),up_dir!D11/((1/1000)*(up_Irr!AB11+up_Irr!BA11)),IF(AND(up_Irr!C11=".",up_Irr!AB11=".",up_Irr!BA11&lt;&gt;"."),up_dir!D11/((1/1000)*(up_Irr!BA11)),IF(AND(up_Irr!C11=".",up_Irr!AB11&lt;&gt;".",up_Irr!BA11="."),up_dir!D11/((1/1000)*(up_Irr!AB11)),IF(AND(up_Irr!C11&lt;&gt;".",up_Irr!AB11=".",up_Irr!BA11="."),up_dir!D11/((1/1000)*(up_Irr!C11)),IF(AND(up_Irr!C11=".",up_Irr!AB11=".",up_Irr!BA11="."),up_dir!D11*1000)))))))),".")</f>
        <v>6.5773651144152131E-4</v>
      </c>
      <c r="E11" s="70">
        <f>IFERROR(IF(AND(up_Irr!D11&lt;&gt;".",up_Irr!AC11&lt;&gt;".",up_Irr!BB11&lt;&gt;"."),up_dir!E11/((1/1000)*(up_Irr!D11+up_Irr!AC11+up_Irr!BB11)),IF(AND(up_Irr!D11&lt;&gt;".",up_Irr!AC11&lt;&gt;".",up_Irr!BB11="."),up_dir!E11/((1/1000)*(up_Irr!D11+up_Irr!AC11)),IF(AND(up_Irr!D11&lt;&gt;".",up_Irr!AC11=".",up_Irr!BB11&lt;&gt;"."),up_dir!E11/((1/1000)*(up_Irr!D11+up_Irr!BB11)),IF(AND(up_Irr!D11=".",up_Irr!AC11&lt;&gt;".",up_Irr!BB11&lt;&gt;"."),up_dir!E11/((1/1000)*(up_Irr!AC11+up_Irr!BB11)),IF(AND(up_Irr!D11=".",up_Irr!AC11=".",up_Irr!BB11&lt;&gt;"."),up_dir!E11/((1/1000)*(up_Irr!BB11)),IF(AND(up_Irr!D11=".",up_Irr!AC11&lt;&gt;".",up_Irr!BB11="."),up_dir!E11/((1/1000)*(up_Irr!AC11)),IF(AND(up_Irr!D11&lt;&gt;".",up_Irr!AC11=".",up_Irr!BB11="."),up_dir!E11/((1/1000)*(up_Irr!D11)),IF(AND(up_Irr!D11=".",up_Irr!AC11=".",up_Irr!BB11="."),up_dir!E11*1000)))))))),".")</f>
        <v>6.5773651144152131E-4</v>
      </c>
      <c r="F11" s="70">
        <f>IFERROR(IF(AND(up_Irr!E11&lt;&gt;".",up_Irr!AD11&lt;&gt;".",up_Irr!BC11&lt;&gt;"."),up_dir!F11/((1/1000)*(up_Irr!E11+up_Irr!AD11+up_Irr!BC11)),IF(AND(up_Irr!E11&lt;&gt;".",up_Irr!AD11&lt;&gt;".",up_Irr!BC11="."),up_dir!F11/((1/1000)*(up_Irr!E11+up_Irr!AD11)),IF(AND(up_Irr!E11&lt;&gt;".",up_Irr!AD11=".",up_Irr!BC11&lt;&gt;"."),up_dir!F11/((1/1000)*(up_Irr!E11+up_Irr!BC11)),IF(AND(up_Irr!E11=".",up_Irr!AD11&lt;&gt;".",up_Irr!BC11&lt;&gt;"."),up_dir!F11/((1/1000)*(up_Irr!AD11+up_Irr!BC11)),IF(AND(up_Irr!E11=".",up_Irr!AD11=".",up_Irr!BC11&lt;&gt;"."),up_dir!F11/((1/1000)*(up_Irr!BC11)),IF(AND(up_Irr!E11=".",up_Irr!AD11&lt;&gt;".",up_Irr!BC11="."),up_dir!F11/((1/1000)*(up_Irr!AD11)),IF(AND(up_Irr!E11&lt;&gt;".",up_Irr!AD11=".",up_Irr!BC11="."),up_dir!F11/((1/1000)*(up_Irr!E11)),IF(AND(up_Irr!E11=".",up_Irr!AD11=".",up_Irr!BC11="."),up_dir!F11*1000)))))))),".")</f>
        <v>6.5773651144152131E-4</v>
      </c>
      <c r="G11" s="70">
        <f>IFERROR(IF(AND(up_Irr!F11&lt;&gt;".",up_Irr!AE11&lt;&gt;".",up_Irr!BD11&lt;&gt;"."),up_dir!G11/((1/1000)*(up_Irr!F11+up_Irr!AE11+up_Irr!BD11)),IF(AND(up_Irr!F11&lt;&gt;".",up_Irr!AE11&lt;&gt;".",up_Irr!BD11="."),up_dir!G11/((1/1000)*(up_Irr!F11+up_Irr!AE11)),IF(AND(up_Irr!F11&lt;&gt;".",up_Irr!AE11=".",up_Irr!BD11&lt;&gt;"."),up_dir!G11/((1/1000)*(up_Irr!F11+up_Irr!BD11)),IF(AND(up_Irr!F11=".",up_Irr!AE11&lt;&gt;".",up_Irr!BD11&lt;&gt;"."),up_dir!G11/((1/1000)*(up_Irr!AE11+up_Irr!BD11)),IF(AND(up_Irr!F11=".",up_Irr!AE11=".",up_Irr!BD11&lt;&gt;"."),up_dir!G11/((1/1000)*(up_Irr!BD11)),IF(AND(up_Irr!F11=".",up_Irr!AE11&lt;&gt;".",up_Irr!BD11="."),up_dir!G11/((1/1000)*(up_Irr!AE11)),IF(AND(up_Irr!F11&lt;&gt;".",up_Irr!AE11=".",up_Irr!BD11="."),up_dir!G11/((1/1000)*(up_Irr!F11)),IF(AND(up_Irr!F11=".",up_Irr!AE11=".",up_Irr!BD11="."),up_dir!G11*1000)))))))),".")</f>
        <v>6.5773651144152131E-4</v>
      </c>
      <c r="H11" s="70">
        <f>IFERROR(IF(AND(up_Irr!G11&lt;&gt;".",up_Irr!AF11&lt;&gt;".",up_Irr!BE11&lt;&gt;"."),up_dir!H11/((1/1000)*(up_Irr!G11+up_Irr!AF11+up_Irr!BE11)),IF(AND(up_Irr!G11&lt;&gt;".",up_Irr!AF11&lt;&gt;".",up_Irr!BE11="."),up_dir!H11/((1/1000)*(up_Irr!G11+up_Irr!AF11)),IF(AND(up_Irr!G11&lt;&gt;".",up_Irr!AF11=".",up_Irr!BE11&lt;&gt;"."),up_dir!H11/((1/1000)*(up_Irr!G11+up_Irr!BE11)),IF(AND(up_Irr!G11=".",up_Irr!AF11&lt;&gt;".",up_Irr!BE11&lt;&gt;"."),up_dir!H11/((1/1000)*(up_Irr!AF11+up_Irr!BE11)),IF(AND(up_Irr!G11=".",up_Irr!AF11=".",up_Irr!BE11&lt;&gt;"."),up_dir!H11/((1/1000)*(up_Irr!BE11)),IF(AND(up_Irr!G11=".",up_Irr!AF11&lt;&gt;".",up_Irr!BE11="."),up_dir!H11/((1/1000)*(up_Irr!AF11)),IF(AND(up_Irr!G11&lt;&gt;".",up_Irr!AF11=".",up_Irr!BE11="."),up_dir!H11/((1/1000)*(up_Irr!G11)),IF(AND(up_Irr!G11=".",up_Irr!AF11=".",up_Irr!BE11="."),up_dir!H11*1000)))))))),".")</f>
        <v>6.5773651144152131E-4</v>
      </c>
      <c r="I11" s="70">
        <f>IFERROR(IF(AND(up_Irr!H11&lt;&gt;".",up_Irr!AG11&lt;&gt;".",up_Irr!BF11&lt;&gt;"."),up_dir!I11/((1/1000)*(up_Irr!H11+up_Irr!AG11+up_Irr!BF11)),IF(AND(up_Irr!H11&lt;&gt;".",up_Irr!AG11&lt;&gt;".",up_Irr!BF11="."),up_dir!I11/((1/1000)*(up_Irr!H11+up_Irr!AG11)),IF(AND(up_Irr!H11&lt;&gt;".",up_Irr!AG11=".",up_Irr!BF11&lt;&gt;"."),up_dir!I11/((1/1000)*(up_Irr!H11+up_Irr!BF11)),IF(AND(up_Irr!H11=".",up_Irr!AG11&lt;&gt;".",up_Irr!BF11&lt;&gt;"."),up_dir!I11/((1/1000)*(up_Irr!AG11+up_Irr!BF11)),IF(AND(up_Irr!H11=".",up_Irr!AG11=".",up_Irr!BF11&lt;&gt;"."),up_dir!I11/((1/1000)*(up_Irr!BF11)),IF(AND(up_Irr!H11=".",up_Irr!AG11&lt;&gt;".",up_Irr!BF11="."),up_dir!I11/((1/1000)*(up_Irr!AG11)),IF(AND(up_Irr!H11&lt;&gt;".",up_Irr!AG11=".",up_Irr!BF11="."),up_dir!I11/((1/1000)*(up_Irr!H11)),IF(AND(up_Irr!H11=".",up_Irr!AG11=".",up_Irr!BF11="."),up_dir!I11*1000)))))))),".")</f>
        <v>6.5773651144152131E-4</v>
      </c>
      <c r="J11" s="70">
        <f>IFERROR(IF(AND(up_Irr!I11&lt;&gt;".",up_Irr!AH11&lt;&gt;".",up_Irr!BG11&lt;&gt;"."),up_dir!J11/((1/1000)*(up_Irr!I11+up_Irr!AH11+up_Irr!BG11)),IF(AND(up_Irr!I11&lt;&gt;".",up_Irr!AH11&lt;&gt;".",up_Irr!BG11="."),up_dir!J11/((1/1000)*(up_Irr!I11+up_Irr!AH11)),IF(AND(up_Irr!I11&lt;&gt;".",up_Irr!AH11=".",up_Irr!BG11&lt;&gt;"."),up_dir!J11/((1/1000)*(up_Irr!I11+up_Irr!BG11)),IF(AND(up_Irr!I11=".",up_Irr!AH11&lt;&gt;".",up_Irr!BG11&lt;&gt;"."),up_dir!J11/((1/1000)*(up_Irr!AH11+up_Irr!BG11)),IF(AND(up_Irr!I11=".",up_Irr!AH11=".",up_Irr!BG11&lt;&gt;"."),up_dir!J11/((1/1000)*(up_Irr!BG11)),IF(AND(up_Irr!I11=".",up_Irr!AH11&lt;&gt;".",up_Irr!BG11="."),up_dir!J11/((1/1000)*(up_Irr!AH11)),IF(AND(up_Irr!I11&lt;&gt;".",up_Irr!AH11=".",up_Irr!BG11="."),up_dir!J11/((1/1000)*(up_Irr!I11)),IF(AND(up_Irr!I11=".",up_Irr!AH11=".",up_Irr!BG11="."),up_dir!J11*1000)))))))),".")</f>
        <v>6.5773651144152131E-4</v>
      </c>
      <c r="K11" s="70">
        <f>IFERROR(IF(AND(up_Irr!J11&lt;&gt;".",up_Irr!AI11&lt;&gt;".",up_Irr!BH11&lt;&gt;"."),up_dir!K11/((1/1000)*(up_Irr!J11+up_Irr!AI11+up_Irr!BH11)),IF(AND(up_Irr!J11&lt;&gt;".",up_Irr!AI11&lt;&gt;".",up_Irr!BH11="."),up_dir!K11/((1/1000)*(up_Irr!J11+up_Irr!AI11)),IF(AND(up_Irr!J11&lt;&gt;".",up_Irr!AI11=".",up_Irr!BH11&lt;&gt;"."),up_dir!K11/((1/1000)*(up_Irr!J11+up_Irr!BH11)),IF(AND(up_Irr!J11=".",up_Irr!AI11&lt;&gt;".",up_Irr!BH11&lt;&gt;"."),up_dir!K11/((1/1000)*(up_Irr!AI11+up_Irr!BH11)),IF(AND(up_Irr!J11=".",up_Irr!AI11=".",up_Irr!BH11&lt;&gt;"."),up_dir!K11/((1/1000)*(up_Irr!BH11)),IF(AND(up_Irr!J11=".",up_Irr!AI11&lt;&gt;".",up_Irr!BH11="."),up_dir!K11/((1/1000)*(up_Irr!AI11)),IF(AND(up_Irr!J11&lt;&gt;".",up_Irr!AI11=".",up_Irr!BH11="."),up_dir!K11/((1/1000)*(up_Irr!J11)),IF(AND(up_Irr!J11=".",up_Irr!AI11=".",up_Irr!BH11="."),up_dir!K11*1000)))))))),".")</f>
        <v>6.5773651144152131E-4</v>
      </c>
      <c r="L11" s="70">
        <f>IFERROR(IF(AND(up_Irr!K11&lt;&gt;".",up_Irr!AJ11&lt;&gt;".",up_Irr!BI11&lt;&gt;"."),up_dir!L11/((1/1000)*(up_Irr!K11+up_Irr!AJ11+up_Irr!BI11)),IF(AND(up_Irr!K11&lt;&gt;".",up_Irr!AJ11&lt;&gt;".",up_Irr!BI11="."),up_dir!L11/((1/1000)*(up_Irr!K11+up_Irr!AJ11)),IF(AND(up_Irr!K11&lt;&gt;".",up_Irr!AJ11=".",up_Irr!BI11&lt;&gt;"."),up_dir!L11/((1/1000)*(up_Irr!K11+up_Irr!BI11)),IF(AND(up_Irr!K11=".",up_Irr!AJ11&lt;&gt;".",up_Irr!BI11&lt;&gt;"."),up_dir!L11/((1/1000)*(up_Irr!AJ11+up_Irr!BI11)),IF(AND(up_Irr!K11=".",up_Irr!AJ11=".",up_Irr!BI11&lt;&gt;"."),up_dir!L11/((1/1000)*(up_Irr!BI11)),IF(AND(up_Irr!K11=".",up_Irr!AJ11&lt;&gt;".",up_Irr!BI11="."),up_dir!L11/((1/1000)*(up_Irr!AJ11)),IF(AND(up_Irr!K11&lt;&gt;".",up_Irr!AJ11=".",up_Irr!BI11="."),up_dir!L11/((1/1000)*(up_Irr!K11)),IF(AND(up_Irr!K11=".",up_Irr!AJ11=".",up_Irr!BI11="."),up_dir!L11*1000)))))))),".")</f>
        <v>6.5773651144152131E-4</v>
      </c>
      <c r="M11" s="70">
        <f>IFERROR(IF(AND(up_Irr!L11&lt;&gt;".",up_Irr!AK11&lt;&gt;".",up_Irr!BJ11&lt;&gt;"."),up_dir!M11/((1/1000)*(up_Irr!L11+up_Irr!AK11+up_Irr!BJ11)),IF(AND(up_Irr!L11&lt;&gt;".",up_Irr!AK11&lt;&gt;".",up_Irr!BJ11="."),up_dir!M11/((1/1000)*(up_Irr!L11+up_Irr!AK11)),IF(AND(up_Irr!L11&lt;&gt;".",up_Irr!AK11=".",up_Irr!BJ11&lt;&gt;"."),up_dir!M11/((1/1000)*(up_Irr!L11+up_Irr!BJ11)),IF(AND(up_Irr!L11=".",up_Irr!AK11&lt;&gt;".",up_Irr!BJ11&lt;&gt;"."),up_dir!M11/((1/1000)*(up_Irr!AK11+up_Irr!BJ11)),IF(AND(up_Irr!L11=".",up_Irr!AK11=".",up_Irr!BJ11&lt;&gt;"."),up_dir!M11/((1/1000)*(up_Irr!BJ11)),IF(AND(up_Irr!L11=".",up_Irr!AK11&lt;&gt;".",up_Irr!BJ11="."),up_dir!M11/((1/1000)*(up_Irr!AK11)),IF(AND(up_Irr!L11&lt;&gt;".",up_Irr!AK11=".",up_Irr!BJ11="."),up_dir!M11/((1/1000)*(up_Irr!L11)),IF(AND(up_Irr!L11=".",up_Irr!AK11=".",up_Irr!BJ11="."),up_dir!M11*1000)))))))),".")</f>
        <v>6.5773651144152131E-4</v>
      </c>
      <c r="N11" s="70">
        <f>IFERROR(IF(AND(up_Irr!M11&lt;&gt;".",up_Irr!AL11&lt;&gt;".",up_Irr!BK11&lt;&gt;"."),up_dir!N11/((1/1000)*(up_Irr!M11+up_Irr!AL11+up_Irr!BK11)),IF(AND(up_Irr!M11&lt;&gt;".",up_Irr!AL11&lt;&gt;".",up_Irr!BK11="."),up_dir!N11/((1/1000)*(up_Irr!M11+up_Irr!AL11)),IF(AND(up_Irr!M11&lt;&gt;".",up_Irr!AL11=".",up_Irr!BK11&lt;&gt;"."),up_dir!N11/((1/1000)*(up_Irr!M11+up_Irr!BK11)),IF(AND(up_Irr!M11=".",up_Irr!AL11&lt;&gt;".",up_Irr!BK11&lt;&gt;"."),up_dir!N11/((1/1000)*(up_Irr!AL11+up_Irr!BK11)),IF(AND(up_Irr!M11=".",up_Irr!AL11=".",up_Irr!BK11&lt;&gt;"."),up_dir!N11/((1/1000)*(up_Irr!BK11)),IF(AND(up_Irr!M11=".",up_Irr!AL11&lt;&gt;".",up_Irr!BK11="."),up_dir!N11/((1/1000)*(up_Irr!AL11)),IF(AND(up_Irr!M11&lt;&gt;".",up_Irr!AL11=".",up_Irr!BK11="."),up_dir!N11/((1/1000)*(up_Irr!M11)),IF(AND(up_Irr!M11=".",up_Irr!AL11=".",up_Irr!BK11="."),up_dir!N11*1000)))))))),".")</f>
        <v>6.5773651144152131E-4</v>
      </c>
      <c r="O11" s="70">
        <f>IFERROR(IF(AND(up_Irr!N11&lt;&gt;".",up_Irr!AM11&lt;&gt;".",up_Irr!BL11&lt;&gt;"."),up_dir!O11/((1/1000)*(up_Irr!N11+up_Irr!AM11+up_Irr!BL11)),IF(AND(up_Irr!N11&lt;&gt;".",up_Irr!AM11&lt;&gt;".",up_Irr!BL11="."),up_dir!O11/((1/1000)*(up_Irr!N11+up_Irr!AM11)),IF(AND(up_Irr!N11&lt;&gt;".",up_Irr!AM11=".",up_Irr!BL11&lt;&gt;"."),up_dir!O11/((1/1000)*(up_Irr!N11+up_Irr!BL11)),IF(AND(up_Irr!N11=".",up_Irr!AM11&lt;&gt;".",up_Irr!BL11&lt;&gt;"."),up_dir!O11/((1/1000)*(up_Irr!AM11+up_Irr!BL11)),IF(AND(up_Irr!N11=".",up_Irr!AM11=".",up_Irr!BL11&lt;&gt;"."),up_dir!O11/((1/1000)*(up_Irr!BL11)),IF(AND(up_Irr!N11=".",up_Irr!AM11&lt;&gt;".",up_Irr!BL11="."),up_dir!O11/((1/1000)*(up_Irr!AM11)),IF(AND(up_Irr!N11&lt;&gt;".",up_Irr!AM11=".",up_Irr!BL11="."),up_dir!O11/((1/1000)*(up_Irr!N11)),IF(AND(up_Irr!N11=".",up_Irr!AM11=".",up_Irr!BL11="."),up_dir!O11*1000)))))))),".")</f>
        <v>6.5773651144152131E-4</v>
      </c>
      <c r="P11" s="70">
        <f>IFERROR(IF(AND(up_Irr!O11&lt;&gt;".",up_Irr!AN11&lt;&gt;".",up_Irr!BM11&lt;&gt;"."),up_dir!P11/((1/1000)*(up_Irr!O11+up_Irr!AN11+up_Irr!BM11)),IF(AND(up_Irr!O11&lt;&gt;".",up_Irr!AN11&lt;&gt;".",up_Irr!BM11="."),up_dir!P11/((1/1000)*(up_Irr!O11+up_Irr!AN11)),IF(AND(up_Irr!O11&lt;&gt;".",up_Irr!AN11=".",up_Irr!BM11&lt;&gt;"."),up_dir!P11/((1/1000)*(up_Irr!O11+up_Irr!BM11)),IF(AND(up_Irr!O11=".",up_Irr!AN11&lt;&gt;".",up_Irr!BM11&lt;&gt;"."),up_dir!P11/((1/1000)*(up_Irr!AN11+up_Irr!BM11)),IF(AND(up_Irr!O11=".",up_Irr!AN11=".",up_Irr!BM11&lt;&gt;"."),up_dir!P11/((1/1000)*(up_Irr!BM11)),IF(AND(up_Irr!O11=".",up_Irr!AN11&lt;&gt;".",up_Irr!BM11="."),up_dir!P11/((1/1000)*(up_Irr!AN11)),IF(AND(up_Irr!O11&lt;&gt;".",up_Irr!AN11=".",up_Irr!BM11="."),up_dir!P11/((1/1000)*(up_Irr!O11)),IF(AND(up_Irr!O11=".",up_Irr!AN11=".",up_Irr!BM11="."),up_dir!P11*1000)))))))),".")</f>
        <v>6.5773651144152131E-4</v>
      </c>
      <c r="Q11" s="70">
        <f>IFERROR(IF(AND(up_Irr!P11&lt;&gt;".",up_Irr!AO11&lt;&gt;".",up_Irr!BN11&lt;&gt;"."),up_dir!Q11/((1/1000)*(up_Irr!P11+up_Irr!AO11+up_Irr!BN11)),IF(AND(up_Irr!P11&lt;&gt;".",up_Irr!AO11&lt;&gt;".",up_Irr!BN11="."),up_dir!Q11/((1/1000)*(up_Irr!P11+up_Irr!AO11)),IF(AND(up_Irr!P11&lt;&gt;".",up_Irr!AO11=".",up_Irr!BN11&lt;&gt;"."),up_dir!Q11/((1/1000)*(up_Irr!P11+up_Irr!BN11)),IF(AND(up_Irr!P11=".",up_Irr!AO11&lt;&gt;".",up_Irr!BN11&lt;&gt;"."),up_dir!Q11/((1/1000)*(up_Irr!AO11+up_Irr!BN11)),IF(AND(up_Irr!P11=".",up_Irr!AO11=".",up_Irr!BN11&lt;&gt;"."),up_dir!Q11/((1/1000)*(up_Irr!BN11)),IF(AND(up_Irr!P11=".",up_Irr!AO11&lt;&gt;".",up_Irr!BN11="."),up_dir!Q11/((1/1000)*(up_Irr!AO11)),IF(AND(up_Irr!P11&lt;&gt;".",up_Irr!AO11=".",up_Irr!BN11="."),up_dir!Q11/((1/1000)*(up_Irr!P11)),IF(AND(up_Irr!P11=".",up_Irr!AO11=".",up_Irr!BN11="."),up_dir!Q11*1000)))))))),".")</f>
        <v>6.5773651144152131E-4</v>
      </c>
      <c r="R11" s="70">
        <f>IFERROR(IF(AND(up_Irr!Q11&lt;&gt;".",up_Irr!AP11&lt;&gt;".",up_Irr!BO11&lt;&gt;"."),up_dir!R11/((1/1000)*(up_Irr!Q11+up_Irr!AP11+up_Irr!BO11)),IF(AND(up_Irr!Q11&lt;&gt;".",up_Irr!AP11&lt;&gt;".",up_Irr!BO11="."),up_dir!R11/((1/1000)*(up_Irr!Q11+up_Irr!AP11)),IF(AND(up_Irr!Q11&lt;&gt;".",up_Irr!AP11=".",up_Irr!BO11&lt;&gt;"."),up_dir!R11/((1/1000)*(up_Irr!Q11+up_Irr!BO11)),IF(AND(up_Irr!Q11=".",up_Irr!AP11&lt;&gt;".",up_Irr!BO11&lt;&gt;"."),up_dir!R11/((1/1000)*(up_Irr!AP11+up_Irr!BO11)),IF(AND(up_Irr!Q11=".",up_Irr!AP11=".",up_Irr!BO11&lt;&gt;"."),up_dir!R11/((1/1000)*(up_Irr!BO11)),IF(AND(up_Irr!Q11=".",up_Irr!AP11&lt;&gt;".",up_Irr!BO11="."),up_dir!R11/((1/1000)*(up_Irr!AP11)),IF(AND(up_Irr!Q11&lt;&gt;".",up_Irr!AP11=".",up_Irr!BO11="."),up_dir!R11/((1/1000)*(up_Irr!Q11)),IF(AND(up_Irr!Q11=".",up_Irr!AP11=".",up_Irr!BO11="."),up_dir!R11*1000)))))))),".")</f>
        <v>6.5773651144152131E-4</v>
      </c>
      <c r="S11" s="70">
        <f>IFERROR(IF(AND(up_Irr!R11&lt;&gt;".",up_Irr!AQ11&lt;&gt;".",up_Irr!BP11&lt;&gt;"."),up_dir!S11/((1/1000)*(up_Irr!R11+up_Irr!AQ11+up_Irr!BP11)),IF(AND(up_Irr!R11&lt;&gt;".",up_Irr!AQ11&lt;&gt;".",up_Irr!BP11="."),up_dir!S11/((1/1000)*(up_Irr!R11+up_Irr!AQ11)),IF(AND(up_Irr!R11&lt;&gt;".",up_Irr!AQ11=".",up_Irr!BP11&lt;&gt;"."),up_dir!S11/((1/1000)*(up_Irr!R11+up_Irr!BP11)),IF(AND(up_Irr!R11=".",up_Irr!AQ11&lt;&gt;".",up_Irr!BP11&lt;&gt;"."),up_dir!S11/((1/1000)*(up_Irr!AQ11+up_Irr!BP11)),IF(AND(up_Irr!R11=".",up_Irr!AQ11=".",up_Irr!BP11&lt;&gt;"."),up_dir!S11/((1/1000)*(up_Irr!BP11)),IF(AND(up_Irr!R11=".",up_Irr!AQ11&lt;&gt;".",up_Irr!BP11="."),up_dir!S11/((1/1000)*(up_Irr!AQ11)),IF(AND(up_Irr!R11&lt;&gt;".",up_Irr!AQ11=".",up_Irr!BP11="."),up_dir!S11/((1/1000)*(up_Irr!R11)),IF(AND(up_Irr!R11=".",up_Irr!AQ11=".",up_Irr!BP11="."),up_dir!S11*1000)))))))),".")</f>
        <v>6.5773651144152131E-4</v>
      </c>
      <c r="T11" s="70">
        <f>IFERROR(IF(AND(up_Irr!S11&lt;&gt;".",up_Irr!AR11&lt;&gt;".",up_Irr!BQ11&lt;&gt;"."),up_dir!T11/((1/1000)*(up_Irr!S11+up_Irr!AR11+up_Irr!BQ11)),IF(AND(up_Irr!S11&lt;&gt;".",up_Irr!AR11&lt;&gt;".",up_Irr!BQ11="."),up_dir!T11/((1/1000)*(up_Irr!S11+up_Irr!AR11)),IF(AND(up_Irr!S11&lt;&gt;".",up_Irr!AR11=".",up_Irr!BQ11&lt;&gt;"."),up_dir!T11/((1/1000)*(up_Irr!S11+up_Irr!BQ11)),IF(AND(up_Irr!S11=".",up_Irr!AR11&lt;&gt;".",up_Irr!BQ11&lt;&gt;"."),up_dir!T11/((1/1000)*(up_Irr!AR11+up_Irr!BQ11)),IF(AND(up_Irr!S11=".",up_Irr!AR11=".",up_Irr!BQ11&lt;&gt;"."),up_dir!T11/((1/1000)*(up_Irr!BQ11)),IF(AND(up_Irr!S11=".",up_Irr!AR11&lt;&gt;".",up_Irr!BQ11="."),up_dir!T11/((1/1000)*(up_Irr!AR11)),IF(AND(up_Irr!S11&lt;&gt;".",up_Irr!AR11=".",up_Irr!BQ11="."),up_dir!T11/((1/1000)*(up_Irr!S11)),IF(AND(up_Irr!S11=".",up_Irr!AR11=".",up_Irr!BQ11="."),up_dir!T11*1000)))))))),".")</f>
        <v>6.5773651144152131E-4</v>
      </c>
      <c r="U11" s="70">
        <f>IFERROR(IF(AND(up_Irr!T11&lt;&gt;".",up_Irr!AS11&lt;&gt;".",up_Irr!BR11&lt;&gt;"."),up_dir!U11/((1/1000)*(up_Irr!T11+up_Irr!AS11+up_Irr!BR11)),IF(AND(up_Irr!T11&lt;&gt;".",up_Irr!AS11&lt;&gt;".",up_Irr!BR11="."),up_dir!U11/((1/1000)*(up_Irr!T11+up_Irr!AS11)),IF(AND(up_Irr!T11&lt;&gt;".",up_Irr!AS11=".",up_Irr!BR11&lt;&gt;"."),up_dir!U11/((1/1000)*(up_Irr!T11+up_Irr!BR11)),IF(AND(up_Irr!T11=".",up_Irr!AS11&lt;&gt;".",up_Irr!BR11&lt;&gt;"."),up_dir!U11/((1/1000)*(up_Irr!AS11+up_Irr!BR11)),IF(AND(up_Irr!T11=".",up_Irr!AS11=".",up_Irr!BR11&lt;&gt;"."),up_dir!U11/((1/1000)*(up_Irr!BR11)),IF(AND(up_Irr!T11=".",up_Irr!AS11&lt;&gt;".",up_Irr!BR11="."),up_dir!U11/((1/1000)*(up_Irr!AS11)),IF(AND(up_Irr!T11&lt;&gt;".",up_Irr!AS11=".",up_Irr!BR11="."),up_dir!U11/((1/1000)*(up_Irr!T11)),IF(AND(up_Irr!T11=".",up_Irr!AS11=".",up_Irr!BR11="."),up_dir!U11*1000)))))))),".")</f>
        <v>6.5773651144152131E-4</v>
      </c>
      <c r="V11" s="70">
        <f>IFERROR(IF(AND(up_Irr!U11&lt;&gt;".",up_Irr!AT11&lt;&gt;".",up_Irr!BS11&lt;&gt;"."),up_dir!V11/((1/1000)*(up_Irr!U11+up_Irr!AT11+up_Irr!BS11)),IF(AND(up_Irr!U11&lt;&gt;".",up_Irr!AT11&lt;&gt;".",up_Irr!BS11="."),up_dir!V11/((1/1000)*(up_Irr!U11+up_Irr!AT11)),IF(AND(up_Irr!U11&lt;&gt;".",up_Irr!AT11=".",up_Irr!BS11&lt;&gt;"."),up_dir!V11/((1/1000)*(up_Irr!U11+up_Irr!BS11)),IF(AND(up_Irr!U11=".",up_Irr!AT11&lt;&gt;".",up_Irr!BS11&lt;&gt;"."),up_dir!V11/((1/1000)*(up_Irr!AT11+up_Irr!BS11)),IF(AND(up_Irr!U11=".",up_Irr!AT11=".",up_Irr!BS11&lt;&gt;"."),up_dir!V11/((1/1000)*(up_Irr!BS11)),IF(AND(up_Irr!U11=".",up_Irr!AT11&lt;&gt;".",up_Irr!BS11="."),up_dir!V11/((1/1000)*(up_Irr!AT11)),IF(AND(up_Irr!U11&lt;&gt;".",up_Irr!AT11=".",up_Irr!BS11="."),up_dir!V11/((1/1000)*(up_Irr!U11)),IF(AND(up_Irr!U11=".",up_Irr!AT11=".",up_Irr!BS11="."),up_dir!V11*1000)))))))),".")</f>
        <v>6.5773651144152131E-4</v>
      </c>
      <c r="W11" s="70">
        <f>IFERROR(IF(AND(up_Irr!V11&lt;&gt;".",up_Irr!AU11&lt;&gt;".",up_Irr!BT11&lt;&gt;"."),up_dir!W11/((1/1000)*(up_Irr!V11+up_Irr!AU11+up_Irr!BT11)),IF(AND(up_Irr!V11&lt;&gt;".",up_Irr!AU11&lt;&gt;".",up_Irr!BT11="."),up_dir!W11/((1/1000)*(up_Irr!V11+up_Irr!AU11)),IF(AND(up_Irr!V11&lt;&gt;".",up_Irr!AU11=".",up_Irr!BT11&lt;&gt;"."),up_dir!W11/((1/1000)*(up_Irr!V11+up_Irr!BT11)),IF(AND(up_Irr!V11=".",up_Irr!AU11&lt;&gt;".",up_Irr!BT11&lt;&gt;"."),up_dir!W11/((1/1000)*(up_Irr!AU11+up_Irr!BT11)),IF(AND(up_Irr!V11=".",up_Irr!AU11=".",up_Irr!BT11&lt;&gt;"."),up_dir!W11/((1/1000)*(up_Irr!BT11)),IF(AND(up_Irr!V11=".",up_Irr!AU11&lt;&gt;".",up_Irr!BT11="."),up_dir!W11/((1/1000)*(up_Irr!AU11)),IF(AND(up_Irr!V11&lt;&gt;".",up_Irr!AU11=".",up_Irr!BT11="."),up_dir!W11/((1/1000)*(up_Irr!V11)),IF(AND(up_Irr!V11=".",up_Irr!AU11=".",up_Irr!BT11="."),up_dir!W11*1000)))))))),".")</f>
        <v>6.5773651144152131E-4</v>
      </c>
      <c r="X11" s="70">
        <f>IFERROR(IF(AND(up_Irr!W11&lt;&gt;".",up_Irr!AV11&lt;&gt;".",up_Irr!BU11&lt;&gt;"."),up_dir!X11/((1/1000)*(up_Irr!W11+up_Irr!AV11+up_Irr!BU11)),IF(AND(up_Irr!W11&lt;&gt;".",up_Irr!AV11&lt;&gt;".",up_Irr!BU11="."),up_dir!X11/((1/1000)*(up_Irr!W11+up_Irr!AV11)),IF(AND(up_Irr!W11&lt;&gt;".",up_Irr!AV11=".",up_Irr!BU11&lt;&gt;"."),up_dir!X11/((1/1000)*(up_Irr!W11+up_Irr!BU11)),IF(AND(up_Irr!W11=".",up_Irr!AV11&lt;&gt;".",up_Irr!BU11&lt;&gt;"."),up_dir!X11/((1/1000)*(up_Irr!AV11+up_Irr!BU11)),IF(AND(up_Irr!W11=".",up_Irr!AV11=".",up_Irr!BU11&lt;&gt;"."),up_dir!X11/((1/1000)*(up_Irr!BU11)),IF(AND(up_Irr!W11=".",up_Irr!AV11&lt;&gt;".",up_Irr!BU11="."),up_dir!X11/((1/1000)*(up_Irr!AV11)),IF(AND(up_Irr!W11&lt;&gt;".",up_Irr!AV11=".",up_Irr!BU11="."),up_dir!X11/((1/1000)*(up_Irr!W11)),IF(AND(up_Irr!W11=".",up_Irr!AV11=".",up_Irr!BU11="."),up_dir!X11*1000)))))))),".")</f>
        <v>6.5773651144152131E-4</v>
      </c>
      <c r="Y11" s="70">
        <f>IFERROR(IF(AND(up_Irr!X11&lt;&gt;".",up_Irr!AW11&lt;&gt;".",up_Irr!BV11&lt;&gt;"."),up_dir!Y11/((1/1000)*(up_Irr!X11+up_Irr!AW11+up_Irr!BV11)),IF(AND(up_Irr!X11&lt;&gt;".",up_Irr!AW11&lt;&gt;".",up_Irr!BV11="."),up_dir!Y11/((1/1000)*(up_Irr!X11+up_Irr!AW11)),IF(AND(up_Irr!X11&lt;&gt;".",up_Irr!AW11=".",up_Irr!BV11&lt;&gt;"."),up_dir!Y11/((1/1000)*(up_Irr!X11+up_Irr!BV11)),IF(AND(up_Irr!X11=".",up_Irr!AW11&lt;&gt;".",up_Irr!BV11&lt;&gt;"."),up_dir!Y11/((1/1000)*(up_Irr!AW11+up_Irr!BV11)),IF(AND(up_Irr!X11=".",up_Irr!AW11=".",up_Irr!BV11&lt;&gt;"."),up_dir!Y11/((1/1000)*(up_Irr!BV11)),IF(AND(up_Irr!X11=".",up_Irr!AW11&lt;&gt;".",up_Irr!BV11="."),up_dir!Y11/((1/1000)*(up_Irr!AW11)),IF(AND(up_Irr!X11&lt;&gt;".",up_Irr!AW11=".",up_Irr!BV11="."),up_dir!Y11/((1/1000)*(up_Irr!X11)),IF(AND(up_Irr!X11=".",up_Irr!AW11=".",up_Irr!BV11="."),up_dir!Y11*1000)))))))),".")</f>
        <v>6.5773651144152131E-4</v>
      </c>
      <c r="Z11" s="70">
        <f>IFERROR(IF(AND(up_Irr!Y11&lt;&gt;".",up_Irr!AX11&lt;&gt;".",up_Irr!BW11&lt;&gt;"."),up_dir!Z11/((1/1000)*(up_Irr!Y11+up_Irr!AX11+up_Irr!BW11)),IF(AND(up_Irr!Y11&lt;&gt;".",up_Irr!AX11&lt;&gt;".",up_Irr!BW11="."),up_dir!Z11/((1/1000)*(up_Irr!Y11+up_Irr!AX11)),IF(AND(up_Irr!Y11&lt;&gt;".",up_Irr!AX11=".",up_Irr!BW11&lt;&gt;"."),up_dir!Z11/((1/1000)*(up_Irr!Y11+up_Irr!BW11)),IF(AND(up_Irr!Y11=".",up_Irr!AX11&lt;&gt;".",up_Irr!BW11&lt;&gt;"."),up_dir!Z11/((1/1000)*(up_Irr!AX11+up_Irr!BW11)),IF(AND(up_Irr!Y11=".",up_Irr!AX11=".",up_Irr!BW11&lt;&gt;"."),up_dir!Z11/((1/1000)*(up_Irr!BW11)),IF(AND(up_Irr!Y11=".",up_Irr!AX11&lt;&gt;".",up_Irr!BW11="."),up_dir!Z11/((1/1000)*(up_Irr!AX11)),IF(AND(up_Irr!Y11&lt;&gt;".",up_Irr!AX11=".",up_Irr!BW11="."),up_dir!Z11/((1/1000)*(up_Irr!Y11)),IF(AND(up_Irr!Y11=".",up_Irr!AX11=".",up_Irr!BW11="."),up_dir!Z11*1000)))))))),".")</f>
        <v>6.5773651144152131E-4</v>
      </c>
      <c r="AA11" s="70">
        <f>IFERROR(IF(AND(up_Irr!Z11&lt;&gt;".",up_Irr!AY11&lt;&gt;".",up_Irr!BX11&lt;&gt;"."),up_dir!AA11/((1/1000)*(up_Irr!Z11+up_Irr!AY11+up_Irr!BX11)),IF(AND(up_Irr!Z11&lt;&gt;".",up_Irr!AY11&lt;&gt;".",up_Irr!BX11="."),up_dir!AA11/((1/1000)*(up_Irr!Z11+up_Irr!AY11)),IF(AND(up_Irr!Z11&lt;&gt;".",up_Irr!AY11=".",up_Irr!BX11&lt;&gt;"."),up_dir!AA11/((1/1000)*(up_Irr!Z11+up_Irr!BX11)),IF(AND(up_Irr!Z11=".",up_Irr!AY11&lt;&gt;".",up_Irr!BX11&lt;&gt;"."),up_dir!AA11/((1/1000)*(up_Irr!AY11+up_Irr!BX11)),IF(AND(up_Irr!Z11=".",up_Irr!AY11=".",up_Irr!BX11&lt;&gt;"."),up_dir!AA11/((1/1000)*(up_Irr!BX11)),IF(AND(up_Irr!Z11=".",up_Irr!AY11&lt;&gt;".",up_Irr!BX11="."),up_dir!AA11/((1/1000)*(up_Irr!AY11)),IF(AND(up_Irr!Z11&lt;&gt;".",up_Irr!AY11=".",up_Irr!BX11="."),up_dir!AA11/((1/1000)*(up_Irr!Z11)),IF(AND(up_Irr!Z11=".",up_Irr!AY11=".",up_Irr!BX11="."),up_dir!AA11*1000)))))))),".")</f>
        <v>6.5773651144152131E-4</v>
      </c>
      <c r="AB11" s="70">
        <f>IFERROR(IF(AND(up_Irr!AA11&lt;&gt;".",up_Irr!AZ11&lt;&gt;".",up_Irr!BY11&lt;&gt;"."),up_dir!AB11/((1/1000)*(up_Irr!AA11+up_Irr!AZ11+up_Irr!BY11)),IF(AND(up_Irr!AA11&lt;&gt;".",up_Irr!AZ11&lt;&gt;".",up_Irr!BY11="."),up_dir!AB11/((1/1000)*(up_Irr!AA11+up_Irr!AZ11)),IF(AND(up_Irr!AA11&lt;&gt;".",up_Irr!AZ11=".",up_Irr!BY11&lt;&gt;"."),up_dir!AB11/((1/1000)*(up_Irr!AA11+up_Irr!BY11)),IF(AND(up_Irr!AA11=".",up_Irr!AZ11&lt;&gt;".",up_Irr!BY11&lt;&gt;"."),up_dir!AB11/((1/1000)*(up_Irr!AZ11+up_Irr!BY11)),IF(AND(up_Irr!AA11=".",up_Irr!AZ11=".",up_Irr!BY11&lt;&gt;"."),up_dir!AB11/((1/1000)*(up_Irr!BY11)),IF(AND(up_Irr!AA11=".",up_Irr!AZ11&lt;&gt;".",up_Irr!BY11="."),up_dir!AB11/((1/1000)*(up_Irr!AZ11)),IF(AND(up_Irr!AA11&lt;&gt;".",up_Irr!AZ11=".",up_Irr!BY11="."),up_dir!AB11/((1/1000)*(up_Irr!AA11)),IF(AND(up_Irr!AA11=".",up_Irr!AZ11=".",up_Irr!BY11="."),up_dir!AB11*1000)))))))),".")</f>
        <v>6.5773651144152131E-4</v>
      </c>
      <c r="AC11" s="87">
        <f t="shared" si="1"/>
        <v>30407.313038114935</v>
      </c>
      <c r="AD11" s="87">
        <f>IFERROR(s_C*s_IFAP_res_adj*s_CF_apple*0.001*(up_Irr!C11+up_Irr!AB11+up_Irr!BA11),".")</f>
        <v>7601.8282595287337</v>
      </c>
      <c r="AE11" s="87">
        <f>IFERROR(s_C*s_IFAS_res_adj*s_CF_asparagus*0.001*(up_Irr!D11+up_Irr!AC11+up_Irr!BB11),".")</f>
        <v>7601.8282595287337</v>
      </c>
      <c r="AF11" s="87">
        <f>IFERROR(s_C*s_IFBT_res_adj*s_CF_beet*0.001*(up_Irr!E11+up_Irr!AD11+up_Irr!BC11),".")</f>
        <v>7601.8282595287337</v>
      </c>
      <c r="AG11" s="87">
        <f>IFERROR(s_C*s_IFBE_res_adj*s_CF_berries*0.001*(up_Irr!F11+up_Irr!AE11+up_Irr!BD11),".")</f>
        <v>7601.8282595287337</v>
      </c>
      <c r="AH11" s="87">
        <f>IFERROR(s_C*s_IFBR_res_adj*s_CF_broccoli*0.001*(up_Irr!G11+up_Irr!AF11+up_Irr!BE11),".")</f>
        <v>7601.8282595287337</v>
      </c>
      <c r="AI11" s="87">
        <f>IFERROR(s_C*s_IFCB_res_adj*s_CF_cabbage*0.001*(up_Irr!H11+up_Irr!AG11+up_Irr!BF11),".")</f>
        <v>7601.8282595287337</v>
      </c>
      <c r="AJ11" s="87">
        <f>IFERROR(s_C*s_IFCR_res_adj*s_CF_carrot*0.001*(up_Irr!I11+up_Irr!AH11+up_Irr!BG11),".")</f>
        <v>7601.8282595287337</v>
      </c>
      <c r="AK11" s="87">
        <f>IFERROR(s_C*s_IFCI_res_adj*s_CF_citrus*0.001*(up_Irr!J11+up_Irr!AI11+up_Irr!BH11),".")</f>
        <v>7601.8282595287337</v>
      </c>
      <c r="AL11" s="87">
        <f>IFERROR(s_C*s_IFCO_res_adj*s_CF_corn*0.001*(up_Irr!K11+up_Irr!AJ11+up_Irr!BI11),".")</f>
        <v>7601.8282595287337</v>
      </c>
      <c r="AM11" s="87">
        <f>IFERROR(s_C*s_IFCU_res_adj*s_CF_cucumber*0.001*(up_Irr!L11+up_Irr!AK11+up_Irr!BJ11),".")</f>
        <v>7601.8282595287337</v>
      </c>
      <c r="AN11" s="87">
        <f>IFERROR(s_C*s_IFLE_res_adj*s_CF_lettuce*0.001*(up_Irr!M11+up_Irr!AL11+up_Irr!BK11),".")</f>
        <v>7601.8282595287337</v>
      </c>
      <c r="AO11" s="87">
        <f>IFERROR(s_C*s_IFLI_res_adj*s_CF_lima_bean*0.001*(up_Irr!N11+up_Irr!AM11+up_Irr!BL11),".")</f>
        <v>7601.8282595287337</v>
      </c>
      <c r="AP11" s="87">
        <f>IFERROR(s_C*s_IFOK_res_adj*s_CF_okra*0.001*(up_Irr!O11+up_Irr!AN11+up_Irr!BM11),".")</f>
        <v>7601.8282595287337</v>
      </c>
      <c r="AQ11" s="87">
        <f>IFERROR(s_C*s_IFON_res_adj*s_CF_onion*0.001*(up_Irr!P11+up_Irr!AO11+up_Irr!BN11),".")</f>
        <v>7601.8282595287337</v>
      </c>
      <c r="AR11" s="87">
        <f>IFERROR(s_C*s_IFPC_res_adj*s_CF_peach*0.001*(up_Irr!Q11+up_Irr!AP11+up_Irr!BO11),".")</f>
        <v>7601.8282595287337</v>
      </c>
      <c r="AS11" s="87">
        <f>IFERROR(s_C*s_IFPR_res_adj*s_CF_pear*0.001*(up_Irr!R11+up_Irr!AQ11+up_Irr!BP11),".")</f>
        <v>7601.8282595287337</v>
      </c>
      <c r="AT11" s="87">
        <f>IFERROR(s_C*s_IFPE_res_adj*s_CF_peas*0.001*(up_Irr!S11+up_Irr!AR11+up_Irr!BQ11),".")</f>
        <v>7601.8282595287337</v>
      </c>
      <c r="AU11" s="87">
        <f>IFERROR(s_C*s_IFPP_res_adj*s_CF_peppers*0.001*(up_Irr!T11+up_Irr!AS11+up_Irr!BR11),".")</f>
        <v>7601.8282595287337</v>
      </c>
      <c r="AV11" s="87">
        <f>IFERROR(s_C*s_IFPT_res_adj*s_CF_potato*0.001*(up_Irr!U11+up_Irr!AT11+up_Irr!BS11),".")</f>
        <v>7601.8282595287337</v>
      </c>
      <c r="AW11" s="87">
        <f>IFERROR(s_C*s_IFPU_res_adj*s_CF_pumpkin*0.001*(up_Irr!V11+up_Irr!AU11+up_Irr!BT11),".")</f>
        <v>7601.8282595287337</v>
      </c>
      <c r="AX11" s="87">
        <f>IFERROR(s_C*s_IFSN_res_adj*s_CF_snap_bean*0.001*(up_Irr!W11+up_Irr!AV11+up_Irr!BU11),".")</f>
        <v>7601.8282595287337</v>
      </c>
      <c r="AY11" s="87">
        <f>IFERROR(s_C*s_IFST_res_adj*s_CF_strawberry*0.001*(up_Irr!X11+up_Irr!AW11+up_Irr!BV11),".")</f>
        <v>7601.8282595287337</v>
      </c>
      <c r="AZ11" s="87">
        <f>IFERROR(s_C*s_IFTO_res_adj*s_CF_tomato*0.001*(up_Irr!Y11+up_Irr!AX11+up_Irr!BW11),".")</f>
        <v>7601.8282595287337</v>
      </c>
      <c r="BA11" s="87">
        <f>IFERROR(s_C*s_IFRI_res_adj*s_CF_rice*0.001*(up_Irr!Z11+up_Irr!AY11+up_Irr!BX11),".")</f>
        <v>7601.8282595287337</v>
      </c>
      <c r="BB11" s="87">
        <f>IFERROR(s_C*s_IFCG_res_adj*s_CF_cereal*0.001*(up_Irr!AA11+up_Irr!AZ11+up_Irr!BY11),".")</f>
        <v>7601.8282595287337</v>
      </c>
      <c r="BC11" s="70">
        <f t="shared" si="2"/>
        <v>1.6443412786038033E-4</v>
      </c>
      <c r="BD11" s="70">
        <f>IFERROR(IF(AND(up_Irr!C11&lt;&gt;".",up_Irr!AB11&lt;&gt;".",up_Irr!BA11&lt;&gt;"."),up_dir!AD11/((1/1000)*(up_Irr!C11+up_Irr!AB11+up_Irr!BA11)),IF(AND(up_Irr!C11&lt;&gt;".",up_Irr!AB11&lt;&gt;".",up_Irr!BA11="."),up_dir!AD11/((1/1000)*(up_Irr!C11+up_Irr!AB11)),IF(AND(up_Irr!C11&lt;&gt;".",up_Irr!AB11=".",up_Irr!BA11&lt;&gt;"."),up_dir!AD11/((1/1000)*(up_Irr!C11+up_Irr!BA11)),IF(AND(up_Irr!C11=".",up_Irr!AB11&lt;&gt;".",up_Irr!BA11&lt;&gt;"."),up_dir!AD11/((1/1000)*(up_Irr!AB11+up_Irr!BA11)),IF(AND(up_Irr!C11=".",up_Irr!AB11=".",up_Irr!BA11&lt;&gt;"."),up_dir!AD11/((1/1000)*(up_Irr!BA11)),IF(AND(up_Irr!C11=".",up_Irr!AB11&lt;&gt;".",up_Irr!BA11="."),up_dir!AD11/((1/1000)*(up_Irr!AB11)),IF(AND(up_Irr!C11&lt;&gt;".",up_Irr!AB11=".",up_Irr!BA11="."),up_dir!AD11/((1/1000)*(up_Irr!C11)),IF(AND(up_Irr!C11=".",up_Irr!AB11=".",up_Irr!BA11="."),up_dir!AD11*1000)))))))),".")</f>
        <v>6.5773651144152131E-4</v>
      </c>
      <c r="BE11" s="70">
        <f>IFERROR(IF(AND(up_Irr!D11&lt;&gt;".",up_Irr!AC11&lt;&gt;".",up_Irr!BB11&lt;&gt;"."),up_dir!AE11/((1/1000)*(up_Irr!D11+up_Irr!AC11+up_Irr!BB11)),IF(AND(up_Irr!D11&lt;&gt;".",up_Irr!AC11&lt;&gt;".",up_Irr!BB11="."),up_dir!AE11/((1/1000)*(up_Irr!D11+up_Irr!AC11)),IF(AND(up_Irr!D11&lt;&gt;".",up_Irr!AC11=".",up_Irr!BB11&lt;&gt;"."),up_dir!AE11/((1/1000)*(up_Irr!D11+up_Irr!BB11)),IF(AND(up_Irr!D11=".",up_Irr!AC11&lt;&gt;".",up_Irr!BB11&lt;&gt;"."),up_dir!AE11/((1/1000)*(up_Irr!AC11+up_Irr!BB11)),IF(AND(up_Irr!D11=".",up_Irr!AC11=".",up_Irr!BB11&lt;&gt;"."),up_dir!AE11/((1/1000)*(up_Irr!BB11)),IF(AND(up_Irr!D11=".",up_Irr!AC11&lt;&gt;".",up_Irr!BB11="."),up_dir!AE11/((1/1000)*(up_Irr!AC11)),IF(AND(up_Irr!D11&lt;&gt;".",up_Irr!AC11=".",up_Irr!BB11="."),up_dir!AE11/((1/1000)*(up_Irr!D11)),IF(AND(up_Irr!D11=".",up_Irr!AC11=".",up_Irr!BB11="."),up_dir!AE11*1000)))))))),".")</f>
        <v>6.5773651144152131E-4</v>
      </c>
      <c r="BF11" s="70">
        <f>IFERROR(IF(AND(up_Irr!E11&lt;&gt;".",up_Irr!AD11&lt;&gt;".",up_Irr!BC11&lt;&gt;"."),up_dir!AF11/((1/1000)*(up_Irr!E11+up_Irr!AD11+up_Irr!BC11)),IF(AND(up_Irr!E11&lt;&gt;".",up_Irr!AD11&lt;&gt;".",up_Irr!BC11="."),up_dir!AF11/((1/1000)*(up_Irr!E11+up_Irr!AD11)),IF(AND(up_Irr!E11&lt;&gt;".",up_Irr!AD11=".",up_Irr!BC11&lt;&gt;"."),up_dir!AF11/((1/1000)*(up_Irr!E11+up_Irr!BC11)),IF(AND(up_Irr!E11=".",up_Irr!AD11&lt;&gt;".",up_Irr!BC11&lt;&gt;"."),up_dir!AF11/((1/1000)*(up_Irr!AD11+up_Irr!BC11)),IF(AND(up_Irr!E11=".",up_Irr!AD11=".",up_Irr!BC11&lt;&gt;"."),up_dir!AF11/((1/1000)*(up_Irr!BC11)),IF(AND(up_Irr!E11=".",up_Irr!AD11&lt;&gt;".",up_Irr!BC11="."),up_dir!AF11/((1/1000)*(up_Irr!AD11)),IF(AND(up_Irr!E11&lt;&gt;".",up_Irr!AD11=".",up_Irr!BC11="."),up_dir!AF11/((1/1000)*(up_Irr!E11)),IF(AND(up_Irr!E11=".",up_Irr!AD11=".",up_Irr!BC11="."),up_dir!AF11*1000)))))))),".")</f>
        <v>6.5773651144152131E-4</v>
      </c>
      <c r="BG11" s="70">
        <f>IFERROR(IF(AND(up_Irr!F11&lt;&gt;".",up_Irr!AE11&lt;&gt;".",up_Irr!BD11&lt;&gt;"."),up_dir!AG11/((1/1000)*(up_Irr!F11+up_Irr!AE11+up_Irr!BD11)),IF(AND(up_Irr!F11&lt;&gt;".",up_Irr!AE11&lt;&gt;".",up_Irr!BD11="."),up_dir!AG11/((1/1000)*(up_Irr!F11+up_Irr!AE11)),IF(AND(up_Irr!F11&lt;&gt;".",up_Irr!AE11=".",up_Irr!BD11&lt;&gt;"."),up_dir!AG11/((1/1000)*(up_Irr!F11+up_Irr!BD11)),IF(AND(up_Irr!F11=".",up_Irr!AE11&lt;&gt;".",up_Irr!BD11&lt;&gt;"."),up_dir!AG11/((1/1000)*(up_Irr!AE11+up_Irr!BD11)),IF(AND(up_Irr!F11=".",up_Irr!AE11=".",up_Irr!BD11&lt;&gt;"."),up_dir!AG11/((1/1000)*(up_Irr!BD11)),IF(AND(up_Irr!F11=".",up_Irr!AE11&lt;&gt;".",up_Irr!BD11="."),up_dir!AG11/((1/1000)*(up_Irr!AE11)),IF(AND(up_Irr!F11&lt;&gt;".",up_Irr!AE11=".",up_Irr!BD11="."),up_dir!AG11/((1/1000)*(up_Irr!F11)),IF(AND(up_Irr!F11=".",up_Irr!AE11=".",up_Irr!BD11="."),up_dir!AG11*1000)))))))),".")</f>
        <v>6.5773651144152131E-4</v>
      </c>
      <c r="BH11" s="70">
        <f>IFERROR(IF(AND(up_Irr!G11&lt;&gt;".",up_Irr!AF11&lt;&gt;".",up_Irr!BE11&lt;&gt;"."),up_dir!AH11/((1/1000)*(up_Irr!G11+up_Irr!AF11+up_Irr!BE11)),IF(AND(up_Irr!G11&lt;&gt;".",up_Irr!AF11&lt;&gt;".",up_Irr!BE11="."),up_dir!AH11/((1/1000)*(up_Irr!G11+up_Irr!AF11)),IF(AND(up_Irr!G11&lt;&gt;".",up_Irr!AF11=".",up_Irr!BE11&lt;&gt;"."),up_dir!AH11/((1/1000)*(up_Irr!G11+up_Irr!BE11)),IF(AND(up_Irr!G11=".",up_Irr!AF11&lt;&gt;".",up_Irr!BE11&lt;&gt;"."),up_dir!AH11/((1/1000)*(up_Irr!AF11+up_Irr!BE11)),IF(AND(up_Irr!G11=".",up_Irr!AF11=".",up_Irr!BE11&lt;&gt;"."),up_dir!AH11/((1/1000)*(up_Irr!BE11)),IF(AND(up_Irr!G11=".",up_Irr!AF11&lt;&gt;".",up_Irr!BE11="."),up_dir!AH11/((1/1000)*(up_Irr!AF11)),IF(AND(up_Irr!G11&lt;&gt;".",up_Irr!AF11=".",up_Irr!BE11="."),up_dir!AH11/((1/1000)*(up_Irr!G11)),IF(AND(up_Irr!G11=".",up_Irr!AF11=".",up_Irr!BE11="."),up_dir!AH11*1000)))))))),".")</f>
        <v>6.5773651144152131E-4</v>
      </c>
      <c r="BI11" s="70">
        <f>IFERROR(IF(AND(up_Irr!H11&lt;&gt;".",up_Irr!AG11&lt;&gt;".",up_Irr!BF11&lt;&gt;"."),up_dir!AI11/((1/1000)*(up_Irr!H11+up_Irr!AG11+up_Irr!BF11)),IF(AND(up_Irr!H11&lt;&gt;".",up_Irr!AG11&lt;&gt;".",up_Irr!BF11="."),up_dir!AI11/((1/1000)*(up_Irr!H11+up_Irr!AG11)),IF(AND(up_Irr!H11&lt;&gt;".",up_Irr!AG11=".",up_Irr!BF11&lt;&gt;"."),up_dir!AI11/((1/1000)*(up_Irr!H11+up_Irr!BF11)),IF(AND(up_Irr!H11=".",up_Irr!AG11&lt;&gt;".",up_Irr!BF11&lt;&gt;"."),up_dir!AI11/((1/1000)*(up_Irr!AG11+up_Irr!BF11)),IF(AND(up_Irr!H11=".",up_Irr!AG11=".",up_Irr!BF11&lt;&gt;"."),up_dir!AI11/((1/1000)*(up_Irr!BF11)),IF(AND(up_Irr!H11=".",up_Irr!AG11&lt;&gt;".",up_Irr!BF11="."),up_dir!AI11/((1/1000)*(up_Irr!AG11)),IF(AND(up_Irr!H11&lt;&gt;".",up_Irr!AG11=".",up_Irr!BF11="."),up_dir!AI11/((1/1000)*(up_Irr!H11)),IF(AND(up_Irr!H11=".",up_Irr!AG11=".",up_Irr!BF11="."),up_dir!AI11*1000)))))))),".")</f>
        <v>6.5773651144152131E-4</v>
      </c>
      <c r="BJ11" s="70">
        <f>IFERROR(IF(AND(up_Irr!I11&lt;&gt;".",up_Irr!AH11&lt;&gt;".",up_Irr!BG11&lt;&gt;"."),up_dir!AJ11/((1/1000)*(up_Irr!I11+up_Irr!AH11+up_Irr!BG11)),IF(AND(up_Irr!I11&lt;&gt;".",up_Irr!AH11&lt;&gt;".",up_Irr!BG11="."),up_dir!AJ11/((1/1000)*(up_Irr!I11+up_Irr!AH11)),IF(AND(up_Irr!I11&lt;&gt;".",up_Irr!AH11=".",up_Irr!BG11&lt;&gt;"."),up_dir!AJ11/((1/1000)*(up_Irr!I11+up_Irr!BG11)),IF(AND(up_Irr!I11=".",up_Irr!AH11&lt;&gt;".",up_Irr!BG11&lt;&gt;"."),up_dir!AJ11/((1/1000)*(up_Irr!AH11+up_Irr!BG11)),IF(AND(up_Irr!I11=".",up_Irr!AH11=".",up_Irr!BG11&lt;&gt;"."),up_dir!AJ11/((1/1000)*(up_Irr!BG11)),IF(AND(up_Irr!I11=".",up_Irr!AH11&lt;&gt;".",up_Irr!BG11="."),up_dir!AJ11/((1/1000)*(up_Irr!AH11)),IF(AND(up_Irr!I11&lt;&gt;".",up_Irr!AH11=".",up_Irr!BG11="."),up_dir!AJ11/((1/1000)*(up_Irr!I11)),IF(AND(up_Irr!I11=".",up_Irr!AH11=".",up_Irr!BG11="."),up_dir!AJ11*1000)))))))),".")</f>
        <v>6.5773651144152131E-4</v>
      </c>
      <c r="BK11" s="70">
        <f>IFERROR(IF(AND(up_Irr!J11&lt;&gt;".",up_Irr!AI11&lt;&gt;".",up_Irr!BH11&lt;&gt;"."),up_dir!AK11/((1/1000)*(up_Irr!J11+up_Irr!AI11+up_Irr!BH11)),IF(AND(up_Irr!J11&lt;&gt;".",up_Irr!AI11&lt;&gt;".",up_Irr!BH11="."),up_dir!AK11/((1/1000)*(up_Irr!J11+up_Irr!AI11)),IF(AND(up_Irr!J11&lt;&gt;".",up_Irr!AI11=".",up_Irr!BH11&lt;&gt;"."),up_dir!AK11/((1/1000)*(up_Irr!J11+up_Irr!BH11)),IF(AND(up_Irr!J11=".",up_Irr!AI11&lt;&gt;".",up_Irr!BH11&lt;&gt;"."),up_dir!AK11/((1/1000)*(up_Irr!AI11+up_Irr!BH11)),IF(AND(up_Irr!J11=".",up_Irr!AI11=".",up_Irr!BH11&lt;&gt;"."),up_dir!AK11/((1/1000)*(up_Irr!BH11)),IF(AND(up_Irr!J11=".",up_Irr!AI11&lt;&gt;".",up_Irr!BH11="."),up_dir!AK11/((1/1000)*(up_Irr!AI11)),IF(AND(up_Irr!J11&lt;&gt;".",up_Irr!AI11=".",up_Irr!BH11="."),up_dir!AK11/((1/1000)*(up_Irr!J11)),IF(AND(up_Irr!J11=".",up_Irr!AI11=".",up_Irr!BH11="."),up_dir!AK11*1000)))))))),".")</f>
        <v>6.5773651144152131E-4</v>
      </c>
      <c r="BL11" s="70">
        <f>IFERROR(IF(AND(up_Irr!K11&lt;&gt;".",up_Irr!AJ11&lt;&gt;".",up_Irr!BI11&lt;&gt;"."),up_dir!AL11/((1/1000)*(up_Irr!K11+up_Irr!AJ11+up_Irr!BI11)),IF(AND(up_Irr!K11&lt;&gt;".",up_Irr!AJ11&lt;&gt;".",up_Irr!BI11="."),up_dir!AL11/((1/1000)*(up_Irr!K11+up_Irr!AJ11)),IF(AND(up_Irr!K11&lt;&gt;".",up_Irr!AJ11=".",up_Irr!BI11&lt;&gt;"."),up_dir!AL11/((1/1000)*(up_Irr!K11+up_Irr!BI11)),IF(AND(up_Irr!K11=".",up_Irr!AJ11&lt;&gt;".",up_Irr!BI11&lt;&gt;"."),up_dir!AL11/((1/1000)*(up_Irr!AJ11+up_Irr!BI11)),IF(AND(up_Irr!K11=".",up_Irr!AJ11=".",up_Irr!BI11&lt;&gt;"."),up_dir!AL11/((1/1000)*(up_Irr!BI11)),IF(AND(up_Irr!K11=".",up_Irr!AJ11&lt;&gt;".",up_Irr!BI11="."),up_dir!AL11/((1/1000)*(up_Irr!AJ11)),IF(AND(up_Irr!K11&lt;&gt;".",up_Irr!AJ11=".",up_Irr!BI11="."),up_dir!AL11/((1/1000)*(up_Irr!K11)),IF(AND(up_Irr!K11=".",up_Irr!AJ11=".",up_Irr!BI11="."),up_dir!AL11*1000)))))))),".")</f>
        <v>6.5773651144152131E-4</v>
      </c>
      <c r="BM11" s="70">
        <f>IFERROR(IF(AND(up_Irr!L11&lt;&gt;".",up_Irr!AK11&lt;&gt;".",up_Irr!BJ11&lt;&gt;"."),up_dir!AM11/((1/1000)*(up_Irr!L11+up_Irr!AK11+up_Irr!BJ11)),IF(AND(up_Irr!L11&lt;&gt;".",up_Irr!AK11&lt;&gt;".",up_Irr!BJ11="."),up_dir!AM11/((1/1000)*(up_Irr!L11+up_Irr!AK11)),IF(AND(up_Irr!L11&lt;&gt;".",up_Irr!AK11=".",up_Irr!BJ11&lt;&gt;"."),up_dir!AM11/((1/1000)*(up_Irr!L11+up_Irr!BJ11)),IF(AND(up_Irr!L11=".",up_Irr!AK11&lt;&gt;".",up_Irr!BJ11&lt;&gt;"."),up_dir!AM11/((1/1000)*(up_Irr!AK11+up_Irr!BJ11)),IF(AND(up_Irr!L11=".",up_Irr!AK11=".",up_Irr!BJ11&lt;&gt;"."),up_dir!AM11/((1/1000)*(up_Irr!BJ11)),IF(AND(up_Irr!L11=".",up_Irr!AK11&lt;&gt;".",up_Irr!BJ11="."),up_dir!AM11/((1/1000)*(up_Irr!AK11)),IF(AND(up_Irr!L11&lt;&gt;".",up_Irr!AK11=".",up_Irr!BJ11="."),up_dir!AM11/((1/1000)*(up_Irr!L11)),IF(AND(up_Irr!L11=".",up_Irr!AK11=".",up_Irr!BJ11="."),up_dir!AM11*1000)))))))),".")</f>
        <v>6.5773651144152131E-4</v>
      </c>
      <c r="BN11" s="70">
        <f>IFERROR(IF(AND(up_Irr!M11&lt;&gt;".",up_Irr!AL11&lt;&gt;".",up_Irr!BK11&lt;&gt;"."),up_dir!AN11/((1/1000)*(up_Irr!M11+up_Irr!AL11+up_Irr!BK11)),IF(AND(up_Irr!M11&lt;&gt;".",up_Irr!AL11&lt;&gt;".",up_Irr!BK11="."),up_dir!AN11/((1/1000)*(up_Irr!M11+up_Irr!AL11)),IF(AND(up_Irr!M11&lt;&gt;".",up_Irr!AL11=".",up_Irr!BK11&lt;&gt;"."),up_dir!AN11/((1/1000)*(up_Irr!M11+up_Irr!BK11)),IF(AND(up_Irr!M11=".",up_Irr!AL11&lt;&gt;".",up_Irr!BK11&lt;&gt;"."),up_dir!AN11/((1/1000)*(up_Irr!AL11+up_Irr!BK11)),IF(AND(up_Irr!M11=".",up_Irr!AL11=".",up_Irr!BK11&lt;&gt;"."),up_dir!AN11/((1/1000)*(up_Irr!BK11)),IF(AND(up_Irr!M11=".",up_Irr!AL11&lt;&gt;".",up_Irr!BK11="."),up_dir!AN11/((1/1000)*(up_Irr!AL11)),IF(AND(up_Irr!M11&lt;&gt;".",up_Irr!AL11=".",up_Irr!BK11="."),up_dir!AN11/((1/1000)*(up_Irr!M11)),IF(AND(up_Irr!M11=".",up_Irr!AL11=".",up_Irr!BK11="."),up_dir!AN11*1000)))))))),".")</f>
        <v>6.5773651144152131E-4</v>
      </c>
      <c r="BO11" s="70">
        <f>IFERROR(IF(AND(up_Irr!N11&lt;&gt;".",up_Irr!AM11&lt;&gt;".",up_Irr!BL11&lt;&gt;"."),up_dir!AO11/((1/1000)*(up_Irr!N11+up_Irr!AM11+up_Irr!BL11)),IF(AND(up_Irr!N11&lt;&gt;".",up_Irr!AM11&lt;&gt;".",up_Irr!BL11="."),up_dir!AO11/((1/1000)*(up_Irr!N11+up_Irr!AM11)),IF(AND(up_Irr!N11&lt;&gt;".",up_Irr!AM11=".",up_Irr!BL11&lt;&gt;"."),up_dir!AO11/((1/1000)*(up_Irr!N11+up_Irr!BL11)),IF(AND(up_Irr!N11=".",up_Irr!AM11&lt;&gt;".",up_Irr!BL11&lt;&gt;"."),up_dir!AO11/((1/1000)*(up_Irr!AM11+up_Irr!BL11)),IF(AND(up_Irr!N11=".",up_Irr!AM11=".",up_Irr!BL11&lt;&gt;"."),up_dir!AO11/((1/1000)*(up_Irr!BL11)),IF(AND(up_Irr!N11=".",up_Irr!AM11&lt;&gt;".",up_Irr!BL11="."),up_dir!AO11/((1/1000)*(up_Irr!AM11)),IF(AND(up_Irr!N11&lt;&gt;".",up_Irr!AM11=".",up_Irr!BL11="."),up_dir!AO11/((1/1000)*(up_Irr!N11)),IF(AND(up_Irr!N11=".",up_Irr!AM11=".",up_Irr!BL11="."),up_dir!AO11*1000)))))))),".")</f>
        <v>6.5773651144152131E-4</v>
      </c>
      <c r="BP11" s="70">
        <f>IFERROR(IF(AND(up_Irr!O11&lt;&gt;".",up_Irr!AN11&lt;&gt;".",up_Irr!BM11&lt;&gt;"."),up_dir!AP11/((1/1000)*(up_Irr!O11+up_Irr!AN11+up_Irr!BM11)),IF(AND(up_Irr!O11&lt;&gt;".",up_Irr!AN11&lt;&gt;".",up_Irr!BM11="."),up_dir!AP11/((1/1000)*(up_Irr!O11+up_Irr!AN11)),IF(AND(up_Irr!O11&lt;&gt;".",up_Irr!AN11=".",up_Irr!BM11&lt;&gt;"."),up_dir!AP11/((1/1000)*(up_Irr!O11+up_Irr!BM11)),IF(AND(up_Irr!O11=".",up_Irr!AN11&lt;&gt;".",up_Irr!BM11&lt;&gt;"."),up_dir!AP11/((1/1000)*(up_Irr!AN11+up_Irr!BM11)),IF(AND(up_Irr!O11=".",up_Irr!AN11=".",up_Irr!BM11&lt;&gt;"."),up_dir!AP11/((1/1000)*(up_Irr!BM11)),IF(AND(up_Irr!O11=".",up_Irr!AN11&lt;&gt;".",up_Irr!BM11="."),up_dir!AP11/((1/1000)*(up_Irr!AN11)),IF(AND(up_Irr!O11&lt;&gt;".",up_Irr!AN11=".",up_Irr!BM11="."),up_dir!AP11/((1/1000)*(up_Irr!O11)),IF(AND(up_Irr!O11=".",up_Irr!AN11=".",up_Irr!BM11="."),up_dir!AP11*1000)))))))),".")</f>
        <v>6.5773651144152131E-4</v>
      </c>
      <c r="BQ11" s="70">
        <f>IFERROR(IF(AND(up_Irr!P11&lt;&gt;".",up_Irr!AO11&lt;&gt;".",up_Irr!BN11&lt;&gt;"."),up_dir!AQ11/((1/1000)*(up_Irr!P11+up_Irr!AO11+up_Irr!BN11)),IF(AND(up_Irr!P11&lt;&gt;".",up_Irr!AO11&lt;&gt;".",up_Irr!BN11="."),up_dir!AQ11/((1/1000)*(up_Irr!P11+up_Irr!AO11)),IF(AND(up_Irr!P11&lt;&gt;".",up_Irr!AO11=".",up_Irr!BN11&lt;&gt;"."),up_dir!AQ11/((1/1000)*(up_Irr!P11+up_Irr!BN11)),IF(AND(up_Irr!P11=".",up_Irr!AO11&lt;&gt;".",up_Irr!BN11&lt;&gt;"."),up_dir!AQ11/((1/1000)*(up_Irr!AO11+up_Irr!BN11)),IF(AND(up_Irr!P11=".",up_Irr!AO11=".",up_Irr!BN11&lt;&gt;"."),up_dir!AQ11/((1/1000)*(up_Irr!BN11)),IF(AND(up_Irr!P11=".",up_Irr!AO11&lt;&gt;".",up_Irr!BN11="."),up_dir!AQ11/((1/1000)*(up_Irr!AO11)),IF(AND(up_Irr!P11&lt;&gt;".",up_Irr!AO11=".",up_Irr!BN11="."),up_dir!AQ11/((1/1000)*(up_Irr!P11)),IF(AND(up_Irr!P11=".",up_Irr!AO11=".",up_Irr!BN11="."),up_dir!AQ11*1000)))))))),".")</f>
        <v>6.5773651144152131E-4</v>
      </c>
      <c r="BR11" s="70">
        <f>IFERROR(IF(AND(up_Irr!Q11&lt;&gt;".",up_Irr!AP11&lt;&gt;".",up_Irr!BO11&lt;&gt;"."),up_dir!AR11/((1/1000)*(up_Irr!Q11+up_Irr!AP11+up_Irr!BO11)),IF(AND(up_Irr!Q11&lt;&gt;".",up_Irr!AP11&lt;&gt;".",up_Irr!BO11="."),up_dir!AR11/((1/1000)*(up_Irr!Q11+up_Irr!AP11)),IF(AND(up_Irr!Q11&lt;&gt;".",up_Irr!AP11=".",up_Irr!BO11&lt;&gt;"."),up_dir!AR11/((1/1000)*(up_Irr!Q11+up_Irr!BO11)),IF(AND(up_Irr!Q11=".",up_Irr!AP11&lt;&gt;".",up_Irr!BO11&lt;&gt;"."),up_dir!AR11/((1/1000)*(up_Irr!AP11+up_Irr!BO11)),IF(AND(up_Irr!Q11=".",up_Irr!AP11=".",up_Irr!BO11&lt;&gt;"."),up_dir!AR11/((1/1000)*(up_Irr!BO11)),IF(AND(up_Irr!Q11=".",up_Irr!AP11&lt;&gt;".",up_Irr!BO11="."),up_dir!AR11/((1/1000)*(up_Irr!AP11)),IF(AND(up_Irr!Q11&lt;&gt;".",up_Irr!AP11=".",up_Irr!BO11="."),up_dir!AR11/((1/1000)*(up_Irr!Q11)),IF(AND(up_Irr!Q11=".",up_Irr!AP11=".",up_Irr!BO11="."),up_dir!AR11*1000)))))))),".")</f>
        <v>6.5773651144152131E-4</v>
      </c>
      <c r="BS11" s="70">
        <f>IFERROR(IF(AND(up_Irr!R11&lt;&gt;".",up_Irr!AQ11&lt;&gt;".",up_Irr!BP11&lt;&gt;"."),up_dir!AS11/((1/1000)*(up_Irr!R11+up_Irr!AQ11+up_Irr!BP11)),IF(AND(up_Irr!R11&lt;&gt;".",up_Irr!AQ11&lt;&gt;".",up_Irr!BP11="."),up_dir!AS11/((1/1000)*(up_Irr!R11+up_Irr!AQ11)),IF(AND(up_Irr!R11&lt;&gt;".",up_Irr!AQ11=".",up_Irr!BP11&lt;&gt;"."),up_dir!AS11/((1/1000)*(up_Irr!R11+up_Irr!BP11)),IF(AND(up_Irr!R11=".",up_Irr!AQ11&lt;&gt;".",up_Irr!BP11&lt;&gt;"."),up_dir!AS11/((1/1000)*(up_Irr!AQ11+up_Irr!BP11)),IF(AND(up_Irr!R11=".",up_Irr!AQ11=".",up_Irr!BP11&lt;&gt;"."),up_dir!AS11/((1/1000)*(up_Irr!BP11)),IF(AND(up_Irr!R11=".",up_Irr!AQ11&lt;&gt;".",up_Irr!BP11="."),up_dir!AS11/((1/1000)*(up_Irr!AQ11)),IF(AND(up_Irr!R11&lt;&gt;".",up_Irr!AQ11=".",up_Irr!BP11="."),up_dir!AS11/((1/1000)*(up_Irr!R11)),IF(AND(up_Irr!R11=".",up_Irr!AQ11=".",up_Irr!BP11="."),up_dir!AS11*1000)))))))),".")</f>
        <v>6.5773651144152131E-4</v>
      </c>
      <c r="BT11" s="70">
        <f>IFERROR(IF(AND(up_Irr!S11&lt;&gt;".",up_Irr!AR11&lt;&gt;".",up_Irr!BQ11&lt;&gt;"."),up_dir!AT11/((1/1000)*(up_Irr!S11+up_Irr!AR11+up_Irr!BQ11)),IF(AND(up_Irr!S11&lt;&gt;".",up_Irr!AR11&lt;&gt;".",up_Irr!BQ11="."),up_dir!AT11/((1/1000)*(up_Irr!S11+up_Irr!AR11)),IF(AND(up_Irr!S11&lt;&gt;".",up_Irr!AR11=".",up_Irr!BQ11&lt;&gt;"."),up_dir!AT11/((1/1000)*(up_Irr!S11+up_Irr!BQ11)),IF(AND(up_Irr!S11=".",up_Irr!AR11&lt;&gt;".",up_Irr!BQ11&lt;&gt;"."),up_dir!AT11/((1/1000)*(up_Irr!AR11+up_Irr!BQ11)),IF(AND(up_Irr!S11=".",up_Irr!AR11=".",up_Irr!BQ11&lt;&gt;"."),up_dir!AT11/((1/1000)*(up_Irr!BQ11)),IF(AND(up_Irr!S11=".",up_Irr!AR11&lt;&gt;".",up_Irr!BQ11="."),up_dir!AT11/((1/1000)*(up_Irr!AR11)),IF(AND(up_Irr!S11&lt;&gt;".",up_Irr!AR11=".",up_Irr!BQ11="."),up_dir!AT11/((1/1000)*(up_Irr!S11)),IF(AND(up_Irr!S11=".",up_Irr!AR11=".",up_Irr!BQ11="."),up_dir!AT11*1000)))))))),".")</f>
        <v>6.5773651144152131E-4</v>
      </c>
      <c r="BU11" s="70">
        <f>IFERROR(IF(AND(up_Irr!T11&lt;&gt;".",up_Irr!AS11&lt;&gt;".",up_Irr!BR11&lt;&gt;"."),up_dir!AU11/((1/1000)*(up_Irr!T11+up_Irr!AS11+up_Irr!BR11)),IF(AND(up_Irr!T11&lt;&gt;".",up_Irr!AS11&lt;&gt;".",up_Irr!BR11="."),up_dir!AU11/((1/1000)*(up_Irr!T11+up_Irr!AS11)),IF(AND(up_Irr!T11&lt;&gt;".",up_Irr!AS11=".",up_Irr!BR11&lt;&gt;"."),up_dir!AU11/((1/1000)*(up_Irr!T11+up_Irr!BR11)),IF(AND(up_Irr!T11=".",up_Irr!AS11&lt;&gt;".",up_Irr!BR11&lt;&gt;"."),up_dir!AU11/((1/1000)*(up_Irr!AS11+up_Irr!BR11)),IF(AND(up_Irr!T11=".",up_Irr!AS11=".",up_Irr!BR11&lt;&gt;"."),up_dir!AU11/((1/1000)*(up_Irr!BR11)),IF(AND(up_Irr!T11=".",up_Irr!AS11&lt;&gt;".",up_Irr!BR11="."),up_dir!AU11/((1/1000)*(up_Irr!AS11)),IF(AND(up_Irr!T11&lt;&gt;".",up_Irr!AS11=".",up_Irr!BR11="."),up_dir!AU11/((1/1000)*(up_Irr!T11)),IF(AND(up_Irr!T11=".",up_Irr!AS11=".",up_Irr!BR11="."),up_dir!AU11*1000)))))))),".")</f>
        <v>6.5773651144152131E-4</v>
      </c>
      <c r="BV11" s="70">
        <f>IFERROR(IF(AND(up_Irr!U11&lt;&gt;".",up_Irr!AT11&lt;&gt;".",up_Irr!BS11&lt;&gt;"."),up_dir!AV11/((1/1000)*(up_Irr!U11+up_Irr!AT11+up_Irr!BS11)),IF(AND(up_Irr!U11&lt;&gt;".",up_Irr!AT11&lt;&gt;".",up_Irr!BS11="."),up_dir!AV11/((1/1000)*(up_Irr!U11+up_Irr!AT11)),IF(AND(up_Irr!U11&lt;&gt;".",up_Irr!AT11=".",up_Irr!BS11&lt;&gt;"."),up_dir!AV11/((1/1000)*(up_Irr!U11+up_Irr!BS11)),IF(AND(up_Irr!U11=".",up_Irr!AT11&lt;&gt;".",up_Irr!BS11&lt;&gt;"."),up_dir!AV11/((1/1000)*(up_Irr!AT11+up_Irr!BS11)),IF(AND(up_Irr!U11=".",up_Irr!AT11=".",up_Irr!BS11&lt;&gt;"."),up_dir!AV11/((1/1000)*(up_Irr!BS11)),IF(AND(up_Irr!U11=".",up_Irr!AT11&lt;&gt;".",up_Irr!BS11="."),up_dir!AV11/((1/1000)*(up_Irr!AT11)),IF(AND(up_Irr!U11&lt;&gt;".",up_Irr!AT11=".",up_Irr!BS11="."),up_dir!AV11/((1/1000)*(up_Irr!U11)),IF(AND(up_Irr!U11=".",up_Irr!AT11=".",up_Irr!BS11="."),up_dir!AV11*1000)))))))),".")</f>
        <v>6.5773651144152131E-4</v>
      </c>
      <c r="BW11" s="70">
        <f>IFERROR(IF(AND(up_Irr!V11&lt;&gt;".",up_Irr!AU11&lt;&gt;".",up_Irr!BT11&lt;&gt;"."),up_dir!AW11/((1/1000)*(up_Irr!V11+up_Irr!AU11+up_Irr!BT11)),IF(AND(up_Irr!V11&lt;&gt;".",up_Irr!AU11&lt;&gt;".",up_Irr!BT11="."),up_dir!AW11/((1/1000)*(up_Irr!V11+up_Irr!AU11)),IF(AND(up_Irr!V11&lt;&gt;".",up_Irr!AU11=".",up_Irr!BT11&lt;&gt;"."),up_dir!AW11/((1/1000)*(up_Irr!V11+up_Irr!BT11)),IF(AND(up_Irr!V11=".",up_Irr!AU11&lt;&gt;".",up_Irr!BT11&lt;&gt;"."),up_dir!AW11/((1/1000)*(up_Irr!AU11+up_Irr!BT11)),IF(AND(up_Irr!V11=".",up_Irr!AU11=".",up_Irr!BT11&lt;&gt;"."),up_dir!AW11/((1/1000)*(up_Irr!BT11)),IF(AND(up_Irr!V11=".",up_Irr!AU11&lt;&gt;".",up_Irr!BT11="."),up_dir!AW11/((1/1000)*(up_Irr!AU11)),IF(AND(up_Irr!V11&lt;&gt;".",up_Irr!AU11=".",up_Irr!BT11="."),up_dir!AW11/((1/1000)*(up_Irr!V11)),IF(AND(up_Irr!V11=".",up_Irr!AU11=".",up_Irr!BT11="."),up_dir!AW11*1000)))))))),".")</f>
        <v>6.5773651144152131E-4</v>
      </c>
      <c r="BX11" s="70">
        <f>IFERROR(IF(AND(up_Irr!W11&lt;&gt;".",up_Irr!AV11&lt;&gt;".",up_Irr!BU11&lt;&gt;"."),up_dir!AX11/((1/1000)*(up_Irr!W11+up_Irr!AV11+up_Irr!BU11)),IF(AND(up_Irr!W11&lt;&gt;".",up_Irr!AV11&lt;&gt;".",up_Irr!BU11="."),up_dir!AX11/((1/1000)*(up_Irr!W11+up_Irr!AV11)),IF(AND(up_Irr!W11&lt;&gt;".",up_Irr!AV11=".",up_Irr!BU11&lt;&gt;"."),up_dir!AX11/((1/1000)*(up_Irr!W11+up_Irr!BU11)),IF(AND(up_Irr!W11=".",up_Irr!AV11&lt;&gt;".",up_Irr!BU11&lt;&gt;"."),up_dir!AX11/((1/1000)*(up_Irr!AV11+up_Irr!BU11)),IF(AND(up_Irr!W11=".",up_Irr!AV11=".",up_Irr!BU11&lt;&gt;"."),up_dir!AX11/((1/1000)*(up_Irr!BU11)),IF(AND(up_Irr!W11=".",up_Irr!AV11&lt;&gt;".",up_Irr!BU11="."),up_dir!AX11/((1/1000)*(up_Irr!AV11)),IF(AND(up_Irr!W11&lt;&gt;".",up_Irr!AV11=".",up_Irr!BU11="."),up_dir!AX11/((1/1000)*(up_Irr!W11)),IF(AND(up_Irr!W11=".",up_Irr!AV11=".",up_Irr!BU11="."),up_dir!AX11*1000)))))))),".")</f>
        <v>6.5773651144152131E-4</v>
      </c>
      <c r="BY11" s="70">
        <f>IFERROR(IF(AND(up_Irr!X11&lt;&gt;".",up_Irr!AW11&lt;&gt;".",up_Irr!BV11&lt;&gt;"."),up_dir!AY11/((1/1000)*(up_Irr!X11+up_Irr!AW11+up_Irr!BV11)),IF(AND(up_Irr!X11&lt;&gt;".",up_Irr!AW11&lt;&gt;".",up_Irr!BV11="."),up_dir!AY11/((1/1000)*(up_Irr!X11+up_Irr!AW11)),IF(AND(up_Irr!X11&lt;&gt;".",up_Irr!AW11=".",up_Irr!BV11&lt;&gt;"."),up_dir!AY11/((1/1000)*(up_Irr!X11+up_Irr!BV11)),IF(AND(up_Irr!X11=".",up_Irr!AW11&lt;&gt;".",up_Irr!BV11&lt;&gt;"."),up_dir!AY11/((1/1000)*(up_Irr!AW11+up_Irr!BV11)),IF(AND(up_Irr!X11=".",up_Irr!AW11=".",up_Irr!BV11&lt;&gt;"."),up_dir!AY11/((1/1000)*(up_Irr!BV11)),IF(AND(up_Irr!X11=".",up_Irr!AW11&lt;&gt;".",up_Irr!BV11="."),up_dir!AY11/((1/1000)*(up_Irr!AW11)),IF(AND(up_Irr!X11&lt;&gt;".",up_Irr!AW11=".",up_Irr!BV11="."),up_dir!AY11/((1/1000)*(up_Irr!X11)),IF(AND(up_Irr!X11=".",up_Irr!AW11=".",up_Irr!BV11="."),up_dir!AY11*1000)))))))),".")</f>
        <v>6.5773651144152131E-4</v>
      </c>
      <c r="BZ11" s="70">
        <f>IFERROR(IF(AND(up_Irr!Y11&lt;&gt;".",up_Irr!AX11&lt;&gt;".",up_Irr!BW11&lt;&gt;"."),up_dir!AZ11/((1/1000)*(up_Irr!Y11+up_Irr!AX11+up_Irr!BW11)),IF(AND(up_Irr!Y11&lt;&gt;".",up_Irr!AX11&lt;&gt;".",up_Irr!BW11="."),up_dir!AZ11/((1/1000)*(up_Irr!Y11+up_Irr!AX11)),IF(AND(up_Irr!Y11&lt;&gt;".",up_Irr!AX11=".",up_Irr!BW11&lt;&gt;"."),up_dir!AZ11/((1/1000)*(up_Irr!Y11+up_Irr!BW11)),IF(AND(up_Irr!Y11=".",up_Irr!AX11&lt;&gt;".",up_Irr!BW11&lt;&gt;"."),up_dir!AZ11/((1/1000)*(up_Irr!AX11+up_Irr!BW11)),IF(AND(up_Irr!Y11=".",up_Irr!AX11=".",up_Irr!BW11&lt;&gt;"."),up_dir!AZ11/((1/1000)*(up_Irr!BW11)),IF(AND(up_Irr!Y11=".",up_Irr!AX11&lt;&gt;".",up_Irr!BW11="."),up_dir!AZ11/((1/1000)*(up_Irr!AX11)),IF(AND(up_Irr!Y11&lt;&gt;".",up_Irr!AX11=".",up_Irr!BW11="."),up_dir!AZ11/((1/1000)*(up_Irr!Y11)),IF(AND(up_Irr!Y11=".",up_Irr!AX11=".",up_Irr!BW11="."),up_dir!AZ11*1000)))))))),".")</f>
        <v>6.5773651144152131E-4</v>
      </c>
      <c r="CA11" s="70">
        <f>IFERROR(IF(AND(up_Irr!Z11&lt;&gt;".",up_Irr!AY11&lt;&gt;".",up_Irr!BX11&lt;&gt;"."),up_dir!BA11/((1/1000)*(up_Irr!Z11+up_Irr!AY11+up_Irr!BX11)),IF(AND(up_Irr!Z11&lt;&gt;".",up_Irr!AY11&lt;&gt;".",up_Irr!BX11="."),up_dir!BA11/((1/1000)*(up_Irr!Z11+up_Irr!AY11)),IF(AND(up_Irr!Z11&lt;&gt;".",up_Irr!AY11=".",up_Irr!BX11&lt;&gt;"."),up_dir!BA11/((1/1000)*(up_Irr!Z11+up_Irr!BX11)),IF(AND(up_Irr!Z11=".",up_Irr!AY11&lt;&gt;".",up_Irr!BX11&lt;&gt;"."),up_dir!BA11/((1/1000)*(up_Irr!AY11+up_Irr!BX11)),IF(AND(up_Irr!Z11=".",up_Irr!AY11=".",up_Irr!BX11&lt;&gt;"."),up_dir!BA11/((1/1000)*(up_Irr!BX11)),IF(AND(up_Irr!Z11=".",up_Irr!AY11&lt;&gt;".",up_Irr!BX11="."),up_dir!BA11/((1/1000)*(up_Irr!AY11)),IF(AND(up_Irr!Z11&lt;&gt;".",up_Irr!AY11=".",up_Irr!BX11="."),up_dir!BA11/((1/1000)*(up_Irr!Z11)),IF(AND(up_Irr!Z11=".",up_Irr!AY11=".",up_Irr!BX11="."),up_dir!BA11*1000)))))))),".")</f>
        <v>6.5773651144152131E-4</v>
      </c>
      <c r="CB11" s="70">
        <f>IFERROR(IF(AND(up_Irr!AA11&lt;&gt;".",up_Irr!AZ11&lt;&gt;".",up_Irr!BY11&lt;&gt;"."),up_dir!BB11/((1/1000)*(up_Irr!AA11+up_Irr!AZ11+up_Irr!BY11)),IF(AND(up_Irr!AA11&lt;&gt;".",up_Irr!AZ11&lt;&gt;".",up_Irr!BY11="."),up_dir!BB11/((1/1000)*(up_Irr!AA11+up_Irr!AZ11)),IF(AND(up_Irr!AA11&lt;&gt;".",up_Irr!AZ11=".",up_Irr!BY11&lt;&gt;"."),up_dir!BB11/((1/1000)*(up_Irr!AA11+up_Irr!BY11)),IF(AND(up_Irr!AA11=".",up_Irr!AZ11&lt;&gt;".",up_Irr!BY11&lt;&gt;"."),up_dir!BB11/((1/1000)*(up_Irr!AZ11+up_Irr!BY11)),IF(AND(up_Irr!AA11=".",up_Irr!AZ11=".",up_Irr!BY11&lt;&gt;"."),up_dir!BB11/((1/1000)*(up_Irr!BY11)),IF(AND(up_Irr!AA11=".",up_Irr!AZ11&lt;&gt;".",up_Irr!BY11="."),up_dir!BB11/((1/1000)*(up_Irr!AZ11)),IF(AND(up_Irr!AA11&lt;&gt;".",up_Irr!AZ11=".",up_Irr!BY11="."),up_dir!BB11/((1/1000)*(up_Irr!AA11)),IF(AND(up_Irr!AA11=".",up_Irr!AZ11=".",up_Irr!BY11="."),up_dir!BB11*1000)))))))),".")</f>
        <v>6.5773651144152131E-4</v>
      </c>
      <c r="CC11" s="87">
        <f t="shared" si="3"/>
        <v>30407.313038114935</v>
      </c>
      <c r="CD11" s="87">
        <f>IFERROR(s_C*s_IFAP_far_adj*s_CF_apple*(1/1000)*(up_Irr!C11+up_Irr!AB11+up_Irr!BA11),".")</f>
        <v>7601.8282595287337</v>
      </c>
      <c r="CE11" s="87">
        <f>IFERROR(s_C*s_IFAS_far_adj*s_CF_asparagus*(1/1000)*(up_Irr!D11+up_Irr!AC11+up_Irr!BB11),".")</f>
        <v>7601.8282595287337</v>
      </c>
      <c r="CF11" s="87">
        <f>IFERROR(s_C*s_IFBT_far_adj*s_CF_beet*(1/1000)*(up_Irr!E11+up_Irr!AD11+up_Irr!BC11),".")</f>
        <v>7601.8282595287337</v>
      </c>
      <c r="CG11" s="87">
        <f>IFERROR(s_C*s_IFBE_far_adj*s_CF_berries*(1/1000)*(up_Irr!F11+up_Irr!AE11+up_Irr!BD11),".")</f>
        <v>7601.8282595287337</v>
      </c>
      <c r="CH11" s="87">
        <f>IFERROR(s_C*s_IFBR_far_adj*s_CF_broccoli*(1/1000)*(up_Irr!G11+up_Irr!AF11+up_Irr!BE11),".")</f>
        <v>7601.8282595287337</v>
      </c>
      <c r="CI11" s="87">
        <f>IFERROR(s_C*s_IFCB_far_adj*s_CF_cabbage*(1/1000)*(up_Irr!H11+up_Irr!AG11+up_Irr!BF11),".")</f>
        <v>7601.8282595287337</v>
      </c>
      <c r="CJ11" s="87">
        <f>IFERROR(s_C*s_IFCR_far_adj*s_CF_carrot*(1/1000)*(up_Irr!I11+up_Irr!AH11+up_Irr!BG11),".")</f>
        <v>7601.8282595287337</v>
      </c>
      <c r="CK11" s="87">
        <f>IFERROR(s_C*s_IFCI_far_adj*s_CF_citrus*(1/1000)*(up_Irr!J11+up_Irr!AI11+up_Irr!BH11),".")</f>
        <v>7601.8282595287337</v>
      </c>
      <c r="CL11" s="87">
        <f>IFERROR(s_C*s_IFCO_far_adj*s_CF_corn*(1/1000)*(up_Irr!K11+up_Irr!AJ11+up_Irr!BI11),".")</f>
        <v>7601.8282595287337</v>
      </c>
      <c r="CM11" s="87">
        <f>IFERROR(s_C*s_IFCU_far_adj*s_CF_cucumber*(1/1000)*(up_Irr!L11+up_Irr!AK11+up_Irr!BJ11),".")</f>
        <v>7601.8282595287337</v>
      </c>
      <c r="CN11" s="87">
        <f>IFERROR(s_C*s_IFLE_far_adj*s_CF_lettuce*(1/1000)*(up_Irr!M11+up_Irr!AL11+up_Irr!BK11),".")</f>
        <v>7601.8282595287337</v>
      </c>
      <c r="CO11" s="87">
        <f>IFERROR(s_C*s_IFLI_far_adj*s_CF_lima_bean*(1/1000)*(up_Irr!N11+up_Irr!AM11+up_Irr!BL11),".")</f>
        <v>7601.8282595287337</v>
      </c>
      <c r="CP11" s="87">
        <f>IFERROR(s_C*s_IFOK_far_adj*s_CF_okra*(1/1000)*(up_Irr!O11+up_Irr!AN11+up_Irr!BM11),".")</f>
        <v>7601.8282595287337</v>
      </c>
      <c r="CQ11" s="87">
        <f>IFERROR(s_C*s_IFON_far_adj*s_CF_onion*(1/1000)*(up_Irr!P11+up_Irr!AO11+up_Irr!BN11),".")</f>
        <v>7601.8282595287337</v>
      </c>
      <c r="CR11" s="87">
        <f>IFERROR(s_C*s_IFPC_far_adj*s_CF_peach*(1/1000)*(up_Irr!Q11+up_Irr!AP11+up_Irr!BO11),".")</f>
        <v>7601.8282595287337</v>
      </c>
      <c r="CS11" s="87">
        <f>IFERROR(s_C*s_IFPR_far_adj*s_CF_pear*(1/1000)*(up_Irr!R11+up_Irr!AQ11+up_Irr!BP11),".")</f>
        <v>7601.8282595287337</v>
      </c>
      <c r="CT11" s="87">
        <f>IFERROR(s_C*s_IFPE_far_adj*s_CF_peas*(1/1000)*(up_Irr!S11+up_Irr!AR11+up_Irr!BQ11),".")</f>
        <v>7601.8282595287337</v>
      </c>
      <c r="CU11" s="87">
        <f>IFERROR(s_C*s_IFPP_far_adj*s_CF_peppers*(1/1000)*(up_Irr!T11+up_Irr!AS11+up_Irr!BR11),".")</f>
        <v>7601.8282595287337</v>
      </c>
      <c r="CV11" s="87">
        <f>IFERROR(s_C*s_IFPT_far_adj*s_CF_potato*(1/1000)*(up_Irr!U11+up_Irr!AT11+up_Irr!BS11),".")</f>
        <v>7601.8282595287337</v>
      </c>
      <c r="CW11" s="87">
        <f>IFERROR(s_C*s_IFPU_far_adj*s_CF_pumpkin*(1/1000)*(up_Irr!V11+up_Irr!AU11+up_Irr!BT11),".")</f>
        <v>7601.8282595287337</v>
      </c>
      <c r="CX11" s="87">
        <f>IFERROR(s_C*s_IFSN_far_adj*s_CF_snap_bean*(1/1000)*(up_Irr!W11+up_Irr!AV11+up_Irr!BU11),".")</f>
        <v>7601.8282595287337</v>
      </c>
      <c r="CY11" s="87">
        <f>IFERROR(s_C*s_IFST_far_adj*s_CF_strawberry*(1/1000)*(up_Irr!X11+up_Irr!AW11+up_Irr!BV11),".")</f>
        <v>7601.8282595287337</v>
      </c>
      <c r="CZ11" s="87">
        <f>IFERROR(s_C*s_IFTO_far_adj*s_CF_tomato*(1/1000)*(up_Irr!Y11+up_Irr!AX11+up_Irr!BW11),".")</f>
        <v>7601.8282595287337</v>
      </c>
      <c r="DA11" s="87">
        <f>IFERROR(s_C*s_IFRI_far_adj*s_CF_rice*(1/1000)*(up_Irr!Z11+up_Irr!AY11+up_Irr!BX11),".")</f>
        <v>7601.8282595287337</v>
      </c>
      <c r="DB11" s="87">
        <f>IFERROR(s_C*s_IFCG_far_adj*s_CF_cereal*(1/1000)*(up_Irr!AA11+up_Irr!AZ11+up_Irr!BY11),".")</f>
        <v>7601.8282595287337</v>
      </c>
    </row>
    <row r="12" spans="1:106" ht="15" customHeight="1" x14ac:dyDescent="0.25">
      <c r="A12" s="86" t="s">
        <v>10</v>
      </c>
      <c r="B12" s="84" t="s">
        <v>1057</v>
      </c>
      <c r="C12" s="15">
        <f t="shared" si="0"/>
        <v>1.6443412786038033E-4</v>
      </c>
      <c r="D12" s="70">
        <f>IFERROR(IF(AND(up_Irr!C12&lt;&gt;".",up_Irr!AB12&lt;&gt;".",up_Irr!BA12&lt;&gt;"."),up_dir!D12/((1/1000)*(up_Irr!C12+up_Irr!AB12+up_Irr!BA12)),IF(AND(up_Irr!C12&lt;&gt;".",up_Irr!AB12&lt;&gt;".",up_Irr!BA12="."),up_dir!D12/((1/1000)*(up_Irr!C12+up_Irr!AB12)),IF(AND(up_Irr!C12&lt;&gt;".",up_Irr!AB12=".",up_Irr!BA12&lt;&gt;"."),up_dir!D12/((1/1000)*(up_Irr!C12+up_Irr!BA12)),IF(AND(up_Irr!C12=".",up_Irr!AB12&lt;&gt;".",up_Irr!BA12&lt;&gt;"."),up_dir!D12/((1/1000)*(up_Irr!AB12+up_Irr!BA12)),IF(AND(up_Irr!C12=".",up_Irr!AB12=".",up_Irr!BA12&lt;&gt;"."),up_dir!D12/((1/1000)*(up_Irr!BA12)),IF(AND(up_Irr!C12=".",up_Irr!AB12&lt;&gt;".",up_Irr!BA12="."),up_dir!D12/((1/1000)*(up_Irr!AB12)),IF(AND(up_Irr!C12&lt;&gt;".",up_Irr!AB12=".",up_Irr!BA12="."),up_dir!D12/((1/1000)*(up_Irr!C12)),IF(AND(up_Irr!C12=".",up_Irr!AB12=".",up_Irr!BA12="."),up_dir!D12*1000)))))))),".")</f>
        <v>6.5773651144152131E-4</v>
      </c>
      <c r="E12" s="70">
        <f>IFERROR(IF(AND(up_Irr!D12&lt;&gt;".",up_Irr!AC12&lt;&gt;".",up_Irr!BB12&lt;&gt;"."),up_dir!E12/((1/1000)*(up_Irr!D12+up_Irr!AC12+up_Irr!BB12)),IF(AND(up_Irr!D12&lt;&gt;".",up_Irr!AC12&lt;&gt;".",up_Irr!BB12="."),up_dir!E12/((1/1000)*(up_Irr!D12+up_Irr!AC12)),IF(AND(up_Irr!D12&lt;&gt;".",up_Irr!AC12=".",up_Irr!BB12&lt;&gt;"."),up_dir!E12/((1/1000)*(up_Irr!D12+up_Irr!BB12)),IF(AND(up_Irr!D12=".",up_Irr!AC12&lt;&gt;".",up_Irr!BB12&lt;&gt;"."),up_dir!E12/((1/1000)*(up_Irr!AC12+up_Irr!BB12)),IF(AND(up_Irr!D12=".",up_Irr!AC12=".",up_Irr!BB12&lt;&gt;"."),up_dir!E12/((1/1000)*(up_Irr!BB12)),IF(AND(up_Irr!D12=".",up_Irr!AC12&lt;&gt;".",up_Irr!BB12="."),up_dir!E12/((1/1000)*(up_Irr!AC12)),IF(AND(up_Irr!D12&lt;&gt;".",up_Irr!AC12=".",up_Irr!BB12="."),up_dir!E12/((1/1000)*(up_Irr!D12)),IF(AND(up_Irr!D12=".",up_Irr!AC12=".",up_Irr!BB12="."),up_dir!E12*1000)))))))),".")</f>
        <v>6.5773651144152131E-4</v>
      </c>
      <c r="F12" s="70">
        <f>IFERROR(IF(AND(up_Irr!E12&lt;&gt;".",up_Irr!AD12&lt;&gt;".",up_Irr!BC12&lt;&gt;"."),up_dir!F12/((1/1000)*(up_Irr!E12+up_Irr!AD12+up_Irr!BC12)),IF(AND(up_Irr!E12&lt;&gt;".",up_Irr!AD12&lt;&gt;".",up_Irr!BC12="."),up_dir!F12/((1/1000)*(up_Irr!E12+up_Irr!AD12)),IF(AND(up_Irr!E12&lt;&gt;".",up_Irr!AD12=".",up_Irr!BC12&lt;&gt;"."),up_dir!F12/((1/1000)*(up_Irr!E12+up_Irr!BC12)),IF(AND(up_Irr!E12=".",up_Irr!AD12&lt;&gt;".",up_Irr!BC12&lt;&gt;"."),up_dir!F12/((1/1000)*(up_Irr!AD12+up_Irr!BC12)),IF(AND(up_Irr!E12=".",up_Irr!AD12=".",up_Irr!BC12&lt;&gt;"."),up_dir!F12/((1/1000)*(up_Irr!BC12)),IF(AND(up_Irr!E12=".",up_Irr!AD12&lt;&gt;".",up_Irr!BC12="."),up_dir!F12/((1/1000)*(up_Irr!AD12)),IF(AND(up_Irr!E12&lt;&gt;".",up_Irr!AD12=".",up_Irr!BC12="."),up_dir!F12/((1/1000)*(up_Irr!E12)),IF(AND(up_Irr!E12=".",up_Irr!AD12=".",up_Irr!BC12="."),up_dir!F12*1000)))))))),".")</f>
        <v>6.5773651144152131E-4</v>
      </c>
      <c r="G12" s="70">
        <f>IFERROR(IF(AND(up_Irr!F12&lt;&gt;".",up_Irr!AE12&lt;&gt;".",up_Irr!BD12&lt;&gt;"."),up_dir!G12/((1/1000)*(up_Irr!F12+up_Irr!AE12+up_Irr!BD12)),IF(AND(up_Irr!F12&lt;&gt;".",up_Irr!AE12&lt;&gt;".",up_Irr!BD12="."),up_dir!G12/((1/1000)*(up_Irr!F12+up_Irr!AE12)),IF(AND(up_Irr!F12&lt;&gt;".",up_Irr!AE12=".",up_Irr!BD12&lt;&gt;"."),up_dir!G12/((1/1000)*(up_Irr!F12+up_Irr!BD12)),IF(AND(up_Irr!F12=".",up_Irr!AE12&lt;&gt;".",up_Irr!BD12&lt;&gt;"."),up_dir!G12/((1/1000)*(up_Irr!AE12+up_Irr!BD12)),IF(AND(up_Irr!F12=".",up_Irr!AE12=".",up_Irr!BD12&lt;&gt;"."),up_dir!G12/((1/1000)*(up_Irr!BD12)),IF(AND(up_Irr!F12=".",up_Irr!AE12&lt;&gt;".",up_Irr!BD12="."),up_dir!G12/((1/1000)*(up_Irr!AE12)),IF(AND(up_Irr!F12&lt;&gt;".",up_Irr!AE12=".",up_Irr!BD12="."),up_dir!G12/((1/1000)*(up_Irr!F12)),IF(AND(up_Irr!F12=".",up_Irr!AE12=".",up_Irr!BD12="."),up_dir!G12*1000)))))))),".")</f>
        <v>6.5773651144152131E-4</v>
      </c>
      <c r="H12" s="70">
        <f>IFERROR(IF(AND(up_Irr!G12&lt;&gt;".",up_Irr!AF12&lt;&gt;".",up_Irr!BE12&lt;&gt;"."),up_dir!H12/((1/1000)*(up_Irr!G12+up_Irr!AF12+up_Irr!BE12)),IF(AND(up_Irr!G12&lt;&gt;".",up_Irr!AF12&lt;&gt;".",up_Irr!BE12="."),up_dir!H12/((1/1000)*(up_Irr!G12+up_Irr!AF12)),IF(AND(up_Irr!G12&lt;&gt;".",up_Irr!AF12=".",up_Irr!BE12&lt;&gt;"."),up_dir!H12/((1/1000)*(up_Irr!G12+up_Irr!BE12)),IF(AND(up_Irr!G12=".",up_Irr!AF12&lt;&gt;".",up_Irr!BE12&lt;&gt;"."),up_dir!H12/((1/1000)*(up_Irr!AF12+up_Irr!BE12)),IF(AND(up_Irr!G12=".",up_Irr!AF12=".",up_Irr!BE12&lt;&gt;"."),up_dir!H12/((1/1000)*(up_Irr!BE12)),IF(AND(up_Irr!G12=".",up_Irr!AF12&lt;&gt;".",up_Irr!BE12="."),up_dir!H12/((1/1000)*(up_Irr!AF12)),IF(AND(up_Irr!G12&lt;&gt;".",up_Irr!AF12=".",up_Irr!BE12="."),up_dir!H12/((1/1000)*(up_Irr!G12)),IF(AND(up_Irr!G12=".",up_Irr!AF12=".",up_Irr!BE12="."),up_dir!H12*1000)))))))),".")</f>
        <v>6.5773651144152131E-4</v>
      </c>
      <c r="I12" s="70">
        <f>IFERROR(IF(AND(up_Irr!H12&lt;&gt;".",up_Irr!AG12&lt;&gt;".",up_Irr!BF12&lt;&gt;"."),up_dir!I12/((1/1000)*(up_Irr!H12+up_Irr!AG12+up_Irr!BF12)),IF(AND(up_Irr!H12&lt;&gt;".",up_Irr!AG12&lt;&gt;".",up_Irr!BF12="."),up_dir!I12/((1/1000)*(up_Irr!H12+up_Irr!AG12)),IF(AND(up_Irr!H12&lt;&gt;".",up_Irr!AG12=".",up_Irr!BF12&lt;&gt;"."),up_dir!I12/((1/1000)*(up_Irr!H12+up_Irr!BF12)),IF(AND(up_Irr!H12=".",up_Irr!AG12&lt;&gt;".",up_Irr!BF12&lt;&gt;"."),up_dir!I12/((1/1000)*(up_Irr!AG12+up_Irr!BF12)),IF(AND(up_Irr!H12=".",up_Irr!AG12=".",up_Irr!BF12&lt;&gt;"."),up_dir!I12/((1/1000)*(up_Irr!BF12)),IF(AND(up_Irr!H12=".",up_Irr!AG12&lt;&gt;".",up_Irr!BF12="."),up_dir!I12/((1/1000)*(up_Irr!AG12)),IF(AND(up_Irr!H12&lt;&gt;".",up_Irr!AG12=".",up_Irr!BF12="."),up_dir!I12/((1/1000)*(up_Irr!H12)),IF(AND(up_Irr!H12=".",up_Irr!AG12=".",up_Irr!BF12="."),up_dir!I12*1000)))))))),".")</f>
        <v>6.5773651144152131E-4</v>
      </c>
      <c r="J12" s="70">
        <f>IFERROR(IF(AND(up_Irr!I12&lt;&gt;".",up_Irr!AH12&lt;&gt;".",up_Irr!BG12&lt;&gt;"."),up_dir!J12/((1/1000)*(up_Irr!I12+up_Irr!AH12+up_Irr!BG12)),IF(AND(up_Irr!I12&lt;&gt;".",up_Irr!AH12&lt;&gt;".",up_Irr!BG12="."),up_dir!J12/((1/1000)*(up_Irr!I12+up_Irr!AH12)),IF(AND(up_Irr!I12&lt;&gt;".",up_Irr!AH12=".",up_Irr!BG12&lt;&gt;"."),up_dir!J12/((1/1000)*(up_Irr!I12+up_Irr!BG12)),IF(AND(up_Irr!I12=".",up_Irr!AH12&lt;&gt;".",up_Irr!BG12&lt;&gt;"."),up_dir!J12/((1/1000)*(up_Irr!AH12+up_Irr!BG12)),IF(AND(up_Irr!I12=".",up_Irr!AH12=".",up_Irr!BG12&lt;&gt;"."),up_dir!J12/((1/1000)*(up_Irr!BG12)),IF(AND(up_Irr!I12=".",up_Irr!AH12&lt;&gt;".",up_Irr!BG12="."),up_dir!J12/((1/1000)*(up_Irr!AH12)),IF(AND(up_Irr!I12&lt;&gt;".",up_Irr!AH12=".",up_Irr!BG12="."),up_dir!J12/((1/1000)*(up_Irr!I12)),IF(AND(up_Irr!I12=".",up_Irr!AH12=".",up_Irr!BG12="."),up_dir!J12*1000)))))))),".")</f>
        <v>6.5773651144152131E-4</v>
      </c>
      <c r="K12" s="70">
        <f>IFERROR(IF(AND(up_Irr!J12&lt;&gt;".",up_Irr!AI12&lt;&gt;".",up_Irr!BH12&lt;&gt;"."),up_dir!K12/((1/1000)*(up_Irr!J12+up_Irr!AI12+up_Irr!BH12)),IF(AND(up_Irr!J12&lt;&gt;".",up_Irr!AI12&lt;&gt;".",up_Irr!BH12="."),up_dir!K12/((1/1000)*(up_Irr!J12+up_Irr!AI12)),IF(AND(up_Irr!J12&lt;&gt;".",up_Irr!AI12=".",up_Irr!BH12&lt;&gt;"."),up_dir!K12/((1/1000)*(up_Irr!J12+up_Irr!BH12)),IF(AND(up_Irr!J12=".",up_Irr!AI12&lt;&gt;".",up_Irr!BH12&lt;&gt;"."),up_dir!K12/((1/1000)*(up_Irr!AI12+up_Irr!BH12)),IF(AND(up_Irr!J12=".",up_Irr!AI12=".",up_Irr!BH12&lt;&gt;"."),up_dir!K12/((1/1000)*(up_Irr!BH12)),IF(AND(up_Irr!J12=".",up_Irr!AI12&lt;&gt;".",up_Irr!BH12="."),up_dir!K12/((1/1000)*(up_Irr!AI12)),IF(AND(up_Irr!J12&lt;&gt;".",up_Irr!AI12=".",up_Irr!BH12="."),up_dir!K12/((1/1000)*(up_Irr!J12)),IF(AND(up_Irr!J12=".",up_Irr!AI12=".",up_Irr!BH12="."),up_dir!K12*1000)))))))),".")</f>
        <v>6.5773651144152131E-4</v>
      </c>
      <c r="L12" s="70">
        <f>IFERROR(IF(AND(up_Irr!K12&lt;&gt;".",up_Irr!AJ12&lt;&gt;".",up_Irr!BI12&lt;&gt;"."),up_dir!L12/((1/1000)*(up_Irr!K12+up_Irr!AJ12+up_Irr!BI12)),IF(AND(up_Irr!K12&lt;&gt;".",up_Irr!AJ12&lt;&gt;".",up_Irr!BI12="."),up_dir!L12/((1/1000)*(up_Irr!K12+up_Irr!AJ12)),IF(AND(up_Irr!K12&lt;&gt;".",up_Irr!AJ12=".",up_Irr!BI12&lt;&gt;"."),up_dir!L12/((1/1000)*(up_Irr!K12+up_Irr!BI12)),IF(AND(up_Irr!K12=".",up_Irr!AJ12&lt;&gt;".",up_Irr!BI12&lt;&gt;"."),up_dir!L12/((1/1000)*(up_Irr!AJ12+up_Irr!BI12)),IF(AND(up_Irr!K12=".",up_Irr!AJ12=".",up_Irr!BI12&lt;&gt;"."),up_dir!L12/((1/1000)*(up_Irr!BI12)),IF(AND(up_Irr!K12=".",up_Irr!AJ12&lt;&gt;".",up_Irr!BI12="."),up_dir!L12/((1/1000)*(up_Irr!AJ12)),IF(AND(up_Irr!K12&lt;&gt;".",up_Irr!AJ12=".",up_Irr!BI12="."),up_dir!L12/((1/1000)*(up_Irr!K12)),IF(AND(up_Irr!K12=".",up_Irr!AJ12=".",up_Irr!BI12="."),up_dir!L12*1000)))))))),".")</f>
        <v>6.5773651144152131E-4</v>
      </c>
      <c r="M12" s="70">
        <f>IFERROR(IF(AND(up_Irr!L12&lt;&gt;".",up_Irr!AK12&lt;&gt;".",up_Irr!BJ12&lt;&gt;"."),up_dir!M12/((1/1000)*(up_Irr!L12+up_Irr!AK12+up_Irr!BJ12)),IF(AND(up_Irr!L12&lt;&gt;".",up_Irr!AK12&lt;&gt;".",up_Irr!BJ12="."),up_dir!M12/((1/1000)*(up_Irr!L12+up_Irr!AK12)),IF(AND(up_Irr!L12&lt;&gt;".",up_Irr!AK12=".",up_Irr!BJ12&lt;&gt;"."),up_dir!M12/((1/1000)*(up_Irr!L12+up_Irr!BJ12)),IF(AND(up_Irr!L12=".",up_Irr!AK12&lt;&gt;".",up_Irr!BJ12&lt;&gt;"."),up_dir!M12/((1/1000)*(up_Irr!AK12+up_Irr!BJ12)),IF(AND(up_Irr!L12=".",up_Irr!AK12=".",up_Irr!BJ12&lt;&gt;"."),up_dir!M12/((1/1000)*(up_Irr!BJ12)),IF(AND(up_Irr!L12=".",up_Irr!AK12&lt;&gt;".",up_Irr!BJ12="."),up_dir!M12/((1/1000)*(up_Irr!AK12)),IF(AND(up_Irr!L12&lt;&gt;".",up_Irr!AK12=".",up_Irr!BJ12="."),up_dir!M12/((1/1000)*(up_Irr!L12)),IF(AND(up_Irr!L12=".",up_Irr!AK12=".",up_Irr!BJ12="."),up_dir!M12*1000)))))))),".")</f>
        <v>6.5773651144152131E-4</v>
      </c>
      <c r="N12" s="70">
        <f>IFERROR(IF(AND(up_Irr!M12&lt;&gt;".",up_Irr!AL12&lt;&gt;".",up_Irr!BK12&lt;&gt;"."),up_dir!N12/((1/1000)*(up_Irr!M12+up_Irr!AL12+up_Irr!BK12)),IF(AND(up_Irr!M12&lt;&gt;".",up_Irr!AL12&lt;&gt;".",up_Irr!BK12="."),up_dir!N12/((1/1000)*(up_Irr!M12+up_Irr!AL12)),IF(AND(up_Irr!M12&lt;&gt;".",up_Irr!AL12=".",up_Irr!BK12&lt;&gt;"."),up_dir!N12/((1/1000)*(up_Irr!M12+up_Irr!BK12)),IF(AND(up_Irr!M12=".",up_Irr!AL12&lt;&gt;".",up_Irr!BK12&lt;&gt;"."),up_dir!N12/((1/1000)*(up_Irr!AL12+up_Irr!BK12)),IF(AND(up_Irr!M12=".",up_Irr!AL12=".",up_Irr!BK12&lt;&gt;"."),up_dir!N12/((1/1000)*(up_Irr!BK12)),IF(AND(up_Irr!M12=".",up_Irr!AL12&lt;&gt;".",up_Irr!BK12="."),up_dir!N12/((1/1000)*(up_Irr!AL12)),IF(AND(up_Irr!M12&lt;&gt;".",up_Irr!AL12=".",up_Irr!BK12="."),up_dir!N12/((1/1000)*(up_Irr!M12)),IF(AND(up_Irr!M12=".",up_Irr!AL12=".",up_Irr!BK12="."),up_dir!N12*1000)))))))),".")</f>
        <v>6.5773651144152131E-4</v>
      </c>
      <c r="O12" s="70">
        <f>IFERROR(IF(AND(up_Irr!N12&lt;&gt;".",up_Irr!AM12&lt;&gt;".",up_Irr!BL12&lt;&gt;"."),up_dir!O12/((1/1000)*(up_Irr!N12+up_Irr!AM12+up_Irr!BL12)),IF(AND(up_Irr!N12&lt;&gt;".",up_Irr!AM12&lt;&gt;".",up_Irr!BL12="."),up_dir!O12/((1/1000)*(up_Irr!N12+up_Irr!AM12)),IF(AND(up_Irr!N12&lt;&gt;".",up_Irr!AM12=".",up_Irr!BL12&lt;&gt;"."),up_dir!O12/((1/1000)*(up_Irr!N12+up_Irr!BL12)),IF(AND(up_Irr!N12=".",up_Irr!AM12&lt;&gt;".",up_Irr!BL12&lt;&gt;"."),up_dir!O12/((1/1000)*(up_Irr!AM12+up_Irr!BL12)),IF(AND(up_Irr!N12=".",up_Irr!AM12=".",up_Irr!BL12&lt;&gt;"."),up_dir!O12/((1/1000)*(up_Irr!BL12)),IF(AND(up_Irr!N12=".",up_Irr!AM12&lt;&gt;".",up_Irr!BL12="."),up_dir!O12/((1/1000)*(up_Irr!AM12)),IF(AND(up_Irr!N12&lt;&gt;".",up_Irr!AM12=".",up_Irr!BL12="."),up_dir!O12/((1/1000)*(up_Irr!N12)),IF(AND(up_Irr!N12=".",up_Irr!AM12=".",up_Irr!BL12="."),up_dir!O12*1000)))))))),".")</f>
        <v>6.5773651144152131E-4</v>
      </c>
      <c r="P12" s="70">
        <f>IFERROR(IF(AND(up_Irr!O12&lt;&gt;".",up_Irr!AN12&lt;&gt;".",up_Irr!BM12&lt;&gt;"."),up_dir!P12/((1/1000)*(up_Irr!O12+up_Irr!AN12+up_Irr!BM12)),IF(AND(up_Irr!O12&lt;&gt;".",up_Irr!AN12&lt;&gt;".",up_Irr!BM12="."),up_dir!P12/((1/1000)*(up_Irr!O12+up_Irr!AN12)),IF(AND(up_Irr!O12&lt;&gt;".",up_Irr!AN12=".",up_Irr!BM12&lt;&gt;"."),up_dir!P12/((1/1000)*(up_Irr!O12+up_Irr!BM12)),IF(AND(up_Irr!O12=".",up_Irr!AN12&lt;&gt;".",up_Irr!BM12&lt;&gt;"."),up_dir!P12/((1/1000)*(up_Irr!AN12+up_Irr!BM12)),IF(AND(up_Irr!O12=".",up_Irr!AN12=".",up_Irr!BM12&lt;&gt;"."),up_dir!P12/((1/1000)*(up_Irr!BM12)),IF(AND(up_Irr!O12=".",up_Irr!AN12&lt;&gt;".",up_Irr!BM12="."),up_dir!P12/((1/1000)*(up_Irr!AN12)),IF(AND(up_Irr!O12&lt;&gt;".",up_Irr!AN12=".",up_Irr!BM12="."),up_dir!P12/((1/1000)*(up_Irr!O12)),IF(AND(up_Irr!O12=".",up_Irr!AN12=".",up_Irr!BM12="."),up_dir!P12*1000)))))))),".")</f>
        <v>6.5773651144152131E-4</v>
      </c>
      <c r="Q12" s="70">
        <f>IFERROR(IF(AND(up_Irr!P12&lt;&gt;".",up_Irr!AO12&lt;&gt;".",up_Irr!BN12&lt;&gt;"."),up_dir!Q12/((1/1000)*(up_Irr!P12+up_Irr!AO12+up_Irr!BN12)),IF(AND(up_Irr!P12&lt;&gt;".",up_Irr!AO12&lt;&gt;".",up_Irr!BN12="."),up_dir!Q12/((1/1000)*(up_Irr!P12+up_Irr!AO12)),IF(AND(up_Irr!P12&lt;&gt;".",up_Irr!AO12=".",up_Irr!BN12&lt;&gt;"."),up_dir!Q12/((1/1000)*(up_Irr!P12+up_Irr!BN12)),IF(AND(up_Irr!P12=".",up_Irr!AO12&lt;&gt;".",up_Irr!BN12&lt;&gt;"."),up_dir!Q12/((1/1000)*(up_Irr!AO12+up_Irr!BN12)),IF(AND(up_Irr!P12=".",up_Irr!AO12=".",up_Irr!BN12&lt;&gt;"."),up_dir!Q12/((1/1000)*(up_Irr!BN12)),IF(AND(up_Irr!P12=".",up_Irr!AO12&lt;&gt;".",up_Irr!BN12="."),up_dir!Q12/((1/1000)*(up_Irr!AO12)),IF(AND(up_Irr!P12&lt;&gt;".",up_Irr!AO12=".",up_Irr!BN12="."),up_dir!Q12/((1/1000)*(up_Irr!P12)),IF(AND(up_Irr!P12=".",up_Irr!AO12=".",up_Irr!BN12="."),up_dir!Q12*1000)))))))),".")</f>
        <v>6.5773651144152131E-4</v>
      </c>
      <c r="R12" s="70">
        <f>IFERROR(IF(AND(up_Irr!Q12&lt;&gt;".",up_Irr!AP12&lt;&gt;".",up_Irr!BO12&lt;&gt;"."),up_dir!R12/((1/1000)*(up_Irr!Q12+up_Irr!AP12+up_Irr!BO12)),IF(AND(up_Irr!Q12&lt;&gt;".",up_Irr!AP12&lt;&gt;".",up_Irr!BO12="."),up_dir!R12/((1/1000)*(up_Irr!Q12+up_Irr!AP12)),IF(AND(up_Irr!Q12&lt;&gt;".",up_Irr!AP12=".",up_Irr!BO12&lt;&gt;"."),up_dir!R12/((1/1000)*(up_Irr!Q12+up_Irr!BO12)),IF(AND(up_Irr!Q12=".",up_Irr!AP12&lt;&gt;".",up_Irr!BO12&lt;&gt;"."),up_dir!R12/((1/1000)*(up_Irr!AP12+up_Irr!BO12)),IF(AND(up_Irr!Q12=".",up_Irr!AP12=".",up_Irr!BO12&lt;&gt;"."),up_dir!R12/((1/1000)*(up_Irr!BO12)),IF(AND(up_Irr!Q12=".",up_Irr!AP12&lt;&gt;".",up_Irr!BO12="."),up_dir!R12/((1/1000)*(up_Irr!AP12)),IF(AND(up_Irr!Q12&lt;&gt;".",up_Irr!AP12=".",up_Irr!BO12="."),up_dir!R12/((1/1000)*(up_Irr!Q12)),IF(AND(up_Irr!Q12=".",up_Irr!AP12=".",up_Irr!BO12="."),up_dir!R12*1000)))))))),".")</f>
        <v>6.5773651144152131E-4</v>
      </c>
      <c r="S12" s="70">
        <f>IFERROR(IF(AND(up_Irr!R12&lt;&gt;".",up_Irr!AQ12&lt;&gt;".",up_Irr!BP12&lt;&gt;"."),up_dir!S12/((1/1000)*(up_Irr!R12+up_Irr!AQ12+up_Irr!BP12)),IF(AND(up_Irr!R12&lt;&gt;".",up_Irr!AQ12&lt;&gt;".",up_Irr!BP12="."),up_dir!S12/((1/1000)*(up_Irr!R12+up_Irr!AQ12)),IF(AND(up_Irr!R12&lt;&gt;".",up_Irr!AQ12=".",up_Irr!BP12&lt;&gt;"."),up_dir!S12/((1/1000)*(up_Irr!R12+up_Irr!BP12)),IF(AND(up_Irr!R12=".",up_Irr!AQ12&lt;&gt;".",up_Irr!BP12&lt;&gt;"."),up_dir!S12/((1/1000)*(up_Irr!AQ12+up_Irr!BP12)),IF(AND(up_Irr!R12=".",up_Irr!AQ12=".",up_Irr!BP12&lt;&gt;"."),up_dir!S12/((1/1000)*(up_Irr!BP12)),IF(AND(up_Irr!R12=".",up_Irr!AQ12&lt;&gt;".",up_Irr!BP12="."),up_dir!S12/((1/1000)*(up_Irr!AQ12)),IF(AND(up_Irr!R12&lt;&gt;".",up_Irr!AQ12=".",up_Irr!BP12="."),up_dir!S12/((1/1000)*(up_Irr!R12)),IF(AND(up_Irr!R12=".",up_Irr!AQ12=".",up_Irr!BP12="."),up_dir!S12*1000)))))))),".")</f>
        <v>6.5773651144152131E-4</v>
      </c>
      <c r="T12" s="70">
        <f>IFERROR(IF(AND(up_Irr!S12&lt;&gt;".",up_Irr!AR12&lt;&gt;".",up_Irr!BQ12&lt;&gt;"."),up_dir!T12/((1/1000)*(up_Irr!S12+up_Irr!AR12+up_Irr!BQ12)),IF(AND(up_Irr!S12&lt;&gt;".",up_Irr!AR12&lt;&gt;".",up_Irr!BQ12="."),up_dir!T12/((1/1000)*(up_Irr!S12+up_Irr!AR12)),IF(AND(up_Irr!S12&lt;&gt;".",up_Irr!AR12=".",up_Irr!BQ12&lt;&gt;"."),up_dir!T12/((1/1000)*(up_Irr!S12+up_Irr!BQ12)),IF(AND(up_Irr!S12=".",up_Irr!AR12&lt;&gt;".",up_Irr!BQ12&lt;&gt;"."),up_dir!T12/((1/1000)*(up_Irr!AR12+up_Irr!BQ12)),IF(AND(up_Irr!S12=".",up_Irr!AR12=".",up_Irr!BQ12&lt;&gt;"."),up_dir!T12/((1/1000)*(up_Irr!BQ12)),IF(AND(up_Irr!S12=".",up_Irr!AR12&lt;&gt;".",up_Irr!BQ12="."),up_dir!T12/((1/1000)*(up_Irr!AR12)),IF(AND(up_Irr!S12&lt;&gt;".",up_Irr!AR12=".",up_Irr!BQ12="."),up_dir!T12/((1/1000)*(up_Irr!S12)),IF(AND(up_Irr!S12=".",up_Irr!AR12=".",up_Irr!BQ12="."),up_dir!T12*1000)))))))),".")</f>
        <v>6.5773651144152131E-4</v>
      </c>
      <c r="U12" s="70">
        <f>IFERROR(IF(AND(up_Irr!T12&lt;&gt;".",up_Irr!AS12&lt;&gt;".",up_Irr!BR12&lt;&gt;"."),up_dir!U12/((1/1000)*(up_Irr!T12+up_Irr!AS12+up_Irr!BR12)),IF(AND(up_Irr!T12&lt;&gt;".",up_Irr!AS12&lt;&gt;".",up_Irr!BR12="."),up_dir!U12/((1/1000)*(up_Irr!T12+up_Irr!AS12)),IF(AND(up_Irr!T12&lt;&gt;".",up_Irr!AS12=".",up_Irr!BR12&lt;&gt;"."),up_dir!U12/((1/1000)*(up_Irr!T12+up_Irr!BR12)),IF(AND(up_Irr!T12=".",up_Irr!AS12&lt;&gt;".",up_Irr!BR12&lt;&gt;"."),up_dir!U12/((1/1000)*(up_Irr!AS12+up_Irr!BR12)),IF(AND(up_Irr!T12=".",up_Irr!AS12=".",up_Irr!BR12&lt;&gt;"."),up_dir!U12/((1/1000)*(up_Irr!BR12)),IF(AND(up_Irr!T12=".",up_Irr!AS12&lt;&gt;".",up_Irr!BR12="."),up_dir!U12/((1/1000)*(up_Irr!AS12)),IF(AND(up_Irr!T12&lt;&gt;".",up_Irr!AS12=".",up_Irr!BR12="."),up_dir!U12/((1/1000)*(up_Irr!T12)),IF(AND(up_Irr!T12=".",up_Irr!AS12=".",up_Irr!BR12="."),up_dir!U12*1000)))))))),".")</f>
        <v>6.5773651144152131E-4</v>
      </c>
      <c r="V12" s="70">
        <f>IFERROR(IF(AND(up_Irr!U12&lt;&gt;".",up_Irr!AT12&lt;&gt;".",up_Irr!BS12&lt;&gt;"."),up_dir!V12/((1/1000)*(up_Irr!U12+up_Irr!AT12+up_Irr!BS12)),IF(AND(up_Irr!U12&lt;&gt;".",up_Irr!AT12&lt;&gt;".",up_Irr!BS12="."),up_dir!V12/((1/1000)*(up_Irr!U12+up_Irr!AT12)),IF(AND(up_Irr!U12&lt;&gt;".",up_Irr!AT12=".",up_Irr!BS12&lt;&gt;"."),up_dir!V12/((1/1000)*(up_Irr!U12+up_Irr!BS12)),IF(AND(up_Irr!U12=".",up_Irr!AT12&lt;&gt;".",up_Irr!BS12&lt;&gt;"."),up_dir!V12/((1/1000)*(up_Irr!AT12+up_Irr!BS12)),IF(AND(up_Irr!U12=".",up_Irr!AT12=".",up_Irr!BS12&lt;&gt;"."),up_dir!V12/((1/1000)*(up_Irr!BS12)),IF(AND(up_Irr!U12=".",up_Irr!AT12&lt;&gt;".",up_Irr!BS12="."),up_dir!V12/((1/1000)*(up_Irr!AT12)),IF(AND(up_Irr!U12&lt;&gt;".",up_Irr!AT12=".",up_Irr!BS12="."),up_dir!V12/((1/1000)*(up_Irr!U12)),IF(AND(up_Irr!U12=".",up_Irr!AT12=".",up_Irr!BS12="."),up_dir!V12*1000)))))))),".")</f>
        <v>6.5773651144152131E-4</v>
      </c>
      <c r="W12" s="70">
        <f>IFERROR(IF(AND(up_Irr!V12&lt;&gt;".",up_Irr!AU12&lt;&gt;".",up_Irr!BT12&lt;&gt;"."),up_dir!W12/((1/1000)*(up_Irr!V12+up_Irr!AU12+up_Irr!BT12)),IF(AND(up_Irr!V12&lt;&gt;".",up_Irr!AU12&lt;&gt;".",up_Irr!BT12="."),up_dir!W12/((1/1000)*(up_Irr!V12+up_Irr!AU12)),IF(AND(up_Irr!V12&lt;&gt;".",up_Irr!AU12=".",up_Irr!BT12&lt;&gt;"."),up_dir!W12/((1/1000)*(up_Irr!V12+up_Irr!BT12)),IF(AND(up_Irr!V12=".",up_Irr!AU12&lt;&gt;".",up_Irr!BT12&lt;&gt;"."),up_dir!W12/((1/1000)*(up_Irr!AU12+up_Irr!BT12)),IF(AND(up_Irr!V12=".",up_Irr!AU12=".",up_Irr!BT12&lt;&gt;"."),up_dir!W12/((1/1000)*(up_Irr!BT12)),IF(AND(up_Irr!V12=".",up_Irr!AU12&lt;&gt;".",up_Irr!BT12="."),up_dir!W12/((1/1000)*(up_Irr!AU12)),IF(AND(up_Irr!V12&lt;&gt;".",up_Irr!AU12=".",up_Irr!BT12="."),up_dir!W12/((1/1000)*(up_Irr!V12)),IF(AND(up_Irr!V12=".",up_Irr!AU12=".",up_Irr!BT12="."),up_dir!W12*1000)))))))),".")</f>
        <v>6.5773651144152131E-4</v>
      </c>
      <c r="X12" s="70">
        <f>IFERROR(IF(AND(up_Irr!W12&lt;&gt;".",up_Irr!AV12&lt;&gt;".",up_Irr!BU12&lt;&gt;"."),up_dir!X12/((1/1000)*(up_Irr!W12+up_Irr!AV12+up_Irr!BU12)),IF(AND(up_Irr!W12&lt;&gt;".",up_Irr!AV12&lt;&gt;".",up_Irr!BU12="."),up_dir!X12/((1/1000)*(up_Irr!W12+up_Irr!AV12)),IF(AND(up_Irr!W12&lt;&gt;".",up_Irr!AV12=".",up_Irr!BU12&lt;&gt;"."),up_dir!X12/((1/1000)*(up_Irr!W12+up_Irr!BU12)),IF(AND(up_Irr!W12=".",up_Irr!AV12&lt;&gt;".",up_Irr!BU12&lt;&gt;"."),up_dir!X12/((1/1000)*(up_Irr!AV12+up_Irr!BU12)),IF(AND(up_Irr!W12=".",up_Irr!AV12=".",up_Irr!BU12&lt;&gt;"."),up_dir!X12/((1/1000)*(up_Irr!BU12)),IF(AND(up_Irr!W12=".",up_Irr!AV12&lt;&gt;".",up_Irr!BU12="."),up_dir!X12/((1/1000)*(up_Irr!AV12)),IF(AND(up_Irr!W12&lt;&gt;".",up_Irr!AV12=".",up_Irr!BU12="."),up_dir!X12/((1/1000)*(up_Irr!W12)),IF(AND(up_Irr!W12=".",up_Irr!AV12=".",up_Irr!BU12="."),up_dir!X12*1000)))))))),".")</f>
        <v>6.5773651144152131E-4</v>
      </c>
      <c r="Y12" s="70">
        <f>IFERROR(IF(AND(up_Irr!X12&lt;&gt;".",up_Irr!AW12&lt;&gt;".",up_Irr!BV12&lt;&gt;"."),up_dir!Y12/((1/1000)*(up_Irr!X12+up_Irr!AW12+up_Irr!BV12)),IF(AND(up_Irr!X12&lt;&gt;".",up_Irr!AW12&lt;&gt;".",up_Irr!BV12="."),up_dir!Y12/((1/1000)*(up_Irr!X12+up_Irr!AW12)),IF(AND(up_Irr!X12&lt;&gt;".",up_Irr!AW12=".",up_Irr!BV12&lt;&gt;"."),up_dir!Y12/((1/1000)*(up_Irr!X12+up_Irr!BV12)),IF(AND(up_Irr!X12=".",up_Irr!AW12&lt;&gt;".",up_Irr!BV12&lt;&gt;"."),up_dir!Y12/((1/1000)*(up_Irr!AW12+up_Irr!BV12)),IF(AND(up_Irr!X12=".",up_Irr!AW12=".",up_Irr!BV12&lt;&gt;"."),up_dir!Y12/((1/1000)*(up_Irr!BV12)),IF(AND(up_Irr!X12=".",up_Irr!AW12&lt;&gt;".",up_Irr!BV12="."),up_dir!Y12/((1/1000)*(up_Irr!AW12)),IF(AND(up_Irr!X12&lt;&gt;".",up_Irr!AW12=".",up_Irr!BV12="."),up_dir!Y12/((1/1000)*(up_Irr!X12)),IF(AND(up_Irr!X12=".",up_Irr!AW12=".",up_Irr!BV12="."),up_dir!Y12*1000)))))))),".")</f>
        <v>6.5773651144152131E-4</v>
      </c>
      <c r="Z12" s="70">
        <f>IFERROR(IF(AND(up_Irr!Y12&lt;&gt;".",up_Irr!AX12&lt;&gt;".",up_Irr!BW12&lt;&gt;"."),up_dir!Z12/((1/1000)*(up_Irr!Y12+up_Irr!AX12+up_Irr!BW12)),IF(AND(up_Irr!Y12&lt;&gt;".",up_Irr!AX12&lt;&gt;".",up_Irr!BW12="."),up_dir!Z12/((1/1000)*(up_Irr!Y12+up_Irr!AX12)),IF(AND(up_Irr!Y12&lt;&gt;".",up_Irr!AX12=".",up_Irr!BW12&lt;&gt;"."),up_dir!Z12/((1/1000)*(up_Irr!Y12+up_Irr!BW12)),IF(AND(up_Irr!Y12=".",up_Irr!AX12&lt;&gt;".",up_Irr!BW12&lt;&gt;"."),up_dir!Z12/((1/1000)*(up_Irr!AX12+up_Irr!BW12)),IF(AND(up_Irr!Y12=".",up_Irr!AX12=".",up_Irr!BW12&lt;&gt;"."),up_dir!Z12/((1/1000)*(up_Irr!BW12)),IF(AND(up_Irr!Y12=".",up_Irr!AX12&lt;&gt;".",up_Irr!BW12="."),up_dir!Z12/((1/1000)*(up_Irr!AX12)),IF(AND(up_Irr!Y12&lt;&gt;".",up_Irr!AX12=".",up_Irr!BW12="."),up_dir!Z12/((1/1000)*(up_Irr!Y12)),IF(AND(up_Irr!Y12=".",up_Irr!AX12=".",up_Irr!BW12="."),up_dir!Z12*1000)))))))),".")</f>
        <v>6.5773651144152131E-4</v>
      </c>
      <c r="AA12" s="70">
        <f>IFERROR(IF(AND(up_Irr!Z12&lt;&gt;".",up_Irr!AY12&lt;&gt;".",up_Irr!BX12&lt;&gt;"."),up_dir!AA12/((1/1000)*(up_Irr!Z12+up_Irr!AY12+up_Irr!BX12)),IF(AND(up_Irr!Z12&lt;&gt;".",up_Irr!AY12&lt;&gt;".",up_Irr!BX12="."),up_dir!AA12/((1/1000)*(up_Irr!Z12+up_Irr!AY12)),IF(AND(up_Irr!Z12&lt;&gt;".",up_Irr!AY12=".",up_Irr!BX12&lt;&gt;"."),up_dir!AA12/((1/1000)*(up_Irr!Z12+up_Irr!BX12)),IF(AND(up_Irr!Z12=".",up_Irr!AY12&lt;&gt;".",up_Irr!BX12&lt;&gt;"."),up_dir!AA12/((1/1000)*(up_Irr!AY12+up_Irr!BX12)),IF(AND(up_Irr!Z12=".",up_Irr!AY12=".",up_Irr!BX12&lt;&gt;"."),up_dir!AA12/((1/1000)*(up_Irr!BX12)),IF(AND(up_Irr!Z12=".",up_Irr!AY12&lt;&gt;".",up_Irr!BX12="."),up_dir!AA12/((1/1000)*(up_Irr!AY12)),IF(AND(up_Irr!Z12&lt;&gt;".",up_Irr!AY12=".",up_Irr!BX12="."),up_dir!AA12/((1/1000)*(up_Irr!Z12)),IF(AND(up_Irr!Z12=".",up_Irr!AY12=".",up_Irr!BX12="."),up_dir!AA12*1000)))))))),".")</f>
        <v>6.5773651144152131E-4</v>
      </c>
      <c r="AB12" s="70">
        <f>IFERROR(IF(AND(up_Irr!AA12&lt;&gt;".",up_Irr!AZ12&lt;&gt;".",up_Irr!BY12&lt;&gt;"."),up_dir!AB12/((1/1000)*(up_Irr!AA12+up_Irr!AZ12+up_Irr!BY12)),IF(AND(up_Irr!AA12&lt;&gt;".",up_Irr!AZ12&lt;&gt;".",up_Irr!BY12="."),up_dir!AB12/((1/1000)*(up_Irr!AA12+up_Irr!AZ12)),IF(AND(up_Irr!AA12&lt;&gt;".",up_Irr!AZ12=".",up_Irr!BY12&lt;&gt;"."),up_dir!AB12/((1/1000)*(up_Irr!AA12+up_Irr!BY12)),IF(AND(up_Irr!AA12=".",up_Irr!AZ12&lt;&gt;".",up_Irr!BY12&lt;&gt;"."),up_dir!AB12/((1/1000)*(up_Irr!AZ12+up_Irr!BY12)),IF(AND(up_Irr!AA12=".",up_Irr!AZ12=".",up_Irr!BY12&lt;&gt;"."),up_dir!AB12/((1/1000)*(up_Irr!BY12)),IF(AND(up_Irr!AA12=".",up_Irr!AZ12&lt;&gt;".",up_Irr!BY12="."),up_dir!AB12/((1/1000)*(up_Irr!AZ12)),IF(AND(up_Irr!AA12&lt;&gt;".",up_Irr!AZ12=".",up_Irr!BY12="."),up_dir!AB12/((1/1000)*(up_Irr!AA12)),IF(AND(up_Irr!AA12=".",up_Irr!AZ12=".",up_Irr!BY12="."),up_dir!AB12*1000)))))))),".")</f>
        <v>6.5773651144152131E-4</v>
      </c>
      <c r="AC12" s="87">
        <f t="shared" si="1"/>
        <v>30407.313038114935</v>
      </c>
      <c r="AD12" s="87">
        <f>IFERROR(s_C*s_IFAP_res_adj*s_CF_apple*0.001*(up_Irr!C12+up_Irr!AB12+up_Irr!BA12),".")</f>
        <v>7601.8282595287337</v>
      </c>
      <c r="AE12" s="87">
        <f>IFERROR(s_C*s_IFAS_res_adj*s_CF_asparagus*0.001*(up_Irr!D12+up_Irr!AC12+up_Irr!BB12),".")</f>
        <v>7601.8282595287337</v>
      </c>
      <c r="AF12" s="87">
        <f>IFERROR(s_C*s_IFBT_res_adj*s_CF_beet*0.001*(up_Irr!E12+up_Irr!AD12+up_Irr!BC12),".")</f>
        <v>7601.8282595287337</v>
      </c>
      <c r="AG12" s="87">
        <f>IFERROR(s_C*s_IFBE_res_adj*s_CF_berries*0.001*(up_Irr!F12+up_Irr!AE12+up_Irr!BD12),".")</f>
        <v>7601.8282595287337</v>
      </c>
      <c r="AH12" s="87">
        <f>IFERROR(s_C*s_IFBR_res_adj*s_CF_broccoli*0.001*(up_Irr!G12+up_Irr!AF12+up_Irr!BE12),".")</f>
        <v>7601.8282595287337</v>
      </c>
      <c r="AI12" s="87">
        <f>IFERROR(s_C*s_IFCB_res_adj*s_CF_cabbage*0.001*(up_Irr!H12+up_Irr!AG12+up_Irr!BF12),".")</f>
        <v>7601.8282595287337</v>
      </c>
      <c r="AJ12" s="87">
        <f>IFERROR(s_C*s_IFCR_res_adj*s_CF_carrot*0.001*(up_Irr!I12+up_Irr!AH12+up_Irr!BG12),".")</f>
        <v>7601.8282595287337</v>
      </c>
      <c r="AK12" s="87">
        <f>IFERROR(s_C*s_IFCI_res_adj*s_CF_citrus*0.001*(up_Irr!J12+up_Irr!AI12+up_Irr!BH12),".")</f>
        <v>7601.8282595287337</v>
      </c>
      <c r="AL12" s="87">
        <f>IFERROR(s_C*s_IFCO_res_adj*s_CF_corn*0.001*(up_Irr!K12+up_Irr!AJ12+up_Irr!BI12),".")</f>
        <v>7601.8282595287337</v>
      </c>
      <c r="AM12" s="87">
        <f>IFERROR(s_C*s_IFCU_res_adj*s_CF_cucumber*0.001*(up_Irr!L12+up_Irr!AK12+up_Irr!BJ12),".")</f>
        <v>7601.8282595287337</v>
      </c>
      <c r="AN12" s="87">
        <f>IFERROR(s_C*s_IFLE_res_adj*s_CF_lettuce*0.001*(up_Irr!M12+up_Irr!AL12+up_Irr!BK12),".")</f>
        <v>7601.8282595287337</v>
      </c>
      <c r="AO12" s="87">
        <f>IFERROR(s_C*s_IFLI_res_adj*s_CF_lima_bean*0.001*(up_Irr!N12+up_Irr!AM12+up_Irr!BL12),".")</f>
        <v>7601.8282595287337</v>
      </c>
      <c r="AP12" s="87">
        <f>IFERROR(s_C*s_IFOK_res_adj*s_CF_okra*0.001*(up_Irr!O12+up_Irr!AN12+up_Irr!BM12),".")</f>
        <v>7601.8282595287337</v>
      </c>
      <c r="AQ12" s="87">
        <f>IFERROR(s_C*s_IFON_res_adj*s_CF_onion*0.001*(up_Irr!P12+up_Irr!AO12+up_Irr!BN12),".")</f>
        <v>7601.8282595287337</v>
      </c>
      <c r="AR12" s="87">
        <f>IFERROR(s_C*s_IFPC_res_adj*s_CF_peach*0.001*(up_Irr!Q12+up_Irr!AP12+up_Irr!BO12),".")</f>
        <v>7601.8282595287337</v>
      </c>
      <c r="AS12" s="87">
        <f>IFERROR(s_C*s_IFPR_res_adj*s_CF_pear*0.001*(up_Irr!R12+up_Irr!AQ12+up_Irr!BP12),".")</f>
        <v>7601.8282595287337</v>
      </c>
      <c r="AT12" s="87">
        <f>IFERROR(s_C*s_IFPE_res_adj*s_CF_peas*0.001*(up_Irr!S12+up_Irr!AR12+up_Irr!BQ12),".")</f>
        <v>7601.8282595287337</v>
      </c>
      <c r="AU12" s="87">
        <f>IFERROR(s_C*s_IFPP_res_adj*s_CF_peppers*0.001*(up_Irr!T12+up_Irr!AS12+up_Irr!BR12),".")</f>
        <v>7601.8282595287337</v>
      </c>
      <c r="AV12" s="87">
        <f>IFERROR(s_C*s_IFPT_res_adj*s_CF_potato*0.001*(up_Irr!U12+up_Irr!AT12+up_Irr!BS12),".")</f>
        <v>7601.8282595287337</v>
      </c>
      <c r="AW12" s="87">
        <f>IFERROR(s_C*s_IFPU_res_adj*s_CF_pumpkin*0.001*(up_Irr!V12+up_Irr!AU12+up_Irr!BT12),".")</f>
        <v>7601.8282595287337</v>
      </c>
      <c r="AX12" s="87">
        <f>IFERROR(s_C*s_IFSN_res_adj*s_CF_snap_bean*0.001*(up_Irr!W12+up_Irr!AV12+up_Irr!BU12),".")</f>
        <v>7601.8282595287337</v>
      </c>
      <c r="AY12" s="87">
        <f>IFERROR(s_C*s_IFST_res_adj*s_CF_strawberry*0.001*(up_Irr!X12+up_Irr!AW12+up_Irr!BV12),".")</f>
        <v>7601.8282595287337</v>
      </c>
      <c r="AZ12" s="87">
        <f>IFERROR(s_C*s_IFTO_res_adj*s_CF_tomato*0.001*(up_Irr!Y12+up_Irr!AX12+up_Irr!BW12),".")</f>
        <v>7601.8282595287337</v>
      </c>
      <c r="BA12" s="87">
        <f>IFERROR(s_C*s_IFRI_res_adj*s_CF_rice*0.001*(up_Irr!Z12+up_Irr!AY12+up_Irr!BX12),".")</f>
        <v>7601.8282595287337</v>
      </c>
      <c r="BB12" s="87">
        <f>IFERROR(s_C*s_IFCG_res_adj*s_CF_cereal*0.001*(up_Irr!AA12+up_Irr!AZ12+up_Irr!BY12),".")</f>
        <v>7601.8282595287337</v>
      </c>
      <c r="BC12" s="70">
        <f t="shared" si="2"/>
        <v>1.6443412786038033E-4</v>
      </c>
      <c r="BD12" s="70">
        <f>IFERROR(IF(AND(up_Irr!C12&lt;&gt;".",up_Irr!AB12&lt;&gt;".",up_Irr!BA12&lt;&gt;"."),up_dir!AD12/((1/1000)*(up_Irr!C12+up_Irr!AB12+up_Irr!BA12)),IF(AND(up_Irr!C12&lt;&gt;".",up_Irr!AB12&lt;&gt;".",up_Irr!BA12="."),up_dir!AD12/((1/1000)*(up_Irr!C12+up_Irr!AB12)),IF(AND(up_Irr!C12&lt;&gt;".",up_Irr!AB12=".",up_Irr!BA12&lt;&gt;"."),up_dir!AD12/((1/1000)*(up_Irr!C12+up_Irr!BA12)),IF(AND(up_Irr!C12=".",up_Irr!AB12&lt;&gt;".",up_Irr!BA12&lt;&gt;"."),up_dir!AD12/((1/1000)*(up_Irr!AB12+up_Irr!BA12)),IF(AND(up_Irr!C12=".",up_Irr!AB12=".",up_Irr!BA12&lt;&gt;"."),up_dir!AD12/((1/1000)*(up_Irr!BA12)),IF(AND(up_Irr!C12=".",up_Irr!AB12&lt;&gt;".",up_Irr!BA12="."),up_dir!AD12/((1/1000)*(up_Irr!AB12)),IF(AND(up_Irr!C12&lt;&gt;".",up_Irr!AB12=".",up_Irr!BA12="."),up_dir!AD12/((1/1000)*(up_Irr!C12)),IF(AND(up_Irr!C12=".",up_Irr!AB12=".",up_Irr!BA12="."),up_dir!AD12*1000)))))))),".")</f>
        <v>6.5773651144152131E-4</v>
      </c>
      <c r="BE12" s="70">
        <f>IFERROR(IF(AND(up_Irr!D12&lt;&gt;".",up_Irr!AC12&lt;&gt;".",up_Irr!BB12&lt;&gt;"."),up_dir!AE12/((1/1000)*(up_Irr!D12+up_Irr!AC12+up_Irr!BB12)),IF(AND(up_Irr!D12&lt;&gt;".",up_Irr!AC12&lt;&gt;".",up_Irr!BB12="."),up_dir!AE12/((1/1000)*(up_Irr!D12+up_Irr!AC12)),IF(AND(up_Irr!D12&lt;&gt;".",up_Irr!AC12=".",up_Irr!BB12&lt;&gt;"."),up_dir!AE12/((1/1000)*(up_Irr!D12+up_Irr!BB12)),IF(AND(up_Irr!D12=".",up_Irr!AC12&lt;&gt;".",up_Irr!BB12&lt;&gt;"."),up_dir!AE12/((1/1000)*(up_Irr!AC12+up_Irr!BB12)),IF(AND(up_Irr!D12=".",up_Irr!AC12=".",up_Irr!BB12&lt;&gt;"."),up_dir!AE12/((1/1000)*(up_Irr!BB12)),IF(AND(up_Irr!D12=".",up_Irr!AC12&lt;&gt;".",up_Irr!BB12="."),up_dir!AE12/((1/1000)*(up_Irr!AC12)),IF(AND(up_Irr!D12&lt;&gt;".",up_Irr!AC12=".",up_Irr!BB12="."),up_dir!AE12/((1/1000)*(up_Irr!D12)),IF(AND(up_Irr!D12=".",up_Irr!AC12=".",up_Irr!BB12="."),up_dir!AE12*1000)))))))),".")</f>
        <v>6.5773651144152131E-4</v>
      </c>
      <c r="BF12" s="70">
        <f>IFERROR(IF(AND(up_Irr!E12&lt;&gt;".",up_Irr!AD12&lt;&gt;".",up_Irr!BC12&lt;&gt;"."),up_dir!AF12/((1/1000)*(up_Irr!E12+up_Irr!AD12+up_Irr!BC12)),IF(AND(up_Irr!E12&lt;&gt;".",up_Irr!AD12&lt;&gt;".",up_Irr!BC12="."),up_dir!AF12/((1/1000)*(up_Irr!E12+up_Irr!AD12)),IF(AND(up_Irr!E12&lt;&gt;".",up_Irr!AD12=".",up_Irr!BC12&lt;&gt;"."),up_dir!AF12/((1/1000)*(up_Irr!E12+up_Irr!BC12)),IF(AND(up_Irr!E12=".",up_Irr!AD12&lt;&gt;".",up_Irr!BC12&lt;&gt;"."),up_dir!AF12/((1/1000)*(up_Irr!AD12+up_Irr!BC12)),IF(AND(up_Irr!E12=".",up_Irr!AD12=".",up_Irr!BC12&lt;&gt;"."),up_dir!AF12/((1/1000)*(up_Irr!BC12)),IF(AND(up_Irr!E12=".",up_Irr!AD12&lt;&gt;".",up_Irr!BC12="."),up_dir!AF12/((1/1000)*(up_Irr!AD12)),IF(AND(up_Irr!E12&lt;&gt;".",up_Irr!AD12=".",up_Irr!BC12="."),up_dir!AF12/((1/1000)*(up_Irr!E12)),IF(AND(up_Irr!E12=".",up_Irr!AD12=".",up_Irr!BC12="."),up_dir!AF12*1000)))))))),".")</f>
        <v>6.5773651144152131E-4</v>
      </c>
      <c r="BG12" s="70">
        <f>IFERROR(IF(AND(up_Irr!F12&lt;&gt;".",up_Irr!AE12&lt;&gt;".",up_Irr!BD12&lt;&gt;"."),up_dir!AG12/((1/1000)*(up_Irr!F12+up_Irr!AE12+up_Irr!BD12)),IF(AND(up_Irr!F12&lt;&gt;".",up_Irr!AE12&lt;&gt;".",up_Irr!BD12="."),up_dir!AG12/((1/1000)*(up_Irr!F12+up_Irr!AE12)),IF(AND(up_Irr!F12&lt;&gt;".",up_Irr!AE12=".",up_Irr!BD12&lt;&gt;"."),up_dir!AG12/((1/1000)*(up_Irr!F12+up_Irr!BD12)),IF(AND(up_Irr!F12=".",up_Irr!AE12&lt;&gt;".",up_Irr!BD12&lt;&gt;"."),up_dir!AG12/((1/1000)*(up_Irr!AE12+up_Irr!BD12)),IF(AND(up_Irr!F12=".",up_Irr!AE12=".",up_Irr!BD12&lt;&gt;"."),up_dir!AG12/((1/1000)*(up_Irr!BD12)),IF(AND(up_Irr!F12=".",up_Irr!AE12&lt;&gt;".",up_Irr!BD12="."),up_dir!AG12/((1/1000)*(up_Irr!AE12)),IF(AND(up_Irr!F12&lt;&gt;".",up_Irr!AE12=".",up_Irr!BD12="."),up_dir!AG12/((1/1000)*(up_Irr!F12)),IF(AND(up_Irr!F12=".",up_Irr!AE12=".",up_Irr!BD12="."),up_dir!AG12*1000)))))))),".")</f>
        <v>6.5773651144152131E-4</v>
      </c>
      <c r="BH12" s="70">
        <f>IFERROR(IF(AND(up_Irr!G12&lt;&gt;".",up_Irr!AF12&lt;&gt;".",up_Irr!BE12&lt;&gt;"."),up_dir!AH12/((1/1000)*(up_Irr!G12+up_Irr!AF12+up_Irr!BE12)),IF(AND(up_Irr!G12&lt;&gt;".",up_Irr!AF12&lt;&gt;".",up_Irr!BE12="."),up_dir!AH12/((1/1000)*(up_Irr!G12+up_Irr!AF12)),IF(AND(up_Irr!G12&lt;&gt;".",up_Irr!AF12=".",up_Irr!BE12&lt;&gt;"."),up_dir!AH12/((1/1000)*(up_Irr!G12+up_Irr!BE12)),IF(AND(up_Irr!G12=".",up_Irr!AF12&lt;&gt;".",up_Irr!BE12&lt;&gt;"."),up_dir!AH12/((1/1000)*(up_Irr!AF12+up_Irr!BE12)),IF(AND(up_Irr!G12=".",up_Irr!AF12=".",up_Irr!BE12&lt;&gt;"."),up_dir!AH12/((1/1000)*(up_Irr!BE12)),IF(AND(up_Irr!G12=".",up_Irr!AF12&lt;&gt;".",up_Irr!BE12="."),up_dir!AH12/((1/1000)*(up_Irr!AF12)),IF(AND(up_Irr!G12&lt;&gt;".",up_Irr!AF12=".",up_Irr!BE12="."),up_dir!AH12/((1/1000)*(up_Irr!G12)),IF(AND(up_Irr!G12=".",up_Irr!AF12=".",up_Irr!BE12="."),up_dir!AH12*1000)))))))),".")</f>
        <v>6.5773651144152131E-4</v>
      </c>
      <c r="BI12" s="70">
        <f>IFERROR(IF(AND(up_Irr!H12&lt;&gt;".",up_Irr!AG12&lt;&gt;".",up_Irr!BF12&lt;&gt;"."),up_dir!AI12/((1/1000)*(up_Irr!H12+up_Irr!AG12+up_Irr!BF12)),IF(AND(up_Irr!H12&lt;&gt;".",up_Irr!AG12&lt;&gt;".",up_Irr!BF12="."),up_dir!AI12/((1/1000)*(up_Irr!H12+up_Irr!AG12)),IF(AND(up_Irr!H12&lt;&gt;".",up_Irr!AG12=".",up_Irr!BF12&lt;&gt;"."),up_dir!AI12/((1/1000)*(up_Irr!H12+up_Irr!BF12)),IF(AND(up_Irr!H12=".",up_Irr!AG12&lt;&gt;".",up_Irr!BF12&lt;&gt;"."),up_dir!AI12/((1/1000)*(up_Irr!AG12+up_Irr!BF12)),IF(AND(up_Irr!H12=".",up_Irr!AG12=".",up_Irr!BF12&lt;&gt;"."),up_dir!AI12/((1/1000)*(up_Irr!BF12)),IF(AND(up_Irr!H12=".",up_Irr!AG12&lt;&gt;".",up_Irr!BF12="."),up_dir!AI12/((1/1000)*(up_Irr!AG12)),IF(AND(up_Irr!H12&lt;&gt;".",up_Irr!AG12=".",up_Irr!BF12="."),up_dir!AI12/((1/1000)*(up_Irr!H12)),IF(AND(up_Irr!H12=".",up_Irr!AG12=".",up_Irr!BF12="."),up_dir!AI12*1000)))))))),".")</f>
        <v>6.5773651144152131E-4</v>
      </c>
      <c r="BJ12" s="70">
        <f>IFERROR(IF(AND(up_Irr!I12&lt;&gt;".",up_Irr!AH12&lt;&gt;".",up_Irr!BG12&lt;&gt;"."),up_dir!AJ12/((1/1000)*(up_Irr!I12+up_Irr!AH12+up_Irr!BG12)),IF(AND(up_Irr!I12&lt;&gt;".",up_Irr!AH12&lt;&gt;".",up_Irr!BG12="."),up_dir!AJ12/((1/1000)*(up_Irr!I12+up_Irr!AH12)),IF(AND(up_Irr!I12&lt;&gt;".",up_Irr!AH12=".",up_Irr!BG12&lt;&gt;"."),up_dir!AJ12/((1/1000)*(up_Irr!I12+up_Irr!BG12)),IF(AND(up_Irr!I12=".",up_Irr!AH12&lt;&gt;".",up_Irr!BG12&lt;&gt;"."),up_dir!AJ12/((1/1000)*(up_Irr!AH12+up_Irr!BG12)),IF(AND(up_Irr!I12=".",up_Irr!AH12=".",up_Irr!BG12&lt;&gt;"."),up_dir!AJ12/((1/1000)*(up_Irr!BG12)),IF(AND(up_Irr!I12=".",up_Irr!AH12&lt;&gt;".",up_Irr!BG12="."),up_dir!AJ12/((1/1000)*(up_Irr!AH12)),IF(AND(up_Irr!I12&lt;&gt;".",up_Irr!AH12=".",up_Irr!BG12="."),up_dir!AJ12/((1/1000)*(up_Irr!I12)),IF(AND(up_Irr!I12=".",up_Irr!AH12=".",up_Irr!BG12="."),up_dir!AJ12*1000)))))))),".")</f>
        <v>6.5773651144152131E-4</v>
      </c>
      <c r="BK12" s="70">
        <f>IFERROR(IF(AND(up_Irr!J12&lt;&gt;".",up_Irr!AI12&lt;&gt;".",up_Irr!BH12&lt;&gt;"."),up_dir!AK12/((1/1000)*(up_Irr!J12+up_Irr!AI12+up_Irr!BH12)),IF(AND(up_Irr!J12&lt;&gt;".",up_Irr!AI12&lt;&gt;".",up_Irr!BH12="."),up_dir!AK12/((1/1000)*(up_Irr!J12+up_Irr!AI12)),IF(AND(up_Irr!J12&lt;&gt;".",up_Irr!AI12=".",up_Irr!BH12&lt;&gt;"."),up_dir!AK12/((1/1000)*(up_Irr!J12+up_Irr!BH12)),IF(AND(up_Irr!J12=".",up_Irr!AI12&lt;&gt;".",up_Irr!BH12&lt;&gt;"."),up_dir!AK12/((1/1000)*(up_Irr!AI12+up_Irr!BH12)),IF(AND(up_Irr!J12=".",up_Irr!AI12=".",up_Irr!BH12&lt;&gt;"."),up_dir!AK12/((1/1000)*(up_Irr!BH12)),IF(AND(up_Irr!J12=".",up_Irr!AI12&lt;&gt;".",up_Irr!BH12="."),up_dir!AK12/((1/1000)*(up_Irr!AI12)),IF(AND(up_Irr!J12&lt;&gt;".",up_Irr!AI12=".",up_Irr!BH12="."),up_dir!AK12/((1/1000)*(up_Irr!J12)),IF(AND(up_Irr!J12=".",up_Irr!AI12=".",up_Irr!BH12="."),up_dir!AK12*1000)))))))),".")</f>
        <v>6.5773651144152131E-4</v>
      </c>
      <c r="BL12" s="70">
        <f>IFERROR(IF(AND(up_Irr!K12&lt;&gt;".",up_Irr!AJ12&lt;&gt;".",up_Irr!BI12&lt;&gt;"."),up_dir!AL12/((1/1000)*(up_Irr!K12+up_Irr!AJ12+up_Irr!BI12)),IF(AND(up_Irr!K12&lt;&gt;".",up_Irr!AJ12&lt;&gt;".",up_Irr!BI12="."),up_dir!AL12/((1/1000)*(up_Irr!K12+up_Irr!AJ12)),IF(AND(up_Irr!K12&lt;&gt;".",up_Irr!AJ12=".",up_Irr!BI12&lt;&gt;"."),up_dir!AL12/((1/1000)*(up_Irr!K12+up_Irr!BI12)),IF(AND(up_Irr!K12=".",up_Irr!AJ12&lt;&gt;".",up_Irr!BI12&lt;&gt;"."),up_dir!AL12/((1/1000)*(up_Irr!AJ12+up_Irr!BI12)),IF(AND(up_Irr!K12=".",up_Irr!AJ12=".",up_Irr!BI12&lt;&gt;"."),up_dir!AL12/((1/1000)*(up_Irr!BI12)),IF(AND(up_Irr!K12=".",up_Irr!AJ12&lt;&gt;".",up_Irr!BI12="."),up_dir!AL12/((1/1000)*(up_Irr!AJ12)),IF(AND(up_Irr!K12&lt;&gt;".",up_Irr!AJ12=".",up_Irr!BI12="."),up_dir!AL12/((1/1000)*(up_Irr!K12)),IF(AND(up_Irr!K12=".",up_Irr!AJ12=".",up_Irr!BI12="."),up_dir!AL12*1000)))))))),".")</f>
        <v>6.5773651144152131E-4</v>
      </c>
      <c r="BM12" s="70">
        <f>IFERROR(IF(AND(up_Irr!L12&lt;&gt;".",up_Irr!AK12&lt;&gt;".",up_Irr!BJ12&lt;&gt;"."),up_dir!AM12/((1/1000)*(up_Irr!L12+up_Irr!AK12+up_Irr!BJ12)),IF(AND(up_Irr!L12&lt;&gt;".",up_Irr!AK12&lt;&gt;".",up_Irr!BJ12="."),up_dir!AM12/((1/1000)*(up_Irr!L12+up_Irr!AK12)),IF(AND(up_Irr!L12&lt;&gt;".",up_Irr!AK12=".",up_Irr!BJ12&lt;&gt;"."),up_dir!AM12/((1/1000)*(up_Irr!L12+up_Irr!BJ12)),IF(AND(up_Irr!L12=".",up_Irr!AK12&lt;&gt;".",up_Irr!BJ12&lt;&gt;"."),up_dir!AM12/((1/1000)*(up_Irr!AK12+up_Irr!BJ12)),IF(AND(up_Irr!L12=".",up_Irr!AK12=".",up_Irr!BJ12&lt;&gt;"."),up_dir!AM12/((1/1000)*(up_Irr!BJ12)),IF(AND(up_Irr!L12=".",up_Irr!AK12&lt;&gt;".",up_Irr!BJ12="."),up_dir!AM12/((1/1000)*(up_Irr!AK12)),IF(AND(up_Irr!L12&lt;&gt;".",up_Irr!AK12=".",up_Irr!BJ12="."),up_dir!AM12/((1/1000)*(up_Irr!L12)),IF(AND(up_Irr!L12=".",up_Irr!AK12=".",up_Irr!BJ12="."),up_dir!AM12*1000)))))))),".")</f>
        <v>6.5773651144152131E-4</v>
      </c>
      <c r="BN12" s="70">
        <f>IFERROR(IF(AND(up_Irr!M12&lt;&gt;".",up_Irr!AL12&lt;&gt;".",up_Irr!BK12&lt;&gt;"."),up_dir!AN12/((1/1000)*(up_Irr!M12+up_Irr!AL12+up_Irr!BK12)),IF(AND(up_Irr!M12&lt;&gt;".",up_Irr!AL12&lt;&gt;".",up_Irr!BK12="."),up_dir!AN12/((1/1000)*(up_Irr!M12+up_Irr!AL12)),IF(AND(up_Irr!M12&lt;&gt;".",up_Irr!AL12=".",up_Irr!BK12&lt;&gt;"."),up_dir!AN12/((1/1000)*(up_Irr!M12+up_Irr!BK12)),IF(AND(up_Irr!M12=".",up_Irr!AL12&lt;&gt;".",up_Irr!BK12&lt;&gt;"."),up_dir!AN12/((1/1000)*(up_Irr!AL12+up_Irr!BK12)),IF(AND(up_Irr!M12=".",up_Irr!AL12=".",up_Irr!BK12&lt;&gt;"."),up_dir!AN12/((1/1000)*(up_Irr!BK12)),IF(AND(up_Irr!M12=".",up_Irr!AL12&lt;&gt;".",up_Irr!BK12="."),up_dir!AN12/((1/1000)*(up_Irr!AL12)),IF(AND(up_Irr!M12&lt;&gt;".",up_Irr!AL12=".",up_Irr!BK12="."),up_dir!AN12/((1/1000)*(up_Irr!M12)),IF(AND(up_Irr!M12=".",up_Irr!AL12=".",up_Irr!BK12="."),up_dir!AN12*1000)))))))),".")</f>
        <v>6.5773651144152131E-4</v>
      </c>
      <c r="BO12" s="70">
        <f>IFERROR(IF(AND(up_Irr!N12&lt;&gt;".",up_Irr!AM12&lt;&gt;".",up_Irr!BL12&lt;&gt;"."),up_dir!AO12/((1/1000)*(up_Irr!N12+up_Irr!AM12+up_Irr!BL12)),IF(AND(up_Irr!N12&lt;&gt;".",up_Irr!AM12&lt;&gt;".",up_Irr!BL12="."),up_dir!AO12/((1/1000)*(up_Irr!N12+up_Irr!AM12)),IF(AND(up_Irr!N12&lt;&gt;".",up_Irr!AM12=".",up_Irr!BL12&lt;&gt;"."),up_dir!AO12/((1/1000)*(up_Irr!N12+up_Irr!BL12)),IF(AND(up_Irr!N12=".",up_Irr!AM12&lt;&gt;".",up_Irr!BL12&lt;&gt;"."),up_dir!AO12/((1/1000)*(up_Irr!AM12+up_Irr!BL12)),IF(AND(up_Irr!N12=".",up_Irr!AM12=".",up_Irr!BL12&lt;&gt;"."),up_dir!AO12/((1/1000)*(up_Irr!BL12)),IF(AND(up_Irr!N12=".",up_Irr!AM12&lt;&gt;".",up_Irr!BL12="."),up_dir!AO12/((1/1000)*(up_Irr!AM12)),IF(AND(up_Irr!N12&lt;&gt;".",up_Irr!AM12=".",up_Irr!BL12="."),up_dir!AO12/((1/1000)*(up_Irr!N12)),IF(AND(up_Irr!N12=".",up_Irr!AM12=".",up_Irr!BL12="."),up_dir!AO12*1000)))))))),".")</f>
        <v>6.5773651144152131E-4</v>
      </c>
      <c r="BP12" s="70">
        <f>IFERROR(IF(AND(up_Irr!O12&lt;&gt;".",up_Irr!AN12&lt;&gt;".",up_Irr!BM12&lt;&gt;"."),up_dir!AP12/((1/1000)*(up_Irr!O12+up_Irr!AN12+up_Irr!BM12)),IF(AND(up_Irr!O12&lt;&gt;".",up_Irr!AN12&lt;&gt;".",up_Irr!BM12="."),up_dir!AP12/((1/1000)*(up_Irr!O12+up_Irr!AN12)),IF(AND(up_Irr!O12&lt;&gt;".",up_Irr!AN12=".",up_Irr!BM12&lt;&gt;"."),up_dir!AP12/((1/1000)*(up_Irr!O12+up_Irr!BM12)),IF(AND(up_Irr!O12=".",up_Irr!AN12&lt;&gt;".",up_Irr!BM12&lt;&gt;"."),up_dir!AP12/((1/1000)*(up_Irr!AN12+up_Irr!BM12)),IF(AND(up_Irr!O12=".",up_Irr!AN12=".",up_Irr!BM12&lt;&gt;"."),up_dir!AP12/((1/1000)*(up_Irr!BM12)),IF(AND(up_Irr!O12=".",up_Irr!AN12&lt;&gt;".",up_Irr!BM12="."),up_dir!AP12/((1/1000)*(up_Irr!AN12)),IF(AND(up_Irr!O12&lt;&gt;".",up_Irr!AN12=".",up_Irr!BM12="."),up_dir!AP12/((1/1000)*(up_Irr!O12)),IF(AND(up_Irr!O12=".",up_Irr!AN12=".",up_Irr!BM12="."),up_dir!AP12*1000)))))))),".")</f>
        <v>6.5773651144152131E-4</v>
      </c>
      <c r="BQ12" s="70">
        <f>IFERROR(IF(AND(up_Irr!P12&lt;&gt;".",up_Irr!AO12&lt;&gt;".",up_Irr!BN12&lt;&gt;"."),up_dir!AQ12/((1/1000)*(up_Irr!P12+up_Irr!AO12+up_Irr!BN12)),IF(AND(up_Irr!P12&lt;&gt;".",up_Irr!AO12&lt;&gt;".",up_Irr!BN12="."),up_dir!AQ12/((1/1000)*(up_Irr!P12+up_Irr!AO12)),IF(AND(up_Irr!P12&lt;&gt;".",up_Irr!AO12=".",up_Irr!BN12&lt;&gt;"."),up_dir!AQ12/((1/1000)*(up_Irr!P12+up_Irr!BN12)),IF(AND(up_Irr!P12=".",up_Irr!AO12&lt;&gt;".",up_Irr!BN12&lt;&gt;"."),up_dir!AQ12/((1/1000)*(up_Irr!AO12+up_Irr!BN12)),IF(AND(up_Irr!P12=".",up_Irr!AO12=".",up_Irr!BN12&lt;&gt;"."),up_dir!AQ12/((1/1000)*(up_Irr!BN12)),IF(AND(up_Irr!P12=".",up_Irr!AO12&lt;&gt;".",up_Irr!BN12="."),up_dir!AQ12/((1/1000)*(up_Irr!AO12)),IF(AND(up_Irr!P12&lt;&gt;".",up_Irr!AO12=".",up_Irr!BN12="."),up_dir!AQ12/((1/1000)*(up_Irr!P12)),IF(AND(up_Irr!P12=".",up_Irr!AO12=".",up_Irr!BN12="."),up_dir!AQ12*1000)))))))),".")</f>
        <v>6.5773651144152131E-4</v>
      </c>
      <c r="BR12" s="70">
        <f>IFERROR(IF(AND(up_Irr!Q12&lt;&gt;".",up_Irr!AP12&lt;&gt;".",up_Irr!BO12&lt;&gt;"."),up_dir!AR12/((1/1000)*(up_Irr!Q12+up_Irr!AP12+up_Irr!BO12)),IF(AND(up_Irr!Q12&lt;&gt;".",up_Irr!AP12&lt;&gt;".",up_Irr!BO12="."),up_dir!AR12/((1/1000)*(up_Irr!Q12+up_Irr!AP12)),IF(AND(up_Irr!Q12&lt;&gt;".",up_Irr!AP12=".",up_Irr!BO12&lt;&gt;"."),up_dir!AR12/((1/1000)*(up_Irr!Q12+up_Irr!BO12)),IF(AND(up_Irr!Q12=".",up_Irr!AP12&lt;&gt;".",up_Irr!BO12&lt;&gt;"."),up_dir!AR12/((1/1000)*(up_Irr!AP12+up_Irr!BO12)),IF(AND(up_Irr!Q12=".",up_Irr!AP12=".",up_Irr!BO12&lt;&gt;"."),up_dir!AR12/((1/1000)*(up_Irr!BO12)),IF(AND(up_Irr!Q12=".",up_Irr!AP12&lt;&gt;".",up_Irr!BO12="."),up_dir!AR12/((1/1000)*(up_Irr!AP12)),IF(AND(up_Irr!Q12&lt;&gt;".",up_Irr!AP12=".",up_Irr!BO12="."),up_dir!AR12/((1/1000)*(up_Irr!Q12)),IF(AND(up_Irr!Q12=".",up_Irr!AP12=".",up_Irr!BO12="."),up_dir!AR12*1000)))))))),".")</f>
        <v>6.5773651144152131E-4</v>
      </c>
      <c r="BS12" s="70">
        <f>IFERROR(IF(AND(up_Irr!R12&lt;&gt;".",up_Irr!AQ12&lt;&gt;".",up_Irr!BP12&lt;&gt;"."),up_dir!AS12/((1/1000)*(up_Irr!R12+up_Irr!AQ12+up_Irr!BP12)),IF(AND(up_Irr!R12&lt;&gt;".",up_Irr!AQ12&lt;&gt;".",up_Irr!BP12="."),up_dir!AS12/((1/1000)*(up_Irr!R12+up_Irr!AQ12)),IF(AND(up_Irr!R12&lt;&gt;".",up_Irr!AQ12=".",up_Irr!BP12&lt;&gt;"."),up_dir!AS12/((1/1000)*(up_Irr!R12+up_Irr!BP12)),IF(AND(up_Irr!R12=".",up_Irr!AQ12&lt;&gt;".",up_Irr!BP12&lt;&gt;"."),up_dir!AS12/((1/1000)*(up_Irr!AQ12+up_Irr!BP12)),IF(AND(up_Irr!R12=".",up_Irr!AQ12=".",up_Irr!BP12&lt;&gt;"."),up_dir!AS12/((1/1000)*(up_Irr!BP12)),IF(AND(up_Irr!R12=".",up_Irr!AQ12&lt;&gt;".",up_Irr!BP12="."),up_dir!AS12/((1/1000)*(up_Irr!AQ12)),IF(AND(up_Irr!R12&lt;&gt;".",up_Irr!AQ12=".",up_Irr!BP12="."),up_dir!AS12/((1/1000)*(up_Irr!R12)),IF(AND(up_Irr!R12=".",up_Irr!AQ12=".",up_Irr!BP12="."),up_dir!AS12*1000)))))))),".")</f>
        <v>6.5773651144152131E-4</v>
      </c>
      <c r="BT12" s="70">
        <f>IFERROR(IF(AND(up_Irr!S12&lt;&gt;".",up_Irr!AR12&lt;&gt;".",up_Irr!BQ12&lt;&gt;"."),up_dir!AT12/((1/1000)*(up_Irr!S12+up_Irr!AR12+up_Irr!BQ12)),IF(AND(up_Irr!S12&lt;&gt;".",up_Irr!AR12&lt;&gt;".",up_Irr!BQ12="."),up_dir!AT12/((1/1000)*(up_Irr!S12+up_Irr!AR12)),IF(AND(up_Irr!S12&lt;&gt;".",up_Irr!AR12=".",up_Irr!BQ12&lt;&gt;"."),up_dir!AT12/((1/1000)*(up_Irr!S12+up_Irr!BQ12)),IF(AND(up_Irr!S12=".",up_Irr!AR12&lt;&gt;".",up_Irr!BQ12&lt;&gt;"."),up_dir!AT12/((1/1000)*(up_Irr!AR12+up_Irr!BQ12)),IF(AND(up_Irr!S12=".",up_Irr!AR12=".",up_Irr!BQ12&lt;&gt;"."),up_dir!AT12/((1/1000)*(up_Irr!BQ12)),IF(AND(up_Irr!S12=".",up_Irr!AR12&lt;&gt;".",up_Irr!BQ12="."),up_dir!AT12/((1/1000)*(up_Irr!AR12)),IF(AND(up_Irr!S12&lt;&gt;".",up_Irr!AR12=".",up_Irr!BQ12="."),up_dir!AT12/((1/1000)*(up_Irr!S12)),IF(AND(up_Irr!S12=".",up_Irr!AR12=".",up_Irr!BQ12="."),up_dir!AT12*1000)))))))),".")</f>
        <v>6.5773651144152131E-4</v>
      </c>
      <c r="BU12" s="70">
        <f>IFERROR(IF(AND(up_Irr!T12&lt;&gt;".",up_Irr!AS12&lt;&gt;".",up_Irr!BR12&lt;&gt;"."),up_dir!AU12/((1/1000)*(up_Irr!T12+up_Irr!AS12+up_Irr!BR12)),IF(AND(up_Irr!T12&lt;&gt;".",up_Irr!AS12&lt;&gt;".",up_Irr!BR12="."),up_dir!AU12/((1/1000)*(up_Irr!T12+up_Irr!AS12)),IF(AND(up_Irr!T12&lt;&gt;".",up_Irr!AS12=".",up_Irr!BR12&lt;&gt;"."),up_dir!AU12/((1/1000)*(up_Irr!T12+up_Irr!BR12)),IF(AND(up_Irr!T12=".",up_Irr!AS12&lt;&gt;".",up_Irr!BR12&lt;&gt;"."),up_dir!AU12/((1/1000)*(up_Irr!AS12+up_Irr!BR12)),IF(AND(up_Irr!T12=".",up_Irr!AS12=".",up_Irr!BR12&lt;&gt;"."),up_dir!AU12/((1/1000)*(up_Irr!BR12)),IF(AND(up_Irr!T12=".",up_Irr!AS12&lt;&gt;".",up_Irr!BR12="."),up_dir!AU12/((1/1000)*(up_Irr!AS12)),IF(AND(up_Irr!T12&lt;&gt;".",up_Irr!AS12=".",up_Irr!BR12="."),up_dir!AU12/((1/1000)*(up_Irr!T12)),IF(AND(up_Irr!T12=".",up_Irr!AS12=".",up_Irr!BR12="."),up_dir!AU12*1000)))))))),".")</f>
        <v>6.5773651144152131E-4</v>
      </c>
      <c r="BV12" s="70">
        <f>IFERROR(IF(AND(up_Irr!U12&lt;&gt;".",up_Irr!AT12&lt;&gt;".",up_Irr!BS12&lt;&gt;"."),up_dir!AV12/((1/1000)*(up_Irr!U12+up_Irr!AT12+up_Irr!BS12)),IF(AND(up_Irr!U12&lt;&gt;".",up_Irr!AT12&lt;&gt;".",up_Irr!BS12="."),up_dir!AV12/((1/1000)*(up_Irr!U12+up_Irr!AT12)),IF(AND(up_Irr!U12&lt;&gt;".",up_Irr!AT12=".",up_Irr!BS12&lt;&gt;"."),up_dir!AV12/((1/1000)*(up_Irr!U12+up_Irr!BS12)),IF(AND(up_Irr!U12=".",up_Irr!AT12&lt;&gt;".",up_Irr!BS12&lt;&gt;"."),up_dir!AV12/((1/1000)*(up_Irr!AT12+up_Irr!BS12)),IF(AND(up_Irr!U12=".",up_Irr!AT12=".",up_Irr!BS12&lt;&gt;"."),up_dir!AV12/((1/1000)*(up_Irr!BS12)),IF(AND(up_Irr!U12=".",up_Irr!AT12&lt;&gt;".",up_Irr!BS12="."),up_dir!AV12/((1/1000)*(up_Irr!AT12)),IF(AND(up_Irr!U12&lt;&gt;".",up_Irr!AT12=".",up_Irr!BS12="."),up_dir!AV12/((1/1000)*(up_Irr!U12)),IF(AND(up_Irr!U12=".",up_Irr!AT12=".",up_Irr!BS12="."),up_dir!AV12*1000)))))))),".")</f>
        <v>6.5773651144152131E-4</v>
      </c>
      <c r="BW12" s="70">
        <f>IFERROR(IF(AND(up_Irr!V12&lt;&gt;".",up_Irr!AU12&lt;&gt;".",up_Irr!BT12&lt;&gt;"."),up_dir!AW12/((1/1000)*(up_Irr!V12+up_Irr!AU12+up_Irr!BT12)),IF(AND(up_Irr!V12&lt;&gt;".",up_Irr!AU12&lt;&gt;".",up_Irr!BT12="."),up_dir!AW12/((1/1000)*(up_Irr!V12+up_Irr!AU12)),IF(AND(up_Irr!V12&lt;&gt;".",up_Irr!AU12=".",up_Irr!BT12&lt;&gt;"."),up_dir!AW12/((1/1000)*(up_Irr!V12+up_Irr!BT12)),IF(AND(up_Irr!V12=".",up_Irr!AU12&lt;&gt;".",up_Irr!BT12&lt;&gt;"."),up_dir!AW12/((1/1000)*(up_Irr!AU12+up_Irr!BT12)),IF(AND(up_Irr!V12=".",up_Irr!AU12=".",up_Irr!BT12&lt;&gt;"."),up_dir!AW12/((1/1000)*(up_Irr!BT12)),IF(AND(up_Irr!V12=".",up_Irr!AU12&lt;&gt;".",up_Irr!BT12="."),up_dir!AW12/((1/1000)*(up_Irr!AU12)),IF(AND(up_Irr!V12&lt;&gt;".",up_Irr!AU12=".",up_Irr!BT12="."),up_dir!AW12/((1/1000)*(up_Irr!V12)),IF(AND(up_Irr!V12=".",up_Irr!AU12=".",up_Irr!BT12="."),up_dir!AW12*1000)))))))),".")</f>
        <v>6.5773651144152131E-4</v>
      </c>
      <c r="BX12" s="70">
        <f>IFERROR(IF(AND(up_Irr!W12&lt;&gt;".",up_Irr!AV12&lt;&gt;".",up_Irr!BU12&lt;&gt;"."),up_dir!AX12/((1/1000)*(up_Irr!W12+up_Irr!AV12+up_Irr!BU12)),IF(AND(up_Irr!W12&lt;&gt;".",up_Irr!AV12&lt;&gt;".",up_Irr!BU12="."),up_dir!AX12/((1/1000)*(up_Irr!W12+up_Irr!AV12)),IF(AND(up_Irr!W12&lt;&gt;".",up_Irr!AV12=".",up_Irr!BU12&lt;&gt;"."),up_dir!AX12/((1/1000)*(up_Irr!W12+up_Irr!BU12)),IF(AND(up_Irr!W12=".",up_Irr!AV12&lt;&gt;".",up_Irr!BU12&lt;&gt;"."),up_dir!AX12/((1/1000)*(up_Irr!AV12+up_Irr!BU12)),IF(AND(up_Irr!W12=".",up_Irr!AV12=".",up_Irr!BU12&lt;&gt;"."),up_dir!AX12/((1/1000)*(up_Irr!BU12)),IF(AND(up_Irr!W12=".",up_Irr!AV12&lt;&gt;".",up_Irr!BU12="."),up_dir!AX12/((1/1000)*(up_Irr!AV12)),IF(AND(up_Irr!W12&lt;&gt;".",up_Irr!AV12=".",up_Irr!BU12="."),up_dir!AX12/((1/1000)*(up_Irr!W12)),IF(AND(up_Irr!W12=".",up_Irr!AV12=".",up_Irr!BU12="."),up_dir!AX12*1000)))))))),".")</f>
        <v>6.5773651144152131E-4</v>
      </c>
      <c r="BY12" s="70">
        <f>IFERROR(IF(AND(up_Irr!X12&lt;&gt;".",up_Irr!AW12&lt;&gt;".",up_Irr!BV12&lt;&gt;"."),up_dir!AY12/((1/1000)*(up_Irr!X12+up_Irr!AW12+up_Irr!BV12)),IF(AND(up_Irr!X12&lt;&gt;".",up_Irr!AW12&lt;&gt;".",up_Irr!BV12="."),up_dir!AY12/((1/1000)*(up_Irr!X12+up_Irr!AW12)),IF(AND(up_Irr!X12&lt;&gt;".",up_Irr!AW12=".",up_Irr!BV12&lt;&gt;"."),up_dir!AY12/((1/1000)*(up_Irr!X12+up_Irr!BV12)),IF(AND(up_Irr!X12=".",up_Irr!AW12&lt;&gt;".",up_Irr!BV12&lt;&gt;"."),up_dir!AY12/((1/1000)*(up_Irr!AW12+up_Irr!BV12)),IF(AND(up_Irr!X12=".",up_Irr!AW12=".",up_Irr!BV12&lt;&gt;"."),up_dir!AY12/((1/1000)*(up_Irr!BV12)),IF(AND(up_Irr!X12=".",up_Irr!AW12&lt;&gt;".",up_Irr!BV12="."),up_dir!AY12/((1/1000)*(up_Irr!AW12)),IF(AND(up_Irr!X12&lt;&gt;".",up_Irr!AW12=".",up_Irr!BV12="."),up_dir!AY12/((1/1000)*(up_Irr!X12)),IF(AND(up_Irr!X12=".",up_Irr!AW12=".",up_Irr!BV12="."),up_dir!AY12*1000)))))))),".")</f>
        <v>6.5773651144152131E-4</v>
      </c>
      <c r="BZ12" s="70">
        <f>IFERROR(IF(AND(up_Irr!Y12&lt;&gt;".",up_Irr!AX12&lt;&gt;".",up_Irr!BW12&lt;&gt;"."),up_dir!AZ12/((1/1000)*(up_Irr!Y12+up_Irr!AX12+up_Irr!BW12)),IF(AND(up_Irr!Y12&lt;&gt;".",up_Irr!AX12&lt;&gt;".",up_Irr!BW12="."),up_dir!AZ12/((1/1000)*(up_Irr!Y12+up_Irr!AX12)),IF(AND(up_Irr!Y12&lt;&gt;".",up_Irr!AX12=".",up_Irr!BW12&lt;&gt;"."),up_dir!AZ12/((1/1000)*(up_Irr!Y12+up_Irr!BW12)),IF(AND(up_Irr!Y12=".",up_Irr!AX12&lt;&gt;".",up_Irr!BW12&lt;&gt;"."),up_dir!AZ12/((1/1000)*(up_Irr!AX12+up_Irr!BW12)),IF(AND(up_Irr!Y12=".",up_Irr!AX12=".",up_Irr!BW12&lt;&gt;"."),up_dir!AZ12/((1/1000)*(up_Irr!BW12)),IF(AND(up_Irr!Y12=".",up_Irr!AX12&lt;&gt;".",up_Irr!BW12="."),up_dir!AZ12/((1/1000)*(up_Irr!AX12)),IF(AND(up_Irr!Y12&lt;&gt;".",up_Irr!AX12=".",up_Irr!BW12="."),up_dir!AZ12/((1/1000)*(up_Irr!Y12)),IF(AND(up_Irr!Y12=".",up_Irr!AX12=".",up_Irr!BW12="."),up_dir!AZ12*1000)))))))),".")</f>
        <v>6.5773651144152131E-4</v>
      </c>
      <c r="CA12" s="70">
        <f>IFERROR(IF(AND(up_Irr!Z12&lt;&gt;".",up_Irr!AY12&lt;&gt;".",up_Irr!BX12&lt;&gt;"."),up_dir!BA12/((1/1000)*(up_Irr!Z12+up_Irr!AY12+up_Irr!BX12)),IF(AND(up_Irr!Z12&lt;&gt;".",up_Irr!AY12&lt;&gt;".",up_Irr!BX12="."),up_dir!BA12/((1/1000)*(up_Irr!Z12+up_Irr!AY12)),IF(AND(up_Irr!Z12&lt;&gt;".",up_Irr!AY12=".",up_Irr!BX12&lt;&gt;"."),up_dir!BA12/((1/1000)*(up_Irr!Z12+up_Irr!BX12)),IF(AND(up_Irr!Z12=".",up_Irr!AY12&lt;&gt;".",up_Irr!BX12&lt;&gt;"."),up_dir!BA12/((1/1000)*(up_Irr!AY12+up_Irr!BX12)),IF(AND(up_Irr!Z12=".",up_Irr!AY12=".",up_Irr!BX12&lt;&gt;"."),up_dir!BA12/((1/1000)*(up_Irr!BX12)),IF(AND(up_Irr!Z12=".",up_Irr!AY12&lt;&gt;".",up_Irr!BX12="."),up_dir!BA12/((1/1000)*(up_Irr!AY12)),IF(AND(up_Irr!Z12&lt;&gt;".",up_Irr!AY12=".",up_Irr!BX12="."),up_dir!BA12/((1/1000)*(up_Irr!Z12)),IF(AND(up_Irr!Z12=".",up_Irr!AY12=".",up_Irr!BX12="."),up_dir!BA12*1000)))))))),".")</f>
        <v>6.5773651144152131E-4</v>
      </c>
      <c r="CB12" s="70">
        <f>IFERROR(IF(AND(up_Irr!AA12&lt;&gt;".",up_Irr!AZ12&lt;&gt;".",up_Irr!BY12&lt;&gt;"."),up_dir!BB12/((1/1000)*(up_Irr!AA12+up_Irr!AZ12+up_Irr!BY12)),IF(AND(up_Irr!AA12&lt;&gt;".",up_Irr!AZ12&lt;&gt;".",up_Irr!BY12="."),up_dir!BB12/((1/1000)*(up_Irr!AA12+up_Irr!AZ12)),IF(AND(up_Irr!AA12&lt;&gt;".",up_Irr!AZ12=".",up_Irr!BY12&lt;&gt;"."),up_dir!BB12/((1/1000)*(up_Irr!AA12+up_Irr!BY12)),IF(AND(up_Irr!AA12=".",up_Irr!AZ12&lt;&gt;".",up_Irr!BY12&lt;&gt;"."),up_dir!BB12/((1/1000)*(up_Irr!AZ12+up_Irr!BY12)),IF(AND(up_Irr!AA12=".",up_Irr!AZ12=".",up_Irr!BY12&lt;&gt;"."),up_dir!BB12/((1/1000)*(up_Irr!BY12)),IF(AND(up_Irr!AA12=".",up_Irr!AZ12&lt;&gt;".",up_Irr!BY12="."),up_dir!BB12/((1/1000)*(up_Irr!AZ12)),IF(AND(up_Irr!AA12&lt;&gt;".",up_Irr!AZ12=".",up_Irr!BY12="."),up_dir!BB12/((1/1000)*(up_Irr!AA12)),IF(AND(up_Irr!AA12=".",up_Irr!AZ12=".",up_Irr!BY12="."),up_dir!BB12*1000)))))))),".")</f>
        <v>6.5773651144152131E-4</v>
      </c>
      <c r="CC12" s="87">
        <f t="shared" si="3"/>
        <v>30407.313038114935</v>
      </c>
      <c r="CD12" s="87">
        <f>IFERROR(s_C*s_IFAP_far_adj*s_CF_apple*(1/1000)*(up_Irr!C12+up_Irr!AB12+up_Irr!BA12),".")</f>
        <v>7601.8282595287337</v>
      </c>
      <c r="CE12" s="87">
        <f>IFERROR(s_C*s_IFAS_far_adj*s_CF_asparagus*(1/1000)*(up_Irr!D12+up_Irr!AC12+up_Irr!BB12),".")</f>
        <v>7601.8282595287337</v>
      </c>
      <c r="CF12" s="87">
        <f>IFERROR(s_C*s_IFBT_far_adj*s_CF_beet*(1/1000)*(up_Irr!E12+up_Irr!AD12+up_Irr!BC12),".")</f>
        <v>7601.8282595287337</v>
      </c>
      <c r="CG12" s="87">
        <f>IFERROR(s_C*s_IFBE_far_adj*s_CF_berries*(1/1000)*(up_Irr!F12+up_Irr!AE12+up_Irr!BD12),".")</f>
        <v>7601.8282595287337</v>
      </c>
      <c r="CH12" s="87">
        <f>IFERROR(s_C*s_IFBR_far_adj*s_CF_broccoli*(1/1000)*(up_Irr!G12+up_Irr!AF12+up_Irr!BE12),".")</f>
        <v>7601.8282595287337</v>
      </c>
      <c r="CI12" s="87">
        <f>IFERROR(s_C*s_IFCB_far_adj*s_CF_cabbage*(1/1000)*(up_Irr!H12+up_Irr!AG12+up_Irr!BF12),".")</f>
        <v>7601.8282595287337</v>
      </c>
      <c r="CJ12" s="87">
        <f>IFERROR(s_C*s_IFCR_far_adj*s_CF_carrot*(1/1000)*(up_Irr!I12+up_Irr!AH12+up_Irr!BG12),".")</f>
        <v>7601.8282595287337</v>
      </c>
      <c r="CK12" s="87">
        <f>IFERROR(s_C*s_IFCI_far_adj*s_CF_citrus*(1/1000)*(up_Irr!J12+up_Irr!AI12+up_Irr!BH12),".")</f>
        <v>7601.8282595287337</v>
      </c>
      <c r="CL12" s="87">
        <f>IFERROR(s_C*s_IFCO_far_adj*s_CF_corn*(1/1000)*(up_Irr!K12+up_Irr!AJ12+up_Irr!BI12),".")</f>
        <v>7601.8282595287337</v>
      </c>
      <c r="CM12" s="87">
        <f>IFERROR(s_C*s_IFCU_far_adj*s_CF_cucumber*(1/1000)*(up_Irr!L12+up_Irr!AK12+up_Irr!BJ12),".")</f>
        <v>7601.8282595287337</v>
      </c>
      <c r="CN12" s="87">
        <f>IFERROR(s_C*s_IFLE_far_adj*s_CF_lettuce*(1/1000)*(up_Irr!M12+up_Irr!AL12+up_Irr!BK12),".")</f>
        <v>7601.8282595287337</v>
      </c>
      <c r="CO12" s="87">
        <f>IFERROR(s_C*s_IFLI_far_adj*s_CF_lima_bean*(1/1000)*(up_Irr!N12+up_Irr!AM12+up_Irr!BL12),".")</f>
        <v>7601.8282595287337</v>
      </c>
      <c r="CP12" s="87">
        <f>IFERROR(s_C*s_IFOK_far_adj*s_CF_okra*(1/1000)*(up_Irr!O12+up_Irr!AN12+up_Irr!BM12),".")</f>
        <v>7601.8282595287337</v>
      </c>
      <c r="CQ12" s="87">
        <f>IFERROR(s_C*s_IFON_far_adj*s_CF_onion*(1/1000)*(up_Irr!P12+up_Irr!AO12+up_Irr!BN12),".")</f>
        <v>7601.8282595287337</v>
      </c>
      <c r="CR12" s="87">
        <f>IFERROR(s_C*s_IFPC_far_adj*s_CF_peach*(1/1000)*(up_Irr!Q12+up_Irr!AP12+up_Irr!BO12),".")</f>
        <v>7601.8282595287337</v>
      </c>
      <c r="CS12" s="87">
        <f>IFERROR(s_C*s_IFPR_far_adj*s_CF_pear*(1/1000)*(up_Irr!R12+up_Irr!AQ12+up_Irr!BP12),".")</f>
        <v>7601.8282595287337</v>
      </c>
      <c r="CT12" s="87">
        <f>IFERROR(s_C*s_IFPE_far_adj*s_CF_peas*(1/1000)*(up_Irr!S12+up_Irr!AR12+up_Irr!BQ12),".")</f>
        <v>7601.8282595287337</v>
      </c>
      <c r="CU12" s="87">
        <f>IFERROR(s_C*s_IFPP_far_adj*s_CF_peppers*(1/1000)*(up_Irr!T12+up_Irr!AS12+up_Irr!BR12),".")</f>
        <v>7601.8282595287337</v>
      </c>
      <c r="CV12" s="87">
        <f>IFERROR(s_C*s_IFPT_far_adj*s_CF_potato*(1/1000)*(up_Irr!U12+up_Irr!AT12+up_Irr!BS12),".")</f>
        <v>7601.8282595287337</v>
      </c>
      <c r="CW12" s="87">
        <f>IFERROR(s_C*s_IFPU_far_adj*s_CF_pumpkin*(1/1000)*(up_Irr!V12+up_Irr!AU12+up_Irr!BT12),".")</f>
        <v>7601.8282595287337</v>
      </c>
      <c r="CX12" s="87">
        <f>IFERROR(s_C*s_IFSN_far_adj*s_CF_snap_bean*(1/1000)*(up_Irr!W12+up_Irr!AV12+up_Irr!BU12),".")</f>
        <v>7601.8282595287337</v>
      </c>
      <c r="CY12" s="87">
        <f>IFERROR(s_C*s_IFST_far_adj*s_CF_strawberry*(1/1000)*(up_Irr!X12+up_Irr!AW12+up_Irr!BV12),".")</f>
        <v>7601.8282595287337</v>
      </c>
      <c r="CZ12" s="87">
        <f>IFERROR(s_C*s_IFTO_far_adj*s_CF_tomato*(1/1000)*(up_Irr!Y12+up_Irr!AX12+up_Irr!BW12),".")</f>
        <v>7601.8282595287337</v>
      </c>
      <c r="DA12" s="87">
        <f>IFERROR(s_C*s_IFRI_far_adj*s_CF_rice*(1/1000)*(up_Irr!Z12+up_Irr!AY12+up_Irr!BX12),".")</f>
        <v>7601.8282595287337</v>
      </c>
      <c r="DB12" s="87">
        <f>IFERROR(s_C*s_IFCG_far_adj*s_CF_cereal*(1/1000)*(up_Irr!AA12+up_Irr!AZ12+up_Irr!BY12),".")</f>
        <v>7601.8282595287337</v>
      </c>
    </row>
    <row r="13" spans="1:106" ht="15" customHeight="1" x14ac:dyDescent="0.25">
      <c r="A13" s="86" t="s">
        <v>11</v>
      </c>
      <c r="B13" s="84" t="s">
        <v>1057</v>
      </c>
      <c r="C13" s="15">
        <f t="shared" si="0"/>
        <v>1.6443412786038033E-4</v>
      </c>
      <c r="D13" s="70">
        <f>IFERROR(IF(AND(up_Irr!C13&lt;&gt;".",up_Irr!AB13&lt;&gt;".",up_Irr!BA13&lt;&gt;"."),up_dir!D13/((1/1000)*(up_Irr!C13+up_Irr!AB13+up_Irr!BA13)),IF(AND(up_Irr!C13&lt;&gt;".",up_Irr!AB13&lt;&gt;".",up_Irr!BA13="."),up_dir!D13/((1/1000)*(up_Irr!C13+up_Irr!AB13)),IF(AND(up_Irr!C13&lt;&gt;".",up_Irr!AB13=".",up_Irr!BA13&lt;&gt;"."),up_dir!D13/((1/1000)*(up_Irr!C13+up_Irr!BA13)),IF(AND(up_Irr!C13=".",up_Irr!AB13&lt;&gt;".",up_Irr!BA13&lt;&gt;"."),up_dir!D13/((1/1000)*(up_Irr!AB13+up_Irr!BA13)),IF(AND(up_Irr!C13=".",up_Irr!AB13=".",up_Irr!BA13&lt;&gt;"."),up_dir!D13/((1/1000)*(up_Irr!BA13)),IF(AND(up_Irr!C13=".",up_Irr!AB13&lt;&gt;".",up_Irr!BA13="."),up_dir!D13/((1/1000)*(up_Irr!AB13)),IF(AND(up_Irr!C13&lt;&gt;".",up_Irr!AB13=".",up_Irr!BA13="."),up_dir!D13/((1/1000)*(up_Irr!C13)),IF(AND(up_Irr!C13=".",up_Irr!AB13=".",up_Irr!BA13="."),up_dir!D13*1000)))))))),".")</f>
        <v>6.5773651144152131E-4</v>
      </c>
      <c r="E13" s="70">
        <f>IFERROR(IF(AND(up_Irr!D13&lt;&gt;".",up_Irr!AC13&lt;&gt;".",up_Irr!BB13&lt;&gt;"."),up_dir!E13/((1/1000)*(up_Irr!D13+up_Irr!AC13+up_Irr!BB13)),IF(AND(up_Irr!D13&lt;&gt;".",up_Irr!AC13&lt;&gt;".",up_Irr!BB13="."),up_dir!E13/((1/1000)*(up_Irr!D13+up_Irr!AC13)),IF(AND(up_Irr!D13&lt;&gt;".",up_Irr!AC13=".",up_Irr!BB13&lt;&gt;"."),up_dir!E13/((1/1000)*(up_Irr!D13+up_Irr!BB13)),IF(AND(up_Irr!D13=".",up_Irr!AC13&lt;&gt;".",up_Irr!BB13&lt;&gt;"."),up_dir!E13/((1/1000)*(up_Irr!AC13+up_Irr!BB13)),IF(AND(up_Irr!D13=".",up_Irr!AC13=".",up_Irr!BB13&lt;&gt;"."),up_dir!E13/((1/1000)*(up_Irr!BB13)),IF(AND(up_Irr!D13=".",up_Irr!AC13&lt;&gt;".",up_Irr!BB13="."),up_dir!E13/((1/1000)*(up_Irr!AC13)),IF(AND(up_Irr!D13&lt;&gt;".",up_Irr!AC13=".",up_Irr!BB13="."),up_dir!E13/((1/1000)*(up_Irr!D13)),IF(AND(up_Irr!D13=".",up_Irr!AC13=".",up_Irr!BB13="."),up_dir!E13*1000)))))))),".")</f>
        <v>6.5773651144152131E-4</v>
      </c>
      <c r="F13" s="70">
        <f>IFERROR(IF(AND(up_Irr!E13&lt;&gt;".",up_Irr!AD13&lt;&gt;".",up_Irr!BC13&lt;&gt;"."),up_dir!F13/((1/1000)*(up_Irr!E13+up_Irr!AD13+up_Irr!BC13)),IF(AND(up_Irr!E13&lt;&gt;".",up_Irr!AD13&lt;&gt;".",up_Irr!BC13="."),up_dir!F13/((1/1000)*(up_Irr!E13+up_Irr!AD13)),IF(AND(up_Irr!E13&lt;&gt;".",up_Irr!AD13=".",up_Irr!BC13&lt;&gt;"."),up_dir!F13/((1/1000)*(up_Irr!E13+up_Irr!BC13)),IF(AND(up_Irr!E13=".",up_Irr!AD13&lt;&gt;".",up_Irr!BC13&lt;&gt;"."),up_dir!F13/((1/1000)*(up_Irr!AD13+up_Irr!BC13)),IF(AND(up_Irr!E13=".",up_Irr!AD13=".",up_Irr!BC13&lt;&gt;"."),up_dir!F13/((1/1000)*(up_Irr!BC13)),IF(AND(up_Irr!E13=".",up_Irr!AD13&lt;&gt;".",up_Irr!BC13="."),up_dir!F13/((1/1000)*(up_Irr!AD13)),IF(AND(up_Irr!E13&lt;&gt;".",up_Irr!AD13=".",up_Irr!BC13="."),up_dir!F13/((1/1000)*(up_Irr!E13)),IF(AND(up_Irr!E13=".",up_Irr!AD13=".",up_Irr!BC13="."),up_dir!F13*1000)))))))),".")</f>
        <v>6.5773651144152131E-4</v>
      </c>
      <c r="G13" s="70">
        <f>IFERROR(IF(AND(up_Irr!F13&lt;&gt;".",up_Irr!AE13&lt;&gt;".",up_Irr!BD13&lt;&gt;"."),up_dir!G13/((1/1000)*(up_Irr!F13+up_Irr!AE13+up_Irr!BD13)),IF(AND(up_Irr!F13&lt;&gt;".",up_Irr!AE13&lt;&gt;".",up_Irr!BD13="."),up_dir!G13/((1/1000)*(up_Irr!F13+up_Irr!AE13)),IF(AND(up_Irr!F13&lt;&gt;".",up_Irr!AE13=".",up_Irr!BD13&lt;&gt;"."),up_dir!G13/((1/1000)*(up_Irr!F13+up_Irr!BD13)),IF(AND(up_Irr!F13=".",up_Irr!AE13&lt;&gt;".",up_Irr!BD13&lt;&gt;"."),up_dir!G13/((1/1000)*(up_Irr!AE13+up_Irr!BD13)),IF(AND(up_Irr!F13=".",up_Irr!AE13=".",up_Irr!BD13&lt;&gt;"."),up_dir!G13/((1/1000)*(up_Irr!BD13)),IF(AND(up_Irr!F13=".",up_Irr!AE13&lt;&gt;".",up_Irr!BD13="."),up_dir!G13/((1/1000)*(up_Irr!AE13)),IF(AND(up_Irr!F13&lt;&gt;".",up_Irr!AE13=".",up_Irr!BD13="."),up_dir!G13/((1/1000)*(up_Irr!F13)),IF(AND(up_Irr!F13=".",up_Irr!AE13=".",up_Irr!BD13="."),up_dir!G13*1000)))))))),".")</f>
        <v>6.5773651144152131E-4</v>
      </c>
      <c r="H13" s="70">
        <f>IFERROR(IF(AND(up_Irr!G13&lt;&gt;".",up_Irr!AF13&lt;&gt;".",up_Irr!BE13&lt;&gt;"."),up_dir!H13/((1/1000)*(up_Irr!G13+up_Irr!AF13+up_Irr!BE13)),IF(AND(up_Irr!G13&lt;&gt;".",up_Irr!AF13&lt;&gt;".",up_Irr!BE13="."),up_dir!H13/((1/1000)*(up_Irr!G13+up_Irr!AF13)),IF(AND(up_Irr!G13&lt;&gt;".",up_Irr!AF13=".",up_Irr!BE13&lt;&gt;"."),up_dir!H13/((1/1000)*(up_Irr!G13+up_Irr!BE13)),IF(AND(up_Irr!G13=".",up_Irr!AF13&lt;&gt;".",up_Irr!BE13&lt;&gt;"."),up_dir!H13/((1/1000)*(up_Irr!AF13+up_Irr!BE13)),IF(AND(up_Irr!G13=".",up_Irr!AF13=".",up_Irr!BE13&lt;&gt;"."),up_dir!H13/((1/1000)*(up_Irr!BE13)),IF(AND(up_Irr!G13=".",up_Irr!AF13&lt;&gt;".",up_Irr!BE13="."),up_dir!H13/((1/1000)*(up_Irr!AF13)),IF(AND(up_Irr!G13&lt;&gt;".",up_Irr!AF13=".",up_Irr!BE13="."),up_dir!H13/((1/1000)*(up_Irr!G13)),IF(AND(up_Irr!G13=".",up_Irr!AF13=".",up_Irr!BE13="."),up_dir!H13*1000)))))))),".")</f>
        <v>6.5773651144152131E-4</v>
      </c>
      <c r="I13" s="70">
        <f>IFERROR(IF(AND(up_Irr!H13&lt;&gt;".",up_Irr!AG13&lt;&gt;".",up_Irr!BF13&lt;&gt;"."),up_dir!I13/((1/1000)*(up_Irr!H13+up_Irr!AG13+up_Irr!BF13)),IF(AND(up_Irr!H13&lt;&gt;".",up_Irr!AG13&lt;&gt;".",up_Irr!BF13="."),up_dir!I13/((1/1000)*(up_Irr!H13+up_Irr!AG13)),IF(AND(up_Irr!H13&lt;&gt;".",up_Irr!AG13=".",up_Irr!BF13&lt;&gt;"."),up_dir!I13/((1/1000)*(up_Irr!H13+up_Irr!BF13)),IF(AND(up_Irr!H13=".",up_Irr!AG13&lt;&gt;".",up_Irr!BF13&lt;&gt;"."),up_dir!I13/((1/1000)*(up_Irr!AG13+up_Irr!BF13)),IF(AND(up_Irr!H13=".",up_Irr!AG13=".",up_Irr!BF13&lt;&gt;"."),up_dir!I13/((1/1000)*(up_Irr!BF13)),IF(AND(up_Irr!H13=".",up_Irr!AG13&lt;&gt;".",up_Irr!BF13="."),up_dir!I13/((1/1000)*(up_Irr!AG13)),IF(AND(up_Irr!H13&lt;&gt;".",up_Irr!AG13=".",up_Irr!BF13="."),up_dir!I13/((1/1000)*(up_Irr!H13)),IF(AND(up_Irr!H13=".",up_Irr!AG13=".",up_Irr!BF13="."),up_dir!I13*1000)))))))),".")</f>
        <v>6.5773651144152131E-4</v>
      </c>
      <c r="J13" s="70">
        <f>IFERROR(IF(AND(up_Irr!I13&lt;&gt;".",up_Irr!AH13&lt;&gt;".",up_Irr!BG13&lt;&gt;"."),up_dir!J13/((1/1000)*(up_Irr!I13+up_Irr!AH13+up_Irr!BG13)),IF(AND(up_Irr!I13&lt;&gt;".",up_Irr!AH13&lt;&gt;".",up_Irr!BG13="."),up_dir!J13/((1/1000)*(up_Irr!I13+up_Irr!AH13)),IF(AND(up_Irr!I13&lt;&gt;".",up_Irr!AH13=".",up_Irr!BG13&lt;&gt;"."),up_dir!J13/((1/1000)*(up_Irr!I13+up_Irr!BG13)),IF(AND(up_Irr!I13=".",up_Irr!AH13&lt;&gt;".",up_Irr!BG13&lt;&gt;"."),up_dir!J13/((1/1000)*(up_Irr!AH13+up_Irr!BG13)),IF(AND(up_Irr!I13=".",up_Irr!AH13=".",up_Irr!BG13&lt;&gt;"."),up_dir!J13/((1/1000)*(up_Irr!BG13)),IF(AND(up_Irr!I13=".",up_Irr!AH13&lt;&gt;".",up_Irr!BG13="."),up_dir!J13/((1/1000)*(up_Irr!AH13)),IF(AND(up_Irr!I13&lt;&gt;".",up_Irr!AH13=".",up_Irr!BG13="."),up_dir!J13/((1/1000)*(up_Irr!I13)),IF(AND(up_Irr!I13=".",up_Irr!AH13=".",up_Irr!BG13="."),up_dir!J13*1000)))))))),".")</f>
        <v>6.5773651144152131E-4</v>
      </c>
      <c r="K13" s="70">
        <f>IFERROR(IF(AND(up_Irr!J13&lt;&gt;".",up_Irr!AI13&lt;&gt;".",up_Irr!BH13&lt;&gt;"."),up_dir!K13/((1/1000)*(up_Irr!J13+up_Irr!AI13+up_Irr!BH13)),IF(AND(up_Irr!J13&lt;&gt;".",up_Irr!AI13&lt;&gt;".",up_Irr!BH13="."),up_dir!K13/((1/1000)*(up_Irr!J13+up_Irr!AI13)),IF(AND(up_Irr!J13&lt;&gt;".",up_Irr!AI13=".",up_Irr!BH13&lt;&gt;"."),up_dir!K13/((1/1000)*(up_Irr!J13+up_Irr!BH13)),IF(AND(up_Irr!J13=".",up_Irr!AI13&lt;&gt;".",up_Irr!BH13&lt;&gt;"."),up_dir!K13/((1/1000)*(up_Irr!AI13+up_Irr!BH13)),IF(AND(up_Irr!J13=".",up_Irr!AI13=".",up_Irr!BH13&lt;&gt;"."),up_dir!K13/((1/1000)*(up_Irr!BH13)),IF(AND(up_Irr!J13=".",up_Irr!AI13&lt;&gt;".",up_Irr!BH13="."),up_dir!K13/((1/1000)*(up_Irr!AI13)),IF(AND(up_Irr!J13&lt;&gt;".",up_Irr!AI13=".",up_Irr!BH13="."),up_dir!K13/((1/1000)*(up_Irr!J13)),IF(AND(up_Irr!J13=".",up_Irr!AI13=".",up_Irr!BH13="."),up_dir!K13*1000)))))))),".")</f>
        <v>6.5773651144152131E-4</v>
      </c>
      <c r="L13" s="70">
        <f>IFERROR(IF(AND(up_Irr!K13&lt;&gt;".",up_Irr!AJ13&lt;&gt;".",up_Irr!BI13&lt;&gt;"."),up_dir!L13/((1/1000)*(up_Irr!K13+up_Irr!AJ13+up_Irr!BI13)),IF(AND(up_Irr!K13&lt;&gt;".",up_Irr!AJ13&lt;&gt;".",up_Irr!BI13="."),up_dir!L13/((1/1000)*(up_Irr!K13+up_Irr!AJ13)),IF(AND(up_Irr!K13&lt;&gt;".",up_Irr!AJ13=".",up_Irr!BI13&lt;&gt;"."),up_dir!L13/((1/1000)*(up_Irr!K13+up_Irr!BI13)),IF(AND(up_Irr!K13=".",up_Irr!AJ13&lt;&gt;".",up_Irr!BI13&lt;&gt;"."),up_dir!L13/((1/1000)*(up_Irr!AJ13+up_Irr!BI13)),IF(AND(up_Irr!K13=".",up_Irr!AJ13=".",up_Irr!BI13&lt;&gt;"."),up_dir!L13/((1/1000)*(up_Irr!BI13)),IF(AND(up_Irr!K13=".",up_Irr!AJ13&lt;&gt;".",up_Irr!BI13="."),up_dir!L13/((1/1000)*(up_Irr!AJ13)),IF(AND(up_Irr!K13&lt;&gt;".",up_Irr!AJ13=".",up_Irr!BI13="."),up_dir!L13/((1/1000)*(up_Irr!K13)),IF(AND(up_Irr!K13=".",up_Irr!AJ13=".",up_Irr!BI13="."),up_dir!L13*1000)))))))),".")</f>
        <v>6.5773651144152131E-4</v>
      </c>
      <c r="M13" s="70">
        <f>IFERROR(IF(AND(up_Irr!L13&lt;&gt;".",up_Irr!AK13&lt;&gt;".",up_Irr!BJ13&lt;&gt;"."),up_dir!M13/((1/1000)*(up_Irr!L13+up_Irr!AK13+up_Irr!BJ13)),IF(AND(up_Irr!L13&lt;&gt;".",up_Irr!AK13&lt;&gt;".",up_Irr!BJ13="."),up_dir!M13/((1/1000)*(up_Irr!L13+up_Irr!AK13)),IF(AND(up_Irr!L13&lt;&gt;".",up_Irr!AK13=".",up_Irr!BJ13&lt;&gt;"."),up_dir!M13/((1/1000)*(up_Irr!L13+up_Irr!BJ13)),IF(AND(up_Irr!L13=".",up_Irr!AK13&lt;&gt;".",up_Irr!BJ13&lt;&gt;"."),up_dir!M13/((1/1000)*(up_Irr!AK13+up_Irr!BJ13)),IF(AND(up_Irr!L13=".",up_Irr!AK13=".",up_Irr!BJ13&lt;&gt;"."),up_dir!M13/((1/1000)*(up_Irr!BJ13)),IF(AND(up_Irr!L13=".",up_Irr!AK13&lt;&gt;".",up_Irr!BJ13="."),up_dir!M13/((1/1000)*(up_Irr!AK13)),IF(AND(up_Irr!L13&lt;&gt;".",up_Irr!AK13=".",up_Irr!BJ13="."),up_dir!M13/((1/1000)*(up_Irr!L13)),IF(AND(up_Irr!L13=".",up_Irr!AK13=".",up_Irr!BJ13="."),up_dir!M13*1000)))))))),".")</f>
        <v>6.5773651144152131E-4</v>
      </c>
      <c r="N13" s="70">
        <f>IFERROR(IF(AND(up_Irr!M13&lt;&gt;".",up_Irr!AL13&lt;&gt;".",up_Irr!BK13&lt;&gt;"."),up_dir!N13/((1/1000)*(up_Irr!M13+up_Irr!AL13+up_Irr!BK13)),IF(AND(up_Irr!M13&lt;&gt;".",up_Irr!AL13&lt;&gt;".",up_Irr!BK13="."),up_dir!N13/((1/1000)*(up_Irr!M13+up_Irr!AL13)),IF(AND(up_Irr!M13&lt;&gt;".",up_Irr!AL13=".",up_Irr!BK13&lt;&gt;"."),up_dir!N13/((1/1000)*(up_Irr!M13+up_Irr!BK13)),IF(AND(up_Irr!M13=".",up_Irr!AL13&lt;&gt;".",up_Irr!BK13&lt;&gt;"."),up_dir!N13/((1/1000)*(up_Irr!AL13+up_Irr!BK13)),IF(AND(up_Irr!M13=".",up_Irr!AL13=".",up_Irr!BK13&lt;&gt;"."),up_dir!N13/((1/1000)*(up_Irr!BK13)),IF(AND(up_Irr!M13=".",up_Irr!AL13&lt;&gt;".",up_Irr!BK13="."),up_dir!N13/((1/1000)*(up_Irr!AL13)),IF(AND(up_Irr!M13&lt;&gt;".",up_Irr!AL13=".",up_Irr!BK13="."),up_dir!N13/((1/1000)*(up_Irr!M13)),IF(AND(up_Irr!M13=".",up_Irr!AL13=".",up_Irr!BK13="."),up_dir!N13*1000)))))))),".")</f>
        <v>6.5773651144152131E-4</v>
      </c>
      <c r="O13" s="70">
        <f>IFERROR(IF(AND(up_Irr!N13&lt;&gt;".",up_Irr!AM13&lt;&gt;".",up_Irr!BL13&lt;&gt;"."),up_dir!O13/((1/1000)*(up_Irr!N13+up_Irr!AM13+up_Irr!BL13)),IF(AND(up_Irr!N13&lt;&gt;".",up_Irr!AM13&lt;&gt;".",up_Irr!BL13="."),up_dir!O13/((1/1000)*(up_Irr!N13+up_Irr!AM13)),IF(AND(up_Irr!N13&lt;&gt;".",up_Irr!AM13=".",up_Irr!BL13&lt;&gt;"."),up_dir!O13/((1/1000)*(up_Irr!N13+up_Irr!BL13)),IF(AND(up_Irr!N13=".",up_Irr!AM13&lt;&gt;".",up_Irr!BL13&lt;&gt;"."),up_dir!O13/((1/1000)*(up_Irr!AM13+up_Irr!BL13)),IF(AND(up_Irr!N13=".",up_Irr!AM13=".",up_Irr!BL13&lt;&gt;"."),up_dir!O13/((1/1000)*(up_Irr!BL13)),IF(AND(up_Irr!N13=".",up_Irr!AM13&lt;&gt;".",up_Irr!BL13="."),up_dir!O13/((1/1000)*(up_Irr!AM13)),IF(AND(up_Irr!N13&lt;&gt;".",up_Irr!AM13=".",up_Irr!BL13="."),up_dir!O13/((1/1000)*(up_Irr!N13)),IF(AND(up_Irr!N13=".",up_Irr!AM13=".",up_Irr!BL13="."),up_dir!O13*1000)))))))),".")</f>
        <v>6.5773651144152131E-4</v>
      </c>
      <c r="P13" s="70">
        <f>IFERROR(IF(AND(up_Irr!O13&lt;&gt;".",up_Irr!AN13&lt;&gt;".",up_Irr!BM13&lt;&gt;"."),up_dir!P13/((1/1000)*(up_Irr!O13+up_Irr!AN13+up_Irr!BM13)),IF(AND(up_Irr!O13&lt;&gt;".",up_Irr!AN13&lt;&gt;".",up_Irr!BM13="."),up_dir!P13/((1/1000)*(up_Irr!O13+up_Irr!AN13)),IF(AND(up_Irr!O13&lt;&gt;".",up_Irr!AN13=".",up_Irr!BM13&lt;&gt;"."),up_dir!P13/((1/1000)*(up_Irr!O13+up_Irr!BM13)),IF(AND(up_Irr!O13=".",up_Irr!AN13&lt;&gt;".",up_Irr!BM13&lt;&gt;"."),up_dir!P13/((1/1000)*(up_Irr!AN13+up_Irr!BM13)),IF(AND(up_Irr!O13=".",up_Irr!AN13=".",up_Irr!BM13&lt;&gt;"."),up_dir!P13/((1/1000)*(up_Irr!BM13)),IF(AND(up_Irr!O13=".",up_Irr!AN13&lt;&gt;".",up_Irr!BM13="."),up_dir!P13/((1/1000)*(up_Irr!AN13)),IF(AND(up_Irr!O13&lt;&gt;".",up_Irr!AN13=".",up_Irr!BM13="."),up_dir!P13/((1/1000)*(up_Irr!O13)),IF(AND(up_Irr!O13=".",up_Irr!AN13=".",up_Irr!BM13="."),up_dir!P13*1000)))))))),".")</f>
        <v>6.5773651144152131E-4</v>
      </c>
      <c r="Q13" s="70">
        <f>IFERROR(IF(AND(up_Irr!P13&lt;&gt;".",up_Irr!AO13&lt;&gt;".",up_Irr!BN13&lt;&gt;"."),up_dir!Q13/((1/1000)*(up_Irr!P13+up_Irr!AO13+up_Irr!BN13)),IF(AND(up_Irr!P13&lt;&gt;".",up_Irr!AO13&lt;&gt;".",up_Irr!BN13="."),up_dir!Q13/((1/1000)*(up_Irr!P13+up_Irr!AO13)),IF(AND(up_Irr!P13&lt;&gt;".",up_Irr!AO13=".",up_Irr!BN13&lt;&gt;"."),up_dir!Q13/((1/1000)*(up_Irr!P13+up_Irr!BN13)),IF(AND(up_Irr!P13=".",up_Irr!AO13&lt;&gt;".",up_Irr!BN13&lt;&gt;"."),up_dir!Q13/((1/1000)*(up_Irr!AO13+up_Irr!BN13)),IF(AND(up_Irr!P13=".",up_Irr!AO13=".",up_Irr!BN13&lt;&gt;"."),up_dir!Q13/((1/1000)*(up_Irr!BN13)),IF(AND(up_Irr!P13=".",up_Irr!AO13&lt;&gt;".",up_Irr!BN13="."),up_dir!Q13/((1/1000)*(up_Irr!AO13)),IF(AND(up_Irr!P13&lt;&gt;".",up_Irr!AO13=".",up_Irr!BN13="."),up_dir!Q13/((1/1000)*(up_Irr!P13)),IF(AND(up_Irr!P13=".",up_Irr!AO13=".",up_Irr!BN13="."),up_dir!Q13*1000)))))))),".")</f>
        <v>6.5773651144152131E-4</v>
      </c>
      <c r="R13" s="70">
        <f>IFERROR(IF(AND(up_Irr!Q13&lt;&gt;".",up_Irr!AP13&lt;&gt;".",up_Irr!BO13&lt;&gt;"."),up_dir!R13/((1/1000)*(up_Irr!Q13+up_Irr!AP13+up_Irr!BO13)),IF(AND(up_Irr!Q13&lt;&gt;".",up_Irr!AP13&lt;&gt;".",up_Irr!BO13="."),up_dir!R13/((1/1000)*(up_Irr!Q13+up_Irr!AP13)),IF(AND(up_Irr!Q13&lt;&gt;".",up_Irr!AP13=".",up_Irr!BO13&lt;&gt;"."),up_dir!R13/((1/1000)*(up_Irr!Q13+up_Irr!BO13)),IF(AND(up_Irr!Q13=".",up_Irr!AP13&lt;&gt;".",up_Irr!BO13&lt;&gt;"."),up_dir!R13/((1/1000)*(up_Irr!AP13+up_Irr!BO13)),IF(AND(up_Irr!Q13=".",up_Irr!AP13=".",up_Irr!BO13&lt;&gt;"."),up_dir!R13/((1/1000)*(up_Irr!BO13)),IF(AND(up_Irr!Q13=".",up_Irr!AP13&lt;&gt;".",up_Irr!BO13="."),up_dir!R13/((1/1000)*(up_Irr!AP13)),IF(AND(up_Irr!Q13&lt;&gt;".",up_Irr!AP13=".",up_Irr!BO13="."),up_dir!R13/((1/1000)*(up_Irr!Q13)),IF(AND(up_Irr!Q13=".",up_Irr!AP13=".",up_Irr!BO13="."),up_dir!R13*1000)))))))),".")</f>
        <v>6.5773651144152131E-4</v>
      </c>
      <c r="S13" s="70">
        <f>IFERROR(IF(AND(up_Irr!R13&lt;&gt;".",up_Irr!AQ13&lt;&gt;".",up_Irr!BP13&lt;&gt;"."),up_dir!S13/((1/1000)*(up_Irr!R13+up_Irr!AQ13+up_Irr!BP13)),IF(AND(up_Irr!R13&lt;&gt;".",up_Irr!AQ13&lt;&gt;".",up_Irr!BP13="."),up_dir!S13/((1/1000)*(up_Irr!R13+up_Irr!AQ13)),IF(AND(up_Irr!R13&lt;&gt;".",up_Irr!AQ13=".",up_Irr!BP13&lt;&gt;"."),up_dir!S13/((1/1000)*(up_Irr!R13+up_Irr!BP13)),IF(AND(up_Irr!R13=".",up_Irr!AQ13&lt;&gt;".",up_Irr!BP13&lt;&gt;"."),up_dir!S13/((1/1000)*(up_Irr!AQ13+up_Irr!BP13)),IF(AND(up_Irr!R13=".",up_Irr!AQ13=".",up_Irr!BP13&lt;&gt;"."),up_dir!S13/((1/1000)*(up_Irr!BP13)),IF(AND(up_Irr!R13=".",up_Irr!AQ13&lt;&gt;".",up_Irr!BP13="."),up_dir!S13/((1/1000)*(up_Irr!AQ13)),IF(AND(up_Irr!R13&lt;&gt;".",up_Irr!AQ13=".",up_Irr!BP13="."),up_dir!S13/((1/1000)*(up_Irr!R13)),IF(AND(up_Irr!R13=".",up_Irr!AQ13=".",up_Irr!BP13="."),up_dir!S13*1000)))))))),".")</f>
        <v>6.5773651144152131E-4</v>
      </c>
      <c r="T13" s="70">
        <f>IFERROR(IF(AND(up_Irr!S13&lt;&gt;".",up_Irr!AR13&lt;&gt;".",up_Irr!BQ13&lt;&gt;"."),up_dir!T13/((1/1000)*(up_Irr!S13+up_Irr!AR13+up_Irr!BQ13)),IF(AND(up_Irr!S13&lt;&gt;".",up_Irr!AR13&lt;&gt;".",up_Irr!BQ13="."),up_dir!T13/((1/1000)*(up_Irr!S13+up_Irr!AR13)),IF(AND(up_Irr!S13&lt;&gt;".",up_Irr!AR13=".",up_Irr!BQ13&lt;&gt;"."),up_dir!T13/((1/1000)*(up_Irr!S13+up_Irr!BQ13)),IF(AND(up_Irr!S13=".",up_Irr!AR13&lt;&gt;".",up_Irr!BQ13&lt;&gt;"."),up_dir!T13/((1/1000)*(up_Irr!AR13+up_Irr!BQ13)),IF(AND(up_Irr!S13=".",up_Irr!AR13=".",up_Irr!BQ13&lt;&gt;"."),up_dir!T13/((1/1000)*(up_Irr!BQ13)),IF(AND(up_Irr!S13=".",up_Irr!AR13&lt;&gt;".",up_Irr!BQ13="."),up_dir!T13/((1/1000)*(up_Irr!AR13)),IF(AND(up_Irr!S13&lt;&gt;".",up_Irr!AR13=".",up_Irr!BQ13="."),up_dir!T13/((1/1000)*(up_Irr!S13)),IF(AND(up_Irr!S13=".",up_Irr!AR13=".",up_Irr!BQ13="."),up_dir!T13*1000)))))))),".")</f>
        <v>6.5773651144152131E-4</v>
      </c>
      <c r="U13" s="70">
        <f>IFERROR(IF(AND(up_Irr!T13&lt;&gt;".",up_Irr!AS13&lt;&gt;".",up_Irr!BR13&lt;&gt;"."),up_dir!U13/((1/1000)*(up_Irr!T13+up_Irr!AS13+up_Irr!BR13)),IF(AND(up_Irr!T13&lt;&gt;".",up_Irr!AS13&lt;&gt;".",up_Irr!BR13="."),up_dir!U13/((1/1000)*(up_Irr!T13+up_Irr!AS13)),IF(AND(up_Irr!T13&lt;&gt;".",up_Irr!AS13=".",up_Irr!BR13&lt;&gt;"."),up_dir!U13/((1/1000)*(up_Irr!T13+up_Irr!BR13)),IF(AND(up_Irr!T13=".",up_Irr!AS13&lt;&gt;".",up_Irr!BR13&lt;&gt;"."),up_dir!U13/((1/1000)*(up_Irr!AS13+up_Irr!BR13)),IF(AND(up_Irr!T13=".",up_Irr!AS13=".",up_Irr!BR13&lt;&gt;"."),up_dir!U13/((1/1000)*(up_Irr!BR13)),IF(AND(up_Irr!T13=".",up_Irr!AS13&lt;&gt;".",up_Irr!BR13="."),up_dir!U13/((1/1000)*(up_Irr!AS13)),IF(AND(up_Irr!T13&lt;&gt;".",up_Irr!AS13=".",up_Irr!BR13="."),up_dir!U13/((1/1000)*(up_Irr!T13)),IF(AND(up_Irr!T13=".",up_Irr!AS13=".",up_Irr!BR13="."),up_dir!U13*1000)))))))),".")</f>
        <v>6.5773651144152131E-4</v>
      </c>
      <c r="V13" s="70">
        <f>IFERROR(IF(AND(up_Irr!U13&lt;&gt;".",up_Irr!AT13&lt;&gt;".",up_Irr!BS13&lt;&gt;"."),up_dir!V13/((1/1000)*(up_Irr!U13+up_Irr!AT13+up_Irr!BS13)),IF(AND(up_Irr!U13&lt;&gt;".",up_Irr!AT13&lt;&gt;".",up_Irr!BS13="."),up_dir!V13/((1/1000)*(up_Irr!U13+up_Irr!AT13)),IF(AND(up_Irr!U13&lt;&gt;".",up_Irr!AT13=".",up_Irr!BS13&lt;&gt;"."),up_dir!V13/((1/1000)*(up_Irr!U13+up_Irr!BS13)),IF(AND(up_Irr!U13=".",up_Irr!AT13&lt;&gt;".",up_Irr!BS13&lt;&gt;"."),up_dir!V13/((1/1000)*(up_Irr!AT13+up_Irr!BS13)),IF(AND(up_Irr!U13=".",up_Irr!AT13=".",up_Irr!BS13&lt;&gt;"."),up_dir!V13/((1/1000)*(up_Irr!BS13)),IF(AND(up_Irr!U13=".",up_Irr!AT13&lt;&gt;".",up_Irr!BS13="."),up_dir!V13/((1/1000)*(up_Irr!AT13)),IF(AND(up_Irr!U13&lt;&gt;".",up_Irr!AT13=".",up_Irr!BS13="."),up_dir!V13/((1/1000)*(up_Irr!U13)),IF(AND(up_Irr!U13=".",up_Irr!AT13=".",up_Irr!BS13="."),up_dir!V13*1000)))))))),".")</f>
        <v>6.5773651144152131E-4</v>
      </c>
      <c r="W13" s="70">
        <f>IFERROR(IF(AND(up_Irr!V13&lt;&gt;".",up_Irr!AU13&lt;&gt;".",up_Irr!BT13&lt;&gt;"."),up_dir!W13/((1/1000)*(up_Irr!V13+up_Irr!AU13+up_Irr!BT13)),IF(AND(up_Irr!V13&lt;&gt;".",up_Irr!AU13&lt;&gt;".",up_Irr!BT13="."),up_dir!W13/((1/1000)*(up_Irr!V13+up_Irr!AU13)),IF(AND(up_Irr!V13&lt;&gt;".",up_Irr!AU13=".",up_Irr!BT13&lt;&gt;"."),up_dir!W13/((1/1000)*(up_Irr!V13+up_Irr!BT13)),IF(AND(up_Irr!V13=".",up_Irr!AU13&lt;&gt;".",up_Irr!BT13&lt;&gt;"."),up_dir!W13/((1/1000)*(up_Irr!AU13+up_Irr!BT13)),IF(AND(up_Irr!V13=".",up_Irr!AU13=".",up_Irr!BT13&lt;&gt;"."),up_dir!W13/((1/1000)*(up_Irr!BT13)),IF(AND(up_Irr!V13=".",up_Irr!AU13&lt;&gt;".",up_Irr!BT13="."),up_dir!W13/((1/1000)*(up_Irr!AU13)),IF(AND(up_Irr!V13&lt;&gt;".",up_Irr!AU13=".",up_Irr!BT13="."),up_dir!W13/((1/1000)*(up_Irr!V13)),IF(AND(up_Irr!V13=".",up_Irr!AU13=".",up_Irr!BT13="."),up_dir!W13*1000)))))))),".")</f>
        <v>6.5773651144152131E-4</v>
      </c>
      <c r="X13" s="70">
        <f>IFERROR(IF(AND(up_Irr!W13&lt;&gt;".",up_Irr!AV13&lt;&gt;".",up_Irr!BU13&lt;&gt;"."),up_dir!X13/((1/1000)*(up_Irr!W13+up_Irr!AV13+up_Irr!BU13)),IF(AND(up_Irr!W13&lt;&gt;".",up_Irr!AV13&lt;&gt;".",up_Irr!BU13="."),up_dir!X13/((1/1000)*(up_Irr!W13+up_Irr!AV13)),IF(AND(up_Irr!W13&lt;&gt;".",up_Irr!AV13=".",up_Irr!BU13&lt;&gt;"."),up_dir!X13/((1/1000)*(up_Irr!W13+up_Irr!BU13)),IF(AND(up_Irr!W13=".",up_Irr!AV13&lt;&gt;".",up_Irr!BU13&lt;&gt;"."),up_dir!X13/((1/1000)*(up_Irr!AV13+up_Irr!BU13)),IF(AND(up_Irr!W13=".",up_Irr!AV13=".",up_Irr!BU13&lt;&gt;"."),up_dir!X13/((1/1000)*(up_Irr!BU13)),IF(AND(up_Irr!W13=".",up_Irr!AV13&lt;&gt;".",up_Irr!BU13="."),up_dir!X13/((1/1000)*(up_Irr!AV13)),IF(AND(up_Irr!W13&lt;&gt;".",up_Irr!AV13=".",up_Irr!BU13="."),up_dir!X13/((1/1000)*(up_Irr!W13)),IF(AND(up_Irr!W13=".",up_Irr!AV13=".",up_Irr!BU13="."),up_dir!X13*1000)))))))),".")</f>
        <v>6.5773651144152131E-4</v>
      </c>
      <c r="Y13" s="70">
        <f>IFERROR(IF(AND(up_Irr!X13&lt;&gt;".",up_Irr!AW13&lt;&gt;".",up_Irr!BV13&lt;&gt;"."),up_dir!Y13/((1/1000)*(up_Irr!X13+up_Irr!AW13+up_Irr!BV13)),IF(AND(up_Irr!X13&lt;&gt;".",up_Irr!AW13&lt;&gt;".",up_Irr!BV13="."),up_dir!Y13/((1/1000)*(up_Irr!X13+up_Irr!AW13)),IF(AND(up_Irr!X13&lt;&gt;".",up_Irr!AW13=".",up_Irr!BV13&lt;&gt;"."),up_dir!Y13/((1/1000)*(up_Irr!X13+up_Irr!BV13)),IF(AND(up_Irr!X13=".",up_Irr!AW13&lt;&gt;".",up_Irr!BV13&lt;&gt;"."),up_dir!Y13/((1/1000)*(up_Irr!AW13+up_Irr!BV13)),IF(AND(up_Irr!X13=".",up_Irr!AW13=".",up_Irr!BV13&lt;&gt;"."),up_dir!Y13/((1/1000)*(up_Irr!BV13)),IF(AND(up_Irr!X13=".",up_Irr!AW13&lt;&gt;".",up_Irr!BV13="."),up_dir!Y13/((1/1000)*(up_Irr!AW13)),IF(AND(up_Irr!X13&lt;&gt;".",up_Irr!AW13=".",up_Irr!BV13="."),up_dir!Y13/((1/1000)*(up_Irr!X13)),IF(AND(up_Irr!X13=".",up_Irr!AW13=".",up_Irr!BV13="."),up_dir!Y13*1000)))))))),".")</f>
        <v>6.5773651144152131E-4</v>
      </c>
      <c r="Z13" s="70">
        <f>IFERROR(IF(AND(up_Irr!Y13&lt;&gt;".",up_Irr!AX13&lt;&gt;".",up_Irr!BW13&lt;&gt;"."),up_dir!Z13/((1/1000)*(up_Irr!Y13+up_Irr!AX13+up_Irr!BW13)),IF(AND(up_Irr!Y13&lt;&gt;".",up_Irr!AX13&lt;&gt;".",up_Irr!BW13="."),up_dir!Z13/((1/1000)*(up_Irr!Y13+up_Irr!AX13)),IF(AND(up_Irr!Y13&lt;&gt;".",up_Irr!AX13=".",up_Irr!BW13&lt;&gt;"."),up_dir!Z13/((1/1000)*(up_Irr!Y13+up_Irr!BW13)),IF(AND(up_Irr!Y13=".",up_Irr!AX13&lt;&gt;".",up_Irr!BW13&lt;&gt;"."),up_dir!Z13/((1/1000)*(up_Irr!AX13+up_Irr!BW13)),IF(AND(up_Irr!Y13=".",up_Irr!AX13=".",up_Irr!BW13&lt;&gt;"."),up_dir!Z13/((1/1000)*(up_Irr!BW13)),IF(AND(up_Irr!Y13=".",up_Irr!AX13&lt;&gt;".",up_Irr!BW13="."),up_dir!Z13/((1/1000)*(up_Irr!AX13)),IF(AND(up_Irr!Y13&lt;&gt;".",up_Irr!AX13=".",up_Irr!BW13="."),up_dir!Z13/((1/1000)*(up_Irr!Y13)),IF(AND(up_Irr!Y13=".",up_Irr!AX13=".",up_Irr!BW13="."),up_dir!Z13*1000)))))))),".")</f>
        <v>6.5773651144152131E-4</v>
      </c>
      <c r="AA13" s="70">
        <f>IFERROR(IF(AND(up_Irr!Z13&lt;&gt;".",up_Irr!AY13&lt;&gt;".",up_Irr!BX13&lt;&gt;"."),up_dir!AA13/((1/1000)*(up_Irr!Z13+up_Irr!AY13+up_Irr!BX13)),IF(AND(up_Irr!Z13&lt;&gt;".",up_Irr!AY13&lt;&gt;".",up_Irr!BX13="."),up_dir!AA13/((1/1000)*(up_Irr!Z13+up_Irr!AY13)),IF(AND(up_Irr!Z13&lt;&gt;".",up_Irr!AY13=".",up_Irr!BX13&lt;&gt;"."),up_dir!AA13/((1/1000)*(up_Irr!Z13+up_Irr!BX13)),IF(AND(up_Irr!Z13=".",up_Irr!AY13&lt;&gt;".",up_Irr!BX13&lt;&gt;"."),up_dir!AA13/((1/1000)*(up_Irr!AY13+up_Irr!BX13)),IF(AND(up_Irr!Z13=".",up_Irr!AY13=".",up_Irr!BX13&lt;&gt;"."),up_dir!AA13/((1/1000)*(up_Irr!BX13)),IF(AND(up_Irr!Z13=".",up_Irr!AY13&lt;&gt;".",up_Irr!BX13="."),up_dir!AA13/((1/1000)*(up_Irr!AY13)),IF(AND(up_Irr!Z13&lt;&gt;".",up_Irr!AY13=".",up_Irr!BX13="."),up_dir!AA13/((1/1000)*(up_Irr!Z13)),IF(AND(up_Irr!Z13=".",up_Irr!AY13=".",up_Irr!BX13="."),up_dir!AA13*1000)))))))),".")</f>
        <v>6.5773651144152131E-4</v>
      </c>
      <c r="AB13" s="70">
        <f>IFERROR(IF(AND(up_Irr!AA13&lt;&gt;".",up_Irr!AZ13&lt;&gt;".",up_Irr!BY13&lt;&gt;"."),up_dir!AB13/((1/1000)*(up_Irr!AA13+up_Irr!AZ13+up_Irr!BY13)),IF(AND(up_Irr!AA13&lt;&gt;".",up_Irr!AZ13&lt;&gt;".",up_Irr!BY13="."),up_dir!AB13/((1/1000)*(up_Irr!AA13+up_Irr!AZ13)),IF(AND(up_Irr!AA13&lt;&gt;".",up_Irr!AZ13=".",up_Irr!BY13&lt;&gt;"."),up_dir!AB13/((1/1000)*(up_Irr!AA13+up_Irr!BY13)),IF(AND(up_Irr!AA13=".",up_Irr!AZ13&lt;&gt;".",up_Irr!BY13&lt;&gt;"."),up_dir!AB13/((1/1000)*(up_Irr!AZ13+up_Irr!BY13)),IF(AND(up_Irr!AA13=".",up_Irr!AZ13=".",up_Irr!BY13&lt;&gt;"."),up_dir!AB13/((1/1000)*(up_Irr!BY13)),IF(AND(up_Irr!AA13=".",up_Irr!AZ13&lt;&gt;".",up_Irr!BY13="."),up_dir!AB13/((1/1000)*(up_Irr!AZ13)),IF(AND(up_Irr!AA13&lt;&gt;".",up_Irr!AZ13=".",up_Irr!BY13="."),up_dir!AB13/((1/1000)*(up_Irr!AA13)),IF(AND(up_Irr!AA13=".",up_Irr!AZ13=".",up_Irr!BY13="."),up_dir!AB13*1000)))))))),".")</f>
        <v>6.5773651144152131E-4</v>
      </c>
      <c r="AC13" s="87">
        <f t="shared" si="1"/>
        <v>30407.313038114935</v>
      </c>
      <c r="AD13" s="87">
        <f>IFERROR(s_C*s_IFAP_res_adj*s_CF_apple*0.001*(up_Irr!C13+up_Irr!AB13+up_Irr!BA13),".")</f>
        <v>7601.8282595287337</v>
      </c>
      <c r="AE13" s="87">
        <f>IFERROR(s_C*s_IFAS_res_adj*s_CF_asparagus*0.001*(up_Irr!D13+up_Irr!AC13+up_Irr!BB13),".")</f>
        <v>7601.8282595287337</v>
      </c>
      <c r="AF13" s="87">
        <f>IFERROR(s_C*s_IFBT_res_adj*s_CF_beet*0.001*(up_Irr!E13+up_Irr!AD13+up_Irr!BC13),".")</f>
        <v>7601.8282595287337</v>
      </c>
      <c r="AG13" s="87">
        <f>IFERROR(s_C*s_IFBE_res_adj*s_CF_berries*0.001*(up_Irr!F13+up_Irr!AE13+up_Irr!BD13),".")</f>
        <v>7601.8282595287337</v>
      </c>
      <c r="AH13" s="87">
        <f>IFERROR(s_C*s_IFBR_res_adj*s_CF_broccoli*0.001*(up_Irr!G13+up_Irr!AF13+up_Irr!BE13),".")</f>
        <v>7601.8282595287337</v>
      </c>
      <c r="AI13" s="87">
        <f>IFERROR(s_C*s_IFCB_res_adj*s_CF_cabbage*0.001*(up_Irr!H13+up_Irr!AG13+up_Irr!BF13),".")</f>
        <v>7601.8282595287337</v>
      </c>
      <c r="AJ13" s="87">
        <f>IFERROR(s_C*s_IFCR_res_adj*s_CF_carrot*0.001*(up_Irr!I13+up_Irr!AH13+up_Irr!BG13),".")</f>
        <v>7601.8282595287337</v>
      </c>
      <c r="AK13" s="87">
        <f>IFERROR(s_C*s_IFCI_res_adj*s_CF_citrus*0.001*(up_Irr!J13+up_Irr!AI13+up_Irr!BH13),".")</f>
        <v>7601.8282595287337</v>
      </c>
      <c r="AL13" s="87">
        <f>IFERROR(s_C*s_IFCO_res_adj*s_CF_corn*0.001*(up_Irr!K13+up_Irr!AJ13+up_Irr!BI13),".")</f>
        <v>7601.8282595287337</v>
      </c>
      <c r="AM13" s="87">
        <f>IFERROR(s_C*s_IFCU_res_adj*s_CF_cucumber*0.001*(up_Irr!L13+up_Irr!AK13+up_Irr!BJ13),".")</f>
        <v>7601.8282595287337</v>
      </c>
      <c r="AN13" s="87">
        <f>IFERROR(s_C*s_IFLE_res_adj*s_CF_lettuce*0.001*(up_Irr!M13+up_Irr!AL13+up_Irr!BK13),".")</f>
        <v>7601.8282595287337</v>
      </c>
      <c r="AO13" s="87">
        <f>IFERROR(s_C*s_IFLI_res_adj*s_CF_lima_bean*0.001*(up_Irr!N13+up_Irr!AM13+up_Irr!BL13),".")</f>
        <v>7601.8282595287337</v>
      </c>
      <c r="AP13" s="87">
        <f>IFERROR(s_C*s_IFOK_res_adj*s_CF_okra*0.001*(up_Irr!O13+up_Irr!AN13+up_Irr!BM13),".")</f>
        <v>7601.8282595287337</v>
      </c>
      <c r="AQ13" s="87">
        <f>IFERROR(s_C*s_IFON_res_adj*s_CF_onion*0.001*(up_Irr!P13+up_Irr!AO13+up_Irr!BN13),".")</f>
        <v>7601.8282595287337</v>
      </c>
      <c r="AR13" s="87">
        <f>IFERROR(s_C*s_IFPC_res_adj*s_CF_peach*0.001*(up_Irr!Q13+up_Irr!AP13+up_Irr!BO13),".")</f>
        <v>7601.8282595287337</v>
      </c>
      <c r="AS13" s="87">
        <f>IFERROR(s_C*s_IFPR_res_adj*s_CF_pear*0.001*(up_Irr!R13+up_Irr!AQ13+up_Irr!BP13),".")</f>
        <v>7601.8282595287337</v>
      </c>
      <c r="AT13" s="87">
        <f>IFERROR(s_C*s_IFPE_res_adj*s_CF_peas*0.001*(up_Irr!S13+up_Irr!AR13+up_Irr!BQ13),".")</f>
        <v>7601.8282595287337</v>
      </c>
      <c r="AU13" s="87">
        <f>IFERROR(s_C*s_IFPP_res_adj*s_CF_peppers*0.001*(up_Irr!T13+up_Irr!AS13+up_Irr!BR13),".")</f>
        <v>7601.8282595287337</v>
      </c>
      <c r="AV13" s="87">
        <f>IFERROR(s_C*s_IFPT_res_adj*s_CF_potato*0.001*(up_Irr!U13+up_Irr!AT13+up_Irr!BS13),".")</f>
        <v>7601.8282595287337</v>
      </c>
      <c r="AW13" s="87">
        <f>IFERROR(s_C*s_IFPU_res_adj*s_CF_pumpkin*0.001*(up_Irr!V13+up_Irr!AU13+up_Irr!BT13),".")</f>
        <v>7601.8282595287337</v>
      </c>
      <c r="AX13" s="87">
        <f>IFERROR(s_C*s_IFSN_res_adj*s_CF_snap_bean*0.001*(up_Irr!W13+up_Irr!AV13+up_Irr!BU13),".")</f>
        <v>7601.8282595287337</v>
      </c>
      <c r="AY13" s="87">
        <f>IFERROR(s_C*s_IFST_res_adj*s_CF_strawberry*0.001*(up_Irr!X13+up_Irr!AW13+up_Irr!BV13),".")</f>
        <v>7601.8282595287337</v>
      </c>
      <c r="AZ13" s="87">
        <f>IFERROR(s_C*s_IFTO_res_adj*s_CF_tomato*0.001*(up_Irr!Y13+up_Irr!AX13+up_Irr!BW13),".")</f>
        <v>7601.8282595287337</v>
      </c>
      <c r="BA13" s="87">
        <f>IFERROR(s_C*s_IFRI_res_adj*s_CF_rice*0.001*(up_Irr!Z13+up_Irr!AY13+up_Irr!BX13),".")</f>
        <v>7601.8282595287337</v>
      </c>
      <c r="BB13" s="87">
        <f>IFERROR(s_C*s_IFCG_res_adj*s_CF_cereal*0.001*(up_Irr!AA13+up_Irr!AZ13+up_Irr!BY13),".")</f>
        <v>7601.8282595287337</v>
      </c>
      <c r="BC13" s="70">
        <f t="shared" si="2"/>
        <v>1.6443412786038033E-4</v>
      </c>
      <c r="BD13" s="70">
        <f>IFERROR(IF(AND(up_Irr!C13&lt;&gt;".",up_Irr!AB13&lt;&gt;".",up_Irr!BA13&lt;&gt;"."),up_dir!AD13/((1/1000)*(up_Irr!C13+up_Irr!AB13+up_Irr!BA13)),IF(AND(up_Irr!C13&lt;&gt;".",up_Irr!AB13&lt;&gt;".",up_Irr!BA13="."),up_dir!AD13/((1/1000)*(up_Irr!C13+up_Irr!AB13)),IF(AND(up_Irr!C13&lt;&gt;".",up_Irr!AB13=".",up_Irr!BA13&lt;&gt;"."),up_dir!AD13/((1/1000)*(up_Irr!C13+up_Irr!BA13)),IF(AND(up_Irr!C13=".",up_Irr!AB13&lt;&gt;".",up_Irr!BA13&lt;&gt;"."),up_dir!AD13/((1/1000)*(up_Irr!AB13+up_Irr!BA13)),IF(AND(up_Irr!C13=".",up_Irr!AB13=".",up_Irr!BA13&lt;&gt;"."),up_dir!AD13/((1/1000)*(up_Irr!BA13)),IF(AND(up_Irr!C13=".",up_Irr!AB13&lt;&gt;".",up_Irr!BA13="."),up_dir!AD13/((1/1000)*(up_Irr!AB13)),IF(AND(up_Irr!C13&lt;&gt;".",up_Irr!AB13=".",up_Irr!BA13="."),up_dir!AD13/((1/1000)*(up_Irr!C13)),IF(AND(up_Irr!C13=".",up_Irr!AB13=".",up_Irr!BA13="."),up_dir!AD13*1000)))))))),".")</f>
        <v>6.5773651144152131E-4</v>
      </c>
      <c r="BE13" s="70">
        <f>IFERROR(IF(AND(up_Irr!D13&lt;&gt;".",up_Irr!AC13&lt;&gt;".",up_Irr!BB13&lt;&gt;"."),up_dir!AE13/((1/1000)*(up_Irr!D13+up_Irr!AC13+up_Irr!BB13)),IF(AND(up_Irr!D13&lt;&gt;".",up_Irr!AC13&lt;&gt;".",up_Irr!BB13="."),up_dir!AE13/((1/1000)*(up_Irr!D13+up_Irr!AC13)),IF(AND(up_Irr!D13&lt;&gt;".",up_Irr!AC13=".",up_Irr!BB13&lt;&gt;"."),up_dir!AE13/((1/1000)*(up_Irr!D13+up_Irr!BB13)),IF(AND(up_Irr!D13=".",up_Irr!AC13&lt;&gt;".",up_Irr!BB13&lt;&gt;"."),up_dir!AE13/((1/1000)*(up_Irr!AC13+up_Irr!BB13)),IF(AND(up_Irr!D13=".",up_Irr!AC13=".",up_Irr!BB13&lt;&gt;"."),up_dir!AE13/((1/1000)*(up_Irr!BB13)),IF(AND(up_Irr!D13=".",up_Irr!AC13&lt;&gt;".",up_Irr!BB13="."),up_dir!AE13/((1/1000)*(up_Irr!AC13)),IF(AND(up_Irr!D13&lt;&gt;".",up_Irr!AC13=".",up_Irr!BB13="."),up_dir!AE13/((1/1000)*(up_Irr!D13)),IF(AND(up_Irr!D13=".",up_Irr!AC13=".",up_Irr!BB13="."),up_dir!AE13*1000)))))))),".")</f>
        <v>6.5773651144152131E-4</v>
      </c>
      <c r="BF13" s="70">
        <f>IFERROR(IF(AND(up_Irr!E13&lt;&gt;".",up_Irr!AD13&lt;&gt;".",up_Irr!BC13&lt;&gt;"."),up_dir!AF13/((1/1000)*(up_Irr!E13+up_Irr!AD13+up_Irr!BC13)),IF(AND(up_Irr!E13&lt;&gt;".",up_Irr!AD13&lt;&gt;".",up_Irr!BC13="."),up_dir!AF13/((1/1000)*(up_Irr!E13+up_Irr!AD13)),IF(AND(up_Irr!E13&lt;&gt;".",up_Irr!AD13=".",up_Irr!BC13&lt;&gt;"."),up_dir!AF13/((1/1000)*(up_Irr!E13+up_Irr!BC13)),IF(AND(up_Irr!E13=".",up_Irr!AD13&lt;&gt;".",up_Irr!BC13&lt;&gt;"."),up_dir!AF13/((1/1000)*(up_Irr!AD13+up_Irr!BC13)),IF(AND(up_Irr!E13=".",up_Irr!AD13=".",up_Irr!BC13&lt;&gt;"."),up_dir!AF13/((1/1000)*(up_Irr!BC13)),IF(AND(up_Irr!E13=".",up_Irr!AD13&lt;&gt;".",up_Irr!BC13="."),up_dir!AF13/((1/1000)*(up_Irr!AD13)),IF(AND(up_Irr!E13&lt;&gt;".",up_Irr!AD13=".",up_Irr!BC13="."),up_dir!AF13/((1/1000)*(up_Irr!E13)),IF(AND(up_Irr!E13=".",up_Irr!AD13=".",up_Irr!BC13="."),up_dir!AF13*1000)))))))),".")</f>
        <v>6.5773651144152131E-4</v>
      </c>
      <c r="BG13" s="70">
        <f>IFERROR(IF(AND(up_Irr!F13&lt;&gt;".",up_Irr!AE13&lt;&gt;".",up_Irr!BD13&lt;&gt;"."),up_dir!AG13/((1/1000)*(up_Irr!F13+up_Irr!AE13+up_Irr!BD13)),IF(AND(up_Irr!F13&lt;&gt;".",up_Irr!AE13&lt;&gt;".",up_Irr!BD13="."),up_dir!AG13/((1/1000)*(up_Irr!F13+up_Irr!AE13)),IF(AND(up_Irr!F13&lt;&gt;".",up_Irr!AE13=".",up_Irr!BD13&lt;&gt;"."),up_dir!AG13/((1/1000)*(up_Irr!F13+up_Irr!BD13)),IF(AND(up_Irr!F13=".",up_Irr!AE13&lt;&gt;".",up_Irr!BD13&lt;&gt;"."),up_dir!AG13/((1/1000)*(up_Irr!AE13+up_Irr!BD13)),IF(AND(up_Irr!F13=".",up_Irr!AE13=".",up_Irr!BD13&lt;&gt;"."),up_dir!AG13/((1/1000)*(up_Irr!BD13)),IF(AND(up_Irr!F13=".",up_Irr!AE13&lt;&gt;".",up_Irr!BD13="."),up_dir!AG13/((1/1000)*(up_Irr!AE13)),IF(AND(up_Irr!F13&lt;&gt;".",up_Irr!AE13=".",up_Irr!BD13="."),up_dir!AG13/((1/1000)*(up_Irr!F13)),IF(AND(up_Irr!F13=".",up_Irr!AE13=".",up_Irr!BD13="."),up_dir!AG13*1000)))))))),".")</f>
        <v>6.5773651144152131E-4</v>
      </c>
      <c r="BH13" s="70">
        <f>IFERROR(IF(AND(up_Irr!G13&lt;&gt;".",up_Irr!AF13&lt;&gt;".",up_Irr!BE13&lt;&gt;"."),up_dir!AH13/((1/1000)*(up_Irr!G13+up_Irr!AF13+up_Irr!BE13)),IF(AND(up_Irr!G13&lt;&gt;".",up_Irr!AF13&lt;&gt;".",up_Irr!BE13="."),up_dir!AH13/((1/1000)*(up_Irr!G13+up_Irr!AF13)),IF(AND(up_Irr!G13&lt;&gt;".",up_Irr!AF13=".",up_Irr!BE13&lt;&gt;"."),up_dir!AH13/((1/1000)*(up_Irr!G13+up_Irr!BE13)),IF(AND(up_Irr!G13=".",up_Irr!AF13&lt;&gt;".",up_Irr!BE13&lt;&gt;"."),up_dir!AH13/((1/1000)*(up_Irr!AF13+up_Irr!BE13)),IF(AND(up_Irr!G13=".",up_Irr!AF13=".",up_Irr!BE13&lt;&gt;"."),up_dir!AH13/((1/1000)*(up_Irr!BE13)),IF(AND(up_Irr!G13=".",up_Irr!AF13&lt;&gt;".",up_Irr!BE13="."),up_dir!AH13/((1/1000)*(up_Irr!AF13)),IF(AND(up_Irr!G13&lt;&gt;".",up_Irr!AF13=".",up_Irr!BE13="."),up_dir!AH13/((1/1000)*(up_Irr!G13)),IF(AND(up_Irr!G13=".",up_Irr!AF13=".",up_Irr!BE13="."),up_dir!AH13*1000)))))))),".")</f>
        <v>6.5773651144152131E-4</v>
      </c>
      <c r="BI13" s="70">
        <f>IFERROR(IF(AND(up_Irr!H13&lt;&gt;".",up_Irr!AG13&lt;&gt;".",up_Irr!BF13&lt;&gt;"."),up_dir!AI13/((1/1000)*(up_Irr!H13+up_Irr!AG13+up_Irr!BF13)),IF(AND(up_Irr!H13&lt;&gt;".",up_Irr!AG13&lt;&gt;".",up_Irr!BF13="."),up_dir!AI13/((1/1000)*(up_Irr!H13+up_Irr!AG13)),IF(AND(up_Irr!H13&lt;&gt;".",up_Irr!AG13=".",up_Irr!BF13&lt;&gt;"."),up_dir!AI13/((1/1000)*(up_Irr!H13+up_Irr!BF13)),IF(AND(up_Irr!H13=".",up_Irr!AG13&lt;&gt;".",up_Irr!BF13&lt;&gt;"."),up_dir!AI13/((1/1000)*(up_Irr!AG13+up_Irr!BF13)),IF(AND(up_Irr!H13=".",up_Irr!AG13=".",up_Irr!BF13&lt;&gt;"."),up_dir!AI13/((1/1000)*(up_Irr!BF13)),IF(AND(up_Irr!H13=".",up_Irr!AG13&lt;&gt;".",up_Irr!BF13="."),up_dir!AI13/((1/1000)*(up_Irr!AG13)),IF(AND(up_Irr!H13&lt;&gt;".",up_Irr!AG13=".",up_Irr!BF13="."),up_dir!AI13/((1/1000)*(up_Irr!H13)),IF(AND(up_Irr!H13=".",up_Irr!AG13=".",up_Irr!BF13="."),up_dir!AI13*1000)))))))),".")</f>
        <v>6.5773651144152131E-4</v>
      </c>
      <c r="BJ13" s="70">
        <f>IFERROR(IF(AND(up_Irr!I13&lt;&gt;".",up_Irr!AH13&lt;&gt;".",up_Irr!BG13&lt;&gt;"."),up_dir!AJ13/((1/1000)*(up_Irr!I13+up_Irr!AH13+up_Irr!BG13)),IF(AND(up_Irr!I13&lt;&gt;".",up_Irr!AH13&lt;&gt;".",up_Irr!BG13="."),up_dir!AJ13/((1/1000)*(up_Irr!I13+up_Irr!AH13)),IF(AND(up_Irr!I13&lt;&gt;".",up_Irr!AH13=".",up_Irr!BG13&lt;&gt;"."),up_dir!AJ13/((1/1000)*(up_Irr!I13+up_Irr!BG13)),IF(AND(up_Irr!I13=".",up_Irr!AH13&lt;&gt;".",up_Irr!BG13&lt;&gt;"."),up_dir!AJ13/((1/1000)*(up_Irr!AH13+up_Irr!BG13)),IF(AND(up_Irr!I13=".",up_Irr!AH13=".",up_Irr!BG13&lt;&gt;"."),up_dir!AJ13/((1/1000)*(up_Irr!BG13)),IF(AND(up_Irr!I13=".",up_Irr!AH13&lt;&gt;".",up_Irr!BG13="."),up_dir!AJ13/((1/1000)*(up_Irr!AH13)),IF(AND(up_Irr!I13&lt;&gt;".",up_Irr!AH13=".",up_Irr!BG13="."),up_dir!AJ13/((1/1000)*(up_Irr!I13)),IF(AND(up_Irr!I13=".",up_Irr!AH13=".",up_Irr!BG13="."),up_dir!AJ13*1000)))))))),".")</f>
        <v>6.5773651144152131E-4</v>
      </c>
      <c r="BK13" s="70">
        <f>IFERROR(IF(AND(up_Irr!J13&lt;&gt;".",up_Irr!AI13&lt;&gt;".",up_Irr!BH13&lt;&gt;"."),up_dir!AK13/((1/1000)*(up_Irr!J13+up_Irr!AI13+up_Irr!BH13)),IF(AND(up_Irr!J13&lt;&gt;".",up_Irr!AI13&lt;&gt;".",up_Irr!BH13="."),up_dir!AK13/((1/1000)*(up_Irr!J13+up_Irr!AI13)),IF(AND(up_Irr!J13&lt;&gt;".",up_Irr!AI13=".",up_Irr!BH13&lt;&gt;"."),up_dir!AK13/((1/1000)*(up_Irr!J13+up_Irr!BH13)),IF(AND(up_Irr!J13=".",up_Irr!AI13&lt;&gt;".",up_Irr!BH13&lt;&gt;"."),up_dir!AK13/((1/1000)*(up_Irr!AI13+up_Irr!BH13)),IF(AND(up_Irr!J13=".",up_Irr!AI13=".",up_Irr!BH13&lt;&gt;"."),up_dir!AK13/((1/1000)*(up_Irr!BH13)),IF(AND(up_Irr!J13=".",up_Irr!AI13&lt;&gt;".",up_Irr!BH13="."),up_dir!AK13/((1/1000)*(up_Irr!AI13)),IF(AND(up_Irr!J13&lt;&gt;".",up_Irr!AI13=".",up_Irr!BH13="."),up_dir!AK13/((1/1000)*(up_Irr!J13)),IF(AND(up_Irr!J13=".",up_Irr!AI13=".",up_Irr!BH13="."),up_dir!AK13*1000)))))))),".")</f>
        <v>6.5773651144152131E-4</v>
      </c>
      <c r="BL13" s="70">
        <f>IFERROR(IF(AND(up_Irr!K13&lt;&gt;".",up_Irr!AJ13&lt;&gt;".",up_Irr!BI13&lt;&gt;"."),up_dir!AL13/((1/1000)*(up_Irr!K13+up_Irr!AJ13+up_Irr!BI13)),IF(AND(up_Irr!K13&lt;&gt;".",up_Irr!AJ13&lt;&gt;".",up_Irr!BI13="."),up_dir!AL13/((1/1000)*(up_Irr!K13+up_Irr!AJ13)),IF(AND(up_Irr!K13&lt;&gt;".",up_Irr!AJ13=".",up_Irr!BI13&lt;&gt;"."),up_dir!AL13/((1/1000)*(up_Irr!K13+up_Irr!BI13)),IF(AND(up_Irr!K13=".",up_Irr!AJ13&lt;&gt;".",up_Irr!BI13&lt;&gt;"."),up_dir!AL13/((1/1000)*(up_Irr!AJ13+up_Irr!BI13)),IF(AND(up_Irr!K13=".",up_Irr!AJ13=".",up_Irr!BI13&lt;&gt;"."),up_dir!AL13/((1/1000)*(up_Irr!BI13)),IF(AND(up_Irr!K13=".",up_Irr!AJ13&lt;&gt;".",up_Irr!BI13="."),up_dir!AL13/((1/1000)*(up_Irr!AJ13)),IF(AND(up_Irr!K13&lt;&gt;".",up_Irr!AJ13=".",up_Irr!BI13="."),up_dir!AL13/((1/1000)*(up_Irr!K13)),IF(AND(up_Irr!K13=".",up_Irr!AJ13=".",up_Irr!BI13="."),up_dir!AL13*1000)))))))),".")</f>
        <v>6.5773651144152131E-4</v>
      </c>
      <c r="BM13" s="70">
        <f>IFERROR(IF(AND(up_Irr!L13&lt;&gt;".",up_Irr!AK13&lt;&gt;".",up_Irr!BJ13&lt;&gt;"."),up_dir!AM13/((1/1000)*(up_Irr!L13+up_Irr!AK13+up_Irr!BJ13)),IF(AND(up_Irr!L13&lt;&gt;".",up_Irr!AK13&lt;&gt;".",up_Irr!BJ13="."),up_dir!AM13/((1/1000)*(up_Irr!L13+up_Irr!AK13)),IF(AND(up_Irr!L13&lt;&gt;".",up_Irr!AK13=".",up_Irr!BJ13&lt;&gt;"."),up_dir!AM13/((1/1000)*(up_Irr!L13+up_Irr!BJ13)),IF(AND(up_Irr!L13=".",up_Irr!AK13&lt;&gt;".",up_Irr!BJ13&lt;&gt;"."),up_dir!AM13/((1/1000)*(up_Irr!AK13+up_Irr!BJ13)),IF(AND(up_Irr!L13=".",up_Irr!AK13=".",up_Irr!BJ13&lt;&gt;"."),up_dir!AM13/((1/1000)*(up_Irr!BJ13)),IF(AND(up_Irr!L13=".",up_Irr!AK13&lt;&gt;".",up_Irr!BJ13="."),up_dir!AM13/((1/1000)*(up_Irr!AK13)),IF(AND(up_Irr!L13&lt;&gt;".",up_Irr!AK13=".",up_Irr!BJ13="."),up_dir!AM13/((1/1000)*(up_Irr!L13)),IF(AND(up_Irr!L13=".",up_Irr!AK13=".",up_Irr!BJ13="."),up_dir!AM13*1000)))))))),".")</f>
        <v>6.5773651144152131E-4</v>
      </c>
      <c r="BN13" s="70">
        <f>IFERROR(IF(AND(up_Irr!M13&lt;&gt;".",up_Irr!AL13&lt;&gt;".",up_Irr!BK13&lt;&gt;"."),up_dir!AN13/((1/1000)*(up_Irr!M13+up_Irr!AL13+up_Irr!BK13)),IF(AND(up_Irr!M13&lt;&gt;".",up_Irr!AL13&lt;&gt;".",up_Irr!BK13="."),up_dir!AN13/((1/1000)*(up_Irr!M13+up_Irr!AL13)),IF(AND(up_Irr!M13&lt;&gt;".",up_Irr!AL13=".",up_Irr!BK13&lt;&gt;"."),up_dir!AN13/((1/1000)*(up_Irr!M13+up_Irr!BK13)),IF(AND(up_Irr!M13=".",up_Irr!AL13&lt;&gt;".",up_Irr!BK13&lt;&gt;"."),up_dir!AN13/((1/1000)*(up_Irr!AL13+up_Irr!BK13)),IF(AND(up_Irr!M13=".",up_Irr!AL13=".",up_Irr!BK13&lt;&gt;"."),up_dir!AN13/((1/1000)*(up_Irr!BK13)),IF(AND(up_Irr!M13=".",up_Irr!AL13&lt;&gt;".",up_Irr!BK13="."),up_dir!AN13/((1/1000)*(up_Irr!AL13)),IF(AND(up_Irr!M13&lt;&gt;".",up_Irr!AL13=".",up_Irr!BK13="."),up_dir!AN13/((1/1000)*(up_Irr!M13)),IF(AND(up_Irr!M13=".",up_Irr!AL13=".",up_Irr!BK13="."),up_dir!AN13*1000)))))))),".")</f>
        <v>6.5773651144152131E-4</v>
      </c>
      <c r="BO13" s="70">
        <f>IFERROR(IF(AND(up_Irr!N13&lt;&gt;".",up_Irr!AM13&lt;&gt;".",up_Irr!BL13&lt;&gt;"."),up_dir!AO13/((1/1000)*(up_Irr!N13+up_Irr!AM13+up_Irr!BL13)),IF(AND(up_Irr!N13&lt;&gt;".",up_Irr!AM13&lt;&gt;".",up_Irr!BL13="."),up_dir!AO13/((1/1000)*(up_Irr!N13+up_Irr!AM13)),IF(AND(up_Irr!N13&lt;&gt;".",up_Irr!AM13=".",up_Irr!BL13&lt;&gt;"."),up_dir!AO13/((1/1000)*(up_Irr!N13+up_Irr!BL13)),IF(AND(up_Irr!N13=".",up_Irr!AM13&lt;&gt;".",up_Irr!BL13&lt;&gt;"."),up_dir!AO13/((1/1000)*(up_Irr!AM13+up_Irr!BL13)),IF(AND(up_Irr!N13=".",up_Irr!AM13=".",up_Irr!BL13&lt;&gt;"."),up_dir!AO13/((1/1000)*(up_Irr!BL13)),IF(AND(up_Irr!N13=".",up_Irr!AM13&lt;&gt;".",up_Irr!BL13="."),up_dir!AO13/((1/1000)*(up_Irr!AM13)),IF(AND(up_Irr!N13&lt;&gt;".",up_Irr!AM13=".",up_Irr!BL13="."),up_dir!AO13/((1/1000)*(up_Irr!N13)),IF(AND(up_Irr!N13=".",up_Irr!AM13=".",up_Irr!BL13="."),up_dir!AO13*1000)))))))),".")</f>
        <v>6.5773651144152131E-4</v>
      </c>
      <c r="BP13" s="70">
        <f>IFERROR(IF(AND(up_Irr!O13&lt;&gt;".",up_Irr!AN13&lt;&gt;".",up_Irr!BM13&lt;&gt;"."),up_dir!AP13/((1/1000)*(up_Irr!O13+up_Irr!AN13+up_Irr!BM13)),IF(AND(up_Irr!O13&lt;&gt;".",up_Irr!AN13&lt;&gt;".",up_Irr!BM13="."),up_dir!AP13/((1/1000)*(up_Irr!O13+up_Irr!AN13)),IF(AND(up_Irr!O13&lt;&gt;".",up_Irr!AN13=".",up_Irr!BM13&lt;&gt;"."),up_dir!AP13/((1/1000)*(up_Irr!O13+up_Irr!BM13)),IF(AND(up_Irr!O13=".",up_Irr!AN13&lt;&gt;".",up_Irr!BM13&lt;&gt;"."),up_dir!AP13/((1/1000)*(up_Irr!AN13+up_Irr!BM13)),IF(AND(up_Irr!O13=".",up_Irr!AN13=".",up_Irr!BM13&lt;&gt;"."),up_dir!AP13/((1/1000)*(up_Irr!BM13)),IF(AND(up_Irr!O13=".",up_Irr!AN13&lt;&gt;".",up_Irr!BM13="."),up_dir!AP13/((1/1000)*(up_Irr!AN13)),IF(AND(up_Irr!O13&lt;&gt;".",up_Irr!AN13=".",up_Irr!BM13="."),up_dir!AP13/((1/1000)*(up_Irr!O13)),IF(AND(up_Irr!O13=".",up_Irr!AN13=".",up_Irr!BM13="."),up_dir!AP13*1000)))))))),".")</f>
        <v>6.5773651144152131E-4</v>
      </c>
      <c r="BQ13" s="70">
        <f>IFERROR(IF(AND(up_Irr!P13&lt;&gt;".",up_Irr!AO13&lt;&gt;".",up_Irr!BN13&lt;&gt;"."),up_dir!AQ13/((1/1000)*(up_Irr!P13+up_Irr!AO13+up_Irr!BN13)),IF(AND(up_Irr!P13&lt;&gt;".",up_Irr!AO13&lt;&gt;".",up_Irr!BN13="."),up_dir!AQ13/((1/1000)*(up_Irr!P13+up_Irr!AO13)),IF(AND(up_Irr!P13&lt;&gt;".",up_Irr!AO13=".",up_Irr!BN13&lt;&gt;"."),up_dir!AQ13/((1/1000)*(up_Irr!P13+up_Irr!BN13)),IF(AND(up_Irr!P13=".",up_Irr!AO13&lt;&gt;".",up_Irr!BN13&lt;&gt;"."),up_dir!AQ13/((1/1000)*(up_Irr!AO13+up_Irr!BN13)),IF(AND(up_Irr!P13=".",up_Irr!AO13=".",up_Irr!BN13&lt;&gt;"."),up_dir!AQ13/((1/1000)*(up_Irr!BN13)),IF(AND(up_Irr!P13=".",up_Irr!AO13&lt;&gt;".",up_Irr!BN13="."),up_dir!AQ13/((1/1000)*(up_Irr!AO13)),IF(AND(up_Irr!P13&lt;&gt;".",up_Irr!AO13=".",up_Irr!BN13="."),up_dir!AQ13/((1/1000)*(up_Irr!P13)),IF(AND(up_Irr!P13=".",up_Irr!AO13=".",up_Irr!BN13="."),up_dir!AQ13*1000)))))))),".")</f>
        <v>6.5773651144152131E-4</v>
      </c>
      <c r="BR13" s="70">
        <f>IFERROR(IF(AND(up_Irr!Q13&lt;&gt;".",up_Irr!AP13&lt;&gt;".",up_Irr!BO13&lt;&gt;"."),up_dir!AR13/((1/1000)*(up_Irr!Q13+up_Irr!AP13+up_Irr!BO13)),IF(AND(up_Irr!Q13&lt;&gt;".",up_Irr!AP13&lt;&gt;".",up_Irr!BO13="."),up_dir!AR13/((1/1000)*(up_Irr!Q13+up_Irr!AP13)),IF(AND(up_Irr!Q13&lt;&gt;".",up_Irr!AP13=".",up_Irr!BO13&lt;&gt;"."),up_dir!AR13/((1/1000)*(up_Irr!Q13+up_Irr!BO13)),IF(AND(up_Irr!Q13=".",up_Irr!AP13&lt;&gt;".",up_Irr!BO13&lt;&gt;"."),up_dir!AR13/((1/1000)*(up_Irr!AP13+up_Irr!BO13)),IF(AND(up_Irr!Q13=".",up_Irr!AP13=".",up_Irr!BO13&lt;&gt;"."),up_dir!AR13/((1/1000)*(up_Irr!BO13)),IF(AND(up_Irr!Q13=".",up_Irr!AP13&lt;&gt;".",up_Irr!BO13="."),up_dir!AR13/((1/1000)*(up_Irr!AP13)),IF(AND(up_Irr!Q13&lt;&gt;".",up_Irr!AP13=".",up_Irr!BO13="."),up_dir!AR13/((1/1000)*(up_Irr!Q13)),IF(AND(up_Irr!Q13=".",up_Irr!AP13=".",up_Irr!BO13="."),up_dir!AR13*1000)))))))),".")</f>
        <v>6.5773651144152131E-4</v>
      </c>
      <c r="BS13" s="70">
        <f>IFERROR(IF(AND(up_Irr!R13&lt;&gt;".",up_Irr!AQ13&lt;&gt;".",up_Irr!BP13&lt;&gt;"."),up_dir!AS13/((1/1000)*(up_Irr!R13+up_Irr!AQ13+up_Irr!BP13)),IF(AND(up_Irr!R13&lt;&gt;".",up_Irr!AQ13&lt;&gt;".",up_Irr!BP13="."),up_dir!AS13/((1/1000)*(up_Irr!R13+up_Irr!AQ13)),IF(AND(up_Irr!R13&lt;&gt;".",up_Irr!AQ13=".",up_Irr!BP13&lt;&gt;"."),up_dir!AS13/((1/1000)*(up_Irr!R13+up_Irr!BP13)),IF(AND(up_Irr!R13=".",up_Irr!AQ13&lt;&gt;".",up_Irr!BP13&lt;&gt;"."),up_dir!AS13/((1/1000)*(up_Irr!AQ13+up_Irr!BP13)),IF(AND(up_Irr!R13=".",up_Irr!AQ13=".",up_Irr!BP13&lt;&gt;"."),up_dir!AS13/((1/1000)*(up_Irr!BP13)),IF(AND(up_Irr!R13=".",up_Irr!AQ13&lt;&gt;".",up_Irr!BP13="."),up_dir!AS13/((1/1000)*(up_Irr!AQ13)),IF(AND(up_Irr!R13&lt;&gt;".",up_Irr!AQ13=".",up_Irr!BP13="."),up_dir!AS13/((1/1000)*(up_Irr!R13)),IF(AND(up_Irr!R13=".",up_Irr!AQ13=".",up_Irr!BP13="."),up_dir!AS13*1000)))))))),".")</f>
        <v>6.5773651144152131E-4</v>
      </c>
      <c r="BT13" s="70">
        <f>IFERROR(IF(AND(up_Irr!S13&lt;&gt;".",up_Irr!AR13&lt;&gt;".",up_Irr!BQ13&lt;&gt;"."),up_dir!AT13/((1/1000)*(up_Irr!S13+up_Irr!AR13+up_Irr!BQ13)),IF(AND(up_Irr!S13&lt;&gt;".",up_Irr!AR13&lt;&gt;".",up_Irr!BQ13="."),up_dir!AT13/((1/1000)*(up_Irr!S13+up_Irr!AR13)),IF(AND(up_Irr!S13&lt;&gt;".",up_Irr!AR13=".",up_Irr!BQ13&lt;&gt;"."),up_dir!AT13/((1/1000)*(up_Irr!S13+up_Irr!BQ13)),IF(AND(up_Irr!S13=".",up_Irr!AR13&lt;&gt;".",up_Irr!BQ13&lt;&gt;"."),up_dir!AT13/((1/1000)*(up_Irr!AR13+up_Irr!BQ13)),IF(AND(up_Irr!S13=".",up_Irr!AR13=".",up_Irr!BQ13&lt;&gt;"."),up_dir!AT13/((1/1000)*(up_Irr!BQ13)),IF(AND(up_Irr!S13=".",up_Irr!AR13&lt;&gt;".",up_Irr!BQ13="."),up_dir!AT13/((1/1000)*(up_Irr!AR13)),IF(AND(up_Irr!S13&lt;&gt;".",up_Irr!AR13=".",up_Irr!BQ13="."),up_dir!AT13/((1/1000)*(up_Irr!S13)),IF(AND(up_Irr!S13=".",up_Irr!AR13=".",up_Irr!BQ13="."),up_dir!AT13*1000)))))))),".")</f>
        <v>6.5773651144152131E-4</v>
      </c>
      <c r="BU13" s="70">
        <f>IFERROR(IF(AND(up_Irr!T13&lt;&gt;".",up_Irr!AS13&lt;&gt;".",up_Irr!BR13&lt;&gt;"."),up_dir!AU13/((1/1000)*(up_Irr!T13+up_Irr!AS13+up_Irr!BR13)),IF(AND(up_Irr!T13&lt;&gt;".",up_Irr!AS13&lt;&gt;".",up_Irr!BR13="."),up_dir!AU13/((1/1000)*(up_Irr!T13+up_Irr!AS13)),IF(AND(up_Irr!T13&lt;&gt;".",up_Irr!AS13=".",up_Irr!BR13&lt;&gt;"."),up_dir!AU13/((1/1000)*(up_Irr!T13+up_Irr!BR13)),IF(AND(up_Irr!T13=".",up_Irr!AS13&lt;&gt;".",up_Irr!BR13&lt;&gt;"."),up_dir!AU13/((1/1000)*(up_Irr!AS13+up_Irr!BR13)),IF(AND(up_Irr!T13=".",up_Irr!AS13=".",up_Irr!BR13&lt;&gt;"."),up_dir!AU13/((1/1000)*(up_Irr!BR13)),IF(AND(up_Irr!T13=".",up_Irr!AS13&lt;&gt;".",up_Irr!BR13="."),up_dir!AU13/((1/1000)*(up_Irr!AS13)),IF(AND(up_Irr!T13&lt;&gt;".",up_Irr!AS13=".",up_Irr!BR13="."),up_dir!AU13/((1/1000)*(up_Irr!T13)),IF(AND(up_Irr!T13=".",up_Irr!AS13=".",up_Irr!BR13="."),up_dir!AU13*1000)))))))),".")</f>
        <v>6.5773651144152131E-4</v>
      </c>
      <c r="BV13" s="70">
        <f>IFERROR(IF(AND(up_Irr!U13&lt;&gt;".",up_Irr!AT13&lt;&gt;".",up_Irr!BS13&lt;&gt;"."),up_dir!AV13/((1/1000)*(up_Irr!U13+up_Irr!AT13+up_Irr!BS13)),IF(AND(up_Irr!U13&lt;&gt;".",up_Irr!AT13&lt;&gt;".",up_Irr!BS13="."),up_dir!AV13/((1/1000)*(up_Irr!U13+up_Irr!AT13)),IF(AND(up_Irr!U13&lt;&gt;".",up_Irr!AT13=".",up_Irr!BS13&lt;&gt;"."),up_dir!AV13/((1/1000)*(up_Irr!U13+up_Irr!BS13)),IF(AND(up_Irr!U13=".",up_Irr!AT13&lt;&gt;".",up_Irr!BS13&lt;&gt;"."),up_dir!AV13/((1/1000)*(up_Irr!AT13+up_Irr!BS13)),IF(AND(up_Irr!U13=".",up_Irr!AT13=".",up_Irr!BS13&lt;&gt;"."),up_dir!AV13/((1/1000)*(up_Irr!BS13)),IF(AND(up_Irr!U13=".",up_Irr!AT13&lt;&gt;".",up_Irr!BS13="."),up_dir!AV13/((1/1000)*(up_Irr!AT13)),IF(AND(up_Irr!U13&lt;&gt;".",up_Irr!AT13=".",up_Irr!BS13="."),up_dir!AV13/((1/1000)*(up_Irr!U13)),IF(AND(up_Irr!U13=".",up_Irr!AT13=".",up_Irr!BS13="."),up_dir!AV13*1000)))))))),".")</f>
        <v>6.5773651144152131E-4</v>
      </c>
      <c r="BW13" s="70">
        <f>IFERROR(IF(AND(up_Irr!V13&lt;&gt;".",up_Irr!AU13&lt;&gt;".",up_Irr!BT13&lt;&gt;"."),up_dir!AW13/((1/1000)*(up_Irr!V13+up_Irr!AU13+up_Irr!BT13)),IF(AND(up_Irr!V13&lt;&gt;".",up_Irr!AU13&lt;&gt;".",up_Irr!BT13="."),up_dir!AW13/((1/1000)*(up_Irr!V13+up_Irr!AU13)),IF(AND(up_Irr!V13&lt;&gt;".",up_Irr!AU13=".",up_Irr!BT13&lt;&gt;"."),up_dir!AW13/((1/1000)*(up_Irr!V13+up_Irr!BT13)),IF(AND(up_Irr!V13=".",up_Irr!AU13&lt;&gt;".",up_Irr!BT13&lt;&gt;"."),up_dir!AW13/((1/1000)*(up_Irr!AU13+up_Irr!BT13)),IF(AND(up_Irr!V13=".",up_Irr!AU13=".",up_Irr!BT13&lt;&gt;"."),up_dir!AW13/((1/1000)*(up_Irr!BT13)),IF(AND(up_Irr!V13=".",up_Irr!AU13&lt;&gt;".",up_Irr!BT13="."),up_dir!AW13/((1/1000)*(up_Irr!AU13)),IF(AND(up_Irr!V13&lt;&gt;".",up_Irr!AU13=".",up_Irr!BT13="."),up_dir!AW13/((1/1000)*(up_Irr!V13)),IF(AND(up_Irr!V13=".",up_Irr!AU13=".",up_Irr!BT13="."),up_dir!AW13*1000)))))))),".")</f>
        <v>6.5773651144152131E-4</v>
      </c>
      <c r="BX13" s="70">
        <f>IFERROR(IF(AND(up_Irr!W13&lt;&gt;".",up_Irr!AV13&lt;&gt;".",up_Irr!BU13&lt;&gt;"."),up_dir!AX13/((1/1000)*(up_Irr!W13+up_Irr!AV13+up_Irr!BU13)),IF(AND(up_Irr!W13&lt;&gt;".",up_Irr!AV13&lt;&gt;".",up_Irr!BU13="."),up_dir!AX13/((1/1000)*(up_Irr!W13+up_Irr!AV13)),IF(AND(up_Irr!W13&lt;&gt;".",up_Irr!AV13=".",up_Irr!BU13&lt;&gt;"."),up_dir!AX13/((1/1000)*(up_Irr!W13+up_Irr!BU13)),IF(AND(up_Irr!W13=".",up_Irr!AV13&lt;&gt;".",up_Irr!BU13&lt;&gt;"."),up_dir!AX13/((1/1000)*(up_Irr!AV13+up_Irr!BU13)),IF(AND(up_Irr!W13=".",up_Irr!AV13=".",up_Irr!BU13&lt;&gt;"."),up_dir!AX13/((1/1000)*(up_Irr!BU13)),IF(AND(up_Irr!W13=".",up_Irr!AV13&lt;&gt;".",up_Irr!BU13="."),up_dir!AX13/((1/1000)*(up_Irr!AV13)),IF(AND(up_Irr!W13&lt;&gt;".",up_Irr!AV13=".",up_Irr!BU13="."),up_dir!AX13/((1/1000)*(up_Irr!W13)),IF(AND(up_Irr!W13=".",up_Irr!AV13=".",up_Irr!BU13="."),up_dir!AX13*1000)))))))),".")</f>
        <v>6.5773651144152131E-4</v>
      </c>
      <c r="BY13" s="70">
        <f>IFERROR(IF(AND(up_Irr!X13&lt;&gt;".",up_Irr!AW13&lt;&gt;".",up_Irr!BV13&lt;&gt;"."),up_dir!AY13/((1/1000)*(up_Irr!X13+up_Irr!AW13+up_Irr!BV13)),IF(AND(up_Irr!X13&lt;&gt;".",up_Irr!AW13&lt;&gt;".",up_Irr!BV13="."),up_dir!AY13/((1/1000)*(up_Irr!X13+up_Irr!AW13)),IF(AND(up_Irr!X13&lt;&gt;".",up_Irr!AW13=".",up_Irr!BV13&lt;&gt;"."),up_dir!AY13/((1/1000)*(up_Irr!X13+up_Irr!BV13)),IF(AND(up_Irr!X13=".",up_Irr!AW13&lt;&gt;".",up_Irr!BV13&lt;&gt;"."),up_dir!AY13/((1/1000)*(up_Irr!AW13+up_Irr!BV13)),IF(AND(up_Irr!X13=".",up_Irr!AW13=".",up_Irr!BV13&lt;&gt;"."),up_dir!AY13/((1/1000)*(up_Irr!BV13)),IF(AND(up_Irr!X13=".",up_Irr!AW13&lt;&gt;".",up_Irr!BV13="."),up_dir!AY13/((1/1000)*(up_Irr!AW13)),IF(AND(up_Irr!X13&lt;&gt;".",up_Irr!AW13=".",up_Irr!BV13="."),up_dir!AY13/((1/1000)*(up_Irr!X13)),IF(AND(up_Irr!X13=".",up_Irr!AW13=".",up_Irr!BV13="."),up_dir!AY13*1000)))))))),".")</f>
        <v>6.5773651144152131E-4</v>
      </c>
      <c r="BZ13" s="70">
        <f>IFERROR(IF(AND(up_Irr!Y13&lt;&gt;".",up_Irr!AX13&lt;&gt;".",up_Irr!BW13&lt;&gt;"."),up_dir!AZ13/((1/1000)*(up_Irr!Y13+up_Irr!AX13+up_Irr!BW13)),IF(AND(up_Irr!Y13&lt;&gt;".",up_Irr!AX13&lt;&gt;".",up_Irr!BW13="."),up_dir!AZ13/((1/1000)*(up_Irr!Y13+up_Irr!AX13)),IF(AND(up_Irr!Y13&lt;&gt;".",up_Irr!AX13=".",up_Irr!BW13&lt;&gt;"."),up_dir!AZ13/((1/1000)*(up_Irr!Y13+up_Irr!BW13)),IF(AND(up_Irr!Y13=".",up_Irr!AX13&lt;&gt;".",up_Irr!BW13&lt;&gt;"."),up_dir!AZ13/((1/1000)*(up_Irr!AX13+up_Irr!BW13)),IF(AND(up_Irr!Y13=".",up_Irr!AX13=".",up_Irr!BW13&lt;&gt;"."),up_dir!AZ13/((1/1000)*(up_Irr!BW13)),IF(AND(up_Irr!Y13=".",up_Irr!AX13&lt;&gt;".",up_Irr!BW13="."),up_dir!AZ13/((1/1000)*(up_Irr!AX13)),IF(AND(up_Irr!Y13&lt;&gt;".",up_Irr!AX13=".",up_Irr!BW13="."),up_dir!AZ13/((1/1000)*(up_Irr!Y13)),IF(AND(up_Irr!Y13=".",up_Irr!AX13=".",up_Irr!BW13="."),up_dir!AZ13*1000)))))))),".")</f>
        <v>6.5773651144152131E-4</v>
      </c>
      <c r="CA13" s="70">
        <f>IFERROR(IF(AND(up_Irr!Z13&lt;&gt;".",up_Irr!AY13&lt;&gt;".",up_Irr!BX13&lt;&gt;"."),up_dir!BA13/((1/1000)*(up_Irr!Z13+up_Irr!AY13+up_Irr!BX13)),IF(AND(up_Irr!Z13&lt;&gt;".",up_Irr!AY13&lt;&gt;".",up_Irr!BX13="."),up_dir!BA13/((1/1000)*(up_Irr!Z13+up_Irr!AY13)),IF(AND(up_Irr!Z13&lt;&gt;".",up_Irr!AY13=".",up_Irr!BX13&lt;&gt;"."),up_dir!BA13/((1/1000)*(up_Irr!Z13+up_Irr!BX13)),IF(AND(up_Irr!Z13=".",up_Irr!AY13&lt;&gt;".",up_Irr!BX13&lt;&gt;"."),up_dir!BA13/((1/1000)*(up_Irr!AY13+up_Irr!BX13)),IF(AND(up_Irr!Z13=".",up_Irr!AY13=".",up_Irr!BX13&lt;&gt;"."),up_dir!BA13/((1/1000)*(up_Irr!BX13)),IF(AND(up_Irr!Z13=".",up_Irr!AY13&lt;&gt;".",up_Irr!BX13="."),up_dir!BA13/((1/1000)*(up_Irr!AY13)),IF(AND(up_Irr!Z13&lt;&gt;".",up_Irr!AY13=".",up_Irr!BX13="."),up_dir!BA13/((1/1000)*(up_Irr!Z13)),IF(AND(up_Irr!Z13=".",up_Irr!AY13=".",up_Irr!BX13="."),up_dir!BA13*1000)))))))),".")</f>
        <v>6.5773651144152131E-4</v>
      </c>
      <c r="CB13" s="70">
        <f>IFERROR(IF(AND(up_Irr!AA13&lt;&gt;".",up_Irr!AZ13&lt;&gt;".",up_Irr!BY13&lt;&gt;"."),up_dir!BB13/((1/1000)*(up_Irr!AA13+up_Irr!AZ13+up_Irr!BY13)),IF(AND(up_Irr!AA13&lt;&gt;".",up_Irr!AZ13&lt;&gt;".",up_Irr!BY13="."),up_dir!BB13/((1/1000)*(up_Irr!AA13+up_Irr!AZ13)),IF(AND(up_Irr!AA13&lt;&gt;".",up_Irr!AZ13=".",up_Irr!BY13&lt;&gt;"."),up_dir!BB13/((1/1000)*(up_Irr!AA13+up_Irr!BY13)),IF(AND(up_Irr!AA13=".",up_Irr!AZ13&lt;&gt;".",up_Irr!BY13&lt;&gt;"."),up_dir!BB13/((1/1000)*(up_Irr!AZ13+up_Irr!BY13)),IF(AND(up_Irr!AA13=".",up_Irr!AZ13=".",up_Irr!BY13&lt;&gt;"."),up_dir!BB13/((1/1000)*(up_Irr!BY13)),IF(AND(up_Irr!AA13=".",up_Irr!AZ13&lt;&gt;".",up_Irr!BY13="."),up_dir!BB13/((1/1000)*(up_Irr!AZ13)),IF(AND(up_Irr!AA13&lt;&gt;".",up_Irr!AZ13=".",up_Irr!BY13="."),up_dir!BB13/((1/1000)*(up_Irr!AA13)),IF(AND(up_Irr!AA13=".",up_Irr!AZ13=".",up_Irr!BY13="."),up_dir!BB13*1000)))))))),".")</f>
        <v>6.5773651144152131E-4</v>
      </c>
      <c r="CC13" s="87">
        <f t="shared" si="3"/>
        <v>30407.313038114935</v>
      </c>
      <c r="CD13" s="87">
        <f>IFERROR(s_C*s_IFAP_far_adj*s_CF_apple*(1/1000)*(up_Irr!C13+up_Irr!AB13+up_Irr!BA13),".")</f>
        <v>7601.8282595287337</v>
      </c>
      <c r="CE13" s="87">
        <f>IFERROR(s_C*s_IFAS_far_adj*s_CF_asparagus*(1/1000)*(up_Irr!D13+up_Irr!AC13+up_Irr!BB13),".")</f>
        <v>7601.8282595287337</v>
      </c>
      <c r="CF13" s="87">
        <f>IFERROR(s_C*s_IFBT_far_adj*s_CF_beet*(1/1000)*(up_Irr!E13+up_Irr!AD13+up_Irr!BC13),".")</f>
        <v>7601.8282595287337</v>
      </c>
      <c r="CG13" s="87">
        <f>IFERROR(s_C*s_IFBE_far_adj*s_CF_berries*(1/1000)*(up_Irr!F13+up_Irr!AE13+up_Irr!BD13),".")</f>
        <v>7601.8282595287337</v>
      </c>
      <c r="CH13" s="87">
        <f>IFERROR(s_C*s_IFBR_far_adj*s_CF_broccoli*(1/1000)*(up_Irr!G13+up_Irr!AF13+up_Irr!BE13),".")</f>
        <v>7601.8282595287337</v>
      </c>
      <c r="CI13" s="87">
        <f>IFERROR(s_C*s_IFCB_far_adj*s_CF_cabbage*(1/1000)*(up_Irr!H13+up_Irr!AG13+up_Irr!BF13),".")</f>
        <v>7601.8282595287337</v>
      </c>
      <c r="CJ13" s="87">
        <f>IFERROR(s_C*s_IFCR_far_adj*s_CF_carrot*(1/1000)*(up_Irr!I13+up_Irr!AH13+up_Irr!BG13),".")</f>
        <v>7601.8282595287337</v>
      </c>
      <c r="CK13" s="87">
        <f>IFERROR(s_C*s_IFCI_far_adj*s_CF_citrus*(1/1000)*(up_Irr!J13+up_Irr!AI13+up_Irr!BH13),".")</f>
        <v>7601.8282595287337</v>
      </c>
      <c r="CL13" s="87">
        <f>IFERROR(s_C*s_IFCO_far_adj*s_CF_corn*(1/1000)*(up_Irr!K13+up_Irr!AJ13+up_Irr!BI13),".")</f>
        <v>7601.8282595287337</v>
      </c>
      <c r="CM13" s="87">
        <f>IFERROR(s_C*s_IFCU_far_adj*s_CF_cucumber*(1/1000)*(up_Irr!L13+up_Irr!AK13+up_Irr!BJ13),".")</f>
        <v>7601.8282595287337</v>
      </c>
      <c r="CN13" s="87">
        <f>IFERROR(s_C*s_IFLE_far_adj*s_CF_lettuce*(1/1000)*(up_Irr!M13+up_Irr!AL13+up_Irr!BK13),".")</f>
        <v>7601.8282595287337</v>
      </c>
      <c r="CO13" s="87">
        <f>IFERROR(s_C*s_IFLI_far_adj*s_CF_lima_bean*(1/1000)*(up_Irr!N13+up_Irr!AM13+up_Irr!BL13),".")</f>
        <v>7601.8282595287337</v>
      </c>
      <c r="CP13" s="87">
        <f>IFERROR(s_C*s_IFOK_far_adj*s_CF_okra*(1/1000)*(up_Irr!O13+up_Irr!AN13+up_Irr!BM13),".")</f>
        <v>7601.8282595287337</v>
      </c>
      <c r="CQ13" s="87">
        <f>IFERROR(s_C*s_IFON_far_adj*s_CF_onion*(1/1000)*(up_Irr!P13+up_Irr!AO13+up_Irr!BN13),".")</f>
        <v>7601.8282595287337</v>
      </c>
      <c r="CR13" s="87">
        <f>IFERROR(s_C*s_IFPC_far_adj*s_CF_peach*(1/1000)*(up_Irr!Q13+up_Irr!AP13+up_Irr!BO13),".")</f>
        <v>7601.8282595287337</v>
      </c>
      <c r="CS13" s="87">
        <f>IFERROR(s_C*s_IFPR_far_adj*s_CF_pear*(1/1000)*(up_Irr!R13+up_Irr!AQ13+up_Irr!BP13),".")</f>
        <v>7601.8282595287337</v>
      </c>
      <c r="CT13" s="87">
        <f>IFERROR(s_C*s_IFPE_far_adj*s_CF_peas*(1/1000)*(up_Irr!S13+up_Irr!AR13+up_Irr!BQ13),".")</f>
        <v>7601.8282595287337</v>
      </c>
      <c r="CU13" s="87">
        <f>IFERROR(s_C*s_IFPP_far_adj*s_CF_peppers*(1/1000)*(up_Irr!T13+up_Irr!AS13+up_Irr!BR13),".")</f>
        <v>7601.8282595287337</v>
      </c>
      <c r="CV13" s="87">
        <f>IFERROR(s_C*s_IFPT_far_adj*s_CF_potato*(1/1000)*(up_Irr!U13+up_Irr!AT13+up_Irr!BS13),".")</f>
        <v>7601.8282595287337</v>
      </c>
      <c r="CW13" s="87">
        <f>IFERROR(s_C*s_IFPU_far_adj*s_CF_pumpkin*(1/1000)*(up_Irr!V13+up_Irr!AU13+up_Irr!BT13),".")</f>
        <v>7601.8282595287337</v>
      </c>
      <c r="CX13" s="87">
        <f>IFERROR(s_C*s_IFSN_far_adj*s_CF_snap_bean*(1/1000)*(up_Irr!W13+up_Irr!AV13+up_Irr!BU13),".")</f>
        <v>7601.8282595287337</v>
      </c>
      <c r="CY13" s="87">
        <f>IFERROR(s_C*s_IFST_far_adj*s_CF_strawberry*(1/1000)*(up_Irr!X13+up_Irr!AW13+up_Irr!BV13),".")</f>
        <v>7601.8282595287337</v>
      </c>
      <c r="CZ13" s="87">
        <f>IFERROR(s_C*s_IFTO_far_adj*s_CF_tomato*(1/1000)*(up_Irr!Y13+up_Irr!AX13+up_Irr!BW13),".")</f>
        <v>7601.8282595287337</v>
      </c>
      <c r="DA13" s="87">
        <f>IFERROR(s_C*s_IFRI_far_adj*s_CF_rice*(1/1000)*(up_Irr!Z13+up_Irr!AY13+up_Irr!BX13),".")</f>
        <v>7601.8282595287337</v>
      </c>
      <c r="DB13" s="87">
        <f>IFERROR(s_C*s_IFCG_far_adj*s_CF_cereal*(1/1000)*(up_Irr!AA13+up_Irr!AZ13+up_Irr!BY13),".")</f>
        <v>7601.8282595287337</v>
      </c>
    </row>
    <row r="14" spans="1:106" ht="15" customHeight="1" x14ac:dyDescent="0.25">
      <c r="A14" s="86" t="s">
        <v>12</v>
      </c>
      <c r="B14" s="84" t="s">
        <v>1057</v>
      </c>
      <c r="C14" s="15">
        <f t="shared" si="0"/>
        <v>1.6443412786038033E-4</v>
      </c>
      <c r="D14" s="70">
        <f>IFERROR(IF(AND(up_Irr!C14&lt;&gt;".",up_Irr!AB14&lt;&gt;".",up_Irr!BA14&lt;&gt;"."),up_dir!D14/((1/1000)*(up_Irr!C14+up_Irr!AB14+up_Irr!BA14)),IF(AND(up_Irr!C14&lt;&gt;".",up_Irr!AB14&lt;&gt;".",up_Irr!BA14="."),up_dir!D14/((1/1000)*(up_Irr!C14+up_Irr!AB14)),IF(AND(up_Irr!C14&lt;&gt;".",up_Irr!AB14=".",up_Irr!BA14&lt;&gt;"."),up_dir!D14/((1/1000)*(up_Irr!C14+up_Irr!BA14)),IF(AND(up_Irr!C14=".",up_Irr!AB14&lt;&gt;".",up_Irr!BA14&lt;&gt;"."),up_dir!D14/((1/1000)*(up_Irr!AB14+up_Irr!BA14)),IF(AND(up_Irr!C14=".",up_Irr!AB14=".",up_Irr!BA14&lt;&gt;"."),up_dir!D14/((1/1000)*(up_Irr!BA14)),IF(AND(up_Irr!C14=".",up_Irr!AB14&lt;&gt;".",up_Irr!BA14="."),up_dir!D14/((1/1000)*(up_Irr!AB14)),IF(AND(up_Irr!C14&lt;&gt;".",up_Irr!AB14=".",up_Irr!BA14="."),up_dir!D14/((1/1000)*(up_Irr!C14)),IF(AND(up_Irr!C14=".",up_Irr!AB14=".",up_Irr!BA14="."),up_dir!D14*1000)))))))),".")</f>
        <v>6.5773651144152131E-4</v>
      </c>
      <c r="E14" s="70">
        <f>IFERROR(IF(AND(up_Irr!D14&lt;&gt;".",up_Irr!AC14&lt;&gt;".",up_Irr!BB14&lt;&gt;"."),up_dir!E14/((1/1000)*(up_Irr!D14+up_Irr!AC14+up_Irr!BB14)),IF(AND(up_Irr!D14&lt;&gt;".",up_Irr!AC14&lt;&gt;".",up_Irr!BB14="."),up_dir!E14/((1/1000)*(up_Irr!D14+up_Irr!AC14)),IF(AND(up_Irr!D14&lt;&gt;".",up_Irr!AC14=".",up_Irr!BB14&lt;&gt;"."),up_dir!E14/((1/1000)*(up_Irr!D14+up_Irr!BB14)),IF(AND(up_Irr!D14=".",up_Irr!AC14&lt;&gt;".",up_Irr!BB14&lt;&gt;"."),up_dir!E14/((1/1000)*(up_Irr!AC14+up_Irr!BB14)),IF(AND(up_Irr!D14=".",up_Irr!AC14=".",up_Irr!BB14&lt;&gt;"."),up_dir!E14/((1/1000)*(up_Irr!BB14)),IF(AND(up_Irr!D14=".",up_Irr!AC14&lt;&gt;".",up_Irr!BB14="."),up_dir!E14/((1/1000)*(up_Irr!AC14)),IF(AND(up_Irr!D14&lt;&gt;".",up_Irr!AC14=".",up_Irr!BB14="."),up_dir!E14/((1/1000)*(up_Irr!D14)),IF(AND(up_Irr!D14=".",up_Irr!AC14=".",up_Irr!BB14="."),up_dir!E14*1000)))))))),".")</f>
        <v>6.5773651144152131E-4</v>
      </c>
      <c r="F14" s="70">
        <f>IFERROR(IF(AND(up_Irr!E14&lt;&gt;".",up_Irr!AD14&lt;&gt;".",up_Irr!BC14&lt;&gt;"."),up_dir!F14/((1/1000)*(up_Irr!E14+up_Irr!AD14+up_Irr!BC14)),IF(AND(up_Irr!E14&lt;&gt;".",up_Irr!AD14&lt;&gt;".",up_Irr!BC14="."),up_dir!F14/((1/1000)*(up_Irr!E14+up_Irr!AD14)),IF(AND(up_Irr!E14&lt;&gt;".",up_Irr!AD14=".",up_Irr!BC14&lt;&gt;"."),up_dir!F14/((1/1000)*(up_Irr!E14+up_Irr!BC14)),IF(AND(up_Irr!E14=".",up_Irr!AD14&lt;&gt;".",up_Irr!BC14&lt;&gt;"."),up_dir!F14/((1/1000)*(up_Irr!AD14+up_Irr!BC14)),IF(AND(up_Irr!E14=".",up_Irr!AD14=".",up_Irr!BC14&lt;&gt;"."),up_dir!F14/((1/1000)*(up_Irr!BC14)),IF(AND(up_Irr!E14=".",up_Irr!AD14&lt;&gt;".",up_Irr!BC14="."),up_dir!F14/((1/1000)*(up_Irr!AD14)),IF(AND(up_Irr!E14&lt;&gt;".",up_Irr!AD14=".",up_Irr!BC14="."),up_dir!F14/((1/1000)*(up_Irr!E14)),IF(AND(up_Irr!E14=".",up_Irr!AD14=".",up_Irr!BC14="."),up_dir!F14*1000)))))))),".")</f>
        <v>6.5773651144152131E-4</v>
      </c>
      <c r="G14" s="70">
        <f>IFERROR(IF(AND(up_Irr!F14&lt;&gt;".",up_Irr!AE14&lt;&gt;".",up_Irr!BD14&lt;&gt;"."),up_dir!G14/((1/1000)*(up_Irr!F14+up_Irr!AE14+up_Irr!BD14)),IF(AND(up_Irr!F14&lt;&gt;".",up_Irr!AE14&lt;&gt;".",up_Irr!BD14="."),up_dir!G14/((1/1000)*(up_Irr!F14+up_Irr!AE14)),IF(AND(up_Irr!F14&lt;&gt;".",up_Irr!AE14=".",up_Irr!BD14&lt;&gt;"."),up_dir!G14/((1/1000)*(up_Irr!F14+up_Irr!BD14)),IF(AND(up_Irr!F14=".",up_Irr!AE14&lt;&gt;".",up_Irr!BD14&lt;&gt;"."),up_dir!G14/((1/1000)*(up_Irr!AE14+up_Irr!BD14)),IF(AND(up_Irr!F14=".",up_Irr!AE14=".",up_Irr!BD14&lt;&gt;"."),up_dir!G14/((1/1000)*(up_Irr!BD14)),IF(AND(up_Irr!F14=".",up_Irr!AE14&lt;&gt;".",up_Irr!BD14="."),up_dir!G14/((1/1000)*(up_Irr!AE14)),IF(AND(up_Irr!F14&lt;&gt;".",up_Irr!AE14=".",up_Irr!BD14="."),up_dir!G14/((1/1000)*(up_Irr!F14)),IF(AND(up_Irr!F14=".",up_Irr!AE14=".",up_Irr!BD14="."),up_dir!G14*1000)))))))),".")</f>
        <v>6.5773651144152131E-4</v>
      </c>
      <c r="H14" s="70">
        <f>IFERROR(IF(AND(up_Irr!G14&lt;&gt;".",up_Irr!AF14&lt;&gt;".",up_Irr!BE14&lt;&gt;"."),up_dir!H14/((1/1000)*(up_Irr!G14+up_Irr!AF14+up_Irr!BE14)),IF(AND(up_Irr!G14&lt;&gt;".",up_Irr!AF14&lt;&gt;".",up_Irr!BE14="."),up_dir!H14/((1/1000)*(up_Irr!G14+up_Irr!AF14)),IF(AND(up_Irr!G14&lt;&gt;".",up_Irr!AF14=".",up_Irr!BE14&lt;&gt;"."),up_dir!H14/((1/1000)*(up_Irr!G14+up_Irr!BE14)),IF(AND(up_Irr!G14=".",up_Irr!AF14&lt;&gt;".",up_Irr!BE14&lt;&gt;"."),up_dir!H14/((1/1000)*(up_Irr!AF14+up_Irr!BE14)),IF(AND(up_Irr!G14=".",up_Irr!AF14=".",up_Irr!BE14&lt;&gt;"."),up_dir!H14/((1/1000)*(up_Irr!BE14)),IF(AND(up_Irr!G14=".",up_Irr!AF14&lt;&gt;".",up_Irr!BE14="."),up_dir!H14/((1/1000)*(up_Irr!AF14)),IF(AND(up_Irr!G14&lt;&gt;".",up_Irr!AF14=".",up_Irr!BE14="."),up_dir!H14/((1/1000)*(up_Irr!G14)),IF(AND(up_Irr!G14=".",up_Irr!AF14=".",up_Irr!BE14="."),up_dir!H14*1000)))))))),".")</f>
        <v>6.5773651144152131E-4</v>
      </c>
      <c r="I14" s="70">
        <f>IFERROR(IF(AND(up_Irr!H14&lt;&gt;".",up_Irr!AG14&lt;&gt;".",up_Irr!BF14&lt;&gt;"."),up_dir!I14/((1/1000)*(up_Irr!H14+up_Irr!AG14+up_Irr!BF14)),IF(AND(up_Irr!H14&lt;&gt;".",up_Irr!AG14&lt;&gt;".",up_Irr!BF14="."),up_dir!I14/((1/1000)*(up_Irr!H14+up_Irr!AG14)),IF(AND(up_Irr!H14&lt;&gt;".",up_Irr!AG14=".",up_Irr!BF14&lt;&gt;"."),up_dir!I14/((1/1000)*(up_Irr!H14+up_Irr!BF14)),IF(AND(up_Irr!H14=".",up_Irr!AG14&lt;&gt;".",up_Irr!BF14&lt;&gt;"."),up_dir!I14/((1/1000)*(up_Irr!AG14+up_Irr!BF14)),IF(AND(up_Irr!H14=".",up_Irr!AG14=".",up_Irr!BF14&lt;&gt;"."),up_dir!I14/((1/1000)*(up_Irr!BF14)),IF(AND(up_Irr!H14=".",up_Irr!AG14&lt;&gt;".",up_Irr!BF14="."),up_dir!I14/((1/1000)*(up_Irr!AG14)),IF(AND(up_Irr!H14&lt;&gt;".",up_Irr!AG14=".",up_Irr!BF14="."),up_dir!I14/((1/1000)*(up_Irr!H14)),IF(AND(up_Irr!H14=".",up_Irr!AG14=".",up_Irr!BF14="."),up_dir!I14*1000)))))))),".")</f>
        <v>6.5773651144152131E-4</v>
      </c>
      <c r="J14" s="70">
        <f>IFERROR(IF(AND(up_Irr!I14&lt;&gt;".",up_Irr!AH14&lt;&gt;".",up_Irr!BG14&lt;&gt;"."),up_dir!J14/((1/1000)*(up_Irr!I14+up_Irr!AH14+up_Irr!BG14)),IF(AND(up_Irr!I14&lt;&gt;".",up_Irr!AH14&lt;&gt;".",up_Irr!BG14="."),up_dir!J14/((1/1000)*(up_Irr!I14+up_Irr!AH14)),IF(AND(up_Irr!I14&lt;&gt;".",up_Irr!AH14=".",up_Irr!BG14&lt;&gt;"."),up_dir!J14/((1/1000)*(up_Irr!I14+up_Irr!BG14)),IF(AND(up_Irr!I14=".",up_Irr!AH14&lt;&gt;".",up_Irr!BG14&lt;&gt;"."),up_dir!J14/((1/1000)*(up_Irr!AH14+up_Irr!BG14)),IF(AND(up_Irr!I14=".",up_Irr!AH14=".",up_Irr!BG14&lt;&gt;"."),up_dir!J14/((1/1000)*(up_Irr!BG14)),IF(AND(up_Irr!I14=".",up_Irr!AH14&lt;&gt;".",up_Irr!BG14="."),up_dir!J14/((1/1000)*(up_Irr!AH14)),IF(AND(up_Irr!I14&lt;&gt;".",up_Irr!AH14=".",up_Irr!BG14="."),up_dir!J14/((1/1000)*(up_Irr!I14)),IF(AND(up_Irr!I14=".",up_Irr!AH14=".",up_Irr!BG14="."),up_dir!J14*1000)))))))),".")</f>
        <v>6.5773651144152131E-4</v>
      </c>
      <c r="K14" s="70">
        <f>IFERROR(IF(AND(up_Irr!J14&lt;&gt;".",up_Irr!AI14&lt;&gt;".",up_Irr!BH14&lt;&gt;"."),up_dir!K14/((1/1000)*(up_Irr!J14+up_Irr!AI14+up_Irr!BH14)),IF(AND(up_Irr!J14&lt;&gt;".",up_Irr!AI14&lt;&gt;".",up_Irr!BH14="."),up_dir!K14/((1/1000)*(up_Irr!J14+up_Irr!AI14)),IF(AND(up_Irr!J14&lt;&gt;".",up_Irr!AI14=".",up_Irr!BH14&lt;&gt;"."),up_dir!K14/((1/1000)*(up_Irr!J14+up_Irr!BH14)),IF(AND(up_Irr!J14=".",up_Irr!AI14&lt;&gt;".",up_Irr!BH14&lt;&gt;"."),up_dir!K14/((1/1000)*(up_Irr!AI14+up_Irr!BH14)),IF(AND(up_Irr!J14=".",up_Irr!AI14=".",up_Irr!BH14&lt;&gt;"."),up_dir!K14/((1/1000)*(up_Irr!BH14)),IF(AND(up_Irr!J14=".",up_Irr!AI14&lt;&gt;".",up_Irr!BH14="."),up_dir!K14/((1/1000)*(up_Irr!AI14)),IF(AND(up_Irr!J14&lt;&gt;".",up_Irr!AI14=".",up_Irr!BH14="."),up_dir!K14/((1/1000)*(up_Irr!J14)),IF(AND(up_Irr!J14=".",up_Irr!AI14=".",up_Irr!BH14="."),up_dir!K14*1000)))))))),".")</f>
        <v>6.5773651144152131E-4</v>
      </c>
      <c r="L14" s="70">
        <f>IFERROR(IF(AND(up_Irr!K14&lt;&gt;".",up_Irr!AJ14&lt;&gt;".",up_Irr!BI14&lt;&gt;"."),up_dir!L14/((1/1000)*(up_Irr!K14+up_Irr!AJ14+up_Irr!BI14)),IF(AND(up_Irr!K14&lt;&gt;".",up_Irr!AJ14&lt;&gt;".",up_Irr!BI14="."),up_dir!L14/((1/1000)*(up_Irr!K14+up_Irr!AJ14)),IF(AND(up_Irr!K14&lt;&gt;".",up_Irr!AJ14=".",up_Irr!BI14&lt;&gt;"."),up_dir!L14/((1/1000)*(up_Irr!K14+up_Irr!BI14)),IF(AND(up_Irr!K14=".",up_Irr!AJ14&lt;&gt;".",up_Irr!BI14&lt;&gt;"."),up_dir!L14/((1/1000)*(up_Irr!AJ14+up_Irr!BI14)),IF(AND(up_Irr!K14=".",up_Irr!AJ14=".",up_Irr!BI14&lt;&gt;"."),up_dir!L14/((1/1000)*(up_Irr!BI14)),IF(AND(up_Irr!K14=".",up_Irr!AJ14&lt;&gt;".",up_Irr!BI14="."),up_dir!L14/((1/1000)*(up_Irr!AJ14)),IF(AND(up_Irr!K14&lt;&gt;".",up_Irr!AJ14=".",up_Irr!BI14="."),up_dir!L14/((1/1000)*(up_Irr!K14)),IF(AND(up_Irr!K14=".",up_Irr!AJ14=".",up_Irr!BI14="."),up_dir!L14*1000)))))))),".")</f>
        <v>6.5773651144152131E-4</v>
      </c>
      <c r="M14" s="70">
        <f>IFERROR(IF(AND(up_Irr!L14&lt;&gt;".",up_Irr!AK14&lt;&gt;".",up_Irr!BJ14&lt;&gt;"."),up_dir!M14/((1/1000)*(up_Irr!L14+up_Irr!AK14+up_Irr!BJ14)),IF(AND(up_Irr!L14&lt;&gt;".",up_Irr!AK14&lt;&gt;".",up_Irr!BJ14="."),up_dir!M14/((1/1000)*(up_Irr!L14+up_Irr!AK14)),IF(AND(up_Irr!L14&lt;&gt;".",up_Irr!AK14=".",up_Irr!BJ14&lt;&gt;"."),up_dir!M14/((1/1000)*(up_Irr!L14+up_Irr!BJ14)),IF(AND(up_Irr!L14=".",up_Irr!AK14&lt;&gt;".",up_Irr!BJ14&lt;&gt;"."),up_dir!M14/((1/1000)*(up_Irr!AK14+up_Irr!BJ14)),IF(AND(up_Irr!L14=".",up_Irr!AK14=".",up_Irr!BJ14&lt;&gt;"."),up_dir!M14/((1/1000)*(up_Irr!BJ14)),IF(AND(up_Irr!L14=".",up_Irr!AK14&lt;&gt;".",up_Irr!BJ14="."),up_dir!M14/((1/1000)*(up_Irr!AK14)),IF(AND(up_Irr!L14&lt;&gt;".",up_Irr!AK14=".",up_Irr!BJ14="."),up_dir!M14/((1/1000)*(up_Irr!L14)),IF(AND(up_Irr!L14=".",up_Irr!AK14=".",up_Irr!BJ14="."),up_dir!M14*1000)))))))),".")</f>
        <v>6.5773651144152131E-4</v>
      </c>
      <c r="N14" s="70">
        <f>IFERROR(IF(AND(up_Irr!M14&lt;&gt;".",up_Irr!AL14&lt;&gt;".",up_Irr!BK14&lt;&gt;"."),up_dir!N14/((1/1000)*(up_Irr!M14+up_Irr!AL14+up_Irr!BK14)),IF(AND(up_Irr!M14&lt;&gt;".",up_Irr!AL14&lt;&gt;".",up_Irr!BK14="."),up_dir!N14/((1/1000)*(up_Irr!M14+up_Irr!AL14)),IF(AND(up_Irr!M14&lt;&gt;".",up_Irr!AL14=".",up_Irr!BK14&lt;&gt;"."),up_dir!N14/((1/1000)*(up_Irr!M14+up_Irr!BK14)),IF(AND(up_Irr!M14=".",up_Irr!AL14&lt;&gt;".",up_Irr!BK14&lt;&gt;"."),up_dir!N14/((1/1000)*(up_Irr!AL14+up_Irr!BK14)),IF(AND(up_Irr!M14=".",up_Irr!AL14=".",up_Irr!BK14&lt;&gt;"."),up_dir!N14/((1/1000)*(up_Irr!BK14)),IF(AND(up_Irr!M14=".",up_Irr!AL14&lt;&gt;".",up_Irr!BK14="."),up_dir!N14/((1/1000)*(up_Irr!AL14)),IF(AND(up_Irr!M14&lt;&gt;".",up_Irr!AL14=".",up_Irr!BK14="."),up_dir!N14/((1/1000)*(up_Irr!M14)),IF(AND(up_Irr!M14=".",up_Irr!AL14=".",up_Irr!BK14="."),up_dir!N14*1000)))))))),".")</f>
        <v>6.5773651144152131E-4</v>
      </c>
      <c r="O14" s="70">
        <f>IFERROR(IF(AND(up_Irr!N14&lt;&gt;".",up_Irr!AM14&lt;&gt;".",up_Irr!BL14&lt;&gt;"."),up_dir!O14/((1/1000)*(up_Irr!N14+up_Irr!AM14+up_Irr!BL14)),IF(AND(up_Irr!N14&lt;&gt;".",up_Irr!AM14&lt;&gt;".",up_Irr!BL14="."),up_dir!O14/((1/1000)*(up_Irr!N14+up_Irr!AM14)),IF(AND(up_Irr!N14&lt;&gt;".",up_Irr!AM14=".",up_Irr!BL14&lt;&gt;"."),up_dir!O14/((1/1000)*(up_Irr!N14+up_Irr!BL14)),IF(AND(up_Irr!N14=".",up_Irr!AM14&lt;&gt;".",up_Irr!BL14&lt;&gt;"."),up_dir!O14/((1/1000)*(up_Irr!AM14+up_Irr!BL14)),IF(AND(up_Irr!N14=".",up_Irr!AM14=".",up_Irr!BL14&lt;&gt;"."),up_dir!O14/((1/1000)*(up_Irr!BL14)),IF(AND(up_Irr!N14=".",up_Irr!AM14&lt;&gt;".",up_Irr!BL14="."),up_dir!O14/((1/1000)*(up_Irr!AM14)),IF(AND(up_Irr!N14&lt;&gt;".",up_Irr!AM14=".",up_Irr!BL14="."),up_dir!O14/((1/1000)*(up_Irr!N14)),IF(AND(up_Irr!N14=".",up_Irr!AM14=".",up_Irr!BL14="."),up_dir!O14*1000)))))))),".")</f>
        <v>6.5773651144152131E-4</v>
      </c>
      <c r="P14" s="70">
        <f>IFERROR(IF(AND(up_Irr!O14&lt;&gt;".",up_Irr!AN14&lt;&gt;".",up_Irr!BM14&lt;&gt;"."),up_dir!P14/((1/1000)*(up_Irr!O14+up_Irr!AN14+up_Irr!BM14)),IF(AND(up_Irr!O14&lt;&gt;".",up_Irr!AN14&lt;&gt;".",up_Irr!BM14="."),up_dir!P14/((1/1000)*(up_Irr!O14+up_Irr!AN14)),IF(AND(up_Irr!O14&lt;&gt;".",up_Irr!AN14=".",up_Irr!BM14&lt;&gt;"."),up_dir!P14/((1/1000)*(up_Irr!O14+up_Irr!BM14)),IF(AND(up_Irr!O14=".",up_Irr!AN14&lt;&gt;".",up_Irr!BM14&lt;&gt;"."),up_dir!P14/((1/1000)*(up_Irr!AN14+up_Irr!BM14)),IF(AND(up_Irr!O14=".",up_Irr!AN14=".",up_Irr!BM14&lt;&gt;"."),up_dir!P14/((1/1000)*(up_Irr!BM14)),IF(AND(up_Irr!O14=".",up_Irr!AN14&lt;&gt;".",up_Irr!BM14="."),up_dir!P14/((1/1000)*(up_Irr!AN14)),IF(AND(up_Irr!O14&lt;&gt;".",up_Irr!AN14=".",up_Irr!BM14="."),up_dir!P14/((1/1000)*(up_Irr!O14)),IF(AND(up_Irr!O14=".",up_Irr!AN14=".",up_Irr!BM14="."),up_dir!P14*1000)))))))),".")</f>
        <v>6.5773651144152131E-4</v>
      </c>
      <c r="Q14" s="70">
        <f>IFERROR(IF(AND(up_Irr!P14&lt;&gt;".",up_Irr!AO14&lt;&gt;".",up_Irr!BN14&lt;&gt;"."),up_dir!Q14/((1/1000)*(up_Irr!P14+up_Irr!AO14+up_Irr!BN14)),IF(AND(up_Irr!P14&lt;&gt;".",up_Irr!AO14&lt;&gt;".",up_Irr!BN14="."),up_dir!Q14/((1/1000)*(up_Irr!P14+up_Irr!AO14)),IF(AND(up_Irr!P14&lt;&gt;".",up_Irr!AO14=".",up_Irr!BN14&lt;&gt;"."),up_dir!Q14/((1/1000)*(up_Irr!P14+up_Irr!BN14)),IF(AND(up_Irr!P14=".",up_Irr!AO14&lt;&gt;".",up_Irr!BN14&lt;&gt;"."),up_dir!Q14/((1/1000)*(up_Irr!AO14+up_Irr!BN14)),IF(AND(up_Irr!P14=".",up_Irr!AO14=".",up_Irr!BN14&lt;&gt;"."),up_dir!Q14/((1/1000)*(up_Irr!BN14)),IF(AND(up_Irr!P14=".",up_Irr!AO14&lt;&gt;".",up_Irr!BN14="."),up_dir!Q14/((1/1000)*(up_Irr!AO14)),IF(AND(up_Irr!P14&lt;&gt;".",up_Irr!AO14=".",up_Irr!BN14="."),up_dir!Q14/((1/1000)*(up_Irr!P14)),IF(AND(up_Irr!P14=".",up_Irr!AO14=".",up_Irr!BN14="."),up_dir!Q14*1000)))))))),".")</f>
        <v>6.5773651144152131E-4</v>
      </c>
      <c r="R14" s="70">
        <f>IFERROR(IF(AND(up_Irr!Q14&lt;&gt;".",up_Irr!AP14&lt;&gt;".",up_Irr!BO14&lt;&gt;"."),up_dir!R14/((1/1000)*(up_Irr!Q14+up_Irr!AP14+up_Irr!BO14)),IF(AND(up_Irr!Q14&lt;&gt;".",up_Irr!AP14&lt;&gt;".",up_Irr!BO14="."),up_dir!R14/((1/1000)*(up_Irr!Q14+up_Irr!AP14)),IF(AND(up_Irr!Q14&lt;&gt;".",up_Irr!AP14=".",up_Irr!BO14&lt;&gt;"."),up_dir!R14/((1/1000)*(up_Irr!Q14+up_Irr!BO14)),IF(AND(up_Irr!Q14=".",up_Irr!AP14&lt;&gt;".",up_Irr!BO14&lt;&gt;"."),up_dir!R14/((1/1000)*(up_Irr!AP14+up_Irr!BO14)),IF(AND(up_Irr!Q14=".",up_Irr!AP14=".",up_Irr!BO14&lt;&gt;"."),up_dir!R14/((1/1000)*(up_Irr!BO14)),IF(AND(up_Irr!Q14=".",up_Irr!AP14&lt;&gt;".",up_Irr!BO14="."),up_dir!R14/((1/1000)*(up_Irr!AP14)),IF(AND(up_Irr!Q14&lt;&gt;".",up_Irr!AP14=".",up_Irr!BO14="."),up_dir!R14/((1/1000)*(up_Irr!Q14)),IF(AND(up_Irr!Q14=".",up_Irr!AP14=".",up_Irr!BO14="."),up_dir!R14*1000)))))))),".")</f>
        <v>6.5773651144152131E-4</v>
      </c>
      <c r="S14" s="70">
        <f>IFERROR(IF(AND(up_Irr!R14&lt;&gt;".",up_Irr!AQ14&lt;&gt;".",up_Irr!BP14&lt;&gt;"."),up_dir!S14/((1/1000)*(up_Irr!R14+up_Irr!AQ14+up_Irr!BP14)),IF(AND(up_Irr!R14&lt;&gt;".",up_Irr!AQ14&lt;&gt;".",up_Irr!BP14="."),up_dir!S14/((1/1000)*(up_Irr!R14+up_Irr!AQ14)),IF(AND(up_Irr!R14&lt;&gt;".",up_Irr!AQ14=".",up_Irr!BP14&lt;&gt;"."),up_dir!S14/((1/1000)*(up_Irr!R14+up_Irr!BP14)),IF(AND(up_Irr!R14=".",up_Irr!AQ14&lt;&gt;".",up_Irr!BP14&lt;&gt;"."),up_dir!S14/((1/1000)*(up_Irr!AQ14+up_Irr!BP14)),IF(AND(up_Irr!R14=".",up_Irr!AQ14=".",up_Irr!BP14&lt;&gt;"."),up_dir!S14/((1/1000)*(up_Irr!BP14)),IF(AND(up_Irr!R14=".",up_Irr!AQ14&lt;&gt;".",up_Irr!BP14="."),up_dir!S14/((1/1000)*(up_Irr!AQ14)),IF(AND(up_Irr!R14&lt;&gt;".",up_Irr!AQ14=".",up_Irr!BP14="."),up_dir!S14/((1/1000)*(up_Irr!R14)),IF(AND(up_Irr!R14=".",up_Irr!AQ14=".",up_Irr!BP14="."),up_dir!S14*1000)))))))),".")</f>
        <v>6.5773651144152131E-4</v>
      </c>
      <c r="T14" s="70">
        <f>IFERROR(IF(AND(up_Irr!S14&lt;&gt;".",up_Irr!AR14&lt;&gt;".",up_Irr!BQ14&lt;&gt;"."),up_dir!T14/((1/1000)*(up_Irr!S14+up_Irr!AR14+up_Irr!BQ14)),IF(AND(up_Irr!S14&lt;&gt;".",up_Irr!AR14&lt;&gt;".",up_Irr!BQ14="."),up_dir!T14/((1/1000)*(up_Irr!S14+up_Irr!AR14)),IF(AND(up_Irr!S14&lt;&gt;".",up_Irr!AR14=".",up_Irr!BQ14&lt;&gt;"."),up_dir!T14/((1/1000)*(up_Irr!S14+up_Irr!BQ14)),IF(AND(up_Irr!S14=".",up_Irr!AR14&lt;&gt;".",up_Irr!BQ14&lt;&gt;"."),up_dir!T14/((1/1000)*(up_Irr!AR14+up_Irr!BQ14)),IF(AND(up_Irr!S14=".",up_Irr!AR14=".",up_Irr!BQ14&lt;&gt;"."),up_dir!T14/((1/1000)*(up_Irr!BQ14)),IF(AND(up_Irr!S14=".",up_Irr!AR14&lt;&gt;".",up_Irr!BQ14="."),up_dir!T14/((1/1000)*(up_Irr!AR14)),IF(AND(up_Irr!S14&lt;&gt;".",up_Irr!AR14=".",up_Irr!BQ14="."),up_dir!T14/((1/1000)*(up_Irr!S14)),IF(AND(up_Irr!S14=".",up_Irr!AR14=".",up_Irr!BQ14="."),up_dir!T14*1000)))))))),".")</f>
        <v>6.5773651144152131E-4</v>
      </c>
      <c r="U14" s="70">
        <f>IFERROR(IF(AND(up_Irr!T14&lt;&gt;".",up_Irr!AS14&lt;&gt;".",up_Irr!BR14&lt;&gt;"."),up_dir!U14/((1/1000)*(up_Irr!T14+up_Irr!AS14+up_Irr!BR14)),IF(AND(up_Irr!T14&lt;&gt;".",up_Irr!AS14&lt;&gt;".",up_Irr!BR14="."),up_dir!U14/((1/1000)*(up_Irr!T14+up_Irr!AS14)),IF(AND(up_Irr!T14&lt;&gt;".",up_Irr!AS14=".",up_Irr!BR14&lt;&gt;"."),up_dir!U14/((1/1000)*(up_Irr!T14+up_Irr!BR14)),IF(AND(up_Irr!T14=".",up_Irr!AS14&lt;&gt;".",up_Irr!BR14&lt;&gt;"."),up_dir!U14/((1/1000)*(up_Irr!AS14+up_Irr!BR14)),IF(AND(up_Irr!T14=".",up_Irr!AS14=".",up_Irr!BR14&lt;&gt;"."),up_dir!U14/((1/1000)*(up_Irr!BR14)),IF(AND(up_Irr!T14=".",up_Irr!AS14&lt;&gt;".",up_Irr!BR14="."),up_dir!U14/((1/1000)*(up_Irr!AS14)),IF(AND(up_Irr!T14&lt;&gt;".",up_Irr!AS14=".",up_Irr!BR14="."),up_dir!U14/((1/1000)*(up_Irr!T14)),IF(AND(up_Irr!T14=".",up_Irr!AS14=".",up_Irr!BR14="."),up_dir!U14*1000)))))))),".")</f>
        <v>6.5773651144152131E-4</v>
      </c>
      <c r="V14" s="70">
        <f>IFERROR(IF(AND(up_Irr!U14&lt;&gt;".",up_Irr!AT14&lt;&gt;".",up_Irr!BS14&lt;&gt;"."),up_dir!V14/((1/1000)*(up_Irr!U14+up_Irr!AT14+up_Irr!BS14)),IF(AND(up_Irr!U14&lt;&gt;".",up_Irr!AT14&lt;&gt;".",up_Irr!BS14="."),up_dir!V14/((1/1000)*(up_Irr!U14+up_Irr!AT14)),IF(AND(up_Irr!U14&lt;&gt;".",up_Irr!AT14=".",up_Irr!BS14&lt;&gt;"."),up_dir!V14/((1/1000)*(up_Irr!U14+up_Irr!BS14)),IF(AND(up_Irr!U14=".",up_Irr!AT14&lt;&gt;".",up_Irr!BS14&lt;&gt;"."),up_dir!V14/((1/1000)*(up_Irr!AT14+up_Irr!BS14)),IF(AND(up_Irr!U14=".",up_Irr!AT14=".",up_Irr!BS14&lt;&gt;"."),up_dir!V14/((1/1000)*(up_Irr!BS14)),IF(AND(up_Irr!U14=".",up_Irr!AT14&lt;&gt;".",up_Irr!BS14="."),up_dir!V14/((1/1000)*(up_Irr!AT14)),IF(AND(up_Irr!U14&lt;&gt;".",up_Irr!AT14=".",up_Irr!BS14="."),up_dir!V14/((1/1000)*(up_Irr!U14)),IF(AND(up_Irr!U14=".",up_Irr!AT14=".",up_Irr!BS14="."),up_dir!V14*1000)))))))),".")</f>
        <v>6.5773651144152131E-4</v>
      </c>
      <c r="W14" s="70">
        <f>IFERROR(IF(AND(up_Irr!V14&lt;&gt;".",up_Irr!AU14&lt;&gt;".",up_Irr!BT14&lt;&gt;"."),up_dir!W14/((1/1000)*(up_Irr!V14+up_Irr!AU14+up_Irr!BT14)),IF(AND(up_Irr!V14&lt;&gt;".",up_Irr!AU14&lt;&gt;".",up_Irr!BT14="."),up_dir!W14/((1/1000)*(up_Irr!V14+up_Irr!AU14)),IF(AND(up_Irr!V14&lt;&gt;".",up_Irr!AU14=".",up_Irr!BT14&lt;&gt;"."),up_dir!W14/((1/1000)*(up_Irr!V14+up_Irr!BT14)),IF(AND(up_Irr!V14=".",up_Irr!AU14&lt;&gt;".",up_Irr!BT14&lt;&gt;"."),up_dir!W14/((1/1000)*(up_Irr!AU14+up_Irr!BT14)),IF(AND(up_Irr!V14=".",up_Irr!AU14=".",up_Irr!BT14&lt;&gt;"."),up_dir!W14/((1/1000)*(up_Irr!BT14)),IF(AND(up_Irr!V14=".",up_Irr!AU14&lt;&gt;".",up_Irr!BT14="."),up_dir!W14/((1/1000)*(up_Irr!AU14)),IF(AND(up_Irr!V14&lt;&gt;".",up_Irr!AU14=".",up_Irr!BT14="."),up_dir!W14/((1/1000)*(up_Irr!V14)),IF(AND(up_Irr!V14=".",up_Irr!AU14=".",up_Irr!BT14="."),up_dir!W14*1000)))))))),".")</f>
        <v>6.5773651144152131E-4</v>
      </c>
      <c r="X14" s="70">
        <f>IFERROR(IF(AND(up_Irr!W14&lt;&gt;".",up_Irr!AV14&lt;&gt;".",up_Irr!BU14&lt;&gt;"."),up_dir!X14/((1/1000)*(up_Irr!W14+up_Irr!AV14+up_Irr!BU14)),IF(AND(up_Irr!W14&lt;&gt;".",up_Irr!AV14&lt;&gt;".",up_Irr!BU14="."),up_dir!X14/((1/1000)*(up_Irr!W14+up_Irr!AV14)),IF(AND(up_Irr!W14&lt;&gt;".",up_Irr!AV14=".",up_Irr!BU14&lt;&gt;"."),up_dir!X14/((1/1000)*(up_Irr!W14+up_Irr!BU14)),IF(AND(up_Irr!W14=".",up_Irr!AV14&lt;&gt;".",up_Irr!BU14&lt;&gt;"."),up_dir!X14/((1/1000)*(up_Irr!AV14+up_Irr!BU14)),IF(AND(up_Irr!W14=".",up_Irr!AV14=".",up_Irr!BU14&lt;&gt;"."),up_dir!X14/((1/1000)*(up_Irr!BU14)),IF(AND(up_Irr!W14=".",up_Irr!AV14&lt;&gt;".",up_Irr!BU14="."),up_dir!X14/((1/1000)*(up_Irr!AV14)),IF(AND(up_Irr!W14&lt;&gt;".",up_Irr!AV14=".",up_Irr!BU14="."),up_dir!X14/((1/1000)*(up_Irr!W14)),IF(AND(up_Irr!W14=".",up_Irr!AV14=".",up_Irr!BU14="."),up_dir!X14*1000)))))))),".")</f>
        <v>6.5773651144152131E-4</v>
      </c>
      <c r="Y14" s="70">
        <f>IFERROR(IF(AND(up_Irr!X14&lt;&gt;".",up_Irr!AW14&lt;&gt;".",up_Irr!BV14&lt;&gt;"."),up_dir!Y14/((1/1000)*(up_Irr!X14+up_Irr!AW14+up_Irr!BV14)),IF(AND(up_Irr!X14&lt;&gt;".",up_Irr!AW14&lt;&gt;".",up_Irr!BV14="."),up_dir!Y14/((1/1000)*(up_Irr!X14+up_Irr!AW14)),IF(AND(up_Irr!X14&lt;&gt;".",up_Irr!AW14=".",up_Irr!BV14&lt;&gt;"."),up_dir!Y14/((1/1000)*(up_Irr!X14+up_Irr!BV14)),IF(AND(up_Irr!X14=".",up_Irr!AW14&lt;&gt;".",up_Irr!BV14&lt;&gt;"."),up_dir!Y14/((1/1000)*(up_Irr!AW14+up_Irr!BV14)),IF(AND(up_Irr!X14=".",up_Irr!AW14=".",up_Irr!BV14&lt;&gt;"."),up_dir!Y14/((1/1000)*(up_Irr!BV14)),IF(AND(up_Irr!X14=".",up_Irr!AW14&lt;&gt;".",up_Irr!BV14="."),up_dir!Y14/((1/1000)*(up_Irr!AW14)),IF(AND(up_Irr!X14&lt;&gt;".",up_Irr!AW14=".",up_Irr!BV14="."),up_dir!Y14/((1/1000)*(up_Irr!X14)),IF(AND(up_Irr!X14=".",up_Irr!AW14=".",up_Irr!BV14="."),up_dir!Y14*1000)))))))),".")</f>
        <v>6.5773651144152131E-4</v>
      </c>
      <c r="Z14" s="70">
        <f>IFERROR(IF(AND(up_Irr!Y14&lt;&gt;".",up_Irr!AX14&lt;&gt;".",up_Irr!BW14&lt;&gt;"."),up_dir!Z14/((1/1000)*(up_Irr!Y14+up_Irr!AX14+up_Irr!BW14)),IF(AND(up_Irr!Y14&lt;&gt;".",up_Irr!AX14&lt;&gt;".",up_Irr!BW14="."),up_dir!Z14/((1/1000)*(up_Irr!Y14+up_Irr!AX14)),IF(AND(up_Irr!Y14&lt;&gt;".",up_Irr!AX14=".",up_Irr!BW14&lt;&gt;"."),up_dir!Z14/((1/1000)*(up_Irr!Y14+up_Irr!BW14)),IF(AND(up_Irr!Y14=".",up_Irr!AX14&lt;&gt;".",up_Irr!BW14&lt;&gt;"."),up_dir!Z14/((1/1000)*(up_Irr!AX14+up_Irr!BW14)),IF(AND(up_Irr!Y14=".",up_Irr!AX14=".",up_Irr!BW14&lt;&gt;"."),up_dir!Z14/((1/1000)*(up_Irr!BW14)),IF(AND(up_Irr!Y14=".",up_Irr!AX14&lt;&gt;".",up_Irr!BW14="."),up_dir!Z14/((1/1000)*(up_Irr!AX14)),IF(AND(up_Irr!Y14&lt;&gt;".",up_Irr!AX14=".",up_Irr!BW14="."),up_dir!Z14/((1/1000)*(up_Irr!Y14)),IF(AND(up_Irr!Y14=".",up_Irr!AX14=".",up_Irr!BW14="."),up_dir!Z14*1000)))))))),".")</f>
        <v>6.5773651144152131E-4</v>
      </c>
      <c r="AA14" s="70">
        <f>IFERROR(IF(AND(up_Irr!Z14&lt;&gt;".",up_Irr!AY14&lt;&gt;".",up_Irr!BX14&lt;&gt;"."),up_dir!AA14/((1/1000)*(up_Irr!Z14+up_Irr!AY14+up_Irr!BX14)),IF(AND(up_Irr!Z14&lt;&gt;".",up_Irr!AY14&lt;&gt;".",up_Irr!BX14="."),up_dir!AA14/((1/1000)*(up_Irr!Z14+up_Irr!AY14)),IF(AND(up_Irr!Z14&lt;&gt;".",up_Irr!AY14=".",up_Irr!BX14&lt;&gt;"."),up_dir!AA14/((1/1000)*(up_Irr!Z14+up_Irr!BX14)),IF(AND(up_Irr!Z14=".",up_Irr!AY14&lt;&gt;".",up_Irr!BX14&lt;&gt;"."),up_dir!AA14/((1/1000)*(up_Irr!AY14+up_Irr!BX14)),IF(AND(up_Irr!Z14=".",up_Irr!AY14=".",up_Irr!BX14&lt;&gt;"."),up_dir!AA14/((1/1000)*(up_Irr!BX14)),IF(AND(up_Irr!Z14=".",up_Irr!AY14&lt;&gt;".",up_Irr!BX14="."),up_dir!AA14/((1/1000)*(up_Irr!AY14)),IF(AND(up_Irr!Z14&lt;&gt;".",up_Irr!AY14=".",up_Irr!BX14="."),up_dir!AA14/((1/1000)*(up_Irr!Z14)),IF(AND(up_Irr!Z14=".",up_Irr!AY14=".",up_Irr!BX14="."),up_dir!AA14*1000)))))))),".")</f>
        <v>6.5773651144152131E-4</v>
      </c>
      <c r="AB14" s="70">
        <f>IFERROR(IF(AND(up_Irr!AA14&lt;&gt;".",up_Irr!AZ14&lt;&gt;".",up_Irr!BY14&lt;&gt;"."),up_dir!AB14/((1/1000)*(up_Irr!AA14+up_Irr!AZ14+up_Irr!BY14)),IF(AND(up_Irr!AA14&lt;&gt;".",up_Irr!AZ14&lt;&gt;".",up_Irr!BY14="."),up_dir!AB14/((1/1000)*(up_Irr!AA14+up_Irr!AZ14)),IF(AND(up_Irr!AA14&lt;&gt;".",up_Irr!AZ14=".",up_Irr!BY14&lt;&gt;"."),up_dir!AB14/((1/1000)*(up_Irr!AA14+up_Irr!BY14)),IF(AND(up_Irr!AA14=".",up_Irr!AZ14&lt;&gt;".",up_Irr!BY14&lt;&gt;"."),up_dir!AB14/((1/1000)*(up_Irr!AZ14+up_Irr!BY14)),IF(AND(up_Irr!AA14=".",up_Irr!AZ14=".",up_Irr!BY14&lt;&gt;"."),up_dir!AB14/((1/1000)*(up_Irr!BY14)),IF(AND(up_Irr!AA14=".",up_Irr!AZ14&lt;&gt;".",up_Irr!BY14="."),up_dir!AB14/((1/1000)*(up_Irr!AZ14)),IF(AND(up_Irr!AA14&lt;&gt;".",up_Irr!AZ14=".",up_Irr!BY14="."),up_dir!AB14/((1/1000)*(up_Irr!AA14)),IF(AND(up_Irr!AA14=".",up_Irr!AZ14=".",up_Irr!BY14="."),up_dir!AB14*1000)))))))),".")</f>
        <v>6.5773651144152131E-4</v>
      </c>
      <c r="AC14" s="87">
        <f t="shared" si="1"/>
        <v>30407.313038114935</v>
      </c>
      <c r="AD14" s="87">
        <f>IFERROR(s_C*s_IFAP_res_adj*s_CF_apple*0.001*(up_Irr!C14+up_Irr!AB14+up_Irr!BA14),".")</f>
        <v>7601.8282595287337</v>
      </c>
      <c r="AE14" s="87">
        <f>IFERROR(s_C*s_IFAS_res_adj*s_CF_asparagus*0.001*(up_Irr!D14+up_Irr!AC14+up_Irr!BB14),".")</f>
        <v>7601.8282595287337</v>
      </c>
      <c r="AF14" s="87">
        <f>IFERROR(s_C*s_IFBT_res_adj*s_CF_beet*0.001*(up_Irr!E14+up_Irr!AD14+up_Irr!BC14),".")</f>
        <v>7601.8282595287337</v>
      </c>
      <c r="AG14" s="87">
        <f>IFERROR(s_C*s_IFBE_res_adj*s_CF_berries*0.001*(up_Irr!F14+up_Irr!AE14+up_Irr!BD14),".")</f>
        <v>7601.8282595287337</v>
      </c>
      <c r="AH14" s="87">
        <f>IFERROR(s_C*s_IFBR_res_adj*s_CF_broccoli*0.001*(up_Irr!G14+up_Irr!AF14+up_Irr!BE14),".")</f>
        <v>7601.8282595287337</v>
      </c>
      <c r="AI14" s="87">
        <f>IFERROR(s_C*s_IFCB_res_adj*s_CF_cabbage*0.001*(up_Irr!H14+up_Irr!AG14+up_Irr!BF14),".")</f>
        <v>7601.8282595287337</v>
      </c>
      <c r="AJ14" s="87">
        <f>IFERROR(s_C*s_IFCR_res_adj*s_CF_carrot*0.001*(up_Irr!I14+up_Irr!AH14+up_Irr!BG14),".")</f>
        <v>7601.8282595287337</v>
      </c>
      <c r="AK14" s="87">
        <f>IFERROR(s_C*s_IFCI_res_adj*s_CF_citrus*0.001*(up_Irr!J14+up_Irr!AI14+up_Irr!BH14),".")</f>
        <v>7601.8282595287337</v>
      </c>
      <c r="AL14" s="87">
        <f>IFERROR(s_C*s_IFCO_res_adj*s_CF_corn*0.001*(up_Irr!K14+up_Irr!AJ14+up_Irr!BI14),".")</f>
        <v>7601.8282595287337</v>
      </c>
      <c r="AM14" s="87">
        <f>IFERROR(s_C*s_IFCU_res_adj*s_CF_cucumber*0.001*(up_Irr!L14+up_Irr!AK14+up_Irr!BJ14),".")</f>
        <v>7601.8282595287337</v>
      </c>
      <c r="AN14" s="87">
        <f>IFERROR(s_C*s_IFLE_res_adj*s_CF_lettuce*0.001*(up_Irr!M14+up_Irr!AL14+up_Irr!BK14),".")</f>
        <v>7601.8282595287337</v>
      </c>
      <c r="AO14" s="87">
        <f>IFERROR(s_C*s_IFLI_res_adj*s_CF_lima_bean*0.001*(up_Irr!N14+up_Irr!AM14+up_Irr!BL14),".")</f>
        <v>7601.8282595287337</v>
      </c>
      <c r="AP14" s="87">
        <f>IFERROR(s_C*s_IFOK_res_adj*s_CF_okra*0.001*(up_Irr!O14+up_Irr!AN14+up_Irr!BM14),".")</f>
        <v>7601.8282595287337</v>
      </c>
      <c r="AQ14" s="87">
        <f>IFERROR(s_C*s_IFON_res_adj*s_CF_onion*0.001*(up_Irr!P14+up_Irr!AO14+up_Irr!BN14),".")</f>
        <v>7601.8282595287337</v>
      </c>
      <c r="AR14" s="87">
        <f>IFERROR(s_C*s_IFPC_res_adj*s_CF_peach*0.001*(up_Irr!Q14+up_Irr!AP14+up_Irr!BO14),".")</f>
        <v>7601.8282595287337</v>
      </c>
      <c r="AS14" s="87">
        <f>IFERROR(s_C*s_IFPR_res_adj*s_CF_pear*0.001*(up_Irr!R14+up_Irr!AQ14+up_Irr!BP14),".")</f>
        <v>7601.8282595287337</v>
      </c>
      <c r="AT14" s="87">
        <f>IFERROR(s_C*s_IFPE_res_adj*s_CF_peas*0.001*(up_Irr!S14+up_Irr!AR14+up_Irr!BQ14),".")</f>
        <v>7601.8282595287337</v>
      </c>
      <c r="AU14" s="87">
        <f>IFERROR(s_C*s_IFPP_res_adj*s_CF_peppers*0.001*(up_Irr!T14+up_Irr!AS14+up_Irr!BR14),".")</f>
        <v>7601.8282595287337</v>
      </c>
      <c r="AV14" s="87">
        <f>IFERROR(s_C*s_IFPT_res_adj*s_CF_potato*0.001*(up_Irr!U14+up_Irr!AT14+up_Irr!BS14),".")</f>
        <v>7601.8282595287337</v>
      </c>
      <c r="AW14" s="87">
        <f>IFERROR(s_C*s_IFPU_res_adj*s_CF_pumpkin*0.001*(up_Irr!V14+up_Irr!AU14+up_Irr!BT14),".")</f>
        <v>7601.8282595287337</v>
      </c>
      <c r="AX14" s="87">
        <f>IFERROR(s_C*s_IFSN_res_adj*s_CF_snap_bean*0.001*(up_Irr!W14+up_Irr!AV14+up_Irr!BU14),".")</f>
        <v>7601.8282595287337</v>
      </c>
      <c r="AY14" s="87">
        <f>IFERROR(s_C*s_IFST_res_adj*s_CF_strawberry*0.001*(up_Irr!X14+up_Irr!AW14+up_Irr!BV14),".")</f>
        <v>7601.8282595287337</v>
      </c>
      <c r="AZ14" s="87">
        <f>IFERROR(s_C*s_IFTO_res_adj*s_CF_tomato*0.001*(up_Irr!Y14+up_Irr!AX14+up_Irr!BW14),".")</f>
        <v>7601.8282595287337</v>
      </c>
      <c r="BA14" s="87">
        <f>IFERROR(s_C*s_IFRI_res_adj*s_CF_rice*0.001*(up_Irr!Z14+up_Irr!AY14+up_Irr!BX14),".")</f>
        <v>7601.8282595287337</v>
      </c>
      <c r="BB14" s="87">
        <f>IFERROR(s_C*s_IFCG_res_adj*s_CF_cereal*0.001*(up_Irr!AA14+up_Irr!AZ14+up_Irr!BY14),".")</f>
        <v>7601.8282595287337</v>
      </c>
      <c r="BC14" s="70">
        <f t="shared" si="2"/>
        <v>1.6443412786038033E-4</v>
      </c>
      <c r="BD14" s="70">
        <f>IFERROR(IF(AND(up_Irr!C14&lt;&gt;".",up_Irr!AB14&lt;&gt;".",up_Irr!BA14&lt;&gt;"."),up_dir!AD14/((1/1000)*(up_Irr!C14+up_Irr!AB14+up_Irr!BA14)),IF(AND(up_Irr!C14&lt;&gt;".",up_Irr!AB14&lt;&gt;".",up_Irr!BA14="."),up_dir!AD14/((1/1000)*(up_Irr!C14+up_Irr!AB14)),IF(AND(up_Irr!C14&lt;&gt;".",up_Irr!AB14=".",up_Irr!BA14&lt;&gt;"."),up_dir!AD14/((1/1000)*(up_Irr!C14+up_Irr!BA14)),IF(AND(up_Irr!C14=".",up_Irr!AB14&lt;&gt;".",up_Irr!BA14&lt;&gt;"."),up_dir!AD14/((1/1000)*(up_Irr!AB14+up_Irr!BA14)),IF(AND(up_Irr!C14=".",up_Irr!AB14=".",up_Irr!BA14&lt;&gt;"."),up_dir!AD14/((1/1000)*(up_Irr!BA14)),IF(AND(up_Irr!C14=".",up_Irr!AB14&lt;&gt;".",up_Irr!BA14="."),up_dir!AD14/((1/1000)*(up_Irr!AB14)),IF(AND(up_Irr!C14&lt;&gt;".",up_Irr!AB14=".",up_Irr!BA14="."),up_dir!AD14/((1/1000)*(up_Irr!C14)),IF(AND(up_Irr!C14=".",up_Irr!AB14=".",up_Irr!BA14="."),up_dir!AD14*1000)))))))),".")</f>
        <v>6.5773651144152131E-4</v>
      </c>
      <c r="BE14" s="70">
        <f>IFERROR(IF(AND(up_Irr!D14&lt;&gt;".",up_Irr!AC14&lt;&gt;".",up_Irr!BB14&lt;&gt;"."),up_dir!AE14/((1/1000)*(up_Irr!D14+up_Irr!AC14+up_Irr!BB14)),IF(AND(up_Irr!D14&lt;&gt;".",up_Irr!AC14&lt;&gt;".",up_Irr!BB14="."),up_dir!AE14/((1/1000)*(up_Irr!D14+up_Irr!AC14)),IF(AND(up_Irr!D14&lt;&gt;".",up_Irr!AC14=".",up_Irr!BB14&lt;&gt;"."),up_dir!AE14/((1/1000)*(up_Irr!D14+up_Irr!BB14)),IF(AND(up_Irr!D14=".",up_Irr!AC14&lt;&gt;".",up_Irr!BB14&lt;&gt;"."),up_dir!AE14/((1/1000)*(up_Irr!AC14+up_Irr!BB14)),IF(AND(up_Irr!D14=".",up_Irr!AC14=".",up_Irr!BB14&lt;&gt;"."),up_dir!AE14/((1/1000)*(up_Irr!BB14)),IF(AND(up_Irr!D14=".",up_Irr!AC14&lt;&gt;".",up_Irr!BB14="."),up_dir!AE14/((1/1000)*(up_Irr!AC14)),IF(AND(up_Irr!D14&lt;&gt;".",up_Irr!AC14=".",up_Irr!BB14="."),up_dir!AE14/((1/1000)*(up_Irr!D14)),IF(AND(up_Irr!D14=".",up_Irr!AC14=".",up_Irr!BB14="."),up_dir!AE14*1000)))))))),".")</f>
        <v>6.5773651144152131E-4</v>
      </c>
      <c r="BF14" s="70">
        <f>IFERROR(IF(AND(up_Irr!E14&lt;&gt;".",up_Irr!AD14&lt;&gt;".",up_Irr!BC14&lt;&gt;"."),up_dir!AF14/((1/1000)*(up_Irr!E14+up_Irr!AD14+up_Irr!BC14)),IF(AND(up_Irr!E14&lt;&gt;".",up_Irr!AD14&lt;&gt;".",up_Irr!BC14="."),up_dir!AF14/((1/1000)*(up_Irr!E14+up_Irr!AD14)),IF(AND(up_Irr!E14&lt;&gt;".",up_Irr!AD14=".",up_Irr!BC14&lt;&gt;"."),up_dir!AF14/((1/1000)*(up_Irr!E14+up_Irr!BC14)),IF(AND(up_Irr!E14=".",up_Irr!AD14&lt;&gt;".",up_Irr!BC14&lt;&gt;"."),up_dir!AF14/((1/1000)*(up_Irr!AD14+up_Irr!BC14)),IF(AND(up_Irr!E14=".",up_Irr!AD14=".",up_Irr!BC14&lt;&gt;"."),up_dir!AF14/((1/1000)*(up_Irr!BC14)),IF(AND(up_Irr!E14=".",up_Irr!AD14&lt;&gt;".",up_Irr!BC14="."),up_dir!AF14/((1/1000)*(up_Irr!AD14)),IF(AND(up_Irr!E14&lt;&gt;".",up_Irr!AD14=".",up_Irr!BC14="."),up_dir!AF14/((1/1000)*(up_Irr!E14)),IF(AND(up_Irr!E14=".",up_Irr!AD14=".",up_Irr!BC14="."),up_dir!AF14*1000)))))))),".")</f>
        <v>6.5773651144152131E-4</v>
      </c>
      <c r="BG14" s="70">
        <f>IFERROR(IF(AND(up_Irr!F14&lt;&gt;".",up_Irr!AE14&lt;&gt;".",up_Irr!BD14&lt;&gt;"."),up_dir!AG14/((1/1000)*(up_Irr!F14+up_Irr!AE14+up_Irr!BD14)),IF(AND(up_Irr!F14&lt;&gt;".",up_Irr!AE14&lt;&gt;".",up_Irr!BD14="."),up_dir!AG14/((1/1000)*(up_Irr!F14+up_Irr!AE14)),IF(AND(up_Irr!F14&lt;&gt;".",up_Irr!AE14=".",up_Irr!BD14&lt;&gt;"."),up_dir!AG14/((1/1000)*(up_Irr!F14+up_Irr!BD14)),IF(AND(up_Irr!F14=".",up_Irr!AE14&lt;&gt;".",up_Irr!BD14&lt;&gt;"."),up_dir!AG14/((1/1000)*(up_Irr!AE14+up_Irr!BD14)),IF(AND(up_Irr!F14=".",up_Irr!AE14=".",up_Irr!BD14&lt;&gt;"."),up_dir!AG14/((1/1000)*(up_Irr!BD14)),IF(AND(up_Irr!F14=".",up_Irr!AE14&lt;&gt;".",up_Irr!BD14="."),up_dir!AG14/((1/1000)*(up_Irr!AE14)),IF(AND(up_Irr!F14&lt;&gt;".",up_Irr!AE14=".",up_Irr!BD14="."),up_dir!AG14/((1/1000)*(up_Irr!F14)),IF(AND(up_Irr!F14=".",up_Irr!AE14=".",up_Irr!BD14="."),up_dir!AG14*1000)))))))),".")</f>
        <v>6.5773651144152131E-4</v>
      </c>
      <c r="BH14" s="70">
        <f>IFERROR(IF(AND(up_Irr!G14&lt;&gt;".",up_Irr!AF14&lt;&gt;".",up_Irr!BE14&lt;&gt;"."),up_dir!AH14/((1/1000)*(up_Irr!G14+up_Irr!AF14+up_Irr!BE14)),IF(AND(up_Irr!G14&lt;&gt;".",up_Irr!AF14&lt;&gt;".",up_Irr!BE14="."),up_dir!AH14/((1/1000)*(up_Irr!G14+up_Irr!AF14)),IF(AND(up_Irr!G14&lt;&gt;".",up_Irr!AF14=".",up_Irr!BE14&lt;&gt;"."),up_dir!AH14/((1/1000)*(up_Irr!G14+up_Irr!BE14)),IF(AND(up_Irr!G14=".",up_Irr!AF14&lt;&gt;".",up_Irr!BE14&lt;&gt;"."),up_dir!AH14/((1/1000)*(up_Irr!AF14+up_Irr!BE14)),IF(AND(up_Irr!G14=".",up_Irr!AF14=".",up_Irr!BE14&lt;&gt;"."),up_dir!AH14/((1/1000)*(up_Irr!BE14)),IF(AND(up_Irr!G14=".",up_Irr!AF14&lt;&gt;".",up_Irr!BE14="."),up_dir!AH14/((1/1000)*(up_Irr!AF14)),IF(AND(up_Irr!G14&lt;&gt;".",up_Irr!AF14=".",up_Irr!BE14="."),up_dir!AH14/((1/1000)*(up_Irr!G14)),IF(AND(up_Irr!G14=".",up_Irr!AF14=".",up_Irr!BE14="."),up_dir!AH14*1000)))))))),".")</f>
        <v>6.5773651144152131E-4</v>
      </c>
      <c r="BI14" s="70">
        <f>IFERROR(IF(AND(up_Irr!H14&lt;&gt;".",up_Irr!AG14&lt;&gt;".",up_Irr!BF14&lt;&gt;"."),up_dir!AI14/((1/1000)*(up_Irr!H14+up_Irr!AG14+up_Irr!BF14)),IF(AND(up_Irr!H14&lt;&gt;".",up_Irr!AG14&lt;&gt;".",up_Irr!BF14="."),up_dir!AI14/((1/1000)*(up_Irr!H14+up_Irr!AG14)),IF(AND(up_Irr!H14&lt;&gt;".",up_Irr!AG14=".",up_Irr!BF14&lt;&gt;"."),up_dir!AI14/((1/1000)*(up_Irr!H14+up_Irr!BF14)),IF(AND(up_Irr!H14=".",up_Irr!AG14&lt;&gt;".",up_Irr!BF14&lt;&gt;"."),up_dir!AI14/((1/1000)*(up_Irr!AG14+up_Irr!BF14)),IF(AND(up_Irr!H14=".",up_Irr!AG14=".",up_Irr!BF14&lt;&gt;"."),up_dir!AI14/((1/1000)*(up_Irr!BF14)),IF(AND(up_Irr!H14=".",up_Irr!AG14&lt;&gt;".",up_Irr!BF14="."),up_dir!AI14/((1/1000)*(up_Irr!AG14)),IF(AND(up_Irr!H14&lt;&gt;".",up_Irr!AG14=".",up_Irr!BF14="."),up_dir!AI14/((1/1000)*(up_Irr!H14)),IF(AND(up_Irr!H14=".",up_Irr!AG14=".",up_Irr!BF14="."),up_dir!AI14*1000)))))))),".")</f>
        <v>6.5773651144152131E-4</v>
      </c>
      <c r="BJ14" s="70">
        <f>IFERROR(IF(AND(up_Irr!I14&lt;&gt;".",up_Irr!AH14&lt;&gt;".",up_Irr!BG14&lt;&gt;"."),up_dir!AJ14/((1/1000)*(up_Irr!I14+up_Irr!AH14+up_Irr!BG14)),IF(AND(up_Irr!I14&lt;&gt;".",up_Irr!AH14&lt;&gt;".",up_Irr!BG14="."),up_dir!AJ14/((1/1000)*(up_Irr!I14+up_Irr!AH14)),IF(AND(up_Irr!I14&lt;&gt;".",up_Irr!AH14=".",up_Irr!BG14&lt;&gt;"."),up_dir!AJ14/((1/1000)*(up_Irr!I14+up_Irr!BG14)),IF(AND(up_Irr!I14=".",up_Irr!AH14&lt;&gt;".",up_Irr!BG14&lt;&gt;"."),up_dir!AJ14/((1/1000)*(up_Irr!AH14+up_Irr!BG14)),IF(AND(up_Irr!I14=".",up_Irr!AH14=".",up_Irr!BG14&lt;&gt;"."),up_dir!AJ14/((1/1000)*(up_Irr!BG14)),IF(AND(up_Irr!I14=".",up_Irr!AH14&lt;&gt;".",up_Irr!BG14="."),up_dir!AJ14/((1/1000)*(up_Irr!AH14)),IF(AND(up_Irr!I14&lt;&gt;".",up_Irr!AH14=".",up_Irr!BG14="."),up_dir!AJ14/((1/1000)*(up_Irr!I14)),IF(AND(up_Irr!I14=".",up_Irr!AH14=".",up_Irr!BG14="."),up_dir!AJ14*1000)))))))),".")</f>
        <v>6.5773651144152131E-4</v>
      </c>
      <c r="BK14" s="70">
        <f>IFERROR(IF(AND(up_Irr!J14&lt;&gt;".",up_Irr!AI14&lt;&gt;".",up_Irr!BH14&lt;&gt;"."),up_dir!AK14/((1/1000)*(up_Irr!J14+up_Irr!AI14+up_Irr!BH14)),IF(AND(up_Irr!J14&lt;&gt;".",up_Irr!AI14&lt;&gt;".",up_Irr!BH14="."),up_dir!AK14/((1/1000)*(up_Irr!J14+up_Irr!AI14)),IF(AND(up_Irr!J14&lt;&gt;".",up_Irr!AI14=".",up_Irr!BH14&lt;&gt;"."),up_dir!AK14/((1/1000)*(up_Irr!J14+up_Irr!BH14)),IF(AND(up_Irr!J14=".",up_Irr!AI14&lt;&gt;".",up_Irr!BH14&lt;&gt;"."),up_dir!AK14/((1/1000)*(up_Irr!AI14+up_Irr!BH14)),IF(AND(up_Irr!J14=".",up_Irr!AI14=".",up_Irr!BH14&lt;&gt;"."),up_dir!AK14/((1/1000)*(up_Irr!BH14)),IF(AND(up_Irr!J14=".",up_Irr!AI14&lt;&gt;".",up_Irr!BH14="."),up_dir!AK14/((1/1000)*(up_Irr!AI14)),IF(AND(up_Irr!J14&lt;&gt;".",up_Irr!AI14=".",up_Irr!BH14="."),up_dir!AK14/((1/1000)*(up_Irr!J14)),IF(AND(up_Irr!J14=".",up_Irr!AI14=".",up_Irr!BH14="."),up_dir!AK14*1000)))))))),".")</f>
        <v>6.5773651144152131E-4</v>
      </c>
      <c r="BL14" s="70">
        <f>IFERROR(IF(AND(up_Irr!K14&lt;&gt;".",up_Irr!AJ14&lt;&gt;".",up_Irr!BI14&lt;&gt;"."),up_dir!AL14/((1/1000)*(up_Irr!K14+up_Irr!AJ14+up_Irr!BI14)),IF(AND(up_Irr!K14&lt;&gt;".",up_Irr!AJ14&lt;&gt;".",up_Irr!BI14="."),up_dir!AL14/((1/1000)*(up_Irr!K14+up_Irr!AJ14)),IF(AND(up_Irr!K14&lt;&gt;".",up_Irr!AJ14=".",up_Irr!BI14&lt;&gt;"."),up_dir!AL14/((1/1000)*(up_Irr!K14+up_Irr!BI14)),IF(AND(up_Irr!K14=".",up_Irr!AJ14&lt;&gt;".",up_Irr!BI14&lt;&gt;"."),up_dir!AL14/((1/1000)*(up_Irr!AJ14+up_Irr!BI14)),IF(AND(up_Irr!K14=".",up_Irr!AJ14=".",up_Irr!BI14&lt;&gt;"."),up_dir!AL14/((1/1000)*(up_Irr!BI14)),IF(AND(up_Irr!K14=".",up_Irr!AJ14&lt;&gt;".",up_Irr!BI14="."),up_dir!AL14/((1/1000)*(up_Irr!AJ14)),IF(AND(up_Irr!K14&lt;&gt;".",up_Irr!AJ14=".",up_Irr!BI14="."),up_dir!AL14/((1/1000)*(up_Irr!K14)),IF(AND(up_Irr!K14=".",up_Irr!AJ14=".",up_Irr!BI14="."),up_dir!AL14*1000)))))))),".")</f>
        <v>6.5773651144152131E-4</v>
      </c>
      <c r="BM14" s="70">
        <f>IFERROR(IF(AND(up_Irr!L14&lt;&gt;".",up_Irr!AK14&lt;&gt;".",up_Irr!BJ14&lt;&gt;"."),up_dir!AM14/((1/1000)*(up_Irr!L14+up_Irr!AK14+up_Irr!BJ14)),IF(AND(up_Irr!L14&lt;&gt;".",up_Irr!AK14&lt;&gt;".",up_Irr!BJ14="."),up_dir!AM14/((1/1000)*(up_Irr!L14+up_Irr!AK14)),IF(AND(up_Irr!L14&lt;&gt;".",up_Irr!AK14=".",up_Irr!BJ14&lt;&gt;"."),up_dir!AM14/((1/1000)*(up_Irr!L14+up_Irr!BJ14)),IF(AND(up_Irr!L14=".",up_Irr!AK14&lt;&gt;".",up_Irr!BJ14&lt;&gt;"."),up_dir!AM14/((1/1000)*(up_Irr!AK14+up_Irr!BJ14)),IF(AND(up_Irr!L14=".",up_Irr!AK14=".",up_Irr!BJ14&lt;&gt;"."),up_dir!AM14/((1/1000)*(up_Irr!BJ14)),IF(AND(up_Irr!L14=".",up_Irr!AK14&lt;&gt;".",up_Irr!BJ14="."),up_dir!AM14/((1/1000)*(up_Irr!AK14)),IF(AND(up_Irr!L14&lt;&gt;".",up_Irr!AK14=".",up_Irr!BJ14="."),up_dir!AM14/((1/1000)*(up_Irr!L14)),IF(AND(up_Irr!L14=".",up_Irr!AK14=".",up_Irr!BJ14="."),up_dir!AM14*1000)))))))),".")</f>
        <v>6.5773651144152131E-4</v>
      </c>
      <c r="BN14" s="70">
        <f>IFERROR(IF(AND(up_Irr!M14&lt;&gt;".",up_Irr!AL14&lt;&gt;".",up_Irr!BK14&lt;&gt;"."),up_dir!AN14/((1/1000)*(up_Irr!M14+up_Irr!AL14+up_Irr!BK14)),IF(AND(up_Irr!M14&lt;&gt;".",up_Irr!AL14&lt;&gt;".",up_Irr!BK14="."),up_dir!AN14/((1/1000)*(up_Irr!M14+up_Irr!AL14)),IF(AND(up_Irr!M14&lt;&gt;".",up_Irr!AL14=".",up_Irr!BK14&lt;&gt;"."),up_dir!AN14/((1/1000)*(up_Irr!M14+up_Irr!BK14)),IF(AND(up_Irr!M14=".",up_Irr!AL14&lt;&gt;".",up_Irr!BK14&lt;&gt;"."),up_dir!AN14/((1/1000)*(up_Irr!AL14+up_Irr!BK14)),IF(AND(up_Irr!M14=".",up_Irr!AL14=".",up_Irr!BK14&lt;&gt;"."),up_dir!AN14/((1/1000)*(up_Irr!BK14)),IF(AND(up_Irr!M14=".",up_Irr!AL14&lt;&gt;".",up_Irr!BK14="."),up_dir!AN14/((1/1000)*(up_Irr!AL14)),IF(AND(up_Irr!M14&lt;&gt;".",up_Irr!AL14=".",up_Irr!BK14="."),up_dir!AN14/((1/1000)*(up_Irr!M14)),IF(AND(up_Irr!M14=".",up_Irr!AL14=".",up_Irr!BK14="."),up_dir!AN14*1000)))))))),".")</f>
        <v>6.5773651144152131E-4</v>
      </c>
      <c r="BO14" s="70">
        <f>IFERROR(IF(AND(up_Irr!N14&lt;&gt;".",up_Irr!AM14&lt;&gt;".",up_Irr!BL14&lt;&gt;"."),up_dir!AO14/((1/1000)*(up_Irr!N14+up_Irr!AM14+up_Irr!BL14)),IF(AND(up_Irr!N14&lt;&gt;".",up_Irr!AM14&lt;&gt;".",up_Irr!BL14="."),up_dir!AO14/((1/1000)*(up_Irr!N14+up_Irr!AM14)),IF(AND(up_Irr!N14&lt;&gt;".",up_Irr!AM14=".",up_Irr!BL14&lt;&gt;"."),up_dir!AO14/((1/1000)*(up_Irr!N14+up_Irr!BL14)),IF(AND(up_Irr!N14=".",up_Irr!AM14&lt;&gt;".",up_Irr!BL14&lt;&gt;"."),up_dir!AO14/((1/1000)*(up_Irr!AM14+up_Irr!BL14)),IF(AND(up_Irr!N14=".",up_Irr!AM14=".",up_Irr!BL14&lt;&gt;"."),up_dir!AO14/((1/1000)*(up_Irr!BL14)),IF(AND(up_Irr!N14=".",up_Irr!AM14&lt;&gt;".",up_Irr!BL14="."),up_dir!AO14/((1/1000)*(up_Irr!AM14)),IF(AND(up_Irr!N14&lt;&gt;".",up_Irr!AM14=".",up_Irr!BL14="."),up_dir!AO14/((1/1000)*(up_Irr!N14)),IF(AND(up_Irr!N14=".",up_Irr!AM14=".",up_Irr!BL14="."),up_dir!AO14*1000)))))))),".")</f>
        <v>6.5773651144152131E-4</v>
      </c>
      <c r="BP14" s="70">
        <f>IFERROR(IF(AND(up_Irr!O14&lt;&gt;".",up_Irr!AN14&lt;&gt;".",up_Irr!BM14&lt;&gt;"."),up_dir!AP14/((1/1000)*(up_Irr!O14+up_Irr!AN14+up_Irr!BM14)),IF(AND(up_Irr!O14&lt;&gt;".",up_Irr!AN14&lt;&gt;".",up_Irr!BM14="."),up_dir!AP14/((1/1000)*(up_Irr!O14+up_Irr!AN14)),IF(AND(up_Irr!O14&lt;&gt;".",up_Irr!AN14=".",up_Irr!BM14&lt;&gt;"."),up_dir!AP14/((1/1000)*(up_Irr!O14+up_Irr!BM14)),IF(AND(up_Irr!O14=".",up_Irr!AN14&lt;&gt;".",up_Irr!BM14&lt;&gt;"."),up_dir!AP14/((1/1000)*(up_Irr!AN14+up_Irr!BM14)),IF(AND(up_Irr!O14=".",up_Irr!AN14=".",up_Irr!BM14&lt;&gt;"."),up_dir!AP14/((1/1000)*(up_Irr!BM14)),IF(AND(up_Irr!O14=".",up_Irr!AN14&lt;&gt;".",up_Irr!BM14="."),up_dir!AP14/((1/1000)*(up_Irr!AN14)),IF(AND(up_Irr!O14&lt;&gt;".",up_Irr!AN14=".",up_Irr!BM14="."),up_dir!AP14/((1/1000)*(up_Irr!O14)),IF(AND(up_Irr!O14=".",up_Irr!AN14=".",up_Irr!BM14="."),up_dir!AP14*1000)))))))),".")</f>
        <v>6.5773651144152131E-4</v>
      </c>
      <c r="BQ14" s="70">
        <f>IFERROR(IF(AND(up_Irr!P14&lt;&gt;".",up_Irr!AO14&lt;&gt;".",up_Irr!BN14&lt;&gt;"."),up_dir!AQ14/((1/1000)*(up_Irr!P14+up_Irr!AO14+up_Irr!BN14)),IF(AND(up_Irr!P14&lt;&gt;".",up_Irr!AO14&lt;&gt;".",up_Irr!BN14="."),up_dir!AQ14/((1/1000)*(up_Irr!P14+up_Irr!AO14)),IF(AND(up_Irr!P14&lt;&gt;".",up_Irr!AO14=".",up_Irr!BN14&lt;&gt;"."),up_dir!AQ14/((1/1000)*(up_Irr!P14+up_Irr!BN14)),IF(AND(up_Irr!P14=".",up_Irr!AO14&lt;&gt;".",up_Irr!BN14&lt;&gt;"."),up_dir!AQ14/((1/1000)*(up_Irr!AO14+up_Irr!BN14)),IF(AND(up_Irr!P14=".",up_Irr!AO14=".",up_Irr!BN14&lt;&gt;"."),up_dir!AQ14/((1/1000)*(up_Irr!BN14)),IF(AND(up_Irr!P14=".",up_Irr!AO14&lt;&gt;".",up_Irr!BN14="."),up_dir!AQ14/((1/1000)*(up_Irr!AO14)),IF(AND(up_Irr!P14&lt;&gt;".",up_Irr!AO14=".",up_Irr!BN14="."),up_dir!AQ14/((1/1000)*(up_Irr!P14)),IF(AND(up_Irr!P14=".",up_Irr!AO14=".",up_Irr!BN14="."),up_dir!AQ14*1000)))))))),".")</f>
        <v>6.5773651144152131E-4</v>
      </c>
      <c r="BR14" s="70">
        <f>IFERROR(IF(AND(up_Irr!Q14&lt;&gt;".",up_Irr!AP14&lt;&gt;".",up_Irr!BO14&lt;&gt;"."),up_dir!AR14/((1/1000)*(up_Irr!Q14+up_Irr!AP14+up_Irr!BO14)),IF(AND(up_Irr!Q14&lt;&gt;".",up_Irr!AP14&lt;&gt;".",up_Irr!BO14="."),up_dir!AR14/((1/1000)*(up_Irr!Q14+up_Irr!AP14)),IF(AND(up_Irr!Q14&lt;&gt;".",up_Irr!AP14=".",up_Irr!BO14&lt;&gt;"."),up_dir!AR14/((1/1000)*(up_Irr!Q14+up_Irr!BO14)),IF(AND(up_Irr!Q14=".",up_Irr!AP14&lt;&gt;".",up_Irr!BO14&lt;&gt;"."),up_dir!AR14/((1/1000)*(up_Irr!AP14+up_Irr!BO14)),IF(AND(up_Irr!Q14=".",up_Irr!AP14=".",up_Irr!BO14&lt;&gt;"."),up_dir!AR14/((1/1000)*(up_Irr!BO14)),IF(AND(up_Irr!Q14=".",up_Irr!AP14&lt;&gt;".",up_Irr!BO14="."),up_dir!AR14/((1/1000)*(up_Irr!AP14)),IF(AND(up_Irr!Q14&lt;&gt;".",up_Irr!AP14=".",up_Irr!BO14="."),up_dir!AR14/((1/1000)*(up_Irr!Q14)),IF(AND(up_Irr!Q14=".",up_Irr!AP14=".",up_Irr!BO14="."),up_dir!AR14*1000)))))))),".")</f>
        <v>6.5773651144152131E-4</v>
      </c>
      <c r="BS14" s="70">
        <f>IFERROR(IF(AND(up_Irr!R14&lt;&gt;".",up_Irr!AQ14&lt;&gt;".",up_Irr!BP14&lt;&gt;"."),up_dir!AS14/((1/1000)*(up_Irr!R14+up_Irr!AQ14+up_Irr!BP14)),IF(AND(up_Irr!R14&lt;&gt;".",up_Irr!AQ14&lt;&gt;".",up_Irr!BP14="."),up_dir!AS14/((1/1000)*(up_Irr!R14+up_Irr!AQ14)),IF(AND(up_Irr!R14&lt;&gt;".",up_Irr!AQ14=".",up_Irr!BP14&lt;&gt;"."),up_dir!AS14/((1/1000)*(up_Irr!R14+up_Irr!BP14)),IF(AND(up_Irr!R14=".",up_Irr!AQ14&lt;&gt;".",up_Irr!BP14&lt;&gt;"."),up_dir!AS14/((1/1000)*(up_Irr!AQ14+up_Irr!BP14)),IF(AND(up_Irr!R14=".",up_Irr!AQ14=".",up_Irr!BP14&lt;&gt;"."),up_dir!AS14/((1/1000)*(up_Irr!BP14)),IF(AND(up_Irr!R14=".",up_Irr!AQ14&lt;&gt;".",up_Irr!BP14="."),up_dir!AS14/((1/1000)*(up_Irr!AQ14)),IF(AND(up_Irr!R14&lt;&gt;".",up_Irr!AQ14=".",up_Irr!BP14="."),up_dir!AS14/((1/1000)*(up_Irr!R14)),IF(AND(up_Irr!R14=".",up_Irr!AQ14=".",up_Irr!BP14="."),up_dir!AS14*1000)))))))),".")</f>
        <v>6.5773651144152131E-4</v>
      </c>
      <c r="BT14" s="70">
        <f>IFERROR(IF(AND(up_Irr!S14&lt;&gt;".",up_Irr!AR14&lt;&gt;".",up_Irr!BQ14&lt;&gt;"."),up_dir!AT14/((1/1000)*(up_Irr!S14+up_Irr!AR14+up_Irr!BQ14)),IF(AND(up_Irr!S14&lt;&gt;".",up_Irr!AR14&lt;&gt;".",up_Irr!BQ14="."),up_dir!AT14/((1/1000)*(up_Irr!S14+up_Irr!AR14)),IF(AND(up_Irr!S14&lt;&gt;".",up_Irr!AR14=".",up_Irr!BQ14&lt;&gt;"."),up_dir!AT14/((1/1000)*(up_Irr!S14+up_Irr!BQ14)),IF(AND(up_Irr!S14=".",up_Irr!AR14&lt;&gt;".",up_Irr!BQ14&lt;&gt;"."),up_dir!AT14/((1/1000)*(up_Irr!AR14+up_Irr!BQ14)),IF(AND(up_Irr!S14=".",up_Irr!AR14=".",up_Irr!BQ14&lt;&gt;"."),up_dir!AT14/((1/1000)*(up_Irr!BQ14)),IF(AND(up_Irr!S14=".",up_Irr!AR14&lt;&gt;".",up_Irr!BQ14="."),up_dir!AT14/((1/1000)*(up_Irr!AR14)),IF(AND(up_Irr!S14&lt;&gt;".",up_Irr!AR14=".",up_Irr!BQ14="."),up_dir!AT14/((1/1000)*(up_Irr!S14)),IF(AND(up_Irr!S14=".",up_Irr!AR14=".",up_Irr!BQ14="."),up_dir!AT14*1000)))))))),".")</f>
        <v>6.5773651144152131E-4</v>
      </c>
      <c r="BU14" s="70">
        <f>IFERROR(IF(AND(up_Irr!T14&lt;&gt;".",up_Irr!AS14&lt;&gt;".",up_Irr!BR14&lt;&gt;"."),up_dir!AU14/((1/1000)*(up_Irr!T14+up_Irr!AS14+up_Irr!BR14)),IF(AND(up_Irr!T14&lt;&gt;".",up_Irr!AS14&lt;&gt;".",up_Irr!BR14="."),up_dir!AU14/((1/1000)*(up_Irr!T14+up_Irr!AS14)),IF(AND(up_Irr!T14&lt;&gt;".",up_Irr!AS14=".",up_Irr!BR14&lt;&gt;"."),up_dir!AU14/((1/1000)*(up_Irr!T14+up_Irr!BR14)),IF(AND(up_Irr!T14=".",up_Irr!AS14&lt;&gt;".",up_Irr!BR14&lt;&gt;"."),up_dir!AU14/((1/1000)*(up_Irr!AS14+up_Irr!BR14)),IF(AND(up_Irr!T14=".",up_Irr!AS14=".",up_Irr!BR14&lt;&gt;"."),up_dir!AU14/((1/1000)*(up_Irr!BR14)),IF(AND(up_Irr!T14=".",up_Irr!AS14&lt;&gt;".",up_Irr!BR14="."),up_dir!AU14/((1/1000)*(up_Irr!AS14)),IF(AND(up_Irr!T14&lt;&gt;".",up_Irr!AS14=".",up_Irr!BR14="."),up_dir!AU14/((1/1000)*(up_Irr!T14)),IF(AND(up_Irr!T14=".",up_Irr!AS14=".",up_Irr!BR14="."),up_dir!AU14*1000)))))))),".")</f>
        <v>6.5773651144152131E-4</v>
      </c>
      <c r="BV14" s="70">
        <f>IFERROR(IF(AND(up_Irr!U14&lt;&gt;".",up_Irr!AT14&lt;&gt;".",up_Irr!BS14&lt;&gt;"."),up_dir!AV14/((1/1000)*(up_Irr!U14+up_Irr!AT14+up_Irr!BS14)),IF(AND(up_Irr!U14&lt;&gt;".",up_Irr!AT14&lt;&gt;".",up_Irr!BS14="."),up_dir!AV14/((1/1000)*(up_Irr!U14+up_Irr!AT14)),IF(AND(up_Irr!U14&lt;&gt;".",up_Irr!AT14=".",up_Irr!BS14&lt;&gt;"."),up_dir!AV14/((1/1000)*(up_Irr!U14+up_Irr!BS14)),IF(AND(up_Irr!U14=".",up_Irr!AT14&lt;&gt;".",up_Irr!BS14&lt;&gt;"."),up_dir!AV14/((1/1000)*(up_Irr!AT14+up_Irr!BS14)),IF(AND(up_Irr!U14=".",up_Irr!AT14=".",up_Irr!BS14&lt;&gt;"."),up_dir!AV14/((1/1000)*(up_Irr!BS14)),IF(AND(up_Irr!U14=".",up_Irr!AT14&lt;&gt;".",up_Irr!BS14="."),up_dir!AV14/((1/1000)*(up_Irr!AT14)),IF(AND(up_Irr!U14&lt;&gt;".",up_Irr!AT14=".",up_Irr!BS14="."),up_dir!AV14/((1/1000)*(up_Irr!U14)),IF(AND(up_Irr!U14=".",up_Irr!AT14=".",up_Irr!BS14="."),up_dir!AV14*1000)))))))),".")</f>
        <v>6.5773651144152131E-4</v>
      </c>
      <c r="BW14" s="70">
        <f>IFERROR(IF(AND(up_Irr!V14&lt;&gt;".",up_Irr!AU14&lt;&gt;".",up_Irr!BT14&lt;&gt;"."),up_dir!AW14/((1/1000)*(up_Irr!V14+up_Irr!AU14+up_Irr!BT14)),IF(AND(up_Irr!V14&lt;&gt;".",up_Irr!AU14&lt;&gt;".",up_Irr!BT14="."),up_dir!AW14/((1/1000)*(up_Irr!V14+up_Irr!AU14)),IF(AND(up_Irr!V14&lt;&gt;".",up_Irr!AU14=".",up_Irr!BT14&lt;&gt;"."),up_dir!AW14/((1/1000)*(up_Irr!V14+up_Irr!BT14)),IF(AND(up_Irr!V14=".",up_Irr!AU14&lt;&gt;".",up_Irr!BT14&lt;&gt;"."),up_dir!AW14/((1/1000)*(up_Irr!AU14+up_Irr!BT14)),IF(AND(up_Irr!V14=".",up_Irr!AU14=".",up_Irr!BT14&lt;&gt;"."),up_dir!AW14/((1/1000)*(up_Irr!BT14)),IF(AND(up_Irr!V14=".",up_Irr!AU14&lt;&gt;".",up_Irr!BT14="."),up_dir!AW14/((1/1000)*(up_Irr!AU14)),IF(AND(up_Irr!V14&lt;&gt;".",up_Irr!AU14=".",up_Irr!BT14="."),up_dir!AW14/((1/1000)*(up_Irr!V14)),IF(AND(up_Irr!V14=".",up_Irr!AU14=".",up_Irr!BT14="."),up_dir!AW14*1000)))))))),".")</f>
        <v>6.5773651144152131E-4</v>
      </c>
      <c r="BX14" s="70">
        <f>IFERROR(IF(AND(up_Irr!W14&lt;&gt;".",up_Irr!AV14&lt;&gt;".",up_Irr!BU14&lt;&gt;"."),up_dir!AX14/((1/1000)*(up_Irr!W14+up_Irr!AV14+up_Irr!BU14)),IF(AND(up_Irr!W14&lt;&gt;".",up_Irr!AV14&lt;&gt;".",up_Irr!BU14="."),up_dir!AX14/((1/1000)*(up_Irr!W14+up_Irr!AV14)),IF(AND(up_Irr!W14&lt;&gt;".",up_Irr!AV14=".",up_Irr!BU14&lt;&gt;"."),up_dir!AX14/((1/1000)*(up_Irr!W14+up_Irr!BU14)),IF(AND(up_Irr!W14=".",up_Irr!AV14&lt;&gt;".",up_Irr!BU14&lt;&gt;"."),up_dir!AX14/((1/1000)*(up_Irr!AV14+up_Irr!BU14)),IF(AND(up_Irr!W14=".",up_Irr!AV14=".",up_Irr!BU14&lt;&gt;"."),up_dir!AX14/((1/1000)*(up_Irr!BU14)),IF(AND(up_Irr!W14=".",up_Irr!AV14&lt;&gt;".",up_Irr!BU14="."),up_dir!AX14/((1/1000)*(up_Irr!AV14)),IF(AND(up_Irr!W14&lt;&gt;".",up_Irr!AV14=".",up_Irr!BU14="."),up_dir!AX14/((1/1000)*(up_Irr!W14)),IF(AND(up_Irr!W14=".",up_Irr!AV14=".",up_Irr!BU14="."),up_dir!AX14*1000)))))))),".")</f>
        <v>6.5773651144152131E-4</v>
      </c>
      <c r="BY14" s="70">
        <f>IFERROR(IF(AND(up_Irr!X14&lt;&gt;".",up_Irr!AW14&lt;&gt;".",up_Irr!BV14&lt;&gt;"."),up_dir!AY14/((1/1000)*(up_Irr!X14+up_Irr!AW14+up_Irr!BV14)),IF(AND(up_Irr!X14&lt;&gt;".",up_Irr!AW14&lt;&gt;".",up_Irr!BV14="."),up_dir!AY14/((1/1000)*(up_Irr!X14+up_Irr!AW14)),IF(AND(up_Irr!X14&lt;&gt;".",up_Irr!AW14=".",up_Irr!BV14&lt;&gt;"."),up_dir!AY14/((1/1000)*(up_Irr!X14+up_Irr!BV14)),IF(AND(up_Irr!X14=".",up_Irr!AW14&lt;&gt;".",up_Irr!BV14&lt;&gt;"."),up_dir!AY14/((1/1000)*(up_Irr!AW14+up_Irr!BV14)),IF(AND(up_Irr!X14=".",up_Irr!AW14=".",up_Irr!BV14&lt;&gt;"."),up_dir!AY14/((1/1000)*(up_Irr!BV14)),IF(AND(up_Irr!X14=".",up_Irr!AW14&lt;&gt;".",up_Irr!BV14="."),up_dir!AY14/((1/1000)*(up_Irr!AW14)),IF(AND(up_Irr!X14&lt;&gt;".",up_Irr!AW14=".",up_Irr!BV14="."),up_dir!AY14/((1/1000)*(up_Irr!X14)),IF(AND(up_Irr!X14=".",up_Irr!AW14=".",up_Irr!BV14="."),up_dir!AY14*1000)))))))),".")</f>
        <v>6.5773651144152131E-4</v>
      </c>
      <c r="BZ14" s="70">
        <f>IFERROR(IF(AND(up_Irr!Y14&lt;&gt;".",up_Irr!AX14&lt;&gt;".",up_Irr!BW14&lt;&gt;"."),up_dir!AZ14/((1/1000)*(up_Irr!Y14+up_Irr!AX14+up_Irr!BW14)),IF(AND(up_Irr!Y14&lt;&gt;".",up_Irr!AX14&lt;&gt;".",up_Irr!BW14="."),up_dir!AZ14/((1/1000)*(up_Irr!Y14+up_Irr!AX14)),IF(AND(up_Irr!Y14&lt;&gt;".",up_Irr!AX14=".",up_Irr!BW14&lt;&gt;"."),up_dir!AZ14/((1/1000)*(up_Irr!Y14+up_Irr!BW14)),IF(AND(up_Irr!Y14=".",up_Irr!AX14&lt;&gt;".",up_Irr!BW14&lt;&gt;"."),up_dir!AZ14/((1/1000)*(up_Irr!AX14+up_Irr!BW14)),IF(AND(up_Irr!Y14=".",up_Irr!AX14=".",up_Irr!BW14&lt;&gt;"."),up_dir!AZ14/((1/1000)*(up_Irr!BW14)),IF(AND(up_Irr!Y14=".",up_Irr!AX14&lt;&gt;".",up_Irr!BW14="."),up_dir!AZ14/((1/1000)*(up_Irr!AX14)),IF(AND(up_Irr!Y14&lt;&gt;".",up_Irr!AX14=".",up_Irr!BW14="."),up_dir!AZ14/((1/1000)*(up_Irr!Y14)),IF(AND(up_Irr!Y14=".",up_Irr!AX14=".",up_Irr!BW14="."),up_dir!AZ14*1000)))))))),".")</f>
        <v>6.5773651144152131E-4</v>
      </c>
      <c r="CA14" s="70">
        <f>IFERROR(IF(AND(up_Irr!Z14&lt;&gt;".",up_Irr!AY14&lt;&gt;".",up_Irr!BX14&lt;&gt;"."),up_dir!BA14/((1/1000)*(up_Irr!Z14+up_Irr!AY14+up_Irr!BX14)),IF(AND(up_Irr!Z14&lt;&gt;".",up_Irr!AY14&lt;&gt;".",up_Irr!BX14="."),up_dir!BA14/((1/1000)*(up_Irr!Z14+up_Irr!AY14)),IF(AND(up_Irr!Z14&lt;&gt;".",up_Irr!AY14=".",up_Irr!BX14&lt;&gt;"."),up_dir!BA14/((1/1000)*(up_Irr!Z14+up_Irr!BX14)),IF(AND(up_Irr!Z14=".",up_Irr!AY14&lt;&gt;".",up_Irr!BX14&lt;&gt;"."),up_dir!BA14/((1/1000)*(up_Irr!AY14+up_Irr!BX14)),IF(AND(up_Irr!Z14=".",up_Irr!AY14=".",up_Irr!BX14&lt;&gt;"."),up_dir!BA14/((1/1000)*(up_Irr!BX14)),IF(AND(up_Irr!Z14=".",up_Irr!AY14&lt;&gt;".",up_Irr!BX14="."),up_dir!BA14/((1/1000)*(up_Irr!AY14)),IF(AND(up_Irr!Z14&lt;&gt;".",up_Irr!AY14=".",up_Irr!BX14="."),up_dir!BA14/((1/1000)*(up_Irr!Z14)),IF(AND(up_Irr!Z14=".",up_Irr!AY14=".",up_Irr!BX14="."),up_dir!BA14*1000)))))))),".")</f>
        <v>6.5773651144152131E-4</v>
      </c>
      <c r="CB14" s="70">
        <f>IFERROR(IF(AND(up_Irr!AA14&lt;&gt;".",up_Irr!AZ14&lt;&gt;".",up_Irr!BY14&lt;&gt;"."),up_dir!BB14/((1/1000)*(up_Irr!AA14+up_Irr!AZ14+up_Irr!BY14)),IF(AND(up_Irr!AA14&lt;&gt;".",up_Irr!AZ14&lt;&gt;".",up_Irr!BY14="."),up_dir!BB14/((1/1000)*(up_Irr!AA14+up_Irr!AZ14)),IF(AND(up_Irr!AA14&lt;&gt;".",up_Irr!AZ14=".",up_Irr!BY14&lt;&gt;"."),up_dir!BB14/((1/1000)*(up_Irr!AA14+up_Irr!BY14)),IF(AND(up_Irr!AA14=".",up_Irr!AZ14&lt;&gt;".",up_Irr!BY14&lt;&gt;"."),up_dir!BB14/((1/1000)*(up_Irr!AZ14+up_Irr!BY14)),IF(AND(up_Irr!AA14=".",up_Irr!AZ14=".",up_Irr!BY14&lt;&gt;"."),up_dir!BB14/((1/1000)*(up_Irr!BY14)),IF(AND(up_Irr!AA14=".",up_Irr!AZ14&lt;&gt;".",up_Irr!BY14="."),up_dir!BB14/((1/1000)*(up_Irr!AZ14)),IF(AND(up_Irr!AA14&lt;&gt;".",up_Irr!AZ14=".",up_Irr!BY14="."),up_dir!BB14/((1/1000)*(up_Irr!AA14)),IF(AND(up_Irr!AA14=".",up_Irr!AZ14=".",up_Irr!BY14="."),up_dir!BB14*1000)))))))),".")</f>
        <v>6.5773651144152131E-4</v>
      </c>
      <c r="CC14" s="87">
        <f t="shared" si="3"/>
        <v>30407.313038114935</v>
      </c>
      <c r="CD14" s="87">
        <f>IFERROR(s_C*s_IFAP_far_adj*s_CF_apple*(1/1000)*(up_Irr!C14+up_Irr!AB14+up_Irr!BA14),".")</f>
        <v>7601.8282595287337</v>
      </c>
      <c r="CE14" s="87">
        <f>IFERROR(s_C*s_IFAS_far_adj*s_CF_asparagus*(1/1000)*(up_Irr!D14+up_Irr!AC14+up_Irr!BB14),".")</f>
        <v>7601.8282595287337</v>
      </c>
      <c r="CF14" s="87">
        <f>IFERROR(s_C*s_IFBT_far_adj*s_CF_beet*(1/1000)*(up_Irr!E14+up_Irr!AD14+up_Irr!BC14),".")</f>
        <v>7601.8282595287337</v>
      </c>
      <c r="CG14" s="87">
        <f>IFERROR(s_C*s_IFBE_far_adj*s_CF_berries*(1/1000)*(up_Irr!F14+up_Irr!AE14+up_Irr!BD14),".")</f>
        <v>7601.8282595287337</v>
      </c>
      <c r="CH14" s="87">
        <f>IFERROR(s_C*s_IFBR_far_adj*s_CF_broccoli*(1/1000)*(up_Irr!G14+up_Irr!AF14+up_Irr!BE14),".")</f>
        <v>7601.8282595287337</v>
      </c>
      <c r="CI14" s="87">
        <f>IFERROR(s_C*s_IFCB_far_adj*s_CF_cabbage*(1/1000)*(up_Irr!H14+up_Irr!AG14+up_Irr!BF14),".")</f>
        <v>7601.8282595287337</v>
      </c>
      <c r="CJ14" s="87">
        <f>IFERROR(s_C*s_IFCR_far_adj*s_CF_carrot*(1/1000)*(up_Irr!I14+up_Irr!AH14+up_Irr!BG14),".")</f>
        <v>7601.8282595287337</v>
      </c>
      <c r="CK14" s="87">
        <f>IFERROR(s_C*s_IFCI_far_adj*s_CF_citrus*(1/1000)*(up_Irr!J14+up_Irr!AI14+up_Irr!BH14),".")</f>
        <v>7601.8282595287337</v>
      </c>
      <c r="CL14" s="87">
        <f>IFERROR(s_C*s_IFCO_far_adj*s_CF_corn*(1/1000)*(up_Irr!K14+up_Irr!AJ14+up_Irr!BI14),".")</f>
        <v>7601.8282595287337</v>
      </c>
      <c r="CM14" s="87">
        <f>IFERROR(s_C*s_IFCU_far_adj*s_CF_cucumber*(1/1000)*(up_Irr!L14+up_Irr!AK14+up_Irr!BJ14),".")</f>
        <v>7601.8282595287337</v>
      </c>
      <c r="CN14" s="87">
        <f>IFERROR(s_C*s_IFLE_far_adj*s_CF_lettuce*(1/1000)*(up_Irr!M14+up_Irr!AL14+up_Irr!BK14),".")</f>
        <v>7601.8282595287337</v>
      </c>
      <c r="CO14" s="87">
        <f>IFERROR(s_C*s_IFLI_far_adj*s_CF_lima_bean*(1/1000)*(up_Irr!N14+up_Irr!AM14+up_Irr!BL14),".")</f>
        <v>7601.8282595287337</v>
      </c>
      <c r="CP14" s="87">
        <f>IFERROR(s_C*s_IFOK_far_adj*s_CF_okra*(1/1000)*(up_Irr!O14+up_Irr!AN14+up_Irr!BM14),".")</f>
        <v>7601.8282595287337</v>
      </c>
      <c r="CQ14" s="87">
        <f>IFERROR(s_C*s_IFON_far_adj*s_CF_onion*(1/1000)*(up_Irr!P14+up_Irr!AO14+up_Irr!BN14),".")</f>
        <v>7601.8282595287337</v>
      </c>
      <c r="CR14" s="87">
        <f>IFERROR(s_C*s_IFPC_far_adj*s_CF_peach*(1/1000)*(up_Irr!Q14+up_Irr!AP14+up_Irr!BO14),".")</f>
        <v>7601.8282595287337</v>
      </c>
      <c r="CS14" s="87">
        <f>IFERROR(s_C*s_IFPR_far_adj*s_CF_pear*(1/1000)*(up_Irr!R14+up_Irr!AQ14+up_Irr!BP14),".")</f>
        <v>7601.8282595287337</v>
      </c>
      <c r="CT14" s="87">
        <f>IFERROR(s_C*s_IFPE_far_adj*s_CF_peas*(1/1000)*(up_Irr!S14+up_Irr!AR14+up_Irr!BQ14),".")</f>
        <v>7601.8282595287337</v>
      </c>
      <c r="CU14" s="87">
        <f>IFERROR(s_C*s_IFPP_far_adj*s_CF_peppers*(1/1000)*(up_Irr!T14+up_Irr!AS14+up_Irr!BR14),".")</f>
        <v>7601.8282595287337</v>
      </c>
      <c r="CV14" s="87">
        <f>IFERROR(s_C*s_IFPT_far_adj*s_CF_potato*(1/1000)*(up_Irr!U14+up_Irr!AT14+up_Irr!BS14),".")</f>
        <v>7601.8282595287337</v>
      </c>
      <c r="CW14" s="87">
        <f>IFERROR(s_C*s_IFPU_far_adj*s_CF_pumpkin*(1/1000)*(up_Irr!V14+up_Irr!AU14+up_Irr!BT14),".")</f>
        <v>7601.8282595287337</v>
      </c>
      <c r="CX14" s="87">
        <f>IFERROR(s_C*s_IFSN_far_adj*s_CF_snap_bean*(1/1000)*(up_Irr!W14+up_Irr!AV14+up_Irr!BU14),".")</f>
        <v>7601.8282595287337</v>
      </c>
      <c r="CY14" s="87">
        <f>IFERROR(s_C*s_IFST_far_adj*s_CF_strawberry*(1/1000)*(up_Irr!X14+up_Irr!AW14+up_Irr!BV14),".")</f>
        <v>7601.8282595287337</v>
      </c>
      <c r="CZ14" s="87">
        <f>IFERROR(s_C*s_IFTO_far_adj*s_CF_tomato*(1/1000)*(up_Irr!Y14+up_Irr!AX14+up_Irr!BW14),".")</f>
        <v>7601.8282595287337</v>
      </c>
      <c r="DA14" s="87">
        <f>IFERROR(s_C*s_IFRI_far_adj*s_CF_rice*(1/1000)*(up_Irr!Z14+up_Irr!AY14+up_Irr!BX14),".")</f>
        <v>7601.8282595287337</v>
      </c>
      <c r="DB14" s="87">
        <f>IFERROR(s_C*s_IFCG_far_adj*s_CF_cereal*(1/1000)*(up_Irr!AA14+up_Irr!AZ14+up_Irr!BY14),".")</f>
        <v>7601.8282595287337</v>
      </c>
    </row>
    <row r="15" spans="1:106" ht="15" customHeight="1" x14ac:dyDescent="0.25">
      <c r="A15" s="86" t="s">
        <v>13</v>
      </c>
      <c r="B15" s="84" t="s">
        <v>1057</v>
      </c>
      <c r="C15" s="15">
        <f t="shared" si="0"/>
        <v>1.6443412786038033E-4</v>
      </c>
      <c r="D15" s="70">
        <f>IFERROR(IF(AND(up_Irr!C15&lt;&gt;".",up_Irr!AB15&lt;&gt;".",up_Irr!BA15&lt;&gt;"."),up_dir!D15/((1/1000)*(up_Irr!C15+up_Irr!AB15+up_Irr!BA15)),IF(AND(up_Irr!C15&lt;&gt;".",up_Irr!AB15&lt;&gt;".",up_Irr!BA15="."),up_dir!D15/((1/1000)*(up_Irr!C15+up_Irr!AB15)),IF(AND(up_Irr!C15&lt;&gt;".",up_Irr!AB15=".",up_Irr!BA15&lt;&gt;"."),up_dir!D15/((1/1000)*(up_Irr!C15+up_Irr!BA15)),IF(AND(up_Irr!C15=".",up_Irr!AB15&lt;&gt;".",up_Irr!BA15&lt;&gt;"."),up_dir!D15/((1/1000)*(up_Irr!AB15+up_Irr!BA15)),IF(AND(up_Irr!C15=".",up_Irr!AB15=".",up_Irr!BA15&lt;&gt;"."),up_dir!D15/((1/1000)*(up_Irr!BA15)),IF(AND(up_Irr!C15=".",up_Irr!AB15&lt;&gt;".",up_Irr!BA15="."),up_dir!D15/((1/1000)*(up_Irr!AB15)),IF(AND(up_Irr!C15&lt;&gt;".",up_Irr!AB15=".",up_Irr!BA15="."),up_dir!D15/((1/1000)*(up_Irr!C15)),IF(AND(up_Irr!C15=".",up_Irr!AB15=".",up_Irr!BA15="."),up_dir!D15*1000)))))))),".")</f>
        <v>6.5773651144152131E-4</v>
      </c>
      <c r="E15" s="70">
        <f>IFERROR(IF(AND(up_Irr!D15&lt;&gt;".",up_Irr!AC15&lt;&gt;".",up_Irr!BB15&lt;&gt;"."),up_dir!E15/((1/1000)*(up_Irr!D15+up_Irr!AC15+up_Irr!BB15)),IF(AND(up_Irr!D15&lt;&gt;".",up_Irr!AC15&lt;&gt;".",up_Irr!BB15="."),up_dir!E15/((1/1000)*(up_Irr!D15+up_Irr!AC15)),IF(AND(up_Irr!D15&lt;&gt;".",up_Irr!AC15=".",up_Irr!BB15&lt;&gt;"."),up_dir!E15/((1/1000)*(up_Irr!D15+up_Irr!BB15)),IF(AND(up_Irr!D15=".",up_Irr!AC15&lt;&gt;".",up_Irr!BB15&lt;&gt;"."),up_dir!E15/((1/1000)*(up_Irr!AC15+up_Irr!BB15)),IF(AND(up_Irr!D15=".",up_Irr!AC15=".",up_Irr!BB15&lt;&gt;"."),up_dir!E15/((1/1000)*(up_Irr!BB15)),IF(AND(up_Irr!D15=".",up_Irr!AC15&lt;&gt;".",up_Irr!BB15="."),up_dir!E15/((1/1000)*(up_Irr!AC15)),IF(AND(up_Irr!D15&lt;&gt;".",up_Irr!AC15=".",up_Irr!BB15="."),up_dir!E15/((1/1000)*(up_Irr!D15)),IF(AND(up_Irr!D15=".",up_Irr!AC15=".",up_Irr!BB15="."),up_dir!E15*1000)))))))),".")</f>
        <v>6.5773651144152131E-4</v>
      </c>
      <c r="F15" s="70">
        <f>IFERROR(IF(AND(up_Irr!E15&lt;&gt;".",up_Irr!AD15&lt;&gt;".",up_Irr!BC15&lt;&gt;"."),up_dir!F15/((1/1000)*(up_Irr!E15+up_Irr!AD15+up_Irr!BC15)),IF(AND(up_Irr!E15&lt;&gt;".",up_Irr!AD15&lt;&gt;".",up_Irr!BC15="."),up_dir!F15/((1/1000)*(up_Irr!E15+up_Irr!AD15)),IF(AND(up_Irr!E15&lt;&gt;".",up_Irr!AD15=".",up_Irr!BC15&lt;&gt;"."),up_dir!F15/((1/1000)*(up_Irr!E15+up_Irr!BC15)),IF(AND(up_Irr!E15=".",up_Irr!AD15&lt;&gt;".",up_Irr!BC15&lt;&gt;"."),up_dir!F15/((1/1000)*(up_Irr!AD15+up_Irr!BC15)),IF(AND(up_Irr!E15=".",up_Irr!AD15=".",up_Irr!BC15&lt;&gt;"."),up_dir!F15/((1/1000)*(up_Irr!BC15)),IF(AND(up_Irr!E15=".",up_Irr!AD15&lt;&gt;".",up_Irr!BC15="."),up_dir!F15/((1/1000)*(up_Irr!AD15)),IF(AND(up_Irr!E15&lt;&gt;".",up_Irr!AD15=".",up_Irr!BC15="."),up_dir!F15/((1/1000)*(up_Irr!E15)),IF(AND(up_Irr!E15=".",up_Irr!AD15=".",up_Irr!BC15="."),up_dir!F15*1000)))))))),".")</f>
        <v>6.5773651144152131E-4</v>
      </c>
      <c r="G15" s="70">
        <f>IFERROR(IF(AND(up_Irr!F15&lt;&gt;".",up_Irr!AE15&lt;&gt;".",up_Irr!BD15&lt;&gt;"."),up_dir!G15/((1/1000)*(up_Irr!F15+up_Irr!AE15+up_Irr!BD15)),IF(AND(up_Irr!F15&lt;&gt;".",up_Irr!AE15&lt;&gt;".",up_Irr!BD15="."),up_dir!G15/((1/1000)*(up_Irr!F15+up_Irr!AE15)),IF(AND(up_Irr!F15&lt;&gt;".",up_Irr!AE15=".",up_Irr!BD15&lt;&gt;"."),up_dir!G15/((1/1000)*(up_Irr!F15+up_Irr!BD15)),IF(AND(up_Irr!F15=".",up_Irr!AE15&lt;&gt;".",up_Irr!BD15&lt;&gt;"."),up_dir!G15/((1/1000)*(up_Irr!AE15+up_Irr!BD15)),IF(AND(up_Irr!F15=".",up_Irr!AE15=".",up_Irr!BD15&lt;&gt;"."),up_dir!G15/((1/1000)*(up_Irr!BD15)),IF(AND(up_Irr!F15=".",up_Irr!AE15&lt;&gt;".",up_Irr!BD15="."),up_dir!G15/((1/1000)*(up_Irr!AE15)),IF(AND(up_Irr!F15&lt;&gt;".",up_Irr!AE15=".",up_Irr!BD15="."),up_dir!G15/((1/1000)*(up_Irr!F15)),IF(AND(up_Irr!F15=".",up_Irr!AE15=".",up_Irr!BD15="."),up_dir!G15*1000)))))))),".")</f>
        <v>6.5773651144152131E-4</v>
      </c>
      <c r="H15" s="70">
        <f>IFERROR(IF(AND(up_Irr!G15&lt;&gt;".",up_Irr!AF15&lt;&gt;".",up_Irr!BE15&lt;&gt;"."),up_dir!H15/((1/1000)*(up_Irr!G15+up_Irr!AF15+up_Irr!BE15)),IF(AND(up_Irr!G15&lt;&gt;".",up_Irr!AF15&lt;&gt;".",up_Irr!BE15="."),up_dir!H15/((1/1000)*(up_Irr!G15+up_Irr!AF15)),IF(AND(up_Irr!G15&lt;&gt;".",up_Irr!AF15=".",up_Irr!BE15&lt;&gt;"."),up_dir!H15/((1/1000)*(up_Irr!G15+up_Irr!BE15)),IF(AND(up_Irr!G15=".",up_Irr!AF15&lt;&gt;".",up_Irr!BE15&lt;&gt;"."),up_dir!H15/((1/1000)*(up_Irr!AF15+up_Irr!BE15)),IF(AND(up_Irr!G15=".",up_Irr!AF15=".",up_Irr!BE15&lt;&gt;"."),up_dir!H15/((1/1000)*(up_Irr!BE15)),IF(AND(up_Irr!G15=".",up_Irr!AF15&lt;&gt;".",up_Irr!BE15="."),up_dir!H15/((1/1000)*(up_Irr!AF15)),IF(AND(up_Irr!G15&lt;&gt;".",up_Irr!AF15=".",up_Irr!BE15="."),up_dir!H15/((1/1000)*(up_Irr!G15)),IF(AND(up_Irr!G15=".",up_Irr!AF15=".",up_Irr!BE15="."),up_dir!H15*1000)))))))),".")</f>
        <v>6.5773651144152131E-4</v>
      </c>
      <c r="I15" s="70">
        <f>IFERROR(IF(AND(up_Irr!H15&lt;&gt;".",up_Irr!AG15&lt;&gt;".",up_Irr!BF15&lt;&gt;"."),up_dir!I15/((1/1000)*(up_Irr!H15+up_Irr!AG15+up_Irr!BF15)),IF(AND(up_Irr!H15&lt;&gt;".",up_Irr!AG15&lt;&gt;".",up_Irr!BF15="."),up_dir!I15/((1/1000)*(up_Irr!H15+up_Irr!AG15)),IF(AND(up_Irr!H15&lt;&gt;".",up_Irr!AG15=".",up_Irr!BF15&lt;&gt;"."),up_dir!I15/((1/1000)*(up_Irr!H15+up_Irr!BF15)),IF(AND(up_Irr!H15=".",up_Irr!AG15&lt;&gt;".",up_Irr!BF15&lt;&gt;"."),up_dir!I15/((1/1000)*(up_Irr!AG15+up_Irr!BF15)),IF(AND(up_Irr!H15=".",up_Irr!AG15=".",up_Irr!BF15&lt;&gt;"."),up_dir!I15/((1/1000)*(up_Irr!BF15)),IF(AND(up_Irr!H15=".",up_Irr!AG15&lt;&gt;".",up_Irr!BF15="."),up_dir!I15/((1/1000)*(up_Irr!AG15)),IF(AND(up_Irr!H15&lt;&gt;".",up_Irr!AG15=".",up_Irr!BF15="."),up_dir!I15/((1/1000)*(up_Irr!H15)),IF(AND(up_Irr!H15=".",up_Irr!AG15=".",up_Irr!BF15="."),up_dir!I15*1000)))))))),".")</f>
        <v>6.5773651144152131E-4</v>
      </c>
      <c r="J15" s="70">
        <f>IFERROR(IF(AND(up_Irr!I15&lt;&gt;".",up_Irr!AH15&lt;&gt;".",up_Irr!BG15&lt;&gt;"."),up_dir!J15/((1/1000)*(up_Irr!I15+up_Irr!AH15+up_Irr!BG15)),IF(AND(up_Irr!I15&lt;&gt;".",up_Irr!AH15&lt;&gt;".",up_Irr!BG15="."),up_dir!J15/((1/1000)*(up_Irr!I15+up_Irr!AH15)),IF(AND(up_Irr!I15&lt;&gt;".",up_Irr!AH15=".",up_Irr!BG15&lt;&gt;"."),up_dir!J15/((1/1000)*(up_Irr!I15+up_Irr!BG15)),IF(AND(up_Irr!I15=".",up_Irr!AH15&lt;&gt;".",up_Irr!BG15&lt;&gt;"."),up_dir!J15/((1/1000)*(up_Irr!AH15+up_Irr!BG15)),IF(AND(up_Irr!I15=".",up_Irr!AH15=".",up_Irr!BG15&lt;&gt;"."),up_dir!J15/((1/1000)*(up_Irr!BG15)),IF(AND(up_Irr!I15=".",up_Irr!AH15&lt;&gt;".",up_Irr!BG15="."),up_dir!J15/((1/1000)*(up_Irr!AH15)),IF(AND(up_Irr!I15&lt;&gt;".",up_Irr!AH15=".",up_Irr!BG15="."),up_dir!J15/((1/1000)*(up_Irr!I15)),IF(AND(up_Irr!I15=".",up_Irr!AH15=".",up_Irr!BG15="."),up_dir!J15*1000)))))))),".")</f>
        <v>6.5773651144152131E-4</v>
      </c>
      <c r="K15" s="70">
        <f>IFERROR(IF(AND(up_Irr!J15&lt;&gt;".",up_Irr!AI15&lt;&gt;".",up_Irr!BH15&lt;&gt;"."),up_dir!K15/((1/1000)*(up_Irr!J15+up_Irr!AI15+up_Irr!BH15)),IF(AND(up_Irr!J15&lt;&gt;".",up_Irr!AI15&lt;&gt;".",up_Irr!BH15="."),up_dir!K15/((1/1000)*(up_Irr!J15+up_Irr!AI15)),IF(AND(up_Irr!J15&lt;&gt;".",up_Irr!AI15=".",up_Irr!BH15&lt;&gt;"."),up_dir!K15/((1/1000)*(up_Irr!J15+up_Irr!BH15)),IF(AND(up_Irr!J15=".",up_Irr!AI15&lt;&gt;".",up_Irr!BH15&lt;&gt;"."),up_dir!K15/((1/1000)*(up_Irr!AI15+up_Irr!BH15)),IF(AND(up_Irr!J15=".",up_Irr!AI15=".",up_Irr!BH15&lt;&gt;"."),up_dir!K15/((1/1000)*(up_Irr!BH15)),IF(AND(up_Irr!J15=".",up_Irr!AI15&lt;&gt;".",up_Irr!BH15="."),up_dir!K15/((1/1000)*(up_Irr!AI15)),IF(AND(up_Irr!J15&lt;&gt;".",up_Irr!AI15=".",up_Irr!BH15="."),up_dir!K15/((1/1000)*(up_Irr!J15)),IF(AND(up_Irr!J15=".",up_Irr!AI15=".",up_Irr!BH15="."),up_dir!K15*1000)))))))),".")</f>
        <v>6.5773651144152131E-4</v>
      </c>
      <c r="L15" s="70">
        <f>IFERROR(IF(AND(up_Irr!K15&lt;&gt;".",up_Irr!AJ15&lt;&gt;".",up_Irr!BI15&lt;&gt;"."),up_dir!L15/((1/1000)*(up_Irr!K15+up_Irr!AJ15+up_Irr!BI15)),IF(AND(up_Irr!K15&lt;&gt;".",up_Irr!AJ15&lt;&gt;".",up_Irr!BI15="."),up_dir!L15/((1/1000)*(up_Irr!K15+up_Irr!AJ15)),IF(AND(up_Irr!K15&lt;&gt;".",up_Irr!AJ15=".",up_Irr!BI15&lt;&gt;"."),up_dir!L15/((1/1000)*(up_Irr!K15+up_Irr!BI15)),IF(AND(up_Irr!K15=".",up_Irr!AJ15&lt;&gt;".",up_Irr!BI15&lt;&gt;"."),up_dir!L15/((1/1000)*(up_Irr!AJ15+up_Irr!BI15)),IF(AND(up_Irr!K15=".",up_Irr!AJ15=".",up_Irr!BI15&lt;&gt;"."),up_dir!L15/((1/1000)*(up_Irr!BI15)),IF(AND(up_Irr!K15=".",up_Irr!AJ15&lt;&gt;".",up_Irr!BI15="."),up_dir!L15/((1/1000)*(up_Irr!AJ15)),IF(AND(up_Irr!K15&lt;&gt;".",up_Irr!AJ15=".",up_Irr!BI15="."),up_dir!L15/((1/1000)*(up_Irr!K15)),IF(AND(up_Irr!K15=".",up_Irr!AJ15=".",up_Irr!BI15="."),up_dir!L15*1000)))))))),".")</f>
        <v>6.5773651144152131E-4</v>
      </c>
      <c r="M15" s="70">
        <f>IFERROR(IF(AND(up_Irr!L15&lt;&gt;".",up_Irr!AK15&lt;&gt;".",up_Irr!BJ15&lt;&gt;"."),up_dir!M15/((1/1000)*(up_Irr!L15+up_Irr!AK15+up_Irr!BJ15)),IF(AND(up_Irr!L15&lt;&gt;".",up_Irr!AK15&lt;&gt;".",up_Irr!BJ15="."),up_dir!M15/((1/1000)*(up_Irr!L15+up_Irr!AK15)),IF(AND(up_Irr!L15&lt;&gt;".",up_Irr!AK15=".",up_Irr!BJ15&lt;&gt;"."),up_dir!M15/((1/1000)*(up_Irr!L15+up_Irr!BJ15)),IF(AND(up_Irr!L15=".",up_Irr!AK15&lt;&gt;".",up_Irr!BJ15&lt;&gt;"."),up_dir!M15/((1/1000)*(up_Irr!AK15+up_Irr!BJ15)),IF(AND(up_Irr!L15=".",up_Irr!AK15=".",up_Irr!BJ15&lt;&gt;"."),up_dir!M15/((1/1000)*(up_Irr!BJ15)),IF(AND(up_Irr!L15=".",up_Irr!AK15&lt;&gt;".",up_Irr!BJ15="."),up_dir!M15/((1/1000)*(up_Irr!AK15)),IF(AND(up_Irr!L15&lt;&gt;".",up_Irr!AK15=".",up_Irr!BJ15="."),up_dir!M15/((1/1000)*(up_Irr!L15)),IF(AND(up_Irr!L15=".",up_Irr!AK15=".",up_Irr!BJ15="."),up_dir!M15*1000)))))))),".")</f>
        <v>6.5773651144152131E-4</v>
      </c>
      <c r="N15" s="70">
        <f>IFERROR(IF(AND(up_Irr!M15&lt;&gt;".",up_Irr!AL15&lt;&gt;".",up_Irr!BK15&lt;&gt;"."),up_dir!N15/((1/1000)*(up_Irr!M15+up_Irr!AL15+up_Irr!BK15)),IF(AND(up_Irr!M15&lt;&gt;".",up_Irr!AL15&lt;&gt;".",up_Irr!BK15="."),up_dir!N15/((1/1000)*(up_Irr!M15+up_Irr!AL15)),IF(AND(up_Irr!M15&lt;&gt;".",up_Irr!AL15=".",up_Irr!BK15&lt;&gt;"."),up_dir!N15/((1/1000)*(up_Irr!M15+up_Irr!BK15)),IF(AND(up_Irr!M15=".",up_Irr!AL15&lt;&gt;".",up_Irr!BK15&lt;&gt;"."),up_dir!N15/((1/1000)*(up_Irr!AL15+up_Irr!BK15)),IF(AND(up_Irr!M15=".",up_Irr!AL15=".",up_Irr!BK15&lt;&gt;"."),up_dir!N15/((1/1000)*(up_Irr!BK15)),IF(AND(up_Irr!M15=".",up_Irr!AL15&lt;&gt;".",up_Irr!BK15="."),up_dir!N15/((1/1000)*(up_Irr!AL15)),IF(AND(up_Irr!M15&lt;&gt;".",up_Irr!AL15=".",up_Irr!BK15="."),up_dir!N15/((1/1000)*(up_Irr!M15)),IF(AND(up_Irr!M15=".",up_Irr!AL15=".",up_Irr!BK15="."),up_dir!N15*1000)))))))),".")</f>
        <v>6.5773651144152131E-4</v>
      </c>
      <c r="O15" s="70">
        <f>IFERROR(IF(AND(up_Irr!N15&lt;&gt;".",up_Irr!AM15&lt;&gt;".",up_Irr!BL15&lt;&gt;"."),up_dir!O15/((1/1000)*(up_Irr!N15+up_Irr!AM15+up_Irr!BL15)),IF(AND(up_Irr!N15&lt;&gt;".",up_Irr!AM15&lt;&gt;".",up_Irr!BL15="."),up_dir!O15/((1/1000)*(up_Irr!N15+up_Irr!AM15)),IF(AND(up_Irr!N15&lt;&gt;".",up_Irr!AM15=".",up_Irr!BL15&lt;&gt;"."),up_dir!O15/((1/1000)*(up_Irr!N15+up_Irr!BL15)),IF(AND(up_Irr!N15=".",up_Irr!AM15&lt;&gt;".",up_Irr!BL15&lt;&gt;"."),up_dir!O15/((1/1000)*(up_Irr!AM15+up_Irr!BL15)),IF(AND(up_Irr!N15=".",up_Irr!AM15=".",up_Irr!BL15&lt;&gt;"."),up_dir!O15/((1/1000)*(up_Irr!BL15)),IF(AND(up_Irr!N15=".",up_Irr!AM15&lt;&gt;".",up_Irr!BL15="."),up_dir!O15/((1/1000)*(up_Irr!AM15)),IF(AND(up_Irr!N15&lt;&gt;".",up_Irr!AM15=".",up_Irr!BL15="."),up_dir!O15/((1/1000)*(up_Irr!N15)),IF(AND(up_Irr!N15=".",up_Irr!AM15=".",up_Irr!BL15="."),up_dir!O15*1000)))))))),".")</f>
        <v>6.5773651144152131E-4</v>
      </c>
      <c r="P15" s="70">
        <f>IFERROR(IF(AND(up_Irr!O15&lt;&gt;".",up_Irr!AN15&lt;&gt;".",up_Irr!BM15&lt;&gt;"."),up_dir!P15/((1/1000)*(up_Irr!O15+up_Irr!AN15+up_Irr!BM15)),IF(AND(up_Irr!O15&lt;&gt;".",up_Irr!AN15&lt;&gt;".",up_Irr!BM15="."),up_dir!P15/((1/1000)*(up_Irr!O15+up_Irr!AN15)),IF(AND(up_Irr!O15&lt;&gt;".",up_Irr!AN15=".",up_Irr!BM15&lt;&gt;"."),up_dir!P15/((1/1000)*(up_Irr!O15+up_Irr!BM15)),IF(AND(up_Irr!O15=".",up_Irr!AN15&lt;&gt;".",up_Irr!BM15&lt;&gt;"."),up_dir!P15/((1/1000)*(up_Irr!AN15+up_Irr!BM15)),IF(AND(up_Irr!O15=".",up_Irr!AN15=".",up_Irr!BM15&lt;&gt;"."),up_dir!P15/((1/1000)*(up_Irr!BM15)),IF(AND(up_Irr!O15=".",up_Irr!AN15&lt;&gt;".",up_Irr!BM15="."),up_dir!P15/((1/1000)*(up_Irr!AN15)),IF(AND(up_Irr!O15&lt;&gt;".",up_Irr!AN15=".",up_Irr!BM15="."),up_dir!P15/((1/1000)*(up_Irr!O15)),IF(AND(up_Irr!O15=".",up_Irr!AN15=".",up_Irr!BM15="."),up_dir!P15*1000)))))))),".")</f>
        <v>6.5773651144152131E-4</v>
      </c>
      <c r="Q15" s="70">
        <f>IFERROR(IF(AND(up_Irr!P15&lt;&gt;".",up_Irr!AO15&lt;&gt;".",up_Irr!BN15&lt;&gt;"."),up_dir!Q15/((1/1000)*(up_Irr!P15+up_Irr!AO15+up_Irr!BN15)),IF(AND(up_Irr!P15&lt;&gt;".",up_Irr!AO15&lt;&gt;".",up_Irr!BN15="."),up_dir!Q15/((1/1000)*(up_Irr!P15+up_Irr!AO15)),IF(AND(up_Irr!P15&lt;&gt;".",up_Irr!AO15=".",up_Irr!BN15&lt;&gt;"."),up_dir!Q15/((1/1000)*(up_Irr!P15+up_Irr!BN15)),IF(AND(up_Irr!P15=".",up_Irr!AO15&lt;&gt;".",up_Irr!BN15&lt;&gt;"."),up_dir!Q15/((1/1000)*(up_Irr!AO15+up_Irr!BN15)),IF(AND(up_Irr!P15=".",up_Irr!AO15=".",up_Irr!BN15&lt;&gt;"."),up_dir!Q15/((1/1000)*(up_Irr!BN15)),IF(AND(up_Irr!P15=".",up_Irr!AO15&lt;&gt;".",up_Irr!BN15="."),up_dir!Q15/((1/1000)*(up_Irr!AO15)),IF(AND(up_Irr!P15&lt;&gt;".",up_Irr!AO15=".",up_Irr!BN15="."),up_dir!Q15/((1/1000)*(up_Irr!P15)),IF(AND(up_Irr!P15=".",up_Irr!AO15=".",up_Irr!BN15="."),up_dir!Q15*1000)))))))),".")</f>
        <v>6.5773651144152131E-4</v>
      </c>
      <c r="R15" s="70">
        <f>IFERROR(IF(AND(up_Irr!Q15&lt;&gt;".",up_Irr!AP15&lt;&gt;".",up_Irr!BO15&lt;&gt;"."),up_dir!R15/((1/1000)*(up_Irr!Q15+up_Irr!AP15+up_Irr!BO15)),IF(AND(up_Irr!Q15&lt;&gt;".",up_Irr!AP15&lt;&gt;".",up_Irr!BO15="."),up_dir!R15/((1/1000)*(up_Irr!Q15+up_Irr!AP15)),IF(AND(up_Irr!Q15&lt;&gt;".",up_Irr!AP15=".",up_Irr!BO15&lt;&gt;"."),up_dir!R15/((1/1000)*(up_Irr!Q15+up_Irr!BO15)),IF(AND(up_Irr!Q15=".",up_Irr!AP15&lt;&gt;".",up_Irr!BO15&lt;&gt;"."),up_dir!R15/((1/1000)*(up_Irr!AP15+up_Irr!BO15)),IF(AND(up_Irr!Q15=".",up_Irr!AP15=".",up_Irr!BO15&lt;&gt;"."),up_dir!R15/((1/1000)*(up_Irr!BO15)),IF(AND(up_Irr!Q15=".",up_Irr!AP15&lt;&gt;".",up_Irr!BO15="."),up_dir!R15/((1/1000)*(up_Irr!AP15)),IF(AND(up_Irr!Q15&lt;&gt;".",up_Irr!AP15=".",up_Irr!BO15="."),up_dir!R15/((1/1000)*(up_Irr!Q15)),IF(AND(up_Irr!Q15=".",up_Irr!AP15=".",up_Irr!BO15="."),up_dir!R15*1000)))))))),".")</f>
        <v>6.5773651144152131E-4</v>
      </c>
      <c r="S15" s="70">
        <f>IFERROR(IF(AND(up_Irr!R15&lt;&gt;".",up_Irr!AQ15&lt;&gt;".",up_Irr!BP15&lt;&gt;"."),up_dir!S15/((1/1000)*(up_Irr!R15+up_Irr!AQ15+up_Irr!BP15)),IF(AND(up_Irr!R15&lt;&gt;".",up_Irr!AQ15&lt;&gt;".",up_Irr!BP15="."),up_dir!S15/((1/1000)*(up_Irr!R15+up_Irr!AQ15)),IF(AND(up_Irr!R15&lt;&gt;".",up_Irr!AQ15=".",up_Irr!BP15&lt;&gt;"."),up_dir!S15/((1/1000)*(up_Irr!R15+up_Irr!BP15)),IF(AND(up_Irr!R15=".",up_Irr!AQ15&lt;&gt;".",up_Irr!BP15&lt;&gt;"."),up_dir!S15/((1/1000)*(up_Irr!AQ15+up_Irr!BP15)),IF(AND(up_Irr!R15=".",up_Irr!AQ15=".",up_Irr!BP15&lt;&gt;"."),up_dir!S15/((1/1000)*(up_Irr!BP15)),IF(AND(up_Irr!R15=".",up_Irr!AQ15&lt;&gt;".",up_Irr!BP15="."),up_dir!S15/((1/1000)*(up_Irr!AQ15)),IF(AND(up_Irr!R15&lt;&gt;".",up_Irr!AQ15=".",up_Irr!BP15="."),up_dir!S15/((1/1000)*(up_Irr!R15)),IF(AND(up_Irr!R15=".",up_Irr!AQ15=".",up_Irr!BP15="."),up_dir!S15*1000)))))))),".")</f>
        <v>6.5773651144152131E-4</v>
      </c>
      <c r="T15" s="70">
        <f>IFERROR(IF(AND(up_Irr!S15&lt;&gt;".",up_Irr!AR15&lt;&gt;".",up_Irr!BQ15&lt;&gt;"."),up_dir!T15/((1/1000)*(up_Irr!S15+up_Irr!AR15+up_Irr!BQ15)),IF(AND(up_Irr!S15&lt;&gt;".",up_Irr!AR15&lt;&gt;".",up_Irr!BQ15="."),up_dir!T15/((1/1000)*(up_Irr!S15+up_Irr!AR15)),IF(AND(up_Irr!S15&lt;&gt;".",up_Irr!AR15=".",up_Irr!BQ15&lt;&gt;"."),up_dir!T15/((1/1000)*(up_Irr!S15+up_Irr!BQ15)),IF(AND(up_Irr!S15=".",up_Irr!AR15&lt;&gt;".",up_Irr!BQ15&lt;&gt;"."),up_dir!T15/((1/1000)*(up_Irr!AR15+up_Irr!BQ15)),IF(AND(up_Irr!S15=".",up_Irr!AR15=".",up_Irr!BQ15&lt;&gt;"."),up_dir!T15/((1/1000)*(up_Irr!BQ15)),IF(AND(up_Irr!S15=".",up_Irr!AR15&lt;&gt;".",up_Irr!BQ15="."),up_dir!T15/((1/1000)*(up_Irr!AR15)),IF(AND(up_Irr!S15&lt;&gt;".",up_Irr!AR15=".",up_Irr!BQ15="."),up_dir!T15/((1/1000)*(up_Irr!S15)),IF(AND(up_Irr!S15=".",up_Irr!AR15=".",up_Irr!BQ15="."),up_dir!T15*1000)))))))),".")</f>
        <v>6.5773651144152131E-4</v>
      </c>
      <c r="U15" s="70">
        <f>IFERROR(IF(AND(up_Irr!T15&lt;&gt;".",up_Irr!AS15&lt;&gt;".",up_Irr!BR15&lt;&gt;"."),up_dir!U15/((1/1000)*(up_Irr!T15+up_Irr!AS15+up_Irr!BR15)),IF(AND(up_Irr!T15&lt;&gt;".",up_Irr!AS15&lt;&gt;".",up_Irr!BR15="."),up_dir!U15/((1/1000)*(up_Irr!T15+up_Irr!AS15)),IF(AND(up_Irr!T15&lt;&gt;".",up_Irr!AS15=".",up_Irr!BR15&lt;&gt;"."),up_dir!U15/((1/1000)*(up_Irr!T15+up_Irr!BR15)),IF(AND(up_Irr!T15=".",up_Irr!AS15&lt;&gt;".",up_Irr!BR15&lt;&gt;"."),up_dir!U15/((1/1000)*(up_Irr!AS15+up_Irr!BR15)),IF(AND(up_Irr!T15=".",up_Irr!AS15=".",up_Irr!BR15&lt;&gt;"."),up_dir!U15/((1/1000)*(up_Irr!BR15)),IF(AND(up_Irr!T15=".",up_Irr!AS15&lt;&gt;".",up_Irr!BR15="."),up_dir!U15/((1/1000)*(up_Irr!AS15)),IF(AND(up_Irr!T15&lt;&gt;".",up_Irr!AS15=".",up_Irr!BR15="."),up_dir!U15/((1/1000)*(up_Irr!T15)),IF(AND(up_Irr!T15=".",up_Irr!AS15=".",up_Irr!BR15="."),up_dir!U15*1000)))))))),".")</f>
        <v>6.5773651144152131E-4</v>
      </c>
      <c r="V15" s="70">
        <f>IFERROR(IF(AND(up_Irr!U15&lt;&gt;".",up_Irr!AT15&lt;&gt;".",up_Irr!BS15&lt;&gt;"."),up_dir!V15/((1/1000)*(up_Irr!U15+up_Irr!AT15+up_Irr!BS15)),IF(AND(up_Irr!U15&lt;&gt;".",up_Irr!AT15&lt;&gt;".",up_Irr!BS15="."),up_dir!V15/((1/1000)*(up_Irr!U15+up_Irr!AT15)),IF(AND(up_Irr!U15&lt;&gt;".",up_Irr!AT15=".",up_Irr!BS15&lt;&gt;"."),up_dir!V15/((1/1000)*(up_Irr!U15+up_Irr!BS15)),IF(AND(up_Irr!U15=".",up_Irr!AT15&lt;&gt;".",up_Irr!BS15&lt;&gt;"."),up_dir!V15/((1/1000)*(up_Irr!AT15+up_Irr!BS15)),IF(AND(up_Irr!U15=".",up_Irr!AT15=".",up_Irr!BS15&lt;&gt;"."),up_dir!V15/((1/1000)*(up_Irr!BS15)),IF(AND(up_Irr!U15=".",up_Irr!AT15&lt;&gt;".",up_Irr!BS15="."),up_dir!V15/((1/1000)*(up_Irr!AT15)),IF(AND(up_Irr!U15&lt;&gt;".",up_Irr!AT15=".",up_Irr!BS15="."),up_dir!V15/((1/1000)*(up_Irr!U15)),IF(AND(up_Irr!U15=".",up_Irr!AT15=".",up_Irr!BS15="."),up_dir!V15*1000)))))))),".")</f>
        <v>6.5773651144152131E-4</v>
      </c>
      <c r="W15" s="70">
        <f>IFERROR(IF(AND(up_Irr!V15&lt;&gt;".",up_Irr!AU15&lt;&gt;".",up_Irr!BT15&lt;&gt;"."),up_dir!W15/((1/1000)*(up_Irr!V15+up_Irr!AU15+up_Irr!BT15)),IF(AND(up_Irr!V15&lt;&gt;".",up_Irr!AU15&lt;&gt;".",up_Irr!BT15="."),up_dir!W15/((1/1000)*(up_Irr!V15+up_Irr!AU15)),IF(AND(up_Irr!V15&lt;&gt;".",up_Irr!AU15=".",up_Irr!BT15&lt;&gt;"."),up_dir!W15/((1/1000)*(up_Irr!V15+up_Irr!BT15)),IF(AND(up_Irr!V15=".",up_Irr!AU15&lt;&gt;".",up_Irr!BT15&lt;&gt;"."),up_dir!W15/((1/1000)*(up_Irr!AU15+up_Irr!BT15)),IF(AND(up_Irr!V15=".",up_Irr!AU15=".",up_Irr!BT15&lt;&gt;"."),up_dir!W15/((1/1000)*(up_Irr!BT15)),IF(AND(up_Irr!V15=".",up_Irr!AU15&lt;&gt;".",up_Irr!BT15="."),up_dir!W15/((1/1000)*(up_Irr!AU15)),IF(AND(up_Irr!V15&lt;&gt;".",up_Irr!AU15=".",up_Irr!BT15="."),up_dir!W15/((1/1000)*(up_Irr!V15)),IF(AND(up_Irr!V15=".",up_Irr!AU15=".",up_Irr!BT15="."),up_dir!W15*1000)))))))),".")</f>
        <v>6.5773651144152131E-4</v>
      </c>
      <c r="X15" s="70">
        <f>IFERROR(IF(AND(up_Irr!W15&lt;&gt;".",up_Irr!AV15&lt;&gt;".",up_Irr!BU15&lt;&gt;"."),up_dir!X15/((1/1000)*(up_Irr!W15+up_Irr!AV15+up_Irr!BU15)),IF(AND(up_Irr!W15&lt;&gt;".",up_Irr!AV15&lt;&gt;".",up_Irr!BU15="."),up_dir!X15/((1/1000)*(up_Irr!W15+up_Irr!AV15)),IF(AND(up_Irr!W15&lt;&gt;".",up_Irr!AV15=".",up_Irr!BU15&lt;&gt;"."),up_dir!X15/((1/1000)*(up_Irr!W15+up_Irr!BU15)),IF(AND(up_Irr!W15=".",up_Irr!AV15&lt;&gt;".",up_Irr!BU15&lt;&gt;"."),up_dir!X15/((1/1000)*(up_Irr!AV15+up_Irr!BU15)),IF(AND(up_Irr!W15=".",up_Irr!AV15=".",up_Irr!BU15&lt;&gt;"."),up_dir!X15/((1/1000)*(up_Irr!BU15)),IF(AND(up_Irr!W15=".",up_Irr!AV15&lt;&gt;".",up_Irr!BU15="."),up_dir!X15/((1/1000)*(up_Irr!AV15)),IF(AND(up_Irr!W15&lt;&gt;".",up_Irr!AV15=".",up_Irr!BU15="."),up_dir!X15/((1/1000)*(up_Irr!W15)),IF(AND(up_Irr!W15=".",up_Irr!AV15=".",up_Irr!BU15="."),up_dir!X15*1000)))))))),".")</f>
        <v>6.5773651144152131E-4</v>
      </c>
      <c r="Y15" s="70">
        <f>IFERROR(IF(AND(up_Irr!X15&lt;&gt;".",up_Irr!AW15&lt;&gt;".",up_Irr!BV15&lt;&gt;"."),up_dir!Y15/((1/1000)*(up_Irr!X15+up_Irr!AW15+up_Irr!BV15)),IF(AND(up_Irr!X15&lt;&gt;".",up_Irr!AW15&lt;&gt;".",up_Irr!BV15="."),up_dir!Y15/((1/1000)*(up_Irr!X15+up_Irr!AW15)),IF(AND(up_Irr!X15&lt;&gt;".",up_Irr!AW15=".",up_Irr!BV15&lt;&gt;"."),up_dir!Y15/((1/1000)*(up_Irr!X15+up_Irr!BV15)),IF(AND(up_Irr!X15=".",up_Irr!AW15&lt;&gt;".",up_Irr!BV15&lt;&gt;"."),up_dir!Y15/((1/1000)*(up_Irr!AW15+up_Irr!BV15)),IF(AND(up_Irr!X15=".",up_Irr!AW15=".",up_Irr!BV15&lt;&gt;"."),up_dir!Y15/((1/1000)*(up_Irr!BV15)),IF(AND(up_Irr!X15=".",up_Irr!AW15&lt;&gt;".",up_Irr!BV15="."),up_dir!Y15/((1/1000)*(up_Irr!AW15)),IF(AND(up_Irr!X15&lt;&gt;".",up_Irr!AW15=".",up_Irr!BV15="."),up_dir!Y15/((1/1000)*(up_Irr!X15)),IF(AND(up_Irr!X15=".",up_Irr!AW15=".",up_Irr!BV15="."),up_dir!Y15*1000)))))))),".")</f>
        <v>6.5773651144152131E-4</v>
      </c>
      <c r="Z15" s="70">
        <f>IFERROR(IF(AND(up_Irr!Y15&lt;&gt;".",up_Irr!AX15&lt;&gt;".",up_Irr!BW15&lt;&gt;"."),up_dir!Z15/((1/1000)*(up_Irr!Y15+up_Irr!AX15+up_Irr!BW15)),IF(AND(up_Irr!Y15&lt;&gt;".",up_Irr!AX15&lt;&gt;".",up_Irr!BW15="."),up_dir!Z15/((1/1000)*(up_Irr!Y15+up_Irr!AX15)),IF(AND(up_Irr!Y15&lt;&gt;".",up_Irr!AX15=".",up_Irr!BW15&lt;&gt;"."),up_dir!Z15/((1/1000)*(up_Irr!Y15+up_Irr!BW15)),IF(AND(up_Irr!Y15=".",up_Irr!AX15&lt;&gt;".",up_Irr!BW15&lt;&gt;"."),up_dir!Z15/((1/1000)*(up_Irr!AX15+up_Irr!BW15)),IF(AND(up_Irr!Y15=".",up_Irr!AX15=".",up_Irr!BW15&lt;&gt;"."),up_dir!Z15/((1/1000)*(up_Irr!BW15)),IF(AND(up_Irr!Y15=".",up_Irr!AX15&lt;&gt;".",up_Irr!BW15="."),up_dir!Z15/((1/1000)*(up_Irr!AX15)),IF(AND(up_Irr!Y15&lt;&gt;".",up_Irr!AX15=".",up_Irr!BW15="."),up_dir!Z15/((1/1000)*(up_Irr!Y15)),IF(AND(up_Irr!Y15=".",up_Irr!AX15=".",up_Irr!BW15="."),up_dir!Z15*1000)))))))),".")</f>
        <v>6.5773651144152131E-4</v>
      </c>
      <c r="AA15" s="70">
        <f>IFERROR(IF(AND(up_Irr!Z15&lt;&gt;".",up_Irr!AY15&lt;&gt;".",up_Irr!BX15&lt;&gt;"."),up_dir!AA15/((1/1000)*(up_Irr!Z15+up_Irr!AY15+up_Irr!BX15)),IF(AND(up_Irr!Z15&lt;&gt;".",up_Irr!AY15&lt;&gt;".",up_Irr!BX15="."),up_dir!AA15/((1/1000)*(up_Irr!Z15+up_Irr!AY15)),IF(AND(up_Irr!Z15&lt;&gt;".",up_Irr!AY15=".",up_Irr!BX15&lt;&gt;"."),up_dir!AA15/((1/1000)*(up_Irr!Z15+up_Irr!BX15)),IF(AND(up_Irr!Z15=".",up_Irr!AY15&lt;&gt;".",up_Irr!BX15&lt;&gt;"."),up_dir!AA15/((1/1000)*(up_Irr!AY15+up_Irr!BX15)),IF(AND(up_Irr!Z15=".",up_Irr!AY15=".",up_Irr!BX15&lt;&gt;"."),up_dir!AA15/((1/1000)*(up_Irr!BX15)),IF(AND(up_Irr!Z15=".",up_Irr!AY15&lt;&gt;".",up_Irr!BX15="."),up_dir!AA15/((1/1000)*(up_Irr!AY15)),IF(AND(up_Irr!Z15&lt;&gt;".",up_Irr!AY15=".",up_Irr!BX15="."),up_dir!AA15/((1/1000)*(up_Irr!Z15)),IF(AND(up_Irr!Z15=".",up_Irr!AY15=".",up_Irr!BX15="."),up_dir!AA15*1000)))))))),".")</f>
        <v>6.5773651144152131E-4</v>
      </c>
      <c r="AB15" s="70">
        <f>IFERROR(IF(AND(up_Irr!AA15&lt;&gt;".",up_Irr!AZ15&lt;&gt;".",up_Irr!BY15&lt;&gt;"."),up_dir!AB15/((1/1000)*(up_Irr!AA15+up_Irr!AZ15+up_Irr!BY15)),IF(AND(up_Irr!AA15&lt;&gt;".",up_Irr!AZ15&lt;&gt;".",up_Irr!BY15="."),up_dir!AB15/((1/1000)*(up_Irr!AA15+up_Irr!AZ15)),IF(AND(up_Irr!AA15&lt;&gt;".",up_Irr!AZ15=".",up_Irr!BY15&lt;&gt;"."),up_dir!AB15/((1/1000)*(up_Irr!AA15+up_Irr!BY15)),IF(AND(up_Irr!AA15=".",up_Irr!AZ15&lt;&gt;".",up_Irr!BY15&lt;&gt;"."),up_dir!AB15/((1/1000)*(up_Irr!AZ15+up_Irr!BY15)),IF(AND(up_Irr!AA15=".",up_Irr!AZ15=".",up_Irr!BY15&lt;&gt;"."),up_dir!AB15/((1/1000)*(up_Irr!BY15)),IF(AND(up_Irr!AA15=".",up_Irr!AZ15&lt;&gt;".",up_Irr!BY15="."),up_dir!AB15/((1/1000)*(up_Irr!AZ15)),IF(AND(up_Irr!AA15&lt;&gt;".",up_Irr!AZ15=".",up_Irr!BY15="."),up_dir!AB15/((1/1000)*(up_Irr!AA15)),IF(AND(up_Irr!AA15=".",up_Irr!AZ15=".",up_Irr!BY15="."),up_dir!AB15*1000)))))))),".")</f>
        <v>6.5773651144152131E-4</v>
      </c>
      <c r="AC15" s="87">
        <f t="shared" si="1"/>
        <v>30407.313038114935</v>
      </c>
      <c r="AD15" s="87">
        <f>IFERROR(s_C*s_IFAP_res_adj*s_CF_apple*0.001*(up_Irr!C15+up_Irr!AB15+up_Irr!BA15),".")</f>
        <v>7601.8282595287337</v>
      </c>
      <c r="AE15" s="87">
        <f>IFERROR(s_C*s_IFAS_res_adj*s_CF_asparagus*0.001*(up_Irr!D15+up_Irr!AC15+up_Irr!BB15),".")</f>
        <v>7601.8282595287337</v>
      </c>
      <c r="AF15" s="87">
        <f>IFERROR(s_C*s_IFBT_res_adj*s_CF_beet*0.001*(up_Irr!E15+up_Irr!AD15+up_Irr!BC15),".")</f>
        <v>7601.8282595287337</v>
      </c>
      <c r="AG15" s="87">
        <f>IFERROR(s_C*s_IFBE_res_adj*s_CF_berries*0.001*(up_Irr!F15+up_Irr!AE15+up_Irr!BD15),".")</f>
        <v>7601.8282595287337</v>
      </c>
      <c r="AH15" s="87">
        <f>IFERROR(s_C*s_IFBR_res_adj*s_CF_broccoli*0.001*(up_Irr!G15+up_Irr!AF15+up_Irr!BE15),".")</f>
        <v>7601.8282595287337</v>
      </c>
      <c r="AI15" s="87">
        <f>IFERROR(s_C*s_IFCB_res_adj*s_CF_cabbage*0.001*(up_Irr!H15+up_Irr!AG15+up_Irr!BF15),".")</f>
        <v>7601.8282595287337</v>
      </c>
      <c r="AJ15" s="87">
        <f>IFERROR(s_C*s_IFCR_res_adj*s_CF_carrot*0.001*(up_Irr!I15+up_Irr!AH15+up_Irr!BG15),".")</f>
        <v>7601.8282595287337</v>
      </c>
      <c r="AK15" s="87">
        <f>IFERROR(s_C*s_IFCI_res_adj*s_CF_citrus*0.001*(up_Irr!J15+up_Irr!AI15+up_Irr!BH15),".")</f>
        <v>7601.8282595287337</v>
      </c>
      <c r="AL15" s="87">
        <f>IFERROR(s_C*s_IFCO_res_adj*s_CF_corn*0.001*(up_Irr!K15+up_Irr!AJ15+up_Irr!BI15),".")</f>
        <v>7601.8282595287337</v>
      </c>
      <c r="AM15" s="87">
        <f>IFERROR(s_C*s_IFCU_res_adj*s_CF_cucumber*0.001*(up_Irr!L15+up_Irr!AK15+up_Irr!BJ15),".")</f>
        <v>7601.8282595287337</v>
      </c>
      <c r="AN15" s="87">
        <f>IFERROR(s_C*s_IFLE_res_adj*s_CF_lettuce*0.001*(up_Irr!M15+up_Irr!AL15+up_Irr!BK15),".")</f>
        <v>7601.8282595287337</v>
      </c>
      <c r="AO15" s="87">
        <f>IFERROR(s_C*s_IFLI_res_adj*s_CF_lima_bean*0.001*(up_Irr!N15+up_Irr!AM15+up_Irr!BL15),".")</f>
        <v>7601.8282595287337</v>
      </c>
      <c r="AP15" s="87">
        <f>IFERROR(s_C*s_IFOK_res_adj*s_CF_okra*0.001*(up_Irr!O15+up_Irr!AN15+up_Irr!BM15),".")</f>
        <v>7601.8282595287337</v>
      </c>
      <c r="AQ15" s="87">
        <f>IFERROR(s_C*s_IFON_res_adj*s_CF_onion*0.001*(up_Irr!P15+up_Irr!AO15+up_Irr!BN15),".")</f>
        <v>7601.8282595287337</v>
      </c>
      <c r="AR15" s="87">
        <f>IFERROR(s_C*s_IFPC_res_adj*s_CF_peach*0.001*(up_Irr!Q15+up_Irr!AP15+up_Irr!BO15),".")</f>
        <v>7601.8282595287337</v>
      </c>
      <c r="AS15" s="87">
        <f>IFERROR(s_C*s_IFPR_res_adj*s_CF_pear*0.001*(up_Irr!R15+up_Irr!AQ15+up_Irr!BP15),".")</f>
        <v>7601.8282595287337</v>
      </c>
      <c r="AT15" s="87">
        <f>IFERROR(s_C*s_IFPE_res_adj*s_CF_peas*0.001*(up_Irr!S15+up_Irr!AR15+up_Irr!BQ15),".")</f>
        <v>7601.8282595287337</v>
      </c>
      <c r="AU15" s="87">
        <f>IFERROR(s_C*s_IFPP_res_adj*s_CF_peppers*0.001*(up_Irr!T15+up_Irr!AS15+up_Irr!BR15),".")</f>
        <v>7601.8282595287337</v>
      </c>
      <c r="AV15" s="87">
        <f>IFERROR(s_C*s_IFPT_res_adj*s_CF_potato*0.001*(up_Irr!U15+up_Irr!AT15+up_Irr!BS15),".")</f>
        <v>7601.8282595287337</v>
      </c>
      <c r="AW15" s="87">
        <f>IFERROR(s_C*s_IFPU_res_adj*s_CF_pumpkin*0.001*(up_Irr!V15+up_Irr!AU15+up_Irr!BT15),".")</f>
        <v>7601.8282595287337</v>
      </c>
      <c r="AX15" s="87">
        <f>IFERROR(s_C*s_IFSN_res_adj*s_CF_snap_bean*0.001*(up_Irr!W15+up_Irr!AV15+up_Irr!BU15),".")</f>
        <v>7601.8282595287337</v>
      </c>
      <c r="AY15" s="87">
        <f>IFERROR(s_C*s_IFST_res_adj*s_CF_strawberry*0.001*(up_Irr!X15+up_Irr!AW15+up_Irr!BV15),".")</f>
        <v>7601.8282595287337</v>
      </c>
      <c r="AZ15" s="87">
        <f>IFERROR(s_C*s_IFTO_res_adj*s_CF_tomato*0.001*(up_Irr!Y15+up_Irr!AX15+up_Irr!BW15),".")</f>
        <v>7601.8282595287337</v>
      </c>
      <c r="BA15" s="87">
        <f>IFERROR(s_C*s_IFRI_res_adj*s_CF_rice*0.001*(up_Irr!Z15+up_Irr!AY15+up_Irr!BX15),".")</f>
        <v>7601.8282595287337</v>
      </c>
      <c r="BB15" s="87">
        <f>IFERROR(s_C*s_IFCG_res_adj*s_CF_cereal*0.001*(up_Irr!AA15+up_Irr!AZ15+up_Irr!BY15),".")</f>
        <v>7601.8282595287337</v>
      </c>
      <c r="BC15" s="70">
        <f t="shared" si="2"/>
        <v>1.6443412786038033E-4</v>
      </c>
      <c r="BD15" s="70">
        <f>IFERROR(IF(AND(up_Irr!C15&lt;&gt;".",up_Irr!AB15&lt;&gt;".",up_Irr!BA15&lt;&gt;"."),up_dir!AD15/((1/1000)*(up_Irr!C15+up_Irr!AB15+up_Irr!BA15)),IF(AND(up_Irr!C15&lt;&gt;".",up_Irr!AB15&lt;&gt;".",up_Irr!BA15="."),up_dir!AD15/((1/1000)*(up_Irr!C15+up_Irr!AB15)),IF(AND(up_Irr!C15&lt;&gt;".",up_Irr!AB15=".",up_Irr!BA15&lt;&gt;"."),up_dir!AD15/((1/1000)*(up_Irr!C15+up_Irr!BA15)),IF(AND(up_Irr!C15=".",up_Irr!AB15&lt;&gt;".",up_Irr!BA15&lt;&gt;"."),up_dir!AD15/((1/1000)*(up_Irr!AB15+up_Irr!BA15)),IF(AND(up_Irr!C15=".",up_Irr!AB15=".",up_Irr!BA15&lt;&gt;"."),up_dir!AD15/((1/1000)*(up_Irr!BA15)),IF(AND(up_Irr!C15=".",up_Irr!AB15&lt;&gt;".",up_Irr!BA15="."),up_dir!AD15/((1/1000)*(up_Irr!AB15)),IF(AND(up_Irr!C15&lt;&gt;".",up_Irr!AB15=".",up_Irr!BA15="."),up_dir!AD15/((1/1000)*(up_Irr!C15)),IF(AND(up_Irr!C15=".",up_Irr!AB15=".",up_Irr!BA15="."),up_dir!AD15*1000)))))))),".")</f>
        <v>6.5773651144152131E-4</v>
      </c>
      <c r="BE15" s="70">
        <f>IFERROR(IF(AND(up_Irr!D15&lt;&gt;".",up_Irr!AC15&lt;&gt;".",up_Irr!BB15&lt;&gt;"."),up_dir!AE15/((1/1000)*(up_Irr!D15+up_Irr!AC15+up_Irr!BB15)),IF(AND(up_Irr!D15&lt;&gt;".",up_Irr!AC15&lt;&gt;".",up_Irr!BB15="."),up_dir!AE15/((1/1000)*(up_Irr!D15+up_Irr!AC15)),IF(AND(up_Irr!D15&lt;&gt;".",up_Irr!AC15=".",up_Irr!BB15&lt;&gt;"."),up_dir!AE15/((1/1000)*(up_Irr!D15+up_Irr!BB15)),IF(AND(up_Irr!D15=".",up_Irr!AC15&lt;&gt;".",up_Irr!BB15&lt;&gt;"."),up_dir!AE15/((1/1000)*(up_Irr!AC15+up_Irr!BB15)),IF(AND(up_Irr!D15=".",up_Irr!AC15=".",up_Irr!BB15&lt;&gt;"."),up_dir!AE15/((1/1000)*(up_Irr!BB15)),IF(AND(up_Irr!D15=".",up_Irr!AC15&lt;&gt;".",up_Irr!BB15="."),up_dir!AE15/((1/1000)*(up_Irr!AC15)),IF(AND(up_Irr!D15&lt;&gt;".",up_Irr!AC15=".",up_Irr!BB15="."),up_dir!AE15/((1/1000)*(up_Irr!D15)),IF(AND(up_Irr!D15=".",up_Irr!AC15=".",up_Irr!BB15="."),up_dir!AE15*1000)))))))),".")</f>
        <v>6.5773651144152131E-4</v>
      </c>
      <c r="BF15" s="70">
        <f>IFERROR(IF(AND(up_Irr!E15&lt;&gt;".",up_Irr!AD15&lt;&gt;".",up_Irr!BC15&lt;&gt;"."),up_dir!AF15/((1/1000)*(up_Irr!E15+up_Irr!AD15+up_Irr!BC15)),IF(AND(up_Irr!E15&lt;&gt;".",up_Irr!AD15&lt;&gt;".",up_Irr!BC15="."),up_dir!AF15/((1/1000)*(up_Irr!E15+up_Irr!AD15)),IF(AND(up_Irr!E15&lt;&gt;".",up_Irr!AD15=".",up_Irr!BC15&lt;&gt;"."),up_dir!AF15/((1/1000)*(up_Irr!E15+up_Irr!BC15)),IF(AND(up_Irr!E15=".",up_Irr!AD15&lt;&gt;".",up_Irr!BC15&lt;&gt;"."),up_dir!AF15/((1/1000)*(up_Irr!AD15+up_Irr!BC15)),IF(AND(up_Irr!E15=".",up_Irr!AD15=".",up_Irr!BC15&lt;&gt;"."),up_dir!AF15/((1/1000)*(up_Irr!BC15)),IF(AND(up_Irr!E15=".",up_Irr!AD15&lt;&gt;".",up_Irr!BC15="."),up_dir!AF15/((1/1000)*(up_Irr!AD15)),IF(AND(up_Irr!E15&lt;&gt;".",up_Irr!AD15=".",up_Irr!BC15="."),up_dir!AF15/((1/1000)*(up_Irr!E15)),IF(AND(up_Irr!E15=".",up_Irr!AD15=".",up_Irr!BC15="."),up_dir!AF15*1000)))))))),".")</f>
        <v>6.5773651144152131E-4</v>
      </c>
      <c r="BG15" s="70">
        <f>IFERROR(IF(AND(up_Irr!F15&lt;&gt;".",up_Irr!AE15&lt;&gt;".",up_Irr!BD15&lt;&gt;"."),up_dir!AG15/((1/1000)*(up_Irr!F15+up_Irr!AE15+up_Irr!BD15)),IF(AND(up_Irr!F15&lt;&gt;".",up_Irr!AE15&lt;&gt;".",up_Irr!BD15="."),up_dir!AG15/((1/1000)*(up_Irr!F15+up_Irr!AE15)),IF(AND(up_Irr!F15&lt;&gt;".",up_Irr!AE15=".",up_Irr!BD15&lt;&gt;"."),up_dir!AG15/((1/1000)*(up_Irr!F15+up_Irr!BD15)),IF(AND(up_Irr!F15=".",up_Irr!AE15&lt;&gt;".",up_Irr!BD15&lt;&gt;"."),up_dir!AG15/((1/1000)*(up_Irr!AE15+up_Irr!BD15)),IF(AND(up_Irr!F15=".",up_Irr!AE15=".",up_Irr!BD15&lt;&gt;"."),up_dir!AG15/((1/1000)*(up_Irr!BD15)),IF(AND(up_Irr!F15=".",up_Irr!AE15&lt;&gt;".",up_Irr!BD15="."),up_dir!AG15/((1/1000)*(up_Irr!AE15)),IF(AND(up_Irr!F15&lt;&gt;".",up_Irr!AE15=".",up_Irr!BD15="."),up_dir!AG15/((1/1000)*(up_Irr!F15)),IF(AND(up_Irr!F15=".",up_Irr!AE15=".",up_Irr!BD15="."),up_dir!AG15*1000)))))))),".")</f>
        <v>6.5773651144152131E-4</v>
      </c>
      <c r="BH15" s="70">
        <f>IFERROR(IF(AND(up_Irr!G15&lt;&gt;".",up_Irr!AF15&lt;&gt;".",up_Irr!BE15&lt;&gt;"."),up_dir!AH15/((1/1000)*(up_Irr!G15+up_Irr!AF15+up_Irr!BE15)),IF(AND(up_Irr!G15&lt;&gt;".",up_Irr!AF15&lt;&gt;".",up_Irr!BE15="."),up_dir!AH15/((1/1000)*(up_Irr!G15+up_Irr!AF15)),IF(AND(up_Irr!G15&lt;&gt;".",up_Irr!AF15=".",up_Irr!BE15&lt;&gt;"."),up_dir!AH15/((1/1000)*(up_Irr!G15+up_Irr!BE15)),IF(AND(up_Irr!G15=".",up_Irr!AF15&lt;&gt;".",up_Irr!BE15&lt;&gt;"."),up_dir!AH15/((1/1000)*(up_Irr!AF15+up_Irr!BE15)),IF(AND(up_Irr!G15=".",up_Irr!AF15=".",up_Irr!BE15&lt;&gt;"."),up_dir!AH15/((1/1000)*(up_Irr!BE15)),IF(AND(up_Irr!G15=".",up_Irr!AF15&lt;&gt;".",up_Irr!BE15="."),up_dir!AH15/((1/1000)*(up_Irr!AF15)),IF(AND(up_Irr!G15&lt;&gt;".",up_Irr!AF15=".",up_Irr!BE15="."),up_dir!AH15/((1/1000)*(up_Irr!G15)),IF(AND(up_Irr!G15=".",up_Irr!AF15=".",up_Irr!BE15="."),up_dir!AH15*1000)))))))),".")</f>
        <v>6.5773651144152131E-4</v>
      </c>
      <c r="BI15" s="70">
        <f>IFERROR(IF(AND(up_Irr!H15&lt;&gt;".",up_Irr!AG15&lt;&gt;".",up_Irr!BF15&lt;&gt;"."),up_dir!AI15/((1/1000)*(up_Irr!H15+up_Irr!AG15+up_Irr!BF15)),IF(AND(up_Irr!H15&lt;&gt;".",up_Irr!AG15&lt;&gt;".",up_Irr!BF15="."),up_dir!AI15/((1/1000)*(up_Irr!H15+up_Irr!AG15)),IF(AND(up_Irr!H15&lt;&gt;".",up_Irr!AG15=".",up_Irr!BF15&lt;&gt;"."),up_dir!AI15/((1/1000)*(up_Irr!H15+up_Irr!BF15)),IF(AND(up_Irr!H15=".",up_Irr!AG15&lt;&gt;".",up_Irr!BF15&lt;&gt;"."),up_dir!AI15/((1/1000)*(up_Irr!AG15+up_Irr!BF15)),IF(AND(up_Irr!H15=".",up_Irr!AG15=".",up_Irr!BF15&lt;&gt;"."),up_dir!AI15/((1/1000)*(up_Irr!BF15)),IF(AND(up_Irr!H15=".",up_Irr!AG15&lt;&gt;".",up_Irr!BF15="."),up_dir!AI15/((1/1000)*(up_Irr!AG15)),IF(AND(up_Irr!H15&lt;&gt;".",up_Irr!AG15=".",up_Irr!BF15="."),up_dir!AI15/((1/1000)*(up_Irr!H15)),IF(AND(up_Irr!H15=".",up_Irr!AG15=".",up_Irr!BF15="."),up_dir!AI15*1000)))))))),".")</f>
        <v>6.5773651144152131E-4</v>
      </c>
      <c r="BJ15" s="70">
        <f>IFERROR(IF(AND(up_Irr!I15&lt;&gt;".",up_Irr!AH15&lt;&gt;".",up_Irr!BG15&lt;&gt;"."),up_dir!AJ15/((1/1000)*(up_Irr!I15+up_Irr!AH15+up_Irr!BG15)),IF(AND(up_Irr!I15&lt;&gt;".",up_Irr!AH15&lt;&gt;".",up_Irr!BG15="."),up_dir!AJ15/((1/1000)*(up_Irr!I15+up_Irr!AH15)),IF(AND(up_Irr!I15&lt;&gt;".",up_Irr!AH15=".",up_Irr!BG15&lt;&gt;"."),up_dir!AJ15/((1/1000)*(up_Irr!I15+up_Irr!BG15)),IF(AND(up_Irr!I15=".",up_Irr!AH15&lt;&gt;".",up_Irr!BG15&lt;&gt;"."),up_dir!AJ15/((1/1000)*(up_Irr!AH15+up_Irr!BG15)),IF(AND(up_Irr!I15=".",up_Irr!AH15=".",up_Irr!BG15&lt;&gt;"."),up_dir!AJ15/((1/1000)*(up_Irr!BG15)),IF(AND(up_Irr!I15=".",up_Irr!AH15&lt;&gt;".",up_Irr!BG15="."),up_dir!AJ15/((1/1000)*(up_Irr!AH15)),IF(AND(up_Irr!I15&lt;&gt;".",up_Irr!AH15=".",up_Irr!BG15="."),up_dir!AJ15/((1/1000)*(up_Irr!I15)),IF(AND(up_Irr!I15=".",up_Irr!AH15=".",up_Irr!BG15="."),up_dir!AJ15*1000)))))))),".")</f>
        <v>6.5773651144152131E-4</v>
      </c>
      <c r="BK15" s="70">
        <f>IFERROR(IF(AND(up_Irr!J15&lt;&gt;".",up_Irr!AI15&lt;&gt;".",up_Irr!BH15&lt;&gt;"."),up_dir!AK15/((1/1000)*(up_Irr!J15+up_Irr!AI15+up_Irr!BH15)),IF(AND(up_Irr!J15&lt;&gt;".",up_Irr!AI15&lt;&gt;".",up_Irr!BH15="."),up_dir!AK15/((1/1000)*(up_Irr!J15+up_Irr!AI15)),IF(AND(up_Irr!J15&lt;&gt;".",up_Irr!AI15=".",up_Irr!BH15&lt;&gt;"."),up_dir!AK15/((1/1000)*(up_Irr!J15+up_Irr!BH15)),IF(AND(up_Irr!J15=".",up_Irr!AI15&lt;&gt;".",up_Irr!BH15&lt;&gt;"."),up_dir!AK15/((1/1000)*(up_Irr!AI15+up_Irr!BH15)),IF(AND(up_Irr!J15=".",up_Irr!AI15=".",up_Irr!BH15&lt;&gt;"."),up_dir!AK15/((1/1000)*(up_Irr!BH15)),IF(AND(up_Irr!J15=".",up_Irr!AI15&lt;&gt;".",up_Irr!BH15="."),up_dir!AK15/((1/1000)*(up_Irr!AI15)),IF(AND(up_Irr!J15&lt;&gt;".",up_Irr!AI15=".",up_Irr!BH15="."),up_dir!AK15/((1/1000)*(up_Irr!J15)),IF(AND(up_Irr!J15=".",up_Irr!AI15=".",up_Irr!BH15="."),up_dir!AK15*1000)))))))),".")</f>
        <v>6.5773651144152131E-4</v>
      </c>
      <c r="BL15" s="70">
        <f>IFERROR(IF(AND(up_Irr!K15&lt;&gt;".",up_Irr!AJ15&lt;&gt;".",up_Irr!BI15&lt;&gt;"."),up_dir!AL15/((1/1000)*(up_Irr!K15+up_Irr!AJ15+up_Irr!BI15)),IF(AND(up_Irr!K15&lt;&gt;".",up_Irr!AJ15&lt;&gt;".",up_Irr!BI15="."),up_dir!AL15/((1/1000)*(up_Irr!K15+up_Irr!AJ15)),IF(AND(up_Irr!K15&lt;&gt;".",up_Irr!AJ15=".",up_Irr!BI15&lt;&gt;"."),up_dir!AL15/((1/1000)*(up_Irr!K15+up_Irr!BI15)),IF(AND(up_Irr!K15=".",up_Irr!AJ15&lt;&gt;".",up_Irr!BI15&lt;&gt;"."),up_dir!AL15/((1/1000)*(up_Irr!AJ15+up_Irr!BI15)),IF(AND(up_Irr!K15=".",up_Irr!AJ15=".",up_Irr!BI15&lt;&gt;"."),up_dir!AL15/((1/1000)*(up_Irr!BI15)),IF(AND(up_Irr!K15=".",up_Irr!AJ15&lt;&gt;".",up_Irr!BI15="."),up_dir!AL15/((1/1000)*(up_Irr!AJ15)),IF(AND(up_Irr!K15&lt;&gt;".",up_Irr!AJ15=".",up_Irr!BI15="."),up_dir!AL15/((1/1000)*(up_Irr!K15)),IF(AND(up_Irr!K15=".",up_Irr!AJ15=".",up_Irr!BI15="."),up_dir!AL15*1000)))))))),".")</f>
        <v>6.5773651144152131E-4</v>
      </c>
      <c r="BM15" s="70">
        <f>IFERROR(IF(AND(up_Irr!L15&lt;&gt;".",up_Irr!AK15&lt;&gt;".",up_Irr!BJ15&lt;&gt;"."),up_dir!AM15/((1/1000)*(up_Irr!L15+up_Irr!AK15+up_Irr!BJ15)),IF(AND(up_Irr!L15&lt;&gt;".",up_Irr!AK15&lt;&gt;".",up_Irr!BJ15="."),up_dir!AM15/((1/1000)*(up_Irr!L15+up_Irr!AK15)),IF(AND(up_Irr!L15&lt;&gt;".",up_Irr!AK15=".",up_Irr!BJ15&lt;&gt;"."),up_dir!AM15/((1/1000)*(up_Irr!L15+up_Irr!BJ15)),IF(AND(up_Irr!L15=".",up_Irr!AK15&lt;&gt;".",up_Irr!BJ15&lt;&gt;"."),up_dir!AM15/((1/1000)*(up_Irr!AK15+up_Irr!BJ15)),IF(AND(up_Irr!L15=".",up_Irr!AK15=".",up_Irr!BJ15&lt;&gt;"."),up_dir!AM15/((1/1000)*(up_Irr!BJ15)),IF(AND(up_Irr!L15=".",up_Irr!AK15&lt;&gt;".",up_Irr!BJ15="."),up_dir!AM15/((1/1000)*(up_Irr!AK15)),IF(AND(up_Irr!L15&lt;&gt;".",up_Irr!AK15=".",up_Irr!BJ15="."),up_dir!AM15/((1/1000)*(up_Irr!L15)),IF(AND(up_Irr!L15=".",up_Irr!AK15=".",up_Irr!BJ15="."),up_dir!AM15*1000)))))))),".")</f>
        <v>6.5773651144152131E-4</v>
      </c>
      <c r="BN15" s="70">
        <f>IFERROR(IF(AND(up_Irr!M15&lt;&gt;".",up_Irr!AL15&lt;&gt;".",up_Irr!BK15&lt;&gt;"."),up_dir!AN15/((1/1000)*(up_Irr!M15+up_Irr!AL15+up_Irr!BK15)),IF(AND(up_Irr!M15&lt;&gt;".",up_Irr!AL15&lt;&gt;".",up_Irr!BK15="."),up_dir!AN15/((1/1000)*(up_Irr!M15+up_Irr!AL15)),IF(AND(up_Irr!M15&lt;&gt;".",up_Irr!AL15=".",up_Irr!BK15&lt;&gt;"."),up_dir!AN15/((1/1000)*(up_Irr!M15+up_Irr!BK15)),IF(AND(up_Irr!M15=".",up_Irr!AL15&lt;&gt;".",up_Irr!BK15&lt;&gt;"."),up_dir!AN15/((1/1000)*(up_Irr!AL15+up_Irr!BK15)),IF(AND(up_Irr!M15=".",up_Irr!AL15=".",up_Irr!BK15&lt;&gt;"."),up_dir!AN15/((1/1000)*(up_Irr!BK15)),IF(AND(up_Irr!M15=".",up_Irr!AL15&lt;&gt;".",up_Irr!BK15="."),up_dir!AN15/((1/1000)*(up_Irr!AL15)),IF(AND(up_Irr!M15&lt;&gt;".",up_Irr!AL15=".",up_Irr!BK15="."),up_dir!AN15/((1/1000)*(up_Irr!M15)),IF(AND(up_Irr!M15=".",up_Irr!AL15=".",up_Irr!BK15="."),up_dir!AN15*1000)))))))),".")</f>
        <v>6.5773651144152131E-4</v>
      </c>
      <c r="BO15" s="70">
        <f>IFERROR(IF(AND(up_Irr!N15&lt;&gt;".",up_Irr!AM15&lt;&gt;".",up_Irr!BL15&lt;&gt;"."),up_dir!AO15/((1/1000)*(up_Irr!N15+up_Irr!AM15+up_Irr!BL15)),IF(AND(up_Irr!N15&lt;&gt;".",up_Irr!AM15&lt;&gt;".",up_Irr!BL15="."),up_dir!AO15/((1/1000)*(up_Irr!N15+up_Irr!AM15)),IF(AND(up_Irr!N15&lt;&gt;".",up_Irr!AM15=".",up_Irr!BL15&lt;&gt;"."),up_dir!AO15/((1/1000)*(up_Irr!N15+up_Irr!BL15)),IF(AND(up_Irr!N15=".",up_Irr!AM15&lt;&gt;".",up_Irr!BL15&lt;&gt;"."),up_dir!AO15/((1/1000)*(up_Irr!AM15+up_Irr!BL15)),IF(AND(up_Irr!N15=".",up_Irr!AM15=".",up_Irr!BL15&lt;&gt;"."),up_dir!AO15/((1/1000)*(up_Irr!BL15)),IF(AND(up_Irr!N15=".",up_Irr!AM15&lt;&gt;".",up_Irr!BL15="."),up_dir!AO15/((1/1000)*(up_Irr!AM15)),IF(AND(up_Irr!N15&lt;&gt;".",up_Irr!AM15=".",up_Irr!BL15="."),up_dir!AO15/((1/1000)*(up_Irr!N15)),IF(AND(up_Irr!N15=".",up_Irr!AM15=".",up_Irr!BL15="."),up_dir!AO15*1000)))))))),".")</f>
        <v>6.5773651144152131E-4</v>
      </c>
      <c r="BP15" s="70">
        <f>IFERROR(IF(AND(up_Irr!O15&lt;&gt;".",up_Irr!AN15&lt;&gt;".",up_Irr!BM15&lt;&gt;"."),up_dir!AP15/((1/1000)*(up_Irr!O15+up_Irr!AN15+up_Irr!BM15)),IF(AND(up_Irr!O15&lt;&gt;".",up_Irr!AN15&lt;&gt;".",up_Irr!BM15="."),up_dir!AP15/((1/1000)*(up_Irr!O15+up_Irr!AN15)),IF(AND(up_Irr!O15&lt;&gt;".",up_Irr!AN15=".",up_Irr!BM15&lt;&gt;"."),up_dir!AP15/((1/1000)*(up_Irr!O15+up_Irr!BM15)),IF(AND(up_Irr!O15=".",up_Irr!AN15&lt;&gt;".",up_Irr!BM15&lt;&gt;"."),up_dir!AP15/((1/1000)*(up_Irr!AN15+up_Irr!BM15)),IF(AND(up_Irr!O15=".",up_Irr!AN15=".",up_Irr!BM15&lt;&gt;"."),up_dir!AP15/((1/1000)*(up_Irr!BM15)),IF(AND(up_Irr!O15=".",up_Irr!AN15&lt;&gt;".",up_Irr!BM15="."),up_dir!AP15/((1/1000)*(up_Irr!AN15)),IF(AND(up_Irr!O15&lt;&gt;".",up_Irr!AN15=".",up_Irr!BM15="."),up_dir!AP15/((1/1000)*(up_Irr!O15)),IF(AND(up_Irr!O15=".",up_Irr!AN15=".",up_Irr!BM15="."),up_dir!AP15*1000)))))))),".")</f>
        <v>6.5773651144152131E-4</v>
      </c>
      <c r="BQ15" s="70">
        <f>IFERROR(IF(AND(up_Irr!P15&lt;&gt;".",up_Irr!AO15&lt;&gt;".",up_Irr!BN15&lt;&gt;"."),up_dir!AQ15/((1/1000)*(up_Irr!P15+up_Irr!AO15+up_Irr!BN15)),IF(AND(up_Irr!P15&lt;&gt;".",up_Irr!AO15&lt;&gt;".",up_Irr!BN15="."),up_dir!AQ15/((1/1000)*(up_Irr!P15+up_Irr!AO15)),IF(AND(up_Irr!P15&lt;&gt;".",up_Irr!AO15=".",up_Irr!BN15&lt;&gt;"."),up_dir!AQ15/((1/1000)*(up_Irr!P15+up_Irr!BN15)),IF(AND(up_Irr!P15=".",up_Irr!AO15&lt;&gt;".",up_Irr!BN15&lt;&gt;"."),up_dir!AQ15/((1/1000)*(up_Irr!AO15+up_Irr!BN15)),IF(AND(up_Irr!P15=".",up_Irr!AO15=".",up_Irr!BN15&lt;&gt;"."),up_dir!AQ15/((1/1000)*(up_Irr!BN15)),IF(AND(up_Irr!P15=".",up_Irr!AO15&lt;&gt;".",up_Irr!BN15="."),up_dir!AQ15/((1/1000)*(up_Irr!AO15)),IF(AND(up_Irr!P15&lt;&gt;".",up_Irr!AO15=".",up_Irr!BN15="."),up_dir!AQ15/((1/1000)*(up_Irr!P15)),IF(AND(up_Irr!P15=".",up_Irr!AO15=".",up_Irr!BN15="."),up_dir!AQ15*1000)))))))),".")</f>
        <v>6.5773651144152131E-4</v>
      </c>
      <c r="BR15" s="70">
        <f>IFERROR(IF(AND(up_Irr!Q15&lt;&gt;".",up_Irr!AP15&lt;&gt;".",up_Irr!BO15&lt;&gt;"."),up_dir!AR15/((1/1000)*(up_Irr!Q15+up_Irr!AP15+up_Irr!BO15)),IF(AND(up_Irr!Q15&lt;&gt;".",up_Irr!AP15&lt;&gt;".",up_Irr!BO15="."),up_dir!AR15/((1/1000)*(up_Irr!Q15+up_Irr!AP15)),IF(AND(up_Irr!Q15&lt;&gt;".",up_Irr!AP15=".",up_Irr!BO15&lt;&gt;"."),up_dir!AR15/((1/1000)*(up_Irr!Q15+up_Irr!BO15)),IF(AND(up_Irr!Q15=".",up_Irr!AP15&lt;&gt;".",up_Irr!BO15&lt;&gt;"."),up_dir!AR15/((1/1000)*(up_Irr!AP15+up_Irr!BO15)),IF(AND(up_Irr!Q15=".",up_Irr!AP15=".",up_Irr!BO15&lt;&gt;"."),up_dir!AR15/((1/1000)*(up_Irr!BO15)),IF(AND(up_Irr!Q15=".",up_Irr!AP15&lt;&gt;".",up_Irr!BO15="."),up_dir!AR15/((1/1000)*(up_Irr!AP15)),IF(AND(up_Irr!Q15&lt;&gt;".",up_Irr!AP15=".",up_Irr!BO15="."),up_dir!AR15/((1/1000)*(up_Irr!Q15)),IF(AND(up_Irr!Q15=".",up_Irr!AP15=".",up_Irr!BO15="."),up_dir!AR15*1000)))))))),".")</f>
        <v>6.5773651144152131E-4</v>
      </c>
      <c r="BS15" s="70">
        <f>IFERROR(IF(AND(up_Irr!R15&lt;&gt;".",up_Irr!AQ15&lt;&gt;".",up_Irr!BP15&lt;&gt;"."),up_dir!AS15/((1/1000)*(up_Irr!R15+up_Irr!AQ15+up_Irr!BP15)),IF(AND(up_Irr!R15&lt;&gt;".",up_Irr!AQ15&lt;&gt;".",up_Irr!BP15="."),up_dir!AS15/((1/1000)*(up_Irr!R15+up_Irr!AQ15)),IF(AND(up_Irr!R15&lt;&gt;".",up_Irr!AQ15=".",up_Irr!BP15&lt;&gt;"."),up_dir!AS15/((1/1000)*(up_Irr!R15+up_Irr!BP15)),IF(AND(up_Irr!R15=".",up_Irr!AQ15&lt;&gt;".",up_Irr!BP15&lt;&gt;"."),up_dir!AS15/((1/1000)*(up_Irr!AQ15+up_Irr!BP15)),IF(AND(up_Irr!R15=".",up_Irr!AQ15=".",up_Irr!BP15&lt;&gt;"."),up_dir!AS15/((1/1000)*(up_Irr!BP15)),IF(AND(up_Irr!R15=".",up_Irr!AQ15&lt;&gt;".",up_Irr!BP15="."),up_dir!AS15/((1/1000)*(up_Irr!AQ15)),IF(AND(up_Irr!R15&lt;&gt;".",up_Irr!AQ15=".",up_Irr!BP15="."),up_dir!AS15/((1/1000)*(up_Irr!R15)),IF(AND(up_Irr!R15=".",up_Irr!AQ15=".",up_Irr!BP15="."),up_dir!AS15*1000)))))))),".")</f>
        <v>6.5773651144152131E-4</v>
      </c>
      <c r="BT15" s="70">
        <f>IFERROR(IF(AND(up_Irr!S15&lt;&gt;".",up_Irr!AR15&lt;&gt;".",up_Irr!BQ15&lt;&gt;"."),up_dir!AT15/((1/1000)*(up_Irr!S15+up_Irr!AR15+up_Irr!BQ15)),IF(AND(up_Irr!S15&lt;&gt;".",up_Irr!AR15&lt;&gt;".",up_Irr!BQ15="."),up_dir!AT15/((1/1000)*(up_Irr!S15+up_Irr!AR15)),IF(AND(up_Irr!S15&lt;&gt;".",up_Irr!AR15=".",up_Irr!BQ15&lt;&gt;"."),up_dir!AT15/((1/1000)*(up_Irr!S15+up_Irr!BQ15)),IF(AND(up_Irr!S15=".",up_Irr!AR15&lt;&gt;".",up_Irr!BQ15&lt;&gt;"."),up_dir!AT15/((1/1000)*(up_Irr!AR15+up_Irr!BQ15)),IF(AND(up_Irr!S15=".",up_Irr!AR15=".",up_Irr!BQ15&lt;&gt;"."),up_dir!AT15/((1/1000)*(up_Irr!BQ15)),IF(AND(up_Irr!S15=".",up_Irr!AR15&lt;&gt;".",up_Irr!BQ15="."),up_dir!AT15/((1/1000)*(up_Irr!AR15)),IF(AND(up_Irr!S15&lt;&gt;".",up_Irr!AR15=".",up_Irr!BQ15="."),up_dir!AT15/((1/1000)*(up_Irr!S15)),IF(AND(up_Irr!S15=".",up_Irr!AR15=".",up_Irr!BQ15="."),up_dir!AT15*1000)))))))),".")</f>
        <v>6.5773651144152131E-4</v>
      </c>
      <c r="BU15" s="70">
        <f>IFERROR(IF(AND(up_Irr!T15&lt;&gt;".",up_Irr!AS15&lt;&gt;".",up_Irr!BR15&lt;&gt;"."),up_dir!AU15/((1/1000)*(up_Irr!T15+up_Irr!AS15+up_Irr!BR15)),IF(AND(up_Irr!T15&lt;&gt;".",up_Irr!AS15&lt;&gt;".",up_Irr!BR15="."),up_dir!AU15/((1/1000)*(up_Irr!T15+up_Irr!AS15)),IF(AND(up_Irr!T15&lt;&gt;".",up_Irr!AS15=".",up_Irr!BR15&lt;&gt;"."),up_dir!AU15/((1/1000)*(up_Irr!T15+up_Irr!BR15)),IF(AND(up_Irr!T15=".",up_Irr!AS15&lt;&gt;".",up_Irr!BR15&lt;&gt;"."),up_dir!AU15/((1/1000)*(up_Irr!AS15+up_Irr!BR15)),IF(AND(up_Irr!T15=".",up_Irr!AS15=".",up_Irr!BR15&lt;&gt;"."),up_dir!AU15/((1/1000)*(up_Irr!BR15)),IF(AND(up_Irr!T15=".",up_Irr!AS15&lt;&gt;".",up_Irr!BR15="."),up_dir!AU15/((1/1000)*(up_Irr!AS15)),IF(AND(up_Irr!T15&lt;&gt;".",up_Irr!AS15=".",up_Irr!BR15="."),up_dir!AU15/((1/1000)*(up_Irr!T15)),IF(AND(up_Irr!T15=".",up_Irr!AS15=".",up_Irr!BR15="."),up_dir!AU15*1000)))))))),".")</f>
        <v>6.5773651144152131E-4</v>
      </c>
      <c r="BV15" s="70">
        <f>IFERROR(IF(AND(up_Irr!U15&lt;&gt;".",up_Irr!AT15&lt;&gt;".",up_Irr!BS15&lt;&gt;"."),up_dir!AV15/((1/1000)*(up_Irr!U15+up_Irr!AT15+up_Irr!BS15)),IF(AND(up_Irr!U15&lt;&gt;".",up_Irr!AT15&lt;&gt;".",up_Irr!BS15="."),up_dir!AV15/((1/1000)*(up_Irr!U15+up_Irr!AT15)),IF(AND(up_Irr!U15&lt;&gt;".",up_Irr!AT15=".",up_Irr!BS15&lt;&gt;"."),up_dir!AV15/((1/1000)*(up_Irr!U15+up_Irr!BS15)),IF(AND(up_Irr!U15=".",up_Irr!AT15&lt;&gt;".",up_Irr!BS15&lt;&gt;"."),up_dir!AV15/((1/1000)*(up_Irr!AT15+up_Irr!BS15)),IF(AND(up_Irr!U15=".",up_Irr!AT15=".",up_Irr!BS15&lt;&gt;"."),up_dir!AV15/((1/1000)*(up_Irr!BS15)),IF(AND(up_Irr!U15=".",up_Irr!AT15&lt;&gt;".",up_Irr!BS15="."),up_dir!AV15/((1/1000)*(up_Irr!AT15)),IF(AND(up_Irr!U15&lt;&gt;".",up_Irr!AT15=".",up_Irr!BS15="."),up_dir!AV15/((1/1000)*(up_Irr!U15)),IF(AND(up_Irr!U15=".",up_Irr!AT15=".",up_Irr!BS15="."),up_dir!AV15*1000)))))))),".")</f>
        <v>6.5773651144152131E-4</v>
      </c>
      <c r="BW15" s="70">
        <f>IFERROR(IF(AND(up_Irr!V15&lt;&gt;".",up_Irr!AU15&lt;&gt;".",up_Irr!BT15&lt;&gt;"."),up_dir!AW15/((1/1000)*(up_Irr!V15+up_Irr!AU15+up_Irr!BT15)),IF(AND(up_Irr!V15&lt;&gt;".",up_Irr!AU15&lt;&gt;".",up_Irr!BT15="."),up_dir!AW15/((1/1000)*(up_Irr!V15+up_Irr!AU15)),IF(AND(up_Irr!V15&lt;&gt;".",up_Irr!AU15=".",up_Irr!BT15&lt;&gt;"."),up_dir!AW15/((1/1000)*(up_Irr!V15+up_Irr!BT15)),IF(AND(up_Irr!V15=".",up_Irr!AU15&lt;&gt;".",up_Irr!BT15&lt;&gt;"."),up_dir!AW15/((1/1000)*(up_Irr!AU15+up_Irr!BT15)),IF(AND(up_Irr!V15=".",up_Irr!AU15=".",up_Irr!BT15&lt;&gt;"."),up_dir!AW15/((1/1000)*(up_Irr!BT15)),IF(AND(up_Irr!V15=".",up_Irr!AU15&lt;&gt;".",up_Irr!BT15="."),up_dir!AW15/((1/1000)*(up_Irr!AU15)),IF(AND(up_Irr!V15&lt;&gt;".",up_Irr!AU15=".",up_Irr!BT15="."),up_dir!AW15/((1/1000)*(up_Irr!V15)),IF(AND(up_Irr!V15=".",up_Irr!AU15=".",up_Irr!BT15="."),up_dir!AW15*1000)))))))),".")</f>
        <v>6.5773651144152131E-4</v>
      </c>
      <c r="BX15" s="70">
        <f>IFERROR(IF(AND(up_Irr!W15&lt;&gt;".",up_Irr!AV15&lt;&gt;".",up_Irr!BU15&lt;&gt;"."),up_dir!AX15/((1/1000)*(up_Irr!W15+up_Irr!AV15+up_Irr!BU15)),IF(AND(up_Irr!W15&lt;&gt;".",up_Irr!AV15&lt;&gt;".",up_Irr!BU15="."),up_dir!AX15/((1/1000)*(up_Irr!W15+up_Irr!AV15)),IF(AND(up_Irr!W15&lt;&gt;".",up_Irr!AV15=".",up_Irr!BU15&lt;&gt;"."),up_dir!AX15/((1/1000)*(up_Irr!W15+up_Irr!BU15)),IF(AND(up_Irr!W15=".",up_Irr!AV15&lt;&gt;".",up_Irr!BU15&lt;&gt;"."),up_dir!AX15/((1/1000)*(up_Irr!AV15+up_Irr!BU15)),IF(AND(up_Irr!W15=".",up_Irr!AV15=".",up_Irr!BU15&lt;&gt;"."),up_dir!AX15/((1/1000)*(up_Irr!BU15)),IF(AND(up_Irr!W15=".",up_Irr!AV15&lt;&gt;".",up_Irr!BU15="."),up_dir!AX15/((1/1000)*(up_Irr!AV15)),IF(AND(up_Irr!W15&lt;&gt;".",up_Irr!AV15=".",up_Irr!BU15="."),up_dir!AX15/((1/1000)*(up_Irr!W15)),IF(AND(up_Irr!W15=".",up_Irr!AV15=".",up_Irr!BU15="."),up_dir!AX15*1000)))))))),".")</f>
        <v>6.5773651144152131E-4</v>
      </c>
      <c r="BY15" s="70">
        <f>IFERROR(IF(AND(up_Irr!X15&lt;&gt;".",up_Irr!AW15&lt;&gt;".",up_Irr!BV15&lt;&gt;"."),up_dir!AY15/((1/1000)*(up_Irr!X15+up_Irr!AW15+up_Irr!BV15)),IF(AND(up_Irr!X15&lt;&gt;".",up_Irr!AW15&lt;&gt;".",up_Irr!BV15="."),up_dir!AY15/((1/1000)*(up_Irr!X15+up_Irr!AW15)),IF(AND(up_Irr!X15&lt;&gt;".",up_Irr!AW15=".",up_Irr!BV15&lt;&gt;"."),up_dir!AY15/((1/1000)*(up_Irr!X15+up_Irr!BV15)),IF(AND(up_Irr!X15=".",up_Irr!AW15&lt;&gt;".",up_Irr!BV15&lt;&gt;"."),up_dir!AY15/((1/1000)*(up_Irr!AW15+up_Irr!BV15)),IF(AND(up_Irr!X15=".",up_Irr!AW15=".",up_Irr!BV15&lt;&gt;"."),up_dir!AY15/((1/1000)*(up_Irr!BV15)),IF(AND(up_Irr!X15=".",up_Irr!AW15&lt;&gt;".",up_Irr!BV15="."),up_dir!AY15/((1/1000)*(up_Irr!AW15)),IF(AND(up_Irr!X15&lt;&gt;".",up_Irr!AW15=".",up_Irr!BV15="."),up_dir!AY15/((1/1000)*(up_Irr!X15)),IF(AND(up_Irr!X15=".",up_Irr!AW15=".",up_Irr!BV15="."),up_dir!AY15*1000)))))))),".")</f>
        <v>6.5773651144152131E-4</v>
      </c>
      <c r="BZ15" s="70">
        <f>IFERROR(IF(AND(up_Irr!Y15&lt;&gt;".",up_Irr!AX15&lt;&gt;".",up_Irr!BW15&lt;&gt;"."),up_dir!AZ15/((1/1000)*(up_Irr!Y15+up_Irr!AX15+up_Irr!BW15)),IF(AND(up_Irr!Y15&lt;&gt;".",up_Irr!AX15&lt;&gt;".",up_Irr!BW15="."),up_dir!AZ15/((1/1000)*(up_Irr!Y15+up_Irr!AX15)),IF(AND(up_Irr!Y15&lt;&gt;".",up_Irr!AX15=".",up_Irr!BW15&lt;&gt;"."),up_dir!AZ15/((1/1000)*(up_Irr!Y15+up_Irr!BW15)),IF(AND(up_Irr!Y15=".",up_Irr!AX15&lt;&gt;".",up_Irr!BW15&lt;&gt;"."),up_dir!AZ15/((1/1000)*(up_Irr!AX15+up_Irr!BW15)),IF(AND(up_Irr!Y15=".",up_Irr!AX15=".",up_Irr!BW15&lt;&gt;"."),up_dir!AZ15/((1/1000)*(up_Irr!BW15)),IF(AND(up_Irr!Y15=".",up_Irr!AX15&lt;&gt;".",up_Irr!BW15="."),up_dir!AZ15/((1/1000)*(up_Irr!AX15)),IF(AND(up_Irr!Y15&lt;&gt;".",up_Irr!AX15=".",up_Irr!BW15="."),up_dir!AZ15/((1/1000)*(up_Irr!Y15)),IF(AND(up_Irr!Y15=".",up_Irr!AX15=".",up_Irr!BW15="."),up_dir!AZ15*1000)))))))),".")</f>
        <v>6.5773651144152131E-4</v>
      </c>
      <c r="CA15" s="70">
        <f>IFERROR(IF(AND(up_Irr!Z15&lt;&gt;".",up_Irr!AY15&lt;&gt;".",up_Irr!BX15&lt;&gt;"."),up_dir!BA15/((1/1000)*(up_Irr!Z15+up_Irr!AY15+up_Irr!BX15)),IF(AND(up_Irr!Z15&lt;&gt;".",up_Irr!AY15&lt;&gt;".",up_Irr!BX15="."),up_dir!BA15/((1/1000)*(up_Irr!Z15+up_Irr!AY15)),IF(AND(up_Irr!Z15&lt;&gt;".",up_Irr!AY15=".",up_Irr!BX15&lt;&gt;"."),up_dir!BA15/((1/1000)*(up_Irr!Z15+up_Irr!BX15)),IF(AND(up_Irr!Z15=".",up_Irr!AY15&lt;&gt;".",up_Irr!BX15&lt;&gt;"."),up_dir!BA15/((1/1000)*(up_Irr!AY15+up_Irr!BX15)),IF(AND(up_Irr!Z15=".",up_Irr!AY15=".",up_Irr!BX15&lt;&gt;"."),up_dir!BA15/((1/1000)*(up_Irr!BX15)),IF(AND(up_Irr!Z15=".",up_Irr!AY15&lt;&gt;".",up_Irr!BX15="."),up_dir!BA15/((1/1000)*(up_Irr!AY15)),IF(AND(up_Irr!Z15&lt;&gt;".",up_Irr!AY15=".",up_Irr!BX15="."),up_dir!BA15/((1/1000)*(up_Irr!Z15)),IF(AND(up_Irr!Z15=".",up_Irr!AY15=".",up_Irr!BX15="."),up_dir!BA15*1000)))))))),".")</f>
        <v>6.5773651144152131E-4</v>
      </c>
      <c r="CB15" s="70">
        <f>IFERROR(IF(AND(up_Irr!AA15&lt;&gt;".",up_Irr!AZ15&lt;&gt;".",up_Irr!BY15&lt;&gt;"."),up_dir!BB15/((1/1000)*(up_Irr!AA15+up_Irr!AZ15+up_Irr!BY15)),IF(AND(up_Irr!AA15&lt;&gt;".",up_Irr!AZ15&lt;&gt;".",up_Irr!BY15="."),up_dir!BB15/((1/1000)*(up_Irr!AA15+up_Irr!AZ15)),IF(AND(up_Irr!AA15&lt;&gt;".",up_Irr!AZ15=".",up_Irr!BY15&lt;&gt;"."),up_dir!BB15/((1/1000)*(up_Irr!AA15+up_Irr!BY15)),IF(AND(up_Irr!AA15=".",up_Irr!AZ15&lt;&gt;".",up_Irr!BY15&lt;&gt;"."),up_dir!BB15/((1/1000)*(up_Irr!AZ15+up_Irr!BY15)),IF(AND(up_Irr!AA15=".",up_Irr!AZ15=".",up_Irr!BY15&lt;&gt;"."),up_dir!BB15/((1/1000)*(up_Irr!BY15)),IF(AND(up_Irr!AA15=".",up_Irr!AZ15&lt;&gt;".",up_Irr!BY15="."),up_dir!BB15/((1/1000)*(up_Irr!AZ15)),IF(AND(up_Irr!AA15&lt;&gt;".",up_Irr!AZ15=".",up_Irr!BY15="."),up_dir!BB15/((1/1000)*(up_Irr!AA15)),IF(AND(up_Irr!AA15=".",up_Irr!AZ15=".",up_Irr!BY15="."),up_dir!BB15*1000)))))))),".")</f>
        <v>6.5773651144152131E-4</v>
      </c>
      <c r="CC15" s="87">
        <f t="shared" si="3"/>
        <v>30407.313038114935</v>
      </c>
      <c r="CD15" s="87">
        <f>IFERROR(s_C*s_IFAP_far_adj*s_CF_apple*(1/1000)*(up_Irr!C15+up_Irr!AB15+up_Irr!BA15),".")</f>
        <v>7601.8282595287337</v>
      </c>
      <c r="CE15" s="87">
        <f>IFERROR(s_C*s_IFAS_far_adj*s_CF_asparagus*(1/1000)*(up_Irr!D15+up_Irr!AC15+up_Irr!BB15),".")</f>
        <v>7601.8282595287337</v>
      </c>
      <c r="CF15" s="87">
        <f>IFERROR(s_C*s_IFBT_far_adj*s_CF_beet*(1/1000)*(up_Irr!E15+up_Irr!AD15+up_Irr!BC15),".")</f>
        <v>7601.8282595287337</v>
      </c>
      <c r="CG15" s="87">
        <f>IFERROR(s_C*s_IFBE_far_adj*s_CF_berries*(1/1000)*(up_Irr!F15+up_Irr!AE15+up_Irr!BD15),".")</f>
        <v>7601.8282595287337</v>
      </c>
      <c r="CH15" s="87">
        <f>IFERROR(s_C*s_IFBR_far_adj*s_CF_broccoli*(1/1000)*(up_Irr!G15+up_Irr!AF15+up_Irr!BE15),".")</f>
        <v>7601.8282595287337</v>
      </c>
      <c r="CI15" s="87">
        <f>IFERROR(s_C*s_IFCB_far_adj*s_CF_cabbage*(1/1000)*(up_Irr!H15+up_Irr!AG15+up_Irr!BF15),".")</f>
        <v>7601.8282595287337</v>
      </c>
      <c r="CJ15" s="87">
        <f>IFERROR(s_C*s_IFCR_far_adj*s_CF_carrot*(1/1000)*(up_Irr!I15+up_Irr!AH15+up_Irr!BG15),".")</f>
        <v>7601.8282595287337</v>
      </c>
      <c r="CK15" s="87">
        <f>IFERROR(s_C*s_IFCI_far_adj*s_CF_citrus*(1/1000)*(up_Irr!J15+up_Irr!AI15+up_Irr!BH15),".")</f>
        <v>7601.8282595287337</v>
      </c>
      <c r="CL15" s="87">
        <f>IFERROR(s_C*s_IFCO_far_adj*s_CF_corn*(1/1000)*(up_Irr!K15+up_Irr!AJ15+up_Irr!BI15),".")</f>
        <v>7601.8282595287337</v>
      </c>
      <c r="CM15" s="87">
        <f>IFERROR(s_C*s_IFCU_far_adj*s_CF_cucumber*(1/1000)*(up_Irr!L15+up_Irr!AK15+up_Irr!BJ15),".")</f>
        <v>7601.8282595287337</v>
      </c>
      <c r="CN15" s="87">
        <f>IFERROR(s_C*s_IFLE_far_adj*s_CF_lettuce*(1/1000)*(up_Irr!M15+up_Irr!AL15+up_Irr!BK15),".")</f>
        <v>7601.8282595287337</v>
      </c>
      <c r="CO15" s="87">
        <f>IFERROR(s_C*s_IFLI_far_adj*s_CF_lima_bean*(1/1000)*(up_Irr!N15+up_Irr!AM15+up_Irr!BL15),".")</f>
        <v>7601.8282595287337</v>
      </c>
      <c r="CP15" s="87">
        <f>IFERROR(s_C*s_IFOK_far_adj*s_CF_okra*(1/1000)*(up_Irr!O15+up_Irr!AN15+up_Irr!BM15),".")</f>
        <v>7601.8282595287337</v>
      </c>
      <c r="CQ15" s="87">
        <f>IFERROR(s_C*s_IFON_far_adj*s_CF_onion*(1/1000)*(up_Irr!P15+up_Irr!AO15+up_Irr!BN15),".")</f>
        <v>7601.8282595287337</v>
      </c>
      <c r="CR15" s="87">
        <f>IFERROR(s_C*s_IFPC_far_adj*s_CF_peach*(1/1000)*(up_Irr!Q15+up_Irr!AP15+up_Irr!BO15),".")</f>
        <v>7601.8282595287337</v>
      </c>
      <c r="CS15" s="87">
        <f>IFERROR(s_C*s_IFPR_far_adj*s_CF_pear*(1/1000)*(up_Irr!R15+up_Irr!AQ15+up_Irr!BP15),".")</f>
        <v>7601.8282595287337</v>
      </c>
      <c r="CT15" s="87">
        <f>IFERROR(s_C*s_IFPE_far_adj*s_CF_peas*(1/1000)*(up_Irr!S15+up_Irr!AR15+up_Irr!BQ15),".")</f>
        <v>7601.8282595287337</v>
      </c>
      <c r="CU15" s="87">
        <f>IFERROR(s_C*s_IFPP_far_adj*s_CF_peppers*(1/1000)*(up_Irr!T15+up_Irr!AS15+up_Irr!BR15),".")</f>
        <v>7601.8282595287337</v>
      </c>
      <c r="CV15" s="87">
        <f>IFERROR(s_C*s_IFPT_far_adj*s_CF_potato*(1/1000)*(up_Irr!U15+up_Irr!AT15+up_Irr!BS15),".")</f>
        <v>7601.8282595287337</v>
      </c>
      <c r="CW15" s="87">
        <f>IFERROR(s_C*s_IFPU_far_adj*s_CF_pumpkin*(1/1000)*(up_Irr!V15+up_Irr!AU15+up_Irr!BT15),".")</f>
        <v>7601.8282595287337</v>
      </c>
      <c r="CX15" s="87">
        <f>IFERROR(s_C*s_IFSN_far_adj*s_CF_snap_bean*(1/1000)*(up_Irr!W15+up_Irr!AV15+up_Irr!BU15),".")</f>
        <v>7601.8282595287337</v>
      </c>
      <c r="CY15" s="87">
        <f>IFERROR(s_C*s_IFST_far_adj*s_CF_strawberry*(1/1000)*(up_Irr!X15+up_Irr!AW15+up_Irr!BV15),".")</f>
        <v>7601.8282595287337</v>
      </c>
      <c r="CZ15" s="87">
        <f>IFERROR(s_C*s_IFTO_far_adj*s_CF_tomato*(1/1000)*(up_Irr!Y15+up_Irr!AX15+up_Irr!BW15),".")</f>
        <v>7601.8282595287337</v>
      </c>
      <c r="DA15" s="87">
        <f>IFERROR(s_C*s_IFRI_far_adj*s_CF_rice*(1/1000)*(up_Irr!Z15+up_Irr!AY15+up_Irr!BX15),".")</f>
        <v>7601.8282595287337</v>
      </c>
      <c r="DB15" s="87">
        <f>IFERROR(s_C*s_IFCG_far_adj*s_CF_cereal*(1/1000)*(up_Irr!AA15+up_Irr!AZ15+up_Irr!BY15),".")</f>
        <v>7601.8282595287337</v>
      </c>
    </row>
    <row r="16" spans="1:106" ht="15" customHeight="1" x14ac:dyDescent="0.25">
      <c r="A16" s="86" t="s">
        <v>14</v>
      </c>
      <c r="B16" s="84" t="s">
        <v>1057</v>
      </c>
      <c r="C16" s="15">
        <f t="shared" si="0"/>
        <v>1.6443412786038033E-4</v>
      </c>
      <c r="D16" s="70">
        <f>IFERROR(IF(AND(up_Irr!C16&lt;&gt;".",up_Irr!AB16&lt;&gt;".",up_Irr!BA16&lt;&gt;"."),up_dir!D16/((1/1000)*(up_Irr!C16+up_Irr!AB16+up_Irr!BA16)),IF(AND(up_Irr!C16&lt;&gt;".",up_Irr!AB16&lt;&gt;".",up_Irr!BA16="."),up_dir!D16/((1/1000)*(up_Irr!C16+up_Irr!AB16)),IF(AND(up_Irr!C16&lt;&gt;".",up_Irr!AB16=".",up_Irr!BA16&lt;&gt;"."),up_dir!D16/((1/1000)*(up_Irr!C16+up_Irr!BA16)),IF(AND(up_Irr!C16=".",up_Irr!AB16&lt;&gt;".",up_Irr!BA16&lt;&gt;"."),up_dir!D16/((1/1000)*(up_Irr!AB16+up_Irr!BA16)),IF(AND(up_Irr!C16=".",up_Irr!AB16=".",up_Irr!BA16&lt;&gt;"."),up_dir!D16/((1/1000)*(up_Irr!BA16)),IF(AND(up_Irr!C16=".",up_Irr!AB16&lt;&gt;".",up_Irr!BA16="."),up_dir!D16/((1/1000)*(up_Irr!AB16)),IF(AND(up_Irr!C16&lt;&gt;".",up_Irr!AB16=".",up_Irr!BA16="."),up_dir!D16/((1/1000)*(up_Irr!C16)),IF(AND(up_Irr!C16=".",up_Irr!AB16=".",up_Irr!BA16="."),up_dir!D16*1000)))))))),".")</f>
        <v>6.5773651144152131E-4</v>
      </c>
      <c r="E16" s="70">
        <f>IFERROR(IF(AND(up_Irr!D16&lt;&gt;".",up_Irr!AC16&lt;&gt;".",up_Irr!BB16&lt;&gt;"."),up_dir!E16/((1/1000)*(up_Irr!D16+up_Irr!AC16+up_Irr!BB16)),IF(AND(up_Irr!D16&lt;&gt;".",up_Irr!AC16&lt;&gt;".",up_Irr!BB16="."),up_dir!E16/((1/1000)*(up_Irr!D16+up_Irr!AC16)),IF(AND(up_Irr!D16&lt;&gt;".",up_Irr!AC16=".",up_Irr!BB16&lt;&gt;"."),up_dir!E16/((1/1000)*(up_Irr!D16+up_Irr!BB16)),IF(AND(up_Irr!D16=".",up_Irr!AC16&lt;&gt;".",up_Irr!BB16&lt;&gt;"."),up_dir!E16/((1/1000)*(up_Irr!AC16+up_Irr!BB16)),IF(AND(up_Irr!D16=".",up_Irr!AC16=".",up_Irr!BB16&lt;&gt;"."),up_dir!E16/((1/1000)*(up_Irr!BB16)),IF(AND(up_Irr!D16=".",up_Irr!AC16&lt;&gt;".",up_Irr!BB16="."),up_dir!E16/((1/1000)*(up_Irr!AC16)),IF(AND(up_Irr!D16&lt;&gt;".",up_Irr!AC16=".",up_Irr!BB16="."),up_dir!E16/((1/1000)*(up_Irr!D16)),IF(AND(up_Irr!D16=".",up_Irr!AC16=".",up_Irr!BB16="."),up_dir!E16*1000)))))))),".")</f>
        <v>6.5773651144152131E-4</v>
      </c>
      <c r="F16" s="70">
        <f>IFERROR(IF(AND(up_Irr!E16&lt;&gt;".",up_Irr!AD16&lt;&gt;".",up_Irr!BC16&lt;&gt;"."),up_dir!F16/((1/1000)*(up_Irr!E16+up_Irr!AD16+up_Irr!BC16)),IF(AND(up_Irr!E16&lt;&gt;".",up_Irr!AD16&lt;&gt;".",up_Irr!BC16="."),up_dir!F16/((1/1000)*(up_Irr!E16+up_Irr!AD16)),IF(AND(up_Irr!E16&lt;&gt;".",up_Irr!AD16=".",up_Irr!BC16&lt;&gt;"."),up_dir!F16/((1/1000)*(up_Irr!E16+up_Irr!BC16)),IF(AND(up_Irr!E16=".",up_Irr!AD16&lt;&gt;".",up_Irr!BC16&lt;&gt;"."),up_dir!F16/((1/1000)*(up_Irr!AD16+up_Irr!BC16)),IF(AND(up_Irr!E16=".",up_Irr!AD16=".",up_Irr!BC16&lt;&gt;"."),up_dir!F16/((1/1000)*(up_Irr!BC16)),IF(AND(up_Irr!E16=".",up_Irr!AD16&lt;&gt;".",up_Irr!BC16="."),up_dir!F16/((1/1000)*(up_Irr!AD16)),IF(AND(up_Irr!E16&lt;&gt;".",up_Irr!AD16=".",up_Irr!BC16="."),up_dir!F16/((1/1000)*(up_Irr!E16)),IF(AND(up_Irr!E16=".",up_Irr!AD16=".",up_Irr!BC16="."),up_dir!F16*1000)))))))),".")</f>
        <v>6.5773651144152131E-4</v>
      </c>
      <c r="G16" s="70">
        <f>IFERROR(IF(AND(up_Irr!F16&lt;&gt;".",up_Irr!AE16&lt;&gt;".",up_Irr!BD16&lt;&gt;"."),up_dir!G16/((1/1000)*(up_Irr!F16+up_Irr!AE16+up_Irr!BD16)),IF(AND(up_Irr!F16&lt;&gt;".",up_Irr!AE16&lt;&gt;".",up_Irr!BD16="."),up_dir!G16/((1/1000)*(up_Irr!F16+up_Irr!AE16)),IF(AND(up_Irr!F16&lt;&gt;".",up_Irr!AE16=".",up_Irr!BD16&lt;&gt;"."),up_dir!G16/((1/1000)*(up_Irr!F16+up_Irr!BD16)),IF(AND(up_Irr!F16=".",up_Irr!AE16&lt;&gt;".",up_Irr!BD16&lt;&gt;"."),up_dir!G16/((1/1000)*(up_Irr!AE16+up_Irr!BD16)),IF(AND(up_Irr!F16=".",up_Irr!AE16=".",up_Irr!BD16&lt;&gt;"."),up_dir!G16/((1/1000)*(up_Irr!BD16)),IF(AND(up_Irr!F16=".",up_Irr!AE16&lt;&gt;".",up_Irr!BD16="."),up_dir!G16/((1/1000)*(up_Irr!AE16)),IF(AND(up_Irr!F16&lt;&gt;".",up_Irr!AE16=".",up_Irr!BD16="."),up_dir!G16/((1/1000)*(up_Irr!F16)),IF(AND(up_Irr!F16=".",up_Irr!AE16=".",up_Irr!BD16="."),up_dir!G16*1000)))))))),".")</f>
        <v>6.5773651144152131E-4</v>
      </c>
      <c r="H16" s="70">
        <f>IFERROR(IF(AND(up_Irr!G16&lt;&gt;".",up_Irr!AF16&lt;&gt;".",up_Irr!BE16&lt;&gt;"."),up_dir!H16/((1/1000)*(up_Irr!G16+up_Irr!AF16+up_Irr!BE16)),IF(AND(up_Irr!G16&lt;&gt;".",up_Irr!AF16&lt;&gt;".",up_Irr!BE16="."),up_dir!H16/((1/1000)*(up_Irr!G16+up_Irr!AF16)),IF(AND(up_Irr!G16&lt;&gt;".",up_Irr!AF16=".",up_Irr!BE16&lt;&gt;"."),up_dir!H16/((1/1000)*(up_Irr!G16+up_Irr!BE16)),IF(AND(up_Irr!G16=".",up_Irr!AF16&lt;&gt;".",up_Irr!BE16&lt;&gt;"."),up_dir!H16/((1/1000)*(up_Irr!AF16+up_Irr!BE16)),IF(AND(up_Irr!G16=".",up_Irr!AF16=".",up_Irr!BE16&lt;&gt;"."),up_dir!H16/((1/1000)*(up_Irr!BE16)),IF(AND(up_Irr!G16=".",up_Irr!AF16&lt;&gt;".",up_Irr!BE16="."),up_dir!H16/((1/1000)*(up_Irr!AF16)),IF(AND(up_Irr!G16&lt;&gt;".",up_Irr!AF16=".",up_Irr!BE16="."),up_dir!H16/((1/1000)*(up_Irr!G16)),IF(AND(up_Irr!G16=".",up_Irr!AF16=".",up_Irr!BE16="."),up_dir!H16*1000)))))))),".")</f>
        <v>6.5773651144152131E-4</v>
      </c>
      <c r="I16" s="70">
        <f>IFERROR(IF(AND(up_Irr!H16&lt;&gt;".",up_Irr!AG16&lt;&gt;".",up_Irr!BF16&lt;&gt;"."),up_dir!I16/((1/1000)*(up_Irr!H16+up_Irr!AG16+up_Irr!BF16)),IF(AND(up_Irr!H16&lt;&gt;".",up_Irr!AG16&lt;&gt;".",up_Irr!BF16="."),up_dir!I16/((1/1000)*(up_Irr!H16+up_Irr!AG16)),IF(AND(up_Irr!H16&lt;&gt;".",up_Irr!AG16=".",up_Irr!BF16&lt;&gt;"."),up_dir!I16/((1/1000)*(up_Irr!H16+up_Irr!BF16)),IF(AND(up_Irr!H16=".",up_Irr!AG16&lt;&gt;".",up_Irr!BF16&lt;&gt;"."),up_dir!I16/((1/1000)*(up_Irr!AG16+up_Irr!BF16)),IF(AND(up_Irr!H16=".",up_Irr!AG16=".",up_Irr!BF16&lt;&gt;"."),up_dir!I16/((1/1000)*(up_Irr!BF16)),IF(AND(up_Irr!H16=".",up_Irr!AG16&lt;&gt;".",up_Irr!BF16="."),up_dir!I16/((1/1000)*(up_Irr!AG16)),IF(AND(up_Irr!H16&lt;&gt;".",up_Irr!AG16=".",up_Irr!BF16="."),up_dir!I16/((1/1000)*(up_Irr!H16)),IF(AND(up_Irr!H16=".",up_Irr!AG16=".",up_Irr!BF16="."),up_dir!I16*1000)))))))),".")</f>
        <v>6.5773651144152131E-4</v>
      </c>
      <c r="J16" s="70">
        <f>IFERROR(IF(AND(up_Irr!I16&lt;&gt;".",up_Irr!AH16&lt;&gt;".",up_Irr!BG16&lt;&gt;"."),up_dir!J16/((1/1000)*(up_Irr!I16+up_Irr!AH16+up_Irr!BG16)),IF(AND(up_Irr!I16&lt;&gt;".",up_Irr!AH16&lt;&gt;".",up_Irr!BG16="."),up_dir!J16/((1/1000)*(up_Irr!I16+up_Irr!AH16)),IF(AND(up_Irr!I16&lt;&gt;".",up_Irr!AH16=".",up_Irr!BG16&lt;&gt;"."),up_dir!J16/((1/1000)*(up_Irr!I16+up_Irr!BG16)),IF(AND(up_Irr!I16=".",up_Irr!AH16&lt;&gt;".",up_Irr!BG16&lt;&gt;"."),up_dir!J16/((1/1000)*(up_Irr!AH16+up_Irr!BG16)),IF(AND(up_Irr!I16=".",up_Irr!AH16=".",up_Irr!BG16&lt;&gt;"."),up_dir!J16/((1/1000)*(up_Irr!BG16)),IF(AND(up_Irr!I16=".",up_Irr!AH16&lt;&gt;".",up_Irr!BG16="."),up_dir!J16/((1/1000)*(up_Irr!AH16)),IF(AND(up_Irr!I16&lt;&gt;".",up_Irr!AH16=".",up_Irr!BG16="."),up_dir!J16/((1/1000)*(up_Irr!I16)),IF(AND(up_Irr!I16=".",up_Irr!AH16=".",up_Irr!BG16="."),up_dir!J16*1000)))))))),".")</f>
        <v>6.5773651144152131E-4</v>
      </c>
      <c r="K16" s="70">
        <f>IFERROR(IF(AND(up_Irr!J16&lt;&gt;".",up_Irr!AI16&lt;&gt;".",up_Irr!BH16&lt;&gt;"."),up_dir!K16/((1/1000)*(up_Irr!J16+up_Irr!AI16+up_Irr!BH16)),IF(AND(up_Irr!J16&lt;&gt;".",up_Irr!AI16&lt;&gt;".",up_Irr!BH16="."),up_dir!K16/((1/1000)*(up_Irr!J16+up_Irr!AI16)),IF(AND(up_Irr!J16&lt;&gt;".",up_Irr!AI16=".",up_Irr!BH16&lt;&gt;"."),up_dir!K16/((1/1000)*(up_Irr!J16+up_Irr!BH16)),IF(AND(up_Irr!J16=".",up_Irr!AI16&lt;&gt;".",up_Irr!BH16&lt;&gt;"."),up_dir!K16/((1/1000)*(up_Irr!AI16+up_Irr!BH16)),IF(AND(up_Irr!J16=".",up_Irr!AI16=".",up_Irr!BH16&lt;&gt;"."),up_dir!K16/((1/1000)*(up_Irr!BH16)),IF(AND(up_Irr!J16=".",up_Irr!AI16&lt;&gt;".",up_Irr!BH16="."),up_dir!K16/((1/1000)*(up_Irr!AI16)),IF(AND(up_Irr!J16&lt;&gt;".",up_Irr!AI16=".",up_Irr!BH16="."),up_dir!K16/((1/1000)*(up_Irr!J16)),IF(AND(up_Irr!J16=".",up_Irr!AI16=".",up_Irr!BH16="."),up_dir!K16*1000)))))))),".")</f>
        <v>6.5773651144152131E-4</v>
      </c>
      <c r="L16" s="70">
        <f>IFERROR(IF(AND(up_Irr!K16&lt;&gt;".",up_Irr!AJ16&lt;&gt;".",up_Irr!BI16&lt;&gt;"."),up_dir!L16/((1/1000)*(up_Irr!K16+up_Irr!AJ16+up_Irr!BI16)),IF(AND(up_Irr!K16&lt;&gt;".",up_Irr!AJ16&lt;&gt;".",up_Irr!BI16="."),up_dir!L16/((1/1000)*(up_Irr!K16+up_Irr!AJ16)),IF(AND(up_Irr!K16&lt;&gt;".",up_Irr!AJ16=".",up_Irr!BI16&lt;&gt;"."),up_dir!L16/((1/1000)*(up_Irr!K16+up_Irr!BI16)),IF(AND(up_Irr!K16=".",up_Irr!AJ16&lt;&gt;".",up_Irr!BI16&lt;&gt;"."),up_dir!L16/((1/1000)*(up_Irr!AJ16+up_Irr!BI16)),IF(AND(up_Irr!K16=".",up_Irr!AJ16=".",up_Irr!BI16&lt;&gt;"."),up_dir!L16/((1/1000)*(up_Irr!BI16)),IF(AND(up_Irr!K16=".",up_Irr!AJ16&lt;&gt;".",up_Irr!BI16="."),up_dir!L16/((1/1000)*(up_Irr!AJ16)),IF(AND(up_Irr!K16&lt;&gt;".",up_Irr!AJ16=".",up_Irr!BI16="."),up_dir!L16/((1/1000)*(up_Irr!K16)),IF(AND(up_Irr!K16=".",up_Irr!AJ16=".",up_Irr!BI16="."),up_dir!L16*1000)))))))),".")</f>
        <v>6.5773651144152131E-4</v>
      </c>
      <c r="M16" s="70">
        <f>IFERROR(IF(AND(up_Irr!L16&lt;&gt;".",up_Irr!AK16&lt;&gt;".",up_Irr!BJ16&lt;&gt;"."),up_dir!M16/((1/1000)*(up_Irr!L16+up_Irr!AK16+up_Irr!BJ16)),IF(AND(up_Irr!L16&lt;&gt;".",up_Irr!AK16&lt;&gt;".",up_Irr!BJ16="."),up_dir!M16/((1/1000)*(up_Irr!L16+up_Irr!AK16)),IF(AND(up_Irr!L16&lt;&gt;".",up_Irr!AK16=".",up_Irr!BJ16&lt;&gt;"."),up_dir!M16/((1/1000)*(up_Irr!L16+up_Irr!BJ16)),IF(AND(up_Irr!L16=".",up_Irr!AK16&lt;&gt;".",up_Irr!BJ16&lt;&gt;"."),up_dir!M16/((1/1000)*(up_Irr!AK16+up_Irr!BJ16)),IF(AND(up_Irr!L16=".",up_Irr!AK16=".",up_Irr!BJ16&lt;&gt;"."),up_dir!M16/((1/1000)*(up_Irr!BJ16)),IF(AND(up_Irr!L16=".",up_Irr!AK16&lt;&gt;".",up_Irr!BJ16="."),up_dir!M16/((1/1000)*(up_Irr!AK16)),IF(AND(up_Irr!L16&lt;&gt;".",up_Irr!AK16=".",up_Irr!BJ16="."),up_dir!M16/((1/1000)*(up_Irr!L16)),IF(AND(up_Irr!L16=".",up_Irr!AK16=".",up_Irr!BJ16="."),up_dir!M16*1000)))))))),".")</f>
        <v>6.5773651144152131E-4</v>
      </c>
      <c r="N16" s="70">
        <f>IFERROR(IF(AND(up_Irr!M16&lt;&gt;".",up_Irr!AL16&lt;&gt;".",up_Irr!BK16&lt;&gt;"."),up_dir!N16/((1/1000)*(up_Irr!M16+up_Irr!AL16+up_Irr!BK16)),IF(AND(up_Irr!M16&lt;&gt;".",up_Irr!AL16&lt;&gt;".",up_Irr!BK16="."),up_dir!N16/((1/1000)*(up_Irr!M16+up_Irr!AL16)),IF(AND(up_Irr!M16&lt;&gt;".",up_Irr!AL16=".",up_Irr!BK16&lt;&gt;"."),up_dir!N16/((1/1000)*(up_Irr!M16+up_Irr!BK16)),IF(AND(up_Irr!M16=".",up_Irr!AL16&lt;&gt;".",up_Irr!BK16&lt;&gt;"."),up_dir!N16/((1/1000)*(up_Irr!AL16+up_Irr!BK16)),IF(AND(up_Irr!M16=".",up_Irr!AL16=".",up_Irr!BK16&lt;&gt;"."),up_dir!N16/((1/1000)*(up_Irr!BK16)),IF(AND(up_Irr!M16=".",up_Irr!AL16&lt;&gt;".",up_Irr!BK16="."),up_dir!N16/((1/1000)*(up_Irr!AL16)),IF(AND(up_Irr!M16&lt;&gt;".",up_Irr!AL16=".",up_Irr!BK16="."),up_dir!N16/((1/1000)*(up_Irr!M16)),IF(AND(up_Irr!M16=".",up_Irr!AL16=".",up_Irr!BK16="."),up_dir!N16*1000)))))))),".")</f>
        <v>6.5773651144152131E-4</v>
      </c>
      <c r="O16" s="70">
        <f>IFERROR(IF(AND(up_Irr!N16&lt;&gt;".",up_Irr!AM16&lt;&gt;".",up_Irr!BL16&lt;&gt;"."),up_dir!O16/((1/1000)*(up_Irr!N16+up_Irr!AM16+up_Irr!BL16)),IF(AND(up_Irr!N16&lt;&gt;".",up_Irr!AM16&lt;&gt;".",up_Irr!BL16="."),up_dir!O16/((1/1000)*(up_Irr!N16+up_Irr!AM16)),IF(AND(up_Irr!N16&lt;&gt;".",up_Irr!AM16=".",up_Irr!BL16&lt;&gt;"."),up_dir!O16/((1/1000)*(up_Irr!N16+up_Irr!BL16)),IF(AND(up_Irr!N16=".",up_Irr!AM16&lt;&gt;".",up_Irr!BL16&lt;&gt;"."),up_dir!O16/((1/1000)*(up_Irr!AM16+up_Irr!BL16)),IF(AND(up_Irr!N16=".",up_Irr!AM16=".",up_Irr!BL16&lt;&gt;"."),up_dir!O16/((1/1000)*(up_Irr!BL16)),IF(AND(up_Irr!N16=".",up_Irr!AM16&lt;&gt;".",up_Irr!BL16="."),up_dir!O16/((1/1000)*(up_Irr!AM16)),IF(AND(up_Irr!N16&lt;&gt;".",up_Irr!AM16=".",up_Irr!BL16="."),up_dir!O16/((1/1000)*(up_Irr!N16)),IF(AND(up_Irr!N16=".",up_Irr!AM16=".",up_Irr!BL16="."),up_dir!O16*1000)))))))),".")</f>
        <v>6.5773651144152131E-4</v>
      </c>
      <c r="P16" s="70">
        <f>IFERROR(IF(AND(up_Irr!O16&lt;&gt;".",up_Irr!AN16&lt;&gt;".",up_Irr!BM16&lt;&gt;"."),up_dir!P16/((1/1000)*(up_Irr!O16+up_Irr!AN16+up_Irr!BM16)),IF(AND(up_Irr!O16&lt;&gt;".",up_Irr!AN16&lt;&gt;".",up_Irr!BM16="."),up_dir!P16/((1/1000)*(up_Irr!O16+up_Irr!AN16)),IF(AND(up_Irr!O16&lt;&gt;".",up_Irr!AN16=".",up_Irr!BM16&lt;&gt;"."),up_dir!P16/((1/1000)*(up_Irr!O16+up_Irr!BM16)),IF(AND(up_Irr!O16=".",up_Irr!AN16&lt;&gt;".",up_Irr!BM16&lt;&gt;"."),up_dir!P16/((1/1000)*(up_Irr!AN16+up_Irr!BM16)),IF(AND(up_Irr!O16=".",up_Irr!AN16=".",up_Irr!BM16&lt;&gt;"."),up_dir!P16/((1/1000)*(up_Irr!BM16)),IF(AND(up_Irr!O16=".",up_Irr!AN16&lt;&gt;".",up_Irr!BM16="."),up_dir!P16/((1/1000)*(up_Irr!AN16)),IF(AND(up_Irr!O16&lt;&gt;".",up_Irr!AN16=".",up_Irr!BM16="."),up_dir!P16/((1/1000)*(up_Irr!O16)),IF(AND(up_Irr!O16=".",up_Irr!AN16=".",up_Irr!BM16="."),up_dir!P16*1000)))))))),".")</f>
        <v>6.5773651144152131E-4</v>
      </c>
      <c r="Q16" s="70">
        <f>IFERROR(IF(AND(up_Irr!P16&lt;&gt;".",up_Irr!AO16&lt;&gt;".",up_Irr!BN16&lt;&gt;"."),up_dir!Q16/((1/1000)*(up_Irr!P16+up_Irr!AO16+up_Irr!BN16)),IF(AND(up_Irr!P16&lt;&gt;".",up_Irr!AO16&lt;&gt;".",up_Irr!BN16="."),up_dir!Q16/((1/1000)*(up_Irr!P16+up_Irr!AO16)),IF(AND(up_Irr!P16&lt;&gt;".",up_Irr!AO16=".",up_Irr!BN16&lt;&gt;"."),up_dir!Q16/((1/1000)*(up_Irr!P16+up_Irr!BN16)),IF(AND(up_Irr!P16=".",up_Irr!AO16&lt;&gt;".",up_Irr!BN16&lt;&gt;"."),up_dir!Q16/((1/1000)*(up_Irr!AO16+up_Irr!BN16)),IF(AND(up_Irr!P16=".",up_Irr!AO16=".",up_Irr!BN16&lt;&gt;"."),up_dir!Q16/((1/1000)*(up_Irr!BN16)),IF(AND(up_Irr!P16=".",up_Irr!AO16&lt;&gt;".",up_Irr!BN16="."),up_dir!Q16/((1/1000)*(up_Irr!AO16)),IF(AND(up_Irr!P16&lt;&gt;".",up_Irr!AO16=".",up_Irr!BN16="."),up_dir!Q16/((1/1000)*(up_Irr!P16)),IF(AND(up_Irr!P16=".",up_Irr!AO16=".",up_Irr!BN16="."),up_dir!Q16*1000)))))))),".")</f>
        <v>6.5773651144152131E-4</v>
      </c>
      <c r="R16" s="70">
        <f>IFERROR(IF(AND(up_Irr!Q16&lt;&gt;".",up_Irr!AP16&lt;&gt;".",up_Irr!BO16&lt;&gt;"."),up_dir!R16/((1/1000)*(up_Irr!Q16+up_Irr!AP16+up_Irr!BO16)),IF(AND(up_Irr!Q16&lt;&gt;".",up_Irr!AP16&lt;&gt;".",up_Irr!BO16="."),up_dir!R16/((1/1000)*(up_Irr!Q16+up_Irr!AP16)),IF(AND(up_Irr!Q16&lt;&gt;".",up_Irr!AP16=".",up_Irr!BO16&lt;&gt;"."),up_dir!R16/((1/1000)*(up_Irr!Q16+up_Irr!BO16)),IF(AND(up_Irr!Q16=".",up_Irr!AP16&lt;&gt;".",up_Irr!BO16&lt;&gt;"."),up_dir!R16/((1/1000)*(up_Irr!AP16+up_Irr!BO16)),IF(AND(up_Irr!Q16=".",up_Irr!AP16=".",up_Irr!BO16&lt;&gt;"."),up_dir!R16/((1/1000)*(up_Irr!BO16)),IF(AND(up_Irr!Q16=".",up_Irr!AP16&lt;&gt;".",up_Irr!BO16="."),up_dir!R16/((1/1000)*(up_Irr!AP16)),IF(AND(up_Irr!Q16&lt;&gt;".",up_Irr!AP16=".",up_Irr!BO16="."),up_dir!R16/((1/1000)*(up_Irr!Q16)),IF(AND(up_Irr!Q16=".",up_Irr!AP16=".",up_Irr!BO16="."),up_dir!R16*1000)))))))),".")</f>
        <v>6.5773651144152131E-4</v>
      </c>
      <c r="S16" s="70">
        <f>IFERROR(IF(AND(up_Irr!R16&lt;&gt;".",up_Irr!AQ16&lt;&gt;".",up_Irr!BP16&lt;&gt;"."),up_dir!S16/((1/1000)*(up_Irr!R16+up_Irr!AQ16+up_Irr!BP16)),IF(AND(up_Irr!R16&lt;&gt;".",up_Irr!AQ16&lt;&gt;".",up_Irr!BP16="."),up_dir!S16/((1/1000)*(up_Irr!R16+up_Irr!AQ16)),IF(AND(up_Irr!R16&lt;&gt;".",up_Irr!AQ16=".",up_Irr!BP16&lt;&gt;"."),up_dir!S16/((1/1000)*(up_Irr!R16+up_Irr!BP16)),IF(AND(up_Irr!R16=".",up_Irr!AQ16&lt;&gt;".",up_Irr!BP16&lt;&gt;"."),up_dir!S16/((1/1000)*(up_Irr!AQ16+up_Irr!BP16)),IF(AND(up_Irr!R16=".",up_Irr!AQ16=".",up_Irr!BP16&lt;&gt;"."),up_dir!S16/((1/1000)*(up_Irr!BP16)),IF(AND(up_Irr!R16=".",up_Irr!AQ16&lt;&gt;".",up_Irr!BP16="."),up_dir!S16/((1/1000)*(up_Irr!AQ16)),IF(AND(up_Irr!R16&lt;&gt;".",up_Irr!AQ16=".",up_Irr!BP16="."),up_dir!S16/((1/1000)*(up_Irr!R16)),IF(AND(up_Irr!R16=".",up_Irr!AQ16=".",up_Irr!BP16="."),up_dir!S16*1000)))))))),".")</f>
        <v>6.5773651144152131E-4</v>
      </c>
      <c r="T16" s="70">
        <f>IFERROR(IF(AND(up_Irr!S16&lt;&gt;".",up_Irr!AR16&lt;&gt;".",up_Irr!BQ16&lt;&gt;"."),up_dir!T16/((1/1000)*(up_Irr!S16+up_Irr!AR16+up_Irr!BQ16)),IF(AND(up_Irr!S16&lt;&gt;".",up_Irr!AR16&lt;&gt;".",up_Irr!BQ16="."),up_dir!T16/((1/1000)*(up_Irr!S16+up_Irr!AR16)),IF(AND(up_Irr!S16&lt;&gt;".",up_Irr!AR16=".",up_Irr!BQ16&lt;&gt;"."),up_dir!T16/((1/1000)*(up_Irr!S16+up_Irr!BQ16)),IF(AND(up_Irr!S16=".",up_Irr!AR16&lt;&gt;".",up_Irr!BQ16&lt;&gt;"."),up_dir!T16/((1/1000)*(up_Irr!AR16+up_Irr!BQ16)),IF(AND(up_Irr!S16=".",up_Irr!AR16=".",up_Irr!BQ16&lt;&gt;"."),up_dir!T16/((1/1000)*(up_Irr!BQ16)),IF(AND(up_Irr!S16=".",up_Irr!AR16&lt;&gt;".",up_Irr!BQ16="."),up_dir!T16/((1/1000)*(up_Irr!AR16)),IF(AND(up_Irr!S16&lt;&gt;".",up_Irr!AR16=".",up_Irr!BQ16="."),up_dir!T16/((1/1000)*(up_Irr!S16)),IF(AND(up_Irr!S16=".",up_Irr!AR16=".",up_Irr!BQ16="."),up_dir!T16*1000)))))))),".")</f>
        <v>6.5773651144152131E-4</v>
      </c>
      <c r="U16" s="70">
        <f>IFERROR(IF(AND(up_Irr!T16&lt;&gt;".",up_Irr!AS16&lt;&gt;".",up_Irr!BR16&lt;&gt;"."),up_dir!U16/((1/1000)*(up_Irr!T16+up_Irr!AS16+up_Irr!BR16)),IF(AND(up_Irr!T16&lt;&gt;".",up_Irr!AS16&lt;&gt;".",up_Irr!BR16="."),up_dir!U16/((1/1000)*(up_Irr!T16+up_Irr!AS16)),IF(AND(up_Irr!T16&lt;&gt;".",up_Irr!AS16=".",up_Irr!BR16&lt;&gt;"."),up_dir!U16/((1/1000)*(up_Irr!T16+up_Irr!BR16)),IF(AND(up_Irr!T16=".",up_Irr!AS16&lt;&gt;".",up_Irr!BR16&lt;&gt;"."),up_dir!U16/((1/1000)*(up_Irr!AS16+up_Irr!BR16)),IF(AND(up_Irr!T16=".",up_Irr!AS16=".",up_Irr!BR16&lt;&gt;"."),up_dir!U16/((1/1000)*(up_Irr!BR16)),IF(AND(up_Irr!T16=".",up_Irr!AS16&lt;&gt;".",up_Irr!BR16="."),up_dir!U16/((1/1000)*(up_Irr!AS16)),IF(AND(up_Irr!T16&lt;&gt;".",up_Irr!AS16=".",up_Irr!BR16="."),up_dir!U16/((1/1000)*(up_Irr!T16)),IF(AND(up_Irr!T16=".",up_Irr!AS16=".",up_Irr!BR16="."),up_dir!U16*1000)))))))),".")</f>
        <v>6.5773651144152131E-4</v>
      </c>
      <c r="V16" s="70">
        <f>IFERROR(IF(AND(up_Irr!U16&lt;&gt;".",up_Irr!AT16&lt;&gt;".",up_Irr!BS16&lt;&gt;"."),up_dir!V16/((1/1000)*(up_Irr!U16+up_Irr!AT16+up_Irr!BS16)),IF(AND(up_Irr!U16&lt;&gt;".",up_Irr!AT16&lt;&gt;".",up_Irr!BS16="."),up_dir!V16/((1/1000)*(up_Irr!U16+up_Irr!AT16)),IF(AND(up_Irr!U16&lt;&gt;".",up_Irr!AT16=".",up_Irr!BS16&lt;&gt;"."),up_dir!V16/((1/1000)*(up_Irr!U16+up_Irr!BS16)),IF(AND(up_Irr!U16=".",up_Irr!AT16&lt;&gt;".",up_Irr!BS16&lt;&gt;"."),up_dir!V16/((1/1000)*(up_Irr!AT16+up_Irr!BS16)),IF(AND(up_Irr!U16=".",up_Irr!AT16=".",up_Irr!BS16&lt;&gt;"."),up_dir!V16/((1/1000)*(up_Irr!BS16)),IF(AND(up_Irr!U16=".",up_Irr!AT16&lt;&gt;".",up_Irr!BS16="."),up_dir!V16/((1/1000)*(up_Irr!AT16)),IF(AND(up_Irr!U16&lt;&gt;".",up_Irr!AT16=".",up_Irr!BS16="."),up_dir!V16/((1/1000)*(up_Irr!U16)),IF(AND(up_Irr!U16=".",up_Irr!AT16=".",up_Irr!BS16="."),up_dir!V16*1000)))))))),".")</f>
        <v>6.5773651144152131E-4</v>
      </c>
      <c r="W16" s="70">
        <f>IFERROR(IF(AND(up_Irr!V16&lt;&gt;".",up_Irr!AU16&lt;&gt;".",up_Irr!BT16&lt;&gt;"."),up_dir!W16/((1/1000)*(up_Irr!V16+up_Irr!AU16+up_Irr!BT16)),IF(AND(up_Irr!V16&lt;&gt;".",up_Irr!AU16&lt;&gt;".",up_Irr!BT16="."),up_dir!W16/((1/1000)*(up_Irr!V16+up_Irr!AU16)),IF(AND(up_Irr!V16&lt;&gt;".",up_Irr!AU16=".",up_Irr!BT16&lt;&gt;"."),up_dir!W16/((1/1000)*(up_Irr!V16+up_Irr!BT16)),IF(AND(up_Irr!V16=".",up_Irr!AU16&lt;&gt;".",up_Irr!BT16&lt;&gt;"."),up_dir!W16/((1/1000)*(up_Irr!AU16+up_Irr!BT16)),IF(AND(up_Irr!V16=".",up_Irr!AU16=".",up_Irr!BT16&lt;&gt;"."),up_dir!W16/((1/1000)*(up_Irr!BT16)),IF(AND(up_Irr!V16=".",up_Irr!AU16&lt;&gt;".",up_Irr!BT16="."),up_dir!W16/((1/1000)*(up_Irr!AU16)),IF(AND(up_Irr!V16&lt;&gt;".",up_Irr!AU16=".",up_Irr!BT16="."),up_dir!W16/((1/1000)*(up_Irr!V16)),IF(AND(up_Irr!V16=".",up_Irr!AU16=".",up_Irr!BT16="."),up_dir!W16*1000)))))))),".")</f>
        <v>6.5773651144152131E-4</v>
      </c>
      <c r="X16" s="70">
        <f>IFERROR(IF(AND(up_Irr!W16&lt;&gt;".",up_Irr!AV16&lt;&gt;".",up_Irr!BU16&lt;&gt;"."),up_dir!X16/((1/1000)*(up_Irr!W16+up_Irr!AV16+up_Irr!BU16)),IF(AND(up_Irr!W16&lt;&gt;".",up_Irr!AV16&lt;&gt;".",up_Irr!BU16="."),up_dir!X16/((1/1000)*(up_Irr!W16+up_Irr!AV16)),IF(AND(up_Irr!W16&lt;&gt;".",up_Irr!AV16=".",up_Irr!BU16&lt;&gt;"."),up_dir!X16/((1/1000)*(up_Irr!W16+up_Irr!BU16)),IF(AND(up_Irr!W16=".",up_Irr!AV16&lt;&gt;".",up_Irr!BU16&lt;&gt;"."),up_dir!X16/((1/1000)*(up_Irr!AV16+up_Irr!BU16)),IF(AND(up_Irr!W16=".",up_Irr!AV16=".",up_Irr!BU16&lt;&gt;"."),up_dir!X16/((1/1000)*(up_Irr!BU16)),IF(AND(up_Irr!W16=".",up_Irr!AV16&lt;&gt;".",up_Irr!BU16="."),up_dir!X16/((1/1000)*(up_Irr!AV16)),IF(AND(up_Irr!W16&lt;&gt;".",up_Irr!AV16=".",up_Irr!BU16="."),up_dir!X16/((1/1000)*(up_Irr!W16)),IF(AND(up_Irr!W16=".",up_Irr!AV16=".",up_Irr!BU16="."),up_dir!X16*1000)))))))),".")</f>
        <v>6.5773651144152131E-4</v>
      </c>
      <c r="Y16" s="70">
        <f>IFERROR(IF(AND(up_Irr!X16&lt;&gt;".",up_Irr!AW16&lt;&gt;".",up_Irr!BV16&lt;&gt;"."),up_dir!Y16/((1/1000)*(up_Irr!X16+up_Irr!AW16+up_Irr!BV16)),IF(AND(up_Irr!X16&lt;&gt;".",up_Irr!AW16&lt;&gt;".",up_Irr!BV16="."),up_dir!Y16/((1/1000)*(up_Irr!X16+up_Irr!AW16)),IF(AND(up_Irr!X16&lt;&gt;".",up_Irr!AW16=".",up_Irr!BV16&lt;&gt;"."),up_dir!Y16/((1/1000)*(up_Irr!X16+up_Irr!BV16)),IF(AND(up_Irr!X16=".",up_Irr!AW16&lt;&gt;".",up_Irr!BV16&lt;&gt;"."),up_dir!Y16/((1/1000)*(up_Irr!AW16+up_Irr!BV16)),IF(AND(up_Irr!X16=".",up_Irr!AW16=".",up_Irr!BV16&lt;&gt;"."),up_dir!Y16/((1/1000)*(up_Irr!BV16)),IF(AND(up_Irr!X16=".",up_Irr!AW16&lt;&gt;".",up_Irr!BV16="."),up_dir!Y16/((1/1000)*(up_Irr!AW16)),IF(AND(up_Irr!X16&lt;&gt;".",up_Irr!AW16=".",up_Irr!BV16="."),up_dir!Y16/((1/1000)*(up_Irr!X16)),IF(AND(up_Irr!X16=".",up_Irr!AW16=".",up_Irr!BV16="."),up_dir!Y16*1000)))))))),".")</f>
        <v>6.5773651144152131E-4</v>
      </c>
      <c r="Z16" s="70">
        <f>IFERROR(IF(AND(up_Irr!Y16&lt;&gt;".",up_Irr!AX16&lt;&gt;".",up_Irr!BW16&lt;&gt;"."),up_dir!Z16/((1/1000)*(up_Irr!Y16+up_Irr!AX16+up_Irr!BW16)),IF(AND(up_Irr!Y16&lt;&gt;".",up_Irr!AX16&lt;&gt;".",up_Irr!BW16="."),up_dir!Z16/((1/1000)*(up_Irr!Y16+up_Irr!AX16)),IF(AND(up_Irr!Y16&lt;&gt;".",up_Irr!AX16=".",up_Irr!BW16&lt;&gt;"."),up_dir!Z16/((1/1000)*(up_Irr!Y16+up_Irr!BW16)),IF(AND(up_Irr!Y16=".",up_Irr!AX16&lt;&gt;".",up_Irr!BW16&lt;&gt;"."),up_dir!Z16/((1/1000)*(up_Irr!AX16+up_Irr!BW16)),IF(AND(up_Irr!Y16=".",up_Irr!AX16=".",up_Irr!BW16&lt;&gt;"."),up_dir!Z16/((1/1000)*(up_Irr!BW16)),IF(AND(up_Irr!Y16=".",up_Irr!AX16&lt;&gt;".",up_Irr!BW16="."),up_dir!Z16/((1/1000)*(up_Irr!AX16)),IF(AND(up_Irr!Y16&lt;&gt;".",up_Irr!AX16=".",up_Irr!BW16="."),up_dir!Z16/((1/1000)*(up_Irr!Y16)),IF(AND(up_Irr!Y16=".",up_Irr!AX16=".",up_Irr!BW16="."),up_dir!Z16*1000)))))))),".")</f>
        <v>6.5773651144152131E-4</v>
      </c>
      <c r="AA16" s="70">
        <f>IFERROR(IF(AND(up_Irr!Z16&lt;&gt;".",up_Irr!AY16&lt;&gt;".",up_Irr!BX16&lt;&gt;"."),up_dir!AA16/((1/1000)*(up_Irr!Z16+up_Irr!AY16+up_Irr!BX16)),IF(AND(up_Irr!Z16&lt;&gt;".",up_Irr!AY16&lt;&gt;".",up_Irr!BX16="."),up_dir!AA16/((1/1000)*(up_Irr!Z16+up_Irr!AY16)),IF(AND(up_Irr!Z16&lt;&gt;".",up_Irr!AY16=".",up_Irr!BX16&lt;&gt;"."),up_dir!AA16/((1/1000)*(up_Irr!Z16+up_Irr!BX16)),IF(AND(up_Irr!Z16=".",up_Irr!AY16&lt;&gt;".",up_Irr!BX16&lt;&gt;"."),up_dir!AA16/((1/1000)*(up_Irr!AY16+up_Irr!BX16)),IF(AND(up_Irr!Z16=".",up_Irr!AY16=".",up_Irr!BX16&lt;&gt;"."),up_dir!AA16/((1/1000)*(up_Irr!BX16)),IF(AND(up_Irr!Z16=".",up_Irr!AY16&lt;&gt;".",up_Irr!BX16="."),up_dir!AA16/((1/1000)*(up_Irr!AY16)),IF(AND(up_Irr!Z16&lt;&gt;".",up_Irr!AY16=".",up_Irr!BX16="."),up_dir!AA16/((1/1000)*(up_Irr!Z16)),IF(AND(up_Irr!Z16=".",up_Irr!AY16=".",up_Irr!BX16="."),up_dir!AA16*1000)))))))),".")</f>
        <v>6.5773651144152131E-4</v>
      </c>
      <c r="AB16" s="70">
        <f>IFERROR(IF(AND(up_Irr!AA16&lt;&gt;".",up_Irr!AZ16&lt;&gt;".",up_Irr!BY16&lt;&gt;"."),up_dir!AB16/((1/1000)*(up_Irr!AA16+up_Irr!AZ16+up_Irr!BY16)),IF(AND(up_Irr!AA16&lt;&gt;".",up_Irr!AZ16&lt;&gt;".",up_Irr!BY16="."),up_dir!AB16/((1/1000)*(up_Irr!AA16+up_Irr!AZ16)),IF(AND(up_Irr!AA16&lt;&gt;".",up_Irr!AZ16=".",up_Irr!BY16&lt;&gt;"."),up_dir!AB16/((1/1000)*(up_Irr!AA16+up_Irr!BY16)),IF(AND(up_Irr!AA16=".",up_Irr!AZ16&lt;&gt;".",up_Irr!BY16&lt;&gt;"."),up_dir!AB16/((1/1000)*(up_Irr!AZ16+up_Irr!BY16)),IF(AND(up_Irr!AA16=".",up_Irr!AZ16=".",up_Irr!BY16&lt;&gt;"."),up_dir!AB16/((1/1000)*(up_Irr!BY16)),IF(AND(up_Irr!AA16=".",up_Irr!AZ16&lt;&gt;".",up_Irr!BY16="."),up_dir!AB16/((1/1000)*(up_Irr!AZ16)),IF(AND(up_Irr!AA16&lt;&gt;".",up_Irr!AZ16=".",up_Irr!BY16="."),up_dir!AB16/((1/1000)*(up_Irr!AA16)),IF(AND(up_Irr!AA16=".",up_Irr!AZ16=".",up_Irr!BY16="."),up_dir!AB16*1000)))))))),".")</f>
        <v>6.5773651144152131E-4</v>
      </c>
      <c r="AC16" s="87">
        <f t="shared" si="1"/>
        <v>30407.313038114935</v>
      </c>
      <c r="AD16" s="87">
        <f>IFERROR(s_C*s_IFAP_res_adj*s_CF_apple*0.001*(up_Irr!C16+up_Irr!AB16+up_Irr!BA16),".")</f>
        <v>7601.8282595287337</v>
      </c>
      <c r="AE16" s="87">
        <f>IFERROR(s_C*s_IFAS_res_adj*s_CF_asparagus*0.001*(up_Irr!D16+up_Irr!AC16+up_Irr!BB16),".")</f>
        <v>7601.8282595287337</v>
      </c>
      <c r="AF16" s="87">
        <f>IFERROR(s_C*s_IFBT_res_adj*s_CF_beet*0.001*(up_Irr!E16+up_Irr!AD16+up_Irr!BC16),".")</f>
        <v>7601.8282595287337</v>
      </c>
      <c r="AG16" s="87">
        <f>IFERROR(s_C*s_IFBE_res_adj*s_CF_berries*0.001*(up_Irr!F16+up_Irr!AE16+up_Irr!BD16),".")</f>
        <v>7601.8282595287337</v>
      </c>
      <c r="AH16" s="87">
        <f>IFERROR(s_C*s_IFBR_res_adj*s_CF_broccoli*0.001*(up_Irr!G16+up_Irr!AF16+up_Irr!BE16),".")</f>
        <v>7601.8282595287337</v>
      </c>
      <c r="AI16" s="87">
        <f>IFERROR(s_C*s_IFCB_res_adj*s_CF_cabbage*0.001*(up_Irr!H16+up_Irr!AG16+up_Irr!BF16),".")</f>
        <v>7601.8282595287337</v>
      </c>
      <c r="AJ16" s="87">
        <f>IFERROR(s_C*s_IFCR_res_adj*s_CF_carrot*0.001*(up_Irr!I16+up_Irr!AH16+up_Irr!BG16),".")</f>
        <v>7601.8282595287337</v>
      </c>
      <c r="AK16" s="87">
        <f>IFERROR(s_C*s_IFCI_res_adj*s_CF_citrus*0.001*(up_Irr!J16+up_Irr!AI16+up_Irr!BH16),".")</f>
        <v>7601.8282595287337</v>
      </c>
      <c r="AL16" s="87">
        <f>IFERROR(s_C*s_IFCO_res_adj*s_CF_corn*0.001*(up_Irr!K16+up_Irr!AJ16+up_Irr!BI16),".")</f>
        <v>7601.8282595287337</v>
      </c>
      <c r="AM16" s="87">
        <f>IFERROR(s_C*s_IFCU_res_adj*s_CF_cucumber*0.001*(up_Irr!L16+up_Irr!AK16+up_Irr!BJ16),".")</f>
        <v>7601.8282595287337</v>
      </c>
      <c r="AN16" s="87">
        <f>IFERROR(s_C*s_IFLE_res_adj*s_CF_lettuce*0.001*(up_Irr!M16+up_Irr!AL16+up_Irr!BK16),".")</f>
        <v>7601.8282595287337</v>
      </c>
      <c r="AO16" s="87">
        <f>IFERROR(s_C*s_IFLI_res_adj*s_CF_lima_bean*0.001*(up_Irr!N16+up_Irr!AM16+up_Irr!BL16),".")</f>
        <v>7601.8282595287337</v>
      </c>
      <c r="AP16" s="87">
        <f>IFERROR(s_C*s_IFOK_res_adj*s_CF_okra*0.001*(up_Irr!O16+up_Irr!AN16+up_Irr!BM16),".")</f>
        <v>7601.8282595287337</v>
      </c>
      <c r="AQ16" s="87">
        <f>IFERROR(s_C*s_IFON_res_adj*s_CF_onion*0.001*(up_Irr!P16+up_Irr!AO16+up_Irr!BN16),".")</f>
        <v>7601.8282595287337</v>
      </c>
      <c r="AR16" s="87">
        <f>IFERROR(s_C*s_IFPC_res_adj*s_CF_peach*0.001*(up_Irr!Q16+up_Irr!AP16+up_Irr!BO16),".")</f>
        <v>7601.8282595287337</v>
      </c>
      <c r="AS16" s="87">
        <f>IFERROR(s_C*s_IFPR_res_adj*s_CF_pear*0.001*(up_Irr!R16+up_Irr!AQ16+up_Irr!BP16),".")</f>
        <v>7601.8282595287337</v>
      </c>
      <c r="AT16" s="87">
        <f>IFERROR(s_C*s_IFPE_res_adj*s_CF_peas*0.001*(up_Irr!S16+up_Irr!AR16+up_Irr!BQ16),".")</f>
        <v>7601.8282595287337</v>
      </c>
      <c r="AU16" s="87">
        <f>IFERROR(s_C*s_IFPP_res_adj*s_CF_peppers*0.001*(up_Irr!T16+up_Irr!AS16+up_Irr!BR16),".")</f>
        <v>7601.8282595287337</v>
      </c>
      <c r="AV16" s="87">
        <f>IFERROR(s_C*s_IFPT_res_adj*s_CF_potato*0.001*(up_Irr!U16+up_Irr!AT16+up_Irr!BS16),".")</f>
        <v>7601.8282595287337</v>
      </c>
      <c r="AW16" s="87">
        <f>IFERROR(s_C*s_IFPU_res_adj*s_CF_pumpkin*0.001*(up_Irr!V16+up_Irr!AU16+up_Irr!BT16),".")</f>
        <v>7601.8282595287337</v>
      </c>
      <c r="AX16" s="87">
        <f>IFERROR(s_C*s_IFSN_res_adj*s_CF_snap_bean*0.001*(up_Irr!W16+up_Irr!AV16+up_Irr!BU16),".")</f>
        <v>7601.8282595287337</v>
      </c>
      <c r="AY16" s="87">
        <f>IFERROR(s_C*s_IFST_res_adj*s_CF_strawberry*0.001*(up_Irr!X16+up_Irr!AW16+up_Irr!BV16),".")</f>
        <v>7601.8282595287337</v>
      </c>
      <c r="AZ16" s="87">
        <f>IFERROR(s_C*s_IFTO_res_adj*s_CF_tomato*0.001*(up_Irr!Y16+up_Irr!AX16+up_Irr!BW16),".")</f>
        <v>7601.8282595287337</v>
      </c>
      <c r="BA16" s="87">
        <f>IFERROR(s_C*s_IFRI_res_adj*s_CF_rice*0.001*(up_Irr!Z16+up_Irr!AY16+up_Irr!BX16),".")</f>
        <v>7601.8282595287337</v>
      </c>
      <c r="BB16" s="87">
        <f>IFERROR(s_C*s_IFCG_res_adj*s_CF_cereal*0.001*(up_Irr!AA16+up_Irr!AZ16+up_Irr!BY16),".")</f>
        <v>7601.8282595287337</v>
      </c>
      <c r="BC16" s="70">
        <f t="shared" si="2"/>
        <v>1.6443412786038033E-4</v>
      </c>
      <c r="BD16" s="70">
        <f>IFERROR(IF(AND(up_Irr!C16&lt;&gt;".",up_Irr!AB16&lt;&gt;".",up_Irr!BA16&lt;&gt;"."),up_dir!AD16/((1/1000)*(up_Irr!C16+up_Irr!AB16+up_Irr!BA16)),IF(AND(up_Irr!C16&lt;&gt;".",up_Irr!AB16&lt;&gt;".",up_Irr!BA16="."),up_dir!AD16/((1/1000)*(up_Irr!C16+up_Irr!AB16)),IF(AND(up_Irr!C16&lt;&gt;".",up_Irr!AB16=".",up_Irr!BA16&lt;&gt;"."),up_dir!AD16/((1/1000)*(up_Irr!C16+up_Irr!BA16)),IF(AND(up_Irr!C16=".",up_Irr!AB16&lt;&gt;".",up_Irr!BA16&lt;&gt;"."),up_dir!AD16/((1/1000)*(up_Irr!AB16+up_Irr!BA16)),IF(AND(up_Irr!C16=".",up_Irr!AB16=".",up_Irr!BA16&lt;&gt;"."),up_dir!AD16/((1/1000)*(up_Irr!BA16)),IF(AND(up_Irr!C16=".",up_Irr!AB16&lt;&gt;".",up_Irr!BA16="."),up_dir!AD16/((1/1000)*(up_Irr!AB16)),IF(AND(up_Irr!C16&lt;&gt;".",up_Irr!AB16=".",up_Irr!BA16="."),up_dir!AD16/((1/1000)*(up_Irr!C16)),IF(AND(up_Irr!C16=".",up_Irr!AB16=".",up_Irr!BA16="."),up_dir!AD16*1000)))))))),".")</f>
        <v>6.5773651144152131E-4</v>
      </c>
      <c r="BE16" s="70">
        <f>IFERROR(IF(AND(up_Irr!D16&lt;&gt;".",up_Irr!AC16&lt;&gt;".",up_Irr!BB16&lt;&gt;"."),up_dir!AE16/((1/1000)*(up_Irr!D16+up_Irr!AC16+up_Irr!BB16)),IF(AND(up_Irr!D16&lt;&gt;".",up_Irr!AC16&lt;&gt;".",up_Irr!BB16="."),up_dir!AE16/((1/1000)*(up_Irr!D16+up_Irr!AC16)),IF(AND(up_Irr!D16&lt;&gt;".",up_Irr!AC16=".",up_Irr!BB16&lt;&gt;"."),up_dir!AE16/((1/1000)*(up_Irr!D16+up_Irr!BB16)),IF(AND(up_Irr!D16=".",up_Irr!AC16&lt;&gt;".",up_Irr!BB16&lt;&gt;"."),up_dir!AE16/((1/1000)*(up_Irr!AC16+up_Irr!BB16)),IF(AND(up_Irr!D16=".",up_Irr!AC16=".",up_Irr!BB16&lt;&gt;"."),up_dir!AE16/((1/1000)*(up_Irr!BB16)),IF(AND(up_Irr!D16=".",up_Irr!AC16&lt;&gt;".",up_Irr!BB16="."),up_dir!AE16/((1/1000)*(up_Irr!AC16)),IF(AND(up_Irr!D16&lt;&gt;".",up_Irr!AC16=".",up_Irr!BB16="."),up_dir!AE16/((1/1000)*(up_Irr!D16)),IF(AND(up_Irr!D16=".",up_Irr!AC16=".",up_Irr!BB16="."),up_dir!AE16*1000)))))))),".")</f>
        <v>6.5773651144152131E-4</v>
      </c>
      <c r="BF16" s="70">
        <f>IFERROR(IF(AND(up_Irr!E16&lt;&gt;".",up_Irr!AD16&lt;&gt;".",up_Irr!BC16&lt;&gt;"."),up_dir!AF16/((1/1000)*(up_Irr!E16+up_Irr!AD16+up_Irr!BC16)),IF(AND(up_Irr!E16&lt;&gt;".",up_Irr!AD16&lt;&gt;".",up_Irr!BC16="."),up_dir!AF16/((1/1000)*(up_Irr!E16+up_Irr!AD16)),IF(AND(up_Irr!E16&lt;&gt;".",up_Irr!AD16=".",up_Irr!BC16&lt;&gt;"."),up_dir!AF16/((1/1000)*(up_Irr!E16+up_Irr!BC16)),IF(AND(up_Irr!E16=".",up_Irr!AD16&lt;&gt;".",up_Irr!BC16&lt;&gt;"."),up_dir!AF16/((1/1000)*(up_Irr!AD16+up_Irr!BC16)),IF(AND(up_Irr!E16=".",up_Irr!AD16=".",up_Irr!BC16&lt;&gt;"."),up_dir!AF16/((1/1000)*(up_Irr!BC16)),IF(AND(up_Irr!E16=".",up_Irr!AD16&lt;&gt;".",up_Irr!BC16="."),up_dir!AF16/((1/1000)*(up_Irr!AD16)),IF(AND(up_Irr!E16&lt;&gt;".",up_Irr!AD16=".",up_Irr!BC16="."),up_dir!AF16/((1/1000)*(up_Irr!E16)),IF(AND(up_Irr!E16=".",up_Irr!AD16=".",up_Irr!BC16="."),up_dir!AF16*1000)))))))),".")</f>
        <v>6.5773651144152131E-4</v>
      </c>
      <c r="BG16" s="70">
        <f>IFERROR(IF(AND(up_Irr!F16&lt;&gt;".",up_Irr!AE16&lt;&gt;".",up_Irr!BD16&lt;&gt;"."),up_dir!AG16/((1/1000)*(up_Irr!F16+up_Irr!AE16+up_Irr!BD16)),IF(AND(up_Irr!F16&lt;&gt;".",up_Irr!AE16&lt;&gt;".",up_Irr!BD16="."),up_dir!AG16/((1/1000)*(up_Irr!F16+up_Irr!AE16)),IF(AND(up_Irr!F16&lt;&gt;".",up_Irr!AE16=".",up_Irr!BD16&lt;&gt;"."),up_dir!AG16/((1/1000)*(up_Irr!F16+up_Irr!BD16)),IF(AND(up_Irr!F16=".",up_Irr!AE16&lt;&gt;".",up_Irr!BD16&lt;&gt;"."),up_dir!AG16/((1/1000)*(up_Irr!AE16+up_Irr!BD16)),IF(AND(up_Irr!F16=".",up_Irr!AE16=".",up_Irr!BD16&lt;&gt;"."),up_dir!AG16/((1/1000)*(up_Irr!BD16)),IF(AND(up_Irr!F16=".",up_Irr!AE16&lt;&gt;".",up_Irr!BD16="."),up_dir!AG16/((1/1000)*(up_Irr!AE16)),IF(AND(up_Irr!F16&lt;&gt;".",up_Irr!AE16=".",up_Irr!BD16="."),up_dir!AG16/((1/1000)*(up_Irr!F16)),IF(AND(up_Irr!F16=".",up_Irr!AE16=".",up_Irr!BD16="."),up_dir!AG16*1000)))))))),".")</f>
        <v>6.5773651144152131E-4</v>
      </c>
      <c r="BH16" s="70">
        <f>IFERROR(IF(AND(up_Irr!G16&lt;&gt;".",up_Irr!AF16&lt;&gt;".",up_Irr!BE16&lt;&gt;"."),up_dir!AH16/((1/1000)*(up_Irr!G16+up_Irr!AF16+up_Irr!BE16)),IF(AND(up_Irr!G16&lt;&gt;".",up_Irr!AF16&lt;&gt;".",up_Irr!BE16="."),up_dir!AH16/((1/1000)*(up_Irr!G16+up_Irr!AF16)),IF(AND(up_Irr!G16&lt;&gt;".",up_Irr!AF16=".",up_Irr!BE16&lt;&gt;"."),up_dir!AH16/((1/1000)*(up_Irr!G16+up_Irr!BE16)),IF(AND(up_Irr!G16=".",up_Irr!AF16&lt;&gt;".",up_Irr!BE16&lt;&gt;"."),up_dir!AH16/((1/1000)*(up_Irr!AF16+up_Irr!BE16)),IF(AND(up_Irr!G16=".",up_Irr!AF16=".",up_Irr!BE16&lt;&gt;"."),up_dir!AH16/((1/1000)*(up_Irr!BE16)),IF(AND(up_Irr!G16=".",up_Irr!AF16&lt;&gt;".",up_Irr!BE16="."),up_dir!AH16/((1/1000)*(up_Irr!AF16)),IF(AND(up_Irr!G16&lt;&gt;".",up_Irr!AF16=".",up_Irr!BE16="."),up_dir!AH16/((1/1000)*(up_Irr!G16)),IF(AND(up_Irr!G16=".",up_Irr!AF16=".",up_Irr!BE16="."),up_dir!AH16*1000)))))))),".")</f>
        <v>6.5773651144152131E-4</v>
      </c>
      <c r="BI16" s="70">
        <f>IFERROR(IF(AND(up_Irr!H16&lt;&gt;".",up_Irr!AG16&lt;&gt;".",up_Irr!BF16&lt;&gt;"."),up_dir!AI16/((1/1000)*(up_Irr!H16+up_Irr!AG16+up_Irr!BF16)),IF(AND(up_Irr!H16&lt;&gt;".",up_Irr!AG16&lt;&gt;".",up_Irr!BF16="."),up_dir!AI16/((1/1000)*(up_Irr!H16+up_Irr!AG16)),IF(AND(up_Irr!H16&lt;&gt;".",up_Irr!AG16=".",up_Irr!BF16&lt;&gt;"."),up_dir!AI16/((1/1000)*(up_Irr!H16+up_Irr!BF16)),IF(AND(up_Irr!H16=".",up_Irr!AG16&lt;&gt;".",up_Irr!BF16&lt;&gt;"."),up_dir!AI16/((1/1000)*(up_Irr!AG16+up_Irr!BF16)),IF(AND(up_Irr!H16=".",up_Irr!AG16=".",up_Irr!BF16&lt;&gt;"."),up_dir!AI16/((1/1000)*(up_Irr!BF16)),IF(AND(up_Irr!H16=".",up_Irr!AG16&lt;&gt;".",up_Irr!BF16="."),up_dir!AI16/((1/1000)*(up_Irr!AG16)),IF(AND(up_Irr!H16&lt;&gt;".",up_Irr!AG16=".",up_Irr!BF16="."),up_dir!AI16/((1/1000)*(up_Irr!H16)),IF(AND(up_Irr!H16=".",up_Irr!AG16=".",up_Irr!BF16="."),up_dir!AI16*1000)))))))),".")</f>
        <v>6.5773651144152131E-4</v>
      </c>
      <c r="BJ16" s="70">
        <f>IFERROR(IF(AND(up_Irr!I16&lt;&gt;".",up_Irr!AH16&lt;&gt;".",up_Irr!BG16&lt;&gt;"."),up_dir!AJ16/((1/1000)*(up_Irr!I16+up_Irr!AH16+up_Irr!BG16)),IF(AND(up_Irr!I16&lt;&gt;".",up_Irr!AH16&lt;&gt;".",up_Irr!BG16="."),up_dir!AJ16/((1/1000)*(up_Irr!I16+up_Irr!AH16)),IF(AND(up_Irr!I16&lt;&gt;".",up_Irr!AH16=".",up_Irr!BG16&lt;&gt;"."),up_dir!AJ16/((1/1000)*(up_Irr!I16+up_Irr!BG16)),IF(AND(up_Irr!I16=".",up_Irr!AH16&lt;&gt;".",up_Irr!BG16&lt;&gt;"."),up_dir!AJ16/((1/1000)*(up_Irr!AH16+up_Irr!BG16)),IF(AND(up_Irr!I16=".",up_Irr!AH16=".",up_Irr!BG16&lt;&gt;"."),up_dir!AJ16/((1/1000)*(up_Irr!BG16)),IF(AND(up_Irr!I16=".",up_Irr!AH16&lt;&gt;".",up_Irr!BG16="."),up_dir!AJ16/((1/1000)*(up_Irr!AH16)),IF(AND(up_Irr!I16&lt;&gt;".",up_Irr!AH16=".",up_Irr!BG16="."),up_dir!AJ16/((1/1000)*(up_Irr!I16)),IF(AND(up_Irr!I16=".",up_Irr!AH16=".",up_Irr!BG16="."),up_dir!AJ16*1000)))))))),".")</f>
        <v>6.5773651144152131E-4</v>
      </c>
      <c r="BK16" s="70">
        <f>IFERROR(IF(AND(up_Irr!J16&lt;&gt;".",up_Irr!AI16&lt;&gt;".",up_Irr!BH16&lt;&gt;"."),up_dir!AK16/((1/1000)*(up_Irr!J16+up_Irr!AI16+up_Irr!BH16)),IF(AND(up_Irr!J16&lt;&gt;".",up_Irr!AI16&lt;&gt;".",up_Irr!BH16="."),up_dir!AK16/((1/1000)*(up_Irr!J16+up_Irr!AI16)),IF(AND(up_Irr!J16&lt;&gt;".",up_Irr!AI16=".",up_Irr!BH16&lt;&gt;"."),up_dir!AK16/((1/1000)*(up_Irr!J16+up_Irr!BH16)),IF(AND(up_Irr!J16=".",up_Irr!AI16&lt;&gt;".",up_Irr!BH16&lt;&gt;"."),up_dir!AK16/((1/1000)*(up_Irr!AI16+up_Irr!BH16)),IF(AND(up_Irr!J16=".",up_Irr!AI16=".",up_Irr!BH16&lt;&gt;"."),up_dir!AK16/((1/1000)*(up_Irr!BH16)),IF(AND(up_Irr!J16=".",up_Irr!AI16&lt;&gt;".",up_Irr!BH16="."),up_dir!AK16/((1/1000)*(up_Irr!AI16)),IF(AND(up_Irr!J16&lt;&gt;".",up_Irr!AI16=".",up_Irr!BH16="."),up_dir!AK16/((1/1000)*(up_Irr!J16)),IF(AND(up_Irr!J16=".",up_Irr!AI16=".",up_Irr!BH16="."),up_dir!AK16*1000)))))))),".")</f>
        <v>6.5773651144152131E-4</v>
      </c>
      <c r="BL16" s="70">
        <f>IFERROR(IF(AND(up_Irr!K16&lt;&gt;".",up_Irr!AJ16&lt;&gt;".",up_Irr!BI16&lt;&gt;"."),up_dir!AL16/((1/1000)*(up_Irr!K16+up_Irr!AJ16+up_Irr!BI16)),IF(AND(up_Irr!K16&lt;&gt;".",up_Irr!AJ16&lt;&gt;".",up_Irr!BI16="."),up_dir!AL16/((1/1000)*(up_Irr!K16+up_Irr!AJ16)),IF(AND(up_Irr!K16&lt;&gt;".",up_Irr!AJ16=".",up_Irr!BI16&lt;&gt;"."),up_dir!AL16/((1/1000)*(up_Irr!K16+up_Irr!BI16)),IF(AND(up_Irr!K16=".",up_Irr!AJ16&lt;&gt;".",up_Irr!BI16&lt;&gt;"."),up_dir!AL16/((1/1000)*(up_Irr!AJ16+up_Irr!BI16)),IF(AND(up_Irr!K16=".",up_Irr!AJ16=".",up_Irr!BI16&lt;&gt;"."),up_dir!AL16/((1/1000)*(up_Irr!BI16)),IF(AND(up_Irr!K16=".",up_Irr!AJ16&lt;&gt;".",up_Irr!BI16="."),up_dir!AL16/((1/1000)*(up_Irr!AJ16)),IF(AND(up_Irr!K16&lt;&gt;".",up_Irr!AJ16=".",up_Irr!BI16="."),up_dir!AL16/((1/1000)*(up_Irr!K16)),IF(AND(up_Irr!K16=".",up_Irr!AJ16=".",up_Irr!BI16="."),up_dir!AL16*1000)))))))),".")</f>
        <v>6.5773651144152131E-4</v>
      </c>
      <c r="BM16" s="70">
        <f>IFERROR(IF(AND(up_Irr!L16&lt;&gt;".",up_Irr!AK16&lt;&gt;".",up_Irr!BJ16&lt;&gt;"."),up_dir!AM16/((1/1000)*(up_Irr!L16+up_Irr!AK16+up_Irr!BJ16)),IF(AND(up_Irr!L16&lt;&gt;".",up_Irr!AK16&lt;&gt;".",up_Irr!BJ16="."),up_dir!AM16/((1/1000)*(up_Irr!L16+up_Irr!AK16)),IF(AND(up_Irr!L16&lt;&gt;".",up_Irr!AK16=".",up_Irr!BJ16&lt;&gt;"."),up_dir!AM16/((1/1000)*(up_Irr!L16+up_Irr!BJ16)),IF(AND(up_Irr!L16=".",up_Irr!AK16&lt;&gt;".",up_Irr!BJ16&lt;&gt;"."),up_dir!AM16/((1/1000)*(up_Irr!AK16+up_Irr!BJ16)),IF(AND(up_Irr!L16=".",up_Irr!AK16=".",up_Irr!BJ16&lt;&gt;"."),up_dir!AM16/((1/1000)*(up_Irr!BJ16)),IF(AND(up_Irr!L16=".",up_Irr!AK16&lt;&gt;".",up_Irr!BJ16="."),up_dir!AM16/((1/1000)*(up_Irr!AK16)),IF(AND(up_Irr!L16&lt;&gt;".",up_Irr!AK16=".",up_Irr!BJ16="."),up_dir!AM16/((1/1000)*(up_Irr!L16)),IF(AND(up_Irr!L16=".",up_Irr!AK16=".",up_Irr!BJ16="."),up_dir!AM16*1000)))))))),".")</f>
        <v>6.5773651144152131E-4</v>
      </c>
      <c r="BN16" s="70">
        <f>IFERROR(IF(AND(up_Irr!M16&lt;&gt;".",up_Irr!AL16&lt;&gt;".",up_Irr!BK16&lt;&gt;"."),up_dir!AN16/((1/1000)*(up_Irr!M16+up_Irr!AL16+up_Irr!BK16)),IF(AND(up_Irr!M16&lt;&gt;".",up_Irr!AL16&lt;&gt;".",up_Irr!BK16="."),up_dir!AN16/((1/1000)*(up_Irr!M16+up_Irr!AL16)),IF(AND(up_Irr!M16&lt;&gt;".",up_Irr!AL16=".",up_Irr!BK16&lt;&gt;"."),up_dir!AN16/((1/1000)*(up_Irr!M16+up_Irr!BK16)),IF(AND(up_Irr!M16=".",up_Irr!AL16&lt;&gt;".",up_Irr!BK16&lt;&gt;"."),up_dir!AN16/((1/1000)*(up_Irr!AL16+up_Irr!BK16)),IF(AND(up_Irr!M16=".",up_Irr!AL16=".",up_Irr!BK16&lt;&gt;"."),up_dir!AN16/((1/1000)*(up_Irr!BK16)),IF(AND(up_Irr!M16=".",up_Irr!AL16&lt;&gt;".",up_Irr!BK16="."),up_dir!AN16/((1/1000)*(up_Irr!AL16)),IF(AND(up_Irr!M16&lt;&gt;".",up_Irr!AL16=".",up_Irr!BK16="."),up_dir!AN16/((1/1000)*(up_Irr!M16)),IF(AND(up_Irr!M16=".",up_Irr!AL16=".",up_Irr!BK16="."),up_dir!AN16*1000)))))))),".")</f>
        <v>6.5773651144152131E-4</v>
      </c>
      <c r="BO16" s="70">
        <f>IFERROR(IF(AND(up_Irr!N16&lt;&gt;".",up_Irr!AM16&lt;&gt;".",up_Irr!BL16&lt;&gt;"."),up_dir!AO16/((1/1000)*(up_Irr!N16+up_Irr!AM16+up_Irr!BL16)),IF(AND(up_Irr!N16&lt;&gt;".",up_Irr!AM16&lt;&gt;".",up_Irr!BL16="."),up_dir!AO16/((1/1000)*(up_Irr!N16+up_Irr!AM16)),IF(AND(up_Irr!N16&lt;&gt;".",up_Irr!AM16=".",up_Irr!BL16&lt;&gt;"."),up_dir!AO16/((1/1000)*(up_Irr!N16+up_Irr!BL16)),IF(AND(up_Irr!N16=".",up_Irr!AM16&lt;&gt;".",up_Irr!BL16&lt;&gt;"."),up_dir!AO16/((1/1000)*(up_Irr!AM16+up_Irr!BL16)),IF(AND(up_Irr!N16=".",up_Irr!AM16=".",up_Irr!BL16&lt;&gt;"."),up_dir!AO16/((1/1000)*(up_Irr!BL16)),IF(AND(up_Irr!N16=".",up_Irr!AM16&lt;&gt;".",up_Irr!BL16="."),up_dir!AO16/((1/1000)*(up_Irr!AM16)),IF(AND(up_Irr!N16&lt;&gt;".",up_Irr!AM16=".",up_Irr!BL16="."),up_dir!AO16/((1/1000)*(up_Irr!N16)),IF(AND(up_Irr!N16=".",up_Irr!AM16=".",up_Irr!BL16="."),up_dir!AO16*1000)))))))),".")</f>
        <v>6.5773651144152131E-4</v>
      </c>
      <c r="BP16" s="70">
        <f>IFERROR(IF(AND(up_Irr!O16&lt;&gt;".",up_Irr!AN16&lt;&gt;".",up_Irr!BM16&lt;&gt;"."),up_dir!AP16/((1/1000)*(up_Irr!O16+up_Irr!AN16+up_Irr!BM16)),IF(AND(up_Irr!O16&lt;&gt;".",up_Irr!AN16&lt;&gt;".",up_Irr!BM16="."),up_dir!AP16/((1/1000)*(up_Irr!O16+up_Irr!AN16)),IF(AND(up_Irr!O16&lt;&gt;".",up_Irr!AN16=".",up_Irr!BM16&lt;&gt;"."),up_dir!AP16/((1/1000)*(up_Irr!O16+up_Irr!BM16)),IF(AND(up_Irr!O16=".",up_Irr!AN16&lt;&gt;".",up_Irr!BM16&lt;&gt;"."),up_dir!AP16/((1/1000)*(up_Irr!AN16+up_Irr!BM16)),IF(AND(up_Irr!O16=".",up_Irr!AN16=".",up_Irr!BM16&lt;&gt;"."),up_dir!AP16/((1/1000)*(up_Irr!BM16)),IF(AND(up_Irr!O16=".",up_Irr!AN16&lt;&gt;".",up_Irr!BM16="."),up_dir!AP16/((1/1000)*(up_Irr!AN16)),IF(AND(up_Irr!O16&lt;&gt;".",up_Irr!AN16=".",up_Irr!BM16="."),up_dir!AP16/((1/1000)*(up_Irr!O16)),IF(AND(up_Irr!O16=".",up_Irr!AN16=".",up_Irr!BM16="."),up_dir!AP16*1000)))))))),".")</f>
        <v>6.5773651144152131E-4</v>
      </c>
      <c r="BQ16" s="70">
        <f>IFERROR(IF(AND(up_Irr!P16&lt;&gt;".",up_Irr!AO16&lt;&gt;".",up_Irr!BN16&lt;&gt;"."),up_dir!AQ16/((1/1000)*(up_Irr!P16+up_Irr!AO16+up_Irr!BN16)),IF(AND(up_Irr!P16&lt;&gt;".",up_Irr!AO16&lt;&gt;".",up_Irr!BN16="."),up_dir!AQ16/((1/1000)*(up_Irr!P16+up_Irr!AO16)),IF(AND(up_Irr!P16&lt;&gt;".",up_Irr!AO16=".",up_Irr!BN16&lt;&gt;"."),up_dir!AQ16/((1/1000)*(up_Irr!P16+up_Irr!BN16)),IF(AND(up_Irr!P16=".",up_Irr!AO16&lt;&gt;".",up_Irr!BN16&lt;&gt;"."),up_dir!AQ16/((1/1000)*(up_Irr!AO16+up_Irr!BN16)),IF(AND(up_Irr!P16=".",up_Irr!AO16=".",up_Irr!BN16&lt;&gt;"."),up_dir!AQ16/((1/1000)*(up_Irr!BN16)),IF(AND(up_Irr!P16=".",up_Irr!AO16&lt;&gt;".",up_Irr!BN16="."),up_dir!AQ16/((1/1000)*(up_Irr!AO16)),IF(AND(up_Irr!P16&lt;&gt;".",up_Irr!AO16=".",up_Irr!BN16="."),up_dir!AQ16/((1/1000)*(up_Irr!P16)),IF(AND(up_Irr!P16=".",up_Irr!AO16=".",up_Irr!BN16="."),up_dir!AQ16*1000)))))))),".")</f>
        <v>6.5773651144152131E-4</v>
      </c>
      <c r="BR16" s="70">
        <f>IFERROR(IF(AND(up_Irr!Q16&lt;&gt;".",up_Irr!AP16&lt;&gt;".",up_Irr!BO16&lt;&gt;"."),up_dir!AR16/((1/1000)*(up_Irr!Q16+up_Irr!AP16+up_Irr!BO16)),IF(AND(up_Irr!Q16&lt;&gt;".",up_Irr!AP16&lt;&gt;".",up_Irr!BO16="."),up_dir!AR16/((1/1000)*(up_Irr!Q16+up_Irr!AP16)),IF(AND(up_Irr!Q16&lt;&gt;".",up_Irr!AP16=".",up_Irr!BO16&lt;&gt;"."),up_dir!AR16/((1/1000)*(up_Irr!Q16+up_Irr!BO16)),IF(AND(up_Irr!Q16=".",up_Irr!AP16&lt;&gt;".",up_Irr!BO16&lt;&gt;"."),up_dir!AR16/((1/1000)*(up_Irr!AP16+up_Irr!BO16)),IF(AND(up_Irr!Q16=".",up_Irr!AP16=".",up_Irr!BO16&lt;&gt;"."),up_dir!AR16/((1/1000)*(up_Irr!BO16)),IF(AND(up_Irr!Q16=".",up_Irr!AP16&lt;&gt;".",up_Irr!BO16="."),up_dir!AR16/((1/1000)*(up_Irr!AP16)),IF(AND(up_Irr!Q16&lt;&gt;".",up_Irr!AP16=".",up_Irr!BO16="."),up_dir!AR16/((1/1000)*(up_Irr!Q16)),IF(AND(up_Irr!Q16=".",up_Irr!AP16=".",up_Irr!BO16="."),up_dir!AR16*1000)))))))),".")</f>
        <v>6.5773651144152131E-4</v>
      </c>
      <c r="BS16" s="70">
        <f>IFERROR(IF(AND(up_Irr!R16&lt;&gt;".",up_Irr!AQ16&lt;&gt;".",up_Irr!BP16&lt;&gt;"."),up_dir!AS16/((1/1000)*(up_Irr!R16+up_Irr!AQ16+up_Irr!BP16)),IF(AND(up_Irr!R16&lt;&gt;".",up_Irr!AQ16&lt;&gt;".",up_Irr!BP16="."),up_dir!AS16/((1/1000)*(up_Irr!R16+up_Irr!AQ16)),IF(AND(up_Irr!R16&lt;&gt;".",up_Irr!AQ16=".",up_Irr!BP16&lt;&gt;"."),up_dir!AS16/((1/1000)*(up_Irr!R16+up_Irr!BP16)),IF(AND(up_Irr!R16=".",up_Irr!AQ16&lt;&gt;".",up_Irr!BP16&lt;&gt;"."),up_dir!AS16/((1/1000)*(up_Irr!AQ16+up_Irr!BP16)),IF(AND(up_Irr!R16=".",up_Irr!AQ16=".",up_Irr!BP16&lt;&gt;"."),up_dir!AS16/((1/1000)*(up_Irr!BP16)),IF(AND(up_Irr!R16=".",up_Irr!AQ16&lt;&gt;".",up_Irr!BP16="."),up_dir!AS16/((1/1000)*(up_Irr!AQ16)),IF(AND(up_Irr!R16&lt;&gt;".",up_Irr!AQ16=".",up_Irr!BP16="."),up_dir!AS16/((1/1000)*(up_Irr!R16)),IF(AND(up_Irr!R16=".",up_Irr!AQ16=".",up_Irr!BP16="."),up_dir!AS16*1000)))))))),".")</f>
        <v>6.5773651144152131E-4</v>
      </c>
      <c r="BT16" s="70">
        <f>IFERROR(IF(AND(up_Irr!S16&lt;&gt;".",up_Irr!AR16&lt;&gt;".",up_Irr!BQ16&lt;&gt;"."),up_dir!AT16/((1/1000)*(up_Irr!S16+up_Irr!AR16+up_Irr!BQ16)),IF(AND(up_Irr!S16&lt;&gt;".",up_Irr!AR16&lt;&gt;".",up_Irr!BQ16="."),up_dir!AT16/((1/1000)*(up_Irr!S16+up_Irr!AR16)),IF(AND(up_Irr!S16&lt;&gt;".",up_Irr!AR16=".",up_Irr!BQ16&lt;&gt;"."),up_dir!AT16/((1/1000)*(up_Irr!S16+up_Irr!BQ16)),IF(AND(up_Irr!S16=".",up_Irr!AR16&lt;&gt;".",up_Irr!BQ16&lt;&gt;"."),up_dir!AT16/((1/1000)*(up_Irr!AR16+up_Irr!BQ16)),IF(AND(up_Irr!S16=".",up_Irr!AR16=".",up_Irr!BQ16&lt;&gt;"."),up_dir!AT16/((1/1000)*(up_Irr!BQ16)),IF(AND(up_Irr!S16=".",up_Irr!AR16&lt;&gt;".",up_Irr!BQ16="."),up_dir!AT16/((1/1000)*(up_Irr!AR16)),IF(AND(up_Irr!S16&lt;&gt;".",up_Irr!AR16=".",up_Irr!BQ16="."),up_dir!AT16/((1/1000)*(up_Irr!S16)),IF(AND(up_Irr!S16=".",up_Irr!AR16=".",up_Irr!BQ16="."),up_dir!AT16*1000)))))))),".")</f>
        <v>6.5773651144152131E-4</v>
      </c>
      <c r="BU16" s="70">
        <f>IFERROR(IF(AND(up_Irr!T16&lt;&gt;".",up_Irr!AS16&lt;&gt;".",up_Irr!BR16&lt;&gt;"."),up_dir!AU16/((1/1000)*(up_Irr!T16+up_Irr!AS16+up_Irr!BR16)),IF(AND(up_Irr!T16&lt;&gt;".",up_Irr!AS16&lt;&gt;".",up_Irr!BR16="."),up_dir!AU16/((1/1000)*(up_Irr!T16+up_Irr!AS16)),IF(AND(up_Irr!T16&lt;&gt;".",up_Irr!AS16=".",up_Irr!BR16&lt;&gt;"."),up_dir!AU16/((1/1000)*(up_Irr!T16+up_Irr!BR16)),IF(AND(up_Irr!T16=".",up_Irr!AS16&lt;&gt;".",up_Irr!BR16&lt;&gt;"."),up_dir!AU16/((1/1000)*(up_Irr!AS16+up_Irr!BR16)),IF(AND(up_Irr!T16=".",up_Irr!AS16=".",up_Irr!BR16&lt;&gt;"."),up_dir!AU16/((1/1000)*(up_Irr!BR16)),IF(AND(up_Irr!T16=".",up_Irr!AS16&lt;&gt;".",up_Irr!BR16="."),up_dir!AU16/((1/1000)*(up_Irr!AS16)),IF(AND(up_Irr!T16&lt;&gt;".",up_Irr!AS16=".",up_Irr!BR16="."),up_dir!AU16/((1/1000)*(up_Irr!T16)),IF(AND(up_Irr!T16=".",up_Irr!AS16=".",up_Irr!BR16="."),up_dir!AU16*1000)))))))),".")</f>
        <v>6.5773651144152131E-4</v>
      </c>
      <c r="BV16" s="70">
        <f>IFERROR(IF(AND(up_Irr!U16&lt;&gt;".",up_Irr!AT16&lt;&gt;".",up_Irr!BS16&lt;&gt;"."),up_dir!AV16/((1/1000)*(up_Irr!U16+up_Irr!AT16+up_Irr!BS16)),IF(AND(up_Irr!U16&lt;&gt;".",up_Irr!AT16&lt;&gt;".",up_Irr!BS16="."),up_dir!AV16/((1/1000)*(up_Irr!U16+up_Irr!AT16)),IF(AND(up_Irr!U16&lt;&gt;".",up_Irr!AT16=".",up_Irr!BS16&lt;&gt;"."),up_dir!AV16/((1/1000)*(up_Irr!U16+up_Irr!BS16)),IF(AND(up_Irr!U16=".",up_Irr!AT16&lt;&gt;".",up_Irr!BS16&lt;&gt;"."),up_dir!AV16/((1/1000)*(up_Irr!AT16+up_Irr!BS16)),IF(AND(up_Irr!U16=".",up_Irr!AT16=".",up_Irr!BS16&lt;&gt;"."),up_dir!AV16/((1/1000)*(up_Irr!BS16)),IF(AND(up_Irr!U16=".",up_Irr!AT16&lt;&gt;".",up_Irr!BS16="."),up_dir!AV16/((1/1000)*(up_Irr!AT16)),IF(AND(up_Irr!U16&lt;&gt;".",up_Irr!AT16=".",up_Irr!BS16="."),up_dir!AV16/((1/1000)*(up_Irr!U16)),IF(AND(up_Irr!U16=".",up_Irr!AT16=".",up_Irr!BS16="."),up_dir!AV16*1000)))))))),".")</f>
        <v>6.5773651144152131E-4</v>
      </c>
      <c r="BW16" s="70">
        <f>IFERROR(IF(AND(up_Irr!V16&lt;&gt;".",up_Irr!AU16&lt;&gt;".",up_Irr!BT16&lt;&gt;"."),up_dir!AW16/((1/1000)*(up_Irr!V16+up_Irr!AU16+up_Irr!BT16)),IF(AND(up_Irr!V16&lt;&gt;".",up_Irr!AU16&lt;&gt;".",up_Irr!BT16="."),up_dir!AW16/((1/1000)*(up_Irr!V16+up_Irr!AU16)),IF(AND(up_Irr!V16&lt;&gt;".",up_Irr!AU16=".",up_Irr!BT16&lt;&gt;"."),up_dir!AW16/((1/1000)*(up_Irr!V16+up_Irr!BT16)),IF(AND(up_Irr!V16=".",up_Irr!AU16&lt;&gt;".",up_Irr!BT16&lt;&gt;"."),up_dir!AW16/((1/1000)*(up_Irr!AU16+up_Irr!BT16)),IF(AND(up_Irr!V16=".",up_Irr!AU16=".",up_Irr!BT16&lt;&gt;"."),up_dir!AW16/((1/1000)*(up_Irr!BT16)),IF(AND(up_Irr!V16=".",up_Irr!AU16&lt;&gt;".",up_Irr!BT16="."),up_dir!AW16/((1/1000)*(up_Irr!AU16)),IF(AND(up_Irr!V16&lt;&gt;".",up_Irr!AU16=".",up_Irr!BT16="."),up_dir!AW16/((1/1000)*(up_Irr!V16)),IF(AND(up_Irr!V16=".",up_Irr!AU16=".",up_Irr!BT16="."),up_dir!AW16*1000)))))))),".")</f>
        <v>6.5773651144152131E-4</v>
      </c>
      <c r="BX16" s="70">
        <f>IFERROR(IF(AND(up_Irr!W16&lt;&gt;".",up_Irr!AV16&lt;&gt;".",up_Irr!BU16&lt;&gt;"."),up_dir!AX16/((1/1000)*(up_Irr!W16+up_Irr!AV16+up_Irr!BU16)),IF(AND(up_Irr!W16&lt;&gt;".",up_Irr!AV16&lt;&gt;".",up_Irr!BU16="."),up_dir!AX16/((1/1000)*(up_Irr!W16+up_Irr!AV16)),IF(AND(up_Irr!W16&lt;&gt;".",up_Irr!AV16=".",up_Irr!BU16&lt;&gt;"."),up_dir!AX16/((1/1000)*(up_Irr!W16+up_Irr!BU16)),IF(AND(up_Irr!W16=".",up_Irr!AV16&lt;&gt;".",up_Irr!BU16&lt;&gt;"."),up_dir!AX16/((1/1000)*(up_Irr!AV16+up_Irr!BU16)),IF(AND(up_Irr!W16=".",up_Irr!AV16=".",up_Irr!BU16&lt;&gt;"."),up_dir!AX16/((1/1000)*(up_Irr!BU16)),IF(AND(up_Irr!W16=".",up_Irr!AV16&lt;&gt;".",up_Irr!BU16="."),up_dir!AX16/((1/1000)*(up_Irr!AV16)),IF(AND(up_Irr!W16&lt;&gt;".",up_Irr!AV16=".",up_Irr!BU16="."),up_dir!AX16/((1/1000)*(up_Irr!W16)),IF(AND(up_Irr!W16=".",up_Irr!AV16=".",up_Irr!BU16="."),up_dir!AX16*1000)))))))),".")</f>
        <v>6.5773651144152131E-4</v>
      </c>
      <c r="BY16" s="70">
        <f>IFERROR(IF(AND(up_Irr!X16&lt;&gt;".",up_Irr!AW16&lt;&gt;".",up_Irr!BV16&lt;&gt;"."),up_dir!AY16/((1/1000)*(up_Irr!X16+up_Irr!AW16+up_Irr!BV16)),IF(AND(up_Irr!X16&lt;&gt;".",up_Irr!AW16&lt;&gt;".",up_Irr!BV16="."),up_dir!AY16/((1/1000)*(up_Irr!X16+up_Irr!AW16)),IF(AND(up_Irr!X16&lt;&gt;".",up_Irr!AW16=".",up_Irr!BV16&lt;&gt;"."),up_dir!AY16/((1/1000)*(up_Irr!X16+up_Irr!BV16)),IF(AND(up_Irr!X16=".",up_Irr!AW16&lt;&gt;".",up_Irr!BV16&lt;&gt;"."),up_dir!AY16/((1/1000)*(up_Irr!AW16+up_Irr!BV16)),IF(AND(up_Irr!X16=".",up_Irr!AW16=".",up_Irr!BV16&lt;&gt;"."),up_dir!AY16/((1/1000)*(up_Irr!BV16)),IF(AND(up_Irr!X16=".",up_Irr!AW16&lt;&gt;".",up_Irr!BV16="."),up_dir!AY16/((1/1000)*(up_Irr!AW16)),IF(AND(up_Irr!X16&lt;&gt;".",up_Irr!AW16=".",up_Irr!BV16="."),up_dir!AY16/((1/1000)*(up_Irr!X16)),IF(AND(up_Irr!X16=".",up_Irr!AW16=".",up_Irr!BV16="."),up_dir!AY16*1000)))))))),".")</f>
        <v>6.5773651144152131E-4</v>
      </c>
      <c r="BZ16" s="70">
        <f>IFERROR(IF(AND(up_Irr!Y16&lt;&gt;".",up_Irr!AX16&lt;&gt;".",up_Irr!BW16&lt;&gt;"."),up_dir!AZ16/((1/1000)*(up_Irr!Y16+up_Irr!AX16+up_Irr!BW16)),IF(AND(up_Irr!Y16&lt;&gt;".",up_Irr!AX16&lt;&gt;".",up_Irr!BW16="."),up_dir!AZ16/((1/1000)*(up_Irr!Y16+up_Irr!AX16)),IF(AND(up_Irr!Y16&lt;&gt;".",up_Irr!AX16=".",up_Irr!BW16&lt;&gt;"."),up_dir!AZ16/((1/1000)*(up_Irr!Y16+up_Irr!BW16)),IF(AND(up_Irr!Y16=".",up_Irr!AX16&lt;&gt;".",up_Irr!BW16&lt;&gt;"."),up_dir!AZ16/((1/1000)*(up_Irr!AX16+up_Irr!BW16)),IF(AND(up_Irr!Y16=".",up_Irr!AX16=".",up_Irr!BW16&lt;&gt;"."),up_dir!AZ16/((1/1000)*(up_Irr!BW16)),IF(AND(up_Irr!Y16=".",up_Irr!AX16&lt;&gt;".",up_Irr!BW16="."),up_dir!AZ16/((1/1000)*(up_Irr!AX16)),IF(AND(up_Irr!Y16&lt;&gt;".",up_Irr!AX16=".",up_Irr!BW16="."),up_dir!AZ16/((1/1000)*(up_Irr!Y16)),IF(AND(up_Irr!Y16=".",up_Irr!AX16=".",up_Irr!BW16="."),up_dir!AZ16*1000)))))))),".")</f>
        <v>6.5773651144152131E-4</v>
      </c>
      <c r="CA16" s="70">
        <f>IFERROR(IF(AND(up_Irr!Z16&lt;&gt;".",up_Irr!AY16&lt;&gt;".",up_Irr!BX16&lt;&gt;"."),up_dir!BA16/((1/1000)*(up_Irr!Z16+up_Irr!AY16+up_Irr!BX16)),IF(AND(up_Irr!Z16&lt;&gt;".",up_Irr!AY16&lt;&gt;".",up_Irr!BX16="."),up_dir!BA16/((1/1000)*(up_Irr!Z16+up_Irr!AY16)),IF(AND(up_Irr!Z16&lt;&gt;".",up_Irr!AY16=".",up_Irr!BX16&lt;&gt;"."),up_dir!BA16/((1/1000)*(up_Irr!Z16+up_Irr!BX16)),IF(AND(up_Irr!Z16=".",up_Irr!AY16&lt;&gt;".",up_Irr!BX16&lt;&gt;"."),up_dir!BA16/((1/1000)*(up_Irr!AY16+up_Irr!BX16)),IF(AND(up_Irr!Z16=".",up_Irr!AY16=".",up_Irr!BX16&lt;&gt;"."),up_dir!BA16/((1/1000)*(up_Irr!BX16)),IF(AND(up_Irr!Z16=".",up_Irr!AY16&lt;&gt;".",up_Irr!BX16="."),up_dir!BA16/((1/1000)*(up_Irr!AY16)),IF(AND(up_Irr!Z16&lt;&gt;".",up_Irr!AY16=".",up_Irr!BX16="."),up_dir!BA16/((1/1000)*(up_Irr!Z16)),IF(AND(up_Irr!Z16=".",up_Irr!AY16=".",up_Irr!BX16="."),up_dir!BA16*1000)))))))),".")</f>
        <v>6.5773651144152131E-4</v>
      </c>
      <c r="CB16" s="70">
        <f>IFERROR(IF(AND(up_Irr!AA16&lt;&gt;".",up_Irr!AZ16&lt;&gt;".",up_Irr!BY16&lt;&gt;"."),up_dir!BB16/((1/1000)*(up_Irr!AA16+up_Irr!AZ16+up_Irr!BY16)),IF(AND(up_Irr!AA16&lt;&gt;".",up_Irr!AZ16&lt;&gt;".",up_Irr!BY16="."),up_dir!BB16/((1/1000)*(up_Irr!AA16+up_Irr!AZ16)),IF(AND(up_Irr!AA16&lt;&gt;".",up_Irr!AZ16=".",up_Irr!BY16&lt;&gt;"."),up_dir!BB16/((1/1000)*(up_Irr!AA16+up_Irr!BY16)),IF(AND(up_Irr!AA16=".",up_Irr!AZ16&lt;&gt;".",up_Irr!BY16&lt;&gt;"."),up_dir!BB16/((1/1000)*(up_Irr!AZ16+up_Irr!BY16)),IF(AND(up_Irr!AA16=".",up_Irr!AZ16=".",up_Irr!BY16&lt;&gt;"."),up_dir!BB16/((1/1000)*(up_Irr!BY16)),IF(AND(up_Irr!AA16=".",up_Irr!AZ16&lt;&gt;".",up_Irr!BY16="."),up_dir!BB16/((1/1000)*(up_Irr!AZ16)),IF(AND(up_Irr!AA16&lt;&gt;".",up_Irr!AZ16=".",up_Irr!BY16="."),up_dir!BB16/((1/1000)*(up_Irr!AA16)),IF(AND(up_Irr!AA16=".",up_Irr!AZ16=".",up_Irr!BY16="."),up_dir!BB16*1000)))))))),".")</f>
        <v>6.5773651144152131E-4</v>
      </c>
      <c r="CC16" s="87">
        <f t="shared" si="3"/>
        <v>30407.313038114935</v>
      </c>
      <c r="CD16" s="87">
        <f>IFERROR(s_C*s_IFAP_far_adj*s_CF_apple*(1/1000)*(up_Irr!C16+up_Irr!AB16+up_Irr!BA16),".")</f>
        <v>7601.8282595287337</v>
      </c>
      <c r="CE16" s="87">
        <f>IFERROR(s_C*s_IFAS_far_adj*s_CF_asparagus*(1/1000)*(up_Irr!D16+up_Irr!AC16+up_Irr!BB16),".")</f>
        <v>7601.8282595287337</v>
      </c>
      <c r="CF16" s="87">
        <f>IFERROR(s_C*s_IFBT_far_adj*s_CF_beet*(1/1000)*(up_Irr!E16+up_Irr!AD16+up_Irr!BC16),".")</f>
        <v>7601.8282595287337</v>
      </c>
      <c r="CG16" s="87">
        <f>IFERROR(s_C*s_IFBE_far_adj*s_CF_berries*(1/1000)*(up_Irr!F16+up_Irr!AE16+up_Irr!BD16),".")</f>
        <v>7601.8282595287337</v>
      </c>
      <c r="CH16" s="87">
        <f>IFERROR(s_C*s_IFBR_far_adj*s_CF_broccoli*(1/1000)*(up_Irr!G16+up_Irr!AF16+up_Irr!BE16),".")</f>
        <v>7601.8282595287337</v>
      </c>
      <c r="CI16" s="87">
        <f>IFERROR(s_C*s_IFCB_far_adj*s_CF_cabbage*(1/1000)*(up_Irr!H16+up_Irr!AG16+up_Irr!BF16),".")</f>
        <v>7601.8282595287337</v>
      </c>
      <c r="CJ16" s="87">
        <f>IFERROR(s_C*s_IFCR_far_adj*s_CF_carrot*(1/1000)*(up_Irr!I16+up_Irr!AH16+up_Irr!BG16),".")</f>
        <v>7601.8282595287337</v>
      </c>
      <c r="CK16" s="87">
        <f>IFERROR(s_C*s_IFCI_far_adj*s_CF_citrus*(1/1000)*(up_Irr!J16+up_Irr!AI16+up_Irr!BH16),".")</f>
        <v>7601.8282595287337</v>
      </c>
      <c r="CL16" s="87">
        <f>IFERROR(s_C*s_IFCO_far_adj*s_CF_corn*(1/1000)*(up_Irr!K16+up_Irr!AJ16+up_Irr!BI16),".")</f>
        <v>7601.8282595287337</v>
      </c>
      <c r="CM16" s="87">
        <f>IFERROR(s_C*s_IFCU_far_adj*s_CF_cucumber*(1/1000)*(up_Irr!L16+up_Irr!AK16+up_Irr!BJ16),".")</f>
        <v>7601.8282595287337</v>
      </c>
      <c r="CN16" s="87">
        <f>IFERROR(s_C*s_IFLE_far_adj*s_CF_lettuce*(1/1000)*(up_Irr!M16+up_Irr!AL16+up_Irr!BK16),".")</f>
        <v>7601.8282595287337</v>
      </c>
      <c r="CO16" s="87">
        <f>IFERROR(s_C*s_IFLI_far_adj*s_CF_lima_bean*(1/1000)*(up_Irr!N16+up_Irr!AM16+up_Irr!BL16),".")</f>
        <v>7601.8282595287337</v>
      </c>
      <c r="CP16" s="87">
        <f>IFERROR(s_C*s_IFOK_far_adj*s_CF_okra*(1/1000)*(up_Irr!O16+up_Irr!AN16+up_Irr!BM16),".")</f>
        <v>7601.8282595287337</v>
      </c>
      <c r="CQ16" s="87">
        <f>IFERROR(s_C*s_IFON_far_adj*s_CF_onion*(1/1000)*(up_Irr!P16+up_Irr!AO16+up_Irr!BN16),".")</f>
        <v>7601.8282595287337</v>
      </c>
      <c r="CR16" s="87">
        <f>IFERROR(s_C*s_IFPC_far_adj*s_CF_peach*(1/1000)*(up_Irr!Q16+up_Irr!AP16+up_Irr!BO16),".")</f>
        <v>7601.8282595287337</v>
      </c>
      <c r="CS16" s="87">
        <f>IFERROR(s_C*s_IFPR_far_adj*s_CF_pear*(1/1000)*(up_Irr!R16+up_Irr!AQ16+up_Irr!BP16),".")</f>
        <v>7601.8282595287337</v>
      </c>
      <c r="CT16" s="87">
        <f>IFERROR(s_C*s_IFPE_far_adj*s_CF_peas*(1/1000)*(up_Irr!S16+up_Irr!AR16+up_Irr!BQ16),".")</f>
        <v>7601.8282595287337</v>
      </c>
      <c r="CU16" s="87">
        <f>IFERROR(s_C*s_IFPP_far_adj*s_CF_peppers*(1/1000)*(up_Irr!T16+up_Irr!AS16+up_Irr!BR16),".")</f>
        <v>7601.8282595287337</v>
      </c>
      <c r="CV16" s="87">
        <f>IFERROR(s_C*s_IFPT_far_adj*s_CF_potato*(1/1000)*(up_Irr!U16+up_Irr!AT16+up_Irr!BS16),".")</f>
        <v>7601.8282595287337</v>
      </c>
      <c r="CW16" s="87">
        <f>IFERROR(s_C*s_IFPU_far_adj*s_CF_pumpkin*(1/1000)*(up_Irr!V16+up_Irr!AU16+up_Irr!BT16),".")</f>
        <v>7601.8282595287337</v>
      </c>
      <c r="CX16" s="87">
        <f>IFERROR(s_C*s_IFSN_far_adj*s_CF_snap_bean*(1/1000)*(up_Irr!W16+up_Irr!AV16+up_Irr!BU16),".")</f>
        <v>7601.8282595287337</v>
      </c>
      <c r="CY16" s="87">
        <f>IFERROR(s_C*s_IFST_far_adj*s_CF_strawberry*(1/1000)*(up_Irr!X16+up_Irr!AW16+up_Irr!BV16),".")</f>
        <v>7601.8282595287337</v>
      </c>
      <c r="CZ16" s="87">
        <f>IFERROR(s_C*s_IFTO_far_adj*s_CF_tomato*(1/1000)*(up_Irr!Y16+up_Irr!AX16+up_Irr!BW16),".")</f>
        <v>7601.8282595287337</v>
      </c>
      <c r="DA16" s="87">
        <f>IFERROR(s_C*s_IFRI_far_adj*s_CF_rice*(1/1000)*(up_Irr!Z16+up_Irr!AY16+up_Irr!BX16),".")</f>
        <v>7601.8282595287337</v>
      </c>
      <c r="DB16" s="87">
        <f>IFERROR(s_C*s_IFCG_far_adj*s_CF_cereal*(1/1000)*(up_Irr!AA16+up_Irr!AZ16+up_Irr!BY16),".")</f>
        <v>7601.8282595287337</v>
      </c>
    </row>
    <row r="17" spans="1:106" ht="15" customHeight="1" x14ac:dyDescent="0.25">
      <c r="A17" s="86" t="s">
        <v>15</v>
      </c>
      <c r="B17" s="84" t="s">
        <v>1057</v>
      </c>
      <c r="C17" s="15">
        <f t="shared" si="0"/>
        <v>1.6443412786038033E-4</v>
      </c>
      <c r="D17" s="70">
        <f>IFERROR(IF(AND(up_Irr!C17&lt;&gt;".",up_Irr!AB17&lt;&gt;".",up_Irr!BA17&lt;&gt;"."),up_dir!D17/((1/1000)*(up_Irr!C17+up_Irr!AB17+up_Irr!BA17)),IF(AND(up_Irr!C17&lt;&gt;".",up_Irr!AB17&lt;&gt;".",up_Irr!BA17="."),up_dir!D17/((1/1000)*(up_Irr!C17+up_Irr!AB17)),IF(AND(up_Irr!C17&lt;&gt;".",up_Irr!AB17=".",up_Irr!BA17&lt;&gt;"."),up_dir!D17/((1/1000)*(up_Irr!C17+up_Irr!BA17)),IF(AND(up_Irr!C17=".",up_Irr!AB17&lt;&gt;".",up_Irr!BA17&lt;&gt;"."),up_dir!D17/((1/1000)*(up_Irr!AB17+up_Irr!BA17)),IF(AND(up_Irr!C17=".",up_Irr!AB17=".",up_Irr!BA17&lt;&gt;"."),up_dir!D17/((1/1000)*(up_Irr!BA17)),IF(AND(up_Irr!C17=".",up_Irr!AB17&lt;&gt;".",up_Irr!BA17="."),up_dir!D17/((1/1000)*(up_Irr!AB17)),IF(AND(up_Irr!C17&lt;&gt;".",up_Irr!AB17=".",up_Irr!BA17="."),up_dir!D17/((1/1000)*(up_Irr!C17)),IF(AND(up_Irr!C17=".",up_Irr!AB17=".",up_Irr!BA17="."),up_dir!D17*1000)))))))),".")</f>
        <v>6.5773651144152131E-4</v>
      </c>
      <c r="E17" s="70">
        <f>IFERROR(IF(AND(up_Irr!D17&lt;&gt;".",up_Irr!AC17&lt;&gt;".",up_Irr!BB17&lt;&gt;"."),up_dir!E17/((1/1000)*(up_Irr!D17+up_Irr!AC17+up_Irr!BB17)),IF(AND(up_Irr!D17&lt;&gt;".",up_Irr!AC17&lt;&gt;".",up_Irr!BB17="."),up_dir!E17/((1/1000)*(up_Irr!D17+up_Irr!AC17)),IF(AND(up_Irr!D17&lt;&gt;".",up_Irr!AC17=".",up_Irr!BB17&lt;&gt;"."),up_dir!E17/((1/1000)*(up_Irr!D17+up_Irr!BB17)),IF(AND(up_Irr!D17=".",up_Irr!AC17&lt;&gt;".",up_Irr!BB17&lt;&gt;"."),up_dir!E17/((1/1000)*(up_Irr!AC17+up_Irr!BB17)),IF(AND(up_Irr!D17=".",up_Irr!AC17=".",up_Irr!BB17&lt;&gt;"."),up_dir!E17/((1/1000)*(up_Irr!BB17)),IF(AND(up_Irr!D17=".",up_Irr!AC17&lt;&gt;".",up_Irr!BB17="."),up_dir!E17/((1/1000)*(up_Irr!AC17)),IF(AND(up_Irr!D17&lt;&gt;".",up_Irr!AC17=".",up_Irr!BB17="."),up_dir!E17/((1/1000)*(up_Irr!D17)),IF(AND(up_Irr!D17=".",up_Irr!AC17=".",up_Irr!BB17="."),up_dir!E17*1000)))))))),".")</f>
        <v>6.5773651144152131E-4</v>
      </c>
      <c r="F17" s="70">
        <f>IFERROR(IF(AND(up_Irr!E17&lt;&gt;".",up_Irr!AD17&lt;&gt;".",up_Irr!BC17&lt;&gt;"."),up_dir!F17/((1/1000)*(up_Irr!E17+up_Irr!AD17+up_Irr!BC17)),IF(AND(up_Irr!E17&lt;&gt;".",up_Irr!AD17&lt;&gt;".",up_Irr!BC17="."),up_dir!F17/((1/1000)*(up_Irr!E17+up_Irr!AD17)),IF(AND(up_Irr!E17&lt;&gt;".",up_Irr!AD17=".",up_Irr!BC17&lt;&gt;"."),up_dir!F17/((1/1000)*(up_Irr!E17+up_Irr!BC17)),IF(AND(up_Irr!E17=".",up_Irr!AD17&lt;&gt;".",up_Irr!BC17&lt;&gt;"."),up_dir!F17/((1/1000)*(up_Irr!AD17+up_Irr!BC17)),IF(AND(up_Irr!E17=".",up_Irr!AD17=".",up_Irr!BC17&lt;&gt;"."),up_dir!F17/((1/1000)*(up_Irr!BC17)),IF(AND(up_Irr!E17=".",up_Irr!AD17&lt;&gt;".",up_Irr!BC17="."),up_dir!F17/((1/1000)*(up_Irr!AD17)),IF(AND(up_Irr!E17&lt;&gt;".",up_Irr!AD17=".",up_Irr!BC17="."),up_dir!F17/((1/1000)*(up_Irr!E17)),IF(AND(up_Irr!E17=".",up_Irr!AD17=".",up_Irr!BC17="."),up_dir!F17*1000)))))))),".")</f>
        <v>6.5773651144152131E-4</v>
      </c>
      <c r="G17" s="70">
        <f>IFERROR(IF(AND(up_Irr!F17&lt;&gt;".",up_Irr!AE17&lt;&gt;".",up_Irr!BD17&lt;&gt;"."),up_dir!G17/((1/1000)*(up_Irr!F17+up_Irr!AE17+up_Irr!BD17)),IF(AND(up_Irr!F17&lt;&gt;".",up_Irr!AE17&lt;&gt;".",up_Irr!BD17="."),up_dir!G17/((1/1000)*(up_Irr!F17+up_Irr!AE17)),IF(AND(up_Irr!F17&lt;&gt;".",up_Irr!AE17=".",up_Irr!BD17&lt;&gt;"."),up_dir!G17/((1/1000)*(up_Irr!F17+up_Irr!BD17)),IF(AND(up_Irr!F17=".",up_Irr!AE17&lt;&gt;".",up_Irr!BD17&lt;&gt;"."),up_dir!G17/((1/1000)*(up_Irr!AE17+up_Irr!BD17)),IF(AND(up_Irr!F17=".",up_Irr!AE17=".",up_Irr!BD17&lt;&gt;"."),up_dir!G17/((1/1000)*(up_Irr!BD17)),IF(AND(up_Irr!F17=".",up_Irr!AE17&lt;&gt;".",up_Irr!BD17="."),up_dir!G17/((1/1000)*(up_Irr!AE17)),IF(AND(up_Irr!F17&lt;&gt;".",up_Irr!AE17=".",up_Irr!BD17="."),up_dir!G17/((1/1000)*(up_Irr!F17)),IF(AND(up_Irr!F17=".",up_Irr!AE17=".",up_Irr!BD17="."),up_dir!G17*1000)))))))),".")</f>
        <v>6.5773651144152131E-4</v>
      </c>
      <c r="H17" s="70">
        <f>IFERROR(IF(AND(up_Irr!G17&lt;&gt;".",up_Irr!AF17&lt;&gt;".",up_Irr!BE17&lt;&gt;"."),up_dir!H17/((1/1000)*(up_Irr!G17+up_Irr!AF17+up_Irr!BE17)),IF(AND(up_Irr!G17&lt;&gt;".",up_Irr!AF17&lt;&gt;".",up_Irr!BE17="."),up_dir!H17/((1/1000)*(up_Irr!G17+up_Irr!AF17)),IF(AND(up_Irr!G17&lt;&gt;".",up_Irr!AF17=".",up_Irr!BE17&lt;&gt;"."),up_dir!H17/((1/1000)*(up_Irr!G17+up_Irr!BE17)),IF(AND(up_Irr!G17=".",up_Irr!AF17&lt;&gt;".",up_Irr!BE17&lt;&gt;"."),up_dir!H17/((1/1000)*(up_Irr!AF17+up_Irr!BE17)),IF(AND(up_Irr!G17=".",up_Irr!AF17=".",up_Irr!BE17&lt;&gt;"."),up_dir!H17/((1/1000)*(up_Irr!BE17)),IF(AND(up_Irr!G17=".",up_Irr!AF17&lt;&gt;".",up_Irr!BE17="."),up_dir!H17/((1/1000)*(up_Irr!AF17)),IF(AND(up_Irr!G17&lt;&gt;".",up_Irr!AF17=".",up_Irr!BE17="."),up_dir!H17/((1/1000)*(up_Irr!G17)),IF(AND(up_Irr!G17=".",up_Irr!AF17=".",up_Irr!BE17="."),up_dir!H17*1000)))))))),".")</f>
        <v>6.5773651144152131E-4</v>
      </c>
      <c r="I17" s="70">
        <f>IFERROR(IF(AND(up_Irr!H17&lt;&gt;".",up_Irr!AG17&lt;&gt;".",up_Irr!BF17&lt;&gt;"."),up_dir!I17/((1/1000)*(up_Irr!H17+up_Irr!AG17+up_Irr!BF17)),IF(AND(up_Irr!H17&lt;&gt;".",up_Irr!AG17&lt;&gt;".",up_Irr!BF17="."),up_dir!I17/((1/1000)*(up_Irr!H17+up_Irr!AG17)),IF(AND(up_Irr!H17&lt;&gt;".",up_Irr!AG17=".",up_Irr!BF17&lt;&gt;"."),up_dir!I17/((1/1000)*(up_Irr!H17+up_Irr!BF17)),IF(AND(up_Irr!H17=".",up_Irr!AG17&lt;&gt;".",up_Irr!BF17&lt;&gt;"."),up_dir!I17/((1/1000)*(up_Irr!AG17+up_Irr!BF17)),IF(AND(up_Irr!H17=".",up_Irr!AG17=".",up_Irr!BF17&lt;&gt;"."),up_dir!I17/((1/1000)*(up_Irr!BF17)),IF(AND(up_Irr!H17=".",up_Irr!AG17&lt;&gt;".",up_Irr!BF17="."),up_dir!I17/((1/1000)*(up_Irr!AG17)),IF(AND(up_Irr!H17&lt;&gt;".",up_Irr!AG17=".",up_Irr!BF17="."),up_dir!I17/((1/1000)*(up_Irr!H17)),IF(AND(up_Irr!H17=".",up_Irr!AG17=".",up_Irr!BF17="."),up_dir!I17*1000)))))))),".")</f>
        <v>6.5773651144152131E-4</v>
      </c>
      <c r="J17" s="70">
        <f>IFERROR(IF(AND(up_Irr!I17&lt;&gt;".",up_Irr!AH17&lt;&gt;".",up_Irr!BG17&lt;&gt;"."),up_dir!J17/((1/1000)*(up_Irr!I17+up_Irr!AH17+up_Irr!BG17)),IF(AND(up_Irr!I17&lt;&gt;".",up_Irr!AH17&lt;&gt;".",up_Irr!BG17="."),up_dir!J17/((1/1000)*(up_Irr!I17+up_Irr!AH17)),IF(AND(up_Irr!I17&lt;&gt;".",up_Irr!AH17=".",up_Irr!BG17&lt;&gt;"."),up_dir!J17/((1/1000)*(up_Irr!I17+up_Irr!BG17)),IF(AND(up_Irr!I17=".",up_Irr!AH17&lt;&gt;".",up_Irr!BG17&lt;&gt;"."),up_dir!J17/((1/1000)*(up_Irr!AH17+up_Irr!BG17)),IF(AND(up_Irr!I17=".",up_Irr!AH17=".",up_Irr!BG17&lt;&gt;"."),up_dir!J17/((1/1000)*(up_Irr!BG17)),IF(AND(up_Irr!I17=".",up_Irr!AH17&lt;&gt;".",up_Irr!BG17="."),up_dir!J17/((1/1000)*(up_Irr!AH17)),IF(AND(up_Irr!I17&lt;&gt;".",up_Irr!AH17=".",up_Irr!BG17="."),up_dir!J17/((1/1000)*(up_Irr!I17)),IF(AND(up_Irr!I17=".",up_Irr!AH17=".",up_Irr!BG17="."),up_dir!J17*1000)))))))),".")</f>
        <v>6.5773651144152131E-4</v>
      </c>
      <c r="K17" s="70">
        <f>IFERROR(IF(AND(up_Irr!J17&lt;&gt;".",up_Irr!AI17&lt;&gt;".",up_Irr!BH17&lt;&gt;"."),up_dir!K17/((1/1000)*(up_Irr!J17+up_Irr!AI17+up_Irr!BH17)),IF(AND(up_Irr!J17&lt;&gt;".",up_Irr!AI17&lt;&gt;".",up_Irr!BH17="."),up_dir!K17/((1/1000)*(up_Irr!J17+up_Irr!AI17)),IF(AND(up_Irr!J17&lt;&gt;".",up_Irr!AI17=".",up_Irr!BH17&lt;&gt;"."),up_dir!K17/((1/1000)*(up_Irr!J17+up_Irr!BH17)),IF(AND(up_Irr!J17=".",up_Irr!AI17&lt;&gt;".",up_Irr!BH17&lt;&gt;"."),up_dir!K17/((1/1000)*(up_Irr!AI17+up_Irr!BH17)),IF(AND(up_Irr!J17=".",up_Irr!AI17=".",up_Irr!BH17&lt;&gt;"."),up_dir!K17/((1/1000)*(up_Irr!BH17)),IF(AND(up_Irr!J17=".",up_Irr!AI17&lt;&gt;".",up_Irr!BH17="."),up_dir!K17/((1/1000)*(up_Irr!AI17)),IF(AND(up_Irr!J17&lt;&gt;".",up_Irr!AI17=".",up_Irr!BH17="."),up_dir!K17/((1/1000)*(up_Irr!J17)),IF(AND(up_Irr!J17=".",up_Irr!AI17=".",up_Irr!BH17="."),up_dir!K17*1000)))))))),".")</f>
        <v>6.5773651144152131E-4</v>
      </c>
      <c r="L17" s="70">
        <f>IFERROR(IF(AND(up_Irr!K17&lt;&gt;".",up_Irr!AJ17&lt;&gt;".",up_Irr!BI17&lt;&gt;"."),up_dir!L17/((1/1000)*(up_Irr!K17+up_Irr!AJ17+up_Irr!BI17)),IF(AND(up_Irr!K17&lt;&gt;".",up_Irr!AJ17&lt;&gt;".",up_Irr!BI17="."),up_dir!L17/((1/1000)*(up_Irr!K17+up_Irr!AJ17)),IF(AND(up_Irr!K17&lt;&gt;".",up_Irr!AJ17=".",up_Irr!BI17&lt;&gt;"."),up_dir!L17/((1/1000)*(up_Irr!K17+up_Irr!BI17)),IF(AND(up_Irr!K17=".",up_Irr!AJ17&lt;&gt;".",up_Irr!BI17&lt;&gt;"."),up_dir!L17/((1/1000)*(up_Irr!AJ17+up_Irr!BI17)),IF(AND(up_Irr!K17=".",up_Irr!AJ17=".",up_Irr!BI17&lt;&gt;"."),up_dir!L17/((1/1000)*(up_Irr!BI17)),IF(AND(up_Irr!K17=".",up_Irr!AJ17&lt;&gt;".",up_Irr!BI17="."),up_dir!L17/((1/1000)*(up_Irr!AJ17)),IF(AND(up_Irr!K17&lt;&gt;".",up_Irr!AJ17=".",up_Irr!BI17="."),up_dir!L17/((1/1000)*(up_Irr!K17)),IF(AND(up_Irr!K17=".",up_Irr!AJ17=".",up_Irr!BI17="."),up_dir!L17*1000)))))))),".")</f>
        <v>6.5773651144152131E-4</v>
      </c>
      <c r="M17" s="70">
        <f>IFERROR(IF(AND(up_Irr!L17&lt;&gt;".",up_Irr!AK17&lt;&gt;".",up_Irr!BJ17&lt;&gt;"."),up_dir!M17/((1/1000)*(up_Irr!L17+up_Irr!AK17+up_Irr!BJ17)),IF(AND(up_Irr!L17&lt;&gt;".",up_Irr!AK17&lt;&gt;".",up_Irr!BJ17="."),up_dir!M17/((1/1000)*(up_Irr!L17+up_Irr!AK17)),IF(AND(up_Irr!L17&lt;&gt;".",up_Irr!AK17=".",up_Irr!BJ17&lt;&gt;"."),up_dir!M17/((1/1000)*(up_Irr!L17+up_Irr!BJ17)),IF(AND(up_Irr!L17=".",up_Irr!AK17&lt;&gt;".",up_Irr!BJ17&lt;&gt;"."),up_dir!M17/((1/1000)*(up_Irr!AK17+up_Irr!BJ17)),IF(AND(up_Irr!L17=".",up_Irr!AK17=".",up_Irr!BJ17&lt;&gt;"."),up_dir!M17/((1/1000)*(up_Irr!BJ17)),IF(AND(up_Irr!L17=".",up_Irr!AK17&lt;&gt;".",up_Irr!BJ17="."),up_dir!M17/((1/1000)*(up_Irr!AK17)),IF(AND(up_Irr!L17&lt;&gt;".",up_Irr!AK17=".",up_Irr!BJ17="."),up_dir!M17/((1/1000)*(up_Irr!L17)),IF(AND(up_Irr!L17=".",up_Irr!AK17=".",up_Irr!BJ17="."),up_dir!M17*1000)))))))),".")</f>
        <v>6.5773651144152131E-4</v>
      </c>
      <c r="N17" s="70">
        <f>IFERROR(IF(AND(up_Irr!M17&lt;&gt;".",up_Irr!AL17&lt;&gt;".",up_Irr!BK17&lt;&gt;"."),up_dir!N17/((1/1000)*(up_Irr!M17+up_Irr!AL17+up_Irr!BK17)),IF(AND(up_Irr!M17&lt;&gt;".",up_Irr!AL17&lt;&gt;".",up_Irr!BK17="."),up_dir!N17/((1/1000)*(up_Irr!M17+up_Irr!AL17)),IF(AND(up_Irr!M17&lt;&gt;".",up_Irr!AL17=".",up_Irr!BK17&lt;&gt;"."),up_dir!N17/((1/1000)*(up_Irr!M17+up_Irr!BK17)),IF(AND(up_Irr!M17=".",up_Irr!AL17&lt;&gt;".",up_Irr!BK17&lt;&gt;"."),up_dir!N17/((1/1000)*(up_Irr!AL17+up_Irr!BK17)),IF(AND(up_Irr!M17=".",up_Irr!AL17=".",up_Irr!BK17&lt;&gt;"."),up_dir!N17/((1/1000)*(up_Irr!BK17)),IF(AND(up_Irr!M17=".",up_Irr!AL17&lt;&gt;".",up_Irr!BK17="."),up_dir!N17/((1/1000)*(up_Irr!AL17)),IF(AND(up_Irr!M17&lt;&gt;".",up_Irr!AL17=".",up_Irr!BK17="."),up_dir!N17/((1/1000)*(up_Irr!M17)),IF(AND(up_Irr!M17=".",up_Irr!AL17=".",up_Irr!BK17="."),up_dir!N17*1000)))))))),".")</f>
        <v>6.5773651144152131E-4</v>
      </c>
      <c r="O17" s="70">
        <f>IFERROR(IF(AND(up_Irr!N17&lt;&gt;".",up_Irr!AM17&lt;&gt;".",up_Irr!BL17&lt;&gt;"."),up_dir!O17/((1/1000)*(up_Irr!N17+up_Irr!AM17+up_Irr!BL17)),IF(AND(up_Irr!N17&lt;&gt;".",up_Irr!AM17&lt;&gt;".",up_Irr!BL17="."),up_dir!O17/((1/1000)*(up_Irr!N17+up_Irr!AM17)),IF(AND(up_Irr!N17&lt;&gt;".",up_Irr!AM17=".",up_Irr!BL17&lt;&gt;"."),up_dir!O17/((1/1000)*(up_Irr!N17+up_Irr!BL17)),IF(AND(up_Irr!N17=".",up_Irr!AM17&lt;&gt;".",up_Irr!BL17&lt;&gt;"."),up_dir!O17/((1/1000)*(up_Irr!AM17+up_Irr!BL17)),IF(AND(up_Irr!N17=".",up_Irr!AM17=".",up_Irr!BL17&lt;&gt;"."),up_dir!O17/((1/1000)*(up_Irr!BL17)),IF(AND(up_Irr!N17=".",up_Irr!AM17&lt;&gt;".",up_Irr!BL17="."),up_dir!O17/((1/1000)*(up_Irr!AM17)),IF(AND(up_Irr!N17&lt;&gt;".",up_Irr!AM17=".",up_Irr!BL17="."),up_dir!O17/((1/1000)*(up_Irr!N17)),IF(AND(up_Irr!N17=".",up_Irr!AM17=".",up_Irr!BL17="."),up_dir!O17*1000)))))))),".")</f>
        <v>6.5773651144152131E-4</v>
      </c>
      <c r="P17" s="70">
        <f>IFERROR(IF(AND(up_Irr!O17&lt;&gt;".",up_Irr!AN17&lt;&gt;".",up_Irr!BM17&lt;&gt;"."),up_dir!P17/((1/1000)*(up_Irr!O17+up_Irr!AN17+up_Irr!BM17)),IF(AND(up_Irr!O17&lt;&gt;".",up_Irr!AN17&lt;&gt;".",up_Irr!BM17="."),up_dir!P17/((1/1000)*(up_Irr!O17+up_Irr!AN17)),IF(AND(up_Irr!O17&lt;&gt;".",up_Irr!AN17=".",up_Irr!BM17&lt;&gt;"."),up_dir!P17/((1/1000)*(up_Irr!O17+up_Irr!BM17)),IF(AND(up_Irr!O17=".",up_Irr!AN17&lt;&gt;".",up_Irr!BM17&lt;&gt;"."),up_dir!P17/((1/1000)*(up_Irr!AN17+up_Irr!BM17)),IF(AND(up_Irr!O17=".",up_Irr!AN17=".",up_Irr!BM17&lt;&gt;"."),up_dir!P17/((1/1000)*(up_Irr!BM17)),IF(AND(up_Irr!O17=".",up_Irr!AN17&lt;&gt;".",up_Irr!BM17="."),up_dir!P17/((1/1000)*(up_Irr!AN17)),IF(AND(up_Irr!O17&lt;&gt;".",up_Irr!AN17=".",up_Irr!BM17="."),up_dir!P17/((1/1000)*(up_Irr!O17)),IF(AND(up_Irr!O17=".",up_Irr!AN17=".",up_Irr!BM17="."),up_dir!P17*1000)))))))),".")</f>
        <v>6.5773651144152131E-4</v>
      </c>
      <c r="Q17" s="70">
        <f>IFERROR(IF(AND(up_Irr!P17&lt;&gt;".",up_Irr!AO17&lt;&gt;".",up_Irr!BN17&lt;&gt;"."),up_dir!Q17/((1/1000)*(up_Irr!P17+up_Irr!AO17+up_Irr!BN17)),IF(AND(up_Irr!P17&lt;&gt;".",up_Irr!AO17&lt;&gt;".",up_Irr!BN17="."),up_dir!Q17/((1/1000)*(up_Irr!P17+up_Irr!AO17)),IF(AND(up_Irr!P17&lt;&gt;".",up_Irr!AO17=".",up_Irr!BN17&lt;&gt;"."),up_dir!Q17/((1/1000)*(up_Irr!P17+up_Irr!BN17)),IF(AND(up_Irr!P17=".",up_Irr!AO17&lt;&gt;".",up_Irr!BN17&lt;&gt;"."),up_dir!Q17/((1/1000)*(up_Irr!AO17+up_Irr!BN17)),IF(AND(up_Irr!P17=".",up_Irr!AO17=".",up_Irr!BN17&lt;&gt;"."),up_dir!Q17/((1/1000)*(up_Irr!BN17)),IF(AND(up_Irr!P17=".",up_Irr!AO17&lt;&gt;".",up_Irr!BN17="."),up_dir!Q17/((1/1000)*(up_Irr!AO17)),IF(AND(up_Irr!P17&lt;&gt;".",up_Irr!AO17=".",up_Irr!BN17="."),up_dir!Q17/((1/1000)*(up_Irr!P17)),IF(AND(up_Irr!P17=".",up_Irr!AO17=".",up_Irr!BN17="."),up_dir!Q17*1000)))))))),".")</f>
        <v>6.5773651144152131E-4</v>
      </c>
      <c r="R17" s="70">
        <f>IFERROR(IF(AND(up_Irr!Q17&lt;&gt;".",up_Irr!AP17&lt;&gt;".",up_Irr!BO17&lt;&gt;"."),up_dir!R17/((1/1000)*(up_Irr!Q17+up_Irr!AP17+up_Irr!BO17)),IF(AND(up_Irr!Q17&lt;&gt;".",up_Irr!AP17&lt;&gt;".",up_Irr!BO17="."),up_dir!R17/((1/1000)*(up_Irr!Q17+up_Irr!AP17)),IF(AND(up_Irr!Q17&lt;&gt;".",up_Irr!AP17=".",up_Irr!BO17&lt;&gt;"."),up_dir!R17/((1/1000)*(up_Irr!Q17+up_Irr!BO17)),IF(AND(up_Irr!Q17=".",up_Irr!AP17&lt;&gt;".",up_Irr!BO17&lt;&gt;"."),up_dir!R17/((1/1000)*(up_Irr!AP17+up_Irr!BO17)),IF(AND(up_Irr!Q17=".",up_Irr!AP17=".",up_Irr!BO17&lt;&gt;"."),up_dir!R17/((1/1000)*(up_Irr!BO17)),IF(AND(up_Irr!Q17=".",up_Irr!AP17&lt;&gt;".",up_Irr!BO17="."),up_dir!R17/((1/1000)*(up_Irr!AP17)),IF(AND(up_Irr!Q17&lt;&gt;".",up_Irr!AP17=".",up_Irr!BO17="."),up_dir!R17/((1/1000)*(up_Irr!Q17)),IF(AND(up_Irr!Q17=".",up_Irr!AP17=".",up_Irr!BO17="."),up_dir!R17*1000)))))))),".")</f>
        <v>6.5773651144152131E-4</v>
      </c>
      <c r="S17" s="70">
        <f>IFERROR(IF(AND(up_Irr!R17&lt;&gt;".",up_Irr!AQ17&lt;&gt;".",up_Irr!BP17&lt;&gt;"."),up_dir!S17/((1/1000)*(up_Irr!R17+up_Irr!AQ17+up_Irr!BP17)),IF(AND(up_Irr!R17&lt;&gt;".",up_Irr!AQ17&lt;&gt;".",up_Irr!BP17="."),up_dir!S17/((1/1000)*(up_Irr!R17+up_Irr!AQ17)),IF(AND(up_Irr!R17&lt;&gt;".",up_Irr!AQ17=".",up_Irr!BP17&lt;&gt;"."),up_dir!S17/((1/1000)*(up_Irr!R17+up_Irr!BP17)),IF(AND(up_Irr!R17=".",up_Irr!AQ17&lt;&gt;".",up_Irr!BP17&lt;&gt;"."),up_dir!S17/((1/1000)*(up_Irr!AQ17+up_Irr!BP17)),IF(AND(up_Irr!R17=".",up_Irr!AQ17=".",up_Irr!BP17&lt;&gt;"."),up_dir!S17/((1/1000)*(up_Irr!BP17)),IF(AND(up_Irr!R17=".",up_Irr!AQ17&lt;&gt;".",up_Irr!BP17="."),up_dir!S17/((1/1000)*(up_Irr!AQ17)),IF(AND(up_Irr!R17&lt;&gt;".",up_Irr!AQ17=".",up_Irr!BP17="."),up_dir!S17/((1/1000)*(up_Irr!R17)),IF(AND(up_Irr!R17=".",up_Irr!AQ17=".",up_Irr!BP17="."),up_dir!S17*1000)))))))),".")</f>
        <v>6.5773651144152131E-4</v>
      </c>
      <c r="T17" s="70">
        <f>IFERROR(IF(AND(up_Irr!S17&lt;&gt;".",up_Irr!AR17&lt;&gt;".",up_Irr!BQ17&lt;&gt;"."),up_dir!T17/((1/1000)*(up_Irr!S17+up_Irr!AR17+up_Irr!BQ17)),IF(AND(up_Irr!S17&lt;&gt;".",up_Irr!AR17&lt;&gt;".",up_Irr!BQ17="."),up_dir!T17/((1/1000)*(up_Irr!S17+up_Irr!AR17)),IF(AND(up_Irr!S17&lt;&gt;".",up_Irr!AR17=".",up_Irr!BQ17&lt;&gt;"."),up_dir!T17/((1/1000)*(up_Irr!S17+up_Irr!BQ17)),IF(AND(up_Irr!S17=".",up_Irr!AR17&lt;&gt;".",up_Irr!BQ17&lt;&gt;"."),up_dir!T17/((1/1000)*(up_Irr!AR17+up_Irr!BQ17)),IF(AND(up_Irr!S17=".",up_Irr!AR17=".",up_Irr!BQ17&lt;&gt;"."),up_dir!T17/((1/1000)*(up_Irr!BQ17)),IF(AND(up_Irr!S17=".",up_Irr!AR17&lt;&gt;".",up_Irr!BQ17="."),up_dir!T17/((1/1000)*(up_Irr!AR17)),IF(AND(up_Irr!S17&lt;&gt;".",up_Irr!AR17=".",up_Irr!BQ17="."),up_dir!T17/((1/1000)*(up_Irr!S17)),IF(AND(up_Irr!S17=".",up_Irr!AR17=".",up_Irr!BQ17="."),up_dir!T17*1000)))))))),".")</f>
        <v>6.5773651144152131E-4</v>
      </c>
      <c r="U17" s="70">
        <f>IFERROR(IF(AND(up_Irr!T17&lt;&gt;".",up_Irr!AS17&lt;&gt;".",up_Irr!BR17&lt;&gt;"."),up_dir!U17/((1/1000)*(up_Irr!T17+up_Irr!AS17+up_Irr!BR17)),IF(AND(up_Irr!T17&lt;&gt;".",up_Irr!AS17&lt;&gt;".",up_Irr!BR17="."),up_dir!U17/((1/1000)*(up_Irr!T17+up_Irr!AS17)),IF(AND(up_Irr!T17&lt;&gt;".",up_Irr!AS17=".",up_Irr!BR17&lt;&gt;"."),up_dir!U17/((1/1000)*(up_Irr!T17+up_Irr!BR17)),IF(AND(up_Irr!T17=".",up_Irr!AS17&lt;&gt;".",up_Irr!BR17&lt;&gt;"."),up_dir!U17/((1/1000)*(up_Irr!AS17+up_Irr!BR17)),IF(AND(up_Irr!T17=".",up_Irr!AS17=".",up_Irr!BR17&lt;&gt;"."),up_dir!U17/((1/1000)*(up_Irr!BR17)),IF(AND(up_Irr!T17=".",up_Irr!AS17&lt;&gt;".",up_Irr!BR17="."),up_dir!U17/((1/1000)*(up_Irr!AS17)),IF(AND(up_Irr!T17&lt;&gt;".",up_Irr!AS17=".",up_Irr!BR17="."),up_dir!U17/((1/1000)*(up_Irr!T17)),IF(AND(up_Irr!T17=".",up_Irr!AS17=".",up_Irr!BR17="."),up_dir!U17*1000)))))))),".")</f>
        <v>6.5773651144152131E-4</v>
      </c>
      <c r="V17" s="70">
        <f>IFERROR(IF(AND(up_Irr!U17&lt;&gt;".",up_Irr!AT17&lt;&gt;".",up_Irr!BS17&lt;&gt;"."),up_dir!V17/((1/1000)*(up_Irr!U17+up_Irr!AT17+up_Irr!BS17)),IF(AND(up_Irr!U17&lt;&gt;".",up_Irr!AT17&lt;&gt;".",up_Irr!BS17="."),up_dir!V17/((1/1000)*(up_Irr!U17+up_Irr!AT17)),IF(AND(up_Irr!U17&lt;&gt;".",up_Irr!AT17=".",up_Irr!BS17&lt;&gt;"."),up_dir!V17/((1/1000)*(up_Irr!U17+up_Irr!BS17)),IF(AND(up_Irr!U17=".",up_Irr!AT17&lt;&gt;".",up_Irr!BS17&lt;&gt;"."),up_dir!V17/((1/1000)*(up_Irr!AT17+up_Irr!BS17)),IF(AND(up_Irr!U17=".",up_Irr!AT17=".",up_Irr!BS17&lt;&gt;"."),up_dir!V17/((1/1000)*(up_Irr!BS17)),IF(AND(up_Irr!U17=".",up_Irr!AT17&lt;&gt;".",up_Irr!BS17="."),up_dir!V17/((1/1000)*(up_Irr!AT17)),IF(AND(up_Irr!U17&lt;&gt;".",up_Irr!AT17=".",up_Irr!BS17="."),up_dir!V17/((1/1000)*(up_Irr!U17)),IF(AND(up_Irr!U17=".",up_Irr!AT17=".",up_Irr!BS17="."),up_dir!V17*1000)))))))),".")</f>
        <v>6.5773651144152131E-4</v>
      </c>
      <c r="W17" s="70">
        <f>IFERROR(IF(AND(up_Irr!V17&lt;&gt;".",up_Irr!AU17&lt;&gt;".",up_Irr!BT17&lt;&gt;"."),up_dir!W17/((1/1000)*(up_Irr!V17+up_Irr!AU17+up_Irr!BT17)),IF(AND(up_Irr!V17&lt;&gt;".",up_Irr!AU17&lt;&gt;".",up_Irr!BT17="."),up_dir!W17/((1/1000)*(up_Irr!V17+up_Irr!AU17)),IF(AND(up_Irr!V17&lt;&gt;".",up_Irr!AU17=".",up_Irr!BT17&lt;&gt;"."),up_dir!W17/((1/1000)*(up_Irr!V17+up_Irr!BT17)),IF(AND(up_Irr!V17=".",up_Irr!AU17&lt;&gt;".",up_Irr!BT17&lt;&gt;"."),up_dir!W17/((1/1000)*(up_Irr!AU17+up_Irr!BT17)),IF(AND(up_Irr!V17=".",up_Irr!AU17=".",up_Irr!BT17&lt;&gt;"."),up_dir!W17/((1/1000)*(up_Irr!BT17)),IF(AND(up_Irr!V17=".",up_Irr!AU17&lt;&gt;".",up_Irr!BT17="."),up_dir!W17/((1/1000)*(up_Irr!AU17)),IF(AND(up_Irr!V17&lt;&gt;".",up_Irr!AU17=".",up_Irr!BT17="."),up_dir!W17/((1/1000)*(up_Irr!V17)),IF(AND(up_Irr!V17=".",up_Irr!AU17=".",up_Irr!BT17="."),up_dir!W17*1000)))))))),".")</f>
        <v>6.5773651144152131E-4</v>
      </c>
      <c r="X17" s="70">
        <f>IFERROR(IF(AND(up_Irr!W17&lt;&gt;".",up_Irr!AV17&lt;&gt;".",up_Irr!BU17&lt;&gt;"."),up_dir!X17/((1/1000)*(up_Irr!W17+up_Irr!AV17+up_Irr!BU17)),IF(AND(up_Irr!W17&lt;&gt;".",up_Irr!AV17&lt;&gt;".",up_Irr!BU17="."),up_dir!X17/((1/1000)*(up_Irr!W17+up_Irr!AV17)),IF(AND(up_Irr!W17&lt;&gt;".",up_Irr!AV17=".",up_Irr!BU17&lt;&gt;"."),up_dir!X17/((1/1000)*(up_Irr!W17+up_Irr!BU17)),IF(AND(up_Irr!W17=".",up_Irr!AV17&lt;&gt;".",up_Irr!BU17&lt;&gt;"."),up_dir!X17/((1/1000)*(up_Irr!AV17+up_Irr!BU17)),IF(AND(up_Irr!W17=".",up_Irr!AV17=".",up_Irr!BU17&lt;&gt;"."),up_dir!X17/((1/1000)*(up_Irr!BU17)),IF(AND(up_Irr!W17=".",up_Irr!AV17&lt;&gt;".",up_Irr!BU17="."),up_dir!X17/((1/1000)*(up_Irr!AV17)),IF(AND(up_Irr!W17&lt;&gt;".",up_Irr!AV17=".",up_Irr!BU17="."),up_dir!X17/((1/1000)*(up_Irr!W17)),IF(AND(up_Irr!W17=".",up_Irr!AV17=".",up_Irr!BU17="."),up_dir!X17*1000)))))))),".")</f>
        <v>6.5773651144152131E-4</v>
      </c>
      <c r="Y17" s="70">
        <f>IFERROR(IF(AND(up_Irr!X17&lt;&gt;".",up_Irr!AW17&lt;&gt;".",up_Irr!BV17&lt;&gt;"."),up_dir!Y17/((1/1000)*(up_Irr!X17+up_Irr!AW17+up_Irr!BV17)),IF(AND(up_Irr!X17&lt;&gt;".",up_Irr!AW17&lt;&gt;".",up_Irr!BV17="."),up_dir!Y17/((1/1000)*(up_Irr!X17+up_Irr!AW17)),IF(AND(up_Irr!X17&lt;&gt;".",up_Irr!AW17=".",up_Irr!BV17&lt;&gt;"."),up_dir!Y17/((1/1000)*(up_Irr!X17+up_Irr!BV17)),IF(AND(up_Irr!X17=".",up_Irr!AW17&lt;&gt;".",up_Irr!BV17&lt;&gt;"."),up_dir!Y17/((1/1000)*(up_Irr!AW17+up_Irr!BV17)),IF(AND(up_Irr!X17=".",up_Irr!AW17=".",up_Irr!BV17&lt;&gt;"."),up_dir!Y17/((1/1000)*(up_Irr!BV17)),IF(AND(up_Irr!X17=".",up_Irr!AW17&lt;&gt;".",up_Irr!BV17="."),up_dir!Y17/((1/1000)*(up_Irr!AW17)),IF(AND(up_Irr!X17&lt;&gt;".",up_Irr!AW17=".",up_Irr!BV17="."),up_dir!Y17/((1/1000)*(up_Irr!X17)),IF(AND(up_Irr!X17=".",up_Irr!AW17=".",up_Irr!BV17="."),up_dir!Y17*1000)))))))),".")</f>
        <v>6.5773651144152131E-4</v>
      </c>
      <c r="Z17" s="70">
        <f>IFERROR(IF(AND(up_Irr!Y17&lt;&gt;".",up_Irr!AX17&lt;&gt;".",up_Irr!BW17&lt;&gt;"."),up_dir!Z17/((1/1000)*(up_Irr!Y17+up_Irr!AX17+up_Irr!BW17)),IF(AND(up_Irr!Y17&lt;&gt;".",up_Irr!AX17&lt;&gt;".",up_Irr!BW17="."),up_dir!Z17/((1/1000)*(up_Irr!Y17+up_Irr!AX17)),IF(AND(up_Irr!Y17&lt;&gt;".",up_Irr!AX17=".",up_Irr!BW17&lt;&gt;"."),up_dir!Z17/((1/1000)*(up_Irr!Y17+up_Irr!BW17)),IF(AND(up_Irr!Y17=".",up_Irr!AX17&lt;&gt;".",up_Irr!BW17&lt;&gt;"."),up_dir!Z17/((1/1000)*(up_Irr!AX17+up_Irr!BW17)),IF(AND(up_Irr!Y17=".",up_Irr!AX17=".",up_Irr!BW17&lt;&gt;"."),up_dir!Z17/((1/1000)*(up_Irr!BW17)),IF(AND(up_Irr!Y17=".",up_Irr!AX17&lt;&gt;".",up_Irr!BW17="."),up_dir!Z17/((1/1000)*(up_Irr!AX17)),IF(AND(up_Irr!Y17&lt;&gt;".",up_Irr!AX17=".",up_Irr!BW17="."),up_dir!Z17/((1/1000)*(up_Irr!Y17)),IF(AND(up_Irr!Y17=".",up_Irr!AX17=".",up_Irr!BW17="."),up_dir!Z17*1000)))))))),".")</f>
        <v>6.5773651144152131E-4</v>
      </c>
      <c r="AA17" s="70">
        <f>IFERROR(IF(AND(up_Irr!Z17&lt;&gt;".",up_Irr!AY17&lt;&gt;".",up_Irr!BX17&lt;&gt;"."),up_dir!AA17/((1/1000)*(up_Irr!Z17+up_Irr!AY17+up_Irr!BX17)),IF(AND(up_Irr!Z17&lt;&gt;".",up_Irr!AY17&lt;&gt;".",up_Irr!BX17="."),up_dir!AA17/((1/1000)*(up_Irr!Z17+up_Irr!AY17)),IF(AND(up_Irr!Z17&lt;&gt;".",up_Irr!AY17=".",up_Irr!BX17&lt;&gt;"."),up_dir!AA17/((1/1000)*(up_Irr!Z17+up_Irr!BX17)),IF(AND(up_Irr!Z17=".",up_Irr!AY17&lt;&gt;".",up_Irr!BX17&lt;&gt;"."),up_dir!AA17/((1/1000)*(up_Irr!AY17+up_Irr!BX17)),IF(AND(up_Irr!Z17=".",up_Irr!AY17=".",up_Irr!BX17&lt;&gt;"."),up_dir!AA17/((1/1000)*(up_Irr!BX17)),IF(AND(up_Irr!Z17=".",up_Irr!AY17&lt;&gt;".",up_Irr!BX17="."),up_dir!AA17/((1/1000)*(up_Irr!AY17)),IF(AND(up_Irr!Z17&lt;&gt;".",up_Irr!AY17=".",up_Irr!BX17="."),up_dir!AA17/((1/1000)*(up_Irr!Z17)),IF(AND(up_Irr!Z17=".",up_Irr!AY17=".",up_Irr!BX17="."),up_dir!AA17*1000)))))))),".")</f>
        <v>6.5773651144152131E-4</v>
      </c>
      <c r="AB17" s="70">
        <f>IFERROR(IF(AND(up_Irr!AA17&lt;&gt;".",up_Irr!AZ17&lt;&gt;".",up_Irr!BY17&lt;&gt;"."),up_dir!AB17/((1/1000)*(up_Irr!AA17+up_Irr!AZ17+up_Irr!BY17)),IF(AND(up_Irr!AA17&lt;&gt;".",up_Irr!AZ17&lt;&gt;".",up_Irr!BY17="."),up_dir!AB17/((1/1000)*(up_Irr!AA17+up_Irr!AZ17)),IF(AND(up_Irr!AA17&lt;&gt;".",up_Irr!AZ17=".",up_Irr!BY17&lt;&gt;"."),up_dir!AB17/((1/1000)*(up_Irr!AA17+up_Irr!BY17)),IF(AND(up_Irr!AA17=".",up_Irr!AZ17&lt;&gt;".",up_Irr!BY17&lt;&gt;"."),up_dir!AB17/((1/1000)*(up_Irr!AZ17+up_Irr!BY17)),IF(AND(up_Irr!AA17=".",up_Irr!AZ17=".",up_Irr!BY17&lt;&gt;"."),up_dir!AB17/((1/1000)*(up_Irr!BY17)),IF(AND(up_Irr!AA17=".",up_Irr!AZ17&lt;&gt;".",up_Irr!BY17="."),up_dir!AB17/((1/1000)*(up_Irr!AZ17)),IF(AND(up_Irr!AA17&lt;&gt;".",up_Irr!AZ17=".",up_Irr!BY17="."),up_dir!AB17/((1/1000)*(up_Irr!AA17)),IF(AND(up_Irr!AA17=".",up_Irr!AZ17=".",up_Irr!BY17="."),up_dir!AB17*1000)))))))),".")</f>
        <v>6.5773651144152131E-4</v>
      </c>
      <c r="AC17" s="87">
        <f t="shared" si="1"/>
        <v>30407.313038114935</v>
      </c>
      <c r="AD17" s="87">
        <f>IFERROR(s_C*s_IFAP_res_adj*s_CF_apple*0.001*(up_Irr!C17+up_Irr!AB17+up_Irr!BA17),".")</f>
        <v>7601.8282595287337</v>
      </c>
      <c r="AE17" s="87">
        <f>IFERROR(s_C*s_IFAS_res_adj*s_CF_asparagus*0.001*(up_Irr!D17+up_Irr!AC17+up_Irr!BB17),".")</f>
        <v>7601.8282595287337</v>
      </c>
      <c r="AF17" s="87">
        <f>IFERROR(s_C*s_IFBT_res_adj*s_CF_beet*0.001*(up_Irr!E17+up_Irr!AD17+up_Irr!BC17),".")</f>
        <v>7601.8282595287337</v>
      </c>
      <c r="AG17" s="87">
        <f>IFERROR(s_C*s_IFBE_res_adj*s_CF_berries*0.001*(up_Irr!F17+up_Irr!AE17+up_Irr!BD17),".")</f>
        <v>7601.8282595287337</v>
      </c>
      <c r="AH17" s="87">
        <f>IFERROR(s_C*s_IFBR_res_adj*s_CF_broccoli*0.001*(up_Irr!G17+up_Irr!AF17+up_Irr!BE17),".")</f>
        <v>7601.8282595287337</v>
      </c>
      <c r="AI17" s="87">
        <f>IFERROR(s_C*s_IFCB_res_adj*s_CF_cabbage*0.001*(up_Irr!H17+up_Irr!AG17+up_Irr!BF17),".")</f>
        <v>7601.8282595287337</v>
      </c>
      <c r="AJ17" s="87">
        <f>IFERROR(s_C*s_IFCR_res_adj*s_CF_carrot*0.001*(up_Irr!I17+up_Irr!AH17+up_Irr!BG17),".")</f>
        <v>7601.8282595287337</v>
      </c>
      <c r="AK17" s="87">
        <f>IFERROR(s_C*s_IFCI_res_adj*s_CF_citrus*0.001*(up_Irr!J17+up_Irr!AI17+up_Irr!BH17),".")</f>
        <v>7601.8282595287337</v>
      </c>
      <c r="AL17" s="87">
        <f>IFERROR(s_C*s_IFCO_res_adj*s_CF_corn*0.001*(up_Irr!K17+up_Irr!AJ17+up_Irr!BI17),".")</f>
        <v>7601.8282595287337</v>
      </c>
      <c r="AM17" s="87">
        <f>IFERROR(s_C*s_IFCU_res_adj*s_CF_cucumber*0.001*(up_Irr!L17+up_Irr!AK17+up_Irr!BJ17),".")</f>
        <v>7601.8282595287337</v>
      </c>
      <c r="AN17" s="87">
        <f>IFERROR(s_C*s_IFLE_res_adj*s_CF_lettuce*0.001*(up_Irr!M17+up_Irr!AL17+up_Irr!BK17),".")</f>
        <v>7601.8282595287337</v>
      </c>
      <c r="AO17" s="87">
        <f>IFERROR(s_C*s_IFLI_res_adj*s_CF_lima_bean*0.001*(up_Irr!N17+up_Irr!AM17+up_Irr!BL17),".")</f>
        <v>7601.8282595287337</v>
      </c>
      <c r="AP17" s="87">
        <f>IFERROR(s_C*s_IFOK_res_adj*s_CF_okra*0.001*(up_Irr!O17+up_Irr!AN17+up_Irr!BM17),".")</f>
        <v>7601.8282595287337</v>
      </c>
      <c r="AQ17" s="87">
        <f>IFERROR(s_C*s_IFON_res_adj*s_CF_onion*0.001*(up_Irr!P17+up_Irr!AO17+up_Irr!BN17),".")</f>
        <v>7601.8282595287337</v>
      </c>
      <c r="AR17" s="87">
        <f>IFERROR(s_C*s_IFPC_res_adj*s_CF_peach*0.001*(up_Irr!Q17+up_Irr!AP17+up_Irr!BO17),".")</f>
        <v>7601.8282595287337</v>
      </c>
      <c r="AS17" s="87">
        <f>IFERROR(s_C*s_IFPR_res_adj*s_CF_pear*0.001*(up_Irr!R17+up_Irr!AQ17+up_Irr!BP17),".")</f>
        <v>7601.8282595287337</v>
      </c>
      <c r="AT17" s="87">
        <f>IFERROR(s_C*s_IFPE_res_adj*s_CF_peas*0.001*(up_Irr!S17+up_Irr!AR17+up_Irr!BQ17),".")</f>
        <v>7601.8282595287337</v>
      </c>
      <c r="AU17" s="87">
        <f>IFERROR(s_C*s_IFPP_res_adj*s_CF_peppers*0.001*(up_Irr!T17+up_Irr!AS17+up_Irr!BR17),".")</f>
        <v>7601.8282595287337</v>
      </c>
      <c r="AV17" s="87">
        <f>IFERROR(s_C*s_IFPT_res_adj*s_CF_potato*0.001*(up_Irr!U17+up_Irr!AT17+up_Irr!BS17),".")</f>
        <v>7601.8282595287337</v>
      </c>
      <c r="AW17" s="87">
        <f>IFERROR(s_C*s_IFPU_res_adj*s_CF_pumpkin*0.001*(up_Irr!V17+up_Irr!AU17+up_Irr!BT17),".")</f>
        <v>7601.8282595287337</v>
      </c>
      <c r="AX17" s="87">
        <f>IFERROR(s_C*s_IFSN_res_adj*s_CF_snap_bean*0.001*(up_Irr!W17+up_Irr!AV17+up_Irr!BU17),".")</f>
        <v>7601.8282595287337</v>
      </c>
      <c r="AY17" s="87">
        <f>IFERROR(s_C*s_IFST_res_adj*s_CF_strawberry*0.001*(up_Irr!X17+up_Irr!AW17+up_Irr!BV17),".")</f>
        <v>7601.8282595287337</v>
      </c>
      <c r="AZ17" s="87">
        <f>IFERROR(s_C*s_IFTO_res_adj*s_CF_tomato*0.001*(up_Irr!Y17+up_Irr!AX17+up_Irr!BW17),".")</f>
        <v>7601.8282595287337</v>
      </c>
      <c r="BA17" s="87">
        <f>IFERROR(s_C*s_IFRI_res_adj*s_CF_rice*0.001*(up_Irr!Z17+up_Irr!AY17+up_Irr!BX17),".")</f>
        <v>7601.8282595287337</v>
      </c>
      <c r="BB17" s="87">
        <f>IFERROR(s_C*s_IFCG_res_adj*s_CF_cereal*0.001*(up_Irr!AA17+up_Irr!AZ17+up_Irr!BY17),".")</f>
        <v>7601.8282595287337</v>
      </c>
      <c r="BC17" s="70">
        <f t="shared" si="2"/>
        <v>1.6443412786038033E-4</v>
      </c>
      <c r="BD17" s="70">
        <f>IFERROR(IF(AND(up_Irr!C17&lt;&gt;".",up_Irr!AB17&lt;&gt;".",up_Irr!BA17&lt;&gt;"."),up_dir!AD17/((1/1000)*(up_Irr!C17+up_Irr!AB17+up_Irr!BA17)),IF(AND(up_Irr!C17&lt;&gt;".",up_Irr!AB17&lt;&gt;".",up_Irr!BA17="."),up_dir!AD17/((1/1000)*(up_Irr!C17+up_Irr!AB17)),IF(AND(up_Irr!C17&lt;&gt;".",up_Irr!AB17=".",up_Irr!BA17&lt;&gt;"."),up_dir!AD17/((1/1000)*(up_Irr!C17+up_Irr!BA17)),IF(AND(up_Irr!C17=".",up_Irr!AB17&lt;&gt;".",up_Irr!BA17&lt;&gt;"."),up_dir!AD17/((1/1000)*(up_Irr!AB17+up_Irr!BA17)),IF(AND(up_Irr!C17=".",up_Irr!AB17=".",up_Irr!BA17&lt;&gt;"."),up_dir!AD17/((1/1000)*(up_Irr!BA17)),IF(AND(up_Irr!C17=".",up_Irr!AB17&lt;&gt;".",up_Irr!BA17="."),up_dir!AD17/((1/1000)*(up_Irr!AB17)),IF(AND(up_Irr!C17&lt;&gt;".",up_Irr!AB17=".",up_Irr!BA17="."),up_dir!AD17/((1/1000)*(up_Irr!C17)),IF(AND(up_Irr!C17=".",up_Irr!AB17=".",up_Irr!BA17="."),up_dir!AD17*1000)))))))),".")</f>
        <v>6.5773651144152131E-4</v>
      </c>
      <c r="BE17" s="70">
        <f>IFERROR(IF(AND(up_Irr!D17&lt;&gt;".",up_Irr!AC17&lt;&gt;".",up_Irr!BB17&lt;&gt;"."),up_dir!AE17/((1/1000)*(up_Irr!D17+up_Irr!AC17+up_Irr!BB17)),IF(AND(up_Irr!D17&lt;&gt;".",up_Irr!AC17&lt;&gt;".",up_Irr!BB17="."),up_dir!AE17/((1/1000)*(up_Irr!D17+up_Irr!AC17)),IF(AND(up_Irr!D17&lt;&gt;".",up_Irr!AC17=".",up_Irr!BB17&lt;&gt;"."),up_dir!AE17/((1/1000)*(up_Irr!D17+up_Irr!BB17)),IF(AND(up_Irr!D17=".",up_Irr!AC17&lt;&gt;".",up_Irr!BB17&lt;&gt;"."),up_dir!AE17/((1/1000)*(up_Irr!AC17+up_Irr!BB17)),IF(AND(up_Irr!D17=".",up_Irr!AC17=".",up_Irr!BB17&lt;&gt;"."),up_dir!AE17/((1/1000)*(up_Irr!BB17)),IF(AND(up_Irr!D17=".",up_Irr!AC17&lt;&gt;".",up_Irr!BB17="."),up_dir!AE17/((1/1000)*(up_Irr!AC17)),IF(AND(up_Irr!D17&lt;&gt;".",up_Irr!AC17=".",up_Irr!BB17="."),up_dir!AE17/((1/1000)*(up_Irr!D17)),IF(AND(up_Irr!D17=".",up_Irr!AC17=".",up_Irr!BB17="."),up_dir!AE17*1000)))))))),".")</f>
        <v>6.5773651144152131E-4</v>
      </c>
      <c r="BF17" s="70">
        <f>IFERROR(IF(AND(up_Irr!E17&lt;&gt;".",up_Irr!AD17&lt;&gt;".",up_Irr!BC17&lt;&gt;"."),up_dir!AF17/((1/1000)*(up_Irr!E17+up_Irr!AD17+up_Irr!BC17)),IF(AND(up_Irr!E17&lt;&gt;".",up_Irr!AD17&lt;&gt;".",up_Irr!BC17="."),up_dir!AF17/((1/1000)*(up_Irr!E17+up_Irr!AD17)),IF(AND(up_Irr!E17&lt;&gt;".",up_Irr!AD17=".",up_Irr!BC17&lt;&gt;"."),up_dir!AF17/((1/1000)*(up_Irr!E17+up_Irr!BC17)),IF(AND(up_Irr!E17=".",up_Irr!AD17&lt;&gt;".",up_Irr!BC17&lt;&gt;"."),up_dir!AF17/((1/1000)*(up_Irr!AD17+up_Irr!BC17)),IF(AND(up_Irr!E17=".",up_Irr!AD17=".",up_Irr!BC17&lt;&gt;"."),up_dir!AF17/((1/1000)*(up_Irr!BC17)),IF(AND(up_Irr!E17=".",up_Irr!AD17&lt;&gt;".",up_Irr!BC17="."),up_dir!AF17/((1/1000)*(up_Irr!AD17)),IF(AND(up_Irr!E17&lt;&gt;".",up_Irr!AD17=".",up_Irr!BC17="."),up_dir!AF17/((1/1000)*(up_Irr!E17)),IF(AND(up_Irr!E17=".",up_Irr!AD17=".",up_Irr!BC17="."),up_dir!AF17*1000)))))))),".")</f>
        <v>6.5773651144152131E-4</v>
      </c>
      <c r="BG17" s="70">
        <f>IFERROR(IF(AND(up_Irr!F17&lt;&gt;".",up_Irr!AE17&lt;&gt;".",up_Irr!BD17&lt;&gt;"."),up_dir!AG17/((1/1000)*(up_Irr!F17+up_Irr!AE17+up_Irr!BD17)),IF(AND(up_Irr!F17&lt;&gt;".",up_Irr!AE17&lt;&gt;".",up_Irr!BD17="."),up_dir!AG17/((1/1000)*(up_Irr!F17+up_Irr!AE17)),IF(AND(up_Irr!F17&lt;&gt;".",up_Irr!AE17=".",up_Irr!BD17&lt;&gt;"."),up_dir!AG17/((1/1000)*(up_Irr!F17+up_Irr!BD17)),IF(AND(up_Irr!F17=".",up_Irr!AE17&lt;&gt;".",up_Irr!BD17&lt;&gt;"."),up_dir!AG17/((1/1000)*(up_Irr!AE17+up_Irr!BD17)),IF(AND(up_Irr!F17=".",up_Irr!AE17=".",up_Irr!BD17&lt;&gt;"."),up_dir!AG17/((1/1000)*(up_Irr!BD17)),IF(AND(up_Irr!F17=".",up_Irr!AE17&lt;&gt;".",up_Irr!BD17="."),up_dir!AG17/((1/1000)*(up_Irr!AE17)),IF(AND(up_Irr!F17&lt;&gt;".",up_Irr!AE17=".",up_Irr!BD17="."),up_dir!AG17/((1/1000)*(up_Irr!F17)),IF(AND(up_Irr!F17=".",up_Irr!AE17=".",up_Irr!BD17="."),up_dir!AG17*1000)))))))),".")</f>
        <v>6.5773651144152131E-4</v>
      </c>
      <c r="BH17" s="70">
        <f>IFERROR(IF(AND(up_Irr!G17&lt;&gt;".",up_Irr!AF17&lt;&gt;".",up_Irr!BE17&lt;&gt;"."),up_dir!AH17/((1/1000)*(up_Irr!G17+up_Irr!AF17+up_Irr!BE17)),IF(AND(up_Irr!G17&lt;&gt;".",up_Irr!AF17&lt;&gt;".",up_Irr!BE17="."),up_dir!AH17/((1/1000)*(up_Irr!G17+up_Irr!AF17)),IF(AND(up_Irr!G17&lt;&gt;".",up_Irr!AF17=".",up_Irr!BE17&lt;&gt;"."),up_dir!AH17/((1/1000)*(up_Irr!G17+up_Irr!BE17)),IF(AND(up_Irr!G17=".",up_Irr!AF17&lt;&gt;".",up_Irr!BE17&lt;&gt;"."),up_dir!AH17/((1/1000)*(up_Irr!AF17+up_Irr!BE17)),IF(AND(up_Irr!G17=".",up_Irr!AF17=".",up_Irr!BE17&lt;&gt;"."),up_dir!AH17/((1/1000)*(up_Irr!BE17)),IF(AND(up_Irr!G17=".",up_Irr!AF17&lt;&gt;".",up_Irr!BE17="."),up_dir!AH17/((1/1000)*(up_Irr!AF17)),IF(AND(up_Irr!G17&lt;&gt;".",up_Irr!AF17=".",up_Irr!BE17="."),up_dir!AH17/((1/1000)*(up_Irr!G17)),IF(AND(up_Irr!G17=".",up_Irr!AF17=".",up_Irr!BE17="."),up_dir!AH17*1000)))))))),".")</f>
        <v>6.5773651144152131E-4</v>
      </c>
      <c r="BI17" s="70">
        <f>IFERROR(IF(AND(up_Irr!H17&lt;&gt;".",up_Irr!AG17&lt;&gt;".",up_Irr!BF17&lt;&gt;"."),up_dir!AI17/((1/1000)*(up_Irr!H17+up_Irr!AG17+up_Irr!BF17)),IF(AND(up_Irr!H17&lt;&gt;".",up_Irr!AG17&lt;&gt;".",up_Irr!BF17="."),up_dir!AI17/((1/1000)*(up_Irr!H17+up_Irr!AG17)),IF(AND(up_Irr!H17&lt;&gt;".",up_Irr!AG17=".",up_Irr!BF17&lt;&gt;"."),up_dir!AI17/((1/1000)*(up_Irr!H17+up_Irr!BF17)),IF(AND(up_Irr!H17=".",up_Irr!AG17&lt;&gt;".",up_Irr!BF17&lt;&gt;"."),up_dir!AI17/((1/1000)*(up_Irr!AG17+up_Irr!BF17)),IF(AND(up_Irr!H17=".",up_Irr!AG17=".",up_Irr!BF17&lt;&gt;"."),up_dir!AI17/((1/1000)*(up_Irr!BF17)),IF(AND(up_Irr!H17=".",up_Irr!AG17&lt;&gt;".",up_Irr!BF17="."),up_dir!AI17/((1/1000)*(up_Irr!AG17)),IF(AND(up_Irr!H17&lt;&gt;".",up_Irr!AG17=".",up_Irr!BF17="."),up_dir!AI17/((1/1000)*(up_Irr!H17)),IF(AND(up_Irr!H17=".",up_Irr!AG17=".",up_Irr!BF17="."),up_dir!AI17*1000)))))))),".")</f>
        <v>6.5773651144152131E-4</v>
      </c>
      <c r="BJ17" s="70">
        <f>IFERROR(IF(AND(up_Irr!I17&lt;&gt;".",up_Irr!AH17&lt;&gt;".",up_Irr!BG17&lt;&gt;"."),up_dir!AJ17/((1/1000)*(up_Irr!I17+up_Irr!AH17+up_Irr!BG17)),IF(AND(up_Irr!I17&lt;&gt;".",up_Irr!AH17&lt;&gt;".",up_Irr!BG17="."),up_dir!AJ17/((1/1000)*(up_Irr!I17+up_Irr!AH17)),IF(AND(up_Irr!I17&lt;&gt;".",up_Irr!AH17=".",up_Irr!BG17&lt;&gt;"."),up_dir!AJ17/((1/1000)*(up_Irr!I17+up_Irr!BG17)),IF(AND(up_Irr!I17=".",up_Irr!AH17&lt;&gt;".",up_Irr!BG17&lt;&gt;"."),up_dir!AJ17/((1/1000)*(up_Irr!AH17+up_Irr!BG17)),IF(AND(up_Irr!I17=".",up_Irr!AH17=".",up_Irr!BG17&lt;&gt;"."),up_dir!AJ17/((1/1000)*(up_Irr!BG17)),IF(AND(up_Irr!I17=".",up_Irr!AH17&lt;&gt;".",up_Irr!BG17="."),up_dir!AJ17/((1/1000)*(up_Irr!AH17)),IF(AND(up_Irr!I17&lt;&gt;".",up_Irr!AH17=".",up_Irr!BG17="."),up_dir!AJ17/((1/1000)*(up_Irr!I17)),IF(AND(up_Irr!I17=".",up_Irr!AH17=".",up_Irr!BG17="."),up_dir!AJ17*1000)))))))),".")</f>
        <v>6.5773651144152131E-4</v>
      </c>
      <c r="BK17" s="70">
        <f>IFERROR(IF(AND(up_Irr!J17&lt;&gt;".",up_Irr!AI17&lt;&gt;".",up_Irr!BH17&lt;&gt;"."),up_dir!AK17/((1/1000)*(up_Irr!J17+up_Irr!AI17+up_Irr!BH17)),IF(AND(up_Irr!J17&lt;&gt;".",up_Irr!AI17&lt;&gt;".",up_Irr!BH17="."),up_dir!AK17/((1/1000)*(up_Irr!J17+up_Irr!AI17)),IF(AND(up_Irr!J17&lt;&gt;".",up_Irr!AI17=".",up_Irr!BH17&lt;&gt;"."),up_dir!AK17/((1/1000)*(up_Irr!J17+up_Irr!BH17)),IF(AND(up_Irr!J17=".",up_Irr!AI17&lt;&gt;".",up_Irr!BH17&lt;&gt;"."),up_dir!AK17/((1/1000)*(up_Irr!AI17+up_Irr!BH17)),IF(AND(up_Irr!J17=".",up_Irr!AI17=".",up_Irr!BH17&lt;&gt;"."),up_dir!AK17/((1/1000)*(up_Irr!BH17)),IF(AND(up_Irr!J17=".",up_Irr!AI17&lt;&gt;".",up_Irr!BH17="."),up_dir!AK17/((1/1000)*(up_Irr!AI17)),IF(AND(up_Irr!J17&lt;&gt;".",up_Irr!AI17=".",up_Irr!BH17="."),up_dir!AK17/((1/1000)*(up_Irr!J17)),IF(AND(up_Irr!J17=".",up_Irr!AI17=".",up_Irr!BH17="."),up_dir!AK17*1000)))))))),".")</f>
        <v>6.5773651144152131E-4</v>
      </c>
      <c r="BL17" s="70">
        <f>IFERROR(IF(AND(up_Irr!K17&lt;&gt;".",up_Irr!AJ17&lt;&gt;".",up_Irr!BI17&lt;&gt;"."),up_dir!AL17/((1/1000)*(up_Irr!K17+up_Irr!AJ17+up_Irr!BI17)),IF(AND(up_Irr!K17&lt;&gt;".",up_Irr!AJ17&lt;&gt;".",up_Irr!BI17="."),up_dir!AL17/((1/1000)*(up_Irr!K17+up_Irr!AJ17)),IF(AND(up_Irr!K17&lt;&gt;".",up_Irr!AJ17=".",up_Irr!BI17&lt;&gt;"."),up_dir!AL17/((1/1000)*(up_Irr!K17+up_Irr!BI17)),IF(AND(up_Irr!K17=".",up_Irr!AJ17&lt;&gt;".",up_Irr!BI17&lt;&gt;"."),up_dir!AL17/((1/1000)*(up_Irr!AJ17+up_Irr!BI17)),IF(AND(up_Irr!K17=".",up_Irr!AJ17=".",up_Irr!BI17&lt;&gt;"."),up_dir!AL17/((1/1000)*(up_Irr!BI17)),IF(AND(up_Irr!K17=".",up_Irr!AJ17&lt;&gt;".",up_Irr!BI17="."),up_dir!AL17/((1/1000)*(up_Irr!AJ17)),IF(AND(up_Irr!K17&lt;&gt;".",up_Irr!AJ17=".",up_Irr!BI17="."),up_dir!AL17/((1/1000)*(up_Irr!K17)),IF(AND(up_Irr!K17=".",up_Irr!AJ17=".",up_Irr!BI17="."),up_dir!AL17*1000)))))))),".")</f>
        <v>6.5773651144152131E-4</v>
      </c>
      <c r="BM17" s="70">
        <f>IFERROR(IF(AND(up_Irr!L17&lt;&gt;".",up_Irr!AK17&lt;&gt;".",up_Irr!BJ17&lt;&gt;"."),up_dir!AM17/((1/1000)*(up_Irr!L17+up_Irr!AK17+up_Irr!BJ17)),IF(AND(up_Irr!L17&lt;&gt;".",up_Irr!AK17&lt;&gt;".",up_Irr!BJ17="."),up_dir!AM17/((1/1000)*(up_Irr!L17+up_Irr!AK17)),IF(AND(up_Irr!L17&lt;&gt;".",up_Irr!AK17=".",up_Irr!BJ17&lt;&gt;"."),up_dir!AM17/((1/1000)*(up_Irr!L17+up_Irr!BJ17)),IF(AND(up_Irr!L17=".",up_Irr!AK17&lt;&gt;".",up_Irr!BJ17&lt;&gt;"."),up_dir!AM17/((1/1000)*(up_Irr!AK17+up_Irr!BJ17)),IF(AND(up_Irr!L17=".",up_Irr!AK17=".",up_Irr!BJ17&lt;&gt;"."),up_dir!AM17/((1/1000)*(up_Irr!BJ17)),IF(AND(up_Irr!L17=".",up_Irr!AK17&lt;&gt;".",up_Irr!BJ17="."),up_dir!AM17/((1/1000)*(up_Irr!AK17)),IF(AND(up_Irr!L17&lt;&gt;".",up_Irr!AK17=".",up_Irr!BJ17="."),up_dir!AM17/((1/1000)*(up_Irr!L17)),IF(AND(up_Irr!L17=".",up_Irr!AK17=".",up_Irr!BJ17="."),up_dir!AM17*1000)))))))),".")</f>
        <v>6.5773651144152131E-4</v>
      </c>
      <c r="BN17" s="70">
        <f>IFERROR(IF(AND(up_Irr!M17&lt;&gt;".",up_Irr!AL17&lt;&gt;".",up_Irr!BK17&lt;&gt;"."),up_dir!AN17/((1/1000)*(up_Irr!M17+up_Irr!AL17+up_Irr!BK17)),IF(AND(up_Irr!M17&lt;&gt;".",up_Irr!AL17&lt;&gt;".",up_Irr!BK17="."),up_dir!AN17/((1/1000)*(up_Irr!M17+up_Irr!AL17)),IF(AND(up_Irr!M17&lt;&gt;".",up_Irr!AL17=".",up_Irr!BK17&lt;&gt;"."),up_dir!AN17/((1/1000)*(up_Irr!M17+up_Irr!BK17)),IF(AND(up_Irr!M17=".",up_Irr!AL17&lt;&gt;".",up_Irr!BK17&lt;&gt;"."),up_dir!AN17/((1/1000)*(up_Irr!AL17+up_Irr!BK17)),IF(AND(up_Irr!M17=".",up_Irr!AL17=".",up_Irr!BK17&lt;&gt;"."),up_dir!AN17/((1/1000)*(up_Irr!BK17)),IF(AND(up_Irr!M17=".",up_Irr!AL17&lt;&gt;".",up_Irr!BK17="."),up_dir!AN17/((1/1000)*(up_Irr!AL17)),IF(AND(up_Irr!M17&lt;&gt;".",up_Irr!AL17=".",up_Irr!BK17="."),up_dir!AN17/((1/1000)*(up_Irr!M17)),IF(AND(up_Irr!M17=".",up_Irr!AL17=".",up_Irr!BK17="."),up_dir!AN17*1000)))))))),".")</f>
        <v>6.5773651144152131E-4</v>
      </c>
      <c r="BO17" s="70">
        <f>IFERROR(IF(AND(up_Irr!N17&lt;&gt;".",up_Irr!AM17&lt;&gt;".",up_Irr!BL17&lt;&gt;"."),up_dir!AO17/((1/1000)*(up_Irr!N17+up_Irr!AM17+up_Irr!BL17)),IF(AND(up_Irr!N17&lt;&gt;".",up_Irr!AM17&lt;&gt;".",up_Irr!BL17="."),up_dir!AO17/((1/1000)*(up_Irr!N17+up_Irr!AM17)),IF(AND(up_Irr!N17&lt;&gt;".",up_Irr!AM17=".",up_Irr!BL17&lt;&gt;"."),up_dir!AO17/((1/1000)*(up_Irr!N17+up_Irr!BL17)),IF(AND(up_Irr!N17=".",up_Irr!AM17&lt;&gt;".",up_Irr!BL17&lt;&gt;"."),up_dir!AO17/((1/1000)*(up_Irr!AM17+up_Irr!BL17)),IF(AND(up_Irr!N17=".",up_Irr!AM17=".",up_Irr!BL17&lt;&gt;"."),up_dir!AO17/((1/1000)*(up_Irr!BL17)),IF(AND(up_Irr!N17=".",up_Irr!AM17&lt;&gt;".",up_Irr!BL17="."),up_dir!AO17/((1/1000)*(up_Irr!AM17)),IF(AND(up_Irr!N17&lt;&gt;".",up_Irr!AM17=".",up_Irr!BL17="."),up_dir!AO17/((1/1000)*(up_Irr!N17)),IF(AND(up_Irr!N17=".",up_Irr!AM17=".",up_Irr!BL17="."),up_dir!AO17*1000)))))))),".")</f>
        <v>6.5773651144152131E-4</v>
      </c>
      <c r="BP17" s="70">
        <f>IFERROR(IF(AND(up_Irr!O17&lt;&gt;".",up_Irr!AN17&lt;&gt;".",up_Irr!BM17&lt;&gt;"."),up_dir!AP17/((1/1000)*(up_Irr!O17+up_Irr!AN17+up_Irr!BM17)),IF(AND(up_Irr!O17&lt;&gt;".",up_Irr!AN17&lt;&gt;".",up_Irr!BM17="."),up_dir!AP17/((1/1000)*(up_Irr!O17+up_Irr!AN17)),IF(AND(up_Irr!O17&lt;&gt;".",up_Irr!AN17=".",up_Irr!BM17&lt;&gt;"."),up_dir!AP17/((1/1000)*(up_Irr!O17+up_Irr!BM17)),IF(AND(up_Irr!O17=".",up_Irr!AN17&lt;&gt;".",up_Irr!BM17&lt;&gt;"."),up_dir!AP17/((1/1000)*(up_Irr!AN17+up_Irr!BM17)),IF(AND(up_Irr!O17=".",up_Irr!AN17=".",up_Irr!BM17&lt;&gt;"."),up_dir!AP17/((1/1000)*(up_Irr!BM17)),IF(AND(up_Irr!O17=".",up_Irr!AN17&lt;&gt;".",up_Irr!BM17="."),up_dir!AP17/((1/1000)*(up_Irr!AN17)),IF(AND(up_Irr!O17&lt;&gt;".",up_Irr!AN17=".",up_Irr!BM17="."),up_dir!AP17/((1/1000)*(up_Irr!O17)),IF(AND(up_Irr!O17=".",up_Irr!AN17=".",up_Irr!BM17="."),up_dir!AP17*1000)))))))),".")</f>
        <v>6.5773651144152131E-4</v>
      </c>
      <c r="BQ17" s="70">
        <f>IFERROR(IF(AND(up_Irr!P17&lt;&gt;".",up_Irr!AO17&lt;&gt;".",up_Irr!BN17&lt;&gt;"."),up_dir!AQ17/((1/1000)*(up_Irr!P17+up_Irr!AO17+up_Irr!BN17)),IF(AND(up_Irr!P17&lt;&gt;".",up_Irr!AO17&lt;&gt;".",up_Irr!BN17="."),up_dir!AQ17/((1/1000)*(up_Irr!P17+up_Irr!AO17)),IF(AND(up_Irr!P17&lt;&gt;".",up_Irr!AO17=".",up_Irr!BN17&lt;&gt;"."),up_dir!AQ17/((1/1000)*(up_Irr!P17+up_Irr!BN17)),IF(AND(up_Irr!P17=".",up_Irr!AO17&lt;&gt;".",up_Irr!BN17&lt;&gt;"."),up_dir!AQ17/((1/1000)*(up_Irr!AO17+up_Irr!BN17)),IF(AND(up_Irr!P17=".",up_Irr!AO17=".",up_Irr!BN17&lt;&gt;"."),up_dir!AQ17/((1/1000)*(up_Irr!BN17)),IF(AND(up_Irr!P17=".",up_Irr!AO17&lt;&gt;".",up_Irr!BN17="."),up_dir!AQ17/((1/1000)*(up_Irr!AO17)),IF(AND(up_Irr!P17&lt;&gt;".",up_Irr!AO17=".",up_Irr!BN17="."),up_dir!AQ17/((1/1000)*(up_Irr!P17)),IF(AND(up_Irr!P17=".",up_Irr!AO17=".",up_Irr!BN17="."),up_dir!AQ17*1000)))))))),".")</f>
        <v>6.5773651144152131E-4</v>
      </c>
      <c r="BR17" s="70">
        <f>IFERROR(IF(AND(up_Irr!Q17&lt;&gt;".",up_Irr!AP17&lt;&gt;".",up_Irr!BO17&lt;&gt;"."),up_dir!AR17/((1/1000)*(up_Irr!Q17+up_Irr!AP17+up_Irr!BO17)),IF(AND(up_Irr!Q17&lt;&gt;".",up_Irr!AP17&lt;&gt;".",up_Irr!BO17="."),up_dir!AR17/((1/1000)*(up_Irr!Q17+up_Irr!AP17)),IF(AND(up_Irr!Q17&lt;&gt;".",up_Irr!AP17=".",up_Irr!BO17&lt;&gt;"."),up_dir!AR17/((1/1000)*(up_Irr!Q17+up_Irr!BO17)),IF(AND(up_Irr!Q17=".",up_Irr!AP17&lt;&gt;".",up_Irr!BO17&lt;&gt;"."),up_dir!AR17/((1/1000)*(up_Irr!AP17+up_Irr!BO17)),IF(AND(up_Irr!Q17=".",up_Irr!AP17=".",up_Irr!BO17&lt;&gt;"."),up_dir!AR17/((1/1000)*(up_Irr!BO17)),IF(AND(up_Irr!Q17=".",up_Irr!AP17&lt;&gt;".",up_Irr!BO17="."),up_dir!AR17/((1/1000)*(up_Irr!AP17)),IF(AND(up_Irr!Q17&lt;&gt;".",up_Irr!AP17=".",up_Irr!BO17="."),up_dir!AR17/((1/1000)*(up_Irr!Q17)),IF(AND(up_Irr!Q17=".",up_Irr!AP17=".",up_Irr!BO17="."),up_dir!AR17*1000)))))))),".")</f>
        <v>6.5773651144152131E-4</v>
      </c>
      <c r="BS17" s="70">
        <f>IFERROR(IF(AND(up_Irr!R17&lt;&gt;".",up_Irr!AQ17&lt;&gt;".",up_Irr!BP17&lt;&gt;"."),up_dir!AS17/((1/1000)*(up_Irr!R17+up_Irr!AQ17+up_Irr!BP17)),IF(AND(up_Irr!R17&lt;&gt;".",up_Irr!AQ17&lt;&gt;".",up_Irr!BP17="."),up_dir!AS17/((1/1000)*(up_Irr!R17+up_Irr!AQ17)),IF(AND(up_Irr!R17&lt;&gt;".",up_Irr!AQ17=".",up_Irr!BP17&lt;&gt;"."),up_dir!AS17/((1/1000)*(up_Irr!R17+up_Irr!BP17)),IF(AND(up_Irr!R17=".",up_Irr!AQ17&lt;&gt;".",up_Irr!BP17&lt;&gt;"."),up_dir!AS17/((1/1000)*(up_Irr!AQ17+up_Irr!BP17)),IF(AND(up_Irr!R17=".",up_Irr!AQ17=".",up_Irr!BP17&lt;&gt;"."),up_dir!AS17/((1/1000)*(up_Irr!BP17)),IF(AND(up_Irr!R17=".",up_Irr!AQ17&lt;&gt;".",up_Irr!BP17="."),up_dir!AS17/((1/1000)*(up_Irr!AQ17)),IF(AND(up_Irr!R17&lt;&gt;".",up_Irr!AQ17=".",up_Irr!BP17="."),up_dir!AS17/((1/1000)*(up_Irr!R17)),IF(AND(up_Irr!R17=".",up_Irr!AQ17=".",up_Irr!BP17="."),up_dir!AS17*1000)))))))),".")</f>
        <v>6.5773651144152131E-4</v>
      </c>
      <c r="BT17" s="70">
        <f>IFERROR(IF(AND(up_Irr!S17&lt;&gt;".",up_Irr!AR17&lt;&gt;".",up_Irr!BQ17&lt;&gt;"."),up_dir!AT17/((1/1000)*(up_Irr!S17+up_Irr!AR17+up_Irr!BQ17)),IF(AND(up_Irr!S17&lt;&gt;".",up_Irr!AR17&lt;&gt;".",up_Irr!BQ17="."),up_dir!AT17/((1/1000)*(up_Irr!S17+up_Irr!AR17)),IF(AND(up_Irr!S17&lt;&gt;".",up_Irr!AR17=".",up_Irr!BQ17&lt;&gt;"."),up_dir!AT17/((1/1000)*(up_Irr!S17+up_Irr!BQ17)),IF(AND(up_Irr!S17=".",up_Irr!AR17&lt;&gt;".",up_Irr!BQ17&lt;&gt;"."),up_dir!AT17/((1/1000)*(up_Irr!AR17+up_Irr!BQ17)),IF(AND(up_Irr!S17=".",up_Irr!AR17=".",up_Irr!BQ17&lt;&gt;"."),up_dir!AT17/((1/1000)*(up_Irr!BQ17)),IF(AND(up_Irr!S17=".",up_Irr!AR17&lt;&gt;".",up_Irr!BQ17="."),up_dir!AT17/((1/1000)*(up_Irr!AR17)),IF(AND(up_Irr!S17&lt;&gt;".",up_Irr!AR17=".",up_Irr!BQ17="."),up_dir!AT17/((1/1000)*(up_Irr!S17)),IF(AND(up_Irr!S17=".",up_Irr!AR17=".",up_Irr!BQ17="."),up_dir!AT17*1000)))))))),".")</f>
        <v>6.5773651144152131E-4</v>
      </c>
      <c r="BU17" s="70">
        <f>IFERROR(IF(AND(up_Irr!T17&lt;&gt;".",up_Irr!AS17&lt;&gt;".",up_Irr!BR17&lt;&gt;"."),up_dir!AU17/((1/1000)*(up_Irr!T17+up_Irr!AS17+up_Irr!BR17)),IF(AND(up_Irr!T17&lt;&gt;".",up_Irr!AS17&lt;&gt;".",up_Irr!BR17="."),up_dir!AU17/((1/1000)*(up_Irr!T17+up_Irr!AS17)),IF(AND(up_Irr!T17&lt;&gt;".",up_Irr!AS17=".",up_Irr!BR17&lt;&gt;"."),up_dir!AU17/((1/1000)*(up_Irr!T17+up_Irr!BR17)),IF(AND(up_Irr!T17=".",up_Irr!AS17&lt;&gt;".",up_Irr!BR17&lt;&gt;"."),up_dir!AU17/((1/1000)*(up_Irr!AS17+up_Irr!BR17)),IF(AND(up_Irr!T17=".",up_Irr!AS17=".",up_Irr!BR17&lt;&gt;"."),up_dir!AU17/((1/1000)*(up_Irr!BR17)),IF(AND(up_Irr!T17=".",up_Irr!AS17&lt;&gt;".",up_Irr!BR17="."),up_dir!AU17/((1/1000)*(up_Irr!AS17)),IF(AND(up_Irr!T17&lt;&gt;".",up_Irr!AS17=".",up_Irr!BR17="."),up_dir!AU17/((1/1000)*(up_Irr!T17)),IF(AND(up_Irr!T17=".",up_Irr!AS17=".",up_Irr!BR17="."),up_dir!AU17*1000)))))))),".")</f>
        <v>6.5773651144152131E-4</v>
      </c>
      <c r="BV17" s="70">
        <f>IFERROR(IF(AND(up_Irr!U17&lt;&gt;".",up_Irr!AT17&lt;&gt;".",up_Irr!BS17&lt;&gt;"."),up_dir!AV17/((1/1000)*(up_Irr!U17+up_Irr!AT17+up_Irr!BS17)),IF(AND(up_Irr!U17&lt;&gt;".",up_Irr!AT17&lt;&gt;".",up_Irr!BS17="."),up_dir!AV17/((1/1000)*(up_Irr!U17+up_Irr!AT17)),IF(AND(up_Irr!U17&lt;&gt;".",up_Irr!AT17=".",up_Irr!BS17&lt;&gt;"."),up_dir!AV17/((1/1000)*(up_Irr!U17+up_Irr!BS17)),IF(AND(up_Irr!U17=".",up_Irr!AT17&lt;&gt;".",up_Irr!BS17&lt;&gt;"."),up_dir!AV17/((1/1000)*(up_Irr!AT17+up_Irr!BS17)),IF(AND(up_Irr!U17=".",up_Irr!AT17=".",up_Irr!BS17&lt;&gt;"."),up_dir!AV17/((1/1000)*(up_Irr!BS17)),IF(AND(up_Irr!U17=".",up_Irr!AT17&lt;&gt;".",up_Irr!BS17="."),up_dir!AV17/((1/1000)*(up_Irr!AT17)),IF(AND(up_Irr!U17&lt;&gt;".",up_Irr!AT17=".",up_Irr!BS17="."),up_dir!AV17/((1/1000)*(up_Irr!U17)),IF(AND(up_Irr!U17=".",up_Irr!AT17=".",up_Irr!BS17="."),up_dir!AV17*1000)))))))),".")</f>
        <v>6.5773651144152131E-4</v>
      </c>
      <c r="BW17" s="70">
        <f>IFERROR(IF(AND(up_Irr!V17&lt;&gt;".",up_Irr!AU17&lt;&gt;".",up_Irr!BT17&lt;&gt;"."),up_dir!AW17/((1/1000)*(up_Irr!V17+up_Irr!AU17+up_Irr!BT17)),IF(AND(up_Irr!V17&lt;&gt;".",up_Irr!AU17&lt;&gt;".",up_Irr!BT17="."),up_dir!AW17/((1/1000)*(up_Irr!V17+up_Irr!AU17)),IF(AND(up_Irr!V17&lt;&gt;".",up_Irr!AU17=".",up_Irr!BT17&lt;&gt;"."),up_dir!AW17/((1/1000)*(up_Irr!V17+up_Irr!BT17)),IF(AND(up_Irr!V17=".",up_Irr!AU17&lt;&gt;".",up_Irr!BT17&lt;&gt;"."),up_dir!AW17/((1/1000)*(up_Irr!AU17+up_Irr!BT17)),IF(AND(up_Irr!V17=".",up_Irr!AU17=".",up_Irr!BT17&lt;&gt;"."),up_dir!AW17/((1/1000)*(up_Irr!BT17)),IF(AND(up_Irr!V17=".",up_Irr!AU17&lt;&gt;".",up_Irr!BT17="."),up_dir!AW17/((1/1000)*(up_Irr!AU17)),IF(AND(up_Irr!V17&lt;&gt;".",up_Irr!AU17=".",up_Irr!BT17="."),up_dir!AW17/((1/1000)*(up_Irr!V17)),IF(AND(up_Irr!V17=".",up_Irr!AU17=".",up_Irr!BT17="."),up_dir!AW17*1000)))))))),".")</f>
        <v>6.5773651144152131E-4</v>
      </c>
      <c r="BX17" s="70">
        <f>IFERROR(IF(AND(up_Irr!W17&lt;&gt;".",up_Irr!AV17&lt;&gt;".",up_Irr!BU17&lt;&gt;"."),up_dir!AX17/((1/1000)*(up_Irr!W17+up_Irr!AV17+up_Irr!BU17)),IF(AND(up_Irr!W17&lt;&gt;".",up_Irr!AV17&lt;&gt;".",up_Irr!BU17="."),up_dir!AX17/((1/1000)*(up_Irr!W17+up_Irr!AV17)),IF(AND(up_Irr!W17&lt;&gt;".",up_Irr!AV17=".",up_Irr!BU17&lt;&gt;"."),up_dir!AX17/((1/1000)*(up_Irr!W17+up_Irr!BU17)),IF(AND(up_Irr!W17=".",up_Irr!AV17&lt;&gt;".",up_Irr!BU17&lt;&gt;"."),up_dir!AX17/((1/1000)*(up_Irr!AV17+up_Irr!BU17)),IF(AND(up_Irr!W17=".",up_Irr!AV17=".",up_Irr!BU17&lt;&gt;"."),up_dir!AX17/((1/1000)*(up_Irr!BU17)),IF(AND(up_Irr!W17=".",up_Irr!AV17&lt;&gt;".",up_Irr!BU17="."),up_dir!AX17/((1/1000)*(up_Irr!AV17)),IF(AND(up_Irr!W17&lt;&gt;".",up_Irr!AV17=".",up_Irr!BU17="."),up_dir!AX17/((1/1000)*(up_Irr!W17)),IF(AND(up_Irr!W17=".",up_Irr!AV17=".",up_Irr!BU17="."),up_dir!AX17*1000)))))))),".")</f>
        <v>6.5773651144152131E-4</v>
      </c>
      <c r="BY17" s="70">
        <f>IFERROR(IF(AND(up_Irr!X17&lt;&gt;".",up_Irr!AW17&lt;&gt;".",up_Irr!BV17&lt;&gt;"."),up_dir!AY17/((1/1000)*(up_Irr!X17+up_Irr!AW17+up_Irr!BV17)),IF(AND(up_Irr!X17&lt;&gt;".",up_Irr!AW17&lt;&gt;".",up_Irr!BV17="."),up_dir!AY17/((1/1000)*(up_Irr!X17+up_Irr!AW17)),IF(AND(up_Irr!X17&lt;&gt;".",up_Irr!AW17=".",up_Irr!BV17&lt;&gt;"."),up_dir!AY17/((1/1000)*(up_Irr!X17+up_Irr!BV17)),IF(AND(up_Irr!X17=".",up_Irr!AW17&lt;&gt;".",up_Irr!BV17&lt;&gt;"."),up_dir!AY17/((1/1000)*(up_Irr!AW17+up_Irr!BV17)),IF(AND(up_Irr!X17=".",up_Irr!AW17=".",up_Irr!BV17&lt;&gt;"."),up_dir!AY17/((1/1000)*(up_Irr!BV17)),IF(AND(up_Irr!X17=".",up_Irr!AW17&lt;&gt;".",up_Irr!BV17="."),up_dir!AY17/((1/1000)*(up_Irr!AW17)),IF(AND(up_Irr!X17&lt;&gt;".",up_Irr!AW17=".",up_Irr!BV17="."),up_dir!AY17/((1/1000)*(up_Irr!X17)),IF(AND(up_Irr!X17=".",up_Irr!AW17=".",up_Irr!BV17="."),up_dir!AY17*1000)))))))),".")</f>
        <v>6.5773651144152131E-4</v>
      </c>
      <c r="BZ17" s="70">
        <f>IFERROR(IF(AND(up_Irr!Y17&lt;&gt;".",up_Irr!AX17&lt;&gt;".",up_Irr!BW17&lt;&gt;"."),up_dir!AZ17/((1/1000)*(up_Irr!Y17+up_Irr!AX17+up_Irr!BW17)),IF(AND(up_Irr!Y17&lt;&gt;".",up_Irr!AX17&lt;&gt;".",up_Irr!BW17="."),up_dir!AZ17/((1/1000)*(up_Irr!Y17+up_Irr!AX17)),IF(AND(up_Irr!Y17&lt;&gt;".",up_Irr!AX17=".",up_Irr!BW17&lt;&gt;"."),up_dir!AZ17/((1/1000)*(up_Irr!Y17+up_Irr!BW17)),IF(AND(up_Irr!Y17=".",up_Irr!AX17&lt;&gt;".",up_Irr!BW17&lt;&gt;"."),up_dir!AZ17/((1/1000)*(up_Irr!AX17+up_Irr!BW17)),IF(AND(up_Irr!Y17=".",up_Irr!AX17=".",up_Irr!BW17&lt;&gt;"."),up_dir!AZ17/((1/1000)*(up_Irr!BW17)),IF(AND(up_Irr!Y17=".",up_Irr!AX17&lt;&gt;".",up_Irr!BW17="."),up_dir!AZ17/((1/1000)*(up_Irr!AX17)),IF(AND(up_Irr!Y17&lt;&gt;".",up_Irr!AX17=".",up_Irr!BW17="."),up_dir!AZ17/((1/1000)*(up_Irr!Y17)),IF(AND(up_Irr!Y17=".",up_Irr!AX17=".",up_Irr!BW17="."),up_dir!AZ17*1000)))))))),".")</f>
        <v>6.5773651144152131E-4</v>
      </c>
      <c r="CA17" s="70">
        <f>IFERROR(IF(AND(up_Irr!Z17&lt;&gt;".",up_Irr!AY17&lt;&gt;".",up_Irr!BX17&lt;&gt;"."),up_dir!BA17/((1/1000)*(up_Irr!Z17+up_Irr!AY17+up_Irr!BX17)),IF(AND(up_Irr!Z17&lt;&gt;".",up_Irr!AY17&lt;&gt;".",up_Irr!BX17="."),up_dir!BA17/((1/1000)*(up_Irr!Z17+up_Irr!AY17)),IF(AND(up_Irr!Z17&lt;&gt;".",up_Irr!AY17=".",up_Irr!BX17&lt;&gt;"."),up_dir!BA17/((1/1000)*(up_Irr!Z17+up_Irr!BX17)),IF(AND(up_Irr!Z17=".",up_Irr!AY17&lt;&gt;".",up_Irr!BX17&lt;&gt;"."),up_dir!BA17/((1/1000)*(up_Irr!AY17+up_Irr!BX17)),IF(AND(up_Irr!Z17=".",up_Irr!AY17=".",up_Irr!BX17&lt;&gt;"."),up_dir!BA17/((1/1000)*(up_Irr!BX17)),IF(AND(up_Irr!Z17=".",up_Irr!AY17&lt;&gt;".",up_Irr!BX17="."),up_dir!BA17/((1/1000)*(up_Irr!AY17)),IF(AND(up_Irr!Z17&lt;&gt;".",up_Irr!AY17=".",up_Irr!BX17="."),up_dir!BA17/((1/1000)*(up_Irr!Z17)),IF(AND(up_Irr!Z17=".",up_Irr!AY17=".",up_Irr!BX17="."),up_dir!BA17*1000)))))))),".")</f>
        <v>6.5773651144152131E-4</v>
      </c>
      <c r="CB17" s="70">
        <f>IFERROR(IF(AND(up_Irr!AA17&lt;&gt;".",up_Irr!AZ17&lt;&gt;".",up_Irr!BY17&lt;&gt;"."),up_dir!BB17/((1/1000)*(up_Irr!AA17+up_Irr!AZ17+up_Irr!BY17)),IF(AND(up_Irr!AA17&lt;&gt;".",up_Irr!AZ17&lt;&gt;".",up_Irr!BY17="."),up_dir!BB17/((1/1000)*(up_Irr!AA17+up_Irr!AZ17)),IF(AND(up_Irr!AA17&lt;&gt;".",up_Irr!AZ17=".",up_Irr!BY17&lt;&gt;"."),up_dir!BB17/((1/1000)*(up_Irr!AA17+up_Irr!BY17)),IF(AND(up_Irr!AA17=".",up_Irr!AZ17&lt;&gt;".",up_Irr!BY17&lt;&gt;"."),up_dir!BB17/((1/1000)*(up_Irr!AZ17+up_Irr!BY17)),IF(AND(up_Irr!AA17=".",up_Irr!AZ17=".",up_Irr!BY17&lt;&gt;"."),up_dir!BB17/((1/1000)*(up_Irr!BY17)),IF(AND(up_Irr!AA17=".",up_Irr!AZ17&lt;&gt;".",up_Irr!BY17="."),up_dir!BB17/((1/1000)*(up_Irr!AZ17)),IF(AND(up_Irr!AA17&lt;&gt;".",up_Irr!AZ17=".",up_Irr!BY17="."),up_dir!BB17/((1/1000)*(up_Irr!AA17)),IF(AND(up_Irr!AA17=".",up_Irr!AZ17=".",up_Irr!BY17="."),up_dir!BB17*1000)))))))),".")</f>
        <v>6.5773651144152131E-4</v>
      </c>
      <c r="CC17" s="87">
        <f t="shared" si="3"/>
        <v>30407.313038114935</v>
      </c>
      <c r="CD17" s="87">
        <f>IFERROR(s_C*s_IFAP_far_adj*s_CF_apple*(1/1000)*(up_Irr!C17+up_Irr!AB17+up_Irr!BA17),".")</f>
        <v>7601.8282595287337</v>
      </c>
      <c r="CE17" s="87">
        <f>IFERROR(s_C*s_IFAS_far_adj*s_CF_asparagus*(1/1000)*(up_Irr!D17+up_Irr!AC17+up_Irr!BB17),".")</f>
        <v>7601.8282595287337</v>
      </c>
      <c r="CF17" s="87">
        <f>IFERROR(s_C*s_IFBT_far_adj*s_CF_beet*(1/1000)*(up_Irr!E17+up_Irr!AD17+up_Irr!BC17),".")</f>
        <v>7601.8282595287337</v>
      </c>
      <c r="CG17" s="87">
        <f>IFERROR(s_C*s_IFBE_far_adj*s_CF_berries*(1/1000)*(up_Irr!F17+up_Irr!AE17+up_Irr!BD17),".")</f>
        <v>7601.8282595287337</v>
      </c>
      <c r="CH17" s="87">
        <f>IFERROR(s_C*s_IFBR_far_adj*s_CF_broccoli*(1/1000)*(up_Irr!G17+up_Irr!AF17+up_Irr!BE17),".")</f>
        <v>7601.8282595287337</v>
      </c>
      <c r="CI17" s="87">
        <f>IFERROR(s_C*s_IFCB_far_adj*s_CF_cabbage*(1/1000)*(up_Irr!H17+up_Irr!AG17+up_Irr!BF17),".")</f>
        <v>7601.8282595287337</v>
      </c>
      <c r="CJ17" s="87">
        <f>IFERROR(s_C*s_IFCR_far_adj*s_CF_carrot*(1/1000)*(up_Irr!I17+up_Irr!AH17+up_Irr!BG17),".")</f>
        <v>7601.8282595287337</v>
      </c>
      <c r="CK17" s="87">
        <f>IFERROR(s_C*s_IFCI_far_adj*s_CF_citrus*(1/1000)*(up_Irr!J17+up_Irr!AI17+up_Irr!BH17),".")</f>
        <v>7601.8282595287337</v>
      </c>
      <c r="CL17" s="87">
        <f>IFERROR(s_C*s_IFCO_far_adj*s_CF_corn*(1/1000)*(up_Irr!K17+up_Irr!AJ17+up_Irr!BI17),".")</f>
        <v>7601.8282595287337</v>
      </c>
      <c r="CM17" s="87">
        <f>IFERROR(s_C*s_IFCU_far_adj*s_CF_cucumber*(1/1000)*(up_Irr!L17+up_Irr!AK17+up_Irr!BJ17),".")</f>
        <v>7601.8282595287337</v>
      </c>
      <c r="CN17" s="87">
        <f>IFERROR(s_C*s_IFLE_far_adj*s_CF_lettuce*(1/1000)*(up_Irr!M17+up_Irr!AL17+up_Irr!BK17),".")</f>
        <v>7601.8282595287337</v>
      </c>
      <c r="CO17" s="87">
        <f>IFERROR(s_C*s_IFLI_far_adj*s_CF_lima_bean*(1/1000)*(up_Irr!N17+up_Irr!AM17+up_Irr!BL17),".")</f>
        <v>7601.8282595287337</v>
      </c>
      <c r="CP17" s="87">
        <f>IFERROR(s_C*s_IFOK_far_adj*s_CF_okra*(1/1000)*(up_Irr!O17+up_Irr!AN17+up_Irr!BM17),".")</f>
        <v>7601.8282595287337</v>
      </c>
      <c r="CQ17" s="87">
        <f>IFERROR(s_C*s_IFON_far_adj*s_CF_onion*(1/1000)*(up_Irr!P17+up_Irr!AO17+up_Irr!BN17),".")</f>
        <v>7601.8282595287337</v>
      </c>
      <c r="CR17" s="87">
        <f>IFERROR(s_C*s_IFPC_far_adj*s_CF_peach*(1/1000)*(up_Irr!Q17+up_Irr!AP17+up_Irr!BO17),".")</f>
        <v>7601.8282595287337</v>
      </c>
      <c r="CS17" s="87">
        <f>IFERROR(s_C*s_IFPR_far_adj*s_CF_pear*(1/1000)*(up_Irr!R17+up_Irr!AQ17+up_Irr!BP17),".")</f>
        <v>7601.8282595287337</v>
      </c>
      <c r="CT17" s="87">
        <f>IFERROR(s_C*s_IFPE_far_adj*s_CF_peas*(1/1000)*(up_Irr!S17+up_Irr!AR17+up_Irr!BQ17),".")</f>
        <v>7601.8282595287337</v>
      </c>
      <c r="CU17" s="87">
        <f>IFERROR(s_C*s_IFPP_far_adj*s_CF_peppers*(1/1000)*(up_Irr!T17+up_Irr!AS17+up_Irr!BR17),".")</f>
        <v>7601.8282595287337</v>
      </c>
      <c r="CV17" s="87">
        <f>IFERROR(s_C*s_IFPT_far_adj*s_CF_potato*(1/1000)*(up_Irr!U17+up_Irr!AT17+up_Irr!BS17),".")</f>
        <v>7601.8282595287337</v>
      </c>
      <c r="CW17" s="87">
        <f>IFERROR(s_C*s_IFPU_far_adj*s_CF_pumpkin*(1/1000)*(up_Irr!V17+up_Irr!AU17+up_Irr!BT17),".")</f>
        <v>7601.8282595287337</v>
      </c>
      <c r="CX17" s="87">
        <f>IFERROR(s_C*s_IFSN_far_adj*s_CF_snap_bean*(1/1000)*(up_Irr!W17+up_Irr!AV17+up_Irr!BU17),".")</f>
        <v>7601.8282595287337</v>
      </c>
      <c r="CY17" s="87">
        <f>IFERROR(s_C*s_IFST_far_adj*s_CF_strawberry*(1/1000)*(up_Irr!X17+up_Irr!AW17+up_Irr!BV17),".")</f>
        <v>7601.8282595287337</v>
      </c>
      <c r="CZ17" s="87">
        <f>IFERROR(s_C*s_IFTO_far_adj*s_CF_tomato*(1/1000)*(up_Irr!Y17+up_Irr!AX17+up_Irr!BW17),".")</f>
        <v>7601.8282595287337</v>
      </c>
      <c r="DA17" s="87">
        <f>IFERROR(s_C*s_IFRI_far_adj*s_CF_rice*(1/1000)*(up_Irr!Z17+up_Irr!AY17+up_Irr!BX17),".")</f>
        <v>7601.8282595287337</v>
      </c>
      <c r="DB17" s="87">
        <f>IFERROR(s_C*s_IFCG_far_adj*s_CF_cereal*(1/1000)*(up_Irr!AA17+up_Irr!AZ17+up_Irr!BY17),".")</f>
        <v>7601.8282595287337</v>
      </c>
    </row>
    <row r="18" spans="1:106" ht="15" customHeight="1" x14ac:dyDescent="0.25">
      <c r="A18" s="86" t="s">
        <v>16</v>
      </c>
      <c r="B18" s="84" t="s">
        <v>1057</v>
      </c>
      <c r="C18" s="15">
        <f t="shared" si="0"/>
        <v>1.6443412786038033E-4</v>
      </c>
      <c r="D18" s="70">
        <f>IFERROR(IF(AND(up_Irr!C18&lt;&gt;".",up_Irr!AB18&lt;&gt;".",up_Irr!BA18&lt;&gt;"."),up_dir!D18/((1/1000)*(up_Irr!C18+up_Irr!AB18+up_Irr!BA18)),IF(AND(up_Irr!C18&lt;&gt;".",up_Irr!AB18&lt;&gt;".",up_Irr!BA18="."),up_dir!D18/((1/1000)*(up_Irr!C18+up_Irr!AB18)),IF(AND(up_Irr!C18&lt;&gt;".",up_Irr!AB18=".",up_Irr!BA18&lt;&gt;"."),up_dir!D18/((1/1000)*(up_Irr!C18+up_Irr!BA18)),IF(AND(up_Irr!C18=".",up_Irr!AB18&lt;&gt;".",up_Irr!BA18&lt;&gt;"."),up_dir!D18/((1/1000)*(up_Irr!AB18+up_Irr!BA18)),IF(AND(up_Irr!C18=".",up_Irr!AB18=".",up_Irr!BA18&lt;&gt;"."),up_dir!D18/((1/1000)*(up_Irr!BA18)),IF(AND(up_Irr!C18=".",up_Irr!AB18&lt;&gt;".",up_Irr!BA18="."),up_dir!D18/((1/1000)*(up_Irr!AB18)),IF(AND(up_Irr!C18&lt;&gt;".",up_Irr!AB18=".",up_Irr!BA18="."),up_dir!D18/((1/1000)*(up_Irr!C18)),IF(AND(up_Irr!C18=".",up_Irr!AB18=".",up_Irr!BA18="."),up_dir!D18*1000)))))))),".")</f>
        <v>6.5773651144152131E-4</v>
      </c>
      <c r="E18" s="70">
        <f>IFERROR(IF(AND(up_Irr!D18&lt;&gt;".",up_Irr!AC18&lt;&gt;".",up_Irr!BB18&lt;&gt;"."),up_dir!E18/((1/1000)*(up_Irr!D18+up_Irr!AC18+up_Irr!BB18)),IF(AND(up_Irr!D18&lt;&gt;".",up_Irr!AC18&lt;&gt;".",up_Irr!BB18="."),up_dir!E18/((1/1000)*(up_Irr!D18+up_Irr!AC18)),IF(AND(up_Irr!D18&lt;&gt;".",up_Irr!AC18=".",up_Irr!BB18&lt;&gt;"."),up_dir!E18/((1/1000)*(up_Irr!D18+up_Irr!BB18)),IF(AND(up_Irr!D18=".",up_Irr!AC18&lt;&gt;".",up_Irr!BB18&lt;&gt;"."),up_dir!E18/((1/1000)*(up_Irr!AC18+up_Irr!BB18)),IF(AND(up_Irr!D18=".",up_Irr!AC18=".",up_Irr!BB18&lt;&gt;"."),up_dir!E18/((1/1000)*(up_Irr!BB18)),IF(AND(up_Irr!D18=".",up_Irr!AC18&lt;&gt;".",up_Irr!BB18="."),up_dir!E18/((1/1000)*(up_Irr!AC18)),IF(AND(up_Irr!D18&lt;&gt;".",up_Irr!AC18=".",up_Irr!BB18="."),up_dir!E18/((1/1000)*(up_Irr!D18)),IF(AND(up_Irr!D18=".",up_Irr!AC18=".",up_Irr!BB18="."),up_dir!E18*1000)))))))),".")</f>
        <v>6.5773651144152131E-4</v>
      </c>
      <c r="F18" s="70">
        <f>IFERROR(IF(AND(up_Irr!E18&lt;&gt;".",up_Irr!AD18&lt;&gt;".",up_Irr!BC18&lt;&gt;"."),up_dir!F18/((1/1000)*(up_Irr!E18+up_Irr!AD18+up_Irr!BC18)),IF(AND(up_Irr!E18&lt;&gt;".",up_Irr!AD18&lt;&gt;".",up_Irr!BC18="."),up_dir!F18/((1/1000)*(up_Irr!E18+up_Irr!AD18)),IF(AND(up_Irr!E18&lt;&gt;".",up_Irr!AD18=".",up_Irr!BC18&lt;&gt;"."),up_dir!F18/((1/1000)*(up_Irr!E18+up_Irr!BC18)),IF(AND(up_Irr!E18=".",up_Irr!AD18&lt;&gt;".",up_Irr!BC18&lt;&gt;"."),up_dir!F18/((1/1000)*(up_Irr!AD18+up_Irr!BC18)),IF(AND(up_Irr!E18=".",up_Irr!AD18=".",up_Irr!BC18&lt;&gt;"."),up_dir!F18/((1/1000)*(up_Irr!BC18)),IF(AND(up_Irr!E18=".",up_Irr!AD18&lt;&gt;".",up_Irr!BC18="."),up_dir!F18/((1/1000)*(up_Irr!AD18)),IF(AND(up_Irr!E18&lt;&gt;".",up_Irr!AD18=".",up_Irr!BC18="."),up_dir!F18/((1/1000)*(up_Irr!E18)),IF(AND(up_Irr!E18=".",up_Irr!AD18=".",up_Irr!BC18="."),up_dir!F18*1000)))))))),".")</f>
        <v>6.5773651144152131E-4</v>
      </c>
      <c r="G18" s="70">
        <f>IFERROR(IF(AND(up_Irr!F18&lt;&gt;".",up_Irr!AE18&lt;&gt;".",up_Irr!BD18&lt;&gt;"."),up_dir!G18/((1/1000)*(up_Irr!F18+up_Irr!AE18+up_Irr!BD18)),IF(AND(up_Irr!F18&lt;&gt;".",up_Irr!AE18&lt;&gt;".",up_Irr!BD18="."),up_dir!G18/((1/1000)*(up_Irr!F18+up_Irr!AE18)),IF(AND(up_Irr!F18&lt;&gt;".",up_Irr!AE18=".",up_Irr!BD18&lt;&gt;"."),up_dir!G18/((1/1000)*(up_Irr!F18+up_Irr!BD18)),IF(AND(up_Irr!F18=".",up_Irr!AE18&lt;&gt;".",up_Irr!BD18&lt;&gt;"."),up_dir!G18/((1/1000)*(up_Irr!AE18+up_Irr!BD18)),IF(AND(up_Irr!F18=".",up_Irr!AE18=".",up_Irr!BD18&lt;&gt;"."),up_dir!G18/((1/1000)*(up_Irr!BD18)),IF(AND(up_Irr!F18=".",up_Irr!AE18&lt;&gt;".",up_Irr!BD18="."),up_dir!G18/((1/1000)*(up_Irr!AE18)),IF(AND(up_Irr!F18&lt;&gt;".",up_Irr!AE18=".",up_Irr!BD18="."),up_dir!G18/((1/1000)*(up_Irr!F18)),IF(AND(up_Irr!F18=".",up_Irr!AE18=".",up_Irr!BD18="."),up_dir!G18*1000)))))))),".")</f>
        <v>6.5773651144152131E-4</v>
      </c>
      <c r="H18" s="70">
        <f>IFERROR(IF(AND(up_Irr!G18&lt;&gt;".",up_Irr!AF18&lt;&gt;".",up_Irr!BE18&lt;&gt;"."),up_dir!H18/((1/1000)*(up_Irr!G18+up_Irr!AF18+up_Irr!BE18)),IF(AND(up_Irr!G18&lt;&gt;".",up_Irr!AF18&lt;&gt;".",up_Irr!BE18="."),up_dir!H18/((1/1000)*(up_Irr!G18+up_Irr!AF18)),IF(AND(up_Irr!G18&lt;&gt;".",up_Irr!AF18=".",up_Irr!BE18&lt;&gt;"."),up_dir!H18/((1/1000)*(up_Irr!G18+up_Irr!BE18)),IF(AND(up_Irr!G18=".",up_Irr!AF18&lt;&gt;".",up_Irr!BE18&lt;&gt;"."),up_dir!H18/((1/1000)*(up_Irr!AF18+up_Irr!BE18)),IF(AND(up_Irr!G18=".",up_Irr!AF18=".",up_Irr!BE18&lt;&gt;"."),up_dir!H18/((1/1000)*(up_Irr!BE18)),IF(AND(up_Irr!G18=".",up_Irr!AF18&lt;&gt;".",up_Irr!BE18="."),up_dir!H18/((1/1000)*(up_Irr!AF18)),IF(AND(up_Irr!G18&lt;&gt;".",up_Irr!AF18=".",up_Irr!BE18="."),up_dir!H18/((1/1000)*(up_Irr!G18)),IF(AND(up_Irr!G18=".",up_Irr!AF18=".",up_Irr!BE18="."),up_dir!H18*1000)))))))),".")</f>
        <v>6.5773651144152131E-4</v>
      </c>
      <c r="I18" s="70">
        <f>IFERROR(IF(AND(up_Irr!H18&lt;&gt;".",up_Irr!AG18&lt;&gt;".",up_Irr!BF18&lt;&gt;"."),up_dir!I18/((1/1000)*(up_Irr!H18+up_Irr!AG18+up_Irr!BF18)),IF(AND(up_Irr!H18&lt;&gt;".",up_Irr!AG18&lt;&gt;".",up_Irr!BF18="."),up_dir!I18/((1/1000)*(up_Irr!H18+up_Irr!AG18)),IF(AND(up_Irr!H18&lt;&gt;".",up_Irr!AG18=".",up_Irr!BF18&lt;&gt;"."),up_dir!I18/((1/1000)*(up_Irr!H18+up_Irr!BF18)),IF(AND(up_Irr!H18=".",up_Irr!AG18&lt;&gt;".",up_Irr!BF18&lt;&gt;"."),up_dir!I18/((1/1000)*(up_Irr!AG18+up_Irr!BF18)),IF(AND(up_Irr!H18=".",up_Irr!AG18=".",up_Irr!BF18&lt;&gt;"."),up_dir!I18/((1/1000)*(up_Irr!BF18)),IF(AND(up_Irr!H18=".",up_Irr!AG18&lt;&gt;".",up_Irr!BF18="."),up_dir!I18/((1/1000)*(up_Irr!AG18)),IF(AND(up_Irr!H18&lt;&gt;".",up_Irr!AG18=".",up_Irr!BF18="."),up_dir!I18/((1/1000)*(up_Irr!H18)),IF(AND(up_Irr!H18=".",up_Irr!AG18=".",up_Irr!BF18="."),up_dir!I18*1000)))))))),".")</f>
        <v>6.5773651144152131E-4</v>
      </c>
      <c r="J18" s="70">
        <f>IFERROR(IF(AND(up_Irr!I18&lt;&gt;".",up_Irr!AH18&lt;&gt;".",up_Irr!BG18&lt;&gt;"."),up_dir!J18/((1/1000)*(up_Irr!I18+up_Irr!AH18+up_Irr!BG18)),IF(AND(up_Irr!I18&lt;&gt;".",up_Irr!AH18&lt;&gt;".",up_Irr!BG18="."),up_dir!J18/((1/1000)*(up_Irr!I18+up_Irr!AH18)),IF(AND(up_Irr!I18&lt;&gt;".",up_Irr!AH18=".",up_Irr!BG18&lt;&gt;"."),up_dir!J18/((1/1000)*(up_Irr!I18+up_Irr!BG18)),IF(AND(up_Irr!I18=".",up_Irr!AH18&lt;&gt;".",up_Irr!BG18&lt;&gt;"."),up_dir!J18/((1/1000)*(up_Irr!AH18+up_Irr!BG18)),IF(AND(up_Irr!I18=".",up_Irr!AH18=".",up_Irr!BG18&lt;&gt;"."),up_dir!J18/((1/1000)*(up_Irr!BG18)),IF(AND(up_Irr!I18=".",up_Irr!AH18&lt;&gt;".",up_Irr!BG18="."),up_dir!J18/((1/1000)*(up_Irr!AH18)),IF(AND(up_Irr!I18&lt;&gt;".",up_Irr!AH18=".",up_Irr!BG18="."),up_dir!J18/((1/1000)*(up_Irr!I18)),IF(AND(up_Irr!I18=".",up_Irr!AH18=".",up_Irr!BG18="."),up_dir!J18*1000)))))))),".")</f>
        <v>6.5773651144152131E-4</v>
      </c>
      <c r="K18" s="70">
        <f>IFERROR(IF(AND(up_Irr!J18&lt;&gt;".",up_Irr!AI18&lt;&gt;".",up_Irr!BH18&lt;&gt;"."),up_dir!K18/((1/1000)*(up_Irr!J18+up_Irr!AI18+up_Irr!BH18)),IF(AND(up_Irr!J18&lt;&gt;".",up_Irr!AI18&lt;&gt;".",up_Irr!BH18="."),up_dir!K18/((1/1000)*(up_Irr!J18+up_Irr!AI18)),IF(AND(up_Irr!J18&lt;&gt;".",up_Irr!AI18=".",up_Irr!BH18&lt;&gt;"."),up_dir!K18/((1/1000)*(up_Irr!J18+up_Irr!BH18)),IF(AND(up_Irr!J18=".",up_Irr!AI18&lt;&gt;".",up_Irr!BH18&lt;&gt;"."),up_dir!K18/((1/1000)*(up_Irr!AI18+up_Irr!BH18)),IF(AND(up_Irr!J18=".",up_Irr!AI18=".",up_Irr!BH18&lt;&gt;"."),up_dir!K18/((1/1000)*(up_Irr!BH18)),IF(AND(up_Irr!J18=".",up_Irr!AI18&lt;&gt;".",up_Irr!BH18="."),up_dir!K18/((1/1000)*(up_Irr!AI18)),IF(AND(up_Irr!J18&lt;&gt;".",up_Irr!AI18=".",up_Irr!BH18="."),up_dir!K18/((1/1000)*(up_Irr!J18)),IF(AND(up_Irr!J18=".",up_Irr!AI18=".",up_Irr!BH18="."),up_dir!K18*1000)))))))),".")</f>
        <v>6.5773651144152131E-4</v>
      </c>
      <c r="L18" s="70">
        <f>IFERROR(IF(AND(up_Irr!K18&lt;&gt;".",up_Irr!AJ18&lt;&gt;".",up_Irr!BI18&lt;&gt;"."),up_dir!L18/((1/1000)*(up_Irr!K18+up_Irr!AJ18+up_Irr!BI18)),IF(AND(up_Irr!K18&lt;&gt;".",up_Irr!AJ18&lt;&gt;".",up_Irr!BI18="."),up_dir!L18/((1/1000)*(up_Irr!K18+up_Irr!AJ18)),IF(AND(up_Irr!K18&lt;&gt;".",up_Irr!AJ18=".",up_Irr!BI18&lt;&gt;"."),up_dir!L18/((1/1000)*(up_Irr!K18+up_Irr!BI18)),IF(AND(up_Irr!K18=".",up_Irr!AJ18&lt;&gt;".",up_Irr!BI18&lt;&gt;"."),up_dir!L18/((1/1000)*(up_Irr!AJ18+up_Irr!BI18)),IF(AND(up_Irr!K18=".",up_Irr!AJ18=".",up_Irr!BI18&lt;&gt;"."),up_dir!L18/((1/1000)*(up_Irr!BI18)),IF(AND(up_Irr!K18=".",up_Irr!AJ18&lt;&gt;".",up_Irr!BI18="."),up_dir!L18/((1/1000)*(up_Irr!AJ18)),IF(AND(up_Irr!K18&lt;&gt;".",up_Irr!AJ18=".",up_Irr!BI18="."),up_dir!L18/((1/1000)*(up_Irr!K18)),IF(AND(up_Irr!K18=".",up_Irr!AJ18=".",up_Irr!BI18="."),up_dir!L18*1000)))))))),".")</f>
        <v>6.5773651144152131E-4</v>
      </c>
      <c r="M18" s="70">
        <f>IFERROR(IF(AND(up_Irr!L18&lt;&gt;".",up_Irr!AK18&lt;&gt;".",up_Irr!BJ18&lt;&gt;"."),up_dir!M18/((1/1000)*(up_Irr!L18+up_Irr!AK18+up_Irr!BJ18)),IF(AND(up_Irr!L18&lt;&gt;".",up_Irr!AK18&lt;&gt;".",up_Irr!BJ18="."),up_dir!M18/((1/1000)*(up_Irr!L18+up_Irr!AK18)),IF(AND(up_Irr!L18&lt;&gt;".",up_Irr!AK18=".",up_Irr!BJ18&lt;&gt;"."),up_dir!M18/((1/1000)*(up_Irr!L18+up_Irr!BJ18)),IF(AND(up_Irr!L18=".",up_Irr!AK18&lt;&gt;".",up_Irr!BJ18&lt;&gt;"."),up_dir!M18/((1/1000)*(up_Irr!AK18+up_Irr!BJ18)),IF(AND(up_Irr!L18=".",up_Irr!AK18=".",up_Irr!BJ18&lt;&gt;"."),up_dir!M18/((1/1000)*(up_Irr!BJ18)),IF(AND(up_Irr!L18=".",up_Irr!AK18&lt;&gt;".",up_Irr!BJ18="."),up_dir!M18/((1/1000)*(up_Irr!AK18)),IF(AND(up_Irr!L18&lt;&gt;".",up_Irr!AK18=".",up_Irr!BJ18="."),up_dir!M18/((1/1000)*(up_Irr!L18)),IF(AND(up_Irr!L18=".",up_Irr!AK18=".",up_Irr!BJ18="."),up_dir!M18*1000)))))))),".")</f>
        <v>6.5773651144152131E-4</v>
      </c>
      <c r="N18" s="70">
        <f>IFERROR(IF(AND(up_Irr!M18&lt;&gt;".",up_Irr!AL18&lt;&gt;".",up_Irr!BK18&lt;&gt;"."),up_dir!N18/((1/1000)*(up_Irr!M18+up_Irr!AL18+up_Irr!BK18)),IF(AND(up_Irr!M18&lt;&gt;".",up_Irr!AL18&lt;&gt;".",up_Irr!BK18="."),up_dir!N18/((1/1000)*(up_Irr!M18+up_Irr!AL18)),IF(AND(up_Irr!M18&lt;&gt;".",up_Irr!AL18=".",up_Irr!BK18&lt;&gt;"."),up_dir!N18/((1/1000)*(up_Irr!M18+up_Irr!BK18)),IF(AND(up_Irr!M18=".",up_Irr!AL18&lt;&gt;".",up_Irr!BK18&lt;&gt;"."),up_dir!N18/((1/1000)*(up_Irr!AL18+up_Irr!BK18)),IF(AND(up_Irr!M18=".",up_Irr!AL18=".",up_Irr!BK18&lt;&gt;"."),up_dir!N18/((1/1000)*(up_Irr!BK18)),IF(AND(up_Irr!M18=".",up_Irr!AL18&lt;&gt;".",up_Irr!BK18="."),up_dir!N18/((1/1000)*(up_Irr!AL18)),IF(AND(up_Irr!M18&lt;&gt;".",up_Irr!AL18=".",up_Irr!BK18="."),up_dir!N18/((1/1000)*(up_Irr!M18)),IF(AND(up_Irr!M18=".",up_Irr!AL18=".",up_Irr!BK18="."),up_dir!N18*1000)))))))),".")</f>
        <v>6.5773651144152131E-4</v>
      </c>
      <c r="O18" s="70">
        <f>IFERROR(IF(AND(up_Irr!N18&lt;&gt;".",up_Irr!AM18&lt;&gt;".",up_Irr!BL18&lt;&gt;"."),up_dir!O18/((1/1000)*(up_Irr!N18+up_Irr!AM18+up_Irr!BL18)),IF(AND(up_Irr!N18&lt;&gt;".",up_Irr!AM18&lt;&gt;".",up_Irr!BL18="."),up_dir!O18/((1/1000)*(up_Irr!N18+up_Irr!AM18)),IF(AND(up_Irr!N18&lt;&gt;".",up_Irr!AM18=".",up_Irr!BL18&lt;&gt;"."),up_dir!O18/((1/1000)*(up_Irr!N18+up_Irr!BL18)),IF(AND(up_Irr!N18=".",up_Irr!AM18&lt;&gt;".",up_Irr!BL18&lt;&gt;"."),up_dir!O18/((1/1000)*(up_Irr!AM18+up_Irr!BL18)),IF(AND(up_Irr!N18=".",up_Irr!AM18=".",up_Irr!BL18&lt;&gt;"."),up_dir!O18/((1/1000)*(up_Irr!BL18)),IF(AND(up_Irr!N18=".",up_Irr!AM18&lt;&gt;".",up_Irr!BL18="."),up_dir!O18/((1/1000)*(up_Irr!AM18)),IF(AND(up_Irr!N18&lt;&gt;".",up_Irr!AM18=".",up_Irr!BL18="."),up_dir!O18/((1/1000)*(up_Irr!N18)),IF(AND(up_Irr!N18=".",up_Irr!AM18=".",up_Irr!BL18="."),up_dir!O18*1000)))))))),".")</f>
        <v>6.5773651144152131E-4</v>
      </c>
      <c r="P18" s="70">
        <f>IFERROR(IF(AND(up_Irr!O18&lt;&gt;".",up_Irr!AN18&lt;&gt;".",up_Irr!BM18&lt;&gt;"."),up_dir!P18/((1/1000)*(up_Irr!O18+up_Irr!AN18+up_Irr!BM18)),IF(AND(up_Irr!O18&lt;&gt;".",up_Irr!AN18&lt;&gt;".",up_Irr!BM18="."),up_dir!P18/((1/1000)*(up_Irr!O18+up_Irr!AN18)),IF(AND(up_Irr!O18&lt;&gt;".",up_Irr!AN18=".",up_Irr!BM18&lt;&gt;"."),up_dir!P18/((1/1000)*(up_Irr!O18+up_Irr!BM18)),IF(AND(up_Irr!O18=".",up_Irr!AN18&lt;&gt;".",up_Irr!BM18&lt;&gt;"."),up_dir!P18/((1/1000)*(up_Irr!AN18+up_Irr!BM18)),IF(AND(up_Irr!O18=".",up_Irr!AN18=".",up_Irr!BM18&lt;&gt;"."),up_dir!P18/((1/1000)*(up_Irr!BM18)),IF(AND(up_Irr!O18=".",up_Irr!AN18&lt;&gt;".",up_Irr!BM18="."),up_dir!P18/((1/1000)*(up_Irr!AN18)),IF(AND(up_Irr!O18&lt;&gt;".",up_Irr!AN18=".",up_Irr!BM18="."),up_dir!P18/((1/1000)*(up_Irr!O18)),IF(AND(up_Irr!O18=".",up_Irr!AN18=".",up_Irr!BM18="."),up_dir!P18*1000)))))))),".")</f>
        <v>6.5773651144152131E-4</v>
      </c>
      <c r="Q18" s="70">
        <f>IFERROR(IF(AND(up_Irr!P18&lt;&gt;".",up_Irr!AO18&lt;&gt;".",up_Irr!BN18&lt;&gt;"."),up_dir!Q18/((1/1000)*(up_Irr!P18+up_Irr!AO18+up_Irr!BN18)),IF(AND(up_Irr!P18&lt;&gt;".",up_Irr!AO18&lt;&gt;".",up_Irr!BN18="."),up_dir!Q18/((1/1000)*(up_Irr!P18+up_Irr!AO18)),IF(AND(up_Irr!P18&lt;&gt;".",up_Irr!AO18=".",up_Irr!BN18&lt;&gt;"."),up_dir!Q18/((1/1000)*(up_Irr!P18+up_Irr!BN18)),IF(AND(up_Irr!P18=".",up_Irr!AO18&lt;&gt;".",up_Irr!BN18&lt;&gt;"."),up_dir!Q18/((1/1000)*(up_Irr!AO18+up_Irr!BN18)),IF(AND(up_Irr!P18=".",up_Irr!AO18=".",up_Irr!BN18&lt;&gt;"."),up_dir!Q18/((1/1000)*(up_Irr!BN18)),IF(AND(up_Irr!P18=".",up_Irr!AO18&lt;&gt;".",up_Irr!BN18="."),up_dir!Q18/((1/1000)*(up_Irr!AO18)),IF(AND(up_Irr!P18&lt;&gt;".",up_Irr!AO18=".",up_Irr!BN18="."),up_dir!Q18/((1/1000)*(up_Irr!P18)),IF(AND(up_Irr!P18=".",up_Irr!AO18=".",up_Irr!BN18="."),up_dir!Q18*1000)))))))),".")</f>
        <v>6.5773651144152131E-4</v>
      </c>
      <c r="R18" s="70">
        <f>IFERROR(IF(AND(up_Irr!Q18&lt;&gt;".",up_Irr!AP18&lt;&gt;".",up_Irr!BO18&lt;&gt;"."),up_dir!R18/((1/1000)*(up_Irr!Q18+up_Irr!AP18+up_Irr!BO18)),IF(AND(up_Irr!Q18&lt;&gt;".",up_Irr!AP18&lt;&gt;".",up_Irr!BO18="."),up_dir!R18/((1/1000)*(up_Irr!Q18+up_Irr!AP18)),IF(AND(up_Irr!Q18&lt;&gt;".",up_Irr!AP18=".",up_Irr!BO18&lt;&gt;"."),up_dir!R18/((1/1000)*(up_Irr!Q18+up_Irr!BO18)),IF(AND(up_Irr!Q18=".",up_Irr!AP18&lt;&gt;".",up_Irr!BO18&lt;&gt;"."),up_dir!R18/((1/1000)*(up_Irr!AP18+up_Irr!BO18)),IF(AND(up_Irr!Q18=".",up_Irr!AP18=".",up_Irr!BO18&lt;&gt;"."),up_dir!R18/((1/1000)*(up_Irr!BO18)),IF(AND(up_Irr!Q18=".",up_Irr!AP18&lt;&gt;".",up_Irr!BO18="."),up_dir!R18/((1/1000)*(up_Irr!AP18)),IF(AND(up_Irr!Q18&lt;&gt;".",up_Irr!AP18=".",up_Irr!BO18="."),up_dir!R18/((1/1000)*(up_Irr!Q18)),IF(AND(up_Irr!Q18=".",up_Irr!AP18=".",up_Irr!BO18="."),up_dir!R18*1000)))))))),".")</f>
        <v>6.5773651144152131E-4</v>
      </c>
      <c r="S18" s="70">
        <f>IFERROR(IF(AND(up_Irr!R18&lt;&gt;".",up_Irr!AQ18&lt;&gt;".",up_Irr!BP18&lt;&gt;"."),up_dir!S18/((1/1000)*(up_Irr!R18+up_Irr!AQ18+up_Irr!BP18)),IF(AND(up_Irr!R18&lt;&gt;".",up_Irr!AQ18&lt;&gt;".",up_Irr!BP18="."),up_dir!S18/((1/1000)*(up_Irr!R18+up_Irr!AQ18)),IF(AND(up_Irr!R18&lt;&gt;".",up_Irr!AQ18=".",up_Irr!BP18&lt;&gt;"."),up_dir!S18/((1/1000)*(up_Irr!R18+up_Irr!BP18)),IF(AND(up_Irr!R18=".",up_Irr!AQ18&lt;&gt;".",up_Irr!BP18&lt;&gt;"."),up_dir!S18/((1/1000)*(up_Irr!AQ18+up_Irr!BP18)),IF(AND(up_Irr!R18=".",up_Irr!AQ18=".",up_Irr!BP18&lt;&gt;"."),up_dir!S18/((1/1000)*(up_Irr!BP18)),IF(AND(up_Irr!R18=".",up_Irr!AQ18&lt;&gt;".",up_Irr!BP18="."),up_dir!S18/((1/1000)*(up_Irr!AQ18)),IF(AND(up_Irr!R18&lt;&gt;".",up_Irr!AQ18=".",up_Irr!BP18="."),up_dir!S18/((1/1000)*(up_Irr!R18)),IF(AND(up_Irr!R18=".",up_Irr!AQ18=".",up_Irr!BP18="."),up_dir!S18*1000)))))))),".")</f>
        <v>6.5773651144152131E-4</v>
      </c>
      <c r="T18" s="70">
        <f>IFERROR(IF(AND(up_Irr!S18&lt;&gt;".",up_Irr!AR18&lt;&gt;".",up_Irr!BQ18&lt;&gt;"."),up_dir!T18/((1/1000)*(up_Irr!S18+up_Irr!AR18+up_Irr!BQ18)),IF(AND(up_Irr!S18&lt;&gt;".",up_Irr!AR18&lt;&gt;".",up_Irr!BQ18="."),up_dir!T18/((1/1000)*(up_Irr!S18+up_Irr!AR18)),IF(AND(up_Irr!S18&lt;&gt;".",up_Irr!AR18=".",up_Irr!BQ18&lt;&gt;"."),up_dir!T18/((1/1000)*(up_Irr!S18+up_Irr!BQ18)),IF(AND(up_Irr!S18=".",up_Irr!AR18&lt;&gt;".",up_Irr!BQ18&lt;&gt;"."),up_dir!T18/((1/1000)*(up_Irr!AR18+up_Irr!BQ18)),IF(AND(up_Irr!S18=".",up_Irr!AR18=".",up_Irr!BQ18&lt;&gt;"."),up_dir!T18/((1/1000)*(up_Irr!BQ18)),IF(AND(up_Irr!S18=".",up_Irr!AR18&lt;&gt;".",up_Irr!BQ18="."),up_dir!T18/((1/1000)*(up_Irr!AR18)),IF(AND(up_Irr!S18&lt;&gt;".",up_Irr!AR18=".",up_Irr!BQ18="."),up_dir!T18/((1/1000)*(up_Irr!S18)),IF(AND(up_Irr!S18=".",up_Irr!AR18=".",up_Irr!BQ18="."),up_dir!T18*1000)))))))),".")</f>
        <v>6.5773651144152131E-4</v>
      </c>
      <c r="U18" s="70">
        <f>IFERROR(IF(AND(up_Irr!T18&lt;&gt;".",up_Irr!AS18&lt;&gt;".",up_Irr!BR18&lt;&gt;"."),up_dir!U18/((1/1000)*(up_Irr!T18+up_Irr!AS18+up_Irr!BR18)),IF(AND(up_Irr!T18&lt;&gt;".",up_Irr!AS18&lt;&gt;".",up_Irr!BR18="."),up_dir!U18/((1/1000)*(up_Irr!T18+up_Irr!AS18)),IF(AND(up_Irr!T18&lt;&gt;".",up_Irr!AS18=".",up_Irr!BR18&lt;&gt;"."),up_dir!U18/((1/1000)*(up_Irr!T18+up_Irr!BR18)),IF(AND(up_Irr!T18=".",up_Irr!AS18&lt;&gt;".",up_Irr!BR18&lt;&gt;"."),up_dir!U18/((1/1000)*(up_Irr!AS18+up_Irr!BR18)),IF(AND(up_Irr!T18=".",up_Irr!AS18=".",up_Irr!BR18&lt;&gt;"."),up_dir!U18/((1/1000)*(up_Irr!BR18)),IF(AND(up_Irr!T18=".",up_Irr!AS18&lt;&gt;".",up_Irr!BR18="."),up_dir!U18/((1/1000)*(up_Irr!AS18)),IF(AND(up_Irr!T18&lt;&gt;".",up_Irr!AS18=".",up_Irr!BR18="."),up_dir!U18/((1/1000)*(up_Irr!T18)),IF(AND(up_Irr!T18=".",up_Irr!AS18=".",up_Irr!BR18="."),up_dir!U18*1000)))))))),".")</f>
        <v>6.5773651144152131E-4</v>
      </c>
      <c r="V18" s="70">
        <f>IFERROR(IF(AND(up_Irr!U18&lt;&gt;".",up_Irr!AT18&lt;&gt;".",up_Irr!BS18&lt;&gt;"."),up_dir!V18/((1/1000)*(up_Irr!U18+up_Irr!AT18+up_Irr!BS18)),IF(AND(up_Irr!U18&lt;&gt;".",up_Irr!AT18&lt;&gt;".",up_Irr!BS18="."),up_dir!V18/((1/1000)*(up_Irr!U18+up_Irr!AT18)),IF(AND(up_Irr!U18&lt;&gt;".",up_Irr!AT18=".",up_Irr!BS18&lt;&gt;"."),up_dir!V18/((1/1000)*(up_Irr!U18+up_Irr!BS18)),IF(AND(up_Irr!U18=".",up_Irr!AT18&lt;&gt;".",up_Irr!BS18&lt;&gt;"."),up_dir!V18/((1/1000)*(up_Irr!AT18+up_Irr!BS18)),IF(AND(up_Irr!U18=".",up_Irr!AT18=".",up_Irr!BS18&lt;&gt;"."),up_dir!V18/((1/1000)*(up_Irr!BS18)),IF(AND(up_Irr!U18=".",up_Irr!AT18&lt;&gt;".",up_Irr!BS18="."),up_dir!V18/((1/1000)*(up_Irr!AT18)),IF(AND(up_Irr!U18&lt;&gt;".",up_Irr!AT18=".",up_Irr!BS18="."),up_dir!V18/((1/1000)*(up_Irr!U18)),IF(AND(up_Irr!U18=".",up_Irr!AT18=".",up_Irr!BS18="."),up_dir!V18*1000)))))))),".")</f>
        <v>6.5773651144152131E-4</v>
      </c>
      <c r="W18" s="70">
        <f>IFERROR(IF(AND(up_Irr!V18&lt;&gt;".",up_Irr!AU18&lt;&gt;".",up_Irr!BT18&lt;&gt;"."),up_dir!W18/((1/1000)*(up_Irr!V18+up_Irr!AU18+up_Irr!BT18)),IF(AND(up_Irr!V18&lt;&gt;".",up_Irr!AU18&lt;&gt;".",up_Irr!BT18="."),up_dir!W18/((1/1000)*(up_Irr!V18+up_Irr!AU18)),IF(AND(up_Irr!V18&lt;&gt;".",up_Irr!AU18=".",up_Irr!BT18&lt;&gt;"."),up_dir!W18/((1/1000)*(up_Irr!V18+up_Irr!BT18)),IF(AND(up_Irr!V18=".",up_Irr!AU18&lt;&gt;".",up_Irr!BT18&lt;&gt;"."),up_dir!W18/((1/1000)*(up_Irr!AU18+up_Irr!BT18)),IF(AND(up_Irr!V18=".",up_Irr!AU18=".",up_Irr!BT18&lt;&gt;"."),up_dir!W18/((1/1000)*(up_Irr!BT18)),IF(AND(up_Irr!V18=".",up_Irr!AU18&lt;&gt;".",up_Irr!BT18="."),up_dir!W18/((1/1000)*(up_Irr!AU18)),IF(AND(up_Irr!V18&lt;&gt;".",up_Irr!AU18=".",up_Irr!BT18="."),up_dir!W18/((1/1000)*(up_Irr!V18)),IF(AND(up_Irr!V18=".",up_Irr!AU18=".",up_Irr!BT18="."),up_dir!W18*1000)))))))),".")</f>
        <v>6.5773651144152131E-4</v>
      </c>
      <c r="X18" s="70">
        <f>IFERROR(IF(AND(up_Irr!W18&lt;&gt;".",up_Irr!AV18&lt;&gt;".",up_Irr!BU18&lt;&gt;"."),up_dir!X18/((1/1000)*(up_Irr!W18+up_Irr!AV18+up_Irr!BU18)),IF(AND(up_Irr!W18&lt;&gt;".",up_Irr!AV18&lt;&gt;".",up_Irr!BU18="."),up_dir!X18/((1/1000)*(up_Irr!W18+up_Irr!AV18)),IF(AND(up_Irr!W18&lt;&gt;".",up_Irr!AV18=".",up_Irr!BU18&lt;&gt;"."),up_dir!X18/((1/1000)*(up_Irr!W18+up_Irr!BU18)),IF(AND(up_Irr!W18=".",up_Irr!AV18&lt;&gt;".",up_Irr!BU18&lt;&gt;"."),up_dir!X18/((1/1000)*(up_Irr!AV18+up_Irr!BU18)),IF(AND(up_Irr!W18=".",up_Irr!AV18=".",up_Irr!BU18&lt;&gt;"."),up_dir!X18/((1/1000)*(up_Irr!BU18)),IF(AND(up_Irr!W18=".",up_Irr!AV18&lt;&gt;".",up_Irr!BU18="."),up_dir!X18/((1/1000)*(up_Irr!AV18)),IF(AND(up_Irr!W18&lt;&gt;".",up_Irr!AV18=".",up_Irr!BU18="."),up_dir!X18/((1/1000)*(up_Irr!W18)),IF(AND(up_Irr!W18=".",up_Irr!AV18=".",up_Irr!BU18="."),up_dir!X18*1000)))))))),".")</f>
        <v>6.5773651144152131E-4</v>
      </c>
      <c r="Y18" s="70">
        <f>IFERROR(IF(AND(up_Irr!X18&lt;&gt;".",up_Irr!AW18&lt;&gt;".",up_Irr!BV18&lt;&gt;"."),up_dir!Y18/((1/1000)*(up_Irr!X18+up_Irr!AW18+up_Irr!BV18)),IF(AND(up_Irr!X18&lt;&gt;".",up_Irr!AW18&lt;&gt;".",up_Irr!BV18="."),up_dir!Y18/((1/1000)*(up_Irr!X18+up_Irr!AW18)),IF(AND(up_Irr!X18&lt;&gt;".",up_Irr!AW18=".",up_Irr!BV18&lt;&gt;"."),up_dir!Y18/((1/1000)*(up_Irr!X18+up_Irr!BV18)),IF(AND(up_Irr!X18=".",up_Irr!AW18&lt;&gt;".",up_Irr!BV18&lt;&gt;"."),up_dir!Y18/((1/1000)*(up_Irr!AW18+up_Irr!BV18)),IF(AND(up_Irr!X18=".",up_Irr!AW18=".",up_Irr!BV18&lt;&gt;"."),up_dir!Y18/((1/1000)*(up_Irr!BV18)),IF(AND(up_Irr!X18=".",up_Irr!AW18&lt;&gt;".",up_Irr!BV18="."),up_dir!Y18/((1/1000)*(up_Irr!AW18)),IF(AND(up_Irr!X18&lt;&gt;".",up_Irr!AW18=".",up_Irr!BV18="."),up_dir!Y18/((1/1000)*(up_Irr!X18)),IF(AND(up_Irr!X18=".",up_Irr!AW18=".",up_Irr!BV18="."),up_dir!Y18*1000)))))))),".")</f>
        <v>6.5773651144152131E-4</v>
      </c>
      <c r="Z18" s="70">
        <f>IFERROR(IF(AND(up_Irr!Y18&lt;&gt;".",up_Irr!AX18&lt;&gt;".",up_Irr!BW18&lt;&gt;"."),up_dir!Z18/((1/1000)*(up_Irr!Y18+up_Irr!AX18+up_Irr!BW18)),IF(AND(up_Irr!Y18&lt;&gt;".",up_Irr!AX18&lt;&gt;".",up_Irr!BW18="."),up_dir!Z18/((1/1000)*(up_Irr!Y18+up_Irr!AX18)),IF(AND(up_Irr!Y18&lt;&gt;".",up_Irr!AX18=".",up_Irr!BW18&lt;&gt;"."),up_dir!Z18/((1/1000)*(up_Irr!Y18+up_Irr!BW18)),IF(AND(up_Irr!Y18=".",up_Irr!AX18&lt;&gt;".",up_Irr!BW18&lt;&gt;"."),up_dir!Z18/((1/1000)*(up_Irr!AX18+up_Irr!BW18)),IF(AND(up_Irr!Y18=".",up_Irr!AX18=".",up_Irr!BW18&lt;&gt;"."),up_dir!Z18/((1/1000)*(up_Irr!BW18)),IF(AND(up_Irr!Y18=".",up_Irr!AX18&lt;&gt;".",up_Irr!BW18="."),up_dir!Z18/((1/1000)*(up_Irr!AX18)),IF(AND(up_Irr!Y18&lt;&gt;".",up_Irr!AX18=".",up_Irr!BW18="."),up_dir!Z18/((1/1000)*(up_Irr!Y18)),IF(AND(up_Irr!Y18=".",up_Irr!AX18=".",up_Irr!BW18="."),up_dir!Z18*1000)))))))),".")</f>
        <v>6.5773651144152131E-4</v>
      </c>
      <c r="AA18" s="70">
        <f>IFERROR(IF(AND(up_Irr!Z18&lt;&gt;".",up_Irr!AY18&lt;&gt;".",up_Irr!BX18&lt;&gt;"."),up_dir!AA18/((1/1000)*(up_Irr!Z18+up_Irr!AY18+up_Irr!BX18)),IF(AND(up_Irr!Z18&lt;&gt;".",up_Irr!AY18&lt;&gt;".",up_Irr!BX18="."),up_dir!AA18/((1/1000)*(up_Irr!Z18+up_Irr!AY18)),IF(AND(up_Irr!Z18&lt;&gt;".",up_Irr!AY18=".",up_Irr!BX18&lt;&gt;"."),up_dir!AA18/((1/1000)*(up_Irr!Z18+up_Irr!BX18)),IF(AND(up_Irr!Z18=".",up_Irr!AY18&lt;&gt;".",up_Irr!BX18&lt;&gt;"."),up_dir!AA18/((1/1000)*(up_Irr!AY18+up_Irr!BX18)),IF(AND(up_Irr!Z18=".",up_Irr!AY18=".",up_Irr!BX18&lt;&gt;"."),up_dir!AA18/((1/1000)*(up_Irr!BX18)),IF(AND(up_Irr!Z18=".",up_Irr!AY18&lt;&gt;".",up_Irr!BX18="."),up_dir!AA18/((1/1000)*(up_Irr!AY18)),IF(AND(up_Irr!Z18&lt;&gt;".",up_Irr!AY18=".",up_Irr!BX18="."),up_dir!AA18/((1/1000)*(up_Irr!Z18)),IF(AND(up_Irr!Z18=".",up_Irr!AY18=".",up_Irr!BX18="."),up_dir!AA18*1000)))))))),".")</f>
        <v>6.5773651144152131E-4</v>
      </c>
      <c r="AB18" s="70">
        <f>IFERROR(IF(AND(up_Irr!AA18&lt;&gt;".",up_Irr!AZ18&lt;&gt;".",up_Irr!BY18&lt;&gt;"."),up_dir!AB18/((1/1000)*(up_Irr!AA18+up_Irr!AZ18+up_Irr!BY18)),IF(AND(up_Irr!AA18&lt;&gt;".",up_Irr!AZ18&lt;&gt;".",up_Irr!BY18="."),up_dir!AB18/((1/1000)*(up_Irr!AA18+up_Irr!AZ18)),IF(AND(up_Irr!AA18&lt;&gt;".",up_Irr!AZ18=".",up_Irr!BY18&lt;&gt;"."),up_dir!AB18/((1/1000)*(up_Irr!AA18+up_Irr!BY18)),IF(AND(up_Irr!AA18=".",up_Irr!AZ18&lt;&gt;".",up_Irr!BY18&lt;&gt;"."),up_dir!AB18/((1/1000)*(up_Irr!AZ18+up_Irr!BY18)),IF(AND(up_Irr!AA18=".",up_Irr!AZ18=".",up_Irr!BY18&lt;&gt;"."),up_dir!AB18/((1/1000)*(up_Irr!BY18)),IF(AND(up_Irr!AA18=".",up_Irr!AZ18&lt;&gt;".",up_Irr!BY18="."),up_dir!AB18/((1/1000)*(up_Irr!AZ18)),IF(AND(up_Irr!AA18&lt;&gt;".",up_Irr!AZ18=".",up_Irr!BY18="."),up_dir!AB18/((1/1000)*(up_Irr!AA18)),IF(AND(up_Irr!AA18=".",up_Irr!AZ18=".",up_Irr!BY18="."),up_dir!AB18*1000)))))))),".")</f>
        <v>6.5773651144152131E-4</v>
      </c>
      <c r="AC18" s="87">
        <f t="shared" si="1"/>
        <v>30407.313038114935</v>
      </c>
      <c r="AD18" s="87">
        <f>IFERROR(s_C*s_IFAP_res_adj*s_CF_apple*0.001*(up_Irr!C18+up_Irr!AB18+up_Irr!BA18),".")</f>
        <v>7601.8282595287337</v>
      </c>
      <c r="AE18" s="87">
        <f>IFERROR(s_C*s_IFAS_res_adj*s_CF_asparagus*0.001*(up_Irr!D18+up_Irr!AC18+up_Irr!BB18),".")</f>
        <v>7601.8282595287337</v>
      </c>
      <c r="AF18" s="87">
        <f>IFERROR(s_C*s_IFBT_res_adj*s_CF_beet*0.001*(up_Irr!E18+up_Irr!AD18+up_Irr!BC18),".")</f>
        <v>7601.8282595287337</v>
      </c>
      <c r="AG18" s="87">
        <f>IFERROR(s_C*s_IFBE_res_adj*s_CF_berries*0.001*(up_Irr!F18+up_Irr!AE18+up_Irr!BD18),".")</f>
        <v>7601.8282595287337</v>
      </c>
      <c r="AH18" s="87">
        <f>IFERROR(s_C*s_IFBR_res_adj*s_CF_broccoli*0.001*(up_Irr!G18+up_Irr!AF18+up_Irr!BE18),".")</f>
        <v>7601.8282595287337</v>
      </c>
      <c r="AI18" s="87">
        <f>IFERROR(s_C*s_IFCB_res_adj*s_CF_cabbage*0.001*(up_Irr!H18+up_Irr!AG18+up_Irr!BF18),".")</f>
        <v>7601.8282595287337</v>
      </c>
      <c r="AJ18" s="87">
        <f>IFERROR(s_C*s_IFCR_res_adj*s_CF_carrot*0.001*(up_Irr!I18+up_Irr!AH18+up_Irr!BG18),".")</f>
        <v>7601.8282595287337</v>
      </c>
      <c r="AK18" s="87">
        <f>IFERROR(s_C*s_IFCI_res_adj*s_CF_citrus*0.001*(up_Irr!J18+up_Irr!AI18+up_Irr!BH18),".")</f>
        <v>7601.8282595287337</v>
      </c>
      <c r="AL18" s="87">
        <f>IFERROR(s_C*s_IFCO_res_adj*s_CF_corn*0.001*(up_Irr!K18+up_Irr!AJ18+up_Irr!BI18),".")</f>
        <v>7601.8282595287337</v>
      </c>
      <c r="AM18" s="87">
        <f>IFERROR(s_C*s_IFCU_res_adj*s_CF_cucumber*0.001*(up_Irr!L18+up_Irr!AK18+up_Irr!BJ18),".")</f>
        <v>7601.8282595287337</v>
      </c>
      <c r="AN18" s="87">
        <f>IFERROR(s_C*s_IFLE_res_adj*s_CF_lettuce*0.001*(up_Irr!M18+up_Irr!AL18+up_Irr!BK18),".")</f>
        <v>7601.8282595287337</v>
      </c>
      <c r="AO18" s="87">
        <f>IFERROR(s_C*s_IFLI_res_adj*s_CF_lima_bean*0.001*(up_Irr!N18+up_Irr!AM18+up_Irr!BL18),".")</f>
        <v>7601.8282595287337</v>
      </c>
      <c r="AP18" s="87">
        <f>IFERROR(s_C*s_IFOK_res_adj*s_CF_okra*0.001*(up_Irr!O18+up_Irr!AN18+up_Irr!BM18),".")</f>
        <v>7601.8282595287337</v>
      </c>
      <c r="AQ18" s="87">
        <f>IFERROR(s_C*s_IFON_res_adj*s_CF_onion*0.001*(up_Irr!P18+up_Irr!AO18+up_Irr!BN18),".")</f>
        <v>7601.8282595287337</v>
      </c>
      <c r="AR18" s="87">
        <f>IFERROR(s_C*s_IFPC_res_adj*s_CF_peach*0.001*(up_Irr!Q18+up_Irr!AP18+up_Irr!BO18),".")</f>
        <v>7601.8282595287337</v>
      </c>
      <c r="AS18" s="87">
        <f>IFERROR(s_C*s_IFPR_res_adj*s_CF_pear*0.001*(up_Irr!R18+up_Irr!AQ18+up_Irr!BP18),".")</f>
        <v>7601.8282595287337</v>
      </c>
      <c r="AT18" s="87">
        <f>IFERROR(s_C*s_IFPE_res_adj*s_CF_peas*0.001*(up_Irr!S18+up_Irr!AR18+up_Irr!BQ18),".")</f>
        <v>7601.8282595287337</v>
      </c>
      <c r="AU18" s="87">
        <f>IFERROR(s_C*s_IFPP_res_adj*s_CF_peppers*0.001*(up_Irr!T18+up_Irr!AS18+up_Irr!BR18),".")</f>
        <v>7601.8282595287337</v>
      </c>
      <c r="AV18" s="87">
        <f>IFERROR(s_C*s_IFPT_res_adj*s_CF_potato*0.001*(up_Irr!U18+up_Irr!AT18+up_Irr!BS18),".")</f>
        <v>7601.8282595287337</v>
      </c>
      <c r="AW18" s="87">
        <f>IFERROR(s_C*s_IFPU_res_adj*s_CF_pumpkin*0.001*(up_Irr!V18+up_Irr!AU18+up_Irr!BT18),".")</f>
        <v>7601.8282595287337</v>
      </c>
      <c r="AX18" s="87">
        <f>IFERROR(s_C*s_IFSN_res_adj*s_CF_snap_bean*0.001*(up_Irr!W18+up_Irr!AV18+up_Irr!BU18),".")</f>
        <v>7601.8282595287337</v>
      </c>
      <c r="AY18" s="87">
        <f>IFERROR(s_C*s_IFST_res_adj*s_CF_strawberry*0.001*(up_Irr!X18+up_Irr!AW18+up_Irr!BV18),".")</f>
        <v>7601.8282595287337</v>
      </c>
      <c r="AZ18" s="87">
        <f>IFERROR(s_C*s_IFTO_res_adj*s_CF_tomato*0.001*(up_Irr!Y18+up_Irr!AX18+up_Irr!BW18),".")</f>
        <v>7601.8282595287337</v>
      </c>
      <c r="BA18" s="87">
        <f>IFERROR(s_C*s_IFRI_res_adj*s_CF_rice*0.001*(up_Irr!Z18+up_Irr!AY18+up_Irr!BX18),".")</f>
        <v>7601.8282595287337</v>
      </c>
      <c r="BB18" s="87">
        <f>IFERROR(s_C*s_IFCG_res_adj*s_CF_cereal*0.001*(up_Irr!AA18+up_Irr!AZ18+up_Irr!BY18),".")</f>
        <v>7601.8282595287337</v>
      </c>
      <c r="BC18" s="70">
        <f t="shared" si="2"/>
        <v>1.6443412786038033E-4</v>
      </c>
      <c r="BD18" s="70">
        <f>IFERROR(IF(AND(up_Irr!C18&lt;&gt;".",up_Irr!AB18&lt;&gt;".",up_Irr!BA18&lt;&gt;"."),up_dir!AD18/((1/1000)*(up_Irr!C18+up_Irr!AB18+up_Irr!BA18)),IF(AND(up_Irr!C18&lt;&gt;".",up_Irr!AB18&lt;&gt;".",up_Irr!BA18="."),up_dir!AD18/((1/1000)*(up_Irr!C18+up_Irr!AB18)),IF(AND(up_Irr!C18&lt;&gt;".",up_Irr!AB18=".",up_Irr!BA18&lt;&gt;"."),up_dir!AD18/((1/1000)*(up_Irr!C18+up_Irr!BA18)),IF(AND(up_Irr!C18=".",up_Irr!AB18&lt;&gt;".",up_Irr!BA18&lt;&gt;"."),up_dir!AD18/((1/1000)*(up_Irr!AB18+up_Irr!BA18)),IF(AND(up_Irr!C18=".",up_Irr!AB18=".",up_Irr!BA18&lt;&gt;"."),up_dir!AD18/((1/1000)*(up_Irr!BA18)),IF(AND(up_Irr!C18=".",up_Irr!AB18&lt;&gt;".",up_Irr!BA18="."),up_dir!AD18/((1/1000)*(up_Irr!AB18)),IF(AND(up_Irr!C18&lt;&gt;".",up_Irr!AB18=".",up_Irr!BA18="."),up_dir!AD18/((1/1000)*(up_Irr!C18)),IF(AND(up_Irr!C18=".",up_Irr!AB18=".",up_Irr!BA18="."),up_dir!AD18*1000)))))))),".")</f>
        <v>6.5773651144152131E-4</v>
      </c>
      <c r="BE18" s="70">
        <f>IFERROR(IF(AND(up_Irr!D18&lt;&gt;".",up_Irr!AC18&lt;&gt;".",up_Irr!BB18&lt;&gt;"."),up_dir!AE18/((1/1000)*(up_Irr!D18+up_Irr!AC18+up_Irr!BB18)),IF(AND(up_Irr!D18&lt;&gt;".",up_Irr!AC18&lt;&gt;".",up_Irr!BB18="."),up_dir!AE18/((1/1000)*(up_Irr!D18+up_Irr!AC18)),IF(AND(up_Irr!D18&lt;&gt;".",up_Irr!AC18=".",up_Irr!BB18&lt;&gt;"."),up_dir!AE18/((1/1000)*(up_Irr!D18+up_Irr!BB18)),IF(AND(up_Irr!D18=".",up_Irr!AC18&lt;&gt;".",up_Irr!BB18&lt;&gt;"."),up_dir!AE18/((1/1000)*(up_Irr!AC18+up_Irr!BB18)),IF(AND(up_Irr!D18=".",up_Irr!AC18=".",up_Irr!BB18&lt;&gt;"."),up_dir!AE18/((1/1000)*(up_Irr!BB18)),IF(AND(up_Irr!D18=".",up_Irr!AC18&lt;&gt;".",up_Irr!BB18="."),up_dir!AE18/((1/1000)*(up_Irr!AC18)),IF(AND(up_Irr!D18&lt;&gt;".",up_Irr!AC18=".",up_Irr!BB18="."),up_dir!AE18/((1/1000)*(up_Irr!D18)),IF(AND(up_Irr!D18=".",up_Irr!AC18=".",up_Irr!BB18="."),up_dir!AE18*1000)))))))),".")</f>
        <v>6.5773651144152131E-4</v>
      </c>
      <c r="BF18" s="70">
        <f>IFERROR(IF(AND(up_Irr!E18&lt;&gt;".",up_Irr!AD18&lt;&gt;".",up_Irr!BC18&lt;&gt;"."),up_dir!AF18/((1/1000)*(up_Irr!E18+up_Irr!AD18+up_Irr!BC18)),IF(AND(up_Irr!E18&lt;&gt;".",up_Irr!AD18&lt;&gt;".",up_Irr!BC18="."),up_dir!AF18/((1/1000)*(up_Irr!E18+up_Irr!AD18)),IF(AND(up_Irr!E18&lt;&gt;".",up_Irr!AD18=".",up_Irr!BC18&lt;&gt;"."),up_dir!AF18/((1/1000)*(up_Irr!E18+up_Irr!BC18)),IF(AND(up_Irr!E18=".",up_Irr!AD18&lt;&gt;".",up_Irr!BC18&lt;&gt;"."),up_dir!AF18/((1/1000)*(up_Irr!AD18+up_Irr!BC18)),IF(AND(up_Irr!E18=".",up_Irr!AD18=".",up_Irr!BC18&lt;&gt;"."),up_dir!AF18/((1/1000)*(up_Irr!BC18)),IF(AND(up_Irr!E18=".",up_Irr!AD18&lt;&gt;".",up_Irr!BC18="."),up_dir!AF18/((1/1000)*(up_Irr!AD18)),IF(AND(up_Irr!E18&lt;&gt;".",up_Irr!AD18=".",up_Irr!BC18="."),up_dir!AF18/((1/1000)*(up_Irr!E18)),IF(AND(up_Irr!E18=".",up_Irr!AD18=".",up_Irr!BC18="."),up_dir!AF18*1000)))))))),".")</f>
        <v>6.5773651144152131E-4</v>
      </c>
      <c r="BG18" s="70">
        <f>IFERROR(IF(AND(up_Irr!F18&lt;&gt;".",up_Irr!AE18&lt;&gt;".",up_Irr!BD18&lt;&gt;"."),up_dir!AG18/((1/1000)*(up_Irr!F18+up_Irr!AE18+up_Irr!BD18)),IF(AND(up_Irr!F18&lt;&gt;".",up_Irr!AE18&lt;&gt;".",up_Irr!BD18="."),up_dir!AG18/((1/1000)*(up_Irr!F18+up_Irr!AE18)),IF(AND(up_Irr!F18&lt;&gt;".",up_Irr!AE18=".",up_Irr!BD18&lt;&gt;"."),up_dir!AG18/((1/1000)*(up_Irr!F18+up_Irr!BD18)),IF(AND(up_Irr!F18=".",up_Irr!AE18&lt;&gt;".",up_Irr!BD18&lt;&gt;"."),up_dir!AG18/((1/1000)*(up_Irr!AE18+up_Irr!BD18)),IF(AND(up_Irr!F18=".",up_Irr!AE18=".",up_Irr!BD18&lt;&gt;"."),up_dir!AG18/((1/1000)*(up_Irr!BD18)),IF(AND(up_Irr!F18=".",up_Irr!AE18&lt;&gt;".",up_Irr!BD18="."),up_dir!AG18/((1/1000)*(up_Irr!AE18)),IF(AND(up_Irr!F18&lt;&gt;".",up_Irr!AE18=".",up_Irr!BD18="."),up_dir!AG18/((1/1000)*(up_Irr!F18)),IF(AND(up_Irr!F18=".",up_Irr!AE18=".",up_Irr!BD18="."),up_dir!AG18*1000)))))))),".")</f>
        <v>6.5773651144152131E-4</v>
      </c>
      <c r="BH18" s="70">
        <f>IFERROR(IF(AND(up_Irr!G18&lt;&gt;".",up_Irr!AF18&lt;&gt;".",up_Irr!BE18&lt;&gt;"."),up_dir!AH18/((1/1000)*(up_Irr!G18+up_Irr!AF18+up_Irr!BE18)),IF(AND(up_Irr!G18&lt;&gt;".",up_Irr!AF18&lt;&gt;".",up_Irr!BE18="."),up_dir!AH18/((1/1000)*(up_Irr!G18+up_Irr!AF18)),IF(AND(up_Irr!G18&lt;&gt;".",up_Irr!AF18=".",up_Irr!BE18&lt;&gt;"."),up_dir!AH18/((1/1000)*(up_Irr!G18+up_Irr!BE18)),IF(AND(up_Irr!G18=".",up_Irr!AF18&lt;&gt;".",up_Irr!BE18&lt;&gt;"."),up_dir!AH18/((1/1000)*(up_Irr!AF18+up_Irr!BE18)),IF(AND(up_Irr!G18=".",up_Irr!AF18=".",up_Irr!BE18&lt;&gt;"."),up_dir!AH18/((1/1000)*(up_Irr!BE18)),IF(AND(up_Irr!G18=".",up_Irr!AF18&lt;&gt;".",up_Irr!BE18="."),up_dir!AH18/((1/1000)*(up_Irr!AF18)),IF(AND(up_Irr!G18&lt;&gt;".",up_Irr!AF18=".",up_Irr!BE18="."),up_dir!AH18/((1/1000)*(up_Irr!G18)),IF(AND(up_Irr!G18=".",up_Irr!AF18=".",up_Irr!BE18="."),up_dir!AH18*1000)))))))),".")</f>
        <v>6.5773651144152131E-4</v>
      </c>
      <c r="BI18" s="70">
        <f>IFERROR(IF(AND(up_Irr!H18&lt;&gt;".",up_Irr!AG18&lt;&gt;".",up_Irr!BF18&lt;&gt;"."),up_dir!AI18/((1/1000)*(up_Irr!H18+up_Irr!AG18+up_Irr!BF18)),IF(AND(up_Irr!H18&lt;&gt;".",up_Irr!AG18&lt;&gt;".",up_Irr!BF18="."),up_dir!AI18/((1/1000)*(up_Irr!H18+up_Irr!AG18)),IF(AND(up_Irr!H18&lt;&gt;".",up_Irr!AG18=".",up_Irr!BF18&lt;&gt;"."),up_dir!AI18/((1/1000)*(up_Irr!H18+up_Irr!BF18)),IF(AND(up_Irr!H18=".",up_Irr!AG18&lt;&gt;".",up_Irr!BF18&lt;&gt;"."),up_dir!AI18/((1/1000)*(up_Irr!AG18+up_Irr!BF18)),IF(AND(up_Irr!H18=".",up_Irr!AG18=".",up_Irr!BF18&lt;&gt;"."),up_dir!AI18/((1/1000)*(up_Irr!BF18)),IF(AND(up_Irr!H18=".",up_Irr!AG18&lt;&gt;".",up_Irr!BF18="."),up_dir!AI18/((1/1000)*(up_Irr!AG18)),IF(AND(up_Irr!H18&lt;&gt;".",up_Irr!AG18=".",up_Irr!BF18="."),up_dir!AI18/((1/1000)*(up_Irr!H18)),IF(AND(up_Irr!H18=".",up_Irr!AG18=".",up_Irr!BF18="."),up_dir!AI18*1000)))))))),".")</f>
        <v>6.5773651144152131E-4</v>
      </c>
      <c r="BJ18" s="70">
        <f>IFERROR(IF(AND(up_Irr!I18&lt;&gt;".",up_Irr!AH18&lt;&gt;".",up_Irr!BG18&lt;&gt;"."),up_dir!AJ18/((1/1000)*(up_Irr!I18+up_Irr!AH18+up_Irr!BG18)),IF(AND(up_Irr!I18&lt;&gt;".",up_Irr!AH18&lt;&gt;".",up_Irr!BG18="."),up_dir!AJ18/((1/1000)*(up_Irr!I18+up_Irr!AH18)),IF(AND(up_Irr!I18&lt;&gt;".",up_Irr!AH18=".",up_Irr!BG18&lt;&gt;"."),up_dir!AJ18/((1/1000)*(up_Irr!I18+up_Irr!BG18)),IF(AND(up_Irr!I18=".",up_Irr!AH18&lt;&gt;".",up_Irr!BG18&lt;&gt;"."),up_dir!AJ18/((1/1000)*(up_Irr!AH18+up_Irr!BG18)),IF(AND(up_Irr!I18=".",up_Irr!AH18=".",up_Irr!BG18&lt;&gt;"."),up_dir!AJ18/((1/1000)*(up_Irr!BG18)),IF(AND(up_Irr!I18=".",up_Irr!AH18&lt;&gt;".",up_Irr!BG18="."),up_dir!AJ18/((1/1000)*(up_Irr!AH18)),IF(AND(up_Irr!I18&lt;&gt;".",up_Irr!AH18=".",up_Irr!BG18="."),up_dir!AJ18/((1/1000)*(up_Irr!I18)),IF(AND(up_Irr!I18=".",up_Irr!AH18=".",up_Irr!BG18="."),up_dir!AJ18*1000)))))))),".")</f>
        <v>6.5773651144152131E-4</v>
      </c>
      <c r="BK18" s="70">
        <f>IFERROR(IF(AND(up_Irr!J18&lt;&gt;".",up_Irr!AI18&lt;&gt;".",up_Irr!BH18&lt;&gt;"."),up_dir!AK18/((1/1000)*(up_Irr!J18+up_Irr!AI18+up_Irr!BH18)),IF(AND(up_Irr!J18&lt;&gt;".",up_Irr!AI18&lt;&gt;".",up_Irr!BH18="."),up_dir!AK18/((1/1000)*(up_Irr!J18+up_Irr!AI18)),IF(AND(up_Irr!J18&lt;&gt;".",up_Irr!AI18=".",up_Irr!BH18&lt;&gt;"."),up_dir!AK18/((1/1000)*(up_Irr!J18+up_Irr!BH18)),IF(AND(up_Irr!J18=".",up_Irr!AI18&lt;&gt;".",up_Irr!BH18&lt;&gt;"."),up_dir!AK18/((1/1000)*(up_Irr!AI18+up_Irr!BH18)),IF(AND(up_Irr!J18=".",up_Irr!AI18=".",up_Irr!BH18&lt;&gt;"."),up_dir!AK18/((1/1000)*(up_Irr!BH18)),IF(AND(up_Irr!J18=".",up_Irr!AI18&lt;&gt;".",up_Irr!BH18="."),up_dir!AK18/((1/1000)*(up_Irr!AI18)),IF(AND(up_Irr!J18&lt;&gt;".",up_Irr!AI18=".",up_Irr!BH18="."),up_dir!AK18/((1/1000)*(up_Irr!J18)),IF(AND(up_Irr!J18=".",up_Irr!AI18=".",up_Irr!BH18="."),up_dir!AK18*1000)))))))),".")</f>
        <v>6.5773651144152131E-4</v>
      </c>
      <c r="BL18" s="70">
        <f>IFERROR(IF(AND(up_Irr!K18&lt;&gt;".",up_Irr!AJ18&lt;&gt;".",up_Irr!BI18&lt;&gt;"."),up_dir!AL18/((1/1000)*(up_Irr!K18+up_Irr!AJ18+up_Irr!BI18)),IF(AND(up_Irr!K18&lt;&gt;".",up_Irr!AJ18&lt;&gt;".",up_Irr!BI18="."),up_dir!AL18/((1/1000)*(up_Irr!K18+up_Irr!AJ18)),IF(AND(up_Irr!K18&lt;&gt;".",up_Irr!AJ18=".",up_Irr!BI18&lt;&gt;"."),up_dir!AL18/((1/1000)*(up_Irr!K18+up_Irr!BI18)),IF(AND(up_Irr!K18=".",up_Irr!AJ18&lt;&gt;".",up_Irr!BI18&lt;&gt;"."),up_dir!AL18/((1/1000)*(up_Irr!AJ18+up_Irr!BI18)),IF(AND(up_Irr!K18=".",up_Irr!AJ18=".",up_Irr!BI18&lt;&gt;"."),up_dir!AL18/((1/1000)*(up_Irr!BI18)),IF(AND(up_Irr!K18=".",up_Irr!AJ18&lt;&gt;".",up_Irr!BI18="."),up_dir!AL18/((1/1000)*(up_Irr!AJ18)),IF(AND(up_Irr!K18&lt;&gt;".",up_Irr!AJ18=".",up_Irr!BI18="."),up_dir!AL18/((1/1000)*(up_Irr!K18)),IF(AND(up_Irr!K18=".",up_Irr!AJ18=".",up_Irr!BI18="."),up_dir!AL18*1000)))))))),".")</f>
        <v>6.5773651144152131E-4</v>
      </c>
      <c r="BM18" s="70">
        <f>IFERROR(IF(AND(up_Irr!L18&lt;&gt;".",up_Irr!AK18&lt;&gt;".",up_Irr!BJ18&lt;&gt;"."),up_dir!AM18/((1/1000)*(up_Irr!L18+up_Irr!AK18+up_Irr!BJ18)),IF(AND(up_Irr!L18&lt;&gt;".",up_Irr!AK18&lt;&gt;".",up_Irr!BJ18="."),up_dir!AM18/((1/1000)*(up_Irr!L18+up_Irr!AK18)),IF(AND(up_Irr!L18&lt;&gt;".",up_Irr!AK18=".",up_Irr!BJ18&lt;&gt;"."),up_dir!AM18/((1/1000)*(up_Irr!L18+up_Irr!BJ18)),IF(AND(up_Irr!L18=".",up_Irr!AK18&lt;&gt;".",up_Irr!BJ18&lt;&gt;"."),up_dir!AM18/((1/1000)*(up_Irr!AK18+up_Irr!BJ18)),IF(AND(up_Irr!L18=".",up_Irr!AK18=".",up_Irr!BJ18&lt;&gt;"."),up_dir!AM18/((1/1000)*(up_Irr!BJ18)),IF(AND(up_Irr!L18=".",up_Irr!AK18&lt;&gt;".",up_Irr!BJ18="."),up_dir!AM18/((1/1000)*(up_Irr!AK18)),IF(AND(up_Irr!L18&lt;&gt;".",up_Irr!AK18=".",up_Irr!BJ18="."),up_dir!AM18/((1/1000)*(up_Irr!L18)),IF(AND(up_Irr!L18=".",up_Irr!AK18=".",up_Irr!BJ18="."),up_dir!AM18*1000)))))))),".")</f>
        <v>6.5773651144152131E-4</v>
      </c>
      <c r="BN18" s="70">
        <f>IFERROR(IF(AND(up_Irr!M18&lt;&gt;".",up_Irr!AL18&lt;&gt;".",up_Irr!BK18&lt;&gt;"."),up_dir!AN18/((1/1000)*(up_Irr!M18+up_Irr!AL18+up_Irr!BK18)),IF(AND(up_Irr!M18&lt;&gt;".",up_Irr!AL18&lt;&gt;".",up_Irr!BK18="."),up_dir!AN18/((1/1000)*(up_Irr!M18+up_Irr!AL18)),IF(AND(up_Irr!M18&lt;&gt;".",up_Irr!AL18=".",up_Irr!BK18&lt;&gt;"."),up_dir!AN18/((1/1000)*(up_Irr!M18+up_Irr!BK18)),IF(AND(up_Irr!M18=".",up_Irr!AL18&lt;&gt;".",up_Irr!BK18&lt;&gt;"."),up_dir!AN18/((1/1000)*(up_Irr!AL18+up_Irr!BK18)),IF(AND(up_Irr!M18=".",up_Irr!AL18=".",up_Irr!BK18&lt;&gt;"."),up_dir!AN18/((1/1000)*(up_Irr!BK18)),IF(AND(up_Irr!M18=".",up_Irr!AL18&lt;&gt;".",up_Irr!BK18="."),up_dir!AN18/((1/1000)*(up_Irr!AL18)),IF(AND(up_Irr!M18&lt;&gt;".",up_Irr!AL18=".",up_Irr!BK18="."),up_dir!AN18/((1/1000)*(up_Irr!M18)),IF(AND(up_Irr!M18=".",up_Irr!AL18=".",up_Irr!BK18="."),up_dir!AN18*1000)))))))),".")</f>
        <v>6.5773651144152131E-4</v>
      </c>
      <c r="BO18" s="70">
        <f>IFERROR(IF(AND(up_Irr!N18&lt;&gt;".",up_Irr!AM18&lt;&gt;".",up_Irr!BL18&lt;&gt;"."),up_dir!AO18/((1/1000)*(up_Irr!N18+up_Irr!AM18+up_Irr!BL18)),IF(AND(up_Irr!N18&lt;&gt;".",up_Irr!AM18&lt;&gt;".",up_Irr!BL18="."),up_dir!AO18/((1/1000)*(up_Irr!N18+up_Irr!AM18)),IF(AND(up_Irr!N18&lt;&gt;".",up_Irr!AM18=".",up_Irr!BL18&lt;&gt;"."),up_dir!AO18/((1/1000)*(up_Irr!N18+up_Irr!BL18)),IF(AND(up_Irr!N18=".",up_Irr!AM18&lt;&gt;".",up_Irr!BL18&lt;&gt;"."),up_dir!AO18/((1/1000)*(up_Irr!AM18+up_Irr!BL18)),IF(AND(up_Irr!N18=".",up_Irr!AM18=".",up_Irr!BL18&lt;&gt;"."),up_dir!AO18/((1/1000)*(up_Irr!BL18)),IF(AND(up_Irr!N18=".",up_Irr!AM18&lt;&gt;".",up_Irr!BL18="."),up_dir!AO18/((1/1000)*(up_Irr!AM18)),IF(AND(up_Irr!N18&lt;&gt;".",up_Irr!AM18=".",up_Irr!BL18="."),up_dir!AO18/((1/1000)*(up_Irr!N18)),IF(AND(up_Irr!N18=".",up_Irr!AM18=".",up_Irr!BL18="."),up_dir!AO18*1000)))))))),".")</f>
        <v>6.5773651144152131E-4</v>
      </c>
      <c r="BP18" s="70">
        <f>IFERROR(IF(AND(up_Irr!O18&lt;&gt;".",up_Irr!AN18&lt;&gt;".",up_Irr!BM18&lt;&gt;"."),up_dir!AP18/((1/1000)*(up_Irr!O18+up_Irr!AN18+up_Irr!BM18)),IF(AND(up_Irr!O18&lt;&gt;".",up_Irr!AN18&lt;&gt;".",up_Irr!BM18="."),up_dir!AP18/((1/1000)*(up_Irr!O18+up_Irr!AN18)),IF(AND(up_Irr!O18&lt;&gt;".",up_Irr!AN18=".",up_Irr!BM18&lt;&gt;"."),up_dir!AP18/((1/1000)*(up_Irr!O18+up_Irr!BM18)),IF(AND(up_Irr!O18=".",up_Irr!AN18&lt;&gt;".",up_Irr!BM18&lt;&gt;"."),up_dir!AP18/((1/1000)*(up_Irr!AN18+up_Irr!BM18)),IF(AND(up_Irr!O18=".",up_Irr!AN18=".",up_Irr!BM18&lt;&gt;"."),up_dir!AP18/((1/1000)*(up_Irr!BM18)),IF(AND(up_Irr!O18=".",up_Irr!AN18&lt;&gt;".",up_Irr!BM18="."),up_dir!AP18/((1/1000)*(up_Irr!AN18)),IF(AND(up_Irr!O18&lt;&gt;".",up_Irr!AN18=".",up_Irr!BM18="."),up_dir!AP18/((1/1000)*(up_Irr!O18)),IF(AND(up_Irr!O18=".",up_Irr!AN18=".",up_Irr!BM18="."),up_dir!AP18*1000)))))))),".")</f>
        <v>6.5773651144152131E-4</v>
      </c>
      <c r="BQ18" s="70">
        <f>IFERROR(IF(AND(up_Irr!P18&lt;&gt;".",up_Irr!AO18&lt;&gt;".",up_Irr!BN18&lt;&gt;"."),up_dir!AQ18/((1/1000)*(up_Irr!P18+up_Irr!AO18+up_Irr!BN18)),IF(AND(up_Irr!P18&lt;&gt;".",up_Irr!AO18&lt;&gt;".",up_Irr!BN18="."),up_dir!AQ18/((1/1000)*(up_Irr!P18+up_Irr!AO18)),IF(AND(up_Irr!P18&lt;&gt;".",up_Irr!AO18=".",up_Irr!BN18&lt;&gt;"."),up_dir!AQ18/((1/1000)*(up_Irr!P18+up_Irr!BN18)),IF(AND(up_Irr!P18=".",up_Irr!AO18&lt;&gt;".",up_Irr!BN18&lt;&gt;"."),up_dir!AQ18/((1/1000)*(up_Irr!AO18+up_Irr!BN18)),IF(AND(up_Irr!P18=".",up_Irr!AO18=".",up_Irr!BN18&lt;&gt;"."),up_dir!AQ18/((1/1000)*(up_Irr!BN18)),IF(AND(up_Irr!P18=".",up_Irr!AO18&lt;&gt;".",up_Irr!BN18="."),up_dir!AQ18/((1/1000)*(up_Irr!AO18)),IF(AND(up_Irr!P18&lt;&gt;".",up_Irr!AO18=".",up_Irr!BN18="."),up_dir!AQ18/((1/1000)*(up_Irr!P18)),IF(AND(up_Irr!P18=".",up_Irr!AO18=".",up_Irr!BN18="."),up_dir!AQ18*1000)))))))),".")</f>
        <v>6.5773651144152131E-4</v>
      </c>
      <c r="BR18" s="70">
        <f>IFERROR(IF(AND(up_Irr!Q18&lt;&gt;".",up_Irr!AP18&lt;&gt;".",up_Irr!BO18&lt;&gt;"."),up_dir!AR18/((1/1000)*(up_Irr!Q18+up_Irr!AP18+up_Irr!BO18)),IF(AND(up_Irr!Q18&lt;&gt;".",up_Irr!AP18&lt;&gt;".",up_Irr!BO18="."),up_dir!AR18/((1/1000)*(up_Irr!Q18+up_Irr!AP18)),IF(AND(up_Irr!Q18&lt;&gt;".",up_Irr!AP18=".",up_Irr!BO18&lt;&gt;"."),up_dir!AR18/((1/1000)*(up_Irr!Q18+up_Irr!BO18)),IF(AND(up_Irr!Q18=".",up_Irr!AP18&lt;&gt;".",up_Irr!BO18&lt;&gt;"."),up_dir!AR18/((1/1000)*(up_Irr!AP18+up_Irr!BO18)),IF(AND(up_Irr!Q18=".",up_Irr!AP18=".",up_Irr!BO18&lt;&gt;"."),up_dir!AR18/((1/1000)*(up_Irr!BO18)),IF(AND(up_Irr!Q18=".",up_Irr!AP18&lt;&gt;".",up_Irr!BO18="."),up_dir!AR18/((1/1000)*(up_Irr!AP18)),IF(AND(up_Irr!Q18&lt;&gt;".",up_Irr!AP18=".",up_Irr!BO18="."),up_dir!AR18/((1/1000)*(up_Irr!Q18)),IF(AND(up_Irr!Q18=".",up_Irr!AP18=".",up_Irr!BO18="."),up_dir!AR18*1000)))))))),".")</f>
        <v>6.5773651144152131E-4</v>
      </c>
      <c r="BS18" s="70">
        <f>IFERROR(IF(AND(up_Irr!R18&lt;&gt;".",up_Irr!AQ18&lt;&gt;".",up_Irr!BP18&lt;&gt;"."),up_dir!AS18/((1/1000)*(up_Irr!R18+up_Irr!AQ18+up_Irr!BP18)),IF(AND(up_Irr!R18&lt;&gt;".",up_Irr!AQ18&lt;&gt;".",up_Irr!BP18="."),up_dir!AS18/((1/1000)*(up_Irr!R18+up_Irr!AQ18)),IF(AND(up_Irr!R18&lt;&gt;".",up_Irr!AQ18=".",up_Irr!BP18&lt;&gt;"."),up_dir!AS18/((1/1000)*(up_Irr!R18+up_Irr!BP18)),IF(AND(up_Irr!R18=".",up_Irr!AQ18&lt;&gt;".",up_Irr!BP18&lt;&gt;"."),up_dir!AS18/((1/1000)*(up_Irr!AQ18+up_Irr!BP18)),IF(AND(up_Irr!R18=".",up_Irr!AQ18=".",up_Irr!BP18&lt;&gt;"."),up_dir!AS18/((1/1000)*(up_Irr!BP18)),IF(AND(up_Irr!R18=".",up_Irr!AQ18&lt;&gt;".",up_Irr!BP18="."),up_dir!AS18/((1/1000)*(up_Irr!AQ18)),IF(AND(up_Irr!R18&lt;&gt;".",up_Irr!AQ18=".",up_Irr!BP18="."),up_dir!AS18/((1/1000)*(up_Irr!R18)),IF(AND(up_Irr!R18=".",up_Irr!AQ18=".",up_Irr!BP18="."),up_dir!AS18*1000)))))))),".")</f>
        <v>6.5773651144152131E-4</v>
      </c>
      <c r="BT18" s="70">
        <f>IFERROR(IF(AND(up_Irr!S18&lt;&gt;".",up_Irr!AR18&lt;&gt;".",up_Irr!BQ18&lt;&gt;"."),up_dir!AT18/((1/1000)*(up_Irr!S18+up_Irr!AR18+up_Irr!BQ18)),IF(AND(up_Irr!S18&lt;&gt;".",up_Irr!AR18&lt;&gt;".",up_Irr!BQ18="."),up_dir!AT18/((1/1000)*(up_Irr!S18+up_Irr!AR18)),IF(AND(up_Irr!S18&lt;&gt;".",up_Irr!AR18=".",up_Irr!BQ18&lt;&gt;"."),up_dir!AT18/((1/1000)*(up_Irr!S18+up_Irr!BQ18)),IF(AND(up_Irr!S18=".",up_Irr!AR18&lt;&gt;".",up_Irr!BQ18&lt;&gt;"."),up_dir!AT18/((1/1000)*(up_Irr!AR18+up_Irr!BQ18)),IF(AND(up_Irr!S18=".",up_Irr!AR18=".",up_Irr!BQ18&lt;&gt;"."),up_dir!AT18/((1/1000)*(up_Irr!BQ18)),IF(AND(up_Irr!S18=".",up_Irr!AR18&lt;&gt;".",up_Irr!BQ18="."),up_dir!AT18/((1/1000)*(up_Irr!AR18)),IF(AND(up_Irr!S18&lt;&gt;".",up_Irr!AR18=".",up_Irr!BQ18="."),up_dir!AT18/((1/1000)*(up_Irr!S18)),IF(AND(up_Irr!S18=".",up_Irr!AR18=".",up_Irr!BQ18="."),up_dir!AT18*1000)))))))),".")</f>
        <v>6.5773651144152131E-4</v>
      </c>
      <c r="BU18" s="70">
        <f>IFERROR(IF(AND(up_Irr!T18&lt;&gt;".",up_Irr!AS18&lt;&gt;".",up_Irr!BR18&lt;&gt;"."),up_dir!AU18/((1/1000)*(up_Irr!T18+up_Irr!AS18+up_Irr!BR18)),IF(AND(up_Irr!T18&lt;&gt;".",up_Irr!AS18&lt;&gt;".",up_Irr!BR18="."),up_dir!AU18/((1/1000)*(up_Irr!T18+up_Irr!AS18)),IF(AND(up_Irr!T18&lt;&gt;".",up_Irr!AS18=".",up_Irr!BR18&lt;&gt;"."),up_dir!AU18/((1/1000)*(up_Irr!T18+up_Irr!BR18)),IF(AND(up_Irr!T18=".",up_Irr!AS18&lt;&gt;".",up_Irr!BR18&lt;&gt;"."),up_dir!AU18/((1/1000)*(up_Irr!AS18+up_Irr!BR18)),IF(AND(up_Irr!T18=".",up_Irr!AS18=".",up_Irr!BR18&lt;&gt;"."),up_dir!AU18/((1/1000)*(up_Irr!BR18)),IF(AND(up_Irr!T18=".",up_Irr!AS18&lt;&gt;".",up_Irr!BR18="."),up_dir!AU18/((1/1000)*(up_Irr!AS18)),IF(AND(up_Irr!T18&lt;&gt;".",up_Irr!AS18=".",up_Irr!BR18="."),up_dir!AU18/((1/1000)*(up_Irr!T18)),IF(AND(up_Irr!T18=".",up_Irr!AS18=".",up_Irr!BR18="."),up_dir!AU18*1000)))))))),".")</f>
        <v>6.5773651144152131E-4</v>
      </c>
      <c r="BV18" s="70">
        <f>IFERROR(IF(AND(up_Irr!U18&lt;&gt;".",up_Irr!AT18&lt;&gt;".",up_Irr!BS18&lt;&gt;"."),up_dir!AV18/((1/1000)*(up_Irr!U18+up_Irr!AT18+up_Irr!BS18)),IF(AND(up_Irr!U18&lt;&gt;".",up_Irr!AT18&lt;&gt;".",up_Irr!BS18="."),up_dir!AV18/((1/1000)*(up_Irr!U18+up_Irr!AT18)),IF(AND(up_Irr!U18&lt;&gt;".",up_Irr!AT18=".",up_Irr!BS18&lt;&gt;"."),up_dir!AV18/((1/1000)*(up_Irr!U18+up_Irr!BS18)),IF(AND(up_Irr!U18=".",up_Irr!AT18&lt;&gt;".",up_Irr!BS18&lt;&gt;"."),up_dir!AV18/((1/1000)*(up_Irr!AT18+up_Irr!BS18)),IF(AND(up_Irr!U18=".",up_Irr!AT18=".",up_Irr!BS18&lt;&gt;"."),up_dir!AV18/((1/1000)*(up_Irr!BS18)),IF(AND(up_Irr!U18=".",up_Irr!AT18&lt;&gt;".",up_Irr!BS18="."),up_dir!AV18/((1/1000)*(up_Irr!AT18)),IF(AND(up_Irr!U18&lt;&gt;".",up_Irr!AT18=".",up_Irr!BS18="."),up_dir!AV18/((1/1000)*(up_Irr!U18)),IF(AND(up_Irr!U18=".",up_Irr!AT18=".",up_Irr!BS18="."),up_dir!AV18*1000)))))))),".")</f>
        <v>6.5773651144152131E-4</v>
      </c>
      <c r="BW18" s="70">
        <f>IFERROR(IF(AND(up_Irr!V18&lt;&gt;".",up_Irr!AU18&lt;&gt;".",up_Irr!BT18&lt;&gt;"."),up_dir!AW18/((1/1000)*(up_Irr!V18+up_Irr!AU18+up_Irr!BT18)),IF(AND(up_Irr!V18&lt;&gt;".",up_Irr!AU18&lt;&gt;".",up_Irr!BT18="."),up_dir!AW18/((1/1000)*(up_Irr!V18+up_Irr!AU18)),IF(AND(up_Irr!V18&lt;&gt;".",up_Irr!AU18=".",up_Irr!BT18&lt;&gt;"."),up_dir!AW18/((1/1000)*(up_Irr!V18+up_Irr!BT18)),IF(AND(up_Irr!V18=".",up_Irr!AU18&lt;&gt;".",up_Irr!BT18&lt;&gt;"."),up_dir!AW18/((1/1000)*(up_Irr!AU18+up_Irr!BT18)),IF(AND(up_Irr!V18=".",up_Irr!AU18=".",up_Irr!BT18&lt;&gt;"."),up_dir!AW18/((1/1000)*(up_Irr!BT18)),IF(AND(up_Irr!V18=".",up_Irr!AU18&lt;&gt;".",up_Irr!BT18="."),up_dir!AW18/((1/1000)*(up_Irr!AU18)),IF(AND(up_Irr!V18&lt;&gt;".",up_Irr!AU18=".",up_Irr!BT18="."),up_dir!AW18/((1/1000)*(up_Irr!V18)),IF(AND(up_Irr!V18=".",up_Irr!AU18=".",up_Irr!BT18="."),up_dir!AW18*1000)))))))),".")</f>
        <v>6.5773651144152131E-4</v>
      </c>
      <c r="BX18" s="70">
        <f>IFERROR(IF(AND(up_Irr!W18&lt;&gt;".",up_Irr!AV18&lt;&gt;".",up_Irr!BU18&lt;&gt;"."),up_dir!AX18/((1/1000)*(up_Irr!W18+up_Irr!AV18+up_Irr!BU18)),IF(AND(up_Irr!W18&lt;&gt;".",up_Irr!AV18&lt;&gt;".",up_Irr!BU18="."),up_dir!AX18/((1/1000)*(up_Irr!W18+up_Irr!AV18)),IF(AND(up_Irr!W18&lt;&gt;".",up_Irr!AV18=".",up_Irr!BU18&lt;&gt;"."),up_dir!AX18/((1/1000)*(up_Irr!W18+up_Irr!BU18)),IF(AND(up_Irr!W18=".",up_Irr!AV18&lt;&gt;".",up_Irr!BU18&lt;&gt;"."),up_dir!AX18/((1/1000)*(up_Irr!AV18+up_Irr!BU18)),IF(AND(up_Irr!W18=".",up_Irr!AV18=".",up_Irr!BU18&lt;&gt;"."),up_dir!AX18/((1/1000)*(up_Irr!BU18)),IF(AND(up_Irr!W18=".",up_Irr!AV18&lt;&gt;".",up_Irr!BU18="."),up_dir!AX18/((1/1000)*(up_Irr!AV18)),IF(AND(up_Irr!W18&lt;&gt;".",up_Irr!AV18=".",up_Irr!BU18="."),up_dir!AX18/((1/1000)*(up_Irr!W18)),IF(AND(up_Irr!W18=".",up_Irr!AV18=".",up_Irr!BU18="."),up_dir!AX18*1000)))))))),".")</f>
        <v>6.5773651144152131E-4</v>
      </c>
      <c r="BY18" s="70">
        <f>IFERROR(IF(AND(up_Irr!X18&lt;&gt;".",up_Irr!AW18&lt;&gt;".",up_Irr!BV18&lt;&gt;"."),up_dir!AY18/((1/1000)*(up_Irr!X18+up_Irr!AW18+up_Irr!BV18)),IF(AND(up_Irr!X18&lt;&gt;".",up_Irr!AW18&lt;&gt;".",up_Irr!BV18="."),up_dir!AY18/((1/1000)*(up_Irr!X18+up_Irr!AW18)),IF(AND(up_Irr!X18&lt;&gt;".",up_Irr!AW18=".",up_Irr!BV18&lt;&gt;"."),up_dir!AY18/((1/1000)*(up_Irr!X18+up_Irr!BV18)),IF(AND(up_Irr!X18=".",up_Irr!AW18&lt;&gt;".",up_Irr!BV18&lt;&gt;"."),up_dir!AY18/((1/1000)*(up_Irr!AW18+up_Irr!BV18)),IF(AND(up_Irr!X18=".",up_Irr!AW18=".",up_Irr!BV18&lt;&gt;"."),up_dir!AY18/((1/1000)*(up_Irr!BV18)),IF(AND(up_Irr!X18=".",up_Irr!AW18&lt;&gt;".",up_Irr!BV18="."),up_dir!AY18/((1/1000)*(up_Irr!AW18)),IF(AND(up_Irr!X18&lt;&gt;".",up_Irr!AW18=".",up_Irr!BV18="."),up_dir!AY18/((1/1000)*(up_Irr!X18)),IF(AND(up_Irr!X18=".",up_Irr!AW18=".",up_Irr!BV18="."),up_dir!AY18*1000)))))))),".")</f>
        <v>6.5773651144152131E-4</v>
      </c>
      <c r="BZ18" s="70">
        <f>IFERROR(IF(AND(up_Irr!Y18&lt;&gt;".",up_Irr!AX18&lt;&gt;".",up_Irr!BW18&lt;&gt;"."),up_dir!AZ18/((1/1000)*(up_Irr!Y18+up_Irr!AX18+up_Irr!BW18)),IF(AND(up_Irr!Y18&lt;&gt;".",up_Irr!AX18&lt;&gt;".",up_Irr!BW18="."),up_dir!AZ18/((1/1000)*(up_Irr!Y18+up_Irr!AX18)),IF(AND(up_Irr!Y18&lt;&gt;".",up_Irr!AX18=".",up_Irr!BW18&lt;&gt;"."),up_dir!AZ18/((1/1000)*(up_Irr!Y18+up_Irr!BW18)),IF(AND(up_Irr!Y18=".",up_Irr!AX18&lt;&gt;".",up_Irr!BW18&lt;&gt;"."),up_dir!AZ18/((1/1000)*(up_Irr!AX18+up_Irr!BW18)),IF(AND(up_Irr!Y18=".",up_Irr!AX18=".",up_Irr!BW18&lt;&gt;"."),up_dir!AZ18/((1/1000)*(up_Irr!BW18)),IF(AND(up_Irr!Y18=".",up_Irr!AX18&lt;&gt;".",up_Irr!BW18="."),up_dir!AZ18/((1/1000)*(up_Irr!AX18)),IF(AND(up_Irr!Y18&lt;&gt;".",up_Irr!AX18=".",up_Irr!BW18="."),up_dir!AZ18/((1/1000)*(up_Irr!Y18)),IF(AND(up_Irr!Y18=".",up_Irr!AX18=".",up_Irr!BW18="."),up_dir!AZ18*1000)))))))),".")</f>
        <v>6.5773651144152131E-4</v>
      </c>
      <c r="CA18" s="70">
        <f>IFERROR(IF(AND(up_Irr!Z18&lt;&gt;".",up_Irr!AY18&lt;&gt;".",up_Irr!BX18&lt;&gt;"."),up_dir!BA18/((1/1000)*(up_Irr!Z18+up_Irr!AY18+up_Irr!BX18)),IF(AND(up_Irr!Z18&lt;&gt;".",up_Irr!AY18&lt;&gt;".",up_Irr!BX18="."),up_dir!BA18/((1/1000)*(up_Irr!Z18+up_Irr!AY18)),IF(AND(up_Irr!Z18&lt;&gt;".",up_Irr!AY18=".",up_Irr!BX18&lt;&gt;"."),up_dir!BA18/((1/1000)*(up_Irr!Z18+up_Irr!BX18)),IF(AND(up_Irr!Z18=".",up_Irr!AY18&lt;&gt;".",up_Irr!BX18&lt;&gt;"."),up_dir!BA18/((1/1000)*(up_Irr!AY18+up_Irr!BX18)),IF(AND(up_Irr!Z18=".",up_Irr!AY18=".",up_Irr!BX18&lt;&gt;"."),up_dir!BA18/((1/1000)*(up_Irr!BX18)),IF(AND(up_Irr!Z18=".",up_Irr!AY18&lt;&gt;".",up_Irr!BX18="."),up_dir!BA18/((1/1000)*(up_Irr!AY18)),IF(AND(up_Irr!Z18&lt;&gt;".",up_Irr!AY18=".",up_Irr!BX18="."),up_dir!BA18/((1/1000)*(up_Irr!Z18)),IF(AND(up_Irr!Z18=".",up_Irr!AY18=".",up_Irr!BX18="."),up_dir!BA18*1000)))))))),".")</f>
        <v>6.5773651144152131E-4</v>
      </c>
      <c r="CB18" s="70">
        <f>IFERROR(IF(AND(up_Irr!AA18&lt;&gt;".",up_Irr!AZ18&lt;&gt;".",up_Irr!BY18&lt;&gt;"."),up_dir!BB18/((1/1000)*(up_Irr!AA18+up_Irr!AZ18+up_Irr!BY18)),IF(AND(up_Irr!AA18&lt;&gt;".",up_Irr!AZ18&lt;&gt;".",up_Irr!BY18="."),up_dir!BB18/((1/1000)*(up_Irr!AA18+up_Irr!AZ18)),IF(AND(up_Irr!AA18&lt;&gt;".",up_Irr!AZ18=".",up_Irr!BY18&lt;&gt;"."),up_dir!BB18/((1/1000)*(up_Irr!AA18+up_Irr!BY18)),IF(AND(up_Irr!AA18=".",up_Irr!AZ18&lt;&gt;".",up_Irr!BY18&lt;&gt;"."),up_dir!BB18/((1/1000)*(up_Irr!AZ18+up_Irr!BY18)),IF(AND(up_Irr!AA18=".",up_Irr!AZ18=".",up_Irr!BY18&lt;&gt;"."),up_dir!BB18/((1/1000)*(up_Irr!BY18)),IF(AND(up_Irr!AA18=".",up_Irr!AZ18&lt;&gt;".",up_Irr!BY18="."),up_dir!BB18/((1/1000)*(up_Irr!AZ18)),IF(AND(up_Irr!AA18&lt;&gt;".",up_Irr!AZ18=".",up_Irr!BY18="."),up_dir!BB18/((1/1000)*(up_Irr!AA18)),IF(AND(up_Irr!AA18=".",up_Irr!AZ18=".",up_Irr!BY18="."),up_dir!BB18*1000)))))))),".")</f>
        <v>6.5773651144152131E-4</v>
      </c>
      <c r="CC18" s="87">
        <f t="shared" si="3"/>
        <v>30407.313038114935</v>
      </c>
      <c r="CD18" s="87">
        <f>IFERROR(s_C*s_IFAP_far_adj*s_CF_apple*(1/1000)*(up_Irr!C18+up_Irr!AB18+up_Irr!BA18),".")</f>
        <v>7601.8282595287337</v>
      </c>
      <c r="CE18" s="87">
        <f>IFERROR(s_C*s_IFAS_far_adj*s_CF_asparagus*(1/1000)*(up_Irr!D18+up_Irr!AC18+up_Irr!BB18),".")</f>
        <v>7601.8282595287337</v>
      </c>
      <c r="CF18" s="87">
        <f>IFERROR(s_C*s_IFBT_far_adj*s_CF_beet*(1/1000)*(up_Irr!E18+up_Irr!AD18+up_Irr!BC18),".")</f>
        <v>7601.8282595287337</v>
      </c>
      <c r="CG18" s="87">
        <f>IFERROR(s_C*s_IFBE_far_adj*s_CF_berries*(1/1000)*(up_Irr!F18+up_Irr!AE18+up_Irr!BD18),".")</f>
        <v>7601.8282595287337</v>
      </c>
      <c r="CH18" s="87">
        <f>IFERROR(s_C*s_IFBR_far_adj*s_CF_broccoli*(1/1000)*(up_Irr!G18+up_Irr!AF18+up_Irr!BE18),".")</f>
        <v>7601.8282595287337</v>
      </c>
      <c r="CI18" s="87">
        <f>IFERROR(s_C*s_IFCB_far_adj*s_CF_cabbage*(1/1000)*(up_Irr!H18+up_Irr!AG18+up_Irr!BF18),".")</f>
        <v>7601.8282595287337</v>
      </c>
      <c r="CJ18" s="87">
        <f>IFERROR(s_C*s_IFCR_far_adj*s_CF_carrot*(1/1000)*(up_Irr!I18+up_Irr!AH18+up_Irr!BG18),".")</f>
        <v>7601.8282595287337</v>
      </c>
      <c r="CK18" s="87">
        <f>IFERROR(s_C*s_IFCI_far_adj*s_CF_citrus*(1/1000)*(up_Irr!J18+up_Irr!AI18+up_Irr!BH18),".")</f>
        <v>7601.8282595287337</v>
      </c>
      <c r="CL18" s="87">
        <f>IFERROR(s_C*s_IFCO_far_adj*s_CF_corn*(1/1000)*(up_Irr!K18+up_Irr!AJ18+up_Irr!BI18),".")</f>
        <v>7601.8282595287337</v>
      </c>
      <c r="CM18" s="87">
        <f>IFERROR(s_C*s_IFCU_far_adj*s_CF_cucumber*(1/1000)*(up_Irr!L18+up_Irr!AK18+up_Irr!BJ18),".")</f>
        <v>7601.8282595287337</v>
      </c>
      <c r="CN18" s="87">
        <f>IFERROR(s_C*s_IFLE_far_adj*s_CF_lettuce*(1/1000)*(up_Irr!M18+up_Irr!AL18+up_Irr!BK18),".")</f>
        <v>7601.8282595287337</v>
      </c>
      <c r="CO18" s="87">
        <f>IFERROR(s_C*s_IFLI_far_adj*s_CF_lima_bean*(1/1000)*(up_Irr!N18+up_Irr!AM18+up_Irr!BL18),".")</f>
        <v>7601.8282595287337</v>
      </c>
      <c r="CP18" s="87">
        <f>IFERROR(s_C*s_IFOK_far_adj*s_CF_okra*(1/1000)*(up_Irr!O18+up_Irr!AN18+up_Irr!BM18),".")</f>
        <v>7601.8282595287337</v>
      </c>
      <c r="CQ18" s="87">
        <f>IFERROR(s_C*s_IFON_far_adj*s_CF_onion*(1/1000)*(up_Irr!P18+up_Irr!AO18+up_Irr!BN18),".")</f>
        <v>7601.8282595287337</v>
      </c>
      <c r="CR18" s="87">
        <f>IFERROR(s_C*s_IFPC_far_adj*s_CF_peach*(1/1000)*(up_Irr!Q18+up_Irr!AP18+up_Irr!BO18),".")</f>
        <v>7601.8282595287337</v>
      </c>
      <c r="CS18" s="87">
        <f>IFERROR(s_C*s_IFPR_far_adj*s_CF_pear*(1/1000)*(up_Irr!R18+up_Irr!AQ18+up_Irr!BP18),".")</f>
        <v>7601.8282595287337</v>
      </c>
      <c r="CT18" s="87">
        <f>IFERROR(s_C*s_IFPE_far_adj*s_CF_peas*(1/1000)*(up_Irr!S18+up_Irr!AR18+up_Irr!BQ18),".")</f>
        <v>7601.8282595287337</v>
      </c>
      <c r="CU18" s="87">
        <f>IFERROR(s_C*s_IFPP_far_adj*s_CF_peppers*(1/1000)*(up_Irr!T18+up_Irr!AS18+up_Irr!BR18),".")</f>
        <v>7601.8282595287337</v>
      </c>
      <c r="CV18" s="87">
        <f>IFERROR(s_C*s_IFPT_far_adj*s_CF_potato*(1/1000)*(up_Irr!U18+up_Irr!AT18+up_Irr!BS18),".")</f>
        <v>7601.8282595287337</v>
      </c>
      <c r="CW18" s="87">
        <f>IFERROR(s_C*s_IFPU_far_adj*s_CF_pumpkin*(1/1000)*(up_Irr!V18+up_Irr!AU18+up_Irr!BT18),".")</f>
        <v>7601.8282595287337</v>
      </c>
      <c r="CX18" s="87">
        <f>IFERROR(s_C*s_IFSN_far_adj*s_CF_snap_bean*(1/1000)*(up_Irr!W18+up_Irr!AV18+up_Irr!BU18),".")</f>
        <v>7601.8282595287337</v>
      </c>
      <c r="CY18" s="87">
        <f>IFERROR(s_C*s_IFST_far_adj*s_CF_strawberry*(1/1000)*(up_Irr!X18+up_Irr!AW18+up_Irr!BV18),".")</f>
        <v>7601.8282595287337</v>
      </c>
      <c r="CZ18" s="87">
        <f>IFERROR(s_C*s_IFTO_far_adj*s_CF_tomato*(1/1000)*(up_Irr!Y18+up_Irr!AX18+up_Irr!BW18),".")</f>
        <v>7601.8282595287337</v>
      </c>
      <c r="DA18" s="87">
        <f>IFERROR(s_C*s_IFRI_far_adj*s_CF_rice*(1/1000)*(up_Irr!Z18+up_Irr!AY18+up_Irr!BX18),".")</f>
        <v>7601.8282595287337</v>
      </c>
      <c r="DB18" s="87">
        <f>IFERROR(s_C*s_IFCG_far_adj*s_CF_cereal*(1/1000)*(up_Irr!AA18+up_Irr!AZ18+up_Irr!BY18),".")</f>
        <v>7601.8282595287337</v>
      </c>
    </row>
    <row r="19" spans="1:106" ht="15" customHeight="1" x14ac:dyDescent="0.25">
      <c r="A19" s="86" t="s">
        <v>17</v>
      </c>
      <c r="B19" s="84" t="s">
        <v>1057</v>
      </c>
      <c r="C19" s="15">
        <f t="shared" si="0"/>
        <v>1.6443412786038033E-4</v>
      </c>
      <c r="D19" s="70">
        <f>IFERROR(IF(AND(up_Irr!C19&lt;&gt;".",up_Irr!AB19&lt;&gt;".",up_Irr!BA19&lt;&gt;"."),up_dir!D19/((1/1000)*(up_Irr!C19+up_Irr!AB19+up_Irr!BA19)),IF(AND(up_Irr!C19&lt;&gt;".",up_Irr!AB19&lt;&gt;".",up_Irr!BA19="."),up_dir!D19/((1/1000)*(up_Irr!C19+up_Irr!AB19)),IF(AND(up_Irr!C19&lt;&gt;".",up_Irr!AB19=".",up_Irr!BA19&lt;&gt;"."),up_dir!D19/((1/1000)*(up_Irr!C19+up_Irr!BA19)),IF(AND(up_Irr!C19=".",up_Irr!AB19&lt;&gt;".",up_Irr!BA19&lt;&gt;"."),up_dir!D19/((1/1000)*(up_Irr!AB19+up_Irr!BA19)),IF(AND(up_Irr!C19=".",up_Irr!AB19=".",up_Irr!BA19&lt;&gt;"."),up_dir!D19/((1/1000)*(up_Irr!BA19)),IF(AND(up_Irr!C19=".",up_Irr!AB19&lt;&gt;".",up_Irr!BA19="."),up_dir!D19/((1/1000)*(up_Irr!AB19)),IF(AND(up_Irr!C19&lt;&gt;".",up_Irr!AB19=".",up_Irr!BA19="."),up_dir!D19/((1/1000)*(up_Irr!C19)),IF(AND(up_Irr!C19=".",up_Irr!AB19=".",up_Irr!BA19="."),up_dir!D19*1000)))))))),".")</f>
        <v>6.5773651144152131E-4</v>
      </c>
      <c r="E19" s="70">
        <f>IFERROR(IF(AND(up_Irr!D19&lt;&gt;".",up_Irr!AC19&lt;&gt;".",up_Irr!BB19&lt;&gt;"."),up_dir!E19/((1/1000)*(up_Irr!D19+up_Irr!AC19+up_Irr!BB19)),IF(AND(up_Irr!D19&lt;&gt;".",up_Irr!AC19&lt;&gt;".",up_Irr!BB19="."),up_dir!E19/((1/1000)*(up_Irr!D19+up_Irr!AC19)),IF(AND(up_Irr!D19&lt;&gt;".",up_Irr!AC19=".",up_Irr!BB19&lt;&gt;"."),up_dir!E19/((1/1000)*(up_Irr!D19+up_Irr!BB19)),IF(AND(up_Irr!D19=".",up_Irr!AC19&lt;&gt;".",up_Irr!BB19&lt;&gt;"."),up_dir!E19/((1/1000)*(up_Irr!AC19+up_Irr!BB19)),IF(AND(up_Irr!D19=".",up_Irr!AC19=".",up_Irr!BB19&lt;&gt;"."),up_dir!E19/((1/1000)*(up_Irr!BB19)),IF(AND(up_Irr!D19=".",up_Irr!AC19&lt;&gt;".",up_Irr!BB19="."),up_dir!E19/((1/1000)*(up_Irr!AC19)),IF(AND(up_Irr!D19&lt;&gt;".",up_Irr!AC19=".",up_Irr!BB19="."),up_dir!E19/((1/1000)*(up_Irr!D19)),IF(AND(up_Irr!D19=".",up_Irr!AC19=".",up_Irr!BB19="."),up_dir!E19*1000)))))))),".")</f>
        <v>6.5773651144152131E-4</v>
      </c>
      <c r="F19" s="70">
        <f>IFERROR(IF(AND(up_Irr!E19&lt;&gt;".",up_Irr!AD19&lt;&gt;".",up_Irr!BC19&lt;&gt;"."),up_dir!F19/((1/1000)*(up_Irr!E19+up_Irr!AD19+up_Irr!BC19)),IF(AND(up_Irr!E19&lt;&gt;".",up_Irr!AD19&lt;&gt;".",up_Irr!BC19="."),up_dir!F19/((1/1000)*(up_Irr!E19+up_Irr!AD19)),IF(AND(up_Irr!E19&lt;&gt;".",up_Irr!AD19=".",up_Irr!BC19&lt;&gt;"."),up_dir!F19/((1/1000)*(up_Irr!E19+up_Irr!BC19)),IF(AND(up_Irr!E19=".",up_Irr!AD19&lt;&gt;".",up_Irr!BC19&lt;&gt;"."),up_dir!F19/((1/1000)*(up_Irr!AD19+up_Irr!BC19)),IF(AND(up_Irr!E19=".",up_Irr!AD19=".",up_Irr!BC19&lt;&gt;"."),up_dir!F19/((1/1000)*(up_Irr!BC19)),IF(AND(up_Irr!E19=".",up_Irr!AD19&lt;&gt;".",up_Irr!BC19="."),up_dir!F19/((1/1000)*(up_Irr!AD19)),IF(AND(up_Irr!E19&lt;&gt;".",up_Irr!AD19=".",up_Irr!BC19="."),up_dir!F19/((1/1000)*(up_Irr!E19)),IF(AND(up_Irr!E19=".",up_Irr!AD19=".",up_Irr!BC19="."),up_dir!F19*1000)))))))),".")</f>
        <v>6.5773651144152131E-4</v>
      </c>
      <c r="G19" s="70">
        <f>IFERROR(IF(AND(up_Irr!F19&lt;&gt;".",up_Irr!AE19&lt;&gt;".",up_Irr!BD19&lt;&gt;"."),up_dir!G19/((1/1000)*(up_Irr!F19+up_Irr!AE19+up_Irr!BD19)),IF(AND(up_Irr!F19&lt;&gt;".",up_Irr!AE19&lt;&gt;".",up_Irr!BD19="."),up_dir!G19/((1/1000)*(up_Irr!F19+up_Irr!AE19)),IF(AND(up_Irr!F19&lt;&gt;".",up_Irr!AE19=".",up_Irr!BD19&lt;&gt;"."),up_dir!G19/((1/1000)*(up_Irr!F19+up_Irr!BD19)),IF(AND(up_Irr!F19=".",up_Irr!AE19&lt;&gt;".",up_Irr!BD19&lt;&gt;"."),up_dir!G19/((1/1000)*(up_Irr!AE19+up_Irr!BD19)),IF(AND(up_Irr!F19=".",up_Irr!AE19=".",up_Irr!BD19&lt;&gt;"."),up_dir!G19/((1/1000)*(up_Irr!BD19)),IF(AND(up_Irr!F19=".",up_Irr!AE19&lt;&gt;".",up_Irr!BD19="."),up_dir!G19/((1/1000)*(up_Irr!AE19)),IF(AND(up_Irr!F19&lt;&gt;".",up_Irr!AE19=".",up_Irr!BD19="."),up_dir!G19/((1/1000)*(up_Irr!F19)),IF(AND(up_Irr!F19=".",up_Irr!AE19=".",up_Irr!BD19="."),up_dir!G19*1000)))))))),".")</f>
        <v>6.5773651144152131E-4</v>
      </c>
      <c r="H19" s="70">
        <f>IFERROR(IF(AND(up_Irr!G19&lt;&gt;".",up_Irr!AF19&lt;&gt;".",up_Irr!BE19&lt;&gt;"."),up_dir!H19/((1/1000)*(up_Irr!G19+up_Irr!AF19+up_Irr!BE19)),IF(AND(up_Irr!G19&lt;&gt;".",up_Irr!AF19&lt;&gt;".",up_Irr!BE19="."),up_dir!H19/((1/1000)*(up_Irr!G19+up_Irr!AF19)),IF(AND(up_Irr!G19&lt;&gt;".",up_Irr!AF19=".",up_Irr!BE19&lt;&gt;"."),up_dir!H19/((1/1000)*(up_Irr!G19+up_Irr!BE19)),IF(AND(up_Irr!G19=".",up_Irr!AF19&lt;&gt;".",up_Irr!BE19&lt;&gt;"."),up_dir!H19/((1/1000)*(up_Irr!AF19+up_Irr!BE19)),IF(AND(up_Irr!G19=".",up_Irr!AF19=".",up_Irr!BE19&lt;&gt;"."),up_dir!H19/((1/1000)*(up_Irr!BE19)),IF(AND(up_Irr!G19=".",up_Irr!AF19&lt;&gt;".",up_Irr!BE19="."),up_dir!H19/((1/1000)*(up_Irr!AF19)),IF(AND(up_Irr!G19&lt;&gt;".",up_Irr!AF19=".",up_Irr!BE19="."),up_dir!H19/((1/1000)*(up_Irr!G19)),IF(AND(up_Irr!G19=".",up_Irr!AF19=".",up_Irr!BE19="."),up_dir!H19*1000)))))))),".")</f>
        <v>6.5773651144152131E-4</v>
      </c>
      <c r="I19" s="70">
        <f>IFERROR(IF(AND(up_Irr!H19&lt;&gt;".",up_Irr!AG19&lt;&gt;".",up_Irr!BF19&lt;&gt;"."),up_dir!I19/((1/1000)*(up_Irr!H19+up_Irr!AG19+up_Irr!BF19)),IF(AND(up_Irr!H19&lt;&gt;".",up_Irr!AG19&lt;&gt;".",up_Irr!BF19="."),up_dir!I19/((1/1000)*(up_Irr!H19+up_Irr!AG19)),IF(AND(up_Irr!H19&lt;&gt;".",up_Irr!AG19=".",up_Irr!BF19&lt;&gt;"."),up_dir!I19/((1/1000)*(up_Irr!H19+up_Irr!BF19)),IF(AND(up_Irr!H19=".",up_Irr!AG19&lt;&gt;".",up_Irr!BF19&lt;&gt;"."),up_dir!I19/((1/1000)*(up_Irr!AG19+up_Irr!BF19)),IF(AND(up_Irr!H19=".",up_Irr!AG19=".",up_Irr!BF19&lt;&gt;"."),up_dir!I19/((1/1000)*(up_Irr!BF19)),IF(AND(up_Irr!H19=".",up_Irr!AG19&lt;&gt;".",up_Irr!BF19="."),up_dir!I19/((1/1000)*(up_Irr!AG19)),IF(AND(up_Irr!H19&lt;&gt;".",up_Irr!AG19=".",up_Irr!BF19="."),up_dir!I19/((1/1000)*(up_Irr!H19)),IF(AND(up_Irr!H19=".",up_Irr!AG19=".",up_Irr!BF19="."),up_dir!I19*1000)))))))),".")</f>
        <v>6.5773651144152131E-4</v>
      </c>
      <c r="J19" s="70">
        <f>IFERROR(IF(AND(up_Irr!I19&lt;&gt;".",up_Irr!AH19&lt;&gt;".",up_Irr!BG19&lt;&gt;"."),up_dir!J19/((1/1000)*(up_Irr!I19+up_Irr!AH19+up_Irr!BG19)),IF(AND(up_Irr!I19&lt;&gt;".",up_Irr!AH19&lt;&gt;".",up_Irr!BG19="."),up_dir!J19/((1/1000)*(up_Irr!I19+up_Irr!AH19)),IF(AND(up_Irr!I19&lt;&gt;".",up_Irr!AH19=".",up_Irr!BG19&lt;&gt;"."),up_dir!J19/((1/1000)*(up_Irr!I19+up_Irr!BG19)),IF(AND(up_Irr!I19=".",up_Irr!AH19&lt;&gt;".",up_Irr!BG19&lt;&gt;"."),up_dir!J19/((1/1000)*(up_Irr!AH19+up_Irr!BG19)),IF(AND(up_Irr!I19=".",up_Irr!AH19=".",up_Irr!BG19&lt;&gt;"."),up_dir!J19/((1/1000)*(up_Irr!BG19)),IF(AND(up_Irr!I19=".",up_Irr!AH19&lt;&gt;".",up_Irr!BG19="."),up_dir!J19/((1/1000)*(up_Irr!AH19)),IF(AND(up_Irr!I19&lt;&gt;".",up_Irr!AH19=".",up_Irr!BG19="."),up_dir!J19/((1/1000)*(up_Irr!I19)),IF(AND(up_Irr!I19=".",up_Irr!AH19=".",up_Irr!BG19="."),up_dir!J19*1000)))))))),".")</f>
        <v>6.5773651144152131E-4</v>
      </c>
      <c r="K19" s="70">
        <f>IFERROR(IF(AND(up_Irr!J19&lt;&gt;".",up_Irr!AI19&lt;&gt;".",up_Irr!BH19&lt;&gt;"."),up_dir!K19/((1/1000)*(up_Irr!J19+up_Irr!AI19+up_Irr!BH19)),IF(AND(up_Irr!J19&lt;&gt;".",up_Irr!AI19&lt;&gt;".",up_Irr!BH19="."),up_dir!K19/((1/1000)*(up_Irr!J19+up_Irr!AI19)),IF(AND(up_Irr!J19&lt;&gt;".",up_Irr!AI19=".",up_Irr!BH19&lt;&gt;"."),up_dir!K19/((1/1000)*(up_Irr!J19+up_Irr!BH19)),IF(AND(up_Irr!J19=".",up_Irr!AI19&lt;&gt;".",up_Irr!BH19&lt;&gt;"."),up_dir!K19/((1/1000)*(up_Irr!AI19+up_Irr!BH19)),IF(AND(up_Irr!J19=".",up_Irr!AI19=".",up_Irr!BH19&lt;&gt;"."),up_dir!K19/((1/1000)*(up_Irr!BH19)),IF(AND(up_Irr!J19=".",up_Irr!AI19&lt;&gt;".",up_Irr!BH19="."),up_dir!K19/((1/1000)*(up_Irr!AI19)),IF(AND(up_Irr!J19&lt;&gt;".",up_Irr!AI19=".",up_Irr!BH19="."),up_dir!K19/((1/1000)*(up_Irr!J19)),IF(AND(up_Irr!J19=".",up_Irr!AI19=".",up_Irr!BH19="."),up_dir!K19*1000)))))))),".")</f>
        <v>6.5773651144152131E-4</v>
      </c>
      <c r="L19" s="70">
        <f>IFERROR(IF(AND(up_Irr!K19&lt;&gt;".",up_Irr!AJ19&lt;&gt;".",up_Irr!BI19&lt;&gt;"."),up_dir!L19/((1/1000)*(up_Irr!K19+up_Irr!AJ19+up_Irr!BI19)),IF(AND(up_Irr!K19&lt;&gt;".",up_Irr!AJ19&lt;&gt;".",up_Irr!BI19="."),up_dir!L19/((1/1000)*(up_Irr!K19+up_Irr!AJ19)),IF(AND(up_Irr!K19&lt;&gt;".",up_Irr!AJ19=".",up_Irr!BI19&lt;&gt;"."),up_dir!L19/((1/1000)*(up_Irr!K19+up_Irr!BI19)),IF(AND(up_Irr!K19=".",up_Irr!AJ19&lt;&gt;".",up_Irr!BI19&lt;&gt;"."),up_dir!L19/((1/1000)*(up_Irr!AJ19+up_Irr!BI19)),IF(AND(up_Irr!K19=".",up_Irr!AJ19=".",up_Irr!BI19&lt;&gt;"."),up_dir!L19/((1/1000)*(up_Irr!BI19)),IF(AND(up_Irr!K19=".",up_Irr!AJ19&lt;&gt;".",up_Irr!BI19="."),up_dir!L19/((1/1000)*(up_Irr!AJ19)),IF(AND(up_Irr!K19&lt;&gt;".",up_Irr!AJ19=".",up_Irr!BI19="."),up_dir!L19/((1/1000)*(up_Irr!K19)),IF(AND(up_Irr!K19=".",up_Irr!AJ19=".",up_Irr!BI19="."),up_dir!L19*1000)))))))),".")</f>
        <v>6.5773651144152131E-4</v>
      </c>
      <c r="M19" s="70">
        <f>IFERROR(IF(AND(up_Irr!L19&lt;&gt;".",up_Irr!AK19&lt;&gt;".",up_Irr!BJ19&lt;&gt;"."),up_dir!M19/((1/1000)*(up_Irr!L19+up_Irr!AK19+up_Irr!BJ19)),IF(AND(up_Irr!L19&lt;&gt;".",up_Irr!AK19&lt;&gt;".",up_Irr!BJ19="."),up_dir!M19/((1/1000)*(up_Irr!L19+up_Irr!AK19)),IF(AND(up_Irr!L19&lt;&gt;".",up_Irr!AK19=".",up_Irr!BJ19&lt;&gt;"."),up_dir!M19/((1/1000)*(up_Irr!L19+up_Irr!BJ19)),IF(AND(up_Irr!L19=".",up_Irr!AK19&lt;&gt;".",up_Irr!BJ19&lt;&gt;"."),up_dir!M19/((1/1000)*(up_Irr!AK19+up_Irr!BJ19)),IF(AND(up_Irr!L19=".",up_Irr!AK19=".",up_Irr!BJ19&lt;&gt;"."),up_dir!M19/((1/1000)*(up_Irr!BJ19)),IF(AND(up_Irr!L19=".",up_Irr!AK19&lt;&gt;".",up_Irr!BJ19="."),up_dir!M19/((1/1000)*(up_Irr!AK19)),IF(AND(up_Irr!L19&lt;&gt;".",up_Irr!AK19=".",up_Irr!BJ19="."),up_dir!M19/((1/1000)*(up_Irr!L19)),IF(AND(up_Irr!L19=".",up_Irr!AK19=".",up_Irr!BJ19="."),up_dir!M19*1000)))))))),".")</f>
        <v>6.5773651144152131E-4</v>
      </c>
      <c r="N19" s="70">
        <f>IFERROR(IF(AND(up_Irr!M19&lt;&gt;".",up_Irr!AL19&lt;&gt;".",up_Irr!BK19&lt;&gt;"."),up_dir!N19/((1/1000)*(up_Irr!M19+up_Irr!AL19+up_Irr!BK19)),IF(AND(up_Irr!M19&lt;&gt;".",up_Irr!AL19&lt;&gt;".",up_Irr!BK19="."),up_dir!N19/((1/1000)*(up_Irr!M19+up_Irr!AL19)),IF(AND(up_Irr!M19&lt;&gt;".",up_Irr!AL19=".",up_Irr!BK19&lt;&gt;"."),up_dir!N19/((1/1000)*(up_Irr!M19+up_Irr!BK19)),IF(AND(up_Irr!M19=".",up_Irr!AL19&lt;&gt;".",up_Irr!BK19&lt;&gt;"."),up_dir!N19/((1/1000)*(up_Irr!AL19+up_Irr!BK19)),IF(AND(up_Irr!M19=".",up_Irr!AL19=".",up_Irr!BK19&lt;&gt;"."),up_dir!N19/((1/1000)*(up_Irr!BK19)),IF(AND(up_Irr!M19=".",up_Irr!AL19&lt;&gt;".",up_Irr!BK19="."),up_dir!N19/((1/1000)*(up_Irr!AL19)),IF(AND(up_Irr!M19&lt;&gt;".",up_Irr!AL19=".",up_Irr!BK19="."),up_dir!N19/((1/1000)*(up_Irr!M19)),IF(AND(up_Irr!M19=".",up_Irr!AL19=".",up_Irr!BK19="."),up_dir!N19*1000)))))))),".")</f>
        <v>6.5773651144152131E-4</v>
      </c>
      <c r="O19" s="70">
        <f>IFERROR(IF(AND(up_Irr!N19&lt;&gt;".",up_Irr!AM19&lt;&gt;".",up_Irr!BL19&lt;&gt;"."),up_dir!O19/((1/1000)*(up_Irr!N19+up_Irr!AM19+up_Irr!BL19)),IF(AND(up_Irr!N19&lt;&gt;".",up_Irr!AM19&lt;&gt;".",up_Irr!BL19="."),up_dir!O19/((1/1000)*(up_Irr!N19+up_Irr!AM19)),IF(AND(up_Irr!N19&lt;&gt;".",up_Irr!AM19=".",up_Irr!BL19&lt;&gt;"."),up_dir!O19/((1/1000)*(up_Irr!N19+up_Irr!BL19)),IF(AND(up_Irr!N19=".",up_Irr!AM19&lt;&gt;".",up_Irr!BL19&lt;&gt;"."),up_dir!O19/((1/1000)*(up_Irr!AM19+up_Irr!BL19)),IF(AND(up_Irr!N19=".",up_Irr!AM19=".",up_Irr!BL19&lt;&gt;"."),up_dir!O19/((1/1000)*(up_Irr!BL19)),IF(AND(up_Irr!N19=".",up_Irr!AM19&lt;&gt;".",up_Irr!BL19="."),up_dir!O19/((1/1000)*(up_Irr!AM19)),IF(AND(up_Irr!N19&lt;&gt;".",up_Irr!AM19=".",up_Irr!BL19="."),up_dir!O19/((1/1000)*(up_Irr!N19)),IF(AND(up_Irr!N19=".",up_Irr!AM19=".",up_Irr!BL19="."),up_dir!O19*1000)))))))),".")</f>
        <v>6.5773651144152131E-4</v>
      </c>
      <c r="P19" s="70">
        <f>IFERROR(IF(AND(up_Irr!O19&lt;&gt;".",up_Irr!AN19&lt;&gt;".",up_Irr!BM19&lt;&gt;"."),up_dir!P19/((1/1000)*(up_Irr!O19+up_Irr!AN19+up_Irr!BM19)),IF(AND(up_Irr!O19&lt;&gt;".",up_Irr!AN19&lt;&gt;".",up_Irr!BM19="."),up_dir!P19/((1/1000)*(up_Irr!O19+up_Irr!AN19)),IF(AND(up_Irr!O19&lt;&gt;".",up_Irr!AN19=".",up_Irr!BM19&lt;&gt;"."),up_dir!P19/((1/1000)*(up_Irr!O19+up_Irr!BM19)),IF(AND(up_Irr!O19=".",up_Irr!AN19&lt;&gt;".",up_Irr!BM19&lt;&gt;"."),up_dir!P19/((1/1000)*(up_Irr!AN19+up_Irr!BM19)),IF(AND(up_Irr!O19=".",up_Irr!AN19=".",up_Irr!BM19&lt;&gt;"."),up_dir!P19/((1/1000)*(up_Irr!BM19)),IF(AND(up_Irr!O19=".",up_Irr!AN19&lt;&gt;".",up_Irr!BM19="."),up_dir!P19/((1/1000)*(up_Irr!AN19)),IF(AND(up_Irr!O19&lt;&gt;".",up_Irr!AN19=".",up_Irr!BM19="."),up_dir!P19/((1/1000)*(up_Irr!O19)),IF(AND(up_Irr!O19=".",up_Irr!AN19=".",up_Irr!BM19="."),up_dir!P19*1000)))))))),".")</f>
        <v>6.5773651144152131E-4</v>
      </c>
      <c r="Q19" s="70">
        <f>IFERROR(IF(AND(up_Irr!P19&lt;&gt;".",up_Irr!AO19&lt;&gt;".",up_Irr!BN19&lt;&gt;"."),up_dir!Q19/((1/1000)*(up_Irr!P19+up_Irr!AO19+up_Irr!BN19)),IF(AND(up_Irr!P19&lt;&gt;".",up_Irr!AO19&lt;&gt;".",up_Irr!BN19="."),up_dir!Q19/((1/1000)*(up_Irr!P19+up_Irr!AO19)),IF(AND(up_Irr!P19&lt;&gt;".",up_Irr!AO19=".",up_Irr!BN19&lt;&gt;"."),up_dir!Q19/((1/1000)*(up_Irr!P19+up_Irr!BN19)),IF(AND(up_Irr!P19=".",up_Irr!AO19&lt;&gt;".",up_Irr!BN19&lt;&gt;"."),up_dir!Q19/((1/1000)*(up_Irr!AO19+up_Irr!BN19)),IF(AND(up_Irr!P19=".",up_Irr!AO19=".",up_Irr!BN19&lt;&gt;"."),up_dir!Q19/((1/1000)*(up_Irr!BN19)),IF(AND(up_Irr!P19=".",up_Irr!AO19&lt;&gt;".",up_Irr!BN19="."),up_dir!Q19/((1/1000)*(up_Irr!AO19)),IF(AND(up_Irr!P19&lt;&gt;".",up_Irr!AO19=".",up_Irr!BN19="."),up_dir!Q19/((1/1000)*(up_Irr!P19)),IF(AND(up_Irr!P19=".",up_Irr!AO19=".",up_Irr!BN19="."),up_dir!Q19*1000)))))))),".")</f>
        <v>6.5773651144152131E-4</v>
      </c>
      <c r="R19" s="70">
        <f>IFERROR(IF(AND(up_Irr!Q19&lt;&gt;".",up_Irr!AP19&lt;&gt;".",up_Irr!BO19&lt;&gt;"."),up_dir!R19/((1/1000)*(up_Irr!Q19+up_Irr!AP19+up_Irr!BO19)),IF(AND(up_Irr!Q19&lt;&gt;".",up_Irr!AP19&lt;&gt;".",up_Irr!BO19="."),up_dir!R19/((1/1000)*(up_Irr!Q19+up_Irr!AP19)),IF(AND(up_Irr!Q19&lt;&gt;".",up_Irr!AP19=".",up_Irr!BO19&lt;&gt;"."),up_dir!R19/((1/1000)*(up_Irr!Q19+up_Irr!BO19)),IF(AND(up_Irr!Q19=".",up_Irr!AP19&lt;&gt;".",up_Irr!BO19&lt;&gt;"."),up_dir!R19/((1/1000)*(up_Irr!AP19+up_Irr!BO19)),IF(AND(up_Irr!Q19=".",up_Irr!AP19=".",up_Irr!BO19&lt;&gt;"."),up_dir!R19/((1/1000)*(up_Irr!BO19)),IF(AND(up_Irr!Q19=".",up_Irr!AP19&lt;&gt;".",up_Irr!BO19="."),up_dir!R19/((1/1000)*(up_Irr!AP19)),IF(AND(up_Irr!Q19&lt;&gt;".",up_Irr!AP19=".",up_Irr!BO19="."),up_dir!R19/((1/1000)*(up_Irr!Q19)),IF(AND(up_Irr!Q19=".",up_Irr!AP19=".",up_Irr!BO19="."),up_dir!R19*1000)))))))),".")</f>
        <v>6.5773651144152131E-4</v>
      </c>
      <c r="S19" s="70">
        <f>IFERROR(IF(AND(up_Irr!R19&lt;&gt;".",up_Irr!AQ19&lt;&gt;".",up_Irr!BP19&lt;&gt;"."),up_dir!S19/((1/1000)*(up_Irr!R19+up_Irr!AQ19+up_Irr!BP19)),IF(AND(up_Irr!R19&lt;&gt;".",up_Irr!AQ19&lt;&gt;".",up_Irr!BP19="."),up_dir!S19/((1/1000)*(up_Irr!R19+up_Irr!AQ19)),IF(AND(up_Irr!R19&lt;&gt;".",up_Irr!AQ19=".",up_Irr!BP19&lt;&gt;"."),up_dir!S19/((1/1000)*(up_Irr!R19+up_Irr!BP19)),IF(AND(up_Irr!R19=".",up_Irr!AQ19&lt;&gt;".",up_Irr!BP19&lt;&gt;"."),up_dir!S19/((1/1000)*(up_Irr!AQ19+up_Irr!BP19)),IF(AND(up_Irr!R19=".",up_Irr!AQ19=".",up_Irr!BP19&lt;&gt;"."),up_dir!S19/((1/1000)*(up_Irr!BP19)),IF(AND(up_Irr!R19=".",up_Irr!AQ19&lt;&gt;".",up_Irr!BP19="."),up_dir!S19/((1/1000)*(up_Irr!AQ19)),IF(AND(up_Irr!R19&lt;&gt;".",up_Irr!AQ19=".",up_Irr!BP19="."),up_dir!S19/((1/1000)*(up_Irr!R19)),IF(AND(up_Irr!R19=".",up_Irr!AQ19=".",up_Irr!BP19="."),up_dir!S19*1000)))))))),".")</f>
        <v>6.5773651144152131E-4</v>
      </c>
      <c r="T19" s="70">
        <f>IFERROR(IF(AND(up_Irr!S19&lt;&gt;".",up_Irr!AR19&lt;&gt;".",up_Irr!BQ19&lt;&gt;"."),up_dir!T19/((1/1000)*(up_Irr!S19+up_Irr!AR19+up_Irr!BQ19)),IF(AND(up_Irr!S19&lt;&gt;".",up_Irr!AR19&lt;&gt;".",up_Irr!BQ19="."),up_dir!T19/((1/1000)*(up_Irr!S19+up_Irr!AR19)),IF(AND(up_Irr!S19&lt;&gt;".",up_Irr!AR19=".",up_Irr!BQ19&lt;&gt;"."),up_dir!T19/((1/1000)*(up_Irr!S19+up_Irr!BQ19)),IF(AND(up_Irr!S19=".",up_Irr!AR19&lt;&gt;".",up_Irr!BQ19&lt;&gt;"."),up_dir!T19/((1/1000)*(up_Irr!AR19+up_Irr!BQ19)),IF(AND(up_Irr!S19=".",up_Irr!AR19=".",up_Irr!BQ19&lt;&gt;"."),up_dir!T19/((1/1000)*(up_Irr!BQ19)),IF(AND(up_Irr!S19=".",up_Irr!AR19&lt;&gt;".",up_Irr!BQ19="."),up_dir!T19/((1/1000)*(up_Irr!AR19)),IF(AND(up_Irr!S19&lt;&gt;".",up_Irr!AR19=".",up_Irr!BQ19="."),up_dir!T19/((1/1000)*(up_Irr!S19)),IF(AND(up_Irr!S19=".",up_Irr!AR19=".",up_Irr!BQ19="."),up_dir!T19*1000)))))))),".")</f>
        <v>6.5773651144152131E-4</v>
      </c>
      <c r="U19" s="70">
        <f>IFERROR(IF(AND(up_Irr!T19&lt;&gt;".",up_Irr!AS19&lt;&gt;".",up_Irr!BR19&lt;&gt;"."),up_dir!U19/((1/1000)*(up_Irr!T19+up_Irr!AS19+up_Irr!BR19)),IF(AND(up_Irr!T19&lt;&gt;".",up_Irr!AS19&lt;&gt;".",up_Irr!BR19="."),up_dir!U19/((1/1000)*(up_Irr!T19+up_Irr!AS19)),IF(AND(up_Irr!T19&lt;&gt;".",up_Irr!AS19=".",up_Irr!BR19&lt;&gt;"."),up_dir!U19/((1/1000)*(up_Irr!T19+up_Irr!BR19)),IF(AND(up_Irr!T19=".",up_Irr!AS19&lt;&gt;".",up_Irr!BR19&lt;&gt;"."),up_dir!U19/((1/1000)*(up_Irr!AS19+up_Irr!BR19)),IF(AND(up_Irr!T19=".",up_Irr!AS19=".",up_Irr!BR19&lt;&gt;"."),up_dir!U19/((1/1000)*(up_Irr!BR19)),IF(AND(up_Irr!T19=".",up_Irr!AS19&lt;&gt;".",up_Irr!BR19="."),up_dir!U19/((1/1000)*(up_Irr!AS19)),IF(AND(up_Irr!T19&lt;&gt;".",up_Irr!AS19=".",up_Irr!BR19="."),up_dir!U19/((1/1000)*(up_Irr!T19)),IF(AND(up_Irr!T19=".",up_Irr!AS19=".",up_Irr!BR19="."),up_dir!U19*1000)))))))),".")</f>
        <v>6.5773651144152131E-4</v>
      </c>
      <c r="V19" s="70">
        <f>IFERROR(IF(AND(up_Irr!U19&lt;&gt;".",up_Irr!AT19&lt;&gt;".",up_Irr!BS19&lt;&gt;"."),up_dir!V19/((1/1000)*(up_Irr!U19+up_Irr!AT19+up_Irr!BS19)),IF(AND(up_Irr!U19&lt;&gt;".",up_Irr!AT19&lt;&gt;".",up_Irr!BS19="."),up_dir!V19/((1/1000)*(up_Irr!U19+up_Irr!AT19)),IF(AND(up_Irr!U19&lt;&gt;".",up_Irr!AT19=".",up_Irr!BS19&lt;&gt;"."),up_dir!V19/((1/1000)*(up_Irr!U19+up_Irr!BS19)),IF(AND(up_Irr!U19=".",up_Irr!AT19&lt;&gt;".",up_Irr!BS19&lt;&gt;"."),up_dir!V19/((1/1000)*(up_Irr!AT19+up_Irr!BS19)),IF(AND(up_Irr!U19=".",up_Irr!AT19=".",up_Irr!BS19&lt;&gt;"."),up_dir!V19/((1/1000)*(up_Irr!BS19)),IF(AND(up_Irr!U19=".",up_Irr!AT19&lt;&gt;".",up_Irr!BS19="."),up_dir!V19/((1/1000)*(up_Irr!AT19)),IF(AND(up_Irr!U19&lt;&gt;".",up_Irr!AT19=".",up_Irr!BS19="."),up_dir!V19/((1/1000)*(up_Irr!U19)),IF(AND(up_Irr!U19=".",up_Irr!AT19=".",up_Irr!BS19="."),up_dir!V19*1000)))))))),".")</f>
        <v>6.5773651144152131E-4</v>
      </c>
      <c r="W19" s="70">
        <f>IFERROR(IF(AND(up_Irr!V19&lt;&gt;".",up_Irr!AU19&lt;&gt;".",up_Irr!BT19&lt;&gt;"."),up_dir!W19/((1/1000)*(up_Irr!V19+up_Irr!AU19+up_Irr!BT19)),IF(AND(up_Irr!V19&lt;&gt;".",up_Irr!AU19&lt;&gt;".",up_Irr!BT19="."),up_dir!W19/((1/1000)*(up_Irr!V19+up_Irr!AU19)),IF(AND(up_Irr!V19&lt;&gt;".",up_Irr!AU19=".",up_Irr!BT19&lt;&gt;"."),up_dir!W19/((1/1000)*(up_Irr!V19+up_Irr!BT19)),IF(AND(up_Irr!V19=".",up_Irr!AU19&lt;&gt;".",up_Irr!BT19&lt;&gt;"."),up_dir!W19/((1/1000)*(up_Irr!AU19+up_Irr!BT19)),IF(AND(up_Irr!V19=".",up_Irr!AU19=".",up_Irr!BT19&lt;&gt;"."),up_dir!W19/((1/1000)*(up_Irr!BT19)),IF(AND(up_Irr!V19=".",up_Irr!AU19&lt;&gt;".",up_Irr!BT19="."),up_dir!W19/((1/1000)*(up_Irr!AU19)),IF(AND(up_Irr!V19&lt;&gt;".",up_Irr!AU19=".",up_Irr!BT19="."),up_dir!W19/((1/1000)*(up_Irr!V19)),IF(AND(up_Irr!V19=".",up_Irr!AU19=".",up_Irr!BT19="."),up_dir!W19*1000)))))))),".")</f>
        <v>6.5773651144152131E-4</v>
      </c>
      <c r="X19" s="70">
        <f>IFERROR(IF(AND(up_Irr!W19&lt;&gt;".",up_Irr!AV19&lt;&gt;".",up_Irr!BU19&lt;&gt;"."),up_dir!X19/((1/1000)*(up_Irr!W19+up_Irr!AV19+up_Irr!BU19)),IF(AND(up_Irr!W19&lt;&gt;".",up_Irr!AV19&lt;&gt;".",up_Irr!BU19="."),up_dir!X19/((1/1000)*(up_Irr!W19+up_Irr!AV19)),IF(AND(up_Irr!W19&lt;&gt;".",up_Irr!AV19=".",up_Irr!BU19&lt;&gt;"."),up_dir!X19/((1/1000)*(up_Irr!W19+up_Irr!BU19)),IF(AND(up_Irr!W19=".",up_Irr!AV19&lt;&gt;".",up_Irr!BU19&lt;&gt;"."),up_dir!X19/((1/1000)*(up_Irr!AV19+up_Irr!BU19)),IF(AND(up_Irr!W19=".",up_Irr!AV19=".",up_Irr!BU19&lt;&gt;"."),up_dir!X19/((1/1000)*(up_Irr!BU19)),IF(AND(up_Irr!W19=".",up_Irr!AV19&lt;&gt;".",up_Irr!BU19="."),up_dir!X19/((1/1000)*(up_Irr!AV19)),IF(AND(up_Irr!W19&lt;&gt;".",up_Irr!AV19=".",up_Irr!BU19="."),up_dir!X19/((1/1000)*(up_Irr!W19)),IF(AND(up_Irr!W19=".",up_Irr!AV19=".",up_Irr!BU19="."),up_dir!X19*1000)))))))),".")</f>
        <v>6.5773651144152131E-4</v>
      </c>
      <c r="Y19" s="70">
        <f>IFERROR(IF(AND(up_Irr!X19&lt;&gt;".",up_Irr!AW19&lt;&gt;".",up_Irr!BV19&lt;&gt;"."),up_dir!Y19/((1/1000)*(up_Irr!X19+up_Irr!AW19+up_Irr!BV19)),IF(AND(up_Irr!X19&lt;&gt;".",up_Irr!AW19&lt;&gt;".",up_Irr!BV19="."),up_dir!Y19/((1/1000)*(up_Irr!X19+up_Irr!AW19)),IF(AND(up_Irr!X19&lt;&gt;".",up_Irr!AW19=".",up_Irr!BV19&lt;&gt;"."),up_dir!Y19/((1/1000)*(up_Irr!X19+up_Irr!BV19)),IF(AND(up_Irr!X19=".",up_Irr!AW19&lt;&gt;".",up_Irr!BV19&lt;&gt;"."),up_dir!Y19/((1/1000)*(up_Irr!AW19+up_Irr!BV19)),IF(AND(up_Irr!X19=".",up_Irr!AW19=".",up_Irr!BV19&lt;&gt;"."),up_dir!Y19/((1/1000)*(up_Irr!BV19)),IF(AND(up_Irr!X19=".",up_Irr!AW19&lt;&gt;".",up_Irr!BV19="."),up_dir!Y19/((1/1000)*(up_Irr!AW19)),IF(AND(up_Irr!X19&lt;&gt;".",up_Irr!AW19=".",up_Irr!BV19="."),up_dir!Y19/((1/1000)*(up_Irr!X19)),IF(AND(up_Irr!X19=".",up_Irr!AW19=".",up_Irr!BV19="."),up_dir!Y19*1000)))))))),".")</f>
        <v>6.5773651144152131E-4</v>
      </c>
      <c r="Z19" s="70">
        <f>IFERROR(IF(AND(up_Irr!Y19&lt;&gt;".",up_Irr!AX19&lt;&gt;".",up_Irr!BW19&lt;&gt;"."),up_dir!Z19/((1/1000)*(up_Irr!Y19+up_Irr!AX19+up_Irr!BW19)),IF(AND(up_Irr!Y19&lt;&gt;".",up_Irr!AX19&lt;&gt;".",up_Irr!BW19="."),up_dir!Z19/((1/1000)*(up_Irr!Y19+up_Irr!AX19)),IF(AND(up_Irr!Y19&lt;&gt;".",up_Irr!AX19=".",up_Irr!BW19&lt;&gt;"."),up_dir!Z19/((1/1000)*(up_Irr!Y19+up_Irr!BW19)),IF(AND(up_Irr!Y19=".",up_Irr!AX19&lt;&gt;".",up_Irr!BW19&lt;&gt;"."),up_dir!Z19/((1/1000)*(up_Irr!AX19+up_Irr!BW19)),IF(AND(up_Irr!Y19=".",up_Irr!AX19=".",up_Irr!BW19&lt;&gt;"."),up_dir!Z19/((1/1000)*(up_Irr!BW19)),IF(AND(up_Irr!Y19=".",up_Irr!AX19&lt;&gt;".",up_Irr!BW19="."),up_dir!Z19/((1/1000)*(up_Irr!AX19)),IF(AND(up_Irr!Y19&lt;&gt;".",up_Irr!AX19=".",up_Irr!BW19="."),up_dir!Z19/((1/1000)*(up_Irr!Y19)),IF(AND(up_Irr!Y19=".",up_Irr!AX19=".",up_Irr!BW19="."),up_dir!Z19*1000)))))))),".")</f>
        <v>6.5773651144152131E-4</v>
      </c>
      <c r="AA19" s="70">
        <f>IFERROR(IF(AND(up_Irr!Z19&lt;&gt;".",up_Irr!AY19&lt;&gt;".",up_Irr!BX19&lt;&gt;"."),up_dir!AA19/((1/1000)*(up_Irr!Z19+up_Irr!AY19+up_Irr!BX19)),IF(AND(up_Irr!Z19&lt;&gt;".",up_Irr!AY19&lt;&gt;".",up_Irr!BX19="."),up_dir!AA19/((1/1000)*(up_Irr!Z19+up_Irr!AY19)),IF(AND(up_Irr!Z19&lt;&gt;".",up_Irr!AY19=".",up_Irr!BX19&lt;&gt;"."),up_dir!AA19/((1/1000)*(up_Irr!Z19+up_Irr!BX19)),IF(AND(up_Irr!Z19=".",up_Irr!AY19&lt;&gt;".",up_Irr!BX19&lt;&gt;"."),up_dir!AA19/((1/1000)*(up_Irr!AY19+up_Irr!BX19)),IF(AND(up_Irr!Z19=".",up_Irr!AY19=".",up_Irr!BX19&lt;&gt;"."),up_dir!AA19/((1/1000)*(up_Irr!BX19)),IF(AND(up_Irr!Z19=".",up_Irr!AY19&lt;&gt;".",up_Irr!BX19="."),up_dir!AA19/((1/1000)*(up_Irr!AY19)),IF(AND(up_Irr!Z19&lt;&gt;".",up_Irr!AY19=".",up_Irr!BX19="."),up_dir!AA19/((1/1000)*(up_Irr!Z19)),IF(AND(up_Irr!Z19=".",up_Irr!AY19=".",up_Irr!BX19="."),up_dir!AA19*1000)))))))),".")</f>
        <v>6.5773651144152131E-4</v>
      </c>
      <c r="AB19" s="70">
        <f>IFERROR(IF(AND(up_Irr!AA19&lt;&gt;".",up_Irr!AZ19&lt;&gt;".",up_Irr!BY19&lt;&gt;"."),up_dir!AB19/((1/1000)*(up_Irr!AA19+up_Irr!AZ19+up_Irr!BY19)),IF(AND(up_Irr!AA19&lt;&gt;".",up_Irr!AZ19&lt;&gt;".",up_Irr!BY19="."),up_dir!AB19/((1/1000)*(up_Irr!AA19+up_Irr!AZ19)),IF(AND(up_Irr!AA19&lt;&gt;".",up_Irr!AZ19=".",up_Irr!BY19&lt;&gt;"."),up_dir!AB19/((1/1000)*(up_Irr!AA19+up_Irr!BY19)),IF(AND(up_Irr!AA19=".",up_Irr!AZ19&lt;&gt;".",up_Irr!BY19&lt;&gt;"."),up_dir!AB19/((1/1000)*(up_Irr!AZ19+up_Irr!BY19)),IF(AND(up_Irr!AA19=".",up_Irr!AZ19=".",up_Irr!BY19&lt;&gt;"."),up_dir!AB19/((1/1000)*(up_Irr!BY19)),IF(AND(up_Irr!AA19=".",up_Irr!AZ19&lt;&gt;".",up_Irr!BY19="."),up_dir!AB19/((1/1000)*(up_Irr!AZ19)),IF(AND(up_Irr!AA19&lt;&gt;".",up_Irr!AZ19=".",up_Irr!BY19="."),up_dir!AB19/((1/1000)*(up_Irr!AA19)),IF(AND(up_Irr!AA19=".",up_Irr!AZ19=".",up_Irr!BY19="."),up_dir!AB19*1000)))))))),".")</f>
        <v>6.5773651144152131E-4</v>
      </c>
      <c r="AC19" s="87">
        <f t="shared" si="1"/>
        <v>30407.313038114935</v>
      </c>
      <c r="AD19" s="87">
        <f>IFERROR(s_C*s_IFAP_res_adj*s_CF_apple*0.001*(up_Irr!C19+up_Irr!AB19+up_Irr!BA19),".")</f>
        <v>7601.8282595287337</v>
      </c>
      <c r="AE19" s="87">
        <f>IFERROR(s_C*s_IFAS_res_adj*s_CF_asparagus*0.001*(up_Irr!D19+up_Irr!AC19+up_Irr!BB19),".")</f>
        <v>7601.8282595287337</v>
      </c>
      <c r="AF19" s="87">
        <f>IFERROR(s_C*s_IFBT_res_adj*s_CF_beet*0.001*(up_Irr!E19+up_Irr!AD19+up_Irr!BC19),".")</f>
        <v>7601.8282595287337</v>
      </c>
      <c r="AG19" s="87">
        <f>IFERROR(s_C*s_IFBE_res_adj*s_CF_berries*0.001*(up_Irr!F19+up_Irr!AE19+up_Irr!BD19),".")</f>
        <v>7601.8282595287337</v>
      </c>
      <c r="AH19" s="87">
        <f>IFERROR(s_C*s_IFBR_res_adj*s_CF_broccoli*0.001*(up_Irr!G19+up_Irr!AF19+up_Irr!BE19),".")</f>
        <v>7601.8282595287337</v>
      </c>
      <c r="AI19" s="87">
        <f>IFERROR(s_C*s_IFCB_res_adj*s_CF_cabbage*0.001*(up_Irr!H19+up_Irr!AG19+up_Irr!BF19),".")</f>
        <v>7601.8282595287337</v>
      </c>
      <c r="AJ19" s="87">
        <f>IFERROR(s_C*s_IFCR_res_adj*s_CF_carrot*0.001*(up_Irr!I19+up_Irr!AH19+up_Irr!BG19),".")</f>
        <v>7601.8282595287337</v>
      </c>
      <c r="AK19" s="87">
        <f>IFERROR(s_C*s_IFCI_res_adj*s_CF_citrus*0.001*(up_Irr!J19+up_Irr!AI19+up_Irr!BH19),".")</f>
        <v>7601.8282595287337</v>
      </c>
      <c r="AL19" s="87">
        <f>IFERROR(s_C*s_IFCO_res_adj*s_CF_corn*0.001*(up_Irr!K19+up_Irr!AJ19+up_Irr!BI19),".")</f>
        <v>7601.8282595287337</v>
      </c>
      <c r="AM19" s="87">
        <f>IFERROR(s_C*s_IFCU_res_adj*s_CF_cucumber*0.001*(up_Irr!L19+up_Irr!AK19+up_Irr!BJ19),".")</f>
        <v>7601.8282595287337</v>
      </c>
      <c r="AN19" s="87">
        <f>IFERROR(s_C*s_IFLE_res_adj*s_CF_lettuce*0.001*(up_Irr!M19+up_Irr!AL19+up_Irr!BK19),".")</f>
        <v>7601.8282595287337</v>
      </c>
      <c r="AO19" s="87">
        <f>IFERROR(s_C*s_IFLI_res_adj*s_CF_lima_bean*0.001*(up_Irr!N19+up_Irr!AM19+up_Irr!BL19),".")</f>
        <v>7601.8282595287337</v>
      </c>
      <c r="AP19" s="87">
        <f>IFERROR(s_C*s_IFOK_res_adj*s_CF_okra*0.001*(up_Irr!O19+up_Irr!AN19+up_Irr!BM19),".")</f>
        <v>7601.8282595287337</v>
      </c>
      <c r="AQ19" s="87">
        <f>IFERROR(s_C*s_IFON_res_adj*s_CF_onion*0.001*(up_Irr!P19+up_Irr!AO19+up_Irr!BN19),".")</f>
        <v>7601.8282595287337</v>
      </c>
      <c r="AR19" s="87">
        <f>IFERROR(s_C*s_IFPC_res_adj*s_CF_peach*0.001*(up_Irr!Q19+up_Irr!AP19+up_Irr!BO19),".")</f>
        <v>7601.8282595287337</v>
      </c>
      <c r="AS19" s="87">
        <f>IFERROR(s_C*s_IFPR_res_adj*s_CF_pear*0.001*(up_Irr!R19+up_Irr!AQ19+up_Irr!BP19),".")</f>
        <v>7601.8282595287337</v>
      </c>
      <c r="AT19" s="87">
        <f>IFERROR(s_C*s_IFPE_res_adj*s_CF_peas*0.001*(up_Irr!S19+up_Irr!AR19+up_Irr!BQ19),".")</f>
        <v>7601.8282595287337</v>
      </c>
      <c r="AU19" s="87">
        <f>IFERROR(s_C*s_IFPP_res_adj*s_CF_peppers*0.001*(up_Irr!T19+up_Irr!AS19+up_Irr!BR19),".")</f>
        <v>7601.8282595287337</v>
      </c>
      <c r="AV19" s="87">
        <f>IFERROR(s_C*s_IFPT_res_adj*s_CF_potato*0.001*(up_Irr!U19+up_Irr!AT19+up_Irr!BS19),".")</f>
        <v>7601.8282595287337</v>
      </c>
      <c r="AW19" s="87">
        <f>IFERROR(s_C*s_IFPU_res_adj*s_CF_pumpkin*0.001*(up_Irr!V19+up_Irr!AU19+up_Irr!BT19),".")</f>
        <v>7601.8282595287337</v>
      </c>
      <c r="AX19" s="87">
        <f>IFERROR(s_C*s_IFSN_res_adj*s_CF_snap_bean*0.001*(up_Irr!W19+up_Irr!AV19+up_Irr!BU19),".")</f>
        <v>7601.8282595287337</v>
      </c>
      <c r="AY19" s="87">
        <f>IFERROR(s_C*s_IFST_res_adj*s_CF_strawberry*0.001*(up_Irr!X19+up_Irr!AW19+up_Irr!BV19),".")</f>
        <v>7601.8282595287337</v>
      </c>
      <c r="AZ19" s="87">
        <f>IFERROR(s_C*s_IFTO_res_adj*s_CF_tomato*0.001*(up_Irr!Y19+up_Irr!AX19+up_Irr!BW19),".")</f>
        <v>7601.8282595287337</v>
      </c>
      <c r="BA19" s="87">
        <f>IFERROR(s_C*s_IFRI_res_adj*s_CF_rice*0.001*(up_Irr!Z19+up_Irr!AY19+up_Irr!BX19),".")</f>
        <v>7601.8282595287337</v>
      </c>
      <c r="BB19" s="87">
        <f>IFERROR(s_C*s_IFCG_res_adj*s_CF_cereal*0.001*(up_Irr!AA19+up_Irr!AZ19+up_Irr!BY19),".")</f>
        <v>7601.8282595287337</v>
      </c>
      <c r="BC19" s="70">
        <f t="shared" si="2"/>
        <v>1.6443412786038033E-4</v>
      </c>
      <c r="BD19" s="70">
        <f>IFERROR(IF(AND(up_Irr!C19&lt;&gt;".",up_Irr!AB19&lt;&gt;".",up_Irr!BA19&lt;&gt;"."),up_dir!AD19/((1/1000)*(up_Irr!C19+up_Irr!AB19+up_Irr!BA19)),IF(AND(up_Irr!C19&lt;&gt;".",up_Irr!AB19&lt;&gt;".",up_Irr!BA19="."),up_dir!AD19/((1/1000)*(up_Irr!C19+up_Irr!AB19)),IF(AND(up_Irr!C19&lt;&gt;".",up_Irr!AB19=".",up_Irr!BA19&lt;&gt;"."),up_dir!AD19/((1/1000)*(up_Irr!C19+up_Irr!BA19)),IF(AND(up_Irr!C19=".",up_Irr!AB19&lt;&gt;".",up_Irr!BA19&lt;&gt;"."),up_dir!AD19/((1/1000)*(up_Irr!AB19+up_Irr!BA19)),IF(AND(up_Irr!C19=".",up_Irr!AB19=".",up_Irr!BA19&lt;&gt;"."),up_dir!AD19/((1/1000)*(up_Irr!BA19)),IF(AND(up_Irr!C19=".",up_Irr!AB19&lt;&gt;".",up_Irr!BA19="."),up_dir!AD19/((1/1000)*(up_Irr!AB19)),IF(AND(up_Irr!C19&lt;&gt;".",up_Irr!AB19=".",up_Irr!BA19="."),up_dir!AD19/((1/1000)*(up_Irr!C19)),IF(AND(up_Irr!C19=".",up_Irr!AB19=".",up_Irr!BA19="."),up_dir!AD19*1000)))))))),".")</f>
        <v>6.5773651144152131E-4</v>
      </c>
      <c r="BE19" s="70">
        <f>IFERROR(IF(AND(up_Irr!D19&lt;&gt;".",up_Irr!AC19&lt;&gt;".",up_Irr!BB19&lt;&gt;"."),up_dir!AE19/((1/1000)*(up_Irr!D19+up_Irr!AC19+up_Irr!BB19)),IF(AND(up_Irr!D19&lt;&gt;".",up_Irr!AC19&lt;&gt;".",up_Irr!BB19="."),up_dir!AE19/((1/1000)*(up_Irr!D19+up_Irr!AC19)),IF(AND(up_Irr!D19&lt;&gt;".",up_Irr!AC19=".",up_Irr!BB19&lt;&gt;"."),up_dir!AE19/((1/1000)*(up_Irr!D19+up_Irr!BB19)),IF(AND(up_Irr!D19=".",up_Irr!AC19&lt;&gt;".",up_Irr!BB19&lt;&gt;"."),up_dir!AE19/((1/1000)*(up_Irr!AC19+up_Irr!BB19)),IF(AND(up_Irr!D19=".",up_Irr!AC19=".",up_Irr!BB19&lt;&gt;"."),up_dir!AE19/((1/1000)*(up_Irr!BB19)),IF(AND(up_Irr!D19=".",up_Irr!AC19&lt;&gt;".",up_Irr!BB19="."),up_dir!AE19/((1/1000)*(up_Irr!AC19)),IF(AND(up_Irr!D19&lt;&gt;".",up_Irr!AC19=".",up_Irr!BB19="."),up_dir!AE19/((1/1000)*(up_Irr!D19)),IF(AND(up_Irr!D19=".",up_Irr!AC19=".",up_Irr!BB19="."),up_dir!AE19*1000)))))))),".")</f>
        <v>6.5773651144152131E-4</v>
      </c>
      <c r="BF19" s="70">
        <f>IFERROR(IF(AND(up_Irr!E19&lt;&gt;".",up_Irr!AD19&lt;&gt;".",up_Irr!BC19&lt;&gt;"."),up_dir!AF19/((1/1000)*(up_Irr!E19+up_Irr!AD19+up_Irr!BC19)),IF(AND(up_Irr!E19&lt;&gt;".",up_Irr!AD19&lt;&gt;".",up_Irr!BC19="."),up_dir!AF19/((1/1000)*(up_Irr!E19+up_Irr!AD19)),IF(AND(up_Irr!E19&lt;&gt;".",up_Irr!AD19=".",up_Irr!BC19&lt;&gt;"."),up_dir!AF19/((1/1000)*(up_Irr!E19+up_Irr!BC19)),IF(AND(up_Irr!E19=".",up_Irr!AD19&lt;&gt;".",up_Irr!BC19&lt;&gt;"."),up_dir!AF19/((1/1000)*(up_Irr!AD19+up_Irr!BC19)),IF(AND(up_Irr!E19=".",up_Irr!AD19=".",up_Irr!BC19&lt;&gt;"."),up_dir!AF19/((1/1000)*(up_Irr!BC19)),IF(AND(up_Irr!E19=".",up_Irr!AD19&lt;&gt;".",up_Irr!BC19="."),up_dir!AF19/((1/1000)*(up_Irr!AD19)),IF(AND(up_Irr!E19&lt;&gt;".",up_Irr!AD19=".",up_Irr!BC19="."),up_dir!AF19/((1/1000)*(up_Irr!E19)),IF(AND(up_Irr!E19=".",up_Irr!AD19=".",up_Irr!BC19="."),up_dir!AF19*1000)))))))),".")</f>
        <v>6.5773651144152131E-4</v>
      </c>
      <c r="BG19" s="70">
        <f>IFERROR(IF(AND(up_Irr!F19&lt;&gt;".",up_Irr!AE19&lt;&gt;".",up_Irr!BD19&lt;&gt;"."),up_dir!AG19/((1/1000)*(up_Irr!F19+up_Irr!AE19+up_Irr!BD19)),IF(AND(up_Irr!F19&lt;&gt;".",up_Irr!AE19&lt;&gt;".",up_Irr!BD19="."),up_dir!AG19/((1/1000)*(up_Irr!F19+up_Irr!AE19)),IF(AND(up_Irr!F19&lt;&gt;".",up_Irr!AE19=".",up_Irr!BD19&lt;&gt;"."),up_dir!AG19/((1/1000)*(up_Irr!F19+up_Irr!BD19)),IF(AND(up_Irr!F19=".",up_Irr!AE19&lt;&gt;".",up_Irr!BD19&lt;&gt;"."),up_dir!AG19/((1/1000)*(up_Irr!AE19+up_Irr!BD19)),IF(AND(up_Irr!F19=".",up_Irr!AE19=".",up_Irr!BD19&lt;&gt;"."),up_dir!AG19/((1/1000)*(up_Irr!BD19)),IF(AND(up_Irr!F19=".",up_Irr!AE19&lt;&gt;".",up_Irr!BD19="."),up_dir!AG19/((1/1000)*(up_Irr!AE19)),IF(AND(up_Irr!F19&lt;&gt;".",up_Irr!AE19=".",up_Irr!BD19="."),up_dir!AG19/((1/1000)*(up_Irr!F19)),IF(AND(up_Irr!F19=".",up_Irr!AE19=".",up_Irr!BD19="."),up_dir!AG19*1000)))))))),".")</f>
        <v>6.5773651144152131E-4</v>
      </c>
      <c r="BH19" s="70">
        <f>IFERROR(IF(AND(up_Irr!G19&lt;&gt;".",up_Irr!AF19&lt;&gt;".",up_Irr!BE19&lt;&gt;"."),up_dir!AH19/((1/1000)*(up_Irr!G19+up_Irr!AF19+up_Irr!BE19)),IF(AND(up_Irr!G19&lt;&gt;".",up_Irr!AF19&lt;&gt;".",up_Irr!BE19="."),up_dir!AH19/((1/1000)*(up_Irr!G19+up_Irr!AF19)),IF(AND(up_Irr!G19&lt;&gt;".",up_Irr!AF19=".",up_Irr!BE19&lt;&gt;"."),up_dir!AH19/((1/1000)*(up_Irr!G19+up_Irr!BE19)),IF(AND(up_Irr!G19=".",up_Irr!AF19&lt;&gt;".",up_Irr!BE19&lt;&gt;"."),up_dir!AH19/((1/1000)*(up_Irr!AF19+up_Irr!BE19)),IF(AND(up_Irr!G19=".",up_Irr!AF19=".",up_Irr!BE19&lt;&gt;"."),up_dir!AH19/((1/1000)*(up_Irr!BE19)),IF(AND(up_Irr!G19=".",up_Irr!AF19&lt;&gt;".",up_Irr!BE19="."),up_dir!AH19/((1/1000)*(up_Irr!AF19)),IF(AND(up_Irr!G19&lt;&gt;".",up_Irr!AF19=".",up_Irr!BE19="."),up_dir!AH19/((1/1000)*(up_Irr!G19)),IF(AND(up_Irr!G19=".",up_Irr!AF19=".",up_Irr!BE19="."),up_dir!AH19*1000)))))))),".")</f>
        <v>6.5773651144152131E-4</v>
      </c>
      <c r="BI19" s="70">
        <f>IFERROR(IF(AND(up_Irr!H19&lt;&gt;".",up_Irr!AG19&lt;&gt;".",up_Irr!BF19&lt;&gt;"."),up_dir!AI19/((1/1000)*(up_Irr!H19+up_Irr!AG19+up_Irr!BF19)),IF(AND(up_Irr!H19&lt;&gt;".",up_Irr!AG19&lt;&gt;".",up_Irr!BF19="."),up_dir!AI19/((1/1000)*(up_Irr!H19+up_Irr!AG19)),IF(AND(up_Irr!H19&lt;&gt;".",up_Irr!AG19=".",up_Irr!BF19&lt;&gt;"."),up_dir!AI19/((1/1000)*(up_Irr!H19+up_Irr!BF19)),IF(AND(up_Irr!H19=".",up_Irr!AG19&lt;&gt;".",up_Irr!BF19&lt;&gt;"."),up_dir!AI19/((1/1000)*(up_Irr!AG19+up_Irr!BF19)),IF(AND(up_Irr!H19=".",up_Irr!AG19=".",up_Irr!BF19&lt;&gt;"."),up_dir!AI19/((1/1000)*(up_Irr!BF19)),IF(AND(up_Irr!H19=".",up_Irr!AG19&lt;&gt;".",up_Irr!BF19="."),up_dir!AI19/((1/1000)*(up_Irr!AG19)),IF(AND(up_Irr!H19&lt;&gt;".",up_Irr!AG19=".",up_Irr!BF19="."),up_dir!AI19/((1/1000)*(up_Irr!H19)),IF(AND(up_Irr!H19=".",up_Irr!AG19=".",up_Irr!BF19="."),up_dir!AI19*1000)))))))),".")</f>
        <v>6.5773651144152131E-4</v>
      </c>
      <c r="BJ19" s="70">
        <f>IFERROR(IF(AND(up_Irr!I19&lt;&gt;".",up_Irr!AH19&lt;&gt;".",up_Irr!BG19&lt;&gt;"."),up_dir!AJ19/((1/1000)*(up_Irr!I19+up_Irr!AH19+up_Irr!BG19)),IF(AND(up_Irr!I19&lt;&gt;".",up_Irr!AH19&lt;&gt;".",up_Irr!BG19="."),up_dir!AJ19/((1/1000)*(up_Irr!I19+up_Irr!AH19)),IF(AND(up_Irr!I19&lt;&gt;".",up_Irr!AH19=".",up_Irr!BG19&lt;&gt;"."),up_dir!AJ19/((1/1000)*(up_Irr!I19+up_Irr!BG19)),IF(AND(up_Irr!I19=".",up_Irr!AH19&lt;&gt;".",up_Irr!BG19&lt;&gt;"."),up_dir!AJ19/((1/1000)*(up_Irr!AH19+up_Irr!BG19)),IF(AND(up_Irr!I19=".",up_Irr!AH19=".",up_Irr!BG19&lt;&gt;"."),up_dir!AJ19/((1/1000)*(up_Irr!BG19)),IF(AND(up_Irr!I19=".",up_Irr!AH19&lt;&gt;".",up_Irr!BG19="."),up_dir!AJ19/((1/1000)*(up_Irr!AH19)),IF(AND(up_Irr!I19&lt;&gt;".",up_Irr!AH19=".",up_Irr!BG19="."),up_dir!AJ19/((1/1000)*(up_Irr!I19)),IF(AND(up_Irr!I19=".",up_Irr!AH19=".",up_Irr!BG19="."),up_dir!AJ19*1000)))))))),".")</f>
        <v>6.5773651144152131E-4</v>
      </c>
      <c r="BK19" s="70">
        <f>IFERROR(IF(AND(up_Irr!J19&lt;&gt;".",up_Irr!AI19&lt;&gt;".",up_Irr!BH19&lt;&gt;"."),up_dir!AK19/((1/1000)*(up_Irr!J19+up_Irr!AI19+up_Irr!BH19)),IF(AND(up_Irr!J19&lt;&gt;".",up_Irr!AI19&lt;&gt;".",up_Irr!BH19="."),up_dir!AK19/((1/1000)*(up_Irr!J19+up_Irr!AI19)),IF(AND(up_Irr!J19&lt;&gt;".",up_Irr!AI19=".",up_Irr!BH19&lt;&gt;"."),up_dir!AK19/((1/1000)*(up_Irr!J19+up_Irr!BH19)),IF(AND(up_Irr!J19=".",up_Irr!AI19&lt;&gt;".",up_Irr!BH19&lt;&gt;"."),up_dir!AK19/((1/1000)*(up_Irr!AI19+up_Irr!BH19)),IF(AND(up_Irr!J19=".",up_Irr!AI19=".",up_Irr!BH19&lt;&gt;"."),up_dir!AK19/((1/1000)*(up_Irr!BH19)),IF(AND(up_Irr!J19=".",up_Irr!AI19&lt;&gt;".",up_Irr!BH19="."),up_dir!AK19/((1/1000)*(up_Irr!AI19)),IF(AND(up_Irr!J19&lt;&gt;".",up_Irr!AI19=".",up_Irr!BH19="."),up_dir!AK19/((1/1000)*(up_Irr!J19)),IF(AND(up_Irr!J19=".",up_Irr!AI19=".",up_Irr!BH19="."),up_dir!AK19*1000)))))))),".")</f>
        <v>6.5773651144152131E-4</v>
      </c>
      <c r="BL19" s="70">
        <f>IFERROR(IF(AND(up_Irr!K19&lt;&gt;".",up_Irr!AJ19&lt;&gt;".",up_Irr!BI19&lt;&gt;"."),up_dir!AL19/((1/1000)*(up_Irr!K19+up_Irr!AJ19+up_Irr!BI19)),IF(AND(up_Irr!K19&lt;&gt;".",up_Irr!AJ19&lt;&gt;".",up_Irr!BI19="."),up_dir!AL19/((1/1000)*(up_Irr!K19+up_Irr!AJ19)),IF(AND(up_Irr!K19&lt;&gt;".",up_Irr!AJ19=".",up_Irr!BI19&lt;&gt;"."),up_dir!AL19/((1/1000)*(up_Irr!K19+up_Irr!BI19)),IF(AND(up_Irr!K19=".",up_Irr!AJ19&lt;&gt;".",up_Irr!BI19&lt;&gt;"."),up_dir!AL19/((1/1000)*(up_Irr!AJ19+up_Irr!BI19)),IF(AND(up_Irr!K19=".",up_Irr!AJ19=".",up_Irr!BI19&lt;&gt;"."),up_dir!AL19/((1/1000)*(up_Irr!BI19)),IF(AND(up_Irr!K19=".",up_Irr!AJ19&lt;&gt;".",up_Irr!BI19="."),up_dir!AL19/((1/1000)*(up_Irr!AJ19)),IF(AND(up_Irr!K19&lt;&gt;".",up_Irr!AJ19=".",up_Irr!BI19="."),up_dir!AL19/((1/1000)*(up_Irr!K19)),IF(AND(up_Irr!K19=".",up_Irr!AJ19=".",up_Irr!BI19="."),up_dir!AL19*1000)))))))),".")</f>
        <v>6.5773651144152131E-4</v>
      </c>
      <c r="BM19" s="70">
        <f>IFERROR(IF(AND(up_Irr!L19&lt;&gt;".",up_Irr!AK19&lt;&gt;".",up_Irr!BJ19&lt;&gt;"."),up_dir!AM19/((1/1000)*(up_Irr!L19+up_Irr!AK19+up_Irr!BJ19)),IF(AND(up_Irr!L19&lt;&gt;".",up_Irr!AK19&lt;&gt;".",up_Irr!BJ19="."),up_dir!AM19/((1/1000)*(up_Irr!L19+up_Irr!AK19)),IF(AND(up_Irr!L19&lt;&gt;".",up_Irr!AK19=".",up_Irr!BJ19&lt;&gt;"."),up_dir!AM19/((1/1000)*(up_Irr!L19+up_Irr!BJ19)),IF(AND(up_Irr!L19=".",up_Irr!AK19&lt;&gt;".",up_Irr!BJ19&lt;&gt;"."),up_dir!AM19/((1/1000)*(up_Irr!AK19+up_Irr!BJ19)),IF(AND(up_Irr!L19=".",up_Irr!AK19=".",up_Irr!BJ19&lt;&gt;"."),up_dir!AM19/((1/1000)*(up_Irr!BJ19)),IF(AND(up_Irr!L19=".",up_Irr!AK19&lt;&gt;".",up_Irr!BJ19="."),up_dir!AM19/((1/1000)*(up_Irr!AK19)),IF(AND(up_Irr!L19&lt;&gt;".",up_Irr!AK19=".",up_Irr!BJ19="."),up_dir!AM19/((1/1000)*(up_Irr!L19)),IF(AND(up_Irr!L19=".",up_Irr!AK19=".",up_Irr!BJ19="."),up_dir!AM19*1000)))))))),".")</f>
        <v>6.5773651144152131E-4</v>
      </c>
      <c r="BN19" s="70">
        <f>IFERROR(IF(AND(up_Irr!M19&lt;&gt;".",up_Irr!AL19&lt;&gt;".",up_Irr!BK19&lt;&gt;"."),up_dir!AN19/((1/1000)*(up_Irr!M19+up_Irr!AL19+up_Irr!BK19)),IF(AND(up_Irr!M19&lt;&gt;".",up_Irr!AL19&lt;&gt;".",up_Irr!BK19="."),up_dir!AN19/((1/1000)*(up_Irr!M19+up_Irr!AL19)),IF(AND(up_Irr!M19&lt;&gt;".",up_Irr!AL19=".",up_Irr!BK19&lt;&gt;"."),up_dir!AN19/((1/1000)*(up_Irr!M19+up_Irr!BK19)),IF(AND(up_Irr!M19=".",up_Irr!AL19&lt;&gt;".",up_Irr!BK19&lt;&gt;"."),up_dir!AN19/((1/1000)*(up_Irr!AL19+up_Irr!BK19)),IF(AND(up_Irr!M19=".",up_Irr!AL19=".",up_Irr!BK19&lt;&gt;"."),up_dir!AN19/((1/1000)*(up_Irr!BK19)),IF(AND(up_Irr!M19=".",up_Irr!AL19&lt;&gt;".",up_Irr!BK19="."),up_dir!AN19/((1/1000)*(up_Irr!AL19)),IF(AND(up_Irr!M19&lt;&gt;".",up_Irr!AL19=".",up_Irr!BK19="."),up_dir!AN19/((1/1000)*(up_Irr!M19)),IF(AND(up_Irr!M19=".",up_Irr!AL19=".",up_Irr!BK19="."),up_dir!AN19*1000)))))))),".")</f>
        <v>6.5773651144152131E-4</v>
      </c>
      <c r="BO19" s="70">
        <f>IFERROR(IF(AND(up_Irr!N19&lt;&gt;".",up_Irr!AM19&lt;&gt;".",up_Irr!BL19&lt;&gt;"."),up_dir!AO19/((1/1000)*(up_Irr!N19+up_Irr!AM19+up_Irr!BL19)),IF(AND(up_Irr!N19&lt;&gt;".",up_Irr!AM19&lt;&gt;".",up_Irr!BL19="."),up_dir!AO19/((1/1000)*(up_Irr!N19+up_Irr!AM19)),IF(AND(up_Irr!N19&lt;&gt;".",up_Irr!AM19=".",up_Irr!BL19&lt;&gt;"."),up_dir!AO19/((1/1000)*(up_Irr!N19+up_Irr!BL19)),IF(AND(up_Irr!N19=".",up_Irr!AM19&lt;&gt;".",up_Irr!BL19&lt;&gt;"."),up_dir!AO19/((1/1000)*(up_Irr!AM19+up_Irr!BL19)),IF(AND(up_Irr!N19=".",up_Irr!AM19=".",up_Irr!BL19&lt;&gt;"."),up_dir!AO19/((1/1000)*(up_Irr!BL19)),IF(AND(up_Irr!N19=".",up_Irr!AM19&lt;&gt;".",up_Irr!BL19="."),up_dir!AO19/((1/1000)*(up_Irr!AM19)),IF(AND(up_Irr!N19&lt;&gt;".",up_Irr!AM19=".",up_Irr!BL19="."),up_dir!AO19/((1/1000)*(up_Irr!N19)),IF(AND(up_Irr!N19=".",up_Irr!AM19=".",up_Irr!BL19="."),up_dir!AO19*1000)))))))),".")</f>
        <v>6.5773651144152131E-4</v>
      </c>
      <c r="BP19" s="70">
        <f>IFERROR(IF(AND(up_Irr!O19&lt;&gt;".",up_Irr!AN19&lt;&gt;".",up_Irr!BM19&lt;&gt;"."),up_dir!AP19/((1/1000)*(up_Irr!O19+up_Irr!AN19+up_Irr!BM19)),IF(AND(up_Irr!O19&lt;&gt;".",up_Irr!AN19&lt;&gt;".",up_Irr!BM19="."),up_dir!AP19/((1/1000)*(up_Irr!O19+up_Irr!AN19)),IF(AND(up_Irr!O19&lt;&gt;".",up_Irr!AN19=".",up_Irr!BM19&lt;&gt;"."),up_dir!AP19/((1/1000)*(up_Irr!O19+up_Irr!BM19)),IF(AND(up_Irr!O19=".",up_Irr!AN19&lt;&gt;".",up_Irr!BM19&lt;&gt;"."),up_dir!AP19/((1/1000)*(up_Irr!AN19+up_Irr!BM19)),IF(AND(up_Irr!O19=".",up_Irr!AN19=".",up_Irr!BM19&lt;&gt;"."),up_dir!AP19/((1/1000)*(up_Irr!BM19)),IF(AND(up_Irr!O19=".",up_Irr!AN19&lt;&gt;".",up_Irr!BM19="."),up_dir!AP19/((1/1000)*(up_Irr!AN19)),IF(AND(up_Irr!O19&lt;&gt;".",up_Irr!AN19=".",up_Irr!BM19="."),up_dir!AP19/((1/1000)*(up_Irr!O19)),IF(AND(up_Irr!O19=".",up_Irr!AN19=".",up_Irr!BM19="."),up_dir!AP19*1000)))))))),".")</f>
        <v>6.5773651144152131E-4</v>
      </c>
      <c r="BQ19" s="70">
        <f>IFERROR(IF(AND(up_Irr!P19&lt;&gt;".",up_Irr!AO19&lt;&gt;".",up_Irr!BN19&lt;&gt;"."),up_dir!AQ19/((1/1000)*(up_Irr!P19+up_Irr!AO19+up_Irr!BN19)),IF(AND(up_Irr!P19&lt;&gt;".",up_Irr!AO19&lt;&gt;".",up_Irr!BN19="."),up_dir!AQ19/((1/1000)*(up_Irr!P19+up_Irr!AO19)),IF(AND(up_Irr!P19&lt;&gt;".",up_Irr!AO19=".",up_Irr!BN19&lt;&gt;"."),up_dir!AQ19/((1/1000)*(up_Irr!P19+up_Irr!BN19)),IF(AND(up_Irr!P19=".",up_Irr!AO19&lt;&gt;".",up_Irr!BN19&lt;&gt;"."),up_dir!AQ19/((1/1000)*(up_Irr!AO19+up_Irr!BN19)),IF(AND(up_Irr!P19=".",up_Irr!AO19=".",up_Irr!BN19&lt;&gt;"."),up_dir!AQ19/((1/1000)*(up_Irr!BN19)),IF(AND(up_Irr!P19=".",up_Irr!AO19&lt;&gt;".",up_Irr!BN19="."),up_dir!AQ19/((1/1000)*(up_Irr!AO19)),IF(AND(up_Irr!P19&lt;&gt;".",up_Irr!AO19=".",up_Irr!BN19="."),up_dir!AQ19/((1/1000)*(up_Irr!P19)),IF(AND(up_Irr!P19=".",up_Irr!AO19=".",up_Irr!BN19="."),up_dir!AQ19*1000)))))))),".")</f>
        <v>6.5773651144152131E-4</v>
      </c>
      <c r="BR19" s="70">
        <f>IFERROR(IF(AND(up_Irr!Q19&lt;&gt;".",up_Irr!AP19&lt;&gt;".",up_Irr!BO19&lt;&gt;"."),up_dir!AR19/((1/1000)*(up_Irr!Q19+up_Irr!AP19+up_Irr!BO19)),IF(AND(up_Irr!Q19&lt;&gt;".",up_Irr!AP19&lt;&gt;".",up_Irr!BO19="."),up_dir!AR19/((1/1000)*(up_Irr!Q19+up_Irr!AP19)),IF(AND(up_Irr!Q19&lt;&gt;".",up_Irr!AP19=".",up_Irr!BO19&lt;&gt;"."),up_dir!AR19/((1/1000)*(up_Irr!Q19+up_Irr!BO19)),IF(AND(up_Irr!Q19=".",up_Irr!AP19&lt;&gt;".",up_Irr!BO19&lt;&gt;"."),up_dir!AR19/((1/1000)*(up_Irr!AP19+up_Irr!BO19)),IF(AND(up_Irr!Q19=".",up_Irr!AP19=".",up_Irr!BO19&lt;&gt;"."),up_dir!AR19/((1/1000)*(up_Irr!BO19)),IF(AND(up_Irr!Q19=".",up_Irr!AP19&lt;&gt;".",up_Irr!BO19="."),up_dir!AR19/((1/1000)*(up_Irr!AP19)),IF(AND(up_Irr!Q19&lt;&gt;".",up_Irr!AP19=".",up_Irr!BO19="."),up_dir!AR19/((1/1000)*(up_Irr!Q19)),IF(AND(up_Irr!Q19=".",up_Irr!AP19=".",up_Irr!BO19="."),up_dir!AR19*1000)))))))),".")</f>
        <v>6.5773651144152131E-4</v>
      </c>
      <c r="BS19" s="70">
        <f>IFERROR(IF(AND(up_Irr!R19&lt;&gt;".",up_Irr!AQ19&lt;&gt;".",up_Irr!BP19&lt;&gt;"."),up_dir!AS19/((1/1000)*(up_Irr!R19+up_Irr!AQ19+up_Irr!BP19)),IF(AND(up_Irr!R19&lt;&gt;".",up_Irr!AQ19&lt;&gt;".",up_Irr!BP19="."),up_dir!AS19/((1/1000)*(up_Irr!R19+up_Irr!AQ19)),IF(AND(up_Irr!R19&lt;&gt;".",up_Irr!AQ19=".",up_Irr!BP19&lt;&gt;"."),up_dir!AS19/((1/1000)*(up_Irr!R19+up_Irr!BP19)),IF(AND(up_Irr!R19=".",up_Irr!AQ19&lt;&gt;".",up_Irr!BP19&lt;&gt;"."),up_dir!AS19/((1/1000)*(up_Irr!AQ19+up_Irr!BP19)),IF(AND(up_Irr!R19=".",up_Irr!AQ19=".",up_Irr!BP19&lt;&gt;"."),up_dir!AS19/((1/1000)*(up_Irr!BP19)),IF(AND(up_Irr!R19=".",up_Irr!AQ19&lt;&gt;".",up_Irr!BP19="."),up_dir!AS19/((1/1000)*(up_Irr!AQ19)),IF(AND(up_Irr!R19&lt;&gt;".",up_Irr!AQ19=".",up_Irr!BP19="."),up_dir!AS19/((1/1000)*(up_Irr!R19)),IF(AND(up_Irr!R19=".",up_Irr!AQ19=".",up_Irr!BP19="."),up_dir!AS19*1000)))))))),".")</f>
        <v>6.5773651144152131E-4</v>
      </c>
      <c r="BT19" s="70">
        <f>IFERROR(IF(AND(up_Irr!S19&lt;&gt;".",up_Irr!AR19&lt;&gt;".",up_Irr!BQ19&lt;&gt;"."),up_dir!AT19/((1/1000)*(up_Irr!S19+up_Irr!AR19+up_Irr!BQ19)),IF(AND(up_Irr!S19&lt;&gt;".",up_Irr!AR19&lt;&gt;".",up_Irr!BQ19="."),up_dir!AT19/((1/1000)*(up_Irr!S19+up_Irr!AR19)),IF(AND(up_Irr!S19&lt;&gt;".",up_Irr!AR19=".",up_Irr!BQ19&lt;&gt;"."),up_dir!AT19/((1/1000)*(up_Irr!S19+up_Irr!BQ19)),IF(AND(up_Irr!S19=".",up_Irr!AR19&lt;&gt;".",up_Irr!BQ19&lt;&gt;"."),up_dir!AT19/((1/1000)*(up_Irr!AR19+up_Irr!BQ19)),IF(AND(up_Irr!S19=".",up_Irr!AR19=".",up_Irr!BQ19&lt;&gt;"."),up_dir!AT19/((1/1000)*(up_Irr!BQ19)),IF(AND(up_Irr!S19=".",up_Irr!AR19&lt;&gt;".",up_Irr!BQ19="."),up_dir!AT19/((1/1000)*(up_Irr!AR19)),IF(AND(up_Irr!S19&lt;&gt;".",up_Irr!AR19=".",up_Irr!BQ19="."),up_dir!AT19/((1/1000)*(up_Irr!S19)),IF(AND(up_Irr!S19=".",up_Irr!AR19=".",up_Irr!BQ19="."),up_dir!AT19*1000)))))))),".")</f>
        <v>6.5773651144152131E-4</v>
      </c>
      <c r="BU19" s="70">
        <f>IFERROR(IF(AND(up_Irr!T19&lt;&gt;".",up_Irr!AS19&lt;&gt;".",up_Irr!BR19&lt;&gt;"."),up_dir!AU19/((1/1000)*(up_Irr!T19+up_Irr!AS19+up_Irr!BR19)),IF(AND(up_Irr!T19&lt;&gt;".",up_Irr!AS19&lt;&gt;".",up_Irr!BR19="."),up_dir!AU19/((1/1000)*(up_Irr!T19+up_Irr!AS19)),IF(AND(up_Irr!T19&lt;&gt;".",up_Irr!AS19=".",up_Irr!BR19&lt;&gt;"."),up_dir!AU19/((1/1000)*(up_Irr!T19+up_Irr!BR19)),IF(AND(up_Irr!T19=".",up_Irr!AS19&lt;&gt;".",up_Irr!BR19&lt;&gt;"."),up_dir!AU19/((1/1000)*(up_Irr!AS19+up_Irr!BR19)),IF(AND(up_Irr!T19=".",up_Irr!AS19=".",up_Irr!BR19&lt;&gt;"."),up_dir!AU19/((1/1000)*(up_Irr!BR19)),IF(AND(up_Irr!T19=".",up_Irr!AS19&lt;&gt;".",up_Irr!BR19="."),up_dir!AU19/((1/1000)*(up_Irr!AS19)),IF(AND(up_Irr!T19&lt;&gt;".",up_Irr!AS19=".",up_Irr!BR19="."),up_dir!AU19/((1/1000)*(up_Irr!T19)),IF(AND(up_Irr!T19=".",up_Irr!AS19=".",up_Irr!BR19="."),up_dir!AU19*1000)))))))),".")</f>
        <v>6.5773651144152131E-4</v>
      </c>
      <c r="BV19" s="70">
        <f>IFERROR(IF(AND(up_Irr!U19&lt;&gt;".",up_Irr!AT19&lt;&gt;".",up_Irr!BS19&lt;&gt;"."),up_dir!AV19/((1/1000)*(up_Irr!U19+up_Irr!AT19+up_Irr!BS19)),IF(AND(up_Irr!U19&lt;&gt;".",up_Irr!AT19&lt;&gt;".",up_Irr!BS19="."),up_dir!AV19/((1/1000)*(up_Irr!U19+up_Irr!AT19)),IF(AND(up_Irr!U19&lt;&gt;".",up_Irr!AT19=".",up_Irr!BS19&lt;&gt;"."),up_dir!AV19/((1/1000)*(up_Irr!U19+up_Irr!BS19)),IF(AND(up_Irr!U19=".",up_Irr!AT19&lt;&gt;".",up_Irr!BS19&lt;&gt;"."),up_dir!AV19/((1/1000)*(up_Irr!AT19+up_Irr!BS19)),IF(AND(up_Irr!U19=".",up_Irr!AT19=".",up_Irr!BS19&lt;&gt;"."),up_dir!AV19/((1/1000)*(up_Irr!BS19)),IF(AND(up_Irr!U19=".",up_Irr!AT19&lt;&gt;".",up_Irr!BS19="."),up_dir!AV19/((1/1000)*(up_Irr!AT19)),IF(AND(up_Irr!U19&lt;&gt;".",up_Irr!AT19=".",up_Irr!BS19="."),up_dir!AV19/((1/1000)*(up_Irr!U19)),IF(AND(up_Irr!U19=".",up_Irr!AT19=".",up_Irr!BS19="."),up_dir!AV19*1000)))))))),".")</f>
        <v>6.5773651144152131E-4</v>
      </c>
      <c r="BW19" s="70">
        <f>IFERROR(IF(AND(up_Irr!V19&lt;&gt;".",up_Irr!AU19&lt;&gt;".",up_Irr!BT19&lt;&gt;"."),up_dir!AW19/((1/1000)*(up_Irr!V19+up_Irr!AU19+up_Irr!BT19)),IF(AND(up_Irr!V19&lt;&gt;".",up_Irr!AU19&lt;&gt;".",up_Irr!BT19="."),up_dir!AW19/((1/1000)*(up_Irr!V19+up_Irr!AU19)),IF(AND(up_Irr!V19&lt;&gt;".",up_Irr!AU19=".",up_Irr!BT19&lt;&gt;"."),up_dir!AW19/((1/1000)*(up_Irr!V19+up_Irr!BT19)),IF(AND(up_Irr!V19=".",up_Irr!AU19&lt;&gt;".",up_Irr!BT19&lt;&gt;"."),up_dir!AW19/((1/1000)*(up_Irr!AU19+up_Irr!BT19)),IF(AND(up_Irr!V19=".",up_Irr!AU19=".",up_Irr!BT19&lt;&gt;"."),up_dir!AW19/((1/1000)*(up_Irr!BT19)),IF(AND(up_Irr!V19=".",up_Irr!AU19&lt;&gt;".",up_Irr!BT19="."),up_dir!AW19/((1/1000)*(up_Irr!AU19)),IF(AND(up_Irr!V19&lt;&gt;".",up_Irr!AU19=".",up_Irr!BT19="."),up_dir!AW19/((1/1000)*(up_Irr!V19)),IF(AND(up_Irr!V19=".",up_Irr!AU19=".",up_Irr!BT19="."),up_dir!AW19*1000)))))))),".")</f>
        <v>6.5773651144152131E-4</v>
      </c>
      <c r="BX19" s="70">
        <f>IFERROR(IF(AND(up_Irr!W19&lt;&gt;".",up_Irr!AV19&lt;&gt;".",up_Irr!BU19&lt;&gt;"."),up_dir!AX19/((1/1000)*(up_Irr!W19+up_Irr!AV19+up_Irr!BU19)),IF(AND(up_Irr!W19&lt;&gt;".",up_Irr!AV19&lt;&gt;".",up_Irr!BU19="."),up_dir!AX19/((1/1000)*(up_Irr!W19+up_Irr!AV19)),IF(AND(up_Irr!W19&lt;&gt;".",up_Irr!AV19=".",up_Irr!BU19&lt;&gt;"."),up_dir!AX19/((1/1000)*(up_Irr!W19+up_Irr!BU19)),IF(AND(up_Irr!W19=".",up_Irr!AV19&lt;&gt;".",up_Irr!BU19&lt;&gt;"."),up_dir!AX19/((1/1000)*(up_Irr!AV19+up_Irr!BU19)),IF(AND(up_Irr!W19=".",up_Irr!AV19=".",up_Irr!BU19&lt;&gt;"."),up_dir!AX19/((1/1000)*(up_Irr!BU19)),IF(AND(up_Irr!W19=".",up_Irr!AV19&lt;&gt;".",up_Irr!BU19="."),up_dir!AX19/((1/1000)*(up_Irr!AV19)),IF(AND(up_Irr!W19&lt;&gt;".",up_Irr!AV19=".",up_Irr!BU19="."),up_dir!AX19/((1/1000)*(up_Irr!W19)),IF(AND(up_Irr!W19=".",up_Irr!AV19=".",up_Irr!BU19="."),up_dir!AX19*1000)))))))),".")</f>
        <v>6.5773651144152131E-4</v>
      </c>
      <c r="BY19" s="70">
        <f>IFERROR(IF(AND(up_Irr!X19&lt;&gt;".",up_Irr!AW19&lt;&gt;".",up_Irr!BV19&lt;&gt;"."),up_dir!AY19/((1/1000)*(up_Irr!X19+up_Irr!AW19+up_Irr!BV19)),IF(AND(up_Irr!X19&lt;&gt;".",up_Irr!AW19&lt;&gt;".",up_Irr!BV19="."),up_dir!AY19/((1/1000)*(up_Irr!X19+up_Irr!AW19)),IF(AND(up_Irr!X19&lt;&gt;".",up_Irr!AW19=".",up_Irr!BV19&lt;&gt;"."),up_dir!AY19/((1/1000)*(up_Irr!X19+up_Irr!BV19)),IF(AND(up_Irr!X19=".",up_Irr!AW19&lt;&gt;".",up_Irr!BV19&lt;&gt;"."),up_dir!AY19/((1/1000)*(up_Irr!AW19+up_Irr!BV19)),IF(AND(up_Irr!X19=".",up_Irr!AW19=".",up_Irr!BV19&lt;&gt;"."),up_dir!AY19/((1/1000)*(up_Irr!BV19)),IF(AND(up_Irr!X19=".",up_Irr!AW19&lt;&gt;".",up_Irr!BV19="."),up_dir!AY19/((1/1000)*(up_Irr!AW19)),IF(AND(up_Irr!X19&lt;&gt;".",up_Irr!AW19=".",up_Irr!BV19="."),up_dir!AY19/((1/1000)*(up_Irr!X19)),IF(AND(up_Irr!X19=".",up_Irr!AW19=".",up_Irr!BV19="."),up_dir!AY19*1000)))))))),".")</f>
        <v>6.5773651144152131E-4</v>
      </c>
      <c r="BZ19" s="70">
        <f>IFERROR(IF(AND(up_Irr!Y19&lt;&gt;".",up_Irr!AX19&lt;&gt;".",up_Irr!BW19&lt;&gt;"."),up_dir!AZ19/((1/1000)*(up_Irr!Y19+up_Irr!AX19+up_Irr!BW19)),IF(AND(up_Irr!Y19&lt;&gt;".",up_Irr!AX19&lt;&gt;".",up_Irr!BW19="."),up_dir!AZ19/((1/1000)*(up_Irr!Y19+up_Irr!AX19)),IF(AND(up_Irr!Y19&lt;&gt;".",up_Irr!AX19=".",up_Irr!BW19&lt;&gt;"."),up_dir!AZ19/((1/1000)*(up_Irr!Y19+up_Irr!BW19)),IF(AND(up_Irr!Y19=".",up_Irr!AX19&lt;&gt;".",up_Irr!BW19&lt;&gt;"."),up_dir!AZ19/((1/1000)*(up_Irr!AX19+up_Irr!BW19)),IF(AND(up_Irr!Y19=".",up_Irr!AX19=".",up_Irr!BW19&lt;&gt;"."),up_dir!AZ19/((1/1000)*(up_Irr!BW19)),IF(AND(up_Irr!Y19=".",up_Irr!AX19&lt;&gt;".",up_Irr!BW19="."),up_dir!AZ19/((1/1000)*(up_Irr!AX19)),IF(AND(up_Irr!Y19&lt;&gt;".",up_Irr!AX19=".",up_Irr!BW19="."),up_dir!AZ19/((1/1000)*(up_Irr!Y19)),IF(AND(up_Irr!Y19=".",up_Irr!AX19=".",up_Irr!BW19="."),up_dir!AZ19*1000)))))))),".")</f>
        <v>6.5773651144152131E-4</v>
      </c>
      <c r="CA19" s="70">
        <f>IFERROR(IF(AND(up_Irr!Z19&lt;&gt;".",up_Irr!AY19&lt;&gt;".",up_Irr!BX19&lt;&gt;"."),up_dir!BA19/((1/1000)*(up_Irr!Z19+up_Irr!AY19+up_Irr!BX19)),IF(AND(up_Irr!Z19&lt;&gt;".",up_Irr!AY19&lt;&gt;".",up_Irr!BX19="."),up_dir!BA19/((1/1000)*(up_Irr!Z19+up_Irr!AY19)),IF(AND(up_Irr!Z19&lt;&gt;".",up_Irr!AY19=".",up_Irr!BX19&lt;&gt;"."),up_dir!BA19/((1/1000)*(up_Irr!Z19+up_Irr!BX19)),IF(AND(up_Irr!Z19=".",up_Irr!AY19&lt;&gt;".",up_Irr!BX19&lt;&gt;"."),up_dir!BA19/((1/1000)*(up_Irr!AY19+up_Irr!BX19)),IF(AND(up_Irr!Z19=".",up_Irr!AY19=".",up_Irr!BX19&lt;&gt;"."),up_dir!BA19/((1/1000)*(up_Irr!BX19)),IF(AND(up_Irr!Z19=".",up_Irr!AY19&lt;&gt;".",up_Irr!BX19="."),up_dir!BA19/((1/1000)*(up_Irr!AY19)),IF(AND(up_Irr!Z19&lt;&gt;".",up_Irr!AY19=".",up_Irr!BX19="."),up_dir!BA19/((1/1000)*(up_Irr!Z19)),IF(AND(up_Irr!Z19=".",up_Irr!AY19=".",up_Irr!BX19="."),up_dir!BA19*1000)))))))),".")</f>
        <v>6.5773651144152131E-4</v>
      </c>
      <c r="CB19" s="70">
        <f>IFERROR(IF(AND(up_Irr!AA19&lt;&gt;".",up_Irr!AZ19&lt;&gt;".",up_Irr!BY19&lt;&gt;"."),up_dir!BB19/((1/1000)*(up_Irr!AA19+up_Irr!AZ19+up_Irr!BY19)),IF(AND(up_Irr!AA19&lt;&gt;".",up_Irr!AZ19&lt;&gt;".",up_Irr!BY19="."),up_dir!BB19/((1/1000)*(up_Irr!AA19+up_Irr!AZ19)),IF(AND(up_Irr!AA19&lt;&gt;".",up_Irr!AZ19=".",up_Irr!BY19&lt;&gt;"."),up_dir!BB19/((1/1000)*(up_Irr!AA19+up_Irr!BY19)),IF(AND(up_Irr!AA19=".",up_Irr!AZ19&lt;&gt;".",up_Irr!BY19&lt;&gt;"."),up_dir!BB19/((1/1000)*(up_Irr!AZ19+up_Irr!BY19)),IF(AND(up_Irr!AA19=".",up_Irr!AZ19=".",up_Irr!BY19&lt;&gt;"."),up_dir!BB19/((1/1000)*(up_Irr!BY19)),IF(AND(up_Irr!AA19=".",up_Irr!AZ19&lt;&gt;".",up_Irr!BY19="."),up_dir!BB19/((1/1000)*(up_Irr!AZ19)),IF(AND(up_Irr!AA19&lt;&gt;".",up_Irr!AZ19=".",up_Irr!BY19="."),up_dir!BB19/((1/1000)*(up_Irr!AA19)),IF(AND(up_Irr!AA19=".",up_Irr!AZ19=".",up_Irr!BY19="."),up_dir!BB19*1000)))))))),".")</f>
        <v>6.5773651144152131E-4</v>
      </c>
      <c r="CC19" s="87">
        <f t="shared" si="3"/>
        <v>30407.313038114935</v>
      </c>
      <c r="CD19" s="87">
        <f>IFERROR(s_C*s_IFAP_far_adj*s_CF_apple*(1/1000)*(up_Irr!C19+up_Irr!AB19+up_Irr!BA19),".")</f>
        <v>7601.8282595287337</v>
      </c>
      <c r="CE19" s="87">
        <f>IFERROR(s_C*s_IFAS_far_adj*s_CF_asparagus*(1/1000)*(up_Irr!D19+up_Irr!AC19+up_Irr!BB19),".")</f>
        <v>7601.8282595287337</v>
      </c>
      <c r="CF19" s="87">
        <f>IFERROR(s_C*s_IFBT_far_adj*s_CF_beet*(1/1000)*(up_Irr!E19+up_Irr!AD19+up_Irr!BC19),".")</f>
        <v>7601.8282595287337</v>
      </c>
      <c r="CG19" s="87">
        <f>IFERROR(s_C*s_IFBE_far_adj*s_CF_berries*(1/1000)*(up_Irr!F19+up_Irr!AE19+up_Irr!BD19),".")</f>
        <v>7601.8282595287337</v>
      </c>
      <c r="CH19" s="87">
        <f>IFERROR(s_C*s_IFBR_far_adj*s_CF_broccoli*(1/1000)*(up_Irr!G19+up_Irr!AF19+up_Irr!BE19),".")</f>
        <v>7601.8282595287337</v>
      </c>
      <c r="CI19" s="87">
        <f>IFERROR(s_C*s_IFCB_far_adj*s_CF_cabbage*(1/1000)*(up_Irr!H19+up_Irr!AG19+up_Irr!BF19),".")</f>
        <v>7601.8282595287337</v>
      </c>
      <c r="CJ19" s="87">
        <f>IFERROR(s_C*s_IFCR_far_adj*s_CF_carrot*(1/1000)*(up_Irr!I19+up_Irr!AH19+up_Irr!BG19),".")</f>
        <v>7601.8282595287337</v>
      </c>
      <c r="CK19" s="87">
        <f>IFERROR(s_C*s_IFCI_far_adj*s_CF_citrus*(1/1000)*(up_Irr!J19+up_Irr!AI19+up_Irr!BH19),".")</f>
        <v>7601.8282595287337</v>
      </c>
      <c r="CL19" s="87">
        <f>IFERROR(s_C*s_IFCO_far_adj*s_CF_corn*(1/1000)*(up_Irr!K19+up_Irr!AJ19+up_Irr!BI19),".")</f>
        <v>7601.8282595287337</v>
      </c>
      <c r="CM19" s="87">
        <f>IFERROR(s_C*s_IFCU_far_adj*s_CF_cucumber*(1/1000)*(up_Irr!L19+up_Irr!AK19+up_Irr!BJ19),".")</f>
        <v>7601.8282595287337</v>
      </c>
      <c r="CN19" s="87">
        <f>IFERROR(s_C*s_IFLE_far_adj*s_CF_lettuce*(1/1000)*(up_Irr!M19+up_Irr!AL19+up_Irr!BK19),".")</f>
        <v>7601.8282595287337</v>
      </c>
      <c r="CO19" s="87">
        <f>IFERROR(s_C*s_IFLI_far_adj*s_CF_lima_bean*(1/1000)*(up_Irr!N19+up_Irr!AM19+up_Irr!BL19),".")</f>
        <v>7601.8282595287337</v>
      </c>
      <c r="CP19" s="87">
        <f>IFERROR(s_C*s_IFOK_far_adj*s_CF_okra*(1/1000)*(up_Irr!O19+up_Irr!AN19+up_Irr!BM19),".")</f>
        <v>7601.8282595287337</v>
      </c>
      <c r="CQ19" s="87">
        <f>IFERROR(s_C*s_IFON_far_adj*s_CF_onion*(1/1000)*(up_Irr!P19+up_Irr!AO19+up_Irr!BN19),".")</f>
        <v>7601.8282595287337</v>
      </c>
      <c r="CR19" s="87">
        <f>IFERROR(s_C*s_IFPC_far_adj*s_CF_peach*(1/1000)*(up_Irr!Q19+up_Irr!AP19+up_Irr!BO19),".")</f>
        <v>7601.8282595287337</v>
      </c>
      <c r="CS19" s="87">
        <f>IFERROR(s_C*s_IFPR_far_adj*s_CF_pear*(1/1000)*(up_Irr!R19+up_Irr!AQ19+up_Irr!BP19),".")</f>
        <v>7601.8282595287337</v>
      </c>
      <c r="CT19" s="87">
        <f>IFERROR(s_C*s_IFPE_far_adj*s_CF_peas*(1/1000)*(up_Irr!S19+up_Irr!AR19+up_Irr!BQ19),".")</f>
        <v>7601.8282595287337</v>
      </c>
      <c r="CU19" s="87">
        <f>IFERROR(s_C*s_IFPP_far_adj*s_CF_peppers*(1/1000)*(up_Irr!T19+up_Irr!AS19+up_Irr!BR19),".")</f>
        <v>7601.8282595287337</v>
      </c>
      <c r="CV19" s="87">
        <f>IFERROR(s_C*s_IFPT_far_adj*s_CF_potato*(1/1000)*(up_Irr!U19+up_Irr!AT19+up_Irr!BS19),".")</f>
        <v>7601.8282595287337</v>
      </c>
      <c r="CW19" s="87">
        <f>IFERROR(s_C*s_IFPU_far_adj*s_CF_pumpkin*(1/1000)*(up_Irr!V19+up_Irr!AU19+up_Irr!BT19),".")</f>
        <v>7601.8282595287337</v>
      </c>
      <c r="CX19" s="87">
        <f>IFERROR(s_C*s_IFSN_far_adj*s_CF_snap_bean*(1/1000)*(up_Irr!W19+up_Irr!AV19+up_Irr!BU19),".")</f>
        <v>7601.8282595287337</v>
      </c>
      <c r="CY19" s="87">
        <f>IFERROR(s_C*s_IFST_far_adj*s_CF_strawberry*(1/1000)*(up_Irr!X19+up_Irr!AW19+up_Irr!BV19),".")</f>
        <v>7601.8282595287337</v>
      </c>
      <c r="CZ19" s="87">
        <f>IFERROR(s_C*s_IFTO_far_adj*s_CF_tomato*(1/1000)*(up_Irr!Y19+up_Irr!AX19+up_Irr!BW19),".")</f>
        <v>7601.8282595287337</v>
      </c>
      <c r="DA19" s="87">
        <f>IFERROR(s_C*s_IFRI_far_adj*s_CF_rice*(1/1000)*(up_Irr!Z19+up_Irr!AY19+up_Irr!BX19),".")</f>
        <v>7601.8282595287337</v>
      </c>
      <c r="DB19" s="87">
        <f>IFERROR(s_C*s_IFCG_far_adj*s_CF_cereal*(1/1000)*(up_Irr!AA19+up_Irr!AZ19+up_Irr!BY19),".")</f>
        <v>7601.8282595287337</v>
      </c>
    </row>
    <row r="20" spans="1:106" ht="15" customHeight="1" x14ac:dyDescent="0.25">
      <c r="A20" s="86" t="s">
        <v>18</v>
      </c>
      <c r="B20" s="84" t="s">
        <v>1057</v>
      </c>
      <c r="C20" s="15">
        <f t="shared" si="0"/>
        <v>1.6443412786038033E-4</v>
      </c>
      <c r="D20" s="70">
        <f>IFERROR(IF(AND(up_Irr!C20&lt;&gt;".",up_Irr!AB20&lt;&gt;".",up_Irr!BA20&lt;&gt;"."),up_dir!D20/((1/1000)*(up_Irr!C20+up_Irr!AB20+up_Irr!BA20)),IF(AND(up_Irr!C20&lt;&gt;".",up_Irr!AB20&lt;&gt;".",up_Irr!BA20="."),up_dir!D20/((1/1000)*(up_Irr!C20+up_Irr!AB20)),IF(AND(up_Irr!C20&lt;&gt;".",up_Irr!AB20=".",up_Irr!BA20&lt;&gt;"."),up_dir!D20/((1/1000)*(up_Irr!C20+up_Irr!BA20)),IF(AND(up_Irr!C20=".",up_Irr!AB20&lt;&gt;".",up_Irr!BA20&lt;&gt;"."),up_dir!D20/((1/1000)*(up_Irr!AB20+up_Irr!BA20)),IF(AND(up_Irr!C20=".",up_Irr!AB20=".",up_Irr!BA20&lt;&gt;"."),up_dir!D20/((1/1000)*(up_Irr!BA20)),IF(AND(up_Irr!C20=".",up_Irr!AB20&lt;&gt;".",up_Irr!BA20="."),up_dir!D20/((1/1000)*(up_Irr!AB20)),IF(AND(up_Irr!C20&lt;&gt;".",up_Irr!AB20=".",up_Irr!BA20="."),up_dir!D20/((1/1000)*(up_Irr!C20)),IF(AND(up_Irr!C20=".",up_Irr!AB20=".",up_Irr!BA20="."),up_dir!D20*1000)))))))),".")</f>
        <v>6.5773651144152131E-4</v>
      </c>
      <c r="E20" s="70">
        <f>IFERROR(IF(AND(up_Irr!D20&lt;&gt;".",up_Irr!AC20&lt;&gt;".",up_Irr!BB20&lt;&gt;"."),up_dir!E20/((1/1000)*(up_Irr!D20+up_Irr!AC20+up_Irr!BB20)),IF(AND(up_Irr!D20&lt;&gt;".",up_Irr!AC20&lt;&gt;".",up_Irr!BB20="."),up_dir!E20/((1/1000)*(up_Irr!D20+up_Irr!AC20)),IF(AND(up_Irr!D20&lt;&gt;".",up_Irr!AC20=".",up_Irr!BB20&lt;&gt;"."),up_dir!E20/((1/1000)*(up_Irr!D20+up_Irr!BB20)),IF(AND(up_Irr!D20=".",up_Irr!AC20&lt;&gt;".",up_Irr!BB20&lt;&gt;"."),up_dir!E20/((1/1000)*(up_Irr!AC20+up_Irr!BB20)),IF(AND(up_Irr!D20=".",up_Irr!AC20=".",up_Irr!BB20&lt;&gt;"."),up_dir!E20/((1/1000)*(up_Irr!BB20)),IF(AND(up_Irr!D20=".",up_Irr!AC20&lt;&gt;".",up_Irr!BB20="."),up_dir!E20/((1/1000)*(up_Irr!AC20)),IF(AND(up_Irr!D20&lt;&gt;".",up_Irr!AC20=".",up_Irr!BB20="."),up_dir!E20/((1/1000)*(up_Irr!D20)),IF(AND(up_Irr!D20=".",up_Irr!AC20=".",up_Irr!BB20="."),up_dir!E20*1000)))))))),".")</f>
        <v>6.5773651144152131E-4</v>
      </c>
      <c r="F20" s="70">
        <f>IFERROR(IF(AND(up_Irr!E20&lt;&gt;".",up_Irr!AD20&lt;&gt;".",up_Irr!BC20&lt;&gt;"."),up_dir!F20/((1/1000)*(up_Irr!E20+up_Irr!AD20+up_Irr!BC20)),IF(AND(up_Irr!E20&lt;&gt;".",up_Irr!AD20&lt;&gt;".",up_Irr!BC20="."),up_dir!F20/((1/1000)*(up_Irr!E20+up_Irr!AD20)),IF(AND(up_Irr!E20&lt;&gt;".",up_Irr!AD20=".",up_Irr!BC20&lt;&gt;"."),up_dir!F20/((1/1000)*(up_Irr!E20+up_Irr!BC20)),IF(AND(up_Irr!E20=".",up_Irr!AD20&lt;&gt;".",up_Irr!BC20&lt;&gt;"."),up_dir!F20/((1/1000)*(up_Irr!AD20+up_Irr!BC20)),IF(AND(up_Irr!E20=".",up_Irr!AD20=".",up_Irr!BC20&lt;&gt;"."),up_dir!F20/((1/1000)*(up_Irr!BC20)),IF(AND(up_Irr!E20=".",up_Irr!AD20&lt;&gt;".",up_Irr!BC20="."),up_dir!F20/((1/1000)*(up_Irr!AD20)),IF(AND(up_Irr!E20&lt;&gt;".",up_Irr!AD20=".",up_Irr!BC20="."),up_dir!F20/((1/1000)*(up_Irr!E20)),IF(AND(up_Irr!E20=".",up_Irr!AD20=".",up_Irr!BC20="."),up_dir!F20*1000)))))))),".")</f>
        <v>6.5773651144152131E-4</v>
      </c>
      <c r="G20" s="70">
        <f>IFERROR(IF(AND(up_Irr!F20&lt;&gt;".",up_Irr!AE20&lt;&gt;".",up_Irr!BD20&lt;&gt;"."),up_dir!G20/((1/1000)*(up_Irr!F20+up_Irr!AE20+up_Irr!BD20)),IF(AND(up_Irr!F20&lt;&gt;".",up_Irr!AE20&lt;&gt;".",up_Irr!BD20="."),up_dir!G20/((1/1000)*(up_Irr!F20+up_Irr!AE20)),IF(AND(up_Irr!F20&lt;&gt;".",up_Irr!AE20=".",up_Irr!BD20&lt;&gt;"."),up_dir!G20/((1/1000)*(up_Irr!F20+up_Irr!BD20)),IF(AND(up_Irr!F20=".",up_Irr!AE20&lt;&gt;".",up_Irr!BD20&lt;&gt;"."),up_dir!G20/((1/1000)*(up_Irr!AE20+up_Irr!BD20)),IF(AND(up_Irr!F20=".",up_Irr!AE20=".",up_Irr!BD20&lt;&gt;"."),up_dir!G20/((1/1000)*(up_Irr!BD20)),IF(AND(up_Irr!F20=".",up_Irr!AE20&lt;&gt;".",up_Irr!BD20="."),up_dir!G20/((1/1000)*(up_Irr!AE20)),IF(AND(up_Irr!F20&lt;&gt;".",up_Irr!AE20=".",up_Irr!BD20="."),up_dir!G20/((1/1000)*(up_Irr!F20)),IF(AND(up_Irr!F20=".",up_Irr!AE20=".",up_Irr!BD20="."),up_dir!G20*1000)))))))),".")</f>
        <v>6.5773651144152131E-4</v>
      </c>
      <c r="H20" s="70">
        <f>IFERROR(IF(AND(up_Irr!G20&lt;&gt;".",up_Irr!AF20&lt;&gt;".",up_Irr!BE20&lt;&gt;"."),up_dir!H20/((1/1000)*(up_Irr!G20+up_Irr!AF20+up_Irr!BE20)),IF(AND(up_Irr!G20&lt;&gt;".",up_Irr!AF20&lt;&gt;".",up_Irr!BE20="."),up_dir!H20/((1/1000)*(up_Irr!G20+up_Irr!AF20)),IF(AND(up_Irr!G20&lt;&gt;".",up_Irr!AF20=".",up_Irr!BE20&lt;&gt;"."),up_dir!H20/((1/1000)*(up_Irr!G20+up_Irr!BE20)),IF(AND(up_Irr!G20=".",up_Irr!AF20&lt;&gt;".",up_Irr!BE20&lt;&gt;"."),up_dir!H20/((1/1000)*(up_Irr!AF20+up_Irr!BE20)),IF(AND(up_Irr!G20=".",up_Irr!AF20=".",up_Irr!BE20&lt;&gt;"."),up_dir!H20/((1/1000)*(up_Irr!BE20)),IF(AND(up_Irr!G20=".",up_Irr!AF20&lt;&gt;".",up_Irr!BE20="."),up_dir!H20/((1/1000)*(up_Irr!AF20)),IF(AND(up_Irr!G20&lt;&gt;".",up_Irr!AF20=".",up_Irr!BE20="."),up_dir!H20/((1/1000)*(up_Irr!G20)),IF(AND(up_Irr!G20=".",up_Irr!AF20=".",up_Irr!BE20="."),up_dir!H20*1000)))))))),".")</f>
        <v>6.5773651144152131E-4</v>
      </c>
      <c r="I20" s="70">
        <f>IFERROR(IF(AND(up_Irr!H20&lt;&gt;".",up_Irr!AG20&lt;&gt;".",up_Irr!BF20&lt;&gt;"."),up_dir!I20/((1/1000)*(up_Irr!H20+up_Irr!AG20+up_Irr!BF20)),IF(AND(up_Irr!H20&lt;&gt;".",up_Irr!AG20&lt;&gt;".",up_Irr!BF20="."),up_dir!I20/((1/1000)*(up_Irr!H20+up_Irr!AG20)),IF(AND(up_Irr!H20&lt;&gt;".",up_Irr!AG20=".",up_Irr!BF20&lt;&gt;"."),up_dir!I20/((1/1000)*(up_Irr!H20+up_Irr!BF20)),IF(AND(up_Irr!H20=".",up_Irr!AG20&lt;&gt;".",up_Irr!BF20&lt;&gt;"."),up_dir!I20/((1/1000)*(up_Irr!AG20+up_Irr!BF20)),IF(AND(up_Irr!H20=".",up_Irr!AG20=".",up_Irr!BF20&lt;&gt;"."),up_dir!I20/((1/1000)*(up_Irr!BF20)),IF(AND(up_Irr!H20=".",up_Irr!AG20&lt;&gt;".",up_Irr!BF20="."),up_dir!I20/((1/1000)*(up_Irr!AG20)),IF(AND(up_Irr!H20&lt;&gt;".",up_Irr!AG20=".",up_Irr!BF20="."),up_dir!I20/((1/1000)*(up_Irr!H20)),IF(AND(up_Irr!H20=".",up_Irr!AG20=".",up_Irr!BF20="."),up_dir!I20*1000)))))))),".")</f>
        <v>6.5773651144152131E-4</v>
      </c>
      <c r="J20" s="70">
        <f>IFERROR(IF(AND(up_Irr!I20&lt;&gt;".",up_Irr!AH20&lt;&gt;".",up_Irr!BG20&lt;&gt;"."),up_dir!J20/((1/1000)*(up_Irr!I20+up_Irr!AH20+up_Irr!BG20)),IF(AND(up_Irr!I20&lt;&gt;".",up_Irr!AH20&lt;&gt;".",up_Irr!BG20="."),up_dir!J20/((1/1000)*(up_Irr!I20+up_Irr!AH20)),IF(AND(up_Irr!I20&lt;&gt;".",up_Irr!AH20=".",up_Irr!BG20&lt;&gt;"."),up_dir!J20/((1/1000)*(up_Irr!I20+up_Irr!BG20)),IF(AND(up_Irr!I20=".",up_Irr!AH20&lt;&gt;".",up_Irr!BG20&lt;&gt;"."),up_dir!J20/((1/1000)*(up_Irr!AH20+up_Irr!BG20)),IF(AND(up_Irr!I20=".",up_Irr!AH20=".",up_Irr!BG20&lt;&gt;"."),up_dir!J20/((1/1000)*(up_Irr!BG20)),IF(AND(up_Irr!I20=".",up_Irr!AH20&lt;&gt;".",up_Irr!BG20="."),up_dir!J20/((1/1000)*(up_Irr!AH20)),IF(AND(up_Irr!I20&lt;&gt;".",up_Irr!AH20=".",up_Irr!BG20="."),up_dir!J20/((1/1000)*(up_Irr!I20)),IF(AND(up_Irr!I20=".",up_Irr!AH20=".",up_Irr!BG20="."),up_dir!J20*1000)))))))),".")</f>
        <v>6.5773651144152131E-4</v>
      </c>
      <c r="K20" s="70">
        <f>IFERROR(IF(AND(up_Irr!J20&lt;&gt;".",up_Irr!AI20&lt;&gt;".",up_Irr!BH20&lt;&gt;"."),up_dir!K20/((1/1000)*(up_Irr!J20+up_Irr!AI20+up_Irr!BH20)),IF(AND(up_Irr!J20&lt;&gt;".",up_Irr!AI20&lt;&gt;".",up_Irr!BH20="."),up_dir!K20/((1/1000)*(up_Irr!J20+up_Irr!AI20)),IF(AND(up_Irr!J20&lt;&gt;".",up_Irr!AI20=".",up_Irr!BH20&lt;&gt;"."),up_dir!K20/((1/1000)*(up_Irr!J20+up_Irr!BH20)),IF(AND(up_Irr!J20=".",up_Irr!AI20&lt;&gt;".",up_Irr!BH20&lt;&gt;"."),up_dir!K20/((1/1000)*(up_Irr!AI20+up_Irr!BH20)),IF(AND(up_Irr!J20=".",up_Irr!AI20=".",up_Irr!BH20&lt;&gt;"."),up_dir!K20/((1/1000)*(up_Irr!BH20)),IF(AND(up_Irr!J20=".",up_Irr!AI20&lt;&gt;".",up_Irr!BH20="."),up_dir!K20/((1/1000)*(up_Irr!AI20)),IF(AND(up_Irr!J20&lt;&gt;".",up_Irr!AI20=".",up_Irr!BH20="."),up_dir!K20/((1/1000)*(up_Irr!J20)),IF(AND(up_Irr!J20=".",up_Irr!AI20=".",up_Irr!BH20="."),up_dir!K20*1000)))))))),".")</f>
        <v>6.5773651144152131E-4</v>
      </c>
      <c r="L20" s="70">
        <f>IFERROR(IF(AND(up_Irr!K20&lt;&gt;".",up_Irr!AJ20&lt;&gt;".",up_Irr!BI20&lt;&gt;"."),up_dir!L20/((1/1000)*(up_Irr!K20+up_Irr!AJ20+up_Irr!BI20)),IF(AND(up_Irr!K20&lt;&gt;".",up_Irr!AJ20&lt;&gt;".",up_Irr!BI20="."),up_dir!L20/((1/1000)*(up_Irr!K20+up_Irr!AJ20)),IF(AND(up_Irr!K20&lt;&gt;".",up_Irr!AJ20=".",up_Irr!BI20&lt;&gt;"."),up_dir!L20/((1/1000)*(up_Irr!K20+up_Irr!BI20)),IF(AND(up_Irr!K20=".",up_Irr!AJ20&lt;&gt;".",up_Irr!BI20&lt;&gt;"."),up_dir!L20/((1/1000)*(up_Irr!AJ20+up_Irr!BI20)),IF(AND(up_Irr!K20=".",up_Irr!AJ20=".",up_Irr!BI20&lt;&gt;"."),up_dir!L20/((1/1000)*(up_Irr!BI20)),IF(AND(up_Irr!K20=".",up_Irr!AJ20&lt;&gt;".",up_Irr!BI20="."),up_dir!L20/((1/1000)*(up_Irr!AJ20)),IF(AND(up_Irr!K20&lt;&gt;".",up_Irr!AJ20=".",up_Irr!BI20="."),up_dir!L20/((1/1000)*(up_Irr!K20)),IF(AND(up_Irr!K20=".",up_Irr!AJ20=".",up_Irr!BI20="."),up_dir!L20*1000)))))))),".")</f>
        <v>6.5773651144152131E-4</v>
      </c>
      <c r="M20" s="70">
        <f>IFERROR(IF(AND(up_Irr!L20&lt;&gt;".",up_Irr!AK20&lt;&gt;".",up_Irr!BJ20&lt;&gt;"."),up_dir!M20/((1/1000)*(up_Irr!L20+up_Irr!AK20+up_Irr!BJ20)),IF(AND(up_Irr!L20&lt;&gt;".",up_Irr!AK20&lt;&gt;".",up_Irr!BJ20="."),up_dir!M20/((1/1000)*(up_Irr!L20+up_Irr!AK20)),IF(AND(up_Irr!L20&lt;&gt;".",up_Irr!AK20=".",up_Irr!BJ20&lt;&gt;"."),up_dir!M20/((1/1000)*(up_Irr!L20+up_Irr!BJ20)),IF(AND(up_Irr!L20=".",up_Irr!AK20&lt;&gt;".",up_Irr!BJ20&lt;&gt;"."),up_dir!M20/((1/1000)*(up_Irr!AK20+up_Irr!BJ20)),IF(AND(up_Irr!L20=".",up_Irr!AK20=".",up_Irr!BJ20&lt;&gt;"."),up_dir!M20/((1/1000)*(up_Irr!BJ20)),IF(AND(up_Irr!L20=".",up_Irr!AK20&lt;&gt;".",up_Irr!BJ20="."),up_dir!M20/((1/1000)*(up_Irr!AK20)),IF(AND(up_Irr!L20&lt;&gt;".",up_Irr!AK20=".",up_Irr!BJ20="."),up_dir!M20/((1/1000)*(up_Irr!L20)),IF(AND(up_Irr!L20=".",up_Irr!AK20=".",up_Irr!BJ20="."),up_dir!M20*1000)))))))),".")</f>
        <v>6.5773651144152131E-4</v>
      </c>
      <c r="N20" s="70">
        <f>IFERROR(IF(AND(up_Irr!M20&lt;&gt;".",up_Irr!AL20&lt;&gt;".",up_Irr!BK20&lt;&gt;"."),up_dir!N20/((1/1000)*(up_Irr!M20+up_Irr!AL20+up_Irr!BK20)),IF(AND(up_Irr!M20&lt;&gt;".",up_Irr!AL20&lt;&gt;".",up_Irr!BK20="."),up_dir!N20/((1/1000)*(up_Irr!M20+up_Irr!AL20)),IF(AND(up_Irr!M20&lt;&gt;".",up_Irr!AL20=".",up_Irr!BK20&lt;&gt;"."),up_dir!N20/((1/1000)*(up_Irr!M20+up_Irr!BK20)),IF(AND(up_Irr!M20=".",up_Irr!AL20&lt;&gt;".",up_Irr!BK20&lt;&gt;"."),up_dir!N20/((1/1000)*(up_Irr!AL20+up_Irr!BK20)),IF(AND(up_Irr!M20=".",up_Irr!AL20=".",up_Irr!BK20&lt;&gt;"."),up_dir!N20/((1/1000)*(up_Irr!BK20)),IF(AND(up_Irr!M20=".",up_Irr!AL20&lt;&gt;".",up_Irr!BK20="."),up_dir!N20/((1/1000)*(up_Irr!AL20)),IF(AND(up_Irr!M20&lt;&gt;".",up_Irr!AL20=".",up_Irr!BK20="."),up_dir!N20/((1/1000)*(up_Irr!M20)),IF(AND(up_Irr!M20=".",up_Irr!AL20=".",up_Irr!BK20="."),up_dir!N20*1000)))))))),".")</f>
        <v>6.5773651144152131E-4</v>
      </c>
      <c r="O20" s="70">
        <f>IFERROR(IF(AND(up_Irr!N20&lt;&gt;".",up_Irr!AM20&lt;&gt;".",up_Irr!BL20&lt;&gt;"."),up_dir!O20/((1/1000)*(up_Irr!N20+up_Irr!AM20+up_Irr!BL20)),IF(AND(up_Irr!N20&lt;&gt;".",up_Irr!AM20&lt;&gt;".",up_Irr!BL20="."),up_dir!O20/((1/1000)*(up_Irr!N20+up_Irr!AM20)),IF(AND(up_Irr!N20&lt;&gt;".",up_Irr!AM20=".",up_Irr!BL20&lt;&gt;"."),up_dir!O20/((1/1000)*(up_Irr!N20+up_Irr!BL20)),IF(AND(up_Irr!N20=".",up_Irr!AM20&lt;&gt;".",up_Irr!BL20&lt;&gt;"."),up_dir!O20/((1/1000)*(up_Irr!AM20+up_Irr!BL20)),IF(AND(up_Irr!N20=".",up_Irr!AM20=".",up_Irr!BL20&lt;&gt;"."),up_dir!O20/((1/1000)*(up_Irr!BL20)),IF(AND(up_Irr!N20=".",up_Irr!AM20&lt;&gt;".",up_Irr!BL20="."),up_dir!O20/((1/1000)*(up_Irr!AM20)),IF(AND(up_Irr!N20&lt;&gt;".",up_Irr!AM20=".",up_Irr!BL20="."),up_dir!O20/((1/1000)*(up_Irr!N20)),IF(AND(up_Irr!N20=".",up_Irr!AM20=".",up_Irr!BL20="."),up_dir!O20*1000)))))))),".")</f>
        <v>6.5773651144152131E-4</v>
      </c>
      <c r="P20" s="70">
        <f>IFERROR(IF(AND(up_Irr!O20&lt;&gt;".",up_Irr!AN20&lt;&gt;".",up_Irr!BM20&lt;&gt;"."),up_dir!P20/((1/1000)*(up_Irr!O20+up_Irr!AN20+up_Irr!BM20)),IF(AND(up_Irr!O20&lt;&gt;".",up_Irr!AN20&lt;&gt;".",up_Irr!BM20="."),up_dir!P20/((1/1000)*(up_Irr!O20+up_Irr!AN20)),IF(AND(up_Irr!O20&lt;&gt;".",up_Irr!AN20=".",up_Irr!BM20&lt;&gt;"."),up_dir!P20/((1/1000)*(up_Irr!O20+up_Irr!BM20)),IF(AND(up_Irr!O20=".",up_Irr!AN20&lt;&gt;".",up_Irr!BM20&lt;&gt;"."),up_dir!P20/((1/1000)*(up_Irr!AN20+up_Irr!BM20)),IF(AND(up_Irr!O20=".",up_Irr!AN20=".",up_Irr!BM20&lt;&gt;"."),up_dir!P20/((1/1000)*(up_Irr!BM20)),IF(AND(up_Irr!O20=".",up_Irr!AN20&lt;&gt;".",up_Irr!BM20="."),up_dir!P20/((1/1000)*(up_Irr!AN20)),IF(AND(up_Irr!O20&lt;&gt;".",up_Irr!AN20=".",up_Irr!BM20="."),up_dir!P20/((1/1000)*(up_Irr!O20)),IF(AND(up_Irr!O20=".",up_Irr!AN20=".",up_Irr!BM20="."),up_dir!P20*1000)))))))),".")</f>
        <v>6.5773651144152131E-4</v>
      </c>
      <c r="Q20" s="70">
        <f>IFERROR(IF(AND(up_Irr!P20&lt;&gt;".",up_Irr!AO20&lt;&gt;".",up_Irr!BN20&lt;&gt;"."),up_dir!Q20/((1/1000)*(up_Irr!P20+up_Irr!AO20+up_Irr!BN20)),IF(AND(up_Irr!P20&lt;&gt;".",up_Irr!AO20&lt;&gt;".",up_Irr!BN20="."),up_dir!Q20/((1/1000)*(up_Irr!P20+up_Irr!AO20)),IF(AND(up_Irr!P20&lt;&gt;".",up_Irr!AO20=".",up_Irr!BN20&lt;&gt;"."),up_dir!Q20/((1/1000)*(up_Irr!P20+up_Irr!BN20)),IF(AND(up_Irr!P20=".",up_Irr!AO20&lt;&gt;".",up_Irr!BN20&lt;&gt;"."),up_dir!Q20/((1/1000)*(up_Irr!AO20+up_Irr!BN20)),IF(AND(up_Irr!P20=".",up_Irr!AO20=".",up_Irr!BN20&lt;&gt;"."),up_dir!Q20/((1/1000)*(up_Irr!BN20)),IF(AND(up_Irr!P20=".",up_Irr!AO20&lt;&gt;".",up_Irr!BN20="."),up_dir!Q20/((1/1000)*(up_Irr!AO20)),IF(AND(up_Irr!P20&lt;&gt;".",up_Irr!AO20=".",up_Irr!BN20="."),up_dir!Q20/((1/1000)*(up_Irr!P20)),IF(AND(up_Irr!P20=".",up_Irr!AO20=".",up_Irr!BN20="."),up_dir!Q20*1000)))))))),".")</f>
        <v>6.5773651144152131E-4</v>
      </c>
      <c r="R20" s="70">
        <f>IFERROR(IF(AND(up_Irr!Q20&lt;&gt;".",up_Irr!AP20&lt;&gt;".",up_Irr!BO20&lt;&gt;"."),up_dir!R20/((1/1000)*(up_Irr!Q20+up_Irr!AP20+up_Irr!BO20)),IF(AND(up_Irr!Q20&lt;&gt;".",up_Irr!AP20&lt;&gt;".",up_Irr!BO20="."),up_dir!R20/((1/1000)*(up_Irr!Q20+up_Irr!AP20)),IF(AND(up_Irr!Q20&lt;&gt;".",up_Irr!AP20=".",up_Irr!BO20&lt;&gt;"."),up_dir!R20/((1/1000)*(up_Irr!Q20+up_Irr!BO20)),IF(AND(up_Irr!Q20=".",up_Irr!AP20&lt;&gt;".",up_Irr!BO20&lt;&gt;"."),up_dir!R20/((1/1000)*(up_Irr!AP20+up_Irr!BO20)),IF(AND(up_Irr!Q20=".",up_Irr!AP20=".",up_Irr!BO20&lt;&gt;"."),up_dir!R20/((1/1000)*(up_Irr!BO20)),IF(AND(up_Irr!Q20=".",up_Irr!AP20&lt;&gt;".",up_Irr!BO20="."),up_dir!R20/((1/1000)*(up_Irr!AP20)),IF(AND(up_Irr!Q20&lt;&gt;".",up_Irr!AP20=".",up_Irr!BO20="."),up_dir!R20/((1/1000)*(up_Irr!Q20)),IF(AND(up_Irr!Q20=".",up_Irr!AP20=".",up_Irr!BO20="."),up_dir!R20*1000)))))))),".")</f>
        <v>6.5773651144152131E-4</v>
      </c>
      <c r="S20" s="70">
        <f>IFERROR(IF(AND(up_Irr!R20&lt;&gt;".",up_Irr!AQ20&lt;&gt;".",up_Irr!BP20&lt;&gt;"."),up_dir!S20/((1/1000)*(up_Irr!R20+up_Irr!AQ20+up_Irr!BP20)),IF(AND(up_Irr!R20&lt;&gt;".",up_Irr!AQ20&lt;&gt;".",up_Irr!BP20="."),up_dir!S20/((1/1000)*(up_Irr!R20+up_Irr!AQ20)),IF(AND(up_Irr!R20&lt;&gt;".",up_Irr!AQ20=".",up_Irr!BP20&lt;&gt;"."),up_dir!S20/((1/1000)*(up_Irr!R20+up_Irr!BP20)),IF(AND(up_Irr!R20=".",up_Irr!AQ20&lt;&gt;".",up_Irr!BP20&lt;&gt;"."),up_dir!S20/((1/1000)*(up_Irr!AQ20+up_Irr!BP20)),IF(AND(up_Irr!R20=".",up_Irr!AQ20=".",up_Irr!BP20&lt;&gt;"."),up_dir!S20/((1/1000)*(up_Irr!BP20)),IF(AND(up_Irr!R20=".",up_Irr!AQ20&lt;&gt;".",up_Irr!BP20="."),up_dir!S20/((1/1000)*(up_Irr!AQ20)),IF(AND(up_Irr!R20&lt;&gt;".",up_Irr!AQ20=".",up_Irr!BP20="."),up_dir!S20/((1/1000)*(up_Irr!R20)),IF(AND(up_Irr!R20=".",up_Irr!AQ20=".",up_Irr!BP20="."),up_dir!S20*1000)))))))),".")</f>
        <v>6.5773651144152131E-4</v>
      </c>
      <c r="T20" s="70">
        <f>IFERROR(IF(AND(up_Irr!S20&lt;&gt;".",up_Irr!AR20&lt;&gt;".",up_Irr!BQ20&lt;&gt;"."),up_dir!T20/((1/1000)*(up_Irr!S20+up_Irr!AR20+up_Irr!BQ20)),IF(AND(up_Irr!S20&lt;&gt;".",up_Irr!AR20&lt;&gt;".",up_Irr!BQ20="."),up_dir!T20/((1/1000)*(up_Irr!S20+up_Irr!AR20)),IF(AND(up_Irr!S20&lt;&gt;".",up_Irr!AR20=".",up_Irr!BQ20&lt;&gt;"."),up_dir!T20/((1/1000)*(up_Irr!S20+up_Irr!BQ20)),IF(AND(up_Irr!S20=".",up_Irr!AR20&lt;&gt;".",up_Irr!BQ20&lt;&gt;"."),up_dir!T20/((1/1000)*(up_Irr!AR20+up_Irr!BQ20)),IF(AND(up_Irr!S20=".",up_Irr!AR20=".",up_Irr!BQ20&lt;&gt;"."),up_dir!T20/((1/1000)*(up_Irr!BQ20)),IF(AND(up_Irr!S20=".",up_Irr!AR20&lt;&gt;".",up_Irr!BQ20="."),up_dir!T20/((1/1000)*(up_Irr!AR20)),IF(AND(up_Irr!S20&lt;&gt;".",up_Irr!AR20=".",up_Irr!BQ20="."),up_dir!T20/((1/1000)*(up_Irr!S20)),IF(AND(up_Irr!S20=".",up_Irr!AR20=".",up_Irr!BQ20="."),up_dir!T20*1000)))))))),".")</f>
        <v>6.5773651144152131E-4</v>
      </c>
      <c r="U20" s="70">
        <f>IFERROR(IF(AND(up_Irr!T20&lt;&gt;".",up_Irr!AS20&lt;&gt;".",up_Irr!BR20&lt;&gt;"."),up_dir!U20/((1/1000)*(up_Irr!T20+up_Irr!AS20+up_Irr!BR20)),IF(AND(up_Irr!T20&lt;&gt;".",up_Irr!AS20&lt;&gt;".",up_Irr!BR20="."),up_dir!U20/((1/1000)*(up_Irr!T20+up_Irr!AS20)),IF(AND(up_Irr!T20&lt;&gt;".",up_Irr!AS20=".",up_Irr!BR20&lt;&gt;"."),up_dir!U20/((1/1000)*(up_Irr!T20+up_Irr!BR20)),IF(AND(up_Irr!T20=".",up_Irr!AS20&lt;&gt;".",up_Irr!BR20&lt;&gt;"."),up_dir!U20/((1/1000)*(up_Irr!AS20+up_Irr!BR20)),IF(AND(up_Irr!T20=".",up_Irr!AS20=".",up_Irr!BR20&lt;&gt;"."),up_dir!U20/((1/1000)*(up_Irr!BR20)),IF(AND(up_Irr!T20=".",up_Irr!AS20&lt;&gt;".",up_Irr!BR20="."),up_dir!U20/((1/1000)*(up_Irr!AS20)),IF(AND(up_Irr!T20&lt;&gt;".",up_Irr!AS20=".",up_Irr!BR20="."),up_dir!U20/((1/1000)*(up_Irr!T20)),IF(AND(up_Irr!T20=".",up_Irr!AS20=".",up_Irr!BR20="."),up_dir!U20*1000)))))))),".")</f>
        <v>6.5773651144152131E-4</v>
      </c>
      <c r="V20" s="70">
        <f>IFERROR(IF(AND(up_Irr!U20&lt;&gt;".",up_Irr!AT20&lt;&gt;".",up_Irr!BS20&lt;&gt;"."),up_dir!V20/((1/1000)*(up_Irr!U20+up_Irr!AT20+up_Irr!BS20)),IF(AND(up_Irr!U20&lt;&gt;".",up_Irr!AT20&lt;&gt;".",up_Irr!BS20="."),up_dir!V20/((1/1000)*(up_Irr!U20+up_Irr!AT20)),IF(AND(up_Irr!U20&lt;&gt;".",up_Irr!AT20=".",up_Irr!BS20&lt;&gt;"."),up_dir!V20/((1/1000)*(up_Irr!U20+up_Irr!BS20)),IF(AND(up_Irr!U20=".",up_Irr!AT20&lt;&gt;".",up_Irr!BS20&lt;&gt;"."),up_dir!V20/((1/1000)*(up_Irr!AT20+up_Irr!BS20)),IF(AND(up_Irr!U20=".",up_Irr!AT20=".",up_Irr!BS20&lt;&gt;"."),up_dir!V20/((1/1000)*(up_Irr!BS20)),IF(AND(up_Irr!U20=".",up_Irr!AT20&lt;&gt;".",up_Irr!BS20="."),up_dir!V20/((1/1000)*(up_Irr!AT20)),IF(AND(up_Irr!U20&lt;&gt;".",up_Irr!AT20=".",up_Irr!BS20="."),up_dir!V20/((1/1000)*(up_Irr!U20)),IF(AND(up_Irr!U20=".",up_Irr!AT20=".",up_Irr!BS20="."),up_dir!V20*1000)))))))),".")</f>
        <v>6.5773651144152131E-4</v>
      </c>
      <c r="W20" s="70">
        <f>IFERROR(IF(AND(up_Irr!V20&lt;&gt;".",up_Irr!AU20&lt;&gt;".",up_Irr!BT20&lt;&gt;"."),up_dir!W20/((1/1000)*(up_Irr!V20+up_Irr!AU20+up_Irr!BT20)),IF(AND(up_Irr!V20&lt;&gt;".",up_Irr!AU20&lt;&gt;".",up_Irr!BT20="."),up_dir!W20/((1/1000)*(up_Irr!V20+up_Irr!AU20)),IF(AND(up_Irr!V20&lt;&gt;".",up_Irr!AU20=".",up_Irr!BT20&lt;&gt;"."),up_dir!W20/((1/1000)*(up_Irr!V20+up_Irr!BT20)),IF(AND(up_Irr!V20=".",up_Irr!AU20&lt;&gt;".",up_Irr!BT20&lt;&gt;"."),up_dir!W20/((1/1000)*(up_Irr!AU20+up_Irr!BT20)),IF(AND(up_Irr!V20=".",up_Irr!AU20=".",up_Irr!BT20&lt;&gt;"."),up_dir!W20/((1/1000)*(up_Irr!BT20)),IF(AND(up_Irr!V20=".",up_Irr!AU20&lt;&gt;".",up_Irr!BT20="."),up_dir!W20/((1/1000)*(up_Irr!AU20)),IF(AND(up_Irr!V20&lt;&gt;".",up_Irr!AU20=".",up_Irr!BT20="."),up_dir!W20/((1/1000)*(up_Irr!V20)),IF(AND(up_Irr!V20=".",up_Irr!AU20=".",up_Irr!BT20="."),up_dir!W20*1000)))))))),".")</f>
        <v>6.5773651144152131E-4</v>
      </c>
      <c r="X20" s="70">
        <f>IFERROR(IF(AND(up_Irr!W20&lt;&gt;".",up_Irr!AV20&lt;&gt;".",up_Irr!BU20&lt;&gt;"."),up_dir!X20/((1/1000)*(up_Irr!W20+up_Irr!AV20+up_Irr!BU20)),IF(AND(up_Irr!W20&lt;&gt;".",up_Irr!AV20&lt;&gt;".",up_Irr!BU20="."),up_dir!X20/((1/1000)*(up_Irr!W20+up_Irr!AV20)),IF(AND(up_Irr!W20&lt;&gt;".",up_Irr!AV20=".",up_Irr!BU20&lt;&gt;"."),up_dir!X20/((1/1000)*(up_Irr!W20+up_Irr!BU20)),IF(AND(up_Irr!W20=".",up_Irr!AV20&lt;&gt;".",up_Irr!BU20&lt;&gt;"."),up_dir!X20/((1/1000)*(up_Irr!AV20+up_Irr!BU20)),IF(AND(up_Irr!W20=".",up_Irr!AV20=".",up_Irr!BU20&lt;&gt;"."),up_dir!X20/((1/1000)*(up_Irr!BU20)),IF(AND(up_Irr!W20=".",up_Irr!AV20&lt;&gt;".",up_Irr!BU20="."),up_dir!X20/((1/1000)*(up_Irr!AV20)),IF(AND(up_Irr!W20&lt;&gt;".",up_Irr!AV20=".",up_Irr!BU20="."),up_dir!X20/((1/1000)*(up_Irr!W20)),IF(AND(up_Irr!W20=".",up_Irr!AV20=".",up_Irr!BU20="."),up_dir!X20*1000)))))))),".")</f>
        <v>6.5773651144152131E-4</v>
      </c>
      <c r="Y20" s="70">
        <f>IFERROR(IF(AND(up_Irr!X20&lt;&gt;".",up_Irr!AW20&lt;&gt;".",up_Irr!BV20&lt;&gt;"."),up_dir!Y20/((1/1000)*(up_Irr!X20+up_Irr!AW20+up_Irr!BV20)),IF(AND(up_Irr!X20&lt;&gt;".",up_Irr!AW20&lt;&gt;".",up_Irr!BV20="."),up_dir!Y20/((1/1000)*(up_Irr!X20+up_Irr!AW20)),IF(AND(up_Irr!X20&lt;&gt;".",up_Irr!AW20=".",up_Irr!BV20&lt;&gt;"."),up_dir!Y20/((1/1000)*(up_Irr!X20+up_Irr!BV20)),IF(AND(up_Irr!X20=".",up_Irr!AW20&lt;&gt;".",up_Irr!BV20&lt;&gt;"."),up_dir!Y20/((1/1000)*(up_Irr!AW20+up_Irr!BV20)),IF(AND(up_Irr!X20=".",up_Irr!AW20=".",up_Irr!BV20&lt;&gt;"."),up_dir!Y20/((1/1000)*(up_Irr!BV20)),IF(AND(up_Irr!X20=".",up_Irr!AW20&lt;&gt;".",up_Irr!BV20="."),up_dir!Y20/((1/1000)*(up_Irr!AW20)),IF(AND(up_Irr!X20&lt;&gt;".",up_Irr!AW20=".",up_Irr!BV20="."),up_dir!Y20/((1/1000)*(up_Irr!X20)),IF(AND(up_Irr!X20=".",up_Irr!AW20=".",up_Irr!BV20="."),up_dir!Y20*1000)))))))),".")</f>
        <v>6.5773651144152131E-4</v>
      </c>
      <c r="Z20" s="70">
        <f>IFERROR(IF(AND(up_Irr!Y20&lt;&gt;".",up_Irr!AX20&lt;&gt;".",up_Irr!BW20&lt;&gt;"."),up_dir!Z20/((1/1000)*(up_Irr!Y20+up_Irr!AX20+up_Irr!BW20)),IF(AND(up_Irr!Y20&lt;&gt;".",up_Irr!AX20&lt;&gt;".",up_Irr!BW20="."),up_dir!Z20/((1/1000)*(up_Irr!Y20+up_Irr!AX20)),IF(AND(up_Irr!Y20&lt;&gt;".",up_Irr!AX20=".",up_Irr!BW20&lt;&gt;"."),up_dir!Z20/((1/1000)*(up_Irr!Y20+up_Irr!BW20)),IF(AND(up_Irr!Y20=".",up_Irr!AX20&lt;&gt;".",up_Irr!BW20&lt;&gt;"."),up_dir!Z20/((1/1000)*(up_Irr!AX20+up_Irr!BW20)),IF(AND(up_Irr!Y20=".",up_Irr!AX20=".",up_Irr!BW20&lt;&gt;"."),up_dir!Z20/((1/1000)*(up_Irr!BW20)),IF(AND(up_Irr!Y20=".",up_Irr!AX20&lt;&gt;".",up_Irr!BW20="."),up_dir!Z20/((1/1000)*(up_Irr!AX20)),IF(AND(up_Irr!Y20&lt;&gt;".",up_Irr!AX20=".",up_Irr!BW20="."),up_dir!Z20/((1/1000)*(up_Irr!Y20)),IF(AND(up_Irr!Y20=".",up_Irr!AX20=".",up_Irr!BW20="."),up_dir!Z20*1000)))))))),".")</f>
        <v>6.5773651144152131E-4</v>
      </c>
      <c r="AA20" s="70">
        <f>IFERROR(IF(AND(up_Irr!Z20&lt;&gt;".",up_Irr!AY20&lt;&gt;".",up_Irr!BX20&lt;&gt;"."),up_dir!AA20/((1/1000)*(up_Irr!Z20+up_Irr!AY20+up_Irr!BX20)),IF(AND(up_Irr!Z20&lt;&gt;".",up_Irr!AY20&lt;&gt;".",up_Irr!BX20="."),up_dir!AA20/((1/1000)*(up_Irr!Z20+up_Irr!AY20)),IF(AND(up_Irr!Z20&lt;&gt;".",up_Irr!AY20=".",up_Irr!BX20&lt;&gt;"."),up_dir!AA20/((1/1000)*(up_Irr!Z20+up_Irr!BX20)),IF(AND(up_Irr!Z20=".",up_Irr!AY20&lt;&gt;".",up_Irr!BX20&lt;&gt;"."),up_dir!AA20/((1/1000)*(up_Irr!AY20+up_Irr!BX20)),IF(AND(up_Irr!Z20=".",up_Irr!AY20=".",up_Irr!BX20&lt;&gt;"."),up_dir!AA20/((1/1000)*(up_Irr!BX20)),IF(AND(up_Irr!Z20=".",up_Irr!AY20&lt;&gt;".",up_Irr!BX20="."),up_dir!AA20/((1/1000)*(up_Irr!AY20)),IF(AND(up_Irr!Z20&lt;&gt;".",up_Irr!AY20=".",up_Irr!BX20="."),up_dir!AA20/((1/1000)*(up_Irr!Z20)),IF(AND(up_Irr!Z20=".",up_Irr!AY20=".",up_Irr!BX20="."),up_dir!AA20*1000)))))))),".")</f>
        <v>6.5773651144152131E-4</v>
      </c>
      <c r="AB20" s="70">
        <f>IFERROR(IF(AND(up_Irr!AA20&lt;&gt;".",up_Irr!AZ20&lt;&gt;".",up_Irr!BY20&lt;&gt;"."),up_dir!AB20/((1/1000)*(up_Irr!AA20+up_Irr!AZ20+up_Irr!BY20)),IF(AND(up_Irr!AA20&lt;&gt;".",up_Irr!AZ20&lt;&gt;".",up_Irr!BY20="."),up_dir!AB20/((1/1000)*(up_Irr!AA20+up_Irr!AZ20)),IF(AND(up_Irr!AA20&lt;&gt;".",up_Irr!AZ20=".",up_Irr!BY20&lt;&gt;"."),up_dir!AB20/((1/1000)*(up_Irr!AA20+up_Irr!BY20)),IF(AND(up_Irr!AA20=".",up_Irr!AZ20&lt;&gt;".",up_Irr!BY20&lt;&gt;"."),up_dir!AB20/((1/1000)*(up_Irr!AZ20+up_Irr!BY20)),IF(AND(up_Irr!AA20=".",up_Irr!AZ20=".",up_Irr!BY20&lt;&gt;"."),up_dir!AB20/((1/1000)*(up_Irr!BY20)),IF(AND(up_Irr!AA20=".",up_Irr!AZ20&lt;&gt;".",up_Irr!BY20="."),up_dir!AB20/((1/1000)*(up_Irr!AZ20)),IF(AND(up_Irr!AA20&lt;&gt;".",up_Irr!AZ20=".",up_Irr!BY20="."),up_dir!AB20/((1/1000)*(up_Irr!AA20)),IF(AND(up_Irr!AA20=".",up_Irr!AZ20=".",up_Irr!BY20="."),up_dir!AB20*1000)))))))),".")</f>
        <v>6.5773651144152131E-4</v>
      </c>
      <c r="AC20" s="87">
        <f t="shared" si="1"/>
        <v>30407.313038114935</v>
      </c>
      <c r="AD20" s="87">
        <f>IFERROR(s_C*s_IFAP_res_adj*s_CF_apple*0.001*(up_Irr!C20+up_Irr!AB20+up_Irr!BA20),".")</f>
        <v>7601.8282595287337</v>
      </c>
      <c r="AE20" s="87">
        <f>IFERROR(s_C*s_IFAS_res_adj*s_CF_asparagus*0.001*(up_Irr!D20+up_Irr!AC20+up_Irr!BB20),".")</f>
        <v>7601.8282595287337</v>
      </c>
      <c r="AF20" s="87">
        <f>IFERROR(s_C*s_IFBT_res_adj*s_CF_beet*0.001*(up_Irr!E20+up_Irr!AD20+up_Irr!BC20),".")</f>
        <v>7601.8282595287337</v>
      </c>
      <c r="AG20" s="87">
        <f>IFERROR(s_C*s_IFBE_res_adj*s_CF_berries*0.001*(up_Irr!F20+up_Irr!AE20+up_Irr!BD20),".")</f>
        <v>7601.8282595287337</v>
      </c>
      <c r="AH20" s="87">
        <f>IFERROR(s_C*s_IFBR_res_adj*s_CF_broccoli*0.001*(up_Irr!G20+up_Irr!AF20+up_Irr!BE20),".")</f>
        <v>7601.8282595287337</v>
      </c>
      <c r="AI20" s="87">
        <f>IFERROR(s_C*s_IFCB_res_adj*s_CF_cabbage*0.001*(up_Irr!H20+up_Irr!AG20+up_Irr!BF20),".")</f>
        <v>7601.8282595287337</v>
      </c>
      <c r="AJ20" s="87">
        <f>IFERROR(s_C*s_IFCR_res_adj*s_CF_carrot*0.001*(up_Irr!I20+up_Irr!AH20+up_Irr!BG20),".")</f>
        <v>7601.8282595287337</v>
      </c>
      <c r="AK20" s="87">
        <f>IFERROR(s_C*s_IFCI_res_adj*s_CF_citrus*0.001*(up_Irr!J20+up_Irr!AI20+up_Irr!BH20),".")</f>
        <v>7601.8282595287337</v>
      </c>
      <c r="AL20" s="87">
        <f>IFERROR(s_C*s_IFCO_res_adj*s_CF_corn*0.001*(up_Irr!K20+up_Irr!AJ20+up_Irr!BI20),".")</f>
        <v>7601.8282595287337</v>
      </c>
      <c r="AM20" s="87">
        <f>IFERROR(s_C*s_IFCU_res_adj*s_CF_cucumber*0.001*(up_Irr!L20+up_Irr!AK20+up_Irr!BJ20),".")</f>
        <v>7601.8282595287337</v>
      </c>
      <c r="AN20" s="87">
        <f>IFERROR(s_C*s_IFLE_res_adj*s_CF_lettuce*0.001*(up_Irr!M20+up_Irr!AL20+up_Irr!BK20),".")</f>
        <v>7601.8282595287337</v>
      </c>
      <c r="AO20" s="87">
        <f>IFERROR(s_C*s_IFLI_res_adj*s_CF_lima_bean*0.001*(up_Irr!N20+up_Irr!AM20+up_Irr!BL20),".")</f>
        <v>7601.8282595287337</v>
      </c>
      <c r="AP20" s="87">
        <f>IFERROR(s_C*s_IFOK_res_adj*s_CF_okra*0.001*(up_Irr!O20+up_Irr!AN20+up_Irr!BM20),".")</f>
        <v>7601.8282595287337</v>
      </c>
      <c r="AQ20" s="87">
        <f>IFERROR(s_C*s_IFON_res_adj*s_CF_onion*0.001*(up_Irr!P20+up_Irr!AO20+up_Irr!BN20),".")</f>
        <v>7601.8282595287337</v>
      </c>
      <c r="AR20" s="87">
        <f>IFERROR(s_C*s_IFPC_res_adj*s_CF_peach*0.001*(up_Irr!Q20+up_Irr!AP20+up_Irr!BO20),".")</f>
        <v>7601.8282595287337</v>
      </c>
      <c r="AS20" s="87">
        <f>IFERROR(s_C*s_IFPR_res_adj*s_CF_pear*0.001*(up_Irr!R20+up_Irr!AQ20+up_Irr!BP20),".")</f>
        <v>7601.8282595287337</v>
      </c>
      <c r="AT20" s="87">
        <f>IFERROR(s_C*s_IFPE_res_adj*s_CF_peas*0.001*(up_Irr!S20+up_Irr!AR20+up_Irr!BQ20),".")</f>
        <v>7601.8282595287337</v>
      </c>
      <c r="AU20" s="87">
        <f>IFERROR(s_C*s_IFPP_res_adj*s_CF_peppers*0.001*(up_Irr!T20+up_Irr!AS20+up_Irr!BR20),".")</f>
        <v>7601.8282595287337</v>
      </c>
      <c r="AV20" s="87">
        <f>IFERROR(s_C*s_IFPT_res_adj*s_CF_potato*0.001*(up_Irr!U20+up_Irr!AT20+up_Irr!BS20),".")</f>
        <v>7601.8282595287337</v>
      </c>
      <c r="AW20" s="87">
        <f>IFERROR(s_C*s_IFPU_res_adj*s_CF_pumpkin*0.001*(up_Irr!V20+up_Irr!AU20+up_Irr!BT20),".")</f>
        <v>7601.8282595287337</v>
      </c>
      <c r="AX20" s="87">
        <f>IFERROR(s_C*s_IFSN_res_adj*s_CF_snap_bean*0.001*(up_Irr!W20+up_Irr!AV20+up_Irr!BU20),".")</f>
        <v>7601.8282595287337</v>
      </c>
      <c r="AY20" s="87">
        <f>IFERROR(s_C*s_IFST_res_adj*s_CF_strawberry*0.001*(up_Irr!X20+up_Irr!AW20+up_Irr!BV20),".")</f>
        <v>7601.8282595287337</v>
      </c>
      <c r="AZ20" s="87">
        <f>IFERROR(s_C*s_IFTO_res_adj*s_CF_tomato*0.001*(up_Irr!Y20+up_Irr!AX20+up_Irr!BW20),".")</f>
        <v>7601.8282595287337</v>
      </c>
      <c r="BA20" s="87">
        <f>IFERROR(s_C*s_IFRI_res_adj*s_CF_rice*0.001*(up_Irr!Z20+up_Irr!AY20+up_Irr!BX20),".")</f>
        <v>7601.8282595287337</v>
      </c>
      <c r="BB20" s="87">
        <f>IFERROR(s_C*s_IFCG_res_adj*s_CF_cereal*0.001*(up_Irr!AA20+up_Irr!AZ20+up_Irr!BY20),".")</f>
        <v>7601.8282595287337</v>
      </c>
      <c r="BC20" s="70">
        <f t="shared" si="2"/>
        <v>1.6443412786038033E-4</v>
      </c>
      <c r="BD20" s="70">
        <f>IFERROR(IF(AND(up_Irr!C20&lt;&gt;".",up_Irr!AB20&lt;&gt;".",up_Irr!BA20&lt;&gt;"."),up_dir!AD20/((1/1000)*(up_Irr!C20+up_Irr!AB20+up_Irr!BA20)),IF(AND(up_Irr!C20&lt;&gt;".",up_Irr!AB20&lt;&gt;".",up_Irr!BA20="."),up_dir!AD20/((1/1000)*(up_Irr!C20+up_Irr!AB20)),IF(AND(up_Irr!C20&lt;&gt;".",up_Irr!AB20=".",up_Irr!BA20&lt;&gt;"."),up_dir!AD20/((1/1000)*(up_Irr!C20+up_Irr!BA20)),IF(AND(up_Irr!C20=".",up_Irr!AB20&lt;&gt;".",up_Irr!BA20&lt;&gt;"."),up_dir!AD20/((1/1000)*(up_Irr!AB20+up_Irr!BA20)),IF(AND(up_Irr!C20=".",up_Irr!AB20=".",up_Irr!BA20&lt;&gt;"."),up_dir!AD20/((1/1000)*(up_Irr!BA20)),IF(AND(up_Irr!C20=".",up_Irr!AB20&lt;&gt;".",up_Irr!BA20="."),up_dir!AD20/((1/1000)*(up_Irr!AB20)),IF(AND(up_Irr!C20&lt;&gt;".",up_Irr!AB20=".",up_Irr!BA20="."),up_dir!AD20/((1/1000)*(up_Irr!C20)),IF(AND(up_Irr!C20=".",up_Irr!AB20=".",up_Irr!BA20="."),up_dir!AD20*1000)))))))),".")</f>
        <v>6.5773651144152131E-4</v>
      </c>
      <c r="BE20" s="70">
        <f>IFERROR(IF(AND(up_Irr!D20&lt;&gt;".",up_Irr!AC20&lt;&gt;".",up_Irr!BB20&lt;&gt;"."),up_dir!AE20/((1/1000)*(up_Irr!D20+up_Irr!AC20+up_Irr!BB20)),IF(AND(up_Irr!D20&lt;&gt;".",up_Irr!AC20&lt;&gt;".",up_Irr!BB20="."),up_dir!AE20/((1/1000)*(up_Irr!D20+up_Irr!AC20)),IF(AND(up_Irr!D20&lt;&gt;".",up_Irr!AC20=".",up_Irr!BB20&lt;&gt;"."),up_dir!AE20/((1/1000)*(up_Irr!D20+up_Irr!BB20)),IF(AND(up_Irr!D20=".",up_Irr!AC20&lt;&gt;".",up_Irr!BB20&lt;&gt;"."),up_dir!AE20/((1/1000)*(up_Irr!AC20+up_Irr!BB20)),IF(AND(up_Irr!D20=".",up_Irr!AC20=".",up_Irr!BB20&lt;&gt;"."),up_dir!AE20/((1/1000)*(up_Irr!BB20)),IF(AND(up_Irr!D20=".",up_Irr!AC20&lt;&gt;".",up_Irr!BB20="."),up_dir!AE20/((1/1000)*(up_Irr!AC20)),IF(AND(up_Irr!D20&lt;&gt;".",up_Irr!AC20=".",up_Irr!BB20="."),up_dir!AE20/((1/1000)*(up_Irr!D20)),IF(AND(up_Irr!D20=".",up_Irr!AC20=".",up_Irr!BB20="."),up_dir!AE20*1000)))))))),".")</f>
        <v>6.5773651144152131E-4</v>
      </c>
      <c r="BF20" s="70">
        <f>IFERROR(IF(AND(up_Irr!E20&lt;&gt;".",up_Irr!AD20&lt;&gt;".",up_Irr!BC20&lt;&gt;"."),up_dir!AF20/((1/1000)*(up_Irr!E20+up_Irr!AD20+up_Irr!BC20)),IF(AND(up_Irr!E20&lt;&gt;".",up_Irr!AD20&lt;&gt;".",up_Irr!BC20="."),up_dir!AF20/((1/1000)*(up_Irr!E20+up_Irr!AD20)),IF(AND(up_Irr!E20&lt;&gt;".",up_Irr!AD20=".",up_Irr!BC20&lt;&gt;"."),up_dir!AF20/((1/1000)*(up_Irr!E20+up_Irr!BC20)),IF(AND(up_Irr!E20=".",up_Irr!AD20&lt;&gt;".",up_Irr!BC20&lt;&gt;"."),up_dir!AF20/((1/1000)*(up_Irr!AD20+up_Irr!BC20)),IF(AND(up_Irr!E20=".",up_Irr!AD20=".",up_Irr!BC20&lt;&gt;"."),up_dir!AF20/((1/1000)*(up_Irr!BC20)),IF(AND(up_Irr!E20=".",up_Irr!AD20&lt;&gt;".",up_Irr!BC20="."),up_dir!AF20/((1/1000)*(up_Irr!AD20)),IF(AND(up_Irr!E20&lt;&gt;".",up_Irr!AD20=".",up_Irr!BC20="."),up_dir!AF20/((1/1000)*(up_Irr!E20)),IF(AND(up_Irr!E20=".",up_Irr!AD20=".",up_Irr!BC20="."),up_dir!AF20*1000)))))))),".")</f>
        <v>6.5773651144152131E-4</v>
      </c>
      <c r="BG20" s="70">
        <f>IFERROR(IF(AND(up_Irr!F20&lt;&gt;".",up_Irr!AE20&lt;&gt;".",up_Irr!BD20&lt;&gt;"."),up_dir!AG20/((1/1000)*(up_Irr!F20+up_Irr!AE20+up_Irr!BD20)),IF(AND(up_Irr!F20&lt;&gt;".",up_Irr!AE20&lt;&gt;".",up_Irr!BD20="."),up_dir!AG20/((1/1000)*(up_Irr!F20+up_Irr!AE20)),IF(AND(up_Irr!F20&lt;&gt;".",up_Irr!AE20=".",up_Irr!BD20&lt;&gt;"."),up_dir!AG20/((1/1000)*(up_Irr!F20+up_Irr!BD20)),IF(AND(up_Irr!F20=".",up_Irr!AE20&lt;&gt;".",up_Irr!BD20&lt;&gt;"."),up_dir!AG20/((1/1000)*(up_Irr!AE20+up_Irr!BD20)),IF(AND(up_Irr!F20=".",up_Irr!AE20=".",up_Irr!BD20&lt;&gt;"."),up_dir!AG20/((1/1000)*(up_Irr!BD20)),IF(AND(up_Irr!F20=".",up_Irr!AE20&lt;&gt;".",up_Irr!BD20="."),up_dir!AG20/((1/1000)*(up_Irr!AE20)),IF(AND(up_Irr!F20&lt;&gt;".",up_Irr!AE20=".",up_Irr!BD20="."),up_dir!AG20/((1/1000)*(up_Irr!F20)),IF(AND(up_Irr!F20=".",up_Irr!AE20=".",up_Irr!BD20="."),up_dir!AG20*1000)))))))),".")</f>
        <v>6.5773651144152131E-4</v>
      </c>
      <c r="BH20" s="70">
        <f>IFERROR(IF(AND(up_Irr!G20&lt;&gt;".",up_Irr!AF20&lt;&gt;".",up_Irr!BE20&lt;&gt;"."),up_dir!AH20/((1/1000)*(up_Irr!G20+up_Irr!AF20+up_Irr!BE20)),IF(AND(up_Irr!G20&lt;&gt;".",up_Irr!AF20&lt;&gt;".",up_Irr!BE20="."),up_dir!AH20/((1/1000)*(up_Irr!G20+up_Irr!AF20)),IF(AND(up_Irr!G20&lt;&gt;".",up_Irr!AF20=".",up_Irr!BE20&lt;&gt;"."),up_dir!AH20/((1/1000)*(up_Irr!G20+up_Irr!BE20)),IF(AND(up_Irr!G20=".",up_Irr!AF20&lt;&gt;".",up_Irr!BE20&lt;&gt;"."),up_dir!AH20/((1/1000)*(up_Irr!AF20+up_Irr!BE20)),IF(AND(up_Irr!G20=".",up_Irr!AF20=".",up_Irr!BE20&lt;&gt;"."),up_dir!AH20/((1/1000)*(up_Irr!BE20)),IF(AND(up_Irr!G20=".",up_Irr!AF20&lt;&gt;".",up_Irr!BE20="."),up_dir!AH20/((1/1000)*(up_Irr!AF20)),IF(AND(up_Irr!G20&lt;&gt;".",up_Irr!AF20=".",up_Irr!BE20="."),up_dir!AH20/((1/1000)*(up_Irr!G20)),IF(AND(up_Irr!G20=".",up_Irr!AF20=".",up_Irr!BE20="."),up_dir!AH20*1000)))))))),".")</f>
        <v>6.5773651144152131E-4</v>
      </c>
      <c r="BI20" s="70">
        <f>IFERROR(IF(AND(up_Irr!H20&lt;&gt;".",up_Irr!AG20&lt;&gt;".",up_Irr!BF20&lt;&gt;"."),up_dir!AI20/((1/1000)*(up_Irr!H20+up_Irr!AG20+up_Irr!BF20)),IF(AND(up_Irr!H20&lt;&gt;".",up_Irr!AG20&lt;&gt;".",up_Irr!BF20="."),up_dir!AI20/((1/1000)*(up_Irr!H20+up_Irr!AG20)),IF(AND(up_Irr!H20&lt;&gt;".",up_Irr!AG20=".",up_Irr!BF20&lt;&gt;"."),up_dir!AI20/((1/1000)*(up_Irr!H20+up_Irr!BF20)),IF(AND(up_Irr!H20=".",up_Irr!AG20&lt;&gt;".",up_Irr!BF20&lt;&gt;"."),up_dir!AI20/((1/1000)*(up_Irr!AG20+up_Irr!BF20)),IF(AND(up_Irr!H20=".",up_Irr!AG20=".",up_Irr!BF20&lt;&gt;"."),up_dir!AI20/((1/1000)*(up_Irr!BF20)),IF(AND(up_Irr!H20=".",up_Irr!AG20&lt;&gt;".",up_Irr!BF20="."),up_dir!AI20/((1/1000)*(up_Irr!AG20)),IF(AND(up_Irr!H20&lt;&gt;".",up_Irr!AG20=".",up_Irr!BF20="."),up_dir!AI20/((1/1000)*(up_Irr!H20)),IF(AND(up_Irr!H20=".",up_Irr!AG20=".",up_Irr!BF20="."),up_dir!AI20*1000)))))))),".")</f>
        <v>6.5773651144152131E-4</v>
      </c>
      <c r="BJ20" s="70">
        <f>IFERROR(IF(AND(up_Irr!I20&lt;&gt;".",up_Irr!AH20&lt;&gt;".",up_Irr!BG20&lt;&gt;"."),up_dir!AJ20/((1/1000)*(up_Irr!I20+up_Irr!AH20+up_Irr!BG20)),IF(AND(up_Irr!I20&lt;&gt;".",up_Irr!AH20&lt;&gt;".",up_Irr!BG20="."),up_dir!AJ20/((1/1000)*(up_Irr!I20+up_Irr!AH20)),IF(AND(up_Irr!I20&lt;&gt;".",up_Irr!AH20=".",up_Irr!BG20&lt;&gt;"."),up_dir!AJ20/((1/1000)*(up_Irr!I20+up_Irr!BG20)),IF(AND(up_Irr!I20=".",up_Irr!AH20&lt;&gt;".",up_Irr!BG20&lt;&gt;"."),up_dir!AJ20/((1/1000)*(up_Irr!AH20+up_Irr!BG20)),IF(AND(up_Irr!I20=".",up_Irr!AH20=".",up_Irr!BG20&lt;&gt;"."),up_dir!AJ20/((1/1000)*(up_Irr!BG20)),IF(AND(up_Irr!I20=".",up_Irr!AH20&lt;&gt;".",up_Irr!BG20="."),up_dir!AJ20/((1/1000)*(up_Irr!AH20)),IF(AND(up_Irr!I20&lt;&gt;".",up_Irr!AH20=".",up_Irr!BG20="."),up_dir!AJ20/((1/1000)*(up_Irr!I20)),IF(AND(up_Irr!I20=".",up_Irr!AH20=".",up_Irr!BG20="."),up_dir!AJ20*1000)))))))),".")</f>
        <v>6.5773651144152131E-4</v>
      </c>
      <c r="BK20" s="70">
        <f>IFERROR(IF(AND(up_Irr!J20&lt;&gt;".",up_Irr!AI20&lt;&gt;".",up_Irr!BH20&lt;&gt;"."),up_dir!AK20/((1/1000)*(up_Irr!J20+up_Irr!AI20+up_Irr!BH20)),IF(AND(up_Irr!J20&lt;&gt;".",up_Irr!AI20&lt;&gt;".",up_Irr!BH20="."),up_dir!AK20/((1/1000)*(up_Irr!J20+up_Irr!AI20)),IF(AND(up_Irr!J20&lt;&gt;".",up_Irr!AI20=".",up_Irr!BH20&lt;&gt;"."),up_dir!AK20/((1/1000)*(up_Irr!J20+up_Irr!BH20)),IF(AND(up_Irr!J20=".",up_Irr!AI20&lt;&gt;".",up_Irr!BH20&lt;&gt;"."),up_dir!AK20/((1/1000)*(up_Irr!AI20+up_Irr!BH20)),IF(AND(up_Irr!J20=".",up_Irr!AI20=".",up_Irr!BH20&lt;&gt;"."),up_dir!AK20/((1/1000)*(up_Irr!BH20)),IF(AND(up_Irr!J20=".",up_Irr!AI20&lt;&gt;".",up_Irr!BH20="."),up_dir!AK20/((1/1000)*(up_Irr!AI20)),IF(AND(up_Irr!J20&lt;&gt;".",up_Irr!AI20=".",up_Irr!BH20="."),up_dir!AK20/((1/1000)*(up_Irr!J20)),IF(AND(up_Irr!J20=".",up_Irr!AI20=".",up_Irr!BH20="."),up_dir!AK20*1000)))))))),".")</f>
        <v>6.5773651144152131E-4</v>
      </c>
      <c r="BL20" s="70">
        <f>IFERROR(IF(AND(up_Irr!K20&lt;&gt;".",up_Irr!AJ20&lt;&gt;".",up_Irr!BI20&lt;&gt;"."),up_dir!AL20/((1/1000)*(up_Irr!K20+up_Irr!AJ20+up_Irr!BI20)),IF(AND(up_Irr!K20&lt;&gt;".",up_Irr!AJ20&lt;&gt;".",up_Irr!BI20="."),up_dir!AL20/((1/1000)*(up_Irr!K20+up_Irr!AJ20)),IF(AND(up_Irr!K20&lt;&gt;".",up_Irr!AJ20=".",up_Irr!BI20&lt;&gt;"."),up_dir!AL20/((1/1000)*(up_Irr!K20+up_Irr!BI20)),IF(AND(up_Irr!K20=".",up_Irr!AJ20&lt;&gt;".",up_Irr!BI20&lt;&gt;"."),up_dir!AL20/((1/1000)*(up_Irr!AJ20+up_Irr!BI20)),IF(AND(up_Irr!K20=".",up_Irr!AJ20=".",up_Irr!BI20&lt;&gt;"."),up_dir!AL20/((1/1000)*(up_Irr!BI20)),IF(AND(up_Irr!K20=".",up_Irr!AJ20&lt;&gt;".",up_Irr!BI20="."),up_dir!AL20/((1/1000)*(up_Irr!AJ20)),IF(AND(up_Irr!K20&lt;&gt;".",up_Irr!AJ20=".",up_Irr!BI20="."),up_dir!AL20/((1/1000)*(up_Irr!K20)),IF(AND(up_Irr!K20=".",up_Irr!AJ20=".",up_Irr!BI20="."),up_dir!AL20*1000)))))))),".")</f>
        <v>6.5773651144152131E-4</v>
      </c>
      <c r="BM20" s="70">
        <f>IFERROR(IF(AND(up_Irr!L20&lt;&gt;".",up_Irr!AK20&lt;&gt;".",up_Irr!BJ20&lt;&gt;"."),up_dir!AM20/((1/1000)*(up_Irr!L20+up_Irr!AK20+up_Irr!BJ20)),IF(AND(up_Irr!L20&lt;&gt;".",up_Irr!AK20&lt;&gt;".",up_Irr!BJ20="."),up_dir!AM20/((1/1000)*(up_Irr!L20+up_Irr!AK20)),IF(AND(up_Irr!L20&lt;&gt;".",up_Irr!AK20=".",up_Irr!BJ20&lt;&gt;"."),up_dir!AM20/((1/1000)*(up_Irr!L20+up_Irr!BJ20)),IF(AND(up_Irr!L20=".",up_Irr!AK20&lt;&gt;".",up_Irr!BJ20&lt;&gt;"."),up_dir!AM20/((1/1000)*(up_Irr!AK20+up_Irr!BJ20)),IF(AND(up_Irr!L20=".",up_Irr!AK20=".",up_Irr!BJ20&lt;&gt;"."),up_dir!AM20/((1/1000)*(up_Irr!BJ20)),IF(AND(up_Irr!L20=".",up_Irr!AK20&lt;&gt;".",up_Irr!BJ20="."),up_dir!AM20/((1/1000)*(up_Irr!AK20)),IF(AND(up_Irr!L20&lt;&gt;".",up_Irr!AK20=".",up_Irr!BJ20="."),up_dir!AM20/((1/1000)*(up_Irr!L20)),IF(AND(up_Irr!L20=".",up_Irr!AK20=".",up_Irr!BJ20="."),up_dir!AM20*1000)))))))),".")</f>
        <v>6.5773651144152131E-4</v>
      </c>
      <c r="BN20" s="70">
        <f>IFERROR(IF(AND(up_Irr!M20&lt;&gt;".",up_Irr!AL20&lt;&gt;".",up_Irr!BK20&lt;&gt;"."),up_dir!AN20/((1/1000)*(up_Irr!M20+up_Irr!AL20+up_Irr!BK20)),IF(AND(up_Irr!M20&lt;&gt;".",up_Irr!AL20&lt;&gt;".",up_Irr!BK20="."),up_dir!AN20/((1/1000)*(up_Irr!M20+up_Irr!AL20)),IF(AND(up_Irr!M20&lt;&gt;".",up_Irr!AL20=".",up_Irr!BK20&lt;&gt;"."),up_dir!AN20/((1/1000)*(up_Irr!M20+up_Irr!BK20)),IF(AND(up_Irr!M20=".",up_Irr!AL20&lt;&gt;".",up_Irr!BK20&lt;&gt;"."),up_dir!AN20/((1/1000)*(up_Irr!AL20+up_Irr!BK20)),IF(AND(up_Irr!M20=".",up_Irr!AL20=".",up_Irr!BK20&lt;&gt;"."),up_dir!AN20/((1/1000)*(up_Irr!BK20)),IF(AND(up_Irr!M20=".",up_Irr!AL20&lt;&gt;".",up_Irr!BK20="."),up_dir!AN20/((1/1000)*(up_Irr!AL20)),IF(AND(up_Irr!M20&lt;&gt;".",up_Irr!AL20=".",up_Irr!BK20="."),up_dir!AN20/((1/1000)*(up_Irr!M20)),IF(AND(up_Irr!M20=".",up_Irr!AL20=".",up_Irr!BK20="."),up_dir!AN20*1000)))))))),".")</f>
        <v>6.5773651144152131E-4</v>
      </c>
      <c r="BO20" s="70">
        <f>IFERROR(IF(AND(up_Irr!N20&lt;&gt;".",up_Irr!AM20&lt;&gt;".",up_Irr!BL20&lt;&gt;"."),up_dir!AO20/((1/1000)*(up_Irr!N20+up_Irr!AM20+up_Irr!BL20)),IF(AND(up_Irr!N20&lt;&gt;".",up_Irr!AM20&lt;&gt;".",up_Irr!BL20="."),up_dir!AO20/((1/1000)*(up_Irr!N20+up_Irr!AM20)),IF(AND(up_Irr!N20&lt;&gt;".",up_Irr!AM20=".",up_Irr!BL20&lt;&gt;"."),up_dir!AO20/((1/1000)*(up_Irr!N20+up_Irr!BL20)),IF(AND(up_Irr!N20=".",up_Irr!AM20&lt;&gt;".",up_Irr!BL20&lt;&gt;"."),up_dir!AO20/((1/1000)*(up_Irr!AM20+up_Irr!BL20)),IF(AND(up_Irr!N20=".",up_Irr!AM20=".",up_Irr!BL20&lt;&gt;"."),up_dir!AO20/((1/1000)*(up_Irr!BL20)),IF(AND(up_Irr!N20=".",up_Irr!AM20&lt;&gt;".",up_Irr!BL20="."),up_dir!AO20/((1/1000)*(up_Irr!AM20)),IF(AND(up_Irr!N20&lt;&gt;".",up_Irr!AM20=".",up_Irr!BL20="."),up_dir!AO20/((1/1000)*(up_Irr!N20)),IF(AND(up_Irr!N20=".",up_Irr!AM20=".",up_Irr!BL20="."),up_dir!AO20*1000)))))))),".")</f>
        <v>6.5773651144152131E-4</v>
      </c>
      <c r="BP20" s="70">
        <f>IFERROR(IF(AND(up_Irr!O20&lt;&gt;".",up_Irr!AN20&lt;&gt;".",up_Irr!BM20&lt;&gt;"."),up_dir!AP20/((1/1000)*(up_Irr!O20+up_Irr!AN20+up_Irr!BM20)),IF(AND(up_Irr!O20&lt;&gt;".",up_Irr!AN20&lt;&gt;".",up_Irr!BM20="."),up_dir!AP20/((1/1000)*(up_Irr!O20+up_Irr!AN20)),IF(AND(up_Irr!O20&lt;&gt;".",up_Irr!AN20=".",up_Irr!BM20&lt;&gt;"."),up_dir!AP20/((1/1000)*(up_Irr!O20+up_Irr!BM20)),IF(AND(up_Irr!O20=".",up_Irr!AN20&lt;&gt;".",up_Irr!BM20&lt;&gt;"."),up_dir!AP20/((1/1000)*(up_Irr!AN20+up_Irr!BM20)),IF(AND(up_Irr!O20=".",up_Irr!AN20=".",up_Irr!BM20&lt;&gt;"."),up_dir!AP20/((1/1000)*(up_Irr!BM20)),IF(AND(up_Irr!O20=".",up_Irr!AN20&lt;&gt;".",up_Irr!BM20="."),up_dir!AP20/((1/1000)*(up_Irr!AN20)),IF(AND(up_Irr!O20&lt;&gt;".",up_Irr!AN20=".",up_Irr!BM20="."),up_dir!AP20/((1/1000)*(up_Irr!O20)),IF(AND(up_Irr!O20=".",up_Irr!AN20=".",up_Irr!BM20="."),up_dir!AP20*1000)))))))),".")</f>
        <v>6.5773651144152131E-4</v>
      </c>
      <c r="BQ20" s="70">
        <f>IFERROR(IF(AND(up_Irr!P20&lt;&gt;".",up_Irr!AO20&lt;&gt;".",up_Irr!BN20&lt;&gt;"."),up_dir!AQ20/((1/1000)*(up_Irr!P20+up_Irr!AO20+up_Irr!BN20)),IF(AND(up_Irr!P20&lt;&gt;".",up_Irr!AO20&lt;&gt;".",up_Irr!BN20="."),up_dir!AQ20/((1/1000)*(up_Irr!P20+up_Irr!AO20)),IF(AND(up_Irr!P20&lt;&gt;".",up_Irr!AO20=".",up_Irr!BN20&lt;&gt;"."),up_dir!AQ20/((1/1000)*(up_Irr!P20+up_Irr!BN20)),IF(AND(up_Irr!P20=".",up_Irr!AO20&lt;&gt;".",up_Irr!BN20&lt;&gt;"."),up_dir!AQ20/((1/1000)*(up_Irr!AO20+up_Irr!BN20)),IF(AND(up_Irr!P20=".",up_Irr!AO20=".",up_Irr!BN20&lt;&gt;"."),up_dir!AQ20/((1/1000)*(up_Irr!BN20)),IF(AND(up_Irr!P20=".",up_Irr!AO20&lt;&gt;".",up_Irr!BN20="."),up_dir!AQ20/((1/1000)*(up_Irr!AO20)),IF(AND(up_Irr!P20&lt;&gt;".",up_Irr!AO20=".",up_Irr!BN20="."),up_dir!AQ20/((1/1000)*(up_Irr!P20)),IF(AND(up_Irr!P20=".",up_Irr!AO20=".",up_Irr!BN20="."),up_dir!AQ20*1000)))))))),".")</f>
        <v>6.5773651144152131E-4</v>
      </c>
      <c r="BR20" s="70">
        <f>IFERROR(IF(AND(up_Irr!Q20&lt;&gt;".",up_Irr!AP20&lt;&gt;".",up_Irr!BO20&lt;&gt;"."),up_dir!AR20/((1/1000)*(up_Irr!Q20+up_Irr!AP20+up_Irr!BO20)),IF(AND(up_Irr!Q20&lt;&gt;".",up_Irr!AP20&lt;&gt;".",up_Irr!BO20="."),up_dir!AR20/((1/1000)*(up_Irr!Q20+up_Irr!AP20)),IF(AND(up_Irr!Q20&lt;&gt;".",up_Irr!AP20=".",up_Irr!BO20&lt;&gt;"."),up_dir!AR20/((1/1000)*(up_Irr!Q20+up_Irr!BO20)),IF(AND(up_Irr!Q20=".",up_Irr!AP20&lt;&gt;".",up_Irr!BO20&lt;&gt;"."),up_dir!AR20/((1/1000)*(up_Irr!AP20+up_Irr!BO20)),IF(AND(up_Irr!Q20=".",up_Irr!AP20=".",up_Irr!BO20&lt;&gt;"."),up_dir!AR20/((1/1000)*(up_Irr!BO20)),IF(AND(up_Irr!Q20=".",up_Irr!AP20&lt;&gt;".",up_Irr!BO20="."),up_dir!AR20/((1/1000)*(up_Irr!AP20)),IF(AND(up_Irr!Q20&lt;&gt;".",up_Irr!AP20=".",up_Irr!BO20="."),up_dir!AR20/((1/1000)*(up_Irr!Q20)),IF(AND(up_Irr!Q20=".",up_Irr!AP20=".",up_Irr!BO20="."),up_dir!AR20*1000)))))))),".")</f>
        <v>6.5773651144152131E-4</v>
      </c>
      <c r="BS20" s="70">
        <f>IFERROR(IF(AND(up_Irr!R20&lt;&gt;".",up_Irr!AQ20&lt;&gt;".",up_Irr!BP20&lt;&gt;"."),up_dir!AS20/((1/1000)*(up_Irr!R20+up_Irr!AQ20+up_Irr!BP20)),IF(AND(up_Irr!R20&lt;&gt;".",up_Irr!AQ20&lt;&gt;".",up_Irr!BP20="."),up_dir!AS20/((1/1000)*(up_Irr!R20+up_Irr!AQ20)),IF(AND(up_Irr!R20&lt;&gt;".",up_Irr!AQ20=".",up_Irr!BP20&lt;&gt;"."),up_dir!AS20/((1/1000)*(up_Irr!R20+up_Irr!BP20)),IF(AND(up_Irr!R20=".",up_Irr!AQ20&lt;&gt;".",up_Irr!BP20&lt;&gt;"."),up_dir!AS20/((1/1000)*(up_Irr!AQ20+up_Irr!BP20)),IF(AND(up_Irr!R20=".",up_Irr!AQ20=".",up_Irr!BP20&lt;&gt;"."),up_dir!AS20/((1/1000)*(up_Irr!BP20)),IF(AND(up_Irr!R20=".",up_Irr!AQ20&lt;&gt;".",up_Irr!BP20="."),up_dir!AS20/((1/1000)*(up_Irr!AQ20)),IF(AND(up_Irr!R20&lt;&gt;".",up_Irr!AQ20=".",up_Irr!BP20="."),up_dir!AS20/((1/1000)*(up_Irr!R20)),IF(AND(up_Irr!R20=".",up_Irr!AQ20=".",up_Irr!BP20="."),up_dir!AS20*1000)))))))),".")</f>
        <v>6.5773651144152131E-4</v>
      </c>
      <c r="BT20" s="70">
        <f>IFERROR(IF(AND(up_Irr!S20&lt;&gt;".",up_Irr!AR20&lt;&gt;".",up_Irr!BQ20&lt;&gt;"."),up_dir!AT20/((1/1000)*(up_Irr!S20+up_Irr!AR20+up_Irr!BQ20)),IF(AND(up_Irr!S20&lt;&gt;".",up_Irr!AR20&lt;&gt;".",up_Irr!BQ20="."),up_dir!AT20/((1/1000)*(up_Irr!S20+up_Irr!AR20)),IF(AND(up_Irr!S20&lt;&gt;".",up_Irr!AR20=".",up_Irr!BQ20&lt;&gt;"."),up_dir!AT20/((1/1000)*(up_Irr!S20+up_Irr!BQ20)),IF(AND(up_Irr!S20=".",up_Irr!AR20&lt;&gt;".",up_Irr!BQ20&lt;&gt;"."),up_dir!AT20/((1/1000)*(up_Irr!AR20+up_Irr!BQ20)),IF(AND(up_Irr!S20=".",up_Irr!AR20=".",up_Irr!BQ20&lt;&gt;"."),up_dir!AT20/((1/1000)*(up_Irr!BQ20)),IF(AND(up_Irr!S20=".",up_Irr!AR20&lt;&gt;".",up_Irr!BQ20="."),up_dir!AT20/((1/1000)*(up_Irr!AR20)),IF(AND(up_Irr!S20&lt;&gt;".",up_Irr!AR20=".",up_Irr!BQ20="."),up_dir!AT20/((1/1000)*(up_Irr!S20)),IF(AND(up_Irr!S20=".",up_Irr!AR20=".",up_Irr!BQ20="."),up_dir!AT20*1000)))))))),".")</f>
        <v>6.5773651144152131E-4</v>
      </c>
      <c r="BU20" s="70">
        <f>IFERROR(IF(AND(up_Irr!T20&lt;&gt;".",up_Irr!AS20&lt;&gt;".",up_Irr!BR20&lt;&gt;"."),up_dir!AU20/((1/1000)*(up_Irr!T20+up_Irr!AS20+up_Irr!BR20)),IF(AND(up_Irr!T20&lt;&gt;".",up_Irr!AS20&lt;&gt;".",up_Irr!BR20="."),up_dir!AU20/((1/1000)*(up_Irr!T20+up_Irr!AS20)),IF(AND(up_Irr!T20&lt;&gt;".",up_Irr!AS20=".",up_Irr!BR20&lt;&gt;"."),up_dir!AU20/((1/1000)*(up_Irr!T20+up_Irr!BR20)),IF(AND(up_Irr!T20=".",up_Irr!AS20&lt;&gt;".",up_Irr!BR20&lt;&gt;"."),up_dir!AU20/((1/1000)*(up_Irr!AS20+up_Irr!BR20)),IF(AND(up_Irr!T20=".",up_Irr!AS20=".",up_Irr!BR20&lt;&gt;"."),up_dir!AU20/((1/1000)*(up_Irr!BR20)),IF(AND(up_Irr!T20=".",up_Irr!AS20&lt;&gt;".",up_Irr!BR20="."),up_dir!AU20/((1/1000)*(up_Irr!AS20)),IF(AND(up_Irr!T20&lt;&gt;".",up_Irr!AS20=".",up_Irr!BR20="."),up_dir!AU20/((1/1000)*(up_Irr!T20)),IF(AND(up_Irr!T20=".",up_Irr!AS20=".",up_Irr!BR20="."),up_dir!AU20*1000)))))))),".")</f>
        <v>6.5773651144152131E-4</v>
      </c>
      <c r="BV20" s="70">
        <f>IFERROR(IF(AND(up_Irr!U20&lt;&gt;".",up_Irr!AT20&lt;&gt;".",up_Irr!BS20&lt;&gt;"."),up_dir!AV20/((1/1000)*(up_Irr!U20+up_Irr!AT20+up_Irr!BS20)),IF(AND(up_Irr!U20&lt;&gt;".",up_Irr!AT20&lt;&gt;".",up_Irr!BS20="."),up_dir!AV20/((1/1000)*(up_Irr!U20+up_Irr!AT20)),IF(AND(up_Irr!U20&lt;&gt;".",up_Irr!AT20=".",up_Irr!BS20&lt;&gt;"."),up_dir!AV20/((1/1000)*(up_Irr!U20+up_Irr!BS20)),IF(AND(up_Irr!U20=".",up_Irr!AT20&lt;&gt;".",up_Irr!BS20&lt;&gt;"."),up_dir!AV20/((1/1000)*(up_Irr!AT20+up_Irr!BS20)),IF(AND(up_Irr!U20=".",up_Irr!AT20=".",up_Irr!BS20&lt;&gt;"."),up_dir!AV20/((1/1000)*(up_Irr!BS20)),IF(AND(up_Irr!U20=".",up_Irr!AT20&lt;&gt;".",up_Irr!BS20="."),up_dir!AV20/((1/1000)*(up_Irr!AT20)),IF(AND(up_Irr!U20&lt;&gt;".",up_Irr!AT20=".",up_Irr!BS20="."),up_dir!AV20/((1/1000)*(up_Irr!U20)),IF(AND(up_Irr!U20=".",up_Irr!AT20=".",up_Irr!BS20="."),up_dir!AV20*1000)))))))),".")</f>
        <v>6.5773651144152131E-4</v>
      </c>
      <c r="BW20" s="70">
        <f>IFERROR(IF(AND(up_Irr!V20&lt;&gt;".",up_Irr!AU20&lt;&gt;".",up_Irr!BT20&lt;&gt;"."),up_dir!AW20/((1/1000)*(up_Irr!V20+up_Irr!AU20+up_Irr!BT20)),IF(AND(up_Irr!V20&lt;&gt;".",up_Irr!AU20&lt;&gt;".",up_Irr!BT20="."),up_dir!AW20/((1/1000)*(up_Irr!V20+up_Irr!AU20)),IF(AND(up_Irr!V20&lt;&gt;".",up_Irr!AU20=".",up_Irr!BT20&lt;&gt;"."),up_dir!AW20/((1/1000)*(up_Irr!V20+up_Irr!BT20)),IF(AND(up_Irr!V20=".",up_Irr!AU20&lt;&gt;".",up_Irr!BT20&lt;&gt;"."),up_dir!AW20/((1/1000)*(up_Irr!AU20+up_Irr!BT20)),IF(AND(up_Irr!V20=".",up_Irr!AU20=".",up_Irr!BT20&lt;&gt;"."),up_dir!AW20/((1/1000)*(up_Irr!BT20)),IF(AND(up_Irr!V20=".",up_Irr!AU20&lt;&gt;".",up_Irr!BT20="."),up_dir!AW20/((1/1000)*(up_Irr!AU20)),IF(AND(up_Irr!V20&lt;&gt;".",up_Irr!AU20=".",up_Irr!BT20="."),up_dir!AW20/((1/1000)*(up_Irr!V20)),IF(AND(up_Irr!V20=".",up_Irr!AU20=".",up_Irr!BT20="."),up_dir!AW20*1000)))))))),".")</f>
        <v>6.5773651144152131E-4</v>
      </c>
      <c r="BX20" s="70">
        <f>IFERROR(IF(AND(up_Irr!W20&lt;&gt;".",up_Irr!AV20&lt;&gt;".",up_Irr!BU20&lt;&gt;"."),up_dir!AX20/((1/1000)*(up_Irr!W20+up_Irr!AV20+up_Irr!BU20)),IF(AND(up_Irr!W20&lt;&gt;".",up_Irr!AV20&lt;&gt;".",up_Irr!BU20="."),up_dir!AX20/((1/1000)*(up_Irr!W20+up_Irr!AV20)),IF(AND(up_Irr!W20&lt;&gt;".",up_Irr!AV20=".",up_Irr!BU20&lt;&gt;"."),up_dir!AX20/((1/1000)*(up_Irr!W20+up_Irr!BU20)),IF(AND(up_Irr!W20=".",up_Irr!AV20&lt;&gt;".",up_Irr!BU20&lt;&gt;"."),up_dir!AX20/((1/1000)*(up_Irr!AV20+up_Irr!BU20)),IF(AND(up_Irr!W20=".",up_Irr!AV20=".",up_Irr!BU20&lt;&gt;"."),up_dir!AX20/((1/1000)*(up_Irr!BU20)),IF(AND(up_Irr!W20=".",up_Irr!AV20&lt;&gt;".",up_Irr!BU20="."),up_dir!AX20/((1/1000)*(up_Irr!AV20)),IF(AND(up_Irr!W20&lt;&gt;".",up_Irr!AV20=".",up_Irr!BU20="."),up_dir!AX20/((1/1000)*(up_Irr!W20)),IF(AND(up_Irr!W20=".",up_Irr!AV20=".",up_Irr!BU20="."),up_dir!AX20*1000)))))))),".")</f>
        <v>6.5773651144152131E-4</v>
      </c>
      <c r="BY20" s="70">
        <f>IFERROR(IF(AND(up_Irr!X20&lt;&gt;".",up_Irr!AW20&lt;&gt;".",up_Irr!BV20&lt;&gt;"."),up_dir!AY20/((1/1000)*(up_Irr!X20+up_Irr!AW20+up_Irr!BV20)),IF(AND(up_Irr!X20&lt;&gt;".",up_Irr!AW20&lt;&gt;".",up_Irr!BV20="."),up_dir!AY20/((1/1000)*(up_Irr!X20+up_Irr!AW20)),IF(AND(up_Irr!X20&lt;&gt;".",up_Irr!AW20=".",up_Irr!BV20&lt;&gt;"."),up_dir!AY20/((1/1000)*(up_Irr!X20+up_Irr!BV20)),IF(AND(up_Irr!X20=".",up_Irr!AW20&lt;&gt;".",up_Irr!BV20&lt;&gt;"."),up_dir!AY20/((1/1000)*(up_Irr!AW20+up_Irr!BV20)),IF(AND(up_Irr!X20=".",up_Irr!AW20=".",up_Irr!BV20&lt;&gt;"."),up_dir!AY20/((1/1000)*(up_Irr!BV20)),IF(AND(up_Irr!X20=".",up_Irr!AW20&lt;&gt;".",up_Irr!BV20="."),up_dir!AY20/((1/1000)*(up_Irr!AW20)),IF(AND(up_Irr!X20&lt;&gt;".",up_Irr!AW20=".",up_Irr!BV20="."),up_dir!AY20/((1/1000)*(up_Irr!X20)),IF(AND(up_Irr!X20=".",up_Irr!AW20=".",up_Irr!BV20="."),up_dir!AY20*1000)))))))),".")</f>
        <v>6.5773651144152131E-4</v>
      </c>
      <c r="BZ20" s="70">
        <f>IFERROR(IF(AND(up_Irr!Y20&lt;&gt;".",up_Irr!AX20&lt;&gt;".",up_Irr!BW20&lt;&gt;"."),up_dir!AZ20/((1/1000)*(up_Irr!Y20+up_Irr!AX20+up_Irr!BW20)),IF(AND(up_Irr!Y20&lt;&gt;".",up_Irr!AX20&lt;&gt;".",up_Irr!BW20="."),up_dir!AZ20/((1/1000)*(up_Irr!Y20+up_Irr!AX20)),IF(AND(up_Irr!Y20&lt;&gt;".",up_Irr!AX20=".",up_Irr!BW20&lt;&gt;"."),up_dir!AZ20/((1/1000)*(up_Irr!Y20+up_Irr!BW20)),IF(AND(up_Irr!Y20=".",up_Irr!AX20&lt;&gt;".",up_Irr!BW20&lt;&gt;"."),up_dir!AZ20/((1/1000)*(up_Irr!AX20+up_Irr!BW20)),IF(AND(up_Irr!Y20=".",up_Irr!AX20=".",up_Irr!BW20&lt;&gt;"."),up_dir!AZ20/((1/1000)*(up_Irr!BW20)),IF(AND(up_Irr!Y20=".",up_Irr!AX20&lt;&gt;".",up_Irr!BW20="."),up_dir!AZ20/((1/1000)*(up_Irr!AX20)),IF(AND(up_Irr!Y20&lt;&gt;".",up_Irr!AX20=".",up_Irr!BW20="."),up_dir!AZ20/((1/1000)*(up_Irr!Y20)),IF(AND(up_Irr!Y20=".",up_Irr!AX20=".",up_Irr!BW20="."),up_dir!AZ20*1000)))))))),".")</f>
        <v>6.5773651144152131E-4</v>
      </c>
      <c r="CA20" s="70">
        <f>IFERROR(IF(AND(up_Irr!Z20&lt;&gt;".",up_Irr!AY20&lt;&gt;".",up_Irr!BX20&lt;&gt;"."),up_dir!BA20/((1/1000)*(up_Irr!Z20+up_Irr!AY20+up_Irr!BX20)),IF(AND(up_Irr!Z20&lt;&gt;".",up_Irr!AY20&lt;&gt;".",up_Irr!BX20="."),up_dir!BA20/((1/1000)*(up_Irr!Z20+up_Irr!AY20)),IF(AND(up_Irr!Z20&lt;&gt;".",up_Irr!AY20=".",up_Irr!BX20&lt;&gt;"."),up_dir!BA20/((1/1000)*(up_Irr!Z20+up_Irr!BX20)),IF(AND(up_Irr!Z20=".",up_Irr!AY20&lt;&gt;".",up_Irr!BX20&lt;&gt;"."),up_dir!BA20/((1/1000)*(up_Irr!AY20+up_Irr!BX20)),IF(AND(up_Irr!Z20=".",up_Irr!AY20=".",up_Irr!BX20&lt;&gt;"."),up_dir!BA20/((1/1000)*(up_Irr!BX20)),IF(AND(up_Irr!Z20=".",up_Irr!AY20&lt;&gt;".",up_Irr!BX20="."),up_dir!BA20/((1/1000)*(up_Irr!AY20)),IF(AND(up_Irr!Z20&lt;&gt;".",up_Irr!AY20=".",up_Irr!BX20="."),up_dir!BA20/((1/1000)*(up_Irr!Z20)),IF(AND(up_Irr!Z20=".",up_Irr!AY20=".",up_Irr!BX20="."),up_dir!BA20*1000)))))))),".")</f>
        <v>6.5773651144152131E-4</v>
      </c>
      <c r="CB20" s="70">
        <f>IFERROR(IF(AND(up_Irr!AA20&lt;&gt;".",up_Irr!AZ20&lt;&gt;".",up_Irr!BY20&lt;&gt;"."),up_dir!BB20/((1/1000)*(up_Irr!AA20+up_Irr!AZ20+up_Irr!BY20)),IF(AND(up_Irr!AA20&lt;&gt;".",up_Irr!AZ20&lt;&gt;".",up_Irr!BY20="."),up_dir!BB20/((1/1000)*(up_Irr!AA20+up_Irr!AZ20)),IF(AND(up_Irr!AA20&lt;&gt;".",up_Irr!AZ20=".",up_Irr!BY20&lt;&gt;"."),up_dir!BB20/((1/1000)*(up_Irr!AA20+up_Irr!BY20)),IF(AND(up_Irr!AA20=".",up_Irr!AZ20&lt;&gt;".",up_Irr!BY20&lt;&gt;"."),up_dir!BB20/((1/1000)*(up_Irr!AZ20+up_Irr!BY20)),IF(AND(up_Irr!AA20=".",up_Irr!AZ20=".",up_Irr!BY20&lt;&gt;"."),up_dir!BB20/((1/1000)*(up_Irr!BY20)),IF(AND(up_Irr!AA20=".",up_Irr!AZ20&lt;&gt;".",up_Irr!BY20="."),up_dir!BB20/((1/1000)*(up_Irr!AZ20)),IF(AND(up_Irr!AA20&lt;&gt;".",up_Irr!AZ20=".",up_Irr!BY20="."),up_dir!BB20/((1/1000)*(up_Irr!AA20)),IF(AND(up_Irr!AA20=".",up_Irr!AZ20=".",up_Irr!BY20="."),up_dir!BB20*1000)))))))),".")</f>
        <v>6.5773651144152131E-4</v>
      </c>
      <c r="CC20" s="87">
        <f t="shared" si="3"/>
        <v>30407.313038114935</v>
      </c>
      <c r="CD20" s="87">
        <f>IFERROR(s_C*s_IFAP_far_adj*s_CF_apple*(1/1000)*(up_Irr!C20+up_Irr!AB20+up_Irr!BA20),".")</f>
        <v>7601.8282595287337</v>
      </c>
      <c r="CE20" s="87">
        <f>IFERROR(s_C*s_IFAS_far_adj*s_CF_asparagus*(1/1000)*(up_Irr!D20+up_Irr!AC20+up_Irr!BB20),".")</f>
        <v>7601.8282595287337</v>
      </c>
      <c r="CF20" s="87">
        <f>IFERROR(s_C*s_IFBT_far_adj*s_CF_beet*(1/1000)*(up_Irr!E20+up_Irr!AD20+up_Irr!BC20),".")</f>
        <v>7601.8282595287337</v>
      </c>
      <c r="CG20" s="87">
        <f>IFERROR(s_C*s_IFBE_far_adj*s_CF_berries*(1/1000)*(up_Irr!F20+up_Irr!AE20+up_Irr!BD20),".")</f>
        <v>7601.8282595287337</v>
      </c>
      <c r="CH20" s="87">
        <f>IFERROR(s_C*s_IFBR_far_adj*s_CF_broccoli*(1/1000)*(up_Irr!G20+up_Irr!AF20+up_Irr!BE20),".")</f>
        <v>7601.8282595287337</v>
      </c>
      <c r="CI20" s="87">
        <f>IFERROR(s_C*s_IFCB_far_adj*s_CF_cabbage*(1/1000)*(up_Irr!H20+up_Irr!AG20+up_Irr!BF20),".")</f>
        <v>7601.8282595287337</v>
      </c>
      <c r="CJ20" s="87">
        <f>IFERROR(s_C*s_IFCR_far_adj*s_CF_carrot*(1/1000)*(up_Irr!I20+up_Irr!AH20+up_Irr!BG20),".")</f>
        <v>7601.8282595287337</v>
      </c>
      <c r="CK20" s="87">
        <f>IFERROR(s_C*s_IFCI_far_adj*s_CF_citrus*(1/1000)*(up_Irr!J20+up_Irr!AI20+up_Irr!BH20),".")</f>
        <v>7601.8282595287337</v>
      </c>
      <c r="CL20" s="87">
        <f>IFERROR(s_C*s_IFCO_far_adj*s_CF_corn*(1/1000)*(up_Irr!K20+up_Irr!AJ20+up_Irr!BI20),".")</f>
        <v>7601.8282595287337</v>
      </c>
      <c r="CM20" s="87">
        <f>IFERROR(s_C*s_IFCU_far_adj*s_CF_cucumber*(1/1000)*(up_Irr!L20+up_Irr!AK20+up_Irr!BJ20),".")</f>
        <v>7601.8282595287337</v>
      </c>
      <c r="CN20" s="87">
        <f>IFERROR(s_C*s_IFLE_far_adj*s_CF_lettuce*(1/1000)*(up_Irr!M20+up_Irr!AL20+up_Irr!BK20),".")</f>
        <v>7601.8282595287337</v>
      </c>
      <c r="CO20" s="87">
        <f>IFERROR(s_C*s_IFLI_far_adj*s_CF_lima_bean*(1/1000)*(up_Irr!N20+up_Irr!AM20+up_Irr!BL20),".")</f>
        <v>7601.8282595287337</v>
      </c>
      <c r="CP20" s="87">
        <f>IFERROR(s_C*s_IFOK_far_adj*s_CF_okra*(1/1000)*(up_Irr!O20+up_Irr!AN20+up_Irr!BM20),".")</f>
        <v>7601.8282595287337</v>
      </c>
      <c r="CQ20" s="87">
        <f>IFERROR(s_C*s_IFON_far_adj*s_CF_onion*(1/1000)*(up_Irr!P20+up_Irr!AO20+up_Irr!BN20),".")</f>
        <v>7601.8282595287337</v>
      </c>
      <c r="CR20" s="87">
        <f>IFERROR(s_C*s_IFPC_far_adj*s_CF_peach*(1/1000)*(up_Irr!Q20+up_Irr!AP20+up_Irr!BO20),".")</f>
        <v>7601.8282595287337</v>
      </c>
      <c r="CS20" s="87">
        <f>IFERROR(s_C*s_IFPR_far_adj*s_CF_pear*(1/1000)*(up_Irr!R20+up_Irr!AQ20+up_Irr!BP20),".")</f>
        <v>7601.8282595287337</v>
      </c>
      <c r="CT20" s="87">
        <f>IFERROR(s_C*s_IFPE_far_adj*s_CF_peas*(1/1000)*(up_Irr!S20+up_Irr!AR20+up_Irr!BQ20),".")</f>
        <v>7601.8282595287337</v>
      </c>
      <c r="CU20" s="87">
        <f>IFERROR(s_C*s_IFPP_far_adj*s_CF_peppers*(1/1000)*(up_Irr!T20+up_Irr!AS20+up_Irr!BR20),".")</f>
        <v>7601.8282595287337</v>
      </c>
      <c r="CV20" s="87">
        <f>IFERROR(s_C*s_IFPT_far_adj*s_CF_potato*(1/1000)*(up_Irr!U20+up_Irr!AT20+up_Irr!BS20),".")</f>
        <v>7601.8282595287337</v>
      </c>
      <c r="CW20" s="87">
        <f>IFERROR(s_C*s_IFPU_far_adj*s_CF_pumpkin*(1/1000)*(up_Irr!V20+up_Irr!AU20+up_Irr!BT20),".")</f>
        <v>7601.8282595287337</v>
      </c>
      <c r="CX20" s="87">
        <f>IFERROR(s_C*s_IFSN_far_adj*s_CF_snap_bean*(1/1000)*(up_Irr!W20+up_Irr!AV20+up_Irr!BU20),".")</f>
        <v>7601.8282595287337</v>
      </c>
      <c r="CY20" s="87">
        <f>IFERROR(s_C*s_IFST_far_adj*s_CF_strawberry*(1/1000)*(up_Irr!X20+up_Irr!AW20+up_Irr!BV20),".")</f>
        <v>7601.8282595287337</v>
      </c>
      <c r="CZ20" s="87">
        <f>IFERROR(s_C*s_IFTO_far_adj*s_CF_tomato*(1/1000)*(up_Irr!Y20+up_Irr!AX20+up_Irr!BW20),".")</f>
        <v>7601.8282595287337</v>
      </c>
      <c r="DA20" s="87">
        <f>IFERROR(s_C*s_IFRI_far_adj*s_CF_rice*(1/1000)*(up_Irr!Z20+up_Irr!AY20+up_Irr!BX20),".")</f>
        <v>7601.8282595287337</v>
      </c>
      <c r="DB20" s="87">
        <f>IFERROR(s_C*s_IFCG_far_adj*s_CF_cereal*(1/1000)*(up_Irr!AA20+up_Irr!AZ20+up_Irr!BY20),".")</f>
        <v>7601.8282595287337</v>
      </c>
    </row>
    <row r="21" spans="1:106" ht="15" customHeight="1" x14ac:dyDescent="0.25">
      <c r="A21" s="86" t="s">
        <v>19</v>
      </c>
      <c r="B21" s="84" t="s">
        <v>1057</v>
      </c>
      <c r="C21" s="15">
        <f t="shared" si="0"/>
        <v>1.6443412786038033E-4</v>
      </c>
      <c r="D21" s="70">
        <f>IFERROR(IF(AND(up_Irr!C21&lt;&gt;".",up_Irr!AB21&lt;&gt;".",up_Irr!BA21&lt;&gt;"."),up_dir!D21/((1/1000)*(up_Irr!C21+up_Irr!AB21+up_Irr!BA21)),IF(AND(up_Irr!C21&lt;&gt;".",up_Irr!AB21&lt;&gt;".",up_Irr!BA21="."),up_dir!D21/((1/1000)*(up_Irr!C21+up_Irr!AB21)),IF(AND(up_Irr!C21&lt;&gt;".",up_Irr!AB21=".",up_Irr!BA21&lt;&gt;"."),up_dir!D21/((1/1000)*(up_Irr!C21+up_Irr!BA21)),IF(AND(up_Irr!C21=".",up_Irr!AB21&lt;&gt;".",up_Irr!BA21&lt;&gt;"."),up_dir!D21/((1/1000)*(up_Irr!AB21+up_Irr!BA21)),IF(AND(up_Irr!C21=".",up_Irr!AB21=".",up_Irr!BA21&lt;&gt;"."),up_dir!D21/((1/1000)*(up_Irr!BA21)),IF(AND(up_Irr!C21=".",up_Irr!AB21&lt;&gt;".",up_Irr!BA21="."),up_dir!D21/((1/1000)*(up_Irr!AB21)),IF(AND(up_Irr!C21&lt;&gt;".",up_Irr!AB21=".",up_Irr!BA21="."),up_dir!D21/((1/1000)*(up_Irr!C21)),IF(AND(up_Irr!C21=".",up_Irr!AB21=".",up_Irr!BA21="."),up_dir!D21*1000)))))))),".")</f>
        <v>6.5773651144152131E-4</v>
      </c>
      <c r="E21" s="70">
        <f>IFERROR(IF(AND(up_Irr!D21&lt;&gt;".",up_Irr!AC21&lt;&gt;".",up_Irr!BB21&lt;&gt;"."),up_dir!E21/((1/1000)*(up_Irr!D21+up_Irr!AC21+up_Irr!BB21)),IF(AND(up_Irr!D21&lt;&gt;".",up_Irr!AC21&lt;&gt;".",up_Irr!BB21="."),up_dir!E21/((1/1000)*(up_Irr!D21+up_Irr!AC21)),IF(AND(up_Irr!D21&lt;&gt;".",up_Irr!AC21=".",up_Irr!BB21&lt;&gt;"."),up_dir!E21/((1/1000)*(up_Irr!D21+up_Irr!BB21)),IF(AND(up_Irr!D21=".",up_Irr!AC21&lt;&gt;".",up_Irr!BB21&lt;&gt;"."),up_dir!E21/((1/1000)*(up_Irr!AC21+up_Irr!BB21)),IF(AND(up_Irr!D21=".",up_Irr!AC21=".",up_Irr!BB21&lt;&gt;"."),up_dir!E21/((1/1000)*(up_Irr!BB21)),IF(AND(up_Irr!D21=".",up_Irr!AC21&lt;&gt;".",up_Irr!BB21="."),up_dir!E21/((1/1000)*(up_Irr!AC21)),IF(AND(up_Irr!D21&lt;&gt;".",up_Irr!AC21=".",up_Irr!BB21="."),up_dir!E21/((1/1000)*(up_Irr!D21)),IF(AND(up_Irr!D21=".",up_Irr!AC21=".",up_Irr!BB21="."),up_dir!E21*1000)))))))),".")</f>
        <v>6.5773651144152131E-4</v>
      </c>
      <c r="F21" s="70">
        <f>IFERROR(IF(AND(up_Irr!E21&lt;&gt;".",up_Irr!AD21&lt;&gt;".",up_Irr!BC21&lt;&gt;"."),up_dir!F21/((1/1000)*(up_Irr!E21+up_Irr!AD21+up_Irr!BC21)),IF(AND(up_Irr!E21&lt;&gt;".",up_Irr!AD21&lt;&gt;".",up_Irr!BC21="."),up_dir!F21/((1/1000)*(up_Irr!E21+up_Irr!AD21)),IF(AND(up_Irr!E21&lt;&gt;".",up_Irr!AD21=".",up_Irr!BC21&lt;&gt;"."),up_dir!F21/((1/1000)*(up_Irr!E21+up_Irr!BC21)),IF(AND(up_Irr!E21=".",up_Irr!AD21&lt;&gt;".",up_Irr!BC21&lt;&gt;"."),up_dir!F21/((1/1000)*(up_Irr!AD21+up_Irr!BC21)),IF(AND(up_Irr!E21=".",up_Irr!AD21=".",up_Irr!BC21&lt;&gt;"."),up_dir!F21/((1/1000)*(up_Irr!BC21)),IF(AND(up_Irr!E21=".",up_Irr!AD21&lt;&gt;".",up_Irr!BC21="."),up_dir!F21/((1/1000)*(up_Irr!AD21)),IF(AND(up_Irr!E21&lt;&gt;".",up_Irr!AD21=".",up_Irr!BC21="."),up_dir!F21/((1/1000)*(up_Irr!E21)),IF(AND(up_Irr!E21=".",up_Irr!AD21=".",up_Irr!BC21="."),up_dir!F21*1000)))))))),".")</f>
        <v>6.5773651144152131E-4</v>
      </c>
      <c r="G21" s="70">
        <f>IFERROR(IF(AND(up_Irr!F21&lt;&gt;".",up_Irr!AE21&lt;&gt;".",up_Irr!BD21&lt;&gt;"."),up_dir!G21/((1/1000)*(up_Irr!F21+up_Irr!AE21+up_Irr!BD21)),IF(AND(up_Irr!F21&lt;&gt;".",up_Irr!AE21&lt;&gt;".",up_Irr!BD21="."),up_dir!G21/((1/1000)*(up_Irr!F21+up_Irr!AE21)),IF(AND(up_Irr!F21&lt;&gt;".",up_Irr!AE21=".",up_Irr!BD21&lt;&gt;"."),up_dir!G21/((1/1000)*(up_Irr!F21+up_Irr!BD21)),IF(AND(up_Irr!F21=".",up_Irr!AE21&lt;&gt;".",up_Irr!BD21&lt;&gt;"."),up_dir!G21/((1/1000)*(up_Irr!AE21+up_Irr!BD21)),IF(AND(up_Irr!F21=".",up_Irr!AE21=".",up_Irr!BD21&lt;&gt;"."),up_dir!G21/((1/1000)*(up_Irr!BD21)),IF(AND(up_Irr!F21=".",up_Irr!AE21&lt;&gt;".",up_Irr!BD21="."),up_dir!G21/((1/1000)*(up_Irr!AE21)),IF(AND(up_Irr!F21&lt;&gt;".",up_Irr!AE21=".",up_Irr!BD21="."),up_dir!G21/((1/1000)*(up_Irr!F21)),IF(AND(up_Irr!F21=".",up_Irr!AE21=".",up_Irr!BD21="."),up_dir!G21*1000)))))))),".")</f>
        <v>6.5773651144152131E-4</v>
      </c>
      <c r="H21" s="70">
        <f>IFERROR(IF(AND(up_Irr!G21&lt;&gt;".",up_Irr!AF21&lt;&gt;".",up_Irr!BE21&lt;&gt;"."),up_dir!H21/((1/1000)*(up_Irr!G21+up_Irr!AF21+up_Irr!BE21)),IF(AND(up_Irr!G21&lt;&gt;".",up_Irr!AF21&lt;&gt;".",up_Irr!BE21="."),up_dir!H21/((1/1000)*(up_Irr!G21+up_Irr!AF21)),IF(AND(up_Irr!G21&lt;&gt;".",up_Irr!AF21=".",up_Irr!BE21&lt;&gt;"."),up_dir!H21/((1/1000)*(up_Irr!G21+up_Irr!BE21)),IF(AND(up_Irr!G21=".",up_Irr!AF21&lt;&gt;".",up_Irr!BE21&lt;&gt;"."),up_dir!H21/((1/1000)*(up_Irr!AF21+up_Irr!BE21)),IF(AND(up_Irr!G21=".",up_Irr!AF21=".",up_Irr!BE21&lt;&gt;"."),up_dir!H21/((1/1000)*(up_Irr!BE21)),IF(AND(up_Irr!G21=".",up_Irr!AF21&lt;&gt;".",up_Irr!BE21="."),up_dir!H21/((1/1000)*(up_Irr!AF21)),IF(AND(up_Irr!G21&lt;&gt;".",up_Irr!AF21=".",up_Irr!BE21="."),up_dir!H21/((1/1000)*(up_Irr!G21)),IF(AND(up_Irr!G21=".",up_Irr!AF21=".",up_Irr!BE21="."),up_dir!H21*1000)))))))),".")</f>
        <v>6.5773651144152131E-4</v>
      </c>
      <c r="I21" s="70">
        <f>IFERROR(IF(AND(up_Irr!H21&lt;&gt;".",up_Irr!AG21&lt;&gt;".",up_Irr!BF21&lt;&gt;"."),up_dir!I21/((1/1000)*(up_Irr!H21+up_Irr!AG21+up_Irr!BF21)),IF(AND(up_Irr!H21&lt;&gt;".",up_Irr!AG21&lt;&gt;".",up_Irr!BF21="."),up_dir!I21/((1/1000)*(up_Irr!H21+up_Irr!AG21)),IF(AND(up_Irr!H21&lt;&gt;".",up_Irr!AG21=".",up_Irr!BF21&lt;&gt;"."),up_dir!I21/((1/1000)*(up_Irr!H21+up_Irr!BF21)),IF(AND(up_Irr!H21=".",up_Irr!AG21&lt;&gt;".",up_Irr!BF21&lt;&gt;"."),up_dir!I21/((1/1000)*(up_Irr!AG21+up_Irr!BF21)),IF(AND(up_Irr!H21=".",up_Irr!AG21=".",up_Irr!BF21&lt;&gt;"."),up_dir!I21/((1/1000)*(up_Irr!BF21)),IF(AND(up_Irr!H21=".",up_Irr!AG21&lt;&gt;".",up_Irr!BF21="."),up_dir!I21/((1/1000)*(up_Irr!AG21)),IF(AND(up_Irr!H21&lt;&gt;".",up_Irr!AG21=".",up_Irr!BF21="."),up_dir!I21/((1/1000)*(up_Irr!H21)),IF(AND(up_Irr!H21=".",up_Irr!AG21=".",up_Irr!BF21="."),up_dir!I21*1000)))))))),".")</f>
        <v>6.5773651144152131E-4</v>
      </c>
      <c r="J21" s="70">
        <f>IFERROR(IF(AND(up_Irr!I21&lt;&gt;".",up_Irr!AH21&lt;&gt;".",up_Irr!BG21&lt;&gt;"."),up_dir!J21/((1/1000)*(up_Irr!I21+up_Irr!AH21+up_Irr!BG21)),IF(AND(up_Irr!I21&lt;&gt;".",up_Irr!AH21&lt;&gt;".",up_Irr!BG21="."),up_dir!J21/((1/1000)*(up_Irr!I21+up_Irr!AH21)),IF(AND(up_Irr!I21&lt;&gt;".",up_Irr!AH21=".",up_Irr!BG21&lt;&gt;"."),up_dir!J21/((1/1000)*(up_Irr!I21+up_Irr!BG21)),IF(AND(up_Irr!I21=".",up_Irr!AH21&lt;&gt;".",up_Irr!BG21&lt;&gt;"."),up_dir!J21/((1/1000)*(up_Irr!AH21+up_Irr!BG21)),IF(AND(up_Irr!I21=".",up_Irr!AH21=".",up_Irr!BG21&lt;&gt;"."),up_dir!J21/((1/1000)*(up_Irr!BG21)),IF(AND(up_Irr!I21=".",up_Irr!AH21&lt;&gt;".",up_Irr!BG21="."),up_dir!J21/((1/1000)*(up_Irr!AH21)),IF(AND(up_Irr!I21&lt;&gt;".",up_Irr!AH21=".",up_Irr!BG21="."),up_dir!J21/((1/1000)*(up_Irr!I21)),IF(AND(up_Irr!I21=".",up_Irr!AH21=".",up_Irr!BG21="."),up_dir!J21*1000)))))))),".")</f>
        <v>6.5773651144152131E-4</v>
      </c>
      <c r="K21" s="70">
        <f>IFERROR(IF(AND(up_Irr!J21&lt;&gt;".",up_Irr!AI21&lt;&gt;".",up_Irr!BH21&lt;&gt;"."),up_dir!K21/((1/1000)*(up_Irr!J21+up_Irr!AI21+up_Irr!BH21)),IF(AND(up_Irr!J21&lt;&gt;".",up_Irr!AI21&lt;&gt;".",up_Irr!BH21="."),up_dir!K21/((1/1000)*(up_Irr!J21+up_Irr!AI21)),IF(AND(up_Irr!J21&lt;&gt;".",up_Irr!AI21=".",up_Irr!BH21&lt;&gt;"."),up_dir!K21/((1/1000)*(up_Irr!J21+up_Irr!BH21)),IF(AND(up_Irr!J21=".",up_Irr!AI21&lt;&gt;".",up_Irr!BH21&lt;&gt;"."),up_dir!K21/((1/1000)*(up_Irr!AI21+up_Irr!BH21)),IF(AND(up_Irr!J21=".",up_Irr!AI21=".",up_Irr!BH21&lt;&gt;"."),up_dir!K21/((1/1000)*(up_Irr!BH21)),IF(AND(up_Irr!J21=".",up_Irr!AI21&lt;&gt;".",up_Irr!BH21="."),up_dir!K21/((1/1000)*(up_Irr!AI21)),IF(AND(up_Irr!J21&lt;&gt;".",up_Irr!AI21=".",up_Irr!BH21="."),up_dir!K21/((1/1000)*(up_Irr!J21)),IF(AND(up_Irr!J21=".",up_Irr!AI21=".",up_Irr!BH21="."),up_dir!K21*1000)))))))),".")</f>
        <v>6.5773651144152131E-4</v>
      </c>
      <c r="L21" s="70">
        <f>IFERROR(IF(AND(up_Irr!K21&lt;&gt;".",up_Irr!AJ21&lt;&gt;".",up_Irr!BI21&lt;&gt;"."),up_dir!L21/((1/1000)*(up_Irr!K21+up_Irr!AJ21+up_Irr!BI21)),IF(AND(up_Irr!K21&lt;&gt;".",up_Irr!AJ21&lt;&gt;".",up_Irr!BI21="."),up_dir!L21/((1/1000)*(up_Irr!K21+up_Irr!AJ21)),IF(AND(up_Irr!K21&lt;&gt;".",up_Irr!AJ21=".",up_Irr!BI21&lt;&gt;"."),up_dir!L21/((1/1000)*(up_Irr!K21+up_Irr!BI21)),IF(AND(up_Irr!K21=".",up_Irr!AJ21&lt;&gt;".",up_Irr!BI21&lt;&gt;"."),up_dir!L21/((1/1000)*(up_Irr!AJ21+up_Irr!BI21)),IF(AND(up_Irr!K21=".",up_Irr!AJ21=".",up_Irr!BI21&lt;&gt;"."),up_dir!L21/((1/1000)*(up_Irr!BI21)),IF(AND(up_Irr!K21=".",up_Irr!AJ21&lt;&gt;".",up_Irr!BI21="."),up_dir!L21/((1/1000)*(up_Irr!AJ21)),IF(AND(up_Irr!K21&lt;&gt;".",up_Irr!AJ21=".",up_Irr!BI21="."),up_dir!L21/((1/1000)*(up_Irr!K21)),IF(AND(up_Irr!K21=".",up_Irr!AJ21=".",up_Irr!BI21="."),up_dir!L21*1000)))))))),".")</f>
        <v>6.5773651144152131E-4</v>
      </c>
      <c r="M21" s="70">
        <f>IFERROR(IF(AND(up_Irr!L21&lt;&gt;".",up_Irr!AK21&lt;&gt;".",up_Irr!BJ21&lt;&gt;"."),up_dir!M21/((1/1000)*(up_Irr!L21+up_Irr!AK21+up_Irr!BJ21)),IF(AND(up_Irr!L21&lt;&gt;".",up_Irr!AK21&lt;&gt;".",up_Irr!BJ21="."),up_dir!M21/((1/1000)*(up_Irr!L21+up_Irr!AK21)),IF(AND(up_Irr!L21&lt;&gt;".",up_Irr!AK21=".",up_Irr!BJ21&lt;&gt;"."),up_dir!M21/((1/1000)*(up_Irr!L21+up_Irr!BJ21)),IF(AND(up_Irr!L21=".",up_Irr!AK21&lt;&gt;".",up_Irr!BJ21&lt;&gt;"."),up_dir!M21/((1/1000)*(up_Irr!AK21+up_Irr!BJ21)),IF(AND(up_Irr!L21=".",up_Irr!AK21=".",up_Irr!BJ21&lt;&gt;"."),up_dir!M21/((1/1000)*(up_Irr!BJ21)),IF(AND(up_Irr!L21=".",up_Irr!AK21&lt;&gt;".",up_Irr!BJ21="."),up_dir!M21/((1/1000)*(up_Irr!AK21)),IF(AND(up_Irr!L21&lt;&gt;".",up_Irr!AK21=".",up_Irr!BJ21="."),up_dir!M21/((1/1000)*(up_Irr!L21)),IF(AND(up_Irr!L21=".",up_Irr!AK21=".",up_Irr!BJ21="."),up_dir!M21*1000)))))))),".")</f>
        <v>6.5773651144152131E-4</v>
      </c>
      <c r="N21" s="70">
        <f>IFERROR(IF(AND(up_Irr!M21&lt;&gt;".",up_Irr!AL21&lt;&gt;".",up_Irr!BK21&lt;&gt;"."),up_dir!N21/((1/1000)*(up_Irr!M21+up_Irr!AL21+up_Irr!BK21)),IF(AND(up_Irr!M21&lt;&gt;".",up_Irr!AL21&lt;&gt;".",up_Irr!BK21="."),up_dir!N21/((1/1000)*(up_Irr!M21+up_Irr!AL21)),IF(AND(up_Irr!M21&lt;&gt;".",up_Irr!AL21=".",up_Irr!BK21&lt;&gt;"."),up_dir!N21/((1/1000)*(up_Irr!M21+up_Irr!BK21)),IF(AND(up_Irr!M21=".",up_Irr!AL21&lt;&gt;".",up_Irr!BK21&lt;&gt;"."),up_dir!N21/((1/1000)*(up_Irr!AL21+up_Irr!BK21)),IF(AND(up_Irr!M21=".",up_Irr!AL21=".",up_Irr!BK21&lt;&gt;"."),up_dir!N21/((1/1000)*(up_Irr!BK21)),IF(AND(up_Irr!M21=".",up_Irr!AL21&lt;&gt;".",up_Irr!BK21="."),up_dir!N21/((1/1000)*(up_Irr!AL21)),IF(AND(up_Irr!M21&lt;&gt;".",up_Irr!AL21=".",up_Irr!BK21="."),up_dir!N21/((1/1000)*(up_Irr!M21)),IF(AND(up_Irr!M21=".",up_Irr!AL21=".",up_Irr!BK21="."),up_dir!N21*1000)))))))),".")</f>
        <v>6.5773651144152131E-4</v>
      </c>
      <c r="O21" s="70">
        <f>IFERROR(IF(AND(up_Irr!N21&lt;&gt;".",up_Irr!AM21&lt;&gt;".",up_Irr!BL21&lt;&gt;"."),up_dir!O21/((1/1000)*(up_Irr!N21+up_Irr!AM21+up_Irr!BL21)),IF(AND(up_Irr!N21&lt;&gt;".",up_Irr!AM21&lt;&gt;".",up_Irr!BL21="."),up_dir!O21/((1/1000)*(up_Irr!N21+up_Irr!AM21)),IF(AND(up_Irr!N21&lt;&gt;".",up_Irr!AM21=".",up_Irr!BL21&lt;&gt;"."),up_dir!O21/((1/1000)*(up_Irr!N21+up_Irr!BL21)),IF(AND(up_Irr!N21=".",up_Irr!AM21&lt;&gt;".",up_Irr!BL21&lt;&gt;"."),up_dir!O21/((1/1000)*(up_Irr!AM21+up_Irr!BL21)),IF(AND(up_Irr!N21=".",up_Irr!AM21=".",up_Irr!BL21&lt;&gt;"."),up_dir!O21/((1/1000)*(up_Irr!BL21)),IF(AND(up_Irr!N21=".",up_Irr!AM21&lt;&gt;".",up_Irr!BL21="."),up_dir!O21/((1/1000)*(up_Irr!AM21)),IF(AND(up_Irr!N21&lt;&gt;".",up_Irr!AM21=".",up_Irr!BL21="."),up_dir!O21/((1/1000)*(up_Irr!N21)),IF(AND(up_Irr!N21=".",up_Irr!AM21=".",up_Irr!BL21="."),up_dir!O21*1000)))))))),".")</f>
        <v>6.5773651144152131E-4</v>
      </c>
      <c r="P21" s="70">
        <f>IFERROR(IF(AND(up_Irr!O21&lt;&gt;".",up_Irr!AN21&lt;&gt;".",up_Irr!BM21&lt;&gt;"."),up_dir!P21/((1/1000)*(up_Irr!O21+up_Irr!AN21+up_Irr!BM21)),IF(AND(up_Irr!O21&lt;&gt;".",up_Irr!AN21&lt;&gt;".",up_Irr!BM21="."),up_dir!P21/((1/1000)*(up_Irr!O21+up_Irr!AN21)),IF(AND(up_Irr!O21&lt;&gt;".",up_Irr!AN21=".",up_Irr!BM21&lt;&gt;"."),up_dir!P21/((1/1000)*(up_Irr!O21+up_Irr!BM21)),IF(AND(up_Irr!O21=".",up_Irr!AN21&lt;&gt;".",up_Irr!BM21&lt;&gt;"."),up_dir!P21/((1/1000)*(up_Irr!AN21+up_Irr!BM21)),IF(AND(up_Irr!O21=".",up_Irr!AN21=".",up_Irr!BM21&lt;&gt;"."),up_dir!P21/((1/1000)*(up_Irr!BM21)),IF(AND(up_Irr!O21=".",up_Irr!AN21&lt;&gt;".",up_Irr!BM21="."),up_dir!P21/((1/1000)*(up_Irr!AN21)),IF(AND(up_Irr!O21&lt;&gt;".",up_Irr!AN21=".",up_Irr!BM21="."),up_dir!P21/((1/1000)*(up_Irr!O21)),IF(AND(up_Irr!O21=".",up_Irr!AN21=".",up_Irr!BM21="."),up_dir!P21*1000)))))))),".")</f>
        <v>6.5773651144152131E-4</v>
      </c>
      <c r="Q21" s="70">
        <f>IFERROR(IF(AND(up_Irr!P21&lt;&gt;".",up_Irr!AO21&lt;&gt;".",up_Irr!BN21&lt;&gt;"."),up_dir!Q21/((1/1000)*(up_Irr!P21+up_Irr!AO21+up_Irr!BN21)),IF(AND(up_Irr!P21&lt;&gt;".",up_Irr!AO21&lt;&gt;".",up_Irr!BN21="."),up_dir!Q21/((1/1000)*(up_Irr!P21+up_Irr!AO21)),IF(AND(up_Irr!P21&lt;&gt;".",up_Irr!AO21=".",up_Irr!BN21&lt;&gt;"."),up_dir!Q21/((1/1000)*(up_Irr!P21+up_Irr!BN21)),IF(AND(up_Irr!P21=".",up_Irr!AO21&lt;&gt;".",up_Irr!BN21&lt;&gt;"."),up_dir!Q21/((1/1000)*(up_Irr!AO21+up_Irr!BN21)),IF(AND(up_Irr!P21=".",up_Irr!AO21=".",up_Irr!BN21&lt;&gt;"."),up_dir!Q21/((1/1000)*(up_Irr!BN21)),IF(AND(up_Irr!P21=".",up_Irr!AO21&lt;&gt;".",up_Irr!BN21="."),up_dir!Q21/((1/1000)*(up_Irr!AO21)),IF(AND(up_Irr!P21&lt;&gt;".",up_Irr!AO21=".",up_Irr!BN21="."),up_dir!Q21/((1/1000)*(up_Irr!P21)),IF(AND(up_Irr!P21=".",up_Irr!AO21=".",up_Irr!BN21="."),up_dir!Q21*1000)))))))),".")</f>
        <v>6.5773651144152131E-4</v>
      </c>
      <c r="R21" s="70">
        <f>IFERROR(IF(AND(up_Irr!Q21&lt;&gt;".",up_Irr!AP21&lt;&gt;".",up_Irr!BO21&lt;&gt;"."),up_dir!R21/((1/1000)*(up_Irr!Q21+up_Irr!AP21+up_Irr!BO21)),IF(AND(up_Irr!Q21&lt;&gt;".",up_Irr!AP21&lt;&gt;".",up_Irr!BO21="."),up_dir!R21/((1/1000)*(up_Irr!Q21+up_Irr!AP21)),IF(AND(up_Irr!Q21&lt;&gt;".",up_Irr!AP21=".",up_Irr!BO21&lt;&gt;"."),up_dir!R21/((1/1000)*(up_Irr!Q21+up_Irr!BO21)),IF(AND(up_Irr!Q21=".",up_Irr!AP21&lt;&gt;".",up_Irr!BO21&lt;&gt;"."),up_dir!R21/((1/1000)*(up_Irr!AP21+up_Irr!BO21)),IF(AND(up_Irr!Q21=".",up_Irr!AP21=".",up_Irr!BO21&lt;&gt;"."),up_dir!R21/((1/1000)*(up_Irr!BO21)),IF(AND(up_Irr!Q21=".",up_Irr!AP21&lt;&gt;".",up_Irr!BO21="."),up_dir!R21/((1/1000)*(up_Irr!AP21)),IF(AND(up_Irr!Q21&lt;&gt;".",up_Irr!AP21=".",up_Irr!BO21="."),up_dir!R21/((1/1000)*(up_Irr!Q21)),IF(AND(up_Irr!Q21=".",up_Irr!AP21=".",up_Irr!BO21="."),up_dir!R21*1000)))))))),".")</f>
        <v>6.5773651144152131E-4</v>
      </c>
      <c r="S21" s="70">
        <f>IFERROR(IF(AND(up_Irr!R21&lt;&gt;".",up_Irr!AQ21&lt;&gt;".",up_Irr!BP21&lt;&gt;"."),up_dir!S21/((1/1000)*(up_Irr!R21+up_Irr!AQ21+up_Irr!BP21)),IF(AND(up_Irr!R21&lt;&gt;".",up_Irr!AQ21&lt;&gt;".",up_Irr!BP21="."),up_dir!S21/((1/1000)*(up_Irr!R21+up_Irr!AQ21)),IF(AND(up_Irr!R21&lt;&gt;".",up_Irr!AQ21=".",up_Irr!BP21&lt;&gt;"."),up_dir!S21/((1/1000)*(up_Irr!R21+up_Irr!BP21)),IF(AND(up_Irr!R21=".",up_Irr!AQ21&lt;&gt;".",up_Irr!BP21&lt;&gt;"."),up_dir!S21/((1/1000)*(up_Irr!AQ21+up_Irr!BP21)),IF(AND(up_Irr!R21=".",up_Irr!AQ21=".",up_Irr!BP21&lt;&gt;"."),up_dir!S21/((1/1000)*(up_Irr!BP21)),IF(AND(up_Irr!R21=".",up_Irr!AQ21&lt;&gt;".",up_Irr!BP21="."),up_dir!S21/((1/1000)*(up_Irr!AQ21)),IF(AND(up_Irr!R21&lt;&gt;".",up_Irr!AQ21=".",up_Irr!BP21="."),up_dir!S21/((1/1000)*(up_Irr!R21)),IF(AND(up_Irr!R21=".",up_Irr!AQ21=".",up_Irr!BP21="."),up_dir!S21*1000)))))))),".")</f>
        <v>6.5773651144152131E-4</v>
      </c>
      <c r="T21" s="70">
        <f>IFERROR(IF(AND(up_Irr!S21&lt;&gt;".",up_Irr!AR21&lt;&gt;".",up_Irr!BQ21&lt;&gt;"."),up_dir!T21/((1/1000)*(up_Irr!S21+up_Irr!AR21+up_Irr!BQ21)),IF(AND(up_Irr!S21&lt;&gt;".",up_Irr!AR21&lt;&gt;".",up_Irr!BQ21="."),up_dir!T21/((1/1000)*(up_Irr!S21+up_Irr!AR21)),IF(AND(up_Irr!S21&lt;&gt;".",up_Irr!AR21=".",up_Irr!BQ21&lt;&gt;"."),up_dir!T21/((1/1000)*(up_Irr!S21+up_Irr!BQ21)),IF(AND(up_Irr!S21=".",up_Irr!AR21&lt;&gt;".",up_Irr!BQ21&lt;&gt;"."),up_dir!T21/((1/1000)*(up_Irr!AR21+up_Irr!BQ21)),IF(AND(up_Irr!S21=".",up_Irr!AR21=".",up_Irr!BQ21&lt;&gt;"."),up_dir!T21/((1/1000)*(up_Irr!BQ21)),IF(AND(up_Irr!S21=".",up_Irr!AR21&lt;&gt;".",up_Irr!BQ21="."),up_dir!T21/((1/1000)*(up_Irr!AR21)),IF(AND(up_Irr!S21&lt;&gt;".",up_Irr!AR21=".",up_Irr!BQ21="."),up_dir!T21/((1/1000)*(up_Irr!S21)),IF(AND(up_Irr!S21=".",up_Irr!AR21=".",up_Irr!BQ21="."),up_dir!T21*1000)))))))),".")</f>
        <v>6.5773651144152131E-4</v>
      </c>
      <c r="U21" s="70">
        <f>IFERROR(IF(AND(up_Irr!T21&lt;&gt;".",up_Irr!AS21&lt;&gt;".",up_Irr!BR21&lt;&gt;"."),up_dir!U21/((1/1000)*(up_Irr!T21+up_Irr!AS21+up_Irr!BR21)),IF(AND(up_Irr!T21&lt;&gt;".",up_Irr!AS21&lt;&gt;".",up_Irr!BR21="."),up_dir!U21/((1/1000)*(up_Irr!T21+up_Irr!AS21)),IF(AND(up_Irr!T21&lt;&gt;".",up_Irr!AS21=".",up_Irr!BR21&lt;&gt;"."),up_dir!U21/((1/1000)*(up_Irr!T21+up_Irr!BR21)),IF(AND(up_Irr!T21=".",up_Irr!AS21&lt;&gt;".",up_Irr!BR21&lt;&gt;"."),up_dir!U21/((1/1000)*(up_Irr!AS21+up_Irr!BR21)),IF(AND(up_Irr!T21=".",up_Irr!AS21=".",up_Irr!BR21&lt;&gt;"."),up_dir!U21/((1/1000)*(up_Irr!BR21)),IF(AND(up_Irr!T21=".",up_Irr!AS21&lt;&gt;".",up_Irr!BR21="."),up_dir!U21/((1/1000)*(up_Irr!AS21)),IF(AND(up_Irr!T21&lt;&gt;".",up_Irr!AS21=".",up_Irr!BR21="."),up_dir!U21/((1/1000)*(up_Irr!T21)),IF(AND(up_Irr!T21=".",up_Irr!AS21=".",up_Irr!BR21="."),up_dir!U21*1000)))))))),".")</f>
        <v>6.5773651144152131E-4</v>
      </c>
      <c r="V21" s="70">
        <f>IFERROR(IF(AND(up_Irr!U21&lt;&gt;".",up_Irr!AT21&lt;&gt;".",up_Irr!BS21&lt;&gt;"."),up_dir!V21/((1/1000)*(up_Irr!U21+up_Irr!AT21+up_Irr!BS21)),IF(AND(up_Irr!U21&lt;&gt;".",up_Irr!AT21&lt;&gt;".",up_Irr!BS21="."),up_dir!V21/((1/1000)*(up_Irr!U21+up_Irr!AT21)),IF(AND(up_Irr!U21&lt;&gt;".",up_Irr!AT21=".",up_Irr!BS21&lt;&gt;"."),up_dir!V21/((1/1000)*(up_Irr!U21+up_Irr!BS21)),IF(AND(up_Irr!U21=".",up_Irr!AT21&lt;&gt;".",up_Irr!BS21&lt;&gt;"."),up_dir!V21/((1/1000)*(up_Irr!AT21+up_Irr!BS21)),IF(AND(up_Irr!U21=".",up_Irr!AT21=".",up_Irr!BS21&lt;&gt;"."),up_dir!V21/((1/1000)*(up_Irr!BS21)),IF(AND(up_Irr!U21=".",up_Irr!AT21&lt;&gt;".",up_Irr!BS21="."),up_dir!V21/((1/1000)*(up_Irr!AT21)),IF(AND(up_Irr!U21&lt;&gt;".",up_Irr!AT21=".",up_Irr!BS21="."),up_dir!V21/((1/1000)*(up_Irr!U21)),IF(AND(up_Irr!U21=".",up_Irr!AT21=".",up_Irr!BS21="."),up_dir!V21*1000)))))))),".")</f>
        <v>6.5773651144152131E-4</v>
      </c>
      <c r="W21" s="70">
        <f>IFERROR(IF(AND(up_Irr!V21&lt;&gt;".",up_Irr!AU21&lt;&gt;".",up_Irr!BT21&lt;&gt;"."),up_dir!W21/((1/1000)*(up_Irr!V21+up_Irr!AU21+up_Irr!BT21)),IF(AND(up_Irr!V21&lt;&gt;".",up_Irr!AU21&lt;&gt;".",up_Irr!BT21="."),up_dir!W21/((1/1000)*(up_Irr!V21+up_Irr!AU21)),IF(AND(up_Irr!V21&lt;&gt;".",up_Irr!AU21=".",up_Irr!BT21&lt;&gt;"."),up_dir!W21/((1/1000)*(up_Irr!V21+up_Irr!BT21)),IF(AND(up_Irr!V21=".",up_Irr!AU21&lt;&gt;".",up_Irr!BT21&lt;&gt;"."),up_dir!W21/((1/1000)*(up_Irr!AU21+up_Irr!BT21)),IF(AND(up_Irr!V21=".",up_Irr!AU21=".",up_Irr!BT21&lt;&gt;"."),up_dir!W21/((1/1000)*(up_Irr!BT21)),IF(AND(up_Irr!V21=".",up_Irr!AU21&lt;&gt;".",up_Irr!BT21="."),up_dir!W21/((1/1000)*(up_Irr!AU21)),IF(AND(up_Irr!V21&lt;&gt;".",up_Irr!AU21=".",up_Irr!BT21="."),up_dir!W21/((1/1000)*(up_Irr!V21)),IF(AND(up_Irr!V21=".",up_Irr!AU21=".",up_Irr!BT21="."),up_dir!W21*1000)))))))),".")</f>
        <v>6.5773651144152131E-4</v>
      </c>
      <c r="X21" s="70">
        <f>IFERROR(IF(AND(up_Irr!W21&lt;&gt;".",up_Irr!AV21&lt;&gt;".",up_Irr!BU21&lt;&gt;"."),up_dir!X21/((1/1000)*(up_Irr!W21+up_Irr!AV21+up_Irr!BU21)),IF(AND(up_Irr!W21&lt;&gt;".",up_Irr!AV21&lt;&gt;".",up_Irr!BU21="."),up_dir!X21/((1/1000)*(up_Irr!W21+up_Irr!AV21)),IF(AND(up_Irr!W21&lt;&gt;".",up_Irr!AV21=".",up_Irr!BU21&lt;&gt;"."),up_dir!X21/((1/1000)*(up_Irr!W21+up_Irr!BU21)),IF(AND(up_Irr!W21=".",up_Irr!AV21&lt;&gt;".",up_Irr!BU21&lt;&gt;"."),up_dir!X21/((1/1000)*(up_Irr!AV21+up_Irr!BU21)),IF(AND(up_Irr!W21=".",up_Irr!AV21=".",up_Irr!BU21&lt;&gt;"."),up_dir!X21/((1/1000)*(up_Irr!BU21)),IF(AND(up_Irr!W21=".",up_Irr!AV21&lt;&gt;".",up_Irr!BU21="."),up_dir!X21/((1/1000)*(up_Irr!AV21)),IF(AND(up_Irr!W21&lt;&gt;".",up_Irr!AV21=".",up_Irr!BU21="."),up_dir!X21/((1/1000)*(up_Irr!W21)),IF(AND(up_Irr!W21=".",up_Irr!AV21=".",up_Irr!BU21="."),up_dir!X21*1000)))))))),".")</f>
        <v>6.5773651144152131E-4</v>
      </c>
      <c r="Y21" s="70">
        <f>IFERROR(IF(AND(up_Irr!X21&lt;&gt;".",up_Irr!AW21&lt;&gt;".",up_Irr!BV21&lt;&gt;"."),up_dir!Y21/((1/1000)*(up_Irr!X21+up_Irr!AW21+up_Irr!BV21)),IF(AND(up_Irr!X21&lt;&gt;".",up_Irr!AW21&lt;&gt;".",up_Irr!BV21="."),up_dir!Y21/((1/1000)*(up_Irr!X21+up_Irr!AW21)),IF(AND(up_Irr!X21&lt;&gt;".",up_Irr!AW21=".",up_Irr!BV21&lt;&gt;"."),up_dir!Y21/((1/1000)*(up_Irr!X21+up_Irr!BV21)),IF(AND(up_Irr!X21=".",up_Irr!AW21&lt;&gt;".",up_Irr!BV21&lt;&gt;"."),up_dir!Y21/((1/1000)*(up_Irr!AW21+up_Irr!BV21)),IF(AND(up_Irr!X21=".",up_Irr!AW21=".",up_Irr!BV21&lt;&gt;"."),up_dir!Y21/((1/1000)*(up_Irr!BV21)),IF(AND(up_Irr!X21=".",up_Irr!AW21&lt;&gt;".",up_Irr!BV21="."),up_dir!Y21/((1/1000)*(up_Irr!AW21)),IF(AND(up_Irr!X21&lt;&gt;".",up_Irr!AW21=".",up_Irr!BV21="."),up_dir!Y21/((1/1000)*(up_Irr!X21)),IF(AND(up_Irr!X21=".",up_Irr!AW21=".",up_Irr!BV21="."),up_dir!Y21*1000)))))))),".")</f>
        <v>6.5773651144152131E-4</v>
      </c>
      <c r="Z21" s="70">
        <f>IFERROR(IF(AND(up_Irr!Y21&lt;&gt;".",up_Irr!AX21&lt;&gt;".",up_Irr!BW21&lt;&gt;"."),up_dir!Z21/((1/1000)*(up_Irr!Y21+up_Irr!AX21+up_Irr!BW21)),IF(AND(up_Irr!Y21&lt;&gt;".",up_Irr!AX21&lt;&gt;".",up_Irr!BW21="."),up_dir!Z21/((1/1000)*(up_Irr!Y21+up_Irr!AX21)),IF(AND(up_Irr!Y21&lt;&gt;".",up_Irr!AX21=".",up_Irr!BW21&lt;&gt;"."),up_dir!Z21/((1/1000)*(up_Irr!Y21+up_Irr!BW21)),IF(AND(up_Irr!Y21=".",up_Irr!AX21&lt;&gt;".",up_Irr!BW21&lt;&gt;"."),up_dir!Z21/((1/1000)*(up_Irr!AX21+up_Irr!BW21)),IF(AND(up_Irr!Y21=".",up_Irr!AX21=".",up_Irr!BW21&lt;&gt;"."),up_dir!Z21/((1/1000)*(up_Irr!BW21)),IF(AND(up_Irr!Y21=".",up_Irr!AX21&lt;&gt;".",up_Irr!BW21="."),up_dir!Z21/((1/1000)*(up_Irr!AX21)),IF(AND(up_Irr!Y21&lt;&gt;".",up_Irr!AX21=".",up_Irr!BW21="."),up_dir!Z21/((1/1000)*(up_Irr!Y21)),IF(AND(up_Irr!Y21=".",up_Irr!AX21=".",up_Irr!BW21="."),up_dir!Z21*1000)))))))),".")</f>
        <v>6.5773651144152131E-4</v>
      </c>
      <c r="AA21" s="70">
        <f>IFERROR(IF(AND(up_Irr!Z21&lt;&gt;".",up_Irr!AY21&lt;&gt;".",up_Irr!BX21&lt;&gt;"."),up_dir!AA21/((1/1000)*(up_Irr!Z21+up_Irr!AY21+up_Irr!BX21)),IF(AND(up_Irr!Z21&lt;&gt;".",up_Irr!AY21&lt;&gt;".",up_Irr!BX21="."),up_dir!AA21/((1/1000)*(up_Irr!Z21+up_Irr!AY21)),IF(AND(up_Irr!Z21&lt;&gt;".",up_Irr!AY21=".",up_Irr!BX21&lt;&gt;"."),up_dir!AA21/((1/1000)*(up_Irr!Z21+up_Irr!BX21)),IF(AND(up_Irr!Z21=".",up_Irr!AY21&lt;&gt;".",up_Irr!BX21&lt;&gt;"."),up_dir!AA21/((1/1000)*(up_Irr!AY21+up_Irr!BX21)),IF(AND(up_Irr!Z21=".",up_Irr!AY21=".",up_Irr!BX21&lt;&gt;"."),up_dir!AA21/((1/1000)*(up_Irr!BX21)),IF(AND(up_Irr!Z21=".",up_Irr!AY21&lt;&gt;".",up_Irr!BX21="."),up_dir!AA21/((1/1000)*(up_Irr!AY21)),IF(AND(up_Irr!Z21&lt;&gt;".",up_Irr!AY21=".",up_Irr!BX21="."),up_dir!AA21/((1/1000)*(up_Irr!Z21)),IF(AND(up_Irr!Z21=".",up_Irr!AY21=".",up_Irr!BX21="."),up_dir!AA21*1000)))))))),".")</f>
        <v>6.5773651144152131E-4</v>
      </c>
      <c r="AB21" s="70">
        <f>IFERROR(IF(AND(up_Irr!AA21&lt;&gt;".",up_Irr!AZ21&lt;&gt;".",up_Irr!BY21&lt;&gt;"."),up_dir!AB21/((1/1000)*(up_Irr!AA21+up_Irr!AZ21+up_Irr!BY21)),IF(AND(up_Irr!AA21&lt;&gt;".",up_Irr!AZ21&lt;&gt;".",up_Irr!BY21="."),up_dir!AB21/((1/1000)*(up_Irr!AA21+up_Irr!AZ21)),IF(AND(up_Irr!AA21&lt;&gt;".",up_Irr!AZ21=".",up_Irr!BY21&lt;&gt;"."),up_dir!AB21/((1/1000)*(up_Irr!AA21+up_Irr!BY21)),IF(AND(up_Irr!AA21=".",up_Irr!AZ21&lt;&gt;".",up_Irr!BY21&lt;&gt;"."),up_dir!AB21/((1/1000)*(up_Irr!AZ21+up_Irr!BY21)),IF(AND(up_Irr!AA21=".",up_Irr!AZ21=".",up_Irr!BY21&lt;&gt;"."),up_dir!AB21/((1/1000)*(up_Irr!BY21)),IF(AND(up_Irr!AA21=".",up_Irr!AZ21&lt;&gt;".",up_Irr!BY21="."),up_dir!AB21/((1/1000)*(up_Irr!AZ21)),IF(AND(up_Irr!AA21&lt;&gt;".",up_Irr!AZ21=".",up_Irr!BY21="."),up_dir!AB21/((1/1000)*(up_Irr!AA21)),IF(AND(up_Irr!AA21=".",up_Irr!AZ21=".",up_Irr!BY21="."),up_dir!AB21*1000)))))))),".")</f>
        <v>6.5773651144152131E-4</v>
      </c>
      <c r="AC21" s="87">
        <f t="shared" si="1"/>
        <v>30407.313038114935</v>
      </c>
      <c r="AD21" s="87">
        <f>IFERROR(s_C*s_IFAP_res_adj*s_CF_apple*0.001*(up_Irr!C21+up_Irr!AB21+up_Irr!BA21),".")</f>
        <v>7601.8282595287337</v>
      </c>
      <c r="AE21" s="87">
        <f>IFERROR(s_C*s_IFAS_res_adj*s_CF_asparagus*0.001*(up_Irr!D21+up_Irr!AC21+up_Irr!BB21),".")</f>
        <v>7601.8282595287337</v>
      </c>
      <c r="AF21" s="87">
        <f>IFERROR(s_C*s_IFBT_res_adj*s_CF_beet*0.001*(up_Irr!E21+up_Irr!AD21+up_Irr!BC21),".")</f>
        <v>7601.8282595287337</v>
      </c>
      <c r="AG21" s="87">
        <f>IFERROR(s_C*s_IFBE_res_adj*s_CF_berries*0.001*(up_Irr!F21+up_Irr!AE21+up_Irr!BD21),".")</f>
        <v>7601.8282595287337</v>
      </c>
      <c r="AH21" s="87">
        <f>IFERROR(s_C*s_IFBR_res_adj*s_CF_broccoli*0.001*(up_Irr!G21+up_Irr!AF21+up_Irr!BE21),".")</f>
        <v>7601.8282595287337</v>
      </c>
      <c r="AI21" s="87">
        <f>IFERROR(s_C*s_IFCB_res_adj*s_CF_cabbage*0.001*(up_Irr!H21+up_Irr!AG21+up_Irr!BF21),".")</f>
        <v>7601.8282595287337</v>
      </c>
      <c r="AJ21" s="87">
        <f>IFERROR(s_C*s_IFCR_res_adj*s_CF_carrot*0.001*(up_Irr!I21+up_Irr!AH21+up_Irr!BG21),".")</f>
        <v>7601.8282595287337</v>
      </c>
      <c r="AK21" s="87">
        <f>IFERROR(s_C*s_IFCI_res_adj*s_CF_citrus*0.001*(up_Irr!J21+up_Irr!AI21+up_Irr!BH21),".")</f>
        <v>7601.8282595287337</v>
      </c>
      <c r="AL21" s="87">
        <f>IFERROR(s_C*s_IFCO_res_adj*s_CF_corn*0.001*(up_Irr!K21+up_Irr!AJ21+up_Irr!BI21),".")</f>
        <v>7601.8282595287337</v>
      </c>
      <c r="AM21" s="87">
        <f>IFERROR(s_C*s_IFCU_res_adj*s_CF_cucumber*0.001*(up_Irr!L21+up_Irr!AK21+up_Irr!BJ21),".")</f>
        <v>7601.8282595287337</v>
      </c>
      <c r="AN21" s="87">
        <f>IFERROR(s_C*s_IFLE_res_adj*s_CF_lettuce*0.001*(up_Irr!M21+up_Irr!AL21+up_Irr!BK21),".")</f>
        <v>7601.8282595287337</v>
      </c>
      <c r="AO21" s="87">
        <f>IFERROR(s_C*s_IFLI_res_adj*s_CF_lima_bean*0.001*(up_Irr!N21+up_Irr!AM21+up_Irr!BL21),".")</f>
        <v>7601.8282595287337</v>
      </c>
      <c r="AP21" s="87">
        <f>IFERROR(s_C*s_IFOK_res_adj*s_CF_okra*0.001*(up_Irr!O21+up_Irr!AN21+up_Irr!BM21),".")</f>
        <v>7601.8282595287337</v>
      </c>
      <c r="AQ21" s="87">
        <f>IFERROR(s_C*s_IFON_res_adj*s_CF_onion*0.001*(up_Irr!P21+up_Irr!AO21+up_Irr!BN21),".")</f>
        <v>7601.8282595287337</v>
      </c>
      <c r="AR21" s="87">
        <f>IFERROR(s_C*s_IFPC_res_adj*s_CF_peach*0.001*(up_Irr!Q21+up_Irr!AP21+up_Irr!BO21),".")</f>
        <v>7601.8282595287337</v>
      </c>
      <c r="AS21" s="87">
        <f>IFERROR(s_C*s_IFPR_res_adj*s_CF_pear*0.001*(up_Irr!R21+up_Irr!AQ21+up_Irr!BP21),".")</f>
        <v>7601.8282595287337</v>
      </c>
      <c r="AT21" s="87">
        <f>IFERROR(s_C*s_IFPE_res_adj*s_CF_peas*0.001*(up_Irr!S21+up_Irr!AR21+up_Irr!BQ21),".")</f>
        <v>7601.8282595287337</v>
      </c>
      <c r="AU21" s="87">
        <f>IFERROR(s_C*s_IFPP_res_adj*s_CF_peppers*0.001*(up_Irr!T21+up_Irr!AS21+up_Irr!BR21),".")</f>
        <v>7601.8282595287337</v>
      </c>
      <c r="AV21" s="87">
        <f>IFERROR(s_C*s_IFPT_res_adj*s_CF_potato*0.001*(up_Irr!U21+up_Irr!AT21+up_Irr!BS21),".")</f>
        <v>7601.8282595287337</v>
      </c>
      <c r="AW21" s="87">
        <f>IFERROR(s_C*s_IFPU_res_adj*s_CF_pumpkin*0.001*(up_Irr!V21+up_Irr!AU21+up_Irr!BT21),".")</f>
        <v>7601.8282595287337</v>
      </c>
      <c r="AX21" s="87">
        <f>IFERROR(s_C*s_IFSN_res_adj*s_CF_snap_bean*0.001*(up_Irr!W21+up_Irr!AV21+up_Irr!BU21),".")</f>
        <v>7601.8282595287337</v>
      </c>
      <c r="AY21" s="87">
        <f>IFERROR(s_C*s_IFST_res_adj*s_CF_strawberry*0.001*(up_Irr!X21+up_Irr!AW21+up_Irr!BV21),".")</f>
        <v>7601.8282595287337</v>
      </c>
      <c r="AZ21" s="87">
        <f>IFERROR(s_C*s_IFTO_res_adj*s_CF_tomato*0.001*(up_Irr!Y21+up_Irr!AX21+up_Irr!BW21),".")</f>
        <v>7601.8282595287337</v>
      </c>
      <c r="BA21" s="87">
        <f>IFERROR(s_C*s_IFRI_res_adj*s_CF_rice*0.001*(up_Irr!Z21+up_Irr!AY21+up_Irr!BX21),".")</f>
        <v>7601.8282595287337</v>
      </c>
      <c r="BB21" s="87">
        <f>IFERROR(s_C*s_IFCG_res_adj*s_CF_cereal*0.001*(up_Irr!AA21+up_Irr!AZ21+up_Irr!BY21),".")</f>
        <v>7601.8282595287337</v>
      </c>
      <c r="BC21" s="70">
        <f t="shared" si="2"/>
        <v>1.6443412786038033E-4</v>
      </c>
      <c r="BD21" s="70">
        <f>IFERROR(IF(AND(up_Irr!C21&lt;&gt;".",up_Irr!AB21&lt;&gt;".",up_Irr!BA21&lt;&gt;"."),up_dir!AD21/((1/1000)*(up_Irr!C21+up_Irr!AB21+up_Irr!BA21)),IF(AND(up_Irr!C21&lt;&gt;".",up_Irr!AB21&lt;&gt;".",up_Irr!BA21="."),up_dir!AD21/((1/1000)*(up_Irr!C21+up_Irr!AB21)),IF(AND(up_Irr!C21&lt;&gt;".",up_Irr!AB21=".",up_Irr!BA21&lt;&gt;"."),up_dir!AD21/((1/1000)*(up_Irr!C21+up_Irr!BA21)),IF(AND(up_Irr!C21=".",up_Irr!AB21&lt;&gt;".",up_Irr!BA21&lt;&gt;"."),up_dir!AD21/((1/1000)*(up_Irr!AB21+up_Irr!BA21)),IF(AND(up_Irr!C21=".",up_Irr!AB21=".",up_Irr!BA21&lt;&gt;"."),up_dir!AD21/((1/1000)*(up_Irr!BA21)),IF(AND(up_Irr!C21=".",up_Irr!AB21&lt;&gt;".",up_Irr!BA21="."),up_dir!AD21/((1/1000)*(up_Irr!AB21)),IF(AND(up_Irr!C21&lt;&gt;".",up_Irr!AB21=".",up_Irr!BA21="."),up_dir!AD21/((1/1000)*(up_Irr!C21)),IF(AND(up_Irr!C21=".",up_Irr!AB21=".",up_Irr!BA21="."),up_dir!AD21*1000)))))))),".")</f>
        <v>6.5773651144152131E-4</v>
      </c>
      <c r="BE21" s="70">
        <f>IFERROR(IF(AND(up_Irr!D21&lt;&gt;".",up_Irr!AC21&lt;&gt;".",up_Irr!BB21&lt;&gt;"."),up_dir!AE21/((1/1000)*(up_Irr!D21+up_Irr!AC21+up_Irr!BB21)),IF(AND(up_Irr!D21&lt;&gt;".",up_Irr!AC21&lt;&gt;".",up_Irr!BB21="."),up_dir!AE21/((1/1000)*(up_Irr!D21+up_Irr!AC21)),IF(AND(up_Irr!D21&lt;&gt;".",up_Irr!AC21=".",up_Irr!BB21&lt;&gt;"."),up_dir!AE21/((1/1000)*(up_Irr!D21+up_Irr!BB21)),IF(AND(up_Irr!D21=".",up_Irr!AC21&lt;&gt;".",up_Irr!BB21&lt;&gt;"."),up_dir!AE21/((1/1000)*(up_Irr!AC21+up_Irr!BB21)),IF(AND(up_Irr!D21=".",up_Irr!AC21=".",up_Irr!BB21&lt;&gt;"."),up_dir!AE21/((1/1000)*(up_Irr!BB21)),IF(AND(up_Irr!D21=".",up_Irr!AC21&lt;&gt;".",up_Irr!BB21="."),up_dir!AE21/((1/1000)*(up_Irr!AC21)),IF(AND(up_Irr!D21&lt;&gt;".",up_Irr!AC21=".",up_Irr!BB21="."),up_dir!AE21/((1/1000)*(up_Irr!D21)),IF(AND(up_Irr!D21=".",up_Irr!AC21=".",up_Irr!BB21="."),up_dir!AE21*1000)))))))),".")</f>
        <v>6.5773651144152131E-4</v>
      </c>
      <c r="BF21" s="70">
        <f>IFERROR(IF(AND(up_Irr!E21&lt;&gt;".",up_Irr!AD21&lt;&gt;".",up_Irr!BC21&lt;&gt;"."),up_dir!AF21/((1/1000)*(up_Irr!E21+up_Irr!AD21+up_Irr!BC21)),IF(AND(up_Irr!E21&lt;&gt;".",up_Irr!AD21&lt;&gt;".",up_Irr!BC21="."),up_dir!AF21/((1/1000)*(up_Irr!E21+up_Irr!AD21)),IF(AND(up_Irr!E21&lt;&gt;".",up_Irr!AD21=".",up_Irr!BC21&lt;&gt;"."),up_dir!AF21/((1/1000)*(up_Irr!E21+up_Irr!BC21)),IF(AND(up_Irr!E21=".",up_Irr!AD21&lt;&gt;".",up_Irr!BC21&lt;&gt;"."),up_dir!AF21/((1/1000)*(up_Irr!AD21+up_Irr!BC21)),IF(AND(up_Irr!E21=".",up_Irr!AD21=".",up_Irr!BC21&lt;&gt;"."),up_dir!AF21/((1/1000)*(up_Irr!BC21)),IF(AND(up_Irr!E21=".",up_Irr!AD21&lt;&gt;".",up_Irr!BC21="."),up_dir!AF21/((1/1000)*(up_Irr!AD21)),IF(AND(up_Irr!E21&lt;&gt;".",up_Irr!AD21=".",up_Irr!BC21="."),up_dir!AF21/((1/1000)*(up_Irr!E21)),IF(AND(up_Irr!E21=".",up_Irr!AD21=".",up_Irr!BC21="."),up_dir!AF21*1000)))))))),".")</f>
        <v>6.5773651144152131E-4</v>
      </c>
      <c r="BG21" s="70">
        <f>IFERROR(IF(AND(up_Irr!F21&lt;&gt;".",up_Irr!AE21&lt;&gt;".",up_Irr!BD21&lt;&gt;"."),up_dir!AG21/((1/1000)*(up_Irr!F21+up_Irr!AE21+up_Irr!BD21)),IF(AND(up_Irr!F21&lt;&gt;".",up_Irr!AE21&lt;&gt;".",up_Irr!BD21="."),up_dir!AG21/((1/1000)*(up_Irr!F21+up_Irr!AE21)),IF(AND(up_Irr!F21&lt;&gt;".",up_Irr!AE21=".",up_Irr!BD21&lt;&gt;"."),up_dir!AG21/((1/1000)*(up_Irr!F21+up_Irr!BD21)),IF(AND(up_Irr!F21=".",up_Irr!AE21&lt;&gt;".",up_Irr!BD21&lt;&gt;"."),up_dir!AG21/((1/1000)*(up_Irr!AE21+up_Irr!BD21)),IF(AND(up_Irr!F21=".",up_Irr!AE21=".",up_Irr!BD21&lt;&gt;"."),up_dir!AG21/((1/1000)*(up_Irr!BD21)),IF(AND(up_Irr!F21=".",up_Irr!AE21&lt;&gt;".",up_Irr!BD21="."),up_dir!AG21/((1/1000)*(up_Irr!AE21)),IF(AND(up_Irr!F21&lt;&gt;".",up_Irr!AE21=".",up_Irr!BD21="."),up_dir!AG21/((1/1000)*(up_Irr!F21)),IF(AND(up_Irr!F21=".",up_Irr!AE21=".",up_Irr!BD21="."),up_dir!AG21*1000)))))))),".")</f>
        <v>6.5773651144152131E-4</v>
      </c>
      <c r="BH21" s="70">
        <f>IFERROR(IF(AND(up_Irr!G21&lt;&gt;".",up_Irr!AF21&lt;&gt;".",up_Irr!BE21&lt;&gt;"."),up_dir!AH21/((1/1000)*(up_Irr!G21+up_Irr!AF21+up_Irr!BE21)),IF(AND(up_Irr!G21&lt;&gt;".",up_Irr!AF21&lt;&gt;".",up_Irr!BE21="."),up_dir!AH21/((1/1000)*(up_Irr!G21+up_Irr!AF21)),IF(AND(up_Irr!G21&lt;&gt;".",up_Irr!AF21=".",up_Irr!BE21&lt;&gt;"."),up_dir!AH21/((1/1000)*(up_Irr!G21+up_Irr!BE21)),IF(AND(up_Irr!G21=".",up_Irr!AF21&lt;&gt;".",up_Irr!BE21&lt;&gt;"."),up_dir!AH21/((1/1000)*(up_Irr!AF21+up_Irr!BE21)),IF(AND(up_Irr!G21=".",up_Irr!AF21=".",up_Irr!BE21&lt;&gt;"."),up_dir!AH21/((1/1000)*(up_Irr!BE21)),IF(AND(up_Irr!G21=".",up_Irr!AF21&lt;&gt;".",up_Irr!BE21="."),up_dir!AH21/((1/1000)*(up_Irr!AF21)),IF(AND(up_Irr!G21&lt;&gt;".",up_Irr!AF21=".",up_Irr!BE21="."),up_dir!AH21/((1/1000)*(up_Irr!G21)),IF(AND(up_Irr!G21=".",up_Irr!AF21=".",up_Irr!BE21="."),up_dir!AH21*1000)))))))),".")</f>
        <v>6.5773651144152131E-4</v>
      </c>
      <c r="BI21" s="70">
        <f>IFERROR(IF(AND(up_Irr!H21&lt;&gt;".",up_Irr!AG21&lt;&gt;".",up_Irr!BF21&lt;&gt;"."),up_dir!AI21/((1/1000)*(up_Irr!H21+up_Irr!AG21+up_Irr!BF21)),IF(AND(up_Irr!H21&lt;&gt;".",up_Irr!AG21&lt;&gt;".",up_Irr!BF21="."),up_dir!AI21/((1/1000)*(up_Irr!H21+up_Irr!AG21)),IF(AND(up_Irr!H21&lt;&gt;".",up_Irr!AG21=".",up_Irr!BF21&lt;&gt;"."),up_dir!AI21/((1/1000)*(up_Irr!H21+up_Irr!BF21)),IF(AND(up_Irr!H21=".",up_Irr!AG21&lt;&gt;".",up_Irr!BF21&lt;&gt;"."),up_dir!AI21/((1/1000)*(up_Irr!AG21+up_Irr!BF21)),IF(AND(up_Irr!H21=".",up_Irr!AG21=".",up_Irr!BF21&lt;&gt;"."),up_dir!AI21/((1/1000)*(up_Irr!BF21)),IF(AND(up_Irr!H21=".",up_Irr!AG21&lt;&gt;".",up_Irr!BF21="."),up_dir!AI21/((1/1000)*(up_Irr!AG21)),IF(AND(up_Irr!H21&lt;&gt;".",up_Irr!AG21=".",up_Irr!BF21="."),up_dir!AI21/((1/1000)*(up_Irr!H21)),IF(AND(up_Irr!H21=".",up_Irr!AG21=".",up_Irr!BF21="."),up_dir!AI21*1000)))))))),".")</f>
        <v>6.5773651144152131E-4</v>
      </c>
      <c r="BJ21" s="70">
        <f>IFERROR(IF(AND(up_Irr!I21&lt;&gt;".",up_Irr!AH21&lt;&gt;".",up_Irr!BG21&lt;&gt;"."),up_dir!AJ21/((1/1000)*(up_Irr!I21+up_Irr!AH21+up_Irr!BG21)),IF(AND(up_Irr!I21&lt;&gt;".",up_Irr!AH21&lt;&gt;".",up_Irr!BG21="."),up_dir!AJ21/((1/1000)*(up_Irr!I21+up_Irr!AH21)),IF(AND(up_Irr!I21&lt;&gt;".",up_Irr!AH21=".",up_Irr!BG21&lt;&gt;"."),up_dir!AJ21/((1/1000)*(up_Irr!I21+up_Irr!BG21)),IF(AND(up_Irr!I21=".",up_Irr!AH21&lt;&gt;".",up_Irr!BG21&lt;&gt;"."),up_dir!AJ21/((1/1000)*(up_Irr!AH21+up_Irr!BG21)),IF(AND(up_Irr!I21=".",up_Irr!AH21=".",up_Irr!BG21&lt;&gt;"."),up_dir!AJ21/((1/1000)*(up_Irr!BG21)),IF(AND(up_Irr!I21=".",up_Irr!AH21&lt;&gt;".",up_Irr!BG21="."),up_dir!AJ21/((1/1000)*(up_Irr!AH21)),IF(AND(up_Irr!I21&lt;&gt;".",up_Irr!AH21=".",up_Irr!BG21="."),up_dir!AJ21/((1/1000)*(up_Irr!I21)),IF(AND(up_Irr!I21=".",up_Irr!AH21=".",up_Irr!BG21="."),up_dir!AJ21*1000)))))))),".")</f>
        <v>6.5773651144152131E-4</v>
      </c>
      <c r="BK21" s="70">
        <f>IFERROR(IF(AND(up_Irr!J21&lt;&gt;".",up_Irr!AI21&lt;&gt;".",up_Irr!BH21&lt;&gt;"."),up_dir!AK21/((1/1000)*(up_Irr!J21+up_Irr!AI21+up_Irr!BH21)),IF(AND(up_Irr!J21&lt;&gt;".",up_Irr!AI21&lt;&gt;".",up_Irr!BH21="."),up_dir!AK21/((1/1000)*(up_Irr!J21+up_Irr!AI21)),IF(AND(up_Irr!J21&lt;&gt;".",up_Irr!AI21=".",up_Irr!BH21&lt;&gt;"."),up_dir!AK21/((1/1000)*(up_Irr!J21+up_Irr!BH21)),IF(AND(up_Irr!J21=".",up_Irr!AI21&lt;&gt;".",up_Irr!BH21&lt;&gt;"."),up_dir!AK21/((1/1000)*(up_Irr!AI21+up_Irr!BH21)),IF(AND(up_Irr!J21=".",up_Irr!AI21=".",up_Irr!BH21&lt;&gt;"."),up_dir!AK21/((1/1000)*(up_Irr!BH21)),IF(AND(up_Irr!J21=".",up_Irr!AI21&lt;&gt;".",up_Irr!BH21="."),up_dir!AK21/((1/1000)*(up_Irr!AI21)),IF(AND(up_Irr!J21&lt;&gt;".",up_Irr!AI21=".",up_Irr!BH21="."),up_dir!AK21/((1/1000)*(up_Irr!J21)),IF(AND(up_Irr!J21=".",up_Irr!AI21=".",up_Irr!BH21="."),up_dir!AK21*1000)))))))),".")</f>
        <v>6.5773651144152131E-4</v>
      </c>
      <c r="BL21" s="70">
        <f>IFERROR(IF(AND(up_Irr!K21&lt;&gt;".",up_Irr!AJ21&lt;&gt;".",up_Irr!BI21&lt;&gt;"."),up_dir!AL21/((1/1000)*(up_Irr!K21+up_Irr!AJ21+up_Irr!BI21)),IF(AND(up_Irr!K21&lt;&gt;".",up_Irr!AJ21&lt;&gt;".",up_Irr!BI21="."),up_dir!AL21/((1/1000)*(up_Irr!K21+up_Irr!AJ21)),IF(AND(up_Irr!K21&lt;&gt;".",up_Irr!AJ21=".",up_Irr!BI21&lt;&gt;"."),up_dir!AL21/((1/1000)*(up_Irr!K21+up_Irr!BI21)),IF(AND(up_Irr!K21=".",up_Irr!AJ21&lt;&gt;".",up_Irr!BI21&lt;&gt;"."),up_dir!AL21/((1/1000)*(up_Irr!AJ21+up_Irr!BI21)),IF(AND(up_Irr!K21=".",up_Irr!AJ21=".",up_Irr!BI21&lt;&gt;"."),up_dir!AL21/((1/1000)*(up_Irr!BI21)),IF(AND(up_Irr!K21=".",up_Irr!AJ21&lt;&gt;".",up_Irr!BI21="."),up_dir!AL21/((1/1000)*(up_Irr!AJ21)),IF(AND(up_Irr!K21&lt;&gt;".",up_Irr!AJ21=".",up_Irr!BI21="."),up_dir!AL21/((1/1000)*(up_Irr!K21)),IF(AND(up_Irr!K21=".",up_Irr!AJ21=".",up_Irr!BI21="."),up_dir!AL21*1000)))))))),".")</f>
        <v>6.5773651144152131E-4</v>
      </c>
      <c r="BM21" s="70">
        <f>IFERROR(IF(AND(up_Irr!L21&lt;&gt;".",up_Irr!AK21&lt;&gt;".",up_Irr!BJ21&lt;&gt;"."),up_dir!AM21/((1/1000)*(up_Irr!L21+up_Irr!AK21+up_Irr!BJ21)),IF(AND(up_Irr!L21&lt;&gt;".",up_Irr!AK21&lt;&gt;".",up_Irr!BJ21="."),up_dir!AM21/((1/1000)*(up_Irr!L21+up_Irr!AK21)),IF(AND(up_Irr!L21&lt;&gt;".",up_Irr!AK21=".",up_Irr!BJ21&lt;&gt;"."),up_dir!AM21/((1/1000)*(up_Irr!L21+up_Irr!BJ21)),IF(AND(up_Irr!L21=".",up_Irr!AK21&lt;&gt;".",up_Irr!BJ21&lt;&gt;"."),up_dir!AM21/((1/1000)*(up_Irr!AK21+up_Irr!BJ21)),IF(AND(up_Irr!L21=".",up_Irr!AK21=".",up_Irr!BJ21&lt;&gt;"."),up_dir!AM21/((1/1000)*(up_Irr!BJ21)),IF(AND(up_Irr!L21=".",up_Irr!AK21&lt;&gt;".",up_Irr!BJ21="."),up_dir!AM21/((1/1000)*(up_Irr!AK21)),IF(AND(up_Irr!L21&lt;&gt;".",up_Irr!AK21=".",up_Irr!BJ21="."),up_dir!AM21/((1/1000)*(up_Irr!L21)),IF(AND(up_Irr!L21=".",up_Irr!AK21=".",up_Irr!BJ21="."),up_dir!AM21*1000)))))))),".")</f>
        <v>6.5773651144152131E-4</v>
      </c>
      <c r="BN21" s="70">
        <f>IFERROR(IF(AND(up_Irr!M21&lt;&gt;".",up_Irr!AL21&lt;&gt;".",up_Irr!BK21&lt;&gt;"."),up_dir!AN21/((1/1000)*(up_Irr!M21+up_Irr!AL21+up_Irr!BK21)),IF(AND(up_Irr!M21&lt;&gt;".",up_Irr!AL21&lt;&gt;".",up_Irr!BK21="."),up_dir!AN21/((1/1000)*(up_Irr!M21+up_Irr!AL21)),IF(AND(up_Irr!M21&lt;&gt;".",up_Irr!AL21=".",up_Irr!BK21&lt;&gt;"."),up_dir!AN21/((1/1000)*(up_Irr!M21+up_Irr!BK21)),IF(AND(up_Irr!M21=".",up_Irr!AL21&lt;&gt;".",up_Irr!BK21&lt;&gt;"."),up_dir!AN21/((1/1000)*(up_Irr!AL21+up_Irr!BK21)),IF(AND(up_Irr!M21=".",up_Irr!AL21=".",up_Irr!BK21&lt;&gt;"."),up_dir!AN21/((1/1000)*(up_Irr!BK21)),IF(AND(up_Irr!M21=".",up_Irr!AL21&lt;&gt;".",up_Irr!BK21="."),up_dir!AN21/((1/1000)*(up_Irr!AL21)),IF(AND(up_Irr!M21&lt;&gt;".",up_Irr!AL21=".",up_Irr!BK21="."),up_dir!AN21/((1/1000)*(up_Irr!M21)),IF(AND(up_Irr!M21=".",up_Irr!AL21=".",up_Irr!BK21="."),up_dir!AN21*1000)))))))),".")</f>
        <v>6.5773651144152131E-4</v>
      </c>
      <c r="BO21" s="70">
        <f>IFERROR(IF(AND(up_Irr!N21&lt;&gt;".",up_Irr!AM21&lt;&gt;".",up_Irr!BL21&lt;&gt;"."),up_dir!AO21/((1/1000)*(up_Irr!N21+up_Irr!AM21+up_Irr!BL21)),IF(AND(up_Irr!N21&lt;&gt;".",up_Irr!AM21&lt;&gt;".",up_Irr!BL21="."),up_dir!AO21/((1/1000)*(up_Irr!N21+up_Irr!AM21)),IF(AND(up_Irr!N21&lt;&gt;".",up_Irr!AM21=".",up_Irr!BL21&lt;&gt;"."),up_dir!AO21/((1/1000)*(up_Irr!N21+up_Irr!BL21)),IF(AND(up_Irr!N21=".",up_Irr!AM21&lt;&gt;".",up_Irr!BL21&lt;&gt;"."),up_dir!AO21/((1/1000)*(up_Irr!AM21+up_Irr!BL21)),IF(AND(up_Irr!N21=".",up_Irr!AM21=".",up_Irr!BL21&lt;&gt;"."),up_dir!AO21/((1/1000)*(up_Irr!BL21)),IF(AND(up_Irr!N21=".",up_Irr!AM21&lt;&gt;".",up_Irr!BL21="."),up_dir!AO21/((1/1000)*(up_Irr!AM21)),IF(AND(up_Irr!N21&lt;&gt;".",up_Irr!AM21=".",up_Irr!BL21="."),up_dir!AO21/((1/1000)*(up_Irr!N21)),IF(AND(up_Irr!N21=".",up_Irr!AM21=".",up_Irr!BL21="."),up_dir!AO21*1000)))))))),".")</f>
        <v>6.5773651144152131E-4</v>
      </c>
      <c r="BP21" s="70">
        <f>IFERROR(IF(AND(up_Irr!O21&lt;&gt;".",up_Irr!AN21&lt;&gt;".",up_Irr!BM21&lt;&gt;"."),up_dir!AP21/((1/1000)*(up_Irr!O21+up_Irr!AN21+up_Irr!BM21)),IF(AND(up_Irr!O21&lt;&gt;".",up_Irr!AN21&lt;&gt;".",up_Irr!BM21="."),up_dir!AP21/((1/1000)*(up_Irr!O21+up_Irr!AN21)),IF(AND(up_Irr!O21&lt;&gt;".",up_Irr!AN21=".",up_Irr!BM21&lt;&gt;"."),up_dir!AP21/((1/1000)*(up_Irr!O21+up_Irr!BM21)),IF(AND(up_Irr!O21=".",up_Irr!AN21&lt;&gt;".",up_Irr!BM21&lt;&gt;"."),up_dir!AP21/((1/1000)*(up_Irr!AN21+up_Irr!BM21)),IF(AND(up_Irr!O21=".",up_Irr!AN21=".",up_Irr!BM21&lt;&gt;"."),up_dir!AP21/((1/1000)*(up_Irr!BM21)),IF(AND(up_Irr!O21=".",up_Irr!AN21&lt;&gt;".",up_Irr!BM21="."),up_dir!AP21/((1/1000)*(up_Irr!AN21)),IF(AND(up_Irr!O21&lt;&gt;".",up_Irr!AN21=".",up_Irr!BM21="."),up_dir!AP21/((1/1000)*(up_Irr!O21)),IF(AND(up_Irr!O21=".",up_Irr!AN21=".",up_Irr!BM21="."),up_dir!AP21*1000)))))))),".")</f>
        <v>6.5773651144152131E-4</v>
      </c>
      <c r="BQ21" s="70">
        <f>IFERROR(IF(AND(up_Irr!P21&lt;&gt;".",up_Irr!AO21&lt;&gt;".",up_Irr!BN21&lt;&gt;"."),up_dir!AQ21/((1/1000)*(up_Irr!P21+up_Irr!AO21+up_Irr!BN21)),IF(AND(up_Irr!P21&lt;&gt;".",up_Irr!AO21&lt;&gt;".",up_Irr!BN21="."),up_dir!AQ21/((1/1000)*(up_Irr!P21+up_Irr!AO21)),IF(AND(up_Irr!P21&lt;&gt;".",up_Irr!AO21=".",up_Irr!BN21&lt;&gt;"."),up_dir!AQ21/((1/1000)*(up_Irr!P21+up_Irr!BN21)),IF(AND(up_Irr!P21=".",up_Irr!AO21&lt;&gt;".",up_Irr!BN21&lt;&gt;"."),up_dir!AQ21/((1/1000)*(up_Irr!AO21+up_Irr!BN21)),IF(AND(up_Irr!P21=".",up_Irr!AO21=".",up_Irr!BN21&lt;&gt;"."),up_dir!AQ21/((1/1000)*(up_Irr!BN21)),IF(AND(up_Irr!P21=".",up_Irr!AO21&lt;&gt;".",up_Irr!BN21="."),up_dir!AQ21/((1/1000)*(up_Irr!AO21)),IF(AND(up_Irr!P21&lt;&gt;".",up_Irr!AO21=".",up_Irr!BN21="."),up_dir!AQ21/((1/1000)*(up_Irr!P21)),IF(AND(up_Irr!P21=".",up_Irr!AO21=".",up_Irr!BN21="."),up_dir!AQ21*1000)))))))),".")</f>
        <v>6.5773651144152131E-4</v>
      </c>
      <c r="BR21" s="70">
        <f>IFERROR(IF(AND(up_Irr!Q21&lt;&gt;".",up_Irr!AP21&lt;&gt;".",up_Irr!BO21&lt;&gt;"."),up_dir!AR21/((1/1000)*(up_Irr!Q21+up_Irr!AP21+up_Irr!BO21)),IF(AND(up_Irr!Q21&lt;&gt;".",up_Irr!AP21&lt;&gt;".",up_Irr!BO21="."),up_dir!AR21/((1/1000)*(up_Irr!Q21+up_Irr!AP21)),IF(AND(up_Irr!Q21&lt;&gt;".",up_Irr!AP21=".",up_Irr!BO21&lt;&gt;"."),up_dir!AR21/((1/1000)*(up_Irr!Q21+up_Irr!BO21)),IF(AND(up_Irr!Q21=".",up_Irr!AP21&lt;&gt;".",up_Irr!BO21&lt;&gt;"."),up_dir!AR21/((1/1000)*(up_Irr!AP21+up_Irr!BO21)),IF(AND(up_Irr!Q21=".",up_Irr!AP21=".",up_Irr!BO21&lt;&gt;"."),up_dir!AR21/((1/1000)*(up_Irr!BO21)),IF(AND(up_Irr!Q21=".",up_Irr!AP21&lt;&gt;".",up_Irr!BO21="."),up_dir!AR21/((1/1000)*(up_Irr!AP21)),IF(AND(up_Irr!Q21&lt;&gt;".",up_Irr!AP21=".",up_Irr!BO21="."),up_dir!AR21/((1/1000)*(up_Irr!Q21)),IF(AND(up_Irr!Q21=".",up_Irr!AP21=".",up_Irr!BO21="."),up_dir!AR21*1000)))))))),".")</f>
        <v>6.5773651144152131E-4</v>
      </c>
      <c r="BS21" s="70">
        <f>IFERROR(IF(AND(up_Irr!R21&lt;&gt;".",up_Irr!AQ21&lt;&gt;".",up_Irr!BP21&lt;&gt;"."),up_dir!AS21/((1/1000)*(up_Irr!R21+up_Irr!AQ21+up_Irr!BP21)),IF(AND(up_Irr!R21&lt;&gt;".",up_Irr!AQ21&lt;&gt;".",up_Irr!BP21="."),up_dir!AS21/((1/1000)*(up_Irr!R21+up_Irr!AQ21)),IF(AND(up_Irr!R21&lt;&gt;".",up_Irr!AQ21=".",up_Irr!BP21&lt;&gt;"."),up_dir!AS21/((1/1000)*(up_Irr!R21+up_Irr!BP21)),IF(AND(up_Irr!R21=".",up_Irr!AQ21&lt;&gt;".",up_Irr!BP21&lt;&gt;"."),up_dir!AS21/((1/1000)*(up_Irr!AQ21+up_Irr!BP21)),IF(AND(up_Irr!R21=".",up_Irr!AQ21=".",up_Irr!BP21&lt;&gt;"."),up_dir!AS21/((1/1000)*(up_Irr!BP21)),IF(AND(up_Irr!R21=".",up_Irr!AQ21&lt;&gt;".",up_Irr!BP21="."),up_dir!AS21/((1/1000)*(up_Irr!AQ21)),IF(AND(up_Irr!R21&lt;&gt;".",up_Irr!AQ21=".",up_Irr!BP21="."),up_dir!AS21/((1/1000)*(up_Irr!R21)),IF(AND(up_Irr!R21=".",up_Irr!AQ21=".",up_Irr!BP21="."),up_dir!AS21*1000)))))))),".")</f>
        <v>6.5773651144152131E-4</v>
      </c>
      <c r="BT21" s="70">
        <f>IFERROR(IF(AND(up_Irr!S21&lt;&gt;".",up_Irr!AR21&lt;&gt;".",up_Irr!BQ21&lt;&gt;"."),up_dir!AT21/((1/1000)*(up_Irr!S21+up_Irr!AR21+up_Irr!BQ21)),IF(AND(up_Irr!S21&lt;&gt;".",up_Irr!AR21&lt;&gt;".",up_Irr!BQ21="."),up_dir!AT21/((1/1000)*(up_Irr!S21+up_Irr!AR21)),IF(AND(up_Irr!S21&lt;&gt;".",up_Irr!AR21=".",up_Irr!BQ21&lt;&gt;"."),up_dir!AT21/((1/1000)*(up_Irr!S21+up_Irr!BQ21)),IF(AND(up_Irr!S21=".",up_Irr!AR21&lt;&gt;".",up_Irr!BQ21&lt;&gt;"."),up_dir!AT21/((1/1000)*(up_Irr!AR21+up_Irr!BQ21)),IF(AND(up_Irr!S21=".",up_Irr!AR21=".",up_Irr!BQ21&lt;&gt;"."),up_dir!AT21/((1/1000)*(up_Irr!BQ21)),IF(AND(up_Irr!S21=".",up_Irr!AR21&lt;&gt;".",up_Irr!BQ21="."),up_dir!AT21/((1/1000)*(up_Irr!AR21)),IF(AND(up_Irr!S21&lt;&gt;".",up_Irr!AR21=".",up_Irr!BQ21="."),up_dir!AT21/((1/1000)*(up_Irr!S21)),IF(AND(up_Irr!S21=".",up_Irr!AR21=".",up_Irr!BQ21="."),up_dir!AT21*1000)))))))),".")</f>
        <v>6.5773651144152131E-4</v>
      </c>
      <c r="BU21" s="70">
        <f>IFERROR(IF(AND(up_Irr!T21&lt;&gt;".",up_Irr!AS21&lt;&gt;".",up_Irr!BR21&lt;&gt;"."),up_dir!AU21/((1/1000)*(up_Irr!T21+up_Irr!AS21+up_Irr!BR21)),IF(AND(up_Irr!T21&lt;&gt;".",up_Irr!AS21&lt;&gt;".",up_Irr!BR21="."),up_dir!AU21/((1/1000)*(up_Irr!T21+up_Irr!AS21)),IF(AND(up_Irr!T21&lt;&gt;".",up_Irr!AS21=".",up_Irr!BR21&lt;&gt;"."),up_dir!AU21/((1/1000)*(up_Irr!T21+up_Irr!BR21)),IF(AND(up_Irr!T21=".",up_Irr!AS21&lt;&gt;".",up_Irr!BR21&lt;&gt;"."),up_dir!AU21/((1/1000)*(up_Irr!AS21+up_Irr!BR21)),IF(AND(up_Irr!T21=".",up_Irr!AS21=".",up_Irr!BR21&lt;&gt;"."),up_dir!AU21/((1/1000)*(up_Irr!BR21)),IF(AND(up_Irr!T21=".",up_Irr!AS21&lt;&gt;".",up_Irr!BR21="."),up_dir!AU21/((1/1000)*(up_Irr!AS21)),IF(AND(up_Irr!T21&lt;&gt;".",up_Irr!AS21=".",up_Irr!BR21="."),up_dir!AU21/((1/1000)*(up_Irr!T21)),IF(AND(up_Irr!T21=".",up_Irr!AS21=".",up_Irr!BR21="."),up_dir!AU21*1000)))))))),".")</f>
        <v>6.5773651144152131E-4</v>
      </c>
      <c r="BV21" s="70">
        <f>IFERROR(IF(AND(up_Irr!U21&lt;&gt;".",up_Irr!AT21&lt;&gt;".",up_Irr!BS21&lt;&gt;"."),up_dir!AV21/((1/1000)*(up_Irr!U21+up_Irr!AT21+up_Irr!BS21)),IF(AND(up_Irr!U21&lt;&gt;".",up_Irr!AT21&lt;&gt;".",up_Irr!BS21="."),up_dir!AV21/((1/1000)*(up_Irr!U21+up_Irr!AT21)),IF(AND(up_Irr!U21&lt;&gt;".",up_Irr!AT21=".",up_Irr!BS21&lt;&gt;"."),up_dir!AV21/((1/1000)*(up_Irr!U21+up_Irr!BS21)),IF(AND(up_Irr!U21=".",up_Irr!AT21&lt;&gt;".",up_Irr!BS21&lt;&gt;"."),up_dir!AV21/((1/1000)*(up_Irr!AT21+up_Irr!BS21)),IF(AND(up_Irr!U21=".",up_Irr!AT21=".",up_Irr!BS21&lt;&gt;"."),up_dir!AV21/((1/1000)*(up_Irr!BS21)),IF(AND(up_Irr!U21=".",up_Irr!AT21&lt;&gt;".",up_Irr!BS21="."),up_dir!AV21/((1/1000)*(up_Irr!AT21)),IF(AND(up_Irr!U21&lt;&gt;".",up_Irr!AT21=".",up_Irr!BS21="."),up_dir!AV21/((1/1000)*(up_Irr!U21)),IF(AND(up_Irr!U21=".",up_Irr!AT21=".",up_Irr!BS21="."),up_dir!AV21*1000)))))))),".")</f>
        <v>6.5773651144152131E-4</v>
      </c>
      <c r="BW21" s="70">
        <f>IFERROR(IF(AND(up_Irr!V21&lt;&gt;".",up_Irr!AU21&lt;&gt;".",up_Irr!BT21&lt;&gt;"."),up_dir!AW21/((1/1000)*(up_Irr!V21+up_Irr!AU21+up_Irr!BT21)),IF(AND(up_Irr!V21&lt;&gt;".",up_Irr!AU21&lt;&gt;".",up_Irr!BT21="."),up_dir!AW21/((1/1000)*(up_Irr!V21+up_Irr!AU21)),IF(AND(up_Irr!V21&lt;&gt;".",up_Irr!AU21=".",up_Irr!BT21&lt;&gt;"."),up_dir!AW21/((1/1000)*(up_Irr!V21+up_Irr!BT21)),IF(AND(up_Irr!V21=".",up_Irr!AU21&lt;&gt;".",up_Irr!BT21&lt;&gt;"."),up_dir!AW21/((1/1000)*(up_Irr!AU21+up_Irr!BT21)),IF(AND(up_Irr!V21=".",up_Irr!AU21=".",up_Irr!BT21&lt;&gt;"."),up_dir!AW21/((1/1000)*(up_Irr!BT21)),IF(AND(up_Irr!V21=".",up_Irr!AU21&lt;&gt;".",up_Irr!BT21="."),up_dir!AW21/((1/1000)*(up_Irr!AU21)),IF(AND(up_Irr!V21&lt;&gt;".",up_Irr!AU21=".",up_Irr!BT21="."),up_dir!AW21/((1/1000)*(up_Irr!V21)),IF(AND(up_Irr!V21=".",up_Irr!AU21=".",up_Irr!BT21="."),up_dir!AW21*1000)))))))),".")</f>
        <v>6.5773651144152131E-4</v>
      </c>
      <c r="BX21" s="70">
        <f>IFERROR(IF(AND(up_Irr!W21&lt;&gt;".",up_Irr!AV21&lt;&gt;".",up_Irr!BU21&lt;&gt;"."),up_dir!AX21/((1/1000)*(up_Irr!W21+up_Irr!AV21+up_Irr!BU21)),IF(AND(up_Irr!W21&lt;&gt;".",up_Irr!AV21&lt;&gt;".",up_Irr!BU21="."),up_dir!AX21/((1/1000)*(up_Irr!W21+up_Irr!AV21)),IF(AND(up_Irr!W21&lt;&gt;".",up_Irr!AV21=".",up_Irr!BU21&lt;&gt;"."),up_dir!AX21/((1/1000)*(up_Irr!W21+up_Irr!BU21)),IF(AND(up_Irr!W21=".",up_Irr!AV21&lt;&gt;".",up_Irr!BU21&lt;&gt;"."),up_dir!AX21/((1/1000)*(up_Irr!AV21+up_Irr!BU21)),IF(AND(up_Irr!W21=".",up_Irr!AV21=".",up_Irr!BU21&lt;&gt;"."),up_dir!AX21/((1/1000)*(up_Irr!BU21)),IF(AND(up_Irr!W21=".",up_Irr!AV21&lt;&gt;".",up_Irr!BU21="."),up_dir!AX21/((1/1000)*(up_Irr!AV21)),IF(AND(up_Irr!W21&lt;&gt;".",up_Irr!AV21=".",up_Irr!BU21="."),up_dir!AX21/((1/1000)*(up_Irr!W21)),IF(AND(up_Irr!W21=".",up_Irr!AV21=".",up_Irr!BU21="."),up_dir!AX21*1000)))))))),".")</f>
        <v>6.5773651144152131E-4</v>
      </c>
      <c r="BY21" s="70">
        <f>IFERROR(IF(AND(up_Irr!X21&lt;&gt;".",up_Irr!AW21&lt;&gt;".",up_Irr!BV21&lt;&gt;"."),up_dir!AY21/((1/1000)*(up_Irr!X21+up_Irr!AW21+up_Irr!BV21)),IF(AND(up_Irr!X21&lt;&gt;".",up_Irr!AW21&lt;&gt;".",up_Irr!BV21="."),up_dir!AY21/((1/1000)*(up_Irr!X21+up_Irr!AW21)),IF(AND(up_Irr!X21&lt;&gt;".",up_Irr!AW21=".",up_Irr!BV21&lt;&gt;"."),up_dir!AY21/((1/1000)*(up_Irr!X21+up_Irr!BV21)),IF(AND(up_Irr!X21=".",up_Irr!AW21&lt;&gt;".",up_Irr!BV21&lt;&gt;"."),up_dir!AY21/((1/1000)*(up_Irr!AW21+up_Irr!BV21)),IF(AND(up_Irr!X21=".",up_Irr!AW21=".",up_Irr!BV21&lt;&gt;"."),up_dir!AY21/((1/1000)*(up_Irr!BV21)),IF(AND(up_Irr!X21=".",up_Irr!AW21&lt;&gt;".",up_Irr!BV21="."),up_dir!AY21/((1/1000)*(up_Irr!AW21)),IF(AND(up_Irr!X21&lt;&gt;".",up_Irr!AW21=".",up_Irr!BV21="."),up_dir!AY21/((1/1000)*(up_Irr!X21)),IF(AND(up_Irr!X21=".",up_Irr!AW21=".",up_Irr!BV21="."),up_dir!AY21*1000)))))))),".")</f>
        <v>6.5773651144152131E-4</v>
      </c>
      <c r="BZ21" s="70">
        <f>IFERROR(IF(AND(up_Irr!Y21&lt;&gt;".",up_Irr!AX21&lt;&gt;".",up_Irr!BW21&lt;&gt;"."),up_dir!AZ21/((1/1000)*(up_Irr!Y21+up_Irr!AX21+up_Irr!BW21)),IF(AND(up_Irr!Y21&lt;&gt;".",up_Irr!AX21&lt;&gt;".",up_Irr!BW21="."),up_dir!AZ21/((1/1000)*(up_Irr!Y21+up_Irr!AX21)),IF(AND(up_Irr!Y21&lt;&gt;".",up_Irr!AX21=".",up_Irr!BW21&lt;&gt;"."),up_dir!AZ21/((1/1000)*(up_Irr!Y21+up_Irr!BW21)),IF(AND(up_Irr!Y21=".",up_Irr!AX21&lt;&gt;".",up_Irr!BW21&lt;&gt;"."),up_dir!AZ21/((1/1000)*(up_Irr!AX21+up_Irr!BW21)),IF(AND(up_Irr!Y21=".",up_Irr!AX21=".",up_Irr!BW21&lt;&gt;"."),up_dir!AZ21/((1/1000)*(up_Irr!BW21)),IF(AND(up_Irr!Y21=".",up_Irr!AX21&lt;&gt;".",up_Irr!BW21="."),up_dir!AZ21/((1/1000)*(up_Irr!AX21)),IF(AND(up_Irr!Y21&lt;&gt;".",up_Irr!AX21=".",up_Irr!BW21="."),up_dir!AZ21/((1/1000)*(up_Irr!Y21)),IF(AND(up_Irr!Y21=".",up_Irr!AX21=".",up_Irr!BW21="."),up_dir!AZ21*1000)))))))),".")</f>
        <v>6.5773651144152131E-4</v>
      </c>
      <c r="CA21" s="70">
        <f>IFERROR(IF(AND(up_Irr!Z21&lt;&gt;".",up_Irr!AY21&lt;&gt;".",up_Irr!BX21&lt;&gt;"."),up_dir!BA21/((1/1000)*(up_Irr!Z21+up_Irr!AY21+up_Irr!BX21)),IF(AND(up_Irr!Z21&lt;&gt;".",up_Irr!AY21&lt;&gt;".",up_Irr!BX21="."),up_dir!BA21/((1/1000)*(up_Irr!Z21+up_Irr!AY21)),IF(AND(up_Irr!Z21&lt;&gt;".",up_Irr!AY21=".",up_Irr!BX21&lt;&gt;"."),up_dir!BA21/((1/1000)*(up_Irr!Z21+up_Irr!BX21)),IF(AND(up_Irr!Z21=".",up_Irr!AY21&lt;&gt;".",up_Irr!BX21&lt;&gt;"."),up_dir!BA21/((1/1000)*(up_Irr!AY21+up_Irr!BX21)),IF(AND(up_Irr!Z21=".",up_Irr!AY21=".",up_Irr!BX21&lt;&gt;"."),up_dir!BA21/((1/1000)*(up_Irr!BX21)),IF(AND(up_Irr!Z21=".",up_Irr!AY21&lt;&gt;".",up_Irr!BX21="."),up_dir!BA21/((1/1000)*(up_Irr!AY21)),IF(AND(up_Irr!Z21&lt;&gt;".",up_Irr!AY21=".",up_Irr!BX21="."),up_dir!BA21/((1/1000)*(up_Irr!Z21)),IF(AND(up_Irr!Z21=".",up_Irr!AY21=".",up_Irr!BX21="."),up_dir!BA21*1000)))))))),".")</f>
        <v>6.5773651144152131E-4</v>
      </c>
      <c r="CB21" s="70">
        <f>IFERROR(IF(AND(up_Irr!AA21&lt;&gt;".",up_Irr!AZ21&lt;&gt;".",up_Irr!BY21&lt;&gt;"."),up_dir!BB21/((1/1000)*(up_Irr!AA21+up_Irr!AZ21+up_Irr!BY21)),IF(AND(up_Irr!AA21&lt;&gt;".",up_Irr!AZ21&lt;&gt;".",up_Irr!BY21="."),up_dir!BB21/((1/1000)*(up_Irr!AA21+up_Irr!AZ21)),IF(AND(up_Irr!AA21&lt;&gt;".",up_Irr!AZ21=".",up_Irr!BY21&lt;&gt;"."),up_dir!BB21/((1/1000)*(up_Irr!AA21+up_Irr!BY21)),IF(AND(up_Irr!AA21=".",up_Irr!AZ21&lt;&gt;".",up_Irr!BY21&lt;&gt;"."),up_dir!BB21/((1/1000)*(up_Irr!AZ21+up_Irr!BY21)),IF(AND(up_Irr!AA21=".",up_Irr!AZ21=".",up_Irr!BY21&lt;&gt;"."),up_dir!BB21/((1/1000)*(up_Irr!BY21)),IF(AND(up_Irr!AA21=".",up_Irr!AZ21&lt;&gt;".",up_Irr!BY21="."),up_dir!BB21/((1/1000)*(up_Irr!AZ21)),IF(AND(up_Irr!AA21&lt;&gt;".",up_Irr!AZ21=".",up_Irr!BY21="."),up_dir!BB21/((1/1000)*(up_Irr!AA21)),IF(AND(up_Irr!AA21=".",up_Irr!AZ21=".",up_Irr!BY21="."),up_dir!BB21*1000)))))))),".")</f>
        <v>6.5773651144152131E-4</v>
      </c>
      <c r="CC21" s="87">
        <f t="shared" si="3"/>
        <v>30407.313038114935</v>
      </c>
      <c r="CD21" s="87">
        <f>IFERROR(s_C*s_IFAP_far_adj*s_CF_apple*(1/1000)*(up_Irr!C21+up_Irr!AB21+up_Irr!BA21),".")</f>
        <v>7601.8282595287337</v>
      </c>
      <c r="CE21" s="87">
        <f>IFERROR(s_C*s_IFAS_far_adj*s_CF_asparagus*(1/1000)*(up_Irr!D21+up_Irr!AC21+up_Irr!BB21),".")</f>
        <v>7601.8282595287337</v>
      </c>
      <c r="CF21" s="87">
        <f>IFERROR(s_C*s_IFBT_far_adj*s_CF_beet*(1/1000)*(up_Irr!E21+up_Irr!AD21+up_Irr!BC21),".")</f>
        <v>7601.8282595287337</v>
      </c>
      <c r="CG21" s="87">
        <f>IFERROR(s_C*s_IFBE_far_adj*s_CF_berries*(1/1000)*(up_Irr!F21+up_Irr!AE21+up_Irr!BD21),".")</f>
        <v>7601.8282595287337</v>
      </c>
      <c r="CH21" s="87">
        <f>IFERROR(s_C*s_IFBR_far_adj*s_CF_broccoli*(1/1000)*(up_Irr!G21+up_Irr!AF21+up_Irr!BE21),".")</f>
        <v>7601.8282595287337</v>
      </c>
      <c r="CI21" s="87">
        <f>IFERROR(s_C*s_IFCB_far_adj*s_CF_cabbage*(1/1000)*(up_Irr!H21+up_Irr!AG21+up_Irr!BF21),".")</f>
        <v>7601.8282595287337</v>
      </c>
      <c r="CJ21" s="87">
        <f>IFERROR(s_C*s_IFCR_far_adj*s_CF_carrot*(1/1000)*(up_Irr!I21+up_Irr!AH21+up_Irr!BG21),".")</f>
        <v>7601.8282595287337</v>
      </c>
      <c r="CK21" s="87">
        <f>IFERROR(s_C*s_IFCI_far_adj*s_CF_citrus*(1/1000)*(up_Irr!J21+up_Irr!AI21+up_Irr!BH21),".")</f>
        <v>7601.8282595287337</v>
      </c>
      <c r="CL21" s="87">
        <f>IFERROR(s_C*s_IFCO_far_adj*s_CF_corn*(1/1000)*(up_Irr!K21+up_Irr!AJ21+up_Irr!BI21),".")</f>
        <v>7601.8282595287337</v>
      </c>
      <c r="CM21" s="87">
        <f>IFERROR(s_C*s_IFCU_far_adj*s_CF_cucumber*(1/1000)*(up_Irr!L21+up_Irr!AK21+up_Irr!BJ21),".")</f>
        <v>7601.8282595287337</v>
      </c>
      <c r="CN21" s="87">
        <f>IFERROR(s_C*s_IFLE_far_adj*s_CF_lettuce*(1/1000)*(up_Irr!M21+up_Irr!AL21+up_Irr!BK21),".")</f>
        <v>7601.8282595287337</v>
      </c>
      <c r="CO21" s="87">
        <f>IFERROR(s_C*s_IFLI_far_adj*s_CF_lima_bean*(1/1000)*(up_Irr!N21+up_Irr!AM21+up_Irr!BL21),".")</f>
        <v>7601.8282595287337</v>
      </c>
      <c r="CP21" s="87">
        <f>IFERROR(s_C*s_IFOK_far_adj*s_CF_okra*(1/1000)*(up_Irr!O21+up_Irr!AN21+up_Irr!BM21),".")</f>
        <v>7601.8282595287337</v>
      </c>
      <c r="CQ21" s="87">
        <f>IFERROR(s_C*s_IFON_far_adj*s_CF_onion*(1/1000)*(up_Irr!P21+up_Irr!AO21+up_Irr!BN21),".")</f>
        <v>7601.8282595287337</v>
      </c>
      <c r="CR21" s="87">
        <f>IFERROR(s_C*s_IFPC_far_adj*s_CF_peach*(1/1000)*(up_Irr!Q21+up_Irr!AP21+up_Irr!BO21),".")</f>
        <v>7601.8282595287337</v>
      </c>
      <c r="CS21" s="87">
        <f>IFERROR(s_C*s_IFPR_far_adj*s_CF_pear*(1/1000)*(up_Irr!R21+up_Irr!AQ21+up_Irr!BP21),".")</f>
        <v>7601.8282595287337</v>
      </c>
      <c r="CT21" s="87">
        <f>IFERROR(s_C*s_IFPE_far_adj*s_CF_peas*(1/1000)*(up_Irr!S21+up_Irr!AR21+up_Irr!BQ21),".")</f>
        <v>7601.8282595287337</v>
      </c>
      <c r="CU21" s="87">
        <f>IFERROR(s_C*s_IFPP_far_adj*s_CF_peppers*(1/1000)*(up_Irr!T21+up_Irr!AS21+up_Irr!BR21),".")</f>
        <v>7601.8282595287337</v>
      </c>
      <c r="CV21" s="87">
        <f>IFERROR(s_C*s_IFPT_far_adj*s_CF_potato*(1/1000)*(up_Irr!U21+up_Irr!AT21+up_Irr!BS21),".")</f>
        <v>7601.8282595287337</v>
      </c>
      <c r="CW21" s="87">
        <f>IFERROR(s_C*s_IFPU_far_adj*s_CF_pumpkin*(1/1000)*(up_Irr!V21+up_Irr!AU21+up_Irr!BT21),".")</f>
        <v>7601.8282595287337</v>
      </c>
      <c r="CX21" s="87">
        <f>IFERROR(s_C*s_IFSN_far_adj*s_CF_snap_bean*(1/1000)*(up_Irr!W21+up_Irr!AV21+up_Irr!BU21),".")</f>
        <v>7601.8282595287337</v>
      </c>
      <c r="CY21" s="87">
        <f>IFERROR(s_C*s_IFST_far_adj*s_CF_strawberry*(1/1000)*(up_Irr!X21+up_Irr!AW21+up_Irr!BV21),".")</f>
        <v>7601.8282595287337</v>
      </c>
      <c r="CZ21" s="87">
        <f>IFERROR(s_C*s_IFTO_far_adj*s_CF_tomato*(1/1000)*(up_Irr!Y21+up_Irr!AX21+up_Irr!BW21),".")</f>
        <v>7601.8282595287337</v>
      </c>
      <c r="DA21" s="87">
        <f>IFERROR(s_C*s_IFRI_far_adj*s_CF_rice*(1/1000)*(up_Irr!Z21+up_Irr!AY21+up_Irr!BX21),".")</f>
        <v>7601.8282595287337</v>
      </c>
      <c r="DB21" s="87">
        <f>IFERROR(s_C*s_IFCG_far_adj*s_CF_cereal*(1/1000)*(up_Irr!AA21+up_Irr!AZ21+up_Irr!BY21),".")</f>
        <v>7601.8282595287337</v>
      </c>
    </row>
    <row r="22" spans="1:106" ht="15" customHeight="1" x14ac:dyDescent="0.25">
      <c r="A22" s="86" t="s">
        <v>20</v>
      </c>
      <c r="B22" s="84" t="s">
        <v>1057</v>
      </c>
      <c r="C22" s="15">
        <f t="shared" si="0"/>
        <v>1.6443412786038033E-4</v>
      </c>
      <c r="D22" s="70">
        <f>IFERROR(IF(AND(up_Irr!C22&lt;&gt;".",up_Irr!AB22&lt;&gt;".",up_Irr!BA22&lt;&gt;"."),up_dir!D22/((1/1000)*(up_Irr!C22+up_Irr!AB22+up_Irr!BA22)),IF(AND(up_Irr!C22&lt;&gt;".",up_Irr!AB22&lt;&gt;".",up_Irr!BA22="."),up_dir!D22/((1/1000)*(up_Irr!C22+up_Irr!AB22)),IF(AND(up_Irr!C22&lt;&gt;".",up_Irr!AB22=".",up_Irr!BA22&lt;&gt;"."),up_dir!D22/((1/1000)*(up_Irr!C22+up_Irr!BA22)),IF(AND(up_Irr!C22=".",up_Irr!AB22&lt;&gt;".",up_Irr!BA22&lt;&gt;"."),up_dir!D22/((1/1000)*(up_Irr!AB22+up_Irr!BA22)),IF(AND(up_Irr!C22=".",up_Irr!AB22=".",up_Irr!BA22&lt;&gt;"."),up_dir!D22/((1/1000)*(up_Irr!BA22)),IF(AND(up_Irr!C22=".",up_Irr!AB22&lt;&gt;".",up_Irr!BA22="."),up_dir!D22/((1/1000)*(up_Irr!AB22)),IF(AND(up_Irr!C22&lt;&gt;".",up_Irr!AB22=".",up_Irr!BA22="."),up_dir!D22/((1/1000)*(up_Irr!C22)),IF(AND(up_Irr!C22=".",up_Irr!AB22=".",up_Irr!BA22="."),up_dir!D22*1000)))))))),".")</f>
        <v>6.5773651144152131E-4</v>
      </c>
      <c r="E22" s="70">
        <f>IFERROR(IF(AND(up_Irr!D22&lt;&gt;".",up_Irr!AC22&lt;&gt;".",up_Irr!BB22&lt;&gt;"."),up_dir!E22/((1/1000)*(up_Irr!D22+up_Irr!AC22+up_Irr!BB22)),IF(AND(up_Irr!D22&lt;&gt;".",up_Irr!AC22&lt;&gt;".",up_Irr!BB22="."),up_dir!E22/((1/1000)*(up_Irr!D22+up_Irr!AC22)),IF(AND(up_Irr!D22&lt;&gt;".",up_Irr!AC22=".",up_Irr!BB22&lt;&gt;"."),up_dir!E22/((1/1000)*(up_Irr!D22+up_Irr!BB22)),IF(AND(up_Irr!D22=".",up_Irr!AC22&lt;&gt;".",up_Irr!BB22&lt;&gt;"."),up_dir!E22/((1/1000)*(up_Irr!AC22+up_Irr!BB22)),IF(AND(up_Irr!D22=".",up_Irr!AC22=".",up_Irr!BB22&lt;&gt;"."),up_dir!E22/((1/1000)*(up_Irr!BB22)),IF(AND(up_Irr!D22=".",up_Irr!AC22&lt;&gt;".",up_Irr!BB22="."),up_dir!E22/((1/1000)*(up_Irr!AC22)),IF(AND(up_Irr!D22&lt;&gt;".",up_Irr!AC22=".",up_Irr!BB22="."),up_dir!E22/((1/1000)*(up_Irr!D22)),IF(AND(up_Irr!D22=".",up_Irr!AC22=".",up_Irr!BB22="."),up_dir!E22*1000)))))))),".")</f>
        <v>6.5773651144152131E-4</v>
      </c>
      <c r="F22" s="70">
        <f>IFERROR(IF(AND(up_Irr!E22&lt;&gt;".",up_Irr!AD22&lt;&gt;".",up_Irr!BC22&lt;&gt;"."),up_dir!F22/((1/1000)*(up_Irr!E22+up_Irr!AD22+up_Irr!BC22)),IF(AND(up_Irr!E22&lt;&gt;".",up_Irr!AD22&lt;&gt;".",up_Irr!BC22="."),up_dir!F22/((1/1000)*(up_Irr!E22+up_Irr!AD22)),IF(AND(up_Irr!E22&lt;&gt;".",up_Irr!AD22=".",up_Irr!BC22&lt;&gt;"."),up_dir!F22/((1/1000)*(up_Irr!E22+up_Irr!BC22)),IF(AND(up_Irr!E22=".",up_Irr!AD22&lt;&gt;".",up_Irr!BC22&lt;&gt;"."),up_dir!F22/((1/1000)*(up_Irr!AD22+up_Irr!BC22)),IF(AND(up_Irr!E22=".",up_Irr!AD22=".",up_Irr!BC22&lt;&gt;"."),up_dir!F22/((1/1000)*(up_Irr!BC22)),IF(AND(up_Irr!E22=".",up_Irr!AD22&lt;&gt;".",up_Irr!BC22="."),up_dir!F22/((1/1000)*(up_Irr!AD22)),IF(AND(up_Irr!E22&lt;&gt;".",up_Irr!AD22=".",up_Irr!BC22="."),up_dir!F22/((1/1000)*(up_Irr!E22)),IF(AND(up_Irr!E22=".",up_Irr!AD22=".",up_Irr!BC22="."),up_dir!F22*1000)))))))),".")</f>
        <v>6.5773651144152131E-4</v>
      </c>
      <c r="G22" s="70">
        <f>IFERROR(IF(AND(up_Irr!F22&lt;&gt;".",up_Irr!AE22&lt;&gt;".",up_Irr!BD22&lt;&gt;"."),up_dir!G22/((1/1000)*(up_Irr!F22+up_Irr!AE22+up_Irr!BD22)),IF(AND(up_Irr!F22&lt;&gt;".",up_Irr!AE22&lt;&gt;".",up_Irr!BD22="."),up_dir!G22/((1/1000)*(up_Irr!F22+up_Irr!AE22)),IF(AND(up_Irr!F22&lt;&gt;".",up_Irr!AE22=".",up_Irr!BD22&lt;&gt;"."),up_dir!G22/((1/1000)*(up_Irr!F22+up_Irr!BD22)),IF(AND(up_Irr!F22=".",up_Irr!AE22&lt;&gt;".",up_Irr!BD22&lt;&gt;"."),up_dir!G22/((1/1000)*(up_Irr!AE22+up_Irr!BD22)),IF(AND(up_Irr!F22=".",up_Irr!AE22=".",up_Irr!BD22&lt;&gt;"."),up_dir!G22/((1/1000)*(up_Irr!BD22)),IF(AND(up_Irr!F22=".",up_Irr!AE22&lt;&gt;".",up_Irr!BD22="."),up_dir!G22/((1/1000)*(up_Irr!AE22)),IF(AND(up_Irr!F22&lt;&gt;".",up_Irr!AE22=".",up_Irr!BD22="."),up_dir!G22/((1/1000)*(up_Irr!F22)),IF(AND(up_Irr!F22=".",up_Irr!AE22=".",up_Irr!BD22="."),up_dir!G22*1000)))))))),".")</f>
        <v>6.5773651144152131E-4</v>
      </c>
      <c r="H22" s="70">
        <f>IFERROR(IF(AND(up_Irr!G22&lt;&gt;".",up_Irr!AF22&lt;&gt;".",up_Irr!BE22&lt;&gt;"."),up_dir!H22/((1/1000)*(up_Irr!G22+up_Irr!AF22+up_Irr!BE22)),IF(AND(up_Irr!G22&lt;&gt;".",up_Irr!AF22&lt;&gt;".",up_Irr!BE22="."),up_dir!H22/((1/1000)*(up_Irr!G22+up_Irr!AF22)),IF(AND(up_Irr!G22&lt;&gt;".",up_Irr!AF22=".",up_Irr!BE22&lt;&gt;"."),up_dir!H22/((1/1000)*(up_Irr!G22+up_Irr!BE22)),IF(AND(up_Irr!G22=".",up_Irr!AF22&lt;&gt;".",up_Irr!BE22&lt;&gt;"."),up_dir!H22/((1/1000)*(up_Irr!AF22+up_Irr!BE22)),IF(AND(up_Irr!G22=".",up_Irr!AF22=".",up_Irr!BE22&lt;&gt;"."),up_dir!H22/((1/1000)*(up_Irr!BE22)),IF(AND(up_Irr!G22=".",up_Irr!AF22&lt;&gt;".",up_Irr!BE22="."),up_dir!H22/((1/1000)*(up_Irr!AF22)),IF(AND(up_Irr!G22&lt;&gt;".",up_Irr!AF22=".",up_Irr!BE22="."),up_dir!H22/((1/1000)*(up_Irr!G22)),IF(AND(up_Irr!G22=".",up_Irr!AF22=".",up_Irr!BE22="."),up_dir!H22*1000)))))))),".")</f>
        <v>6.5773651144152131E-4</v>
      </c>
      <c r="I22" s="70">
        <f>IFERROR(IF(AND(up_Irr!H22&lt;&gt;".",up_Irr!AG22&lt;&gt;".",up_Irr!BF22&lt;&gt;"."),up_dir!I22/((1/1000)*(up_Irr!H22+up_Irr!AG22+up_Irr!BF22)),IF(AND(up_Irr!H22&lt;&gt;".",up_Irr!AG22&lt;&gt;".",up_Irr!BF22="."),up_dir!I22/((1/1000)*(up_Irr!H22+up_Irr!AG22)),IF(AND(up_Irr!H22&lt;&gt;".",up_Irr!AG22=".",up_Irr!BF22&lt;&gt;"."),up_dir!I22/((1/1000)*(up_Irr!H22+up_Irr!BF22)),IF(AND(up_Irr!H22=".",up_Irr!AG22&lt;&gt;".",up_Irr!BF22&lt;&gt;"."),up_dir!I22/((1/1000)*(up_Irr!AG22+up_Irr!BF22)),IF(AND(up_Irr!H22=".",up_Irr!AG22=".",up_Irr!BF22&lt;&gt;"."),up_dir!I22/((1/1000)*(up_Irr!BF22)),IF(AND(up_Irr!H22=".",up_Irr!AG22&lt;&gt;".",up_Irr!BF22="."),up_dir!I22/((1/1000)*(up_Irr!AG22)),IF(AND(up_Irr!H22&lt;&gt;".",up_Irr!AG22=".",up_Irr!BF22="."),up_dir!I22/((1/1000)*(up_Irr!H22)),IF(AND(up_Irr!H22=".",up_Irr!AG22=".",up_Irr!BF22="."),up_dir!I22*1000)))))))),".")</f>
        <v>6.5773651144152131E-4</v>
      </c>
      <c r="J22" s="70">
        <f>IFERROR(IF(AND(up_Irr!I22&lt;&gt;".",up_Irr!AH22&lt;&gt;".",up_Irr!BG22&lt;&gt;"."),up_dir!J22/((1/1000)*(up_Irr!I22+up_Irr!AH22+up_Irr!BG22)),IF(AND(up_Irr!I22&lt;&gt;".",up_Irr!AH22&lt;&gt;".",up_Irr!BG22="."),up_dir!J22/((1/1000)*(up_Irr!I22+up_Irr!AH22)),IF(AND(up_Irr!I22&lt;&gt;".",up_Irr!AH22=".",up_Irr!BG22&lt;&gt;"."),up_dir!J22/((1/1000)*(up_Irr!I22+up_Irr!BG22)),IF(AND(up_Irr!I22=".",up_Irr!AH22&lt;&gt;".",up_Irr!BG22&lt;&gt;"."),up_dir!J22/((1/1000)*(up_Irr!AH22+up_Irr!BG22)),IF(AND(up_Irr!I22=".",up_Irr!AH22=".",up_Irr!BG22&lt;&gt;"."),up_dir!J22/((1/1000)*(up_Irr!BG22)),IF(AND(up_Irr!I22=".",up_Irr!AH22&lt;&gt;".",up_Irr!BG22="."),up_dir!J22/((1/1000)*(up_Irr!AH22)),IF(AND(up_Irr!I22&lt;&gt;".",up_Irr!AH22=".",up_Irr!BG22="."),up_dir!J22/((1/1000)*(up_Irr!I22)),IF(AND(up_Irr!I22=".",up_Irr!AH22=".",up_Irr!BG22="."),up_dir!J22*1000)))))))),".")</f>
        <v>6.5773651144152131E-4</v>
      </c>
      <c r="K22" s="70">
        <f>IFERROR(IF(AND(up_Irr!J22&lt;&gt;".",up_Irr!AI22&lt;&gt;".",up_Irr!BH22&lt;&gt;"."),up_dir!K22/((1/1000)*(up_Irr!J22+up_Irr!AI22+up_Irr!BH22)),IF(AND(up_Irr!J22&lt;&gt;".",up_Irr!AI22&lt;&gt;".",up_Irr!BH22="."),up_dir!K22/((1/1000)*(up_Irr!J22+up_Irr!AI22)),IF(AND(up_Irr!J22&lt;&gt;".",up_Irr!AI22=".",up_Irr!BH22&lt;&gt;"."),up_dir!K22/((1/1000)*(up_Irr!J22+up_Irr!BH22)),IF(AND(up_Irr!J22=".",up_Irr!AI22&lt;&gt;".",up_Irr!BH22&lt;&gt;"."),up_dir!K22/((1/1000)*(up_Irr!AI22+up_Irr!BH22)),IF(AND(up_Irr!J22=".",up_Irr!AI22=".",up_Irr!BH22&lt;&gt;"."),up_dir!K22/((1/1000)*(up_Irr!BH22)),IF(AND(up_Irr!J22=".",up_Irr!AI22&lt;&gt;".",up_Irr!BH22="."),up_dir!K22/((1/1000)*(up_Irr!AI22)),IF(AND(up_Irr!J22&lt;&gt;".",up_Irr!AI22=".",up_Irr!BH22="."),up_dir!K22/((1/1000)*(up_Irr!J22)),IF(AND(up_Irr!J22=".",up_Irr!AI22=".",up_Irr!BH22="."),up_dir!K22*1000)))))))),".")</f>
        <v>6.5773651144152131E-4</v>
      </c>
      <c r="L22" s="70">
        <f>IFERROR(IF(AND(up_Irr!K22&lt;&gt;".",up_Irr!AJ22&lt;&gt;".",up_Irr!BI22&lt;&gt;"."),up_dir!L22/((1/1000)*(up_Irr!K22+up_Irr!AJ22+up_Irr!BI22)),IF(AND(up_Irr!K22&lt;&gt;".",up_Irr!AJ22&lt;&gt;".",up_Irr!BI22="."),up_dir!L22/((1/1000)*(up_Irr!K22+up_Irr!AJ22)),IF(AND(up_Irr!K22&lt;&gt;".",up_Irr!AJ22=".",up_Irr!BI22&lt;&gt;"."),up_dir!L22/((1/1000)*(up_Irr!K22+up_Irr!BI22)),IF(AND(up_Irr!K22=".",up_Irr!AJ22&lt;&gt;".",up_Irr!BI22&lt;&gt;"."),up_dir!L22/((1/1000)*(up_Irr!AJ22+up_Irr!BI22)),IF(AND(up_Irr!K22=".",up_Irr!AJ22=".",up_Irr!BI22&lt;&gt;"."),up_dir!L22/((1/1000)*(up_Irr!BI22)),IF(AND(up_Irr!K22=".",up_Irr!AJ22&lt;&gt;".",up_Irr!BI22="."),up_dir!L22/((1/1000)*(up_Irr!AJ22)),IF(AND(up_Irr!K22&lt;&gt;".",up_Irr!AJ22=".",up_Irr!BI22="."),up_dir!L22/((1/1000)*(up_Irr!K22)),IF(AND(up_Irr!K22=".",up_Irr!AJ22=".",up_Irr!BI22="."),up_dir!L22*1000)))))))),".")</f>
        <v>6.5773651144152131E-4</v>
      </c>
      <c r="M22" s="70">
        <f>IFERROR(IF(AND(up_Irr!L22&lt;&gt;".",up_Irr!AK22&lt;&gt;".",up_Irr!BJ22&lt;&gt;"."),up_dir!M22/((1/1000)*(up_Irr!L22+up_Irr!AK22+up_Irr!BJ22)),IF(AND(up_Irr!L22&lt;&gt;".",up_Irr!AK22&lt;&gt;".",up_Irr!BJ22="."),up_dir!M22/((1/1000)*(up_Irr!L22+up_Irr!AK22)),IF(AND(up_Irr!L22&lt;&gt;".",up_Irr!AK22=".",up_Irr!BJ22&lt;&gt;"."),up_dir!M22/((1/1000)*(up_Irr!L22+up_Irr!BJ22)),IF(AND(up_Irr!L22=".",up_Irr!AK22&lt;&gt;".",up_Irr!BJ22&lt;&gt;"."),up_dir!M22/((1/1000)*(up_Irr!AK22+up_Irr!BJ22)),IF(AND(up_Irr!L22=".",up_Irr!AK22=".",up_Irr!BJ22&lt;&gt;"."),up_dir!M22/((1/1000)*(up_Irr!BJ22)),IF(AND(up_Irr!L22=".",up_Irr!AK22&lt;&gt;".",up_Irr!BJ22="."),up_dir!M22/((1/1000)*(up_Irr!AK22)),IF(AND(up_Irr!L22&lt;&gt;".",up_Irr!AK22=".",up_Irr!BJ22="."),up_dir!M22/((1/1000)*(up_Irr!L22)),IF(AND(up_Irr!L22=".",up_Irr!AK22=".",up_Irr!BJ22="."),up_dir!M22*1000)))))))),".")</f>
        <v>6.5773651144152131E-4</v>
      </c>
      <c r="N22" s="70">
        <f>IFERROR(IF(AND(up_Irr!M22&lt;&gt;".",up_Irr!AL22&lt;&gt;".",up_Irr!BK22&lt;&gt;"."),up_dir!N22/((1/1000)*(up_Irr!M22+up_Irr!AL22+up_Irr!BK22)),IF(AND(up_Irr!M22&lt;&gt;".",up_Irr!AL22&lt;&gt;".",up_Irr!BK22="."),up_dir!N22/((1/1000)*(up_Irr!M22+up_Irr!AL22)),IF(AND(up_Irr!M22&lt;&gt;".",up_Irr!AL22=".",up_Irr!BK22&lt;&gt;"."),up_dir!N22/((1/1000)*(up_Irr!M22+up_Irr!BK22)),IF(AND(up_Irr!M22=".",up_Irr!AL22&lt;&gt;".",up_Irr!BK22&lt;&gt;"."),up_dir!N22/((1/1000)*(up_Irr!AL22+up_Irr!BK22)),IF(AND(up_Irr!M22=".",up_Irr!AL22=".",up_Irr!BK22&lt;&gt;"."),up_dir!N22/((1/1000)*(up_Irr!BK22)),IF(AND(up_Irr!M22=".",up_Irr!AL22&lt;&gt;".",up_Irr!BK22="."),up_dir!N22/((1/1000)*(up_Irr!AL22)),IF(AND(up_Irr!M22&lt;&gt;".",up_Irr!AL22=".",up_Irr!BK22="."),up_dir!N22/((1/1000)*(up_Irr!M22)),IF(AND(up_Irr!M22=".",up_Irr!AL22=".",up_Irr!BK22="."),up_dir!N22*1000)))))))),".")</f>
        <v>6.5773651144152131E-4</v>
      </c>
      <c r="O22" s="70">
        <f>IFERROR(IF(AND(up_Irr!N22&lt;&gt;".",up_Irr!AM22&lt;&gt;".",up_Irr!BL22&lt;&gt;"."),up_dir!O22/((1/1000)*(up_Irr!N22+up_Irr!AM22+up_Irr!BL22)),IF(AND(up_Irr!N22&lt;&gt;".",up_Irr!AM22&lt;&gt;".",up_Irr!BL22="."),up_dir!O22/((1/1000)*(up_Irr!N22+up_Irr!AM22)),IF(AND(up_Irr!N22&lt;&gt;".",up_Irr!AM22=".",up_Irr!BL22&lt;&gt;"."),up_dir!O22/((1/1000)*(up_Irr!N22+up_Irr!BL22)),IF(AND(up_Irr!N22=".",up_Irr!AM22&lt;&gt;".",up_Irr!BL22&lt;&gt;"."),up_dir!O22/((1/1000)*(up_Irr!AM22+up_Irr!BL22)),IF(AND(up_Irr!N22=".",up_Irr!AM22=".",up_Irr!BL22&lt;&gt;"."),up_dir!O22/((1/1000)*(up_Irr!BL22)),IF(AND(up_Irr!N22=".",up_Irr!AM22&lt;&gt;".",up_Irr!BL22="."),up_dir!O22/((1/1000)*(up_Irr!AM22)),IF(AND(up_Irr!N22&lt;&gt;".",up_Irr!AM22=".",up_Irr!BL22="."),up_dir!O22/((1/1000)*(up_Irr!N22)),IF(AND(up_Irr!N22=".",up_Irr!AM22=".",up_Irr!BL22="."),up_dir!O22*1000)))))))),".")</f>
        <v>6.5773651144152131E-4</v>
      </c>
      <c r="P22" s="70">
        <f>IFERROR(IF(AND(up_Irr!O22&lt;&gt;".",up_Irr!AN22&lt;&gt;".",up_Irr!BM22&lt;&gt;"."),up_dir!P22/((1/1000)*(up_Irr!O22+up_Irr!AN22+up_Irr!BM22)),IF(AND(up_Irr!O22&lt;&gt;".",up_Irr!AN22&lt;&gt;".",up_Irr!BM22="."),up_dir!P22/((1/1000)*(up_Irr!O22+up_Irr!AN22)),IF(AND(up_Irr!O22&lt;&gt;".",up_Irr!AN22=".",up_Irr!BM22&lt;&gt;"."),up_dir!P22/((1/1000)*(up_Irr!O22+up_Irr!BM22)),IF(AND(up_Irr!O22=".",up_Irr!AN22&lt;&gt;".",up_Irr!BM22&lt;&gt;"."),up_dir!P22/((1/1000)*(up_Irr!AN22+up_Irr!BM22)),IF(AND(up_Irr!O22=".",up_Irr!AN22=".",up_Irr!BM22&lt;&gt;"."),up_dir!P22/((1/1000)*(up_Irr!BM22)),IF(AND(up_Irr!O22=".",up_Irr!AN22&lt;&gt;".",up_Irr!BM22="."),up_dir!P22/((1/1000)*(up_Irr!AN22)),IF(AND(up_Irr!O22&lt;&gt;".",up_Irr!AN22=".",up_Irr!BM22="."),up_dir!P22/((1/1000)*(up_Irr!O22)),IF(AND(up_Irr!O22=".",up_Irr!AN22=".",up_Irr!BM22="."),up_dir!P22*1000)))))))),".")</f>
        <v>6.5773651144152131E-4</v>
      </c>
      <c r="Q22" s="70">
        <f>IFERROR(IF(AND(up_Irr!P22&lt;&gt;".",up_Irr!AO22&lt;&gt;".",up_Irr!BN22&lt;&gt;"."),up_dir!Q22/((1/1000)*(up_Irr!P22+up_Irr!AO22+up_Irr!BN22)),IF(AND(up_Irr!P22&lt;&gt;".",up_Irr!AO22&lt;&gt;".",up_Irr!BN22="."),up_dir!Q22/((1/1000)*(up_Irr!P22+up_Irr!AO22)),IF(AND(up_Irr!P22&lt;&gt;".",up_Irr!AO22=".",up_Irr!BN22&lt;&gt;"."),up_dir!Q22/((1/1000)*(up_Irr!P22+up_Irr!BN22)),IF(AND(up_Irr!P22=".",up_Irr!AO22&lt;&gt;".",up_Irr!BN22&lt;&gt;"."),up_dir!Q22/((1/1000)*(up_Irr!AO22+up_Irr!BN22)),IF(AND(up_Irr!P22=".",up_Irr!AO22=".",up_Irr!BN22&lt;&gt;"."),up_dir!Q22/((1/1000)*(up_Irr!BN22)),IF(AND(up_Irr!P22=".",up_Irr!AO22&lt;&gt;".",up_Irr!BN22="."),up_dir!Q22/((1/1000)*(up_Irr!AO22)),IF(AND(up_Irr!P22&lt;&gt;".",up_Irr!AO22=".",up_Irr!BN22="."),up_dir!Q22/((1/1000)*(up_Irr!P22)),IF(AND(up_Irr!P22=".",up_Irr!AO22=".",up_Irr!BN22="."),up_dir!Q22*1000)))))))),".")</f>
        <v>6.5773651144152131E-4</v>
      </c>
      <c r="R22" s="70">
        <f>IFERROR(IF(AND(up_Irr!Q22&lt;&gt;".",up_Irr!AP22&lt;&gt;".",up_Irr!BO22&lt;&gt;"."),up_dir!R22/((1/1000)*(up_Irr!Q22+up_Irr!AP22+up_Irr!BO22)),IF(AND(up_Irr!Q22&lt;&gt;".",up_Irr!AP22&lt;&gt;".",up_Irr!BO22="."),up_dir!R22/((1/1000)*(up_Irr!Q22+up_Irr!AP22)),IF(AND(up_Irr!Q22&lt;&gt;".",up_Irr!AP22=".",up_Irr!BO22&lt;&gt;"."),up_dir!R22/((1/1000)*(up_Irr!Q22+up_Irr!BO22)),IF(AND(up_Irr!Q22=".",up_Irr!AP22&lt;&gt;".",up_Irr!BO22&lt;&gt;"."),up_dir!R22/((1/1000)*(up_Irr!AP22+up_Irr!BO22)),IF(AND(up_Irr!Q22=".",up_Irr!AP22=".",up_Irr!BO22&lt;&gt;"."),up_dir!R22/((1/1000)*(up_Irr!BO22)),IF(AND(up_Irr!Q22=".",up_Irr!AP22&lt;&gt;".",up_Irr!BO22="."),up_dir!R22/((1/1000)*(up_Irr!AP22)),IF(AND(up_Irr!Q22&lt;&gt;".",up_Irr!AP22=".",up_Irr!BO22="."),up_dir!R22/((1/1000)*(up_Irr!Q22)),IF(AND(up_Irr!Q22=".",up_Irr!AP22=".",up_Irr!BO22="."),up_dir!R22*1000)))))))),".")</f>
        <v>6.5773651144152131E-4</v>
      </c>
      <c r="S22" s="70">
        <f>IFERROR(IF(AND(up_Irr!R22&lt;&gt;".",up_Irr!AQ22&lt;&gt;".",up_Irr!BP22&lt;&gt;"."),up_dir!S22/((1/1000)*(up_Irr!R22+up_Irr!AQ22+up_Irr!BP22)),IF(AND(up_Irr!R22&lt;&gt;".",up_Irr!AQ22&lt;&gt;".",up_Irr!BP22="."),up_dir!S22/((1/1000)*(up_Irr!R22+up_Irr!AQ22)),IF(AND(up_Irr!R22&lt;&gt;".",up_Irr!AQ22=".",up_Irr!BP22&lt;&gt;"."),up_dir!S22/((1/1000)*(up_Irr!R22+up_Irr!BP22)),IF(AND(up_Irr!R22=".",up_Irr!AQ22&lt;&gt;".",up_Irr!BP22&lt;&gt;"."),up_dir!S22/((1/1000)*(up_Irr!AQ22+up_Irr!BP22)),IF(AND(up_Irr!R22=".",up_Irr!AQ22=".",up_Irr!BP22&lt;&gt;"."),up_dir!S22/((1/1000)*(up_Irr!BP22)),IF(AND(up_Irr!R22=".",up_Irr!AQ22&lt;&gt;".",up_Irr!BP22="."),up_dir!S22/((1/1000)*(up_Irr!AQ22)),IF(AND(up_Irr!R22&lt;&gt;".",up_Irr!AQ22=".",up_Irr!BP22="."),up_dir!S22/((1/1000)*(up_Irr!R22)),IF(AND(up_Irr!R22=".",up_Irr!AQ22=".",up_Irr!BP22="."),up_dir!S22*1000)))))))),".")</f>
        <v>6.5773651144152131E-4</v>
      </c>
      <c r="T22" s="70">
        <f>IFERROR(IF(AND(up_Irr!S22&lt;&gt;".",up_Irr!AR22&lt;&gt;".",up_Irr!BQ22&lt;&gt;"."),up_dir!T22/((1/1000)*(up_Irr!S22+up_Irr!AR22+up_Irr!BQ22)),IF(AND(up_Irr!S22&lt;&gt;".",up_Irr!AR22&lt;&gt;".",up_Irr!BQ22="."),up_dir!T22/((1/1000)*(up_Irr!S22+up_Irr!AR22)),IF(AND(up_Irr!S22&lt;&gt;".",up_Irr!AR22=".",up_Irr!BQ22&lt;&gt;"."),up_dir!T22/((1/1000)*(up_Irr!S22+up_Irr!BQ22)),IF(AND(up_Irr!S22=".",up_Irr!AR22&lt;&gt;".",up_Irr!BQ22&lt;&gt;"."),up_dir!T22/((1/1000)*(up_Irr!AR22+up_Irr!BQ22)),IF(AND(up_Irr!S22=".",up_Irr!AR22=".",up_Irr!BQ22&lt;&gt;"."),up_dir!T22/((1/1000)*(up_Irr!BQ22)),IF(AND(up_Irr!S22=".",up_Irr!AR22&lt;&gt;".",up_Irr!BQ22="."),up_dir!T22/((1/1000)*(up_Irr!AR22)),IF(AND(up_Irr!S22&lt;&gt;".",up_Irr!AR22=".",up_Irr!BQ22="."),up_dir!T22/((1/1000)*(up_Irr!S22)),IF(AND(up_Irr!S22=".",up_Irr!AR22=".",up_Irr!BQ22="."),up_dir!T22*1000)))))))),".")</f>
        <v>6.5773651144152131E-4</v>
      </c>
      <c r="U22" s="70">
        <f>IFERROR(IF(AND(up_Irr!T22&lt;&gt;".",up_Irr!AS22&lt;&gt;".",up_Irr!BR22&lt;&gt;"."),up_dir!U22/((1/1000)*(up_Irr!T22+up_Irr!AS22+up_Irr!BR22)),IF(AND(up_Irr!T22&lt;&gt;".",up_Irr!AS22&lt;&gt;".",up_Irr!BR22="."),up_dir!U22/((1/1000)*(up_Irr!T22+up_Irr!AS22)),IF(AND(up_Irr!T22&lt;&gt;".",up_Irr!AS22=".",up_Irr!BR22&lt;&gt;"."),up_dir!U22/((1/1000)*(up_Irr!T22+up_Irr!BR22)),IF(AND(up_Irr!T22=".",up_Irr!AS22&lt;&gt;".",up_Irr!BR22&lt;&gt;"."),up_dir!U22/((1/1000)*(up_Irr!AS22+up_Irr!BR22)),IF(AND(up_Irr!T22=".",up_Irr!AS22=".",up_Irr!BR22&lt;&gt;"."),up_dir!U22/((1/1000)*(up_Irr!BR22)),IF(AND(up_Irr!T22=".",up_Irr!AS22&lt;&gt;".",up_Irr!BR22="."),up_dir!U22/((1/1000)*(up_Irr!AS22)),IF(AND(up_Irr!T22&lt;&gt;".",up_Irr!AS22=".",up_Irr!BR22="."),up_dir!U22/((1/1000)*(up_Irr!T22)),IF(AND(up_Irr!T22=".",up_Irr!AS22=".",up_Irr!BR22="."),up_dir!U22*1000)))))))),".")</f>
        <v>6.5773651144152131E-4</v>
      </c>
      <c r="V22" s="70">
        <f>IFERROR(IF(AND(up_Irr!U22&lt;&gt;".",up_Irr!AT22&lt;&gt;".",up_Irr!BS22&lt;&gt;"."),up_dir!V22/((1/1000)*(up_Irr!U22+up_Irr!AT22+up_Irr!BS22)),IF(AND(up_Irr!U22&lt;&gt;".",up_Irr!AT22&lt;&gt;".",up_Irr!BS22="."),up_dir!V22/((1/1000)*(up_Irr!U22+up_Irr!AT22)),IF(AND(up_Irr!U22&lt;&gt;".",up_Irr!AT22=".",up_Irr!BS22&lt;&gt;"."),up_dir!V22/((1/1000)*(up_Irr!U22+up_Irr!BS22)),IF(AND(up_Irr!U22=".",up_Irr!AT22&lt;&gt;".",up_Irr!BS22&lt;&gt;"."),up_dir!V22/((1/1000)*(up_Irr!AT22+up_Irr!BS22)),IF(AND(up_Irr!U22=".",up_Irr!AT22=".",up_Irr!BS22&lt;&gt;"."),up_dir!V22/((1/1000)*(up_Irr!BS22)),IF(AND(up_Irr!U22=".",up_Irr!AT22&lt;&gt;".",up_Irr!BS22="."),up_dir!V22/((1/1000)*(up_Irr!AT22)),IF(AND(up_Irr!U22&lt;&gt;".",up_Irr!AT22=".",up_Irr!BS22="."),up_dir!V22/((1/1000)*(up_Irr!U22)),IF(AND(up_Irr!U22=".",up_Irr!AT22=".",up_Irr!BS22="."),up_dir!V22*1000)))))))),".")</f>
        <v>6.5773651144152131E-4</v>
      </c>
      <c r="W22" s="70">
        <f>IFERROR(IF(AND(up_Irr!V22&lt;&gt;".",up_Irr!AU22&lt;&gt;".",up_Irr!BT22&lt;&gt;"."),up_dir!W22/((1/1000)*(up_Irr!V22+up_Irr!AU22+up_Irr!BT22)),IF(AND(up_Irr!V22&lt;&gt;".",up_Irr!AU22&lt;&gt;".",up_Irr!BT22="."),up_dir!W22/((1/1000)*(up_Irr!V22+up_Irr!AU22)),IF(AND(up_Irr!V22&lt;&gt;".",up_Irr!AU22=".",up_Irr!BT22&lt;&gt;"."),up_dir!W22/((1/1000)*(up_Irr!V22+up_Irr!BT22)),IF(AND(up_Irr!V22=".",up_Irr!AU22&lt;&gt;".",up_Irr!BT22&lt;&gt;"."),up_dir!W22/((1/1000)*(up_Irr!AU22+up_Irr!BT22)),IF(AND(up_Irr!V22=".",up_Irr!AU22=".",up_Irr!BT22&lt;&gt;"."),up_dir!W22/((1/1000)*(up_Irr!BT22)),IF(AND(up_Irr!V22=".",up_Irr!AU22&lt;&gt;".",up_Irr!BT22="."),up_dir!W22/((1/1000)*(up_Irr!AU22)),IF(AND(up_Irr!V22&lt;&gt;".",up_Irr!AU22=".",up_Irr!BT22="."),up_dir!W22/((1/1000)*(up_Irr!V22)),IF(AND(up_Irr!V22=".",up_Irr!AU22=".",up_Irr!BT22="."),up_dir!W22*1000)))))))),".")</f>
        <v>6.5773651144152131E-4</v>
      </c>
      <c r="X22" s="70">
        <f>IFERROR(IF(AND(up_Irr!W22&lt;&gt;".",up_Irr!AV22&lt;&gt;".",up_Irr!BU22&lt;&gt;"."),up_dir!X22/((1/1000)*(up_Irr!W22+up_Irr!AV22+up_Irr!BU22)),IF(AND(up_Irr!W22&lt;&gt;".",up_Irr!AV22&lt;&gt;".",up_Irr!BU22="."),up_dir!X22/((1/1000)*(up_Irr!W22+up_Irr!AV22)),IF(AND(up_Irr!W22&lt;&gt;".",up_Irr!AV22=".",up_Irr!BU22&lt;&gt;"."),up_dir!X22/((1/1000)*(up_Irr!W22+up_Irr!BU22)),IF(AND(up_Irr!W22=".",up_Irr!AV22&lt;&gt;".",up_Irr!BU22&lt;&gt;"."),up_dir!X22/((1/1000)*(up_Irr!AV22+up_Irr!BU22)),IF(AND(up_Irr!W22=".",up_Irr!AV22=".",up_Irr!BU22&lt;&gt;"."),up_dir!X22/((1/1000)*(up_Irr!BU22)),IF(AND(up_Irr!W22=".",up_Irr!AV22&lt;&gt;".",up_Irr!BU22="."),up_dir!X22/((1/1000)*(up_Irr!AV22)),IF(AND(up_Irr!W22&lt;&gt;".",up_Irr!AV22=".",up_Irr!BU22="."),up_dir!X22/((1/1000)*(up_Irr!W22)),IF(AND(up_Irr!W22=".",up_Irr!AV22=".",up_Irr!BU22="."),up_dir!X22*1000)))))))),".")</f>
        <v>6.5773651144152131E-4</v>
      </c>
      <c r="Y22" s="70">
        <f>IFERROR(IF(AND(up_Irr!X22&lt;&gt;".",up_Irr!AW22&lt;&gt;".",up_Irr!BV22&lt;&gt;"."),up_dir!Y22/((1/1000)*(up_Irr!X22+up_Irr!AW22+up_Irr!BV22)),IF(AND(up_Irr!X22&lt;&gt;".",up_Irr!AW22&lt;&gt;".",up_Irr!BV22="."),up_dir!Y22/((1/1000)*(up_Irr!X22+up_Irr!AW22)),IF(AND(up_Irr!X22&lt;&gt;".",up_Irr!AW22=".",up_Irr!BV22&lt;&gt;"."),up_dir!Y22/((1/1000)*(up_Irr!X22+up_Irr!BV22)),IF(AND(up_Irr!X22=".",up_Irr!AW22&lt;&gt;".",up_Irr!BV22&lt;&gt;"."),up_dir!Y22/((1/1000)*(up_Irr!AW22+up_Irr!BV22)),IF(AND(up_Irr!X22=".",up_Irr!AW22=".",up_Irr!BV22&lt;&gt;"."),up_dir!Y22/((1/1000)*(up_Irr!BV22)),IF(AND(up_Irr!X22=".",up_Irr!AW22&lt;&gt;".",up_Irr!BV22="."),up_dir!Y22/((1/1000)*(up_Irr!AW22)),IF(AND(up_Irr!X22&lt;&gt;".",up_Irr!AW22=".",up_Irr!BV22="."),up_dir!Y22/((1/1000)*(up_Irr!X22)),IF(AND(up_Irr!X22=".",up_Irr!AW22=".",up_Irr!BV22="."),up_dir!Y22*1000)))))))),".")</f>
        <v>6.5773651144152131E-4</v>
      </c>
      <c r="Z22" s="70">
        <f>IFERROR(IF(AND(up_Irr!Y22&lt;&gt;".",up_Irr!AX22&lt;&gt;".",up_Irr!BW22&lt;&gt;"."),up_dir!Z22/((1/1000)*(up_Irr!Y22+up_Irr!AX22+up_Irr!BW22)),IF(AND(up_Irr!Y22&lt;&gt;".",up_Irr!AX22&lt;&gt;".",up_Irr!BW22="."),up_dir!Z22/((1/1000)*(up_Irr!Y22+up_Irr!AX22)),IF(AND(up_Irr!Y22&lt;&gt;".",up_Irr!AX22=".",up_Irr!BW22&lt;&gt;"."),up_dir!Z22/((1/1000)*(up_Irr!Y22+up_Irr!BW22)),IF(AND(up_Irr!Y22=".",up_Irr!AX22&lt;&gt;".",up_Irr!BW22&lt;&gt;"."),up_dir!Z22/((1/1000)*(up_Irr!AX22+up_Irr!BW22)),IF(AND(up_Irr!Y22=".",up_Irr!AX22=".",up_Irr!BW22&lt;&gt;"."),up_dir!Z22/((1/1000)*(up_Irr!BW22)),IF(AND(up_Irr!Y22=".",up_Irr!AX22&lt;&gt;".",up_Irr!BW22="."),up_dir!Z22/((1/1000)*(up_Irr!AX22)),IF(AND(up_Irr!Y22&lt;&gt;".",up_Irr!AX22=".",up_Irr!BW22="."),up_dir!Z22/((1/1000)*(up_Irr!Y22)),IF(AND(up_Irr!Y22=".",up_Irr!AX22=".",up_Irr!BW22="."),up_dir!Z22*1000)))))))),".")</f>
        <v>6.5773651144152131E-4</v>
      </c>
      <c r="AA22" s="70">
        <f>IFERROR(IF(AND(up_Irr!Z22&lt;&gt;".",up_Irr!AY22&lt;&gt;".",up_Irr!BX22&lt;&gt;"."),up_dir!AA22/((1/1000)*(up_Irr!Z22+up_Irr!AY22+up_Irr!BX22)),IF(AND(up_Irr!Z22&lt;&gt;".",up_Irr!AY22&lt;&gt;".",up_Irr!BX22="."),up_dir!AA22/((1/1000)*(up_Irr!Z22+up_Irr!AY22)),IF(AND(up_Irr!Z22&lt;&gt;".",up_Irr!AY22=".",up_Irr!BX22&lt;&gt;"."),up_dir!AA22/((1/1000)*(up_Irr!Z22+up_Irr!BX22)),IF(AND(up_Irr!Z22=".",up_Irr!AY22&lt;&gt;".",up_Irr!BX22&lt;&gt;"."),up_dir!AA22/((1/1000)*(up_Irr!AY22+up_Irr!BX22)),IF(AND(up_Irr!Z22=".",up_Irr!AY22=".",up_Irr!BX22&lt;&gt;"."),up_dir!AA22/((1/1000)*(up_Irr!BX22)),IF(AND(up_Irr!Z22=".",up_Irr!AY22&lt;&gt;".",up_Irr!BX22="."),up_dir!AA22/((1/1000)*(up_Irr!AY22)),IF(AND(up_Irr!Z22&lt;&gt;".",up_Irr!AY22=".",up_Irr!BX22="."),up_dir!AA22/((1/1000)*(up_Irr!Z22)),IF(AND(up_Irr!Z22=".",up_Irr!AY22=".",up_Irr!BX22="."),up_dir!AA22*1000)))))))),".")</f>
        <v>6.5773651144152131E-4</v>
      </c>
      <c r="AB22" s="70">
        <f>IFERROR(IF(AND(up_Irr!AA22&lt;&gt;".",up_Irr!AZ22&lt;&gt;".",up_Irr!BY22&lt;&gt;"."),up_dir!AB22/((1/1000)*(up_Irr!AA22+up_Irr!AZ22+up_Irr!BY22)),IF(AND(up_Irr!AA22&lt;&gt;".",up_Irr!AZ22&lt;&gt;".",up_Irr!BY22="."),up_dir!AB22/((1/1000)*(up_Irr!AA22+up_Irr!AZ22)),IF(AND(up_Irr!AA22&lt;&gt;".",up_Irr!AZ22=".",up_Irr!BY22&lt;&gt;"."),up_dir!AB22/((1/1000)*(up_Irr!AA22+up_Irr!BY22)),IF(AND(up_Irr!AA22=".",up_Irr!AZ22&lt;&gt;".",up_Irr!BY22&lt;&gt;"."),up_dir!AB22/((1/1000)*(up_Irr!AZ22+up_Irr!BY22)),IF(AND(up_Irr!AA22=".",up_Irr!AZ22=".",up_Irr!BY22&lt;&gt;"."),up_dir!AB22/((1/1000)*(up_Irr!BY22)),IF(AND(up_Irr!AA22=".",up_Irr!AZ22&lt;&gt;".",up_Irr!BY22="."),up_dir!AB22/((1/1000)*(up_Irr!AZ22)),IF(AND(up_Irr!AA22&lt;&gt;".",up_Irr!AZ22=".",up_Irr!BY22="."),up_dir!AB22/((1/1000)*(up_Irr!AA22)),IF(AND(up_Irr!AA22=".",up_Irr!AZ22=".",up_Irr!BY22="."),up_dir!AB22*1000)))))))),".")</f>
        <v>6.5773651144152131E-4</v>
      </c>
      <c r="AC22" s="87">
        <f t="shared" si="1"/>
        <v>30407.313038114935</v>
      </c>
      <c r="AD22" s="87">
        <f>IFERROR(s_C*s_IFAP_res_adj*s_CF_apple*0.001*(up_Irr!C22+up_Irr!AB22+up_Irr!BA22),".")</f>
        <v>7601.8282595287337</v>
      </c>
      <c r="AE22" s="87">
        <f>IFERROR(s_C*s_IFAS_res_adj*s_CF_asparagus*0.001*(up_Irr!D22+up_Irr!AC22+up_Irr!BB22),".")</f>
        <v>7601.8282595287337</v>
      </c>
      <c r="AF22" s="87">
        <f>IFERROR(s_C*s_IFBT_res_adj*s_CF_beet*0.001*(up_Irr!E22+up_Irr!AD22+up_Irr!BC22),".")</f>
        <v>7601.8282595287337</v>
      </c>
      <c r="AG22" s="87">
        <f>IFERROR(s_C*s_IFBE_res_adj*s_CF_berries*0.001*(up_Irr!F22+up_Irr!AE22+up_Irr!BD22),".")</f>
        <v>7601.8282595287337</v>
      </c>
      <c r="AH22" s="87">
        <f>IFERROR(s_C*s_IFBR_res_adj*s_CF_broccoli*0.001*(up_Irr!G22+up_Irr!AF22+up_Irr!BE22),".")</f>
        <v>7601.8282595287337</v>
      </c>
      <c r="AI22" s="87">
        <f>IFERROR(s_C*s_IFCB_res_adj*s_CF_cabbage*0.001*(up_Irr!H22+up_Irr!AG22+up_Irr!BF22),".")</f>
        <v>7601.8282595287337</v>
      </c>
      <c r="AJ22" s="87">
        <f>IFERROR(s_C*s_IFCR_res_adj*s_CF_carrot*0.001*(up_Irr!I22+up_Irr!AH22+up_Irr!BG22),".")</f>
        <v>7601.8282595287337</v>
      </c>
      <c r="AK22" s="87">
        <f>IFERROR(s_C*s_IFCI_res_adj*s_CF_citrus*0.001*(up_Irr!J22+up_Irr!AI22+up_Irr!BH22),".")</f>
        <v>7601.8282595287337</v>
      </c>
      <c r="AL22" s="87">
        <f>IFERROR(s_C*s_IFCO_res_adj*s_CF_corn*0.001*(up_Irr!K22+up_Irr!AJ22+up_Irr!BI22),".")</f>
        <v>7601.8282595287337</v>
      </c>
      <c r="AM22" s="87">
        <f>IFERROR(s_C*s_IFCU_res_adj*s_CF_cucumber*0.001*(up_Irr!L22+up_Irr!AK22+up_Irr!BJ22),".")</f>
        <v>7601.8282595287337</v>
      </c>
      <c r="AN22" s="87">
        <f>IFERROR(s_C*s_IFLE_res_adj*s_CF_lettuce*0.001*(up_Irr!M22+up_Irr!AL22+up_Irr!BK22),".")</f>
        <v>7601.8282595287337</v>
      </c>
      <c r="AO22" s="87">
        <f>IFERROR(s_C*s_IFLI_res_adj*s_CF_lima_bean*0.001*(up_Irr!N22+up_Irr!AM22+up_Irr!BL22),".")</f>
        <v>7601.8282595287337</v>
      </c>
      <c r="AP22" s="87">
        <f>IFERROR(s_C*s_IFOK_res_adj*s_CF_okra*0.001*(up_Irr!O22+up_Irr!AN22+up_Irr!BM22),".")</f>
        <v>7601.8282595287337</v>
      </c>
      <c r="AQ22" s="87">
        <f>IFERROR(s_C*s_IFON_res_adj*s_CF_onion*0.001*(up_Irr!P22+up_Irr!AO22+up_Irr!BN22),".")</f>
        <v>7601.8282595287337</v>
      </c>
      <c r="AR22" s="87">
        <f>IFERROR(s_C*s_IFPC_res_adj*s_CF_peach*0.001*(up_Irr!Q22+up_Irr!AP22+up_Irr!BO22),".")</f>
        <v>7601.8282595287337</v>
      </c>
      <c r="AS22" s="87">
        <f>IFERROR(s_C*s_IFPR_res_adj*s_CF_pear*0.001*(up_Irr!R22+up_Irr!AQ22+up_Irr!BP22),".")</f>
        <v>7601.8282595287337</v>
      </c>
      <c r="AT22" s="87">
        <f>IFERROR(s_C*s_IFPE_res_adj*s_CF_peas*0.001*(up_Irr!S22+up_Irr!AR22+up_Irr!BQ22),".")</f>
        <v>7601.8282595287337</v>
      </c>
      <c r="AU22" s="87">
        <f>IFERROR(s_C*s_IFPP_res_adj*s_CF_peppers*0.001*(up_Irr!T22+up_Irr!AS22+up_Irr!BR22),".")</f>
        <v>7601.8282595287337</v>
      </c>
      <c r="AV22" s="87">
        <f>IFERROR(s_C*s_IFPT_res_adj*s_CF_potato*0.001*(up_Irr!U22+up_Irr!AT22+up_Irr!BS22),".")</f>
        <v>7601.8282595287337</v>
      </c>
      <c r="AW22" s="87">
        <f>IFERROR(s_C*s_IFPU_res_adj*s_CF_pumpkin*0.001*(up_Irr!V22+up_Irr!AU22+up_Irr!BT22),".")</f>
        <v>7601.8282595287337</v>
      </c>
      <c r="AX22" s="87">
        <f>IFERROR(s_C*s_IFSN_res_adj*s_CF_snap_bean*0.001*(up_Irr!W22+up_Irr!AV22+up_Irr!BU22),".")</f>
        <v>7601.8282595287337</v>
      </c>
      <c r="AY22" s="87">
        <f>IFERROR(s_C*s_IFST_res_adj*s_CF_strawberry*0.001*(up_Irr!X22+up_Irr!AW22+up_Irr!BV22),".")</f>
        <v>7601.8282595287337</v>
      </c>
      <c r="AZ22" s="87">
        <f>IFERROR(s_C*s_IFTO_res_adj*s_CF_tomato*0.001*(up_Irr!Y22+up_Irr!AX22+up_Irr!BW22),".")</f>
        <v>7601.8282595287337</v>
      </c>
      <c r="BA22" s="87">
        <f>IFERROR(s_C*s_IFRI_res_adj*s_CF_rice*0.001*(up_Irr!Z22+up_Irr!AY22+up_Irr!BX22),".")</f>
        <v>7601.8282595287337</v>
      </c>
      <c r="BB22" s="87">
        <f>IFERROR(s_C*s_IFCG_res_adj*s_CF_cereal*0.001*(up_Irr!AA22+up_Irr!AZ22+up_Irr!BY22),".")</f>
        <v>7601.8282595287337</v>
      </c>
      <c r="BC22" s="70">
        <f t="shared" si="2"/>
        <v>1.6443412786038033E-4</v>
      </c>
      <c r="BD22" s="70">
        <f>IFERROR(IF(AND(up_Irr!C22&lt;&gt;".",up_Irr!AB22&lt;&gt;".",up_Irr!BA22&lt;&gt;"."),up_dir!AD22/((1/1000)*(up_Irr!C22+up_Irr!AB22+up_Irr!BA22)),IF(AND(up_Irr!C22&lt;&gt;".",up_Irr!AB22&lt;&gt;".",up_Irr!BA22="."),up_dir!AD22/((1/1000)*(up_Irr!C22+up_Irr!AB22)),IF(AND(up_Irr!C22&lt;&gt;".",up_Irr!AB22=".",up_Irr!BA22&lt;&gt;"."),up_dir!AD22/((1/1000)*(up_Irr!C22+up_Irr!BA22)),IF(AND(up_Irr!C22=".",up_Irr!AB22&lt;&gt;".",up_Irr!BA22&lt;&gt;"."),up_dir!AD22/((1/1000)*(up_Irr!AB22+up_Irr!BA22)),IF(AND(up_Irr!C22=".",up_Irr!AB22=".",up_Irr!BA22&lt;&gt;"."),up_dir!AD22/((1/1000)*(up_Irr!BA22)),IF(AND(up_Irr!C22=".",up_Irr!AB22&lt;&gt;".",up_Irr!BA22="."),up_dir!AD22/((1/1000)*(up_Irr!AB22)),IF(AND(up_Irr!C22&lt;&gt;".",up_Irr!AB22=".",up_Irr!BA22="."),up_dir!AD22/((1/1000)*(up_Irr!C22)),IF(AND(up_Irr!C22=".",up_Irr!AB22=".",up_Irr!BA22="."),up_dir!AD22*1000)))))))),".")</f>
        <v>6.5773651144152131E-4</v>
      </c>
      <c r="BE22" s="70">
        <f>IFERROR(IF(AND(up_Irr!D22&lt;&gt;".",up_Irr!AC22&lt;&gt;".",up_Irr!BB22&lt;&gt;"."),up_dir!AE22/((1/1000)*(up_Irr!D22+up_Irr!AC22+up_Irr!BB22)),IF(AND(up_Irr!D22&lt;&gt;".",up_Irr!AC22&lt;&gt;".",up_Irr!BB22="."),up_dir!AE22/((1/1000)*(up_Irr!D22+up_Irr!AC22)),IF(AND(up_Irr!D22&lt;&gt;".",up_Irr!AC22=".",up_Irr!BB22&lt;&gt;"."),up_dir!AE22/((1/1000)*(up_Irr!D22+up_Irr!BB22)),IF(AND(up_Irr!D22=".",up_Irr!AC22&lt;&gt;".",up_Irr!BB22&lt;&gt;"."),up_dir!AE22/((1/1000)*(up_Irr!AC22+up_Irr!BB22)),IF(AND(up_Irr!D22=".",up_Irr!AC22=".",up_Irr!BB22&lt;&gt;"."),up_dir!AE22/((1/1000)*(up_Irr!BB22)),IF(AND(up_Irr!D22=".",up_Irr!AC22&lt;&gt;".",up_Irr!BB22="."),up_dir!AE22/((1/1000)*(up_Irr!AC22)),IF(AND(up_Irr!D22&lt;&gt;".",up_Irr!AC22=".",up_Irr!BB22="."),up_dir!AE22/((1/1000)*(up_Irr!D22)),IF(AND(up_Irr!D22=".",up_Irr!AC22=".",up_Irr!BB22="."),up_dir!AE22*1000)))))))),".")</f>
        <v>6.5773651144152131E-4</v>
      </c>
      <c r="BF22" s="70">
        <f>IFERROR(IF(AND(up_Irr!E22&lt;&gt;".",up_Irr!AD22&lt;&gt;".",up_Irr!BC22&lt;&gt;"."),up_dir!AF22/((1/1000)*(up_Irr!E22+up_Irr!AD22+up_Irr!BC22)),IF(AND(up_Irr!E22&lt;&gt;".",up_Irr!AD22&lt;&gt;".",up_Irr!BC22="."),up_dir!AF22/((1/1000)*(up_Irr!E22+up_Irr!AD22)),IF(AND(up_Irr!E22&lt;&gt;".",up_Irr!AD22=".",up_Irr!BC22&lt;&gt;"."),up_dir!AF22/((1/1000)*(up_Irr!E22+up_Irr!BC22)),IF(AND(up_Irr!E22=".",up_Irr!AD22&lt;&gt;".",up_Irr!BC22&lt;&gt;"."),up_dir!AF22/((1/1000)*(up_Irr!AD22+up_Irr!BC22)),IF(AND(up_Irr!E22=".",up_Irr!AD22=".",up_Irr!BC22&lt;&gt;"."),up_dir!AF22/((1/1000)*(up_Irr!BC22)),IF(AND(up_Irr!E22=".",up_Irr!AD22&lt;&gt;".",up_Irr!BC22="."),up_dir!AF22/((1/1000)*(up_Irr!AD22)),IF(AND(up_Irr!E22&lt;&gt;".",up_Irr!AD22=".",up_Irr!BC22="."),up_dir!AF22/((1/1000)*(up_Irr!E22)),IF(AND(up_Irr!E22=".",up_Irr!AD22=".",up_Irr!BC22="."),up_dir!AF22*1000)))))))),".")</f>
        <v>6.5773651144152131E-4</v>
      </c>
      <c r="BG22" s="70">
        <f>IFERROR(IF(AND(up_Irr!F22&lt;&gt;".",up_Irr!AE22&lt;&gt;".",up_Irr!BD22&lt;&gt;"."),up_dir!AG22/((1/1000)*(up_Irr!F22+up_Irr!AE22+up_Irr!BD22)),IF(AND(up_Irr!F22&lt;&gt;".",up_Irr!AE22&lt;&gt;".",up_Irr!BD22="."),up_dir!AG22/((1/1000)*(up_Irr!F22+up_Irr!AE22)),IF(AND(up_Irr!F22&lt;&gt;".",up_Irr!AE22=".",up_Irr!BD22&lt;&gt;"."),up_dir!AG22/((1/1000)*(up_Irr!F22+up_Irr!BD22)),IF(AND(up_Irr!F22=".",up_Irr!AE22&lt;&gt;".",up_Irr!BD22&lt;&gt;"."),up_dir!AG22/((1/1000)*(up_Irr!AE22+up_Irr!BD22)),IF(AND(up_Irr!F22=".",up_Irr!AE22=".",up_Irr!BD22&lt;&gt;"."),up_dir!AG22/((1/1000)*(up_Irr!BD22)),IF(AND(up_Irr!F22=".",up_Irr!AE22&lt;&gt;".",up_Irr!BD22="."),up_dir!AG22/((1/1000)*(up_Irr!AE22)),IF(AND(up_Irr!F22&lt;&gt;".",up_Irr!AE22=".",up_Irr!BD22="."),up_dir!AG22/((1/1000)*(up_Irr!F22)),IF(AND(up_Irr!F22=".",up_Irr!AE22=".",up_Irr!BD22="."),up_dir!AG22*1000)))))))),".")</f>
        <v>6.5773651144152131E-4</v>
      </c>
      <c r="BH22" s="70">
        <f>IFERROR(IF(AND(up_Irr!G22&lt;&gt;".",up_Irr!AF22&lt;&gt;".",up_Irr!BE22&lt;&gt;"."),up_dir!AH22/((1/1000)*(up_Irr!G22+up_Irr!AF22+up_Irr!BE22)),IF(AND(up_Irr!G22&lt;&gt;".",up_Irr!AF22&lt;&gt;".",up_Irr!BE22="."),up_dir!AH22/((1/1000)*(up_Irr!G22+up_Irr!AF22)),IF(AND(up_Irr!G22&lt;&gt;".",up_Irr!AF22=".",up_Irr!BE22&lt;&gt;"."),up_dir!AH22/((1/1000)*(up_Irr!G22+up_Irr!BE22)),IF(AND(up_Irr!G22=".",up_Irr!AF22&lt;&gt;".",up_Irr!BE22&lt;&gt;"."),up_dir!AH22/((1/1000)*(up_Irr!AF22+up_Irr!BE22)),IF(AND(up_Irr!G22=".",up_Irr!AF22=".",up_Irr!BE22&lt;&gt;"."),up_dir!AH22/((1/1000)*(up_Irr!BE22)),IF(AND(up_Irr!G22=".",up_Irr!AF22&lt;&gt;".",up_Irr!BE22="."),up_dir!AH22/((1/1000)*(up_Irr!AF22)),IF(AND(up_Irr!G22&lt;&gt;".",up_Irr!AF22=".",up_Irr!BE22="."),up_dir!AH22/((1/1000)*(up_Irr!G22)),IF(AND(up_Irr!G22=".",up_Irr!AF22=".",up_Irr!BE22="."),up_dir!AH22*1000)))))))),".")</f>
        <v>6.5773651144152131E-4</v>
      </c>
      <c r="BI22" s="70">
        <f>IFERROR(IF(AND(up_Irr!H22&lt;&gt;".",up_Irr!AG22&lt;&gt;".",up_Irr!BF22&lt;&gt;"."),up_dir!AI22/((1/1000)*(up_Irr!H22+up_Irr!AG22+up_Irr!BF22)),IF(AND(up_Irr!H22&lt;&gt;".",up_Irr!AG22&lt;&gt;".",up_Irr!BF22="."),up_dir!AI22/((1/1000)*(up_Irr!H22+up_Irr!AG22)),IF(AND(up_Irr!H22&lt;&gt;".",up_Irr!AG22=".",up_Irr!BF22&lt;&gt;"."),up_dir!AI22/((1/1000)*(up_Irr!H22+up_Irr!BF22)),IF(AND(up_Irr!H22=".",up_Irr!AG22&lt;&gt;".",up_Irr!BF22&lt;&gt;"."),up_dir!AI22/((1/1000)*(up_Irr!AG22+up_Irr!BF22)),IF(AND(up_Irr!H22=".",up_Irr!AG22=".",up_Irr!BF22&lt;&gt;"."),up_dir!AI22/((1/1000)*(up_Irr!BF22)),IF(AND(up_Irr!H22=".",up_Irr!AG22&lt;&gt;".",up_Irr!BF22="."),up_dir!AI22/((1/1000)*(up_Irr!AG22)),IF(AND(up_Irr!H22&lt;&gt;".",up_Irr!AG22=".",up_Irr!BF22="."),up_dir!AI22/((1/1000)*(up_Irr!H22)),IF(AND(up_Irr!H22=".",up_Irr!AG22=".",up_Irr!BF22="."),up_dir!AI22*1000)))))))),".")</f>
        <v>6.5773651144152131E-4</v>
      </c>
      <c r="BJ22" s="70">
        <f>IFERROR(IF(AND(up_Irr!I22&lt;&gt;".",up_Irr!AH22&lt;&gt;".",up_Irr!BG22&lt;&gt;"."),up_dir!AJ22/((1/1000)*(up_Irr!I22+up_Irr!AH22+up_Irr!BG22)),IF(AND(up_Irr!I22&lt;&gt;".",up_Irr!AH22&lt;&gt;".",up_Irr!BG22="."),up_dir!AJ22/((1/1000)*(up_Irr!I22+up_Irr!AH22)),IF(AND(up_Irr!I22&lt;&gt;".",up_Irr!AH22=".",up_Irr!BG22&lt;&gt;"."),up_dir!AJ22/((1/1000)*(up_Irr!I22+up_Irr!BG22)),IF(AND(up_Irr!I22=".",up_Irr!AH22&lt;&gt;".",up_Irr!BG22&lt;&gt;"."),up_dir!AJ22/((1/1000)*(up_Irr!AH22+up_Irr!BG22)),IF(AND(up_Irr!I22=".",up_Irr!AH22=".",up_Irr!BG22&lt;&gt;"."),up_dir!AJ22/((1/1000)*(up_Irr!BG22)),IF(AND(up_Irr!I22=".",up_Irr!AH22&lt;&gt;".",up_Irr!BG22="."),up_dir!AJ22/((1/1000)*(up_Irr!AH22)),IF(AND(up_Irr!I22&lt;&gt;".",up_Irr!AH22=".",up_Irr!BG22="."),up_dir!AJ22/((1/1000)*(up_Irr!I22)),IF(AND(up_Irr!I22=".",up_Irr!AH22=".",up_Irr!BG22="."),up_dir!AJ22*1000)))))))),".")</f>
        <v>6.5773651144152131E-4</v>
      </c>
      <c r="BK22" s="70">
        <f>IFERROR(IF(AND(up_Irr!J22&lt;&gt;".",up_Irr!AI22&lt;&gt;".",up_Irr!BH22&lt;&gt;"."),up_dir!AK22/((1/1000)*(up_Irr!J22+up_Irr!AI22+up_Irr!BH22)),IF(AND(up_Irr!J22&lt;&gt;".",up_Irr!AI22&lt;&gt;".",up_Irr!BH22="."),up_dir!AK22/((1/1000)*(up_Irr!J22+up_Irr!AI22)),IF(AND(up_Irr!J22&lt;&gt;".",up_Irr!AI22=".",up_Irr!BH22&lt;&gt;"."),up_dir!AK22/((1/1000)*(up_Irr!J22+up_Irr!BH22)),IF(AND(up_Irr!J22=".",up_Irr!AI22&lt;&gt;".",up_Irr!BH22&lt;&gt;"."),up_dir!AK22/((1/1000)*(up_Irr!AI22+up_Irr!BH22)),IF(AND(up_Irr!J22=".",up_Irr!AI22=".",up_Irr!BH22&lt;&gt;"."),up_dir!AK22/((1/1000)*(up_Irr!BH22)),IF(AND(up_Irr!J22=".",up_Irr!AI22&lt;&gt;".",up_Irr!BH22="."),up_dir!AK22/((1/1000)*(up_Irr!AI22)),IF(AND(up_Irr!J22&lt;&gt;".",up_Irr!AI22=".",up_Irr!BH22="."),up_dir!AK22/((1/1000)*(up_Irr!J22)),IF(AND(up_Irr!J22=".",up_Irr!AI22=".",up_Irr!BH22="."),up_dir!AK22*1000)))))))),".")</f>
        <v>6.5773651144152131E-4</v>
      </c>
      <c r="BL22" s="70">
        <f>IFERROR(IF(AND(up_Irr!K22&lt;&gt;".",up_Irr!AJ22&lt;&gt;".",up_Irr!BI22&lt;&gt;"."),up_dir!AL22/((1/1000)*(up_Irr!K22+up_Irr!AJ22+up_Irr!BI22)),IF(AND(up_Irr!K22&lt;&gt;".",up_Irr!AJ22&lt;&gt;".",up_Irr!BI22="."),up_dir!AL22/((1/1000)*(up_Irr!K22+up_Irr!AJ22)),IF(AND(up_Irr!K22&lt;&gt;".",up_Irr!AJ22=".",up_Irr!BI22&lt;&gt;"."),up_dir!AL22/((1/1000)*(up_Irr!K22+up_Irr!BI22)),IF(AND(up_Irr!K22=".",up_Irr!AJ22&lt;&gt;".",up_Irr!BI22&lt;&gt;"."),up_dir!AL22/((1/1000)*(up_Irr!AJ22+up_Irr!BI22)),IF(AND(up_Irr!K22=".",up_Irr!AJ22=".",up_Irr!BI22&lt;&gt;"."),up_dir!AL22/((1/1000)*(up_Irr!BI22)),IF(AND(up_Irr!K22=".",up_Irr!AJ22&lt;&gt;".",up_Irr!BI22="."),up_dir!AL22/((1/1000)*(up_Irr!AJ22)),IF(AND(up_Irr!K22&lt;&gt;".",up_Irr!AJ22=".",up_Irr!BI22="."),up_dir!AL22/((1/1000)*(up_Irr!K22)),IF(AND(up_Irr!K22=".",up_Irr!AJ22=".",up_Irr!BI22="."),up_dir!AL22*1000)))))))),".")</f>
        <v>6.5773651144152131E-4</v>
      </c>
      <c r="BM22" s="70">
        <f>IFERROR(IF(AND(up_Irr!L22&lt;&gt;".",up_Irr!AK22&lt;&gt;".",up_Irr!BJ22&lt;&gt;"."),up_dir!AM22/((1/1000)*(up_Irr!L22+up_Irr!AK22+up_Irr!BJ22)),IF(AND(up_Irr!L22&lt;&gt;".",up_Irr!AK22&lt;&gt;".",up_Irr!BJ22="."),up_dir!AM22/((1/1000)*(up_Irr!L22+up_Irr!AK22)),IF(AND(up_Irr!L22&lt;&gt;".",up_Irr!AK22=".",up_Irr!BJ22&lt;&gt;"."),up_dir!AM22/((1/1000)*(up_Irr!L22+up_Irr!BJ22)),IF(AND(up_Irr!L22=".",up_Irr!AK22&lt;&gt;".",up_Irr!BJ22&lt;&gt;"."),up_dir!AM22/((1/1000)*(up_Irr!AK22+up_Irr!BJ22)),IF(AND(up_Irr!L22=".",up_Irr!AK22=".",up_Irr!BJ22&lt;&gt;"."),up_dir!AM22/((1/1000)*(up_Irr!BJ22)),IF(AND(up_Irr!L22=".",up_Irr!AK22&lt;&gt;".",up_Irr!BJ22="."),up_dir!AM22/((1/1000)*(up_Irr!AK22)),IF(AND(up_Irr!L22&lt;&gt;".",up_Irr!AK22=".",up_Irr!BJ22="."),up_dir!AM22/((1/1000)*(up_Irr!L22)),IF(AND(up_Irr!L22=".",up_Irr!AK22=".",up_Irr!BJ22="."),up_dir!AM22*1000)))))))),".")</f>
        <v>6.5773651144152131E-4</v>
      </c>
      <c r="BN22" s="70">
        <f>IFERROR(IF(AND(up_Irr!M22&lt;&gt;".",up_Irr!AL22&lt;&gt;".",up_Irr!BK22&lt;&gt;"."),up_dir!AN22/((1/1000)*(up_Irr!M22+up_Irr!AL22+up_Irr!BK22)),IF(AND(up_Irr!M22&lt;&gt;".",up_Irr!AL22&lt;&gt;".",up_Irr!BK22="."),up_dir!AN22/((1/1000)*(up_Irr!M22+up_Irr!AL22)),IF(AND(up_Irr!M22&lt;&gt;".",up_Irr!AL22=".",up_Irr!BK22&lt;&gt;"."),up_dir!AN22/((1/1000)*(up_Irr!M22+up_Irr!BK22)),IF(AND(up_Irr!M22=".",up_Irr!AL22&lt;&gt;".",up_Irr!BK22&lt;&gt;"."),up_dir!AN22/((1/1000)*(up_Irr!AL22+up_Irr!BK22)),IF(AND(up_Irr!M22=".",up_Irr!AL22=".",up_Irr!BK22&lt;&gt;"."),up_dir!AN22/((1/1000)*(up_Irr!BK22)),IF(AND(up_Irr!M22=".",up_Irr!AL22&lt;&gt;".",up_Irr!BK22="."),up_dir!AN22/((1/1000)*(up_Irr!AL22)),IF(AND(up_Irr!M22&lt;&gt;".",up_Irr!AL22=".",up_Irr!BK22="."),up_dir!AN22/((1/1000)*(up_Irr!M22)),IF(AND(up_Irr!M22=".",up_Irr!AL22=".",up_Irr!BK22="."),up_dir!AN22*1000)))))))),".")</f>
        <v>6.5773651144152131E-4</v>
      </c>
      <c r="BO22" s="70">
        <f>IFERROR(IF(AND(up_Irr!N22&lt;&gt;".",up_Irr!AM22&lt;&gt;".",up_Irr!BL22&lt;&gt;"."),up_dir!AO22/((1/1000)*(up_Irr!N22+up_Irr!AM22+up_Irr!BL22)),IF(AND(up_Irr!N22&lt;&gt;".",up_Irr!AM22&lt;&gt;".",up_Irr!BL22="."),up_dir!AO22/((1/1000)*(up_Irr!N22+up_Irr!AM22)),IF(AND(up_Irr!N22&lt;&gt;".",up_Irr!AM22=".",up_Irr!BL22&lt;&gt;"."),up_dir!AO22/((1/1000)*(up_Irr!N22+up_Irr!BL22)),IF(AND(up_Irr!N22=".",up_Irr!AM22&lt;&gt;".",up_Irr!BL22&lt;&gt;"."),up_dir!AO22/((1/1000)*(up_Irr!AM22+up_Irr!BL22)),IF(AND(up_Irr!N22=".",up_Irr!AM22=".",up_Irr!BL22&lt;&gt;"."),up_dir!AO22/((1/1000)*(up_Irr!BL22)),IF(AND(up_Irr!N22=".",up_Irr!AM22&lt;&gt;".",up_Irr!BL22="."),up_dir!AO22/((1/1000)*(up_Irr!AM22)),IF(AND(up_Irr!N22&lt;&gt;".",up_Irr!AM22=".",up_Irr!BL22="."),up_dir!AO22/((1/1000)*(up_Irr!N22)),IF(AND(up_Irr!N22=".",up_Irr!AM22=".",up_Irr!BL22="."),up_dir!AO22*1000)))))))),".")</f>
        <v>6.5773651144152131E-4</v>
      </c>
      <c r="BP22" s="70">
        <f>IFERROR(IF(AND(up_Irr!O22&lt;&gt;".",up_Irr!AN22&lt;&gt;".",up_Irr!BM22&lt;&gt;"."),up_dir!AP22/((1/1000)*(up_Irr!O22+up_Irr!AN22+up_Irr!BM22)),IF(AND(up_Irr!O22&lt;&gt;".",up_Irr!AN22&lt;&gt;".",up_Irr!BM22="."),up_dir!AP22/((1/1000)*(up_Irr!O22+up_Irr!AN22)),IF(AND(up_Irr!O22&lt;&gt;".",up_Irr!AN22=".",up_Irr!BM22&lt;&gt;"."),up_dir!AP22/((1/1000)*(up_Irr!O22+up_Irr!BM22)),IF(AND(up_Irr!O22=".",up_Irr!AN22&lt;&gt;".",up_Irr!BM22&lt;&gt;"."),up_dir!AP22/((1/1000)*(up_Irr!AN22+up_Irr!BM22)),IF(AND(up_Irr!O22=".",up_Irr!AN22=".",up_Irr!BM22&lt;&gt;"."),up_dir!AP22/((1/1000)*(up_Irr!BM22)),IF(AND(up_Irr!O22=".",up_Irr!AN22&lt;&gt;".",up_Irr!BM22="."),up_dir!AP22/((1/1000)*(up_Irr!AN22)),IF(AND(up_Irr!O22&lt;&gt;".",up_Irr!AN22=".",up_Irr!BM22="."),up_dir!AP22/((1/1000)*(up_Irr!O22)),IF(AND(up_Irr!O22=".",up_Irr!AN22=".",up_Irr!BM22="."),up_dir!AP22*1000)))))))),".")</f>
        <v>6.5773651144152131E-4</v>
      </c>
      <c r="BQ22" s="70">
        <f>IFERROR(IF(AND(up_Irr!P22&lt;&gt;".",up_Irr!AO22&lt;&gt;".",up_Irr!BN22&lt;&gt;"."),up_dir!AQ22/((1/1000)*(up_Irr!P22+up_Irr!AO22+up_Irr!BN22)),IF(AND(up_Irr!P22&lt;&gt;".",up_Irr!AO22&lt;&gt;".",up_Irr!BN22="."),up_dir!AQ22/((1/1000)*(up_Irr!P22+up_Irr!AO22)),IF(AND(up_Irr!P22&lt;&gt;".",up_Irr!AO22=".",up_Irr!BN22&lt;&gt;"."),up_dir!AQ22/((1/1000)*(up_Irr!P22+up_Irr!BN22)),IF(AND(up_Irr!P22=".",up_Irr!AO22&lt;&gt;".",up_Irr!BN22&lt;&gt;"."),up_dir!AQ22/((1/1000)*(up_Irr!AO22+up_Irr!BN22)),IF(AND(up_Irr!P22=".",up_Irr!AO22=".",up_Irr!BN22&lt;&gt;"."),up_dir!AQ22/((1/1000)*(up_Irr!BN22)),IF(AND(up_Irr!P22=".",up_Irr!AO22&lt;&gt;".",up_Irr!BN22="."),up_dir!AQ22/((1/1000)*(up_Irr!AO22)),IF(AND(up_Irr!P22&lt;&gt;".",up_Irr!AO22=".",up_Irr!BN22="."),up_dir!AQ22/((1/1000)*(up_Irr!P22)),IF(AND(up_Irr!P22=".",up_Irr!AO22=".",up_Irr!BN22="."),up_dir!AQ22*1000)))))))),".")</f>
        <v>6.5773651144152131E-4</v>
      </c>
      <c r="BR22" s="70">
        <f>IFERROR(IF(AND(up_Irr!Q22&lt;&gt;".",up_Irr!AP22&lt;&gt;".",up_Irr!BO22&lt;&gt;"."),up_dir!AR22/((1/1000)*(up_Irr!Q22+up_Irr!AP22+up_Irr!BO22)),IF(AND(up_Irr!Q22&lt;&gt;".",up_Irr!AP22&lt;&gt;".",up_Irr!BO22="."),up_dir!AR22/((1/1000)*(up_Irr!Q22+up_Irr!AP22)),IF(AND(up_Irr!Q22&lt;&gt;".",up_Irr!AP22=".",up_Irr!BO22&lt;&gt;"."),up_dir!AR22/((1/1000)*(up_Irr!Q22+up_Irr!BO22)),IF(AND(up_Irr!Q22=".",up_Irr!AP22&lt;&gt;".",up_Irr!BO22&lt;&gt;"."),up_dir!AR22/((1/1000)*(up_Irr!AP22+up_Irr!BO22)),IF(AND(up_Irr!Q22=".",up_Irr!AP22=".",up_Irr!BO22&lt;&gt;"."),up_dir!AR22/((1/1000)*(up_Irr!BO22)),IF(AND(up_Irr!Q22=".",up_Irr!AP22&lt;&gt;".",up_Irr!BO22="."),up_dir!AR22/((1/1000)*(up_Irr!AP22)),IF(AND(up_Irr!Q22&lt;&gt;".",up_Irr!AP22=".",up_Irr!BO22="."),up_dir!AR22/((1/1000)*(up_Irr!Q22)),IF(AND(up_Irr!Q22=".",up_Irr!AP22=".",up_Irr!BO22="."),up_dir!AR22*1000)))))))),".")</f>
        <v>6.5773651144152131E-4</v>
      </c>
      <c r="BS22" s="70">
        <f>IFERROR(IF(AND(up_Irr!R22&lt;&gt;".",up_Irr!AQ22&lt;&gt;".",up_Irr!BP22&lt;&gt;"."),up_dir!AS22/((1/1000)*(up_Irr!R22+up_Irr!AQ22+up_Irr!BP22)),IF(AND(up_Irr!R22&lt;&gt;".",up_Irr!AQ22&lt;&gt;".",up_Irr!BP22="."),up_dir!AS22/((1/1000)*(up_Irr!R22+up_Irr!AQ22)),IF(AND(up_Irr!R22&lt;&gt;".",up_Irr!AQ22=".",up_Irr!BP22&lt;&gt;"."),up_dir!AS22/((1/1000)*(up_Irr!R22+up_Irr!BP22)),IF(AND(up_Irr!R22=".",up_Irr!AQ22&lt;&gt;".",up_Irr!BP22&lt;&gt;"."),up_dir!AS22/((1/1000)*(up_Irr!AQ22+up_Irr!BP22)),IF(AND(up_Irr!R22=".",up_Irr!AQ22=".",up_Irr!BP22&lt;&gt;"."),up_dir!AS22/((1/1000)*(up_Irr!BP22)),IF(AND(up_Irr!R22=".",up_Irr!AQ22&lt;&gt;".",up_Irr!BP22="."),up_dir!AS22/((1/1000)*(up_Irr!AQ22)),IF(AND(up_Irr!R22&lt;&gt;".",up_Irr!AQ22=".",up_Irr!BP22="."),up_dir!AS22/((1/1000)*(up_Irr!R22)),IF(AND(up_Irr!R22=".",up_Irr!AQ22=".",up_Irr!BP22="."),up_dir!AS22*1000)))))))),".")</f>
        <v>6.5773651144152131E-4</v>
      </c>
      <c r="BT22" s="70">
        <f>IFERROR(IF(AND(up_Irr!S22&lt;&gt;".",up_Irr!AR22&lt;&gt;".",up_Irr!BQ22&lt;&gt;"."),up_dir!AT22/((1/1000)*(up_Irr!S22+up_Irr!AR22+up_Irr!BQ22)),IF(AND(up_Irr!S22&lt;&gt;".",up_Irr!AR22&lt;&gt;".",up_Irr!BQ22="."),up_dir!AT22/((1/1000)*(up_Irr!S22+up_Irr!AR22)),IF(AND(up_Irr!S22&lt;&gt;".",up_Irr!AR22=".",up_Irr!BQ22&lt;&gt;"."),up_dir!AT22/((1/1000)*(up_Irr!S22+up_Irr!BQ22)),IF(AND(up_Irr!S22=".",up_Irr!AR22&lt;&gt;".",up_Irr!BQ22&lt;&gt;"."),up_dir!AT22/((1/1000)*(up_Irr!AR22+up_Irr!BQ22)),IF(AND(up_Irr!S22=".",up_Irr!AR22=".",up_Irr!BQ22&lt;&gt;"."),up_dir!AT22/((1/1000)*(up_Irr!BQ22)),IF(AND(up_Irr!S22=".",up_Irr!AR22&lt;&gt;".",up_Irr!BQ22="."),up_dir!AT22/((1/1000)*(up_Irr!AR22)),IF(AND(up_Irr!S22&lt;&gt;".",up_Irr!AR22=".",up_Irr!BQ22="."),up_dir!AT22/((1/1000)*(up_Irr!S22)),IF(AND(up_Irr!S22=".",up_Irr!AR22=".",up_Irr!BQ22="."),up_dir!AT22*1000)))))))),".")</f>
        <v>6.5773651144152131E-4</v>
      </c>
      <c r="BU22" s="70">
        <f>IFERROR(IF(AND(up_Irr!T22&lt;&gt;".",up_Irr!AS22&lt;&gt;".",up_Irr!BR22&lt;&gt;"."),up_dir!AU22/((1/1000)*(up_Irr!T22+up_Irr!AS22+up_Irr!BR22)),IF(AND(up_Irr!T22&lt;&gt;".",up_Irr!AS22&lt;&gt;".",up_Irr!BR22="."),up_dir!AU22/((1/1000)*(up_Irr!T22+up_Irr!AS22)),IF(AND(up_Irr!T22&lt;&gt;".",up_Irr!AS22=".",up_Irr!BR22&lt;&gt;"."),up_dir!AU22/((1/1000)*(up_Irr!T22+up_Irr!BR22)),IF(AND(up_Irr!T22=".",up_Irr!AS22&lt;&gt;".",up_Irr!BR22&lt;&gt;"."),up_dir!AU22/((1/1000)*(up_Irr!AS22+up_Irr!BR22)),IF(AND(up_Irr!T22=".",up_Irr!AS22=".",up_Irr!BR22&lt;&gt;"."),up_dir!AU22/((1/1000)*(up_Irr!BR22)),IF(AND(up_Irr!T22=".",up_Irr!AS22&lt;&gt;".",up_Irr!BR22="."),up_dir!AU22/((1/1000)*(up_Irr!AS22)),IF(AND(up_Irr!T22&lt;&gt;".",up_Irr!AS22=".",up_Irr!BR22="."),up_dir!AU22/((1/1000)*(up_Irr!T22)),IF(AND(up_Irr!T22=".",up_Irr!AS22=".",up_Irr!BR22="."),up_dir!AU22*1000)))))))),".")</f>
        <v>6.5773651144152131E-4</v>
      </c>
      <c r="BV22" s="70">
        <f>IFERROR(IF(AND(up_Irr!U22&lt;&gt;".",up_Irr!AT22&lt;&gt;".",up_Irr!BS22&lt;&gt;"."),up_dir!AV22/((1/1000)*(up_Irr!U22+up_Irr!AT22+up_Irr!BS22)),IF(AND(up_Irr!U22&lt;&gt;".",up_Irr!AT22&lt;&gt;".",up_Irr!BS22="."),up_dir!AV22/((1/1000)*(up_Irr!U22+up_Irr!AT22)),IF(AND(up_Irr!U22&lt;&gt;".",up_Irr!AT22=".",up_Irr!BS22&lt;&gt;"."),up_dir!AV22/((1/1000)*(up_Irr!U22+up_Irr!BS22)),IF(AND(up_Irr!U22=".",up_Irr!AT22&lt;&gt;".",up_Irr!BS22&lt;&gt;"."),up_dir!AV22/((1/1000)*(up_Irr!AT22+up_Irr!BS22)),IF(AND(up_Irr!U22=".",up_Irr!AT22=".",up_Irr!BS22&lt;&gt;"."),up_dir!AV22/((1/1000)*(up_Irr!BS22)),IF(AND(up_Irr!U22=".",up_Irr!AT22&lt;&gt;".",up_Irr!BS22="."),up_dir!AV22/((1/1000)*(up_Irr!AT22)),IF(AND(up_Irr!U22&lt;&gt;".",up_Irr!AT22=".",up_Irr!BS22="."),up_dir!AV22/((1/1000)*(up_Irr!U22)),IF(AND(up_Irr!U22=".",up_Irr!AT22=".",up_Irr!BS22="."),up_dir!AV22*1000)))))))),".")</f>
        <v>6.5773651144152131E-4</v>
      </c>
      <c r="BW22" s="70">
        <f>IFERROR(IF(AND(up_Irr!V22&lt;&gt;".",up_Irr!AU22&lt;&gt;".",up_Irr!BT22&lt;&gt;"."),up_dir!AW22/((1/1000)*(up_Irr!V22+up_Irr!AU22+up_Irr!BT22)),IF(AND(up_Irr!V22&lt;&gt;".",up_Irr!AU22&lt;&gt;".",up_Irr!BT22="."),up_dir!AW22/((1/1000)*(up_Irr!V22+up_Irr!AU22)),IF(AND(up_Irr!V22&lt;&gt;".",up_Irr!AU22=".",up_Irr!BT22&lt;&gt;"."),up_dir!AW22/((1/1000)*(up_Irr!V22+up_Irr!BT22)),IF(AND(up_Irr!V22=".",up_Irr!AU22&lt;&gt;".",up_Irr!BT22&lt;&gt;"."),up_dir!AW22/((1/1000)*(up_Irr!AU22+up_Irr!BT22)),IF(AND(up_Irr!V22=".",up_Irr!AU22=".",up_Irr!BT22&lt;&gt;"."),up_dir!AW22/((1/1000)*(up_Irr!BT22)),IF(AND(up_Irr!V22=".",up_Irr!AU22&lt;&gt;".",up_Irr!BT22="."),up_dir!AW22/((1/1000)*(up_Irr!AU22)),IF(AND(up_Irr!V22&lt;&gt;".",up_Irr!AU22=".",up_Irr!BT22="."),up_dir!AW22/((1/1000)*(up_Irr!V22)),IF(AND(up_Irr!V22=".",up_Irr!AU22=".",up_Irr!BT22="."),up_dir!AW22*1000)))))))),".")</f>
        <v>6.5773651144152131E-4</v>
      </c>
      <c r="BX22" s="70">
        <f>IFERROR(IF(AND(up_Irr!W22&lt;&gt;".",up_Irr!AV22&lt;&gt;".",up_Irr!BU22&lt;&gt;"."),up_dir!AX22/((1/1000)*(up_Irr!W22+up_Irr!AV22+up_Irr!BU22)),IF(AND(up_Irr!W22&lt;&gt;".",up_Irr!AV22&lt;&gt;".",up_Irr!BU22="."),up_dir!AX22/((1/1000)*(up_Irr!W22+up_Irr!AV22)),IF(AND(up_Irr!W22&lt;&gt;".",up_Irr!AV22=".",up_Irr!BU22&lt;&gt;"."),up_dir!AX22/((1/1000)*(up_Irr!W22+up_Irr!BU22)),IF(AND(up_Irr!W22=".",up_Irr!AV22&lt;&gt;".",up_Irr!BU22&lt;&gt;"."),up_dir!AX22/((1/1000)*(up_Irr!AV22+up_Irr!BU22)),IF(AND(up_Irr!W22=".",up_Irr!AV22=".",up_Irr!BU22&lt;&gt;"."),up_dir!AX22/((1/1000)*(up_Irr!BU22)),IF(AND(up_Irr!W22=".",up_Irr!AV22&lt;&gt;".",up_Irr!BU22="."),up_dir!AX22/((1/1000)*(up_Irr!AV22)),IF(AND(up_Irr!W22&lt;&gt;".",up_Irr!AV22=".",up_Irr!BU22="."),up_dir!AX22/((1/1000)*(up_Irr!W22)),IF(AND(up_Irr!W22=".",up_Irr!AV22=".",up_Irr!BU22="."),up_dir!AX22*1000)))))))),".")</f>
        <v>6.5773651144152131E-4</v>
      </c>
      <c r="BY22" s="70">
        <f>IFERROR(IF(AND(up_Irr!X22&lt;&gt;".",up_Irr!AW22&lt;&gt;".",up_Irr!BV22&lt;&gt;"."),up_dir!AY22/((1/1000)*(up_Irr!X22+up_Irr!AW22+up_Irr!BV22)),IF(AND(up_Irr!X22&lt;&gt;".",up_Irr!AW22&lt;&gt;".",up_Irr!BV22="."),up_dir!AY22/((1/1000)*(up_Irr!X22+up_Irr!AW22)),IF(AND(up_Irr!X22&lt;&gt;".",up_Irr!AW22=".",up_Irr!BV22&lt;&gt;"."),up_dir!AY22/((1/1000)*(up_Irr!X22+up_Irr!BV22)),IF(AND(up_Irr!X22=".",up_Irr!AW22&lt;&gt;".",up_Irr!BV22&lt;&gt;"."),up_dir!AY22/((1/1000)*(up_Irr!AW22+up_Irr!BV22)),IF(AND(up_Irr!X22=".",up_Irr!AW22=".",up_Irr!BV22&lt;&gt;"."),up_dir!AY22/((1/1000)*(up_Irr!BV22)),IF(AND(up_Irr!X22=".",up_Irr!AW22&lt;&gt;".",up_Irr!BV22="."),up_dir!AY22/((1/1000)*(up_Irr!AW22)),IF(AND(up_Irr!X22&lt;&gt;".",up_Irr!AW22=".",up_Irr!BV22="."),up_dir!AY22/((1/1000)*(up_Irr!X22)),IF(AND(up_Irr!X22=".",up_Irr!AW22=".",up_Irr!BV22="."),up_dir!AY22*1000)))))))),".")</f>
        <v>6.5773651144152131E-4</v>
      </c>
      <c r="BZ22" s="70">
        <f>IFERROR(IF(AND(up_Irr!Y22&lt;&gt;".",up_Irr!AX22&lt;&gt;".",up_Irr!BW22&lt;&gt;"."),up_dir!AZ22/((1/1000)*(up_Irr!Y22+up_Irr!AX22+up_Irr!BW22)),IF(AND(up_Irr!Y22&lt;&gt;".",up_Irr!AX22&lt;&gt;".",up_Irr!BW22="."),up_dir!AZ22/((1/1000)*(up_Irr!Y22+up_Irr!AX22)),IF(AND(up_Irr!Y22&lt;&gt;".",up_Irr!AX22=".",up_Irr!BW22&lt;&gt;"."),up_dir!AZ22/((1/1000)*(up_Irr!Y22+up_Irr!BW22)),IF(AND(up_Irr!Y22=".",up_Irr!AX22&lt;&gt;".",up_Irr!BW22&lt;&gt;"."),up_dir!AZ22/((1/1000)*(up_Irr!AX22+up_Irr!BW22)),IF(AND(up_Irr!Y22=".",up_Irr!AX22=".",up_Irr!BW22&lt;&gt;"."),up_dir!AZ22/((1/1000)*(up_Irr!BW22)),IF(AND(up_Irr!Y22=".",up_Irr!AX22&lt;&gt;".",up_Irr!BW22="."),up_dir!AZ22/((1/1000)*(up_Irr!AX22)),IF(AND(up_Irr!Y22&lt;&gt;".",up_Irr!AX22=".",up_Irr!BW22="."),up_dir!AZ22/((1/1000)*(up_Irr!Y22)),IF(AND(up_Irr!Y22=".",up_Irr!AX22=".",up_Irr!BW22="."),up_dir!AZ22*1000)))))))),".")</f>
        <v>6.5773651144152131E-4</v>
      </c>
      <c r="CA22" s="70">
        <f>IFERROR(IF(AND(up_Irr!Z22&lt;&gt;".",up_Irr!AY22&lt;&gt;".",up_Irr!BX22&lt;&gt;"."),up_dir!BA22/((1/1000)*(up_Irr!Z22+up_Irr!AY22+up_Irr!BX22)),IF(AND(up_Irr!Z22&lt;&gt;".",up_Irr!AY22&lt;&gt;".",up_Irr!BX22="."),up_dir!BA22/((1/1000)*(up_Irr!Z22+up_Irr!AY22)),IF(AND(up_Irr!Z22&lt;&gt;".",up_Irr!AY22=".",up_Irr!BX22&lt;&gt;"."),up_dir!BA22/((1/1000)*(up_Irr!Z22+up_Irr!BX22)),IF(AND(up_Irr!Z22=".",up_Irr!AY22&lt;&gt;".",up_Irr!BX22&lt;&gt;"."),up_dir!BA22/((1/1000)*(up_Irr!AY22+up_Irr!BX22)),IF(AND(up_Irr!Z22=".",up_Irr!AY22=".",up_Irr!BX22&lt;&gt;"."),up_dir!BA22/((1/1000)*(up_Irr!BX22)),IF(AND(up_Irr!Z22=".",up_Irr!AY22&lt;&gt;".",up_Irr!BX22="."),up_dir!BA22/((1/1000)*(up_Irr!AY22)),IF(AND(up_Irr!Z22&lt;&gt;".",up_Irr!AY22=".",up_Irr!BX22="."),up_dir!BA22/((1/1000)*(up_Irr!Z22)),IF(AND(up_Irr!Z22=".",up_Irr!AY22=".",up_Irr!BX22="."),up_dir!BA22*1000)))))))),".")</f>
        <v>6.5773651144152131E-4</v>
      </c>
      <c r="CB22" s="70">
        <f>IFERROR(IF(AND(up_Irr!AA22&lt;&gt;".",up_Irr!AZ22&lt;&gt;".",up_Irr!BY22&lt;&gt;"."),up_dir!BB22/((1/1000)*(up_Irr!AA22+up_Irr!AZ22+up_Irr!BY22)),IF(AND(up_Irr!AA22&lt;&gt;".",up_Irr!AZ22&lt;&gt;".",up_Irr!BY22="."),up_dir!BB22/((1/1000)*(up_Irr!AA22+up_Irr!AZ22)),IF(AND(up_Irr!AA22&lt;&gt;".",up_Irr!AZ22=".",up_Irr!BY22&lt;&gt;"."),up_dir!BB22/((1/1000)*(up_Irr!AA22+up_Irr!BY22)),IF(AND(up_Irr!AA22=".",up_Irr!AZ22&lt;&gt;".",up_Irr!BY22&lt;&gt;"."),up_dir!BB22/((1/1000)*(up_Irr!AZ22+up_Irr!BY22)),IF(AND(up_Irr!AA22=".",up_Irr!AZ22=".",up_Irr!BY22&lt;&gt;"."),up_dir!BB22/((1/1000)*(up_Irr!BY22)),IF(AND(up_Irr!AA22=".",up_Irr!AZ22&lt;&gt;".",up_Irr!BY22="."),up_dir!BB22/((1/1000)*(up_Irr!AZ22)),IF(AND(up_Irr!AA22&lt;&gt;".",up_Irr!AZ22=".",up_Irr!BY22="."),up_dir!BB22/((1/1000)*(up_Irr!AA22)),IF(AND(up_Irr!AA22=".",up_Irr!AZ22=".",up_Irr!BY22="."),up_dir!BB22*1000)))))))),".")</f>
        <v>6.5773651144152131E-4</v>
      </c>
      <c r="CC22" s="87">
        <f t="shared" si="3"/>
        <v>30407.313038114935</v>
      </c>
      <c r="CD22" s="87">
        <f>IFERROR(s_C*s_IFAP_far_adj*s_CF_apple*(1/1000)*(up_Irr!C22+up_Irr!AB22+up_Irr!BA22),".")</f>
        <v>7601.8282595287337</v>
      </c>
      <c r="CE22" s="87">
        <f>IFERROR(s_C*s_IFAS_far_adj*s_CF_asparagus*(1/1000)*(up_Irr!D22+up_Irr!AC22+up_Irr!BB22),".")</f>
        <v>7601.8282595287337</v>
      </c>
      <c r="CF22" s="87">
        <f>IFERROR(s_C*s_IFBT_far_adj*s_CF_beet*(1/1000)*(up_Irr!E22+up_Irr!AD22+up_Irr!BC22),".")</f>
        <v>7601.8282595287337</v>
      </c>
      <c r="CG22" s="87">
        <f>IFERROR(s_C*s_IFBE_far_adj*s_CF_berries*(1/1000)*(up_Irr!F22+up_Irr!AE22+up_Irr!BD22),".")</f>
        <v>7601.8282595287337</v>
      </c>
      <c r="CH22" s="87">
        <f>IFERROR(s_C*s_IFBR_far_adj*s_CF_broccoli*(1/1000)*(up_Irr!G22+up_Irr!AF22+up_Irr!BE22),".")</f>
        <v>7601.8282595287337</v>
      </c>
      <c r="CI22" s="87">
        <f>IFERROR(s_C*s_IFCB_far_adj*s_CF_cabbage*(1/1000)*(up_Irr!H22+up_Irr!AG22+up_Irr!BF22),".")</f>
        <v>7601.8282595287337</v>
      </c>
      <c r="CJ22" s="87">
        <f>IFERROR(s_C*s_IFCR_far_adj*s_CF_carrot*(1/1000)*(up_Irr!I22+up_Irr!AH22+up_Irr!BG22),".")</f>
        <v>7601.8282595287337</v>
      </c>
      <c r="CK22" s="87">
        <f>IFERROR(s_C*s_IFCI_far_adj*s_CF_citrus*(1/1000)*(up_Irr!J22+up_Irr!AI22+up_Irr!BH22),".")</f>
        <v>7601.8282595287337</v>
      </c>
      <c r="CL22" s="87">
        <f>IFERROR(s_C*s_IFCO_far_adj*s_CF_corn*(1/1000)*(up_Irr!K22+up_Irr!AJ22+up_Irr!BI22),".")</f>
        <v>7601.8282595287337</v>
      </c>
      <c r="CM22" s="87">
        <f>IFERROR(s_C*s_IFCU_far_adj*s_CF_cucumber*(1/1000)*(up_Irr!L22+up_Irr!AK22+up_Irr!BJ22),".")</f>
        <v>7601.8282595287337</v>
      </c>
      <c r="CN22" s="87">
        <f>IFERROR(s_C*s_IFLE_far_adj*s_CF_lettuce*(1/1000)*(up_Irr!M22+up_Irr!AL22+up_Irr!BK22),".")</f>
        <v>7601.8282595287337</v>
      </c>
      <c r="CO22" s="87">
        <f>IFERROR(s_C*s_IFLI_far_adj*s_CF_lima_bean*(1/1000)*(up_Irr!N22+up_Irr!AM22+up_Irr!BL22),".")</f>
        <v>7601.8282595287337</v>
      </c>
      <c r="CP22" s="87">
        <f>IFERROR(s_C*s_IFOK_far_adj*s_CF_okra*(1/1000)*(up_Irr!O22+up_Irr!AN22+up_Irr!BM22),".")</f>
        <v>7601.8282595287337</v>
      </c>
      <c r="CQ22" s="87">
        <f>IFERROR(s_C*s_IFON_far_adj*s_CF_onion*(1/1000)*(up_Irr!P22+up_Irr!AO22+up_Irr!BN22),".")</f>
        <v>7601.8282595287337</v>
      </c>
      <c r="CR22" s="87">
        <f>IFERROR(s_C*s_IFPC_far_adj*s_CF_peach*(1/1000)*(up_Irr!Q22+up_Irr!AP22+up_Irr!BO22),".")</f>
        <v>7601.8282595287337</v>
      </c>
      <c r="CS22" s="87">
        <f>IFERROR(s_C*s_IFPR_far_adj*s_CF_pear*(1/1000)*(up_Irr!R22+up_Irr!AQ22+up_Irr!BP22),".")</f>
        <v>7601.8282595287337</v>
      </c>
      <c r="CT22" s="87">
        <f>IFERROR(s_C*s_IFPE_far_adj*s_CF_peas*(1/1000)*(up_Irr!S22+up_Irr!AR22+up_Irr!BQ22),".")</f>
        <v>7601.8282595287337</v>
      </c>
      <c r="CU22" s="87">
        <f>IFERROR(s_C*s_IFPP_far_adj*s_CF_peppers*(1/1000)*(up_Irr!T22+up_Irr!AS22+up_Irr!BR22),".")</f>
        <v>7601.8282595287337</v>
      </c>
      <c r="CV22" s="87">
        <f>IFERROR(s_C*s_IFPT_far_adj*s_CF_potato*(1/1000)*(up_Irr!U22+up_Irr!AT22+up_Irr!BS22),".")</f>
        <v>7601.8282595287337</v>
      </c>
      <c r="CW22" s="87">
        <f>IFERROR(s_C*s_IFPU_far_adj*s_CF_pumpkin*(1/1000)*(up_Irr!V22+up_Irr!AU22+up_Irr!BT22),".")</f>
        <v>7601.8282595287337</v>
      </c>
      <c r="CX22" s="87">
        <f>IFERROR(s_C*s_IFSN_far_adj*s_CF_snap_bean*(1/1000)*(up_Irr!W22+up_Irr!AV22+up_Irr!BU22),".")</f>
        <v>7601.8282595287337</v>
      </c>
      <c r="CY22" s="87">
        <f>IFERROR(s_C*s_IFST_far_adj*s_CF_strawberry*(1/1000)*(up_Irr!X22+up_Irr!AW22+up_Irr!BV22),".")</f>
        <v>7601.8282595287337</v>
      </c>
      <c r="CZ22" s="87">
        <f>IFERROR(s_C*s_IFTO_far_adj*s_CF_tomato*(1/1000)*(up_Irr!Y22+up_Irr!AX22+up_Irr!BW22),".")</f>
        <v>7601.8282595287337</v>
      </c>
      <c r="DA22" s="87">
        <f>IFERROR(s_C*s_IFRI_far_adj*s_CF_rice*(1/1000)*(up_Irr!Z22+up_Irr!AY22+up_Irr!BX22),".")</f>
        <v>7601.8282595287337</v>
      </c>
      <c r="DB22" s="87">
        <f>IFERROR(s_C*s_IFCG_far_adj*s_CF_cereal*(1/1000)*(up_Irr!AA22+up_Irr!AZ22+up_Irr!BY22),".")</f>
        <v>7601.8282595287337</v>
      </c>
    </row>
    <row r="23" spans="1:106" x14ac:dyDescent="0.25">
      <c r="A23" s="88" t="s">
        <v>21</v>
      </c>
      <c r="B23" s="84" t="s">
        <v>335</v>
      </c>
      <c r="C23" s="15">
        <f t="shared" si="0"/>
        <v>1.6443412786038033E-4</v>
      </c>
      <c r="D23" s="70">
        <f>IFERROR(IF(AND(up_Irr!C23&lt;&gt;".",up_Irr!AB23&lt;&gt;".",up_Irr!BA23&lt;&gt;"."),up_dir!D23/((1/1000)*(up_Irr!C23+up_Irr!AB23+up_Irr!BA23)),IF(AND(up_Irr!C23&lt;&gt;".",up_Irr!AB23&lt;&gt;".",up_Irr!BA23="."),up_dir!D23/((1/1000)*(up_Irr!C23+up_Irr!AB23)),IF(AND(up_Irr!C23&lt;&gt;".",up_Irr!AB23=".",up_Irr!BA23&lt;&gt;"."),up_dir!D23/((1/1000)*(up_Irr!C23+up_Irr!BA23)),IF(AND(up_Irr!C23=".",up_Irr!AB23&lt;&gt;".",up_Irr!BA23&lt;&gt;"."),up_dir!D23/((1/1000)*(up_Irr!AB23+up_Irr!BA23)),IF(AND(up_Irr!C23=".",up_Irr!AB23=".",up_Irr!BA23&lt;&gt;"."),up_dir!D23/((1/1000)*(up_Irr!BA23)),IF(AND(up_Irr!C23=".",up_Irr!AB23&lt;&gt;".",up_Irr!BA23="."),up_dir!D23/((1/1000)*(up_Irr!AB23)),IF(AND(up_Irr!C23&lt;&gt;".",up_Irr!AB23=".",up_Irr!BA23="."),up_dir!D23/((1/1000)*(up_Irr!C23)),IF(AND(up_Irr!C23=".",up_Irr!AB23=".",up_Irr!BA23="."),up_dir!D23*1000)))))))),".")</f>
        <v>6.5773651144152131E-4</v>
      </c>
      <c r="E23" s="70">
        <f>IFERROR(IF(AND(up_Irr!D23&lt;&gt;".",up_Irr!AC23&lt;&gt;".",up_Irr!BB23&lt;&gt;"."),up_dir!E23/((1/1000)*(up_Irr!D23+up_Irr!AC23+up_Irr!BB23)),IF(AND(up_Irr!D23&lt;&gt;".",up_Irr!AC23&lt;&gt;".",up_Irr!BB23="."),up_dir!E23/((1/1000)*(up_Irr!D23+up_Irr!AC23)),IF(AND(up_Irr!D23&lt;&gt;".",up_Irr!AC23=".",up_Irr!BB23&lt;&gt;"."),up_dir!E23/((1/1000)*(up_Irr!D23+up_Irr!BB23)),IF(AND(up_Irr!D23=".",up_Irr!AC23&lt;&gt;".",up_Irr!BB23&lt;&gt;"."),up_dir!E23/((1/1000)*(up_Irr!AC23+up_Irr!BB23)),IF(AND(up_Irr!D23=".",up_Irr!AC23=".",up_Irr!BB23&lt;&gt;"."),up_dir!E23/((1/1000)*(up_Irr!BB23)),IF(AND(up_Irr!D23=".",up_Irr!AC23&lt;&gt;".",up_Irr!BB23="."),up_dir!E23/((1/1000)*(up_Irr!AC23)),IF(AND(up_Irr!D23&lt;&gt;".",up_Irr!AC23=".",up_Irr!BB23="."),up_dir!E23/((1/1000)*(up_Irr!D23)),IF(AND(up_Irr!D23=".",up_Irr!AC23=".",up_Irr!BB23="."),up_dir!E23*1000)))))))),".")</f>
        <v>6.5773651144152131E-4</v>
      </c>
      <c r="F23" s="70">
        <f>IFERROR(IF(AND(up_Irr!E23&lt;&gt;".",up_Irr!AD23&lt;&gt;".",up_Irr!BC23&lt;&gt;"."),up_dir!F23/((1/1000)*(up_Irr!E23+up_Irr!AD23+up_Irr!BC23)),IF(AND(up_Irr!E23&lt;&gt;".",up_Irr!AD23&lt;&gt;".",up_Irr!BC23="."),up_dir!F23/((1/1000)*(up_Irr!E23+up_Irr!AD23)),IF(AND(up_Irr!E23&lt;&gt;".",up_Irr!AD23=".",up_Irr!BC23&lt;&gt;"."),up_dir!F23/((1/1000)*(up_Irr!E23+up_Irr!BC23)),IF(AND(up_Irr!E23=".",up_Irr!AD23&lt;&gt;".",up_Irr!BC23&lt;&gt;"."),up_dir!F23/((1/1000)*(up_Irr!AD23+up_Irr!BC23)),IF(AND(up_Irr!E23=".",up_Irr!AD23=".",up_Irr!BC23&lt;&gt;"."),up_dir!F23/((1/1000)*(up_Irr!BC23)),IF(AND(up_Irr!E23=".",up_Irr!AD23&lt;&gt;".",up_Irr!BC23="."),up_dir!F23/((1/1000)*(up_Irr!AD23)),IF(AND(up_Irr!E23&lt;&gt;".",up_Irr!AD23=".",up_Irr!BC23="."),up_dir!F23/((1/1000)*(up_Irr!E23)),IF(AND(up_Irr!E23=".",up_Irr!AD23=".",up_Irr!BC23="."),up_dir!F23*1000)))))))),".")</f>
        <v>6.5773651144152131E-4</v>
      </c>
      <c r="G23" s="70">
        <f>IFERROR(IF(AND(up_Irr!F23&lt;&gt;".",up_Irr!AE23&lt;&gt;".",up_Irr!BD23&lt;&gt;"."),up_dir!G23/((1/1000)*(up_Irr!F23+up_Irr!AE23+up_Irr!BD23)),IF(AND(up_Irr!F23&lt;&gt;".",up_Irr!AE23&lt;&gt;".",up_Irr!BD23="."),up_dir!G23/((1/1000)*(up_Irr!F23+up_Irr!AE23)),IF(AND(up_Irr!F23&lt;&gt;".",up_Irr!AE23=".",up_Irr!BD23&lt;&gt;"."),up_dir!G23/((1/1000)*(up_Irr!F23+up_Irr!BD23)),IF(AND(up_Irr!F23=".",up_Irr!AE23&lt;&gt;".",up_Irr!BD23&lt;&gt;"."),up_dir!G23/((1/1000)*(up_Irr!AE23+up_Irr!BD23)),IF(AND(up_Irr!F23=".",up_Irr!AE23=".",up_Irr!BD23&lt;&gt;"."),up_dir!G23/((1/1000)*(up_Irr!BD23)),IF(AND(up_Irr!F23=".",up_Irr!AE23&lt;&gt;".",up_Irr!BD23="."),up_dir!G23/((1/1000)*(up_Irr!AE23)),IF(AND(up_Irr!F23&lt;&gt;".",up_Irr!AE23=".",up_Irr!BD23="."),up_dir!G23/((1/1000)*(up_Irr!F23)),IF(AND(up_Irr!F23=".",up_Irr!AE23=".",up_Irr!BD23="."),up_dir!G23*1000)))))))),".")</f>
        <v>6.5773651144152131E-4</v>
      </c>
      <c r="H23" s="70">
        <f>IFERROR(IF(AND(up_Irr!G23&lt;&gt;".",up_Irr!AF23&lt;&gt;".",up_Irr!BE23&lt;&gt;"."),up_dir!H23/((1/1000)*(up_Irr!G23+up_Irr!AF23+up_Irr!BE23)),IF(AND(up_Irr!G23&lt;&gt;".",up_Irr!AF23&lt;&gt;".",up_Irr!BE23="."),up_dir!H23/((1/1000)*(up_Irr!G23+up_Irr!AF23)),IF(AND(up_Irr!G23&lt;&gt;".",up_Irr!AF23=".",up_Irr!BE23&lt;&gt;"."),up_dir!H23/((1/1000)*(up_Irr!G23+up_Irr!BE23)),IF(AND(up_Irr!G23=".",up_Irr!AF23&lt;&gt;".",up_Irr!BE23&lt;&gt;"."),up_dir!H23/((1/1000)*(up_Irr!AF23+up_Irr!BE23)),IF(AND(up_Irr!G23=".",up_Irr!AF23=".",up_Irr!BE23&lt;&gt;"."),up_dir!H23/((1/1000)*(up_Irr!BE23)),IF(AND(up_Irr!G23=".",up_Irr!AF23&lt;&gt;".",up_Irr!BE23="."),up_dir!H23/((1/1000)*(up_Irr!AF23)),IF(AND(up_Irr!G23&lt;&gt;".",up_Irr!AF23=".",up_Irr!BE23="."),up_dir!H23/((1/1000)*(up_Irr!G23)),IF(AND(up_Irr!G23=".",up_Irr!AF23=".",up_Irr!BE23="."),up_dir!H23*1000)))))))),".")</f>
        <v>6.5773651144152131E-4</v>
      </c>
      <c r="I23" s="70">
        <f>IFERROR(IF(AND(up_Irr!H23&lt;&gt;".",up_Irr!AG23&lt;&gt;".",up_Irr!BF23&lt;&gt;"."),up_dir!I23/((1/1000)*(up_Irr!H23+up_Irr!AG23+up_Irr!BF23)),IF(AND(up_Irr!H23&lt;&gt;".",up_Irr!AG23&lt;&gt;".",up_Irr!BF23="."),up_dir!I23/((1/1000)*(up_Irr!H23+up_Irr!AG23)),IF(AND(up_Irr!H23&lt;&gt;".",up_Irr!AG23=".",up_Irr!BF23&lt;&gt;"."),up_dir!I23/((1/1000)*(up_Irr!H23+up_Irr!BF23)),IF(AND(up_Irr!H23=".",up_Irr!AG23&lt;&gt;".",up_Irr!BF23&lt;&gt;"."),up_dir!I23/((1/1000)*(up_Irr!AG23+up_Irr!BF23)),IF(AND(up_Irr!H23=".",up_Irr!AG23=".",up_Irr!BF23&lt;&gt;"."),up_dir!I23/((1/1000)*(up_Irr!BF23)),IF(AND(up_Irr!H23=".",up_Irr!AG23&lt;&gt;".",up_Irr!BF23="."),up_dir!I23/((1/1000)*(up_Irr!AG23)),IF(AND(up_Irr!H23&lt;&gt;".",up_Irr!AG23=".",up_Irr!BF23="."),up_dir!I23/((1/1000)*(up_Irr!H23)),IF(AND(up_Irr!H23=".",up_Irr!AG23=".",up_Irr!BF23="."),up_dir!I23*1000)))))))),".")</f>
        <v>6.5773651144152131E-4</v>
      </c>
      <c r="J23" s="70">
        <f>IFERROR(IF(AND(up_Irr!I23&lt;&gt;".",up_Irr!AH23&lt;&gt;".",up_Irr!BG23&lt;&gt;"."),up_dir!J23/((1/1000)*(up_Irr!I23+up_Irr!AH23+up_Irr!BG23)),IF(AND(up_Irr!I23&lt;&gt;".",up_Irr!AH23&lt;&gt;".",up_Irr!BG23="."),up_dir!J23/((1/1000)*(up_Irr!I23+up_Irr!AH23)),IF(AND(up_Irr!I23&lt;&gt;".",up_Irr!AH23=".",up_Irr!BG23&lt;&gt;"."),up_dir!J23/((1/1000)*(up_Irr!I23+up_Irr!BG23)),IF(AND(up_Irr!I23=".",up_Irr!AH23&lt;&gt;".",up_Irr!BG23&lt;&gt;"."),up_dir!J23/((1/1000)*(up_Irr!AH23+up_Irr!BG23)),IF(AND(up_Irr!I23=".",up_Irr!AH23=".",up_Irr!BG23&lt;&gt;"."),up_dir!J23/((1/1000)*(up_Irr!BG23)),IF(AND(up_Irr!I23=".",up_Irr!AH23&lt;&gt;".",up_Irr!BG23="."),up_dir!J23/((1/1000)*(up_Irr!AH23)),IF(AND(up_Irr!I23&lt;&gt;".",up_Irr!AH23=".",up_Irr!BG23="."),up_dir!J23/((1/1000)*(up_Irr!I23)),IF(AND(up_Irr!I23=".",up_Irr!AH23=".",up_Irr!BG23="."),up_dir!J23*1000)))))))),".")</f>
        <v>6.5773651144152131E-4</v>
      </c>
      <c r="K23" s="70">
        <f>IFERROR(IF(AND(up_Irr!J23&lt;&gt;".",up_Irr!AI23&lt;&gt;".",up_Irr!BH23&lt;&gt;"."),up_dir!K23/((1/1000)*(up_Irr!J23+up_Irr!AI23+up_Irr!BH23)),IF(AND(up_Irr!J23&lt;&gt;".",up_Irr!AI23&lt;&gt;".",up_Irr!BH23="."),up_dir!K23/((1/1000)*(up_Irr!J23+up_Irr!AI23)),IF(AND(up_Irr!J23&lt;&gt;".",up_Irr!AI23=".",up_Irr!BH23&lt;&gt;"."),up_dir!K23/((1/1000)*(up_Irr!J23+up_Irr!BH23)),IF(AND(up_Irr!J23=".",up_Irr!AI23&lt;&gt;".",up_Irr!BH23&lt;&gt;"."),up_dir!K23/((1/1000)*(up_Irr!AI23+up_Irr!BH23)),IF(AND(up_Irr!J23=".",up_Irr!AI23=".",up_Irr!BH23&lt;&gt;"."),up_dir!K23/((1/1000)*(up_Irr!BH23)),IF(AND(up_Irr!J23=".",up_Irr!AI23&lt;&gt;".",up_Irr!BH23="."),up_dir!K23/((1/1000)*(up_Irr!AI23)),IF(AND(up_Irr!J23&lt;&gt;".",up_Irr!AI23=".",up_Irr!BH23="."),up_dir!K23/((1/1000)*(up_Irr!J23)),IF(AND(up_Irr!J23=".",up_Irr!AI23=".",up_Irr!BH23="."),up_dir!K23*1000)))))))),".")</f>
        <v>6.5773651144152131E-4</v>
      </c>
      <c r="L23" s="70">
        <f>IFERROR(IF(AND(up_Irr!K23&lt;&gt;".",up_Irr!AJ23&lt;&gt;".",up_Irr!BI23&lt;&gt;"."),up_dir!L23/((1/1000)*(up_Irr!K23+up_Irr!AJ23+up_Irr!BI23)),IF(AND(up_Irr!K23&lt;&gt;".",up_Irr!AJ23&lt;&gt;".",up_Irr!BI23="."),up_dir!L23/((1/1000)*(up_Irr!K23+up_Irr!AJ23)),IF(AND(up_Irr!K23&lt;&gt;".",up_Irr!AJ23=".",up_Irr!BI23&lt;&gt;"."),up_dir!L23/((1/1000)*(up_Irr!K23+up_Irr!BI23)),IF(AND(up_Irr!K23=".",up_Irr!AJ23&lt;&gt;".",up_Irr!BI23&lt;&gt;"."),up_dir!L23/((1/1000)*(up_Irr!AJ23+up_Irr!BI23)),IF(AND(up_Irr!K23=".",up_Irr!AJ23=".",up_Irr!BI23&lt;&gt;"."),up_dir!L23/((1/1000)*(up_Irr!BI23)),IF(AND(up_Irr!K23=".",up_Irr!AJ23&lt;&gt;".",up_Irr!BI23="."),up_dir!L23/((1/1000)*(up_Irr!AJ23)),IF(AND(up_Irr!K23&lt;&gt;".",up_Irr!AJ23=".",up_Irr!BI23="."),up_dir!L23/((1/1000)*(up_Irr!K23)),IF(AND(up_Irr!K23=".",up_Irr!AJ23=".",up_Irr!BI23="."),up_dir!L23*1000)))))))),".")</f>
        <v>6.5773651144152131E-4</v>
      </c>
      <c r="M23" s="70">
        <f>IFERROR(IF(AND(up_Irr!L23&lt;&gt;".",up_Irr!AK23&lt;&gt;".",up_Irr!BJ23&lt;&gt;"."),up_dir!M23/((1/1000)*(up_Irr!L23+up_Irr!AK23+up_Irr!BJ23)),IF(AND(up_Irr!L23&lt;&gt;".",up_Irr!AK23&lt;&gt;".",up_Irr!BJ23="."),up_dir!M23/((1/1000)*(up_Irr!L23+up_Irr!AK23)),IF(AND(up_Irr!L23&lt;&gt;".",up_Irr!AK23=".",up_Irr!BJ23&lt;&gt;"."),up_dir!M23/((1/1000)*(up_Irr!L23+up_Irr!BJ23)),IF(AND(up_Irr!L23=".",up_Irr!AK23&lt;&gt;".",up_Irr!BJ23&lt;&gt;"."),up_dir!M23/((1/1000)*(up_Irr!AK23+up_Irr!BJ23)),IF(AND(up_Irr!L23=".",up_Irr!AK23=".",up_Irr!BJ23&lt;&gt;"."),up_dir!M23/((1/1000)*(up_Irr!BJ23)),IF(AND(up_Irr!L23=".",up_Irr!AK23&lt;&gt;".",up_Irr!BJ23="."),up_dir!M23/((1/1000)*(up_Irr!AK23)),IF(AND(up_Irr!L23&lt;&gt;".",up_Irr!AK23=".",up_Irr!BJ23="."),up_dir!M23/((1/1000)*(up_Irr!L23)),IF(AND(up_Irr!L23=".",up_Irr!AK23=".",up_Irr!BJ23="."),up_dir!M23*1000)))))))),".")</f>
        <v>6.5773651144152131E-4</v>
      </c>
      <c r="N23" s="70">
        <f>IFERROR(IF(AND(up_Irr!M23&lt;&gt;".",up_Irr!AL23&lt;&gt;".",up_Irr!BK23&lt;&gt;"."),up_dir!N23/((1/1000)*(up_Irr!M23+up_Irr!AL23+up_Irr!BK23)),IF(AND(up_Irr!M23&lt;&gt;".",up_Irr!AL23&lt;&gt;".",up_Irr!BK23="."),up_dir!N23/((1/1000)*(up_Irr!M23+up_Irr!AL23)),IF(AND(up_Irr!M23&lt;&gt;".",up_Irr!AL23=".",up_Irr!BK23&lt;&gt;"."),up_dir!N23/((1/1000)*(up_Irr!M23+up_Irr!BK23)),IF(AND(up_Irr!M23=".",up_Irr!AL23&lt;&gt;".",up_Irr!BK23&lt;&gt;"."),up_dir!N23/((1/1000)*(up_Irr!AL23+up_Irr!BK23)),IF(AND(up_Irr!M23=".",up_Irr!AL23=".",up_Irr!BK23&lt;&gt;"."),up_dir!N23/((1/1000)*(up_Irr!BK23)),IF(AND(up_Irr!M23=".",up_Irr!AL23&lt;&gt;".",up_Irr!BK23="."),up_dir!N23/((1/1000)*(up_Irr!AL23)),IF(AND(up_Irr!M23&lt;&gt;".",up_Irr!AL23=".",up_Irr!BK23="."),up_dir!N23/((1/1000)*(up_Irr!M23)),IF(AND(up_Irr!M23=".",up_Irr!AL23=".",up_Irr!BK23="."),up_dir!N23*1000)))))))),".")</f>
        <v>6.5773651144152131E-4</v>
      </c>
      <c r="O23" s="70">
        <f>IFERROR(IF(AND(up_Irr!N23&lt;&gt;".",up_Irr!AM23&lt;&gt;".",up_Irr!BL23&lt;&gt;"."),up_dir!O23/((1/1000)*(up_Irr!N23+up_Irr!AM23+up_Irr!BL23)),IF(AND(up_Irr!N23&lt;&gt;".",up_Irr!AM23&lt;&gt;".",up_Irr!BL23="."),up_dir!O23/((1/1000)*(up_Irr!N23+up_Irr!AM23)),IF(AND(up_Irr!N23&lt;&gt;".",up_Irr!AM23=".",up_Irr!BL23&lt;&gt;"."),up_dir!O23/((1/1000)*(up_Irr!N23+up_Irr!BL23)),IF(AND(up_Irr!N23=".",up_Irr!AM23&lt;&gt;".",up_Irr!BL23&lt;&gt;"."),up_dir!O23/((1/1000)*(up_Irr!AM23+up_Irr!BL23)),IF(AND(up_Irr!N23=".",up_Irr!AM23=".",up_Irr!BL23&lt;&gt;"."),up_dir!O23/((1/1000)*(up_Irr!BL23)),IF(AND(up_Irr!N23=".",up_Irr!AM23&lt;&gt;".",up_Irr!BL23="."),up_dir!O23/((1/1000)*(up_Irr!AM23)),IF(AND(up_Irr!N23&lt;&gt;".",up_Irr!AM23=".",up_Irr!BL23="."),up_dir!O23/((1/1000)*(up_Irr!N23)),IF(AND(up_Irr!N23=".",up_Irr!AM23=".",up_Irr!BL23="."),up_dir!O23*1000)))))))),".")</f>
        <v>6.5773651144152131E-4</v>
      </c>
      <c r="P23" s="70">
        <f>IFERROR(IF(AND(up_Irr!O23&lt;&gt;".",up_Irr!AN23&lt;&gt;".",up_Irr!BM23&lt;&gt;"."),up_dir!P23/((1/1000)*(up_Irr!O23+up_Irr!AN23+up_Irr!BM23)),IF(AND(up_Irr!O23&lt;&gt;".",up_Irr!AN23&lt;&gt;".",up_Irr!BM23="."),up_dir!P23/((1/1000)*(up_Irr!O23+up_Irr!AN23)),IF(AND(up_Irr!O23&lt;&gt;".",up_Irr!AN23=".",up_Irr!BM23&lt;&gt;"."),up_dir!P23/((1/1000)*(up_Irr!O23+up_Irr!BM23)),IF(AND(up_Irr!O23=".",up_Irr!AN23&lt;&gt;".",up_Irr!BM23&lt;&gt;"."),up_dir!P23/((1/1000)*(up_Irr!AN23+up_Irr!BM23)),IF(AND(up_Irr!O23=".",up_Irr!AN23=".",up_Irr!BM23&lt;&gt;"."),up_dir!P23/((1/1000)*(up_Irr!BM23)),IF(AND(up_Irr!O23=".",up_Irr!AN23&lt;&gt;".",up_Irr!BM23="."),up_dir!P23/((1/1000)*(up_Irr!AN23)),IF(AND(up_Irr!O23&lt;&gt;".",up_Irr!AN23=".",up_Irr!BM23="."),up_dir!P23/((1/1000)*(up_Irr!O23)),IF(AND(up_Irr!O23=".",up_Irr!AN23=".",up_Irr!BM23="."),up_dir!P23*1000)))))))),".")</f>
        <v>6.5773651144152131E-4</v>
      </c>
      <c r="Q23" s="70">
        <f>IFERROR(IF(AND(up_Irr!P23&lt;&gt;".",up_Irr!AO23&lt;&gt;".",up_Irr!BN23&lt;&gt;"."),up_dir!Q23/((1/1000)*(up_Irr!P23+up_Irr!AO23+up_Irr!BN23)),IF(AND(up_Irr!P23&lt;&gt;".",up_Irr!AO23&lt;&gt;".",up_Irr!BN23="."),up_dir!Q23/((1/1000)*(up_Irr!P23+up_Irr!AO23)),IF(AND(up_Irr!P23&lt;&gt;".",up_Irr!AO23=".",up_Irr!BN23&lt;&gt;"."),up_dir!Q23/((1/1000)*(up_Irr!P23+up_Irr!BN23)),IF(AND(up_Irr!P23=".",up_Irr!AO23&lt;&gt;".",up_Irr!BN23&lt;&gt;"."),up_dir!Q23/((1/1000)*(up_Irr!AO23+up_Irr!BN23)),IF(AND(up_Irr!P23=".",up_Irr!AO23=".",up_Irr!BN23&lt;&gt;"."),up_dir!Q23/((1/1000)*(up_Irr!BN23)),IF(AND(up_Irr!P23=".",up_Irr!AO23&lt;&gt;".",up_Irr!BN23="."),up_dir!Q23/((1/1000)*(up_Irr!AO23)),IF(AND(up_Irr!P23&lt;&gt;".",up_Irr!AO23=".",up_Irr!BN23="."),up_dir!Q23/((1/1000)*(up_Irr!P23)),IF(AND(up_Irr!P23=".",up_Irr!AO23=".",up_Irr!BN23="."),up_dir!Q23*1000)))))))),".")</f>
        <v>6.5773651144152131E-4</v>
      </c>
      <c r="R23" s="70">
        <f>IFERROR(IF(AND(up_Irr!Q23&lt;&gt;".",up_Irr!AP23&lt;&gt;".",up_Irr!BO23&lt;&gt;"."),up_dir!R23/((1/1000)*(up_Irr!Q23+up_Irr!AP23+up_Irr!BO23)),IF(AND(up_Irr!Q23&lt;&gt;".",up_Irr!AP23&lt;&gt;".",up_Irr!BO23="."),up_dir!R23/((1/1000)*(up_Irr!Q23+up_Irr!AP23)),IF(AND(up_Irr!Q23&lt;&gt;".",up_Irr!AP23=".",up_Irr!BO23&lt;&gt;"."),up_dir!R23/((1/1000)*(up_Irr!Q23+up_Irr!BO23)),IF(AND(up_Irr!Q23=".",up_Irr!AP23&lt;&gt;".",up_Irr!BO23&lt;&gt;"."),up_dir!R23/((1/1000)*(up_Irr!AP23+up_Irr!BO23)),IF(AND(up_Irr!Q23=".",up_Irr!AP23=".",up_Irr!BO23&lt;&gt;"."),up_dir!R23/((1/1000)*(up_Irr!BO23)),IF(AND(up_Irr!Q23=".",up_Irr!AP23&lt;&gt;".",up_Irr!BO23="."),up_dir!R23/((1/1000)*(up_Irr!AP23)),IF(AND(up_Irr!Q23&lt;&gt;".",up_Irr!AP23=".",up_Irr!BO23="."),up_dir!R23/((1/1000)*(up_Irr!Q23)),IF(AND(up_Irr!Q23=".",up_Irr!AP23=".",up_Irr!BO23="."),up_dir!R23*1000)))))))),".")</f>
        <v>6.5773651144152131E-4</v>
      </c>
      <c r="S23" s="70">
        <f>IFERROR(IF(AND(up_Irr!R23&lt;&gt;".",up_Irr!AQ23&lt;&gt;".",up_Irr!BP23&lt;&gt;"."),up_dir!S23/((1/1000)*(up_Irr!R23+up_Irr!AQ23+up_Irr!BP23)),IF(AND(up_Irr!R23&lt;&gt;".",up_Irr!AQ23&lt;&gt;".",up_Irr!BP23="."),up_dir!S23/((1/1000)*(up_Irr!R23+up_Irr!AQ23)),IF(AND(up_Irr!R23&lt;&gt;".",up_Irr!AQ23=".",up_Irr!BP23&lt;&gt;"."),up_dir!S23/((1/1000)*(up_Irr!R23+up_Irr!BP23)),IF(AND(up_Irr!R23=".",up_Irr!AQ23&lt;&gt;".",up_Irr!BP23&lt;&gt;"."),up_dir!S23/((1/1000)*(up_Irr!AQ23+up_Irr!BP23)),IF(AND(up_Irr!R23=".",up_Irr!AQ23=".",up_Irr!BP23&lt;&gt;"."),up_dir!S23/((1/1000)*(up_Irr!BP23)),IF(AND(up_Irr!R23=".",up_Irr!AQ23&lt;&gt;".",up_Irr!BP23="."),up_dir!S23/((1/1000)*(up_Irr!AQ23)),IF(AND(up_Irr!R23&lt;&gt;".",up_Irr!AQ23=".",up_Irr!BP23="."),up_dir!S23/((1/1000)*(up_Irr!R23)),IF(AND(up_Irr!R23=".",up_Irr!AQ23=".",up_Irr!BP23="."),up_dir!S23*1000)))))))),".")</f>
        <v>6.5773651144152131E-4</v>
      </c>
      <c r="T23" s="70">
        <f>IFERROR(IF(AND(up_Irr!S23&lt;&gt;".",up_Irr!AR23&lt;&gt;".",up_Irr!BQ23&lt;&gt;"."),up_dir!T23/((1/1000)*(up_Irr!S23+up_Irr!AR23+up_Irr!BQ23)),IF(AND(up_Irr!S23&lt;&gt;".",up_Irr!AR23&lt;&gt;".",up_Irr!BQ23="."),up_dir!T23/((1/1000)*(up_Irr!S23+up_Irr!AR23)),IF(AND(up_Irr!S23&lt;&gt;".",up_Irr!AR23=".",up_Irr!BQ23&lt;&gt;"."),up_dir!T23/((1/1000)*(up_Irr!S23+up_Irr!BQ23)),IF(AND(up_Irr!S23=".",up_Irr!AR23&lt;&gt;".",up_Irr!BQ23&lt;&gt;"."),up_dir!T23/((1/1000)*(up_Irr!AR23+up_Irr!BQ23)),IF(AND(up_Irr!S23=".",up_Irr!AR23=".",up_Irr!BQ23&lt;&gt;"."),up_dir!T23/((1/1000)*(up_Irr!BQ23)),IF(AND(up_Irr!S23=".",up_Irr!AR23&lt;&gt;".",up_Irr!BQ23="."),up_dir!T23/((1/1000)*(up_Irr!AR23)),IF(AND(up_Irr!S23&lt;&gt;".",up_Irr!AR23=".",up_Irr!BQ23="."),up_dir!T23/((1/1000)*(up_Irr!S23)),IF(AND(up_Irr!S23=".",up_Irr!AR23=".",up_Irr!BQ23="."),up_dir!T23*1000)))))))),".")</f>
        <v>6.5773651144152131E-4</v>
      </c>
      <c r="U23" s="70">
        <f>IFERROR(IF(AND(up_Irr!T23&lt;&gt;".",up_Irr!AS23&lt;&gt;".",up_Irr!BR23&lt;&gt;"."),up_dir!U23/((1/1000)*(up_Irr!T23+up_Irr!AS23+up_Irr!BR23)),IF(AND(up_Irr!T23&lt;&gt;".",up_Irr!AS23&lt;&gt;".",up_Irr!BR23="."),up_dir!U23/((1/1000)*(up_Irr!T23+up_Irr!AS23)),IF(AND(up_Irr!T23&lt;&gt;".",up_Irr!AS23=".",up_Irr!BR23&lt;&gt;"."),up_dir!U23/((1/1000)*(up_Irr!T23+up_Irr!BR23)),IF(AND(up_Irr!T23=".",up_Irr!AS23&lt;&gt;".",up_Irr!BR23&lt;&gt;"."),up_dir!U23/((1/1000)*(up_Irr!AS23+up_Irr!BR23)),IF(AND(up_Irr!T23=".",up_Irr!AS23=".",up_Irr!BR23&lt;&gt;"."),up_dir!U23/((1/1000)*(up_Irr!BR23)),IF(AND(up_Irr!T23=".",up_Irr!AS23&lt;&gt;".",up_Irr!BR23="."),up_dir!U23/((1/1000)*(up_Irr!AS23)),IF(AND(up_Irr!T23&lt;&gt;".",up_Irr!AS23=".",up_Irr!BR23="."),up_dir!U23/((1/1000)*(up_Irr!T23)),IF(AND(up_Irr!T23=".",up_Irr!AS23=".",up_Irr!BR23="."),up_dir!U23*1000)))))))),".")</f>
        <v>6.5773651144152131E-4</v>
      </c>
      <c r="V23" s="70">
        <f>IFERROR(IF(AND(up_Irr!U23&lt;&gt;".",up_Irr!AT23&lt;&gt;".",up_Irr!BS23&lt;&gt;"."),up_dir!V23/((1/1000)*(up_Irr!U23+up_Irr!AT23+up_Irr!BS23)),IF(AND(up_Irr!U23&lt;&gt;".",up_Irr!AT23&lt;&gt;".",up_Irr!BS23="."),up_dir!V23/((1/1000)*(up_Irr!U23+up_Irr!AT23)),IF(AND(up_Irr!U23&lt;&gt;".",up_Irr!AT23=".",up_Irr!BS23&lt;&gt;"."),up_dir!V23/((1/1000)*(up_Irr!U23+up_Irr!BS23)),IF(AND(up_Irr!U23=".",up_Irr!AT23&lt;&gt;".",up_Irr!BS23&lt;&gt;"."),up_dir!V23/((1/1000)*(up_Irr!AT23+up_Irr!BS23)),IF(AND(up_Irr!U23=".",up_Irr!AT23=".",up_Irr!BS23&lt;&gt;"."),up_dir!V23/((1/1000)*(up_Irr!BS23)),IF(AND(up_Irr!U23=".",up_Irr!AT23&lt;&gt;".",up_Irr!BS23="."),up_dir!V23/((1/1000)*(up_Irr!AT23)),IF(AND(up_Irr!U23&lt;&gt;".",up_Irr!AT23=".",up_Irr!BS23="."),up_dir!V23/((1/1000)*(up_Irr!U23)),IF(AND(up_Irr!U23=".",up_Irr!AT23=".",up_Irr!BS23="."),up_dir!V23*1000)))))))),".")</f>
        <v>6.5773651144152131E-4</v>
      </c>
      <c r="W23" s="70">
        <f>IFERROR(IF(AND(up_Irr!V23&lt;&gt;".",up_Irr!AU23&lt;&gt;".",up_Irr!BT23&lt;&gt;"."),up_dir!W23/((1/1000)*(up_Irr!V23+up_Irr!AU23+up_Irr!BT23)),IF(AND(up_Irr!V23&lt;&gt;".",up_Irr!AU23&lt;&gt;".",up_Irr!BT23="."),up_dir!W23/((1/1000)*(up_Irr!V23+up_Irr!AU23)),IF(AND(up_Irr!V23&lt;&gt;".",up_Irr!AU23=".",up_Irr!BT23&lt;&gt;"."),up_dir!W23/((1/1000)*(up_Irr!V23+up_Irr!BT23)),IF(AND(up_Irr!V23=".",up_Irr!AU23&lt;&gt;".",up_Irr!BT23&lt;&gt;"."),up_dir!W23/((1/1000)*(up_Irr!AU23+up_Irr!BT23)),IF(AND(up_Irr!V23=".",up_Irr!AU23=".",up_Irr!BT23&lt;&gt;"."),up_dir!W23/((1/1000)*(up_Irr!BT23)),IF(AND(up_Irr!V23=".",up_Irr!AU23&lt;&gt;".",up_Irr!BT23="."),up_dir!W23/((1/1000)*(up_Irr!AU23)),IF(AND(up_Irr!V23&lt;&gt;".",up_Irr!AU23=".",up_Irr!BT23="."),up_dir!W23/((1/1000)*(up_Irr!V23)),IF(AND(up_Irr!V23=".",up_Irr!AU23=".",up_Irr!BT23="."),up_dir!W23*1000)))))))),".")</f>
        <v>6.5773651144152131E-4</v>
      </c>
      <c r="X23" s="70">
        <f>IFERROR(IF(AND(up_Irr!W23&lt;&gt;".",up_Irr!AV23&lt;&gt;".",up_Irr!BU23&lt;&gt;"."),up_dir!X23/((1/1000)*(up_Irr!W23+up_Irr!AV23+up_Irr!BU23)),IF(AND(up_Irr!W23&lt;&gt;".",up_Irr!AV23&lt;&gt;".",up_Irr!BU23="."),up_dir!X23/((1/1000)*(up_Irr!W23+up_Irr!AV23)),IF(AND(up_Irr!W23&lt;&gt;".",up_Irr!AV23=".",up_Irr!BU23&lt;&gt;"."),up_dir!X23/((1/1000)*(up_Irr!W23+up_Irr!BU23)),IF(AND(up_Irr!W23=".",up_Irr!AV23&lt;&gt;".",up_Irr!BU23&lt;&gt;"."),up_dir!X23/((1/1000)*(up_Irr!AV23+up_Irr!BU23)),IF(AND(up_Irr!W23=".",up_Irr!AV23=".",up_Irr!BU23&lt;&gt;"."),up_dir!X23/((1/1000)*(up_Irr!BU23)),IF(AND(up_Irr!W23=".",up_Irr!AV23&lt;&gt;".",up_Irr!BU23="."),up_dir!X23/((1/1000)*(up_Irr!AV23)),IF(AND(up_Irr!W23&lt;&gt;".",up_Irr!AV23=".",up_Irr!BU23="."),up_dir!X23/((1/1000)*(up_Irr!W23)),IF(AND(up_Irr!W23=".",up_Irr!AV23=".",up_Irr!BU23="."),up_dir!X23*1000)))))))),".")</f>
        <v>6.5773651144152131E-4</v>
      </c>
      <c r="Y23" s="70">
        <f>IFERROR(IF(AND(up_Irr!X23&lt;&gt;".",up_Irr!AW23&lt;&gt;".",up_Irr!BV23&lt;&gt;"."),up_dir!Y23/((1/1000)*(up_Irr!X23+up_Irr!AW23+up_Irr!BV23)),IF(AND(up_Irr!X23&lt;&gt;".",up_Irr!AW23&lt;&gt;".",up_Irr!BV23="."),up_dir!Y23/((1/1000)*(up_Irr!X23+up_Irr!AW23)),IF(AND(up_Irr!X23&lt;&gt;".",up_Irr!AW23=".",up_Irr!BV23&lt;&gt;"."),up_dir!Y23/((1/1000)*(up_Irr!X23+up_Irr!BV23)),IF(AND(up_Irr!X23=".",up_Irr!AW23&lt;&gt;".",up_Irr!BV23&lt;&gt;"."),up_dir!Y23/((1/1000)*(up_Irr!AW23+up_Irr!BV23)),IF(AND(up_Irr!X23=".",up_Irr!AW23=".",up_Irr!BV23&lt;&gt;"."),up_dir!Y23/((1/1000)*(up_Irr!BV23)),IF(AND(up_Irr!X23=".",up_Irr!AW23&lt;&gt;".",up_Irr!BV23="."),up_dir!Y23/((1/1000)*(up_Irr!AW23)),IF(AND(up_Irr!X23&lt;&gt;".",up_Irr!AW23=".",up_Irr!BV23="."),up_dir!Y23/((1/1000)*(up_Irr!X23)),IF(AND(up_Irr!X23=".",up_Irr!AW23=".",up_Irr!BV23="."),up_dir!Y23*1000)))))))),".")</f>
        <v>6.5773651144152131E-4</v>
      </c>
      <c r="Z23" s="70">
        <f>IFERROR(IF(AND(up_Irr!Y23&lt;&gt;".",up_Irr!AX23&lt;&gt;".",up_Irr!BW23&lt;&gt;"."),up_dir!Z23/((1/1000)*(up_Irr!Y23+up_Irr!AX23+up_Irr!BW23)),IF(AND(up_Irr!Y23&lt;&gt;".",up_Irr!AX23&lt;&gt;".",up_Irr!BW23="."),up_dir!Z23/((1/1000)*(up_Irr!Y23+up_Irr!AX23)),IF(AND(up_Irr!Y23&lt;&gt;".",up_Irr!AX23=".",up_Irr!BW23&lt;&gt;"."),up_dir!Z23/((1/1000)*(up_Irr!Y23+up_Irr!BW23)),IF(AND(up_Irr!Y23=".",up_Irr!AX23&lt;&gt;".",up_Irr!BW23&lt;&gt;"."),up_dir!Z23/((1/1000)*(up_Irr!AX23+up_Irr!BW23)),IF(AND(up_Irr!Y23=".",up_Irr!AX23=".",up_Irr!BW23&lt;&gt;"."),up_dir!Z23/((1/1000)*(up_Irr!BW23)),IF(AND(up_Irr!Y23=".",up_Irr!AX23&lt;&gt;".",up_Irr!BW23="."),up_dir!Z23/((1/1000)*(up_Irr!AX23)),IF(AND(up_Irr!Y23&lt;&gt;".",up_Irr!AX23=".",up_Irr!BW23="."),up_dir!Z23/((1/1000)*(up_Irr!Y23)),IF(AND(up_Irr!Y23=".",up_Irr!AX23=".",up_Irr!BW23="."),up_dir!Z23*1000)))))))),".")</f>
        <v>6.5773651144152131E-4</v>
      </c>
      <c r="AA23" s="70">
        <f>IFERROR(IF(AND(up_Irr!Z23&lt;&gt;".",up_Irr!AY23&lt;&gt;".",up_Irr!BX23&lt;&gt;"."),up_dir!AA23/((1/1000)*(up_Irr!Z23+up_Irr!AY23+up_Irr!BX23)),IF(AND(up_Irr!Z23&lt;&gt;".",up_Irr!AY23&lt;&gt;".",up_Irr!BX23="."),up_dir!AA23/((1/1000)*(up_Irr!Z23+up_Irr!AY23)),IF(AND(up_Irr!Z23&lt;&gt;".",up_Irr!AY23=".",up_Irr!BX23&lt;&gt;"."),up_dir!AA23/((1/1000)*(up_Irr!Z23+up_Irr!BX23)),IF(AND(up_Irr!Z23=".",up_Irr!AY23&lt;&gt;".",up_Irr!BX23&lt;&gt;"."),up_dir!AA23/((1/1000)*(up_Irr!AY23+up_Irr!BX23)),IF(AND(up_Irr!Z23=".",up_Irr!AY23=".",up_Irr!BX23&lt;&gt;"."),up_dir!AA23/((1/1000)*(up_Irr!BX23)),IF(AND(up_Irr!Z23=".",up_Irr!AY23&lt;&gt;".",up_Irr!BX23="."),up_dir!AA23/((1/1000)*(up_Irr!AY23)),IF(AND(up_Irr!Z23&lt;&gt;".",up_Irr!AY23=".",up_Irr!BX23="."),up_dir!AA23/((1/1000)*(up_Irr!Z23)),IF(AND(up_Irr!Z23=".",up_Irr!AY23=".",up_Irr!BX23="."),up_dir!AA23*1000)))))))),".")</f>
        <v>6.5773651144152131E-4</v>
      </c>
      <c r="AB23" s="70">
        <f>IFERROR(IF(AND(up_Irr!AA23&lt;&gt;".",up_Irr!AZ23&lt;&gt;".",up_Irr!BY23&lt;&gt;"."),up_dir!AB23/((1/1000)*(up_Irr!AA23+up_Irr!AZ23+up_Irr!BY23)),IF(AND(up_Irr!AA23&lt;&gt;".",up_Irr!AZ23&lt;&gt;".",up_Irr!BY23="."),up_dir!AB23/((1/1000)*(up_Irr!AA23+up_Irr!AZ23)),IF(AND(up_Irr!AA23&lt;&gt;".",up_Irr!AZ23=".",up_Irr!BY23&lt;&gt;"."),up_dir!AB23/((1/1000)*(up_Irr!AA23+up_Irr!BY23)),IF(AND(up_Irr!AA23=".",up_Irr!AZ23&lt;&gt;".",up_Irr!BY23&lt;&gt;"."),up_dir!AB23/((1/1000)*(up_Irr!AZ23+up_Irr!BY23)),IF(AND(up_Irr!AA23=".",up_Irr!AZ23=".",up_Irr!BY23&lt;&gt;"."),up_dir!AB23/((1/1000)*(up_Irr!BY23)),IF(AND(up_Irr!AA23=".",up_Irr!AZ23&lt;&gt;".",up_Irr!BY23="."),up_dir!AB23/((1/1000)*(up_Irr!AZ23)),IF(AND(up_Irr!AA23&lt;&gt;".",up_Irr!AZ23=".",up_Irr!BY23="."),up_dir!AB23/((1/1000)*(up_Irr!AA23)),IF(AND(up_Irr!AA23=".",up_Irr!AZ23=".",up_Irr!BY23="."),up_dir!AB23*1000)))))))),".")</f>
        <v>6.5773651144152131E-4</v>
      </c>
      <c r="AC23" s="87">
        <f t="shared" si="1"/>
        <v>30407.313038114935</v>
      </c>
      <c r="AD23" s="87">
        <f>IFERROR(s_C*s_IFAP_res_adj*s_CF_apple*0.001*(up_Irr!C23+up_Irr!AB23+up_Irr!BA23),".")</f>
        <v>7601.8282595287337</v>
      </c>
      <c r="AE23" s="87">
        <f>IFERROR(s_C*s_IFAS_res_adj*s_CF_asparagus*0.001*(up_Irr!D23+up_Irr!AC23+up_Irr!BB23),".")</f>
        <v>7601.8282595287337</v>
      </c>
      <c r="AF23" s="87">
        <f>IFERROR(s_C*s_IFBT_res_adj*s_CF_beet*0.001*(up_Irr!E23+up_Irr!AD23+up_Irr!BC23),".")</f>
        <v>7601.8282595287337</v>
      </c>
      <c r="AG23" s="87">
        <f>IFERROR(s_C*s_IFBE_res_adj*s_CF_berries*0.001*(up_Irr!F23+up_Irr!AE23+up_Irr!BD23),".")</f>
        <v>7601.8282595287337</v>
      </c>
      <c r="AH23" s="87">
        <f>IFERROR(s_C*s_IFBR_res_adj*s_CF_broccoli*0.001*(up_Irr!G23+up_Irr!AF23+up_Irr!BE23),".")</f>
        <v>7601.8282595287337</v>
      </c>
      <c r="AI23" s="87">
        <f>IFERROR(s_C*s_IFCB_res_adj*s_CF_cabbage*0.001*(up_Irr!H23+up_Irr!AG23+up_Irr!BF23),".")</f>
        <v>7601.8282595287337</v>
      </c>
      <c r="AJ23" s="87">
        <f>IFERROR(s_C*s_IFCR_res_adj*s_CF_carrot*0.001*(up_Irr!I23+up_Irr!AH23+up_Irr!BG23),".")</f>
        <v>7601.8282595287337</v>
      </c>
      <c r="AK23" s="87">
        <f>IFERROR(s_C*s_IFCI_res_adj*s_CF_citrus*0.001*(up_Irr!J23+up_Irr!AI23+up_Irr!BH23),".")</f>
        <v>7601.8282595287337</v>
      </c>
      <c r="AL23" s="87">
        <f>IFERROR(s_C*s_IFCO_res_adj*s_CF_corn*0.001*(up_Irr!K23+up_Irr!AJ23+up_Irr!BI23),".")</f>
        <v>7601.8282595287337</v>
      </c>
      <c r="AM23" s="87">
        <f>IFERROR(s_C*s_IFCU_res_adj*s_CF_cucumber*0.001*(up_Irr!L23+up_Irr!AK23+up_Irr!BJ23),".")</f>
        <v>7601.8282595287337</v>
      </c>
      <c r="AN23" s="87">
        <f>IFERROR(s_C*s_IFLE_res_adj*s_CF_lettuce*0.001*(up_Irr!M23+up_Irr!AL23+up_Irr!BK23),".")</f>
        <v>7601.8282595287337</v>
      </c>
      <c r="AO23" s="87">
        <f>IFERROR(s_C*s_IFLI_res_adj*s_CF_lima_bean*0.001*(up_Irr!N23+up_Irr!AM23+up_Irr!BL23),".")</f>
        <v>7601.8282595287337</v>
      </c>
      <c r="AP23" s="87">
        <f>IFERROR(s_C*s_IFOK_res_adj*s_CF_okra*0.001*(up_Irr!O23+up_Irr!AN23+up_Irr!BM23),".")</f>
        <v>7601.8282595287337</v>
      </c>
      <c r="AQ23" s="87">
        <f>IFERROR(s_C*s_IFON_res_adj*s_CF_onion*0.001*(up_Irr!P23+up_Irr!AO23+up_Irr!BN23),".")</f>
        <v>7601.8282595287337</v>
      </c>
      <c r="AR23" s="87">
        <f>IFERROR(s_C*s_IFPC_res_adj*s_CF_peach*0.001*(up_Irr!Q23+up_Irr!AP23+up_Irr!BO23),".")</f>
        <v>7601.8282595287337</v>
      </c>
      <c r="AS23" s="87">
        <f>IFERROR(s_C*s_IFPR_res_adj*s_CF_pear*0.001*(up_Irr!R23+up_Irr!AQ23+up_Irr!BP23),".")</f>
        <v>7601.8282595287337</v>
      </c>
      <c r="AT23" s="87">
        <f>IFERROR(s_C*s_IFPE_res_adj*s_CF_peas*0.001*(up_Irr!S23+up_Irr!AR23+up_Irr!BQ23),".")</f>
        <v>7601.8282595287337</v>
      </c>
      <c r="AU23" s="87">
        <f>IFERROR(s_C*s_IFPP_res_adj*s_CF_peppers*0.001*(up_Irr!T23+up_Irr!AS23+up_Irr!BR23),".")</f>
        <v>7601.8282595287337</v>
      </c>
      <c r="AV23" s="87">
        <f>IFERROR(s_C*s_IFPT_res_adj*s_CF_potato*0.001*(up_Irr!U23+up_Irr!AT23+up_Irr!BS23),".")</f>
        <v>7601.8282595287337</v>
      </c>
      <c r="AW23" s="87">
        <f>IFERROR(s_C*s_IFPU_res_adj*s_CF_pumpkin*0.001*(up_Irr!V23+up_Irr!AU23+up_Irr!BT23),".")</f>
        <v>7601.8282595287337</v>
      </c>
      <c r="AX23" s="87">
        <f>IFERROR(s_C*s_IFSN_res_adj*s_CF_snap_bean*0.001*(up_Irr!W23+up_Irr!AV23+up_Irr!BU23),".")</f>
        <v>7601.8282595287337</v>
      </c>
      <c r="AY23" s="87">
        <f>IFERROR(s_C*s_IFST_res_adj*s_CF_strawberry*0.001*(up_Irr!X23+up_Irr!AW23+up_Irr!BV23),".")</f>
        <v>7601.8282595287337</v>
      </c>
      <c r="AZ23" s="87">
        <f>IFERROR(s_C*s_IFTO_res_adj*s_CF_tomato*0.001*(up_Irr!Y23+up_Irr!AX23+up_Irr!BW23),".")</f>
        <v>7601.8282595287337</v>
      </c>
      <c r="BA23" s="87">
        <f>IFERROR(s_C*s_IFRI_res_adj*s_CF_rice*0.001*(up_Irr!Z23+up_Irr!AY23+up_Irr!BX23),".")</f>
        <v>7601.8282595287337</v>
      </c>
      <c r="BB23" s="87">
        <f>IFERROR(s_C*s_IFCG_res_adj*s_CF_cereal*0.001*(up_Irr!AA23+up_Irr!AZ23+up_Irr!BY23),".")</f>
        <v>7601.8282595287337</v>
      </c>
      <c r="BC23" s="70">
        <f t="shared" si="2"/>
        <v>1.6443412786038033E-4</v>
      </c>
      <c r="BD23" s="70">
        <f>IFERROR(IF(AND(up_Irr!C23&lt;&gt;".",up_Irr!AB23&lt;&gt;".",up_Irr!BA23&lt;&gt;"."),up_dir!AD23/((1/1000)*(up_Irr!C23+up_Irr!AB23+up_Irr!BA23)),IF(AND(up_Irr!C23&lt;&gt;".",up_Irr!AB23&lt;&gt;".",up_Irr!BA23="."),up_dir!AD23/((1/1000)*(up_Irr!C23+up_Irr!AB23)),IF(AND(up_Irr!C23&lt;&gt;".",up_Irr!AB23=".",up_Irr!BA23&lt;&gt;"."),up_dir!AD23/((1/1000)*(up_Irr!C23+up_Irr!BA23)),IF(AND(up_Irr!C23=".",up_Irr!AB23&lt;&gt;".",up_Irr!BA23&lt;&gt;"."),up_dir!AD23/((1/1000)*(up_Irr!AB23+up_Irr!BA23)),IF(AND(up_Irr!C23=".",up_Irr!AB23=".",up_Irr!BA23&lt;&gt;"."),up_dir!AD23/((1/1000)*(up_Irr!BA23)),IF(AND(up_Irr!C23=".",up_Irr!AB23&lt;&gt;".",up_Irr!BA23="."),up_dir!AD23/((1/1000)*(up_Irr!AB23)),IF(AND(up_Irr!C23&lt;&gt;".",up_Irr!AB23=".",up_Irr!BA23="."),up_dir!AD23/((1/1000)*(up_Irr!C23)),IF(AND(up_Irr!C23=".",up_Irr!AB23=".",up_Irr!BA23="."),up_dir!AD23*1000)))))))),".")</f>
        <v>6.5773651144152131E-4</v>
      </c>
      <c r="BE23" s="70">
        <f>IFERROR(IF(AND(up_Irr!D23&lt;&gt;".",up_Irr!AC23&lt;&gt;".",up_Irr!BB23&lt;&gt;"."),up_dir!AE23/((1/1000)*(up_Irr!D23+up_Irr!AC23+up_Irr!BB23)),IF(AND(up_Irr!D23&lt;&gt;".",up_Irr!AC23&lt;&gt;".",up_Irr!BB23="."),up_dir!AE23/((1/1000)*(up_Irr!D23+up_Irr!AC23)),IF(AND(up_Irr!D23&lt;&gt;".",up_Irr!AC23=".",up_Irr!BB23&lt;&gt;"."),up_dir!AE23/((1/1000)*(up_Irr!D23+up_Irr!BB23)),IF(AND(up_Irr!D23=".",up_Irr!AC23&lt;&gt;".",up_Irr!BB23&lt;&gt;"."),up_dir!AE23/((1/1000)*(up_Irr!AC23+up_Irr!BB23)),IF(AND(up_Irr!D23=".",up_Irr!AC23=".",up_Irr!BB23&lt;&gt;"."),up_dir!AE23/((1/1000)*(up_Irr!BB23)),IF(AND(up_Irr!D23=".",up_Irr!AC23&lt;&gt;".",up_Irr!BB23="."),up_dir!AE23/((1/1000)*(up_Irr!AC23)),IF(AND(up_Irr!D23&lt;&gt;".",up_Irr!AC23=".",up_Irr!BB23="."),up_dir!AE23/((1/1000)*(up_Irr!D23)),IF(AND(up_Irr!D23=".",up_Irr!AC23=".",up_Irr!BB23="."),up_dir!AE23*1000)))))))),".")</f>
        <v>6.5773651144152131E-4</v>
      </c>
      <c r="BF23" s="70">
        <f>IFERROR(IF(AND(up_Irr!E23&lt;&gt;".",up_Irr!AD23&lt;&gt;".",up_Irr!BC23&lt;&gt;"."),up_dir!AF23/((1/1000)*(up_Irr!E23+up_Irr!AD23+up_Irr!BC23)),IF(AND(up_Irr!E23&lt;&gt;".",up_Irr!AD23&lt;&gt;".",up_Irr!BC23="."),up_dir!AF23/((1/1000)*(up_Irr!E23+up_Irr!AD23)),IF(AND(up_Irr!E23&lt;&gt;".",up_Irr!AD23=".",up_Irr!BC23&lt;&gt;"."),up_dir!AF23/((1/1000)*(up_Irr!E23+up_Irr!BC23)),IF(AND(up_Irr!E23=".",up_Irr!AD23&lt;&gt;".",up_Irr!BC23&lt;&gt;"."),up_dir!AF23/((1/1000)*(up_Irr!AD23+up_Irr!BC23)),IF(AND(up_Irr!E23=".",up_Irr!AD23=".",up_Irr!BC23&lt;&gt;"."),up_dir!AF23/((1/1000)*(up_Irr!BC23)),IF(AND(up_Irr!E23=".",up_Irr!AD23&lt;&gt;".",up_Irr!BC23="."),up_dir!AF23/((1/1000)*(up_Irr!AD23)),IF(AND(up_Irr!E23&lt;&gt;".",up_Irr!AD23=".",up_Irr!BC23="."),up_dir!AF23/((1/1000)*(up_Irr!E23)),IF(AND(up_Irr!E23=".",up_Irr!AD23=".",up_Irr!BC23="."),up_dir!AF23*1000)))))))),".")</f>
        <v>6.5773651144152131E-4</v>
      </c>
      <c r="BG23" s="70">
        <f>IFERROR(IF(AND(up_Irr!F23&lt;&gt;".",up_Irr!AE23&lt;&gt;".",up_Irr!BD23&lt;&gt;"."),up_dir!AG23/((1/1000)*(up_Irr!F23+up_Irr!AE23+up_Irr!BD23)),IF(AND(up_Irr!F23&lt;&gt;".",up_Irr!AE23&lt;&gt;".",up_Irr!BD23="."),up_dir!AG23/((1/1000)*(up_Irr!F23+up_Irr!AE23)),IF(AND(up_Irr!F23&lt;&gt;".",up_Irr!AE23=".",up_Irr!BD23&lt;&gt;"."),up_dir!AG23/((1/1000)*(up_Irr!F23+up_Irr!BD23)),IF(AND(up_Irr!F23=".",up_Irr!AE23&lt;&gt;".",up_Irr!BD23&lt;&gt;"."),up_dir!AG23/((1/1000)*(up_Irr!AE23+up_Irr!BD23)),IF(AND(up_Irr!F23=".",up_Irr!AE23=".",up_Irr!BD23&lt;&gt;"."),up_dir!AG23/((1/1000)*(up_Irr!BD23)),IF(AND(up_Irr!F23=".",up_Irr!AE23&lt;&gt;".",up_Irr!BD23="."),up_dir!AG23/((1/1000)*(up_Irr!AE23)),IF(AND(up_Irr!F23&lt;&gt;".",up_Irr!AE23=".",up_Irr!BD23="."),up_dir!AG23/((1/1000)*(up_Irr!F23)),IF(AND(up_Irr!F23=".",up_Irr!AE23=".",up_Irr!BD23="."),up_dir!AG23*1000)))))))),".")</f>
        <v>6.5773651144152131E-4</v>
      </c>
      <c r="BH23" s="70">
        <f>IFERROR(IF(AND(up_Irr!G23&lt;&gt;".",up_Irr!AF23&lt;&gt;".",up_Irr!BE23&lt;&gt;"."),up_dir!AH23/((1/1000)*(up_Irr!G23+up_Irr!AF23+up_Irr!BE23)),IF(AND(up_Irr!G23&lt;&gt;".",up_Irr!AF23&lt;&gt;".",up_Irr!BE23="."),up_dir!AH23/((1/1000)*(up_Irr!G23+up_Irr!AF23)),IF(AND(up_Irr!G23&lt;&gt;".",up_Irr!AF23=".",up_Irr!BE23&lt;&gt;"."),up_dir!AH23/((1/1000)*(up_Irr!G23+up_Irr!BE23)),IF(AND(up_Irr!G23=".",up_Irr!AF23&lt;&gt;".",up_Irr!BE23&lt;&gt;"."),up_dir!AH23/((1/1000)*(up_Irr!AF23+up_Irr!BE23)),IF(AND(up_Irr!G23=".",up_Irr!AF23=".",up_Irr!BE23&lt;&gt;"."),up_dir!AH23/((1/1000)*(up_Irr!BE23)),IF(AND(up_Irr!G23=".",up_Irr!AF23&lt;&gt;".",up_Irr!BE23="."),up_dir!AH23/((1/1000)*(up_Irr!AF23)),IF(AND(up_Irr!G23&lt;&gt;".",up_Irr!AF23=".",up_Irr!BE23="."),up_dir!AH23/((1/1000)*(up_Irr!G23)),IF(AND(up_Irr!G23=".",up_Irr!AF23=".",up_Irr!BE23="."),up_dir!AH23*1000)))))))),".")</f>
        <v>6.5773651144152131E-4</v>
      </c>
      <c r="BI23" s="70">
        <f>IFERROR(IF(AND(up_Irr!H23&lt;&gt;".",up_Irr!AG23&lt;&gt;".",up_Irr!BF23&lt;&gt;"."),up_dir!AI23/((1/1000)*(up_Irr!H23+up_Irr!AG23+up_Irr!BF23)),IF(AND(up_Irr!H23&lt;&gt;".",up_Irr!AG23&lt;&gt;".",up_Irr!BF23="."),up_dir!AI23/((1/1000)*(up_Irr!H23+up_Irr!AG23)),IF(AND(up_Irr!H23&lt;&gt;".",up_Irr!AG23=".",up_Irr!BF23&lt;&gt;"."),up_dir!AI23/((1/1000)*(up_Irr!H23+up_Irr!BF23)),IF(AND(up_Irr!H23=".",up_Irr!AG23&lt;&gt;".",up_Irr!BF23&lt;&gt;"."),up_dir!AI23/((1/1000)*(up_Irr!AG23+up_Irr!BF23)),IF(AND(up_Irr!H23=".",up_Irr!AG23=".",up_Irr!BF23&lt;&gt;"."),up_dir!AI23/((1/1000)*(up_Irr!BF23)),IF(AND(up_Irr!H23=".",up_Irr!AG23&lt;&gt;".",up_Irr!BF23="."),up_dir!AI23/((1/1000)*(up_Irr!AG23)),IF(AND(up_Irr!H23&lt;&gt;".",up_Irr!AG23=".",up_Irr!BF23="."),up_dir!AI23/((1/1000)*(up_Irr!H23)),IF(AND(up_Irr!H23=".",up_Irr!AG23=".",up_Irr!BF23="."),up_dir!AI23*1000)))))))),".")</f>
        <v>6.5773651144152131E-4</v>
      </c>
      <c r="BJ23" s="70">
        <f>IFERROR(IF(AND(up_Irr!I23&lt;&gt;".",up_Irr!AH23&lt;&gt;".",up_Irr!BG23&lt;&gt;"."),up_dir!AJ23/((1/1000)*(up_Irr!I23+up_Irr!AH23+up_Irr!BG23)),IF(AND(up_Irr!I23&lt;&gt;".",up_Irr!AH23&lt;&gt;".",up_Irr!BG23="."),up_dir!AJ23/((1/1000)*(up_Irr!I23+up_Irr!AH23)),IF(AND(up_Irr!I23&lt;&gt;".",up_Irr!AH23=".",up_Irr!BG23&lt;&gt;"."),up_dir!AJ23/((1/1000)*(up_Irr!I23+up_Irr!BG23)),IF(AND(up_Irr!I23=".",up_Irr!AH23&lt;&gt;".",up_Irr!BG23&lt;&gt;"."),up_dir!AJ23/((1/1000)*(up_Irr!AH23+up_Irr!BG23)),IF(AND(up_Irr!I23=".",up_Irr!AH23=".",up_Irr!BG23&lt;&gt;"."),up_dir!AJ23/((1/1000)*(up_Irr!BG23)),IF(AND(up_Irr!I23=".",up_Irr!AH23&lt;&gt;".",up_Irr!BG23="."),up_dir!AJ23/((1/1000)*(up_Irr!AH23)),IF(AND(up_Irr!I23&lt;&gt;".",up_Irr!AH23=".",up_Irr!BG23="."),up_dir!AJ23/((1/1000)*(up_Irr!I23)),IF(AND(up_Irr!I23=".",up_Irr!AH23=".",up_Irr!BG23="."),up_dir!AJ23*1000)))))))),".")</f>
        <v>6.5773651144152131E-4</v>
      </c>
      <c r="BK23" s="70">
        <f>IFERROR(IF(AND(up_Irr!J23&lt;&gt;".",up_Irr!AI23&lt;&gt;".",up_Irr!BH23&lt;&gt;"."),up_dir!AK23/((1/1000)*(up_Irr!J23+up_Irr!AI23+up_Irr!BH23)),IF(AND(up_Irr!J23&lt;&gt;".",up_Irr!AI23&lt;&gt;".",up_Irr!BH23="."),up_dir!AK23/((1/1000)*(up_Irr!J23+up_Irr!AI23)),IF(AND(up_Irr!J23&lt;&gt;".",up_Irr!AI23=".",up_Irr!BH23&lt;&gt;"."),up_dir!AK23/((1/1000)*(up_Irr!J23+up_Irr!BH23)),IF(AND(up_Irr!J23=".",up_Irr!AI23&lt;&gt;".",up_Irr!BH23&lt;&gt;"."),up_dir!AK23/((1/1000)*(up_Irr!AI23+up_Irr!BH23)),IF(AND(up_Irr!J23=".",up_Irr!AI23=".",up_Irr!BH23&lt;&gt;"."),up_dir!AK23/((1/1000)*(up_Irr!BH23)),IF(AND(up_Irr!J23=".",up_Irr!AI23&lt;&gt;".",up_Irr!BH23="."),up_dir!AK23/((1/1000)*(up_Irr!AI23)),IF(AND(up_Irr!J23&lt;&gt;".",up_Irr!AI23=".",up_Irr!BH23="."),up_dir!AK23/((1/1000)*(up_Irr!J23)),IF(AND(up_Irr!J23=".",up_Irr!AI23=".",up_Irr!BH23="."),up_dir!AK23*1000)))))))),".")</f>
        <v>6.5773651144152131E-4</v>
      </c>
      <c r="BL23" s="70">
        <f>IFERROR(IF(AND(up_Irr!K23&lt;&gt;".",up_Irr!AJ23&lt;&gt;".",up_Irr!BI23&lt;&gt;"."),up_dir!AL23/((1/1000)*(up_Irr!K23+up_Irr!AJ23+up_Irr!BI23)),IF(AND(up_Irr!K23&lt;&gt;".",up_Irr!AJ23&lt;&gt;".",up_Irr!BI23="."),up_dir!AL23/((1/1000)*(up_Irr!K23+up_Irr!AJ23)),IF(AND(up_Irr!K23&lt;&gt;".",up_Irr!AJ23=".",up_Irr!BI23&lt;&gt;"."),up_dir!AL23/((1/1000)*(up_Irr!K23+up_Irr!BI23)),IF(AND(up_Irr!K23=".",up_Irr!AJ23&lt;&gt;".",up_Irr!BI23&lt;&gt;"."),up_dir!AL23/((1/1000)*(up_Irr!AJ23+up_Irr!BI23)),IF(AND(up_Irr!K23=".",up_Irr!AJ23=".",up_Irr!BI23&lt;&gt;"."),up_dir!AL23/((1/1000)*(up_Irr!BI23)),IF(AND(up_Irr!K23=".",up_Irr!AJ23&lt;&gt;".",up_Irr!BI23="."),up_dir!AL23/((1/1000)*(up_Irr!AJ23)),IF(AND(up_Irr!K23&lt;&gt;".",up_Irr!AJ23=".",up_Irr!BI23="."),up_dir!AL23/((1/1000)*(up_Irr!K23)),IF(AND(up_Irr!K23=".",up_Irr!AJ23=".",up_Irr!BI23="."),up_dir!AL23*1000)))))))),".")</f>
        <v>6.5773651144152131E-4</v>
      </c>
      <c r="BM23" s="70">
        <f>IFERROR(IF(AND(up_Irr!L23&lt;&gt;".",up_Irr!AK23&lt;&gt;".",up_Irr!BJ23&lt;&gt;"."),up_dir!AM23/((1/1000)*(up_Irr!L23+up_Irr!AK23+up_Irr!BJ23)),IF(AND(up_Irr!L23&lt;&gt;".",up_Irr!AK23&lt;&gt;".",up_Irr!BJ23="."),up_dir!AM23/((1/1000)*(up_Irr!L23+up_Irr!AK23)),IF(AND(up_Irr!L23&lt;&gt;".",up_Irr!AK23=".",up_Irr!BJ23&lt;&gt;"."),up_dir!AM23/((1/1000)*(up_Irr!L23+up_Irr!BJ23)),IF(AND(up_Irr!L23=".",up_Irr!AK23&lt;&gt;".",up_Irr!BJ23&lt;&gt;"."),up_dir!AM23/((1/1000)*(up_Irr!AK23+up_Irr!BJ23)),IF(AND(up_Irr!L23=".",up_Irr!AK23=".",up_Irr!BJ23&lt;&gt;"."),up_dir!AM23/((1/1000)*(up_Irr!BJ23)),IF(AND(up_Irr!L23=".",up_Irr!AK23&lt;&gt;".",up_Irr!BJ23="."),up_dir!AM23/((1/1000)*(up_Irr!AK23)),IF(AND(up_Irr!L23&lt;&gt;".",up_Irr!AK23=".",up_Irr!BJ23="."),up_dir!AM23/((1/1000)*(up_Irr!L23)),IF(AND(up_Irr!L23=".",up_Irr!AK23=".",up_Irr!BJ23="."),up_dir!AM23*1000)))))))),".")</f>
        <v>6.5773651144152131E-4</v>
      </c>
      <c r="BN23" s="70">
        <f>IFERROR(IF(AND(up_Irr!M23&lt;&gt;".",up_Irr!AL23&lt;&gt;".",up_Irr!BK23&lt;&gt;"."),up_dir!AN23/((1/1000)*(up_Irr!M23+up_Irr!AL23+up_Irr!BK23)),IF(AND(up_Irr!M23&lt;&gt;".",up_Irr!AL23&lt;&gt;".",up_Irr!BK23="."),up_dir!AN23/((1/1000)*(up_Irr!M23+up_Irr!AL23)),IF(AND(up_Irr!M23&lt;&gt;".",up_Irr!AL23=".",up_Irr!BK23&lt;&gt;"."),up_dir!AN23/((1/1000)*(up_Irr!M23+up_Irr!BK23)),IF(AND(up_Irr!M23=".",up_Irr!AL23&lt;&gt;".",up_Irr!BK23&lt;&gt;"."),up_dir!AN23/((1/1000)*(up_Irr!AL23+up_Irr!BK23)),IF(AND(up_Irr!M23=".",up_Irr!AL23=".",up_Irr!BK23&lt;&gt;"."),up_dir!AN23/((1/1000)*(up_Irr!BK23)),IF(AND(up_Irr!M23=".",up_Irr!AL23&lt;&gt;".",up_Irr!BK23="."),up_dir!AN23/((1/1000)*(up_Irr!AL23)),IF(AND(up_Irr!M23&lt;&gt;".",up_Irr!AL23=".",up_Irr!BK23="."),up_dir!AN23/((1/1000)*(up_Irr!M23)),IF(AND(up_Irr!M23=".",up_Irr!AL23=".",up_Irr!BK23="."),up_dir!AN23*1000)))))))),".")</f>
        <v>6.5773651144152131E-4</v>
      </c>
      <c r="BO23" s="70">
        <f>IFERROR(IF(AND(up_Irr!N23&lt;&gt;".",up_Irr!AM23&lt;&gt;".",up_Irr!BL23&lt;&gt;"."),up_dir!AO23/((1/1000)*(up_Irr!N23+up_Irr!AM23+up_Irr!BL23)),IF(AND(up_Irr!N23&lt;&gt;".",up_Irr!AM23&lt;&gt;".",up_Irr!BL23="."),up_dir!AO23/((1/1000)*(up_Irr!N23+up_Irr!AM23)),IF(AND(up_Irr!N23&lt;&gt;".",up_Irr!AM23=".",up_Irr!BL23&lt;&gt;"."),up_dir!AO23/((1/1000)*(up_Irr!N23+up_Irr!BL23)),IF(AND(up_Irr!N23=".",up_Irr!AM23&lt;&gt;".",up_Irr!BL23&lt;&gt;"."),up_dir!AO23/((1/1000)*(up_Irr!AM23+up_Irr!BL23)),IF(AND(up_Irr!N23=".",up_Irr!AM23=".",up_Irr!BL23&lt;&gt;"."),up_dir!AO23/((1/1000)*(up_Irr!BL23)),IF(AND(up_Irr!N23=".",up_Irr!AM23&lt;&gt;".",up_Irr!BL23="."),up_dir!AO23/((1/1000)*(up_Irr!AM23)),IF(AND(up_Irr!N23&lt;&gt;".",up_Irr!AM23=".",up_Irr!BL23="."),up_dir!AO23/((1/1000)*(up_Irr!N23)),IF(AND(up_Irr!N23=".",up_Irr!AM23=".",up_Irr!BL23="."),up_dir!AO23*1000)))))))),".")</f>
        <v>6.5773651144152131E-4</v>
      </c>
      <c r="BP23" s="70">
        <f>IFERROR(IF(AND(up_Irr!O23&lt;&gt;".",up_Irr!AN23&lt;&gt;".",up_Irr!BM23&lt;&gt;"."),up_dir!AP23/((1/1000)*(up_Irr!O23+up_Irr!AN23+up_Irr!BM23)),IF(AND(up_Irr!O23&lt;&gt;".",up_Irr!AN23&lt;&gt;".",up_Irr!BM23="."),up_dir!AP23/((1/1000)*(up_Irr!O23+up_Irr!AN23)),IF(AND(up_Irr!O23&lt;&gt;".",up_Irr!AN23=".",up_Irr!BM23&lt;&gt;"."),up_dir!AP23/((1/1000)*(up_Irr!O23+up_Irr!BM23)),IF(AND(up_Irr!O23=".",up_Irr!AN23&lt;&gt;".",up_Irr!BM23&lt;&gt;"."),up_dir!AP23/((1/1000)*(up_Irr!AN23+up_Irr!BM23)),IF(AND(up_Irr!O23=".",up_Irr!AN23=".",up_Irr!BM23&lt;&gt;"."),up_dir!AP23/((1/1000)*(up_Irr!BM23)),IF(AND(up_Irr!O23=".",up_Irr!AN23&lt;&gt;".",up_Irr!BM23="."),up_dir!AP23/((1/1000)*(up_Irr!AN23)),IF(AND(up_Irr!O23&lt;&gt;".",up_Irr!AN23=".",up_Irr!BM23="."),up_dir!AP23/((1/1000)*(up_Irr!O23)),IF(AND(up_Irr!O23=".",up_Irr!AN23=".",up_Irr!BM23="."),up_dir!AP23*1000)))))))),".")</f>
        <v>6.5773651144152131E-4</v>
      </c>
      <c r="BQ23" s="70">
        <f>IFERROR(IF(AND(up_Irr!P23&lt;&gt;".",up_Irr!AO23&lt;&gt;".",up_Irr!BN23&lt;&gt;"."),up_dir!AQ23/((1/1000)*(up_Irr!P23+up_Irr!AO23+up_Irr!BN23)),IF(AND(up_Irr!P23&lt;&gt;".",up_Irr!AO23&lt;&gt;".",up_Irr!BN23="."),up_dir!AQ23/((1/1000)*(up_Irr!P23+up_Irr!AO23)),IF(AND(up_Irr!P23&lt;&gt;".",up_Irr!AO23=".",up_Irr!BN23&lt;&gt;"."),up_dir!AQ23/((1/1000)*(up_Irr!P23+up_Irr!BN23)),IF(AND(up_Irr!P23=".",up_Irr!AO23&lt;&gt;".",up_Irr!BN23&lt;&gt;"."),up_dir!AQ23/((1/1000)*(up_Irr!AO23+up_Irr!BN23)),IF(AND(up_Irr!P23=".",up_Irr!AO23=".",up_Irr!BN23&lt;&gt;"."),up_dir!AQ23/((1/1000)*(up_Irr!BN23)),IF(AND(up_Irr!P23=".",up_Irr!AO23&lt;&gt;".",up_Irr!BN23="."),up_dir!AQ23/((1/1000)*(up_Irr!AO23)),IF(AND(up_Irr!P23&lt;&gt;".",up_Irr!AO23=".",up_Irr!BN23="."),up_dir!AQ23/((1/1000)*(up_Irr!P23)),IF(AND(up_Irr!P23=".",up_Irr!AO23=".",up_Irr!BN23="."),up_dir!AQ23*1000)))))))),".")</f>
        <v>6.5773651144152131E-4</v>
      </c>
      <c r="BR23" s="70">
        <f>IFERROR(IF(AND(up_Irr!Q23&lt;&gt;".",up_Irr!AP23&lt;&gt;".",up_Irr!BO23&lt;&gt;"."),up_dir!AR23/((1/1000)*(up_Irr!Q23+up_Irr!AP23+up_Irr!BO23)),IF(AND(up_Irr!Q23&lt;&gt;".",up_Irr!AP23&lt;&gt;".",up_Irr!BO23="."),up_dir!AR23/((1/1000)*(up_Irr!Q23+up_Irr!AP23)),IF(AND(up_Irr!Q23&lt;&gt;".",up_Irr!AP23=".",up_Irr!BO23&lt;&gt;"."),up_dir!AR23/((1/1000)*(up_Irr!Q23+up_Irr!BO23)),IF(AND(up_Irr!Q23=".",up_Irr!AP23&lt;&gt;".",up_Irr!BO23&lt;&gt;"."),up_dir!AR23/((1/1000)*(up_Irr!AP23+up_Irr!BO23)),IF(AND(up_Irr!Q23=".",up_Irr!AP23=".",up_Irr!BO23&lt;&gt;"."),up_dir!AR23/((1/1000)*(up_Irr!BO23)),IF(AND(up_Irr!Q23=".",up_Irr!AP23&lt;&gt;".",up_Irr!BO23="."),up_dir!AR23/((1/1000)*(up_Irr!AP23)),IF(AND(up_Irr!Q23&lt;&gt;".",up_Irr!AP23=".",up_Irr!BO23="."),up_dir!AR23/((1/1000)*(up_Irr!Q23)),IF(AND(up_Irr!Q23=".",up_Irr!AP23=".",up_Irr!BO23="."),up_dir!AR23*1000)))))))),".")</f>
        <v>6.5773651144152131E-4</v>
      </c>
      <c r="BS23" s="70">
        <f>IFERROR(IF(AND(up_Irr!R23&lt;&gt;".",up_Irr!AQ23&lt;&gt;".",up_Irr!BP23&lt;&gt;"."),up_dir!AS23/((1/1000)*(up_Irr!R23+up_Irr!AQ23+up_Irr!BP23)),IF(AND(up_Irr!R23&lt;&gt;".",up_Irr!AQ23&lt;&gt;".",up_Irr!BP23="."),up_dir!AS23/((1/1000)*(up_Irr!R23+up_Irr!AQ23)),IF(AND(up_Irr!R23&lt;&gt;".",up_Irr!AQ23=".",up_Irr!BP23&lt;&gt;"."),up_dir!AS23/((1/1000)*(up_Irr!R23+up_Irr!BP23)),IF(AND(up_Irr!R23=".",up_Irr!AQ23&lt;&gt;".",up_Irr!BP23&lt;&gt;"."),up_dir!AS23/((1/1000)*(up_Irr!AQ23+up_Irr!BP23)),IF(AND(up_Irr!R23=".",up_Irr!AQ23=".",up_Irr!BP23&lt;&gt;"."),up_dir!AS23/((1/1000)*(up_Irr!BP23)),IF(AND(up_Irr!R23=".",up_Irr!AQ23&lt;&gt;".",up_Irr!BP23="."),up_dir!AS23/((1/1000)*(up_Irr!AQ23)),IF(AND(up_Irr!R23&lt;&gt;".",up_Irr!AQ23=".",up_Irr!BP23="."),up_dir!AS23/((1/1000)*(up_Irr!R23)),IF(AND(up_Irr!R23=".",up_Irr!AQ23=".",up_Irr!BP23="."),up_dir!AS23*1000)))))))),".")</f>
        <v>6.5773651144152131E-4</v>
      </c>
      <c r="BT23" s="70">
        <f>IFERROR(IF(AND(up_Irr!S23&lt;&gt;".",up_Irr!AR23&lt;&gt;".",up_Irr!BQ23&lt;&gt;"."),up_dir!AT23/((1/1000)*(up_Irr!S23+up_Irr!AR23+up_Irr!BQ23)),IF(AND(up_Irr!S23&lt;&gt;".",up_Irr!AR23&lt;&gt;".",up_Irr!BQ23="."),up_dir!AT23/((1/1000)*(up_Irr!S23+up_Irr!AR23)),IF(AND(up_Irr!S23&lt;&gt;".",up_Irr!AR23=".",up_Irr!BQ23&lt;&gt;"."),up_dir!AT23/((1/1000)*(up_Irr!S23+up_Irr!BQ23)),IF(AND(up_Irr!S23=".",up_Irr!AR23&lt;&gt;".",up_Irr!BQ23&lt;&gt;"."),up_dir!AT23/((1/1000)*(up_Irr!AR23+up_Irr!BQ23)),IF(AND(up_Irr!S23=".",up_Irr!AR23=".",up_Irr!BQ23&lt;&gt;"."),up_dir!AT23/((1/1000)*(up_Irr!BQ23)),IF(AND(up_Irr!S23=".",up_Irr!AR23&lt;&gt;".",up_Irr!BQ23="."),up_dir!AT23/((1/1000)*(up_Irr!AR23)),IF(AND(up_Irr!S23&lt;&gt;".",up_Irr!AR23=".",up_Irr!BQ23="."),up_dir!AT23/((1/1000)*(up_Irr!S23)),IF(AND(up_Irr!S23=".",up_Irr!AR23=".",up_Irr!BQ23="."),up_dir!AT23*1000)))))))),".")</f>
        <v>6.5773651144152131E-4</v>
      </c>
      <c r="BU23" s="70">
        <f>IFERROR(IF(AND(up_Irr!T23&lt;&gt;".",up_Irr!AS23&lt;&gt;".",up_Irr!BR23&lt;&gt;"."),up_dir!AU23/((1/1000)*(up_Irr!T23+up_Irr!AS23+up_Irr!BR23)),IF(AND(up_Irr!T23&lt;&gt;".",up_Irr!AS23&lt;&gt;".",up_Irr!BR23="."),up_dir!AU23/((1/1000)*(up_Irr!T23+up_Irr!AS23)),IF(AND(up_Irr!T23&lt;&gt;".",up_Irr!AS23=".",up_Irr!BR23&lt;&gt;"."),up_dir!AU23/((1/1000)*(up_Irr!T23+up_Irr!BR23)),IF(AND(up_Irr!T23=".",up_Irr!AS23&lt;&gt;".",up_Irr!BR23&lt;&gt;"."),up_dir!AU23/((1/1000)*(up_Irr!AS23+up_Irr!BR23)),IF(AND(up_Irr!T23=".",up_Irr!AS23=".",up_Irr!BR23&lt;&gt;"."),up_dir!AU23/((1/1000)*(up_Irr!BR23)),IF(AND(up_Irr!T23=".",up_Irr!AS23&lt;&gt;".",up_Irr!BR23="."),up_dir!AU23/((1/1000)*(up_Irr!AS23)),IF(AND(up_Irr!T23&lt;&gt;".",up_Irr!AS23=".",up_Irr!BR23="."),up_dir!AU23/((1/1000)*(up_Irr!T23)),IF(AND(up_Irr!T23=".",up_Irr!AS23=".",up_Irr!BR23="."),up_dir!AU23*1000)))))))),".")</f>
        <v>6.5773651144152131E-4</v>
      </c>
      <c r="BV23" s="70">
        <f>IFERROR(IF(AND(up_Irr!U23&lt;&gt;".",up_Irr!AT23&lt;&gt;".",up_Irr!BS23&lt;&gt;"."),up_dir!AV23/((1/1000)*(up_Irr!U23+up_Irr!AT23+up_Irr!BS23)),IF(AND(up_Irr!U23&lt;&gt;".",up_Irr!AT23&lt;&gt;".",up_Irr!BS23="."),up_dir!AV23/((1/1000)*(up_Irr!U23+up_Irr!AT23)),IF(AND(up_Irr!U23&lt;&gt;".",up_Irr!AT23=".",up_Irr!BS23&lt;&gt;"."),up_dir!AV23/((1/1000)*(up_Irr!U23+up_Irr!BS23)),IF(AND(up_Irr!U23=".",up_Irr!AT23&lt;&gt;".",up_Irr!BS23&lt;&gt;"."),up_dir!AV23/((1/1000)*(up_Irr!AT23+up_Irr!BS23)),IF(AND(up_Irr!U23=".",up_Irr!AT23=".",up_Irr!BS23&lt;&gt;"."),up_dir!AV23/((1/1000)*(up_Irr!BS23)),IF(AND(up_Irr!U23=".",up_Irr!AT23&lt;&gt;".",up_Irr!BS23="."),up_dir!AV23/((1/1000)*(up_Irr!AT23)),IF(AND(up_Irr!U23&lt;&gt;".",up_Irr!AT23=".",up_Irr!BS23="."),up_dir!AV23/((1/1000)*(up_Irr!U23)),IF(AND(up_Irr!U23=".",up_Irr!AT23=".",up_Irr!BS23="."),up_dir!AV23*1000)))))))),".")</f>
        <v>6.5773651144152131E-4</v>
      </c>
      <c r="BW23" s="70">
        <f>IFERROR(IF(AND(up_Irr!V23&lt;&gt;".",up_Irr!AU23&lt;&gt;".",up_Irr!BT23&lt;&gt;"."),up_dir!AW23/((1/1000)*(up_Irr!V23+up_Irr!AU23+up_Irr!BT23)),IF(AND(up_Irr!V23&lt;&gt;".",up_Irr!AU23&lt;&gt;".",up_Irr!BT23="."),up_dir!AW23/((1/1000)*(up_Irr!V23+up_Irr!AU23)),IF(AND(up_Irr!V23&lt;&gt;".",up_Irr!AU23=".",up_Irr!BT23&lt;&gt;"."),up_dir!AW23/((1/1000)*(up_Irr!V23+up_Irr!BT23)),IF(AND(up_Irr!V23=".",up_Irr!AU23&lt;&gt;".",up_Irr!BT23&lt;&gt;"."),up_dir!AW23/((1/1000)*(up_Irr!AU23+up_Irr!BT23)),IF(AND(up_Irr!V23=".",up_Irr!AU23=".",up_Irr!BT23&lt;&gt;"."),up_dir!AW23/((1/1000)*(up_Irr!BT23)),IF(AND(up_Irr!V23=".",up_Irr!AU23&lt;&gt;".",up_Irr!BT23="."),up_dir!AW23/((1/1000)*(up_Irr!AU23)),IF(AND(up_Irr!V23&lt;&gt;".",up_Irr!AU23=".",up_Irr!BT23="."),up_dir!AW23/((1/1000)*(up_Irr!V23)),IF(AND(up_Irr!V23=".",up_Irr!AU23=".",up_Irr!BT23="."),up_dir!AW23*1000)))))))),".")</f>
        <v>6.5773651144152131E-4</v>
      </c>
      <c r="BX23" s="70">
        <f>IFERROR(IF(AND(up_Irr!W23&lt;&gt;".",up_Irr!AV23&lt;&gt;".",up_Irr!BU23&lt;&gt;"."),up_dir!AX23/((1/1000)*(up_Irr!W23+up_Irr!AV23+up_Irr!BU23)),IF(AND(up_Irr!W23&lt;&gt;".",up_Irr!AV23&lt;&gt;".",up_Irr!BU23="."),up_dir!AX23/((1/1000)*(up_Irr!W23+up_Irr!AV23)),IF(AND(up_Irr!W23&lt;&gt;".",up_Irr!AV23=".",up_Irr!BU23&lt;&gt;"."),up_dir!AX23/((1/1000)*(up_Irr!W23+up_Irr!BU23)),IF(AND(up_Irr!W23=".",up_Irr!AV23&lt;&gt;".",up_Irr!BU23&lt;&gt;"."),up_dir!AX23/((1/1000)*(up_Irr!AV23+up_Irr!BU23)),IF(AND(up_Irr!W23=".",up_Irr!AV23=".",up_Irr!BU23&lt;&gt;"."),up_dir!AX23/((1/1000)*(up_Irr!BU23)),IF(AND(up_Irr!W23=".",up_Irr!AV23&lt;&gt;".",up_Irr!BU23="."),up_dir!AX23/((1/1000)*(up_Irr!AV23)),IF(AND(up_Irr!W23&lt;&gt;".",up_Irr!AV23=".",up_Irr!BU23="."),up_dir!AX23/((1/1000)*(up_Irr!W23)),IF(AND(up_Irr!W23=".",up_Irr!AV23=".",up_Irr!BU23="."),up_dir!AX23*1000)))))))),".")</f>
        <v>6.5773651144152131E-4</v>
      </c>
      <c r="BY23" s="70">
        <f>IFERROR(IF(AND(up_Irr!X23&lt;&gt;".",up_Irr!AW23&lt;&gt;".",up_Irr!BV23&lt;&gt;"."),up_dir!AY23/((1/1000)*(up_Irr!X23+up_Irr!AW23+up_Irr!BV23)),IF(AND(up_Irr!X23&lt;&gt;".",up_Irr!AW23&lt;&gt;".",up_Irr!BV23="."),up_dir!AY23/((1/1000)*(up_Irr!X23+up_Irr!AW23)),IF(AND(up_Irr!X23&lt;&gt;".",up_Irr!AW23=".",up_Irr!BV23&lt;&gt;"."),up_dir!AY23/((1/1000)*(up_Irr!X23+up_Irr!BV23)),IF(AND(up_Irr!X23=".",up_Irr!AW23&lt;&gt;".",up_Irr!BV23&lt;&gt;"."),up_dir!AY23/((1/1000)*(up_Irr!AW23+up_Irr!BV23)),IF(AND(up_Irr!X23=".",up_Irr!AW23=".",up_Irr!BV23&lt;&gt;"."),up_dir!AY23/((1/1000)*(up_Irr!BV23)),IF(AND(up_Irr!X23=".",up_Irr!AW23&lt;&gt;".",up_Irr!BV23="."),up_dir!AY23/((1/1000)*(up_Irr!AW23)),IF(AND(up_Irr!X23&lt;&gt;".",up_Irr!AW23=".",up_Irr!BV23="."),up_dir!AY23/((1/1000)*(up_Irr!X23)),IF(AND(up_Irr!X23=".",up_Irr!AW23=".",up_Irr!BV23="."),up_dir!AY23*1000)))))))),".")</f>
        <v>6.5773651144152131E-4</v>
      </c>
      <c r="BZ23" s="70">
        <f>IFERROR(IF(AND(up_Irr!Y23&lt;&gt;".",up_Irr!AX23&lt;&gt;".",up_Irr!BW23&lt;&gt;"."),up_dir!AZ23/((1/1000)*(up_Irr!Y23+up_Irr!AX23+up_Irr!BW23)),IF(AND(up_Irr!Y23&lt;&gt;".",up_Irr!AX23&lt;&gt;".",up_Irr!BW23="."),up_dir!AZ23/((1/1000)*(up_Irr!Y23+up_Irr!AX23)),IF(AND(up_Irr!Y23&lt;&gt;".",up_Irr!AX23=".",up_Irr!BW23&lt;&gt;"."),up_dir!AZ23/((1/1000)*(up_Irr!Y23+up_Irr!BW23)),IF(AND(up_Irr!Y23=".",up_Irr!AX23&lt;&gt;".",up_Irr!BW23&lt;&gt;"."),up_dir!AZ23/((1/1000)*(up_Irr!AX23+up_Irr!BW23)),IF(AND(up_Irr!Y23=".",up_Irr!AX23=".",up_Irr!BW23&lt;&gt;"."),up_dir!AZ23/((1/1000)*(up_Irr!BW23)),IF(AND(up_Irr!Y23=".",up_Irr!AX23&lt;&gt;".",up_Irr!BW23="."),up_dir!AZ23/((1/1000)*(up_Irr!AX23)),IF(AND(up_Irr!Y23&lt;&gt;".",up_Irr!AX23=".",up_Irr!BW23="."),up_dir!AZ23/((1/1000)*(up_Irr!Y23)),IF(AND(up_Irr!Y23=".",up_Irr!AX23=".",up_Irr!BW23="."),up_dir!AZ23*1000)))))))),".")</f>
        <v>6.5773651144152131E-4</v>
      </c>
      <c r="CA23" s="70">
        <f>IFERROR(IF(AND(up_Irr!Z23&lt;&gt;".",up_Irr!AY23&lt;&gt;".",up_Irr!BX23&lt;&gt;"."),up_dir!BA23/((1/1000)*(up_Irr!Z23+up_Irr!AY23+up_Irr!BX23)),IF(AND(up_Irr!Z23&lt;&gt;".",up_Irr!AY23&lt;&gt;".",up_Irr!BX23="."),up_dir!BA23/((1/1000)*(up_Irr!Z23+up_Irr!AY23)),IF(AND(up_Irr!Z23&lt;&gt;".",up_Irr!AY23=".",up_Irr!BX23&lt;&gt;"."),up_dir!BA23/((1/1000)*(up_Irr!Z23+up_Irr!BX23)),IF(AND(up_Irr!Z23=".",up_Irr!AY23&lt;&gt;".",up_Irr!BX23&lt;&gt;"."),up_dir!BA23/((1/1000)*(up_Irr!AY23+up_Irr!BX23)),IF(AND(up_Irr!Z23=".",up_Irr!AY23=".",up_Irr!BX23&lt;&gt;"."),up_dir!BA23/((1/1000)*(up_Irr!BX23)),IF(AND(up_Irr!Z23=".",up_Irr!AY23&lt;&gt;".",up_Irr!BX23="."),up_dir!BA23/((1/1000)*(up_Irr!AY23)),IF(AND(up_Irr!Z23&lt;&gt;".",up_Irr!AY23=".",up_Irr!BX23="."),up_dir!BA23/((1/1000)*(up_Irr!Z23)),IF(AND(up_Irr!Z23=".",up_Irr!AY23=".",up_Irr!BX23="."),up_dir!BA23*1000)))))))),".")</f>
        <v>6.5773651144152131E-4</v>
      </c>
      <c r="CB23" s="70">
        <f>IFERROR(IF(AND(up_Irr!AA23&lt;&gt;".",up_Irr!AZ23&lt;&gt;".",up_Irr!BY23&lt;&gt;"."),up_dir!BB23/((1/1000)*(up_Irr!AA23+up_Irr!AZ23+up_Irr!BY23)),IF(AND(up_Irr!AA23&lt;&gt;".",up_Irr!AZ23&lt;&gt;".",up_Irr!BY23="."),up_dir!BB23/((1/1000)*(up_Irr!AA23+up_Irr!AZ23)),IF(AND(up_Irr!AA23&lt;&gt;".",up_Irr!AZ23=".",up_Irr!BY23&lt;&gt;"."),up_dir!BB23/((1/1000)*(up_Irr!AA23+up_Irr!BY23)),IF(AND(up_Irr!AA23=".",up_Irr!AZ23&lt;&gt;".",up_Irr!BY23&lt;&gt;"."),up_dir!BB23/((1/1000)*(up_Irr!AZ23+up_Irr!BY23)),IF(AND(up_Irr!AA23=".",up_Irr!AZ23=".",up_Irr!BY23&lt;&gt;"."),up_dir!BB23/((1/1000)*(up_Irr!BY23)),IF(AND(up_Irr!AA23=".",up_Irr!AZ23&lt;&gt;".",up_Irr!BY23="."),up_dir!BB23/((1/1000)*(up_Irr!AZ23)),IF(AND(up_Irr!AA23&lt;&gt;".",up_Irr!AZ23=".",up_Irr!BY23="."),up_dir!BB23/((1/1000)*(up_Irr!AA23)),IF(AND(up_Irr!AA23=".",up_Irr!AZ23=".",up_Irr!BY23="."),up_dir!BB23*1000)))))))),".")</f>
        <v>6.5773651144152131E-4</v>
      </c>
      <c r="CC23" s="87">
        <f t="shared" si="3"/>
        <v>30407.313038114935</v>
      </c>
      <c r="CD23" s="87">
        <f>IFERROR(s_C*s_IFAP_far_adj*s_CF_apple*(1/1000)*(up_Irr!C23+up_Irr!AB23+up_Irr!BA23),".")</f>
        <v>7601.8282595287337</v>
      </c>
      <c r="CE23" s="87">
        <f>IFERROR(s_C*s_IFAS_far_adj*s_CF_asparagus*(1/1000)*(up_Irr!D23+up_Irr!AC23+up_Irr!BB23),".")</f>
        <v>7601.8282595287337</v>
      </c>
      <c r="CF23" s="87">
        <f>IFERROR(s_C*s_IFBT_far_adj*s_CF_beet*(1/1000)*(up_Irr!E23+up_Irr!AD23+up_Irr!BC23),".")</f>
        <v>7601.8282595287337</v>
      </c>
      <c r="CG23" s="87">
        <f>IFERROR(s_C*s_IFBE_far_adj*s_CF_berries*(1/1000)*(up_Irr!F23+up_Irr!AE23+up_Irr!BD23),".")</f>
        <v>7601.8282595287337</v>
      </c>
      <c r="CH23" s="87">
        <f>IFERROR(s_C*s_IFBR_far_adj*s_CF_broccoli*(1/1000)*(up_Irr!G23+up_Irr!AF23+up_Irr!BE23),".")</f>
        <v>7601.8282595287337</v>
      </c>
      <c r="CI23" s="87">
        <f>IFERROR(s_C*s_IFCB_far_adj*s_CF_cabbage*(1/1000)*(up_Irr!H23+up_Irr!AG23+up_Irr!BF23),".")</f>
        <v>7601.8282595287337</v>
      </c>
      <c r="CJ23" s="87">
        <f>IFERROR(s_C*s_IFCR_far_adj*s_CF_carrot*(1/1000)*(up_Irr!I23+up_Irr!AH23+up_Irr!BG23),".")</f>
        <v>7601.8282595287337</v>
      </c>
      <c r="CK23" s="87">
        <f>IFERROR(s_C*s_IFCI_far_adj*s_CF_citrus*(1/1000)*(up_Irr!J23+up_Irr!AI23+up_Irr!BH23),".")</f>
        <v>7601.8282595287337</v>
      </c>
      <c r="CL23" s="87">
        <f>IFERROR(s_C*s_IFCO_far_adj*s_CF_corn*(1/1000)*(up_Irr!K23+up_Irr!AJ23+up_Irr!BI23),".")</f>
        <v>7601.8282595287337</v>
      </c>
      <c r="CM23" s="87">
        <f>IFERROR(s_C*s_IFCU_far_adj*s_CF_cucumber*(1/1000)*(up_Irr!L23+up_Irr!AK23+up_Irr!BJ23),".")</f>
        <v>7601.8282595287337</v>
      </c>
      <c r="CN23" s="87">
        <f>IFERROR(s_C*s_IFLE_far_adj*s_CF_lettuce*(1/1000)*(up_Irr!M23+up_Irr!AL23+up_Irr!BK23),".")</f>
        <v>7601.8282595287337</v>
      </c>
      <c r="CO23" s="87">
        <f>IFERROR(s_C*s_IFLI_far_adj*s_CF_lima_bean*(1/1000)*(up_Irr!N23+up_Irr!AM23+up_Irr!BL23),".")</f>
        <v>7601.8282595287337</v>
      </c>
      <c r="CP23" s="87">
        <f>IFERROR(s_C*s_IFOK_far_adj*s_CF_okra*(1/1000)*(up_Irr!O23+up_Irr!AN23+up_Irr!BM23),".")</f>
        <v>7601.8282595287337</v>
      </c>
      <c r="CQ23" s="87">
        <f>IFERROR(s_C*s_IFON_far_adj*s_CF_onion*(1/1000)*(up_Irr!P23+up_Irr!AO23+up_Irr!BN23),".")</f>
        <v>7601.8282595287337</v>
      </c>
      <c r="CR23" s="87">
        <f>IFERROR(s_C*s_IFPC_far_adj*s_CF_peach*(1/1000)*(up_Irr!Q23+up_Irr!AP23+up_Irr!BO23),".")</f>
        <v>7601.8282595287337</v>
      </c>
      <c r="CS23" s="87">
        <f>IFERROR(s_C*s_IFPR_far_adj*s_CF_pear*(1/1000)*(up_Irr!R23+up_Irr!AQ23+up_Irr!BP23),".")</f>
        <v>7601.8282595287337</v>
      </c>
      <c r="CT23" s="87">
        <f>IFERROR(s_C*s_IFPE_far_adj*s_CF_peas*(1/1000)*(up_Irr!S23+up_Irr!AR23+up_Irr!BQ23),".")</f>
        <v>7601.8282595287337</v>
      </c>
      <c r="CU23" s="87">
        <f>IFERROR(s_C*s_IFPP_far_adj*s_CF_peppers*(1/1000)*(up_Irr!T23+up_Irr!AS23+up_Irr!BR23),".")</f>
        <v>7601.8282595287337</v>
      </c>
      <c r="CV23" s="87">
        <f>IFERROR(s_C*s_IFPT_far_adj*s_CF_potato*(1/1000)*(up_Irr!U23+up_Irr!AT23+up_Irr!BS23),".")</f>
        <v>7601.8282595287337</v>
      </c>
      <c r="CW23" s="87">
        <f>IFERROR(s_C*s_IFPU_far_adj*s_CF_pumpkin*(1/1000)*(up_Irr!V23+up_Irr!AU23+up_Irr!BT23),".")</f>
        <v>7601.8282595287337</v>
      </c>
      <c r="CX23" s="87">
        <f>IFERROR(s_C*s_IFSN_far_adj*s_CF_snap_bean*(1/1000)*(up_Irr!W23+up_Irr!AV23+up_Irr!BU23),".")</f>
        <v>7601.8282595287337</v>
      </c>
      <c r="CY23" s="87">
        <f>IFERROR(s_C*s_IFST_far_adj*s_CF_strawberry*(1/1000)*(up_Irr!X23+up_Irr!AW23+up_Irr!BV23),".")</f>
        <v>7601.8282595287337</v>
      </c>
      <c r="CZ23" s="87">
        <f>IFERROR(s_C*s_IFTO_far_adj*s_CF_tomato*(1/1000)*(up_Irr!Y23+up_Irr!AX23+up_Irr!BW23),".")</f>
        <v>7601.8282595287337</v>
      </c>
      <c r="DA23" s="87">
        <f>IFERROR(s_C*s_IFRI_far_adj*s_CF_rice*(1/1000)*(up_Irr!Z23+up_Irr!AY23+up_Irr!BX23),".")</f>
        <v>7601.8282595287337</v>
      </c>
      <c r="DB23" s="87">
        <f>IFERROR(s_C*s_IFCG_far_adj*s_CF_cereal*(1/1000)*(up_Irr!AA23+up_Irr!AZ23+up_Irr!BY23),".")</f>
        <v>7601.8282595287337</v>
      </c>
    </row>
    <row r="24" spans="1:106" ht="15" customHeight="1" x14ac:dyDescent="0.25">
      <c r="A24" s="86" t="s">
        <v>22</v>
      </c>
      <c r="B24" s="84" t="s">
        <v>1057</v>
      </c>
      <c r="C24" s="15">
        <f t="shared" si="0"/>
        <v>1.6443412786038033E-4</v>
      </c>
      <c r="D24" s="70">
        <f>IFERROR(IF(AND(up_Irr!C24&lt;&gt;".",up_Irr!AB24&lt;&gt;".",up_Irr!BA24&lt;&gt;"."),up_dir!D24/((1/1000)*(up_Irr!C24+up_Irr!AB24+up_Irr!BA24)),IF(AND(up_Irr!C24&lt;&gt;".",up_Irr!AB24&lt;&gt;".",up_Irr!BA24="."),up_dir!D24/((1/1000)*(up_Irr!C24+up_Irr!AB24)),IF(AND(up_Irr!C24&lt;&gt;".",up_Irr!AB24=".",up_Irr!BA24&lt;&gt;"."),up_dir!D24/((1/1000)*(up_Irr!C24+up_Irr!BA24)),IF(AND(up_Irr!C24=".",up_Irr!AB24&lt;&gt;".",up_Irr!BA24&lt;&gt;"."),up_dir!D24/((1/1000)*(up_Irr!AB24+up_Irr!BA24)),IF(AND(up_Irr!C24=".",up_Irr!AB24=".",up_Irr!BA24&lt;&gt;"."),up_dir!D24/((1/1000)*(up_Irr!BA24)),IF(AND(up_Irr!C24=".",up_Irr!AB24&lt;&gt;".",up_Irr!BA24="."),up_dir!D24/((1/1000)*(up_Irr!AB24)),IF(AND(up_Irr!C24&lt;&gt;".",up_Irr!AB24=".",up_Irr!BA24="."),up_dir!D24/((1/1000)*(up_Irr!C24)),IF(AND(up_Irr!C24=".",up_Irr!AB24=".",up_Irr!BA24="."),up_dir!D24*1000)))))))),".")</f>
        <v>6.5773651144152131E-4</v>
      </c>
      <c r="E24" s="70">
        <f>IFERROR(IF(AND(up_Irr!D24&lt;&gt;".",up_Irr!AC24&lt;&gt;".",up_Irr!BB24&lt;&gt;"."),up_dir!E24/((1/1000)*(up_Irr!D24+up_Irr!AC24+up_Irr!BB24)),IF(AND(up_Irr!D24&lt;&gt;".",up_Irr!AC24&lt;&gt;".",up_Irr!BB24="."),up_dir!E24/((1/1000)*(up_Irr!D24+up_Irr!AC24)),IF(AND(up_Irr!D24&lt;&gt;".",up_Irr!AC24=".",up_Irr!BB24&lt;&gt;"."),up_dir!E24/((1/1000)*(up_Irr!D24+up_Irr!BB24)),IF(AND(up_Irr!D24=".",up_Irr!AC24&lt;&gt;".",up_Irr!BB24&lt;&gt;"."),up_dir!E24/((1/1000)*(up_Irr!AC24+up_Irr!BB24)),IF(AND(up_Irr!D24=".",up_Irr!AC24=".",up_Irr!BB24&lt;&gt;"."),up_dir!E24/((1/1000)*(up_Irr!BB24)),IF(AND(up_Irr!D24=".",up_Irr!AC24&lt;&gt;".",up_Irr!BB24="."),up_dir!E24/((1/1000)*(up_Irr!AC24)),IF(AND(up_Irr!D24&lt;&gt;".",up_Irr!AC24=".",up_Irr!BB24="."),up_dir!E24/((1/1000)*(up_Irr!D24)),IF(AND(up_Irr!D24=".",up_Irr!AC24=".",up_Irr!BB24="."),up_dir!E24*1000)))))))),".")</f>
        <v>6.5773651144152131E-4</v>
      </c>
      <c r="F24" s="70">
        <f>IFERROR(IF(AND(up_Irr!E24&lt;&gt;".",up_Irr!AD24&lt;&gt;".",up_Irr!BC24&lt;&gt;"."),up_dir!F24/((1/1000)*(up_Irr!E24+up_Irr!AD24+up_Irr!BC24)),IF(AND(up_Irr!E24&lt;&gt;".",up_Irr!AD24&lt;&gt;".",up_Irr!BC24="."),up_dir!F24/((1/1000)*(up_Irr!E24+up_Irr!AD24)),IF(AND(up_Irr!E24&lt;&gt;".",up_Irr!AD24=".",up_Irr!BC24&lt;&gt;"."),up_dir!F24/((1/1000)*(up_Irr!E24+up_Irr!BC24)),IF(AND(up_Irr!E24=".",up_Irr!AD24&lt;&gt;".",up_Irr!BC24&lt;&gt;"."),up_dir!F24/((1/1000)*(up_Irr!AD24+up_Irr!BC24)),IF(AND(up_Irr!E24=".",up_Irr!AD24=".",up_Irr!BC24&lt;&gt;"."),up_dir!F24/((1/1000)*(up_Irr!BC24)),IF(AND(up_Irr!E24=".",up_Irr!AD24&lt;&gt;".",up_Irr!BC24="."),up_dir!F24/((1/1000)*(up_Irr!AD24)),IF(AND(up_Irr!E24&lt;&gt;".",up_Irr!AD24=".",up_Irr!BC24="."),up_dir!F24/((1/1000)*(up_Irr!E24)),IF(AND(up_Irr!E24=".",up_Irr!AD24=".",up_Irr!BC24="."),up_dir!F24*1000)))))))),".")</f>
        <v>6.5773651144152131E-4</v>
      </c>
      <c r="G24" s="70">
        <f>IFERROR(IF(AND(up_Irr!F24&lt;&gt;".",up_Irr!AE24&lt;&gt;".",up_Irr!BD24&lt;&gt;"."),up_dir!G24/((1/1000)*(up_Irr!F24+up_Irr!AE24+up_Irr!BD24)),IF(AND(up_Irr!F24&lt;&gt;".",up_Irr!AE24&lt;&gt;".",up_Irr!BD24="."),up_dir!G24/((1/1000)*(up_Irr!F24+up_Irr!AE24)),IF(AND(up_Irr!F24&lt;&gt;".",up_Irr!AE24=".",up_Irr!BD24&lt;&gt;"."),up_dir!G24/((1/1000)*(up_Irr!F24+up_Irr!BD24)),IF(AND(up_Irr!F24=".",up_Irr!AE24&lt;&gt;".",up_Irr!BD24&lt;&gt;"."),up_dir!G24/((1/1000)*(up_Irr!AE24+up_Irr!BD24)),IF(AND(up_Irr!F24=".",up_Irr!AE24=".",up_Irr!BD24&lt;&gt;"."),up_dir!G24/((1/1000)*(up_Irr!BD24)),IF(AND(up_Irr!F24=".",up_Irr!AE24&lt;&gt;".",up_Irr!BD24="."),up_dir!G24/((1/1000)*(up_Irr!AE24)),IF(AND(up_Irr!F24&lt;&gt;".",up_Irr!AE24=".",up_Irr!BD24="."),up_dir!G24/((1/1000)*(up_Irr!F24)),IF(AND(up_Irr!F24=".",up_Irr!AE24=".",up_Irr!BD24="."),up_dir!G24*1000)))))))),".")</f>
        <v>6.5773651144152131E-4</v>
      </c>
      <c r="H24" s="70">
        <f>IFERROR(IF(AND(up_Irr!G24&lt;&gt;".",up_Irr!AF24&lt;&gt;".",up_Irr!BE24&lt;&gt;"."),up_dir!H24/((1/1000)*(up_Irr!G24+up_Irr!AF24+up_Irr!BE24)),IF(AND(up_Irr!G24&lt;&gt;".",up_Irr!AF24&lt;&gt;".",up_Irr!BE24="."),up_dir!H24/((1/1000)*(up_Irr!G24+up_Irr!AF24)),IF(AND(up_Irr!G24&lt;&gt;".",up_Irr!AF24=".",up_Irr!BE24&lt;&gt;"."),up_dir!H24/((1/1000)*(up_Irr!G24+up_Irr!BE24)),IF(AND(up_Irr!G24=".",up_Irr!AF24&lt;&gt;".",up_Irr!BE24&lt;&gt;"."),up_dir!H24/((1/1000)*(up_Irr!AF24+up_Irr!BE24)),IF(AND(up_Irr!G24=".",up_Irr!AF24=".",up_Irr!BE24&lt;&gt;"."),up_dir!H24/((1/1000)*(up_Irr!BE24)),IF(AND(up_Irr!G24=".",up_Irr!AF24&lt;&gt;".",up_Irr!BE24="."),up_dir!H24/((1/1000)*(up_Irr!AF24)),IF(AND(up_Irr!G24&lt;&gt;".",up_Irr!AF24=".",up_Irr!BE24="."),up_dir!H24/((1/1000)*(up_Irr!G24)),IF(AND(up_Irr!G24=".",up_Irr!AF24=".",up_Irr!BE24="."),up_dir!H24*1000)))))))),".")</f>
        <v>6.5773651144152131E-4</v>
      </c>
      <c r="I24" s="70">
        <f>IFERROR(IF(AND(up_Irr!H24&lt;&gt;".",up_Irr!AG24&lt;&gt;".",up_Irr!BF24&lt;&gt;"."),up_dir!I24/((1/1000)*(up_Irr!H24+up_Irr!AG24+up_Irr!BF24)),IF(AND(up_Irr!H24&lt;&gt;".",up_Irr!AG24&lt;&gt;".",up_Irr!BF24="."),up_dir!I24/((1/1000)*(up_Irr!H24+up_Irr!AG24)),IF(AND(up_Irr!H24&lt;&gt;".",up_Irr!AG24=".",up_Irr!BF24&lt;&gt;"."),up_dir!I24/((1/1000)*(up_Irr!H24+up_Irr!BF24)),IF(AND(up_Irr!H24=".",up_Irr!AG24&lt;&gt;".",up_Irr!BF24&lt;&gt;"."),up_dir!I24/((1/1000)*(up_Irr!AG24+up_Irr!BF24)),IF(AND(up_Irr!H24=".",up_Irr!AG24=".",up_Irr!BF24&lt;&gt;"."),up_dir!I24/((1/1000)*(up_Irr!BF24)),IF(AND(up_Irr!H24=".",up_Irr!AG24&lt;&gt;".",up_Irr!BF24="."),up_dir!I24/((1/1000)*(up_Irr!AG24)),IF(AND(up_Irr!H24&lt;&gt;".",up_Irr!AG24=".",up_Irr!BF24="."),up_dir!I24/((1/1000)*(up_Irr!H24)),IF(AND(up_Irr!H24=".",up_Irr!AG24=".",up_Irr!BF24="."),up_dir!I24*1000)))))))),".")</f>
        <v>6.5773651144152131E-4</v>
      </c>
      <c r="J24" s="70">
        <f>IFERROR(IF(AND(up_Irr!I24&lt;&gt;".",up_Irr!AH24&lt;&gt;".",up_Irr!BG24&lt;&gt;"."),up_dir!J24/((1/1000)*(up_Irr!I24+up_Irr!AH24+up_Irr!BG24)),IF(AND(up_Irr!I24&lt;&gt;".",up_Irr!AH24&lt;&gt;".",up_Irr!BG24="."),up_dir!J24/((1/1000)*(up_Irr!I24+up_Irr!AH24)),IF(AND(up_Irr!I24&lt;&gt;".",up_Irr!AH24=".",up_Irr!BG24&lt;&gt;"."),up_dir!J24/((1/1000)*(up_Irr!I24+up_Irr!BG24)),IF(AND(up_Irr!I24=".",up_Irr!AH24&lt;&gt;".",up_Irr!BG24&lt;&gt;"."),up_dir!J24/((1/1000)*(up_Irr!AH24+up_Irr!BG24)),IF(AND(up_Irr!I24=".",up_Irr!AH24=".",up_Irr!BG24&lt;&gt;"."),up_dir!J24/((1/1000)*(up_Irr!BG24)),IF(AND(up_Irr!I24=".",up_Irr!AH24&lt;&gt;".",up_Irr!BG24="."),up_dir!J24/((1/1000)*(up_Irr!AH24)),IF(AND(up_Irr!I24&lt;&gt;".",up_Irr!AH24=".",up_Irr!BG24="."),up_dir!J24/((1/1000)*(up_Irr!I24)),IF(AND(up_Irr!I24=".",up_Irr!AH24=".",up_Irr!BG24="."),up_dir!J24*1000)))))))),".")</f>
        <v>6.5773651144152131E-4</v>
      </c>
      <c r="K24" s="70">
        <f>IFERROR(IF(AND(up_Irr!J24&lt;&gt;".",up_Irr!AI24&lt;&gt;".",up_Irr!BH24&lt;&gt;"."),up_dir!K24/((1/1000)*(up_Irr!J24+up_Irr!AI24+up_Irr!BH24)),IF(AND(up_Irr!J24&lt;&gt;".",up_Irr!AI24&lt;&gt;".",up_Irr!BH24="."),up_dir!K24/((1/1000)*(up_Irr!J24+up_Irr!AI24)),IF(AND(up_Irr!J24&lt;&gt;".",up_Irr!AI24=".",up_Irr!BH24&lt;&gt;"."),up_dir!K24/((1/1000)*(up_Irr!J24+up_Irr!BH24)),IF(AND(up_Irr!J24=".",up_Irr!AI24&lt;&gt;".",up_Irr!BH24&lt;&gt;"."),up_dir!K24/((1/1000)*(up_Irr!AI24+up_Irr!BH24)),IF(AND(up_Irr!J24=".",up_Irr!AI24=".",up_Irr!BH24&lt;&gt;"."),up_dir!K24/((1/1000)*(up_Irr!BH24)),IF(AND(up_Irr!J24=".",up_Irr!AI24&lt;&gt;".",up_Irr!BH24="."),up_dir!K24/((1/1000)*(up_Irr!AI24)),IF(AND(up_Irr!J24&lt;&gt;".",up_Irr!AI24=".",up_Irr!BH24="."),up_dir!K24/((1/1000)*(up_Irr!J24)),IF(AND(up_Irr!J24=".",up_Irr!AI24=".",up_Irr!BH24="."),up_dir!K24*1000)))))))),".")</f>
        <v>6.5773651144152131E-4</v>
      </c>
      <c r="L24" s="70">
        <f>IFERROR(IF(AND(up_Irr!K24&lt;&gt;".",up_Irr!AJ24&lt;&gt;".",up_Irr!BI24&lt;&gt;"."),up_dir!L24/((1/1000)*(up_Irr!K24+up_Irr!AJ24+up_Irr!BI24)),IF(AND(up_Irr!K24&lt;&gt;".",up_Irr!AJ24&lt;&gt;".",up_Irr!BI24="."),up_dir!L24/((1/1000)*(up_Irr!K24+up_Irr!AJ24)),IF(AND(up_Irr!K24&lt;&gt;".",up_Irr!AJ24=".",up_Irr!BI24&lt;&gt;"."),up_dir!L24/((1/1000)*(up_Irr!K24+up_Irr!BI24)),IF(AND(up_Irr!K24=".",up_Irr!AJ24&lt;&gt;".",up_Irr!BI24&lt;&gt;"."),up_dir!L24/((1/1000)*(up_Irr!AJ24+up_Irr!BI24)),IF(AND(up_Irr!K24=".",up_Irr!AJ24=".",up_Irr!BI24&lt;&gt;"."),up_dir!L24/((1/1000)*(up_Irr!BI24)),IF(AND(up_Irr!K24=".",up_Irr!AJ24&lt;&gt;".",up_Irr!BI24="."),up_dir!L24/((1/1000)*(up_Irr!AJ24)),IF(AND(up_Irr!K24&lt;&gt;".",up_Irr!AJ24=".",up_Irr!BI24="."),up_dir!L24/((1/1000)*(up_Irr!K24)),IF(AND(up_Irr!K24=".",up_Irr!AJ24=".",up_Irr!BI24="."),up_dir!L24*1000)))))))),".")</f>
        <v>6.5773651144152131E-4</v>
      </c>
      <c r="M24" s="70">
        <f>IFERROR(IF(AND(up_Irr!L24&lt;&gt;".",up_Irr!AK24&lt;&gt;".",up_Irr!BJ24&lt;&gt;"."),up_dir!M24/((1/1000)*(up_Irr!L24+up_Irr!AK24+up_Irr!BJ24)),IF(AND(up_Irr!L24&lt;&gt;".",up_Irr!AK24&lt;&gt;".",up_Irr!BJ24="."),up_dir!M24/((1/1000)*(up_Irr!L24+up_Irr!AK24)),IF(AND(up_Irr!L24&lt;&gt;".",up_Irr!AK24=".",up_Irr!BJ24&lt;&gt;"."),up_dir!M24/((1/1000)*(up_Irr!L24+up_Irr!BJ24)),IF(AND(up_Irr!L24=".",up_Irr!AK24&lt;&gt;".",up_Irr!BJ24&lt;&gt;"."),up_dir!M24/((1/1000)*(up_Irr!AK24+up_Irr!BJ24)),IF(AND(up_Irr!L24=".",up_Irr!AK24=".",up_Irr!BJ24&lt;&gt;"."),up_dir!M24/((1/1000)*(up_Irr!BJ24)),IF(AND(up_Irr!L24=".",up_Irr!AK24&lt;&gt;".",up_Irr!BJ24="."),up_dir!M24/((1/1000)*(up_Irr!AK24)),IF(AND(up_Irr!L24&lt;&gt;".",up_Irr!AK24=".",up_Irr!BJ24="."),up_dir!M24/((1/1000)*(up_Irr!L24)),IF(AND(up_Irr!L24=".",up_Irr!AK24=".",up_Irr!BJ24="."),up_dir!M24*1000)))))))),".")</f>
        <v>6.5773651144152131E-4</v>
      </c>
      <c r="N24" s="70">
        <f>IFERROR(IF(AND(up_Irr!M24&lt;&gt;".",up_Irr!AL24&lt;&gt;".",up_Irr!BK24&lt;&gt;"."),up_dir!N24/((1/1000)*(up_Irr!M24+up_Irr!AL24+up_Irr!BK24)),IF(AND(up_Irr!M24&lt;&gt;".",up_Irr!AL24&lt;&gt;".",up_Irr!BK24="."),up_dir!N24/((1/1000)*(up_Irr!M24+up_Irr!AL24)),IF(AND(up_Irr!M24&lt;&gt;".",up_Irr!AL24=".",up_Irr!BK24&lt;&gt;"."),up_dir!N24/((1/1000)*(up_Irr!M24+up_Irr!BK24)),IF(AND(up_Irr!M24=".",up_Irr!AL24&lt;&gt;".",up_Irr!BK24&lt;&gt;"."),up_dir!N24/((1/1000)*(up_Irr!AL24+up_Irr!BK24)),IF(AND(up_Irr!M24=".",up_Irr!AL24=".",up_Irr!BK24&lt;&gt;"."),up_dir!N24/((1/1000)*(up_Irr!BK24)),IF(AND(up_Irr!M24=".",up_Irr!AL24&lt;&gt;".",up_Irr!BK24="."),up_dir!N24/((1/1000)*(up_Irr!AL24)),IF(AND(up_Irr!M24&lt;&gt;".",up_Irr!AL24=".",up_Irr!BK24="."),up_dir!N24/((1/1000)*(up_Irr!M24)),IF(AND(up_Irr!M24=".",up_Irr!AL24=".",up_Irr!BK24="."),up_dir!N24*1000)))))))),".")</f>
        <v>6.5773651144152131E-4</v>
      </c>
      <c r="O24" s="70">
        <f>IFERROR(IF(AND(up_Irr!N24&lt;&gt;".",up_Irr!AM24&lt;&gt;".",up_Irr!BL24&lt;&gt;"."),up_dir!O24/((1/1000)*(up_Irr!N24+up_Irr!AM24+up_Irr!BL24)),IF(AND(up_Irr!N24&lt;&gt;".",up_Irr!AM24&lt;&gt;".",up_Irr!BL24="."),up_dir!O24/((1/1000)*(up_Irr!N24+up_Irr!AM24)),IF(AND(up_Irr!N24&lt;&gt;".",up_Irr!AM24=".",up_Irr!BL24&lt;&gt;"."),up_dir!O24/((1/1000)*(up_Irr!N24+up_Irr!BL24)),IF(AND(up_Irr!N24=".",up_Irr!AM24&lt;&gt;".",up_Irr!BL24&lt;&gt;"."),up_dir!O24/((1/1000)*(up_Irr!AM24+up_Irr!BL24)),IF(AND(up_Irr!N24=".",up_Irr!AM24=".",up_Irr!BL24&lt;&gt;"."),up_dir!O24/((1/1000)*(up_Irr!BL24)),IF(AND(up_Irr!N24=".",up_Irr!AM24&lt;&gt;".",up_Irr!BL24="."),up_dir!O24/((1/1000)*(up_Irr!AM24)),IF(AND(up_Irr!N24&lt;&gt;".",up_Irr!AM24=".",up_Irr!BL24="."),up_dir!O24/((1/1000)*(up_Irr!N24)),IF(AND(up_Irr!N24=".",up_Irr!AM24=".",up_Irr!BL24="."),up_dir!O24*1000)))))))),".")</f>
        <v>6.5773651144152131E-4</v>
      </c>
      <c r="P24" s="70">
        <f>IFERROR(IF(AND(up_Irr!O24&lt;&gt;".",up_Irr!AN24&lt;&gt;".",up_Irr!BM24&lt;&gt;"."),up_dir!P24/((1/1000)*(up_Irr!O24+up_Irr!AN24+up_Irr!BM24)),IF(AND(up_Irr!O24&lt;&gt;".",up_Irr!AN24&lt;&gt;".",up_Irr!BM24="."),up_dir!P24/((1/1000)*(up_Irr!O24+up_Irr!AN24)),IF(AND(up_Irr!O24&lt;&gt;".",up_Irr!AN24=".",up_Irr!BM24&lt;&gt;"."),up_dir!P24/((1/1000)*(up_Irr!O24+up_Irr!BM24)),IF(AND(up_Irr!O24=".",up_Irr!AN24&lt;&gt;".",up_Irr!BM24&lt;&gt;"."),up_dir!P24/((1/1000)*(up_Irr!AN24+up_Irr!BM24)),IF(AND(up_Irr!O24=".",up_Irr!AN24=".",up_Irr!BM24&lt;&gt;"."),up_dir!P24/((1/1000)*(up_Irr!BM24)),IF(AND(up_Irr!O24=".",up_Irr!AN24&lt;&gt;".",up_Irr!BM24="."),up_dir!P24/((1/1000)*(up_Irr!AN24)),IF(AND(up_Irr!O24&lt;&gt;".",up_Irr!AN24=".",up_Irr!BM24="."),up_dir!P24/((1/1000)*(up_Irr!O24)),IF(AND(up_Irr!O24=".",up_Irr!AN24=".",up_Irr!BM24="."),up_dir!P24*1000)))))))),".")</f>
        <v>6.5773651144152131E-4</v>
      </c>
      <c r="Q24" s="70">
        <f>IFERROR(IF(AND(up_Irr!P24&lt;&gt;".",up_Irr!AO24&lt;&gt;".",up_Irr!BN24&lt;&gt;"."),up_dir!Q24/((1/1000)*(up_Irr!P24+up_Irr!AO24+up_Irr!BN24)),IF(AND(up_Irr!P24&lt;&gt;".",up_Irr!AO24&lt;&gt;".",up_Irr!BN24="."),up_dir!Q24/((1/1000)*(up_Irr!P24+up_Irr!AO24)),IF(AND(up_Irr!P24&lt;&gt;".",up_Irr!AO24=".",up_Irr!BN24&lt;&gt;"."),up_dir!Q24/((1/1000)*(up_Irr!P24+up_Irr!BN24)),IF(AND(up_Irr!P24=".",up_Irr!AO24&lt;&gt;".",up_Irr!BN24&lt;&gt;"."),up_dir!Q24/((1/1000)*(up_Irr!AO24+up_Irr!BN24)),IF(AND(up_Irr!P24=".",up_Irr!AO24=".",up_Irr!BN24&lt;&gt;"."),up_dir!Q24/((1/1000)*(up_Irr!BN24)),IF(AND(up_Irr!P24=".",up_Irr!AO24&lt;&gt;".",up_Irr!BN24="."),up_dir!Q24/((1/1000)*(up_Irr!AO24)),IF(AND(up_Irr!P24&lt;&gt;".",up_Irr!AO24=".",up_Irr!BN24="."),up_dir!Q24/((1/1000)*(up_Irr!P24)),IF(AND(up_Irr!P24=".",up_Irr!AO24=".",up_Irr!BN24="."),up_dir!Q24*1000)))))))),".")</f>
        <v>6.5773651144152131E-4</v>
      </c>
      <c r="R24" s="70">
        <f>IFERROR(IF(AND(up_Irr!Q24&lt;&gt;".",up_Irr!AP24&lt;&gt;".",up_Irr!BO24&lt;&gt;"."),up_dir!R24/((1/1000)*(up_Irr!Q24+up_Irr!AP24+up_Irr!BO24)),IF(AND(up_Irr!Q24&lt;&gt;".",up_Irr!AP24&lt;&gt;".",up_Irr!BO24="."),up_dir!R24/((1/1000)*(up_Irr!Q24+up_Irr!AP24)),IF(AND(up_Irr!Q24&lt;&gt;".",up_Irr!AP24=".",up_Irr!BO24&lt;&gt;"."),up_dir!R24/((1/1000)*(up_Irr!Q24+up_Irr!BO24)),IF(AND(up_Irr!Q24=".",up_Irr!AP24&lt;&gt;".",up_Irr!BO24&lt;&gt;"."),up_dir!R24/((1/1000)*(up_Irr!AP24+up_Irr!BO24)),IF(AND(up_Irr!Q24=".",up_Irr!AP24=".",up_Irr!BO24&lt;&gt;"."),up_dir!R24/((1/1000)*(up_Irr!BO24)),IF(AND(up_Irr!Q24=".",up_Irr!AP24&lt;&gt;".",up_Irr!BO24="."),up_dir!R24/((1/1000)*(up_Irr!AP24)),IF(AND(up_Irr!Q24&lt;&gt;".",up_Irr!AP24=".",up_Irr!BO24="."),up_dir!R24/((1/1000)*(up_Irr!Q24)),IF(AND(up_Irr!Q24=".",up_Irr!AP24=".",up_Irr!BO24="."),up_dir!R24*1000)))))))),".")</f>
        <v>6.5773651144152131E-4</v>
      </c>
      <c r="S24" s="70">
        <f>IFERROR(IF(AND(up_Irr!R24&lt;&gt;".",up_Irr!AQ24&lt;&gt;".",up_Irr!BP24&lt;&gt;"."),up_dir!S24/((1/1000)*(up_Irr!R24+up_Irr!AQ24+up_Irr!BP24)),IF(AND(up_Irr!R24&lt;&gt;".",up_Irr!AQ24&lt;&gt;".",up_Irr!BP24="."),up_dir!S24/((1/1000)*(up_Irr!R24+up_Irr!AQ24)),IF(AND(up_Irr!R24&lt;&gt;".",up_Irr!AQ24=".",up_Irr!BP24&lt;&gt;"."),up_dir!S24/((1/1000)*(up_Irr!R24+up_Irr!BP24)),IF(AND(up_Irr!R24=".",up_Irr!AQ24&lt;&gt;".",up_Irr!BP24&lt;&gt;"."),up_dir!S24/((1/1000)*(up_Irr!AQ24+up_Irr!BP24)),IF(AND(up_Irr!R24=".",up_Irr!AQ24=".",up_Irr!BP24&lt;&gt;"."),up_dir!S24/((1/1000)*(up_Irr!BP24)),IF(AND(up_Irr!R24=".",up_Irr!AQ24&lt;&gt;".",up_Irr!BP24="."),up_dir!S24/((1/1000)*(up_Irr!AQ24)),IF(AND(up_Irr!R24&lt;&gt;".",up_Irr!AQ24=".",up_Irr!BP24="."),up_dir!S24/((1/1000)*(up_Irr!R24)),IF(AND(up_Irr!R24=".",up_Irr!AQ24=".",up_Irr!BP24="."),up_dir!S24*1000)))))))),".")</f>
        <v>6.5773651144152131E-4</v>
      </c>
      <c r="T24" s="70">
        <f>IFERROR(IF(AND(up_Irr!S24&lt;&gt;".",up_Irr!AR24&lt;&gt;".",up_Irr!BQ24&lt;&gt;"."),up_dir!T24/((1/1000)*(up_Irr!S24+up_Irr!AR24+up_Irr!BQ24)),IF(AND(up_Irr!S24&lt;&gt;".",up_Irr!AR24&lt;&gt;".",up_Irr!BQ24="."),up_dir!T24/((1/1000)*(up_Irr!S24+up_Irr!AR24)),IF(AND(up_Irr!S24&lt;&gt;".",up_Irr!AR24=".",up_Irr!BQ24&lt;&gt;"."),up_dir!T24/((1/1000)*(up_Irr!S24+up_Irr!BQ24)),IF(AND(up_Irr!S24=".",up_Irr!AR24&lt;&gt;".",up_Irr!BQ24&lt;&gt;"."),up_dir!T24/((1/1000)*(up_Irr!AR24+up_Irr!BQ24)),IF(AND(up_Irr!S24=".",up_Irr!AR24=".",up_Irr!BQ24&lt;&gt;"."),up_dir!T24/((1/1000)*(up_Irr!BQ24)),IF(AND(up_Irr!S24=".",up_Irr!AR24&lt;&gt;".",up_Irr!BQ24="."),up_dir!T24/((1/1000)*(up_Irr!AR24)),IF(AND(up_Irr!S24&lt;&gt;".",up_Irr!AR24=".",up_Irr!BQ24="."),up_dir!T24/((1/1000)*(up_Irr!S24)),IF(AND(up_Irr!S24=".",up_Irr!AR24=".",up_Irr!BQ24="."),up_dir!T24*1000)))))))),".")</f>
        <v>6.5773651144152131E-4</v>
      </c>
      <c r="U24" s="70">
        <f>IFERROR(IF(AND(up_Irr!T24&lt;&gt;".",up_Irr!AS24&lt;&gt;".",up_Irr!BR24&lt;&gt;"."),up_dir!U24/((1/1000)*(up_Irr!T24+up_Irr!AS24+up_Irr!BR24)),IF(AND(up_Irr!T24&lt;&gt;".",up_Irr!AS24&lt;&gt;".",up_Irr!BR24="."),up_dir!U24/((1/1000)*(up_Irr!T24+up_Irr!AS24)),IF(AND(up_Irr!T24&lt;&gt;".",up_Irr!AS24=".",up_Irr!BR24&lt;&gt;"."),up_dir!U24/((1/1000)*(up_Irr!T24+up_Irr!BR24)),IF(AND(up_Irr!T24=".",up_Irr!AS24&lt;&gt;".",up_Irr!BR24&lt;&gt;"."),up_dir!U24/((1/1000)*(up_Irr!AS24+up_Irr!BR24)),IF(AND(up_Irr!T24=".",up_Irr!AS24=".",up_Irr!BR24&lt;&gt;"."),up_dir!U24/((1/1000)*(up_Irr!BR24)),IF(AND(up_Irr!T24=".",up_Irr!AS24&lt;&gt;".",up_Irr!BR24="."),up_dir!U24/((1/1000)*(up_Irr!AS24)),IF(AND(up_Irr!T24&lt;&gt;".",up_Irr!AS24=".",up_Irr!BR24="."),up_dir!U24/((1/1000)*(up_Irr!T24)),IF(AND(up_Irr!T24=".",up_Irr!AS24=".",up_Irr!BR24="."),up_dir!U24*1000)))))))),".")</f>
        <v>6.5773651144152131E-4</v>
      </c>
      <c r="V24" s="70">
        <f>IFERROR(IF(AND(up_Irr!U24&lt;&gt;".",up_Irr!AT24&lt;&gt;".",up_Irr!BS24&lt;&gt;"."),up_dir!V24/((1/1000)*(up_Irr!U24+up_Irr!AT24+up_Irr!BS24)),IF(AND(up_Irr!U24&lt;&gt;".",up_Irr!AT24&lt;&gt;".",up_Irr!BS24="."),up_dir!V24/((1/1000)*(up_Irr!U24+up_Irr!AT24)),IF(AND(up_Irr!U24&lt;&gt;".",up_Irr!AT24=".",up_Irr!BS24&lt;&gt;"."),up_dir!V24/((1/1000)*(up_Irr!U24+up_Irr!BS24)),IF(AND(up_Irr!U24=".",up_Irr!AT24&lt;&gt;".",up_Irr!BS24&lt;&gt;"."),up_dir!V24/((1/1000)*(up_Irr!AT24+up_Irr!BS24)),IF(AND(up_Irr!U24=".",up_Irr!AT24=".",up_Irr!BS24&lt;&gt;"."),up_dir!V24/((1/1000)*(up_Irr!BS24)),IF(AND(up_Irr!U24=".",up_Irr!AT24&lt;&gt;".",up_Irr!BS24="."),up_dir!V24/((1/1000)*(up_Irr!AT24)),IF(AND(up_Irr!U24&lt;&gt;".",up_Irr!AT24=".",up_Irr!BS24="."),up_dir!V24/((1/1000)*(up_Irr!U24)),IF(AND(up_Irr!U24=".",up_Irr!AT24=".",up_Irr!BS24="."),up_dir!V24*1000)))))))),".")</f>
        <v>6.5773651144152131E-4</v>
      </c>
      <c r="W24" s="70">
        <f>IFERROR(IF(AND(up_Irr!V24&lt;&gt;".",up_Irr!AU24&lt;&gt;".",up_Irr!BT24&lt;&gt;"."),up_dir!W24/((1/1000)*(up_Irr!V24+up_Irr!AU24+up_Irr!BT24)),IF(AND(up_Irr!V24&lt;&gt;".",up_Irr!AU24&lt;&gt;".",up_Irr!BT24="."),up_dir!W24/((1/1000)*(up_Irr!V24+up_Irr!AU24)),IF(AND(up_Irr!V24&lt;&gt;".",up_Irr!AU24=".",up_Irr!BT24&lt;&gt;"."),up_dir!W24/((1/1000)*(up_Irr!V24+up_Irr!BT24)),IF(AND(up_Irr!V24=".",up_Irr!AU24&lt;&gt;".",up_Irr!BT24&lt;&gt;"."),up_dir!W24/((1/1000)*(up_Irr!AU24+up_Irr!BT24)),IF(AND(up_Irr!V24=".",up_Irr!AU24=".",up_Irr!BT24&lt;&gt;"."),up_dir!W24/((1/1000)*(up_Irr!BT24)),IF(AND(up_Irr!V24=".",up_Irr!AU24&lt;&gt;".",up_Irr!BT24="."),up_dir!W24/((1/1000)*(up_Irr!AU24)),IF(AND(up_Irr!V24&lt;&gt;".",up_Irr!AU24=".",up_Irr!BT24="."),up_dir!W24/((1/1000)*(up_Irr!V24)),IF(AND(up_Irr!V24=".",up_Irr!AU24=".",up_Irr!BT24="."),up_dir!W24*1000)))))))),".")</f>
        <v>6.5773651144152131E-4</v>
      </c>
      <c r="X24" s="70">
        <f>IFERROR(IF(AND(up_Irr!W24&lt;&gt;".",up_Irr!AV24&lt;&gt;".",up_Irr!BU24&lt;&gt;"."),up_dir!X24/((1/1000)*(up_Irr!W24+up_Irr!AV24+up_Irr!BU24)),IF(AND(up_Irr!W24&lt;&gt;".",up_Irr!AV24&lt;&gt;".",up_Irr!BU24="."),up_dir!X24/((1/1000)*(up_Irr!W24+up_Irr!AV24)),IF(AND(up_Irr!W24&lt;&gt;".",up_Irr!AV24=".",up_Irr!BU24&lt;&gt;"."),up_dir!X24/((1/1000)*(up_Irr!W24+up_Irr!BU24)),IF(AND(up_Irr!W24=".",up_Irr!AV24&lt;&gt;".",up_Irr!BU24&lt;&gt;"."),up_dir!X24/((1/1000)*(up_Irr!AV24+up_Irr!BU24)),IF(AND(up_Irr!W24=".",up_Irr!AV24=".",up_Irr!BU24&lt;&gt;"."),up_dir!X24/((1/1000)*(up_Irr!BU24)),IF(AND(up_Irr!W24=".",up_Irr!AV24&lt;&gt;".",up_Irr!BU24="."),up_dir!X24/((1/1000)*(up_Irr!AV24)),IF(AND(up_Irr!W24&lt;&gt;".",up_Irr!AV24=".",up_Irr!BU24="."),up_dir!X24/((1/1000)*(up_Irr!W24)),IF(AND(up_Irr!W24=".",up_Irr!AV24=".",up_Irr!BU24="."),up_dir!X24*1000)))))))),".")</f>
        <v>6.5773651144152131E-4</v>
      </c>
      <c r="Y24" s="70">
        <f>IFERROR(IF(AND(up_Irr!X24&lt;&gt;".",up_Irr!AW24&lt;&gt;".",up_Irr!BV24&lt;&gt;"."),up_dir!Y24/((1/1000)*(up_Irr!X24+up_Irr!AW24+up_Irr!BV24)),IF(AND(up_Irr!X24&lt;&gt;".",up_Irr!AW24&lt;&gt;".",up_Irr!BV24="."),up_dir!Y24/((1/1000)*(up_Irr!X24+up_Irr!AW24)),IF(AND(up_Irr!X24&lt;&gt;".",up_Irr!AW24=".",up_Irr!BV24&lt;&gt;"."),up_dir!Y24/((1/1000)*(up_Irr!X24+up_Irr!BV24)),IF(AND(up_Irr!X24=".",up_Irr!AW24&lt;&gt;".",up_Irr!BV24&lt;&gt;"."),up_dir!Y24/((1/1000)*(up_Irr!AW24+up_Irr!BV24)),IF(AND(up_Irr!X24=".",up_Irr!AW24=".",up_Irr!BV24&lt;&gt;"."),up_dir!Y24/((1/1000)*(up_Irr!BV24)),IF(AND(up_Irr!X24=".",up_Irr!AW24&lt;&gt;".",up_Irr!BV24="."),up_dir!Y24/((1/1000)*(up_Irr!AW24)),IF(AND(up_Irr!X24&lt;&gt;".",up_Irr!AW24=".",up_Irr!BV24="."),up_dir!Y24/((1/1000)*(up_Irr!X24)),IF(AND(up_Irr!X24=".",up_Irr!AW24=".",up_Irr!BV24="."),up_dir!Y24*1000)))))))),".")</f>
        <v>6.5773651144152131E-4</v>
      </c>
      <c r="Z24" s="70">
        <f>IFERROR(IF(AND(up_Irr!Y24&lt;&gt;".",up_Irr!AX24&lt;&gt;".",up_Irr!BW24&lt;&gt;"."),up_dir!Z24/((1/1000)*(up_Irr!Y24+up_Irr!AX24+up_Irr!BW24)),IF(AND(up_Irr!Y24&lt;&gt;".",up_Irr!AX24&lt;&gt;".",up_Irr!BW24="."),up_dir!Z24/((1/1000)*(up_Irr!Y24+up_Irr!AX24)),IF(AND(up_Irr!Y24&lt;&gt;".",up_Irr!AX24=".",up_Irr!BW24&lt;&gt;"."),up_dir!Z24/((1/1000)*(up_Irr!Y24+up_Irr!BW24)),IF(AND(up_Irr!Y24=".",up_Irr!AX24&lt;&gt;".",up_Irr!BW24&lt;&gt;"."),up_dir!Z24/((1/1000)*(up_Irr!AX24+up_Irr!BW24)),IF(AND(up_Irr!Y24=".",up_Irr!AX24=".",up_Irr!BW24&lt;&gt;"."),up_dir!Z24/((1/1000)*(up_Irr!BW24)),IF(AND(up_Irr!Y24=".",up_Irr!AX24&lt;&gt;".",up_Irr!BW24="."),up_dir!Z24/((1/1000)*(up_Irr!AX24)),IF(AND(up_Irr!Y24&lt;&gt;".",up_Irr!AX24=".",up_Irr!BW24="."),up_dir!Z24/((1/1000)*(up_Irr!Y24)),IF(AND(up_Irr!Y24=".",up_Irr!AX24=".",up_Irr!BW24="."),up_dir!Z24*1000)))))))),".")</f>
        <v>6.5773651144152131E-4</v>
      </c>
      <c r="AA24" s="70">
        <f>IFERROR(IF(AND(up_Irr!Z24&lt;&gt;".",up_Irr!AY24&lt;&gt;".",up_Irr!BX24&lt;&gt;"."),up_dir!AA24/((1/1000)*(up_Irr!Z24+up_Irr!AY24+up_Irr!BX24)),IF(AND(up_Irr!Z24&lt;&gt;".",up_Irr!AY24&lt;&gt;".",up_Irr!BX24="."),up_dir!AA24/((1/1000)*(up_Irr!Z24+up_Irr!AY24)),IF(AND(up_Irr!Z24&lt;&gt;".",up_Irr!AY24=".",up_Irr!BX24&lt;&gt;"."),up_dir!AA24/((1/1000)*(up_Irr!Z24+up_Irr!BX24)),IF(AND(up_Irr!Z24=".",up_Irr!AY24&lt;&gt;".",up_Irr!BX24&lt;&gt;"."),up_dir!AA24/((1/1000)*(up_Irr!AY24+up_Irr!BX24)),IF(AND(up_Irr!Z24=".",up_Irr!AY24=".",up_Irr!BX24&lt;&gt;"."),up_dir!AA24/((1/1000)*(up_Irr!BX24)),IF(AND(up_Irr!Z24=".",up_Irr!AY24&lt;&gt;".",up_Irr!BX24="."),up_dir!AA24/((1/1000)*(up_Irr!AY24)),IF(AND(up_Irr!Z24&lt;&gt;".",up_Irr!AY24=".",up_Irr!BX24="."),up_dir!AA24/((1/1000)*(up_Irr!Z24)),IF(AND(up_Irr!Z24=".",up_Irr!AY24=".",up_Irr!BX24="."),up_dir!AA24*1000)))))))),".")</f>
        <v>6.5773651144152131E-4</v>
      </c>
      <c r="AB24" s="70">
        <f>IFERROR(IF(AND(up_Irr!AA24&lt;&gt;".",up_Irr!AZ24&lt;&gt;".",up_Irr!BY24&lt;&gt;"."),up_dir!AB24/((1/1000)*(up_Irr!AA24+up_Irr!AZ24+up_Irr!BY24)),IF(AND(up_Irr!AA24&lt;&gt;".",up_Irr!AZ24&lt;&gt;".",up_Irr!BY24="."),up_dir!AB24/((1/1000)*(up_Irr!AA24+up_Irr!AZ24)),IF(AND(up_Irr!AA24&lt;&gt;".",up_Irr!AZ24=".",up_Irr!BY24&lt;&gt;"."),up_dir!AB24/((1/1000)*(up_Irr!AA24+up_Irr!BY24)),IF(AND(up_Irr!AA24=".",up_Irr!AZ24&lt;&gt;".",up_Irr!BY24&lt;&gt;"."),up_dir!AB24/((1/1000)*(up_Irr!AZ24+up_Irr!BY24)),IF(AND(up_Irr!AA24=".",up_Irr!AZ24=".",up_Irr!BY24&lt;&gt;"."),up_dir!AB24/((1/1000)*(up_Irr!BY24)),IF(AND(up_Irr!AA24=".",up_Irr!AZ24&lt;&gt;".",up_Irr!BY24="."),up_dir!AB24/((1/1000)*(up_Irr!AZ24)),IF(AND(up_Irr!AA24&lt;&gt;".",up_Irr!AZ24=".",up_Irr!BY24="."),up_dir!AB24/((1/1000)*(up_Irr!AA24)),IF(AND(up_Irr!AA24=".",up_Irr!AZ24=".",up_Irr!BY24="."),up_dir!AB24*1000)))))))),".")</f>
        <v>6.5773651144152131E-4</v>
      </c>
      <c r="AC24" s="87">
        <f t="shared" si="1"/>
        <v>30407.313038114935</v>
      </c>
      <c r="AD24" s="87">
        <f>IFERROR(s_C*s_IFAP_res_adj*s_CF_apple*0.001*(up_Irr!C24+up_Irr!AB24+up_Irr!BA24),".")</f>
        <v>7601.8282595287337</v>
      </c>
      <c r="AE24" s="87">
        <f>IFERROR(s_C*s_IFAS_res_adj*s_CF_asparagus*0.001*(up_Irr!D24+up_Irr!AC24+up_Irr!BB24),".")</f>
        <v>7601.8282595287337</v>
      </c>
      <c r="AF24" s="87">
        <f>IFERROR(s_C*s_IFBT_res_adj*s_CF_beet*0.001*(up_Irr!E24+up_Irr!AD24+up_Irr!BC24),".")</f>
        <v>7601.8282595287337</v>
      </c>
      <c r="AG24" s="87">
        <f>IFERROR(s_C*s_IFBE_res_adj*s_CF_berries*0.001*(up_Irr!F24+up_Irr!AE24+up_Irr!BD24),".")</f>
        <v>7601.8282595287337</v>
      </c>
      <c r="AH24" s="87">
        <f>IFERROR(s_C*s_IFBR_res_adj*s_CF_broccoli*0.001*(up_Irr!G24+up_Irr!AF24+up_Irr!BE24),".")</f>
        <v>7601.8282595287337</v>
      </c>
      <c r="AI24" s="87">
        <f>IFERROR(s_C*s_IFCB_res_adj*s_CF_cabbage*0.001*(up_Irr!H24+up_Irr!AG24+up_Irr!BF24),".")</f>
        <v>7601.8282595287337</v>
      </c>
      <c r="AJ24" s="87">
        <f>IFERROR(s_C*s_IFCR_res_adj*s_CF_carrot*0.001*(up_Irr!I24+up_Irr!AH24+up_Irr!BG24),".")</f>
        <v>7601.8282595287337</v>
      </c>
      <c r="AK24" s="87">
        <f>IFERROR(s_C*s_IFCI_res_adj*s_CF_citrus*0.001*(up_Irr!J24+up_Irr!AI24+up_Irr!BH24),".")</f>
        <v>7601.8282595287337</v>
      </c>
      <c r="AL24" s="87">
        <f>IFERROR(s_C*s_IFCO_res_adj*s_CF_corn*0.001*(up_Irr!K24+up_Irr!AJ24+up_Irr!BI24),".")</f>
        <v>7601.8282595287337</v>
      </c>
      <c r="AM24" s="87">
        <f>IFERROR(s_C*s_IFCU_res_adj*s_CF_cucumber*0.001*(up_Irr!L24+up_Irr!AK24+up_Irr!BJ24),".")</f>
        <v>7601.8282595287337</v>
      </c>
      <c r="AN24" s="87">
        <f>IFERROR(s_C*s_IFLE_res_adj*s_CF_lettuce*0.001*(up_Irr!M24+up_Irr!AL24+up_Irr!BK24),".")</f>
        <v>7601.8282595287337</v>
      </c>
      <c r="AO24" s="87">
        <f>IFERROR(s_C*s_IFLI_res_adj*s_CF_lima_bean*0.001*(up_Irr!N24+up_Irr!AM24+up_Irr!BL24),".")</f>
        <v>7601.8282595287337</v>
      </c>
      <c r="AP24" s="87">
        <f>IFERROR(s_C*s_IFOK_res_adj*s_CF_okra*0.001*(up_Irr!O24+up_Irr!AN24+up_Irr!BM24),".")</f>
        <v>7601.8282595287337</v>
      </c>
      <c r="AQ24" s="87">
        <f>IFERROR(s_C*s_IFON_res_adj*s_CF_onion*0.001*(up_Irr!P24+up_Irr!AO24+up_Irr!BN24),".")</f>
        <v>7601.8282595287337</v>
      </c>
      <c r="AR24" s="87">
        <f>IFERROR(s_C*s_IFPC_res_adj*s_CF_peach*0.001*(up_Irr!Q24+up_Irr!AP24+up_Irr!BO24),".")</f>
        <v>7601.8282595287337</v>
      </c>
      <c r="AS24" s="87">
        <f>IFERROR(s_C*s_IFPR_res_adj*s_CF_pear*0.001*(up_Irr!R24+up_Irr!AQ24+up_Irr!BP24),".")</f>
        <v>7601.8282595287337</v>
      </c>
      <c r="AT24" s="87">
        <f>IFERROR(s_C*s_IFPE_res_adj*s_CF_peas*0.001*(up_Irr!S24+up_Irr!AR24+up_Irr!BQ24),".")</f>
        <v>7601.8282595287337</v>
      </c>
      <c r="AU24" s="87">
        <f>IFERROR(s_C*s_IFPP_res_adj*s_CF_peppers*0.001*(up_Irr!T24+up_Irr!AS24+up_Irr!BR24),".")</f>
        <v>7601.8282595287337</v>
      </c>
      <c r="AV24" s="87">
        <f>IFERROR(s_C*s_IFPT_res_adj*s_CF_potato*0.001*(up_Irr!U24+up_Irr!AT24+up_Irr!BS24),".")</f>
        <v>7601.8282595287337</v>
      </c>
      <c r="AW24" s="87">
        <f>IFERROR(s_C*s_IFPU_res_adj*s_CF_pumpkin*0.001*(up_Irr!V24+up_Irr!AU24+up_Irr!BT24),".")</f>
        <v>7601.8282595287337</v>
      </c>
      <c r="AX24" s="87">
        <f>IFERROR(s_C*s_IFSN_res_adj*s_CF_snap_bean*0.001*(up_Irr!W24+up_Irr!AV24+up_Irr!BU24),".")</f>
        <v>7601.8282595287337</v>
      </c>
      <c r="AY24" s="87">
        <f>IFERROR(s_C*s_IFST_res_adj*s_CF_strawberry*0.001*(up_Irr!X24+up_Irr!AW24+up_Irr!BV24),".")</f>
        <v>7601.8282595287337</v>
      </c>
      <c r="AZ24" s="87">
        <f>IFERROR(s_C*s_IFTO_res_adj*s_CF_tomato*0.001*(up_Irr!Y24+up_Irr!AX24+up_Irr!BW24),".")</f>
        <v>7601.8282595287337</v>
      </c>
      <c r="BA24" s="87">
        <f>IFERROR(s_C*s_IFRI_res_adj*s_CF_rice*0.001*(up_Irr!Z24+up_Irr!AY24+up_Irr!BX24),".")</f>
        <v>7601.8282595287337</v>
      </c>
      <c r="BB24" s="87">
        <f>IFERROR(s_C*s_IFCG_res_adj*s_CF_cereal*0.001*(up_Irr!AA24+up_Irr!AZ24+up_Irr!BY24),".")</f>
        <v>7601.8282595287337</v>
      </c>
      <c r="BC24" s="70">
        <f t="shared" si="2"/>
        <v>1.6443412786038033E-4</v>
      </c>
      <c r="BD24" s="70">
        <f>IFERROR(IF(AND(up_Irr!C24&lt;&gt;".",up_Irr!AB24&lt;&gt;".",up_Irr!BA24&lt;&gt;"."),up_dir!AD24/((1/1000)*(up_Irr!C24+up_Irr!AB24+up_Irr!BA24)),IF(AND(up_Irr!C24&lt;&gt;".",up_Irr!AB24&lt;&gt;".",up_Irr!BA24="."),up_dir!AD24/((1/1000)*(up_Irr!C24+up_Irr!AB24)),IF(AND(up_Irr!C24&lt;&gt;".",up_Irr!AB24=".",up_Irr!BA24&lt;&gt;"."),up_dir!AD24/((1/1000)*(up_Irr!C24+up_Irr!BA24)),IF(AND(up_Irr!C24=".",up_Irr!AB24&lt;&gt;".",up_Irr!BA24&lt;&gt;"."),up_dir!AD24/((1/1000)*(up_Irr!AB24+up_Irr!BA24)),IF(AND(up_Irr!C24=".",up_Irr!AB24=".",up_Irr!BA24&lt;&gt;"."),up_dir!AD24/((1/1000)*(up_Irr!BA24)),IF(AND(up_Irr!C24=".",up_Irr!AB24&lt;&gt;".",up_Irr!BA24="."),up_dir!AD24/((1/1000)*(up_Irr!AB24)),IF(AND(up_Irr!C24&lt;&gt;".",up_Irr!AB24=".",up_Irr!BA24="."),up_dir!AD24/((1/1000)*(up_Irr!C24)),IF(AND(up_Irr!C24=".",up_Irr!AB24=".",up_Irr!BA24="."),up_dir!AD24*1000)))))))),".")</f>
        <v>6.5773651144152131E-4</v>
      </c>
      <c r="BE24" s="70">
        <f>IFERROR(IF(AND(up_Irr!D24&lt;&gt;".",up_Irr!AC24&lt;&gt;".",up_Irr!BB24&lt;&gt;"."),up_dir!AE24/((1/1000)*(up_Irr!D24+up_Irr!AC24+up_Irr!BB24)),IF(AND(up_Irr!D24&lt;&gt;".",up_Irr!AC24&lt;&gt;".",up_Irr!BB24="."),up_dir!AE24/((1/1000)*(up_Irr!D24+up_Irr!AC24)),IF(AND(up_Irr!D24&lt;&gt;".",up_Irr!AC24=".",up_Irr!BB24&lt;&gt;"."),up_dir!AE24/((1/1000)*(up_Irr!D24+up_Irr!BB24)),IF(AND(up_Irr!D24=".",up_Irr!AC24&lt;&gt;".",up_Irr!BB24&lt;&gt;"."),up_dir!AE24/((1/1000)*(up_Irr!AC24+up_Irr!BB24)),IF(AND(up_Irr!D24=".",up_Irr!AC24=".",up_Irr!BB24&lt;&gt;"."),up_dir!AE24/((1/1000)*(up_Irr!BB24)),IF(AND(up_Irr!D24=".",up_Irr!AC24&lt;&gt;".",up_Irr!BB24="."),up_dir!AE24/((1/1000)*(up_Irr!AC24)),IF(AND(up_Irr!D24&lt;&gt;".",up_Irr!AC24=".",up_Irr!BB24="."),up_dir!AE24/((1/1000)*(up_Irr!D24)),IF(AND(up_Irr!D24=".",up_Irr!AC24=".",up_Irr!BB24="."),up_dir!AE24*1000)))))))),".")</f>
        <v>6.5773651144152131E-4</v>
      </c>
      <c r="BF24" s="70">
        <f>IFERROR(IF(AND(up_Irr!E24&lt;&gt;".",up_Irr!AD24&lt;&gt;".",up_Irr!BC24&lt;&gt;"."),up_dir!AF24/((1/1000)*(up_Irr!E24+up_Irr!AD24+up_Irr!BC24)),IF(AND(up_Irr!E24&lt;&gt;".",up_Irr!AD24&lt;&gt;".",up_Irr!BC24="."),up_dir!AF24/((1/1000)*(up_Irr!E24+up_Irr!AD24)),IF(AND(up_Irr!E24&lt;&gt;".",up_Irr!AD24=".",up_Irr!BC24&lt;&gt;"."),up_dir!AF24/((1/1000)*(up_Irr!E24+up_Irr!BC24)),IF(AND(up_Irr!E24=".",up_Irr!AD24&lt;&gt;".",up_Irr!BC24&lt;&gt;"."),up_dir!AF24/((1/1000)*(up_Irr!AD24+up_Irr!BC24)),IF(AND(up_Irr!E24=".",up_Irr!AD24=".",up_Irr!BC24&lt;&gt;"."),up_dir!AF24/((1/1000)*(up_Irr!BC24)),IF(AND(up_Irr!E24=".",up_Irr!AD24&lt;&gt;".",up_Irr!BC24="."),up_dir!AF24/((1/1000)*(up_Irr!AD24)),IF(AND(up_Irr!E24&lt;&gt;".",up_Irr!AD24=".",up_Irr!BC24="."),up_dir!AF24/((1/1000)*(up_Irr!E24)),IF(AND(up_Irr!E24=".",up_Irr!AD24=".",up_Irr!BC24="."),up_dir!AF24*1000)))))))),".")</f>
        <v>6.5773651144152131E-4</v>
      </c>
      <c r="BG24" s="70">
        <f>IFERROR(IF(AND(up_Irr!F24&lt;&gt;".",up_Irr!AE24&lt;&gt;".",up_Irr!BD24&lt;&gt;"."),up_dir!AG24/((1/1000)*(up_Irr!F24+up_Irr!AE24+up_Irr!BD24)),IF(AND(up_Irr!F24&lt;&gt;".",up_Irr!AE24&lt;&gt;".",up_Irr!BD24="."),up_dir!AG24/((1/1000)*(up_Irr!F24+up_Irr!AE24)),IF(AND(up_Irr!F24&lt;&gt;".",up_Irr!AE24=".",up_Irr!BD24&lt;&gt;"."),up_dir!AG24/((1/1000)*(up_Irr!F24+up_Irr!BD24)),IF(AND(up_Irr!F24=".",up_Irr!AE24&lt;&gt;".",up_Irr!BD24&lt;&gt;"."),up_dir!AG24/((1/1000)*(up_Irr!AE24+up_Irr!BD24)),IF(AND(up_Irr!F24=".",up_Irr!AE24=".",up_Irr!BD24&lt;&gt;"."),up_dir!AG24/((1/1000)*(up_Irr!BD24)),IF(AND(up_Irr!F24=".",up_Irr!AE24&lt;&gt;".",up_Irr!BD24="."),up_dir!AG24/((1/1000)*(up_Irr!AE24)),IF(AND(up_Irr!F24&lt;&gt;".",up_Irr!AE24=".",up_Irr!BD24="."),up_dir!AG24/((1/1000)*(up_Irr!F24)),IF(AND(up_Irr!F24=".",up_Irr!AE24=".",up_Irr!BD24="."),up_dir!AG24*1000)))))))),".")</f>
        <v>6.5773651144152131E-4</v>
      </c>
      <c r="BH24" s="70">
        <f>IFERROR(IF(AND(up_Irr!G24&lt;&gt;".",up_Irr!AF24&lt;&gt;".",up_Irr!BE24&lt;&gt;"."),up_dir!AH24/((1/1000)*(up_Irr!G24+up_Irr!AF24+up_Irr!BE24)),IF(AND(up_Irr!G24&lt;&gt;".",up_Irr!AF24&lt;&gt;".",up_Irr!BE24="."),up_dir!AH24/((1/1000)*(up_Irr!G24+up_Irr!AF24)),IF(AND(up_Irr!G24&lt;&gt;".",up_Irr!AF24=".",up_Irr!BE24&lt;&gt;"."),up_dir!AH24/((1/1000)*(up_Irr!G24+up_Irr!BE24)),IF(AND(up_Irr!G24=".",up_Irr!AF24&lt;&gt;".",up_Irr!BE24&lt;&gt;"."),up_dir!AH24/((1/1000)*(up_Irr!AF24+up_Irr!BE24)),IF(AND(up_Irr!G24=".",up_Irr!AF24=".",up_Irr!BE24&lt;&gt;"."),up_dir!AH24/((1/1000)*(up_Irr!BE24)),IF(AND(up_Irr!G24=".",up_Irr!AF24&lt;&gt;".",up_Irr!BE24="."),up_dir!AH24/((1/1000)*(up_Irr!AF24)),IF(AND(up_Irr!G24&lt;&gt;".",up_Irr!AF24=".",up_Irr!BE24="."),up_dir!AH24/((1/1000)*(up_Irr!G24)),IF(AND(up_Irr!G24=".",up_Irr!AF24=".",up_Irr!BE24="."),up_dir!AH24*1000)))))))),".")</f>
        <v>6.5773651144152131E-4</v>
      </c>
      <c r="BI24" s="70">
        <f>IFERROR(IF(AND(up_Irr!H24&lt;&gt;".",up_Irr!AG24&lt;&gt;".",up_Irr!BF24&lt;&gt;"."),up_dir!AI24/((1/1000)*(up_Irr!H24+up_Irr!AG24+up_Irr!BF24)),IF(AND(up_Irr!H24&lt;&gt;".",up_Irr!AG24&lt;&gt;".",up_Irr!BF24="."),up_dir!AI24/((1/1000)*(up_Irr!H24+up_Irr!AG24)),IF(AND(up_Irr!H24&lt;&gt;".",up_Irr!AG24=".",up_Irr!BF24&lt;&gt;"."),up_dir!AI24/((1/1000)*(up_Irr!H24+up_Irr!BF24)),IF(AND(up_Irr!H24=".",up_Irr!AG24&lt;&gt;".",up_Irr!BF24&lt;&gt;"."),up_dir!AI24/((1/1000)*(up_Irr!AG24+up_Irr!BF24)),IF(AND(up_Irr!H24=".",up_Irr!AG24=".",up_Irr!BF24&lt;&gt;"."),up_dir!AI24/((1/1000)*(up_Irr!BF24)),IF(AND(up_Irr!H24=".",up_Irr!AG24&lt;&gt;".",up_Irr!BF24="."),up_dir!AI24/((1/1000)*(up_Irr!AG24)),IF(AND(up_Irr!H24&lt;&gt;".",up_Irr!AG24=".",up_Irr!BF24="."),up_dir!AI24/((1/1000)*(up_Irr!H24)),IF(AND(up_Irr!H24=".",up_Irr!AG24=".",up_Irr!BF24="."),up_dir!AI24*1000)))))))),".")</f>
        <v>6.5773651144152131E-4</v>
      </c>
      <c r="BJ24" s="70">
        <f>IFERROR(IF(AND(up_Irr!I24&lt;&gt;".",up_Irr!AH24&lt;&gt;".",up_Irr!BG24&lt;&gt;"."),up_dir!AJ24/((1/1000)*(up_Irr!I24+up_Irr!AH24+up_Irr!BG24)),IF(AND(up_Irr!I24&lt;&gt;".",up_Irr!AH24&lt;&gt;".",up_Irr!BG24="."),up_dir!AJ24/((1/1000)*(up_Irr!I24+up_Irr!AH24)),IF(AND(up_Irr!I24&lt;&gt;".",up_Irr!AH24=".",up_Irr!BG24&lt;&gt;"."),up_dir!AJ24/((1/1000)*(up_Irr!I24+up_Irr!BG24)),IF(AND(up_Irr!I24=".",up_Irr!AH24&lt;&gt;".",up_Irr!BG24&lt;&gt;"."),up_dir!AJ24/((1/1000)*(up_Irr!AH24+up_Irr!BG24)),IF(AND(up_Irr!I24=".",up_Irr!AH24=".",up_Irr!BG24&lt;&gt;"."),up_dir!AJ24/((1/1000)*(up_Irr!BG24)),IF(AND(up_Irr!I24=".",up_Irr!AH24&lt;&gt;".",up_Irr!BG24="."),up_dir!AJ24/((1/1000)*(up_Irr!AH24)),IF(AND(up_Irr!I24&lt;&gt;".",up_Irr!AH24=".",up_Irr!BG24="."),up_dir!AJ24/((1/1000)*(up_Irr!I24)),IF(AND(up_Irr!I24=".",up_Irr!AH24=".",up_Irr!BG24="."),up_dir!AJ24*1000)))))))),".")</f>
        <v>6.5773651144152131E-4</v>
      </c>
      <c r="BK24" s="70">
        <f>IFERROR(IF(AND(up_Irr!J24&lt;&gt;".",up_Irr!AI24&lt;&gt;".",up_Irr!BH24&lt;&gt;"."),up_dir!AK24/((1/1000)*(up_Irr!J24+up_Irr!AI24+up_Irr!BH24)),IF(AND(up_Irr!J24&lt;&gt;".",up_Irr!AI24&lt;&gt;".",up_Irr!BH24="."),up_dir!AK24/((1/1000)*(up_Irr!J24+up_Irr!AI24)),IF(AND(up_Irr!J24&lt;&gt;".",up_Irr!AI24=".",up_Irr!BH24&lt;&gt;"."),up_dir!AK24/((1/1000)*(up_Irr!J24+up_Irr!BH24)),IF(AND(up_Irr!J24=".",up_Irr!AI24&lt;&gt;".",up_Irr!BH24&lt;&gt;"."),up_dir!AK24/((1/1000)*(up_Irr!AI24+up_Irr!BH24)),IF(AND(up_Irr!J24=".",up_Irr!AI24=".",up_Irr!BH24&lt;&gt;"."),up_dir!AK24/((1/1000)*(up_Irr!BH24)),IF(AND(up_Irr!J24=".",up_Irr!AI24&lt;&gt;".",up_Irr!BH24="."),up_dir!AK24/((1/1000)*(up_Irr!AI24)),IF(AND(up_Irr!J24&lt;&gt;".",up_Irr!AI24=".",up_Irr!BH24="."),up_dir!AK24/((1/1000)*(up_Irr!J24)),IF(AND(up_Irr!J24=".",up_Irr!AI24=".",up_Irr!BH24="."),up_dir!AK24*1000)))))))),".")</f>
        <v>6.5773651144152131E-4</v>
      </c>
      <c r="BL24" s="70">
        <f>IFERROR(IF(AND(up_Irr!K24&lt;&gt;".",up_Irr!AJ24&lt;&gt;".",up_Irr!BI24&lt;&gt;"."),up_dir!AL24/((1/1000)*(up_Irr!K24+up_Irr!AJ24+up_Irr!BI24)),IF(AND(up_Irr!K24&lt;&gt;".",up_Irr!AJ24&lt;&gt;".",up_Irr!BI24="."),up_dir!AL24/((1/1000)*(up_Irr!K24+up_Irr!AJ24)),IF(AND(up_Irr!K24&lt;&gt;".",up_Irr!AJ24=".",up_Irr!BI24&lt;&gt;"."),up_dir!AL24/((1/1000)*(up_Irr!K24+up_Irr!BI24)),IF(AND(up_Irr!K24=".",up_Irr!AJ24&lt;&gt;".",up_Irr!BI24&lt;&gt;"."),up_dir!AL24/((1/1000)*(up_Irr!AJ24+up_Irr!BI24)),IF(AND(up_Irr!K24=".",up_Irr!AJ24=".",up_Irr!BI24&lt;&gt;"."),up_dir!AL24/((1/1000)*(up_Irr!BI24)),IF(AND(up_Irr!K24=".",up_Irr!AJ24&lt;&gt;".",up_Irr!BI24="."),up_dir!AL24/((1/1000)*(up_Irr!AJ24)),IF(AND(up_Irr!K24&lt;&gt;".",up_Irr!AJ24=".",up_Irr!BI24="."),up_dir!AL24/((1/1000)*(up_Irr!K24)),IF(AND(up_Irr!K24=".",up_Irr!AJ24=".",up_Irr!BI24="."),up_dir!AL24*1000)))))))),".")</f>
        <v>6.5773651144152131E-4</v>
      </c>
      <c r="BM24" s="70">
        <f>IFERROR(IF(AND(up_Irr!L24&lt;&gt;".",up_Irr!AK24&lt;&gt;".",up_Irr!BJ24&lt;&gt;"."),up_dir!AM24/((1/1000)*(up_Irr!L24+up_Irr!AK24+up_Irr!BJ24)),IF(AND(up_Irr!L24&lt;&gt;".",up_Irr!AK24&lt;&gt;".",up_Irr!BJ24="."),up_dir!AM24/((1/1000)*(up_Irr!L24+up_Irr!AK24)),IF(AND(up_Irr!L24&lt;&gt;".",up_Irr!AK24=".",up_Irr!BJ24&lt;&gt;"."),up_dir!AM24/((1/1000)*(up_Irr!L24+up_Irr!BJ24)),IF(AND(up_Irr!L24=".",up_Irr!AK24&lt;&gt;".",up_Irr!BJ24&lt;&gt;"."),up_dir!AM24/((1/1000)*(up_Irr!AK24+up_Irr!BJ24)),IF(AND(up_Irr!L24=".",up_Irr!AK24=".",up_Irr!BJ24&lt;&gt;"."),up_dir!AM24/((1/1000)*(up_Irr!BJ24)),IF(AND(up_Irr!L24=".",up_Irr!AK24&lt;&gt;".",up_Irr!BJ24="."),up_dir!AM24/((1/1000)*(up_Irr!AK24)),IF(AND(up_Irr!L24&lt;&gt;".",up_Irr!AK24=".",up_Irr!BJ24="."),up_dir!AM24/((1/1000)*(up_Irr!L24)),IF(AND(up_Irr!L24=".",up_Irr!AK24=".",up_Irr!BJ24="."),up_dir!AM24*1000)))))))),".")</f>
        <v>6.5773651144152131E-4</v>
      </c>
      <c r="BN24" s="70">
        <f>IFERROR(IF(AND(up_Irr!M24&lt;&gt;".",up_Irr!AL24&lt;&gt;".",up_Irr!BK24&lt;&gt;"."),up_dir!AN24/((1/1000)*(up_Irr!M24+up_Irr!AL24+up_Irr!BK24)),IF(AND(up_Irr!M24&lt;&gt;".",up_Irr!AL24&lt;&gt;".",up_Irr!BK24="."),up_dir!AN24/((1/1000)*(up_Irr!M24+up_Irr!AL24)),IF(AND(up_Irr!M24&lt;&gt;".",up_Irr!AL24=".",up_Irr!BK24&lt;&gt;"."),up_dir!AN24/((1/1000)*(up_Irr!M24+up_Irr!BK24)),IF(AND(up_Irr!M24=".",up_Irr!AL24&lt;&gt;".",up_Irr!BK24&lt;&gt;"."),up_dir!AN24/((1/1000)*(up_Irr!AL24+up_Irr!BK24)),IF(AND(up_Irr!M24=".",up_Irr!AL24=".",up_Irr!BK24&lt;&gt;"."),up_dir!AN24/((1/1000)*(up_Irr!BK24)),IF(AND(up_Irr!M24=".",up_Irr!AL24&lt;&gt;".",up_Irr!BK24="."),up_dir!AN24/((1/1000)*(up_Irr!AL24)),IF(AND(up_Irr!M24&lt;&gt;".",up_Irr!AL24=".",up_Irr!BK24="."),up_dir!AN24/((1/1000)*(up_Irr!M24)),IF(AND(up_Irr!M24=".",up_Irr!AL24=".",up_Irr!BK24="."),up_dir!AN24*1000)))))))),".")</f>
        <v>6.5773651144152131E-4</v>
      </c>
      <c r="BO24" s="70">
        <f>IFERROR(IF(AND(up_Irr!N24&lt;&gt;".",up_Irr!AM24&lt;&gt;".",up_Irr!BL24&lt;&gt;"."),up_dir!AO24/((1/1000)*(up_Irr!N24+up_Irr!AM24+up_Irr!BL24)),IF(AND(up_Irr!N24&lt;&gt;".",up_Irr!AM24&lt;&gt;".",up_Irr!BL24="."),up_dir!AO24/((1/1000)*(up_Irr!N24+up_Irr!AM24)),IF(AND(up_Irr!N24&lt;&gt;".",up_Irr!AM24=".",up_Irr!BL24&lt;&gt;"."),up_dir!AO24/((1/1000)*(up_Irr!N24+up_Irr!BL24)),IF(AND(up_Irr!N24=".",up_Irr!AM24&lt;&gt;".",up_Irr!BL24&lt;&gt;"."),up_dir!AO24/((1/1000)*(up_Irr!AM24+up_Irr!BL24)),IF(AND(up_Irr!N24=".",up_Irr!AM24=".",up_Irr!BL24&lt;&gt;"."),up_dir!AO24/((1/1000)*(up_Irr!BL24)),IF(AND(up_Irr!N24=".",up_Irr!AM24&lt;&gt;".",up_Irr!BL24="."),up_dir!AO24/((1/1000)*(up_Irr!AM24)),IF(AND(up_Irr!N24&lt;&gt;".",up_Irr!AM24=".",up_Irr!BL24="."),up_dir!AO24/((1/1000)*(up_Irr!N24)),IF(AND(up_Irr!N24=".",up_Irr!AM24=".",up_Irr!BL24="."),up_dir!AO24*1000)))))))),".")</f>
        <v>6.5773651144152131E-4</v>
      </c>
      <c r="BP24" s="70">
        <f>IFERROR(IF(AND(up_Irr!O24&lt;&gt;".",up_Irr!AN24&lt;&gt;".",up_Irr!BM24&lt;&gt;"."),up_dir!AP24/((1/1000)*(up_Irr!O24+up_Irr!AN24+up_Irr!BM24)),IF(AND(up_Irr!O24&lt;&gt;".",up_Irr!AN24&lt;&gt;".",up_Irr!BM24="."),up_dir!AP24/((1/1000)*(up_Irr!O24+up_Irr!AN24)),IF(AND(up_Irr!O24&lt;&gt;".",up_Irr!AN24=".",up_Irr!BM24&lt;&gt;"."),up_dir!AP24/((1/1000)*(up_Irr!O24+up_Irr!BM24)),IF(AND(up_Irr!O24=".",up_Irr!AN24&lt;&gt;".",up_Irr!BM24&lt;&gt;"."),up_dir!AP24/((1/1000)*(up_Irr!AN24+up_Irr!BM24)),IF(AND(up_Irr!O24=".",up_Irr!AN24=".",up_Irr!BM24&lt;&gt;"."),up_dir!AP24/((1/1000)*(up_Irr!BM24)),IF(AND(up_Irr!O24=".",up_Irr!AN24&lt;&gt;".",up_Irr!BM24="."),up_dir!AP24/((1/1000)*(up_Irr!AN24)),IF(AND(up_Irr!O24&lt;&gt;".",up_Irr!AN24=".",up_Irr!BM24="."),up_dir!AP24/((1/1000)*(up_Irr!O24)),IF(AND(up_Irr!O24=".",up_Irr!AN24=".",up_Irr!BM24="."),up_dir!AP24*1000)))))))),".")</f>
        <v>6.5773651144152131E-4</v>
      </c>
      <c r="BQ24" s="70">
        <f>IFERROR(IF(AND(up_Irr!P24&lt;&gt;".",up_Irr!AO24&lt;&gt;".",up_Irr!BN24&lt;&gt;"."),up_dir!AQ24/((1/1000)*(up_Irr!P24+up_Irr!AO24+up_Irr!BN24)),IF(AND(up_Irr!P24&lt;&gt;".",up_Irr!AO24&lt;&gt;".",up_Irr!BN24="."),up_dir!AQ24/((1/1000)*(up_Irr!P24+up_Irr!AO24)),IF(AND(up_Irr!P24&lt;&gt;".",up_Irr!AO24=".",up_Irr!BN24&lt;&gt;"."),up_dir!AQ24/((1/1000)*(up_Irr!P24+up_Irr!BN24)),IF(AND(up_Irr!P24=".",up_Irr!AO24&lt;&gt;".",up_Irr!BN24&lt;&gt;"."),up_dir!AQ24/((1/1000)*(up_Irr!AO24+up_Irr!BN24)),IF(AND(up_Irr!P24=".",up_Irr!AO24=".",up_Irr!BN24&lt;&gt;"."),up_dir!AQ24/((1/1000)*(up_Irr!BN24)),IF(AND(up_Irr!P24=".",up_Irr!AO24&lt;&gt;".",up_Irr!BN24="."),up_dir!AQ24/((1/1000)*(up_Irr!AO24)),IF(AND(up_Irr!P24&lt;&gt;".",up_Irr!AO24=".",up_Irr!BN24="."),up_dir!AQ24/((1/1000)*(up_Irr!P24)),IF(AND(up_Irr!P24=".",up_Irr!AO24=".",up_Irr!BN24="."),up_dir!AQ24*1000)))))))),".")</f>
        <v>6.5773651144152131E-4</v>
      </c>
      <c r="BR24" s="70">
        <f>IFERROR(IF(AND(up_Irr!Q24&lt;&gt;".",up_Irr!AP24&lt;&gt;".",up_Irr!BO24&lt;&gt;"."),up_dir!AR24/((1/1000)*(up_Irr!Q24+up_Irr!AP24+up_Irr!BO24)),IF(AND(up_Irr!Q24&lt;&gt;".",up_Irr!AP24&lt;&gt;".",up_Irr!BO24="."),up_dir!AR24/((1/1000)*(up_Irr!Q24+up_Irr!AP24)),IF(AND(up_Irr!Q24&lt;&gt;".",up_Irr!AP24=".",up_Irr!BO24&lt;&gt;"."),up_dir!AR24/((1/1000)*(up_Irr!Q24+up_Irr!BO24)),IF(AND(up_Irr!Q24=".",up_Irr!AP24&lt;&gt;".",up_Irr!BO24&lt;&gt;"."),up_dir!AR24/((1/1000)*(up_Irr!AP24+up_Irr!BO24)),IF(AND(up_Irr!Q24=".",up_Irr!AP24=".",up_Irr!BO24&lt;&gt;"."),up_dir!AR24/((1/1000)*(up_Irr!BO24)),IF(AND(up_Irr!Q24=".",up_Irr!AP24&lt;&gt;".",up_Irr!BO24="."),up_dir!AR24/((1/1000)*(up_Irr!AP24)),IF(AND(up_Irr!Q24&lt;&gt;".",up_Irr!AP24=".",up_Irr!BO24="."),up_dir!AR24/((1/1000)*(up_Irr!Q24)),IF(AND(up_Irr!Q24=".",up_Irr!AP24=".",up_Irr!BO24="."),up_dir!AR24*1000)))))))),".")</f>
        <v>6.5773651144152131E-4</v>
      </c>
      <c r="BS24" s="70">
        <f>IFERROR(IF(AND(up_Irr!R24&lt;&gt;".",up_Irr!AQ24&lt;&gt;".",up_Irr!BP24&lt;&gt;"."),up_dir!AS24/((1/1000)*(up_Irr!R24+up_Irr!AQ24+up_Irr!BP24)),IF(AND(up_Irr!R24&lt;&gt;".",up_Irr!AQ24&lt;&gt;".",up_Irr!BP24="."),up_dir!AS24/((1/1000)*(up_Irr!R24+up_Irr!AQ24)),IF(AND(up_Irr!R24&lt;&gt;".",up_Irr!AQ24=".",up_Irr!BP24&lt;&gt;"."),up_dir!AS24/((1/1000)*(up_Irr!R24+up_Irr!BP24)),IF(AND(up_Irr!R24=".",up_Irr!AQ24&lt;&gt;".",up_Irr!BP24&lt;&gt;"."),up_dir!AS24/((1/1000)*(up_Irr!AQ24+up_Irr!BP24)),IF(AND(up_Irr!R24=".",up_Irr!AQ24=".",up_Irr!BP24&lt;&gt;"."),up_dir!AS24/((1/1000)*(up_Irr!BP24)),IF(AND(up_Irr!R24=".",up_Irr!AQ24&lt;&gt;".",up_Irr!BP24="."),up_dir!AS24/((1/1000)*(up_Irr!AQ24)),IF(AND(up_Irr!R24&lt;&gt;".",up_Irr!AQ24=".",up_Irr!BP24="."),up_dir!AS24/((1/1000)*(up_Irr!R24)),IF(AND(up_Irr!R24=".",up_Irr!AQ24=".",up_Irr!BP24="."),up_dir!AS24*1000)))))))),".")</f>
        <v>6.5773651144152131E-4</v>
      </c>
      <c r="BT24" s="70">
        <f>IFERROR(IF(AND(up_Irr!S24&lt;&gt;".",up_Irr!AR24&lt;&gt;".",up_Irr!BQ24&lt;&gt;"."),up_dir!AT24/((1/1000)*(up_Irr!S24+up_Irr!AR24+up_Irr!BQ24)),IF(AND(up_Irr!S24&lt;&gt;".",up_Irr!AR24&lt;&gt;".",up_Irr!BQ24="."),up_dir!AT24/((1/1000)*(up_Irr!S24+up_Irr!AR24)),IF(AND(up_Irr!S24&lt;&gt;".",up_Irr!AR24=".",up_Irr!BQ24&lt;&gt;"."),up_dir!AT24/((1/1000)*(up_Irr!S24+up_Irr!BQ24)),IF(AND(up_Irr!S24=".",up_Irr!AR24&lt;&gt;".",up_Irr!BQ24&lt;&gt;"."),up_dir!AT24/((1/1000)*(up_Irr!AR24+up_Irr!BQ24)),IF(AND(up_Irr!S24=".",up_Irr!AR24=".",up_Irr!BQ24&lt;&gt;"."),up_dir!AT24/((1/1000)*(up_Irr!BQ24)),IF(AND(up_Irr!S24=".",up_Irr!AR24&lt;&gt;".",up_Irr!BQ24="."),up_dir!AT24/((1/1000)*(up_Irr!AR24)),IF(AND(up_Irr!S24&lt;&gt;".",up_Irr!AR24=".",up_Irr!BQ24="."),up_dir!AT24/((1/1000)*(up_Irr!S24)),IF(AND(up_Irr!S24=".",up_Irr!AR24=".",up_Irr!BQ24="."),up_dir!AT24*1000)))))))),".")</f>
        <v>6.5773651144152131E-4</v>
      </c>
      <c r="BU24" s="70">
        <f>IFERROR(IF(AND(up_Irr!T24&lt;&gt;".",up_Irr!AS24&lt;&gt;".",up_Irr!BR24&lt;&gt;"."),up_dir!AU24/((1/1000)*(up_Irr!T24+up_Irr!AS24+up_Irr!BR24)),IF(AND(up_Irr!T24&lt;&gt;".",up_Irr!AS24&lt;&gt;".",up_Irr!BR24="."),up_dir!AU24/((1/1000)*(up_Irr!T24+up_Irr!AS24)),IF(AND(up_Irr!T24&lt;&gt;".",up_Irr!AS24=".",up_Irr!BR24&lt;&gt;"."),up_dir!AU24/((1/1000)*(up_Irr!T24+up_Irr!BR24)),IF(AND(up_Irr!T24=".",up_Irr!AS24&lt;&gt;".",up_Irr!BR24&lt;&gt;"."),up_dir!AU24/((1/1000)*(up_Irr!AS24+up_Irr!BR24)),IF(AND(up_Irr!T24=".",up_Irr!AS24=".",up_Irr!BR24&lt;&gt;"."),up_dir!AU24/((1/1000)*(up_Irr!BR24)),IF(AND(up_Irr!T24=".",up_Irr!AS24&lt;&gt;".",up_Irr!BR24="."),up_dir!AU24/((1/1000)*(up_Irr!AS24)),IF(AND(up_Irr!T24&lt;&gt;".",up_Irr!AS24=".",up_Irr!BR24="."),up_dir!AU24/((1/1000)*(up_Irr!T24)),IF(AND(up_Irr!T24=".",up_Irr!AS24=".",up_Irr!BR24="."),up_dir!AU24*1000)))))))),".")</f>
        <v>6.5773651144152131E-4</v>
      </c>
      <c r="BV24" s="70">
        <f>IFERROR(IF(AND(up_Irr!U24&lt;&gt;".",up_Irr!AT24&lt;&gt;".",up_Irr!BS24&lt;&gt;"."),up_dir!AV24/((1/1000)*(up_Irr!U24+up_Irr!AT24+up_Irr!BS24)),IF(AND(up_Irr!U24&lt;&gt;".",up_Irr!AT24&lt;&gt;".",up_Irr!BS24="."),up_dir!AV24/((1/1000)*(up_Irr!U24+up_Irr!AT24)),IF(AND(up_Irr!U24&lt;&gt;".",up_Irr!AT24=".",up_Irr!BS24&lt;&gt;"."),up_dir!AV24/((1/1000)*(up_Irr!U24+up_Irr!BS24)),IF(AND(up_Irr!U24=".",up_Irr!AT24&lt;&gt;".",up_Irr!BS24&lt;&gt;"."),up_dir!AV24/((1/1000)*(up_Irr!AT24+up_Irr!BS24)),IF(AND(up_Irr!U24=".",up_Irr!AT24=".",up_Irr!BS24&lt;&gt;"."),up_dir!AV24/((1/1000)*(up_Irr!BS24)),IF(AND(up_Irr!U24=".",up_Irr!AT24&lt;&gt;".",up_Irr!BS24="."),up_dir!AV24/((1/1000)*(up_Irr!AT24)),IF(AND(up_Irr!U24&lt;&gt;".",up_Irr!AT24=".",up_Irr!BS24="."),up_dir!AV24/((1/1000)*(up_Irr!U24)),IF(AND(up_Irr!U24=".",up_Irr!AT24=".",up_Irr!BS24="."),up_dir!AV24*1000)))))))),".")</f>
        <v>6.5773651144152131E-4</v>
      </c>
      <c r="BW24" s="70">
        <f>IFERROR(IF(AND(up_Irr!V24&lt;&gt;".",up_Irr!AU24&lt;&gt;".",up_Irr!BT24&lt;&gt;"."),up_dir!AW24/((1/1000)*(up_Irr!V24+up_Irr!AU24+up_Irr!BT24)),IF(AND(up_Irr!V24&lt;&gt;".",up_Irr!AU24&lt;&gt;".",up_Irr!BT24="."),up_dir!AW24/((1/1000)*(up_Irr!V24+up_Irr!AU24)),IF(AND(up_Irr!V24&lt;&gt;".",up_Irr!AU24=".",up_Irr!BT24&lt;&gt;"."),up_dir!AW24/((1/1000)*(up_Irr!V24+up_Irr!BT24)),IF(AND(up_Irr!V24=".",up_Irr!AU24&lt;&gt;".",up_Irr!BT24&lt;&gt;"."),up_dir!AW24/((1/1000)*(up_Irr!AU24+up_Irr!BT24)),IF(AND(up_Irr!V24=".",up_Irr!AU24=".",up_Irr!BT24&lt;&gt;"."),up_dir!AW24/((1/1000)*(up_Irr!BT24)),IF(AND(up_Irr!V24=".",up_Irr!AU24&lt;&gt;".",up_Irr!BT24="."),up_dir!AW24/((1/1000)*(up_Irr!AU24)),IF(AND(up_Irr!V24&lt;&gt;".",up_Irr!AU24=".",up_Irr!BT24="."),up_dir!AW24/((1/1000)*(up_Irr!V24)),IF(AND(up_Irr!V24=".",up_Irr!AU24=".",up_Irr!BT24="."),up_dir!AW24*1000)))))))),".")</f>
        <v>6.5773651144152131E-4</v>
      </c>
      <c r="BX24" s="70">
        <f>IFERROR(IF(AND(up_Irr!W24&lt;&gt;".",up_Irr!AV24&lt;&gt;".",up_Irr!BU24&lt;&gt;"."),up_dir!AX24/((1/1000)*(up_Irr!W24+up_Irr!AV24+up_Irr!BU24)),IF(AND(up_Irr!W24&lt;&gt;".",up_Irr!AV24&lt;&gt;".",up_Irr!BU24="."),up_dir!AX24/((1/1000)*(up_Irr!W24+up_Irr!AV24)),IF(AND(up_Irr!W24&lt;&gt;".",up_Irr!AV24=".",up_Irr!BU24&lt;&gt;"."),up_dir!AX24/((1/1000)*(up_Irr!W24+up_Irr!BU24)),IF(AND(up_Irr!W24=".",up_Irr!AV24&lt;&gt;".",up_Irr!BU24&lt;&gt;"."),up_dir!AX24/((1/1000)*(up_Irr!AV24+up_Irr!BU24)),IF(AND(up_Irr!W24=".",up_Irr!AV24=".",up_Irr!BU24&lt;&gt;"."),up_dir!AX24/((1/1000)*(up_Irr!BU24)),IF(AND(up_Irr!W24=".",up_Irr!AV24&lt;&gt;".",up_Irr!BU24="."),up_dir!AX24/((1/1000)*(up_Irr!AV24)),IF(AND(up_Irr!W24&lt;&gt;".",up_Irr!AV24=".",up_Irr!BU24="."),up_dir!AX24/((1/1000)*(up_Irr!W24)),IF(AND(up_Irr!W24=".",up_Irr!AV24=".",up_Irr!BU24="."),up_dir!AX24*1000)))))))),".")</f>
        <v>6.5773651144152131E-4</v>
      </c>
      <c r="BY24" s="70">
        <f>IFERROR(IF(AND(up_Irr!X24&lt;&gt;".",up_Irr!AW24&lt;&gt;".",up_Irr!BV24&lt;&gt;"."),up_dir!AY24/((1/1000)*(up_Irr!X24+up_Irr!AW24+up_Irr!BV24)),IF(AND(up_Irr!X24&lt;&gt;".",up_Irr!AW24&lt;&gt;".",up_Irr!BV24="."),up_dir!AY24/((1/1000)*(up_Irr!X24+up_Irr!AW24)),IF(AND(up_Irr!X24&lt;&gt;".",up_Irr!AW24=".",up_Irr!BV24&lt;&gt;"."),up_dir!AY24/((1/1000)*(up_Irr!X24+up_Irr!BV24)),IF(AND(up_Irr!X24=".",up_Irr!AW24&lt;&gt;".",up_Irr!BV24&lt;&gt;"."),up_dir!AY24/((1/1000)*(up_Irr!AW24+up_Irr!BV24)),IF(AND(up_Irr!X24=".",up_Irr!AW24=".",up_Irr!BV24&lt;&gt;"."),up_dir!AY24/((1/1000)*(up_Irr!BV24)),IF(AND(up_Irr!X24=".",up_Irr!AW24&lt;&gt;".",up_Irr!BV24="."),up_dir!AY24/((1/1000)*(up_Irr!AW24)),IF(AND(up_Irr!X24&lt;&gt;".",up_Irr!AW24=".",up_Irr!BV24="."),up_dir!AY24/((1/1000)*(up_Irr!X24)),IF(AND(up_Irr!X24=".",up_Irr!AW24=".",up_Irr!BV24="."),up_dir!AY24*1000)))))))),".")</f>
        <v>6.5773651144152131E-4</v>
      </c>
      <c r="BZ24" s="70">
        <f>IFERROR(IF(AND(up_Irr!Y24&lt;&gt;".",up_Irr!AX24&lt;&gt;".",up_Irr!BW24&lt;&gt;"."),up_dir!AZ24/((1/1000)*(up_Irr!Y24+up_Irr!AX24+up_Irr!BW24)),IF(AND(up_Irr!Y24&lt;&gt;".",up_Irr!AX24&lt;&gt;".",up_Irr!BW24="."),up_dir!AZ24/((1/1000)*(up_Irr!Y24+up_Irr!AX24)),IF(AND(up_Irr!Y24&lt;&gt;".",up_Irr!AX24=".",up_Irr!BW24&lt;&gt;"."),up_dir!AZ24/((1/1000)*(up_Irr!Y24+up_Irr!BW24)),IF(AND(up_Irr!Y24=".",up_Irr!AX24&lt;&gt;".",up_Irr!BW24&lt;&gt;"."),up_dir!AZ24/((1/1000)*(up_Irr!AX24+up_Irr!BW24)),IF(AND(up_Irr!Y24=".",up_Irr!AX24=".",up_Irr!BW24&lt;&gt;"."),up_dir!AZ24/((1/1000)*(up_Irr!BW24)),IF(AND(up_Irr!Y24=".",up_Irr!AX24&lt;&gt;".",up_Irr!BW24="."),up_dir!AZ24/((1/1000)*(up_Irr!AX24)),IF(AND(up_Irr!Y24&lt;&gt;".",up_Irr!AX24=".",up_Irr!BW24="."),up_dir!AZ24/((1/1000)*(up_Irr!Y24)),IF(AND(up_Irr!Y24=".",up_Irr!AX24=".",up_Irr!BW24="."),up_dir!AZ24*1000)))))))),".")</f>
        <v>6.5773651144152131E-4</v>
      </c>
      <c r="CA24" s="70">
        <f>IFERROR(IF(AND(up_Irr!Z24&lt;&gt;".",up_Irr!AY24&lt;&gt;".",up_Irr!BX24&lt;&gt;"."),up_dir!BA24/((1/1000)*(up_Irr!Z24+up_Irr!AY24+up_Irr!BX24)),IF(AND(up_Irr!Z24&lt;&gt;".",up_Irr!AY24&lt;&gt;".",up_Irr!BX24="."),up_dir!BA24/((1/1000)*(up_Irr!Z24+up_Irr!AY24)),IF(AND(up_Irr!Z24&lt;&gt;".",up_Irr!AY24=".",up_Irr!BX24&lt;&gt;"."),up_dir!BA24/((1/1000)*(up_Irr!Z24+up_Irr!BX24)),IF(AND(up_Irr!Z24=".",up_Irr!AY24&lt;&gt;".",up_Irr!BX24&lt;&gt;"."),up_dir!BA24/((1/1000)*(up_Irr!AY24+up_Irr!BX24)),IF(AND(up_Irr!Z24=".",up_Irr!AY24=".",up_Irr!BX24&lt;&gt;"."),up_dir!BA24/((1/1000)*(up_Irr!BX24)),IF(AND(up_Irr!Z24=".",up_Irr!AY24&lt;&gt;".",up_Irr!BX24="."),up_dir!BA24/((1/1000)*(up_Irr!AY24)),IF(AND(up_Irr!Z24&lt;&gt;".",up_Irr!AY24=".",up_Irr!BX24="."),up_dir!BA24/((1/1000)*(up_Irr!Z24)),IF(AND(up_Irr!Z24=".",up_Irr!AY24=".",up_Irr!BX24="."),up_dir!BA24*1000)))))))),".")</f>
        <v>6.5773651144152131E-4</v>
      </c>
      <c r="CB24" s="70">
        <f>IFERROR(IF(AND(up_Irr!AA24&lt;&gt;".",up_Irr!AZ24&lt;&gt;".",up_Irr!BY24&lt;&gt;"."),up_dir!BB24/((1/1000)*(up_Irr!AA24+up_Irr!AZ24+up_Irr!BY24)),IF(AND(up_Irr!AA24&lt;&gt;".",up_Irr!AZ24&lt;&gt;".",up_Irr!BY24="."),up_dir!BB24/((1/1000)*(up_Irr!AA24+up_Irr!AZ24)),IF(AND(up_Irr!AA24&lt;&gt;".",up_Irr!AZ24=".",up_Irr!BY24&lt;&gt;"."),up_dir!BB24/((1/1000)*(up_Irr!AA24+up_Irr!BY24)),IF(AND(up_Irr!AA24=".",up_Irr!AZ24&lt;&gt;".",up_Irr!BY24&lt;&gt;"."),up_dir!BB24/((1/1000)*(up_Irr!AZ24+up_Irr!BY24)),IF(AND(up_Irr!AA24=".",up_Irr!AZ24=".",up_Irr!BY24&lt;&gt;"."),up_dir!BB24/((1/1000)*(up_Irr!BY24)),IF(AND(up_Irr!AA24=".",up_Irr!AZ24&lt;&gt;".",up_Irr!BY24="."),up_dir!BB24/((1/1000)*(up_Irr!AZ24)),IF(AND(up_Irr!AA24&lt;&gt;".",up_Irr!AZ24=".",up_Irr!BY24="."),up_dir!BB24/((1/1000)*(up_Irr!AA24)),IF(AND(up_Irr!AA24=".",up_Irr!AZ24=".",up_Irr!BY24="."),up_dir!BB24*1000)))))))),".")</f>
        <v>6.5773651144152131E-4</v>
      </c>
      <c r="CC24" s="87">
        <f t="shared" si="3"/>
        <v>30407.313038114935</v>
      </c>
      <c r="CD24" s="87">
        <f>IFERROR(s_C*s_IFAP_far_adj*s_CF_apple*(1/1000)*(up_Irr!C24+up_Irr!AB24+up_Irr!BA24),".")</f>
        <v>7601.8282595287337</v>
      </c>
      <c r="CE24" s="87">
        <f>IFERROR(s_C*s_IFAS_far_adj*s_CF_asparagus*(1/1000)*(up_Irr!D24+up_Irr!AC24+up_Irr!BB24),".")</f>
        <v>7601.8282595287337</v>
      </c>
      <c r="CF24" s="87">
        <f>IFERROR(s_C*s_IFBT_far_adj*s_CF_beet*(1/1000)*(up_Irr!E24+up_Irr!AD24+up_Irr!BC24),".")</f>
        <v>7601.8282595287337</v>
      </c>
      <c r="CG24" s="87">
        <f>IFERROR(s_C*s_IFBE_far_adj*s_CF_berries*(1/1000)*(up_Irr!F24+up_Irr!AE24+up_Irr!BD24),".")</f>
        <v>7601.8282595287337</v>
      </c>
      <c r="CH24" s="87">
        <f>IFERROR(s_C*s_IFBR_far_adj*s_CF_broccoli*(1/1000)*(up_Irr!G24+up_Irr!AF24+up_Irr!BE24),".")</f>
        <v>7601.8282595287337</v>
      </c>
      <c r="CI24" s="87">
        <f>IFERROR(s_C*s_IFCB_far_adj*s_CF_cabbage*(1/1000)*(up_Irr!H24+up_Irr!AG24+up_Irr!BF24),".")</f>
        <v>7601.8282595287337</v>
      </c>
      <c r="CJ24" s="87">
        <f>IFERROR(s_C*s_IFCR_far_adj*s_CF_carrot*(1/1000)*(up_Irr!I24+up_Irr!AH24+up_Irr!BG24),".")</f>
        <v>7601.8282595287337</v>
      </c>
      <c r="CK24" s="87">
        <f>IFERROR(s_C*s_IFCI_far_adj*s_CF_citrus*(1/1000)*(up_Irr!J24+up_Irr!AI24+up_Irr!BH24),".")</f>
        <v>7601.8282595287337</v>
      </c>
      <c r="CL24" s="87">
        <f>IFERROR(s_C*s_IFCO_far_adj*s_CF_corn*(1/1000)*(up_Irr!K24+up_Irr!AJ24+up_Irr!BI24),".")</f>
        <v>7601.8282595287337</v>
      </c>
      <c r="CM24" s="87">
        <f>IFERROR(s_C*s_IFCU_far_adj*s_CF_cucumber*(1/1000)*(up_Irr!L24+up_Irr!AK24+up_Irr!BJ24),".")</f>
        <v>7601.8282595287337</v>
      </c>
      <c r="CN24" s="87">
        <f>IFERROR(s_C*s_IFLE_far_adj*s_CF_lettuce*(1/1000)*(up_Irr!M24+up_Irr!AL24+up_Irr!BK24),".")</f>
        <v>7601.8282595287337</v>
      </c>
      <c r="CO24" s="87">
        <f>IFERROR(s_C*s_IFLI_far_adj*s_CF_lima_bean*(1/1000)*(up_Irr!N24+up_Irr!AM24+up_Irr!BL24),".")</f>
        <v>7601.8282595287337</v>
      </c>
      <c r="CP24" s="87">
        <f>IFERROR(s_C*s_IFOK_far_adj*s_CF_okra*(1/1000)*(up_Irr!O24+up_Irr!AN24+up_Irr!BM24),".")</f>
        <v>7601.8282595287337</v>
      </c>
      <c r="CQ24" s="87">
        <f>IFERROR(s_C*s_IFON_far_adj*s_CF_onion*(1/1000)*(up_Irr!P24+up_Irr!AO24+up_Irr!BN24),".")</f>
        <v>7601.8282595287337</v>
      </c>
      <c r="CR24" s="87">
        <f>IFERROR(s_C*s_IFPC_far_adj*s_CF_peach*(1/1000)*(up_Irr!Q24+up_Irr!AP24+up_Irr!BO24),".")</f>
        <v>7601.8282595287337</v>
      </c>
      <c r="CS24" s="87">
        <f>IFERROR(s_C*s_IFPR_far_adj*s_CF_pear*(1/1000)*(up_Irr!R24+up_Irr!AQ24+up_Irr!BP24),".")</f>
        <v>7601.8282595287337</v>
      </c>
      <c r="CT24" s="87">
        <f>IFERROR(s_C*s_IFPE_far_adj*s_CF_peas*(1/1000)*(up_Irr!S24+up_Irr!AR24+up_Irr!BQ24),".")</f>
        <v>7601.8282595287337</v>
      </c>
      <c r="CU24" s="87">
        <f>IFERROR(s_C*s_IFPP_far_adj*s_CF_peppers*(1/1000)*(up_Irr!T24+up_Irr!AS24+up_Irr!BR24),".")</f>
        <v>7601.8282595287337</v>
      </c>
      <c r="CV24" s="87">
        <f>IFERROR(s_C*s_IFPT_far_adj*s_CF_potato*(1/1000)*(up_Irr!U24+up_Irr!AT24+up_Irr!BS24),".")</f>
        <v>7601.8282595287337</v>
      </c>
      <c r="CW24" s="87">
        <f>IFERROR(s_C*s_IFPU_far_adj*s_CF_pumpkin*(1/1000)*(up_Irr!V24+up_Irr!AU24+up_Irr!BT24),".")</f>
        <v>7601.8282595287337</v>
      </c>
      <c r="CX24" s="87">
        <f>IFERROR(s_C*s_IFSN_far_adj*s_CF_snap_bean*(1/1000)*(up_Irr!W24+up_Irr!AV24+up_Irr!BU24),".")</f>
        <v>7601.8282595287337</v>
      </c>
      <c r="CY24" s="87">
        <f>IFERROR(s_C*s_IFST_far_adj*s_CF_strawberry*(1/1000)*(up_Irr!X24+up_Irr!AW24+up_Irr!BV24),".")</f>
        <v>7601.8282595287337</v>
      </c>
      <c r="CZ24" s="87">
        <f>IFERROR(s_C*s_IFTO_far_adj*s_CF_tomato*(1/1000)*(up_Irr!Y24+up_Irr!AX24+up_Irr!BW24),".")</f>
        <v>7601.8282595287337</v>
      </c>
      <c r="DA24" s="87">
        <f>IFERROR(s_C*s_IFRI_far_adj*s_CF_rice*(1/1000)*(up_Irr!Z24+up_Irr!AY24+up_Irr!BX24),".")</f>
        <v>7601.8282595287337</v>
      </c>
      <c r="DB24" s="87">
        <f>IFERROR(s_C*s_IFCG_far_adj*s_CF_cereal*(1/1000)*(up_Irr!AA24+up_Irr!AZ24+up_Irr!BY24),".")</f>
        <v>7601.8282595287337</v>
      </c>
    </row>
    <row r="25" spans="1:106" x14ac:dyDescent="0.25">
      <c r="A25" s="88" t="s">
        <v>23</v>
      </c>
      <c r="B25" s="84" t="s">
        <v>335</v>
      </c>
      <c r="C25" s="15">
        <f t="shared" si="0"/>
        <v>1.6443412786038033E-4</v>
      </c>
      <c r="D25" s="70">
        <f>IFERROR(IF(AND(up_Irr!C25&lt;&gt;".",up_Irr!AB25&lt;&gt;".",up_Irr!BA25&lt;&gt;"."),up_dir!D25/((1/1000)*(up_Irr!C25+up_Irr!AB25+up_Irr!BA25)),IF(AND(up_Irr!C25&lt;&gt;".",up_Irr!AB25&lt;&gt;".",up_Irr!BA25="."),up_dir!D25/((1/1000)*(up_Irr!C25+up_Irr!AB25)),IF(AND(up_Irr!C25&lt;&gt;".",up_Irr!AB25=".",up_Irr!BA25&lt;&gt;"."),up_dir!D25/((1/1000)*(up_Irr!C25+up_Irr!BA25)),IF(AND(up_Irr!C25=".",up_Irr!AB25&lt;&gt;".",up_Irr!BA25&lt;&gt;"."),up_dir!D25/((1/1000)*(up_Irr!AB25+up_Irr!BA25)),IF(AND(up_Irr!C25=".",up_Irr!AB25=".",up_Irr!BA25&lt;&gt;"."),up_dir!D25/((1/1000)*(up_Irr!BA25)),IF(AND(up_Irr!C25=".",up_Irr!AB25&lt;&gt;".",up_Irr!BA25="."),up_dir!D25/((1/1000)*(up_Irr!AB25)),IF(AND(up_Irr!C25&lt;&gt;".",up_Irr!AB25=".",up_Irr!BA25="."),up_dir!D25/((1/1000)*(up_Irr!C25)),IF(AND(up_Irr!C25=".",up_Irr!AB25=".",up_Irr!BA25="."),up_dir!D25*1000)))))))),".")</f>
        <v>6.5773651144152131E-4</v>
      </c>
      <c r="E25" s="70">
        <f>IFERROR(IF(AND(up_Irr!D25&lt;&gt;".",up_Irr!AC25&lt;&gt;".",up_Irr!BB25&lt;&gt;"."),up_dir!E25/((1/1000)*(up_Irr!D25+up_Irr!AC25+up_Irr!BB25)),IF(AND(up_Irr!D25&lt;&gt;".",up_Irr!AC25&lt;&gt;".",up_Irr!BB25="."),up_dir!E25/((1/1000)*(up_Irr!D25+up_Irr!AC25)),IF(AND(up_Irr!D25&lt;&gt;".",up_Irr!AC25=".",up_Irr!BB25&lt;&gt;"."),up_dir!E25/((1/1000)*(up_Irr!D25+up_Irr!BB25)),IF(AND(up_Irr!D25=".",up_Irr!AC25&lt;&gt;".",up_Irr!BB25&lt;&gt;"."),up_dir!E25/((1/1000)*(up_Irr!AC25+up_Irr!BB25)),IF(AND(up_Irr!D25=".",up_Irr!AC25=".",up_Irr!BB25&lt;&gt;"."),up_dir!E25/((1/1000)*(up_Irr!BB25)),IF(AND(up_Irr!D25=".",up_Irr!AC25&lt;&gt;".",up_Irr!BB25="."),up_dir!E25/((1/1000)*(up_Irr!AC25)),IF(AND(up_Irr!D25&lt;&gt;".",up_Irr!AC25=".",up_Irr!BB25="."),up_dir!E25/((1/1000)*(up_Irr!D25)),IF(AND(up_Irr!D25=".",up_Irr!AC25=".",up_Irr!BB25="."),up_dir!E25*1000)))))))),".")</f>
        <v>6.5773651144152131E-4</v>
      </c>
      <c r="F25" s="70">
        <f>IFERROR(IF(AND(up_Irr!E25&lt;&gt;".",up_Irr!AD25&lt;&gt;".",up_Irr!BC25&lt;&gt;"."),up_dir!F25/((1/1000)*(up_Irr!E25+up_Irr!AD25+up_Irr!BC25)),IF(AND(up_Irr!E25&lt;&gt;".",up_Irr!AD25&lt;&gt;".",up_Irr!BC25="."),up_dir!F25/((1/1000)*(up_Irr!E25+up_Irr!AD25)),IF(AND(up_Irr!E25&lt;&gt;".",up_Irr!AD25=".",up_Irr!BC25&lt;&gt;"."),up_dir!F25/((1/1000)*(up_Irr!E25+up_Irr!BC25)),IF(AND(up_Irr!E25=".",up_Irr!AD25&lt;&gt;".",up_Irr!BC25&lt;&gt;"."),up_dir!F25/((1/1000)*(up_Irr!AD25+up_Irr!BC25)),IF(AND(up_Irr!E25=".",up_Irr!AD25=".",up_Irr!BC25&lt;&gt;"."),up_dir!F25/((1/1000)*(up_Irr!BC25)),IF(AND(up_Irr!E25=".",up_Irr!AD25&lt;&gt;".",up_Irr!BC25="."),up_dir!F25/((1/1000)*(up_Irr!AD25)),IF(AND(up_Irr!E25&lt;&gt;".",up_Irr!AD25=".",up_Irr!BC25="."),up_dir!F25/((1/1000)*(up_Irr!E25)),IF(AND(up_Irr!E25=".",up_Irr!AD25=".",up_Irr!BC25="."),up_dir!F25*1000)))))))),".")</f>
        <v>6.5773651144152131E-4</v>
      </c>
      <c r="G25" s="70">
        <f>IFERROR(IF(AND(up_Irr!F25&lt;&gt;".",up_Irr!AE25&lt;&gt;".",up_Irr!BD25&lt;&gt;"."),up_dir!G25/((1/1000)*(up_Irr!F25+up_Irr!AE25+up_Irr!BD25)),IF(AND(up_Irr!F25&lt;&gt;".",up_Irr!AE25&lt;&gt;".",up_Irr!BD25="."),up_dir!G25/((1/1000)*(up_Irr!F25+up_Irr!AE25)),IF(AND(up_Irr!F25&lt;&gt;".",up_Irr!AE25=".",up_Irr!BD25&lt;&gt;"."),up_dir!G25/((1/1000)*(up_Irr!F25+up_Irr!BD25)),IF(AND(up_Irr!F25=".",up_Irr!AE25&lt;&gt;".",up_Irr!BD25&lt;&gt;"."),up_dir!G25/((1/1000)*(up_Irr!AE25+up_Irr!BD25)),IF(AND(up_Irr!F25=".",up_Irr!AE25=".",up_Irr!BD25&lt;&gt;"."),up_dir!G25/((1/1000)*(up_Irr!BD25)),IF(AND(up_Irr!F25=".",up_Irr!AE25&lt;&gt;".",up_Irr!BD25="."),up_dir!G25/((1/1000)*(up_Irr!AE25)),IF(AND(up_Irr!F25&lt;&gt;".",up_Irr!AE25=".",up_Irr!BD25="."),up_dir!G25/((1/1000)*(up_Irr!F25)),IF(AND(up_Irr!F25=".",up_Irr!AE25=".",up_Irr!BD25="."),up_dir!G25*1000)))))))),".")</f>
        <v>6.5773651144152131E-4</v>
      </c>
      <c r="H25" s="70">
        <f>IFERROR(IF(AND(up_Irr!G25&lt;&gt;".",up_Irr!AF25&lt;&gt;".",up_Irr!BE25&lt;&gt;"."),up_dir!H25/((1/1000)*(up_Irr!G25+up_Irr!AF25+up_Irr!BE25)),IF(AND(up_Irr!G25&lt;&gt;".",up_Irr!AF25&lt;&gt;".",up_Irr!BE25="."),up_dir!H25/((1/1000)*(up_Irr!G25+up_Irr!AF25)),IF(AND(up_Irr!G25&lt;&gt;".",up_Irr!AF25=".",up_Irr!BE25&lt;&gt;"."),up_dir!H25/((1/1000)*(up_Irr!G25+up_Irr!BE25)),IF(AND(up_Irr!G25=".",up_Irr!AF25&lt;&gt;".",up_Irr!BE25&lt;&gt;"."),up_dir!H25/((1/1000)*(up_Irr!AF25+up_Irr!BE25)),IF(AND(up_Irr!G25=".",up_Irr!AF25=".",up_Irr!BE25&lt;&gt;"."),up_dir!H25/((1/1000)*(up_Irr!BE25)),IF(AND(up_Irr!G25=".",up_Irr!AF25&lt;&gt;".",up_Irr!BE25="."),up_dir!H25/((1/1000)*(up_Irr!AF25)),IF(AND(up_Irr!G25&lt;&gt;".",up_Irr!AF25=".",up_Irr!BE25="."),up_dir!H25/((1/1000)*(up_Irr!G25)),IF(AND(up_Irr!G25=".",up_Irr!AF25=".",up_Irr!BE25="."),up_dir!H25*1000)))))))),".")</f>
        <v>6.5773651144152131E-4</v>
      </c>
      <c r="I25" s="70">
        <f>IFERROR(IF(AND(up_Irr!H25&lt;&gt;".",up_Irr!AG25&lt;&gt;".",up_Irr!BF25&lt;&gt;"."),up_dir!I25/((1/1000)*(up_Irr!H25+up_Irr!AG25+up_Irr!BF25)),IF(AND(up_Irr!H25&lt;&gt;".",up_Irr!AG25&lt;&gt;".",up_Irr!BF25="."),up_dir!I25/((1/1000)*(up_Irr!H25+up_Irr!AG25)),IF(AND(up_Irr!H25&lt;&gt;".",up_Irr!AG25=".",up_Irr!BF25&lt;&gt;"."),up_dir!I25/((1/1000)*(up_Irr!H25+up_Irr!BF25)),IF(AND(up_Irr!H25=".",up_Irr!AG25&lt;&gt;".",up_Irr!BF25&lt;&gt;"."),up_dir!I25/((1/1000)*(up_Irr!AG25+up_Irr!BF25)),IF(AND(up_Irr!H25=".",up_Irr!AG25=".",up_Irr!BF25&lt;&gt;"."),up_dir!I25/((1/1000)*(up_Irr!BF25)),IF(AND(up_Irr!H25=".",up_Irr!AG25&lt;&gt;".",up_Irr!BF25="."),up_dir!I25/((1/1000)*(up_Irr!AG25)),IF(AND(up_Irr!H25&lt;&gt;".",up_Irr!AG25=".",up_Irr!BF25="."),up_dir!I25/((1/1000)*(up_Irr!H25)),IF(AND(up_Irr!H25=".",up_Irr!AG25=".",up_Irr!BF25="."),up_dir!I25*1000)))))))),".")</f>
        <v>6.5773651144152131E-4</v>
      </c>
      <c r="J25" s="70">
        <f>IFERROR(IF(AND(up_Irr!I25&lt;&gt;".",up_Irr!AH25&lt;&gt;".",up_Irr!BG25&lt;&gt;"."),up_dir!J25/((1/1000)*(up_Irr!I25+up_Irr!AH25+up_Irr!BG25)),IF(AND(up_Irr!I25&lt;&gt;".",up_Irr!AH25&lt;&gt;".",up_Irr!BG25="."),up_dir!J25/((1/1000)*(up_Irr!I25+up_Irr!AH25)),IF(AND(up_Irr!I25&lt;&gt;".",up_Irr!AH25=".",up_Irr!BG25&lt;&gt;"."),up_dir!J25/((1/1000)*(up_Irr!I25+up_Irr!BG25)),IF(AND(up_Irr!I25=".",up_Irr!AH25&lt;&gt;".",up_Irr!BG25&lt;&gt;"."),up_dir!J25/((1/1000)*(up_Irr!AH25+up_Irr!BG25)),IF(AND(up_Irr!I25=".",up_Irr!AH25=".",up_Irr!BG25&lt;&gt;"."),up_dir!J25/((1/1000)*(up_Irr!BG25)),IF(AND(up_Irr!I25=".",up_Irr!AH25&lt;&gt;".",up_Irr!BG25="."),up_dir!J25/((1/1000)*(up_Irr!AH25)),IF(AND(up_Irr!I25&lt;&gt;".",up_Irr!AH25=".",up_Irr!BG25="."),up_dir!J25/((1/1000)*(up_Irr!I25)),IF(AND(up_Irr!I25=".",up_Irr!AH25=".",up_Irr!BG25="."),up_dir!J25*1000)))))))),".")</f>
        <v>6.5773651144152131E-4</v>
      </c>
      <c r="K25" s="70">
        <f>IFERROR(IF(AND(up_Irr!J25&lt;&gt;".",up_Irr!AI25&lt;&gt;".",up_Irr!BH25&lt;&gt;"."),up_dir!K25/((1/1000)*(up_Irr!J25+up_Irr!AI25+up_Irr!BH25)),IF(AND(up_Irr!J25&lt;&gt;".",up_Irr!AI25&lt;&gt;".",up_Irr!BH25="."),up_dir!K25/((1/1000)*(up_Irr!J25+up_Irr!AI25)),IF(AND(up_Irr!J25&lt;&gt;".",up_Irr!AI25=".",up_Irr!BH25&lt;&gt;"."),up_dir!K25/((1/1000)*(up_Irr!J25+up_Irr!BH25)),IF(AND(up_Irr!J25=".",up_Irr!AI25&lt;&gt;".",up_Irr!BH25&lt;&gt;"."),up_dir!K25/((1/1000)*(up_Irr!AI25+up_Irr!BH25)),IF(AND(up_Irr!J25=".",up_Irr!AI25=".",up_Irr!BH25&lt;&gt;"."),up_dir!K25/((1/1000)*(up_Irr!BH25)),IF(AND(up_Irr!J25=".",up_Irr!AI25&lt;&gt;".",up_Irr!BH25="."),up_dir!K25/((1/1000)*(up_Irr!AI25)),IF(AND(up_Irr!J25&lt;&gt;".",up_Irr!AI25=".",up_Irr!BH25="."),up_dir!K25/((1/1000)*(up_Irr!J25)),IF(AND(up_Irr!J25=".",up_Irr!AI25=".",up_Irr!BH25="."),up_dir!K25*1000)))))))),".")</f>
        <v>6.5773651144152131E-4</v>
      </c>
      <c r="L25" s="70">
        <f>IFERROR(IF(AND(up_Irr!K25&lt;&gt;".",up_Irr!AJ25&lt;&gt;".",up_Irr!BI25&lt;&gt;"."),up_dir!L25/((1/1000)*(up_Irr!K25+up_Irr!AJ25+up_Irr!BI25)),IF(AND(up_Irr!K25&lt;&gt;".",up_Irr!AJ25&lt;&gt;".",up_Irr!BI25="."),up_dir!L25/((1/1000)*(up_Irr!K25+up_Irr!AJ25)),IF(AND(up_Irr!K25&lt;&gt;".",up_Irr!AJ25=".",up_Irr!BI25&lt;&gt;"."),up_dir!L25/((1/1000)*(up_Irr!K25+up_Irr!BI25)),IF(AND(up_Irr!K25=".",up_Irr!AJ25&lt;&gt;".",up_Irr!BI25&lt;&gt;"."),up_dir!L25/((1/1000)*(up_Irr!AJ25+up_Irr!BI25)),IF(AND(up_Irr!K25=".",up_Irr!AJ25=".",up_Irr!BI25&lt;&gt;"."),up_dir!L25/((1/1000)*(up_Irr!BI25)),IF(AND(up_Irr!K25=".",up_Irr!AJ25&lt;&gt;".",up_Irr!BI25="."),up_dir!L25/((1/1000)*(up_Irr!AJ25)),IF(AND(up_Irr!K25&lt;&gt;".",up_Irr!AJ25=".",up_Irr!BI25="."),up_dir!L25/((1/1000)*(up_Irr!K25)),IF(AND(up_Irr!K25=".",up_Irr!AJ25=".",up_Irr!BI25="."),up_dir!L25*1000)))))))),".")</f>
        <v>6.5773651144152131E-4</v>
      </c>
      <c r="M25" s="70">
        <f>IFERROR(IF(AND(up_Irr!L25&lt;&gt;".",up_Irr!AK25&lt;&gt;".",up_Irr!BJ25&lt;&gt;"."),up_dir!M25/((1/1000)*(up_Irr!L25+up_Irr!AK25+up_Irr!BJ25)),IF(AND(up_Irr!L25&lt;&gt;".",up_Irr!AK25&lt;&gt;".",up_Irr!BJ25="."),up_dir!M25/((1/1000)*(up_Irr!L25+up_Irr!AK25)),IF(AND(up_Irr!L25&lt;&gt;".",up_Irr!AK25=".",up_Irr!BJ25&lt;&gt;"."),up_dir!M25/((1/1000)*(up_Irr!L25+up_Irr!BJ25)),IF(AND(up_Irr!L25=".",up_Irr!AK25&lt;&gt;".",up_Irr!BJ25&lt;&gt;"."),up_dir!M25/((1/1000)*(up_Irr!AK25+up_Irr!BJ25)),IF(AND(up_Irr!L25=".",up_Irr!AK25=".",up_Irr!BJ25&lt;&gt;"."),up_dir!M25/((1/1000)*(up_Irr!BJ25)),IF(AND(up_Irr!L25=".",up_Irr!AK25&lt;&gt;".",up_Irr!BJ25="."),up_dir!M25/((1/1000)*(up_Irr!AK25)),IF(AND(up_Irr!L25&lt;&gt;".",up_Irr!AK25=".",up_Irr!BJ25="."),up_dir!M25/((1/1000)*(up_Irr!L25)),IF(AND(up_Irr!L25=".",up_Irr!AK25=".",up_Irr!BJ25="."),up_dir!M25*1000)))))))),".")</f>
        <v>6.5773651144152131E-4</v>
      </c>
      <c r="N25" s="70">
        <f>IFERROR(IF(AND(up_Irr!M25&lt;&gt;".",up_Irr!AL25&lt;&gt;".",up_Irr!BK25&lt;&gt;"."),up_dir!N25/((1/1000)*(up_Irr!M25+up_Irr!AL25+up_Irr!BK25)),IF(AND(up_Irr!M25&lt;&gt;".",up_Irr!AL25&lt;&gt;".",up_Irr!BK25="."),up_dir!N25/((1/1000)*(up_Irr!M25+up_Irr!AL25)),IF(AND(up_Irr!M25&lt;&gt;".",up_Irr!AL25=".",up_Irr!BK25&lt;&gt;"."),up_dir!N25/((1/1000)*(up_Irr!M25+up_Irr!BK25)),IF(AND(up_Irr!M25=".",up_Irr!AL25&lt;&gt;".",up_Irr!BK25&lt;&gt;"."),up_dir!N25/((1/1000)*(up_Irr!AL25+up_Irr!BK25)),IF(AND(up_Irr!M25=".",up_Irr!AL25=".",up_Irr!BK25&lt;&gt;"."),up_dir!N25/((1/1000)*(up_Irr!BK25)),IF(AND(up_Irr!M25=".",up_Irr!AL25&lt;&gt;".",up_Irr!BK25="."),up_dir!N25/((1/1000)*(up_Irr!AL25)),IF(AND(up_Irr!M25&lt;&gt;".",up_Irr!AL25=".",up_Irr!BK25="."),up_dir!N25/((1/1000)*(up_Irr!M25)),IF(AND(up_Irr!M25=".",up_Irr!AL25=".",up_Irr!BK25="."),up_dir!N25*1000)))))))),".")</f>
        <v>6.5773651144152131E-4</v>
      </c>
      <c r="O25" s="70">
        <f>IFERROR(IF(AND(up_Irr!N25&lt;&gt;".",up_Irr!AM25&lt;&gt;".",up_Irr!BL25&lt;&gt;"."),up_dir!O25/((1/1000)*(up_Irr!N25+up_Irr!AM25+up_Irr!BL25)),IF(AND(up_Irr!N25&lt;&gt;".",up_Irr!AM25&lt;&gt;".",up_Irr!BL25="."),up_dir!O25/((1/1000)*(up_Irr!N25+up_Irr!AM25)),IF(AND(up_Irr!N25&lt;&gt;".",up_Irr!AM25=".",up_Irr!BL25&lt;&gt;"."),up_dir!O25/((1/1000)*(up_Irr!N25+up_Irr!BL25)),IF(AND(up_Irr!N25=".",up_Irr!AM25&lt;&gt;".",up_Irr!BL25&lt;&gt;"."),up_dir!O25/((1/1000)*(up_Irr!AM25+up_Irr!BL25)),IF(AND(up_Irr!N25=".",up_Irr!AM25=".",up_Irr!BL25&lt;&gt;"."),up_dir!O25/((1/1000)*(up_Irr!BL25)),IF(AND(up_Irr!N25=".",up_Irr!AM25&lt;&gt;".",up_Irr!BL25="."),up_dir!O25/((1/1000)*(up_Irr!AM25)),IF(AND(up_Irr!N25&lt;&gt;".",up_Irr!AM25=".",up_Irr!BL25="."),up_dir!O25/((1/1000)*(up_Irr!N25)),IF(AND(up_Irr!N25=".",up_Irr!AM25=".",up_Irr!BL25="."),up_dir!O25*1000)))))))),".")</f>
        <v>6.5773651144152131E-4</v>
      </c>
      <c r="P25" s="70">
        <f>IFERROR(IF(AND(up_Irr!O25&lt;&gt;".",up_Irr!AN25&lt;&gt;".",up_Irr!BM25&lt;&gt;"."),up_dir!P25/((1/1000)*(up_Irr!O25+up_Irr!AN25+up_Irr!BM25)),IF(AND(up_Irr!O25&lt;&gt;".",up_Irr!AN25&lt;&gt;".",up_Irr!BM25="."),up_dir!P25/((1/1000)*(up_Irr!O25+up_Irr!AN25)),IF(AND(up_Irr!O25&lt;&gt;".",up_Irr!AN25=".",up_Irr!BM25&lt;&gt;"."),up_dir!P25/((1/1000)*(up_Irr!O25+up_Irr!BM25)),IF(AND(up_Irr!O25=".",up_Irr!AN25&lt;&gt;".",up_Irr!BM25&lt;&gt;"."),up_dir!P25/((1/1000)*(up_Irr!AN25+up_Irr!BM25)),IF(AND(up_Irr!O25=".",up_Irr!AN25=".",up_Irr!BM25&lt;&gt;"."),up_dir!P25/((1/1000)*(up_Irr!BM25)),IF(AND(up_Irr!O25=".",up_Irr!AN25&lt;&gt;".",up_Irr!BM25="."),up_dir!P25/((1/1000)*(up_Irr!AN25)),IF(AND(up_Irr!O25&lt;&gt;".",up_Irr!AN25=".",up_Irr!BM25="."),up_dir!P25/((1/1000)*(up_Irr!O25)),IF(AND(up_Irr!O25=".",up_Irr!AN25=".",up_Irr!BM25="."),up_dir!P25*1000)))))))),".")</f>
        <v>6.5773651144152131E-4</v>
      </c>
      <c r="Q25" s="70">
        <f>IFERROR(IF(AND(up_Irr!P25&lt;&gt;".",up_Irr!AO25&lt;&gt;".",up_Irr!BN25&lt;&gt;"."),up_dir!Q25/((1/1000)*(up_Irr!P25+up_Irr!AO25+up_Irr!BN25)),IF(AND(up_Irr!P25&lt;&gt;".",up_Irr!AO25&lt;&gt;".",up_Irr!BN25="."),up_dir!Q25/((1/1000)*(up_Irr!P25+up_Irr!AO25)),IF(AND(up_Irr!P25&lt;&gt;".",up_Irr!AO25=".",up_Irr!BN25&lt;&gt;"."),up_dir!Q25/((1/1000)*(up_Irr!P25+up_Irr!BN25)),IF(AND(up_Irr!P25=".",up_Irr!AO25&lt;&gt;".",up_Irr!BN25&lt;&gt;"."),up_dir!Q25/((1/1000)*(up_Irr!AO25+up_Irr!BN25)),IF(AND(up_Irr!P25=".",up_Irr!AO25=".",up_Irr!BN25&lt;&gt;"."),up_dir!Q25/((1/1000)*(up_Irr!BN25)),IF(AND(up_Irr!P25=".",up_Irr!AO25&lt;&gt;".",up_Irr!BN25="."),up_dir!Q25/((1/1000)*(up_Irr!AO25)),IF(AND(up_Irr!P25&lt;&gt;".",up_Irr!AO25=".",up_Irr!BN25="."),up_dir!Q25/((1/1000)*(up_Irr!P25)),IF(AND(up_Irr!P25=".",up_Irr!AO25=".",up_Irr!BN25="."),up_dir!Q25*1000)))))))),".")</f>
        <v>6.5773651144152131E-4</v>
      </c>
      <c r="R25" s="70">
        <f>IFERROR(IF(AND(up_Irr!Q25&lt;&gt;".",up_Irr!AP25&lt;&gt;".",up_Irr!BO25&lt;&gt;"."),up_dir!R25/((1/1000)*(up_Irr!Q25+up_Irr!AP25+up_Irr!BO25)),IF(AND(up_Irr!Q25&lt;&gt;".",up_Irr!AP25&lt;&gt;".",up_Irr!BO25="."),up_dir!R25/((1/1000)*(up_Irr!Q25+up_Irr!AP25)),IF(AND(up_Irr!Q25&lt;&gt;".",up_Irr!AP25=".",up_Irr!BO25&lt;&gt;"."),up_dir!R25/((1/1000)*(up_Irr!Q25+up_Irr!BO25)),IF(AND(up_Irr!Q25=".",up_Irr!AP25&lt;&gt;".",up_Irr!BO25&lt;&gt;"."),up_dir!R25/((1/1000)*(up_Irr!AP25+up_Irr!BO25)),IF(AND(up_Irr!Q25=".",up_Irr!AP25=".",up_Irr!BO25&lt;&gt;"."),up_dir!R25/((1/1000)*(up_Irr!BO25)),IF(AND(up_Irr!Q25=".",up_Irr!AP25&lt;&gt;".",up_Irr!BO25="."),up_dir!R25/((1/1000)*(up_Irr!AP25)),IF(AND(up_Irr!Q25&lt;&gt;".",up_Irr!AP25=".",up_Irr!BO25="."),up_dir!R25/((1/1000)*(up_Irr!Q25)),IF(AND(up_Irr!Q25=".",up_Irr!AP25=".",up_Irr!BO25="."),up_dir!R25*1000)))))))),".")</f>
        <v>6.5773651144152131E-4</v>
      </c>
      <c r="S25" s="70">
        <f>IFERROR(IF(AND(up_Irr!R25&lt;&gt;".",up_Irr!AQ25&lt;&gt;".",up_Irr!BP25&lt;&gt;"."),up_dir!S25/((1/1000)*(up_Irr!R25+up_Irr!AQ25+up_Irr!BP25)),IF(AND(up_Irr!R25&lt;&gt;".",up_Irr!AQ25&lt;&gt;".",up_Irr!BP25="."),up_dir!S25/((1/1000)*(up_Irr!R25+up_Irr!AQ25)),IF(AND(up_Irr!R25&lt;&gt;".",up_Irr!AQ25=".",up_Irr!BP25&lt;&gt;"."),up_dir!S25/((1/1000)*(up_Irr!R25+up_Irr!BP25)),IF(AND(up_Irr!R25=".",up_Irr!AQ25&lt;&gt;".",up_Irr!BP25&lt;&gt;"."),up_dir!S25/((1/1000)*(up_Irr!AQ25+up_Irr!BP25)),IF(AND(up_Irr!R25=".",up_Irr!AQ25=".",up_Irr!BP25&lt;&gt;"."),up_dir!S25/((1/1000)*(up_Irr!BP25)),IF(AND(up_Irr!R25=".",up_Irr!AQ25&lt;&gt;".",up_Irr!BP25="."),up_dir!S25/((1/1000)*(up_Irr!AQ25)),IF(AND(up_Irr!R25&lt;&gt;".",up_Irr!AQ25=".",up_Irr!BP25="."),up_dir!S25/((1/1000)*(up_Irr!R25)),IF(AND(up_Irr!R25=".",up_Irr!AQ25=".",up_Irr!BP25="."),up_dir!S25*1000)))))))),".")</f>
        <v>6.5773651144152131E-4</v>
      </c>
      <c r="T25" s="70">
        <f>IFERROR(IF(AND(up_Irr!S25&lt;&gt;".",up_Irr!AR25&lt;&gt;".",up_Irr!BQ25&lt;&gt;"."),up_dir!T25/((1/1000)*(up_Irr!S25+up_Irr!AR25+up_Irr!BQ25)),IF(AND(up_Irr!S25&lt;&gt;".",up_Irr!AR25&lt;&gt;".",up_Irr!BQ25="."),up_dir!T25/((1/1000)*(up_Irr!S25+up_Irr!AR25)),IF(AND(up_Irr!S25&lt;&gt;".",up_Irr!AR25=".",up_Irr!BQ25&lt;&gt;"."),up_dir!T25/((1/1000)*(up_Irr!S25+up_Irr!BQ25)),IF(AND(up_Irr!S25=".",up_Irr!AR25&lt;&gt;".",up_Irr!BQ25&lt;&gt;"."),up_dir!T25/((1/1000)*(up_Irr!AR25+up_Irr!BQ25)),IF(AND(up_Irr!S25=".",up_Irr!AR25=".",up_Irr!BQ25&lt;&gt;"."),up_dir!T25/((1/1000)*(up_Irr!BQ25)),IF(AND(up_Irr!S25=".",up_Irr!AR25&lt;&gt;".",up_Irr!BQ25="."),up_dir!T25/((1/1000)*(up_Irr!AR25)),IF(AND(up_Irr!S25&lt;&gt;".",up_Irr!AR25=".",up_Irr!BQ25="."),up_dir!T25/((1/1000)*(up_Irr!S25)),IF(AND(up_Irr!S25=".",up_Irr!AR25=".",up_Irr!BQ25="."),up_dir!T25*1000)))))))),".")</f>
        <v>6.5773651144152131E-4</v>
      </c>
      <c r="U25" s="70">
        <f>IFERROR(IF(AND(up_Irr!T25&lt;&gt;".",up_Irr!AS25&lt;&gt;".",up_Irr!BR25&lt;&gt;"."),up_dir!U25/((1/1000)*(up_Irr!T25+up_Irr!AS25+up_Irr!BR25)),IF(AND(up_Irr!T25&lt;&gt;".",up_Irr!AS25&lt;&gt;".",up_Irr!BR25="."),up_dir!U25/((1/1000)*(up_Irr!T25+up_Irr!AS25)),IF(AND(up_Irr!T25&lt;&gt;".",up_Irr!AS25=".",up_Irr!BR25&lt;&gt;"."),up_dir!U25/((1/1000)*(up_Irr!T25+up_Irr!BR25)),IF(AND(up_Irr!T25=".",up_Irr!AS25&lt;&gt;".",up_Irr!BR25&lt;&gt;"."),up_dir!U25/((1/1000)*(up_Irr!AS25+up_Irr!BR25)),IF(AND(up_Irr!T25=".",up_Irr!AS25=".",up_Irr!BR25&lt;&gt;"."),up_dir!U25/((1/1000)*(up_Irr!BR25)),IF(AND(up_Irr!T25=".",up_Irr!AS25&lt;&gt;".",up_Irr!BR25="."),up_dir!U25/((1/1000)*(up_Irr!AS25)),IF(AND(up_Irr!T25&lt;&gt;".",up_Irr!AS25=".",up_Irr!BR25="."),up_dir!U25/((1/1000)*(up_Irr!T25)),IF(AND(up_Irr!T25=".",up_Irr!AS25=".",up_Irr!BR25="."),up_dir!U25*1000)))))))),".")</f>
        <v>6.5773651144152131E-4</v>
      </c>
      <c r="V25" s="70">
        <f>IFERROR(IF(AND(up_Irr!U25&lt;&gt;".",up_Irr!AT25&lt;&gt;".",up_Irr!BS25&lt;&gt;"."),up_dir!V25/((1/1000)*(up_Irr!U25+up_Irr!AT25+up_Irr!BS25)),IF(AND(up_Irr!U25&lt;&gt;".",up_Irr!AT25&lt;&gt;".",up_Irr!BS25="."),up_dir!V25/((1/1000)*(up_Irr!U25+up_Irr!AT25)),IF(AND(up_Irr!U25&lt;&gt;".",up_Irr!AT25=".",up_Irr!BS25&lt;&gt;"."),up_dir!V25/((1/1000)*(up_Irr!U25+up_Irr!BS25)),IF(AND(up_Irr!U25=".",up_Irr!AT25&lt;&gt;".",up_Irr!BS25&lt;&gt;"."),up_dir!V25/((1/1000)*(up_Irr!AT25+up_Irr!BS25)),IF(AND(up_Irr!U25=".",up_Irr!AT25=".",up_Irr!BS25&lt;&gt;"."),up_dir!V25/((1/1000)*(up_Irr!BS25)),IF(AND(up_Irr!U25=".",up_Irr!AT25&lt;&gt;".",up_Irr!BS25="."),up_dir!V25/((1/1000)*(up_Irr!AT25)),IF(AND(up_Irr!U25&lt;&gt;".",up_Irr!AT25=".",up_Irr!BS25="."),up_dir!V25/((1/1000)*(up_Irr!U25)),IF(AND(up_Irr!U25=".",up_Irr!AT25=".",up_Irr!BS25="."),up_dir!V25*1000)))))))),".")</f>
        <v>6.5773651144152131E-4</v>
      </c>
      <c r="W25" s="70">
        <f>IFERROR(IF(AND(up_Irr!V25&lt;&gt;".",up_Irr!AU25&lt;&gt;".",up_Irr!BT25&lt;&gt;"."),up_dir!W25/((1/1000)*(up_Irr!V25+up_Irr!AU25+up_Irr!BT25)),IF(AND(up_Irr!V25&lt;&gt;".",up_Irr!AU25&lt;&gt;".",up_Irr!BT25="."),up_dir!W25/((1/1000)*(up_Irr!V25+up_Irr!AU25)),IF(AND(up_Irr!V25&lt;&gt;".",up_Irr!AU25=".",up_Irr!BT25&lt;&gt;"."),up_dir!W25/((1/1000)*(up_Irr!V25+up_Irr!BT25)),IF(AND(up_Irr!V25=".",up_Irr!AU25&lt;&gt;".",up_Irr!BT25&lt;&gt;"."),up_dir!W25/((1/1000)*(up_Irr!AU25+up_Irr!BT25)),IF(AND(up_Irr!V25=".",up_Irr!AU25=".",up_Irr!BT25&lt;&gt;"."),up_dir!W25/((1/1000)*(up_Irr!BT25)),IF(AND(up_Irr!V25=".",up_Irr!AU25&lt;&gt;".",up_Irr!BT25="."),up_dir!W25/((1/1000)*(up_Irr!AU25)),IF(AND(up_Irr!V25&lt;&gt;".",up_Irr!AU25=".",up_Irr!BT25="."),up_dir!W25/((1/1000)*(up_Irr!V25)),IF(AND(up_Irr!V25=".",up_Irr!AU25=".",up_Irr!BT25="."),up_dir!W25*1000)))))))),".")</f>
        <v>6.5773651144152131E-4</v>
      </c>
      <c r="X25" s="70">
        <f>IFERROR(IF(AND(up_Irr!W25&lt;&gt;".",up_Irr!AV25&lt;&gt;".",up_Irr!BU25&lt;&gt;"."),up_dir!X25/((1/1000)*(up_Irr!W25+up_Irr!AV25+up_Irr!BU25)),IF(AND(up_Irr!W25&lt;&gt;".",up_Irr!AV25&lt;&gt;".",up_Irr!BU25="."),up_dir!X25/((1/1000)*(up_Irr!W25+up_Irr!AV25)),IF(AND(up_Irr!W25&lt;&gt;".",up_Irr!AV25=".",up_Irr!BU25&lt;&gt;"."),up_dir!X25/((1/1000)*(up_Irr!W25+up_Irr!BU25)),IF(AND(up_Irr!W25=".",up_Irr!AV25&lt;&gt;".",up_Irr!BU25&lt;&gt;"."),up_dir!X25/((1/1000)*(up_Irr!AV25+up_Irr!BU25)),IF(AND(up_Irr!W25=".",up_Irr!AV25=".",up_Irr!BU25&lt;&gt;"."),up_dir!X25/((1/1000)*(up_Irr!BU25)),IF(AND(up_Irr!W25=".",up_Irr!AV25&lt;&gt;".",up_Irr!BU25="."),up_dir!X25/((1/1000)*(up_Irr!AV25)),IF(AND(up_Irr!W25&lt;&gt;".",up_Irr!AV25=".",up_Irr!BU25="."),up_dir!X25/((1/1000)*(up_Irr!W25)),IF(AND(up_Irr!W25=".",up_Irr!AV25=".",up_Irr!BU25="."),up_dir!X25*1000)))))))),".")</f>
        <v>6.5773651144152131E-4</v>
      </c>
      <c r="Y25" s="70">
        <f>IFERROR(IF(AND(up_Irr!X25&lt;&gt;".",up_Irr!AW25&lt;&gt;".",up_Irr!BV25&lt;&gt;"."),up_dir!Y25/((1/1000)*(up_Irr!X25+up_Irr!AW25+up_Irr!BV25)),IF(AND(up_Irr!X25&lt;&gt;".",up_Irr!AW25&lt;&gt;".",up_Irr!BV25="."),up_dir!Y25/((1/1000)*(up_Irr!X25+up_Irr!AW25)),IF(AND(up_Irr!X25&lt;&gt;".",up_Irr!AW25=".",up_Irr!BV25&lt;&gt;"."),up_dir!Y25/((1/1000)*(up_Irr!X25+up_Irr!BV25)),IF(AND(up_Irr!X25=".",up_Irr!AW25&lt;&gt;".",up_Irr!BV25&lt;&gt;"."),up_dir!Y25/((1/1000)*(up_Irr!AW25+up_Irr!BV25)),IF(AND(up_Irr!X25=".",up_Irr!AW25=".",up_Irr!BV25&lt;&gt;"."),up_dir!Y25/((1/1000)*(up_Irr!BV25)),IF(AND(up_Irr!X25=".",up_Irr!AW25&lt;&gt;".",up_Irr!BV25="."),up_dir!Y25/((1/1000)*(up_Irr!AW25)),IF(AND(up_Irr!X25&lt;&gt;".",up_Irr!AW25=".",up_Irr!BV25="."),up_dir!Y25/((1/1000)*(up_Irr!X25)),IF(AND(up_Irr!X25=".",up_Irr!AW25=".",up_Irr!BV25="."),up_dir!Y25*1000)))))))),".")</f>
        <v>6.5773651144152131E-4</v>
      </c>
      <c r="Z25" s="70">
        <f>IFERROR(IF(AND(up_Irr!Y25&lt;&gt;".",up_Irr!AX25&lt;&gt;".",up_Irr!BW25&lt;&gt;"."),up_dir!Z25/((1/1000)*(up_Irr!Y25+up_Irr!AX25+up_Irr!BW25)),IF(AND(up_Irr!Y25&lt;&gt;".",up_Irr!AX25&lt;&gt;".",up_Irr!BW25="."),up_dir!Z25/((1/1000)*(up_Irr!Y25+up_Irr!AX25)),IF(AND(up_Irr!Y25&lt;&gt;".",up_Irr!AX25=".",up_Irr!BW25&lt;&gt;"."),up_dir!Z25/((1/1000)*(up_Irr!Y25+up_Irr!BW25)),IF(AND(up_Irr!Y25=".",up_Irr!AX25&lt;&gt;".",up_Irr!BW25&lt;&gt;"."),up_dir!Z25/((1/1000)*(up_Irr!AX25+up_Irr!BW25)),IF(AND(up_Irr!Y25=".",up_Irr!AX25=".",up_Irr!BW25&lt;&gt;"."),up_dir!Z25/((1/1000)*(up_Irr!BW25)),IF(AND(up_Irr!Y25=".",up_Irr!AX25&lt;&gt;".",up_Irr!BW25="."),up_dir!Z25/((1/1000)*(up_Irr!AX25)),IF(AND(up_Irr!Y25&lt;&gt;".",up_Irr!AX25=".",up_Irr!BW25="."),up_dir!Z25/((1/1000)*(up_Irr!Y25)),IF(AND(up_Irr!Y25=".",up_Irr!AX25=".",up_Irr!BW25="."),up_dir!Z25*1000)))))))),".")</f>
        <v>6.5773651144152131E-4</v>
      </c>
      <c r="AA25" s="70">
        <f>IFERROR(IF(AND(up_Irr!Z25&lt;&gt;".",up_Irr!AY25&lt;&gt;".",up_Irr!BX25&lt;&gt;"."),up_dir!AA25/((1/1000)*(up_Irr!Z25+up_Irr!AY25+up_Irr!BX25)),IF(AND(up_Irr!Z25&lt;&gt;".",up_Irr!AY25&lt;&gt;".",up_Irr!BX25="."),up_dir!AA25/((1/1000)*(up_Irr!Z25+up_Irr!AY25)),IF(AND(up_Irr!Z25&lt;&gt;".",up_Irr!AY25=".",up_Irr!BX25&lt;&gt;"."),up_dir!AA25/((1/1000)*(up_Irr!Z25+up_Irr!BX25)),IF(AND(up_Irr!Z25=".",up_Irr!AY25&lt;&gt;".",up_Irr!BX25&lt;&gt;"."),up_dir!AA25/((1/1000)*(up_Irr!AY25+up_Irr!BX25)),IF(AND(up_Irr!Z25=".",up_Irr!AY25=".",up_Irr!BX25&lt;&gt;"."),up_dir!AA25/((1/1000)*(up_Irr!BX25)),IF(AND(up_Irr!Z25=".",up_Irr!AY25&lt;&gt;".",up_Irr!BX25="."),up_dir!AA25/((1/1000)*(up_Irr!AY25)),IF(AND(up_Irr!Z25&lt;&gt;".",up_Irr!AY25=".",up_Irr!BX25="."),up_dir!AA25/((1/1000)*(up_Irr!Z25)),IF(AND(up_Irr!Z25=".",up_Irr!AY25=".",up_Irr!BX25="."),up_dir!AA25*1000)))))))),".")</f>
        <v>6.5773651144152131E-4</v>
      </c>
      <c r="AB25" s="70">
        <f>IFERROR(IF(AND(up_Irr!AA25&lt;&gt;".",up_Irr!AZ25&lt;&gt;".",up_Irr!BY25&lt;&gt;"."),up_dir!AB25/((1/1000)*(up_Irr!AA25+up_Irr!AZ25+up_Irr!BY25)),IF(AND(up_Irr!AA25&lt;&gt;".",up_Irr!AZ25&lt;&gt;".",up_Irr!BY25="."),up_dir!AB25/((1/1000)*(up_Irr!AA25+up_Irr!AZ25)),IF(AND(up_Irr!AA25&lt;&gt;".",up_Irr!AZ25=".",up_Irr!BY25&lt;&gt;"."),up_dir!AB25/((1/1000)*(up_Irr!AA25+up_Irr!BY25)),IF(AND(up_Irr!AA25=".",up_Irr!AZ25&lt;&gt;".",up_Irr!BY25&lt;&gt;"."),up_dir!AB25/((1/1000)*(up_Irr!AZ25+up_Irr!BY25)),IF(AND(up_Irr!AA25=".",up_Irr!AZ25=".",up_Irr!BY25&lt;&gt;"."),up_dir!AB25/((1/1000)*(up_Irr!BY25)),IF(AND(up_Irr!AA25=".",up_Irr!AZ25&lt;&gt;".",up_Irr!BY25="."),up_dir!AB25/((1/1000)*(up_Irr!AZ25)),IF(AND(up_Irr!AA25&lt;&gt;".",up_Irr!AZ25=".",up_Irr!BY25="."),up_dir!AB25/((1/1000)*(up_Irr!AA25)),IF(AND(up_Irr!AA25=".",up_Irr!AZ25=".",up_Irr!BY25="."),up_dir!AB25*1000)))))))),".")</f>
        <v>6.5773651144152131E-4</v>
      </c>
      <c r="AC25" s="87">
        <f t="shared" si="1"/>
        <v>30407.313038114935</v>
      </c>
      <c r="AD25" s="87">
        <f>IFERROR(s_C*s_IFAP_res_adj*s_CF_apple*0.001*(up_Irr!C25+up_Irr!AB25+up_Irr!BA25),".")</f>
        <v>7601.8282595287337</v>
      </c>
      <c r="AE25" s="87">
        <f>IFERROR(s_C*s_IFAS_res_adj*s_CF_asparagus*0.001*(up_Irr!D25+up_Irr!AC25+up_Irr!BB25),".")</f>
        <v>7601.8282595287337</v>
      </c>
      <c r="AF25" s="87">
        <f>IFERROR(s_C*s_IFBT_res_adj*s_CF_beet*0.001*(up_Irr!E25+up_Irr!AD25+up_Irr!BC25),".")</f>
        <v>7601.8282595287337</v>
      </c>
      <c r="AG25" s="87">
        <f>IFERROR(s_C*s_IFBE_res_adj*s_CF_berries*0.001*(up_Irr!F25+up_Irr!AE25+up_Irr!BD25),".")</f>
        <v>7601.8282595287337</v>
      </c>
      <c r="AH25" s="87">
        <f>IFERROR(s_C*s_IFBR_res_adj*s_CF_broccoli*0.001*(up_Irr!G25+up_Irr!AF25+up_Irr!BE25),".")</f>
        <v>7601.8282595287337</v>
      </c>
      <c r="AI25" s="87">
        <f>IFERROR(s_C*s_IFCB_res_adj*s_CF_cabbage*0.001*(up_Irr!H25+up_Irr!AG25+up_Irr!BF25),".")</f>
        <v>7601.8282595287337</v>
      </c>
      <c r="AJ25" s="87">
        <f>IFERROR(s_C*s_IFCR_res_adj*s_CF_carrot*0.001*(up_Irr!I25+up_Irr!AH25+up_Irr!BG25),".")</f>
        <v>7601.8282595287337</v>
      </c>
      <c r="AK25" s="87">
        <f>IFERROR(s_C*s_IFCI_res_adj*s_CF_citrus*0.001*(up_Irr!J25+up_Irr!AI25+up_Irr!BH25),".")</f>
        <v>7601.8282595287337</v>
      </c>
      <c r="AL25" s="87">
        <f>IFERROR(s_C*s_IFCO_res_adj*s_CF_corn*0.001*(up_Irr!K25+up_Irr!AJ25+up_Irr!BI25),".")</f>
        <v>7601.8282595287337</v>
      </c>
      <c r="AM25" s="87">
        <f>IFERROR(s_C*s_IFCU_res_adj*s_CF_cucumber*0.001*(up_Irr!L25+up_Irr!AK25+up_Irr!BJ25),".")</f>
        <v>7601.8282595287337</v>
      </c>
      <c r="AN25" s="87">
        <f>IFERROR(s_C*s_IFLE_res_adj*s_CF_lettuce*0.001*(up_Irr!M25+up_Irr!AL25+up_Irr!BK25),".")</f>
        <v>7601.8282595287337</v>
      </c>
      <c r="AO25" s="87">
        <f>IFERROR(s_C*s_IFLI_res_adj*s_CF_lima_bean*0.001*(up_Irr!N25+up_Irr!AM25+up_Irr!BL25),".")</f>
        <v>7601.8282595287337</v>
      </c>
      <c r="AP25" s="87">
        <f>IFERROR(s_C*s_IFOK_res_adj*s_CF_okra*0.001*(up_Irr!O25+up_Irr!AN25+up_Irr!BM25),".")</f>
        <v>7601.8282595287337</v>
      </c>
      <c r="AQ25" s="87">
        <f>IFERROR(s_C*s_IFON_res_adj*s_CF_onion*0.001*(up_Irr!P25+up_Irr!AO25+up_Irr!BN25),".")</f>
        <v>7601.8282595287337</v>
      </c>
      <c r="AR25" s="87">
        <f>IFERROR(s_C*s_IFPC_res_adj*s_CF_peach*0.001*(up_Irr!Q25+up_Irr!AP25+up_Irr!BO25),".")</f>
        <v>7601.8282595287337</v>
      </c>
      <c r="AS25" s="87">
        <f>IFERROR(s_C*s_IFPR_res_adj*s_CF_pear*0.001*(up_Irr!R25+up_Irr!AQ25+up_Irr!BP25),".")</f>
        <v>7601.8282595287337</v>
      </c>
      <c r="AT25" s="87">
        <f>IFERROR(s_C*s_IFPE_res_adj*s_CF_peas*0.001*(up_Irr!S25+up_Irr!AR25+up_Irr!BQ25),".")</f>
        <v>7601.8282595287337</v>
      </c>
      <c r="AU25" s="87">
        <f>IFERROR(s_C*s_IFPP_res_adj*s_CF_peppers*0.001*(up_Irr!T25+up_Irr!AS25+up_Irr!BR25),".")</f>
        <v>7601.8282595287337</v>
      </c>
      <c r="AV25" s="87">
        <f>IFERROR(s_C*s_IFPT_res_adj*s_CF_potato*0.001*(up_Irr!U25+up_Irr!AT25+up_Irr!BS25),".")</f>
        <v>7601.8282595287337</v>
      </c>
      <c r="AW25" s="87">
        <f>IFERROR(s_C*s_IFPU_res_adj*s_CF_pumpkin*0.001*(up_Irr!V25+up_Irr!AU25+up_Irr!BT25),".")</f>
        <v>7601.8282595287337</v>
      </c>
      <c r="AX25" s="87">
        <f>IFERROR(s_C*s_IFSN_res_adj*s_CF_snap_bean*0.001*(up_Irr!W25+up_Irr!AV25+up_Irr!BU25),".")</f>
        <v>7601.8282595287337</v>
      </c>
      <c r="AY25" s="87">
        <f>IFERROR(s_C*s_IFST_res_adj*s_CF_strawberry*0.001*(up_Irr!X25+up_Irr!AW25+up_Irr!BV25),".")</f>
        <v>7601.8282595287337</v>
      </c>
      <c r="AZ25" s="87">
        <f>IFERROR(s_C*s_IFTO_res_adj*s_CF_tomato*0.001*(up_Irr!Y25+up_Irr!AX25+up_Irr!BW25),".")</f>
        <v>7601.8282595287337</v>
      </c>
      <c r="BA25" s="87">
        <f>IFERROR(s_C*s_IFRI_res_adj*s_CF_rice*0.001*(up_Irr!Z25+up_Irr!AY25+up_Irr!BX25),".")</f>
        <v>7601.8282595287337</v>
      </c>
      <c r="BB25" s="87">
        <f>IFERROR(s_C*s_IFCG_res_adj*s_CF_cereal*0.001*(up_Irr!AA25+up_Irr!AZ25+up_Irr!BY25),".")</f>
        <v>7601.8282595287337</v>
      </c>
      <c r="BC25" s="70">
        <f t="shared" si="2"/>
        <v>1.6443412786038033E-4</v>
      </c>
      <c r="BD25" s="70">
        <f>IFERROR(IF(AND(up_Irr!C25&lt;&gt;".",up_Irr!AB25&lt;&gt;".",up_Irr!BA25&lt;&gt;"."),up_dir!AD25/((1/1000)*(up_Irr!C25+up_Irr!AB25+up_Irr!BA25)),IF(AND(up_Irr!C25&lt;&gt;".",up_Irr!AB25&lt;&gt;".",up_Irr!BA25="."),up_dir!AD25/((1/1000)*(up_Irr!C25+up_Irr!AB25)),IF(AND(up_Irr!C25&lt;&gt;".",up_Irr!AB25=".",up_Irr!BA25&lt;&gt;"."),up_dir!AD25/((1/1000)*(up_Irr!C25+up_Irr!BA25)),IF(AND(up_Irr!C25=".",up_Irr!AB25&lt;&gt;".",up_Irr!BA25&lt;&gt;"."),up_dir!AD25/((1/1000)*(up_Irr!AB25+up_Irr!BA25)),IF(AND(up_Irr!C25=".",up_Irr!AB25=".",up_Irr!BA25&lt;&gt;"."),up_dir!AD25/((1/1000)*(up_Irr!BA25)),IF(AND(up_Irr!C25=".",up_Irr!AB25&lt;&gt;".",up_Irr!BA25="."),up_dir!AD25/((1/1000)*(up_Irr!AB25)),IF(AND(up_Irr!C25&lt;&gt;".",up_Irr!AB25=".",up_Irr!BA25="."),up_dir!AD25/((1/1000)*(up_Irr!C25)),IF(AND(up_Irr!C25=".",up_Irr!AB25=".",up_Irr!BA25="."),up_dir!AD25*1000)))))))),".")</f>
        <v>6.5773651144152131E-4</v>
      </c>
      <c r="BE25" s="70">
        <f>IFERROR(IF(AND(up_Irr!D25&lt;&gt;".",up_Irr!AC25&lt;&gt;".",up_Irr!BB25&lt;&gt;"."),up_dir!AE25/((1/1000)*(up_Irr!D25+up_Irr!AC25+up_Irr!BB25)),IF(AND(up_Irr!D25&lt;&gt;".",up_Irr!AC25&lt;&gt;".",up_Irr!BB25="."),up_dir!AE25/((1/1000)*(up_Irr!D25+up_Irr!AC25)),IF(AND(up_Irr!D25&lt;&gt;".",up_Irr!AC25=".",up_Irr!BB25&lt;&gt;"."),up_dir!AE25/((1/1000)*(up_Irr!D25+up_Irr!BB25)),IF(AND(up_Irr!D25=".",up_Irr!AC25&lt;&gt;".",up_Irr!BB25&lt;&gt;"."),up_dir!AE25/((1/1000)*(up_Irr!AC25+up_Irr!BB25)),IF(AND(up_Irr!D25=".",up_Irr!AC25=".",up_Irr!BB25&lt;&gt;"."),up_dir!AE25/((1/1000)*(up_Irr!BB25)),IF(AND(up_Irr!D25=".",up_Irr!AC25&lt;&gt;".",up_Irr!BB25="."),up_dir!AE25/((1/1000)*(up_Irr!AC25)),IF(AND(up_Irr!D25&lt;&gt;".",up_Irr!AC25=".",up_Irr!BB25="."),up_dir!AE25/((1/1000)*(up_Irr!D25)),IF(AND(up_Irr!D25=".",up_Irr!AC25=".",up_Irr!BB25="."),up_dir!AE25*1000)))))))),".")</f>
        <v>6.5773651144152131E-4</v>
      </c>
      <c r="BF25" s="70">
        <f>IFERROR(IF(AND(up_Irr!E25&lt;&gt;".",up_Irr!AD25&lt;&gt;".",up_Irr!BC25&lt;&gt;"."),up_dir!AF25/((1/1000)*(up_Irr!E25+up_Irr!AD25+up_Irr!BC25)),IF(AND(up_Irr!E25&lt;&gt;".",up_Irr!AD25&lt;&gt;".",up_Irr!BC25="."),up_dir!AF25/((1/1000)*(up_Irr!E25+up_Irr!AD25)),IF(AND(up_Irr!E25&lt;&gt;".",up_Irr!AD25=".",up_Irr!BC25&lt;&gt;"."),up_dir!AF25/((1/1000)*(up_Irr!E25+up_Irr!BC25)),IF(AND(up_Irr!E25=".",up_Irr!AD25&lt;&gt;".",up_Irr!BC25&lt;&gt;"."),up_dir!AF25/((1/1000)*(up_Irr!AD25+up_Irr!BC25)),IF(AND(up_Irr!E25=".",up_Irr!AD25=".",up_Irr!BC25&lt;&gt;"."),up_dir!AF25/((1/1000)*(up_Irr!BC25)),IF(AND(up_Irr!E25=".",up_Irr!AD25&lt;&gt;".",up_Irr!BC25="."),up_dir!AF25/((1/1000)*(up_Irr!AD25)),IF(AND(up_Irr!E25&lt;&gt;".",up_Irr!AD25=".",up_Irr!BC25="."),up_dir!AF25/((1/1000)*(up_Irr!E25)),IF(AND(up_Irr!E25=".",up_Irr!AD25=".",up_Irr!BC25="."),up_dir!AF25*1000)))))))),".")</f>
        <v>6.5773651144152131E-4</v>
      </c>
      <c r="BG25" s="70">
        <f>IFERROR(IF(AND(up_Irr!F25&lt;&gt;".",up_Irr!AE25&lt;&gt;".",up_Irr!BD25&lt;&gt;"."),up_dir!AG25/((1/1000)*(up_Irr!F25+up_Irr!AE25+up_Irr!BD25)),IF(AND(up_Irr!F25&lt;&gt;".",up_Irr!AE25&lt;&gt;".",up_Irr!BD25="."),up_dir!AG25/((1/1000)*(up_Irr!F25+up_Irr!AE25)),IF(AND(up_Irr!F25&lt;&gt;".",up_Irr!AE25=".",up_Irr!BD25&lt;&gt;"."),up_dir!AG25/((1/1000)*(up_Irr!F25+up_Irr!BD25)),IF(AND(up_Irr!F25=".",up_Irr!AE25&lt;&gt;".",up_Irr!BD25&lt;&gt;"."),up_dir!AG25/((1/1000)*(up_Irr!AE25+up_Irr!BD25)),IF(AND(up_Irr!F25=".",up_Irr!AE25=".",up_Irr!BD25&lt;&gt;"."),up_dir!AG25/((1/1000)*(up_Irr!BD25)),IF(AND(up_Irr!F25=".",up_Irr!AE25&lt;&gt;".",up_Irr!BD25="."),up_dir!AG25/((1/1000)*(up_Irr!AE25)),IF(AND(up_Irr!F25&lt;&gt;".",up_Irr!AE25=".",up_Irr!BD25="."),up_dir!AG25/((1/1000)*(up_Irr!F25)),IF(AND(up_Irr!F25=".",up_Irr!AE25=".",up_Irr!BD25="."),up_dir!AG25*1000)))))))),".")</f>
        <v>6.5773651144152131E-4</v>
      </c>
      <c r="BH25" s="70">
        <f>IFERROR(IF(AND(up_Irr!G25&lt;&gt;".",up_Irr!AF25&lt;&gt;".",up_Irr!BE25&lt;&gt;"."),up_dir!AH25/((1/1000)*(up_Irr!G25+up_Irr!AF25+up_Irr!BE25)),IF(AND(up_Irr!G25&lt;&gt;".",up_Irr!AF25&lt;&gt;".",up_Irr!BE25="."),up_dir!AH25/((1/1000)*(up_Irr!G25+up_Irr!AF25)),IF(AND(up_Irr!G25&lt;&gt;".",up_Irr!AF25=".",up_Irr!BE25&lt;&gt;"."),up_dir!AH25/((1/1000)*(up_Irr!G25+up_Irr!BE25)),IF(AND(up_Irr!G25=".",up_Irr!AF25&lt;&gt;".",up_Irr!BE25&lt;&gt;"."),up_dir!AH25/((1/1000)*(up_Irr!AF25+up_Irr!BE25)),IF(AND(up_Irr!G25=".",up_Irr!AF25=".",up_Irr!BE25&lt;&gt;"."),up_dir!AH25/((1/1000)*(up_Irr!BE25)),IF(AND(up_Irr!G25=".",up_Irr!AF25&lt;&gt;".",up_Irr!BE25="."),up_dir!AH25/((1/1000)*(up_Irr!AF25)),IF(AND(up_Irr!G25&lt;&gt;".",up_Irr!AF25=".",up_Irr!BE25="."),up_dir!AH25/((1/1000)*(up_Irr!G25)),IF(AND(up_Irr!G25=".",up_Irr!AF25=".",up_Irr!BE25="."),up_dir!AH25*1000)))))))),".")</f>
        <v>6.5773651144152131E-4</v>
      </c>
      <c r="BI25" s="70">
        <f>IFERROR(IF(AND(up_Irr!H25&lt;&gt;".",up_Irr!AG25&lt;&gt;".",up_Irr!BF25&lt;&gt;"."),up_dir!AI25/((1/1000)*(up_Irr!H25+up_Irr!AG25+up_Irr!BF25)),IF(AND(up_Irr!H25&lt;&gt;".",up_Irr!AG25&lt;&gt;".",up_Irr!BF25="."),up_dir!AI25/((1/1000)*(up_Irr!H25+up_Irr!AG25)),IF(AND(up_Irr!H25&lt;&gt;".",up_Irr!AG25=".",up_Irr!BF25&lt;&gt;"."),up_dir!AI25/((1/1000)*(up_Irr!H25+up_Irr!BF25)),IF(AND(up_Irr!H25=".",up_Irr!AG25&lt;&gt;".",up_Irr!BF25&lt;&gt;"."),up_dir!AI25/((1/1000)*(up_Irr!AG25+up_Irr!BF25)),IF(AND(up_Irr!H25=".",up_Irr!AG25=".",up_Irr!BF25&lt;&gt;"."),up_dir!AI25/((1/1000)*(up_Irr!BF25)),IF(AND(up_Irr!H25=".",up_Irr!AG25&lt;&gt;".",up_Irr!BF25="."),up_dir!AI25/((1/1000)*(up_Irr!AG25)),IF(AND(up_Irr!H25&lt;&gt;".",up_Irr!AG25=".",up_Irr!BF25="."),up_dir!AI25/((1/1000)*(up_Irr!H25)),IF(AND(up_Irr!H25=".",up_Irr!AG25=".",up_Irr!BF25="."),up_dir!AI25*1000)))))))),".")</f>
        <v>6.5773651144152131E-4</v>
      </c>
      <c r="BJ25" s="70">
        <f>IFERROR(IF(AND(up_Irr!I25&lt;&gt;".",up_Irr!AH25&lt;&gt;".",up_Irr!BG25&lt;&gt;"."),up_dir!AJ25/((1/1000)*(up_Irr!I25+up_Irr!AH25+up_Irr!BG25)),IF(AND(up_Irr!I25&lt;&gt;".",up_Irr!AH25&lt;&gt;".",up_Irr!BG25="."),up_dir!AJ25/((1/1000)*(up_Irr!I25+up_Irr!AH25)),IF(AND(up_Irr!I25&lt;&gt;".",up_Irr!AH25=".",up_Irr!BG25&lt;&gt;"."),up_dir!AJ25/((1/1000)*(up_Irr!I25+up_Irr!BG25)),IF(AND(up_Irr!I25=".",up_Irr!AH25&lt;&gt;".",up_Irr!BG25&lt;&gt;"."),up_dir!AJ25/((1/1000)*(up_Irr!AH25+up_Irr!BG25)),IF(AND(up_Irr!I25=".",up_Irr!AH25=".",up_Irr!BG25&lt;&gt;"."),up_dir!AJ25/((1/1000)*(up_Irr!BG25)),IF(AND(up_Irr!I25=".",up_Irr!AH25&lt;&gt;".",up_Irr!BG25="."),up_dir!AJ25/((1/1000)*(up_Irr!AH25)),IF(AND(up_Irr!I25&lt;&gt;".",up_Irr!AH25=".",up_Irr!BG25="."),up_dir!AJ25/((1/1000)*(up_Irr!I25)),IF(AND(up_Irr!I25=".",up_Irr!AH25=".",up_Irr!BG25="."),up_dir!AJ25*1000)))))))),".")</f>
        <v>6.5773651144152131E-4</v>
      </c>
      <c r="BK25" s="70">
        <f>IFERROR(IF(AND(up_Irr!J25&lt;&gt;".",up_Irr!AI25&lt;&gt;".",up_Irr!BH25&lt;&gt;"."),up_dir!AK25/((1/1000)*(up_Irr!J25+up_Irr!AI25+up_Irr!BH25)),IF(AND(up_Irr!J25&lt;&gt;".",up_Irr!AI25&lt;&gt;".",up_Irr!BH25="."),up_dir!AK25/((1/1000)*(up_Irr!J25+up_Irr!AI25)),IF(AND(up_Irr!J25&lt;&gt;".",up_Irr!AI25=".",up_Irr!BH25&lt;&gt;"."),up_dir!AK25/((1/1000)*(up_Irr!J25+up_Irr!BH25)),IF(AND(up_Irr!J25=".",up_Irr!AI25&lt;&gt;".",up_Irr!BH25&lt;&gt;"."),up_dir!AK25/((1/1000)*(up_Irr!AI25+up_Irr!BH25)),IF(AND(up_Irr!J25=".",up_Irr!AI25=".",up_Irr!BH25&lt;&gt;"."),up_dir!AK25/((1/1000)*(up_Irr!BH25)),IF(AND(up_Irr!J25=".",up_Irr!AI25&lt;&gt;".",up_Irr!BH25="."),up_dir!AK25/((1/1000)*(up_Irr!AI25)),IF(AND(up_Irr!J25&lt;&gt;".",up_Irr!AI25=".",up_Irr!BH25="."),up_dir!AK25/((1/1000)*(up_Irr!J25)),IF(AND(up_Irr!J25=".",up_Irr!AI25=".",up_Irr!BH25="."),up_dir!AK25*1000)))))))),".")</f>
        <v>6.5773651144152131E-4</v>
      </c>
      <c r="BL25" s="70">
        <f>IFERROR(IF(AND(up_Irr!K25&lt;&gt;".",up_Irr!AJ25&lt;&gt;".",up_Irr!BI25&lt;&gt;"."),up_dir!AL25/((1/1000)*(up_Irr!K25+up_Irr!AJ25+up_Irr!BI25)),IF(AND(up_Irr!K25&lt;&gt;".",up_Irr!AJ25&lt;&gt;".",up_Irr!BI25="."),up_dir!AL25/((1/1000)*(up_Irr!K25+up_Irr!AJ25)),IF(AND(up_Irr!K25&lt;&gt;".",up_Irr!AJ25=".",up_Irr!BI25&lt;&gt;"."),up_dir!AL25/((1/1000)*(up_Irr!K25+up_Irr!BI25)),IF(AND(up_Irr!K25=".",up_Irr!AJ25&lt;&gt;".",up_Irr!BI25&lt;&gt;"."),up_dir!AL25/((1/1000)*(up_Irr!AJ25+up_Irr!BI25)),IF(AND(up_Irr!K25=".",up_Irr!AJ25=".",up_Irr!BI25&lt;&gt;"."),up_dir!AL25/((1/1000)*(up_Irr!BI25)),IF(AND(up_Irr!K25=".",up_Irr!AJ25&lt;&gt;".",up_Irr!BI25="."),up_dir!AL25/((1/1000)*(up_Irr!AJ25)),IF(AND(up_Irr!K25&lt;&gt;".",up_Irr!AJ25=".",up_Irr!BI25="."),up_dir!AL25/((1/1000)*(up_Irr!K25)),IF(AND(up_Irr!K25=".",up_Irr!AJ25=".",up_Irr!BI25="."),up_dir!AL25*1000)))))))),".")</f>
        <v>6.5773651144152131E-4</v>
      </c>
      <c r="BM25" s="70">
        <f>IFERROR(IF(AND(up_Irr!L25&lt;&gt;".",up_Irr!AK25&lt;&gt;".",up_Irr!BJ25&lt;&gt;"."),up_dir!AM25/((1/1000)*(up_Irr!L25+up_Irr!AK25+up_Irr!BJ25)),IF(AND(up_Irr!L25&lt;&gt;".",up_Irr!AK25&lt;&gt;".",up_Irr!BJ25="."),up_dir!AM25/((1/1000)*(up_Irr!L25+up_Irr!AK25)),IF(AND(up_Irr!L25&lt;&gt;".",up_Irr!AK25=".",up_Irr!BJ25&lt;&gt;"."),up_dir!AM25/((1/1000)*(up_Irr!L25+up_Irr!BJ25)),IF(AND(up_Irr!L25=".",up_Irr!AK25&lt;&gt;".",up_Irr!BJ25&lt;&gt;"."),up_dir!AM25/((1/1000)*(up_Irr!AK25+up_Irr!BJ25)),IF(AND(up_Irr!L25=".",up_Irr!AK25=".",up_Irr!BJ25&lt;&gt;"."),up_dir!AM25/((1/1000)*(up_Irr!BJ25)),IF(AND(up_Irr!L25=".",up_Irr!AK25&lt;&gt;".",up_Irr!BJ25="."),up_dir!AM25/((1/1000)*(up_Irr!AK25)),IF(AND(up_Irr!L25&lt;&gt;".",up_Irr!AK25=".",up_Irr!BJ25="."),up_dir!AM25/((1/1000)*(up_Irr!L25)),IF(AND(up_Irr!L25=".",up_Irr!AK25=".",up_Irr!BJ25="."),up_dir!AM25*1000)))))))),".")</f>
        <v>6.5773651144152131E-4</v>
      </c>
      <c r="BN25" s="70">
        <f>IFERROR(IF(AND(up_Irr!M25&lt;&gt;".",up_Irr!AL25&lt;&gt;".",up_Irr!BK25&lt;&gt;"."),up_dir!AN25/((1/1000)*(up_Irr!M25+up_Irr!AL25+up_Irr!BK25)),IF(AND(up_Irr!M25&lt;&gt;".",up_Irr!AL25&lt;&gt;".",up_Irr!BK25="."),up_dir!AN25/((1/1000)*(up_Irr!M25+up_Irr!AL25)),IF(AND(up_Irr!M25&lt;&gt;".",up_Irr!AL25=".",up_Irr!BK25&lt;&gt;"."),up_dir!AN25/((1/1000)*(up_Irr!M25+up_Irr!BK25)),IF(AND(up_Irr!M25=".",up_Irr!AL25&lt;&gt;".",up_Irr!BK25&lt;&gt;"."),up_dir!AN25/((1/1000)*(up_Irr!AL25+up_Irr!BK25)),IF(AND(up_Irr!M25=".",up_Irr!AL25=".",up_Irr!BK25&lt;&gt;"."),up_dir!AN25/((1/1000)*(up_Irr!BK25)),IF(AND(up_Irr!M25=".",up_Irr!AL25&lt;&gt;".",up_Irr!BK25="."),up_dir!AN25/((1/1000)*(up_Irr!AL25)),IF(AND(up_Irr!M25&lt;&gt;".",up_Irr!AL25=".",up_Irr!BK25="."),up_dir!AN25/((1/1000)*(up_Irr!M25)),IF(AND(up_Irr!M25=".",up_Irr!AL25=".",up_Irr!BK25="."),up_dir!AN25*1000)))))))),".")</f>
        <v>6.5773651144152131E-4</v>
      </c>
      <c r="BO25" s="70">
        <f>IFERROR(IF(AND(up_Irr!N25&lt;&gt;".",up_Irr!AM25&lt;&gt;".",up_Irr!BL25&lt;&gt;"."),up_dir!AO25/((1/1000)*(up_Irr!N25+up_Irr!AM25+up_Irr!BL25)),IF(AND(up_Irr!N25&lt;&gt;".",up_Irr!AM25&lt;&gt;".",up_Irr!BL25="."),up_dir!AO25/((1/1000)*(up_Irr!N25+up_Irr!AM25)),IF(AND(up_Irr!N25&lt;&gt;".",up_Irr!AM25=".",up_Irr!BL25&lt;&gt;"."),up_dir!AO25/((1/1000)*(up_Irr!N25+up_Irr!BL25)),IF(AND(up_Irr!N25=".",up_Irr!AM25&lt;&gt;".",up_Irr!BL25&lt;&gt;"."),up_dir!AO25/((1/1000)*(up_Irr!AM25+up_Irr!BL25)),IF(AND(up_Irr!N25=".",up_Irr!AM25=".",up_Irr!BL25&lt;&gt;"."),up_dir!AO25/((1/1000)*(up_Irr!BL25)),IF(AND(up_Irr!N25=".",up_Irr!AM25&lt;&gt;".",up_Irr!BL25="."),up_dir!AO25/((1/1000)*(up_Irr!AM25)),IF(AND(up_Irr!N25&lt;&gt;".",up_Irr!AM25=".",up_Irr!BL25="."),up_dir!AO25/((1/1000)*(up_Irr!N25)),IF(AND(up_Irr!N25=".",up_Irr!AM25=".",up_Irr!BL25="."),up_dir!AO25*1000)))))))),".")</f>
        <v>6.5773651144152131E-4</v>
      </c>
      <c r="BP25" s="70">
        <f>IFERROR(IF(AND(up_Irr!O25&lt;&gt;".",up_Irr!AN25&lt;&gt;".",up_Irr!BM25&lt;&gt;"."),up_dir!AP25/((1/1000)*(up_Irr!O25+up_Irr!AN25+up_Irr!BM25)),IF(AND(up_Irr!O25&lt;&gt;".",up_Irr!AN25&lt;&gt;".",up_Irr!BM25="."),up_dir!AP25/((1/1000)*(up_Irr!O25+up_Irr!AN25)),IF(AND(up_Irr!O25&lt;&gt;".",up_Irr!AN25=".",up_Irr!BM25&lt;&gt;"."),up_dir!AP25/((1/1000)*(up_Irr!O25+up_Irr!BM25)),IF(AND(up_Irr!O25=".",up_Irr!AN25&lt;&gt;".",up_Irr!BM25&lt;&gt;"."),up_dir!AP25/((1/1000)*(up_Irr!AN25+up_Irr!BM25)),IF(AND(up_Irr!O25=".",up_Irr!AN25=".",up_Irr!BM25&lt;&gt;"."),up_dir!AP25/((1/1000)*(up_Irr!BM25)),IF(AND(up_Irr!O25=".",up_Irr!AN25&lt;&gt;".",up_Irr!BM25="."),up_dir!AP25/((1/1000)*(up_Irr!AN25)),IF(AND(up_Irr!O25&lt;&gt;".",up_Irr!AN25=".",up_Irr!BM25="."),up_dir!AP25/((1/1000)*(up_Irr!O25)),IF(AND(up_Irr!O25=".",up_Irr!AN25=".",up_Irr!BM25="."),up_dir!AP25*1000)))))))),".")</f>
        <v>6.5773651144152131E-4</v>
      </c>
      <c r="BQ25" s="70">
        <f>IFERROR(IF(AND(up_Irr!P25&lt;&gt;".",up_Irr!AO25&lt;&gt;".",up_Irr!BN25&lt;&gt;"."),up_dir!AQ25/((1/1000)*(up_Irr!P25+up_Irr!AO25+up_Irr!BN25)),IF(AND(up_Irr!P25&lt;&gt;".",up_Irr!AO25&lt;&gt;".",up_Irr!BN25="."),up_dir!AQ25/((1/1000)*(up_Irr!P25+up_Irr!AO25)),IF(AND(up_Irr!P25&lt;&gt;".",up_Irr!AO25=".",up_Irr!BN25&lt;&gt;"."),up_dir!AQ25/((1/1000)*(up_Irr!P25+up_Irr!BN25)),IF(AND(up_Irr!P25=".",up_Irr!AO25&lt;&gt;".",up_Irr!BN25&lt;&gt;"."),up_dir!AQ25/((1/1000)*(up_Irr!AO25+up_Irr!BN25)),IF(AND(up_Irr!P25=".",up_Irr!AO25=".",up_Irr!BN25&lt;&gt;"."),up_dir!AQ25/((1/1000)*(up_Irr!BN25)),IF(AND(up_Irr!P25=".",up_Irr!AO25&lt;&gt;".",up_Irr!BN25="."),up_dir!AQ25/((1/1000)*(up_Irr!AO25)),IF(AND(up_Irr!P25&lt;&gt;".",up_Irr!AO25=".",up_Irr!BN25="."),up_dir!AQ25/((1/1000)*(up_Irr!P25)),IF(AND(up_Irr!P25=".",up_Irr!AO25=".",up_Irr!BN25="."),up_dir!AQ25*1000)))))))),".")</f>
        <v>6.5773651144152131E-4</v>
      </c>
      <c r="BR25" s="70">
        <f>IFERROR(IF(AND(up_Irr!Q25&lt;&gt;".",up_Irr!AP25&lt;&gt;".",up_Irr!BO25&lt;&gt;"."),up_dir!AR25/((1/1000)*(up_Irr!Q25+up_Irr!AP25+up_Irr!BO25)),IF(AND(up_Irr!Q25&lt;&gt;".",up_Irr!AP25&lt;&gt;".",up_Irr!BO25="."),up_dir!AR25/((1/1000)*(up_Irr!Q25+up_Irr!AP25)),IF(AND(up_Irr!Q25&lt;&gt;".",up_Irr!AP25=".",up_Irr!BO25&lt;&gt;"."),up_dir!AR25/((1/1000)*(up_Irr!Q25+up_Irr!BO25)),IF(AND(up_Irr!Q25=".",up_Irr!AP25&lt;&gt;".",up_Irr!BO25&lt;&gt;"."),up_dir!AR25/((1/1000)*(up_Irr!AP25+up_Irr!BO25)),IF(AND(up_Irr!Q25=".",up_Irr!AP25=".",up_Irr!BO25&lt;&gt;"."),up_dir!AR25/((1/1000)*(up_Irr!BO25)),IF(AND(up_Irr!Q25=".",up_Irr!AP25&lt;&gt;".",up_Irr!BO25="."),up_dir!AR25/((1/1000)*(up_Irr!AP25)),IF(AND(up_Irr!Q25&lt;&gt;".",up_Irr!AP25=".",up_Irr!BO25="."),up_dir!AR25/((1/1000)*(up_Irr!Q25)),IF(AND(up_Irr!Q25=".",up_Irr!AP25=".",up_Irr!BO25="."),up_dir!AR25*1000)))))))),".")</f>
        <v>6.5773651144152131E-4</v>
      </c>
      <c r="BS25" s="70">
        <f>IFERROR(IF(AND(up_Irr!R25&lt;&gt;".",up_Irr!AQ25&lt;&gt;".",up_Irr!BP25&lt;&gt;"."),up_dir!AS25/((1/1000)*(up_Irr!R25+up_Irr!AQ25+up_Irr!BP25)),IF(AND(up_Irr!R25&lt;&gt;".",up_Irr!AQ25&lt;&gt;".",up_Irr!BP25="."),up_dir!AS25/((1/1000)*(up_Irr!R25+up_Irr!AQ25)),IF(AND(up_Irr!R25&lt;&gt;".",up_Irr!AQ25=".",up_Irr!BP25&lt;&gt;"."),up_dir!AS25/((1/1000)*(up_Irr!R25+up_Irr!BP25)),IF(AND(up_Irr!R25=".",up_Irr!AQ25&lt;&gt;".",up_Irr!BP25&lt;&gt;"."),up_dir!AS25/((1/1000)*(up_Irr!AQ25+up_Irr!BP25)),IF(AND(up_Irr!R25=".",up_Irr!AQ25=".",up_Irr!BP25&lt;&gt;"."),up_dir!AS25/((1/1000)*(up_Irr!BP25)),IF(AND(up_Irr!R25=".",up_Irr!AQ25&lt;&gt;".",up_Irr!BP25="."),up_dir!AS25/((1/1000)*(up_Irr!AQ25)),IF(AND(up_Irr!R25&lt;&gt;".",up_Irr!AQ25=".",up_Irr!BP25="."),up_dir!AS25/((1/1000)*(up_Irr!R25)),IF(AND(up_Irr!R25=".",up_Irr!AQ25=".",up_Irr!BP25="."),up_dir!AS25*1000)))))))),".")</f>
        <v>6.5773651144152131E-4</v>
      </c>
      <c r="BT25" s="70">
        <f>IFERROR(IF(AND(up_Irr!S25&lt;&gt;".",up_Irr!AR25&lt;&gt;".",up_Irr!BQ25&lt;&gt;"."),up_dir!AT25/((1/1000)*(up_Irr!S25+up_Irr!AR25+up_Irr!BQ25)),IF(AND(up_Irr!S25&lt;&gt;".",up_Irr!AR25&lt;&gt;".",up_Irr!BQ25="."),up_dir!AT25/((1/1000)*(up_Irr!S25+up_Irr!AR25)),IF(AND(up_Irr!S25&lt;&gt;".",up_Irr!AR25=".",up_Irr!BQ25&lt;&gt;"."),up_dir!AT25/((1/1000)*(up_Irr!S25+up_Irr!BQ25)),IF(AND(up_Irr!S25=".",up_Irr!AR25&lt;&gt;".",up_Irr!BQ25&lt;&gt;"."),up_dir!AT25/((1/1000)*(up_Irr!AR25+up_Irr!BQ25)),IF(AND(up_Irr!S25=".",up_Irr!AR25=".",up_Irr!BQ25&lt;&gt;"."),up_dir!AT25/((1/1000)*(up_Irr!BQ25)),IF(AND(up_Irr!S25=".",up_Irr!AR25&lt;&gt;".",up_Irr!BQ25="."),up_dir!AT25/((1/1000)*(up_Irr!AR25)),IF(AND(up_Irr!S25&lt;&gt;".",up_Irr!AR25=".",up_Irr!BQ25="."),up_dir!AT25/((1/1000)*(up_Irr!S25)),IF(AND(up_Irr!S25=".",up_Irr!AR25=".",up_Irr!BQ25="."),up_dir!AT25*1000)))))))),".")</f>
        <v>6.5773651144152131E-4</v>
      </c>
      <c r="BU25" s="70">
        <f>IFERROR(IF(AND(up_Irr!T25&lt;&gt;".",up_Irr!AS25&lt;&gt;".",up_Irr!BR25&lt;&gt;"."),up_dir!AU25/((1/1000)*(up_Irr!T25+up_Irr!AS25+up_Irr!BR25)),IF(AND(up_Irr!T25&lt;&gt;".",up_Irr!AS25&lt;&gt;".",up_Irr!BR25="."),up_dir!AU25/((1/1000)*(up_Irr!T25+up_Irr!AS25)),IF(AND(up_Irr!T25&lt;&gt;".",up_Irr!AS25=".",up_Irr!BR25&lt;&gt;"."),up_dir!AU25/((1/1000)*(up_Irr!T25+up_Irr!BR25)),IF(AND(up_Irr!T25=".",up_Irr!AS25&lt;&gt;".",up_Irr!BR25&lt;&gt;"."),up_dir!AU25/((1/1000)*(up_Irr!AS25+up_Irr!BR25)),IF(AND(up_Irr!T25=".",up_Irr!AS25=".",up_Irr!BR25&lt;&gt;"."),up_dir!AU25/((1/1000)*(up_Irr!BR25)),IF(AND(up_Irr!T25=".",up_Irr!AS25&lt;&gt;".",up_Irr!BR25="."),up_dir!AU25/((1/1000)*(up_Irr!AS25)),IF(AND(up_Irr!T25&lt;&gt;".",up_Irr!AS25=".",up_Irr!BR25="."),up_dir!AU25/((1/1000)*(up_Irr!T25)),IF(AND(up_Irr!T25=".",up_Irr!AS25=".",up_Irr!BR25="."),up_dir!AU25*1000)))))))),".")</f>
        <v>6.5773651144152131E-4</v>
      </c>
      <c r="BV25" s="70">
        <f>IFERROR(IF(AND(up_Irr!U25&lt;&gt;".",up_Irr!AT25&lt;&gt;".",up_Irr!BS25&lt;&gt;"."),up_dir!AV25/((1/1000)*(up_Irr!U25+up_Irr!AT25+up_Irr!BS25)),IF(AND(up_Irr!U25&lt;&gt;".",up_Irr!AT25&lt;&gt;".",up_Irr!BS25="."),up_dir!AV25/((1/1000)*(up_Irr!U25+up_Irr!AT25)),IF(AND(up_Irr!U25&lt;&gt;".",up_Irr!AT25=".",up_Irr!BS25&lt;&gt;"."),up_dir!AV25/((1/1000)*(up_Irr!U25+up_Irr!BS25)),IF(AND(up_Irr!U25=".",up_Irr!AT25&lt;&gt;".",up_Irr!BS25&lt;&gt;"."),up_dir!AV25/((1/1000)*(up_Irr!AT25+up_Irr!BS25)),IF(AND(up_Irr!U25=".",up_Irr!AT25=".",up_Irr!BS25&lt;&gt;"."),up_dir!AV25/((1/1000)*(up_Irr!BS25)),IF(AND(up_Irr!U25=".",up_Irr!AT25&lt;&gt;".",up_Irr!BS25="."),up_dir!AV25/((1/1000)*(up_Irr!AT25)),IF(AND(up_Irr!U25&lt;&gt;".",up_Irr!AT25=".",up_Irr!BS25="."),up_dir!AV25/((1/1000)*(up_Irr!U25)),IF(AND(up_Irr!U25=".",up_Irr!AT25=".",up_Irr!BS25="."),up_dir!AV25*1000)))))))),".")</f>
        <v>6.5773651144152131E-4</v>
      </c>
      <c r="BW25" s="70">
        <f>IFERROR(IF(AND(up_Irr!V25&lt;&gt;".",up_Irr!AU25&lt;&gt;".",up_Irr!BT25&lt;&gt;"."),up_dir!AW25/((1/1000)*(up_Irr!V25+up_Irr!AU25+up_Irr!BT25)),IF(AND(up_Irr!V25&lt;&gt;".",up_Irr!AU25&lt;&gt;".",up_Irr!BT25="."),up_dir!AW25/((1/1000)*(up_Irr!V25+up_Irr!AU25)),IF(AND(up_Irr!V25&lt;&gt;".",up_Irr!AU25=".",up_Irr!BT25&lt;&gt;"."),up_dir!AW25/((1/1000)*(up_Irr!V25+up_Irr!BT25)),IF(AND(up_Irr!V25=".",up_Irr!AU25&lt;&gt;".",up_Irr!BT25&lt;&gt;"."),up_dir!AW25/((1/1000)*(up_Irr!AU25+up_Irr!BT25)),IF(AND(up_Irr!V25=".",up_Irr!AU25=".",up_Irr!BT25&lt;&gt;"."),up_dir!AW25/((1/1000)*(up_Irr!BT25)),IF(AND(up_Irr!V25=".",up_Irr!AU25&lt;&gt;".",up_Irr!BT25="."),up_dir!AW25/((1/1000)*(up_Irr!AU25)),IF(AND(up_Irr!V25&lt;&gt;".",up_Irr!AU25=".",up_Irr!BT25="."),up_dir!AW25/((1/1000)*(up_Irr!V25)),IF(AND(up_Irr!V25=".",up_Irr!AU25=".",up_Irr!BT25="."),up_dir!AW25*1000)))))))),".")</f>
        <v>6.5773651144152131E-4</v>
      </c>
      <c r="BX25" s="70">
        <f>IFERROR(IF(AND(up_Irr!W25&lt;&gt;".",up_Irr!AV25&lt;&gt;".",up_Irr!BU25&lt;&gt;"."),up_dir!AX25/((1/1000)*(up_Irr!W25+up_Irr!AV25+up_Irr!BU25)),IF(AND(up_Irr!W25&lt;&gt;".",up_Irr!AV25&lt;&gt;".",up_Irr!BU25="."),up_dir!AX25/((1/1000)*(up_Irr!W25+up_Irr!AV25)),IF(AND(up_Irr!W25&lt;&gt;".",up_Irr!AV25=".",up_Irr!BU25&lt;&gt;"."),up_dir!AX25/((1/1000)*(up_Irr!W25+up_Irr!BU25)),IF(AND(up_Irr!W25=".",up_Irr!AV25&lt;&gt;".",up_Irr!BU25&lt;&gt;"."),up_dir!AX25/((1/1000)*(up_Irr!AV25+up_Irr!BU25)),IF(AND(up_Irr!W25=".",up_Irr!AV25=".",up_Irr!BU25&lt;&gt;"."),up_dir!AX25/((1/1000)*(up_Irr!BU25)),IF(AND(up_Irr!W25=".",up_Irr!AV25&lt;&gt;".",up_Irr!BU25="."),up_dir!AX25/((1/1000)*(up_Irr!AV25)),IF(AND(up_Irr!W25&lt;&gt;".",up_Irr!AV25=".",up_Irr!BU25="."),up_dir!AX25/((1/1000)*(up_Irr!W25)),IF(AND(up_Irr!W25=".",up_Irr!AV25=".",up_Irr!BU25="."),up_dir!AX25*1000)))))))),".")</f>
        <v>6.5773651144152131E-4</v>
      </c>
      <c r="BY25" s="70">
        <f>IFERROR(IF(AND(up_Irr!X25&lt;&gt;".",up_Irr!AW25&lt;&gt;".",up_Irr!BV25&lt;&gt;"."),up_dir!AY25/((1/1000)*(up_Irr!X25+up_Irr!AW25+up_Irr!BV25)),IF(AND(up_Irr!X25&lt;&gt;".",up_Irr!AW25&lt;&gt;".",up_Irr!BV25="."),up_dir!AY25/((1/1000)*(up_Irr!X25+up_Irr!AW25)),IF(AND(up_Irr!X25&lt;&gt;".",up_Irr!AW25=".",up_Irr!BV25&lt;&gt;"."),up_dir!AY25/((1/1000)*(up_Irr!X25+up_Irr!BV25)),IF(AND(up_Irr!X25=".",up_Irr!AW25&lt;&gt;".",up_Irr!BV25&lt;&gt;"."),up_dir!AY25/((1/1000)*(up_Irr!AW25+up_Irr!BV25)),IF(AND(up_Irr!X25=".",up_Irr!AW25=".",up_Irr!BV25&lt;&gt;"."),up_dir!AY25/((1/1000)*(up_Irr!BV25)),IF(AND(up_Irr!X25=".",up_Irr!AW25&lt;&gt;".",up_Irr!BV25="."),up_dir!AY25/((1/1000)*(up_Irr!AW25)),IF(AND(up_Irr!X25&lt;&gt;".",up_Irr!AW25=".",up_Irr!BV25="."),up_dir!AY25/((1/1000)*(up_Irr!X25)),IF(AND(up_Irr!X25=".",up_Irr!AW25=".",up_Irr!BV25="."),up_dir!AY25*1000)))))))),".")</f>
        <v>6.5773651144152131E-4</v>
      </c>
      <c r="BZ25" s="70">
        <f>IFERROR(IF(AND(up_Irr!Y25&lt;&gt;".",up_Irr!AX25&lt;&gt;".",up_Irr!BW25&lt;&gt;"."),up_dir!AZ25/((1/1000)*(up_Irr!Y25+up_Irr!AX25+up_Irr!BW25)),IF(AND(up_Irr!Y25&lt;&gt;".",up_Irr!AX25&lt;&gt;".",up_Irr!BW25="."),up_dir!AZ25/((1/1000)*(up_Irr!Y25+up_Irr!AX25)),IF(AND(up_Irr!Y25&lt;&gt;".",up_Irr!AX25=".",up_Irr!BW25&lt;&gt;"."),up_dir!AZ25/((1/1000)*(up_Irr!Y25+up_Irr!BW25)),IF(AND(up_Irr!Y25=".",up_Irr!AX25&lt;&gt;".",up_Irr!BW25&lt;&gt;"."),up_dir!AZ25/((1/1000)*(up_Irr!AX25+up_Irr!BW25)),IF(AND(up_Irr!Y25=".",up_Irr!AX25=".",up_Irr!BW25&lt;&gt;"."),up_dir!AZ25/((1/1000)*(up_Irr!BW25)),IF(AND(up_Irr!Y25=".",up_Irr!AX25&lt;&gt;".",up_Irr!BW25="."),up_dir!AZ25/((1/1000)*(up_Irr!AX25)),IF(AND(up_Irr!Y25&lt;&gt;".",up_Irr!AX25=".",up_Irr!BW25="."),up_dir!AZ25/((1/1000)*(up_Irr!Y25)),IF(AND(up_Irr!Y25=".",up_Irr!AX25=".",up_Irr!BW25="."),up_dir!AZ25*1000)))))))),".")</f>
        <v>6.5773651144152131E-4</v>
      </c>
      <c r="CA25" s="70">
        <f>IFERROR(IF(AND(up_Irr!Z25&lt;&gt;".",up_Irr!AY25&lt;&gt;".",up_Irr!BX25&lt;&gt;"."),up_dir!BA25/((1/1000)*(up_Irr!Z25+up_Irr!AY25+up_Irr!BX25)),IF(AND(up_Irr!Z25&lt;&gt;".",up_Irr!AY25&lt;&gt;".",up_Irr!BX25="."),up_dir!BA25/((1/1000)*(up_Irr!Z25+up_Irr!AY25)),IF(AND(up_Irr!Z25&lt;&gt;".",up_Irr!AY25=".",up_Irr!BX25&lt;&gt;"."),up_dir!BA25/((1/1000)*(up_Irr!Z25+up_Irr!BX25)),IF(AND(up_Irr!Z25=".",up_Irr!AY25&lt;&gt;".",up_Irr!BX25&lt;&gt;"."),up_dir!BA25/((1/1000)*(up_Irr!AY25+up_Irr!BX25)),IF(AND(up_Irr!Z25=".",up_Irr!AY25=".",up_Irr!BX25&lt;&gt;"."),up_dir!BA25/((1/1000)*(up_Irr!BX25)),IF(AND(up_Irr!Z25=".",up_Irr!AY25&lt;&gt;".",up_Irr!BX25="."),up_dir!BA25/((1/1000)*(up_Irr!AY25)),IF(AND(up_Irr!Z25&lt;&gt;".",up_Irr!AY25=".",up_Irr!BX25="."),up_dir!BA25/((1/1000)*(up_Irr!Z25)),IF(AND(up_Irr!Z25=".",up_Irr!AY25=".",up_Irr!BX25="."),up_dir!BA25*1000)))))))),".")</f>
        <v>6.5773651144152131E-4</v>
      </c>
      <c r="CB25" s="70">
        <f>IFERROR(IF(AND(up_Irr!AA25&lt;&gt;".",up_Irr!AZ25&lt;&gt;".",up_Irr!BY25&lt;&gt;"."),up_dir!BB25/((1/1000)*(up_Irr!AA25+up_Irr!AZ25+up_Irr!BY25)),IF(AND(up_Irr!AA25&lt;&gt;".",up_Irr!AZ25&lt;&gt;".",up_Irr!BY25="."),up_dir!BB25/((1/1000)*(up_Irr!AA25+up_Irr!AZ25)),IF(AND(up_Irr!AA25&lt;&gt;".",up_Irr!AZ25=".",up_Irr!BY25&lt;&gt;"."),up_dir!BB25/((1/1000)*(up_Irr!AA25+up_Irr!BY25)),IF(AND(up_Irr!AA25=".",up_Irr!AZ25&lt;&gt;".",up_Irr!BY25&lt;&gt;"."),up_dir!BB25/((1/1000)*(up_Irr!AZ25+up_Irr!BY25)),IF(AND(up_Irr!AA25=".",up_Irr!AZ25=".",up_Irr!BY25&lt;&gt;"."),up_dir!BB25/((1/1000)*(up_Irr!BY25)),IF(AND(up_Irr!AA25=".",up_Irr!AZ25&lt;&gt;".",up_Irr!BY25="."),up_dir!BB25/((1/1000)*(up_Irr!AZ25)),IF(AND(up_Irr!AA25&lt;&gt;".",up_Irr!AZ25=".",up_Irr!BY25="."),up_dir!BB25/((1/1000)*(up_Irr!AA25)),IF(AND(up_Irr!AA25=".",up_Irr!AZ25=".",up_Irr!BY25="."),up_dir!BB25*1000)))))))),".")</f>
        <v>6.5773651144152131E-4</v>
      </c>
      <c r="CC25" s="87">
        <f t="shared" si="3"/>
        <v>30407.313038114935</v>
      </c>
      <c r="CD25" s="87">
        <f>IFERROR(s_C*s_IFAP_far_adj*s_CF_apple*(1/1000)*(up_Irr!C25+up_Irr!AB25+up_Irr!BA25),".")</f>
        <v>7601.8282595287337</v>
      </c>
      <c r="CE25" s="87">
        <f>IFERROR(s_C*s_IFAS_far_adj*s_CF_asparagus*(1/1000)*(up_Irr!D25+up_Irr!AC25+up_Irr!BB25),".")</f>
        <v>7601.8282595287337</v>
      </c>
      <c r="CF25" s="87">
        <f>IFERROR(s_C*s_IFBT_far_adj*s_CF_beet*(1/1000)*(up_Irr!E25+up_Irr!AD25+up_Irr!BC25),".")</f>
        <v>7601.8282595287337</v>
      </c>
      <c r="CG25" s="87">
        <f>IFERROR(s_C*s_IFBE_far_adj*s_CF_berries*(1/1000)*(up_Irr!F25+up_Irr!AE25+up_Irr!BD25),".")</f>
        <v>7601.8282595287337</v>
      </c>
      <c r="CH25" s="87">
        <f>IFERROR(s_C*s_IFBR_far_adj*s_CF_broccoli*(1/1000)*(up_Irr!G25+up_Irr!AF25+up_Irr!BE25),".")</f>
        <v>7601.8282595287337</v>
      </c>
      <c r="CI25" s="87">
        <f>IFERROR(s_C*s_IFCB_far_adj*s_CF_cabbage*(1/1000)*(up_Irr!H25+up_Irr!AG25+up_Irr!BF25),".")</f>
        <v>7601.8282595287337</v>
      </c>
      <c r="CJ25" s="87">
        <f>IFERROR(s_C*s_IFCR_far_adj*s_CF_carrot*(1/1000)*(up_Irr!I25+up_Irr!AH25+up_Irr!BG25),".")</f>
        <v>7601.8282595287337</v>
      </c>
      <c r="CK25" s="87">
        <f>IFERROR(s_C*s_IFCI_far_adj*s_CF_citrus*(1/1000)*(up_Irr!J25+up_Irr!AI25+up_Irr!BH25),".")</f>
        <v>7601.8282595287337</v>
      </c>
      <c r="CL25" s="87">
        <f>IFERROR(s_C*s_IFCO_far_adj*s_CF_corn*(1/1000)*(up_Irr!K25+up_Irr!AJ25+up_Irr!BI25),".")</f>
        <v>7601.8282595287337</v>
      </c>
      <c r="CM25" s="87">
        <f>IFERROR(s_C*s_IFCU_far_adj*s_CF_cucumber*(1/1000)*(up_Irr!L25+up_Irr!AK25+up_Irr!BJ25),".")</f>
        <v>7601.8282595287337</v>
      </c>
      <c r="CN25" s="87">
        <f>IFERROR(s_C*s_IFLE_far_adj*s_CF_lettuce*(1/1000)*(up_Irr!M25+up_Irr!AL25+up_Irr!BK25),".")</f>
        <v>7601.8282595287337</v>
      </c>
      <c r="CO25" s="87">
        <f>IFERROR(s_C*s_IFLI_far_adj*s_CF_lima_bean*(1/1000)*(up_Irr!N25+up_Irr!AM25+up_Irr!BL25),".")</f>
        <v>7601.8282595287337</v>
      </c>
      <c r="CP25" s="87">
        <f>IFERROR(s_C*s_IFOK_far_adj*s_CF_okra*(1/1000)*(up_Irr!O25+up_Irr!AN25+up_Irr!BM25),".")</f>
        <v>7601.8282595287337</v>
      </c>
      <c r="CQ25" s="87">
        <f>IFERROR(s_C*s_IFON_far_adj*s_CF_onion*(1/1000)*(up_Irr!P25+up_Irr!AO25+up_Irr!BN25),".")</f>
        <v>7601.8282595287337</v>
      </c>
      <c r="CR25" s="87">
        <f>IFERROR(s_C*s_IFPC_far_adj*s_CF_peach*(1/1000)*(up_Irr!Q25+up_Irr!AP25+up_Irr!BO25),".")</f>
        <v>7601.8282595287337</v>
      </c>
      <c r="CS25" s="87">
        <f>IFERROR(s_C*s_IFPR_far_adj*s_CF_pear*(1/1000)*(up_Irr!R25+up_Irr!AQ25+up_Irr!BP25),".")</f>
        <v>7601.8282595287337</v>
      </c>
      <c r="CT25" s="87">
        <f>IFERROR(s_C*s_IFPE_far_adj*s_CF_peas*(1/1000)*(up_Irr!S25+up_Irr!AR25+up_Irr!BQ25),".")</f>
        <v>7601.8282595287337</v>
      </c>
      <c r="CU25" s="87">
        <f>IFERROR(s_C*s_IFPP_far_adj*s_CF_peppers*(1/1000)*(up_Irr!T25+up_Irr!AS25+up_Irr!BR25),".")</f>
        <v>7601.8282595287337</v>
      </c>
      <c r="CV25" s="87">
        <f>IFERROR(s_C*s_IFPT_far_adj*s_CF_potato*(1/1000)*(up_Irr!U25+up_Irr!AT25+up_Irr!BS25),".")</f>
        <v>7601.8282595287337</v>
      </c>
      <c r="CW25" s="87">
        <f>IFERROR(s_C*s_IFPU_far_adj*s_CF_pumpkin*(1/1000)*(up_Irr!V25+up_Irr!AU25+up_Irr!BT25),".")</f>
        <v>7601.8282595287337</v>
      </c>
      <c r="CX25" s="87">
        <f>IFERROR(s_C*s_IFSN_far_adj*s_CF_snap_bean*(1/1000)*(up_Irr!W25+up_Irr!AV25+up_Irr!BU25),".")</f>
        <v>7601.8282595287337</v>
      </c>
      <c r="CY25" s="87">
        <f>IFERROR(s_C*s_IFST_far_adj*s_CF_strawberry*(1/1000)*(up_Irr!X25+up_Irr!AW25+up_Irr!BV25),".")</f>
        <v>7601.8282595287337</v>
      </c>
      <c r="CZ25" s="87">
        <f>IFERROR(s_C*s_IFTO_far_adj*s_CF_tomato*(1/1000)*(up_Irr!Y25+up_Irr!AX25+up_Irr!BW25),".")</f>
        <v>7601.8282595287337</v>
      </c>
      <c r="DA25" s="87">
        <f>IFERROR(s_C*s_IFRI_far_adj*s_CF_rice*(1/1000)*(up_Irr!Z25+up_Irr!AY25+up_Irr!BX25),".")</f>
        <v>7601.8282595287337</v>
      </c>
      <c r="DB25" s="87">
        <f>IFERROR(s_C*s_IFCG_far_adj*s_CF_cereal*(1/1000)*(up_Irr!AA25+up_Irr!AZ25+up_Irr!BY25),".")</f>
        <v>7601.8282595287337</v>
      </c>
    </row>
    <row r="26" spans="1:106" ht="15" customHeight="1" x14ac:dyDescent="0.25">
      <c r="A26" s="86" t="s">
        <v>24</v>
      </c>
      <c r="B26" s="84" t="s">
        <v>1057</v>
      </c>
      <c r="C26" s="15">
        <f t="shared" si="0"/>
        <v>1.6443412786038033E-4</v>
      </c>
      <c r="D26" s="70">
        <f>IFERROR(IF(AND(up_Irr!C26&lt;&gt;".",up_Irr!AB26&lt;&gt;".",up_Irr!BA26&lt;&gt;"."),up_dir!D26/((1/1000)*(up_Irr!C26+up_Irr!AB26+up_Irr!BA26)),IF(AND(up_Irr!C26&lt;&gt;".",up_Irr!AB26&lt;&gt;".",up_Irr!BA26="."),up_dir!D26/((1/1000)*(up_Irr!C26+up_Irr!AB26)),IF(AND(up_Irr!C26&lt;&gt;".",up_Irr!AB26=".",up_Irr!BA26&lt;&gt;"."),up_dir!D26/((1/1000)*(up_Irr!C26+up_Irr!BA26)),IF(AND(up_Irr!C26=".",up_Irr!AB26&lt;&gt;".",up_Irr!BA26&lt;&gt;"."),up_dir!D26/((1/1000)*(up_Irr!AB26+up_Irr!BA26)),IF(AND(up_Irr!C26=".",up_Irr!AB26=".",up_Irr!BA26&lt;&gt;"."),up_dir!D26/((1/1000)*(up_Irr!BA26)),IF(AND(up_Irr!C26=".",up_Irr!AB26&lt;&gt;".",up_Irr!BA26="."),up_dir!D26/((1/1000)*(up_Irr!AB26)),IF(AND(up_Irr!C26&lt;&gt;".",up_Irr!AB26=".",up_Irr!BA26="."),up_dir!D26/((1/1000)*(up_Irr!C26)),IF(AND(up_Irr!C26=".",up_Irr!AB26=".",up_Irr!BA26="."),up_dir!D26*1000)))))))),".")</f>
        <v>6.5773651144152131E-4</v>
      </c>
      <c r="E26" s="70">
        <f>IFERROR(IF(AND(up_Irr!D26&lt;&gt;".",up_Irr!AC26&lt;&gt;".",up_Irr!BB26&lt;&gt;"."),up_dir!E26/((1/1000)*(up_Irr!D26+up_Irr!AC26+up_Irr!BB26)),IF(AND(up_Irr!D26&lt;&gt;".",up_Irr!AC26&lt;&gt;".",up_Irr!BB26="."),up_dir!E26/((1/1000)*(up_Irr!D26+up_Irr!AC26)),IF(AND(up_Irr!D26&lt;&gt;".",up_Irr!AC26=".",up_Irr!BB26&lt;&gt;"."),up_dir!E26/((1/1000)*(up_Irr!D26+up_Irr!BB26)),IF(AND(up_Irr!D26=".",up_Irr!AC26&lt;&gt;".",up_Irr!BB26&lt;&gt;"."),up_dir!E26/((1/1000)*(up_Irr!AC26+up_Irr!BB26)),IF(AND(up_Irr!D26=".",up_Irr!AC26=".",up_Irr!BB26&lt;&gt;"."),up_dir!E26/((1/1000)*(up_Irr!BB26)),IF(AND(up_Irr!D26=".",up_Irr!AC26&lt;&gt;".",up_Irr!BB26="."),up_dir!E26/((1/1000)*(up_Irr!AC26)),IF(AND(up_Irr!D26&lt;&gt;".",up_Irr!AC26=".",up_Irr!BB26="."),up_dir!E26/((1/1000)*(up_Irr!D26)),IF(AND(up_Irr!D26=".",up_Irr!AC26=".",up_Irr!BB26="."),up_dir!E26*1000)))))))),".")</f>
        <v>6.5773651144152131E-4</v>
      </c>
      <c r="F26" s="70">
        <f>IFERROR(IF(AND(up_Irr!E26&lt;&gt;".",up_Irr!AD26&lt;&gt;".",up_Irr!BC26&lt;&gt;"."),up_dir!F26/((1/1000)*(up_Irr!E26+up_Irr!AD26+up_Irr!BC26)),IF(AND(up_Irr!E26&lt;&gt;".",up_Irr!AD26&lt;&gt;".",up_Irr!BC26="."),up_dir!F26/((1/1000)*(up_Irr!E26+up_Irr!AD26)),IF(AND(up_Irr!E26&lt;&gt;".",up_Irr!AD26=".",up_Irr!BC26&lt;&gt;"."),up_dir!F26/((1/1000)*(up_Irr!E26+up_Irr!BC26)),IF(AND(up_Irr!E26=".",up_Irr!AD26&lt;&gt;".",up_Irr!BC26&lt;&gt;"."),up_dir!F26/((1/1000)*(up_Irr!AD26+up_Irr!BC26)),IF(AND(up_Irr!E26=".",up_Irr!AD26=".",up_Irr!BC26&lt;&gt;"."),up_dir!F26/((1/1000)*(up_Irr!BC26)),IF(AND(up_Irr!E26=".",up_Irr!AD26&lt;&gt;".",up_Irr!BC26="."),up_dir!F26/((1/1000)*(up_Irr!AD26)),IF(AND(up_Irr!E26&lt;&gt;".",up_Irr!AD26=".",up_Irr!BC26="."),up_dir!F26/((1/1000)*(up_Irr!E26)),IF(AND(up_Irr!E26=".",up_Irr!AD26=".",up_Irr!BC26="."),up_dir!F26*1000)))))))),".")</f>
        <v>6.5773651144152131E-4</v>
      </c>
      <c r="G26" s="70">
        <f>IFERROR(IF(AND(up_Irr!F26&lt;&gt;".",up_Irr!AE26&lt;&gt;".",up_Irr!BD26&lt;&gt;"."),up_dir!G26/((1/1000)*(up_Irr!F26+up_Irr!AE26+up_Irr!BD26)),IF(AND(up_Irr!F26&lt;&gt;".",up_Irr!AE26&lt;&gt;".",up_Irr!BD26="."),up_dir!G26/((1/1000)*(up_Irr!F26+up_Irr!AE26)),IF(AND(up_Irr!F26&lt;&gt;".",up_Irr!AE26=".",up_Irr!BD26&lt;&gt;"."),up_dir!G26/((1/1000)*(up_Irr!F26+up_Irr!BD26)),IF(AND(up_Irr!F26=".",up_Irr!AE26&lt;&gt;".",up_Irr!BD26&lt;&gt;"."),up_dir!G26/((1/1000)*(up_Irr!AE26+up_Irr!BD26)),IF(AND(up_Irr!F26=".",up_Irr!AE26=".",up_Irr!BD26&lt;&gt;"."),up_dir!G26/((1/1000)*(up_Irr!BD26)),IF(AND(up_Irr!F26=".",up_Irr!AE26&lt;&gt;".",up_Irr!BD26="."),up_dir!G26/((1/1000)*(up_Irr!AE26)),IF(AND(up_Irr!F26&lt;&gt;".",up_Irr!AE26=".",up_Irr!BD26="."),up_dir!G26/((1/1000)*(up_Irr!F26)),IF(AND(up_Irr!F26=".",up_Irr!AE26=".",up_Irr!BD26="."),up_dir!G26*1000)))))))),".")</f>
        <v>6.5773651144152131E-4</v>
      </c>
      <c r="H26" s="70">
        <f>IFERROR(IF(AND(up_Irr!G26&lt;&gt;".",up_Irr!AF26&lt;&gt;".",up_Irr!BE26&lt;&gt;"."),up_dir!H26/((1/1000)*(up_Irr!G26+up_Irr!AF26+up_Irr!BE26)),IF(AND(up_Irr!G26&lt;&gt;".",up_Irr!AF26&lt;&gt;".",up_Irr!BE26="."),up_dir!H26/((1/1000)*(up_Irr!G26+up_Irr!AF26)),IF(AND(up_Irr!G26&lt;&gt;".",up_Irr!AF26=".",up_Irr!BE26&lt;&gt;"."),up_dir!H26/((1/1000)*(up_Irr!G26+up_Irr!BE26)),IF(AND(up_Irr!G26=".",up_Irr!AF26&lt;&gt;".",up_Irr!BE26&lt;&gt;"."),up_dir!H26/((1/1000)*(up_Irr!AF26+up_Irr!BE26)),IF(AND(up_Irr!G26=".",up_Irr!AF26=".",up_Irr!BE26&lt;&gt;"."),up_dir!H26/((1/1000)*(up_Irr!BE26)),IF(AND(up_Irr!G26=".",up_Irr!AF26&lt;&gt;".",up_Irr!BE26="."),up_dir!H26/((1/1000)*(up_Irr!AF26)),IF(AND(up_Irr!G26&lt;&gt;".",up_Irr!AF26=".",up_Irr!BE26="."),up_dir!H26/((1/1000)*(up_Irr!G26)),IF(AND(up_Irr!G26=".",up_Irr!AF26=".",up_Irr!BE26="."),up_dir!H26*1000)))))))),".")</f>
        <v>6.5773651144152131E-4</v>
      </c>
      <c r="I26" s="70">
        <f>IFERROR(IF(AND(up_Irr!H26&lt;&gt;".",up_Irr!AG26&lt;&gt;".",up_Irr!BF26&lt;&gt;"."),up_dir!I26/((1/1000)*(up_Irr!H26+up_Irr!AG26+up_Irr!BF26)),IF(AND(up_Irr!H26&lt;&gt;".",up_Irr!AG26&lt;&gt;".",up_Irr!BF26="."),up_dir!I26/((1/1000)*(up_Irr!H26+up_Irr!AG26)),IF(AND(up_Irr!H26&lt;&gt;".",up_Irr!AG26=".",up_Irr!BF26&lt;&gt;"."),up_dir!I26/((1/1000)*(up_Irr!H26+up_Irr!BF26)),IF(AND(up_Irr!H26=".",up_Irr!AG26&lt;&gt;".",up_Irr!BF26&lt;&gt;"."),up_dir!I26/((1/1000)*(up_Irr!AG26+up_Irr!BF26)),IF(AND(up_Irr!H26=".",up_Irr!AG26=".",up_Irr!BF26&lt;&gt;"."),up_dir!I26/((1/1000)*(up_Irr!BF26)),IF(AND(up_Irr!H26=".",up_Irr!AG26&lt;&gt;".",up_Irr!BF26="."),up_dir!I26/((1/1000)*(up_Irr!AG26)),IF(AND(up_Irr!H26&lt;&gt;".",up_Irr!AG26=".",up_Irr!BF26="."),up_dir!I26/((1/1000)*(up_Irr!H26)),IF(AND(up_Irr!H26=".",up_Irr!AG26=".",up_Irr!BF26="."),up_dir!I26*1000)))))))),".")</f>
        <v>6.5773651144152131E-4</v>
      </c>
      <c r="J26" s="70">
        <f>IFERROR(IF(AND(up_Irr!I26&lt;&gt;".",up_Irr!AH26&lt;&gt;".",up_Irr!BG26&lt;&gt;"."),up_dir!J26/((1/1000)*(up_Irr!I26+up_Irr!AH26+up_Irr!BG26)),IF(AND(up_Irr!I26&lt;&gt;".",up_Irr!AH26&lt;&gt;".",up_Irr!BG26="."),up_dir!J26/((1/1000)*(up_Irr!I26+up_Irr!AH26)),IF(AND(up_Irr!I26&lt;&gt;".",up_Irr!AH26=".",up_Irr!BG26&lt;&gt;"."),up_dir!J26/((1/1000)*(up_Irr!I26+up_Irr!BG26)),IF(AND(up_Irr!I26=".",up_Irr!AH26&lt;&gt;".",up_Irr!BG26&lt;&gt;"."),up_dir!J26/((1/1000)*(up_Irr!AH26+up_Irr!BG26)),IF(AND(up_Irr!I26=".",up_Irr!AH26=".",up_Irr!BG26&lt;&gt;"."),up_dir!J26/((1/1000)*(up_Irr!BG26)),IF(AND(up_Irr!I26=".",up_Irr!AH26&lt;&gt;".",up_Irr!BG26="."),up_dir!J26/((1/1000)*(up_Irr!AH26)),IF(AND(up_Irr!I26&lt;&gt;".",up_Irr!AH26=".",up_Irr!BG26="."),up_dir!J26/((1/1000)*(up_Irr!I26)),IF(AND(up_Irr!I26=".",up_Irr!AH26=".",up_Irr!BG26="."),up_dir!J26*1000)))))))),".")</f>
        <v>6.5773651144152131E-4</v>
      </c>
      <c r="K26" s="70">
        <f>IFERROR(IF(AND(up_Irr!J26&lt;&gt;".",up_Irr!AI26&lt;&gt;".",up_Irr!BH26&lt;&gt;"."),up_dir!K26/((1/1000)*(up_Irr!J26+up_Irr!AI26+up_Irr!BH26)),IF(AND(up_Irr!J26&lt;&gt;".",up_Irr!AI26&lt;&gt;".",up_Irr!BH26="."),up_dir!K26/((1/1000)*(up_Irr!J26+up_Irr!AI26)),IF(AND(up_Irr!J26&lt;&gt;".",up_Irr!AI26=".",up_Irr!BH26&lt;&gt;"."),up_dir!K26/((1/1000)*(up_Irr!J26+up_Irr!BH26)),IF(AND(up_Irr!J26=".",up_Irr!AI26&lt;&gt;".",up_Irr!BH26&lt;&gt;"."),up_dir!K26/((1/1000)*(up_Irr!AI26+up_Irr!BH26)),IF(AND(up_Irr!J26=".",up_Irr!AI26=".",up_Irr!BH26&lt;&gt;"."),up_dir!K26/((1/1000)*(up_Irr!BH26)),IF(AND(up_Irr!J26=".",up_Irr!AI26&lt;&gt;".",up_Irr!BH26="."),up_dir!K26/((1/1000)*(up_Irr!AI26)),IF(AND(up_Irr!J26&lt;&gt;".",up_Irr!AI26=".",up_Irr!BH26="."),up_dir!K26/((1/1000)*(up_Irr!J26)),IF(AND(up_Irr!J26=".",up_Irr!AI26=".",up_Irr!BH26="."),up_dir!K26*1000)))))))),".")</f>
        <v>6.5773651144152131E-4</v>
      </c>
      <c r="L26" s="70">
        <f>IFERROR(IF(AND(up_Irr!K26&lt;&gt;".",up_Irr!AJ26&lt;&gt;".",up_Irr!BI26&lt;&gt;"."),up_dir!L26/((1/1000)*(up_Irr!K26+up_Irr!AJ26+up_Irr!BI26)),IF(AND(up_Irr!K26&lt;&gt;".",up_Irr!AJ26&lt;&gt;".",up_Irr!BI26="."),up_dir!L26/((1/1000)*(up_Irr!K26+up_Irr!AJ26)),IF(AND(up_Irr!K26&lt;&gt;".",up_Irr!AJ26=".",up_Irr!BI26&lt;&gt;"."),up_dir!L26/((1/1000)*(up_Irr!K26+up_Irr!BI26)),IF(AND(up_Irr!K26=".",up_Irr!AJ26&lt;&gt;".",up_Irr!BI26&lt;&gt;"."),up_dir!L26/((1/1000)*(up_Irr!AJ26+up_Irr!BI26)),IF(AND(up_Irr!K26=".",up_Irr!AJ26=".",up_Irr!BI26&lt;&gt;"."),up_dir!L26/((1/1000)*(up_Irr!BI26)),IF(AND(up_Irr!K26=".",up_Irr!AJ26&lt;&gt;".",up_Irr!BI26="."),up_dir!L26/((1/1000)*(up_Irr!AJ26)),IF(AND(up_Irr!K26&lt;&gt;".",up_Irr!AJ26=".",up_Irr!BI26="."),up_dir!L26/((1/1000)*(up_Irr!K26)),IF(AND(up_Irr!K26=".",up_Irr!AJ26=".",up_Irr!BI26="."),up_dir!L26*1000)))))))),".")</f>
        <v>6.5773651144152131E-4</v>
      </c>
      <c r="M26" s="70">
        <f>IFERROR(IF(AND(up_Irr!L26&lt;&gt;".",up_Irr!AK26&lt;&gt;".",up_Irr!BJ26&lt;&gt;"."),up_dir!M26/((1/1000)*(up_Irr!L26+up_Irr!AK26+up_Irr!BJ26)),IF(AND(up_Irr!L26&lt;&gt;".",up_Irr!AK26&lt;&gt;".",up_Irr!BJ26="."),up_dir!M26/((1/1000)*(up_Irr!L26+up_Irr!AK26)),IF(AND(up_Irr!L26&lt;&gt;".",up_Irr!AK26=".",up_Irr!BJ26&lt;&gt;"."),up_dir!M26/((1/1000)*(up_Irr!L26+up_Irr!BJ26)),IF(AND(up_Irr!L26=".",up_Irr!AK26&lt;&gt;".",up_Irr!BJ26&lt;&gt;"."),up_dir!M26/((1/1000)*(up_Irr!AK26+up_Irr!BJ26)),IF(AND(up_Irr!L26=".",up_Irr!AK26=".",up_Irr!BJ26&lt;&gt;"."),up_dir!M26/((1/1000)*(up_Irr!BJ26)),IF(AND(up_Irr!L26=".",up_Irr!AK26&lt;&gt;".",up_Irr!BJ26="."),up_dir!M26/((1/1000)*(up_Irr!AK26)),IF(AND(up_Irr!L26&lt;&gt;".",up_Irr!AK26=".",up_Irr!BJ26="."),up_dir!M26/((1/1000)*(up_Irr!L26)),IF(AND(up_Irr!L26=".",up_Irr!AK26=".",up_Irr!BJ26="."),up_dir!M26*1000)))))))),".")</f>
        <v>6.5773651144152131E-4</v>
      </c>
      <c r="N26" s="70">
        <f>IFERROR(IF(AND(up_Irr!M26&lt;&gt;".",up_Irr!AL26&lt;&gt;".",up_Irr!BK26&lt;&gt;"."),up_dir!N26/((1/1000)*(up_Irr!M26+up_Irr!AL26+up_Irr!BK26)),IF(AND(up_Irr!M26&lt;&gt;".",up_Irr!AL26&lt;&gt;".",up_Irr!BK26="."),up_dir!N26/((1/1000)*(up_Irr!M26+up_Irr!AL26)),IF(AND(up_Irr!M26&lt;&gt;".",up_Irr!AL26=".",up_Irr!BK26&lt;&gt;"."),up_dir!N26/((1/1000)*(up_Irr!M26+up_Irr!BK26)),IF(AND(up_Irr!M26=".",up_Irr!AL26&lt;&gt;".",up_Irr!BK26&lt;&gt;"."),up_dir!N26/((1/1000)*(up_Irr!AL26+up_Irr!BK26)),IF(AND(up_Irr!M26=".",up_Irr!AL26=".",up_Irr!BK26&lt;&gt;"."),up_dir!N26/((1/1000)*(up_Irr!BK26)),IF(AND(up_Irr!M26=".",up_Irr!AL26&lt;&gt;".",up_Irr!BK26="."),up_dir!N26/((1/1000)*(up_Irr!AL26)),IF(AND(up_Irr!M26&lt;&gt;".",up_Irr!AL26=".",up_Irr!BK26="."),up_dir!N26/((1/1000)*(up_Irr!M26)),IF(AND(up_Irr!M26=".",up_Irr!AL26=".",up_Irr!BK26="."),up_dir!N26*1000)))))))),".")</f>
        <v>6.5773651144152131E-4</v>
      </c>
      <c r="O26" s="70">
        <f>IFERROR(IF(AND(up_Irr!N26&lt;&gt;".",up_Irr!AM26&lt;&gt;".",up_Irr!BL26&lt;&gt;"."),up_dir!O26/((1/1000)*(up_Irr!N26+up_Irr!AM26+up_Irr!BL26)),IF(AND(up_Irr!N26&lt;&gt;".",up_Irr!AM26&lt;&gt;".",up_Irr!BL26="."),up_dir!O26/((1/1000)*(up_Irr!N26+up_Irr!AM26)),IF(AND(up_Irr!N26&lt;&gt;".",up_Irr!AM26=".",up_Irr!BL26&lt;&gt;"."),up_dir!O26/((1/1000)*(up_Irr!N26+up_Irr!BL26)),IF(AND(up_Irr!N26=".",up_Irr!AM26&lt;&gt;".",up_Irr!BL26&lt;&gt;"."),up_dir!O26/((1/1000)*(up_Irr!AM26+up_Irr!BL26)),IF(AND(up_Irr!N26=".",up_Irr!AM26=".",up_Irr!BL26&lt;&gt;"."),up_dir!O26/((1/1000)*(up_Irr!BL26)),IF(AND(up_Irr!N26=".",up_Irr!AM26&lt;&gt;".",up_Irr!BL26="."),up_dir!O26/((1/1000)*(up_Irr!AM26)),IF(AND(up_Irr!N26&lt;&gt;".",up_Irr!AM26=".",up_Irr!BL26="."),up_dir!O26/((1/1000)*(up_Irr!N26)),IF(AND(up_Irr!N26=".",up_Irr!AM26=".",up_Irr!BL26="."),up_dir!O26*1000)))))))),".")</f>
        <v>6.5773651144152131E-4</v>
      </c>
      <c r="P26" s="70">
        <f>IFERROR(IF(AND(up_Irr!O26&lt;&gt;".",up_Irr!AN26&lt;&gt;".",up_Irr!BM26&lt;&gt;"."),up_dir!P26/((1/1000)*(up_Irr!O26+up_Irr!AN26+up_Irr!BM26)),IF(AND(up_Irr!O26&lt;&gt;".",up_Irr!AN26&lt;&gt;".",up_Irr!BM26="."),up_dir!P26/((1/1000)*(up_Irr!O26+up_Irr!AN26)),IF(AND(up_Irr!O26&lt;&gt;".",up_Irr!AN26=".",up_Irr!BM26&lt;&gt;"."),up_dir!P26/((1/1000)*(up_Irr!O26+up_Irr!BM26)),IF(AND(up_Irr!O26=".",up_Irr!AN26&lt;&gt;".",up_Irr!BM26&lt;&gt;"."),up_dir!P26/((1/1000)*(up_Irr!AN26+up_Irr!BM26)),IF(AND(up_Irr!O26=".",up_Irr!AN26=".",up_Irr!BM26&lt;&gt;"."),up_dir!P26/((1/1000)*(up_Irr!BM26)),IF(AND(up_Irr!O26=".",up_Irr!AN26&lt;&gt;".",up_Irr!BM26="."),up_dir!P26/((1/1000)*(up_Irr!AN26)),IF(AND(up_Irr!O26&lt;&gt;".",up_Irr!AN26=".",up_Irr!BM26="."),up_dir!P26/((1/1000)*(up_Irr!O26)),IF(AND(up_Irr!O26=".",up_Irr!AN26=".",up_Irr!BM26="."),up_dir!P26*1000)))))))),".")</f>
        <v>6.5773651144152131E-4</v>
      </c>
      <c r="Q26" s="70">
        <f>IFERROR(IF(AND(up_Irr!P26&lt;&gt;".",up_Irr!AO26&lt;&gt;".",up_Irr!BN26&lt;&gt;"."),up_dir!Q26/((1/1000)*(up_Irr!P26+up_Irr!AO26+up_Irr!BN26)),IF(AND(up_Irr!P26&lt;&gt;".",up_Irr!AO26&lt;&gt;".",up_Irr!BN26="."),up_dir!Q26/((1/1000)*(up_Irr!P26+up_Irr!AO26)),IF(AND(up_Irr!P26&lt;&gt;".",up_Irr!AO26=".",up_Irr!BN26&lt;&gt;"."),up_dir!Q26/((1/1000)*(up_Irr!P26+up_Irr!BN26)),IF(AND(up_Irr!P26=".",up_Irr!AO26&lt;&gt;".",up_Irr!BN26&lt;&gt;"."),up_dir!Q26/((1/1000)*(up_Irr!AO26+up_Irr!BN26)),IF(AND(up_Irr!P26=".",up_Irr!AO26=".",up_Irr!BN26&lt;&gt;"."),up_dir!Q26/((1/1000)*(up_Irr!BN26)),IF(AND(up_Irr!P26=".",up_Irr!AO26&lt;&gt;".",up_Irr!BN26="."),up_dir!Q26/((1/1000)*(up_Irr!AO26)),IF(AND(up_Irr!P26&lt;&gt;".",up_Irr!AO26=".",up_Irr!BN26="."),up_dir!Q26/((1/1000)*(up_Irr!P26)),IF(AND(up_Irr!P26=".",up_Irr!AO26=".",up_Irr!BN26="."),up_dir!Q26*1000)))))))),".")</f>
        <v>6.5773651144152131E-4</v>
      </c>
      <c r="R26" s="70">
        <f>IFERROR(IF(AND(up_Irr!Q26&lt;&gt;".",up_Irr!AP26&lt;&gt;".",up_Irr!BO26&lt;&gt;"."),up_dir!R26/((1/1000)*(up_Irr!Q26+up_Irr!AP26+up_Irr!BO26)),IF(AND(up_Irr!Q26&lt;&gt;".",up_Irr!AP26&lt;&gt;".",up_Irr!BO26="."),up_dir!R26/((1/1000)*(up_Irr!Q26+up_Irr!AP26)),IF(AND(up_Irr!Q26&lt;&gt;".",up_Irr!AP26=".",up_Irr!BO26&lt;&gt;"."),up_dir!R26/((1/1000)*(up_Irr!Q26+up_Irr!BO26)),IF(AND(up_Irr!Q26=".",up_Irr!AP26&lt;&gt;".",up_Irr!BO26&lt;&gt;"."),up_dir!R26/((1/1000)*(up_Irr!AP26+up_Irr!BO26)),IF(AND(up_Irr!Q26=".",up_Irr!AP26=".",up_Irr!BO26&lt;&gt;"."),up_dir!R26/((1/1000)*(up_Irr!BO26)),IF(AND(up_Irr!Q26=".",up_Irr!AP26&lt;&gt;".",up_Irr!BO26="."),up_dir!R26/((1/1000)*(up_Irr!AP26)),IF(AND(up_Irr!Q26&lt;&gt;".",up_Irr!AP26=".",up_Irr!BO26="."),up_dir!R26/((1/1000)*(up_Irr!Q26)),IF(AND(up_Irr!Q26=".",up_Irr!AP26=".",up_Irr!BO26="."),up_dir!R26*1000)))))))),".")</f>
        <v>6.5773651144152131E-4</v>
      </c>
      <c r="S26" s="70">
        <f>IFERROR(IF(AND(up_Irr!R26&lt;&gt;".",up_Irr!AQ26&lt;&gt;".",up_Irr!BP26&lt;&gt;"."),up_dir!S26/((1/1000)*(up_Irr!R26+up_Irr!AQ26+up_Irr!BP26)),IF(AND(up_Irr!R26&lt;&gt;".",up_Irr!AQ26&lt;&gt;".",up_Irr!BP26="."),up_dir!S26/((1/1000)*(up_Irr!R26+up_Irr!AQ26)),IF(AND(up_Irr!R26&lt;&gt;".",up_Irr!AQ26=".",up_Irr!BP26&lt;&gt;"."),up_dir!S26/((1/1000)*(up_Irr!R26+up_Irr!BP26)),IF(AND(up_Irr!R26=".",up_Irr!AQ26&lt;&gt;".",up_Irr!BP26&lt;&gt;"."),up_dir!S26/((1/1000)*(up_Irr!AQ26+up_Irr!BP26)),IF(AND(up_Irr!R26=".",up_Irr!AQ26=".",up_Irr!BP26&lt;&gt;"."),up_dir!S26/((1/1000)*(up_Irr!BP26)),IF(AND(up_Irr!R26=".",up_Irr!AQ26&lt;&gt;".",up_Irr!BP26="."),up_dir!S26/((1/1000)*(up_Irr!AQ26)),IF(AND(up_Irr!R26&lt;&gt;".",up_Irr!AQ26=".",up_Irr!BP26="."),up_dir!S26/((1/1000)*(up_Irr!R26)),IF(AND(up_Irr!R26=".",up_Irr!AQ26=".",up_Irr!BP26="."),up_dir!S26*1000)))))))),".")</f>
        <v>6.5773651144152131E-4</v>
      </c>
      <c r="T26" s="70">
        <f>IFERROR(IF(AND(up_Irr!S26&lt;&gt;".",up_Irr!AR26&lt;&gt;".",up_Irr!BQ26&lt;&gt;"."),up_dir!T26/((1/1000)*(up_Irr!S26+up_Irr!AR26+up_Irr!BQ26)),IF(AND(up_Irr!S26&lt;&gt;".",up_Irr!AR26&lt;&gt;".",up_Irr!BQ26="."),up_dir!T26/((1/1000)*(up_Irr!S26+up_Irr!AR26)),IF(AND(up_Irr!S26&lt;&gt;".",up_Irr!AR26=".",up_Irr!BQ26&lt;&gt;"."),up_dir!T26/((1/1000)*(up_Irr!S26+up_Irr!BQ26)),IF(AND(up_Irr!S26=".",up_Irr!AR26&lt;&gt;".",up_Irr!BQ26&lt;&gt;"."),up_dir!T26/((1/1000)*(up_Irr!AR26+up_Irr!BQ26)),IF(AND(up_Irr!S26=".",up_Irr!AR26=".",up_Irr!BQ26&lt;&gt;"."),up_dir!T26/((1/1000)*(up_Irr!BQ26)),IF(AND(up_Irr!S26=".",up_Irr!AR26&lt;&gt;".",up_Irr!BQ26="."),up_dir!T26/((1/1000)*(up_Irr!AR26)),IF(AND(up_Irr!S26&lt;&gt;".",up_Irr!AR26=".",up_Irr!BQ26="."),up_dir!T26/((1/1000)*(up_Irr!S26)),IF(AND(up_Irr!S26=".",up_Irr!AR26=".",up_Irr!BQ26="."),up_dir!T26*1000)))))))),".")</f>
        <v>6.5773651144152131E-4</v>
      </c>
      <c r="U26" s="70">
        <f>IFERROR(IF(AND(up_Irr!T26&lt;&gt;".",up_Irr!AS26&lt;&gt;".",up_Irr!BR26&lt;&gt;"."),up_dir!U26/((1/1000)*(up_Irr!T26+up_Irr!AS26+up_Irr!BR26)),IF(AND(up_Irr!T26&lt;&gt;".",up_Irr!AS26&lt;&gt;".",up_Irr!BR26="."),up_dir!U26/((1/1000)*(up_Irr!T26+up_Irr!AS26)),IF(AND(up_Irr!T26&lt;&gt;".",up_Irr!AS26=".",up_Irr!BR26&lt;&gt;"."),up_dir!U26/((1/1000)*(up_Irr!T26+up_Irr!BR26)),IF(AND(up_Irr!T26=".",up_Irr!AS26&lt;&gt;".",up_Irr!BR26&lt;&gt;"."),up_dir!U26/((1/1000)*(up_Irr!AS26+up_Irr!BR26)),IF(AND(up_Irr!T26=".",up_Irr!AS26=".",up_Irr!BR26&lt;&gt;"."),up_dir!U26/((1/1000)*(up_Irr!BR26)),IF(AND(up_Irr!T26=".",up_Irr!AS26&lt;&gt;".",up_Irr!BR26="."),up_dir!U26/((1/1000)*(up_Irr!AS26)),IF(AND(up_Irr!T26&lt;&gt;".",up_Irr!AS26=".",up_Irr!BR26="."),up_dir!U26/((1/1000)*(up_Irr!T26)),IF(AND(up_Irr!T26=".",up_Irr!AS26=".",up_Irr!BR26="."),up_dir!U26*1000)))))))),".")</f>
        <v>6.5773651144152131E-4</v>
      </c>
      <c r="V26" s="70">
        <f>IFERROR(IF(AND(up_Irr!U26&lt;&gt;".",up_Irr!AT26&lt;&gt;".",up_Irr!BS26&lt;&gt;"."),up_dir!V26/((1/1000)*(up_Irr!U26+up_Irr!AT26+up_Irr!BS26)),IF(AND(up_Irr!U26&lt;&gt;".",up_Irr!AT26&lt;&gt;".",up_Irr!BS26="."),up_dir!V26/((1/1000)*(up_Irr!U26+up_Irr!AT26)),IF(AND(up_Irr!U26&lt;&gt;".",up_Irr!AT26=".",up_Irr!BS26&lt;&gt;"."),up_dir!V26/((1/1000)*(up_Irr!U26+up_Irr!BS26)),IF(AND(up_Irr!U26=".",up_Irr!AT26&lt;&gt;".",up_Irr!BS26&lt;&gt;"."),up_dir!V26/((1/1000)*(up_Irr!AT26+up_Irr!BS26)),IF(AND(up_Irr!U26=".",up_Irr!AT26=".",up_Irr!BS26&lt;&gt;"."),up_dir!V26/((1/1000)*(up_Irr!BS26)),IF(AND(up_Irr!U26=".",up_Irr!AT26&lt;&gt;".",up_Irr!BS26="."),up_dir!V26/((1/1000)*(up_Irr!AT26)),IF(AND(up_Irr!U26&lt;&gt;".",up_Irr!AT26=".",up_Irr!BS26="."),up_dir!V26/((1/1000)*(up_Irr!U26)),IF(AND(up_Irr!U26=".",up_Irr!AT26=".",up_Irr!BS26="."),up_dir!V26*1000)))))))),".")</f>
        <v>6.5773651144152131E-4</v>
      </c>
      <c r="W26" s="70">
        <f>IFERROR(IF(AND(up_Irr!V26&lt;&gt;".",up_Irr!AU26&lt;&gt;".",up_Irr!BT26&lt;&gt;"."),up_dir!W26/((1/1000)*(up_Irr!V26+up_Irr!AU26+up_Irr!BT26)),IF(AND(up_Irr!V26&lt;&gt;".",up_Irr!AU26&lt;&gt;".",up_Irr!BT26="."),up_dir!W26/((1/1000)*(up_Irr!V26+up_Irr!AU26)),IF(AND(up_Irr!V26&lt;&gt;".",up_Irr!AU26=".",up_Irr!BT26&lt;&gt;"."),up_dir!W26/((1/1000)*(up_Irr!V26+up_Irr!BT26)),IF(AND(up_Irr!V26=".",up_Irr!AU26&lt;&gt;".",up_Irr!BT26&lt;&gt;"."),up_dir!W26/((1/1000)*(up_Irr!AU26+up_Irr!BT26)),IF(AND(up_Irr!V26=".",up_Irr!AU26=".",up_Irr!BT26&lt;&gt;"."),up_dir!W26/((1/1000)*(up_Irr!BT26)),IF(AND(up_Irr!V26=".",up_Irr!AU26&lt;&gt;".",up_Irr!BT26="."),up_dir!W26/((1/1000)*(up_Irr!AU26)),IF(AND(up_Irr!V26&lt;&gt;".",up_Irr!AU26=".",up_Irr!BT26="."),up_dir!W26/((1/1000)*(up_Irr!V26)),IF(AND(up_Irr!V26=".",up_Irr!AU26=".",up_Irr!BT26="."),up_dir!W26*1000)))))))),".")</f>
        <v>6.5773651144152131E-4</v>
      </c>
      <c r="X26" s="70">
        <f>IFERROR(IF(AND(up_Irr!W26&lt;&gt;".",up_Irr!AV26&lt;&gt;".",up_Irr!BU26&lt;&gt;"."),up_dir!X26/((1/1000)*(up_Irr!W26+up_Irr!AV26+up_Irr!BU26)),IF(AND(up_Irr!W26&lt;&gt;".",up_Irr!AV26&lt;&gt;".",up_Irr!BU26="."),up_dir!X26/((1/1000)*(up_Irr!W26+up_Irr!AV26)),IF(AND(up_Irr!W26&lt;&gt;".",up_Irr!AV26=".",up_Irr!BU26&lt;&gt;"."),up_dir!X26/((1/1000)*(up_Irr!W26+up_Irr!BU26)),IF(AND(up_Irr!W26=".",up_Irr!AV26&lt;&gt;".",up_Irr!BU26&lt;&gt;"."),up_dir!X26/((1/1000)*(up_Irr!AV26+up_Irr!BU26)),IF(AND(up_Irr!W26=".",up_Irr!AV26=".",up_Irr!BU26&lt;&gt;"."),up_dir!X26/((1/1000)*(up_Irr!BU26)),IF(AND(up_Irr!W26=".",up_Irr!AV26&lt;&gt;".",up_Irr!BU26="."),up_dir!X26/((1/1000)*(up_Irr!AV26)),IF(AND(up_Irr!W26&lt;&gt;".",up_Irr!AV26=".",up_Irr!BU26="."),up_dir!X26/((1/1000)*(up_Irr!W26)),IF(AND(up_Irr!W26=".",up_Irr!AV26=".",up_Irr!BU26="."),up_dir!X26*1000)))))))),".")</f>
        <v>6.5773651144152131E-4</v>
      </c>
      <c r="Y26" s="70">
        <f>IFERROR(IF(AND(up_Irr!X26&lt;&gt;".",up_Irr!AW26&lt;&gt;".",up_Irr!BV26&lt;&gt;"."),up_dir!Y26/((1/1000)*(up_Irr!X26+up_Irr!AW26+up_Irr!BV26)),IF(AND(up_Irr!X26&lt;&gt;".",up_Irr!AW26&lt;&gt;".",up_Irr!BV26="."),up_dir!Y26/((1/1000)*(up_Irr!X26+up_Irr!AW26)),IF(AND(up_Irr!X26&lt;&gt;".",up_Irr!AW26=".",up_Irr!BV26&lt;&gt;"."),up_dir!Y26/((1/1000)*(up_Irr!X26+up_Irr!BV26)),IF(AND(up_Irr!X26=".",up_Irr!AW26&lt;&gt;".",up_Irr!BV26&lt;&gt;"."),up_dir!Y26/((1/1000)*(up_Irr!AW26+up_Irr!BV26)),IF(AND(up_Irr!X26=".",up_Irr!AW26=".",up_Irr!BV26&lt;&gt;"."),up_dir!Y26/((1/1000)*(up_Irr!BV26)),IF(AND(up_Irr!X26=".",up_Irr!AW26&lt;&gt;".",up_Irr!BV26="."),up_dir!Y26/((1/1000)*(up_Irr!AW26)),IF(AND(up_Irr!X26&lt;&gt;".",up_Irr!AW26=".",up_Irr!BV26="."),up_dir!Y26/((1/1000)*(up_Irr!X26)),IF(AND(up_Irr!X26=".",up_Irr!AW26=".",up_Irr!BV26="."),up_dir!Y26*1000)))))))),".")</f>
        <v>6.5773651144152131E-4</v>
      </c>
      <c r="Z26" s="70">
        <f>IFERROR(IF(AND(up_Irr!Y26&lt;&gt;".",up_Irr!AX26&lt;&gt;".",up_Irr!BW26&lt;&gt;"."),up_dir!Z26/((1/1000)*(up_Irr!Y26+up_Irr!AX26+up_Irr!BW26)),IF(AND(up_Irr!Y26&lt;&gt;".",up_Irr!AX26&lt;&gt;".",up_Irr!BW26="."),up_dir!Z26/((1/1000)*(up_Irr!Y26+up_Irr!AX26)),IF(AND(up_Irr!Y26&lt;&gt;".",up_Irr!AX26=".",up_Irr!BW26&lt;&gt;"."),up_dir!Z26/((1/1000)*(up_Irr!Y26+up_Irr!BW26)),IF(AND(up_Irr!Y26=".",up_Irr!AX26&lt;&gt;".",up_Irr!BW26&lt;&gt;"."),up_dir!Z26/((1/1000)*(up_Irr!AX26+up_Irr!BW26)),IF(AND(up_Irr!Y26=".",up_Irr!AX26=".",up_Irr!BW26&lt;&gt;"."),up_dir!Z26/((1/1000)*(up_Irr!BW26)),IF(AND(up_Irr!Y26=".",up_Irr!AX26&lt;&gt;".",up_Irr!BW26="."),up_dir!Z26/((1/1000)*(up_Irr!AX26)),IF(AND(up_Irr!Y26&lt;&gt;".",up_Irr!AX26=".",up_Irr!BW26="."),up_dir!Z26/((1/1000)*(up_Irr!Y26)),IF(AND(up_Irr!Y26=".",up_Irr!AX26=".",up_Irr!BW26="."),up_dir!Z26*1000)))))))),".")</f>
        <v>6.5773651144152131E-4</v>
      </c>
      <c r="AA26" s="70">
        <f>IFERROR(IF(AND(up_Irr!Z26&lt;&gt;".",up_Irr!AY26&lt;&gt;".",up_Irr!BX26&lt;&gt;"."),up_dir!AA26/((1/1000)*(up_Irr!Z26+up_Irr!AY26+up_Irr!BX26)),IF(AND(up_Irr!Z26&lt;&gt;".",up_Irr!AY26&lt;&gt;".",up_Irr!BX26="."),up_dir!AA26/((1/1000)*(up_Irr!Z26+up_Irr!AY26)),IF(AND(up_Irr!Z26&lt;&gt;".",up_Irr!AY26=".",up_Irr!BX26&lt;&gt;"."),up_dir!AA26/((1/1000)*(up_Irr!Z26+up_Irr!BX26)),IF(AND(up_Irr!Z26=".",up_Irr!AY26&lt;&gt;".",up_Irr!BX26&lt;&gt;"."),up_dir!AA26/((1/1000)*(up_Irr!AY26+up_Irr!BX26)),IF(AND(up_Irr!Z26=".",up_Irr!AY26=".",up_Irr!BX26&lt;&gt;"."),up_dir!AA26/((1/1000)*(up_Irr!BX26)),IF(AND(up_Irr!Z26=".",up_Irr!AY26&lt;&gt;".",up_Irr!BX26="."),up_dir!AA26/((1/1000)*(up_Irr!AY26)),IF(AND(up_Irr!Z26&lt;&gt;".",up_Irr!AY26=".",up_Irr!BX26="."),up_dir!AA26/((1/1000)*(up_Irr!Z26)),IF(AND(up_Irr!Z26=".",up_Irr!AY26=".",up_Irr!BX26="."),up_dir!AA26*1000)))))))),".")</f>
        <v>6.5773651144152131E-4</v>
      </c>
      <c r="AB26" s="70">
        <f>IFERROR(IF(AND(up_Irr!AA26&lt;&gt;".",up_Irr!AZ26&lt;&gt;".",up_Irr!BY26&lt;&gt;"."),up_dir!AB26/((1/1000)*(up_Irr!AA26+up_Irr!AZ26+up_Irr!BY26)),IF(AND(up_Irr!AA26&lt;&gt;".",up_Irr!AZ26&lt;&gt;".",up_Irr!BY26="."),up_dir!AB26/((1/1000)*(up_Irr!AA26+up_Irr!AZ26)),IF(AND(up_Irr!AA26&lt;&gt;".",up_Irr!AZ26=".",up_Irr!BY26&lt;&gt;"."),up_dir!AB26/((1/1000)*(up_Irr!AA26+up_Irr!BY26)),IF(AND(up_Irr!AA26=".",up_Irr!AZ26&lt;&gt;".",up_Irr!BY26&lt;&gt;"."),up_dir!AB26/((1/1000)*(up_Irr!AZ26+up_Irr!BY26)),IF(AND(up_Irr!AA26=".",up_Irr!AZ26=".",up_Irr!BY26&lt;&gt;"."),up_dir!AB26/((1/1000)*(up_Irr!BY26)),IF(AND(up_Irr!AA26=".",up_Irr!AZ26&lt;&gt;".",up_Irr!BY26="."),up_dir!AB26/((1/1000)*(up_Irr!AZ26)),IF(AND(up_Irr!AA26&lt;&gt;".",up_Irr!AZ26=".",up_Irr!BY26="."),up_dir!AB26/((1/1000)*(up_Irr!AA26)),IF(AND(up_Irr!AA26=".",up_Irr!AZ26=".",up_Irr!BY26="."),up_dir!AB26*1000)))))))),".")</f>
        <v>6.5773651144152131E-4</v>
      </c>
      <c r="AC26" s="87">
        <f t="shared" si="1"/>
        <v>30407.313038114935</v>
      </c>
      <c r="AD26" s="87">
        <f>IFERROR(s_C*s_IFAP_res_adj*s_CF_apple*0.001*(up_Irr!C26+up_Irr!AB26+up_Irr!BA26),".")</f>
        <v>7601.8282595287337</v>
      </c>
      <c r="AE26" s="87">
        <f>IFERROR(s_C*s_IFAS_res_adj*s_CF_asparagus*0.001*(up_Irr!D26+up_Irr!AC26+up_Irr!BB26),".")</f>
        <v>7601.8282595287337</v>
      </c>
      <c r="AF26" s="87">
        <f>IFERROR(s_C*s_IFBT_res_adj*s_CF_beet*0.001*(up_Irr!E26+up_Irr!AD26+up_Irr!BC26),".")</f>
        <v>7601.8282595287337</v>
      </c>
      <c r="AG26" s="87">
        <f>IFERROR(s_C*s_IFBE_res_adj*s_CF_berries*0.001*(up_Irr!F26+up_Irr!AE26+up_Irr!BD26),".")</f>
        <v>7601.8282595287337</v>
      </c>
      <c r="AH26" s="87">
        <f>IFERROR(s_C*s_IFBR_res_adj*s_CF_broccoli*0.001*(up_Irr!G26+up_Irr!AF26+up_Irr!BE26),".")</f>
        <v>7601.8282595287337</v>
      </c>
      <c r="AI26" s="87">
        <f>IFERROR(s_C*s_IFCB_res_adj*s_CF_cabbage*0.001*(up_Irr!H26+up_Irr!AG26+up_Irr!BF26),".")</f>
        <v>7601.8282595287337</v>
      </c>
      <c r="AJ26" s="87">
        <f>IFERROR(s_C*s_IFCR_res_adj*s_CF_carrot*0.001*(up_Irr!I26+up_Irr!AH26+up_Irr!BG26),".")</f>
        <v>7601.8282595287337</v>
      </c>
      <c r="AK26" s="87">
        <f>IFERROR(s_C*s_IFCI_res_adj*s_CF_citrus*0.001*(up_Irr!J26+up_Irr!AI26+up_Irr!BH26),".")</f>
        <v>7601.8282595287337</v>
      </c>
      <c r="AL26" s="87">
        <f>IFERROR(s_C*s_IFCO_res_adj*s_CF_corn*0.001*(up_Irr!K26+up_Irr!AJ26+up_Irr!BI26),".")</f>
        <v>7601.8282595287337</v>
      </c>
      <c r="AM26" s="87">
        <f>IFERROR(s_C*s_IFCU_res_adj*s_CF_cucumber*0.001*(up_Irr!L26+up_Irr!AK26+up_Irr!BJ26),".")</f>
        <v>7601.8282595287337</v>
      </c>
      <c r="AN26" s="87">
        <f>IFERROR(s_C*s_IFLE_res_adj*s_CF_lettuce*0.001*(up_Irr!M26+up_Irr!AL26+up_Irr!BK26),".")</f>
        <v>7601.8282595287337</v>
      </c>
      <c r="AO26" s="87">
        <f>IFERROR(s_C*s_IFLI_res_adj*s_CF_lima_bean*0.001*(up_Irr!N26+up_Irr!AM26+up_Irr!BL26),".")</f>
        <v>7601.8282595287337</v>
      </c>
      <c r="AP26" s="87">
        <f>IFERROR(s_C*s_IFOK_res_adj*s_CF_okra*0.001*(up_Irr!O26+up_Irr!AN26+up_Irr!BM26),".")</f>
        <v>7601.8282595287337</v>
      </c>
      <c r="AQ26" s="87">
        <f>IFERROR(s_C*s_IFON_res_adj*s_CF_onion*0.001*(up_Irr!P26+up_Irr!AO26+up_Irr!BN26),".")</f>
        <v>7601.8282595287337</v>
      </c>
      <c r="AR26" s="87">
        <f>IFERROR(s_C*s_IFPC_res_adj*s_CF_peach*0.001*(up_Irr!Q26+up_Irr!AP26+up_Irr!BO26),".")</f>
        <v>7601.8282595287337</v>
      </c>
      <c r="AS26" s="87">
        <f>IFERROR(s_C*s_IFPR_res_adj*s_CF_pear*0.001*(up_Irr!R26+up_Irr!AQ26+up_Irr!BP26),".")</f>
        <v>7601.8282595287337</v>
      </c>
      <c r="AT26" s="87">
        <f>IFERROR(s_C*s_IFPE_res_adj*s_CF_peas*0.001*(up_Irr!S26+up_Irr!AR26+up_Irr!BQ26),".")</f>
        <v>7601.8282595287337</v>
      </c>
      <c r="AU26" s="87">
        <f>IFERROR(s_C*s_IFPP_res_adj*s_CF_peppers*0.001*(up_Irr!T26+up_Irr!AS26+up_Irr!BR26),".")</f>
        <v>7601.8282595287337</v>
      </c>
      <c r="AV26" s="87">
        <f>IFERROR(s_C*s_IFPT_res_adj*s_CF_potato*0.001*(up_Irr!U26+up_Irr!AT26+up_Irr!BS26),".")</f>
        <v>7601.8282595287337</v>
      </c>
      <c r="AW26" s="87">
        <f>IFERROR(s_C*s_IFPU_res_adj*s_CF_pumpkin*0.001*(up_Irr!V26+up_Irr!AU26+up_Irr!BT26),".")</f>
        <v>7601.8282595287337</v>
      </c>
      <c r="AX26" s="87">
        <f>IFERROR(s_C*s_IFSN_res_adj*s_CF_snap_bean*0.001*(up_Irr!W26+up_Irr!AV26+up_Irr!BU26),".")</f>
        <v>7601.8282595287337</v>
      </c>
      <c r="AY26" s="87">
        <f>IFERROR(s_C*s_IFST_res_adj*s_CF_strawberry*0.001*(up_Irr!X26+up_Irr!AW26+up_Irr!BV26),".")</f>
        <v>7601.8282595287337</v>
      </c>
      <c r="AZ26" s="87">
        <f>IFERROR(s_C*s_IFTO_res_adj*s_CF_tomato*0.001*(up_Irr!Y26+up_Irr!AX26+up_Irr!BW26),".")</f>
        <v>7601.8282595287337</v>
      </c>
      <c r="BA26" s="87">
        <f>IFERROR(s_C*s_IFRI_res_adj*s_CF_rice*0.001*(up_Irr!Z26+up_Irr!AY26+up_Irr!BX26),".")</f>
        <v>7601.8282595287337</v>
      </c>
      <c r="BB26" s="87">
        <f>IFERROR(s_C*s_IFCG_res_adj*s_CF_cereal*0.001*(up_Irr!AA26+up_Irr!AZ26+up_Irr!BY26),".")</f>
        <v>7601.8282595287337</v>
      </c>
      <c r="BC26" s="70">
        <f t="shared" si="2"/>
        <v>1.6443412786038033E-4</v>
      </c>
      <c r="BD26" s="70">
        <f>IFERROR(IF(AND(up_Irr!C26&lt;&gt;".",up_Irr!AB26&lt;&gt;".",up_Irr!BA26&lt;&gt;"."),up_dir!AD26/((1/1000)*(up_Irr!C26+up_Irr!AB26+up_Irr!BA26)),IF(AND(up_Irr!C26&lt;&gt;".",up_Irr!AB26&lt;&gt;".",up_Irr!BA26="."),up_dir!AD26/((1/1000)*(up_Irr!C26+up_Irr!AB26)),IF(AND(up_Irr!C26&lt;&gt;".",up_Irr!AB26=".",up_Irr!BA26&lt;&gt;"."),up_dir!AD26/((1/1000)*(up_Irr!C26+up_Irr!BA26)),IF(AND(up_Irr!C26=".",up_Irr!AB26&lt;&gt;".",up_Irr!BA26&lt;&gt;"."),up_dir!AD26/((1/1000)*(up_Irr!AB26+up_Irr!BA26)),IF(AND(up_Irr!C26=".",up_Irr!AB26=".",up_Irr!BA26&lt;&gt;"."),up_dir!AD26/((1/1000)*(up_Irr!BA26)),IF(AND(up_Irr!C26=".",up_Irr!AB26&lt;&gt;".",up_Irr!BA26="."),up_dir!AD26/((1/1000)*(up_Irr!AB26)),IF(AND(up_Irr!C26&lt;&gt;".",up_Irr!AB26=".",up_Irr!BA26="."),up_dir!AD26/((1/1000)*(up_Irr!C26)),IF(AND(up_Irr!C26=".",up_Irr!AB26=".",up_Irr!BA26="."),up_dir!AD26*1000)))))))),".")</f>
        <v>6.5773651144152131E-4</v>
      </c>
      <c r="BE26" s="70">
        <f>IFERROR(IF(AND(up_Irr!D26&lt;&gt;".",up_Irr!AC26&lt;&gt;".",up_Irr!BB26&lt;&gt;"."),up_dir!AE26/((1/1000)*(up_Irr!D26+up_Irr!AC26+up_Irr!BB26)),IF(AND(up_Irr!D26&lt;&gt;".",up_Irr!AC26&lt;&gt;".",up_Irr!BB26="."),up_dir!AE26/((1/1000)*(up_Irr!D26+up_Irr!AC26)),IF(AND(up_Irr!D26&lt;&gt;".",up_Irr!AC26=".",up_Irr!BB26&lt;&gt;"."),up_dir!AE26/((1/1000)*(up_Irr!D26+up_Irr!BB26)),IF(AND(up_Irr!D26=".",up_Irr!AC26&lt;&gt;".",up_Irr!BB26&lt;&gt;"."),up_dir!AE26/((1/1000)*(up_Irr!AC26+up_Irr!BB26)),IF(AND(up_Irr!D26=".",up_Irr!AC26=".",up_Irr!BB26&lt;&gt;"."),up_dir!AE26/((1/1000)*(up_Irr!BB26)),IF(AND(up_Irr!D26=".",up_Irr!AC26&lt;&gt;".",up_Irr!BB26="."),up_dir!AE26/((1/1000)*(up_Irr!AC26)),IF(AND(up_Irr!D26&lt;&gt;".",up_Irr!AC26=".",up_Irr!BB26="."),up_dir!AE26/((1/1000)*(up_Irr!D26)),IF(AND(up_Irr!D26=".",up_Irr!AC26=".",up_Irr!BB26="."),up_dir!AE26*1000)))))))),".")</f>
        <v>6.5773651144152131E-4</v>
      </c>
      <c r="BF26" s="70">
        <f>IFERROR(IF(AND(up_Irr!E26&lt;&gt;".",up_Irr!AD26&lt;&gt;".",up_Irr!BC26&lt;&gt;"."),up_dir!AF26/((1/1000)*(up_Irr!E26+up_Irr!AD26+up_Irr!BC26)),IF(AND(up_Irr!E26&lt;&gt;".",up_Irr!AD26&lt;&gt;".",up_Irr!BC26="."),up_dir!AF26/((1/1000)*(up_Irr!E26+up_Irr!AD26)),IF(AND(up_Irr!E26&lt;&gt;".",up_Irr!AD26=".",up_Irr!BC26&lt;&gt;"."),up_dir!AF26/((1/1000)*(up_Irr!E26+up_Irr!BC26)),IF(AND(up_Irr!E26=".",up_Irr!AD26&lt;&gt;".",up_Irr!BC26&lt;&gt;"."),up_dir!AF26/((1/1000)*(up_Irr!AD26+up_Irr!BC26)),IF(AND(up_Irr!E26=".",up_Irr!AD26=".",up_Irr!BC26&lt;&gt;"."),up_dir!AF26/((1/1000)*(up_Irr!BC26)),IF(AND(up_Irr!E26=".",up_Irr!AD26&lt;&gt;".",up_Irr!BC26="."),up_dir!AF26/((1/1000)*(up_Irr!AD26)),IF(AND(up_Irr!E26&lt;&gt;".",up_Irr!AD26=".",up_Irr!BC26="."),up_dir!AF26/((1/1000)*(up_Irr!E26)),IF(AND(up_Irr!E26=".",up_Irr!AD26=".",up_Irr!BC26="."),up_dir!AF26*1000)))))))),".")</f>
        <v>6.5773651144152131E-4</v>
      </c>
      <c r="BG26" s="70">
        <f>IFERROR(IF(AND(up_Irr!F26&lt;&gt;".",up_Irr!AE26&lt;&gt;".",up_Irr!BD26&lt;&gt;"."),up_dir!AG26/((1/1000)*(up_Irr!F26+up_Irr!AE26+up_Irr!BD26)),IF(AND(up_Irr!F26&lt;&gt;".",up_Irr!AE26&lt;&gt;".",up_Irr!BD26="."),up_dir!AG26/((1/1000)*(up_Irr!F26+up_Irr!AE26)),IF(AND(up_Irr!F26&lt;&gt;".",up_Irr!AE26=".",up_Irr!BD26&lt;&gt;"."),up_dir!AG26/((1/1000)*(up_Irr!F26+up_Irr!BD26)),IF(AND(up_Irr!F26=".",up_Irr!AE26&lt;&gt;".",up_Irr!BD26&lt;&gt;"."),up_dir!AG26/((1/1000)*(up_Irr!AE26+up_Irr!BD26)),IF(AND(up_Irr!F26=".",up_Irr!AE26=".",up_Irr!BD26&lt;&gt;"."),up_dir!AG26/((1/1000)*(up_Irr!BD26)),IF(AND(up_Irr!F26=".",up_Irr!AE26&lt;&gt;".",up_Irr!BD26="."),up_dir!AG26/((1/1000)*(up_Irr!AE26)),IF(AND(up_Irr!F26&lt;&gt;".",up_Irr!AE26=".",up_Irr!BD26="."),up_dir!AG26/((1/1000)*(up_Irr!F26)),IF(AND(up_Irr!F26=".",up_Irr!AE26=".",up_Irr!BD26="."),up_dir!AG26*1000)))))))),".")</f>
        <v>6.5773651144152131E-4</v>
      </c>
      <c r="BH26" s="70">
        <f>IFERROR(IF(AND(up_Irr!G26&lt;&gt;".",up_Irr!AF26&lt;&gt;".",up_Irr!BE26&lt;&gt;"."),up_dir!AH26/((1/1000)*(up_Irr!G26+up_Irr!AF26+up_Irr!BE26)),IF(AND(up_Irr!G26&lt;&gt;".",up_Irr!AF26&lt;&gt;".",up_Irr!BE26="."),up_dir!AH26/((1/1000)*(up_Irr!G26+up_Irr!AF26)),IF(AND(up_Irr!G26&lt;&gt;".",up_Irr!AF26=".",up_Irr!BE26&lt;&gt;"."),up_dir!AH26/((1/1000)*(up_Irr!G26+up_Irr!BE26)),IF(AND(up_Irr!G26=".",up_Irr!AF26&lt;&gt;".",up_Irr!BE26&lt;&gt;"."),up_dir!AH26/((1/1000)*(up_Irr!AF26+up_Irr!BE26)),IF(AND(up_Irr!G26=".",up_Irr!AF26=".",up_Irr!BE26&lt;&gt;"."),up_dir!AH26/((1/1000)*(up_Irr!BE26)),IF(AND(up_Irr!G26=".",up_Irr!AF26&lt;&gt;".",up_Irr!BE26="."),up_dir!AH26/((1/1000)*(up_Irr!AF26)),IF(AND(up_Irr!G26&lt;&gt;".",up_Irr!AF26=".",up_Irr!BE26="."),up_dir!AH26/((1/1000)*(up_Irr!G26)),IF(AND(up_Irr!G26=".",up_Irr!AF26=".",up_Irr!BE26="."),up_dir!AH26*1000)))))))),".")</f>
        <v>6.5773651144152131E-4</v>
      </c>
      <c r="BI26" s="70">
        <f>IFERROR(IF(AND(up_Irr!H26&lt;&gt;".",up_Irr!AG26&lt;&gt;".",up_Irr!BF26&lt;&gt;"."),up_dir!AI26/((1/1000)*(up_Irr!H26+up_Irr!AG26+up_Irr!BF26)),IF(AND(up_Irr!H26&lt;&gt;".",up_Irr!AG26&lt;&gt;".",up_Irr!BF26="."),up_dir!AI26/((1/1000)*(up_Irr!H26+up_Irr!AG26)),IF(AND(up_Irr!H26&lt;&gt;".",up_Irr!AG26=".",up_Irr!BF26&lt;&gt;"."),up_dir!AI26/((1/1000)*(up_Irr!H26+up_Irr!BF26)),IF(AND(up_Irr!H26=".",up_Irr!AG26&lt;&gt;".",up_Irr!BF26&lt;&gt;"."),up_dir!AI26/((1/1000)*(up_Irr!AG26+up_Irr!BF26)),IF(AND(up_Irr!H26=".",up_Irr!AG26=".",up_Irr!BF26&lt;&gt;"."),up_dir!AI26/((1/1000)*(up_Irr!BF26)),IF(AND(up_Irr!H26=".",up_Irr!AG26&lt;&gt;".",up_Irr!BF26="."),up_dir!AI26/((1/1000)*(up_Irr!AG26)),IF(AND(up_Irr!H26&lt;&gt;".",up_Irr!AG26=".",up_Irr!BF26="."),up_dir!AI26/((1/1000)*(up_Irr!H26)),IF(AND(up_Irr!H26=".",up_Irr!AG26=".",up_Irr!BF26="."),up_dir!AI26*1000)))))))),".")</f>
        <v>6.5773651144152131E-4</v>
      </c>
      <c r="BJ26" s="70">
        <f>IFERROR(IF(AND(up_Irr!I26&lt;&gt;".",up_Irr!AH26&lt;&gt;".",up_Irr!BG26&lt;&gt;"."),up_dir!AJ26/((1/1000)*(up_Irr!I26+up_Irr!AH26+up_Irr!BG26)),IF(AND(up_Irr!I26&lt;&gt;".",up_Irr!AH26&lt;&gt;".",up_Irr!BG26="."),up_dir!AJ26/((1/1000)*(up_Irr!I26+up_Irr!AH26)),IF(AND(up_Irr!I26&lt;&gt;".",up_Irr!AH26=".",up_Irr!BG26&lt;&gt;"."),up_dir!AJ26/((1/1000)*(up_Irr!I26+up_Irr!BG26)),IF(AND(up_Irr!I26=".",up_Irr!AH26&lt;&gt;".",up_Irr!BG26&lt;&gt;"."),up_dir!AJ26/((1/1000)*(up_Irr!AH26+up_Irr!BG26)),IF(AND(up_Irr!I26=".",up_Irr!AH26=".",up_Irr!BG26&lt;&gt;"."),up_dir!AJ26/((1/1000)*(up_Irr!BG26)),IF(AND(up_Irr!I26=".",up_Irr!AH26&lt;&gt;".",up_Irr!BG26="."),up_dir!AJ26/((1/1000)*(up_Irr!AH26)),IF(AND(up_Irr!I26&lt;&gt;".",up_Irr!AH26=".",up_Irr!BG26="."),up_dir!AJ26/((1/1000)*(up_Irr!I26)),IF(AND(up_Irr!I26=".",up_Irr!AH26=".",up_Irr!BG26="."),up_dir!AJ26*1000)))))))),".")</f>
        <v>6.5773651144152131E-4</v>
      </c>
      <c r="BK26" s="70">
        <f>IFERROR(IF(AND(up_Irr!J26&lt;&gt;".",up_Irr!AI26&lt;&gt;".",up_Irr!BH26&lt;&gt;"."),up_dir!AK26/((1/1000)*(up_Irr!J26+up_Irr!AI26+up_Irr!BH26)),IF(AND(up_Irr!J26&lt;&gt;".",up_Irr!AI26&lt;&gt;".",up_Irr!BH26="."),up_dir!AK26/((1/1000)*(up_Irr!J26+up_Irr!AI26)),IF(AND(up_Irr!J26&lt;&gt;".",up_Irr!AI26=".",up_Irr!BH26&lt;&gt;"."),up_dir!AK26/((1/1000)*(up_Irr!J26+up_Irr!BH26)),IF(AND(up_Irr!J26=".",up_Irr!AI26&lt;&gt;".",up_Irr!BH26&lt;&gt;"."),up_dir!AK26/((1/1000)*(up_Irr!AI26+up_Irr!BH26)),IF(AND(up_Irr!J26=".",up_Irr!AI26=".",up_Irr!BH26&lt;&gt;"."),up_dir!AK26/((1/1000)*(up_Irr!BH26)),IF(AND(up_Irr!J26=".",up_Irr!AI26&lt;&gt;".",up_Irr!BH26="."),up_dir!AK26/((1/1000)*(up_Irr!AI26)),IF(AND(up_Irr!J26&lt;&gt;".",up_Irr!AI26=".",up_Irr!BH26="."),up_dir!AK26/((1/1000)*(up_Irr!J26)),IF(AND(up_Irr!J26=".",up_Irr!AI26=".",up_Irr!BH26="."),up_dir!AK26*1000)))))))),".")</f>
        <v>6.5773651144152131E-4</v>
      </c>
      <c r="BL26" s="70">
        <f>IFERROR(IF(AND(up_Irr!K26&lt;&gt;".",up_Irr!AJ26&lt;&gt;".",up_Irr!BI26&lt;&gt;"."),up_dir!AL26/((1/1000)*(up_Irr!K26+up_Irr!AJ26+up_Irr!BI26)),IF(AND(up_Irr!K26&lt;&gt;".",up_Irr!AJ26&lt;&gt;".",up_Irr!BI26="."),up_dir!AL26/((1/1000)*(up_Irr!K26+up_Irr!AJ26)),IF(AND(up_Irr!K26&lt;&gt;".",up_Irr!AJ26=".",up_Irr!BI26&lt;&gt;"."),up_dir!AL26/((1/1000)*(up_Irr!K26+up_Irr!BI26)),IF(AND(up_Irr!K26=".",up_Irr!AJ26&lt;&gt;".",up_Irr!BI26&lt;&gt;"."),up_dir!AL26/((1/1000)*(up_Irr!AJ26+up_Irr!BI26)),IF(AND(up_Irr!K26=".",up_Irr!AJ26=".",up_Irr!BI26&lt;&gt;"."),up_dir!AL26/((1/1000)*(up_Irr!BI26)),IF(AND(up_Irr!K26=".",up_Irr!AJ26&lt;&gt;".",up_Irr!BI26="."),up_dir!AL26/((1/1000)*(up_Irr!AJ26)),IF(AND(up_Irr!K26&lt;&gt;".",up_Irr!AJ26=".",up_Irr!BI26="."),up_dir!AL26/((1/1000)*(up_Irr!K26)),IF(AND(up_Irr!K26=".",up_Irr!AJ26=".",up_Irr!BI26="."),up_dir!AL26*1000)))))))),".")</f>
        <v>6.5773651144152131E-4</v>
      </c>
      <c r="BM26" s="70">
        <f>IFERROR(IF(AND(up_Irr!L26&lt;&gt;".",up_Irr!AK26&lt;&gt;".",up_Irr!BJ26&lt;&gt;"."),up_dir!AM26/((1/1000)*(up_Irr!L26+up_Irr!AK26+up_Irr!BJ26)),IF(AND(up_Irr!L26&lt;&gt;".",up_Irr!AK26&lt;&gt;".",up_Irr!BJ26="."),up_dir!AM26/((1/1000)*(up_Irr!L26+up_Irr!AK26)),IF(AND(up_Irr!L26&lt;&gt;".",up_Irr!AK26=".",up_Irr!BJ26&lt;&gt;"."),up_dir!AM26/((1/1000)*(up_Irr!L26+up_Irr!BJ26)),IF(AND(up_Irr!L26=".",up_Irr!AK26&lt;&gt;".",up_Irr!BJ26&lt;&gt;"."),up_dir!AM26/((1/1000)*(up_Irr!AK26+up_Irr!BJ26)),IF(AND(up_Irr!L26=".",up_Irr!AK26=".",up_Irr!BJ26&lt;&gt;"."),up_dir!AM26/((1/1000)*(up_Irr!BJ26)),IF(AND(up_Irr!L26=".",up_Irr!AK26&lt;&gt;".",up_Irr!BJ26="."),up_dir!AM26/((1/1000)*(up_Irr!AK26)),IF(AND(up_Irr!L26&lt;&gt;".",up_Irr!AK26=".",up_Irr!BJ26="."),up_dir!AM26/((1/1000)*(up_Irr!L26)),IF(AND(up_Irr!L26=".",up_Irr!AK26=".",up_Irr!BJ26="."),up_dir!AM26*1000)))))))),".")</f>
        <v>6.5773651144152131E-4</v>
      </c>
      <c r="BN26" s="70">
        <f>IFERROR(IF(AND(up_Irr!M26&lt;&gt;".",up_Irr!AL26&lt;&gt;".",up_Irr!BK26&lt;&gt;"."),up_dir!AN26/((1/1000)*(up_Irr!M26+up_Irr!AL26+up_Irr!BK26)),IF(AND(up_Irr!M26&lt;&gt;".",up_Irr!AL26&lt;&gt;".",up_Irr!BK26="."),up_dir!AN26/((1/1000)*(up_Irr!M26+up_Irr!AL26)),IF(AND(up_Irr!M26&lt;&gt;".",up_Irr!AL26=".",up_Irr!BK26&lt;&gt;"."),up_dir!AN26/((1/1000)*(up_Irr!M26+up_Irr!BK26)),IF(AND(up_Irr!M26=".",up_Irr!AL26&lt;&gt;".",up_Irr!BK26&lt;&gt;"."),up_dir!AN26/((1/1000)*(up_Irr!AL26+up_Irr!BK26)),IF(AND(up_Irr!M26=".",up_Irr!AL26=".",up_Irr!BK26&lt;&gt;"."),up_dir!AN26/((1/1000)*(up_Irr!BK26)),IF(AND(up_Irr!M26=".",up_Irr!AL26&lt;&gt;".",up_Irr!BK26="."),up_dir!AN26/((1/1000)*(up_Irr!AL26)),IF(AND(up_Irr!M26&lt;&gt;".",up_Irr!AL26=".",up_Irr!BK26="."),up_dir!AN26/((1/1000)*(up_Irr!M26)),IF(AND(up_Irr!M26=".",up_Irr!AL26=".",up_Irr!BK26="."),up_dir!AN26*1000)))))))),".")</f>
        <v>6.5773651144152131E-4</v>
      </c>
      <c r="BO26" s="70">
        <f>IFERROR(IF(AND(up_Irr!N26&lt;&gt;".",up_Irr!AM26&lt;&gt;".",up_Irr!BL26&lt;&gt;"."),up_dir!AO26/((1/1000)*(up_Irr!N26+up_Irr!AM26+up_Irr!BL26)),IF(AND(up_Irr!N26&lt;&gt;".",up_Irr!AM26&lt;&gt;".",up_Irr!BL26="."),up_dir!AO26/((1/1000)*(up_Irr!N26+up_Irr!AM26)),IF(AND(up_Irr!N26&lt;&gt;".",up_Irr!AM26=".",up_Irr!BL26&lt;&gt;"."),up_dir!AO26/((1/1000)*(up_Irr!N26+up_Irr!BL26)),IF(AND(up_Irr!N26=".",up_Irr!AM26&lt;&gt;".",up_Irr!BL26&lt;&gt;"."),up_dir!AO26/((1/1000)*(up_Irr!AM26+up_Irr!BL26)),IF(AND(up_Irr!N26=".",up_Irr!AM26=".",up_Irr!BL26&lt;&gt;"."),up_dir!AO26/((1/1000)*(up_Irr!BL26)),IF(AND(up_Irr!N26=".",up_Irr!AM26&lt;&gt;".",up_Irr!BL26="."),up_dir!AO26/((1/1000)*(up_Irr!AM26)),IF(AND(up_Irr!N26&lt;&gt;".",up_Irr!AM26=".",up_Irr!BL26="."),up_dir!AO26/((1/1000)*(up_Irr!N26)),IF(AND(up_Irr!N26=".",up_Irr!AM26=".",up_Irr!BL26="."),up_dir!AO26*1000)))))))),".")</f>
        <v>6.5773651144152131E-4</v>
      </c>
      <c r="BP26" s="70">
        <f>IFERROR(IF(AND(up_Irr!O26&lt;&gt;".",up_Irr!AN26&lt;&gt;".",up_Irr!BM26&lt;&gt;"."),up_dir!AP26/((1/1000)*(up_Irr!O26+up_Irr!AN26+up_Irr!BM26)),IF(AND(up_Irr!O26&lt;&gt;".",up_Irr!AN26&lt;&gt;".",up_Irr!BM26="."),up_dir!AP26/((1/1000)*(up_Irr!O26+up_Irr!AN26)),IF(AND(up_Irr!O26&lt;&gt;".",up_Irr!AN26=".",up_Irr!BM26&lt;&gt;"."),up_dir!AP26/((1/1000)*(up_Irr!O26+up_Irr!BM26)),IF(AND(up_Irr!O26=".",up_Irr!AN26&lt;&gt;".",up_Irr!BM26&lt;&gt;"."),up_dir!AP26/((1/1000)*(up_Irr!AN26+up_Irr!BM26)),IF(AND(up_Irr!O26=".",up_Irr!AN26=".",up_Irr!BM26&lt;&gt;"."),up_dir!AP26/((1/1000)*(up_Irr!BM26)),IF(AND(up_Irr!O26=".",up_Irr!AN26&lt;&gt;".",up_Irr!BM26="."),up_dir!AP26/((1/1000)*(up_Irr!AN26)),IF(AND(up_Irr!O26&lt;&gt;".",up_Irr!AN26=".",up_Irr!BM26="."),up_dir!AP26/((1/1000)*(up_Irr!O26)),IF(AND(up_Irr!O26=".",up_Irr!AN26=".",up_Irr!BM26="."),up_dir!AP26*1000)))))))),".")</f>
        <v>6.5773651144152131E-4</v>
      </c>
      <c r="BQ26" s="70">
        <f>IFERROR(IF(AND(up_Irr!P26&lt;&gt;".",up_Irr!AO26&lt;&gt;".",up_Irr!BN26&lt;&gt;"."),up_dir!AQ26/((1/1000)*(up_Irr!P26+up_Irr!AO26+up_Irr!BN26)),IF(AND(up_Irr!P26&lt;&gt;".",up_Irr!AO26&lt;&gt;".",up_Irr!BN26="."),up_dir!AQ26/((1/1000)*(up_Irr!P26+up_Irr!AO26)),IF(AND(up_Irr!P26&lt;&gt;".",up_Irr!AO26=".",up_Irr!BN26&lt;&gt;"."),up_dir!AQ26/((1/1000)*(up_Irr!P26+up_Irr!BN26)),IF(AND(up_Irr!P26=".",up_Irr!AO26&lt;&gt;".",up_Irr!BN26&lt;&gt;"."),up_dir!AQ26/((1/1000)*(up_Irr!AO26+up_Irr!BN26)),IF(AND(up_Irr!P26=".",up_Irr!AO26=".",up_Irr!BN26&lt;&gt;"."),up_dir!AQ26/((1/1000)*(up_Irr!BN26)),IF(AND(up_Irr!P26=".",up_Irr!AO26&lt;&gt;".",up_Irr!BN26="."),up_dir!AQ26/((1/1000)*(up_Irr!AO26)),IF(AND(up_Irr!P26&lt;&gt;".",up_Irr!AO26=".",up_Irr!BN26="."),up_dir!AQ26/((1/1000)*(up_Irr!P26)),IF(AND(up_Irr!P26=".",up_Irr!AO26=".",up_Irr!BN26="."),up_dir!AQ26*1000)))))))),".")</f>
        <v>6.5773651144152131E-4</v>
      </c>
      <c r="BR26" s="70">
        <f>IFERROR(IF(AND(up_Irr!Q26&lt;&gt;".",up_Irr!AP26&lt;&gt;".",up_Irr!BO26&lt;&gt;"."),up_dir!AR26/((1/1000)*(up_Irr!Q26+up_Irr!AP26+up_Irr!BO26)),IF(AND(up_Irr!Q26&lt;&gt;".",up_Irr!AP26&lt;&gt;".",up_Irr!BO26="."),up_dir!AR26/((1/1000)*(up_Irr!Q26+up_Irr!AP26)),IF(AND(up_Irr!Q26&lt;&gt;".",up_Irr!AP26=".",up_Irr!BO26&lt;&gt;"."),up_dir!AR26/((1/1000)*(up_Irr!Q26+up_Irr!BO26)),IF(AND(up_Irr!Q26=".",up_Irr!AP26&lt;&gt;".",up_Irr!BO26&lt;&gt;"."),up_dir!AR26/((1/1000)*(up_Irr!AP26+up_Irr!BO26)),IF(AND(up_Irr!Q26=".",up_Irr!AP26=".",up_Irr!BO26&lt;&gt;"."),up_dir!AR26/((1/1000)*(up_Irr!BO26)),IF(AND(up_Irr!Q26=".",up_Irr!AP26&lt;&gt;".",up_Irr!BO26="."),up_dir!AR26/((1/1000)*(up_Irr!AP26)),IF(AND(up_Irr!Q26&lt;&gt;".",up_Irr!AP26=".",up_Irr!BO26="."),up_dir!AR26/((1/1000)*(up_Irr!Q26)),IF(AND(up_Irr!Q26=".",up_Irr!AP26=".",up_Irr!BO26="."),up_dir!AR26*1000)))))))),".")</f>
        <v>6.5773651144152131E-4</v>
      </c>
      <c r="BS26" s="70">
        <f>IFERROR(IF(AND(up_Irr!R26&lt;&gt;".",up_Irr!AQ26&lt;&gt;".",up_Irr!BP26&lt;&gt;"."),up_dir!AS26/((1/1000)*(up_Irr!R26+up_Irr!AQ26+up_Irr!BP26)),IF(AND(up_Irr!R26&lt;&gt;".",up_Irr!AQ26&lt;&gt;".",up_Irr!BP26="."),up_dir!AS26/((1/1000)*(up_Irr!R26+up_Irr!AQ26)),IF(AND(up_Irr!R26&lt;&gt;".",up_Irr!AQ26=".",up_Irr!BP26&lt;&gt;"."),up_dir!AS26/((1/1000)*(up_Irr!R26+up_Irr!BP26)),IF(AND(up_Irr!R26=".",up_Irr!AQ26&lt;&gt;".",up_Irr!BP26&lt;&gt;"."),up_dir!AS26/((1/1000)*(up_Irr!AQ26+up_Irr!BP26)),IF(AND(up_Irr!R26=".",up_Irr!AQ26=".",up_Irr!BP26&lt;&gt;"."),up_dir!AS26/((1/1000)*(up_Irr!BP26)),IF(AND(up_Irr!R26=".",up_Irr!AQ26&lt;&gt;".",up_Irr!BP26="."),up_dir!AS26/((1/1000)*(up_Irr!AQ26)),IF(AND(up_Irr!R26&lt;&gt;".",up_Irr!AQ26=".",up_Irr!BP26="."),up_dir!AS26/((1/1000)*(up_Irr!R26)),IF(AND(up_Irr!R26=".",up_Irr!AQ26=".",up_Irr!BP26="."),up_dir!AS26*1000)))))))),".")</f>
        <v>6.5773651144152131E-4</v>
      </c>
      <c r="BT26" s="70">
        <f>IFERROR(IF(AND(up_Irr!S26&lt;&gt;".",up_Irr!AR26&lt;&gt;".",up_Irr!BQ26&lt;&gt;"."),up_dir!AT26/((1/1000)*(up_Irr!S26+up_Irr!AR26+up_Irr!BQ26)),IF(AND(up_Irr!S26&lt;&gt;".",up_Irr!AR26&lt;&gt;".",up_Irr!BQ26="."),up_dir!AT26/((1/1000)*(up_Irr!S26+up_Irr!AR26)),IF(AND(up_Irr!S26&lt;&gt;".",up_Irr!AR26=".",up_Irr!BQ26&lt;&gt;"."),up_dir!AT26/((1/1000)*(up_Irr!S26+up_Irr!BQ26)),IF(AND(up_Irr!S26=".",up_Irr!AR26&lt;&gt;".",up_Irr!BQ26&lt;&gt;"."),up_dir!AT26/((1/1000)*(up_Irr!AR26+up_Irr!BQ26)),IF(AND(up_Irr!S26=".",up_Irr!AR26=".",up_Irr!BQ26&lt;&gt;"."),up_dir!AT26/((1/1000)*(up_Irr!BQ26)),IF(AND(up_Irr!S26=".",up_Irr!AR26&lt;&gt;".",up_Irr!BQ26="."),up_dir!AT26/((1/1000)*(up_Irr!AR26)),IF(AND(up_Irr!S26&lt;&gt;".",up_Irr!AR26=".",up_Irr!BQ26="."),up_dir!AT26/((1/1000)*(up_Irr!S26)),IF(AND(up_Irr!S26=".",up_Irr!AR26=".",up_Irr!BQ26="."),up_dir!AT26*1000)))))))),".")</f>
        <v>6.5773651144152131E-4</v>
      </c>
      <c r="BU26" s="70">
        <f>IFERROR(IF(AND(up_Irr!T26&lt;&gt;".",up_Irr!AS26&lt;&gt;".",up_Irr!BR26&lt;&gt;"."),up_dir!AU26/((1/1000)*(up_Irr!T26+up_Irr!AS26+up_Irr!BR26)),IF(AND(up_Irr!T26&lt;&gt;".",up_Irr!AS26&lt;&gt;".",up_Irr!BR26="."),up_dir!AU26/((1/1000)*(up_Irr!T26+up_Irr!AS26)),IF(AND(up_Irr!T26&lt;&gt;".",up_Irr!AS26=".",up_Irr!BR26&lt;&gt;"."),up_dir!AU26/((1/1000)*(up_Irr!T26+up_Irr!BR26)),IF(AND(up_Irr!T26=".",up_Irr!AS26&lt;&gt;".",up_Irr!BR26&lt;&gt;"."),up_dir!AU26/((1/1000)*(up_Irr!AS26+up_Irr!BR26)),IF(AND(up_Irr!T26=".",up_Irr!AS26=".",up_Irr!BR26&lt;&gt;"."),up_dir!AU26/((1/1000)*(up_Irr!BR26)),IF(AND(up_Irr!T26=".",up_Irr!AS26&lt;&gt;".",up_Irr!BR26="."),up_dir!AU26/((1/1000)*(up_Irr!AS26)),IF(AND(up_Irr!T26&lt;&gt;".",up_Irr!AS26=".",up_Irr!BR26="."),up_dir!AU26/((1/1000)*(up_Irr!T26)),IF(AND(up_Irr!T26=".",up_Irr!AS26=".",up_Irr!BR26="."),up_dir!AU26*1000)))))))),".")</f>
        <v>6.5773651144152131E-4</v>
      </c>
      <c r="BV26" s="70">
        <f>IFERROR(IF(AND(up_Irr!U26&lt;&gt;".",up_Irr!AT26&lt;&gt;".",up_Irr!BS26&lt;&gt;"."),up_dir!AV26/((1/1000)*(up_Irr!U26+up_Irr!AT26+up_Irr!BS26)),IF(AND(up_Irr!U26&lt;&gt;".",up_Irr!AT26&lt;&gt;".",up_Irr!BS26="."),up_dir!AV26/((1/1000)*(up_Irr!U26+up_Irr!AT26)),IF(AND(up_Irr!U26&lt;&gt;".",up_Irr!AT26=".",up_Irr!BS26&lt;&gt;"."),up_dir!AV26/((1/1000)*(up_Irr!U26+up_Irr!BS26)),IF(AND(up_Irr!U26=".",up_Irr!AT26&lt;&gt;".",up_Irr!BS26&lt;&gt;"."),up_dir!AV26/((1/1000)*(up_Irr!AT26+up_Irr!BS26)),IF(AND(up_Irr!U26=".",up_Irr!AT26=".",up_Irr!BS26&lt;&gt;"."),up_dir!AV26/((1/1000)*(up_Irr!BS26)),IF(AND(up_Irr!U26=".",up_Irr!AT26&lt;&gt;".",up_Irr!BS26="."),up_dir!AV26/((1/1000)*(up_Irr!AT26)),IF(AND(up_Irr!U26&lt;&gt;".",up_Irr!AT26=".",up_Irr!BS26="."),up_dir!AV26/((1/1000)*(up_Irr!U26)),IF(AND(up_Irr!U26=".",up_Irr!AT26=".",up_Irr!BS26="."),up_dir!AV26*1000)))))))),".")</f>
        <v>6.5773651144152131E-4</v>
      </c>
      <c r="BW26" s="70">
        <f>IFERROR(IF(AND(up_Irr!V26&lt;&gt;".",up_Irr!AU26&lt;&gt;".",up_Irr!BT26&lt;&gt;"."),up_dir!AW26/((1/1000)*(up_Irr!V26+up_Irr!AU26+up_Irr!BT26)),IF(AND(up_Irr!V26&lt;&gt;".",up_Irr!AU26&lt;&gt;".",up_Irr!BT26="."),up_dir!AW26/((1/1000)*(up_Irr!V26+up_Irr!AU26)),IF(AND(up_Irr!V26&lt;&gt;".",up_Irr!AU26=".",up_Irr!BT26&lt;&gt;"."),up_dir!AW26/((1/1000)*(up_Irr!V26+up_Irr!BT26)),IF(AND(up_Irr!V26=".",up_Irr!AU26&lt;&gt;".",up_Irr!BT26&lt;&gt;"."),up_dir!AW26/((1/1000)*(up_Irr!AU26+up_Irr!BT26)),IF(AND(up_Irr!V26=".",up_Irr!AU26=".",up_Irr!BT26&lt;&gt;"."),up_dir!AW26/((1/1000)*(up_Irr!BT26)),IF(AND(up_Irr!V26=".",up_Irr!AU26&lt;&gt;".",up_Irr!BT26="."),up_dir!AW26/((1/1000)*(up_Irr!AU26)),IF(AND(up_Irr!V26&lt;&gt;".",up_Irr!AU26=".",up_Irr!BT26="."),up_dir!AW26/((1/1000)*(up_Irr!V26)),IF(AND(up_Irr!V26=".",up_Irr!AU26=".",up_Irr!BT26="."),up_dir!AW26*1000)))))))),".")</f>
        <v>6.5773651144152131E-4</v>
      </c>
      <c r="BX26" s="70">
        <f>IFERROR(IF(AND(up_Irr!W26&lt;&gt;".",up_Irr!AV26&lt;&gt;".",up_Irr!BU26&lt;&gt;"."),up_dir!AX26/((1/1000)*(up_Irr!W26+up_Irr!AV26+up_Irr!BU26)),IF(AND(up_Irr!W26&lt;&gt;".",up_Irr!AV26&lt;&gt;".",up_Irr!BU26="."),up_dir!AX26/((1/1000)*(up_Irr!W26+up_Irr!AV26)),IF(AND(up_Irr!W26&lt;&gt;".",up_Irr!AV26=".",up_Irr!BU26&lt;&gt;"."),up_dir!AX26/((1/1000)*(up_Irr!W26+up_Irr!BU26)),IF(AND(up_Irr!W26=".",up_Irr!AV26&lt;&gt;".",up_Irr!BU26&lt;&gt;"."),up_dir!AX26/((1/1000)*(up_Irr!AV26+up_Irr!BU26)),IF(AND(up_Irr!W26=".",up_Irr!AV26=".",up_Irr!BU26&lt;&gt;"."),up_dir!AX26/((1/1000)*(up_Irr!BU26)),IF(AND(up_Irr!W26=".",up_Irr!AV26&lt;&gt;".",up_Irr!BU26="."),up_dir!AX26/((1/1000)*(up_Irr!AV26)),IF(AND(up_Irr!W26&lt;&gt;".",up_Irr!AV26=".",up_Irr!BU26="."),up_dir!AX26/((1/1000)*(up_Irr!W26)),IF(AND(up_Irr!W26=".",up_Irr!AV26=".",up_Irr!BU26="."),up_dir!AX26*1000)))))))),".")</f>
        <v>6.5773651144152131E-4</v>
      </c>
      <c r="BY26" s="70">
        <f>IFERROR(IF(AND(up_Irr!X26&lt;&gt;".",up_Irr!AW26&lt;&gt;".",up_Irr!BV26&lt;&gt;"."),up_dir!AY26/((1/1000)*(up_Irr!X26+up_Irr!AW26+up_Irr!BV26)),IF(AND(up_Irr!X26&lt;&gt;".",up_Irr!AW26&lt;&gt;".",up_Irr!BV26="."),up_dir!AY26/((1/1000)*(up_Irr!X26+up_Irr!AW26)),IF(AND(up_Irr!X26&lt;&gt;".",up_Irr!AW26=".",up_Irr!BV26&lt;&gt;"."),up_dir!AY26/((1/1000)*(up_Irr!X26+up_Irr!BV26)),IF(AND(up_Irr!X26=".",up_Irr!AW26&lt;&gt;".",up_Irr!BV26&lt;&gt;"."),up_dir!AY26/((1/1000)*(up_Irr!AW26+up_Irr!BV26)),IF(AND(up_Irr!X26=".",up_Irr!AW26=".",up_Irr!BV26&lt;&gt;"."),up_dir!AY26/((1/1000)*(up_Irr!BV26)),IF(AND(up_Irr!X26=".",up_Irr!AW26&lt;&gt;".",up_Irr!BV26="."),up_dir!AY26/((1/1000)*(up_Irr!AW26)),IF(AND(up_Irr!X26&lt;&gt;".",up_Irr!AW26=".",up_Irr!BV26="."),up_dir!AY26/((1/1000)*(up_Irr!X26)),IF(AND(up_Irr!X26=".",up_Irr!AW26=".",up_Irr!BV26="."),up_dir!AY26*1000)))))))),".")</f>
        <v>6.5773651144152131E-4</v>
      </c>
      <c r="BZ26" s="70">
        <f>IFERROR(IF(AND(up_Irr!Y26&lt;&gt;".",up_Irr!AX26&lt;&gt;".",up_Irr!BW26&lt;&gt;"."),up_dir!AZ26/((1/1000)*(up_Irr!Y26+up_Irr!AX26+up_Irr!BW26)),IF(AND(up_Irr!Y26&lt;&gt;".",up_Irr!AX26&lt;&gt;".",up_Irr!BW26="."),up_dir!AZ26/((1/1000)*(up_Irr!Y26+up_Irr!AX26)),IF(AND(up_Irr!Y26&lt;&gt;".",up_Irr!AX26=".",up_Irr!BW26&lt;&gt;"."),up_dir!AZ26/((1/1000)*(up_Irr!Y26+up_Irr!BW26)),IF(AND(up_Irr!Y26=".",up_Irr!AX26&lt;&gt;".",up_Irr!BW26&lt;&gt;"."),up_dir!AZ26/((1/1000)*(up_Irr!AX26+up_Irr!BW26)),IF(AND(up_Irr!Y26=".",up_Irr!AX26=".",up_Irr!BW26&lt;&gt;"."),up_dir!AZ26/((1/1000)*(up_Irr!BW26)),IF(AND(up_Irr!Y26=".",up_Irr!AX26&lt;&gt;".",up_Irr!BW26="."),up_dir!AZ26/((1/1000)*(up_Irr!AX26)),IF(AND(up_Irr!Y26&lt;&gt;".",up_Irr!AX26=".",up_Irr!BW26="."),up_dir!AZ26/((1/1000)*(up_Irr!Y26)),IF(AND(up_Irr!Y26=".",up_Irr!AX26=".",up_Irr!BW26="."),up_dir!AZ26*1000)))))))),".")</f>
        <v>6.5773651144152131E-4</v>
      </c>
      <c r="CA26" s="70">
        <f>IFERROR(IF(AND(up_Irr!Z26&lt;&gt;".",up_Irr!AY26&lt;&gt;".",up_Irr!BX26&lt;&gt;"."),up_dir!BA26/((1/1000)*(up_Irr!Z26+up_Irr!AY26+up_Irr!BX26)),IF(AND(up_Irr!Z26&lt;&gt;".",up_Irr!AY26&lt;&gt;".",up_Irr!BX26="."),up_dir!BA26/((1/1000)*(up_Irr!Z26+up_Irr!AY26)),IF(AND(up_Irr!Z26&lt;&gt;".",up_Irr!AY26=".",up_Irr!BX26&lt;&gt;"."),up_dir!BA26/((1/1000)*(up_Irr!Z26+up_Irr!BX26)),IF(AND(up_Irr!Z26=".",up_Irr!AY26&lt;&gt;".",up_Irr!BX26&lt;&gt;"."),up_dir!BA26/((1/1000)*(up_Irr!AY26+up_Irr!BX26)),IF(AND(up_Irr!Z26=".",up_Irr!AY26=".",up_Irr!BX26&lt;&gt;"."),up_dir!BA26/((1/1000)*(up_Irr!BX26)),IF(AND(up_Irr!Z26=".",up_Irr!AY26&lt;&gt;".",up_Irr!BX26="."),up_dir!BA26/((1/1000)*(up_Irr!AY26)),IF(AND(up_Irr!Z26&lt;&gt;".",up_Irr!AY26=".",up_Irr!BX26="."),up_dir!BA26/((1/1000)*(up_Irr!Z26)),IF(AND(up_Irr!Z26=".",up_Irr!AY26=".",up_Irr!BX26="."),up_dir!BA26*1000)))))))),".")</f>
        <v>6.5773651144152131E-4</v>
      </c>
      <c r="CB26" s="70">
        <f>IFERROR(IF(AND(up_Irr!AA26&lt;&gt;".",up_Irr!AZ26&lt;&gt;".",up_Irr!BY26&lt;&gt;"."),up_dir!BB26/((1/1000)*(up_Irr!AA26+up_Irr!AZ26+up_Irr!BY26)),IF(AND(up_Irr!AA26&lt;&gt;".",up_Irr!AZ26&lt;&gt;".",up_Irr!BY26="."),up_dir!BB26/((1/1000)*(up_Irr!AA26+up_Irr!AZ26)),IF(AND(up_Irr!AA26&lt;&gt;".",up_Irr!AZ26=".",up_Irr!BY26&lt;&gt;"."),up_dir!BB26/((1/1000)*(up_Irr!AA26+up_Irr!BY26)),IF(AND(up_Irr!AA26=".",up_Irr!AZ26&lt;&gt;".",up_Irr!BY26&lt;&gt;"."),up_dir!BB26/((1/1000)*(up_Irr!AZ26+up_Irr!BY26)),IF(AND(up_Irr!AA26=".",up_Irr!AZ26=".",up_Irr!BY26&lt;&gt;"."),up_dir!BB26/((1/1000)*(up_Irr!BY26)),IF(AND(up_Irr!AA26=".",up_Irr!AZ26&lt;&gt;".",up_Irr!BY26="."),up_dir!BB26/((1/1000)*(up_Irr!AZ26)),IF(AND(up_Irr!AA26&lt;&gt;".",up_Irr!AZ26=".",up_Irr!BY26="."),up_dir!BB26/((1/1000)*(up_Irr!AA26)),IF(AND(up_Irr!AA26=".",up_Irr!AZ26=".",up_Irr!BY26="."),up_dir!BB26*1000)))))))),".")</f>
        <v>6.5773651144152131E-4</v>
      </c>
      <c r="CC26" s="87">
        <f t="shared" si="3"/>
        <v>30407.313038114935</v>
      </c>
      <c r="CD26" s="87">
        <f>IFERROR(s_C*s_IFAP_far_adj*s_CF_apple*(1/1000)*(up_Irr!C26+up_Irr!AB26+up_Irr!BA26),".")</f>
        <v>7601.8282595287337</v>
      </c>
      <c r="CE26" s="87">
        <f>IFERROR(s_C*s_IFAS_far_adj*s_CF_asparagus*(1/1000)*(up_Irr!D26+up_Irr!AC26+up_Irr!BB26),".")</f>
        <v>7601.8282595287337</v>
      </c>
      <c r="CF26" s="87">
        <f>IFERROR(s_C*s_IFBT_far_adj*s_CF_beet*(1/1000)*(up_Irr!E26+up_Irr!AD26+up_Irr!BC26),".")</f>
        <v>7601.8282595287337</v>
      </c>
      <c r="CG26" s="87">
        <f>IFERROR(s_C*s_IFBE_far_adj*s_CF_berries*(1/1000)*(up_Irr!F26+up_Irr!AE26+up_Irr!BD26),".")</f>
        <v>7601.8282595287337</v>
      </c>
      <c r="CH26" s="87">
        <f>IFERROR(s_C*s_IFBR_far_adj*s_CF_broccoli*(1/1000)*(up_Irr!G26+up_Irr!AF26+up_Irr!BE26),".")</f>
        <v>7601.8282595287337</v>
      </c>
      <c r="CI26" s="87">
        <f>IFERROR(s_C*s_IFCB_far_adj*s_CF_cabbage*(1/1000)*(up_Irr!H26+up_Irr!AG26+up_Irr!BF26),".")</f>
        <v>7601.8282595287337</v>
      </c>
      <c r="CJ26" s="87">
        <f>IFERROR(s_C*s_IFCR_far_adj*s_CF_carrot*(1/1000)*(up_Irr!I26+up_Irr!AH26+up_Irr!BG26),".")</f>
        <v>7601.8282595287337</v>
      </c>
      <c r="CK26" s="87">
        <f>IFERROR(s_C*s_IFCI_far_adj*s_CF_citrus*(1/1000)*(up_Irr!J26+up_Irr!AI26+up_Irr!BH26),".")</f>
        <v>7601.8282595287337</v>
      </c>
      <c r="CL26" s="87">
        <f>IFERROR(s_C*s_IFCO_far_adj*s_CF_corn*(1/1000)*(up_Irr!K26+up_Irr!AJ26+up_Irr!BI26),".")</f>
        <v>7601.8282595287337</v>
      </c>
      <c r="CM26" s="87">
        <f>IFERROR(s_C*s_IFCU_far_adj*s_CF_cucumber*(1/1000)*(up_Irr!L26+up_Irr!AK26+up_Irr!BJ26),".")</f>
        <v>7601.8282595287337</v>
      </c>
      <c r="CN26" s="87">
        <f>IFERROR(s_C*s_IFLE_far_adj*s_CF_lettuce*(1/1000)*(up_Irr!M26+up_Irr!AL26+up_Irr!BK26),".")</f>
        <v>7601.8282595287337</v>
      </c>
      <c r="CO26" s="87">
        <f>IFERROR(s_C*s_IFLI_far_adj*s_CF_lima_bean*(1/1000)*(up_Irr!N26+up_Irr!AM26+up_Irr!BL26),".")</f>
        <v>7601.8282595287337</v>
      </c>
      <c r="CP26" s="87">
        <f>IFERROR(s_C*s_IFOK_far_adj*s_CF_okra*(1/1000)*(up_Irr!O26+up_Irr!AN26+up_Irr!BM26),".")</f>
        <v>7601.8282595287337</v>
      </c>
      <c r="CQ26" s="87">
        <f>IFERROR(s_C*s_IFON_far_adj*s_CF_onion*(1/1000)*(up_Irr!P26+up_Irr!AO26+up_Irr!BN26),".")</f>
        <v>7601.8282595287337</v>
      </c>
      <c r="CR26" s="87">
        <f>IFERROR(s_C*s_IFPC_far_adj*s_CF_peach*(1/1000)*(up_Irr!Q26+up_Irr!AP26+up_Irr!BO26),".")</f>
        <v>7601.8282595287337</v>
      </c>
      <c r="CS26" s="87">
        <f>IFERROR(s_C*s_IFPR_far_adj*s_CF_pear*(1/1000)*(up_Irr!R26+up_Irr!AQ26+up_Irr!BP26),".")</f>
        <v>7601.8282595287337</v>
      </c>
      <c r="CT26" s="87">
        <f>IFERROR(s_C*s_IFPE_far_adj*s_CF_peas*(1/1000)*(up_Irr!S26+up_Irr!AR26+up_Irr!BQ26),".")</f>
        <v>7601.8282595287337</v>
      </c>
      <c r="CU26" s="87">
        <f>IFERROR(s_C*s_IFPP_far_adj*s_CF_peppers*(1/1000)*(up_Irr!T26+up_Irr!AS26+up_Irr!BR26),".")</f>
        <v>7601.8282595287337</v>
      </c>
      <c r="CV26" s="87">
        <f>IFERROR(s_C*s_IFPT_far_adj*s_CF_potato*(1/1000)*(up_Irr!U26+up_Irr!AT26+up_Irr!BS26),".")</f>
        <v>7601.8282595287337</v>
      </c>
      <c r="CW26" s="87">
        <f>IFERROR(s_C*s_IFPU_far_adj*s_CF_pumpkin*(1/1000)*(up_Irr!V26+up_Irr!AU26+up_Irr!BT26),".")</f>
        <v>7601.8282595287337</v>
      </c>
      <c r="CX26" s="87">
        <f>IFERROR(s_C*s_IFSN_far_adj*s_CF_snap_bean*(1/1000)*(up_Irr!W26+up_Irr!AV26+up_Irr!BU26),".")</f>
        <v>7601.8282595287337</v>
      </c>
      <c r="CY26" s="87">
        <f>IFERROR(s_C*s_IFST_far_adj*s_CF_strawberry*(1/1000)*(up_Irr!X26+up_Irr!AW26+up_Irr!BV26),".")</f>
        <v>7601.8282595287337</v>
      </c>
      <c r="CZ26" s="87">
        <f>IFERROR(s_C*s_IFTO_far_adj*s_CF_tomato*(1/1000)*(up_Irr!Y26+up_Irr!AX26+up_Irr!BW26),".")</f>
        <v>7601.8282595287337</v>
      </c>
      <c r="DA26" s="87">
        <f>IFERROR(s_C*s_IFRI_far_adj*s_CF_rice*(1/1000)*(up_Irr!Z26+up_Irr!AY26+up_Irr!BX26),".")</f>
        <v>7601.8282595287337</v>
      </c>
      <c r="DB26" s="87">
        <f>IFERROR(s_C*s_IFCG_far_adj*s_CF_cereal*(1/1000)*(up_Irr!AA26+up_Irr!AZ26+up_Irr!BY26),".")</f>
        <v>7601.8282595287337</v>
      </c>
    </row>
    <row r="27" spans="1:106" ht="15" customHeight="1" x14ac:dyDescent="0.25">
      <c r="A27" s="86" t="s">
        <v>25</v>
      </c>
      <c r="B27" s="84" t="s">
        <v>1057</v>
      </c>
      <c r="C27" s="15">
        <f t="shared" si="0"/>
        <v>1.6443412786038033E-4</v>
      </c>
      <c r="D27" s="70">
        <f>IFERROR(IF(AND(up_Irr!C27&lt;&gt;".",up_Irr!AB27&lt;&gt;".",up_Irr!BA27&lt;&gt;"."),up_dir!D27/((1/1000)*(up_Irr!C27+up_Irr!AB27+up_Irr!BA27)),IF(AND(up_Irr!C27&lt;&gt;".",up_Irr!AB27&lt;&gt;".",up_Irr!BA27="."),up_dir!D27/((1/1000)*(up_Irr!C27+up_Irr!AB27)),IF(AND(up_Irr!C27&lt;&gt;".",up_Irr!AB27=".",up_Irr!BA27&lt;&gt;"."),up_dir!D27/((1/1000)*(up_Irr!C27+up_Irr!BA27)),IF(AND(up_Irr!C27=".",up_Irr!AB27&lt;&gt;".",up_Irr!BA27&lt;&gt;"."),up_dir!D27/((1/1000)*(up_Irr!AB27+up_Irr!BA27)),IF(AND(up_Irr!C27=".",up_Irr!AB27=".",up_Irr!BA27&lt;&gt;"."),up_dir!D27/((1/1000)*(up_Irr!BA27)),IF(AND(up_Irr!C27=".",up_Irr!AB27&lt;&gt;".",up_Irr!BA27="."),up_dir!D27/((1/1000)*(up_Irr!AB27)),IF(AND(up_Irr!C27&lt;&gt;".",up_Irr!AB27=".",up_Irr!BA27="."),up_dir!D27/((1/1000)*(up_Irr!C27)),IF(AND(up_Irr!C27=".",up_Irr!AB27=".",up_Irr!BA27="."),up_dir!D27*1000)))))))),".")</f>
        <v>6.5773651144152131E-4</v>
      </c>
      <c r="E27" s="70">
        <f>IFERROR(IF(AND(up_Irr!D27&lt;&gt;".",up_Irr!AC27&lt;&gt;".",up_Irr!BB27&lt;&gt;"."),up_dir!E27/((1/1000)*(up_Irr!D27+up_Irr!AC27+up_Irr!BB27)),IF(AND(up_Irr!D27&lt;&gt;".",up_Irr!AC27&lt;&gt;".",up_Irr!BB27="."),up_dir!E27/((1/1000)*(up_Irr!D27+up_Irr!AC27)),IF(AND(up_Irr!D27&lt;&gt;".",up_Irr!AC27=".",up_Irr!BB27&lt;&gt;"."),up_dir!E27/((1/1000)*(up_Irr!D27+up_Irr!BB27)),IF(AND(up_Irr!D27=".",up_Irr!AC27&lt;&gt;".",up_Irr!BB27&lt;&gt;"."),up_dir!E27/((1/1000)*(up_Irr!AC27+up_Irr!BB27)),IF(AND(up_Irr!D27=".",up_Irr!AC27=".",up_Irr!BB27&lt;&gt;"."),up_dir!E27/((1/1000)*(up_Irr!BB27)),IF(AND(up_Irr!D27=".",up_Irr!AC27&lt;&gt;".",up_Irr!BB27="."),up_dir!E27/((1/1000)*(up_Irr!AC27)),IF(AND(up_Irr!D27&lt;&gt;".",up_Irr!AC27=".",up_Irr!BB27="."),up_dir!E27/((1/1000)*(up_Irr!D27)),IF(AND(up_Irr!D27=".",up_Irr!AC27=".",up_Irr!BB27="."),up_dir!E27*1000)))))))),".")</f>
        <v>6.5773651144152131E-4</v>
      </c>
      <c r="F27" s="70">
        <f>IFERROR(IF(AND(up_Irr!E27&lt;&gt;".",up_Irr!AD27&lt;&gt;".",up_Irr!BC27&lt;&gt;"."),up_dir!F27/((1/1000)*(up_Irr!E27+up_Irr!AD27+up_Irr!BC27)),IF(AND(up_Irr!E27&lt;&gt;".",up_Irr!AD27&lt;&gt;".",up_Irr!BC27="."),up_dir!F27/((1/1000)*(up_Irr!E27+up_Irr!AD27)),IF(AND(up_Irr!E27&lt;&gt;".",up_Irr!AD27=".",up_Irr!BC27&lt;&gt;"."),up_dir!F27/((1/1000)*(up_Irr!E27+up_Irr!BC27)),IF(AND(up_Irr!E27=".",up_Irr!AD27&lt;&gt;".",up_Irr!BC27&lt;&gt;"."),up_dir!F27/((1/1000)*(up_Irr!AD27+up_Irr!BC27)),IF(AND(up_Irr!E27=".",up_Irr!AD27=".",up_Irr!BC27&lt;&gt;"."),up_dir!F27/((1/1000)*(up_Irr!BC27)),IF(AND(up_Irr!E27=".",up_Irr!AD27&lt;&gt;".",up_Irr!BC27="."),up_dir!F27/((1/1000)*(up_Irr!AD27)),IF(AND(up_Irr!E27&lt;&gt;".",up_Irr!AD27=".",up_Irr!BC27="."),up_dir!F27/((1/1000)*(up_Irr!E27)),IF(AND(up_Irr!E27=".",up_Irr!AD27=".",up_Irr!BC27="."),up_dir!F27*1000)))))))),".")</f>
        <v>6.5773651144152131E-4</v>
      </c>
      <c r="G27" s="70">
        <f>IFERROR(IF(AND(up_Irr!F27&lt;&gt;".",up_Irr!AE27&lt;&gt;".",up_Irr!BD27&lt;&gt;"."),up_dir!G27/((1/1000)*(up_Irr!F27+up_Irr!AE27+up_Irr!BD27)),IF(AND(up_Irr!F27&lt;&gt;".",up_Irr!AE27&lt;&gt;".",up_Irr!BD27="."),up_dir!G27/((1/1000)*(up_Irr!F27+up_Irr!AE27)),IF(AND(up_Irr!F27&lt;&gt;".",up_Irr!AE27=".",up_Irr!BD27&lt;&gt;"."),up_dir!G27/((1/1000)*(up_Irr!F27+up_Irr!BD27)),IF(AND(up_Irr!F27=".",up_Irr!AE27&lt;&gt;".",up_Irr!BD27&lt;&gt;"."),up_dir!G27/((1/1000)*(up_Irr!AE27+up_Irr!BD27)),IF(AND(up_Irr!F27=".",up_Irr!AE27=".",up_Irr!BD27&lt;&gt;"."),up_dir!G27/((1/1000)*(up_Irr!BD27)),IF(AND(up_Irr!F27=".",up_Irr!AE27&lt;&gt;".",up_Irr!BD27="."),up_dir!G27/((1/1000)*(up_Irr!AE27)),IF(AND(up_Irr!F27&lt;&gt;".",up_Irr!AE27=".",up_Irr!BD27="."),up_dir!G27/((1/1000)*(up_Irr!F27)),IF(AND(up_Irr!F27=".",up_Irr!AE27=".",up_Irr!BD27="."),up_dir!G27*1000)))))))),".")</f>
        <v>6.5773651144152131E-4</v>
      </c>
      <c r="H27" s="70">
        <f>IFERROR(IF(AND(up_Irr!G27&lt;&gt;".",up_Irr!AF27&lt;&gt;".",up_Irr!BE27&lt;&gt;"."),up_dir!H27/((1/1000)*(up_Irr!G27+up_Irr!AF27+up_Irr!BE27)),IF(AND(up_Irr!G27&lt;&gt;".",up_Irr!AF27&lt;&gt;".",up_Irr!BE27="."),up_dir!H27/((1/1000)*(up_Irr!G27+up_Irr!AF27)),IF(AND(up_Irr!G27&lt;&gt;".",up_Irr!AF27=".",up_Irr!BE27&lt;&gt;"."),up_dir!H27/((1/1000)*(up_Irr!G27+up_Irr!BE27)),IF(AND(up_Irr!G27=".",up_Irr!AF27&lt;&gt;".",up_Irr!BE27&lt;&gt;"."),up_dir!H27/((1/1000)*(up_Irr!AF27+up_Irr!BE27)),IF(AND(up_Irr!G27=".",up_Irr!AF27=".",up_Irr!BE27&lt;&gt;"."),up_dir!H27/((1/1000)*(up_Irr!BE27)),IF(AND(up_Irr!G27=".",up_Irr!AF27&lt;&gt;".",up_Irr!BE27="."),up_dir!H27/((1/1000)*(up_Irr!AF27)),IF(AND(up_Irr!G27&lt;&gt;".",up_Irr!AF27=".",up_Irr!BE27="."),up_dir!H27/((1/1000)*(up_Irr!G27)),IF(AND(up_Irr!G27=".",up_Irr!AF27=".",up_Irr!BE27="."),up_dir!H27*1000)))))))),".")</f>
        <v>6.5773651144152131E-4</v>
      </c>
      <c r="I27" s="70">
        <f>IFERROR(IF(AND(up_Irr!H27&lt;&gt;".",up_Irr!AG27&lt;&gt;".",up_Irr!BF27&lt;&gt;"."),up_dir!I27/((1/1000)*(up_Irr!H27+up_Irr!AG27+up_Irr!BF27)),IF(AND(up_Irr!H27&lt;&gt;".",up_Irr!AG27&lt;&gt;".",up_Irr!BF27="."),up_dir!I27/((1/1000)*(up_Irr!H27+up_Irr!AG27)),IF(AND(up_Irr!H27&lt;&gt;".",up_Irr!AG27=".",up_Irr!BF27&lt;&gt;"."),up_dir!I27/((1/1000)*(up_Irr!H27+up_Irr!BF27)),IF(AND(up_Irr!H27=".",up_Irr!AG27&lt;&gt;".",up_Irr!BF27&lt;&gt;"."),up_dir!I27/((1/1000)*(up_Irr!AG27+up_Irr!BF27)),IF(AND(up_Irr!H27=".",up_Irr!AG27=".",up_Irr!BF27&lt;&gt;"."),up_dir!I27/((1/1000)*(up_Irr!BF27)),IF(AND(up_Irr!H27=".",up_Irr!AG27&lt;&gt;".",up_Irr!BF27="."),up_dir!I27/((1/1000)*(up_Irr!AG27)),IF(AND(up_Irr!H27&lt;&gt;".",up_Irr!AG27=".",up_Irr!BF27="."),up_dir!I27/((1/1000)*(up_Irr!H27)),IF(AND(up_Irr!H27=".",up_Irr!AG27=".",up_Irr!BF27="."),up_dir!I27*1000)))))))),".")</f>
        <v>6.5773651144152131E-4</v>
      </c>
      <c r="J27" s="70">
        <f>IFERROR(IF(AND(up_Irr!I27&lt;&gt;".",up_Irr!AH27&lt;&gt;".",up_Irr!BG27&lt;&gt;"."),up_dir!J27/((1/1000)*(up_Irr!I27+up_Irr!AH27+up_Irr!BG27)),IF(AND(up_Irr!I27&lt;&gt;".",up_Irr!AH27&lt;&gt;".",up_Irr!BG27="."),up_dir!J27/((1/1000)*(up_Irr!I27+up_Irr!AH27)),IF(AND(up_Irr!I27&lt;&gt;".",up_Irr!AH27=".",up_Irr!BG27&lt;&gt;"."),up_dir!J27/((1/1000)*(up_Irr!I27+up_Irr!BG27)),IF(AND(up_Irr!I27=".",up_Irr!AH27&lt;&gt;".",up_Irr!BG27&lt;&gt;"."),up_dir!J27/((1/1000)*(up_Irr!AH27+up_Irr!BG27)),IF(AND(up_Irr!I27=".",up_Irr!AH27=".",up_Irr!BG27&lt;&gt;"."),up_dir!J27/((1/1000)*(up_Irr!BG27)),IF(AND(up_Irr!I27=".",up_Irr!AH27&lt;&gt;".",up_Irr!BG27="."),up_dir!J27/((1/1000)*(up_Irr!AH27)),IF(AND(up_Irr!I27&lt;&gt;".",up_Irr!AH27=".",up_Irr!BG27="."),up_dir!J27/((1/1000)*(up_Irr!I27)),IF(AND(up_Irr!I27=".",up_Irr!AH27=".",up_Irr!BG27="."),up_dir!J27*1000)))))))),".")</f>
        <v>6.5773651144152131E-4</v>
      </c>
      <c r="K27" s="70">
        <f>IFERROR(IF(AND(up_Irr!J27&lt;&gt;".",up_Irr!AI27&lt;&gt;".",up_Irr!BH27&lt;&gt;"."),up_dir!K27/((1/1000)*(up_Irr!J27+up_Irr!AI27+up_Irr!BH27)),IF(AND(up_Irr!J27&lt;&gt;".",up_Irr!AI27&lt;&gt;".",up_Irr!BH27="."),up_dir!K27/((1/1000)*(up_Irr!J27+up_Irr!AI27)),IF(AND(up_Irr!J27&lt;&gt;".",up_Irr!AI27=".",up_Irr!BH27&lt;&gt;"."),up_dir!K27/((1/1000)*(up_Irr!J27+up_Irr!BH27)),IF(AND(up_Irr!J27=".",up_Irr!AI27&lt;&gt;".",up_Irr!BH27&lt;&gt;"."),up_dir!K27/((1/1000)*(up_Irr!AI27+up_Irr!BH27)),IF(AND(up_Irr!J27=".",up_Irr!AI27=".",up_Irr!BH27&lt;&gt;"."),up_dir!K27/((1/1000)*(up_Irr!BH27)),IF(AND(up_Irr!J27=".",up_Irr!AI27&lt;&gt;".",up_Irr!BH27="."),up_dir!K27/((1/1000)*(up_Irr!AI27)),IF(AND(up_Irr!J27&lt;&gt;".",up_Irr!AI27=".",up_Irr!BH27="."),up_dir!K27/((1/1000)*(up_Irr!J27)),IF(AND(up_Irr!J27=".",up_Irr!AI27=".",up_Irr!BH27="."),up_dir!K27*1000)))))))),".")</f>
        <v>6.5773651144152131E-4</v>
      </c>
      <c r="L27" s="70">
        <f>IFERROR(IF(AND(up_Irr!K27&lt;&gt;".",up_Irr!AJ27&lt;&gt;".",up_Irr!BI27&lt;&gt;"."),up_dir!L27/((1/1000)*(up_Irr!K27+up_Irr!AJ27+up_Irr!BI27)),IF(AND(up_Irr!K27&lt;&gt;".",up_Irr!AJ27&lt;&gt;".",up_Irr!BI27="."),up_dir!L27/((1/1000)*(up_Irr!K27+up_Irr!AJ27)),IF(AND(up_Irr!K27&lt;&gt;".",up_Irr!AJ27=".",up_Irr!BI27&lt;&gt;"."),up_dir!L27/((1/1000)*(up_Irr!K27+up_Irr!BI27)),IF(AND(up_Irr!K27=".",up_Irr!AJ27&lt;&gt;".",up_Irr!BI27&lt;&gt;"."),up_dir!L27/((1/1000)*(up_Irr!AJ27+up_Irr!BI27)),IF(AND(up_Irr!K27=".",up_Irr!AJ27=".",up_Irr!BI27&lt;&gt;"."),up_dir!L27/((1/1000)*(up_Irr!BI27)),IF(AND(up_Irr!K27=".",up_Irr!AJ27&lt;&gt;".",up_Irr!BI27="."),up_dir!L27/((1/1000)*(up_Irr!AJ27)),IF(AND(up_Irr!K27&lt;&gt;".",up_Irr!AJ27=".",up_Irr!BI27="."),up_dir!L27/((1/1000)*(up_Irr!K27)),IF(AND(up_Irr!K27=".",up_Irr!AJ27=".",up_Irr!BI27="."),up_dir!L27*1000)))))))),".")</f>
        <v>6.5773651144152131E-4</v>
      </c>
      <c r="M27" s="70">
        <f>IFERROR(IF(AND(up_Irr!L27&lt;&gt;".",up_Irr!AK27&lt;&gt;".",up_Irr!BJ27&lt;&gt;"."),up_dir!M27/((1/1000)*(up_Irr!L27+up_Irr!AK27+up_Irr!BJ27)),IF(AND(up_Irr!L27&lt;&gt;".",up_Irr!AK27&lt;&gt;".",up_Irr!BJ27="."),up_dir!M27/((1/1000)*(up_Irr!L27+up_Irr!AK27)),IF(AND(up_Irr!L27&lt;&gt;".",up_Irr!AK27=".",up_Irr!BJ27&lt;&gt;"."),up_dir!M27/((1/1000)*(up_Irr!L27+up_Irr!BJ27)),IF(AND(up_Irr!L27=".",up_Irr!AK27&lt;&gt;".",up_Irr!BJ27&lt;&gt;"."),up_dir!M27/((1/1000)*(up_Irr!AK27+up_Irr!BJ27)),IF(AND(up_Irr!L27=".",up_Irr!AK27=".",up_Irr!BJ27&lt;&gt;"."),up_dir!M27/((1/1000)*(up_Irr!BJ27)),IF(AND(up_Irr!L27=".",up_Irr!AK27&lt;&gt;".",up_Irr!BJ27="."),up_dir!M27/((1/1000)*(up_Irr!AK27)),IF(AND(up_Irr!L27&lt;&gt;".",up_Irr!AK27=".",up_Irr!BJ27="."),up_dir!M27/((1/1000)*(up_Irr!L27)),IF(AND(up_Irr!L27=".",up_Irr!AK27=".",up_Irr!BJ27="."),up_dir!M27*1000)))))))),".")</f>
        <v>6.5773651144152131E-4</v>
      </c>
      <c r="N27" s="70">
        <f>IFERROR(IF(AND(up_Irr!M27&lt;&gt;".",up_Irr!AL27&lt;&gt;".",up_Irr!BK27&lt;&gt;"."),up_dir!N27/((1/1000)*(up_Irr!M27+up_Irr!AL27+up_Irr!BK27)),IF(AND(up_Irr!M27&lt;&gt;".",up_Irr!AL27&lt;&gt;".",up_Irr!BK27="."),up_dir!N27/((1/1000)*(up_Irr!M27+up_Irr!AL27)),IF(AND(up_Irr!M27&lt;&gt;".",up_Irr!AL27=".",up_Irr!BK27&lt;&gt;"."),up_dir!N27/((1/1000)*(up_Irr!M27+up_Irr!BK27)),IF(AND(up_Irr!M27=".",up_Irr!AL27&lt;&gt;".",up_Irr!BK27&lt;&gt;"."),up_dir!N27/((1/1000)*(up_Irr!AL27+up_Irr!BK27)),IF(AND(up_Irr!M27=".",up_Irr!AL27=".",up_Irr!BK27&lt;&gt;"."),up_dir!N27/((1/1000)*(up_Irr!BK27)),IF(AND(up_Irr!M27=".",up_Irr!AL27&lt;&gt;".",up_Irr!BK27="."),up_dir!N27/((1/1000)*(up_Irr!AL27)),IF(AND(up_Irr!M27&lt;&gt;".",up_Irr!AL27=".",up_Irr!BK27="."),up_dir!N27/((1/1000)*(up_Irr!M27)),IF(AND(up_Irr!M27=".",up_Irr!AL27=".",up_Irr!BK27="."),up_dir!N27*1000)))))))),".")</f>
        <v>6.5773651144152131E-4</v>
      </c>
      <c r="O27" s="70">
        <f>IFERROR(IF(AND(up_Irr!N27&lt;&gt;".",up_Irr!AM27&lt;&gt;".",up_Irr!BL27&lt;&gt;"."),up_dir!O27/((1/1000)*(up_Irr!N27+up_Irr!AM27+up_Irr!BL27)),IF(AND(up_Irr!N27&lt;&gt;".",up_Irr!AM27&lt;&gt;".",up_Irr!BL27="."),up_dir!O27/((1/1000)*(up_Irr!N27+up_Irr!AM27)),IF(AND(up_Irr!N27&lt;&gt;".",up_Irr!AM27=".",up_Irr!BL27&lt;&gt;"."),up_dir!O27/((1/1000)*(up_Irr!N27+up_Irr!BL27)),IF(AND(up_Irr!N27=".",up_Irr!AM27&lt;&gt;".",up_Irr!BL27&lt;&gt;"."),up_dir!O27/((1/1000)*(up_Irr!AM27+up_Irr!BL27)),IF(AND(up_Irr!N27=".",up_Irr!AM27=".",up_Irr!BL27&lt;&gt;"."),up_dir!O27/((1/1000)*(up_Irr!BL27)),IF(AND(up_Irr!N27=".",up_Irr!AM27&lt;&gt;".",up_Irr!BL27="."),up_dir!O27/((1/1000)*(up_Irr!AM27)),IF(AND(up_Irr!N27&lt;&gt;".",up_Irr!AM27=".",up_Irr!BL27="."),up_dir!O27/((1/1000)*(up_Irr!N27)),IF(AND(up_Irr!N27=".",up_Irr!AM27=".",up_Irr!BL27="."),up_dir!O27*1000)))))))),".")</f>
        <v>6.5773651144152131E-4</v>
      </c>
      <c r="P27" s="70">
        <f>IFERROR(IF(AND(up_Irr!O27&lt;&gt;".",up_Irr!AN27&lt;&gt;".",up_Irr!BM27&lt;&gt;"."),up_dir!P27/((1/1000)*(up_Irr!O27+up_Irr!AN27+up_Irr!BM27)),IF(AND(up_Irr!O27&lt;&gt;".",up_Irr!AN27&lt;&gt;".",up_Irr!BM27="."),up_dir!P27/((1/1000)*(up_Irr!O27+up_Irr!AN27)),IF(AND(up_Irr!O27&lt;&gt;".",up_Irr!AN27=".",up_Irr!BM27&lt;&gt;"."),up_dir!P27/((1/1000)*(up_Irr!O27+up_Irr!BM27)),IF(AND(up_Irr!O27=".",up_Irr!AN27&lt;&gt;".",up_Irr!BM27&lt;&gt;"."),up_dir!P27/((1/1000)*(up_Irr!AN27+up_Irr!BM27)),IF(AND(up_Irr!O27=".",up_Irr!AN27=".",up_Irr!BM27&lt;&gt;"."),up_dir!P27/((1/1000)*(up_Irr!BM27)),IF(AND(up_Irr!O27=".",up_Irr!AN27&lt;&gt;".",up_Irr!BM27="."),up_dir!P27/((1/1000)*(up_Irr!AN27)),IF(AND(up_Irr!O27&lt;&gt;".",up_Irr!AN27=".",up_Irr!BM27="."),up_dir!P27/((1/1000)*(up_Irr!O27)),IF(AND(up_Irr!O27=".",up_Irr!AN27=".",up_Irr!BM27="."),up_dir!P27*1000)))))))),".")</f>
        <v>6.5773651144152131E-4</v>
      </c>
      <c r="Q27" s="70">
        <f>IFERROR(IF(AND(up_Irr!P27&lt;&gt;".",up_Irr!AO27&lt;&gt;".",up_Irr!BN27&lt;&gt;"."),up_dir!Q27/((1/1000)*(up_Irr!P27+up_Irr!AO27+up_Irr!BN27)),IF(AND(up_Irr!P27&lt;&gt;".",up_Irr!AO27&lt;&gt;".",up_Irr!BN27="."),up_dir!Q27/((1/1000)*(up_Irr!P27+up_Irr!AO27)),IF(AND(up_Irr!P27&lt;&gt;".",up_Irr!AO27=".",up_Irr!BN27&lt;&gt;"."),up_dir!Q27/((1/1000)*(up_Irr!P27+up_Irr!BN27)),IF(AND(up_Irr!P27=".",up_Irr!AO27&lt;&gt;".",up_Irr!BN27&lt;&gt;"."),up_dir!Q27/((1/1000)*(up_Irr!AO27+up_Irr!BN27)),IF(AND(up_Irr!P27=".",up_Irr!AO27=".",up_Irr!BN27&lt;&gt;"."),up_dir!Q27/((1/1000)*(up_Irr!BN27)),IF(AND(up_Irr!P27=".",up_Irr!AO27&lt;&gt;".",up_Irr!BN27="."),up_dir!Q27/((1/1000)*(up_Irr!AO27)),IF(AND(up_Irr!P27&lt;&gt;".",up_Irr!AO27=".",up_Irr!BN27="."),up_dir!Q27/((1/1000)*(up_Irr!P27)),IF(AND(up_Irr!P27=".",up_Irr!AO27=".",up_Irr!BN27="."),up_dir!Q27*1000)))))))),".")</f>
        <v>6.5773651144152131E-4</v>
      </c>
      <c r="R27" s="70">
        <f>IFERROR(IF(AND(up_Irr!Q27&lt;&gt;".",up_Irr!AP27&lt;&gt;".",up_Irr!BO27&lt;&gt;"."),up_dir!R27/((1/1000)*(up_Irr!Q27+up_Irr!AP27+up_Irr!BO27)),IF(AND(up_Irr!Q27&lt;&gt;".",up_Irr!AP27&lt;&gt;".",up_Irr!BO27="."),up_dir!R27/((1/1000)*(up_Irr!Q27+up_Irr!AP27)),IF(AND(up_Irr!Q27&lt;&gt;".",up_Irr!AP27=".",up_Irr!BO27&lt;&gt;"."),up_dir!R27/((1/1000)*(up_Irr!Q27+up_Irr!BO27)),IF(AND(up_Irr!Q27=".",up_Irr!AP27&lt;&gt;".",up_Irr!BO27&lt;&gt;"."),up_dir!R27/((1/1000)*(up_Irr!AP27+up_Irr!BO27)),IF(AND(up_Irr!Q27=".",up_Irr!AP27=".",up_Irr!BO27&lt;&gt;"."),up_dir!R27/((1/1000)*(up_Irr!BO27)),IF(AND(up_Irr!Q27=".",up_Irr!AP27&lt;&gt;".",up_Irr!BO27="."),up_dir!R27/((1/1000)*(up_Irr!AP27)),IF(AND(up_Irr!Q27&lt;&gt;".",up_Irr!AP27=".",up_Irr!BO27="."),up_dir!R27/((1/1000)*(up_Irr!Q27)),IF(AND(up_Irr!Q27=".",up_Irr!AP27=".",up_Irr!BO27="."),up_dir!R27*1000)))))))),".")</f>
        <v>6.5773651144152131E-4</v>
      </c>
      <c r="S27" s="70">
        <f>IFERROR(IF(AND(up_Irr!R27&lt;&gt;".",up_Irr!AQ27&lt;&gt;".",up_Irr!BP27&lt;&gt;"."),up_dir!S27/((1/1000)*(up_Irr!R27+up_Irr!AQ27+up_Irr!BP27)),IF(AND(up_Irr!R27&lt;&gt;".",up_Irr!AQ27&lt;&gt;".",up_Irr!BP27="."),up_dir!S27/((1/1000)*(up_Irr!R27+up_Irr!AQ27)),IF(AND(up_Irr!R27&lt;&gt;".",up_Irr!AQ27=".",up_Irr!BP27&lt;&gt;"."),up_dir!S27/((1/1000)*(up_Irr!R27+up_Irr!BP27)),IF(AND(up_Irr!R27=".",up_Irr!AQ27&lt;&gt;".",up_Irr!BP27&lt;&gt;"."),up_dir!S27/((1/1000)*(up_Irr!AQ27+up_Irr!BP27)),IF(AND(up_Irr!R27=".",up_Irr!AQ27=".",up_Irr!BP27&lt;&gt;"."),up_dir!S27/((1/1000)*(up_Irr!BP27)),IF(AND(up_Irr!R27=".",up_Irr!AQ27&lt;&gt;".",up_Irr!BP27="."),up_dir!S27/((1/1000)*(up_Irr!AQ27)),IF(AND(up_Irr!R27&lt;&gt;".",up_Irr!AQ27=".",up_Irr!BP27="."),up_dir!S27/((1/1000)*(up_Irr!R27)),IF(AND(up_Irr!R27=".",up_Irr!AQ27=".",up_Irr!BP27="."),up_dir!S27*1000)))))))),".")</f>
        <v>6.5773651144152131E-4</v>
      </c>
      <c r="T27" s="70">
        <f>IFERROR(IF(AND(up_Irr!S27&lt;&gt;".",up_Irr!AR27&lt;&gt;".",up_Irr!BQ27&lt;&gt;"."),up_dir!T27/((1/1000)*(up_Irr!S27+up_Irr!AR27+up_Irr!BQ27)),IF(AND(up_Irr!S27&lt;&gt;".",up_Irr!AR27&lt;&gt;".",up_Irr!BQ27="."),up_dir!T27/((1/1000)*(up_Irr!S27+up_Irr!AR27)),IF(AND(up_Irr!S27&lt;&gt;".",up_Irr!AR27=".",up_Irr!BQ27&lt;&gt;"."),up_dir!T27/((1/1000)*(up_Irr!S27+up_Irr!BQ27)),IF(AND(up_Irr!S27=".",up_Irr!AR27&lt;&gt;".",up_Irr!BQ27&lt;&gt;"."),up_dir!T27/((1/1000)*(up_Irr!AR27+up_Irr!BQ27)),IF(AND(up_Irr!S27=".",up_Irr!AR27=".",up_Irr!BQ27&lt;&gt;"."),up_dir!T27/((1/1000)*(up_Irr!BQ27)),IF(AND(up_Irr!S27=".",up_Irr!AR27&lt;&gt;".",up_Irr!BQ27="."),up_dir!T27/((1/1000)*(up_Irr!AR27)),IF(AND(up_Irr!S27&lt;&gt;".",up_Irr!AR27=".",up_Irr!BQ27="."),up_dir!T27/((1/1000)*(up_Irr!S27)),IF(AND(up_Irr!S27=".",up_Irr!AR27=".",up_Irr!BQ27="."),up_dir!T27*1000)))))))),".")</f>
        <v>6.5773651144152131E-4</v>
      </c>
      <c r="U27" s="70">
        <f>IFERROR(IF(AND(up_Irr!T27&lt;&gt;".",up_Irr!AS27&lt;&gt;".",up_Irr!BR27&lt;&gt;"."),up_dir!U27/((1/1000)*(up_Irr!T27+up_Irr!AS27+up_Irr!BR27)),IF(AND(up_Irr!T27&lt;&gt;".",up_Irr!AS27&lt;&gt;".",up_Irr!BR27="."),up_dir!U27/((1/1000)*(up_Irr!T27+up_Irr!AS27)),IF(AND(up_Irr!T27&lt;&gt;".",up_Irr!AS27=".",up_Irr!BR27&lt;&gt;"."),up_dir!U27/((1/1000)*(up_Irr!T27+up_Irr!BR27)),IF(AND(up_Irr!T27=".",up_Irr!AS27&lt;&gt;".",up_Irr!BR27&lt;&gt;"."),up_dir!U27/((1/1000)*(up_Irr!AS27+up_Irr!BR27)),IF(AND(up_Irr!T27=".",up_Irr!AS27=".",up_Irr!BR27&lt;&gt;"."),up_dir!U27/((1/1000)*(up_Irr!BR27)),IF(AND(up_Irr!T27=".",up_Irr!AS27&lt;&gt;".",up_Irr!BR27="."),up_dir!U27/((1/1000)*(up_Irr!AS27)),IF(AND(up_Irr!T27&lt;&gt;".",up_Irr!AS27=".",up_Irr!BR27="."),up_dir!U27/((1/1000)*(up_Irr!T27)),IF(AND(up_Irr!T27=".",up_Irr!AS27=".",up_Irr!BR27="."),up_dir!U27*1000)))))))),".")</f>
        <v>6.5773651144152131E-4</v>
      </c>
      <c r="V27" s="70">
        <f>IFERROR(IF(AND(up_Irr!U27&lt;&gt;".",up_Irr!AT27&lt;&gt;".",up_Irr!BS27&lt;&gt;"."),up_dir!V27/((1/1000)*(up_Irr!U27+up_Irr!AT27+up_Irr!BS27)),IF(AND(up_Irr!U27&lt;&gt;".",up_Irr!AT27&lt;&gt;".",up_Irr!BS27="."),up_dir!V27/((1/1000)*(up_Irr!U27+up_Irr!AT27)),IF(AND(up_Irr!U27&lt;&gt;".",up_Irr!AT27=".",up_Irr!BS27&lt;&gt;"."),up_dir!V27/((1/1000)*(up_Irr!U27+up_Irr!BS27)),IF(AND(up_Irr!U27=".",up_Irr!AT27&lt;&gt;".",up_Irr!BS27&lt;&gt;"."),up_dir!V27/((1/1000)*(up_Irr!AT27+up_Irr!BS27)),IF(AND(up_Irr!U27=".",up_Irr!AT27=".",up_Irr!BS27&lt;&gt;"."),up_dir!V27/((1/1000)*(up_Irr!BS27)),IF(AND(up_Irr!U27=".",up_Irr!AT27&lt;&gt;".",up_Irr!BS27="."),up_dir!V27/((1/1000)*(up_Irr!AT27)),IF(AND(up_Irr!U27&lt;&gt;".",up_Irr!AT27=".",up_Irr!BS27="."),up_dir!V27/((1/1000)*(up_Irr!U27)),IF(AND(up_Irr!U27=".",up_Irr!AT27=".",up_Irr!BS27="."),up_dir!V27*1000)))))))),".")</f>
        <v>6.5773651144152131E-4</v>
      </c>
      <c r="W27" s="70">
        <f>IFERROR(IF(AND(up_Irr!V27&lt;&gt;".",up_Irr!AU27&lt;&gt;".",up_Irr!BT27&lt;&gt;"."),up_dir!W27/((1/1000)*(up_Irr!V27+up_Irr!AU27+up_Irr!BT27)),IF(AND(up_Irr!V27&lt;&gt;".",up_Irr!AU27&lt;&gt;".",up_Irr!BT27="."),up_dir!W27/((1/1000)*(up_Irr!V27+up_Irr!AU27)),IF(AND(up_Irr!V27&lt;&gt;".",up_Irr!AU27=".",up_Irr!BT27&lt;&gt;"."),up_dir!W27/((1/1000)*(up_Irr!V27+up_Irr!BT27)),IF(AND(up_Irr!V27=".",up_Irr!AU27&lt;&gt;".",up_Irr!BT27&lt;&gt;"."),up_dir!W27/((1/1000)*(up_Irr!AU27+up_Irr!BT27)),IF(AND(up_Irr!V27=".",up_Irr!AU27=".",up_Irr!BT27&lt;&gt;"."),up_dir!W27/((1/1000)*(up_Irr!BT27)),IF(AND(up_Irr!V27=".",up_Irr!AU27&lt;&gt;".",up_Irr!BT27="."),up_dir!W27/((1/1000)*(up_Irr!AU27)),IF(AND(up_Irr!V27&lt;&gt;".",up_Irr!AU27=".",up_Irr!BT27="."),up_dir!W27/((1/1000)*(up_Irr!V27)),IF(AND(up_Irr!V27=".",up_Irr!AU27=".",up_Irr!BT27="."),up_dir!W27*1000)))))))),".")</f>
        <v>6.5773651144152131E-4</v>
      </c>
      <c r="X27" s="70">
        <f>IFERROR(IF(AND(up_Irr!W27&lt;&gt;".",up_Irr!AV27&lt;&gt;".",up_Irr!BU27&lt;&gt;"."),up_dir!X27/((1/1000)*(up_Irr!W27+up_Irr!AV27+up_Irr!BU27)),IF(AND(up_Irr!W27&lt;&gt;".",up_Irr!AV27&lt;&gt;".",up_Irr!BU27="."),up_dir!X27/((1/1000)*(up_Irr!W27+up_Irr!AV27)),IF(AND(up_Irr!W27&lt;&gt;".",up_Irr!AV27=".",up_Irr!BU27&lt;&gt;"."),up_dir!X27/((1/1000)*(up_Irr!W27+up_Irr!BU27)),IF(AND(up_Irr!W27=".",up_Irr!AV27&lt;&gt;".",up_Irr!BU27&lt;&gt;"."),up_dir!X27/((1/1000)*(up_Irr!AV27+up_Irr!BU27)),IF(AND(up_Irr!W27=".",up_Irr!AV27=".",up_Irr!BU27&lt;&gt;"."),up_dir!X27/((1/1000)*(up_Irr!BU27)),IF(AND(up_Irr!W27=".",up_Irr!AV27&lt;&gt;".",up_Irr!BU27="."),up_dir!X27/((1/1000)*(up_Irr!AV27)),IF(AND(up_Irr!W27&lt;&gt;".",up_Irr!AV27=".",up_Irr!BU27="."),up_dir!X27/((1/1000)*(up_Irr!W27)),IF(AND(up_Irr!W27=".",up_Irr!AV27=".",up_Irr!BU27="."),up_dir!X27*1000)))))))),".")</f>
        <v>6.5773651144152131E-4</v>
      </c>
      <c r="Y27" s="70">
        <f>IFERROR(IF(AND(up_Irr!X27&lt;&gt;".",up_Irr!AW27&lt;&gt;".",up_Irr!BV27&lt;&gt;"."),up_dir!Y27/((1/1000)*(up_Irr!X27+up_Irr!AW27+up_Irr!BV27)),IF(AND(up_Irr!X27&lt;&gt;".",up_Irr!AW27&lt;&gt;".",up_Irr!BV27="."),up_dir!Y27/((1/1000)*(up_Irr!X27+up_Irr!AW27)),IF(AND(up_Irr!X27&lt;&gt;".",up_Irr!AW27=".",up_Irr!BV27&lt;&gt;"."),up_dir!Y27/((1/1000)*(up_Irr!X27+up_Irr!BV27)),IF(AND(up_Irr!X27=".",up_Irr!AW27&lt;&gt;".",up_Irr!BV27&lt;&gt;"."),up_dir!Y27/((1/1000)*(up_Irr!AW27+up_Irr!BV27)),IF(AND(up_Irr!X27=".",up_Irr!AW27=".",up_Irr!BV27&lt;&gt;"."),up_dir!Y27/((1/1000)*(up_Irr!BV27)),IF(AND(up_Irr!X27=".",up_Irr!AW27&lt;&gt;".",up_Irr!BV27="."),up_dir!Y27/((1/1000)*(up_Irr!AW27)),IF(AND(up_Irr!X27&lt;&gt;".",up_Irr!AW27=".",up_Irr!BV27="."),up_dir!Y27/((1/1000)*(up_Irr!X27)),IF(AND(up_Irr!X27=".",up_Irr!AW27=".",up_Irr!BV27="."),up_dir!Y27*1000)))))))),".")</f>
        <v>6.5773651144152131E-4</v>
      </c>
      <c r="Z27" s="70">
        <f>IFERROR(IF(AND(up_Irr!Y27&lt;&gt;".",up_Irr!AX27&lt;&gt;".",up_Irr!BW27&lt;&gt;"."),up_dir!Z27/((1/1000)*(up_Irr!Y27+up_Irr!AX27+up_Irr!BW27)),IF(AND(up_Irr!Y27&lt;&gt;".",up_Irr!AX27&lt;&gt;".",up_Irr!BW27="."),up_dir!Z27/((1/1000)*(up_Irr!Y27+up_Irr!AX27)),IF(AND(up_Irr!Y27&lt;&gt;".",up_Irr!AX27=".",up_Irr!BW27&lt;&gt;"."),up_dir!Z27/((1/1000)*(up_Irr!Y27+up_Irr!BW27)),IF(AND(up_Irr!Y27=".",up_Irr!AX27&lt;&gt;".",up_Irr!BW27&lt;&gt;"."),up_dir!Z27/((1/1000)*(up_Irr!AX27+up_Irr!BW27)),IF(AND(up_Irr!Y27=".",up_Irr!AX27=".",up_Irr!BW27&lt;&gt;"."),up_dir!Z27/((1/1000)*(up_Irr!BW27)),IF(AND(up_Irr!Y27=".",up_Irr!AX27&lt;&gt;".",up_Irr!BW27="."),up_dir!Z27/((1/1000)*(up_Irr!AX27)),IF(AND(up_Irr!Y27&lt;&gt;".",up_Irr!AX27=".",up_Irr!BW27="."),up_dir!Z27/((1/1000)*(up_Irr!Y27)),IF(AND(up_Irr!Y27=".",up_Irr!AX27=".",up_Irr!BW27="."),up_dir!Z27*1000)))))))),".")</f>
        <v>6.5773651144152131E-4</v>
      </c>
      <c r="AA27" s="70">
        <f>IFERROR(IF(AND(up_Irr!Z27&lt;&gt;".",up_Irr!AY27&lt;&gt;".",up_Irr!BX27&lt;&gt;"."),up_dir!AA27/((1/1000)*(up_Irr!Z27+up_Irr!AY27+up_Irr!BX27)),IF(AND(up_Irr!Z27&lt;&gt;".",up_Irr!AY27&lt;&gt;".",up_Irr!BX27="."),up_dir!AA27/((1/1000)*(up_Irr!Z27+up_Irr!AY27)),IF(AND(up_Irr!Z27&lt;&gt;".",up_Irr!AY27=".",up_Irr!BX27&lt;&gt;"."),up_dir!AA27/((1/1000)*(up_Irr!Z27+up_Irr!BX27)),IF(AND(up_Irr!Z27=".",up_Irr!AY27&lt;&gt;".",up_Irr!BX27&lt;&gt;"."),up_dir!AA27/((1/1000)*(up_Irr!AY27+up_Irr!BX27)),IF(AND(up_Irr!Z27=".",up_Irr!AY27=".",up_Irr!BX27&lt;&gt;"."),up_dir!AA27/((1/1000)*(up_Irr!BX27)),IF(AND(up_Irr!Z27=".",up_Irr!AY27&lt;&gt;".",up_Irr!BX27="."),up_dir!AA27/((1/1000)*(up_Irr!AY27)),IF(AND(up_Irr!Z27&lt;&gt;".",up_Irr!AY27=".",up_Irr!BX27="."),up_dir!AA27/((1/1000)*(up_Irr!Z27)),IF(AND(up_Irr!Z27=".",up_Irr!AY27=".",up_Irr!BX27="."),up_dir!AA27*1000)))))))),".")</f>
        <v>6.5773651144152131E-4</v>
      </c>
      <c r="AB27" s="70">
        <f>IFERROR(IF(AND(up_Irr!AA27&lt;&gt;".",up_Irr!AZ27&lt;&gt;".",up_Irr!BY27&lt;&gt;"."),up_dir!AB27/((1/1000)*(up_Irr!AA27+up_Irr!AZ27+up_Irr!BY27)),IF(AND(up_Irr!AA27&lt;&gt;".",up_Irr!AZ27&lt;&gt;".",up_Irr!BY27="."),up_dir!AB27/((1/1000)*(up_Irr!AA27+up_Irr!AZ27)),IF(AND(up_Irr!AA27&lt;&gt;".",up_Irr!AZ27=".",up_Irr!BY27&lt;&gt;"."),up_dir!AB27/((1/1000)*(up_Irr!AA27+up_Irr!BY27)),IF(AND(up_Irr!AA27=".",up_Irr!AZ27&lt;&gt;".",up_Irr!BY27&lt;&gt;"."),up_dir!AB27/((1/1000)*(up_Irr!AZ27+up_Irr!BY27)),IF(AND(up_Irr!AA27=".",up_Irr!AZ27=".",up_Irr!BY27&lt;&gt;"."),up_dir!AB27/((1/1000)*(up_Irr!BY27)),IF(AND(up_Irr!AA27=".",up_Irr!AZ27&lt;&gt;".",up_Irr!BY27="."),up_dir!AB27/((1/1000)*(up_Irr!AZ27)),IF(AND(up_Irr!AA27&lt;&gt;".",up_Irr!AZ27=".",up_Irr!BY27="."),up_dir!AB27/((1/1000)*(up_Irr!AA27)),IF(AND(up_Irr!AA27=".",up_Irr!AZ27=".",up_Irr!BY27="."),up_dir!AB27*1000)))))))),".")</f>
        <v>6.5773651144152131E-4</v>
      </c>
      <c r="AC27" s="87">
        <f t="shared" si="1"/>
        <v>30407.313038114935</v>
      </c>
      <c r="AD27" s="87">
        <f>IFERROR(s_C*s_IFAP_res_adj*s_CF_apple*0.001*(up_Irr!C27+up_Irr!AB27+up_Irr!BA27),".")</f>
        <v>7601.8282595287337</v>
      </c>
      <c r="AE27" s="87">
        <f>IFERROR(s_C*s_IFAS_res_adj*s_CF_asparagus*0.001*(up_Irr!D27+up_Irr!AC27+up_Irr!BB27),".")</f>
        <v>7601.8282595287337</v>
      </c>
      <c r="AF27" s="87">
        <f>IFERROR(s_C*s_IFBT_res_adj*s_CF_beet*0.001*(up_Irr!E27+up_Irr!AD27+up_Irr!BC27),".")</f>
        <v>7601.8282595287337</v>
      </c>
      <c r="AG27" s="87">
        <f>IFERROR(s_C*s_IFBE_res_adj*s_CF_berries*0.001*(up_Irr!F27+up_Irr!AE27+up_Irr!BD27),".")</f>
        <v>7601.8282595287337</v>
      </c>
      <c r="AH27" s="87">
        <f>IFERROR(s_C*s_IFBR_res_adj*s_CF_broccoli*0.001*(up_Irr!G27+up_Irr!AF27+up_Irr!BE27),".")</f>
        <v>7601.8282595287337</v>
      </c>
      <c r="AI27" s="87">
        <f>IFERROR(s_C*s_IFCB_res_adj*s_CF_cabbage*0.001*(up_Irr!H27+up_Irr!AG27+up_Irr!BF27),".")</f>
        <v>7601.8282595287337</v>
      </c>
      <c r="AJ27" s="87">
        <f>IFERROR(s_C*s_IFCR_res_adj*s_CF_carrot*0.001*(up_Irr!I27+up_Irr!AH27+up_Irr!BG27),".")</f>
        <v>7601.8282595287337</v>
      </c>
      <c r="AK27" s="87">
        <f>IFERROR(s_C*s_IFCI_res_adj*s_CF_citrus*0.001*(up_Irr!J27+up_Irr!AI27+up_Irr!BH27),".")</f>
        <v>7601.8282595287337</v>
      </c>
      <c r="AL27" s="87">
        <f>IFERROR(s_C*s_IFCO_res_adj*s_CF_corn*0.001*(up_Irr!K27+up_Irr!AJ27+up_Irr!BI27),".")</f>
        <v>7601.8282595287337</v>
      </c>
      <c r="AM27" s="87">
        <f>IFERROR(s_C*s_IFCU_res_adj*s_CF_cucumber*0.001*(up_Irr!L27+up_Irr!AK27+up_Irr!BJ27),".")</f>
        <v>7601.8282595287337</v>
      </c>
      <c r="AN27" s="87">
        <f>IFERROR(s_C*s_IFLE_res_adj*s_CF_lettuce*0.001*(up_Irr!M27+up_Irr!AL27+up_Irr!BK27),".")</f>
        <v>7601.8282595287337</v>
      </c>
      <c r="AO27" s="87">
        <f>IFERROR(s_C*s_IFLI_res_adj*s_CF_lima_bean*0.001*(up_Irr!N27+up_Irr!AM27+up_Irr!BL27),".")</f>
        <v>7601.8282595287337</v>
      </c>
      <c r="AP27" s="87">
        <f>IFERROR(s_C*s_IFOK_res_adj*s_CF_okra*0.001*(up_Irr!O27+up_Irr!AN27+up_Irr!BM27),".")</f>
        <v>7601.8282595287337</v>
      </c>
      <c r="AQ27" s="87">
        <f>IFERROR(s_C*s_IFON_res_adj*s_CF_onion*0.001*(up_Irr!P27+up_Irr!AO27+up_Irr!BN27),".")</f>
        <v>7601.8282595287337</v>
      </c>
      <c r="AR27" s="87">
        <f>IFERROR(s_C*s_IFPC_res_adj*s_CF_peach*0.001*(up_Irr!Q27+up_Irr!AP27+up_Irr!BO27),".")</f>
        <v>7601.8282595287337</v>
      </c>
      <c r="AS27" s="87">
        <f>IFERROR(s_C*s_IFPR_res_adj*s_CF_pear*0.001*(up_Irr!R27+up_Irr!AQ27+up_Irr!BP27),".")</f>
        <v>7601.8282595287337</v>
      </c>
      <c r="AT27" s="87">
        <f>IFERROR(s_C*s_IFPE_res_adj*s_CF_peas*0.001*(up_Irr!S27+up_Irr!AR27+up_Irr!BQ27),".")</f>
        <v>7601.8282595287337</v>
      </c>
      <c r="AU27" s="87">
        <f>IFERROR(s_C*s_IFPP_res_adj*s_CF_peppers*0.001*(up_Irr!T27+up_Irr!AS27+up_Irr!BR27),".")</f>
        <v>7601.8282595287337</v>
      </c>
      <c r="AV27" s="87">
        <f>IFERROR(s_C*s_IFPT_res_adj*s_CF_potato*0.001*(up_Irr!U27+up_Irr!AT27+up_Irr!BS27),".")</f>
        <v>7601.8282595287337</v>
      </c>
      <c r="AW27" s="87">
        <f>IFERROR(s_C*s_IFPU_res_adj*s_CF_pumpkin*0.001*(up_Irr!V27+up_Irr!AU27+up_Irr!BT27),".")</f>
        <v>7601.8282595287337</v>
      </c>
      <c r="AX27" s="87">
        <f>IFERROR(s_C*s_IFSN_res_adj*s_CF_snap_bean*0.001*(up_Irr!W27+up_Irr!AV27+up_Irr!BU27),".")</f>
        <v>7601.8282595287337</v>
      </c>
      <c r="AY27" s="87">
        <f>IFERROR(s_C*s_IFST_res_adj*s_CF_strawberry*0.001*(up_Irr!X27+up_Irr!AW27+up_Irr!BV27),".")</f>
        <v>7601.8282595287337</v>
      </c>
      <c r="AZ27" s="87">
        <f>IFERROR(s_C*s_IFTO_res_adj*s_CF_tomato*0.001*(up_Irr!Y27+up_Irr!AX27+up_Irr!BW27),".")</f>
        <v>7601.8282595287337</v>
      </c>
      <c r="BA27" s="87">
        <f>IFERROR(s_C*s_IFRI_res_adj*s_CF_rice*0.001*(up_Irr!Z27+up_Irr!AY27+up_Irr!BX27),".")</f>
        <v>7601.8282595287337</v>
      </c>
      <c r="BB27" s="87">
        <f>IFERROR(s_C*s_IFCG_res_adj*s_CF_cereal*0.001*(up_Irr!AA27+up_Irr!AZ27+up_Irr!BY27),".")</f>
        <v>7601.8282595287337</v>
      </c>
      <c r="BC27" s="70">
        <f t="shared" si="2"/>
        <v>1.6443412786038033E-4</v>
      </c>
      <c r="BD27" s="70">
        <f>IFERROR(IF(AND(up_Irr!C27&lt;&gt;".",up_Irr!AB27&lt;&gt;".",up_Irr!BA27&lt;&gt;"."),up_dir!AD27/((1/1000)*(up_Irr!C27+up_Irr!AB27+up_Irr!BA27)),IF(AND(up_Irr!C27&lt;&gt;".",up_Irr!AB27&lt;&gt;".",up_Irr!BA27="."),up_dir!AD27/((1/1000)*(up_Irr!C27+up_Irr!AB27)),IF(AND(up_Irr!C27&lt;&gt;".",up_Irr!AB27=".",up_Irr!BA27&lt;&gt;"."),up_dir!AD27/((1/1000)*(up_Irr!C27+up_Irr!BA27)),IF(AND(up_Irr!C27=".",up_Irr!AB27&lt;&gt;".",up_Irr!BA27&lt;&gt;"."),up_dir!AD27/((1/1000)*(up_Irr!AB27+up_Irr!BA27)),IF(AND(up_Irr!C27=".",up_Irr!AB27=".",up_Irr!BA27&lt;&gt;"."),up_dir!AD27/((1/1000)*(up_Irr!BA27)),IF(AND(up_Irr!C27=".",up_Irr!AB27&lt;&gt;".",up_Irr!BA27="."),up_dir!AD27/((1/1000)*(up_Irr!AB27)),IF(AND(up_Irr!C27&lt;&gt;".",up_Irr!AB27=".",up_Irr!BA27="."),up_dir!AD27/((1/1000)*(up_Irr!C27)),IF(AND(up_Irr!C27=".",up_Irr!AB27=".",up_Irr!BA27="."),up_dir!AD27*1000)))))))),".")</f>
        <v>6.5773651144152131E-4</v>
      </c>
      <c r="BE27" s="70">
        <f>IFERROR(IF(AND(up_Irr!D27&lt;&gt;".",up_Irr!AC27&lt;&gt;".",up_Irr!BB27&lt;&gt;"."),up_dir!AE27/((1/1000)*(up_Irr!D27+up_Irr!AC27+up_Irr!BB27)),IF(AND(up_Irr!D27&lt;&gt;".",up_Irr!AC27&lt;&gt;".",up_Irr!BB27="."),up_dir!AE27/((1/1000)*(up_Irr!D27+up_Irr!AC27)),IF(AND(up_Irr!D27&lt;&gt;".",up_Irr!AC27=".",up_Irr!BB27&lt;&gt;"."),up_dir!AE27/((1/1000)*(up_Irr!D27+up_Irr!BB27)),IF(AND(up_Irr!D27=".",up_Irr!AC27&lt;&gt;".",up_Irr!BB27&lt;&gt;"."),up_dir!AE27/((1/1000)*(up_Irr!AC27+up_Irr!BB27)),IF(AND(up_Irr!D27=".",up_Irr!AC27=".",up_Irr!BB27&lt;&gt;"."),up_dir!AE27/((1/1000)*(up_Irr!BB27)),IF(AND(up_Irr!D27=".",up_Irr!AC27&lt;&gt;".",up_Irr!BB27="."),up_dir!AE27/((1/1000)*(up_Irr!AC27)),IF(AND(up_Irr!D27&lt;&gt;".",up_Irr!AC27=".",up_Irr!BB27="."),up_dir!AE27/((1/1000)*(up_Irr!D27)),IF(AND(up_Irr!D27=".",up_Irr!AC27=".",up_Irr!BB27="."),up_dir!AE27*1000)))))))),".")</f>
        <v>6.5773651144152131E-4</v>
      </c>
      <c r="BF27" s="70">
        <f>IFERROR(IF(AND(up_Irr!E27&lt;&gt;".",up_Irr!AD27&lt;&gt;".",up_Irr!BC27&lt;&gt;"."),up_dir!AF27/((1/1000)*(up_Irr!E27+up_Irr!AD27+up_Irr!BC27)),IF(AND(up_Irr!E27&lt;&gt;".",up_Irr!AD27&lt;&gt;".",up_Irr!BC27="."),up_dir!AF27/((1/1000)*(up_Irr!E27+up_Irr!AD27)),IF(AND(up_Irr!E27&lt;&gt;".",up_Irr!AD27=".",up_Irr!BC27&lt;&gt;"."),up_dir!AF27/((1/1000)*(up_Irr!E27+up_Irr!BC27)),IF(AND(up_Irr!E27=".",up_Irr!AD27&lt;&gt;".",up_Irr!BC27&lt;&gt;"."),up_dir!AF27/((1/1000)*(up_Irr!AD27+up_Irr!BC27)),IF(AND(up_Irr!E27=".",up_Irr!AD27=".",up_Irr!BC27&lt;&gt;"."),up_dir!AF27/((1/1000)*(up_Irr!BC27)),IF(AND(up_Irr!E27=".",up_Irr!AD27&lt;&gt;".",up_Irr!BC27="."),up_dir!AF27/((1/1000)*(up_Irr!AD27)),IF(AND(up_Irr!E27&lt;&gt;".",up_Irr!AD27=".",up_Irr!BC27="."),up_dir!AF27/((1/1000)*(up_Irr!E27)),IF(AND(up_Irr!E27=".",up_Irr!AD27=".",up_Irr!BC27="."),up_dir!AF27*1000)))))))),".")</f>
        <v>6.5773651144152131E-4</v>
      </c>
      <c r="BG27" s="70">
        <f>IFERROR(IF(AND(up_Irr!F27&lt;&gt;".",up_Irr!AE27&lt;&gt;".",up_Irr!BD27&lt;&gt;"."),up_dir!AG27/((1/1000)*(up_Irr!F27+up_Irr!AE27+up_Irr!BD27)),IF(AND(up_Irr!F27&lt;&gt;".",up_Irr!AE27&lt;&gt;".",up_Irr!BD27="."),up_dir!AG27/((1/1000)*(up_Irr!F27+up_Irr!AE27)),IF(AND(up_Irr!F27&lt;&gt;".",up_Irr!AE27=".",up_Irr!BD27&lt;&gt;"."),up_dir!AG27/((1/1000)*(up_Irr!F27+up_Irr!BD27)),IF(AND(up_Irr!F27=".",up_Irr!AE27&lt;&gt;".",up_Irr!BD27&lt;&gt;"."),up_dir!AG27/((1/1000)*(up_Irr!AE27+up_Irr!BD27)),IF(AND(up_Irr!F27=".",up_Irr!AE27=".",up_Irr!BD27&lt;&gt;"."),up_dir!AG27/((1/1000)*(up_Irr!BD27)),IF(AND(up_Irr!F27=".",up_Irr!AE27&lt;&gt;".",up_Irr!BD27="."),up_dir!AG27/((1/1000)*(up_Irr!AE27)),IF(AND(up_Irr!F27&lt;&gt;".",up_Irr!AE27=".",up_Irr!BD27="."),up_dir!AG27/((1/1000)*(up_Irr!F27)),IF(AND(up_Irr!F27=".",up_Irr!AE27=".",up_Irr!BD27="."),up_dir!AG27*1000)))))))),".")</f>
        <v>6.5773651144152131E-4</v>
      </c>
      <c r="BH27" s="70">
        <f>IFERROR(IF(AND(up_Irr!G27&lt;&gt;".",up_Irr!AF27&lt;&gt;".",up_Irr!BE27&lt;&gt;"."),up_dir!AH27/((1/1000)*(up_Irr!G27+up_Irr!AF27+up_Irr!BE27)),IF(AND(up_Irr!G27&lt;&gt;".",up_Irr!AF27&lt;&gt;".",up_Irr!BE27="."),up_dir!AH27/((1/1000)*(up_Irr!G27+up_Irr!AF27)),IF(AND(up_Irr!G27&lt;&gt;".",up_Irr!AF27=".",up_Irr!BE27&lt;&gt;"."),up_dir!AH27/((1/1000)*(up_Irr!G27+up_Irr!BE27)),IF(AND(up_Irr!G27=".",up_Irr!AF27&lt;&gt;".",up_Irr!BE27&lt;&gt;"."),up_dir!AH27/((1/1000)*(up_Irr!AF27+up_Irr!BE27)),IF(AND(up_Irr!G27=".",up_Irr!AF27=".",up_Irr!BE27&lt;&gt;"."),up_dir!AH27/((1/1000)*(up_Irr!BE27)),IF(AND(up_Irr!G27=".",up_Irr!AF27&lt;&gt;".",up_Irr!BE27="."),up_dir!AH27/((1/1000)*(up_Irr!AF27)),IF(AND(up_Irr!G27&lt;&gt;".",up_Irr!AF27=".",up_Irr!BE27="."),up_dir!AH27/((1/1000)*(up_Irr!G27)),IF(AND(up_Irr!G27=".",up_Irr!AF27=".",up_Irr!BE27="."),up_dir!AH27*1000)))))))),".")</f>
        <v>6.5773651144152131E-4</v>
      </c>
      <c r="BI27" s="70">
        <f>IFERROR(IF(AND(up_Irr!H27&lt;&gt;".",up_Irr!AG27&lt;&gt;".",up_Irr!BF27&lt;&gt;"."),up_dir!AI27/((1/1000)*(up_Irr!H27+up_Irr!AG27+up_Irr!BF27)),IF(AND(up_Irr!H27&lt;&gt;".",up_Irr!AG27&lt;&gt;".",up_Irr!BF27="."),up_dir!AI27/((1/1000)*(up_Irr!H27+up_Irr!AG27)),IF(AND(up_Irr!H27&lt;&gt;".",up_Irr!AG27=".",up_Irr!BF27&lt;&gt;"."),up_dir!AI27/((1/1000)*(up_Irr!H27+up_Irr!BF27)),IF(AND(up_Irr!H27=".",up_Irr!AG27&lt;&gt;".",up_Irr!BF27&lt;&gt;"."),up_dir!AI27/((1/1000)*(up_Irr!AG27+up_Irr!BF27)),IF(AND(up_Irr!H27=".",up_Irr!AG27=".",up_Irr!BF27&lt;&gt;"."),up_dir!AI27/((1/1000)*(up_Irr!BF27)),IF(AND(up_Irr!H27=".",up_Irr!AG27&lt;&gt;".",up_Irr!BF27="."),up_dir!AI27/((1/1000)*(up_Irr!AG27)),IF(AND(up_Irr!H27&lt;&gt;".",up_Irr!AG27=".",up_Irr!BF27="."),up_dir!AI27/((1/1000)*(up_Irr!H27)),IF(AND(up_Irr!H27=".",up_Irr!AG27=".",up_Irr!BF27="."),up_dir!AI27*1000)))))))),".")</f>
        <v>6.5773651144152131E-4</v>
      </c>
      <c r="BJ27" s="70">
        <f>IFERROR(IF(AND(up_Irr!I27&lt;&gt;".",up_Irr!AH27&lt;&gt;".",up_Irr!BG27&lt;&gt;"."),up_dir!AJ27/((1/1000)*(up_Irr!I27+up_Irr!AH27+up_Irr!BG27)),IF(AND(up_Irr!I27&lt;&gt;".",up_Irr!AH27&lt;&gt;".",up_Irr!BG27="."),up_dir!AJ27/((1/1000)*(up_Irr!I27+up_Irr!AH27)),IF(AND(up_Irr!I27&lt;&gt;".",up_Irr!AH27=".",up_Irr!BG27&lt;&gt;"."),up_dir!AJ27/((1/1000)*(up_Irr!I27+up_Irr!BG27)),IF(AND(up_Irr!I27=".",up_Irr!AH27&lt;&gt;".",up_Irr!BG27&lt;&gt;"."),up_dir!AJ27/((1/1000)*(up_Irr!AH27+up_Irr!BG27)),IF(AND(up_Irr!I27=".",up_Irr!AH27=".",up_Irr!BG27&lt;&gt;"."),up_dir!AJ27/((1/1000)*(up_Irr!BG27)),IF(AND(up_Irr!I27=".",up_Irr!AH27&lt;&gt;".",up_Irr!BG27="."),up_dir!AJ27/((1/1000)*(up_Irr!AH27)),IF(AND(up_Irr!I27&lt;&gt;".",up_Irr!AH27=".",up_Irr!BG27="."),up_dir!AJ27/((1/1000)*(up_Irr!I27)),IF(AND(up_Irr!I27=".",up_Irr!AH27=".",up_Irr!BG27="."),up_dir!AJ27*1000)))))))),".")</f>
        <v>6.5773651144152131E-4</v>
      </c>
      <c r="BK27" s="70">
        <f>IFERROR(IF(AND(up_Irr!J27&lt;&gt;".",up_Irr!AI27&lt;&gt;".",up_Irr!BH27&lt;&gt;"."),up_dir!AK27/((1/1000)*(up_Irr!J27+up_Irr!AI27+up_Irr!BH27)),IF(AND(up_Irr!J27&lt;&gt;".",up_Irr!AI27&lt;&gt;".",up_Irr!BH27="."),up_dir!AK27/((1/1000)*(up_Irr!J27+up_Irr!AI27)),IF(AND(up_Irr!J27&lt;&gt;".",up_Irr!AI27=".",up_Irr!BH27&lt;&gt;"."),up_dir!AK27/((1/1000)*(up_Irr!J27+up_Irr!BH27)),IF(AND(up_Irr!J27=".",up_Irr!AI27&lt;&gt;".",up_Irr!BH27&lt;&gt;"."),up_dir!AK27/((1/1000)*(up_Irr!AI27+up_Irr!BH27)),IF(AND(up_Irr!J27=".",up_Irr!AI27=".",up_Irr!BH27&lt;&gt;"."),up_dir!AK27/((1/1000)*(up_Irr!BH27)),IF(AND(up_Irr!J27=".",up_Irr!AI27&lt;&gt;".",up_Irr!BH27="."),up_dir!AK27/((1/1000)*(up_Irr!AI27)),IF(AND(up_Irr!J27&lt;&gt;".",up_Irr!AI27=".",up_Irr!BH27="."),up_dir!AK27/((1/1000)*(up_Irr!J27)),IF(AND(up_Irr!J27=".",up_Irr!AI27=".",up_Irr!BH27="."),up_dir!AK27*1000)))))))),".")</f>
        <v>6.5773651144152131E-4</v>
      </c>
      <c r="BL27" s="70">
        <f>IFERROR(IF(AND(up_Irr!K27&lt;&gt;".",up_Irr!AJ27&lt;&gt;".",up_Irr!BI27&lt;&gt;"."),up_dir!AL27/((1/1000)*(up_Irr!K27+up_Irr!AJ27+up_Irr!BI27)),IF(AND(up_Irr!K27&lt;&gt;".",up_Irr!AJ27&lt;&gt;".",up_Irr!BI27="."),up_dir!AL27/((1/1000)*(up_Irr!K27+up_Irr!AJ27)),IF(AND(up_Irr!K27&lt;&gt;".",up_Irr!AJ27=".",up_Irr!BI27&lt;&gt;"."),up_dir!AL27/((1/1000)*(up_Irr!K27+up_Irr!BI27)),IF(AND(up_Irr!K27=".",up_Irr!AJ27&lt;&gt;".",up_Irr!BI27&lt;&gt;"."),up_dir!AL27/((1/1000)*(up_Irr!AJ27+up_Irr!BI27)),IF(AND(up_Irr!K27=".",up_Irr!AJ27=".",up_Irr!BI27&lt;&gt;"."),up_dir!AL27/((1/1000)*(up_Irr!BI27)),IF(AND(up_Irr!K27=".",up_Irr!AJ27&lt;&gt;".",up_Irr!BI27="."),up_dir!AL27/((1/1000)*(up_Irr!AJ27)),IF(AND(up_Irr!K27&lt;&gt;".",up_Irr!AJ27=".",up_Irr!BI27="."),up_dir!AL27/((1/1000)*(up_Irr!K27)),IF(AND(up_Irr!K27=".",up_Irr!AJ27=".",up_Irr!BI27="."),up_dir!AL27*1000)))))))),".")</f>
        <v>6.5773651144152131E-4</v>
      </c>
      <c r="BM27" s="70">
        <f>IFERROR(IF(AND(up_Irr!L27&lt;&gt;".",up_Irr!AK27&lt;&gt;".",up_Irr!BJ27&lt;&gt;"."),up_dir!AM27/((1/1000)*(up_Irr!L27+up_Irr!AK27+up_Irr!BJ27)),IF(AND(up_Irr!L27&lt;&gt;".",up_Irr!AK27&lt;&gt;".",up_Irr!BJ27="."),up_dir!AM27/((1/1000)*(up_Irr!L27+up_Irr!AK27)),IF(AND(up_Irr!L27&lt;&gt;".",up_Irr!AK27=".",up_Irr!BJ27&lt;&gt;"."),up_dir!AM27/((1/1000)*(up_Irr!L27+up_Irr!BJ27)),IF(AND(up_Irr!L27=".",up_Irr!AK27&lt;&gt;".",up_Irr!BJ27&lt;&gt;"."),up_dir!AM27/((1/1000)*(up_Irr!AK27+up_Irr!BJ27)),IF(AND(up_Irr!L27=".",up_Irr!AK27=".",up_Irr!BJ27&lt;&gt;"."),up_dir!AM27/((1/1000)*(up_Irr!BJ27)),IF(AND(up_Irr!L27=".",up_Irr!AK27&lt;&gt;".",up_Irr!BJ27="."),up_dir!AM27/((1/1000)*(up_Irr!AK27)),IF(AND(up_Irr!L27&lt;&gt;".",up_Irr!AK27=".",up_Irr!BJ27="."),up_dir!AM27/((1/1000)*(up_Irr!L27)),IF(AND(up_Irr!L27=".",up_Irr!AK27=".",up_Irr!BJ27="."),up_dir!AM27*1000)))))))),".")</f>
        <v>6.5773651144152131E-4</v>
      </c>
      <c r="BN27" s="70">
        <f>IFERROR(IF(AND(up_Irr!M27&lt;&gt;".",up_Irr!AL27&lt;&gt;".",up_Irr!BK27&lt;&gt;"."),up_dir!AN27/((1/1000)*(up_Irr!M27+up_Irr!AL27+up_Irr!BK27)),IF(AND(up_Irr!M27&lt;&gt;".",up_Irr!AL27&lt;&gt;".",up_Irr!BK27="."),up_dir!AN27/((1/1000)*(up_Irr!M27+up_Irr!AL27)),IF(AND(up_Irr!M27&lt;&gt;".",up_Irr!AL27=".",up_Irr!BK27&lt;&gt;"."),up_dir!AN27/((1/1000)*(up_Irr!M27+up_Irr!BK27)),IF(AND(up_Irr!M27=".",up_Irr!AL27&lt;&gt;".",up_Irr!BK27&lt;&gt;"."),up_dir!AN27/((1/1000)*(up_Irr!AL27+up_Irr!BK27)),IF(AND(up_Irr!M27=".",up_Irr!AL27=".",up_Irr!BK27&lt;&gt;"."),up_dir!AN27/((1/1000)*(up_Irr!BK27)),IF(AND(up_Irr!M27=".",up_Irr!AL27&lt;&gt;".",up_Irr!BK27="."),up_dir!AN27/((1/1000)*(up_Irr!AL27)),IF(AND(up_Irr!M27&lt;&gt;".",up_Irr!AL27=".",up_Irr!BK27="."),up_dir!AN27/((1/1000)*(up_Irr!M27)),IF(AND(up_Irr!M27=".",up_Irr!AL27=".",up_Irr!BK27="."),up_dir!AN27*1000)))))))),".")</f>
        <v>6.5773651144152131E-4</v>
      </c>
      <c r="BO27" s="70">
        <f>IFERROR(IF(AND(up_Irr!N27&lt;&gt;".",up_Irr!AM27&lt;&gt;".",up_Irr!BL27&lt;&gt;"."),up_dir!AO27/((1/1000)*(up_Irr!N27+up_Irr!AM27+up_Irr!BL27)),IF(AND(up_Irr!N27&lt;&gt;".",up_Irr!AM27&lt;&gt;".",up_Irr!BL27="."),up_dir!AO27/((1/1000)*(up_Irr!N27+up_Irr!AM27)),IF(AND(up_Irr!N27&lt;&gt;".",up_Irr!AM27=".",up_Irr!BL27&lt;&gt;"."),up_dir!AO27/((1/1000)*(up_Irr!N27+up_Irr!BL27)),IF(AND(up_Irr!N27=".",up_Irr!AM27&lt;&gt;".",up_Irr!BL27&lt;&gt;"."),up_dir!AO27/((1/1000)*(up_Irr!AM27+up_Irr!BL27)),IF(AND(up_Irr!N27=".",up_Irr!AM27=".",up_Irr!BL27&lt;&gt;"."),up_dir!AO27/((1/1000)*(up_Irr!BL27)),IF(AND(up_Irr!N27=".",up_Irr!AM27&lt;&gt;".",up_Irr!BL27="."),up_dir!AO27/((1/1000)*(up_Irr!AM27)),IF(AND(up_Irr!N27&lt;&gt;".",up_Irr!AM27=".",up_Irr!BL27="."),up_dir!AO27/((1/1000)*(up_Irr!N27)),IF(AND(up_Irr!N27=".",up_Irr!AM27=".",up_Irr!BL27="."),up_dir!AO27*1000)))))))),".")</f>
        <v>6.5773651144152131E-4</v>
      </c>
      <c r="BP27" s="70">
        <f>IFERROR(IF(AND(up_Irr!O27&lt;&gt;".",up_Irr!AN27&lt;&gt;".",up_Irr!BM27&lt;&gt;"."),up_dir!AP27/((1/1000)*(up_Irr!O27+up_Irr!AN27+up_Irr!BM27)),IF(AND(up_Irr!O27&lt;&gt;".",up_Irr!AN27&lt;&gt;".",up_Irr!BM27="."),up_dir!AP27/((1/1000)*(up_Irr!O27+up_Irr!AN27)),IF(AND(up_Irr!O27&lt;&gt;".",up_Irr!AN27=".",up_Irr!BM27&lt;&gt;"."),up_dir!AP27/((1/1000)*(up_Irr!O27+up_Irr!BM27)),IF(AND(up_Irr!O27=".",up_Irr!AN27&lt;&gt;".",up_Irr!BM27&lt;&gt;"."),up_dir!AP27/((1/1000)*(up_Irr!AN27+up_Irr!BM27)),IF(AND(up_Irr!O27=".",up_Irr!AN27=".",up_Irr!BM27&lt;&gt;"."),up_dir!AP27/((1/1000)*(up_Irr!BM27)),IF(AND(up_Irr!O27=".",up_Irr!AN27&lt;&gt;".",up_Irr!BM27="."),up_dir!AP27/((1/1000)*(up_Irr!AN27)),IF(AND(up_Irr!O27&lt;&gt;".",up_Irr!AN27=".",up_Irr!BM27="."),up_dir!AP27/((1/1000)*(up_Irr!O27)),IF(AND(up_Irr!O27=".",up_Irr!AN27=".",up_Irr!BM27="."),up_dir!AP27*1000)))))))),".")</f>
        <v>6.5773651144152131E-4</v>
      </c>
      <c r="BQ27" s="70">
        <f>IFERROR(IF(AND(up_Irr!P27&lt;&gt;".",up_Irr!AO27&lt;&gt;".",up_Irr!BN27&lt;&gt;"."),up_dir!AQ27/((1/1000)*(up_Irr!P27+up_Irr!AO27+up_Irr!BN27)),IF(AND(up_Irr!P27&lt;&gt;".",up_Irr!AO27&lt;&gt;".",up_Irr!BN27="."),up_dir!AQ27/((1/1000)*(up_Irr!P27+up_Irr!AO27)),IF(AND(up_Irr!P27&lt;&gt;".",up_Irr!AO27=".",up_Irr!BN27&lt;&gt;"."),up_dir!AQ27/((1/1000)*(up_Irr!P27+up_Irr!BN27)),IF(AND(up_Irr!P27=".",up_Irr!AO27&lt;&gt;".",up_Irr!BN27&lt;&gt;"."),up_dir!AQ27/((1/1000)*(up_Irr!AO27+up_Irr!BN27)),IF(AND(up_Irr!P27=".",up_Irr!AO27=".",up_Irr!BN27&lt;&gt;"."),up_dir!AQ27/((1/1000)*(up_Irr!BN27)),IF(AND(up_Irr!P27=".",up_Irr!AO27&lt;&gt;".",up_Irr!BN27="."),up_dir!AQ27/((1/1000)*(up_Irr!AO27)),IF(AND(up_Irr!P27&lt;&gt;".",up_Irr!AO27=".",up_Irr!BN27="."),up_dir!AQ27/((1/1000)*(up_Irr!P27)),IF(AND(up_Irr!P27=".",up_Irr!AO27=".",up_Irr!BN27="."),up_dir!AQ27*1000)))))))),".")</f>
        <v>6.5773651144152131E-4</v>
      </c>
      <c r="BR27" s="70">
        <f>IFERROR(IF(AND(up_Irr!Q27&lt;&gt;".",up_Irr!AP27&lt;&gt;".",up_Irr!BO27&lt;&gt;"."),up_dir!AR27/((1/1000)*(up_Irr!Q27+up_Irr!AP27+up_Irr!BO27)),IF(AND(up_Irr!Q27&lt;&gt;".",up_Irr!AP27&lt;&gt;".",up_Irr!BO27="."),up_dir!AR27/((1/1000)*(up_Irr!Q27+up_Irr!AP27)),IF(AND(up_Irr!Q27&lt;&gt;".",up_Irr!AP27=".",up_Irr!BO27&lt;&gt;"."),up_dir!AR27/((1/1000)*(up_Irr!Q27+up_Irr!BO27)),IF(AND(up_Irr!Q27=".",up_Irr!AP27&lt;&gt;".",up_Irr!BO27&lt;&gt;"."),up_dir!AR27/((1/1000)*(up_Irr!AP27+up_Irr!BO27)),IF(AND(up_Irr!Q27=".",up_Irr!AP27=".",up_Irr!BO27&lt;&gt;"."),up_dir!AR27/((1/1000)*(up_Irr!BO27)),IF(AND(up_Irr!Q27=".",up_Irr!AP27&lt;&gt;".",up_Irr!BO27="."),up_dir!AR27/((1/1000)*(up_Irr!AP27)),IF(AND(up_Irr!Q27&lt;&gt;".",up_Irr!AP27=".",up_Irr!BO27="."),up_dir!AR27/((1/1000)*(up_Irr!Q27)),IF(AND(up_Irr!Q27=".",up_Irr!AP27=".",up_Irr!BO27="."),up_dir!AR27*1000)))))))),".")</f>
        <v>6.5773651144152131E-4</v>
      </c>
      <c r="BS27" s="70">
        <f>IFERROR(IF(AND(up_Irr!R27&lt;&gt;".",up_Irr!AQ27&lt;&gt;".",up_Irr!BP27&lt;&gt;"."),up_dir!AS27/((1/1000)*(up_Irr!R27+up_Irr!AQ27+up_Irr!BP27)),IF(AND(up_Irr!R27&lt;&gt;".",up_Irr!AQ27&lt;&gt;".",up_Irr!BP27="."),up_dir!AS27/((1/1000)*(up_Irr!R27+up_Irr!AQ27)),IF(AND(up_Irr!R27&lt;&gt;".",up_Irr!AQ27=".",up_Irr!BP27&lt;&gt;"."),up_dir!AS27/((1/1000)*(up_Irr!R27+up_Irr!BP27)),IF(AND(up_Irr!R27=".",up_Irr!AQ27&lt;&gt;".",up_Irr!BP27&lt;&gt;"."),up_dir!AS27/((1/1000)*(up_Irr!AQ27+up_Irr!BP27)),IF(AND(up_Irr!R27=".",up_Irr!AQ27=".",up_Irr!BP27&lt;&gt;"."),up_dir!AS27/((1/1000)*(up_Irr!BP27)),IF(AND(up_Irr!R27=".",up_Irr!AQ27&lt;&gt;".",up_Irr!BP27="."),up_dir!AS27/((1/1000)*(up_Irr!AQ27)),IF(AND(up_Irr!R27&lt;&gt;".",up_Irr!AQ27=".",up_Irr!BP27="."),up_dir!AS27/((1/1000)*(up_Irr!R27)),IF(AND(up_Irr!R27=".",up_Irr!AQ27=".",up_Irr!BP27="."),up_dir!AS27*1000)))))))),".")</f>
        <v>6.5773651144152131E-4</v>
      </c>
      <c r="BT27" s="70">
        <f>IFERROR(IF(AND(up_Irr!S27&lt;&gt;".",up_Irr!AR27&lt;&gt;".",up_Irr!BQ27&lt;&gt;"."),up_dir!AT27/((1/1000)*(up_Irr!S27+up_Irr!AR27+up_Irr!BQ27)),IF(AND(up_Irr!S27&lt;&gt;".",up_Irr!AR27&lt;&gt;".",up_Irr!BQ27="."),up_dir!AT27/((1/1000)*(up_Irr!S27+up_Irr!AR27)),IF(AND(up_Irr!S27&lt;&gt;".",up_Irr!AR27=".",up_Irr!BQ27&lt;&gt;"."),up_dir!AT27/((1/1000)*(up_Irr!S27+up_Irr!BQ27)),IF(AND(up_Irr!S27=".",up_Irr!AR27&lt;&gt;".",up_Irr!BQ27&lt;&gt;"."),up_dir!AT27/((1/1000)*(up_Irr!AR27+up_Irr!BQ27)),IF(AND(up_Irr!S27=".",up_Irr!AR27=".",up_Irr!BQ27&lt;&gt;"."),up_dir!AT27/((1/1000)*(up_Irr!BQ27)),IF(AND(up_Irr!S27=".",up_Irr!AR27&lt;&gt;".",up_Irr!BQ27="."),up_dir!AT27/((1/1000)*(up_Irr!AR27)),IF(AND(up_Irr!S27&lt;&gt;".",up_Irr!AR27=".",up_Irr!BQ27="."),up_dir!AT27/((1/1000)*(up_Irr!S27)),IF(AND(up_Irr!S27=".",up_Irr!AR27=".",up_Irr!BQ27="."),up_dir!AT27*1000)))))))),".")</f>
        <v>6.5773651144152131E-4</v>
      </c>
      <c r="BU27" s="70">
        <f>IFERROR(IF(AND(up_Irr!T27&lt;&gt;".",up_Irr!AS27&lt;&gt;".",up_Irr!BR27&lt;&gt;"."),up_dir!AU27/((1/1000)*(up_Irr!T27+up_Irr!AS27+up_Irr!BR27)),IF(AND(up_Irr!T27&lt;&gt;".",up_Irr!AS27&lt;&gt;".",up_Irr!BR27="."),up_dir!AU27/((1/1000)*(up_Irr!T27+up_Irr!AS27)),IF(AND(up_Irr!T27&lt;&gt;".",up_Irr!AS27=".",up_Irr!BR27&lt;&gt;"."),up_dir!AU27/((1/1000)*(up_Irr!T27+up_Irr!BR27)),IF(AND(up_Irr!T27=".",up_Irr!AS27&lt;&gt;".",up_Irr!BR27&lt;&gt;"."),up_dir!AU27/((1/1000)*(up_Irr!AS27+up_Irr!BR27)),IF(AND(up_Irr!T27=".",up_Irr!AS27=".",up_Irr!BR27&lt;&gt;"."),up_dir!AU27/((1/1000)*(up_Irr!BR27)),IF(AND(up_Irr!T27=".",up_Irr!AS27&lt;&gt;".",up_Irr!BR27="."),up_dir!AU27/((1/1000)*(up_Irr!AS27)),IF(AND(up_Irr!T27&lt;&gt;".",up_Irr!AS27=".",up_Irr!BR27="."),up_dir!AU27/((1/1000)*(up_Irr!T27)),IF(AND(up_Irr!T27=".",up_Irr!AS27=".",up_Irr!BR27="."),up_dir!AU27*1000)))))))),".")</f>
        <v>6.5773651144152131E-4</v>
      </c>
      <c r="BV27" s="70">
        <f>IFERROR(IF(AND(up_Irr!U27&lt;&gt;".",up_Irr!AT27&lt;&gt;".",up_Irr!BS27&lt;&gt;"."),up_dir!AV27/((1/1000)*(up_Irr!U27+up_Irr!AT27+up_Irr!BS27)),IF(AND(up_Irr!U27&lt;&gt;".",up_Irr!AT27&lt;&gt;".",up_Irr!BS27="."),up_dir!AV27/((1/1000)*(up_Irr!U27+up_Irr!AT27)),IF(AND(up_Irr!U27&lt;&gt;".",up_Irr!AT27=".",up_Irr!BS27&lt;&gt;"."),up_dir!AV27/((1/1000)*(up_Irr!U27+up_Irr!BS27)),IF(AND(up_Irr!U27=".",up_Irr!AT27&lt;&gt;".",up_Irr!BS27&lt;&gt;"."),up_dir!AV27/((1/1000)*(up_Irr!AT27+up_Irr!BS27)),IF(AND(up_Irr!U27=".",up_Irr!AT27=".",up_Irr!BS27&lt;&gt;"."),up_dir!AV27/((1/1000)*(up_Irr!BS27)),IF(AND(up_Irr!U27=".",up_Irr!AT27&lt;&gt;".",up_Irr!BS27="."),up_dir!AV27/((1/1000)*(up_Irr!AT27)),IF(AND(up_Irr!U27&lt;&gt;".",up_Irr!AT27=".",up_Irr!BS27="."),up_dir!AV27/((1/1000)*(up_Irr!U27)),IF(AND(up_Irr!U27=".",up_Irr!AT27=".",up_Irr!BS27="."),up_dir!AV27*1000)))))))),".")</f>
        <v>6.5773651144152131E-4</v>
      </c>
      <c r="BW27" s="70">
        <f>IFERROR(IF(AND(up_Irr!V27&lt;&gt;".",up_Irr!AU27&lt;&gt;".",up_Irr!BT27&lt;&gt;"."),up_dir!AW27/((1/1000)*(up_Irr!V27+up_Irr!AU27+up_Irr!BT27)),IF(AND(up_Irr!V27&lt;&gt;".",up_Irr!AU27&lt;&gt;".",up_Irr!BT27="."),up_dir!AW27/((1/1000)*(up_Irr!V27+up_Irr!AU27)),IF(AND(up_Irr!V27&lt;&gt;".",up_Irr!AU27=".",up_Irr!BT27&lt;&gt;"."),up_dir!AW27/((1/1000)*(up_Irr!V27+up_Irr!BT27)),IF(AND(up_Irr!V27=".",up_Irr!AU27&lt;&gt;".",up_Irr!BT27&lt;&gt;"."),up_dir!AW27/((1/1000)*(up_Irr!AU27+up_Irr!BT27)),IF(AND(up_Irr!V27=".",up_Irr!AU27=".",up_Irr!BT27&lt;&gt;"."),up_dir!AW27/((1/1000)*(up_Irr!BT27)),IF(AND(up_Irr!V27=".",up_Irr!AU27&lt;&gt;".",up_Irr!BT27="."),up_dir!AW27/((1/1000)*(up_Irr!AU27)),IF(AND(up_Irr!V27&lt;&gt;".",up_Irr!AU27=".",up_Irr!BT27="."),up_dir!AW27/((1/1000)*(up_Irr!V27)),IF(AND(up_Irr!V27=".",up_Irr!AU27=".",up_Irr!BT27="."),up_dir!AW27*1000)))))))),".")</f>
        <v>6.5773651144152131E-4</v>
      </c>
      <c r="BX27" s="70">
        <f>IFERROR(IF(AND(up_Irr!W27&lt;&gt;".",up_Irr!AV27&lt;&gt;".",up_Irr!BU27&lt;&gt;"."),up_dir!AX27/((1/1000)*(up_Irr!W27+up_Irr!AV27+up_Irr!BU27)),IF(AND(up_Irr!W27&lt;&gt;".",up_Irr!AV27&lt;&gt;".",up_Irr!BU27="."),up_dir!AX27/((1/1000)*(up_Irr!W27+up_Irr!AV27)),IF(AND(up_Irr!W27&lt;&gt;".",up_Irr!AV27=".",up_Irr!BU27&lt;&gt;"."),up_dir!AX27/((1/1000)*(up_Irr!W27+up_Irr!BU27)),IF(AND(up_Irr!W27=".",up_Irr!AV27&lt;&gt;".",up_Irr!BU27&lt;&gt;"."),up_dir!AX27/((1/1000)*(up_Irr!AV27+up_Irr!BU27)),IF(AND(up_Irr!W27=".",up_Irr!AV27=".",up_Irr!BU27&lt;&gt;"."),up_dir!AX27/((1/1000)*(up_Irr!BU27)),IF(AND(up_Irr!W27=".",up_Irr!AV27&lt;&gt;".",up_Irr!BU27="."),up_dir!AX27/((1/1000)*(up_Irr!AV27)),IF(AND(up_Irr!W27&lt;&gt;".",up_Irr!AV27=".",up_Irr!BU27="."),up_dir!AX27/((1/1000)*(up_Irr!W27)),IF(AND(up_Irr!W27=".",up_Irr!AV27=".",up_Irr!BU27="."),up_dir!AX27*1000)))))))),".")</f>
        <v>6.5773651144152131E-4</v>
      </c>
      <c r="BY27" s="70">
        <f>IFERROR(IF(AND(up_Irr!X27&lt;&gt;".",up_Irr!AW27&lt;&gt;".",up_Irr!BV27&lt;&gt;"."),up_dir!AY27/((1/1000)*(up_Irr!X27+up_Irr!AW27+up_Irr!BV27)),IF(AND(up_Irr!X27&lt;&gt;".",up_Irr!AW27&lt;&gt;".",up_Irr!BV27="."),up_dir!AY27/((1/1000)*(up_Irr!X27+up_Irr!AW27)),IF(AND(up_Irr!X27&lt;&gt;".",up_Irr!AW27=".",up_Irr!BV27&lt;&gt;"."),up_dir!AY27/((1/1000)*(up_Irr!X27+up_Irr!BV27)),IF(AND(up_Irr!X27=".",up_Irr!AW27&lt;&gt;".",up_Irr!BV27&lt;&gt;"."),up_dir!AY27/((1/1000)*(up_Irr!AW27+up_Irr!BV27)),IF(AND(up_Irr!X27=".",up_Irr!AW27=".",up_Irr!BV27&lt;&gt;"."),up_dir!AY27/((1/1000)*(up_Irr!BV27)),IF(AND(up_Irr!X27=".",up_Irr!AW27&lt;&gt;".",up_Irr!BV27="."),up_dir!AY27/((1/1000)*(up_Irr!AW27)),IF(AND(up_Irr!X27&lt;&gt;".",up_Irr!AW27=".",up_Irr!BV27="."),up_dir!AY27/((1/1000)*(up_Irr!X27)),IF(AND(up_Irr!X27=".",up_Irr!AW27=".",up_Irr!BV27="."),up_dir!AY27*1000)))))))),".")</f>
        <v>6.5773651144152131E-4</v>
      </c>
      <c r="BZ27" s="70">
        <f>IFERROR(IF(AND(up_Irr!Y27&lt;&gt;".",up_Irr!AX27&lt;&gt;".",up_Irr!BW27&lt;&gt;"."),up_dir!AZ27/((1/1000)*(up_Irr!Y27+up_Irr!AX27+up_Irr!BW27)),IF(AND(up_Irr!Y27&lt;&gt;".",up_Irr!AX27&lt;&gt;".",up_Irr!BW27="."),up_dir!AZ27/((1/1000)*(up_Irr!Y27+up_Irr!AX27)),IF(AND(up_Irr!Y27&lt;&gt;".",up_Irr!AX27=".",up_Irr!BW27&lt;&gt;"."),up_dir!AZ27/((1/1000)*(up_Irr!Y27+up_Irr!BW27)),IF(AND(up_Irr!Y27=".",up_Irr!AX27&lt;&gt;".",up_Irr!BW27&lt;&gt;"."),up_dir!AZ27/((1/1000)*(up_Irr!AX27+up_Irr!BW27)),IF(AND(up_Irr!Y27=".",up_Irr!AX27=".",up_Irr!BW27&lt;&gt;"."),up_dir!AZ27/((1/1000)*(up_Irr!BW27)),IF(AND(up_Irr!Y27=".",up_Irr!AX27&lt;&gt;".",up_Irr!BW27="."),up_dir!AZ27/((1/1000)*(up_Irr!AX27)),IF(AND(up_Irr!Y27&lt;&gt;".",up_Irr!AX27=".",up_Irr!BW27="."),up_dir!AZ27/((1/1000)*(up_Irr!Y27)),IF(AND(up_Irr!Y27=".",up_Irr!AX27=".",up_Irr!BW27="."),up_dir!AZ27*1000)))))))),".")</f>
        <v>6.5773651144152131E-4</v>
      </c>
      <c r="CA27" s="70">
        <f>IFERROR(IF(AND(up_Irr!Z27&lt;&gt;".",up_Irr!AY27&lt;&gt;".",up_Irr!BX27&lt;&gt;"."),up_dir!BA27/((1/1000)*(up_Irr!Z27+up_Irr!AY27+up_Irr!BX27)),IF(AND(up_Irr!Z27&lt;&gt;".",up_Irr!AY27&lt;&gt;".",up_Irr!BX27="."),up_dir!BA27/((1/1000)*(up_Irr!Z27+up_Irr!AY27)),IF(AND(up_Irr!Z27&lt;&gt;".",up_Irr!AY27=".",up_Irr!BX27&lt;&gt;"."),up_dir!BA27/((1/1000)*(up_Irr!Z27+up_Irr!BX27)),IF(AND(up_Irr!Z27=".",up_Irr!AY27&lt;&gt;".",up_Irr!BX27&lt;&gt;"."),up_dir!BA27/((1/1000)*(up_Irr!AY27+up_Irr!BX27)),IF(AND(up_Irr!Z27=".",up_Irr!AY27=".",up_Irr!BX27&lt;&gt;"."),up_dir!BA27/((1/1000)*(up_Irr!BX27)),IF(AND(up_Irr!Z27=".",up_Irr!AY27&lt;&gt;".",up_Irr!BX27="."),up_dir!BA27/((1/1000)*(up_Irr!AY27)),IF(AND(up_Irr!Z27&lt;&gt;".",up_Irr!AY27=".",up_Irr!BX27="."),up_dir!BA27/((1/1000)*(up_Irr!Z27)),IF(AND(up_Irr!Z27=".",up_Irr!AY27=".",up_Irr!BX27="."),up_dir!BA27*1000)))))))),".")</f>
        <v>6.5773651144152131E-4</v>
      </c>
      <c r="CB27" s="70">
        <f>IFERROR(IF(AND(up_Irr!AA27&lt;&gt;".",up_Irr!AZ27&lt;&gt;".",up_Irr!BY27&lt;&gt;"."),up_dir!BB27/((1/1000)*(up_Irr!AA27+up_Irr!AZ27+up_Irr!BY27)),IF(AND(up_Irr!AA27&lt;&gt;".",up_Irr!AZ27&lt;&gt;".",up_Irr!BY27="."),up_dir!BB27/((1/1000)*(up_Irr!AA27+up_Irr!AZ27)),IF(AND(up_Irr!AA27&lt;&gt;".",up_Irr!AZ27=".",up_Irr!BY27&lt;&gt;"."),up_dir!BB27/((1/1000)*(up_Irr!AA27+up_Irr!BY27)),IF(AND(up_Irr!AA27=".",up_Irr!AZ27&lt;&gt;".",up_Irr!BY27&lt;&gt;"."),up_dir!BB27/((1/1000)*(up_Irr!AZ27+up_Irr!BY27)),IF(AND(up_Irr!AA27=".",up_Irr!AZ27=".",up_Irr!BY27&lt;&gt;"."),up_dir!BB27/((1/1000)*(up_Irr!BY27)),IF(AND(up_Irr!AA27=".",up_Irr!AZ27&lt;&gt;".",up_Irr!BY27="."),up_dir!BB27/((1/1000)*(up_Irr!AZ27)),IF(AND(up_Irr!AA27&lt;&gt;".",up_Irr!AZ27=".",up_Irr!BY27="."),up_dir!BB27/((1/1000)*(up_Irr!AA27)),IF(AND(up_Irr!AA27=".",up_Irr!AZ27=".",up_Irr!BY27="."),up_dir!BB27*1000)))))))),".")</f>
        <v>6.5773651144152131E-4</v>
      </c>
      <c r="CC27" s="87">
        <f t="shared" si="3"/>
        <v>30407.313038114935</v>
      </c>
      <c r="CD27" s="87">
        <f>IFERROR(s_C*s_IFAP_far_adj*s_CF_apple*(1/1000)*(up_Irr!C27+up_Irr!AB27+up_Irr!BA27),".")</f>
        <v>7601.8282595287337</v>
      </c>
      <c r="CE27" s="87">
        <f>IFERROR(s_C*s_IFAS_far_adj*s_CF_asparagus*(1/1000)*(up_Irr!D27+up_Irr!AC27+up_Irr!BB27),".")</f>
        <v>7601.8282595287337</v>
      </c>
      <c r="CF27" s="87">
        <f>IFERROR(s_C*s_IFBT_far_adj*s_CF_beet*(1/1000)*(up_Irr!E27+up_Irr!AD27+up_Irr!BC27),".")</f>
        <v>7601.8282595287337</v>
      </c>
      <c r="CG27" s="87">
        <f>IFERROR(s_C*s_IFBE_far_adj*s_CF_berries*(1/1000)*(up_Irr!F27+up_Irr!AE27+up_Irr!BD27),".")</f>
        <v>7601.8282595287337</v>
      </c>
      <c r="CH27" s="87">
        <f>IFERROR(s_C*s_IFBR_far_adj*s_CF_broccoli*(1/1000)*(up_Irr!G27+up_Irr!AF27+up_Irr!BE27),".")</f>
        <v>7601.8282595287337</v>
      </c>
      <c r="CI27" s="87">
        <f>IFERROR(s_C*s_IFCB_far_adj*s_CF_cabbage*(1/1000)*(up_Irr!H27+up_Irr!AG27+up_Irr!BF27),".")</f>
        <v>7601.8282595287337</v>
      </c>
      <c r="CJ27" s="87">
        <f>IFERROR(s_C*s_IFCR_far_adj*s_CF_carrot*(1/1000)*(up_Irr!I27+up_Irr!AH27+up_Irr!BG27),".")</f>
        <v>7601.8282595287337</v>
      </c>
      <c r="CK27" s="87">
        <f>IFERROR(s_C*s_IFCI_far_adj*s_CF_citrus*(1/1000)*(up_Irr!J27+up_Irr!AI27+up_Irr!BH27),".")</f>
        <v>7601.8282595287337</v>
      </c>
      <c r="CL27" s="87">
        <f>IFERROR(s_C*s_IFCO_far_adj*s_CF_corn*(1/1000)*(up_Irr!K27+up_Irr!AJ27+up_Irr!BI27),".")</f>
        <v>7601.8282595287337</v>
      </c>
      <c r="CM27" s="87">
        <f>IFERROR(s_C*s_IFCU_far_adj*s_CF_cucumber*(1/1000)*(up_Irr!L27+up_Irr!AK27+up_Irr!BJ27),".")</f>
        <v>7601.8282595287337</v>
      </c>
      <c r="CN27" s="87">
        <f>IFERROR(s_C*s_IFLE_far_adj*s_CF_lettuce*(1/1000)*(up_Irr!M27+up_Irr!AL27+up_Irr!BK27),".")</f>
        <v>7601.8282595287337</v>
      </c>
      <c r="CO27" s="87">
        <f>IFERROR(s_C*s_IFLI_far_adj*s_CF_lima_bean*(1/1000)*(up_Irr!N27+up_Irr!AM27+up_Irr!BL27),".")</f>
        <v>7601.8282595287337</v>
      </c>
      <c r="CP27" s="87">
        <f>IFERROR(s_C*s_IFOK_far_adj*s_CF_okra*(1/1000)*(up_Irr!O27+up_Irr!AN27+up_Irr!BM27),".")</f>
        <v>7601.8282595287337</v>
      </c>
      <c r="CQ27" s="87">
        <f>IFERROR(s_C*s_IFON_far_adj*s_CF_onion*(1/1000)*(up_Irr!P27+up_Irr!AO27+up_Irr!BN27),".")</f>
        <v>7601.8282595287337</v>
      </c>
      <c r="CR27" s="87">
        <f>IFERROR(s_C*s_IFPC_far_adj*s_CF_peach*(1/1000)*(up_Irr!Q27+up_Irr!AP27+up_Irr!BO27),".")</f>
        <v>7601.8282595287337</v>
      </c>
      <c r="CS27" s="87">
        <f>IFERROR(s_C*s_IFPR_far_adj*s_CF_pear*(1/1000)*(up_Irr!R27+up_Irr!AQ27+up_Irr!BP27),".")</f>
        <v>7601.8282595287337</v>
      </c>
      <c r="CT27" s="87">
        <f>IFERROR(s_C*s_IFPE_far_adj*s_CF_peas*(1/1000)*(up_Irr!S27+up_Irr!AR27+up_Irr!BQ27),".")</f>
        <v>7601.8282595287337</v>
      </c>
      <c r="CU27" s="87">
        <f>IFERROR(s_C*s_IFPP_far_adj*s_CF_peppers*(1/1000)*(up_Irr!T27+up_Irr!AS27+up_Irr!BR27),".")</f>
        <v>7601.8282595287337</v>
      </c>
      <c r="CV27" s="87">
        <f>IFERROR(s_C*s_IFPT_far_adj*s_CF_potato*(1/1000)*(up_Irr!U27+up_Irr!AT27+up_Irr!BS27),".")</f>
        <v>7601.8282595287337</v>
      </c>
      <c r="CW27" s="87">
        <f>IFERROR(s_C*s_IFPU_far_adj*s_CF_pumpkin*(1/1000)*(up_Irr!V27+up_Irr!AU27+up_Irr!BT27),".")</f>
        <v>7601.8282595287337</v>
      </c>
      <c r="CX27" s="87">
        <f>IFERROR(s_C*s_IFSN_far_adj*s_CF_snap_bean*(1/1000)*(up_Irr!W27+up_Irr!AV27+up_Irr!BU27),".")</f>
        <v>7601.8282595287337</v>
      </c>
      <c r="CY27" s="87">
        <f>IFERROR(s_C*s_IFST_far_adj*s_CF_strawberry*(1/1000)*(up_Irr!X27+up_Irr!AW27+up_Irr!BV27),".")</f>
        <v>7601.8282595287337</v>
      </c>
      <c r="CZ27" s="87">
        <f>IFERROR(s_C*s_IFTO_far_adj*s_CF_tomato*(1/1000)*(up_Irr!Y27+up_Irr!AX27+up_Irr!BW27),".")</f>
        <v>7601.8282595287337</v>
      </c>
      <c r="DA27" s="87">
        <f>IFERROR(s_C*s_IFRI_far_adj*s_CF_rice*(1/1000)*(up_Irr!Z27+up_Irr!AY27+up_Irr!BX27),".")</f>
        <v>7601.8282595287337</v>
      </c>
      <c r="DB27" s="87">
        <f>IFERROR(s_C*s_IFCG_far_adj*s_CF_cereal*(1/1000)*(up_Irr!AA27+up_Irr!AZ27+up_Irr!BY27),".")</f>
        <v>7601.8282595287337</v>
      </c>
    </row>
    <row r="28" spans="1:106" ht="15" customHeight="1" x14ac:dyDescent="0.25">
      <c r="A28" s="86" t="s">
        <v>26</v>
      </c>
      <c r="B28" s="84" t="s">
        <v>1057</v>
      </c>
      <c r="C28" s="15">
        <f t="shared" si="0"/>
        <v>1.6443412786038033E-4</v>
      </c>
      <c r="D28" s="70">
        <f>IFERROR(IF(AND(up_Irr!C28&lt;&gt;".",up_Irr!AB28&lt;&gt;".",up_Irr!BA28&lt;&gt;"."),up_dir!D28/((1/1000)*(up_Irr!C28+up_Irr!AB28+up_Irr!BA28)),IF(AND(up_Irr!C28&lt;&gt;".",up_Irr!AB28&lt;&gt;".",up_Irr!BA28="."),up_dir!D28/((1/1000)*(up_Irr!C28+up_Irr!AB28)),IF(AND(up_Irr!C28&lt;&gt;".",up_Irr!AB28=".",up_Irr!BA28&lt;&gt;"."),up_dir!D28/((1/1000)*(up_Irr!C28+up_Irr!BA28)),IF(AND(up_Irr!C28=".",up_Irr!AB28&lt;&gt;".",up_Irr!BA28&lt;&gt;"."),up_dir!D28/((1/1000)*(up_Irr!AB28+up_Irr!BA28)),IF(AND(up_Irr!C28=".",up_Irr!AB28=".",up_Irr!BA28&lt;&gt;"."),up_dir!D28/((1/1000)*(up_Irr!BA28)),IF(AND(up_Irr!C28=".",up_Irr!AB28&lt;&gt;".",up_Irr!BA28="."),up_dir!D28/((1/1000)*(up_Irr!AB28)),IF(AND(up_Irr!C28&lt;&gt;".",up_Irr!AB28=".",up_Irr!BA28="."),up_dir!D28/((1/1000)*(up_Irr!C28)),IF(AND(up_Irr!C28=".",up_Irr!AB28=".",up_Irr!BA28="."),up_dir!D28*1000)))))))),".")</f>
        <v>6.5773651144152131E-4</v>
      </c>
      <c r="E28" s="70">
        <f>IFERROR(IF(AND(up_Irr!D28&lt;&gt;".",up_Irr!AC28&lt;&gt;".",up_Irr!BB28&lt;&gt;"."),up_dir!E28/((1/1000)*(up_Irr!D28+up_Irr!AC28+up_Irr!BB28)),IF(AND(up_Irr!D28&lt;&gt;".",up_Irr!AC28&lt;&gt;".",up_Irr!BB28="."),up_dir!E28/((1/1000)*(up_Irr!D28+up_Irr!AC28)),IF(AND(up_Irr!D28&lt;&gt;".",up_Irr!AC28=".",up_Irr!BB28&lt;&gt;"."),up_dir!E28/((1/1000)*(up_Irr!D28+up_Irr!BB28)),IF(AND(up_Irr!D28=".",up_Irr!AC28&lt;&gt;".",up_Irr!BB28&lt;&gt;"."),up_dir!E28/((1/1000)*(up_Irr!AC28+up_Irr!BB28)),IF(AND(up_Irr!D28=".",up_Irr!AC28=".",up_Irr!BB28&lt;&gt;"."),up_dir!E28/((1/1000)*(up_Irr!BB28)),IF(AND(up_Irr!D28=".",up_Irr!AC28&lt;&gt;".",up_Irr!BB28="."),up_dir!E28/((1/1000)*(up_Irr!AC28)),IF(AND(up_Irr!D28&lt;&gt;".",up_Irr!AC28=".",up_Irr!BB28="."),up_dir!E28/((1/1000)*(up_Irr!D28)),IF(AND(up_Irr!D28=".",up_Irr!AC28=".",up_Irr!BB28="."),up_dir!E28*1000)))))))),".")</f>
        <v>6.5773651144152131E-4</v>
      </c>
      <c r="F28" s="70">
        <f>IFERROR(IF(AND(up_Irr!E28&lt;&gt;".",up_Irr!AD28&lt;&gt;".",up_Irr!BC28&lt;&gt;"."),up_dir!F28/((1/1000)*(up_Irr!E28+up_Irr!AD28+up_Irr!BC28)),IF(AND(up_Irr!E28&lt;&gt;".",up_Irr!AD28&lt;&gt;".",up_Irr!BC28="."),up_dir!F28/((1/1000)*(up_Irr!E28+up_Irr!AD28)),IF(AND(up_Irr!E28&lt;&gt;".",up_Irr!AD28=".",up_Irr!BC28&lt;&gt;"."),up_dir!F28/((1/1000)*(up_Irr!E28+up_Irr!BC28)),IF(AND(up_Irr!E28=".",up_Irr!AD28&lt;&gt;".",up_Irr!BC28&lt;&gt;"."),up_dir!F28/((1/1000)*(up_Irr!AD28+up_Irr!BC28)),IF(AND(up_Irr!E28=".",up_Irr!AD28=".",up_Irr!BC28&lt;&gt;"."),up_dir!F28/((1/1000)*(up_Irr!BC28)),IF(AND(up_Irr!E28=".",up_Irr!AD28&lt;&gt;".",up_Irr!BC28="."),up_dir!F28/((1/1000)*(up_Irr!AD28)),IF(AND(up_Irr!E28&lt;&gt;".",up_Irr!AD28=".",up_Irr!BC28="."),up_dir!F28/((1/1000)*(up_Irr!E28)),IF(AND(up_Irr!E28=".",up_Irr!AD28=".",up_Irr!BC28="."),up_dir!F28*1000)))))))),".")</f>
        <v>6.5773651144152131E-4</v>
      </c>
      <c r="G28" s="70">
        <f>IFERROR(IF(AND(up_Irr!F28&lt;&gt;".",up_Irr!AE28&lt;&gt;".",up_Irr!BD28&lt;&gt;"."),up_dir!G28/((1/1000)*(up_Irr!F28+up_Irr!AE28+up_Irr!BD28)),IF(AND(up_Irr!F28&lt;&gt;".",up_Irr!AE28&lt;&gt;".",up_Irr!BD28="."),up_dir!G28/((1/1000)*(up_Irr!F28+up_Irr!AE28)),IF(AND(up_Irr!F28&lt;&gt;".",up_Irr!AE28=".",up_Irr!BD28&lt;&gt;"."),up_dir!G28/((1/1000)*(up_Irr!F28+up_Irr!BD28)),IF(AND(up_Irr!F28=".",up_Irr!AE28&lt;&gt;".",up_Irr!BD28&lt;&gt;"."),up_dir!G28/((1/1000)*(up_Irr!AE28+up_Irr!BD28)),IF(AND(up_Irr!F28=".",up_Irr!AE28=".",up_Irr!BD28&lt;&gt;"."),up_dir!G28/((1/1000)*(up_Irr!BD28)),IF(AND(up_Irr!F28=".",up_Irr!AE28&lt;&gt;".",up_Irr!BD28="."),up_dir!G28/((1/1000)*(up_Irr!AE28)),IF(AND(up_Irr!F28&lt;&gt;".",up_Irr!AE28=".",up_Irr!BD28="."),up_dir!G28/((1/1000)*(up_Irr!F28)),IF(AND(up_Irr!F28=".",up_Irr!AE28=".",up_Irr!BD28="."),up_dir!G28*1000)))))))),".")</f>
        <v>6.5773651144152131E-4</v>
      </c>
      <c r="H28" s="70">
        <f>IFERROR(IF(AND(up_Irr!G28&lt;&gt;".",up_Irr!AF28&lt;&gt;".",up_Irr!BE28&lt;&gt;"."),up_dir!H28/((1/1000)*(up_Irr!G28+up_Irr!AF28+up_Irr!BE28)),IF(AND(up_Irr!G28&lt;&gt;".",up_Irr!AF28&lt;&gt;".",up_Irr!BE28="."),up_dir!H28/((1/1000)*(up_Irr!G28+up_Irr!AF28)),IF(AND(up_Irr!G28&lt;&gt;".",up_Irr!AF28=".",up_Irr!BE28&lt;&gt;"."),up_dir!H28/((1/1000)*(up_Irr!G28+up_Irr!BE28)),IF(AND(up_Irr!G28=".",up_Irr!AF28&lt;&gt;".",up_Irr!BE28&lt;&gt;"."),up_dir!H28/((1/1000)*(up_Irr!AF28+up_Irr!BE28)),IF(AND(up_Irr!G28=".",up_Irr!AF28=".",up_Irr!BE28&lt;&gt;"."),up_dir!H28/((1/1000)*(up_Irr!BE28)),IF(AND(up_Irr!G28=".",up_Irr!AF28&lt;&gt;".",up_Irr!BE28="."),up_dir!H28/((1/1000)*(up_Irr!AF28)),IF(AND(up_Irr!G28&lt;&gt;".",up_Irr!AF28=".",up_Irr!BE28="."),up_dir!H28/((1/1000)*(up_Irr!G28)),IF(AND(up_Irr!G28=".",up_Irr!AF28=".",up_Irr!BE28="."),up_dir!H28*1000)))))))),".")</f>
        <v>6.5773651144152131E-4</v>
      </c>
      <c r="I28" s="70">
        <f>IFERROR(IF(AND(up_Irr!H28&lt;&gt;".",up_Irr!AG28&lt;&gt;".",up_Irr!BF28&lt;&gt;"."),up_dir!I28/((1/1000)*(up_Irr!H28+up_Irr!AG28+up_Irr!BF28)),IF(AND(up_Irr!H28&lt;&gt;".",up_Irr!AG28&lt;&gt;".",up_Irr!BF28="."),up_dir!I28/((1/1000)*(up_Irr!H28+up_Irr!AG28)),IF(AND(up_Irr!H28&lt;&gt;".",up_Irr!AG28=".",up_Irr!BF28&lt;&gt;"."),up_dir!I28/((1/1000)*(up_Irr!H28+up_Irr!BF28)),IF(AND(up_Irr!H28=".",up_Irr!AG28&lt;&gt;".",up_Irr!BF28&lt;&gt;"."),up_dir!I28/((1/1000)*(up_Irr!AG28+up_Irr!BF28)),IF(AND(up_Irr!H28=".",up_Irr!AG28=".",up_Irr!BF28&lt;&gt;"."),up_dir!I28/((1/1000)*(up_Irr!BF28)),IF(AND(up_Irr!H28=".",up_Irr!AG28&lt;&gt;".",up_Irr!BF28="."),up_dir!I28/((1/1000)*(up_Irr!AG28)),IF(AND(up_Irr!H28&lt;&gt;".",up_Irr!AG28=".",up_Irr!BF28="."),up_dir!I28/((1/1000)*(up_Irr!H28)),IF(AND(up_Irr!H28=".",up_Irr!AG28=".",up_Irr!BF28="."),up_dir!I28*1000)))))))),".")</f>
        <v>6.5773651144152131E-4</v>
      </c>
      <c r="J28" s="70">
        <f>IFERROR(IF(AND(up_Irr!I28&lt;&gt;".",up_Irr!AH28&lt;&gt;".",up_Irr!BG28&lt;&gt;"."),up_dir!J28/((1/1000)*(up_Irr!I28+up_Irr!AH28+up_Irr!BG28)),IF(AND(up_Irr!I28&lt;&gt;".",up_Irr!AH28&lt;&gt;".",up_Irr!BG28="."),up_dir!J28/((1/1000)*(up_Irr!I28+up_Irr!AH28)),IF(AND(up_Irr!I28&lt;&gt;".",up_Irr!AH28=".",up_Irr!BG28&lt;&gt;"."),up_dir!J28/((1/1000)*(up_Irr!I28+up_Irr!BG28)),IF(AND(up_Irr!I28=".",up_Irr!AH28&lt;&gt;".",up_Irr!BG28&lt;&gt;"."),up_dir!J28/((1/1000)*(up_Irr!AH28+up_Irr!BG28)),IF(AND(up_Irr!I28=".",up_Irr!AH28=".",up_Irr!BG28&lt;&gt;"."),up_dir!J28/((1/1000)*(up_Irr!BG28)),IF(AND(up_Irr!I28=".",up_Irr!AH28&lt;&gt;".",up_Irr!BG28="."),up_dir!J28/((1/1000)*(up_Irr!AH28)),IF(AND(up_Irr!I28&lt;&gt;".",up_Irr!AH28=".",up_Irr!BG28="."),up_dir!J28/((1/1000)*(up_Irr!I28)),IF(AND(up_Irr!I28=".",up_Irr!AH28=".",up_Irr!BG28="."),up_dir!J28*1000)))))))),".")</f>
        <v>6.5773651144152131E-4</v>
      </c>
      <c r="K28" s="70">
        <f>IFERROR(IF(AND(up_Irr!J28&lt;&gt;".",up_Irr!AI28&lt;&gt;".",up_Irr!BH28&lt;&gt;"."),up_dir!K28/((1/1000)*(up_Irr!J28+up_Irr!AI28+up_Irr!BH28)),IF(AND(up_Irr!J28&lt;&gt;".",up_Irr!AI28&lt;&gt;".",up_Irr!BH28="."),up_dir!K28/((1/1000)*(up_Irr!J28+up_Irr!AI28)),IF(AND(up_Irr!J28&lt;&gt;".",up_Irr!AI28=".",up_Irr!BH28&lt;&gt;"."),up_dir!K28/((1/1000)*(up_Irr!J28+up_Irr!BH28)),IF(AND(up_Irr!J28=".",up_Irr!AI28&lt;&gt;".",up_Irr!BH28&lt;&gt;"."),up_dir!K28/((1/1000)*(up_Irr!AI28+up_Irr!BH28)),IF(AND(up_Irr!J28=".",up_Irr!AI28=".",up_Irr!BH28&lt;&gt;"."),up_dir!K28/((1/1000)*(up_Irr!BH28)),IF(AND(up_Irr!J28=".",up_Irr!AI28&lt;&gt;".",up_Irr!BH28="."),up_dir!K28/((1/1000)*(up_Irr!AI28)),IF(AND(up_Irr!J28&lt;&gt;".",up_Irr!AI28=".",up_Irr!BH28="."),up_dir!K28/((1/1000)*(up_Irr!J28)),IF(AND(up_Irr!J28=".",up_Irr!AI28=".",up_Irr!BH28="."),up_dir!K28*1000)))))))),".")</f>
        <v>6.5773651144152131E-4</v>
      </c>
      <c r="L28" s="70">
        <f>IFERROR(IF(AND(up_Irr!K28&lt;&gt;".",up_Irr!AJ28&lt;&gt;".",up_Irr!BI28&lt;&gt;"."),up_dir!L28/((1/1000)*(up_Irr!K28+up_Irr!AJ28+up_Irr!BI28)),IF(AND(up_Irr!K28&lt;&gt;".",up_Irr!AJ28&lt;&gt;".",up_Irr!BI28="."),up_dir!L28/((1/1000)*(up_Irr!K28+up_Irr!AJ28)),IF(AND(up_Irr!K28&lt;&gt;".",up_Irr!AJ28=".",up_Irr!BI28&lt;&gt;"."),up_dir!L28/((1/1000)*(up_Irr!K28+up_Irr!BI28)),IF(AND(up_Irr!K28=".",up_Irr!AJ28&lt;&gt;".",up_Irr!BI28&lt;&gt;"."),up_dir!L28/((1/1000)*(up_Irr!AJ28+up_Irr!BI28)),IF(AND(up_Irr!K28=".",up_Irr!AJ28=".",up_Irr!BI28&lt;&gt;"."),up_dir!L28/((1/1000)*(up_Irr!BI28)),IF(AND(up_Irr!K28=".",up_Irr!AJ28&lt;&gt;".",up_Irr!BI28="."),up_dir!L28/((1/1000)*(up_Irr!AJ28)),IF(AND(up_Irr!K28&lt;&gt;".",up_Irr!AJ28=".",up_Irr!BI28="."),up_dir!L28/((1/1000)*(up_Irr!K28)),IF(AND(up_Irr!K28=".",up_Irr!AJ28=".",up_Irr!BI28="."),up_dir!L28*1000)))))))),".")</f>
        <v>6.5773651144152131E-4</v>
      </c>
      <c r="M28" s="70">
        <f>IFERROR(IF(AND(up_Irr!L28&lt;&gt;".",up_Irr!AK28&lt;&gt;".",up_Irr!BJ28&lt;&gt;"."),up_dir!M28/((1/1000)*(up_Irr!L28+up_Irr!AK28+up_Irr!BJ28)),IF(AND(up_Irr!L28&lt;&gt;".",up_Irr!AK28&lt;&gt;".",up_Irr!BJ28="."),up_dir!M28/((1/1000)*(up_Irr!L28+up_Irr!AK28)),IF(AND(up_Irr!L28&lt;&gt;".",up_Irr!AK28=".",up_Irr!BJ28&lt;&gt;"."),up_dir!M28/((1/1000)*(up_Irr!L28+up_Irr!BJ28)),IF(AND(up_Irr!L28=".",up_Irr!AK28&lt;&gt;".",up_Irr!BJ28&lt;&gt;"."),up_dir!M28/((1/1000)*(up_Irr!AK28+up_Irr!BJ28)),IF(AND(up_Irr!L28=".",up_Irr!AK28=".",up_Irr!BJ28&lt;&gt;"."),up_dir!M28/((1/1000)*(up_Irr!BJ28)),IF(AND(up_Irr!L28=".",up_Irr!AK28&lt;&gt;".",up_Irr!BJ28="."),up_dir!M28/((1/1000)*(up_Irr!AK28)),IF(AND(up_Irr!L28&lt;&gt;".",up_Irr!AK28=".",up_Irr!BJ28="."),up_dir!M28/((1/1000)*(up_Irr!L28)),IF(AND(up_Irr!L28=".",up_Irr!AK28=".",up_Irr!BJ28="."),up_dir!M28*1000)))))))),".")</f>
        <v>6.5773651144152131E-4</v>
      </c>
      <c r="N28" s="70">
        <f>IFERROR(IF(AND(up_Irr!M28&lt;&gt;".",up_Irr!AL28&lt;&gt;".",up_Irr!BK28&lt;&gt;"."),up_dir!N28/((1/1000)*(up_Irr!M28+up_Irr!AL28+up_Irr!BK28)),IF(AND(up_Irr!M28&lt;&gt;".",up_Irr!AL28&lt;&gt;".",up_Irr!BK28="."),up_dir!N28/((1/1000)*(up_Irr!M28+up_Irr!AL28)),IF(AND(up_Irr!M28&lt;&gt;".",up_Irr!AL28=".",up_Irr!BK28&lt;&gt;"."),up_dir!N28/((1/1000)*(up_Irr!M28+up_Irr!BK28)),IF(AND(up_Irr!M28=".",up_Irr!AL28&lt;&gt;".",up_Irr!BK28&lt;&gt;"."),up_dir!N28/((1/1000)*(up_Irr!AL28+up_Irr!BK28)),IF(AND(up_Irr!M28=".",up_Irr!AL28=".",up_Irr!BK28&lt;&gt;"."),up_dir!N28/((1/1000)*(up_Irr!BK28)),IF(AND(up_Irr!M28=".",up_Irr!AL28&lt;&gt;".",up_Irr!BK28="."),up_dir!N28/((1/1000)*(up_Irr!AL28)),IF(AND(up_Irr!M28&lt;&gt;".",up_Irr!AL28=".",up_Irr!BK28="."),up_dir!N28/((1/1000)*(up_Irr!M28)),IF(AND(up_Irr!M28=".",up_Irr!AL28=".",up_Irr!BK28="."),up_dir!N28*1000)))))))),".")</f>
        <v>6.5773651144152131E-4</v>
      </c>
      <c r="O28" s="70">
        <f>IFERROR(IF(AND(up_Irr!N28&lt;&gt;".",up_Irr!AM28&lt;&gt;".",up_Irr!BL28&lt;&gt;"."),up_dir!O28/((1/1000)*(up_Irr!N28+up_Irr!AM28+up_Irr!BL28)),IF(AND(up_Irr!N28&lt;&gt;".",up_Irr!AM28&lt;&gt;".",up_Irr!BL28="."),up_dir!O28/((1/1000)*(up_Irr!N28+up_Irr!AM28)),IF(AND(up_Irr!N28&lt;&gt;".",up_Irr!AM28=".",up_Irr!BL28&lt;&gt;"."),up_dir!O28/((1/1000)*(up_Irr!N28+up_Irr!BL28)),IF(AND(up_Irr!N28=".",up_Irr!AM28&lt;&gt;".",up_Irr!BL28&lt;&gt;"."),up_dir!O28/((1/1000)*(up_Irr!AM28+up_Irr!BL28)),IF(AND(up_Irr!N28=".",up_Irr!AM28=".",up_Irr!BL28&lt;&gt;"."),up_dir!O28/((1/1000)*(up_Irr!BL28)),IF(AND(up_Irr!N28=".",up_Irr!AM28&lt;&gt;".",up_Irr!BL28="."),up_dir!O28/((1/1000)*(up_Irr!AM28)),IF(AND(up_Irr!N28&lt;&gt;".",up_Irr!AM28=".",up_Irr!BL28="."),up_dir!O28/((1/1000)*(up_Irr!N28)),IF(AND(up_Irr!N28=".",up_Irr!AM28=".",up_Irr!BL28="."),up_dir!O28*1000)))))))),".")</f>
        <v>6.5773651144152131E-4</v>
      </c>
      <c r="P28" s="70">
        <f>IFERROR(IF(AND(up_Irr!O28&lt;&gt;".",up_Irr!AN28&lt;&gt;".",up_Irr!BM28&lt;&gt;"."),up_dir!P28/((1/1000)*(up_Irr!O28+up_Irr!AN28+up_Irr!BM28)),IF(AND(up_Irr!O28&lt;&gt;".",up_Irr!AN28&lt;&gt;".",up_Irr!BM28="."),up_dir!P28/((1/1000)*(up_Irr!O28+up_Irr!AN28)),IF(AND(up_Irr!O28&lt;&gt;".",up_Irr!AN28=".",up_Irr!BM28&lt;&gt;"."),up_dir!P28/((1/1000)*(up_Irr!O28+up_Irr!BM28)),IF(AND(up_Irr!O28=".",up_Irr!AN28&lt;&gt;".",up_Irr!BM28&lt;&gt;"."),up_dir!P28/((1/1000)*(up_Irr!AN28+up_Irr!BM28)),IF(AND(up_Irr!O28=".",up_Irr!AN28=".",up_Irr!BM28&lt;&gt;"."),up_dir!P28/((1/1000)*(up_Irr!BM28)),IF(AND(up_Irr!O28=".",up_Irr!AN28&lt;&gt;".",up_Irr!BM28="."),up_dir!P28/((1/1000)*(up_Irr!AN28)),IF(AND(up_Irr!O28&lt;&gt;".",up_Irr!AN28=".",up_Irr!BM28="."),up_dir!P28/((1/1000)*(up_Irr!O28)),IF(AND(up_Irr!O28=".",up_Irr!AN28=".",up_Irr!BM28="."),up_dir!P28*1000)))))))),".")</f>
        <v>6.5773651144152131E-4</v>
      </c>
      <c r="Q28" s="70">
        <f>IFERROR(IF(AND(up_Irr!P28&lt;&gt;".",up_Irr!AO28&lt;&gt;".",up_Irr!BN28&lt;&gt;"."),up_dir!Q28/((1/1000)*(up_Irr!P28+up_Irr!AO28+up_Irr!BN28)),IF(AND(up_Irr!P28&lt;&gt;".",up_Irr!AO28&lt;&gt;".",up_Irr!BN28="."),up_dir!Q28/((1/1000)*(up_Irr!P28+up_Irr!AO28)),IF(AND(up_Irr!P28&lt;&gt;".",up_Irr!AO28=".",up_Irr!BN28&lt;&gt;"."),up_dir!Q28/((1/1000)*(up_Irr!P28+up_Irr!BN28)),IF(AND(up_Irr!P28=".",up_Irr!AO28&lt;&gt;".",up_Irr!BN28&lt;&gt;"."),up_dir!Q28/((1/1000)*(up_Irr!AO28+up_Irr!BN28)),IF(AND(up_Irr!P28=".",up_Irr!AO28=".",up_Irr!BN28&lt;&gt;"."),up_dir!Q28/((1/1000)*(up_Irr!BN28)),IF(AND(up_Irr!P28=".",up_Irr!AO28&lt;&gt;".",up_Irr!BN28="."),up_dir!Q28/((1/1000)*(up_Irr!AO28)),IF(AND(up_Irr!P28&lt;&gt;".",up_Irr!AO28=".",up_Irr!BN28="."),up_dir!Q28/((1/1000)*(up_Irr!P28)),IF(AND(up_Irr!P28=".",up_Irr!AO28=".",up_Irr!BN28="."),up_dir!Q28*1000)))))))),".")</f>
        <v>6.5773651144152131E-4</v>
      </c>
      <c r="R28" s="70">
        <f>IFERROR(IF(AND(up_Irr!Q28&lt;&gt;".",up_Irr!AP28&lt;&gt;".",up_Irr!BO28&lt;&gt;"."),up_dir!R28/((1/1000)*(up_Irr!Q28+up_Irr!AP28+up_Irr!BO28)),IF(AND(up_Irr!Q28&lt;&gt;".",up_Irr!AP28&lt;&gt;".",up_Irr!BO28="."),up_dir!R28/((1/1000)*(up_Irr!Q28+up_Irr!AP28)),IF(AND(up_Irr!Q28&lt;&gt;".",up_Irr!AP28=".",up_Irr!BO28&lt;&gt;"."),up_dir!R28/((1/1000)*(up_Irr!Q28+up_Irr!BO28)),IF(AND(up_Irr!Q28=".",up_Irr!AP28&lt;&gt;".",up_Irr!BO28&lt;&gt;"."),up_dir!R28/((1/1000)*(up_Irr!AP28+up_Irr!BO28)),IF(AND(up_Irr!Q28=".",up_Irr!AP28=".",up_Irr!BO28&lt;&gt;"."),up_dir!R28/((1/1000)*(up_Irr!BO28)),IF(AND(up_Irr!Q28=".",up_Irr!AP28&lt;&gt;".",up_Irr!BO28="."),up_dir!R28/((1/1000)*(up_Irr!AP28)),IF(AND(up_Irr!Q28&lt;&gt;".",up_Irr!AP28=".",up_Irr!BO28="."),up_dir!R28/((1/1000)*(up_Irr!Q28)),IF(AND(up_Irr!Q28=".",up_Irr!AP28=".",up_Irr!BO28="."),up_dir!R28*1000)))))))),".")</f>
        <v>6.5773651144152131E-4</v>
      </c>
      <c r="S28" s="70">
        <f>IFERROR(IF(AND(up_Irr!R28&lt;&gt;".",up_Irr!AQ28&lt;&gt;".",up_Irr!BP28&lt;&gt;"."),up_dir!S28/((1/1000)*(up_Irr!R28+up_Irr!AQ28+up_Irr!BP28)),IF(AND(up_Irr!R28&lt;&gt;".",up_Irr!AQ28&lt;&gt;".",up_Irr!BP28="."),up_dir!S28/((1/1000)*(up_Irr!R28+up_Irr!AQ28)),IF(AND(up_Irr!R28&lt;&gt;".",up_Irr!AQ28=".",up_Irr!BP28&lt;&gt;"."),up_dir!S28/((1/1000)*(up_Irr!R28+up_Irr!BP28)),IF(AND(up_Irr!R28=".",up_Irr!AQ28&lt;&gt;".",up_Irr!BP28&lt;&gt;"."),up_dir!S28/((1/1000)*(up_Irr!AQ28+up_Irr!BP28)),IF(AND(up_Irr!R28=".",up_Irr!AQ28=".",up_Irr!BP28&lt;&gt;"."),up_dir!S28/((1/1000)*(up_Irr!BP28)),IF(AND(up_Irr!R28=".",up_Irr!AQ28&lt;&gt;".",up_Irr!BP28="."),up_dir!S28/((1/1000)*(up_Irr!AQ28)),IF(AND(up_Irr!R28&lt;&gt;".",up_Irr!AQ28=".",up_Irr!BP28="."),up_dir!S28/((1/1000)*(up_Irr!R28)),IF(AND(up_Irr!R28=".",up_Irr!AQ28=".",up_Irr!BP28="."),up_dir!S28*1000)))))))),".")</f>
        <v>6.5773651144152131E-4</v>
      </c>
      <c r="T28" s="70">
        <f>IFERROR(IF(AND(up_Irr!S28&lt;&gt;".",up_Irr!AR28&lt;&gt;".",up_Irr!BQ28&lt;&gt;"."),up_dir!T28/((1/1000)*(up_Irr!S28+up_Irr!AR28+up_Irr!BQ28)),IF(AND(up_Irr!S28&lt;&gt;".",up_Irr!AR28&lt;&gt;".",up_Irr!BQ28="."),up_dir!T28/((1/1000)*(up_Irr!S28+up_Irr!AR28)),IF(AND(up_Irr!S28&lt;&gt;".",up_Irr!AR28=".",up_Irr!BQ28&lt;&gt;"."),up_dir!T28/((1/1000)*(up_Irr!S28+up_Irr!BQ28)),IF(AND(up_Irr!S28=".",up_Irr!AR28&lt;&gt;".",up_Irr!BQ28&lt;&gt;"."),up_dir!T28/((1/1000)*(up_Irr!AR28+up_Irr!BQ28)),IF(AND(up_Irr!S28=".",up_Irr!AR28=".",up_Irr!BQ28&lt;&gt;"."),up_dir!T28/((1/1000)*(up_Irr!BQ28)),IF(AND(up_Irr!S28=".",up_Irr!AR28&lt;&gt;".",up_Irr!BQ28="."),up_dir!T28/((1/1000)*(up_Irr!AR28)),IF(AND(up_Irr!S28&lt;&gt;".",up_Irr!AR28=".",up_Irr!BQ28="."),up_dir!T28/((1/1000)*(up_Irr!S28)),IF(AND(up_Irr!S28=".",up_Irr!AR28=".",up_Irr!BQ28="."),up_dir!T28*1000)))))))),".")</f>
        <v>6.5773651144152131E-4</v>
      </c>
      <c r="U28" s="70">
        <f>IFERROR(IF(AND(up_Irr!T28&lt;&gt;".",up_Irr!AS28&lt;&gt;".",up_Irr!BR28&lt;&gt;"."),up_dir!U28/((1/1000)*(up_Irr!T28+up_Irr!AS28+up_Irr!BR28)),IF(AND(up_Irr!T28&lt;&gt;".",up_Irr!AS28&lt;&gt;".",up_Irr!BR28="."),up_dir!U28/((1/1000)*(up_Irr!T28+up_Irr!AS28)),IF(AND(up_Irr!T28&lt;&gt;".",up_Irr!AS28=".",up_Irr!BR28&lt;&gt;"."),up_dir!U28/((1/1000)*(up_Irr!T28+up_Irr!BR28)),IF(AND(up_Irr!T28=".",up_Irr!AS28&lt;&gt;".",up_Irr!BR28&lt;&gt;"."),up_dir!U28/((1/1000)*(up_Irr!AS28+up_Irr!BR28)),IF(AND(up_Irr!T28=".",up_Irr!AS28=".",up_Irr!BR28&lt;&gt;"."),up_dir!U28/((1/1000)*(up_Irr!BR28)),IF(AND(up_Irr!T28=".",up_Irr!AS28&lt;&gt;".",up_Irr!BR28="."),up_dir!U28/((1/1000)*(up_Irr!AS28)),IF(AND(up_Irr!T28&lt;&gt;".",up_Irr!AS28=".",up_Irr!BR28="."),up_dir!U28/((1/1000)*(up_Irr!T28)),IF(AND(up_Irr!T28=".",up_Irr!AS28=".",up_Irr!BR28="."),up_dir!U28*1000)))))))),".")</f>
        <v>6.5773651144152131E-4</v>
      </c>
      <c r="V28" s="70">
        <f>IFERROR(IF(AND(up_Irr!U28&lt;&gt;".",up_Irr!AT28&lt;&gt;".",up_Irr!BS28&lt;&gt;"."),up_dir!V28/((1/1000)*(up_Irr!U28+up_Irr!AT28+up_Irr!BS28)),IF(AND(up_Irr!U28&lt;&gt;".",up_Irr!AT28&lt;&gt;".",up_Irr!BS28="."),up_dir!V28/((1/1000)*(up_Irr!U28+up_Irr!AT28)),IF(AND(up_Irr!U28&lt;&gt;".",up_Irr!AT28=".",up_Irr!BS28&lt;&gt;"."),up_dir!V28/((1/1000)*(up_Irr!U28+up_Irr!BS28)),IF(AND(up_Irr!U28=".",up_Irr!AT28&lt;&gt;".",up_Irr!BS28&lt;&gt;"."),up_dir!V28/((1/1000)*(up_Irr!AT28+up_Irr!BS28)),IF(AND(up_Irr!U28=".",up_Irr!AT28=".",up_Irr!BS28&lt;&gt;"."),up_dir!V28/((1/1000)*(up_Irr!BS28)),IF(AND(up_Irr!U28=".",up_Irr!AT28&lt;&gt;".",up_Irr!BS28="."),up_dir!V28/((1/1000)*(up_Irr!AT28)),IF(AND(up_Irr!U28&lt;&gt;".",up_Irr!AT28=".",up_Irr!BS28="."),up_dir!V28/((1/1000)*(up_Irr!U28)),IF(AND(up_Irr!U28=".",up_Irr!AT28=".",up_Irr!BS28="."),up_dir!V28*1000)))))))),".")</f>
        <v>6.5773651144152131E-4</v>
      </c>
      <c r="W28" s="70">
        <f>IFERROR(IF(AND(up_Irr!V28&lt;&gt;".",up_Irr!AU28&lt;&gt;".",up_Irr!BT28&lt;&gt;"."),up_dir!W28/((1/1000)*(up_Irr!V28+up_Irr!AU28+up_Irr!BT28)),IF(AND(up_Irr!V28&lt;&gt;".",up_Irr!AU28&lt;&gt;".",up_Irr!BT28="."),up_dir!W28/((1/1000)*(up_Irr!V28+up_Irr!AU28)),IF(AND(up_Irr!V28&lt;&gt;".",up_Irr!AU28=".",up_Irr!BT28&lt;&gt;"."),up_dir!W28/((1/1000)*(up_Irr!V28+up_Irr!BT28)),IF(AND(up_Irr!V28=".",up_Irr!AU28&lt;&gt;".",up_Irr!BT28&lt;&gt;"."),up_dir!W28/((1/1000)*(up_Irr!AU28+up_Irr!BT28)),IF(AND(up_Irr!V28=".",up_Irr!AU28=".",up_Irr!BT28&lt;&gt;"."),up_dir!W28/((1/1000)*(up_Irr!BT28)),IF(AND(up_Irr!V28=".",up_Irr!AU28&lt;&gt;".",up_Irr!BT28="."),up_dir!W28/((1/1000)*(up_Irr!AU28)),IF(AND(up_Irr!V28&lt;&gt;".",up_Irr!AU28=".",up_Irr!BT28="."),up_dir!W28/((1/1000)*(up_Irr!V28)),IF(AND(up_Irr!V28=".",up_Irr!AU28=".",up_Irr!BT28="."),up_dir!W28*1000)))))))),".")</f>
        <v>6.5773651144152131E-4</v>
      </c>
      <c r="X28" s="70">
        <f>IFERROR(IF(AND(up_Irr!W28&lt;&gt;".",up_Irr!AV28&lt;&gt;".",up_Irr!BU28&lt;&gt;"."),up_dir!X28/((1/1000)*(up_Irr!W28+up_Irr!AV28+up_Irr!BU28)),IF(AND(up_Irr!W28&lt;&gt;".",up_Irr!AV28&lt;&gt;".",up_Irr!BU28="."),up_dir!X28/((1/1000)*(up_Irr!W28+up_Irr!AV28)),IF(AND(up_Irr!W28&lt;&gt;".",up_Irr!AV28=".",up_Irr!BU28&lt;&gt;"."),up_dir!X28/((1/1000)*(up_Irr!W28+up_Irr!BU28)),IF(AND(up_Irr!W28=".",up_Irr!AV28&lt;&gt;".",up_Irr!BU28&lt;&gt;"."),up_dir!X28/((1/1000)*(up_Irr!AV28+up_Irr!BU28)),IF(AND(up_Irr!W28=".",up_Irr!AV28=".",up_Irr!BU28&lt;&gt;"."),up_dir!X28/((1/1000)*(up_Irr!BU28)),IF(AND(up_Irr!W28=".",up_Irr!AV28&lt;&gt;".",up_Irr!BU28="."),up_dir!X28/((1/1000)*(up_Irr!AV28)),IF(AND(up_Irr!W28&lt;&gt;".",up_Irr!AV28=".",up_Irr!BU28="."),up_dir!X28/((1/1000)*(up_Irr!W28)),IF(AND(up_Irr!W28=".",up_Irr!AV28=".",up_Irr!BU28="."),up_dir!X28*1000)))))))),".")</f>
        <v>6.5773651144152131E-4</v>
      </c>
      <c r="Y28" s="70">
        <f>IFERROR(IF(AND(up_Irr!X28&lt;&gt;".",up_Irr!AW28&lt;&gt;".",up_Irr!BV28&lt;&gt;"."),up_dir!Y28/((1/1000)*(up_Irr!X28+up_Irr!AW28+up_Irr!BV28)),IF(AND(up_Irr!X28&lt;&gt;".",up_Irr!AW28&lt;&gt;".",up_Irr!BV28="."),up_dir!Y28/((1/1000)*(up_Irr!X28+up_Irr!AW28)),IF(AND(up_Irr!X28&lt;&gt;".",up_Irr!AW28=".",up_Irr!BV28&lt;&gt;"."),up_dir!Y28/((1/1000)*(up_Irr!X28+up_Irr!BV28)),IF(AND(up_Irr!X28=".",up_Irr!AW28&lt;&gt;".",up_Irr!BV28&lt;&gt;"."),up_dir!Y28/((1/1000)*(up_Irr!AW28+up_Irr!BV28)),IF(AND(up_Irr!X28=".",up_Irr!AW28=".",up_Irr!BV28&lt;&gt;"."),up_dir!Y28/((1/1000)*(up_Irr!BV28)),IF(AND(up_Irr!X28=".",up_Irr!AW28&lt;&gt;".",up_Irr!BV28="."),up_dir!Y28/((1/1000)*(up_Irr!AW28)),IF(AND(up_Irr!X28&lt;&gt;".",up_Irr!AW28=".",up_Irr!BV28="."),up_dir!Y28/((1/1000)*(up_Irr!X28)),IF(AND(up_Irr!X28=".",up_Irr!AW28=".",up_Irr!BV28="."),up_dir!Y28*1000)))))))),".")</f>
        <v>6.5773651144152131E-4</v>
      </c>
      <c r="Z28" s="70">
        <f>IFERROR(IF(AND(up_Irr!Y28&lt;&gt;".",up_Irr!AX28&lt;&gt;".",up_Irr!BW28&lt;&gt;"."),up_dir!Z28/((1/1000)*(up_Irr!Y28+up_Irr!AX28+up_Irr!BW28)),IF(AND(up_Irr!Y28&lt;&gt;".",up_Irr!AX28&lt;&gt;".",up_Irr!BW28="."),up_dir!Z28/((1/1000)*(up_Irr!Y28+up_Irr!AX28)),IF(AND(up_Irr!Y28&lt;&gt;".",up_Irr!AX28=".",up_Irr!BW28&lt;&gt;"."),up_dir!Z28/((1/1000)*(up_Irr!Y28+up_Irr!BW28)),IF(AND(up_Irr!Y28=".",up_Irr!AX28&lt;&gt;".",up_Irr!BW28&lt;&gt;"."),up_dir!Z28/((1/1000)*(up_Irr!AX28+up_Irr!BW28)),IF(AND(up_Irr!Y28=".",up_Irr!AX28=".",up_Irr!BW28&lt;&gt;"."),up_dir!Z28/((1/1000)*(up_Irr!BW28)),IF(AND(up_Irr!Y28=".",up_Irr!AX28&lt;&gt;".",up_Irr!BW28="."),up_dir!Z28/((1/1000)*(up_Irr!AX28)),IF(AND(up_Irr!Y28&lt;&gt;".",up_Irr!AX28=".",up_Irr!BW28="."),up_dir!Z28/((1/1000)*(up_Irr!Y28)),IF(AND(up_Irr!Y28=".",up_Irr!AX28=".",up_Irr!BW28="."),up_dir!Z28*1000)))))))),".")</f>
        <v>6.5773651144152131E-4</v>
      </c>
      <c r="AA28" s="70">
        <f>IFERROR(IF(AND(up_Irr!Z28&lt;&gt;".",up_Irr!AY28&lt;&gt;".",up_Irr!BX28&lt;&gt;"."),up_dir!AA28/((1/1000)*(up_Irr!Z28+up_Irr!AY28+up_Irr!BX28)),IF(AND(up_Irr!Z28&lt;&gt;".",up_Irr!AY28&lt;&gt;".",up_Irr!BX28="."),up_dir!AA28/((1/1000)*(up_Irr!Z28+up_Irr!AY28)),IF(AND(up_Irr!Z28&lt;&gt;".",up_Irr!AY28=".",up_Irr!BX28&lt;&gt;"."),up_dir!AA28/((1/1000)*(up_Irr!Z28+up_Irr!BX28)),IF(AND(up_Irr!Z28=".",up_Irr!AY28&lt;&gt;".",up_Irr!BX28&lt;&gt;"."),up_dir!AA28/((1/1000)*(up_Irr!AY28+up_Irr!BX28)),IF(AND(up_Irr!Z28=".",up_Irr!AY28=".",up_Irr!BX28&lt;&gt;"."),up_dir!AA28/((1/1000)*(up_Irr!BX28)),IF(AND(up_Irr!Z28=".",up_Irr!AY28&lt;&gt;".",up_Irr!BX28="."),up_dir!AA28/((1/1000)*(up_Irr!AY28)),IF(AND(up_Irr!Z28&lt;&gt;".",up_Irr!AY28=".",up_Irr!BX28="."),up_dir!AA28/((1/1000)*(up_Irr!Z28)),IF(AND(up_Irr!Z28=".",up_Irr!AY28=".",up_Irr!BX28="."),up_dir!AA28*1000)))))))),".")</f>
        <v>6.5773651144152131E-4</v>
      </c>
      <c r="AB28" s="70">
        <f>IFERROR(IF(AND(up_Irr!AA28&lt;&gt;".",up_Irr!AZ28&lt;&gt;".",up_Irr!BY28&lt;&gt;"."),up_dir!AB28/((1/1000)*(up_Irr!AA28+up_Irr!AZ28+up_Irr!BY28)),IF(AND(up_Irr!AA28&lt;&gt;".",up_Irr!AZ28&lt;&gt;".",up_Irr!BY28="."),up_dir!AB28/((1/1000)*(up_Irr!AA28+up_Irr!AZ28)),IF(AND(up_Irr!AA28&lt;&gt;".",up_Irr!AZ28=".",up_Irr!BY28&lt;&gt;"."),up_dir!AB28/((1/1000)*(up_Irr!AA28+up_Irr!BY28)),IF(AND(up_Irr!AA28=".",up_Irr!AZ28&lt;&gt;".",up_Irr!BY28&lt;&gt;"."),up_dir!AB28/((1/1000)*(up_Irr!AZ28+up_Irr!BY28)),IF(AND(up_Irr!AA28=".",up_Irr!AZ28=".",up_Irr!BY28&lt;&gt;"."),up_dir!AB28/((1/1000)*(up_Irr!BY28)),IF(AND(up_Irr!AA28=".",up_Irr!AZ28&lt;&gt;".",up_Irr!BY28="."),up_dir!AB28/((1/1000)*(up_Irr!AZ28)),IF(AND(up_Irr!AA28&lt;&gt;".",up_Irr!AZ28=".",up_Irr!BY28="."),up_dir!AB28/((1/1000)*(up_Irr!AA28)),IF(AND(up_Irr!AA28=".",up_Irr!AZ28=".",up_Irr!BY28="."),up_dir!AB28*1000)))))))),".")</f>
        <v>6.5773651144152131E-4</v>
      </c>
      <c r="AC28" s="87">
        <f t="shared" si="1"/>
        <v>30407.313038114935</v>
      </c>
      <c r="AD28" s="87">
        <f>IFERROR(s_C*s_IFAP_res_adj*s_CF_apple*0.001*(up_Irr!C28+up_Irr!AB28+up_Irr!BA28),".")</f>
        <v>7601.8282595287337</v>
      </c>
      <c r="AE28" s="87">
        <f>IFERROR(s_C*s_IFAS_res_adj*s_CF_asparagus*0.001*(up_Irr!D28+up_Irr!AC28+up_Irr!BB28),".")</f>
        <v>7601.8282595287337</v>
      </c>
      <c r="AF28" s="87">
        <f>IFERROR(s_C*s_IFBT_res_adj*s_CF_beet*0.001*(up_Irr!E28+up_Irr!AD28+up_Irr!BC28),".")</f>
        <v>7601.8282595287337</v>
      </c>
      <c r="AG28" s="87">
        <f>IFERROR(s_C*s_IFBE_res_adj*s_CF_berries*0.001*(up_Irr!F28+up_Irr!AE28+up_Irr!BD28),".")</f>
        <v>7601.8282595287337</v>
      </c>
      <c r="AH28" s="87">
        <f>IFERROR(s_C*s_IFBR_res_adj*s_CF_broccoli*0.001*(up_Irr!G28+up_Irr!AF28+up_Irr!BE28),".")</f>
        <v>7601.8282595287337</v>
      </c>
      <c r="AI28" s="87">
        <f>IFERROR(s_C*s_IFCB_res_adj*s_CF_cabbage*0.001*(up_Irr!H28+up_Irr!AG28+up_Irr!BF28),".")</f>
        <v>7601.8282595287337</v>
      </c>
      <c r="AJ28" s="87">
        <f>IFERROR(s_C*s_IFCR_res_adj*s_CF_carrot*0.001*(up_Irr!I28+up_Irr!AH28+up_Irr!BG28),".")</f>
        <v>7601.8282595287337</v>
      </c>
      <c r="AK28" s="87">
        <f>IFERROR(s_C*s_IFCI_res_adj*s_CF_citrus*0.001*(up_Irr!J28+up_Irr!AI28+up_Irr!BH28),".")</f>
        <v>7601.8282595287337</v>
      </c>
      <c r="AL28" s="87">
        <f>IFERROR(s_C*s_IFCO_res_adj*s_CF_corn*0.001*(up_Irr!K28+up_Irr!AJ28+up_Irr!BI28),".")</f>
        <v>7601.8282595287337</v>
      </c>
      <c r="AM28" s="87">
        <f>IFERROR(s_C*s_IFCU_res_adj*s_CF_cucumber*0.001*(up_Irr!L28+up_Irr!AK28+up_Irr!BJ28),".")</f>
        <v>7601.8282595287337</v>
      </c>
      <c r="AN28" s="87">
        <f>IFERROR(s_C*s_IFLE_res_adj*s_CF_lettuce*0.001*(up_Irr!M28+up_Irr!AL28+up_Irr!BK28),".")</f>
        <v>7601.8282595287337</v>
      </c>
      <c r="AO28" s="87">
        <f>IFERROR(s_C*s_IFLI_res_adj*s_CF_lima_bean*0.001*(up_Irr!N28+up_Irr!AM28+up_Irr!BL28),".")</f>
        <v>7601.8282595287337</v>
      </c>
      <c r="AP28" s="87">
        <f>IFERROR(s_C*s_IFOK_res_adj*s_CF_okra*0.001*(up_Irr!O28+up_Irr!AN28+up_Irr!BM28),".")</f>
        <v>7601.8282595287337</v>
      </c>
      <c r="AQ28" s="87">
        <f>IFERROR(s_C*s_IFON_res_adj*s_CF_onion*0.001*(up_Irr!P28+up_Irr!AO28+up_Irr!BN28),".")</f>
        <v>7601.8282595287337</v>
      </c>
      <c r="AR28" s="87">
        <f>IFERROR(s_C*s_IFPC_res_adj*s_CF_peach*0.001*(up_Irr!Q28+up_Irr!AP28+up_Irr!BO28),".")</f>
        <v>7601.8282595287337</v>
      </c>
      <c r="AS28" s="87">
        <f>IFERROR(s_C*s_IFPR_res_adj*s_CF_pear*0.001*(up_Irr!R28+up_Irr!AQ28+up_Irr!BP28),".")</f>
        <v>7601.8282595287337</v>
      </c>
      <c r="AT28" s="87">
        <f>IFERROR(s_C*s_IFPE_res_adj*s_CF_peas*0.001*(up_Irr!S28+up_Irr!AR28+up_Irr!BQ28),".")</f>
        <v>7601.8282595287337</v>
      </c>
      <c r="AU28" s="87">
        <f>IFERROR(s_C*s_IFPP_res_adj*s_CF_peppers*0.001*(up_Irr!T28+up_Irr!AS28+up_Irr!BR28),".")</f>
        <v>7601.8282595287337</v>
      </c>
      <c r="AV28" s="87">
        <f>IFERROR(s_C*s_IFPT_res_adj*s_CF_potato*0.001*(up_Irr!U28+up_Irr!AT28+up_Irr!BS28),".")</f>
        <v>7601.8282595287337</v>
      </c>
      <c r="AW28" s="87">
        <f>IFERROR(s_C*s_IFPU_res_adj*s_CF_pumpkin*0.001*(up_Irr!V28+up_Irr!AU28+up_Irr!BT28),".")</f>
        <v>7601.8282595287337</v>
      </c>
      <c r="AX28" s="87">
        <f>IFERROR(s_C*s_IFSN_res_adj*s_CF_snap_bean*0.001*(up_Irr!W28+up_Irr!AV28+up_Irr!BU28),".")</f>
        <v>7601.8282595287337</v>
      </c>
      <c r="AY28" s="87">
        <f>IFERROR(s_C*s_IFST_res_adj*s_CF_strawberry*0.001*(up_Irr!X28+up_Irr!AW28+up_Irr!BV28),".")</f>
        <v>7601.8282595287337</v>
      </c>
      <c r="AZ28" s="87">
        <f>IFERROR(s_C*s_IFTO_res_adj*s_CF_tomato*0.001*(up_Irr!Y28+up_Irr!AX28+up_Irr!BW28),".")</f>
        <v>7601.8282595287337</v>
      </c>
      <c r="BA28" s="87">
        <f>IFERROR(s_C*s_IFRI_res_adj*s_CF_rice*0.001*(up_Irr!Z28+up_Irr!AY28+up_Irr!BX28),".")</f>
        <v>7601.8282595287337</v>
      </c>
      <c r="BB28" s="87">
        <f>IFERROR(s_C*s_IFCG_res_adj*s_CF_cereal*0.001*(up_Irr!AA28+up_Irr!AZ28+up_Irr!BY28),".")</f>
        <v>7601.8282595287337</v>
      </c>
      <c r="BC28" s="70">
        <f t="shared" si="2"/>
        <v>1.6443412786038033E-4</v>
      </c>
      <c r="BD28" s="70">
        <f>IFERROR(IF(AND(up_Irr!C28&lt;&gt;".",up_Irr!AB28&lt;&gt;".",up_Irr!BA28&lt;&gt;"."),up_dir!AD28/((1/1000)*(up_Irr!C28+up_Irr!AB28+up_Irr!BA28)),IF(AND(up_Irr!C28&lt;&gt;".",up_Irr!AB28&lt;&gt;".",up_Irr!BA28="."),up_dir!AD28/((1/1000)*(up_Irr!C28+up_Irr!AB28)),IF(AND(up_Irr!C28&lt;&gt;".",up_Irr!AB28=".",up_Irr!BA28&lt;&gt;"."),up_dir!AD28/((1/1000)*(up_Irr!C28+up_Irr!BA28)),IF(AND(up_Irr!C28=".",up_Irr!AB28&lt;&gt;".",up_Irr!BA28&lt;&gt;"."),up_dir!AD28/((1/1000)*(up_Irr!AB28+up_Irr!BA28)),IF(AND(up_Irr!C28=".",up_Irr!AB28=".",up_Irr!BA28&lt;&gt;"."),up_dir!AD28/((1/1000)*(up_Irr!BA28)),IF(AND(up_Irr!C28=".",up_Irr!AB28&lt;&gt;".",up_Irr!BA28="."),up_dir!AD28/((1/1000)*(up_Irr!AB28)),IF(AND(up_Irr!C28&lt;&gt;".",up_Irr!AB28=".",up_Irr!BA28="."),up_dir!AD28/((1/1000)*(up_Irr!C28)),IF(AND(up_Irr!C28=".",up_Irr!AB28=".",up_Irr!BA28="."),up_dir!AD28*1000)))))))),".")</f>
        <v>6.5773651144152131E-4</v>
      </c>
      <c r="BE28" s="70">
        <f>IFERROR(IF(AND(up_Irr!D28&lt;&gt;".",up_Irr!AC28&lt;&gt;".",up_Irr!BB28&lt;&gt;"."),up_dir!AE28/((1/1000)*(up_Irr!D28+up_Irr!AC28+up_Irr!BB28)),IF(AND(up_Irr!D28&lt;&gt;".",up_Irr!AC28&lt;&gt;".",up_Irr!BB28="."),up_dir!AE28/((1/1000)*(up_Irr!D28+up_Irr!AC28)),IF(AND(up_Irr!D28&lt;&gt;".",up_Irr!AC28=".",up_Irr!BB28&lt;&gt;"."),up_dir!AE28/((1/1000)*(up_Irr!D28+up_Irr!BB28)),IF(AND(up_Irr!D28=".",up_Irr!AC28&lt;&gt;".",up_Irr!BB28&lt;&gt;"."),up_dir!AE28/((1/1000)*(up_Irr!AC28+up_Irr!BB28)),IF(AND(up_Irr!D28=".",up_Irr!AC28=".",up_Irr!BB28&lt;&gt;"."),up_dir!AE28/((1/1000)*(up_Irr!BB28)),IF(AND(up_Irr!D28=".",up_Irr!AC28&lt;&gt;".",up_Irr!BB28="."),up_dir!AE28/((1/1000)*(up_Irr!AC28)),IF(AND(up_Irr!D28&lt;&gt;".",up_Irr!AC28=".",up_Irr!BB28="."),up_dir!AE28/((1/1000)*(up_Irr!D28)),IF(AND(up_Irr!D28=".",up_Irr!AC28=".",up_Irr!BB28="."),up_dir!AE28*1000)))))))),".")</f>
        <v>6.5773651144152131E-4</v>
      </c>
      <c r="BF28" s="70">
        <f>IFERROR(IF(AND(up_Irr!E28&lt;&gt;".",up_Irr!AD28&lt;&gt;".",up_Irr!BC28&lt;&gt;"."),up_dir!AF28/((1/1000)*(up_Irr!E28+up_Irr!AD28+up_Irr!BC28)),IF(AND(up_Irr!E28&lt;&gt;".",up_Irr!AD28&lt;&gt;".",up_Irr!BC28="."),up_dir!AF28/((1/1000)*(up_Irr!E28+up_Irr!AD28)),IF(AND(up_Irr!E28&lt;&gt;".",up_Irr!AD28=".",up_Irr!BC28&lt;&gt;"."),up_dir!AF28/((1/1000)*(up_Irr!E28+up_Irr!BC28)),IF(AND(up_Irr!E28=".",up_Irr!AD28&lt;&gt;".",up_Irr!BC28&lt;&gt;"."),up_dir!AF28/((1/1000)*(up_Irr!AD28+up_Irr!BC28)),IF(AND(up_Irr!E28=".",up_Irr!AD28=".",up_Irr!BC28&lt;&gt;"."),up_dir!AF28/((1/1000)*(up_Irr!BC28)),IF(AND(up_Irr!E28=".",up_Irr!AD28&lt;&gt;".",up_Irr!BC28="."),up_dir!AF28/((1/1000)*(up_Irr!AD28)),IF(AND(up_Irr!E28&lt;&gt;".",up_Irr!AD28=".",up_Irr!BC28="."),up_dir!AF28/((1/1000)*(up_Irr!E28)),IF(AND(up_Irr!E28=".",up_Irr!AD28=".",up_Irr!BC28="."),up_dir!AF28*1000)))))))),".")</f>
        <v>6.5773651144152131E-4</v>
      </c>
      <c r="BG28" s="70">
        <f>IFERROR(IF(AND(up_Irr!F28&lt;&gt;".",up_Irr!AE28&lt;&gt;".",up_Irr!BD28&lt;&gt;"."),up_dir!AG28/((1/1000)*(up_Irr!F28+up_Irr!AE28+up_Irr!BD28)),IF(AND(up_Irr!F28&lt;&gt;".",up_Irr!AE28&lt;&gt;".",up_Irr!BD28="."),up_dir!AG28/((1/1000)*(up_Irr!F28+up_Irr!AE28)),IF(AND(up_Irr!F28&lt;&gt;".",up_Irr!AE28=".",up_Irr!BD28&lt;&gt;"."),up_dir!AG28/((1/1000)*(up_Irr!F28+up_Irr!BD28)),IF(AND(up_Irr!F28=".",up_Irr!AE28&lt;&gt;".",up_Irr!BD28&lt;&gt;"."),up_dir!AG28/((1/1000)*(up_Irr!AE28+up_Irr!BD28)),IF(AND(up_Irr!F28=".",up_Irr!AE28=".",up_Irr!BD28&lt;&gt;"."),up_dir!AG28/((1/1000)*(up_Irr!BD28)),IF(AND(up_Irr!F28=".",up_Irr!AE28&lt;&gt;".",up_Irr!BD28="."),up_dir!AG28/((1/1000)*(up_Irr!AE28)),IF(AND(up_Irr!F28&lt;&gt;".",up_Irr!AE28=".",up_Irr!BD28="."),up_dir!AG28/((1/1000)*(up_Irr!F28)),IF(AND(up_Irr!F28=".",up_Irr!AE28=".",up_Irr!BD28="."),up_dir!AG28*1000)))))))),".")</f>
        <v>6.5773651144152131E-4</v>
      </c>
      <c r="BH28" s="70">
        <f>IFERROR(IF(AND(up_Irr!G28&lt;&gt;".",up_Irr!AF28&lt;&gt;".",up_Irr!BE28&lt;&gt;"."),up_dir!AH28/((1/1000)*(up_Irr!G28+up_Irr!AF28+up_Irr!BE28)),IF(AND(up_Irr!G28&lt;&gt;".",up_Irr!AF28&lt;&gt;".",up_Irr!BE28="."),up_dir!AH28/((1/1000)*(up_Irr!G28+up_Irr!AF28)),IF(AND(up_Irr!G28&lt;&gt;".",up_Irr!AF28=".",up_Irr!BE28&lt;&gt;"."),up_dir!AH28/((1/1000)*(up_Irr!G28+up_Irr!BE28)),IF(AND(up_Irr!G28=".",up_Irr!AF28&lt;&gt;".",up_Irr!BE28&lt;&gt;"."),up_dir!AH28/((1/1000)*(up_Irr!AF28+up_Irr!BE28)),IF(AND(up_Irr!G28=".",up_Irr!AF28=".",up_Irr!BE28&lt;&gt;"."),up_dir!AH28/((1/1000)*(up_Irr!BE28)),IF(AND(up_Irr!G28=".",up_Irr!AF28&lt;&gt;".",up_Irr!BE28="."),up_dir!AH28/((1/1000)*(up_Irr!AF28)),IF(AND(up_Irr!G28&lt;&gt;".",up_Irr!AF28=".",up_Irr!BE28="."),up_dir!AH28/((1/1000)*(up_Irr!G28)),IF(AND(up_Irr!G28=".",up_Irr!AF28=".",up_Irr!BE28="."),up_dir!AH28*1000)))))))),".")</f>
        <v>6.5773651144152131E-4</v>
      </c>
      <c r="BI28" s="70">
        <f>IFERROR(IF(AND(up_Irr!H28&lt;&gt;".",up_Irr!AG28&lt;&gt;".",up_Irr!BF28&lt;&gt;"."),up_dir!AI28/((1/1000)*(up_Irr!H28+up_Irr!AG28+up_Irr!BF28)),IF(AND(up_Irr!H28&lt;&gt;".",up_Irr!AG28&lt;&gt;".",up_Irr!BF28="."),up_dir!AI28/((1/1000)*(up_Irr!H28+up_Irr!AG28)),IF(AND(up_Irr!H28&lt;&gt;".",up_Irr!AG28=".",up_Irr!BF28&lt;&gt;"."),up_dir!AI28/((1/1000)*(up_Irr!H28+up_Irr!BF28)),IF(AND(up_Irr!H28=".",up_Irr!AG28&lt;&gt;".",up_Irr!BF28&lt;&gt;"."),up_dir!AI28/((1/1000)*(up_Irr!AG28+up_Irr!BF28)),IF(AND(up_Irr!H28=".",up_Irr!AG28=".",up_Irr!BF28&lt;&gt;"."),up_dir!AI28/((1/1000)*(up_Irr!BF28)),IF(AND(up_Irr!H28=".",up_Irr!AG28&lt;&gt;".",up_Irr!BF28="."),up_dir!AI28/((1/1000)*(up_Irr!AG28)),IF(AND(up_Irr!H28&lt;&gt;".",up_Irr!AG28=".",up_Irr!BF28="."),up_dir!AI28/((1/1000)*(up_Irr!H28)),IF(AND(up_Irr!H28=".",up_Irr!AG28=".",up_Irr!BF28="."),up_dir!AI28*1000)))))))),".")</f>
        <v>6.5773651144152131E-4</v>
      </c>
      <c r="BJ28" s="70">
        <f>IFERROR(IF(AND(up_Irr!I28&lt;&gt;".",up_Irr!AH28&lt;&gt;".",up_Irr!BG28&lt;&gt;"."),up_dir!AJ28/((1/1000)*(up_Irr!I28+up_Irr!AH28+up_Irr!BG28)),IF(AND(up_Irr!I28&lt;&gt;".",up_Irr!AH28&lt;&gt;".",up_Irr!BG28="."),up_dir!AJ28/((1/1000)*(up_Irr!I28+up_Irr!AH28)),IF(AND(up_Irr!I28&lt;&gt;".",up_Irr!AH28=".",up_Irr!BG28&lt;&gt;"."),up_dir!AJ28/((1/1000)*(up_Irr!I28+up_Irr!BG28)),IF(AND(up_Irr!I28=".",up_Irr!AH28&lt;&gt;".",up_Irr!BG28&lt;&gt;"."),up_dir!AJ28/((1/1000)*(up_Irr!AH28+up_Irr!BG28)),IF(AND(up_Irr!I28=".",up_Irr!AH28=".",up_Irr!BG28&lt;&gt;"."),up_dir!AJ28/((1/1000)*(up_Irr!BG28)),IF(AND(up_Irr!I28=".",up_Irr!AH28&lt;&gt;".",up_Irr!BG28="."),up_dir!AJ28/((1/1000)*(up_Irr!AH28)),IF(AND(up_Irr!I28&lt;&gt;".",up_Irr!AH28=".",up_Irr!BG28="."),up_dir!AJ28/((1/1000)*(up_Irr!I28)),IF(AND(up_Irr!I28=".",up_Irr!AH28=".",up_Irr!BG28="."),up_dir!AJ28*1000)))))))),".")</f>
        <v>6.5773651144152131E-4</v>
      </c>
      <c r="BK28" s="70">
        <f>IFERROR(IF(AND(up_Irr!J28&lt;&gt;".",up_Irr!AI28&lt;&gt;".",up_Irr!BH28&lt;&gt;"."),up_dir!AK28/((1/1000)*(up_Irr!J28+up_Irr!AI28+up_Irr!BH28)),IF(AND(up_Irr!J28&lt;&gt;".",up_Irr!AI28&lt;&gt;".",up_Irr!BH28="."),up_dir!AK28/((1/1000)*(up_Irr!J28+up_Irr!AI28)),IF(AND(up_Irr!J28&lt;&gt;".",up_Irr!AI28=".",up_Irr!BH28&lt;&gt;"."),up_dir!AK28/((1/1000)*(up_Irr!J28+up_Irr!BH28)),IF(AND(up_Irr!J28=".",up_Irr!AI28&lt;&gt;".",up_Irr!BH28&lt;&gt;"."),up_dir!AK28/((1/1000)*(up_Irr!AI28+up_Irr!BH28)),IF(AND(up_Irr!J28=".",up_Irr!AI28=".",up_Irr!BH28&lt;&gt;"."),up_dir!AK28/((1/1000)*(up_Irr!BH28)),IF(AND(up_Irr!J28=".",up_Irr!AI28&lt;&gt;".",up_Irr!BH28="."),up_dir!AK28/((1/1000)*(up_Irr!AI28)),IF(AND(up_Irr!J28&lt;&gt;".",up_Irr!AI28=".",up_Irr!BH28="."),up_dir!AK28/((1/1000)*(up_Irr!J28)),IF(AND(up_Irr!J28=".",up_Irr!AI28=".",up_Irr!BH28="."),up_dir!AK28*1000)))))))),".")</f>
        <v>6.5773651144152131E-4</v>
      </c>
      <c r="BL28" s="70">
        <f>IFERROR(IF(AND(up_Irr!K28&lt;&gt;".",up_Irr!AJ28&lt;&gt;".",up_Irr!BI28&lt;&gt;"."),up_dir!AL28/((1/1000)*(up_Irr!K28+up_Irr!AJ28+up_Irr!BI28)),IF(AND(up_Irr!K28&lt;&gt;".",up_Irr!AJ28&lt;&gt;".",up_Irr!BI28="."),up_dir!AL28/((1/1000)*(up_Irr!K28+up_Irr!AJ28)),IF(AND(up_Irr!K28&lt;&gt;".",up_Irr!AJ28=".",up_Irr!BI28&lt;&gt;"."),up_dir!AL28/((1/1000)*(up_Irr!K28+up_Irr!BI28)),IF(AND(up_Irr!K28=".",up_Irr!AJ28&lt;&gt;".",up_Irr!BI28&lt;&gt;"."),up_dir!AL28/((1/1000)*(up_Irr!AJ28+up_Irr!BI28)),IF(AND(up_Irr!K28=".",up_Irr!AJ28=".",up_Irr!BI28&lt;&gt;"."),up_dir!AL28/((1/1000)*(up_Irr!BI28)),IF(AND(up_Irr!K28=".",up_Irr!AJ28&lt;&gt;".",up_Irr!BI28="."),up_dir!AL28/((1/1000)*(up_Irr!AJ28)),IF(AND(up_Irr!K28&lt;&gt;".",up_Irr!AJ28=".",up_Irr!BI28="."),up_dir!AL28/((1/1000)*(up_Irr!K28)),IF(AND(up_Irr!K28=".",up_Irr!AJ28=".",up_Irr!BI28="."),up_dir!AL28*1000)))))))),".")</f>
        <v>6.5773651144152131E-4</v>
      </c>
      <c r="BM28" s="70">
        <f>IFERROR(IF(AND(up_Irr!L28&lt;&gt;".",up_Irr!AK28&lt;&gt;".",up_Irr!BJ28&lt;&gt;"."),up_dir!AM28/((1/1000)*(up_Irr!L28+up_Irr!AK28+up_Irr!BJ28)),IF(AND(up_Irr!L28&lt;&gt;".",up_Irr!AK28&lt;&gt;".",up_Irr!BJ28="."),up_dir!AM28/((1/1000)*(up_Irr!L28+up_Irr!AK28)),IF(AND(up_Irr!L28&lt;&gt;".",up_Irr!AK28=".",up_Irr!BJ28&lt;&gt;"."),up_dir!AM28/((1/1000)*(up_Irr!L28+up_Irr!BJ28)),IF(AND(up_Irr!L28=".",up_Irr!AK28&lt;&gt;".",up_Irr!BJ28&lt;&gt;"."),up_dir!AM28/((1/1000)*(up_Irr!AK28+up_Irr!BJ28)),IF(AND(up_Irr!L28=".",up_Irr!AK28=".",up_Irr!BJ28&lt;&gt;"."),up_dir!AM28/((1/1000)*(up_Irr!BJ28)),IF(AND(up_Irr!L28=".",up_Irr!AK28&lt;&gt;".",up_Irr!BJ28="."),up_dir!AM28/((1/1000)*(up_Irr!AK28)),IF(AND(up_Irr!L28&lt;&gt;".",up_Irr!AK28=".",up_Irr!BJ28="."),up_dir!AM28/((1/1000)*(up_Irr!L28)),IF(AND(up_Irr!L28=".",up_Irr!AK28=".",up_Irr!BJ28="."),up_dir!AM28*1000)))))))),".")</f>
        <v>6.5773651144152131E-4</v>
      </c>
      <c r="BN28" s="70">
        <f>IFERROR(IF(AND(up_Irr!M28&lt;&gt;".",up_Irr!AL28&lt;&gt;".",up_Irr!BK28&lt;&gt;"."),up_dir!AN28/((1/1000)*(up_Irr!M28+up_Irr!AL28+up_Irr!BK28)),IF(AND(up_Irr!M28&lt;&gt;".",up_Irr!AL28&lt;&gt;".",up_Irr!BK28="."),up_dir!AN28/((1/1000)*(up_Irr!M28+up_Irr!AL28)),IF(AND(up_Irr!M28&lt;&gt;".",up_Irr!AL28=".",up_Irr!BK28&lt;&gt;"."),up_dir!AN28/((1/1000)*(up_Irr!M28+up_Irr!BK28)),IF(AND(up_Irr!M28=".",up_Irr!AL28&lt;&gt;".",up_Irr!BK28&lt;&gt;"."),up_dir!AN28/((1/1000)*(up_Irr!AL28+up_Irr!BK28)),IF(AND(up_Irr!M28=".",up_Irr!AL28=".",up_Irr!BK28&lt;&gt;"."),up_dir!AN28/((1/1000)*(up_Irr!BK28)),IF(AND(up_Irr!M28=".",up_Irr!AL28&lt;&gt;".",up_Irr!BK28="."),up_dir!AN28/((1/1000)*(up_Irr!AL28)),IF(AND(up_Irr!M28&lt;&gt;".",up_Irr!AL28=".",up_Irr!BK28="."),up_dir!AN28/((1/1000)*(up_Irr!M28)),IF(AND(up_Irr!M28=".",up_Irr!AL28=".",up_Irr!BK28="."),up_dir!AN28*1000)))))))),".")</f>
        <v>6.5773651144152131E-4</v>
      </c>
      <c r="BO28" s="70">
        <f>IFERROR(IF(AND(up_Irr!N28&lt;&gt;".",up_Irr!AM28&lt;&gt;".",up_Irr!BL28&lt;&gt;"."),up_dir!AO28/((1/1000)*(up_Irr!N28+up_Irr!AM28+up_Irr!BL28)),IF(AND(up_Irr!N28&lt;&gt;".",up_Irr!AM28&lt;&gt;".",up_Irr!BL28="."),up_dir!AO28/((1/1000)*(up_Irr!N28+up_Irr!AM28)),IF(AND(up_Irr!N28&lt;&gt;".",up_Irr!AM28=".",up_Irr!BL28&lt;&gt;"."),up_dir!AO28/((1/1000)*(up_Irr!N28+up_Irr!BL28)),IF(AND(up_Irr!N28=".",up_Irr!AM28&lt;&gt;".",up_Irr!BL28&lt;&gt;"."),up_dir!AO28/((1/1000)*(up_Irr!AM28+up_Irr!BL28)),IF(AND(up_Irr!N28=".",up_Irr!AM28=".",up_Irr!BL28&lt;&gt;"."),up_dir!AO28/((1/1000)*(up_Irr!BL28)),IF(AND(up_Irr!N28=".",up_Irr!AM28&lt;&gt;".",up_Irr!BL28="."),up_dir!AO28/((1/1000)*(up_Irr!AM28)),IF(AND(up_Irr!N28&lt;&gt;".",up_Irr!AM28=".",up_Irr!BL28="."),up_dir!AO28/((1/1000)*(up_Irr!N28)),IF(AND(up_Irr!N28=".",up_Irr!AM28=".",up_Irr!BL28="."),up_dir!AO28*1000)))))))),".")</f>
        <v>6.5773651144152131E-4</v>
      </c>
      <c r="BP28" s="70">
        <f>IFERROR(IF(AND(up_Irr!O28&lt;&gt;".",up_Irr!AN28&lt;&gt;".",up_Irr!BM28&lt;&gt;"."),up_dir!AP28/((1/1000)*(up_Irr!O28+up_Irr!AN28+up_Irr!BM28)),IF(AND(up_Irr!O28&lt;&gt;".",up_Irr!AN28&lt;&gt;".",up_Irr!BM28="."),up_dir!AP28/((1/1000)*(up_Irr!O28+up_Irr!AN28)),IF(AND(up_Irr!O28&lt;&gt;".",up_Irr!AN28=".",up_Irr!BM28&lt;&gt;"."),up_dir!AP28/((1/1000)*(up_Irr!O28+up_Irr!BM28)),IF(AND(up_Irr!O28=".",up_Irr!AN28&lt;&gt;".",up_Irr!BM28&lt;&gt;"."),up_dir!AP28/((1/1000)*(up_Irr!AN28+up_Irr!BM28)),IF(AND(up_Irr!O28=".",up_Irr!AN28=".",up_Irr!BM28&lt;&gt;"."),up_dir!AP28/((1/1000)*(up_Irr!BM28)),IF(AND(up_Irr!O28=".",up_Irr!AN28&lt;&gt;".",up_Irr!BM28="."),up_dir!AP28/((1/1000)*(up_Irr!AN28)),IF(AND(up_Irr!O28&lt;&gt;".",up_Irr!AN28=".",up_Irr!BM28="."),up_dir!AP28/((1/1000)*(up_Irr!O28)),IF(AND(up_Irr!O28=".",up_Irr!AN28=".",up_Irr!BM28="."),up_dir!AP28*1000)))))))),".")</f>
        <v>6.5773651144152131E-4</v>
      </c>
      <c r="BQ28" s="70">
        <f>IFERROR(IF(AND(up_Irr!P28&lt;&gt;".",up_Irr!AO28&lt;&gt;".",up_Irr!BN28&lt;&gt;"."),up_dir!AQ28/((1/1000)*(up_Irr!P28+up_Irr!AO28+up_Irr!BN28)),IF(AND(up_Irr!P28&lt;&gt;".",up_Irr!AO28&lt;&gt;".",up_Irr!BN28="."),up_dir!AQ28/((1/1000)*(up_Irr!P28+up_Irr!AO28)),IF(AND(up_Irr!P28&lt;&gt;".",up_Irr!AO28=".",up_Irr!BN28&lt;&gt;"."),up_dir!AQ28/((1/1000)*(up_Irr!P28+up_Irr!BN28)),IF(AND(up_Irr!P28=".",up_Irr!AO28&lt;&gt;".",up_Irr!BN28&lt;&gt;"."),up_dir!AQ28/((1/1000)*(up_Irr!AO28+up_Irr!BN28)),IF(AND(up_Irr!P28=".",up_Irr!AO28=".",up_Irr!BN28&lt;&gt;"."),up_dir!AQ28/((1/1000)*(up_Irr!BN28)),IF(AND(up_Irr!P28=".",up_Irr!AO28&lt;&gt;".",up_Irr!BN28="."),up_dir!AQ28/((1/1000)*(up_Irr!AO28)),IF(AND(up_Irr!P28&lt;&gt;".",up_Irr!AO28=".",up_Irr!BN28="."),up_dir!AQ28/((1/1000)*(up_Irr!P28)),IF(AND(up_Irr!P28=".",up_Irr!AO28=".",up_Irr!BN28="."),up_dir!AQ28*1000)))))))),".")</f>
        <v>6.5773651144152131E-4</v>
      </c>
      <c r="BR28" s="70">
        <f>IFERROR(IF(AND(up_Irr!Q28&lt;&gt;".",up_Irr!AP28&lt;&gt;".",up_Irr!BO28&lt;&gt;"."),up_dir!AR28/((1/1000)*(up_Irr!Q28+up_Irr!AP28+up_Irr!BO28)),IF(AND(up_Irr!Q28&lt;&gt;".",up_Irr!AP28&lt;&gt;".",up_Irr!BO28="."),up_dir!AR28/((1/1000)*(up_Irr!Q28+up_Irr!AP28)),IF(AND(up_Irr!Q28&lt;&gt;".",up_Irr!AP28=".",up_Irr!BO28&lt;&gt;"."),up_dir!AR28/((1/1000)*(up_Irr!Q28+up_Irr!BO28)),IF(AND(up_Irr!Q28=".",up_Irr!AP28&lt;&gt;".",up_Irr!BO28&lt;&gt;"."),up_dir!AR28/((1/1000)*(up_Irr!AP28+up_Irr!BO28)),IF(AND(up_Irr!Q28=".",up_Irr!AP28=".",up_Irr!BO28&lt;&gt;"."),up_dir!AR28/((1/1000)*(up_Irr!BO28)),IF(AND(up_Irr!Q28=".",up_Irr!AP28&lt;&gt;".",up_Irr!BO28="."),up_dir!AR28/((1/1000)*(up_Irr!AP28)),IF(AND(up_Irr!Q28&lt;&gt;".",up_Irr!AP28=".",up_Irr!BO28="."),up_dir!AR28/((1/1000)*(up_Irr!Q28)),IF(AND(up_Irr!Q28=".",up_Irr!AP28=".",up_Irr!BO28="."),up_dir!AR28*1000)))))))),".")</f>
        <v>6.5773651144152131E-4</v>
      </c>
      <c r="BS28" s="70">
        <f>IFERROR(IF(AND(up_Irr!R28&lt;&gt;".",up_Irr!AQ28&lt;&gt;".",up_Irr!BP28&lt;&gt;"."),up_dir!AS28/((1/1000)*(up_Irr!R28+up_Irr!AQ28+up_Irr!BP28)),IF(AND(up_Irr!R28&lt;&gt;".",up_Irr!AQ28&lt;&gt;".",up_Irr!BP28="."),up_dir!AS28/((1/1000)*(up_Irr!R28+up_Irr!AQ28)),IF(AND(up_Irr!R28&lt;&gt;".",up_Irr!AQ28=".",up_Irr!BP28&lt;&gt;"."),up_dir!AS28/((1/1000)*(up_Irr!R28+up_Irr!BP28)),IF(AND(up_Irr!R28=".",up_Irr!AQ28&lt;&gt;".",up_Irr!BP28&lt;&gt;"."),up_dir!AS28/((1/1000)*(up_Irr!AQ28+up_Irr!BP28)),IF(AND(up_Irr!R28=".",up_Irr!AQ28=".",up_Irr!BP28&lt;&gt;"."),up_dir!AS28/((1/1000)*(up_Irr!BP28)),IF(AND(up_Irr!R28=".",up_Irr!AQ28&lt;&gt;".",up_Irr!BP28="."),up_dir!AS28/((1/1000)*(up_Irr!AQ28)),IF(AND(up_Irr!R28&lt;&gt;".",up_Irr!AQ28=".",up_Irr!BP28="."),up_dir!AS28/((1/1000)*(up_Irr!R28)),IF(AND(up_Irr!R28=".",up_Irr!AQ28=".",up_Irr!BP28="."),up_dir!AS28*1000)))))))),".")</f>
        <v>6.5773651144152131E-4</v>
      </c>
      <c r="BT28" s="70">
        <f>IFERROR(IF(AND(up_Irr!S28&lt;&gt;".",up_Irr!AR28&lt;&gt;".",up_Irr!BQ28&lt;&gt;"."),up_dir!AT28/((1/1000)*(up_Irr!S28+up_Irr!AR28+up_Irr!BQ28)),IF(AND(up_Irr!S28&lt;&gt;".",up_Irr!AR28&lt;&gt;".",up_Irr!BQ28="."),up_dir!AT28/((1/1000)*(up_Irr!S28+up_Irr!AR28)),IF(AND(up_Irr!S28&lt;&gt;".",up_Irr!AR28=".",up_Irr!BQ28&lt;&gt;"."),up_dir!AT28/((1/1000)*(up_Irr!S28+up_Irr!BQ28)),IF(AND(up_Irr!S28=".",up_Irr!AR28&lt;&gt;".",up_Irr!BQ28&lt;&gt;"."),up_dir!AT28/((1/1000)*(up_Irr!AR28+up_Irr!BQ28)),IF(AND(up_Irr!S28=".",up_Irr!AR28=".",up_Irr!BQ28&lt;&gt;"."),up_dir!AT28/((1/1000)*(up_Irr!BQ28)),IF(AND(up_Irr!S28=".",up_Irr!AR28&lt;&gt;".",up_Irr!BQ28="."),up_dir!AT28/((1/1000)*(up_Irr!AR28)),IF(AND(up_Irr!S28&lt;&gt;".",up_Irr!AR28=".",up_Irr!BQ28="."),up_dir!AT28/((1/1000)*(up_Irr!S28)),IF(AND(up_Irr!S28=".",up_Irr!AR28=".",up_Irr!BQ28="."),up_dir!AT28*1000)))))))),".")</f>
        <v>6.5773651144152131E-4</v>
      </c>
      <c r="BU28" s="70">
        <f>IFERROR(IF(AND(up_Irr!T28&lt;&gt;".",up_Irr!AS28&lt;&gt;".",up_Irr!BR28&lt;&gt;"."),up_dir!AU28/((1/1000)*(up_Irr!T28+up_Irr!AS28+up_Irr!BR28)),IF(AND(up_Irr!T28&lt;&gt;".",up_Irr!AS28&lt;&gt;".",up_Irr!BR28="."),up_dir!AU28/((1/1000)*(up_Irr!T28+up_Irr!AS28)),IF(AND(up_Irr!T28&lt;&gt;".",up_Irr!AS28=".",up_Irr!BR28&lt;&gt;"."),up_dir!AU28/((1/1000)*(up_Irr!T28+up_Irr!BR28)),IF(AND(up_Irr!T28=".",up_Irr!AS28&lt;&gt;".",up_Irr!BR28&lt;&gt;"."),up_dir!AU28/((1/1000)*(up_Irr!AS28+up_Irr!BR28)),IF(AND(up_Irr!T28=".",up_Irr!AS28=".",up_Irr!BR28&lt;&gt;"."),up_dir!AU28/((1/1000)*(up_Irr!BR28)),IF(AND(up_Irr!T28=".",up_Irr!AS28&lt;&gt;".",up_Irr!BR28="."),up_dir!AU28/((1/1000)*(up_Irr!AS28)),IF(AND(up_Irr!T28&lt;&gt;".",up_Irr!AS28=".",up_Irr!BR28="."),up_dir!AU28/((1/1000)*(up_Irr!T28)),IF(AND(up_Irr!T28=".",up_Irr!AS28=".",up_Irr!BR28="."),up_dir!AU28*1000)))))))),".")</f>
        <v>6.5773651144152131E-4</v>
      </c>
      <c r="BV28" s="70">
        <f>IFERROR(IF(AND(up_Irr!U28&lt;&gt;".",up_Irr!AT28&lt;&gt;".",up_Irr!BS28&lt;&gt;"."),up_dir!AV28/((1/1000)*(up_Irr!U28+up_Irr!AT28+up_Irr!BS28)),IF(AND(up_Irr!U28&lt;&gt;".",up_Irr!AT28&lt;&gt;".",up_Irr!BS28="."),up_dir!AV28/((1/1000)*(up_Irr!U28+up_Irr!AT28)),IF(AND(up_Irr!U28&lt;&gt;".",up_Irr!AT28=".",up_Irr!BS28&lt;&gt;"."),up_dir!AV28/((1/1000)*(up_Irr!U28+up_Irr!BS28)),IF(AND(up_Irr!U28=".",up_Irr!AT28&lt;&gt;".",up_Irr!BS28&lt;&gt;"."),up_dir!AV28/((1/1000)*(up_Irr!AT28+up_Irr!BS28)),IF(AND(up_Irr!U28=".",up_Irr!AT28=".",up_Irr!BS28&lt;&gt;"."),up_dir!AV28/((1/1000)*(up_Irr!BS28)),IF(AND(up_Irr!U28=".",up_Irr!AT28&lt;&gt;".",up_Irr!BS28="."),up_dir!AV28/((1/1000)*(up_Irr!AT28)),IF(AND(up_Irr!U28&lt;&gt;".",up_Irr!AT28=".",up_Irr!BS28="."),up_dir!AV28/((1/1000)*(up_Irr!U28)),IF(AND(up_Irr!U28=".",up_Irr!AT28=".",up_Irr!BS28="."),up_dir!AV28*1000)))))))),".")</f>
        <v>6.5773651144152131E-4</v>
      </c>
      <c r="BW28" s="70">
        <f>IFERROR(IF(AND(up_Irr!V28&lt;&gt;".",up_Irr!AU28&lt;&gt;".",up_Irr!BT28&lt;&gt;"."),up_dir!AW28/((1/1000)*(up_Irr!V28+up_Irr!AU28+up_Irr!BT28)),IF(AND(up_Irr!V28&lt;&gt;".",up_Irr!AU28&lt;&gt;".",up_Irr!BT28="."),up_dir!AW28/((1/1000)*(up_Irr!V28+up_Irr!AU28)),IF(AND(up_Irr!V28&lt;&gt;".",up_Irr!AU28=".",up_Irr!BT28&lt;&gt;"."),up_dir!AW28/((1/1000)*(up_Irr!V28+up_Irr!BT28)),IF(AND(up_Irr!V28=".",up_Irr!AU28&lt;&gt;".",up_Irr!BT28&lt;&gt;"."),up_dir!AW28/((1/1000)*(up_Irr!AU28+up_Irr!BT28)),IF(AND(up_Irr!V28=".",up_Irr!AU28=".",up_Irr!BT28&lt;&gt;"."),up_dir!AW28/((1/1000)*(up_Irr!BT28)),IF(AND(up_Irr!V28=".",up_Irr!AU28&lt;&gt;".",up_Irr!BT28="."),up_dir!AW28/((1/1000)*(up_Irr!AU28)),IF(AND(up_Irr!V28&lt;&gt;".",up_Irr!AU28=".",up_Irr!BT28="."),up_dir!AW28/((1/1000)*(up_Irr!V28)),IF(AND(up_Irr!V28=".",up_Irr!AU28=".",up_Irr!BT28="."),up_dir!AW28*1000)))))))),".")</f>
        <v>6.5773651144152131E-4</v>
      </c>
      <c r="BX28" s="70">
        <f>IFERROR(IF(AND(up_Irr!W28&lt;&gt;".",up_Irr!AV28&lt;&gt;".",up_Irr!BU28&lt;&gt;"."),up_dir!AX28/((1/1000)*(up_Irr!W28+up_Irr!AV28+up_Irr!BU28)),IF(AND(up_Irr!W28&lt;&gt;".",up_Irr!AV28&lt;&gt;".",up_Irr!BU28="."),up_dir!AX28/((1/1000)*(up_Irr!W28+up_Irr!AV28)),IF(AND(up_Irr!W28&lt;&gt;".",up_Irr!AV28=".",up_Irr!BU28&lt;&gt;"."),up_dir!AX28/((1/1000)*(up_Irr!W28+up_Irr!BU28)),IF(AND(up_Irr!W28=".",up_Irr!AV28&lt;&gt;".",up_Irr!BU28&lt;&gt;"."),up_dir!AX28/((1/1000)*(up_Irr!AV28+up_Irr!BU28)),IF(AND(up_Irr!W28=".",up_Irr!AV28=".",up_Irr!BU28&lt;&gt;"."),up_dir!AX28/((1/1000)*(up_Irr!BU28)),IF(AND(up_Irr!W28=".",up_Irr!AV28&lt;&gt;".",up_Irr!BU28="."),up_dir!AX28/((1/1000)*(up_Irr!AV28)),IF(AND(up_Irr!W28&lt;&gt;".",up_Irr!AV28=".",up_Irr!BU28="."),up_dir!AX28/((1/1000)*(up_Irr!W28)),IF(AND(up_Irr!W28=".",up_Irr!AV28=".",up_Irr!BU28="."),up_dir!AX28*1000)))))))),".")</f>
        <v>6.5773651144152131E-4</v>
      </c>
      <c r="BY28" s="70">
        <f>IFERROR(IF(AND(up_Irr!X28&lt;&gt;".",up_Irr!AW28&lt;&gt;".",up_Irr!BV28&lt;&gt;"."),up_dir!AY28/((1/1000)*(up_Irr!X28+up_Irr!AW28+up_Irr!BV28)),IF(AND(up_Irr!X28&lt;&gt;".",up_Irr!AW28&lt;&gt;".",up_Irr!BV28="."),up_dir!AY28/((1/1000)*(up_Irr!X28+up_Irr!AW28)),IF(AND(up_Irr!X28&lt;&gt;".",up_Irr!AW28=".",up_Irr!BV28&lt;&gt;"."),up_dir!AY28/((1/1000)*(up_Irr!X28+up_Irr!BV28)),IF(AND(up_Irr!X28=".",up_Irr!AW28&lt;&gt;".",up_Irr!BV28&lt;&gt;"."),up_dir!AY28/((1/1000)*(up_Irr!AW28+up_Irr!BV28)),IF(AND(up_Irr!X28=".",up_Irr!AW28=".",up_Irr!BV28&lt;&gt;"."),up_dir!AY28/((1/1000)*(up_Irr!BV28)),IF(AND(up_Irr!X28=".",up_Irr!AW28&lt;&gt;".",up_Irr!BV28="."),up_dir!AY28/((1/1000)*(up_Irr!AW28)),IF(AND(up_Irr!X28&lt;&gt;".",up_Irr!AW28=".",up_Irr!BV28="."),up_dir!AY28/((1/1000)*(up_Irr!X28)),IF(AND(up_Irr!X28=".",up_Irr!AW28=".",up_Irr!BV28="."),up_dir!AY28*1000)))))))),".")</f>
        <v>6.5773651144152131E-4</v>
      </c>
      <c r="BZ28" s="70">
        <f>IFERROR(IF(AND(up_Irr!Y28&lt;&gt;".",up_Irr!AX28&lt;&gt;".",up_Irr!BW28&lt;&gt;"."),up_dir!AZ28/((1/1000)*(up_Irr!Y28+up_Irr!AX28+up_Irr!BW28)),IF(AND(up_Irr!Y28&lt;&gt;".",up_Irr!AX28&lt;&gt;".",up_Irr!BW28="."),up_dir!AZ28/((1/1000)*(up_Irr!Y28+up_Irr!AX28)),IF(AND(up_Irr!Y28&lt;&gt;".",up_Irr!AX28=".",up_Irr!BW28&lt;&gt;"."),up_dir!AZ28/((1/1000)*(up_Irr!Y28+up_Irr!BW28)),IF(AND(up_Irr!Y28=".",up_Irr!AX28&lt;&gt;".",up_Irr!BW28&lt;&gt;"."),up_dir!AZ28/((1/1000)*(up_Irr!AX28+up_Irr!BW28)),IF(AND(up_Irr!Y28=".",up_Irr!AX28=".",up_Irr!BW28&lt;&gt;"."),up_dir!AZ28/((1/1000)*(up_Irr!BW28)),IF(AND(up_Irr!Y28=".",up_Irr!AX28&lt;&gt;".",up_Irr!BW28="."),up_dir!AZ28/((1/1000)*(up_Irr!AX28)),IF(AND(up_Irr!Y28&lt;&gt;".",up_Irr!AX28=".",up_Irr!BW28="."),up_dir!AZ28/((1/1000)*(up_Irr!Y28)),IF(AND(up_Irr!Y28=".",up_Irr!AX28=".",up_Irr!BW28="."),up_dir!AZ28*1000)))))))),".")</f>
        <v>6.5773651144152131E-4</v>
      </c>
      <c r="CA28" s="70">
        <f>IFERROR(IF(AND(up_Irr!Z28&lt;&gt;".",up_Irr!AY28&lt;&gt;".",up_Irr!BX28&lt;&gt;"."),up_dir!BA28/((1/1000)*(up_Irr!Z28+up_Irr!AY28+up_Irr!BX28)),IF(AND(up_Irr!Z28&lt;&gt;".",up_Irr!AY28&lt;&gt;".",up_Irr!BX28="."),up_dir!BA28/((1/1000)*(up_Irr!Z28+up_Irr!AY28)),IF(AND(up_Irr!Z28&lt;&gt;".",up_Irr!AY28=".",up_Irr!BX28&lt;&gt;"."),up_dir!BA28/((1/1000)*(up_Irr!Z28+up_Irr!BX28)),IF(AND(up_Irr!Z28=".",up_Irr!AY28&lt;&gt;".",up_Irr!BX28&lt;&gt;"."),up_dir!BA28/((1/1000)*(up_Irr!AY28+up_Irr!BX28)),IF(AND(up_Irr!Z28=".",up_Irr!AY28=".",up_Irr!BX28&lt;&gt;"."),up_dir!BA28/((1/1000)*(up_Irr!BX28)),IF(AND(up_Irr!Z28=".",up_Irr!AY28&lt;&gt;".",up_Irr!BX28="."),up_dir!BA28/((1/1000)*(up_Irr!AY28)),IF(AND(up_Irr!Z28&lt;&gt;".",up_Irr!AY28=".",up_Irr!BX28="."),up_dir!BA28/((1/1000)*(up_Irr!Z28)),IF(AND(up_Irr!Z28=".",up_Irr!AY28=".",up_Irr!BX28="."),up_dir!BA28*1000)))))))),".")</f>
        <v>6.5773651144152131E-4</v>
      </c>
      <c r="CB28" s="70">
        <f>IFERROR(IF(AND(up_Irr!AA28&lt;&gt;".",up_Irr!AZ28&lt;&gt;".",up_Irr!BY28&lt;&gt;"."),up_dir!BB28/((1/1000)*(up_Irr!AA28+up_Irr!AZ28+up_Irr!BY28)),IF(AND(up_Irr!AA28&lt;&gt;".",up_Irr!AZ28&lt;&gt;".",up_Irr!BY28="."),up_dir!BB28/((1/1000)*(up_Irr!AA28+up_Irr!AZ28)),IF(AND(up_Irr!AA28&lt;&gt;".",up_Irr!AZ28=".",up_Irr!BY28&lt;&gt;"."),up_dir!BB28/((1/1000)*(up_Irr!AA28+up_Irr!BY28)),IF(AND(up_Irr!AA28=".",up_Irr!AZ28&lt;&gt;".",up_Irr!BY28&lt;&gt;"."),up_dir!BB28/((1/1000)*(up_Irr!AZ28+up_Irr!BY28)),IF(AND(up_Irr!AA28=".",up_Irr!AZ28=".",up_Irr!BY28&lt;&gt;"."),up_dir!BB28/((1/1000)*(up_Irr!BY28)),IF(AND(up_Irr!AA28=".",up_Irr!AZ28&lt;&gt;".",up_Irr!BY28="."),up_dir!BB28/((1/1000)*(up_Irr!AZ28)),IF(AND(up_Irr!AA28&lt;&gt;".",up_Irr!AZ28=".",up_Irr!BY28="."),up_dir!BB28/((1/1000)*(up_Irr!AA28)),IF(AND(up_Irr!AA28=".",up_Irr!AZ28=".",up_Irr!BY28="."),up_dir!BB28*1000)))))))),".")</f>
        <v>6.5773651144152131E-4</v>
      </c>
      <c r="CC28" s="87">
        <f t="shared" si="3"/>
        <v>30407.313038114935</v>
      </c>
      <c r="CD28" s="87">
        <f>IFERROR(s_C*s_IFAP_far_adj*s_CF_apple*(1/1000)*(up_Irr!C28+up_Irr!AB28+up_Irr!BA28),".")</f>
        <v>7601.8282595287337</v>
      </c>
      <c r="CE28" s="87">
        <f>IFERROR(s_C*s_IFAS_far_adj*s_CF_asparagus*(1/1000)*(up_Irr!D28+up_Irr!AC28+up_Irr!BB28),".")</f>
        <v>7601.8282595287337</v>
      </c>
      <c r="CF28" s="87">
        <f>IFERROR(s_C*s_IFBT_far_adj*s_CF_beet*(1/1000)*(up_Irr!E28+up_Irr!AD28+up_Irr!BC28),".")</f>
        <v>7601.8282595287337</v>
      </c>
      <c r="CG28" s="87">
        <f>IFERROR(s_C*s_IFBE_far_adj*s_CF_berries*(1/1000)*(up_Irr!F28+up_Irr!AE28+up_Irr!BD28),".")</f>
        <v>7601.8282595287337</v>
      </c>
      <c r="CH28" s="87">
        <f>IFERROR(s_C*s_IFBR_far_adj*s_CF_broccoli*(1/1000)*(up_Irr!G28+up_Irr!AF28+up_Irr!BE28),".")</f>
        <v>7601.8282595287337</v>
      </c>
      <c r="CI28" s="87">
        <f>IFERROR(s_C*s_IFCB_far_adj*s_CF_cabbage*(1/1000)*(up_Irr!H28+up_Irr!AG28+up_Irr!BF28),".")</f>
        <v>7601.8282595287337</v>
      </c>
      <c r="CJ28" s="87">
        <f>IFERROR(s_C*s_IFCR_far_adj*s_CF_carrot*(1/1000)*(up_Irr!I28+up_Irr!AH28+up_Irr!BG28),".")</f>
        <v>7601.8282595287337</v>
      </c>
      <c r="CK28" s="87">
        <f>IFERROR(s_C*s_IFCI_far_adj*s_CF_citrus*(1/1000)*(up_Irr!J28+up_Irr!AI28+up_Irr!BH28),".")</f>
        <v>7601.8282595287337</v>
      </c>
      <c r="CL28" s="87">
        <f>IFERROR(s_C*s_IFCO_far_adj*s_CF_corn*(1/1000)*(up_Irr!K28+up_Irr!AJ28+up_Irr!BI28),".")</f>
        <v>7601.8282595287337</v>
      </c>
      <c r="CM28" s="87">
        <f>IFERROR(s_C*s_IFCU_far_adj*s_CF_cucumber*(1/1000)*(up_Irr!L28+up_Irr!AK28+up_Irr!BJ28),".")</f>
        <v>7601.8282595287337</v>
      </c>
      <c r="CN28" s="87">
        <f>IFERROR(s_C*s_IFLE_far_adj*s_CF_lettuce*(1/1000)*(up_Irr!M28+up_Irr!AL28+up_Irr!BK28),".")</f>
        <v>7601.8282595287337</v>
      </c>
      <c r="CO28" s="87">
        <f>IFERROR(s_C*s_IFLI_far_adj*s_CF_lima_bean*(1/1000)*(up_Irr!N28+up_Irr!AM28+up_Irr!BL28),".")</f>
        <v>7601.8282595287337</v>
      </c>
      <c r="CP28" s="87">
        <f>IFERROR(s_C*s_IFOK_far_adj*s_CF_okra*(1/1000)*(up_Irr!O28+up_Irr!AN28+up_Irr!BM28),".")</f>
        <v>7601.8282595287337</v>
      </c>
      <c r="CQ28" s="87">
        <f>IFERROR(s_C*s_IFON_far_adj*s_CF_onion*(1/1000)*(up_Irr!P28+up_Irr!AO28+up_Irr!BN28),".")</f>
        <v>7601.8282595287337</v>
      </c>
      <c r="CR28" s="87">
        <f>IFERROR(s_C*s_IFPC_far_adj*s_CF_peach*(1/1000)*(up_Irr!Q28+up_Irr!AP28+up_Irr!BO28),".")</f>
        <v>7601.8282595287337</v>
      </c>
      <c r="CS28" s="87">
        <f>IFERROR(s_C*s_IFPR_far_adj*s_CF_pear*(1/1000)*(up_Irr!R28+up_Irr!AQ28+up_Irr!BP28),".")</f>
        <v>7601.8282595287337</v>
      </c>
      <c r="CT28" s="87">
        <f>IFERROR(s_C*s_IFPE_far_adj*s_CF_peas*(1/1000)*(up_Irr!S28+up_Irr!AR28+up_Irr!BQ28),".")</f>
        <v>7601.8282595287337</v>
      </c>
      <c r="CU28" s="87">
        <f>IFERROR(s_C*s_IFPP_far_adj*s_CF_peppers*(1/1000)*(up_Irr!T28+up_Irr!AS28+up_Irr!BR28),".")</f>
        <v>7601.8282595287337</v>
      </c>
      <c r="CV28" s="87">
        <f>IFERROR(s_C*s_IFPT_far_adj*s_CF_potato*(1/1000)*(up_Irr!U28+up_Irr!AT28+up_Irr!BS28),".")</f>
        <v>7601.8282595287337</v>
      </c>
      <c r="CW28" s="87">
        <f>IFERROR(s_C*s_IFPU_far_adj*s_CF_pumpkin*(1/1000)*(up_Irr!V28+up_Irr!AU28+up_Irr!BT28),".")</f>
        <v>7601.8282595287337</v>
      </c>
      <c r="CX28" s="87">
        <f>IFERROR(s_C*s_IFSN_far_adj*s_CF_snap_bean*(1/1000)*(up_Irr!W28+up_Irr!AV28+up_Irr!BU28),".")</f>
        <v>7601.8282595287337</v>
      </c>
      <c r="CY28" s="87">
        <f>IFERROR(s_C*s_IFST_far_adj*s_CF_strawberry*(1/1000)*(up_Irr!X28+up_Irr!AW28+up_Irr!BV28),".")</f>
        <v>7601.8282595287337</v>
      </c>
      <c r="CZ28" s="87">
        <f>IFERROR(s_C*s_IFTO_far_adj*s_CF_tomato*(1/1000)*(up_Irr!Y28+up_Irr!AX28+up_Irr!BW28),".")</f>
        <v>7601.8282595287337</v>
      </c>
      <c r="DA28" s="87">
        <f>IFERROR(s_C*s_IFRI_far_adj*s_CF_rice*(1/1000)*(up_Irr!Z28+up_Irr!AY28+up_Irr!BX28),".")</f>
        <v>7601.8282595287337</v>
      </c>
      <c r="DB28" s="87">
        <f>IFERROR(s_C*s_IFCG_far_adj*s_CF_cereal*(1/1000)*(up_Irr!AA28+up_Irr!AZ28+up_Irr!BY28),".")</f>
        <v>7601.8282595287337</v>
      </c>
    </row>
    <row r="29" spans="1:106" ht="15" customHeight="1" x14ac:dyDescent="0.25">
      <c r="A29" s="86" t="s">
        <v>27</v>
      </c>
      <c r="B29" s="84" t="s">
        <v>1057</v>
      </c>
      <c r="C29" s="15">
        <f t="shared" si="0"/>
        <v>1.6443412786038033E-4</v>
      </c>
      <c r="D29" s="70">
        <f>IFERROR(IF(AND(up_Irr!C29&lt;&gt;".",up_Irr!AB29&lt;&gt;".",up_Irr!BA29&lt;&gt;"."),up_dir!D29/((1/1000)*(up_Irr!C29+up_Irr!AB29+up_Irr!BA29)),IF(AND(up_Irr!C29&lt;&gt;".",up_Irr!AB29&lt;&gt;".",up_Irr!BA29="."),up_dir!D29/((1/1000)*(up_Irr!C29+up_Irr!AB29)),IF(AND(up_Irr!C29&lt;&gt;".",up_Irr!AB29=".",up_Irr!BA29&lt;&gt;"."),up_dir!D29/((1/1000)*(up_Irr!C29+up_Irr!BA29)),IF(AND(up_Irr!C29=".",up_Irr!AB29&lt;&gt;".",up_Irr!BA29&lt;&gt;"."),up_dir!D29/((1/1000)*(up_Irr!AB29+up_Irr!BA29)),IF(AND(up_Irr!C29=".",up_Irr!AB29=".",up_Irr!BA29&lt;&gt;"."),up_dir!D29/((1/1000)*(up_Irr!BA29)),IF(AND(up_Irr!C29=".",up_Irr!AB29&lt;&gt;".",up_Irr!BA29="."),up_dir!D29/((1/1000)*(up_Irr!AB29)),IF(AND(up_Irr!C29&lt;&gt;".",up_Irr!AB29=".",up_Irr!BA29="."),up_dir!D29/((1/1000)*(up_Irr!C29)),IF(AND(up_Irr!C29=".",up_Irr!AB29=".",up_Irr!BA29="."),up_dir!D29*1000)))))))),".")</f>
        <v>6.5773651144152131E-4</v>
      </c>
      <c r="E29" s="70">
        <f>IFERROR(IF(AND(up_Irr!D29&lt;&gt;".",up_Irr!AC29&lt;&gt;".",up_Irr!BB29&lt;&gt;"."),up_dir!E29/((1/1000)*(up_Irr!D29+up_Irr!AC29+up_Irr!BB29)),IF(AND(up_Irr!D29&lt;&gt;".",up_Irr!AC29&lt;&gt;".",up_Irr!BB29="."),up_dir!E29/((1/1000)*(up_Irr!D29+up_Irr!AC29)),IF(AND(up_Irr!D29&lt;&gt;".",up_Irr!AC29=".",up_Irr!BB29&lt;&gt;"."),up_dir!E29/((1/1000)*(up_Irr!D29+up_Irr!BB29)),IF(AND(up_Irr!D29=".",up_Irr!AC29&lt;&gt;".",up_Irr!BB29&lt;&gt;"."),up_dir!E29/((1/1000)*(up_Irr!AC29+up_Irr!BB29)),IF(AND(up_Irr!D29=".",up_Irr!AC29=".",up_Irr!BB29&lt;&gt;"."),up_dir!E29/((1/1000)*(up_Irr!BB29)),IF(AND(up_Irr!D29=".",up_Irr!AC29&lt;&gt;".",up_Irr!BB29="."),up_dir!E29/((1/1000)*(up_Irr!AC29)),IF(AND(up_Irr!D29&lt;&gt;".",up_Irr!AC29=".",up_Irr!BB29="."),up_dir!E29/((1/1000)*(up_Irr!D29)),IF(AND(up_Irr!D29=".",up_Irr!AC29=".",up_Irr!BB29="."),up_dir!E29*1000)))))))),".")</f>
        <v>6.5773651144152131E-4</v>
      </c>
      <c r="F29" s="70">
        <f>IFERROR(IF(AND(up_Irr!E29&lt;&gt;".",up_Irr!AD29&lt;&gt;".",up_Irr!BC29&lt;&gt;"."),up_dir!F29/((1/1000)*(up_Irr!E29+up_Irr!AD29+up_Irr!BC29)),IF(AND(up_Irr!E29&lt;&gt;".",up_Irr!AD29&lt;&gt;".",up_Irr!BC29="."),up_dir!F29/((1/1000)*(up_Irr!E29+up_Irr!AD29)),IF(AND(up_Irr!E29&lt;&gt;".",up_Irr!AD29=".",up_Irr!BC29&lt;&gt;"."),up_dir!F29/((1/1000)*(up_Irr!E29+up_Irr!BC29)),IF(AND(up_Irr!E29=".",up_Irr!AD29&lt;&gt;".",up_Irr!BC29&lt;&gt;"."),up_dir!F29/((1/1000)*(up_Irr!AD29+up_Irr!BC29)),IF(AND(up_Irr!E29=".",up_Irr!AD29=".",up_Irr!BC29&lt;&gt;"."),up_dir!F29/((1/1000)*(up_Irr!BC29)),IF(AND(up_Irr!E29=".",up_Irr!AD29&lt;&gt;".",up_Irr!BC29="."),up_dir!F29/((1/1000)*(up_Irr!AD29)),IF(AND(up_Irr!E29&lt;&gt;".",up_Irr!AD29=".",up_Irr!BC29="."),up_dir!F29/((1/1000)*(up_Irr!E29)),IF(AND(up_Irr!E29=".",up_Irr!AD29=".",up_Irr!BC29="."),up_dir!F29*1000)))))))),".")</f>
        <v>6.5773651144152131E-4</v>
      </c>
      <c r="G29" s="70">
        <f>IFERROR(IF(AND(up_Irr!F29&lt;&gt;".",up_Irr!AE29&lt;&gt;".",up_Irr!BD29&lt;&gt;"."),up_dir!G29/((1/1000)*(up_Irr!F29+up_Irr!AE29+up_Irr!BD29)),IF(AND(up_Irr!F29&lt;&gt;".",up_Irr!AE29&lt;&gt;".",up_Irr!BD29="."),up_dir!G29/((1/1000)*(up_Irr!F29+up_Irr!AE29)),IF(AND(up_Irr!F29&lt;&gt;".",up_Irr!AE29=".",up_Irr!BD29&lt;&gt;"."),up_dir!G29/((1/1000)*(up_Irr!F29+up_Irr!BD29)),IF(AND(up_Irr!F29=".",up_Irr!AE29&lt;&gt;".",up_Irr!BD29&lt;&gt;"."),up_dir!G29/((1/1000)*(up_Irr!AE29+up_Irr!BD29)),IF(AND(up_Irr!F29=".",up_Irr!AE29=".",up_Irr!BD29&lt;&gt;"."),up_dir!G29/((1/1000)*(up_Irr!BD29)),IF(AND(up_Irr!F29=".",up_Irr!AE29&lt;&gt;".",up_Irr!BD29="."),up_dir!G29/((1/1000)*(up_Irr!AE29)),IF(AND(up_Irr!F29&lt;&gt;".",up_Irr!AE29=".",up_Irr!BD29="."),up_dir!G29/((1/1000)*(up_Irr!F29)),IF(AND(up_Irr!F29=".",up_Irr!AE29=".",up_Irr!BD29="."),up_dir!G29*1000)))))))),".")</f>
        <v>6.5773651144152131E-4</v>
      </c>
      <c r="H29" s="70">
        <f>IFERROR(IF(AND(up_Irr!G29&lt;&gt;".",up_Irr!AF29&lt;&gt;".",up_Irr!BE29&lt;&gt;"."),up_dir!H29/((1/1000)*(up_Irr!G29+up_Irr!AF29+up_Irr!BE29)),IF(AND(up_Irr!G29&lt;&gt;".",up_Irr!AF29&lt;&gt;".",up_Irr!BE29="."),up_dir!H29/((1/1000)*(up_Irr!G29+up_Irr!AF29)),IF(AND(up_Irr!G29&lt;&gt;".",up_Irr!AF29=".",up_Irr!BE29&lt;&gt;"."),up_dir!H29/((1/1000)*(up_Irr!G29+up_Irr!BE29)),IF(AND(up_Irr!G29=".",up_Irr!AF29&lt;&gt;".",up_Irr!BE29&lt;&gt;"."),up_dir!H29/((1/1000)*(up_Irr!AF29+up_Irr!BE29)),IF(AND(up_Irr!G29=".",up_Irr!AF29=".",up_Irr!BE29&lt;&gt;"."),up_dir!H29/((1/1000)*(up_Irr!BE29)),IF(AND(up_Irr!G29=".",up_Irr!AF29&lt;&gt;".",up_Irr!BE29="."),up_dir!H29/((1/1000)*(up_Irr!AF29)),IF(AND(up_Irr!G29&lt;&gt;".",up_Irr!AF29=".",up_Irr!BE29="."),up_dir!H29/((1/1000)*(up_Irr!G29)),IF(AND(up_Irr!G29=".",up_Irr!AF29=".",up_Irr!BE29="."),up_dir!H29*1000)))))))),".")</f>
        <v>6.5773651144152131E-4</v>
      </c>
      <c r="I29" s="70">
        <f>IFERROR(IF(AND(up_Irr!H29&lt;&gt;".",up_Irr!AG29&lt;&gt;".",up_Irr!BF29&lt;&gt;"."),up_dir!I29/((1/1000)*(up_Irr!H29+up_Irr!AG29+up_Irr!BF29)),IF(AND(up_Irr!H29&lt;&gt;".",up_Irr!AG29&lt;&gt;".",up_Irr!BF29="."),up_dir!I29/((1/1000)*(up_Irr!H29+up_Irr!AG29)),IF(AND(up_Irr!H29&lt;&gt;".",up_Irr!AG29=".",up_Irr!BF29&lt;&gt;"."),up_dir!I29/((1/1000)*(up_Irr!H29+up_Irr!BF29)),IF(AND(up_Irr!H29=".",up_Irr!AG29&lt;&gt;".",up_Irr!BF29&lt;&gt;"."),up_dir!I29/((1/1000)*(up_Irr!AG29+up_Irr!BF29)),IF(AND(up_Irr!H29=".",up_Irr!AG29=".",up_Irr!BF29&lt;&gt;"."),up_dir!I29/((1/1000)*(up_Irr!BF29)),IF(AND(up_Irr!H29=".",up_Irr!AG29&lt;&gt;".",up_Irr!BF29="."),up_dir!I29/((1/1000)*(up_Irr!AG29)),IF(AND(up_Irr!H29&lt;&gt;".",up_Irr!AG29=".",up_Irr!BF29="."),up_dir!I29/((1/1000)*(up_Irr!H29)),IF(AND(up_Irr!H29=".",up_Irr!AG29=".",up_Irr!BF29="."),up_dir!I29*1000)))))))),".")</f>
        <v>6.5773651144152131E-4</v>
      </c>
      <c r="J29" s="70">
        <f>IFERROR(IF(AND(up_Irr!I29&lt;&gt;".",up_Irr!AH29&lt;&gt;".",up_Irr!BG29&lt;&gt;"."),up_dir!J29/((1/1000)*(up_Irr!I29+up_Irr!AH29+up_Irr!BG29)),IF(AND(up_Irr!I29&lt;&gt;".",up_Irr!AH29&lt;&gt;".",up_Irr!BG29="."),up_dir!J29/((1/1000)*(up_Irr!I29+up_Irr!AH29)),IF(AND(up_Irr!I29&lt;&gt;".",up_Irr!AH29=".",up_Irr!BG29&lt;&gt;"."),up_dir!J29/((1/1000)*(up_Irr!I29+up_Irr!BG29)),IF(AND(up_Irr!I29=".",up_Irr!AH29&lt;&gt;".",up_Irr!BG29&lt;&gt;"."),up_dir!J29/((1/1000)*(up_Irr!AH29+up_Irr!BG29)),IF(AND(up_Irr!I29=".",up_Irr!AH29=".",up_Irr!BG29&lt;&gt;"."),up_dir!J29/((1/1000)*(up_Irr!BG29)),IF(AND(up_Irr!I29=".",up_Irr!AH29&lt;&gt;".",up_Irr!BG29="."),up_dir!J29/((1/1000)*(up_Irr!AH29)),IF(AND(up_Irr!I29&lt;&gt;".",up_Irr!AH29=".",up_Irr!BG29="."),up_dir!J29/((1/1000)*(up_Irr!I29)),IF(AND(up_Irr!I29=".",up_Irr!AH29=".",up_Irr!BG29="."),up_dir!J29*1000)))))))),".")</f>
        <v>6.5773651144152131E-4</v>
      </c>
      <c r="K29" s="70">
        <f>IFERROR(IF(AND(up_Irr!J29&lt;&gt;".",up_Irr!AI29&lt;&gt;".",up_Irr!BH29&lt;&gt;"."),up_dir!K29/((1/1000)*(up_Irr!J29+up_Irr!AI29+up_Irr!BH29)),IF(AND(up_Irr!J29&lt;&gt;".",up_Irr!AI29&lt;&gt;".",up_Irr!BH29="."),up_dir!K29/((1/1000)*(up_Irr!J29+up_Irr!AI29)),IF(AND(up_Irr!J29&lt;&gt;".",up_Irr!AI29=".",up_Irr!BH29&lt;&gt;"."),up_dir!K29/((1/1000)*(up_Irr!J29+up_Irr!BH29)),IF(AND(up_Irr!J29=".",up_Irr!AI29&lt;&gt;".",up_Irr!BH29&lt;&gt;"."),up_dir!K29/((1/1000)*(up_Irr!AI29+up_Irr!BH29)),IF(AND(up_Irr!J29=".",up_Irr!AI29=".",up_Irr!BH29&lt;&gt;"."),up_dir!K29/((1/1000)*(up_Irr!BH29)),IF(AND(up_Irr!J29=".",up_Irr!AI29&lt;&gt;".",up_Irr!BH29="."),up_dir!K29/((1/1000)*(up_Irr!AI29)),IF(AND(up_Irr!J29&lt;&gt;".",up_Irr!AI29=".",up_Irr!BH29="."),up_dir!K29/((1/1000)*(up_Irr!J29)),IF(AND(up_Irr!J29=".",up_Irr!AI29=".",up_Irr!BH29="."),up_dir!K29*1000)))))))),".")</f>
        <v>6.5773651144152131E-4</v>
      </c>
      <c r="L29" s="70">
        <f>IFERROR(IF(AND(up_Irr!K29&lt;&gt;".",up_Irr!AJ29&lt;&gt;".",up_Irr!BI29&lt;&gt;"."),up_dir!L29/((1/1000)*(up_Irr!K29+up_Irr!AJ29+up_Irr!BI29)),IF(AND(up_Irr!K29&lt;&gt;".",up_Irr!AJ29&lt;&gt;".",up_Irr!BI29="."),up_dir!L29/((1/1000)*(up_Irr!K29+up_Irr!AJ29)),IF(AND(up_Irr!K29&lt;&gt;".",up_Irr!AJ29=".",up_Irr!BI29&lt;&gt;"."),up_dir!L29/((1/1000)*(up_Irr!K29+up_Irr!BI29)),IF(AND(up_Irr!K29=".",up_Irr!AJ29&lt;&gt;".",up_Irr!BI29&lt;&gt;"."),up_dir!L29/((1/1000)*(up_Irr!AJ29+up_Irr!BI29)),IF(AND(up_Irr!K29=".",up_Irr!AJ29=".",up_Irr!BI29&lt;&gt;"."),up_dir!L29/((1/1000)*(up_Irr!BI29)),IF(AND(up_Irr!K29=".",up_Irr!AJ29&lt;&gt;".",up_Irr!BI29="."),up_dir!L29/((1/1000)*(up_Irr!AJ29)),IF(AND(up_Irr!K29&lt;&gt;".",up_Irr!AJ29=".",up_Irr!BI29="."),up_dir!L29/((1/1000)*(up_Irr!K29)),IF(AND(up_Irr!K29=".",up_Irr!AJ29=".",up_Irr!BI29="."),up_dir!L29*1000)))))))),".")</f>
        <v>6.5773651144152131E-4</v>
      </c>
      <c r="M29" s="70">
        <f>IFERROR(IF(AND(up_Irr!L29&lt;&gt;".",up_Irr!AK29&lt;&gt;".",up_Irr!BJ29&lt;&gt;"."),up_dir!M29/((1/1000)*(up_Irr!L29+up_Irr!AK29+up_Irr!BJ29)),IF(AND(up_Irr!L29&lt;&gt;".",up_Irr!AK29&lt;&gt;".",up_Irr!BJ29="."),up_dir!M29/((1/1000)*(up_Irr!L29+up_Irr!AK29)),IF(AND(up_Irr!L29&lt;&gt;".",up_Irr!AK29=".",up_Irr!BJ29&lt;&gt;"."),up_dir!M29/((1/1000)*(up_Irr!L29+up_Irr!BJ29)),IF(AND(up_Irr!L29=".",up_Irr!AK29&lt;&gt;".",up_Irr!BJ29&lt;&gt;"."),up_dir!M29/((1/1000)*(up_Irr!AK29+up_Irr!BJ29)),IF(AND(up_Irr!L29=".",up_Irr!AK29=".",up_Irr!BJ29&lt;&gt;"."),up_dir!M29/((1/1000)*(up_Irr!BJ29)),IF(AND(up_Irr!L29=".",up_Irr!AK29&lt;&gt;".",up_Irr!BJ29="."),up_dir!M29/((1/1000)*(up_Irr!AK29)),IF(AND(up_Irr!L29&lt;&gt;".",up_Irr!AK29=".",up_Irr!BJ29="."),up_dir!M29/((1/1000)*(up_Irr!L29)),IF(AND(up_Irr!L29=".",up_Irr!AK29=".",up_Irr!BJ29="."),up_dir!M29*1000)))))))),".")</f>
        <v>6.5773651144152131E-4</v>
      </c>
      <c r="N29" s="70">
        <f>IFERROR(IF(AND(up_Irr!M29&lt;&gt;".",up_Irr!AL29&lt;&gt;".",up_Irr!BK29&lt;&gt;"."),up_dir!N29/((1/1000)*(up_Irr!M29+up_Irr!AL29+up_Irr!BK29)),IF(AND(up_Irr!M29&lt;&gt;".",up_Irr!AL29&lt;&gt;".",up_Irr!BK29="."),up_dir!N29/((1/1000)*(up_Irr!M29+up_Irr!AL29)),IF(AND(up_Irr!M29&lt;&gt;".",up_Irr!AL29=".",up_Irr!BK29&lt;&gt;"."),up_dir!N29/((1/1000)*(up_Irr!M29+up_Irr!BK29)),IF(AND(up_Irr!M29=".",up_Irr!AL29&lt;&gt;".",up_Irr!BK29&lt;&gt;"."),up_dir!N29/((1/1000)*(up_Irr!AL29+up_Irr!BK29)),IF(AND(up_Irr!M29=".",up_Irr!AL29=".",up_Irr!BK29&lt;&gt;"."),up_dir!N29/((1/1000)*(up_Irr!BK29)),IF(AND(up_Irr!M29=".",up_Irr!AL29&lt;&gt;".",up_Irr!BK29="."),up_dir!N29/((1/1000)*(up_Irr!AL29)),IF(AND(up_Irr!M29&lt;&gt;".",up_Irr!AL29=".",up_Irr!BK29="."),up_dir!N29/((1/1000)*(up_Irr!M29)),IF(AND(up_Irr!M29=".",up_Irr!AL29=".",up_Irr!BK29="."),up_dir!N29*1000)))))))),".")</f>
        <v>6.5773651144152131E-4</v>
      </c>
      <c r="O29" s="70">
        <f>IFERROR(IF(AND(up_Irr!N29&lt;&gt;".",up_Irr!AM29&lt;&gt;".",up_Irr!BL29&lt;&gt;"."),up_dir!O29/((1/1000)*(up_Irr!N29+up_Irr!AM29+up_Irr!BL29)),IF(AND(up_Irr!N29&lt;&gt;".",up_Irr!AM29&lt;&gt;".",up_Irr!BL29="."),up_dir!O29/((1/1000)*(up_Irr!N29+up_Irr!AM29)),IF(AND(up_Irr!N29&lt;&gt;".",up_Irr!AM29=".",up_Irr!BL29&lt;&gt;"."),up_dir!O29/((1/1000)*(up_Irr!N29+up_Irr!BL29)),IF(AND(up_Irr!N29=".",up_Irr!AM29&lt;&gt;".",up_Irr!BL29&lt;&gt;"."),up_dir!O29/((1/1000)*(up_Irr!AM29+up_Irr!BL29)),IF(AND(up_Irr!N29=".",up_Irr!AM29=".",up_Irr!BL29&lt;&gt;"."),up_dir!O29/((1/1000)*(up_Irr!BL29)),IF(AND(up_Irr!N29=".",up_Irr!AM29&lt;&gt;".",up_Irr!BL29="."),up_dir!O29/((1/1000)*(up_Irr!AM29)),IF(AND(up_Irr!N29&lt;&gt;".",up_Irr!AM29=".",up_Irr!BL29="."),up_dir!O29/((1/1000)*(up_Irr!N29)),IF(AND(up_Irr!N29=".",up_Irr!AM29=".",up_Irr!BL29="."),up_dir!O29*1000)))))))),".")</f>
        <v>6.5773651144152131E-4</v>
      </c>
      <c r="P29" s="70">
        <f>IFERROR(IF(AND(up_Irr!O29&lt;&gt;".",up_Irr!AN29&lt;&gt;".",up_Irr!BM29&lt;&gt;"."),up_dir!P29/((1/1000)*(up_Irr!O29+up_Irr!AN29+up_Irr!BM29)),IF(AND(up_Irr!O29&lt;&gt;".",up_Irr!AN29&lt;&gt;".",up_Irr!BM29="."),up_dir!P29/((1/1000)*(up_Irr!O29+up_Irr!AN29)),IF(AND(up_Irr!O29&lt;&gt;".",up_Irr!AN29=".",up_Irr!BM29&lt;&gt;"."),up_dir!P29/((1/1000)*(up_Irr!O29+up_Irr!BM29)),IF(AND(up_Irr!O29=".",up_Irr!AN29&lt;&gt;".",up_Irr!BM29&lt;&gt;"."),up_dir!P29/((1/1000)*(up_Irr!AN29+up_Irr!BM29)),IF(AND(up_Irr!O29=".",up_Irr!AN29=".",up_Irr!BM29&lt;&gt;"."),up_dir!P29/((1/1000)*(up_Irr!BM29)),IF(AND(up_Irr!O29=".",up_Irr!AN29&lt;&gt;".",up_Irr!BM29="."),up_dir!P29/((1/1000)*(up_Irr!AN29)),IF(AND(up_Irr!O29&lt;&gt;".",up_Irr!AN29=".",up_Irr!BM29="."),up_dir!P29/((1/1000)*(up_Irr!O29)),IF(AND(up_Irr!O29=".",up_Irr!AN29=".",up_Irr!BM29="."),up_dir!P29*1000)))))))),".")</f>
        <v>6.5773651144152131E-4</v>
      </c>
      <c r="Q29" s="70">
        <f>IFERROR(IF(AND(up_Irr!P29&lt;&gt;".",up_Irr!AO29&lt;&gt;".",up_Irr!BN29&lt;&gt;"."),up_dir!Q29/((1/1000)*(up_Irr!P29+up_Irr!AO29+up_Irr!BN29)),IF(AND(up_Irr!P29&lt;&gt;".",up_Irr!AO29&lt;&gt;".",up_Irr!BN29="."),up_dir!Q29/((1/1000)*(up_Irr!P29+up_Irr!AO29)),IF(AND(up_Irr!P29&lt;&gt;".",up_Irr!AO29=".",up_Irr!BN29&lt;&gt;"."),up_dir!Q29/((1/1000)*(up_Irr!P29+up_Irr!BN29)),IF(AND(up_Irr!P29=".",up_Irr!AO29&lt;&gt;".",up_Irr!BN29&lt;&gt;"."),up_dir!Q29/((1/1000)*(up_Irr!AO29+up_Irr!BN29)),IF(AND(up_Irr!P29=".",up_Irr!AO29=".",up_Irr!BN29&lt;&gt;"."),up_dir!Q29/((1/1000)*(up_Irr!BN29)),IF(AND(up_Irr!P29=".",up_Irr!AO29&lt;&gt;".",up_Irr!BN29="."),up_dir!Q29/((1/1000)*(up_Irr!AO29)),IF(AND(up_Irr!P29&lt;&gt;".",up_Irr!AO29=".",up_Irr!BN29="."),up_dir!Q29/((1/1000)*(up_Irr!P29)),IF(AND(up_Irr!P29=".",up_Irr!AO29=".",up_Irr!BN29="."),up_dir!Q29*1000)))))))),".")</f>
        <v>6.5773651144152131E-4</v>
      </c>
      <c r="R29" s="70">
        <f>IFERROR(IF(AND(up_Irr!Q29&lt;&gt;".",up_Irr!AP29&lt;&gt;".",up_Irr!BO29&lt;&gt;"."),up_dir!R29/((1/1000)*(up_Irr!Q29+up_Irr!AP29+up_Irr!BO29)),IF(AND(up_Irr!Q29&lt;&gt;".",up_Irr!AP29&lt;&gt;".",up_Irr!BO29="."),up_dir!R29/((1/1000)*(up_Irr!Q29+up_Irr!AP29)),IF(AND(up_Irr!Q29&lt;&gt;".",up_Irr!AP29=".",up_Irr!BO29&lt;&gt;"."),up_dir!R29/((1/1000)*(up_Irr!Q29+up_Irr!BO29)),IF(AND(up_Irr!Q29=".",up_Irr!AP29&lt;&gt;".",up_Irr!BO29&lt;&gt;"."),up_dir!R29/((1/1000)*(up_Irr!AP29+up_Irr!BO29)),IF(AND(up_Irr!Q29=".",up_Irr!AP29=".",up_Irr!BO29&lt;&gt;"."),up_dir!R29/((1/1000)*(up_Irr!BO29)),IF(AND(up_Irr!Q29=".",up_Irr!AP29&lt;&gt;".",up_Irr!BO29="."),up_dir!R29/((1/1000)*(up_Irr!AP29)),IF(AND(up_Irr!Q29&lt;&gt;".",up_Irr!AP29=".",up_Irr!BO29="."),up_dir!R29/((1/1000)*(up_Irr!Q29)),IF(AND(up_Irr!Q29=".",up_Irr!AP29=".",up_Irr!BO29="."),up_dir!R29*1000)))))))),".")</f>
        <v>6.5773651144152131E-4</v>
      </c>
      <c r="S29" s="70">
        <f>IFERROR(IF(AND(up_Irr!R29&lt;&gt;".",up_Irr!AQ29&lt;&gt;".",up_Irr!BP29&lt;&gt;"."),up_dir!S29/((1/1000)*(up_Irr!R29+up_Irr!AQ29+up_Irr!BP29)),IF(AND(up_Irr!R29&lt;&gt;".",up_Irr!AQ29&lt;&gt;".",up_Irr!BP29="."),up_dir!S29/((1/1000)*(up_Irr!R29+up_Irr!AQ29)),IF(AND(up_Irr!R29&lt;&gt;".",up_Irr!AQ29=".",up_Irr!BP29&lt;&gt;"."),up_dir!S29/((1/1000)*(up_Irr!R29+up_Irr!BP29)),IF(AND(up_Irr!R29=".",up_Irr!AQ29&lt;&gt;".",up_Irr!BP29&lt;&gt;"."),up_dir!S29/((1/1000)*(up_Irr!AQ29+up_Irr!BP29)),IF(AND(up_Irr!R29=".",up_Irr!AQ29=".",up_Irr!BP29&lt;&gt;"."),up_dir!S29/((1/1000)*(up_Irr!BP29)),IF(AND(up_Irr!R29=".",up_Irr!AQ29&lt;&gt;".",up_Irr!BP29="."),up_dir!S29/((1/1000)*(up_Irr!AQ29)),IF(AND(up_Irr!R29&lt;&gt;".",up_Irr!AQ29=".",up_Irr!BP29="."),up_dir!S29/((1/1000)*(up_Irr!R29)),IF(AND(up_Irr!R29=".",up_Irr!AQ29=".",up_Irr!BP29="."),up_dir!S29*1000)))))))),".")</f>
        <v>6.5773651144152131E-4</v>
      </c>
      <c r="T29" s="70">
        <f>IFERROR(IF(AND(up_Irr!S29&lt;&gt;".",up_Irr!AR29&lt;&gt;".",up_Irr!BQ29&lt;&gt;"."),up_dir!T29/((1/1000)*(up_Irr!S29+up_Irr!AR29+up_Irr!BQ29)),IF(AND(up_Irr!S29&lt;&gt;".",up_Irr!AR29&lt;&gt;".",up_Irr!BQ29="."),up_dir!T29/((1/1000)*(up_Irr!S29+up_Irr!AR29)),IF(AND(up_Irr!S29&lt;&gt;".",up_Irr!AR29=".",up_Irr!BQ29&lt;&gt;"."),up_dir!T29/((1/1000)*(up_Irr!S29+up_Irr!BQ29)),IF(AND(up_Irr!S29=".",up_Irr!AR29&lt;&gt;".",up_Irr!BQ29&lt;&gt;"."),up_dir!T29/((1/1000)*(up_Irr!AR29+up_Irr!BQ29)),IF(AND(up_Irr!S29=".",up_Irr!AR29=".",up_Irr!BQ29&lt;&gt;"."),up_dir!T29/((1/1000)*(up_Irr!BQ29)),IF(AND(up_Irr!S29=".",up_Irr!AR29&lt;&gt;".",up_Irr!BQ29="."),up_dir!T29/((1/1000)*(up_Irr!AR29)),IF(AND(up_Irr!S29&lt;&gt;".",up_Irr!AR29=".",up_Irr!BQ29="."),up_dir!T29/((1/1000)*(up_Irr!S29)),IF(AND(up_Irr!S29=".",up_Irr!AR29=".",up_Irr!BQ29="."),up_dir!T29*1000)))))))),".")</f>
        <v>6.5773651144152131E-4</v>
      </c>
      <c r="U29" s="70">
        <f>IFERROR(IF(AND(up_Irr!T29&lt;&gt;".",up_Irr!AS29&lt;&gt;".",up_Irr!BR29&lt;&gt;"."),up_dir!U29/((1/1000)*(up_Irr!T29+up_Irr!AS29+up_Irr!BR29)),IF(AND(up_Irr!T29&lt;&gt;".",up_Irr!AS29&lt;&gt;".",up_Irr!BR29="."),up_dir!U29/((1/1000)*(up_Irr!T29+up_Irr!AS29)),IF(AND(up_Irr!T29&lt;&gt;".",up_Irr!AS29=".",up_Irr!BR29&lt;&gt;"."),up_dir!U29/((1/1000)*(up_Irr!T29+up_Irr!BR29)),IF(AND(up_Irr!T29=".",up_Irr!AS29&lt;&gt;".",up_Irr!BR29&lt;&gt;"."),up_dir!U29/((1/1000)*(up_Irr!AS29+up_Irr!BR29)),IF(AND(up_Irr!T29=".",up_Irr!AS29=".",up_Irr!BR29&lt;&gt;"."),up_dir!U29/((1/1000)*(up_Irr!BR29)),IF(AND(up_Irr!T29=".",up_Irr!AS29&lt;&gt;".",up_Irr!BR29="."),up_dir!U29/((1/1000)*(up_Irr!AS29)),IF(AND(up_Irr!T29&lt;&gt;".",up_Irr!AS29=".",up_Irr!BR29="."),up_dir!U29/((1/1000)*(up_Irr!T29)),IF(AND(up_Irr!T29=".",up_Irr!AS29=".",up_Irr!BR29="."),up_dir!U29*1000)))))))),".")</f>
        <v>6.5773651144152131E-4</v>
      </c>
      <c r="V29" s="70">
        <f>IFERROR(IF(AND(up_Irr!U29&lt;&gt;".",up_Irr!AT29&lt;&gt;".",up_Irr!BS29&lt;&gt;"."),up_dir!V29/((1/1000)*(up_Irr!U29+up_Irr!AT29+up_Irr!BS29)),IF(AND(up_Irr!U29&lt;&gt;".",up_Irr!AT29&lt;&gt;".",up_Irr!BS29="."),up_dir!V29/((1/1000)*(up_Irr!U29+up_Irr!AT29)),IF(AND(up_Irr!U29&lt;&gt;".",up_Irr!AT29=".",up_Irr!BS29&lt;&gt;"."),up_dir!V29/((1/1000)*(up_Irr!U29+up_Irr!BS29)),IF(AND(up_Irr!U29=".",up_Irr!AT29&lt;&gt;".",up_Irr!BS29&lt;&gt;"."),up_dir!V29/((1/1000)*(up_Irr!AT29+up_Irr!BS29)),IF(AND(up_Irr!U29=".",up_Irr!AT29=".",up_Irr!BS29&lt;&gt;"."),up_dir!V29/((1/1000)*(up_Irr!BS29)),IF(AND(up_Irr!U29=".",up_Irr!AT29&lt;&gt;".",up_Irr!BS29="."),up_dir!V29/((1/1000)*(up_Irr!AT29)),IF(AND(up_Irr!U29&lt;&gt;".",up_Irr!AT29=".",up_Irr!BS29="."),up_dir!V29/((1/1000)*(up_Irr!U29)),IF(AND(up_Irr!U29=".",up_Irr!AT29=".",up_Irr!BS29="."),up_dir!V29*1000)))))))),".")</f>
        <v>6.5773651144152131E-4</v>
      </c>
      <c r="W29" s="70">
        <f>IFERROR(IF(AND(up_Irr!V29&lt;&gt;".",up_Irr!AU29&lt;&gt;".",up_Irr!BT29&lt;&gt;"."),up_dir!W29/((1/1000)*(up_Irr!V29+up_Irr!AU29+up_Irr!BT29)),IF(AND(up_Irr!V29&lt;&gt;".",up_Irr!AU29&lt;&gt;".",up_Irr!BT29="."),up_dir!W29/((1/1000)*(up_Irr!V29+up_Irr!AU29)),IF(AND(up_Irr!V29&lt;&gt;".",up_Irr!AU29=".",up_Irr!BT29&lt;&gt;"."),up_dir!W29/((1/1000)*(up_Irr!V29+up_Irr!BT29)),IF(AND(up_Irr!V29=".",up_Irr!AU29&lt;&gt;".",up_Irr!BT29&lt;&gt;"."),up_dir!W29/((1/1000)*(up_Irr!AU29+up_Irr!BT29)),IF(AND(up_Irr!V29=".",up_Irr!AU29=".",up_Irr!BT29&lt;&gt;"."),up_dir!W29/((1/1000)*(up_Irr!BT29)),IF(AND(up_Irr!V29=".",up_Irr!AU29&lt;&gt;".",up_Irr!BT29="."),up_dir!W29/((1/1000)*(up_Irr!AU29)),IF(AND(up_Irr!V29&lt;&gt;".",up_Irr!AU29=".",up_Irr!BT29="."),up_dir!W29/((1/1000)*(up_Irr!V29)),IF(AND(up_Irr!V29=".",up_Irr!AU29=".",up_Irr!BT29="."),up_dir!W29*1000)))))))),".")</f>
        <v>6.5773651144152131E-4</v>
      </c>
      <c r="X29" s="70">
        <f>IFERROR(IF(AND(up_Irr!W29&lt;&gt;".",up_Irr!AV29&lt;&gt;".",up_Irr!BU29&lt;&gt;"."),up_dir!X29/((1/1000)*(up_Irr!W29+up_Irr!AV29+up_Irr!BU29)),IF(AND(up_Irr!W29&lt;&gt;".",up_Irr!AV29&lt;&gt;".",up_Irr!BU29="."),up_dir!X29/((1/1000)*(up_Irr!W29+up_Irr!AV29)),IF(AND(up_Irr!W29&lt;&gt;".",up_Irr!AV29=".",up_Irr!BU29&lt;&gt;"."),up_dir!X29/((1/1000)*(up_Irr!W29+up_Irr!BU29)),IF(AND(up_Irr!W29=".",up_Irr!AV29&lt;&gt;".",up_Irr!BU29&lt;&gt;"."),up_dir!X29/((1/1000)*(up_Irr!AV29+up_Irr!BU29)),IF(AND(up_Irr!W29=".",up_Irr!AV29=".",up_Irr!BU29&lt;&gt;"."),up_dir!X29/((1/1000)*(up_Irr!BU29)),IF(AND(up_Irr!W29=".",up_Irr!AV29&lt;&gt;".",up_Irr!BU29="."),up_dir!X29/((1/1000)*(up_Irr!AV29)),IF(AND(up_Irr!W29&lt;&gt;".",up_Irr!AV29=".",up_Irr!BU29="."),up_dir!X29/((1/1000)*(up_Irr!W29)),IF(AND(up_Irr!W29=".",up_Irr!AV29=".",up_Irr!BU29="."),up_dir!X29*1000)))))))),".")</f>
        <v>6.5773651144152131E-4</v>
      </c>
      <c r="Y29" s="70">
        <f>IFERROR(IF(AND(up_Irr!X29&lt;&gt;".",up_Irr!AW29&lt;&gt;".",up_Irr!BV29&lt;&gt;"."),up_dir!Y29/((1/1000)*(up_Irr!X29+up_Irr!AW29+up_Irr!BV29)),IF(AND(up_Irr!X29&lt;&gt;".",up_Irr!AW29&lt;&gt;".",up_Irr!BV29="."),up_dir!Y29/((1/1000)*(up_Irr!X29+up_Irr!AW29)),IF(AND(up_Irr!X29&lt;&gt;".",up_Irr!AW29=".",up_Irr!BV29&lt;&gt;"."),up_dir!Y29/((1/1000)*(up_Irr!X29+up_Irr!BV29)),IF(AND(up_Irr!X29=".",up_Irr!AW29&lt;&gt;".",up_Irr!BV29&lt;&gt;"."),up_dir!Y29/((1/1000)*(up_Irr!AW29+up_Irr!BV29)),IF(AND(up_Irr!X29=".",up_Irr!AW29=".",up_Irr!BV29&lt;&gt;"."),up_dir!Y29/((1/1000)*(up_Irr!BV29)),IF(AND(up_Irr!X29=".",up_Irr!AW29&lt;&gt;".",up_Irr!BV29="."),up_dir!Y29/((1/1000)*(up_Irr!AW29)),IF(AND(up_Irr!X29&lt;&gt;".",up_Irr!AW29=".",up_Irr!BV29="."),up_dir!Y29/((1/1000)*(up_Irr!X29)),IF(AND(up_Irr!X29=".",up_Irr!AW29=".",up_Irr!BV29="."),up_dir!Y29*1000)))))))),".")</f>
        <v>6.5773651144152131E-4</v>
      </c>
      <c r="Z29" s="70">
        <f>IFERROR(IF(AND(up_Irr!Y29&lt;&gt;".",up_Irr!AX29&lt;&gt;".",up_Irr!BW29&lt;&gt;"."),up_dir!Z29/((1/1000)*(up_Irr!Y29+up_Irr!AX29+up_Irr!BW29)),IF(AND(up_Irr!Y29&lt;&gt;".",up_Irr!AX29&lt;&gt;".",up_Irr!BW29="."),up_dir!Z29/((1/1000)*(up_Irr!Y29+up_Irr!AX29)),IF(AND(up_Irr!Y29&lt;&gt;".",up_Irr!AX29=".",up_Irr!BW29&lt;&gt;"."),up_dir!Z29/((1/1000)*(up_Irr!Y29+up_Irr!BW29)),IF(AND(up_Irr!Y29=".",up_Irr!AX29&lt;&gt;".",up_Irr!BW29&lt;&gt;"."),up_dir!Z29/((1/1000)*(up_Irr!AX29+up_Irr!BW29)),IF(AND(up_Irr!Y29=".",up_Irr!AX29=".",up_Irr!BW29&lt;&gt;"."),up_dir!Z29/((1/1000)*(up_Irr!BW29)),IF(AND(up_Irr!Y29=".",up_Irr!AX29&lt;&gt;".",up_Irr!BW29="."),up_dir!Z29/((1/1000)*(up_Irr!AX29)),IF(AND(up_Irr!Y29&lt;&gt;".",up_Irr!AX29=".",up_Irr!BW29="."),up_dir!Z29/((1/1000)*(up_Irr!Y29)),IF(AND(up_Irr!Y29=".",up_Irr!AX29=".",up_Irr!BW29="."),up_dir!Z29*1000)))))))),".")</f>
        <v>6.5773651144152131E-4</v>
      </c>
      <c r="AA29" s="70">
        <f>IFERROR(IF(AND(up_Irr!Z29&lt;&gt;".",up_Irr!AY29&lt;&gt;".",up_Irr!BX29&lt;&gt;"."),up_dir!AA29/((1/1000)*(up_Irr!Z29+up_Irr!AY29+up_Irr!BX29)),IF(AND(up_Irr!Z29&lt;&gt;".",up_Irr!AY29&lt;&gt;".",up_Irr!BX29="."),up_dir!AA29/((1/1000)*(up_Irr!Z29+up_Irr!AY29)),IF(AND(up_Irr!Z29&lt;&gt;".",up_Irr!AY29=".",up_Irr!BX29&lt;&gt;"."),up_dir!AA29/((1/1000)*(up_Irr!Z29+up_Irr!BX29)),IF(AND(up_Irr!Z29=".",up_Irr!AY29&lt;&gt;".",up_Irr!BX29&lt;&gt;"."),up_dir!AA29/((1/1000)*(up_Irr!AY29+up_Irr!BX29)),IF(AND(up_Irr!Z29=".",up_Irr!AY29=".",up_Irr!BX29&lt;&gt;"."),up_dir!AA29/((1/1000)*(up_Irr!BX29)),IF(AND(up_Irr!Z29=".",up_Irr!AY29&lt;&gt;".",up_Irr!BX29="."),up_dir!AA29/((1/1000)*(up_Irr!AY29)),IF(AND(up_Irr!Z29&lt;&gt;".",up_Irr!AY29=".",up_Irr!BX29="."),up_dir!AA29/((1/1000)*(up_Irr!Z29)),IF(AND(up_Irr!Z29=".",up_Irr!AY29=".",up_Irr!BX29="."),up_dir!AA29*1000)))))))),".")</f>
        <v>6.5773651144152131E-4</v>
      </c>
      <c r="AB29" s="70">
        <f>IFERROR(IF(AND(up_Irr!AA29&lt;&gt;".",up_Irr!AZ29&lt;&gt;".",up_Irr!BY29&lt;&gt;"."),up_dir!AB29/((1/1000)*(up_Irr!AA29+up_Irr!AZ29+up_Irr!BY29)),IF(AND(up_Irr!AA29&lt;&gt;".",up_Irr!AZ29&lt;&gt;".",up_Irr!BY29="."),up_dir!AB29/((1/1000)*(up_Irr!AA29+up_Irr!AZ29)),IF(AND(up_Irr!AA29&lt;&gt;".",up_Irr!AZ29=".",up_Irr!BY29&lt;&gt;"."),up_dir!AB29/((1/1000)*(up_Irr!AA29+up_Irr!BY29)),IF(AND(up_Irr!AA29=".",up_Irr!AZ29&lt;&gt;".",up_Irr!BY29&lt;&gt;"."),up_dir!AB29/((1/1000)*(up_Irr!AZ29+up_Irr!BY29)),IF(AND(up_Irr!AA29=".",up_Irr!AZ29=".",up_Irr!BY29&lt;&gt;"."),up_dir!AB29/((1/1000)*(up_Irr!BY29)),IF(AND(up_Irr!AA29=".",up_Irr!AZ29&lt;&gt;".",up_Irr!BY29="."),up_dir!AB29/((1/1000)*(up_Irr!AZ29)),IF(AND(up_Irr!AA29&lt;&gt;".",up_Irr!AZ29=".",up_Irr!BY29="."),up_dir!AB29/((1/1000)*(up_Irr!AA29)),IF(AND(up_Irr!AA29=".",up_Irr!AZ29=".",up_Irr!BY29="."),up_dir!AB29*1000)))))))),".")</f>
        <v>6.5773651144152131E-4</v>
      </c>
      <c r="AC29" s="87">
        <f t="shared" si="1"/>
        <v>30407.313038114935</v>
      </c>
      <c r="AD29" s="87">
        <f>IFERROR(s_C*s_IFAP_res_adj*s_CF_apple*0.001*(up_Irr!C29+up_Irr!AB29+up_Irr!BA29),".")</f>
        <v>7601.8282595287337</v>
      </c>
      <c r="AE29" s="87">
        <f>IFERROR(s_C*s_IFAS_res_adj*s_CF_asparagus*0.001*(up_Irr!D29+up_Irr!AC29+up_Irr!BB29),".")</f>
        <v>7601.8282595287337</v>
      </c>
      <c r="AF29" s="87">
        <f>IFERROR(s_C*s_IFBT_res_adj*s_CF_beet*0.001*(up_Irr!E29+up_Irr!AD29+up_Irr!BC29),".")</f>
        <v>7601.8282595287337</v>
      </c>
      <c r="AG29" s="87">
        <f>IFERROR(s_C*s_IFBE_res_adj*s_CF_berries*0.001*(up_Irr!F29+up_Irr!AE29+up_Irr!BD29),".")</f>
        <v>7601.8282595287337</v>
      </c>
      <c r="AH29" s="87">
        <f>IFERROR(s_C*s_IFBR_res_adj*s_CF_broccoli*0.001*(up_Irr!G29+up_Irr!AF29+up_Irr!BE29),".")</f>
        <v>7601.8282595287337</v>
      </c>
      <c r="AI29" s="87">
        <f>IFERROR(s_C*s_IFCB_res_adj*s_CF_cabbage*0.001*(up_Irr!H29+up_Irr!AG29+up_Irr!BF29),".")</f>
        <v>7601.8282595287337</v>
      </c>
      <c r="AJ29" s="87">
        <f>IFERROR(s_C*s_IFCR_res_adj*s_CF_carrot*0.001*(up_Irr!I29+up_Irr!AH29+up_Irr!BG29),".")</f>
        <v>7601.8282595287337</v>
      </c>
      <c r="AK29" s="87">
        <f>IFERROR(s_C*s_IFCI_res_adj*s_CF_citrus*0.001*(up_Irr!J29+up_Irr!AI29+up_Irr!BH29),".")</f>
        <v>7601.8282595287337</v>
      </c>
      <c r="AL29" s="87">
        <f>IFERROR(s_C*s_IFCO_res_adj*s_CF_corn*0.001*(up_Irr!K29+up_Irr!AJ29+up_Irr!BI29),".")</f>
        <v>7601.8282595287337</v>
      </c>
      <c r="AM29" s="87">
        <f>IFERROR(s_C*s_IFCU_res_adj*s_CF_cucumber*0.001*(up_Irr!L29+up_Irr!AK29+up_Irr!BJ29),".")</f>
        <v>7601.8282595287337</v>
      </c>
      <c r="AN29" s="87">
        <f>IFERROR(s_C*s_IFLE_res_adj*s_CF_lettuce*0.001*(up_Irr!M29+up_Irr!AL29+up_Irr!BK29),".")</f>
        <v>7601.8282595287337</v>
      </c>
      <c r="AO29" s="87">
        <f>IFERROR(s_C*s_IFLI_res_adj*s_CF_lima_bean*0.001*(up_Irr!N29+up_Irr!AM29+up_Irr!BL29),".")</f>
        <v>7601.8282595287337</v>
      </c>
      <c r="AP29" s="87">
        <f>IFERROR(s_C*s_IFOK_res_adj*s_CF_okra*0.001*(up_Irr!O29+up_Irr!AN29+up_Irr!BM29),".")</f>
        <v>7601.8282595287337</v>
      </c>
      <c r="AQ29" s="87">
        <f>IFERROR(s_C*s_IFON_res_adj*s_CF_onion*0.001*(up_Irr!P29+up_Irr!AO29+up_Irr!BN29),".")</f>
        <v>7601.8282595287337</v>
      </c>
      <c r="AR29" s="87">
        <f>IFERROR(s_C*s_IFPC_res_adj*s_CF_peach*0.001*(up_Irr!Q29+up_Irr!AP29+up_Irr!BO29),".")</f>
        <v>7601.8282595287337</v>
      </c>
      <c r="AS29" s="87">
        <f>IFERROR(s_C*s_IFPR_res_adj*s_CF_pear*0.001*(up_Irr!R29+up_Irr!AQ29+up_Irr!BP29),".")</f>
        <v>7601.8282595287337</v>
      </c>
      <c r="AT29" s="87">
        <f>IFERROR(s_C*s_IFPE_res_adj*s_CF_peas*0.001*(up_Irr!S29+up_Irr!AR29+up_Irr!BQ29),".")</f>
        <v>7601.8282595287337</v>
      </c>
      <c r="AU29" s="87">
        <f>IFERROR(s_C*s_IFPP_res_adj*s_CF_peppers*0.001*(up_Irr!T29+up_Irr!AS29+up_Irr!BR29),".")</f>
        <v>7601.8282595287337</v>
      </c>
      <c r="AV29" s="87">
        <f>IFERROR(s_C*s_IFPT_res_adj*s_CF_potato*0.001*(up_Irr!U29+up_Irr!AT29+up_Irr!BS29),".")</f>
        <v>7601.8282595287337</v>
      </c>
      <c r="AW29" s="87">
        <f>IFERROR(s_C*s_IFPU_res_adj*s_CF_pumpkin*0.001*(up_Irr!V29+up_Irr!AU29+up_Irr!BT29),".")</f>
        <v>7601.8282595287337</v>
      </c>
      <c r="AX29" s="87">
        <f>IFERROR(s_C*s_IFSN_res_adj*s_CF_snap_bean*0.001*(up_Irr!W29+up_Irr!AV29+up_Irr!BU29),".")</f>
        <v>7601.8282595287337</v>
      </c>
      <c r="AY29" s="87">
        <f>IFERROR(s_C*s_IFST_res_adj*s_CF_strawberry*0.001*(up_Irr!X29+up_Irr!AW29+up_Irr!BV29),".")</f>
        <v>7601.8282595287337</v>
      </c>
      <c r="AZ29" s="87">
        <f>IFERROR(s_C*s_IFTO_res_adj*s_CF_tomato*0.001*(up_Irr!Y29+up_Irr!AX29+up_Irr!BW29),".")</f>
        <v>7601.8282595287337</v>
      </c>
      <c r="BA29" s="87">
        <f>IFERROR(s_C*s_IFRI_res_adj*s_CF_rice*0.001*(up_Irr!Z29+up_Irr!AY29+up_Irr!BX29),".")</f>
        <v>7601.8282595287337</v>
      </c>
      <c r="BB29" s="87">
        <f>IFERROR(s_C*s_IFCG_res_adj*s_CF_cereal*0.001*(up_Irr!AA29+up_Irr!AZ29+up_Irr!BY29),".")</f>
        <v>7601.8282595287337</v>
      </c>
      <c r="BC29" s="70">
        <f t="shared" si="2"/>
        <v>1.6443412786038033E-4</v>
      </c>
      <c r="BD29" s="70">
        <f>IFERROR(IF(AND(up_Irr!C29&lt;&gt;".",up_Irr!AB29&lt;&gt;".",up_Irr!BA29&lt;&gt;"."),up_dir!AD29/((1/1000)*(up_Irr!C29+up_Irr!AB29+up_Irr!BA29)),IF(AND(up_Irr!C29&lt;&gt;".",up_Irr!AB29&lt;&gt;".",up_Irr!BA29="."),up_dir!AD29/((1/1000)*(up_Irr!C29+up_Irr!AB29)),IF(AND(up_Irr!C29&lt;&gt;".",up_Irr!AB29=".",up_Irr!BA29&lt;&gt;"."),up_dir!AD29/((1/1000)*(up_Irr!C29+up_Irr!BA29)),IF(AND(up_Irr!C29=".",up_Irr!AB29&lt;&gt;".",up_Irr!BA29&lt;&gt;"."),up_dir!AD29/((1/1000)*(up_Irr!AB29+up_Irr!BA29)),IF(AND(up_Irr!C29=".",up_Irr!AB29=".",up_Irr!BA29&lt;&gt;"."),up_dir!AD29/((1/1000)*(up_Irr!BA29)),IF(AND(up_Irr!C29=".",up_Irr!AB29&lt;&gt;".",up_Irr!BA29="."),up_dir!AD29/((1/1000)*(up_Irr!AB29)),IF(AND(up_Irr!C29&lt;&gt;".",up_Irr!AB29=".",up_Irr!BA29="."),up_dir!AD29/((1/1000)*(up_Irr!C29)),IF(AND(up_Irr!C29=".",up_Irr!AB29=".",up_Irr!BA29="."),up_dir!AD29*1000)))))))),".")</f>
        <v>6.5773651144152131E-4</v>
      </c>
      <c r="BE29" s="70">
        <f>IFERROR(IF(AND(up_Irr!D29&lt;&gt;".",up_Irr!AC29&lt;&gt;".",up_Irr!BB29&lt;&gt;"."),up_dir!AE29/((1/1000)*(up_Irr!D29+up_Irr!AC29+up_Irr!BB29)),IF(AND(up_Irr!D29&lt;&gt;".",up_Irr!AC29&lt;&gt;".",up_Irr!BB29="."),up_dir!AE29/((1/1000)*(up_Irr!D29+up_Irr!AC29)),IF(AND(up_Irr!D29&lt;&gt;".",up_Irr!AC29=".",up_Irr!BB29&lt;&gt;"."),up_dir!AE29/((1/1000)*(up_Irr!D29+up_Irr!BB29)),IF(AND(up_Irr!D29=".",up_Irr!AC29&lt;&gt;".",up_Irr!BB29&lt;&gt;"."),up_dir!AE29/((1/1000)*(up_Irr!AC29+up_Irr!BB29)),IF(AND(up_Irr!D29=".",up_Irr!AC29=".",up_Irr!BB29&lt;&gt;"."),up_dir!AE29/((1/1000)*(up_Irr!BB29)),IF(AND(up_Irr!D29=".",up_Irr!AC29&lt;&gt;".",up_Irr!BB29="."),up_dir!AE29/((1/1000)*(up_Irr!AC29)),IF(AND(up_Irr!D29&lt;&gt;".",up_Irr!AC29=".",up_Irr!BB29="."),up_dir!AE29/((1/1000)*(up_Irr!D29)),IF(AND(up_Irr!D29=".",up_Irr!AC29=".",up_Irr!BB29="."),up_dir!AE29*1000)))))))),".")</f>
        <v>6.5773651144152131E-4</v>
      </c>
      <c r="BF29" s="70">
        <f>IFERROR(IF(AND(up_Irr!E29&lt;&gt;".",up_Irr!AD29&lt;&gt;".",up_Irr!BC29&lt;&gt;"."),up_dir!AF29/((1/1000)*(up_Irr!E29+up_Irr!AD29+up_Irr!BC29)),IF(AND(up_Irr!E29&lt;&gt;".",up_Irr!AD29&lt;&gt;".",up_Irr!BC29="."),up_dir!AF29/((1/1000)*(up_Irr!E29+up_Irr!AD29)),IF(AND(up_Irr!E29&lt;&gt;".",up_Irr!AD29=".",up_Irr!BC29&lt;&gt;"."),up_dir!AF29/((1/1000)*(up_Irr!E29+up_Irr!BC29)),IF(AND(up_Irr!E29=".",up_Irr!AD29&lt;&gt;".",up_Irr!BC29&lt;&gt;"."),up_dir!AF29/((1/1000)*(up_Irr!AD29+up_Irr!BC29)),IF(AND(up_Irr!E29=".",up_Irr!AD29=".",up_Irr!BC29&lt;&gt;"."),up_dir!AF29/((1/1000)*(up_Irr!BC29)),IF(AND(up_Irr!E29=".",up_Irr!AD29&lt;&gt;".",up_Irr!BC29="."),up_dir!AF29/((1/1000)*(up_Irr!AD29)),IF(AND(up_Irr!E29&lt;&gt;".",up_Irr!AD29=".",up_Irr!BC29="."),up_dir!AF29/((1/1000)*(up_Irr!E29)),IF(AND(up_Irr!E29=".",up_Irr!AD29=".",up_Irr!BC29="."),up_dir!AF29*1000)))))))),".")</f>
        <v>6.5773651144152131E-4</v>
      </c>
      <c r="BG29" s="70">
        <f>IFERROR(IF(AND(up_Irr!F29&lt;&gt;".",up_Irr!AE29&lt;&gt;".",up_Irr!BD29&lt;&gt;"."),up_dir!AG29/((1/1000)*(up_Irr!F29+up_Irr!AE29+up_Irr!BD29)),IF(AND(up_Irr!F29&lt;&gt;".",up_Irr!AE29&lt;&gt;".",up_Irr!BD29="."),up_dir!AG29/((1/1000)*(up_Irr!F29+up_Irr!AE29)),IF(AND(up_Irr!F29&lt;&gt;".",up_Irr!AE29=".",up_Irr!BD29&lt;&gt;"."),up_dir!AG29/((1/1000)*(up_Irr!F29+up_Irr!BD29)),IF(AND(up_Irr!F29=".",up_Irr!AE29&lt;&gt;".",up_Irr!BD29&lt;&gt;"."),up_dir!AG29/((1/1000)*(up_Irr!AE29+up_Irr!BD29)),IF(AND(up_Irr!F29=".",up_Irr!AE29=".",up_Irr!BD29&lt;&gt;"."),up_dir!AG29/((1/1000)*(up_Irr!BD29)),IF(AND(up_Irr!F29=".",up_Irr!AE29&lt;&gt;".",up_Irr!BD29="."),up_dir!AG29/((1/1000)*(up_Irr!AE29)),IF(AND(up_Irr!F29&lt;&gt;".",up_Irr!AE29=".",up_Irr!BD29="."),up_dir!AG29/((1/1000)*(up_Irr!F29)),IF(AND(up_Irr!F29=".",up_Irr!AE29=".",up_Irr!BD29="."),up_dir!AG29*1000)))))))),".")</f>
        <v>6.5773651144152131E-4</v>
      </c>
      <c r="BH29" s="70">
        <f>IFERROR(IF(AND(up_Irr!G29&lt;&gt;".",up_Irr!AF29&lt;&gt;".",up_Irr!BE29&lt;&gt;"."),up_dir!AH29/((1/1000)*(up_Irr!G29+up_Irr!AF29+up_Irr!BE29)),IF(AND(up_Irr!G29&lt;&gt;".",up_Irr!AF29&lt;&gt;".",up_Irr!BE29="."),up_dir!AH29/((1/1000)*(up_Irr!G29+up_Irr!AF29)),IF(AND(up_Irr!G29&lt;&gt;".",up_Irr!AF29=".",up_Irr!BE29&lt;&gt;"."),up_dir!AH29/((1/1000)*(up_Irr!G29+up_Irr!BE29)),IF(AND(up_Irr!G29=".",up_Irr!AF29&lt;&gt;".",up_Irr!BE29&lt;&gt;"."),up_dir!AH29/((1/1000)*(up_Irr!AF29+up_Irr!BE29)),IF(AND(up_Irr!G29=".",up_Irr!AF29=".",up_Irr!BE29&lt;&gt;"."),up_dir!AH29/((1/1000)*(up_Irr!BE29)),IF(AND(up_Irr!G29=".",up_Irr!AF29&lt;&gt;".",up_Irr!BE29="."),up_dir!AH29/((1/1000)*(up_Irr!AF29)),IF(AND(up_Irr!G29&lt;&gt;".",up_Irr!AF29=".",up_Irr!BE29="."),up_dir!AH29/((1/1000)*(up_Irr!G29)),IF(AND(up_Irr!G29=".",up_Irr!AF29=".",up_Irr!BE29="."),up_dir!AH29*1000)))))))),".")</f>
        <v>6.5773651144152131E-4</v>
      </c>
      <c r="BI29" s="70">
        <f>IFERROR(IF(AND(up_Irr!H29&lt;&gt;".",up_Irr!AG29&lt;&gt;".",up_Irr!BF29&lt;&gt;"."),up_dir!AI29/((1/1000)*(up_Irr!H29+up_Irr!AG29+up_Irr!BF29)),IF(AND(up_Irr!H29&lt;&gt;".",up_Irr!AG29&lt;&gt;".",up_Irr!BF29="."),up_dir!AI29/((1/1000)*(up_Irr!H29+up_Irr!AG29)),IF(AND(up_Irr!H29&lt;&gt;".",up_Irr!AG29=".",up_Irr!BF29&lt;&gt;"."),up_dir!AI29/((1/1000)*(up_Irr!H29+up_Irr!BF29)),IF(AND(up_Irr!H29=".",up_Irr!AG29&lt;&gt;".",up_Irr!BF29&lt;&gt;"."),up_dir!AI29/((1/1000)*(up_Irr!AG29+up_Irr!BF29)),IF(AND(up_Irr!H29=".",up_Irr!AG29=".",up_Irr!BF29&lt;&gt;"."),up_dir!AI29/((1/1000)*(up_Irr!BF29)),IF(AND(up_Irr!H29=".",up_Irr!AG29&lt;&gt;".",up_Irr!BF29="."),up_dir!AI29/((1/1000)*(up_Irr!AG29)),IF(AND(up_Irr!H29&lt;&gt;".",up_Irr!AG29=".",up_Irr!BF29="."),up_dir!AI29/((1/1000)*(up_Irr!H29)),IF(AND(up_Irr!H29=".",up_Irr!AG29=".",up_Irr!BF29="."),up_dir!AI29*1000)))))))),".")</f>
        <v>6.5773651144152131E-4</v>
      </c>
      <c r="BJ29" s="70">
        <f>IFERROR(IF(AND(up_Irr!I29&lt;&gt;".",up_Irr!AH29&lt;&gt;".",up_Irr!BG29&lt;&gt;"."),up_dir!AJ29/((1/1000)*(up_Irr!I29+up_Irr!AH29+up_Irr!BG29)),IF(AND(up_Irr!I29&lt;&gt;".",up_Irr!AH29&lt;&gt;".",up_Irr!BG29="."),up_dir!AJ29/((1/1000)*(up_Irr!I29+up_Irr!AH29)),IF(AND(up_Irr!I29&lt;&gt;".",up_Irr!AH29=".",up_Irr!BG29&lt;&gt;"."),up_dir!AJ29/((1/1000)*(up_Irr!I29+up_Irr!BG29)),IF(AND(up_Irr!I29=".",up_Irr!AH29&lt;&gt;".",up_Irr!BG29&lt;&gt;"."),up_dir!AJ29/((1/1000)*(up_Irr!AH29+up_Irr!BG29)),IF(AND(up_Irr!I29=".",up_Irr!AH29=".",up_Irr!BG29&lt;&gt;"."),up_dir!AJ29/((1/1000)*(up_Irr!BG29)),IF(AND(up_Irr!I29=".",up_Irr!AH29&lt;&gt;".",up_Irr!BG29="."),up_dir!AJ29/((1/1000)*(up_Irr!AH29)),IF(AND(up_Irr!I29&lt;&gt;".",up_Irr!AH29=".",up_Irr!BG29="."),up_dir!AJ29/((1/1000)*(up_Irr!I29)),IF(AND(up_Irr!I29=".",up_Irr!AH29=".",up_Irr!BG29="."),up_dir!AJ29*1000)))))))),".")</f>
        <v>6.5773651144152131E-4</v>
      </c>
      <c r="BK29" s="70">
        <f>IFERROR(IF(AND(up_Irr!J29&lt;&gt;".",up_Irr!AI29&lt;&gt;".",up_Irr!BH29&lt;&gt;"."),up_dir!AK29/((1/1000)*(up_Irr!J29+up_Irr!AI29+up_Irr!BH29)),IF(AND(up_Irr!J29&lt;&gt;".",up_Irr!AI29&lt;&gt;".",up_Irr!BH29="."),up_dir!AK29/((1/1000)*(up_Irr!J29+up_Irr!AI29)),IF(AND(up_Irr!J29&lt;&gt;".",up_Irr!AI29=".",up_Irr!BH29&lt;&gt;"."),up_dir!AK29/((1/1000)*(up_Irr!J29+up_Irr!BH29)),IF(AND(up_Irr!J29=".",up_Irr!AI29&lt;&gt;".",up_Irr!BH29&lt;&gt;"."),up_dir!AK29/((1/1000)*(up_Irr!AI29+up_Irr!BH29)),IF(AND(up_Irr!J29=".",up_Irr!AI29=".",up_Irr!BH29&lt;&gt;"."),up_dir!AK29/((1/1000)*(up_Irr!BH29)),IF(AND(up_Irr!J29=".",up_Irr!AI29&lt;&gt;".",up_Irr!BH29="."),up_dir!AK29/((1/1000)*(up_Irr!AI29)),IF(AND(up_Irr!J29&lt;&gt;".",up_Irr!AI29=".",up_Irr!BH29="."),up_dir!AK29/((1/1000)*(up_Irr!J29)),IF(AND(up_Irr!J29=".",up_Irr!AI29=".",up_Irr!BH29="."),up_dir!AK29*1000)))))))),".")</f>
        <v>6.5773651144152131E-4</v>
      </c>
      <c r="BL29" s="70">
        <f>IFERROR(IF(AND(up_Irr!K29&lt;&gt;".",up_Irr!AJ29&lt;&gt;".",up_Irr!BI29&lt;&gt;"."),up_dir!AL29/((1/1000)*(up_Irr!K29+up_Irr!AJ29+up_Irr!BI29)),IF(AND(up_Irr!K29&lt;&gt;".",up_Irr!AJ29&lt;&gt;".",up_Irr!BI29="."),up_dir!AL29/((1/1000)*(up_Irr!K29+up_Irr!AJ29)),IF(AND(up_Irr!K29&lt;&gt;".",up_Irr!AJ29=".",up_Irr!BI29&lt;&gt;"."),up_dir!AL29/((1/1000)*(up_Irr!K29+up_Irr!BI29)),IF(AND(up_Irr!K29=".",up_Irr!AJ29&lt;&gt;".",up_Irr!BI29&lt;&gt;"."),up_dir!AL29/((1/1000)*(up_Irr!AJ29+up_Irr!BI29)),IF(AND(up_Irr!K29=".",up_Irr!AJ29=".",up_Irr!BI29&lt;&gt;"."),up_dir!AL29/((1/1000)*(up_Irr!BI29)),IF(AND(up_Irr!K29=".",up_Irr!AJ29&lt;&gt;".",up_Irr!BI29="."),up_dir!AL29/((1/1000)*(up_Irr!AJ29)),IF(AND(up_Irr!K29&lt;&gt;".",up_Irr!AJ29=".",up_Irr!BI29="."),up_dir!AL29/((1/1000)*(up_Irr!K29)),IF(AND(up_Irr!K29=".",up_Irr!AJ29=".",up_Irr!BI29="."),up_dir!AL29*1000)))))))),".")</f>
        <v>6.5773651144152131E-4</v>
      </c>
      <c r="BM29" s="70">
        <f>IFERROR(IF(AND(up_Irr!L29&lt;&gt;".",up_Irr!AK29&lt;&gt;".",up_Irr!BJ29&lt;&gt;"."),up_dir!AM29/((1/1000)*(up_Irr!L29+up_Irr!AK29+up_Irr!BJ29)),IF(AND(up_Irr!L29&lt;&gt;".",up_Irr!AK29&lt;&gt;".",up_Irr!BJ29="."),up_dir!AM29/((1/1000)*(up_Irr!L29+up_Irr!AK29)),IF(AND(up_Irr!L29&lt;&gt;".",up_Irr!AK29=".",up_Irr!BJ29&lt;&gt;"."),up_dir!AM29/((1/1000)*(up_Irr!L29+up_Irr!BJ29)),IF(AND(up_Irr!L29=".",up_Irr!AK29&lt;&gt;".",up_Irr!BJ29&lt;&gt;"."),up_dir!AM29/((1/1000)*(up_Irr!AK29+up_Irr!BJ29)),IF(AND(up_Irr!L29=".",up_Irr!AK29=".",up_Irr!BJ29&lt;&gt;"."),up_dir!AM29/((1/1000)*(up_Irr!BJ29)),IF(AND(up_Irr!L29=".",up_Irr!AK29&lt;&gt;".",up_Irr!BJ29="."),up_dir!AM29/((1/1000)*(up_Irr!AK29)),IF(AND(up_Irr!L29&lt;&gt;".",up_Irr!AK29=".",up_Irr!BJ29="."),up_dir!AM29/((1/1000)*(up_Irr!L29)),IF(AND(up_Irr!L29=".",up_Irr!AK29=".",up_Irr!BJ29="."),up_dir!AM29*1000)))))))),".")</f>
        <v>6.5773651144152131E-4</v>
      </c>
      <c r="BN29" s="70">
        <f>IFERROR(IF(AND(up_Irr!M29&lt;&gt;".",up_Irr!AL29&lt;&gt;".",up_Irr!BK29&lt;&gt;"."),up_dir!AN29/((1/1000)*(up_Irr!M29+up_Irr!AL29+up_Irr!BK29)),IF(AND(up_Irr!M29&lt;&gt;".",up_Irr!AL29&lt;&gt;".",up_Irr!BK29="."),up_dir!AN29/((1/1000)*(up_Irr!M29+up_Irr!AL29)),IF(AND(up_Irr!M29&lt;&gt;".",up_Irr!AL29=".",up_Irr!BK29&lt;&gt;"."),up_dir!AN29/((1/1000)*(up_Irr!M29+up_Irr!BK29)),IF(AND(up_Irr!M29=".",up_Irr!AL29&lt;&gt;".",up_Irr!BK29&lt;&gt;"."),up_dir!AN29/((1/1000)*(up_Irr!AL29+up_Irr!BK29)),IF(AND(up_Irr!M29=".",up_Irr!AL29=".",up_Irr!BK29&lt;&gt;"."),up_dir!AN29/((1/1000)*(up_Irr!BK29)),IF(AND(up_Irr!M29=".",up_Irr!AL29&lt;&gt;".",up_Irr!BK29="."),up_dir!AN29/((1/1000)*(up_Irr!AL29)),IF(AND(up_Irr!M29&lt;&gt;".",up_Irr!AL29=".",up_Irr!BK29="."),up_dir!AN29/((1/1000)*(up_Irr!M29)),IF(AND(up_Irr!M29=".",up_Irr!AL29=".",up_Irr!BK29="."),up_dir!AN29*1000)))))))),".")</f>
        <v>6.5773651144152131E-4</v>
      </c>
      <c r="BO29" s="70">
        <f>IFERROR(IF(AND(up_Irr!N29&lt;&gt;".",up_Irr!AM29&lt;&gt;".",up_Irr!BL29&lt;&gt;"."),up_dir!AO29/((1/1000)*(up_Irr!N29+up_Irr!AM29+up_Irr!BL29)),IF(AND(up_Irr!N29&lt;&gt;".",up_Irr!AM29&lt;&gt;".",up_Irr!BL29="."),up_dir!AO29/((1/1000)*(up_Irr!N29+up_Irr!AM29)),IF(AND(up_Irr!N29&lt;&gt;".",up_Irr!AM29=".",up_Irr!BL29&lt;&gt;"."),up_dir!AO29/((1/1000)*(up_Irr!N29+up_Irr!BL29)),IF(AND(up_Irr!N29=".",up_Irr!AM29&lt;&gt;".",up_Irr!BL29&lt;&gt;"."),up_dir!AO29/((1/1000)*(up_Irr!AM29+up_Irr!BL29)),IF(AND(up_Irr!N29=".",up_Irr!AM29=".",up_Irr!BL29&lt;&gt;"."),up_dir!AO29/((1/1000)*(up_Irr!BL29)),IF(AND(up_Irr!N29=".",up_Irr!AM29&lt;&gt;".",up_Irr!BL29="."),up_dir!AO29/((1/1000)*(up_Irr!AM29)),IF(AND(up_Irr!N29&lt;&gt;".",up_Irr!AM29=".",up_Irr!BL29="."),up_dir!AO29/((1/1000)*(up_Irr!N29)),IF(AND(up_Irr!N29=".",up_Irr!AM29=".",up_Irr!BL29="."),up_dir!AO29*1000)))))))),".")</f>
        <v>6.5773651144152131E-4</v>
      </c>
      <c r="BP29" s="70">
        <f>IFERROR(IF(AND(up_Irr!O29&lt;&gt;".",up_Irr!AN29&lt;&gt;".",up_Irr!BM29&lt;&gt;"."),up_dir!AP29/((1/1000)*(up_Irr!O29+up_Irr!AN29+up_Irr!BM29)),IF(AND(up_Irr!O29&lt;&gt;".",up_Irr!AN29&lt;&gt;".",up_Irr!BM29="."),up_dir!AP29/((1/1000)*(up_Irr!O29+up_Irr!AN29)),IF(AND(up_Irr!O29&lt;&gt;".",up_Irr!AN29=".",up_Irr!BM29&lt;&gt;"."),up_dir!AP29/((1/1000)*(up_Irr!O29+up_Irr!BM29)),IF(AND(up_Irr!O29=".",up_Irr!AN29&lt;&gt;".",up_Irr!BM29&lt;&gt;"."),up_dir!AP29/((1/1000)*(up_Irr!AN29+up_Irr!BM29)),IF(AND(up_Irr!O29=".",up_Irr!AN29=".",up_Irr!BM29&lt;&gt;"."),up_dir!AP29/((1/1000)*(up_Irr!BM29)),IF(AND(up_Irr!O29=".",up_Irr!AN29&lt;&gt;".",up_Irr!BM29="."),up_dir!AP29/((1/1000)*(up_Irr!AN29)),IF(AND(up_Irr!O29&lt;&gt;".",up_Irr!AN29=".",up_Irr!BM29="."),up_dir!AP29/((1/1000)*(up_Irr!O29)),IF(AND(up_Irr!O29=".",up_Irr!AN29=".",up_Irr!BM29="."),up_dir!AP29*1000)))))))),".")</f>
        <v>6.5773651144152131E-4</v>
      </c>
      <c r="BQ29" s="70">
        <f>IFERROR(IF(AND(up_Irr!P29&lt;&gt;".",up_Irr!AO29&lt;&gt;".",up_Irr!BN29&lt;&gt;"."),up_dir!AQ29/((1/1000)*(up_Irr!P29+up_Irr!AO29+up_Irr!BN29)),IF(AND(up_Irr!P29&lt;&gt;".",up_Irr!AO29&lt;&gt;".",up_Irr!BN29="."),up_dir!AQ29/((1/1000)*(up_Irr!P29+up_Irr!AO29)),IF(AND(up_Irr!P29&lt;&gt;".",up_Irr!AO29=".",up_Irr!BN29&lt;&gt;"."),up_dir!AQ29/((1/1000)*(up_Irr!P29+up_Irr!BN29)),IF(AND(up_Irr!P29=".",up_Irr!AO29&lt;&gt;".",up_Irr!BN29&lt;&gt;"."),up_dir!AQ29/((1/1000)*(up_Irr!AO29+up_Irr!BN29)),IF(AND(up_Irr!P29=".",up_Irr!AO29=".",up_Irr!BN29&lt;&gt;"."),up_dir!AQ29/((1/1000)*(up_Irr!BN29)),IF(AND(up_Irr!P29=".",up_Irr!AO29&lt;&gt;".",up_Irr!BN29="."),up_dir!AQ29/((1/1000)*(up_Irr!AO29)),IF(AND(up_Irr!P29&lt;&gt;".",up_Irr!AO29=".",up_Irr!BN29="."),up_dir!AQ29/((1/1000)*(up_Irr!P29)),IF(AND(up_Irr!P29=".",up_Irr!AO29=".",up_Irr!BN29="."),up_dir!AQ29*1000)))))))),".")</f>
        <v>6.5773651144152131E-4</v>
      </c>
      <c r="BR29" s="70">
        <f>IFERROR(IF(AND(up_Irr!Q29&lt;&gt;".",up_Irr!AP29&lt;&gt;".",up_Irr!BO29&lt;&gt;"."),up_dir!AR29/((1/1000)*(up_Irr!Q29+up_Irr!AP29+up_Irr!BO29)),IF(AND(up_Irr!Q29&lt;&gt;".",up_Irr!AP29&lt;&gt;".",up_Irr!BO29="."),up_dir!AR29/((1/1000)*(up_Irr!Q29+up_Irr!AP29)),IF(AND(up_Irr!Q29&lt;&gt;".",up_Irr!AP29=".",up_Irr!BO29&lt;&gt;"."),up_dir!AR29/((1/1000)*(up_Irr!Q29+up_Irr!BO29)),IF(AND(up_Irr!Q29=".",up_Irr!AP29&lt;&gt;".",up_Irr!BO29&lt;&gt;"."),up_dir!AR29/((1/1000)*(up_Irr!AP29+up_Irr!BO29)),IF(AND(up_Irr!Q29=".",up_Irr!AP29=".",up_Irr!BO29&lt;&gt;"."),up_dir!AR29/((1/1000)*(up_Irr!BO29)),IF(AND(up_Irr!Q29=".",up_Irr!AP29&lt;&gt;".",up_Irr!BO29="."),up_dir!AR29/((1/1000)*(up_Irr!AP29)),IF(AND(up_Irr!Q29&lt;&gt;".",up_Irr!AP29=".",up_Irr!BO29="."),up_dir!AR29/((1/1000)*(up_Irr!Q29)),IF(AND(up_Irr!Q29=".",up_Irr!AP29=".",up_Irr!BO29="."),up_dir!AR29*1000)))))))),".")</f>
        <v>6.5773651144152131E-4</v>
      </c>
      <c r="BS29" s="70">
        <f>IFERROR(IF(AND(up_Irr!R29&lt;&gt;".",up_Irr!AQ29&lt;&gt;".",up_Irr!BP29&lt;&gt;"."),up_dir!AS29/((1/1000)*(up_Irr!R29+up_Irr!AQ29+up_Irr!BP29)),IF(AND(up_Irr!R29&lt;&gt;".",up_Irr!AQ29&lt;&gt;".",up_Irr!BP29="."),up_dir!AS29/((1/1000)*(up_Irr!R29+up_Irr!AQ29)),IF(AND(up_Irr!R29&lt;&gt;".",up_Irr!AQ29=".",up_Irr!BP29&lt;&gt;"."),up_dir!AS29/((1/1000)*(up_Irr!R29+up_Irr!BP29)),IF(AND(up_Irr!R29=".",up_Irr!AQ29&lt;&gt;".",up_Irr!BP29&lt;&gt;"."),up_dir!AS29/((1/1000)*(up_Irr!AQ29+up_Irr!BP29)),IF(AND(up_Irr!R29=".",up_Irr!AQ29=".",up_Irr!BP29&lt;&gt;"."),up_dir!AS29/((1/1000)*(up_Irr!BP29)),IF(AND(up_Irr!R29=".",up_Irr!AQ29&lt;&gt;".",up_Irr!BP29="."),up_dir!AS29/((1/1000)*(up_Irr!AQ29)),IF(AND(up_Irr!R29&lt;&gt;".",up_Irr!AQ29=".",up_Irr!BP29="."),up_dir!AS29/((1/1000)*(up_Irr!R29)),IF(AND(up_Irr!R29=".",up_Irr!AQ29=".",up_Irr!BP29="."),up_dir!AS29*1000)))))))),".")</f>
        <v>6.5773651144152131E-4</v>
      </c>
      <c r="BT29" s="70">
        <f>IFERROR(IF(AND(up_Irr!S29&lt;&gt;".",up_Irr!AR29&lt;&gt;".",up_Irr!BQ29&lt;&gt;"."),up_dir!AT29/((1/1000)*(up_Irr!S29+up_Irr!AR29+up_Irr!BQ29)),IF(AND(up_Irr!S29&lt;&gt;".",up_Irr!AR29&lt;&gt;".",up_Irr!BQ29="."),up_dir!AT29/((1/1000)*(up_Irr!S29+up_Irr!AR29)),IF(AND(up_Irr!S29&lt;&gt;".",up_Irr!AR29=".",up_Irr!BQ29&lt;&gt;"."),up_dir!AT29/((1/1000)*(up_Irr!S29+up_Irr!BQ29)),IF(AND(up_Irr!S29=".",up_Irr!AR29&lt;&gt;".",up_Irr!BQ29&lt;&gt;"."),up_dir!AT29/((1/1000)*(up_Irr!AR29+up_Irr!BQ29)),IF(AND(up_Irr!S29=".",up_Irr!AR29=".",up_Irr!BQ29&lt;&gt;"."),up_dir!AT29/((1/1000)*(up_Irr!BQ29)),IF(AND(up_Irr!S29=".",up_Irr!AR29&lt;&gt;".",up_Irr!BQ29="."),up_dir!AT29/((1/1000)*(up_Irr!AR29)),IF(AND(up_Irr!S29&lt;&gt;".",up_Irr!AR29=".",up_Irr!BQ29="."),up_dir!AT29/((1/1000)*(up_Irr!S29)),IF(AND(up_Irr!S29=".",up_Irr!AR29=".",up_Irr!BQ29="."),up_dir!AT29*1000)))))))),".")</f>
        <v>6.5773651144152131E-4</v>
      </c>
      <c r="BU29" s="70">
        <f>IFERROR(IF(AND(up_Irr!T29&lt;&gt;".",up_Irr!AS29&lt;&gt;".",up_Irr!BR29&lt;&gt;"."),up_dir!AU29/((1/1000)*(up_Irr!T29+up_Irr!AS29+up_Irr!BR29)),IF(AND(up_Irr!T29&lt;&gt;".",up_Irr!AS29&lt;&gt;".",up_Irr!BR29="."),up_dir!AU29/((1/1000)*(up_Irr!T29+up_Irr!AS29)),IF(AND(up_Irr!T29&lt;&gt;".",up_Irr!AS29=".",up_Irr!BR29&lt;&gt;"."),up_dir!AU29/((1/1000)*(up_Irr!T29+up_Irr!BR29)),IF(AND(up_Irr!T29=".",up_Irr!AS29&lt;&gt;".",up_Irr!BR29&lt;&gt;"."),up_dir!AU29/((1/1000)*(up_Irr!AS29+up_Irr!BR29)),IF(AND(up_Irr!T29=".",up_Irr!AS29=".",up_Irr!BR29&lt;&gt;"."),up_dir!AU29/((1/1000)*(up_Irr!BR29)),IF(AND(up_Irr!T29=".",up_Irr!AS29&lt;&gt;".",up_Irr!BR29="."),up_dir!AU29/((1/1000)*(up_Irr!AS29)),IF(AND(up_Irr!T29&lt;&gt;".",up_Irr!AS29=".",up_Irr!BR29="."),up_dir!AU29/((1/1000)*(up_Irr!T29)),IF(AND(up_Irr!T29=".",up_Irr!AS29=".",up_Irr!BR29="."),up_dir!AU29*1000)))))))),".")</f>
        <v>6.5773651144152131E-4</v>
      </c>
      <c r="BV29" s="70">
        <f>IFERROR(IF(AND(up_Irr!U29&lt;&gt;".",up_Irr!AT29&lt;&gt;".",up_Irr!BS29&lt;&gt;"."),up_dir!AV29/((1/1000)*(up_Irr!U29+up_Irr!AT29+up_Irr!BS29)),IF(AND(up_Irr!U29&lt;&gt;".",up_Irr!AT29&lt;&gt;".",up_Irr!BS29="."),up_dir!AV29/((1/1000)*(up_Irr!U29+up_Irr!AT29)),IF(AND(up_Irr!U29&lt;&gt;".",up_Irr!AT29=".",up_Irr!BS29&lt;&gt;"."),up_dir!AV29/((1/1000)*(up_Irr!U29+up_Irr!BS29)),IF(AND(up_Irr!U29=".",up_Irr!AT29&lt;&gt;".",up_Irr!BS29&lt;&gt;"."),up_dir!AV29/((1/1000)*(up_Irr!AT29+up_Irr!BS29)),IF(AND(up_Irr!U29=".",up_Irr!AT29=".",up_Irr!BS29&lt;&gt;"."),up_dir!AV29/((1/1000)*(up_Irr!BS29)),IF(AND(up_Irr!U29=".",up_Irr!AT29&lt;&gt;".",up_Irr!BS29="."),up_dir!AV29/((1/1000)*(up_Irr!AT29)),IF(AND(up_Irr!U29&lt;&gt;".",up_Irr!AT29=".",up_Irr!BS29="."),up_dir!AV29/((1/1000)*(up_Irr!U29)),IF(AND(up_Irr!U29=".",up_Irr!AT29=".",up_Irr!BS29="."),up_dir!AV29*1000)))))))),".")</f>
        <v>6.5773651144152131E-4</v>
      </c>
      <c r="BW29" s="70">
        <f>IFERROR(IF(AND(up_Irr!V29&lt;&gt;".",up_Irr!AU29&lt;&gt;".",up_Irr!BT29&lt;&gt;"."),up_dir!AW29/((1/1000)*(up_Irr!V29+up_Irr!AU29+up_Irr!BT29)),IF(AND(up_Irr!V29&lt;&gt;".",up_Irr!AU29&lt;&gt;".",up_Irr!BT29="."),up_dir!AW29/((1/1000)*(up_Irr!V29+up_Irr!AU29)),IF(AND(up_Irr!V29&lt;&gt;".",up_Irr!AU29=".",up_Irr!BT29&lt;&gt;"."),up_dir!AW29/((1/1000)*(up_Irr!V29+up_Irr!BT29)),IF(AND(up_Irr!V29=".",up_Irr!AU29&lt;&gt;".",up_Irr!BT29&lt;&gt;"."),up_dir!AW29/((1/1000)*(up_Irr!AU29+up_Irr!BT29)),IF(AND(up_Irr!V29=".",up_Irr!AU29=".",up_Irr!BT29&lt;&gt;"."),up_dir!AW29/((1/1000)*(up_Irr!BT29)),IF(AND(up_Irr!V29=".",up_Irr!AU29&lt;&gt;".",up_Irr!BT29="."),up_dir!AW29/((1/1000)*(up_Irr!AU29)),IF(AND(up_Irr!V29&lt;&gt;".",up_Irr!AU29=".",up_Irr!BT29="."),up_dir!AW29/((1/1000)*(up_Irr!V29)),IF(AND(up_Irr!V29=".",up_Irr!AU29=".",up_Irr!BT29="."),up_dir!AW29*1000)))))))),".")</f>
        <v>6.5773651144152131E-4</v>
      </c>
      <c r="BX29" s="70">
        <f>IFERROR(IF(AND(up_Irr!W29&lt;&gt;".",up_Irr!AV29&lt;&gt;".",up_Irr!BU29&lt;&gt;"."),up_dir!AX29/((1/1000)*(up_Irr!W29+up_Irr!AV29+up_Irr!BU29)),IF(AND(up_Irr!W29&lt;&gt;".",up_Irr!AV29&lt;&gt;".",up_Irr!BU29="."),up_dir!AX29/((1/1000)*(up_Irr!W29+up_Irr!AV29)),IF(AND(up_Irr!W29&lt;&gt;".",up_Irr!AV29=".",up_Irr!BU29&lt;&gt;"."),up_dir!AX29/((1/1000)*(up_Irr!W29+up_Irr!BU29)),IF(AND(up_Irr!W29=".",up_Irr!AV29&lt;&gt;".",up_Irr!BU29&lt;&gt;"."),up_dir!AX29/((1/1000)*(up_Irr!AV29+up_Irr!BU29)),IF(AND(up_Irr!W29=".",up_Irr!AV29=".",up_Irr!BU29&lt;&gt;"."),up_dir!AX29/((1/1000)*(up_Irr!BU29)),IF(AND(up_Irr!W29=".",up_Irr!AV29&lt;&gt;".",up_Irr!BU29="."),up_dir!AX29/((1/1000)*(up_Irr!AV29)),IF(AND(up_Irr!W29&lt;&gt;".",up_Irr!AV29=".",up_Irr!BU29="."),up_dir!AX29/((1/1000)*(up_Irr!W29)),IF(AND(up_Irr!W29=".",up_Irr!AV29=".",up_Irr!BU29="."),up_dir!AX29*1000)))))))),".")</f>
        <v>6.5773651144152131E-4</v>
      </c>
      <c r="BY29" s="70">
        <f>IFERROR(IF(AND(up_Irr!X29&lt;&gt;".",up_Irr!AW29&lt;&gt;".",up_Irr!BV29&lt;&gt;"."),up_dir!AY29/((1/1000)*(up_Irr!X29+up_Irr!AW29+up_Irr!BV29)),IF(AND(up_Irr!X29&lt;&gt;".",up_Irr!AW29&lt;&gt;".",up_Irr!BV29="."),up_dir!AY29/((1/1000)*(up_Irr!X29+up_Irr!AW29)),IF(AND(up_Irr!X29&lt;&gt;".",up_Irr!AW29=".",up_Irr!BV29&lt;&gt;"."),up_dir!AY29/((1/1000)*(up_Irr!X29+up_Irr!BV29)),IF(AND(up_Irr!X29=".",up_Irr!AW29&lt;&gt;".",up_Irr!BV29&lt;&gt;"."),up_dir!AY29/((1/1000)*(up_Irr!AW29+up_Irr!BV29)),IF(AND(up_Irr!X29=".",up_Irr!AW29=".",up_Irr!BV29&lt;&gt;"."),up_dir!AY29/((1/1000)*(up_Irr!BV29)),IF(AND(up_Irr!X29=".",up_Irr!AW29&lt;&gt;".",up_Irr!BV29="."),up_dir!AY29/((1/1000)*(up_Irr!AW29)),IF(AND(up_Irr!X29&lt;&gt;".",up_Irr!AW29=".",up_Irr!BV29="."),up_dir!AY29/((1/1000)*(up_Irr!X29)),IF(AND(up_Irr!X29=".",up_Irr!AW29=".",up_Irr!BV29="."),up_dir!AY29*1000)))))))),".")</f>
        <v>6.5773651144152131E-4</v>
      </c>
      <c r="BZ29" s="70">
        <f>IFERROR(IF(AND(up_Irr!Y29&lt;&gt;".",up_Irr!AX29&lt;&gt;".",up_Irr!BW29&lt;&gt;"."),up_dir!AZ29/((1/1000)*(up_Irr!Y29+up_Irr!AX29+up_Irr!BW29)),IF(AND(up_Irr!Y29&lt;&gt;".",up_Irr!AX29&lt;&gt;".",up_Irr!BW29="."),up_dir!AZ29/((1/1000)*(up_Irr!Y29+up_Irr!AX29)),IF(AND(up_Irr!Y29&lt;&gt;".",up_Irr!AX29=".",up_Irr!BW29&lt;&gt;"."),up_dir!AZ29/((1/1000)*(up_Irr!Y29+up_Irr!BW29)),IF(AND(up_Irr!Y29=".",up_Irr!AX29&lt;&gt;".",up_Irr!BW29&lt;&gt;"."),up_dir!AZ29/((1/1000)*(up_Irr!AX29+up_Irr!BW29)),IF(AND(up_Irr!Y29=".",up_Irr!AX29=".",up_Irr!BW29&lt;&gt;"."),up_dir!AZ29/((1/1000)*(up_Irr!BW29)),IF(AND(up_Irr!Y29=".",up_Irr!AX29&lt;&gt;".",up_Irr!BW29="."),up_dir!AZ29/((1/1000)*(up_Irr!AX29)),IF(AND(up_Irr!Y29&lt;&gt;".",up_Irr!AX29=".",up_Irr!BW29="."),up_dir!AZ29/((1/1000)*(up_Irr!Y29)),IF(AND(up_Irr!Y29=".",up_Irr!AX29=".",up_Irr!BW29="."),up_dir!AZ29*1000)))))))),".")</f>
        <v>6.5773651144152131E-4</v>
      </c>
      <c r="CA29" s="70">
        <f>IFERROR(IF(AND(up_Irr!Z29&lt;&gt;".",up_Irr!AY29&lt;&gt;".",up_Irr!BX29&lt;&gt;"."),up_dir!BA29/((1/1000)*(up_Irr!Z29+up_Irr!AY29+up_Irr!BX29)),IF(AND(up_Irr!Z29&lt;&gt;".",up_Irr!AY29&lt;&gt;".",up_Irr!BX29="."),up_dir!BA29/((1/1000)*(up_Irr!Z29+up_Irr!AY29)),IF(AND(up_Irr!Z29&lt;&gt;".",up_Irr!AY29=".",up_Irr!BX29&lt;&gt;"."),up_dir!BA29/((1/1000)*(up_Irr!Z29+up_Irr!BX29)),IF(AND(up_Irr!Z29=".",up_Irr!AY29&lt;&gt;".",up_Irr!BX29&lt;&gt;"."),up_dir!BA29/((1/1000)*(up_Irr!AY29+up_Irr!BX29)),IF(AND(up_Irr!Z29=".",up_Irr!AY29=".",up_Irr!BX29&lt;&gt;"."),up_dir!BA29/((1/1000)*(up_Irr!BX29)),IF(AND(up_Irr!Z29=".",up_Irr!AY29&lt;&gt;".",up_Irr!BX29="."),up_dir!BA29/((1/1000)*(up_Irr!AY29)),IF(AND(up_Irr!Z29&lt;&gt;".",up_Irr!AY29=".",up_Irr!BX29="."),up_dir!BA29/((1/1000)*(up_Irr!Z29)),IF(AND(up_Irr!Z29=".",up_Irr!AY29=".",up_Irr!BX29="."),up_dir!BA29*1000)))))))),".")</f>
        <v>6.5773651144152131E-4</v>
      </c>
      <c r="CB29" s="70">
        <f>IFERROR(IF(AND(up_Irr!AA29&lt;&gt;".",up_Irr!AZ29&lt;&gt;".",up_Irr!BY29&lt;&gt;"."),up_dir!BB29/((1/1000)*(up_Irr!AA29+up_Irr!AZ29+up_Irr!BY29)),IF(AND(up_Irr!AA29&lt;&gt;".",up_Irr!AZ29&lt;&gt;".",up_Irr!BY29="."),up_dir!BB29/((1/1000)*(up_Irr!AA29+up_Irr!AZ29)),IF(AND(up_Irr!AA29&lt;&gt;".",up_Irr!AZ29=".",up_Irr!BY29&lt;&gt;"."),up_dir!BB29/((1/1000)*(up_Irr!AA29+up_Irr!BY29)),IF(AND(up_Irr!AA29=".",up_Irr!AZ29&lt;&gt;".",up_Irr!BY29&lt;&gt;"."),up_dir!BB29/((1/1000)*(up_Irr!AZ29+up_Irr!BY29)),IF(AND(up_Irr!AA29=".",up_Irr!AZ29=".",up_Irr!BY29&lt;&gt;"."),up_dir!BB29/((1/1000)*(up_Irr!BY29)),IF(AND(up_Irr!AA29=".",up_Irr!AZ29&lt;&gt;".",up_Irr!BY29="."),up_dir!BB29/((1/1000)*(up_Irr!AZ29)),IF(AND(up_Irr!AA29&lt;&gt;".",up_Irr!AZ29=".",up_Irr!BY29="."),up_dir!BB29/((1/1000)*(up_Irr!AA29)),IF(AND(up_Irr!AA29=".",up_Irr!AZ29=".",up_Irr!BY29="."),up_dir!BB29*1000)))))))),".")</f>
        <v>6.5773651144152131E-4</v>
      </c>
      <c r="CC29" s="87">
        <f t="shared" si="3"/>
        <v>30407.313038114935</v>
      </c>
      <c r="CD29" s="87">
        <f>IFERROR(s_C*s_IFAP_far_adj*s_CF_apple*(1/1000)*(up_Irr!C29+up_Irr!AB29+up_Irr!BA29),".")</f>
        <v>7601.8282595287337</v>
      </c>
      <c r="CE29" s="87">
        <f>IFERROR(s_C*s_IFAS_far_adj*s_CF_asparagus*(1/1000)*(up_Irr!D29+up_Irr!AC29+up_Irr!BB29),".")</f>
        <v>7601.8282595287337</v>
      </c>
      <c r="CF29" s="87">
        <f>IFERROR(s_C*s_IFBT_far_adj*s_CF_beet*(1/1000)*(up_Irr!E29+up_Irr!AD29+up_Irr!BC29),".")</f>
        <v>7601.8282595287337</v>
      </c>
      <c r="CG29" s="87">
        <f>IFERROR(s_C*s_IFBE_far_adj*s_CF_berries*(1/1000)*(up_Irr!F29+up_Irr!AE29+up_Irr!BD29),".")</f>
        <v>7601.8282595287337</v>
      </c>
      <c r="CH29" s="87">
        <f>IFERROR(s_C*s_IFBR_far_adj*s_CF_broccoli*(1/1000)*(up_Irr!G29+up_Irr!AF29+up_Irr!BE29),".")</f>
        <v>7601.8282595287337</v>
      </c>
      <c r="CI29" s="87">
        <f>IFERROR(s_C*s_IFCB_far_adj*s_CF_cabbage*(1/1000)*(up_Irr!H29+up_Irr!AG29+up_Irr!BF29),".")</f>
        <v>7601.8282595287337</v>
      </c>
      <c r="CJ29" s="87">
        <f>IFERROR(s_C*s_IFCR_far_adj*s_CF_carrot*(1/1000)*(up_Irr!I29+up_Irr!AH29+up_Irr!BG29),".")</f>
        <v>7601.8282595287337</v>
      </c>
      <c r="CK29" s="87">
        <f>IFERROR(s_C*s_IFCI_far_adj*s_CF_citrus*(1/1000)*(up_Irr!J29+up_Irr!AI29+up_Irr!BH29),".")</f>
        <v>7601.8282595287337</v>
      </c>
      <c r="CL29" s="87">
        <f>IFERROR(s_C*s_IFCO_far_adj*s_CF_corn*(1/1000)*(up_Irr!K29+up_Irr!AJ29+up_Irr!BI29),".")</f>
        <v>7601.8282595287337</v>
      </c>
      <c r="CM29" s="87">
        <f>IFERROR(s_C*s_IFCU_far_adj*s_CF_cucumber*(1/1000)*(up_Irr!L29+up_Irr!AK29+up_Irr!BJ29),".")</f>
        <v>7601.8282595287337</v>
      </c>
      <c r="CN29" s="87">
        <f>IFERROR(s_C*s_IFLE_far_adj*s_CF_lettuce*(1/1000)*(up_Irr!M29+up_Irr!AL29+up_Irr!BK29),".")</f>
        <v>7601.8282595287337</v>
      </c>
      <c r="CO29" s="87">
        <f>IFERROR(s_C*s_IFLI_far_adj*s_CF_lima_bean*(1/1000)*(up_Irr!N29+up_Irr!AM29+up_Irr!BL29),".")</f>
        <v>7601.8282595287337</v>
      </c>
      <c r="CP29" s="87">
        <f>IFERROR(s_C*s_IFOK_far_adj*s_CF_okra*(1/1000)*(up_Irr!O29+up_Irr!AN29+up_Irr!BM29),".")</f>
        <v>7601.8282595287337</v>
      </c>
      <c r="CQ29" s="87">
        <f>IFERROR(s_C*s_IFON_far_adj*s_CF_onion*(1/1000)*(up_Irr!P29+up_Irr!AO29+up_Irr!BN29),".")</f>
        <v>7601.8282595287337</v>
      </c>
      <c r="CR29" s="87">
        <f>IFERROR(s_C*s_IFPC_far_adj*s_CF_peach*(1/1000)*(up_Irr!Q29+up_Irr!AP29+up_Irr!BO29),".")</f>
        <v>7601.8282595287337</v>
      </c>
      <c r="CS29" s="87">
        <f>IFERROR(s_C*s_IFPR_far_adj*s_CF_pear*(1/1000)*(up_Irr!R29+up_Irr!AQ29+up_Irr!BP29),".")</f>
        <v>7601.8282595287337</v>
      </c>
      <c r="CT29" s="87">
        <f>IFERROR(s_C*s_IFPE_far_adj*s_CF_peas*(1/1000)*(up_Irr!S29+up_Irr!AR29+up_Irr!BQ29),".")</f>
        <v>7601.8282595287337</v>
      </c>
      <c r="CU29" s="87">
        <f>IFERROR(s_C*s_IFPP_far_adj*s_CF_peppers*(1/1000)*(up_Irr!T29+up_Irr!AS29+up_Irr!BR29),".")</f>
        <v>7601.8282595287337</v>
      </c>
      <c r="CV29" s="87">
        <f>IFERROR(s_C*s_IFPT_far_adj*s_CF_potato*(1/1000)*(up_Irr!U29+up_Irr!AT29+up_Irr!BS29),".")</f>
        <v>7601.8282595287337</v>
      </c>
      <c r="CW29" s="87">
        <f>IFERROR(s_C*s_IFPU_far_adj*s_CF_pumpkin*(1/1000)*(up_Irr!V29+up_Irr!AU29+up_Irr!BT29),".")</f>
        <v>7601.8282595287337</v>
      </c>
      <c r="CX29" s="87">
        <f>IFERROR(s_C*s_IFSN_far_adj*s_CF_snap_bean*(1/1000)*(up_Irr!W29+up_Irr!AV29+up_Irr!BU29),".")</f>
        <v>7601.8282595287337</v>
      </c>
      <c r="CY29" s="87">
        <f>IFERROR(s_C*s_IFST_far_adj*s_CF_strawberry*(1/1000)*(up_Irr!X29+up_Irr!AW29+up_Irr!BV29),".")</f>
        <v>7601.8282595287337</v>
      </c>
      <c r="CZ29" s="87">
        <f>IFERROR(s_C*s_IFTO_far_adj*s_CF_tomato*(1/1000)*(up_Irr!Y29+up_Irr!AX29+up_Irr!BW29),".")</f>
        <v>7601.8282595287337</v>
      </c>
      <c r="DA29" s="87">
        <f>IFERROR(s_C*s_IFRI_far_adj*s_CF_rice*(1/1000)*(up_Irr!Z29+up_Irr!AY29+up_Irr!BX29),".")</f>
        <v>7601.8282595287337</v>
      </c>
      <c r="DB29" s="87">
        <f>IFERROR(s_C*s_IFCG_far_adj*s_CF_cereal*(1/1000)*(up_Irr!AA29+up_Irr!AZ29+up_Irr!BY29),".")</f>
        <v>7601.8282595287337</v>
      </c>
    </row>
    <row r="30" spans="1:106" ht="15" customHeight="1" x14ac:dyDescent="0.25">
      <c r="A30" s="86" t="s">
        <v>28</v>
      </c>
      <c r="B30" s="84" t="s">
        <v>1057</v>
      </c>
      <c r="C30" s="15">
        <f t="shared" si="0"/>
        <v>1.6443412786038033E-4</v>
      </c>
      <c r="D30" s="70">
        <f>IFERROR(IF(AND(up_Irr!C30&lt;&gt;".",up_Irr!AB30&lt;&gt;".",up_Irr!BA30&lt;&gt;"."),up_dir!D30/((1/1000)*(up_Irr!C30+up_Irr!AB30+up_Irr!BA30)),IF(AND(up_Irr!C30&lt;&gt;".",up_Irr!AB30&lt;&gt;".",up_Irr!BA30="."),up_dir!D30/((1/1000)*(up_Irr!C30+up_Irr!AB30)),IF(AND(up_Irr!C30&lt;&gt;".",up_Irr!AB30=".",up_Irr!BA30&lt;&gt;"."),up_dir!D30/((1/1000)*(up_Irr!C30+up_Irr!BA30)),IF(AND(up_Irr!C30=".",up_Irr!AB30&lt;&gt;".",up_Irr!BA30&lt;&gt;"."),up_dir!D30/((1/1000)*(up_Irr!AB30+up_Irr!BA30)),IF(AND(up_Irr!C30=".",up_Irr!AB30=".",up_Irr!BA30&lt;&gt;"."),up_dir!D30/((1/1000)*(up_Irr!BA30)),IF(AND(up_Irr!C30=".",up_Irr!AB30&lt;&gt;".",up_Irr!BA30="."),up_dir!D30/((1/1000)*(up_Irr!AB30)),IF(AND(up_Irr!C30&lt;&gt;".",up_Irr!AB30=".",up_Irr!BA30="."),up_dir!D30/((1/1000)*(up_Irr!C30)),IF(AND(up_Irr!C30=".",up_Irr!AB30=".",up_Irr!BA30="."),up_dir!D30*1000)))))))),".")</f>
        <v>6.5773651144152131E-4</v>
      </c>
      <c r="E30" s="70">
        <f>IFERROR(IF(AND(up_Irr!D30&lt;&gt;".",up_Irr!AC30&lt;&gt;".",up_Irr!BB30&lt;&gt;"."),up_dir!E30/((1/1000)*(up_Irr!D30+up_Irr!AC30+up_Irr!BB30)),IF(AND(up_Irr!D30&lt;&gt;".",up_Irr!AC30&lt;&gt;".",up_Irr!BB30="."),up_dir!E30/((1/1000)*(up_Irr!D30+up_Irr!AC30)),IF(AND(up_Irr!D30&lt;&gt;".",up_Irr!AC30=".",up_Irr!BB30&lt;&gt;"."),up_dir!E30/((1/1000)*(up_Irr!D30+up_Irr!BB30)),IF(AND(up_Irr!D30=".",up_Irr!AC30&lt;&gt;".",up_Irr!BB30&lt;&gt;"."),up_dir!E30/((1/1000)*(up_Irr!AC30+up_Irr!BB30)),IF(AND(up_Irr!D30=".",up_Irr!AC30=".",up_Irr!BB30&lt;&gt;"."),up_dir!E30/((1/1000)*(up_Irr!BB30)),IF(AND(up_Irr!D30=".",up_Irr!AC30&lt;&gt;".",up_Irr!BB30="."),up_dir!E30/((1/1000)*(up_Irr!AC30)),IF(AND(up_Irr!D30&lt;&gt;".",up_Irr!AC30=".",up_Irr!BB30="."),up_dir!E30/((1/1000)*(up_Irr!D30)),IF(AND(up_Irr!D30=".",up_Irr!AC30=".",up_Irr!BB30="."),up_dir!E30*1000)))))))),".")</f>
        <v>6.5773651144152131E-4</v>
      </c>
      <c r="F30" s="70">
        <f>IFERROR(IF(AND(up_Irr!E30&lt;&gt;".",up_Irr!AD30&lt;&gt;".",up_Irr!BC30&lt;&gt;"."),up_dir!F30/((1/1000)*(up_Irr!E30+up_Irr!AD30+up_Irr!BC30)),IF(AND(up_Irr!E30&lt;&gt;".",up_Irr!AD30&lt;&gt;".",up_Irr!BC30="."),up_dir!F30/((1/1000)*(up_Irr!E30+up_Irr!AD30)),IF(AND(up_Irr!E30&lt;&gt;".",up_Irr!AD30=".",up_Irr!BC30&lt;&gt;"."),up_dir!F30/((1/1000)*(up_Irr!E30+up_Irr!BC30)),IF(AND(up_Irr!E30=".",up_Irr!AD30&lt;&gt;".",up_Irr!BC30&lt;&gt;"."),up_dir!F30/((1/1000)*(up_Irr!AD30+up_Irr!BC30)),IF(AND(up_Irr!E30=".",up_Irr!AD30=".",up_Irr!BC30&lt;&gt;"."),up_dir!F30/((1/1000)*(up_Irr!BC30)),IF(AND(up_Irr!E30=".",up_Irr!AD30&lt;&gt;".",up_Irr!BC30="."),up_dir!F30/((1/1000)*(up_Irr!AD30)),IF(AND(up_Irr!E30&lt;&gt;".",up_Irr!AD30=".",up_Irr!BC30="."),up_dir!F30/((1/1000)*(up_Irr!E30)),IF(AND(up_Irr!E30=".",up_Irr!AD30=".",up_Irr!BC30="."),up_dir!F30*1000)))))))),".")</f>
        <v>6.5773651144152131E-4</v>
      </c>
      <c r="G30" s="70">
        <f>IFERROR(IF(AND(up_Irr!F30&lt;&gt;".",up_Irr!AE30&lt;&gt;".",up_Irr!BD30&lt;&gt;"."),up_dir!G30/((1/1000)*(up_Irr!F30+up_Irr!AE30+up_Irr!BD30)),IF(AND(up_Irr!F30&lt;&gt;".",up_Irr!AE30&lt;&gt;".",up_Irr!BD30="."),up_dir!G30/((1/1000)*(up_Irr!F30+up_Irr!AE30)),IF(AND(up_Irr!F30&lt;&gt;".",up_Irr!AE30=".",up_Irr!BD30&lt;&gt;"."),up_dir!G30/((1/1000)*(up_Irr!F30+up_Irr!BD30)),IF(AND(up_Irr!F30=".",up_Irr!AE30&lt;&gt;".",up_Irr!BD30&lt;&gt;"."),up_dir!G30/((1/1000)*(up_Irr!AE30+up_Irr!BD30)),IF(AND(up_Irr!F30=".",up_Irr!AE30=".",up_Irr!BD30&lt;&gt;"."),up_dir!G30/((1/1000)*(up_Irr!BD30)),IF(AND(up_Irr!F30=".",up_Irr!AE30&lt;&gt;".",up_Irr!BD30="."),up_dir!G30/((1/1000)*(up_Irr!AE30)),IF(AND(up_Irr!F30&lt;&gt;".",up_Irr!AE30=".",up_Irr!BD30="."),up_dir!G30/((1/1000)*(up_Irr!F30)),IF(AND(up_Irr!F30=".",up_Irr!AE30=".",up_Irr!BD30="."),up_dir!G30*1000)))))))),".")</f>
        <v>6.5773651144152131E-4</v>
      </c>
      <c r="H30" s="70">
        <f>IFERROR(IF(AND(up_Irr!G30&lt;&gt;".",up_Irr!AF30&lt;&gt;".",up_Irr!BE30&lt;&gt;"."),up_dir!H30/((1/1000)*(up_Irr!G30+up_Irr!AF30+up_Irr!BE30)),IF(AND(up_Irr!G30&lt;&gt;".",up_Irr!AF30&lt;&gt;".",up_Irr!BE30="."),up_dir!H30/((1/1000)*(up_Irr!G30+up_Irr!AF30)),IF(AND(up_Irr!G30&lt;&gt;".",up_Irr!AF30=".",up_Irr!BE30&lt;&gt;"."),up_dir!H30/((1/1000)*(up_Irr!G30+up_Irr!BE30)),IF(AND(up_Irr!G30=".",up_Irr!AF30&lt;&gt;".",up_Irr!BE30&lt;&gt;"."),up_dir!H30/((1/1000)*(up_Irr!AF30+up_Irr!BE30)),IF(AND(up_Irr!G30=".",up_Irr!AF30=".",up_Irr!BE30&lt;&gt;"."),up_dir!H30/((1/1000)*(up_Irr!BE30)),IF(AND(up_Irr!G30=".",up_Irr!AF30&lt;&gt;".",up_Irr!BE30="."),up_dir!H30/((1/1000)*(up_Irr!AF30)),IF(AND(up_Irr!G30&lt;&gt;".",up_Irr!AF30=".",up_Irr!BE30="."),up_dir!H30/((1/1000)*(up_Irr!G30)),IF(AND(up_Irr!G30=".",up_Irr!AF30=".",up_Irr!BE30="."),up_dir!H30*1000)))))))),".")</f>
        <v>6.5773651144152131E-4</v>
      </c>
      <c r="I30" s="70">
        <f>IFERROR(IF(AND(up_Irr!H30&lt;&gt;".",up_Irr!AG30&lt;&gt;".",up_Irr!BF30&lt;&gt;"."),up_dir!I30/((1/1000)*(up_Irr!H30+up_Irr!AG30+up_Irr!BF30)),IF(AND(up_Irr!H30&lt;&gt;".",up_Irr!AG30&lt;&gt;".",up_Irr!BF30="."),up_dir!I30/((1/1000)*(up_Irr!H30+up_Irr!AG30)),IF(AND(up_Irr!H30&lt;&gt;".",up_Irr!AG30=".",up_Irr!BF30&lt;&gt;"."),up_dir!I30/((1/1000)*(up_Irr!H30+up_Irr!BF30)),IF(AND(up_Irr!H30=".",up_Irr!AG30&lt;&gt;".",up_Irr!BF30&lt;&gt;"."),up_dir!I30/((1/1000)*(up_Irr!AG30+up_Irr!BF30)),IF(AND(up_Irr!H30=".",up_Irr!AG30=".",up_Irr!BF30&lt;&gt;"."),up_dir!I30/((1/1000)*(up_Irr!BF30)),IF(AND(up_Irr!H30=".",up_Irr!AG30&lt;&gt;".",up_Irr!BF30="."),up_dir!I30/((1/1000)*(up_Irr!AG30)),IF(AND(up_Irr!H30&lt;&gt;".",up_Irr!AG30=".",up_Irr!BF30="."),up_dir!I30/((1/1000)*(up_Irr!H30)),IF(AND(up_Irr!H30=".",up_Irr!AG30=".",up_Irr!BF30="."),up_dir!I30*1000)))))))),".")</f>
        <v>6.5773651144152131E-4</v>
      </c>
      <c r="J30" s="70">
        <f>IFERROR(IF(AND(up_Irr!I30&lt;&gt;".",up_Irr!AH30&lt;&gt;".",up_Irr!BG30&lt;&gt;"."),up_dir!J30/((1/1000)*(up_Irr!I30+up_Irr!AH30+up_Irr!BG30)),IF(AND(up_Irr!I30&lt;&gt;".",up_Irr!AH30&lt;&gt;".",up_Irr!BG30="."),up_dir!J30/((1/1000)*(up_Irr!I30+up_Irr!AH30)),IF(AND(up_Irr!I30&lt;&gt;".",up_Irr!AH30=".",up_Irr!BG30&lt;&gt;"."),up_dir!J30/((1/1000)*(up_Irr!I30+up_Irr!BG30)),IF(AND(up_Irr!I30=".",up_Irr!AH30&lt;&gt;".",up_Irr!BG30&lt;&gt;"."),up_dir!J30/((1/1000)*(up_Irr!AH30+up_Irr!BG30)),IF(AND(up_Irr!I30=".",up_Irr!AH30=".",up_Irr!BG30&lt;&gt;"."),up_dir!J30/((1/1000)*(up_Irr!BG30)),IF(AND(up_Irr!I30=".",up_Irr!AH30&lt;&gt;".",up_Irr!BG30="."),up_dir!J30/((1/1000)*(up_Irr!AH30)),IF(AND(up_Irr!I30&lt;&gt;".",up_Irr!AH30=".",up_Irr!BG30="."),up_dir!J30/((1/1000)*(up_Irr!I30)),IF(AND(up_Irr!I30=".",up_Irr!AH30=".",up_Irr!BG30="."),up_dir!J30*1000)))))))),".")</f>
        <v>6.5773651144152131E-4</v>
      </c>
      <c r="K30" s="70">
        <f>IFERROR(IF(AND(up_Irr!J30&lt;&gt;".",up_Irr!AI30&lt;&gt;".",up_Irr!BH30&lt;&gt;"."),up_dir!K30/((1/1000)*(up_Irr!J30+up_Irr!AI30+up_Irr!BH30)),IF(AND(up_Irr!J30&lt;&gt;".",up_Irr!AI30&lt;&gt;".",up_Irr!BH30="."),up_dir!K30/((1/1000)*(up_Irr!J30+up_Irr!AI30)),IF(AND(up_Irr!J30&lt;&gt;".",up_Irr!AI30=".",up_Irr!BH30&lt;&gt;"."),up_dir!K30/((1/1000)*(up_Irr!J30+up_Irr!BH30)),IF(AND(up_Irr!J30=".",up_Irr!AI30&lt;&gt;".",up_Irr!BH30&lt;&gt;"."),up_dir!K30/((1/1000)*(up_Irr!AI30+up_Irr!BH30)),IF(AND(up_Irr!J30=".",up_Irr!AI30=".",up_Irr!BH30&lt;&gt;"."),up_dir!K30/((1/1000)*(up_Irr!BH30)),IF(AND(up_Irr!J30=".",up_Irr!AI30&lt;&gt;".",up_Irr!BH30="."),up_dir!K30/((1/1000)*(up_Irr!AI30)),IF(AND(up_Irr!J30&lt;&gt;".",up_Irr!AI30=".",up_Irr!BH30="."),up_dir!K30/((1/1000)*(up_Irr!J30)),IF(AND(up_Irr!J30=".",up_Irr!AI30=".",up_Irr!BH30="."),up_dir!K30*1000)))))))),".")</f>
        <v>6.5773651144152131E-4</v>
      </c>
      <c r="L30" s="70">
        <f>IFERROR(IF(AND(up_Irr!K30&lt;&gt;".",up_Irr!AJ30&lt;&gt;".",up_Irr!BI30&lt;&gt;"."),up_dir!L30/((1/1000)*(up_Irr!K30+up_Irr!AJ30+up_Irr!BI30)),IF(AND(up_Irr!K30&lt;&gt;".",up_Irr!AJ30&lt;&gt;".",up_Irr!BI30="."),up_dir!L30/((1/1000)*(up_Irr!K30+up_Irr!AJ30)),IF(AND(up_Irr!K30&lt;&gt;".",up_Irr!AJ30=".",up_Irr!BI30&lt;&gt;"."),up_dir!L30/((1/1000)*(up_Irr!K30+up_Irr!BI30)),IF(AND(up_Irr!K30=".",up_Irr!AJ30&lt;&gt;".",up_Irr!BI30&lt;&gt;"."),up_dir!L30/((1/1000)*(up_Irr!AJ30+up_Irr!BI30)),IF(AND(up_Irr!K30=".",up_Irr!AJ30=".",up_Irr!BI30&lt;&gt;"."),up_dir!L30/((1/1000)*(up_Irr!BI30)),IF(AND(up_Irr!K30=".",up_Irr!AJ30&lt;&gt;".",up_Irr!BI30="."),up_dir!L30/((1/1000)*(up_Irr!AJ30)),IF(AND(up_Irr!K30&lt;&gt;".",up_Irr!AJ30=".",up_Irr!BI30="."),up_dir!L30/((1/1000)*(up_Irr!K30)),IF(AND(up_Irr!K30=".",up_Irr!AJ30=".",up_Irr!BI30="."),up_dir!L30*1000)))))))),".")</f>
        <v>6.5773651144152131E-4</v>
      </c>
      <c r="M30" s="70">
        <f>IFERROR(IF(AND(up_Irr!L30&lt;&gt;".",up_Irr!AK30&lt;&gt;".",up_Irr!BJ30&lt;&gt;"."),up_dir!M30/((1/1000)*(up_Irr!L30+up_Irr!AK30+up_Irr!BJ30)),IF(AND(up_Irr!L30&lt;&gt;".",up_Irr!AK30&lt;&gt;".",up_Irr!BJ30="."),up_dir!M30/((1/1000)*(up_Irr!L30+up_Irr!AK30)),IF(AND(up_Irr!L30&lt;&gt;".",up_Irr!AK30=".",up_Irr!BJ30&lt;&gt;"."),up_dir!M30/((1/1000)*(up_Irr!L30+up_Irr!BJ30)),IF(AND(up_Irr!L30=".",up_Irr!AK30&lt;&gt;".",up_Irr!BJ30&lt;&gt;"."),up_dir!M30/((1/1000)*(up_Irr!AK30+up_Irr!BJ30)),IF(AND(up_Irr!L30=".",up_Irr!AK30=".",up_Irr!BJ30&lt;&gt;"."),up_dir!M30/((1/1000)*(up_Irr!BJ30)),IF(AND(up_Irr!L30=".",up_Irr!AK30&lt;&gt;".",up_Irr!BJ30="."),up_dir!M30/((1/1000)*(up_Irr!AK30)),IF(AND(up_Irr!L30&lt;&gt;".",up_Irr!AK30=".",up_Irr!BJ30="."),up_dir!M30/((1/1000)*(up_Irr!L30)),IF(AND(up_Irr!L30=".",up_Irr!AK30=".",up_Irr!BJ30="."),up_dir!M30*1000)))))))),".")</f>
        <v>6.5773651144152131E-4</v>
      </c>
      <c r="N30" s="70">
        <f>IFERROR(IF(AND(up_Irr!M30&lt;&gt;".",up_Irr!AL30&lt;&gt;".",up_Irr!BK30&lt;&gt;"."),up_dir!N30/((1/1000)*(up_Irr!M30+up_Irr!AL30+up_Irr!BK30)),IF(AND(up_Irr!M30&lt;&gt;".",up_Irr!AL30&lt;&gt;".",up_Irr!BK30="."),up_dir!N30/((1/1000)*(up_Irr!M30+up_Irr!AL30)),IF(AND(up_Irr!M30&lt;&gt;".",up_Irr!AL30=".",up_Irr!BK30&lt;&gt;"."),up_dir!N30/((1/1000)*(up_Irr!M30+up_Irr!BK30)),IF(AND(up_Irr!M30=".",up_Irr!AL30&lt;&gt;".",up_Irr!BK30&lt;&gt;"."),up_dir!N30/((1/1000)*(up_Irr!AL30+up_Irr!BK30)),IF(AND(up_Irr!M30=".",up_Irr!AL30=".",up_Irr!BK30&lt;&gt;"."),up_dir!N30/((1/1000)*(up_Irr!BK30)),IF(AND(up_Irr!M30=".",up_Irr!AL30&lt;&gt;".",up_Irr!BK30="."),up_dir!N30/((1/1000)*(up_Irr!AL30)),IF(AND(up_Irr!M30&lt;&gt;".",up_Irr!AL30=".",up_Irr!BK30="."),up_dir!N30/((1/1000)*(up_Irr!M30)),IF(AND(up_Irr!M30=".",up_Irr!AL30=".",up_Irr!BK30="."),up_dir!N30*1000)))))))),".")</f>
        <v>6.5773651144152131E-4</v>
      </c>
      <c r="O30" s="70">
        <f>IFERROR(IF(AND(up_Irr!N30&lt;&gt;".",up_Irr!AM30&lt;&gt;".",up_Irr!BL30&lt;&gt;"."),up_dir!O30/((1/1000)*(up_Irr!N30+up_Irr!AM30+up_Irr!BL30)),IF(AND(up_Irr!N30&lt;&gt;".",up_Irr!AM30&lt;&gt;".",up_Irr!BL30="."),up_dir!O30/((1/1000)*(up_Irr!N30+up_Irr!AM30)),IF(AND(up_Irr!N30&lt;&gt;".",up_Irr!AM30=".",up_Irr!BL30&lt;&gt;"."),up_dir!O30/((1/1000)*(up_Irr!N30+up_Irr!BL30)),IF(AND(up_Irr!N30=".",up_Irr!AM30&lt;&gt;".",up_Irr!BL30&lt;&gt;"."),up_dir!O30/((1/1000)*(up_Irr!AM30+up_Irr!BL30)),IF(AND(up_Irr!N30=".",up_Irr!AM30=".",up_Irr!BL30&lt;&gt;"."),up_dir!O30/((1/1000)*(up_Irr!BL30)),IF(AND(up_Irr!N30=".",up_Irr!AM30&lt;&gt;".",up_Irr!BL30="."),up_dir!O30/((1/1000)*(up_Irr!AM30)),IF(AND(up_Irr!N30&lt;&gt;".",up_Irr!AM30=".",up_Irr!BL30="."),up_dir!O30/((1/1000)*(up_Irr!N30)),IF(AND(up_Irr!N30=".",up_Irr!AM30=".",up_Irr!BL30="."),up_dir!O30*1000)))))))),".")</f>
        <v>6.5773651144152131E-4</v>
      </c>
      <c r="P30" s="70">
        <f>IFERROR(IF(AND(up_Irr!O30&lt;&gt;".",up_Irr!AN30&lt;&gt;".",up_Irr!BM30&lt;&gt;"."),up_dir!P30/((1/1000)*(up_Irr!O30+up_Irr!AN30+up_Irr!BM30)),IF(AND(up_Irr!O30&lt;&gt;".",up_Irr!AN30&lt;&gt;".",up_Irr!BM30="."),up_dir!P30/((1/1000)*(up_Irr!O30+up_Irr!AN30)),IF(AND(up_Irr!O30&lt;&gt;".",up_Irr!AN30=".",up_Irr!BM30&lt;&gt;"."),up_dir!P30/((1/1000)*(up_Irr!O30+up_Irr!BM30)),IF(AND(up_Irr!O30=".",up_Irr!AN30&lt;&gt;".",up_Irr!BM30&lt;&gt;"."),up_dir!P30/((1/1000)*(up_Irr!AN30+up_Irr!BM30)),IF(AND(up_Irr!O30=".",up_Irr!AN30=".",up_Irr!BM30&lt;&gt;"."),up_dir!P30/((1/1000)*(up_Irr!BM30)),IF(AND(up_Irr!O30=".",up_Irr!AN30&lt;&gt;".",up_Irr!BM30="."),up_dir!P30/((1/1000)*(up_Irr!AN30)),IF(AND(up_Irr!O30&lt;&gt;".",up_Irr!AN30=".",up_Irr!BM30="."),up_dir!P30/((1/1000)*(up_Irr!O30)),IF(AND(up_Irr!O30=".",up_Irr!AN30=".",up_Irr!BM30="."),up_dir!P30*1000)))))))),".")</f>
        <v>6.5773651144152131E-4</v>
      </c>
      <c r="Q30" s="70">
        <f>IFERROR(IF(AND(up_Irr!P30&lt;&gt;".",up_Irr!AO30&lt;&gt;".",up_Irr!BN30&lt;&gt;"."),up_dir!Q30/((1/1000)*(up_Irr!P30+up_Irr!AO30+up_Irr!BN30)),IF(AND(up_Irr!P30&lt;&gt;".",up_Irr!AO30&lt;&gt;".",up_Irr!BN30="."),up_dir!Q30/((1/1000)*(up_Irr!P30+up_Irr!AO30)),IF(AND(up_Irr!P30&lt;&gt;".",up_Irr!AO30=".",up_Irr!BN30&lt;&gt;"."),up_dir!Q30/((1/1000)*(up_Irr!P30+up_Irr!BN30)),IF(AND(up_Irr!P30=".",up_Irr!AO30&lt;&gt;".",up_Irr!BN30&lt;&gt;"."),up_dir!Q30/((1/1000)*(up_Irr!AO30+up_Irr!BN30)),IF(AND(up_Irr!P30=".",up_Irr!AO30=".",up_Irr!BN30&lt;&gt;"."),up_dir!Q30/((1/1000)*(up_Irr!BN30)),IF(AND(up_Irr!P30=".",up_Irr!AO30&lt;&gt;".",up_Irr!BN30="."),up_dir!Q30/((1/1000)*(up_Irr!AO30)),IF(AND(up_Irr!P30&lt;&gt;".",up_Irr!AO30=".",up_Irr!BN30="."),up_dir!Q30/((1/1000)*(up_Irr!P30)),IF(AND(up_Irr!P30=".",up_Irr!AO30=".",up_Irr!BN30="."),up_dir!Q30*1000)))))))),".")</f>
        <v>6.5773651144152131E-4</v>
      </c>
      <c r="R30" s="70">
        <f>IFERROR(IF(AND(up_Irr!Q30&lt;&gt;".",up_Irr!AP30&lt;&gt;".",up_Irr!BO30&lt;&gt;"."),up_dir!R30/((1/1000)*(up_Irr!Q30+up_Irr!AP30+up_Irr!BO30)),IF(AND(up_Irr!Q30&lt;&gt;".",up_Irr!AP30&lt;&gt;".",up_Irr!BO30="."),up_dir!R30/((1/1000)*(up_Irr!Q30+up_Irr!AP30)),IF(AND(up_Irr!Q30&lt;&gt;".",up_Irr!AP30=".",up_Irr!BO30&lt;&gt;"."),up_dir!R30/((1/1000)*(up_Irr!Q30+up_Irr!BO30)),IF(AND(up_Irr!Q30=".",up_Irr!AP30&lt;&gt;".",up_Irr!BO30&lt;&gt;"."),up_dir!R30/((1/1000)*(up_Irr!AP30+up_Irr!BO30)),IF(AND(up_Irr!Q30=".",up_Irr!AP30=".",up_Irr!BO30&lt;&gt;"."),up_dir!R30/((1/1000)*(up_Irr!BO30)),IF(AND(up_Irr!Q30=".",up_Irr!AP30&lt;&gt;".",up_Irr!BO30="."),up_dir!R30/((1/1000)*(up_Irr!AP30)),IF(AND(up_Irr!Q30&lt;&gt;".",up_Irr!AP30=".",up_Irr!BO30="."),up_dir!R30/((1/1000)*(up_Irr!Q30)),IF(AND(up_Irr!Q30=".",up_Irr!AP30=".",up_Irr!BO30="."),up_dir!R30*1000)))))))),".")</f>
        <v>6.5773651144152131E-4</v>
      </c>
      <c r="S30" s="70">
        <f>IFERROR(IF(AND(up_Irr!R30&lt;&gt;".",up_Irr!AQ30&lt;&gt;".",up_Irr!BP30&lt;&gt;"."),up_dir!S30/((1/1000)*(up_Irr!R30+up_Irr!AQ30+up_Irr!BP30)),IF(AND(up_Irr!R30&lt;&gt;".",up_Irr!AQ30&lt;&gt;".",up_Irr!BP30="."),up_dir!S30/((1/1000)*(up_Irr!R30+up_Irr!AQ30)),IF(AND(up_Irr!R30&lt;&gt;".",up_Irr!AQ30=".",up_Irr!BP30&lt;&gt;"."),up_dir!S30/((1/1000)*(up_Irr!R30+up_Irr!BP30)),IF(AND(up_Irr!R30=".",up_Irr!AQ30&lt;&gt;".",up_Irr!BP30&lt;&gt;"."),up_dir!S30/((1/1000)*(up_Irr!AQ30+up_Irr!BP30)),IF(AND(up_Irr!R30=".",up_Irr!AQ30=".",up_Irr!BP30&lt;&gt;"."),up_dir!S30/((1/1000)*(up_Irr!BP30)),IF(AND(up_Irr!R30=".",up_Irr!AQ30&lt;&gt;".",up_Irr!BP30="."),up_dir!S30/((1/1000)*(up_Irr!AQ30)),IF(AND(up_Irr!R30&lt;&gt;".",up_Irr!AQ30=".",up_Irr!BP30="."),up_dir!S30/((1/1000)*(up_Irr!R30)),IF(AND(up_Irr!R30=".",up_Irr!AQ30=".",up_Irr!BP30="."),up_dir!S30*1000)))))))),".")</f>
        <v>6.5773651144152131E-4</v>
      </c>
      <c r="T30" s="70">
        <f>IFERROR(IF(AND(up_Irr!S30&lt;&gt;".",up_Irr!AR30&lt;&gt;".",up_Irr!BQ30&lt;&gt;"."),up_dir!T30/((1/1000)*(up_Irr!S30+up_Irr!AR30+up_Irr!BQ30)),IF(AND(up_Irr!S30&lt;&gt;".",up_Irr!AR30&lt;&gt;".",up_Irr!BQ30="."),up_dir!T30/((1/1000)*(up_Irr!S30+up_Irr!AR30)),IF(AND(up_Irr!S30&lt;&gt;".",up_Irr!AR30=".",up_Irr!BQ30&lt;&gt;"."),up_dir!T30/((1/1000)*(up_Irr!S30+up_Irr!BQ30)),IF(AND(up_Irr!S30=".",up_Irr!AR30&lt;&gt;".",up_Irr!BQ30&lt;&gt;"."),up_dir!T30/((1/1000)*(up_Irr!AR30+up_Irr!BQ30)),IF(AND(up_Irr!S30=".",up_Irr!AR30=".",up_Irr!BQ30&lt;&gt;"."),up_dir!T30/((1/1000)*(up_Irr!BQ30)),IF(AND(up_Irr!S30=".",up_Irr!AR30&lt;&gt;".",up_Irr!BQ30="."),up_dir!T30/((1/1000)*(up_Irr!AR30)),IF(AND(up_Irr!S30&lt;&gt;".",up_Irr!AR30=".",up_Irr!BQ30="."),up_dir!T30/((1/1000)*(up_Irr!S30)),IF(AND(up_Irr!S30=".",up_Irr!AR30=".",up_Irr!BQ30="."),up_dir!T30*1000)))))))),".")</f>
        <v>6.5773651144152131E-4</v>
      </c>
      <c r="U30" s="70">
        <f>IFERROR(IF(AND(up_Irr!T30&lt;&gt;".",up_Irr!AS30&lt;&gt;".",up_Irr!BR30&lt;&gt;"."),up_dir!U30/((1/1000)*(up_Irr!T30+up_Irr!AS30+up_Irr!BR30)),IF(AND(up_Irr!T30&lt;&gt;".",up_Irr!AS30&lt;&gt;".",up_Irr!BR30="."),up_dir!U30/((1/1000)*(up_Irr!T30+up_Irr!AS30)),IF(AND(up_Irr!T30&lt;&gt;".",up_Irr!AS30=".",up_Irr!BR30&lt;&gt;"."),up_dir!U30/((1/1000)*(up_Irr!T30+up_Irr!BR30)),IF(AND(up_Irr!T30=".",up_Irr!AS30&lt;&gt;".",up_Irr!BR30&lt;&gt;"."),up_dir!U30/((1/1000)*(up_Irr!AS30+up_Irr!BR30)),IF(AND(up_Irr!T30=".",up_Irr!AS30=".",up_Irr!BR30&lt;&gt;"."),up_dir!U30/((1/1000)*(up_Irr!BR30)),IF(AND(up_Irr!T30=".",up_Irr!AS30&lt;&gt;".",up_Irr!BR30="."),up_dir!U30/((1/1000)*(up_Irr!AS30)),IF(AND(up_Irr!T30&lt;&gt;".",up_Irr!AS30=".",up_Irr!BR30="."),up_dir!U30/((1/1000)*(up_Irr!T30)),IF(AND(up_Irr!T30=".",up_Irr!AS30=".",up_Irr!BR30="."),up_dir!U30*1000)))))))),".")</f>
        <v>6.5773651144152131E-4</v>
      </c>
      <c r="V30" s="70">
        <f>IFERROR(IF(AND(up_Irr!U30&lt;&gt;".",up_Irr!AT30&lt;&gt;".",up_Irr!BS30&lt;&gt;"."),up_dir!V30/((1/1000)*(up_Irr!U30+up_Irr!AT30+up_Irr!BS30)),IF(AND(up_Irr!U30&lt;&gt;".",up_Irr!AT30&lt;&gt;".",up_Irr!BS30="."),up_dir!V30/((1/1000)*(up_Irr!U30+up_Irr!AT30)),IF(AND(up_Irr!U30&lt;&gt;".",up_Irr!AT30=".",up_Irr!BS30&lt;&gt;"."),up_dir!V30/((1/1000)*(up_Irr!U30+up_Irr!BS30)),IF(AND(up_Irr!U30=".",up_Irr!AT30&lt;&gt;".",up_Irr!BS30&lt;&gt;"."),up_dir!V30/((1/1000)*(up_Irr!AT30+up_Irr!BS30)),IF(AND(up_Irr!U30=".",up_Irr!AT30=".",up_Irr!BS30&lt;&gt;"."),up_dir!V30/((1/1000)*(up_Irr!BS30)),IF(AND(up_Irr!U30=".",up_Irr!AT30&lt;&gt;".",up_Irr!BS30="."),up_dir!V30/((1/1000)*(up_Irr!AT30)),IF(AND(up_Irr!U30&lt;&gt;".",up_Irr!AT30=".",up_Irr!BS30="."),up_dir!V30/((1/1000)*(up_Irr!U30)),IF(AND(up_Irr!U30=".",up_Irr!AT30=".",up_Irr!BS30="."),up_dir!V30*1000)))))))),".")</f>
        <v>6.5773651144152131E-4</v>
      </c>
      <c r="W30" s="70">
        <f>IFERROR(IF(AND(up_Irr!V30&lt;&gt;".",up_Irr!AU30&lt;&gt;".",up_Irr!BT30&lt;&gt;"."),up_dir!W30/((1/1000)*(up_Irr!V30+up_Irr!AU30+up_Irr!BT30)),IF(AND(up_Irr!V30&lt;&gt;".",up_Irr!AU30&lt;&gt;".",up_Irr!BT30="."),up_dir!W30/((1/1000)*(up_Irr!V30+up_Irr!AU30)),IF(AND(up_Irr!V30&lt;&gt;".",up_Irr!AU30=".",up_Irr!BT30&lt;&gt;"."),up_dir!W30/((1/1000)*(up_Irr!V30+up_Irr!BT30)),IF(AND(up_Irr!V30=".",up_Irr!AU30&lt;&gt;".",up_Irr!BT30&lt;&gt;"."),up_dir!W30/((1/1000)*(up_Irr!AU30+up_Irr!BT30)),IF(AND(up_Irr!V30=".",up_Irr!AU30=".",up_Irr!BT30&lt;&gt;"."),up_dir!W30/((1/1000)*(up_Irr!BT30)),IF(AND(up_Irr!V30=".",up_Irr!AU30&lt;&gt;".",up_Irr!BT30="."),up_dir!W30/((1/1000)*(up_Irr!AU30)),IF(AND(up_Irr!V30&lt;&gt;".",up_Irr!AU30=".",up_Irr!BT30="."),up_dir!W30/((1/1000)*(up_Irr!V30)),IF(AND(up_Irr!V30=".",up_Irr!AU30=".",up_Irr!BT30="."),up_dir!W30*1000)))))))),".")</f>
        <v>6.5773651144152131E-4</v>
      </c>
      <c r="X30" s="70">
        <f>IFERROR(IF(AND(up_Irr!W30&lt;&gt;".",up_Irr!AV30&lt;&gt;".",up_Irr!BU30&lt;&gt;"."),up_dir!X30/((1/1000)*(up_Irr!W30+up_Irr!AV30+up_Irr!BU30)),IF(AND(up_Irr!W30&lt;&gt;".",up_Irr!AV30&lt;&gt;".",up_Irr!BU30="."),up_dir!X30/((1/1000)*(up_Irr!W30+up_Irr!AV30)),IF(AND(up_Irr!W30&lt;&gt;".",up_Irr!AV30=".",up_Irr!BU30&lt;&gt;"."),up_dir!X30/((1/1000)*(up_Irr!W30+up_Irr!BU30)),IF(AND(up_Irr!W30=".",up_Irr!AV30&lt;&gt;".",up_Irr!BU30&lt;&gt;"."),up_dir!X30/((1/1000)*(up_Irr!AV30+up_Irr!BU30)),IF(AND(up_Irr!W30=".",up_Irr!AV30=".",up_Irr!BU30&lt;&gt;"."),up_dir!X30/((1/1000)*(up_Irr!BU30)),IF(AND(up_Irr!W30=".",up_Irr!AV30&lt;&gt;".",up_Irr!BU30="."),up_dir!X30/((1/1000)*(up_Irr!AV30)),IF(AND(up_Irr!W30&lt;&gt;".",up_Irr!AV30=".",up_Irr!BU30="."),up_dir!X30/((1/1000)*(up_Irr!W30)),IF(AND(up_Irr!W30=".",up_Irr!AV30=".",up_Irr!BU30="."),up_dir!X30*1000)))))))),".")</f>
        <v>6.5773651144152131E-4</v>
      </c>
      <c r="Y30" s="70">
        <f>IFERROR(IF(AND(up_Irr!X30&lt;&gt;".",up_Irr!AW30&lt;&gt;".",up_Irr!BV30&lt;&gt;"."),up_dir!Y30/((1/1000)*(up_Irr!X30+up_Irr!AW30+up_Irr!BV30)),IF(AND(up_Irr!X30&lt;&gt;".",up_Irr!AW30&lt;&gt;".",up_Irr!BV30="."),up_dir!Y30/((1/1000)*(up_Irr!X30+up_Irr!AW30)),IF(AND(up_Irr!X30&lt;&gt;".",up_Irr!AW30=".",up_Irr!BV30&lt;&gt;"."),up_dir!Y30/((1/1000)*(up_Irr!X30+up_Irr!BV30)),IF(AND(up_Irr!X30=".",up_Irr!AW30&lt;&gt;".",up_Irr!BV30&lt;&gt;"."),up_dir!Y30/((1/1000)*(up_Irr!AW30+up_Irr!BV30)),IF(AND(up_Irr!X30=".",up_Irr!AW30=".",up_Irr!BV30&lt;&gt;"."),up_dir!Y30/((1/1000)*(up_Irr!BV30)),IF(AND(up_Irr!X30=".",up_Irr!AW30&lt;&gt;".",up_Irr!BV30="."),up_dir!Y30/((1/1000)*(up_Irr!AW30)),IF(AND(up_Irr!X30&lt;&gt;".",up_Irr!AW30=".",up_Irr!BV30="."),up_dir!Y30/((1/1000)*(up_Irr!X30)),IF(AND(up_Irr!X30=".",up_Irr!AW30=".",up_Irr!BV30="."),up_dir!Y30*1000)))))))),".")</f>
        <v>6.5773651144152131E-4</v>
      </c>
      <c r="Z30" s="70">
        <f>IFERROR(IF(AND(up_Irr!Y30&lt;&gt;".",up_Irr!AX30&lt;&gt;".",up_Irr!BW30&lt;&gt;"."),up_dir!Z30/((1/1000)*(up_Irr!Y30+up_Irr!AX30+up_Irr!BW30)),IF(AND(up_Irr!Y30&lt;&gt;".",up_Irr!AX30&lt;&gt;".",up_Irr!BW30="."),up_dir!Z30/((1/1000)*(up_Irr!Y30+up_Irr!AX30)),IF(AND(up_Irr!Y30&lt;&gt;".",up_Irr!AX30=".",up_Irr!BW30&lt;&gt;"."),up_dir!Z30/((1/1000)*(up_Irr!Y30+up_Irr!BW30)),IF(AND(up_Irr!Y30=".",up_Irr!AX30&lt;&gt;".",up_Irr!BW30&lt;&gt;"."),up_dir!Z30/((1/1000)*(up_Irr!AX30+up_Irr!BW30)),IF(AND(up_Irr!Y30=".",up_Irr!AX30=".",up_Irr!BW30&lt;&gt;"."),up_dir!Z30/((1/1000)*(up_Irr!BW30)),IF(AND(up_Irr!Y30=".",up_Irr!AX30&lt;&gt;".",up_Irr!BW30="."),up_dir!Z30/((1/1000)*(up_Irr!AX30)),IF(AND(up_Irr!Y30&lt;&gt;".",up_Irr!AX30=".",up_Irr!BW30="."),up_dir!Z30/((1/1000)*(up_Irr!Y30)),IF(AND(up_Irr!Y30=".",up_Irr!AX30=".",up_Irr!BW30="."),up_dir!Z30*1000)))))))),".")</f>
        <v>6.5773651144152131E-4</v>
      </c>
      <c r="AA30" s="70">
        <f>IFERROR(IF(AND(up_Irr!Z30&lt;&gt;".",up_Irr!AY30&lt;&gt;".",up_Irr!BX30&lt;&gt;"."),up_dir!AA30/((1/1000)*(up_Irr!Z30+up_Irr!AY30+up_Irr!BX30)),IF(AND(up_Irr!Z30&lt;&gt;".",up_Irr!AY30&lt;&gt;".",up_Irr!BX30="."),up_dir!AA30/((1/1000)*(up_Irr!Z30+up_Irr!AY30)),IF(AND(up_Irr!Z30&lt;&gt;".",up_Irr!AY30=".",up_Irr!BX30&lt;&gt;"."),up_dir!AA30/((1/1000)*(up_Irr!Z30+up_Irr!BX30)),IF(AND(up_Irr!Z30=".",up_Irr!AY30&lt;&gt;".",up_Irr!BX30&lt;&gt;"."),up_dir!AA30/((1/1000)*(up_Irr!AY30+up_Irr!BX30)),IF(AND(up_Irr!Z30=".",up_Irr!AY30=".",up_Irr!BX30&lt;&gt;"."),up_dir!AA30/((1/1000)*(up_Irr!BX30)),IF(AND(up_Irr!Z30=".",up_Irr!AY30&lt;&gt;".",up_Irr!BX30="."),up_dir!AA30/((1/1000)*(up_Irr!AY30)),IF(AND(up_Irr!Z30&lt;&gt;".",up_Irr!AY30=".",up_Irr!BX30="."),up_dir!AA30/((1/1000)*(up_Irr!Z30)),IF(AND(up_Irr!Z30=".",up_Irr!AY30=".",up_Irr!BX30="."),up_dir!AA30*1000)))))))),".")</f>
        <v>6.5773651144152131E-4</v>
      </c>
      <c r="AB30" s="70">
        <f>IFERROR(IF(AND(up_Irr!AA30&lt;&gt;".",up_Irr!AZ30&lt;&gt;".",up_Irr!BY30&lt;&gt;"."),up_dir!AB30/((1/1000)*(up_Irr!AA30+up_Irr!AZ30+up_Irr!BY30)),IF(AND(up_Irr!AA30&lt;&gt;".",up_Irr!AZ30&lt;&gt;".",up_Irr!BY30="."),up_dir!AB30/((1/1000)*(up_Irr!AA30+up_Irr!AZ30)),IF(AND(up_Irr!AA30&lt;&gt;".",up_Irr!AZ30=".",up_Irr!BY30&lt;&gt;"."),up_dir!AB30/((1/1000)*(up_Irr!AA30+up_Irr!BY30)),IF(AND(up_Irr!AA30=".",up_Irr!AZ30&lt;&gt;".",up_Irr!BY30&lt;&gt;"."),up_dir!AB30/((1/1000)*(up_Irr!AZ30+up_Irr!BY30)),IF(AND(up_Irr!AA30=".",up_Irr!AZ30=".",up_Irr!BY30&lt;&gt;"."),up_dir!AB30/((1/1000)*(up_Irr!BY30)),IF(AND(up_Irr!AA30=".",up_Irr!AZ30&lt;&gt;".",up_Irr!BY30="."),up_dir!AB30/((1/1000)*(up_Irr!AZ30)),IF(AND(up_Irr!AA30&lt;&gt;".",up_Irr!AZ30=".",up_Irr!BY30="."),up_dir!AB30/((1/1000)*(up_Irr!AA30)),IF(AND(up_Irr!AA30=".",up_Irr!AZ30=".",up_Irr!BY30="."),up_dir!AB30*1000)))))))),".")</f>
        <v>6.5773651144152131E-4</v>
      </c>
      <c r="AC30" s="87">
        <f t="shared" si="1"/>
        <v>30407.313038114935</v>
      </c>
      <c r="AD30" s="87">
        <f>IFERROR(s_C*s_IFAP_res_adj*s_CF_apple*0.001*(up_Irr!C30+up_Irr!AB30+up_Irr!BA30),".")</f>
        <v>7601.8282595287337</v>
      </c>
      <c r="AE30" s="87">
        <f>IFERROR(s_C*s_IFAS_res_adj*s_CF_asparagus*0.001*(up_Irr!D30+up_Irr!AC30+up_Irr!BB30),".")</f>
        <v>7601.8282595287337</v>
      </c>
      <c r="AF30" s="87">
        <f>IFERROR(s_C*s_IFBT_res_adj*s_CF_beet*0.001*(up_Irr!E30+up_Irr!AD30+up_Irr!BC30),".")</f>
        <v>7601.8282595287337</v>
      </c>
      <c r="AG30" s="87">
        <f>IFERROR(s_C*s_IFBE_res_adj*s_CF_berries*0.001*(up_Irr!F30+up_Irr!AE30+up_Irr!BD30),".")</f>
        <v>7601.8282595287337</v>
      </c>
      <c r="AH30" s="87">
        <f>IFERROR(s_C*s_IFBR_res_adj*s_CF_broccoli*0.001*(up_Irr!G30+up_Irr!AF30+up_Irr!BE30),".")</f>
        <v>7601.8282595287337</v>
      </c>
      <c r="AI30" s="87">
        <f>IFERROR(s_C*s_IFCB_res_adj*s_CF_cabbage*0.001*(up_Irr!H30+up_Irr!AG30+up_Irr!BF30),".")</f>
        <v>7601.8282595287337</v>
      </c>
      <c r="AJ30" s="87">
        <f>IFERROR(s_C*s_IFCR_res_adj*s_CF_carrot*0.001*(up_Irr!I30+up_Irr!AH30+up_Irr!BG30),".")</f>
        <v>7601.8282595287337</v>
      </c>
      <c r="AK30" s="87">
        <f>IFERROR(s_C*s_IFCI_res_adj*s_CF_citrus*0.001*(up_Irr!J30+up_Irr!AI30+up_Irr!BH30),".")</f>
        <v>7601.8282595287337</v>
      </c>
      <c r="AL30" s="87">
        <f>IFERROR(s_C*s_IFCO_res_adj*s_CF_corn*0.001*(up_Irr!K30+up_Irr!AJ30+up_Irr!BI30),".")</f>
        <v>7601.8282595287337</v>
      </c>
      <c r="AM30" s="87">
        <f>IFERROR(s_C*s_IFCU_res_adj*s_CF_cucumber*0.001*(up_Irr!L30+up_Irr!AK30+up_Irr!BJ30),".")</f>
        <v>7601.8282595287337</v>
      </c>
      <c r="AN30" s="87">
        <f>IFERROR(s_C*s_IFLE_res_adj*s_CF_lettuce*0.001*(up_Irr!M30+up_Irr!AL30+up_Irr!BK30),".")</f>
        <v>7601.8282595287337</v>
      </c>
      <c r="AO30" s="87">
        <f>IFERROR(s_C*s_IFLI_res_adj*s_CF_lima_bean*0.001*(up_Irr!N30+up_Irr!AM30+up_Irr!BL30),".")</f>
        <v>7601.8282595287337</v>
      </c>
      <c r="AP30" s="87">
        <f>IFERROR(s_C*s_IFOK_res_adj*s_CF_okra*0.001*(up_Irr!O30+up_Irr!AN30+up_Irr!BM30),".")</f>
        <v>7601.8282595287337</v>
      </c>
      <c r="AQ30" s="87">
        <f>IFERROR(s_C*s_IFON_res_adj*s_CF_onion*0.001*(up_Irr!P30+up_Irr!AO30+up_Irr!BN30),".")</f>
        <v>7601.8282595287337</v>
      </c>
      <c r="AR30" s="87">
        <f>IFERROR(s_C*s_IFPC_res_adj*s_CF_peach*0.001*(up_Irr!Q30+up_Irr!AP30+up_Irr!BO30),".")</f>
        <v>7601.8282595287337</v>
      </c>
      <c r="AS30" s="87">
        <f>IFERROR(s_C*s_IFPR_res_adj*s_CF_pear*0.001*(up_Irr!R30+up_Irr!AQ30+up_Irr!BP30),".")</f>
        <v>7601.8282595287337</v>
      </c>
      <c r="AT30" s="87">
        <f>IFERROR(s_C*s_IFPE_res_adj*s_CF_peas*0.001*(up_Irr!S30+up_Irr!AR30+up_Irr!BQ30),".")</f>
        <v>7601.8282595287337</v>
      </c>
      <c r="AU30" s="87">
        <f>IFERROR(s_C*s_IFPP_res_adj*s_CF_peppers*0.001*(up_Irr!T30+up_Irr!AS30+up_Irr!BR30),".")</f>
        <v>7601.8282595287337</v>
      </c>
      <c r="AV30" s="87">
        <f>IFERROR(s_C*s_IFPT_res_adj*s_CF_potato*0.001*(up_Irr!U30+up_Irr!AT30+up_Irr!BS30),".")</f>
        <v>7601.8282595287337</v>
      </c>
      <c r="AW30" s="87">
        <f>IFERROR(s_C*s_IFPU_res_adj*s_CF_pumpkin*0.001*(up_Irr!V30+up_Irr!AU30+up_Irr!BT30),".")</f>
        <v>7601.8282595287337</v>
      </c>
      <c r="AX30" s="87">
        <f>IFERROR(s_C*s_IFSN_res_adj*s_CF_snap_bean*0.001*(up_Irr!W30+up_Irr!AV30+up_Irr!BU30),".")</f>
        <v>7601.8282595287337</v>
      </c>
      <c r="AY30" s="87">
        <f>IFERROR(s_C*s_IFST_res_adj*s_CF_strawberry*0.001*(up_Irr!X30+up_Irr!AW30+up_Irr!BV30),".")</f>
        <v>7601.8282595287337</v>
      </c>
      <c r="AZ30" s="87">
        <f>IFERROR(s_C*s_IFTO_res_adj*s_CF_tomato*0.001*(up_Irr!Y30+up_Irr!AX30+up_Irr!BW30),".")</f>
        <v>7601.8282595287337</v>
      </c>
      <c r="BA30" s="87">
        <f>IFERROR(s_C*s_IFRI_res_adj*s_CF_rice*0.001*(up_Irr!Z30+up_Irr!AY30+up_Irr!BX30),".")</f>
        <v>7601.8282595287337</v>
      </c>
      <c r="BB30" s="87">
        <f>IFERROR(s_C*s_IFCG_res_adj*s_CF_cereal*0.001*(up_Irr!AA30+up_Irr!AZ30+up_Irr!BY30),".")</f>
        <v>7601.8282595287337</v>
      </c>
      <c r="BC30" s="70">
        <f t="shared" si="2"/>
        <v>1.6443412786038033E-4</v>
      </c>
      <c r="BD30" s="70">
        <f>IFERROR(IF(AND(up_Irr!C30&lt;&gt;".",up_Irr!AB30&lt;&gt;".",up_Irr!BA30&lt;&gt;"."),up_dir!AD30/((1/1000)*(up_Irr!C30+up_Irr!AB30+up_Irr!BA30)),IF(AND(up_Irr!C30&lt;&gt;".",up_Irr!AB30&lt;&gt;".",up_Irr!BA30="."),up_dir!AD30/((1/1000)*(up_Irr!C30+up_Irr!AB30)),IF(AND(up_Irr!C30&lt;&gt;".",up_Irr!AB30=".",up_Irr!BA30&lt;&gt;"."),up_dir!AD30/((1/1000)*(up_Irr!C30+up_Irr!BA30)),IF(AND(up_Irr!C30=".",up_Irr!AB30&lt;&gt;".",up_Irr!BA30&lt;&gt;"."),up_dir!AD30/((1/1000)*(up_Irr!AB30+up_Irr!BA30)),IF(AND(up_Irr!C30=".",up_Irr!AB30=".",up_Irr!BA30&lt;&gt;"."),up_dir!AD30/((1/1000)*(up_Irr!BA30)),IF(AND(up_Irr!C30=".",up_Irr!AB30&lt;&gt;".",up_Irr!BA30="."),up_dir!AD30/((1/1000)*(up_Irr!AB30)),IF(AND(up_Irr!C30&lt;&gt;".",up_Irr!AB30=".",up_Irr!BA30="."),up_dir!AD30/((1/1000)*(up_Irr!C30)),IF(AND(up_Irr!C30=".",up_Irr!AB30=".",up_Irr!BA30="."),up_dir!AD30*1000)))))))),".")</f>
        <v>6.5773651144152131E-4</v>
      </c>
      <c r="BE30" s="70">
        <f>IFERROR(IF(AND(up_Irr!D30&lt;&gt;".",up_Irr!AC30&lt;&gt;".",up_Irr!BB30&lt;&gt;"."),up_dir!AE30/((1/1000)*(up_Irr!D30+up_Irr!AC30+up_Irr!BB30)),IF(AND(up_Irr!D30&lt;&gt;".",up_Irr!AC30&lt;&gt;".",up_Irr!BB30="."),up_dir!AE30/((1/1000)*(up_Irr!D30+up_Irr!AC30)),IF(AND(up_Irr!D30&lt;&gt;".",up_Irr!AC30=".",up_Irr!BB30&lt;&gt;"."),up_dir!AE30/((1/1000)*(up_Irr!D30+up_Irr!BB30)),IF(AND(up_Irr!D30=".",up_Irr!AC30&lt;&gt;".",up_Irr!BB30&lt;&gt;"."),up_dir!AE30/((1/1000)*(up_Irr!AC30+up_Irr!BB30)),IF(AND(up_Irr!D30=".",up_Irr!AC30=".",up_Irr!BB30&lt;&gt;"."),up_dir!AE30/((1/1000)*(up_Irr!BB30)),IF(AND(up_Irr!D30=".",up_Irr!AC30&lt;&gt;".",up_Irr!BB30="."),up_dir!AE30/((1/1000)*(up_Irr!AC30)),IF(AND(up_Irr!D30&lt;&gt;".",up_Irr!AC30=".",up_Irr!BB30="."),up_dir!AE30/((1/1000)*(up_Irr!D30)),IF(AND(up_Irr!D30=".",up_Irr!AC30=".",up_Irr!BB30="."),up_dir!AE30*1000)))))))),".")</f>
        <v>6.5773651144152131E-4</v>
      </c>
      <c r="BF30" s="70">
        <f>IFERROR(IF(AND(up_Irr!E30&lt;&gt;".",up_Irr!AD30&lt;&gt;".",up_Irr!BC30&lt;&gt;"."),up_dir!AF30/((1/1000)*(up_Irr!E30+up_Irr!AD30+up_Irr!BC30)),IF(AND(up_Irr!E30&lt;&gt;".",up_Irr!AD30&lt;&gt;".",up_Irr!BC30="."),up_dir!AF30/((1/1000)*(up_Irr!E30+up_Irr!AD30)),IF(AND(up_Irr!E30&lt;&gt;".",up_Irr!AD30=".",up_Irr!BC30&lt;&gt;"."),up_dir!AF30/((1/1000)*(up_Irr!E30+up_Irr!BC30)),IF(AND(up_Irr!E30=".",up_Irr!AD30&lt;&gt;".",up_Irr!BC30&lt;&gt;"."),up_dir!AF30/((1/1000)*(up_Irr!AD30+up_Irr!BC30)),IF(AND(up_Irr!E30=".",up_Irr!AD30=".",up_Irr!BC30&lt;&gt;"."),up_dir!AF30/((1/1000)*(up_Irr!BC30)),IF(AND(up_Irr!E30=".",up_Irr!AD30&lt;&gt;".",up_Irr!BC30="."),up_dir!AF30/((1/1000)*(up_Irr!AD30)),IF(AND(up_Irr!E30&lt;&gt;".",up_Irr!AD30=".",up_Irr!BC30="."),up_dir!AF30/((1/1000)*(up_Irr!E30)),IF(AND(up_Irr!E30=".",up_Irr!AD30=".",up_Irr!BC30="."),up_dir!AF30*1000)))))))),".")</f>
        <v>6.5773651144152131E-4</v>
      </c>
      <c r="BG30" s="70">
        <f>IFERROR(IF(AND(up_Irr!F30&lt;&gt;".",up_Irr!AE30&lt;&gt;".",up_Irr!BD30&lt;&gt;"."),up_dir!AG30/((1/1000)*(up_Irr!F30+up_Irr!AE30+up_Irr!BD30)),IF(AND(up_Irr!F30&lt;&gt;".",up_Irr!AE30&lt;&gt;".",up_Irr!BD30="."),up_dir!AG30/((1/1000)*(up_Irr!F30+up_Irr!AE30)),IF(AND(up_Irr!F30&lt;&gt;".",up_Irr!AE30=".",up_Irr!BD30&lt;&gt;"."),up_dir!AG30/((1/1000)*(up_Irr!F30+up_Irr!BD30)),IF(AND(up_Irr!F30=".",up_Irr!AE30&lt;&gt;".",up_Irr!BD30&lt;&gt;"."),up_dir!AG30/((1/1000)*(up_Irr!AE30+up_Irr!BD30)),IF(AND(up_Irr!F30=".",up_Irr!AE30=".",up_Irr!BD30&lt;&gt;"."),up_dir!AG30/((1/1000)*(up_Irr!BD30)),IF(AND(up_Irr!F30=".",up_Irr!AE30&lt;&gt;".",up_Irr!BD30="."),up_dir!AG30/((1/1000)*(up_Irr!AE30)),IF(AND(up_Irr!F30&lt;&gt;".",up_Irr!AE30=".",up_Irr!BD30="."),up_dir!AG30/((1/1000)*(up_Irr!F30)),IF(AND(up_Irr!F30=".",up_Irr!AE30=".",up_Irr!BD30="."),up_dir!AG30*1000)))))))),".")</f>
        <v>6.5773651144152131E-4</v>
      </c>
      <c r="BH30" s="70">
        <f>IFERROR(IF(AND(up_Irr!G30&lt;&gt;".",up_Irr!AF30&lt;&gt;".",up_Irr!BE30&lt;&gt;"."),up_dir!AH30/((1/1000)*(up_Irr!G30+up_Irr!AF30+up_Irr!BE30)),IF(AND(up_Irr!G30&lt;&gt;".",up_Irr!AF30&lt;&gt;".",up_Irr!BE30="."),up_dir!AH30/((1/1000)*(up_Irr!G30+up_Irr!AF30)),IF(AND(up_Irr!G30&lt;&gt;".",up_Irr!AF30=".",up_Irr!BE30&lt;&gt;"."),up_dir!AH30/((1/1000)*(up_Irr!G30+up_Irr!BE30)),IF(AND(up_Irr!G30=".",up_Irr!AF30&lt;&gt;".",up_Irr!BE30&lt;&gt;"."),up_dir!AH30/((1/1000)*(up_Irr!AF30+up_Irr!BE30)),IF(AND(up_Irr!G30=".",up_Irr!AF30=".",up_Irr!BE30&lt;&gt;"."),up_dir!AH30/((1/1000)*(up_Irr!BE30)),IF(AND(up_Irr!G30=".",up_Irr!AF30&lt;&gt;".",up_Irr!BE30="."),up_dir!AH30/((1/1000)*(up_Irr!AF30)),IF(AND(up_Irr!G30&lt;&gt;".",up_Irr!AF30=".",up_Irr!BE30="."),up_dir!AH30/((1/1000)*(up_Irr!G30)),IF(AND(up_Irr!G30=".",up_Irr!AF30=".",up_Irr!BE30="."),up_dir!AH30*1000)))))))),".")</f>
        <v>6.5773651144152131E-4</v>
      </c>
      <c r="BI30" s="70">
        <f>IFERROR(IF(AND(up_Irr!H30&lt;&gt;".",up_Irr!AG30&lt;&gt;".",up_Irr!BF30&lt;&gt;"."),up_dir!AI30/((1/1000)*(up_Irr!H30+up_Irr!AG30+up_Irr!BF30)),IF(AND(up_Irr!H30&lt;&gt;".",up_Irr!AG30&lt;&gt;".",up_Irr!BF30="."),up_dir!AI30/((1/1000)*(up_Irr!H30+up_Irr!AG30)),IF(AND(up_Irr!H30&lt;&gt;".",up_Irr!AG30=".",up_Irr!BF30&lt;&gt;"."),up_dir!AI30/((1/1000)*(up_Irr!H30+up_Irr!BF30)),IF(AND(up_Irr!H30=".",up_Irr!AG30&lt;&gt;".",up_Irr!BF30&lt;&gt;"."),up_dir!AI30/((1/1000)*(up_Irr!AG30+up_Irr!BF30)),IF(AND(up_Irr!H30=".",up_Irr!AG30=".",up_Irr!BF30&lt;&gt;"."),up_dir!AI30/((1/1000)*(up_Irr!BF30)),IF(AND(up_Irr!H30=".",up_Irr!AG30&lt;&gt;".",up_Irr!BF30="."),up_dir!AI30/((1/1000)*(up_Irr!AG30)),IF(AND(up_Irr!H30&lt;&gt;".",up_Irr!AG30=".",up_Irr!BF30="."),up_dir!AI30/((1/1000)*(up_Irr!H30)),IF(AND(up_Irr!H30=".",up_Irr!AG30=".",up_Irr!BF30="."),up_dir!AI30*1000)))))))),".")</f>
        <v>6.5773651144152131E-4</v>
      </c>
      <c r="BJ30" s="70">
        <f>IFERROR(IF(AND(up_Irr!I30&lt;&gt;".",up_Irr!AH30&lt;&gt;".",up_Irr!BG30&lt;&gt;"."),up_dir!AJ30/((1/1000)*(up_Irr!I30+up_Irr!AH30+up_Irr!BG30)),IF(AND(up_Irr!I30&lt;&gt;".",up_Irr!AH30&lt;&gt;".",up_Irr!BG30="."),up_dir!AJ30/((1/1000)*(up_Irr!I30+up_Irr!AH30)),IF(AND(up_Irr!I30&lt;&gt;".",up_Irr!AH30=".",up_Irr!BG30&lt;&gt;"."),up_dir!AJ30/((1/1000)*(up_Irr!I30+up_Irr!BG30)),IF(AND(up_Irr!I30=".",up_Irr!AH30&lt;&gt;".",up_Irr!BG30&lt;&gt;"."),up_dir!AJ30/((1/1000)*(up_Irr!AH30+up_Irr!BG30)),IF(AND(up_Irr!I30=".",up_Irr!AH30=".",up_Irr!BG30&lt;&gt;"."),up_dir!AJ30/((1/1000)*(up_Irr!BG30)),IF(AND(up_Irr!I30=".",up_Irr!AH30&lt;&gt;".",up_Irr!BG30="."),up_dir!AJ30/((1/1000)*(up_Irr!AH30)),IF(AND(up_Irr!I30&lt;&gt;".",up_Irr!AH30=".",up_Irr!BG30="."),up_dir!AJ30/((1/1000)*(up_Irr!I30)),IF(AND(up_Irr!I30=".",up_Irr!AH30=".",up_Irr!BG30="."),up_dir!AJ30*1000)))))))),".")</f>
        <v>6.5773651144152131E-4</v>
      </c>
      <c r="BK30" s="70">
        <f>IFERROR(IF(AND(up_Irr!J30&lt;&gt;".",up_Irr!AI30&lt;&gt;".",up_Irr!BH30&lt;&gt;"."),up_dir!AK30/((1/1000)*(up_Irr!J30+up_Irr!AI30+up_Irr!BH30)),IF(AND(up_Irr!J30&lt;&gt;".",up_Irr!AI30&lt;&gt;".",up_Irr!BH30="."),up_dir!AK30/((1/1000)*(up_Irr!J30+up_Irr!AI30)),IF(AND(up_Irr!J30&lt;&gt;".",up_Irr!AI30=".",up_Irr!BH30&lt;&gt;"."),up_dir!AK30/((1/1000)*(up_Irr!J30+up_Irr!BH30)),IF(AND(up_Irr!J30=".",up_Irr!AI30&lt;&gt;".",up_Irr!BH30&lt;&gt;"."),up_dir!AK30/((1/1000)*(up_Irr!AI30+up_Irr!BH30)),IF(AND(up_Irr!J30=".",up_Irr!AI30=".",up_Irr!BH30&lt;&gt;"."),up_dir!AK30/((1/1000)*(up_Irr!BH30)),IF(AND(up_Irr!J30=".",up_Irr!AI30&lt;&gt;".",up_Irr!BH30="."),up_dir!AK30/((1/1000)*(up_Irr!AI30)),IF(AND(up_Irr!J30&lt;&gt;".",up_Irr!AI30=".",up_Irr!BH30="."),up_dir!AK30/((1/1000)*(up_Irr!J30)),IF(AND(up_Irr!J30=".",up_Irr!AI30=".",up_Irr!BH30="."),up_dir!AK30*1000)))))))),".")</f>
        <v>6.5773651144152131E-4</v>
      </c>
      <c r="BL30" s="70">
        <f>IFERROR(IF(AND(up_Irr!K30&lt;&gt;".",up_Irr!AJ30&lt;&gt;".",up_Irr!BI30&lt;&gt;"."),up_dir!AL30/((1/1000)*(up_Irr!K30+up_Irr!AJ30+up_Irr!BI30)),IF(AND(up_Irr!K30&lt;&gt;".",up_Irr!AJ30&lt;&gt;".",up_Irr!BI30="."),up_dir!AL30/((1/1000)*(up_Irr!K30+up_Irr!AJ30)),IF(AND(up_Irr!K30&lt;&gt;".",up_Irr!AJ30=".",up_Irr!BI30&lt;&gt;"."),up_dir!AL30/((1/1000)*(up_Irr!K30+up_Irr!BI30)),IF(AND(up_Irr!K30=".",up_Irr!AJ30&lt;&gt;".",up_Irr!BI30&lt;&gt;"."),up_dir!AL30/((1/1000)*(up_Irr!AJ30+up_Irr!BI30)),IF(AND(up_Irr!K30=".",up_Irr!AJ30=".",up_Irr!BI30&lt;&gt;"."),up_dir!AL30/((1/1000)*(up_Irr!BI30)),IF(AND(up_Irr!K30=".",up_Irr!AJ30&lt;&gt;".",up_Irr!BI30="."),up_dir!AL30/((1/1000)*(up_Irr!AJ30)),IF(AND(up_Irr!K30&lt;&gt;".",up_Irr!AJ30=".",up_Irr!BI30="."),up_dir!AL30/((1/1000)*(up_Irr!K30)),IF(AND(up_Irr!K30=".",up_Irr!AJ30=".",up_Irr!BI30="."),up_dir!AL30*1000)))))))),".")</f>
        <v>6.5773651144152131E-4</v>
      </c>
      <c r="BM30" s="70">
        <f>IFERROR(IF(AND(up_Irr!L30&lt;&gt;".",up_Irr!AK30&lt;&gt;".",up_Irr!BJ30&lt;&gt;"."),up_dir!AM30/((1/1000)*(up_Irr!L30+up_Irr!AK30+up_Irr!BJ30)),IF(AND(up_Irr!L30&lt;&gt;".",up_Irr!AK30&lt;&gt;".",up_Irr!BJ30="."),up_dir!AM30/((1/1000)*(up_Irr!L30+up_Irr!AK30)),IF(AND(up_Irr!L30&lt;&gt;".",up_Irr!AK30=".",up_Irr!BJ30&lt;&gt;"."),up_dir!AM30/((1/1000)*(up_Irr!L30+up_Irr!BJ30)),IF(AND(up_Irr!L30=".",up_Irr!AK30&lt;&gt;".",up_Irr!BJ30&lt;&gt;"."),up_dir!AM30/((1/1000)*(up_Irr!AK30+up_Irr!BJ30)),IF(AND(up_Irr!L30=".",up_Irr!AK30=".",up_Irr!BJ30&lt;&gt;"."),up_dir!AM30/((1/1000)*(up_Irr!BJ30)),IF(AND(up_Irr!L30=".",up_Irr!AK30&lt;&gt;".",up_Irr!BJ30="."),up_dir!AM30/((1/1000)*(up_Irr!AK30)),IF(AND(up_Irr!L30&lt;&gt;".",up_Irr!AK30=".",up_Irr!BJ30="."),up_dir!AM30/((1/1000)*(up_Irr!L30)),IF(AND(up_Irr!L30=".",up_Irr!AK30=".",up_Irr!BJ30="."),up_dir!AM30*1000)))))))),".")</f>
        <v>6.5773651144152131E-4</v>
      </c>
      <c r="BN30" s="70">
        <f>IFERROR(IF(AND(up_Irr!M30&lt;&gt;".",up_Irr!AL30&lt;&gt;".",up_Irr!BK30&lt;&gt;"."),up_dir!AN30/((1/1000)*(up_Irr!M30+up_Irr!AL30+up_Irr!BK30)),IF(AND(up_Irr!M30&lt;&gt;".",up_Irr!AL30&lt;&gt;".",up_Irr!BK30="."),up_dir!AN30/((1/1000)*(up_Irr!M30+up_Irr!AL30)),IF(AND(up_Irr!M30&lt;&gt;".",up_Irr!AL30=".",up_Irr!BK30&lt;&gt;"."),up_dir!AN30/((1/1000)*(up_Irr!M30+up_Irr!BK30)),IF(AND(up_Irr!M30=".",up_Irr!AL30&lt;&gt;".",up_Irr!BK30&lt;&gt;"."),up_dir!AN30/((1/1000)*(up_Irr!AL30+up_Irr!BK30)),IF(AND(up_Irr!M30=".",up_Irr!AL30=".",up_Irr!BK30&lt;&gt;"."),up_dir!AN30/((1/1000)*(up_Irr!BK30)),IF(AND(up_Irr!M30=".",up_Irr!AL30&lt;&gt;".",up_Irr!BK30="."),up_dir!AN30/((1/1000)*(up_Irr!AL30)),IF(AND(up_Irr!M30&lt;&gt;".",up_Irr!AL30=".",up_Irr!BK30="."),up_dir!AN30/((1/1000)*(up_Irr!M30)),IF(AND(up_Irr!M30=".",up_Irr!AL30=".",up_Irr!BK30="."),up_dir!AN30*1000)))))))),".")</f>
        <v>6.5773651144152131E-4</v>
      </c>
      <c r="BO30" s="70">
        <f>IFERROR(IF(AND(up_Irr!N30&lt;&gt;".",up_Irr!AM30&lt;&gt;".",up_Irr!BL30&lt;&gt;"."),up_dir!AO30/((1/1000)*(up_Irr!N30+up_Irr!AM30+up_Irr!BL30)),IF(AND(up_Irr!N30&lt;&gt;".",up_Irr!AM30&lt;&gt;".",up_Irr!BL30="."),up_dir!AO30/((1/1000)*(up_Irr!N30+up_Irr!AM30)),IF(AND(up_Irr!N30&lt;&gt;".",up_Irr!AM30=".",up_Irr!BL30&lt;&gt;"."),up_dir!AO30/((1/1000)*(up_Irr!N30+up_Irr!BL30)),IF(AND(up_Irr!N30=".",up_Irr!AM30&lt;&gt;".",up_Irr!BL30&lt;&gt;"."),up_dir!AO30/((1/1000)*(up_Irr!AM30+up_Irr!BL30)),IF(AND(up_Irr!N30=".",up_Irr!AM30=".",up_Irr!BL30&lt;&gt;"."),up_dir!AO30/((1/1000)*(up_Irr!BL30)),IF(AND(up_Irr!N30=".",up_Irr!AM30&lt;&gt;".",up_Irr!BL30="."),up_dir!AO30/((1/1000)*(up_Irr!AM30)),IF(AND(up_Irr!N30&lt;&gt;".",up_Irr!AM30=".",up_Irr!BL30="."),up_dir!AO30/((1/1000)*(up_Irr!N30)),IF(AND(up_Irr!N30=".",up_Irr!AM30=".",up_Irr!BL30="."),up_dir!AO30*1000)))))))),".")</f>
        <v>6.5773651144152131E-4</v>
      </c>
      <c r="BP30" s="70">
        <f>IFERROR(IF(AND(up_Irr!O30&lt;&gt;".",up_Irr!AN30&lt;&gt;".",up_Irr!BM30&lt;&gt;"."),up_dir!AP30/((1/1000)*(up_Irr!O30+up_Irr!AN30+up_Irr!BM30)),IF(AND(up_Irr!O30&lt;&gt;".",up_Irr!AN30&lt;&gt;".",up_Irr!BM30="."),up_dir!AP30/((1/1000)*(up_Irr!O30+up_Irr!AN30)),IF(AND(up_Irr!O30&lt;&gt;".",up_Irr!AN30=".",up_Irr!BM30&lt;&gt;"."),up_dir!AP30/((1/1000)*(up_Irr!O30+up_Irr!BM30)),IF(AND(up_Irr!O30=".",up_Irr!AN30&lt;&gt;".",up_Irr!BM30&lt;&gt;"."),up_dir!AP30/((1/1000)*(up_Irr!AN30+up_Irr!BM30)),IF(AND(up_Irr!O30=".",up_Irr!AN30=".",up_Irr!BM30&lt;&gt;"."),up_dir!AP30/((1/1000)*(up_Irr!BM30)),IF(AND(up_Irr!O30=".",up_Irr!AN30&lt;&gt;".",up_Irr!BM30="."),up_dir!AP30/((1/1000)*(up_Irr!AN30)),IF(AND(up_Irr!O30&lt;&gt;".",up_Irr!AN30=".",up_Irr!BM30="."),up_dir!AP30/((1/1000)*(up_Irr!O30)),IF(AND(up_Irr!O30=".",up_Irr!AN30=".",up_Irr!BM30="."),up_dir!AP30*1000)))))))),".")</f>
        <v>6.5773651144152131E-4</v>
      </c>
      <c r="BQ30" s="70">
        <f>IFERROR(IF(AND(up_Irr!P30&lt;&gt;".",up_Irr!AO30&lt;&gt;".",up_Irr!BN30&lt;&gt;"."),up_dir!AQ30/((1/1000)*(up_Irr!P30+up_Irr!AO30+up_Irr!BN30)),IF(AND(up_Irr!P30&lt;&gt;".",up_Irr!AO30&lt;&gt;".",up_Irr!BN30="."),up_dir!AQ30/((1/1000)*(up_Irr!P30+up_Irr!AO30)),IF(AND(up_Irr!P30&lt;&gt;".",up_Irr!AO30=".",up_Irr!BN30&lt;&gt;"."),up_dir!AQ30/((1/1000)*(up_Irr!P30+up_Irr!BN30)),IF(AND(up_Irr!P30=".",up_Irr!AO30&lt;&gt;".",up_Irr!BN30&lt;&gt;"."),up_dir!AQ30/((1/1000)*(up_Irr!AO30+up_Irr!BN30)),IF(AND(up_Irr!P30=".",up_Irr!AO30=".",up_Irr!BN30&lt;&gt;"."),up_dir!AQ30/((1/1000)*(up_Irr!BN30)),IF(AND(up_Irr!P30=".",up_Irr!AO30&lt;&gt;".",up_Irr!BN30="."),up_dir!AQ30/((1/1000)*(up_Irr!AO30)),IF(AND(up_Irr!P30&lt;&gt;".",up_Irr!AO30=".",up_Irr!BN30="."),up_dir!AQ30/((1/1000)*(up_Irr!P30)),IF(AND(up_Irr!P30=".",up_Irr!AO30=".",up_Irr!BN30="."),up_dir!AQ30*1000)))))))),".")</f>
        <v>6.5773651144152131E-4</v>
      </c>
      <c r="BR30" s="70">
        <f>IFERROR(IF(AND(up_Irr!Q30&lt;&gt;".",up_Irr!AP30&lt;&gt;".",up_Irr!BO30&lt;&gt;"."),up_dir!AR30/((1/1000)*(up_Irr!Q30+up_Irr!AP30+up_Irr!BO30)),IF(AND(up_Irr!Q30&lt;&gt;".",up_Irr!AP30&lt;&gt;".",up_Irr!BO30="."),up_dir!AR30/((1/1000)*(up_Irr!Q30+up_Irr!AP30)),IF(AND(up_Irr!Q30&lt;&gt;".",up_Irr!AP30=".",up_Irr!BO30&lt;&gt;"."),up_dir!AR30/((1/1000)*(up_Irr!Q30+up_Irr!BO30)),IF(AND(up_Irr!Q30=".",up_Irr!AP30&lt;&gt;".",up_Irr!BO30&lt;&gt;"."),up_dir!AR30/((1/1000)*(up_Irr!AP30+up_Irr!BO30)),IF(AND(up_Irr!Q30=".",up_Irr!AP30=".",up_Irr!BO30&lt;&gt;"."),up_dir!AR30/((1/1000)*(up_Irr!BO30)),IF(AND(up_Irr!Q30=".",up_Irr!AP30&lt;&gt;".",up_Irr!BO30="."),up_dir!AR30/((1/1000)*(up_Irr!AP30)),IF(AND(up_Irr!Q30&lt;&gt;".",up_Irr!AP30=".",up_Irr!BO30="."),up_dir!AR30/((1/1000)*(up_Irr!Q30)),IF(AND(up_Irr!Q30=".",up_Irr!AP30=".",up_Irr!BO30="."),up_dir!AR30*1000)))))))),".")</f>
        <v>6.5773651144152131E-4</v>
      </c>
      <c r="BS30" s="70">
        <f>IFERROR(IF(AND(up_Irr!R30&lt;&gt;".",up_Irr!AQ30&lt;&gt;".",up_Irr!BP30&lt;&gt;"."),up_dir!AS30/((1/1000)*(up_Irr!R30+up_Irr!AQ30+up_Irr!BP30)),IF(AND(up_Irr!R30&lt;&gt;".",up_Irr!AQ30&lt;&gt;".",up_Irr!BP30="."),up_dir!AS30/((1/1000)*(up_Irr!R30+up_Irr!AQ30)),IF(AND(up_Irr!R30&lt;&gt;".",up_Irr!AQ30=".",up_Irr!BP30&lt;&gt;"."),up_dir!AS30/((1/1000)*(up_Irr!R30+up_Irr!BP30)),IF(AND(up_Irr!R30=".",up_Irr!AQ30&lt;&gt;".",up_Irr!BP30&lt;&gt;"."),up_dir!AS30/((1/1000)*(up_Irr!AQ30+up_Irr!BP30)),IF(AND(up_Irr!R30=".",up_Irr!AQ30=".",up_Irr!BP30&lt;&gt;"."),up_dir!AS30/((1/1000)*(up_Irr!BP30)),IF(AND(up_Irr!R30=".",up_Irr!AQ30&lt;&gt;".",up_Irr!BP30="."),up_dir!AS30/((1/1000)*(up_Irr!AQ30)),IF(AND(up_Irr!R30&lt;&gt;".",up_Irr!AQ30=".",up_Irr!BP30="."),up_dir!AS30/((1/1000)*(up_Irr!R30)),IF(AND(up_Irr!R30=".",up_Irr!AQ30=".",up_Irr!BP30="."),up_dir!AS30*1000)))))))),".")</f>
        <v>6.5773651144152131E-4</v>
      </c>
      <c r="BT30" s="70">
        <f>IFERROR(IF(AND(up_Irr!S30&lt;&gt;".",up_Irr!AR30&lt;&gt;".",up_Irr!BQ30&lt;&gt;"."),up_dir!AT30/((1/1000)*(up_Irr!S30+up_Irr!AR30+up_Irr!BQ30)),IF(AND(up_Irr!S30&lt;&gt;".",up_Irr!AR30&lt;&gt;".",up_Irr!BQ30="."),up_dir!AT30/((1/1000)*(up_Irr!S30+up_Irr!AR30)),IF(AND(up_Irr!S30&lt;&gt;".",up_Irr!AR30=".",up_Irr!BQ30&lt;&gt;"."),up_dir!AT30/((1/1000)*(up_Irr!S30+up_Irr!BQ30)),IF(AND(up_Irr!S30=".",up_Irr!AR30&lt;&gt;".",up_Irr!BQ30&lt;&gt;"."),up_dir!AT30/((1/1000)*(up_Irr!AR30+up_Irr!BQ30)),IF(AND(up_Irr!S30=".",up_Irr!AR30=".",up_Irr!BQ30&lt;&gt;"."),up_dir!AT30/((1/1000)*(up_Irr!BQ30)),IF(AND(up_Irr!S30=".",up_Irr!AR30&lt;&gt;".",up_Irr!BQ30="."),up_dir!AT30/((1/1000)*(up_Irr!AR30)),IF(AND(up_Irr!S30&lt;&gt;".",up_Irr!AR30=".",up_Irr!BQ30="."),up_dir!AT30/((1/1000)*(up_Irr!S30)),IF(AND(up_Irr!S30=".",up_Irr!AR30=".",up_Irr!BQ30="."),up_dir!AT30*1000)))))))),".")</f>
        <v>6.5773651144152131E-4</v>
      </c>
      <c r="BU30" s="70">
        <f>IFERROR(IF(AND(up_Irr!T30&lt;&gt;".",up_Irr!AS30&lt;&gt;".",up_Irr!BR30&lt;&gt;"."),up_dir!AU30/((1/1000)*(up_Irr!T30+up_Irr!AS30+up_Irr!BR30)),IF(AND(up_Irr!T30&lt;&gt;".",up_Irr!AS30&lt;&gt;".",up_Irr!BR30="."),up_dir!AU30/((1/1000)*(up_Irr!T30+up_Irr!AS30)),IF(AND(up_Irr!T30&lt;&gt;".",up_Irr!AS30=".",up_Irr!BR30&lt;&gt;"."),up_dir!AU30/((1/1000)*(up_Irr!T30+up_Irr!BR30)),IF(AND(up_Irr!T30=".",up_Irr!AS30&lt;&gt;".",up_Irr!BR30&lt;&gt;"."),up_dir!AU30/((1/1000)*(up_Irr!AS30+up_Irr!BR30)),IF(AND(up_Irr!T30=".",up_Irr!AS30=".",up_Irr!BR30&lt;&gt;"."),up_dir!AU30/((1/1000)*(up_Irr!BR30)),IF(AND(up_Irr!T30=".",up_Irr!AS30&lt;&gt;".",up_Irr!BR30="."),up_dir!AU30/((1/1000)*(up_Irr!AS30)),IF(AND(up_Irr!T30&lt;&gt;".",up_Irr!AS30=".",up_Irr!BR30="."),up_dir!AU30/((1/1000)*(up_Irr!T30)),IF(AND(up_Irr!T30=".",up_Irr!AS30=".",up_Irr!BR30="."),up_dir!AU30*1000)))))))),".")</f>
        <v>6.5773651144152131E-4</v>
      </c>
      <c r="BV30" s="70">
        <f>IFERROR(IF(AND(up_Irr!U30&lt;&gt;".",up_Irr!AT30&lt;&gt;".",up_Irr!BS30&lt;&gt;"."),up_dir!AV30/((1/1000)*(up_Irr!U30+up_Irr!AT30+up_Irr!BS30)),IF(AND(up_Irr!U30&lt;&gt;".",up_Irr!AT30&lt;&gt;".",up_Irr!BS30="."),up_dir!AV30/((1/1000)*(up_Irr!U30+up_Irr!AT30)),IF(AND(up_Irr!U30&lt;&gt;".",up_Irr!AT30=".",up_Irr!BS30&lt;&gt;"."),up_dir!AV30/((1/1000)*(up_Irr!U30+up_Irr!BS30)),IF(AND(up_Irr!U30=".",up_Irr!AT30&lt;&gt;".",up_Irr!BS30&lt;&gt;"."),up_dir!AV30/((1/1000)*(up_Irr!AT30+up_Irr!BS30)),IF(AND(up_Irr!U30=".",up_Irr!AT30=".",up_Irr!BS30&lt;&gt;"."),up_dir!AV30/((1/1000)*(up_Irr!BS30)),IF(AND(up_Irr!U30=".",up_Irr!AT30&lt;&gt;".",up_Irr!BS30="."),up_dir!AV30/((1/1000)*(up_Irr!AT30)),IF(AND(up_Irr!U30&lt;&gt;".",up_Irr!AT30=".",up_Irr!BS30="."),up_dir!AV30/((1/1000)*(up_Irr!U30)),IF(AND(up_Irr!U30=".",up_Irr!AT30=".",up_Irr!BS30="."),up_dir!AV30*1000)))))))),".")</f>
        <v>6.5773651144152131E-4</v>
      </c>
      <c r="BW30" s="70">
        <f>IFERROR(IF(AND(up_Irr!V30&lt;&gt;".",up_Irr!AU30&lt;&gt;".",up_Irr!BT30&lt;&gt;"."),up_dir!AW30/((1/1000)*(up_Irr!V30+up_Irr!AU30+up_Irr!BT30)),IF(AND(up_Irr!V30&lt;&gt;".",up_Irr!AU30&lt;&gt;".",up_Irr!BT30="."),up_dir!AW30/((1/1000)*(up_Irr!V30+up_Irr!AU30)),IF(AND(up_Irr!V30&lt;&gt;".",up_Irr!AU30=".",up_Irr!BT30&lt;&gt;"."),up_dir!AW30/((1/1000)*(up_Irr!V30+up_Irr!BT30)),IF(AND(up_Irr!V30=".",up_Irr!AU30&lt;&gt;".",up_Irr!BT30&lt;&gt;"."),up_dir!AW30/((1/1000)*(up_Irr!AU30+up_Irr!BT30)),IF(AND(up_Irr!V30=".",up_Irr!AU30=".",up_Irr!BT30&lt;&gt;"."),up_dir!AW30/((1/1000)*(up_Irr!BT30)),IF(AND(up_Irr!V30=".",up_Irr!AU30&lt;&gt;".",up_Irr!BT30="."),up_dir!AW30/((1/1000)*(up_Irr!AU30)),IF(AND(up_Irr!V30&lt;&gt;".",up_Irr!AU30=".",up_Irr!BT30="."),up_dir!AW30/((1/1000)*(up_Irr!V30)),IF(AND(up_Irr!V30=".",up_Irr!AU30=".",up_Irr!BT30="."),up_dir!AW30*1000)))))))),".")</f>
        <v>6.5773651144152131E-4</v>
      </c>
      <c r="BX30" s="70">
        <f>IFERROR(IF(AND(up_Irr!W30&lt;&gt;".",up_Irr!AV30&lt;&gt;".",up_Irr!BU30&lt;&gt;"."),up_dir!AX30/((1/1000)*(up_Irr!W30+up_Irr!AV30+up_Irr!BU30)),IF(AND(up_Irr!W30&lt;&gt;".",up_Irr!AV30&lt;&gt;".",up_Irr!BU30="."),up_dir!AX30/((1/1000)*(up_Irr!W30+up_Irr!AV30)),IF(AND(up_Irr!W30&lt;&gt;".",up_Irr!AV30=".",up_Irr!BU30&lt;&gt;"."),up_dir!AX30/((1/1000)*(up_Irr!W30+up_Irr!BU30)),IF(AND(up_Irr!W30=".",up_Irr!AV30&lt;&gt;".",up_Irr!BU30&lt;&gt;"."),up_dir!AX30/((1/1000)*(up_Irr!AV30+up_Irr!BU30)),IF(AND(up_Irr!W30=".",up_Irr!AV30=".",up_Irr!BU30&lt;&gt;"."),up_dir!AX30/((1/1000)*(up_Irr!BU30)),IF(AND(up_Irr!W30=".",up_Irr!AV30&lt;&gt;".",up_Irr!BU30="."),up_dir!AX30/((1/1000)*(up_Irr!AV30)),IF(AND(up_Irr!W30&lt;&gt;".",up_Irr!AV30=".",up_Irr!BU30="."),up_dir!AX30/((1/1000)*(up_Irr!W30)),IF(AND(up_Irr!W30=".",up_Irr!AV30=".",up_Irr!BU30="."),up_dir!AX30*1000)))))))),".")</f>
        <v>6.5773651144152131E-4</v>
      </c>
      <c r="BY30" s="70">
        <f>IFERROR(IF(AND(up_Irr!X30&lt;&gt;".",up_Irr!AW30&lt;&gt;".",up_Irr!BV30&lt;&gt;"."),up_dir!AY30/((1/1000)*(up_Irr!X30+up_Irr!AW30+up_Irr!BV30)),IF(AND(up_Irr!X30&lt;&gt;".",up_Irr!AW30&lt;&gt;".",up_Irr!BV30="."),up_dir!AY30/((1/1000)*(up_Irr!X30+up_Irr!AW30)),IF(AND(up_Irr!X30&lt;&gt;".",up_Irr!AW30=".",up_Irr!BV30&lt;&gt;"."),up_dir!AY30/((1/1000)*(up_Irr!X30+up_Irr!BV30)),IF(AND(up_Irr!X30=".",up_Irr!AW30&lt;&gt;".",up_Irr!BV30&lt;&gt;"."),up_dir!AY30/((1/1000)*(up_Irr!AW30+up_Irr!BV30)),IF(AND(up_Irr!X30=".",up_Irr!AW30=".",up_Irr!BV30&lt;&gt;"."),up_dir!AY30/((1/1000)*(up_Irr!BV30)),IF(AND(up_Irr!X30=".",up_Irr!AW30&lt;&gt;".",up_Irr!BV30="."),up_dir!AY30/((1/1000)*(up_Irr!AW30)),IF(AND(up_Irr!X30&lt;&gt;".",up_Irr!AW30=".",up_Irr!BV30="."),up_dir!AY30/((1/1000)*(up_Irr!X30)),IF(AND(up_Irr!X30=".",up_Irr!AW30=".",up_Irr!BV30="."),up_dir!AY30*1000)))))))),".")</f>
        <v>6.5773651144152131E-4</v>
      </c>
      <c r="BZ30" s="70">
        <f>IFERROR(IF(AND(up_Irr!Y30&lt;&gt;".",up_Irr!AX30&lt;&gt;".",up_Irr!BW30&lt;&gt;"."),up_dir!AZ30/((1/1000)*(up_Irr!Y30+up_Irr!AX30+up_Irr!BW30)),IF(AND(up_Irr!Y30&lt;&gt;".",up_Irr!AX30&lt;&gt;".",up_Irr!BW30="."),up_dir!AZ30/((1/1000)*(up_Irr!Y30+up_Irr!AX30)),IF(AND(up_Irr!Y30&lt;&gt;".",up_Irr!AX30=".",up_Irr!BW30&lt;&gt;"."),up_dir!AZ30/((1/1000)*(up_Irr!Y30+up_Irr!BW30)),IF(AND(up_Irr!Y30=".",up_Irr!AX30&lt;&gt;".",up_Irr!BW30&lt;&gt;"."),up_dir!AZ30/((1/1000)*(up_Irr!AX30+up_Irr!BW30)),IF(AND(up_Irr!Y30=".",up_Irr!AX30=".",up_Irr!BW30&lt;&gt;"."),up_dir!AZ30/((1/1000)*(up_Irr!BW30)),IF(AND(up_Irr!Y30=".",up_Irr!AX30&lt;&gt;".",up_Irr!BW30="."),up_dir!AZ30/((1/1000)*(up_Irr!AX30)),IF(AND(up_Irr!Y30&lt;&gt;".",up_Irr!AX30=".",up_Irr!BW30="."),up_dir!AZ30/((1/1000)*(up_Irr!Y30)),IF(AND(up_Irr!Y30=".",up_Irr!AX30=".",up_Irr!BW30="."),up_dir!AZ30*1000)))))))),".")</f>
        <v>6.5773651144152131E-4</v>
      </c>
      <c r="CA30" s="70">
        <f>IFERROR(IF(AND(up_Irr!Z30&lt;&gt;".",up_Irr!AY30&lt;&gt;".",up_Irr!BX30&lt;&gt;"."),up_dir!BA30/((1/1000)*(up_Irr!Z30+up_Irr!AY30+up_Irr!BX30)),IF(AND(up_Irr!Z30&lt;&gt;".",up_Irr!AY30&lt;&gt;".",up_Irr!BX30="."),up_dir!BA30/((1/1000)*(up_Irr!Z30+up_Irr!AY30)),IF(AND(up_Irr!Z30&lt;&gt;".",up_Irr!AY30=".",up_Irr!BX30&lt;&gt;"."),up_dir!BA30/((1/1000)*(up_Irr!Z30+up_Irr!BX30)),IF(AND(up_Irr!Z30=".",up_Irr!AY30&lt;&gt;".",up_Irr!BX30&lt;&gt;"."),up_dir!BA30/((1/1000)*(up_Irr!AY30+up_Irr!BX30)),IF(AND(up_Irr!Z30=".",up_Irr!AY30=".",up_Irr!BX30&lt;&gt;"."),up_dir!BA30/((1/1000)*(up_Irr!BX30)),IF(AND(up_Irr!Z30=".",up_Irr!AY30&lt;&gt;".",up_Irr!BX30="."),up_dir!BA30/((1/1000)*(up_Irr!AY30)),IF(AND(up_Irr!Z30&lt;&gt;".",up_Irr!AY30=".",up_Irr!BX30="."),up_dir!BA30/((1/1000)*(up_Irr!Z30)),IF(AND(up_Irr!Z30=".",up_Irr!AY30=".",up_Irr!BX30="."),up_dir!BA30*1000)))))))),".")</f>
        <v>6.5773651144152131E-4</v>
      </c>
      <c r="CB30" s="70">
        <f>IFERROR(IF(AND(up_Irr!AA30&lt;&gt;".",up_Irr!AZ30&lt;&gt;".",up_Irr!BY30&lt;&gt;"."),up_dir!BB30/((1/1000)*(up_Irr!AA30+up_Irr!AZ30+up_Irr!BY30)),IF(AND(up_Irr!AA30&lt;&gt;".",up_Irr!AZ30&lt;&gt;".",up_Irr!BY30="."),up_dir!BB30/((1/1000)*(up_Irr!AA30+up_Irr!AZ30)),IF(AND(up_Irr!AA30&lt;&gt;".",up_Irr!AZ30=".",up_Irr!BY30&lt;&gt;"."),up_dir!BB30/((1/1000)*(up_Irr!AA30+up_Irr!BY30)),IF(AND(up_Irr!AA30=".",up_Irr!AZ30&lt;&gt;".",up_Irr!BY30&lt;&gt;"."),up_dir!BB30/((1/1000)*(up_Irr!AZ30+up_Irr!BY30)),IF(AND(up_Irr!AA30=".",up_Irr!AZ30=".",up_Irr!BY30&lt;&gt;"."),up_dir!BB30/((1/1000)*(up_Irr!BY30)),IF(AND(up_Irr!AA30=".",up_Irr!AZ30&lt;&gt;".",up_Irr!BY30="."),up_dir!BB30/((1/1000)*(up_Irr!AZ30)),IF(AND(up_Irr!AA30&lt;&gt;".",up_Irr!AZ30=".",up_Irr!BY30="."),up_dir!BB30/((1/1000)*(up_Irr!AA30)),IF(AND(up_Irr!AA30=".",up_Irr!AZ30=".",up_Irr!BY30="."),up_dir!BB30*1000)))))))),".")</f>
        <v>6.5773651144152131E-4</v>
      </c>
      <c r="CC30" s="87">
        <f t="shared" si="3"/>
        <v>30407.313038114935</v>
      </c>
      <c r="CD30" s="87">
        <f>IFERROR(s_C*s_IFAP_far_adj*s_CF_apple*(1/1000)*(up_Irr!C30+up_Irr!AB30+up_Irr!BA30),".")</f>
        <v>7601.8282595287337</v>
      </c>
      <c r="CE30" s="87">
        <f>IFERROR(s_C*s_IFAS_far_adj*s_CF_asparagus*(1/1000)*(up_Irr!D30+up_Irr!AC30+up_Irr!BB30),".")</f>
        <v>7601.8282595287337</v>
      </c>
      <c r="CF30" s="87">
        <f>IFERROR(s_C*s_IFBT_far_adj*s_CF_beet*(1/1000)*(up_Irr!E30+up_Irr!AD30+up_Irr!BC30),".")</f>
        <v>7601.8282595287337</v>
      </c>
      <c r="CG30" s="87">
        <f>IFERROR(s_C*s_IFBE_far_adj*s_CF_berries*(1/1000)*(up_Irr!F30+up_Irr!AE30+up_Irr!BD30),".")</f>
        <v>7601.8282595287337</v>
      </c>
      <c r="CH30" s="87">
        <f>IFERROR(s_C*s_IFBR_far_adj*s_CF_broccoli*(1/1000)*(up_Irr!G30+up_Irr!AF30+up_Irr!BE30),".")</f>
        <v>7601.8282595287337</v>
      </c>
      <c r="CI30" s="87">
        <f>IFERROR(s_C*s_IFCB_far_adj*s_CF_cabbage*(1/1000)*(up_Irr!H30+up_Irr!AG30+up_Irr!BF30),".")</f>
        <v>7601.8282595287337</v>
      </c>
      <c r="CJ30" s="87">
        <f>IFERROR(s_C*s_IFCR_far_adj*s_CF_carrot*(1/1000)*(up_Irr!I30+up_Irr!AH30+up_Irr!BG30),".")</f>
        <v>7601.8282595287337</v>
      </c>
      <c r="CK30" s="87">
        <f>IFERROR(s_C*s_IFCI_far_adj*s_CF_citrus*(1/1000)*(up_Irr!J30+up_Irr!AI30+up_Irr!BH30),".")</f>
        <v>7601.8282595287337</v>
      </c>
      <c r="CL30" s="87">
        <f>IFERROR(s_C*s_IFCO_far_adj*s_CF_corn*(1/1000)*(up_Irr!K30+up_Irr!AJ30+up_Irr!BI30),".")</f>
        <v>7601.8282595287337</v>
      </c>
      <c r="CM30" s="87">
        <f>IFERROR(s_C*s_IFCU_far_adj*s_CF_cucumber*(1/1000)*(up_Irr!L30+up_Irr!AK30+up_Irr!BJ30),".")</f>
        <v>7601.8282595287337</v>
      </c>
      <c r="CN30" s="87">
        <f>IFERROR(s_C*s_IFLE_far_adj*s_CF_lettuce*(1/1000)*(up_Irr!M30+up_Irr!AL30+up_Irr!BK30),".")</f>
        <v>7601.8282595287337</v>
      </c>
      <c r="CO30" s="87">
        <f>IFERROR(s_C*s_IFLI_far_adj*s_CF_lima_bean*(1/1000)*(up_Irr!N30+up_Irr!AM30+up_Irr!BL30),".")</f>
        <v>7601.8282595287337</v>
      </c>
      <c r="CP30" s="87">
        <f>IFERROR(s_C*s_IFOK_far_adj*s_CF_okra*(1/1000)*(up_Irr!O30+up_Irr!AN30+up_Irr!BM30),".")</f>
        <v>7601.8282595287337</v>
      </c>
      <c r="CQ30" s="87">
        <f>IFERROR(s_C*s_IFON_far_adj*s_CF_onion*(1/1000)*(up_Irr!P30+up_Irr!AO30+up_Irr!BN30),".")</f>
        <v>7601.8282595287337</v>
      </c>
      <c r="CR30" s="87">
        <f>IFERROR(s_C*s_IFPC_far_adj*s_CF_peach*(1/1000)*(up_Irr!Q30+up_Irr!AP30+up_Irr!BO30),".")</f>
        <v>7601.8282595287337</v>
      </c>
      <c r="CS30" s="87">
        <f>IFERROR(s_C*s_IFPR_far_adj*s_CF_pear*(1/1000)*(up_Irr!R30+up_Irr!AQ30+up_Irr!BP30),".")</f>
        <v>7601.8282595287337</v>
      </c>
      <c r="CT30" s="87">
        <f>IFERROR(s_C*s_IFPE_far_adj*s_CF_peas*(1/1000)*(up_Irr!S30+up_Irr!AR30+up_Irr!BQ30),".")</f>
        <v>7601.8282595287337</v>
      </c>
      <c r="CU30" s="87">
        <f>IFERROR(s_C*s_IFPP_far_adj*s_CF_peppers*(1/1000)*(up_Irr!T30+up_Irr!AS30+up_Irr!BR30),".")</f>
        <v>7601.8282595287337</v>
      </c>
      <c r="CV30" s="87">
        <f>IFERROR(s_C*s_IFPT_far_adj*s_CF_potato*(1/1000)*(up_Irr!U30+up_Irr!AT30+up_Irr!BS30),".")</f>
        <v>7601.8282595287337</v>
      </c>
      <c r="CW30" s="87">
        <f>IFERROR(s_C*s_IFPU_far_adj*s_CF_pumpkin*(1/1000)*(up_Irr!V30+up_Irr!AU30+up_Irr!BT30),".")</f>
        <v>7601.8282595287337</v>
      </c>
      <c r="CX30" s="87">
        <f>IFERROR(s_C*s_IFSN_far_adj*s_CF_snap_bean*(1/1000)*(up_Irr!W30+up_Irr!AV30+up_Irr!BU30),".")</f>
        <v>7601.8282595287337</v>
      </c>
      <c r="CY30" s="87">
        <f>IFERROR(s_C*s_IFST_far_adj*s_CF_strawberry*(1/1000)*(up_Irr!X30+up_Irr!AW30+up_Irr!BV30),".")</f>
        <v>7601.8282595287337</v>
      </c>
      <c r="CZ30" s="87">
        <f>IFERROR(s_C*s_IFTO_far_adj*s_CF_tomato*(1/1000)*(up_Irr!Y30+up_Irr!AX30+up_Irr!BW30),".")</f>
        <v>7601.8282595287337</v>
      </c>
      <c r="DA30" s="87">
        <f>IFERROR(s_C*s_IFRI_far_adj*s_CF_rice*(1/1000)*(up_Irr!Z30+up_Irr!AY30+up_Irr!BX30),".")</f>
        <v>7601.8282595287337</v>
      </c>
      <c r="DB30" s="87">
        <f>IFERROR(s_C*s_IFCG_far_adj*s_CF_cereal*(1/1000)*(up_Irr!AA30+up_Irr!AZ30+up_Irr!BY30),".")</f>
        <v>7601.8282595287337</v>
      </c>
    </row>
    <row r="31" spans="1:106" s="42" customFormat="1" x14ac:dyDescent="0.25">
      <c r="A31" s="76" t="s">
        <v>1</v>
      </c>
      <c r="B31" s="76" t="s">
        <v>1057</v>
      </c>
      <c r="C31" s="58">
        <f t="shared" ref="C31:AB31" si="4">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1.3703255086017612E-5</v>
      </c>
      <c r="D31" s="58">
        <f t="shared" si="4"/>
        <v>5.4813020344070448E-5</v>
      </c>
      <c r="E31" s="58">
        <f t="shared" si="4"/>
        <v>5.4813020344070448E-5</v>
      </c>
      <c r="F31" s="58">
        <f t="shared" si="4"/>
        <v>5.4813020344070448E-5</v>
      </c>
      <c r="G31" s="58">
        <f t="shared" si="4"/>
        <v>5.4813020344070448E-5</v>
      </c>
      <c r="H31" s="58">
        <f t="shared" si="4"/>
        <v>5.4813020344070448E-5</v>
      </c>
      <c r="I31" s="58">
        <f t="shared" si="4"/>
        <v>5.4813020344070448E-5</v>
      </c>
      <c r="J31" s="58">
        <f t="shared" si="4"/>
        <v>5.4813020344070448E-5</v>
      </c>
      <c r="K31" s="58">
        <f t="shared" si="4"/>
        <v>5.4813020344070448E-5</v>
      </c>
      <c r="L31" s="58">
        <f t="shared" si="4"/>
        <v>5.4813020344070448E-5</v>
      </c>
      <c r="M31" s="58">
        <f t="shared" si="4"/>
        <v>5.4813020344070448E-5</v>
      </c>
      <c r="N31" s="58">
        <f t="shared" si="4"/>
        <v>5.4813020344070448E-5</v>
      </c>
      <c r="O31" s="58">
        <f t="shared" si="4"/>
        <v>5.4813020344070448E-5</v>
      </c>
      <c r="P31" s="58">
        <f t="shared" si="4"/>
        <v>5.4813020344070448E-5</v>
      </c>
      <c r="Q31" s="58">
        <f t="shared" si="4"/>
        <v>5.4813020344070448E-5</v>
      </c>
      <c r="R31" s="58">
        <f t="shared" si="4"/>
        <v>5.4813020344070448E-5</v>
      </c>
      <c r="S31" s="58">
        <f t="shared" si="4"/>
        <v>5.4813020344070448E-5</v>
      </c>
      <c r="T31" s="58">
        <f t="shared" si="4"/>
        <v>5.4813020344070448E-5</v>
      </c>
      <c r="U31" s="58">
        <f t="shared" si="4"/>
        <v>5.4813020344070448E-5</v>
      </c>
      <c r="V31" s="58">
        <f t="shared" si="4"/>
        <v>5.4813020344070448E-5</v>
      </c>
      <c r="W31" s="58">
        <f t="shared" si="4"/>
        <v>5.4813020344070448E-5</v>
      </c>
      <c r="X31" s="58">
        <f t="shared" si="4"/>
        <v>5.4813020344070448E-5</v>
      </c>
      <c r="Y31" s="58">
        <f t="shared" si="4"/>
        <v>5.4813020344070448E-5</v>
      </c>
      <c r="Z31" s="58">
        <f t="shared" si="4"/>
        <v>5.4813020344070448E-5</v>
      </c>
      <c r="AA31" s="58">
        <f t="shared" si="4"/>
        <v>5.4813020344070448E-5</v>
      </c>
      <c r="AB31" s="58">
        <f t="shared" si="4"/>
        <v>5.4813020344070448E-5</v>
      </c>
      <c r="AC31" s="91">
        <f>IFERROR(SUM(AD32:AD44,AU32:AU44,BA32:BA44,BB32:BB44),".")</f>
        <v>1824384.0491234285</v>
      </c>
      <c r="AD31" s="91">
        <f>IFERROR(SUM(AD32:AD44),".")</f>
        <v>456096.01228085684</v>
      </c>
      <c r="AE31" s="91">
        <f t="shared" ref="AE31:BB31" si="5">IFERROR(SUM(AE32:AE44),".")</f>
        <v>456096.01228085684</v>
      </c>
      <c r="AF31" s="91">
        <f t="shared" si="5"/>
        <v>456096.01228085684</v>
      </c>
      <c r="AG31" s="91">
        <f t="shared" si="5"/>
        <v>456096.01228085684</v>
      </c>
      <c r="AH31" s="91">
        <f t="shared" si="5"/>
        <v>456096.01228085684</v>
      </c>
      <c r="AI31" s="91">
        <f t="shared" si="5"/>
        <v>456096.01228085684</v>
      </c>
      <c r="AJ31" s="91">
        <f t="shared" si="5"/>
        <v>456096.01228085684</v>
      </c>
      <c r="AK31" s="91">
        <f t="shared" si="5"/>
        <v>456096.01228085684</v>
      </c>
      <c r="AL31" s="91">
        <f t="shared" si="5"/>
        <v>456096.01228085684</v>
      </c>
      <c r="AM31" s="91">
        <f t="shared" si="5"/>
        <v>456096.01228085684</v>
      </c>
      <c r="AN31" s="91">
        <f t="shared" si="5"/>
        <v>456096.01228085684</v>
      </c>
      <c r="AO31" s="91">
        <f t="shared" si="5"/>
        <v>456096.01228085684</v>
      </c>
      <c r="AP31" s="91">
        <f t="shared" si="5"/>
        <v>456096.01228085684</v>
      </c>
      <c r="AQ31" s="91">
        <f t="shared" si="5"/>
        <v>456096.01228085684</v>
      </c>
      <c r="AR31" s="91">
        <f t="shared" si="5"/>
        <v>456096.01228085684</v>
      </c>
      <c r="AS31" s="91">
        <f t="shared" si="5"/>
        <v>456096.01228085684</v>
      </c>
      <c r="AT31" s="91">
        <f t="shared" si="5"/>
        <v>456096.01228085684</v>
      </c>
      <c r="AU31" s="91">
        <f t="shared" si="5"/>
        <v>456096.01228085684</v>
      </c>
      <c r="AV31" s="91">
        <f t="shared" si="5"/>
        <v>456096.01228085684</v>
      </c>
      <c r="AW31" s="91">
        <f t="shared" si="5"/>
        <v>456096.01228085684</v>
      </c>
      <c r="AX31" s="91">
        <f t="shared" si="5"/>
        <v>456096.01228085684</v>
      </c>
      <c r="AY31" s="91">
        <f t="shared" si="5"/>
        <v>456096.01228085684</v>
      </c>
      <c r="AZ31" s="91">
        <f t="shared" si="5"/>
        <v>456096.01228085684</v>
      </c>
      <c r="BA31" s="91">
        <f t="shared" si="5"/>
        <v>456096.01228085684</v>
      </c>
      <c r="BB31" s="91">
        <f t="shared" si="5"/>
        <v>456096.01228085684</v>
      </c>
      <c r="BC31" s="58">
        <f t="shared" ref="BC31:CB31" si="6">IFERROR(1/SUM(IFERROR(1/SUMIF(BC32,"&lt;&gt;.",BC32),0),IFERROR(1/SUMIF(BC33,"&lt;&gt;.",BC33),0),IFERROR(1/SUMIF(BC34,"&lt;&gt;.",BC34),0),IFERROR(1/SUMIF(BC35,"&lt;&gt;.",BC35),0),IFERROR(1/SUMIF(BC36,"&lt;&gt;.",BC36),0),IFERROR(1/SUMIF(BC37,"&lt;&gt;.",BC37),0),IFERROR(1/SUMIF(BC38,"&lt;&gt;.",BC38),0),IFERROR(1/SUMIF(BC39,"&lt;&gt;.",BC39),0),IFERROR(1/SUMIF(BC40,"&lt;&gt;.",BC40),0),IFERROR(1/SUMIF(BC41,"&lt;&gt;.",BC41),0),IFERROR(1/SUMIF(BC42,"&lt;&gt;.",BC42),0),IFERROR(1/SUMIF(BC43,"&lt;&gt;.",BC43),0),IFERROR(1/SUMIF(BC44,"&lt;&gt;.",BC44),0)),".")</f>
        <v>1.3703255086017612E-5</v>
      </c>
      <c r="BD31" s="58">
        <f t="shared" si="6"/>
        <v>5.4813020344070448E-5</v>
      </c>
      <c r="BE31" s="58">
        <f t="shared" si="6"/>
        <v>5.4813020344070448E-5</v>
      </c>
      <c r="BF31" s="58">
        <f t="shared" si="6"/>
        <v>5.4813020344070448E-5</v>
      </c>
      <c r="BG31" s="58">
        <f t="shared" si="6"/>
        <v>5.4813020344070448E-5</v>
      </c>
      <c r="BH31" s="58">
        <f t="shared" si="6"/>
        <v>5.4813020344070448E-5</v>
      </c>
      <c r="BI31" s="58">
        <f t="shared" si="6"/>
        <v>5.4813020344070448E-5</v>
      </c>
      <c r="BJ31" s="58">
        <f t="shared" si="6"/>
        <v>5.4813020344070448E-5</v>
      </c>
      <c r="BK31" s="58">
        <f t="shared" si="6"/>
        <v>5.4813020344070448E-5</v>
      </c>
      <c r="BL31" s="58">
        <f t="shared" si="6"/>
        <v>5.4813020344070448E-5</v>
      </c>
      <c r="BM31" s="58">
        <f t="shared" si="6"/>
        <v>5.4813020344070448E-5</v>
      </c>
      <c r="BN31" s="58">
        <f t="shared" si="6"/>
        <v>5.4813020344070448E-5</v>
      </c>
      <c r="BO31" s="58">
        <f t="shared" si="6"/>
        <v>5.4813020344070448E-5</v>
      </c>
      <c r="BP31" s="58">
        <f t="shared" si="6"/>
        <v>5.4813020344070448E-5</v>
      </c>
      <c r="BQ31" s="58">
        <f t="shared" si="6"/>
        <v>5.4813020344070448E-5</v>
      </c>
      <c r="BR31" s="58">
        <f t="shared" si="6"/>
        <v>5.4813020344070448E-5</v>
      </c>
      <c r="BS31" s="58">
        <f t="shared" si="6"/>
        <v>5.4813020344070448E-5</v>
      </c>
      <c r="BT31" s="58">
        <f t="shared" si="6"/>
        <v>5.4813020344070448E-5</v>
      </c>
      <c r="BU31" s="58">
        <f t="shared" si="6"/>
        <v>5.4813020344070448E-5</v>
      </c>
      <c r="BV31" s="58">
        <f t="shared" si="6"/>
        <v>5.4813020344070448E-5</v>
      </c>
      <c r="BW31" s="58">
        <f t="shared" si="6"/>
        <v>5.4813020344070448E-5</v>
      </c>
      <c r="BX31" s="58">
        <f t="shared" si="6"/>
        <v>5.4813020344070448E-5</v>
      </c>
      <c r="BY31" s="58">
        <f t="shared" si="6"/>
        <v>5.4813020344070448E-5</v>
      </c>
      <c r="BZ31" s="58">
        <f t="shared" si="6"/>
        <v>5.4813020344070448E-5</v>
      </c>
      <c r="CA31" s="58">
        <f t="shared" si="6"/>
        <v>5.4813020344070448E-5</v>
      </c>
      <c r="CB31" s="58">
        <f t="shared" si="6"/>
        <v>5.4813020344070448E-5</v>
      </c>
      <c r="CC31" s="91">
        <f>IFERROR(SUM(CD32:CD44,CU32:CU44,DA32:DA44,DB32:DB44),".")</f>
        <v>1824384.0491234285</v>
      </c>
      <c r="CD31" s="91">
        <f>IFERROR(SUM(CD32:CD44),".")</f>
        <v>456096.01228085684</v>
      </c>
      <c r="CE31" s="91">
        <f t="shared" ref="CE31:DB31" si="7">IFERROR(SUM(CE32:CE44),".")</f>
        <v>456096.01228085684</v>
      </c>
      <c r="CF31" s="91">
        <f t="shared" si="7"/>
        <v>456096.01228085684</v>
      </c>
      <c r="CG31" s="91">
        <f t="shared" si="7"/>
        <v>456096.01228085684</v>
      </c>
      <c r="CH31" s="91">
        <f t="shared" si="7"/>
        <v>456096.01228085684</v>
      </c>
      <c r="CI31" s="91">
        <f t="shared" si="7"/>
        <v>456096.01228085684</v>
      </c>
      <c r="CJ31" s="91">
        <f t="shared" si="7"/>
        <v>456096.01228085684</v>
      </c>
      <c r="CK31" s="91">
        <f t="shared" si="7"/>
        <v>456096.01228085684</v>
      </c>
      <c r="CL31" s="91">
        <f t="shared" si="7"/>
        <v>456096.01228085684</v>
      </c>
      <c r="CM31" s="91">
        <f t="shared" si="7"/>
        <v>456096.01228085684</v>
      </c>
      <c r="CN31" s="91">
        <f t="shared" si="7"/>
        <v>456096.01228085684</v>
      </c>
      <c r="CO31" s="91">
        <f t="shared" si="7"/>
        <v>456096.01228085684</v>
      </c>
      <c r="CP31" s="91">
        <f t="shared" si="7"/>
        <v>456096.01228085684</v>
      </c>
      <c r="CQ31" s="91">
        <f t="shared" si="7"/>
        <v>456096.01228085684</v>
      </c>
      <c r="CR31" s="91">
        <f t="shared" si="7"/>
        <v>456096.01228085684</v>
      </c>
      <c r="CS31" s="91">
        <f t="shared" si="7"/>
        <v>456096.01228085684</v>
      </c>
      <c r="CT31" s="91">
        <f t="shared" si="7"/>
        <v>456096.01228085684</v>
      </c>
      <c r="CU31" s="91">
        <f t="shared" si="7"/>
        <v>456096.01228085684</v>
      </c>
      <c r="CV31" s="91">
        <f t="shared" si="7"/>
        <v>456096.01228085684</v>
      </c>
      <c r="CW31" s="91">
        <f t="shared" si="7"/>
        <v>456096.01228085684</v>
      </c>
      <c r="CX31" s="91">
        <f t="shared" si="7"/>
        <v>456096.01228085684</v>
      </c>
      <c r="CY31" s="91">
        <f t="shared" si="7"/>
        <v>456096.01228085684</v>
      </c>
      <c r="CZ31" s="91">
        <f t="shared" si="7"/>
        <v>456096.01228085684</v>
      </c>
      <c r="DA31" s="91">
        <f t="shared" si="7"/>
        <v>456096.01228085684</v>
      </c>
      <c r="DB31" s="91">
        <f t="shared" si="7"/>
        <v>456096.01228085684</v>
      </c>
    </row>
    <row r="32" spans="1:106" s="42" customFormat="1" x14ac:dyDescent="0.25">
      <c r="A32" s="77" t="s">
        <v>1085</v>
      </c>
      <c r="B32" s="42">
        <v>1</v>
      </c>
      <c r="C32" s="60">
        <f t="shared" ref="C32:AB32" si="8">IFERROR(C3/$B32,".")</f>
        <v>1.6443412786038033E-4</v>
      </c>
      <c r="D32" s="60">
        <f t="shared" si="8"/>
        <v>6.5773651144152131E-4</v>
      </c>
      <c r="E32" s="60">
        <f t="shared" si="8"/>
        <v>6.5773651144152131E-4</v>
      </c>
      <c r="F32" s="60">
        <f t="shared" si="8"/>
        <v>6.5773651144152131E-4</v>
      </c>
      <c r="G32" s="60">
        <f t="shared" si="8"/>
        <v>6.5773651144152131E-4</v>
      </c>
      <c r="H32" s="60">
        <f t="shared" si="8"/>
        <v>6.5773651144152131E-4</v>
      </c>
      <c r="I32" s="60">
        <f t="shared" si="8"/>
        <v>6.5773651144152131E-4</v>
      </c>
      <c r="J32" s="60">
        <f t="shared" si="8"/>
        <v>6.5773651144152131E-4</v>
      </c>
      <c r="K32" s="60">
        <f t="shared" si="8"/>
        <v>6.5773651144152131E-4</v>
      </c>
      <c r="L32" s="60">
        <f t="shared" si="8"/>
        <v>6.5773651144152131E-4</v>
      </c>
      <c r="M32" s="60">
        <f t="shared" si="8"/>
        <v>6.5773651144152131E-4</v>
      </c>
      <c r="N32" s="60">
        <f t="shared" si="8"/>
        <v>6.5773651144152131E-4</v>
      </c>
      <c r="O32" s="60">
        <f t="shared" si="8"/>
        <v>6.5773651144152131E-4</v>
      </c>
      <c r="P32" s="60">
        <f t="shared" si="8"/>
        <v>6.5773651144152131E-4</v>
      </c>
      <c r="Q32" s="60">
        <f t="shared" si="8"/>
        <v>6.5773651144152131E-4</v>
      </c>
      <c r="R32" s="60">
        <f t="shared" si="8"/>
        <v>6.5773651144152131E-4</v>
      </c>
      <c r="S32" s="60">
        <f t="shared" si="8"/>
        <v>6.5773651144152131E-4</v>
      </c>
      <c r="T32" s="60">
        <f t="shared" si="8"/>
        <v>6.5773651144152131E-4</v>
      </c>
      <c r="U32" s="60">
        <f t="shared" si="8"/>
        <v>6.5773651144152131E-4</v>
      </c>
      <c r="V32" s="60">
        <f t="shared" si="8"/>
        <v>6.5773651144152131E-4</v>
      </c>
      <c r="W32" s="60">
        <f t="shared" si="8"/>
        <v>6.5773651144152131E-4</v>
      </c>
      <c r="X32" s="60">
        <f t="shared" si="8"/>
        <v>6.5773651144152131E-4</v>
      </c>
      <c r="Y32" s="60">
        <f t="shared" si="8"/>
        <v>6.5773651144152131E-4</v>
      </c>
      <c r="Z32" s="60">
        <f t="shared" si="8"/>
        <v>6.5773651144152131E-4</v>
      </c>
      <c r="AA32" s="60">
        <f t="shared" si="8"/>
        <v>6.5773651144152131E-4</v>
      </c>
      <c r="AB32" s="60">
        <f t="shared" si="8"/>
        <v>6.5773651144152131E-4</v>
      </c>
      <c r="AC32" s="94">
        <f t="shared" ref="AC32:AC44" si="9">IF(AND(AD32&lt;&gt;".",AU32&lt;&gt;".",BA32&lt;&gt;".",BB32&lt;&gt;"."),SUM(AD32,AU32,BA32:BB32),".")</f>
        <v>152036.56519057468</v>
      </c>
      <c r="AD32" s="94">
        <f>IF(D32=".",".",up_RadSpec!$F$3*(AD3*$B32))</f>
        <v>38009.14129764367</v>
      </c>
      <c r="AE32" s="94">
        <f>IF(E32=".",".",up_RadSpec!$F$3*(AE3*$B32))</f>
        <v>38009.14129764367</v>
      </c>
      <c r="AF32" s="94">
        <f>IF(F32=".",".",up_RadSpec!$F$3*(AF3*$B32))</f>
        <v>38009.14129764367</v>
      </c>
      <c r="AG32" s="94">
        <f>IF(G32=".",".",up_RadSpec!$F$3*(AG3*$B32))</f>
        <v>38009.14129764367</v>
      </c>
      <c r="AH32" s="94">
        <f>IF(H32=".",".",up_RadSpec!$F$3*(AH3*$B32))</f>
        <v>38009.14129764367</v>
      </c>
      <c r="AI32" s="94">
        <f>IF(I32=".",".",up_RadSpec!$F$3*(AI3*$B32))</f>
        <v>38009.14129764367</v>
      </c>
      <c r="AJ32" s="94">
        <f>IF(J32=".",".",up_RadSpec!$F$3*(AJ3*$B32))</f>
        <v>38009.14129764367</v>
      </c>
      <c r="AK32" s="94">
        <f>IF(K32=".",".",up_RadSpec!$F$3*(AK3*$B32))</f>
        <v>38009.14129764367</v>
      </c>
      <c r="AL32" s="94">
        <f>IF(L32=".",".",up_RadSpec!$F$3*(AL3*$B32))</f>
        <v>38009.14129764367</v>
      </c>
      <c r="AM32" s="94">
        <f>IF(M32=".",".",up_RadSpec!$F$3*(AM3*$B32))</f>
        <v>38009.14129764367</v>
      </c>
      <c r="AN32" s="94">
        <f>IF(N32=".",".",up_RadSpec!$F$3*(AN3*$B32))</f>
        <v>38009.14129764367</v>
      </c>
      <c r="AO32" s="94">
        <f>IF(O32=".",".",up_RadSpec!$F$3*(AO3*$B32))</f>
        <v>38009.14129764367</v>
      </c>
      <c r="AP32" s="94">
        <f>IF(P32=".",".",up_RadSpec!$F$3*(AP3*$B32))</f>
        <v>38009.14129764367</v>
      </c>
      <c r="AQ32" s="94">
        <f>IF(Q32=".",".",up_RadSpec!$F$3*(AQ3*$B32))</f>
        <v>38009.14129764367</v>
      </c>
      <c r="AR32" s="94">
        <f>IF(R32=".",".",up_RadSpec!$F$3*(AR3*$B32))</f>
        <v>38009.14129764367</v>
      </c>
      <c r="AS32" s="94">
        <f>IF(S32=".",".",up_RadSpec!$F$3*(AS3*$B32))</f>
        <v>38009.14129764367</v>
      </c>
      <c r="AT32" s="94">
        <f>IF(T32=".",".",up_RadSpec!$F$3*(AT3*$B32))</f>
        <v>38009.14129764367</v>
      </c>
      <c r="AU32" s="94">
        <f>IF(U32=".",".",up_RadSpec!$F$3*(AU3*$B32))</f>
        <v>38009.14129764367</v>
      </c>
      <c r="AV32" s="94">
        <f>IF(V32=".",".",up_RadSpec!$F$3*(AV3*$B32))</f>
        <v>38009.14129764367</v>
      </c>
      <c r="AW32" s="94">
        <f>IF(W32=".",".",up_RadSpec!$F$3*(AW3*$B32))</f>
        <v>38009.14129764367</v>
      </c>
      <c r="AX32" s="94">
        <f>IF(X32=".",".",up_RadSpec!$F$3*(AX3*$B32))</f>
        <v>38009.14129764367</v>
      </c>
      <c r="AY32" s="94">
        <f>IF(Y32=".",".",up_RadSpec!$F$3*(AY3*$B32))</f>
        <v>38009.14129764367</v>
      </c>
      <c r="AZ32" s="94">
        <f>IF(Z32=".",".",up_RadSpec!$F$3*(AZ3*$B32))</f>
        <v>38009.14129764367</v>
      </c>
      <c r="BA32" s="94">
        <f>IF(AA32=".",".",up_RadSpec!$F$3*(BA3*$B32))</f>
        <v>38009.14129764367</v>
      </c>
      <c r="BB32" s="94">
        <f>IF(AB32=".",".",up_RadSpec!$F$3*(BB3*$B32))</f>
        <v>38009.14129764367</v>
      </c>
      <c r="BC32" s="60">
        <f t="shared" ref="BC32:CB32" si="10">IFERROR(BC3/$B32,".")</f>
        <v>1.6443412786038033E-4</v>
      </c>
      <c r="BD32" s="60">
        <f t="shared" si="10"/>
        <v>6.5773651144152131E-4</v>
      </c>
      <c r="BE32" s="60">
        <f t="shared" si="10"/>
        <v>6.5773651144152131E-4</v>
      </c>
      <c r="BF32" s="60">
        <f t="shared" si="10"/>
        <v>6.5773651144152131E-4</v>
      </c>
      <c r="BG32" s="60">
        <f t="shared" si="10"/>
        <v>6.5773651144152131E-4</v>
      </c>
      <c r="BH32" s="60">
        <f t="shared" si="10"/>
        <v>6.5773651144152131E-4</v>
      </c>
      <c r="BI32" s="60">
        <f t="shared" si="10"/>
        <v>6.5773651144152131E-4</v>
      </c>
      <c r="BJ32" s="60">
        <f t="shared" si="10"/>
        <v>6.5773651144152131E-4</v>
      </c>
      <c r="BK32" s="60">
        <f t="shared" si="10"/>
        <v>6.5773651144152131E-4</v>
      </c>
      <c r="BL32" s="60">
        <f t="shared" si="10"/>
        <v>6.5773651144152131E-4</v>
      </c>
      <c r="BM32" s="60">
        <f t="shared" si="10"/>
        <v>6.5773651144152131E-4</v>
      </c>
      <c r="BN32" s="60">
        <f t="shared" si="10"/>
        <v>6.5773651144152131E-4</v>
      </c>
      <c r="BO32" s="60">
        <f t="shared" si="10"/>
        <v>6.5773651144152131E-4</v>
      </c>
      <c r="BP32" s="60">
        <f t="shared" si="10"/>
        <v>6.5773651144152131E-4</v>
      </c>
      <c r="BQ32" s="60">
        <f t="shared" si="10"/>
        <v>6.5773651144152131E-4</v>
      </c>
      <c r="BR32" s="60">
        <f t="shared" si="10"/>
        <v>6.5773651144152131E-4</v>
      </c>
      <c r="BS32" s="60">
        <f t="shared" si="10"/>
        <v>6.5773651144152131E-4</v>
      </c>
      <c r="BT32" s="60">
        <f t="shared" si="10"/>
        <v>6.5773651144152131E-4</v>
      </c>
      <c r="BU32" s="60">
        <f t="shared" si="10"/>
        <v>6.5773651144152131E-4</v>
      </c>
      <c r="BV32" s="60">
        <f t="shared" si="10"/>
        <v>6.5773651144152131E-4</v>
      </c>
      <c r="BW32" s="60">
        <f t="shared" si="10"/>
        <v>6.5773651144152131E-4</v>
      </c>
      <c r="BX32" s="60">
        <f t="shared" si="10"/>
        <v>6.5773651144152131E-4</v>
      </c>
      <c r="BY32" s="60">
        <f t="shared" si="10"/>
        <v>6.5773651144152131E-4</v>
      </c>
      <c r="BZ32" s="60">
        <f t="shared" si="10"/>
        <v>6.5773651144152131E-4</v>
      </c>
      <c r="CA32" s="60">
        <f t="shared" si="10"/>
        <v>6.5773651144152131E-4</v>
      </c>
      <c r="CB32" s="60">
        <f t="shared" si="10"/>
        <v>6.5773651144152131E-4</v>
      </c>
      <c r="CC32" s="94">
        <f t="shared" ref="CC32:CC44" si="11">IF(AND(CD32&lt;&gt;".",CU32&lt;&gt;".",DA32&lt;&gt;".",DB32&lt;&gt;"."),SUM(CD32,CU32,DA32:DB32),".")</f>
        <v>152036.56519057468</v>
      </c>
      <c r="CD32" s="94">
        <f>IF(BD32=".",".",up_RadSpec!$F$3*(CD3*$B32))</f>
        <v>38009.14129764367</v>
      </c>
      <c r="CE32" s="94">
        <f>IF(BE32=".",".",up_RadSpec!$F$3*(CE3*$B32))</f>
        <v>38009.14129764367</v>
      </c>
      <c r="CF32" s="94">
        <f>IF(BF32=".",".",up_RadSpec!$F$3*(CF3*$B32))</f>
        <v>38009.14129764367</v>
      </c>
      <c r="CG32" s="94">
        <f>IF(BG32=".",".",up_RadSpec!$F$3*(CG3*$B32))</f>
        <v>38009.14129764367</v>
      </c>
      <c r="CH32" s="94">
        <f>IF(BH32=".",".",up_RadSpec!$F$3*(CH3*$B32))</f>
        <v>38009.14129764367</v>
      </c>
      <c r="CI32" s="94">
        <f>IF(BI32=".",".",up_RadSpec!$F$3*(CI3*$B32))</f>
        <v>38009.14129764367</v>
      </c>
      <c r="CJ32" s="94">
        <f>IF(BJ32=".",".",up_RadSpec!$F$3*(CJ3*$B32))</f>
        <v>38009.14129764367</v>
      </c>
      <c r="CK32" s="94">
        <f>IF(BK32=".",".",up_RadSpec!$F$3*(CK3*$B32))</f>
        <v>38009.14129764367</v>
      </c>
      <c r="CL32" s="94">
        <f>IF(BL32=".",".",up_RadSpec!$F$3*(CL3*$B32))</f>
        <v>38009.14129764367</v>
      </c>
      <c r="CM32" s="94">
        <f>IF(BM32=".",".",up_RadSpec!$F$3*(CM3*$B32))</f>
        <v>38009.14129764367</v>
      </c>
      <c r="CN32" s="94">
        <f>IF(BN32=".",".",up_RadSpec!$F$3*(CN3*$B32))</f>
        <v>38009.14129764367</v>
      </c>
      <c r="CO32" s="94">
        <f>IF(BO32=".",".",up_RadSpec!$F$3*(CO3*$B32))</f>
        <v>38009.14129764367</v>
      </c>
      <c r="CP32" s="94">
        <f>IF(BP32=".",".",up_RadSpec!$F$3*(CP3*$B32))</f>
        <v>38009.14129764367</v>
      </c>
      <c r="CQ32" s="94">
        <f>IF(BQ32=".",".",up_RadSpec!$F$3*(CQ3*$B32))</f>
        <v>38009.14129764367</v>
      </c>
      <c r="CR32" s="94">
        <f>IF(BR32=".",".",up_RadSpec!$F$3*(CR3*$B32))</f>
        <v>38009.14129764367</v>
      </c>
      <c r="CS32" s="94">
        <f>IF(BS32=".",".",up_RadSpec!$F$3*(CS3*$B32))</f>
        <v>38009.14129764367</v>
      </c>
      <c r="CT32" s="94">
        <f>IF(BT32=".",".",up_RadSpec!$F$3*(CT3*$B32))</f>
        <v>38009.14129764367</v>
      </c>
      <c r="CU32" s="94">
        <f>IF(BU32=".",".",up_RadSpec!$F$3*(CU3*$B32))</f>
        <v>38009.14129764367</v>
      </c>
      <c r="CV32" s="94">
        <f>IF(BV32=".",".",up_RadSpec!$F$3*(CV3*$B32))</f>
        <v>38009.14129764367</v>
      </c>
      <c r="CW32" s="94">
        <f>IF(BW32=".",".",up_RadSpec!$F$3*(CW3*$B32))</f>
        <v>38009.14129764367</v>
      </c>
      <c r="CX32" s="94">
        <f>IF(BX32=".",".",up_RadSpec!$F$3*(CX3*$B32))</f>
        <v>38009.14129764367</v>
      </c>
      <c r="CY32" s="94">
        <f>IF(BY32=".",".",up_RadSpec!$F$3*(CY3*$B32))</f>
        <v>38009.14129764367</v>
      </c>
      <c r="CZ32" s="94">
        <f>IF(BZ32=".",".",up_RadSpec!$F$3*(CZ3*$B32))</f>
        <v>38009.14129764367</v>
      </c>
      <c r="DA32" s="94">
        <f>IF(CA32=".",".",up_RadSpec!$F$3*(DA3*$B32))</f>
        <v>38009.14129764367</v>
      </c>
      <c r="DB32" s="94">
        <f>IF(CB32=".",".",up_RadSpec!$F$3*(DB3*$B32))</f>
        <v>38009.14129764367</v>
      </c>
    </row>
    <row r="33" spans="1:106" s="42" customFormat="1" x14ac:dyDescent="0.25">
      <c r="A33" s="77" t="s">
        <v>1061</v>
      </c>
      <c r="B33" s="42">
        <v>1</v>
      </c>
      <c r="C33" s="60">
        <f t="shared" ref="C33:AB34" si="12">IFERROR(C13/$B33,".")</f>
        <v>1.6443412786038033E-4</v>
      </c>
      <c r="D33" s="60">
        <f t="shared" si="12"/>
        <v>6.5773651144152131E-4</v>
      </c>
      <c r="E33" s="60">
        <f t="shared" si="12"/>
        <v>6.5773651144152131E-4</v>
      </c>
      <c r="F33" s="60">
        <f t="shared" si="12"/>
        <v>6.5773651144152131E-4</v>
      </c>
      <c r="G33" s="60">
        <f t="shared" si="12"/>
        <v>6.5773651144152131E-4</v>
      </c>
      <c r="H33" s="60">
        <f t="shared" si="12"/>
        <v>6.5773651144152131E-4</v>
      </c>
      <c r="I33" s="60">
        <f t="shared" si="12"/>
        <v>6.5773651144152131E-4</v>
      </c>
      <c r="J33" s="60">
        <f t="shared" si="12"/>
        <v>6.5773651144152131E-4</v>
      </c>
      <c r="K33" s="60">
        <f t="shared" si="12"/>
        <v>6.5773651144152131E-4</v>
      </c>
      <c r="L33" s="60">
        <f t="shared" si="12"/>
        <v>6.5773651144152131E-4</v>
      </c>
      <c r="M33" s="60">
        <f t="shared" si="12"/>
        <v>6.5773651144152131E-4</v>
      </c>
      <c r="N33" s="60">
        <f t="shared" si="12"/>
        <v>6.5773651144152131E-4</v>
      </c>
      <c r="O33" s="60">
        <f t="shared" si="12"/>
        <v>6.5773651144152131E-4</v>
      </c>
      <c r="P33" s="60">
        <f t="shared" si="12"/>
        <v>6.5773651144152131E-4</v>
      </c>
      <c r="Q33" s="60">
        <f t="shared" si="12"/>
        <v>6.5773651144152131E-4</v>
      </c>
      <c r="R33" s="60">
        <f t="shared" si="12"/>
        <v>6.5773651144152131E-4</v>
      </c>
      <c r="S33" s="60">
        <f t="shared" si="12"/>
        <v>6.5773651144152131E-4</v>
      </c>
      <c r="T33" s="60">
        <f t="shared" si="12"/>
        <v>6.5773651144152131E-4</v>
      </c>
      <c r="U33" s="60">
        <f t="shared" si="12"/>
        <v>6.5773651144152131E-4</v>
      </c>
      <c r="V33" s="60">
        <f t="shared" si="12"/>
        <v>6.5773651144152131E-4</v>
      </c>
      <c r="W33" s="60">
        <f t="shared" si="12"/>
        <v>6.5773651144152131E-4</v>
      </c>
      <c r="X33" s="60">
        <f t="shared" si="12"/>
        <v>6.5773651144152131E-4</v>
      </c>
      <c r="Y33" s="60">
        <f t="shared" si="12"/>
        <v>6.5773651144152131E-4</v>
      </c>
      <c r="Z33" s="60">
        <f t="shared" si="12"/>
        <v>6.5773651144152131E-4</v>
      </c>
      <c r="AA33" s="60">
        <f t="shared" si="12"/>
        <v>6.5773651144152131E-4</v>
      </c>
      <c r="AB33" s="60">
        <f t="shared" si="12"/>
        <v>6.5773651144152131E-4</v>
      </c>
      <c r="AC33" s="94">
        <f t="shared" si="9"/>
        <v>152036.56519057468</v>
      </c>
      <c r="AD33" s="94">
        <f>IF(D33=".",".",up_RadSpec!$F$13*(AD13*$B33))</f>
        <v>38009.14129764367</v>
      </c>
      <c r="AE33" s="94">
        <f>IF(E33=".",".",up_RadSpec!$F$13*(AE13*$B33))</f>
        <v>38009.14129764367</v>
      </c>
      <c r="AF33" s="94">
        <f>IF(F33=".",".",up_RadSpec!$F$13*(AF13*$B33))</f>
        <v>38009.14129764367</v>
      </c>
      <c r="AG33" s="94">
        <f>IF(G33=".",".",up_RadSpec!$F$13*(AG13*$B33))</f>
        <v>38009.14129764367</v>
      </c>
      <c r="AH33" s="94">
        <f>IF(H33=".",".",up_RadSpec!$F$13*(AH13*$B33))</f>
        <v>38009.14129764367</v>
      </c>
      <c r="AI33" s="94">
        <f>IF(I33=".",".",up_RadSpec!$F$13*(AI13*$B33))</f>
        <v>38009.14129764367</v>
      </c>
      <c r="AJ33" s="94">
        <f>IF(J33=".",".",up_RadSpec!$F$13*(AJ13*$B33))</f>
        <v>38009.14129764367</v>
      </c>
      <c r="AK33" s="94">
        <f>IF(K33=".",".",up_RadSpec!$F$13*(AK13*$B33))</f>
        <v>38009.14129764367</v>
      </c>
      <c r="AL33" s="94">
        <f>IF(L33=".",".",up_RadSpec!$F$13*(AL13*$B33))</f>
        <v>38009.14129764367</v>
      </c>
      <c r="AM33" s="94">
        <f>IF(M33=".",".",up_RadSpec!$F$13*(AM13*$B33))</f>
        <v>38009.14129764367</v>
      </c>
      <c r="AN33" s="94">
        <f>IF(N33=".",".",up_RadSpec!$F$13*(AN13*$B33))</f>
        <v>38009.14129764367</v>
      </c>
      <c r="AO33" s="94">
        <f>IF(O33=".",".",up_RadSpec!$F$13*(AO13*$B33))</f>
        <v>38009.14129764367</v>
      </c>
      <c r="AP33" s="94">
        <f>IF(P33=".",".",up_RadSpec!$F$13*(AP13*$B33))</f>
        <v>38009.14129764367</v>
      </c>
      <c r="AQ33" s="94">
        <f>IF(Q33=".",".",up_RadSpec!$F$13*(AQ13*$B33))</f>
        <v>38009.14129764367</v>
      </c>
      <c r="AR33" s="94">
        <f>IF(R33=".",".",up_RadSpec!$F$13*(AR13*$B33))</f>
        <v>38009.14129764367</v>
      </c>
      <c r="AS33" s="94">
        <f>IF(S33=".",".",up_RadSpec!$F$13*(AS13*$B33))</f>
        <v>38009.14129764367</v>
      </c>
      <c r="AT33" s="94">
        <f>IF(T33=".",".",up_RadSpec!$F$13*(AT13*$B33))</f>
        <v>38009.14129764367</v>
      </c>
      <c r="AU33" s="94">
        <f>IF(U33=".",".",up_RadSpec!$F$13*(AU13*$B33))</f>
        <v>38009.14129764367</v>
      </c>
      <c r="AV33" s="94">
        <f>IF(V33=".",".",up_RadSpec!$F$13*(AV13*$B33))</f>
        <v>38009.14129764367</v>
      </c>
      <c r="AW33" s="94">
        <f>IF(W33=".",".",up_RadSpec!$F$13*(AW13*$B33))</f>
        <v>38009.14129764367</v>
      </c>
      <c r="AX33" s="94">
        <f>IF(X33=".",".",up_RadSpec!$F$13*(AX13*$B33))</f>
        <v>38009.14129764367</v>
      </c>
      <c r="AY33" s="94">
        <f>IF(Y33=".",".",up_RadSpec!$F$13*(AY13*$B33))</f>
        <v>38009.14129764367</v>
      </c>
      <c r="AZ33" s="94">
        <f>IF(Z33=".",".",up_RadSpec!$F$13*(AZ13*$B33))</f>
        <v>38009.14129764367</v>
      </c>
      <c r="BA33" s="94">
        <f>IF(AA33=".",".",up_RadSpec!$F$13*(BA13*$B33))</f>
        <v>38009.14129764367</v>
      </c>
      <c r="BB33" s="94">
        <f>IF(AB33=".",".",up_RadSpec!$F$13*(BB13*$B33))</f>
        <v>38009.14129764367</v>
      </c>
      <c r="BC33" s="60">
        <f t="shared" ref="BC33:CB34" si="13">IFERROR(BC13/$B33,".")</f>
        <v>1.6443412786038033E-4</v>
      </c>
      <c r="BD33" s="60">
        <f t="shared" si="13"/>
        <v>6.5773651144152131E-4</v>
      </c>
      <c r="BE33" s="60">
        <f t="shared" si="13"/>
        <v>6.5773651144152131E-4</v>
      </c>
      <c r="BF33" s="60">
        <f t="shared" si="13"/>
        <v>6.5773651144152131E-4</v>
      </c>
      <c r="BG33" s="60">
        <f t="shared" si="13"/>
        <v>6.5773651144152131E-4</v>
      </c>
      <c r="BH33" s="60">
        <f t="shared" si="13"/>
        <v>6.5773651144152131E-4</v>
      </c>
      <c r="BI33" s="60">
        <f t="shared" si="13"/>
        <v>6.5773651144152131E-4</v>
      </c>
      <c r="BJ33" s="60">
        <f t="shared" si="13"/>
        <v>6.5773651144152131E-4</v>
      </c>
      <c r="BK33" s="60">
        <f t="shared" si="13"/>
        <v>6.5773651144152131E-4</v>
      </c>
      <c r="BL33" s="60">
        <f t="shared" si="13"/>
        <v>6.5773651144152131E-4</v>
      </c>
      <c r="BM33" s="60">
        <f t="shared" si="13"/>
        <v>6.5773651144152131E-4</v>
      </c>
      <c r="BN33" s="60">
        <f t="shared" si="13"/>
        <v>6.5773651144152131E-4</v>
      </c>
      <c r="BO33" s="60">
        <f t="shared" si="13"/>
        <v>6.5773651144152131E-4</v>
      </c>
      <c r="BP33" s="60">
        <f t="shared" si="13"/>
        <v>6.5773651144152131E-4</v>
      </c>
      <c r="BQ33" s="60">
        <f t="shared" si="13"/>
        <v>6.5773651144152131E-4</v>
      </c>
      <c r="BR33" s="60">
        <f t="shared" si="13"/>
        <v>6.5773651144152131E-4</v>
      </c>
      <c r="BS33" s="60">
        <f t="shared" si="13"/>
        <v>6.5773651144152131E-4</v>
      </c>
      <c r="BT33" s="60">
        <f t="shared" si="13"/>
        <v>6.5773651144152131E-4</v>
      </c>
      <c r="BU33" s="60">
        <f t="shared" si="13"/>
        <v>6.5773651144152131E-4</v>
      </c>
      <c r="BV33" s="60">
        <f t="shared" si="13"/>
        <v>6.5773651144152131E-4</v>
      </c>
      <c r="BW33" s="60">
        <f t="shared" si="13"/>
        <v>6.5773651144152131E-4</v>
      </c>
      <c r="BX33" s="60">
        <f t="shared" si="13"/>
        <v>6.5773651144152131E-4</v>
      </c>
      <c r="BY33" s="60">
        <f t="shared" si="13"/>
        <v>6.5773651144152131E-4</v>
      </c>
      <c r="BZ33" s="60">
        <f t="shared" si="13"/>
        <v>6.5773651144152131E-4</v>
      </c>
      <c r="CA33" s="60">
        <f t="shared" si="13"/>
        <v>6.5773651144152131E-4</v>
      </c>
      <c r="CB33" s="60">
        <f t="shared" si="13"/>
        <v>6.5773651144152131E-4</v>
      </c>
      <c r="CC33" s="94">
        <f t="shared" si="11"/>
        <v>152036.56519057468</v>
      </c>
      <c r="CD33" s="94">
        <f>IF(BD33=".",".",up_RadSpec!$F$13*(CD13*$B33))</f>
        <v>38009.14129764367</v>
      </c>
      <c r="CE33" s="94">
        <f>IF(BE33=".",".",up_RadSpec!$F$13*(CE13*$B33))</f>
        <v>38009.14129764367</v>
      </c>
      <c r="CF33" s="94">
        <f>IF(BF33=".",".",up_RadSpec!$F$13*(CF13*$B33))</f>
        <v>38009.14129764367</v>
      </c>
      <c r="CG33" s="94">
        <f>IF(BG33=".",".",up_RadSpec!$F$13*(CG13*$B33))</f>
        <v>38009.14129764367</v>
      </c>
      <c r="CH33" s="94">
        <f>IF(BH33=".",".",up_RadSpec!$F$13*(CH13*$B33))</f>
        <v>38009.14129764367</v>
      </c>
      <c r="CI33" s="94">
        <f>IF(BI33=".",".",up_RadSpec!$F$13*(CI13*$B33))</f>
        <v>38009.14129764367</v>
      </c>
      <c r="CJ33" s="94">
        <f>IF(BJ33=".",".",up_RadSpec!$F$13*(CJ13*$B33))</f>
        <v>38009.14129764367</v>
      </c>
      <c r="CK33" s="94">
        <f>IF(BK33=".",".",up_RadSpec!$F$13*(CK13*$B33))</f>
        <v>38009.14129764367</v>
      </c>
      <c r="CL33" s="94">
        <f>IF(BL33=".",".",up_RadSpec!$F$13*(CL13*$B33))</f>
        <v>38009.14129764367</v>
      </c>
      <c r="CM33" s="94">
        <f>IF(BM33=".",".",up_RadSpec!$F$13*(CM13*$B33))</f>
        <v>38009.14129764367</v>
      </c>
      <c r="CN33" s="94">
        <f>IF(BN33=".",".",up_RadSpec!$F$13*(CN13*$B33))</f>
        <v>38009.14129764367</v>
      </c>
      <c r="CO33" s="94">
        <f>IF(BO33=".",".",up_RadSpec!$F$13*(CO13*$B33))</f>
        <v>38009.14129764367</v>
      </c>
      <c r="CP33" s="94">
        <f>IF(BP33=".",".",up_RadSpec!$F$13*(CP13*$B33))</f>
        <v>38009.14129764367</v>
      </c>
      <c r="CQ33" s="94">
        <f>IF(BQ33=".",".",up_RadSpec!$F$13*(CQ13*$B33))</f>
        <v>38009.14129764367</v>
      </c>
      <c r="CR33" s="94">
        <f>IF(BR33=".",".",up_RadSpec!$F$13*(CR13*$B33))</f>
        <v>38009.14129764367</v>
      </c>
      <c r="CS33" s="94">
        <f>IF(BS33=".",".",up_RadSpec!$F$13*(CS13*$B33))</f>
        <v>38009.14129764367</v>
      </c>
      <c r="CT33" s="94">
        <f>IF(BT33=".",".",up_RadSpec!$F$13*(CT13*$B33))</f>
        <v>38009.14129764367</v>
      </c>
      <c r="CU33" s="94">
        <f>IF(BU33=".",".",up_RadSpec!$F$13*(CU13*$B33))</f>
        <v>38009.14129764367</v>
      </c>
      <c r="CV33" s="94">
        <f>IF(BV33=".",".",up_RadSpec!$F$13*(CV13*$B33))</f>
        <v>38009.14129764367</v>
      </c>
      <c r="CW33" s="94">
        <f>IF(BW33=".",".",up_RadSpec!$F$13*(CW13*$B33))</f>
        <v>38009.14129764367</v>
      </c>
      <c r="CX33" s="94">
        <f>IF(BX33=".",".",up_RadSpec!$F$13*(CX13*$B33))</f>
        <v>38009.14129764367</v>
      </c>
      <c r="CY33" s="94">
        <f>IF(BY33=".",".",up_RadSpec!$F$13*(CY13*$B33))</f>
        <v>38009.14129764367</v>
      </c>
      <c r="CZ33" s="94">
        <f>IF(BZ33=".",".",up_RadSpec!$F$13*(CZ13*$B33))</f>
        <v>38009.14129764367</v>
      </c>
      <c r="DA33" s="94">
        <f>IF(CA33=".",".",up_RadSpec!$F$13*(DA13*$B33))</f>
        <v>38009.14129764367</v>
      </c>
      <c r="DB33" s="94">
        <f>IF(CB33=".",".",up_RadSpec!$F$13*(DB13*$B33))</f>
        <v>38009.14129764367</v>
      </c>
    </row>
    <row r="34" spans="1:106" s="42" customFormat="1" x14ac:dyDescent="0.25">
      <c r="A34" s="77" t="s">
        <v>1062</v>
      </c>
      <c r="B34" s="42">
        <v>1</v>
      </c>
      <c r="C34" s="60">
        <f t="shared" si="12"/>
        <v>1.6443412786038033E-4</v>
      </c>
      <c r="D34" s="60">
        <f t="shared" si="12"/>
        <v>6.5773651144152131E-4</v>
      </c>
      <c r="E34" s="60">
        <f t="shared" si="12"/>
        <v>6.5773651144152131E-4</v>
      </c>
      <c r="F34" s="60">
        <f t="shared" si="12"/>
        <v>6.5773651144152131E-4</v>
      </c>
      <c r="G34" s="60">
        <f t="shared" si="12"/>
        <v>6.5773651144152131E-4</v>
      </c>
      <c r="H34" s="60">
        <f t="shared" si="12"/>
        <v>6.5773651144152131E-4</v>
      </c>
      <c r="I34" s="60">
        <f t="shared" si="12"/>
        <v>6.5773651144152131E-4</v>
      </c>
      <c r="J34" s="60">
        <f t="shared" si="12"/>
        <v>6.5773651144152131E-4</v>
      </c>
      <c r="K34" s="60">
        <f t="shared" si="12"/>
        <v>6.5773651144152131E-4</v>
      </c>
      <c r="L34" s="60">
        <f t="shared" si="12"/>
        <v>6.5773651144152131E-4</v>
      </c>
      <c r="M34" s="60">
        <f t="shared" si="12"/>
        <v>6.5773651144152131E-4</v>
      </c>
      <c r="N34" s="60">
        <f t="shared" si="12"/>
        <v>6.5773651144152131E-4</v>
      </c>
      <c r="O34" s="60">
        <f t="shared" si="12"/>
        <v>6.5773651144152131E-4</v>
      </c>
      <c r="P34" s="60">
        <f t="shared" si="12"/>
        <v>6.5773651144152131E-4</v>
      </c>
      <c r="Q34" s="60">
        <f t="shared" si="12"/>
        <v>6.5773651144152131E-4</v>
      </c>
      <c r="R34" s="60">
        <f t="shared" si="12"/>
        <v>6.5773651144152131E-4</v>
      </c>
      <c r="S34" s="60">
        <f t="shared" si="12"/>
        <v>6.5773651144152131E-4</v>
      </c>
      <c r="T34" s="60">
        <f t="shared" si="12"/>
        <v>6.5773651144152131E-4</v>
      </c>
      <c r="U34" s="60">
        <f t="shared" si="12"/>
        <v>6.5773651144152131E-4</v>
      </c>
      <c r="V34" s="60">
        <f t="shared" si="12"/>
        <v>6.5773651144152131E-4</v>
      </c>
      <c r="W34" s="60">
        <f t="shared" si="12"/>
        <v>6.5773651144152131E-4</v>
      </c>
      <c r="X34" s="60">
        <f t="shared" si="12"/>
        <v>6.5773651144152131E-4</v>
      </c>
      <c r="Y34" s="60">
        <f t="shared" si="12"/>
        <v>6.5773651144152131E-4</v>
      </c>
      <c r="Z34" s="60">
        <f t="shared" si="12"/>
        <v>6.5773651144152131E-4</v>
      </c>
      <c r="AA34" s="60">
        <f t="shared" si="12"/>
        <v>6.5773651144152131E-4</v>
      </c>
      <c r="AB34" s="60">
        <f t="shared" si="12"/>
        <v>6.5773651144152131E-4</v>
      </c>
      <c r="AC34" s="94">
        <f t="shared" si="9"/>
        <v>152036.56519057468</v>
      </c>
      <c r="AD34" s="94">
        <f>IF(D34=".",".",up_RadSpec!$F$14*(AD14*$B34))</f>
        <v>38009.14129764367</v>
      </c>
      <c r="AE34" s="94">
        <f>IF(E34=".",".",up_RadSpec!$F$14*(AE14*$B34))</f>
        <v>38009.14129764367</v>
      </c>
      <c r="AF34" s="94">
        <f>IF(F34=".",".",up_RadSpec!$F$14*(AF14*$B34))</f>
        <v>38009.14129764367</v>
      </c>
      <c r="AG34" s="94">
        <f>IF(G34=".",".",up_RadSpec!$F$14*(AG14*$B34))</f>
        <v>38009.14129764367</v>
      </c>
      <c r="AH34" s="94">
        <f>IF(H34=".",".",up_RadSpec!$F$14*(AH14*$B34))</f>
        <v>38009.14129764367</v>
      </c>
      <c r="AI34" s="94">
        <f>IF(I34=".",".",up_RadSpec!$F$14*(AI14*$B34))</f>
        <v>38009.14129764367</v>
      </c>
      <c r="AJ34" s="94">
        <f>IF(J34=".",".",up_RadSpec!$F$14*(AJ14*$B34))</f>
        <v>38009.14129764367</v>
      </c>
      <c r="AK34" s="94">
        <f>IF(K34=".",".",up_RadSpec!$F$14*(AK14*$B34))</f>
        <v>38009.14129764367</v>
      </c>
      <c r="AL34" s="94">
        <f>IF(L34=".",".",up_RadSpec!$F$14*(AL14*$B34))</f>
        <v>38009.14129764367</v>
      </c>
      <c r="AM34" s="94">
        <f>IF(M34=".",".",up_RadSpec!$F$14*(AM14*$B34))</f>
        <v>38009.14129764367</v>
      </c>
      <c r="AN34" s="94">
        <f>IF(N34=".",".",up_RadSpec!$F$14*(AN14*$B34))</f>
        <v>38009.14129764367</v>
      </c>
      <c r="AO34" s="94">
        <f>IF(O34=".",".",up_RadSpec!$F$14*(AO14*$B34))</f>
        <v>38009.14129764367</v>
      </c>
      <c r="AP34" s="94">
        <f>IF(P34=".",".",up_RadSpec!$F$14*(AP14*$B34))</f>
        <v>38009.14129764367</v>
      </c>
      <c r="AQ34" s="94">
        <f>IF(Q34=".",".",up_RadSpec!$F$14*(AQ14*$B34))</f>
        <v>38009.14129764367</v>
      </c>
      <c r="AR34" s="94">
        <f>IF(R34=".",".",up_RadSpec!$F$14*(AR14*$B34))</f>
        <v>38009.14129764367</v>
      </c>
      <c r="AS34" s="94">
        <f>IF(S34=".",".",up_RadSpec!$F$14*(AS14*$B34))</f>
        <v>38009.14129764367</v>
      </c>
      <c r="AT34" s="94">
        <f>IF(T34=".",".",up_RadSpec!$F$14*(AT14*$B34))</f>
        <v>38009.14129764367</v>
      </c>
      <c r="AU34" s="94">
        <f>IF(U34=".",".",up_RadSpec!$F$14*(AU14*$B34))</f>
        <v>38009.14129764367</v>
      </c>
      <c r="AV34" s="94">
        <f>IF(V34=".",".",up_RadSpec!$F$14*(AV14*$B34))</f>
        <v>38009.14129764367</v>
      </c>
      <c r="AW34" s="94">
        <f>IF(W34=".",".",up_RadSpec!$F$14*(AW14*$B34))</f>
        <v>38009.14129764367</v>
      </c>
      <c r="AX34" s="94">
        <f>IF(X34=".",".",up_RadSpec!$F$14*(AX14*$B34))</f>
        <v>38009.14129764367</v>
      </c>
      <c r="AY34" s="94">
        <f>IF(Y34=".",".",up_RadSpec!$F$14*(AY14*$B34))</f>
        <v>38009.14129764367</v>
      </c>
      <c r="AZ34" s="94">
        <f>IF(Z34=".",".",up_RadSpec!$F$14*(AZ14*$B34))</f>
        <v>38009.14129764367</v>
      </c>
      <c r="BA34" s="94">
        <f>IF(AA34=".",".",up_RadSpec!$F$14*(BA14*$B34))</f>
        <v>38009.14129764367</v>
      </c>
      <c r="BB34" s="94">
        <f>IF(AB34=".",".",up_RadSpec!$F$14*(BB14*$B34))</f>
        <v>38009.14129764367</v>
      </c>
      <c r="BC34" s="60">
        <f t="shared" si="13"/>
        <v>1.6443412786038033E-4</v>
      </c>
      <c r="BD34" s="60">
        <f t="shared" si="13"/>
        <v>6.5773651144152131E-4</v>
      </c>
      <c r="BE34" s="60">
        <f t="shared" si="13"/>
        <v>6.5773651144152131E-4</v>
      </c>
      <c r="BF34" s="60">
        <f t="shared" si="13"/>
        <v>6.5773651144152131E-4</v>
      </c>
      <c r="BG34" s="60">
        <f t="shared" si="13"/>
        <v>6.5773651144152131E-4</v>
      </c>
      <c r="BH34" s="60">
        <f t="shared" si="13"/>
        <v>6.5773651144152131E-4</v>
      </c>
      <c r="BI34" s="60">
        <f t="shared" si="13"/>
        <v>6.5773651144152131E-4</v>
      </c>
      <c r="BJ34" s="60">
        <f t="shared" si="13"/>
        <v>6.5773651144152131E-4</v>
      </c>
      <c r="BK34" s="60">
        <f t="shared" si="13"/>
        <v>6.5773651144152131E-4</v>
      </c>
      <c r="BL34" s="60">
        <f t="shared" si="13"/>
        <v>6.5773651144152131E-4</v>
      </c>
      <c r="BM34" s="60">
        <f t="shared" si="13"/>
        <v>6.5773651144152131E-4</v>
      </c>
      <c r="BN34" s="60">
        <f t="shared" si="13"/>
        <v>6.5773651144152131E-4</v>
      </c>
      <c r="BO34" s="60">
        <f t="shared" si="13"/>
        <v>6.5773651144152131E-4</v>
      </c>
      <c r="BP34" s="60">
        <f t="shared" si="13"/>
        <v>6.5773651144152131E-4</v>
      </c>
      <c r="BQ34" s="60">
        <f t="shared" si="13"/>
        <v>6.5773651144152131E-4</v>
      </c>
      <c r="BR34" s="60">
        <f t="shared" si="13"/>
        <v>6.5773651144152131E-4</v>
      </c>
      <c r="BS34" s="60">
        <f t="shared" si="13"/>
        <v>6.5773651144152131E-4</v>
      </c>
      <c r="BT34" s="60">
        <f t="shared" si="13"/>
        <v>6.5773651144152131E-4</v>
      </c>
      <c r="BU34" s="60">
        <f t="shared" si="13"/>
        <v>6.5773651144152131E-4</v>
      </c>
      <c r="BV34" s="60">
        <f t="shared" si="13"/>
        <v>6.5773651144152131E-4</v>
      </c>
      <c r="BW34" s="60">
        <f t="shared" si="13"/>
        <v>6.5773651144152131E-4</v>
      </c>
      <c r="BX34" s="60">
        <f t="shared" si="13"/>
        <v>6.5773651144152131E-4</v>
      </c>
      <c r="BY34" s="60">
        <f t="shared" si="13"/>
        <v>6.5773651144152131E-4</v>
      </c>
      <c r="BZ34" s="60">
        <f t="shared" si="13"/>
        <v>6.5773651144152131E-4</v>
      </c>
      <c r="CA34" s="60">
        <f t="shared" si="13"/>
        <v>6.5773651144152131E-4</v>
      </c>
      <c r="CB34" s="60">
        <f t="shared" si="13"/>
        <v>6.5773651144152131E-4</v>
      </c>
      <c r="CC34" s="94">
        <f t="shared" si="11"/>
        <v>152036.56519057468</v>
      </c>
      <c r="CD34" s="94">
        <f>IF(BD34=".",".",up_RadSpec!$F$14*(CD14*$B34))</f>
        <v>38009.14129764367</v>
      </c>
      <c r="CE34" s="94">
        <f>IF(BE34=".",".",up_RadSpec!$F$14*(CE14*$B34))</f>
        <v>38009.14129764367</v>
      </c>
      <c r="CF34" s="94">
        <f>IF(BF34=".",".",up_RadSpec!$F$14*(CF14*$B34))</f>
        <v>38009.14129764367</v>
      </c>
      <c r="CG34" s="94">
        <f>IF(BG34=".",".",up_RadSpec!$F$14*(CG14*$B34))</f>
        <v>38009.14129764367</v>
      </c>
      <c r="CH34" s="94">
        <f>IF(BH34=".",".",up_RadSpec!$F$14*(CH14*$B34))</f>
        <v>38009.14129764367</v>
      </c>
      <c r="CI34" s="94">
        <f>IF(BI34=".",".",up_RadSpec!$F$14*(CI14*$B34))</f>
        <v>38009.14129764367</v>
      </c>
      <c r="CJ34" s="94">
        <f>IF(BJ34=".",".",up_RadSpec!$F$14*(CJ14*$B34))</f>
        <v>38009.14129764367</v>
      </c>
      <c r="CK34" s="94">
        <f>IF(BK34=".",".",up_RadSpec!$F$14*(CK14*$B34))</f>
        <v>38009.14129764367</v>
      </c>
      <c r="CL34" s="94">
        <f>IF(BL34=".",".",up_RadSpec!$F$14*(CL14*$B34))</f>
        <v>38009.14129764367</v>
      </c>
      <c r="CM34" s="94">
        <f>IF(BM34=".",".",up_RadSpec!$F$14*(CM14*$B34))</f>
        <v>38009.14129764367</v>
      </c>
      <c r="CN34" s="94">
        <f>IF(BN34=".",".",up_RadSpec!$F$14*(CN14*$B34))</f>
        <v>38009.14129764367</v>
      </c>
      <c r="CO34" s="94">
        <f>IF(BO34=".",".",up_RadSpec!$F$14*(CO14*$B34))</f>
        <v>38009.14129764367</v>
      </c>
      <c r="CP34" s="94">
        <f>IF(BP34=".",".",up_RadSpec!$F$14*(CP14*$B34))</f>
        <v>38009.14129764367</v>
      </c>
      <c r="CQ34" s="94">
        <f>IF(BQ34=".",".",up_RadSpec!$F$14*(CQ14*$B34))</f>
        <v>38009.14129764367</v>
      </c>
      <c r="CR34" s="94">
        <f>IF(BR34=".",".",up_RadSpec!$F$14*(CR14*$B34))</f>
        <v>38009.14129764367</v>
      </c>
      <c r="CS34" s="94">
        <f>IF(BS34=".",".",up_RadSpec!$F$14*(CS14*$B34))</f>
        <v>38009.14129764367</v>
      </c>
      <c r="CT34" s="94">
        <f>IF(BT34=".",".",up_RadSpec!$F$14*(CT14*$B34))</f>
        <v>38009.14129764367</v>
      </c>
      <c r="CU34" s="94">
        <f>IF(BU34=".",".",up_RadSpec!$F$14*(CU14*$B34))</f>
        <v>38009.14129764367</v>
      </c>
      <c r="CV34" s="94">
        <f>IF(BV34=".",".",up_RadSpec!$F$14*(CV14*$B34))</f>
        <v>38009.14129764367</v>
      </c>
      <c r="CW34" s="94">
        <f>IF(BW34=".",".",up_RadSpec!$F$14*(CW14*$B34))</f>
        <v>38009.14129764367</v>
      </c>
      <c r="CX34" s="94">
        <f>IF(BX34=".",".",up_RadSpec!$F$14*(CX14*$B34))</f>
        <v>38009.14129764367</v>
      </c>
      <c r="CY34" s="94">
        <f>IF(BY34=".",".",up_RadSpec!$F$14*(CY14*$B34))</f>
        <v>38009.14129764367</v>
      </c>
      <c r="CZ34" s="94">
        <f>IF(BZ34=".",".",up_RadSpec!$F$14*(CZ14*$B34))</f>
        <v>38009.14129764367</v>
      </c>
      <c r="DA34" s="94">
        <f>IF(CA34=".",".",up_RadSpec!$F$14*(DA14*$B34))</f>
        <v>38009.14129764367</v>
      </c>
      <c r="DB34" s="94">
        <f>IF(CB34=".",".",up_RadSpec!$F$14*(DB14*$B34))</f>
        <v>38009.14129764367</v>
      </c>
    </row>
    <row r="35" spans="1:106" s="42" customFormat="1" x14ac:dyDescent="0.25">
      <c r="A35" s="77" t="s">
        <v>1063</v>
      </c>
      <c r="B35" s="42">
        <v>1</v>
      </c>
      <c r="C35" s="60">
        <f t="shared" ref="C35:AB35" si="14">IFERROR(C30/$B35,".")</f>
        <v>1.6443412786038033E-4</v>
      </c>
      <c r="D35" s="60">
        <f t="shared" si="14"/>
        <v>6.5773651144152131E-4</v>
      </c>
      <c r="E35" s="60">
        <f t="shared" si="14"/>
        <v>6.5773651144152131E-4</v>
      </c>
      <c r="F35" s="60">
        <f t="shared" si="14"/>
        <v>6.5773651144152131E-4</v>
      </c>
      <c r="G35" s="60">
        <f t="shared" si="14"/>
        <v>6.5773651144152131E-4</v>
      </c>
      <c r="H35" s="60">
        <f t="shared" si="14"/>
        <v>6.5773651144152131E-4</v>
      </c>
      <c r="I35" s="60">
        <f t="shared" si="14"/>
        <v>6.5773651144152131E-4</v>
      </c>
      <c r="J35" s="60">
        <f t="shared" si="14"/>
        <v>6.5773651144152131E-4</v>
      </c>
      <c r="K35" s="60">
        <f t="shared" si="14"/>
        <v>6.5773651144152131E-4</v>
      </c>
      <c r="L35" s="60">
        <f t="shared" si="14"/>
        <v>6.5773651144152131E-4</v>
      </c>
      <c r="M35" s="60">
        <f t="shared" si="14"/>
        <v>6.5773651144152131E-4</v>
      </c>
      <c r="N35" s="60">
        <f t="shared" si="14"/>
        <v>6.5773651144152131E-4</v>
      </c>
      <c r="O35" s="60">
        <f t="shared" si="14"/>
        <v>6.5773651144152131E-4</v>
      </c>
      <c r="P35" s="60">
        <f t="shared" si="14"/>
        <v>6.5773651144152131E-4</v>
      </c>
      <c r="Q35" s="60">
        <f t="shared" si="14"/>
        <v>6.5773651144152131E-4</v>
      </c>
      <c r="R35" s="60">
        <f t="shared" si="14"/>
        <v>6.5773651144152131E-4</v>
      </c>
      <c r="S35" s="60">
        <f t="shared" si="14"/>
        <v>6.5773651144152131E-4</v>
      </c>
      <c r="T35" s="60">
        <f t="shared" si="14"/>
        <v>6.5773651144152131E-4</v>
      </c>
      <c r="U35" s="60">
        <f t="shared" si="14"/>
        <v>6.5773651144152131E-4</v>
      </c>
      <c r="V35" s="60">
        <f t="shared" si="14"/>
        <v>6.5773651144152131E-4</v>
      </c>
      <c r="W35" s="60">
        <f t="shared" si="14"/>
        <v>6.5773651144152131E-4</v>
      </c>
      <c r="X35" s="60">
        <f t="shared" si="14"/>
        <v>6.5773651144152131E-4</v>
      </c>
      <c r="Y35" s="60">
        <f t="shared" si="14"/>
        <v>6.5773651144152131E-4</v>
      </c>
      <c r="Z35" s="60">
        <f t="shared" si="14"/>
        <v>6.5773651144152131E-4</v>
      </c>
      <c r="AA35" s="60">
        <f t="shared" si="14"/>
        <v>6.5773651144152131E-4</v>
      </c>
      <c r="AB35" s="60">
        <f t="shared" si="14"/>
        <v>6.5773651144152131E-4</v>
      </c>
      <c r="AC35" s="94">
        <f t="shared" si="9"/>
        <v>152036.56519057468</v>
      </c>
      <c r="AD35" s="94">
        <f>IF(D35=".",".",up_RadSpec!$F$30*(AD30*$B35))</f>
        <v>38009.14129764367</v>
      </c>
      <c r="AE35" s="94">
        <f>IF(E35=".",".",up_RadSpec!$F$30*(AE30*$B35))</f>
        <v>38009.14129764367</v>
      </c>
      <c r="AF35" s="94">
        <f>IF(F35=".",".",up_RadSpec!$F$30*(AF30*$B35))</f>
        <v>38009.14129764367</v>
      </c>
      <c r="AG35" s="94">
        <f>IF(G35=".",".",up_RadSpec!$F$30*(AG30*$B35))</f>
        <v>38009.14129764367</v>
      </c>
      <c r="AH35" s="94">
        <f>IF(H35=".",".",up_RadSpec!$F$30*(AH30*$B35))</f>
        <v>38009.14129764367</v>
      </c>
      <c r="AI35" s="94">
        <f>IF(I35=".",".",up_RadSpec!$F$30*(AI30*$B35))</f>
        <v>38009.14129764367</v>
      </c>
      <c r="AJ35" s="94">
        <f>IF(J35=".",".",up_RadSpec!$F$30*(AJ30*$B35))</f>
        <v>38009.14129764367</v>
      </c>
      <c r="AK35" s="94">
        <f>IF(K35=".",".",up_RadSpec!$F$30*(AK30*$B35))</f>
        <v>38009.14129764367</v>
      </c>
      <c r="AL35" s="94">
        <f>IF(L35=".",".",up_RadSpec!$F$30*(AL30*$B35))</f>
        <v>38009.14129764367</v>
      </c>
      <c r="AM35" s="94">
        <f>IF(M35=".",".",up_RadSpec!$F$30*(AM30*$B35))</f>
        <v>38009.14129764367</v>
      </c>
      <c r="AN35" s="94">
        <f>IF(N35=".",".",up_RadSpec!$F$30*(AN30*$B35))</f>
        <v>38009.14129764367</v>
      </c>
      <c r="AO35" s="94">
        <f>IF(O35=".",".",up_RadSpec!$F$30*(AO30*$B35))</f>
        <v>38009.14129764367</v>
      </c>
      <c r="AP35" s="94">
        <f>IF(P35=".",".",up_RadSpec!$F$30*(AP30*$B35))</f>
        <v>38009.14129764367</v>
      </c>
      <c r="AQ35" s="94">
        <f>IF(Q35=".",".",up_RadSpec!$F$30*(AQ30*$B35))</f>
        <v>38009.14129764367</v>
      </c>
      <c r="AR35" s="94">
        <f>IF(R35=".",".",up_RadSpec!$F$30*(AR30*$B35))</f>
        <v>38009.14129764367</v>
      </c>
      <c r="AS35" s="94">
        <f>IF(S35=".",".",up_RadSpec!$F$30*(AS30*$B35))</f>
        <v>38009.14129764367</v>
      </c>
      <c r="AT35" s="94">
        <f>IF(T35=".",".",up_RadSpec!$F$30*(AT30*$B35))</f>
        <v>38009.14129764367</v>
      </c>
      <c r="AU35" s="94">
        <f>IF(U35=".",".",up_RadSpec!$F$30*(AU30*$B35))</f>
        <v>38009.14129764367</v>
      </c>
      <c r="AV35" s="94">
        <f>IF(V35=".",".",up_RadSpec!$F$30*(AV30*$B35))</f>
        <v>38009.14129764367</v>
      </c>
      <c r="AW35" s="94">
        <f>IF(W35=".",".",up_RadSpec!$F$30*(AW30*$B35))</f>
        <v>38009.14129764367</v>
      </c>
      <c r="AX35" s="94">
        <f>IF(X35=".",".",up_RadSpec!$F$30*(AX30*$B35))</f>
        <v>38009.14129764367</v>
      </c>
      <c r="AY35" s="94">
        <f>IF(Y35=".",".",up_RadSpec!$F$30*(AY30*$B35))</f>
        <v>38009.14129764367</v>
      </c>
      <c r="AZ35" s="94">
        <f>IF(Z35=".",".",up_RadSpec!$F$30*(AZ30*$B35))</f>
        <v>38009.14129764367</v>
      </c>
      <c r="BA35" s="94">
        <f>IF(AA35=".",".",up_RadSpec!$F$30*(BA30*$B35))</f>
        <v>38009.14129764367</v>
      </c>
      <c r="BB35" s="94">
        <f>IF(AB35=".",".",up_RadSpec!$F$30*(BB30*$B35))</f>
        <v>38009.14129764367</v>
      </c>
      <c r="BC35" s="60">
        <f t="shared" ref="BC35:CB35" si="15">IFERROR(BC30/$B35,".")</f>
        <v>1.6443412786038033E-4</v>
      </c>
      <c r="BD35" s="60">
        <f t="shared" si="15"/>
        <v>6.5773651144152131E-4</v>
      </c>
      <c r="BE35" s="60">
        <f t="shared" si="15"/>
        <v>6.5773651144152131E-4</v>
      </c>
      <c r="BF35" s="60">
        <f t="shared" si="15"/>
        <v>6.5773651144152131E-4</v>
      </c>
      <c r="BG35" s="60">
        <f t="shared" si="15"/>
        <v>6.5773651144152131E-4</v>
      </c>
      <c r="BH35" s="60">
        <f t="shared" si="15"/>
        <v>6.5773651144152131E-4</v>
      </c>
      <c r="BI35" s="60">
        <f t="shared" si="15"/>
        <v>6.5773651144152131E-4</v>
      </c>
      <c r="BJ35" s="60">
        <f t="shared" si="15"/>
        <v>6.5773651144152131E-4</v>
      </c>
      <c r="BK35" s="60">
        <f t="shared" si="15"/>
        <v>6.5773651144152131E-4</v>
      </c>
      <c r="BL35" s="60">
        <f t="shared" si="15"/>
        <v>6.5773651144152131E-4</v>
      </c>
      <c r="BM35" s="60">
        <f t="shared" si="15"/>
        <v>6.5773651144152131E-4</v>
      </c>
      <c r="BN35" s="60">
        <f t="shared" si="15"/>
        <v>6.5773651144152131E-4</v>
      </c>
      <c r="BO35" s="60">
        <f t="shared" si="15"/>
        <v>6.5773651144152131E-4</v>
      </c>
      <c r="BP35" s="60">
        <f t="shared" si="15"/>
        <v>6.5773651144152131E-4</v>
      </c>
      <c r="BQ35" s="60">
        <f t="shared" si="15"/>
        <v>6.5773651144152131E-4</v>
      </c>
      <c r="BR35" s="60">
        <f t="shared" si="15"/>
        <v>6.5773651144152131E-4</v>
      </c>
      <c r="BS35" s="60">
        <f t="shared" si="15"/>
        <v>6.5773651144152131E-4</v>
      </c>
      <c r="BT35" s="60">
        <f t="shared" si="15"/>
        <v>6.5773651144152131E-4</v>
      </c>
      <c r="BU35" s="60">
        <f t="shared" si="15"/>
        <v>6.5773651144152131E-4</v>
      </c>
      <c r="BV35" s="60">
        <f t="shared" si="15"/>
        <v>6.5773651144152131E-4</v>
      </c>
      <c r="BW35" s="60">
        <f t="shared" si="15"/>
        <v>6.5773651144152131E-4</v>
      </c>
      <c r="BX35" s="60">
        <f t="shared" si="15"/>
        <v>6.5773651144152131E-4</v>
      </c>
      <c r="BY35" s="60">
        <f t="shared" si="15"/>
        <v>6.5773651144152131E-4</v>
      </c>
      <c r="BZ35" s="60">
        <f t="shared" si="15"/>
        <v>6.5773651144152131E-4</v>
      </c>
      <c r="CA35" s="60">
        <f t="shared" si="15"/>
        <v>6.5773651144152131E-4</v>
      </c>
      <c r="CB35" s="60">
        <f t="shared" si="15"/>
        <v>6.5773651144152131E-4</v>
      </c>
      <c r="CC35" s="94">
        <f t="shared" si="11"/>
        <v>152036.56519057468</v>
      </c>
      <c r="CD35" s="94">
        <f>IF(BD35=".",".",up_RadSpec!$F$30*(CD30*$B35))</f>
        <v>38009.14129764367</v>
      </c>
      <c r="CE35" s="94">
        <f>IF(BE35=".",".",up_RadSpec!$F$30*(CE30*$B35))</f>
        <v>38009.14129764367</v>
      </c>
      <c r="CF35" s="94">
        <f>IF(BF35=".",".",up_RadSpec!$F$30*(CF30*$B35))</f>
        <v>38009.14129764367</v>
      </c>
      <c r="CG35" s="94">
        <f>IF(BG35=".",".",up_RadSpec!$F$30*(CG30*$B35))</f>
        <v>38009.14129764367</v>
      </c>
      <c r="CH35" s="94">
        <f>IF(BH35=".",".",up_RadSpec!$F$30*(CH30*$B35))</f>
        <v>38009.14129764367</v>
      </c>
      <c r="CI35" s="94">
        <f>IF(BI35=".",".",up_RadSpec!$F$30*(CI30*$B35))</f>
        <v>38009.14129764367</v>
      </c>
      <c r="CJ35" s="94">
        <f>IF(BJ35=".",".",up_RadSpec!$F$30*(CJ30*$B35))</f>
        <v>38009.14129764367</v>
      </c>
      <c r="CK35" s="94">
        <f>IF(BK35=".",".",up_RadSpec!$F$30*(CK30*$B35))</f>
        <v>38009.14129764367</v>
      </c>
      <c r="CL35" s="94">
        <f>IF(BL35=".",".",up_RadSpec!$F$30*(CL30*$B35))</f>
        <v>38009.14129764367</v>
      </c>
      <c r="CM35" s="94">
        <f>IF(BM35=".",".",up_RadSpec!$F$30*(CM30*$B35))</f>
        <v>38009.14129764367</v>
      </c>
      <c r="CN35" s="94">
        <f>IF(BN35=".",".",up_RadSpec!$F$30*(CN30*$B35))</f>
        <v>38009.14129764367</v>
      </c>
      <c r="CO35" s="94">
        <f>IF(BO35=".",".",up_RadSpec!$F$30*(CO30*$B35))</f>
        <v>38009.14129764367</v>
      </c>
      <c r="CP35" s="94">
        <f>IF(BP35=".",".",up_RadSpec!$F$30*(CP30*$B35))</f>
        <v>38009.14129764367</v>
      </c>
      <c r="CQ35" s="94">
        <f>IF(BQ35=".",".",up_RadSpec!$F$30*(CQ30*$B35))</f>
        <v>38009.14129764367</v>
      </c>
      <c r="CR35" s="94">
        <f>IF(BR35=".",".",up_RadSpec!$F$30*(CR30*$B35))</f>
        <v>38009.14129764367</v>
      </c>
      <c r="CS35" s="94">
        <f>IF(BS35=".",".",up_RadSpec!$F$30*(CS30*$B35))</f>
        <v>38009.14129764367</v>
      </c>
      <c r="CT35" s="94">
        <f>IF(BT35=".",".",up_RadSpec!$F$30*(CT30*$B35))</f>
        <v>38009.14129764367</v>
      </c>
      <c r="CU35" s="94">
        <f>IF(BU35=".",".",up_RadSpec!$F$30*(CU30*$B35))</f>
        <v>38009.14129764367</v>
      </c>
      <c r="CV35" s="94">
        <f>IF(BV35=".",".",up_RadSpec!$F$30*(CV30*$B35))</f>
        <v>38009.14129764367</v>
      </c>
      <c r="CW35" s="94">
        <f>IF(BW35=".",".",up_RadSpec!$F$30*(CW30*$B35))</f>
        <v>38009.14129764367</v>
      </c>
      <c r="CX35" s="94">
        <f>IF(BX35=".",".",up_RadSpec!$F$30*(CX30*$B35))</f>
        <v>38009.14129764367</v>
      </c>
      <c r="CY35" s="94">
        <f>IF(BY35=".",".",up_RadSpec!$F$30*(CY30*$B35))</f>
        <v>38009.14129764367</v>
      </c>
      <c r="CZ35" s="94">
        <f>IF(BZ35=".",".",up_RadSpec!$F$30*(CZ30*$B35))</f>
        <v>38009.14129764367</v>
      </c>
      <c r="DA35" s="94">
        <f>IF(CA35=".",".",up_RadSpec!$F$30*(DA30*$B35))</f>
        <v>38009.14129764367</v>
      </c>
      <c r="DB35" s="94">
        <f>IF(CB35=".",".",up_RadSpec!$F$30*(DB30*$B35))</f>
        <v>38009.14129764367</v>
      </c>
    </row>
    <row r="36" spans="1:106" s="42" customFormat="1" x14ac:dyDescent="0.25">
      <c r="A36" s="77" t="s">
        <v>1064</v>
      </c>
      <c r="B36" s="42">
        <v>1</v>
      </c>
      <c r="C36" s="60">
        <f t="shared" ref="C36:AB36" si="16">IFERROR(C26/$B36,".")</f>
        <v>1.6443412786038033E-4</v>
      </c>
      <c r="D36" s="60">
        <f t="shared" si="16"/>
        <v>6.5773651144152131E-4</v>
      </c>
      <c r="E36" s="60">
        <f t="shared" si="16"/>
        <v>6.5773651144152131E-4</v>
      </c>
      <c r="F36" s="60">
        <f t="shared" si="16"/>
        <v>6.5773651144152131E-4</v>
      </c>
      <c r="G36" s="60">
        <f t="shared" si="16"/>
        <v>6.5773651144152131E-4</v>
      </c>
      <c r="H36" s="60">
        <f t="shared" si="16"/>
        <v>6.5773651144152131E-4</v>
      </c>
      <c r="I36" s="60">
        <f t="shared" si="16"/>
        <v>6.5773651144152131E-4</v>
      </c>
      <c r="J36" s="60">
        <f t="shared" si="16"/>
        <v>6.5773651144152131E-4</v>
      </c>
      <c r="K36" s="60">
        <f t="shared" si="16"/>
        <v>6.5773651144152131E-4</v>
      </c>
      <c r="L36" s="60">
        <f t="shared" si="16"/>
        <v>6.5773651144152131E-4</v>
      </c>
      <c r="M36" s="60">
        <f t="shared" si="16"/>
        <v>6.5773651144152131E-4</v>
      </c>
      <c r="N36" s="60">
        <f t="shared" si="16"/>
        <v>6.5773651144152131E-4</v>
      </c>
      <c r="O36" s="60">
        <f t="shared" si="16"/>
        <v>6.5773651144152131E-4</v>
      </c>
      <c r="P36" s="60">
        <f t="shared" si="16"/>
        <v>6.5773651144152131E-4</v>
      </c>
      <c r="Q36" s="60">
        <f t="shared" si="16"/>
        <v>6.5773651144152131E-4</v>
      </c>
      <c r="R36" s="60">
        <f t="shared" si="16"/>
        <v>6.5773651144152131E-4</v>
      </c>
      <c r="S36" s="60">
        <f t="shared" si="16"/>
        <v>6.5773651144152131E-4</v>
      </c>
      <c r="T36" s="60">
        <f t="shared" si="16"/>
        <v>6.5773651144152131E-4</v>
      </c>
      <c r="U36" s="60">
        <f t="shared" si="16"/>
        <v>6.5773651144152131E-4</v>
      </c>
      <c r="V36" s="60">
        <f t="shared" si="16"/>
        <v>6.5773651144152131E-4</v>
      </c>
      <c r="W36" s="60">
        <f t="shared" si="16"/>
        <v>6.5773651144152131E-4</v>
      </c>
      <c r="X36" s="60">
        <f t="shared" si="16"/>
        <v>6.5773651144152131E-4</v>
      </c>
      <c r="Y36" s="60">
        <f t="shared" si="16"/>
        <v>6.5773651144152131E-4</v>
      </c>
      <c r="Z36" s="60">
        <f t="shared" si="16"/>
        <v>6.5773651144152131E-4</v>
      </c>
      <c r="AA36" s="60">
        <f t="shared" si="16"/>
        <v>6.5773651144152131E-4</v>
      </c>
      <c r="AB36" s="60">
        <f t="shared" si="16"/>
        <v>6.5773651144152131E-4</v>
      </c>
      <c r="AC36" s="94">
        <f t="shared" si="9"/>
        <v>152036.56519057468</v>
      </c>
      <c r="AD36" s="94">
        <f>IF(D36=".",".",up_RadSpec!$F$26*(AD26*$B36))</f>
        <v>38009.14129764367</v>
      </c>
      <c r="AE36" s="94">
        <f>IF(E36=".",".",up_RadSpec!$F$26*(AE26*$B36))</f>
        <v>38009.14129764367</v>
      </c>
      <c r="AF36" s="94">
        <f>IF(F36=".",".",up_RadSpec!$F$26*(AF26*$B36))</f>
        <v>38009.14129764367</v>
      </c>
      <c r="AG36" s="94">
        <f>IF(G36=".",".",up_RadSpec!$F$26*(AG26*$B36))</f>
        <v>38009.14129764367</v>
      </c>
      <c r="AH36" s="94">
        <f>IF(H36=".",".",up_RadSpec!$F$26*(AH26*$B36))</f>
        <v>38009.14129764367</v>
      </c>
      <c r="AI36" s="94">
        <f>IF(I36=".",".",up_RadSpec!$F$26*(AI26*$B36))</f>
        <v>38009.14129764367</v>
      </c>
      <c r="AJ36" s="94">
        <f>IF(J36=".",".",up_RadSpec!$F$26*(AJ26*$B36))</f>
        <v>38009.14129764367</v>
      </c>
      <c r="AK36" s="94">
        <f>IF(K36=".",".",up_RadSpec!$F$26*(AK26*$B36))</f>
        <v>38009.14129764367</v>
      </c>
      <c r="AL36" s="94">
        <f>IF(L36=".",".",up_RadSpec!$F$26*(AL26*$B36))</f>
        <v>38009.14129764367</v>
      </c>
      <c r="AM36" s="94">
        <f>IF(M36=".",".",up_RadSpec!$F$26*(AM26*$B36))</f>
        <v>38009.14129764367</v>
      </c>
      <c r="AN36" s="94">
        <f>IF(N36=".",".",up_RadSpec!$F$26*(AN26*$B36))</f>
        <v>38009.14129764367</v>
      </c>
      <c r="AO36" s="94">
        <f>IF(O36=".",".",up_RadSpec!$F$26*(AO26*$B36))</f>
        <v>38009.14129764367</v>
      </c>
      <c r="AP36" s="94">
        <f>IF(P36=".",".",up_RadSpec!$F$26*(AP26*$B36))</f>
        <v>38009.14129764367</v>
      </c>
      <c r="AQ36" s="94">
        <f>IF(Q36=".",".",up_RadSpec!$F$26*(AQ26*$B36))</f>
        <v>38009.14129764367</v>
      </c>
      <c r="AR36" s="94">
        <f>IF(R36=".",".",up_RadSpec!$F$26*(AR26*$B36))</f>
        <v>38009.14129764367</v>
      </c>
      <c r="AS36" s="94">
        <f>IF(S36=".",".",up_RadSpec!$F$26*(AS26*$B36))</f>
        <v>38009.14129764367</v>
      </c>
      <c r="AT36" s="94">
        <f>IF(T36=".",".",up_RadSpec!$F$26*(AT26*$B36))</f>
        <v>38009.14129764367</v>
      </c>
      <c r="AU36" s="94">
        <f>IF(U36=".",".",up_RadSpec!$F$26*(AU26*$B36))</f>
        <v>38009.14129764367</v>
      </c>
      <c r="AV36" s="94">
        <f>IF(V36=".",".",up_RadSpec!$F$26*(AV26*$B36))</f>
        <v>38009.14129764367</v>
      </c>
      <c r="AW36" s="94">
        <f>IF(W36=".",".",up_RadSpec!$F$26*(AW26*$B36))</f>
        <v>38009.14129764367</v>
      </c>
      <c r="AX36" s="94">
        <f>IF(X36=".",".",up_RadSpec!$F$26*(AX26*$B36))</f>
        <v>38009.14129764367</v>
      </c>
      <c r="AY36" s="94">
        <f>IF(Y36=".",".",up_RadSpec!$F$26*(AY26*$B36))</f>
        <v>38009.14129764367</v>
      </c>
      <c r="AZ36" s="94">
        <f>IF(Z36=".",".",up_RadSpec!$F$26*(AZ26*$B36))</f>
        <v>38009.14129764367</v>
      </c>
      <c r="BA36" s="94">
        <f>IF(AA36=".",".",up_RadSpec!$F$26*(BA26*$B36))</f>
        <v>38009.14129764367</v>
      </c>
      <c r="BB36" s="94">
        <f>IF(AB36=".",".",up_RadSpec!$F$26*(BB26*$B36))</f>
        <v>38009.14129764367</v>
      </c>
      <c r="BC36" s="60">
        <f t="shared" ref="BC36:CB36" si="17">IFERROR(BC26/$B36,".")</f>
        <v>1.6443412786038033E-4</v>
      </c>
      <c r="BD36" s="60">
        <f t="shared" si="17"/>
        <v>6.5773651144152131E-4</v>
      </c>
      <c r="BE36" s="60">
        <f t="shared" si="17"/>
        <v>6.5773651144152131E-4</v>
      </c>
      <c r="BF36" s="60">
        <f t="shared" si="17"/>
        <v>6.5773651144152131E-4</v>
      </c>
      <c r="BG36" s="60">
        <f t="shared" si="17"/>
        <v>6.5773651144152131E-4</v>
      </c>
      <c r="BH36" s="60">
        <f t="shared" si="17"/>
        <v>6.5773651144152131E-4</v>
      </c>
      <c r="BI36" s="60">
        <f t="shared" si="17"/>
        <v>6.5773651144152131E-4</v>
      </c>
      <c r="BJ36" s="60">
        <f t="shared" si="17"/>
        <v>6.5773651144152131E-4</v>
      </c>
      <c r="BK36" s="60">
        <f t="shared" si="17"/>
        <v>6.5773651144152131E-4</v>
      </c>
      <c r="BL36" s="60">
        <f t="shared" si="17"/>
        <v>6.5773651144152131E-4</v>
      </c>
      <c r="BM36" s="60">
        <f t="shared" si="17"/>
        <v>6.5773651144152131E-4</v>
      </c>
      <c r="BN36" s="60">
        <f t="shared" si="17"/>
        <v>6.5773651144152131E-4</v>
      </c>
      <c r="BO36" s="60">
        <f t="shared" si="17"/>
        <v>6.5773651144152131E-4</v>
      </c>
      <c r="BP36" s="60">
        <f t="shared" si="17"/>
        <v>6.5773651144152131E-4</v>
      </c>
      <c r="BQ36" s="60">
        <f t="shared" si="17"/>
        <v>6.5773651144152131E-4</v>
      </c>
      <c r="BR36" s="60">
        <f t="shared" si="17"/>
        <v>6.5773651144152131E-4</v>
      </c>
      <c r="BS36" s="60">
        <f t="shared" si="17"/>
        <v>6.5773651144152131E-4</v>
      </c>
      <c r="BT36" s="60">
        <f t="shared" si="17"/>
        <v>6.5773651144152131E-4</v>
      </c>
      <c r="BU36" s="60">
        <f t="shared" si="17"/>
        <v>6.5773651144152131E-4</v>
      </c>
      <c r="BV36" s="60">
        <f t="shared" si="17"/>
        <v>6.5773651144152131E-4</v>
      </c>
      <c r="BW36" s="60">
        <f t="shared" si="17"/>
        <v>6.5773651144152131E-4</v>
      </c>
      <c r="BX36" s="60">
        <f t="shared" si="17"/>
        <v>6.5773651144152131E-4</v>
      </c>
      <c r="BY36" s="60">
        <f t="shared" si="17"/>
        <v>6.5773651144152131E-4</v>
      </c>
      <c r="BZ36" s="60">
        <f t="shared" si="17"/>
        <v>6.5773651144152131E-4</v>
      </c>
      <c r="CA36" s="60">
        <f t="shared" si="17"/>
        <v>6.5773651144152131E-4</v>
      </c>
      <c r="CB36" s="60">
        <f t="shared" si="17"/>
        <v>6.5773651144152131E-4</v>
      </c>
      <c r="CC36" s="94">
        <f t="shared" si="11"/>
        <v>152036.56519057468</v>
      </c>
      <c r="CD36" s="94">
        <f>IF(BD36=".",".",up_RadSpec!$F$26*(CD26*$B36))</f>
        <v>38009.14129764367</v>
      </c>
      <c r="CE36" s="94">
        <f>IF(BE36=".",".",up_RadSpec!$F$26*(CE26*$B36))</f>
        <v>38009.14129764367</v>
      </c>
      <c r="CF36" s="94">
        <f>IF(BF36=".",".",up_RadSpec!$F$26*(CF26*$B36))</f>
        <v>38009.14129764367</v>
      </c>
      <c r="CG36" s="94">
        <f>IF(BG36=".",".",up_RadSpec!$F$26*(CG26*$B36))</f>
        <v>38009.14129764367</v>
      </c>
      <c r="CH36" s="94">
        <f>IF(BH36=".",".",up_RadSpec!$F$26*(CH26*$B36))</f>
        <v>38009.14129764367</v>
      </c>
      <c r="CI36" s="94">
        <f>IF(BI36=".",".",up_RadSpec!$F$26*(CI26*$B36))</f>
        <v>38009.14129764367</v>
      </c>
      <c r="CJ36" s="94">
        <f>IF(BJ36=".",".",up_RadSpec!$F$26*(CJ26*$B36))</f>
        <v>38009.14129764367</v>
      </c>
      <c r="CK36" s="94">
        <f>IF(BK36=".",".",up_RadSpec!$F$26*(CK26*$B36))</f>
        <v>38009.14129764367</v>
      </c>
      <c r="CL36" s="94">
        <f>IF(BL36=".",".",up_RadSpec!$F$26*(CL26*$B36))</f>
        <v>38009.14129764367</v>
      </c>
      <c r="CM36" s="94">
        <f>IF(BM36=".",".",up_RadSpec!$F$26*(CM26*$B36))</f>
        <v>38009.14129764367</v>
      </c>
      <c r="CN36" s="94">
        <f>IF(BN36=".",".",up_RadSpec!$F$26*(CN26*$B36))</f>
        <v>38009.14129764367</v>
      </c>
      <c r="CO36" s="94">
        <f>IF(BO36=".",".",up_RadSpec!$F$26*(CO26*$B36))</f>
        <v>38009.14129764367</v>
      </c>
      <c r="CP36" s="94">
        <f>IF(BP36=".",".",up_RadSpec!$F$26*(CP26*$B36))</f>
        <v>38009.14129764367</v>
      </c>
      <c r="CQ36" s="94">
        <f>IF(BQ36=".",".",up_RadSpec!$F$26*(CQ26*$B36))</f>
        <v>38009.14129764367</v>
      </c>
      <c r="CR36" s="94">
        <f>IF(BR36=".",".",up_RadSpec!$F$26*(CR26*$B36))</f>
        <v>38009.14129764367</v>
      </c>
      <c r="CS36" s="94">
        <f>IF(BS36=".",".",up_RadSpec!$F$26*(CS26*$B36))</f>
        <v>38009.14129764367</v>
      </c>
      <c r="CT36" s="94">
        <f>IF(BT36=".",".",up_RadSpec!$F$26*(CT26*$B36))</f>
        <v>38009.14129764367</v>
      </c>
      <c r="CU36" s="94">
        <f>IF(BU36=".",".",up_RadSpec!$F$26*(CU26*$B36))</f>
        <v>38009.14129764367</v>
      </c>
      <c r="CV36" s="94">
        <f>IF(BV36=".",".",up_RadSpec!$F$26*(CV26*$B36))</f>
        <v>38009.14129764367</v>
      </c>
      <c r="CW36" s="94">
        <f>IF(BW36=".",".",up_RadSpec!$F$26*(CW26*$B36))</f>
        <v>38009.14129764367</v>
      </c>
      <c r="CX36" s="94">
        <f>IF(BX36=".",".",up_RadSpec!$F$26*(CX26*$B36))</f>
        <v>38009.14129764367</v>
      </c>
      <c r="CY36" s="94">
        <f>IF(BY36=".",".",up_RadSpec!$F$26*(CY26*$B36))</f>
        <v>38009.14129764367</v>
      </c>
      <c r="CZ36" s="94">
        <f>IF(BZ36=".",".",up_RadSpec!$F$26*(CZ26*$B36))</f>
        <v>38009.14129764367</v>
      </c>
      <c r="DA36" s="94">
        <f>IF(CA36=".",".",up_RadSpec!$F$26*(DA26*$B36))</f>
        <v>38009.14129764367</v>
      </c>
      <c r="DB36" s="94">
        <f>IF(CB36=".",".",up_RadSpec!$F$26*(DB26*$B36))</f>
        <v>38009.14129764367</v>
      </c>
    </row>
    <row r="37" spans="1:106" s="42" customFormat="1" x14ac:dyDescent="0.25">
      <c r="A37" s="77" t="s">
        <v>1065</v>
      </c>
      <c r="B37" s="42">
        <v>1</v>
      </c>
      <c r="C37" s="60">
        <f t="shared" ref="C37:AB37" si="18">IFERROR(C22/$B37,".")</f>
        <v>1.6443412786038033E-4</v>
      </c>
      <c r="D37" s="60">
        <f t="shared" si="18"/>
        <v>6.5773651144152131E-4</v>
      </c>
      <c r="E37" s="60">
        <f t="shared" si="18"/>
        <v>6.5773651144152131E-4</v>
      </c>
      <c r="F37" s="60">
        <f t="shared" si="18"/>
        <v>6.5773651144152131E-4</v>
      </c>
      <c r="G37" s="60">
        <f t="shared" si="18"/>
        <v>6.5773651144152131E-4</v>
      </c>
      <c r="H37" s="60">
        <f t="shared" si="18"/>
        <v>6.5773651144152131E-4</v>
      </c>
      <c r="I37" s="60">
        <f t="shared" si="18"/>
        <v>6.5773651144152131E-4</v>
      </c>
      <c r="J37" s="60">
        <f t="shared" si="18"/>
        <v>6.5773651144152131E-4</v>
      </c>
      <c r="K37" s="60">
        <f t="shared" si="18"/>
        <v>6.5773651144152131E-4</v>
      </c>
      <c r="L37" s="60">
        <f t="shared" si="18"/>
        <v>6.5773651144152131E-4</v>
      </c>
      <c r="M37" s="60">
        <f t="shared" si="18"/>
        <v>6.5773651144152131E-4</v>
      </c>
      <c r="N37" s="60">
        <f t="shared" si="18"/>
        <v>6.5773651144152131E-4</v>
      </c>
      <c r="O37" s="60">
        <f t="shared" si="18"/>
        <v>6.5773651144152131E-4</v>
      </c>
      <c r="P37" s="60">
        <f t="shared" si="18"/>
        <v>6.5773651144152131E-4</v>
      </c>
      <c r="Q37" s="60">
        <f t="shared" si="18"/>
        <v>6.5773651144152131E-4</v>
      </c>
      <c r="R37" s="60">
        <f t="shared" si="18"/>
        <v>6.5773651144152131E-4</v>
      </c>
      <c r="S37" s="60">
        <f t="shared" si="18"/>
        <v>6.5773651144152131E-4</v>
      </c>
      <c r="T37" s="60">
        <f t="shared" si="18"/>
        <v>6.5773651144152131E-4</v>
      </c>
      <c r="U37" s="60">
        <f t="shared" si="18"/>
        <v>6.5773651144152131E-4</v>
      </c>
      <c r="V37" s="60">
        <f t="shared" si="18"/>
        <v>6.5773651144152131E-4</v>
      </c>
      <c r="W37" s="60">
        <f t="shared" si="18"/>
        <v>6.5773651144152131E-4</v>
      </c>
      <c r="X37" s="60">
        <f t="shared" si="18"/>
        <v>6.5773651144152131E-4</v>
      </c>
      <c r="Y37" s="60">
        <f t="shared" si="18"/>
        <v>6.5773651144152131E-4</v>
      </c>
      <c r="Z37" s="60">
        <f t="shared" si="18"/>
        <v>6.5773651144152131E-4</v>
      </c>
      <c r="AA37" s="60">
        <f t="shared" si="18"/>
        <v>6.5773651144152131E-4</v>
      </c>
      <c r="AB37" s="60">
        <f t="shared" si="18"/>
        <v>6.5773651144152131E-4</v>
      </c>
      <c r="AC37" s="94">
        <f t="shared" si="9"/>
        <v>152036.56519057468</v>
      </c>
      <c r="AD37" s="94">
        <f>IF(D37=".",".",up_RadSpec!$F$22*(AD22*$B37))</f>
        <v>38009.14129764367</v>
      </c>
      <c r="AE37" s="94">
        <f>IF(E37=".",".",up_RadSpec!$F$22*(AE22*$B37))</f>
        <v>38009.14129764367</v>
      </c>
      <c r="AF37" s="94">
        <f>IF(F37=".",".",up_RadSpec!$F$22*(AF22*$B37))</f>
        <v>38009.14129764367</v>
      </c>
      <c r="AG37" s="94">
        <f>IF(G37=".",".",up_RadSpec!$F$22*(AG22*$B37))</f>
        <v>38009.14129764367</v>
      </c>
      <c r="AH37" s="94">
        <f>IF(H37=".",".",up_RadSpec!$F$22*(AH22*$B37))</f>
        <v>38009.14129764367</v>
      </c>
      <c r="AI37" s="94">
        <f>IF(I37=".",".",up_RadSpec!$F$22*(AI22*$B37))</f>
        <v>38009.14129764367</v>
      </c>
      <c r="AJ37" s="94">
        <f>IF(J37=".",".",up_RadSpec!$F$22*(AJ22*$B37))</f>
        <v>38009.14129764367</v>
      </c>
      <c r="AK37" s="94">
        <f>IF(K37=".",".",up_RadSpec!$F$22*(AK22*$B37))</f>
        <v>38009.14129764367</v>
      </c>
      <c r="AL37" s="94">
        <f>IF(L37=".",".",up_RadSpec!$F$22*(AL22*$B37))</f>
        <v>38009.14129764367</v>
      </c>
      <c r="AM37" s="94">
        <f>IF(M37=".",".",up_RadSpec!$F$22*(AM22*$B37))</f>
        <v>38009.14129764367</v>
      </c>
      <c r="AN37" s="94">
        <f>IF(N37=".",".",up_RadSpec!$F$22*(AN22*$B37))</f>
        <v>38009.14129764367</v>
      </c>
      <c r="AO37" s="94">
        <f>IF(O37=".",".",up_RadSpec!$F$22*(AO22*$B37))</f>
        <v>38009.14129764367</v>
      </c>
      <c r="AP37" s="94">
        <f>IF(P37=".",".",up_RadSpec!$F$22*(AP22*$B37))</f>
        <v>38009.14129764367</v>
      </c>
      <c r="AQ37" s="94">
        <f>IF(Q37=".",".",up_RadSpec!$F$22*(AQ22*$B37))</f>
        <v>38009.14129764367</v>
      </c>
      <c r="AR37" s="94">
        <f>IF(R37=".",".",up_RadSpec!$F$22*(AR22*$B37))</f>
        <v>38009.14129764367</v>
      </c>
      <c r="AS37" s="94">
        <f>IF(S37=".",".",up_RadSpec!$F$22*(AS22*$B37))</f>
        <v>38009.14129764367</v>
      </c>
      <c r="AT37" s="94">
        <f>IF(T37=".",".",up_RadSpec!$F$22*(AT22*$B37))</f>
        <v>38009.14129764367</v>
      </c>
      <c r="AU37" s="94">
        <f>IF(U37=".",".",up_RadSpec!$F$22*(AU22*$B37))</f>
        <v>38009.14129764367</v>
      </c>
      <c r="AV37" s="94">
        <f>IF(V37=".",".",up_RadSpec!$F$22*(AV22*$B37))</f>
        <v>38009.14129764367</v>
      </c>
      <c r="AW37" s="94">
        <f>IF(W37=".",".",up_RadSpec!$F$22*(AW22*$B37))</f>
        <v>38009.14129764367</v>
      </c>
      <c r="AX37" s="94">
        <f>IF(X37=".",".",up_RadSpec!$F$22*(AX22*$B37))</f>
        <v>38009.14129764367</v>
      </c>
      <c r="AY37" s="94">
        <f>IF(Y37=".",".",up_RadSpec!$F$22*(AY22*$B37))</f>
        <v>38009.14129764367</v>
      </c>
      <c r="AZ37" s="94">
        <f>IF(Z37=".",".",up_RadSpec!$F$22*(AZ22*$B37))</f>
        <v>38009.14129764367</v>
      </c>
      <c r="BA37" s="94">
        <f>IF(AA37=".",".",up_RadSpec!$F$22*(BA22*$B37))</f>
        <v>38009.14129764367</v>
      </c>
      <c r="BB37" s="94">
        <f>IF(AB37=".",".",up_RadSpec!$F$22*(BB22*$B37))</f>
        <v>38009.14129764367</v>
      </c>
      <c r="BC37" s="60">
        <f t="shared" ref="BC37:CB37" si="19">IFERROR(BC22/$B37,".")</f>
        <v>1.6443412786038033E-4</v>
      </c>
      <c r="BD37" s="60">
        <f t="shared" si="19"/>
        <v>6.5773651144152131E-4</v>
      </c>
      <c r="BE37" s="60">
        <f t="shared" si="19"/>
        <v>6.5773651144152131E-4</v>
      </c>
      <c r="BF37" s="60">
        <f t="shared" si="19"/>
        <v>6.5773651144152131E-4</v>
      </c>
      <c r="BG37" s="60">
        <f t="shared" si="19"/>
        <v>6.5773651144152131E-4</v>
      </c>
      <c r="BH37" s="60">
        <f t="shared" si="19"/>
        <v>6.5773651144152131E-4</v>
      </c>
      <c r="BI37" s="60">
        <f t="shared" si="19"/>
        <v>6.5773651144152131E-4</v>
      </c>
      <c r="BJ37" s="60">
        <f t="shared" si="19"/>
        <v>6.5773651144152131E-4</v>
      </c>
      <c r="BK37" s="60">
        <f t="shared" si="19"/>
        <v>6.5773651144152131E-4</v>
      </c>
      <c r="BL37" s="60">
        <f t="shared" si="19"/>
        <v>6.5773651144152131E-4</v>
      </c>
      <c r="BM37" s="60">
        <f t="shared" si="19"/>
        <v>6.5773651144152131E-4</v>
      </c>
      <c r="BN37" s="60">
        <f t="shared" si="19"/>
        <v>6.5773651144152131E-4</v>
      </c>
      <c r="BO37" s="60">
        <f t="shared" si="19"/>
        <v>6.5773651144152131E-4</v>
      </c>
      <c r="BP37" s="60">
        <f t="shared" si="19"/>
        <v>6.5773651144152131E-4</v>
      </c>
      <c r="BQ37" s="60">
        <f t="shared" si="19"/>
        <v>6.5773651144152131E-4</v>
      </c>
      <c r="BR37" s="60">
        <f t="shared" si="19"/>
        <v>6.5773651144152131E-4</v>
      </c>
      <c r="BS37" s="60">
        <f t="shared" si="19"/>
        <v>6.5773651144152131E-4</v>
      </c>
      <c r="BT37" s="60">
        <f t="shared" si="19"/>
        <v>6.5773651144152131E-4</v>
      </c>
      <c r="BU37" s="60">
        <f t="shared" si="19"/>
        <v>6.5773651144152131E-4</v>
      </c>
      <c r="BV37" s="60">
        <f t="shared" si="19"/>
        <v>6.5773651144152131E-4</v>
      </c>
      <c r="BW37" s="60">
        <f t="shared" si="19"/>
        <v>6.5773651144152131E-4</v>
      </c>
      <c r="BX37" s="60">
        <f t="shared" si="19"/>
        <v>6.5773651144152131E-4</v>
      </c>
      <c r="BY37" s="60">
        <f t="shared" si="19"/>
        <v>6.5773651144152131E-4</v>
      </c>
      <c r="BZ37" s="60">
        <f t="shared" si="19"/>
        <v>6.5773651144152131E-4</v>
      </c>
      <c r="CA37" s="60">
        <f t="shared" si="19"/>
        <v>6.5773651144152131E-4</v>
      </c>
      <c r="CB37" s="60">
        <f t="shared" si="19"/>
        <v>6.5773651144152131E-4</v>
      </c>
      <c r="CC37" s="94">
        <f t="shared" si="11"/>
        <v>152036.56519057468</v>
      </c>
      <c r="CD37" s="94">
        <f>IF(BD37=".",".",up_RadSpec!$F$22*(CD22*$B37))</f>
        <v>38009.14129764367</v>
      </c>
      <c r="CE37" s="94">
        <f>IF(BE37=".",".",up_RadSpec!$F$22*(CE22*$B37))</f>
        <v>38009.14129764367</v>
      </c>
      <c r="CF37" s="94">
        <f>IF(BF37=".",".",up_RadSpec!$F$22*(CF22*$B37))</f>
        <v>38009.14129764367</v>
      </c>
      <c r="CG37" s="94">
        <f>IF(BG37=".",".",up_RadSpec!$F$22*(CG22*$B37))</f>
        <v>38009.14129764367</v>
      </c>
      <c r="CH37" s="94">
        <f>IF(BH37=".",".",up_RadSpec!$F$22*(CH22*$B37))</f>
        <v>38009.14129764367</v>
      </c>
      <c r="CI37" s="94">
        <f>IF(BI37=".",".",up_RadSpec!$F$22*(CI22*$B37))</f>
        <v>38009.14129764367</v>
      </c>
      <c r="CJ37" s="94">
        <f>IF(BJ37=".",".",up_RadSpec!$F$22*(CJ22*$B37))</f>
        <v>38009.14129764367</v>
      </c>
      <c r="CK37" s="94">
        <f>IF(BK37=".",".",up_RadSpec!$F$22*(CK22*$B37))</f>
        <v>38009.14129764367</v>
      </c>
      <c r="CL37" s="94">
        <f>IF(BL37=".",".",up_RadSpec!$F$22*(CL22*$B37))</f>
        <v>38009.14129764367</v>
      </c>
      <c r="CM37" s="94">
        <f>IF(BM37=".",".",up_RadSpec!$F$22*(CM22*$B37))</f>
        <v>38009.14129764367</v>
      </c>
      <c r="CN37" s="94">
        <f>IF(BN37=".",".",up_RadSpec!$F$22*(CN22*$B37))</f>
        <v>38009.14129764367</v>
      </c>
      <c r="CO37" s="94">
        <f>IF(BO37=".",".",up_RadSpec!$F$22*(CO22*$B37))</f>
        <v>38009.14129764367</v>
      </c>
      <c r="CP37" s="94">
        <f>IF(BP37=".",".",up_RadSpec!$F$22*(CP22*$B37))</f>
        <v>38009.14129764367</v>
      </c>
      <c r="CQ37" s="94">
        <f>IF(BQ37=".",".",up_RadSpec!$F$22*(CQ22*$B37))</f>
        <v>38009.14129764367</v>
      </c>
      <c r="CR37" s="94">
        <f>IF(BR37=".",".",up_RadSpec!$F$22*(CR22*$B37))</f>
        <v>38009.14129764367</v>
      </c>
      <c r="CS37" s="94">
        <f>IF(BS37=".",".",up_RadSpec!$F$22*(CS22*$B37))</f>
        <v>38009.14129764367</v>
      </c>
      <c r="CT37" s="94">
        <f>IF(BT37=".",".",up_RadSpec!$F$22*(CT22*$B37))</f>
        <v>38009.14129764367</v>
      </c>
      <c r="CU37" s="94">
        <f>IF(BU37=".",".",up_RadSpec!$F$22*(CU22*$B37))</f>
        <v>38009.14129764367</v>
      </c>
      <c r="CV37" s="94">
        <f>IF(BV37=".",".",up_RadSpec!$F$22*(CV22*$B37))</f>
        <v>38009.14129764367</v>
      </c>
      <c r="CW37" s="94">
        <f>IF(BW37=".",".",up_RadSpec!$F$22*(CW22*$B37))</f>
        <v>38009.14129764367</v>
      </c>
      <c r="CX37" s="94">
        <f>IF(BX37=".",".",up_RadSpec!$F$22*(CX22*$B37))</f>
        <v>38009.14129764367</v>
      </c>
      <c r="CY37" s="94">
        <f>IF(BY37=".",".",up_RadSpec!$F$22*(CY22*$B37))</f>
        <v>38009.14129764367</v>
      </c>
      <c r="CZ37" s="94">
        <f>IF(BZ37=".",".",up_RadSpec!$F$22*(CZ22*$B37))</f>
        <v>38009.14129764367</v>
      </c>
      <c r="DA37" s="94">
        <f>IF(CA37=".",".",up_RadSpec!$F$22*(DA22*$B37))</f>
        <v>38009.14129764367</v>
      </c>
      <c r="DB37" s="94">
        <f>IF(CB37=".",".",up_RadSpec!$F$22*(DB22*$B37))</f>
        <v>38009.14129764367</v>
      </c>
    </row>
    <row r="38" spans="1:106" s="42" customFormat="1" x14ac:dyDescent="0.25">
      <c r="A38" s="77" t="s">
        <v>1066</v>
      </c>
      <c r="B38" s="42">
        <v>1</v>
      </c>
      <c r="C38" s="60">
        <f t="shared" ref="C38:AB38" si="20">IFERROR(C2/$B38,".")</f>
        <v>1.6443412786038033E-4</v>
      </c>
      <c r="D38" s="60">
        <f t="shared" si="20"/>
        <v>6.5773651144152131E-4</v>
      </c>
      <c r="E38" s="60">
        <f t="shared" si="20"/>
        <v>6.5773651144152131E-4</v>
      </c>
      <c r="F38" s="60">
        <f t="shared" si="20"/>
        <v>6.5773651144152131E-4</v>
      </c>
      <c r="G38" s="60">
        <f t="shared" si="20"/>
        <v>6.5773651144152131E-4</v>
      </c>
      <c r="H38" s="60">
        <f t="shared" si="20"/>
        <v>6.5773651144152131E-4</v>
      </c>
      <c r="I38" s="60">
        <f t="shared" si="20"/>
        <v>6.5773651144152131E-4</v>
      </c>
      <c r="J38" s="60">
        <f t="shared" si="20"/>
        <v>6.5773651144152131E-4</v>
      </c>
      <c r="K38" s="60">
        <f t="shared" si="20"/>
        <v>6.5773651144152131E-4</v>
      </c>
      <c r="L38" s="60">
        <f t="shared" si="20"/>
        <v>6.5773651144152131E-4</v>
      </c>
      <c r="M38" s="60">
        <f t="shared" si="20"/>
        <v>6.5773651144152131E-4</v>
      </c>
      <c r="N38" s="60">
        <f t="shared" si="20"/>
        <v>6.5773651144152131E-4</v>
      </c>
      <c r="O38" s="60">
        <f t="shared" si="20"/>
        <v>6.5773651144152131E-4</v>
      </c>
      <c r="P38" s="60">
        <f t="shared" si="20"/>
        <v>6.5773651144152131E-4</v>
      </c>
      <c r="Q38" s="60">
        <f t="shared" si="20"/>
        <v>6.5773651144152131E-4</v>
      </c>
      <c r="R38" s="60">
        <f t="shared" si="20"/>
        <v>6.5773651144152131E-4</v>
      </c>
      <c r="S38" s="60">
        <f t="shared" si="20"/>
        <v>6.5773651144152131E-4</v>
      </c>
      <c r="T38" s="60">
        <f t="shared" si="20"/>
        <v>6.5773651144152131E-4</v>
      </c>
      <c r="U38" s="60">
        <f t="shared" si="20"/>
        <v>6.5773651144152131E-4</v>
      </c>
      <c r="V38" s="60">
        <f t="shared" si="20"/>
        <v>6.5773651144152131E-4</v>
      </c>
      <c r="W38" s="60">
        <f t="shared" si="20"/>
        <v>6.5773651144152131E-4</v>
      </c>
      <c r="X38" s="60">
        <f t="shared" si="20"/>
        <v>6.5773651144152131E-4</v>
      </c>
      <c r="Y38" s="60">
        <f t="shared" si="20"/>
        <v>6.5773651144152131E-4</v>
      </c>
      <c r="Z38" s="60">
        <f t="shared" si="20"/>
        <v>6.5773651144152131E-4</v>
      </c>
      <c r="AA38" s="60">
        <f t="shared" si="20"/>
        <v>6.5773651144152131E-4</v>
      </c>
      <c r="AB38" s="60">
        <f t="shared" si="20"/>
        <v>6.5773651144152131E-4</v>
      </c>
      <c r="AC38" s="94">
        <f t="shared" si="9"/>
        <v>152036.56519057468</v>
      </c>
      <c r="AD38" s="94">
        <f>IF(D38=".",".",up_RadSpec!$F$2*(AD2*$B38))</f>
        <v>38009.14129764367</v>
      </c>
      <c r="AE38" s="94">
        <f>IF(E38=".",".",up_RadSpec!$F$2*(AE2*$B38))</f>
        <v>38009.14129764367</v>
      </c>
      <c r="AF38" s="94">
        <f>IF(F38=".",".",up_RadSpec!$F$2*(AF2*$B38))</f>
        <v>38009.14129764367</v>
      </c>
      <c r="AG38" s="94">
        <f>IF(G38=".",".",up_RadSpec!$F$2*(AG2*$B38))</f>
        <v>38009.14129764367</v>
      </c>
      <c r="AH38" s="94">
        <f>IF(H38=".",".",up_RadSpec!$F$2*(AH2*$B38))</f>
        <v>38009.14129764367</v>
      </c>
      <c r="AI38" s="94">
        <f>IF(I38=".",".",up_RadSpec!$F$2*(AI2*$B38))</f>
        <v>38009.14129764367</v>
      </c>
      <c r="AJ38" s="94">
        <f>IF(J38=".",".",up_RadSpec!$F$2*(AJ2*$B38))</f>
        <v>38009.14129764367</v>
      </c>
      <c r="AK38" s="94">
        <f>IF(K38=".",".",up_RadSpec!$F$2*(AK2*$B38))</f>
        <v>38009.14129764367</v>
      </c>
      <c r="AL38" s="94">
        <f>IF(L38=".",".",up_RadSpec!$F$2*(AL2*$B38))</f>
        <v>38009.14129764367</v>
      </c>
      <c r="AM38" s="94">
        <f>IF(M38=".",".",up_RadSpec!$F$2*(AM2*$B38))</f>
        <v>38009.14129764367</v>
      </c>
      <c r="AN38" s="94">
        <f>IF(N38=".",".",up_RadSpec!$F$2*(AN2*$B38))</f>
        <v>38009.14129764367</v>
      </c>
      <c r="AO38" s="94">
        <f>IF(O38=".",".",up_RadSpec!$F$2*(AO2*$B38))</f>
        <v>38009.14129764367</v>
      </c>
      <c r="AP38" s="94">
        <f>IF(P38=".",".",up_RadSpec!$F$2*(AP2*$B38))</f>
        <v>38009.14129764367</v>
      </c>
      <c r="AQ38" s="94">
        <f>IF(Q38=".",".",up_RadSpec!$F$2*(AQ2*$B38))</f>
        <v>38009.14129764367</v>
      </c>
      <c r="AR38" s="94">
        <f>IF(R38=".",".",up_RadSpec!$F$2*(AR2*$B38))</f>
        <v>38009.14129764367</v>
      </c>
      <c r="AS38" s="94">
        <f>IF(S38=".",".",up_RadSpec!$F$2*(AS2*$B38))</f>
        <v>38009.14129764367</v>
      </c>
      <c r="AT38" s="94">
        <f>IF(T38=".",".",up_RadSpec!$F$2*(AT2*$B38))</f>
        <v>38009.14129764367</v>
      </c>
      <c r="AU38" s="94">
        <f>IF(U38=".",".",up_RadSpec!$F$2*(AU2*$B38))</f>
        <v>38009.14129764367</v>
      </c>
      <c r="AV38" s="94">
        <f>IF(V38=".",".",up_RadSpec!$F$2*(AV2*$B38))</f>
        <v>38009.14129764367</v>
      </c>
      <c r="AW38" s="94">
        <f>IF(W38=".",".",up_RadSpec!$F$2*(AW2*$B38))</f>
        <v>38009.14129764367</v>
      </c>
      <c r="AX38" s="94">
        <f>IF(X38=".",".",up_RadSpec!$F$2*(AX2*$B38))</f>
        <v>38009.14129764367</v>
      </c>
      <c r="AY38" s="94">
        <f>IF(Y38=".",".",up_RadSpec!$F$2*(AY2*$B38))</f>
        <v>38009.14129764367</v>
      </c>
      <c r="AZ38" s="94">
        <f>IF(Z38=".",".",up_RadSpec!$F$2*(AZ2*$B38))</f>
        <v>38009.14129764367</v>
      </c>
      <c r="BA38" s="94">
        <f>IF(AA38=".",".",up_RadSpec!$F$2*(BA2*$B38))</f>
        <v>38009.14129764367</v>
      </c>
      <c r="BB38" s="94">
        <f>IF(AB38=".",".",up_RadSpec!$F$2*(BB2*$B38))</f>
        <v>38009.14129764367</v>
      </c>
      <c r="BC38" s="60">
        <f t="shared" ref="BC38:CB38" si="21">IFERROR(BC2/$B38,".")</f>
        <v>1.6443412786038033E-4</v>
      </c>
      <c r="BD38" s="60">
        <f t="shared" si="21"/>
        <v>6.5773651144152131E-4</v>
      </c>
      <c r="BE38" s="60">
        <f t="shared" si="21"/>
        <v>6.5773651144152131E-4</v>
      </c>
      <c r="BF38" s="60">
        <f t="shared" si="21"/>
        <v>6.5773651144152131E-4</v>
      </c>
      <c r="BG38" s="60">
        <f t="shared" si="21"/>
        <v>6.5773651144152131E-4</v>
      </c>
      <c r="BH38" s="60">
        <f t="shared" si="21"/>
        <v>6.5773651144152131E-4</v>
      </c>
      <c r="BI38" s="60">
        <f t="shared" si="21"/>
        <v>6.5773651144152131E-4</v>
      </c>
      <c r="BJ38" s="60">
        <f t="shared" si="21"/>
        <v>6.5773651144152131E-4</v>
      </c>
      <c r="BK38" s="60">
        <f t="shared" si="21"/>
        <v>6.5773651144152131E-4</v>
      </c>
      <c r="BL38" s="60">
        <f t="shared" si="21"/>
        <v>6.5773651144152131E-4</v>
      </c>
      <c r="BM38" s="60">
        <f t="shared" si="21"/>
        <v>6.5773651144152131E-4</v>
      </c>
      <c r="BN38" s="60">
        <f t="shared" si="21"/>
        <v>6.5773651144152131E-4</v>
      </c>
      <c r="BO38" s="60">
        <f t="shared" si="21"/>
        <v>6.5773651144152131E-4</v>
      </c>
      <c r="BP38" s="60">
        <f t="shared" si="21"/>
        <v>6.5773651144152131E-4</v>
      </c>
      <c r="BQ38" s="60">
        <f t="shared" si="21"/>
        <v>6.5773651144152131E-4</v>
      </c>
      <c r="BR38" s="60">
        <f t="shared" si="21"/>
        <v>6.5773651144152131E-4</v>
      </c>
      <c r="BS38" s="60">
        <f t="shared" si="21"/>
        <v>6.5773651144152131E-4</v>
      </c>
      <c r="BT38" s="60">
        <f t="shared" si="21"/>
        <v>6.5773651144152131E-4</v>
      </c>
      <c r="BU38" s="60">
        <f t="shared" si="21"/>
        <v>6.5773651144152131E-4</v>
      </c>
      <c r="BV38" s="60">
        <f t="shared" si="21"/>
        <v>6.5773651144152131E-4</v>
      </c>
      <c r="BW38" s="60">
        <f t="shared" si="21"/>
        <v>6.5773651144152131E-4</v>
      </c>
      <c r="BX38" s="60">
        <f t="shared" si="21"/>
        <v>6.5773651144152131E-4</v>
      </c>
      <c r="BY38" s="60">
        <f t="shared" si="21"/>
        <v>6.5773651144152131E-4</v>
      </c>
      <c r="BZ38" s="60">
        <f t="shared" si="21"/>
        <v>6.5773651144152131E-4</v>
      </c>
      <c r="CA38" s="60">
        <f t="shared" si="21"/>
        <v>6.5773651144152131E-4</v>
      </c>
      <c r="CB38" s="60">
        <f t="shared" si="21"/>
        <v>6.5773651144152131E-4</v>
      </c>
      <c r="CC38" s="94">
        <f t="shared" si="11"/>
        <v>152036.56519057468</v>
      </c>
      <c r="CD38" s="94">
        <f>IF(BD38=".",".",up_RadSpec!$F$2*(CD2*$B38))</f>
        <v>38009.14129764367</v>
      </c>
      <c r="CE38" s="94">
        <f>IF(BE38=".",".",up_RadSpec!$F$2*(CE2*$B38))</f>
        <v>38009.14129764367</v>
      </c>
      <c r="CF38" s="94">
        <f>IF(BF38=".",".",up_RadSpec!$F$2*(CF2*$B38))</f>
        <v>38009.14129764367</v>
      </c>
      <c r="CG38" s="94">
        <f>IF(BG38=".",".",up_RadSpec!$F$2*(CG2*$B38))</f>
        <v>38009.14129764367</v>
      </c>
      <c r="CH38" s="94">
        <f>IF(BH38=".",".",up_RadSpec!$F$2*(CH2*$B38))</f>
        <v>38009.14129764367</v>
      </c>
      <c r="CI38" s="94">
        <f>IF(BI38=".",".",up_RadSpec!$F$2*(CI2*$B38))</f>
        <v>38009.14129764367</v>
      </c>
      <c r="CJ38" s="94">
        <f>IF(BJ38=".",".",up_RadSpec!$F$2*(CJ2*$B38))</f>
        <v>38009.14129764367</v>
      </c>
      <c r="CK38" s="94">
        <f>IF(BK38=".",".",up_RadSpec!$F$2*(CK2*$B38))</f>
        <v>38009.14129764367</v>
      </c>
      <c r="CL38" s="94">
        <f>IF(BL38=".",".",up_RadSpec!$F$2*(CL2*$B38))</f>
        <v>38009.14129764367</v>
      </c>
      <c r="CM38" s="94">
        <f>IF(BM38=".",".",up_RadSpec!$F$2*(CM2*$B38))</f>
        <v>38009.14129764367</v>
      </c>
      <c r="CN38" s="94">
        <f>IF(BN38=".",".",up_RadSpec!$F$2*(CN2*$B38))</f>
        <v>38009.14129764367</v>
      </c>
      <c r="CO38" s="94">
        <f>IF(BO38=".",".",up_RadSpec!$F$2*(CO2*$B38))</f>
        <v>38009.14129764367</v>
      </c>
      <c r="CP38" s="94">
        <f>IF(BP38=".",".",up_RadSpec!$F$2*(CP2*$B38))</f>
        <v>38009.14129764367</v>
      </c>
      <c r="CQ38" s="94">
        <f>IF(BQ38=".",".",up_RadSpec!$F$2*(CQ2*$B38))</f>
        <v>38009.14129764367</v>
      </c>
      <c r="CR38" s="94">
        <f>IF(BR38=".",".",up_RadSpec!$F$2*(CR2*$B38))</f>
        <v>38009.14129764367</v>
      </c>
      <c r="CS38" s="94">
        <f>IF(BS38=".",".",up_RadSpec!$F$2*(CS2*$B38))</f>
        <v>38009.14129764367</v>
      </c>
      <c r="CT38" s="94">
        <f>IF(BT38=".",".",up_RadSpec!$F$2*(CT2*$B38))</f>
        <v>38009.14129764367</v>
      </c>
      <c r="CU38" s="94">
        <f>IF(BU38=".",".",up_RadSpec!$F$2*(CU2*$B38))</f>
        <v>38009.14129764367</v>
      </c>
      <c r="CV38" s="94">
        <f>IF(BV38=".",".",up_RadSpec!$F$2*(CV2*$B38))</f>
        <v>38009.14129764367</v>
      </c>
      <c r="CW38" s="94">
        <f>IF(BW38=".",".",up_RadSpec!$F$2*(CW2*$B38))</f>
        <v>38009.14129764367</v>
      </c>
      <c r="CX38" s="94">
        <f>IF(BX38=".",".",up_RadSpec!$F$2*(CX2*$B38))</f>
        <v>38009.14129764367</v>
      </c>
      <c r="CY38" s="94">
        <f>IF(BY38=".",".",up_RadSpec!$F$2*(CY2*$B38))</f>
        <v>38009.14129764367</v>
      </c>
      <c r="CZ38" s="94">
        <f>IF(BZ38=".",".",up_RadSpec!$F$2*(CZ2*$B38))</f>
        <v>38009.14129764367</v>
      </c>
      <c r="DA38" s="94">
        <f>IF(CA38=".",".",up_RadSpec!$F$2*(DA2*$B38))</f>
        <v>38009.14129764367</v>
      </c>
      <c r="DB38" s="94">
        <f>IF(CB38=".",".",up_RadSpec!$F$2*(DB2*$B38))</f>
        <v>38009.14129764367</v>
      </c>
    </row>
    <row r="39" spans="1:106" s="42" customFormat="1" x14ac:dyDescent="0.25">
      <c r="A39" s="77" t="s">
        <v>1067</v>
      </c>
      <c r="B39" s="42">
        <v>1</v>
      </c>
      <c r="C39" s="60">
        <f t="shared" ref="C39:AB39" si="22">IFERROR(C11/$B39,".")</f>
        <v>1.6443412786038033E-4</v>
      </c>
      <c r="D39" s="60">
        <f t="shared" si="22"/>
        <v>6.5773651144152131E-4</v>
      </c>
      <c r="E39" s="60">
        <f t="shared" si="22"/>
        <v>6.5773651144152131E-4</v>
      </c>
      <c r="F39" s="60">
        <f t="shared" si="22"/>
        <v>6.5773651144152131E-4</v>
      </c>
      <c r="G39" s="60">
        <f t="shared" si="22"/>
        <v>6.5773651144152131E-4</v>
      </c>
      <c r="H39" s="60">
        <f t="shared" si="22"/>
        <v>6.5773651144152131E-4</v>
      </c>
      <c r="I39" s="60">
        <f t="shared" si="22"/>
        <v>6.5773651144152131E-4</v>
      </c>
      <c r="J39" s="60">
        <f t="shared" si="22"/>
        <v>6.5773651144152131E-4</v>
      </c>
      <c r="K39" s="60">
        <f t="shared" si="22"/>
        <v>6.5773651144152131E-4</v>
      </c>
      <c r="L39" s="60">
        <f t="shared" si="22"/>
        <v>6.5773651144152131E-4</v>
      </c>
      <c r="M39" s="60">
        <f t="shared" si="22"/>
        <v>6.5773651144152131E-4</v>
      </c>
      <c r="N39" s="60">
        <f t="shared" si="22"/>
        <v>6.5773651144152131E-4</v>
      </c>
      <c r="O39" s="60">
        <f t="shared" si="22"/>
        <v>6.5773651144152131E-4</v>
      </c>
      <c r="P39" s="60">
        <f t="shared" si="22"/>
        <v>6.5773651144152131E-4</v>
      </c>
      <c r="Q39" s="60">
        <f t="shared" si="22"/>
        <v>6.5773651144152131E-4</v>
      </c>
      <c r="R39" s="60">
        <f t="shared" si="22"/>
        <v>6.5773651144152131E-4</v>
      </c>
      <c r="S39" s="60">
        <f t="shared" si="22"/>
        <v>6.5773651144152131E-4</v>
      </c>
      <c r="T39" s="60">
        <f t="shared" si="22"/>
        <v>6.5773651144152131E-4</v>
      </c>
      <c r="U39" s="60">
        <f t="shared" si="22"/>
        <v>6.5773651144152131E-4</v>
      </c>
      <c r="V39" s="60">
        <f t="shared" si="22"/>
        <v>6.5773651144152131E-4</v>
      </c>
      <c r="W39" s="60">
        <f t="shared" si="22"/>
        <v>6.5773651144152131E-4</v>
      </c>
      <c r="X39" s="60">
        <f t="shared" si="22"/>
        <v>6.5773651144152131E-4</v>
      </c>
      <c r="Y39" s="60">
        <f t="shared" si="22"/>
        <v>6.5773651144152131E-4</v>
      </c>
      <c r="Z39" s="60">
        <f t="shared" si="22"/>
        <v>6.5773651144152131E-4</v>
      </c>
      <c r="AA39" s="60">
        <f t="shared" si="22"/>
        <v>6.5773651144152131E-4</v>
      </c>
      <c r="AB39" s="60">
        <f t="shared" si="22"/>
        <v>6.5773651144152131E-4</v>
      </c>
      <c r="AC39" s="94">
        <f t="shared" si="9"/>
        <v>152036.56519057468</v>
      </c>
      <c r="AD39" s="94">
        <f>IF(D39=".",".",up_RadSpec!$F$11*(AD11*$B39))</f>
        <v>38009.14129764367</v>
      </c>
      <c r="AE39" s="94">
        <f>IF(E39=".",".",up_RadSpec!$F$11*(AE11*$B39))</f>
        <v>38009.14129764367</v>
      </c>
      <c r="AF39" s="94">
        <f>IF(F39=".",".",up_RadSpec!$F$11*(AF11*$B39))</f>
        <v>38009.14129764367</v>
      </c>
      <c r="AG39" s="94">
        <f>IF(G39=".",".",up_RadSpec!$F$11*(AG11*$B39))</f>
        <v>38009.14129764367</v>
      </c>
      <c r="AH39" s="94">
        <f>IF(H39=".",".",up_RadSpec!$F$11*(AH11*$B39))</f>
        <v>38009.14129764367</v>
      </c>
      <c r="AI39" s="94">
        <f>IF(I39=".",".",up_RadSpec!$F$11*(AI11*$B39))</f>
        <v>38009.14129764367</v>
      </c>
      <c r="AJ39" s="94">
        <f>IF(J39=".",".",up_RadSpec!$F$11*(AJ11*$B39))</f>
        <v>38009.14129764367</v>
      </c>
      <c r="AK39" s="94">
        <f>IF(K39=".",".",up_RadSpec!$F$11*(AK11*$B39))</f>
        <v>38009.14129764367</v>
      </c>
      <c r="AL39" s="94">
        <f>IF(L39=".",".",up_RadSpec!$F$11*(AL11*$B39))</f>
        <v>38009.14129764367</v>
      </c>
      <c r="AM39" s="94">
        <f>IF(M39=".",".",up_RadSpec!$F$11*(AM11*$B39))</f>
        <v>38009.14129764367</v>
      </c>
      <c r="AN39" s="94">
        <f>IF(N39=".",".",up_RadSpec!$F$11*(AN11*$B39))</f>
        <v>38009.14129764367</v>
      </c>
      <c r="AO39" s="94">
        <f>IF(O39=".",".",up_RadSpec!$F$11*(AO11*$B39))</f>
        <v>38009.14129764367</v>
      </c>
      <c r="AP39" s="94">
        <f>IF(P39=".",".",up_RadSpec!$F$11*(AP11*$B39))</f>
        <v>38009.14129764367</v>
      </c>
      <c r="AQ39" s="94">
        <f>IF(Q39=".",".",up_RadSpec!$F$11*(AQ11*$B39))</f>
        <v>38009.14129764367</v>
      </c>
      <c r="AR39" s="94">
        <f>IF(R39=".",".",up_RadSpec!$F$11*(AR11*$B39))</f>
        <v>38009.14129764367</v>
      </c>
      <c r="AS39" s="94">
        <f>IF(S39=".",".",up_RadSpec!$F$11*(AS11*$B39))</f>
        <v>38009.14129764367</v>
      </c>
      <c r="AT39" s="94">
        <f>IF(T39=".",".",up_RadSpec!$F$11*(AT11*$B39))</f>
        <v>38009.14129764367</v>
      </c>
      <c r="AU39" s="94">
        <f>IF(U39=".",".",up_RadSpec!$F$11*(AU11*$B39))</f>
        <v>38009.14129764367</v>
      </c>
      <c r="AV39" s="94">
        <f>IF(V39=".",".",up_RadSpec!$F$11*(AV11*$B39))</f>
        <v>38009.14129764367</v>
      </c>
      <c r="AW39" s="94">
        <f>IF(W39=".",".",up_RadSpec!$F$11*(AW11*$B39))</f>
        <v>38009.14129764367</v>
      </c>
      <c r="AX39" s="94">
        <f>IF(X39=".",".",up_RadSpec!$F$11*(AX11*$B39))</f>
        <v>38009.14129764367</v>
      </c>
      <c r="AY39" s="94">
        <f>IF(Y39=".",".",up_RadSpec!$F$11*(AY11*$B39))</f>
        <v>38009.14129764367</v>
      </c>
      <c r="AZ39" s="94">
        <f>IF(Z39=".",".",up_RadSpec!$F$11*(AZ11*$B39))</f>
        <v>38009.14129764367</v>
      </c>
      <c r="BA39" s="94">
        <f>IF(AA39=".",".",up_RadSpec!$F$11*(BA11*$B39))</f>
        <v>38009.14129764367</v>
      </c>
      <c r="BB39" s="94">
        <f>IF(AB39=".",".",up_RadSpec!$F$11*(BB11*$B39))</f>
        <v>38009.14129764367</v>
      </c>
      <c r="BC39" s="60">
        <f t="shared" ref="BC39:CB39" si="23">IFERROR(BC11/$B39,".")</f>
        <v>1.6443412786038033E-4</v>
      </c>
      <c r="BD39" s="60">
        <f t="shared" si="23"/>
        <v>6.5773651144152131E-4</v>
      </c>
      <c r="BE39" s="60">
        <f t="shared" si="23"/>
        <v>6.5773651144152131E-4</v>
      </c>
      <c r="BF39" s="60">
        <f t="shared" si="23"/>
        <v>6.5773651144152131E-4</v>
      </c>
      <c r="BG39" s="60">
        <f t="shared" si="23"/>
        <v>6.5773651144152131E-4</v>
      </c>
      <c r="BH39" s="60">
        <f t="shared" si="23"/>
        <v>6.5773651144152131E-4</v>
      </c>
      <c r="BI39" s="60">
        <f t="shared" si="23"/>
        <v>6.5773651144152131E-4</v>
      </c>
      <c r="BJ39" s="60">
        <f t="shared" si="23"/>
        <v>6.5773651144152131E-4</v>
      </c>
      <c r="BK39" s="60">
        <f t="shared" si="23"/>
        <v>6.5773651144152131E-4</v>
      </c>
      <c r="BL39" s="60">
        <f t="shared" si="23"/>
        <v>6.5773651144152131E-4</v>
      </c>
      <c r="BM39" s="60">
        <f t="shared" si="23"/>
        <v>6.5773651144152131E-4</v>
      </c>
      <c r="BN39" s="60">
        <f t="shared" si="23"/>
        <v>6.5773651144152131E-4</v>
      </c>
      <c r="BO39" s="60">
        <f t="shared" si="23"/>
        <v>6.5773651144152131E-4</v>
      </c>
      <c r="BP39" s="60">
        <f t="shared" si="23"/>
        <v>6.5773651144152131E-4</v>
      </c>
      <c r="BQ39" s="60">
        <f t="shared" si="23"/>
        <v>6.5773651144152131E-4</v>
      </c>
      <c r="BR39" s="60">
        <f t="shared" si="23"/>
        <v>6.5773651144152131E-4</v>
      </c>
      <c r="BS39" s="60">
        <f t="shared" si="23"/>
        <v>6.5773651144152131E-4</v>
      </c>
      <c r="BT39" s="60">
        <f t="shared" si="23"/>
        <v>6.5773651144152131E-4</v>
      </c>
      <c r="BU39" s="60">
        <f t="shared" si="23"/>
        <v>6.5773651144152131E-4</v>
      </c>
      <c r="BV39" s="60">
        <f t="shared" si="23"/>
        <v>6.5773651144152131E-4</v>
      </c>
      <c r="BW39" s="60">
        <f t="shared" si="23"/>
        <v>6.5773651144152131E-4</v>
      </c>
      <c r="BX39" s="60">
        <f t="shared" si="23"/>
        <v>6.5773651144152131E-4</v>
      </c>
      <c r="BY39" s="60">
        <f t="shared" si="23"/>
        <v>6.5773651144152131E-4</v>
      </c>
      <c r="BZ39" s="60">
        <f t="shared" si="23"/>
        <v>6.5773651144152131E-4</v>
      </c>
      <c r="CA39" s="60">
        <f t="shared" si="23"/>
        <v>6.5773651144152131E-4</v>
      </c>
      <c r="CB39" s="60">
        <f t="shared" si="23"/>
        <v>6.5773651144152131E-4</v>
      </c>
      <c r="CC39" s="94">
        <f t="shared" si="11"/>
        <v>152036.56519057468</v>
      </c>
      <c r="CD39" s="94">
        <f>IF(BD39=".",".",up_RadSpec!$F$11*(CD11*$B39))</f>
        <v>38009.14129764367</v>
      </c>
      <c r="CE39" s="94">
        <f>IF(BE39=".",".",up_RadSpec!$F$11*(CE11*$B39))</f>
        <v>38009.14129764367</v>
      </c>
      <c r="CF39" s="94">
        <f>IF(BF39=".",".",up_RadSpec!$F$11*(CF11*$B39))</f>
        <v>38009.14129764367</v>
      </c>
      <c r="CG39" s="94">
        <f>IF(BG39=".",".",up_RadSpec!$F$11*(CG11*$B39))</f>
        <v>38009.14129764367</v>
      </c>
      <c r="CH39" s="94">
        <f>IF(BH39=".",".",up_RadSpec!$F$11*(CH11*$B39))</f>
        <v>38009.14129764367</v>
      </c>
      <c r="CI39" s="94">
        <f>IF(BI39=".",".",up_RadSpec!$F$11*(CI11*$B39))</f>
        <v>38009.14129764367</v>
      </c>
      <c r="CJ39" s="94">
        <f>IF(BJ39=".",".",up_RadSpec!$F$11*(CJ11*$B39))</f>
        <v>38009.14129764367</v>
      </c>
      <c r="CK39" s="94">
        <f>IF(BK39=".",".",up_RadSpec!$F$11*(CK11*$B39))</f>
        <v>38009.14129764367</v>
      </c>
      <c r="CL39" s="94">
        <f>IF(BL39=".",".",up_RadSpec!$F$11*(CL11*$B39))</f>
        <v>38009.14129764367</v>
      </c>
      <c r="CM39" s="94">
        <f>IF(BM39=".",".",up_RadSpec!$F$11*(CM11*$B39))</f>
        <v>38009.14129764367</v>
      </c>
      <c r="CN39" s="94">
        <f>IF(BN39=".",".",up_RadSpec!$F$11*(CN11*$B39))</f>
        <v>38009.14129764367</v>
      </c>
      <c r="CO39" s="94">
        <f>IF(BO39=".",".",up_RadSpec!$F$11*(CO11*$B39))</f>
        <v>38009.14129764367</v>
      </c>
      <c r="CP39" s="94">
        <f>IF(BP39=".",".",up_RadSpec!$F$11*(CP11*$B39))</f>
        <v>38009.14129764367</v>
      </c>
      <c r="CQ39" s="94">
        <f>IF(BQ39=".",".",up_RadSpec!$F$11*(CQ11*$B39))</f>
        <v>38009.14129764367</v>
      </c>
      <c r="CR39" s="94">
        <f>IF(BR39=".",".",up_RadSpec!$F$11*(CR11*$B39))</f>
        <v>38009.14129764367</v>
      </c>
      <c r="CS39" s="94">
        <f>IF(BS39=".",".",up_RadSpec!$F$11*(CS11*$B39))</f>
        <v>38009.14129764367</v>
      </c>
      <c r="CT39" s="94">
        <f>IF(BT39=".",".",up_RadSpec!$F$11*(CT11*$B39))</f>
        <v>38009.14129764367</v>
      </c>
      <c r="CU39" s="94">
        <f>IF(BU39=".",".",up_RadSpec!$F$11*(CU11*$B39))</f>
        <v>38009.14129764367</v>
      </c>
      <c r="CV39" s="94">
        <f>IF(BV39=".",".",up_RadSpec!$F$11*(CV11*$B39))</f>
        <v>38009.14129764367</v>
      </c>
      <c r="CW39" s="94">
        <f>IF(BW39=".",".",up_RadSpec!$F$11*(CW11*$B39))</f>
        <v>38009.14129764367</v>
      </c>
      <c r="CX39" s="94">
        <f>IF(BX39=".",".",up_RadSpec!$F$11*(CX11*$B39))</f>
        <v>38009.14129764367</v>
      </c>
      <c r="CY39" s="94">
        <f>IF(BY39=".",".",up_RadSpec!$F$11*(CY11*$B39))</f>
        <v>38009.14129764367</v>
      </c>
      <c r="CZ39" s="94">
        <f>IF(BZ39=".",".",up_RadSpec!$F$11*(CZ11*$B39))</f>
        <v>38009.14129764367</v>
      </c>
      <c r="DA39" s="94">
        <f>IF(CA39=".",".",up_RadSpec!$F$11*(DA11*$B39))</f>
        <v>38009.14129764367</v>
      </c>
      <c r="DB39" s="94">
        <f>IF(CB39=".",".",up_RadSpec!$F$11*(DB11*$B39))</f>
        <v>38009.14129764367</v>
      </c>
    </row>
    <row r="40" spans="1:106" s="42" customFormat="1" x14ac:dyDescent="0.25">
      <c r="A40" s="77" t="s">
        <v>1068</v>
      </c>
      <c r="B40" s="42">
        <v>1</v>
      </c>
      <c r="C40" s="60">
        <f t="shared" ref="C40:AB40" si="24">IFERROR(C4/$B40,".")</f>
        <v>1.6443412786038033E-4</v>
      </c>
      <c r="D40" s="60">
        <f t="shared" si="24"/>
        <v>6.5773651144152131E-4</v>
      </c>
      <c r="E40" s="60">
        <f t="shared" si="24"/>
        <v>6.5773651144152131E-4</v>
      </c>
      <c r="F40" s="60">
        <f t="shared" si="24"/>
        <v>6.5773651144152131E-4</v>
      </c>
      <c r="G40" s="60">
        <f t="shared" si="24"/>
        <v>6.5773651144152131E-4</v>
      </c>
      <c r="H40" s="60">
        <f t="shared" si="24"/>
        <v>6.5773651144152131E-4</v>
      </c>
      <c r="I40" s="60">
        <f t="shared" si="24"/>
        <v>6.5773651144152131E-4</v>
      </c>
      <c r="J40" s="60">
        <f t="shared" si="24"/>
        <v>6.5773651144152131E-4</v>
      </c>
      <c r="K40" s="60">
        <f t="shared" si="24"/>
        <v>6.5773651144152131E-4</v>
      </c>
      <c r="L40" s="60">
        <f t="shared" si="24"/>
        <v>6.5773651144152131E-4</v>
      </c>
      <c r="M40" s="60">
        <f t="shared" si="24"/>
        <v>6.5773651144152131E-4</v>
      </c>
      <c r="N40" s="60">
        <f t="shared" si="24"/>
        <v>6.5773651144152131E-4</v>
      </c>
      <c r="O40" s="60">
        <f t="shared" si="24"/>
        <v>6.5773651144152131E-4</v>
      </c>
      <c r="P40" s="60">
        <f t="shared" si="24"/>
        <v>6.5773651144152131E-4</v>
      </c>
      <c r="Q40" s="60">
        <f t="shared" si="24"/>
        <v>6.5773651144152131E-4</v>
      </c>
      <c r="R40" s="60">
        <f t="shared" si="24"/>
        <v>6.5773651144152131E-4</v>
      </c>
      <c r="S40" s="60">
        <f t="shared" si="24"/>
        <v>6.5773651144152131E-4</v>
      </c>
      <c r="T40" s="60">
        <f t="shared" si="24"/>
        <v>6.5773651144152131E-4</v>
      </c>
      <c r="U40" s="60">
        <f t="shared" si="24"/>
        <v>6.5773651144152131E-4</v>
      </c>
      <c r="V40" s="60">
        <f t="shared" si="24"/>
        <v>6.5773651144152131E-4</v>
      </c>
      <c r="W40" s="60">
        <f t="shared" si="24"/>
        <v>6.5773651144152131E-4</v>
      </c>
      <c r="X40" s="60">
        <f t="shared" si="24"/>
        <v>6.5773651144152131E-4</v>
      </c>
      <c r="Y40" s="60">
        <f t="shared" si="24"/>
        <v>6.5773651144152131E-4</v>
      </c>
      <c r="Z40" s="60">
        <f t="shared" si="24"/>
        <v>6.5773651144152131E-4</v>
      </c>
      <c r="AA40" s="60">
        <f t="shared" si="24"/>
        <v>6.5773651144152131E-4</v>
      </c>
      <c r="AB40" s="60">
        <f t="shared" si="24"/>
        <v>6.5773651144152131E-4</v>
      </c>
      <c r="AC40" s="94">
        <f t="shared" si="9"/>
        <v>152036.56519057468</v>
      </c>
      <c r="AD40" s="94">
        <f>IF(D40=".",".",up_RadSpec!$F$4*(AD4*$B40))</f>
        <v>38009.14129764367</v>
      </c>
      <c r="AE40" s="94">
        <f>IF(E40=".",".",up_RadSpec!$F$4*(AE4*$B40))</f>
        <v>38009.14129764367</v>
      </c>
      <c r="AF40" s="94">
        <f>IF(F40=".",".",up_RadSpec!$F$4*(AF4*$B40))</f>
        <v>38009.14129764367</v>
      </c>
      <c r="AG40" s="94">
        <f>IF(G40=".",".",up_RadSpec!$F$4*(AG4*$B40))</f>
        <v>38009.14129764367</v>
      </c>
      <c r="AH40" s="94">
        <f>IF(H40=".",".",up_RadSpec!$F$4*(AH4*$B40))</f>
        <v>38009.14129764367</v>
      </c>
      <c r="AI40" s="94">
        <f>IF(I40=".",".",up_RadSpec!$F$4*(AI4*$B40))</f>
        <v>38009.14129764367</v>
      </c>
      <c r="AJ40" s="94">
        <f>IF(J40=".",".",up_RadSpec!$F$4*(AJ4*$B40))</f>
        <v>38009.14129764367</v>
      </c>
      <c r="AK40" s="94">
        <f>IF(K40=".",".",up_RadSpec!$F$4*(AK4*$B40))</f>
        <v>38009.14129764367</v>
      </c>
      <c r="AL40" s="94">
        <f>IF(L40=".",".",up_RadSpec!$F$4*(AL4*$B40))</f>
        <v>38009.14129764367</v>
      </c>
      <c r="AM40" s="94">
        <f>IF(M40=".",".",up_RadSpec!$F$4*(AM4*$B40))</f>
        <v>38009.14129764367</v>
      </c>
      <c r="AN40" s="94">
        <f>IF(N40=".",".",up_RadSpec!$F$4*(AN4*$B40))</f>
        <v>38009.14129764367</v>
      </c>
      <c r="AO40" s="94">
        <f>IF(O40=".",".",up_RadSpec!$F$4*(AO4*$B40))</f>
        <v>38009.14129764367</v>
      </c>
      <c r="AP40" s="94">
        <f>IF(P40=".",".",up_RadSpec!$F$4*(AP4*$B40))</f>
        <v>38009.14129764367</v>
      </c>
      <c r="AQ40" s="94">
        <f>IF(Q40=".",".",up_RadSpec!$F$4*(AQ4*$B40))</f>
        <v>38009.14129764367</v>
      </c>
      <c r="AR40" s="94">
        <f>IF(R40=".",".",up_RadSpec!$F$4*(AR4*$B40))</f>
        <v>38009.14129764367</v>
      </c>
      <c r="AS40" s="94">
        <f>IF(S40=".",".",up_RadSpec!$F$4*(AS4*$B40))</f>
        <v>38009.14129764367</v>
      </c>
      <c r="AT40" s="94">
        <f>IF(T40=".",".",up_RadSpec!$F$4*(AT4*$B40))</f>
        <v>38009.14129764367</v>
      </c>
      <c r="AU40" s="94">
        <f>IF(U40=".",".",up_RadSpec!$F$4*(AU4*$B40))</f>
        <v>38009.14129764367</v>
      </c>
      <c r="AV40" s="94">
        <f>IF(V40=".",".",up_RadSpec!$F$4*(AV4*$B40))</f>
        <v>38009.14129764367</v>
      </c>
      <c r="AW40" s="94">
        <f>IF(W40=".",".",up_RadSpec!$F$4*(AW4*$B40))</f>
        <v>38009.14129764367</v>
      </c>
      <c r="AX40" s="94">
        <f>IF(X40=".",".",up_RadSpec!$F$4*(AX4*$B40))</f>
        <v>38009.14129764367</v>
      </c>
      <c r="AY40" s="94">
        <f>IF(Y40=".",".",up_RadSpec!$F$4*(AY4*$B40))</f>
        <v>38009.14129764367</v>
      </c>
      <c r="AZ40" s="94">
        <f>IF(Z40=".",".",up_RadSpec!$F$4*(AZ4*$B40))</f>
        <v>38009.14129764367</v>
      </c>
      <c r="BA40" s="94">
        <f>IF(AA40=".",".",up_RadSpec!$F$4*(BA4*$B40))</f>
        <v>38009.14129764367</v>
      </c>
      <c r="BB40" s="94">
        <f>IF(AB40=".",".",up_RadSpec!$F$4*(BB4*$B40))</f>
        <v>38009.14129764367</v>
      </c>
      <c r="BC40" s="60">
        <f t="shared" ref="BC40:CB40" si="25">IFERROR(BC4/$B40,".")</f>
        <v>1.6443412786038033E-4</v>
      </c>
      <c r="BD40" s="60">
        <f t="shared" si="25"/>
        <v>6.5773651144152131E-4</v>
      </c>
      <c r="BE40" s="60">
        <f t="shared" si="25"/>
        <v>6.5773651144152131E-4</v>
      </c>
      <c r="BF40" s="60">
        <f t="shared" si="25"/>
        <v>6.5773651144152131E-4</v>
      </c>
      <c r="BG40" s="60">
        <f t="shared" si="25"/>
        <v>6.5773651144152131E-4</v>
      </c>
      <c r="BH40" s="60">
        <f t="shared" si="25"/>
        <v>6.5773651144152131E-4</v>
      </c>
      <c r="BI40" s="60">
        <f t="shared" si="25"/>
        <v>6.5773651144152131E-4</v>
      </c>
      <c r="BJ40" s="60">
        <f t="shared" si="25"/>
        <v>6.5773651144152131E-4</v>
      </c>
      <c r="BK40" s="60">
        <f t="shared" si="25"/>
        <v>6.5773651144152131E-4</v>
      </c>
      <c r="BL40" s="60">
        <f t="shared" si="25"/>
        <v>6.5773651144152131E-4</v>
      </c>
      <c r="BM40" s="60">
        <f t="shared" si="25"/>
        <v>6.5773651144152131E-4</v>
      </c>
      <c r="BN40" s="60">
        <f t="shared" si="25"/>
        <v>6.5773651144152131E-4</v>
      </c>
      <c r="BO40" s="60">
        <f t="shared" si="25"/>
        <v>6.5773651144152131E-4</v>
      </c>
      <c r="BP40" s="60">
        <f t="shared" si="25"/>
        <v>6.5773651144152131E-4</v>
      </c>
      <c r="BQ40" s="60">
        <f t="shared" si="25"/>
        <v>6.5773651144152131E-4</v>
      </c>
      <c r="BR40" s="60">
        <f t="shared" si="25"/>
        <v>6.5773651144152131E-4</v>
      </c>
      <c r="BS40" s="60">
        <f t="shared" si="25"/>
        <v>6.5773651144152131E-4</v>
      </c>
      <c r="BT40" s="60">
        <f t="shared" si="25"/>
        <v>6.5773651144152131E-4</v>
      </c>
      <c r="BU40" s="60">
        <f t="shared" si="25"/>
        <v>6.5773651144152131E-4</v>
      </c>
      <c r="BV40" s="60">
        <f t="shared" si="25"/>
        <v>6.5773651144152131E-4</v>
      </c>
      <c r="BW40" s="60">
        <f t="shared" si="25"/>
        <v>6.5773651144152131E-4</v>
      </c>
      <c r="BX40" s="60">
        <f t="shared" si="25"/>
        <v>6.5773651144152131E-4</v>
      </c>
      <c r="BY40" s="60">
        <f t="shared" si="25"/>
        <v>6.5773651144152131E-4</v>
      </c>
      <c r="BZ40" s="60">
        <f t="shared" si="25"/>
        <v>6.5773651144152131E-4</v>
      </c>
      <c r="CA40" s="60">
        <f t="shared" si="25"/>
        <v>6.5773651144152131E-4</v>
      </c>
      <c r="CB40" s="60">
        <f t="shared" si="25"/>
        <v>6.5773651144152131E-4</v>
      </c>
      <c r="CC40" s="94">
        <f t="shared" si="11"/>
        <v>152036.56519057468</v>
      </c>
      <c r="CD40" s="94">
        <f>IF(BD40=".",".",up_RadSpec!$F$4*(CD4*$B40))</f>
        <v>38009.14129764367</v>
      </c>
      <c r="CE40" s="94">
        <f>IF(BE40=".",".",up_RadSpec!$F$4*(CE4*$B40))</f>
        <v>38009.14129764367</v>
      </c>
      <c r="CF40" s="94">
        <f>IF(BF40=".",".",up_RadSpec!$F$4*(CF4*$B40))</f>
        <v>38009.14129764367</v>
      </c>
      <c r="CG40" s="94">
        <f>IF(BG40=".",".",up_RadSpec!$F$4*(CG4*$B40))</f>
        <v>38009.14129764367</v>
      </c>
      <c r="CH40" s="94">
        <f>IF(BH40=".",".",up_RadSpec!$F$4*(CH4*$B40))</f>
        <v>38009.14129764367</v>
      </c>
      <c r="CI40" s="94">
        <f>IF(BI40=".",".",up_RadSpec!$F$4*(CI4*$B40))</f>
        <v>38009.14129764367</v>
      </c>
      <c r="CJ40" s="94">
        <f>IF(BJ40=".",".",up_RadSpec!$F$4*(CJ4*$B40))</f>
        <v>38009.14129764367</v>
      </c>
      <c r="CK40" s="94">
        <f>IF(BK40=".",".",up_RadSpec!$F$4*(CK4*$B40))</f>
        <v>38009.14129764367</v>
      </c>
      <c r="CL40" s="94">
        <f>IF(BL40=".",".",up_RadSpec!$F$4*(CL4*$B40))</f>
        <v>38009.14129764367</v>
      </c>
      <c r="CM40" s="94">
        <f>IF(BM40=".",".",up_RadSpec!$F$4*(CM4*$B40))</f>
        <v>38009.14129764367</v>
      </c>
      <c r="CN40" s="94">
        <f>IF(BN40=".",".",up_RadSpec!$F$4*(CN4*$B40))</f>
        <v>38009.14129764367</v>
      </c>
      <c r="CO40" s="94">
        <f>IF(BO40=".",".",up_RadSpec!$F$4*(CO4*$B40))</f>
        <v>38009.14129764367</v>
      </c>
      <c r="CP40" s="94">
        <f>IF(BP40=".",".",up_RadSpec!$F$4*(CP4*$B40))</f>
        <v>38009.14129764367</v>
      </c>
      <c r="CQ40" s="94">
        <f>IF(BQ40=".",".",up_RadSpec!$F$4*(CQ4*$B40))</f>
        <v>38009.14129764367</v>
      </c>
      <c r="CR40" s="94">
        <f>IF(BR40=".",".",up_RadSpec!$F$4*(CR4*$B40))</f>
        <v>38009.14129764367</v>
      </c>
      <c r="CS40" s="94">
        <f>IF(BS40=".",".",up_RadSpec!$F$4*(CS4*$B40))</f>
        <v>38009.14129764367</v>
      </c>
      <c r="CT40" s="94">
        <f>IF(BT40=".",".",up_RadSpec!$F$4*(CT4*$B40))</f>
        <v>38009.14129764367</v>
      </c>
      <c r="CU40" s="94">
        <f>IF(BU40=".",".",up_RadSpec!$F$4*(CU4*$B40))</f>
        <v>38009.14129764367</v>
      </c>
      <c r="CV40" s="94">
        <f>IF(BV40=".",".",up_RadSpec!$F$4*(CV4*$B40))</f>
        <v>38009.14129764367</v>
      </c>
      <c r="CW40" s="94">
        <f>IF(BW40=".",".",up_RadSpec!$F$4*(CW4*$B40))</f>
        <v>38009.14129764367</v>
      </c>
      <c r="CX40" s="94">
        <f>IF(BX40=".",".",up_RadSpec!$F$4*(CX4*$B40))</f>
        <v>38009.14129764367</v>
      </c>
      <c r="CY40" s="94">
        <f>IF(BY40=".",".",up_RadSpec!$F$4*(CY4*$B40))</f>
        <v>38009.14129764367</v>
      </c>
      <c r="CZ40" s="94">
        <f>IF(BZ40=".",".",up_RadSpec!$F$4*(CZ4*$B40))</f>
        <v>38009.14129764367</v>
      </c>
      <c r="DA40" s="94">
        <f>IF(CA40=".",".",up_RadSpec!$F$4*(DA4*$B40))</f>
        <v>38009.14129764367</v>
      </c>
      <c r="DB40" s="94">
        <f>IF(CB40=".",".",up_RadSpec!$F$4*(DB4*$B40))</f>
        <v>38009.14129764367</v>
      </c>
    </row>
    <row r="41" spans="1:106" s="42" customFormat="1" x14ac:dyDescent="0.25">
      <c r="A41" s="77" t="s">
        <v>1069</v>
      </c>
      <c r="B41" s="78">
        <v>0.99987999999999999</v>
      </c>
      <c r="C41" s="60">
        <f t="shared" ref="C41:AB41" si="26">IFERROR(C8/$B41,".")</f>
        <v>1.6445386232385919E-4</v>
      </c>
      <c r="D41" s="60">
        <f t="shared" si="26"/>
        <v>6.5781544929543675E-4</v>
      </c>
      <c r="E41" s="60">
        <f t="shared" si="26"/>
        <v>6.5781544929543675E-4</v>
      </c>
      <c r="F41" s="60">
        <f t="shared" si="26"/>
        <v>6.5781544929543675E-4</v>
      </c>
      <c r="G41" s="60">
        <f t="shared" si="26"/>
        <v>6.5781544929543675E-4</v>
      </c>
      <c r="H41" s="60">
        <f t="shared" si="26"/>
        <v>6.5781544929543675E-4</v>
      </c>
      <c r="I41" s="60">
        <f t="shared" si="26"/>
        <v>6.5781544929543675E-4</v>
      </c>
      <c r="J41" s="60">
        <f t="shared" si="26"/>
        <v>6.5781544929543675E-4</v>
      </c>
      <c r="K41" s="60">
        <f t="shared" si="26"/>
        <v>6.5781544929543675E-4</v>
      </c>
      <c r="L41" s="60">
        <f t="shared" si="26"/>
        <v>6.5781544929543675E-4</v>
      </c>
      <c r="M41" s="60">
        <f t="shared" si="26"/>
        <v>6.5781544929543675E-4</v>
      </c>
      <c r="N41" s="60">
        <f t="shared" si="26"/>
        <v>6.5781544929543675E-4</v>
      </c>
      <c r="O41" s="60">
        <f t="shared" si="26"/>
        <v>6.5781544929543675E-4</v>
      </c>
      <c r="P41" s="60">
        <f t="shared" si="26"/>
        <v>6.5781544929543675E-4</v>
      </c>
      <c r="Q41" s="60">
        <f t="shared" si="26"/>
        <v>6.5781544929543675E-4</v>
      </c>
      <c r="R41" s="60">
        <f t="shared" si="26"/>
        <v>6.5781544929543675E-4</v>
      </c>
      <c r="S41" s="60">
        <f t="shared" si="26"/>
        <v>6.5781544929543675E-4</v>
      </c>
      <c r="T41" s="60">
        <f t="shared" si="26"/>
        <v>6.5781544929543675E-4</v>
      </c>
      <c r="U41" s="60">
        <f t="shared" si="26"/>
        <v>6.5781544929543675E-4</v>
      </c>
      <c r="V41" s="60">
        <f t="shared" si="26"/>
        <v>6.5781544929543675E-4</v>
      </c>
      <c r="W41" s="60">
        <f t="shared" si="26"/>
        <v>6.5781544929543675E-4</v>
      </c>
      <c r="X41" s="60">
        <f t="shared" si="26"/>
        <v>6.5781544929543675E-4</v>
      </c>
      <c r="Y41" s="60">
        <f t="shared" si="26"/>
        <v>6.5781544929543675E-4</v>
      </c>
      <c r="Z41" s="60">
        <f t="shared" si="26"/>
        <v>6.5781544929543675E-4</v>
      </c>
      <c r="AA41" s="60">
        <f t="shared" si="26"/>
        <v>6.5781544929543675E-4</v>
      </c>
      <c r="AB41" s="60">
        <f t="shared" si="26"/>
        <v>6.5781544929543675E-4</v>
      </c>
      <c r="AC41" s="94">
        <f t="shared" si="9"/>
        <v>152018.32080275181</v>
      </c>
      <c r="AD41" s="94">
        <f>IF(D41=".",".",up_RadSpec!$F$8*(AD8*$B41))</f>
        <v>38004.580200687953</v>
      </c>
      <c r="AE41" s="94">
        <f>IF(E41=".",".",up_RadSpec!$F$8*(AE8*$B41))</f>
        <v>38004.580200687953</v>
      </c>
      <c r="AF41" s="94">
        <f>IF(F41=".",".",up_RadSpec!$F$8*(AF8*$B41))</f>
        <v>38004.580200687953</v>
      </c>
      <c r="AG41" s="94">
        <f>IF(G41=".",".",up_RadSpec!$F$8*(AG8*$B41))</f>
        <v>38004.580200687953</v>
      </c>
      <c r="AH41" s="94">
        <f>IF(H41=".",".",up_RadSpec!$F$8*(AH8*$B41))</f>
        <v>38004.580200687953</v>
      </c>
      <c r="AI41" s="94">
        <f>IF(I41=".",".",up_RadSpec!$F$8*(AI8*$B41))</f>
        <v>38004.580200687953</v>
      </c>
      <c r="AJ41" s="94">
        <f>IF(J41=".",".",up_RadSpec!$F$8*(AJ8*$B41))</f>
        <v>38004.580200687953</v>
      </c>
      <c r="AK41" s="94">
        <f>IF(K41=".",".",up_RadSpec!$F$8*(AK8*$B41))</f>
        <v>38004.580200687953</v>
      </c>
      <c r="AL41" s="94">
        <f>IF(L41=".",".",up_RadSpec!$F$8*(AL8*$B41))</f>
        <v>38004.580200687953</v>
      </c>
      <c r="AM41" s="94">
        <f>IF(M41=".",".",up_RadSpec!$F$8*(AM8*$B41))</f>
        <v>38004.580200687953</v>
      </c>
      <c r="AN41" s="94">
        <f>IF(N41=".",".",up_RadSpec!$F$8*(AN8*$B41))</f>
        <v>38004.580200687953</v>
      </c>
      <c r="AO41" s="94">
        <f>IF(O41=".",".",up_RadSpec!$F$8*(AO8*$B41))</f>
        <v>38004.580200687953</v>
      </c>
      <c r="AP41" s="94">
        <f>IF(P41=".",".",up_RadSpec!$F$8*(AP8*$B41))</f>
        <v>38004.580200687953</v>
      </c>
      <c r="AQ41" s="94">
        <f>IF(Q41=".",".",up_RadSpec!$F$8*(AQ8*$B41))</f>
        <v>38004.580200687953</v>
      </c>
      <c r="AR41" s="94">
        <f>IF(R41=".",".",up_RadSpec!$F$8*(AR8*$B41))</f>
        <v>38004.580200687953</v>
      </c>
      <c r="AS41" s="94">
        <f>IF(S41=".",".",up_RadSpec!$F$8*(AS8*$B41))</f>
        <v>38004.580200687953</v>
      </c>
      <c r="AT41" s="94">
        <f>IF(T41=".",".",up_RadSpec!$F$8*(AT8*$B41))</f>
        <v>38004.580200687953</v>
      </c>
      <c r="AU41" s="94">
        <f>IF(U41=".",".",up_RadSpec!$F$8*(AU8*$B41))</f>
        <v>38004.580200687953</v>
      </c>
      <c r="AV41" s="94">
        <f>IF(V41=".",".",up_RadSpec!$F$8*(AV8*$B41))</f>
        <v>38004.580200687953</v>
      </c>
      <c r="AW41" s="94">
        <f>IF(W41=".",".",up_RadSpec!$F$8*(AW8*$B41))</f>
        <v>38004.580200687953</v>
      </c>
      <c r="AX41" s="94">
        <f>IF(X41=".",".",up_RadSpec!$F$8*(AX8*$B41))</f>
        <v>38004.580200687953</v>
      </c>
      <c r="AY41" s="94">
        <f>IF(Y41=".",".",up_RadSpec!$F$8*(AY8*$B41))</f>
        <v>38004.580200687953</v>
      </c>
      <c r="AZ41" s="94">
        <f>IF(Z41=".",".",up_RadSpec!$F$8*(AZ8*$B41))</f>
        <v>38004.580200687953</v>
      </c>
      <c r="BA41" s="94">
        <f>IF(AA41=".",".",up_RadSpec!$F$8*(BA8*$B41))</f>
        <v>38004.580200687953</v>
      </c>
      <c r="BB41" s="94">
        <f>IF(AB41=".",".",up_RadSpec!$F$8*(BB8*$B41))</f>
        <v>38004.580200687953</v>
      </c>
      <c r="BC41" s="60">
        <f t="shared" ref="BC41:CB41" si="27">IFERROR(BC8/$B41,".")</f>
        <v>1.6445386232385919E-4</v>
      </c>
      <c r="BD41" s="60">
        <f t="shared" si="27"/>
        <v>6.5781544929543675E-4</v>
      </c>
      <c r="BE41" s="60">
        <f t="shared" si="27"/>
        <v>6.5781544929543675E-4</v>
      </c>
      <c r="BF41" s="60">
        <f t="shared" si="27"/>
        <v>6.5781544929543675E-4</v>
      </c>
      <c r="BG41" s="60">
        <f t="shared" si="27"/>
        <v>6.5781544929543675E-4</v>
      </c>
      <c r="BH41" s="60">
        <f t="shared" si="27"/>
        <v>6.5781544929543675E-4</v>
      </c>
      <c r="BI41" s="60">
        <f t="shared" si="27"/>
        <v>6.5781544929543675E-4</v>
      </c>
      <c r="BJ41" s="60">
        <f t="shared" si="27"/>
        <v>6.5781544929543675E-4</v>
      </c>
      <c r="BK41" s="60">
        <f t="shared" si="27"/>
        <v>6.5781544929543675E-4</v>
      </c>
      <c r="BL41" s="60">
        <f t="shared" si="27"/>
        <v>6.5781544929543675E-4</v>
      </c>
      <c r="BM41" s="60">
        <f t="shared" si="27"/>
        <v>6.5781544929543675E-4</v>
      </c>
      <c r="BN41" s="60">
        <f t="shared" si="27"/>
        <v>6.5781544929543675E-4</v>
      </c>
      <c r="BO41" s="60">
        <f t="shared" si="27"/>
        <v>6.5781544929543675E-4</v>
      </c>
      <c r="BP41" s="60">
        <f t="shared" si="27"/>
        <v>6.5781544929543675E-4</v>
      </c>
      <c r="BQ41" s="60">
        <f t="shared" si="27"/>
        <v>6.5781544929543675E-4</v>
      </c>
      <c r="BR41" s="60">
        <f t="shared" si="27"/>
        <v>6.5781544929543675E-4</v>
      </c>
      <c r="BS41" s="60">
        <f t="shared" si="27"/>
        <v>6.5781544929543675E-4</v>
      </c>
      <c r="BT41" s="60">
        <f t="shared" si="27"/>
        <v>6.5781544929543675E-4</v>
      </c>
      <c r="BU41" s="60">
        <f t="shared" si="27"/>
        <v>6.5781544929543675E-4</v>
      </c>
      <c r="BV41" s="60">
        <f t="shared" si="27"/>
        <v>6.5781544929543675E-4</v>
      </c>
      <c r="BW41" s="60">
        <f t="shared" si="27"/>
        <v>6.5781544929543675E-4</v>
      </c>
      <c r="BX41" s="60">
        <f t="shared" si="27"/>
        <v>6.5781544929543675E-4</v>
      </c>
      <c r="BY41" s="60">
        <f t="shared" si="27"/>
        <v>6.5781544929543675E-4</v>
      </c>
      <c r="BZ41" s="60">
        <f t="shared" si="27"/>
        <v>6.5781544929543675E-4</v>
      </c>
      <c r="CA41" s="60">
        <f t="shared" si="27"/>
        <v>6.5781544929543675E-4</v>
      </c>
      <c r="CB41" s="60">
        <f t="shared" si="27"/>
        <v>6.5781544929543675E-4</v>
      </c>
      <c r="CC41" s="94">
        <f t="shared" si="11"/>
        <v>152018.32080275181</v>
      </c>
      <c r="CD41" s="94">
        <f>IF(BD41=".",".",up_RadSpec!$F$8*(CD8*$B41))</f>
        <v>38004.580200687953</v>
      </c>
      <c r="CE41" s="94">
        <f>IF(BE41=".",".",up_RadSpec!$F$8*(CE8*$B41))</f>
        <v>38004.580200687953</v>
      </c>
      <c r="CF41" s="94">
        <f>IF(BF41=".",".",up_RadSpec!$F$8*(CF8*$B41))</f>
        <v>38004.580200687953</v>
      </c>
      <c r="CG41" s="94">
        <f>IF(BG41=".",".",up_RadSpec!$F$8*(CG8*$B41))</f>
        <v>38004.580200687953</v>
      </c>
      <c r="CH41" s="94">
        <f>IF(BH41=".",".",up_RadSpec!$F$8*(CH8*$B41))</f>
        <v>38004.580200687953</v>
      </c>
      <c r="CI41" s="94">
        <f>IF(BI41=".",".",up_RadSpec!$F$8*(CI8*$B41))</f>
        <v>38004.580200687953</v>
      </c>
      <c r="CJ41" s="94">
        <f>IF(BJ41=".",".",up_RadSpec!$F$8*(CJ8*$B41))</f>
        <v>38004.580200687953</v>
      </c>
      <c r="CK41" s="94">
        <f>IF(BK41=".",".",up_RadSpec!$F$8*(CK8*$B41))</f>
        <v>38004.580200687953</v>
      </c>
      <c r="CL41" s="94">
        <f>IF(BL41=".",".",up_RadSpec!$F$8*(CL8*$B41))</f>
        <v>38004.580200687953</v>
      </c>
      <c r="CM41" s="94">
        <f>IF(BM41=".",".",up_RadSpec!$F$8*(CM8*$B41))</f>
        <v>38004.580200687953</v>
      </c>
      <c r="CN41" s="94">
        <f>IF(BN41=".",".",up_RadSpec!$F$8*(CN8*$B41))</f>
        <v>38004.580200687953</v>
      </c>
      <c r="CO41" s="94">
        <f>IF(BO41=".",".",up_RadSpec!$F$8*(CO8*$B41))</f>
        <v>38004.580200687953</v>
      </c>
      <c r="CP41" s="94">
        <f>IF(BP41=".",".",up_RadSpec!$F$8*(CP8*$B41))</f>
        <v>38004.580200687953</v>
      </c>
      <c r="CQ41" s="94">
        <f>IF(BQ41=".",".",up_RadSpec!$F$8*(CQ8*$B41))</f>
        <v>38004.580200687953</v>
      </c>
      <c r="CR41" s="94">
        <f>IF(BR41=".",".",up_RadSpec!$F$8*(CR8*$B41))</f>
        <v>38004.580200687953</v>
      </c>
      <c r="CS41" s="94">
        <f>IF(BS41=".",".",up_RadSpec!$F$8*(CS8*$B41))</f>
        <v>38004.580200687953</v>
      </c>
      <c r="CT41" s="94">
        <f>IF(BT41=".",".",up_RadSpec!$F$8*(CT8*$B41))</f>
        <v>38004.580200687953</v>
      </c>
      <c r="CU41" s="94">
        <f>IF(BU41=".",".",up_RadSpec!$F$8*(CU8*$B41))</f>
        <v>38004.580200687953</v>
      </c>
      <c r="CV41" s="94">
        <f>IF(BV41=".",".",up_RadSpec!$F$8*(CV8*$B41))</f>
        <v>38004.580200687953</v>
      </c>
      <c r="CW41" s="94">
        <f>IF(BW41=".",".",up_RadSpec!$F$8*(CW8*$B41))</f>
        <v>38004.580200687953</v>
      </c>
      <c r="CX41" s="94">
        <f>IF(BX41=".",".",up_RadSpec!$F$8*(CX8*$B41))</f>
        <v>38004.580200687953</v>
      </c>
      <c r="CY41" s="94">
        <f>IF(BY41=".",".",up_RadSpec!$F$8*(CY8*$B41))</f>
        <v>38004.580200687953</v>
      </c>
      <c r="CZ41" s="94">
        <f>IF(BZ41=".",".",up_RadSpec!$F$8*(CZ8*$B41))</f>
        <v>38004.580200687953</v>
      </c>
      <c r="DA41" s="94">
        <f>IF(CA41=".",".",up_RadSpec!$F$8*(DA8*$B41))</f>
        <v>38004.580200687953</v>
      </c>
      <c r="DB41" s="94">
        <f>IF(CB41=".",".",up_RadSpec!$F$8*(DB8*$B41))</f>
        <v>38004.580200687953</v>
      </c>
    </row>
    <row r="42" spans="1:106" s="42" customFormat="1" x14ac:dyDescent="0.25">
      <c r="A42" s="77" t="s">
        <v>1070</v>
      </c>
      <c r="B42" s="42">
        <v>0.97898250799999997</v>
      </c>
      <c r="C42" s="60">
        <f t="shared" ref="C42:AB42" si="28">IFERROR(C19/$B42,".")</f>
        <v>1.6796431653953549E-4</v>
      </c>
      <c r="D42" s="60">
        <f t="shared" si="28"/>
        <v>6.7185726615814196E-4</v>
      </c>
      <c r="E42" s="60">
        <f t="shared" si="28"/>
        <v>6.7185726615814196E-4</v>
      </c>
      <c r="F42" s="60">
        <f t="shared" si="28"/>
        <v>6.7185726615814196E-4</v>
      </c>
      <c r="G42" s="60">
        <f t="shared" si="28"/>
        <v>6.7185726615814196E-4</v>
      </c>
      <c r="H42" s="60">
        <f t="shared" si="28"/>
        <v>6.7185726615814196E-4</v>
      </c>
      <c r="I42" s="60">
        <f t="shared" si="28"/>
        <v>6.7185726615814196E-4</v>
      </c>
      <c r="J42" s="60">
        <f t="shared" si="28"/>
        <v>6.7185726615814196E-4</v>
      </c>
      <c r="K42" s="60">
        <f t="shared" si="28"/>
        <v>6.7185726615814196E-4</v>
      </c>
      <c r="L42" s="60">
        <f t="shared" si="28"/>
        <v>6.7185726615814196E-4</v>
      </c>
      <c r="M42" s="60">
        <f t="shared" si="28"/>
        <v>6.7185726615814196E-4</v>
      </c>
      <c r="N42" s="60">
        <f t="shared" si="28"/>
        <v>6.7185726615814196E-4</v>
      </c>
      <c r="O42" s="60">
        <f t="shared" si="28"/>
        <v>6.7185726615814196E-4</v>
      </c>
      <c r="P42" s="60">
        <f t="shared" si="28"/>
        <v>6.7185726615814196E-4</v>
      </c>
      <c r="Q42" s="60">
        <f t="shared" si="28"/>
        <v>6.7185726615814196E-4</v>
      </c>
      <c r="R42" s="60">
        <f t="shared" si="28"/>
        <v>6.7185726615814196E-4</v>
      </c>
      <c r="S42" s="60">
        <f t="shared" si="28"/>
        <v>6.7185726615814196E-4</v>
      </c>
      <c r="T42" s="60">
        <f t="shared" si="28"/>
        <v>6.7185726615814196E-4</v>
      </c>
      <c r="U42" s="60">
        <f t="shared" si="28"/>
        <v>6.7185726615814196E-4</v>
      </c>
      <c r="V42" s="60">
        <f t="shared" si="28"/>
        <v>6.7185726615814196E-4</v>
      </c>
      <c r="W42" s="60">
        <f t="shared" si="28"/>
        <v>6.7185726615814196E-4</v>
      </c>
      <c r="X42" s="60">
        <f t="shared" si="28"/>
        <v>6.7185726615814196E-4</v>
      </c>
      <c r="Y42" s="60">
        <f t="shared" si="28"/>
        <v>6.7185726615814196E-4</v>
      </c>
      <c r="Z42" s="60">
        <f t="shared" si="28"/>
        <v>6.7185726615814196E-4</v>
      </c>
      <c r="AA42" s="60">
        <f t="shared" si="28"/>
        <v>6.7185726615814196E-4</v>
      </c>
      <c r="AB42" s="60">
        <f t="shared" si="28"/>
        <v>6.7185726615814196E-4</v>
      </c>
      <c r="AC42" s="94">
        <f t="shared" si="9"/>
        <v>148841.13789797429</v>
      </c>
      <c r="AD42" s="94">
        <f>IF(D42=".",".",up_RadSpec!$F$19*(AD19*$B42))</f>
        <v>37210.284474493572</v>
      </c>
      <c r="AE42" s="94">
        <f>IF(E42=".",".",up_RadSpec!$F$19*(AE19*$B42))</f>
        <v>37210.284474493572</v>
      </c>
      <c r="AF42" s="94">
        <f>IF(F42=".",".",up_RadSpec!$F$19*(AF19*$B42))</f>
        <v>37210.284474493572</v>
      </c>
      <c r="AG42" s="94">
        <f>IF(G42=".",".",up_RadSpec!$F$19*(AG19*$B42))</f>
        <v>37210.284474493572</v>
      </c>
      <c r="AH42" s="94">
        <f>IF(H42=".",".",up_RadSpec!$F$19*(AH19*$B42))</f>
        <v>37210.284474493572</v>
      </c>
      <c r="AI42" s="94">
        <f>IF(I42=".",".",up_RadSpec!$F$19*(AI19*$B42))</f>
        <v>37210.284474493572</v>
      </c>
      <c r="AJ42" s="94">
        <f>IF(J42=".",".",up_RadSpec!$F$19*(AJ19*$B42))</f>
        <v>37210.284474493572</v>
      </c>
      <c r="AK42" s="94">
        <f>IF(K42=".",".",up_RadSpec!$F$19*(AK19*$B42))</f>
        <v>37210.284474493572</v>
      </c>
      <c r="AL42" s="94">
        <f>IF(L42=".",".",up_RadSpec!$F$19*(AL19*$B42))</f>
        <v>37210.284474493572</v>
      </c>
      <c r="AM42" s="94">
        <f>IF(M42=".",".",up_RadSpec!$F$19*(AM19*$B42))</f>
        <v>37210.284474493572</v>
      </c>
      <c r="AN42" s="94">
        <f>IF(N42=".",".",up_RadSpec!$F$19*(AN19*$B42))</f>
        <v>37210.284474493572</v>
      </c>
      <c r="AO42" s="94">
        <f>IF(O42=".",".",up_RadSpec!$F$19*(AO19*$B42))</f>
        <v>37210.284474493572</v>
      </c>
      <c r="AP42" s="94">
        <f>IF(P42=".",".",up_RadSpec!$F$19*(AP19*$B42))</f>
        <v>37210.284474493572</v>
      </c>
      <c r="AQ42" s="94">
        <f>IF(Q42=".",".",up_RadSpec!$F$19*(AQ19*$B42))</f>
        <v>37210.284474493572</v>
      </c>
      <c r="AR42" s="94">
        <f>IF(R42=".",".",up_RadSpec!$F$19*(AR19*$B42))</f>
        <v>37210.284474493572</v>
      </c>
      <c r="AS42" s="94">
        <f>IF(S42=".",".",up_RadSpec!$F$19*(AS19*$B42))</f>
        <v>37210.284474493572</v>
      </c>
      <c r="AT42" s="94">
        <f>IF(T42=".",".",up_RadSpec!$F$19*(AT19*$B42))</f>
        <v>37210.284474493572</v>
      </c>
      <c r="AU42" s="94">
        <f>IF(U42=".",".",up_RadSpec!$F$19*(AU19*$B42))</f>
        <v>37210.284474493572</v>
      </c>
      <c r="AV42" s="94">
        <f>IF(V42=".",".",up_RadSpec!$F$19*(AV19*$B42))</f>
        <v>37210.284474493572</v>
      </c>
      <c r="AW42" s="94">
        <f>IF(W42=".",".",up_RadSpec!$F$19*(AW19*$B42))</f>
        <v>37210.284474493572</v>
      </c>
      <c r="AX42" s="94">
        <f>IF(X42=".",".",up_RadSpec!$F$19*(AX19*$B42))</f>
        <v>37210.284474493572</v>
      </c>
      <c r="AY42" s="94">
        <f>IF(Y42=".",".",up_RadSpec!$F$19*(AY19*$B42))</f>
        <v>37210.284474493572</v>
      </c>
      <c r="AZ42" s="94">
        <f>IF(Z42=".",".",up_RadSpec!$F$19*(AZ19*$B42))</f>
        <v>37210.284474493572</v>
      </c>
      <c r="BA42" s="94">
        <f>IF(AA42=".",".",up_RadSpec!$F$19*(BA19*$B42))</f>
        <v>37210.284474493572</v>
      </c>
      <c r="BB42" s="94">
        <f>IF(AB42=".",".",up_RadSpec!$F$19*(BB19*$B42))</f>
        <v>37210.284474493572</v>
      </c>
      <c r="BC42" s="60">
        <f t="shared" ref="BC42:CB42" si="29">IFERROR(BC19/$B42,".")</f>
        <v>1.6796431653953549E-4</v>
      </c>
      <c r="BD42" s="60">
        <f t="shared" si="29"/>
        <v>6.7185726615814196E-4</v>
      </c>
      <c r="BE42" s="60">
        <f t="shared" si="29"/>
        <v>6.7185726615814196E-4</v>
      </c>
      <c r="BF42" s="60">
        <f t="shared" si="29"/>
        <v>6.7185726615814196E-4</v>
      </c>
      <c r="BG42" s="60">
        <f t="shared" si="29"/>
        <v>6.7185726615814196E-4</v>
      </c>
      <c r="BH42" s="60">
        <f t="shared" si="29"/>
        <v>6.7185726615814196E-4</v>
      </c>
      <c r="BI42" s="60">
        <f t="shared" si="29"/>
        <v>6.7185726615814196E-4</v>
      </c>
      <c r="BJ42" s="60">
        <f t="shared" si="29"/>
        <v>6.7185726615814196E-4</v>
      </c>
      <c r="BK42" s="60">
        <f t="shared" si="29"/>
        <v>6.7185726615814196E-4</v>
      </c>
      <c r="BL42" s="60">
        <f t="shared" si="29"/>
        <v>6.7185726615814196E-4</v>
      </c>
      <c r="BM42" s="60">
        <f t="shared" si="29"/>
        <v>6.7185726615814196E-4</v>
      </c>
      <c r="BN42" s="60">
        <f t="shared" si="29"/>
        <v>6.7185726615814196E-4</v>
      </c>
      <c r="BO42" s="60">
        <f t="shared" si="29"/>
        <v>6.7185726615814196E-4</v>
      </c>
      <c r="BP42" s="60">
        <f t="shared" si="29"/>
        <v>6.7185726615814196E-4</v>
      </c>
      <c r="BQ42" s="60">
        <f t="shared" si="29"/>
        <v>6.7185726615814196E-4</v>
      </c>
      <c r="BR42" s="60">
        <f t="shared" si="29"/>
        <v>6.7185726615814196E-4</v>
      </c>
      <c r="BS42" s="60">
        <f t="shared" si="29"/>
        <v>6.7185726615814196E-4</v>
      </c>
      <c r="BT42" s="60">
        <f t="shared" si="29"/>
        <v>6.7185726615814196E-4</v>
      </c>
      <c r="BU42" s="60">
        <f t="shared" si="29"/>
        <v>6.7185726615814196E-4</v>
      </c>
      <c r="BV42" s="60">
        <f t="shared" si="29"/>
        <v>6.7185726615814196E-4</v>
      </c>
      <c r="BW42" s="60">
        <f t="shared" si="29"/>
        <v>6.7185726615814196E-4</v>
      </c>
      <c r="BX42" s="60">
        <f t="shared" si="29"/>
        <v>6.7185726615814196E-4</v>
      </c>
      <c r="BY42" s="60">
        <f t="shared" si="29"/>
        <v>6.7185726615814196E-4</v>
      </c>
      <c r="BZ42" s="60">
        <f t="shared" si="29"/>
        <v>6.7185726615814196E-4</v>
      </c>
      <c r="CA42" s="60">
        <f t="shared" si="29"/>
        <v>6.7185726615814196E-4</v>
      </c>
      <c r="CB42" s="60">
        <f t="shared" si="29"/>
        <v>6.7185726615814196E-4</v>
      </c>
      <c r="CC42" s="94">
        <f t="shared" si="11"/>
        <v>148841.13789797429</v>
      </c>
      <c r="CD42" s="94">
        <f>IF(BD42=".",".",up_RadSpec!$F$19*(CD19*$B42))</f>
        <v>37210.284474493572</v>
      </c>
      <c r="CE42" s="94">
        <f>IF(BE42=".",".",up_RadSpec!$F$19*(CE19*$B42))</f>
        <v>37210.284474493572</v>
      </c>
      <c r="CF42" s="94">
        <f>IF(BF42=".",".",up_RadSpec!$F$19*(CF19*$B42))</f>
        <v>37210.284474493572</v>
      </c>
      <c r="CG42" s="94">
        <f>IF(BG42=".",".",up_RadSpec!$F$19*(CG19*$B42))</f>
        <v>37210.284474493572</v>
      </c>
      <c r="CH42" s="94">
        <f>IF(BH42=".",".",up_RadSpec!$F$19*(CH19*$B42))</f>
        <v>37210.284474493572</v>
      </c>
      <c r="CI42" s="94">
        <f>IF(BI42=".",".",up_RadSpec!$F$19*(CI19*$B42))</f>
        <v>37210.284474493572</v>
      </c>
      <c r="CJ42" s="94">
        <f>IF(BJ42=".",".",up_RadSpec!$F$19*(CJ19*$B42))</f>
        <v>37210.284474493572</v>
      </c>
      <c r="CK42" s="94">
        <f>IF(BK42=".",".",up_RadSpec!$F$19*(CK19*$B42))</f>
        <v>37210.284474493572</v>
      </c>
      <c r="CL42" s="94">
        <f>IF(BL42=".",".",up_RadSpec!$F$19*(CL19*$B42))</f>
        <v>37210.284474493572</v>
      </c>
      <c r="CM42" s="94">
        <f>IF(BM42=".",".",up_RadSpec!$F$19*(CM19*$B42))</f>
        <v>37210.284474493572</v>
      </c>
      <c r="CN42" s="94">
        <f>IF(BN42=".",".",up_RadSpec!$F$19*(CN19*$B42))</f>
        <v>37210.284474493572</v>
      </c>
      <c r="CO42" s="94">
        <f>IF(BO42=".",".",up_RadSpec!$F$19*(CO19*$B42))</f>
        <v>37210.284474493572</v>
      </c>
      <c r="CP42" s="94">
        <f>IF(BP42=".",".",up_RadSpec!$F$19*(CP19*$B42))</f>
        <v>37210.284474493572</v>
      </c>
      <c r="CQ42" s="94">
        <f>IF(BQ42=".",".",up_RadSpec!$F$19*(CQ19*$B42))</f>
        <v>37210.284474493572</v>
      </c>
      <c r="CR42" s="94">
        <f>IF(BR42=".",".",up_RadSpec!$F$19*(CR19*$B42))</f>
        <v>37210.284474493572</v>
      </c>
      <c r="CS42" s="94">
        <f>IF(BS42=".",".",up_RadSpec!$F$19*(CS19*$B42))</f>
        <v>37210.284474493572</v>
      </c>
      <c r="CT42" s="94">
        <f>IF(BT42=".",".",up_RadSpec!$F$19*(CT19*$B42))</f>
        <v>37210.284474493572</v>
      </c>
      <c r="CU42" s="94">
        <f>IF(BU42=".",".",up_RadSpec!$F$19*(CU19*$B42))</f>
        <v>37210.284474493572</v>
      </c>
      <c r="CV42" s="94">
        <f>IF(BV42=".",".",up_RadSpec!$F$19*(CV19*$B42))</f>
        <v>37210.284474493572</v>
      </c>
      <c r="CW42" s="94">
        <f>IF(BW42=".",".",up_RadSpec!$F$19*(CW19*$B42))</f>
        <v>37210.284474493572</v>
      </c>
      <c r="CX42" s="94">
        <f>IF(BX42=".",".",up_RadSpec!$F$19*(CX19*$B42))</f>
        <v>37210.284474493572</v>
      </c>
      <c r="CY42" s="94">
        <f>IF(BY42=".",".",up_RadSpec!$F$19*(CY19*$B42))</f>
        <v>37210.284474493572</v>
      </c>
      <c r="CZ42" s="94">
        <f>IF(BZ42=".",".",up_RadSpec!$F$19*(CZ19*$B42))</f>
        <v>37210.284474493572</v>
      </c>
      <c r="DA42" s="94">
        <f>IF(CA42=".",".",up_RadSpec!$F$19*(DA19*$B42))</f>
        <v>37210.284474493572</v>
      </c>
      <c r="DB42" s="94">
        <f>IF(CB42=".",".",up_RadSpec!$F$19*(DB19*$B42))</f>
        <v>37210.284474493572</v>
      </c>
    </row>
    <row r="43" spans="1:106" s="42" customFormat="1" x14ac:dyDescent="0.25">
      <c r="A43" s="77" t="s">
        <v>1071</v>
      </c>
      <c r="B43" s="42">
        <v>2.0897492E-2</v>
      </c>
      <c r="C43" s="60">
        <f t="shared" ref="C43:AB43" si="30">IFERROR(C28/$B43,".")</f>
        <v>7.8686058528162298E-3</v>
      </c>
      <c r="D43" s="60">
        <f t="shared" si="30"/>
        <v>3.1474423411264919E-2</v>
      </c>
      <c r="E43" s="60">
        <f t="shared" si="30"/>
        <v>3.1474423411264919E-2</v>
      </c>
      <c r="F43" s="60">
        <f t="shared" si="30"/>
        <v>3.1474423411264919E-2</v>
      </c>
      <c r="G43" s="60">
        <f t="shared" si="30"/>
        <v>3.1474423411264919E-2</v>
      </c>
      <c r="H43" s="60">
        <f t="shared" si="30"/>
        <v>3.1474423411264919E-2</v>
      </c>
      <c r="I43" s="60">
        <f t="shared" si="30"/>
        <v>3.1474423411264919E-2</v>
      </c>
      <c r="J43" s="60">
        <f t="shared" si="30"/>
        <v>3.1474423411264919E-2</v>
      </c>
      <c r="K43" s="60">
        <f t="shared" si="30"/>
        <v>3.1474423411264919E-2</v>
      </c>
      <c r="L43" s="60">
        <f t="shared" si="30"/>
        <v>3.1474423411264919E-2</v>
      </c>
      <c r="M43" s="60">
        <f t="shared" si="30"/>
        <v>3.1474423411264919E-2</v>
      </c>
      <c r="N43" s="60">
        <f t="shared" si="30"/>
        <v>3.1474423411264919E-2</v>
      </c>
      <c r="O43" s="60">
        <f t="shared" si="30"/>
        <v>3.1474423411264919E-2</v>
      </c>
      <c r="P43" s="60">
        <f t="shared" si="30"/>
        <v>3.1474423411264919E-2</v>
      </c>
      <c r="Q43" s="60">
        <f t="shared" si="30"/>
        <v>3.1474423411264919E-2</v>
      </c>
      <c r="R43" s="60">
        <f t="shared" si="30"/>
        <v>3.1474423411264919E-2</v>
      </c>
      <c r="S43" s="60">
        <f t="shared" si="30"/>
        <v>3.1474423411264919E-2</v>
      </c>
      <c r="T43" s="60">
        <f t="shared" si="30"/>
        <v>3.1474423411264919E-2</v>
      </c>
      <c r="U43" s="60">
        <f t="shared" si="30"/>
        <v>3.1474423411264919E-2</v>
      </c>
      <c r="V43" s="60">
        <f t="shared" si="30"/>
        <v>3.1474423411264919E-2</v>
      </c>
      <c r="W43" s="60">
        <f t="shared" si="30"/>
        <v>3.1474423411264919E-2</v>
      </c>
      <c r="X43" s="60">
        <f t="shared" si="30"/>
        <v>3.1474423411264919E-2</v>
      </c>
      <c r="Y43" s="60">
        <f t="shared" si="30"/>
        <v>3.1474423411264919E-2</v>
      </c>
      <c r="Z43" s="60">
        <f t="shared" si="30"/>
        <v>3.1474423411264919E-2</v>
      </c>
      <c r="AA43" s="60">
        <f t="shared" si="30"/>
        <v>3.1474423411264919E-2</v>
      </c>
      <c r="AB43" s="60">
        <f t="shared" si="30"/>
        <v>3.1474423411264919E-2</v>
      </c>
      <c r="AC43" s="94">
        <f t="shared" si="9"/>
        <v>3177.1829047775127</v>
      </c>
      <c r="AD43" s="94">
        <f>IF(D43=".",".",up_RadSpec!$F$28*(AD28*$B43))</f>
        <v>794.29572619437818</v>
      </c>
      <c r="AE43" s="94">
        <f>IF(E43=".",".",up_RadSpec!$F$28*(AE28*$B43))</f>
        <v>794.29572619437818</v>
      </c>
      <c r="AF43" s="94">
        <f>IF(F43=".",".",up_RadSpec!$F$28*(AF28*$B43))</f>
        <v>794.29572619437818</v>
      </c>
      <c r="AG43" s="94">
        <f>IF(G43=".",".",up_RadSpec!$F$28*(AG28*$B43))</f>
        <v>794.29572619437818</v>
      </c>
      <c r="AH43" s="94">
        <f>IF(H43=".",".",up_RadSpec!$F$28*(AH28*$B43))</f>
        <v>794.29572619437818</v>
      </c>
      <c r="AI43" s="94">
        <f>IF(I43=".",".",up_RadSpec!$F$28*(AI28*$B43))</f>
        <v>794.29572619437818</v>
      </c>
      <c r="AJ43" s="94">
        <f>IF(J43=".",".",up_RadSpec!$F$28*(AJ28*$B43))</f>
        <v>794.29572619437818</v>
      </c>
      <c r="AK43" s="94">
        <f>IF(K43=".",".",up_RadSpec!$F$28*(AK28*$B43))</f>
        <v>794.29572619437818</v>
      </c>
      <c r="AL43" s="94">
        <f>IF(L43=".",".",up_RadSpec!$F$28*(AL28*$B43))</f>
        <v>794.29572619437818</v>
      </c>
      <c r="AM43" s="94">
        <f>IF(M43=".",".",up_RadSpec!$F$28*(AM28*$B43))</f>
        <v>794.29572619437818</v>
      </c>
      <c r="AN43" s="94">
        <f>IF(N43=".",".",up_RadSpec!$F$28*(AN28*$B43))</f>
        <v>794.29572619437818</v>
      </c>
      <c r="AO43" s="94">
        <f>IF(O43=".",".",up_RadSpec!$F$28*(AO28*$B43))</f>
        <v>794.29572619437818</v>
      </c>
      <c r="AP43" s="94">
        <f>IF(P43=".",".",up_RadSpec!$F$28*(AP28*$B43))</f>
        <v>794.29572619437818</v>
      </c>
      <c r="AQ43" s="94">
        <f>IF(Q43=".",".",up_RadSpec!$F$28*(AQ28*$B43))</f>
        <v>794.29572619437818</v>
      </c>
      <c r="AR43" s="94">
        <f>IF(R43=".",".",up_RadSpec!$F$28*(AR28*$B43))</f>
        <v>794.29572619437818</v>
      </c>
      <c r="AS43" s="94">
        <f>IF(S43=".",".",up_RadSpec!$F$28*(AS28*$B43))</f>
        <v>794.29572619437818</v>
      </c>
      <c r="AT43" s="94">
        <f>IF(T43=".",".",up_RadSpec!$F$28*(AT28*$B43))</f>
        <v>794.29572619437818</v>
      </c>
      <c r="AU43" s="94">
        <f>IF(U43=".",".",up_RadSpec!$F$28*(AU28*$B43))</f>
        <v>794.29572619437818</v>
      </c>
      <c r="AV43" s="94">
        <f>IF(V43=".",".",up_RadSpec!$F$28*(AV28*$B43))</f>
        <v>794.29572619437818</v>
      </c>
      <c r="AW43" s="94">
        <f>IF(W43=".",".",up_RadSpec!$F$28*(AW28*$B43))</f>
        <v>794.29572619437818</v>
      </c>
      <c r="AX43" s="94">
        <f>IF(X43=".",".",up_RadSpec!$F$28*(AX28*$B43))</f>
        <v>794.29572619437818</v>
      </c>
      <c r="AY43" s="94">
        <f>IF(Y43=".",".",up_RadSpec!$F$28*(AY28*$B43))</f>
        <v>794.29572619437818</v>
      </c>
      <c r="AZ43" s="94">
        <f>IF(Z43=".",".",up_RadSpec!$F$28*(AZ28*$B43))</f>
        <v>794.29572619437818</v>
      </c>
      <c r="BA43" s="94">
        <f>IF(AA43=".",".",up_RadSpec!$F$28*(BA28*$B43))</f>
        <v>794.29572619437818</v>
      </c>
      <c r="BB43" s="94">
        <f>IF(AB43=".",".",up_RadSpec!$F$28*(BB28*$B43))</f>
        <v>794.29572619437818</v>
      </c>
      <c r="BC43" s="60">
        <f t="shared" ref="BC43:CB43" si="31">IFERROR(BC28/$B43,".")</f>
        <v>7.8686058528162298E-3</v>
      </c>
      <c r="BD43" s="60">
        <f t="shared" si="31"/>
        <v>3.1474423411264919E-2</v>
      </c>
      <c r="BE43" s="60">
        <f t="shared" si="31"/>
        <v>3.1474423411264919E-2</v>
      </c>
      <c r="BF43" s="60">
        <f t="shared" si="31"/>
        <v>3.1474423411264919E-2</v>
      </c>
      <c r="BG43" s="60">
        <f t="shared" si="31"/>
        <v>3.1474423411264919E-2</v>
      </c>
      <c r="BH43" s="60">
        <f t="shared" si="31"/>
        <v>3.1474423411264919E-2</v>
      </c>
      <c r="BI43" s="60">
        <f t="shared" si="31"/>
        <v>3.1474423411264919E-2</v>
      </c>
      <c r="BJ43" s="60">
        <f t="shared" si="31"/>
        <v>3.1474423411264919E-2</v>
      </c>
      <c r="BK43" s="60">
        <f t="shared" si="31"/>
        <v>3.1474423411264919E-2</v>
      </c>
      <c r="BL43" s="60">
        <f t="shared" si="31"/>
        <v>3.1474423411264919E-2</v>
      </c>
      <c r="BM43" s="60">
        <f t="shared" si="31"/>
        <v>3.1474423411264919E-2</v>
      </c>
      <c r="BN43" s="60">
        <f t="shared" si="31"/>
        <v>3.1474423411264919E-2</v>
      </c>
      <c r="BO43" s="60">
        <f t="shared" si="31"/>
        <v>3.1474423411264919E-2</v>
      </c>
      <c r="BP43" s="60">
        <f t="shared" si="31"/>
        <v>3.1474423411264919E-2</v>
      </c>
      <c r="BQ43" s="60">
        <f t="shared" si="31"/>
        <v>3.1474423411264919E-2</v>
      </c>
      <c r="BR43" s="60">
        <f t="shared" si="31"/>
        <v>3.1474423411264919E-2</v>
      </c>
      <c r="BS43" s="60">
        <f t="shared" si="31"/>
        <v>3.1474423411264919E-2</v>
      </c>
      <c r="BT43" s="60">
        <f t="shared" si="31"/>
        <v>3.1474423411264919E-2</v>
      </c>
      <c r="BU43" s="60">
        <f t="shared" si="31"/>
        <v>3.1474423411264919E-2</v>
      </c>
      <c r="BV43" s="60">
        <f t="shared" si="31"/>
        <v>3.1474423411264919E-2</v>
      </c>
      <c r="BW43" s="60">
        <f t="shared" si="31"/>
        <v>3.1474423411264919E-2</v>
      </c>
      <c r="BX43" s="60">
        <f t="shared" si="31"/>
        <v>3.1474423411264919E-2</v>
      </c>
      <c r="BY43" s="60">
        <f t="shared" si="31"/>
        <v>3.1474423411264919E-2</v>
      </c>
      <c r="BZ43" s="60">
        <f t="shared" si="31"/>
        <v>3.1474423411264919E-2</v>
      </c>
      <c r="CA43" s="60">
        <f t="shared" si="31"/>
        <v>3.1474423411264919E-2</v>
      </c>
      <c r="CB43" s="60">
        <f t="shared" si="31"/>
        <v>3.1474423411264919E-2</v>
      </c>
      <c r="CC43" s="94">
        <f t="shared" si="11"/>
        <v>3177.1829047775127</v>
      </c>
      <c r="CD43" s="94">
        <f>IF(BD43=".",".",up_RadSpec!$F$28*(CD28*$B43))</f>
        <v>794.29572619437818</v>
      </c>
      <c r="CE43" s="94">
        <f>IF(BE43=".",".",up_RadSpec!$F$28*(CE28*$B43))</f>
        <v>794.29572619437818</v>
      </c>
      <c r="CF43" s="94">
        <f>IF(BF43=".",".",up_RadSpec!$F$28*(CF28*$B43))</f>
        <v>794.29572619437818</v>
      </c>
      <c r="CG43" s="94">
        <f>IF(BG43=".",".",up_RadSpec!$F$28*(CG28*$B43))</f>
        <v>794.29572619437818</v>
      </c>
      <c r="CH43" s="94">
        <f>IF(BH43=".",".",up_RadSpec!$F$28*(CH28*$B43))</f>
        <v>794.29572619437818</v>
      </c>
      <c r="CI43" s="94">
        <f>IF(BI43=".",".",up_RadSpec!$F$28*(CI28*$B43))</f>
        <v>794.29572619437818</v>
      </c>
      <c r="CJ43" s="94">
        <f>IF(BJ43=".",".",up_RadSpec!$F$28*(CJ28*$B43))</f>
        <v>794.29572619437818</v>
      </c>
      <c r="CK43" s="94">
        <f>IF(BK43=".",".",up_RadSpec!$F$28*(CK28*$B43))</f>
        <v>794.29572619437818</v>
      </c>
      <c r="CL43" s="94">
        <f>IF(BL43=".",".",up_RadSpec!$F$28*(CL28*$B43))</f>
        <v>794.29572619437818</v>
      </c>
      <c r="CM43" s="94">
        <f>IF(BM43=".",".",up_RadSpec!$F$28*(CM28*$B43))</f>
        <v>794.29572619437818</v>
      </c>
      <c r="CN43" s="94">
        <f>IF(BN43=".",".",up_RadSpec!$F$28*(CN28*$B43))</f>
        <v>794.29572619437818</v>
      </c>
      <c r="CO43" s="94">
        <f>IF(BO43=".",".",up_RadSpec!$F$28*(CO28*$B43))</f>
        <v>794.29572619437818</v>
      </c>
      <c r="CP43" s="94">
        <f>IF(BP43=".",".",up_RadSpec!$F$28*(CP28*$B43))</f>
        <v>794.29572619437818</v>
      </c>
      <c r="CQ43" s="94">
        <f>IF(BQ43=".",".",up_RadSpec!$F$28*(CQ28*$B43))</f>
        <v>794.29572619437818</v>
      </c>
      <c r="CR43" s="94">
        <f>IF(BR43=".",".",up_RadSpec!$F$28*(CR28*$B43))</f>
        <v>794.29572619437818</v>
      </c>
      <c r="CS43" s="94">
        <f>IF(BS43=".",".",up_RadSpec!$F$28*(CS28*$B43))</f>
        <v>794.29572619437818</v>
      </c>
      <c r="CT43" s="94">
        <f>IF(BT43=".",".",up_RadSpec!$F$28*(CT28*$B43))</f>
        <v>794.29572619437818</v>
      </c>
      <c r="CU43" s="94">
        <f>IF(BU43=".",".",up_RadSpec!$F$28*(CU28*$B43))</f>
        <v>794.29572619437818</v>
      </c>
      <c r="CV43" s="94">
        <f>IF(BV43=".",".",up_RadSpec!$F$28*(CV28*$B43))</f>
        <v>794.29572619437818</v>
      </c>
      <c r="CW43" s="94">
        <f>IF(BW43=".",".",up_RadSpec!$F$28*(CW28*$B43))</f>
        <v>794.29572619437818</v>
      </c>
      <c r="CX43" s="94">
        <f>IF(BX43=".",".",up_RadSpec!$F$28*(CX28*$B43))</f>
        <v>794.29572619437818</v>
      </c>
      <c r="CY43" s="94">
        <f>IF(BY43=".",".",up_RadSpec!$F$28*(CY28*$B43))</f>
        <v>794.29572619437818</v>
      </c>
      <c r="CZ43" s="94">
        <f>IF(BZ43=".",".",up_RadSpec!$F$28*(CZ28*$B43))</f>
        <v>794.29572619437818</v>
      </c>
      <c r="DA43" s="94">
        <f>IF(CA43=".",".",up_RadSpec!$F$28*(DA28*$B43))</f>
        <v>794.29572619437818</v>
      </c>
      <c r="DB43" s="94">
        <f>IF(CB43=".",".",up_RadSpec!$F$28*(DB28*$B43))</f>
        <v>794.29572619437818</v>
      </c>
    </row>
    <row r="44" spans="1:106" s="42" customFormat="1" x14ac:dyDescent="0.25">
      <c r="A44" s="77" t="s">
        <v>1072</v>
      </c>
      <c r="B44" s="42">
        <v>0.99987999999999999</v>
      </c>
      <c r="C44" s="60">
        <f t="shared" ref="C44:AB44" si="32">IFERROR(C15/$B44,".")</f>
        <v>1.6445386232385919E-4</v>
      </c>
      <c r="D44" s="60">
        <f t="shared" si="32"/>
        <v>6.5781544929543675E-4</v>
      </c>
      <c r="E44" s="60">
        <f t="shared" si="32"/>
        <v>6.5781544929543675E-4</v>
      </c>
      <c r="F44" s="60">
        <f t="shared" si="32"/>
        <v>6.5781544929543675E-4</v>
      </c>
      <c r="G44" s="60">
        <f t="shared" si="32"/>
        <v>6.5781544929543675E-4</v>
      </c>
      <c r="H44" s="60">
        <f t="shared" si="32"/>
        <v>6.5781544929543675E-4</v>
      </c>
      <c r="I44" s="60">
        <f t="shared" si="32"/>
        <v>6.5781544929543675E-4</v>
      </c>
      <c r="J44" s="60">
        <f t="shared" si="32"/>
        <v>6.5781544929543675E-4</v>
      </c>
      <c r="K44" s="60">
        <f t="shared" si="32"/>
        <v>6.5781544929543675E-4</v>
      </c>
      <c r="L44" s="60">
        <f t="shared" si="32"/>
        <v>6.5781544929543675E-4</v>
      </c>
      <c r="M44" s="60">
        <f t="shared" si="32"/>
        <v>6.5781544929543675E-4</v>
      </c>
      <c r="N44" s="60">
        <f t="shared" si="32"/>
        <v>6.5781544929543675E-4</v>
      </c>
      <c r="O44" s="60">
        <f t="shared" si="32"/>
        <v>6.5781544929543675E-4</v>
      </c>
      <c r="P44" s="60">
        <f t="shared" si="32"/>
        <v>6.5781544929543675E-4</v>
      </c>
      <c r="Q44" s="60">
        <f t="shared" si="32"/>
        <v>6.5781544929543675E-4</v>
      </c>
      <c r="R44" s="60">
        <f t="shared" si="32"/>
        <v>6.5781544929543675E-4</v>
      </c>
      <c r="S44" s="60">
        <f t="shared" si="32"/>
        <v>6.5781544929543675E-4</v>
      </c>
      <c r="T44" s="60">
        <f t="shared" si="32"/>
        <v>6.5781544929543675E-4</v>
      </c>
      <c r="U44" s="60">
        <f t="shared" si="32"/>
        <v>6.5781544929543675E-4</v>
      </c>
      <c r="V44" s="60">
        <f t="shared" si="32"/>
        <v>6.5781544929543675E-4</v>
      </c>
      <c r="W44" s="60">
        <f t="shared" si="32"/>
        <v>6.5781544929543675E-4</v>
      </c>
      <c r="X44" s="60">
        <f t="shared" si="32"/>
        <v>6.5781544929543675E-4</v>
      </c>
      <c r="Y44" s="60">
        <f t="shared" si="32"/>
        <v>6.5781544929543675E-4</v>
      </c>
      <c r="Z44" s="60">
        <f t="shared" si="32"/>
        <v>6.5781544929543675E-4</v>
      </c>
      <c r="AA44" s="60">
        <f t="shared" si="32"/>
        <v>6.5781544929543675E-4</v>
      </c>
      <c r="AB44" s="60">
        <f t="shared" si="32"/>
        <v>6.5781544929543675E-4</v>
      </c>
      <c r="AC44" s="94">
        <f t="shared" si="9"/>
        <v>152018.32080275181</v>
      </c>
      <c r="AD44" s="94">
        <f>IF(D44=".",".",up_RadSpec!$F$15*(AD15*$B44))</f>
        <v>38004.580200687953</v>
      </c>
      <c r="AE44" s="94">
        <f>IF(E44=".",".",up_RadSpec!$F$15*(AE15*$B44))</f>
        <v>38004.580200687953</v>
      </c>
      <c r="AF44" s="94">
        <f>IF(F44=".",".",up_RadSpec!$F$15*(AF15*$B44))</f>
        <v>38004.580200687953</v>
      </c>
      <c r="AG44" s="94">
        <f>IF(G44=".",".",up_RadSpec!$F$15*(AG15*$B44))</f>
        <v>38004.580200687953</v>
      </c>
      <c r="AH44" s="94">
        <f>IF(H44=".",".",up_RadSpec!$F$15*(AH15*$B44))</f>
        <v>38004.580200687953</v>
      </c>
      <c r="AI44" s="94">
        <f>IF(I44=".",".",up_RadSpec!$F$15*(AI15*$B44))</f>
        <v>38004.580200687953</v>
      </c>
      <c r="AJ44" s="94">
        <f>IF(J44=".",".",up_RadSpec!$F$15*(AJ15*$B44))</f>
        <v>38004.580200687953</v>
      </c>
      <c r="AK44" s="94">
        <f>IF(K44=".",".",up_RadSpec!$F$15*(AK15*$B44))</f>
        <v>38004.580200687953</v>
      </c>
      <c r="AL44" s="94">
        <f>IF(L44=".",".",up_RadSpec!$F$15*(AL15*$B44))</f>
        <v>38004.580200687953</v>
      </c>
      <c r="AM44" s="94">
        <f>IF(M44=".",".",up_RadSpec!$F$15*(AM15*$B44))</f>
        <v>38004.580200687953</v>
      </c>
      <c r="AN44" s="94">
        <f>IF(N44=".",".",up_RadSpec!$F$15*(AN15*$B44))</f>
        <v>38004.580200687953</v>
      </c>
      <c r="AO44" s="94">
        <f>IF(O44=".",".",up_RadSpec!$F$15*(AO15*$B44))</f>
        <v>38004.580200687953</v>
      </c>
      <c r="AP44" s="94">
        <f>IF(P44=".",".",up_RadSpec!$F$15*(AP15*$B44))</f>
        <v>38004.580200687953</v>
      </c>
      <c r="AQ44" s="94">
        <f>IF(Q44=".",".",up_RadSpec!$F$15*(AQ15*$B44))</f>
        <v>38004.580200687953</v>
      </c>
      <c r="AR44" s="94">
        <f>IF(R44=".",".",up_RadSpec!$F$15*(AR15*$B44))</f>
        <v>38004.580200687953</v>
      </c>
      <c r="AS44" s="94">
        <f>IF(S44=".",".",up_RadSpec!$F$15*(AS15*$B44))</f>
        <v>38004.580200687953</v>
      </c>
      <c r="AT44" s="94">
        <f>IF(T44=".",".",up_RadSpec!$F$15*(AT15*$B44))</f>
        <v>38004.580200687953</v>
      </c>
      <c r="AU44" s="94">
        <f>IF(U44=".",".",up_RadSpec!$F$15*(AU15*$B44))</f>
        <v>38004.580200687953</v>
      </c>
      <c r="AV44" s="94">
        <f>IF(V44=".",".",up_RadSpec!$F$15*(AV15*$B44))</f>
        <v>38004.580200687953</v>
      </c>
      <c r="AW44" s="94">
        <f>IF(W44=".",".",up_RadSpec!$F$15*(AW15*$B44))</f>
        <v>38004.580200687953</v>
      </c>
      <c r="AX44" s="94">
        <f>IF(X44=".",".",up_RadSpec!$F$15*(AX15*$B44))</f>
        <v>38004.580200687953</v>
      </c>
      <c r="AY44" s="94">
        <f>IF(Y44=".",".",up_RadSpec!$F$15*(AY15*$B44))</f>
        <v>38004.580200687953</v>
      </c>
      <c r="AZ44" s="94">
        <f>IF(Z44=".",".",up_RadSpec!$F$15*(AZ15*$B44))</f>
        <v>38004.580200687953</v>
      </c>
      <c r="BA44" s="94">
        <f>IF(AA44=".",".",up_RadSpec!$F$15*(BA15*$B44))</f>
        <v>38004.580200687953</v>
      </c>
      <c r="BB44" s="94">
        <f>IF(AB44=".",".",up_RadSpec!$F$15*(BB15*$B44))</f>
        <v>38004.580200687953</v>
      </c>
      <c r="BC44" s="60">
        <f t="shared" ref="BC44:CB44" si="33">IFERROR(BC15/$B44,".")</f>
        <v>1.6445386232385919E-4</v>
      </c>
      <c r="BD44" s="60">
        <f t="shared" si="33"/>
        <v>6.5781544929543675E-4</v>
      </c>
      <c r="BE44" s="60">
        <f t="shared" si="33"/>
        <v>6.5781544929543675E-4</v>
      </c>
      <c r="BF44" s="60">
        <f t="shared" si="33"/>
        <v>6.5781544929543675E-4</v>
      </c>
      <c r="BG44" s="60">
        <f t="shared" si="33"/>
        <v>6.5781544929543675E-4</v>
      </c>
      <c r="BH44" s="60">
        <f t="shared" si="33"/>
        <v>6.5781544929543675E-4</v>
      </c>
      <c r="BI44" s="60">
        <f t="shared" si="33"/>
        <v>6.5781544929543675E-4</v>
      </c>
      <c r="BJ44" s="60">
        <f t="shared" si="33"/>
        <v>6.5781544929543675E-4</v>
      </c>
      <c r="BK44" s="60">
        <f t="shared" si="33"/>
        <v>6.5781544929543675E-4</v>
      </c>
      <c r="BL44" s="60">
        <f t="shared" si="33"/>
        <v>6.5781544929543675E-4</v>
      </c>
      <c r="BM44" s="60">
        <f t="shared" si="33"/>
        <v>6.5781544929543675E-4</v>
      </c>
      <c r="BN44" s="60">
        <f t="shared" si="33"/>
        <v>6.5781544929543675E-4</v>
      </c>
      <c r="BO44" s="60">
        <f t="shared" si="33"/>
        <v>6.5781544929543675E-4</v>
      </c>
      <c r="BP44" s="60">
        <f t="shared" si="33"/>
        <v>6.5781544929543675E-4</v>
      </c>
      <c r="BQ44" s="60">
        <f t="shared" si="33"/>
        <v>6.5781544929543675E-4</v>
      </c>
      <c r="BR44" s="60">
        <f t="shared" si="33"/>
        <v>6.5781544929543675E-4</v>
      </c>
      <c r="BS44" s="60">
        <f t="shared" si="33"/>
        <v>6.5781544929543675E-4</v>
      </c>
      <c r="BT44" s="60">
        <f t="shared" si="33"/>
        <v>6.5781544929543675E-4</v>
      </c>
      <c r="BU44" s="60">
        <f t="shared" si="33"/>
        <v>6.5781544929543675E-4</v>
      </c>
      <c r="BV44" s="60">
        <f t="shared" si="33"/>
        <v>6.5781544929543675E-4</v>
      </c>
      <c r="BW44" s="60">
        <f t="shared" si="33"/>
        <v>6.5781544929543675E-4</v>
      </c>
      <c r="BX44" s="60">
        <f t="shared" si="33"/>
        <v>6.5781544929543675E-4</v>
      </c>
      <c r="BY44" s="60">
        <f t="shared" si="33"/>
        <v>6.5781544929543675E-4</v>
      </c>
      <c r="BZ44" s="60">
        <f t="shared" si="33"/>
        <v>6.5781544929543675E-4</v>
      </c>
      <c r="CA44" s="60">
        <f t="shared" si="33"/>
        <v>6.5781544929543675E-4</v>
      </c>
      <c r="CB44" s="60">
        <f t="shared" si="33"/>
        <v>6.5781544929543675E-4</v>
      </c>
      <c r="CC44" s="94">
        <f t="shared" si="11"/>
        <v>152018.32080275181</v>
      </c>
      <c r="CD44" s="94">
        <f>IF(BD44=".",".",up_RadSpec!$F$15*(CD15*$B44))</f>
        <v>38004.580200687953</v>
      </c>
      <c r="CE44" s="94">
        <f>IF(BE44=".",".",up_RadSpec!$F$15*(CE15*$B44))</f>
        <v>38004.580200687953</v>
      </c>
      <c r="CF44" s="94">
        <f>IF(BF44=".",".",up_RadSpec!$F$15*(CF15*$B44))</f>
        <v>38004.580200687953</v>
      </c>
      <c r="CG44" s="94">
        <f>IF(BG44=".",".",up_RadSpec!$F$15*(CG15*$B44))</f>
        <v>38004.580200687953</v>
      </c>
      <c r="CH44" s="94">
        <f>IF(BH44=".",".",up_RadSpec!$F$15*(CH15*$B44))</f>
        <v>38004.580200687953</v>
      </c>
      <c r="CI44" s="94">
        <f>IF(BI44=".",".",up_RadSpec!$F$15*(CI15*$B44))</f>
        <v>38004.580200687953</v>
      </c>
      <c r="CJ44" s="94">
        <f>IF(BJ44=".",".",up_RadSpec!$F$15*(CJ15*$B44))</f>
        <v>38004.580200687953</v>
      </c>
      <c r="CK44" s="94">
        <f>IF(BK44=".",".",up_RadSpec!$F$15*(CK15*$B44))</f>
        <v>38004.580200687953</v>
      </c>
      <c r="CL44" s="94">
        <f>IF(BL44=".",".",up_RadSpec!$F$15*(CL15*$B44))</f>
        <v>38004.580200687953</v>
      </c>
      <c r="CM44" s="94">
        <f>IF(BM44=".",".",up_RadSpec!$F$15*(CM15*$B44))</f>
        <v>38004.580200687953</v>
      </c>
      <c r="CN44" s="94">
        <f>IF(BN44=".",".",up_RadSpec!$F$15*(CN15*$B44))</f>
        <v>38004.580200687953</v>
      </c>
      <c r="CO44" s="94">
        <f>IF(BO44=".",".",up_RadSpec!$F$15*(CO15*$B44))</f>
        <v>38004.580200687953</v>
      </c>
      <c r="CP44" s="94">
        <f>IF(BP44=".",".",up_RadSpec!$F$15*(CP15*$B44))</f>
        <v>38004.580200687953</v>
      </c>
      <c r="CQ44" s="94">
        <f>IF(BQ44=".",".",up_RadSpec!$F$15*(CQ15*$B44))</f>
        <v>38004.580200687953</v>
      </c>
      <c r="CR44" s="94">
        <f>IF(BR44=".",".",up_RadSpec!$F$15*(CR15*$B44))</f>
        <v>38004.580200687953</v>
      </c>
      <c r="CS44" s="94">
        <f>IF(BS44=".",".",up_RadSpec!$F$15*(CS15*$B44))</f>
        <v>38004.580200687953</v>
      </c>
      <c r="CT44" s="94">
        <f>IF(BT44=".",".",up_RadSpec!$F$15*(CT15*$B44))</f>
        <v>38004.580200687953</v>
      </c>
      <c r="CU44" s="94">
        <f>IF(BU44=".",".",up_RadSpec!$F$15*(CU15*$B44))</f>
        <v>38004.580200687953</v>
      </c>
      <c r="CV44" s="94">
        <f>IF(BV44=".",".",up_RadSpec!$F$15*(CV15*$B44))</f>
        <v>38004.580200687953</v>
      </c>
      <c r="CW44" s="94">
        <f>IF(BW44=".",".",up_RadSpec!$F$15*(CW15*$B44))</f>
        <v>38004.580200687953</v>
      </c>
      <c r="CX44" s="94">
        <f>IF(BX44=".",".",up_RadSpec!$F$15*(CX15*$B44))</f>
        <v>38004.580200687953</v>
      </c>
      <c r="CY44" s="94">
        <f>IF(BY44=".",".",up_RadSpec!$F$15*(CY15*$B44))</f>
        <v>38004.580200687953</v>
      </c>
      <c r="CZ44" s="94">
        <f>IF(BZ44=".",".",up_RadSpec!$F$15*(CZ15*$B44))</f>
        <v>38004.580200687953</v>
      </c>
      <c r="DA44" s="94">
        <f>IF(CA44=".",".",up_RadSpec!$F$15*(DA15*$B44))</f>
        <v>38004.580200687953</v>
      </c>
      <c r="DB44" s="94">
        <f>IF(CB44=".",".",up_RadSpec!$F$15*(DB15*$B44))</f>
        <v>38004.580200687953</v>
      </c>
    </row>
    <row r="45" spans="1:106" s="42" customFormat="1" x14ac:dyDescent="0.25">
      <c r="A45" s="76" t="s">
        <v>8</v>
      </c>
      <c r="B45" s="76" t="s">
        <v>1057</v>
      </c>
      <c r="C45" s="58">
        <f t="shared" ref="C45:AB45" si="34">IFERROR(1/SUM(IFERROR(1/SUMIF(C46,"&lt;&gt;.",C46),0),IFERROR(1/SUMIF(C47,"&lt;&gt;.",C47),0)),".")</f>
        <v>8.4585891830914935E-5</v>
      </c>
      <c r="D45" s="58">
        <f t="shared" si="34"/>
        <v>3.3834356732365974E-4</v>
      </c>
      <c r="E45" s="58">
        <f t="shared" si="34"/>
        <v>3.3834356732365974E-4</v>
      </c>
      <c r="F45" s="58">
        <f t="shared" si="34"/>
        <v>3.3834356732365974E-4</v>
      </c>
      <c r="G45" s="58">
        <f t="shared" si="34"/>
        <v>3.3834356732365974E-4</v>
      </c>
      <c r="H45" s="58">
        <f t="shared" si="34"/>
        <v>3.3834356732365974E-4</v>
      </c>
      <c r="I45" s="58">
        <f t="shared" si="34"/>
        <v>3.3834356732365974E-4</v>
      </c>
      <c r="J45" s="58">
        <f t="shared" si="34"/>
        <v>3.3834356732365974E-4</v>
      </c>
      <c r="K45" s="58">
        <f t="shared" si="34"/>
        <v>3.3834356732365974E-4</v>
      </c>
      <c r="L45" s="58">
        <f t="shared" si="34"/>
        <v>3.3834356732365974E-4</v>
      </c>
      <c r="M45" s="58">
        <f t="shared" si="34"/>
        <v>3.3834356732365974E-4</v>
      </c>
      <c r="N45" s="58">
        <f t="shared" si="34"/>
        <v>3.3834356732365974E-4</v>
      </c>
      <c r="O45" s="58">
        <f t="shared" si="34"/>
        <v>3.3834356732365974E-4</v>
      </c>
      <c r="P45" s="58">
        <f t="shared" si="34"/>
        <v>3.3834356732365974E-4</v>
      </c>
      <c r="Q45" s="58">
        <f t="shared" si="34"/>
        <v>3.3834356732365974E-4</v>
      </c>
      <c r="R45" s="58">
        <f t="shared" si="34"/>
        <v>3.3834356732365974E-4</v>
      </c>
      <c r="S45" s="58">
        <f t="shared" si="34"/>
        <v>3.3834356732365974E-4</v>
      </c>
      <c r="T45" s="58">
        <f t="shared" si="34"/>
        <v>3.3834356732365974E-4</v>
      </c>
      <c r="U45" s="58">
        <f t="shared" si="34"/>
        <v>3.3834356732365974E-4</v>
      </c>
      <c r="V45" s="58">
        <f t="shared" si="34"/>
        <v>3.3834356732365974E-4</v>
      </c>
      <c r="W45" s="58">
        <f t="shared" si="34"/>
        <v>3.3834356732365974E-4</v>
      </c>
      <c r="X45" s="58">
        <f t="shared" si="34"/>
        <v>3.3834356732365974E-4</v>
      </c>
      <c r="Y45" s="58">
        <f t="shared" si="34"/>
        <v>3.3834356732365974E-4</v>
      </c>
      <c r="Z45" s="58">
        <f t="shared" si="34"/>
        <v>3.3834356732365974E-4</v>
      </c>
      <c r="AA45" s="58">
        <f t="shared" si="34"/>
        <v>3.3834356732365974E-4</v>
      </c>
      <c r="AB45" s="58">
        <f t="shared" si="34"/>
        <v>3.3834356732365974E-4</v>
      </c>
      <c r="AC45" s="91">
        <f>IFERROR(SUM(AD46:AD47,AU46:AU47,BA46:BA47,BB46:BB47),".")</f>
        <v>295557.56236482528</v>
      </c>
      <c r="AD45" s="91">
        <f>IFERROR(SUM(AD46:AD47),".")</f>
        <v>73889.39059120632</v>
      </c>
      <c r="AE45" s="91">
        <f t="shared" ref="AE45:BB45" si="35">IFERROR(SUM(AE46:AE47),".")</f>
        <v>73889.39059120632</v>
      </c>
      <c r="AF45" s="91">
        <f t="shared" si="35"/>
        <v>73889.39059120632</v>
      </c>
      <c r="AG45" s="91">
        <f t="shared" si="35"/>
        <v>73889.39059120632</v>
      </c>
      <c r="AH45" s="91">
        <f t="shared" si="35"/>
        <v>73889.39059120632</v>
      </c>
      <c r="AI45" s="91">
        <f t="shared" si="35"/>
        <v>73889.39059120632</v>
      </c>
      <c r="AJ45" s="91">
        <f t="shared" si="35"/>
        <v>73889.39059120632</v>
      </c>
      <c r="AK45" s="91">
        <f t="shared" si="35"/>
        <v>73889.39059120632</v>
      </c>
      <c r="AL45" s="91">
        <f t="shared" si="35"/>
        <v>73889.39059120632</v>
      </c>
      <c r="AM45" s="91">
        <f t="shared" si="35"/>
        <v>73889.39059120632</v>
      </c>
      <c r="AN45" s="91">
        <f t="shared" si="35"/>
        <v>73889.39059120632</v>
      </c>
      <c r="AO45" s="91">
        <f t="shared" si="35"/>
        <v>73889.39059120632</v>
      </c>
      <c r="AP45" s="91">
        <f t="shared" si="35"/>
        <v>73889.39059120632</v>
      </c>
      <c r="AQ45" s="91">
        <f t="shared" si="35"/>
        <v>73889.39059120632</v>
      </c>
      <c r="AR45" s="91">
        <f t="shared" si="35"/>
        <v>73889.39059120632</v>
      </c>
      <c r="AS45" s="91">
        <f t="shared" si="35"/>
        <v>73889.39059120632</v>
      </c>
      <c r="AT45" s="91">
        <f t="shared" si="35"/>
        <v>73889.39059120632</v>
      </c>
      <c r="AU45" s="91">
        <f t="shared" si="35"/>
        <v>73889.39059120632</v>
      </c>
      <c r="AV45" s="91">
        <f t="shared" si="35"/>
        <v>73889.39059120632</v>
      </c>
      <c r="AW45" s="91">
        <f t="shared" si="35"/>
        <v>73889.39059120632</v>
      </c>
      <c r="AX45" s="91">
        <f t="shared" si="35"/>
        <v>73889.39059120632</v>
      </c>
      <c r="AY45" s="91">
        <f t="shared" si="35"/>
        <v>73889.39059120632</v>
      </c>
      <c r="AZ45" s="91">
        <f t="shared" si="35"/>
        <v>73889.39059120632</v>
      </c>
      <c r="BA45" s="91">
        <f t="shared" si="35"/>
        <v>73889.39059120632</v>
      </c>
      <c r="BB45" s="91">
        <f t="shared" si="35"/>
        <v>73889.39059120632</v>
      </c>
      <c r="BC45" s="58">
        <f t="shared" ref="BC45:CB45" si="36">IFERROR(1/SUM(IFERROR(1/SUMIF(BC46,"&lt;&gt;.",BC46),0),IFERROR(1/SUMIF(BC47,"&lt;&gt;.",BC47),0)),".")</f>
        <v>8.4585891830914935E-5</v>
      </c>
      <c r="BD45" s="58">
        <f t="shared" si="36"/>
        <v>3.3834356732365974E-4</v>
      </c>
      <c r="BE45" s="58">
        <f t="shared" si="36"/>
        <v>3.3834356732365974E-4</v>
      </c>
      <c r="BF45" s="58">
        <f t="shared" si="36"/>
        <v>3.3834356732365974E-4</v>
      </c>
      <c r="BG45" s="58">
        <f t="shared" si="36"/>
        <v>3.3834356732365974E-4</v>
      </c>
      <c r="BH45" s="58">
        <f t="shared" si="36"/>
        <v>3.3834356732365974E-4</v>
      </c>
      <c r="BI45" s="58">
        <f t="shared" si="36"/>
        <v>3.3834356732365974E-4</v>
      </c>
      <c r="BJ45" s="58">
        <f t="shared" si="36"/>
        <v>3.3834356732365974E-4</v>
      </c>
      <c r="BK45" s="58">
        <f t="shared" si="36"/>
        <v>3.3834356732365974E-4</v>
      </c>
      <c r="BL45" s="58">
        <f t="shared" si="36"/>
        <v>3.3834356732365974E-4</v>
      </c>
      <c r="BM45" s="58">
        <f t="shared" si="36"/>
        <v>3.3834356732365974E-4</v>
      </c>
      <c r="BN45" s="58">
        <f t="shared" si="36"/>
        <v>3.3834356732365974E-4</v>
      </c>
      <c r="BO45" s="58">
        <f t="shared" si="36"/>
        <v>3.3834356732365974E-4</v>
      </c>
      <c r="BP45" s="58">
        <f t="shared" si="36"/>
        <v>3.3834356732365974E-4</v>
      </c>
      <c r="BQ45" s="58">
        <f t="shared" si="36"/>
        <v>3.3834356732365974E-4</v>
      </c>
      <c r="BR45" s="58">
        <f t="shared" si="36"/>
        <v>3.3834356732365974E-4</v>
      </c>
      <c r="BS45" s="58">
        <f t="shared" si="36"/>
        <v>3.3834356732365974E-4</v>
      </c>
      <c r="BT45" s="58">
        <f t="shared" si="36"/>
        <v>3.3834356732365974E-4</v>
      </c>
      <c r="BU45" s="58">
        <f t="shared" si="36"/>
        <v>3.3834356732365974E-4</v>
      </c>
      <c r="BV45" s="58">
        <f t="shared" si="36"/>
        <v>3.3834356732365974E-4</v>
      </c>
      <c r="BW45" s="58">
        <f t="shared" si="36"/>
        <v>3.3834356732365974E-4</v>
      </c>
      <c r="BX45" s="58">
        <f t="shared" si="36"/>
        <v>3.3834356732365974E-4</v>
      </c>
      <c r="BY45" s="58">
        <f t="shared" si="36"/>
        <v>3.3834356732365974E-4</v>
      </c>
      <c r="BZ45" s="58">
        <f t="shared" si="36"/>
        <v>3.3834356732365974E-4</v>
      </c>
      <c r="CA45" s="58">
        <f t="shared" si="36"/>
        <v>3.3834356732365974E-4</v>
      </c>
      <c r="CB45" s="58">
        <f t="shared" si="36"/>
        <v>3.3834356732365974E-4</v>
      </c>
      <c r="CC45" s="91">
        <f>IFERROR(SUM(CD46:CD47,CU46:CU47,DA46:DA47,DB46:DB47),".")</f>
        <v>295557.56236482528</v>
      </c>
      <c r="CD45" s="91">
        <f>IFERROR(SUM(CD46:CD47),".")</f>
        <v>73889.39059120632</v>
      </c>
      <c r="CE45" s="91">
        <f t="shared" ref="CE45:DB45" si="37">IFERROR(SUM(CE46:CE47),".")</f>
        <v>73889.39059120632</v>
      </c>
      <c r="CF45" s="91">
        <f t="shared" si="37"/>
        <v>73889.39059120632</v>
      </c>
      <c r="CG45" s="91">
        <f t="shared" si="37"/>
        <v>73889.39059120632</v>
      </c>
      <c r="CH45" s="91">
        <f t="shared" si="37"/>
        <v>73889.39059120632</v>
      </c>
      <c r="CI45" s="91">
        <f t="shared" si="37"/>
        <v>73889.39059120632</v>
      </c>
      <c r="CJ45" s="91">
        <f t="shared" si="37"/>
        <v>73889.39059120632</v>
      </c>
      <c r="CK45" s="91">
        <f t="shared" si="37"/>
        <v>73889.39059120632</v>
      </c>
      <c r="CL45" s="91">
        <f t="shared" si="37"/>
        <v>73889.39059120632</v>
      </c>
      <c r="CM45" s="91">
        <f t="shared" si="37"/>
        <v>73889.39059120632</v>
      </c>
      <c r="CN45" s="91">
        <f t="shared" si="37"/>
        <v>73889.39059120632</v>
      </c>
      <c r="CO45" s="91">
        <f t="shared" si="37"/>
        <v>73889.39059120632</v>
      </c>
      <c r="CP45" s="91">
        <f t="shared" si="37"/>
        <v>73889.39059120632</v>
      </c>
      <c r="CQ45" s="91">
        <f t="shared" si="37"/>
        <v>73889.39059120632</v>
      </c>
      <c r="CR45" s="91">
        <f t="shared" si="37"/>
        <v>73889.39059120632</v>
      </c>
      <c r="CS45" s="91">
        <f t="shared" si="37"/>
        <v>73889.39059120632</v>
      </c>
      <c r="CT45" s="91">
        <f t="shared" si="37"/>
        <v>73889.39059120632</v>
      </c>
      <c r="CU45" s="91">
        <f t="shared" si="37"/>
        <v>73889.39059120632</v>
      </c>
      <c r="CV45" s="91">
        <f t="shared" si="37"/>
        <v>73889.39059120632</v>
      </c>
      <c r="CW45" s="91">
        <f t="shared" si="37"/>
        <v>73889.39059120632</v>
      </c>
      <c r="CX45" s="91">
        <f t="shared" si="37"/>
        <v>73889.39059120632</v>
      </c>
      <c r="CY45" s="91">
        <f t="shared" si="37"/>
        <v>73889.39059120632</v>
      </c>
      <c r="CZ45" s="91">
        <f t="shared" si="37"/>
        <v>73889.39059120632</v>
      </c>
      <c r="DA45" s="91">
        <f t="shared" si="37"/>
        <v>73889.39059120632</v>
      </c>
      <c r="DB45" s="91">
        <f t="shared" si="37"/>
        <v>73889.39059120632</v>
      </c>
    </row>
    <row r="46" spans="1:106" s="42" customFormat="1" x14ac:dyDescent="0.25">
      <c r="A46" s="77" t="s">
        <v>1084</v>
      </c>
      <c r="B46" s="42">
        <v>1</v>
      </c>
      <c r="C46" s="60">
        <f t="shared" ref="C46:AB46" si="38">IFERROR(C10/$B46,".")</f>
        <v>1.6443412786038033E-4</v>
      </c>
      <c r="D46" s="60">
        <f t="shared" si="38"/>
        <v>6.5773651144152131E-4</v>
      </c>
      <c r="E46" s="60">
        <f t="shared" si="38"/>
        <v>6.5773651144152131E-4</v>
      </c>
      <c r="F46" s="60">
        <f t="shared" si="38"/>
        <v>6.5773651144152131E-4</v>
      </c>
      <c r="G46" s="60">
        <f t="shared" si="38"/>
        <v>6.5773651144152131E-4</v>
      </c>
      <c r="H46" s="60">
        <f t="shared" si="38"/>
        <v>6.5773651144152131E-4</v>
      </c>
      <c r="I46" s="60">
        <f t="shared" si="38"/>
        <v>6.5773651144152131E-4</v>
      </c>
      <c r="J46" s="60">
        <f t="shared" si="38"/>
        <v>6.5773651144152131E-4</v>
      </c>
      <c r="K46" s="60">
        <f t="shared" si="38"/>
        <v>6.5773651144152131E-4</v>
      </c>
      <c r="L46" s="60">
        <f t="shared" si="38"/>
        <v>6.5773651144152131E-4</v>
      </c>
      <c r="M46" s="60">
        <f t="shared" si="38"/>
        <v>6.5773651144152131E-4</v>
      </c>
      <c r="N46" s="60">
        <f t="shared" si="38"/>
        <v>6.5773651144152131E-4</v>
      </c>
      <c r="O46" s="60">
        <f t="shared" si="38"/>
        <v>6.5773651144152131E-4</v>
      </c>
      <c r="P46" s="60">
        <f t="shared" si="38"/>
        <v>6.5773651144152131E-4</v>
      </c>
      <c r="Q46" s="60">
        <f t="shared" si="38"/>
        <v>6.5773651144152131E-4</v>
      </c>
      <c r="R46" s="60">
        <f t="shared" si="38"/>
        <v>6.5773651144152131E-4</v>
      </c>
      <c r="S46" s="60">
        <f t="shared" si="38"/>
        <v>6.5773651144152131E-4</v>
      </c>
      <c r="T46" s="60">
        <f t="shared" si="38"/>
        <v>6.5773651144152131E-4</v>
      </c>
      <c r="U46" s="60">
        <f t="shared" si="38"/>
        <v>6.5773651144152131E-4</v>
      </c>
      <c r="V46" s="60">
        <f t="shared" si="38"/>
        <v>6.5773651144152131E-4</v>
      </c>
      <c r="W46" s="60">
        <f t="shared" si="38"/>
        <v>6.5773651144152131E-4</v>
      </c>
      <c r="X46" s="60">
        <f t="shared" si="38"/>
        <v>6.5773651144152131E-4</v>
      </c>
      <c r="Y46" s="60">
        <f t="shared" si="38"/>
        <v>6.5773651144152131E-4</v>
      </c>
      <c r="Z46" s="60">
        <f t="shared" si="38"/>
        <v>6.5773651144152131E-4</v>
      </c>
      <c r="AA46" s="60">
        <f t="shared" si="38"/>
        <v>6.5773651144152131E-4</v>
      </c>
      <c r="AB46" s="60">
        <f t="shared" si="38"/>
        <v>6.5773651144152131E-4</v>
      </c>
      <c r="AC46" s="94">
        <f>IF(AND(AD46&lt;&gt;".",AU46&lt;&gt;".",BA46&lt;&gt;".",BB46&lt;&gt;"."),SUM(AD46,AU46,BA46:BB46),".")</f>
        <v>152036.56519057468</v>
      </c>
      <c r="AD46" s="94">
        <f>IF(D46=".",".",up_RadSpec!$F$10*(AD10*$B46))</f>
        <v>38009.14129764367</v>
      </c>
      <c r="AE46" s="94">
        <f>IF(E46=".",".",up_RadSpec!$F$10*(AE10*$B46))</f>
        <v>38009.14129764367</v>
      </c>
      <c r="AF46" s="94">
        <f>IF(F46=".",".",up_RadSpec!$F$10*(AF10*$B46))</f>
        <v>38009.14129764367</v>
      </c>
      <c r="AG46" s="94">
        <f>IF(G46=".",".",up_RadSpec!$F$10*(AG10*$B46))</f>
        <v>38009.14129764367</v>
      </c>
      <c r="AH46" s="94">
        <f>IF(H46=".",".",up_RadSpec!$F$10*(AH10*$B46))</f>
        <v>38009.14129764367</v>
      </c>
      <c r="AI46" s="94">
        <f>IF(I46=".",".",up_RadSpec!$F$10*(AI10*$B46))</f>
        <v>38009.14129764367</v>
      </c>
      <c r="AJ46" s="94">
        <f>IF(J46=".",".",up_RadSpec!$F$10*(AJ10*$B46))</f>
        <v>38009.14129764367</v>
      </c>
      <c r="AK46" s="94">
        <f>IF(K46=".",".",up_RadSpec!$F$10*(AK10*$B46))</f>
        <v>38009.14129764367</v>
      </c>
      <c r="AL46" s="94">
        <f>IF(L46=".",".",up_RadSpec!$F$10*(AL10*$B46))</f>
        <v>38009.14129764367</v>
      </c>
      <c r="AM46" s="94">
        <f>IF(M46=".",".",up_RadSpec!$F$10*(AM10*$B46))</f>
        <v>38009.14129764367</v>
      </c>
      <c r="AN46" s="94">
        <f>IF(N46=".",".",up_RadSpec!$F$10*(AN10*$B46))</f>
        <v>38009.14129764367</v>
      </c>
      <c r="AO46" s="94">
        <f>IF(O46=".",".",up_RadSpec!$F$10*(AO10*$B46))</f>
        <v>38009.14129764367</v>
      </c>
      <c r="AP46" s="94">
        <f>IF(P46=".",".",up_RadSpec!$F$10*(AP10*$B46))</f>
        <v>38009.14129764367</v>
      </c>
      <c r="AQ46" s="94">
        <f>IF(Q46=".",".",up_RadSpec!$F$10*(AQ10*$B46))</f>
        <v>38009.14129764367</v>
      </c>
      <c r="AR46" s="94">
        <f>IF(R46=".",".",up_RadSpec!$F$10*(AR10*$B46))</f>
        <v>38009.14129764367</v>
      </c>
      <c r="AS46" s="94">
        <f>IF(S46=".",".",up_RadSpec!$F$10*(AS10*$B46))</f>
        <v>38009.14129764367</v>
      </c>
      <c r="AT46" s="94">
        <f>IF(T46=".",".",up_RadSpec!$F$10*(AT10*$B46))</f>
        <v>38009.14129764367</v>
      </c>
      <c r="AU46" s="94">
        <f>IF(U46=".",".",up_RadSpec!$F$10*(AU10*$B46))</f>
        <v>38009.14129764367</v>
      </c>
      <c r="AV46" s="94">
        <f>IF(V46=".",".",up_RadSpec!$F$10*(AV10*$B46))</f>
        <v>38009.14129764367</v>
      </c>
      <c r="AW46" s="94">
        <f>IF(W46=".",".",up_RadSpec!$F$10*(AW10*$B46))</f>
        <v>38009.14129764367</v>
      </c>
      <c r="AX46" s="94">
        <f>IF(X46=".",".",up_RadSpec!$F$10*(AX10*$B46))</f>
        <v>38009.14129764367</v>
      </c>
      <c r="AY46" s="94">
        <f>IF(Y46=".",".",up_RadSpec!$F$10*(AY10*$B46))</f>
        <v>38009.14129764367</v>
      </c>
      <c r="AZ46" s="94">
        <f>IF(Z46=".",".",up_RadSpec!$F$10*(AZ10*$B46))</f>
        <v>38009.14129764367</v>
      </c>
      <c r="BA46" s="94">
        <f>IF(AA46=".",".",up_RadSpec!$F$10*(BA10*$B46))</f>
        <v>38009.14129764367</v>
      </c>
      <c r="BB46" s="94">
        <f>IF(AB46=".",".",up_RadSpec!$F$10*(BB10*$B46))</f>
        <v>38009.14129764367</v>
      </c>
      <c r="BC46" s="60">
        <f t="shared" ref="BC46:CB46" si="39">IFERROR(BC10/$B46,".")</f>
        <v>1.6443412786038033E-4</v>
      </c>
      <c r="BD46" s="60">
        <f t="shared" si="39"/>
        <v>6.5773651144152131E-4</v>
      </c>
      <c r="BE46" s="60">
        <f t="shared" si="39"/>
        <v>6.5773651144152131E-4</v>
      </c>
      <c r="BF46" s="60">
        <f t="shared" si="39"/>
        <v>6.5773651144152131E-4</v>
      </c>
      <c r="BG46" s="60">
        <f t="shared" si="39"/>
        <v>6.5773651144152131E-4</v>
      </c>
      <c r="BH46" s="60">
        <f t="shared" si="39"/>
        <v>6.5773651144152131E-4</v>
      </c>
      <c r="BI46" s="60">
        <f t="shared" si="39"/>
        <v>6.5773651144152131E-4</v>
      </c>
      <c r="BJ46" s="60">
        <f t="shared" si="39"/>
        <v>6.5773651144152131E-4</v>
      </c>
      <c r="BK46" s="60">
        <f t="shared" si="39"/>
        <v>6.5773651144152131E-4</v>
      </c>
      <c r="BL46" s="60">
        <f t="shared" si="39"/>
        <v>6.5773651144152131E-4</v>
      </c>
      <c r="BM46" s="60">
        <f t="shared" si="39"/>
        <v>6.5773651144152131E-4</v>
      </c>
      <c r="BN46" s="60">
        <f t="shared" si="39"/>
        <v>6.5773651144152131E-4</v>
      </c>
      <c r="BO46" s="60">
        <f t="shared" si="39"/>
        <v>6.5773651144152131E-4</v>
      </c>
      <c r="BP46" s="60">
        <f t="shared" si="39"/>
        <v>6.5773651144152131E-4</v>
      </c>
      <c r="BQ46" s="60">
        <f t="shared" si="39"/>
        <v>6.5773651144152131E-4</v>
      </c>
      <c r="BR46" s="60">
        <f t="shared" si="39"/>
        <v>6.5773651144152131E-4</v>
      </c>
      <c r="BS46" s="60">
        <f t="shared" si="39"/>
        <v>6.5773651144152131E-4</v>
      </c>
      <c r="BT46" s="60">
        <f t="shared" si="39"/>
        <v>6.5773651144152131E-4</v>
      </c>
      <c r="BU46" s="60">
        <f t="shared" si="39"/>
        <v>6.5773651144152131E-4</v>
      </c>
      <c r="BV46" s="60">
        <f t="shared" si="39"/>
        <v>6.5773651144152131E-4</v>
      </c>
      <c r="BW46" s="60">
        <f t="shared" si="39"/>
        <v>6.5773651144152131E-4</v>
      </c>
      <c r="BX46" s="60">
        <f t="shared" si="39"/>
        <v>6.5773651144152131E-4</v>
      </c>
      <c r="BY46" s="60">
        <f t="shared" si="39"/>
        <v>6.5773651144152131E-4</v>
      </c>
      <c r="BZ46" s="60">
        <f t="shared" si="39"/>
        <v>6.5773651144152131E-4</v>
      </c>
      <c r="CA46" s="60">
        <f t="shared" si="39"/>
        <v>6.5773651144152131E-4</v>
      </c>
      <c r="CB46" s="60">
        <f t="shared" si="39"/>
        <v>6.5773651144152131E-4</v>
      </c>
      <c r="CC46" s="94">
        <f>IF(AND(CD46&lt;&gt;".",CU46&lt;&gt;".",DA46&lt;&gt;".",DB46&lt;&gt;"."),SUM(CD46,CU46,DA46:DB46),".")</f>
        <v>152036.56519057468</v>
      </c>
      <c r="CD46" s="94">
        <f>IF(BD46=".",".",up_RadSpec!$F$10*(CD10*$B46))</f>
        <v>38009.14129764367</v>
      </c>
      <c r="CE46" s="94">
        <f>IF(BE46=".",".",up_RadSpec!$F$10*(CE10*$B46))</f>
        <v>38009.14129764367</v>
      </c>
      <c r="CF46" s="94">
        <f>IF(BF46=".",".",up_RadSpec!$F$10*(CF10*$B46))</f>
        <v>38009.14129764367</v>
      </c>
      <c r="CG46" s="94">
        <f>IF(BG46=".",".",up_RadSpec!$F$10*(CG10*$B46))</f>
        <v>38009.14129764367</v>
      </c>
      <c r="CH46" s="94">
        <f>IF(BH46=".",".",up_RadSpec!$F$10*(CH10*$B46))</f>
        <v>38009.14129764367</v>
      </c>
      <c r="CI46" s="94">
        <f>IF(BI46=".",".",up_RadSpec!$F$10*(CI10*$B46))</f>
        <v>38009.14129764367</v>
      </c>
      <c r="CJ46" s="94">
        <f>IF(BJ46=".",".",up_RadSpec!$F$10*(CJ10*$B46))</f>
        <v>38009.14129764367</v>
      </c>
      <c r="CK46" s="94">
        <f>IF(BK46=".",".",up_RadSpec!$F$10*(CK10*$B46))</f>
        <v>38009.14129764367</v>
      </c>
      <c r="CL46" s="94">
        <f>IF(BL46=".",".",up_RadSpec!$F$10*(CL10*$B46))</f>
        <v>38009.14129764367</v>
      </c>
      <c r="CM46" s="94">
        <f>IF(BM46=".",".",up_RadSpec!$F$10*(CM10*$B46))</f>
        <v>38009.14129764367</v>
      </c>
      <c r="CN46" s="94">
        <f>IF(BN46=".",".",up_RadSpec!$F$10*(CN10*$B46))</f>
        <v>38009.14129764367</v>
      </c>
      <c r="CO46" s="94">
        <f>IF(BO46=".",".",up_RadSpec!$F$10*(CO10*$B46))</f>
        <v>38009.14129764367</v>
      </c>
      <c r="CP46" s="94">
        <f>IF(BP46=".",".",up_RadSpec!$F$10*(CP10*$B46))</f>
        <v>38009.14129764367</v>
      </c>
      <c r="CQ46" s="94">
        <f>IF(BQ46=".",".",up_RadSpec!$F$10*(CQ10*$B46))</f>
        <v>38009.14129764367</v>
      </c>
      <c r="CR46" s="94">
        <f>IF(BR46=".",".",up_RadSpec!$F$10*(CR10*$B46))</f>
        <v>38009.14129764367</v>
      </c>
      <c r="CS46" s="94">
        <f>IF(BS46=".",".",up_RadSpec!$F$10*(CS10*$B46))</f>
        <v>38009.14129764367</v>
      </c>
      <c r="CT46" s="94">
        <f>IF(BT46=".",".",up_RadSpec!$F$10*(CT10*$B46))</f>
        <v>38009.14129764367</v>
      </c>
      <c r="CU46" s="94">
        <f>IF(BU46=".",".",up_RadSpec!$F$10*(CU10*$B46))</f>
        <v>38009.14129764367</v>
      </c>
      <c r="CV46" s="94">
        <f>IF(BV46=".",".",up_RadSpec!$F$10*(CV10*$B46))</f>
        <v>38009.14129764367</v>
      </c>
      <c r="CW46" s="94">
        <f>IF(BW46=".",".",up_RadSpec!$F$10*(CW10*$B46))</f>
        <v>38009.14129764367</v>
      </c>
      <c r="CX46" s="94">
        <f>IF(BX46=".",".",up_RadSpec!$F$10*(CX10*$B46))</f>
        <v>38009.14129764367</v>
      </c>
      <c r="CY46" s="94">
        <f>IF(BY46=".",".",up_RadSpec!$F$10*(CY10*$B46))</f>
        <v>38009.14129764367</v>
      </c>
      <c r="CZ46" s="94">
        <f>IF(BZ46=".",".",up_RadSpec!$F$10*(CZ10*$B46))</f>
        <v>38009.14129764367</v>
      </c>
      <c r="DA46" s="94">
        <f>IF(CA46=".",".",up_RadSpec!$F$10*(DA10*$B46))</f>
        <v>38009.14129764367</v>
      </c>
      <c r="DB46" s="94">
        <f>IF(CB46=".",".",up_RadSpec!$F$10*(DB10*$B46))</f>
        <v>38009.14129764367</v>
      </c>
    </row>
    <row r="47" spans="1:106" s="42" customFormat="1" x14ac:dyDescent="0.25">
      <c r="A47" s="77" t="s">
        <v>1058</v>
      </c>
      <c r="B47" s="79">
        <v>0.94399</v>
      </c>
      <c r="C47" s="60">
        <f t="shared" ref="C47:AB47" si="40">IFERROR(C6/$B$47,".")</f>
        <v>1.741905400061233E-4</v>
      </c>
      <c r="D47" s="60">
        <f t="shared" si="40"/>
        <v>6.9676216002449319E-4</v>
      </c>
      <c r="E47" s="60">
        <f t="shared" si="40"/>
        <v>6.9676216002449319E-4</v>
      </c>
      <c r="F47" s="60">
        <f t="shared" si="40"/>
        <v>6.9676216002449319E-4</v>
      </c>
      <c r="G47" s="60">
        <f t="shared" si="40"/>
        <v>6.9676216002449319E-4</v>
      </c>
      <c r="H47" s="60">
        <f t="shared" si="40"/>
        <v>6.9676216002449319E-4</v>
      </c>
      <c r="I47" s="60">
        <f t="shared" si="40"/>
        <v>6.9676216002449319E-4</v>
      </c>
      <c r="J47" s="60">
        <f t="shared" si="40"/>
        <v>6.9676216002449319E-4</v>
      </c>
      <c r="K47" s="60">
        <f t="shared" si="40"/>
        <v>6.9676216002449319E-4</v>
      </c>
      <c r="L47" s="60">
        <f t="shared" si="40"/>
        <v>6.9676216002449319E-4</v>
      </c>
      <c r="M47" s="60">
        <f t="shared" si="40"/>
        <v>6.9676216002449319E-4</v>
      </c>
      <c r="N47" s="60">
        <f t="shared" si="40"/>
        <v>6.9676216002449319E-4</v>
      </c>
      <c r="O47" s="60">
        <f t="shared" si="40"/>
        <v>6.9676216002449319E-4</v>
      </c>
      <c r="P47" s="60">
        <f t="shared" si="40"/>
        <v>6.9676216002449319E-4</v>
      </c>
      <c r="Q47" s="60">
        <f t="shared" si="40"/>
        <v>6.9676216002449319E-4</v>
      </c>
      <c r="R47" s="60">
        <f t="shared" si="40"/>
        <v>6.9676216002449319E-4</v>
      </c>
      <c r="S47" s="60">
        <f t="shared" si="40"/>
        <v>6.9676216002449319E-4</v>
      </c>
      <c r="T47" s="60">
        <f t="shared" si="40"/>
        <v>6.9676216002449319E-4</v>
      </c>
      <c r="U47" s="60">
        <f t="shared" si="40"/>
        <v>6.9676216002449319E-4</v>
      </c>
      <c r="V47" s="60">
        <f t="shared" si="40"/>
        <v>6.9676216002449319E-4</v>
      </c>
      <c r="W47" s="60">
        <f t="shared" si="40"/>
        <v>6.9676216002449319E-4</v>
      </c>
      <c r="X47" s="60">
        <f t="shared" si="40"/>
        <v>6.9676216002449319E-4</v>
      </c>
      <c r="Y47" s="60">
        <f t="shared" si="40"/>
        <v>6.9676216002449319E-4</v>
      </c>
      <c r="Z47" s="60">
        <f t="shared" si="40"/>
        <v>6.9676216002449319E-4</v>
      </c>
      <c r="AA47" s="60">
        <f t="shared" si="40"/>
        <v>6.9676216002449319E-4</v>
      </c>
      <c r="AB47" s="60">
        <f t="shared" si="40"/>
        <v>6.9676216002449319E-4</v>
      </c>
      <c r="AC47" s="94">
        <f>IF(AND(AD47&lt;&gt;".",AU47&lt;&gt;".",BA47&lt;&gt;".",BB47&lt;&gt;"."),SUM(AD47,AU47,BA47:BB47),".")</f>
        <v>143520.9971742506</v>
      </c>
      <c r="AD47" s="94">
        <f>IF(D47=".",".",up_RadSpec!$F$6*(AD6*$B47))</f>
        <v>35880.249293562651</v>
      </c>
      <c r="AE47" s="94">
        <f>IF(E47=".",".",up_RadSpec!$F$6*(AE6*$B47))</f>
        <v>35880.249293562651</v>
      </c>
      <c r="AF47" s="94">
        <f>IF(F47=".",".",up_RadSpec!$F$6*(AF6*$B47))</f>
        <v>35880.249293562651</v>
      </c>
      <c r="AG47" s="94">
        <f>IF(G47=".",".",up_RadSpec!$F$6*(AG6*$B47))</f>
        <v>35880.249293562651</v>
      </c>
      <c r="AH47" s="94">
        <f>IF(H47=".",".",up_RadSpec!$F$6*(AH6*$B47))</f>
        <v>35880.249293562651</v>
      </c>
      <c r="AI47" s="94">
        <f>IF(I47=".",".",up_RadSpec!$F$6*(AI6*$B47))</f>
        <v>35880.249293562651</v>
      </c>
      <c r="AJ47" s="94">
        <f>IF(J47=".",".",up_RadSpec!$F$6*(AJ6*$B47))</f>
        <v>35880.249293562651</v>
      </c>
      <c r="AK47" s="94">
        <f>IF(K47=".",".",up_RadSpec!$F$6*(AK6*$B47))</f>
        <v>35880.249293562651</v>
      </c>
      <c r="AL47" s="94">
        <f>IF(L47=".",".",up_RadSpec!$F$6*(AL6*$B47))</f>
        <v>35880.249293562651</v>
      </c>
      <c r="AM47" s="94">
        <f>IF(M47=".",".",up_RadSpec!$F$6*(AM6*$B47))</f>
        <v>35880.249293562651</v>
      </c>
      <c r="AN47" s="94">
        <f>IF(N47=".",".",up_RadSpec!$F$6*(AN6*$B47))</f>
        <v>35880.249293562651</v>
      </c>
      <c r="AO47" s="94">
        <f>IF(O47=".",".",up_RadSpec!$F$6*(AO6*$B47))</f>
        <v>35880.249293562651</v>
      </c>
      <c r="AP47" s="94">
        <f>IF(P47=".",".",up_RadSpec!$F$6*(AP6*$B47))</f>
        <v>35880.249293562651</v>
      </c>
      <c r="AQ47" s="94">
        <f>IF(Q47=".",".",up_RadSpec!$F$6*(AQ6*$B47))</f>
        <v>35880.249293562651</v>
      </c>
      <c r="AR47" s="94">
        <f>IF(R47=".",".",up_RadSpec!$F$6*(AR6*$B47))</f>
        <v>35880.249293562651</v>
      </c>
      <c r="AS47" s="94">
        <f>IF(S47=".",".",up_RadSpec!$F$6*(AS6*$B47))</f>
        <v>35880.249293562651</v>
      </c>
      <c r="AT47" s="94">
        <f>IF(T47=".",".",up_RadSpec!$F$6*(AT6*$B47))</f>
        <v>35880.249293562651</v>
      </c>
      <c r="AU47" s="94">
        <f>IF(U47=".",".",up_RadSpec!$F$6*(AU6*$B47))</f>
        <v>35880.249293562651</v>
      </c>
      <c r="AV47" s="94">
        <f>IF(V47=".",".",up_RadSpec!$F$6*(AV6*$B47))</f>
        <v>35880.249293562651</v>
      </c>
      <c r="AW47" s="94">
        <f>IF(W47=".",".",up_RadSpec!$F$6*(AW6*$B47))</f>
        <v>35880.249293562651</v>
      </c>
      <c r="AX47" s="94">
        <f>IF(X47=".",".",up_RadSpec!$F$6*(AX6*$B47))</f>
        <v>35880.249293562651</v>
      </c>
      <c r="AY47" s="94">
        <f>IF(Y47=".",".",up_RadSpec!$F$6*(AY6*$B47))</f>
        <v>35880.249293562651</v>
      </c>
      <c r="AZ47" s="94">
        <f>IF(Z47=".",".",up_RadSpec!$F$6*(AZ6*$B47))</f>
        <v>35880.249293562651</v>
      </c>
      <c r="BA47" s="94">
        <f>IF(AA47=".",".",up_RadSpec!$F$6*(BA6*$B47))</f>
        <v>35880.249293562651</v>
      </c>
      <c r="BB47" s="94">
        <f>IF(AB47=".",".",up_RadSpec!$F$6*(BB6*$B47))</f>
        <v>35880.249293562651</v>
      </c>
      <c r="BC47" s="60">
        <f t="shared" ref="BC47:CB47" si="41">IFERROR(BC6/$B$47,".")</f>
        <v>1.741905400061233E-4</v>
      </c>
      <c r="BD47" s="60">
        <f t="shared" si="41"/>
        <v>6.9676216002449319E-4</v>
      </c>
      <c r="BE47" s="60">
        <f t="shared" si="41"/>
        <v>6.9676216002449319E-4</v>
      </c>
      <c r="BF47" s="60">
        <f t="shared" si="41"/>
        <v>6.9676216002449319E-4</v>
      </c>
      <c r="BG47" s="60">
        <f t="shared" si="41"/>
        <v>6.9676216002449319E-4</v>
      </c>
      <c r="BH47" s="60">
        <f t="shared" si="41"/>
        <v>6.9676216002449319E-4</v>
      </c>
      <c r="BI47" s="60">
        <f t="shared" si="41"/>
        <v>6.9676216002449319E-4</v>
      </c>
      <c r="BJ47" s="60">
        <f t="shared" si="41"/>
        <v>6.9676216002449319E-4</v>
      </c>
      <c r="BK47" s="60">
        <f t="shared" si="41"/>
        <v>6.9676216002449319E-4</v>
      </c>
      <c r="BL47" s="60">
        <f t="shared" si="41"/>
        <v>6.9676216002449319E-4</v>
      </c>
      <c r="BM47" s="60">
        <f t="shared" si="41"/>
        <v>6.9676216002449319E-4</v>
      </c>
      <c r="BN47" s="60">
        <f t="shared" si="41"/>
        <v>6.9676216002449319E-4</v>
      </c>
      <c r="BO47" s="60">
        <f t="shared" si="41"/>
        <v>6.9676216002449319E-4</v>
      </c>
      <c r="BP47" s="60">
        <f t="shared" si="41"/>
        <v>6.9676216002449319E-4</v>
      </c>
      <c r="BQ47" s="60">
        <f t="shared" si="41"/>
        <v>6.9676216002449319E-4</v>
      </c>
      <c r="BR47" s="60">
        <f t="shared" si="41"/>
        <v>6.9676216002449319E-4</v>
      </c>
      <c r="BS47" s="60">
        <f t="shared" si="41"/>
        <v>6.9676216002449319E-4</v>
      </c>
      <c r="BT47" s="60">
        <f t="shared" si="41"/>
        <v>6.9676216002449319E-4</v>
      </c>
      <c r="BU47" s="60">
        <f t="shared" si="41"/>
        <v>6.9676216002449319E-4</v>
      </c>
      <c r="BV47" s="60">
        <f t="shared" si="41"/>
        <v>6.9676216002449319E-4</v>
      </c>
      <c r="BW47" s="60">
        <f t="shared" si="41"/>
        <v>6.9676216002449319E-4</v>
      </c>
      <c r="BX47" s="60">
        <f t="shared" si="41"/>
        <v>6.9676216002449319E-4</v>
      </c>
      <c r="BY47" s="60">
        <f t="shared" si="41"/>
        <v>6.9676216002449319E-4</v>
      </c>
      <c r="BZ47" s="60">
        <f t="shared" si="41"/>
        <v>6.9676216002449319E-4</v>
      </c>
      <c r="CA47" s="60">
        <f t="shared" si="41"/>
        <v>6.9676216002449319E-4</v>
      </c>
      <c r="CB47" s="60">
        <f t="shared" si="41"/>
        <v>6.9676216002449319E-4</v>
      </c>
      <c r="CC47" s="94">
        <f>IF(AND(CD47&lt;&gt;".",CU47&lt;&gt;".",DA47&lt;&gt;".",DB47&lt;&gt;"."),SUM(CD47,CU47,DA47:DB47),".")</f>
        <v>143520.9971742506</v>
      </c>
      <c r="CD47" s="94">
        <f>IF(BD47=".",".",up_RadSpec!$F$6*(CD6*$B47))</f>
        <v>35880.249293562651</v>
      </c>
      <c r="CE47" s="94">
        <f>IF(BE47=".",".",up_RadSpec!$F$6*(CE6*$B47))</f>
        <v>35880.249293562651</v>
      </c>
      <c r="CF47" s="94">
        <f>IF(BF47=".",".",up_RadSpec!$F$6*(CF6*$B47))</f>
        <v>35880.249293562651</v>
      </c>
      <c r="CG47" s="94">
        <f>IF(BG47=".",".",up_RadSpec!$F$6*(CG6*$B47))</f>
        <v>35880.249293562651</v>
      </c>
      <c r="CH47" s="94">
        <f>IF(BH47=".",".",up_RadSpec!$F$6*(CH6*$B47))</f>
        <v>35880.249293562651</v>
      </c>
      <c r="CI47" s="94">
        <f>IF(BI47=".",".",up_RadSpec!$F$6*(CI6*$B47))</f>
        <v>35880.249293562651</v>
      </c>
      <c r="CJ47" s="94">
        <f>IF(BJ47=".",".",up_RadSpec!$F$6*(CJ6*$B47))</f>
        <v>35880.249293562651</v>
      </c>
      <c r="CK47" s="94">
        <f>IF(BK47=".",".",up_RadSpec!$F$6*(CK6*$B47))</f>
        <v>35880.249293562651</v>
      </c>
      <c r="CL47" s="94">
        <f>IF(BL47=".",".",up_RadSpec!$F$6*(CL6*$B47))</f>
        <v>35880.249293562651</v>
      </c>
      <c r="CM47" s="94">
        <f>IF(BM47=".",".",up_RadSpec!$F$6*(CM6*$B47))</f>
        <v>35880.249293562651</v>
      </c>
      <c r="CN47" s="94">
        <f>IF(BN47=".",".",up_RadSpec!$F$6*(CN6*$B47))</f>
        <v>35880.249293562651</v>
      </c>
      <c r="CO47" s="94">
        <f>IF(BO47=".",".",up_RadSpec!$F$6*(CO6*$B47))</f>
        <v>35880.249293562651</v>
      </c>
      <c r="CP47" s="94">
        <f>IF(BP47=".",".",up_RadSpec!$F$6*(CP6*$B47))</f>
        <v>35880.249293562651</v>
      </c>
      <c r="CQ47" s="94">
        <f>IF(BQ47=".",".",up_RadSpec!$F$6*(CQ6*$B47))</f>
        <v>35880.249293562651</v>
      </c>
      <c r="CR47" s="94">
        <f>IF(BR47=".",".",up_RadSpec!$F$6*(CR6*$B47))</f>
        <v>35880.249293562651</v>
      </c>
      <c r="CS47" s="94">
        <f>IF(BS47=".",".",up_RadSpec!$F$6*(CS6*$B47))</f>
        <v>35880.249293562651</v>
      </c>
      <c r="CT47" s="94">
        <f>IF(BT47=".",".",up_RadSpec!$F$6*(CT6*$B47))</f>
        <v>35880.249293562651</v>
      </c>
      <c r="CU47" s="94">
        <f>IF(BU47=".",".",up_RadSpec!$F$6*(CU6*$B47))</f>
        <v>35880.249293562651</v>
      </c>
      <c r="CV47" s="94">
        <f>IF(BV47=".",".",up_RadSpec!$F$6*(CV6*$B47))</f>
        <v>35880.249293562651</v>
      </c>
      <c r="CW47" s="94">
        <f>IF(BW47=".",".",up_RadSpec!$F$6*(CW6*$B47))</f>
        <v>35880.249293562651</v>
      </c>
      <c r="CX47" s="94">
        <f>IF(BX47=".",".",up_RadSpec!$F$6*(CX6*$B47))</f>
        <v>35880.249293562651</v>
      </c>
      <c r="CY47" s="94">
        <f>IF(BY47=".",".",up_RadSpec!$F$6*(CY6*$B47))</f>
        <v>35880.249293562651</v>
      </c>
      <c r="CZ47" s="94">
        <f>IF(BZ47=".",".",up_RadSpec!$F$6*(CZ6*$B47))</f>
        <v>35880.249293562651</v>
      </c>
      <c r="DA47" s="94">
        <f>IF(CA47=".",".",up_RadSpec!$F$6*(DA6*$B47))</f>
        <v>35880.249293562651</v>
      </c>
      <c r="DB47" s="94">
        <f>IF(CB47=".",".",up_RadSpec!$F$6*(DB6*$B47))</f>
        <v>35880.249293562651</v>
      </c>
    </row>
    <row r="48" spans="1:106" s="42" customFormat="1" x14ac:dyDescent="0.25">
      <c r="A48" s="76" t="s">
        <v>21</v>
      </c>
      <c r="B48" s="76" t="s">
        <v>1057</v>
      </c>
      <c r="C48" s="58">
        <f t="shared" ref="C48:AB48" si="42">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1.8270455894344583E-5</v>
      </c>
      <c r="D48" s="58">
        <f t="shared" si="42"/>
        <v>7.3081823577378333E-5</v>
      </c>
      <c r="E48" s="58">
        <f t="shared" si="42"/>
        <v>7.3081823577378333E-5</v>
      </c>
      <c r="F48" s="58">
        <f t="shared" si="42"/>
        <v>7.3081823577378333E-5</v>
      </c>
      <c r="G48" s="58">
        <f t="shared" si="42"/>
        <v>7.3081823577378333E-5</v>
      </c>
      <c r="H48" s="58">
        <f t="shared" si="42"/>
        <v>7.3081823577378333E-5</v>
      </c>
      <c r="I48" s="58">
        <f t="shared" si="42"/>
        <v>7.3081823577378333E-5</v>
      </c>
      <c r="J48" s="58">
        <f t="shared" si="42"/>
        <v>7.3081823577378333E-5</v>
      </c>
      <c r="K48" s="58">
        <f t="shared" si="42"/>
        <v>7.3081823577378333E-5</v>
      </c>
      <c r="L48" s="58">
        <f t="shared" si="42"/>
        <v>7.3081823577378333E-5</v>
      </c>
      <c r="M48" s="58">
        <f t="shared" si="42"/>
        <v>7.3081823577378333E-5</v>
      </c>
      <c r="N48" s="58">
        <f t="shared" si="42"/>
        <v>7.3081823577378333E-5</v>
      </c>
      <c r="O48" s="58">
        <f t="shared" si="42"/>
        <v>7.3081823577378333E-5</v>
      </c>
      <c r="P48" s="58">
        <f t="shared" si="42"/>
        <v>7.3081823577378333E-5</v>
      </c>
      <c r="Q48" s="58">
        <f t="shared" si="42"/>
        <v>7.3081823577378333E-5</v>
      </c>
      <c r="R48" s="58">
        <f t="shared" si="42"/>
        <v>7.3081823577378333E-5</v>
      </c>
      <c r="S48" s="58">
        <f t="shared" si="42"/>
        <v>7.3081823577378333E-5</v>
      </c>
      <c r="T48" s="58">
        <f t="shared" si="42"/>
        <v>7.3081823577378333E-5</v>
      </c>
      <c r="U48" s="58">
        <f t="shared" si="42"/>
        <v>7.3081823577378333E-5</v>
      </c>
      <c r="V48" s="58">
        <f t="shared" si="42"/>
        <v>7.3081823577378333E-5</v>
      </c>
      <c r="W48" s="58">
        <f t="shared" si="42"/>
        <v>7.3081823577378333E-5</v>
      </c>
      <c r="X48" s="58">
        <f t="shared" si="42"/>
        <v>7.3081823577378333E-5</v>
      </c>
      <c r="Y48" s="58">
        <f t="shared" si="42"/>
        <v>7.3081823577378333E-5</v>
      </c>
      <c r="Z48" s="58">
        <f t="shared" si="42"/>
        <v>7.3081823577378333E-5</v>
      </c>
      <c r="AA48" s="58">
        <f t="shared" si="42"/>
        <v>7.3081823577378333E-5</v>
      </c>
      <c r="AB48" s="58">
        <f t="shared" si="42"/>
        <v>7.3081823577378333E-5</v>
      </c>
      <c r="AC48" s="91">
        <f>IFERROR(SUM(AD49:AD62,AU49:AU62,BA49:BA62,BB49:BB62),".")</f>
        <v>1368329.293180828</v>
      </c>
      <c r="AD48" s="91">
        <f>IFERROR(SUM(AD49:AD62),".")</f>
        <v>342082.32329520682</v>
      </c>
      <c r="AE48" s="91">
        <f t="shared" ref="AE48:BB48" si="43">IFERROR(SUM(AE49:AE62),".")</f>
        <v>342082.32329520682</v>
      </c>
      <c r="AF48" s="91">
        <f t="shared" si="43"/>
        <v>342082.32329520682</v>
      </c>
      <c r="AG48" s="91">
        <f t="shared" si="43"/>
        <v>342082.32329520682</v>
      </c>
      <c r="AH48" s="91">
        <f t="shared" si="43"/>
        <v>342082.32329520682</v>
      </c>
      <c r="AI48" s="91">
        <f t="shared" si="43"/>
        <v>342082.32329520682</v>
      </c>
      <c r="AJ48" s="91">
        <f t="shared" si="43"/>
        <v>342082.32329520682</v>
      </c>
      <c r="AK48" s="91">
        <f t="shared" si="43"/>
        <v>342082.32329520682</v>
      </c>
      <c r="AL48" s="91">
        <f t="shared" si="43"/>
        <v>342082.32329520682</v>
      </c>
      <c r="AM48" s="91">
        <f t="shared" si="43"/>
        <v>342082.32329520682</v>
      </c>
      <c r="AN48" s="91">
        <f t="shared" si="43"/>
        <v>342082.32329520682</v>
      </c>
      <c r="AO48" s="91">
        <f t="shared" si="43"/>
        <v>342082.32329520682</v>
      </c>
      <c r="AP48" s="91">
        <f t="shared" si="43"/>
        <v>342082.32329520682</v>
      </c>
      <c r="AQ48" s="91">
        <f t="shared" si="43"/>
        <v>342082.32329520682</v>
      </c>
      <c r="AR48" s="91">
        <f t="shared" si="43"/>
        <v>342082.32329520682</v>
      </c>
      <c r="AS48" s="91">
        <f t="shared" si="43"/>
        <v>342082.32329520682</v>
      </c>
      <c r="AT48" s="91">
        <f t="shared" si="43"/>
        <v>342082.32329520682</v>
      </c>
      <c r="AU48" s="91">
        <f t="shared" si="43"/>
        <v>342082.32329520682</v>
      </c>
      <c r="AV48" s="91">
        <f t="shared" si="43"/>
        <v>342082.32329520682</v>
      </c>
      <c r="AW48" s="91">
        <f t="shared" si="43"/>
        <v>342082.32329520682</v>
      </c>
      <c r="AX48" s="91">
        <f t="shared" si="43"/>
        <v>342082.32329520682</v>
      </c>
      <c r="AY48" s="91">
        <f t="shared" si="43"/>
        <v>342082.32329520682</v>
      </c>
      <c r="AZ48" s="91">
        <f t="shared" si="43"/>
        <v>342082.32329520682</v>
      </c>
      <c r="BA48" s="91">
        <f t="shared" si="43"/>
        <v>342082.32329520682</v>
      </c>
      <c r="BB48" s="91">
        <f t="shared" si="43"/>
        <v>342082.32329520682</v>
      </c>
      <c r="BC48" s="58">
        <f t="shared" ref="BC48:CB48" si="44">IFERROR(1/SUM(IFERROR(1/SUMIF(BC49,"&lt;&gt;.",BC49),0),IFERROR(1/SUMIF(BC50,"&lt;&gt;.",BC50),0),IFERROR(1/SUMIF(BC51,"&lt;&gt;.",BC51),0),IFERROR(1/SUMIF(BC52,"&lt;&gt;.",BC52),0),IFERROR(1/SUMIF(BC53,"&lt;&gt;.",BC53),0),IFERROR(1/SUMIF(BC54,"&lt;&gt;.",BC54),0),IFERROR(1/SUMIF(BC55,"&lt;&gt;.",BC55),0),IFERROR(1/SUMIF(BC56,"&lt;&gt;.",BC56),0),IFERROR(1/SUMIF(BC57,"&lt;&gt;.",BC57),0),IFERROR(1/SUMIF(BC58,"&lt;&gt;.",BC58),0),IFERROR(1/SUMIF(BC59,"&lt;&gt;.",BC59),0),IFERROR(1/SUMIF(BC60,"&lt;&gt;.",BC60),0),IFERROR(1/SUMIF(BC61,"&lt;&gt;.",BC61),0),IFERROR(1/SUMIF(BC62,"&lt;&gt;.",BC62),0)),".")</f>
        <v>1.8270455894344583E-5</v>
      </c>
      <c r="BD48" s="58">
        <f t="shared" si="44"/>
        <v>7.3081823577378333E-5</v>
      </c>
      <c r="BE48" s="58">
        <f t="shared" si="44"/>
        <v>7.3081823577378333E-5</v>
      </c>
      <c r="BF48" s="58">
        <f t="shared" si="44"/>
        <v>7.3081823577378333E-5</v>
      </c>
      <c r="BG48" s="58">
        <f t="shared" si="44"/>
        <v>7.3081823577378333E-5</v>
      </c>
      <c r="BH48" s="58">
        <f t="shared" si="44"/>
        <v>7.3081823577378333E-5</v>
      </c>
      <c r="BI48" s="58">
        <f t="shared" si="44"/>
        <v>7.3081823577378333E-5</v>
      </c>
      <c r="BJ48" s="58">
        <f t="shared" si="44"/>
        <v>7.3081823577378333E-5</v>
      </c>
      <c r="BK48" s="58">
        <f t="shared" si="44"/>
        <v>7.3081823577378333E-5</v>
      </c>
      <c r="BL48" s="58">
        <f t="shared" si="44"/>
        <v>7.3081823577378333E-5</v>
      </c>
      <c r="BM48" s="58">
        <f t="shared" si="44"/>
        <v>7.3081823577378333E-5</v>
      </c>
      <c r="BN48" s="58">
        <f t="shared" si="44"/>
        <v>7.3081823577378333E-5</v>
      </c>
      <c r="BO48" s="58">
        <f t="shared" si="44"/>
        <v>7.3081823577378333E-5</v>
      </c>
      <c r="BP48" s="58">
        <f t="shared" si="44"/>
        <v>7.3081823577378333E-5</v>
      </c>
      <c r="BQ48" s="58">
        <f t="shared" si="44"/>
        <v>7.3081823577378333E-5</v>
      </c>
      <c r="BR48" s="58">
        <f t="shared" si="44"/>
        <v>7.3081823577378333E-5</v>
      </c>
      <c r="BS48" s="58">
        <f t="shared" si="44"/>
        <v>7.3081823577378333E-5</v>
      </c>
      <c r="BT48" s="58">
        <f t="shared" si="44"/>
        <v>7.3081823577378333E-5</v>
      </c>
      <c r="BU48" s="58">
        <f t="shared" si="44"/>
        <v>7.3081823577378333E-5</v>
      </c>
      <c r="BV48" s="58">
        <f t="shared" si="44"/>
        <v>7.3081823577378333E-5</v>
      </c>
      <c r="BW48" s="58">
        <f t="shared" si="44"/>
        <v>7.3081823577378333E-5</v>
      </c>
      <c r="BX48" s="58">
        <f t="shared" si="44"/>
        <v>7.3081823577378333E-5</v>
      </c>
      <c r="BY48" s="58">
        <f t="shared" si="44"/>
        <v>7.3081823577378333E-5</v>
      </c>
      <c r="BZ48" s="58">
        <f t="shared" si="44"/>
        <v>7.3081823577378333E-5</v>
      </c>
      <c r="CA48" s="58">
        <f t="shared" si="44"/>
        <v>7.3081823577378333E-5</v>
      </c>
      <c r="CB48" s="58">
        <f t="shared" si="44"/>
        <v>7.3081823577378333E-5</v>
      </c>
      <c r="CC48" s="91">
        <f>IFERROR(SUM(CD49:CD62,CU49:CU62,DA49:DA62,DB49:DB62),".")</f>
        <v>1368329.293180828</v>
      </c>
      <c r="CD48" s="91">
        <f>IFERROR(SUM(CD49:CD62),".")</f>
        <v>342082.32329520682</v>
      </c>
      <c r="CE48" s="91">
        <f t="shared" ref="CE48:DB48" si="45">IFERROR(SUM(CE49:CE62),".")</f>
        <v>342082.32329520682</v>
      </c>
      <c r="CF48" s="91">
        <f t="shared" si="45"/>
        <v>342082.32329520682</v>
      </c>
      <c r="CG48" s="91">
        <f t="shared" si="45"/>
        <v>342082.32329520682</v>
      </c>
      <c r="CH48" s="91">
        <f t="shared" si="45"/>
        <v>342082.32329520682</v>
      </c>
      <c r="CI48" s="91">
        <f t="shared" si="45"/>
        <v>342082.32329520682</v>
      </c>
      <c r="CJ48" s="91">
        <f t="shared" si="45"/>
        <v>342082.32329520682</v>
      </c>
      <c r="CK48" s="91">
        <f t="shared" si="45"/>
        <v>342082.32329520682</v>
      </c>
      <c r="CL48" s="91">
        <f t="shared" si="45"/>
        <v>342082.32329520682</v>
      </c>
      <c r="CM48" s="91">
        <f t="shared" si="45"/>
        <v>342082.32329520682</v>
      </c>
      <c r="CN48" s="91">
        <f t="shared" si="45"/>
        <v>342082.32329520682</v>
      </c>
      <c r="CO48" s="91">
        <f t="shared" si="45"/>
        <v>342082.32329520682</v>
      </c>
      <c r="CP48" s="91">
        <f t="shared" si="45"/>
        <v>342082.32329520682</v>
      </c>
      <c r="CQ48" s="91">
        <f t="shared" si="45"/>
        <v>342082.32329520682</v>
      </c>
      <c r="CR48" s="91">
        <f t="shared" si="45"/>
        <v>342082.32329520682</v>
      </c>
      <c r="CS48" s="91">
        <f t="shared" si="45"/>
        <v>342082.32329520682</v>
      </c>
      <c r="CT48" s="91">
        <f t="shared" si="45"/>
        <v>342082.32329520682</v>
      </c>
      <c r="CU48" s="91">
        <f t="shared" si="45"/>
        <v>342082.32329520682</v>
      </c>
      <c r="CV48" s="91">
        <f t="shared" si="45"/>
        <v>342082.32329520682</v>
      </c>
      <c r="CW48" s="91">
        <f t="shared" si="45"/>
        <v>342082.32329520682</v>
      </c>
      <c r="CX48" s="91">
        <f t="shared" si="45"/>
        <v>342082.32329520682</v>
      </c>
      <c r="CY48" s="91">
        <f t="shared" si="45"/>
        <v>342082.32329520682</v>
      </c>
      <c r="CZ48" s="91">
        <f t="shared" si="45"/>
        <v>342082.32329520682</v>
      </c>
      <c r="DA48" s="91">
        <f t="shared" si="45"/>
        <v>342082.32329520682</v>
      </c>
      <c r="DB48" s="91">
        <f t="shared" si="45"/>
        <v>342082.32329520682</v>
      </c>
    </row>
    <row r="49" spans="1:106" s="42" customFormat="1" x14ac:dyDescent="0.25">
      <c r="A49" s="77" t="s">
        <v>1086</v>
      </c>
      <c r="B49" s="42">
        <v>1</v>
      </c>
      <c r="C49" s="60">
        <f t="shared" ref="C49:AB49" si="46">IFERROR(C23/$B49,".")</f>
        <v>1.6443412786038033E-4</v>
      </c>
      <c r="D49" s="60">
        <f t="shared" si="46"/>
        <v>6.5773651144152131E-4</v>
      </c>
      <c r="E49" s="60">
        <f t="shared" si="46"/>
        <v>6.5773651144152131E-4</v>
      </c>
      <c r="F49" s="60">
        <f t="shared" si="46"/>
        <v>6.5773651144152131E-4</v>
      </c>
      <c r="G49" s="60">
        <f t="shared" si="46"/>
        <v>6.5773651144152131E-4</v>
      </c>
      <c r="H49" s="60">
        <f t="shared" si="46"/>
        <v>6.5773651144152131E-4</v>
      </c>
      <c r="I49" s="60">
        <f t="shared" si="46"/>
        <v>6.5773651144152131E-4</v>
      </c>
      <c r="J49" s="60">
        <f t="shared" si="46"/>
        <v>6.5773651144152131E-4</v>
      </c>
      <c r="K49" s="60">
        <f t="shared" si="46"/>
        <v>6.5773651144152131E-4</v>
      </c>
      <c r="L49" s="60">
        <f t="shared" si="46"/>
        <v>6.5773651144152131E-4</v>
      </c>
      <c r="M49" s="60">
        <f t="shared" si="46"/>
        <v>6.5773651144152131E-4</v>
      </c>
      <c r="N49" s="60">
        <f t="shared" si="46"/>
        <v>6.5773651144152131E-4</v>
      </c>
      <c r="O49" s="60">
        <f t="shared" si="46"/>
        <v>6.5773651144152131E-4</v>
      </c>
      <c r="P49" s="60">
        <f t="shared" si="46"/>
        <v>6.5773651144152131E-4</v>
      </c>
      <c r="Q49" s="60">
        <f t="shared" si="46"/>
        <v>6.5773651144152131E-4</v>
      </c>
      <c r="R49" s="60">
        <f t="shared" si="46"/>
        <v>6.5773651144152131E-4</v>
      </c>
      <c r="S49" s="60">
        <f t="shared" si="46"/>
        <v>6.5773651144152131E-4</v>
      </c>
      <c r="T49" s="60">
        <f t="shared" si="46"/>
        <v>6.5773651144152131E-4</v>
      </c>
      <c r="U49" s="60">
        <f t="shared" si="46"/>
        <v>6.5773651144152131E-4</v>
      </c>
      <c r="V49" s="60">
        <f t="shared" si="46"/>
        <v>6.5773651144152131E-4</v>
      </c>
      <c r="W49" s="60">
        <f t="shared" si="46"/>
        <v>6.5773651144152131E-4</v>
      </c>
      <c r="X49" s="60">
        <f t="shared" si="46"/>
        <v>6.5773651144152131E-4</v>
      </c>
      <c r="Y49" s="60">
        <f t="shared" si="46"/>
        <v>6.5773651144152131E-4</v>
      </c>
      <c r="Z49" s="60">
        <f t="shared" si="46"/>
        <v>6.5773651144152131E-4</v>
      </c>
      <c r="AA49" s="60">
        <f t="shared" si="46"/>
        <v>6.5773651144152131E-4</v>
      </c>
      <c r="AB49" s="60">
        <f t="shared" si="46"/>
        <v>6.5773651144152131E-4</v>
      </c>
      <c r="AC49" s="94">
        <f t="shared" ref="AC49:AC62" si="47">IF(AND(AD49&lt;&gt;".",AU49&lt;&gt;".",BA49&lt;&gt;".",BB49&lt;&gt;"."),SUM(AD49,AU49,BA49:BB49),".")</f>
        <v>152036.56519057468</v>
      </c>
      <c r="AD49" s="94">
        <f>IF(D49=".",".",up_RadSpec!$F$23*(AD23*$B49))</f>
        <v>38009.14129764367</v>
      </c>
      <c r="AE49" s="94">
        <f>IF(E49=".",".",up_RadSpec!$F$23*(AE23*$B49))</f>
        <v>38009.14129764367</v>
      </c>
      <c r="AF49" s="94">
        <f>IF(F49=".",".",up_RadSpec!$F$23*(AF23*$B49))</f>
        <v>38009.14129764367</v>
      </c>
      <c r="AG49" s="94">
        <f>IF(G49=".",".",up_RadSpec!$F$23*(AG23*$B49))</f>
        <v>38009.14129764367</v>
      </c>
      <c r="AH49" s="94">
        <f>IF(H49=".",".",up_RadSpec!$F$23*(AH23*$B49))</f>
        <v>38009.14129764367</v>
      </c>
      <c r="AI49" s="94">
        <f>IF(I49=".",".",up_RadSpec!$F$23*(AI23*$B49))</f>
        <v>38009.14129764367</v>
      </c>
      <c r="AJ49" s="94">
        <f>IF(J49=".",".",up_RadSpec!$F$23*(AJ23*$B49))</f>
        <v>38009.14129764367</v>
      </c>
      <c r="AK49" s="94">
        <f>IF(K49=".",".",up_RadSpec!$F$23*(AK23*$B49))</f>
        <v>38009.14129764367</v>
      </c>
      <c r="AL49" s="94">
        <f>IF(L49=".",".",up_RadSpec!$F$23*(AL23*$B49))</f>
        <v>38009.14129764367</v>
      </c>
      <c r="AM49" s="94">
        <f>IF(M49=".",".",up_RadSpec!$F$23*(AM23*$B49))</f>
        <v>38009.14129764367</v>
      </c>
      <c r="AN49" s="94">
        <f>IF(N49=".",".",up_RadSpec!$F$23*(AN23*$B49))</f>
        <v>38009.14129764367</v>
      </c>
      <c r="AO49" s="94">
        <f>IF(O49=".",".",up_RadSpec!$F$23*(AO23*$B49))</f>
        <v>38009.14129764367</v>
      </c>
      <c r="AP49" s="94">
        <f>IF(P49=".",".",up_RadSpec!$F$23*(AP23*$B49))</f>
        <v>38009.14129764367</v>
      </c>
      <c r="AQ49" s="94">
        <f>IF(Q49=".",".",up_RadSpec!$F$23*(AQ23*$B49))</f>
        <v>38009.14129764367</v>
      </c>
      <c r="AR49" s="94">
        <f>IF(R49=".",".",up_RadSpec!$F$23*(AR23*$B49))</f>
        <v>38009.14129764367</v>
      </c>
      <c r="AS49" s="94">
        <f>IF(S49=".",".",up_RadSpec!$F$23*(AS23*$B49))</f>
        <v>38009.14129764367</v>
      </c>
      <c r="AT49" s="94">
        <f>IF(T49=".",".",up_RadSpec!$F$23*(AT23*$B49))</f>
        <v>38009.14129764367</v>
      </c>
      <c r="AU49" s="94">
        <f>IF(U49=".",".",up_RadSpec!$F$23*(AU23*$B49))</f>
        <v>38009.14129764367</v>
      </c>
      <c r="AV49" s="94">
        <f>IF(V49=".",".",up_RadSpec!$F$23*(AV23*$B49))</f>
        <v>38009.14129764367</v>
      </c>
      <c r="AW49" s="94">
        <f>IF(W49=".",".",up_RadSpec!$F$23*(AW23*$B49))</f>
        <v>38009.14129764367</v>
      </c>
      <c r="AX49" s="94">
        <f>IF(X49=".",".",up_RadSpec!$F$23*(AX23*$B49))</f>
        <v>38009.14129764367</v>
      </c>
      <c r="AY49" s="94">
        <f>IF(Y49=".",".",up_RadSpec!$F$23*(AY23*$B49))</f>
        <v>38009.14129764367</v>
      </c>
      <c r="AZ49" s="94">
        <f>IF(Z49=".",".",up_RadSpec!$F$23*(AZ23*$B49))</f>
        <v>38009.14129764367</v>
      </c>
      <c r="BA49" s="94">
        <f>IF(AA49=".",".",up_RadSpec!$F$23*(BA23*$B49))</f>
        <v>38009.14129764367</v>
      </c>
      <c r="BB49" s="94">
        <f>IF(AB49=".",".",up_RadSpec!$F$23*(BB23*$B49))</f>
        <v>38009.14129764367</v>
      </c>
      <c r="BC49" s="60">
        <f t="shared" ref="BC49:CB49" si="48">IFERROR(BC23/$B49,".")</f>
        <v>1.6443412786038033E-4</v>
      </c>
      <c r="BD49" s="60">
        <f t="shared" si="48"/>
        <v>6.5773651144152131E-4</v>
      </c>
      <c r="BE49" s="60">
        <f t="shared" si="48"/>
        <v>6.5773651144152131E-4</v>
      </c>
      <c r="BF49" s="60">
        <f t="shared" si="48"/>
        <v>6.5773651144152131E-4</v>
      </c>
      <c r="BG49" s="60">
        <f t="shared" si="48"/>
        <v>6.5773651144152131E-4</v>
      </c>
      <c r="BH49" s="60">
        <f t="shared" si="48"/>
        <v>6.5773651144152131E-4</v>
      </c>
      <c r="BI49" s="60">
        <f t="shared" si="48"/>
        <v>6.5773651144152131E-4</v>
      </c>
      <c r="BJ49" s="60">
        <f t="shared" si="48"/>
        <v>6.5773651144152131E-4</v>
      </c>
      <c r="BK49" s="60">
        <f t="shared" si="48"/>
        <v>6.5773651144152131E-4</v>
      </c>
      <c r="BL49" s="60">
        <f t="shared" si="48"/>
        <v>6.5773651144152131E-4</v>
      </c>
      <c r="BM49" s="60">
        <f t="shared" si="48"/>
        <v>6.5773651144152131E-4</v>
      </c>
      <c r="BN49" s="60">
        <f t="shared" si="48"/>
        <v>6.5773651144152131E-4</v>
      </c>
      <c r="BO49" s="60">
        <f t="shared" si="48"/>
        <v>6.5773651144152131E-4</v>
      </c>
      <c r="BP49" s="60">
        <f t="shared" si="48"/>
        <v>6.5773651144152131E-4</v>
      </c>
      <c r="BQ49" s="60">
        <f t="shared" si="48"/>
        <v>6.5773651144152131E-4</v>
      </c>
      <c r="BR49" s="60">
        <f t="shared" si="48"/>
        <v>6.5773651144152131E-4</v>
      </c>
      <c r="BS49" s="60">
        <f t="shared" si="48"/>
        <v>6.5773651144152131E-4</v>
      </c>
      <c r="BT49" s="60">
        <f t="shared" si="48"/>
        <v>6.5773651144152131E-4</v>
      </c>
      <c r="BU49" s="60">
        <f t="shared" si="48"/>
        <v>6.5773651144152131E-4</v>
      </c>
      <c r="BV49" s="60">
        <f t="shared" si="48"/>
        <v>6.5773651144152131E-4</v>
      </c>
      <c r="BW49" s="60">
        <f t="shared" si="48"/>
        <v>6.5773651144152131E-4</v>
      </c>
      <c r="BX49" s="60">
        <f t="shared" si="48"/>
        <v>6.5773651144152131E-4</v>
      </c>
      <c r="BY49" s="60">
        <f t="shared" si="48"/>
        <v>6.5773651144152131E-4</v>
      </c>
      <c r="BZ49" s="60">
        <f t="shared" si="48"/>
        <v>6.5773651144152131E-4</v>
      </c>
      <c r="CA49" s="60">
        <f t="shared" si="48"/>
        <v>6.5773651144152131E-4</v>
      </c>
      <c r="CB49" s="60">
        <f t="shared" si="48"/>
        <v>6.5773651144152131E-4</v>
      </c>
      <c r="CC49" s="94">
        <f t="shared" ref="CC49:CC62" si="49">IF(AND(CD49&lt;&gt;".",CU49&lt;&gt;".",DA49&lt;&gt;".",DB49&lt;&gt;"."),SUM(CD49,CU49,DA49:DB49),".")</f>
        <v>152036.56519057468</v>
      </c>
      <c r="CD49" s="94">
        <f>IF(BD49=".",".",up_RadSpec!$F$23*(CD23*$B49))</f>
        <v>38009.14129764367</v>
      </c>
      <c r="CE49" s="94">
        <f>IF(BE49=".",".",up_RadSpec!$F$23*(CE23*$B49))</f>
        <v>38009.14129764367</v>
      </c>
      <c r="CF49" s="94">
        <f>IF(BF49=".",".",up_RadSpec!$F$23*(CF23*$B49))</f>
        <v>38009.14129764367</v>
      </c>
      <c r="CG49" s="94">
        <f>IF(BG49=".",".",up_RadSpec!$F$23*(CG23*$B49))</f>
        <v>38009.14129764367</v>
      </c>
      <c r="CH49" s="94">
        <f>IF(BH49=".",".",up_RadSpec!$F$23*(CH23*$B49))</f>
        <v>38009.14129764367</v>
      </c>
      <c r="CI49" s="94">
        <f>IF(BI49=".",".",up_RadSpec!$F$23*(CI23*$B49))</f>
        <v>38009.14129764367</v>
      </c>
      <c r="CJ49" s="94">
        <f>IF(BJ49=".",".",up_RadSpec!$F$23*(CJ23*$B49))</f>
        <v>38009.14129764367</v>
      </c>
      <c r="CK49" s="94">
        <f>IF(BK49=".",".",up_RadSpec!$F$23*(CK23*$B49))</f>
        <v>38009.14129764367</v>
      </c>
      <c r="CL49" s="94">
        <f>IF(BL49=".",".",up_RadSpec!$F$23*(CL23*$B49))</f>
        <v>38009.14129764367</v>
      </c>
      <c r="CM49" s="94">
        <f>IF(BM49=".",".",up_RadSpec!$F$23*(CM23*$B49))</f>
        <v>38009.14129764367</v>
      </c>
      <c r="CN49" s="94">
        <f>IF(BN49=".",".",up_RadSpec!$F$23*(CN23*$B49))</f>
        <v>38009.14129764367</v>
      </c>
      <c r="CO49" s="94">
        <f>IF(BO49=".",".",up_RadSpec!$F$23*(CO23*$B49))</f>
        <v>38009.14129764367</v>
      </c>
      <c r="CP49" s="94">
        <f>IF(BP49=".",".",up_RadSpec!$F$23*(CP23*$B49))</f>
        <v>38009.14129764367</v>
      </c>
      <c r="CQ49" s="94">
        <f>IF(BQ49=".",".",up_RadSpec!$F$23*(CQ23*$B49))</f>
        <v>38009.14129764367</v>
      </c>
      <c r="CR49" s="94">
        <f>IF(BR49=".",".",up_RadSpec!$F$23*(CR23*$B49))</f>
        <v>38009.14129764367</v>
      </c>
      <c r="CS49" s="94">
        <f>IF(BS49=".",".",up_RadSpec!$F$23*(CS23*$B49))</f>
        <v>38009.14129764367</v>
      </c>
      <c r="CT49" s="94">
        <f>IF(BT49=".",".",up_RadSpec!$F$23*(CT23*$B49))</f>
        <v>38009.14129764367</v>
      </c>
      <c r="CU49" s="94">
        <f>IF(BU49=".",".",up_RadSpec!$F$23*(CU23*$B49))</f>
        <v>38009.14129764367</v>
      </c>
      <c r="CV49" s="94">
        <f>IF(BV49=".",".",up_RadSpec!$F$23*(CV23*$B49))</f>
        <v>38009.14129764367</v>
      </c>
      <c r="CW49" s="94">
        <f>IF(BW49=".",".",up_RadSpec!$F$23*(CW23*$B49))</f>
        <v>38009.14129764367</v>
      </c>
      <c r="CX49" s="94">
        <f>IF(BX49=".",".",up_RadSpec!$F$23*(CX23*$B49))</f>
        <v>38009.14129764367</v>
      </c>
      <c r="CY49" s="94">
        <f>IF(BY49=".",".",up_RadSpec!$F$23*(CY23*$B49))</f>
        <v>38009.14129764367</v>
      </c>
      <c r="CZ49" s="94">
        <f>IF(BZ49=".",".",up_RadSpec!$F$23*(CZ23*$B49))</f>
        <v>38009.14129764367</v>
      </c>
      <c r="DA49" s="94">
        <f>IF(CA49=".",".",up_RadSpec!$F$23*(DA23*$B49))</f>
        <v>38009.14129764367</v>
      </c>
      <c r="DB49" s="94">
        <f>IF(CB49=".",".",up_RadSpec!$F$23*(DB23*$B49))</f>
        <v>38009.14129764367</v>
      </c>
    </row>
    <row r="50" spans="1:106" s="42" customFormat="1" x14ac:dyDescent="0.25">
      <c r="A50" s="77" t="s">
        <v>1073</v>
      </c>
      <c r="B50" s="42">
        <v>1</v>
      </c>
      <c r="C50" s="60">
        <f t="shared" ref="C50:AB50" si="50">IFERROR(C25/$B50,".")</f>
        <v>1.6443412786038033E-4</v>
      </c>
      <c r="D50" s="60">
        <f t="shared" si="50"/>
        <v>6.5773651144152131E-4</v>
      </c>
      <c r="E50" s="60">
        <f t="shared" si="50"/>
        <v>6.5773651144152131E-4</v>
      </c>
      <c r="F50" s="60">
        <f t="shared" si="50"/>
        <v>6.5773651144152131E-4</v>
      </c>
      <c r="G50" s="60">
        <f t="shared" si="50"/>
        <v>6.5773651144152131E-4</v>
      </c>
      <c r="H50" s="60">
        <f t="shared" si="50"/>
        <v>6.5773651144152131E-4</v>
      </c>
      <c r="I50" s="60">
        <f t="shared" si="50"/>
        <v>6.5773651144152131E-4</v>
      </c>
      <c r="J50" s="60">
        <f t="shared" si="50"/>
        <v>6.5773651144152131E-4</v>
      </c>
      <c r="K50" s="60">
        <f t="shared" si="50"/>
        <v>6.5773651144152131E-4</v>
      </c>
      <c r="L50" s="60">
        <f t="shared" si="50"/>
        <v>6.5773651144152131E-4</v>
      </c>
      <c r="M50" s="60">
        <f t="shared" si="50"/>
        <v>6.5773651144152131E-4</v>
      </c>
      <c r="N50" s="60">
        <f t="shared" si="50"/>
        <v>6.5773651144152131E-4</v>
      </c>
      <c r="O50" s="60">
        <f t="shared" si="50"/>
        <v>6.5773651144152131E-4</v>
      </c>
      <c r="P50" s="60">
        <f t="shared" si="50"/>
        <v>6.5773651144152131E-4</v>
      </c>
      <c r="Q50" s="60">
        <f t="shared" si="50"/>
        <v>6.5773651144152131E-4</v>
      </c>
      <c r="R50" s="60">
        <f t="shared" si="50"/>
        <v>6.5773651144152131E-4</v>
      </c>
      <c r="S50" s="60">
        <f t="shared" si="50"/>
        <v>6.5773651144152131E-4</v>
      </c>
      <c r="T50" s="60">
        <f t="shared" si="50"/>
        <v>6.5773651144152131E-4</v>
      </c>
      <c r="U50" s="60">
        <f t="shared" si="50"/>
        <v>6.5773651144152131E-4</v>
      </c>
      <c r="V50" s="60">
        <f t="shared" si="50"/>
        <v>6.5773651144152131E-4</v>
      </c>
      <c r="W50" s="60">
        <f t="shared" si="50"/>
        <v>6.5773651144152131E-4</v>
      </c>
      <c r="X50" s="60">
        <f t="shared" si="50"/>
        <v>6.5773651144152131E-4</v>
      </c>
      <c r="Y50" s="60">
        <f t="shared" si="50"/>
        <v>6.5773651144152131E-4</v>
      </c>
      <c r="Z50" s="60">
        <f t="shared" si="50"/>
        <v>6.5773651144152131E-4</v>
      </c>
      <c r="AA50" s="60">
        <f t="shared" si="50"/>
        <v>6.5773651144152131E-4</v>
      </c>
      <c r="AB50" s="60">
        <f t="shared" si="50"/>
        <v>6.5773651144152131E-4</v>
      </c>
      <c r="AC50" s="94">
        <f t="shared" si="47"/>
        <v>152036.56519057468</v>
      </c>
      <c r="AD50" s="94">
        <f>IF(D50=".",".",up_RadSpec!$F$25*(AD25*$B50))</f>
        <v>38009.14129764367</v>
      </c>
      <c r="AE50" s="94">
        <f>IF(E50=".",".",up_RadSpec!$F$25*(AE25*$B50))</f>
        <v>38009.14129764367</v>
      </c>
      <c r="AF50" s="94">
        <f>IF(F50=".",".",up_RadSpec!$F$25*(AF25*$B50))</f>
        <v>38009.14129764367</v>
      </c>
      <c r="AG50" s="94">
        <f>IF(G50=".",".",up_RadSpec!$F$25*(AG25*$B50))</f>
        <v>38009.14129764367</v>
      </c>
      <c r="AH50" s="94">
        <f>IF(H50=".",".",up_RadSpec!$F$25*(AH25*$B50))</f>
        <v>38009.14129764367</v>
      </c>
      <c r="AI50" s="94">
        <f>IF(I50=".",".",up_RadSpec!$F$25*(AI25*$B50))</f>
        <v>38009.14129764367</v>
      </c>
      <c r="AJ50" s="94">
        <f>IF(J50=".",".",up_RadSpec!$F$25*(AJ25*$B50))</f>
        <v>38009.14129764367</v>
      </c>
      <c r="AK50" s="94">
        <f>IF(K50=".",".",up_RadSpec!$F$25*(AK25*$B50))</f>
        <v>38009.14129764367</v>
      </c>
      <c r="AL50" s="94">
        <f>IF(L50=".",".",up_RadSpec!$F$25*(AL25*$B50))</f>
        <v>38009.14129764367</v>
      </c>
      <c r="AM50" s="94">
        <f>IF(M50=".",".",up_RadSpec!$F$25*(AM25*$B50))</f>
        <v>38009.14129764367</v>
      </c>
      <c r="AN50" s="94">
        <f>IF(N50=".",".",up_RadSpec!$F$25*(AN25*$B50))</f>
        <v>38009.14129764367</v>
      </c>
      <c r="AO50" s="94">
        <f>IF(O50=".",".",up_RadSpec!$F$25*(AO25*$B50))</f>
        <v>38009.14129764367</v>
      </c>
      <c r="AP50" s="94">
        <f>IF(P50=".",".",up_RadSpec!$F$25*(AP25*$B50))</f>
        <v>38009.14129764367</v>
      </c>
      <c r="AQ50" s="94">
        <f>IF(Q50=".",".",up_RadSpec!$F$25*(AQ25*$B50))</f>
        <v>38009.14129764367</v>
      </c>
      <c r="AR50" s="94">
        <f>IF(R50=".",".",up_RadSpec!$F$25*(AR25*$B50))</f>
        <v>38009.14129764367</v>
      </c>
      <c r="AS50" s="94">
        <f>IF(S50=".",".",up_RadSpec!$F$25*(AS25*$B50))</f>
        <v>38009.14129764367</v>
      </c>
      <c r="AT50" s="94">
        <f>IF(T50=".",".",up_RadSpec!$F$25*(AT25*$B50))</f>
        <v>38009.14129764367</v>
      </c>
      <c r="AU50" s="94">
        <f>IF(U50=".",".",up_RadSpec!$F$25*(AU25*$B50))</f>
        <v>38009.14129764367</v>
      </c>
      <c r="AV50" s="94">
        <f>IF(V50=".",".",up_RadSpec!$F$25*(AV25*$B50))</f>
        <v>38009.14129764367</v>
      </c>
      <c r="AW50" s="94">
        <f>IF(W50=".",".",up_RadSpec!$F$25*(AW25*$B50))</f>
        <v>38009.14129764367</v>
      </c>
      <c r="AX50" s="94">
        <f>IF(X50=".",".",up_RadSpec!$F$25*(AX25*$B50))</f>
        <v>38009.14129764367</v>
      </c>
      <c r="AY50" s="94">
        <f>IF(Y50=".",".",up_RadSpec!$F$25*(AY25*$B50))</f>
        <v>38009.14129764367</v>
      </c>
      <c r="AZ50" s="94">
        <f>IF(Z50=".",".",up_RadSpec!$F$25*(AZ25*$B50))</f>
        <v>38009.14129764367</v>
      </c>
      <c r="BA50" s="94">
        <f>IF(AA50=".",".",up_RadSpec!$F$25*(BA25*$B50))</f>
        <v>38009.14129764367</v>
      </c>
      <c r="BB50" s="94">
        <f>IF(AB50=".",".",up_RadSpec!$F$25*(BB25*$B50))</f>
        <v>38009.14129764367</v>
      </c>
      <c r="BC50" s="60">
        <f t="shared" ref="BC50:CB50" si="51">IFERROR(BC25/$B50,".")</f>
        <v>1.6443412786038033E-4</v>
      </c>
      <c r="BD50" s="60">
        <f t="shared" si="51"/>
        <v>6.5773651144152131E-4</v>
      </c>
      <c r="BE50" s="60">
        <f t="shared" si="51"/>
        <v>6.5773651144152131E-4</v>
      </c>
      <c r="BF50" s="60">
        <f t="shared" si="51"/>
        <v>6.5773651144152131E-4</v>
      </c>
      <c r="BG50" s="60">
        <f t="shared" si="51"/>
        <v>6.5773651144152131E-4</v>
      </c>
      <c r="BH50" s="60">
        <f t="shared" si="51"/>
        <v>6.5773651144152131E-4</v>
      </c>
      <c r="BI50" s="60">
        <f t="shared" si="51"/>
        <v>6.5773651144152131E-4</v>
      </c>
      <c r="BJ50" s="60">
        <f t="shared" si="51"/>
        <v>6.5773651144152131E-4</v>
      </c>
      <c r="BK50" s="60">
        <f t="shared" si="51"/>
        <v>6.5773651144152131E-4</v>
      </c>
      <c r="BL50" s="60">
        <f t="shared" si="51"/>
        <v>6.5773651144152131E-4</v>
      </c>
      <c r="BM50" s="60">
        <f t="shared" si="51"/>
        <v>6.5773651144152131E-4</v>
      </c>
      <c r="BN50" s="60">
        <f t="shared" si="51"/>
        <v>6.5773651144152131E-4</v>
      </c>
      <c r="BO50" s="60">
        <f t="shared" si="51"/>
        <v>6.5773651144152131E-4</v>
      </c>
      <c r="BP50" s="60">
        <f t="shared" si="51"/>
        <v>6.5773651144152131E-4</v>
      </c>
      <c r="BQ50" s="60">
        <f t="shared" si="51"/>
        <v>6.5773651144152131E-4</v>
      </c>
      <c r="BR50" s="60">
        <f t="shared" si="51"/>
        <v>6.5773651144152131E-4</v>
      </c>
      <c r="BS50" s="60">
        <f t="shared" si="51"/>
        <v>6.5773651144152131E-4</v>
      </c>
      <c r="BT50" s="60">
        <f t="shared" si="51"/>
        <v>6.5773651144152131E-4</v>
      </c>
      <c r="BU50" s="60">
        <f t="shared" si="51"/>
        <v>6.5773651144152131E-4</v>
      </c>
      <c r="BV50" s="60">
        <f t="shared" si="51"/>
        <v>6.5773651144152131E-4</v>
      </c>
      <c r="BW50" s="60">
        <f t="shared" si="51"/>
        <v>6.5773651144152131E-4</v>
      </c>
      <c r="BX50" s="60">
        <f t="shared" si="51"/>
        <v>6.5773651144152131E-4</v>
      </c>
      <c r="BY50" s="60">
        <f t="shared" si="51"/>
        <v>6.5773651144152131E-4</v>
      </c>
      <c r="BZ50" s="60">
        <f t="shared" si="51"/>
        <v>6.5773651144152131E-4</v>
      </c>
      <c r="CA50" s="60">
        <f t="shared" si="51"/>
        <v>6.5773651144152131E-4</v>
      </c>
      <c r="CB50" s="60">
        <f t="shared" si="51"/>
        <v>6.5773651144152131E-4</v>
      </c>
      <c r="CC50" s="94">
        <f t="shared" si="49"/>
        <v>152036.56519057468</v>
      </c>
      <c r="CD50" s="94">
        <f>IF(BD50=".",".",up_RadSpec!$F$25*(CD25*$B50))</f>
        <v>38009.14129764367</v>
      </c>
      <c r="CE50" s="94">
        <f>IF(BE50=".",".",up_RadSpec!$F$25*(CE25*$B50))</f>
        <v>38009.14129764367</v>
      </c>
      <c r="CF50" s="94">
        <f>IF(BF50=".",".",up_RadSpec!$F$25*(CF25*$B50))</f>
        <v>38009.14129764367</v>
      </c>
      <c r="CG50" s="94">
        <f>IF(BG50=".",".",up_RadSpec!$F$25*(CG25*$B50))</f>
        <v>38009.14129764367</v>
      </c>
      <c r="CH50" s="94">
        <f>IF(BH50=".",".",up_RadSpec!$F$25*(CH25*$B50))</f>
        <v>38009.14129764367</v>
      </c>
      <c r="CI50" s="94">
        <f>IF(BI50=".",".",up_RadSpec!$F$25*(CI25*$B50))</f>
        <v>38009.14129764367</v>
      </c>
      <c r="CJ50" s="94">
        <f>IF(BJ50=".",".",up_RadSpec!$F$25*(CJ25*$B50))</f>
        <v>38009.14129764367</v>
      </c>
      <c r="CK50" s="94">
        <f>IF(BK50=".",".",up_RadSpec!$F$25*(CK25*$B50))</f>
        <v>38009.14129764367</v>
      </c>
      <c r="CL50" s="94">
        <f>IF(BL50=".",".",up_RadSpec!$F$25*(CL25*$B50))</f>
        <v>38009.14129764367</v>
      </c>
      <c r="CM50" s="94">
        <f>IF(BM50=".",".",up_RadSpec!$F$25*(CM25*$B50))</f>
        <v>38009.14129764367</v>
      </c>
      <c r="CN50" s="94">
        <f>IF(BN50=".",".",up_RadSpec!$F$25*(CN25*$B50))</f>
        <v>38009.14129764367</v>
      </c>
      <c r="CO50" s="94">
        <f>IF(BO50=".",".",up_RadSpec!$F$25*(CO25*$B50))</f>
        <v>38009.14129764367</v>
      </c>
      <c r="CP50" s="94">
        <f>IF(BP50=".",".",up_RadSpec!$F$25*(CP25*$B50))</f>
        <v>38009.14129764367</v>
      </c>
      <c r="CQ50" s="94">
        <f>IF(BQ50=".",".",up_RadSpec!$F$25*(CQ25*$B50))</f>
        <v>38009.14129764367</v>
      </c>
      <c r="CR50" s="94">
        <f>IF(BR50=".",".",up_RadSpec!$F$25*(CR25*$B50))</f>
        <v>38009.14129764367</v>
      </c>
      <c r="CS50" s="94">
        <f>IF(BS50=".",".",up_RadSpec!$F$25*(CS25*$B50))</f>
        <v>38009.14129764367</v>
      </c>
      <c r="CT50" s="94">
        <f>IF(BT50=".",".",up_RadSpec!$F$25*(CT25*$B50))</f>
        <v>38009.14129764367</v>
      </c>
      <c r="CU50" s="94">
        <f>IF(BU50=".",".",up_RadSpec!$F$25*(CU25*$B50))</f>
        <v>38009.14129764367</v>
      </c>
      <c r="CV50" s="94">
        <f>IF(BV50=".",".",up_RadSpec!$F$25*(CV25*$B50))</f>
        <v>38009.14129764367</v>
      </c>
      <c r="CW50" s="94">
        <f>IF(BW50=".",".",up_RadSpec!$F$25*(CW25*$B50))</f>
        <v>38009.14129764367</v>
      </c>
      <c r="CX50" s="94">
        <f>IF(BX50=".",".",up_RadSpec!$F$25*(CX25*$B50))</f>
        <v>38009.14129764367</v>
      </c>
      <c r="CY50" s="94">
        <f>IF(BY50=".",".",up_RadSpec!$F$25*(CY25*$B50))</f>
        <v>38009.14129764367</v>
      </c>
      <c r="CZ50" s="94">
        <f>IF(BZ50=".",".",up_RadSpec!$F$25*(CZ25*$B50))</f>
        <v>38009.14129764367</v>
      </c>
      <c r="DA50" s="94">
        <f>IF(CA50=".",".",up_RadSpec!$F$25*(DA25*$B50))</f>
        <v>38009.14129764367</v>
      </c>
      <c r="DB50" s="94">
        <f>IF(CB50=".",".",up_RadSpec!$F$25*(DB25*$B50))</f>
        <v>38009.14129764367</v>
      </c>
    </row>
    <row r="51" spans="1:106" s="42" customFormat="1" x14ac:dyDescent="0.25">
      <c r="A51" s="77" t="s">
        <v>1059</v>
      </c>
      <c r="B51" s="42">
        <v>1</v>
      </c>
      <c r="C51" s="60">
        <f t="shared" ref="C51:AB51" si="52">IFERROR(C21/$B51,".")</f>
        <v>1.6443412786038033E-4</v>
      </c>
      <c r="D51" s="60">
        <f t="shared" si="52"/>
        <v>6.5773651144152131E-4</v>
      </c>
      <c r="E51" s="60">
        <f t="shared" si="52"/>
        <v>6.5773651144152131E-4</v>
      </c>
      <c r="F51" s="60">
        <f t="shared" si="52"/>
        <v>6.5773651144152131E-4</v>
      </c>
      <c r="G51" s="60">
        <f t="shared" si="52"/>
        <v>6.5773651144152131E-4</v>
      </c>
      <c r="H51" s="60">
        <f t="shared" si="52"/>
        <v>6.5773651144152131E-4</v>
      </c>
      <c r="I51" s="60">
        <f t="shared" si="52"/>
        <v>6.5773651144152131E-4</v>
      </c>
      <c r="J51" s="60">
        <f t="shared" si="52"/>
        <v>6.5773651144152131E-4</v>
      </c>
      <c r="K51" s="60">
        <f t="shared" si="52"/>
        <v>6.5773651144152131E-4</v>
      </c>
      <c r="L51" s="60">
        <f t="shared" si="52"/>
        <v>6.5773651144152131E-4</v>
      </c>
      <c r="M51" s="60">
        <f t="shared" si="52"/>
        <v>6.5773651144152131E-4</v>
      </c>
      <c r="N51" s="60">
        <f t="shared" si="52"/>
        <v>6.5773651144152131E-4</v>
      </c>
      <c r="O51" s="60">
        <f t="shared" si="52"/>
        <v>6.5773651144152131E-4</v>
      </c>
      <c r="P51" s="60">
        <f t="shared" si="52"/>
        <v>6.5773651144152131E-4</v>
      </c>
      <c r="Q51" s="60">
        <f t="shared" si="52"/>
        <v>6.5773651144152131E-4</v>
      </c>
      <c r="R51" s="60">
        <f t="shared" si="52"/>
        <v>6.5773651144152131E-4</v>
      </c>
      <c r="S51" s="60">
        <f t="shared" si="52"/>
        <v>6.5773651144152131E-4</v>
      </c>
      <c r="T51" s="60">
        <f t="shared" si="52"/>
        <v>6.5773651144152131E-4</v>
      </c>
      <c r="U51" s="60">
        <f t="shared" si="52"/>
        <v>6.5773651144152131E-4</v>
      </c>
      <c r="V51" s="60">
        <f t="shared" si="52"/>
        <v>6.5773651144152131E-4</v>
      </c>
      <c r="W51" s="60">
        <f t="shared" si="52"/>
        <v>6.5773651144152131E-4</v>
      </c>
      <c r="X51" s="60">
        <f t="shared" si="52"/>
        <v>6.5773651144152131E-4</v>
      </c>
      <c r="Y51" s="60">
        <f t="shared" si="52"/>
        <v>6.5773651144152131E-4</v>
      </c>
      <c r="Z51" s="60">
        <f t="shared" si="52"/>
        <v>6.5773651144152131E-4</v>
      </c>
      <c r="AA51" s="60">
        <f t="shared" si="52"/>
        <v>6.5773651144152131E-4</v>
      </c>
      <c r="AB51" s="60">
        <f t="shared" si="52"/>
        <v>6.5773651144152131E-4</v>
      </c>
      <c r="AC51" s="94">
        <f t="shared" si="47"/>
        <v>152036.56519057468</v>
      </c>
      <c r="AD51" s="94">
        <f>IF(D51=".",".",up_RadSpec!$F$21*(AD21*$B51))</f>
        <v>38009.14129764367</v>
      </c>
      <c r="AE51" s="94">
        <f>IF(E51=".",".",up_RadSpec!$F$21*(AE21*$B51))</f>
        <v>38009.14129764367</v>
      </c>
      <c r="AF51" s="94">
        <f>IF(F51=".",".",up_RadSpec!$F$21*(AF21*$B51))</f>
        <v>38009.14129764367</v>
      </c>
      <c r="AG51" s="94">
        <f>IF(G51=".",".",up_RadSpec!$F$21*(AG21*$B51))</f>
        <v>38009.14129764367</v>
      </c>
      <c r="AH51" s="94">
        <f>IF(H51=".",".",up_RadSpec!$F$21*(AH21*$B51))</f>
        <v>38009.14129764367</v>
      </c>
      <c r="AI51" s="94">
        <f>IF(I51=".",".",up_RadSpec!$F$21*(AI21*$B51))</f>
        <v>38009.14129764367</v>
      </c>
      <c r="AJ51" s="94">
        <f>IF(J51=".",".",up_RadSpec!$F$21*(AJ21*$B51))</f>
        <v>38009.14129764367</v>
      </c>
      <c r="AK51" s="94">
        <f>IF(K51=".",".",up_RadSpec!$F$21*(AK21*$B51))</f>
        <v>38009.14129764367</v>
      </c>
      <c r="AL51" s="94">
        <f>IF(L51=".",".",up_RadSpec!$F$21*(AL21*$B51))</f>
        <v>38009.14129764367</v>
      </c>
      <c r="AM51" s="94">
        <f>IF(M51=".",".",up_RadSpec!$F$21*(AM21*$B51))</f>
        <v>38009.14129764367</v>
      </c>
      <c r="AN51" s="94">
        <f>IF(N51=".",".",up_RadSpec!$F$21*(AN21*$B51))</f>
        <v>38009.14129764367</v>
      </c>
      <c r="AO51" s="94">
        <f>IF(O51=".",".",up_RadSpec!$F$21*(AO21*$B51))</f>
        <v>38009.14129764367</v>
      </c>
      <c r="AP51" s="94">
        <f>IF(P51=".",".",up_RadSpec!$F$21*(AP21*$B51))</f>
        <v>38009.14129764367</v>
      </c>
      <c r="AQ51" s="94">
        <f>IF(Q51=".",".",up_RadSpec!$F$21*(AQ21*$B51))</f>
        <v>38009.14129764367</v>
      </c>
      <c r="AR51" s="94">
        <f>IF(R51=".",".",up_RadSpec!$F$21*(AR21*$B51))</f>
        <v>38009.14129764367</v>
      </c>
      <c r="AS51" s="94">
        <f>IF(S51=".",".",up_RadSpec!$F$21*(AS21*$B51))</f>
        <v>38009.14129764367</v>
      </c>
      <c r="AT51" s="94">
        <f>IF(T51=".",".",up_RadSpec!$F$21*(AT21*$B51))</f>
        <v>38009.14129764367</v>
      </c>
      <c r="AU51" s="94">
        <f>IF(U51=".",".",up_RadSpec!$F$21*(AU21*$B51))</f>
        <v>38009.14129764367</v>
      </c>
      <c r="AV51" s="94">
        <f>IF(V51=".",".",up_RadSpec!$F$21*(AV21*$B51))</f>
        <v>38009.14129764367</v>
      </c>
      <c r="AW51" s="94">
        <f>IF(W51=".",".",up_RadSpec!$F$21*(AW21*$B51))</f>
        <v>38009.14129764367</v>
      </c>
      <c r="AX51" s="94">
        <f>IF(X51=".",".",up_RadSpec!$F$21*(AX21*$B51))</f>
        <v>38009.14129764367</v>
      </c>
      <c r="AY51" s="94">
        <f>IF(Y51=".",".",up_RadSpec!$F$21*(AY21*$B51))</f>
        <v>38009.14129764367</v>
      </c>
      <c r="AZ51" s="94">
        <f>IF(Z51=".",".",up_RadSpec!$F$21*(AZ21*$B51))</f>
        <v>38009.14129764367</v>
      </c>
      <c r="BA51" s="94">
        <f>IF(AA51=".",".",up_RadSpec!$F$21*(BA21*$B51))</f>
        <v>38009.14129764367</v>
      </c>
      <c r="BB51" s="94">
        <f>IF(AB51=".",".",up_RadSpec!$F$21*(BB21*$B51))</f>
        <v>38009.14129764367</v>
      </c>
      <c r="BC51" s="60">
        <f t="shared" ref="BC51:CB51" si="53">IFERROR(BC21/$B51,".")</f>
        <v>1.6443412786038033E-4</v>
      </c>
      <c r="BD51" s="60">
        <f t="shared" si="53"/>
        <v>6.5773651144152131E-4</v>
      </c>
      <c r="BE51" s="60">
        <f t="shared" si="53"/>
        <v>6.5773651144152131E-4</v>
      </c>
      <c r="BF51" s="60">
        <f t="shared" si="53"/>
        <v>6.5773651144152131E-4</v>
      </c>
      <c r="BG51" s="60">
        <f t="shared" si="53"/>
        <v>6.5773651144152131E-4</v>
      </c>
      <c r="BH51" s="60">
        <f t="shared" si="53"/>
        <v>6.5773651144152131E-4</v>
      </c>
      <c r="BI51" s="60">
        <f t="shared" si="53"/>
        <v>6.5773651144152131E-4</v>
      </c>
      <c r="BJ51" s="60">
        <f t="shared" si="53"/>
        <v>6.5773651144152131E-4</v>
      </c>
      <c r="BK51" s="60">
        <f t="shared" si="53"/>
        <v>6.5773651144152131E-4</v>
      </c>
      <c r="BL51" s="60">
        <f t="shared" si="53"/>
        <v>6.5773651144152131E-4</v>
      </c>
      <c r="BM51" s="60">
        <f t="shared" si="53"/>
        <v>6.5773651144152131E-4</v>
      </c>
      <c r="BN51" s="60">
        <f t="shared" si="53"/>
        <v>6.5773651144152131E-4</v>
      </c>
      <c r="BO51" s="60">
        <f t="shared" si="53"/>
        <v>6.5773651144152131E-4</v>
      </c>
      <c r="BP51" s="60">
        <f t="shared" si="53"/>
        <v>6.5773651144152131E-4</v>
      </c>
      <c r="BQ51" s="60">
        <f t="shared" si="53"/>
        <v>6.5773651144152131E-4</v>
      </c>
      <c r="BR51" s="60">
        <f t="shared" si="53"/>
        <v>6.5773651144152131E-4</v>
      </c>
      <c r="BS51" s="60">
        <f t="shared" si="53"/>
        <v>6.5773651144152131E-4</v>
      </c>
      <c r="BT51" s="60">
        <f t="shared" si="53"/>
        <v>6.5773651144152131E-4</v>
      </c>
      <c r="BU51" s="60">
        <f t="shared" si="53"/>
        <v>6.5773651144152131E-4</v>
      </c>
      <c r="BV51" s="60">
        <f t="shared" si="53"/>
        <v>6.5773651144152131E-4</v>
      </c>
      <c r="BW51" s="60">
        <f t="shared" si="53"/>
        <v>6.5773651144152131E-4</v>
      </c>
      <c r="BX51" s="60">
        <f t="shared" si="53"/>
        <v>6.5773651144152131E-4</v>
      </c>
      <c r="BY51" s="60">
        <f t="shared" si="53"/>
        <v>6.5773651144152131E-4</v>
      </c>
      <c r="BZ51" s="60">
        <f t="shared" si="53"/>
        <v>6.5773651144152131E-4</v>
      </c>
      <c r="CA51" s="60">
        <f t="shared" si="53"/>
        <v>6.5773651144152131E-4</v>
      </c>
      <c r="CB51" s="60">
        <f t="shared" si="53"/>
        <v>6.5773651144152131E-4</v>
      </c>
      <c r="CC51" s="94">
        <f t="shared" si="49"/>
        <v>152036.56519057468</v>
      </c>
      <c r="CD51" s="94">
        <f>IF(BD51=".",".",up_RadSpec!$F$21*(CD21*$B51))</f>
        <v>38009.14129764367</v>
      </c>
      <c r="CE51" s="94">
        <f>IF(BE51=".",".",up_RadSpec!$F$21*(CE21*$B51))</f>
        <v>38009.14129764367</v>
      </c>
      <c r="CF51" s="94">
        <f>IF(BF51=".",".",up_RadSpec!$F$21*(CF21*$B51))</f>
        <v>38009.14129764367</v>
      </c>
      <c r="CG51" s="94">
        <f>IF(BG51=".",".",up_RadSpec!$F$21*(CG21*$B51))</f>
        <v>38009.14129764367</v>
      </c>
      <c r="CH51" s="94">
        <f>IF(BH51=".",".",up_RadSpec!$F$21*(CH21*$B51))</f>
        <v>38009.14129764367</v>
      </c>
      <c r="CI51" s="94">
        <f>IF(BI51=".",".",up_RadSpec!$F$21*(CI21*$B51))</f>
        <v>38009.14129764367</v>
      </c>
      <c r="CJ51" s="94">
        <f>IF(BJ51=".",".",up_RadSpec!$F$21*(CJ21*$B51))</f>
        <v>38009.14129764367</v>
      </c>
      <c r="CK51" s="94">
        <f>IF(BK51=".",".",up_RadSpec!$F$21*(CK21*$B51))</f>
        <v>38009.14129764367</v>
      </c>
      <c r="CL51" s="94">
        <f>IF(BL51=".",".",up_RadSpec!$F$21*(CL21*$B51))</f>
        <v>38009.14129764367</v>
      </c>
      <c r="CM51" s="94">
        <f>IF(BM51=".",".",up_RadSpec!$F$21*(CM21*$B51))</f>
        <v>38009.14129764367</v>
      </c>
      <c r="CN51" s="94">
        <f>IF(BN51=".",".",up_RadSpec!$F$21*(CN21*$B51))</f>
        <v>38009.14129764367</v>
      </c>
      <c r="CO51" s="94">
        <f>IF(BO51=".",".",up_RadSpec!$F$21*(CO21*$B51))</f>
        <v>38009.14129764367</v>
      </c>
      <c r="CP51" s="94">
        <f>IF(BP51=".",".",up_RadSpec!$F$21*(CP21*$B51))</f>
        <v>38009.14129764367</v>
      </c>
      <c r="CQ51" s="94">
        <f>IF(BQ51=".",".",up_RadSpec!$F$21*(CQ21*$B51))</f>
        <v>38009.14129764367</v>
      </c>
      <c r="CR51" s="94">
        <f>IF(BR51=".",".",up_RadSpec!$F$21*(CR21*$B51))</f>
        <v>38009.14129764367</v>
      </c>
      <c r="CS51" s="94">
        <f>IF(BS51=".",".",up_RadSpec!$F$21*(CS21*$B51))</f>
        <v>38009.14129764367</v>
      </c>
      <c r="CT51" s="94">
        <f>IF(BT51=".",".",up_RadSpec!$F$21*(CT21*$B51))</f>
        <v>38009.14129764367</v>
      </c>
      <c r="CU51" s="94">
        <f>IF(BU51=".",".",up_RadSpec!$F$21*(CU21*$B51))</f>
        <v>38009.14129764367</v>
      </c>
      <c r="CV51" s="94">
        <f>IF(BV51=".",".",up_RadSpec!$F$21*(CV21*$B51))</f>
        <v>38009.14129764367</v>
      </c>
      <c r="CW51" s="94">
        <f>IF(BW51=".",".",up_RadSpec!$F$21*(CW21*$B51))</f>
        <v>38009.14129764367</v>
      </c>
      <c r="CX51" s="94">
        <f>IF(BX51=".",".",up_RadSpec!$F$21*(CX21*$B51))</f>
        <v>38009.14129764367</v>
      </c>
      <c r="CY51" s="94">
        <f>IF(BY51=".",".",up_RadSpec!$F$21*(CY21*$B51))</f>
        <v>38009.14129764367</v>
      </c>
      <c r="CZ51" s="94">
        <f>IF(BZ51=".",".",up_RadSpec!$F$21*(CZ21*$B51))</f>
        <v>38009.14129764367</v>
      </c>
      <c r="DA51" s="94">
        <f>IF(CA51=".",".",up_RadSpec!$F$21*(DA21*$B51))</f>
        <v>38009.14129764367</v>
      </c>
      <c r="DB51" s="94">
        <f>IF(CB51=".",".",up_RadSpec!$F$21*(DB21*$B51))</f>
        <v>38009.14129764367</v>
      </c>
    </row>
    <row r="52" spans="1:106" s="42" customFormat="1" x14ac:dyDescent="0.25">
      <c r="A52" s="77" t="s">
        <v>1060</v>
      </c>
      <c r="B52" s="79">
        <v>0.99980000000000002</v>
      </c>
      <c r="C52" s="60">
        <f t="shared" ref="C52:AB52" si="54">IFERROR(C17/$B52,".")</f>
        <v>1.6446702126463324E-4</v>
      </c>
      <c r="D52" s="60">
        <f t="shared" si="54"/>
        <v>6.5786808505853295E-4</v>
      </c>
      <c r="E52" s="60">
        <f t="shared" si="54"/>
        <v>6.5786808505853295E-4</v>
      </c>
      <c r="F52" s="60">
        <f t="shared" si="54"/>
        <v>6.5786808505853295E-4</v>
      </c>
      <c r="G52" s="60">
        <f t="shared" si="54"/>
        <v>6.5786808505853295E-4</v>
      </c>
      <c r="H52" s="60">
        <f t="shared" si="54"/>
        <v>6.5786808505853295E-4</v>
      </c>
      <c r="I52" s="60">
        <f t="shared" si="54"/>
        <v>6.5786808505853295E-4</v>
      </c>
      <c r="J52" s="60">
        <f t="shared" si="54"/>
        <v>6.5786808505853295E-4</v>
      </c>
      <c r="K52" s="60">
        <f t="shared" si="54"/>
        <v>6.5786808505853295E-4</v>
      </c>
      <c r="L52" s="60">
        <f t="shared" si="54"/>
        <v>6.5786808505853295E-4</v>
      </c>
      <c r="M52" s="60">
        <f t="shared" si="54"/>
        <v>6.5786808505853295E-4</v>
      </c>
      <c r="N52" s="60">
        <f t="shared" si="54"/>
        <v>6.5786808505853295E-4</v>
      </c>
      <c r="O52" s="60">
        <f t="shared" si="54"/>
        <v>6.5786808505853295E-4</v>
      </c>
      <c r="P52" s="60">
        <f t="shared" si="54"/>
        <v>6.5786808505853295E-4</v>
      </c>
      <c r="Q52" s="60">
        <f t="shared" si="54"/>
        <v>6.5786808505853295E-4</v>
      </c>
      <c r="R52" s="60">
        <f t="shared" si="54"/>
        <v>6.5786808505853295E-4</v>
      </c>
      <c r="S52" s="60">
        <f t="shared" si="54"/>
        <v>6.5786808505853295E-4</v>
      </c>
      <c r="T52" s="60">
        <f t="shared" si="54"/>
        <v>6.5786808505853295E-4</v>
      </c>
      <c r="U52" s="60">
        <f t="shared" si="54"/>
        <v>6.5786808505853295E-4</v>
      </c>
      <c r="V52" s="60">
        <f t="shared" si="54"/>
        <v>6.5786808505853295E-4</v>
      </c>
      <c r="W52" s="60">
        <f t="shared" si="54"/>
        <v>6.5786808505853295E-4</v>
      </c>
      <c r="X52" s="60">
        <f t="shared" si="54"/>
        <v>6.5786808505853295E-4</v>
      </c>
      <c r="Y52" s="60">
        <f t="shared" si="54"/>
        <v>6.5786808505853295E-4</v>
      </c>
      <c r="Z52" s="60">
        <f t="shared" si="54"/>
        <v>6.5786808505853295E-4</v>
      </c>
      <c r="AA52" s="60">
        <f t="shared" si="54"/>
        <v>6.5786808505853295E-4</v>
      </c>
      <c r="AB52" s="60">
        <f t="shared" si="54"/>
        <v>6.5786808505853295E-4</v>
      </c>
      <c r="AC52" s="94">
        <f t="shared" si="47"/>
        <v>152006.15787753658</v>
      </c>
      <c r="AD52" s="94">
        <f>IF(D52=".",".",up_RadSpec!$F$17*(AD17*$B52))</f>
        <v>38001.539469384144</v>
      </c>
      <c r="AE52" s="94">
        <f>IF(E52=".",".",up_RadSpec!$F$17*(AE17*$B52))</f>
        <v>38001.539469384144</v>
      </c>
      <c r="AF52" s="94">
        <f>IF(F52=".",".",up_RadSpec!$F$17*(AF17*$B52))</f>
        <v>38001.539469384144</v>
      </c>
      <c r="AG52" s="94">
        <f>IF(G52=".",".",up_RadSpec!$F$17*(AG17*$B52))</f>
        <v>38001.539469384144</v>
      </c>
      <c r="AH52" s="94">
        <f>IF(H52=".",".",up_RadSpec!$F$17*(AH17*$B52))</f>
        <v>38001.539469384144</v>
      </c>
      <c r="AI52" s="94">
        <f>IF(I52=".",".",up_RadSpec!$F$17*(AI17*$B52))</f>
        <v>38001.539469384144</v>
      </c>
      <c r="AJ52" s="94">
        <f>IF(J52=".",".",up_RadSpec!$F$17*(AJ17*$B52))</f>
        <v>38001.539469384144</v>
      </c>
      <c r="AK52" s="94">
        <f>IF(K52=".",".",up_RadSpec!$F$17*(AK17*$B52))</f>
        <v>38001.539469384144</v>
      </c>
      <c r="AL52" s="94">
        <f>IF(L52=".",".",up_RadSpec!$F$17*(AL17*$B52))</f>
        <v>38001.539469384144</v>
      </c>
      <c r="AM52" s="94">
        <f>IF(M52=".",".",up_RadSpec!$F$17*(AM17*$B52))</f>
        <v>38001.539469384144</v>
      </c>
      <c r="AN52" s="94">
        <f>IF(N52=".",".",up_RadSpec!$F$17*(AN17*$B52))</f>
        <v>38001.539469384144</v>
      </c>
      <c r="AO52" s="94">
        <f>IF(O52=".",".",up_RadSpec!$F$17*(AO17*$B52))</f>
        <v>38001.539469384144</v>
      </c>
      <c r="AP52" s="94">
        <f>IF(P52=".",".",up_RadSpec!$F$17*(AP17*$B52))</f>
        <v>38001.539469384144</v>
      </c>
      <c r="AQ52" s="94">
        <f>IF(Q52=".",".",up_RadSpec!$F$17*(AQ17*$B52))</f>
        <v>38001.539469384144</v>
      </c>
      <c r="AR52" s="94">
        <f>IF(R52=".",".",up_RadSpec!$F$17*(AR17*$B52))</f>
        <v>38001.539469384144</v>
      </c>
      <c r="AS52" s="94">
        <f>IF(S52=".",".",up_RadSpec!$F$17*(AS17*$B52))</f>
        <v>38001.539469384144</v>
      </c>
      <c r="AT52" s="94">
        <f>IF(T52=".",".",up_RadSpec!$F$17*(AT17*$B52))</f>
        <v>38001.539469384144</v>
      </c>
      <c r="AU52" s="94">
        <f>IF(U52=".",".",up_RadSpec!$F$17*(AU17*$B52))</f>
        <v>38001.539469384144</v>
      </c>
      <c r="AV52" s="94">
        <f>IF(V52=".",".",up_RadSpec!$F$17*(AV17*$B52))</f>
        <v>38001.539469384144</v>
      </c>
      <c r="AW52" s="94">
        <f>IF(W52=".",".",up_RadSpec!$F$17*(AW17*$B52))</f>
        <v>38001.539469384144</v>
      </c>
      <c r="AX52" s="94">
        <f>IF(X52=".",".",up_RadSpec!$F$17*(AX17*$B52))</f>
        <v>38001.539469384144</v>
      </c>
      <c r="AY52" s="94">
        <f>IF(Y52=".",".",up_RadSpec!$F$17*(AY17*$B52))</f>
        <v>38001.539469384144</v>
      </c>
      <c r="AZ52" s="94">
        <f>IF(Z52=".",".",up_RadSpec!$F$17*(AZ17*$B52))</f>
        <v>38001.539469384144</v>
      </c>
      <c r="BA52" s="94">
        <f>IF(AA52=".",".",up_RadSpec!$F$17*(BA17*$B52))</f>
        <v>38001.539469384144</v>
      </c>
      <c r="BB52" s="94">
        <f>IF(AB52=".",".",up_RadSpec!$F$17*(BB17*$B52))</f>
        <v>38001.539469384144</v>
      </c>
      <c r="BC52" s="60">
        <f t="shared" ref="BC52:CB52" si="55">IFERROR(BC17/$B52,".")</f>
        <v>1.6446702126463324E-4</v>
      </c>
      <c r="BD52" s="60">
        <f t="shared" si="55"/>
        <v>6.5786808505853295E-4</v>
      </c>
      <c r="BE52" s="60">
        <f t="shared" si="55"/>
        <v>6.5786808505853295E-4</v>
      </c>
      <c r="BF52" s="60">
        <f t="shared" si="55"/>
        <v>6.5786808505853295E-4</v>
      </c>
      <c r="BG52" s="60">
        <f t="shared" si="55"/>
        <v>6.5786808505853295E-4</v>
      </c>
      <c r="BH52" s="60">
        <f t="shared" si="55"/>
        <v>6.5786808505853295E-4</v>
      </c>
      <c r="BI52" s="60">
        <f t="shared" si="55"/>
        <v>6.5786808505853295E-4</v>
      </c>
      <c r="BJ52" s="60">
        <f t="shared" si="55"/>
        <v>6.5786808505853295E-4</v>
      </c>
      <c r="BK52" s="60">
        <f t="shared" si="55"/>
        <v>6.5786808505853295E-4</v>
      </c>
      <c r="BL52" s="60">
        <f t="shared" si="55"/>
        <v>6.5786808505853295E-4</v>
      </c>
      <c r="BM52" s="60">
        <f t="shared" si="55"/>
        <v>6.5786808505853295E-4</v>
      </c>
      <c r="BN52" s="60">
        <f t="shared" si="55"/>
        <v>6.5786808505853295E-4</v>
      </c>
      <c r="BO52" s="60">
        <f t="shared" si="55"/>
        <v>6.5786808505853295E-4</v>
      </c>
      <c r="BP52" s="60">
        <f t="shared" si="55"/>
        <v>6.5786808505853295E-4</v>
      </c>
      <c r="BQ52" s="60">
        <f t="shared" si="55"/>
        <v>6.5786808505853295E-4</v>
      </c>
      <c r="BR52" s="60">
        <f t="shared" si="55"/>
        <v>6.5786808505853295E-4</v>
      </c>
      <c r="BS52" s="60">
        <f t="shared" si="55"/>
        <v>6.5786808505853295E-4</v>
      </c>
      <c r="BT52" s="60">
        <f t="shared" si="55"/>
        <v>6.5786808505853295E-4</v>
      </c>
      <c r="BU52" s="60">
        <f t="shared" si="55"/>
        <v>6.5786808505853295E-4</v>
      </c>
      <c r="BV52" s="60">
        <f t="shared" si="55"/>
        <v>6.5786808505853295E-4</v>
      </c>
      <c r="BW52" s="60">
        <f t="shared" si="55"/>
        <v>6.5786808505853295E-4</v>
      </c>
      <c r="BX52" s="60">
        <f t="shared" si="55"/>
        <v>6.5786808505853295E-4</v>
      </c>
      <c r="BY52" s="60">
        <f t="shared" si="55"/>
        <v>6.5786808505853295E-4</v>
      </c>
      <c r="BZ52" s="60">
        <f t="shared" si="55"/>
        <v>6.5786808505853295E-4</v>
      </c>
      <c r="CA52" s="60">
        <f t="shared" si="55"/>
        <v>6.5786808505853295E-4</v>
      </c>
      <c r="CB52" s="60">
        <f t="shared" si="55"/>
        <v>6.5786808505853295E-4</v>
      </c>
      <c r="CC52" s="94">
        <f t="shared" si="49"/>
        <v>152006.15787753658</v>
      </c>
      <c r="CD52" s="94">
        <f>IF(BD52=".",".",up_RadSpec!$F$17*(CD17*$B52))</f>
        <v>38001.539469384144</v>
      </c>
      <c r="CE52" s="94">
        <f>IF(BE52=".",".",up_RadSpec!$F$17*(CE17*$B52))</f>
        <v>38001.539469384144</v>
      </c>
      <c r="CF52" s="94">
        <f>IF(BF52=".",".",up_RadSpec!$F$17*(CF17*$B52))</f>
        <v>38001.539469384144</v>
      </c>
      <c r="CG52" s="94">
        <f>IF(BG52=".",".",up_RadSpec!$F$17*(CG17*$B52))</f>
        <v>38001.539469384144</v>
      </c>
      <c r="CH52" s="94">
        <f>IF(BH52=".",".",up_RadSpec!$F$17*(CH17*$B52))</f>
        <v>38001.539469384144</v>
      </c>
      <c r="CI52" s="94">
        <f>IF(BI52=".",".",up_RadSpec!$F$17*(CI17*$B52))</f>
        <v>38001.539469384144</v>
      </c>
      <c r="CJ52" s="94">
        <f>IF(BJ52=".",".",up_RadSpec!$F$17*(CJ17*$B52))</f>
        <v>38001.539469384144</v>
      </c>
      <c r="CK52" s="94">
        <f>IF(BK52=".",".",up_RadSpec!$F$17*(CK17*$B52))</f>
        <v>38001.539469384144</v>
      </c>
      <c r="CL52" s="94">
        <f>IF(BL52=".",".",up_RadSpec!$F$17*(CL17*$B52))</f>
        <v>38001.539469384144</v>
      </c>
      <c r="CM52" s="94">
        <f>IF(BM52=".",".",up_RadSpec!$F$17*(CM17*$B52))</f>
        <v>38001.539469384144</v>
      </c>
      <c r="CN52" s="94">
        <f>IF(BN52=".",".",up_RadSpec!$F$17*(CN17*$B52))</f>
        <v>38001.539469384144</v>
      </c>
      <c r="CO52" s="94">
        <f>IF(BO52=".",".",up_RadSpec!$F$17*(CO17*$B52))</f>
        <v>38001.539469384144</v>
      </c>
      <c r="CP52" s="94">
        <f>IF(BP52=".",".",up_RadSpec!$F$17*(CP17*$B52))</f>
        <v>38001.539469384144</v>
      </c>
      <c r="CQ52" s="94">
        <f>IF(BQ52=".",".",up_RadSpec!$F$17*(CQ17*$B52))</f>
        <v>38001.539469384144</v>
      </c>
      <c r="CR52" s="94">
        <f>IF(BR52=".",".",up_RadSpec!$F$17*(CR17*$B52))</f>
        <v>38001.539469384144</v>
      </c>
      <c r="CS52" s="94">
        <f>IF(BS52=".",".",up_RadSpec!$F$17*(CS17*$B52))</f>
        <v>38001.539469384144</v>
      </c>
      <c r="CT52" s="94">
        <f>IF(BT52=".",".",up_RadSpec!$F$17*(CT17*$B52))</f>
        <v>38001.539469384144</v>
      </c>
      <c r="CU52" s="94">
        <f>IF(BU52=".",".",up_RadSpec!$F$17*(CU17*$B52))</f>
        <v>38001.539469384144</v>
      </c>
      <c r="CV52" s="94">
        <f>IF(BV52=".",".",up_RadSpec!$F$17*(CV17*$B52))</f>
        <v>38001.539469384144</v>
      </c>
      <c r="CW52" s="94">
        <f>IF(BW52=".",".",up_RadSpec!$F$17*(CW17*$B52))</f>
        <v>38001.539469384144</v>
      </c>
      <c r="CX52" s="94">
        <f>IF(BX52=".",".",up_RadSpec!$F$17*(CX17*$B52))</f>
        <v>38001.539469384144</v>
      </c>
      <c r="CY52" s="94">
        <f>IF(BY52=".",".",up_RadSpec!$F$17*(CY17*$B52))</f>
        <v>38001.539469384144</v>
      </c>
      <c r="CZ52" s="94">
        <f>IF(BZ52=".",".",up_RadSpec!$F$17*(CZ17*$B52))</f>
        <v>38001.539469384144</v>
      </c>
      <c r="DA52" s="94">
        <f>IF(CA52=".",".",up_RadSpec!$F$17*(DA17*$B52))</f>
        <v>38001.539469384144</v>
      </c>
      <c r="DB52" s="94">
        <f>IF(CB52=".",".",up_RadSpec!$F$17*(DB17*$B52))</f>
        <v>38001.539469384144</v>
      </c>
    </row>
    <row r="53" spans="1:106" s="42" customFormat="1" x14ac:dyDescent="0.25">
      <c r="A53" s="77" t="s">
        <v>1074</v>
      </c>
      <c r="B53" s="42">
        <v>2.0000000000000001E-4</v>
      </c>
      <c r="C53" s="60">
        <f t="shared" ref="C53:AB53" si="56">IFERROR(C5/$B53,".")</f>
        <v>0.8221706393019016</v>
      </c>
      <c r="D53" s="60">
        <f t="shared" si="56"/>
        <v>3.2886825572076064</v>
      </c>
      <c r="E53" s="60">
        <f t="shared" si="56"/>
        <v>3.2886825572076064</v>
      </c>
      <c r="F53" s="60">
        <f t="shared" si="56"/>
        <v>3.2886825572076064</v>
      </c>
      <c r="G53" s="60">
        <f t="shared" si="56"/>
        <v>3.2886825572076064</v>
      </c>
      <c r="H53" s="60">
        <f t="shared" si="56"/>
        <v>3.2886825572076064</v>
      </c>
      <c r="I53" s="60">
        <f t="shared" si="56"/>
        <v>3.2886825572076064</v>
      </c>
      <c r="J53" s="60">
        <f t="shared" si="56"/>
        <v>3.2886825572076064</v>
      </c>
      <c r="K53" s="60">
        <f t="shared" si="56"/>
        <v>3.2886825572076064</v>
      </c>
      <c r="L53" s="60">
        <f t="shared" si="56"/>
        <v>3.2886825572076064</v>
      </c>
      <c r="M53" s="60">
        <f t="shared" si="56"/>
        <v>3.2886825572076064</v>
      </c>
      <c r="N53" s="60">
        <f t="shared" si="56"/>
        <v>3.2886825572076064</v>
      </c>
      <c r="O53" s="60">
        <f t="shared" si="56"/>
        <v>3.2886825572076064</v>
      </c>
      <c r="P53" s="60">
        <f t="shared" si="56"/>
        <v>3.2886825572076064</v>
      </c>
      <c r="Q53" s="60">
        <f t="shared" si="56"/>
        <v>3.2886825572076064</v>
      </c>
      <c r="R53" s="60">
        <f t="shared" si="56"/>
        <v>3.2886825572076064</v>
      </c>
      <c r="S53" s="60">
        <f t="shared" si="56"/>
        <v>3.2886825572076064</v>
      </c>
      <c r="T53" s="60">
        <f t="shared" si="56"/>
        <v>3.2886825572076064</v>
      </c>
      <c r="U53" s="60">
        <f t="shared" si="56"/>
        <v>3.2886825572076064</v>
      </c>
      <c r="V53" s="60">
        <f t="shared" si="56"/>
        <v>3.2886825572076064</v>
      </c>
      <c r="W53" s="60">
        <f t="shared" si="56"/>
        <v>3.2886825572076064</v>
      </c>
      <c r="X53" s="60">
        <f t="shared" si="56"/>
        <v>3.2886825572076064</v>
      </c>
      <c r="Y53" s="60">
        <f t="shared" si="56"/>
        <v>3.2886825572076064</v>
      </c>
      <c r="Z53" s="60">
        <f t="shared" si="56"/>
        <v>3.2886825572076064</v>
      </c>
      <c r="AA53" s="60">
        <f t="shared" si="56"/>
        <v>3.2886825572076064</v>
      </c>
      <c r="AB53" s="60">
        <f t="shared" si="56"/>
        <v>3.2886825572076064</v>
      </c>
      <c r="AC53" s="94">
        <f t="shared" si="47"/>
        <v>30.407313038114939</v>
      </c>
      <c r="AD53" s="94">
        <f>IF(D53=".",".",up_RadSpec!$F$5*(AD5*$B53))</f>
        <v>7.6018282595287348</v>
      </c>
      <c r="AE53" s="94">
        <f>IF(E53=".",".",up_RadSpec!$F$5*(AE5*$B53))</f>
        <v>7.6018282595287348</v>
      </c>
      <c r="AF53" s="94">
        <f>IF(F53=".",".",up_RadSpec!$F$5*(AF5*$B53))</f>
        <v>7.6018282595287348</v>
      </c>
      <c r="AG53" s="94">
        <f>IF(G53=".",".",up_RadSpec!$F$5*(AG5*$B53))</f>
        <v>7.6018282595287348</v>
      </c>
      <c r="AH53" s="94">
        <f>IF(H53=".",".",up_RadSpec!$F$5*(AH5*$B53))</f>
        <v>7.6018282595287348</v>
      </c>
      <c r="AI53" s="94">
        <f>IF(I53=".",".",up_RadSpec!$F$5*(AI5*$B53))</f>
        <v>7.6018282595287348</v>
      </c>
      <c r="AJ53" s="94">
        <f>IF(J53=".",".",up_RadSpec!$F$5*(AJ5*$B53))</f>
        <v>7.6018282595287348</v>
      </c>
      <c r="AK53" s="94">
        <f>IF(K53=".",".",up_RadSpec!$F$5*(AK5*$B53))</f>
        <v>7.6018282595287348</v>
      </c>
      <c r="AL53" s="94">
        <f>IF(L53=".",".",up_RadSpec!$F$5*(AL5*$B53))</f>
        <v>7.6018282595287348</v>
      </c>
      <c r="AM53" s="94">
        <f>IF(M53=".",".",up_RadSpec!$F$5*(AM5*$B53))</f>
        <v>7.6018282595287348</v>
      </c>
      <c r="AN53" s="94">
        <f>IF(N53=".",".",up_RadSpec!$F$5*(AN5*$B53))</f>
        <v>7.6018282595287348</v>
      </c>
      <c r="AO53" s="94">
        <f>IF(O53=".",".",up_RadSpec!$F$5*(AO5*$B53))</f>
        <v>7.6018282595287348</v>
      </c>
      <c r="AP53" s="94">
        <f>IF(P53=".",".",up_RadSpec!$F$5*(AP5*$B53))</f>
        <v>7.6018282595287348</v>
      </c>
      <c r="AQ53" s="94">
        <f>IF(Q53=".",".",up_RadSpec!$F$5*(AQ5*$B53))</f>
        <v>7.6018282595287348</v>
      </c>
      <c r="AR53" s="94">
        <f>IF(R53=".",".",up_RadSpec!$F$5*(AR5*$B53))</f>
        <v>7.6018282595287348</v>
      </c>
      <c r="AS53" s="94">
        <f>IF(S53=".",".",up_RadSpec!$F$5*(AS5*$B53))</f>
        <v>7.6018282595287348</v>
      </c>
      <c r="AT53" s="94">
        <f>IF(T53=".",".",up_RadSpec!$F$5*(AT5*$B53))</f>
        <v>7.6018282595287348</v>
      </c>
      <c r="AU53" s="94">
        <f>IF(U53=".",".",up_RadSpec!$F$5*(AU5*$B53))</f>
        <v>7.6018282595287348</v>
      </c>
      <c r="AV53" s="94">
        <f>IF(V53=".",".",up_RadSpec!$F$5*(AV5*$B53))</f>
        <v>7.6018282595287348</v>
      </c>
      <c r="AW53" s="94">
        <f>IF(W53=".",".",up_RadSpec!$F$5*(AW5*$B53))</f>
        <v>7.6018282595287348</v>
      </c>
      <c r="AX53" s="94">
        <f>IF(X53=".",".",up_RadSpec!$F$5*(AX5*$B53))</f>
        <v>7.6018282595287348</v>
      </c>
      <c r="AY53" s="94">
        <f>IF(Y53=".",".",up_RadSpec!$F$5*(AY5*$B53))</f>
        <v>7.6018282595287348</v>
      </c>
      <c r="AZ53" s="94">
        <f>IF(Z53=".",".",up_RadSpec!$F$5*(AZ5*$B53))</f>
        <v>7.6018282595287348</v>
      </c>
      <c r="BA53" s="94">
        <f>IF(AA53=".",".",up_RadSpec!$F$5*(BA5*$B53))</f>
        <v>7.6018282595287348</v>
      </c>
      <c r="BB53" s="94">
        <f>IF(AB53=".",".",up_RadSpec!$F$5*(BB5*$B53))</f>
        <v>7.6018282595287348</v>
      </c>
      <c r="BC53" s="60">
        <f t="shared" ref="BC53:CB53" si="57">IFERROR(BC5/$B53,".")</f>
        <v>0.8221706393019016</v>
      </c>
      <c r="BD53" s="60">
        <f t="shared" si="57"/>
        <v>3.2886825572076064</v>
      </c>
      <c r="BE53" s="60">
        <f t="shared" si="57"/>
        <v>3.2886825572076064</v>
      </c>
      <c r="BF53" s="60">
        <f t="shared" si="57"/>
        <v>3.2886825572076064</v>
      </c>
      <c r="BG53" s="60">
        <f t="shared" si="57"/>
        <v>3.2886825572076064</v>
      </c>
      <c r="BH53" s="60">
        <f t="shared" si="57"/>
        <v>3.2886825572076064</v>
      </c>
      <c r="BI53" s="60">
        <f t="shared" si="57"/>
        <v>3.2886825572076064</v>
      </c>
      <c r="BJ53" s="60">
        <f t="shared" si="57"/>
        <v>3.2886825572076064</v>
      </c>
      <c r="BK53" s="60">
        <f t="shared" si="57"/>
        <v>3.2886825572076064</v>
      </c>
      <c r="BL53" s="60">
        <f t="shared" si="57"/>
        <v>3.2886825572076064</v>
      </c>
      <c r="BM53" s="60">
        <f t="shared" si="57"/>
        <v>3.2886825572076064</v>
      </c>
      <c r="BN53" s="60">
        <f t="shared" si="57"/>
        <v>3.2886825572076064</v>
      </c>
      <c r="BO53" s="60">
        <f t="shared" si="57"/>
        <v>3.2886825572076064</v>
      </c>
      <c r="BP53" s="60">
        <f t="shared" si="57"/>
        <v>3.2886825572076064</v>
      </c>
      <c r="BQ53" s="60">
        <f t="shared" si="57"/>
        <v>3.2886825572076064</v>
      </c>
      <c r="BR53" s="60">
        <f t="shared" si="57"/>
        <v>3.2886825572076064</v>
      </c>
      <c r="BS53" s="60">
        <f t="shared" si="57"/>
        <v>3.2886825572076064</v>
      </c>
      <c r="BT53" s="60">
        <f t="shared" si="57"/>
        <v>3.2886825572076064</v>
      </c>
      <c r="BU53" s="60">
        <f t="shared" si="57"/>
        <v>3.2886825572076064</v>
      </c>
      <c r="BV53" s="60">
        <f t="shared" si="57"/>
        <v>3.2886825572076064</v>
      </c>
      <c r="BW53" s="60">
        <f t="shared" si="57"/>
        <v>3.2886825572076064</v>
      </c>
      <c r="BX53" s="60">
        <f t="shared" si="57"/>
        <v>3.2886825572076064</v>
      </c>
      <c r="BY53" s="60">
        <f t="shared" si="57"/>
        <v>3.2886825572076064</v>
      </c>
      <c r="BZ53" s="60">
        <f t="shared" si="57"/>
        <v>3.2886825572076064</v>
      </c>
      <c r="CA53" s="60">
        <f t="shared" si="57"/>
        <v>3.2886825572076064</v>
      </c>
      <c r="CB53" s="60">
        <f t="shared" si="57"/>
        <v>3.2886825572076064</v>
      </c>
      <c r="CC53" s="94">
        <f t="shared" si="49"/>
        <v>30.407313038114939</v>
      </c>
      <c r="CD53" s="94">
        <f>IF(BD53=".",".",up_RadSpec!$F$5*(CD5*$B53))</f>
        <v>7.6018282595287348</v>
      </c>
      <c r="CE53" s="94">
        <f>IF(BE53=".",".",up_RadSpec!$F$5*(CE5*$B53))</f>
        <v>7.6018282595287348</v>
      </c>
      <c r="CF53" s="94">
        <f>IF(BF53=".",".",up_RadSpec!$F$5*(CF5*$B53))</f>
        <v>7.6018282595287348</v>
      </c>
      <c r="CG53" s="94">
        <f>IF(BG53=".",".",up_RadSpec!$F$5*(CG5*$B53))</f>
        <v>7.6018282595287348</v>
      </c>
      <c r="CH53" s="94">
        <f>IF(BH53=".",".",up_RadSpec!$F$5*(CH5*$B53))</f>
        <v>7.6018282595287348</v>
      </c>
      <c r="CI53" s="94">
        <f>IF(BI53=".",".",up_RadSpec!$F$5*(CI5*$B53))</f>
        <v>7.6018282595287348</v>
      </c>
      <c r="CJ53" s="94">
        <f>IF(BJ53=".",".",up_RadSpec!$F$5*(CJ5*$B53))</f>
        <v>7.6018282595287348</v>
      </c>
      <c r="CK53" s="94">
        <f>IF(BK53=".",".",up_RadSpec!$F$5*(CK5*$B53))</f>
        <v>7.6018282595287348</v>
      </c>
      <c r="CL53" s="94">
        <f>IF(BL53=".",".",up_RadSpec!$F$5*(CL5*$B53))</f>
        <v>7.6018282595287348</v>
      </c>
      <c r="CM53" s="94">
        <f>IF(BM53=".",".",up_RadSpec!$F$5*(CM5*$B53))</f>
        <v>7.6018282595287348</v>
      </c>
      <c r="CN53" s="94">
        <f>IF(BN53=".",".",up_RadSpec!$F$5*(CN5*$B53))</f>
        <v>7.6018282595287348</v>
      </c>
      <c r="CO53" s="94">
        <f>IF(BO53=".",".",up_RadSpec!$F$5*(CO5*$B53))</f>
        <v>7.6018282595287348</v>
      </c>
      <c r="CP53" s="94">
        <f>IF(BP53=".",".",up_RadSpec!$F$5*(CP5*$B53))</f>
        <v>7.6018282595287348</v>
      </c>
      <c r="CQ53" s="94">
        <f>IF(BQ53=".",".",up_RadSpec!$F$5*(CQ5*$B53))</f>
        <v>7.6018282595287348</v>
      </c>
      <c r="CR53" s="94">
        <f>IF(BR53=".",".",up_RadSpec!$F$5*(CR5*$B53))</f>
        <v>7.6018282595287348</v>
      </c>
      <c r="CS53" s="94">
        <f>IF(BS53=".",".",up_RadSpec!$F$5*(CS5*$B53))</f>
        <v>7.6018282595287348</v>
      </c>
      <c r="CT53" s="94">
        <f>IF(BT53=".",".",up_RadSpec!$F$5*(CT5*$B53))</f>
        <v>7.6018282595287348</v>
      </c>
      <c r="CU53" s="94">
        <f>IF(BU53=".",".",up_RadSpec!$F$5*(CU5*$B53))</f>
        <v>7.6018282595287348</v>
      </c>
      <c r="CV53" s="94">
        <f>IF(BV53=".",".",up_RadSpec!$F$5*(CV5*$B53))</f>
        <v>7.6018282595287348</v>
      </c>
      <c r="CW53" s="94">
        <f>IF(BW53=".",".",up_RadSpec!$F$5*(CW5*$B53))</f>
        <v>7.6018282595287348</v>
      </c>
      <c r="CX53" s="94">
        <f>IF(BX53=".",".",up_RadSpec!$F$5*(CX5*$B53))</f>
        <v>7.6018282595287348</v>
      </c>
      <c r="CY53" s="94">
        <f>IF(BY53=".",".",up_RadSpec!$F$5*(CY5*$B53))</f>
        <v>7.6018282595287348</v>
      </c>
      <c r="CZ53" s="94">
        <f>IF(BZ53=".",".",up_RadSpec!$F$5*(CZ5*$B53))</f>
        <v>7.6018282595287348</v>
      </c>
      <c r="DA53" s="94">
        <f>IF(CA53=".",".",up_RadSpec!$F$5*(DA5*$B53))</f>
        <v>7.6018282595287348</v>
      </c>
      <c r="DB53" s="94">
        <f>IF(CB53=".",".",up_RadSpec!$F$5*(DB5*$B53))</f>
        <v>7.6018282595287348</v>
      </c>
    </row>
    <row r="54" spans="1:106" s="42" customFormat="1" x14ac:dyDescent="0.25">
      <c r="A54" s="77" t="s">
        <v>1075</v>
      </c>
      <c r="B54" s="42">
        <v>0.99999979999999999</v>
      </c>
      <c r="C54" s="60">
        <f t="shared" ref="C54:AB54" si="58">IFERROR(C9/$B54,".")</f>
        <v>1.6443416074721248E-4</v>
      </c>
      <c r="D54" s="60">
        <f t="shared" si="58"/>
        <v>6.577366429888499E-4</v>
      </c>
      <c r="E54" s="60">
        <f t="shared" si="58"/>
        <v>6.577366429888499E-4</v>
      </c>
      <c r="F54" s="60">
        <f t="shared" si="58"/>
        <v>6.577366429888499E-4</v>
      </c>
      <c r="G54" s="60">
        <f t="shared" si="58"/>
        <v>6.577366429888499E-4</v>
      </c>
      <c r="H54" s="60">
        <f t="shared" si="58"/>
        <v>6.577366429888499E-4</v>
      </c>
      <c r="I54" s="60">
        <f t="shared" si="58"/>
        <v>6.577366429888499E-4</v>
      </c>
      <c r="J54" s="60">
        <f t="shared" si="58"/>
        <v>6.577366429888499E-4</v>
      </c>
      <c r="K54" s="60">
        <f t="shared" si="58"/>
        <v>6.577366429888499E-4</v>
      </c>
      <c r="L54" s="60">
        <f t="shared" si="58"/>
        <v>6.577366429888499E-4</v>
      </c>
      <c r="M54" s="60">
        <f t="shared" si="58"/>
        <v>6.577366429888499E-4</v>
      </c>
      <c r="N54" s="60">
        <f t="shared" si="58"/>
        <v>6.577366429888499E-4</v>
      </c>
      <c r="O54" s="60">
        <f t="shared" si="58"/>
        <v>6.577366429888499E-4</v>
      </c>
      <c r="P54" s="60">
        <f t="shared" si="58"/>
        <v>6.577366429888499E-4</v>
      </c>
      <c r="Q54" s="60">
        <f t="shared" si="58"/>
        <v>6.577366429888499E-4</v>
      </c>
      <c r="R54" s="60">
        <f t="shared" si="58"/>
        <v>6.577366429888499E-4</v>
      </c>
      <c r="S54" s="60">
        <f t="shared" si="58"/>
        <v>6.577366429888499E-4</v>
      </c>
      <c r="T54" s="60">
        <f t="shared" si="58"/>
        <v>6.577366429888499E-4</v>
      </c>
      <c r="U54" s="60">
        <f t="shared" si="58"/>
        <v>6.577366429888499E-4</v>
      </c>
      <c r="V54" s="60">
        <f t="shared" si="58"/>
        <v>6.577366429888499E-4</v>
      </c>
      <c r="W54" s="60">
        <f t="shared" si="58"/>
        <v>6.577366429888499E-4</v>
      </c>
      <c r="X54" s="60">
        <f t="shared" si="58"/>
        <v>6.577366429888499E-4</v>
      </c>
      <c r="Y54" s="60">
        <f t="shared" si="58"/>
        <v>6.577366429888499E-4</v>
      </c>
      <c r="Z54" s="60">
        <f t="shared" si="58"/>
        <v>6.577366429888499E-4</v>
      </c>
      <c r="AA54" s="60">
        <f t="shared" si="58"/>
        <v>6.577366429888499E-4</v>
      </c>
      <c r="AB54" s="60">
        <f t="shared" si="58"/>
        <v>6.577366429888499E-4</v>
      </c>
      <c r="AC54" s="94">
        <f t="shared" si="47"/>
        <v>152036.53478326162</v>
      </c>
      <c r="AD54" s="94">
        <f>IF(D54=".",".",up_RadSpec!$F$9*(AD9*$B54))</f>
        <v>38009.133695815406</v>
      </c>
      <c r="AE54" s="94">
        <f>IF(E54=".",".",up_RadSpec!$F$9*(AE9*$B54))</f>
        <v>38009.133695815406</v>
      </c>
      <c r="AF54" s="94">
        <f>IF(F54=".",".",up_RadSpec!$F$9*(AF9*$B54))</f>
        <v>38009.133695815406</v>
      </c>
      <c r="AG54" s="94">
        <f>IF(G54=".",".",up_RadSpec!$F$9*(AG9*$B54))</f>
        <v>38009.133695815406</v>
      </c>
      <c r="AH54" s="94">
        <f>IF(H54=".",".",up_RadSpec!$F$9*(AH9*$B54))</f>
        <v>38009.133695815406</v>
      </c>
      <c r="AI54" s="94">
        <f>IF(I54=".",".",up_RadSpec!$F$9*(AI9*$B54))</f>
        <v>38009.133695815406</v>
      </c>
      <c r="AJ54" s="94">
        <f>IF(J54=".",".",up_RadSpec!$F$9*(AJ9*$B54))</f>
        <v>38009.133695815406</v>
      </c>
      <c r="AK54" s="94">
        <f>IF(K54=".",".",up_RadSpec!$F$9*(AK9*$B54))</f>
        <v>38009.133695815406</v>
      </c>
      <c r="AL54" s="94">
        <f>IF(L54=".",".",up_RadSpec!$F$9*(AL9*$B54))</f>
        <v>38009.133695815406</v>
      </c>
      <c r="AM54" s="94">
        <f>IF(M54=".",".",up_RadSpec!$F$9*(AM9*$B54))</f>
        <v>38009.133695815406</v>
      </c>
      <c r="AN54" s="94">
        <f>IF(N54=".",".",up_RadSpec!$F$9*(AN9*$B54))</f>
        <v>38009.133695815406</v>
      </c>
      <c r="AO54" s="94">
        <f>IF(O54=".",".",up_RadSpec!$F$9*(AO9*$B54))</f>
        <v>38009.133695815406</v>
      </c>
      <c r="AP54" s="94">
        <f>IF(P54=".",".",up_RadSpec!$F$9*(AP9*$B54))</f>
        <v>38009.133695815406</v>
      </c>
      <c r="AQ54" s="94">
        <f>IF(Q54=".",".",up_RadSpec!$F$9*(AQ9*$B54))</f>
        <v>38009.133695815406</v>
      </c>
      <c r="AR54" s="94">
        <f>IF(R54=".",".",up_RadSpec!$F$9*(AR9*$B54))</f>
        <v>38009.133695815406</v>
      </c>
      <c r="AS54" s="94">
        <f>IF(S54=".",".",up_RadSpec!$F$9*(AS9*$B54))</f>
        <v>38009.133695815406</v>
      </c>
      <c r="AT54" s="94">
        <f>IF(T54=".",".",up_RadSpec!$F$9*(AT9*$B54))</f>
        <v>38009.133695815406</v>
      </c>
      <c r="AU54" s="94">
        <f>IF(U54=".",".",up_RadSpec!$F$9*(AU9*$B54))</f>
        <v>38009.133695815406</v>
      </c>
      <c r="AV54" s="94">
        <f>IF(V54=".",".",up_RadSpec!$F$9*(AV9*$B54))</f>
        <v>38009.133695815406</v>
      </c>
      <c r="AW54" s="94">
        <f>IF(W54=".",".",up_RadSpec!$F$9*(AW9*$B54))</f>
        <v>38009.133695815406</v>
      </c>
      <c r="AX54" s="94">
        <f>IF(X54=".",".",up_RadSpec!$F$9*(AX9*$B54))</f>
        <v>38009.133695815406</v>
      </c>
      <c r="AY54" s="94">
        <f>IF(Y54=".",".",up_RadSpec!$F$9*(AY9*$B54))</f>
        <v>38009.133695815406</v>
      </c>
      <c r="AZ54" s="94">
        <f>IF(Z54=".",".",up_RadSpec!$F$9*(AZ9*$B54))</f>
        <v>38009.133695815406</v>
      </c>
      <c r="BA54" s="94">
        <f>IF(AA54=".",".",up_RadSpec!$F$9*(BA9*$B54))</f>
        <v>38009.133695815406</v>
      </c>
      <c r="BB54" s="94">
        <f>IF(AB54=".",".",up_RadSpec!$F$9*(BB9*$B54))</f>
        <v>38009.133695815406</v>
      </c>
      <c r="BC54" s="60">
        <f t="shared" ref="BC54:CB54" si="59">IFERROR(BC9/$B54,".")</f>
        <v>1.6443416074721248E-4</v>
      </c>
      <c r="BD54" s="60">
        <f t="shared" si="59"/>
        <v>6.577366429888499E-4</v>
      </c>
      <c r="BE54" s="60">
        <f t="shared" si="59"/>
        <v>6.577366429888499E-4</v>
      </c>
      <c r="BF54" s="60">
        <f t="shared" si="59"/>
        <v>6.577366429888499E-4</v>
      </c>
      <c r="BG54" s="60">
        <f t="shared" si="59"/>
        <v>6.577366429888499E-4</v>
      </c>
      <c r="BH54" s="60">
        <f t="shared" si="59"/>
        <v>6.577366429888499E-4</v>
      </c>
      <c r="BI54" s="60">
        <f t="shared" si="59"/>
        <v>6.577366429888499E-4</v>
      </c>
      <c r="BJ54" s="60">
        <f t="shared" si="59"/>
        <v>6.577366429888499E-4</v>
      </c>
      <c r="BK54" s="60">
        <f t="shared" si="59"/>
        <v>6.577366429888499E-4</v>
      </c>
      <c r="BL54" s="60">
        <f t="shared" si="59"/>
        <v>6.577366429888499E-4</v>
      </c>
      <c r="BM54" s="60">
        <f t="shared" si="59"/>
        <v>6.577366429888499E-4</v>
      </c>
      <c r="BN54" s="60">
        <f t="shared" si="59"/>
        <v>6.577366429888499E-4</v>
      </c>
      <c r="BO54" s="60">
        <f t="shared" si="59"/>
        <v>6.577366429888499E-4</v>
      </c>
      <c r="BP54" s="60">
        <f t="shared" si="59"/>
        <v>6.577366429888499E-4</v>
      </c>
      <c r="BQ54" s="60">
        <f t="shared" si="59"/>
        <v>6.577366429888499E-4</v>
      </c>
      <c r="BR54" s="60">
        <f t="shared" si="59"/>
        <v>6.577366429888499E-4</v>
      </c>
      <c r="BS54" s="60">
        <f t="shared" si="59"/>
        <v>6.577366429888499E-4</v>
      </c>
      <c r="BT54" s="60">
        <f t="shared" si="59"/>
        <v>6.577366429888499E-4</v>
      </c>
      <c r="BU54" s="60">
        <f t="shared" si="59"/>
        <v>6.577366429888499E-4</v>
      </c>
      <c r="BV54" s="60">
        <f t="shared" si="59"/>
        <v>6.577366429888499E-4</v>
      </c>
      <c r="BW54" s="60">
        <f t="shared" si="59"/>
        <v>6.577366429888499E-4</v>
      </c>
      <c r="BX54" s="60">
        <f t="shared" si="59"/>
        <v>6.577366429888499E-4</v>
      </c>
      <c r="BY54" s="60">
        <f t="shared" si="59"/>
        <v>6.577366429888499E-4</v>
      </c>
      <c r="BZ54" s="60">
        <f t="shared" si="59"/>
        <v>6.577366429888499E-4</v>
      </c>
      <c r="CA54" s="60">
        <f t="shared" si="59"/>
        <v>6.577366429888499E-4</v>
      </c>
      <c r="CB54" s="60">
        <f t="shared" si="59"/>
        <v>6.577366429888499E-4</v>
      </c>
      <c r="CC54" s="94">
        <f t="shared" si="49"/>
        <v>152036.53478326162</v>
      </c>
      <c r="CD54" s="94">
        <f>IF(BD54=".",".",up_RadSpec!$F$9*(CD9*$B54))</f>
        <v>38009.133695815406</v>
      </c>
      <c r="CE54" s="94">
        <f>IF(BE54=".",".",up_RadSpec!$F$9*(CE9*$B54))</f>
        <v>38009.133695815406</v>
      </c>
      <c r="CF54" s="94">
        <f>IF(BF54=".",".",up_RadSpec!$F$9*(CF9*$B54))</f>
        <v>38009.133695815406</v>
      </c>
      <c r="CG54" s="94">
        <f>IF(BG54=".",".",up_RadSpec!$F$9*(CG9*$B54))</f>
        <v>38009.133695815406</v>
      </c>
      <c r="CH54" s="94">
        <f>IF(BH54=".",".",up_RadSpec!$F$9*(CH9*$B54))</f>
        <v>38009.133695815406</v>
      </c>
      <c r="CI54" s="94">
        <f>IF(BI54=".",".",up_RadSpec!$F$9*(CI9*$B54))</f>
        <v>38009.133695815406</v>
      </c>
      <c r="CJ54" s="94">
        <f>IF(BJ54=".",".",up_RadSpec!$F$9*(CJ9*$B54))</f>
        <v>38009.133695815406</v>
      </c>
      <c r="CK54" s="94">
        <f>IF(BK54=".",".",up_RadSpec!$F$9*(CK9*$B54))</f>
        <v>38009.133695815406</v>
      </c>
      <c r="CL54" s="94">
        <f>IF(BL54=".",".",up_RadSpec!$F$9*(CL9*$B54))</f>
        <v>38009.133695815406</v>
      </c>
      <c r="CM54" s="94">
        <f>IF(BM54=".",".",up_RadSpec!$F$9*(CM9*$B54))</f>
        <v>38009.133695815406</v>
      </c>
      <c r="CN54" s="94">
        <f>IF(BN54=".",".",up_RadSpec!$F$9*(CN9*$B54))</f>
        <v>38009.133695815406</v>
      </c>
      <c r="CO54" s="94">
        <f>IF(BO54=".",".",up_RadSpec!$F$9*(CO9*$B54))</f>
        <v>38009.133695815406</v>
      </c>
      <c r="CP54" s="94">
        <f>IF(BP54=".",".",up_RadSpec!$F$9*(CP9*$B54))</f>
        <v>38009.133695815406</v>
      </c>
      <c r="CQ54" s="94">
        <f>IF(BQ54=".",".",up_RadSpec!$F$9*(CQ9*$B54))</f>
        <v>38009.133695815406</v>
      </c>
      <c r="CR54" s="94">
        <f>IF(BR54=".",".",up_RadSpec!$F$9*(CR9*$B54))</f>
        <v>38009.133695815406</v>
      </c>
      <c r="CS54" s="94">
        <f>IF(BS54=".",".",up_RadSpec!$F$9*(CS9*$B54))</f>
        <v>38009.133695815406</v>
      </c>
      <c r="CT54" s="94">
        <f>IF(BT54=".",".",up_RadSpec!$F$9*(CT9*$B54))</f>
        <v>38009.133695815406</v>
      </c>
      <c r="CU54" s="94">
        <f>IF(BU54=".",".",up_RadSpec!$F$9*(CU9*$B54))</f>
        <v>38009.133695815406</v>
      </c>
      <c r="CV54" s="94">
        <f>IF(BV54=".",".",up_RadSpec!$F$9*(CV9*$B54))</f>
        <v>38009.133695815406</v>
      </c>
      <c r="CW54" s="94">
        <f>IF(BW54=".",".",up_RadSpec!$F$9*(CW9*$B54))</f>
        <v>38009.133695815406</v>
      </c>
      <c r="CX54" s="94">
        <f>IF(BX54=".",".",up_RadSpec!$F$9*(CX9*$B54))</f>
        <v>38009.133695815406</v>
      </c>
      <c r="CY54" s="94">
        <f>IF(BY54=".",".",up_RadSpec!$F$9*(CY9*$B54))</f>
        <v>38009.133695815406</v>
      </c>
      <c r="CZ54" s="94">
        <f>IF(BZ54=".",".",up_RadSpec!$F$9*(CZ9*$B54))</f>
        <v>38009.133695815406</v>
      </c>
      <c r="DA54" s="94">
        <f>IF(CA54=".",".",up_RadSpec!$F$9*(DA9*$B54))</f>
        <v>38009.133695815406</v>
      </c>
      <c r="DB54" s="94">
        <f>IF(CB54=".",".",up_RadSpec!$F$9*(DB9*$B54))</f>
        <v>38009.133695815406</v>
      </c>
    </row>
    <row r="55" spans="1:106" s="42" customFormat="1" x14ac:dyDescent="0.25">
      <c r="A55" s="77" t="s">
        <v>1076</v>
      </c>
      <c r="B55" s="42">
        <v>1.9999999999999999E-7</v>
      </c>
      <c r="C55" s="60">
        <f t="shared" ref="C55:AB55" si="60">IFERROR(C24/$B55,".")</f>
        <v>822.1706393019017</v>
      </c>
      <c r="D55" s="60">
        <f t="shared" si="60"/>
        <v>3288.6825572076068</v>
      </c>
      <c r="E55" s="60">
        <f t="shared" si="60"/>
        <v>3288.6825572076068</v>
      </c>
      <c r="F55" s="60">
        <f t="shared" si="60"/>
        <v>3288.6825572076068</v>
      </c>
      <c r="G55" s="60">
        <f t="shared" si="60"/>
        <v>3288.6825572076068</v>
      </c>
      <c r="H55" s="60">
        <f t="shared" si="60"/>
        <v>3288.6825572076068</v>
      </c>
      <c r="I55" s="60">
        <f t="shared" si="60"/>
        <v>3288.6825572076068</v>
      </c>
      <c r="J55" s="60">
        <f t="shared" si="60"/>
        <v>3288.6825572076068</v>
      </c>
      <c r="K55" s="60">
        <f t="shared" si="60"/>
        <v>3288.6825572076068</v>
      </c>
      <c r="L55" s="60">
        <f t="shared" si="60"/>
        <v>3288.6825572076068</v>
      </c>
      <c r="M55" s="60">
        <f t="shared" si="60"/>
        <v>3288.6825572076068</v>
      </c>
      <c r="N55" s="60">
        <f t="shared" si="60"/>
        <v>3288.6825572076068</v>
      </c>
      <c r="O55" s="60">
        <f t="shared" si="60"/>
        <v>3288.6825572076068</v>
      </c>
      <c r="P55" s="60">
        <f t="shared" si="60"/>
        <v>3288.6825572076068</v>
      </c>
      <c r="Q55" s="60">
        <f t="shared" si="60"/>
        <v>3288.6825572076068</v>
      </c>
      <c r="R55" s="60">
        <f t="shared" si="60"/>
        <v>3288.6825572076068</v>
      </c>
      <c r="S55" s="60">
        <f t="shared" si="60"/>
        <v>3288.6825572076068</v>
      </c>
      <c r="T55" s="60">
        <f t="shared" si="60"/>
        <v>3288.6825572076068</v>
      </c>
      <c r="U55" s="60">
        <f t="shared" si="60"/>
        <v>3288.6825572076068</v>
      </c>
      <c r="V55" s="60">
        <f t="shared" si="60"/>
        <v>3288.6825572076068</v>
      </c>
      <c r="W55" s="60">
        <f t="shared" si="60"/>
        <v>3288.6825572076068</v>
      </c>
      <c r="X55" s="60">
        <f t="shared" si="60"/>
        <v>3288.6825572076068</v>
      </c>
      <c r="Y55" s="60">
        <f t="shared" si="60"/>
        <v>3288.6825572076068</v>
      </c>
      <c r="Z55" s="60">
        <f t="shared" si="60"/>
        <v>3288.6825572076068</v>
      </c>
      <c r="AA55" s="60">
        <f t="shared" si="60"/>
        <v>3288.6825572076068</v>
      </c>
      <c r="AB55" s="60">
        <f t="shared" si="60"/>
        <v>3288.6825572076068</v>
      </c>
      <c r="AC55" s="94">
        <f t="shared" si="47"/>
        <v>3.0407313038114933E-2</v>
      </c>
      <c r="AD55" s="94">
        <f>IF(D55=".",".",up_RadSpec!$F$24*(AD24*$B55))</f>
        <v>7.6018282595287333E-3</v>
      </c>
      <c r="AE55" s="94">
        <f>IF(E55=".",".",up_RadSpec!$F$24*(AE24*$B55))</f>
        <v>7.6018282595287333E-3</v>
      </c>
      <c r="AF55" s="94">
        <f>IF(F55=".",".",up_RadSpec!$F$24*(AF24*$B55))</f>
        <v>7.6018282595287333E-3</v>
      </c>
      <c r="AG55" s="94">
        <f>IF(G55=".",".",up_RadSpec!$F$24*(AG24*$B55))</f>
        <v>7.6018282595287333E-3</v>
      </c>
      <c r="AH55" s="94">
        <f>IF(H55=".",".",up_RadSpec!$F$24*(AH24*$B55))</f>
        <v>7.6018282595287333E-3</v>
      </c>
      <c r="AI55" s="94">
        <f>IF(I55=".",".",up_RadSpec!$F$24*(AI24*$B55))</f>
        <v>7.6018282595287333E-3</v>
      </c>
      <c r="AJ55" s="94">
        <f>IF(J55=".",".",up_RadSpec!$F$24*(AJ24*$B55))</f>
        <v>7.6018282595287333E-3</v>
      </c>
      <c r="AK55" s="94">
        <f>IF(K55=".",".",up_RadSpec!$F$24*(AK24*$B55))</f>
        <v>7.6018282595287333E-3</v>
      </c>
      <c r="AL55" s="94">
        <f>IF(L55=".",".",up_RadSpec!$F$24*(AL24*$B55))</f>
        <v>7.6018282595287333E-3</v>
      </c>
      <c r="AM55" s="94">
        <f>IF(M55=".",".",up_RadSpec!$F$24*(AM24*$B55))</f>
        <v>7.6018282595287333E-3</v>
      </c>
      <c r="AN55" s="94">
        <f>IF(N55=".",".",up_RadSpec!$F$24*(AN24*$B55))</f>
        <v>7.6018282595287333E-3</v>
      </c>
      <c r="AO55" s="94">
        <f>IF(O55=".",".",up_RadSpec!$F$24*(AO24*$B55))</f>
        <v>7.6018282595287333E-3</v>
      </c>
      <c r="AP55" s="94">
        <f>IF(P55=".",".",up_RadSpec!$F$24*(AP24*$B55))</f>
        <v>7.6018282595287333E-3</v>
      </c>
      <c r="AQ55" s="94">
        <f>IF(Q55=".",".",up_RadSpec!$F$24*(AQ24*$B55))</f>
        <v>7.6018282595287333E-3</v>
      </c>
      <c r="AR55" s="94">
        <f>IF(R55=".",".",up_RadSpec!$F$24*(AR24*$B55))</f>
        <v>7.6018282595287333E-3</v>
      </c>
      <c r="AS55" s="94">
        <f>IF(S55=".",".",up_RadSpec!$F$24*(AS24*$B55))</f>
        <v>7.6018282595287333E-3</v>
      </c>
      <c r="AT55" s="94">
        <f>IF(T55=".",".",up_RadSpec!$F$24*(AT24*$B55))</f>
        <v>7.6018282595287333E-3</v>
      </c>
      <c r="AU55" s="94">
        <f>IF(U55=".",".",up_RadSpec!$F$24*(AU24*$B55))</f>
        <v>7.6018282595287333E-3</v>
      </c>
      <c r="AV55" s="94">
        <f>IF(V55=".",".",up_RadSpec!$F$24*(AV24*$B55))</f>
        <v>7.6018282595287333E-3</v>
      </c>
      <c r="AW55" s="94">
        <f>IF(W55=".",".",up_RadSpec!$F$24*(AW24*$B55))</f>
        <v>7.6018282595287333E-3</v>
      </c>
      <c r="AX55" s="94">
        <f>IF(X55=".",".",up_RadSpec!$F$24*(AX24*$B55))</f>
        <v>7.6018282595287333E-3</v>
      </c>
      <c r="AY55" s="94">
        <f>IF(Y55=".",".",up_RadSpec!$F$24*(AY24*$B55))</f>
        <v>7.6018282595287333E-3</v>
      </c>
      <c r="AZ55" s="94">
        <f>IF(Z55=".",".",up_RadSpec!$F$24*(AZ24*$B55))</f>
        <v>7.6018282595287333E-3</v>
      </c>
      <c r="BA55" s="94">
        <f>IF(AA55=".",".",up_RadSpec!$F$24*(BA24*$B55))</f>
        <v>7.6018282595287333E-3</v>
      </c>
      <c r="BB55" s="94">
        <f>IF(AB55=".",".",up_RadSpec!$F$24*(BB24*$B55))</f>
        <v>7.6018282595287333E-3</v>
      </c>
      <c r="BC55" s="60">
        <f t="shared" ref="BC55:CB55" si="61">IFERROR(BC24/$B55,".")</f>
        <v>822.1706393019017</v>
      </c>
      <c r="BD55" s="60">
        <f t="shared" si="61"/>
        <v>3288.6825572076068</v>
      </c>
      <c r="BE55" s="60">
        <f t="shared" si="61"/>
        <v>3288.6825572076068</v>
      </c>
      <c r="BF55" s="60">
        <f t="shared" si="61"/>
        <v>3288.6825572076068</v>
      </c>
      <c r="BG55" s="60">
        <f t="shared" si="61"/>
        <v>3288.6825572076068</v>
      </c>
      <c r="BH55" s="60">
        <f t="shared" si="61"/>
        <v>3288.6825572076068</v>
      </c>
      <c r="BI55" s="60">
        <f t="shared" si="61"/>
        <v>3288.6825572076068</v>
      </c>
      <c r="BJ55" s="60">
        <f t="shared" si="61"/>
        <v>3288.6825572076068</v>
      </c>
      <c r="BK55" s="60">
        <f t="shared" si="61"/>
        <v>3288.6825572076068</v>
      </c>
      <c r="BL55" s="60">
        <f t="shared" si="61"/>
        <v>3288.6825572076068</v>
      </c>
      <c r="BM55" s="60">
        <f t="shared" si="61"/>
        <v>3288.6825572076068</v>
      </c>
      <c r="BN55" s="60">
        <f t="shared" si="61"/>
        <v>3288.6825572076068</v>
      </c>
      <c r="BO55" s="60">
        <f t="shared" si="61"/>
        <v>3288.6825572076068</v>
      </c>
      <c r="BP55" s="60">
        <f t="shared" si="61"/>
        <v>3288.6825572076068</v>
      </c>
      <c r="BQ55" s="60">
        <f t="shared" si="61"/>
        <v>3288.6825572076068</v>
      </c>
      <c r="BR55" s="60">
        <f t="shared" si="61"/>
        <v>3288.6825572076068</v>
      </c>
      <c r="BS55" s="60">
        <f t="shared" si="61"/>
        <v>3288.6825572076068</v>
      </c>
      <c r="BT55" s="60">
        <f t="shared" si="61"/>
        <v>3288.6825572076068</v>
      </c>
      <c r="BU55" s="60">
        <f t="shared" si="61"/>
        <v>3288.6825572076068</v>
      </c>
      <c r="BV55" s="60">
        <f t="shared" si="61"/>
        <v>3288.6825572076068</v>
      </c>
      <c r="BW55" s="60">
        <f t="shared" si="61"/>
        <v>3288.6825572076068</v>
      </c>
      <c r="BX55" s="60">
        <f t="shared" si="61"/>
        <v>3288.6825572076068</v>
      </c>
      <c r="BY55" s="60">
        <f t="shared" si="61"/>
        <v>3288.6825572076068</v>
      </c>
      <c r="BZ55" s="60">
        <f t="shared" si="61"/>
        <v>3288.6825572076068</v>
      </c>
      <c r="CA55" s="60">
        <f t="shared" si="61"/>
        <v>3288.6825572076068</v>
      </c>
      <c r="CB55" s="60">
        <f t="shared" si="61"/>
        <v>3288.6825572076068</v>
      </c>
      <c r="CC55" s="94">
        <f t="shared" si="49"/>
        <v>3.0407313038114933E-2</v>
      </c>
      <c r="CD55" s="94">
        <f>IF(BD55=".",".",up_RadSpec!$F$24*(CD24*$B55))</f>
        <v>7.6018282595287333E-3</v>
      </c>
      <c r="CE55" s="94">
        <f>IF(BE55=".",".",up_RadSpec!$F$24*(CE24*$B55))</f>
        <v>7.6018282595287333E-3</v>
      </c>
      <c r="CF55" s="94">
        <f>IF(BF55=".",".",up_RadSpec!$F$24*(CF24*$B55))</f>
        <v>7.6018282595287333E-3</v>
      </c>
      <c r="CG55" s="94">
        <f>IF(BG55=".",".",up_RadSpec!$F$24*(CG24*$B55))</f>
        <v>7.6018282595287333E-3</v>
      </c>
      <c r="CH55" s="94">
        <f>IF(BH55=".",".",up_RadSpec!$F$24*(CH24*$B55))</f>
        <v>7.6018282595287333E-3</v>
      </c>
      <c r="CI55" s="94">
        <f>IF(BI55=".",".",up_RadSpec!$F$24*(CI24*$B55))</f>
        <v>7.6018282595287333E-3</v>
      </c>
      <c r="CJ55" s="94">
        <f>IF(BJ55=".",".",up_RadSpec!$F$24*(CJ24*$B55))</f>
        <v>7.6018282595287333E-3</v>
      </c>
      <c r="CK55" s="94">
        <f>IF(BK55=".",".",up_RadSpec!$F$24*(CK24*$B55))</f>
        <v>7.6018282595287333E-3</v>
      </c>
      <c r="CL55" s="94">
        <f>IF(BL55=".",".",up_RadSpec!$F$24*(CL24*$B55))</f>
        <v>7.6018282595287333E-3</v>
      </c>
      <c r="CM55" s="94">
        <f>IF(BM55=".",".",up_RadSpec!$F$24*(CM24*$B55))</f>
        <v>7.6018282595287333E-3</v>
      </c>
      <c r="CN55" s="94">
        <f>IF(BN55=".",".",up_RadSpec!$F$24*(CN24*$B55))</f>
        <v>7.6018282595287333E-3</v>
      </c>
      <c r="CO55" s="94">
        <f>IF(BO55=".",".",up_RadSpec!$F$24*(CO24*$B55))</f>
        <v>7.6018282595287333E-3</v>
      </c>
      <c r="CP55" s="94">
        <f>IF(BP55=".",".",up_RadSpec!$F$24*(CP24*$B55))</f>
        <v>7.6018282595287333E-3</v>
      </c>
      <c r="CQ55" s="94">
        <f>IF(BQ55=".",".",up_RadSpec!$F$24*(CQ24*$B55))</f>
        <v>7.6018282595287333E-3</v>
      </c>
      <c r="CR55" s="94">
        <f>IF(BR55=".",".",up_RadSpec!$F$24*(CR24*$B55))</f>
        <v>7.6018282595287333E-3</v>
      </c>
      <c r="CS55" s="94">
        <f>IF(BS55=".",".",up_RadSpec!$F$24*(CS24*$B55))</f>
        <v>7.6018282595287333E-3</v>
      </c>
      <c r="CT55" s="94">
        <f>IF(BT55=".",".",up_RadSpec!$F$24*(CT24*$B55))</f>
        <v>7.6018282595287333E-3</v>
      </c>
      <c r="CU55" s="94">
        <f>IF(BU55=".",".",up_RadSpec!$F$24*(CU24*$B55))</f>
        <v>7.6018282595287333E-3</v>
      </c>
      <c r="CV55" s="94">
        <f>IF(BV55=".",".",up_RadSpec!$F$24*(CV24*$B55))</f>
        <v>7.6018282595287333E-3</v>
      </c>
      <c r="CW55" s="94">
        <f>IF(BW55=".",".",up_RadSpec!$F$24*(CW24*$B55))</f>
        <v>7.6018282595287333E-3</v>
      </c>
      <c r="CX55" s="94">
        <f>IF(BX55=".",".",up_RadSpec!$F$24*(CX24*$B55))</f>
        <v>7.6018282595287333E-3</v>
      </c>
      <c r="CY55" s="94">
        <f>IF(BY55=".",".",up_RadSpec!$F$24*(CY24*$B55))</f>
        <v>7.6018282595287333E-3</v>
      </c>
      <c r="CZ55" s="94">
        <f>IF(BZ55=".",".",up_RadSpec!$F$24*(CZ24*$B55))</f>
        <v>7.6018282595287333E-3</v>
      </c>
      <c r="DA55" s="94">
        <f>IF(CA55=".",".",up_RadSpec!$F$24*(DA24*$B55))</f>
        <v>7.6018282595287333E-3</v>
      </c>
      <c r="DB55" s="94">
        <f>IF(CB55=".",".",up_RadSpec!$F$24*(DB24*$B55))</f>
        <v>7.6018282595287333E-3</v>
      </c>
    </row>
    <row r="56" spans="1:106" s="42" customFormat="1" x14ac:dyDescent="0.25">
      <c r="A56" s="77" t="s">
        <v>1077</v>
      </c>
      <c r="B56" s="42">
        <v>0.99979000004200003</v>
      </c>
      <c r="C56" s="60">
        <f t="shared" ref="C56:AB56" si="62">IFERROR(C20/$B56,".")</f>
        <v>1.6446866627339005E-4</v>
      </c>
      <c r="D56" s="60">
        <f t="shared" si="62"/>
        <v>6.5787466509356022E-4</v>
      </c>
      <c r="E56" s="60">
        <f t="shared" si="62"/>
        <v>6.5787466509356022E-4</v>
      </c>
      <c r="F56" s="60">
        <f t="shared" si="62"/>
        <v>6.5787466509356022E-4</v>
      </c>
      <c r="G56" s="60">
        <f t="shared" si="62"/>
        <v>6.5787466509356022E-4</v>
      </c>
      <c r="H56" s="60">
        <f t="shared" si="62"/>
        <v>6.5787466509356022E-4</v>
      </c>
      <c r="I56" s="60">
        <f t="shared" si="62"/>
        <v>6.5787466509356022E-4</v>
      </c>
      <c r="J56" s="60">
        <f t="shared" si="62"/>
        <v>6.5787466509356022E-4</v>
      </c>
      <c r="K56" s="60">
        <f t="shared" si="62"/>
        <v>6.5787466509356022E-4</v>
      </c>
      <c r="L56" s="60">
        <f t="shared" si="62"/>
        <v>6.5787466509356022E-4</v>
      </c>
      <c r="M56" s="60">
        <f t="shared" si="62"/>
        <v>6.5787466509356022E-4</v>
      </c>
      <c r="N56" s="60">
        <f t="shared" si="62"/>
        <v>6.5787466509356022E-4</v>
      </c>
      <c r="O56" s="60">
        <f t="shared" si="62"/>
        <v>6.5787466509356022E-4</v>
      </c>
      <c r="P56" s="60">
        <f t="shared" si="62"/>
        <v>6.5787466509356022E-4</v>
      </c>
      <c r="Q56" s="60">
        <f t="shared" si="62"/>
        <v>6.5787466509356022E-4</v>
      </c>
      <c r="R56" s="60">
        <f t="shared" si="62"/>
        <v>6.5787466509356022E-4</v>
      </c>
      <c r="S56" s="60">
        <f t="shared" si="62"/>
        <v>6.5787466509356022E-4</v>
      </c>
      <c r="T56" s="60">
        <f t="shared" si="62"/>
        <v>6.5787466509356022E-4</v>
      </c>
      <c r="U56" s="60">
        <f t="shared" si="62"/>
        <v>6.5787466509356022E-4</v>
      </c>
      <c r="V56" s="60">
        <f t="shared" si="62"/>
        <v>6.5787466509356022E-4</v>
      </c>
      <c r="W56" s="60">
        <f t="shared" si="62"/>
        <v>6.5787466509356022E-4</v>
      </c>
      <c r="X56" s="60">
        <f t="shared" si="62"/>
        <v>6.5787466509356022E-4</v>
      </c>
      <c r="Y56" s="60">
        <f t="shared" si="62"/>
        <v>6.5787466509356022E-4</v>
      </c>
      <c r="Z56" s="60">
        <f t="shared" si="62"/>
        <v>6.5787466509356022E-4</v>
      </c>
      <c r="AA56" s="60">
        <f t="shared" si="62"/>
        <v>6.5787466509356022E-4</v>
      </c>
      <c r="AB56" s="60">
        <f t="shared" si="62"/>
        <v>6.5787466509356022E-4</v>
      </c>
      <c r="AC56" s="94">
        <f t="shared" si="47"/>
        <v>152004.6375182702</v>
      </c>
      <c r="AD56" s="94">
        <f>IF(D56=".",".",up_RadSpec!$F$20*(AD20*$B56))</f>
        <v>38001.159379567551</v>
      </c>
      <c r="AE56" s="94">
        <f>IF(E56=".",".",up_RadSpec!$F$20*(AE20*$B56))</f>
        <v>38001.159379567551</v>
      </c>
      <c r="AF56" s="94">
        <f>IF(F56=".",".",up_RadSpec!$F$20*(AF20*$B56))</f>
        <v>38001.159379567551</v>
      </c>
      <c r="AG56" s="94">
        <f>IF(G56=".",".",up_RadSpec!$F$20*(AG20*$B56))</f>
        <v>38001.159379567551</v>
      </c>
      <c r="AH56" s="94">
        <f>IF(H56=".",".",up_RadSpec!$F$20*(AH20*$B56))</f>
        <v>38001.159379567551</v>
      </c>
      <c r="AI56" s="94">
        <f>IF(I56=".",".",up_RadSpec!$F$20*(AI20*$B56))</f>
        <v>38001.159379567551</v>
      </c>
      <c r="AJ56" s="94">
        <f>IF(J56=".",".",up_RadSpec!$F$20*(AJ20*$B56))</f>
        <v>38001.159379567551</v>
      </c>
      <c r="AK56" s="94">
        <f>IF(K56=".",".",up_RadSpec!$F$20*(AK20*$B56))</f>
        <v>38001.159379567551</v>
      </c>
      <c r="AL56" s="94">
        <f>IF(L56=".",".",up_RadSpec!$F$20*(AL20*$B56))</f>
        <v>38001.159379567551</v>
      </c>
      <c r="AM56" s="94">
        <f>IF(M56=".",".",up_RadSpec!$F$20*(AM20*$B56))</f>
        <v>38001.159379567551</v>
      </c>
      <c r="AN56" s="94">
        <f>IF(N56=".",".",up_RadSpec!$F$20*(AN20*$B56))</f>
        <v>38001.159379567551</v>
      </c>
      <c r="AO56" s="94">
        <f>IF(O56=".",".",up_RadSpec!$F$20*(AO20*$B56))</f>
        <v>38001.159379567551</v>
      </c>
      <c r="AP56" s="94">
        <f>IF(P56=".",".",up_RadSpec!$F$20*(AP20*$B56))</f>
        <v>38001.159379567551</v>
      </c>
      <c r="AQ56" s="94">
        <f>IF(Q56=".",".",up_RadSpec!$F$20*(AQ20*$B56))</f>
        <v>38001.159379567551</v>
      </c>
      <c r="AR56" s="94">
        <f>IF(R56=".",".",up_RadSpec!$F$20*(AR20*$B56))</f>
        <v>38001.159379567551</v>
      </c>
      <c r="AS56" s="94">
        <f>IF(S56=".",".",up_RadSpec!$F$20*(AS20*$B56))</f>
        <v>38001.159379567551</v>
      </c>
      <c r="AT56" s="94">
        <f>IF(T56=".",".",up_RadSpec!$F$20*(AT20*$B56))</f>
        <v>38001.159379567551</v>
      </c>
      <c r="AU56" s="94">
        <f>IF(U56=".",".",up_RadSpec!$F$20*(AU20*$B56))</f>
        <v>38001.159379567551</v>
      </c>
      <c r="AV56" s="94">
        <f>IF(V56=".",".",up_RadSpec!$F$20*(AV20*$B56))</f>
        <v>38001.159379567551</v>
      </c>
      <c r="AW56" s="94">
        <f>IF(W56=".",".",up_RadSpec!$F$20*(AW20*$B56))</f>
        <v>38001.159379567551</v>
      </c>
      <c r="AX56" s="94">
        <f>IF(X56=".",".",up_RadSpec!$F$20*(AX20*$B56))</f>
        <v>38001.159379567551</v>
      </c>
      <c r="AY56" s="94">
        <f>IF(Y56=".",".",up_RadSpec!$F$20*(AY20*$B56))</f>
        <v>38001.159379567551</v>
      </c>
      <c r="AZ56" s="94">
        <f>IF(Z56=".",".",up_RadSpec!$F$20*(AZ20*$B56))</f>
        <v>38001.159379567551</v>
      </c>
      <c r="BA56" s="94">
        <f>IF(AA56=".",".",up_RadSpec!$F$20*(BA20*$B56))</f>
        <v>38001.159379567551</v>
      </c>
      <c r="BB56" s="94">
        <f>IF(AB56=".",".",up_RadSpec!$F$20*(BB20*$B56))</f>
        <v>38001.159379567551</v>
      </c>
      <c r="BC56" s="60">
        <f t="shared" ref="BC56:CB56" si="63">IFERROR(BC20/$B56,".")</f>
        <v>1.6446866627339005E-4</v>
      </c>
      <c r="BD56" s="60">
        <f t="shared" si="63"/>
        <v>6.5787466509356022E-4</v>
      </c>
      <c r="BE56" s="60">
        <f t="shared" si="63"/>
        <v>6.5787466509356022E-4</v>
      </c>
      <c r="BF56" s="60">
        <f t="shared" si="63"/>
        <v>6.5787466509356022E-4</v>
      </c>
      <c r="BG56" s="60">
        <f t="shared" si="63"/>
        <v>6.5787466509356022E-4</v>
      </c>
      <c r="BH56" s="60">
        <f t="shared" si="63"/>
        <v>6.5787466509356022E-4</v>
      </c>
      <c r="BI56" s="60">
        <f t="shared" si="63"/>
        <v>6.5787466509356022E-4</v>
      </c>
      <c r="BJ56" s="60">
        <f t="shared" si="63"/>
        <v>6.5787466509356022E-4</v>
      </c>
      <c r="BK56" s="60">
        <f t="shared" si="63"/>
        <v>6.5787466509356022E-4</v>
      </c>
      <c r="BL56" s="60">
        <f t="shared" si="63"/>
        <v>6.5787466509356022E-4</v>
      </c>
      <c r="BM56" s="60">
        <f t="shared" si="63"/>
        <v>6.5787466509356022E-4</v>
      </c>
      <c r="BN56" s="60">
        <f t="shared" si="63"/>
        <v>6.5787466509356022E-4</v>
      </c>
      <c r="BO56" s="60">
        <f t="shared" si="63"/>
        <v>6.5787466509356022E-4</v>
      </c>
      <c r="BP56" s="60">
        <f t="shared" si="63"/>
        <v>6.5787466509356022E-4</v>
      </c>
      <c r="BQ56" s="60">
        <f t="shared" si="63"/>
        <v>6.5787466509356022E-4</v>
      </c>
      <c r="BR56" s="60">
        <f t="shared" si="63"/>
        <v>6.5787466509356022E-4</v>
      </c>
      <c r="BS56" s="60">
        <f t="shared" si="63"/>
        <v>6.5787466509356022E-4</v>
      </c>
      <c r="BT56" s="60">
        <f t="shared" si="63"/>
        <v>6.5787466509356022E-4</v>
      </c>
      <c r="BU56" s="60">
        <f t="shared" si="63"/>
        <v>6.5787466509356022E-4</v>
      </c>
      <c r="BV56" s="60">
        <f t="shared" si="63"/>
        <v>6.5787466509356022E-4</v>
      </c>
      <c r="BW56" s="60">
        <f t="shared" si="63"/>
        <v>6.5787466509356022E-4</v>
      </c>
      <c r="BX56" s="60">
        <f t="shared" si="63"/>
        <v>6.5787466509356022E-4</v>
      </c>
      <c r="BY56" s="60">
        <f t="shared" si="63"/>
        <v>6.5787466509356022E-4</v>
      </c>
      <c r="BZ56" s="60">
        <f t="shared" si="63"/>
        <v>6.5787466509356022E-4</v>
      </c>
      <c r="CA56" s="60">
        <f t="shared" si="63"/>
        <v>6.5787466509356022E-4</v>
      </c>
      <c r="CB56" s="60">
        <f t="shared" si="63"/>
        <v>6.5787466509356022E-4</v>
      </c>
      <c r="CC56" s="94">
        <f t="shared" si="49"/>
        <v>152004.6375182702</v>
      </c>
      <c r="CD56" s="94">
        <f>IF(BD56=".",".",up_RadSpec!$F$20*(CD20*$B56))</f>
        <v>38001.159379567551</v>
      </c>
      <c r="CE56" s="94">
        <f>IF(BE56=".",".",up_RadSpec!$F$20*(CE20*$B56))</f>
        <v>38001.159379567551</v>
      </c>
      <c r="CF56" s="94">
        <f>IF(BF56=".",".",up_RadSpec!$F$20*(CF20*$B56))</f>
        <v>38001.159379567551</v>
      </c>
      <c r="CG56" s="94">
        <f>IF(BG56=".",".",up_RadSpec!$F$20*(CG20*$B56))</f>
        <v>38001.159379567551</v>
      </c>
      <c r="CH56" s="94">
        <f>IF(BH56=".",".",up_RadSpec!$F$20*(CH20*$B56))</f>
        <v>38001.159379567551</v>
      </c>
      <c r="CI56" s="94">
        <f>IF(BI56=".",".",up_RadSpec!$F$20*(CI20*$B56))</f>
        <v>38001.159379567551</v>
      </c>
      <c r="CJ56" s="94">
        <f>IF(BJ56=".",".",up_RadSpec!$F$20*(CJ20*$B56))</f>
        <v>38001.159379567551</v>
      </c>
      <c r="CK56" s="94">
        <f>IF(BK56=".",".",up_RadSpec!$F$20*(CK20*$B56))</f>
        <v>38001.159379567551</v>
      </c>
      <c r="CL56" s="94">
        <f>IF(BL56=".",".",up_RadSpec!$F$20*(CL20*$B56))</f>
        <v>38001.159379567551</v>
      </c>
      <c r="CM56" s="94">
        <f>IF(BM56=".",".",up_RadSpec!$F$20*(CM20*$B56))</f>
        <v>38001.159379567551</v>
      </c>
      <c r="CN56" s="94">
        <f>IF(BN56=".",".",up_RadSpec!$F$20*(CN20*$B56))</f>
        <v>38001.159379567551</v>
      </c>
      <c r="CO56" s="94">
        <f>IF(BO56=".",".",up_RadSpec!$F$20*(CO20*$B56))</f>
        <v>38001.159379567551</v>
      </c>
      <c r="CP56" s="94">
        <f>IF(BP56=".",".",up_RadSpec!$F$20*(CP20*$B56))</f>
        <v>38001.159379567551</v>
      </c>
      <c r="CQ56" s="94">
        <f>IF(BQ56=".",".",up_RadSpec!$F$20*(CQ20*$B56))</f>
        <v>38001.159379567551</v>
      </c>
      <c r="CR56" s="94">
        <f>IF(BR56=".",".",up_RadSpec!$F$20*(CR20*$B56))</f>
        <v>38001.159379567551</v>
      </c>
      <c r="CS56" s="94">
        <f>IF(BS56=".",".",up_RadSpec!$F$20*(CS20*$B56))</f>
        <v>38001.159379567551</v>
      </c>
      <c r="CT56" s="94">
        <f>IF(BT56=".",".",up_RadSpec!$F$20*(CT20*$B56))</f>
        <v>38001.159379567551</v>
      </c>
      <c r="CU56" s="94">
        <f>IF(BU56=".",".",up_RadSpec!$F$20*(CU20*$B56))</f>
        <v>38001.159379567551</v>
      </c>
      <c r="CV56" s="94">
        <f>IF(BV56=".",".",up_RadSpec!$F$20*(CV20*$B56))</f>
        <v>38001.159379567551</v>
      </c>
      <c r="CW56" s="94">
        <f>IF(BW56=".",".",up_RadSpec!$F$20*(CW20*$B56))</f>
        <v>38001.159379567551</v>
      </c>
      <c r="CX56" s="94">
        <f>IF(BX56=".",".",up_RadSpec!$F$20*(CX20*$B56))</f>
        <v>38001.159379567551</v>
      </c>
      <c r="CY56" s="94">
        <f>IF(BY56=".",".",up_RadSpec!$F$20*(CY20*$B56))</f>
        <v>38001.159379567551</v>
      </c>
      <c r="CZ56" s="94">
        <f>IF(BZ56=".",".",up_RadSpec!$F$20*(CZ20*$B56))</f>
        <v>38001.159379567551</v>
      </c>
      <c r="DA56" s="94">
        <f>IF(CA56=".",".",up_RadSpec!$F$20*(DA20*$B56))</f>
        <v>38001.159379567551</v>
      </c>
      <c r="DB56" s="94">
        <f>IF(CB56=".",".",up_RadSpec!$F$20*(DB20*$B56))</f>
        <v>38001.159379567551</v>
      </c>
    </row>
    <row r="57" spans="1:106" s="42" customFormat="1" x14ac:dyDescent="0.25">
      <c r="A57" s="77" t="s">
        <v>1078</v>
      </c>
      <c r="B57" s="42">
        <v>2.0999995799999999E-4</v>
      </c>
      <c r="C57" s="60">
        <f t="shared" ref="C57:AB57" si="64">IFERROR(C29/$B57,".")</f>
        <v>0.78301981308196422</v>
      </c>
      <c r="D57" s="60">
        <f t="shared" si="64"/>
        <v>3.1320792523278569</v>
      </c>
      <c r="E57" s="60">
        <f t="shared" si="64"/>
        <v>3.1320792523278569</v>
      </c>
      <c r="F57" s="60">
        <f t="shared" si="64"/>
        <v>3.1320792523278569</v>
      </c>
      <c r="G57" s="60">
        <f t="shared" si="64"/>
        <v>3.1320792523278569</v>
      </c>
      <c r="H57" s="60">
        <f t="shared" si="64"/>
        <v>3.1320792523278569</v>
      </c>
      <c r="I57" s="60">
        <f t="shared" si="64"/>
        <v>3.1320792523278569</v>
      </c>
      <c r="J57" s="60">
        <f t="shared" si="64"/>
        <v>3.1320792523278569</v>
      </c>
      <c r="K57" s="60">
        <f t="shared" si="64"/>
        <v>3.1320792523278569</v>
      </c>
      <c r="L57" s="60">
        <f t="shared" si="64"/>
        <v>3.1320792523278569</v>
      </c>
      <c r="M57" s="60">
        <f t="shared" si="64"/>
        <v>3.1320792523278569</v>
      </c>
      <c r="N57" s="60">
        <f t="shared" si="64"/>
        <v>3.1320792523278569</v>
      </c>
      <c r="O57" s="60">
        <f t="shared" si="64"/>
        <v>3.1320792523278569</v>
      </c>
      <c r="P57" s="60">
        <f t="shared" si="64"/>
        <v>3.1320792523278569</v>
      </c>
      <c r="Q57" s="60">
        <f t="shared" si="64"/>
        <v>3.1320792523278569</v>
      </c>
      <c r="R57" s="60">
        <f t="shared" si="64"/>
        <v>3.1320792523278569</v>
      </c>
      <c r="S57" s="60">
        <f t="shared" si="64"/>
        <v>3.1320792523278569</v>
      </c>
      <c r="T57" s="60">
        <f t="shared" si="64"/>
        <v>3.1320792523278569</v>
      </c>
      <c r="U57" s="60">
        <f t="shared" si="64"/>
        <v>3.1320792523278569</v>
      </c>
      <c r="V57" s="60">
        <f t="shared" si="64"/>
        <v>3.1320792523278569</v>
      </c>
      <c r="W57" s="60">
        <f t="shared" si="64"/>
        <v>3.1320792523278569</v>
      </c>
      <c r="X57" s="60">
        <f t="shared" si="64"/>
        <v>3.1320792523278569</v>
      </c>
      <c r="Y57" s="60">
        <f t="shared" si="64"/>
        <v>3.1320792523278569</v>
      </c>
      <c r="Z57" s="60">
        <f t="shared" si="64"/>
        <v>3.1320792523278569</v>
      </c>
      <c r="AA57" s="60">
        <f t="shared" si="64"/>
        <v>3.1320792523278569</v>
      </c>
      <c r="AB57" s="60">
        <f t="shared" si="64"/>
        <v>3.1320792523278569</v>
      </c>
      <c r="AC57" s="94">
        <f t="shared" si="47"/>
        <v>31.92767230448494</v>
      </c>
      <c r="AD57" s="94">
        <f>IF(D57=".",".",up_RadSpec!$F$29*(AD29*$B57))</f>
        <v>7.9819180761212349</v>
      </c>
      <c r="AE57" s="94">
        <f>IF(E57=".",".",up_RadSpec!$F$29*(AE29*$B57))</f>
        <v>7.9819180761212349</v>
      </c>
      <c r="AF57" s="94">
        <f>IF(F57=".",".",up_RadSpec!$F$29*(AF29*$B57))</f>
        <v>7.9819180761212349</v>
      </c>
      <c r="AG57" s="94">
        <f>IF(G57=".",".",up_RadSpec!$F$29*(AG29*$B57))</f>
        <v>7.9819180761212349</v>
      </c>
      <c r="AH57" s="94">
        <f>IF(H57=".",".",up_RadSpec!$F$29*(AH29*$B57))</f>
        <v>7.9819180761212349</v>
      </c>
      <c r="AI57" s="94">
        <f>IF(I57=".",".",up_RadSpec!$F$29*(AI29*$B57))</f>
        <v>7.9819180761212349</v>
      </c>
      <c r="AJ57" s="94">
        <f>IF(J57=".",".",up_RadSpec!$F$29*(AJ29*$B57))</f>
        <v>7.9819180761212349</v>
      </c>
      <c r="AK57" s="94">
        <f>IF(K57=".",".",up_RadSpec!$F$29*(AK29*$B57))</f>
        <v>7.9819180761212349</v>
      </c>
      <c r="AL57" s="94">
        <f>IF(L57=".",".",up_RadSpec!$F$29*(AL29*$B57))</f>
        <v>7.9819180761212349</v>
      </c>
      <c r="AM57" s="94">
        <f>IF(M57=".",".",up_RadSpec!$F$29*(AM29*$B57))</f>
        <v>7.9819180761212349</v>
      </c>
      <c r="AN57" s="94">
        <f>IF(N57=".",".",up_RadSpec!$F$29*(AN29*$B57))</f>
        <v>7.9819180761212349</v>
      </c>
      <c r="AO57" s="94">
        <f>IF(O57=".",".",up_RadSpec!$F$29*(AO29*$B57))</f>
        <v>7.9819180761212349</v>
      </c>
      <c r="AP57" s="94">
        <f>IF(P57=".",".",up_RadSpec!$F$29*(AP29*$B57))</f>
        <v>7.9819180761212349</v>
      </c>
      <c r="AQ57" s="94">
        <f>IF(Q57=".",".",up_RadSpec!$F$29*(AQ29*$B57))</f>
        <v>7.9819180761212349</v>
      </c>
      <c r="AR57" s="94">
        <f>IF(R57=".",".",up_RadSpec!$F$29*(AR29*$B57))</f>
        <v>7.9819180761212349</v>
      </c>
      <c r="AS57" s="94">
        <f>IF(S57=".",".",up_RadSpec!$F$29*(AS29*$B57))</f>
        <v>7.9819180761212349</v>
      </c>
      <c r="AT57" s="94">
        <f>IF(T57=".",".",up_RadSpec!$F$29*(AT29*$B57))</f>
        <v>7.9819180761212349</v>
      </c>
      <c r="AU57" s="94">
        <f>IF(U57=".",".",up_RadSpec!$F$29*(AU29*$B57))</f>
        <v>7.9819180761212349</v>
      </c>
      <c r="AV57" s="94">
        <f>IF(V57=".",".",up_RadSpec!$F$29*(AV29*$B57))</f>
        <v>7.9819180761212349</v>
      </c>
      <c r="AW57" s="94">
        <f>IF(W57=".",".",up_RadSpec!$F$29*(AW29*$B57))</f>
        <v>7.9819180761212349</v>
      </c>
      <c r="AX57" s="94">
        <f>IF(X57=".",".",up_RadSpec!$F$29*(AX29*$B57))</f>
        <v>7.9819180761212349</v>
      </c>
      <c r="AY57" s="94">
        <f>IF(Y57=".",".",up_RadSpec!$F$29*(AY29*$B57))</f>
        <v>7.9819180761212349</v>
      </c>
      <c r="AZ57" s="94">
        <f>IF(Z57=".",".",up_RadSpec!$F$29*(AZ29*$B57))</f>
        <v>7.9819180761212349</v>
      </c>
      <c r="BA57" s="94">
        <f>IF(AA57=".",".",up_RadSpec!$F$29*(BA29*$B57))</f>
        <v>7.9819180761212349</v>
      </c>
      <c r="BB57" s="94">
        <f>IF(AB57=".",".",up_RadSpec!$F$29*(BB29*$B57))</f>
        <v>7.9819180761212349</v>
      </c>
      <c r="BC57" s="60">
        <f t="shared" ref="BC57:CB57" si="65">IFERROR(BC29/$B57,".")</f>
        <v>0.78301981308196422</v>
      </c>
      <c r="BD57" s="60">
        <f t="shared" si="65"/>
        <v>3.1320792523278569</v>
      </c>
      <c r="BE57" s="60">
        <f t="shared" si="65"/>
        <v>3.1320792523278569</v>
      </c>
      <c r="BF57" s="60">
        <f t="shared" si="65"/>
        <v>3.1320792523278569</v>
      </c>
      <c r="BG57" s="60">
        <f t="shared" si="65"/>
        <v>3.1320792523278569</v>
      </c>
      <c r="BH57" s="60">
        <f t="shared" si="65"/>
        <v>3.1320792523278569</v>
      </c>
      <c r="BI57" s="60">
        <f t="shared" si="65"/>
        <v>3.1320792523278569</v>
      </c>
      <c r="BJ57" s="60">
        <f t="shared" si="65"/>
        <v>3.1320792523278569</v>
      </c>
      <c r="BK57" s="60">
        <f t="shared" si="65"/>
        <v>3.1320792523278569</v>
      </c>
      <c r="BL57" s="60">
        <f t="shared" si="65"/>
        <v>3.1320792523278569</v>
      </c>
      <c r="BM57" s="60">
        <f t="shared" si="65"/>
        <v>3.1320792523278569</v>
      </c>
      <c r="BN57" s="60">
        <f t="shared" si="65"/>
        <v>3.1320792523278569</v>
      </c>
      <c r="BO57" s="60">
        <f t="shared" si="65"/>
        <v>3.1320792523278569</v>
      </c>
      <c r="BP57" s="60">
        <f t="shared" si="65"/>
        <v>3.1320792523278569</v>
      </c>
      <c r="BQ57" s="60">
        <f t="shared" si="65"/>
        <v>3.1320792523278569</v>
      </c>
      <c r="BR57" s="60">
        <f t="shared" si="65"/>
        <v>3.1320792523278569</v>
      </c>
      <c r="BS57" s="60">
        <f t="shared" si="65"/>
        <v>3.1320792523278569</v>
      </c>
      <c r="BT57" s="60">
        <f t="shared" si="65"/>
        <v>3.1320792523278569</v>
      </c>
      <c r="BU57" s="60">
        <f t="shared" si="65"/>
        <v>3.1320792523278569</v>
      </c>
      <c r="BV57" s="60">
        <f t="shared" si="65"/>
        <v>3.1320792523278569</v>
      </c>
      <c r="BW57" s="60">
        <f t="shared" si="65"/>
        <v>3.1320792523278569</v>
      </c>
      <c r="BX57" s="60">
        <f t="shared" si="65"/>
        <v>3.1320792523278569</v>
      </c>
      <c r="BY57" s="60">
        <f t="shared" si="65"/>
        <v>3.1320792523278569</v>
      </c>
      <c r="BZ57" s="60">
        <f t="shared" si="65"/>
        <v>3.1320792523278569</v>
      </c>
      <c r="CA57" s="60">
        <f t="shared" si="65"/>
        <v>3.1320792523278569</v>
      </c>
      <c r="CB57" s="60">
        <f t="shared" si="65"/>
        <v>3.1320792523278569</v>
      </c>
      <c r="CC57" s="94">
        <f t="shared" si="49"/>
        <v>31.92767230448494</v>
      </c>
      <c r="CD57" s="94">
        <f>IF(BD57=".",".",up_RadSpec!$F$29*(CD29*$B57))</f>
        <v>7.9819180761212349</v>
      </c>
      <c r="CE57" s="94">
        <f>IF(BE57=".",".",up_RadSpec!$F$29*(CE29*$B57))</f>
        <v>7.9819180761212349</v>
      </c>
      <c r="CF57" s="94">
        <f>IF(BF57=".",".",up_RadSpec!$F$29*(CF29*$B57))</f>
        <v>7.9819180761212349</v>
      </c>
      <c r="CG57" s="94">
        <f>IF(BG57=".",".",up_RadSpec!$F$29*(CG29*$B57))</f>
        <v>7.9819180761212349</v>
      </c>
      <c r="CH57" s="94">
        <f>IF(BH57=".",".",up_RadSpec!$F$29*(CH29*$B57))</f>
        <v>7.9819180761212349</v>
      </c>
      <c r="CI57" s="94">
        <f>IF(BI57=".",".",up_RadSpec!$F$29*(CI29*$B57))</f>
        <v>7.9819180761212349</v>
      </c>
      <c r="CJ57" s="94">
        <f>IF(BJ57=".",".",up_RadSpec!$F$29*(CJ29*$B57))</f>
        <v>7.9819180761212349</v>
      </c>
      <c r="CK57" s="94">
        <f>IF(BK57=".",".",up_RadSpec!$F$29*(CK29*$B57))</f>
        <v>7.9819180761212349</v>
      </c>
      <c r="CL57" s="94">
        <f>IF(BL57=".",".",up_RadSpec!$F$29*(CL29*$B57))</f>
        <v>7.9819180761212349</v>
      </c>
      <c r="CM57" s="94">
        <f>IF(BM57=".",".",up_RadSpec!$F$29*(CM29*$B57))</f>
        <v>7.9819180761212349</v>
      </c>
      <c r="CN57" s="94">
        <f>IF(BN57=".",".",up_RadSpec!$F$29*(CN29*$B57))</f>
        <v>7.9819180761212349</v>
      </c>
      <c r="CO57" s="94">
        <f>IF(BO57=".",".",up_RadSpec!$F$29*(CO29*$B57))</f>
        <v>7.9819180761212349</v>
      </c>
      <c r="CP57" s="94">
        <f>IF(BP57=".",".",up_RadSpec!$F$29*(CP29*$B57))</f>
        <v>7.9819180761212349</v>
      </c>
      <c r="CQ57" s="94">
        <f>IF(BQ57=".",".",up_RadSpec!$F$29*(CQ29*$B57))</f>
        <v>7.9819180761212349</v>
      </c>
      <c r="CR57" s="94">
        <f>IF(BR57=".",".",up_RadSpec!$F$29*(CR29*$B57))</f>
        <v>7.9819180761212349</v>
      </c>
      <c r="CS57" s="94">
        <f>IF(BS57=".",".",up_RadSpec!$F$29*(CS29*$B57))</f>
        <v>7.9819180761212349</v>
      </c>
      <c r="CT57" s="94">
        <f>IF(BT57=".",".",up_RadSpec!$F$29*(CT29*$B57))</f>
        <v>7.9819180761212349</v>
      </c>
      <c r="CU57" s="94">
        <f>IF(BU57=".",".",up_RadSpec!$F$29*(CU29*$B57))</f>
        <v>7.9819180761212349</v>
      </c>
      <c r="CV57" s="94">
        <f>IF(BV57=".",".",up_RadSpec!$F$29*(CV29*$B57))</f>
        <v>7.9819180761212349</v>
      </c>
      <c r="CW57" s="94">
        <f>IF(BW57=".",".",up_RadSpec!$F$29*(CW29*$B57))</f>
        <v>7.9819180761212349</v>
      </c>
      <c r="CX57" s="94">
        <f>IF(BX57=".",".",up_RadSpec!$F$29*(CX29*$B57))</f>
        <v>7.9819180761212349</v>
      </c>
      <c r="CY57" s="94">
        <f>IF(BY57=".",".",up_RadSpec!$F$29*(CY29*$B57))</f>
        <v>7.9819180761212349</v>
      </c>
      <c r="CZ57" s="94">
        <f>IF(BZ57=".",".",up_RadSpec!$F$29*(CZ29*$B57))</f>
        <v>7.9819180761212349</v>
      </c>
      <c r="DA57" s="94">
        <f>IF(CA57=".",".",up_RadSpec!$F$29*(DA29*$B57))</f>
        <v>7.9819180761212349</v>
      </c>
      <c r="DB57" s="94">
        <f>IF(CB57=".",".",up_RadSpec!$F$29*(DB29*$B57))</f>
        <v>7.9819180761212349</v>
      </c>
    </row>
    <row r="58" spans="1:106" s="42" customFormat="1" x14ac:dyDescent="0.25">
      <c r="A58" s="77" t="s">
        <v>1079</v>
      </c>
      <c r="B58" s="42">
        <v>1</v>
      </c>
      <c r="C58" s="60">
        <f t="shared" ref="C58:AB58" si="66">IFERROR(C16/$B58,".")</f>
        <v>1.6443412786038033E-4</v>
      </c>
      <c r="D58" s="60">
        <f t="shared" si="66"/>
        <v>6.5773651144152131E-4</v>
      </c>
      <c r="E58" s="60">
        <f t="shared" si="66"/>
        <v>6.5773651144152131E-4</v>
      </c>
      <c r="F58" s="60">
        <f t="shared" si="66"/>
        <v>6.5773651144152131E-4</v>
      </c>
      <c r="G58" s="60">
        <f t="shared" si="66"/>
        <v>6.5773651144152131E-4</v>
      </c>
      <c r="H58" s="60">
        <f t="shared" si="66"/>
        <v>6.5773651144152131E-4</v>
      </c>
      <c r="I58" s="60">
        <f t="shared" si="66"/>
        <v>6.5773651144152131E-4</v>
      </c>
      <c r="J58" s="60">
        <f t="shared" si="66"/>
        <v>6.5773651144152131E-4</v>
      </c>
      <c r="K58" s="60">
        <f t="shared" si="66"/>
        <v>6.5773651144152131E-4</v>
      </c>
      <c r="L58" s="60">
        <f t="shared" si="66"/>
        <v>6.5773651144152131E-4</v>
      </c>
      <c r="M58" s="60">
        <f t="shared" si="66"/>
        <v>6.5773651144152131E-4</v>
      </c>
      <c r="N58" s="60">
        <f t="shared" si="66"/>
        <v>6.5773651144152131E-4</v>
      </c>
      <c r="O58" s="60">
        <f t="shared" si="66"/>
        <v>6.5773651144152131E-4</v>
      </c>
      <c r="P58" s="60">
        <f t="shared" si="66"/>
        <v>6.5773651144152131E-4</v>
      </c>
      <c r="Q58" s="60">
        <f t="shared" si="66"/>
        <v>6.5773651144152131E-4</v>
      </c>
      <c r="R58" s="60">
        <f t="shared" si="66"/>
        <v>6.5773651144152131E-4</v>
      </c>
      <c r="S58" s="60">
        <f t="shared" si="66"/>
        <v>6.5773651144152131E-4</v>
      </c>
      <c r="T58" s="60">
        <f t="shared" si="66"/>
        <v>6.5773651144152131E-4</v>
      </c>
      <c r="U58" s="60">
        <f t="shared" si="66"/>
        <v>6.5773651144152131E-4</v>
      </c>
      <c r="V58" s="60">
        <f t="shared" si="66"/>
        <v>6.5773651144152131E-4</v>
      </c>
      <c r="W58" s="60">
        <f t="shared" si="66"/>
        <v>6.5773651144152131E-4</v>
      </c>
      <c r="X58" s="60">
        <f t="shared" si="66"/>
        <v>6.5773651144152131E-4</v>
      </c>
      <c r="Y58" s="60">
        <f t="shared" si="66"/>
        <v>6.5773651144152131E-4</v>
      </c>
      <c r="Z58" s="60">
        <f t="shared" si="66"/>
        <v>6.5773651144152131E-4</v>
      </c>
      <c r="AA58" s="60">
        <f t="shared" si="66"/>
        <v>6.5773651144152131E-4</v>
      </c>
      <c r="AB58" s="60">
        <f t="shared" si="66"/>
        <v>6.5773651144152131E-4</v>
      </c>
      <c r="AC58" s="94">
        <f t="shared" si="47"/>
        <v>152036.56519057468</v>
      </c>
      <c r="AD58" s="94">
        <f>IF(D58=".",".",up_RadSpec!$F$16*(AD16*$B58))</f>
        <v>38009.14129764367</v>
      </c>
      <c r="AE58" s="94">
        <f>IF(E58=".",".",up_RadSpec!$F$16*(AE16*$B58))</f>
        <v>38009.14129764367</v>
      </c>
      <c r="AF58" s="94">
        <f>IF(F58=".",".",up_RadSpec!$F$16*(AF16*$B58))</f>
        <v>38009.14129764367</v>
      </c>
      <c r="AG58" s="94">
        <f>IF(G58=".",".",up_RadSpec!$F$16*(AG16*$B58))</f>
        <v>38009.14129764367</v>
      </c>
      <c r="AH58" s="94">
        <f>IF(H58=".",".",up_RadSpec!$F$16*(AH16*$B58))</f>
        <v>38009.14129764367</v>
      </c>
      <c r="AI58" s="94">
        <f>IF(I58=".",".",up_RadSpec!$F$16*(AI16*$B58))</f>
        <v>38009.14129764367</v>
      </c>
      <c r="AJ58" s="94">
        <f>IF(J58=".",".",up_RadSpec!$F$16*(AJ16*$B58))</f>
        <v>38009.14129764367</v>
      </c>
      <c r="AK58" s="94">
        <f>IF(K58=".",".",up_RadSpec!$F$16*(AK16*$B58))</f>
        <v>38009.14129764367</v>
      </c>
      <c r="AL58" s="94">
        <f>IF(L58=".",".",up_RadSpec!$F$16*(AL16*$B58))</f>
        <v>38009.14129764367</v>
      </c>
      <c r="AM58" s="94">
        <f>IF(M58=".",".",up_RadSpec!$F$16*(AM16*$B58))</f>
        <v>38009.14129764367</v>
      </c>
      <c r="AN58" s="94">
        <f>IF(N58=".",".",up_RadSpec!$F$16*(AN16*$B58))</f>
        <v>38009.14129764367</v>
      </c>
      <c r="AO58" s="94">
        <f>IF(O58=".",".",up_RadSpec!$F$16*(AO16*$B58))</f>
        <v>38009.14129764367</v>
      </c>
      <c r="AP58" s="94">
        <f>IF(P58=".",".",up_RadSpec!$F$16*(AP16*$B58))</f>
        <v>38009.14129764367</v>
      </c>
      <c r="AQ58" s="94">
        <f>IF(Q58=".",".",up_RadSpec!$F$16*(AQ16*$B58))</f>
        <v>38009.14129764367</v>
      </c>
      <c r="AR58" s="94">
        <f>IF(R58=".",".",up_RadSpec!$F$16*(AR16*$B58))</f>
        <v>38009.14129764367</v>
      </c>
      <c r="AS58" s="94">
        <f>IF(S58=".",".",up_RadSpec!$F$16*(AS16*$B58))</f>
        <v>38009.14129764367</v>
      </c>
      <c r="AT58" s="94">
        <f>IF(T58=".",".",up_RadSpec!$F$16*(AT16*$B58))</f>
        <v>38009.14129764367</v>
      </c>
      <c r="AU58" s="94">
        <f>IF(U58=".",".",up_RadSpec!$F$16*(AU16*$B58))</f>
        <v>38009.14129764367</v>
      </c>
      <c r="AV58" s="94">
        <f>IF(V58=".",".",up_RadSpec!$F$16*(AV16*$B58))</f>
        <v>38009.14129764367</v>
      </c>
      <c r="AW58" s="94">
        <f>IF(W58=".",".",up_RadSpec!$F$16*(AW16*$B58))</f>
        <v>38009.14129764367</v>
      </c>
      <c r="AX58" s="94">
        <f>IF(X58=".",".",up_RadSpec!$F$16*(AX16*$B58))</f>
        <v>38009.14129764367</v>
      </c>
      <c r="AY58" s="94">
        <f>IF(Y58=".",".",up_RadSpec!$F$16*(AY16*$B58))</f>
        <v>38009.14129764367</v>
      </c>
      <c r="AZ58" s="94">
        <f>IF(Z58=".",".",up_RadSpec!$F$16*(AZ16*$B58))</f>
        <v>38009.14129764367</v>
      </c>
      <c r="BA58" s="94">
        <f>IF(AA58=".",".",up_RadSpec!$F$16*(BA16*$B58))</f>
        <v>38009.14129764367</v>
      </c>
      <c r="BB58" s="94">
        <f>IF(AB58=".",".",up_RadSpec!$F$16*(BB16*$B58))</f>
        <v>38009.14129764367</v>
      </c>
      <c r="BC58" s="60">
        <f t="shared" ref="BC58:CB58" si="67">IFERROR(BC16/$B58,".")</f>
        <v>1.6443412786038033E-4</v>
      </c>
      <c r="BD58" s="60">
        <f t="shared" si="67"/>
        <v>6.5773651144152131E-4</v>
      </c>
      <c r="BE58" s="60">
        <f t="shared" si="67"/>
        <v>6.5773651144152131E-4</v>
      </c>
      <c r="BF58" s="60">
        <f t="shared" si="67"/>
        <v>6.5773651144152131E-4</v>
      </c>
      <c r="BG58" s="60">
        <f t="shared" si="67"/>
        <v>6.5773651144152131E-4</v>
      </c>
      <c r="BH58" s="60">
        <f t="shared" si="67"/>
        <v>6.5773651144152131E-4</v>
      </c>
      <c r="BI58" s="60">
        <f t="shared" si="67"/>
        <v>6.5773651144152131E-4</v>
      </c>
      <c r="BJ58" s="60">
        <f t="shared" si="67"/>
        <v>6.5773651144152131E-4</v>
      </c>
      <c r="BK58" s="60">
        <f t="shared" si="67"/>
        <v>6.5773651144152131E-4</v>
      </c>
      <c r="BL58" s="60">
        <f t="shared" si="67"/>
        <v>6.5773651144152131E-4</v>
      </c>
      <c r="BM58" s="60">
        <f t="shared" si="67"/>
        <v>6.5773651144152131E-4</v>
      </c>
      <c r="BN58" s="60">
        <f t="shared" si="67"/>
        <v>6.5773651144152131E-4</v>
      </c>
      <c r="BO58" s="60">
        <f t="shared" si="67"/>
        <v>6.5773651144152131E-4</v>
      </c>
      <c r="BP58" s="60">
        <f t="shared" si="67"/>
        <v>6.5773651144152131E-4</v>
      </c>
      <c r="BQ58" s="60">
        <f t="shared" si="67"/>
        <v>6.5773651144152131E-4</v>
      </c>
      <c r="BR58" s="60">
        <f t="shared" si="67"/>
        <v>6.5773651144152131E-4</v>
      </c>
      <c r="BS58" s="60">
        <f t="shared" si="67"/>
        <v>6.5773651144152131E-4</v>
      </c>
      <c r="BT58" s="60">
        <f t="shared" si="67"/>
        <v>6.5773651144152131E-4</v>
      </c>
      <c r="BU58" s="60">
        <f t="shared" si="67"/>
        <v>6.5773651144152131E-4</v>
      </c>
      <c r="BV58" s="60">
        <f t="shared" si="67"/>
        <v>6.5773651144152131E-4</v>
      </c>
      <c r="BW58" s="60">
        <f t="shared" si="67"/>
        <v>6.5773651144152131E-4</v>
      </c>
      <c r="BX58" s="60">
        <f t="shared" si="67"/>
        <v>6.5773651144152131E-4</v>
      </c>
      <c r="BY58" s="60">
        <f t="shared" si="67"/>
        <v>6.5773651144152131E-4</v>
      </c>
      <c r="BZ58" s="60">
        <f t="shared" si="67"/>
        <v>6.5773651144152131E-4</v>
      </c>
      <c r="CA58" s="60">
        <f t="shared" si="67"/>
        <v>6.5773651144152131E-4</v>
      </c>
      <c r="CB58" s="60">
        <f t="shared" si="67"/>
        <v>6.5773651144152131E-4</v>
      </c>
      <c r="CC58" s="94">
        <f t="shared" si="49"/>
        <v>152036.56519057468</v>
      </c>
      <c r="CD58" s="94">
        <f>IF(BD58=".",".",up_RadSpec!$F$16*(CD16*$B58))</f>
        <v>38009.14129764367</v>
      </c>
      <c r="CE58" s="94">
        <f>IF(BE58=".",".",up_RadSpec!$F$16*(CE16*$B58))</f>
        <v>38009.14129764367</v>
      </c>
      <c r="CF58" s="94">
        <f>IF(BF58=".",".",up_RadSpec!$F$16*(CF16*$B58))</f>
        <v>38009.14129764367</v>
      </c>
      <c r="CG58" s="94">
        <f>IF(BG58=".",".",up_RadSpec!$F$16*(CG16*$B58))</f>
        <v>38009.14129764367</v>
      </c>
      <c r="CH58" s="94">
        <f>IF(BH58=".",".",up_RadSpec!$F$16*(CH16*$B58))</f>
        <v>38009.14129764367</v>
      </c>
      <c r="CI58" s="94">
        <f>IF(BI58=".",".",up_RadSpec!$F$16*(CI16*$B58))</f>
        <v>38009.14129764367</v>
      </c>
      <c r="CJ58" s="94">
        <f>IF(BJ58=".",".",up_RadSpec!$F$16*(CJ16*$B58))</f>
        <v>38009.14129764367</v>
      </c>
      <c r="CK58" s="94">
        <f>IF(BK58=".",".",up_RadSpec!$F$16*(CK16*$B58))</f>
        <v>38009.14129764367</v>
      </c>
      <c r="CL58" s="94">
        <f>IF(BL58=".",".",up_RadSpec!$F$16*(CL16*$B58))</f>
        <v>38009.14129764367</v>
      </c>
      <c r="CM58" s="94">
        <f>IF(BM58=".",".",up_RadSpec!$F$16*(CM16*$B58))</f>
        <v>38009.14129764367</v>
      </c>
      <c r="CN58" s="94">
        <f>IF(BN58=".",".",up_RadSpec!$F$16*(CN16*$B58))</f>
        <v>38009.14129764367</v>
      </c>
      <c r="CO58" s="94">
        <f>IF(BO58=".",".",up_RadSpec!$F$16*(CO16*$B58))</f>
        <v>38009.14129764367</v>
      </c>
      <c r="CP58" s="94">
        <f>IF(BP58=".",".",up_RadSpec!$F$16*(CP16*$B58))</f>
        <v>38009.14129764367</v>
      </c>
      <c r="CQ58" s="94">
        <f>IF(BQ58=".",".",up_RadSpec!$F$16*(CQ16*$B58))</f>
        <v>38009.14129764367</v>
      </c>
      <c r="CR58" s="94">
        <f>IF(BR58=".",".",up_RadSpec!$F$16*(CR16*$B58))</f>
        <v>38009.14129764367</v>
      </c>
      <c r="CS58" s="94">
        <f>IF(BS58=".",".",up_RadSpec!$F$16*(CS16*$B58))</f>
        <v>38009.14129764367</v>
      </c>
      <c r="CT58" s="94">
        <f>IF(BT58=".",".",up_RadSpec!$F$16*(CT16*$B58))</f>
        <v>38009.14129764367</v>
      </c>
      <c r="CU58" s="94">
        <f>IF(BU58=".",".",up_RadSpec!$F$16*(CU16*$B58))</f>
        <v>38009.14129764367</v>
      </c>
      <c r="CV58" s="94">
        <f>IF(BV58=".",".",up_RadSpec!$F$16*(CV16*$B58))</f>
        <v>38009.14129764367</v>
      </c>
      <c r="CW58" s="94">
        <f>IF(BW58=".",".",up_RadSpec!$F$16*(CW16*$B58))</f>
        <v>38009.14129764367</v>
      </c>
      <c r="CX58" s="94">
        <f>IF(BX58=".",".",up_RadSpec!$F$16*(CX16*$B58))</f>
        <v>38009.14129764367</v>
      </c>
      <c r="CY58" s="94">
        <f>IF(BY58=".",".",up_RadSpec!$F$16*(CY16*$B58))</f>
        <v>38009.14129764367</v>
      </c>
      <c r="CZ58" s="94">
        <f>IF(BZ58=".",".",up_RadSpec!$F$16*(CZ16*$B58))</f>
        <v>38009.14129764367</v>
      </c>
      <c r="DA58" s="94">
        <f>IF(CA58=".",".",up_RadSpec!$F$16*(DA16*$B58))</f>
        <v>38009.14129764367</v>
      </c>
      <c r="DB58" s="94">
        <f>IF(CB58=".",".",up_RadSpec!$F$16*(DB16*$B58))</f>
        <v>38009.14129764367</v>
      </c>
    </row>
    <row r="59" spans="1:106" s="42" customFormat="1" x14ac:dyDescent="0.25">
      <c r="A59" s="77" t="s">
        <v>1080</v>
      </c>
      <c r="B59" s="42">
        <v>1</v>
      </c>
      <c r="C59" s="60">
        <f t="shared" ref="C59:AB59" si="68">IFERROR(C7/$B59,".")</f>
        <v>1.6443412786038033E-4</v>
      </c>
      <c r="D59" s="60">
        <f t="shared" si="68"/>
        <v>6.5773651144152131E-4</v>
      </c>
      <c r="E59" s="60">
        <f t="shared" si="68"/>
        <v>6.5773651144152131E-4</v>
      </c>
      <c r="F59" s="60">
        <f t="shared" si="68"/>
        <v>6.5773651144152131E-4</v>
      </c>
      <c r="G59" s="60">
        <f t="shared" si="68"/>
        <v>6.5773651144152131E-4</v>
      </c>
      <c r="H59" s="60">
        <f t="shared" si="68"/>
        <v>6.5773651144152131E-4</v>
      </c>
      <c r="I59" s="60">
        <f t="shared" si="68"/>
        <v>6.5773651144152131E-4</v>
      </c>
      <c r="J59" s="60">
        <f t="shared" si="68"/>
        <v>6.5773651144152131E-4</v>
      </c>
      <c r="K59" s="60">
        <f t="shared" si="68"/>
        <v>6.5773651144152131E-4</v>
      </c>
      <c r="L59" s="60">
        <f t="shared" si="68"/>
        <v>6.5773651144152131E-4</v>
      </c>
      <c r="M59" s="60">
        <f t="shared" si="68"/>
        <v>6.5773651144152131E-4</v>
      </c>
      <c r="N59" s="60">
        <f t="shared" si="68"/>
        <v>6.5773651144152131E-4</v>
      </c>
      <c r="O59" s="60">
        <f t="shared" si="68"/>
        <v>6.5773651144152131E-4</v>
      </c>
      <c r="P59" s="60">
        <f t="shared" si="68"/>
        <v>6.5773651144152131E-4</v>
      </c>
      <c r="Q59" s="60">
        <f t="shared" si="68"/>
        <v>6.5773651144152131E-4</v>
      </c>
      <c r="R59" s="60">
        <f t="shared" si="68"/>
        <v>6.5773651144152131E-4</v>
      </c>
      <c r="S59" s="60">
        <f t="shared" si="68"/>
        <v>6.5773651144152131E-4</v>
      </c>
      <c r="T59" s="60">
        <f t="shared" si="68"/>
        <v>6.5773651144152131E-4</v>
      </c>
      <c r="U59" s="60">
        <f t="shared" si="68"/>
        <v>6.5773651144152131E-4</v>
      </c>
      <c r="V59" s="60">
        <f t="shared" si="68"/>
        <v>6.5773651144152131E-4</v>
      </c>
      <c r="W59" s="60">
        <f t="shared" si="68"/>
        <v>6.5773651144152131E-4</v>
      </c>
      <c r="X59" s="60">
        <f t="shared" si="68"/>
        <v>6.5773651144152131E-4</v>
      </c>
      <c r="Y59" s="60">
        <f t="shared" si="68"/>
        <v>6.5773651144152131E-4</v>
      </c>
      <c r="Z59" s="60">
        <f t="shared" si="68"/>
        <v>6.5773651144152131E-4</v>
      </c>
      <c r="AA59" s="60">
        <f t="shared" si="68"/>
        <v>6.5773651144152131E-4</v>
      </c>
      <c r="AB59" s="60">
        <f t="shared" si="68"/>
        <v>6.5773651144152131E-4</v>
      </c>
      <c r="AC59" s="94">
        <f t="shared" si="47"/>
        <v>152036.56519057468</v>
      </c>
      <c r="AD59" s="94">
        <f>IF(D59=".",".",up_RadSpec!$F$7*(AD7*$B59))</f>
        <v>38009.14129764367</v>
      </c>
      <c r="AE59" s="94">
        <f>IF(E59=".",".",up_RadSpec!$F$7*(AE7*$B59))</f>
        <v>38009.14129764367</v>
      </c>
      <c r="AF59" s="94">
        <f>IF(F59=".",".",up_RadSpec!$F$7*(AF7*$B59))</f>
        <v>38009.14129764367</v>
      </c>
      <c r="AG59" s="94">
        <f>IF(G59=".",".",up_RadSpec!$F$7*(AG7*$B59))</f>
        <v>38009.14129764367</v>
      </c>
      <c r="AH59" s="94">
        <f>IF(H59=".",".",up_RadSpec!$F$7*(AH7*$B59))</f>
        <v>38009.14129764367</v>
      </c>
      <c r="AI59" s="94">
        <f>IF(I59=".",".",up_RadSpec!$F$7*(AI7*$B59))</f>
        <v>38009.14129764367</v>
      </c>
      <c r="AJ59" s="94">
        <f>IF(J59=".",".",up_RadSpec!$F$7*(AJ7*$B59))</f>
        <v>38009.14129764367</v>
      </c>
      <c r="AK59" s="94">
        <f>IF(K59=".",".",up_RadSpec!$F$7*(AK7*$B59))</f>
        <v>38009.14129764367</v>
      </c>
      <c r="AL59" s="94">
        <f>IF(L59=".",".",up_RadSpec!$F$7*(AL7*$B59))</f>
        <v>38009.14129764367</v>
      </c>
      <c r="AM59" s="94">
        <f>IF(M59=".",".",up_RadSpec!$F$7*(AM7*$B59))</f>
        <v>38009.14129764367</v>
      </c>
      <c r="AN59" s="94">
        <f>IF(N59=".",".",up_RadSpec!$F$7*(AN7*$B59))</f>
        <v>38009.14129764367</v>
      </c>
      <c r="AO59" s="94">
        <f>IF(O59=".",".",up_RadSpec!$F$7*(AO7*$B59))</f>
        <v>38009.14129764367</v>
      </c>
      <c r="AP59" s="94">
        <f>IF(P59=".",".",up_RadSpec!$F$7*(AP7*$B59))</f>
        <v>38009.14129764367</v>
      </c>
      <c r="AQ59" s="94">
        <f>IF(Q59=".",".",up_RadSpec!$F$7*(AQ7*$B59))</f>
        <v>38009.14129764367</v>
      </c>
      <c r="AR59" s="94">
        <f>IF(R59=".",".",up_RadSpec!$F$7*(AR7*$B59))</f>
        <v>38009.14129764367</v>
      </c>
      <c r="AS59" s="94">
        <f>IF(S59=".",".",up_RadSpec!$F$7*(AS7*$B59))</f>
        <v>38009.14129764367</v>
      </c>
      <c r="AT59" s="94">
        <f>IF(T59=".",".",up_RadSpec!$F$7*(AT7*$B59))</f>
        <v>38009.14129764367</v>
      </c>
      <c r="AU59" s="94">
        <f>IF(U59=".",".",up_RadSpec!$F$7*(AU7*$B59))</f>
        <v>38009.14129764367</v>
      </c>
      <c r="AV59" s="94">
        <f>IF(V59=".",".",up_RadSpec!$F$7*(AV7*$B59))</f>
        <v>38009.14129764367</v>
      </c>
      <c r="AW59" s="94">
        <f>IF(W59=".",".",up_RadSpec!$F$7*(AW7*$B59))</f>
        <v>38009.14129764367</v>
      </c>
      <c r="AX59" s="94">
        <f>IF(X59=".",".",up_RadSpec!$F$7*(AX7*$B59))</f>
        <v>38009.14129764367</v>
      </c>
      <c r="AY59" s="94">
        <f>IF(Y59=".",".",up_RadSpec!$F$7*(AY7*$B59))</f>
        <v>38009.14129764367</v>
      </c>
      <c r="AZ59" s="94">
        <f>IF(Z59=".",".",up_RadSpec!$F$7*(AZ7*$B59))</f>
        <v>38009.14129764367</v>
      </c>
      <c r="BA59" s="94">
        <f>IF(AA59=".",".",up_RadSpec!$F$7*(BA7*$B59))</f>
        <v>38009.14129764367</v>
      </c>
      <c r="BB59" s="94">
        <f>IF(AB59=".",".",up_RadSpec!$F$7*(BB7*$B59))</f>
        <v>38009.14129764367</v>
      </c>
      <c r="BC59" s="60">
        <f t="shared" ref="BC59:CB59" si="69">IFERROR(BC7/$B59,".")</f>
        <v>1.6443412786038033E-4</v>
      </c>
      <c r="BD59" s="60">
        <f t="shared" si="69"/>
        <v>6.5773651144152131E-4</v>
      </c>
      <c r="BE59" s="60">
        <f t="shared" si="69"/>
        <v>6.5773651144152131E-4</v>
      </c>
      <c r="BF59" s="60">
        <f t="shared" si="69"/>
        <v>6.5773651144152131E-4</v>
      </c>
      <c r="BG59" s="60">
        <f t="shared" si="69"/>
        <v>6.5773651144152131E-4</v>
      </c>
      <c r="BH59" s="60">
        <f t="shared" si="69"/>
        <v>6.5773651144152131E-4</v>
      </c>
      <c r="BI59" s="60">
        <f t="shared" si="69"/>
        <v>6.5773651144152131E-4</v>
      </c>
      <c r="BJ59" s="60">
        <f t="shared" si="69"/>
        <v>6.5773651144152131E-4</v>
      </c>
      <c r="BK59" s="60">
        <f t="shared" si="69"/>
        <v>6.5773651144152131E-4</v>
      </c>
      <c r="BL59" s="60">
        <f t="shared" si="69"/>
        <v>6.5773651144152131E-4</v>
      </c>
      <c r="BM59" s="60">
        <f t="shared" si="69"/>
        <v>6.5773651144152131E-4</v>
      </c>
      <c r="BN59" s="60">
        <f t="shared" si="69"/>
        <v>6.5773651144152131E-4</v>
      </c>
      <c r="BO59" s="60">
        <f t="shared" si="69"/>
        <v>6.5773651144152131E-4</v>
      </c>
      <c r="BP59" s="60">
        <f t="shared" si="69"/>
        <v>6.5773651144152131E-4</v>
      </c>
      <c r="BQ59" s="60">
        <f t="shared" si="69"/>
        <v>6.5773651144152131E-4</v>
      </c>
      <c r="BR59" s="60">
        <f t="shared" si="69"/>
        <v>6.5773651144152131E-4</v>
      </c>
      <c r="BS59" s="60">
        <f t="shared" si="69"/>
        <v>6.5773651144152131E-4</v>
      </c>
      <c r="BT59" s="60">
        <f t="shared" si="69"/>
        <v>6.5773651144152131E-4</v>
      </c>
      <c r="BU59" s="60">
        <f t="shared" si="69"/>
        <v>6.5773651144152131E-4</v>
      </c>
      <c r="BV59" s="60">
        <f t="shared" si="69"/>
        <v>6.5773651144152131E-4</v>
      </c>
      <c r="BW59" s="60">
        <f t="shared" si="69"/>
        <v>6.5773651144152131E-4</v>
      </c>
      <c r="BX59" s="60">
        <f t="shared" si="69"/>
        <v>6.5773651144152131E-4</v>
      </c>
      <c r="BY59" s="60">
        <f t="shared" si="69"/>
        <v>6.5773651144152131E-4</v>
      </c>
      <c r="BZ59" s="60">
        <f t="shared" si="69"/>
        <v>6.5773651144152131E-4</v>
      </c>
      <c r="CA59" s="60">
        <f t="shared" si="69"/>
        <v>6.5773651144152131E-4</v>
      </c>
      <c r="CB59" s="60">
        <f t="shared" si="69"/>
        <v>6.5773651144152131E-4</v>
      </c>
      <c r="CC59" s="94">
        <f t="shared" si="49"/>
        <v>152036.56519057468</v>
      </c>
      <c r="CD59" s="94">
        <f>IF(BD59=".",".",up_RadSpec!$F$7*(CD7*$B59))</f>
        <v>38009.14129764367</v>
      </c>
      <c r="CE59" s="94">
        <f>IF(BE59=".",".",up_RadSpec!$F$7*(CE7*$B59))</f>
        <v>38009.14129764367</v>
      </c>
      <c r="CF59" s="94">
        <f>IF(BF59=".",".",up_RadSpec!$F$7*(CF7*$B59))</f>
        <v>38009.14129764367</v>
      </c>
      <c r="CG59" s="94">
        <f>IF(BG59=".",".",up_RadSpec!$F$7*(CG7*$B59))</f>
        <v>38009.14129764367</v>
      </c>
      <c r="CH59" s="94">
        <f>IF(BH59=".",".",up_RadSpec!$F$7*(CH7*$B59))</f>
        <v>38009.14129764367</v>
      </c>
      <c r="CI59" s="94">
        <f>IF(BI59=".",".",up_RadSpec!$F$7*(CI7*$B59))</f>
        <v>38009.14129764367</v>
      </c>
      <c r="CJ59" s="94">
        <f>IF(BJ59=".",".",up_RadSpec!$F$7*(CJ7*$B59))</f>
        <v>38009.14129764367</v>
      </c>
      <c r="CK59" s="94">
        <f>IF(BK59=".",".",up_RadSpec!$F$7*(CK7*$B59))</f>
        <v>38009.14129764367</v>
      </c>
      <c r="CL59" s="94">
        <f>IF(BL59=".",".",up_RadSpec!$F$7*(CL7*$B59))</f>
        <v>38009.14129764367</v>
      </c>
      <c r="CM59" s="94">
        <f>IF(BM59=".",".",up_RadSpec!$F$7*(CM7*$B59))</f>
        <v>38009.14129764367</v>
      </c>
      <c r="CN59" s="94">
        <f>IF(BN59=".",".",up_RadSpec!$F$7*(CN7*$B59))</f>
        <v>38009.14129764367</v>
      </c>
      <c r="CO59" s="94">
        <f>IF(BO59=".",".",up_RadSpec!$F$7*(CO7*$B59))</f>
        <v>38009.14129764367</v>
      </c>
      <c r="CP59" s="94">
        <f>IF(BP59=".",".",up_RadSpec!$F$7*(CP7*$B59))</f>
        <v>38009.14129764367</v>
      </c>
      <c r="CQ59" s="94">
        <f>IF(BQ59=".",".",up_RadSpec!$F$7*(CQ7*$B59))</f>
        <v>38009.14129764367</v>
      </c>
      <c r="CR59" s="94">
        <f>IF(BR59=".",".",up_RadSpec!$F$7*(CR7*$B59))</f>
        <v>38009.14129764367</v>
      </c>
      <c r="CS59" s="94">
        <f>IF(BS59=".",".",up_RadSpec!$F$7*(CS7*$B59))</f>
        <v>38009.14129764367</v>
      </c>
      <c r="CT59" s="94">
        <f>IF(BT59=".",".",up_RadSpec!$F$7*(CT7*$B59))</f>
        <v>38009.14129764367</v>
      </c>
      <c r="CU59" s="94">
        <f>IF(BU59=".",".",up_RadSpec!$F$7*(CU7*$B59))</f>
        <v>38009.14129764367</v>
      </c>
      <c r="CV59" s="94">
        <f>IF(BV59=".",".",up_RadSpec!$F$7*(CV7*$B59))</f>
        <v>38009.14129764367</v>
      </c>
      <c r="CW59" s="94">
        <f>IF(BW59=".",".",up_RadSpec!$F$7*(CW7*$B59))</f>
        <v>38009.14129764367</v>
      </c>
      <c r="CX59" s="94">
        <f>IF(BX59=".",".",up_RadSpec!$F$7*(CX7*$B59))</f>
        <v>38009.14129764367</v>
      </c>
      <c r="CY59" s="94">
        <f>IF(BY59=".",".",up_RadSpec!$F$7*(CY7*$B59))</f>
        <v>38009.14129764367</v>
      </c>
      <c r="CZ59" s="94">
        <f>IF(BZ59=".",".",up_RadSpec!$F$7*(CZ7*$B59))</f>
        <v>38009.14129764367</v>
      </c>
      <c r="DA59" s="94">
        <f>IF(CA59=".",".",up_RadSpec!$F$7*(DA7*$B59))</f>
        <v>38009.14129764367</v>
      </c>
      <c r="DB59" s="94">
        <f>IF(CB59=".",".",up_RadSpec!$F$7*(DB7*$B59))</f>
        <v>38009.14129764367</v>
      </c>
    </row>
    <row r="60" spans="1:106" s="42" customFormat="1" x14ac:dyDescent="0.25">
      <c r="A60" s="77" t="s">
        <v>1081</v>
      </c>
      <c r="B60" s="80">
        <v>1.9000000000000001E-8</v>
      </c>
      <c r="C60" s="60">
        <f t="shared" ref="C60:AB60" si="70">IFERROR(C12/$B60,".")</f>
        <v>8654.4277821252799</v>
      </c>
      <c r="D60" s="60">
        <f t="shared" si="70"/>
        <v>34617.71112850112</v>
      </c>
      <c r="E60" s="60">
        <f t="shared" si="70"/>
        <v>34617.71112850112</v>
      </c>
      <c r="F60" s="60">
        <f t="shared" si="70"/>
        <v>34617.71112850112</v>
      </c>
      <c r="G60" s="60">
        <f t="shared" si="70"/>
        <v>34617.71112850112</v>
      </c>
      <c r="H60" s="60">
        <f t="shared" si="70"/>
        <v>34617.71112850112</v>
      </c>
      <c r="I60" s="60">
        <f t="shared" si="70"/>
        <v>34617.71112850112</v>
      </c>
      <c r="J60" s="60">
        <f t="shared" si="70"/>
        <v>34617.71112850112</v>
      </c>
      <c r="K60" s="60">
        <f t="shared" si="70"/>
        <v>34617.71112850112</v>
      </c>
      <c r="L60" s="60">
        <f t="shared" si="70"/>
        <v>34617.71112850112</v>
      </c>
      <c r="M60" s="60">
        <f t="shared" si="70"/>
        <v>34617.71112850112</v>
      </c>
      <c r="N60" s="60">
        <f t="shared" si="70"/>
        <v>34617.71112850112</v>
      </c>
      <c r="O60" s="60">
        <f t="shared" si="70"/>
        <v>34617.71112850112</v>
      </c>
      <c r="P60" s="60">
        <f t="shared" si="70"/>
        <v>34617.71112850112</v>
      </c>
      <c r="Q60" s="60">
        <f t="shared" si="70"/>
        <v>34617.71112850112</v>
      </c>
      <c r="R60" s="60">
        <f t="shared" si="70"/>
        <v>34617.71112850112</v>
      </c>
      <c r="S60" s="60">
        <f t="shared" si="70"/>
        <v>34617.71112850112</v>
      </c>
      <c r="T60" s="60">
        <f t="shared" si="70"/>
        <v>34617.71112850112</v>
      </c>
      <c r="U60" s="60">
        <f t="shared" si="70"/>
        <v>34617.71112850112</v>
      </c>
      <c r="V60" s="60">
        <f t="shared" si="70"/>
        <v>34617.71112850112</v>
      </c>
      <c r="W60" s="60">
        <f t="shared" si="70"/>
        <v>34617.71112850112</v>
      </c>
      <c r="X60" s="60">
        <f t="shared" si="70"/>
        <v>34617.71112850112</v>
      </c>
      <c r="Y60" s="60">
        <f t="shared" si="70"/>
        <v>34617.71112850112</v>
      </c>
      <c r="Z60" s="60">
        <f t="shared" si="70"/>
        <v>34617.71112850112</v>
      </c>
      <c r="AA60" s="60">
        <f t="shared" si="70"/>
        <v>34617.71112850112</v>
      </c>
      <c r="AB60" s="60">
        <f t="shared" si="70"/>
        <v>34617.71112850112</v>
      </c>
      <c r="AC60" s="94">
        <f t="shared" si="47"/>
        <v>2.888694738620919E-3</v>
      </c>
      <c r="AD60" s="94">
        <f>IF(D60=".",".",up_RadSpec!$F$12*(AD12*$B60))</f>
        <v>7.2217368465522975E-4</v>
      </c>
      <c r="AE60" s="94">
        <f>IF(E60=".",".",up_RadSpec!$F$12*(AE12*$B60))</f>
        <v>7.2217368465522975E-4</v>
      </c>
      <c r="AF60" s="94">
        <f>IF(F60=".",".",up_RadSpec!$F$12*(AF12*$B60))</f>
        <v>7.2217368465522975E-4</v>
      </c>
      <c r="AG60" s="94">
        <f>IF(G60=".",".",up_RadSpec!$F$12*(AG12*$B60))</f>
        <v>7.2217368465522975E-4</v>
      </c>
      <c r="AH60" s="94">
        <f>IF(H60=".",".",up_RadSpec!$F$12*(AH12*$B60))</f>
        <v>7.2217368465522975E-4</v>
      </c>
      <c r="AI60" s="94">
        <f>IF(I60=".",".",up_RadSpec!$F$12*(AI12*$B60))</f>
        <v>7.2217368465522975E-4</v>
      </c>
      <c r="AJ60" s="94">
        <f>IF(J60=".",".",up_RadSpec!$F$12*(AJ12*$B60))</f>
        <v>7.2217368465522975E-4</v>
      </c>
      <c r="AK60" s="94">
        <f>IF(K60=".",".",up_RadSpec!$F$12*(AK12*$B60))</f>
        <v>7.2217368465522975E-4</v>
      </c>
      <c r="AL60" s="94">
        <f>IF(L60=".",".",up_RadSpec!$F$12*(AL12*$B60))</f>
        <v>7.2217368465522975E-4</v>
      </c>
      <c r="AM60" s="94">
        <f>IF(M60=".",".",up_RadSpec!$F$12*(AM12*$B60))</f>
        <v>7.2217368465522975E-4</v>
      </c>
      <c r="AN60" s="94">
        <f>IF(N60=".",".",up_RadSpec!$F$12*(AN12*$B60))</f>
        <v>7.2217368465522975E-4</v>
      </c>
      <c r="AO60" s="94">
        <f>IF(O60=".",".",up_RadSpec!$F$12*(AO12*$B60))</f>
        <v>7.2217368465522975E-4</v>
      </c>
      <c r="AP60" s="94">
        <f>IF(P60=".",".",up_RadSpec!$F$12*(AP12*$B60))</f>
        <v>7.2217368465522975E-4</v>
      </c>
      <c r="AQ60" s="94">
        <f>IF(Q60=".",".",up_RadSpec!$F$12*(AQ12*$B60))</f>
        <v>7.2217368465522975E-4</v>
      </c>
      <c r="AR60" s="94">
        <f>IF(R60=".",".",up_RadSpec!$F$12*(AR12*$B60))</f>
        <v>7.2217368465522975E-4</v>
      </c>
      <c r="AS60" s="94">
        <f>IF(S60=".",".",up_RadSpec!$F$12*(AS12*$B60))</f>
        <v>7.2217368465522975E-4</v>
      </c>
      <c r="AT60" s="94">
        <f>IF(T60=".",".",up_RadSpec!$F$12*(AT12*$B60))</f>
        <v>7.2217368465522975E-4</v>
      </c>
      <c r="AU60" s="94">
        <f>IF(U60=".",".",up_RadSpec!$F$12*(AU12*$B60))</f>
        <v>7.2217368465522975E-4</v>
      </c>
      <c r="AV60" s="94">
        <f>IF(V60=".",".",up_RadSpec!$F$12*(AV12*$B60))</f>
        <v>7.2217368465522975E-4</v>
      </c>
      <c r="AW60" s="94">
        <f>IF(W60=".",".",up_RadSpec!$F$12*(AW12*$B60))</f>
        <v>7.2217368465522975E-4</v>
      </c>
      <c r="AX60" s="94">
        <f>IF(X60=".",".",up_RadSpec!$F$12*(AX12*$B60))</f>
        <v>7.2217368465522975E-4</v>
      </c>
      <c r="AY60" s="94">
        <f>IF(Y60=".",".",up_RadSpec!$F$12*(AY12*$B60))</f>
        <v>7.2217368465522975E-4</v>
      </c>
      <c r="AZ60" s="94">
        <f>IF(Z60=".",".",up_RadSpec!$F$12*(AZ12*$B60))</f>
        <v>7.2217368465522975E-4</v>
      </c>
      <c r="BA60" s="94">
        <f>IF(AA60=".",".",up_RadSpec!$F$12*(BA12*$B60))</f>
        <v>7.2217368465522975E-4</v>
      </c>
      <c r="BB60" s="94">
        <f>IF(AB60=".",".",up_RadSpec!$F$12*(BB12*$B60))</f>
        <v>7.2217368465522975E-4</v>
      </c>
      <c r="BC60" s="60">
        <f t="shared" ref="BC60:CB60" si="71">IFERROR(BC12/$B60,".")</f>
        <v>8654.4277821252799</v>
      </c>
      <c r="BD60" s="60">
        <f t="shared" si="71"/>
        <v>34617.71112850112</v>
      </c>
      <c r="BE60" s="60">
        <f t="shared" si="71"/>
        <v>34617.71112850112</v>
      </c>
      <c r="BF60" s="60">
        <f t="shared" si="71"/>
        <v>34617.71112850112</v>
      </c>
      <c r="BG60" s="60">
        <f t="shared" si="71"/>
        <v>34617.71112850112</v>
      </c>
      <c r="BH60" s="60">
        <f t="shared" si="71"/>
        <v>34617.71112850112</v>
      </c>
      <c r="BI60" s="60">
        <f t="shared" si="71"/>
        <v>34617.71112850112</v>
      </c>
      <c r="BJ60" s="60">
        <f t="shared" si="71"/>
        <v>34617.71112850112</v>
      </c>
      <c r="BK60" s="60">
        <f t="shared" si="71"/>
        <v>34617.71112850112</v>
      </c>
      <c r="BL60" s="60">
        <f t="shared" si="71"/>
        <v>34617.71112850112</v>
      </c>
      <c r="BM60" s="60">
        <f t="shared" si="71"/>
        <v>34617.71112850112</v>
      </c>
      <c r="BN60" s="60">
        <f t="shared" si="71"/>
        <v>34617.71112850112</v>
      </c>
      <c r="BO60" s="60">
        <f t="shared" si="71"/>
        <v>34617.71112850112</v>
      </c>
      <c r="BP60" s="60">
        <f t="shared" si="71"/>
        <v>34617.71112850112</v>
      </c>
      <c r="BQ60" s="60">
        <f t="shared" si="71"/>
        <v>34617.71112850112</v>
      </c>
      <c r="BR60" s="60">
        <f t="shared" si="71"/>
        <v>34617.71112850112</v>
      </c>
      <c r="BS60" s="60">
        <f t="shared" si="71"/>
        <v>34617.71112850112</v>
      </c>
      <c r="BT60" s="60">
        <f t="shared" si="71"/>
        <v>34617.71112850112</v>
      </c>
      <c r="BU60" s="60">
        <f t="shared" si="71"/>
        <v>34617.71112850112</v>
      </c>
      <c r="BV60" s="60">
        <f t="shared" si="71"/>
        <v>34617.71112850112</v>
      </c>
      <c r="BW60" s="60">
        <f t="shared" si="71"/>
        <v>34617.71112850112</v>
      </c>
      <c r="BX60" s="60">
        <f t="shared" si="71"/>
        <v>34617.71112850112</v>
      </c>
      <c r="BY60" s="60">
        <f t="shared" si="71"/>
        <v>34617.71112850112</v>
      </c>
      <c r="BZ60" s="60">
        <f t="shared" si="71"/>
        <v>34617.71112850112</v>
      </c>
      <c r="CA60" s="60">
        <f t="shared" si="71"/>
        <v>34617.71112850112</v>
      </c>
      <c r="CB60" s="60">
        <f t="shared" si="71"/>
        <v>34617.71112850112</v>
      </c>
      <c r="CC60" s="94">
        <f t="shared" si="49"/>
        <v>2.888694738620919E-3</v>
      </c>
      <c r="CD60" s="94">
        <f>IF(BD60=".",".",up_RadSpec!$F$12*(CD12*$B60))</f>
        <v>7.2217368465522975E-4</v>
      </c>
      <c r="CE60" s="94">
        <f>IF(BE60=".",".",up_RadSpec!$F$12*(CE12*$B60))</f>
        <v>7.2217368465522975E-4</v>
      </c>
      <c r="CF60" s="94">
        <f>IF(BF60=".",".",up_RadSpec!$F$12*(CF12*$B60))</f>
        <v>7.2217368465522975E-4</v>
      </c>
      <c r="CG60" s="94">
        <f>IF(BG60=".",".",up_RadSpec!$F$12*(CG12*$B60))</f>
        <v>7.2217368465522975E-4</v>
      </c>
      <c r="CH60" s="94">
        <f>IF(BH60=".",".",up_RadSpec!$F$12*(CH12*$B60))</f>
        <v>7.2217368465522975E-4</v>
      </c>
      <c r="CI60" s="94">
        <f>IF(BI60=".",".",up_RadSpec!$F$12*(CI12*$B60))</f>
        <v>7.2217368465522975E-4</v>
      </c>
      <c r="CJ60" s="94">
        <f>IF(BJ60=".",".",up_RadSpec!$F$12*(CJ12*$B60))</f>
        <v>7.2217368465522975E-4</v>
      </c>
      <c r="CK60" s="94">
        <f>IF(BK60=".",".",up_RadSpec!$F$12*(CK12*$B60))</f>
        <v>7.2217368465522975E-4</v>
      </c>
      <c r="CL60" s="94">
        <f>IF(BL60=".",".",up_RadSpec!$F$12*(CL12*$B60))</f>
        <v>7.2217368465522975E-4</v>
      </c>
      <c r="CM60" s="94">
        <f>IF(BM60=".",".",up_RadSpec!$F$12*(CM12*$B60))</f>
        <v>7.2217368465522975E-4</v>
      </c>
      <c r="CN60" s="94">
        <f>IF(BN60=".",".",up_RadSpec!$F$12*(CN12*$B60))</f>
        <v>7.2217368465522975E-4</v>
      </c>
      <c r="CO60" s="94">
        <f>IF(BO60=".",".",up_RadSpec!$F$12*(CO12*$B60))</f>
        <v>7.2217368465522975E-4</v>
      </c>
      <c r="CP60" s="94">
        <f>IF(BP60=".",".",up_RadSpec!$F$12*(CP12*$B60))</f>
        <v>7.2217368465522975E-4</v>
      </c>
      <c r="CQ60" s="94">
        <f>IF(BQ60=".",".",up_RadSpec!$F$12*(CQ12*$B60))</f>
        <v>7.2217368465522975E-4</v>
      </c>
      <c r="CR60" s="94">
        <f>IF(BR60=".",".",up_RadSpec!$F$12*(CR12*$B60))</f>
        <v>7.2217368465522975E-4</v>
      </c>
      <c r="CS60" s="94">
        <f>IF(BS60=".",".",up_RadSpec!$F$12*(CS12*$B60))</f>
        <v>7.2217368465522975E-4</v>
      </c>
      <c r="CT60" s="94">
        <f>IF(BT60=".",".",up_RadSpec!$F$12*(CT12*$B60))</f>
        <v>7.2217368465522975E-4</v>
      </c>
      <c r="CU60" s="94">
        <f>IF(BU60=".",".",up_RadSpec!$F$12*(CU12*$B60))</f>
        <v>7.2217368465522975E-4</v>
      </c>
      <c r="CV60" s="94">
        <f>IF(BV60=".",".",up_RadSpec!$F$12*(CV12*$B60))</f>
        <v>7.2217368465522975E-4</v>
      </c>
      <c r="CW60" s="94">
        <f>IF(BW60=".",".",up_RadSpec!$F$12*(CW12*$B60))</f>
        <v>7.2217368465522975E-4</v>
      </c>
      <c r="CX60" s="94">
        <f>IF(BX60=".",".",up_RadSpec!$F$12*(CX12*$B60))</f>
        <v>7.2217368465522975E-4</v>
      </c>
      <c r="CY60" s="94">
        <f>IF(BY60=".",".",up_RadSpec!$F$12*(CY12*$B60))</f>
        <v>7.2217368465522975E-4</v>
      </c>
      <c r="CZ60" s="94">
        <f>IF(BZ60=".",".",up_RadSpec!$F$12*(CZ12*$B60))</f>
        <v>7.2217368465522975E-4</v>
      </c>
      <c r="DA60" s="94">
        <f>IF(CA60=".",".",up_RadSpec!$F$12*(DA12*$B60))</f>
        <v>7.2217368465522975E-4</v>
      </c>
      <c r="DB60" s="94">
        <f>IF(CB60=".",".",up_RadSpec!$F$12*(DB12*$B60))</f>
        <v>7.2217368465522975E-4</v>
      </c>
    </row>
    <row r="61" spans="1:106" s="42" customFormat="1" x14ac:dyDescent="0.25">
      <c r="A61" s="77" t="s">
        <v>1082</v>
      </c>
      <c r="B61" s="42">
        <v>1</v>
      </c>
      <c r="C61" s="60">
        <f t="shared" ref="C61:AB61" si="72">IFERROR(C18/$B61,".")</f>
        <v>1.6443412786038033E-4</v>
      </c>
      <c r="D61" s="60">
        <f t="shared" si="72"/>
        <v>6.5773651144152131E-4</v>
      </c>
      <c r="E61" s="60">
        <f t="shared" si="72"/>
        <v>6.5773651144152131E-4</v>
      </c>
      <c r="F61" s="60">
        <f t="shared" si="72"/>
        <v>6.5773651144152131E-4</v>
      </c>
      <c r="G61" s="60">
        <f t="shared" si="72"/>
        <v>6.5773651144152131E-4</v>
      </c>
      <c r="H61" s="60">
        <f t="shared" si="72"/>
        <v>6.5773651144152131E-4</v>
      </c>
      <c r="I61" s="60">
        <f t="shared" si="72"/>
        <v>6.5773651144152131E-4</v>
      </c>
      <c r="J61" s="60">
        <f t="shared" si="72"/>
        <v>6.5773651144152131E-4</v>
      </c>
      <c r="K61" s="60">
        <f t="shared" si="72"/>
        <v>6.5773651144152131E-4</v>
      </c>
      <c r="L61" s="60">
        <f t="shared" si="72"/>
        <v>6.5773651144152131E-4</v>
      </c>
      <c r="M61" s="60">
        <f t="shared" si="72"/>
        <v>6.5773651144152131E-4</v>
      </c>
      <c r="N61" s="60">
        <f t="shared" si="72"/>
        <v>6.5773651144152131E-4</v>
      </c>
      <c r="O61" s="60">
        <f t="shared" si="72"/>
        <v>6.5773651144152131E-4</v>
      </c>
      <c r="P61" s="60">
        <f t="shared" si="72"/>
        <v>6.5773651144152131E-4</v>
      </c>
      <c r="Q61" s="60">
        <f t="shared" si="72"/>
        <v>6.5773651144152131E-4</v>
      </c>
      <c r="R61" s="60">
        <f t="shared" si="72"/>
        <v>6.5773651144152131E-4</v>
      </c>
      <c r="S61" s="60">
        <f t="shared" si="72"/>
        <v>6.5773651144152131E-4</v>
      </c>
      <c r="T61" s="60">
        <f t="shared" si="72"/>
        <v>6.5773651144152131E-4</v>
      </c>
      <c r="U61" s="60">
        <f t="shared" si="72"/>
        <v>6.5773651144152131E-4</v>
      </c>
      <c r="V61" s="60">
        <f t="shared" si="72"/>
        <v>6.5773651144152131E-4</v>
      </c>
      <c r="W61" s="60">
        <f t="shared" si="72"/>
        <v>6.5773651144152131E-4</v>
      </c>
      <c r="X61" s="60">
        <f t="shared" si="72"/>
        <v>6.5773651144152131E-4</v>
      </c>
      <c r="Y61" s="60">
        <f t="shared" si="72"/>
        <v>6.5773651144152131E-4</v>
      </c>
      <c r="Z61" s="60">
        <f t="shared" si="72"/>
        <v>6.5773651144152131E-4</v>
      </c>
      <c r="AA61" s="60">
        <f t="shared" si="72"/>
        <v>6.5773651144152131E-4</v>
      </c>
      <c r="AB61" s="60">
        <f t="shared" si="72"/>
        <v>6.5773651144152131E-4</v>
      </c>
      <c r="AC61" s="94">
        <f t="shared" si="47"/>
        <v>152036.56519057468</v>
      </c>
      <c r="AD61" s="94">
        <f>IF(D61=".",".",up_RadSpec!$F$18*(AD18*$B61))</f>
        <v>38009.14129764367</v>
      </c>
      <c r="AE61" s="94">
        <f>IF(E61=".",".",up_RadSpec!$F$18*(AE18*$B61))</f>
        <v>38009.14129764367</v>
      </c>
      <c r="AF61" s="94">
        <f>IF(F61=".",".",up_RadSpec!$F$18*(AF18*$B61))</f>
        <v>38009.14129764367</v>
      </c>
      <c r="AG61" s="94">
        <f>IF(G61=".",".",up_RadSpec!$F$18*(AG18*$B61))</f>
        <v>38009.14129764367</v>
      </c>
      <c r="AH61" s="94">
        <f>IF(H61=".",".",up_RadSpec!$F$18*(AH18*$B61))</f>
        <v>38009.14129764367</v>
      </c>
      <c r="AI61" s="94">
        <f>IF(I61=".",".",up_RadSpec!$F$18*(AI18*$B61))</f>
        <v>38009.14129764367</v>
      </c>
      <c r="AJ61" s="94">
        <f>IF(J61=".",".",up_RadSpec!$F$18*(AJ18*$B61))</f>
        <v>38009.14129764367</v>
      </c>
      <c r="AK61" s="94">
        <f>IF(K61=".",".",up_RadSpec!$F$18*(AK18*$B61))</f>
        <v>38009.14129764367</v>
      </c>
      <c r="AL61" s="94">
        <f>IF(L61=".",".",up_RadSpec!$F$18*(AL18*$B61))</f>
        <v>38009.14129764367</v>
      </c>
      <c r="AM61" s="94">
        <f>IF(M61=".",".",up_RadSpec!$F$18*(AM18*$B61))</f>
        <v>38009.14129764367</v>
      </c>
      <c r="AN61" s="94">
        <f>IF(N61=".",".",up_RadSpec!$F$18*(AN18*$B61))</f>
        <v>38009.14129764367</v>
      </c>
      <c r="AO61" s="94">
        <f>IF(O61=".",".",up_RadSpec!$F$18*(AO18*$B61))</f>
        <v>38009.14129764367</v>
      </c>
      <c r="AP61" s="94">
        <f>IF(P61=".",".",up_RadSpec!$F$18*(AP18*$B61))</f>
        <v>38009.14129764367</v>
      </c>
      <c r="AQ61" s="94">
        <f>IF(Q61=".",".",up_RadSpec!$F$18*(AQ18*$B61))</f>
        <v>38009.14129764367</v>
      </c>
      <c r="AR61" s="94">
        <f>IF(R61=".",".",up_RadSpec!$F$18*(AR18*$B61))</f>
        <v>38009.14129764367</v>
      </c>
      <c r="AS61" s="94">
        <f>IF(S61=".",".",up_RadSpec!$F$18*(AS18*$B61))</f>
        <v>38009.14129764367</v>
      </c>
      <c r="AT61" s="94">
        <f>IF(T61=".",".",up_RadSpec!$F$18*(AT18*$B61))</f>
        <v>38009.14129764367</v>
      </c>
      <c r="AU61" s="94">
        <f>IF(U61=".",".",up_RadSpec!$F$18*(AU18*$B61))</f>
        <v>38009.14129764367</v>
      </c>
      <c r="AV61" s="94">
        <f>IF(V61=".",".",up_RadSpec!$F$18*(AV18*$B61))</f>
        <v>38009.14129764367</v>
      </c>
      <c r="AW61" s="94">
        <f>IF(W61=".",".",up_RadSpec!$F$18*(AW18*$B61))</f>
        <v>38009.14129764367</v>
      </c>
      <c r="AX61" s="94">
        <f>IF(X61=".",".",up_RadSpec!$F$18*(AX18*$B61))</f>
        <v>38009.14129764367</v>
      </c>
      <c r="AY61" s="94">
        <f>IF(Y61=".",".",up_RadSpec!$F$18*(AY18*$B61))</f>
        <v>38009.14129764367</v>
      </c>
      <c r="AZ61" s="94">
        <f>IF(Z61=".",".",up_RadSpec!$F$18*(AZ18*$B61))</f>
        <v>38009.14129764367</v>
      </c>
      <c r="BA61" s="94">
        <f>IF(AA61=".",".",up_RadSpec!$F$18*(BA18*$B61))</f>
        <v>38009.14129764367</v>
      </c>
      <c r="BB61" s="94">
        <f>IF(AB61=".",".",up_RadSpec!$F$18*(BB18*$B61))</f>
        <v>38009.14129764367</v>
      </c>
      <c r="BC61" s="60">
        <f t="shared" ref="BC61:CB61" si="73">IFERROR(BC18/$B61,".")</f>
        <v>1.6443412786038033E-4</v>
      </c>
      <c r="BD61" s="60">
        <f t="shared" si="73"/>
        <v>6.5773651144152131E-4</v>
      </c>
      <c r="BE61" s="60">
        <f t="shared" si="73"/>
        <v>6.5773651144152131E-4</v>
      </c>
      <c r="BF61" s="60">
        <f t="shared" si="73"/>
        <v>6.5773651144152131E-4</v>
      </c>
      <c r="BG61" s="60">
        <f t="shared" si="73"/>
        <v>6.5773651144152131E-4</v>
      </c>
      <c r="BH61" s="60">
        <f t="shared" si="73"/>
        <v>6.5773651144152131E-4</v>
      </c>
      <c r="BI61" s="60">
        <f t="shared" si="73"/>
        <v>6.5773651144152131E-4</v>
      </c>
      <c r="BJ61" s="60">
        <f t="shared" si="73"/>
        <v>6.5773651144152131E-4</v>
      </c>
      <c r="BK61" s="60">
        <f t="shared" si="73"/>
        <v>6.5773651144152131E-4</v>
      </c>
      <c r="BL61" s="60">
        <f t="shared" si="73"/>
        <v>6.5773651144152131E-4</v>
      </c>
      <c r="BM61" s="60">
        <f t="shared" si="73"/>
        <v>6.5773651144152131E-4</v>
      </c>
      <c r="BN61" s="60">
        <f t="shared" si="73"/>
        <v>6.5773651144152131E-4</v>
      </c>
      <c r="BO61" s="60">
        <f t="shared" si="73"/>
        <v>6.5773651144152131E-4</v>
      </c>
      <c r="BP61" s="60">
        <f t="shared" si="73"/>
        <v>6.5773651144152131E-4</v>
      </c>
      <c r="BQ61" s="60">
        <f t="shared" si="73"/>
        <v>6.5773651144152131E-4</v>
      </c>
      <c r="BR61" s="60">
        <f t="shared" si="73"/>
        <v>6.5773651144152131E-4</v>
      </c>
      <c r="BS61" s="60">
        <f t="shared" si="73"/>
        <v>6.5773651144152131E-4</v>
      </c>
      <c r="BT61" s="60">
        <f t="shared" si="73"/>
        <v>6.5773651144152131E-4</v>
      </c>
      <c r="BU61" s="60">
        <f t="shared" si="73"/>
        <v>6.5773651144152131E-4</v>
      </c>
      <c r="BV61" s="60">
        <f t="shared" si="73"/>
        <v>6.5773651144152131E-4</v>
      </c>
      <c r="BW61" s="60">
        <f t="shared" si="73"/>
        <v>6.5773651144152131E-4</v>
      </c>
      <c r="BX61" s="60">
        <f t="shared" si="73"/>
        <v>6.5773651144152131E-4</v>
      </c>
      <c r="BY61" s="60">
        <f t="shared" si="73"/>
        <v>6.5773651144152131E-4</v>
      </c>
      <c r="BZ61" s="60">
        <f t="shared" si="73"/>
        <v>6.5773651144152131E-4</v>
      </c>
      <c r="CA61" s="60">
        <f t="shared" si="73"/>
        <v>6.5773651144152131E-4</v>
      </c>
      <c r="CB61" s="60">
        <f t="shared" si="73"/>
        <v>6.5773651144152131E-4</v>
      </c>
      <c r="CC61" s="94">
        <f t="shared" si="49"/>
        <v>152036.56519057468</v>
      </c>
      <c r="CD61" s="94">
        <f>IF(BD61=".",".",up_RadSpec!$F$18*(CD18*$B61))</f>
        <v>38009.14129764367</v>
      </c>
      <c r="CE61" s="94">
        <f>IF(BE61=".",".",up_RadSpec!$F$18*(CE18*$B61))</f>
        <v>38009.14129764367</v>
      </c>
      <c r="CF61" s="94">
        <f>IF(BF61=".",".",up_RadSpec!$F$18*(CF18*$B61))</f>
        <v>38009.14129764367</v>
      </c>
      <c r="CG61" s="94">
        <f>IF(BG61=".",".",up_RadSpec!$F$18*(CG18*$B61))</f>
        <v>38009.14129764367</v>
      </c>
      <c r="CH61" s="94">
        <f>IF(BH61=".",".",up_RadSpec!$F$18*(CH18*$B61))</f>
        <v>38009.14129764367</v>
      </c>
      <c r="CI61" s="94">
        <f>IF(BI61=".",".",up_RadSpec!$F$18*(CI18*$B61))</f>
        <v>38009.14129764367</v>
      </c>
      <c r="CJ61" s="94">
        <f>IF(BJ61=".",".",up_RadSpec!$F$18*(CJ18*$B61))</f>
        <v>38009.14129764367</v>
      </c>
      <c r="CK61" s="94">
        <f>IF(BK61=".",".",up_RadSpec!$F$18*(CK18*$B61))</f>
        <v>38009.14129764367</v>
      </c>
      <c r="CL61" s="94">
        <f>IF(BL61=".",".",up_RadSpec!$F$18*(CL18*$B61))</f>
        <v>38009.14129764367</v>
      </c>
      <c r="CM61" s="94">
        <f>IF(BM61=".",".",up_RadSpec!$F$18*(CM18*$B61))</f>
        <v>38009.14129764367</v>
      </c>
      <c r="CN61" s="94">
        <f>IF(BN61=".",".",up_RadSpec!$F$18*(CN18*$B61))</f>
        <v>38009.14129764367</v>
      </c>
      <c r="CO61" s="94">
        <f>IF(BO61=".",".",up_RadSpec!$F$18*(CO18*$B61))</f>
        <v>38009.14129764367</v>
      </c>
      <c r="CP61" s="94">
        <f>IF(BP61=".",".",up_RadSpec!$F$18*(CP18*$B61))</f>
        <v>38009.14129764367</v>
      </c>
      <c r="CQ61" s="94">
        <f>IF(BQ61=".",".",up_RadSpec!$F$18*(CQ18*$B61))</f>
        <v>38009.14129764367</v>
      </c>
      <c r="CR61" s="94">
        <f>IF(BR61=".",".",up_RadSpec!$F$18*(CR18*$B61))</f>
        <v>38009.14129764367</v>
      </c>
      <c r="CS61" s="94">
        <f>IF(BS61=".",".",up_RadSpec!$F$18*(CS18*$B61))</f>
        <v>38009.14129764367</v>
      </c>
      <c r="CT61" s="94">
        <f>IF(BT61=".",".",up_RadSpec!$F$18*(CT18*$B61))</f>
        <v>38009.14129764367</v>
      </c>
      <c r="CU61" s="94">
        <f>IF(BU61=".",".",up_RadSpec!$F$18*(CU18*$B61))</f>
        <v>38009.14129764367</v>
      </c>
      <c r="CV61" s="94">
        <f>IF(BV61=".",".",up_RadSpec!$F$18*(CV18*$B61))</f>
        <v>38009.14129764367</v>
      </c>
      <c r="CW61" s="94">
        <f>IF(BW61=".",".",up_RadSpec!$F$18*(CW18*$B61))</f>
        <v>38009.14129764367</v>
      </c>
      <c r="CX61" s="94">
        <f>IF(BX61=".",".",up_RadSpec!$F$18*(CX18*$B61))</f>
        <v>38009.14129764367</v>
      </c>
      <c r="CY61" s="94">
        <f>IF(BY61=".",".",up_RadSpec!$F$18*(CY18*$B61))</f>
        <v>38009.14129764367</v>
      </c>
      <c r="CZ61" s="94">
        <f>IF(BZ61=".",".",up_RadSpec!$F$18*(CZ18*$B61))</f>
        <v>38009.14129764367</v>
      </c>
      <c r="DA61" s="94">
        <f>IF(CA61=".",".",up_RadSpec!$F$18*(DA18*$B61))</f>
        <v>38009.14129764367</v>
      </c>
      <c r="DB61" s="94">
        <f>IF(CB61=".",".",up_RadSpec!$F$18*(DB18*$B61))</f>
        <v>38009.14129764367</v>
      </c>
    </row>
    <row r="62" spans="1:106" s="42" customFormat="1" x14ac:dyDescent="0.25">
      <c r="A62" s="77" t="s">
        <v>1083</v>
      </c>
      <c r="B62" s="42">
        <v>1.339E-6</v>
      </c>
      <c r="C62" s="60">
        <f t="shared" ref="C62:AB62" si="74">IFERROR(C27/$B62,".")</f>
        <v>122.80368025420488</v>
      </c>
      <c r="D62" s="60">
        <f t="shared" si="74"/>
        <v>491.21472101681951</v>
      </c>
      <c r="E62" s="60">
        <f t="shared" si="74"/>
        <v>491.21472101681951</v>
      </c>
      <c r="F62" s="60">
        <f t="shared" si="74"/>
        <v>491.21472101681951</v>
      </c>
      <c r="G62" s="60">
        <f t="shared" si="74"/>
        <v>491.21472101681951</v>
      </c>
      <c r="H62" s="60">
        <f t="shared" si="74"/>
        <v>491.21472101681951</v>
      </c>
      <c r="I62" s="60">
        <f t="shared" si="74"/>
        <v>491.21472101681951</v>
      </c>
      <c r="J62" s="60">
        <f t="shared" si="74"/>
        <v>491.21472101681951</v>
      </c>
      <c r="K62" s="60">
        <f t="shared" si="74"/>
        <v>491.21472101681951</v>
      </c>
      <c r="L62" s="60">
        <f t="shared" si="74"/>
        <v>491.21472101681951</v>
      </c>
      <c r="M62" s="60">
        <f t="shared" si="74"/>
        <v>491.21472101681951</v>
      </c>
      <c r="N62" s="60">
        <f t="shared" si="74"/>
        <v>491.21472101681951</v>
      </c>
      <c r="O62" s="60">
        <f t="shared" si="74"/>
        <v>491.21472101681951</v>
      </c>
      <c r="P62" s="60">
        <f t="shared" si="74"/>
        <v>491.21472101681951</v>
      </c>
      <c r="Q62" s="60">
        <f t="shared" si="74"/>
        <v>491.21472101681951</v>
      </c>
      <c r="R62" s="60">
        <f t="shared" si="74"/>
        <v>491.21472101681951</v>
      </c>
      <c r="S62" s="60">
        <f t="shared" si="74"/>
        <v>491.21472101681951</v>
      </c>
      <c r="T62" s="60">
        <f t="shared" si="74"/>
        <v>491.21472101681951</v>
      </c>
      <c r="U62" s="60">
        <f t="shared" si="74"/>
        <v>491.21472101681951</v>
      </c>
      <c r="V62" s="60">
        <f t="shared" si="74"/>
        <v>491.21472101681951</v>
      </c>
      <c r="W62" s="60">
        <f t="shared" si="74"/>
        <v>491.21472101681951</v>
      </c>
      <c r="X62" s="60">
        <f t="shared" si="74"/>
        <v>491.21472101681951</v>
      </c>
      <c r="Y62" s="60">
        <f t="shared" si="74"/>
        <v>491.21472101681951</v>
      </c>
      <c r="Z62" s="60">
        <f t="shared" si="74"/>
        <v>491.21472101681951</v>
      </c>
      <c r="AA62" s="60">
        <f t="shared" si="74"/>
        <v>491.21472101681951</v>
      </c>
      <c r="AB62" s="60">
        <f t="shared" si="74"/>
        <v>491.21472101681951</v>
      </c>
      <c r="AC62" s="94">
        <f t="shared" si="47"/>
        <v>0.20357696079017951</v>
      </c>
      <c r="AD62" s="94">
        <f>IF(D62=".",".",up_RadSpec!$F$27*(AD27*$B62))</f>
        <v>5.0894240197544877E-2</v>
      </c>
      <c r="AE62" s="94">
        <f>IF(E62=".",".",up_RadSpec!$F$27*(AE27*$B62))</f>
        <v>5.0894240197544877E-2</v>
      </c>
      <c r="AF62" s="94">
        <f>IF(F62=".",".",up_RadSpec!$F$27*(AF27*$B62))</f>
        <v>5.0894240197544877E-2</v>
      </c>
      <c r="AG62" s="94">
        <f>IF(G62=".",".",up_RadSpec!$F$27*(AG27*$B62))</f>
        <v>5.0894240197544877E-2</v>
      </c>
      <c r="AH62" s="94">
        <f>IF(H62=".",".",up_RadSpec!$F$27*(AH27*$B62))</f>
        <v>5.0894240197544877E-2</v>
      </c>
      <c r="AI62" s="94">
        <f>IF(I62=".",".",up_RadSpec!$F$27*(AI27*$B62))</f>
        <v>5.0894240197544877E-2</v>
      </c>
      <c r="AJ62" s="94">
        <f>IF(J62=".",".",up_RadSpec!$F$27*(AJ27*$B62))</f>
        <v>5.0894240197544877E-2</v>
      </c>
      <c r="AK62" s="94">
        <f>IF(K62=".",".",up_RadSpec!$F$27*(AK27*$B62))</f>
        <v>5.0894240197544877E-2</v>
      </c>
      <c r="AL62" s="94">
        <f>IF(L62=".",".",up_RadSpec!$F$27*(AL27*$B62))</f>
        <v>5.0894240197544877E-2</v>
      </c>
      <c r="AM62" s="94">
        <f>IF(M62=".",".",up_RadSpec!$F$27*(AM27*$B62))</f>
        <v>5.0894240197544877E-2</v>
      </c>
      <c r="AN62" s="94">
        <f>IF(N62=".",".",up_RadSpec!$F$27*(AN27*$B62))</f>
        <v>5.0894240197544877E-2</v>
      </c>
      <c r="AO62" s="94">
        <f>IF(O62=".",".",up_RadSpec!$F$27*(AO27*$B62))</f>
        <v>5.0894240197544877E-2</v>
      </c>
      <c r="AP62" s="94">
        <f>IF(P62=".",".",up_RadSpec!$F$27*(AP27*$B62))</f>
        <v>5.0894240197544877E-2</v>
      </c>
      <c r="AQ62" s="94">
        <f>IF(Q62=".",".",up_RadSpec!$F$27*(AQ27*$B62))</f>
        <v>5.0894240197544877E-2</v>
      </c>
      <c r="AR62" s="94">
        <f>IF(R62=".",".",up_RadSpec!$F$27*(AR27*$B62))</f>
        <v>5.0894240197544877E-2</v>
      </c>
      <c r="AS62" s="94">
        <f>IF(S62=".",".",up_RadSpec!$F$27*(AS27*$B62))</f>
        <v>5.0894240197544877E-2</v>
      </c>
      <c r="AT62" s="94">
        <f>IF(T62=".",".",up_RadSpec!$F$27*(AT27*$B62))</f>
        <v>5.0894240197544877E-2</v>
      </c>
      <c r="AU62" s="94">
        <f>IF(U62=".",".",up_RadSpec!$F$27*(AU27*$B62))</f>
        <v>5.0894240197544877E-2</v>
      </c>
      <c r="AV62" s="94">
        <f>IF(V62=".",".",up_RadSpec!$F$27*(AV27*$B62))</f>
        <v>5.0894240197544877E-2</v>
      </c>
      <c r="AW62" s="94">
        <f>IF(W62=".",".",up_RadSpec!$F$27*(AW27*$B62))</f>
        <v>5.0894240197544877E-2</v>
      </c>
      <c r="AX62" s="94">
        <f>IF(X62=".",".",up_RadSpec!$F$27*(AX27*$B62))</f>
        <v>5.0894240197544877E-2</v>
      </c>
      <c r="AY62" s="94">
        <f>IF(Y62=".",".",up_RadSpec!$F$27*(AY27*$B62))</f>
        <v>5.0894240197544877E-2</v>
      </c>
      <c r="AZ62" s="94">
        <f>IF(Z62=".",".",up_RadSpec!$F$27*(AZ27*$B62))</f>
        <v>5.0894240197544877E-2</v>
      </c>
      <c r="BA62" s="94">
        <f>IF(AA62=".",".",up_RadSpec!$F$27*(BA27*$B62))</f>
        <v>5.0894240197544877E-2</v>
      </c>
      <c r="BB62" s="94">
        <f>IF(AB62=".",".",up_RadSpec!$F$27*(BB27*$B62))</f>
        <v>5.0894240197544877E-2</v>
      </c>
      <c r="BC62" s="60">
        <f t="shared" ref="BC62:CB62" si="75">IFERROR(BC27/$B62,".")</f>
        <v>122.80368025420488</v>
      </c>
      <c r="BD62" s="60">
        <f t="shared" si="75"/>
        <v>491.21472101681951</v>
      </c>
      <c r="BE62" s="60">
        <f t="shared" si="75"/>
        <v>491.21472101681951</v>
      </c>
      <c r="BF62" s="60">
        <f t="shared" si="75"/>
        <v>491.21472101681951</v>
      </c>
      <c r="BG62" s="60">
        <f t="shared" si="75"/>
        <v>491.21472101681951</v>
      </c>
      <c r="BH62" s="60">
        <f t="shared" si="75"/>
        <v>491.21472101681951</v>
      </c>
      <c r="BI62" s="60">
        <f t="shared" si="75"/>
        <v>491.21472101681951</v>
      </c>
      <c r="BJ62" s="60">
        <f t="shared" si="75"/>
        <v>491.21472101681951</v>
      </c>
      <c r="BK62" s="60">
        <f t="shared" si="75"/>
        <v>491.21472101681951</v>
      </c>
      <c r="BL62" s="60">
        <f t="shared" si="75"/>
        <v>491.21472101681951</v>
      </c>
      <c r="BM62" s="60">
        <f t="shared" si="75"/>
        <v>491.21472101681951</v>
      </c>
      <c r="BN62" s="60">
        <f t="shared" si="75"/>
        <v>491.21472101681951</v>
      </c>
      <c r="BO62" s="60">
        <f t="shared" si="75"/>
        <v>491.21472101681951</v>
      </c>
      <c r="BP62" s="60">
        <f t="shared" si="75"/>
        <v>491.21472101681951</v>
      </c>
      <c r="BQ62" s="60">
        <f t="shared" si="75"/>
        <v>491.21472101681951</v>
      </c>
      <c r="BR62" s="60">
        <f t="shared" si="75"/>
        <v>491.21472101681951</v>
      </c>
      <c r="BS62" s="60">
        <f t="shared" si="75"/>
        <v>491.21472101681951</v>
      </c>
      <c r="BT62" s="60">
        <f t="shared" si="75"/>
        <v>491.21472101681951</v>
      </c>
      <c r="BU62" s="60">
        <f t="shared" si="75"/>
        <v>491.21472101681951</v>
      </c>
      <c r="BV62" s="60">
        <f t="shared" si="75"/>
        <v>491.21472101681951</v>
      </c>
      <c r="BW62" s="60">
        <f t="shared" si="75"/>
        <v>491.21472101681951</v>
      </c>
      <c r="BX62" s="60">
        <f t="shared" si="75"/>
        <v>491.21472101681951</v>
      </c>
      <c r="BY62" s="60">
        <f t="shared" si="75"/>
        <v>491.21472101681951</v>
      </c>
      <c r="BZ62" s="60">
        <f t="shared" si="75"/>
        <v>491.21472101681951</v>
      </c>
      <c r="CA62" s="60">
        <f t="shared" si="75"/>
        <v>491.21472101681951</v>
      </c>
      <c r="CB62" s="60">
        <f t="shared" si="75"/>
        <v>491.21472101681951</v>
      </c>
      <c r="CC62" s="94">
        <f t="shared" si="49"/>
        <v>0.20357696079017951</v>
      </c>
      <c r="CD62" s="94">
        <f>IF(BD62=".",".",up_RadSpec!$F$27*(CD27*$B62))</f>
        <v>5.0894240197544877E-2</v>
      </c>
      <c r="CE62" s="94">
        <f>IF(BE62=".",".",up_RadSpec!$F$27*(CE27*$B62))</f>
        <v>5.0894240197544877E-2</v>
      </c>
      <c r="CF62" s="94">
        <f>IF(BF62=".",".",up_RadSpec!$F$27*(CF27*$B62))</f>
        <v>5.0894240197544877E-2</v>
      </c>
      <c r="CG62" s="94">
        <f>IF(BG62=".",".",up_RadSpec!$F$27*(CG27*$B62))</f>
        <v>5.0894240197544877E-2</v>
      </c>
      <c r="CH62" s="94">
        <f>IF(BH62=".",".",up_RadSpec!$F$27*(CH27*$B62))</f>
        <v>5.0894240197544877E-2</v>
      </c>
      <c r="CI62" s="94">
        <f>IF(BI62=".",".",up_RadSpec!$F$27*(CI27*$B62))</f>
        <v>5.0894240197544877E-2</v>
      </c>
      <c r="CJ62" s="94">
        <f>IF(BJ62=".",".",up_RadSpec!$F$27*(CJ27*$B62))</f>
        <v>5.0894240197544877E-2</v>
      </c>
      <c r="CK62" s="94">
        <f>IF(BK62=".",".",up_RadSpec!$F$27*(CK27*$B62))</f>
        <v>5.0894240197544877E-2</v>
      </c>
      <c r="CL62" s="94">
        <f>IF(BL62=".",".",up_RadSpec!$F$27*(CL27*$B62))</f>
        <v>5.0894240197544877E-2</v>
      </c>
      <c r="CM62" s="94">
        <f>IF(BM62=".",".",up_RadSpec!$F$27*(CM27*$B62))</f>
        <v>5.0894240197544877E-2</v>
      </c>
      <c r="CN62" s="94">
        <f>IF(BN62=".",".",up_RadSpec!$F$27*(CN27*$B62))</f>
        <v>5.0894240197544877E-2</v>
      </c>
      <c r="CO62" s="94">
        <f>IF(BO62=".",".",up_RadSpec!$F$27*(CO27*$B62))</f>
        <v>5.0894240197544877E-2</v>
      </c>
      <c r="CP62" s="94">
        <f>IF(BP62=".",".",up_RadSpec!$F$27*(CP27*$B62))</f>
        <v>5.0894240197544877E-2</v>
      </c>
      <c r="CQ62" s="94">
        <f>IF(BQ62=".",".",up_RadSpec!$F$27*(CQ27*$B62))</f>
        <v>5.0894240197544877E-2</v>
      </c>
      <c r="CR62" s="94">
        <f>IF(BR62=".",".",up_RadSpec!$F$27*(CR27*$B62))</f>
        <v>5.0894240197544877E-2</v>
      </c>
      <c r="CS62" s="94">
        <f>IF(BS62=".",".",up_RadSpec!$F$27*(CS27*$B62))</f>
        <v>5.0894240197544877E-2</v>
      </c>
      <c r="CT62" s="94">
        <f>IF(BT62=".",".",up_RadSpec!$F$27*(CT27*$B62))</f>
        <v>5.0894240197544877E-2</v>
      </c>
      <c r="CU62" s="94">
        <f>IF(BU62=".",".",up_RadSpec!$F$27*(CU27*$B62))</f>
        <v>5.0894240197544877E-2</v>
      </c>
      <c r="CV62" s="94">
        <f>IF(BV62=".",".",up_RadSpec!$F$27*(CV27*$B62))</f>
        <v>5.0894240197544877E-2</v>
      </c>
      <c r="CW62" s="94">
        <f>IF(BW62=".",".",up_RadSpec!$F$27*(CW27*$B62))</f>
        <v>5.0894240197544877E-2</v>
      </c>
      <c r="CX62" s="94">
        <f>IF(BX62=".",".",up_RadSpec!$F$27*(CX27*$B62))</f>
        <v>5.0894240197544877E-2</v>
      </c>
      <c r="CY62" s="94">
        <f>IF(BY62=".",".",up_RadSpec!$F$27*(CY27*$B62))</f>
        <v>5.0894240197544877E-2</v>
      </c>
      <c r="CZ62" s="94">
        <f>IF(BZ62=".",".",up_RadSpec!$F$27*(CZ27*$B62))</f>
        <v>5.0894240197544877E-2</v>
      </c>
      <c r="DA62" s="94">
        <f>IF(CA62=".",".",up_RadSpec!$F$27*(DA27*$B62))</f>
        <v>5.0894240197544877E-2</v>
      </c>
      <c r="DB62" s="94">
        <f>IF(CB62=".",".",up_RadSpec!$F$27*(DB27*$B62))</f>
        <v>5.0894240197544877E-2</v>
      </c>
    </row>
    <row r="63" spans="1:106" s="42" customFormat="1" x14ac:dyDescent="0.25">
      <c r="A63" s="76" t="s">
        <v>23</v>
      </c>
      <c r="B63" s="76" t="s">
        <v>1057</v>
      </c>
      <c r="C63" s="58">
        <f t="shared" ref="C63:AB63" si="76">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2.0554262493461483E-5</v>
      </c>
      <c r="D63" s="58">
        <f t="shared" si="76"/>
        <v>8.2217049973845932E-5</v>
      </c>
      <c r="E63" s="58">
        <f t="shared" si="76"/>
        <v>8.2217049973845932E-5</v>
      </c>
      <c r="F63" s="58">
        <f t="shared" si="76"/>
        <v>8.2217049973845932E-5</v>
      </c>
      <c r="G63" s="58">
        <f t="shared" si="76"/>
        <v>8.2217049973845932E-5</v>
      </c>
      <c r="H63" s="58">
        <f t="shared" si="76"/>
        <v>8.2217049973845932E-5</v>
      </c>
      <c r="I63" s="58">
        <f t="shared" si="76"/>
        <v>8.2217049973845932E-5</v>
      </c>
      <c r="J63" s="58">
        <f t="shared" si="76"/>
        <v>8.2217049973845932E-5</v>
      </c>
      <c r="K63" s="58">
        <f t="shared" si="76"/>
        <v>8.2217049973845932E-5</v>
      </c>
      <c r="L63" s="58">
        <f t="shared" si="76"/>
        <v>8.2217049973845932E-5</v>
      </c>
      <c r="M63" s="58">
        <f t="shared" si="76"/>
        <v>8.2217049973845932E-5</v>
      </c>
      <c r="N63" s="58">
        <f t="shared" si="76"/>
        <v>8.2217049973845932E-5</v>
      </c>
      <c r="O63" s="58">
        <f t="shared" si="76"/>
        <v>8.2217049973845932E-5</v>
      </c>
      <c r="P63" s="58">
        <f t="shared" si="76"/>
        <v>8.2217049973845932E-5</v>
      </c>
      <c r="Q63" s="58">
        <f t="shared" si="76"/>
        <v>8.2217049973845932E-5</v>
      </c>
      <c r="R63" s="58">
        <f t="shared" si="76"/>
        <v>8.2217049973845932E-5</v>
      </c>
      <c r="S63" s="58">
        <f t="shared" si="76"/>
        <v>8.2217049973845932E-5</v>
      </c>
      <c r="T63" s="58">
        <f t="shared" si="76"/>
        <v>8.2217049973845932E-5</v>
      </c>
      <c r="U63" s="58">
        <f t="shared" si="76"/>
        <v>8.2217049973845932E-5</v>
      </c>
      <c r="V63" s="58">
        <f t="shared" si="76"/>
        <v>8.2217049973845932E-5</v>
      </c>
      <c r="W63" s="58">
        <f t="shared" si="76"/>
        <v>8.2217049973845932E-5</v>
      </c>
      <c r="X63" s="58">
        <f t="shared" si="76"/>
        <v>8.2217049973845932E-5</v>
      </c>
      <c r="Y63" s="58">
        <f t="shared" si="76"/>
        <v>8.2217049973845932E-5</v>
      </c>
      <c r="Z63" s="58">
        <f t="shared" si="76"/>
        <v>8.2217049973845932E-5</v>
      </c>
      <c r="AA63" s="58">
        <f t="shared" si="76"/>
        <v>8.2217049973845932E-5</v>
      </c>
      <c r="AB63" s="58">
        <f t="shared" si="76"/>
        <v>8.2217049973845932E-5</v>
      </c>
      <c r="AC63" s="91">
        <f>IFERROR(SUM(AD64:AD76,AU64:AU76,BA64:BA76,BB64:BB76),".")</f>
        <v>1216292.7279902529</v>
      </c>
      <c r="AD63" s="91">
        <f>IFERROR(SUM(AD64:AD76),".")</f>
        <v>304073.18199756317</v>
      </c>
      <c r="AE63" s="91">
        <f t="shared" ref="AE63:BB63" si="77">IFERROR(SUM(AE64:AE76),".")</f>
        <v>304073.18199756317</v>
      </c>
      <c r="AF63" s="91">
        <f t="shared" si="77"/>
        <v>304073.18199756317</v>
      </c>
      <c r="AG63" s="91">
        <f t="shared" si="77"/>
        <v>304073.18199756317</v>
      </c>
      <c r="AH63" s="91">
        <f t="shared" si="77"/>
        <v>304073.18199756317</v>
      </c>
      <c r="AI63" s="91">
        <f t="shared" si="77"/>
        <v>304073.18199756317</v>
      </c>
      <c r="AJ63" s="91">
        <f t="shared" si="77"/>
        <v>304073.18199756317</v>
      </c>
      <c r="AK63" s="91">
        <f t="shared" si="77"/>
        <v>304073.18199756317</v>
      </c>
      <c r="AL63" s="91">
        <f t="shared" si="77"/>
        <v>304073.18199756317</v>
      </c>
      <c r="AM63" s="91">
        <f t="shared" si="77"/>
        <v>304073.18199756317</v>
      </c>
      <c r="AN63" s="91">
        <f t="shared" si="77"/>
        <v>304073.18199756317</v>
      </c>
      <c r="AO63" s="91">
        <f t="shared" si="77"/>
        <v>304073.18199756317</v>
      </c>
      <c r="AP63" s="91">
        <f t="shared" si="77"/>
        <v>304073.18199756317</v>
      </c>
      <c r="AQ63" s="91">
        <f t="shared" si="77"/>
        <v>304073.18199756317</v>
      </c>
      <c r="AR63" s="91">
        <f t="shared" si="77"/>
        <v>304073.18199756317</v>
      </c>
      <c r="AS63" s="91">
        <f t="shared" si="77"/>
        <v>304073.18199756317</v>
      </c>
      <c r="AT63" s="91">
        <f t="shared" si="77"/>
        <v>304073.18199756317</v>
      </c>
      <c r="AU63" s="91">
        <f t="shared" si="77"/>
        <v>304073.18199756317</v>
      </c>
      <c r="AV63" s="91">
        <f t="shared" si="77"/>
        <v>304073.18199756317</v>
      </c>
      <c r="AW63" s="91">
        <f t="shared" si="77"/>
        <v>304073.18199756317</v>
      </c>
      <c r="AX63" s="91">
        <f t="shared" si="77"/>
        <v>304073.18199756317</v>
      </c>
      <c r="AY63" s="91">
        <f t="shared" si="77"/>
        <v>304073.18199756317</v>
      </c>
      <c r="AZ63" s="91">
        <f t="shared" si="77"/>
        <v>304073.18199756317</v>
      </c>
      <c r="BA63" s="91">
        <f t="shared" si="77"/>
        <v>304073.18199756317</v>
      </c>
      <c r="BB63" s="91">
        <f t="shared" si="77"/>
        <v>304073.18199756317</v>
      </c>
      <c r="BC63" s="58">
        <f t="shared" ref="BC63:CB63" si="78">IFERROR(1/SUM(IFERROR(1/SUMIF(BC64,"&lt;&gt;.",BC64),0),IFERROR(1/SUMIF(BC65,"&lt;&gt;.",BC65),0),IFERROR(1/SUMIF(BC66,"&lt;&gt;.",BC66),0),IFERROR(1/SUMIF(BC67,"&lt;&gt;.",BC67),0),IFERROR(1/SUMIF(BC68,"&lt;&gt;.",BC68),0),IFERROR(1/SUMIF(BC69,"&lt;&gt;.",BC69),0),IFERROR(1/SUMIF(BC70,"&lt;&gt;.",BC70),0),IFERROR(1/SUMIF(BC71,"&lt;&gt;.",BC71),0),IFERROR(1/SUMIF(BC72,"&lt;&gt;.",BC72),0),IFERROR(1/SUMIF(BC73,"&lt;&gt;.",BC73),0),IFERROR(1/SUMIF(BC74,"&lt;&gt;.",BC74),0),IFERROR(1/SUMIF(BC75,"&lt;&gt;.",BC75),0),IFERROR(1/SUMIF(BC76,"&lt;&gt;.",BC76),0)),".")</f>
        <v>2.0554262493461483E-5</v>
      </c>
      <c r="BD63" s="58">
        <f t="shared" si="78"/>
        <v>8.2217049973845932E-5</v>
      </c>
      <c r="BE63" s="58">
        <f t="shared" si="78"/>
        <v>8.2217049973845932E-5</v>
      </c>
      <c r="BF63" s="58">
        <f t="shared" si="78"/>
        <v>8.2217049973845932E-5</v>
      </c>
      <c r="BG63" s="58">
        <f t="shared" si="78"/>
        <v>8.2217049973845932E-5</v>
      </c>
      <c r="BH63" s="58">
        <f t="shared" si="78"/>
        <v>8.2217049973845932E-5</v>
      </c>
      <c r="BI63" s="58">
        <f t="shared" si="78"/>
        <v>8.2217049973845932E-5</v>
      </c>
      <c r="BJ63" s="58">
        <f t="shared" si="78"/>
        <v>8.2217049973845932E-5</v>
      </c>
      <c r="BK63" s="58">
        <f t="shared" si="78"/>
        <v>8.2217049973845932E-5</v>
      </c>
      <c r="BL63" s="58">
        <f t="shared" si="78"/>
        <v>8.2217049973845932E-5</v>
      </c>
      <c r="BM63" s="58">
        <f t="shared" si="78"/>
        <v>8.2217049973845932E-5</v>
      </c>
      <c r="BN63" s="58">
        <f t="shared" si="78"/>
        <v>8.2217049973845932E-5</v>
      </c>
      <c r="BO63" s="58">
        <f t="shared" si="78"/>
        <v>8.2217049973845932E-5</v>
      </c>
      <c r="BP63" s="58">
        <f t="shared" si="78"/>
        <v>8.2217049973845932E-5</v>
      </c>
      <c r="BQ63" s="58">
        <f t="shared" si="78"/>
        <v>8.2217049973845932E-5</v>
      </c>
      <c r="BR63" s="58">
        <f t="shared" si="78"/>
        <v>8.2217049973845932E-5</v>
      </c>
      <c r="BS63" s="58">
        <f t="shared" si="78"/>
        <v>8.2217049973845932E-5</v>
      </c>
      <c r="BT63" s="58">
        <f t="shared" si="78"/>
        <v>8.2217049973845932E-5</v>
      </c>
      <c r="BU63" s="58">
        <f t="shared" si="78"/>
        <v>8.2217049973845932E-5</v>
      </c>
      <c r="BV63" s="58">
        <f t="shared" si="78"/>
        <v>8.2217049973845932E-5</v>
      </c>
      <c r="BW63" s="58">
        <f t="shared" si="78"/>
        <v>8.2217049973845932E-5</v>
      </c>
      <c r="BX63" s="58">
        <f t="shared" si="78"/>
        <v>8.2217049973845932E-5</v>
      </c>
      <c r="BY63" s="58">
        <f t="shared" si="78"/>
        <v>8.2217049973845932E-5</v>
      </c>
      <c r="BZ63" s="58">
        <f t="shared" si="78"/>
        <v>8.2217049973845932E-5</v>
      </c>
      <c r="CA63" s="58">
        <f t="shared" si="78"/>
        <v>8.2217049973845932E-5</v>
      </c>
      <c r="CB63" s="58">
        <f t="shared" si="78"/>
        <v>8.2217049973845932E-5</v>
      </c>
      <c r="CC63" s="91">
        <f>IFERROR(SUM(CD64:CD76,CU64:CU76,DA64:DA76,DB64:DB76),".")</f>
        <v>1216292.7279902529</v>
      </c>
      <c r="CD63" s="91">
        <f>IFERROR(SUM(CD64:CD76),".")</f>
        <v>304073.18199756317</v>
      </c>
      <c r="CE63" s="91">
        <f t="shared" ref="CE63:DB63" si="79">IFERROR(SUM(CE64:CE76),".")</f>
        <v>304073.18199756317</v>
      </c>
      <c r="CF63" s="91">
        <f t="shared" si="79"/>
        <v>304073.18199756317</v>
      </c>
      <c r="CG63" s="91">
        <f t="shared" si="79"/>
        <v>304073.18199756317</v>
      </c>
      <c r="CH63" s="91">
        <f t="shared" si="79"/>
        <v>304073.18199756317</v>
      </c>
      <c r="CI63" s="91">
        <f t="shared" si="79"/>
        <v>304073.18199756317</v>
      </c>
      <c r="CJ63" s="91">
        <f t="shared" si="79"/>
        <v>304073.18199756317</v>
      </c>
      <c r="CK63" s="91">
        <f t="shared" si="79"/>
        <v>304073.18199756317</v>
      </c>
      <c r="CL63" s="91">
        <f t="shared" si="79"/>
        <v>304073.18199756317</v>
      </c>
      <c r="CM63" s="91">
        <f t="shared" si="79"/>
        <v>304073.18199756317</v>
      </c>
      <c r="CN63" s="91">
        <f t="shared" si="79"/>
        <v>304073.18199756317</v>
      </c>
      <c r="CO63" s="91">
        <f t="shared" si="79"/>
        <v>304073.18199756317</v>
      </c>
      <c r="CP63" s="91">
        <f t="shared" si="79"/>
        <v>304073.18199756317</v>
      </c>
      <c r="CQ63" s="91">
        <f t="shared" si="79"/>
        <v>304073.18199756317</v>
      </c>
      <c r="CR63" s="91">
        <f t="shared" si="79"/>
        <v>304073.18199756317</v>
      </c>
      <c r="CS63" s="91">
        <f t="shared" si="79"/>
        <v>304073.18199756317</v>
      </c>
      <c r="CT63" s="91">
        <f t="shared" si="79"/>
        <v>304073.18199756317</v>
      </c>
      <c r="CU63" s="91">
        <f t="shared" si="79"/>
        <v>304073.18199756317</v>
      </c>
      <c r="CV63" s="91">
        <f t="shared" si="79"/>
        <v>304073.18199756317</v>
      </c>
      <c r="CW63" s="91">
        <f t="shared" si="79"/>
        <v>304073.18199756317</v>
      </c>
      <c r="CX63" s="91">
        <f t="shared" si="79"/>
        <v>304073.18199756317</v>
      </c>
      <c r="CY63" s="91">
        <f t="shared" si="79"/>
        <v>304073.18199756317</v>
      </c>
      <c r="CZ63" s="91">
        <f t="shared" si="79"/>
        <v>304073.18199756317</v>
      </c>
      <c r="DA63" s="91">
        <f t="shared" si="79"/>
        <v>304073.18199756317</v>
      </c>
      <c r="DB63" s="91">
        <f t="shared" si="79"/>
        <v>304073.18199756317</v>
      </c>
    </row>
    <row r="64" spans="1:106" s="42" customFormat="1" x14ac:dyDescent="0.25">
      <c r="A64" s="77" t="s">
        <v>1073</v>
      </c>
      <c r="B64" s="42">
        <v>1</v>
      </c>
      <c r="C64" s="60">
        <f t="shared" ref="C64:AB64" si="80">IFERROR(C25/$B50,".")</f>
        <v>1.6443412786038033E-4</v>
      </c>
      <c r="D64" s="60">
        <f t="shared" si="80"/>
        <v>6.5773651144152131E-4</v>
      </c>
      <c r="E64" s="60">
        <f t="shared" si="80"/>
        <v>6.5773651144152131E-4</v>
      </c>
      <c r="F64" s="60">
        <f t="shared" si="80"/>
        <v>6.5773651144152131E-4</v>
      </c>
      <c r="G64" s="60">
        <f t="shared" si="80"/>
        <v>6.5773651144152131E-4</v>
      </c>
      <c r="H64" s="60">
        <f t="shared" si="80"/>
        <v>6.5773651144152131E-4</v>
      </c>
      <c r="I64" s="60">
        <f t="shared" si="80"/>
        <v>6.5773651144152131E-4</v>
      </c>
      <c r="J64" s="60">
        <f t="shared" si="80"/>
        <v>6.5773651144152131E-4</v>
      </c>
      <c r="K64" s="60">
        <f t="shared" si="80"/>
        <v>6.5773651144152131E-4</v>
      </c>
      <c r="L64" s="60">
        <f t="shared" si="80"/>
        <v>6.5773651144152131E-4</v>
      </c>
      <c r="M64" s="60">
        <f t="shared" si="80"/>
        <v>6.5773651144152131E-4</v>
      </c>
      <c r="N64" s="60">
        <f t="shared" si="80"/>
        <v>6.5773651144152131E-4</v>
      </c>
      <c r="O64" s="60">
        <f t="shared" si="80"/>
        <v>6.5773651144152131E-4</v>
      </c>
      <c r="P64" s="60">
        <f t="shared" si="80"/>
        <v>6.5773651144152131E-4</v>
      </c>
      <c r="Q64" s="60">
        <f t="shared" si="80"/>
        <v>6.5773651144152131E-4</v>
      </c>
      <c r="R64" s="60">
        <f t="shared" si="80"/>
        <v>6.5773651144152131E-4</v>
      </c>
      <c r="S64" s="60">
        <f t="shared" si="80"/>
        <v>6.5773651144152131E-4</v>
      </c>
      <c r="T64" s="60">
        <f t="shared" si="80"/>
        <v>6.5773651144152131E-4</v>
      </c>
      <c r="U64" s="60">
        <f t="shared" si="80"/>
        <v>6.5773651144152131E-4</v>
      </c>
      <c r="V64" s="60">
        <f t="shared" si="80"/>
        <v>6.5773651144152131E-4</v>
      </c>
      <c r="W64" s="60">
        <f t="shared" si="80"/>
        <v>6.5773651144152131E-4</v>
      </c>
      <c r="X64" s="60">
        <f t="shared" si="80"/>
        <v>6.5773651144152131E-4</v>
      </c>
      <c r="Y64" s="60">
        <f t="shared" si="80"/>
        <v>6.5773651144152131E-4</v>
      </c>
      <c r="Z64" s="60">
        <f t="shared" si="80"/>
        <v>6.5773651144152131E-4</v>
      </c>
      <c r="AA64" s="60">
        <f t="shared" si="80"/>
        <v>6.5773651144152131E-4</v>
      </c>
      <c r="AB64" s="60">
        <f t="shared" si="80"/>
        <v>6.5773651144152131E-4</v>
      </c>
      <c r="AC64" s="94">
        <f t="shared" ref="AC64:AC76" si="81">IF(AND(AD64&lt;&gt;".",AU64&lt;&gt;".",BA64&lt;&gt;".",BB64&lt;&gt;"."),SUM(AD64,AU64,BA64:BB64),".")</f>
        <v>152036.56519057468</v>
      </c>
      <c r="AD64" s="94">
        <f>IF(D64=".",".",up_RadSpec!$F$25*(AD25*$B64))</f>
        <v>38009.14129764367</v>
      </c>
      <c r="AE64" s="94">
        <f>IF(E64=".",".",up_RadSpec!$F$25*(AE25*$B64))</f>
        <v>38009.14129764367</v>
      </c>
      <c r="AF64" s="94">
        <f>IF(F64=".",".",up_RadSpec!$F$25*(AF25*$B64))</f>
        <v>38009.14129764367</v>
      </c>
      <c r="AG64" s="94">
        <f>IF(G64=".",".",up_RadSpec!$F$25*(AG25*$B64))</f>
        <v>38009.14129764367</v>
      </c>
      <c r="AH64" s="94">
        <f>IF(H64=".",".",up_RadSpec!$F$25*(AH25*$B64))</f>
        <v>38009.14129764367</v>
      </c>
      <c r="AI64" s="94">
        <f>IF(I64=".",".",up_RadSpec!$F$25*(AI25*$B64))</f>
        <v>38009.14129764367</v>
      </c>
      <c r="AJ64" s="94">
        <f>IF(J64=".",".",up_RadSpec!$F$25*(AJ25*$B64))</f>
        <v>38009.14129764367</v>
      </c>
      <c r="AK64" s="94">
        <f>IF(K64=".",".",up_RadSpec!$F$25*(AK25*$B64))</f>
        <v>38009.14129764367</v>
      </c>
      <c r="AL64" s="94">
        <f>IF(L64=".",".",up_RadSpec!$F$25*(AL25*$B64))</f>
        <v>38009.14129764367</v>
      </c>
      <c r="AM64" s="94">
        <f>IF(M64=".",".",up_RadSpec!$F$25*(AM25*$B64))</f>
        <v>38009.14129764367</v>
      </c>
      <c r="AN64" s="94">
        <f>IF(N64=".",".",up_RadSpec!$F$25*(AN25*$B64))</f>
        <v>38009.14129764367</v>
      </c>
      <c r="AO64" s="94">
        <f>IF(O64=".",".",up_RadSpec!$F$25*(AO25*$B64))</f>
        <v>38009.14129764367</v>
      </c>
      <c r="AP64" s="94">
        <f>IF(P64=".",".",up_RadSpec!$F$25*(AP25*$B64))</f>
        <v>38009.14129764367</v>
      </c>
      <c r="AQ64" s="94">
        <f>IF(Q64=".",".",up_RadSpec!$F$25*(AQ25*$B64))</f>
        <v>38009.14129764367</v>
      </c>
      <c r="AR64" s="94">
        <f>IF(R64=".",".",up_RadSpec!$F$25*(AR25*$B64))</f>
        <v>38009.14129764367</v>
      </c>
      <c r="AS64" s="94">
        <f>IF(S64=".",".",up_RadSpec!$F$25*(AS25*$B64))</f>
        <v>38009.14129764367</v>
      </c>
      <c r="AT64" s="94">
        <f>IF(T64=".",".",up_RadSpec!$F$25*(AT25*$B64))</f>
        <v>38009.14129764367</v>
      </c>
      <c r="AU64" s="94">
        <f>IF(U64=".",".",up_RadSpec!$F$25*(AU25*$B64))</f>
        <v>38009.14129764367</v>
      </c>
      <c r="AV64" s="94">
        <f>IF(V64=".",".",up_RadSpec!$F$25*(AV25*$B64))</f>
        <v>38009.14129764367</v>
      </c>
      <c r="AW64" s="94">
        <f>IF(W64=".",".",up_RadSpec!$F$25*(AW25*$B64))</f>
        <v>38009.14129764367</v>
      </c>
      <c r="AX64" s="94">
        <f>IF(X64=".",".",up_RadSpec!$F$25*(AX25*$B64))</f>
        <v>38009.14129764367</v>
      </c>
      <c r="AY64" s="94">
        <f>IF(Y64=".",".",up_RadSpec!$F$25*(AY25*$B64))</f>
        <v>38009.14129764367</v>
      </c>
      <c r="AZ64" s="94">
        <f>IF(Z64=".",".",up_RadSpec!$F$25*(AZ25*$B64))</f>
        <v>38009.14129764367</v>
      </c>
      <c r="BA64" s="94">
        <f>IF(AA64=".",".",up_RadSpec!$F$25*(BA25*$B64))</f>
        <v>38009.14129764367</v>
      </c>
      <c r="BB64" s="94">
        <f>IF(AB64=".",".",up_RadSpec!$F$25*(BB25*$B64))</f>
        <v>38009.14129764367</v>
      </c>
      <c r="BC64" s="60">
        <f t="shared" ref="BC64:CB64" si="82">IFERROR(BC25/$B50,".")</f>
        <v>1.6443412786038033E-4</v>
      </c>
      <c r="BD64" s="60">
        <f t="shared" si="82"/>
        <v>6.5773651144152131E-4</v>
      </c>
      <c r="BE64" s="60">
        <f t="shared" si="82"/>
        <v>6.5773651144152131E-4</v>
      </c>
      <c r="BF64" s="60">
        <f t="shared" si="82"/>
        <v>6.5773651144152131E-4</v>
      </c>
      <c r="BG64" s="60">
        <f t="shared" si="82"/>
        <v>6.5773651144152131E-4</v>
      </c>
      <c r="BH64" s="60">
        <f t="shared" si="82"/>
        <v>6.5773651144152131E-4</v>
      </c>
      <c r="BI64" s="60">
        <f t="shared" si="82"/>
        <v>6.5773651144152131E-4</v>
      </c>
      <c r="BJ64" s="60">
        <f t="shared" si="82"/>
        <v>6.5773651144152131E-4</v>
      </c>
      <c r="BK64" s="60">
        <f t="shared" si="82"/>
        <v>6.5773651144152131E-4</v>
      </c>
      <c r="BL64" s="60">
        <f t="shared" si="82"/>
        <v>6.5773651144152131E-4</v>
      </c>
      <c r="BM64" s="60">
        <f t="shared" si="82"/>
        <v>6.5773651144152131E-4</v>
      </c>
      <c r="BN64" s="60">
        <f t="shared" si="82"/>
        <v>6.5773651144152131E-4</v>
      </c>
      <c r="BO64" s="60">
        <f t="shared" si="82"/>
        <v>6.5773651144152131E-4</v>
      </c>
      <c r="BP64" s="60">
        <f t="shared" si="82"/>
        <v>6.5773651144152131E-4</v>
      </c>
      <c r="BQ64" s="60">
        <f t="shared" si="82"/>
        <v>6.5773651144152131E-4</v>
      </c>
      <c r="BR64" s="60">
        <f t="shared" si="82"/>
        <v>6.5773651144152131E-4</v>
      </c>
      <c r="BS64" s="60">
        <f t="shared" si="82"/>
        <v>6.5773651144152131E-4</v>
      </c>
      <c r="BT64" s="60">
        <f t="shared" si="82"/>
        <v>6.5773651144152131E-4</v>
      </c>
      <c r="BU64" s="60">
        <f t="shared" si="82"/>
        <v>6.5773651144152131E-4</v>
      </c>
      <c r="BV64" s="60">
        <f t="shared" si="82"/>
        <v>6.5773651144152131E-4</v>
      </c>
      <c r="BW64" s="60">
        <f t="shared" si="82"/>
        <v>6.5773651144152131E-4</v>
      </c>
      <c r="BX64" s="60">
        <f t="shared" si="82"/>
        <v>6.5773651144152131E-4</v>
      </c>
      <c r="BY64" s="60">
        <f t="shared" si="82"/>
        <v>6.5773651144152131E-4</v>
      </c>
      <c r="BZ64" s="60">
        <f t="shared" si="82"/>
        <v>6.5773651144152131E-4</v>
      </c>
      <c r="CA64" s="60">
        <f t="shared" si="82"/>
        <v>6.5773651144152131E-4</v>
      </c>
      <c r="CB64" s="60">
        <f t="shared" si="82"/>
        <v>6.5773651144152131E-4</v>
      </c>
      <c r="CC64" s="94">
        <f t="shared" ref="CC64:CC76" si="83">IF(AND(CD64&lt;&gt;".",CU64&lt;&gt;".",DA64&lt;&gt;".",DB64&lt;&gt;"."),SUM(CD64,CU64,DA64:DB64),".")</f>
        <v>152036.56519057468</v>
      </c>
      <c r="CD64" s="94">
        <f>IF(BD64=".",".",up_RadSpec!$F$25*(CD25*$B64))</f>
        <v>38009.14129764367</v>
      </c>
      <c r="CE64" s="94">
        <f>IF(BE64=".",".",up_RadSpec!$F$25*(CE25*$B64))</f>
        <v>38009.14129764367</v>
      </c>
      <c r="CF64" s="94">
        <f>IF(BF64=".",".",up_RadSpec!$F$25*(CF25*$B64))</f>
        <v>38009.14129764367</v>
      </c>
      <c r="CG64" s="94">
        <f>IF(BG64=".",".",up_RadSpec!$F$25*(CG25*$B64))</f>
        <v>38009.14129764367</v>
      </c>
      <c r="CH64" s="94">
        <f>IF(BH64=".",".",up_RadSpec!$F$25*(CH25*$B64))</f>
        <v>38009.14129764367</v>
      </c>
      <c r="CI64" s="94">
        <f>IF(BI64=".",".",up_RadSpec!$F$25*(CI25*$B64))</f>
        <v>38009.14129764367</v>
      </c>
      <c r="CJ64" s="94">
        <f>IF(BJ64=".",".",up_RadSpec!$F$25*(CJ25*$B64))</f>
        <v>38009.14129764367</v>
      </c>
      <c r="CK64" s="94">
        <f>IF(BK64=".",".",up_RadSpec!$F$25*(CK25*$B64))</f>
        <v>38009.14129764367</v>
      </c>
      <c r="CL64" s="94">
        <f>IF(BL64=".",".",up_RadSpec!$F$25*(CL25*$B64))</f>
        <v>38009.14129764367</v>
      </c>
      <c r="CM64" s="94">
        <f>IF(BM64=".",".",up_RadSpec!$F$25*(CM25*$B64))</f>
        <v>38009.14129764367</v>
      </c>
      <c r="CN64" s="94">
        <f>IF(BN64=".",".",up_RadSpec!$F$25*(CN25*$B64))</f>
        <v>38009.14129764367</v>
      </c>
      <c r="CO64" s="94">
        <f>IF(BO64=".",".",up_RadSpec!$F$25*(CO25*$B64))</f>
        <v>38009.14129764367</v>
      </c>
      <c r="CP64" s="94">
        <f>IF(BP64=".",".",up_RadSpec!$F$25*(CP25*$B64))</f>
        <v>38009.14129764367</v>
      </c>
      <c r="CQ64" s="94">
        <f>IF(BQ64=".",".",up_RadSpec!$F$25*(CQ25*$B64))</f>
        <v>38009.14129764367</v>
      </c>
      <c r="CR64" s="94">
        <f>IF(BR64=".",".",up_RadSpec!$F$25*(CR25*$B64))</f>
        <v>38009.14129764367</v>
      </c>
      <c r="CS64" s="94">
        <f>IF(BS64=".",".",up_RadSpec!$F$25*(CS25*$B64))</f>
        <v>38009.14129764367</v>
      </c>
      <c r="CT64" s="94">
        <f>IF(BT64=".",".",up_RadSpec!$F$25*(CT25*$B64))</f>
        <v>38009.14129764367</v>
      </c>
      <c r="CU64" s="94">
        <f>IF(BU64=".",".",up_RadSpec!$F$25*(CU25*$B64))</f>
        <v>38009.14129764367</v>
      </c>
      <c r="CV64" s="94">
        <f>IF(BV64=".",".",up_RadSpec!$F$25*(CV25*$B64))</f>
        <v>38009.14129764367</v>
      </c>
      <c r="CW64" s="94">
        <f>IF(BW64=".",".",up_RadSpec!$F$25*(CW25*$B64))</f>
        <v>38009.14129764367</v>
      </c>
      <c r="CX64" s="94">
        <f>IF(BX64=".",".",up_RadSpec!$F$25*(CX25*$B64))</f>
        <v>38009.14129764367</v>
      </c>
      <c r="CY64" s="94">
        <f>IF(BY64=".",".",up_RadSpec!$F$25*(CY25*$B64))</f>
        <v>38009.14129764367</v>
      </c>
      <c r="CZ64" s="94">
        <f>IF(BZ64=".",".",up_RadSpec!$F$25*(CZ25*$B64))</f>
        <v>38009.14129764367</v>
      </c>
      <c r="DA64" s="94">
        <f>IF(CA64=".",".",up_RadSpec!$F$25*(DA25*$B64))</f>
        <v>38009.14129764367</v>
      </c>
      <c r="DB64" s="94">
        <f>IF(CB64=".",".",up_RadSpec!$F$25*(DB25*$B64))</f>
        <v>38009.14129764367</v>
      </c>
    </row>
    <row r="65" spans="1:106" s="42" customFormat="1" x14ac:dyDescent="0.25">
      <c r="A65" s="77" t="s">
        <v>1059</v>
      </c>
      <c r="B65" s="42">
        <v>1</v>
      </c>
      <c r="C65" s="60">
        <f t="shared" ref="C65:AB65" si="84">IFERROR(C21/$B51,".")</f>
        <v>1.6443412786038033E-4</v>
      </c>
      <c r="D65" s="60">
        <f t="shared" si="84"/>
        <v>6.5773651144152131E-4</v>
      </c>
      <c r="E65" s="60">
        <f t="shared" si="84"/>
        <v>6.5773651144152131E-4</v>
      </c>
      <c r="F65" s="60">
        <f t="shared" si="84"/>
        <v>6.5773651144152131E-4</v>
      </c>
      <c r="G65" s="60">
        <f t="shared" si="84"/>
        <v>6.5773651144152131E-4</v>
      </c>
      <c r="H65" s="60">
        <f t="shared" si="84"/>
        <v>6.5773651144152131E-4</v>
      </c>
      <c r="I65" s="60">
        <f t="shared" si="84"/>
        <v>6.5773651144152131E-4</v>
      </c>
      <c r="J65" s="60">
        <f t="shared" si="84"/>
        <v>6.5773651144152131E-4</v>
      </c>
      <c r="K65" s="60">
        <f t="shared" si="84"/>
        <v>6.5773651144152131E-4</v>
      </c>
      <c r="L65" s="60">
        <f t="shared" si="84"/>
        <v>6.5773651144152131E-4</v>
      </c>
      <c r="M65" s="60">
        <f t="shared" si="84"/>
        <v>6.5773651144152131E-4</v>
      </c>
      <c r="N65" s="60">
        <f t="shared" si="84"/>
        <v>6.5773651144152131E-4</v>
      </c>
      <c r="O65" s="60">
        <f t="shared" si="84"/>
        <v>6.5773651144152131E-4</v>
      </c>
      <c r="P65" s="60">
        <f t="shared" si="84"/>
        <v>6.5773651144152131E-4</v>
      </c>
      <c r="Q65" s="60">
        <f t="shared" si="84"/>
        <v>6.5773651144152131E-4</v>
      </c>
      <c r="R65" s="60">
        <f t="shared" si="84"/>
        <v>6.5773651144152131E-4</v>
      </c>
      <c r="S65" s="60">
        <f t="shared" si="84"/>
        <v>6.5773651144152131E-4</v>
      </c>
      <c r="T65" s="60">
        <f t="shared" si="84"/>
        <v>6.5773651144152131E-4</v>
      </c>
      <c r="U65" s="60">
        <f t="shared" si="84"/>
        <v>6.5773651144152131E-4</v>
      </c>
      <c r="V65" s="60">
        <f t="shared" si="84"/>
        <v>6.5773651144152131E-4</v>
      </c>
      <c r="W65" s="60">
        <f t="shared" si="84"/>
        <v>6.5773651144152131E-4</v>
      </c>
      <c r="X65" s="60">
        <f t="shared" si="84"/>
        <v>6.5773651144152131E-4</v>
      </c>
      <c r="Y65" s="60">
        <f t="shared" si="84"/>
        <v>6.5773651144152131E-4</v>
      </c>
      <c r="Z65" s="60">
        <f t="shared" si="84"/>
        <v>6.5773651144152131E-4</v>
      </c>
      <c r="AA65" s="60">
        <f t="shared" si="84"/>
        <v>6.5773651144152131E-4</v>
      </c>
      <c r="AB65" s="60">
        <f t="shared" si="84"/>
        <v>6.5773651144152131E-4</v>
      </c>
      <c r="AC65" s="94">
        <f t="shared" si="81"/>
        <v>152036.56519057468</v>
      </c>
      <c r="AD65" s="94">
        <f>IF(D65=".",".",up_RadSpec!$F$21*(AD21*$B65))</f>
        <v>38009.14129764367</v>
      </c>
      <c r="AE65" s="94">
        <f>IF(E65=".",".",up_RadSpec!$F$21*(AE21*$B65))</f>
        <v>38009.14129764367</v>
      </c>
      <c r="AF65" s="94">
        <f>IF(F65=".",".",up_RadSpec!$F$21*(AF21*$B65))</f>
        <v>38009.14129764367</v>
      </c>
      <c r="AG65" s="94">
        <f>IF(G65=".",".",up_RadSpec!$F$21*(AG21*$B65))</f>
        <v>38009.14129764367</v>
      </c>
      <c r="AH65" s="94">
        <f>IF(H65=".",".",up_RadSpec!$F$21*(AH21*$B65))</f>
        <v>38009.14129764367</v>
      </c>
      <c r="AI65" s="94">
        <f>IF(I65=".",".",up_RadSpec!$F$21*(AI21*$B65))</f>
        <v>38009.14129764367</v>
      </c>
      <c r="AJ65" s="94">
        <f>IF(J65=".",".",up_RadSpec!$F$21*(AJ21*$B65))</f>
        <v>38009.14129764367</v>
      </c>
      <c r="AK65" s="94">
        <f>IF(K65=".",".",up_RadSpec!$F$21*(AK21*$B65))</f>
        <v>38009.14129764367</v>
      </c>
      <c r="AL65" s="94">
        <f>IF(L65=".",".",up_RadSpec!$F$21*(AL21*$B65))</f>
        <v>38009.14129764367</v>
      </c>
      <c r="AM65" s="94">
        <f>IF(M65=".",".",up_RadSpec!$F$21*(AM21*$B65))</f>
        <v>38009.14129764367</v>
      </c>
      <c r="AN65" s="94">
        <f>IF(N65=".",".",up_RadSpec!$F$21*(AN21*$B65))</f>
        <v>38009.14129764367</v>
      </c>
      <c r="AO65" s="94">
        <f>IF(O65=".",".",up_RadSpec!$F$21*(AO21*$B65))</f>
        <v>38009.14129764367</v>
      </c>
      <c r="AP65" s="94">
        <f>IF(P65=".",".",up_RadSpec!$F$21*(AP21*$B65))</f>
        <v>38009.14129764367</v>
      </c>
      <c r="AQ65" s="94">
        <f>IF(Q65=".",".",up_RadSpec!$F$21*(AQ21*$B65))</f>
        <v>38009.14129764367</v>
      </c>
      <c r="AR65" s="94">
        <f>IF(R65=".",".",up_RadSpec!$F$21*(AR21*$B65))</f>
        <v>38009.14129764367</v>
      </c>
      <c r="AS65" s="94">
        <f>IF(S65=".",".",up_RadSpec!$F$21*(AS21*$B65))</f>
        <v>38009.14129764367</v>
      </c>
      <c r="AT65" s="94">
        <f>IF(T65=".",".",up_RadSpec!$F$21*(AT21*$B65))</f>
        <v>38009.14129764367</v>
      </c>
      <c r="AU65" s="94">
        <f>IF(U65=".",".",up_RadSpec!$F$21*(AU21*$B65))</f>
        <v>38009.14129764367</v>
      </c>
      <c r="AV65" s="94">
        <f>IF(V65=".",".",up_RadSpec!$F$21*(AV21*$B65))</f>
        <v>38009.14129764367</v>
      </c>
      <c r="AW65" s="94">
        <f>IF(W65=".",".",up_RadSpec!$F$21*(AW21*$B65))</f>
        <v>38009.14129764367</v>
      </c>
      <c r="AX65" s="94">
        <f>IF(X65=".",".",up_RadSpec!$F$21*(AX21*$B65))</f>
        <v>38009.14129764367</v>
      </c>
      <c r="AY65" s="94">
        <f>IF(Y65=".",".",up_RadSpec!$F$21*(AY21*$B65))</f>
        <v>38009.14129764367</v>
      </c>
      <c r="AZ65" s="94">
        <f>IF(Z65=".",".",up_RadSpec!$F$21*(AZ21*$B65))</f>
        <v>38009.14129764367</v>
      </c>
      <c r="BA65" s="94">
        <f>IF(AA65=".",".",up_RadSpec!$F$21*(BA21*$B65))</f>
        <v>38009.14129764367</v>
      </c>
      <c r="BB65" s="94">
        <f>IF(AB65=".",".",up_RadSpec!$F$21*(BB21*$B65))</f>
        <v>38009.14129764367</v>
      </c>
      <c r="BC65" s="60">
        <f t="shared" ref="BC65:CB65" si="85">IFERROR(BC21/$B51,".")</f>
        <v>1.6443412786038033E-4</v>
      </c>
      <c r="BD65" s="60">
        <f t="shared" si="85"/>
        <v>6.5773651144152131E-4</v>
      </c>
      <c r="BE65" s="60">
        <f t="shared" si="85"/>
        <v>6.5773651144152131E-4</v>
      </c>
      <c r="BF65" s="60">
        <f t="shared" si="85"/>
        <v>6.5773651144152131E-4</v>
      </c>
      <c r="BG65" s="60">
        <f t="shared" si="85"/>
        <v>6.5773651144152131E-4</v>
      </c>
      <c r="BH65" s="60">
        <f t="shared" si="85"/>
        <v>6.5773651144152131E-4</v>
      </c>
      <c r="BI65" s="60">
        <f t="shared" si="85"/>
        <v>6.5773651144152131E-4</v>
      </c>
      <c r="BJ65" s="60">
        <f t="shared" si="85"/>
        <v>6.5773651144152131E-4</v>
      </c>
      <c r="BK65" s="60">
        <f t="shared" si="85"/>
        <v>6.5773651144152131E-4</v>
      </c>
      <c r="BL65" s="60">
        <f t="shared" si="85"/>
        <v>6.5773651144152131E-4</v>
      </c>
      <c r="BM65" s="60">
        <f t="shared" si="85"/>
        <v>6.5773651144152131E-4</v>
      </c>
      <c r="BN65" s="60">
        <f t="shared" si="85"/>
        <v>6.5773651144152131E-4</v>
      </c>
      <c r="BO65" s="60">
        <f t="shared" si="85"/>
        <v>6.5773651144152131E-4</v>
      </c>
      <c r="BP65" s="60">
        <f t="shared" si="85"/>
        <v>6.5773651144152131E-4</v>
      </c>
      <c r="BQ65" s="60">
        <f t="shared" si="85"/>
        <v>6.5773651144152131E-4</v>
      </c>
      <c r="BR65" s="60">
        <f t="shared" si="85"/>
        <v>6.5773651144152131E-4</v>
      </c>
      <c r="BS65" s="60">
        <f t="shared" si="85"/>
        <v>6.5773651144152131E-4</v>
      </c>
      <c r="BT65" s="60">
        <f t="shared" si="85"/>
        <v>6.5773651144152131E-4</v>
      </c>
      <c r="BU65" s="60">
        <f t="shared" si="85"/>
        <v>6.5773651144152131E-4</v>
      </c>
      <c r="BV65" s="60">
        <f t="shared" si="85"/>
        <v>6.5773651144152131E-4</v>
      </c>
      <c r="BW65" s="60">
        <f t="shared" si="85"/>
        <v>6.5773651144152131E-4</v>
      </c>
      <c r="BX65" s="60">
        <f t="shared" si="85"/>
        <v>6.5773651144152131E-4</v>
      </c>
      <c r="BY65" s="60">
        <f t="shared" si="85"/>
        <v>6.5773651144152131E-4</v>
      </c>
      <c r="BZ65" s="60">
        <f t="shared" si="85"/>
        <v>6.5773651144152131E-4</v>
      </c>
      <c r="CA65" s="60">
        <f t="shared" si="85"/>
        <v>6.5773651144152131E-4</v>
      </c>
      <c r="CB65" s="60">
        <f t="shared" si="85"/>
        <v>6.5773651144152131E-4</v>
      </c>
      <c r="CC65" s="94">
        <f t="shared" si="83"/>
        <v>152036.56519057468</v>
      </c>
      <c r="CD65" s="94">
        <f>IF(BD65=".",".",up_RadSpec!$F$21*(CD21*$B65))</f>
        <v>38009.14129764367</v>
      </c>
      <c r="CE65" s="94">
        <f>IF(BE65=".",".",up_RadSpec!$F$21*(CE21*$B65))</f>
        <v>38009.14129764367</v>
      </c>
      <c r="CF65" s="94">
        <f>IF(BF65=".",".",up_RadSpec!$F$21*(CF21*$B65))</f>
        <v>38009.14129764367</v>
      </c>
      <c r="CG65" s="94">
        <f>IF(BG65=".",".",up_RadSpec!$F$21*(CG21*$B65))</f>
        <v>38009.14129764367</v>
      </c>
      <c r="CH65" s="94">
        <f>IF(BH65=".",".",up_RadSpec!$F$21*(CH21*$B65))</f>
        <v>38009.14129764367</v>
      </c>
      <c r="CI65" s="94">
        <f>IF(BI65=".",".",up_RadSpec!$F$21*(CI21*$B65))</f>
        <v>38009.14129764367</v>
      </c>
      <c r="CJ65" s="94">
        <f>IF(BJ65=".",".",up_RadSpec!$F$21*(CJ21*$B65))</f>
        <v>38009.14129764367</v>
      </c>
      <c r="CK65" s="94">
        <f>IF(BK65=".",".",up_RadSpec!$F$21*(CK21*$B65))</f>
        <v>38009.14129764367</v>
      </c>
      <c r="CL65" s="94">
        <f>IF(BL65=".",".",up_RadSpec!$F$21*(CL21*$B65))</f>
        <v>38009.14129764367</v>
      </c>
      <c r="CM65" s="94">
        <f>IF(BM65=".",".",up_RadSpec!$F$21*(CM21*$B65))</f>
        <v>38009.14129764367</v>
      </c>
      <c r="CN65" s="94">
        <f>IF(BN65=".",".",up_RadSpec!$F$21*(CN21*$B65))</f>
        <v>38009.14129764367</v>
      </c>
      <c r="CO65" s="94">
        <f>IF(BO65=".",".",up_RadSpec!$F$21*(CO21*$B65))</f>
        <v>38009.14129764367</v>
      </c>
      <c r="CP65" s="94">
        <f>IF(BP65=".",".",up_RadSpec!$F$21*(CP21*$B65))</f>
        <v>38009.14129764367</v>
      </c>
      <c r="CQ65" s="94">
        <f>IF(BQ65=".",".",up_RadSpec!$F$21*(CQ21*$B65))</f>
        <v>38009.14129764367</v>
      </c>
      <c r="CR65" s="94">
        <f>IF(BR65=".",".",up_RadSpec!$F$21*(CR21*$B65))</f>
        <v>38009.14129764367</v>
      </c>
      <c r="CS65" s="94">
        <f>IF(BS65=".",".",up_RadSpec!$F$21*(CS21*$B65))</f>
        <v>38009.14129764367</v>
      </c>
      <c r="CT65" s="94">
        <f>IF(BT65=".",".",up_RadSpec!$F$21*(CT21*$B65))</f>
        <v>38009.14129764367</v>
      </c>
      <c r="CU65" s="94">
        <f>IF(BU65=".",".",up_RadSpec!$F$21*(CU21*$B65))</f>
        <v>38009.14129764367</v>
      </c>
      <c r="CV65" s="94">
        <f>IF(BV65=".",".",up_RadSpec!$F$21*(CV21*$B65))</f>
        <v>38009.14129764367</v>
      </c>
      <c r="CW65" s="94">
        <f>IF(BW65=".",".",up_RadSpec!$F$21*(CW21*$B65))</f>
        <v>38009.14129764367</v>
      </c>
      <c r="CX65" s="94">
        <f>IF(BX65=".",".",up_RadSpec!$F$21*(CX21*$B65))</f>
        <v>38009.14129764367</v>
      </c>
      <c r="CY65" s="94">
        <f>IF(BY65=".",".",up_RadSpec!$F$21*(CY21*$B65))</f>
        <v>38009.14129764367</v>
      </c>
      <c r="CZ65" s="94">
        <f>IF(BZ65=".",".",up_RadSpec!$F$21*(CZ21*$B65))</f>
        <v>38009.14129764367</v>
      </c>
      <c r="DA65" s="94">
        <f>IF(CA65=".",".",up_RadSpec!$F$21*(DA21*$B65))</f>
        <v>38009.14129764367</v>
      </c>
      <c r="DB65" s="94">
        <f>IF(CB65=".",".",up_RadSpec!$F$21*(DB21*$B65))</f>
        <v>38009.14129764367</v>
      </c>
    </row>
    <row r="66" spans="1:106" s="42" customFormat="1" x14ac:dyDescent="0.25">
      <c r="A66" s="77" t="s">
        <v>1060</v>
      </c>
      <c r="B66" s="79">
        <v>0.99980000000000002</v>
      </c>
      <c r="C66" s="60">
        <f t="shared" ref="C66:AB66" si="86">IFERROR(C17/$B52,".")</f>
        <v>1.6446702126463324E-4</v>
      </c>
      <c r="D66" s="60">
        <f t="shared" si="86"/>
        <v>6.5786808505853295E-4</v>
      </c>
      <c r="E66" s="60">
        <f t="shared" si="86"/>
        <v>6.5786808505853295E-4</v>
      </c>
      <c r="F66" s="60">
        <f t="shared" si="86"/>
        <v>6.5786808505853295E-4</v>
      </c>
      <c r="G66" s="60">
        <f t="shared" si="86"/>
        <v>6.5786808505853295E-4</v>
      </c>
      <c r="H66" s="60">
        <f t="shared" si="86"/>
        <v>6.5786808505853295E-4</v>
      </c>
      <c r="I66" s="60">
        <f t="shared" si="86"/>
        <v>6.5786808505853295E-4</v>
      </c>
      <c r="J66" s="60">
        <f t="shared" si="86"/>
        <v>6.5786808505853295E-4</v>
      </c>
      <c r="K66" s="60">
        <f t="shared" si="86"/>
        <v>6.5786808505853295E-4</v>
      </c>
      <c r="L66" s="60">
        <f t="shared" si="86"/>
        <v>6.5786808505853295E-4</v>
      </c>
      <c r="M66" s="60">
        <f t="shared" si="86"/>
        <v>6.5786808505853295E-4</v>
      </c>
      <c r="N66" s="60">
        <f t="shared" si="86"/>
        <v>6.5786808505853295E-4</v>
      </c>
      <c r="O66" s="60">
        <f t="shared" si="86"/>
        <v>6.5786808505853295E-4</v>
      </c>
      <c r="P66" s="60">
        <f t="shared" si="86"/>
        <v>6.5786808505853295E-4</v>
      </c>
      <c r="Q66" s="60">
        <f t="shared" si="86"/>
        <v>6.5786808505853295E-4</v>
      </c>
      <c r="R66" s="60">
        <f t="shared" si="86"/>
        <v>6.5786808505853295E-4</v>
      </c>
      <c r="S66" s="60">
        <f t="shared" si="86"/>
        <v>6.5786808505853295E-4</v>
      </c>
      <c r="T66" s="60">
        <f t="shared" si="86"/>
        <v>6.5786808505853295E-4</v>
      </c>
      <c r="U66" s="60">
        <f t="shared" si="86"/>
        <v>6.5786808505853295E-4</v>
      </c>
      <c r="V66" s="60">
        <f t="shared" si="86"/>
        <v>6.5786808505853295E-4</v>
      </c>
      <c r="W66" s="60">
        <f t="shared" si="86"/>
        <v>6.5786808505853295E-4</v>
      </c>
      <c r="X66" s="60">
        <f t="shared" si="86"/>
        <v>6.5786808505853295E-4</v>
      </c>
      <c r="Y66" s="60">
        <f t="shared" si="86"/>
        <v>6.5786808505853295E-4</v>
      </c>
      <c r="Z66" s="60">
        <f t="shared" si="86"/>
        <v>6.5786808505853295E-4</v>
      </c>
      <c r="AA66" s="60">
        <f t="shared" si="86"/>
        <v>6.5786808505853295E-4</v>
      </c>
      <c r="AB66" s="60">
        <f t="shared" si="86"/>
        <v>6.5786808505853295E-4</v>
      </c>
      <c r="AC66" s="94">
        <f t="shared" si="81"/>
        <v>152006.15787753658</v>
      </c>
      <c r="AD66" s="94">
        <f>IF(D66=".",".",up_RadSpec!$F$17*(AD17*$B66))</f>
        <v>38001.539469384144</v>
      </c>
      <c r="AE66" s="94">
        <f>IF(E66=".",".",up_RadSpec!$F$17*(AE17*$B66))</f>
        <v>38001.539469384144</v>
      </c>
      <c r="AF66" s="94">
        <f>IF(F66=".",".",up_RadSpec!$F$17*(AF17*$B66))</f>
        <v>38001.539469384144</v>
      </c>
      <c r="AG66" s="94">
        <f>IF(G66=".",".",up_RadSpec!$F$17*(AG17*$B66))</f>
        <v>38001.539469384144</v>
      </c>
      <c r="AH66" s="94">
        <f>IF(H66=".",".",up_RadSpec!$F$17*(AH17*$B66))</f>
        <v>38001.539469384144</v>
      </c>
      <c r="AI66" s="94">
        <f>IF(I66=".",".",up_RadSpec!$F$17*(AI17*$B66))</f>
        <v>38001.539469384144</v>
      </c>
      <c r="AJ66" s="94">
        <f>IF(J66=".",".",up_RadSpec!$F$17*(AJ17*$B66))</f>
        <v>38001.539469384144</v>
      </c>
      <c r="AK66" s="94">
        <f>IF(K66=".",".",up_RadSpec!$F$17*(AK17*$B66))</f>
        <v>38001.539469384144</v>
      </c>
      <c r="AL66" s="94">
        <f>IF(L66=".",".",up_RadSpec!$F$17*(AL17*$B66))</f>
        <v>38001.539469384144</v>
      </c>
      <c r="AM66" s="94">
        <f>IF(M66=".",".",up_RadSpec!$F$17*(AM17*$B66))</f>
        <v>38001.539469384144</v>
      </c>
      <c r="AN66" s="94">
        <f>IF(N66=".",".",up_RadSpec!$F$17*(AN17*$B66))</f>
        <v>38001.539469384144</v>
      </c>
      <c r="AO66" s="94">
        <f>IF(O66=".",".",up_RadSpec!$F$17*(AO17*$B66))</f>
        <v>38001.539469384144</v>
      </c>
      <c r="AP66" s="94">
        <f>IF(P66=".",".",up_RadSpec!$F$17*(AP17*$B66))</f>
        <v>38001.539469384144</v>
      </c>
      <c r="AQ66" s="94">
        <f>IF(Q66=".",".",up_RadSpec!$F$17*(AQ17*$B66))</f>
        <v>38001.539469384144</v>
      </c>
      <c r="AR66" s="94">
        <f>IF(R66=".",".",up_RadSpec!$F$17*(AR17*$B66))</f>
        <v>38001.539469384144</v>
      </c>
      <c r="AS66" s="94">
        <f>IF(S66=".",".",up_RadSpec!$F$17*(AS17*$B66))</f>
        <v>38001.539469384144</v>
      </c>
      <c r="AT66" s="94">
        <f>IF(T66=".",".",up_RadSpec!$F$17*(AT17*$B66))</f>
        <v>38001.539469384144</v>
      </c>
      <c r="AU66" s="94">
        <f>IF(U66=".",".",up_RadSpec!$F$17*(AU17*$B66))</f>
        <v>38001.539469384144</v>
      </c>
      <c r="AV66" s="94">
        <f>IF(V66=".",".",up_RadSpec!$F$17*(AV17*$B66))</f>
        <v>38001.539469384144</v>
      </c>
      <c r="AW66" s="94">
        <f>IF(W66=".",".",up_RadSpec!$F$17*(AW17*$B66))</f>
        <v>38001.539469384144</v>
      </c>
      <c r="AX66" s="94">
        <f>IF(X66=".",".",up_RadSpec!$F$17*(AX17*$B66))</f>
        <v>38001.539469384144</v>
      </c>
      <c r="AY66" s="94">
        <f>IF(Y66=".",".",up_RadSpec!$F$17*(AY17*$B66))</f>
        <v>38001.539469384144</v>
      </c>
      <c r="AZ66" s="94">
        <f>IF(Z66=".",".",up_RadSpec!$F$17*(AZ17*$B66))</f>
        <v>38001.539469384144</v>
      </c>
      <c r="BA66" s="94">
        <f>IF(AA66=".",".",up_RadSpec!$F$17*(BA17*$B66))</f>
        <v>38001.539469384144</v>
      </c>
      <c r="BB66" s="94">
        <f>IF(AB66=".",".",up_RadSpec!$F$17*(BB17*$B66))</f>
        <v>38001.539469384144</v>
      </c>
      <c r="BC66" s="60">
        <f t="shared" ref="BC66:CB66" si="87">IFERROR(BC17/$B52,".")</f>
        <v>1.6446702126463324E-4</v>
      </c>
      <c r="BD66" s="60">
        <f t="shared" si="87"/>
        <v>6.5786808505853295E-4</v>
      </c>
      <c r="BE66" s="60">
        <f t="shared" si="87"/>
        <v>6.5786808505853295E-4</v>
      </c>
      <c r="BF66" s="60">
        <f t="shared" si="87"/>
        <v>6.5786808505853295E-4</v>
      </c>
      <c r="BG66" s="60">
        <f t="shared" si="87"/>
        <v>6.5786808505853295E-4</v>
      </c>
      <c r="BH66" s="60">
        <f t="shared" si="87"/>
        <v>6.5786808505853295E-4</v>
      </c>
      <c r="BI66" s="60">
        <f t="shared" si="87"/>
        <v>6.5786808505853295E-4</v>
      </c>
      <c r="BJ66" s="60">
        <f t="shared" si="87"/>
        <v>6.5786808505853295E-4</v>
      </c>
      <c r="BK66" s="60">
        <f t="shared" si="87"/>
        <v>6.5786808505853295E-4</v>
      </c>
      <c r="BL66" s="60">
        <f t="shared" si="87"/>
        <v>6.5786808505853295E-4</v>
      </c>
      <c r="BM66" s="60">
        <f t="shared" si="87"/>
        <v>6.5786808505853295E-4</v>
      </c>
      <c r="BN66" s="60">
        <f t="shared" si="87"/>
        <v>6.5786808505853295E-4</v>
      </c>
      <c r="BO66" s="60">
        <f t="shared" si="87"/>
        <v>6.5786808505853295E-4</v>
      </c>
      <c r="BP66" s="60">
        <f t="shared" si="87"/>
        <v>6.5786808505853295E-4</v>
      </c>
      <c r="BQ66" s="60">
        <f t="shared" si="87"/>
        <v>6.5786808505853295E-4</v>
      </c>
      <c r="BR66" s="60">
        <f t="shared" si="87"/>
        <v>6.5786808505853295E-4</v>
      </c>
      <c r="BS66" s="60">
        <f t="shared" si="87"/>
        <v>6.5786808505853295E-4</v>
      </c>
      <c r="BT66" s="60">
        <f t="shared" si="87"/>
        <v>6.5786808505853295E-4</v>
      </c>
      <c r="BU66" s="60">
        <f t="shared" si="87"/>
        <v>6.5786808505853295E-4</v>
      </c>
      <c r="BV66" s="60">
        <f t="shared" si="87"/>
        <v>6.5786808505853295E-4</v>
      </c>
      <c r="BW66" s="60">
        <f t="shared" si="87"/>
        <v>6.5786808505853295E-4</v>
      </c>
      <c r="BX66" s="60">
        <f t="shared" si="87"/>
        <v>6.5786808505853295E-4</v>
      </c>
      <c r="BY66" s="60">
        <f t="shared" si="87"/>
        <v>6.5786808505853295E-4</v>
      </c>
      <c r="BZ66" s="60">
        <f t="shared" si="87"/>
        <v>6.5786808505853295E-4</v>
      </c>
      <c r="CA66" s="60">
        <f t="shared" si="87"/>
        <v>6.5786808505853295E-4</v>
      </c>
      <c r="CB66" s="60">
        <f t="shared" si="87"/>
        <v>6.5786808505853295E-4</v>
      </c>
      <c r="CC66" s="94">
        <f t="shared" si="83"/>
        <v>152006.15787753658</v>
      </c>
      <c r="CD66" s="94">
        <f>IF(BD66=".",".",up_RadSpec!$F$17*(CD17*$B66))</f>
        <v>38001.539469384144</v>
      </c>
      <c r="CE66" s="94">
        <f>IF(BE66=".",".",up_RadSpec!$F$17*(CE17*$B66))</f>
        <v>38001.539469384144</v>
      </c>
      <c r="CF66" s="94">
        <f>IF(BF66=".",".",up_RadSpec!$F$17*(CF17*$B66))</f>
        <v>38001.539469384144</v>
      </c>
      <c r="CG66" s="94">
        <f>IF(BG66=".",".",up_RadSpec!$F$17*(CG17*$B66))</f>
        <v>38001.539469384144</v>
      </c>
      <c r="CH66" s="94">
        <f>IF(BH66=".",".",up_RadSpec!$F$17*(CH17*$B66))</f>
        <v>38001.539469384144</v>
      </c>
      <c r="CI66" s="94">
        <f>IF(BI66=".",".",up_RadSpec!$F$17*(CI17*$B66))</f>
        <v>38001.539469384144</v>
      </c>
      <c r="CJ66" s="94">
        <f>IF(BJ66=".",".",up_RadSpec!$F$17*(CJ17*$B66))</f>
        <v>38001.539469384144</v>
      </c>
      <c r="CK66" s="94">
        <f>IF(BK66=".",".",up_RadSpec!$F$17*(CK17*$B66))</f>
        <v>38001.539469384144</v>
      </c>
      <c r="CL66" s="94">
        <f>IF(BL66=".",".",up_RadSpec!$F$17*(CL17*$B66))</f>
        <v>38001.539469384144</v>
      </c>
      <c r="CM66" s="94">
        <f>IF(BM66=".",".",up_RadSpec!$F$17*(CM17*$B66))</f>
        <v>38001.539469384144</v>
      </c>
      <c r="CN66" s="94">
        <f>IF(BN66=".",".",up_RadSpec!$F$17*(CN17*$B66))</f>
        <v>38001.539469384144</v>
      </c>
      <c r="CO66" s="94">
        <f>IF(BO66=".",".",up_RadSpec!$F$17*(CO17*$B66))</f>
        <v>38001.539469384144</v>
      </c>
      <c r="CP66" s="94">
        <f>IF(BP66=".",".",up_RadSpec!$F$17*(CP17*$B66))</f>
        <v>38001.539469384144</v>
      </c>
      <c r="CQ66" s="94">
        <f>IF(BQ66=".",".",up_RadSpec!$F$17*(CQ17*$B66))</f>
        <v>38001.539469384144</v>
      </c>
      <c r="CR66" s="94">
        <f>IF(BR66=".",".",up_RadSpec!$F$17*(CR17*$B66))</f>
        <v>38001.539469384144</v>
      </c>
      <c r="CS66" s="94">
        <f>IF(BS66=".",".",up_RadSpec!$F$17*(CS17*$B66))</f>
        <v>38001.539469384144</v>
      </c>
      <c r="CT66" s="94">
        <f>IF(BT66=".",".",up_RadSpec!$F$17*(CT17*$B66))</f>
        <v>38001.539469384144</v>
      </c>
      <c r="CU66" s="94">
        <f>IF(BU66=".",".",up_RadSpec!$F$17*(CU17*$B66))</f>
        <v>38001.539469384144</v>
      </c>
      <c r="CV66" s="94">
        <f>IF(BV66=".",".",up_RadSpec!$F$17*(CV17*$B66))</f>
        <v>38001.539469384144</v>
      </c>
      <c r="CW66" s="94">
        <f>IF(BW66=".",".",up_RadSpec!$F$17*(CW17*$B66))</f>
        <v>38001.539469384144</v>
      </c>
      <c r="CX66" s="94">
        <f>IF(BX66=".",".",up_RadSpec!$F$17*(CX17*$B66))</f>
        <v>38001.539469384144</v>
      </c>
      <c r="CY66" s="94">
        <f>IF(BY66=".",".",up_RadSpec!$F$17*(CY17*$B66))</f>
        <v>38001.539469384144</v>
      </c>
      <c r="CZ66" s="94">
        <f>IF(BZ66=".",".",up_RadSpec!$F$17*(CZ17*$B66))</f>
        <v>38001.539469384144</v>
      </c>
      <c r="DA66" s="94">
        <f>IF(CA66=".",".",up_RadSpec!$F$17*(DA17*$B66))</f>
        <v>38001.539469384144</v>
      </c>
      <c r="DB66" s="94">
        <f>IF(CB66=".",".",up_RadSpec!$F$17*(DB17*$B66))</f>
        <v>38001.539469384144</v>
      </c>
    </row>
    <row r="67" spans="1:106" s="42" customFormat="1" x14ac:dyDescent="0.25">
      <c r="A67" s="77" t="s">
        <v>1074</v>
      </c>
      <c r="B67" s="42">
        <v>2.0000000000000001E-4</v>
      </c>
      <c r="C67" s="60">
        <f t="shared" ref="C67:AB67" si="88">IFERROR(C5/$B53,".")</f>
        <v>0.8221706393019016</v>
      </c>
      <c r="D67" s="60">
        <f t="shared" si="88"/>
        <v>3.2886825572076064</v>
      </c>
      <c r="E67" s="60">
        <f t="shared" si="88"/>
        <v>3.2886825572076064</v>
      </c>
      <c r="F67" s="60">
        <f t="shared" si="88"/>
        <v>3.2886825572076064</v>
      </c>
      <c r="G67" s="60">
        <f t="shared" si="88"/>
        <v>3.2886825572076064</v>
      </c>
      <c r="H67" s="60">
        <f t="shared" si="88"/>
        <v>3.2886825572076064</v>
      </c>
      <c r="I67" s="60">
        <f t="shared" si="88"/>
        <v>3.2886825572076064</v>
      </c>
      <c r="J67" s="60">
        <f t="shared" si="88"/>
        <v>3.2886825572076064</v>
      </c>
      <c r="K67" s="60">
        <f t="shared" si="88"/>
        <v>3.2886825572076064</v>
      </c>
      <c r="L67" s="60">
        <f t="shared" si="88"/>
        <v>3.2886825572076064</v>
      </c>
      <c r="M67" s="60">
        <f t="shared" si="88"/>
        <v>3.2886825572076064</v>
      </c>
      <c r="N67" s="60">
        <f t="shared" si="88"/>
        <v>3.2886825572076064</v>
      </c>
      <c r="O67" s="60">
        <f t="shared" si="88"/>
        <v>3.2886825572076064</v>
      </c>
      <c r="P67" s="60">
        <f t="shared" si="88"/>
        <v>3.2886825572076064</v>
      </c>
      <c r="Q67" s="60">
        <f t="shared" si="88"/>
        <v>3.2886825572076064</v>
      </c>
      <c r="R67" s="60">
        <f t="shared" si="88"/>
        <v>3.2886825572076064</v>
      </c>
      <c r="S67" s="60">
        <f t="shared" si="88"/>
        <v>3.2886825572076064</v>
      </c>
      <c r="T67" s="60">
        <f t="shared" si="88"/>
        <v>3.2886825572076064</v>
      </c>
      <c r="U67" s="60">
        <f t="shared" si="88"/>
        <v>3.2886825572076064</v>
      </c>
      <c r="V67" s="60">
        <f t="shared" si="88"/>
        <v>3.2886825572076064</v>
      </c>
      <c r="W67" s="60">
        <f t="shared" si="88"/>
        <v>3.2886825572076064</v>
      </c>
      <c r="X67" s="60">
        <f t="shared" si="88"/>
        <v>3.2886825572076064</v>
      </c>
      <c r="Y67" s="60">
        <f t="shared" si="88"/>
        <v>3.2886825572076064</v>
      </c>
      <c r="Z67" s="60">
        <f t="shared" si="88"/>
        <v>3.2886825572076064</v>
      </c>
      <c r="AA67" s="60">
        <f t="shared" si="88"/>
        <v>3.2886825572076064</v>
      </c>
      <c r="AB67" s="60">
        <f t="shared" si="88"/>
        <v>3.2886825572076064</v>
      </c>
      <c r="AC67" s="94">
        <f t="shared" si="81"/>
        <v>30.407313038114939</v>
      </c>
      <c r="AD67" s="94">
        <f>IF(D67=".",".",up_RadSpec!$F$5*(AD5*$B67))</f>
        <v>7.6018282595287348</v>
      </c>
      <c r="AE67" s="94">
        <f>IF(E67=".",".",up_RadSpec!$F$5*(AE5*$B67))</f>
        <v>7.6018282595287348</v>
      </c>
      <c r="AF67" s="94">
        <f>IF(F67=".",".",up_RadSpec!$F$5*(AF5*$B67))</f>
        <v>7.6018282595287348</v>
      </c>
      <c r="AG67" s="94">
        <f>IF(G67=".",".",up_RadSpec!$F$5*(AG5*$B67))</f>
        <v>7.6018282595287348</v>
      </c>
      <c r="AH67" s="94">
        <f>IF(H67=".",".",up_RadSpec!$F$5*(AH5*$B67))</f>
        <v>7.6018282595287348</v>
      </c>
      <c r="AI67" s="94">
        <f>IF(I67=".",".",up_RadSpec!$F$5*(AI5*$B67))</f>
        <v>7.6018282595287348</v>
      </c>
      <c r="AJ67" s="94">
        <f>IF(J67=".",".",up_RadSpec!$F$5*(AJ5*$B67))</f>
        <v>7.6018282595287348</v>
      </c>
      <c r="AK67" s="94">
        <f>IF(K67=".",".",up_RadSpec!$F$5*(AK5*$B67))</f>
        <v>7.6018282595287348</v>
      </c>
      <c r="AL67" s="94">
        <f>IF(L67=".",".",up_RadSpec!$F$5*(AL5*$B67))</f>
        <v>7.6018282595287348</v>
      </c>
      <c r="AM67" s="94">
        <f>IF(M67=".",".",up_RadSpec!$F$5*(AM5*$B67))</f>
        <v>7.6018282595287348</v>
      </c>
      <c r="AN67" s="94">
        <f>IF(N67=".",".",up_RadSpec!$F$5*(AN5*$B67))</f>
        <v>7.6018282595287348</v>
      </c>
      <c r="AO67" s="94">
        <f>IF(O67=".",".",up_RadSpec!$F$5*(AO5*$B67))</f>
        <v>7.6018282595287348</v>
      </c>
      <c r="AP67" s="94">
        <f>IF(P67=".",".",up_RadSpec!$F$5*(AP5*$B67))</f>
        <v>7.6018282595287348</v>
      </c>
      <c r="AQ67" s="94">
        <f>IF(Q67=".",".",up_RadSpec!$F$5*(AQ5*$B67))</f>
        <v>7.6018282595287348</v>
      </c>
      <c r="AR67" s="94">
        <f>IF(R67=".",".",up_RadSpec!$F$5*(AR5*$B67))</f>
        <v>7.6018282595287348</v>
      </c>
      <c r="AS67" s="94">
        <f>IF(S67=".",".",up_RadSpec!$F$5*(AS5*$B67))</f>
        <v>7.6018282595287348</v>
      </c>
      <c r="AT67" s="94">
        <f>IF(T67=".",".",up_RadSpec!$F$5*(AT5*$B67))</f>
        <v>7.6018282595287348</v>
      </c>
      <c r="AU67" s="94">
        <f>IF(U67=".",".",up_RadSpec!$F$5*(AU5*$B67))</f>
        <v>7.6018282595287348</v>
      </c>
      <c r="AV67" s="94">
        <f>IF(V67=".",".",up_RadSpec!$F$5*(AV5*$B67))</f>
        <v>7.6018282595287348</v>
      </c>
      <c r="AW67" s="94">
        <f>IF(W67=".",".",up_RadSpec!$F$5*(AW5*$B67))</f>
        <v>7.6018282595287348</v>
      </c>
      <c r="AX67" s="94">
        <f>IF(X67=".",".",up_RadSpec!$F$5*(AX5*$B67))</f>
        <v>7.6018282595287348</v>
      </c>
      <c r="AY67" s="94">
        <f>IF(Y67=".",".",up_RadSpec!$F$5*(AY5*$B67))</f>
        <v>7.6018282595287348</v>
      </c>
      <c r="AZ67" s="94">
        <f>IF(Z67=".",".",up_RadSpec!$F$5*(AZ5*$B67))</f>
        <v>7.6018282595287348</v>
      </c>
      <c r="BA67" s="94">
        <f>IF(AA67=".",".",up_RadSpec!$F$5*(BA5*$B67))</f>
        <v>7.6018282595287348</v>
      </c>
      <c r="BB67" s="94">
        <f>IF(AB67=".",".",up_RadSpec!$F$5*(BB5*$B67))</f>
        <v>7.6018282595287348</v>
      </c>
      <c r="BC67" s="60">
        <f t="shared" ref="BC67:CB67" si="89">IFERROR(BC5/$B53,".")</f>
        <v>0.8221706393019016</v>
      </c>
      <c r="BD67" s="60">
        <f t="shared" si="89"/>
        <v>3.2886825572076064</v>
      </c>
      <c r="BE67" s="60">
        <f t="shared" si="89"/>
        <v>3.2886825572076064</v>
      </c>
      <c r="BF67" s="60">
        <f t="shared" si="89"/>
        <v>3.2886825572076064</v>
      </c>
      <c r="BG67" s="60">
        <f t="shared" si="89"/>
        <v>3.2886825572076064</v>
      </c>
      <c r="BH67" s="60">
        <f t="shared" si="89"/>
        <v>3.2886825572076064</v>
      </c>
      <c r="BI67" s="60">
        <f t="shared" si="89"/>
        <v>3.2886825572076064</v>
      </c>
      <c r="BJ67" s="60">
        <f t="shared" si="89"/>
        <v>3.2886825572076064</v>
      </c>
      <c r="BK67" s="60">
        <f t="shared" si="89"/>
        <v>3.2886825572076064</v>
      </c>
      <c r="BL67" s="60">
        <f t="shared" si="89"/>
        <v>3.2886825572076064</v>
      </c>
      <c r="BM67" s="60">
        <f t="shared" si="89"/>
        <v>3.2886825572076064</v>
      </c>
      <c r="BN67" s="60">
        <f t="shared" si="89"/>
        <v>3.2886825572076064</v>
      </c>
      <c r="BO67" s="60">
        <f t="shared" si="89"/>
        <v>3.2886825572076064</v>
      </c>
      <c r="BP67" s="60">
        <f t="shared" si="89"/>
        <v>3.2886825572076064</v>
      </c>
      <c r="BQ67" s="60">
        <f t="shared" si="89"/>
        <v>3.2886825572076064</v>
      </c>
      <c r="BR67" s="60">
        <f t="shared" si="89"/>
        <v>3.2886825572076064</v>
      </c>
      <c r="BS67" s="60">
        <f t="shared" si="89"/>
        <v>3.2886825572076064</v>
      </c>
      <c r="BT67" s="60">
        <f t="shared" si="89"/>
        <v>3.2886825572076064</v>
      </c>
      <c r="BU67" s="60">
        <f t="shared" si="89"/>
        <v>3.2886825572076064</v>
      </c>
      <c r="BV67" s="60">
        <f t="shared" si="89"/>
        <v>3.2886825572076064</v>
      </c>
      <c r="BW67" s="60">
        <f t="shared" si="89"/>
        <v>3.2886825572076064</v>
      </c>
      <c r="BX67" s="60">
        <f t="shared" si="89"/>
        <v>3.2886825572076064</v>
      </c>
      <c r="BY67" s="60">
        <f t="shared" si="89"/>
        <v>3.2886825572076064</v>
      </c>
      <c r="BZ67" s="60">
        <f t="shared" si="89"/>
        <v>3.2886825572076064</v>
      </c>
      <c r="CA67" s="60">
        <f t="shared" si="89"/>
        <v>3.2886825572076064</v>
      </c>
      <c r="CB67" s="60">
        <f t="shared" si="89"/>
        <v>3.2886825572076064</v>
      </c>
      <c r="CC67" s="94">
        <f t="shared" si="83"/>
        <v>30.407313038114939</v>
      </c>
      <c r="CD67" s="94">
        <f>IF(BD67=".",".",up_RadSpec!$F$5*(CD5*$B67))</f>
        <v>7.6018282595287348</v>
      </c>
      <c r="CE67" s="94">
        <f>IF(BE67=".",".",up_RadSpec!$F$5*(CE5*$B67))</f>
        <v>7.6018282595287348</v>
      </c>
      <c r="CF67" s="94">
        <f>IF(BF67=".",".",up_RadSpec!$F$5*(CF5*$B67))</f>
        <v>7.6018282595287348</v>
      </c>
      <c r="CG67" s="94">
        <f>IF(BG67=".",".",up_RadSpec!$F$5*(CG5*$B67))</f>
        <v>7.6018282595287348</v>
      </c>
      <c r="CH67" s="94">
        <f>IF(BH67=".",".",up_RadSpec!$F$5*(CH5*$B67))</f>
        <v>7.6018282595287348</v>
      </c>
      <c r="CI67" s="94">
        <f>IF(BI67=".",".",up_RadSpec!$F$5*(CI5*$B67))</f>
        <v>7.6018282595287348</v>
      </c>
      <c r="CJ67" s="94">
        <f>IF(BJ67=".",".",up_RadSpec!$F$5*(CJ5*$B67))</f>
        <v>7.6018282595287348</v>
      </c>
      <c r="CK67" s="94">
        <f>IF(BK67=".",".",up_RadSpec!$F$5*(CK5*$B67))</f>
        <v>7.6018282595287348</v>
      </c>
      <c r="CL67" s="94">
        <f>IF(BL67=".",".",up_RadSpec!$F$5*(CL5*$B67))</f>
        <v>7.6018282595287348</v>
      </c>
      <c r="CM67" s="94">
        <f>IF(BM67=".",".",up_RadSpec!$F$5*(CM5*$B67))</f>
        <v>7.6018282595287348</v>
      </c>
      <c r="CN67" s="94">
        <f>IF(BN67=".",".",up_RadSpec!$F$5*(CN5*$B67))</f>
        <v>7.6018282595287348</v>
      </c>
      <c r="CO67" s="94">
        <f>IF(BO67=".",".",up_RadSpec!$F$5*(CO5*$B67))</f>
        <v>7.6018282595287348</v>
      </c>
      <c r="CP67" s="94">
        <f>IF(BP67=".",".",up_RadSpec!$F$5*(CP5*$B67))</f>
        <v>7.6018282595287348</v>
      </c>
      <c r="CQ67" s="94">
        <f>IF(BQ67=".",".",up_RadSpec!$F$5*(CQ5*$B67))</f>
        <v>7.6018282595287348</v>
      </c>
      <c r="CR67" s="94">
        <f>IF(BR67=".",".",up_RadSpec!$F$5*(CR5*$B67))</f>
        <v>7.6018282595287348</v>
      </c>
      <c r="CS67" s="94">
        <f>IF(BS67=".",".",up_RadSpec!$F$5*(CS5*$B67))</f>
        <v>7.6018282595287348</v>
      </c>
      <c r="CT67" s="94">
        <f>IF(BT67=".",".",up_RadSpec!$F$5*(CT5*$B67))</f>
        <v>7.6018282595287348</v>
      </c>
      <c r="CU67" s="94">
        <f>IF(BU67=".",".",up_RadSpec!$F$5*(CU5*$B67))</f>
        <v>7.6018282595287348</v>
      </c>
      <c r="CV67" s="94">
        <f>IF(BV67=".",".",up_RadSpec!$F$5*(CV5*$B67))</f>
        <v>7.6018282595287348</v>
      </c>
      <c r="CW67" s="94">
        <f>IF(BW67=".",".",up_RadSpec!$F$5*(CW5*$B67))</f>
        <v>7.6018282595287348</v>
      </c>
      <c r="CX67" s="94">
        <f>IF(BX67=".",".",up_RadSpec!$F$5*(CX5*$B67))</f>
        <v>7.6018282595287348</v>
      </c>
      <c r="CY67" s="94">
        <f>IF(BY67=".",".",up_RadSpec!$F$5*(CY5*$B67))</f>
        <v>7.6018282595287348</v>
      </c>
      <c r="CZ67" s="94">
        <f>IF(BZ67=".",".",up_RadSpec!$F$5*(CZ5*$B67))</f>
        <v>7.6018282595287348</v>
      </c>
      <c r="DA67" s="94">
        <f>IF(CA67=".",".",up_RadSpec!$F$5*(DA5*$B67))</f>
        <v>7.6018282595287348</v>
      </c>
      <c r="DB67" s="94">
        <f>IF(CB67=".",".",up_RadSpec!$F$5*(DB5*$B67))</f>
        <v>7.6018282595287348</v>
      </c>
    </row>
    <row r="68" spans="1:106" s="42" customFormat="1" x14ac:dyDescent="0.25">
      <c r="A68" s="77" t="s">
        <v>1075</v>
      </c>
      <c r="B68" s="42">
        <v>0.99999979999999999</v>
      </c>
      <c r="C68" s="60">
        <f t="shared" ref="C68:AB68" si="90">IFERROR(C9/$B54,".")</f>
        <v>1.6443416074721248E-4</v>
      </c>
      <c r="D68" s="60">
        <f t="shared" si="90"/>
        <v>6.577366429888499E-4</v>
      </c>
      <c r="E68" s="60">
        <f t="shared" si="90"/>
        <v>6.577366429888499E-4</v>
      </c>
      <c r="F68" s="60">
        <f t="shared" si="90"/>
        <v>6.577366429888499E-4</v>
      </c>
      <c r="G68" s="60">
        <f t="shared" si="90"/>
        <v>6.577366429888499E-4</v>
      </c>
      <c r="H68" s="60">
        <f t="shared" si="90"/>
        <v>6.577366429888499E-4</v>
      </c>
      <c r="I68" s="60">
        <f t="shared" si="90"/>
        <v>6.577366429888499E-4</v>
      </c>
      <c r="J68" s="60">
        <f t="shared" si="90"/>
        <v>6.577366429888499E-4</v>
      </c>
      <c r="K68" s="60">
        <f t="shared" si="90"/>
        <v>6.577366429888499E-4</v>
      </c>
      <c r="L68" s="60">
        <f t="shared" si="90"/>
        <v>6.577366429888499E-4</v>
      </c>
      <c r="M68" s="60">
        <f t="shared" si="90"/>
        <v>6.577366429888499E-4</v>
      </c>
      <c r="N68" s="60">
        <f t="shared" si="90"/>
        <v>6.577366429888499E-4</v>
      </c>
      <c r="O68" s="60">
        <f t="shared" si="90"/>
        <v>6.577366429888499E-4</v>
      </c>
      <c r="P68" s="60">
        <f t="shared" si="90"/>
        <v>6.577366429888499E-4</v>
      </c>
      <c r="Q68" s="60">
        <f t="shared" si="90"/>
        <v>6.577366429888499E-4</v>
      </c>
      <c r="R68" s="60">
        <f t="shared" si="90"/>
        <v>6.577366429888499E-4</v>
      </c>
      <c r="S68" s="60">
        <f t="shared" si="90"/>
        <v>6.577366429888499E-4</v>
      </c>
      <c r="T68" s="60">
        <f t="shared" si="90"/>
        <v>6.577366429888499E-4</v>
      </c>
      <c r="U68" s="60">
        <f t="shared" si="90"/>
        <v>6.577366429888499E-4</v>
      </c>
      <c r="V68" s="60">
        <f t="shared" si="90"/>
        <v>6.577366429888499E-4</v>
      </c>
      <c r="W68" s="60">
        <f t="shared" si="90"/>
        <v>6.577366429888499E-4</v>
      </c>
      <c r="X68" s="60">
        <f t="shared" si="90"/>
        <v>6.577366429888499E-4</v>
      </c>
      <c r="Y68" s="60">
        <f t="shared" si="90"/>
        <v>6.577366429888499E-4</v>
      </c>
      <c r="Z68" s="60">
        <f t="shared" si="90"/>
        <v>6.577366429888499E-4</v>
      </c>
      <c r="AA68" s="60">
        <f t="shared" si="90"/>
        <v>6.577366429888499E-4</v>
      </c>
      <c r="AB68" s="60">
        <f t="shared" si="90"/>
        <v>6.577366429888499E-4</v>
      </c>
      <c r="AC68" s="94">
        <f t="shared" si="81"/>
        <v>152036.53478326162</v>
      </c>
      <c r="AD68" s="94">
        <f>IF(D68=".",".",up_RadSpec!$F$9*(AD9*$B68))</f>
        <v>38009.133695815406</v>
      </c>
      <c r="AE68" s="94">
        <f>IF(E68=".",".",up_RadSpec!$F$9*(AE9*$B68))</f>
        <v>38009.133695815406</v>
      </c>
      <c r="AF68" s="94">
        <f>IF(F68=".",".",up_RadSpec!$F$9*(AF9*$B68))</f>
        <v>38009.133695815406</v>
      </c>
      <c r="AG68" s="94">
        <f>IF(G68=".",".",up_RadSpec!$F$9*(AG9*$B68))</f>
        <v>38009.133695815406</v>
      </c>
      <c r="AH68" s="94">
        <f>IF(H68=".",".",up_RadSpec!$F$9*(AH9*$B68))</f>
        <v>38009.133695815406</v>
      </c>
      <c r="AI68" s="94">
        <f>IF(I68=".",".",up_RadSpec!$F$9*(AI9*$B68))</f>
        <v>38009.133695815406</v>
      </c>
      <c r="AJ68" s="94">
        <f>IF(J68=".",".",up_RadSpec!$F$9*(AJ9*$B68))</f>
        <v>38009.133695815406</v>
      </c>
      <c r="AK68" s="94">
        <f>IF(K68=".",".",up_RadSpec!$F$9*(AK9*$B68))</f>
        <v>38009.133695815406</v>
      </c>
      <c r="AL68" s="94">
        <f>IF(L68=".",".",up_RadSpec!$F$9*(AL9*$B68))</f>
        <v>38009.133695815406</v>
      </c>
      <c r="AM68" s="94">
        <f>IF(M68=".",".",up_RadSpec!$F$9*(AM9*$B68))</f>
        <v>38009.133695815406</v>
      </c>
      <c r="AN68" s="94">
        <f>IF(N68=".",".",up_RadSpec!$F$9*(AN9*$B68))</f>
        <v>38009.133695815406</v>
      </c>
      <c r="AO68" s="94">
        <f>IF(O68=".",".",up_RadSpec!$F$9*(AO9*$B68))</f>
        <v>38009.133695815406</v>
      </c>
      <c r="AP68" s="94">
        <f>IF(P68=".",".",up_RadSpec!$F$9*(AP9*$B68))</f>
        <v>38009.133695815406</v>
      </c>
      <c r="AQ68" s="94">
        <f>IF(Q68=".",".",up_RadSpec!$F$9*(AQ9*$B68))</f>
        <v>38009.133695815406</v>
      </c>
      <c r="AR68" s="94">
        <f>IF(R68=".",".",up_RadSpec!$F$9*(AR9*$B68))</f>
        <v>38009.133695815406</v>
      </c>
      <c r="AS68" s="94">
        <f>IF(S68=".",".",up_RadSpec!$F$9*(AS9*$B68))</f>
        <v>38009.133695815406</v>
      </c>
      <c r="AT68" s="94">
        <f>IF(T68=".",".",up_RadSpec!$F$9*(AT9*$B68))</f>
        <v>38009.133695815406</v>
      </c>
      <c r="AU68" s="94">
        <f>IF(U68=".",".",up_RadSpec!$F$9*(AU9*$B68))</f>
        <v>38009.133695815406</v>
      </c>
      <c r="AV68" s="94">
        <f>IF(V68=".",".",up_RadSpec!$F$9*(AV9*$B68))</f>
        <v>38009.133695815406</v>
      </c>
      <c r="AW68" s="94">
        <f>IF(W68=".",".",up_RadSpec!$F$9*(AW9*$B68))</f>
        <v>38009.133695815406</v>
      </c>
      <c r="AX68" s="94">
        <f>IF(X68=".",".",up_RadSpec!$F$9*(AX9*$B68))</f>
        <v>38009.133695815406</v>
      </c>
      <c r="AY68" s="94">
        <f>IF(Y68=".",".",up_RadSpec!$F$9*(AY9*$B68))</f>
        <v>38009.133695815406</v>
      </c>
      <c r="AZ68" s="94">
        <f>IF(Z68=".",".",up_RadSpec!$F$9*(AZ9*$B68))</f>
        <v>38009.133695815406</v>
      </c>
      <c r="BA68" s="94">
        <f>IF(AA68=".",".",up_RadSpec!$F$9*(BA9*$B68))</f>
        <v>38009.133695815406</v>
      </c>
      <c r="BB68" s="94">
        <f>IF(AB68=".",".",up_RadSpec!$F$9*(BB9*$B68))</f>
        <v>38009.133695815406</v>
      </c>
      <c r="BC68" s="60">
        <f t="shared" ref="BC68:CB68" si="91">IFERROR(BC9/$B54,".")</f>
        <v>1.6443416074721248E-4</v>
      </c>
      <c r="BD68" s="60">
        <f t="shared" si="91"/>
        <v>6.577366429888499E-4</v>
      </c>
      <c r="BE68" s="60">
        <f t="shared" si="91"/>
        <v>6.577366429888499E-4</v>
      </c>
      <c r="BF68" s="60">
        <f t="shared" si="91"/>
        <v>6.577366429888499E-4</v>
      </c>
      <c r="BG68" s="60">
        <f t="shared" si="91"/>
        <v>6.577366429888499E-4</v>
      </c>
      <c r="BH68" s="60">
        <f t="shared" si="91"/>
        <v>6.577366429888499E-4</v>
      </c>
      <c r="BI68" s="60">
        <f t="shared" si="91"/>
        <v>6.577366429888499E-4</v>
      </c>
      <c r="BJ68" s="60">
        <f t="shared" si="91"/>
        <v>6.577366429888499E-4</v>
      </c>
      <c r="BK68" s="60">
        <f t="shared" si="91"/>
        <v>6.577366429888499E-4</v>
      </c>
      <c r="BL68" s="60">
        <f t="shared" si="91"/>
        <v>6.577366429888499E-4</v>
      </c>
      <c r="BM68" s="60">
        <f t="shared" si="91"/>
        <v>6.577366429888499E-4</v>
      </c>
      <c r="BN68" s="60">
        <f t="shared" si="91"/>
        <v>6.577366429888499E-4</v>
      </c>
      <c r="BO68" s="60">
        <f t="shared" si="91"/>
        <v>6.577366429888499E-4</v>
      </c>
      <c r="BP68" s="60">
        <f t="shared" si="91"/>
        <v>6.577366429888499E-4</v>
      </c>
      <c r="BQ68" s="60">
        <f t="shared" si="91"/>
        <v>6.577366429888499E-4</v>
      </c>
      <c r="BR68" s="60">
        <f t="shared" si="91"/>
        <v>6.577366429888499E-4</v>
      </c>
      <c r="BS68" s="60">
        <f t="shared" si="91"/>
        <v>6.577366429888499E-4</v>
      </c>
      <c r="BT68" s="60">
        <f t="shared" si="91"/>
        <v>6.577366429888499E-4</v>
      </c>
      <c r="BU68" s="60">
        <f t="shared" si="91"/>
        <v>6.577366429888499E-4</v>
      </c>
      <c r="BV68" s="60">
        <f t="shared" si="91"/>
        <v>6.577366429888499E-4</v>
      </c>
      <c r="BW68" s="60">
        <f t="shared" si="91"/>
        <v>6.577366429888499E-4</v>
      </c>
      <c r="BX68" s="60">
        <f t="shared" si="91"/>
        <v>6.577366429888499E-4</v>
      </c>
      <c r="BY68" s="60">
        <f t="shared" si="91"/>
        <v>6.577366429888499E-4</v>
      </c>
      <c r="BZ68" s="60">
        <f t="shared" si="91"/>
        <v>6.577366429888499E-4</v>
      </c>
      <c r="CA68" s="60">
        <f t="shared" si="91"/>
        <v>6.577366429888499E-4</v>
      </c>
      <c r="CB68" s="60">
        <f t="shared" si="91"/>
        <v>6.577366429888499E-4</v>
      </c>
      <c r="CC68" s="94">
        <f t="shared" si="83"/>
        <v>152036.53478326162</v>
      </c>
      <c r="CD68" s="94">
        <f>IF(BD68=".",".",up_RadSpec!$F$9*(CD9*$B68))</f>
        <v>38009.133695815406</v>
      </c>
      <c r="CE68" s="94">
        <f>IF(BE68=".",".",up_RadSpec!$F$9*(CE9*$B68))</f>
        <v>38009.133695815406</v>
      </c>
      <c r="CF68" s="94">
        <f>IF(BF68=".",".",up_RadSpec!$F$9*(CF9*$B68))</f>
        <v>38009.133695815406</v>
      </c>
      <c r="CG68" s="94">
        <f>IF(BG68=".",".",up_RadSpec!$F$9*(CG9*$B68))</f>
        <v>38009.133695815406</v>
      </c>
      <c r="CH68" s="94">
        <f>IF(BH68=".",".",up_RadSpec!$F$9*(CH9*$B68))</f>
        <v>38009.133695815406</v>
      </c>
      <c r="CI68" s="94">
        <f>IF(BI68=".",".",up_RadSpec!$F$9*(CI9*$B68))</f>
        <v>38009.133695815406</v>
      </c>
      <c r="CJ68" s="94">
        <f>IF(BJ68=".",".",up_RadSpec!$F$9*(CJ9*$B68))</f>
        <v>38009.133695815406</v>
      </c>
      <c r="CK68" s="94">
        <f>IF(BK68=".",".",up_RadSpec!$F$9*(CK9*$B68))</f>
        <v>38009.133695815406</v>
      </c>
      <c r="CL68" s="94">
        <f>IF(BL68=".",".",up_RadSpec!$F$9*(CL9*$B68))</f>
        <v>38009.133695815406</v>
      </c>
      <c r="CM68" s="94">
        <f>IF(BM68=".",".",up_RadSpec!$F$9*(CM9*$B68))</f>
        <v>38009.133695815406</v>
      </c>
      <c r="CN68" s="94">
        <f>IF(BN68=".",".",up_RadSpec!$F$9*(CN9*$B68))</f>
        <v>38009.133695815406</v>
      </c>
      <c r="CO68" s="94">
        <f>IF(BO68=".",".",up_RadSpec!$F$9*(CO9*$B68))</f>
        <v>38009.133695815406</v>
      </c>
      <c r="CP68" s="94">
        <f>IF(BP68=".",".",up_RadSpec!$F$9*(CP9*$B68))</f>
        <v>38009.133695815406</v>
      </c>
      <c r="CQ68" s="94">
        <f>IF(BQ68=".",".",up_RadSpec!$F$9*(CQ9*$B68))</f>
        <v>38009.133695815406</v>
      </c>
      <c r="CR68" s="94">
        <f>IF(BR68=".",".",up_RadSpec!$F$9*(CR9*$B68))</f>
        <v>38009.133695815406</v>
      </c>
      <c r="CS68" s="94">
        <f>IF(BS68=".",".",up_RadSpec!$F$9*(CS9*$B68))</f>
        <v>38009.133695815406</v>
      </c>
      <c r="CT68" s="94">
        <f>IF(BT68=".",".",up_RadSpec!$F$9*(CT9*$B68))</f>
        <v>38009.133695815406</v>
      </c>
      <c r="CU68" s="94">
        <f>IF(BU68=".",".",up_RadSpec!$F$9*(CU9*$B68))</f>
        <v>38009.133695815406</v>
      </c>
      <c r="CV68" s="94">
        <f>IF(BV68=".",".",up_RadSpec!$F$9*(CV9*$B68))</f>
        <v>38009.133695815406</v>
      </c>
      <c r="CW68" s="94">
        <f>IF(BW68=".",".",up_RadSpec!$F$9*(CW9*$B68))</f>
        <v>38009.133695815406</v>
      </c>
      <c r="CX68" s="94">
        <f>IF(BX68=".",".",up_RadSpec!$F$9*(CX9*$B68))</f>
        <v>38009.133695815406</v>
      </c>
      <c r="CY68" s="94">
        <f>IF(BY68=".",".",up_RadSpec!$F$9*(CY9*$B68))</f>
        <v>38009.133695815406</v>
      </c>
      <c r="CZ68" s="94">
        <f>IF(BZ68=".",".",up_RadSpec!$F$9*(CZ9*$B68))</f>
        <v>38009.133695815406</v>
      </c>
      <c r="DA68" s="94">
        <f>IF(CA68=".",".",up_RadSpec!$F$9*(DA9*$B68))</f>
        <v>38009.133695815406</v>
      </c>
      <c r="DB68" s="94">
        <f>IF(CB68=".",".",up_RadSpec!$F$9*(DB9*$B68))</f>
        <v>38009.133695815406</v>
      </c>
    </row>
    <row r="69" spans="1:106" s="42" customFormat="1" x14ac:dyDescent="0.25">
      <c r="A69" s="77" t="s">
        <v>1076</v>
      </c>
      <c r="B69" s="42">
        <v>1.9999999999999999E-7</v>
      </c>
      <c r="C69" s="60">
        <f t="shared" ref="C69:AB69" si="92">IFERROR(C24/$B55,".")</f>
        <v>822.1706393019017</v>
      </c>
      <c r="D69" s="60">
        <f t="shared" si="92"/>
        <v>3288.6825572076068</v>
      </c>
      <c r="E69" s="60">
        <f t="shared" si="92"/>
        <v>3288.6825572076068</v>
      </c>
      <c r="F69" s="60">
        <f t="shared" si="92"/>
        <v>3288.6825572076068</v>
      </c>
      <c r="G69" s="60">
        <f t="shared" si="92"/>
        <v>3288.6825572076068</v>
      </c>
      <c r="H69" s="60">
        <f t="shared" si="92"/>
        <v>3288.6825572076068</v>
      </c>
      <c r="I69" s="60">
        <f t="shared" si="92"/>
        <v>3288.6825572076068</v>
      </c>
      <c r="J69" s="60">
        <f t="shared" si="92"/>
        <v>3288.6825572076068</v>
      </c>
      <c r="K69" s="60">
        <f t="shared" si="92"/>
        <v>3288.6825572076068</v>
      </c>
      <c r="L69" s="60">
        <f t="shared" si="92"/>
        <v>3288.6825572076068</v>
      </c>
      <c r="M69" s="60">
        <f t="shared" si="92"/>
        <v>3288.6825572076068</v>
      </c>
      <c r="N69" s="60">
        <f t="shared" si="92"/>
        <v>3288.6825572076068</v>
      </c>
      <c r="O69" s="60">
        <f t="shared" si="92"/>
        <v>3288.6825572076068</v>
      </c>
      <c r="P69" s="60">
        <f t="shared" si="92"/>
        <v>3288.6825572076068</v>
      </c>
      <c r="Q69" s="60">
        <f t="shared" si="92"/>
        <v>3288.6825572076068</v>
      </c>
      <c r="R69" s="60">
        <f t="shared" si="92"/>
        <v>3288.6825572076068</v>
      </c>
      <c r="S69" s="60">
        <f t="shared" si="92"/>
        <v>3288.6825572076068</v>
      </c>
      <c r="T69" s="60">
        <f t="shared" si="92"/>
        <v>3288.6825572076068</v>
      </c>
      <c r="U69" s="60">
        <f t="shared" si="92"/>
        <v>3288.6825572076068</v>
      </c>
      <c r="V69" s="60">
        <f t="shared" si="92"/>
        <v>3288.6825572076068</v>
      </c>
      <c r="W69" s="60">
        <f t="shared" si="92"/>
        <v>3288.6825572076068</v>
      </c>
      <c r="X69" s="60">
        <f t="shared" si="92"/>
        <v>3288.6825572076068</v>
      </c>
      <c r="Y69" s="60">
        <f t="shared" si="92"/>
        <v>3288.6825572076068</v>
      </c>
      <c r="Z69" s="60">
        <f t="shared" si="92"/>
        <v>3288.6825572076068</v>
      </c>
      <c r="AA69" s="60">
        <f t="shared" si="92"/>
        <v>3288.6825572076068</v>
      </c>
      <c r="AB69" s="60">
        <f t="shared" si="92"/>
        <v>3288.6825572076068</v>
      </c>
      <c r="AC69" s="94">
        <f t="shared" si="81"/>
        <v>3.0407313038114933E-2</v>
      </c>
      <c r="AD69" s="94">
        <f>IF(D69=".",".",up_RadSpec!$F$24*(AD24*$B69))</f>
        <v>7.6018282595287333E-3</v>
      </c>
      <c r="AE69" s="94">
        <f>IF(E69=".",".",up_RadSpec!$F$24*(AE24*$B69))</f>
        <v>7.6018282595287333E-3</v>
      </c>
      <c r="AF69" s="94">
        <f>IF(F69=".",".",up_RadSpec!$F$24*(AF24*$B69))</f>
        <v>7.6018282595287333E-3</v>
      </c>
      <c r="AG69" s="94">
        <f>IF(G69=".",".",up_RadSpec!$F$24*(AG24*$B69))</f>
        <v>7.6018282595287333E-3</v>
      </c>
      <c r="AH69" s="94">
        <f>IF(H69=".",".",up_RadSpec!$F$24*(AH24*$B69))</f>
        <v>7.6018282595287333E-3</v>
      </c>
      <c r="AI69" s="94">
        <f>IF(I69=".",".",up_RadSpec!$F$24*(AI24*$B69))</f>
        <v>7.6018282595287333E-3</v>
      </c>
      <c r="AJ69" s="94">
        <f>IF(J69=".",".",up_RadSpec!$F$24*(AJ24*$B69))</f>
        <v>7.6018282595287333E-3</v>
      </c>
      <c r="AK69" s="94">
        <f>IF(K69=".",".",up_RadSpec!$F$24*(AK24*$B69))</f>
        <v>7.6018282595287333E-3</v>
      </c>
      <c r="AL69" s="94">
        <f>IF(L69=".",".",up_RadSpec!$F$24*(AL24*$B69))</f>
        <v>7.6018282595287333E-3</v>
      </c>
      <c r="AM69" s="94">
        <f>IF(M69=".",".",up_RadSpec!$F$24*(AM24*$B69))</f>
        <v>7.6018282595287333E-3</v>
      </c>
      <c r="AN69" s="94">
        <f>IF(N69=".",".",up_RadSpec!$F$24*(AN24*$B69))</f>
        <v>7.6018282595287333E-3</v>
      </c>
      <c r="AO69" s="94">
        <f>IF(O69=".",".",up_RadSpec!$F$24*(AO24*$B69))</f>
        <v>7.6018282595287333E-3</v>
      </c>
      <c r="AP69" s="94">
        <f>IF(P69=".",".",up_RadSpec!$F$24*(AP24*$B69))</f>
        <v>7.6018282595287333E-3</v>
      </c>
      <c r="AQ69" s="94">
        <f>IF(Q69=".",".",up_RadSpec!$F$24*(AQ24*$B69))</f>
        <v>7.6018282595287333E-3</v>
      </c>
      <c r="AR69" s="94">
        <f>IF(R69=".",".",up_RadSpec!$F$24*(AR24*$B69))</f>
        <v>7.6018282595287333E-3</v>
      </c>
      <c r="AS69" s="94">
        <f>IF(S69=".",".",up_RadSpec!$F$24*(AS24*$B69))</f>
        <v>7.6018282595287333E-3</v>
      </c>
      <c r="AT69" s="94">
        <f>IF(T69=".",".",up_RadSpec!$F$24*(AT24*$B69))</f>
        <v>7.6018282595287333E-3</v>
      </c>
      <c r="AU69" s="94">
        <f>IF(U69=".",".",up_RadSpec!$F$24*(AU24*$B69))</f>
        <v>7.6018282595287333E-3</v>
      </c>
      <c r="AV69" s="94">
        <f>IF(V69=".",".",up_RadSpec!$F$24*(AV24*$B69))</f>
        <v>7.6018282595287333E-3</v>
      </c>
      <c r="AW69" s="94">
        <f>IF(W69=".",".",up_RadSpec!$F$24*(AW24*$B69))</f>
        <v>7.6018282595287333E-3</v>
      </c>
      <c r="AX69" s="94">
        <f>IF(X69=".",".",up_RadSpec!$F$24*(AX24*$B69))</f>
        <v>7.6018282595287333E-3</v>
      </c>
      <c r="AY69" s="94">
        <f>IF(Y69=".",".",up_RadSpec!$F$24*(AY24*$B69))</f>
        <v>7.6018282595287333E-3</v>
      </c>
      <c r="AZ69" s="94">
        <f>IF(Z69=".",".",up_RadSpec!$F$24*(AZ24*$B69))</f>
        <v>7.6018282595287333E-3</v>
      </c>
      <c r="BA69" s="94">
        <f>IF(AA69=".",".",up_RadSpec!$F$24*(BA24*$B69))</f>
        <v>7.6018282595287333E-3</v>
      </c>
      <c r="BB69" s="94">
        <f>IF(AB69=".",".",up_RadSpec!$F$24*(BB24*$B69))</f>
        <v>7.6018282595287333E-3</v>
      </c>
      <c r="BC69" s="60">
        <f t="shared" ref="BC69:CB69" si="93">IFERROR(BC24/$B55,".")</f>
        <v>822.1706393019017</v>
      </c>
      <c r="BD69" s="60">
        <f t="shared" si="93"/>
        <v>3288.6825572076068</v>
      </c>
      <c r="BE69" s="60">
        <f t="shared" si="93"/>
        <v>3288.6825572076068</v>
      </c>
      <c r="BF69" s="60">
        <f t="shared" si="93"/>
        <v>3288.6825572076068</v>
      </c>
      <c r="BG69" s="60">
        <f t="shared" si="93"/>
        <v>3288.6825572076068</v>
      </c>
      <c r="BH69" s="60">
        <f t="shared" si="93"/>
        <v>3288.6825572076068</v>
      </c>
      <c r="BI69" s="60">
        <f t="shared" si="93"/>
        <v>3288.6825572076068</v>
      </c>
      <c r="BJ69" s="60">
        <f t="shared" si="93"/>
        <v>3288.6825572076068</v>
      </c>
      <c r="BK69" s="60">
        <f t="shared" si="93"/>
        <v>3288.6825572076068</v>
      </c>
      <c r="BL69" s="60">
        <f t="shared" si="93"/>
        <v>3288.6825572076068</v>
      </c>
      <c r="BM69" s="60">
        <f t="shared" si="93"/>
        <v>3288.6825572076068</v>
      </c>
      <c r="BN69" s="60">
        <f t="shared" si="93"/>
        <v>3288.6825572076068</v>
      </c>
      <c r="BO69" s="60">
        <f t="shared" si="93"/>
        <v>3288.6825572076068</v>
      </c>
      <c r="BP69" s="60">
        <f t="shared" si="93"/>
        <v>3288.6825572076068</v>
      </c>
      <c r="BQ69" s="60">
        <f t="shared" si="93"/>
        <v>3288.6825572076068</v>
      </c>
      <c r="BR69" s="60">
        <f t="shared" si="93"/>
        <v>3288.6825572076068</v>
      </c>
      <c r="BS69" s="60">
        <f t="shared" si="93"/>
        <v>3288.6825572076068</v>
      </c>
      <c r="BT69" s="60">
        <f t="shared" si="93"/>
        <v>3288.6825572076068</v>
      </c>
      <c r="BU69" s="60">
        <f t="shared" si="93"/>
        <v>3288.6825572076068</v>
      </c>
      <c r="BV69" s="60">
        <f t="shared" si="93"/>
        <v>3288.6825572076068</v>
      </c>
      <c r="BW69" s="60">
        <f t="shared" si="93"/>
        <v>3288.6825572076068</v>
      </c>
      <c r="BX69" s="60">
        <f t="shared" si="93"/>
        <v>3288.6825572076068</v>
      </c>
      <c r="BY69" s="60">
        <f t="shared" si="93"/>
        <v>3288.6825572076068</v>
      </c>
      <c r="BZ69" s="60">
        <f t="shared" si="93"/>
        <v>3288.6825572076068</v>
      </c>
      <c r="CA69" s="60">
        <f t="shared" si="93"/>
        <v>3288.6825572076068</v>
      </c>
      <c r="CB69" s="60">
        <f t="shared" si="93"/>
        <v>3288.6825572076068</v>
      </c>
      <c r="CC69" s="94">
        <f t="shared" si="83"/>
        <v>3.0407313038114933E-2</v>
      </c>
      <c r="CD69" s="94">
        <f>IF(BD69=".",".",up_RadSpec!$F$24*(CD24*$B69))</f>
        <v>7.6018282595287333E-3</v>
      </c>
      <c r="CE69" s="94">
        <f>IF(BE69=".",".",up_RadSpec!$F$24*(CE24*$B69))</f>
        <v>7.6018282595287333E-3</v>
      </c>
      <c r="CF69" s="94">
        <f>IF(BF69=".",".",up_RadSpec!$F$24*(CF24*$B69))</f>
        <v>7.6018282595287333E-3</v>
      </c>
      <c r="CG69" s="94">
        <f>IF(BG69=".",".",up_RadSpec!$F$24*(CG24*$B69))</f>
        <v>7.6018282595287333E-3</v>
      </c>
      <c r="CH69" s="94">
        <f>IF(BH69=".",".",up_RadSpec!$F$24*(CH24*$B69))</f>
        <v>7.6018282595287333E-3</v>
      </c>
      <c r="CI69" s="94">
        <f>IF(BI69=".",".",up_RadSpec!$F$24*(CI24*$B69))</f>
        <v>7.6018282595287333E-3</v>
      </c>
      <c r="CJ69" s="94">
        <f>IF(BJ69=".",".",up_RadSpec!$F$24*(CJ24*$B69))</f>
        <v>7.6018282595287333E-3</v>
      </c>
      <c r="CK69" s="94">
        <f>IF(BK69=".",".",up_RadSpec!$F$24*(CK24*$B69))</f>
        <v>7.6018282595287333E-3</v>
      </c>
      <c r="CL69" s="94">
        <f>IF(BL69=".",".",up_RadSpec!$F$24*(CL24*$B69))</f>
        <v>7.6018282595287333E-3</v>
      </c>
      <c r="CM69" s="94">
        <f>IF(BM69=".",".",up_RadSpec!$F$24*(CM24*$B69))</f>
        <v>7.6018282595287333E-3</v>
      </c>
      <c r="CN69" s="94">
        <f>IF(BN69=".",".",up_RadSpec!$F$24*(CN24*$B69))</f>
        <v>7.6018282595287333E-3</v>
      </c>
      <c r="CO69" s="94">
        <f>IF(BO69=".",".",up_RadSpec!$F$24*(CO24*$B69))</f>
        <v>7.6018282595287333E-3</v>
      </c>
      <c r="CP69" s="94">
        <f>IF(BP69=".",".",up_RadSpec!$F$24*(CP24*$B69))</f>
        <v>7.6018282595287333E-3</v>
      </c>
      <c r="CQ69" s="94">
        <f>IF(BQ69=".",".",up_RadSpec!$F$24*(CQ24*$B69))</f>
        <v>7.6018282595287333E-3</v>
      </c>
      <c r="CR69" s="94">
        <f>IF(BR69=".",".",up_RadSpec!$F$24*(CR24*$B69))</f>
        <v>7.6018282595287333E-3</v>
      </c>
      <c r="CS69" s="94">
        <f>IF(BS69=".",".",up_RadSpec!$F$24*(CS24*$B69))</f>
        <v>7.6018282595287333E-3</v>
      </c>
      <c r="CT69" s="94">
        <f>IF(BT69=".",".",up_RadSpec!$F$24*(CT24*$B69))</f>
        <v>7.6018282595287333E-3</v>
      </c>
      <c r="CU69" s="94">
        <f>IF(BU69=".",".",up_RadSpec!$F$24*(CU24*$B69))</f>
        <v>7.6018282595287333E-3</v>
      </c>
      <c r="CV69" s="94">
        <f>IF(BV69=".",".",up_RadSpec!$F$24*(CV24*$B69))</f>
        <v>7.6018282595287333E-3</v>
      </c>
      <c r="CW69" s="94">
        <f>IF(BW69=".",".",up_RadSpec!$F$24*(CW24*$B69))</f>
        <v>7.6018282595287333E-3</v>
      </c>
      <c r="CX69" s="94">
        <f>IF(BX69=".",".",up_RadSpec!$F$24*(CX24*$B69))</f>
        <v>7.6018282595287333E-3</v>
      </c>
      <c r="CY69" s="94">
        <f>IF(BY69=".",".",up_RadSpec!$F$24*(CY24*$B69))</f>
        <v>7.6018282595287333E-3</v>
      </c>
      <c r="CZ69" s="94">
        <f>IF(BZ69=".",".",up_RadSpec!$F$24*(CZ24*$B69))</f>
        <v>7.6018282595287333E-3</v>
      </c>
      <c r="DA69" s="94">
        <f>IF(CA69=".",".",up_RadSpec!$F$24*(DA24*$B69))</f>
        <v>7.6018282595287333E-3</v>
      </c>
      <c r="DB69" s="94">
        <f>IF(CB69=".",".",up_RadSpec!$F$24*(DB24*$B69))</f>
        <v>7.6018282595287333E-3</v>
      </c>
    </row>
    <row r="70" spans="1:106" s="42" customFormat="1" x14ac:dyDescent="0.25">
      <c r="A70" s="77" t="s">
        <v>1077</v>
      </c>
      <c r="B70" s="42">
        <v>0.99979000004200003</v>
      </c>
      <c r="C70" s="60">
        <f t="shared" ref="C70:AB70" si="94">IFERROR(C20/$B56,".")</f>
        <v>1.6446866627339005E-4</v>
      </c>
      <c r="D70" s="60">
        <f t="shared" si="94"/>
        <v>6.5787466509356022E-4</v>
      </c>
      <c r="E70" s="60">
        <f t="shared" si="94"/>
        <v>6.5787466509356022E-4</v>
      </c>
      <c r="F70" s="60">
        <f t="shared" si="94"/>
        <v>6.5787466509356022E-4</v>
      </c>
      <c r="G70" s="60">
        <f t="shared" si="94"/>
        <v>6.5787466509356022E-4</v>
      </c>
      <c r="H70" s="60">
        <f t="shared" si="94"/>
        <v>6.5787466509356022E-4</v>
      </c>
      <c r="I70" s="60">
        <f t="shared" si="94"/>
        <v>6.5787466509356022E-4</v>
      </c>
      <c r="J70" s="60">
        <f t="shared" si="94"/>
        <v>6.5787466509356022E-4</v>
      </c>
      <c r="K70" s="60">
        <f t="shared" si="94"/>
        <v>6.5787466509356022E-4</v>
      </c>
      <c r="L70" s="60">
        <f t="shared" si="94"/>
        <v>6.5787466509356022E-4</v>
      </c>
      <c r="M70" s="60">
        <f t="shared" si="94"/>
        <v>6.5787466509356022E-4</v>
      </c>
      <c r="N70" s="60">
        <f t="shared" si="94"/>
        <v>6.5787466509356022E-4</v>
      </c>
      <c r="O70" s="60">
        <f t="shared" si="94"/>
        <v>6.5787466509356022E-4</v>
      </c>
      <c r="P70" s="60">
        <f t="shared" si="94"/>
        <v>6.5787466509356022E-4</v>
      </c>
      <c r="Q70" s="60">
        <f t="shared" si="94"/>
        <v>6.5787466509356022E-4</v>
      </c>
      <c r="R70" s="60">
        <f t="shared" si="94"/>
        <v>6.5787466509356022E-4</v>
      </c>
      <c r="S70" s="60">
        <f t="shared" si="94"/>
        <v>6.5787466509356022E-4</v>
      </c>
      <c r="T70" s="60">
        <f t="shared" si="94"/>
        <v>6.5787466509356022E-4</v>
      </c>
      <c r="U70" s="60">
        <f t="shared" si="94"/>
        <v>6.5787466509356022E-4</v>
      </c>
      <c r="V70" s="60">
        <f t="shared" si="94"/>
        <v>6.5787466509356022E-4</v>
      </c>
      <c r="W70" s="60">
        <f t="shared" si="94"/>
        <v>6.5787466509356022E-4</v>
      </c>
      <c r="X70" s="60">
        <f t="shared" si="94"/>
        <v>6.5787466509356022E-4</v>
      </c>
      <c r="Y70" s="60">
        <f t="shared" si="94"/>
        <v>6.5787466509356022E-4</v>
      </c>
      <c r="Z70" s="60">
        <f t="shared" si="94"/>
        <v>6.5787466509356022E-4</v>
      </c>
      <c r="AA70" s="60">
        <f t="shared" si="94"/>
        <v>6.5787466509356022E-4</v>
      </c>
      <c r="AB70" s="60">
        <f t="shared" si="94"/>
        <v>6.5787466509356022E-4</v>
      </c>
      <c r="AC70" s="94">
        <f t="shared" si="81"/>
        <v>152004.6375182702</v>
      </c>
      <c r="AD70" s="94">
        <f>IF(D70=".",".",up_RadSpec!$F$20*(AD20*$B70))</f>
        <v>38001.159379567551</v>
      </c>
      <c r="AE70" s="94">
        <f>IF(E70=".",".",up_RadSpec!$F$20*(AE20*$B70))</f>
        <v>38001.159379567551</v>
      </c>
      <c r="AF70" s="94">
        <f>IF(F70=".",".",up_RadSpec!$F$20*(AF20*$B70))</f>
        <v>38001.159379567551</v>
      </c>
      <c r="AG70" s="94">
        <f>IF(G70=".",".",up_RadSpec!$F$20*(AG20*$B70))</f>
        <v>38001.159379567551</v>
      </c>
      <c r="AH70" s="94">
        <f>IF(H70=".",".",up_RadSpec!$F$20*(AH20*$B70))</f>
        <v>38001.159379567551</v>
      </c>
      <c r="AI70" s="94">
        <f>IF(I70=".",".",up_RadSpec!$F$20*(AI20*$B70))</f>
        <v>38001.159379567551</v>
      </c>
      <c r="AJ70" s="94">
        <f>IF(J70=".",".",up_RadSpec!$F$20*(AJ20*$B70))</f>
        <v>38001.159379567551</v>
      </c>
      <c r="AK70" s="94">
        <f>IF(K70=".",".",up_RadSpec!$F$20*(AK20*$B70))</f>
        <v>38001.159379567551</v>
      </c>
      <c r="AL70" s="94">
        <f>IF(L70=".",".",up_RadSpec!$F$20*(AL20*$B70))</f>
        <v>38001.159379567551</v>
      </c>
      <c r="AM70" s="94">
        <f>IF(M70=".",".",up_RadSpec!$F$20*(AM20*$B70))</f>
        <v>38001.159379567551</v>
      </c>
      <c r="AN70" s="94">
        <f>IF(N70=".",".",up_RadSpec!$F$20*(AN20*$B70))</f>
        <v>38001.159379567551</v>
      </c>
      <c r="AO70" s="94">
        <f>IF(O70=".",".",up_RadSpec!$F$20*(AO20*$B70))</f>
        <v>38001.159379567551</v>
      </c>
      <c r="AP70" s="94">
        <f>IF(P70=".",".",up_RadSpec!$F$20*(AP20*$B70))</f>
        <v>38001.159379567551</v>
      </c>
      <c r="AQ70" s="94">
        <f>IF(Q70=".",".",up_RadSpec!$F$20*(AQ20*$B70))</f>
        <v>38001.159379567551</v>
      </c>
      <c r="AR70" s="94">
        <f>IF(R70=".",".",up_RadSpec!$F$20*(AR20*$B70))</f>
        <v>38001.159379567551</v>
      </c>
      <c r="AS70" s="94">
        <f>IF(S70=".",".",up_RadSpec!$F$20*(AS20*$B70))</f>
        <v>38001.159379567551</v>
      </c>
      <c r="AT70" s="94">
        <f>IF(T70=".",".",up_RadSpec!$F$20*(AT20*$B70))</f>
        <v>38001.159379567551</v>
      </c>
      <c r="AU70" s="94">
        <f>IF(U70=".",".",up_RadSpec!$F$20*(AU20*$B70))</f>
        <v>38001.159379567551</v>
      </c>
      <c r="AV70" s="94">
        <f>IF(V70=".",".",up_RadSpec!$F$20*(AV20*$B70))</f>
        <v>38001.159379567551</v>
      </c>
      <c r="AW70" s="94">
        <f>IF(W70=".",".",up_RadSpec!$F$20*(AW20*$B70))</f>
        <v>38001.159379567551</v>
      </c>
      <c r="AX70" s="94">
        <f>IF(X70=".",".",up_RadSpec!$F$20*(AX20*$B70))</f>
        <v>38001.159379567551</v>
      </c>
      <c r="AY70" s="94">
        <f>IF(Y70=".",".",up_RadSpec!$F$20*(AY20*$B70))</f>
        <v>38001.159379567551</v>
      </c>
      <c r="AZ70" s="94">
        <f>IF(Z70=".",".",up_RadSpec!$F$20*(AZ20*$B70))</f>
        <v>38001.159379567551</v>
      </c>
      <c r="BA70" s="94">
        <f>IF(AA70=".",".",up_RadSpec!$F$20*(BA20*$B70))</f>
        <v>38001.159379567551</v>
      </c>
      <c r="BB70" s="94">
        <f>IF(AB70=".",".",up_RadSpec!$F$20*(BB20*$B70))</f>
        <v>38001.159379567551</v>
      </c>
      <c r="BC70" s="60">
        <f t="shared" ref="BC70:CB70" si="95">IFERROR(BC20/$B56,".")</f>
        <v>1.6446866627339005E-4</v>
      </c>
      <c r="BD70" s="60">
        <f t="shared" si="95"/>
        <v>6.5787466509356022E-4</v>
      </c>
      <c r="BE70" s="60">
        <f t="shared" si="95"/>
        <v>6.5787466509356022E-4</v>
      </c>
      <c r="BF70" s="60">
        <f t="shared" si="95"/>
        <v>6.5787466509356022E-4</v>
      </c>
      <c r="BG70" s="60">
        <f t="shared" si="95"/>
        <v>6.5787466509356022E-4</v>
      </c>
      <c r="BH70" s="60">
        <f t="shared" si="95"/>
        <v>6.5787466509356022E-4</v>
      </c>
      <c r="BI70" s="60">
        <f t="shared" si="95"/>
        <v>6.5787466509356022E-4</v>
      </c>
      <c r="BJ70" s="60">
        <f t="shared" si="95"/>
        <v>6.5787466509356022E-4</v>
      </c>
      <c r="BK70" s="60">
        <f t="shared" si="95"/>
        <v>6.5787466509356022E-4</v>
      </c>
      <c r="BL70" s="60">
        <f t="shared" si="95"/>
        <v>6.5787466509356022E-4</v>
      </c>
      <c r="BM70" s="60">
        <f t="shared" si="95"/>
        <v>6.5787466509356022E-4</v>
      </c>
      <c r="BN70" s="60">
        <f t="shared" si="95"/>
        <v>6.5787466509356022E-4</v>
      </c>
      <c r="BO70" s="60">
        <f t="shared" si="95"/>
        <v>6.5787466509356022E-4</v>
      </c>
      <c r="BP70" s="60">
        <f t="shared" si="95"/>
        <v>6.5787466509356022E-4</v>
      </c>
      <c r="BQ70" s="60">
        <f t="shared" si="95"/>
        <v>6.5787466509356022E-4</v>
      </c>
      <c r="BR70" s="60">
        <f t="shared" si="95"/>
        <v>6.5787466509356022E-4</v>
      </c>
      <c r="BS70" s="60">
        <f t="shared" si="95"/>
        <v>6.5787466509356022E-4</v>
      </c>
      <c r="BT70" s="60">
        <f t="shared" si="95"/>
        <v>6.5787466509356022E-4</v>
      </c>
      <c r="BU70" s="60">
        <f t="shared" si="95"/>
        <v>6.5787466509356022E-4</v>
      </c>
      <c r="BV70" s="60">
        <f t="shared" si="95"/>
        <v>6.5787466509356022E-4</v>
      </c>
      <c r="BW70" s="60">
        <f t="shared" si="95"/>
        <v>6.5787466509356022E-4</v>
      </c>
      <c r="BX70" s="60">
        <f t="shared" si="95"/>
        <v>6.5787466509356022E-4</v>
      </c>
      <c r="BY70" s="60">
        <f t="shared" si="95"/>
        <v>6.5787466509356022E-4</v>
      </c>
      <c r="BZ70" s="60">
        <f t="shared" si="95"/>
        <v>6.5787466509356022E-4</v>
      </c>
      <c r="CA70" s="60">
        <f t="shared" si="95"/>
        <v>6.5787466509356022E-4</v>
      </c>
      <c r="CB70" s="60">
        <f t="shared" si="95"/>
        <v>6.5787466509356022E-4</v>
      </c>
      <c r="CC70" s="94">
        <f t="shared" si="83"/>
        <v>152004.6375182702</v>
      </c>
      <c r="CD70" s="94">
        <f>IF(BD70=".",".",up_RadSpec!$F$20*(CD20*$B70))</f>
        <v>38001.159379567551</v>
      </c>
      <c r="CE70" s="94">
        <f>IF(BE70=".",".",up_RadSpec!$F$20*(CE20*$B70))</f>
        <v>38001.159379567551</v>
      </c>
      <c r="CF70" s="94">
        <f>IF(BF70=".",".",up_RadSpec!$F$20*(CF20*$B70))</f>
        <v>38001.159379567551</v>
      </c>
      <c r="CG70" s="94">
        <f>IF(BG70=".",".",up_RadSpec!$F$20*(CG20*$B70))</f>
        <v>38001.159379567551</v>
      </c>
      <c r="CH70" s="94">
        <f>IF(BH70=".",".",up_RadSpec!$F$20*(CH20*$B70))</f>
        <v>38001.159379567551</v>
      </c>
      <c r="CI70" s="94">
        <f>IF(BI70=".",".",up_RadSpec!$F$20*(CI20*$B70))</f>
        <v>38001.159379567551</v>
      </c>
      <c r="CJ70" s="94">
        <f>IF(BJ70=".",".",up_RadSpec!$F$20*(CJ20*$B70))</f>
        <v>38001.159379567551</v>
      </c>
      <c r="CK70" s="94">
        <f>IF(BK70=".",".",up_RadSpec!$F$20*(CK20*$B70))</f>
        <v>38001.159379567551</v>
      </c>
      <c r="CL70" s="94">
        <f>IF(BL70=".",".",up_RadSpec!$F$20*(CL20*$B70))</f>
        <v>38001.159379567551</v>
      </c>
      <c r="CM70" s="94">
        <f>IF(BM70=".",".",up_RadSpec!$F$20*(CM20*$B70))</f>
        <v>38001.159379567551</v>
      </c>
      <c r="CN70" s="94">
        <f>IF(BN70=".",".",up_RadSpec!$F$20*(CN20*$B70))</f>
        <v>38001.159379567551</v>
      </c>
      <c r="CO70" s="94">
        <f>IF(BO70=".",".",up_RadSpec!$F$20*(CO20*$B70))</f>
        <v>38001.159379567551</v>
      </c>
      <c r="CP70" s="94">
        <f>IF(BP70=".",".",up_RadSpec!$F$20*(CP20*$B70))</f>
        <v>38001.159379567551</v>
      </c>
      <c r="CQ70" s="94">
        <f>IF(BQ70=".",".",up_RadSpec!$F$20*(CQ20*$B70))</f>
        <v>38001.159379567551</v>
      </c>
      <c r="CR70" s="94">
        <f>IF(BR70=".",".",up_RadSpec!$F$20*(CR20*$B70))</f>
        <v>38001.159379567551</v>
      </c>
      <c r="CS70" s="94">
        <f>IF(BS70=".",".",up_RadSpec!$F$20*(CS20*$B70))</f>
        <v>38001.159379567551</v>
      </c>
      <c r="CT70" s="94">
        <f>IF(BT70=".",".",up_RadSpec!$F$20*(CT20*$B70))</f>
        <v>38001.159379567551</v>
      </c>
      <c r="CU70" s="94">
        <f>IF(BU70=".",".",up_RadSpec!$F$20*(CU20*$B70))</f>
        <v>38001.159379567551</v>
      </c>
      <c r="CV70" s="94">
        <f>IF(BV70=".",".",up_RadSpec!$F$20*(CV20*$B70))</f>
        <v>38001.159379567551</v>
      </c>
      <c r="CW70" s="94">
        <f>IF(BW70=".",".",up_RadSpec!$F$20*(CW20*$B70))</f>
        <v>38001.159379567551</v>
      </c>
      <c r="CX70" s="94">
        <f>IF(BX70=".",".",up_RadSpec!$F$20*(CX20*$B70))</f>
        <v>38001.159379567551</v>
      </c>
      <c r="CY70" s="94">
        <f>IF(BY70=".",".",up_RadSpec!$F$20*(CY20*$B70))</f>
        <v>38001.159379567551</v>
      </c>
      <c r="CZ70" s="94">
        <f>IF(BZ70=".",".",up_RadSpec!$F$20*(CZ20*$B70))</f>
        <v>38001.159379567551</v>
      </c>
      <c r="DA70" s="94">
        <f>IF(CA70=".",".",up_RadSpec!$F$20*(DA20*$B70))</f>
        <v>38001.159379567551</v>
      </c>
      <c r="DB70" s="94">
        <f>IF(CB70=".",".",up_RadSpec!$F$20*(DB20*$B70))</f>
        <v>38001.159379567551</v>
      </c>
    </row>
    <row r="71" spans="1:106" s="42" customFormat="1" x14ac:dyDescent="0.25">
      <c r="A71" s="77" t="s">
        <v>1078</v>
      </c>
      <c r="B71" s="42">
        <v>2.0999995799999999E-4</v>
      </c>
      <c r="C71" s="60">
        <f t="shared" ref="C71:AB71" si="96">IFERROR(C29/$B57,".")</f>
        <v>0.78301981308196422</v>
      </c>
      <c r="D71" s="60">
        <f t="shared" si="96"/>
        <v>3.1320792523278569</v>
      </c>
      <c r="E71" s="60">
        <f t="shared" si="96"/>
        <v>3.1320792523278569</v>
      </c>
      <c r="F71" s="60">
        <f t="shared" si="96"/>
        <v>3.1320792523278569</v>
      </c>
      <c r="G71" s="60">
        <f t="shared" si="96"/>
        <v>3.1320792523278569</v>
      </c>
      <c r="H71" s="60">
        <f t="shared" si="96"/>
        <v>3.1320792523278569</v>
      </c>
      <c r="I71" s="60">
        <f t="shared" si="96"/>
        <v>3.1320792523278569</v>
      </c>
      <c r="J71" s="60">
        <f t="shared" si="96"/>
        <v>3.1320792523278569</v>
      </c>
      <c r="K71" s="60">
        <f t="shared" si="96"/>
        <v>3.1320792523278569</v>
      </c>
      <c r="L71" s="60">
        <f t="shared" si="96"/>
        <v>3.1320792523278569</v>
      </c>
      <c r="M71" s="60">
        <f t="shared" si="96"/>
        <v>3.1320792523278569</v>
      </c>
      <c r="N71" s="60">
        <f t="shared" si="96"/>
        <v>3.1320792523278569</v>
      </c>
      <c r="O71" s="60">
        <f t="shared" si="96"/>
        <v>3.1320792523278569</v>
      </c>
      <c r="P71" s="60">
        <f t="shared" si="96"/>
        <v>3.1320792523278569</v>
      </c>
      <c r="Q71" s="60">
        <f t="shared" si="96"/>
        <v>3.1320792523278569</v>
      </c>
      <c r="R71" s="60">
        <f t="shared" si="96"/>
        <v>3.1320792523278569</v>
      </c>
      <c r="S71" s="60">
        <f t="shared" si="96"/>
        <v>3.1320792523278569</v>
      </c>
      <c r="T71" s="60">
        <f t="shared" si="96"/>
        <v>3.1320792523278569</v>
      </c>
      <c r="U71" s="60">
        <f t="shared" si="96"/>
        <v>3.1320792523278569</v>
      </c>
      <c r="V71" s="60">
        <f t="shared" si="96"/>
        <v>3.1320792523278569</v>
      </c>
      <c r="W71" s="60">
        <f t="shared" si="96"/>
        <v>3.1320792523278569</v>
      </c>
      <c r="X71" s="60">
        <f t="shared" si="96"/>
        <v>3.1320792523278569</v>
      </c>
      <c r="Y71" s="60">
        <f t="shared" si="96"/>
        <v>3.1320792523278569</v>
      </c>
      <c r="Z71" s="60">
        <f t="shared" si="96"/>
        <v>3.1320792523278569</v>
      </c>
      <c r="AA71" s="60">
        <f t="shared" si="96"/>
        <v>3.1320792523278569</v>
      </c>
      <c r="AB71" s="60">
        <f t="shared" si="96"/>
        <v>3.1320792523278569</v>
      </c>
      <c r="AC71" s="94">
        <f t="shared" si="81"/>
        <v>31.92767230448494</v>
      </c>
      <c r="AD71" s="94">
        <f>IF(D71=".",".",up_RadSpec!$F$29*(AD29*$B71))</f>
        <v>7.9819180761212349</v>
      </c>
      <c r="AE71" s="94">
        <f>IF(E71=".",".",up_RadSpec!$F$29*(AE29*$B71))</f>
        <v>7.9819180761212349</v>
      </c>
      <c r="AF71" s="94">
        <f>IF(F71=".",".",up_RadSpec!$F$29*(AF29*$B71))</f>
        <v>7.9819180761212349</v>
      </c>
      <c r="AG71" s="94">
        <f>IF(G71=".",".",up_RadSpec!$F$29*(AG29*$B71))</f>
        <v>7.9819180761212349</v>
      </c>
      <c r="AH71" s="94">
        <f>IF(H71=".",".",up_RadSpec!$F$29*(AH29*$B71))</f>
        <v>7.9819180761212349</v>
      </c>
      <c r="AI71" s="94">
        <f>IF(I71=".",".",up_RadSpec!$F$29*(AI29*$B71))</f>
        <v>7.9819180761212349</v>
      </c>
      <c r="AJ71" s="94">
        <f>IF(J71=".",".",up_RadSpec!$F$29*(AJ29*$B71))</f>
        <v>7.9819180761212349</v>
      </c>
      <c r="AK71" s="94">
        <f>IF(K71=".",".",up_RadSpec!$F$29*(AK29*$B71))</f>
        <v>7.9819180761212349</v>
      </c>
      <c r="AL71" s="94">
        <f>IF(L71=".",".",up_RadSpec!$F$29*(AL29*$B71))</f>
        <v>7.9819180761212349</v>
      </c>
      <c r="AM71" s="94">
        <f>IF(M71=".",".",up_RadSpec!$F$29*(AM29*$B71))</f>
        <v>7.9819180761212349</v>
      </c>
      <c r="AN71" s="94">
        <f>IF(N71=".",".",up_RadSpec!$F$29*(AN29*$B71))</f>
        <v>7.9819180761212349</v>
      </c>
      <c r="AO71" s="94">
        <f>IF(O71=".",".",up_RadSpec!$F$29*(AO29*$B71))</f>
        <v>7.9819180761212349</v>
      </c>
      <c r="AP71" s="94">
        <f>IF(P71=".",".",up_RadSpec!$F$29*(AP29*$B71))</f>
        <v>7.9819180761212349</v>
      </c>
      <c r="AQ71" s="94">
        <f>IF(Q71=".",".",up_RadSpec!$F$29*(AQ29*$B71))</f>
        <v>7.9819180761212349</v>
      </c>
      <c r="AR71" s="94">
        <f>IF(R71=".",".",up_RadSpec!$F$29*(AR29*$B71))</f>
        <v>7.9819180761212349</v>
      </c>
      <c r="AS71" s="94">
        <f>IF(S71=".",".",up_RadSpec!$F$29*(AS29*$B71))</f>
        <v>7.9819180761212349</v>
      </c>
      <c r="AT71" s="94">
        <f>IF(T71=".",".",up_RadSpec!$F$29*(AT29*$B71))</f>
        <v>7.9819180761212349</v>
      </c>
      <c r="AU71" s="94">
        <f>IF(U71=".",".",up_RadSpec!$F$29*(AU29*$B71))</f>
        <v>7.9819180761212349</v>
      </c>
      <c r="AV71" s="94">
        <f>IF(V71=".",".",up_RadSpec!$F$29*(AV29*$B71))</f>
        <v>7.9819180761212349</v>
      </c>
      <c r="AW71" s="94">
        <f>IF(W71=".",".",up_RadSpec!$F$29*(AW29*$B71))</f>
        <v>7.9819180761212349</v>
      </c>
      <c r="AX71" s="94">
        <f>IF(X71=".",".",up_RadSpec!$F$29*(AX29*$B71))</f>
        <v>7.9819180761212349</v>
      </c>
      <c r="AY71" s="94">
        <f>IF(Y71=".",".",up_RadSpec!$F$29*(AY29*$B71))</f>
        <v>7.9819180761212349</v>
      </c>
      <c r="AZ71" s="94">
        <f>IF(Z71=".",".",up_RadSpec!$F$29*(AZ29*$B71))</f>
        <v>7.9819180761212349</v>
      </c>
      <c r="BA71" s="94">
        <f>IF(AA71=".",".",up_RadSpec!$F$29*(BA29*$B71))</f>
        <v>7.9819180761212349</v>
      </c>
      <c r="BB71" s="94">
        <f>IF(AB71=".",".",up_RadSpec!$F$29*(BB29*$B71))</f>
        <v>7.9819180761212349</v>
      </c>
      <c r="BC71" s="60">
        <f t="shared" ref="BC71:CB71" si="97">IFERROR(BC29/$B57,".")</f>
        <v>0.78301981308196422</v>
      </c>
      <c r="BD71" s="60">
        <f t="shared" si="97"/>
        <v>3.1320792523278569</v>
      </c>
      <c r="BE71" s="60">
        <f t="shared" si="97"/>
        <v>3.1320792523278569</v>
      </c>
      <c r="BF71" s="60">
        <f t="shared" si="97"/>
        <v>3.1320792523278569</v>
      </c>
      <c r="BG71" s="60">
        <f t="shared" si="97"/>
        <v>3.1320792523278569</v>
      </c>
      <c r="BH71" s="60">
        <f t="shared" si="97"/>
        <v>3.1320792523278569</v>
      </c>
      <c r="BI71" s="60">
        <f t="shared" si="97"/>
        <v>3.1320792523278569</v>
      </c>
      <c r="BJ71" s="60">
        <f t="shared" si="97"/>
        <v>3.1320792523278569</v>
      </c>
      <c r="BK71" s="60">
        <f t="shared" si="97"/>
        <v>3.1320792523278569</v>
      </c>
      <c r="BL71" s="60">
        <f t="shared" si="97"/>
        <v>3.1320792523278569</v>
      </c>
      <c r="BM71" s="60">
        <f t="shared" si="97"/>
        <v>3.1320792523278569</v>
      </c>
      <c r="BN71" s="60">
        <f t="shared" si="97"/>
        <v>3.1320792523278569</v>
      </c>
      <c r="BO71" s="60">
        <f t="shared" si="97"/>
        <v>3.1320792523278569</v>
      </c>
      <c r="BP71" s="60">
        <f t="shared" si="97"/>
        <v>3.1320792523278569</v>
      </c>
      <c r="BQ71" s="60">
        <f t="shared" si="97"/>
        <v>3.1320792523278569</v>
      </c>
      <c r="BR71" s="60">
        <f t="shared" si="97"/>
        <v>3.1320792523278569</v>
      </c>
      <c r="BS71" s="60">
        <f t="shared" si="97"/>
        <v>3.1320792523278569</v>
      </c>
      <c r="BT71" s="60">
        <f t="shared" si="97"/>
        <v>3.1320792523278569</v>
      </c>
      <c r="BU71" s="60">
        <f t="shared" si="97"/>
        <v>3.1320792523278569</v>
      </c>
      <c r="BV71" s="60">
        <f t="shared" si="97"/>
        <v>3.1320792523278569</v>
      </c>
      <c r="BW71" s="60">
        <f t="shared" si="97"/>
        <v>3.1320792523278569</v>
      </c>
      <c r="BX71" s="60">
        <f t="shared" si="97"/>
        <v>3.1320792523278569</v>
      </c>
      <c r="BY71" s="60">
        <f t="shared" si="97"/>
        <v>3.1320792523278569</v>
      </c>
      <c r="BZ71" s="60">
        <f t="shared" si="97"/>
        <v>3.1320792523278569</v>
      </c>
      <c r="CA71" s="60">
        <f t="shared" si="97"/>
        <v>3.1320792523278569</v>
      </c>
      <c r="CB71" s="60">
        <f t="shared" si="97"/>
        <v>3.1320792523278569</v>
      </c>
      <c r="CC71" s="94">
        <f t="shared" si="83"/>
        <v>31.92767230448494</v>
      </c>
      <c r="CD71" s="94">
        <f>IF(BD71=".",".",up_RadSpec!$F$29*(CD29*$B71))</f>
        <v>7.9819180761212349</v>
      </c>
      <c r="CE71" s="94">
        <f>IF(BE71=".",".",up_RadSpec!$F$29*(CE29*$B71))</f>
        <v>7.9819180761212349</v>
      </c>
      <c r="CF71" s="94">
        <f>IF(BF71=".",".",up_RadSpec!$F$29*(CF29*$B71))</f>
        <v>7.9819180761212349</v>
      </c>
      <c r="CG71" s="94">
        <f>IF(BG71=".",".",up_RadSpec!$F$29*(CG29*$B71))</f>
        <v>7.9819180761212349</v>
      </c>
      <c r="CH71" s="94">
        <f>IF(BH71=".",".",up_RadSpec!$F$29*(CH29*$B71))</f>
        <v>7.9819180761212349</v>
      </c>
      <c r="CI71" s="94">
        <f>IF(BI71=".",".",up_RadSpec!$F$29*(CI29*$B71))</f>
        <v>7.9819180761212349</v>
      </c>
      <c r="CJ71" s="94">
        <f>IF(BJ71=".",".",up_RadSpec!$F$29*(CJ29*$B71))</f>
        <v>7.9819180761212349</v>
      </c>
      <c r="CK71" s="94">
        <f>IF(BK71=".",".",up_RadSpec!$F$29*(CK29*$B71))</f>
        <v>7.9819180761212349</v>
      </c>
      <c r="CL71" s="94">
        <f>IF(BL71=".",".",up_RadSpec!$F$29*(CL29*$B71))</f>
        <v>7.9819180761212349</v>
      </c>
      <c r="CM71" s="94">
        <f>IF(BM71=".",".",up_RadSpec!$F$29*(CM29*$B71))</f>
        <v>7.9819180761212349</v>
      </c>
      <c r="CN71" s="94">
        <f>IF(BN71=".",".",up_RadSpec!$F$29*(CN29*$B71))</f>
        <v>7.9819180761212349</v>
      </c>
      <c r="CO71" s="94">
        <f>IF(BO71=".",".",up_RadSpec!$F$29*(CO29*$B71))</f>
        <v>7.9819180761212349</v>
      </c>
      <c r="CP71" s="94">
        <f>IF(BP71=".",".",up_RadSpec!$F$29*(CP29*$B71))</f>
        <v>7.9819180761212349</v>
      </c>
      <c r="CQ71" s="94">
        <f>IF(BQ71=".",".",up_RadSpec!$F$29*(CQ29*$B71))</f>
        <v>7.9819180761212349</v>
      </c>
      <c r="CR71" s="94">
        <f>IF(BR71=".",".",up_RadSpec!$F$29*(CR29*$B71))</f>
        <v>7.9819180761212349</v>
      </c>
      <c r="CS71" s="94">
        <f>IF(BS71=".",".",up_RadSpec!$F$29*(CS29*$B71))</f>
        <v>7.9819180761212349</v>
      </c>
      <c r="CT71" s="94">
        <f>IF(BT71=".",".",up_RadSpec!$F$29*(CT29*$B71))</f>
        <v>7.9819180761212349</v>
      </c>
      <c r="CU71" s="94">
        <f>IF(BU71=".",".",up_RadSpec!$F$29*(CU29*$B71))</f>
        <v>7.9819180761212349</v>
      </c>
      <c r="CV71" s="94">
        <f>IF(BV71=".",".",up_RadSpec!$F$29*(CV29*$B71))</f>
        <v>7.9819180761212349</v>
      </c>
      <c r="CW71" s="94">
        <f>IF(BW71=".",".",up_RadSpec!$F$29*(CW29*$B71))</f>
        <v>7.9819180761212349</v>
      </c>
      <c r="CX71" s="94">
        <f>IF(BX71=".",".",up_RadSpec!$F$29*(CX29*$B71))</f>
        <v>7.9819180761212349</v>
      </c>
      <c r="CY71" s="94">
        <f>IF(BY71=".",".",up_RadSpec!$F$29*(CY29*$B71))</f>
        <v>7.9819180761212349</v>
      </c>
      <c r="CZ71" s="94">
        <f>IF(BZ71=".",".",up_RadSpec!$F$29*(CZ29*$B71))</f>
        <v>7.9819180761212349</v>
      </c>
      <c r="DA71" s="94">
        <f>IF(CA71=".",".",up_RadSpec!$F$29*(DA29*$B71))</f>
        <v>7.9819180761212349</v>
      </c>
      <c r="DB71" s="94">
        <f>IF(CB71=".",".",up_RadSpec!$F$29*(DB29*$B71))</f>
        <v>7.9819180761212349</v>
      </c>
    </row>
    <row r="72" spans="1:106" s="42" customFormat="1" x14ac:dyDescent="0.25">
      <c r="A72" s="77" t="s">
        <v>1079</v>
      </c>
      <c r="B72" s="42">
        <v>1</v>
      </c>
      <c r="C72" s="60">
        <f t="shared" ref="C72:AB72" si="98">IFERROR(C16/$B58,".")</f>
        <v>1.6443412786038033E-4</v>
      </c>
      <c r="D72" s="60">
        <f t="shared" si="98"/>
        <v>6.5773651144152131E-4</v>
      </c>
      <c r="E72" s="60">
        <f t="shared" si="98"/>
        <v>6.5773651144152131E-4</v>
      </c>
      <c r="F72" s="60">
        <f t="shared" si="98"/>
        <v>6.5773651144152131E-4</v>
      </c>
      <c r="G72" s="60">
        <f t="shared" si="98"/>
        <v>6.5773651144152131E-4</v>
      </c>
      <c r="H72" s="60">
        <f t="shared" si="98"/>
        <v>6.5773651144152131E-4</v>
      </c>
      <c r="I72" s="60">
        <f t="shared" si="98"/>
        <v>6.5773651144152131E-4</v>
      </c>
      <c r="J72" s="60">
        <f t="shared" si="98"/>
        <v>6.5773651144152131E-4</v>
      </c>
      <c r="K72" s="60">
        <f t="shared" si="98"/>
        <v>6.5773651144152131E-4</v>
      </c>
      <c r="L72" s="60">
        <f t="shared" si="98"/>
        <v>6.5773651144152131E-4</v>
      </c>
      <c r="M72" s="60">
        <f t="shared" si="98"/>
        <v>6.5773651144152131E-4</v>
      </c>
      <c r="N72" s="60">
        <f t="shared" si="98"/>
        <v>6.5773651144152131E-4</v>
      </c>
      <c r="O72" s="60">
        <f t="shared" si="98"/>
        <v>6.5773651144152131E-4</v>
      </c>
      <c r="P72" s="60">
        <f t="shared" si="98"/>
        <v>6.5773651144152131E-4</v>
      </c>
      <c r="Q72" s="60">
        <f t="shared" si="98"/>
        <v>6.5773651144152131E-4</v>
      </c>
      <c r="R72" s="60">
        <f t="shared" si="98"/>
        <v>6.5773651144152131E-4</v>
      </c>
      <c r="S72" s="60">
        <f t="shared" si="98"/>
        <v>6.5773651144152131E-4</v>
      </c>
      <c r="T72" s="60">
        <f t="shared" si="98"/>
        <v>6.5773651144152131E-4</v>
      </c>
      <c r="U72" s="60">
        <f t="shared" si="98"/>
        <v>6.5773651144152131E-4</v>
      </c>
      <c r="V72" s="60">
        <f t="shared" si="98"/>
        <v>6.5773651144152131E-4</v>
      </c>
      <c r="W72" s="60">
        <f t="shared" si="98"/>
        <v>6.5773651144152131E-4</v>
      </c>
      <c r="X72" s="60">
        <f t="shared" si="98"/>
        <v>6.5773651144152131E-4</v>
      </c>
      <c r="Y72" s="60">
        <f t="shared" si="98"/>
        <v>6.5773651144152131E-4</v>
      </c>
      <c r="Z72" s="60">
        <f t="shared" si="98"/>
        <v>6.5773651144152131E-4</v>
      </c>
      <c r="AA72" s="60">
        <f t="shared" si="98"/>
        <v>6.5773651144152131E-4</v>
      </c>
      <c r="AB72" s="60">
        <f t="shared" si="98"/>
        <v>6.5773651144152131E-4</v>
      </c>
      <c r="AC72" s="94">
        <f t="shared" si="81"/>
        <v>152036.56519057468</v>
      </c>
      <c r="AD72" s="94">
        <f>IF(D72=".",".",up_RadSpec!$F$16*(AD16*$B72))</f>
        <v>38009.14129764367</v>
      </c>
      <c r="AE72" s="94">
        <f>IF(E72=".",".",up_RadSpec!$F$16*(AE16*$B72))</f>
        <v>38009.14129764367</v>
      </c>
      <c r="AF72" s="94">
        <f>IF(F72=".",".",up_RadSpec!$F$16*(AF16*$B72))</f>
        <v>38009.14129764367</v>
      </c>
      <c r="AG72" s="94">
        <f>IF(G72=".",".",up_RadSpec!$F$16*(AG16*$B72))</f>
        <v>38009.14129764367</v>
      </c>
      <c r="AH72" s="94">
        <f>IF(H72=".",".",up_RadSpec!$F$16*(AH16*$B72))</f>
        <v>38009.14129764367</v>
      </c>
      <c r="AI72" s="94">
        <f>IF(I72=".",".",up_RadSpec!$F$16*(AI16*$B72))</f>
        <v>38009.14129764367</v>
      </c>
      <c r="AJ72" s="94">
        <f>IF(J72=".",".",up_RadSpec!$F$16*(AJ16*$B72))</f>
        <v>38009.14129764367</v>
      </c>
      <c r="AK72" s="94">
        <f>IF(K72=".",".",up_RadSpec!$F$16*(AK16*$B72))</f>
        <v>38009.14129764367</v>
      </c>
      <c r="AL72" s="94">
        <f>IF(L72=".",".",up_RadSpec!$F$16*(AL16*$B72))</f>
        <v>38009.14129764367</v>
      </c>
      <c r="AM72" s="94">
        <f>IF(M72=".",".",up_RadSpec!$F$16*(AM16*$B72))</f>
        <v>38009.14129764367</v>
      </c>
      <c r="AN72" s="94">
        <f>IF(N72=".",".",up_RadSpec!$F$16*(AN16*$B72))</f>
        <v>38009.14129764367</v>
      </c>
      <c r="AO72" s="94">
        <f>IF(O72=".",".",up_RadSpec!$F$16*(AO16*$B72))</f>
        <v>38009.14129764367</v>
      </c>
      <c r="AP72" s="94">
        <f>IF(P72=".",".",up_RadSpec!$F$16*(AP16*$B72))</f>
        <v>38009.14129764367</v>
      </c>
      <c r="AQ72" s="94">
        <f>IF(Q72=".",".",up_RadSpec!$F$16*(AQ16*$B72))</f>
        <v>38009.14129764367</v>
      </c>
      <c r="AR72" s="94">
        <f>IF(R72=".",".",up_RadSpec!$F$16*(AR16*$B72))</f>
        <v>38009.14129764367</v>
      </c>
      <c r="AS72" s="94">
        <f>IF(S72=".",".",up_RadSpec!$F$16*(AS16*$B72))</f>
        <v>38009.14129764367</v>
      </c>
      <c r="AT72" s="94">
        <f>IF(T72=".",".",up_RadSpec!$F$16*(AT16*$B72))</f>
        <v>38009.14129764367</v>
      </c>
      <c r="AU72" s="94">
        <f>IF(U72=".",".",up_RadSpec!$F$16*(AU16*$B72))</f>
        <v>38009.14129764367</v>
      </c>
      <c r="AV72" s="94">
        <f>IF(V72=".",".",up_RadSpec!$F$16*(AV16*$B72))</f>
        <v>38009.14129764367</v>
      </c>
      <c r="AW72" s="94">
        <f>IF(W72=".",".",up_RadSpec!$F$16*(AW16*$B72))</f>
        <v>38009.14129764367</v>
      </c>
      <c r="AX72" s="94">
        <f>IF(X72=".",".",up_RadSpec!$F$16*(AX16*$B72))</f>
        <v>38009.14129764367</v>
      </c>
      <c r="AY72" s="94">
        <f>IF(Y72=".",".",up_RadSpec!$F$16*(AY16*$B72))</f>
        <v>38009.14129764367</v>
      </c>
      <c r="AZ72" s="94">
        <f>IF(Z72=".",".",up_RadSpec!$F$16*(AZ16*$B72))</f>
        <v>38009.14129764367</v>
      </c>
      <c r="BA72" s="94">
        <f>IF(AA72=".",".",up_RadSpec!$F$16*(BA16*$B72))</f>
        <v>38009.14129764367</v>
      </c>
      <c r="BB72" s="94">
        <f>IF(AB72=".",".",up_RadSpec!$F$16*(BB16*$B72))</f>
        <v>38009.14129764367</v>
      </c>
      <c r="BC72" s="60">
        <f t="shared" ref="BC72:CB72" si="99">IFERROR(BC16/$B58,".")</f>
        <v>1.6443412786038033E-4</v>
      </c>
      <c r="BD72" s="60">
        <f t="shared" si="99"/>
        <v>6.5773651144152131E-4</v>
      </c>
      <c r="BE72" s="60">
        <f t="shared" si="99"/>
        <v>6.5773651144152131E-4</v>
      </c>
      <c r="BF72" s="60">
        <f t="shared" si="99"/>
        <v>6.5773651144152131E-4</v>
      </c>
      <c r="BG72" s="60">
        <f t="shared" si="99"/>
        <v>6.5773651144152131E-4</v>
      </c>
      <c r="BH72" s="60">
        <f t="shared" si="99"/>
        <v>6.5773651144152131E-4</v>
      </c>
      <c r="BI72" s="60">
        <f t="shared" si="99"/>
        <v>6.5773651144152131E-4</v>
      </c>
      <c r="BJ72" s="60">
        <f t="shared" si="99"/>
        <v>6.5773651144152131E-4</v>
      </c>
      <c r="BK72" s="60">
        <f t="shared" si="99"/>
        <v>6.5773651144152131E-4</v>
      </c>
      <c r="BL72" s="60">
        <f t="shared" si="99"/>
        <v>6.5773651144152131E-4</v>
      </c>
      <c r="BM72" s="60">
        <f t="shared" si="99"/>
        <v>6.5773651144152131E-4</v>
      </c>
      <c r="BN72" s="60">
        <f t="shared" si="99"/>
        <v>6.5773651144152131E-4</v>
      </c>
      <c r="BO72" s="60">
        <f t="shared" si="99"/>
        <v>6.5773651144152131E-4</v>
      </c>
      <c r="BP72" s="60">
        <f t="shared" si="99"/>
        <v>6.5773651144152131E-4</v>
      </c>
      <c r="BQ72" s="60">
        <f t="shared" si="99"/>
        <v>6.5773651144152131E-4</v>
      </c>
      <c r="BR72" s="60">
        <f t="shared" si="99"/>
        <v>6.5773651144152131E-4</v>
      </c>
      <c r="BS72" s="60">
        <f t="shared" si="99"/>
        <v>6.5773651144152131E-4</v>
      </c>
      <c r="BT72" s="60">
        <f t="shared" si="99"/>
        <v>6.5773651144152131E-4</v>
      </c>
      <c r="BU72" s="60">
        <f t="shared" si="99"/>
        <v>6.5773651144152131E-4</v>
      </c>
      <c r="BV72" s="60">
        <f t="shared" si="99"/>
        <v>6.5773651144152131E-4</v>
      </c>
      <c r="BW72" s="60">
        <f t="shared" si="99"/>
        <v>6.5773651144152131E-4</v>
      </c>
      <c r="BX72" s="60">
        <f t="shared" si="99"/>
        <v>6.5773651144152131E-4</v>
      </c>
      <c r="BY72" s="60">
        <f t="shared" si="99"/>
        <v>6.5773651144152131E-4</v>
      </c>
      <c r="BZ72" s="60">
        <f t="shared" si="99"/>
        <v>6.5773651144152131E-4</v>
      </c>
      <c r="CA72" s="60">
        <f t="shared" si="99"/>
        <v>6.5773651144152131E-4</v>
      </c>
      <c r="CB72" s="60">
        <f t="shared" si="99"/>
        <v>6.5773651144152131E-4</v>
      </c>
      <c r="CC72" s="94">
        <f t="shared" si="83"/>
        <v>152036.56519057468</v>
      </c>
      <c r="CD72" s="94">
        <f>IF(BD72=".",".",up_RadSpec!$F$16*(CD16*$B72))</f>
        <v>38009.14129764367</v>
      </c>
      <c r="CE72" s="94">
        <f>IF(BE72=".",".",up_RadSpec!$F$16*(CE16*$B72))</f>
        <v>38009.14129764367</v>
      </c>
      <c r="CF72" s="94">
        <f>IF(BF72=".",".",up_RadSpec!$F$16*(CF16*$B72))</f>
        <v>38009.14129764367</v>
      </c>
      <c r="CG72" s="94">
        <f>IF(BG72=".",".",up_RadSpec!$F$16*(CG16*$B72))</f>
        <v>38009.14129764367</v>
      </c>
      <c r="CH72" s="94">
        <f>IF(BH72=".",".",up_RadSpec!$F$16*(CH16*$B72))</f>
        <v>38009.14129764367</v>
      </c>
      <c r="CI72" s="94">
        <f>IF(BI72=".",".",up_RadSpec!$F$16*(CI16*$B72))</f>
        <v>38009.14129764367</v>
      </c>
      <c r="CJ72" s="94">
        <f>IF(BJ72=".",".",up_RadSpec!$F$16*(CJ16*$B72))</f>
        <v>38009.14129764367</v>
      </c>
      <c r="CK72" s="94">
        <f>IF(BK72=".",".",up_RadSpec!$F$16*(CK16*$B72))</f>
        <v>38009.14129764367</v>
      </c>
      <c r="CL72" s="94">
        <f>IF(BL72=".",".",up_RadSpec!$F$16*(CL16*$B72))</f>
        <v>38009.14129764367</v>
      </c>
      <c r="CM72" s="94">
        <f>IF(BM72=".",".",up_RadSpec!$F$16*(CM16*$B72))</f>
        <v>38009.14129764367</v>
      </c>
      <c r="CN72" s="94">
        <f>IF(BN72=".",".",up_RadSpec!$F$16*(CN16*$B72))</f>
        <v>38009.14129764367</v>
      </c>
      <c r="CO72" s="94">
        <f>IF(BO72=".",".",up_RadSpec!$F$16*(CO16*$B72))</f>
        <v>38009.14129764367</v>
      </c>
      <c r="CP72" s="94">
        <f>IF(BP72=".",".",up_RadSpec!$F$16*(CP16*$B72))</f>
        <v>38009.14129764367</v>
      </c>
      <c r="CQ72" s="94">
        <f>IF(BQ72=".",".",up_RadSpec!$F$16*(CQ16*$B72))</f>
        <v>38009.14129764367</v>
      </c>
      <c r="CR72" s="94">
        <f>IF(BR72=".",".",up_RadSpec!$F$16*(CR16*$B72))</f>
        <v>38009.14129764367</v>
      </c>
      <c r="CS72" s="94">
        <f>IF(BS72=".",".",up_RadSpec!$F$16*(CS16*$B72))</f>
        <v>38009.14129764367</v>
      </c>
      <c r="CT72" s="94">
        <f>IF(BT72=".",".",up_RadSpec!$F$16*(CT16*$B72))</f>
        <v>38009.14129764367</v>
      </c>
      <c r="CU72" s="94">
        <f>IF(BU72=".",".",up_RadSpec!$F$16*(CU16*$B72))</f>
        <v>38009.14129764367</v>
      </c>
      <c r="CV72" s="94">
        <f>IF(BV72=".",".",up_RadSpec!$F$16*(CV16*$B72))</f>
        <v>38009.14129764367</v>
      </c>
      <c r="CW72" s="94">
        <f>IF(BW72=".",".",up_RadSpec!$F$16*(CW16*$B72))</f>
        <v>38009.14129764367</v>
      </c>
      <c r="CX72" s="94">
        <f>IF(BX72=".",".",up_RadSpec!$F$16*(CX16*$B72))</f>
        <v>38009.14129764367</v>
      </c>
      <c r="CY72" s="94">
        <f>IF(BY72=".",".",up_RadSpec!$F$16*(CY16*$B72))</f>
        <v>38009.14129764367</v>
      </c>
      <c r="CZ72" s="94">
        <f>IF(BZ72=".",".",up_RadSpec!$F$16*(CZ16*$B72))</f>
        <v>38009.14129764367</v>
      </c>
      <c r="DA72" s="94">
        <f>IF(CA72=".",".",up_RadSpec!$F$16*(DA16*$B72))</f>
        <v>38009.14129764367</v>
      </c>
      <c r="DB72" s="94">
        <f>IF(CB72=".",".",up_RadSpec!$F$16*(DB16*$B72))</f>
        <v>38009.14129764367</v>
      </c>
    </row>
    <row r="73" spans="1:106" s="42" customFormat="1" x14ac:dyDescent="0.25">
      <c r="A73" s="77" t="s">
        <v>1080</v>
      </c>
      <c r="B73" s="42">
        <v>1</v>
      </c>
      <c r="C73" s="60">
        <f t="shared" ref="C73:AB73" si="100">IFERROR(C7/$B59,".")</f>
        <v>1.6443412786038033E-4</v>
      </c>
      <c r="D73" s="60">
        <f t="shared" si="100"/>
        <v>6.5773651144152131E-4</v>
      </c>
      <c r="E73" s="60">
        <f t="shared" si="100"/>
        <v>6.5773651144152131E-4</v>
      </c>
      <c r="F73" s="60">
        <f t="shared" si="100"/>
        <v>6.5773651144152131E-4</v>
      </c>
      <c r="G73" s="60">
        <f t="shared" si="100"/>
        <v>6.5773651144152131E-4</v>
      </c>
      <c r="H73" s="60">
        <f t="shared" si="100"/>
        <v>6.5773651144152131E-4</v>
      </c>
      <c r="I73" s="60">
        <f t="shared" si="100"/>
        <v>6.5773651144152131E-4</v>
      </c>
      <c r="J73" s="60">
        <f t="shared" si="100"/>
        <v>6.5773651144152131E-4</v>
      </c>
      <c r="K73" s="60">
        <f t="shared" si="100"/>
        <v>6.5773651144152131E-4</v>
      </c>
      <c r="L73" s="60">
        <f t="shared" si="100"/>
        <v>6.5773651144152131E-4</v>
      </c>
      <c r="M73" s="60">
        <f t="shared" si="100"/>
        <v>6.5773651144152131E-4</v>
      </c>
      <c r="N73" s="60">
        <f t="shared" si="100"/>
        <v>6.5773651144152131E-4</v>
      </c>
      <c r="O73" s="60">
        <f t="shared" si="100"/>
        <v>6.5773651144152131E-4</v>
      </c>
      <c r="P73" s="60">
        <f t="shared" si="100"/>
        <v>6.5773651144152131E-4</v>
      </c>
      <c r="Q73" s="60">
        <f t="shared" si="100"/>
        <v>6.5773651144152131E-4</v>
      </c>
      <c r="R73" s="60">
        <f t="shared" si="100"/>
        <v>6.5773651144152131E-4</v>
      </c>
      <c r="S73" s="60">
        <f t="shared" si="100"/>
        <v>6.5773651144152131E-4</v>
      </c>
      <c r="T73" s="60">
        <f t="shared" si="100"/>
        <v>6.5773651144152131E-4</v>
      </c>
      <c r="U73" s="60">
        <f t="shared" si="100"/>
        <v>6.5773651144152131E-4</v>
      </c>
      <c r="V73" s="60">
        <f t="shared" si="100"/>
        <v>6.5773651144152131E-4</v>
      </c>
      <c r="W73" s="60">
        <f t="shared" si="100"/>
        <v>6.5773651144152131E-4</v>
      </c>
      <c r="X73" s="60">
        <f t="shared" si="100"/>
        <v>6.5773651144152131E-4</v>
      </c>
      <c r="Y73" s="60">
        <f t="shared" si="100"/>
        <v>6.5773651144152131E-4</v>
      </c>
      <c r="Z73" s="60">
        <f t="shared" si="100"/>
        <v>6.5773651144152131E-4</v>
      </c>
      <c r="AA73" s="60">
        <f t="shared" si="100"/>
        <v>6.5773651144152131E-4</v>
      </c>
      <c r="AB73" s="60">
        <f t="shared" si="100"/>
        <v>6.5773651144152131E-4</v>
      </c>
      <c r="AC73" s="94">
        <f t="shared" si="81"/>
        <v>152036.56519057468</v>
      </c>
      <c r="AD73" s="94">
        <f>IF(D73=".",".",up_RadSpec!$F$7*(AD7*$B73))</f>
        <v>38009.14129764367</v>
      </c>
      <c r="AE73" s="94">
        <f>IF(E73=".",".",up_RadSpec!$F$7*(AE7*$B73))</f>
        <v>38009.14129764367</v>
      </c>
      <c r="AF73" s="94">
        <f>IF(F73=".",".",up_RadSpec!$F$7*(AF7*$B73))</f>
        <v>38009.14129764367</v>
      </c>
      <c r="AG73" s="94">
        <f>IF(G73=".",".",up_RadSpec!$F$7*(AG7*$B73))</f>
        <v>38009.14129764367</v>
      </c>
      <c r="AH73" s="94">
        <f>IF(H73=".",".",up_RadSpec!$F$7*(AH7*$B73))</f>
        <v>38009.14129764367</v>
      </c>
      <c r="AI73" s="94">
        <f>IF(I73=".",".",up_RadSpec!$F$7*(AI7*$B73))</f>
        <v>38009.14129764367</v>
      </c>
      <c r="AJ73" s="94">
        <f>IF(J73=".",".",up_RadSpec!$F$7*(AJ7*$B73))</f>
        <v>38009.14129764367</v>
      </c>
      <c r="AK73" s="94">
        <f>IF(K73=".",".",up_RadSpec!$F$7*(AK7*$B73))</f>
        <v>38009.14129764367</v>
      </c>
      <c r="AL73" s="94">
        <f>IF(L73=".",".",up_RadSpec!$F$7*(AL7*$B73))</f>
        <v>38009.14129764367</v>
      </c>
      <c r="AM73" s="94">
        <f>IF(M73=".",".",up_RadSpec!$F$7*(AM7*$B73))</f>
        <v>38009.14129764367</v>
      </c>
      <c r="AN73" s="94">
        <f>IF(N73=".",".",up_RadSpec!$F$7*(AN7*$B73))</f>
        <v>38009.14129764367</v>
      </c>
      <c r="AO73" s="94">
        <f>IF(O73=".",".",up_RadSpec!$F$7*(AO7*$B73))</f>
        <v>38009.14129764367</v>
      </c>
      <c r="AP73" s="94">
        <f>IF(P73=".",".",up_RadSpec!$F$7*(AP7*$B73))</f>
        <v>38009.14129764367</v>
      </c>
      <c r="AQ73" s="94">
        <f>IF(Q73=".",".",up_RadSpec!$F$7*(AQ7*$B73))</f>
        <v>38009.14129764367</v>
      </c>
      <c r="AR73" s="94">
        <f>IF(R73=".",".",up_RadSpec!$F$7*(AR7*$B73))</f>
        <v>38009.14129764367</v>
      </c>
      <c r="AS73" s="94">
        <f>IF(S73=".",".",up_RadSpec!$F$7*(AS7*$B73))</f>
        <v>38009.14129764367</v>
      </c>
      <c r="AT73" s="94">
        <f>IF(T73=".",".",up_RadSpec!$F$7*(AT7*$B73))</f>
        <v>38009.14129764367</v>
      </c>
      <c r="AU73" s="94">
        <f>IF(U73=".",".",up_RadSpec!$F$7*(AU7*$B73))</f>
        <v>38009.14129764367</v>
      </c>
      <c r="AV73" s="94">
        <f>IF(V73=".",".",up_RadSpec!$F$7*(AV7*$B73))</f>
        <v>38009.14129764367</v>
      </c>
      <c r="AW73" s="94">
        <f>IF(W73=".",".",up_RadSpec!$F$7*(AW7*$B73))</f>
        <v>38009.14129764367</v>
      </c>
      <c r="AX73" s="94">
        <f>IF(X73=".",".",up_RadSpec!$F$7*(AX7*$B73))</f>
        <v>38009.14129764367</v>
      </c>
      <c r="AY73" s="94">
        <f>IF(Y73=".",".",up_RadSpec!$F$7*(AY7*$B73))</f>
        <v>38009.14129764367</v>
      </c>
      <c r="AZ73" s="94">
        <f>IF(Z73=".",".",up_RadSpec!$F$7*(AZ7*$B73))</f>
        <v>38009.14129764367</v>
      </c>
      <c r="BA73" s="94">
        <f>IF(AA73=".",".",up_RadSpec!$F$7*(BA7*$B73))</f>
        <v>38009.14129764367</v>
      </c>
      <c r="BB73" s="94">
        <f>IF(AB73=".",".",up_RadSpec!$F$7*(BB7*$B73))</f>
        <v>38009.14129764367</v>
      </c>
      <c r="BC73" s="60">
        <f t="shared" ref="BC73:CB73" si="101">IFERROR(BC7/$B59,".")</f>
        <v>1.6443412786038033E-4</v>
      </c>
      <c r="BD73" s="60">
        <f t="shared" si="101"/>
        <v>6.5773651144152131E-4</v>
      </c>
      <c r="BE73" s="60">
        <f t="shared" si="101"/>
        <v>6.5773651144152131E-4</v>
      </c>
      <c r="BF73" s="60">
        <f t="shared" si="101"/>
        <v>6.5773651144152131E-4</v>
      </c>
      <c r="BG73" s="60">
        <f t="shared" si="101"/>
        <v>6.5773651144152131E-4</v>
      </c>
      <c r="BH73" s="60">
        <f t="shared" si="101"/>
        <v>6.5773651144152131E-4</v>
      </c>
      <c r="BI73" s="60">
        <f t="shared" si="101"/>
        <v>6.5773651144152131E-4</v>
      </c>
      <c r="BJ73" s="60">
        <f t="shared" si="101"/>
        <v>6.5773651144152131E-4</v>
      </c>
      <c r="BK73" s="60">
        <f t="shared" si="101"/>
        <v>6.5773651144152131E-4</v>
      </c>
      <c r="BL73" s="60">
        <f t="shared" si="101"/>
        <v>6.5773651144152131E-4</v>
      </c>
      <c r="BM73" s="60">
        <f t="shared" si="101"/>
        <v>6.5773651144152131E-4</v>
      </c>
      <c r="BN73" s="60">
        <f t="shared" si="101"/>
        <v>6.5773651144152131E-4</v>
      </c>
      <c r="BO73" s="60">
        <f t="shared" si="101"/>
        <v>6.5773651144152131E-4</v>
      </c>
      <c r="BP73" s="60">
        <f t="shared" si="101"/>
        <v>6.5773651144152131E-4</v>
      </c>
      <c r="BQ73" s="60">
        <f t="shared" si="101"/>
        <v>6.5773651144152131E-4</v>
      </c>
      <c r="BR73" s="60">
        <f t="shared" si="101"/>
        <v>6.5773651144152131E-4</v>
      </c>
      <c r="BS73" s="60">
        <f t="shared" si="101"/>
        <v>6.5773651144152131E-4</v>
      </c>
      <c r="BT73" s="60">
        <f t="shared" si="101"/>
        <v>6.5773651144152131E-4</v>
      </c>
      <c r="BU73" s="60">
        <f t="shared" si="101"/>
        <v>6.5773651144152131E-4</v>
      </c>
      <c r="BV73" s="60">
        <f t="shared" si="101"/>
        <v>6.5773651144152131E-4</v>
      </c>
      <c r="BW73" s="60">
        <f t="shared" si="101"/>
        <v>6.5773651144152131E-4</v>
      </c>
      <c r="BX73" s="60">
        <f t="shared" si="101"/>
        <v>6.5773651144152131E-4</v>
      </c>
      <c r="BY73" s="60">
        <f t="shared" si="101"/>
        <v>6.5773651144152131E-4</v>
      </c>
      <c r="BZ73" s="60">
        <f t="shared" si="101"/>
        <v>6.5773651144152131E-4</v>
      </c>
      <c r="CA73" s="60">
        <f t="shared" si="101"/>
        <v>6.5773651144152131E-4</v>
      </c>
      <c r="CB73" s="60">
        <f t="shared" si="101"/>
        <v>6.5773651144152131E-4</v>
      </c>
      <c r="CC73" s="94">
        <f t="shared" si="83"/>
        <v>152036.56519057468</v>
      </c>
      <c r="CD73" s="94">
        <f>IF(BD73=".",".",up_RadSpec!$F$7*(CD7*$B73))</f>
        <v>38009.14129764367</v>
      </c>
      <c r="CE73" s="94">
        <f>IF(BE73=".",".",up_RadSpec!$F$7*(CE7*$B73))</f>
        <v>38009.14129764367</v>
      </c>
      <c r="CF73" s="94">
        <f>IF(BF73=".",".",up_RadSpec!$F$7*(CF7*$B73))</f>
        <v>38009.14129764367</v>
      </c>
      <c r="CG73" s="94">
        <f>IF(BG73=".",".",up_RadSpec!$F$7*(CG7*$B73))</f>
        <v>38009.14129764367</v>
      </c>
      <c r="CH73" s="94">
        <f>IF(BH73=".",".",up_RadSpec!$F$7*(CH7*$B73))</f>
        <v>38009.14129764367</v>
      </c>
      <c r="CI73" s="94">
        <f>IF(BI73=".",".",up_RadSpec!$F$7*(CI7*$B73))</f>
        <v>38009.14129764367</v>
      </c>
      <c r="CJ73" s="94">
        <f>IF(BJ73=".",".",up_RadSpec!$F$7*(CJ7*$B73))</f>
        <v>38009.14129764367</v>
      </c>
      <c r="CK73" s="94">
        <f>IF(BK73=".",".",up_RadSpec!$F$7*(CK7*$B73))</f>
        <v>38009.14129764367</v>
      </c>
      <c r="CL73" s="94">
        <f>IF(BL73=".",".",up_RadSpec!$F$7*(CL7*$B73))</f>
        <v>38009.14129764367</v>
      </c>
      <c r="CM73" s="94">
        <f>IF(BM73=".",".",up_RadSpec!$F$7*(CM7*$B73))</f>
        <v>38009.14129764367</v>
      </c>
      <c r="CN73" s="94">
        <f>IF(BN73=".",".",up_RadSpec!$F$7*(CN7*$B73))</f>
        <v>38009.14129764367</v>
      </c>
      <c r="CO73" s="94">
        <f>IF(BO73=".",".",up_RadSpec!$F$7*(CO7*$B73))</f>
        <v>38009.14129764367</v>
      </c>
      <c r="CP73" s="94">
        <f>IF(BP73=".",".",up_RadSpec!$F$7*(CP7*$B73))</f>
        <v>38009.14129764367</v>
      </c>
      <c r="CQ73" s="94">
        <f>IF(BQ73=".",".",up_RadSpec!$F$7*(CQ7*$B73))</f>
        <v>38009.14129764367</v>
      </c>
      <c r="CR73" s="94">
        <f>IF(BR73=".",".",up_RadSpec!$F$7*(CR7*$B73))</f>
        <v>38009.14129764367</v>
      </c>
      <c r="CS73" s="94">
        <f>IF(BS73=".",".",up_RadSpec!$F$7*(CS7*$B73))</f>
        <v>38009.14129764367</v>
      </c>
      <c r="CT73" s="94">
        <f>IF(BT73=".",".",up_RadSpec!$F$7*(CT7*$B73))</f>
        <v>38009.14129764367</v>
      </c>
      <c r="CU73" s="94">
        <f>IF(BU73=".",".",up_RadSpec!$F$7*(CU7*$B73))</f>
        <v>38009.14129764367</v>
      </c>
      <c r="CV73" s="94">
        <f>IF(BV73=".",".",up_RadSpec!$F$7*(CV7*$B73))</f>
        <v>38009.14129764367</v>
      </c>
      <c r="CW73" s="94">
        <f>IF(BW73=".",".",up_RadSpec!$F$7*(CW7*$B73))</f>
        <v>38009.14129764367</v>
      </c>
      <c r="CX73" s="94">
        <f>IF(BX73=".",".",up_RadSpec!$F$7*(CX7*$B73))</f>
        <v>38009.14129764367</v>
      </c>
      <c r="CY73" s="94">
        <f>IF(BY73=".",".",up_RadSpec!$F$7*(CY7*$B73))</f>
        <v>38009.14129764367</v>
      </c>
      <c r="CZ73" s="94">
        <f>IF(BZ73=".",".",up_RadSpec!$F$7*(CZ7*$B73))</f>
        <v>38009.14129764367</v>
      </c>
      <c r="DA73" s="94">
        <f>IF(CA73=".",".",up_RadSpec!$F$7*(DA7*$B73))</f>
        <v>38009.14129764367</v>
      </c>
      <c r="DB73" s="94">
        <f>IF(CB73=".",".",up_RadSpec!$F$7*(DB7*$B73))</f>
        <v>38009.14129764367</v>
      </c>
    </row>
    <row r="74" spans="1:106" s="42" customFormat="1" x14ac:dyDescent="0.25">
      <c r="A74" s="77" t="s">
        <v>1081</v>
      </c>
      <c r="B74" s="80">
        <v>1.9000000000000001E-8</v>
      </c>
      <c r="C74" s="60">
        <f t="shared" ref="C74:AB74" si="102">IFERROR(C12/$B60,".")</f>
        <v>8654.4277821252799</v>
      </c>
      <c r="D74" s="60">
        <f t="shared" si="102"/>
        <v>34617.71112850112</v>
      </c>
      <c r="E74" s="60">
        <f t="shared" si="102"/>
        <v>34617.71112850112</v>
      </c>
      <c r="F74" s="60">
        <f t="shared" si="102"/>
        <v>34617.71112850112</v>
      </c>
      <c r="G74" s="60">
        <f t="shared" si="102"/>
        <v>34617.71112850112</v>
      </c>
      <c r="H74" s="60">
        <f t="shared" si="102"/>
        <v>34617.71112850112</v>
      </c>
      <c r="I74" s="60">
        <f t="shared" si="102"/>
        <v>34617.71112850112</v>
      </c>
      <c r="J74" s="60">
        <f t="shared" si="102"/>
        <v>34617.71112850112</v>
      </c>
      <c r="K74" s="60">
        <f t="shared" si="102"/>
        <v>34617.71112850112</v>
      </c>
      <c r="L74" s="60">
        <f t="shared" si="102"/>
        <v>34617.71112850112</v>
      </c>
      <c r="M74" s="60">
        <f t="shared" si="102"/>
        <v>34617.71112850112</v>
      </c>
      <c r="N74" s="60">
        <f t="shared" si="102"/>
        <v>34617.71112850112</v>
      </c>
      <c r="O74" s="60">
        <f t="shared" si="102"/>
        <v>34617.71112850112</v>
      </c>
      <c r="P74" s="60">
        <f t="shared" si="102"/>
        <v>34617.71112850112</v>
      </c>
      <c r="Q74" s="60">
        <f t="shared" si="102"/>
        <v>34617.71112850112</v>
      </c>
      <c r="R74" s="60">
        <f t="shared" si="102"/>
        <v>34617.71112850112</v>
      </c>
      <c r="S74" s="60">
        <f t="shared" si="102"/>
        <v>34617.71112850112</v>
      </c>
      <c r="T74" s="60">
        <f t="shared" si="102"/>
        <v>34617.71112850112</v>
      </c>
      <c r="U74" s="60">
        <f t="shared" si="102"/>
        <v>34617.71112850112</v>
      </c>
      <c r="V74" s="60">
        <f t="shared" si="102"/>
        <v>34617.71112850112</v>
      </c>
      <c r="W74" s="60">
        <f t="shared" si="102"/>
        <v>34617.71112850112</v>
      </c>
      <c r="X74" s="60">
        <f t="shared" si="102"/>
        <v>34617.71112850112</v>
      </c>
      <c r="Y74" s="60">
        <f t="shared" si="102"/>
        <v>34617.71112850112</v>
      </c>
      <c r="Z74" s="60">
        <f t="shared" si="102"/>
        <v>34617.71112850112</v>
      </c>
      <c r="AA74" s="60">
        <f t="shared" si="102"/>
        <v>34617.71112850112</v>
      </c>
      <c r="AB74" s="60">
        <f t="shared" si="102"/>
        <v>34617.71112850112</v>
      </c>
      <c r="AC74" s="94">
        <f t="shared" si="81"/>
        <v>2.888694738620919E-3</v>
      </c>
      <c r="AD74" s="94">
        <f>IF(D74=".",".",up_RadSpec!$F$12*(AD12*$B74))</f>
        <v>7.2217368465522975E-4</v>
      </c>
      <c r="AE74" s="94">
        <f>IF(E74=".",".",up_RadSpec!$F$12*(AE12*$B74))</f>
        <v>7.2217368465522975E-4</v>
      </c>
      <c r="AF74" s="94">
        <f>IF(F74=".",".",up_RadSpec!$F$12*(AF12*$B74))</f>
        <v>7.2217368465522975E-4</v>
      </c>
      <c r="AG74" s="94">
        <f>IF(G74=".",".",up_RadSpec!$F$12*(AG12*$B74))</f>
        <v>7.2217368465522975E-4</v>
      </c>
      <c r="AH74" s="94">
        <f>IF(H74=".",".",up_RadSpec!$F$12*(AH12*$B74))</f>
        <v>7.2217368465522975E-4</v>
      </c>
      <c r="AI74" s="94">
        <f>IF(I74=".",".",up_RadSpec!$F$12*(AI12*$B74))</f>
        <v>7.2217368465522975E-4</v>
      </c>
      <c r="AJ74" s="94">
        <f>IF(J74=".",".",up_RadSpec!$F$12*(AJ12*$B74))</f>
        <v>7.2217368465522975E-4</v>
      </c>
      <c r="AK74" s="94">
        <f>IF(K74=".",".",up_RadSpec!$F$12*(AK12*$B74))</f>
        <v>7.2217368465522975E-4</v>
      </c>
      <c r="AL74" s="94">
        <f>IF(L74=".",".",up_RadSpec!$F$12*(AL12*$B74))</f>
        <v>7.2217368465522975E-4</v>
      </c>
      <c r="AM74" s="94">
        <f>IF(M74=".",".",up_RadSpec!$F$12*(AM12*$B74))</f>
        <v>7.2217368465522975E-4</v>
      </c>
      <c r="AN74" s="94">
        <f>IF(N74=".",".",up_RadSpec!$F$12*(AN12*$B74))</f>
        <v>7.2217368465522975E-4</v>
      </c>
      <c r="AO74" s="94">
        <f>IF(O74=".",".",up_RadSpec!$F$12*(AO12*$B74))</f>
        <v>7.2217368465522975E-4</v>
      </c>
      <c r="AP74" s="94">
        <f>IF(P74=".",".",up_RadSpec!$F$12*(AP12*$B74))</f>
        <v>7.2217368465522975E-4</v>
      </c>
      <c r="AQ74" s="94">
        <f>IF(Q74=".",".",up_RadSpec!$F$12*(AQ12*$B74))</f>
        <v>7.2217368465522975E-4</v>
      </c>
      <c r="AR74" s="94">
        <f>IF(R74=".",".",up_RadSpec!$F$12*(AR12*$B74))</f>
        <v>7.2217368465522975E-4</v>
      </c>
      <c r="AS74" s="94">
        <f>IF(S74=".",".",up_RadSpec!$F$12*(AS12*$B74))</f>
        <v>7.2217368465522975E-4</v>
      </c>
      <c r="AT74" s="94">
        <f>IF(T74=".",".",up_RadSpec!$F$12*(AT12*$B74))</f>
        <v>7.2217368465522975E-4</v>
      </c>
      <c r="AU74" s="94">
        <f>IF(U74=".",".",up_RadSpec!$F$12*(AU12*$B74))</f>
        <v>7.2217368465522975E-4</v>
      </c>
      <c r="AV74" s="94">
        <f>IF(V74=".",".",up_RadSpec!$F$12*(AV12*$B74))</f>
        <v>7.2217368465522975E-4</v>
      </c>
      <c r="AW74" s="94">
        <f>IF(W74=".",".",up_RadSpec!$F$12*(AW12*$B74))</f>
        <v>7.2217368465522975E-4</v>
      </c>
      <c r="AX74" s="94">
        <f>IF(X74=".",".",up_RadSpec!$F$12*(AX12*$B74))</f>
        <v>7.2217368465522975E-4</v>
      </c>
      <c r="AY74" s="94">
        <f>IF(Y74=".",".",up_RadSpec!$F$12*(AY12*$B74))</f>
        <v>7.2217368465522975E-4</v>
      </c>
      <c r="AZ74" s="94">
        <f>IF(Z74=".",".",up_RadSpec!$F$12*(AZ12*$B74))</f>
        <v>7.2217368465522975E-4</v>
      </c>
      <c r="BA74" s="94">
        <f>IF(AA74=".",".",up_RadSpec!$F$12*(BA12*$B74))</f>
        <v>7.2217368465522975E-4</v>
      </c>
      <c r="BB74" s="94">
        <f>IF(AB74=".",".",up_RadSpec!$F$12*(BB12*$B74))</f>
        <v>7.2217368465522975E-4</v>
      </c>
      <c r="BC74" s="60">
        <f t="shared" ref="BC74:CB74" si="103">IFERROR(BC12/$B60,".")</f>
        <v>8654.4277821252799</v>
      </c>
      <c r="BD74" s="60">
        <f t="shared" si="103"/>
        <v>34617.71112850112</v>
      </c>
      <c r="BE74" s="60">
        <f t="shared" si="103"/>
        <v>34617.71112850112</v>
      </c>
      <c r="BF74" s="60">
        <f t="shared" si="103"/>
        <v>34617.71112850112</v>
      </c>
      <c r="BG74" s="60">
        <f t="shared" si="103"/>
        <v>34617.71112850112</v>
      </c>
      <c r="BH74" s="60">
        <f t="shared" si="103"/>
        <v>34617.71112850112</v>
      </c>
      <c r="BI74" s="60">
        <f t="shared" si="103"/>
        <v>34617.71112850112</v>
      </c>
      <c r="BJ74" s="60">
        <f t="shared" si="103"/>
        <v>34617.71112850112</v>
      </c>
      <c r="BK74" s="60">
        <f t="shared" si="103"/>
        <v>34617.71112850112</v>
      </c>
      <c r="BL74" s="60">
        <f t="shared" si="103"/>
        <v>34617.71112850112</v>
      </c>
      <c r="BM74" s="60">
        <f t="shared" si="103"/>
        <v>34617.71112850112</v>
      </c>
      <c r="BN74" s="60">
        <f t="shared" si="103"/>
        <v>34617.71112850112</v>
      </c>
      <c r="BO74" s="60">
        <f t="shared" si="103"/>
        <v>34617.71112850112</v>
      </c>
      <c r="BP74" s="60">
        <f t="shared" si="103"/>
        <v>34617.71112850112</v>
      </c>
      <c r="BQ74" s="60">
        <f t="shared" si="103"/>
        <v>34617.71112850112</v>
      </c>
      <c r="BR74" s="60">
        <f t="shared" si="103"/>
        <v>34617.71112850112</v>
      </c>
      <c r="BS74" s="60">
        <f t="shared" si="103"/>
        <v>34617.71112850112</v>
      </c>
      <c r="BT74" s="60">
        <f t="shared" si="103"/>
        <v>34617.71112850112</v>
      </c>
      <c r="BU74" s="60">
        <f t="shared" si="103"/>
        <v>34617.71112850112</v>
      </c>
      <c r="BV74" s="60">
        <f t="shared" si="103"/>
        <v>34617.71112850112</v>
      </c>
      <c r="BW74" s="60">
        <f t="shared" si="103"/>
        <v>34617.71112850112</v>
      </c>
      <c r="BX74" s="60">
        <f t="shared" si="103"/>
        <v>34617.71112850112</v>
      </c>
      <c r="BY74" s="60">
        <f t="shared" si="103"/>
        <v>34617.71112850112</v>
      </c>
      <c r="BZ74" s="60">
        <f t="shared" si="103"/>
        <v>34617.71112850112</v>
      </c>
      <c r="CA74" s="60">
        <f t="shared" si="103"/>
        <v>34617.71112850112</v>
      </c>
      <c r="CB74" s="60">
        <f t="shared" si="103"/>
        <v>34617.71112850112</v>
      </c>
      <c r="CC74" s="94">
        <f t="shared" si="83"/>
        <v>2.888694738620919E-3</v>
      </c>
      <c r="CD74" s="94">
        <f>IF(BD74=".",".",up_RadSpec!$F$12*(CD12*$B74))</f>
        <v>7.2217368465522975E-4</v>
      </c>
      <c r="CE74" s="94">
        <f>IF(BE74=".",".",up_RadSpec!$F$12*(CE12*$B74))</f>
        <v>7.2217368465522975E-4</v>
      </c>
      <c r="CF74" s="94">
        <f>IF(BF74=".",".",up_RadSpec!$F$12*(CF12*$B74))</f>
        <v>7.2217368465522975E-4</v>
      </c>
      <c r="CG74" s="94">
        <f>IF(BG74=".",".",up_RadSpec!$F$12*(CG12*$B74))</f>
        <v>7.2217368465522975E-4</v>
      </c>
      <c r="CH74" s="94">
        <f>IF(BH74=".",".",up_RadSpec!$F$12*(CH12*$B74))</f>
        <v>7.2217368465522975E-4</v>
      </c>
      <c r="CI74" s="94">
        <f>IF(BI74=".",".",up_RadSpec!$F$12*(CI12*$B74))</f>
        <v>7.2217368465522975E-4</v>
      </c>
      <c r="CJ74" s="94">
        <f>IF(BJ74=".",".",up_RadSpec!$F$12*(CJ12*$B74))</f>
        <v>7.2217368465522975E-4</v>
      </c>
      <c r="CK74" s="94">
        <f>IF(BK74=".",".",up_RadSpec!$F$12*(CK12*$B74))</f>
        <v>7.2217368465522975E-4</v>
      </c>
      <c r="CL74" s="94">
        <f>IF(BL74=".",".",up_RadSpec!$F$12*(CL12*$B74))</f>
        <v>7.2217368465522975E-4</v>
      </c>
      <c r="CM74" s="94">
        <f>IF(BM74=".",".",up_RadSpec!$F$12*(CM12*$B74))</f>
        <v>7.2217368465522975E-4</v>
      </c>
      <c r="CN74" s="94">
        <f>IF(BN74=".",".",up_RadSpec!$F$12*(CN12*$B74))</f>
        <v>7.2217368465522975E-4</v>
      </c>
      <c r="CO74" s="94">
        <f>IF(BO74=".",".",up_RadSpec!$F$12*(CO12*$B74))</f>
        <v>7.2217368465522975E-4</v>
      </c>
      <c r="CP74" s="94">
        <f>IF(BP74=".",".",up_RadSpec!$F$12*(CP12*$B74))</f>
        <v>7.2217368465522975E-4</v>
      </c>
      <c r="CQ74" s="94">
        <f>IF(BQ74=".",".",up_RadSpec!$F$12*(CQ12*$B74))</f>
        <v>7.2217368465522975E-4</v>
      </c>
      <c r="CR74" s="94">
        <f>IF(BR74=".",".",up_RadSpec!$F$12*(CR12*$B74))</f>
        <v>7.2217368465522975E-4</v>
      </c>
      <c r="CS74" s="94">
        <f>IF(BS74=".",".",up_RadSpec!$F$12*(CS12*$B74))</f>
        <v>7.2217368465522975E-4</v>
      </c>
      <c r="CT74" s="94">
        <f>IF(BT74=".",".",up_RadSpec!$F$12*(CT12*$B74))</f>
        <v>7.2217368465522975E-4</v>
      </c>
      <c r="CU74" s="94">
        <f>IF(BU74=".",".",up_RadSpec!$F$12*(CU12*$B74))</f>
        <v>7.2217368465522975E-4</v>
      </c>
      <c r="CV74" s="94">
        <f>IF(BV74=".",".",up_RadSpec!$F$12*(CV12*$B74))</f>
        <v>7.2217368465522975E-4</v>
      </c>
      <c r="CW74" s="94">
        <f>IF(BW74=".",".",up_RadSpec!$F$12*(CW12*$B74))</f>
        <v>7.2217368465522975E-4</v>
      </c>
      <c r="CX74" s="94">
        <f>IF(BX74=".",".",up_RadSpec!$F$12*(CX12*$B74))</f>
        <v>7.2217368465522975E-4</v>
      </c>
      <c r="CY74" s="94">
        <f>IF(BY74=".",".",up_RadSpec!$F$12*(CY12*$B74))</f>
        <v>7.2217368465522975E-4</v>
      </c>
      <c r="CZ74" s="94">
        <f>IF(BZ74=".",".",up_RadSpec!$F$12*(CZ12*$B74))</f>
        <v>7.2217368465522975E-4</v>
      </c>
      <c r="DA74" s="94">
        <f>IF(CA74=".",".",up_RadSpec!$F$12*(DA12*$B74))</f>
        <v>7.2217368465522975E-4</v>
      </c>
      <c r="DB74" s="94">
        <f>IF(CB74=".",".",up_RadSpec!$F$12*(DB12*$B74))</f>
        <v>7.2217368465522975E-4</v>
      </c>
    </row>
    <row r="75" spans="1:106" s="42" customFormat="1" x14ac:dyDescent="0.25">
      <c r="A75" s="77" t="s">
        <v>1082</v>
      </c>
      <c r="B75" s="42">
        <v>1</v>
      </c>
      <c r="C75" s="60">
        <f t="shared" ref="C75:AB75" si="104">IFERROR(C18/$B61,".")</f>
        <v>1.6443412786038033E-4</v>
      </c>
      <c r="D75" s="60">
        <f t="shared" si="104"/>
        <v>6.5773651144152131E-4</v>
      </c>
      <c r="E75" s="60">
        <f t="shared" si="104"/>
        <v>6.5773651144152131E-4</v>
      </c>
      <c r="F75" s="60">
        <f t="shared" si="104"/>
        <v>6.5773651144152131E-4</v>
      </c>
      <c r="G75" s="60">
        <f t="shared" si="104"/>
        <v>6.5773651144152131E-4</v>
      </c>
      <c r="H75" s="60">
        <f t="shared" si="104"/>
        <v>6.5773651144152131E-4</v>
      </c>
      <c r="I75" s="60">
        <f t="shared" si="104"/>
        <v>6.5773651144152131E-4</v>
      </c>
      <c r="J75" s="60">
        <f t="shared" si="104"/>
        <v>6.5773651144152131E-4</v>
      </c>
      <c r="K75" s="60">
        <f t="shared" si="104"/>
        <v>6.5773651144152131E-4</v>
      </c>
      <c r="L75" s="60">
        <f t="shared" si="104"/>
        <v>6.5773651144152131E-4</v>
      </c>
      <c r="M75" s="60">
        <f t="shared" si="104"/>
        <v>6.5773651144152131E-4</v>
      </c>
      <c r="N75" s="60">
        <f t="shared" si="104"/>
        <v>6.5773651144152131E-4</v>
      </c>
      <c r="O75" s="60">
        <f t="shared" si="104"/>
        <v>6.5773651144152131E-4</v>
      </c>
      <c r="P75" s="60">
        <f t="shared" si="104"/>
        <v>6.5773651144152131E-4</v>
      </c>
      <c r="Q75" s="60">
        <f t="shared" si="104"/>
        <v>6.5773651144152131E-4</v>
      </c>
      <c r="R75" s="60">
        <f t="shared" si="104"/>
        <v>6.5773651144152131E-4</v>
      </c>
      <c r="S75" s="60">
        <f t="shared" si="104"/>
        <v>6.5773651144152131E-4</v>
      </c>
      <c r="T75" s="60">
        <f t="shared" si="104"/>
        <v>6.5773651144152131E-4</v>
      </c>
      <c r="U75" s="60">
        <f t="shared" si="104"/>
        <v>6.5773651144152131E-4</v>
      </c>
      <c r="V75" s="60">
        <f t="shared" si="104"/>
        <v>6.5773651144152131E-4</v>
      </c>
      <c r="W75" s="60">
        <f t="shared" si="104"/>
        <v>6.5773651144152131E-4</v>
      </c>
      <c r="X75" s="60">
        <f t="shared" si="104"/>
        <v>6.5773651144152131E-4</v>
      </c>
      <c r="Y75" s="60">
        <f t="shared" si="104"/>
        <v>6.5773651144152131E-4</v>
      </c>
      <c r="Z75" s="60">
        <f t="shared" si="104"/>
        <v>6.5773651144152131E-4</v>
      </c>
      <c r="AA75" s="60">
        <f t="shared" si="104"/>
        <v>6.5773651144152131E-4</v>
      </c>
      <c r="AB75" s="60">
        <f t="shared" si="104"/>
        <v>6.5773651144152131E-4</v>
      </c>
      <c r="AC75" s="94">
        <f t="shared" si="81"/>
        <v>152036.56519057468</v>
      </c>
      <c r="AD75" s="94">
        <f>IF(D75=".",".",up_RadSpec!$F$18*(AD18*$B75))</f>
        <v>38009.14129764367</v>
      </c>
      <c r="AE75" s="94">
        <f>IF(E75=".",".",up_RadSpec!$F$18*(AE18*$B75))</f>
        <v>38009.14129764367</v>
      </c>
      <c r="AF75" s="94">
        <f>IF(F75=".",".",up_RadSpec!$F$18*(AF18*$B75))</f>
        <v>38009.14129764367</v>
      </c>
      <c r="AG75" s="94">
        <f>IF(G75=".",".",up_RadSpec!$F$18*(AG18*$B75))</f>
        <v>38009.14129764367</v>
      </c>
      <c r="AH75" s="94">
        <f>IF(H75=".",".",up_RadSpec!$F$18*(AH18*$B75))</f>
        <v>38009.14129764367</v>
      </c>
      <c r="AI75" s="94">
        <f>IF(I75=".",".",up_RadSpec!$F$18*(AI18*$B75))</f>
        <v>38009.14129764367</v>
      </c>
      <c r="AJ75" s="94">
        <f>IF(J75=".",".",up_RadSpec!$F$18*(AJ18*$B75))</f>
        <v>38009.14129764367</v>
      </c>
      <c r="AK75" s="94">
        <f>IF(K75=".",".",up_RadSpec!$F$18*(AK18*$B75))</f>
        <v>38009.14129764367</v>
      </c>
      <c r="AL75" s="94">
        <f>IF(L75=".",".",up_RadSpec!$F$18*(AL18*$B75))</f>
        <v>38009.14129764367</v>
      </c>
      <c r="AM75" s="94">
        <f>IF(M75=".",".",up_RadSpec!$F$18*(AM18*$B75))</f>
        <v>38009.14129764367</v>
      </c>
      <c r="AN75" s="94">
        <f>IF(N75=".",".",up_RadSpec!$F$18*(AN18*$B75))</f>
        <v>38009.14129764367</v>
      </c>
      <c r="AO75" s="94">
        <f>IF(O75=".",".",up_RadSpec!$F$18*(AO18*$B75))</f>
        <v>38009.14129764367</v>
      </c>
      <c r="AP75" s="94">
        <f>IF(P75=".",".",up_RadSpec!$F$18*(AP18*$B75))</f>
        <v>38009.14129764367</v>
      </c>
      <c r="AQ75" s="94">
        <f>IF(Q75=".",".",up_RadSpec!$F$18*(AQ18*$B75))</f>
        <v>38009.14129764367</v>
      </c>
      <c r="AR75" s="94">
        <f>IF(R75=".",".",up_RadSpec!$F$18*(AR18*$B75))</f>
        <v>38009.14129764367</v>
      </c>
      <c r="AS75" s="94">
        <f>IF(S75=".",".",up_RadSpec!$F$18*(AS18*$B75))</f>
        <v>38009.14129764367</v>
      </c>
      <c r="AT75" s="94">
        <f>IF(T75=".",".",up_RadSpec!$F$18*(AT18*$B75))</f>
        <v>38009.14129764367</v>
      </c>
      <c r="AU75" s="94">
        <f>IF(U75=".",".",up_RadSpec!$F$18*(AU18*$B75))</f>
        <v>38009.14129764367</v>
      </c>
      <c r="AV75" s="94">
        <f>IF(V75=".",".",up_RadSpec!$F$18*(AV18*$B75))</f>
        <v>38009.14129764367</v>
      </c>
      <c r="AW75" s="94">
        <f>IF(W75=".",".",up_RadSpec!$F$18*(AW18*$B75))</f>
        <v>38009.14129764367</v>
      </c>
      <c r="AX75" s="94">
        <f>IF(X75=".",".",up_RadSpec!$F$18*(AX18*$B75))</f>
        <v>38009.14129764367</v>
      </c>
      <c r="AY75" s="94">
        <f>IF(Y75=".",".",up_RadSpec!$F$18*(AY18*$B75))</f>
        <v>38009.14129764367</v>
      </c>
      <c r="AZ75" s="94">
        <f>IF(Z75=".",".",up_RadSpec!$F$18*(AZ18*$B75))</f>
        <v>38009.14129764367</v>
      </c>
      <c r="BA75" s="94">
        <f>IF(AA75=".",".",up_RadSpec!$F$18*(BA18*$B75))</f>
        <v>38009.14129764367</v>
      </c>
      <c r="BB75" s="94">
        <f>IF(AB75=".",".",up_RadSpec!$F$18*(BB18*$B75))</f>
        <v>38009.14129764367</v>
      </c>
      <c r="BC75" s="60">
        <f t="shared" ref="BC75:CB75" si="105">IFERROR(BC18/$B61,".")</f>
        <v>1.6443412786038033E-4</v>
      </c>
      <c r="BD75" s="60">
        <f t="shared" si="105"/>
        <v>6.5773651144152131E-4</v>
      </c>
      <c r="BE75" s="60">
        <f t="shared" si="105"/>
        <v>6.5773651144152131E-4</v>
      </c>
      <c r="BF75" s="60">
        <f t="shared" si="105"/>
        <v>6.5773651144152131E-4</v>
      </c>
      <c r="BG75" s="60">
        <f t="shared" si="105"/>
        <v>6.5773651144152131E-4</v>
      </c>
      <c r="BH75" s="60">
        <f t="shared" si="105"/>
        <v>6.5773651144152131E-4</v>
      </c>
      <c r="BI75" s="60">
        <f t="shared" si="105"/>
        <v>6.5773651144152131E-4</v>
      </c>
      <c r="BJ75" s="60">
        <f t="shared" si="105"/>
        <v>6.5773651144152131E-4</v>
      </c>
      <c r="BK75" s="60">
        <f t="shared" si="105"/>
        <v>6.5773651144152131E-4</v>
      </c>
      <c r="BL75" s="60">
        <f t="shared" si="105"/>
        <v>6.5773651144152131E-4</v>
      </c>
      <c r="BM75" s="60">
        <f t="shared" si="105"/>
        <v>6.5773651144152131E-4</v>
      </c>
      <c r="BN75" s="60">
        <f t="shared" si="105"/>
        <v>6.5773651144152131E-4</v>
      </c>
      <c r="BO75" s="60">
        <f t="shared" si="105"/>
        <v>6.5773651144152131E-4</v>
      </c>
      <c r="BP75" s="60">
        <f t="shared" si="105"/>
        <v>6.5773651144152131E-4</v>
      </c>
      <c r="BQ75" s="60">
        <f t="shared" si="105"/>
        <v>6.5773651144152131E-4</v>
      </c>
      <c r="BR75" s="60">
        <f t="shared" si="105"/>
        <v>6.5773651144152131E-4</v>
      </c>
      <c r="BS75" s="60">
        <f t="shared" si="105"/>
        <v>6.5773651144152131E-4</v>
      </c>
      <c r="BT75" s="60">
        <f t="shared" si="105"/>
        <v>6.5773651144152131E-4</v>
      </c>
      <c r="BU75" s="60">
        <f t="shared" si="105"/>
        <v>6.5773651144152131E-4</v>
      </c>
      <c r="BV75" s="60">
        <f t="shared" si="105"/>
        <v>6.5773651144152131E-4</v>
      </c>
      <c r="BW75" s="60">
        <f t="shared" si="105"/>
        <v>6.5773651144152131E-4</v>
      </c>
      <c r="BX75" s="60">
        <f t="shared" si="105"/>
        <v>6.5773651144152131E-4</v>
      </c>
      <c r="BY75" s="60">
        <f t="shared" si="105"/>
        <v>6.5773651144152131E-4</v>
      </c>
      <c r="BZ75" s="60">
        <f t="shared" si="105"/>
        <v>6.5773651144152131E-4</v>
      </c>
      <c r="CA75" s="60">
        <f t="shared" si="105"/>
        <v>6.5773651144152131E-4</v>
      </c>
      <c r="CB75" s="60">
        <f t="shared" si="105"/>
        <v>6.5773651144152131E-4</v>
      </c>
      <c r="CC75" s="94">
        <f t="shared" si="83"/>
        <v>152036.56519057468</v>
      </c>
      <c r="CD75" s="94">
        <f>IF(BD75=".",".",up_RadSpec!$F$18*(CD18*$B75))</f>
        <v>38009.14129764367</v>
      </c>
      <c r="CE75" s="94">
        <f>IF(BE75=".",".",up_RadSpec!$F$18*(CE18*$B75))</f>
        <v>38009.14129764367</v>
      </c>
      <c r="CF75" s="94">
        <f>IF(BF75=".",".",up_RadSpec!$F$18*(CF18*$B75))</f>
        <v>38009.14129764367</v>
      </c>
      <c r="CG75" s="94">
        <f>IF(BG75=".",".",up_RadSpec!$F$18*(CG18*$B75))</f>
        <v>38009.14129764367</v>
      </c>
      <c r="CH75" s="94">
        <f>IF(BH75=".",".",up_RadSpec!$F$18*(CH18*$B75))</f>
        <v>38009.14129764367</v>
      </c>
      <c r="CI75" s="94">
        <f>IF(BI75=".",".",up_RadSpec!$F$18*(CI18*$B75))</f>
        <v>38009.14129764367</v>
      </c>
      <c r="CJ75" s="94">
        <f>IF(BJ75=".",".",up_RadSpec!$F$18*(CJ18*$B75))</f>
        <v>38009.14129764367</v>
      </c>
      <c r="CK75" s="94">
        <f>IF(BK75=".",".",up_RadSpec!$F$18*(CK18*$B75))</f>
        <v>38009.14129764367</v>
      </c>
      <c r="CL75" s="94">
        <f>IF(BL75=".",".",up_RadSpec!$F$18*(CL18*$B75))</f>
        <v>38009.14129764367</v>
      </c>
      <c r="CM75" s="94">
        <f>IF(BM75=".",".",up_RadSpec!$F$18*(CM18*$B75))</f>
        <v>38009.14129764367</v>
      </c>
      <c r="CN75" s="94">
        <f>IF(BN75=".",".",up_RadSpec!$F$18*(CN18*$B75))</f>
        <v>38009.14129764367</v>
      </c>
      <c r="CO75" s="94">
        <f>IF(BO75=".",".",up_RadSpec!$F$18*(CO18*$B75))</f>
        <v>38009.14129764367</v>
      </c>
      <c r="CP75" s="94">
        <f>IF(BP75=".",".",up_RadSpec!$F$18*(CP18*$B75))</f>
        <v>38009.14129764367</v>
      </c>
      <c r="CQ75" s="94">
        <f>IF(BQ75=".",".",up_RadSpec!$F$18*(CQ18*$B75))</f>
        <v>38009.14129764367</v>
      </c>
      <c r="CR75" s="94">
        <f>IF(BR75=".",".",up_RadSpec!$F$18*(CR18*$B75))</f>
        <v>38009.14129764367</v>
      </c>
      <c r="CS75" s="94">
        <f>IF(BS75=".",".",up_RadSpec!$F$18*(CS18*$B75))</f>
        <v>38009.14129764367</v>
      </c>
      <c r="CT75" s="94">
        <f>IF(BT75=".",".",up_RadSpec!$F$18*(CT18*$B75))</f>
        <v>38009.14129764367</v>
      </c>
      <c r="CU75" s="94">
        <f>IF(BU75=".",".",up_RadSpec!$F$18*(CU18*$B75))</f>
        <v>38009.14129764367</v>
      </c>
      <c r="CV75" s="94">
        <f>IF(BV75=".",".",up_RadSpec!$F$18*(CV18*$B75))</f>
        <v>38009.14129764367</v>
      </c>
      <c r="CW75" s="94">
        <f>IF(BW75=".",".",up_RadSpec!$F$18*(CW18*$B75))</f>
        <v>38009.14129764367</v>
      </c>
      <c r="CX75" s="94">
        <f>IF(BX75=".",".",up_RadSpec!$F$18*(CX18*$B75))</f>
        <v>38009.14129764367</v>
      </c>
      <c r="CY75" s="94">
        <f>IF(BY75=".",".",up_RadSpec!$F$18*(CY18*$B75))</f>
        <v>38009.14129764367</v>
      </c>
      <c r="CZ75" s="94">
        <f>IF(BZ75=".",".",up_RadSpec!$F$18*(CZ18*$B75))</f>
        <v>38009.14129764367</v>
      </c>
      <c r="DA75" s="94">
        <f>IF(CA75=".",".",up_RadSpec!$F$18*(DA18*$B75))</f>
        <v>38009.14129764367</v>
      </c>
      <c r="DB75" s="94">
        <f>IF(CB75=".",".",up_RadSpec!$F$18*(DB18*$B75))</f>
        <v>38009.14129764367</v>
      </c>
    </row>
    <row r="76" spans="1:106" s="42" customFormat="1" x14ac:dyDescent="0.25">
      <c r="A76" s="77" t="s">
        <v>1083</v>
      </c>
      <c r="B76" s="42">
        <v>1.339E-6</v>
      </c>
      <c r="C76" s="60">
        <f t="shared" ref="C76:AB76" si="106">IFERROR(C27/$B62,".")</f>
        <v>122.80368025420488</v>
      </c>
      <c r="D76" s="60">
        <f t="shared" si="106"/>
        <v>491.21472101681951</v>
      </c>
      <c r="E76" s="60">
        <f t="shared" si="106"/>
        <v>491.21472101681951</v>
      </c>
      <c r="F76" s="60">
        <f t="shared" si="106"/>
        <v>491.21472101681951</v>
      </c>
      <c r="G76" s="60">
        <f t="shared" si="106"/>
        <v>491.21472101681951</v>
      </c>
      <c r="H76" s="60">
        <f t="shared" si="106"/>
        <v>491.21472101681951</v>
      </c>
      <c r="I76" s="60">
        <f t="shared" si="106"/>
        <v>491.21472101681951</v>
      </c>
      <c r="J76" s="60">
        <f t="shared" si="106"/>
        <v>491.21472101681951</v>
      </c>
      <c r="K76" s="60">
        <f t="shared" si="106"/>
        <v>491.21472101681951</v>
      </c>
      <c r="L76" s="60">
        <f t="shared" si="106"/>
        <v>491.21472101681951</v>
      </c>
      <c r="M76" s="60">
        <f t="shared" si="106"/>
        <v>491.21472101681951</v>
      </c>
      <c r="N76" s="60">
        <f t="shared" si="106"/>
        <v>491.21472101681951</v>
      </c>
      <c r="O76" s="60">
        <f t="shared" si="106"/>
        <v>491.21472101681951</v>
      </c>
      <c r="P76" s="60">
        <f t="shared" si="106"/>
        <v>491.21472101681951</v>
      </c>
      <c r="Q76" s="60">
        <f t="shared" si="106"/>
        <v>491.21472101681951</v>
      </c>
      <c r="R76" s="60">
        <f t="shared" si="106"/>
        <v>491.21472101681951</v>
      </c>
      <c r="S76" s="60">
        <f t="shared" si="106"/>
        <v>491.21472101681951</v>
      </c>
      <c r="T76" s="60">
        <f t="shared" si="106"/>
        <v>491.21472101681951</v>
      </c>
      <c r="U76" s="60">
        <f t="shared" si="106"/>
        <v>491.21472101681951</v>
      </c>
      <c r="V76" s="60">
        <f t="shared" si="106"/>
        <v>491.21472101681951</v>
      </c>
      <c r="W76" s="60">
        <f t="shared" si="106"/>
        <v>491.21472101681951</v>
      </c>
      <c r="X76" s="60">
        <f t="shared" si="106"/>
        <v>491.21472101681951</v>
      </c>
      <c r="Y76" s="60">
        <f t="shared" si="106"/>
        <v>491.21472101681951</v>
      </c>
      <c r="Z76" s="60">
        <f t="shared" si="106"/>
        <v>491.21472101681951</v>
      </c>
      <c r="AA76" s="60">
        <f t="shared" si="106"/>
        <v>491.21472101681951</v>
      </c>
      <c r="AB76" s="60">
        <f t="shared" si="106"/>
        <v>491.21472101681951</v>
      </c>
      <c r="AC76" s="94">
        <f t="shared" si="81"/>
        <v>0.20357696079017951</v>
      </c>
      <c r="AD76" s="94">
        <f>IF(D76=".",".",up_RadSpec!$F$27*(AD27*$B76))</f>
        <v>5.0894240197544877E-2</v>
      </c>
      <c r="AE76" s="94">
        <f>IF(E76=".",".",up_RadSpec!$F$27*(AE27*$B76))</f>
        <v>5.0894240197544877E-2</v>
      </c>
      <c r="AF76" s="94">
        <f>IF(F76=".",".",up_RadSpec!$F$27*(AF27*$B76))</f>
        <v>5.0894240197544877E-2</v>
      </c>
      <c r="AG76" s="94">
        <f>IF(G76=".",".",up_RadSpec!$F$27*(AG27*$B76))</f>
        <v>5.0894240197544877E-2</v>
      </c>
      <c r="AH76" s="94">
        <f>IF(H76=".",".",up_RadSpec!$F$27*(AH27*$B76))</f>
        <v>5.0894240197544877E-2</v>
      </c>
      <c r="AI76" s="94">
        <f>IF(I76=".",".",up_RadSpec!$F$27*(AI27*$B76))</f>
        <v>5.0894240197544877E-2</v>
      </c>
      <c r="AJ76" s="94">
        <f>IF(J76=".",".",up_RadSpec!$F$27*(AJ27*$B76))</f>
        <v>5.0894240197544877E-2</v>
      </c>
      <c r="AK76" s="94">
        <f>IF(K76=".",".",up_RadSpec!$F$27*(AK27*$B76))</f>
        <v>5.0894240197544877E-2</v>
      </c>
      <c r="AL76" s="94">
        <f>IF(L76=".",".",up_RadSpec!$F$27*(AL27*$B76))</f>
        <v>5.0894240197544877E-2</v>
      </c>
      <c r="AM76" s="94">
        <f>IF(M76=".",".",up_RadSpec!$F$27*(AM27*$B76))</f>
        <v>5.0894240197544877E-2</v>
      </c>
      <c r="AN76" s="94">
        <f>IF(N76=".",".",up_RadSpec!$F$27*(AN27*$B76))</f>
        <v>5.0894240197544877E-2</v>
      </c>
      <c r="AO76" s="94">
        <f>IF(O76=".",".",up_RadSpec!$F$27*(AO27*$B76))</f>
        <v>5.0894240197544877E-2</v>
      </c>
      <c r="AP76" s="94">
        <f>IF(P76=".",".",up_RadSpec!$F$27*(AP27*$B76))</f>
        <v>5.0894240197544877E-2</v>
      </c>
      <c r="AQ76" s="94">
        <f>IF(Q76=".",".",up_RadSpec!$F$27*(AQ27*$B76))</f>
        <v>5.0894240197544877E-2</v>
      </c>
      <c r="AR76" s="94">
        <f>IF(R76=".",".",up_RadSpec!$F$27*(AR27*$B76))</f>
        <v>5.0894240197544877E-2</v>
      </c>
      <c r="AS76" s="94">
        <f>IF(S76=".",".",up_RadSpec!$F$27*(AS27*$B76))</f>
        <v>5.0894240197544877E-2</v>
      </c>
      <c r="AT76" s="94">
        <f>IF(T76=".",".",up_RadSpec!$F$27*(AT27*$B76))</f>
        <v>5.0894240197544877E-2</v>
      </c>
      <c r="AU76" s="94">
        <f>IF(U76=".",".",up_RadSpec!$F$27*(AU27*$B76))</f>
        <v>5.0894240197544877E-2</v>
      </c>
      <c r="AV76" s="94">
        <f>IF(V76=".",".",up_RadSpec!$F$27*(AV27*$B76))</f>
        <v>5.0894240197544877E-2</v>
      </c>
      <c r="AW76" s="94">
        <f>IF(W76=".",".",up_RadSpec!$F$27*(AW27*$B76))</f>
        <v>5.0894240197544877E-2</v>
      </c>
      <c r="AX76" s="94">
        <f>IF(X76=".",".",up_RadSpec!$F$27*(AX27*$B76))</f>
        <v>5.0894240197544877E-2</v>
      </c>
      <c r="AY76" s="94">
        <f>IF(Y76=".",".",up_RadSpec!$F$27*(AY27*$B76))</f>
        <v>5.0894240197544877E-2</v>
      </c>
      <c r="AZ76" s="94">
        <f>IF(Z76=".",".",up_RadSpec!$F$27*(AZ27*$B76))</f>
        <v>5.0894240197544877E-2</v>
      </c>
      <c r="BA76" s="94">
        <f>IF(AA76=".",".",up_RadSpec!$F$27*(BA27*$B76))</f>
        <v>5.0894240197544877E-2</v>
      </c>
      <c r="BB76" s="94">
        <f>IF(AB76=".",".",up_RadSpec!$F$27*(BB27*$B76))</f>
        <v>5.0894240197544877E-2</v>
      </c>
      <c r="BC76" s="60">
        <f t="shared" ref="BC76:CB76" si="107">IFERROR(BC27/$B62,".")</f>
        <v>122.80368025420488</v>
      </c>
      <c r="BD76" s="60">
        <f t="shared" si="107"/>
        <v>491.21472101681951</v>
      </c>
      <c r="BE76" s="60">
        <f t="shared" si="107"/>
        <v>491.21472101681951</v>
      </c>
      <c r="BF76" s="60">
        <f t="shared" si="107"/>
        <v>491.21472101681951</v>
      </c>
      <c r="BG76" s="60">
        <f t="shared" si="107"/>
        <v>491.21472101681951</v>
      </c>
      <c r="BH76" s="60">
        <f t="shared" si="107"/>
        <v>491.21472101681951</v>
      </c>
      <c r="BI76" s="60">
        <f t="shared" si="107"/>
        <v>491.21472101681951</v>
      </c>
      <c r="BJ76" s="60">
        <f t="shared" si="107"/>
        <v>491.21472101681951</v>
      </c>
      <c r="BK76" s="60">
        <f t="shared" si="107"/>
        <v>491.21472101681951</v>
      </c>
      <c r="BL76" s="60">
        <f t="shared" si="107"/>
        <v>491.21472101681951</v>
      </c>
      <c r="BM76" s="60">
        <f t="shared" si="107"/>
        <v>491.21472101681951</v>
      </c>
      <c r="BN76" s="60">
        <f t="shared" si="107"/>
        <v>491.21472101681951</v>
      </c>
      <c r="BO76" s="60">
        <f t="shared" si="107"/>
        <v>491.21472101681951</v>
      </c>
      <c r="BP76" s="60">
        <f t="shared" si="107"/>
        <v>491.21472101681951</v>
      </c>
      <c r="BQ76" s="60">
        <f t="shared" si="107"/>
        <v>491.21472101681951</v>
      </c>
      <c r="BR76" s="60">
        <f t="shared" si="107"/>
        <v>491.21472101681951</v>
      </c>
      <c r="BS76" s="60">
        <f t="shared" si="107"/>
        <v>491.21472101681951</v>
      </c>
      <c r="BT76" s="60">
        <f t="shared" si="107"/>
        <v>491.21472101681951</v>
      </c>
      <c r="BU76" s="60">
        <f t="shared" si="107"/>
        <v>491.21472101681951</v>
      </c>
      <c r="BV76" s="60">
        <f t="shared" si="107"/>
        <v>491.21472101681951</v>
      </c>
      <c r="BW76" s="60">
        <f t="shared" si="107"/>
        <v>491.21472101681951</v>
      </c>
      <c r="BX76" s="60">
        <f t="shared" si="107"/>
        <v>491.21472101681951</v>
      </c>
      <c r="BY76" s="60">
        <f t="shared" si="107"/>
        <v>491.21472101681951</v>
      </c>
      <c r="BZ76" s="60">
        <f t="shared" si="107"/>
        <v>491.21472101681951</v>
      </c>
      <c r="CA76" s="60">
        <f t="shared" si="107"/>
        <v>491.21472101681951</v>
      </c>
      <c r="CB76" s="60">
        <f t="shared" si="107"/>
        <v>491.21472101681951</v>
      </c>
      <c r="CC76" s="94">
        <f t="shared" si="83"/>
        <v>0.20357696079017951</v>
      </c>
      <c r="CD76" s="94">
        <f>IF(BD76=".",".",up_RadSpec!$F$27*(CD27*$B76))</f>
        <v>5.0894240197544877E-2</v>
      </c>
      <c r="CE76" s="94">
        <f>IF(BE76=".",".",up_RadSpec!$F$27*(CE27*$B76))</f>
        <v>5.0894240197544877E-2</v>
      </c>
      <c r="CF76" s="94">
        <f>IF(BF76=".",".",up_RadSpec!$F$27*(CF27*$B76))</f>
        <v>5.0894240197544877E-2</v>
      </c>
      <c r="CG76" s="94">
        <f>IF(BG76=".",".",up_RadSpec!$F$27*(CG27*$B76))</f>
        <v>5.0894240197544877E-2</v>
      </c>
      <c r="CH76" s="94">
        <f>IF(BH76=".",".",up_RadSpec!$F$27*(CH27*$B76))</f>
        <v>5.0894240197544877E-2</v>
      </c>
      <c r="CI76" s="94">
        <f>IF(BI76=".",".",up_RadSpec!$F$27*(CI27*$B76))</f>
        <v>5.0894240197544877E-2</v>
      </c>
      <c r="CJ76" s="94">
        <f>IF(BJ76=".",".",up_RadSpec!$F$27*(CJ27*$B76))</f>
        <v>5.0894240197544877E-2</v>
      </c>
      <c r="CK76" s="94">
        <f>IF(BK76=".",".",up_RadSpec!$F$27*(CK27*$B76))</f>
        <v>5.0894240197544877E-2</v>
      </c>
      <c r="CL76" s="94">
        <f>IF(BL76=".",".",up_RadSpec!$F$27*(CL27*$B76))</f>
        <v>5.0894240197544877E-2</v>
      </c>
      <c r="CM76" s="94">
        <f>IF(BM76=".",".",up_RadSpec!$F$27*(CM27*$B76))</f>
        <v>5.0894240197544877E-2</v>
      </c>
      <c r="CN76" s="94">
        <f>IF(BN76=".",".",up_RadSpec!$F$27*(CN27*$B76))</f>
        <v>5.0894240197544877E-2</v>
      </c>
      <c r="CO76" s="94">
        <f>IF(BO76=".",".",up_RadSpec!$F$27*(CO27*$B76))</f>
        <v>5.0894240197544877E-2</v>
      </c>
      <c r="CP76" s="94">
        <f>IF(BP76=".",".",up_RadSpec!$F$27*(CP27*$B76))</f>
        <v>5.0894240197544877E-2</v>
      </c>
      <c r="CQ76" s="94">
        <f>IF(BQ76=".",".",up_RadSpec!$F$27*(CQ27*$B76))</f>
        <v>5.0894240197544877E-2</v>
      </c>
      <c r="CR76" s="94">
        <f>IF(BR76=".",".",up_RadSpec!$F$27*(CR27*$B76))</f>
        <v>5.0894240197544877E-2</v>
      </c>
      <c r="CS76" s="94">
        <f>IF(BS76=".",".",up_RadSpec!$F$27*(CS27*$B76))</f>
        <v>5.0894240197544877E-2</v>
      </c>
      <c r="CT76" s="94">
        <f>IF(BT76=".",".",up_RadSpec!$F$27*(CT27*$B76))</f>
        <v>5.0894240197544877E-2</v>
      </c>
      <c r="CU76" s="94">
        <f>IF(BU76=".",".",up_RadSpec!$F$27*(CU27*$B76))</f>
        <v>5.0894240197544877E-2</v>
      </c>
      <c r="CV76" s="94">
        <f>IF(BV76=".",".",up_RadSpec!$F$27*(CV27*$B76))</f>
        <v>5.0894240197544877E-2</v>
      </c>
      <c r="CW76" s="94">
        <f>IF(BW76=".",".",up_RadSpec!$F$27*(CW27*$B76))</f>
        <v>5.0894240197544877E-2</v>
      </c>
      <c r="CX76" s="94">
        <f>IF(BX76=".",".",up_RadSpec!$F$27*(CX27*$B76))</f>
        <v>5.0894240197544877E-2</v>
      </c>
      <c r="CY76" s="94">
        <f>IF(BY76=".",".",up_RadSpec!$F$27*(CY27*$B76))</f>
        <v>5.0894240197544877E-2</v>
      </c>
      <c r="CZ76" s="94">
        <f>IF(BZ76=".",".",up_RadSpec!$F$27*(CZ27*$B76))</f>
        <v>5.0894240197544877E-2</v>
      </c>
      <c r="DA76" s="94">
        <f>IF(CA76=".",".",up_RadSpec!$F$27*(DA27*$B76))</f>
        <v>5.0894240197544877E-2</v>
      </c>
      <c r="DB76" s="94">
        <f>IF(CB76=".",".",up_RadSpec!$F$27*(DB27*$B76))</f>
        <v>5.0894240197544877E-2</v>
      </c>
    </row>
  </sheetData>
  <sheetProtection algorithmName="SHA-512" hashValue="74kkrxLcDsQEjMsgp/7bdtq25Rkm9HP5HXSM1Hplpk3NUja3ypSzD8z2rGHmkcRSjbem0EaR+2bkqgyJn8Xdlg==" saltValue="vAheNWNSJViqVFOG/4QhNw==" spinCount="100000" sheet="1" formatColumns="0" formatRows="0" autoFilter="0"/>
  <autoFilter ref="A1:CX76" xr:uid="{1E308CA7-F89C-417C-85A8-4F0FC89ABE1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R126"/>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3" width="12.42578125" style="141"/>
    <col min="4" max="4" width="13.140625" style="141" bestFit="1" customWidth="1"/>
    <col min="5" max="12" width="12.42578125" style="141"/>
    <col min="13" max="13" width="14.28515625" style="141" bestFit="1" customWidth="1"/>
    <col min="14" max="16384" width="12.42578125" style="141"/>
  </cols>
  <sheetData>
    <row r="1" spans="1:18" ht="18.75" x14ac:dyDescent="0.25">
      <c r="A1" s="249" t="s">
        <v>40</v>
      </c>
      <c r="B1" s="249"/>
      <c r="C1" s="249"/>
      <c r="D1" s="250" t="s">
        <v>41</v>
      </c>
      <c r="E1" s="250"/>
      <c r="F1" s="250"/>
      <c r="G1" s="250" t="s">
        <v>42</v>
      </c>
      <c r="H1" s="250"/>
      <c r="I1" s="250"/>
      <c r="J1" s="250" t="s">
        <v>368</v>
      </c>
      <c r="K1" s="250"/>
      <c r="L1" s="250"/>
      <c r="M1" s="249" t="s">
        <v>549</v>
      </c>
      <c r="N1" s="249"/>
      <c r="O1" s="249"/>
      <c r="P1" s="249" t="s">
        <v>550</v>
      </c>
      <c r="Q1" s="249"/>
      <c r="R1" s="249"/>
    </row>
    <row r="2" spans="1:18" ht="18" x14ac:dyDescent="0.25">
      <c r="A2" s="141" t="s">
        <v>1345</v>
      </c>
      <c r="B2" s="242">
        <v>1</v>
      </c>
      <c r="C2" s="141" t="s">
        <v>1371</v>
      </c>
      <c r="D2" s="130" t="s">
        <v>52</v>
      </c>
      <c r="E2" s="120">
        <v>6</v>
      </c>
      <c r="F2" s="121" t="s">
        <v>43</v>
      </c>
      <c r="G2" s="130" t="s">
        <v>53</v>
      </c>
      <c r="H2" s="120">
        <v>6</v>
      </c>
      <c r="I2" s="121" t="s">
        <v>43</v>
      </c>
      <c r="J2" s="130" t="s">
        <v>54</v>
      </c>
      <c r="K2" s="120">
        <v>6</v>
      </c>
      <c r="L2" s="121" t="s">
        <v>43</v>
      </c>
      <c r="M2" s="148" t="s">
        <v>600</v>
      </c>
      <c r="N2" s="119">
        <v>1</v>
      </c>
      <c r="P2" s="148" t="s">
        <v>161</v>
      </c>
      <c r="Q2" s="119">
        <v>1</v>
      </c>
    </row>
    <row r="3" spans="1:18" ht="18" x14ac:dyDescent="0.25">
      <c r="A3" s="123" t="s">
        <v>90</v>
      </c>
      <c r="B3" s="149">
        <v>0.5</v>
      </c>
      <c r="D3" s="130" t="s">
        <v>55</v>
      </c>
      <c r="E3" s="120">
        <v>20</v>
      </c>
      <c r="F3" s="121" t="s">
        <v>43</v>
      </c>
      <c r="G3" s="130" t="s">
        <v>56</v>
      </c>
      <c r="H3" s="120">
        <v>20</v>
      </c>
      <c r="I3" s="121" t="s">
        <v>43</v>
      </c>
      <c r="J3" s="130" t="s">
        <v>57</v>
      </c>
      <c r="K3" s="120">
        <v>34</v>
      </c>
      <c r="L3" s="121" t="s">
        <v>43</v>
      </c>
      <c r="M3" s="148" t="s">
        <v>601</v>
      </c>
      <c r="N3" s="119">
        <v>1</v>
      </c>
      <c r="P3" s="148" t="s">
        <v>160</v>
      </c>
      <c r="Q3" s="119">
        <v>1</v>
      </c>
    </row>
    <row r="4" spans="1:18" ht="18" x14ac:dyDescent="0.25">
      <c r="A4" s="141" t="s">
        <v>81</v>
      </c>
      <c r="B4" s="134">
        <v>1</v>
      </c>
      <c r="D4" s="130" t="s">
        <v>58</v>
      </c>
      <c r="E4" s="147">
        <f>E2+E3</f>
        <v>26</v>
      </c>
      <c r="F4" s="121" t="s">
        <v>43</v>
      </c>
      <c r="G4" s="130" t="s">
        <v>59</v>
      </c>
      <c r="H4" s="147">
        <f>H2+H3</f>
        <v>26</v>
      </c>
      <c r="I4" s="121" t="s">
        <v>43</v>
      </c>
      <c r="J4" s="130" t="s">
        <v>60</v>
      </c>
      <c r="K4" s="147">
        <f>K2+K3</f>
        <v>40</v>
      </c>
      <c r="L4" s="121" t="s">
        <v>43</v>
      </c>
      <c r="M4" s="148" t="s">
        <v>602</v>
      </c>
      <c r="N4" s="119">
        <v>1</v>
      </c>
      <c r="P4" s="148" t="s">
        <v>163</v>
      </c>
      <c r="Q4" s="119">
        <v>1</v>
      </c>
    </row>
    <row r="5" spans="1:18" ht="18" x14ac:dyDescent="0.25">
      <c r="A5" s="141" t="s">
        <v>82</v>
      </c>
      <c r="B5" s="147">
        <v>0.4</v>
      </c>
      <c r="D5" s="130" t="s">
        <v>78</v>
      </c>
      <c r="E5" s="146">
        <f>ED_res</f>
        <v>26</v>
      </c>
      <c r="G5" s="130" t="s">
        <v>79</v>
      </c>
      <c r="H5" s="146">
        <f>ED_rec</f>
        <v>26</v>
      </c>
      <c r="I5" s="122"/>
      <c r="J5" s="130" t="s">
        <v>80</v>
      </c>
      <c r="K5" s="146">
        <f>ED_far</f>
        <v>40</v>
      </c>
      <c r="L5" s="122"/>
      <c r="M5" s="148" t="s">
        <v>603</v>
      </c>
      <c r="N5" s="119">
        <v>1</v>
      </c>
      <c r="P5" s="148" t="s">
        <v>740</v>
      </c>
      <c r="Q5" s="119">
        <v>1</v>
      </c>
    </row>
    <row r="6" spans="1:18" ht="18" x14ac:dyDescent="0.25">
      <c r="A6" s="148" t="s">
        <v>123</v>
      </c>
      <c r="B6" s="134">
        <v>2.6999999999999999E-5</v>
      </c>
      <c r="C6" s="123" t="s">
        <v>124</v>
      </c>
      <c r="D6" s="130" t="s">
        <v>61</v>
      </c>
      <c r="E6" s="119">
        <v>10</v>
      </c>
      <c r="F6" s="127" t="s">
        <v>44</v>
      </c>
      <c r="G6" s="130" t="s">
        <v>109</v>
      </c>
      <c r="H6" s="134">
        <v>10</v>
      </c>
      <c r="I6" s="148" t="s">
        <v>86</v>
      </c>
      <c r="J6" s="130" t="s">
        <v>130</v>
      </c>
      <c r="K6" s="119">
        <v>10</v>
      </c>
      <c r="L6" s="148" t="s">
        <v>86</v>
      </c>
      <c r="M6" s="148" t="s">
        <v>604</v>
      </c>
      <c r="N6" s="119">
        <v>1</v>
      </c>
      <c r="P6" s="148" t="s">
        <v>162</v>
      </c>
      <c r="Q6" s="119">
        <v>1</v>
      </c>
    </row>
    <row r="7" spans="1:18" ht="18" x14ac:dyDescent="0.25">
      <c r="A7" s="123" t="s">
        <v>117</v>
      </c>
      <c r="B7" s="134">
        <v>3.62</v>
      </c>
      <c r="C7" s="123" t="s">
        <v>118</v>
      </c>
      <c r="D7" s="130" t="s">
        <v>62</v>
      </c>
      <c r="E7" s="119">
        <v>20</v>
      </c>
      <c r="F7" s="127" t="s">
        <v>44</v>
      </c>
      <c r="G7" s="130" t="s">
        <v>110</v>
      </c>
      <c r="H7" s="134">
        <v>20</v>
      </c>
      <c r="I7" s="148" t="s">
        <v>86</v>
      </c>
      <c r="J7" s="130" t="s">
        <v>131</v>
      </c>
      <c r="K7" s="119">
        <v>20</v>
      </c>
      <c r="L7" s="148" t="s">
        <v>86</v>
      </c>
      <c r="M7" s="148" t="s">
        <v>605</v>
      </c>
      <c r="N7" s="119">
        <v>1</v>
      </c>
      <c r="P7" s="198" t="s">
        <v>1279</v>
      </c>
      <c r="Q7" s="192">
        <v>1</v>
      </c>
    </row>
    <row r="8" spans="1:18" ht="18" x14ac:dyDescent="0.25">
      <c r="A8" s="123" t="s">
        <v>119</v>
      </c>
      <c r="B8" s="134">
        <v>0.25</v>
      </c>
      <c r="C8" s="123" t="s">
        <v>89</v>
      </c>
      <c r="D8" s="130" t="s">
        <v>221</v>
      </c>
      <c r="E8" s="147">
        <f>((EF_res_c*AAF_res_c*ET_res_c*(1/24)*IRA_res_c)+(EF_res_a*AAF_res_a*ET_res_a*(1/24)*IRA_res_a))</f>
        <v>6195</v>
      </c>
      <c r="F8" s="122" t="s">
        <v>236</v>
      </c>
      <c r="G8" s="130" t="s">
        <v>224</v>
      </c>
      <c r="H8" s="147">
        <f>((EF_rec_c*AAF_rec_c*ET_rec_c*(1/24)*IRA_rec_c)+(EF_rec_a*AAF_rec_a*ET_rec_a*(1/24)*IRA_rec_a))</f>
        <v>55.3125</v>
      </c>
      <c r="J8" s="130" t="s">
        <v>227</v>
      </c>
      <c r="K8" s="147">
        <f>((EF_far_c*AAF_far_c*ET_far_c*(1/24)*IRA_far_c)+(EF_far_a*AAF_far_a*ET_far_a*(1/24)*IRA_far_a))</f>
        <v>6475</v>
      </c>
      <c r="L8" s="122" t="s">
        <v>236</v>
      </c>
      <c r="M8" s="148" t="s">
        <v>606</v>
      </c>
      <c r="N8" s="119">
        <v>1</v>
      </c>
      <c r="P8" s="148" t="s">
        <v>164</v>
      </c>
      <c r="Q8" s="134">
        <v>1</v>
      </c>
    </row>
    <row r="9" spans="1:18" ht="18" x14ac:dyDescent="0.25">
      <c r="A9" s="148" t="s">
        <v>197</v>
      </c>
      <c r="B9" s="134">
        <v>10950</v>
      </c>
      <c r="C9" s="123" t="s">
        <v>120</v>
      </c>
      <c r="D9" s="130" t="s">
        <v>341</v>
      </c>
      <c r="E9" s="147">
        <f>((EF_res_c*AAF_res_c*ET_event_res_c*EV_res_c)+(EF_res_a*AAF_res_a*ET_event_res_a*EV_res_a))</f>
        <v>234.815</v>
      </c>
      <c r="F9" s="122" t="s">
        <v>340</v>
      </c>
      <c r="G9" s="130" t="s">
        <v>352</v>
      </c>
      <c r="H9" s="147">
        <f>((EF_rec_c*AAF_rec_c*ET_event_rec_c*EV_rec_c)+(EF_rec_a*AAF_rec_a*ET_event_rec_a*EV_rec_a))</f>
        <v>75</v>
      </c>
      <c r="I9" s="122" t="s">
        <v>340</v>
      </c>
      <c r="J9" s="130" t="s">
        <v>363</v>
      </c>
      <c r="K9" s="147">
        <f>((EF_far_c*AAF_far_c*EV_far_c*ET_event_far_c)+(EF_far_a*AAF_far_a*EV_far_a*ET_event_far_a))</f>
        <v>239.57499999999999</v>
      </c>
      <c r="L9" s="122" t="s">
        <v>340</v>
      </c>
      <c r="M9" s="148" t="s">
        <v>607</v>
      </c>
      <c r="N9" s="119">
        <v>1</v>
      </c>
      <c r="P9" s="148" t="s">
        <v>1095</v>
      </c>
      <c r="Q9" s="120">
        <v>1</v>
      </c>
    </row>
    <row r="10" spans="1:18" ht="18" x14ac:dyDescent="0.25">
      <c r="A10" s="148" t="s">
        <v>121</v>
      </c>
      <c r="B10" s="134">
        <v>240</v>
      </c>
      <c r="C10" s="123" t="s">
        <v>122</v>
      </c>
      <c r="D10" s="130" t="s">
        <v>63</v>
      </c>
      <c r="E10" s="119">
        <v>200</v>
      </c>
      <c r="F10" s="141" t="s">
        <v>45</v>
      </c>
      <c r="G10" s="130" t="s">
        <v>113</v>
      </c>
      <c r="H10" s="134">
        <v>200</v>
      </c>
      <c r="I10" s="123" t="s">
        <v>45</v>
      </c>
      <c r="J10" s="130" t="s">
        <v>128</v>
      </c>
      <c r="K10" s="119">
        <v>200</v>
      </c>
      <c r="L10" s="123" t="s">
        <v>45</v>
      </c>
      <c r="M10" s="148" t="s">
        <v>608</v>
      </c>
      <c r="N10" s="119">
        <v>1</v>
      </c>
      <c r="P10" s="148" t="s">
        <v>438</v>
      </c>
      <c r="Q10" s="120">
        <v>1</v>
      </c>
    </row>
    <row r="11" spans="1:18" ht="18" x14ac:dyDescent="0.25">
      <c r="A11" s="148" t="s">
        <v>199</v>
      </c>
      <c r="B11" s="134">
        <v>0.42</v>
      </c>
      <c r="C11" s="123" t="s">
        <v>89</v>
      </c>
      <c r="D11" s="130" t="s">
        <v>64</v>
      </c>
      <c r="E11" s="119">
        <v>100</v>
      </c>
      <c r="F11" s="141" t="s">
        <v>45</v>
      </c>
      <c r="G11" s="130" t="s">
        <v>114</v>
      </c>
      <c r="H11" s="134">
        <v>100</v>
      </c>
      <c r="I11" s="123" t="s">
        <v>45</v>
      </c>
      <c r="J11" s="130" t="s">
        <v>129</v>
      </c>
      <c r="K11" s="119">
        <v>100</v>
      </c>
      <c r="L11" s="123" t="s">
        <v>45</v>
      </c>
      <c r="M11" s="148" t="s">
        <v>609</v>
      </c>
      <c r="N11" s="119">
        <v>1</v>
      </c>
      <c r="P11" s="148" t="s">
        <v>440</v>
      </c>
      <c r="Q11" s="120">
        <v>1</v>
      </c>
    </row>
    <row r="12" spans="1:18" ht="18" x14ac:dyDescent="0.25">
      <c r="A12" s="148" t="s">
        <v>198</v>
      </c>
      <c r="B12" s="134">
        <v>60</v>
      </c>
      <c r="C12" s="123" t="s">
        <v>120</v>
      </c>
      <c r="D12" s="130" t="s">
        <v>223</v>
      </c>
      <c r="E12" s="147">
        <f>((EF_res_c*AAF_res_c*IRS_res_c)+(EF_res_a*AAF_res_a*IRS_res_a))</f>
        <v>43050</v>
      </c>
      <c r="F12" s="123" t="s">
        <v>237</v>
      </c>
      <c r="G12" s="130" t="s">
        <v>225</v>
      </c>
      <c r="H12" s="147">
        <f>((EF_rec_c*AAF_rec_c*IRS_rec_c)+(EF_rec_a*AAF_rec_a*IRS_rec_a))</f>
        <v>9225</v>
      </c>
      <c r="I12" s="123" t="s">
        <v>237</v>
      </c>
      <c r="J12" s="130" t="s">
        <v>228</v>
      </c>
      <c r="K12" s="147">
        <f>((EF_far_c*AAF_far_c*IRS_far_c)+(EF_far_a*AAF_far_a*IRS_far_a))</f>
        <v>40250</v>
      </c>
      <c r="L12" s="123" t="s">
        <v>237</v>
      </c>
      <c r="M12" s="148" t="s">
        <v>610</v>
      </c>
      <c r="N12" s="119">
        <v>1</v>
      </c>
      <c r="P12" s="148" t="s">
        <v>439</v>
      </c>
      <c r="Q12" s="120">
        <v>1</v>
      </c>
    </row>
    <row r="13" spans="1:18" ht="18" x14ac:dyDescent="0.25">
      <c r="A13" s="148" t="s">
        <v>200</v>
      </c>
      <c r="B13" s="134">
        <v>2</v>
      </c>
      <c r="C13" s="123" t="s">
        <v>122</v>
      </c>
      <c r="D13" s="130" t="s">
        <v>65</v>
      </c>
      <c r="E13" s="119">
        <v>0.78</v>
      </c>
      <c r="F13" s="130" t="s">
        <v>46</v>
      </c>
      <c r="G13" s="130" t="s">
        <v>111</v>
      </c>
      <c r="H13" s="119">
        <v>0.12</v>
      </c>
      <c r="I13" s="123" t="s">
        <v>87</v>
      </c>
      <c r="J13" s="130" t="s">
        <v>132</v>
      </c>
      <c r="K13" s="134">
        <v>0.78</v>
      </c>
      <c r="L13" s="123" t="s">
        <v>46</v>
      </c>
      <c r="M13" s="148" t="s">
        <v>611</v>
      </c>
      <c r="N13" s="119">
        <v>1</v>
      </c>
      <c r="P13" s="123" t="s">
        <v>136</v>
      </c>
      <c r="Q13" s="197">
        <v>64.599999999999994</v>
      </c>
      <c r="R13" s="148" t="s">
        <v>47</v>
      </c>
    </row>
    <row r="14" spans="1:18" ht="18" x14ac:dyDescent="0.25">
      <c r="A14" s="148" t="s">
        <v>125</v>
      </c>
      <c r="B14" s="134">
        <v>1</v>
      </c>
      <c r="C14" s="123" t="s">
        <v>89</v>
      </c>
      <c r="D14" s="130" t="s">
        <v>66</v>
      </c>
      <c r="E14" s="119">
        <v>2.5</v>
      </c>
      <c r="F14" s="130" t="s">
        <v>46</v>
      </c>
      <c r="G14" s="130" t="s">
        <v>112</v>
      </c>
      <c r="H14" s="119">
        <v>0.11</v>
      </c>
      <c r="I14" s="123" t="s">
        <v>87</v>
      </c>
      <c r="J14" s="130" t="s">
        <v>133</v>
      </c>
      <c r="K14" s="134">
        <v>2.5</v>
      </c>
      <c r="L14" s="123" t="s">
        <v>46</v>
      </c>
      <c r="M14" s="148" t="s">
        <v>612</v>
      </c>
      <c r="N14" s="119">
        <v>1</v>
      </c>
      <c r="P14" s="123" t="s">
        <v>137</v>
      </c>
      <c r="Q14" s="197">
        <v>270.10000000000002</v>
      </c>
      <c r="R14" s="148" t="s">
        <v>47</v>
      </c>
    </row>
    <row r="15" spans="1:18" ht="18" x14ac:dyDescent="0.25">
      <c r="A15" s="148" t="s">
        <v>201</v>
      </c>
      <c r="B15" s="134">
        <v>14</v>
      </c>
      <c r="C15" s="123" t="s">
        <v>126</v>
      </c>
      <c r="D15" s="130" t="s">
        <v>222</v>
      </c>
      <c r="E15" s="147">
        <f>((EF_res_c*AAF_res_c*IRW_res_c)+(EF_res_a*AAF_res_a*IRW_res_a))</f>
        <v>736.54</v>
      </c>
      <c r="F15" s="123" t="s">
        <v>238</v>
      </c>
      <c r="G15" s="130" t="s">
        <v>226</v>
      </c>
      <c r="H15" s="147">
        <f>((EF_rec_c*AAF_rec_c*IRW_rec_c)+(EF_rec_a*AAF_rec_a*IRW_rec_a))</f>
        <v>8.4224999999999994</v>
      </c>
      <c r="I15" s="123" t="s">
        <v>238</v>
      </c>
      <c r="J15" s="130" t="s">
        <v>229</v>
      </c>
      <c r="K15" s="147">
        <f>((EF_far_c*AAF_far_c*IRW_far_c)+(EF_far_a*AAF_far_a*IRW_far_a))</f>
        <v>784.7</v>
      </c>
      <c r="L15" s="123" t="s">
        <v>238</v>
      </c>
      <c r="M15" s="148" t="s">
        <v>613</v>
      </c>
      <c r="N15" s="119">
        <v>1</v>
      </c>
      <c r="P15" s="130" t="s">
        <v>231</v>
      </c>
      <c r="Q15" s="244">
        <f>((EF_far_c*AAF_far_c*IRB_far_c)+(EF_far_a*AAF_far_a*IRB_far_a))</f>
        <v>83746.25</v>
      </c>
      <c r="R15" s="148" t="s">
        <v>213</v>
      </c>
    </row>
    <row r="16" spans="1:18" ht="18" x14ac:dyDescent="0.25">
      <c r="A16" s="130" t="s">
        <v>190</v>
      </c>
      <c r="B16" s="144">
        <v>1.5</v>
      </c>
      <c r="C16" s="130"/>
      <c r="D16" s="130" t="s">
        <v>1358</v>
      </c>
      <c r="E16" s="120">
        <v>0.23</v>
      </c>
      <c r="G16" s="130" t="s">
        <v>1360</v>
      </c>
      <c r="H16" s="120">
        <v>0.23</v>
      </c>
      <c r="J16" s="130" t="s">
        <v>1362</v>
      </c>
      <c r="K16" s="120">
        <v>0.15</v>
      </c>
      <c r="M16" s="148" t="s">
        <v>614</v>
      </c>
      <c r="N16" s="119">
        <v>1</v>
      </c>
      <c r="P16" s="123" t="s">
        <v>134</v>
      </c>
      <c r="Q16" s="197">
        <v>1116.4000000000001</v>
      </c>
      <c r="R16" s="148" t="s">
        <v>47</v>
      </c>
    </row>
    <row r="17" spans="1:18" ht="18" x14ac:dyDescent="0.25">
      <c r="A17" s="130" t="s">
        <v>202</v>
      </c>
      <c r="B17" s="144">
        <v>0.3</v>
      </c>
      <c r="C17" s="130"/>
      <c r="D17" s="130" t="s">
        <v>1359</v>
      </c>
      <c r="E17" s="120">
        <v>0.77</v>
      </c>
      <c r="G17" s="130" t="s">
        <v>1361</v>
      </c>
      <c r="H17" s="120">
        <v>0.77</v>
      </c>
      <c r="J17" s="130" t="s">
        <v>1363</v>
      </c>
      <c r="K17" s="120">
        <v>0.85</v>
      </c>
      <c r="M17" s="148" t="s">
        <v>615</v>
      </c>
      <c r="N17" s="119">
        <v>1</v>
      </c>
      <c r="P17" s="123" t="s">
        <v>135</v>
      </c>
      <c r="Q17" s="197">
        <v>1438</v>
      </c>
      <c r="R17" s="148" t="s">
        <v>47</v>
      </c>
    </row>
    <row r="18" spans="1:18" ht="18" x14ac:dyDescent="0.25">
      <c r="A18" s="130" t="s">
        <v>194</v>
      </c>
      <c r="B18" s="144">
        <v>70</v>
      </c>
      <c r="C18" s="130" t="s">
        <v>43</v>
      </c>
      <c r="D18" s="126" t="s">
        <v>67</v>
      </c>
      <c r="E18" s="119">
        <v>54000</v>
      </c>
      <c r="F18" s="141" t="s">
        <v>45</v>
      </c>
      <c r="G18" s="141" t="s">
        <v>355</v>
      </c>
      <c r="H18" s="134">
        <v>1</v>
      </c>
      <c r="I18" s="123" t="s">
        <v>47</v>
      </c>
      <c r="J18" s="130" t="s">
        <v>148</v>
      </c>
      <c r="K18" s="134">
        <v>350</v>
      </c>
      <c r="L18" s="123" t="s">
        <v>48</v>
      </c>
      <c r="M18" s="148" t="s">
        <v>616</v>
      </c>
      <c r="N18" s="119">
        <v>1</v>
      </c>
      <c r="P18" s="130" t="s">
        <v>230</v>
      </c>
      <c r="Q18" s="209">
        <f>((EF_far_c*AAF_far_c*IRD_far_c)+(EF_far_a*AAF_far_a*IRD_far_a))</f>
        <v>486416</v>
      </c>
      <c r="R18" s="148" t="s">
        <v>213</v>
      </c>
    </row>
    <row r="19" spans="1:18" ht="18" x14ac:dyDescent="0.25">
      <c r="A19" s="130" t="s">
        <v>195</v>
      </c>
      <c r="B19" s="144">
        <v>1</v>
      </c>
      <c r="C19" s="130" t="s">
        <v>191</v>
      </c>
      <c r="D19" s="126" t="s">
        <v>68</v>
      </c>
      <c r="E19" s="119">
        <v>350</v>
      </c>
      <c r="F19" s="130" t="s">
        <v>48</v>
      </c>
      <c r="G19" s="141" t="s">
        <v>356</v>
      </c>
      <c r="H19" s="134">
        <v>1</v>
      </c>
      <c r="I19" s="123" t="s">
        <v>47</v>
      </c>
      <c r="J19" s="130" t="s">
        <v>149</v>
      </c>
      <c r="K19" s="134">
        <v>350</v>
      </c>
      <c r="L19" s="123" t="s">
        <v>48</v>
      </c>
      <c r="M19" s="198" t="s">
        <v>1277</v>
      </c>
      <c r="N19" s="192">
        <v>1</v>
      </c>
      <c r="P19" s="123" t="s">
        <v>138</v>
      </c>
      <c r="Q19" s="197">
        <v>25.1</v>
      </c>
      <c r="R19" s="123" t="s">
        <v>47</v>
      </c>
    </row>
    <row r="20" spans="1:18" ht="18" x14ac:dyDescent="0.25">
      <c r="A20" s="130" t="s">
        <v>214</v>
      </c>
      <c r="B20" s="144">
        <v>1</v>
      </c>
      <c r="C20" s="130" t="s">
        <v>192</v>
      </c>
      <c r="D20" s="126" t="s">
        <v>69</v>
      </c>
      <c r="E20" s="119">
        <v>350</v>
      </c>
      <c r="F20" s="130" t="s">
        <v>48</v>
      </c>
      <c r="G20" s="130" t="s">
        <v>93</v>
      </c>
      <c r="H20" s="150">
        <v>75</v>
      </c>
      <c r="I20" s="151" t="s">
        <v>48</v>
      </c>
      <c r="J20" s="130" t="s">
        <v>361</v>
      </c>
      <c r="K20" s="120">
        <v>350</v>
      </c>
      <c r="L20" s="141" t="s">
        <v>48</v>
      </c>
      <c r="M20" s="148" t="s">
        <v>617</v>
      </c>
      <c r="N20" s="119">
        <v>1</v>
      </c>
      <c r="P20" s="123" t="s">
        <v>139</v>
      </c>
      <c r="Q20" s="197">
        <v>97.3</v>
      </c>
      <c r="R20" s="123" t="s">
        <v>47</v>
      </c>
    </row>
    <row r="21" spans="1:18" ht="18" x14ac:dyDescent="0.25">
      <c r="A21" s="130" t="s">
        <v>239</v>
      </c>
      <c r="B21" s="144">
        <v>0.18</v>
      </c>
      <c r="C21" s="130" t="s">
        <v>191</v>
      </c>
      <c r="D21" s="126" t="s">
        <v>70</v>
      </c>
      <c r="E21" s="119">
        <v>350</v>
      </c>
      <c r="F21" s="130" t="s">
        <v>48</v>
      </c>
      <c r="G21" s="130" t="s">
        <v>94</v>
      </c>
      <c r="H21" s="119">
        <v>75</v>
      </c>
      <c r="I21" s="151" t="s">
        <v>48</v>
      </c>
      <c r="J21" s="130" t="s">
        <v>150</v>
      </c>
      <c r="K21" s="119">
        <v>24</v>
      </c>
      <c r="L21" s="123" t="s">
        <v>50</v>
      </c>
      <c r="M21" s="148" t="s">
        <v>618</v>
      </c>
      <c r="N21" s="119">
        <v>1</v>
      </c>
      <c r="P21" s="130" t="s">
        <v>232</v>
      </c>
      <c r="Q21" s="244">
        <f>((EF_far_c*AAF_far_c*IRE_far_c)+(EF_far_a*AAF_far_a*IRE_far_a))</f>
        <v>30264.5</v>
      </c>
      <c r="R21" s="148" t="s">
        <v>213</v>
      </c>
    </row>
    <row r="22" spans="1:18" ht="18" x14ac:dyDescent="0.25">
      <c r="A22" s="130" t="s">
        <v>215</v>
      </c>
      <c r="B22" s="144">
        <v>1</v>
      </c>
      <c r="C22" s="130" t="s">
        <v>193</v>
      </c>
      <c r="D22" s="126" t="s">
        <v>71</v>
      </c>
      <c r="E22" s="134">
        <v>0.54</v>
      </c>
      <c r="F22" s="121" t="s">
        <v>49</v>
      </c>
      <c r="G22" s="130" t="s">
        <v>95</v>
      </c>
      <c r="H22" s="119">
        <v>75</v>
      </c>
      <c r="I22" s="151" t="s">
        <v>48</v>
      </c>
      <c r="J22" s="130" t="s">
        <v>151</v>
      </c>
      <c r="K22" s="119">
        <v>24</v>
      </c>
      <c r="L22" s="123" t="s">
        <v>50</v>
      </c>
      <c r="M22" s="148" t="s">
        <v>619</v>
      </c>
      <c r="N22" s="119">
        <v>1</v>
      </c>
      <c r="P22" s="123" t="s">
        <v>142</v>
      </c>
      <c r="Q22" s="197">
        <v>48.8</v>
      </c>
      <c r="R22" s="123" t="s">
        <v>47</v>
      </c>
    </row>
    <row r="23" spans="1:18" ht="18" x14ac:dyDescent="0.25">
      <c r="A23" s="130" t="s">
        <v>203</v>
      </c>
      <c r="B23" s="144">
        <v>1</v>
      </c>
      <c r="C23" s="130" t="s">
        <v>193</v>
      </c>
      <c r="D23" s="126" t="s">
        <v>72</v>
      </c>
      <c r="E23" s="134">
        <v>0.71</v>
      </c>
      <c r="F23" s="121" t="s">
        <v>49</v>
      </c>
      <c r="G23" s="130" t="s">
        <v>96</v>
      </c>
      <c r="H23" s="119">
        <v>1</v>
      </c>
      <c r="I23" s="151" t="s">
        <v>50</v>
      </c>
      <c r="J23" s="130" t="s">
        <v>152</v>
      </c>
      <c r="K23" s="119">
        <v>24</v>
      </c>
      <c r="L23" s="123" t="s">
        <v>50</v>
      </c>
      <c r="M23" s="148" t="s">
        <v>620</v>
      </c>
      <c r="N23" s="119">
        <v>1</v>
      </c>
      <c r="P23" s="123" t="s">
        <v>143</v>
      </c>
      <c r="Q23" s="197">
        <v>175.5</v>
      </c>
      <c r="R23" s="123" t="s">
        <v>47</v>
      </c>
    </row>
    <row r="24" spans="1:18" ht="18" x14ac:dyDescent="0.25">
      <c r="A24" s="130" t="s">
        <v>204</v>
      </c>
      <c r="B24" s="144">
        <v>1</v>
      </c>
      <c r="C24" s="130" t="s">
        <v>193</v>
      </c>
      <c r="D24" s="126" t="s">
        <v>73</v>
      </c>
      <c r="E24" s="119">
        <v>24</v>
      </c>
      <c r="F24" s="130" t="s">
        <v>50</v>
      </c>
      <c r="G24" s="130" t="s">
        <v>97</v>
      </c>
      <c r="H24" s="134">
        <v>1</v>
      </c>
      <c r="I24" s="151" t="s">
        <v>50</v>
      </c>
      <c r="J24" s="141" t="s">
        <v>153</v>
      </c>
      <c r="K24" s="119">
        <v>0.54</v>
      </c>
      <c r="L24" s="148" t="s">
        <v>115</v>
      </c>
      <c r="M24" s="148" t="s">
        <v>621</v>
      </c>
      <c r="N24" s="119">
        <v>1</v>
      </c>
      <c r="P24" s="130" t="s">
        <v>234</v>
      </c>
      <c r="Q24" s="244">
        <f>((EF_far_c*AAF_far_c*IRP_far_c)+(EF_far_a*AAF_far_a*IRP_far_a))</f>
        <v>54773.25</v>
      </c>
    </row>
    <row r="25" spans="1:18" ht="18" x14ac:dyDescent="0.25">
      <c r="A25" s="130" t="s">
        <v>366</v>
      </c>
      <c r="B25" s="144">
        <v>1</v>
      </c>
      <c r="D25" s="126" t="s">
        <v>74</v>
      </c>
      <c r="E25" s="119">
        <v>24</v>
      </c>
      <c r="F25" s="130" t="s">
        <v>50</v>
      </c>
      <c r="G25" s="130" t="s">
        <v>98</v>
      </c>
      <c r="H25" s="134">
        <v>1</v>
      </c>
      <c r="I25" s="151" t="s">
        <v>50</v>
      </c>
      <c r="J25" s="141" t="s">
        <v>154</v>
      </c>
      <c r="K25" s="119">
        <v>0.71</v>
      </c>
      <c r="L25" s="148" t="s">
        <v>115</v>
      </c>
      <c r="M25" s="148" t="s">
        <v>622</v>
      </c>
      <c r="N25" s="119">
        <v>1</v>
      </c>
      <c r="P25" s="123" t="s">
        <v>140</v>
      </c>
      <c r="Q25" s="197">
        <v>36.1</v>
      </c>
      <c r="R25" s="148" t="s">
        <v>47</v>
      </c>
    </row>
    <row r="26" spans="1:18" ht="18.75" x14ac:dyDescent="0.25">
      <c r="A26" s="124" t="s">
        <v>216</v>
      </c>
      <c r="B26" s="145">
        <f>Q_C_wind*((3600)/(B36*(1-V)*((Um/Ut)^3)*F_x))</f>
        <v>1359344473.5814338</v>
      </c>
      <c r="C26" s="124" t="s">
        <v>205</v>
      </c>
      <c r="D26" s="126" t="s">
        <v>75</v>
      </c>
      <c r="E26" s="119">
        <v>24</v>
      </c>
      <c r="F26" s="130" t="s">
        <v>50</v>
      </c>
      <c r="G26" s="141" t="s">
        <v>146</v>
      </c>
      <c r="H26" s="134">
        <v>1</v>
      </c>
      <c r="I26" s="123" t="s">
        <v>49</v>
      </c>
      <c r="J26" s="123" t="s">
        <v>155</v>
      </c>
      <c r="K26" s="119">
        <v>12.167999999999999</v>
      </c>
      <c r="L26" s="123" t="s">
        <v>50</v>
      </c>
      <c r="M26" s="148" t="s">
        <v>623</v>
      </c>
      <c r="N26" s="119">
        <v>1</v>
      </c>
      <c r="P26" s="123" t="s">
        <v>141</v>
      </c>
      <c r="Q26" s="197">
        <v>155.9</v>
      </c>
      <c r="R26" s="148" t="s">
        <v>47</v>
      </c>
    </row>
    <row r="27" spans="1:18" ht="18" x14ac:dyDescent="0.25">
      <c r="A27" s="125" t="s">
        <v>206</v>
      </c>
      <c r="B27" s="116">
        <v>4.6900000000000004</v>
      </c>
      <c r="C27" s="126" t="s">
        <v>207</v>
      </c>
      <c r="D27" s="126" t="s">
        <v>76</v>
      </c>
      <c r="E27" s="134">
        <v>1</v>
      </c>
      <c r="F27" s="121" t="s">
        <v>51</v>
      </c>
      <c r="G27" s="141" t="s">
        <v>147</v>
      </c>
      <c r="H27" s="134">
        <v>1</v>
      </c>
      <c r="I27" s="123" t="s">
        <v>49</v>
      </c>
      <c r="J27" s="123" t="s">
        <v>156</v>
      </c>
      <c r="K27" s="119">
        <v>10.007999999999999</v>
      </c>
      <c r="L27" s="123" t="s">
        <v>50</v>
      </c>
      <c r="M27" s="141" t="s">
        <v>369</v>
      </c>
      <c r="N27" s="192">
        <v>82.7</v>
      </c>
      <c r="O27" s="148" t="s">
        <v>47</v>
      </c>
      <c r="P27" s="130" t="s">
        <v>233</v>
      </c>
      <c r="Q27" s="244">
        <f>((EF_far_c*AAF_far_c*IRFI_far_c)+(EF_far_a*AAF_far_a*IRFI_far_a))</f>
        <v>48275.5</v>
      </c>
      <c r="R27" s="148" t="s">
        <v>213</v>
      </c>
    </row>
    <row r="28" spans="1:18" ht="18" x14ac:dyDescent="0.25">
      <c r="A28" s="125" t="s">
        <v>208</v>
      </c>
      <c r="B28" s="116">
        <v>11.32</v>
      </c>
      <c r="C28" s="126" t="s">
        <v>207</v>
      </c>
      <c r="D28" s="126" t="s">
        <v>77</v>
      </c>
      <c r="E28" s="134">
        <v>1</v>
      </c>
      <c r="F28" s="121" t="s">
        <v>51</v>
      </c>
      <c r="G28" s="141" t="s">
        <v>91</v>
      </c>
      <c r="H28" s="134">
        <v>1</v>
      </c>
      <c r="I28" s="151" t="s">
        <v>51</v>
      </c>
      <c r="J28" s="141" t="s">
        <v>157</v>
      </c>
      <c r="K28" s="119">
        <v>1</v>
      </c>
      <c r="L28" s="148" t="s">
        <v>116</v>
      </c>
      <c r="M28" s="141" t="s">
        <v>370</v>
      </c>
      <c r="N28" s="192">
        <v>84.8</v>
      </c>
      <c r="O28" s="148" t="s">
        <v>47</v>
      </c>
      <c r="P28" s="123" t="s">
        <v>1263</v>
      </c>
      <c r="Q28" s="197">
        <v>21.3</v>
      </c>
      <c r="R28" s="148" t="s">
        <v>47</v>
      </c>
    </row>
    <row r="29" spans="1:18" ht="18" x14ac:dyDescent="0.25">
      <c r="A29" s="128" t="s">
        <v>209</v>
      </c>
      <c r="B29" s="117">
        <v>0.19400000000000001</v>
      </c>
      <c r="C29" s="129" t="s">
        <v>89</v>
      </c>
      <c r="D29" s="126" t="s">
        <v>83</v>
      </c>
      <c r="E29" s="119">
        <v>1.752</v>
      </c>
      <c r="F29" s="123" t="s">
        <v>50</v>
      </c>
      <c r="G29" s="141" t="s">
        <v>92</v>
      </c>
      <c r="H29" s="134">
        <v>1</v>
      </c>
      <c r="I29" s="151" t="s">
        <v>51</v>
      </c>
      <c r="J29" s="141" t="s">
        <v>158</v>
      </c>
      <c r="K29" s="119">
        <v>1</v>
      </c>
      <c r="L29" s="148" t="s">
        <v>116</v>
      </c>
      <c r="M29" s="130" t="s">
        <v>371</v>
      </c>
      <c r="N29" s="244">
        <f>((EF_far_c*AAF_far_c*IRAP_far_c)+(EF_far_a*AAF_far_a*IRAP_far_a))</f>
        <v>29569.75</v>
      </c>
      <c r="O29" s="148" t="s">
        <v>213</v>
      </c>
      <c r="P29" s="123" t="s">
        <v>1264</v>
      </c>
      <c r="Q29" s="197">
        <v>208.9</v>
      </c>
      <c r="R29" s="148" t="s">
        <v>47</v>
      </c>
    </row>
    <row r="30" spans="1:18" ht="18" x14ac:dyDescent="0.25">
      <c r="A30" s="128" t="s">
        <v>210</v>
      </c>
      <c r="B30" s="117">
        <v>0.5</v>
      </c>
      <c r="C30" s="129"/>
      <c r="D30" s="126" t="s">
        <v>84</v>
      </c>
      <c r="E30" s="119">
        <v>16.416</v>
      </c>
      <c r="F30" s="123" t="s">
        <v>50</v>
      </c>
      <c r="G30" s="123" t="s">
        <v>108</v>
      </c>
      <c r="H30" s="119">
        <v>1</v>
      </c>
      <c r="I30" s="123" t="s">
        <v>88</v>
      </c>
      <c r="J30" s="123" t="s">
        <v>159</v>
      </c>
      <c r="K30" s="119">
        <v>0.4</v>
      </c>
      <c r="L30" s="123"/>
      <c r="M30" s="141" t="s">
        <v>372</v>
      </c>
      <c r="N30" s="195">
        <v>11.9</v>
      </c>
      <c r="O30" s="148" t="s">
        <v>47</v>
      </c>
      <c r="P30" s="130" t="s">
        <v>1265</v>
      </c>
      <c r="Q30" s="209">
        <f>((EF_far_c*AAF_far_c*IRSF_far_c)+(EF_far_a*AAF_far_a*IRSF_far_a))</f>
        <v>63266</v>
      </c>
      <c r="R30" s="148" t="s">
        <v>213</v>
      </c>
    </row>
    <row r="31" spans="1:18" ht="18" x14ac:dyDescent="0.25">
      <c r="A31" s="132" t="s">
        <v>217</v>
      </c>
      <c r="B31" s="147">
        <f>A_wind*EXP((((LN(As))-B_wind)^2)/C_wind)</f>
        <v>93.773582452087695</v>
      </c>
      <c r="C31" s="129"/>
      <c r="D31" s="126" t="s">
        <v>85</v>
      </c>
      <c r="E31" s="119">
        <v>1</v>
      </c>
      <c r="G31" s="123" t="s">
        <v>107</v>
      </c>
      <c r="H31" s="119">
        <v>1</v>
      </c>
      <c r="I31" s="123" t="s">
        <v>88</v>
      </c>
      <c r="L31" s="123"/>
      <c r="M31" s="141" t="s">
        <v>373</v>
      </c>
      <c r="N31" s="195">
        <v>40.1</v>
      </c>
      <c r="O31" s="148" t="s">
        <v>47</v>
      </c>
      <c r="P31" s="123" t="s">
        <v>144</v>
      </c>
      <c r="Q31" s="197">
        <v>32.200000000000003</v>
      </c>
      <c r="R31" s="123" t="s">
        <v>47</v>
      </c>
    </row>
    <row r="32" spans="1:18" ht="18" x14ac:dyDescent="0.25">
      <c r="A32" s="131" t="s">
        <v>211</v>
      </c>
      <c r="B32" s="117">
        <v>0.5</v>
      </c>
      <c r="C32" s="129" t="s">
        <v>212</v>
      </c>
      <c r="D32" s="127" t="s">
        <v>474</v>
      </c>
      <c r="E32" s="196">
        <v>72</v>
      </c>
      <c r="F32" s="148" t="s">
        <v>47</v>
      </c>
      <c r="G32" s="123" t="s">
        <v>106</v>
      </c>
      <c r="H32" s="119">
        <v>1</v>
      </c>
      <c r="I32" s="123" t="s">
        <v>89</v>
      </c>
      <c r="L32" s="123"/>
      <c r="M32" s="130" t="s">
        <v>374</v>
      </c>
      <c r="N32" s="244">
        <f>((EF_far_c*AAF_far_c*IRAS_far_c)+(EF_far_a*AAF_far_a*IRAS_far_a))</f>
        <v>12554.5</v>
      </c>
      <c r="O32" s="148" t="s">
        <v>213</v>
      </c>
      <c r="P32" s="123" t="s">
        <v>145</v>
      </c>
      <c r="Q32" s="197">
        <v>151.1</v>
      </c>
      <c r="R32" s="123" t="s">
        <v>47</v>
      </c>
    </row>
    <row r="33" spans="1:18" ht="18" x14ac:dyDescent="0.25">
      <c r="A33" s="132" t="s">
        <v>218</v>
      </c>
      <c r="B33" s="118">
        <v>16.2302</v>
      </c>
      <c r="C33" s="129"/>
      <c r="D33" s="127" t="s">
        <v>475</v>
      </c>
      <c r="E33" s="196">
        <v>73.900000000000006</v>
      </c>
      <c r="F33" s="148" t="s">
        <v>47</v>
      </c>
      <c r="G33" s="123" t="s">
        <v>105</v>
      </c>
      <c r="H33" s="119">
        <v>1</v>
      </c>
      <c r="I33" s="123" t="s">
        <v>89</v>
      </c>
      <c r="L33" s="123"/>
      <c r="M33" s="141" t="s">
        <v>375</v>
      </c>
      <c r="N33" s="230">
        <v>6</v>
      </c>
      <c r="O33" s="148" t="s">
        <v>47</v>
      </c>
      <c r="P33" s="130" t="s">
        <v>235</v>
      </c>
      <c r="Q33" s="244">
        <f>((EF_far_c*AAF_far_c*IRSW_far_c)+(EF_far_a*AAF_far_a*IRSW_far_a))</f>
        <v>46642.75</v>
      </c>
      <c r="R33" s="148" t="s">
        <v>213</v>
      </c>
    </row>
    <row r="34" spans="1:18" ht="18" x14ac:dyDescent="0.25">
      <c r="A34" s="132" t="s">
        <v>219</v>
      </c>
      <c r="B34" s="118">
        <v>18.776199999999999</v>
      </c>
      <c r="C34" s="129"/>
      <c r="D34" s="127" t="s">
        <v>476</v>
      </c>
      <c r="E34" s="147">
        <f>((EF_res_c*AAF_res_c*IRAP_res_c)+(EF_res_a*AAF_res_a*IRAP_res_a))</f>
        <v>25712.050000000003</v>
      </c>
      <c r="F34" s="148" t="s">
        <v>213</v>
      </c>
      <c r="G34" s="123" t="s">
        <v>104</v>
      </c>
      <c r="H34" s="119">
        <v>1</v>
      </c>
      <c r="I34" s="123" t="s">
        <v>46</v>
      </c>
      <c r="L34" s="123"/>
      <c r="M34" s="141" t="s">
        <v>376</v>
      </c>
      <c r="N34" s="192">
        <v>34.4</v>
      </c>
      <c r="O34" s="148" t="s">
        <v>47</v>
      </c>
      <c r="P34" s="141" t="s">
        <v>1092</v>
      </c>
      <c r="Q34" s="119">
        <v>0</v>
      </c>
      <c r="R34" s="148" t="s">
        <v>47</v>
      </c>
    </row>
    <row r="35" spans="1:18" ht="18" x14ac:dyDescent="0.25">
      <c r="A35" s="132" t="s">
        <v>220</v>
      </c>
      <c r="B35" s="118">
        <v>216.108</v>
      </c>
      <c r="C35" s="129"/>
      <c r="D35" s="127" t="s">
        <v>477</v>
      </c>
      <c r="E35" s="195">
        <v>11.9</v>
      </c>
      <c r="F35" s="148" t="s">
        <v>47</v>
      </c>
      <c r="G35" s="123" t="s">
        <v>103</v>
      </c>
      <c r="H35" s="119">
        <v>1</v>
      </c>
      <c r="I35" s="123" t="s">
        <v>88</v>
      </c>
      <c r="M35" s="130" t="s">
        <v>377</v>
      </c>
      <c r="N35" s="244">
        <f>((EF_far_c*AAF_far_c*IRBT_far_c)+(EF_far_a*AAF_far_a*IRBT_far_a))</f>
        <v>10549</v>
      </c>
      <c r="O35" s="148" t="s">
        <v>213</v>
      </c>
      <c r="P35" s="141" t="s">
        <v>1093</v>
      </c>
      <c r="Q35" s="119">
        <v>0</v>
      </c>
      <c r="R35" s="148" t="s">
        <v>47</v>
      </c>
    </row>
    <row r="36" spans="1:18" ht="18" x14ac:dyDescent="0.25">
      <c r="A36" s="129"/>
      <c r="B36" s="117">
        <v>3.5999999999999997E-2</v>
      </c>
      <c r="C36" s="129"/>
      <c r="D36" s="127" t="s">
        <v>478</v>
      </c>
      <c r="E36" s="195">
        <v>40.1</v>
      </c>
      <c r="F36" s="148" t="s">
        <v>47</v>
      </c>
      <c r="G36" s="123" t="s">
        <v>102</v>
      </c>
      <c r="H36" s="119">
        <v>1</v>
      </c>
      <c r="I36" s="123" t="s">
        <v>88</v>
      </c>
      <c r="M36" s="141" t="s">
        <v>378</v>
      </c>
      <c r="N36" s="192">
        <v>24.2</v>
      </c>
      <c r="O36" s="148" t="s">
        <v>47</v>
      </c>
      <c r="P36" s="130" t="s">
        <v>1094</v>
      </c>
      <c r="Q36" s="147">
        <f>((EF_far_c*AAF_far_c*IRSH_far_c)+(EF_far_a*AAF_far_a*IRSH_far_a))</f>
        <v>0</v>
      </c>
      <c r="R36" s="148" t="s">
        <v>213</v>
      </c>
    </row>
    <row r="37" spans="1:18" ht="18" x14ac:dyDescent="0.25">
      <c r="A37" s="130" t="s">
        <v>365</v>
      </c>
      <c r="B37" s="152">
        <v>1</v>
      </c>
      <c r="C37" s="132"/>
      <c r="D37" s="127" t="s">
        <v>479</v>
      </c>
      <c r="E37" s="147">
        <f>((EF_res_c*AAF_res_c*IRAS_res_c)+(EF_res_a*AAF_res_a*IRAS_res_a))</f>
        <v>11764.900000000001</v>
      </c>
      <c r="F37" s="148" t="s">
        <v>213</v>
      </c>
      <c r="G37" s="148" t="s">
        <v>101</v>
      </c>
      <c r="H37" s="119">
        <v>1</v>
      </c>
      <c r="I37" s="123" t="s">
        <v>89</v>
      </c>
      <c r="M37" s="141" t="s">
        <v>379</v>
      </c>
      <c r="N37" s="192">
        <v>35.200000000000003</v>
      </c>
      <c r="O37" s="148" t="s">
        <v>47</v>
      </c>
      <c r="P37" s="141" t="s">
        <v>441</v>
      </c>
      <c r="Q37" s="119">
        <v>0</v>
      </c>
      <c r="R37" s="148" t="s">
        <v>47</v>
      </c>
    </row>
    <row r="38" spans="1:18" ht="18" x14ac:dyDescent="0.25">
      <c r="A38" s="132"/>
      <c r="B38" s="133"/>
      <c r="C38" s="132"/>
      <c r="D38" s="127" t="s">
        <v>480</v>
      </c>
      <c r="E38" s="195">
        <v>6</v>
      </c>
      <c r="F38" s="148" t="s">
        <v>47</v>
      </c>
      <c r="G38" s="123" t="s">
        <v>100</v>
      </c>
      <c r="H38" s="119">
        <v>1</v>
      </c>
      <c r="I38" s="123" t="s">
        <v>89</v>
      </c>
      <c r="M38" s="130" t="s">
        <v>380</v>
      </c>
      <c r="N38" s="244">
        <f>((EF_far_c*AAF_far_c*IRBE_far_c)+(EF_far_a*AAF_far_a*IRBE_far_a))</f>
        <v>11742.5</v>
      </c>
      <c r="O38" s="148" t="s">
        <v>213</v>
      </c>
      <c r="P38" s="141" t="s">
        <v>442</v>
      </c>
      <c r="Q38" s="119">
        <v>0</v>
      </c>
      <c r="R38" s="148" t="s">
        <v>47</v>
      </c>
    </row>
    <row r="39" spans="1:18" ht="18" x14ac:dyDescent="0.25">
      <c r="D39" s="127" t="s">
        <v>481</v>
      </c>
      <c r="E39" s="195">
        <v>34.4</v>
      </c>
      <c r="F39" s="148" t="s">
        <v>47</v>
      </c>
      <c r="G39" s="123" t="s">
        <v>99</v>
      </c>
      <c r="H39" s="119">
        <v>1</v>
      </c>
      <c r="I39" s="123" t="s">
        <v>46</v>
      </c>
      <c r="M39" s="141" t="s">
        <v>381</v>
      </c>
      <c r="N39" s="192">
        <v>14.8</v>
      </c>
      <c r="O39" s="148" t="s">
        <v>47</v>
      </c>
      <c r="P39" s="130" t="s">
        <v>443</v>
      </c>
      <c r="Q39" s="147">
        <f>((EF_far_c*AAF_far_c*IRGO_far_c)+(EF_far_a*AAF_far_a*IRGO_far_a))</f>
        <v>0</v>
      </c>
      <c r="R39" s="148" t="s">
        <v>213</v>
      </c>
    </row>
    <row r="40" spans="1:18" ht="18" x14ac:dyDescent="0.25">
      <c r="A40" s="130"/>
      <c r="B40" s="136"/>
      <c r="C40" s="132"/>
      <c r="D40" s="127" t="s">
        <v>482</v>
      </c>
      <c r="E40" s="147">
        <f>((EF_res_c*AAF_res_c*IRBT_res_c)+(EF_res_a*AAF_res_a*IRBT_res_a))</f>
        <v>9753.7999999999993</v>
      </c>
      <c r="F40" s="148" t="s">
        <v>213</v>
      </c>
      <c r="G40" s="123" t="s">
        <v>353</v>
      </c>
      <c r="H40" s="119">
        <v>1</v>
      </c>
      <c r="M40" s="141" t="s">
        <v>382</v>
      </c>
      <c r="N40" s="192">
        <v>34.1</v>
      </c>
      <c r="O40" s="148" t="s">
        <v>47</v>
      </c>
      <c r="P40" s="141" t="s">
        <v>444</v>
      </c>
      <c r="Q40" s="119">
        <v>0</v>
      </c>
      <c r="R40" s="148" t="s">
        <v>47</v>
      </c>
    </row>
    <row r="41" spans="1:18" ht="18" x14ac:dyDescent="0.25">
      <c r="A41" s="132"/>
      <c r="B41" s="133"/>
      <c r="C41" s="132"/>
      <c r="D41" s="127" t="s">
        <v>483</v>
      </c>
      <c r="E41" s="195">
        <v>24.2</v>
      </c>
      <c r="F41" s="148" t="s">
        <v>47</v>
      </c>
      <c r="G41" s="123" t="s">
        <v>354</v>
      </c>
      <c r="H41" s="119">
        <v>1</v>
      </c>
      <c r="M41" s="130" t="s">
        <v>383</v>
      </c>
      <c r="N41" s="244">
        <f>((EF_far_c*AAF_far_c*IRBR_far_c)+(EF_far_a*AAF_far_a*IRBR_far_a))</f>
        <v>10921.75</v>
      </c>
      <c r="O41" s="148" t="s">
        <v>213</v>
      </c>
      <c r="P41" s="141" t="s">
        <v>445</v>
      </c>
      <c r="Q41" s="119">
        <v>0</v>
      </c>
      <c r="R41" s="148" t="s">
        <v>47</v>
      </c>
    </row>
    <row r="42" spans="1:18" ht="18" x14ac:dyDescent="0.25">
      <c r="D42" s="127" t="s">
        <v>484</v>
      </c>
      <c r="E42" s="195">
        <v>35.200000000000003</v>
      </c>
      <c r="F42" s="148" t="s">
        <v>47</v>
      </c>
      <c r="M42" s="141" t="s">
        <v>384</v>
      </c>
      <c r="N42" s="231">
        <v>11</v>
      </c>
      <c r="O42" s="148" t="s">
        <v>47</v>
      </c>
      <c r="P42" s="130" t="s">
        <v>446</v>
      </c>
      <c r="Q42" s="147">
        <f>((EF_far_c*AAF_far_c*IRSM_far_c)+(EF_far_a*AAF_far_a*IRSM_far_a))</f>
        <v>0</v>
      </c>
      <c r="R42" s="148" t="s">
        <v>213</v>
      </c>
    </row>
    <row r="43" spans="1:18" ht="18" x14ac:dyDescent="0.25">
      <c r="D43" s="127" t="s">
        <v>485</v>
      </c>
      <c r="E43" s="147">
        <f>((EF_res_c*AAF_res_c*IRBE_res_c)+(EF_res_a*AAF_res_a*IRBE_res_a))</f>
        <v>11434.500000000002</v>
      </c>
      <c r="F43" s="148" t="s">
        <v>213</v>
      </c>
      <c r="M43" s="141" t="s">
        <v>385</v>
      </c>
      <c r="N43" s="192">
        <v>79.5</v>
      </c>
      <c r="O43" s="148" t="s">
        <v>47</v>
      </c>
      <c r="P43" s="141" t="s">
        <v>447</v>
      </c>
      <c r="Q43" s="119">
        <v>0</v>
      </c>
      <c r="R43" s="148" t="s">
        <v>47</v>
      </c>
    </row>
    <row r="44" spans="1:18" ht="18" x14ac:dyDescent="0.25">
      <c r="A44" s="132"/>
      <c r="B44" s="133"/>
      <c r="C44" s="132"/>
      <c r="D44" s="127" t="s">
        <v>486</v>
      </c>
      <c r="E44" s="195">
        <v>13.2</v>
      </c>
      <c r="F44" s="148" t="s">
        <v>47</v>
      </c>
      <c r="M44" s="130" t="s">
        <v>386</v>
      </c>
      <c r="N44" s="244">
        <f>((EF_far_c*AAF_far_c*IRCB_far_c)+(EF_far_a*AAF_far_a*IRCB_far_a))</f>
        <v>24228.75</v>
      </c>
      <c r="O44" s="148" t="s">
        <v>213</v>
      </c>
      <c r="P44" s="141" t="s">
        <v>448</v>
      </c>
      <c r="Q44" s="119">
        <v>0</v>
      </c>
      <c r="R44" s="148" t="s">
        <v>47</v>
      </c>
    </row>
    <row r="45" spans="1:18" ht="18" x14ac:dyDescent="0.25">
      <c r="A45" s="132"/>
      <c r="B45" s="133"/>
      <c r="C45" s="132"/>
      <c r="D45" s="127" t="s">
        <v>487</v>
      </c>
      <c r="E45" s="195">
        <v>30.5</v>
      </c>
      <c r="F45" s="148" t="s">
        <v>47</v>
      </c>
      <c r="M45" s="141" t="s">
        <v>387</v>
      </c>
      <c r="N45" s="192">
        <v>13.1</v>
      </c>
      <c r="O45" s="148" t="s">
        <v>47</v>
      </c>
      <c r="P45" s="130" t="s">
        <v>449</v>
      </c>
      <c r="Q45" s="147">
        <f>((EF_far_c*AAF_far_c*IRGM_far_c)+(EF_far_a*AAF_far_a*IRGM_far_a))</f>
        <v>0</v>
      </c>
      <c r="R45" s="148" t="s">
        <v>213</v>
      </c>
    </row>
    <row r="46" spans="1:18" ht="18" x14ac:dyDescent="0.25">
      <c r="A46" s="132"/>
      <c r="B46" s="135"/>
      <c r="C46" s="132"/>
      <c r="D46" s="127" t="s">
        <v>488</v>
      </c>
      <c r="E46" s="147">
        <f>((EF_res_c*AAF_res_c*IRBR_res_c)+(EF_res_a*AAF_res_a*IRBR_res_a))</f>
        <v>9282.35</v>
      </c>
      <c r="F46" s="148" t="s">
        <v>213</v>
      </c>
      <c r="M46" s="141" t="s">
        <v>388</v>
      </c>
      <c r="N46" s="192">
        <v>24.4</v>
      </c>
      <c r="O46" s="148" t="s">
        <v>47</v>
      </c>
      <c r="P46" s="123" t="s">
        <v>165</v>
      </c>
      <c r="Q46" s="134">
        <v>92</v>
      </c>
      <c r="R46" s="123" t="s">
        <v>46</v>
      </c>
    </row>
    <row r="47" spans="1:18" ht="18" x14ac:dyDescent="0.25">
      <c r="A47" s="132"/>
      <c r="B47" s="133"/>
      <c r="C47" s="132"/>
      <c r="D47" s="127" t="s">
        <v>489</v>
      </c>
      <c r="E47" s="195">
        <v>11.8</v>
      </c>
      <c r="F47" s="148" t="s">
        <v>47</v>
      </c>
      <c r="M47" s="130" t="s">
        <v>389</v>
      </c>
      <c r="N47" s="244">
        <f>((EF_far_c*AAF_far_c*IRCR_far_c)+(EF_far_a*AAF_far_a*IRCR_far_a))</f>
        <v>7946.75</v>
      </c>
      <c r="O47" s="148" t="s">
        <v>213</v>
      </c>
      <c r="P47" s="123" t="s">
        <v>362</v>
      </c>
      <c r="Q47" s="118">
        <v>1.03</v>
      </c>
      <c r="R47" s="123" t="s">
        <v>127</v>
      </c>
    </row>
    <row r="48" spans="1:18" ht="18" x14ac:dyDescent="0.25">
      <c r="A48" s="132"/>
      <c r="B48" s="136"/>
      <c r="C48" s="132"/>
      <c r="D48" s="127" t="s">
        <v>490</v>
      </c>
      <c r="E48" s="195">
        <v>85.1</v>
      </c>
      <c r="F48" s="148" t="s">
        <v>47</v>
      </c>
      <c r="M48" s="141" t="s">
        <v>390</v>
      </c>
      <c r="N48" s="231">
        <v>48.1</v>
      </c>
      <c r="O48" s="148" t="s">
        <v>47</v>
      </c>
      <c r="P48" s="123" t="s">
        <v>166</v>
      </c>
      <c r="Q48" s="134">
        <v>20.3</v>
      </c>
      <c r="R48" s="123" t="s">
        <v>88</v>
      </c>
    </row>
    <row r="49" spans="1:18" ht="18" x14ac:dyDescent="0.25">
      <c r="A49" s="132"/>
      <c r="B49" s="133"/>
      <c r="C49" s="132"/>
      <c r="D49" s="127" t="s">
        <v>491</v>
      </c>
      <c r="E49" s="147">
        <f>((EF_res_c*AAF_res_c*IRCB_res_c)+(EF_res_a*AAF_res_a*IRCB_res_a))</f>
        <v>23884.35</v>
      </c>
      <c r="F49" s="148" t="s">
        <v>213</v>
      </c>
      <c r="M49" s="141" t="s">
        <v>391</v>
      </c>
      <c r="N49" s="192">
        <v>84.8</v>
      </c>
      <c r="O49" s="148" t="s">
        <v>47</v>
      </c>
      <c r="P49" s="123" t="s">
        <v>167</v>
      </c>
      <c r="Q49" s="134">
        <v>0.4</v>
      </c>
      <c r="R49" s="123" t="s">
        <v>88</v>
      </c>
    </row>
    <row r="50" spans="1:18" ht="18" x14ac:dyDescent="0.25">
      <c r="A50" s="132"/>
      <c r="B50" s="137"/>
      <c r="C50" s="132"/>
      <c r="D50" s="127" t="s">
        <v>492</v>
      </c>
      <c r="E50" s="195">
        <v>14.5</v>
      </c>
      <c r="F50" s="148" t="s">
        <v>47</v>
      </c>
      <c r="M50" s="130" t="s">
        <v>392</v>
      </c>
      <c r="N50" s="244">
        <f>((EF_far_c*AAF_far_c*IRCG_far_c)+(EF_far_a*AAF_far_a*IRCG_far_a))</f>
        <v>27753.25</v>
      </c>
      <c r="O50" s="148" t="s">
        <v>213</v>
      </c>
      <c r="P50" s="123" t="s">
        <v>168</v>
      </c>
      <c r="Q50" s="134">
        <v>1</v>
      </c>
      <c r="R50" s="123"/>
    </row>
    <row r="51" spans="1:18" ht="18" x14ac:dyDescent="0.25">
      <c r="A51" s="132"/>
      <c r="B51" s="138"/>
      <c r="C51" s="132"/>
      <c r="D51" s="127" t="s">
        <v>493</v>
      </c>
      <c r="E51" s="195">
        <v>27.1</v>
      </c>
      <c r="F51" s="148" t="s">
        <v>47</v>
      </c>
      <c r="M51" s="141" t="s">
        <v>393</v>
      </c>
      <c r="N51" s="231">
        <v>206</v>
      </c>
      <c r="O51" s="148" t="s">
        <v>47</v>
      </c>
      <c r="P51" s="123" t="s">
        <v>169</v>
      </c>
      <c r="Q51" s="134">
        <v>1</v>
      </c>
      <c r="R51" s="123"/>
    </row>
    <row r="52" spans="1:18" ht="18" x14ac:dyDescent="0.25">
      <c r="A52" s="132"/>
      <c r="B52" s="138"/>
      <c r="C52" s="132"/>
      <c r="D52" s="127" t="s">
        <v>494</v>
      </c>
      <c r="E52" s="147">
        <f>((EF_res_c*AAF_res_c*IRCR_res_c)+(EF_res_a*AAF_res_a*IRCR_res_a))</f>
        <v>8470.7000000000007</v>
      </c>
      <c r="F52" s="148" t="s">
        <v>213</v>
      </c>
      <c r="M52" s="141" t="s">
        <v>394</v>
      </c>
      <c r="N52" s="192">
        <v>306.5</v>
      </c>
      <c r="O52" s="148" t="s">
        <v>47</v>
      </c>
      <c r="P52" s="123" t="s">
        <v>180</v>
      </c>
      <c r="Q52" s="134">
        <v>53</v>
      </c>
      <c r="R52" s="123" t="s">
        <v>46</v>
      </c>
    </row>
    <row r="53" spans="1:18" ht="18" x14ac:dyDescent="0.25">
      <c r="A53" s="132"/>
      <c r="B53" s="138"/>
      <c r="C53" s="132"/>
      <c r="D53" s="127" t="s">
        <v>495</v>
      </c>
      <c r="E53" s="195">
        <v>39.799999999999997</v>
      </c>
      <c r="F53" s="148" t="s">
        <v>47</v>
      </c>
      <c r="M53" s="130" t="s">
        <v>395</v>
      </c>
      <c r="N53" s="244">
        <f>((EF_far_c*AAF_far_c*IRCI_far_c)+(EF_far_a*AAF_far_a*IRCI_far_a))</f>
        <v>101998.75</v>
      </c>
      <c r="O53" s="148" t="s">
        <v>213</v>
      </c>
      <c r="P53" s="123" t="s">
        <v>170</v>
      </c>
      <c r="Q53" s="134">
        <v>11.77</v>
      </c>
      <c r="R53" s="123" t="s">
        <v>88</v>
      </c>
    </row>
    <row r="54" spans="1:18" ht="18" x14ac:dyDescent="0.25">
      <c r="A54" s="132"/>
      <c r="B54" s="138"/>
      <c r="C54" s="132"/>
      <c r="D54" s="127" t="s">
        <v>496</v>
      </c>
      <c r="E54" s="195">
        <v>70.2</v>
      </c>
      <c r="F54" s="148" t="s">
        <v>47</v>
      </c>
      <c r="M54" s="141" t="s">
        <v>396</v>
      </c>
      <c r="N54" s="231">
        <v>31.6</v>
      </c>
      <c r="O54" s="148" t="s">
        <v>47</v>
      </c>
      <c r="P54" s="123" t="s">
        <v>171</v>
      </c>
      <c r="Q54" s="134">
        <v>0.5</v>
      </c>
      <c r="R54" s="123" t="s">
        <v>88</v>
      </c>
    </row>
    <row r="55" spans="1:18" ht="18" x14ac:dyDescent="0.25">
      <c r="A55" s="132"/>
      <c r="B55" s="137"/>
      <c r="C55" s="132"/>
      <c r="D55" s="127" t="s">
        <v>497</v>
      </c>
      <c r="E55" s="147">
        <f>((EF_res_c*AAF_res_c*IRCG_res_c)+(EF_res_a*AAF_res_a*IRCG_res_a))</f>
        <v>22122.800000000003</v>
      </c>
      <c r="F55" s="148" t="s">
        <v>213</v>
      </c>
      <c r="M55" s="141" t="s">
        <v>397</v>
      </c>
      <c r="N55" s="192">
        <v>82.1</v>
      </c>
      <c r="O55" s="148" t="s">
        <v>47</v>
      </c>
      <c r="P55" s="123" t="s">
        <v>172</v>
      </c>
      <c r="Q55" s="134">
        <v>1</v>
      </c>
      <c r="R55" s="123"/>
    </row>
    <row r="56" spans="1:18" ht="18" x14ac:dyDescent="0.25">
      <c r="A56" s="132"/>
      <c r="B56" s="137"/>
      <c r="C56" s="132"/>
      <c r="D56" s="127" t="s">
        <v>498</v>
      </c>
      <c r="E56" s="195">
        <v>206</v>
      </c>
      <c r="F56" s="148" t="s">
        <v>47</v>
      </c>
      <c r="M56" s="130" t="s">
        <v>398</v>
      </c>
      <c r="N56" s="244">
        <f>((EF_far_c*AAF_far_c*IRCO_far_c)+(EF_far_a*AAF_far_a*IRCO_far_a))</f>
        <v>26083.75</v>
      </c>
      <c r="O56" s="148" t="s">
        <v>213</v>
      </c>
      <c r="P56" s="123" t="s">
        <v>173</v>
      </c>
      <c r="Q56" s="134">
        <v>1</v>
      </c>
      <c r="R56" s="123"/>
    </row>
    <row r="57" spans="1:18" ht="18" x14ac:dyDescent="0.25">
      <c r="A57" s="132"/>
      <c r="B57" s="139"/>
      <c r="C57" s="132"/>
      <c r="D57" s="127" t="s">
        <v>499</v>
      </c>
      <c r="E57" s="195">
        <v>306.5</v>
      </c>
      <c r="F57" s="148" t="s">
        <v>47</v>
      </c>
      <c r="M57" s="141" t="s">
        <v>399</v>
      </c>
      <c r="N57" s="192">
        <v>16.3</v>
      </c>
      <c r="O57" s="148" t="s">
        <v>47</v>
      </c>
      <c r="P57" s="123" t="s">
        <v>174</v>
      </c>
      <c r="Q57" s="119">
        <v>0.4</v>
      </c>
      <c r="R57" s="123" t="s">
        <v>46</v>
      </c>
    </row>
    <row r="58" spans="1:18" ht="18" x14ac:dyDescent="0.25">
      <c r="A58" s="132"/>
      <c r="B58" s="139"/>
      <c r="C58" s="132"/>
      <c r="D58" s="127" t="s">
        <v>500</v>
      </c>
      <c r="E58" s="147">
        <f>((EF_res_c*AAF_res_c*IRCI_res_c)+(EF_res_a*AAF_res_a*IRCI_res_a))</f>
        <v>99184.75</v>
      </c>
      <c r="F58" s="148" t="s">
        <v>213</v>
      </c>
      <c r="M58" s="141" t="s">
        <v>400</v>
      </c>
      <c r="N58" s="192">
        <v>54.9</v>
      </c>
      <c r="O58" s="148" t="s">
        <v>47</v>
      </c>
      <c r="P58" s="123" t="s">
        <v>175</v>
      </c>
      <c r="Q58" s="134">
        <v>0.2</v>
      </c>
      <c r="R58" s="123" t="s">
        <v>88</v>
      </c>
    </row>
    <row r="59" spans="1:18" ht="18" x14ac:dyDescent="0.25">
      <c r="A59" s="132"/>
      <c r="B59" s="138"/>
      <c r="C59" s="132"/>
      <c r="D59" s="127" t="s">
        <v>501</v>
      </c>
      <c r="E59" s="195">
        <v>23.2</v>
      </c>
      <c r="F59" s="148" t="s">
        <v>47</v>
      </c>
      <c r="M59" s="130" t="s">
        <v>401</v>
      </c>
      <c r="N59" s="244">
        <f>((EF_far_c*AAF_far_c*IRCU_far_c)+(EF_far_a*AAF_far_a*IRCU_far_a))</f>
        <v>17188.5</v>
      </c>
      <c r="O59" s="148" t="s">
        <v>213</v>
      </c>
      <c r="P59" s="123" t="s">
        <v>176</v>
      </c>
      <c r="Q59" s="134">
        <v>2.1999999999999999E-2</v>
      </c>
      <c r="R59" s="123" t="s">
        <v>88</v>
      </c>
    </row>
    <row r="60" spans="1:18" ht="18" x14ac:dyDescent="0.25">
      <c r="A60" s="132"/>
      <c r="B60" s="140"/>
      <c r="C60" s="132"/>
      <c r="D60" s="127" t="s">
        <v>502</v>
      </c>
      <c r="E60" s="195">
        <v>60.2</v>
      </c>
      <c r="F60" s="148" t="s">
        <v>47</v>
      </c>
      <c r="M60" s="141" t="s">
        <v>402</v>
      </c>
      <c r="N60" s="195">
        <v>3.4</v>
      </c>
      <c r="O60" s="148" t="s">
        <v>47</v>
      </c>
      <c r="P60" s="123" t="s">
        <v>177</v>
      </c>
      <c r="Q60" s="119">
        <v>1</v>
      </c>
      <c r="R60" s="123"/>
    </row>
    <row r="61" spans="1:18" ht="18" x14ac:dyDescent="0.25">
      <c r="A61" s="132"/>
      <c r="B61" s="140"/>
      <c r="C61" s="132"/>
      <c r="D61" s="127" t="s">
        <v>503</v>
      </c>
      <c r="E61" s="147">
        <f>((EF_res_c*AAF_res_c*IRCO_res_c)+(EF_res_a*AAF_res_a*IRCO_res_a))</f>
        <v>18091.5</v>
      </c>
      <c r="F61" s="148" t="s">
        <v>213</v>
      </c>
      <c r="M61" s="141" t="s">
        <v>403</v>
      </c>
      <c r="N61" s="195">
        <v>36.700000000000003</v>
      </c>
      <c r="O61" s="148" t="s">
        <v>47</v>
      </c>
      <c r="P61" s="123" t="s">
        <v>178</v>
      </c>
      <c r="Q61" s="119">
        <v>1</v>
      </c>
      <c r="R61" s="123"/>
    </row>
    <row r="62" spans="1:18" ht="18" x14ac:dyDescent="0.25">
      <c r="A62" s="132"/>
      <c r="B62" s="140"/>
      <c r="C62" s="132"/>
      <c r="D62" s="127" t="s">
        <v>504</v>
      </c>
      <c r="E62" s="195">
        <v>24.5</v>
      </c>
      <c r="F62" s="148" t="s">
        <v>47</v>
      </c>
      <c r="M62" s="130" t="s">
        <v>404</v>
      </c>
      <c r="N62" s="244">
        <f>((EF_far_c*AAF_far_c*IRLE_far_c)+(EF_far_a*AAF_far_a*IRLE_far_a))</f>
        <v>11096.75</v>
      </c>
      <c r="O62" s="148" t="s">
        <v>213</v>
      </c>
      <c r="P62" s="123" t="s">
        <v>179</v>
      </c>
      <c r="Q62" s="119">
        <v>0.4</v>
      </c>
      <c r="R62" s="123" t="s">
        <v>46</v>
      </c>
    </row>
    <row r="63" spans="1:18" ht="18" x14ac:dyDescent="0.25">
      <c r="A63" s="132"/>
      <c r="B63" s="138"/>
      <c r="C63" s="132"/>
      <c r="D63" s="127" t="s">
        <v>505</v>
      </c>
      <c r="E63" s="195">
        <v>82.3</v>
      </c>
      <c r="F63" s="148" t="s">
        <v>47</v>
      </c>
      <c r="M63" s="141" t="s">
        <v>405</v>
      </c>
      <c r="N63" s="195">
        <v>22</v>
      </c>
      <c r="O63" s="148" t="s">
        <v>47</v>
      </c>
      <c r="P63" s="123" t="s">
        <v>189</v>
      </c>
      <c r="Q63" s="134">
        <v>0.2</v>
      </c>
      <c r="R63" s="123" t="s">
        <v>88</v>
      </c>
    </row>
    <row r="64" spans="1:18" ht="18" x14ac:dyDescent="0.25">
      <c r="A64" s="132"/>
      <c r="B64" s="138"/>
      <c r="C64" s="132"/>
      <c r="D64" s="127" t="s">
        <v>506</v>
      </c>
      <c r="E64" s="147">
        <f>((EF_res_c*AAF_res_c*IRCU_res_c)+(EF_res_a*AAF_res_a*IRCU_res_a))</f>
        <v>24152.1</v>
      </c>
      <c r="F64" s="148" t="s">
        <v>213</v>
      </c>
      <c r="M64" s="141" t="s">
        <v>406</v>
      </c>
      <c r="N64" s="195">
        <v>33.9</v>
      </c>
      <c r="O64" s="148" t="s">
        <v>47</v>
      </c>
      <c r="P64" s="123" t="s">
        <v>188</v>
      </c>
      <c r="Q64" s="134">
        <v>2.1999999999999999E-2</v>
      </c>
      <c r="R64" s="123" t="s">
        <v>88</v>
      </c>
    </row>
    <row r="65" spans="1:18" ht="18" x14ac:dyDescent="0.25">
      <c r="A65" s="132"/>
      <c r="B65" s="138"/>
      <c r="C65" s="132"/>
      <c r="D65" s="127" t="s">
        <v>507</v>
      </c>
      <c r="E65" s="195">
        <v>3.4</v>
      </c>
      <c r="F65" s="148" t="s">
        <v>47</v>
      </c>
      <c r="M65" s="130" t="s">
        <v>407</v>
      </c>
      <c r="N65" s="244">
        <f>((EF_far_c*AAF_far_c*IRLI_far_c)+(EF_far_a*AAF_far_a*IRLI_far_a))</f>
        <v>11240.25</v>
      </c>
      <c r="O65" s="148" t="s">
        <v>213</v>
      </c>
      <c r="P65" s="123" t="s">
        <v>187</v>
      </c>
      <c r="Q65" s="134">
        <v>1</v>
      </c>
      <c r="R65" s="123"/>
    </row>
    <row r="66" spans="1:18" ht="18" x14ac:dyDescent="0.25">
      <c r="A66" s="132"/>
      <c r="B66" s="138"/>
      <c r="C66" s="132"/>
      <c r="D66" s="127" t="s">
        <v>508</v>
      </c>
      <c r="E66" s="195">
        <v>36.700000000000003</v>
      </c>
      <c r="F66" s="148" t="s">
        <v>47</v>
      </c>
      <c r="M66" s="141" t="s">
        <v>408</v>
      </c>
      <c r="N66" s="192">
        <v>9.4</v>
      </c>
      <c r="O66" s="148" t="s">
        <v>47</v>
      </c>
      <c r="P66" s="123" t="s">
        <v>186</v>
      </c>
      <c r="Q66" s="134">
        <v>1</v>
      </c>
      <c r="R66" s="123"/>
    </row>
    <row r="67" spans="1:18" ht="18" x14ac:dyDescent="0.25">
      <c r="A67" s="132"/>
      <c r="B67" s="138"/>
      <c r="C67" s="132"/>
      <c r="D67" s="127" t="s">
        <v>509</v>
      </c>
      <c r="E67" s="147">
        <f>((EF_res_c*AAF_res_c*IRLE_res_c)+(EF_res_a*AAF_res_a*IRLE_res_a))</f>
        <v>10164.350000000002</v>
      </c>
      <c r="F67" s="148" t="s">
        <v>213</v>
      </c>
      <c r="M67" s="141" t="s">
        <v>409</v>
      </c>
      <c r="N67" s="192">
        <v>30.4</v>
      </c>
      <c r="O67" s="148" t="s">
        <v>47</v>
      </c>
      <c r="P67" s="123" t="s">
        <v>185</v>
      </c>
      <c r="Q67" s="134">
        <v>11.4</v>
      </c>
      <c r="R67" s="123" t="s">
        <v>46</v>
      </c>
    </row>
    <row r="68" spans="1:18" ht="18" x14ac:dyDescent="0.25">
      <c r="A68" s="132"/>
      <c r="B68" s="138"/>
      <c r="C68" s="132"/>
      <c r="D68" s="127" t="s">
        <v>510</v>
      </c>
      <c r="E68" s="195">
        <v>22</v>
      </c>
      <c r="F68" s="148" t="s">
        <v>47</v>
      </c>
      <c r="M68" s="130" t="s">
        <v>410</v>
      </c>
      <c r="N68" s="244">
        <f>((EF_far_c*AAF_far_c*IROK_far_c)+(EF_far_a*AAF_far_a*IROK_far_a))</f>
        <v>9537.5</v>
      </c>
      <c r="O68" s="148" t="s">
        <v>213</v>
      </c>
      <c r="P68" s="123" t="s">
        <v>184</v>
      </c>
      <c r="Q68" s="134">
        <v>4.7</v>
      </c>
      <c r="R68" s="123" t="s">
        <v>88</v>
      </c>
    </row>
    <row r="69" spans="1:18" ht="18" x14ac:dyDescent="0.25">
      <c r="A69" s="132"/>
      <c r="B69" s="142"/>
      <c r="C69" s="132"/>
      <c r="D69" s="127" t="s">
        <v>511</v>
      </c>
      <c r="E69" s="195">
        <v>33.9</v>
      </c>
      <c r="F69" s="148" t="s">
        <v>47</v>
      </c>
      <c r="M69" s="141" t="s">
        <v>411</v>
      </c>
      <c r="N69" s="192">
        <v>7.5</v>
      </c>
      <c r="O69" s="148" t="s">
        <v>47</v>
      </c>
      <c r="P69" s="123" t="s">
        <v>183</v>
      </c>
      <c r="Q69" s="134">
        <v>0.37</v>
      </c>
      <c r="R69" s="123" t="s">
        <v>88</v>
      </c>
    </row>
    <row r="70" spans="1:18" ht="18" x14ac:dyDescent="0.25">
      <c r="A70" s="132"/>
      <c r="B70" s="142"/>
      <c r="C70" s="132"/>
      <c r="D70" s="127" t="s">
        <v>512</v>
      </c>
      <c r="E70" s="147">
        <f>((EF_res_c*AAF_res_c*IRLI_res_c)+(EF_res_a*AAF_res_a*IRLI_res_a))</f>
        <v>10907.05</v>
      </c>
      <c r="F70" s="148" t="s">
        <v>213</v>
      </c>
      <c r="M70" s="141" t="s">
        <v>412</v>
      </c>
      <c r="N70" s="192">
        <v>27.3</v>
      </c>
      <c r="O70" s="148" t="s">
        <v>47</v>
      </c>
      <c r="P70" s="123" t="s">
        <v>182</v>
      </c>
      <c r="Q70" s="134">
        <v>1</v>
      </c>
      <c r="R70" s="123"/>
    </row>
    <row r="71" spans="1:18" ht="18" x14ac:dyDescent="0.25">
      <c r="A71" s="132"/>
      <c r="B71" s="142"/>
      <c r="C71" s="132"/>
      <c r="D71" s="127" t="s">
        <v>513</v>
      </c>
      <c r="E71" s="195">
        <v>9.4</v>
      </c>
      <c r="F71" s="148" t="s">
        <v>47</v>
      </c>
      <c r="M71" s="130" t="s">
        <v>413</v>
      </c>
      <c r="N71" s="244">
        <f>((EF_far_c*AAF_far_c*IRON_far_c)+(EF_far_a*AAF_far_a*IRON_far_a))</f>
        <v>8515.5</v>
      </c>
      <c r="O71" s="148" t="s">
        <v>213</v>
      </c>
      <c r="P71" s="123" t="s">
        <v>181</v>
      </c>
      <c r="Q71" s="134">
        <v>1</v>
      </c>
      <c r="R71" s="123"/>
    </row>
    <row r="72" spans="1:18" ht="18" x14ac:dyDescent="0.25">
      <c r="A72" s="132"/>
      <c r="B72" s="142"/>
      <c r="C72" s="132"/>
      <c r="D72" s="127" t="s">
        <v>514</v>
      </c>
      <c r="E72" s="195">
        <v>30.4</v>
      </c>
      <c r="F72" s="148" t="s">
        <v>47</v>
      </c>
      <c r="M72" s="141" t="s">
        <v>414</v>
      </c>
      <c r="N72" s="192">
        <v>98.2</v>
      </c>
      <c r="O72" s="148" t="s">
        <v>47</v>
      </c>
      <c r="P72" s="123" t="s">
        <v>336</v>
      </c>
      <c r="Q72" s="134">
        <v>0.25</v>
      </c>
    </row>
    <row r="73" spans="1:18" ht="18" x14ac:dyDescent="0.25">
      <c r="A73" s="132"/>
      <c r="B73" s="142"/>
      <c r="C73" s="132"/>
      <c r="D73" s="127" t="s">
        <v>515</v>
      </c>
      <c r="E73" s="147">
        <f>((EF_res_c*AAF_res_c*IROK_res_c)+(EF_res_a*AAF_res_a*IROK_res_a))</f>
        <v>8949.5</v>
      </c>
      <c r="F73" s="148" t="s">
        <v>213</v>
      </c>
      <c r="M73" s="141" t="s">
        <v>415</v>
      </c>
      <c r="N73" s="192">
        <v>103.1</v>
      </c>
      <c r="O73" s="148" t="s">
        <v>47</v>
      </c>
      <c r="P73" s="123" t="s">
        <v>358</v>
      </c>
      <c r="Q73" s="146">
        <f>MLF_pasture</f>
        <v>0.25</v>
      </c>
    </row>
    <row r="74" spans="1:18" ht="18" x14ac:dyDescent="0.25">
      <c r="A74" s="132"/>
      <c r="B74" s="142"/>
      <c r="C74" s="132"/>
      <c r="D74" s="127" t="s">
        <v>516</v>
      </c>
      <c r="E74" s="195">
        <v>5.9</v>
      </c>
      <c r="F74" s="148" t="s">
        <v>47</v>
      </c>
      <c r="M74" s="130" t="s">
        <v>416</v>
      </c>
      <c r="N74" s="244">
        <f>((EF_far_c*AAF_far_c*IRPC_far_c)+(EF_far_a*AAF_far_a*IRPC_far_a))</f>
        <v>35827.75</v>
      </c>
      <c r="O74" s="148" t="s">
        <v>213</v>
      </c>
      <c r="P74" s="123" t="s">
        <v>1087</v>
      </c>
      <c r="Q74" s="134">
        <v>5.25</v>
      </c>
      <c r="R74" s="123" t="s">
        <v>46</v>
      </c>
    </row>
    <row r="75" spans="1:18" ht="18" x14ac:dyDescent="0.25">
      <c r="A75" s="132"/>
      <c r="B75" s="142"/>
      <c r="C75" s="132"/>
      <c r="D75" s="127" t="s">
        <v>517</v>
      </c>
      <c r="E75" s="195">
        <v>21.5</v>
      </c>
      <c r="F75" s="148" t="s">
        <v>47</v>
      </c>
      <c r="M75" s="141" t="s">
        <v>543</v>
      </c>
      <c r="N75" s="192">
        <v>79.599999999999994</v>
      </c>
      <c r="O75" s="148" t="s">
        <v>47</v>
      </c>
      <c r="P75" s="123" t="s">
        <v>1088</v>
      </c>
      <c r="Q75" s="134">
        <v>1.98</v>
      </c>
      <c r="R75" s="123" t="s">
        <v>88</v>
      </c>
    </row>
    <row r="76" spans="1:18" ht="18" x14ac:dyDescent="0.25">
      <c r="A76" s="132"/>
      <c r="B76" s="142"/>
      <c r="C76" s="132"/>
      <c r="D76" s="127" t="s">
        <v>518</v>
      </c>
      <c r="E76" s="147">
        <f>((EF_res_c*AAF_res_c*IRON_res_c)+(EF_res_a*AAF_res_a*IRON_res_a))</f>
        <v>6269.2</v>
      </c>
      <c r="F76" s="148" t="s">
        <v>213</v>
      </c>
      <c r="M76" s="141" t="s">
        <v>544</v>
      </c>
      <c r="N76" s="192">
        <v>59.8</v>
      </c>
      <c r="O76" s="148" t="s">
        <v>47</v>
      </c>
      <c r="P76" s="123" t="s">
        <v>1089</v>
      </c>
      <c r="Q76" s="134">
        <v>0.36</v>
      </c>
      <c r="R76" s="123" t="s">
        <v>88</v>
      </c>
    </row>
    <row r="77" spans="1:18" ht="18" x14ac:dyDescent="0.25">
      <c r="A77" s="132"/>
      <c r="B77" s="142"/>
      <c r="C77" s="132"/>
      <c r="D77" s="127" t="s">
        <v>519</v>
      </c>
      <c r="E77" s="195">
        <v>110.2</v>
      </c>
      <c r="F77" s="148" t="s">
        <v>47</v>
      </c>
      <c r="M77" s="130" t="s">
        <v>545</v>
      </c>
      <c r="N77" s="244">
        <f>((EF_far_c*AAF_far_c*IRPR_far_c)+(EF_far_a*AAF_far_a*IRPR_far_a))</f>
        <v>21969.5</v>
      </c>
      <c r="O77" s="148" t="s">
        <v>213</v>
      </c>
      <c r="P77" s="123" t="s">
        <v>1090</v>
      </c>
      <c r="Q77" s="134">
        <v>1</v>
      </c>
      <c r="R77" s="123"/>
    </row>
    <row r="78" spans="1:18" ht="18" x14ac:dyDescent="0.25">
      <c r="A78" s="132"/>
      <c r="B78" s="142"/>
      <c r="C78" s="132"/>
      <c r="D78" s="127" t="s">
        <v>520</v>
      </c>
      <c r="E78" s="195">
        <v>115.7</v>
      </c>
      <c r="F78" s="148" t="s">
        <v>47</v>
      </c>
      <c r="M78" s="141" t="s">
        <v>417</v>
      </c>
      <c r="N78" s="192">
        <v>20.399999999999999</v>
      </c>
      <c r="O78" s="148" t="s">
        <v>47</v>
      </c>
      <c r="P78" s="123" t="s">
        <v>1091</v>
      </c>
      <c r="Q78" s="134">
        <v>1</v>
      </c>
      <c r="R78" s="123"/>
    </row>
    <row r="79" spans="1:18" ht="18" x14ac:dyDescent="0.25">
      <c r="A79" s="132"/>
      <c r="B79" s="142"/>
      <c r="C79" s="132"/>
      <c r="D79" s="127" t="s">
        <v>521</v>
      </c>
      <c r="E79" s="147">
        <f>((EF_res_c*AAF_res_c*IRPC_res_c)+(EF_res_a*AAF_res_a*IRPC_res_a))</f>
        <v>40052.25</v>
      </c>
      <c r="F79" s="148" t="s">
        <v>213</v>
      </c>
      <c r="M79" s="141" t="s">
        <v>418</v>
      </c>
      <c r="N79" s="192">
        <v>31.6</v>
      </c>
      <c r="O79" s="148" t="s">
        <v>47</v>
      </c>
      <c r="P79" s="123" t="s">
        <v>725</v>
      </c>
      <c r="Q79" s="134">
        <v>7.57</v>
      </c>
      <c r="R79" s="123" t="s">
        <v>46</v>
      </c>
    </row>
    <row r="80" spans="1:18" ht="18" x14ac:dyDescent="0.25">
      <c r="A80" s="131"/>
      <c r="B80" s="138"/>
      <c r="C80" s="132"/>
      <c r="D80" s="127" t="s">
        <v>1271</v>
      </c>
      <c r="E80" s="195">
        <v>5.9</v>
      </c>
      <c r="F80" s="148" t="s">
        <v>47</v>
      </c>
      <c r="M80" s="130" t="s">
        <v>419</v>
      </c>
      <c r="N80" s="209">
        <f>((EF_far_c*AAF_far_c*IRPE_far_c)+(EF_far_a*AAF_far_a*IRPE_far_a))</f>
        <v>10472</v>
      </c>
      <c r="O80" s="148" t="s">
        <v>213</v>
      </c>
      <c r="P80" s="123" t="s">
        <v>726</v>
      </c>
      <c r="Q80" s="134">
        <v>1.27</v>
      </c>
      <c r="R80" s="123" t="s">
        <v>88</v>
      </c>
    </row>
    <row r="81" spans="1:18" ht="18" x14ac:dyDescent="0.25">
      <c r="A81" s="131"/>
      <c r="B81" s="138"/>
      <c r="C81" s="132"/>
      <c r="D81" s="127" t="s">
        <v>1272</v>
      </c>
      <c r="E81" s="195">
        <v>19.100000000000001</v>
      </c>
      <c r="F81" s="148" t="s">
        <v>47</v>
      </c>
      <c r="M81" s="141" t="s">
        <v>1274</v>
      </c>
      <c r="N81" s="192">
        <v>7.4</v>
      </c>
      <c r="O81" s="148" t="s">
        <v>47</v>
      </c>
      <c r="P81" s="123" t="s">
        <v>727</v>
      </c>
      <c r="Q81" s="134"/>
      <c r="R81" s="123" t="s">
        <v>88</v>
      </c>
    </row>
    <row r="82" spans="1:18" ht="18" x14ac:dyDescent="0.25">
      <c r="A82" s="131"/>
      <c r="B82" s="139"/>
      <c r="C82" s="132"/>
      <c r="D82" s="127" t="s">
        <v>1273</v>
      </c>
      <c r="E82" s="147">
        <f>((EF_res_c*AAF_res_c*IRPP_res_c)+(EF_res_a*AAF_res_a*IRPP_res_a))</f>
        <v>5622.4000000000005</v>
      </c>
      <c r="F82" s="148" t="s">
        <v>213</v>
      </c>
      <c r="M82" s="141" t="s">
        <v>1275</v>
      </c>
      <c r="N82" s="192">
        <v>23.9</v>
      </c>
      <c r="O82" s="148" t="s">
        <v>47</v>
      </c>
      <c r="P82" s="123" t="s">
        <v>728</v>
      </c>
      <c r="Q82" s="134">
        <v>1</v>
      </c>
      <c r="R82" s="123"/>
    </row>
    <row r="83" spans="1:18" ht="18" x14ac:dyDescent="0.25">
      <c r="A83" s="131"/>
      <c r="B83" s="138"/>
      <c r="C83" s="132"/>
      <c r="D83" s="127" t="s">
        <v>546</v>
      </c>
      <c r="E83" s="195">
        <v>69.400000000000006</v>
      </c>
      <c r="F83" s="148" t="s">
        <v>47</v>
      </c>
      <c r="M83" s="130" t="s">
        <v>1276</v>
      </c>
      <c r="N83" s="244">
        <f>((EF_far_c*AAF_far_c*IRPP_far_c)+(EF_far_a*AAF_far_a*IRPP_far_a))</f>
        <v>7498.75</v>
      </c>
      <c r="O83" s="148" t="s">
        <v>213</v>
      </c>
      <c r="P83" s="123" t="s">
        <v>729</v>
      </c>
      <c r="Q83" s="134">
        <v>1</v>
      </c>
      <c r="R83" s="123"/>
    </row>
    <row r="84" spans="1:18" ht="18" x14ac:dyDescent="0.25">
      <c r="A84" s="131"/>
      <c r="B84" s="138"/>
      <c r="C84" s="132"/>
      <c r="D84" s="127" t="s">
        <v>547</v>
      </c>
      <c r="E84" s="195">
        <v>52.1</v>
      </c>
      <c r="F84" s="148" t="s">
        <v>47</v>
      </c>
      <c r="M84" s="141" t="s">
        <v>420</v>
      </c>
      <c r="N84" s="192">
        <v>52.4</v>
      </c>
      <c r="O84" s="148" t="s">
        <v>47</v>
      </c>
      <c r="P84" s="123" t="s">
        <v>730</v>
      </c>
      <c r="Q84" s="134">
        <v>15.14</v>
      </c>
      <c r="R84" s="123" t="s">
        <v>46</v>
      </c>
    </row>
    <row r="85" spans="1:18" ht="18" x14ac:dyDescent="0.25">
      <c r="A85" s="131"/>
      <c r="B85" s="138"/>
      <c r="C85" s="132"/>
      <c r="D85" s="127" t="s">
        <v>548</v>
      </c>
      <c r="E85" s="147">
        <f>((EF_res_c*AAF_res_c*IRPR_res_c)+(EF_res_a*AAF_res_a*IRPR_res_a))</f>
        <v>19627.650000000001</v>
      </c>
      <c r="F85" s="148" t="s">
        <v>213</v>
      </c>
      <c r="M85" s="141" t="s">
        <v>421</v>
      </c>
      <c r="N85" s="192">
        <v>141.80000000000001</v>
      </c>
      <c r="O85" s="148" t="s">
        <v>47</v>
      </c>
      <c r="P85" s="123" t="s">
        <v>731</v>
      </c>
      <c r="Q85" s="134">
        <v>1.91</v>
      </c>
      <c r="R85" s="123" t="s">
        <v>88</v>
      </c>
    </row>
    <row r="86" spans="1:18" ht="18" x14ac:dyDescent="0.25">
      <c r="A86" s="131"/>
      <c r="B86" s="138"/>
      <c r="C86" s="132"/>
      <c r="D86" s="127" t="s">
        <v>522</v>
      </c>
      <c r="E86" s="195">
        <v>22.6</v>
      </c>
      <c r="F86" s="148" t="s">
        <v>47</v>
      </c>
      <c r="M86" s="130" t="s">
        <v>422</v>
      </c>
      <c r="N86" s="244">
        <f>((EF_far_c*AAF_far_c*IRPT_far_c)+(EF_far_a*AAF_far_a*IRPT_far_a))</f>
        <v>44936.5</v>
      </c>
      <c r="O86" s="148" t="s">
        <v>213</v>
      </c>
      <c r="P86" s="123" t="s">
        <v>732</v>
      </c>
      <c r="Q86" s="134"/>
      <c r="R86" s="123" t="s">
        <v>88</v>
      </c>
    </row>
    <row r="87" spans="1:18" ht="18" x14ac:dyDescent="0.25">
      <c r="A87" s="131"/>
      <c r="B87" s="138"/>
      <c r="C87" s="132"/>
      <c r="D87" s="127" t="s">
        <v>523</v>
      </c>
      <c r="E87" s="195">
        <v>35</v>
      </c>
      <c r="F87" s="148" t="s">
        <v>47</v>
      </c>
      <c r="M87" s="141" t="s">
        <v>423</v>
      </c>
      <c r="N87" s="192">
        <v>21.2</v>
      </c>
      <c r="O87" s="148" t="s">
        <v>47</v>
      </c>
      <c r="P87" s="123" t="s">
        <v>733</v>
      </c>
      <c r="Q87" s="134">
        <v>1</v>
      </c>
      <c r="R87" s="123"/>
    </row>
    <row r="88" spans="1:18" ht="18" x14ac:dyDescent="0.25">
      <c r="A88" s="131"/>
      <c r="B88" s="138"/>
      <c r="C88" s="132"/>
      <c r="D88" s="127" t="s">
        <v>524</v>
      </c>
      <c r="E88" s="147">
        <f>((EF_res_c*AAF_res_c*IRPE_res_c)+(EF_res_a*AAF_res_a*IRPE_res_a))</f>
        <v>11251.8</v>
      </c>
      <c r="F88" s="148" t="s">
        <v>213</v>
      </c>
      <c r="M88" s="141" t="s">
        <v>424</v>
      </c>
      <c r="N88" s="192">
        <v>63.5</v>
      </c>
      <c r="O88" s="148" t="s">
        <v>47</v>
      </c>
      <c r="P88" s="123" t="s">
        <v>734</v>
      </c>
      <c r="Q88" s="134">
        <v>1</v>
      </c>
      <c r="R88" s="123"/>
    </row>
    <row r="89" spans="1:18" ht="18" x14ac:dyDescent="0.25">
      <c r="A89" s="131"/>
      <c r="B89" s="138"/>
      <c r="C89" s="132"/>
      <c r="D89" s="127" t="s">
        <v>525</v>
      </c>
      <c r="E89" s="195">
        <v>47.3</v>
      </c>
      <c r="F89" s="148" t="s">
        <v>47</v>
      </c>
      <c r="M89" s="130" t="s">
        <v>425</v>
      </c>
      <c r="N89" s="244">
        <f>((EF_far_c*AAF_far_c*IRPU_far_c)+(EF_far_a*AAF_far_a*IRPU_far_a))</f>
        <v>20004.25</v>
      </c>
      <c r="O89" s="148" t="s">
        <v>213</v>
      </c>
      <c r="P89" s="123" t="s">
        <v>735</v>
      </c>
      <c r="Q89" s="134">
        <v>10.4</v>
      </c>
      <c r="R89" s="123" t="s">
        <v>46</v>
      </c>
    </row>
    <row r="90" spans="1:18" ht="18" x14ac:dyDescent="0.25">
      <c r="A90" s="131"/>
      <c r="B90" s="139"/>
      <c r="C90" s="132"/>
      <c r="D90" s="127" t="s">
        <v>526</v>
      </c>
      <c r="E90" s="195">
        <v>127.8</v>
      </c>
      <c r="F90" s="148" t="s">
        <v>47</v>
      </c>
      <c r="M90" s="141" t="s">
        <v>426</v>
      </c>
      <c r="N90" s="192">
        <v>49.6</v>
      </c>
      <c r="O90" s="148" t="s">
        <v>47</v>
      </c>
      <c r="P90" s="123" t="s">
        <v>736</v>
      </c>
      <c r="Q90" s="134">
        <v>2.97</v>
      </c>
      <c r="R90" s="123" t="s">
        <v>88</v>
      </c>
    </row>
    <row r="91" spans="1:18" ht="18" x14ac:dyDescent="0.25">
      <c r="A91" s="131"/>
      <c r="B91" s="138"/>
      <c r="C91" s="132"/>
      <c r="D91" s="127" t="s">
        <v>527</v>
      </c>
      <c r="E91" s="147">
        <f>((EF_res_c*AAF_res_c*IRPT_res_c)+(EF_res_a*AAF_res_a*IRPT_res_a))</f>
        <v>38249.75</v>
      </c>
      <c r="F91" s="148" t="s">
        <v>213</v>
      </c>
      <c r="J91" s="127"/>
      <c r="K91" s="143"/>
      <c r="M91" s="141" t="s">
        <v>427</v>
      </c>
      <c r="N91" s="192">
        <v>98.9</v>
      </c>
      <c r="O91" s="148" t="s">
        <v>47</v>
      </c>
      <c r="P91" s="123" t="s">
        <v>737</v>
      </c>
      <c r="Q91" s="134">
        <v>0.53</v>
      </c>
      <c r="R91" s="123" t="s">
        <v>88</v>
      </c>
    </row>
    <row r="92" spans="1:18" ht="18" x14ac:dyDescent="0.25">
      <c r="A92" s="131"/>
      <c r="B92" s="139"/>
      <c r="C92" s="132"/>
      <c r="D92" s="127" t="s">
        <v>528</v>
      </c>
      <c r="E92" s="195">
        <v>21.2</v>
      </c>
      <c r="F92" s="148" t="s">
        <v>47</v>
      </c>
      <c r="J92" s="127"/>
      <c r="K92" s="143"/>
      <c r="M92" s="130" t="s">
        <v>428</v>
      </c>
      <c r="N92" s="244">
        <f>((EF_far_c*AAF_far_c*IRRI_far_c)+(EF_far_a*AAF_far_a*IRRI_far_a))</f>
        <v>32026.75</v>
      </c>
      <c r="O92" s="148" t="s">
        <v>213</v>
      </c>
      <c r="P92" s="123" t="s">
        <v>738</v>
      </c>
      <c r="Q92" s="134">
        <v>1</v>
      </c>
      <c r="R92" s="123"/>
    </row>
    <row r="93" spans="1:18" ht="18" x14ac:dyDescent="0.25">
      <c r="A93" s="131"/>
      <c r="B93" s="139"/>
      <c r="C93" s="132"/>
      <c r="D93" s="127" t="s">
        <v>529</v>
      </c>
      <c r="E93" s="195">
        <v>63.5</v>
      </c>
      <c r="F93" s="148" t="s">
        <v>47</v>
      </c>
      <c r="J93" s="127"/>
      <c r="K93" s="143"/>
      <c r="M93" s="141" t="s">
        <v>429</v>
      </c>
      <c r="N93" s="192">
        <v>28.7</v>
      </c>
      <c r="O93" s="148" t="s">
        <v>47</v>
      </c>
      <c r="P93" s="123" t="s">
        <v>739</v>
      </c>
      <c r="Q93" s="134">
        <v>1</v>
      </c>
      <c r="R93" s="123"/>
    </row>
    <row r="94" spans="1:18" ht="18" x14ac:dyDescent="0.25">
      <c r="A94" s="131"/>
      <c r="B94" s="139"/>
      <c r="C94" s="132"/>
      <c r="D94" s="127" t="s">
        <v>530</v>
      </c>
      <c r="E94" s="147">
        <f>((EF_res_c*AAF_res_c*IRPU_res_c)+(EF_res_a*AAF_res_a*IRPU_res_a))</f>
        <v>18819.849999999999</v>
      </c>
      <c r="F94" s="148" t="s">
        <v>213</v>
      </c>
      <c r="J94" s="127"/>
      <c r="K94" s="143"/>
      <c r="M94" s="141" t="s">
        <v>430</v>
      </c>
      <c r="N94" s="192">
        <v>54.5</v>
      </c>
      <c r="O94" s="148" t="s">
        <v>47</v>
      </c>
    </row>
    <row r="95" spans="1:18" ht="18" x14ac:dyDescent="0.25">
      <c r="A95" s="131"/>
      <c r="B95" s="139"/>
      <c r="C95" s="132"/>
      <c r="D95" s="127" t="s">
        <v>531</v>
      </c>
      <c r="E95" s="195">
        <v>41</v>
      </c>
      <c r="F95" s="148" t="s">
        <v>47</v>
      </c>
      <c r="J95" s="127"/>
      <c r="K95" s="143"/>
      <c r="M95" s="130" t="s">
        <v>431</v>
      </c>
      <c r="N95" s="244">
        <f>((EF_far_c*AAF_far_c*IRSN_far_c)+(EF_far_a*AAF_far_a*IRSN_far_a))</f>
        <v>17720.5</v>
      </c>
      <c r="O95" s="148" t="s">
        <v>213</v>
      </c>
    </row>
    <row r="96" spans="1:18" ht="18" x14ac:dyDescent="0.25">
      <c r="A96" s="131"/>
      <c r="B96" s="139"/>
      <c r="C96" s="132"/>
      <c r="D96" s="127" t="s">
        <v>532</v>
      </c>
      <c r="E96" s="195">
        <v>81.900000000000006</v>
      </c>
      <c r="F96" s="148" t="s">
        <v>47</v>
      </c>
      <c r="M96" s="141" t="s">
        <v>432</v>
      </c>
      <c r="N96" s="192">
        <v>27.5</v>
      </c>
      <c r="O96" s="148" t="s">
        <v>47</v>
      </c>
    </row>
    <row r="97" spans="1:15" ht="18" x14ac:dyDescent="0.25">
      <c r="A97" s="131"/>
      <c r="B97" s="144"/>
      <c r="C97" s="132"/>
      <c r="D97" s="127" t="s">
        <v>533</v>
      </c>
      <c r="E97" s="147">
        <f>((EF_res_c*AAF_res_c*IRRI_res_c)+(EF_res_a*AAF_res_a*IRRI_res_a))</f>
        <v>25372.550000000003</v>
      </c>
      <c r="F97" s="148" t="s">
        <v>213</v>
      </c>
      <c r="J97" s="127"/>
      <c r="K97" s="143"/>
      <c r="M97" s="141" t="s">
        <v>433</v>
      </c>
      <c r="N97" s="192">
        <v>40.6</v>
      </c>
      <c r="O97" s="148" t="s">
        <v>47</v>
      </c>
    </row>
    <row r="98" spans="1:15" ht="18" x14ac:dyDescent="0.25">
      <c r="A98" s="132"/>
      <c r="B98" s="140"/>
      <c r="C98" s="132"/>
      <c r="D98" s="127" t="s">
        <v>534</v>
      </c>
      <c r="E98" s="195">
        <v>28.3</v>
      </c>
      <c r="F98" s="148" t="s">
        <v>47</v>
      </c>
      <c r="J98" s="127"/>
      <c r="K98" s="143"/>
      <c r="M98" s="130" t="s">
        <v>434</v>
      </c>
      <c r="N98" s="244">
        <f>((EF_far_c*AAF_far_c*IRST_far_c)+(EF_far_a*AAF_far_a*IRST_far_a))</f>
        <v>13522.25</v>
      </c>
      <c r="O98" s="148" t="s">
        <v>213</v>
      </c>
    </row>
    <row r="99" spans="1:15" ht="18" x14ac:dyDescent="0.25">
      <c r="A99" s="132"/>
      <c r="B99" s="140"/>
      <c r="C99" s="130"/>
      <c r="D99" s="127" t="s">
        <v>535</v>
      </c>
      <c r="E99" s="195">
        <v>53.8</v>
      </c>
      <c r="F99" s="148" t="s">
        <v>47</v>
      </c>
      <c r="M99" s="141" t="s">
        <v>435</v>
      </c>
      <c r="N99" s="192">
        <v>42.2</v>
      </c>
      <c r="O99" s="148" t="s">
        <v>47</v>
      </c>
    </row>
    <row r="100" spans="1:15" ht="18" x14ac:dyDescent="0.25">
      <c r="A100" s="132"/>
      <c r="B100" s="140"/>
      <c r="C100" s="130"/>
      <c r="D100" s="127" t="s">
        <v>536</v>
      </c>
      <c r="E100" s="147">
        <f>((EF_res_c*AAF_res_c*IRSN_res_c)+(EF_res_a*AAF_res_a*IRSN_res_a))</f>
        <v>16777.25</v>
      </c>
      <c r="F100" s="148" t="s">
        <v>213</v>
      </c>
      <c r="M100" s="141" t="s">
        <v>436</v>
      </c>
      <c r="N100" s="231">
        <v>94</v>
      </c>
      <c r="O100" s="148" t="s">
        <v>47</v>
      </c>
    </row>
    <row r="101" spans="1:15" ht="18" x14ac:dyDescent="0.25">
      <c r="D101" s="127" t="s">
        <v>537</v>
      </c>
      <c r="E101" s="195">
        <v>27.5</v>
      </c>
      <c r="F101" s="148" t="s">
        <v>47</v>
      </c>
      <c r="M101" s="130" t="s">
        <v>437</v>
      </c>
      <c r="N101" s="244">
        <f>((EF_far_c*AAF_far_c*IRTO_far_c)+(EF_far_a*AAF_far_a*IRTO_far_a))</f>
        <v>30180.5</v>
      </c>
      <c r="O101" s="148" t="s">
        <v>213</v>
      </c>
    </row>
    <row r="102" spans="1:15" ht="18" x14ac:dyDescent="0.25">
      <c r="D102" s="127" t="s">
        <v>538</v>
      </c>
      <c r="E102" s="195">
        <v>40.6</v>
      </c>
      <c r="F102" s="148" t="s">
        <v>47</v>
      </c>
      <c r="M102" s="148" t="s">
        <v>450</v>
      </c>
      <c r="N102" s="153">
        <v>1.6000000000000001E-4</v>
      </c>
    </row>
    <row r="103" spans="1:15" ht="18" x14ac:dyDescent="0.25">
      <c r="D103" s="127" t="s">
        <v>539</v>
      </c>
      <c r="E103" s="147">
        <f>((EF_res_c*AAF_res_c*IRST_res_c)+(EF_res_a*AAF_res_a*IRST_res_a))</f>
        <v>13155.45</v>
      </c>
      <c r="F103" s="148" t="s">
        <v>213</v>
      </c>
      <c r="M103" s="148" t="s">
        <v>451</v>
      </c>
      <c r="N103" s="153">
        <v>7.8999999999999996E-5</v>
      </c>
    </row>
    <row r="104" spans="1:15" ht="18" x14ac:dyDescent="0.25">
      <c r="D104" s="127" t="s">
        <v>540</v>
      </c>
      <c r="E104" s="195">
        <v>36</v>
      </c>
      <c r="F104" s="148" t="s">
        <v>47</v>
      </c>
      <c r="M104" s="148" t="s">
        <v>452</v>
      </c>
      <c r="N104" s="153">
        <v>1.3799999999999999E-4</v>
      </c>
    </row>
    <row r="105" spans="1:15" ht="18" x14ac:dyDescent="0.25">
      <c r="D105" s="127" t="s">
        <v>541</v>
      </c>
      <c r="E105" s="195">
        <v>80.099999999999994</v>
      </c>
      <c r="F105" s="148" t="s">
        <v>47</v>
      </c>
      <c r="M105" s="148" t="s">
        <v>453</v>
      </c>
      <c r="N105" s="153">
        <v>1.66E-4</v>
      </c>
    </row>
    <row r="106" spans="1:15" ht="18" x14ac:dyDescent="0.25">
      <c r="D106" s="127" t="s">
        <v>542</v>
      </c>
      <c r="E106" s="147">
        <f>((EF_res_c*AAF_res_c*IRTO_res_c)+(EF_res_a*AAF_res_a*IRTO_res_a))</f>
        <v>24484.949999999997</v>
      </c>
      <c r="F106" s="148" t="s">
        <v>213</v>
      </c>
      <c r="M106" s="148" t="s">
        <v>454</v>
      </c>
      <c r="N106" s="153">
        <v>1.01E-3</v>
      </c>
    </row>
    <row r="107" spans="1:15" ht="18" x14ac:dyDescent="0.25">
      <c r="M107" s="148" t="s">
        <v>455</v>
      </c>
      <c r="N107" s="153">
        <v>1.05E-4</v>
      </c>
    </row>
    <row r="108" spans="1:15" ht="18" x14ac:dyDescent="0.25">
      <c r="M108" s="148" t="s">
        <v>456</v>
      </c>
      <c r="N108" s="153">
        <v>9.7E-5</v>
      </c>
    </row>
    <row r="109" spans="1:15" ht="18" x14ac:dyDescent="0.25">
      <c r="M109" s="148" t="s">
        <v>457</v>
      </c>
      <c r="N109" s="153">
        <v>1.5699999999999999E-4</v>
      </c>
    </row>
    <row r="110" spans="1:15" ht="18" x14ac:dyDescent="0.25">
      <c r="M110" s="148" t="s">
        <v>458</v>
      </c>
      <c r="N110" s="153">
        <v>1.45E-4</v>
      </c>
    </row>
    <row r="111" spans="1:15" ht="18" x14ac:dyDescent="0.25">
      <c r="M111" s="148" t="s">
        <v>459</v>
      </c>
      <c r="N111" s="153">
        <v>4.0000000000000003E-5</v>
      </c>
    </row>
    <row r="112" spans="1:15" ht="18" x14ac:dyDescent="0.25">
      <c r="M112" s="148" t="s">
        <v>460</v>
      </c>
      <c r="N112" s="153">
        <v>1.35E-2</v>
      </c>
    </row>
    <row r="113" spans="13:14" ht="18" x14ac:dyDescent="0.25">
      <c r="M113" s="148" t="s">
        <v>461</v>
      </c>
      <c r="N113" s="153">
        <v>3.8300000000000001E-3</v>
      </c>
    </row>
    <row r="114" spans="13:14" ht="18" x14ac:dyDescent="0.25">
      <c r="M114" s="148" t="s">
        <v>462</v>
      </c>
      <c r="N114" s="153">
        <v>8.0000000000000007E-5</v>
      </c>
    </row>
    <row r="115" spans="13:14" ht="18" x14ac:dyDescent="0.25">
      <c r="M115" s="148" t="s">
        <v>463</v>
      </c>
      <c r="N115" s="153">
        <v>9.7E-5</v>
      </c>
    </row>
    <row r="116" spans="13:14" ht="18" x14ac:dyDescent="0.25">
      <c r="M116" s="148" t="s">
        <v>464</v>
      </c>
      <c r="N116" s="153">
        <v>1.4999999999999999E-4</v>
      </c>
    </row>
    <row r="117" spans="13:14" ht="18" x14ac:dyDescent="0.25">
      <c r="M117" s="148" t="s">
        <v>465</v>
      </c>
      <c r="N117" s="153">
        <v>1.6000000000000001E-4</v>
      </c>
    </row>
    <row r="118" spans="13:14" ht="18" x14ac:dyDescent="0.25">
      <c r="M118" s="148" t="s">
        <v>466</v>
      </c>
      <c r="N118" s="153">
        <v>1.7799999999999999E-4</v>
      </c>
    </row>
    <row r="119" spans="13:14" ht="18" x14ac:dyDescent="0.25">
      <c r="M119" s="198" t="s">
        <v>1278</v>
      </c>
      <c r="N119" s="199">
        <v>2.2200000000000002E-3</v>
      </c>
    </row>
    <row r="120" spans="13:14" ht="18" x14ac:dyDescent="0.25">
      <c r="M120" s="148" t="s">
        <v>467</v>
      </c>
      <c r="N120" s="153">
        <v>2.1000000000000001E-4</v>
      </c>
    </row>
    <row r="121" spans="13:14" ht="18" x14ac:dyDescent="0.25">
      <c r="M121" s="148" t="s">
        <v>468</v>
      </c>
      <c r="N121" s="153">
        <v>5.8E-5</v>
      </c>
    </row>
    <row r="122" spans="13:14" ht="18" x14ac:dyDescent="0.25">
      <c r="M122" s="148" t="s">
        <v>469</v>
      </c>
      <c r="N122" s="153">
        <v>5.0000000000000001E-3</v>
      </c>
    </row>
    <row r="123" spans="13:14" ht="18" x14ac:dyDescent="0.25">
      <c r="M123" s="148" t="s">
        <v>470</v>
      </c>
      <c r="N123" s="153">
        <v>8.0000000000000007E-5</v>
      </c>
    </row>
    <row r="124" spans="13:14" ht="18" x14ac:dyDescent="0.25">
      <c r="M124" s="148" t="s">
        <v>471</v>
      </c>
      <c r="N124" s="199">
        <v>1.7700000000000001E-3</v>
      </c>
    </row>
    <row r="125" spans="13:14" ht="18" x14ac:dyDescent="0.25">
      <c r="M125" s="148" t="s">
        <v>472</v>
      </c>
      <c r="N125" s="153">
        <v>0.25</v>
      </c>
    </row>
    <row r="126" spans="13:14" ht="18" x14ac:dyDescent="0.25">
      <c r="M126" s="148" t="s">
        <v>473</v>
      </c>
      <c r="N126" s="153">
        <v>0.25</v>
      </c>
    </row>
  </sheetData>
  <sheetProtection algorithmName="SHA-512" hashValue="CORy5hTfNcp5jOgJsdccUKVFiwYUdZWaZdRCpBqL6zcrZ0r4CtdtGKRgIlc0sDyzMoOn6JWw0J8b/faVXyf9nQ==" saltValue="Ql+zgY2XqIdkUXifaiIx5Q==" spinCount="100000" sheet="1" formatColumns="0" formatRows="0" autoFilter="0"/>
  <mergeCells count="6">
    <mergeCell ref="A1:C1"/>
    <mergeCell ref="P1:R1"/>
    <mergeCell ref="M1:O1"/>
    <mergeCell ref="J1:L1"/>
    <mergeCell ref="G1:I1"/>
    <mergeCell ref="D1:F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9" tint="-0.499984740745262"/>
  </sheetPr>
  <dimension ref="A1:AY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5703125" style="15" bestFit="1" customWidth="1"/>
    <col min="2" max="2" width="11.85546875" style="15" bestFit="1" customWidth="1"/>
    <col min="3" max="3" width="13.28515625" style="4" customWidth="1"/>
    <col min="4" max="4" width="15.140625" style="15" bestFit="1" customWidth="1"/>
    <col min="5" max="5" width="15.28515625" style="15" bestFit="1" customWidth="1"/>
    <col min="6" max="6" width="15" style="15" bestFit="1" customWidth="1"/>
    <col min="7" max="7" width="19.85546875" style="15" bestFit="1" customWidth="1"/>
    <col min="8" max="8" width="16.7109375" style="15" bestFit="1" customWidth="1"/>
    <col min="9" max="9" width="14.7109375" style="15" bestFit="1" customWidth="1"/>
    <col min="10" max="10" width="17" style="2" bestFit="1" customWidth="1"/>
    <col min="11" max="13" width="14.28515625" style="15" bestFit="1" customWidth="1"/>
    <col min="14" max="14" width="18.42578125" style="15" bestFit="1" customWidth="1"/>
    <col min="15" max="15" width="14.7109375" style="15" bestFit="1" customWidth="1"/>
    <col min="16" max="16" width="14.140625" style="15" bestFit="1" customWidth="1"/>
    <col min="17" max="18" width="15.7109375" style="15" bestFit="1" customWidth="1"/>
    <col min="19" max="19" width="17" style="15" bestFit="1" customWidth="1"/>
    <col min="20" max="20" width="14.42578125" style="15" bestFit="1" customWidth="1"/>
    <col min="21" max="21" width="15.42578125" style="3" bestFit="1" customWidth="1"/>
    <col min="22" max="23" width="17.28515625" style="3" bestFit="1" customWidth="1"/>
    <col min="24" max="24" width="18.42578125" style="3" bestFit="1" customWidth="1"/>
    <col min="25" max="25" width="15.5703125" style="3" bestFit="1" customWidth="1"/>
    <col min="26" max="26" width="13.42578125" style="15" bestFit="1" customWidth="1"/>
    <col min="27" max="28" width="15.28515625" style="15" bestFit="1" customWidth="1"/>
    <col min="29" max="29" width="16.42578125" style="15" bestFit="1" customWidth="1"/>
    <col min="30" max="30" width="13.7109375" style="15" bestFit="1" customWidth="1"/>
    <col min="31" max="31" width="14.28515625" style="15" bestFit="1" customWidth="1"/>
    <col min="32" max="32" width="14.5703125" style="15" bestFit="1" customWidth="1"/>
    <col min="33" max="33" width="13.7109375" style="15" bestFit="1" customWidth="1"/>
    <col min="34" max="34" width="15" style="3" bestFit="1" customWidth="1"/>
    <col min="35" max="35" width="13.5703125" style="15" bestFit="1" customWidth="1"/>
    <col min="36" max="36" width="13.85546875" style="15" bestFit="1" customWidth="1"/>
    <col min="37" max="37" width="14.140625" style="15" bestFit="1" customWidth="1"/>
    <col min="38" max="38" width="14.5703125" style="15" bestFit="1" customWidth="1"/>
    <col min="39" max="39" width="14.7109375" style="15" bestFit="1" customWidth="1"/>
    <col min="40" max="40" width="15.7109375" style="15" bestFit="1" customWidth="1"/>
    <col min="41" max="41" width="19.28515625" style="15" bestFit="1" customWidth="1"/>
    <col min="42" max="42" width="14.28515625" style="15" bestFit="1" customWidth="1"/>
    <col min="43" max="43" width="15.42578125" style="3" bestFit="1" customWidth="1"/>
    <col min="44" max="45" width="14.140625" style="15" bestFit="1" customWidth="1"/>
    <col min="46" max="46" width="15.42578125" style="15" bestFit="1" customWidth="1"/>
    <col min="47" max="47" width="18.5703125" style="15" bestFit="1" customWidth="1"/>
    <col min="48" max="48" width="14.5703125" style="15" bestFit="1" customWidth="1"/>
    <col min="49" max="49" width="14.42578125" style="15" bestFit="1" customWidth="1"/>
    <col min="50" max="50" width="15.42578125" style="3" bestFit="1" customWidth="1"/>
    <col min="51" max="51" width="13.85546875" style="15" bestFit="1" customWidth="1"/>
    <col min="52" max="16384" width="9.140625" style="15"/>
  </cols>
  <sheetData>
    <row r="1" spans="1:51" x14ac:dyDescent="0.25">
      <c r="A1" s="39" t="s">
        <v>39</v>
      </c>
      <c r="B1" s="39" t="s">
        <v>334</v>
      </c>
      <c r="C1" s="72"/>
      <c r="D1" s="15" t="s">
        <v>1372</v>
      </c>
      <c r="E1" s="15" t="s">
        <v>1373</v>
      </c>
      <c r="F1" s="15" t="s">
        <v>1374</v>
      </c>
      <c r="G1" s="15" t="s">
        <v>1375</v>
      </c>
      <c r="H1" s="15" t="s">
        <v>1484</v>
      </c>
      <c r="I1" s="15" t="s">
        <v>1377</v>
      </c>
      <c r="J1" s="189" t="s">
        <v>1255</v>
      </c>
      <c r="K1" s="43" t="s">
        <v>1169</v>
      </c>
      <c r="L1" s="43" t="s">
        <v>1170</v>
      </c>
      <c r="M1" s="43" t="s">
        <v>1171</v>
      </c>
      <c r="N1" s="43" t="s">
        <v>1172</v>
      </c>
      <c r="O1" s="41" t="s">
        <v>1510</v>
      </c>
      <c r="P1" s="42" t="s">
        <v>1378</v>
      </c>
      <c r="Q1" s="42" t="s">
        <v>1379</v>
      </c>
      <c r="R1" s="42" t="s">
        <v>1380</v>
      </c>
      <c r="S1" s="42" t="s">
        <v>1381</v>
      </c>
      <c r="T1" s="42" t="s">
        <v>1382</v>
      </c>
      <c r="U1" s="188" t="s">
        <v>1256</v>
      </c>
      <c r="V1" s="188" t="s">
        <v>1257</v>
      </c>
      <c r="W1" s="188" t="s">
        <v>1258</v>
      </c>
      <c r="X1" s="188" t="s">
        <v>1259</v>
      </c>
      <c r="Y1" s="188" t="s">
        <v>1260</v>
      </c>
      <c r="Z1" s="43" t="s">
        <v>1173</v>
      </c>
      <c r="AA1" s="43" t="s">
        <v>1174</v>
      </c>
      <c r="AB1" s="43" t="s">
        <v>1175</v>
      </c>
      <c r="AC1" s="43" t="s">
        <v>1176</v>
      </c>
      <c r="AD1" s="43" t="s">
        <v>1177</v>
      </c>
      <c r="AE1" s="42" t="s">
        <v>1383</v>
      </c>
      <c r="AF1" s="42" t="s">
        <v>1384</v>
      </c>
      <c r="AG1" s="42" t="s">
        <v>1385</v>
      </c>
      <c r="AH1" s="188" t="s">
        <v>1261</v>
      </c>
      <c r="AI1" s="43" t="s">
        <v>1178</v>
      </c>
      <c r="AJ1" s="43" t="s">
        <v>1179</v>
      </c>
      <c r="AK1" s="41" t="s">
        <v>1511</v>
      </c>
      <c r="AL1" s="15" t="s">
        <v>1386</v>
      </c>
      <c r="AM1" s="15" t="s">
        <v>1387</v>
      </c>
      <c r="AN1" s="15" t="s">
        <v>1388</v>
      </c>
      <c r="AO1" s="15" t="s">
        <v>1389</v>
      </c>
      <c r="AP1" s="15" t="s">
        <v>1390</v>
      </c>
      <c r="AQ1" s="189" t="s">
        <v>1262</v>
      </c>
      <c r="AR1" s="43" t="s">
        <v>1180</v>
      </c>
      <c r="AS1" s="43" t="s">
        <v>1181</v>
      </c>
      <c r="AT1" s="43" t="s">
        <v>1182</v>
      </c>
      <c r="AU1" s="43" t="s">
        <v>1183</v>
      </c>
      <c r="AV1" s="41" t="s">
        <v>1512</v>
      </c>
      <c r="AW1" s="42" t="s">
        <v>1391</v>
      </c>
      <c r="AX1" s="189" t="s">
        <v>1518</v>
      </c>
      <c r="AY1" s="43" t="s">
        <v>1184</v>
      </c>
    </row>
    <row r="2" spans="1:51" x14ac:dyDescent="0.25">
      <c r="A2" s="44" t="s">
        <v>0</v>
      </c>
      <c r="B2" s="42" t="s">
        <v>1057</v>
      </c>
      <c r="C2" s="42"/>
      <c r="D2" s="15">
        <f>IFERROR(((s_DL/(up_RadSpec!E2*s_IFS_res_adj*(1/1000)))*1),".")</f>
        <v>0.33057851239669422</v>
      </c>
      <c r="E2" s="15">
        <f>IFERROR(IF(A2="H-3",(s_DL/((up_RadSpec!H2*s_IFA_res_adj*(1/17)*1000))*1),(s_DL/((up_RadSpec!H2*s_IFA_res_adj*(1/s_PEF_wind)*1000))*1)),".")</f>
        <v>3089.9917851942919</v>
      </c>
      <c r="F2" s="15">
        <f>IFERROR((s_DL/(up_RadSpec!G2*s_EF_res*(1/365)*1*up_RadSpec!R2*((s_ET_res_o*(1/24)*up_RadSpec!W2)+(s_ET_res_i*(1/24)*up_RadSpec!AB2))))*1,".")</f>
        <v>939.40305308726374</v>
      </c>
      <c r="G2" s="15">
        <f>up_b2s!C2</f>
        <v>3.2968835384132272E-5</v>
      </c>
      <c r="H2" s="15">
        <f>up_dir!C2</f>
        <v>1.6528925619834712E-4</v>
      </c>
      <c r="I2" s="15">
        <f>(IF(AND(D2&lt;&gt;".",E2&lt;&gt;".",F2&lt;&gt;".",G2&lt;&gt;"."),1/((1/D2)+(1/E2)+(1/F2)+(1/G2)),IF(AND(D2&lt;&gt;".",E2&lt;&gt;".",F2&lt;&gt;".",G2="."),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3.2965546197572258E-5</v>
      </c>
      <c r="J2" s="189">
        <f>IFERROR(I2*(0.0000000000028)*up_RadSpec!$AY2*up_RadSpec!$AF2,0)</f>
        <v>1.0384147052235261E-13</v>
      </c>
      <c r="K2" s="40">
        <f t="shared" ref="K2:K30" si="0">s_C*s_IFS_res_adj*(1/1000)</f>
        <v>15.125</v>
      </c>
      <c r="L2" s="40">
        <f t="shared" ref="L2:L30" si="1">s_C*s_IFA_res_adj*(1/s_PEF_wind)*1000</f>
        <v>1.6181272791589674E-3</v>
      </c>
      <c r="M2" s="40">
        <f>IFERROR((s_C*s_EF_res*(1/365)*1*up_RadSpec!R2*((s_ET_res_o*(1/24)*up_RadSpec!W2)+(s_ET_res_i*(1/24)*up_RadSpec!AB2))),".")</f>
        <v>5.3225290077224567E-3</v>
      </c>
      <c r="N2" s="40">
        <f>up_b2s!AC2</f>
        <v>151658.375</v>
      </c>
      <c r="O2" s="18"/>
      <c r="P2" s="15">
        <f>IFERROR((s_DL/(up_RadSpec!G2*s_EF_res*(1/365)*1*up_RadSpec!R2*((s_ET_res_o*(1/24)*up_RadSpec!W2)+(s_ET_res_i*(1/24)*up_RadSpec!AB2))))*1,".")</f>
        <v>939.40305308726374</v>
      </c>
      <c r="Q2" s="15">
        <f>IFERROR((s_DL/(up_RadSpec!N2*s_EF_res*(1/365)*1*up_RadSpec!S2*((s_ET_res_o*(1/24)*up_RadSpec!X2)+(s_ET_res_i*(1/24)*up_RadSpec!AC2))))*1,".")</f>
        <v>1899.412977947009</v>
      </c>
      <c r="R2" s="15">
        <f>IFERROR((s_DL/(up_RadSpec!O2*s_EF_res*(1/365)*1*up_RadSpec!T2*((s_ET_res_o*(1/24)*up_RadSpec!Y2)+(s_ET_res_i*(1/24)*up_RadSpec!AD2))))*1,".")</f>
        <v>1290.059473237043</v>
      </c>
      <c r="S2" s="15">
        <f>IFERROR((s_DL/(up_RadSpec!P2*s_EF_res*(1/365)*1*up_RadSpec!U2*((s_ET_res_o*(1/24)*up_RadSpec!Z2)+(s_ET_res_i*(1/24)*up_RadSpec!AE2))))*1,".")</f>
        <v>1072.3245527167094</v>
      </c>
      <c r="T2" s="15">
        <f>IFERROR((s_DL/(up_RadSpec!L2*s_EF_res*(1/365)*1*up_RadSpec!Q2*((s_ET_res_o*(1/24)*up_RadSpec!V2)+(s_ET_res_i*(1/24)*up_RadSpec!AA2))))*1,".")</f>
        <v>15030.661116333202</v>
      </c>
      <c r="U2" s="189">
        <f>IFERROR(P2*(0.0000000000028)*up_RadSpec!$AY2*up_RadSpec!$AF2,0)</f>
        <v>2.959119617224881E-6</v>
      </c>
      <c r="V2" s="189">
        <f>IFERROR(Q2*(0.0000000000028)*up_RadSpec!$AY2*up_RadSpec!$AF2,0)</f>
        <v>5.9831508805330796E-6</v>
      </c>
      <c r="W2" s="189">
        <f>IFERROR(R2*(0.0000000000028)*up_RadSpec!$AY2*up_RadSpec!$AF2,0)</f>
        <v>4.0636873406966863E-6</v>
      </c>
      <c r="X2" s="189">
        <f>IFERROR(S2*(0.0000000000028)*up_RadSpec!$AY2*up_RadSpec!$AF2,0)</f>
        <v>3.3778223410576344E-6</v>
      </c>
      <c r="Y2" s="189">
        <f>IFERROR(T2*(0.0000000000028)*up_RadSpec!$AY2*up_RadSpec!$AF2,0)</f>
        <v>4.734658251644959E-5</v>
      </c>
      <c r="Z2" s="40">
        <f>IFERROR((s_C*s_EF_res*(1/365)*1*up_RadSpec!R2*((s_ET_res_o*(1/24)*up_RadSpec!W2)+(s_ET_res_i*(1/24)*up_RadSpec!AB2))),".")</f>
        <v>5.3225290077224567E-3</v>
      </c>
      <c r="AA2" s="40">
        <f>IFERROR((s_C*s_EF_res*(1/365)*1*up_RadSpec!S2*((s_ET_res_o*(1/24)*up_RadSpec!X2)+(s_ET_res_i*(1/24)*up_RadSpec!AC2))),".")</f>
        <v>2.6323922485800206E-3</v>
      </c>
      <c r="AB2" s="40">
        <f>IFERROR((s_C*s_EF_res*(1/365)*1*up_RadSpec!T2*((s_ET_res_o*(1/24)*up_RadSpec!Y2)+(s_ET_res_i*(1/24)*up_RadSpec!AD2))),".")</f>
        <v>3.8757903055848275E-3</v>
      </c>
      <c r="AC2" s="40">
        <f>IFERROR((s_C*s_EF_res*(1/365)*1*up_RadSpec!U2*((s_ET_res_o*(1/24)*up_RadSpec!Z2)+(s_ET_res_i*(1/24)*up_RadSpec!AE2))),".")</f>
        <v>4.6627674311220573E-3</v>
      </c>
      <c r="AD2" s="40">
        <f>IFERROR((s_C*s_EF_res*(1/365)*1*up_RadSpec!Q2*((s_ET_res_o*(1/24)*up_RadSpec!V2)+(s_ET_res_i*(1/24)*up_RadSpec!AA2))),".")</f>
        <v>3.3265336509827271E-4</v>
      </c>
      <c r="AE2" s="15">
        <f>IFERROR((s_DL/(up_RadSpec!H2*s_IFA_res_adj)),".")</f>
        <v>9.9740259740259754E-3</v>
      </c>
      <c r="AF2" s="15">
        <f>IFERROR((s_DL/(up_RadSpec!K2*s_EF_res*(1/365)*1*s_ET_res*(1/24)*s_GSF_a)),".")</f>
        <v>63.709090909090911</v>
      </c>
      <c r="AG2" s="15">
        <f>IFERROR(IF(AND(AE2&lt;&gt;".",AF2&lt;&gt;"."),1/((1/AE2)+(1/AF2)),IF(AND(AE2&lt;&gt;".",AF2="."),1/((1/AE2)),IF(AND(AE2=".",AF2&lt;&gt;"."),1/((1/AF2)),IF(AND(AE2=".",AF2="."),".")))),".")</f>
        <v>9.9724647271019675E-3</v>
      </c>
      <c r="AH2" s="189">
        <f>AG2*(0.0000000000000028)*up_RadSpec!$AY2*up_RadSpec!$AF2</f>
        <v>3.14132638903712E-14</v>
      </c>
      <c r="AI2" s="40">
        <f t="shared" ref="AI2:AI30" si="2">s_C*s_IFA_res_adj</f>
        <v>501.30208333333326</v>
      </c>
      <c r="AJ2" s="40">
        <f t="shared" ref="AJ2:AJ30" si="3">IFERROR((s_C*s_EF_res*(1/365)*1*s_ET_res*(1/24)*s_GSF_a),".")</f>
        <v>7.8481735159817351E-2</v>
      </c>
      <c r="AK2" s="18"/>
      <c r="AL2" s="15">
        <f>IFERROR((s_DL/(up_RadSpec!I2*s_IFW_res_adj)),".")</f>
        <v>3.6363636363636364E-3</v>
      </c>
      <c r="AM2" s="15" t="str">
        <f>IFERROR(IF(AND(up_RadSpec!C2=1,up_RadSpec!D2&lt;&gt;0),(s_DL/(up_RadSpec!H2*s_IFA_res_adj*s_K*up_RadSpec!D2)),"."),".")</f>
        <v>.</v>
      </c>
      <c r="AN2" s="15">
        <f>IFERROR((s_DL/(up_RadSpec!M2*(1/8760)*s_DFA_res_adj)),".")</f>
        <v>39.81818181818182</v>
      </c>
      <c r="AO2" s="15">
        <f>up_b2w!C2</f>
        <v>1.6443412786038033E-4</v>
      </c>
      <c r="AP2" s="15">
        <f>(IF(AND(AL2&lt;&gt;".",AM2&lt;&gt;".",AN2&lt;&gt;".",AO2&lt;&gt;"."),1/((1/AL2)+(1/AM2)+(1/AN2)+(1/AO2)),IF(AND(AL2&lt;&gt;".",AM2&lt;&gt;".",AN2&lt;&gt;".",AO2="."), 1/((1/AL2)+(1/AM2)+(1/AN2)),IF(AND(AL2&lt;&gt;".",AM2&lt;&gt;".",AN2=".",AO2&lt;&gt;"."),1/((1/AL2)+(1/AM2)+(1/AO2)),IF(AND(AL2&lt;&gt;".",AM2=".",AN2&lt;&gt;".",AO2&lt;&gt;"."),1/((1/AL2)+(1/AN2)+(1/AO2)),IF(AND(AL2=".",AM2&lt;&gt;".",AN2&lt;&gt;".",AO2&lt;&gt;"."),1/((1/AM2)+(1/AN2)+(1/AO2)),IF(AND(AL2&lt;&gt;".",AM2&lt;&gt;".",AN2=".",AO2="."),1/((1/AL2)+(1/AM2)),IF(AND(AL2&lt;&gt;".",AM2=".",AN2&lt;&gt;".",AO2="."),1/((1/AL2)+(1/AN2)),IF(AND(AL2&lt;&gt;".",AM2=".",AN2=".",AO2&lt;&gt;"."),1/((1/AL2)+(1/AO2)),IF(AND(AL2=".",AM2=".",AN2&lt;&gt;".",AO2&lt;&gt;"."),1/((1/AN2)+(1/AO2)),IF(AND(AL2=".",AM2&lt;&gt;".",AN2=".",AO2&lt;&gt;"."),1/((1/AM2)+(1/AO2)),IF(AND(AL2=".",AM2&lt;&gt;".",AN2&lt;&gt;".",AO2="."),1/((1/AM2)+(1/AN2)),IF(AND(AL2&lt;&gt;".",AM2=".",AN2=".",AO2="."),1/((1/AL2)),IF(AND(AL2=".",AM2&lt;&gt;".",AN2=".",AO2="."),1/((1/AM2)),IF(AND(AL2=".",AM2=".",AN2&lt;&gt;".",AO2="."),1/((1/AN2)),IF(AND(AL2=".",AM2=".",AN2=".",AO2&lt;&gt;"."),1/((1/AO2)),IF(AND(AL2=".",AM2=".",AN2=".",AO2="."),".")))))))))))))))))</f>
        <v>1.5731958335636468E-4</v>
      </c>
      <c r="AQ2" s="189">
        <f>AP2*(0.0000000000000028)*up_RadSpec!$AY2*up_RadSpec!$AF2</f>
        <v>4.9555668757254879E-16</v>
      </c>
      <c r="AR2" s="40">
        <f t="shared" ref="AR2:AR30" si="4">s_C*s_IFW_res_adj</f>
        <v>1375</v>
      </c>
      <c r="AS2" s="40">
        <f>IF(up_RadSpec!D2&lt;&gt;"",s_C*s_IFA_res_adj*s_K*up_RadSpec!D2,0)</f>
        <v>0</v>
      </c>
      <c r="AT2" s="40">
        <f t="shared" ref="AT2:AT30" si="5">s_C*(1/8760)*s_DFA_res_adj</f>
        <v>0.12557077625570776</v>
      </c>
      <c r="AU2" s="40">
        <f>up_b2w!AC2</f>
        <v>30407.313038114935</v>
      </c>
      <c r="AV2" s="18"/>
      <c r="AW2" s="15">
        <f>IFERROR(s_DL/(up_RadSpec!F2*s_EF_res*1*s_IRF_res*0.001*s_CF_res_fish),".")</f>
        <v>6.6115702479338848E-4</v>
      </c>
      <c r="AX2" s="189">
        <f>IFERROR(AW2*(0.0000000000028)*up_RadSpec!$AY2*up_RadSpec!$AF2,0)</f>
        <v>2.0826446280991739E-12</v>
      </c>
      <c r="AY2" s="40">
        <f t="shared" ref="AY2:AY30" si="6">s_C*s_EF_res*1*s_IRF_res*0.001*s_CF_res_fish</f>
        <v>7562.5</v>
      </c>
    </row>
    <row r="3" spans="1:51" x14ac:dyDescent="0.25">
      <c r="A3" s="46" t="s">
        <v>1</v>
      </c>
      <c r="B3" s="42" t="s">
        <v>335</v>
      </c>
      <c r="C3" s="42"/>
      <c r="D3" s="15">
        <f>IFERROR(((s_DL/(up_RadSpec!E3*s_IFS_res_adj*(1/1000)))*1),".")</f>
        <v>0.33057851239669422</v>
      </c>
      <c r="E3" s="15">
        <f>IFERROR(IF(A3="H-3",(s_DL/((up_RadSpec!H3*s_IFA_res_adj*(1/17)*1000))*1),(s_DL/((up_RadSpec!H3*s_IFA_res_adj*(1/s_PEF_wind)*1000))*1)),".")</f>
        <v>3089.9917851942919</v>
      </c>
      <c r="F3" s="15">
        <f>IFERROR((s_DL/(up_RadSpec!G3*s_EF_res*(1/365)*1*up_RadSpec!R3*((s_ET_res_o*(1/24)*up_RadSpec!W3)+(s_ET_res_i*(1/24)*up_RadSpec!AB3))))*1,".")</f>
        <v>123246.7532467533</v>
      </c>
      <c r="G3" s="15">
        <f>up_b2s!C3</f>
        <v>3.2968835384132272E-5</v>
      </c>
      <c r="H3" s="15">
        <f>up_dir!C3</f>
        <v>1.6528925619834712E-4</v>
      </c>
      <c r="I3" s="15">
        <f t="shared" ref="I3:I10" si="7">(IF(AND(D3&lt;&gt;".",E3&lt;&gt;".",F3&lt;&gt;".",G3&lt;&gt;"."),1/((1/D3)+(1/E3)+(1/F3)+(1/G3)),IF(AND(D3&lt;&gt;".",E3&lt;&gt;".",F3&lt;&gt;".",G3="."), 1/((1/D3)+(1/E3)+(1/F3)),IF(AND(D3&lt;&gt;".",E3&lt;&gt;".",F3=".",G3&lt;&gt;"."),1/((1/D3)+(1/E3)+(1/G3)),IF(AND(D3&lt;&gt;".",E3=".",F3&lt;&gt;".",G3&lt;&gt;"."),1/((1/D3)+(1/F3)+(1/G3)),IF(AND(D3=".",E3&lt;&gt;".",F3&lt;&gt;".",G3&lt;&gt;"."),1/((1/E3)+(1/F3)+(1/G3)),IF(AND(D3&lt;&gt;".",E3&lt;&gt;".",F3=".",G3="."),1/((1/D3)+(1/E3)),IF(AND(D3&lt;&gt;".",E3=".",F3&lt;&gt;".",G3="."),1/((1/D3)+(1/F3)),IF(AND(D3&lt;&gt;".",E3=".",F3=".",G3&lt;&gt;"."),1/((1/D3)+(1/G3)),IF(AND(D3=".",E3=".",F3&lt;&gt;".",G3&lt;&gt;"."),1/((1/F3)+(1/G3)),IF(AND(D3=".",E3&lt;&gt;".",F3=".",G3&lt;&gt;"."),1/((1/E3)+(1/G3)),IF(AND(D3=".",E3&lt;&gt;".",F3&lt;&gt;".",G3="."),1/((1/E3)+(1/F3)),IF(AND(D3&lt;&gt;".",E3=".",F3=".",G3="."),1/((1/D3)),IF(AND(D3=".",E3&lt;&gt;".",F3=".",G3="."),1/((1/E3)),IF(AND(D3=".",E3=".",F3&lt;&gt;".",G3="."),1/((1/F3)),IF(AND(D3=".",E3=".",F3=".",G3&lt;&gt;"."),1/((1/G3)),IF(AND(D3=".",E3=".",F3=".",G3="."),".")))))))))))))))))</f>
        <v>3.2965547345582256E-5</v>
      </c>
      <c r="J3" s="189">
        <f>IFERROR(I3*(0.0000000000028)*up_RadSpec!$AY3*up_RadSpec!$AF3,0)</f>
        <v>1.1122575674399454E-13</v>
      </c>
      <c r="K3" s="40">
        <f t="shared" si="0"/>
        <v>15.125</v>
      </c>
      <c r="L3" s="40">
        <f t="shared" si="1"/>
        <v>1.6181272791589674E-3</v>
      </c>
      <c r="M3" s="40">
        <f>IFERROR((s_C*s_EF_res*(1/365)*1*up_RadSpec!R3*((s_ET_res_o*(1/24)*up_RadSpec!W3)+(s_ET_res_i*(1/24)*up_RadSpec!AB3))),".")</f>
        <v>4.0569020021074795E-5</v>
      </c>
      <c r="N3" s="40">
        <f>up_b2s!AC3</f>
        <v>151658.375</v>
      </c>
      <c r="O3" s="18"/>
      <c r="P3" s="15">
        <f>IFERROR((s_DL/(up_RadSpec!G3*s_EF_res*(1/365)*1*up_RadSpec!R3*((s_ET_res_o*(1/24)*up_RadSpec!W3)+(s_ET_res_i*(1/24)*up_RadSpec!AB3))))*1,".")</f>
        <v>123246.7532467533</v>
      </c>
      <c r="Q3" s="15">
        <f>IFERROR((s_DL/(up_RadSpec!N3*s_EF_res*(1/365)*1*up_RadSpec!S3*((s_ET_res_o*(1/24)*up_RadSpec!X3)+(s_ET_res_i*(1/24)*up_RadSpec!AC3))))*1,".")</f>
        <v>172812.08406846816</v>
      </c>
      <c r="R3" s="15">
        <f>IFERROR((s_DL/(up_RadSpec!O3*s_EF_res*(1/365)*1*up_RadSpec!T3*((s_ET_res_o*(1/24)*up_RadSpec!Y3)+(s_ET_res_i*(1/24)*up_RadSpec!AD3))))*1,".")</f>
        <v>131016.23974552155</v>
      </c>
      <c r="S3" s="15">
        <f>IFERROR((s_DL/(up_RadSpec!P3*s_EF_res*(1/365)*1*up_RadSpec!U3*((s_ET_res_o*(1/24)*up_RadSpec!Z3)+(s_ET_res_i*(1/24)*up_RadSpec!AE3))))*1,".")</f>
        <v>135053.79742667874</v>
      </c>
      <c r="T3" s="15">
        <f>IFERROR((s_DL/(up_RadSpec!L3*s_EF_res*(1/365)*1*up_RadSpec!Q3*((s_ET_res_o*(1/24)*up_RadSpec!V3)+(s_ET_res_i*(1/24)*up_RadSpec!AA3))))*1,".")</f>
        <v>267934.36349970242</v>
      </c>
      <c r="U3" s="189">
        <f>IFERROR(P3*(0.0000000000028)*up_RadSpec!$AY3*up_RadSpec!$AF3,0)</f>
        <v>4.158345454545457E-4</v>
      </c>
      <c r="V3" s="189">
        <f>IFERROR(Q3*(0.0000000000028)*up_RadSpec!$AY3*up_RadSpec!$AF3,0)</f>
        <v>5.830679716470117E-4</v>
      </c>
      <c r="W3" s="189">
        <f>IFERROR(R3*(0.0000000000028)*up_RadSpec!$AY3*up_RadSpec!$AF3,0)</f>
        <v>4.4204879290138973E-4</v>
      </c>
      <c r="X3" s="189">
        <f>IFERROR(S3*(0.0000000000028)*up_RadSpec!$AY3*up_RadSpec!$AF3,0)</f>
        <v>4.5567151251761412E-4</v>
      </c>
      <c r="Y3" s="189">
        <f>IFERROR(T3*(0.0000000000028)*up_RadSpec!$AY3*up_RadSpec!$AF3,0)</f>
        <v>9.0401054244799604E-4</v>
      </c>
      <c r="Z3" s="40">
        <f>IFERROR((s_C*s_EF_res*(1/365)*1*up_RadSpec!R3*((s_ET_res_o*(1/24)*up_RadSpec!W3)+(s_ET_res_i*(1/24)*up_RadSpec!AB3))),".")</f>
        <v>4.0569020021074795E-5</v>
      </c>
      <c r="AA3" s="40">
        <f>IFERROR((s_C*s_EF_res*(1/365)*1*up_RadSpec!S3*((s_ET_res_o*(1/24)*up_RadSpec!X3)+(s_ET_res_i*(1/24)*up_RadSpec!AC3))),".")</f>
        <v>2.8933161861638099E-5</v>
      </c>
      <c r="AB3" s="40">
        <f>IFERROR((s_C*s_EF_res*(1/365)*1*up_RadSpec!T3*((s_ET_res_o*(1/24)*up_RadSpec!Y3)+(s_ET_res_i*(1/24)*up_RadSpec!AD3))),".")</f>
        <v>3.8163207932938039E-5</v>
      </c>
      <c r="AC3" s="40">
        <f>IFERROR((s_C*s_EF_res*(1/365)*1*up_RadSpec!U3*((s_ET_res_o*(1/24)*up_RadSpec!Z3)+(s_ET_res_i*(1/24)*up_RadSpec!AE3))),".")</f>
        <v>3.7022283677099273E-5</v>
      </c>
      <c r="AD3" s="40">
        <f>IFERROR((s_C*s_EF_res*(1/365)*1*up_RadSpec!Q3*((s_ET_res_o*(1/24)*up_RadSpec!V3)+(s_ET_res_i*(1/24)*up_RadSpec!AA3))),".")</f>
        <v>1.8661286796852221E-5</v>
      </c>
      <c r="AE3" s="15">
        <f>IFERROR((s_DL/(up_RadSpec!H3*s_IFA_res_adj)),".")</f>
        <v>9.9740259740259754E-3</v>
      </c>
      <c r="AF3" s="15">
        <f>IFERROR((s_DL/(up_RadSpec!K3*s_EF_res*(1/365)*1*s_ET_res*(1/24)*s_GSF_a)),".")</f>
        <v>63.709090909090911</v>
      </c>
      <c r="AG3" s="15">
        <f>IFERROR(IF(AND(AE3&lt;&gt;".",AF3&lt;&gt;"."),1/((1/AE3)+(1/AF3)),IF(AND(AE3&lt;&gt;".",AF3="."),1/((1/AE3)),IF(AND(AE3=".",AF3&lt;&gt;"."),1/((1/AF3)),IF(AND(AE3=".",AF3="."),".")))),".")</f>
        <v>9.9724647271019675E-3</v>
      </c>
      <c r="AH3" s="189">
        <f>AG3*(0.0000000000000028)*up_RadSpec!$AY3*up_RadSpec!$AF3</f>
        <v>3.3647095989242038E-14</v>
      </c>
      <c r="AI3" s="40">
        <f t="shared" si="2"/>
        <v>501.30208333333326</v>
      </c>
      <c r="AJ3" s="40">
        <f t="shared" si="3"/>
        <v>7.8481735159817351E-2</v>
      </c>
      <c r="AK3" s="18"/>
      <c r="AL3" s="15">
        <f>IFERROR((s_DL/(up_RadSpec!I3*s_IFW_res_adj)),".")</f>
        <v>3.6363636363636364E-3</v>
      </c>
      <c r="AM3" s="15" t="str">
        <f>IFERROR(IF(AND(up_RadSpec!C3=1,up_RadSpec!D3&lt;&gt;0),(s_DL/(up_RadSpec!H3*s_IFA_res_adj*s_K*up_RadSpec!D3)),"."),".")</f>
        <v>.</v>
      </c>
      <c r="AN3" s="15">
        <f>IFERROR((s_DL/(up_RadSpec!M3*(1/8760)*s_DFA_res_adj)),".")</f>
        <v>39.81818181818182</v>
      </c>
      <c r="AO3" s="15">
        <f>up_b2w!C3</f>
        <v>1.6443412786038033E-4</v>
      </c>
      <c r="AP3" s="15">
        <f>(IF(AND(AL3&lt;&gt;".",AM3&lt;&gt;".",AN3&lt;&gt;".",AO3&lt;&gt;"."),1/((1/AL3)+(1/AM3)+(1/AN3)+(1/AO3)),IF(AND(AL3&lt;&gt;".",AM3&lt;&gt;".",AN3&lt;&gt;".",AO3="."), 1/((1/AL3)+(1/AM3)+(1/AN3)),IF(AND(AL3&lt;&gt;".",AM3&lt;&gt;".",AN3=".",AO3&lt;&gt;"."),1/((1/AL3)+(1/AM3)+(1/AO3)),IF(AND(AL3&lt;&gt;".",AM3=".",AN3&lt;&gt;".",AO3&lt;&gt;"."),1/((1/AL3)+(1/AN3)+(1/AO3)),IF(AND(AL3=".",AM3&lt;&gt;".",AN3&lt;&gt;".",AO3&lt;&gt;"."),1/((1/AM3)+(1/AN3)+(1/AO3)),IF(AND(AL3&lt;&gt;".",AM3&lt;&gt;".",AN3=".",AO3="."),1/((1/AL3)+(1/AM3)),IF(AND(AL3&lt;&gt;".",AM3=".",AN3&lt;&gt;".",AO3="."),1/((1/AL3)+(1/AN3)),IF(AND(AL3&lt;&gt;".",AM3=".",AN3=".",AO3&lt;&gt;"."),1/((1/AL3)+(1/AO3)),IF(AND(AL3=".",AM3=".",AN3&lt;&gt;".",AO3&lt;&gt;"."),1/((1/AN3)+(1/AO3)),IF(AND(AL3=".",AM3&lt;&gt;".",AN3=".",AO3&lt;&gt;"."),1/((1/AM3)+(1/AO3)),IF(AND(AL3=".",AM3&lt;&gt;".",AN3&lt;&gt;".",AO3="."),1/((1/AM3)+(1/AN3)),IF(AND(AL3&lt;&gt;".",AM3=".",AN3=".",AO3="."),1/((1/AL3)),IF(AND(AL3=".",AM3&lt;&gt;".",AN3=".",AO3="."),1/((1/AM3)),IF(AND(AL3=".",AM3=".",AN3&lt;&gt;".",AO3="."),1/((1/AN3)),IF(AND(AL3=".",AM3=".",AN3=".",AO3&lt;&gt;"."),1/((1/AO3)),IF(AND(AL3=".",AM3=".",AN3=".",AO3="."),".")))))))))))))))))</f>
        <v>1.5731958335636468E-4</v>
      </c>
      <c r="AQ3" s="189">
        <f>AP3*(0.0000000000000028)*up_RadSpec!$AY3*up_RadSpec!$AF3</f>
        <v>5.3079627424437444E-16</v>
      </c>
      <c r="AR3" s="40">
        <f t="shared" si="4"/>
        <v>1375</v>
      </c>
      <c r="AS3" s="40">
        <f>IF(up_RadSpec!D3&lt;&gt;"",s_C*s_IFA_res_adj*s_K*up_RadSpec!D3,0)</f>
        <v>0</v>
      </c>
      <c r="AT3" s="40">
        <f t="shared" si="5"/>
        <v>0.12557077625570776</v>
      </c>
      <c r="AU3" s="40">
        <f>up_b2w!AC3</f>
        <v>30407.313038114935</v>
      </c>
      <c r="AV3" s="18"/>
      <c r="AW3" s="15">
        <f>IFERROR(s_DL/(up_RadSpec!F3*s_EF_res*1*s_IRF_res*0.001*s_CF_res_fish),".")</f>
        <v>6.6115702479338848E-4</v>
      </c>
      <c r="AX3" s="189">
        <f>IFERROR(AW3*(0.0000000000028)*up_RadSpec!$AY3*up_RadSpec!$AF3,0)</f>
        <v>2.2307438016528927E-12</v>
      </c>
      <c r="AY3" s="40">
        <f t="shared" si="6"/>
        <v>7562.5</v>
      </c>
    </row>
    <row r="4" spans="1:51" x14ac:dyDescent="0.25">
      <c r="A4" s="44" t="s">
        <v>2</v>
      </c>
      <c r="B4" s="42" t="s">
        <v>1057</v>
      </c>
      <c r="C4" s="42"/>
      <c r="D4" s="15">
        <f>IFERROR(((s_DL/(up_RadSpec!E4*s_IFS_res_adj*(1/1000)))*1),".")</f>
        <v>0.33057851239669422</v>
      </c>
      <c r="E4" s="15">
        <f>IFERROR(IF(A4="H-3",(s_DL/((up_RadSpec!H4*s_IFA_res_adj*(1/17)*1000))*1),(s_DL/((up_RadSpec!H4*s_IFA_res_adj*(1/s_PEF_wind)*1000))*1)),".")</f>
        <v>3089.9917851942919</v>
      </c>
      <c r="F4" s="15">
        <f>IFERROR((s_DL/(up_RadSpec!G4*s_EF_res*(1/365)*1*up_RadSpec!R4*((s_ET_res_o*(1/24)*up_RadSpec!W4)+(s_ET_res_i*(1/24)*up_RadSpec!AB4))))*1,".")</f>
        <v>458.81032547699226</v>
      </c>
      <c r="G4" s="15">
        <f>up_b2s!C4</f>
        <v>3.2968835384132272E-5</v>
      </c>
      <c r="H4" s="15">
        <f>up_dir!C4</f>
        <v>1.6528925619834712E-4</v>
      </c>
      <c r="I4" s="15">
        <f t="shared" si="7"/>
        <v>3.2965544985823506E-5</v>
      </c>
      <c r="J4" s="189">
        <f>IFERROR(I4*(0.0000000000028)*up_RadSpec!$AY4*up_RadSpec!$AF4,0)</f>
        <v>1.0014932566693182E-13</v>
      </c>
      <c r="K4" s="40">
        <f t="shared" si="0"/>
        <v>15.125</v>
      </c>
      <c r="L4" s="40">
        <f t="shared" si="1"/>
        <v>1.6181272791589674E-3</v>
      </c>
      <c r="M4" s="40">
        <f>IFERROR((s_C*s_EF_res*(1/365)*1*up_RadSpec!R4*((s_ET_res_o*(1/24)*up_RadSpec!W4)+(s_ET_res_i*(1/24)*up_RadSpec!AB4))),".")</f>
        <v>1.0897749510763206E-2</v>
      </c>
      <c r="N4" s="40">
        <f>up_b2s!AC4</f>
        <v>151658.375</v>
      </c>
      <c r="O4" s="18"/>
      <c r="P4" s="15">
        <f>IFERROR((s_DL/(up_RadSpec!G4*s_EF_res*(1/365)*1*up_RadSpec!R4*((s_ET_res_o*(1/24)*up_RadSpec!W4)+(s_ET_res_i*(1/24)*up_RadSpec!AB4))))*1,".")</f>
        <v>458.81032547699226</v>
      </c>
      <c r="Q4" s="15">
        <f>IFERROR((s_DL/(up_RadSpec!N4*s_EF_res*(1/365)*1*up_RadSpec!S4*((s_ET_res_o*(1/24)*up_RadSpec!X4)+(s_ET_res_i*(1/24)*up_RadSpec!AC4))))*1,".")</f>
        <v>748.71794871794896</v>
      </c>
      <c r="R4" s="15">
        <f>IFERROR((s_DL/(up_RadSpec!O4*s_EF_res*(1/365)*1*up_RadSpec!T4*((s_ET_res_o*(1/24)*up_RadSpec!Y4)+(s_ET_res_i*(1/24)*up_RadSpec!AD4))))*1,".")</f>
        <v>538.60342555994714</v>
      </c>
      <c r="S4" s="15">
        <f>IFERROR((s_DL/(up_RadSpec!P4*s_EF_res*(1/365)*1*up_RadSpec!U4*((s_ET_res_o*(1/24)*up_RadSpec!Z4)+(s_ET_res_i*(1/24)*up_RadSpec!AE4))))*1,".")</f>
        <v>468.85231426294234</v>
      </c>
      <c r="T4" s="15">
        <f>IFERROR((s_DL/(up_RadSpec!L4*s_EF_res*(1/365)*1*up_RadSpec!Q4*((s_ET_res_o*(1/24)*up_RadSpec!V4)+(s_ET_res_i*(1/24)*up_RadSpec!AA4))))*1,".")</f>
        <v>1382.7035962958289</v>
      </c>
      <c r="U4" s="189">
        <f>IFERROR(P4*(0.0000000000028)*up_RadSpec!$AY4*up_RadSpec!$AF4,0)</f>
        <v>1.3938657687991026E-6</v>
      </c>
      <c r="V4" s="189">
        <f>IFERROR(Q4*(0.0000000000028)*up_RadSpec!$AY4*up_RadSpec!$AF4,0)</f>
        <v>2.2746051282051291E-6</v>
      </c>
      <c r="W4" s="189">
        <f>IFERROR(R4*(0.0000000000028)*up_RadSpec!$AY4*up_RadSpec!$AF4,0)</f>
        <v>1.6362772068511197E-6</v>
      </c>
      <c r="X4" s="189">
        <f>IFERROR(S4*(0.0000000000028)*up_RadSpec!$AY4*up_RadSpec!$AF4,0)</f>
        <v>1.4243733307308189E-6</v>
      </c>
      <c r="Y4" s="189">
        <f>IFERROR(T4*(0.0000000000028)*up_RadSpec!$AY4*up_RadSpec!$AF4,0)</f>
        <v>4.2006535255467286E-6</v>
      </c>
      <c r="Z4" s="40">
        <f>IFERROR((s_C*s_EF_res*(1/365)*1*up_RadSpec!R4*((s_ET_res_o*(1/24)*up_RadSpec!W4)+(s_ET_res_i*(1/24)*up_RadSpec!AB4))),".")</f>
        <v>1.0897749510763206E-2</v>
      </c>
      <c r="AA4" s="40">
        <f>IFERROR((s_C*s_EF_res*(1/365)*1*up_RadSpec!S4*((s_ET_res_o*(1/24)*up_RadSpec!X4)+(s_ET_res_i*(1/24)*up_RadSpec!AC4))),".")</f>
        <v>6.6780821917808196E-3</v>
      </c>
      <c r="AB4" s="40">
        <f>IFERROR((s_C*s_EF_res*(1/365)*1*up_RadSpec!T4*((s_ET_res_o*(1/24)*up_RadSpec!Y4)+(s_ET_res_i*(1/24)*up_RadSpec!AD4))),".")</f>
        <v>9.2832681017612547E-3</v>
      </c>
      <c r="AC4" s="40">
        <f>IFERROR((s_C*s_EF_res*(1/365)*1*up_RadSpec!U4*((s_ET_res_o*(1/24)*up_RadSpec!Z4)+(s_ET_res_i*(1/24)*up_RadSpec!AE4))),".")</f>
        <v>1.0664338956842375E-2</v>
      </c>
      <c r="AD4" s="40">
        <f>IFERROR((s_C*s_EF_res*(1/365)*1*up_RadSpec!Q4*((s_ET_res_o*(1/24)*up_RadSpec!V4)+(s_ET_res_i*(1/24)*up_RadSpec!AA4))),".")</f>
        <v>3.6161039961092657E-3</v>
      </c>
      <c r="AE4" s="15">
        <f>IFERROR((s_DL/(up_RadSpec!H4*s_IFA_res_adj)),".")</f>
        <v>9.9740259740259754E-3</v>
      </c>
      <c r="AF4" s="15">
        <f>IFERROR((s_DL/(up_RadSpec!K4*s_EF_res*(1/365)*1*s_ET_res*(1/24)*s_GSF_a)),".")</f>
        <v>63.709090909090911</v>
      </c>
      <c r="AG4" s="15">
        <f t="shared" ref="AG4:AG16" si="8">IFERROR(IF(AND(AE4&lt;&gt;".",AF4&lt;&gt;"."),1/((1/AE4)+(1/AF4)),IF(AND(AE4&lt;&gt;".",AF4="."),1/((1/AE4)),IF(AND(AE4=".",AF4&lt;&gt;"."),1/((1/AF4)),IF(AND(AE4=".",AF4="."),".")))),".")</f>
        <v>9.9724647271019675E-3</v>
      </c>
      <c r="AH4" s="189">
        <f>AG4*(0.0000000000000028)*up_RadSpec!$AY4*up_RadSpec!$AF4</f>
        <v>3.0296347840935774E-14</v>
      </c>
      <c r="AI4" s="40">
        <f t="shared" si="2"/>
        <v>501.30208333333326</v>
      </c>
      <c r="AJ4" s="40">
        <f t="shared" si="3"/>
        <v>7.8481735159817351E-2</v>
      </c>
      <c r="AK4" s="18"/>
      <c r="AL4" s="15">
        <f>IFERROR((s_DL/(up_RadSpec!I4*s_IFW_res_adj)),".")</f>
        <v>3.6363636363636364E-3</v>
      </c>
      <c r="AM4" s="15" t="str">
        <f>IFERROR(IF(AND(up_RadSpec!C4=1,up_RadSpec!D4&lt;&gt;0),(s_DL/(up_RadSpec!H4*s_IFA_res_adj*s_K*up_RadSpec!D4)),"."),".")</f>
        <v>.</v>
      </c>
      <c r="AN4" s="15">
        <f>IFERROR((s_DL/(up_RadSpec!M4*(1/8760)*s_DFA_res_adj)),".")</f>
        <v>39.81818181818182</v>
      </c>
      <c r="AO4" s="15">
        <f>up_b2w!C4</f>
        <v>1.6443412786038033E-4</v>
      </c>
      <c r="AP4" s="15">
        <f t="shared" ref="AP4:AP5" si="9">(IF(AND(AL4&lt;&gt;".",AM4&lt;&gt;".",AN4&lt;&gt;".",AO4&lt;&gt;"."),1/((1/AL4)+(1/AM4)+(1/AN4)+(1/AO4)),IF(AND(AL4&lt;&gt;".",AM4&lt;&gt;".",AN4&lt;&gt;".",AO4="."), 1/((1/AL4)+(1/AM4)+(1/AN4)),IF(AND(AL4&lt;&gt;".",AM4&lt;&gt;".",AN4=".",AO4&lt;&gt;"."),1/((1/AL4)+(1/AM4)+(1/AO4)),IF(AND(AL4&lt;&gt;".",AM4=".",AN4&lt;&gt;".",AO4&lt;&gt;"."),1/((1/AL4)+(1/AN4)+(1/AO4)),IF(AND(AL4=".",AM4&lt;&gt;".",AN4&lt;&gt;".",AO4&lt;&gt;"."),1/((1/AM4)+(1/AN4)+(1/AO4)),IF(AND(AL4&lt;&gt;".",AM4&lt;&gt;".",AN4=".",AO4="."),1/((1/AL4)+(1/AM4)),IF(AND(AL4&lt;&gt;".",AM4=".",AN4&lt;&gt;".",AO4="."),1/((1/AL4)+(1/AN4)),IF(AND(AL4&lt;&gt;".",AM4=".",AN4=".",AO4&lt;&gt;"."),1/((1/AL4)+(1/AO4)),IF(AND(AL4=".",AM4=".",AN4&lt;&gt;".",AO4&lt;&gt;"."),1/((1/AN4)+(1/AO4)),IF(AND(AL4=".",AM4&lt;&gt;".",AN4=".",AO4&lt;&gt;"."),1/((1/AM4)+(1/AO4)),IF(AND(AL4=".",AM4&lt;&gt;".",AN4&lt;&gt;".",AO4="."),1/((1/AM4)+(1/AN4)),IF(AND(AL4&lt;&gt;".",AM4=".",AN4=".",AO4="."),1/((1/AL4)),IF(AND(AL4=".",AM4&lt;&gt;".",AN4=".",AO4="."),1/((1/AM4)),IF(AND(AL4=".",AM4=".",AN4&lt;&gt;".",AO4="."),1/((1/AN4)),IF(AND(AL4=".",AM4=".",AN4=".",AO4&lt;&gt;"."),1/((1/AO4)),IF(AND(AL4=".",AM4=".",AN4=".",AO4="."),".")))))))))))))))))</f>
        <v>1.5731958335636468E-4</v>
      </c>
      <c r="AQ4" s="189">
        <f>AP4*(0.0000000000000028)*up_RadSpec!$AY4*up_RadSpec!$AF4</f>
        <v>4.7793689423663597E-16</v>
      </c>
      <c r="AR4" s="40">
        <f t="shared" si="4"/>
        <v>1375</v>
      </c>
      <c r="AS4" s="40">
        <f>IF(up_RadSpec!D4&lt;&gt;"",s_C*s_IFA_res_adj*s_K*up_RadSpec!D4,0)</f>
        <v>0</v>
      </c>
      <c r="AT4" s="40">
        <f t="shared" si="5"/>
        <v>0.12557077625570776</v>
      </c>
      <c r="AU4" s="40">
        <f>up_b2w!AC4</f>
        <v>30407.313038114935</v>
      </c>
      <c r="AV4" s="18"/>
      <c r="AW4" s="15">
        <f>IFERROR(s_DL/(up_RadSpec!F4*s_EF_res*1*s_IRF_res*0.001*s_CF_res_fish),".")</f>
        <v>6.6115702479338848E-4</v>
      </c>
      <c r="AX4" s="189">
        <f>IFERROR(AW4*(0.0000000000028)*up_RadSpec!$AY4*up_RadSpec!$AF4,0)</f>
        <v>2.0085950413223141E-12</v>
      </c>
      <c r="AY4" s="40">
        <f t="shared" si="6"/>
        <v>7562.5</v>
      </c>
    </row>
    <row r="5" spans="1:51" x14ac:dyDescent="0.25">
      <c r="A5" s="44" t="s">
        <v>3</v>
      </c>
      <c r="B5" s="42" t="s">
        <v>1057</v>
      </c>
      <c r="C5" s="238"/>
      <c r="D5" s="15">
        <f>IFERROR(((s_DL/(up_RadSpec!E5*s_IFS_res_adj*(1/1000)))*1),".")</f>
        <v>0.33057851239669422</v>
      </c>
      <c r="E5" s="15">
        <f>IFERROR(IF(A5="H-3",(s_DL/((up_RadSpec!H5*s_IFA_res_adj*(1/17)*1000))*1),(s_DL/((up_RadSpec!H5*s_IFA_res_adj*(1/s_PEF_wind)*1000))*1)),".")</f>
        <v>3089.9917851942919</v>
      </c>
      <c r="F5" s="15" t="str">
        <f>IFERROR((s_DL/(up_RadSpec!G5*s_EF_res*(1/365)*1*up_RadSpec!R5*((s_ET_res_o*(1/24)*up_RadSpec!W5)+(s_ET_res_i*(1/24)*up_RadSpec!AB5))))*1,".")</f>
        <v>.</v>
      </c>
      <c r="G5" s="15">
        <f>up_b2s!C5</f>
        <v>3.2968835384132272E-5</v>
      </c>
      <c r="H5" s="15">
        <f>up_dir!C5</f>
        <v>1.6528925619834712E-4</v>
      </c>
      <c r="I5" s="15">
        <f t="shared" si="7"/>
        <v>3.2965547354399747E-5</v>
      </c>
      <c r="J5" s="189">
        <f>IFERROR(I5*(0.0000000000028)*up_RadSpec!$AY5*up_RadSpec!$AF5,0)</f>
        <v>1.0061085052562804E-13</v>
      </c>
      <c r="K5" s="40">
        <f t="shared" si="0"/>
        <v>15.125</v>
      </c>
      <c r="L5" s="40">
        <f t="shared" si="1"/>
        <v>1.6181272791589674E-3</v>
      </c>
      <c r="M5" s="40">
        <f>IFERROR((s_C*s_EF_res*(1/365)*1*up_RadSpec!R5*((s_ET_res_o*(1/24)*up_RadSpec!W5)+(s_ET_res_i*(1/24)*up_RadSpec!AB5))),".")</f>
        <v>0</v>
      </c>
      <c r="N5" s="40">
        <f>up_b2s!AC5</f>
        <v>151658.375</v>
      </c>
      <c r="O5" s="18"/>
      <c r="P5" s="15" t="str">
        <f>IFERROR((s_DL/(up_RadSpec!G5*s_EF_res*(1/365)*1*up_RadSpec!R5*((s_ET_res_o*(1/24)*up_RadSpec!W5)+(s_ET_res_i*(1/24)*up_RadSpec!AB5))))*1,".")</f>
        <v>.</v>
      </c>
      <c r="Q5" s="15" t="str">
        <f>IFERROR((s_DL/(up_RadSpec!N5*s_EF_res*(1/365)*1*up_RadSpec!S5*((s_ET_res_o*(1/24)*up_RadSpec!X5)+(s_ET_res_i*(1/24)*up_RadSpec!AC5))))*1,".")</f>
        <v>.</v>
      </c>
      <c r="R5" s="15" t="str">
        <f>IFERROR((s_DL/(up_RadSpec!O5*s_EF_res*(1/365)*1*up_RadSpec!T5*((s_ET_res_o*(1/24)*up_RadSpec!Y5)+(s_ET_res_i*(1/24)*up_RadSpec!AD5))))*1,".")</f>
        <v>.</v>
      </c>
      <c r="S5" s="15" t="str">
        <f>IFERROR((s_DL/(up_RadSpec!P5*s_EF_res*(1/365)*1*up_RadSpec!U5*((s_ET_res_o*(1/24)*up_RadSpec!Z5)+(s_ET_res_i*(1/24)*up_RadSpec!AE5))))*1,".")</f>
        <v>.</v>
      </c>
      <c r="T5" s="15" t="str">
        <f>IFERROR((s_DL/(up_RadSpec!L5*s_EF_res*(1/365)*1*up_RadSpec!Q5*((s_ET_res_o*(1/24)*up_RadSpec!V5)+(s_ET_res_i*(1/24)*up_RadSpec!AA5))))*1,".")</f>
        <v>.</v>
      </c>
      <c r="U5" s="189">
        <f>IFERROR(P5*(0.0000000000028)*up_RadSpec!$AY5*up_RadSpec!$AF5,0)</f>
        <v>0</v>
      </c>
      <c r="V5" s="189">
        <f>IFERROR(Q5*(0.0000000000028)*up_RadSpec!$AY5*up_RadSpec!$AF5,0)</f>
        <v>0</v>
      </c>
      <c r="W5" s="189">
        <f>IFERROR(R5*(0.0000000000028)*up_RadSpec!$AY5*up_RadSpec!$AF5,0)</f>
        <v>0</v>
      </c>
      <c r="X5" s="189">
        <f>IFERROR(S5*(0.0000000000028)*up_RadSpec!$AY5*up_RadSpec!$AF5,0)</f>
        <v>0</v>
      </c>
      <c r="Y5" s="189">
        <f>IFERROR(T5*(0.0000000000028)*up_RadSpec!$AY5*up_RadSpec!$AF5,0)</f>
        <v>0</v>
      </c>
      <c r="Z5" s="40">
        <f>IFERROR((s_C*s_EF_res*(1/365)*1*up_RadSpec!R5*((s_ET_res_o*(1/24)*up_RadSpec!W5)+(s_ET_res_i*(1/24)*up_RadSpec!AB5))),".")</f>
        <v>0</v>
      </c>
      <c r="AA5" s="40">
        <f>IFERROR((s_C*s_EF_res*(1/365)*1*up_RadSpec!S5*((s_ET_res_o*(1/24)*up_RadSpec!X5)+(s_ET_res_i*(1/24)*up_RadSpec!AC5))),".")</f>
        <v>0</v>
      </c>
      <c r="AB5" s="40">
        <f>IFERROR((s_C*s_EF_res*(1/365)*1*up_RadSpec!T5*((s_ET_res_o*(1/24)*up_RadSpec!Y5)+(s_ET_res_i*(1/24)*up_RadSpec!AD5))),".")</f>
        <v>0</v>
      </c>
      <c r="AC5" s="40">
        <f>IFERROR((s_C*s_EF_res*(1/365)*1*up_RadSpec!U5*((s_ET_res_o*(1/24)*up_RadSpec!Z5)+(s_ET_res_i*(1/24)*up_RadSpec!AE5))),".")</f>
        <v>0</v>
      </c>
      <c r="AD5" s="40">
        <f>IFERROR((s_C*s_EF_res*(1/365)*1*up_RadSpec!Q5*((s_ET_res_o*(1/24)*up_RadSpec!V5)+(s_ET_res_i*(1/24)*up_RadSpec!AA5))),".")</f>
        <v>0</v>
      </c>
      <c r="AE5" s="15">
        <f>IFERROR((s_DL/(up_RadSpec!H5*s_IFA_res_adj)),".")</f>
        <v>9.9740259740259754E-3</v>
      </c>
      <c r="AF5" s="15">
        <f>IFERROR((s_DL/(up_RadSpec!K5*s_EF_res*(1/365)*1*s_ET_res*(1/24)*s_GSF_a)),".")</f>
        <v>63.709090909090911</v>
      </c>
      <c r="AG5" s="15">
        <f t="shared" si="8"/>
        <v>9.9724647271019675E-3</v>
      </c>
      <c r="AH5" s="189">
        <f>AG5*(0.0000000000000028)*up_RadSpec!$AY5*up_RadSpec!$AF5</f>
        <v>3.0435962347115209E-14</v>
      </c>
      <c r="AI5" s="40">
        <f t="shared" si="2"/>
        <v>501.30208333333326</v>
      </c>
      <c r="AJ5" s="40">
        <f t="shared" si="3"/>
        <v>7.8481735159817351E-2</v>
      </c>
      <c r="AK5" s="18"/>
      <c r="AL5" s="15">
        <f>IFERROR((s_DL/(up_RadSpec!I5*s_IFW_res_adj)),".")</f>
        <v>3.6363636363636364E-3</v>
      </c>
      <c r="AM5" s="15">
        <f>IFERROR(IF(AND(up_RadSpec!C5=1,up_RadSpec!D5&lt;&gt;0),(s_DL/(up_RadSpec!H5*s_IFA_res_adj*s_K*up_RadSpec!D5)),"."),".")</f>
        <v>137.32464063589893</v>
      </c>
      <c r="AN5" s="15">
        <f>IFERROR((s_DL/(up_RadSpec!M5*(1/8760)*s_DFA_res_adj)),".")</f>
        <v>39.81818181818182</v>
      </c>
      <c r="AO5" s="15">
        <f>up_b2w!C5</f>
        <v>1.6443412786038033E-4</v>
      </c>
      <c r="AP5" s="15">
        <f t="shared" si="9"/>
        <v>1.5731940313071225E-4</v>
      </c>
      <c r="AQ5" s="189">
        <f>AP5*(0.0000000000000028)*up_RadSpec!$AY5*up_RadSpec!$AF5</f>
        <v>4.8013881835493389E-16</v>
      </c>
      <c r="AR5" s="40">
        <f t="shared" si="4"/>
        <v>1375</v>
      </c>
      <c r="AS5" s="40">
        <f>IF(up_RadSpec!D5&lt;&gt;"",s_C*s_IFA_res_adj*s_K*up_RadSpec!D5,0)</f>
        <v>3.6410071614583331E-2</v>
      </c>
      <c r="AT5" s="40">
        <f t="shared" si="5"/>
        <v>0.12557077625570776</v>
      </c>
      <c r="AU5" s="40">
        <f>up_b2w!AC5</f>
        <v>30407.313038114935</v>
      </c>
      <c r="AV5" s="18"/>
      <c r="AW5" s="15">
        <f>IFERROR(s_DL/(up_RadSpec!F5*s_EF_res*1*s_IRF_res*0.001*s_CF_res_fish),".")</f>
        <v>6.6115702479338848E-4</v>
      </c>
      <c r="AX5" s="189">
        <f>IFERROR(AW5*(0.0000000000028)*up_RadSpec!$AY5*up_RadSpec!$AF5,0)</f>
        <v>2.0178512396694215E-12</v>
      </c>
      <c r="AY5" s="40">
        <f t="shared" si="6"/>
        <v>7562.5</v>
      </c>
    </row>
    <row r="6" spans="1:51" x14ac:dyDescent="0.25">
      <c r="A6" s="44" t="s">
        <v>4</v>
      </c>
      <c r="B6" s="42" t="s">
        <v>1057</v>
      </c>
      <c r="C6" s="42"/>
      <c r="D6" s="15">
        <f>IFERROR(((s_DL/(up_RadSpec!E6*s_IFS_res_adj*(1/1000)))*1),".")</f>
        <v>0.33057851239669422</v>
      </c>
      <c r="E6" s="15">
        <f>IFERROR(IF(A6="H-3",(s_DL/((up_RadSpec!H6*s_IFA_res_adj*(1/17)*1000))*1),(s_DL/((up_RadSpec!H6*s_IFA_res_adj*(1/s_PEF_wind)*1000))*1)),".")</f>
        <v>3089.9917851942919</v>
      </c>
      <c r="F6" s="15">
        <f>IFERROR((s_DL/(up_RadSpec!G6*s_EF_res*(1/365)*1*up_RadSpec!R6*((s_ET_res_o*(1/24)*up_RadSpec!W6)+(s_ET_res_i*(1/24)*up_RadSpec!AB6))))*1,".")</f>
        <v>235.81516264443084</v>
      </c>
      <c r="G6" s="15">
        <f>up_b2s!C6</f>
        <v>3.2968835384132272E-5</v>
      </c>
      <c r="H6" s="15">
        <f>up_dir!C6</f>
        <v>1.6528925619834712E-4</v>
      </c>
      <c r="I6" s="15">
        <f t="shared" si="7"/>
        <v>3.296554274601431E-5</v>
      </c>
      <c r="J6" s="189">
        <f>IFERROR(I6*(0.0000000000028)*up_RadSpec!$AY6*up_RadSpec!$AF6,0)</f>
        <v>6.3227910986855447E-14</v>
      </c>
      <c r="K6" s="40">
        <f t="shared" si="0"/>
        <v>15.125</v>
      </c>
      <c r="L6" s="40">
        <f t="shared" si="1"/>
        <v>1.6181272791589674E-3</v>
      </c>
      <c r="M6" s="40">
        <f>IFERROR((s_C*s_EF_res*(1/365)*1*up_RadSpec!R6*((s_ET_res_o*(1/24)*up_RadSpec!W6)+(s_ET_res_i*(1/24)*up_RadSpec!AB6))),".")</f>
        <v>2.1203047098117052E-2</v>
      </c>
      <c r="N6" s="40">
        <f>up_b2s!AC6</f>
        <v>151658.375</v>
      </c>
      <c r="O6" s="18"/>
      <c r="P6" s="15">
        <f>IFERROR((s_DL/(up_RadSpec!G6*s_EF_res*(1/365)*1*up_RadSpec!R6*((s_ET_res_o*(1/24)*up_RadSpec!W6)+(s_ET_res_i*(1/24)*up_RadSpec!AB6))))*1,".")</f>
        <v>235.81516264443084</v>
      </c>
      <c r="Q6" s="15">
        <f>IFERROR((s_DL/(up_RadSpec!N6*s_EF_res*(1/365)*1*up_RadSpec!S6*((s_ET_res_o*(1/24)*up_RadSpec!X6)+(s_ET_res_i*(1/24)*up_RadSpec!AC6))))*1,".")</f>
        <v>440.2277280249582</v>
      </c>
      <c r="R6" s="15">
        <f>IFERROR((s_DL/(up_RadSpec!O6*s_EF_res*(1/365)*1*up_RadSpec!T6*((s_ET_res_o*(1/24)*up_RadSpec!Y6)+(s_ET_res_i*(1/24)*up_RadSpec!AD6))))*1,".")</f>
        <v>311.09207332476643</v>
      </c>
      <c r="S6" s="15">
        <f>IFERROR((s_DL/(up_RadSpec!P6*s_EF_res*(1/365)*1*up_RadSpec!U6*((s_ET_res_o*(1/24)*up_RadSpec!Z6)+(s_ET_res_i*(1/24)*up_RadSpec!AE6))))*1,".")</f>
        <v>257.2615039281705</v>
      </c>
      <c r="T6" s="15">
        <f>IFERROR((s_DL/(up_RadSpec!L6*s_EF_res*(1/365)*1*up_RadSpec!Q6*((s_ET_res_o*(1/24)*up_RadSpec!V6)+(s_ET_res_i*(1/24)*up_RadSpec!AA6))))*1,".")</f>
        <v>739.4745172522953</v>
      </c>
      <c r="U6" s="189">
        <f>IFERROR(P6*(0.0000000000028)*up_RadSpec!$AY6*up_RadSpec!$AF6,0)</f>
        <v>4.522934819520184E-7</v>
      </c>
      <c r="V6" s="189">
        <f>IFERROR(Q6*(0.0000000000028)*up_RadSpec!$AY6*up_RadSpec!$AF6,0)</f>
        <v>8.4435678235186982E-7</v>
      </c>
      <c r="W6" s="189">
        <f>IFERROR(R6*(0.0000000000028)*up_RadSpec!$AY6*up_RadSpec!$AF6,0)</f>
        <v>5.9667459663690197E-7</v>
      </c>
      <c r="X6" s="189">
        <f>IFERROR(S6*(0.0000000000028)*up_RadSpec!$AY6*up_RadSpec!$AF6,0)</f>
        <v>4.9342756453423103E-7</v>
      </c>
      <c r="Y6" s="189">
        <f>IFERROR(T6*(0.0000000000028)*up_RadSpec!$AY6*up_RadSpec!$AF6,0)</f>
        <v>1.4183121240899026E-6</v>
      </c>
      <c r="Z6" s="40">
        <f>IFERROR((s_C*s_EF_res*(1/365)*1*up_RadSpec!R6*((s_ET_res_o*(1/24)*up_RadSpec!W6)+(s_ET_res_i*(1/24)*up_RadSpec!AB6))),".")</f>
        <v>2.1203047098117052E-2</v>
      </c>
      <c r="AA6" s="40">
        <f>IFERROR((s_C*s_EF_res*(1/365)*1*up_RadSpec!S6*((s_ET_res_o*(1/24)*up_RadSpec!X6)+(s_ET_res_i*(1/24)*up_RadSpec!AC6))),".")</f>
        <v>1.1357758000460459E-2</v>
      </c>
      <c r="AB6" s="40">
        <f>IFERROR((s_C*s_EF_res*(1/365)*1*up_RadSpec!T6*((s_ET_res_o*(1/24)*up_RadSpec!Y6)+(s_ET_res_i*(1/24)*up_RadSpec!AD6))),".")</f>
        <v>1.6072412088688034E-2</v>
      </c>
      <c r="AC6" s="40">
        <f>IFERROR((s_C*s_EF_res*(1/365)*1*up_RadSpec!U6*((s_ET_res_o*(1/24)*up_RadSpec!Z6)+(s_ET_res_i*(1/24)*up_RadSpec!AE6))),".")</f>
        <v>1.9435476834482164E-2</v>
      </c>
      <c r="AD6" s="40">
        <f>IFERROR((s_C*s_EF_res*(1/365)*1*up_RadSpec!Q6*((s_ET_res_o*(1/24)*up_RadSpec!V6)+(s_ET_res_i*(1/24)*up_RadSpec!AA6))),".")</f>
        <v>6.7615582191780793E-3</v>
      </c>
      <c r="AE6" s="15">
        <f>IFERROR((s_DL/(up_RadSpec!H6*s_IFA_res_adj)),".")</f>
        <v>9.9740259740259754E-3</v>
      </c>
      <c r="AF6" s="15">
        <f>IFERROR((s_DL/(up_RadSpec!K6*s_EF_res*(1/365)*1*s_ET_res*(1/24)*s_GSF_a)),".")</f>
        <v>63.709090909090911</v>
      </c>
      <c r="AG6" s="15">
        <f t="shared" si="8"/>
        <v>9.9724647271019675E-3</v>
      </c>
      <c r="AH6" s="189">
        <f>AG6*(0.0000000000000028)*up_RadSpec!$AY6*up_RadSpec!$AF6</f>
        <v>1.9127187346581575E-14</v>
      </c>
      <c r="AI6" s="40">
        <f t="shared" si="2"/>
        <v>501.30208333333326</v>
      </c>
      <c r="AJ6" s="40">
        <f t="shared" si="3"/>
        <v>7.8481735159817351E-2</v>
      </c>
      <c r="AK6" s="18"/>
      <c r="AL6" s="15">
        <f>IFERROR((s_DL/(up_RadSpec!I6*s_IFW_res_adj)),".")</f>
        <v>3.6363636363636364E-3</v>
      </c>
      <c r="AM6" s="15" t="str">
        <f>IFERROR(IF(AND(up_RadSpec!C6=1,up_RadSpec!D6&lt;&gt;0),(s_DL/(up_RadSpec!H6*s_IFA_res_adj*s_K*up_RadSpec!D6)),"."),".")</f>
        <v>.</v>
      </c>
      <c r="AN6" s="15">
        <f>IFERROR((s_DL/(up_RadSpec!M6*(1/8760)*s_DFA_res_adj)),".")</f>
        <v>39.81818181818182</v>
      </c>
      <c r="AO6" s="15">
        <f>up_b2w!C6</f>
        <v>1.6443412786038033E-4</v>
      </c>
      <c r="AP6" s="15">
        <f>(IF(AND(AL6&lt;&gt;".",AM6&lt;&gt;".",AN6&lt;&gt;".",AO6&lt;&gt;"."),1/((1/AL6)+(1/AM6)+(1/AN6)+(1/AO6)),IF(AND(AL6&lt;&gt;".",AM6&lt;&gt;".",AN6&lt;&gt;".",AO6="."), 1/((1/AL6)+(1/AM6)+(1/AN6)),IF(AND(AL6&lt;&gt;".",AM6&lt;&gt;".",AN6=".",AO6&lt;&gt;"."),1/((1/AL6)+(1/AM6)+(1/AO6)),IF(AND(AL6&lt;&gt;".",AM6=".",AN6&lt;&gt;".",AO6&lt;&gt;"."),1/((1/AL6)+(1/AN6)+(1/AO6)),IF(AND(AL6=".",AM6&lt;&gt;".",AN6&lt;&gt;".",AO6&lt;&gt;"."),1/((1/AM6)+(1/AN6)+(1/AO6)),IF(AND(AL6&lt;&gt;".",AM6&lt;&gt;".",AN6=".",AO6="."),1/((1/AL6)+(1/AM6)),IF(AND(AL6&lt;&gt;".",AM6=".",AN6&lt;&gt;".",AO6="."),1/((1/AL6)+(1/AN6)),IF(AND(AL6&lt;&gt;".",AM6=".",AN6=".",AO6&lt;&gt;"."),1/((1/AL6)+(1/AO6)),IF(AND(AL6=".",AM6=".",AN6&lt;&gt;".",AO6&lt;&gt;"."),1/((1/AN6)+(1/AO6)),IF(AND(AL6=".",AM6&lt;&gt;".",AN6=".",AO6&lt;&gt;"."),1/((1/AM6)+(1/AO6)),IF(AND(AL6=".",AM6&lt;&gt;".",AN6&lt;&gt;".",AO6="."),1/((1/AM6)+(1/AN6)),IF(AND(AL6&lt;&gt;".",AM6=".",AN6=".",AO6="."),1/((1/AL6)),IF(AND(AL6=".",AM6&lt;&gt;".",AN6=".",AO6="."),1/((1/AM6)),IF(AND(AL6=".",AM6=".",AN6&lt;&gt;".",AO6="."),1/((1/AN6)),IF(AND(AL6=".",AM6=".",AN6=".",AO6&lt;&gt;"."),1/((1/AO6)),IF(AND(AL6=".",AM6=".",AN6=".",AO6="."),".")))))))))))))))))</f>
        <v>1.5731958335636468E-4</v>
      </c>
      <c r="AQ6" s="189">
        <f>AP6*(0.0000000000000028)*up_RadSpec!$AY6*up_RadSpec!$AF6</f>
        <v>3.0173896087750751E-16</v>
      </c>
      <c r="AR6" s="40">
        <f t="shared" si="4"/>
        <v>1375</v>
      </c>
      <c r="AS6" s="40">
        <f>IF(up_RadSpec!D6&lt;&gt;"",s_C*s_IFA_res_adj*s_K*up_RadSpec!D6,0)</f>
        <v>0</v>
      </c>
      <c r="AT6" s="40">
        <f t="shared" si="5"/>
        <v>0.12557077625570776</v>
      </c>
      <c r="AU6" s="40">
        <f>up_b2w!AC6</f>
        <v>30407.313038114935</v>
      </c>
      <c r="AV6" s="18"/>
      <c r="AW6" s="15">
        <f>IFERROR(s_DL/(up_RadSpec!F6*s_EF_res*1*s_IRF_res*0.001*s_CF_res_fish),".")</f>
        <v>6.6115702479338848E-4</v>
      </c>
      <c r="AX6" s="189">
        <f>IFERROR(AW6*(0.0000000000028)*up_RadSpec!$AY6*up_RadSpec!$AF6,0)</f>
        <v>1.2680991735537193E-12</v>
      </c>
      <c r="AY6" s="40">
        <f t="shared" si="6"/>
        <v>7562.5</v>
      </c>
    </row>
    <row r="7" spans="1:51" x14ac:dyDescent="0.25">
      <c r="A7" s="44" t="s">
        <v>5</v>
      </c>
      <c r="B7" s="42" t="s">
        <v>1057</v>
      </c>
      <c r="C7" s="238"/>
      <c r="D7" s="15">
        <f>IFERROR(((s_DL/(up_RadSpec!E7*s_IFS_res_adj*(1/1000)))*1),".")</f>
        <v>0.33057851239669422</v>
      </c>
      <c r="E7" s="15">
        <f>IFERROR(IF(A7="H-3",(s_DL/((up_RadSpec!H7*s_IFA_res_adj*(1/17)*1000))*1),(s_DL/((up_RadSpec!H7*s_IFA_res_adj*(1/s_PEF_wind)*1000))*1)),".")</f>
        <v>3089.9917851942919</v>
      </c>
      <c r="F7" s="15">
        <f>IFERROR((s_DL/(up_RadSpec!G7*s_EF_res*(1/365)*1*up_RadSpec!R7*((s_ET_res_o*(1/24)*up_RadSpec!W7)+(s_ET_res_i*(1/24)*up_RadSpec!AB7))))*1,".")</f>
        <v>510.24109710241078</v>
      </c>
      <c r="G7" s="15">
        <f>up_b2s!C7</f>
        <v>3.2968835384132272E-5</v>
      </c>
      <c r="H7" s="15">
        <f>up_dir!C7</f>
        <v>1.6528925619834712E-4</v>
      </c>
      <c r="I7" s="15">
        <f t="shared" si="7"/>
        <v>3.2965545224568869E-5</v>
      </c>
      <c r="J7" s="189">
        <f>IFERROR(I7*(0.0000000000028)*up_RadSpec!$AY7*up_RadSpec!$AF7,0)</f>
        <v>9.6918702960232479E-14</v>
      </c>
      <c r="K7" s="40">
        <f t="shared" si="0"/>
        <v>15.125</v>
      </c>
      <c r="L7" s="40">
        <f t="shared" si="1"/>
        <v>1.6181272791589674E-3</v>
      </c>
      <c r="M7" s="40">
        <f>IFERROR((s_C*s_EF_res*(1/365)*1*up_RadSpec!R7*((s_ET_res_o*(1/24)*up_RadSpec!W7)+(s_ET_res_i*(1/24)*up_RadSpec!AB7))),".")</f>
        <v>9.7992890584359324E-3</v>
      </c>
      <c r="N7" s="40">
        <f>up_b2s!AC7</f>
        <v>151658.375</v>
      </c>
      <c r="O7" s="18"/>
      <c r="P7" s="15">
        <f>IFERROR((s_DL/(up_RadSpec!G7*s_EF_res*(1/365)*1*up_RadSpec!R7*((s_ET_res_o*(1/24)*up_RadSpec!W7)+(s_ET_res_i*(1/24)*up_RadSpec!AB7))))*1,".")</f>
        <v>510.24109710241078</v>
      </c>
      <c r="Q7" s="15">
        <f>IFERROR((s_DL/(up_RadSpec!N7*s_EF_res*(1/365)*1*up_RadSpec!S7*((s_ET_res_o*(1/24)*up_RadSpec!X7)+(s_ET_res_i*(1/24)*up_RadSpec!AC7))))*1,".")</f>
        <v>811.73075290722397</v>
      </c>
      <c r="R7" s="15">
        <f>IFERROR((s_DL/(up_RadSpec!O7*s_EF_res*(1/365)*1*up_RadSpec!T7*((s_ET_res_o*(1/24)*up_RadSpec!Y7)+(s_ET_res_i*(1/24)*up_RadSpec!AD7))))*1,".")</f>
        <v>594.69696969696975</v>
      </c>
      <c r="S7" s="15">
        <f>IFERROR((s_DL/(up_RadSpec!P7*s_EF_res*(1/365)*1*up_RadSpec!U7*((s_ET_res_o*(1/24)*up_RadSpec!Z7)+(s_ET_res_i*(1/24)*up_RadSpec!AE7))))*1,".")</f>
        <v>547.06310932241604</v>
      </c>
      <c r="T7" s="15">
        <f>IFERROR((s_DL/(up_RadSpec!L7*s_EF_res*(1/365)*1*up_RadSpec!Q7*((s_ET_res_o*(1/24)*up_RadSpec!V7)+(s_ET_res_i*(1/24)*up_RadSpec!AA7))))*1,".")</f>
        <v>1389.1242447392176</v>
      </c>
      <c r="U7" s="189">
        <f>IFERROR(P7*(0.0000000000028)*up_RadSpec!$AY7*up_RadSpec!$AF7,0)</f>
        <v>1.5001088254810878E-6</v>
      </c>
      <c r="V7" s="189">
        <f>IFERROR(Q7*(0.0000000000028)*up_RadSpec!$AY7*up_RadSpec!$AF7,0)</f>
        <v>2.3864884135472385E-6</v>
      </c>
      <c r="W7" s="189">
        <f>IFERROR(R7*(0.0000000000028)*up_RadSpec!$AY7*up_RadSpec!$AF7,0)</f>
        <v>1.7484090909090912E-6</v>
      </c>
      <c r="X7" s="189">
        <f>IFERROR(S7*(0.0000000000028)*up_RadSpec!$AY7*up_RadSpec!$AF7,0)</f>
        <v>1.6083655414079035E-6</v>
      </c>
      <c r="Y7" s="189">
        <f>IFERROR(T7*(0.0000000000028)*up_RadSpec!$AY7*up_RadSpec!$AF7,0)</f>
        <v>4.0840252795333005E-6</v>
      </c>
      <c r="Z7" s="40">
        <f>IFERROR((s_C*s_EF_res*(1/365)*1*up_RadSpec!R7*((s_ET_res_o*(1/24)*up_RadSpec!W7)+(s_ET_res_i*(1/24)*up_RadSpec!AB7))),".")</f>
        <v>9.7992890584359324E-3</v>
      </c>
      <c r="AA7" s="40">
        <f>IFERROR((s_C*s_EF_res*(1/365)*1*up_RadSpec!S7*((s_ET_res_o*(1/24)*up_RadSpec!X7)+(s_ET_res_i*(1/24)*up_RadSpec!AC7))),".")</f>
        <v>6.1596779253372336E-3</v>
      </c>
      <c r="AB7" s="40">
        <f>IFERROR((s_C*s_EF_res*(1/365)*1*up_RadSpec!T7*((s_ET_res_o*(1/24)*up_RadSpec!Y7)+(s_ET_res_i*(1/24)*up_RadSpec!AD7))),".")</f>
        <v>8.4076433121019097E-3</v>
      </c>
      <c r="AC7" s="40">
        <f>IFERROR((s_C*s_EF_res*(1/365)*1*up_RadSpec!U7*((s_ET_res_o*(1/24)*up_RadSpec!Z7)+(s_ET_res_i*(1/24)*up_RadSpec!AE7))),".")</f>
        <v>9.1397133434804687E-3</v>
      </c>
      <c r="AD7" s="40">
        <f>IFERROR((s_C*s_EF_res*(1/365)*1*up_RadSpec!Q7*((s_ET_res_o*(1/24)*up_RadSpec!V7)+(s_ET_res_i*(1/24)*up_RadSpec!AA7))),".")</f>
        <v>3.5993900609939014E-3</v>
      </c>
      <c r="AE7" s="15">
        <f>IFERROR((s_DL/(up_RadSpec!H7*s_IFA_res_adj)),".")</f>
        <v>9.9740259740259754E-3</v>
      </c>
      <c r="AF7" s="15">
        <f>IFERROR((s_DL/(up_RadSpec!K7*s_EF_res*(1/365)*1*s_ET_res*(1/24)*s_GSF_a)),".")</f>
        <v>63.709090909090911</v>
      </c>
      <c r="AG7" s="15">
        <f t="shared" si="8"/>
        <v>9.9724647271019675E-3</v>
      </c>
      <c r="AH7" s="189">
        <f>AG7*(0.0000000000000028)*up_RadSpec!$AY7*up_RadSpec!$AF7</f>
        <v>2.9319046297679789E-14</v>
      </c>
      <c r="AI7" s="40">
        <f t="shared" si="2"/>
        <v>501.30208333333326</v>
      </c>
      <c r="AJ7" s="40">
        <f t="shared" si="3"/>
        <v>7.8481735159817351E-2</v>
      </c>
      <c r="AK7" s="18"/>
      <c r="AL7" s="15">
        <f>IFERROR((s_DL/(up_RadSpec!I7*s_IFW_res_adj)),".")</f>
        <v>3.6363636363636364E-3</v>
      </c>
      <c r="AM7" s="15" t="str">
        <f>IFERROR(IF(AND(up_RadSpec!C7=1,up_RadSpec!D7&lt;&gt;0),(s_DL/(up_RadSpec!H7*s_IFA_res_adj*s_K*up_RadSpec!D7)),"."),".")</f>
        <v>.</v>
      </c>
      <c r="AN7" s="15">
        <f>IFERROR((s_DL/(up_RadSpec!M7*(1/8760)*s_DFA_res_adj)),".")</f>
        <v>39.81818181818182</v>
      </c>
      <c r="AO7" s="15">
        <f>up_b2w!C7</f>
        <v>1.6443412786038033E-4</v>
      </c>
      <c r="AP7" s="15">
        <f>(IF(AND(AL7&lt;&gt;".",AM7&lt;&gt;".",AN7&lt;&gt;".",AO7&lt;&gt;"."),1/((1/AL7)+(1/AM7)+(1/AN7)+(1/AO7)),IF(AND(AL7&lt;&gt;".",AM7&lt;&gt;".",AN7&lt;&gt;".",AO7="."), 1/((1/AL7)+(1/AM7)+(1/AN7)),IF(AND(AL7&lt;&gt;".",AM7&lt;&gt;".",AN7=".",AO7&lt;&gt;"."),1/((1/AL7)+(1/AM7)+(1/AO7)),IF(AND(AL7&lt;&gt;".",AM7=".",AN7&lt;&gt;".",AO7&lt;&gt;"."),1/((1/AL7)+(1/AN7)+(1/AO7)),IF(AND(AL7=".",AM7&lt;&gt;".",AN7&lt;&gt;".",AO7&lt;&gt;"."),1/((1/AM7)+(1/AN7)+(1/AO7)),IF(AND(AL7&lt;&gt;".",AM7&lt;&gt;".",AN7=".",AO7="."),1/((1/AL7)+(1/AM7)),IF(AND(AL7&lt;&gt;".",AM7=".",AN7&lt;&gt;".",AO7="."),1/((1/AL7)+(1/AN7)),IF(AND(AL7&lt;&gt;".",AM7=".",AN7=".",AO7&lt;&gt;"."),1/((1/AL7)+(1/AO7)),IF(AND(AL7=".",AM7=".",AN7&lt;&gt;".",AO7&lt;&gt;"."),1/((1/AN7)+(1/AO7)),IF(AND(AL7=".",AM7&lt;&gt;".",AN7=".",AO7&lt;&gt;"."),1/((1/AM7)+(1/AO7)),IF(AND(AL7=".",AM7&lt;&gt;".",AN7&lt;&gt;".",AO7="."),1/((1/AM7)+(1/AN7)),IF(AND(AL7&lt;&gt;".",AM7=".",AN7=".",AO7="."),1/((1/AL7)),IF(AND(AL7=".",AM7&lt;&gt;".",AN7=".",AO7="."),1/((1/AM7)),IF(AND(AL7=".",AM7=".",AN7&lt;&gt;".",AO7="."),1/((1/AN7)),IF(AND(AL7=".",AM7=".",AN7=".",AO7&lt;&gt;"."),1/((1/AO7)),IF(AND(AL7=".",AM7=".",AN7=".",AO7="."),".")))))))))))))))))</f>
        <v>1.5731958335636468E-4</v>
      </c>
      <c r="AQ7" s="189">
        <f>AP7*(0.0000000000000028)*up_RadSpec!$AY7*up_RadSpec!$AF7</f>
        <v>4.6251957506771222E-16</v>
      </c>
      <c r="AR7" s="40">
        <f t="shared" si="4"/>
        <v>1375</v>
      </c>
      <c r="AS7" s="40">
        <f>IF(up_RadSpec!D7&lt;&gt;"",s_C*s_IFA_res_adj*s_K*up_RadSpec!D7,0)</f>
        <v>0</v>
      </c>
      <c r="AT7" s="40">
        <f t="shared" si="5"/>
        <v>0.12557077625570776</v>
      </c>
      <c r="AU7" s="40">
        <f>up_b2w!AC7</f>
        <v>30407.313038114935</v>
      </c>
      <c r="AV7" s="18"/>
      <c r="AW7" s="15">
        <f>IFERROR(s_DL/(up_RadSpec!F7*s_EF_res*1*s_IRF_res*0.001*s_CF_res_fish),".")</f>
        <v>6.6115702479338848E-4</v>
      </c>
      <c r="AX7" s="189">
        <f>IFERROR(AW7*(0.0000000000028)*up_RadSpec!$AY7*up_RadSpec!$AF7,0)</f>
        <v>1.9438016528925621E-12</v>
      </c>
      <c r="AY7" s="40">
        <f t="shared" si="6"/>
        <v>7562.5</v>
      </c>
    </row>
    <row r="8" spans="1:51" x14ac:dyDescent="0.25">
      <c r="A8" s="44" t="s">
        <v>6</v>
      </c>
      <c r="B8" s="42" t="s">
        <v>1057</v>
      </c>
      <c r="C8" s="42"/>
      <c r="D8" s="15">
        <f>IFERROR(((s_DL/(up_RadSpec!E8*s_IFS_res_adj*(1/1000)))*1),".")</f>
        <v>0.33057851239669422</v>
      </c>
      <c r="E8" s="15">
        <f>IFERROR(IF(A8="H-3",(s_DL/((up_RadSpec!H8*s_IFA_res_adj*(1/17)*1000))*1),(s_DL/((up_RadSpec!H8*s_IFA_res_adj*(1/s_PEF_wind)*1000))*1)),".")</f>
        <v>3089.9917851942919</v>
      </c>
      <c r="F8" s="15">
        <f>IFERROR((s_DL/(up_RadSpec!G8*s_EF_res*(1/365)*1*up_RadSpec!R8*((s_ET_res_o*(1/24)*up_RadSpec!W8)+(s_ET_res_i*(1/24)*up_RadSpec!AB8))))*1,".")</f>
        <v>293.31993972877962</v>
      </c>
      <c r="G8" s="15">
        <f>up_b2s!C8</f>
        <v>3.2968835384132272E-5</v>
      </c>
      <c r="H8" s="15">
        <f>up_dir!C8</f>
        <v>1.6528925619834712E-4</v>
      </c>
      <c r="I8" s="15">
        <f t="shared" si="7"/>
        <v>3.2965543649478795E-5</v>
      </c>
      <c r="J8" s="189">
        <f>IFERROR(I8*(0.0000000000028)*up_RadSpec!$AY8*up_RadSpec!$AF8,0)</f>
        <v>9.8303251162745763E-14</v>
      </c>
      <c r="K8" s="40">
        <f t="shared" si="0"/>
        <v>15.125</v>
      </c>
      <c r="L8" s="40">
        <f t="shared" si="1"/>
        <v>1.6181272791589674E-3</v>
      </c>
      <c r="M8" s="40">
        <f>IFERROR((s_C*s_EF_res*(1/365)*1*up_RadSpec!R8*((s_ET_res_o*(1/24)*up_RadSpec!W8)+(s_ET_res_i*(1/24)*up_RadSpec!AB8))),".")</f>
        <v>1.7046232876712322E-2</v>
      </c>
      <c r="N8" s="40">
        <f>up_b2s!AC8</f>
        <v>151658.375</v>
      </c>
      <c r="O8" s="18"/>
      <c r="P8" s="15">
        <f>IFERROR((s_DL/(up_RadSpec!G8*s_EF_res*(1/365)*1*up_RadSpec!R8*((s_ET_res_o*(1/24)*up_RadSpec!W8)+(s_ET_res_i*(1/24)*up_RadSpec!AB8))))*1,".")</f>
        <v>293.31993972877962</v>
      </c>
      <c r="Q8" s="15">
        <f>IFERROR((s_DL/(up_RadSpec!N8*s_EF_res*(1/365)*1*up_RadSpec!S8*((s_ET_res_o*(1/24)*up_RadSpec!X8)+(s_ET_res_i*(1/24)*up_RadSpec!AC8))))*1,".")</f>
        <v>538.44735386317529</v>
      </c>
      <c r="R8" s="15">
        <f>IFERROR((s_DL/(up_RadSpec!O8*s_EF_res*(1/365)*1*up_RadSpec!T8*((s_ET_res_o*(1/24)*up_RadSpec!Y8)+(s_ET_res_i*(1/24)*up_RadSpec!AD8))))*1,".")</f>
        <v>393.01645900630677</v>
      </c>
      <c r="S8" s="15">
        <f>IFERROR((s_DL/(up_RadSpec!P8*s_EF_res*(1/365)*1*up_RadSpec!U8*((s_ET_res_o*(1/24)*up_RadSpec!Z8)+(s_ET_res_i*(1/24)*up_RadSpec!AE8))))*1,".")</f>
        <v>360.33405462714342</v>
      </c>
      <c r="T8" s="15">
        <f>IFERROR((s_DL/(up_RadSpec!L8*s_EF_res*(1/365)*1*up_RadSpec!Q8*((s_ET_res_o*(1/24)*up_RadSpec!V8)+(s_ET_res_i*(1/24)*up_RadSpec!AA8))))*1,".")</f>
        <v>997.68151311775478</v>
      </c>
      <c r="U8" s="189">
        <f>IFERROR(P8*(0.0000000000028)*up_RadSpec!$AY8*up_RadSpec!$AF8,0)</f>
        <v>8.7468006027122096E-7</v>
      </c>
      <c r="V8" s="189">
        <f>IFERROR(Q8*(0.0000000000028)*up_RadSpec!$AY8*up_RadSpec!$AF8,0)</f>
        <v>1.6056500092199888E-6</v>
      </c>
      <c r="W8" s="189">
        <f>IFERROR(R8*(0.0000000000028)*up_RadSpec!$AY8*up_RadSpec!$AF8,0)</f>
        <v>1.171975080756807E-6</v>
      </c>
      <c r="X8" s="189">
        <f>IFERROR(S8*(0.0000000000028)*up_RadSpec!$AY8*up_RadSpec!$AF8,0)</f>
        <v>1.0745161508981418E-6</v>
      </c>
      <c r="Y8" s="189">
        <f>IFERROR(T8*(0.0000000000028)*up_RadSpec!$AY8*up_RadSpec!$AF8,0)</f>
        <v>2.9750862721171445E-6</v>
      </c>
      <c r="Z8" s="40">
        <f>IFERROR((s_C*s_EF_res*(1/365)*1*up_RadSpec!R8*((s_ET_res_o*(1/24)*up_RadSpec!W8)+(s_ET_res_i*(1/24)*up_RadSpec!AB8))),".")</f>
        <v>1.7046232876712322E-2</v>
      </c>
      <c r="AA8" s="40">
        <f>IFERROR((s_C*s_EF_res*(1/365)*1*up_RadSpec!S8*((s_ET_res_o*(1/24)*up_RadSpec!X8)+(s_ET_res_i*(1/24)*up_RadSpec!AC8))),".")</f>
        <v>9.2859589041095897E-3</v>
      </c>
      <c r="AB8" s="40">
        <f>IFERROR((s_C*s_EF_res*(1/365)*1*up_RadSpec!T8*((s_ET_res_o*(1/24)*up_RadSpec!Y8)+(s_ET_res_i*(1/24)*up_RadSpec!AD8))),".")</f>
        <v>1.2722113502935419E-2</v>
      </c>
      <c r="AC8" s="40">
        <f>IFERROR((s_C*s_EF_res*(1/365)*1*up_RadSpec!U8*((s_ET_res_o*(1/24)*up_RadSpec!Z8)+(s_ET_res_i*(1/24)*up_RadSpec!AE8))),".")</f>
        <v>1.3876012926876321E-2</v>
      </c>
      <c r="AD8" s="40">
        <f>IFERROR((s_C*s_EF_res*(1/365)*1*up_RadSpec!Q8*((s_ET_res_o*(1/24)*up_RadSpec!V8)+(s_ET_res_i*(1/24)*up_RadSpec!AA8))),".")</f>
        <v>5.011619373776908E-3</v>
      </c>
      <c r="AE8" s="15">
        <f>IFERROR((s_DL/(up_RadSpec!H8*s_IFA_res_adj)),".")</f>
        <v>9.9740259740259754E-3</v>
      </c>
      <c r="AF8" s="15">
        <f>IFERROR((s_DL/(up_RadSpec!K8*s_EF_res*(1/365)*1*s_ET_res*(1/24)*s_GSF_a)),".")</f>
        <v>63.709090909090911</v>
      </c>
      <c r="AG8" s="15">
        <f t="shared" si="8"/>
        <v>9.9724647271019675E-3</v>
      </c>
      <c r="AH8" s="189">
        <f>AG8*(0.0000000000000028)*up_RadSpec!$AY8*up_RadSpec!$AF8</f>
        <v>2.9737889816218068E-14</v>
      </c>
      <c r="AI8" s="40">
        <f t="shared" si="2"/>
        <v>501.30208333333326</v>
      </c>
      <c r="AJ8" s="40">
        <f t="shared" si="3"/>
        <v>7.8481735159817351E-2</v>
      </c>
      <c r="AK8" s="18"/>
      <c r="AL8" s="15">
        <f>IFERROR((s_DL/(up_RadSpec!I8*s_IFW_res_adj)),".")</f>
        <v>3.6363636363636364E-3</v>
      </c>
      <c r="AM8" s="15" t="str">
        <f>IFERROR(IF(AND(up_RadSpec!C8=1,up_RadSpec!D8&lt;&gt;0),(s_DL/(up_RadSpec!H8*s_IFA_res_adj*s_K*up_RadSpec!D8)),"."),".")</f>
        <v>.</v>
      </c>
      <c r="AN8" s="15">
        <f>IFERROR((s_DL/(up_RadSpec!M8*(1/8760)*s_DFA_res_adj)),".")</f>
        <v>39.81818181818182</v>
      </c>
      <c r="AO8" s="15">
        <f>up_b2w!C8</f>
        <v>1.6443412786038033E-4</v>
      </c>
      <c r="AP8" s="15">
        <f t="shared" ref="AP8:AP9" si="10">(IF(AND(AL8&lt;&gt;".",AM8&lt;&gt;".",AN8&lt;&gt;".",AO8&lt;&gt;"."),1/((1/AL8)+(1/AM8)+(1/AN8)+(1/AO8)),IF(AND(AL8&lt;&gt;".",AM8&lt;&gt;".",AN8&lt;&gt;".",AO8="."), 1/((1/AL8)+(1/AM8)+(1/AN8)),IF(AND(AL8&lt;&gt;".",AM8&lt;&gt;".",AN8=".",AO8&lt;&gt;"."),1/((1/AL8)+(1/AM8)+(1/AO8)),IF(AND(AL8&lt;&gt;".",AM8=".",AN8&lt;&gt;".",AO8&lt;&gt;"."),1/((1/AL8)+(1/AN8)+(1/AO8)),IF(AND(AL8=".",AM8&lt;&gt;".",AN8&lt;&gt;".",AO8&lt;&gt;"."),1/((1/AM8)+(1/AN8)+(1/AO8)),IF(AND(AL8&lt;&gt;".",AM8&lt;&gt;".",AN8=".",AO8="."),1/((1/AL8)+(1/AM8)),IF(AND(AL8&lt;&gt;".",AM8=".",AN8&lt;&gt;".",AO8="."),1/((1/AL8)+(1/AN8)),IF(AND(AL8&lt;&gt;".",AM8=".",AN8=".",AO8&lt;&gt;"."),1/((1/AL8)+(1/AO8)),IF(AND(AL8=".",AM8=".",AN8&lt;&gt;".",AO8&lt;&gt;"."),1/((1/AN8)+(1/AO8)),IF(AND(AL8=".",AM8&lt;&gt;".",AN8=".",AO8&lt;&gt;"."),1/((1/AM8)+(1/AO8)),IF(AND(AL8=".",AM8&lt;&gt;".",AN8&lt;&gt;".",AO8="."),1/((1/AM8)+(1/AN8)),IF(AND(AL8&lt;&gt;".",AM8=".",AN8=".",AO8="."),1/((1/AL8)),IF(AND(AL8=".",AM8&lt;&gt;".",AN8=".",AO8="."),1/((1/AM8)),IF(AND(AL8=".",AM8=".",AN8&lt;&gt;".",AO8="."),1/((1/AN8)),IF(AND(AL8=".",AM8=".",AN8=".",AO8&lt;&gt;"."),1/((1/AO8)),IF(AND(AL8=".",AM8=".",AN8=".",AO8="."),".")))))))))))))))))</f>
        <v>1.5731958335636468E-4</v>
      </c>
      <c r="AQ8" s="189">
        <f>AP8*(0.0000000000000028)*up_RadSpec!$AY8*up_RadSpec!$AF8</f>
        <v>4.6912699756867945E-16</v>
      </c>
      <c r="AR8" s="40">
        <f t="shared" si="4"/>
        <v>1375</v>
      </c>
      <c r="AS8" s="40">
        <f>IF(up_RadSpec!D8&lt;&gt;"",s_C*s_IFA_res_adj*s_K*up_RadSpec!D8,0)</f>
        <v>0</v>
      </c>
      <c r="AT8" s="40">
        <f t="shared" si="5"/>
        <v>0.12557077625570776</v>
      </c>
      <c r="AU8" s="40">
        <f>up_b2w!AC8</f>
        <v>30407.313038114935</v>
      </c>
      <c r="AV8" s="18"/>
      <c r="AW8" s="15">
        <f>IFERROR(s_DL/(up_RadSpec!F8*s_EF_res*1*s_IRF_res*0.001*s_CF_res_fish),".")</f>
        <v>6.6115702479338848E-4</v>
      </c>
      <c r="AX8" s="189">
        <f>IFERROR(AW8*(0.0000000000028)*up_RadSpec!$AY8*up_RadSpec!$AF8,0)</f>
        <v>1.9715702479338846E-12</v>
      </c>
      <c r="AY8" s="40">
        <f t="shared" si="6"/>
        <v>7562.5</v>
      </c>
    </row>
    <row r="9" spans="1:51" x14ac:dyDescent="0.25">
      <c r="A9" s="44" t="s">
        <v>7</v>
      </c>
      <c r="B9" s="42" t="s">
        <v>1057</v>
      </c>
      <c r="C9" s="238"/>
      <c r="D9" s="15">
        <f>IFERROR(((s_DL/(up_RadSpec!E9*s_IFS_res_adj*(1/1000)))*1),".")</f>
        <v>0.33057851239669422</v>
      </c>
      <c r="E9" s="15">
        <f>IFERROR(IF(A9="H-3",(s_DL/((up_RadSpec!H9*s_IFA_res_adj*(1/17)*1000))*1),(s_DL/((up_RadSpec!H9*s_IFA_res_adj*(1/s_PEF_wind)*1000))*1)),".")</f>
        <v>3089.9917851942919</v>
      </c>
      <c r="F9" s="15">
        <f>IFERROR((s_DL/(up_RadSpec!G9*s_EF_res*(1/365)*1*up_RadSpec!R9*((s_ET_res_o*(1/24)*up_RadSpec!W9)+(s_ET_res_i*(1/24)*up_RadSpec!AB9))))*1,".")</f>
        <v>144.45656280518662</v>
      </c>
      <c r="G9" s="15">
        <f>up_b2s!C9</f>
        <v>3.2968835384132272E-5</v>
      </c>
      <c r="H9" s="15">
        <f>up_dir!C9</f>
        <v>1.6528925619834712E-4</v>
      </c>
      <c r="I9" s="15">
        <f t="shared" si="7"/>
        <v>3.2965539831535824E-5</v>
      </c>
      <c r="J9" s="189">
        <f>IFERROR(I9*(0.0000000000028)*up_RadSpec!$AY9*up_RadSpec!$AF9,0)</f>
        <v>9.8764757335281342E-14</v>
      </c>
      <c r="K9" s="40">
        <f t="shared" si="0"/>
        <v>15.125</v>
      </c>
      <c r="L9" s="40">
        <f t="shared" si="1"/>
        <v>1.6181272791589674E-3</v>
      </c>
      <c r="M9" s="40">
        <f>IFERROR((s_C*s_EF_res*(1/365)*1*up_RadSpec!R9*((s_ET_res_o*(1/24)*up_RadSpec!W9)+(s_ET_res_i*(1/24)*up_RadSpec!AB9))),".")</f>
        <v>3.4612480754806371E-2</v>
      </c>
      <c r="N9" s="40">
        <f>up_b2s!AC9</f>
        <v>151658.375</v>
      </c>
      <c r="O9" s="18"/>
      <c r="P9" s="15">
        <f>IFERROR((s_DL/(up_RadSpec!G9*s_EF_res*(1/365)*1*up_RadSpec!R9*((s_ET_res_o*(1/24)*up_RadSpec!W9)+(s_ET_res_i*(1/24)*up_RadSpec!AB9))))*1,".")</f>
        <v>144.45656280518662</v>
      </c>
      <c r="Q9" s="15">
        <f>IFERROR((s_DL/(up_RadSpec!N9*s_EF_res*(1/365)*1*up_RadSpec!S9*((s_ET_res_o*(1/24)*up_RadSpec!X9)+(s_ET_res_i*(1/24)*up_RadSpec!AC9))))*1,".")</f>
        <v>295.8712121212123</v>
      </c>
      <c r="R9" s="15">
        <f>IFERROR((s_DL/(up_RadSpec!O9*s_EF_res*(1/365)*1*up_RadSpec!T9*((s_ET_res_o*(1/24)*up_RadSpec!Y9)+(s_ET_res_i*(1/24)*up_RadSpec!AD9))))*1,".")</f>
        <v>208.18077457555449</v>
      </c>
      <c r="S9" s="15">
        <f>IFERROR((s_DL/(up_RadSpec!P9*s_EF_res*(1/365)*1*up_RadSpec!U9*((s_ET_res_o*(1/24)*up_RadSpec!Z9)+(s_ET_res_i*(1/24)*up_RadSpec!AE9))))*1,".")</f>
        <v>171.60697887970616</v>
      </c>
      <c r="T9" s="15">
        <f>IFERROR((s_DL/(up_RadSpec!L9*s_EF_res*(1/365)*1*up_RadSpec!Q9*((s_ET_res_o*(1/24)*up_RadSpec!V9)+(s_ET_res_i*(1/24)*up_RadSpec!AA9))))*1,".")</f>
        <v>524.07060857765111</v>
      </c>
      <c r="U9" s="189">
        <f>IFERROR(P9*(0.0000000000028)*up_RadSpec!$AY9*up_RadSpec!$AF9,0)</f>
        <v>4.3279186216433919E-7</v>
      </c>
      <c r="V9" s="189">
        <f>IFERROR(Q9*(0.0000000000028)*up_RadSpec!$AY9*up_RadSpec!$AF9,0)</f>
        <v>8.8643015151515209E-7</v>
      </c>
      <c r="W9" s="189">
        <f>IFERROR(R9*(0.0000000000028)*up_RadSpec!$AY9*up_RadSpec!$AF9,0)</f>
        <v>6.2370960062836128E-7</v>
      </c>
      <c r="X9" s="189">
        <f>IFERROR(S9*(0.0000000000028)*up_RadSpec!$AY9*up_RadSpec!$AF9,0)</f>
        <v>5.1413450872359971E-7</v>
      </c>
      <c r="Y9" s="189">
        <f>IFERROR(T9*(0.0000000000028)*up_RadSpec!$AY9*up_RadSpec!$AF9,0)</f>
        <v>1.570115543298643E-6</v>
      </c>
      <c r="Z9" s="40">
        <f>IFERROR((s_C*s_EF_res*(1/365)*1*up_RadSpec!R9*((s_ET_res_o*(1/24)*up_RadSpec!W9)+(s_ET_res_i*(1/24)*up_RadSpec!AB9))),".")</f>
        <v>3.4612480754806371E-2</v>
      </c>
      <c r="AA9" s="40">
        <f>IFERROR((s_C*s_EF_res*(1/365)*1*up_RadSpec!S9*((s_ET_res_o*(1/24)*up_RadSpec!X9)+(s_ET_res_i*(1/24)*up_RadSpec!AC9))),".")</f>
        <v>1.6899244654973746E-2</v>
      </c>
      <c r="AB9" s="40">
        <f>IFERROR((s_C*s_EF_res*(1/365)*1*up_RadSpec!T9*((s_ET_res_o*(1/24)*up_RadSpec!Y9)+(s_ET_res_i*(1/24)*up_RadSpec!AD9))),".")</f>
        <v>2.4017587648014843E-2</v>
      </c>
      <c r="AC9" s="40">
        <f>IFERROR((s_C*s_EF_res*(1/365)*1*up_RadSpec!U9*((s_ET_res_o*(1/24)*up_RadSpec!Z9)+(s_ET_res_i*(1/24)*up_RadSpec!AE9))),".")</f>
        <v>2.9136344178082189E-2</v>
      </c>
      <c r="AD9" s="40">
        <f>IFERROR((s_C*s_EF_res*(1/365)*1*up_RadSpec!Q9*((s_ET_res_o*(1/24)*up_RadSpec!V9)+(s_ET_res_i*(1/24)*up_RadSpec!AA9))),".")</f>
        <v>9.5406991313063769E-3</v>
      </c>
      <c r="AE9" s="15">
        <f>IFERROR((s_DL/(up_RadSpec!H9*s_IFA_res_adj)),".")</f>
        <v>9.9740259740259754E-3</v>
      </c>
      <c r="AF9" s="15">
        <f>IFERROR((s_DL/(up_RadSpec!K9*s_EF_res*(1/365)*1*s_ET_res*(1/24)*s_GSF_a)),".")</f>
        <v>63.709090909090911</v>
      </c>
      <c r="AG9" s="15">
        <f t="shared" si="8"/>
        <v>9.9724647271019675E-3</v>
      </c>
      <c r="AH9" s="189">
        <f>AG9*(0.0000000000000028)*up_RadSpec!$AY9*up_RadSpec!$AF9</f>
        <v>2.9877504322397496E-14</v>
      </c>
      <c r="AI9" s="40">
        <f t="shared" si="2"/>
        <v>501.30208333333326</v>
      </c>
      <c r="AJ9" s="40">
        <f t="shared" si="3"/>
        <v>7.8481735159817351E-2</v>
      </c>
      <c r="AK9" s="18"/>
      <c r="AL9" s="15">
        <f>IFERROR((s_DL/(up_RadSpec!I9*s_IFW_res_adj)),".")</f>
        <v>3.6363636363636364E-3</v>
      </c>
      <c r="AM9" s="15">
        <f>IFERROR(IF(AND(up_RadSpec!C9=1,up_RadSpec!D9&lt;&gt;0),(s_DL/(up_RadSpec!H9*s_IFA_res_adj*s_K*up_RadSpec!D9)),"."),".")</f>
        <v>0.39187352811929721</v>
      </c>
      <c r="AN9" s="15">
        <f>IFERROR((s_DL/(up_RadSpec!M9*(1/8760)*s_DFA_res_adj)),".")</f>
        <v>39.81818181818182</v>
      </c>
      <c r="AO9" s="15">
        <f>up_b2w!C9</f>
        <v>1.6443412786038033E-4</v>
      </c>
      <c r="AP9" s="15">
        <f t="shared" si="10"/>
        <v>1.5725645196899439E-4</v>
      </c>
      <c r="AQ9" s="189">
        <f>AP9*(0.0000000000000028)*up_RadSpec!$AY9*up_RadSpec!$AF9</f>
        <v>4.711403300991073E-16</v>
      </c>
      <c r="AR9" s="40">
        <f t="shared" si="4"/>
        <v>1375</v>
      </c>
      <c r="AS9" s="40">
        <f>IF(up_RadSpec!D9&lt;&gt;"",s_C*s_IFA_res_adj*s_K*up_RadSpec!D9,0)</f>
        <v>12.759218577473957</v>
      </c>
      <c r="AT9" s="40">
        <f t="shared" si="5"/>
        <v>0.12557077625570776</v>
      </c>
      <c r="AU9" s="40">
        <f>up_b2w!AC9</f>
        <v>30407.313038114935</v>
      </c>
      <c r="AV9" s="18"/>
      <c r="AW9" s="15">
        <f>IFERROR(s_DL/(up_RadSpec!F9*s_EF_res*1*s_IRF_res*0.001*s_CF_res_fish),".")</f>
        <v>6.6115702479338848E-4</v>
      </c>
      <c r="AX9" s="189">
        <f>IFERROR(AW9*(0.0000000000028)*up_RadSpec!$AY9*up_RadSpec!$AF9,0)</f>
        <v>1.9808264462809916E-12</v>
      </c>
      <c r="AY9" s="40">
        <f t="shared" si="6"/>
        <v>7562.5</v>
      </c>
    </row>
    <row r="10" spans="1:51" x14ac:dyDescent="0.25">
      <c r="A10" s="46" t="s">
        <v>8</v>
      </c>
      <c r="B10" s="42" t="s">
        <v>335</v>
      </c>
      <c r="C10" s="42"/>
      <c r="D10" s="15">
        <f>IFERROR(((s_DL/(up_RadSpec!E10*s_IFS_res_adj*(1/1000)))*1),".")</f>
        <v>0.33057851239669422</v>
      </c>
      <c r="E10" s="15">
        <f>IFERROR(IF(A10="H-3",(s_DL/((up_RadSpec!H10*s_IFA_res_adj*(1/17)*1000))*1),(s_DL/((up_RadSpec!H10*s_IFA_res_adj*(1/s_PEF_wind)*1000))*1)),".")</f>
        <v>3089.9917851942919</v>
      </c>
      <c r="F10" s="15">
        <f>IFERROR((s_DL/(up_RadSpec!G10*s_EF_res*(1/365)*1*up_RadSpec!R10*((s_ET_res_o*(1/24)*up_RadSpec!W10)+(s_ET_res_i*(1/24)*up_RadSpec!AB10))))*1,".")</f>
        <v>276.40981240981239</v>
      </c>
      <c r="G10" s="15">
        <f>up_b2s!C10</f>
        <v>3.2968835384132272E-5</v>
      </c>
      <c r="H10" s="15">
        <f>up_dir!C10</f>
        <v>1.6528925619834712E-4</v>
      </c>
      <c r="I10" s="15">
        <f t="shared" si="7"/>
        <v>3.296554342282013E-5</v>
      </c>
      <c r="J10" s="189">
        <f>IFERROR(I10*(0.0000000000028)*up_RadSpec!$AY10*up_RadSpec!$AF10,0)</f>
        <v>6.3227912284969019E-14</v>
      </c>
      <c r="K10" s="40">
        <f t="shared" si="0"/>
        <v>15.125</v>
      </c>
      <c r="L10" s="40">
        <f t="shared" si="1"/>
        <v>1.6181272791589674E-3</v>
      </c>
      <c r="M10" s="40">
        <f>IFERROR((s_C*s_EF_res*(1/365)*1*up_RadSpec!R10*((s_ET_res_o*(1/24)*up_RadSpec!W10)+(s_ET_res_i*(1/24)*up_RadSpec!AB10))),".")</f>
        <v>1.8089082860006683E-2</v>
      </c>
      <c r="N10" s="40">
        <f>up_b2s!AC10</f>
        <v>151658.375</v>
      </c>
      <c r="O10" s="18"/>
      <c r="P10" s="15">
        <f>IFERROR((s_DL/(up_RadSpec!G10*s_EF_res*(1/365)*1*up_RadSpec!R10*((s_ET_res_o*(1/24)*up_RadSpec!W10)+(s_ET_res_i*(1/24)*up_RadSpec!AB10))))*1,".")</f>
        <v>276.40981240981239</v>
      </c>
      <c r="Q10" s="15">
        <f>IFERROR((s_DL/(up_RadSpec!N10*s_EF_res*(1/365)*1*up_RadSpec!S10*((s_ET_res_o*(1/24)*up_RadSpec!X10)+(s_ET_res_i*(1/24)*up_RadSpec!AC10))))*1,".")</f>
        <v>430.7198973865639</v>
      </c>
      <c r="R10" s="15">
        <f>IFERROR((s_DL/(up_RadSpec!O10*s_EF_res*(1/365)*1*up_RadSpec!T10*((s_ET_res_o*(1/24)*up_RadSpec!Y10)+(s_ET_res_i*(1/24)*up_RadSpec!AD10))))*1,".")</f>
        <v>307.59036342644413</v>
      </c>
      <c r="S10" s="15">
        <f>IFERROR((s_DL/(up_RadSpec!P10*s_EF_res*(1/365)*1*up_RadSpec!U10*((s_ET_res_o*(1/24)*up_RadSpec!Z10)+(s_ET_res_i*(1/24)*up_RadSpec!AE10))))*1,".")</f>
        <v>281.32732952010059</v>
      </c>
      <c r="T10" s="15">
        <f>IFERROR((s_DL/(up_RadSpec!L10*s_EF_res*(1/365)*1*up_RadSpec!Q10*((s_ET_res_o*(1/24)*up_RadSpec!V10)+(s_ET_res_i*(1/24)*up_RadSpec!AA10))))*1,".")</f>
        <v>724.07613070789353</v>
      </c>
      <c r="U10" s="189">
        <f>IFERROR(P10*(0.0000000000028)*up_RadSpec!$AY10*up_RadSpec!$AF10,0)</f>
        <v>5.3015402020202021E-7</v>
      </c>
      <c r="V10" s="189">
        <f>IFERROR(Q10*(0.0000000000028)*up_RadSpec!$AY10*up_RadSpec!$AF10,0)</f>
        <v>8.2612076318742971E-7</v>
      </c>
      <c r="W10" s="189">
        <f>IFERROR(R10*(0.0000000000028)*up_RadSpec!$AY10*up_RadSpec!$AF10,0)</f>
        <v>5.899583170519199E-7</v>
      </c>
      <c r="X10" s="189">
        <f>IFERROR(S10*(0.0000000000028)*up_RadSpec!$AY10*up_RadSpec!$AF10,0)</f>
        <v>5.3958581801955301E-7</v>
      </c>
      <c r="Y10" s="189">
        <f>IFERROR(T10*(0.0000000000028)*up_RadSpec!$AY10*up_RadSpec!$AF10,0)</f>
        <v>1.3887780186977398E-6</v>
      </c>
      <c r="Z10" s="40">
        <f>IFERROR((s_C*s_EF_res*(1/365)*1*up_RadSpec!R10*((s_ET_res_o*(1/24)*up_RadSpec!W10)+(s_ET_res_i*(1/24)*up_RadSpec!AB10))),".")</f>
        <v>1.8089082860006683E-2</v>
      </c>
      <c r="AA10" s="40">
        <f>IFERROR((s_C*s_EF_res*(1/365)*1*up_RadSpec!S10*((s_ET_res_o*(1/24)*up_RadSpec!X10)+(s_ET_res_i*(1/24)*up_RadSpec!AC10))),".")</f>
        <v>1.1608472304943423E-2</v>
      </c>
      <c r="AB10" s="40">
        <f>IFERROR((s_C*s_EF_res*(1/365)*1*up_RadSpec!T10*((s_ET_res_o*(1/24)*up_RadSpec!Y10)+(s_ET_res_i*(1/24)*up_RadSpec!AD10))),".")</f>
        <v>1.6255385715930205E-2</v>
      </c>
      <c r="AC10" s="40">
        <f>IFERROR((s_C*s_EF_res*(1/365)*1*up_RadSpec!U10*((s_ET_res_o*(1/24)*up_RadSpec!Z10)+(s_ET_res_i*(1/24)*up_RadSpec!AE10))),".")</f>
        <v>1.7772891131939438E-2</v>
      </c>
      <c r="AD10" s="40">
        <f>IFERROR((s_C*s_EF_res*(1/365)*1*up_RadSpec!Q10*((s_ET_res_o*(1/24)*up_RadSpec!V10)+(s_ET_res_i*(1/24)*up_RadSpec!AA10))),".")</f>
        <v>6.905351230279814E-3</v>
      </c>
      <c r="AE10" s="15">
        <f>IFERROR((s_DL/(up_RadSpec!H10*s_IFA_res_adj)),".")</f>
        <v>9.9740259740259754E-3</v>
      </c>
      <c r="AF10" s="15">
        <f>IFERROR((s_DL/(up_RadSpec!K10*s_EF_res*(1/365)*1*s_ET_res*(1/24)*s_GSF_a)),".")</f>
        <v>63.709090909090911</v>
      </c>
      <c r="AG10" s="15">
        <f t="shared" si="8"/>
        <v>9.9724647271019675E-3</v>
      </c>
      <c r="AH10" s="189">
        <f>AG10*(0.0000000000000028)*up_RadSpec!$AY10*up_RadSpec!$AF10</f>
        <v>1.9127187346581575E-14</v>
      </c>
      <c r="AI10" s="40">
        <f t="shared" si="2"/>
        <v>501.30208333333326</v>
      </c>
      <c r="AJ10" s="40">
        <f t="shared" si="3"/>
        <v>7.8481735159817351E-2</v>
      </c>
      <c r="AK10" s="18"/>
      <c r="AL10" s="15">
        <f>IFERROR((s_DL/(up_RadSpec!I10*s_IFW_res_adj)),".")</f>
        <v>3.6363636363636364E-3</v>
      </c>
      <c r="AM10" s="15" t="str">
        <f>IFERROR(IF(AND(up_RadSpec!C10=1,up_RadSpec!D10&lt;&gt;0),(s_DL/(up_RadSpec!H10*s_IFA_res_adj*s_K*up_RadSpec!D10)),"."),".")</f>
        <v>.</v>
      </c>
      <c r="AN10" s="15">
        <f>IFERROR((s_DL/(up_RadSpec!M10*(1/8760)*s_DFA_res_adj)),".")</f>
        <v>39.81818181818182</v>
      </c>
      <c r="AO10" s="15">
        <f>up_b2w!C10</f>
        <v>1.6443412786038033E-4</v>
      </c>
      <c r="AP10" s="15">
        <f>(IF(AND(AL10&lt;&gt;".",AM10&lt;&gt;".",AN10&lt;&gt;".",AO10&lt;&gt;"."),1/((1/AL10)+(1/AM10)+(1/AN10)+(1/AO10)),IF(AND(AL10&lt;&gt;".",AM10&lt;&gt;".",AN10&lt;&gt;".",AO10="."), 1/((1/AL10)+(1/AM10)+(1/AN10)),IF(AND(AL10&lt;&gt;".",AM10&lt;&gt;".",AN10=".",AO10&lt;&gt;"."),1/((1/AL10)+(1/AM10)+(1/AO10)),IF(AND(AL10&lt;&gt;".",AM10=".",AN10&lt;&gt;".",AO10&lt;&gt;"."),1/((1/AL10)+(1/AN10)+(1/AO10)),IF(AND(AL10=".",AM10&lt;&gt;".",AN10&lt;&gt;".",AO10&lt;&gt;"."),1/((1/AM10)+(1/AN10)+(1/AO10)),IF(AND(AL10&lt;&gt;".",AM10&lt;&gt;".",AN10=".",AO10="."),1/((1/AL10)+(1/AM10)),IF(AND(AL10&lt;&gt;".",AM10=".",AN10&lt;&gt;".",AO10="."),1/((1/AL10)+(1/AN10)),IF(AND(AL10&lt;&gt;".",AM10=".",AN10=".",AO10&lt;&gt;"."),1/((1/AL10)+(1/AO10)),IF(AND(AL10=".",AM10=".",AN10&lt;&gt;".",AO10&lt;&gt;"."),1/((1/AN10)+(1/AO10)),IF(AND(AL10=".",AM10&lt;&gt;".",AN10=".",AO10&lt;&gt;"."),1/((1/AM10)+(1/AO10)),IF(AND(AL10=".",AM10&lt;&gt;".",AN10&lt;&gt;".",AO10="."),1/((1/AM10)+(1/AN10)),IF(AND(AL10&lt;&gt;".",AM10=".",AN10=".",AO10="."),1/((1/AL10)),IF(AND(AL10=".",AM10&lt;&gt;".",AN10=".",AO10="."),1/((1/AM10)),IF(AND(AL10=".",AM10=".",AN10&lt;&gt;".",AO10="."),1/((1/AN10)),IF(AND(AL10=".",AM10=".",AN10=".",AO10&lt;&gt;"."),1/((1/AO10)),IF(AND(AL10=".",AM10=".",AN10=".",AO10="."),".")))))))))))))))))</f>
        <v>1.5731958335636468E-4</v>
      </c>
      <c r="AQ10" s="189">
        <f>AP10*(0.0000000000000028)*up_RadSpec!$AY10*up_RadSpec!$AF10</f>
        <v>3.0173896087750751E-16</v>
      </c>
      <c r="AR10" s="40">
        <f t="shared" si="4"/>
        <v>1375</v>
      </c>
      <c r="AS10" s="40">
        <f>IF(up_RadSpec!D10&lt;&gt;"",s_C*s_IFA_res_adj*s_K*up_RadSpec!D10,0)</f>
        <v>0</v>
      </c>
      <c r="AT10" s="40">
        <f t="shared" si="5"/>
        <v>0.12557077625570776</v>
      </c>
      <c r="AU10" s="40">
        <f>up_b2w!AC10</f>
        <v>30407.313038114935</v>
      </c>
      <c r="AV10" s="18"/>
      <c r="AW10" s="15">
        <f>IFERROR(s_DL/(up_RadSpec!F10*s_EF_res*1*s_IRF_res*0.001*s_CF_res_fish),".")</f>
        <v>6.6115702479338848E-4</v>
      </c>
      <c r="AX10" s="189">
        <f>IFERROR(AW10*(0.0000000000028)*up_RadSpec!$AY10*up_RadSpec!$AF10,0)</f>
        <v>1.2680991735537193E-12</v>
      </c>
      <c r="AY10" s="40">
        <f t="shared" si="6"/>
        <v>7562.5</v>
      </c>
    </row>
    <row r="11" spans="1:51" x14ac:dyDescent="0.25">
      <c r="A11" s="44" t="s">
        <v>9</v>
      </c>
      <c r="B11" s="42" t="s">
        <v>1057</v>
      </c>
      <c r="C11" s="42"/>
      <c r="D11" s="15">
        <f>IFERROR(((s_DL/(up_RadSpec!E11*s_IFS_res_adj*(1/1000)))*1),".")</f>
        <v>0.33057851239669422</v>
      </c>
      <c r="E11" s="15">
        <f>IFERROR(IF(A11="H-3",(s_DL/((up_RadSpec!H11*s_IFA_res_adj*(1/17)*1000))*1),(s_DL/((up_RadSpec!H11*s_IFA_res_adj*(1/s_PEF_wind)*1000))*1)),".")</f>
        <v>3089.9917851942919</v>
      </c>
      <c r="F11" s="15">
        <f>IFERROR((s_DL/(up_RadSpec!G11*s_EF_res*(1/365)*1*up_RadSpec!R11*((s_ET_res_o*(1/24)*up_RadSpec!W11)+(s_ET_res_i*(1/24)*up_RadSpec!AB11))))*1,".")</f>
        <v>826.50682650682666</v>
      </c>
      <c r="G11" s="15">
        <f>up_b2s!C11</f>
        <v>3.2968835384132272E-5</v>
      </c>
      <c r="H11" s="15">
        <f>up_dir!C11</f>
        <v>1.6528925619834712E-4</v>
      </c>
      <c r="I11" s="15">
        <f>(IF(AND(D11&lt;&gt;".",E11&lt;&gt;".",F11&lt;&gt;".",G11&lt;&gt;"."),1/((1/D11)+(1/E11)+(1/F11)+(1/G11)),IF(AND(D11&lt;&gt;".",E11&lt;&gt;".",F11&lt;&gt;".",G11="."), 1/((1/D11)+(1/E11)+(1/F11)),IF(AND(D11&lt;&gt;".",E11&lt;&gt;".",F11=".",G11&lt;&gt;"."),1/((1/D11)+(1/E11)+(1/G11)),IF(AND(D11&lt;&gt;".",E11=".",F11&lt;&gt;".",G11&lt;&gt;"."),1/((1/D11)+(1/F11)+(1/G11)),IF(AND(D11=".",E11&lt;&gt;".",F11&lt;&gt;".",G11&lt;&gt;"."),1/((1/E11)+(1/F11)+(1/G11)),IF(AND(D11&lt;&gt;".",E11&lt;&gt;".",F11=".",G11="."),1/((1/D11)+(1/E11)),IF(AND(D11&lt;&gt;".",E11=".",F11&lt;&gt;".",G11="."),1/((1/D11)+(1/F11)),IF(AND(D11&lt;&gt;".",E11=".",F11=".",G11&lt;&gt;"."),1/((1/D11)+(1/G11)),IF(AND(D11=".",E11=".",F11&lt;&gt;".",G11&lt;&gt;"."),1/((1/F11)+(1/G11)),IF(AND(D11=".",E11&lt;&gt;".",F11=".",G11&lt;&gt;"."),1/((1/E11)+(1/G11)),IF(AND(D11=".",E11&lt;&gt;".",F11&lt;&gt;".",G11="."),1/((1/E11)+(1/F11)),IF(AND(D11&lt;&gt;".",E11=".",F11=".",G11="."),1/((1/D11)),IF(AND(D11=".",E11&lt;&gt;".",F11=".",G11="."),1/((1/E11)),IF(AND(D11=".",E11=".",F11&lt;&gt;".",G11="."),1/((1/F11)),IF(AND(D11=".",E11=".",F11=".",G11&lt;&gt;"."),1/((1/G11)),IF(AND(D11=".",E11=".",F11=".",G11="."),".")))))))))))))))))</f>
        <v>3.296554603955608E-5</v>
      </c>
      <c r="J11" s="189">
        <f>IFERROR(I11*(0.0000000000028)*up_RadSpec!$AY11*up_RadSpec!$AF11,0)</f>
        <v>1.0199539944638652E-13</v>
      </c>
      <c r="K11" s="40">
        <f t="shared" si="0"/>
        <v>15.125</v>
      </c>
      <c r="L11" s="40">
        <f t="shared" si="1"/>
        <v>1.6181272791589674E-3</v>
      </c>
      <c r="M11" s="40">
        <f>IFERROR((s_C*s_EF_res*(1/365)*1*up_RadSpec!R11*((s_ET_res_o*(1/24)*up_RadSpec!W11)+(s_ET_res_i*(1/24)*up_RadSpec!AB11))),".")</f>
        <v>6.0495568090249792E-3</v>
      </c>
      <c r="N11" s="40">
        <f>up_b2s!AC11</f>
        <v>151658.375</v>
      </c>
      <c r="O11" s="18"/>
      <c r="P11" s="15">
        <f>IFERROR((s_DL/(up_RadSpec!G11*s_EF_res*(1/365)*1*up_RadSpec!R11*((s_ET_res_o*(1/24)*up_RadSpec!W11)+(s_ET_res_i*(1/24)*up_RadSpec!AB11))))*1,".")</f>
        <v>826.50682650682666</v>
      </c>
      <c r="Q11" s="15">
        <f>IFERROR((s_DL/(up_RadSpec!N11*s_EF_res*(1/365)*1*up_RadSpec!S11*((s_ET_res_o*(1/24)*up_RadSpec!X11)+(s_ET_res_i*(1/24)*up_RadSpec!AC11))))*1,".")</f>
        <v>1045.804303422032</v>
      </c>
      <c r="R11" s="15">
        <f>IFERROR((s_DL/(up_RadSpec!O11*s_EF_res*(1/365)*1*up_RadSpec!T11*((s_ET_res_o*(1/24)*up_RadSpec!Y11)+(s_ET_res_i*(1/24)*up_RadSpec!AD11))))*1,".")</f>
        <v>811.64159581425747</v>
      </c>
      <c r="S11" s="15">
        <f>IFERROR((s_DL/(up_RadSpec!P11*s_EF_res*(1/365)*1*up_RadSpec!U11*((s_ET_res_o*(1/24)*up_RadSpec!Z11)+(s_ET_res_i*(1/24)*up_RadSpec!AE11))))*1,".")</f>
        <v>773.13266443701264</v>
      </c>
      <c r="T11" s="15">
        <f>IFERROR((s_DL/(up_RadSpec!L11*s_EF_res*(1/365)*1*up_RadSpec!Q11*((s_ET_res_o*(1/24)*up_RadSpec!V11)+(s_ET_res_i*(1/24)*up_RadSpec!AA11))))*1,".")</f>
        <v>1946.8923933209649</v>
      </c>
      <c r="U11" s="189">
        <f>IFERROR(P11*(0.0000000000028)*up_RadSpec!$AY11*up_RadSpec!$AF11,0)</f>
        <v>2.5572121212121217E-6</v>
      </c>
      <c r="V11" s="189">
        <f>IFERROR(Q11*(0.0000000000028)*up_RadSpec!$AY11*up_RadSpec!$AF11,0)</f>
        <v>3.2357185147877671E-6</v>
      </c>
      <c r="W11" s="189">
        <f>IFERROR(R11*(0.0000000000028)*up_RadSpec!$AY11*up_RadSpec!$AF11,0)</f>
        <v>2.5112190974493128E-6</v>
      </c>
      <c r="X11" s="189">
        <f>IFERROR(S11*(0.0000000000028)*up_RadSpec!$AY11*up_RadSpec!$AF11,0)</f>
        <v>2.3920724637681175E-6</v>
      </c>
      <c r="Y11" s="189">
        <f>IFERROR(T11*(0.0000000000028)*up_RadSpec!$AY11*up_RadSpec!$AF11,0)</f>
        <v>6.0236850649350656E-6</v>
      </c>
      <c r="Z11" s="40">
        <f>IFERROR((s_C*s_EF_res*(1/365)*1*up_RadSpec!R11*((s_ET_res_o*(1/24)*up_RadSpec!W11)+(s_ET_res_i*(1/24)*up_RadSpec!AB11))),".")</f>
        <v>6.0495568090249792E-3</v>
      </c>
      <c r="AA11" s="40">
        <f>IFERROR((s_C*s_EF_res*(1/365)*1*up_RadSpec!S11*((s_ET_res_o*(1/24)*up_RadSpec!X11)+(s_ET_res_i*(1/24)*up_RadSpec!AC11))),".")</f>
        <v>4.7810092037671231E-3</v>
      </c>
      <c r="AB11" s="40">
        <f>IFERROR((s_C*s_EF_res*(1/365)*1*up_RadSpec!T11*((s_ET_res_o*(1/24)*up_RadSpec!Y11)+(s_ET_res_i*(1/24)*up_RadSpec!AD11))),".")</f>
        <v>6.1603545527800178E-3</v>
      </c>
      <c r="AC11" s="40">
        <f>IFERROR((s_C*s_EF_res*(1/365)*1*up_RadSpec!U11*((s_ET_res_o*(1/24)*up_RadSpec!Z11)+(s_ET_res_i*(1/24)*up_RadSpec!AE11))),".")</f>
        <v>6.4671953857245827E-3</v>
      </c>
      <c r="AD11" s="40">
        <f>IFERROR((s_C*s_EF_res*(1/365)*1*up_RadSpec!Q11*((s_ET_res_o*(1/24)*up_RadSpec!V11)+(s_ET_res_i*(1/24)*up_RadSpec!AA11))),".")</f>
        <v>2.5681953543776055E-3</v>
      </c>
      <c r="AE11" s="15">
        <f>IFERROR((s_DL/(up_RadSpec!H11*s_IFA_res_adj)),".")</f>
        <v>9.9740259740259754E-3</v>
      </c>
      <c r="AF11" s="15">
        <f>IFERROR((s_DL/(up_RadSpec!K11*s_EF_res*(1/365)*1*s_ET_res*(1/24)*s_GSF_a)),".")</f>
        <v>63.709090909090911</v>
      </c>
      <c r="AG11" s="15">
        <f t="shared" si="8"/>
        <v>9.9724647271019675E-3</v>
      </c>
      <c r="AH11" s="189">
        <f>AG11*(0.0000000000000028)*up_RadSpec!$AY11*up_RadSpec!$AF11</f>
        <v>3.0854805865653487E-14</v>
      </c>
      <c r="AI11" s="40">
        <f t="shared" si="2"/>
        <v>501.30208333333326</v>
      </c>
      <c r="AJ11" s="40">
        <f t="shared" si="3"/>
        <v>7.8481735159817351E-2</v>
      </c>
      <c r="AK11" s="18"/>
      <c r="AL11" s="15">
        <f>IFERROR((s_DL/(up_RadSpec!I11*s_IFW_res_adj)),".")</f>
        <v>3.6363636363636364E-3</v>
      </c>
      <c r="AM11" s="15" t="str">
        <f>IFERROR(IF(AND(up_RadSpec!C11=1,up_RadSpec!D11&lt;&gt;0),(s_DL/(up_RadSpec!H11*s_IFA_res_adj*s_K*up_RadSpec!D11)),"."),".")</f>
        <v>.</v>
      </c>
      <c r="AN11" s="15">
        <f>IFERROR((s_DL/(up_RadSpec!M11*(1/8760)*s_DFA_res_adj)),".")</f>
        <v>39.81818181818182</v>
      </c>
      <c r="AO11" s="15">
        <f>up_b2w!C11</f>
        <v>1.6443412786038033E-4</v>
      </c>
      <c r="AP11" s="15">
        <f>(IF(AND(AL11&lt;&gt;".",AM11&lt;&gt;".",AN11&lt;&gt;".",AO11&lt;&gt;"."),1/((1/AL11)+(1/AM11)+(1/AN11)+(1/AO11)),IF(AND(AL11&lt;&gt;".",AM11&lt;&gt;".",AN11&lt;&gt;".",AO11="."), 1/((1/AL11)+(1/AM11)+(1/AN11)),IF(AND(AL11&lt;&gt;".",AM11&lt;&gt;".",AN11=".",AO11&lt;&gt;"."),1/((1/AL11)+(1/AM11)+(1/AO11)),IF(AND(AL11&lt;&gt;".",AM11=".",AN11&lt;&gt;".",AO11&lt;&gt;"."),1/((1/AL11)+(1/AN11)+(1/AO11)),IF(AND(AL11=".",AM11&lt;&gt;".",AN11&lt;&gt;".",AO11&lt;&gt;"."),1/((1/AM11)+(1/AN11)+(1/AO11)),IF(AND(AL11&lt;&gt;".",AM11&lt;&gt;".",AN11=".",AO11="."),1/((1/AL11)+(1/AM11)),IF(AND(AL11&lt;&gt;".",AM11=".",AN11&lt;&gt;".",AO11="."),1/((1/AL11)+(1/AN11)),IF(AND(AL11&lt;&gt;".",AM11=".",AN11=".",AO11&lt;&gt;"."),1/((1/AL11)+(1/AO11)),IF(AND(AL11=".",AM11=".",AN11&lt;&gt;".",AO11&lt;&gt;"."),1/((1/AN11)+(1/AO11)),IF(AND(AL11=".",AM11&lt;&gt;".",AN11=".",AO11&lt;&gt;"."),1/((1/AM11)+(1/AO11)),IF(AND(AL11=".",AM11&lt;&gt;".",AN11&lt;&gt;".",AO11="."),1/((1/AM11)+(1/AN11)),IF(AND(AL11&lt;&gt;".",AM11=".",AN11=".",AO11="."),1/((1/AL11)),IF(AND(AL11=".",AM11&lt;&gt;".",AN11=".",AO11="."),1/((1/AM11)),IF(AND(AL11=".",AM11=".",AN11&lt;&gt;".",AO11="."),1/((1/AN11)),IF(AND(AL11=".",AM11=".",AN11=".",AO11&lt;&gt;"."),1/((1/AO11)),IF(AND(AL11=".",AM11=".",AN11=".",AO11="."),".")))))))))))))))))</f>
        <v>1.5731958335636468E-4</v>
      </c>
      <c r="AQ11" s="189">
        <f>AP11*(0.0000000000000028)*up_RadSpec!$AY11*up_RadSpec!$AF11</f>
        <v>4.8674679090459238E-16</v>
      </c>
      <c r="AR11" s="40">
        <f t="shared" si="4"/>
        <v>1375</v>
      </c>
      <c r="AS11" s="40">
        <f>IF(up_RadSpec!D11&lt;&gt;"",s_C*s_IFA_res_adj*s_K*up_RadSpec!D11,0)</f>
        <v>0</v>
      </c>
      <c r="AT11" s="40">
        <f t="shared" si="5"/>
        <v>0.12557077625570776</v>
      </c>
      <c r="AU11" s="40">
        <f>up_b2w!AC11</f>
        <v>30407.313038114935</v>
      </c>
      <c r="AV11" s="18"/>
      <c r="AW11" s="15">
        <f>IFERROR(s_DL/(up_RadSpec!F11*s_EF_res*1*s_IRF_res*0.001*s_CF_res_fish),".")</f>
        <v>6.6115702479338848E-4</v>
      </c>
      <c r="AX11" s="189">
        <f>IFERROR(AW11*(0.0000000000028)*up_RadSpec!$AY11*up_RadSpec!$AF11,0)</f>
        <v>2.045619834710744E-12</v>
      </c>
      <c r="AY11" s="40">
        <f t="shared" si="6"/>
        <v>7562.5</v>
      </c>
    </row>
    <row r="12" spans="1:51" x14ac:dyDescent="0.25">
      <c r="A12" s="44" t="s">
        <v>10</v>
      </c>
      <c r="B12" s="42" t="s">
        <v>1057</v>
      </c>
      <c r="C12" s="238"/>
      <c r="D12" s="15">
        <f>IFERROR(((s_DL/(up_RadSpec!E12*s_IFS_res_adj*(1/1000)))*1),".")</f>
        <v>0.33057851239669422</v>
      </c>
      <c r="E12" s="15">
        <f>IFERROR(IF(A12="H-3",(s_DL/((up_RadSpec!H12*s_IFA_res_adj*(1/17)*1000))*1),(s_DL/((up_RadSpec!H12*s_IFA_res_adj*(1/s_PEF_wind)*1000))*1)),".")</f>
        <v>3089.9917851942919</v>
      </c>
      <c r="F12" s="15">
        <f>IFERROR((s_DL/(up_RadSpec!G12*s_EF_res*(1/365)*1*up_RadSpec!R12*((s_ET_res_o*(1/24)*up_RadSpec!W12)+(s_ET_res_i*(1/24)*up_RadSpec!AB12))))*1,".")</f>
        <v>396.01143510577469</v>
      </c>
      <c r="G12" s="15">
        <f>up_b2s!C12</f>
        <v>3.2968835384132272E-5</v>
      </c>
      <c r="H12" s="15">
        <f>up_dir!C12</f>
        <v>1.6528925619834712E-4</v>
      </c>
      <c r="I12" s="15">
        <f t="shared" ref="I12:I29" si="11">(IF(AND(D12&lt;&gt;".",E12&lt;&gt;".",F12&lt;&gt;".",G12&lt;&gt;"."),1/((1/D12)+(1/E12)+(1/F12)+(1/G12)),IF(AND(D12&lt;&gt;".",E12&lt;&gt;".",F12&lt;&gt;".",G12="."), 1/((1/D12)+(1/E12)+(1/F12)),IF(AND(D12&lt;&gt;".",E12&lt;&gt;".",F12=".",G12&lt;&gt;"."),1/((1/D12)+(1/E12)+(1/G12)),IF(AND(D12&lt;&gt;".",E12=".",F12&lt;&gt;".",G12&lt;&gt;"."),1/((1/D12)+(1/F12)+(1/G12)),IF(AND(D12=".",E12&lt;&gt;".",F12&lt;&gt;".",G12&lt;&gt;"."),1/((1/E12)+(1/F12)+(1/G12)),IF(AND(D12&lt;&gt;".",E12&lt;&gt;".",F12=".",G12="."),1/((1/D12)+(1/E12)),IF(AND(D12&lt;&gt;".",E12=".",F12&lt;&gt;".",G12="."),1/((1/D12)+(1/F12)),IF(AND(D12&lt;&gt;".",E12=".",F12=".",G12&lt;&gt;"."),1/((1/D12)+(1/G12)),IF(AND(D12=".",E12=".",F12&lt;&gt;".",G12&lt;&gt;"."),1/((1/F12)+(1/G12)),IF(AND(D12=".",E12&lt;&gt;".",F12=".",G12&lt;&gt;"."),1/((1/E12)+(1/G12)),IF(AND(D12=".",E12&lt;&gt;".",F12&lt;&gt;".",G12="."),1/((1/E12)+(1/F12)),IF(AND(D12&lt;&gt;".",E12=".",F12=".",G12="."),1/((1/D12)),IF(AND(D12=".",E12&lt;&gt;".",F12=".",G12="."),1/((1/E12)),IF(AND(D12=".",E12=".",F12&lt;&gt;".",G12="."),1/((1/F12)),IF(AND(D12=".",E12=".",F12=".",G12&lt;&gt;"."),1/((1/G12)),IF(AND(D12=".",E12=".",F12=".",G12="."),".")))))))))))))))))</f>
        <v>3.2965544610218326E-5</v>
      </c>
      <c r="J12" s="189">
        <f>IFERROR(I12*(0.0000000000028)*up_RadSpec!$AY12*up_RadSpec!$AF12,0)</f>
        <v>9.5072630655869646E-14</v>
      </c>
      <c r="K12" s="40">
        <f t="shared" si="0"/>
        <v>15.125</v>
      </c>
      <c r="L12" s="40">
        <f t="shared" si="1"/>
        <v>1.6181272791589674E-3</v>
      </c>
      <c r="M12" s="40">
        <f>IFERROR((s_C*s_EF_res*(1/365)*1*up_RadSpec!R12*((s_ET_res_o*(1/24)*up_RadSpec!W12)+(s_ET_res_i*(1/24)*up_RadSpec!AB12))),".")</f>
        <v>1.2625898034142624E-2</v>
      </c>
      <c r="N12" s="40">
        <f>up_b2s!AC12</f>
        <v>151658.375</v>
      </c>
      <c r="O12" s="18"/>
      <c r="P12" s="15">
        <f>IFERROR((s_DL/(up_RadSpec!G12*s_EF_res*(1/365)*1*up_RadSpec!R12*((s_ET_res_o*(1/24)*up_RadSpec!W12)+(s_ET_res_i*(1/24)*up_RadSpec!AB12))))*1,".")</f>
        <v>396.01143510577469</v>
      </c>
      <c r="Q12" s="15">
        <f>IFERROR((s_DL/(up_RadSpec!N12*s_EF_res*(1/365)*1*up_RadSpec!S12*((s_ET_res_o*(1/24)*up_RadSpec!X12)+(s_ET_res_i*(1/24)*up_RadSpec!AC12))))*1,".")</f>
        <v>710.46991344547155</v>
      </c>
      <c r="R12" s="15">
        <f>IFERROR((s_DL/(up_RadSpec!O12*s_EF_res*(1/365)*1*up_RadSpec!T12*((s_ET_res_o*(1/24)*up_RadSpec!Y12)+(s_ET_res_i*(1/24)*up_RadSpec!AD12))))*1,".")</f>
        <v>515.15294947869359</v>
      </c>
      <c r="S12" s="15">
        <f>IFERROR((s_DL/(up_RadSpec!P12*s_EF_res*(1/365)*1*up_RadSpec!U12*((s_ET_res_o*(1/24)*up_RadSpec!Z12)+(s_ET_res_i*(1/24)*up_RadSpec!AE12))))*1,".")</f>
        <v>454.95190353610622</v>
      </c>
      <c r="T12" s="15">
        <f>IFERROR((s_DL/(up_RadSpec!L12*s_EF_res*(1/365)*1*up_RadSpec!Q12*((s_ET_res_o*(1/24)*up_RadSpec!V12)+(s_ET_res_i*(1/24)*up_RadSpec!AA12))))*1,".")</f>
        <v>1226.4481550195835</v>
      </c>
      <c r="U12" s="189">
        <f>IFERROR(P12*(0.0000000000028)*up_RadSpec!$AY12*up_RadSpec!$AF12,0)</f>
        <v>1.1420969788450542E-6</v>
      </c>
      <c r="V12" s="189">
        <f>IFERROR(Q12*(0.0000000000028)*up_RadSpec!$AY12*up_RadSpec!$AF12,0)</f>
        <v>2.04899523037674E-6</v>
      </c>
      <c r="W12" s="189">
        <f>IFERROR(R12*(0.0000000000028)*up_RadSpec!$AY12*up_RadSpec!$AF12,0)</f>
        <v>1.4857011062965524E-6</v>
      </c>
      <c r="X12" s="189">
        <f>IFERROR(S12*(0.0000000000028)*up_RadSpec!$AY12*up_RadSpec!$AF12,0)</f>
        <v>1.3120812897981305E-6</v>
      </c>
      <c r="Y12" s="189">
        <f>IFERROR(T12*(0.0000000000028)*up_RadSpec!$AY12*up_RadSpec!$AF12,0)</f>
        <v>3.5370764790764789E-6</v>
      </c>
      <c r="Z12" s="40">
        <f>IFERROR((s_C*s_EF_res*(1/365)*1*up_RadSpec!R12*((s_ET_res_o*(1/24)*up_RadSpec!W12)+(s_ET_res_i*(1/24)*up_RadSpec!AB12))),".")</f>
        <v>1.2625898034142624E-2</v>
      </c>
      <c r="AA12" s="40">
        <f>IFERROR((s_C*s_EF_res*(1/365)*1*up_RadSpec!S12*((s_ET_res_o*(1/24)*up_RadSpec!X12)+(s_ET_res_i*(1/24)*up_RadSpec!AC12))),".")</f>
        <v>7.0375956889605134E-3</v>
      </c>
      <c r="AB12" s="40">
        <f>IFERROR((s_C*s_EF_res*(1/365)*1*up_RadSpec!T12*((s_ET_res_o*(1/24)*up_RadSpec!Y12)+(s_ET_res_i*(1/24)*up_RadSpec!AD12))),".")</f>
        <v>9.7058553291012404E-3</v>
      </c>
      <c r="AC12" s="40">
        <f>IFERROR((s_C*s_EF_res*(1/365)*1*up_RadSpec!U12*((s_ET_res_o*(1/24)*up_RadSpec!Z12)+(s_ET_res_i*(1/24)*up_RadSpec!AE12))),".")</f>
        <v>1.099017272185825E-2</v>
      </c>
      <c r="AD12" s="40">
        <f>IFERROR((s_C*s_EF_res*(1/365)*1*up_RadSpec!Q12*((s_ET_res_o*(1/24)*up_RadSpec!V12)+(s_ET_res_i*(1/24)*up_RadSpec!AA12))),".")</f>
        <v>4.0768131775779483E-3</v>
      </c>
      <c r="AE12" s="15">
        <f>IFERROR((s_DL/(up_RadSpec!H12*s_IFA_res_adj)),".")</f>
        <v>9.9740259740259754E-3</v>
      </c>
      <c r="AF12" s="15">
        <f>IFERROR((s_DL/(up_RadSpec!K12*s_EF_res*(1/365)*1*s_ET_res*(1/24)*s_GSF_a)),".")</f>
        <v>63.709090909090911</v>
      </c>
      <c r="AG12" s="15">
        <f t="shared" si="8"/>
        <v>9.9724647271019675E-3</v>
      </c>
      <c r="AH12" s="189">
        <f>AG12*(0.0000000000000028)*up_RadSpec!$AY12*up_RadSpec!$AF12</f>
        <v>2.8760588272962077E-14</v>
      </c>
      <c r="AI12" s="40">
        <f t="shared" si="2"/>
        <v>501.30208333333326</v>
      </c>
      <c r="AJ12" s="40">
        <f t="shared" si="3"/>
        <v>7.8481735159817351E-2</v>
      </c>
      <c r="AK12" s="18"/>
      <c r="AL12" s="15">
        <f>IFERROR((s_DL/(up_RadSpec!I12*s_IFW_res_adj)),".")</f>
        <v>3.6363636363636364E-3</v>
      </c>
      <c r="AM12" s="15" t="str">
        <f>IFERROR(IF(AND(up_RadSpec!C12=1,up_RadSpec!D12&lt;&gt;0),(s_DL/(up_RadSpec!H12*s_IFA_res_adj*s_K*up_RadSpec!D12)),"."),".")</f>
        <v>.</v>
      </c>
      <c r="AN12" s="15">
        <f>IFERROR((s_DL/(up_RadSpec!M12*(1/8760)*s_DFA_res_adj)),".")</f>
        <v>39.81818181818182</v>
      </c>
      <c r="AO12" s="15">
        <f>up_b2w!C12</f>
        <v>1.6443412786038033E-4</v>
      </c>
      <c r="AP12" s="15">
        <f>(IF(AND(AL12&lt;&gt;".",AM12&lt;&gt;".",AN12&lt;&gt;".",AO12&lt;&gt;"."),1/((1/AL12)+(1/AM12)+(1/AN12)+(1/AO12)),IF(AND(AL12&lt;&gt;".",AM12&lt;&gt;".",AN12&lt;&gt;".",AO12="."), 1/((1/AL12)+(1/AM12)+(1/AN12)),IF(AND(AL12&lt;&gt;".",AM12&lt;&gt;".",AN12=".",AO12&lt;&gt;"."),1/((1/AL12)+(1/AM12)+(1/AO12)),IF(AND(AL12&lt;&gt;".",AM12=".",AN12&lt;&gt;".",AO12&lt;&gt;"."),1/((1/AL12)+(1/AN12)+(1/AO12)),IF(AND(AL12=".",AM12&lt;&gt;".",AN12&lt;&gt;".",AO12&lt;&gt;"."),1/((1/AM12)+(1/AN12)+(1/AO12)),IF(AND(AL12&lt;&gt;".",AM12&lt;&gt;".",AN12=".",AO12="."),1/((1/AL12)+(1/AM12)),IF(AND(AL12&lt;&gt;".",AM12=".",AN12&lt;&gt;".",AO12="."),1/((1/AL12)+(1/AN12)),IF(AND(AL12&lt;&gt;".",AM12=".",AN12=".",AO12&lt;&gt;"."),1/((1/AL12)+(1/AO12)),IF(AND(AL12=".",AM12=".",AN12&lt;&gt;".",AO12&lt;&gt;"."),1/((1/AN12)+(1/AO12)),IF(AND(AL12=".",AM12&lt;&gt;".",AN12=".",AO12&lt;&gt;"."),1/((1/AM12)+(1/AO12)),IF(AND(AL12=".",AM12&lt;&gt;".",AN12&lt;&gt;".",AO12="."),1/((1/AM12)+(1/AN12)),IF(AND(AL12&lt;&gt;".",AM12=".",AN12=".",AO12="."),1/((1/AL12)),IF(AND(AL12=".",AM12&lt;&gt;".",AN12=".",AO12="."),1/((1/AM12)),IF(AND(AL12=".",AM12=".",AN12&lt;&gt;".",AO12="."),1/((1/AN12)),IF(AND(AL12=".",AM12=".",AN12=".",AO12&lt;&gt;"."),1/((1/AO12)),IF(AND(AL12=".",AM12=".",AN12=".",AO12="."),".")))))))))))))))))</f>
        <v>1.5731958335636468E-4</v>
      </c>
      <c r="AQ12" s="189">
        <f>AP12*(0.0000000000000028)*up_RadSpec!$AY12*up_RadSpec!$AF12</f>
        <v>4.5370967839975581E-16</v>
      </c>
      <c r="AR12" s="40">
        <f t="shared" si="4"/>
        <v>1375</v>
      </c>
      <c r="AS12" s="40">
        <f>IF(up_RadSpec!D12&lt;&gt;"",s_C*s_IFA_res_adj*s_K*up_RadSpec!D12,0)</f>
        <v>0</v>
      </c>
      <c r="AT12" s="40">
        <f t="shared" si="5"/>
        <v>0.12557077625570776</v>
      </c>
      <c r="AU12" s="40">
        <f>up_b2w!AC12</f>
        <v>30407.313038114935</v>
      </c>
      <c r="AV12" s="18"/>
      <c r="AW12" s="15">
        <f>IFERROR(s_DL/(up_RadSpec!F12*s_EF_res*1*s_IRF_res*0.001*s_CF_res_fish),".")</f>
        <v>6.6115702479338848E-4</v>
      </c>
      <c r="AX12" s="189">
        <f>IFERROR(AW12*(0.0000000000028)*up_RadSpec!$AY12*up_RadSpec!$AF12,0)</f>
        <v>1.9067768595041322E-12</v>
      </c>
      <c r="AY12" s="40">
        <f t="shared" si="6"/>
        <v>7562.5</v>
      </c>
    </row>
    <row r="13" spans="1:51" x14ac:dyDescent="0.25">
      <c r="A13" s="44" t="s">
        <v>11</v>
      </c>
      <c r="B13" s="42" t="s">
        <v>1057</v>
      </c>
      <c r="C13" s="42"/>
      <c r="D13" s="15">
        <f>IFERROR(((s_DL/(up_RadSpec!E13*s_IFS_res_adj*(1/1000)))*1),".")</f>
        <v>0.33057851239669422</v>
      </c>
      <c r="E13" s="15">
        <f>IFERROR(IF(A13="H-3",(s_DL/((up_RadSpec!H13*s_IFA_res_adj*(1/17)*1000))*1),(s_DL/((up_RadSpec!H13*s_IFA_res_adj*(1/s_PEF_wind)*1000))*1)),".")</f>
        <v>3089.9917851942919</v>
      </c>
      <c r="F13" s="15">
        <f>IFERROR((s_DL/(up_RadSpec!G13*s_EF_res*(1/365)*1*up_RadSpec!R13*((s_ET_res_o*(1/24)*up_RadSpec!W13)+(s_ET_res_i*(1/24)*up_RadSpec!AB13))))*1,".")</f>
        <v>3043.9232247141867</v>
      </c>
      <c r="G13" s="15">
        <f>up_b2s!C13</f>
        <v>3.2968835384132272E-5</v>
      </c>
      <c r="H13" s="15">
        <f>up_dir!C13</f>
        <v>1.6528925619834712E-4</v>
      </c>
      <c r="I13" s="15">
        <f t="shared" si="11"/>
        <v>3.2965546997384399E-5</v>
      </c>
      <c r="J13" s="189">
        <f>IFERROR(I13*(0.0000000000028)*up_RadSpec!$AY13*up_RadSpec!$AF13,0)</f>
        <v>1.0937968493732145E-13</v>
      </c>
      <c r="K13" s="40">
        <f t="shared" si="0"/>
        <v>15.125</v>
      </c>
      <c r="L13" s="40">
        <f t="shared" si="1"/>
        <v>1.6181272791589674E-3</v>
      </c>
      <c r="M13" s="40">
        <f>IFERROR((s_C*s_EF_res*(1/365)*1*up_RadSpec!R13*((s_ET_res_o*(1/24)*up_RadSpec!W13)+(s_ET_res_i*(1/24)*up_RadSpec!AB13))),".")</f>
        <v>1.6426169883011689E-3</v>
      </c>
      <c r="N13" s="40">
        <f>up_b2s!AC13</f>
        <v>151658.375</v>
      </c>
      <c r="O13" s="18"/>
      <c r="P13" s="15">
        <f>IFERROR((s_DL/(up_RadSpec!G13*s_EF_res*(1/365)*1*up_RadSpec!R13*((s_ET_res_o*(1/24)*up_RadSpec!W13)+(s_ET_res_i*(1/24)*up_RadSpec!AB13))))*1,".")</f>
        <v>3043.9232247141867</v>
      </c>
      <c r="Q13" s="15">
        <f>IFERROR((s_DL/(up_RadSpec!N13*s_EF_res*(1/365)*1*up_RadSpec!S13*((s_ET_res_o*(1/24)*up_RadSpec!X13)+(s_ET_res_i*(1/24)*up_RadSpec!AC13))))*1,".")</f>
        <v>6638.1290962296553</v>
      </c>
      <c r="R13" s="15">
        <f>IFERROR((s_DL/(up_RadSpec!O13*s_EF_res*(1/365)*1*up_RadSpec!T13*((s_ET_res_o*(1/24)*up_RadSpec!Y13)+(s_ET_res_i*(1/24)*up_RadSpec!AD13))))*1,".")</f>
        <v>3943.6655108296891</v>
      </c>
      <c r="S13" s="15">
        <f>IFERROR((s_DL/(up_RadSpec!P13*s_EF_res*(1/365)*1*up_RadSpec!U13*((s_ET_res_o*(1/24)*up_RadSpec!Z13)+(s_ET_res_i*(1/24)*up_RadSpec!AE13))))*1,".")</f>
        <v>3255.5712315832266</v>
      </c>
      <c r="T13" s="15">
        <f>IFERROR((s_DL/(up_RadSpec!L13*s_EF_res*(1/365)*1*up_RadSpec!Q13*((s_ET_res_o*(1/24)*up_RadSpec!V13)+(s_ET_res_i*(1/24)*up_RadSpec!AA13))))*1,".")</f>
        <v>63861.832611832586</v>
      </c>
      <c r="U13" s="189">
        <f>IFERROR(P13*(0.0000000000028)*up_RadSpec!$AY13*up_RadSpec!$AF13,0)</f>
        <v>1.0099737259601672E-5</v>
      </c>
      <c r="V13" s="189">
        <f>IFERROR(Q13*(0.0000000000028)*up_RadSpec!$AY13*up_RadSpec!$AF13,0)</f>
        <v>2.2025312341289998E-5</v>
      </c>
      <c r="W13" s="189">
        <f>IFERROR(R13*(0.0000000000028)*up_RadSpec!$AY13*up_RadSpec!$AF13,0)</f>
        <v>1.3085082164932909E-5</v>
      </c>
      <c r="X13" s="189">
        <f>IFERROR(S13*(0.0000000000028)*up_RadSpec!$AY13*up_RadSpec!$AF13,0)</f>
        <v>1.0801985346393146E-5</v>
      </c>
      <c r="Y13" s="189">
        <f>IFERROR(T13*(0.0000000000028)*up_RadSpec!$AY13*up_RadSpec!$AF13,0)</f>
        <v>2.1189356060606051E-4</v>
      </c>
      <c r="Z13" s="40">
        <f>IFERROR((s_C*s_EF_res*(1/365)*1*up_RadSpec!R13*((s_ET_res_o*(1/24)*up_RadSpec!W13)+(s_ET_res_i*(1/24)*up_RadSpec!AB13))),".")</f>
        <v>1.6426169883011689E-3</v>
      </c>
      <c r="AA13" s="40">
        <f>IFERROR((s_C*s_EF_res*(1/365)*1*up_RadSpec!S13*((s_ET_res_o*(1/24)*up_RadSpec!X13)+(s_ET_res_i*(1/24)*up_RadSpec!AC13))),".")</f>
        <v>7.5322427863596612E-4</v>
      </c>
      <c r="AB13" s="40">
        <f>IFERROR((s_C*s_EF_res*(1/365)*1*up_RadSpec!T13*((s_ET_res_o*(1/24)*up_RadSpec!Y13)+(s_ET_res_i*(1/24)*up_RadSpec!AD13))),".")</f>
        <v>1.267856005097165E-3</v>
      </c>
      <c r="AC13" s="40">
        <f>IFERROR((s_C*s_EF_res*(1/365)*1*up_RadSpec!U13*((s_ET_res_o*(1/24)*up_RadSpec!Z13)+(s_ET_res_i*(1/24)*up_RadSpec!AE13))),".")</f>
        <v>1.5358287822098843E-3</v>
      </c>
      <c r="AD13" s="40">
        <f>IFERROR((s_C*s_EF_res*(1/365)*1*up_RadSpec!Q13*((s_ET_res_o*(1/24)*up_RadSpec!V13)+(s_ET_res_i*(1/24)*up_RadSpec!AA13))),".")</f>
        <v>7.8294026267476373E-5</v>
      </c>
      <c r="AE13" s="15">
        <f>IFERROR((s_DL/(up_RadSpec!H13*s_IFA_res_adj)),".")</f>
        <v>9.9740259740259754E-3</v>
      </c>
      <c r="AF13" s="15">
        <f>IFERROR((s_DL/(up_RadSpec!K13*s_EF_res*(1/365)*1*s_ET_res*(1/24)*s_GSF_a)),".")</f>
        <v>63.709090909090911</v>
      </c>
      <c r="AG13" s="15">
        <f t="shared" si="8"/>
        <v>9.9724647271019675E-3</v>
      </c>
      <c r="AH13" s="189">
        <f>AG13*(0.0000000000000028)*up_RadSpec!$AY13*up_RadSpec!$AF13</f>
        <v>3.3088637964524332E-14</v>
      </c>
      <c r="AI13" s="40">
        <f t="shared" si="2"/>
        <v>501.30208333333326</v>
      </c>
      <c r="AJ13" s="40">
        <f t="shared" si="3"/>
        <v>7.8481735159817351E-2</v>
      </c>
      <c r="AK13" s="18"/>
      <c r="AL13" s="15">
        <f>IFERROR((s_DL/(up_RadSpec!I13*s_IFW_res_adj)),".")</f>
        <v>3.6363636363636364E-3</v>
      </c>
      <c r="AM13" s="15" t="str">
        <f>IFERROR(IF(AND(up_RadSpec!C13=1,up_RadSpec!D13&lt;&gt;0),(s_DL/(up_RadSpec!H13*s_IFA_res_adj*s_K*up_RadSpec!D13)),"."),".")</f>
        <v>.</v>
      </c>
      <c r="AN13" s="15">
        <f>IFERROR((s_DL/(up_RadSpec!M13*(1/8760)*s_DFA_res_adj)),".")</f>
        <v>39.81818181818182</v>
      </c>
      <c r="AO13" s="15">
        <f>up_b2w!C13</f>
        <v>1.6443412786038033E-4</v>
      </c>
      <c r="AP13" s="15">
        <f>(IF(AND(AL13&lt;&gt;".",AM13&lt;&gt;".",AN13&lt;&gt;".",AO13&lt;&gt;"."),1/((1/AL13)+(1/AM13)+(1/AN13)+(1/AO13)),IF(AND(AL13&lt;&gt;".",AM13&lt;&gt;".",AN13&lt;&gt;".",AO13="."), 1/((1/AL13)+(1/AM13)+(1/AN13)),IF(AND(AL13&lt;&gt;".",AM13&lt;&gt;".",AN13=".",AO13&lt;&gt;"."),1/((1/AL13)+(1/AM13)+(1/AO13)),IF(AND(AL13&lt;&gt;".",AM13=".",AN13&lt;&gt;".",AO13&lt;&gt;"."),1/((1/AL13)+(1/AN13)+(1/AO13)),IF(AND(AL13=".",AM13&lt;&gt;".",AN13&lt;&gt;".",AO13&lt;&gt;"."),1/((1/AM13)+(1/AN13)+(1/AO13)),IF(AND(AL13&lt;&gt;".",AM13&lt;&gt;".",AN13=".",AO13="."),1/((1/AL13)+(1/AM13)),IF(AND(AL13&lt;&gt;".",AM13=".",AN13&lt;&gt;".",AO13="."),1/((1/AL13)+(1/AN13)),IF(AND(AL13&lt;&gt;".",AM13=".",AN13=".",AO13&lt;&gt;"."),1/((1/AL13)+(1/AO13)),IF(AND(AL13=".",AM13=".",AN13&lt;&gt;".",AO13&lt;&gt;"."),1/((1/AN13)+(1/AO13)),IF(AND(AL13=".",AM13&lt;&gt;".",AN13=".",AO13&lt;&gt;"."),1/((1/AM13)+(1/AO13)),IF(AND(AL13=".",AM13&lt;&gt;".",AN13&lt;&gt;".",AO13="."),1/((1/AM13)+(1/AN13)),IF(AND(AL13&lt;&gt;".",AM13=".",AN13=".",AO13="."),1/((1/AL13)),IF(AND(AL13=".",AM13&lt;&gt;".",AN13=".",AO13="."),1/((1/AM13)),IF(AND(AL13=".",AM13=".",AN13&lt;&gt;".",AO13="."),1/((1/AN13)),IF(AND(AL13=".",AM13=".",AN13=".",AO13&lt;&gt;"."),1/((1/AO13)),IF(AND(AL13=".",AM13=".",AN13=".",AO13="."),".")))))))))))))))))</f>
        <v>1.5731958335636468E-4</v>
      </c>
      <c r="AQ13" s="189">
        <f>AP13*(0.0000000000000028)*up_RadSpec!$AY13*up_RadSpec!$AF13</f>
        <v>5.2198637757641803E-16</v>
      </c>
      <c r="AR13" s="40">
        <f t="shared" si="4"/>
        <v>1375</v>
      </c>
      <c r="AS13" s="40">
        <f>IF(up_RadSpec!D13&lt;&gt;"",s_C*s_IFA_res_adj*s_K*up_RadSpec!D13,0)</f>
        <v>0</v>
      </c>
      <c r="AT13" s="40">
        <f t="shared" si="5"/>
        <v>0.12557077625570776</v>
      </c>
      <c r="AU13" s="40">
        <f>up_b2w!AC13</f>
        <v>30407.313038114935</v>
      </c>
      <c r="AV13" s="18"/>
      <c r="AW13" s="15">
        <f>IFERROR(s_DL/(up_RadSpec!F13*s_EF_res*1*s_IRF_res*0.001*s_CF_res_fish),".")</f>
        <v>6.6115702479338848E-4</v>
      </c>
      <c r="AX13" s="189">
        <f>IFERROR(AW13*(0.0000000000028)*up_RadSpec!$AY13*up_RadSpec!$AF13,0)</f>
        <v>2.1937190082644632E-12</v>
      </c>
      <c r="AY13" s="40">
        <f t="shared" si="6"/>
        <v>7562.5</v>
      </c>
    </row>
    <row r="14" spans="1:51" x14ac:dyDescent="0.25">
      <c r="A14" s="44" t="s">
        <v>12</v>
      </c>
      <c r="B14" s="42" t="s">
        <v>1057</v>
      </c>
      <c r="C14" s="42"/>
      <c r="D14" s="15">
        <f>IFERROR(((s_DL/(up_RadSpec!E14*s_IFS_res_adj*(1/1000)))*1),".")</f>
        <v>0.33057851239669422</v>
      </c>
      <c r="E14" s="15">
        <f>IFERROR(IF(A14="H-3",(s_DL/((up_RadSpec!H14*s_IFA_res_adj*(1/17)*1000))*1),(s_DL/((up_RadSpec!H14*s_IFA_res_adj*(1/s_PEF_wind)*1000))*1)),".")</f>
        <v>3089.9917851942919</v>
      </c>
      <c r="F14" s="15">
        <f>IFERROR((s_DL/(up_RadSpec!G14*s_EF_res*(1/365)*1*up_RadSpec!R14*((s_ET_res_o*(1/24)*up_RadSpec!W14)+(s_ET_res_i*(1/24)*up_RadSpec!AB14))))*1,".")</f>
        <v>456.94544130414806</v>
      </c>
      <c r="G14" s="15">
        <f>up_b2s!C14</f>
        <v>3.2968835384132272E-5</v>
      </c>
      <c r="H14" s="15">
        <f>up_dir!C14</f>
        <v>1.6528925619834712E-4</v>
      </c>
      <c r="I14" s="15">
        <f t="shared" si="11"/>
        <v>3.2965544976156881E-5</v>
      </c>
      <c r="J14" s="189">
        <f>IFERROR(I14*(0.0000000000028)*up_RadSpec!$AY14*up_RadSpec!$AF14,0)</f>
        <v>1.0753360771222375E-13</v>
      </c>
      <c r="K14" s="40">
        <f t="shared" si="0"/>
        <v>15.125</v>
      </c>
      <c r="L14" s="40">
        <f t="shared" si="1"/>
        <v>1.6181272791589674E-3</v>
      </c>
      <c r="M14" s="40">
        <f>IFERROR((s_C*s_EF_res*(1/365)*1*up_RadSpec!R14*((s_ET_res_o*(1/24)*up_RadSpec!W14)+(s_ET_res_i*(1/24)*up_RadSpec!AB14))),".")</f>
        <v>1.0942225368809278E-2</v>
      </c>
      <c r="N14" s="40">
        <f>up_b2s!AC14</f>
        <v>151658.375</v>
      </c>
      <c r="O14" s="18"/>
      <c r="P14" s="15">
        <f>IFERROR((s_DL/(up_RadSpec!G14*s_EF_res*(1/365)*1*up_RadSpec!R14*((s_ET_res_o*(1/24)*up_RadSpec!W14)+(s_ET_res_i*(1/24)*up_RadSpec!AB14))))*1,".")</f>
        <v>456.94544130414806</v>
      </c>
      <c r="Q14" s="15">
        <f>IFERROR((s_DL/(up_RadSpec!N14*s_EF_res*(1/365)*1*up_RadSpec!S14*((s_ET_res_o*(1/24)*up_RadSpec!X14)+(s_ET_res_i*(1/24)*up_RadSpec!AC14))))*1,".")</f>
        <v>829.86017700335981</v>
      </c>
      <c r="R14" s="15">
        <f>IFERROR((s_DL/(up_RadSpec!O14*s_EF_res*(1/365)*1*up_RadSpec!T14*((s_ET_res_o*(1/24)*up_RadSpec!Y14)+(s_ET_res_i*(1/24)*up_RadSpec!AD14))))*1,".")</f>
        <v>613.55185865285387</v>
      </c>
      <c r="S14" s="15">
        <f>IFERROR((s_DL/(up_RadSpec!P14*s_EF_res*(1/365)*1*up_RadSpec!U14*((s_ET_res_o*(1/24)*up_RadSpec!Z14)+(s_ET_res_i*(1/24)*up_RadSpec!AE14))))*1,".")</f>
        <v>537.65341535125719</v>
      </c>
      <c r="T14" s="15">
        <f>IFERROR((s_DL/(up_RadSpec!L14*s_EF_res*(1/365)*1*up_RadSpec!Q14*((s_ET_res_o*(1/24)*up_RadSpec!V14)+(s_ET_res_i*(1/24)*up_RadSpec!AA14))))*1,".")</f>
        <v>2315.5333826065539</v>
      </c>
      <c r="U14" s="189">
        <f>IFERROR(P14*(0.0000000000028)*up_RadSpec!$AY14*up_RadSpec!$AF14,0)</f>
        <v>1.4905560295341312E-6</v>
      </c>
      <c r="V14" s="189">
        <f>IFERROR(Q14*(0.0000000000028)*up_RadSpec!$AY14*up_RadSpec!$AF14,0)</f>
        <v>2.7070038973849601E-6</v>
      </c>
      <c r="W14" s="189">
        <f>IFERROR(R14*(0.0000000000028)*up_RadSpec!$AY14*up_RadSpec!$AF14,0)</f>
        <v>2.0014061629256094E-6</v>
      </c>
      <c r="X14" s="189">
        <f>IFERROR(S14*(0.0000000000028)*up_RadSpec!$AY14*up_RadSpec!$AF14,0)</f>
        <v>1.7538254408758009E-6</v>
      </c>
      <c r="Y14" s="189">
        <f>IFERROR(T14*(0.0000000000028)*up_RadSpec!$AY14*up_RadSpec!$AF14,0)</f>
        <v>7.5532698940625792E-6</v>
      </c>
      <c r="Z14" s="40">
        <f>IFERROR((s_C*s_EF_res*(1/365)*1*up_RadSpec!R14*((s_ET_res_o*(1/24)*up_RadSpec!W14)+(s_ET_res_i*(1/24)*up_RadSpec!AB14))),".")</f>
        <v>1.0942225368809278E-2</v>
      </c>
      <c r="AA14" s="40">
        <f>IFERROR((s_C*s_EF_res*(1/365)*1*up_RadSpec!S14*((s_ET_res_o*(1/24)*up_RadSpec!X14)+(s_ET_res_i*(1/24)*up_RadSpec!AC14))),".")</f>
        <v>6.0251113844926154E-3</v>
      </c>
      <c r="AB14" s="40">
        <f>IFERROR((s_C*s_EF_res*(1/365)*1*up_RadSpec!T14*((s_ET_res_o*(1/24)*up_RadSpec!Y14)+(s_ET_res_i*(1/24)*up_RadSpec!AD14))),".")</f>
        <v>8.1492703990470473E-3</v>
      </c>
      <c r="AC14" s="40">
        <f>IFERROR((s_C*s_EF_res*(1/365)*1*up_RadSpec!U14*((s_ET_res_o*(1/24)*up_RadSpec!Z14)+(s_ET_res_i*(1/24)*up_RadSpec!AE14))),".")</f>
        <v>9.2996712328767099E-3</v>
      </c>
      <c r="AD14" s="40">
        <f>IFERROR((s_C*s_EF_res*(1/365)*1*up_RadSpec!Q14*((s_ET_res_o*(1/24)*up_RadSpec!V14)+(s_ET_res_i*(1/24)*up_RadSpec!AA14))),".")</f>
        <v>2.1593296980981507E-3</v>
      </c>
      <c r="AE14" s="15">
        <f>IFERROR((s_DL/(up_RadSpec!H14*s_IFA_res_adj)),".")</f>
        <v>9.9740259740259754E-3</v>
      </c>
      <c r="AF14" s="15">
        <f>IFERROR((s_DL/(up_RadSpec!K14*s_EF_res*(1/365)*1*s_ET_res*(1/24)*s_GSF_a)),".")</f>
        <v>63.709090909090911</v>
      </c>
      <c r="AG14" s="15">
        <f t="shared" si="8"/>
        <v>9.9724647271019675E-3</v>
      </c>
      <c r="AH14" s="189">
        <f>AG14*(0.0000000000000028)*up_RadSpec!$AY14*up_RadSpec!$AF14</f>
        <v>3.2530179939806619E-14</v>
      </c>
      <c r="AI14" s="40">
        <f t="shared" si="2"/>
        <v>501.30208333333326</v>
      </c>
      <c r="AJ14" s="40">
        <f t="shared" si="3"/>
        <v>7.8481735159817351E-2</v>
      </c>
      <c r="AK14" s="18"/>
      <c r="AL14" s="15">
        <f>IFERROR((s_DL/(up_RadSpec!I14*s_IFW_res_adj)),".")</f>
        <v>3.6363636363636364E-3</v>
      </c>
      <c r="AM14" s="15" t="str">
        <f>IFERROR(IF(AND(up_RadSpec!C14=1,up_RadSpec!D14&lt;&gt;0),(s_DL/(up_RadSpec!H14*s_IFA_res_adj*s_K*up_RadSpec!D14)),"."),".")</f>
        <v>.</v>
      </c>
      <c r="AN14" s="15">
        <f>IFERROR((s_DL/(up_RadSpec!M14*(1/8760)*s_DFA_res_adj)),".")</f>
        <v>39.81818181818182</v>
      </c>
      <c r="AO14" s="15">
        <f>up_b2w!C14</f>
        <v>1.6443412786038033E-4</v>
      </c>
      <c r="AP14" s="15">
        <f>(IF(AND(AL14&lt;&gt;".",AM14&lt;&gt;".",AN14&lt;&gt;".",AO14&lt;&gt;"."),1/((1/AL14)+(1/AM14)+(1/AN14)+(1/AO14)),IF(AND(AL14&lt;&gt;".",AM14&lt;&gt;".",AN14&lt;&gt;".",AO14="."), 1/((1/AL14)+(1/AM14)+(1/AN14)),IF(AND(AL14&lt;&gt;".",AM14&lt;&gt;".",AN14=".",AO14&lt;&gt;"."),1/((1/AL14)+(1/AM14)+(1/AO14)),IF(AND(AL14&lt;&gt;".",AM14=".",AN14&lt;&gt;".",AO14&lt;&gt;"."),1/((1/AL14)+(1/AN14)+(1/AO14)),IF(AND(AL14=".",AM14&lt;&gt;".",AN14&lt;&gt;".",AO14&lt;&gt;"."),1/((1/AM14)+(1/AN14)+(1/AO14)),IF(AND(AL14&lt;&gt;".",AM14&lt;&gt;".",AN14=".",AO14="."),1/((1/AL14)+(1/AM14)),IF(AND(AL14&lt;&gt;".",AM14=".",AN14&lt;&gt;".",AO14="."),1/((1/AL14)+(1/AN14)),IF(AND(AL14&lt;&gt;".",AM14=".",AN14=".",AO14&lt;&gt;"."),1/((1/AL14)+(1/AO14)),IF(AND(AL14=".",AM14=".",AN14&lt;&gt;".",AO14&lt;&gt;"."),1/((1/AN14)+(1/AO14)),IF(AND(AL14=".",AM14&lt;&gt;".",AN14=".",AO14&lt;&gt;"."),1/((1/AM14)+(1/AO14)),IF(AND(AL14=".",AM14&lt;&gt;".",AN14&lt;&gt;".",AO14="."),1/((1/AM14)+(1/AN14)),IF(AND(AL14&lt;&gt;".",AM14=".",AN14=".",AO14="."),1/((1/AL14)),IF(AND(AL14=".",AM14&lt;&gt;".",AN14=".",AO14="."),1/((1/AM14)),IF(AND(AL14=".",AM14=".",AN14&lt;&gt;".",AO14="."),1/((1/AN14)),IF(AND(AL14=".",AM14=".",AN14=".",AO14&lt;&gt;"."),1/((1/AO14)),IF(AND(AL14=".",AM14=".",AN14=".",AO14="."),".")))))))))))))))))</f>
        <v>1.5731958335636468E-4</v>
      </c>
      <c r="AQ14" s="189">
        <f>AP14*(0.0000000000000028)*up_RadSpec!$AY14*up_RadSpec!$AF14</f>
        <v>5.1317648090846162E-16</v>
      </c>
      <c r="AR14" s="40">
        <f t="shared" si="4"/>
        <v>1375</v>
      </c>
      <c r="AS14" s="40">
        <f>IF(up_RadSpec!D14&lt;&gt;"",s_C*s_IFA_res_adj*s_K*up_RadSpec!D14,0)</f>
        <v>0</v>
      </c>
      <c r="AT14" s="40">
        <f t="shared" si="5"/>
        <v>0.12557077625570776</v>
      </c>
      <c r="AU14" s="40">
        <f>up_b2w!AC14</f>
        <v>30407.313038114935</v>
      </c>
      <c r="AV14" s="18"/>
      <c r="AW14" s="15">
        <f>IFERROR(s_DL/(up_RadSpec!F14*s_EF_res*1*s_IRF_res*0.001*s_CF_res_fish),".")</f>
        <v>6.6115702479338848E-4</v>
      </c>
      <c r="AX14" s="189">
        <f>IFERROR(AW14*(0.0000000000028)*up_RadSpec!$AY14*up_RadSpec!$AF14,0)</f>
        <v>2.1566942148760333E-12</v>
      </c>
      <c r="AY14" s="40">
        <f t="shared" si="6"/>
        <v>7562.5</v>
      </c>
    </row>
    <row r="15" spans="1:51" x14ac:dyDescent="0.25">
      <c r="A15" s="44" t="s">
        <v>13</v>
      </c>
      <c r="B15" s="42" t="s">
        <v>1057</v>
      </c>
      <c r="C15" s="42"/>
      <c r="D15" s="15">
        <f>IFERROR(((s_DL/(up_RadSpec!E15*s_IFS_res_adj*(1/1000)))*1),".")</f>
        <v>0.33057851239669422</v>
      </c>
      <c r="E15" s="15">
        <f>IFERROR(IF(A15="H-3",(s_DL/((up_RadSpec!H15*s_IFA_res_adj*(1/17)*1000))*1),(s_DL/((up_RadSpec!H15*s_IFA_res_adj*(1/s_PEF_wind)*1000))*1)),".")</f>
        <v>3089.9917851942919</v>
      </c>
      <c r="F15" s="15" t="str">
        <f>IFERROR((s_DL/(up_RadSpec!G15*s_EF_res*(1/365)*1*up_RadSpec!R15*((s_ET_res_o*(1/24)*up_RadSpec!W15)+(s_ET_res_i*(1/24)*up_RadSpec!AB15))))*1,".")</f>
        <v>.</v>
      </c>
      <c r="G15" s="15">
        <f>up_b2s!C15</f>
        <v>3.2968835384132272E-5</v>
      </c>
      <c r="H15" s="15">
        <f>up_dir!C15</f>
        <v>1.6528925619834712E-4</v>
      </c>
      <c r="I15" s="15">
        <f t="shared" si="11"/>
        <v>3.2965547354399747E-5</v>
      </c>
      <c r="J15" s="189">
        <f>IFERROR(I15*(0.0000000000028)*up_RadSpec!$AY15*up_RadSpec!$AF15,0)</f>
        <v>9.6457191558973667E-14</v>
      </c>
      <c r="K15" s="40">
        <f t="shared" si="0"/>
        <v>15.125</v>
      </c>
      <c r="L15" s="40">
        <f t="shared" si="1"/>
        <v>1.6181272791589674E-3</v>
      </c>
      <c r="M15" s="40">
        <f>IFERROR((s_C*s_EF_res*(1/365)*1*up_RadSpec!R15*((s_ET_res_o*(1/24)*up_RadSpec!W15)+(s_ET_res_i*(1/24)*up_RadSpec!AB15))),".")</f>
        <v>0</v>
      </c>
      <c r="N15" s="40">
        <f>up_b2s!AC15</f>
        <v>151658.375</v>
      </c>
      <c r="O15" s="18"/>
      <c r="P15" s="15" t="str">
        <f>IFERROR((s_DL/(up_RadSpec!G15*s_EF_res*(1/365)*1*up_RadSpec!R15*((s_ET_res_o*(1/24)*up_RadSpec!W15)+(s_ET_res_i*(1/24)*up_RadSpec!AB15))))*1,".")</f>
        <v>.</v>
      </c>
      <c r="Q15" s="15" t="str">
        <f>IFERROR((s_DL/(up_RadSpec!N15*s_EF_res*(1/365)*1*up_RadSpec!S15*((s_ET_res_o*(1/24)*up_RadSpec!X15)+(s_ET_res_i*(1/24)*up_RadSpec!AC15))))*1,".")</f>
        <v>.</v>
      </c>
      <c r="R15" s="15" t="str">
        <f>IFERROR((s_DL/(up_RadSpec!O15*s_EF_res*(1/365)*1*up_RadSpec!T15*((s_ET_res_o*(1/24)*up_RadSpec!Y15)+(s_ET_res_i*(1/24)*up_RadSpec!AD15))))*1,".")</f>
        <v>.</v>
      </c>
      <c r="S15" s="15" t="str">
        <f>IFERROR((s_DL/(up_RadSpec!P15*s_EF_res*(1/365)*1*up_RadSpec!U15*((s_ET_res_o*(1/24)*up_RadSpec!Z15)+(s_ET_res_i*(1/24)*up_RadSpec!AE15))))*1,".")</f>
        <v>.</v>
      </c>
      <c r="T15" s="15" t="str">
        <f>IFERROR((s_DL/(up_RadSpec!L15*s_EF_res*(1/365)*1*up_RadSpec!Q15*((s_ET_res_o*(1/24)*up_RadSpec!V15)+(s_ET_res_i*(1/24)*up_RadSpec!AA15))))*1,".")</f>
        <v>.</v>
      </c>
      <c r="U15" s="189">
        <f>IFERROR(P15*(0.0000000000028)*up_RadSpec!$AY15*up_RadSpec!$AF15,0)</f>
        <v>0</v>
      </c>
      <c r="V15" s="189">
        <f>IFERROR(Q15*(0.0000000000028)*up_RadSpec!$AY15*up_RadSpec!$AF15,0)</f>
        <v>0</v>
      </c>
      <c r="W15" s="189">
        <f>IFERROR(R15*(0.0000000000028)*up_RadSpec!$AY15*up_RadSpec!$AF15,0)</f>
        <v>0</v>
      </c>
      <c r="X15" s="189">
        <f>IFERROR(S15*(0.0000000000028)*up_RadSpec!$AY15*up_RadSpec!$AF15,0)</f>
        <v>0</v>
      </c>
      <c r="Y15" s="189">
        <f>IFERROR(T15*(0.0000000000028)*up_RadSpec!$AY15*up_RadSpec!$AF15,0)</f>
        <v>0</v>
      </c>
      <c r="Z15" s="40">
        <f>IFERROR((s_C*s_EF_res*(1/365)*1*up_RadSpec!R15*((s_ET_res_o*(1/24)*up_RadSpec!W15)+(s_ET_res_i*(1/24)*up_RadSpec!AB15))),".")</f>
        <v>0</v>
      </c>
      <c r="AA15" s="40">
        <f>IFERROR((s_C*s_EF_res*(1/365)*1*up_RadSpec!S15*((s_ET_res_o*(1/24)*up_RadSpec!X15)+(s_ET_res_i*(1/24)*up_RadSpec!AC15))),".")</f>
        <v>0</v>
      </c>
      <c r="AB15" s="40">
        <f>IFERROR((s_C*s_EF_res*(1/365)*1*up_RadSpec!T15*((s_ET_res_o*(1/24)*up_RadSpec!Y15)+(s_ET_res_i*(1/24)*up_RadSpec!AD15))),".")</f>
        <v>0</v>
      </c>
      <c r="AC15" s="40">
        <f>IFERROR((s_C*s_EF_res*(1/365)*1*up_RadSpec!U15*((s_ET_res_o*(1/24)*up_RadSpec!Z15)+(s_ET_res_i*(1/24)*up_RadSpec!AE15))),".")</f>
        <v>0</v>
      </c>
      <c r="AD15" s="40">
        <f>IFERROR((s_C*s_EF_res*(1/365)*1*up_RadSpec!Q15*((s_ET_res_o*(1/24)*up_RadSpec!V15)+(s_ET_res_i*(1/24)*up_RadSpec!AA15))),".")</f>
        <v>0</v>
      </c>
      <c r="AE15" s="15">
        <f>IFERROR((s_DL/(up_RadSpec!H15*s_IFA_res_adj)),".")</f>
        <v>9.9740259740259754E-3</v>
      </c>
      <c r="AF15" s="15">
        <f>IFERROR((s_DL/(up_RadSpec!K15*s_EF_res*(1/365)*1*s_ET_res*(1/24)*s_GSF_a)),".")</f>
        <v>63.709090909090911</v>
      </c>
      <c r="AG15" s="15">
        <f t="shared" si="8"/>
        <v>9.9724647271019675E-3</v>
      </c>
      <c r="AH15" s="189">
        <f>AG15*(0.0000000000000028)*up_RadSpec!$AY15*up_RadSpec!$AF15</f>
        <v>2.9179431791500361E-14</v>
      </c>
      <c r="AI15" s="40">
        <f t="shared" si="2"/>
        <v>501.30208333333326</v>
      </c>
      <c r="AJ15" s="40">
        <f t="shared" si="3"/>
        <v>7.8481735159817351E-2</v>
      </c>
      <c r="AK15" s="18"/>
      <c r="AL15" s="15">
        <f>IFERROR((s_DL/(up_RadSpec!I15*s_IFW_res_adj)),".")</f>
        <v>3.6363636363636364E-3</v>
      </c>
      <c r="AM15" s="15" t="str">
        <f>IFERROR(IF(AND(up_RadSpec!C15=1,up_RadSpec!D15&lt;&gt;0),(s_DL/(up_RadSpec!H15*s_IFA_res_adj*s_K*up_RadSpec!D15)),"."),".")</f>
        <v>.</v>
      </c>
      <c r="AN15" s="15">
        <f>IFERROR((s_DL/(up_RadSpec!M15*(1/8760)*s_DFA_res_adj)),".")</f>
        <v>39.81818181818182</v>
      </c>
      <c r="AO15" s="15">
        <f>up_b2w!C15</f>
        <v>1.6443412786038033E-4</v>
      </c>
      <c r="AP15" s="15">
        <f t="shared" ref="AP15:AP16" si="12">(IF(AND(AL15&lt;&gt;".",AM15&lt;&gt;".",AN15&lt;&gt;".",AO15&lt;&gt;"."),1/((1/AL15)+(1/AM15)+(1/AN15)+(1/AO15)),IF(AND(AL15&lt;&gt;".",AM15&lt;&gt;".",AN15&lt;&gt;".",AO15="."), 1/((1/AL15)+(1/AM15)+(1/AN15)),IF(AND(AL15&lt;&gt;".",AM15&lt;&gt;".",AN15=".",AO15&lt;&gt;"."),1/((1/AL15)+(1/AM15)+(1/AO15)),IF(AND(AL15&lt;&gt;".",AM15=".",AN15&lt;&gt;".",AO15&lt;&gt;"."),1/((1/AL15)+(1/AN15)+(1/AO15)),IF(AND(AL15=".",AM15&lt;&gt;".",AN15&lt;&gt;".",AO15&lt;&gt;"."),1/((1/AM15)+(1/AN15)+(1/AO15)),IF(AND(AL15&lt;&gt;".",AM15&lt;&gt;".",AN15=".",AO15="."),1/((1/AL15)+(1/AM15)),IF(AND(AL15&lt;&gt;".",AM15=".",AN15&lt;&gt;".",AO15="."),1/((1/AL15)+(1/AN15)),IF(AND(AL15&lt;&gt;".",AM15=".",AN15=".",AO15&lt;&gt;"."),1/((1/AL15)+(1/AO15)),IF(AND(AL15=".",AM15=".",AN15&lt;&gt;".",AO15&lt;&gt;"."),1/((1/AN15)+(1/AO15)),IF(AND(AL15=".",AM15&lt;&gt;".",AN15=".",AO15&lt;&gt;"."),1/((1/AM15)+(1/AO15)),IF(AND(AL15=".",AM15&lt;&gt;".",AN15&lt;&gt;".",AO15="."),1/((1/AM15)+(1/AN15)),IF(AND(AL15&lt;&gt;".",AM15=".",AN15=".",AO15="."),1/((1/AL15)),IF(AND(AL15=".",AM15&lt;&gt;".",AN15=".",AO15="."),1/((1/AM15)),IF(AND(AL15=".",AM15=".",AN15&lt;&gt;".",AO15="."),1/((1/AN15)),IF(AND(AL15=".",AM15=".",AN15=".",AO15&lt;&gt;"."),1/((1/AO15)),IF(AND(AL15=".",AM15=".",AN15=".",AO15="."),".")))))))))))))))))</f>
        <v>1.5731958335636468E-4</v>
      </c>
      <c r="AQ15" s="189">
        <f>AP15*(0.0000000000000028)*up_RadSpec!$AY15*up_RadSpec!$AF15</f>
        <v>4.6031710090072314E-16</v>
      </c>
      <c r="AR15" s="40">
        <f t="shared" si="4"/>
        <v>1375</v>
      </c>
      <c r="AS15" s="40">
        <f>IF(up_RadSpec!D15&lt;&gt;"",s_C*s_IFA_res_adj*s_K*up_RadSpec!D15,0)</f>
        <v>0</v>
      </c>
      <c r="AT15" s="40">
        <f t="shared" si="5"/>
        <v>0.12557077625570776</v>
      </c>
      <c r="AU15" s="40">
        <f>up_b2w!AC15</f>
        <v>30407.313038114935</v>
      </c>
      <c r="AV15" s="18"/>
      <c r="AW15" s="15">
        <f>IFERROR(s_DL/(up_RadSpec!F15*s_EF_res*1*s_IRF_res*0.001*s_CF_res_fish),".")</f>
        <v>6.6115702479338848E-4</v>
      </c>
      <c r="AX15" s="189">
        <f>IFERROR(AW15*(0.0000000000028)*up_RadSpec!$AY15*up_RadSpec!$AF15,0)</f>
        <v>1.9345454545454547E-12</v>
      </c>
      <c r="AY15" s="40">
        <f t="shared" si="6"/>
        <v>7562.5</v>
      </c>
    </row>
    <row r="16" spans="1:51" x14ac:dyDescent="0.25">
      <c r="A16" s="44" t="s">
        <v>14</v>
      </c>
      <c r="B16" s="42" t="s">
        <v>1057</v>
      </c>
      <c r="C16" s="238"/>
      <c r="D16" s="15">
        <f>IFERROR(((s_DL/(up_RadSpec!E16*s_IFS_res_adj*(1/1000)))*1),".")</f>
        <v>0.33057851239669422</v>
      </c>
      <c r="E16" s="15">
        <f>IFERROR(IF(A16="H-3",(s_DL/((up_RadSpec!H16*s_IFA_res_adj*(1/17)*1000))*1),(s_DL/((up_RadSpec!H16*s_IFA_res_adj*(1/s_PEF_wind)*1000))*1)),".")</f>
        <v>3089.9917851942919</v>
      </c>
      <c r="F16" s="15">
        <f>IFERROR((s_DL/(up_RadSpec!G16*s_EF_res*(1/365)*1*up_RadSpec!R16*((s_ET_res_o*(1/24)*up_RadSpec!W16)+(s_ET_res_i*(1/24)*up_RadSpec!AB16))))*1,".")</f>
        <v>4249701.1279172543</v>
      </c>
      <c r="G16" s="15">
        <f>up_b2s!C16</f>
        <v>3.2968835384132272E-5</v>
      </c>
      <c r="H16" s="15">
        <f>up_dir!C16</f>
        <v>1.6528925619834712E-4</v>
      </c>
      <c r="I16" s="15">
        <f t="shared" si="11"/>
        <v>3.2965547354144031E-5</v>
      </c>
      <c r="J16" s="189">
        <f>IFERROR(I16*(0.0000000000028)*up_RadSpec!$AY16*up_RadSpec!$AF16,0)</f>
        <v>9.691870922118345E-14</v>
      </c>
      <c r="K16" s="40">
        <f t="shared" si="0"/>
        <v>15.125</v>
      </c>
      <c r="L16" s="40">
        <f t="shared" si="1"/>
        <v>1.6181272791589674E-3</v>
      </c>
      <c r="M16" s="40">
        <f>IFERROR((s_C*s_EF_res*(1/365)*1*up_RadSpec!R16*((s_ET_res_o*(1/24)*up_RadSpec!W16)+(s_ET_res_i*(1/24)*up_RadSpec!AB16))),".")</f>
        <v>1.1765533268101753E-6</v>
      </c>
      <c r="N16" s="40">
        <f>up_b2s!AC16</f>
        <v>151658.375</v>
      </c>
      <c r="O16" s="18"/>
      <c r="P16" s="15">
        <f>IFERROR((s_DL/(up_RadSpec!G16*s_EF_res*(1/365)*1*up_RadSpec!R16*((s_ET_res_o*(1/24)*up_RadSpec!W16)+(s_ET_res_i*(1/24)*up_RadSpec!AB16))))*1,".")</f>
        <v>4249701.1279172543</v>
      </c>
      <c r="Q16" s="15">
        <f>IFERROR((s_DL/(up_RadSpec!N16*s_EF_res*(1/365)*1*up_RadSpec!S16*((s_ET_res_o*(1/24)*up_RadSpec!X16)+(s_ET_res_i*(1/24)*up_RadSpec!AC16))))*1,".")</f>
        <v>7568571.8978401944</v>
      </c>
      <c r="R16" s="15">
        <f>IFERROR((s_DL/(up_RadSpec!O16*s_EF_res*(1/365)*1*up_RadSpec!T16*((s_ET_res_o*(1/24)*up_RadSpec!Y16)+(s_ET_res_i*(1/24)*up_RadSpec!AD16))))*1,".")</f>
        <v>4546743.3645543214</v>
      </c>
      <c r="S16" s="15">
        <f>IFERROR((s_DL/(up_RadSpec!P16*s_EF_res*(1/365)*1*up_RadSpec!U16*((s_ET_res_o*(1/24)*up_RadSpec!Z16)+(s_ET_res_i*(1/24)*up_RadSpec!AE16))))*1,".")</f>
        <v>4570236.0766923204</v>
      </c>
      <c r="T16" s="15">
        <f>IFERROR((s_DL/(up_RadSpec!L16*s_EF_res*(1/365)*1*up_RadSpec!Q16*((s_ET_res_o*(1/24)*up_RadSpec!V16)+(s_ET_res_i*(1/24)*up_RadSpec!AA16))))*1,".")</f>
        <v>176969696.96969697</v>
      </c>
      <c r="U16" s="189">
        <f>IFERROR(P16*(0.0000000000028)*up_RadSpec!$AY16*up_RadSpec!$AF16,0)</f>
        <v>1.2494121316076728E-2</v>
      </c>
      <c r="V16" s="189">
        <f>IFERROR(Q16*(0.0000000000028)*up_RadSpec!$AY16*up_RadSpec!$AF16,0)</f>
        <v>2.2251601379650175E-2</v>
      </c>
      <c r="W16" s="189">
        <f>IFERROR(R16*(0.0000000000028)*up_RadSpec!$AY16*up_RadSpec!$AF16,0)</f>
        <v>1.3367425491789705E-2</v>
      </c>
      <c r="X16" s="189">
        <f>IFERROR(S16*(0.0000000000028)*up_RadSpec!$AY16*up_RadSpec!$AF16,0)</f>
        <v>1.3436494065475424E-2</v>
      </c>
      <c r="Y16" s="189">
        <f>IFERROR(T16*(0.0000000000028)*up_RadSpec!$AY16*up_RadSpec!$AF16,0)</f>
        <v>0.52029090909090914</v>
      </c>
      <c r="Z16" s="40">
        <f>IFERROR((s_C*s_EF_res*(1/365)*1*up_RadSpec!R16*((s_ET_res_o*(1/24)*up_RadSpec!W16)+(s_ET_res_i*(1/24)*up_RadSpec!AB16))),".")</f>
        <v>1.1765533268101753E-6</v>
      </c>
      <c r="AA16" s="40">
        <f>IFERROR((s_C*s_EF_res*(1/365)*1*up_RadSpec!S16*((s_ET_res_o*(1/24)*up_RadSpec!X16)+(s_ET_res_i*(1/24)*up_RadSpec!AC16))),".")</f>
        <v>6.6062661060626578E-7</v>
      </c>
      <c r="AB16" s="40">
        <f>IFERROR((s_C*s_EF_res*(1/365)*1*up_RadSpec!T16*((s_ET_res_o*(1/24)*up_RadSpec!Y16)+(s_ET_res_i*(1/24)*up_RadSpec!AD16))),".")</f>
        <v>1.0996881941873374E-6</v>
      </c>
      <c r="AC16" s="40">
        <f>IFERROR((s_C*s_EF_res*(1/365)*1*up_RadSpec!U16*((s_ET_res_o*(1/24)*up_RadSpec!Z16)+(s_ET_res_i*(1/24)*up_RadSpec!AE16))),".")</f>
        <v>1.0940353881278531E-6</v>
      </c>
      <c r="AD16" s="40">
        <f>IFERROR((s_C*s_EF_res*(1/365)*1*up_RadSpec!Q16*((s_ET_res_o*(1/24)*up_RadSpec!V16)+(s_ET_res_i*(1/24)*up_RadSpec!AA16))),".")</f>
        <v>2.8253424657534244E-8</v>
      </c>
      <c r="AE16" s="15">
        <f>IFERROR((s_DL/(up_RadSpec!H16*s_IFA_res_adj)),".")</f>
        <v>9.9740259740259754E-3</v>
      </c>
      <c r="AF16" s="15">
        <f>IFERROR((s_DL/(up_RadSpec!K16*s_EF_res*(1/365)*1*s_ET_res*(1/24)*s_GSF_a)),".")</f>
        <v>63.709090909090911</v>
      </c>
      <c r="AG16" s="15">
        <f t="shared" si="8"/>
        <v>9.9724647271019675E-3</v>
      </c>
      <c r="AH16" s="189">
        <f>AG16*(0.0000000000000028)*up_RadSpec!$AY16*up_RadSpec!$AF16</f>
        <v>2.9319046297679789E-14</v>
      </c>
      <c r="AI16" s="40">
        <f t="shared" si="2"/>
        <v>501.30208333333326</v>
      </c>
      <c r="AJ16" s="40">
        <f t="shared" si="3"/>
        <v>7.8481735159817351E-2</v>
      </c>
      <c r="AK16" s="18"/>
      <c r="AL16" s="15">
        <f>IFERROR((s_DL/(up_RadSpec!I16*s_IFW_res_adj)),".")</f>
        <v>3.6363636363636364E-3</v>
      </c>
      <c r="AM16" s="15" t="str">
        <f>IFERROR(IF(AND(up_RadSpec!C16=1,up_RadSpec!D16&lt;&gt;0),(s_DL/(up_RadSpec!H16*s_IFA_res_adj*s_K*up_RadSpec!D16)),"."),".")</f>
        <v>.</v>
      </c>
      <c r="AN16" s="15">
        <f>IFERROR((s_DL/(up_RadSpec!M16*(1/8760)*s_DFA_res_adj)),".")</f>
        <v>39.81818181818182</v>
      </c>
      <c r="AO16" s="15">
        <f>up_b2w!C16</f>
        <v>1.6443412786038033E-4</v>
      </c>
      <c r="AP16" s="15">
        <f t="shared" si="12"/>
        <v>1.5731958335636468E-4</v>
      </c>
      <c r="AQ16" s="189">
        <f>AP16*(0.0000000000000028)*up_RadSpec!$AY16*up_RadSpec!$AF16</f>
        <v>4.6251957506771222E-16</v>
      </c>
      <c r="AR16" s="40">
        <f t="shared" si="4"/>
        <v>1375</v>
      </c>
      <c r="AS16" s="40">
        <f>IF(up_RadSpec!D16&lt;&gt;"",s_C*s_IFA_res_adj*s_K*up_RadSpec!D16,0)</f>
        <v>0</v>
      </c>
      <c r="AT16" s="40">
        <f t="shared" si="5"/>
        <v>0.12557077625570776</v>
      </c>
      <c r="AU16" s="40">
        <f>up_b2w!AC16</f>
        <v>30407.313038114935</v>
      </c>
      <c r="AV16" s="18"/>
      <c r="AW16" s="15">
        <f>IFERROR(s_DL/(up_RadSpec!F16*s_EF_res*1*s_IRF_res*0.001*s_CF_res_fish),".")</f>
        <v>6.6115702479338848E-4</v>
      </c>
      <c r="AX16" s="189">
        <f>IFERROR(AW16*(0.0000000000028)*up_RadSpec!$AY16*up_RadSpec!$AF16,0)</f>
        <v>1.9438016528925621E-12</v>
      </c>
      <c r="AY16" s="40">
        <f t="shared" si="6"/>
        <v>7562.5</v>
      </c>
    </row>
    <row r="17" spans="1:51" x14ac:dyDescent="0.25">
      <c r="A17" s="44" t="s">
        <v>15</v>
      </c>
      <c r="B17" s="42" t="s">
        <v>1057</v>
      </c>
      <c r="C17" s="238"/>
      <c r="D17" s="15">
        <f>IFERROR(((s_DL/(up_RadSpec!E17*s_IFS_res_adj*(1/1000)))*1),".")</f>
        <v>0.33057851239669422</v>
      </c>
      <c r="E17" s="15">
        <f>IFERROR(IF(A17="H-3",(s_DL/((up_RadSpec!H17*s_IFA_res_adj*(1/17)*1000))*1),(s_DL/((up_RadSpec!H17*s_IFA_res_adj*(1/s_PEF_wind)*1000))*1)),".")</f>
        <v>3089.9917851942919</v>
      </c>
      <c r="F17" s="15">
        <f>IFERROR((s_DL/(up_RadSpec!G17*s_EF_res*(1/365)*1*up_RadSpec!R17*((s_ET_res_o*(1/24)*up_RadSpec!W17)+(s_ET_res_i*(1/24)*up_RadSpec!AB17))))*1,".")</f>
        <v>390.7123179850451</v>
      </c>
      <c r="G17" s="15">
        <f>up_b2s!C17</f>
        <v>3.2968835384132272E-5</v>
      </c>
      <c r="H17" s="15">
        <f>up_dir!C17</f>
        <v>1.6528925619834712E-4</v>
      </c>
      <c r="I17" s="15">
        <f t="shared" si="11"/>
        <v>3.29655445729998E-5</v>
      </c>
      <c r="J17" s="189">
        <f>IFERROR(I17*(0.0000000000028)*up_RadSpec!$AY17*up_RadSpec!$AF17,0)</f>
        <v>9.8764771540707409E-14</v>
      </c>
      <c r="K17" s="40">
        <f t="shared" si="0"/>
        <v>15.125</v>
      </c>
      <c r="L17" s="40">
        <f t="shared" si="1"/>
        <v>1.6181272791589674E-3</v>
      </c>
      <c r="M17" s="40">
        <f>IFERROR((s_C*s_EF_res*(1/365)*1*up_RadSpec!R17*((s_ET_res_o*(1/24)*up_RadSpec!W17)+(s_ET_res_i*(1/24)*up_RadSpec!AB17))),".")</f>
        <v>1.2797139403706694E-2</v>
      </c>
      <c r="N17" s="40">
        <f>up_b2s!AC17</f>
        <v>151658.375</v>
      </c>
      <c r="O17" s="18"/>
      <c r="P17" s="15">
        <f>IFERROR((s_DL/(up_RadSpec!G17*s_EF_res*(1/365)*1*up_RadSpec!R17*((s_ET_res_o*(1/24)*up_RadSpec!W17)+(s_ET_res_i*(1/24)*up_RadSpec!AB17))))*1,".")</f>
        <v>390.7123179850451</v>
      </c>
      <c r="Q17" s="15">
        <f>IFERROR((s_DL/(up_RadSpec!N17*s_EF_res*(1/365)*1*up_RadSpec!S17*((s_ET_res_o*(1/24)*up_RadSpec!X17)+(s_ET_res_i*(1/24)*up_RadSpec!AC17))))*1,".")</f>
        <v>682.85148687158755</v>
      </c>
      <c r="R17" s="15">
        <f>IFERROR((s_DL/(up_RadSpec!O17*s_EF_res*(1/365)*1*up_RadSpec!T17*((s_ET_res_o*(1/24)*up_RadSpec!Y17)+(s_ET_res_i*(1/24)*up_RadSpec!AD17))))*1,".")</f>
        <v>514.47016152898505</v>
      </c>
      <c r="S17" s="15">
        <f>IFERROR((s_DL/(up_RadSpec!P17*s_EF_res*(1/365)*1*up_RadSpec!U17*((s_ET_res_o*(1/24)*up_RadSpec!Z17)+(s_ET_res_i*(1/24)*up_RadSpec!AE17))))*1,".")</f>
        <v>457.48305980964301</v>
      </c>
      <c r="T17" s="15">
        <f>IFERROR((s_DL/(up_RadSpec!L17*s_EF_res*(1/365)*1*up_RadSpec!Q17*((s_ET_res_o*(1/24)*up_RadSpec!V17)+(s_ET_res_i*(1/24)*up_RadSpec!AA17))))*1,".")</f>
        <v>1308.4363888102205</v>
      </c>
      <c r="U17" s="189">
        <f>IFERROR(P17*(0.0000000000028)*up_RadSpec!$AY17*up_RadSpec!$AF17,0)</f>
        <v>1.1705741046831951E-6</v>
      </c>
      <c r="V17" s="189">
        <f>IFERROR(Q17*(0.0000000000028)*up_RadSpec!$AY17*up_RadSpec!$AF17,0)</f>
        <v>2.045823054667276E-6</v>
      </c>
      <c r="W17" s="189">
        <f>IFERROR(R17*(0.0000000000028)*up_RadSpec!$AY17*up_RadSpec!$AF17,0)</f>
        <v>1.5413526039408392E-6</v>
      </c>
      <c r="X17" s="189">
        <f>IFERROR(S17*(0.0000000000028)*up_RadSpec!$AY17*up_RadSpec!$AF17,0)</f>
        <v>1.3706192471896906E-6</v>
      </c>
      <c r="Y17" s="189">
        <f>IFERROR(T17*(0.0000000000028)*up_RadSpec!$AY17*up_RadSpec!$AF17,0)</f>
        <v>3.9200754208754206E-6</v>
      </c>
      <c r="Z17" s="40">
        <f>IFERROR((s_C*s_EF_res*(1/365)*1*up_RadSpec!R17*((s_ET_res_o*(1/24)*up_RadSpec!W17)+(s_ET_res_i*(1/24)*up_RadSpec!AB17))),".")</f>
        <v>1.2797139403706694E-2</v>
      </c>
      <c r="AA17" s="40">
        <f>IFERROR((s_C*s_EF_res*(1/365)*1*up_RadSpec!S17*((s_ET_res_o*(1/24)*up_RadSpec!X17)+(s_ET_res_i*(1/24)*up_RadSpec!AC17))),".")</f>
        <v>7.322236381013059E-3</v>
      </c>
      <c r="AB17" s="40">
        <f>IFERROR((s_C*s_EF_res*(1/365)*1*up_RadSpec!T17*((s_ET_res_o*(1/24)*up_RadSpec!Y17)+(s_ET_res_i*(1/24)*up_RadSpec!AD17))),".")</f>
        <v>9.718736622431506E-3</v>
      </c>
      <c r="AC17" s="40">
        <f>IFERROR((s_C*s_EF_res*(1/365)*1*up_RadSpec!U17*((s_ET_res_o*(1/24)*up_RadSpec!Z17)+(s_ET_res_i*(1/24)*up_RadSpec!AE17))),".")</f>
        <v>1.0929366438356168E-2</v>
      </c>
      <c r="AD17" s="40">
        <f>IFERROR((s_C*s_EF_res*(1/365)*1*up_RadSpec!Q17*((s_ET_res_o*(1/24)*up_RadSpec!V17)+(s_ET_res_i*(1/24)*up_RadSpec!AA17))),".")</f>
        <v>3.8213550484839159E-3</v>
      </c>
      <c r="AE17" s="15">
        <f>IFERROR((s_DL/(up_RadSpec!H17*s_IFA_res_adj)),".")</f>
        <v>9.9740259740259754E-3</v>
      </c>
      <c r="AF17" s="15">
        <f>IFERROR((s_DL/(up_RadSpec!K17*s_EF_res*(1/365)*1*s_ET_res*(1/24)*s_GSF_a)),".")</f>
        <v>63.709090909090911</v>
      </c>
      <c r="AG17" s="15">
        <f>IFERROR(IF(AND(AE17&lt;&gt;".",AF17&lt;&gt;"."),1/((1/AE17)+(1/AF17)),IF(AND(AE17&lt;&gt;".",AF17="."),1/((1/AE17)),IF(AND(AE17=".",AF17&lt;&gt;"."),1/((1/AF17)),IF(AND(AE17=".",AF17="."),".")))),".")</f>
        <v>9.9724647271019675E-3</v>
      </c>
      <c r="AH17" s="189">
        <f>AG17*(0.0000000000000028)*up_RadSpec!$AY17*up_RadSpec!$AF17</f>
        <v>2.9877504322397496E-14</v>
      </c>
      <c r="AI17" s="40">
        <f t="shared" si="2"/>
        <v>501.30208333333326</v>
      </c>
      <c r="AJ17" s="40">
        <f t="shared" si="3"/>
        <v>7.8481735159817351E-2</v>
      </c>
      <c r="AK17" s="18"/>
      <c r="AL17" s="15">
        <f>IFERROR((s_DL/(up_RadSpec!I17*s_IFW_res_adj)),".")</f>
        <v>3.6363636363636364E-3</v>
      </c>
      <c r="AM17" s="15">
        <f>IFERROR(IF(AND(up_RadSpec!C17=1,up_RadSpec!D17&lt;&gt;0),(s_DL/(up_RadSpec!H17*s_IFA_res_adj*s_K*up_RadSpec!D17)),"."),".")</f>
        <v>0.115609920856568</v>
      </c>
      <c r="AN17" s="15">
        <f>IFERROR((s_DL/(up_RadSpec!M17*(1/8760)*s_DFA_res_adj)),".")</f>
        <v>39.81818181818182</v>
      </c>
      <c r="AO17" s="15">
        <f>up_b2w!C17</f>
        <v>1.6443412786038033E-4</v>
      </c>
      <c r="AP17" s="15">
        <f>(IF(AND(AL17&lt;&gt;".",AM17&lt;&gt;".",AN17&lt;&gt;".",AO17&lt;&gt;"."),1/((1/AL17)+(1/AM17)+(1/AN17)+(1/AO17)),IF(AND(AL17&lt;&gt;".",AM17&lt;&gt;".",AN17&lt;&gt;".",AO17="."), 1/((1/AL17)+(1/AM17)+(1/AN17)),IF(AND(AL17&lt;&gt;".",AM17&lt;&gt;".",AN17=".",AO17&lt;&gt;"."),1/((1/AL17)+(1/AM17)+(1/AO17)),IF(AND(AL17&lt;&gt;".",AM17=".",AN17&lt;&gt;".",AO17&lt;&gt;"."),1/((1/AL17)+(1/AN17)+(1/AO17)),IF(AND(AL17=".",AM17&lt;&gt;".",AN17&lt;&gt;".",AO17&lt;&gt;"."),1/((1/AM17)+(1/AN17)+(1/AO17)),IF(AND(AL17&lt;&gt;".",AM17&lt;&gt;".",AN17=".",AO17="."),1/((1/AL17)+(1/AM17)),IF(AND(AL17&lt;&gt;".",AM17=".",AN17&lt;&gt;".",AO17="."),1/((1/AL17)+(1/AN17)),IF(AND(AL17&lt;&gt;".",AM17=".",AN17=".",AO17&lt;&gt;"."),1/((1/AL17)+(1/AO17)),IF(AND(AL17=".",AM17=".",AN17&lt;&gt;".",AO17&lt;&gt;"."),1/((1/AN17)+(1/AO17)),IF(AND(AL17=".",AM17&lt;&gt;".",AN17=".",AO17&lt;&gt;"."),1/((1/AM17)+(1/AO17)),IF(AND(AL17=".",AM17&lt;&gt;".",AN17&lt;&gt;".",AO17="."),1/((1/AM17)+(1/AN17)),IF(AND(AL17&lt;&gt;".",AM17=".",AN17=".",AO17="."),1/((1/AL17)),IF(AND(AL17=".",AM17&lt;&gt;".",AN17=".",AO17="."),1/((1/AM17)),IF(AND(AL17=".",AM17=".",AN17&lt;&gt;".",AO17="."),1/((1/AN17)),IF(AND(AL17=".",AM17=".",AN17=".",AO17&lt;&gt;"."),1/((1/AO17)),IF(AND(AL17=".",AM17=".",AN17=".",AO17="."),".")))))))))))))))))</f>
        <v>1.5710579704502679E-4</v>
      </c>
      <c r="AQ17" s="189">
        <f>AP17*(0.0000000000000028)*up_RadSpec!$AY17*up_RadSpec!$AF17</f>
        <v>4.706889679469003E-16</v>
      </c>
      <c r="AR17" s="40">
        <f t="shared" si="4"/>
        <v>1375</v>
      </c>
      <c r="AS17" s="40">
        <f>IF(up_RadSpec!D17&lt;&gt;"",s_C*s_IFA_res_adj*s_K*up_RadSpec!D17,0)</f>
        <v>43.248883512369787</v>
      </c>
      <c r="AT17" s="40">
        <f t="shared" si="5"/>
        <v>0.12557077625570776</v>
      </c>
      <c r="AU17" s="40">
        <f>up_b2w!AC17</f>
        <v>30407.313038114935</v>
      </c>
      <c r="AV17" s="18"/>
      <c r="AW17" s="15">
        <f>IFERROR(s_DL/(up_RadSpec!F17*s_EF_res*1*s_IRF_res*0.001*s_CF_res_fish),".")</f>
        <v>6.6115702479338848E-4</v>
      </c>
      <c r="AX17" s="189">
        <f>IFERROR(AW17*(0.0000000000028)*up_RadSpec!$AY17*up_RadSpec!$AF17,0)</f>
        <v>1.9808264462809916E-12</v>
      </c>
      <c r="AY17" s="40">
        <f t="shared" si="6"/>
        <v>7562.5</v>
      </c>
    </row>
    <row r="18" spans="1:51" x14ac:dyDescent="0.25">
      <c r="A18" s="44" t="s">
        <v>16</v>
      </c>
      <c r="B18" s="42" t="s">
        <v>1057</v>
      </c>
      <c r="C18" s="238"/>
      <c r="D18" s="15">
        <f>IFERROR(((s_DL/(up_RadSpec!E18*s_IFS_res_adj*(1/1000)))*1),".")</f>
        <v>0.33057851239669422</v>
      </c>
      <c r="E18" s="15">
        <f>IFERROR(IF(A18="H-3",(s_DL/((up_RadSpec!H18*s_IFA_res_adj*(1/17)*1000))*1),(s_DL/((up_RadSpec!H18*s_IFA_res_adj*(1/s_PEF_wind)*1000))*1)),".")</f>
        <v>3089.9917851942919</v>
      </c>
      <c r="F18" s="15">
        <f>IFERROR((s_DL/(up_RadSpec!G18*s_EF_res*(1/365)*1*up_RadSpec!R18*((s_ET_res_o*(1/24)*up_RadSpec!W18)+(s_ET_res_i*(1/24)*up_RadSpec!AB18))))*1,".")</f>
        <v>198.99502767614223</v>
      </c>
      <c r="G18" s="15">
        <f>up_b2s!C18</f>
        <v>3.2968835384132272E-5</v>
      </c>
      <c r="H18" s="15">
        <f>up_dir!C18</f>
        <v>1.6528925619834712E-4</v>
      </c>
      <c r="I18" s="15">
        <f t="shared" si="11"/>
        <v>3.2965541893322932E-5</v>
      </c>
      <c r="J18" s="189">
        <f>IFERROR(I18*(0.0000000000028)*up_RadSpec!$AY18*up_RadSpec!$AF18,0)</f>
        <v>9.6918693166369434E-14</v>
      </c>
      <c r="K18" s="40">
        <f t="shared" si="0"/>
        <v>15.125</v>
      </c>
      <c r="L18" s="40">
        <f t="shared" si="1"/>
        <v>1.6181272791589674E-3</v>
      </c>
      <c r="M18" s="40">
        <f>IFERROR((s_C*s_EF_res*(1/365)*1*up_RadSpec!R18*((s_ET_res_o*(1/24)*up_RadSpec!W18)+(s_ET_res_i*(1/24)*up_RadSpec!AB18))),".")</f>
        <v>2.512625595920584E-2</v>
      </c>
      <c r="N18" s="40">
        <f>up_b2s!AC18</f>
        <v>151658.375</v>
      </c>
      <c r="O18" s="18"/>
      <c r="P18" s="15">
        <f>IFERROR((s_DL/(up_RadSpec!G18*s_EF_res*(1/365)*1*up_RadSpec!R18*((s_ET_res_o*(1/24)*up_RadSpec!W18)+(s_ET_res_i*(1/24)*up_RadSpec!AB18))))*1,".")</f>
        <v>198.99502767614223</v>
      </c>
      <c r="Q18" s="15">
        <f>IFERROR((s_DL/(up_RadSpec!N18*s_EF_res*(1/365)*1*up_RadSpec!S18*((s_ET_res_o*(1/24)*up_RadSpec!X18)+(s_ET_res_i*(1/24)*up_RadSpec!AC18))))*1,".")</f>
        <v>393.75339800268989</v>
      </c>
      <c r="R18" s="15">
        <f>IFERROR((s_DL/(up_RadSpec!O18*s_EF_res*(1/365)*1*up_RadSpec!T18*((s_ET_res_o*(1/24)*up_RadSpec!Y18)+(s_ET_res_i*(1/24)*up_RadSpec!AD18))))*1,".")</f>
        <v>275.74376135306943</v>
      </c>
      <c r="S18" s="15">
        <f>IFERROR((s_DL/(up_RadSpec!P18*s_EF_res*(1/365)*1*up_RadSpec!U18*((s_ET_res_o*(1/24)*up_RadSpec!Z18)+(s_ET_res_i*(1/24)*up_RadSpec!AE18))))*1,".")</f>
        <v>228.45868626050287</v>
      </c>
      <c r="T18" s="15">
        <f>IFERROR((s_DL/(up_RadSpec!L18*s_EF_res*(1/365)*1*up_RadSpec!Q18*((s_ET_res_o*(1/24)*up_RadSpec!V18)+(s_ET_res_i*(1/24)*up_RadSpec!AA18))))*1,".")</f>
        <v>669.30846930846917</v>
      </c>
      <c r="U18" s="189">
        <f>IFERROR(P18*(0.0000000000028)*up_RadSpec!$AY18*up_RadSpec!$AF18,0)</f>
        <v>5.8504538136785824E-7</v>
      </c>
      <c r="V18" s="189">
        <f>IFERROR(Q18*(0.0000000000028)*up_RadSpec!$AY18*up_RadSpec!$AF18,0)</f>
        <v>1.1576349901279086E-6</v>
      </c>
      <c r="W18" s="189">
        <f>IFERROR(R18*(0.0000000000028)*up_RadSpec!$AY18*up_RadSpec!$AF18,0)</f>
        <v>8.1068665837802415E-7</v>
      </c>
      <c r="X18" s="189">
        <f>IFERROR(S18*(0.0000000000028)*up_RadSpec!$AY18*up_RadSpec!$AF18,0)</f>
        <v>6.716685376058785E-7</v>
      </c>
      <c r="Y18" s="189">
        <f>IFERROR(T18*(0.0000000000028)*up_RadSpec!$AY18*up_RadSpec!$AF18,0)</f>
        <v>1.9677668997668997E-6</v>
      </c>
      <c r="Z18" s="40">
        <f>IFERROR((s_C*s_EF_res*(1/365)*1*up_RadSpec!R18*((s_ET_res_o*(1/24)*up_RadSpec!W18)+(s_ET_res_i*(1/24)*up_RadSpec!AB18))),".")</f>
        <v>2.512625595920584E-2</v>
      </c>
      <c r="AA18" s="40">
        <f>IFERROR((s_C*s_EF_res*(1/365)*1*up_RadSpec!S18*((s_ET_res_o*(1/24)*up_RadSpec!X18)+(s_ET_res_i*(1/24)*up_RadSpec!AC18))),".")</f>
        <v>1.269830311398568E-2</v>
      </c>
      <c r="AB18" s="40">
        <f>IFERROR((s_C*s_EF_res*(1/365)*1*up_RadSpec!T18*((s_ET_res_o*(1/24)*up_RadSpec!Y18)+(s_ET_res_i*(1/24)*up_RadSpec!AD18))),".")</f>
        <v>1.8132776514924922E-2</v>
      </c>
      <c r="AC18" s="40">
        <f>IFERROR((s_C*s_EF_res*(1/365)*1*up_RadSpec!U18*((s_ET_res_o*(1/24)*up_RadSpec!Z18)+(s_ET_res_i*(1/24)*up_RadSpec!AE18))),".")</f>
        <v>2.1885795116140552E-2</v>
      </c>
      <c r="AD18" s="40">
        <f>IFERROR((s_C*s_EF_res*(1/365)*1*up_RadSpec!Q18*((s_ET_res_o*(1/24)*up_RadSpec!V18)+(s_ET_res_i*(1/24)*up_RadSpec!AA18))),".")</f>
        <v>7.4703970280938026E-3</v>
      </c>
      <c r="AE18" s="15">
        <f>IFERROR((s_DL/(up_RadSpec!H18*s_IFA_res_adj)),".")</f>
        <v>9.9740259740259754E-3</v>
      </c>
      <c r="AF18" s="15">
        <f>IFERROR((s_DL/(up_RadSpec!K18*s_EF_res*(1/365)*1*s_ET_res*(1/24)*s_GSF_a)),".")</f>
        <v>63.709090909090911</v>
      </c>
      <c r="AG18" s="15">
        <f t="shared" ref="AG18:AG20" si="13">IFERROR(IF(AND(AE18&lt;&gt;".",AF18&lt;&gt;"."),1/((1/AE18)+(1/AF18)),IF(AND(AE18&lt;&gt;".",AF18="."),1/((1/AE18)),IF(AND(AE18=".",AF18&lt;&gt;"."),1/((1/AF18)),IF(AND(AE18=".",AF18="."),".")))),".")</f>
        <v>9.9724647271019675E-3</v>
      </c>
      <c r="AH18" s="189">
        <f>AG18*(0.0000000000000028)*up_RadSpec!$AY18*up_RadSpec!$AF18</f>
        <v>2.9319046297679789E-14</v>
      </c>
      <c r="AI18" s="40">
        <f t="shared" si="2"/>
        <v>501.30208333333326</v>
      </c>
      <c r="AJ18" s="40">
        <f t="shared" si="3"/>
        <v>7.8481735159817351E-2</v>
      </c>
      <c r="AK18" s="18"/>
      <c r="AL18" s="15">
        <f>IFERROR((s_DL/(up_RadSpec!I18*s_IFW_res_adj)),".")</f>
        <v>3.6363636363636364E-3</v>
      </c>
      <c r="AM18" s="15" t="str">
        <f>IFERROR(IF(AND(up_RadSpec!C18=1,up_RadSpec!D18&lt;&gt;0),(s_DL/(up_RadSpec!H18*s_IFA_res_adj*s_K*up_RadSpec!D18)),"."),".")</f>
        <v>.</v>
      </c>
      <c r="AN18" s="15">
        <f>IFERROR((s_DL/(up_RadSpec!M18*(1/8760)*s_DFA_res_adj)),".")</f>
        <v>39.81818181818182</v>
      </c>
      <c r="AO18" s="15">
        <f>up_b2w!C18</f>
        <v>1.6443412786038033E-4</v>
      </c>
      <c r="AP18" s="15">
        <f t="shared" ref="AP18:AP20" si="14">(IF(AND(AL18&lt;&gt;".",AM18&lt;&gt;".",AN18&lt;&gt;".",AO18&lt;&gt;"."),1/((1/AL18)+(1/AM18)+(1/AN18)+(1/AO18)),IF(AND(AL18&lt;&gt;".",AM18&lt;&gt;".",AN18&lt;&gt;".",AO18="."), 1/((1/AL18)+(1/AM18)+(1/AN18)),IF(AND(AL18&lt;&gt;".",AM18&lt;&gt;".",AN18=".",AO18&lt;&gt;"."),1/((1/AL18)+(1/AM18)+(1/AO18)),IF(AND(AL18&lt;&gt;".",AM18=".",AN18&lt;&gt;".",AO18&lt;&gt;"."),1/((1/AL18)+(1/AN18)+(1/AO18)),IF(AND(AL18=".",AM18&lt;&gt;".",AN18&lt;&gt;".",AO18&lt;&gt;"."),1/((1/AM18)+(1/AN18)+(1/AO18)),IF(AND(AL18&lt;&gt;".",AM18&lt;&gt;".",AN18=".",AO18="."),1/((1/AL18)+(1/AM18)),IF(AND(AL18&lt;&gt;".",AM18=".",AN18&lt;&gt;".",AO18="."),1/((1/AL18)+(1/AN18)),IF(AND(AL18&lt;&gt;".",AM18=".",AN18=".",AO18&lt;&gt;"."),1/((1/AL18)+(1/AO18)),IF(AND(AL18=".",AM18=".",AN18&lt;&gt;".",AO18&lt;&gt;"."),1/((1/AN18)+(1/AO18)),IF(AND(AL18=".",AM18&lt;&gt;".",AN18=".",AO18&lt;&gt;"."),1/((1/AM18)+(1/AO18)),IF(AND(AL18=".",AM18&lt;&gt;".",AN18&lt;&gt;".",AO18="."),1/((1/AM18)+(1/AN18)),IF(AND(AL18&lt;&gt;".",AM18=".",AN18=".",AO18="."),1/((1/AL18)),IF(AND(AL18=".",AM18&lt;&gt;".",AN18=".",AO18="."),1/((1/AM18)),IF(AND(AL18=".",AM18=".",AN18&lt;&gt;".",AO18="."),1/((1/AN18)),IF(AND(AL18=".",AM18=".",AN18=".",AO18&lt;&gt;"."),1/((1/AO18)),IF(AND(AL18=".",AM18=".",AN18=".",AO18="."),".")))))))))))))))))</f>
        <v>1.5731958335636468E-4</v>
      </c>
      <c r="AQ18" s="189">
        <f>AP18*(0.0000000000000028)*up_RadSpec!$AY18*up_RadSpec!$AF18</f>
        <v>4.6251957506771222E-16</v>
      </c>
      <c r="AR18" s="40">
        <f t="shared" si="4"/>
        <v>1375</v>
      </c>
      <c r="AS18" s="40">
        <f>IF(up_RadSpec!D18&lt;&gt;"",s_C*s_IFA_res_adj*s_K*up_RadSpec!D18,0)</f>
        <v>0</v>
      </c>
      <c r="AT18" s="40">
        <f t="shared" si="5"/>
        <v>0.12557077625570776</v>
      </c>
      <c r="AU18" s="40">
        <f>up_b2w!AC18</f>
        <v>30407.313038114935</v>
      </c>
      <c r="AV18" s="18"/>
      <c r="AW18" s="15">
        <f>IFERROR(s_DL/(up_RadSpec!F18*s_EF_res*1*s_IRF_res*0.001*s_CF_res_fish),".")</f>
        <v>6.6115702479338848E-4</v>
      </c>
      <c r="AX18" s="189">
        <f>IFERROR(AW18*(0.0000000000028)*up_RadSpec!$AY18*up_RadSpec!$AF18,0)</f>
        <v>1.9438016528925621E-12</v>
      </c>
      <c r="AY18" s="40">
        <f t="shared" si="6"/>
        <v>7562.5</v>
      </c>
    </row>
    <row r="19" spans="1:51" x14ac:dyDescent="0.25">
      <c r="A19" s="44" t="s">
        <v>17</v>
      </c>
      <c r="B19" s="42" t="s">
        <v>1057</v>
      </c>
      <c r="C19" s="42"/>
      <c r="D19" s="15">
        <f>IFERROR(((s_DL/(up_RadSpec!E19*s_IFS_res_adj*(1/1000)))*1),".")</f>
        <v>0.33057851239669422</v>
      </c>
      <c r="E19" s="15">
        <f>IFERROR(IF(A19="H-3",(s_DL/((up_RadSpec!H19*s_IFA_res_adj*(1/17)*1000))*1),(s_DL/((up_RadSpec!H19*s_IFA_res_adj*(1/s_PEF_wind)*1000))*1)),".")</f>
        <v>3089.9917851942919</v>
      </c>
      <c r="F19" s="15">
        <f>IFERROR((s_DL/(up_RadSpec!G19*s_EF_res*(1/365)*1*up_RadSpec!R19*((s_ET_res_o*(1/24)*up_RadSpec!W19)+(s_ET_res_i*(1/24)*up_RadSpec!AB19))))*1,".")</f>
        <v>203.05335018159568</v>
      </c>
      <c r="G19" s="15">
        <f>up_b2s!C19</f>
        <v>3.2968835384132272E-5</v>
      </c>
      <c r="H19" s="15">
        <f>up_dir!C19</f>
        <v>1.6528925619834712E-4</v>
      </c>
      <c r="I19" s="15">
        <f t="shared" si="11"/>
        <v>3.2965542002470635E-5</v>
      </c>
      <c r="J19" s="189">
        <f>IFERROR(I19*(0.0000000000028)*up_RadSpec!$AY19*up_RadSpec!$AF19,0)</f>
        <v>9.8303246251367439E-14</v>
      </c>
      <c r="K19" s="40">
        <f t="shared" si="0"/>
        <v>15.125</v>
      </c>
      <c r="L19" s="40">
        <f t="shared" si="1"/>
        <v>1.6181272791589674E-3</v>
      </c>
      <c r="M19" s="40">
        <f>IFERROR((s_C*s_EF_res*(1/365)*1*up_RadSpec!R19*((s_ET_res_o*(1/24)*up_RadSpec!W19)+(s_ET_res_i*(1/24)*up_RadSpec!AB19))),".")</f>
        <v>2.4624070450097846E-2</v>
      </c>
      <c r="N19" s="40">
        <f>up_b2s!AC19</f>
        <v>151658.375</v>
      </c>
      <c r="O19" s="18"/>
      <c r="P19" s="15">
        <f>IFERROR((s_DL/(up_RadSpec!G19*s_EF_res*(1/365)*1*up_RadSpec!R19*((s_ET_res_o*(1/24)*up_RadSpec!W19)+(s_ET_res_i*(1/24)*up_RadSpec!AB19))))*1,".")</f>
        <v>203.05335018159568</v>
      </c>
      <c r="Q19" s="15">
        <f>IFERROR((s_DL/(up_RadSpec!N19*s_EF_res*(1/365)*1*up_RadSpec!S19*((s_ET_res_o*(1/24)*up_RadSpec!X19)+(s_ET_res_i*(1/24)*up_RadSpec!AC19))))*1,".")</f>
        <v>402.73674316227516</v>
      </c>
      <c r="R19" s="15">
        <f>IFERROR((s_DL/(up_RadSpec!O19*s_EF_res*(1/365)*1*up_RadSpec!T19*((s_ET_res_o*(1/24)*up_RadSpec!Y19)+(s_ET_res_i*(1/24)*up_RadSpec!AD19))))*1,".")</f>
        <v>279.17679468481623</v>
      </c>
      <c r="S19" s="15">
        <f>IFERROR((s_DL/(up_RadSpec!P19*s_EF_res*(1/365)*1*up_RadSpec!U19*((s_ET_res_o*(1/24)*up_RadSpec!Z19)+(s_ET_res_i*(1/24)*up_RadSpec!AE19))))*1,".")</f>
        <v>233.16953316953311</v>
      </c>
      <c r="T19" s="15">
        <f>IFERROR((s_DL/(up_RadSpec!L19*s_EF_res*(1/365)*1*up_RadSpec!Q19*((s_ET_res_o*(1/24)*up_RadSpec!V19)+(s_ET_res_i*(1/24)*up_RadSpec!AA19))))*1,".")</f>
        <v>693.52375470284312</v>
      </c>
      <c r="U19" s="189">
        <f>IFERROR(P19*(0.0000000000028)*up_RadSpec!$AY19*up_RadSpec!$AF19,0)</f>
        <v>6.0550509024151832E-7</v>
      </c>
      <c r="V19" s="189">
        <f>IFERROR(Q19*(0.0000000000028)*up_RadSpec!$AY19*up_RadSpec!$AF19,0)</f>
        <v>1.2009609681099045E-6</v>
      </c>
      <c r="W19" s="189">
        <f>IFERROR(R19*(0.0000000000028)*up_RadSpec!$AY19*up_RadSpec!$AF19,0)</f>
        <v>8.3250520175012199E-7</v>
      </c>
      <c r="X19" s="189">
        <f>IFERROR(S19*(0.0000000000028)*up_RadSpec!$AY19*up_RadSpec!$AF19,0)</f>
        <v>6.9531154791154784E-7</v>
      </c>
      <c r="Y19" s="189">
        <f>IFERROR(T19*(0.0000000000028)*up_RadSpec!$AY19*up_RadSpec!$AF19,0)</f>
        <v>2.0680878365238781E-6</v>
      </c>
      <c r="Z19" s="40">
        <f>IFERROR((s_C*s_EF_res*(1/365)*1*up_RadSpec!R19*((s_ET_res_o*(1/24)*up_RadSpec!W19)+(s_ET_res_i*(1/24)*up_RadSpec!AB19))),".")</f>
        <v>2.4624070450097846E-2</v>
      </c>
      <c r="AA19" s="40">
        <f>IFERROR((s_C*s_EF_res*(1/365)*1*up_RadSpec!S19*((s_ET_res_o*(1/24)*up_RadSpec!X19)+(s_ET_res_i*(1/24)*up_RadSpec!AC19))),".")</f>
        <v>1.2415057937699378E-2</v>
      </c>
      <c r="AB19" s="40">
        <f>IFERROR((s_C*s_EF_res*(1/365)*1*up_RadSpec!T19*((s_ET_res_o*(1/24)*up_RadSpec!Y19)+(s_ET_res_i*(1/24)*up_RadSpec!AD19))),".")</f>
        <v>1.7909798003250512E-2</v>
      </c>
      <c r="AC19" s="40">
        <f>IFERROR((s_C*s_EF_res*(1/365)*1*up_RadSpec!U19*((s_ET_res_o*(1/24)*up_RadSpec!Z19)+(s_ET_res_i*(1/24)*up_RadSpec!AE19))),".")</f>
        <v>2.1443624868282409E-2</v>
      </c>
      <c r="AD19" s="40">
        <f>IFERROR((s_C*s_EF_res*(1/365)*1*up_RadSpec!Q19*((s_ET_res_o*(1/24)*up_RadSpec!V19)+(s_ET_res_i*(1/24)*up_RadSpec!AA19))),".")</f>
        <v>7.2095583836812773E-3</v>
      </c>
      <c r="AE19" s="15">
        <f>IFERROR((s_DL/(up_RadSpec!H19*s_IFA_res_adj)),".")</f>
        <v>9.9740259740259754E-3</v>
      </c>
      <c r="AF19" s="15">
        <f>IFERROR((s_DL/(up_RadSpec!K19*s_EF_res*(1/365)*1*s_ET_res*(1/24)*s_GSF_a)),".")</f>
        <v>63.709090909090911</v>
      </c>
      <c r="AG19" s="15">
        <f t="shared" si="13"/>
        <v>9.9724647271019675E-3</v>
      </c>
      <c r="AH19" s="189">
        <f>AG19*(0.0000000000000028)*up_RadSpec!$AY19*up_RadSpec!$AF19</f>
        <v>2.9737889816218068E-14</v>
      </c>
      <c r="AI19" s="40">
        <f t="shared" si="2"/>
        <v>501.30208333333326</v>
      </c>
      <c r="AJ19" s="40">
        <f t="shared" si="3"/>
        <v>7.8481735159817351E-2</v>
      </c>
      <c r="AK19" s="18"/>
      <c r="AL19" s="15">
        <f>IFERROR((s_DL/(up_RadSpec!I19*s_IFW_res_adj)),".")</f>
        <v>3.6363636363636364E-3</v>
      </c>
      <c r="AM19" s="15" t="str">
        <f>IFERROR(IF(AND(up_RadSpec!C19=1,up_RadSpec!D19&lt;&gt;0),(s_DL/(up_RadSpec!H19*s_IFA_res_adj*s_K*up_RadSpec!D19)),"."),".")</f>
        <v>.</v>
      </c>
      <c r="AN19" s="15">
        <f>IFERROR((s_DL/(up_RadSpec!M19*(1/8760)*s_DFA_res_adj)),".")</f>
        <v>39.81818181818182</v>
      </c>
      <c r="AO19" s="15">
        <f>up_b2w!C19</f>
        <v>1.6443412786038033E-4</v>
      </c>
      <c r="AP19" s="15">
        <f t="shared" si="14"/>
        <v>1.5731958335636468E-4</v>
      </c>
      <c r="AQ19" s="189">
        <f>AP19*(0.0000000000000028)*up_RadSpec!$AY19*up_RadSpec!$AF19</f>
        <v>4.6912699756867945E-16</v>
      </c>
      <c r="AR19" s="40">
        <f t="shared" si="4"/>
        <v>1375</v>
      </c>
      <c r="AS19" s="40">
        <f>IF(up_RadSpec!D19&lt;&gt;"",s_C*s_IFA_res_adj*s_K*up_RadSpec!D19,0)</f>
        <v>0</v>
      </c>
      <c r="AT19" s="40">
        <f t="shared" si="5"/>
        <v>0.12557077625570776</v>
      </c>
      <c r="AU19" s="40">
        <f>up_b2w!AC19</f>
        <v>30407.313038114935</v>
      </c>
      <c r="AV19" s="18"/>
      <c r="AW19" s="15">
        <f>IFERROR(s_DL/(up_RadSpec!F19*s_EF_res*1*s_IRF_res*0.001*s_CF_res_fish),".")</f>
        <v>6.6115702479338848E-4</v>
      </c>
      <c r="AX19" s="189">
        <f>IFERROR(AW19*(0.0000000000028)*up_RadSpec!$AY19*up_RadSpec!$AF19,0)</f>
        <v>1.9715702479338846E-12</v>
      </c>
      <c r="AY19" s="40">
        <f t="shared" si="6"/>
        <v>7562.5</v>
      </c>
    </row>
    <row r="20" spans="1:51" x14ac:dyDescent="0.25">
      <c r="A20" s="44" t="s">
        <v>18</v>
      </c>
      <c r="B20" s="42" t="s">
        <v>1057</v>
      </c>
      <c r="C20" s="238"/>
      <c r="D20" s="15">
        <f>IFERROR(((s_DL/(up_RadSpec!E20*s_IFS_res_adj*(1/1000)))*1),".")</f>
        <v>0.33057851239669422</v>
      </c>
      <c r="E20" s="15">
        <f>IFERROR(IF(A20="H-3",(s_DL/((up_RadSpec!H20*s_IFA_res_adj*(1/17)*1000))*1),(s_DL/((up_RadSpec!H20*s_IFA_res_adj*(1/s_PEF_wind)*1000))*1)),".")</f>
        <v>3089.9917851942919</v>
      </c>
      <c r="F20" s="15">
        <f>IFERROR((s_DL/(up_RadSpec!G20*s_EF_res*(1/365)*1*up_RadSpec!R20*((s_ET_res_o*(1/24)*up_RadSpec!W20)+(s_ET_res_i*(1/24)*up_RadSpec!AB20))))*1,".")</f>
        <v>199.66339756976558</v>
      </c>
      <c r="G20" s="15">
        <f>up_b2s!C20</f>
        <v>3.2968835384132272E-5</v>
      </c>
      <c r="H20" s="15">
        <f>up_dir!C20</f>
        <v>1.6528925619834712E-4</v>
      </c>
      <c r="I20" s="15">
        <f t="shared" si="11"/>
        <v>3.2965541911603787E-5</v>
      </c>
      <c r="J20" s="189">
        <f>IFERROR(I20*(0.0000000000028)*up_RadSpec!$AY20*up_RadSpec!$AF20,0)</f>
        <v>9.8764763567164959E-14</v>
      </c>
      <c r="K20" s="40">
        <f t="shared" si="0"/>
        <v>15.125</v>
      </c>
      <c r="L20" s="40">
        <f t="shared" si="1"/>
        <v>1.6181272791589674E-3</v>
      </c>
      <c r="M20" s="40">
        <f>IFERROR((s_C*s_EF_res*(1/365)*1*up_RadSpec!R20*((s_ET_res_o*(1/24)*up_RadSpec!W20)+(s_ET_res_i*(1/24)*up_RadSpec!AB20))),".")</f>
        <v>2.5042146236407301E-2</v>
      </c>
      <c r="N20" s="40">
        <f>up_b2s!AC20</f>
        <v>151658.375</v>
      </c>
      <c r="O20" s="18"/>
      <c r="P20" s="15">
        <f>IFERROR((s_DL/(up_RadSpec!G20*s_EF_res*(1/365)*1*up_RadSpec!R20*((s_ET_res_o*(1/24)*up_RadSpec!W20)+(s_ET_res_i*(1/24)*up_RadSpec!AB20))))*1,".")</f>
        <v>199.66339756976558</v>
      </c>
      <c r="Q20" s="15">
        <f>IFERROR((s_DL/(up_RadSpec!N20*s_EF_res*(1/365)*1*up_RadSpec!S20*((s_ET_res_o*(1/24)*up_RadSpec!X20)+(s_ET_res_i*(1/24)*up_RadSpec!AC20))))*1,".")</f>
        <v>393.75513007353811</v>
      </c>
      <c r="R20" s="15">
        <f>IFERROR((s_DL/(up_RadSpec!O20*s_EF_res*(1/365)*1*up_RadSpec!T20*((s_ET_res_o*(1/24)*up_RadSpec!Y20)+(s_ET_res_i*(1/24)*up_RadSpec!AD20))))*1,".")</f>
        <v>275.50227550227555</v>
      </c>
      <c r="S20" s="15">
        <f>IFERROR((s_DL/(up_RadSpec!P20*s_EF_res*(1/365)*1*up_RadSpec!U20*((s_ET_res_o*(1/24)*up_RadSpec!Z20)+(s_ET_res_i*(1/24)*up_RadSpec!AE20))))*1,".")</f>
        <v>231.33293721529026</v>
      </c>
      <c r="T20" s="15">
        <f>IFERROR((s_DL/(up_RadSpec!L20*s_EF_res*(1/365)*1*up_RadSpec!Q20*((s_ET_res_o*(1/24)*up_RadSpec!V20)+(s_ET_res_i*(1/24)*up_RadSpec!AA20))))*1,".")</f>
        <v>670.94367094367112</v>
      </c>
      <c r="U20" s="189">
        <f>IFERROR(P20*(0.0000000000028)*up_RadSpec!$AY20*up_RadSpec!$AF20,0)</f>
        <v>5.9819153911901772E-7</v>
      </c>
      <c r="V20" s="189">
        <f>IFERROR(Q20*(0.0000000000028)*up_RadSpec!$AY20*up_RadSpec!$AF20,0)</f>
        <v>1.1796903697003203E-6</v>
      </c>
      <c r="W20" s="189">
        <f>IFERROR(R20*(0.0000000000028)*up_RadSpec!$AY20*up_RadSpec!$AF20,0)</f>
        <v>8.2540481740481766E-7</v>
      </c>
      <c r="X20" s="189">
        <f>IFERROR(S20*(0.0000000000028)*up_RadSpec!$AY20*up_RadSpec!$AF20,0)</f>
        <v>6.930734798970096E-7</v>
      </c>
      <c r="Y20" s="189">
        <f>IFERROR(T20*(0.0000000000028)*up_RadSpec!$AY20*up_RadSpec!$AF20,0)</f>
        <v>2.010147238147239E-6</v>
      </c>
      <c r="Z20" s="40">
        <f>IFERROR((s_C*s_EF_res*(1/365)*1*up_RadSpec!R20*((s_ET_res_o*(1/24)*up_RadSpec!W20)+(s_ET_res_i*(1/24)*up_RadSpec!AB20))),".")</f>
        <v>2.5042146236407301E-2</v>
      </c>
      <c r="AA20" s="40">
        <f>IFERROR((s_C*s_EF_res*(1/365)*1*up_RadSpec!S20*((s_ET_res_o*(1/24)*up_RadSpec!X20)+(s_ET_res_i*(1/24)*up_RadSpec!AC20))),".")</f>
        <v>1.2698247256019738E-2</v>
      </c>
      <c r="AB20" s="40">
        <f>IFERROR((s_C*s_EF_res*(1/365)*1*up_RadSpec!T20*((s_ET_res_o*(1/24)*up_RadSpec!Y20)+(s_ET_res_i*(1/24)*up_RadSpec!AD20))),".")</f>
        <v>1.8148670427074937E-2</v>
      </c>
      <c r="AC20" s="40">
        <f>IFERROR((s_C*s_EF_res*(1/365)*1*up_RadSpec!U20*((s_ET_res_o*(1/24)*up_RadSpec!Z20)+(s_ET_res_i*(1/24)*up_RadSpec!AE20))),".")</f>
        <v>2.1613869863013689E-2</v>
      </c>
      <c r="AD20" s="40">
        <f>IFERROR((s_C*s_EF_res*(1/365)*1*up_RadSpec!Q20*((s_ET_res_o*(1/24)*up_RadSpec!V20)+(s_ET_res_i*(1/24)*up_RadSpec!AA20))),".")</f>
        <v>7.452190424521902E-3</v>
      </c>
      <c r="AE20" s="15">
        <f>IFERROR((s_DL/(up_RadSpec!H20*s_IFA_res_adj)),".")</f>
        <v>9.9740259740259754E-3</v>
      </c>
      <c r="AF20" s="15">
        <f>IFERROR((s_DL/(up_RadSpec!K20*s_EF_res*(1/365)*1*s_ET_res*(1/24)*s_GSF_a)),".")</f>
        <v>63.709090909090911</v>
      </c>
      <c r="AG20" s="15">
        <f t="shared" si="13"/>
        <v>9.9724647271019675E-3</v>
      </c>
      <c r="AH20" s="189">
        <f>AG20*(0.0000000000000028)*up_RadSpec!$AY20*up_RadSpec!$AF20</f>
        <v>2.9877504322397496E-14</v>
      </c>
      <c r="AI20" s="40">
        <f t="shared" si="2"/>
        <v>501.30208333333326</v>
      </c>
      <c r="AJ20" s="40">
        <f t="shared" si="3"/>
        <v>7.8481735159817351E-2</v>
      </c>
      <c r="AK20" s="18"/>
      <c r="AL20" s="15">
        <f>IFERROR((s_DL/(up_RadSpec!I20*s_IFW_res_adj)),".")</f>
        <v>3.6363636363636364E-3</v>
      </c>
      <c r="AM20" s="15">
        <f>IFERROR(IF(AND(up_RadSpec!C20=1,up_RadSpec!D20&lt;&gt;0),(s_DL/(up_RadSpec!H20*s_IFA_res_adj*s_K*up_RadSpec!D20)),"."),".")</f>
        <v>0.39187253504904385</v>
      </c>
      <c r="AN20" s="15">
        <f>IFERROR((s_DL/(up_RadSpec!M20*(1/8760)*s_DFA_res_adj)),".")</f>
        <v>39.81818181818182</v>
      </c>
      <c r="AO20" s="15">
        <f>up_b2w!C20</f>
        <v>1.6443412786038033E-4</v>
      </c>
      <c r="AP20" s="15">
        <f t="shared" si="14"/>
        <v>1.5725645180907316E-4</v>
      </c>
      <c r="AQ20" s="189">
        <f>AP20*(0.0000000000000028)*up_RadSpec!$AY20*up_RadSpec!$AF20</f>
        <v>4.7114032961998326E-16</v>
      </c>
      <c r="AR20" s="40">
        <f t="shared" si="4"/>
        <v>1375</v>
      </c>
      <c r="AS20" s="40">
        <f>IF(up_RadSpec!D20&lt;&gt;"",s_C*s_IFA_res_adj*s_K*up_RadSpec!D20,0)</f>
        <v>12.759250911458333</v>
      </c>
      <c r="AT20" s="40">
        <f t="shared" si="5"/>
        <v>0.12557077625570776</v>
      </c>
      <c r="AU20" s="40">
        <f>up_b2w!AC20</f>
        <v>30407.313038114935</v>
      </c>
      <c r="AV20" s="18"/>
      <c r="AW20" s="15">
        <f>IFERROR(s_DL/(up_RadSpec!F20*s_EF_res*1*s_IRF_res*0.001*s_CF_res_fish),".")</f>
        <v>6.6115702479338848E-4</v>
      </c>
      <c r="AX20" s="189">
        <f>IFERROR(AW20*(0.0000000000028)*up_RadSpec!$AY20*up_RadSpec!$AF20,0)</f>
        <v>1.9808264462809916E-12</v>
      </c>
      <c r="AY20" s="40">
        <f t="shared" si="6"/>
        <v>7562.5</v>
      </c>
    </row>
    <row r="21" spans="1:51" x14ac:dyDescent="0.25">
      <c r="A21" s="44" t="s">
        <v>19</v>
      </c>
      <c r="B21" s="42" t="s">
        <v>1057</v>
      </c>
      <c r="C21" s="238"/>
      <c r="D21" s="15">
        <f>IFERROR(((s_DL/(up_RadSpec!E21*s_IFS_res_adj*(1/1000)))*1),".")</f>
        <v>0.33057851239669422</v>
      </c>
      <c r="E21" s="15">
        <f>IFERROR(IF(A21="H-3",(s_DL/((up_RadSpec!H21*s_IFA_res_adj*(1/17)*1000))*1),(s_DL/((up_RadSpec!H21*s_IFA_res_adj*(1/s_PEF_wind)*1000))*1)),".")</f>
        <v>3089.9917851942919</v>
      </c>
      <c r="F21" s="15" t="str">
        <f>IFERROR((s_DL/(up_RadSpec!G21*s_EF_res*(1/365)*1*up_RadSpec!R21*((s_ET_res_o*(1/24)*up_RadSpec!W21)+(s_ET_res_i*(1/24)*up_RadSpec!AB21))))*1,".")</f>
        <v>.</v>
      </c>
      <c r="G21" s="15">
        <f>up_b2s!C21</f>
        <v>3.2968835384132272E-5</v>
      </c>
      <c r="H21" s="15">
        <f>up_dir!C21</f>
        <v>1.6528925619834712E-4</v>
      </c>
      <c r="I21" s="15">
        <f t="shared" si="11"/>
        <v>3.2965547354399747E-5</v>
      </c>
      <c r="J21" s="189">
        <f>IFERROR(I21*(0.0000000000028)*up_RadSpec!$AY21*up_RadSpec!$AF21,0)</f>
        <v>1.0061085052562804E-13</v>
      </c>
      <c r="K21" s="40">
        <f t="shared" si="0"/>
        <v>15.125</v>
      </c>
      <c r="L21" s="40">
        <f t="shared" si="1"/>
        <v>1.6181272791589674E-3</v>
      </c>
      <c r="M21" s="40">
        <f>IFERROR((s_C*s_EF_res*(1/365)*1*up_RadSpec!R21*((s_ET_res_o*(1/24)*up_RadSpec!W21)+(s_ET_res_i*(1/24)*up_RadSpec!AB21))),".")</f>
        <v>0</v>
      </c>
      <c r="N21" s="40">
        <f>up_b2s!AC21</f>
        <v>151658.375</v>
      </c>
      <c r="O21" s="18"/>
      <c r="P21" s="15" t="str">
        <f>IFERROR((s_DL/(up_RadSpec!G21*s_EF_res*(1/365)*1*up_RadSpec!R21*((s_ET_res_o*(1/24)*up_RadSpec!W21)+(s_ET_res_i*(1/24)*up_RadSpec!AB21))))*1,".")</f>
        <v>.</v>
      </c>
      <c r="Q21" s="15" t="str">
        <f>IFERROR((s_DL/(up_RadSpec!N21*s_EF_res*(1/365)*1*up_RadSpec!S21*((s_ET_res_o*(1/24)*up_RadSpec!X21)+(s_ET_res_i*(1/24)*up_RadSpec!AC21))))*1,".")</f>
        <v>.</v>
      </c>
      <c r="R21" s="15" t="str">
        <f>IFERROR((s_DL/(up_RadSpec!O21*s_EF_res*(1/365)*1*up_RadSpec!T21*((s_ET_res_o*(1/24)*up_RadSpec!Y21)+(s_ET_res_i*(1/24)*up_RadSpec!AD21))))*1,".")</f>
        <v>.</v>
      </c>
      <c r="S21" s="15" t="str">
        <f>IFERROR((s_DL/(up_RadSpec!P21*s_EF_res*(1/365)*1*up_RadSpec!U21*((s_ET_res_o*(1/24)*up_RadSpec!Z21)+(s_ET_res_i*(1/24)*up_RadSpec!AE21))))*1,".")</f>
        <v>.</v>
      </c>
      <c r="T21" s="15" t="str">
        <f>IFERROR((s_DL/(up_RadSpec!L21*s_EF_res*(1/365)*1*up_RadSpec!Q21*((s_ET_res_o*(1/24)*up_RadSpec!V21)+(s_ET_res_i*(1/24)*up_RadSpec!AA21))))*1,".")</f>
        <v>.</v>
      </c>
      <c r="U21" s="189">
        <f>IFERROR(P21*(0.0000000000028)*up_RadSpec!$AY21*up_RadSpec!$AF21,0)</f>
        <v>0</v>
      </c>
      <c r="V21" s="189">
        <f>IFERROR(Q21*(0.0000000000028)*up_RadSpec!$AY21*up_RadSpec!$AF21,0)</f>
        <v>0</v>
      </c>
      <c r="W21" s="189">
        <f>IFERROR(R21*(0.0000000000028)*up_RadSpec!$AY21*up_RadSpec!$AF21,0)</f>
        <v>0</v>
      </c>
      <c r="X21" s="189">
        <f>IFERROR(S21*(0.0000000000028)*up_RadSpec!$AY21*up_RadSpec!$AF21,0)</f>
        <v>0</v>
      </c>
      <c r="Y21" s="189">
        <f>IFERROR(T21*(0.0000000000028)*up_RadSpec!$AY21*up_RadSpec!$AF21,0)</f>
        <v>0</v>
      </c>
      <c r="Z21" s="40">
        <f>IFERROR((s_C*s_EF_res*(1/365)*1*up_RadSpec!R21*((s_ET_res_o*(1/24)*up_RadSpec!W21)+(s_ET_res_i*(1/24)*up_RadSpec!AB21))),".")</f>
        <v>0</v>
      </c>
      <c r="AA21" s="40">
        <f>IFERROR((s_C*s_EF_res*(1/365)*1*up_RadSpec!S21*((s_ET_res_o*(1/24)*up_RadSpec!X21)+(s_ET_res_i*(1/24)*up_RadSpec!AC21))),".")</f>
        <v>0</v>
      </c>
      <c r="AB21" s="40">
        <f>IFERROR((s_C*s_EF_res*(1/365)*1*up_RadSpec!T21*((s_ET_res_o*(1/24)*up_RadSpec!Y21)+(s_ET_res_i*(1/24)*up_RadSpec!AD21))),".")</f>
        <v>0</v>
      </c>
      <c r="AC21" s="40">
        <f>IFERROR((s_C*s_EF_res*(1/365)*1*up_RadSpec!U21*((s_ET_res_o*(1/24)*up_RadSpec!Z21)+(s_ET_res_i*(1/24)*up_RadSpec!AE21))),".")</f>
        <v>0</v>
      </c>
      <c r="AD21" s="40">
        <f>IFERROR((s_C*s_EF_res*(1/365)*1*up_RadSpec!Q21*((s_ET_res_o*(1/24)*up_RadSpec!V21)+(s_ET_res_i*(1/24)*up_RadSpec!AA21))),".")</f>
        <v>0</v>
      </c>
      <c r="AE21" s="15">
        <f>IFERROR((s_DL/(up_RadSpec!H21*s_IFA_res_adj)),".")</f>
        <v>9.9740259740259754E-3</v>
      </c>
      <c r="AF21" s="15">
        <f>IFERROR((s_DL/(up_RadSpec!K21*s_EF_res*(1/365)*1*s_ET_res*(1/24)*s_GSF_a)),".")</f>
        <v>63.709090909090911</v>
      </c>
      <c r="AG21" s="15">
        <f>IFERROR(IF(AND(AE21&lt;&gt;".",AF21&lt;&gt;"."),1/((1/AE21)+(1/AF21)),IF(AND(AE21&lt;&gt;".",AF21="."),1/((1/AE21)),IF(AND(AE21=".",AF21&lt;&gt;"."),1/((1/AF21)),IF(AND(AE21=".",AF21="."),".")))),".")</f>
        <v>9.9724647271019675E-3</v>
      </c>
      <c r="AH21" s="189">
        <f>AG21*(0.0000000000000028)*up_RadSpec!$AY21*up_RadSpec!$AF21</f>
        <v>3.0435962347115209E-14</v>
      </c>
      <c r="AI21" s="40">
        <f t="shared" si="2"/>
        <v>501.30208333333326</v>
      </c>
      <c r="AJ21" s="40">
        <f t="shared" si="3"/>
        <v>7.8481735159817351E-2</v>
      </c>
      <c r="AK21" s="18"/>
      <c r="AL21" s="15">
        <f>IFERROR((s_DL/(up_RadSpec!I21*s_IFW_res_adj)),".")</f>
        <v>3.6363636363636364E-3</v>
      </c>
      <c r="AM21" s="15">
        <f>IFERROR(IF(AND(up_RadSpec!C21=1,up_RadSpec!D21&lt;&gt;0),(s_DL/(up_RadSpec!H21*s_IFA_res_adj*s_K*up_RadSpec!D21)),"."),".")</f>
        <v>2.738261548962679E-2</v>
      </c>
      <c r="AN21" s="15">
        <f>IFERROR((s_DL/(up_RadSpec!M21*(1/8760)*s_DFA_res_adj)),".")</f>
        <v>39.81818181818182</v>
      </c>
      <c r="AO21" s="15">
        <f>up_b2w!C21</f>
        <v>1.6443412786038033E-4</v>
      </c>
      <c r="AP21" s="15">
        <f>(IF(AND(AL21&lt;&gt;".",AM21&lt;&gt;".",AN21&lt;&gt;".",AO21&lt;&gt;"."),1/((1/AL21)+(1/AM21)+(1/AN21)+(1/AO21)),IF(AND(AL21&lt;&gt;".",AM21&lt;&gt;".",AN21&lt;&gt;".",AO21="."), 1/((1/AL21)+(1/AM21)+(1/AN21)),IF(AND(AL21&lt;&gt;".",AM21&lt;&gt;".",AN21=".",AO21&lt;&gt;"."),1/((1/AL21)+(1/AM21)+(1/AO21)),IF(AND(AL21&lt;&gt;".",AM21=".",AN21&lt;&gt;".",AO21&lt;&gt;"."),1/((1/AL21)+(1/AN21)+(1/AO21)),IF(AND(AL21=".",AM21&lt;&gt;".",AN21&lt;&gt;".",AO21&lt;&gt;"."),1/((1/AM21)+(1/AN21)+(1/AO21)),IF(AND(AL21&lt;&gt;".",AM21&lt;&gt;".",AN21=".",AO21="."),1/((1/AL21)+(1/AM21)),IF(AND(AL21&lt;&gt;".",AM21=".",AN21&lt;&gt;".",AO21="."),1/((1/AL21)+(1/AN21)),IF(AND(AL21&lt;&gt;".",AM21=".",AN21=".",AO21&lt;&gt;"."),1/((1/AL21)+(1/AO21)),IF(AND(AL21=".",AM21=".",AN21&lt;&gt;".",AO21&lt;&gt;"."),1/((1/AN21)+(1/AO21)),IF(AND(AL21=".",AM21&lt;&gt;".",AN21=".",AO21&lt;&gt;"."),1/((1/AM21)+(1/AO21)),IF(AND(AL21=".",AM21&lt;&gt;".",AN21&lt;&gt;".",AO21="."),1/((1/AM21)+(1/AN21)),IF(AND(AL21&lt;&gt;".",AM21=".",AN21=".",AO21="."),1/((1/AL21)),IF(AND(AL21=".",AM21&lt;&gt;".",AN21=".",AO21="."),1/((1/AM21)),IF(AND(AL21=".",AM21=".",AN21&lt;&gt;".",AO21="."),1/((1/AN21)),IF(AND(AL21=".",AM21=".",AN21=".",AO21&lt;&gt;"."),1/((1/AO21)),IF(AND(AL21=".",AM21=".",AN21=".",AO21="."),".")))))))))))))))))</f>
        <v>1.5642090835071081E-4</v>
      </c>
      <c r="AQ21" s="189">
        <f>AP21*(0.0000000000000028)*up_RadSpec!$AY21*up_RadSpec!$AF21</f>
        <v>4.7739661228636941E-16</v>
      </c>
      <c r="AR21" s="40">
        <f t="shared" si="4"/>
        <v>1375</v>
      </c>
      <c r="AS21" s="40">
        <f>IF(up_RadSpec!D21&lt;&gt;"",s_C*s_IFA_res_adj*s_K*up_RadSpec!D21,0)</f>
        <v>182.59760474283851</v>
      </c>
      <c r="AT21" s="40">
        <f t="shared" si="5"/>
        <v>0.12557077625570776</v>
      </c>
      <c r="AU21" s="40">
        <f>up_b2w!AC21</f>
        <v>30407.313038114935</v>
      </c>
      <c r="AV21" s="18"/>
      <c r="AW21" s="15">
        <f>IFERROR(s_DL/(up_RadSpec!F21*s_EF_res*1*s_IRF_res*0.001*s_CF_res_fish),".")</f>
        <v>6.6115702479338848E-4</v>
      </c>
      <c r="AX21" s="189">
        <f>IFERROR(AW21*(0.0000000000028)*up_RadSpec!$AY21*up_RadSpec!$AF21,0)</f>
        <v>2.0178512396694215E-12</v>
      </c>
      <c r="AY21" s="40">
        <f t="shared" si="6"/>
        <v>7562.5</v>
      </c>
    </row>
    <row r="22" spans="1:51" x14ac:dyDescent="0.25">
      <c r="A22" s="44" t="s">
        <v>20</v>
      </c>
      <c r="B22" s="42" t="s">
        <v>1057</v>
      </c>
      <c r="C22" s="42"/>
      <c r="D22" s="15">
        <f>IFERROR(((s_DL/(up_RadSpec!E22*s_IFS_res_adj*(1/1000)))*1),".")</f>
        <v>0.33057851239669422</v>
      </c>
      <c r="E22" s="15">
        <f>IFERROR(IF(A22="H-3",(s_DL/((up_RadSpec!H22*s_IFA_res_adj*(1/17)*1000))*1),(s_DL/((up_RadSpec!H22*s_IFA_res_adj*(1/s_PEF_wind)*1000))*1)),".")</f>
        <v>3089.9917851942919</v>
      </c>
      <c r="F22" s="15">
        <f>IFERROR((s_DL/(up_RadSpec!G22*s_EF_res*(1/365)*1*up_RadSpec!R22*((s_ET_res_o*(1/24)*up_RadSpec!W22)+(s_ET_res_i*(1/24)*up_RadSpec!AB22))))*1,".")</f>
        <v>849169110.45943344</v>
      </c>
      <c r="G22" s="15">
        <f>up_b2s!C22</f>
        <v>3.2968835384132272E-5</v>
      </c>
      <c r="H22" s="15">
        <f>up_dir!C22</f>
        <v>1.6528925619834712E-4</v>
      </c>
      <c r="I22" s="15">
        <f t="shared" si="11"/>
        <v>3.2965547354398467E-5</v>
      </c>
      <c r="J22" s="189">
        <f>IFERROR(I22*(0.0000000000028)*up_RadSpec!$AY22*up_RadSpec!$AF22,0)</f>
        <v>1.0384147416635518E-13</v>
      </c>
      <c r="K22" s="40">
        <f t="shared" si="0"/>
        <v>15.125</v>
      </c>
      <c r="L22" s="40">
        <f t="shared" si="1"/>
        <v>1.6181272791589674E-3</v>
      </c>
      <c r="M22" s="40">
        <f>IFERROR((s_C*s_EF_res*(1/365)*1*up_RadSpec!R22*((s_ET_res_o*(1/24)*up_RadSpec!W22)+(s_ET_res_i*(1/24)*up_RadSpec!AB22))),".")</f>
        <v>5.8881086681247815E-9</v>
      </c>
      <c r="N22" s="40">
        <f>up_b2s!AC22</f>
        <v>151658.375</v>
      </c>
      <c r="O22" s="18"/>
      <c r="P22" s="15">
        <f>IFERROR((s_DL/(up_RadSpec!G22*s_EF_res*(1/365)*1*up_RadSpec!R22*((s_ET_res_o*(1/24)*up_RadSpec!W22)+(s_ET_res_i*(1/24)*up_RadSpec!AB22))))*1,".")</f>
        <v>849169110.45943344</v>
      </c>
      <c r="Q22" s="15">
        <f>IFERROR((s_DL/(up_RadSpec!N22*s_EF_res*(1/365)*1*up_RadSpec!S22*((s_ET_res_o*(1/24)*up_RadSpec!X22)+(s_ET_res_i*(1/24)*up_RadSpec!AC22))))*1,".")</f>
        <v>778111286.12044013</v>
      </c>
      <c r="R22" s="15">
        <f>IFERROR((s_DL/(up_RadSpec!O22*s_EF_res*(1/365)*1*up_RadSpec!T22*((s_ET_res_o*(1/24)*up_RadSpec!Y22)+(s_ET_res_i*(1/24)*up_RadSpec!AD22))))*1,".")</f>
        <v>597797819.95241511</v>
      </c>
      <c r="S22" s="15">
        <f>IFERROR((s_DL/(up_RadSpec!P22*s_EF_res*(1/365)*1*up_RadSpec!U22*((s_ET_res_o*(1/24)*up_RadSpec!Z22)+(s_ET_res_i*(1/24)*up_RadSpec!AE22))))*1,".")</f>
        <v>616014309.76430941</v>
      </c>
      <c r="T22" s="15">
        <f>IFERROR((s_DL/(up_RadSpec!L22*s_EF_res*(1/365)*1*up_RadSpec!Q22*((s_ET_res_o*(1/24)*up_RadSpec!V22)+(s_ET_res_i*(1/24)*up_RadSpec!AA22))))*1,".")</f>
        <v>4371048166.3075275</v>
      </c>
      <c r="U22" s="189">
        <f>IFERROR(P22*(0.0000000000028)*up_RadSpec!$AY22*up_RadSpec!$AF22,0)</f>
        <v>2.6748826979472149</v>
      </c>
      <c r="V22" s="189">
        <f>IFERROR(Q22*(0.0000000000028)*up_RadSpec!$AY22*up_RadSpec!$AF22,0)</f>
        <v>2.4510505512793861</v>
      </c>
      <c r="W22" s="189">
        <f>IFERROR(R22*(0.0000000000028)*up_RadSpec!$AY22*up_RadSpec!$AF22,0)</f>
        <v>1.883063132850108</v>
      </c>
      <c r="X22" s="189">
        <f>IFERROR(S22*(0.0000000000028)*up_RadSpec!$AY22*up_RadSpec!$AF22,0)</f>
        <v>1.9404450757575749</v>
      </c>
      <c r="Y22" s="189">
        <f>IFERROR(T22*(0.0000000000028)*up_RadSpec!$AY22*up_RadSpec!$AF22,0)</f>
        <v>13.768801723868712</v>
      </c>
      <c r="Z22" s="40">
        <f>IFERROR((s_C*s_EF_res*(1/365)*1*up_RadSpec!R22*((s_ET_res_o*(1/24)*up_RadSpec!W22)+(s_ET_res_i*(1/24)*up_RadSpec!AB22))),".")</f>
        <v>5.8881086681247815E-9</v>
      </c>
      <c r="AA22" s="40">
        <f>IFERROR((s_C*s_EF_res*(1/365)*1*up_RadSpec!S22*((s_ET_res_o*(1/24)*up_RadSpec!X22)+(s_ET_res_i*(1/24)*up_RadSpec!AC22))),".")</f>
        <v>6.4258160615165197E-9</v>
      </c>
      <c r="AB22" s="40">
        <f>IFERROR((s_C*s_EF_res*(1/365)*1*up_RadSpec!T22*((s_ET_res_o*(1/24)*up_RadSpec!Y22)+(s_ET_res_i*(1/24)*up_RadSpec!AD22))),".")</f>
        <v>8.3640318400592386E-9</v>
      </c>
      <c r="AC22" s="40">
        <f>IFERROR((s_C*s_EF_res*(1/365)*1*up_RadSpec!U22*((s_ET_res_o*(1/24)*up_RadSpec!Z22)+(s_ET_res_i*(1/24)*up_RadSpec!AE22))),".")</f>
        <v>8.1166945649574738E-9</v>
      </c>
      <c r="AD22" s="40">
        <f>IFERROR((s_C*s_EF_res*(1/365)*1*up_RadSpec!Q22*((s_ET_res_o*(1/24)*up_RadSpec!V22)+(s_ET_res_i*(1/24)*up_RadSpec!AA22))),".")</f>
        <v>1.1438903919065673E-9</v>
      </c>
      <c r="AE22" s="15">
        <f>IFERROR((s_DL/(up_RadSpec!H22*s_IFA_res_adj)),".")</f>
        <v>9.9740259740259754E-3</v>
      </c>
      <c r="AF22" s="15">
        <f>IFERROR((s_DL/(up_RadSpec!K22*s_EF_res*(1/365)*1*s_ET_res*(1/24)*s_GSF_a)),".")</f>
        <v>63.709090909090911</v>
      </c>
      <c r="AG22" s="15">
        <f t="shared" ref="AG22:AG24" si="15">IFERROR(IF(AND(AE22&lt;&gt;".",AF22&lt;&gt;"."),1/((1/AE22)+(1/AF22)),IF(AND(AE22&lt;&gt;".",AF22="."),1/((1/AE22)),IF(AND(AE22=".",AF22&lt;&gt;"."),1/((1/AF22)),IF(AND(AE22=".",AF22="."),".")))),".")</f>
        <v>9.9724647271019675E-3</v>
      </c>
      <c r="AH22" s="189">
        <f>AG22*(0.0000000000000028)*up_RadSpec!$AY22*up_RadSpec!$AF22</f>
        <v>3.14132638903712E-14</v>
      </c>
      <c r="AI22" s="40">
        <f t="shared" si="2"/>
        <v>501.30208333333326</v>
      </c>
      <c r="AJ22" s="40">
        <f t="shared" si="3"/>
        <v>7.8481735159817351E-2</v>
      </c>
      <c r="AK22" s="18"/>
      <c r="AL22" s="15">
        <f>IFERROR((s_DL/(up_RadSpec!I22*s_IFW_res_adj)),".")</f>
        <v>3.6363636363636364E-3</v>
      </c>
      <c r="AM22" s="15" t="str">
        <f>IFERROR(IF(AND(up_RadSpec!C22=1,up_RadSpec!D22&lt;&gt;0),(s_DL/(up_RadSpec!H22*s_IFA_res_adj*s_K*up_RadSpec!D22)),"."),".")</f>
        <v>.</v>
      </c>
      <c r="AN22" s="15">
        <f>IFERROR((s_DL/(up_RadSpec!M22*(1/8760)*s_DFA_res_adj)),".")</f>
        <v>39.81818181818182</v>
      </c>
      <c r="AO22" s="15">
        <f>up_b2w!C22</f>
        <v>1.6443412786038033E-4</v>
      </c>
      <c r="AP22" s="15">
        <f t="shared" ref="AP22:AP24" si="16">(IF(AND(AL22&lt;&gt;".",AM22&lt;&gt;".",AN22&lt;&gt;".",AO22&lt;&gt;"."),1/((1/AL22)+(1/AM22)+(1/AN22)+(1/AO22)),IF(AND(AL22&lt;&gt;".",AM22&lt;&gt;".",AN22&lt;&gt;".",AO22="."), 1/((1/AL22)+(1/AM22)+(1/AN22)),IF(AND(AL22&lt;&gt;".",AM22&lt;&gt;".",AN22=".",AO22&lt;&gt;"."),1/((1/AL22)+(1/AM22)+(1/AO22)),IF(AND(AL22&lt;&gt;".",AM22=".",AN22&lt;&gt;".",AO22&lt;&gt;"."),1/((1/AL22)+(1/AN22)+(1/AO22)),IF(AND(AL22=".",AM22&lt;&gt;".",AN22&lt;&gt;".",AO22&lt;&gt;"."),1/((1/AM22)+(1/AN22)+(1/AO22)),IF(AND(AL22&lt;&gt;".",AM22&lt;&gt;".",AN22=".",AO22="."),1/((1/AL22)+(1/AM22)),IF(AND(AL22&lt;&gt;".",AM22=".",AN22&lt;&gt;".",AO22="."),1/((1/AL22)+(1/AN22)),IF(AND(AL22&lt;&gt;".",AM22=".",AN22=".",AO22&lt;&gt;"."),1/((1/AL22)+(1/AO22)),IF(AND(AL22=".",AM22=".",AN22&lt;&gt;".",AO22&lt;&gt;"."),1/((1/AN22)+(1/AO22)),IF(AND(AL22=".",AM22&lt;&gt;".",AN22=".",AO22&lt;&gt;"."),1/((1/AM22)+(1/AO22)),IF(AND(AL22=".",AM22&lt;&gt;".",AN22&lt;&gt;".",AO22="."),1/((1/AM22)+(1/AN22)),IF(AND(AL22&lt;&gt;".",AM22=".",AN22=".",AO22="."),1/((1/AL22)),IF(AND(AL22=".",AM22&lt;&gt;".",AN22=".",AO22="."),1/((1/AM22)),IF(AND(AL22=".",AM22=".",AN22&lt;&gt;".",AO22="."),1/((1/AN22)),IF(AND(AL22=".",AM22=".",AN22=".",AO22&lt;&gt;"."),1/((1/AO22)),IF(AND(AL22=".",AM22=".",AN22=".",AO22="."),".")))))))))))))))))</f>
        <v>1.5731958335636468E-4</v>
      </c>
      <c r="AQ22" s="189">
        <f>AP22*(0.0000000000000028)*up_RadSpec!$AY22*up_RadSpec!$AF22</f>
        <v>4.9555668757254879E-16</v>
      </c>
      <c r="AR22" s="40">
        <f t="shared" si="4"/>
        <v>1375</v>
      </c>
      <c r="AS22" s="40">
        <f>IF(up_RadSpec!D22&lt;&gt;"",s_C*s_IFA_res_adj*s_K*up_RadSpec!D22,0)</f>
        <v>0</v>
      </c>
      <c r="AT22" s="40">
        <f t="shared" si="5"/>
        <v>0.12557077625570776</v>
      </c>
      <c r="AU22" s="40">
        <f>up_b2w!AC22</f>
        <v>30407.313038114935</v>
      </c>
      <c r="AV22" s="18"/>
      <c r="AW22" s="15">
        <f>IFERROR(s_DL/(up_RadSpec!F22*s_EF_res*1*s_IRF_res*0.001*s_CF_res_fish),".")</f>
        <v>6.6115702479338848E-4</v>
      </c>
      <c r="AX22" s="189">
        <f>IFERROR(AW22*(0.0000000000028)*up_RadSpec!$AY22*up_RadSpec!$AF22,0)</f>
        <v>2.0826446280991739E-12</v>
      </c>
      <c r="AY22" s="40">
        <f t="shared" si="6"/>
        <v>7562.5</v>
      </c>
    </row>
    <row r="23" spans="1:51" x14ac:dyDescent="0.25">
      <c r="A23" s="46" t="s">
        <v>21</v>
      </c>
      <c r="B23" s="42" t="s">
        <v>335</v>
      </c>
      <c r="C23" s="238"/>
      <c r="D23" s="15">
        <f>IFERROR(((s_DL/(up_RadSpec!E23*s_IFS_res_adj*(1/1000)))*1),".")</f>
        <v>0.33057851239669422</v>
      </c>
      <c r="E23" s="15">
        <f>IFERROR(IF(A23="H-3",(s_DL/((up_RadSpec!H23*s_IFA_res_adj*(1/17)*1000))*1),(s_DL/((up_RadSpec!H23*s_IFA_res_adj*(1/s_PEF_wind)*1000))*1)),".")</f>
        <v>3089.9917851942919</v>
      </c>
      <c r="F23" s="15">
        <f>IFERROR((s_DL/(up_RadSpec!G23*s_EF_res*(1/365)*1*up_RadSpec!R23*((s_ET_res_o*(1/24)*up_RadSpec!W23)+(s_ET_res_i*(1/24)*up_RadSpec!AB23))))*1,".")</f>
        <v>194.46624184916195</v>
      </c>
      <c r="G23" s="15">
        <f>up_b2s!C23</f>
        <v>3.2968835384132272E-5</v>
      </c>
      <c r="H23" s="15">
        <f>up_dir!C23</f>
        <v>1.6528925619834712E-4</v>
      </c>
      <c r="I23" s="15">
        <f t="shared" si="11"/>
        <v>3.2965541766143822E-5</v>
      </c>
      <c r="J23" s="189">
        <f>IFERROR(I23*(0.0000000000028)*up_RadSpec!$AY23*up_RadSpec!$AF23,0)</f>
        <v>1.0430297414807905E-13</v>
      </c>
      <c r="K23" s="40">
        <f t="shared" si="0"/>
        <v>15.125</v>
      </c>
      <c r="L23" s="40">
        <f t="shared" si="1"/>
        <v>1.6181272791589674E-3</v>
      </c>
      <c r="M23" s="40">
        <f>IFERROR((s_C*s_EF_res*(1/365)*1*up_RadSpec!R23*((s_ET_res_o*(1/24)*up_RadSpec!W23)+(s_ET_res_i*(1/24)*up_RadSpec!AB23))),".")</f>
        <v>2.5711403441828522E-2</v>
      </c>
      <c r="N23" s="40">
        <f>up_b2s!AC23</f>
        <v>151658.375</v>
      </c>
      <c r="O23" s="18"/>
      <c r="P23" s="15">
        <f>IFERROR((s_DL/(up_RadSpec!G23*s_EF_res*(1/365)*1*up_RadSpec!R23*((s_ET_res_o*(1/24)*up_RadSpec!W23)+(s_ET_res_i*(1/24)*up_RadSpec!AB23))))*1,".")</f>
        <v>194.46624184916195</v>
      </c>
      <c r="Q23" s="15">
        <f>IFERROR((s_DL/(up_RadSpec!N23*s_EF_res*(1/365)*1*up_RadSpec!S23*((s_ET_res_o*(1/24)*up_RadSpec!X23)+(s_ET_res_i*(1/24)*up_RadSpec!AC23))))*1,".")</f>
        <v>346.1535689835336</v>
      </c>
      <c r="R23" s="15">
        <f>IFERROR((s_DL/(up_RadSpec!O23*s_EF_res*(1/365)*1*up_RadSpec!T23*((s_ET_res_o*(1/24)*up_RadSpec!Y23)+(s_ET_res_i*(1/24)*up_RadSpec!AD23))))*1,".")</f>
        <v>244.77396269819053</v>
      </c>
      <c r="S23" s="15">
        <f>IFERROR((s_DL/(up_RadSpec!P23*s_EF_res*(1/365)*1*up_RadSpec!U23*((s_ET_res_o*(1/24)*up_RadSpec!Z23)+(s_ET_res_i*(1/24)*up_RadSpec!AE23))))*1,".")</f>
        <v>200.30636030636026</v>
      </c>
      <c r="T23" s="15">
        <f>IFERROR((s_DL/(up_RadSpec!L23*s_EF_res*(1/365)*1*up_RadSpec!Q23*((s_ET_res_o*(1/24)*up_RadSpec!V23)+(s_ET_res_i*(1/24)*up_RadSpec!AA23))))*1,".")</f>
        <v>544.89976043374088</v>
      </c>
      <c r="U23" s="189">
        <f>IFERROR(P23*(0.0000000000028)*up_RadSpec!$AY23*up_RadSpec!$AF23,0)</f>
        <v>6.1529118921074854E-7</v>
      </c>
      <c r="V23" s="189">
        <f>IFERROR(Q23*(0.0000000000028)*up_RadSpec!$AY23*up_RadSpec!$AF23,0)</f>
        <v>1.0952298922639004E-6</v>
      </c>
      <c r="W23" s="189">
        <f>IFERROR(R23*(0.0000000000028)*up_RadSpec!$AY23*up_RadSpec!$AF23,0)</f>
        <v>7.7446481797707486E-7</v>
      </c>
      <c r="X23" s="189">
        <f>IFERROR(S23*(0.0000000000028)*up_RadSpec!$AY23*up_RadSpec!$AF23,0)</f>
        <v>6.3376932400932401E-7</v>
      </c>
      <c r="Y23" s="189">
        <f>IFERROR(T23*(0.0000000000028)*up_RadSpec!$AY23*up_RadSpec!$AF23,0)</f>
        <v>1.7240628420123563E-6</v>
      </c>
      <c r="Z23" s="40">
        <f>IFERROR((s_C*s_EF_res*(1/365)*1*up_RadSpec!R23*((s_ET_res_o*(1/24)*up_RadSpec!W23)+(s_ET_res_i*(1/24)*up_RadSpec!AB23))),".")</f>
        <v>2.5711403441828522E-2</v>
      </c>
      <c r="AA23" s="40">
        <f>IFERROR((s_C*s_EF_res*(1/365)*1*up_RadSpec!S23*((s_ET_res_o*(1/24)*up_RadSpec!X23)+(s_ET_res_i*(1/24)*up_RadSpec!AC23))),".")</f>
        <v>1.4444456010326007E-2</v>
      </c>
      <c r="AB23" s="40">
        <f>IFERROR((s_C*s_EF_res*(1/365)*1*up_RadSpec!T23*((s_ET_res_o*(1/24)*up_RadSpec!Y23)+(s_ET_res_i*(1/24)*up_RadSpec!AD23))),".")</f>
        <v>2.0427009249202967E-2</v>
      </c>
      <c r="AC23" s="40">
        <f>IFERROR((s_C*s_EF_res*(1/365)*1*up_RadSpec!U23*((s_ET_res_o*(1/24)*up_RadSpec!Z23)+(s_ET_res_i*(1/24)*up_RadSpec!AE23))),".")</f>
        <v>2.4961763532384631E-2</v>
      </c>
      <c r="AD23" s="40">
        <f>IFERROR((s_C*s_EF_res*(1/365)*1*up_RadSpec!Q23*((s_ET_res_o*(1/24)*up_RadSpec!V23)+(s_ET_res_i*(1/24)*up_RadSpec!AA23))),".")</f>
        <v>9.175999629766755E-3</v>
      </c>
      <c r="AE23" s="15">
        <f>IFERROR((s_DL/(up_RadSpec!H23*s_IFA_res_adj)),".")</f>
        <v>9.9740259740259754E-3</v>
      </c>
      <c r="AF23" s="15">
        <f>IFERROR((s_DL/(up_RadSpec!K23*s_EF_res*(1/365)*1*s_ET_res*(1/24)*s_GSF_a)),".")</f>
        <v>63.709090909090911</v>
      </c>
      <c r="AG23" s="15">
        <f t="shared" si="15"/>
        <v>9.9724647271019675E-3</v>
      </c>
      <c r="AH23" s="189">
        <f>AG23*(0.0000000000000028)*up_RadSpec!$AY23*up_RadSpec!$AF23</f>
        <v>3.1552878396550628E-14</v>
      </c>
      <c r="AI23" s="40">
        <f t="shared" si="2"/>
        <v>501.30208333333326</v>
      </c>
      <c r="AJ23" s="40">
        <f t="shared" si="3"/>
        <v>7.8481735159817351E-2</v>
      </c>
      <c r="AK23" s="18"/>
      <c r="AL23" s="15">
        <f>IFERROR((s_DL/(up_RadSpec!I23*s_IFW_res_adj)),".")</f>
        <v>3.6363636363636364E-3</v>
      </c>
      <c r="AM23" s="15" t="str">
        <f>IFERROR(IF(AND(up_RadSpec!C23=1,up_RadSpec!D23&lt;&gt;0),(s_DL/(up_RadSpec!H23*s_IFA_res_adj*s_K*up_RadSpec!D23)),"."),".")</f>
        <v>.</v>
      </c>
      <c r="AN23" s="15">
        <f>IFERROR((s_DL/(up_RadSpec!M23*(1/8760)*s_DFA_res_adj)),".")</f>
        <v>39.81818181818182</v>
      </c>
      <c r="AO23" s="15">
        <f>up_b2w!C23</f>
        <v>1.6443412786038033E-4</v>
      </c>
      <c r="AP23" s="15">
        <f t="shared" si="16"/>
        <v>1.5731958335636468E-4</v>
      </c>
      <c r="AQ23" s="189">
        <f>AP23*(0.0000000000000028)*up_RadSpec!$AY23*up_RadSpec!$AF23</f>
        <v>4.9775916173953787E-16</v>
      </c>
      <c r="AR23" s="40">
        <f t="shared" si="4"/>
        <v>1375</v>
      </c>
      <c r="AS23" s="40">
        <f>IF(up_RadSpec!D23&lt;&gt;"",s_C*s_IFA_res_adj*s_K*up_RadSpec!D23,0)</f>
        <v>0</v>
      </c>
      <c r="AT23" s="40">
        <f t="shared" si="5"/>
        <v>0.12557077625570776</v>
      </c>
      <c r="AU23" s="40">
        <f>up_b2w!AC23</f>
        <v>30407.313038114935</v>
      </c>
      <c r="AV23" s="18"/>
      <c r="AW23" s="15">
        <f>IFERROR(s_DL/(up_RadSpec!F23*s_EF_res*1*s_IRF_res*0.001*s_CF_res_fish),".")</f>
        <v>6.6115702479338848E-4</v>
      </c>
      <c r="AX23" s="189">
        <f>IFERROR(AW23*(0.0000000000028)*up_RadSpec!$AY23*up_RadSpec!$AF23,0)</f>
        <v>2.0919008264462814E-12</v>
      </c>
      <c r="AY23" s="40">
        <f t="shared" si="6"/>
        <v>7562.5</v>
      </c>
    </row>
    <row r="24" spans="1:51" x14ac:dyDescent="0.25">
      <c r="A24" s="44" t="s">
        <v>22</v>
      </c>
      <c r="B24" s="42" t="s">
        <v>1057</v>
      </c>
      <c r="C24" s="238"/>
      <c r="D24" s="15">
        <f>IFERROR(((s_DL/(up_RadSpec!E24*s_IFS_res_adj*(1/1000)))*1),".")</f>
        <v>0.33057851239669422</v>
      </c>
      <c r="E24" s="15">
        <f>IFERROR(IF(A24="H-3",(s_DL/((up_RadSpec!H24*s_IFA_res_adj*(1/17)*1000))*1),(s_DL/((up_RadSpec!H24*s_IFA_res_adj*(1/s_PEF_wind)*1000))*1)),".")</f>
        <v>3089.9917851942919</v>
      </c>
      <c r="F24" s="15">
        <f>IFERROR((s_DL/(up_RadSpec!G24*s_EF_res*(1/365)*1*up_RadSpec!R24*((s_ET_res_o*(1/24)*up_RadSpec!W24)+(s_ET_res_i*(1/24)*up_RadSpec!AB24))))*1,".")</f>
        <v>254.92979041989193</v>
      </c>
      <c r="G24" s="15">
        <f>up_b2s!C24</f>
        <v>3.2968835384132272E-5</v>
      </c>
      <c r="H24" s="15">
        <f>up_dir!C24</f>
        <v>1.6528925619834712E-4</v>
      </c>
      <c r="I24" s="15">
        <f t="shared" si="11"/>
        <v>3.2965543091550864E-5</v>
      </c>
      <c r="J24" s="189">
        <f>IFERROR(I24*(0.0000000000028)*up_RadSpec!$AY24*up_RadSpec!$AF24,0)</f>
        <v>1.0061083751541325E-13</v>
      </c>
      <c r="K24" s="40">
        <f t="shared" si="0"/>
        <v>15.125</v>
      </c>
      <c r="L24" s="40">
        <f t="shared" si="1"/>
        <v>1.6181272791589674E-3</v>
      </c>
      <c r="M24" s="40">
        <f>IFERROR((s_C*s_EF_res*(1/365)*1*up_RadSpec!R24*((s_ET_res_o*(1/24)*up_RadSpec!W24)+(s_ET_res_i*(1/24)*up_RadSpec!AB24))),".")</f>
        <v>1.9613243284610078E-2</v>
      </c>
      <c r="N24" s="40">
        <f>up_b2s!AC24</f>
        <v>151658.375</v>
      </c>
      <c r="O24" s="18"/>
      <c r="P24" s="15">
        <f>IFERROR((s_DL/(up_RadSpec!G24*s_EF_res*(1/365)*1*up_RadSpec!R24*((s_ET_res_o*(1/24)*up_RadSpec!W24)+(s_ET_res_i*(1/24)*up_RadSpec!AB24))))*1,".")</f>
        <v>254.92979041989193</v>
      </c>
      <c r="Q24" s="15">
        <f>IFERROR((s_DL/(up_RadSpec!N24*s_EF_res*(1/365)*1*up_RadSpec!S24*((s_ET_res_o*(1/24)*up_RadSpec!X24)+(s_ET_res_i*(1/24)*up_RadSpec!AC24))))*1,".")</f>
        <v>462.19152457011302</v>
      </c>
      <c r="R24" s="15">
        <f>IFERROR((s_DL/(up_RadSpec!O24*s_EF_res*(1/365)*1*up_RadSpec!T24*((s_ET_res_o*(1/24)*up_RadSpec!Y24)+(s_ET_res_i*(1/24)*up_RadSpec!AD24))))*1,".")</f>
        <v>326.33708223946297</v>
      </c>
      <c r="S24" s="15">
        <f>IFERROR((s_DL/(up_RadSpec!P24*s_EF_res*(1/365)*1*up_RadSpec!U24*((s_ET_res_o*(1/24)*up_RadSpec!Z24)+(s_ET_res_i*(1/24)*up_RadSpec!AE24))))*1,".")</f>
        <v>272.5126223740329</v>
      </c>
      <c r="T24" s="15">
        <f>IFERROR((s_DL/(up_RadSpec!L24*s_EF_res*(1/365)*1*up_RadSpec!Q24*((s_ET_res_o*(1/24)*up_RadSpec!V24)+(s_ET_res_i*(1/24)*up_RadSpec!AA24))))*1,".")</f>
        <v>768.16516816516798</v>
      </c>
      <c r="U24" s="189">
        <f>IFERROR(P24*(0.0000000000028)*up_RadSpec!$AY24*up_RadSpec!$AF24,0)</f>
        <v>7.7804572036151032E-7</v>
      </c>
      <c r="V24" s="189">
        <f>IFERROR(Q24*(0.0000000000028)*up_RadSpec!$AY24*up_RadSpec!$AF24,0)</f>
        <v>1.4106085329879851E-6</v>
      </c>
      <c r="W24" s="189">
        <f>IFERROR(R24*(0.0000000000028)*up_RadSpec!$AY24*up_RadSpec!$AF24,0)</f>
        <v>9.9598077499484105E-7</v>
      </c>
      <c r="X24" s="189">
        <f>IFERROR(S24*(0.0000000000028)*up_RadSpec!$AY24*up_RadSpec!$AF24,0)</f>
        <v>8.3170852348554852E-7</v>
      </c>
      <c r="Y24" s="189">
        <f>IFERROR(T24*(0.0000000000028)*up_RadSpec!$AY24*up_RadSpec!$AF24,0)</f>
        <v>2.3444400932400928E-6</v>
      </c>
      <c r="Z24" s="40">
        <f>IFERROR((s_C*s_EF_res*(1/365)*1*up_RadSpec!R24*((s_ET_res_o*(1/24)*up_RadSpec!W24)+(s_ET_res_i*(1/24)*up_RadSpec!AB24))),".")</f>
        <v>1.9613243284610078E-2</v>
      </c>
      <c r="AA24" s="40">
        <f>IFERROR((s_C*s_EF_res*(1/365)*1*up_RadSpec!S24*((s_ET_res_o*(1/24)*up_RadSpec!X24)+(s_ET_res_i*(1/24)*up_RadSpec!AC24))),".")</f>
        <v>1.081802615193026E-2</v>
      </c>
      <c r="AB24" s="40">
        <f>IFERROR((s_C*s_EF_res*(1/365)*1*up_RadSpec!T24*((s_ET_res_o*(1/24)*up_RadSpec!Y24)+(s_ET_res_i*(1/24)*up_RadSpec!AD24))),".")</f>
        <v>1.5321580880995464E-2</v>
      </c>
      <c r="AC24" s="40">
        <f>IFERROR((s_C*s_EF_res*(1/365)*1*up_RadSpec!U24*((s_ET_res_o*(1/24)*up_RadSpec!Z24)+(s_ET_res_i*(1/24)*up_RadSpec!AE24))),".")</f>
        <v>1.8347773972602739E-2</v>
      </c>
      <c r="AD24" s="40">
        <f>IFERROR((s_C*s_EF_res*(1/365)*1*up_RadSpec!Q24*((s_ET_res_o*(1/24)*up_RadSpec!V24)+(s_ET_res_i*(1/24)*up_RadSpec!AA24))),".")</f>
        <v>6.509016819837005E-3</v>
      </c>
      <c r="AE24" s="15">
        <f>IFERROR((s_DL/(up_RadSpec!H24*s_IFA_res_adj)),".")</f>
        <v>9.9740259740259754E-3</v>
      </c>
      <c r="AF24" s="15">
        <f>IFERROR((s_DL/(up_RadSpec!K24*s_EF_res*(1/365)*1*s_ET_res*(1/24)*s_GSF_a)),".")</f>
        <v>63.709090909090911</v>
      </c>
      <c r="AG24" s="15">
        <f t="shared" si="15"/>
        <v>9.9724647271019675E-3</v>
      </c>
      <c r="AH24" s="189">
        <f>AG24*(0.0000000000000028)*up_RadSpec!$AY24*up_RadSpec!$AF24</f>
        <v>3.0435962347115209E-14</v>
      </c>
      <c r="AI24" s="40">
        <f t="shared" si="2"/>
        <v>501.30208333333326</v>
      </c>
      <c r="AJ24" s="40">
        <f t="shared" si="3"/>
        <v>7.8481735159817351E-2</v>
      </c>
      <c r="AK24" s="18"/>
      <c r="AL24" s="15">
        <f>IFERROR((s_DL/(up_RadSpec!I24*s_IFW_res_adj)),".")</f>
        <v>3.6363636363636364E-3</v>
      </c>
      <c r="AM24" s="15">
        <f>IFERROR(IF(AND(up_RadSpec!C24=1,up_RadSpec!D24&lt;&gt;0),(s_DL/(up_RadSpec!H24*s_IFA_res_adj*s_K*up_RadSpec!D24)),"."),".")</f>
        <v>137334.09486996356</v>
      </c>
      <c r="AN24" s="15">
        <f>IFERROR((s_DL/(up_RadSpec!M24*(1/8760)*s_DFA_res_adj)),".")</f>
        <v>39.81818181818182</v>
      </c>
      <c r="AO24" s="15">
        <f>up_b2w!C24</f>
        <v>1.6443412786038033E-4</v>
      </c>
      <c r="AP24" s="15">
        <f t="shared" si="16"/>
        <v>1.5731958317615123E-4</v>
      </c>
      <c r="AQ24" s="189">
        <f>AP24*(0.0000000000000028)*up_RadSpec!$AY24*up_RadSpec!$AF24</f>
        <v>4.8013936785361357E-16</v>
      </c>
      <c r="AR24" s="40">
        <f t="shared" si="4"/>
        <v>1375</v>
      </c>
      <c r="AS24" s="40">
        <f>IF(up_RadSpec!D24&lt;&gt;"",s_C*s_IFA_res_adj*s_K*up_RadSpec!D24,0)</f>
        <v>3.6407565104166666E-5</v>
      </c>
      <c r="AT24" s="40">
        <f t="shared" si="5"/>
        <v>0.12557077625570776</v>
      </c>
      <c r="AU24" s="40">
        <f>up_b2w!AC24</f>
        <v>30407.313038114935</v>
      </c>
      <c r="AV24" s="18"/>
      <c r="AW24" s="15">
        <f>IFERROR(s_DL/(up_RadSpec!F24*s_EF_res*1*s_IRF_res*0.001*s_CF_res_fish),".")</f>
        <v>6.6115702479338848E-4</v>
      </c>
      <c r="AX24" s="189">
        <f>IFERROR(AW24*(0.0000000000028)*up_RadSpec!$AY24*up_RadSpec!$AF24,0)</f>
        <v>2.0178512396694215E-12</v>
      </c>
      <c r="AY24" s="40">
        <f t="shared" si="6"/>
        <v>7562.5</v>
      </c>
    </row>
    <row r="25" spans="1:51" x14ac:dyDescent="0.25">
      <c r="A25" s="46" t="s">
        <v>23</v>
      </c>
      <c r="B25" s="42" t="s">
        <v>335</v>
      </c>
      <c r="C25" s="238"/>
      <c r="D25" s="15">
        <f>IFERROR(((s_DL/(up_RadSpec!E25*s_IFS_res_adj*(1/1000)))*1),".")</f>
        <v>0.33057851239669422</v>
      </c>
      <c r="E25" s="15">
        <f>IFERROR(IF(A25="H-3",(s_DL/((up_RadSpec!H25*s_IFA_res_adj*(1/17)*1000))*1),(s_DL/((up_RadSpec!H25*s_IFA_res_adj*(1/s_PEF_wind)*1000))*1)),".")</f>
        <v>3089.9917851942919</v>
      </c>
      <c r="F25" s="15">
        <f>IFERROR((s_DL/(up_RadSpec!G25*s_EF_res*(1/365)*1*up_RadSpec!R25*((s_ET_res_o*(1/24)*up_RadSpec!W25)+(s_ET_res_i*(1/24)*up_RadSpec!AB25))))*1,".")</f>
        <v>284.28866983083856</v>
      </c>
      <c r="G25" s="15">
        <f>up_b2s!C25</f>
        <v>3.2968835384132272E-5</v>
      </c>
      <c r="H25" s="15">
        <f>up_dir!C25</f>
        <v>1.6528925619834712E-4</v>
      </c>
      <c r="I25" s="15">
        <f t="shared" si="11"/>
        <v>3.2965543531781039E-5</v>
      </c>
      <c r="J25" s="189">
        <f>IFERROR(I25*(0.0000000000028)*up_RadSpec!$AY25*up_RadSpec!$AF25,0)</f>
        <v>1.0245690929677549E-13</v>
      </c>
      <c r="K25" s="40">
        <f t="shared" si="0"/>
        <v>15.125</v>
      </c>
      <c r="L25" s="40">
        <f t="shared" si="1"/>
        <v>1.6181272791589674E-3</v>
      </c>
      <c r="M25" s="40">
        <f>IFERROR((s_C*s_EF_res*(1/365)*1*up_RadSpec!R25*((s_ET_res_o*(1/24)*up_RadSpec!W25)+(s_ET_res_i*(1/24)*up_RadSpec!AB25))),".")</f>
        <v>1.7587756849315066E-2</v>
      </c>
      <c r="N25" s="40">
        <f>up_b2s!AC25</f>
        <v>151658.375</v>
      </c>
      <c r="O25" s="18"/>
      <c r="P25" s="15">
        <f>IFERROR((s_DL/(up_RadSpec!G25*s_EF_res*(1/365)*1*up_RadSpec!R25*((s_ET_res_o*(1/24)*up_RadSpec!W25)+(s_ET_res_i*(1/24)*up_RadSpec!AB25))))*1,".")</f>
        <v>284.28866983083856</v>
      </c>
      <c r="Q25" s="15">
        <f>IFERROR((s_DL/(up_RadSpec!N25*s_EF_res*(1/365)*1*up_RadSpec!S25*((s_ET_res_o*(1/24)*up_RadSpec!X25)+(s_ET_res_i*(1/24)*up_RadSpec!AC25))))*1,".")</f>
        <v>509.10201418675985</v>
      </c>
      <c r="R25" s="15">
        <f>IFERROR((s_DL/(up_RadSpec!O25*s_EF_res*(1/365)*1*up_RadSpec!T25*((s_ET_res_o*(1/24)*up_RadSpec!Y25)+(s_ET_res_i*(1/24)*up_RadSpec!AD25))))*1,".")</f>
        <v>365.1816348445563</v>
      </c>
      <c r="S25" s="15">
        <f>IFERROR((s_DL/(up_RadSpec!P25*s_EF_res*(1/365)*1*up_RadSpec!U25*((s_ET_res_o*(1/24)*up_RadSpec!Z25)+(s_ET_res_i*(1/24)*up_RadSpec!AE25))))*1,".")</f>
        <v>326.09800745393966</v>
      </c>
      <c r="T25" s="15">
        <f>IFERROR((s_DL/(up_RadSpec!L25*s_EF_res*(1/365)*1*up_RadSpec!Q25*((s_ET_res_o*(1/24)*up_RadSpec!V25)+(s_ET_res_i*(1/24)*up_RadSpec!AA25))))*1,".")</f>
        <v>912.76400367309452</v>
      </c>
      <c r="U25" s="189">
        <f>IFERROR(P25*(0.0000000000028)*up_RadSpec!$AY25*up_RadSpec!$AF25,0)</f>
        <v>8.8356918583424627E-7</v>
      </c>
      <c r="V25" s="189">
        <f>IFERROR(Q25*(0.0000000000028)*up_RadSpec!$AY25*up_RadSpec!$AF25,0)</f>
        <v>1.5822890600924496E-6</v>
      </c>
      <c r="W25" s="189">
        <f>IFERROR(R25*(0.0000000000028)*up_RadSpec!$AY25*up_RadSpec!$AF25,0)</f>
        <v>1.1349845210968809E-6</v>
      </c>
      <c r="X25" s="189">
        <f>IFERROR(S25*(0.0000000000028)*up_RadSpec!$AY25*up_RadSpec!$AF25,0)</f>
        <v>1.0135126071668445E-6</v>
      </c>
      <c r="Y25" s="189">
        <f>IFERROR(T25*(0.0000000000028)*up_RadSpec!$AY25*up_RadSpec!$AF25,0)</f>
        <v>2.8368705234159777E-6</v>
      </c>
      <c r="Z25" s="40">
        <f>IFERROR((s_C*s_EF_res*(1/365)*1*up_RadSpec!R25*((s_ET_res_o*(1/24)*up_RadSpec!W25)+(s_ET_res_i*(1/24)*up_RadSpec!AB25))),".")</f>
        <v>1.7587756849315066E-2</v>
      </c>
      <c r="AA25" s="40">
        <f>IFERROR((s_C*s_EF_res*(1/365)*1*up_RadSpec!S25*((s_ET_res_o*(1/24)*up_RadSpec!X25)+(s_ET_res_i*(1/24)*up_RadSpec!AC25))),".")</f>
        <v>9.8212143355728143E-3</v>
      </c>
      <c r="AB25" s="40">
        <f>IFERROR((s_C*s_EF_res*(1/365)*1*up_RadSpec!T25*((s_ET_res_o*(1/24)*up_RadSpec!Y25)+(s_ET_res_i*(1/24)*up_RadSpec!AD25))),".")</f>
        <v>1.369181668220612E-2</v>
      </c>
      <c r="AC25" s="40">
        <f>IFERROR((s_C*s_EF_res*(1/365)*1*up_RadSpec!U25*((s_ET_res_o*(1/24)*up_RadSpec!Z25)+(s_ET_res_i*(1/24)*up_RadSpec!AE25))),".")</f>
        <v>1.5332813711553374E-2</v>
      </c>
      <c r="AD25" s="40">
        <f>IFERROR((s_C*s_EF_res*(1/365)*1*up_RadSpec!Q25*((s_ET_res_o*(1/24)*up_RadSpec!V25)+(s_ET_res_i*(1/24)*up_RadSpec!AA25))),".")</f>
        <v>5.4778672032193164E-3</v>
      </c>
      <c r="AE25" s="15">
        <f>IFERROR((s_DL/(up_RadSpec!H25*s_IFA_res_adj)),".")</f>
        <v>9.9740259740259754E-3</v>
      </c>
      <c r="AF25" s="15">
        <f>IFERROR((s_DL/(up_RadSpec!K25*s_EF_res*(1/365)*1*s_ET_res*(1/24)*s_GSF_a)),".")</f>
        <v>63.709090909090911</v>
      </c>
      <c r="AG25" s="15">
        <f>IFERROR(IF(AND(AE25&lt;&gt;".",AF25&lt;&gt;"."),1/((1/AE25)+(1/AF25)),IF(AND(AE25&lt;&gt;".",AF25="."),1/((1/AE25)),IF(AND(AE25=".",AF25&lt;&gt;"."),1/((1/AF25)),IF(AND(AE25=".",AF25="."),".")))),".")</f>
        <v>9.9724647271019675E-3</v>
      </c>
      <c r="AH25" s="189">
        <f>AG25*(0.0000000000000028)*up_RadSpec!$AY25*up_RadSpec!$AF25</f>
        <v>3.0994420371832921E-14</v>
      </c>
      <c r="AI25" s="40">
        <f t="shared" si="2"/>
        <v>501.30208333333326</v>
      </c>
      <c r="AJ25" s="40">
        <f t="shared" si="3"/>
        <v>7.8481735159817351E-2</v>
      </c>
      <c r="AK25" s="18"/>
      <c r="AL25" s="15">
        <f>IFERROR((s_DL/(up_RadSpec!I25*s_IFW_res_adj)),".")</f>
        <v>3.6363636363636364E-3</v>
      </c>
      <c r="AM25" s="15">
        <f>IFERROR(IF(AND(up_RadSpec!C25=1,up_RadSpec!D25&lt;&gt;0),(s_DL/(up_RadSpec!H25*s_IFA_res_adj*s_K*up_RadSpec!D25)),"."),".")</f>
        <v>1.9948051948051951E-2</v>
      </c>
      <c r="AN25" s="15">
        <f>IFERROR((s_DL/(up_RadSpec!M25*(1/8760)*s_DFA_res_adj)),".")</f>
        <v>39.81818181818182</v>
      </c>
      <c r="AO25" s="15">
        <f>up_b2w!C25</f>
        <v>1.6443412786038033E-4</v>
      </c>
      <c r="AP25" s="15">
        <f>(IF(AND(AL25&lt;&gt;".",AM25&lt;&gt;".",AN25&lt;&gt;".",AO25&lt;&gt;"."),1/((1/AL25)+(1/AM25)+(1/AN25)+(1/AO25)),IF(AND(AL25&lt;&gt;".",AM25&lt;&gt;".",AN25&lt;&gt;".",AO25="."), 1/((1/AL25)+(1/AM25)+(1/AN25)),IF(AND(AL25&lt;&gt;".",AM25&lt;&gt;".",AN25=".",AO25&lt;&gt;"."),1/((1/AL25)+(1/AM25)+(1/AO25)),IF(AND(AL25&lt;&gt;".",AM25=".",AN25&lt;&gt;".",AO25&lt;&gt;"."),1/((1/AL25)+(1/AN25)+(1/AO25)),IF(AND(AL25=".",AM25&lt;&gt;".",AN25&lt;&gt;".",AO25&lt;&gt;"."),1/((1/AM25)+(1/AN25)+(1/AO25)),IF(AND(AL25&lt;&gt;".",AM25&lt;&gt;".",AN25=".",AO25="."),1/((1/AL25)+(1/AM25)),IF(AND(AL25&lt;&gt;".",AM25=".",AN25&lt;&gt;".",AO25="."),1/((1/AL25)+(1/AN25)),IF(AND(AL25&lt;&gt;".",AM25=".",AN25=".",AO25&lt;&gt;"."),1/((1/AL25)+(1/AO25)),IF(AND(AL25=".",AM25=".",AN25&lt;&gt;".",AO25&lt;&gt;"."),1/((1/AN25)+(1/AO25)),IF(AND(AL25=".",AM25&lt;&gt;".",AN25=".",AO25&lt;&gt;"."),1/((1/AM25)+(1/AO25)),IF(AND(AL25=".",AM25&lt;&gt;".",AN25&lt;&gt;".",AO25="."),1/((1/AM25)+(1/AN25)),IF(AND(AL25&lt;&gt;".",AM25=".",AN25=".",AO25="."),1/((1/AL25)),IF(AND(AL25=".",AM25&lt;&gt;".",AN25=".",AO25="."),1/((1/AM25)),IF(AND(AL25=".",AM25=".",AN25&lt;&gt;".",AO25="."),1/((1/AN25)),IF(AND(AL25=".",AM25=".",AN25=".",AO25&lt;&gt;"."),1/((1/AO25)),IF(AND(AL25=".",AM25=".",AN25=".",AO25="."),".")))))))))))))))))</f>
        <v>1.5608859634034475E-4</v>
      </c>
      <c r="AQ25" s="189">
        <f>AP25*(0.0000000000000028)*up_RadSpec!$AY25*up_RadSpec!$AF25</f>
        <v>4.8512335742579153E-16</v>
      </c>
      <c r="AR25" s="40">
        <f t="shared" si="4"/>
        <v>1375</v>
      </c>
      <c r="AS25" s="40">
        <f>IF(up_RadSpec!D25&lt;&gt;"",s_C*s_IFA_res_adj*s_K*up_RadSpec!D25,0)</f>
        <v>250.65104166666663</v>
      </c>
      <c r="AT25" s="40">
        <f t="shared" si="5"/>
        <v>0.12557077625570776</v>
      </c>
      <c r="AU25" s="40">
        <f>up_b2w!AC25</f>
        <v>30407.313038114935</v>
      </c>
      <c r="AV25" s="18"/>
      <c r="AW25" s="15">
        <f>IFERROR(s_DL/(up_RadSpec!F25*s_EF_res*1*s_IRF_res*0.001*s_CF_res_fish),".")</f>
        <v>6.6115702479338848E-4</v>
      </c>
      <c r="AX25" s="189">
        <f>IFERROR(AW25*(0.0000000000028)*up_RadSpec!$AY25*up_RadSpec!$AF25,0)</f>
        <v>2.0548760330578514E-12</v>
      </c>
      <c r="AY25" s="40">
        <f t="shared" si="6"/>
        <v>7562.5</v>
      </c>
    </row>
    <row r="26" spans="1:51" x14ac:dyDescent="0.25">
      <c r="A26" s="44" t="s">
        <v>24</v>
      </c>
      <c r="B26" s="42" t="s">
        <v>1057</v>
      </c>
      <c r="C26" s="42"/>
      <c r="D26" s="15">
        <f>IFERROR(((s_DL/(up_RadSpec!E26*s_IFS_res_adj*(1/1000)))*1),".")</f>
        <v>0.33057851239669422</v>
      </c>
      <c r="E26" s="15">
        <f>IFERROR(IF(A26="H-3",(s_DL/((up_RadSpec!H26*s_IFA_res_adj*(1/17)*1000))*1),(s_DL/((up_RadSpec!H26*s_IFA_res_adj*(1/s_PEF_wind)*1000))*1)),".")</f>
        <v>3089.9917851942919</v>
      </c>
      <c r="F26" s="15">
        <f>IFERROR((s_DL/(up_RadSpec!G26*s_EF_res*(1/365)*1*up_RadSpec!R26*((s_ET_res_o*(1/24)*up_RadSpec!W26)+(s_ET_res_i*(1/24)*up_RadSpec!AB26))))*1,".")</f>
        <v>1549.9896928468352</v>
      </c>
      <c r="G26" s="15">
        <f>up_b2s!C26</f>
        <v>3.2968835384132272E-5</v>
      </c>
      <c r="H26" s="15">
        <f>up_dir!C26</f>
        <v>1.6528925619834712E-4</v>
      </c>
      <c r="I26" s="15">
        <f t="shared" si="11"/>
        <v>3.29655466532807E-5</v>
      </c>
      <c r="J26" s="189">
        <f>IFERROR(I26*(0.0000000000028)*up_RadSpec!$AY26*up_RadSpec!$AF26,0)</f>
        <v>1.0568754257041793E-13</v>
      </c>
      <c r="K26" s="40">
        <f t="shared" si="0"/>
        <v>15.125</v>
      </c>
      <c r="L26" s="40">
        <f t="shared" si="1"/>
        <v>1.6181272791589674E-3</v>
      </c>
      <c r="M26" s="40">
        <f>IFERROR((s_C*s_EF_res*(1/365)*1*up_RadSpec!R26*((s_ET_res_o*(1/24)*up_RadSpec!W26)+(s_ET_res_i*(1/24)*up_RadSpec!AB26))),".")</f>
        <v>3.2258279026466299E-3</v>
      </c>
      <c r="N26" s="40">
        <f>up_b2s!AC26</f>
        <v>151658.375</v>
      </c>
      <c r="O26" s="18"/>
      <c r="P26" s="15">
        <f>IFERROR((s_DL/(up_RadSpec!G26*s_EF_res*(1/365)*1*up_RadSpec!R26*((s_ET_res_o*(1/24)*up_RadSpec!W26)+(s_ET_res_i*(1/24)*up_RadSpec!AB26))))*1,".")</f>
        <v>1549.9896928468352</v>
      </c>
      <c r="Q26" s="15">
        <f>IFERROR((s_DL/(up_RadSpec!N26*s_EF_res*(1/365)*1*up_RadSpec!S26*((s_ET_res_o*(1/24)*up_RadSpec!X26)+(s_ET_res_i*(1/24)*up_RadSpec!AC26))))*1,".")</f>
        <v>2829.8980669054918</v>
      </c>
      <c r="R26" s="15">
        <f>IFERROR((s_DL/(up_RadSpec!O26*s_EF_res*(1/365)*1*up_RadSpec!T26*((s_ET_res_o*(1/24)*up_RadSpec!Y26)+(s_ET_res_i*(1/24)*up_RadSpec!AD26))))*1,".")</f>
        <v>2045.3971291866021</v>
      </c>
      <c r="S26" s="15">
        <f>IFERROR((s_DL/(up_RadSpec!P26*s_EF_res*(1/365)*1*up_RadSpec!U26*((s_ET_res_o*(1/24)*up_RadSpec!Z26)+(s_ET_res_i*(1/24)*up_RadSpec!AE26))))*1,".")</f>
        <v>1749.5867768595035</v>
      </c>
      <c r="T26" s="15">
        <f>IFERROR((s_DL/(up_RadSpec!L26*s_EF_res*(1/365)*1*up_RadSpec!Q26*((s_ET_res_o*(1/24)*up_RadSpec!V26)+(s_ET_res_i*(1/24)*up_RadSpec!AA26))))*1,".")</f>
        <v>16494.164472369241</v>
      </c>
      <c r="U26" s="189">
        <f>IFERROR(P26*(0.0000000000028)*up_RadSpec!$AY26*up_RadSpec!$AF26,0)</f>
        <v>4.969266955266954E-6</v>
      </c>
      <c r="V26" s="189">
        <f>IFERROR(Q26*(0.0000000000028)*up_RadSpec!$AY26*up_RadSpec!$AF26,0)</f>
        <v>9.0726532024990081E-6</v>
      </c>
      <c r="W26" s="189">
        <f>IFERROR(R26*(0.0000000000028)*up_RadSpec!$AY26*up_RadSpec!$AF26,0)</f>
        <v>6.5575431961722466E-6</v>
      </c>
      <c r="X26" s="189">
        <f>IFERROR(S26*(0.0000000000028)*up_RadSpec!$AY26*up_RadSpec!$AF26,0)</f>
        <v>5.6091752066115684E-6</v>
      </c>
      <c r="Y26" s="189">
        <f>IFERROR(T26*(0.0000000000028)*up_RadSpec!$AY26*up_RadSpec!$AF26,0)</f>
        <v>5.288029129841579E-5</v>
      </c>
      <c r="Z26" s="40">
        <f>IFERROR((s_C*s_EF_res*(1/365)*1*up_RadSpec!R26*((s_ET_res_o*(1/24)*up_RadSpec!W26)+(s_ET_res_i*(1/24)*up_RadSpec!AB26))),".")</f>
        <v>3.2258279026466299E-3</v>
      </c>
      <c r="AA26" s="40">
        <f>IFERROR((s_C*s_EF_res*(1/365)*1*up_RadSpec!S26*((s_ET_res_o*(1/24)*up_RadSpec!X26)+(s_ET_res_i*(1/24)*up_RadSpec!AC26))),".")</f>
        <v>1.7668480919765164E-3</v>
      </c>
      <c r="AB26" s="40">
        <f>IFERROR((s_C*s_EF_res*(1/365)*1*up_RadSpec!T26*((s_ET_res_o*(1/24)*up_RadSpec!Y26)+(s_ET_res_i*(1/24)*up_RadSpec!AD26))),".")</f>
        <v>2.4445130623549677E-3</v>
      </c>
      <c r="AC26" s="40">
        <f>IFERROR((s_C*s_EF_res*(1/365)*1*up_RadSpec!U26*((s_ET_res_o*(1/24)*up_RadSpec!Z26)+(s_ET_res_i*(1/24)*up_RadSpec!AE26))),".")</f>
        <v>2.8578176665092123E-3</v>
      </c>
      <c r="AD26" s="40">
        <f>IFERROR((s_C*s_EF_res*(1/365)*1*up_RadSpec!Q26*((s_ET_res_o*(1/24)*up_RadSpec!V26)+(s_ET_res_i*(1/24)*up_RadSpec!AA26))),".")</f>
        <v>3.0313751317175962E-4</v>
      </c>
      <c r="AE26" s="15">
        <f>IFERROR((s_DL/(up_RadSpec!H26*s_IFA_res_adj)),".")</f>
        <v>9.9740259740259754E-3</v>
      </c>
      <c r="AF26" s="15">
        <f>IFERROR((s_DL/(up_RadSpec!K26*s_EF_res*(1/365)*1*s_ET_res*(1/24)*s_GSF_a)),".")</f>
        <v>63.709090909090911</v>
      </c>
      <c r="AG26" s="15">
        <f>IFERROR(IF(AND(AE26&lt;&gt;".",AF26&lt;&gt;"."),1/((1/AE26)+(1/AF26)),IF(AND(AE26&lt;&gt;".",AF26="."),1/((1/AE26)),IF(AND(AE26=".",AF26&lt;&gt;"."),1/((1/AF26)),IF(AND(AE26=".",AF26="."),".")))),".")</f>
        <v>9.9724647271019675E-3</v>
      </c>
      <c r="AH26" s="189">
        <f>AG26*(0.0000000000000028)*up_RadSpec!$AY26*up_RadSpec!$AF26</f>
        <v>3.1971721915088906E-14</v>
      </c>
      <c r="AI26" s="40">
        <f t="shared" si="2"/>
        <v>501.30208333333326</v>
      </c>
      <c r="AJ26" s="40">
        <f t="shared" si="3"/>
        <v>7.8481735159817351E-2</v>
      </c>
      <c r="AK26" s="18"/>
      <c r="AL26" s="15">
        <f>IFERROR((s_DL/(up_RadSpec!I26*s_IFW_res_adj)),".")</f>
        <v>3.6363636363636364E-3</v>
      </c>
      <c r="AM26" s="15" t="str">
        <f>IFERROR(IF(AND(up_RadSpec!C26=1,up_RadSpec!D26&lt;&gt;0),(s_DL/(up_RadSpec!H26*s_IFA_res_adj*s_K*up_RadSpec!D26)),"."),".")</f>
        <v>.</v>
      </c>
      <c r="AN26" s="15">
        <f>IFERROR((s_DL/(up_RadSpec!M26*(1/8760)*s_DFA_res_adj)),".")</f>
        <v>39.81818181818182</v>
      </c>
      <c r="AO26" s="15">
        <f>up_b2w!C26</f>
        <v>1.6443412786038033E-4</v>
      </c>
      <c r="AP26" s="15">
        <f>(IF(AND(AL26&lt;&gt;".",AM26&lt;&gt;".",AN26&lt;&gt;".",AO26&lt;&gt;"."),1/((1/AL26)+(1/AM26)+(1/AN26)+(1/AO26)),IF(AND(AL26&lt;&gt;".",AM26&lt;&gt;".",AN26&lt;&gt;".",AO26="."), 1/((1/AL26)+(1/AM26)+(1/AN26)),IF(AND(AL26&lt;&gt;".",AM26&lt;&gt;".",AN26=".",AO26&lt;&gt;"."),1/((1/AL26)+(1/AM26)+(1/AO26)),IF(AND(AL26&lt;&gt;".",AM26=".",AN26&lt;&gt;".",AO26&lt;&gt;"."),1/((1/AL26)+(1/AN26)+(1/AO26)),IF(AND(AL26=".",AM26&lt;&gt;".",AN26&lt;&gt;".",AO26&lt;&gt;"."),1/((1/AM26)+(1/AN26)+(1/AO26)),IF(AND(AL26&lt;&gt;".",AM26&lt;&gt;".",AN26=".",AO26="."),1/((1/AL26)+(1/AM26)),IF(AND(AL26&lt;&gt;".",AM26=".",AN26&lt;&gt;".",AO26="."),1/((1/AL26)+(1/AN26)),IF(AND(AL26&lt;&gt;".",AM26=".",AN26=".",AO26&lt;&gt;"."),1/((1/AL26)+(1/AO26)),IF(AND(AL26=".",AM26=".",AN26&lt;&gt;".",AO26&lt;&gt;"."),1/((1/AN26)+(1/AO26)),IF(AND(AL26=".",AM26&lt;&gt;".",AN26=".",AO26&lt;&gt;"."),1/((1/AM26)+(1/AO26)),IF(AND(AL26=".",AM26&lt;&gt;".",AN26&lt;&gt;".",AO26="."),1/((1/AM26)+(1/AN26)),IF(AND(AL26&lt;&gt;".",AM26=".",AN26=".",AO26="."),1/((1/AL26)),IF(AND(AL26=".",AM26&lt;&gt;".",AN26=".",AO26="."),1/((1/AM26)),IF(AND(AL26=".",AM26=".",AN26&lt;&gt;".",AO26="."),1/((1/AN26)),IF(AND(AL26=".",AM26=".",AN26=".",AO26&lt;&gt;"."),1/((1/AO26)),IF(AND(AL26=".",AM26=".",AN26=".",AO26="."),".")))))))))))))))))</f>
        <v>1.5731958335636468E-4</v>
      </c>
      <c r="AQ26" s="189">
        <f>AP26*(0.0000000000000028)*up_RadSpec!$AY26*up_RadSpec!$AF26</f>
        <v>5.043665842405052E-16</v>
      </c>
      <c r="AR26" s="40">
        <f t="shared" si="4"/>
        <v>1375</v>
      </c>
      <c r="AS26" s="40">
        <f>IF(up_RadSpec!D26&lt;&gt;"",s_C*s_IFA_res_adj*s_K*up_RadSpec!D26,0)</f>
        <v>0</v>
      </c>
      <c r="AT26" s="40">
        <f t="shared" si="5"/>
        <v>0.12557077625570776</v>
      </c>
      <c r="AU26" s="40">
        <f>up_b2w!AC26</f>
        <v>30407.313038114935</v>
      </c>
      <c r="AV26" s="18"/>
      <c r="AW26" s="15">
        <f>IFERROR(s_DL/(up_RadSpec!F26*s_EF_res*1*s_IRF_res*0.001*s_CF_res_fish),".")</f>
        <v>6.6115702479338848E-4</v>
      </c>
      <c r="AX26" s="189">
        <f>IFERROR(AW26*(0.0000000000028)*up_RadSpec!$AY26*up_RadSpec!$AF26,0)</f>
        <v>2.1196694214876034E-12</v>
      </c>
      <c r="AY26" s="40">
        <f t="shared" si="6"/>
        <v>7562.5</v>
      </c>
    </row>
    <row r="27" spans="1:51" x14ac:dyDescent="0.25">
      <c r="A27" s="44" t="s">
        <v>25</v>
      </c>
      <c r="B27" s="42" t="s">
        <v>1057</v>
      </c>
      <c r="C27" s="238"/>
      <c r="D27" s="15">
        <f>IFERROR(((s_DL/(up_RadSpec!E27*s_IFS_res_adj*(1/1000)))*1),".")</f>
        <v>0.33057851239669422</v>
      </c>
      <c r="E27" s="15">
        <f>IFERROR(IF(A27="H-3",(s_DL/((up_RadSpec!H27*s_IFA_res_adj*(1/17)*1000))*1),(s_DL/((up_RadSpec!H27*s_IFA_res_adj*(1/s_PEF_wind)*1000))*1)),".")</f>
        <v>3089.9917851942919</v>
      </c>
      <c r="F27" s="15">
        <f>IFERROR((s_DL/(up_RadSpec!G27*s_EF_res*(1/365)*1*up_RadSpec!R27*((s_ET_res_o*(1/24)*up_RadSpec!W27)+(s_ET_res_i*(1/24)*up_RadSpec!AB27))))*1,".")</f>
        <v>326.57468737646929</v>
      </c>
      <c r="G27" s="15">
        <f>up_b2s!C27</f>
        <v>3.2968835384132272E-5</v>
      </c>
      <c r="H27" s="15">
        <f>up_dir!C27</f>
        <v>1.6528925619834712E-4</v>
      </c>
      <c r="I27" s="15">
        <f t="shared" si="11"/>
        <v>3.2965544026746856E-5</v>
      </c>
      <c r="J27" s="189">
        <f>IFERROR(I27*(0.0000000000028)*up_RadSpec!$AY27*up_RadSpec!$AF27,0)</f>
        <v>9.5072628973137941E-14</v>
      </c>
      <c r="K27" s="40">
        <f t="shared" si="0"/>
        <v>15.125</v>
      </c>
      <c r="L27" s="40">
        <f t="shared" si="1"/>
        <v>1.6181272791589674E-3</v>
      </c>
      <c r="M27" s="40">
        <f>IFERROR((s_C*s_EF_res*(1/365)*1*up_RadSpec!R27*((s_ET_res_o*(1/24)*up_RadSpec!W27)+(s_ET_res_i*(1/24)*up_RadSpec!AB27))),".")</f>
        <v>1.5310433396315533E-2</v>
      </c>
      <c r="N27" s="40">
        <f>up_b2s!AC27</f>
        <v>151658.375</v>
      </c>
      <c r="O27" s="18"/>
      <c r="P27" s="15">
        <f>IFERROR((s_DL/(up_RadSpec!G27*s_EF_res*(1/365)*1*up_RadSpec!R27*((s_ET_res_o*(1/24)*up_RadSpec!W27)+(s_ET_res_i*(1/24)*up_RadSpec!AB27))))*1,".")</f>
        <v>326.57468737646929</v>
      </c>
      <c r="Q27" s="15">
        <f>IFERROR((s_DL/(up_RadSpec!N27*s_EF_res*(1/365)*1*up_RadSpec!S27*((s_ET_res_o*(1/24)*up_RadSpec!X27)+(s_ET_res_i*(1/24)*up_RadSpec!AC27))))*1,".")</f>
        <v>968.67623604465757</v>
      </c>
      <c r="R27" s="15">
        <f>IFERROR((s_DL/(up_RadSpec!O27*s_EF_res*(1/365)*1*up_RadSpec!T27*((s_ET_res_o*(1/24)*up_RadSpec!Y27)+(s_ET_res_i*(1/24)*up_RadSpec!AD27))))*1,".")</f>
        <v>593.87137366935349</v>
      </c>
      <c r="S27" s="15">
        <f>IFERROR((s_DL/(up_RadSpec!P27*s_EF_res*(1/365)*1*up_RadSpec!U27*((s_ET_res_o*(1/24)*up_RadSpec!Z27)+(s_ET_res_i*(1/24)*up_RadSpec!AE27))))*1,".")</f>
        <v>432.01848165351828</v>
      </c>
      <c r="T27" s="15">
        <f>IFERROR((s_DL/(up_RadSpec!L27*s_EF_res*(1/365)*1*up_RadSpec!Q27*((s_ET_res_o*(1/24)*up_RadSpec!V27)+(s_ET_res_i*(1/24)*up_RadSpec!AA27))))*1,".")</f>
        <v>3030.0022558087089</v>
      </c>
      <c r="U27" s="189">
        <f>IFERROR(P27*(0.0000000000028)*up_RadSpec!$AY27*up_RadSpec!$AF27,0)</f>
        <v>9.4184139839373751E-7</v>
      </c>
      <c r="V27" s="189">
        <f>IFERROR(Q27*(0.0000000000028)*up_RadSpec!$AY27*up_RadSpec!$AF27,0)</f>
        <v>2.7936622647527924E-6</v>
      </c>
      <c r="W27" s="189">
        <f>IFERROR(R27*(0.0000000000028)*up_RadSpec!$AY27*up_RadSpec!$AF27,0)</f>
        <v>1.7127250416624156E-6</v>
      </c>
      <c r="X27" s="189">
        <f>IFERROR(S27*(0.0000000000028)*up_RadSpec!$AY27*up_RadSpec!$AF27,0)</f>
        <v>1.2459413010887468E-6</v>
      </c>
      <c r="Y27" s="189">
        <f>IFERROR(T27*(0.0000000000028)*up_RadSpec!$AY27*up_RadSpec!$AF27,0)</f>
        <v>8.7385265057523179E-6</v>
      </c>
      <c r="Z27" s="40">
        <f>IFERROR((s_C*s_EF_res*(1/365)*1*up_RadSpec!R27*((s_ET_res_o*(1/24)*up_RadSpec!W27)+(s_ET_res_i*(1/24)*up_RadSpec!AB27))),".")</f>
        <v>1.5310433396315533E-2</v>
      </c>
      <c r="AA27" s="40">
        <f>IFERROR((s_C*s_EF_res*(1/365)*1*up_RadSpec!S27*((s_ET_res_o*(1/24)*up_RadSpec!X27)+(s_ET_res_i*(1/24)*up_RadSpec!AC27))),".")</f>
        <v>5.1616833508956773E-3</v>
      </c>
      <c r="AB27" s="40">
        <f>IFERROR((s_C*s_EF_res*(1/365)*1*up_RadSpec!T27*((s_ET_res_o*(1/24)*up_RadSpec!Y27)+(s_ET_res_i*(1/24)*up_RadSpec!AD27))),".")</f>
        <v>8.4193315618270939E-3</v>
      </c>
      <c r="AC27" s="40">
        <f>IFERROR((s_C*s_EF_res*(1/365)*1*up_RadSpec!U27*((s_ET_res_o*(1/24)*up_RadSpec!Z27)+(s_ET_res_i*(1/24)*up_RadSpec!AE27))),".")</f>
        <v>1.1573578937787281E-2</v>
      </c>
      <c r="AD27" s="40">
        <f>IFERROR((s_C*s_EF_res*(1/365)*1*up_RadSpec!Q27*((s_ET_res_o*(1/24)*up_RadSpec!V27)+(s_ET_res_i*(1/24)*up_RadSpec!AA27))),".")</f>
        <v>1.6501637879690284E-3</v>
      </c>
      <c r="AE27" s="15">
        <f>IFERROR((s_DL/(up_RadSpec!H27*s_IFA_res_adj)),".")</f>
        <v>9.9740259740259754E-3</v>
      </c>
      <c r="AF27" s="15">
        <f>IFERROR((s_DL/(up_RadSpec!K27*s_EF_res*(1/365)*1*s_ET_res*(1/24)*s_GSF_a)),".")</f>
        <v>63.709090909090911</v>
      </c>
      <c r="AG27" s="15">
        <f>IFERROR(IF(AND(AE27&lt;&gt;".",AF27&lt;&gt;"."),1/((1/AE27)+(1/AF27)),IF(AND(AE27&lt;&gt;".",AF27="."),1/((1/AE27)),IF(AND(AE27=".",AF27&lt;&gt;"."),1/((1/AF27)),IF(AND(AE27=".",AF27="."),".")))),".")</f>
        <v>9.9724647271019675E-3</v>
      </c>
      <c r="AH27" s="189">
        <f>AG27*(0.0000000000000028)*up_RadSpec!$AY27*up_RadSpec!$AF27</f>
        <v>2.8760588272962077E-14</v>
      </c>
      <c r="AI27" s="40">
        <f t="shared" si="2"/>
        <v>501.30208333333326</v>
      </c>
      <c r="AJ27" s="40">
        <f t="shared" si="3"/>
        <v>7.8481735159817351E-2</v>
      </c>
      <c r="AK27" s="18"/>
      <c r="AL27" s="15">
        <f>IFERROR((s_DL/(up_RadSpec!I27*s_IFW_res_adj)),".")</f>
        <v>3.6363636363636364E-3</v>
      </c>
      <c r="AM27" s="15" t="str">
        <f>IFERROR(IF(AND(up_RadSpec!C27=1,up_RadSpec!D27&lt;&gt;0),(s_DL/(up_RadSpec!H27*s_IFA_res_adj*s_K*up_RadSpec!D27)),"."),".")</f>
        <v>.</v>
      </c>
      <c r="AN27" s="15">
        <f>IFERROR((s_DL/(up_RadSpec!M27*(1/8760)*s_DFA_res_adj)),".")</f>
        <v>39.81818181818182</v>
      </c>
      <c r="AO27" s="15">
        <f>up_b2w!C27</f>
        <v>1.6443412786038033E-4</v>
      </c>
      <c r="AP27" s="15">
        <f>(IF(AND(AL27&lt;&gt;".",AM27&lt;&gt;".",AN27&lt;&gt;".",AO27&lt;&gt;"."),1/((1/AL27)+(1/AM27)+(1/AN27)+(1/AO27)),IF(AND(AL27&lt;&gt;".",AM27&lt;&gt;".",AN27&lt;&gt;".",AO27="."), 1/((1/AL27)+(1/AM27)+(1/AN27)),IF(AND(AL27&lt;&gt;".",AM27&lt;&gt;".",AN27=".",AO27&lt;&gt;"."),1/((1/AL27)+(1/AM27)+(1/AO27)),IF(AND(AL27&lt;&gt;".",AM27=".",AN27&lt;&gt;".",AO27&lt;&gt;"."),1/((1/AL27)+(1/AN27)+(1/AO27)),IF(AND(AL27=".",AM27&lt;&gt;".",AN27&lt;&gt;".",AO27&lt;&gt;"."),1/((1/AM27)+(1/AN27)+(1/AO27)),IF(AND(AL27&lt;&gt;".",AM27&lt;&gt;".",AN27=".",AO27="."),1/((1/AL27)+(1/AM27)),IF(AND(AL27&lt;&gt;".",AM27=".",AN27&lt;&gt;".",AO27="."),1/((1/AL27)+(1/AN27)),IF(AND(AL27&lt;&gt;".",AM27=".",AN27=".",AO27&lt;&gt;"."),1/((1/AL27)+(1/AO27)),IF(AND(AL27=".",AM27=".",AN27&lt;&gt;".",AO27&lt;&gt;"."),1/((1/AN27)+(1/AO27)),IF(AND(AL27=".",AM27&lt;&gt;".",AN27=".",AO27&lt;&gt;"."),1/((1/AM27)+(1/AO27)),IF(AND(AL27=".",AM27&lt;&gt;".",AN27&lt;&gt;".",AO27="."),1/((1/AM27)+(1/AN27)),IF(AND(AL27&lt;&gt;".",AM27=".",AN27=".",AO27="."),1/((1/AL27)),IF(AND(AL27=".",AM27&lt;&gt;".",AN27=".",AO27="."),1/((1/AM27)),IF(AND(AL27=".",AM27=".",AN27&lt;&gt;".",AO27="."),1/((1/AN27)),IF(AND(AL27=".",AM27=".",AN27=".",AO27&lt;&gt;"."),1/((1/AO27)),IF(AND(AL27=".",AM27=".",AN27=".",AO27="."),".")))))))))))))))))</f>
        <v>1.5731958335636468E-4</v>
      </c>
      <c r="AQ27" s="189">
        <f>AP27*(0.0000000000000028)*up_RadSpec!$AY27*up_RadSpec!$AF27</f>
        <v>4.5370967839975581E-16</v>
      </c>
      <c r="AR27" s="40">
        <f t="shared" si="4"/>
        <v>1375</v>
      </c>
      <c r="AS27" s="40">
        <f>IF(up_RadSpec!D27&lt;&gt;"",s_C*s_IFA_res_adj*s_K*up_RadSpec!D27,0)</f>
        <v>0</v>
      </c>
      <c r="AT27" s="40">
        <f t="shared" si="5"/>
        <v>0.12557077625570776</v>
      </c>
      <c r="AU27" s="40">
        <f>up_b2w!AC27</f>
        <v>30407.313038114935</v>
      </c>
      <c r="AV27" s="18"/>
      <c r="AW27" s="15">
        <f>IFERROR(s_DL/(up_RadSpec!F27*s_EF_res*1*s_IRF_res*0.001*s_CF_res_fish),".")</f>
        <v>6.6115702479338848E-4</v>
      </c>
      <c r="AX27" s="189">
        <f>IFERROR(AW27*(0.0000000000028)*up_RadSpec!$AY27*up_RadSpec!$AF27,0)</f>
        <v>1.9067768595041322E-12</v>
      </c>
      <c r="AY27" s="40">
        <f t="shared" si="6"/>
        <v>7562.5</v>
      </c>
    </row>
    <row r="28" spans="1:51" x14ac:dyDescent="0.25">
      <c r="A28" s="44" t="s">
        <v>26</v>
      </c>
      <c r="B28" s="42" t="s">
        <v>1057</v>
      </c>
      <c r="C28" s="42"/>
      <c r="D28" s="15">
        <f>IFERROR(((s_DL/(up_RadSpec!E28*s_IFS_res_adj*(1/1000)))*1),".")</f>
        <v>0.33057851239669422</v>
      </c>
      <c r="E28" s="15">
        <f>IFERROR(IF(A28="H-3",(s_DL/((up_RadSpec!H28*s_IFA_res_adj*(1/17)*1000))*1),(s_DL/((up_RadSpec!H28*s_IFA_res_adj*(1/s_PEF_wind)*1000))*1)),".")</f>
        <v>3089.9917851942919</v>
      </c>
      <c r="F28" s="15">
        <f>IFERROR((s_DL/(up_RadSpec!G28*s_EF_res*(1/365)*1*up_RadSpec!R28*((s_ET_res_o*(1/24)*up_RadSpec!W28)+(s_ET_res_i*(1/24)*up_RadSpec!AB28))))*1,".")</f>
        <v>144.51224642307446</v>
      </c>
      <c r="G28" s="15">
        <f>up_b2s!C28</f>
        <v>3.2968835384132272E-5</v>
      </c>
      <c r="H28" s="15">
        <f>up_dir!C28</f>
        <v>1.6528925619834712E-4</v>
      </c>
      <c r="I28" s="15">
        <f t="shared" si="11"/>
        <v>3.2965539834434547E-5</v>
      </c>
      <c r="J28" s="189">
        <f>IFERROR(I28*(0.0000000000028)*up_RadSpec!$AY28*up_RadSpec!$AF28,0)</f>
        <v>9.645716955555548E-14</v>
      </c>
      <c r="K28" s="40">
        <f t="shared" si="0"/>
        <v>15.125</v>
      </c>
      <c r="L28" s="40">
        <f t="shared" si="1"/>
        <v>1.6181272791589674E-3</v>
      </c>
      <c r="M28" s="40">
        <f>IFERROR((s_C*s_EF_res*(1/365)*1*up_RadSpec!R28*((s_ET_res_o*(1/24)*up_RadSpec!W28)+(s_ET_res_i*(1/24)*up_RadSpec!AB28))),".")</f>
        <v>3.4599143835616436E-2</v>
      </c>
      <c r="N28" s="40">
        <f>up_b2s!AC28</f>
        <v>151658.375</v>
      </c>
      <c r="O28" s="18"/>
      <c r="P28" s="15">
        <f>IFERROR((s_DL/(up_RadSpec!G28*s_EF_res*(1/365)*1*up_RadSpec!R28*((s_ET_res_o*(1/24)*up_RadSpec!W28)+(s_ET_res_i*(1/24)*up_RadSpec!AB28))))*1,".")</f>
        <v>144.51224642307446</v>
      </c>
      <c r="Q28" s="15">
        <f>IFERROR((s_DL/(up_RadSpec!N28*s_EF_res*(1/365)*1*up_RadSpec!S28*((s_ET_res_o*(1/24)*up_RadSpec!X28)+(s_ET_res_i*(1/24)*up_RadSpec!AC28))))*1,".")</f>
        <v>322.2421188522884</v>
      </c>
      <c r="R28" s="15">
        <f>IFERROR((s_DL/(up_RadSpec!O28*s_EF_res*(1/365)*1*up_RadSpec!T28*((s_ET_res_o*(1/24)*up_RadSpec!Y28)+(s_ET_res_i*(1/24)*up_RadSpec!AD28))))*1,".")</f>
        <v>223.72907328659531</v>
      </c>
      <c r="S28" s="15">
        <f>IFERROR((s_DL/(up_RadSpec!P28*s_EF_res*(1/365)*1*up_RadSpec!U28*((s_ET_res_o*(1/24)*up_RadSpec!Z28)+(s_ET_res_i*(1/24)*up_RadSpec!AE28))))*1,".")</f>
        <v>193.70526187427583</v>
      </c>
      <c r="T28" s="15">
        <f>IFERROR((s_DL/(up_RadSpec!L28*s_EF_res*(1/365)*1*up_RadSpec!Q28*((s_ET_res_o*(1/24)*up_RadSpec!V28)+(s_ET_res_i*(1/24)*up_RadSpec!AA28))))*1,".")</f>
        <v>566.49029982363356</v>
      </c>
      <c r="U28" s="189">
        <f>IFERROR(P28*(0.0000000000028)*up_RadSpec!$AY28*up_RadSpec!$AF28,0)</f>
        <v>4.2284283303391589E-7</v>
      </c>
      <c r="V28" s="189">
        <f>IFERROR(Q28*(0.0000000000028)*up_RadSpec!$AY28*up_RadSpec!$AF28,0)</f>
        <v>9.4288043976179601E-7</v>
      </c>
      <c r="W28" s="189">
        <f>IFERROR(R28*(0.0000000000028)*up_RadSpec!$AY28*up_RadSpec!$AF28,0)</f>
        <v>6.5463126843657801E-7</v>
      </c>
      <c r="X28" s="189">
        <f>IFERROR(S28*(0.0000000000028)*up_RadSpec!$AY28*up_RadSpec!$AF28,0)</f>
        <v>5.6678159624413116E-7</v>
      </c>
      <c r="Y28" s="189">
        <f>IFERROR(T28*(0.0000000000028)*up_RadSpec!$AY28*up_RadSpec!$AF28,0)</f>
        <v>1.6575506172839521E-6</v>
      </c>
      <c r="Z28" s="40">
        <f>IFERROR((s_C*s_EF_res*(1/365)*1*up_RadSpec!R28*((s_ET_res_o*(1/24)*up_RadSpec!W28)+(s_ET_res_i*(1/24)*up_RadSpec!AB28))),".")</f>
        <v>3.4599143835616436E-2</v>
      </c>
      <c r="AA28" s="40">
        <f>IFERROR((s_C*s_EF_res*(1/365)*1*up_RadSpec!S28*((s_ET_res_o*(1/24)*up_RadSpec!X28)+(s_ET_res_i*(1/24)*up_RadSpec!AC28))),".")</f>
        <v>1.5516283277332642E-2</v>
      </c>
      <c r="AB28" s="40">
        <f>IFERROR((s_C*s_EF_res*(1/365)*1*up_RadSpec!T28*((s_ET_res_o*(1/24)*up_RadSpec!Y28)+(s_ET_res_i*(1/24)*up_RadSpec!AD28))),".")</f>
        <v>2.2348458904109598E-2</v>
      </c>
      <c r="AC28" s="40">
        <f>IFERROR((s_C*s_EF_res*(1/365)*1*up_RadSpec!U28*((s_ET_res_o*(1/24)*up_RadSpec!Z28)+(s_ET_res_i*(1/24)*up_RadSpec!AE28))),".")</f>
        <v>2.581241186543112E-2</v>
      </c>
      <c r="AD28" s="40">
        <f>IFERROR((s_C*s_EF_res*(1/365)*1*up_RadSpec!Q28*((s_ET_res_o*(1/24)*up_RadSpec!V28)+(s_ET_res_i*(1/24)*up_RadSpec!AA28))),".")</f>
        <v>8.826276463262759E-3</v>
      </c>
      <c r="AE28" s="15">
        <f>IFERROR((s_DL/(up_RadSpec!H28*s_IFA_res_adj)),".")</f>
        <v>9.9740259740259754E-3</v>
      </c>
      <c r="AF28" s="15">
        <f>IFERROR((s_DL/(up_RadSpec!K28*s_EF_res*(1/365)*1*s_ET_res*(1/24)*s_GSF_a)),".")</f>
        <v>63.709090909090911</v>
      </c>
      <c r="AG28" s="15">
        <f t="shared" ref="AG28:AG29" si="17">IFERROR(IF(AND(AE28&lt;&gt;".",AF28&lt;&gt;"."),1/((1/AE28)+(1/AF28)),IF(AND(AE28&lt;&gt;".",AF28="."),1/((1/AE28)),IF(AND(AE28=".",AF28&lt;&gt;"."),1/((1/AF28)),IF(AND(AE28=".",AF28="."),".")))),".")</f>
        <v>9.9724647271019675E-3</v>
      </c>
      <c r="AH28" s="189">
        <f>AG28*(0.0000000000000028)*up_RadSpec!$AY28*up_RadSpec!$AF28</f>
        <v>2.9179431791500361E-14</v>
      </c>
      <c r="AI28" s="40">
        <f t="shared" si="2"/>
        <v>501.30208333333326</v>
      </c>
      <c r="AJ28" s="40">
        <f t="shared" si="3"/>
        <v>7.8481735159817351E-2</v>
      </c>
      <c r="AK28" s="18"/>
      <c r="AL28" s="15">
        <f>IFERROR((s_DL/(up_RadSpec!I28*s_IFW_res_adj)),".")</f>
        <v>3.6363636363636364E-3</v>
      </c>
      <c r="AM28" s="15" t="str">
        <f>IFERROR(IF(AND(up_RadSpec!C28=1,up_RadSpec!D28&lt;&gt;0),(s_DL/(up_RadSpec!H28*s_IFA_res_adj*s_K*up_RadSpec!D28)),"."),".")</f>
        <v>.</v>
      </c>
      <c r="AN28" s="15">
        <f>IFERROR((s_DL/(up_RadSpec!M28*(1/8760)*s_DFA_res_adj)),".")</f>
        <v>39.81818181818182</v>
      </c>
      <c r="AO28" s="15">
        <f>up_b2w!C28</f>
        <v>1.6443412786038033E-4</v>
      </c>
      <c r="AP28" s="15">
        <f t="shared" ref="AP28:AP29" si="18">(IF(AND(AL28&lt;&gt;".",AM28&lt;&gt;".",AN28&lt;&gt;".",AO28&lt;&gt;"."),1/((1/AL28)+(1/AM28)+(1/AN28)+(1/AO28)),IF(AND(AL28&lt;&gt;".",AM28&lt;&gt;".",AN28&lt;&gt;".",AO28="."), 1/((1/AL28)+(1/AM28)+(1/AN28)),IF(AND(AL28&lt;&gt;".",AM28&lt;&gt;".",AN28=".",AO28&lt;&gt;"."),1/((1/AL28)+(1/AM28)+(1/AO28)),IF(AND(AL28&lt;&gt;".",AM28=".",AN28&lt;&gt;".",AO28&lt;&gt;"."),1/((1/AL28)+(1/AN28)+(1/AO28)),IF(AND(AL28=".",AM28&lt;&gt;".",AN28&lt;&gt;".",AO28&lt;&gt;"."),1/((1/AM28)+(1/AN28)+(1/AO28)),IF(AND(AL28&lt;&gt;".",AM28&lt;&gt;".",AN28=".",AO28="."),1/((1/AL28)+(1/AM28)),IF(AND(AL28&lt;&gt;".",AM28=".",AN28&lt;&gt;".",AO28="."),1/((1/AL28)+(1/AN28)),IF(AND(AL28&lt;&gt;".",AM28=".",AN28=".",AO28&lt;&gt;"."),1/((1/AL28)+(1/AO28)),IF(AND(AL28=".",AM28=".",AN28&lt;&gt;".",AO28&lt;&gt;"."),1/((1/AN28)+(1/AO28)),IF(AND(AL28=".",AM28&lt;&gt;".",AN28=".",AO28&lt;&gt;"."),1/((1/AM28)+(1/AO28)),IF(AND(AL28=".",AM28&lt;&gt;".",AN28&lt;&gt;".",AO28="."),1/((1/AM28)+(1/AN28)),IF(AND(AL28&lt;&gt;".",AM28=".",AN28=".",AO28="."),1/((1/AL28)),IF(AND(AL28=".",AM28&lt;&gt;".",AN28=".",AO28="."),1/((1/AM28)),IF(AND(AL28=".",AM28=".",AN28&lt;&gt;".",AO28="."),1/((1/AN28)),IF(AND(AL28=".",AM28=".",AN28=".",AO28&lt;&gt;"."),1/((1/AO28)),IF(AND(AL28=".",AM28=".",AN28=".",AO28="."),".")))))))))))))))))</f>
        <v>1.5731958335636468E-4</v>
      </c>
      <c r="AQ28" s="189">
        <f>AP28*(0.0000000000000028)*up_RadSpec!$AY28*up_RadSpec!$AF28</f>
        <v>4.6031710090072314E-16</v>
      </c>
      <c r="AR28" s="40">
        <f t="shared" si="4"/>
        <v>1375</v>
      </c>
      <c r="AS28" s="40">
        <f>IF(up_RadSpec!D28&lt;&gt;"",s_C*s_IFA_res_adj*s_K*up_RadSpec!D28,0)</f>
        <v>0</v>
      </c>
      <c r="AT28" s="40">
        <f t="shared" si="5"/>
        <v>0.12557077625570776</v>
      </c>
      <c r="AU28" s="40">
        <f>up_b2w!AC28</f>
        <v>30407.313038114935</v>
      </c>
      <c r="AV28" s="18"/>
      <c r="AW28" s="15">
        <f>IFERROR(s_DL/(up_RadSpec!F28*s_EF_res*1*s_IRF_res*0.001*s_CF_res_fish),".")</f>
        <v>6.6115702479338848E-4</v>
      </c>
      <c r="AX28" s="189">
        <f>IFERROR(AW28*(0.0000000000028)*up_RadSpec!$AY28*up_RadSpec!$AF28,0)</f>
        <v>1.9345454545454547E-12</v>
      </c>
      <c r="AY28" s="40">
        <f t="shared" si="6"/>
        <v>7562.5</v>
      </c>
    </row>
    <row r="29" spans="1:51" x14ac:dyDescent="0.25">
      <c r="A29" s="44" t="s">
        <v>27</v>
      </c>
      <c r="B29" s="42" t="s">
        <v>1057</v>
      </c>
      <c r="C29" s="238"/>
      <c r="D29" s="15">
        <f>IFERROR(((s_DL/(up_RadSpec!E29*s_IFS_res_adj*(1/1000)))*1),".")</f>
        <v>0.33057851239669422</v>
      </c>
      <c r="E29" s="15">
        <f>IFERROR(IF(A29="H-3",(s_DL/((up_RadSpec!H29*s_IFA_res_adj*(1/17)*1000))*1),(s_DL/((up_RadSpec!H29*s_IFA_res_adj*(1/s_PEF_wind)*1000))*1)),".")</f>
        <v>3089.9917851942919</v>
      </c>
      <c r="F29" s="15">
        <f>IFERROR((s_DL/(up_RadSpec!G29*s_EF_res*(1/365)*1*up_RadSpec!R29*((s_ET_res_o*(1/24)*up_RadSpec!W29)+(s_ET_res_i*(1/24)*up_RadSpec!AB29))))*1,".")</f>
        <v>157.1452227189933</v>
      </c>
      <c r="G29" s="15">
        <f>up_b2s!C29</f>
        <v>3.2968835384132272E-5</v>
      </c>
      <c r="H29" s="15">
        <f>up_dir!C29</f>
        <v>1.6528925619834712E-4</v>
      </c>
      <c r="I29" s="15">
        <f t="shared" si="11"/>
        <v>3.2965540438967856E-5</v>
      </c>
      <c r="J29" s="189">
        <f>IFERROR(I29*(0.0000000000028)*up_RadSpec!$AY29*up_RadSpec!$AF29,0)</f>
        <v>9.6918688890565499E-14</v>
      </c>
      <c r="K29" s="40">
        <f t="shared" si="0"/>
        <v>15.125</v>
      </c>
      <c r="L29" s="40">
        <f t="shared" si="1"/>
        <v>1.6181272791589674E-3</v>
      </c>
      <c r="M29" s="40">
        <f>IFERROR((s_C*s_EF_res*(1/365)*1*up_RadSpec!R29*((s_ET_res_o*(1/24)*up_RadSpec!W29)+(s_ET_res_i*(1/24)*up_RadSpec!AB29))),".")</f>
        <v>3.181770284510009E-2</v>
      </c>
      <c r="N29" s="40">
        <f>up_b2s!AC29</f>
        <v>151658.375</v>
      </c>
      <c r="O29" s="18"/>
      <c r="P29" s="15">
        <f>IFERROR((s_DL/(up_RadSpec!G29*s_EF_res*(1/365)*1*up_RadSpec!R29*((s_ET_res_o*(1/24)*up_RadSpec!W29)+(s_ET_res_i*(1/24)*up_RadSpec!AB29))))*1,".")</f>
        <v>157.1452227189933</v>
      </c>
      <c r="Q29" s="15">
        <f>IFERROR((s_DL/(up_RadSpec!N29*s_EF_res*(1/365)*1*up_RadSpec!S29*((s_ET_res_o*(1/24)*up_RadSpec!X29)+(s_ET_res_i*(1/24)*up_RadSpec!AC29))))*1,".")</f>
        <v>313.57788410419971</v>
      </c>
      <c r="R29" s="15">
        <f>IFERROR((s_DL/(up_RadSpec!O29*s_EF_res*(1/365)*1*up_RadSpec!T29*((s_ET_res_o*(1/24)*up_RadSpec!Y29)+(s_ET_res_i*(1/24)*up_RadSpec!AD29))))*1,".")</f>
        <v>223.39155097775784</v>
      </c>
      <c r="S29" s="15">
        <f>IFERROR((s_DL/(up_RadSpec!P29*s_EF_res*(1/365)*1*up_RadSpec!U29*((s_ET_res_o*(1/24)*up_RadSpec!Z29)+(s_ET_res_i*(1/24)*up_RadSpec!AE29))))*1,".")</f>
        <v>189.49370629370617</v>
      </c>
      <c r="T29" s="15">
        <f>IFERROR((s_DL/(up_RadSpec!L29*s_EF_res*(1/365)*1*up_RadSpec!Q29*((s_ET_res_o*(1/24)*up_RadSpec!V29)+(s_ET_res_i*(1/24)*up_RadSpec!AA29))))*1,".")</f>
        <v>563.08539944903589</v>
      </c>
      <c r="U29" s="189">
        <f>IFERROR(P29*(0.0000000000028)*up_RadSpec!$AY29*up_RadSpec!$AF29,0)</f>
        <v>4.6200695479384029E-7</v>
      </c>
      <c r="V29" s="189">
        <f>IFERROR(Q29*(0.0000000000028)*up_RadSpec!$AY29*up_RadSpec!$AF29,0)</f>
        <v>9.2191897926634712E-7</v>
      </c>
      <c r="W29" s="189">
        <f>IFERROR(R29*(0.0000000000028)*up_RadSpec!$AY29*up_RadSpec!$AF29,0)</f>
        <v>6.567711598746081E-7</v>
      </c>
      <c r="X29" s="189">
        <f>IFERROR(S29*(0.0000000000028)*up_RadSpec!$AY29*up_RadSpec!$AF29,0)</f>
        <v>5.5711149650349609E-7</v>
      </c>
      <c r="Y29" s="189">
        <f>IFERROR(T29*(0.0000000000028)*up_RadSpec!$AY29*up_RadSpec!$AF29,0)</f>
        <v>1.6554710743801655E-6</v>
      </c>
      <c r="Z29" s="40">
        <f>IFERROR((s_C*s_EF_res*(1/365)*1*up_RadSpec!R29*((s_ET_res_o*(1/24)*up_RadSpec!W29)+(s_ET_res_i*(1/24)*up_RadSpec!AB29))),".")</f>
        <v>3.181770284510009E-2</v>
      </c>
      <c r="AA29" s="40">
        <f>IFERROR((s_C*s_EF_res*(1/365)*1*up_RadSpec!S29*((s_ET_res_o*(1/24)*up_RadSpec!X29)+(s_ET_res_i*(1/24)*up_RadSpec!AC29))),".")</f>
        <v>1.5945002034450029E-2</v>
      </c>
      <c r="AB29" s="40">
        <f>IFERROR((s_C*s_EF_res*(1/365)*1*up_RadSpec!T29*((s_ET_res_o*(1/24)*up_RadSpec!Y29)+(s_ET_res_i*(1/24)*up_RadSpec!AD29))),".")</f>
        <v>2.2382225192114937E-2</v>
      </c>
      <c r="AC29" s="40">
        <f>IFERROR((s_C*s_EF_res*(1/365)*1*up_RadSpec!U29*((s_ET_res_o*(1/24)*up_RadSpec!Z29)+(s_ET_res_i*(1/24)*up_RadSpec!AE29))),".")</f>
        <v>2.6386100614076542E-2</v>
      </c>
      <c r="AD29" s="40">
        <f>IFERROR((s_C*s_EF_res*(1/365)*1*up_RadSpec!Q29*((s_ET_res_o*(1/24)*up_RadSpec!V29)+(s_ET_res_i*(1/24)*up_RadSpec!AA29))),".")</f>
        <v>8.8796477495107617E-3</v>
      </c>
      <c r="AE29" s="15">
        <f>IFERROR((s_DL/(up_RadSpec!H29*s_IFA_res_adj)),".")</f>
        <v>9.9740259740259754E-3</v>
      </c>
      <c r="AF29" s="15">
        <f>IFERROR((s_DL/(up_RadSpec!K29*s_EF_res*(1/365)*1*s_ET_res*(1/24)*s_GSF_a)),".")</f>
        <v>63.709090909090911</v>
      </c>
      <c r="AG29" s="15">
        <f t="shared" si="17"/>
        <v>9.9724647271019675E-3</v>
      </c>
      <c r="AH29" s="189">
        <f>AG29*(0.0000000000000028)*up_RadSpec!$AY29*up_RadSpec!$AF29</f>
        <v>2.9319046297679789E-14</v>
      </c>
      <c r="AI29" s="40">
        <f t="shared" si="2"/>
        <v>501.30208333333326</v>
      </c>
      <c r="AJ29" s="40">
        <f t="shared" si="3"/>
        <v>7.8481735159817351E-2</v>
      </c>
      <c r="AK29" s="18"/>
      <c r="AL29" s="15">
        <f>IFERROR((s_DL/(up_RadSpec!I29*s_IFW_res_adj)),".")</f>
        <v>3.6363636363636364E-3</v>
      </c>
      <c r="AM29" s="15">
        <f>IFERROR(IF(AND(up_RadSpec!C29=1,up_RadSpec!D29&lt;&gt;0),(s_DL/(up_RadSpec!H29*s_IFA_res_adj*s_K*up_RadSpec!D29)),"."),".")</f>
        <v>2157.7148215468005</v>
      </c>
      <c r="AN29" s="15">
        <f>IFERROR((s_DL/(up_RadSpec!M29*(1/8760)*s_DFA_res_adj)),".")</f>
        <v>39.81818181818182</v>
      </c>
      <c r="AO29" s="15">
        <f>up_b2w!C29</f>
        <v>1.6443412786038033E-4</v>
      </c>
      <c r="AP29" s="15">
        <f t="shared" si="18"/>
        <v>1.5731957188615126E-4</v>
      </c>
      <c r="AQ29" s="189">
        <f>AP29*(0.0000000000000028)*up_RadSpec!$AY29*up_RadSpec!$AF29</f>
        <v>4.6251954134528469E-16</v>
      </c>
      <c r="AR29" s="40">
        <f t="shared" si="4"/>
        <v>1375</v>
      </c>
      <c r="AS29" s="40">
        <f>IF(up_RadSpec!D29&lt;&gt;"",s_C*s_IFA_res_adj*s_K*up_RadSpec!D29,0)</f>
        <v>2.317266373697916E-3</v>
      </c>
      <c r="AT29" s="40">
        <f t="shared" si="5"/>
        <v>0.12557077625570776</v>
      </c>
      <c r="AU29" s="40">
        <f>up_b2w!AC29</f>
        <v>30407.313038114935</v>
      </c>
      <c r="AV29" s="18"/>
      <c r="AW29" s="15">
        <f>IFERROR(s_DL/(up_RadSpec!F29*s_EF_res*1*s_IRF_res*0.001*s_CF_res_fish),".")</f>
        <v>6.6115702479338848E-4</v>
      </c>
      <c r="AX29" s="189">
        <f>IFERROR(AW29*(0.0000000000028)*up_RadSpec!$AY29*up_RadSpec!$AF29,0)</f>
        <v>1.9438016528925621E-12</v>
      </c>
      <c r="AY29" s="40">
        <f t="shared" si="6"/>
        <v>7562.5</v>
      </c>
    </row>
    <row r="30" spans="1:51" x14ac:dyDescent="0.25">
      <c r="A30" s="44" t="s">
        <v>28</v>
      </c>
      <c r="B30" s="42" t="s">
        <v>1057</v>
      </c>
      <c r="C30" s="42"/>
      <c r="D30" s="15">
        <f>IFERROR(((s_DL/(up_RadSpec!E30*s_IFS_res_adj*(1/1000)))*1),".")</f>
        <v>0.33057851239669422</v>
      </c>
      <c r="E30" s="15">
        <f>IFERROR(IF(A30="H-3",(s_DL/((up_RadSpec!H30*s_IFA_res_adj*(1/17)*1000))*1),(s_DL/((up_RadSpec!H30*s_IFA_res_adj*(1/s_PEF_wind)*1000))*1)),".")</f>
        <v>3089.9917851942919</v>
      </c>
      <c r="F30" s="15">
        <f>IFERROR((s_DL/(up_RadSpec!G30*s_EF_res*(1/365)*1*up_RadSpec!R30*((s_ET_res_o*(1/24)*up_RadSpec!W30)+(s_ET_res_i*(1/24)*up_RadSpec!AB30))))*1,".")</f>
        <v>1474.7474747474748</v>
      </c>
      <c r="G30" s="15">
        <f>up_b2s!C30</f>
        <v>3.2968835384132272E-5</v>
      </c>
      <c r="H30" s="15">
        <f>up_dir!C30</f>
        <v>1.6528925619834712E-4</v>
      </c>
      <c r="I30" s="15">
        <f>(IF(AND(D30&lt;&gt;".",E30&lt;&gt;".",F30&lt;&gt;".",G30&lt;&gt;"."),1/((1/D30)+(1/E30)+(1/F30)+(1/G30)),IF(AND(D30&lt;&gt;".",E30&lt;&gt;".",F30&lt;&gt;".",G30="."), 1/((1/D30)+(1/E30)+(1/F30)),IF(AND(D30&lt;&gt;".",E30&lt;&gt;".",F30=".",G30&lt;&gt;"."),1/((1/D30)+(1/E30)+(1/G30)),IF(AND(D30&lt;&gt;".",E30=".",F30&lt;&gt;".",G30&lt;&gt;"."),1/((1/D30)+(1/F30)+(1/G30)),IF(AND(D30=".",E30&lt;&gt;".",F30&lt;&gt;".",G30&lt;&gt;"."),1/((1/E30)+(1/F30)+(1/G30)),IF(AND(D30&lt;&gt;".",E30&lt;&gt;".",F30=".",G30="."),1/((1/D30)+(1/E30)),IF(AND(D30&lt;&gt;".",E30=".",F30&lt;&gt;".",G30="."),1/((1/D30)+(1/F30)),IF(AND(D30&lt;&gt;".",E30=".",F30=".",G30&lt;&gt;"."),1/((1/D30)+(1/G30)),IF(AND(D30=".",E30=".",F30&lt;&gt;".",G30&lt;&gt;"."),1/((1/F30)+(1/G30)),IF(AND(D30=".",E30&lt;&gt;".",F30=".",G30&lt;&gt;"."),1/((1/E30)+(1/G30)),IF(AND(D30=".",E30&lt;&gt;".",F30&lt;&gt;".",G30="."),1/((1/E30)+(1/F30)),IF(AND(D30&lt;&gt;".",E30=".",F30=".",G30="."),1/((1/D30)),IF(AND(D30=".",E30&lt;&gt;".",F30=".",G30="."),1/((1/E30)),IF(AND(D30=".",E30=".",F30&lt;&gt;".",G30="."),1/((1/F30)),IF(AND(D30=".",E30=".",F30=".",G30&lt;&gt;"."),1/((1/G30)),IF(AND(D30=".",E30=".",F30=".",G30="."),".")))))))))))))))))</f>
        <v>3.2965546617509327E-5</v>
      </c>
      <c r="J30" s="189">
        <f>IFERROR(I30*(0.0000000000028)*up_RadSpec!$AY30*up_RadSpec!$AF30,0)</f>
        <v>1.0753361306631543E-13</v>
      </c>
      <c r="K30" s="40">
        <f t="shared" si="0"/>
        <v>15.125</v>
      </c>
      <c r="L30" s="40">
        <f t="shared" si="1"/>
        <v>1.6181272791589674E-3</v>
      </c>
      <c r="M30" s="40">
        <f>IFERROR((s_C*s_EF_res*(1/365)*1*up_RadSpec!R30*((s_ET_res_o*(1/24)*up_RadSpec!W30)+(s_ET_res_i*(1/24)*up_RadSpec!AB30))),".")</f>
        <v>3.3904109589041093E-3</v>
      </c>
      <c r="N30" s="40">
        <f>up_b2s!AC30</f>
        <v>151658.375</v>
      </c>
      <c r="O30" s="18"/>
      <c r="P30" s="15">
        <f>IFERROR((s_DL/(up_RadSpec!G30*s_EF_res*(1/365)*1*up_RadSpec!R30*((s_ET_res_o*(1/24)*up_RadSpec!W30)+(s_ET_res_i*(1/24)*up_RadSpec!AB30))))*1,".")</f>
        <v>1474.7474747474748</v>
      </c>
      <c r="Q30" s="15">
        <f>IFERROR((s_DL/(up_RadSpec!N30*s_EF_res*(1/365)*1*up_RadSpec!S30*((s_ET_res_o*(1/24)*up_RadSpec!X30)+(s_ET_res_i*(1/24)*up_RadSpec!AC30))))*1,".")</f>
        <v>7224.7422680412365</v>
      </c>
      <c r="R30" s="15">
        <f>IFERROR((s_DL/(up_RadSpec!O30*s_EF_res*(1/365)*1*up_RadSpec!T30*((s_ET_res_o*(1/24)*up_RadSpec!Y30)+(s_ET_res_i*(1/24)*up_RadSpec!AD30))))*1,".")</f>
        <v>2603.5517512790229</v>
      </c>
      <c r="S30" s="15">
        <f>IFERROR((s_DL/(up_RadSpec!P30*s_EF_res*(1/365)*1*up_RadSpec!U30*((s_ET_res_o*(1/24)*up_RadSpec!Z30)+(s_ET_res_i*(1/24)*up_RadSpec!AE30))))*1,".")</f>
        <v>1937.953387868499</v>
      </c>
      <c r="T30" s="15">
        <f>IFERROR((s_DL/(up_RadSpec!L30*s_EF_res*(1/365)*1*up_RadSpec!Q30*((s_ET_res_o*(1/24)*up_RadSpec!V30)+(s_ET_res_i*(1/24)*up_RadSpec!AA30))))*1,".")</f>
        <v>176969.69696969693</v>
      </c>
      <c r="U30" s="189">
        <f>IFERROR(P30*(0.0000000000028)*up_RadSpec!$AY30*up_RadSpec!$AF30,0)</f>
        <v>4.8106262626262622E-6</v>
      </c>
      <c r="V30" s="189">
        <f>IFERROR(Q30*(0.0000000000028)*up_RadSpec!$AY30*up_RadSpec!$AF30,0)</f>
        <v>2.3567109278350515E-5</v>
      </c>
      <c r="W30" s="189">
        <f>IFERROR(R30*(0.0000000000028)*up_RadSpec!$AY30*up_RadSpec!$AF30,0)</f>
        <v>8.4927858126721732E-6</v>
      </c>
      <c r="X30" s="189">
        <f>IFERROR(S30*(0.0000000000028)*up_RadSpec!$AY30*up_RadSpec!$AF30,0)</f>
        <v>6.3216039512270449E-6</v>
      </c>
      <c r="Y30" s="189">
        <f>IFERROR(T30*(0.0000000000028)*up_RadSpec!$AY30*up_RadSpec!$AF30,0)</f>
        <v>5.7727515151515137E-4</v>
      </c>
      <c r="Z30" s="40">
        <f>IFERROR((s_C*s_EF_res*(1/365)*1*up_RadSpec!R30*((s_ET_res_o*(1/24)*up_RadSpec!W30)+(s_ET_res_i*(1/24)*up_RadSpec!AB30))),".")</f>
        <v>3.3904109589041093E-3</v>
      </c>
      <c r="AA30" s="40">
        <f>IFERROR((s_C*s_EF_res*(1/365)*1*up_RadSpec!S30*((s_ET_res_o*(1/24)*up_RadSpec!X30)+(s_ET_res_i*(1/24)*up_RadSpec!AC30))),".")</f>
        <v>6.9206621004566215E-4</v>
      </c>
      <c r="AB30" s="40">
        <f>IFERROR((s_C*s_EF_res*(1/365)*1*up_RadSpec!T30*((s_ET_res_o*(1/24)*up_RadSpec!Y30)+(s_ET_res_i*(1/24)*up_RadSpec!AD30))),".")</f>
        <v>1.9204534718941905E-3</v>
      </c>
      <c r="AC30" s="40">
        <f>IFERROR((s_C*s_EF_res*(1/365)*1*up_RadSpec!U30*((s_ET_res_o*(1/24)*up_RadSpec!Z30)+(s_ET_res_i*(1/24)*up_RadSpec!AE30))),".")</f>
        <v>2.5800414144632037E-3</v>
      </c>
      <c r="AD30" s="40">
        <f>IFERROR((s_C*s_EF_res*(1/365)*1*up_RadSpec!Q30*((s_ET_res_o*(1/24)*up_RadSpec!V30)+(s_ET_res_i*(1/24)*up_RadSpec!AA30))),".")</f>
        <v>2.825342465753425E-5</v>
      </c>
      <c r="AE30" s="15">
        <f>IFERROR((s_DL/(up_RadSpec!H30*s_IFA_res_adj)),".")</f>
        <v>9.9740259740259754E-3</v>
      </c>
      <c r="AF30" s="15">
        <f>IFERROR((s_DL/(up_RadSpec!K30*s_EF_res*(1/365)*1*s_ET_res*(1/24)*s_GSF_a)),".")</f>
        <v>63.709090909090911</v>
      </c>
      <c r="AG30" s="15">
        <f>IFERROR(IF(AND(AE30&lt;&gt;".",AF30&lt;&gt;"."),1/((1/AE30)+(1/AF30)),IF(AND(AE30&lt;&gt;".",AF30="."),1/((1/AE30)),IF(AND(AE30=".",AF30&lt;&gt;"."),1/((1/AF30)),IF(AND(AE30=".",AF30="."),".")))),".")</f>
        <v>9.9724647271019675E-3</v>
      </c>
      <c r="AH30" s="189">
        <f>AG30*(0.0000000000000028)*up_RadSpec!$AY30*up_RadSpec!$AF30</f>
        <v>3.2530179939806619E-14</v>
      </c>
      <c r="AI30" s="40">
        <f t="shared" si="2"/>
        <v>501.30208333333326</v>
      </c>
      <c r="AJ30" s="40">
        <f t="shared" si="3"/>
        <v>7.8481735159817351E-2</v>
      </c>
      <c r="AK30" s="18"/>
      <c r="AL30" s="15">
        <f>IFERROR((s_DL/(up_RadSpec!I30*s_IFW_res_adj)),".")</f>
        <v>3.6363636363636364E-3</v>
      </c>
      <c r="AM30" s="15" t="str">
        <f>IFERROR(IF(AND(up_RadSpec!C30=1,up_RadSpec!D30&lt;&gt;0),(s_DL/(up_RadSpec!H30*s_IFA_res_adj*s_K*up_RadSpec!D30)),"."),".")</f>
        <v>.</v>
      </c>
      <c r="AN30" s="15">
        <f>IFERROR((s_DL/(up_RadSpec!M30*(1/8760)*s_DFA_res_adj)),".")</f>
        <v>39.81818181818182</v>
      </c>
      <c r="AO30" s="15">
        <f>up_b2w!C30</f>
        <v>1.6443412786038033E-4</v>
      </c>
      <c r="AP30" s="15">
        <f>(IF(AND(AL30&lt;&gt;".",AM30&lt;&gt;".",AN30&lt;&gt;".",AO30&lt;&gt;"."),1/((1/AL30)+(1/AM30)+(1/AN30)+(1/AO30)),IF(AND(AL30&lt;&gt;".",AM30&lt;&gt;".",AN30&lt;&gt;".",AO30="."), 1/((1/AL30)+(1/AM30)+(1/AN30)),IF(AND(AL30&lt;&gt;".",AM30&lt;&gt;".",AN30=".",AO30&lt;&gt;"."),1/((1/AL30)+(1/AM30)+(1/AO30)),IF(AND(AL30&lt;&gt;".",AM30=".",AN30&lt;&gt;".",AO30&lt;&gt;"."),1/((1/AL30)+(1/AN30)+(1/AO30)),IF(AND(AL30=".",AM30&lt;&gt;".",AN30&lt;&gt;".",AO30&lt;&gt;"."),1/((1/AM30)+(1/AN30)+(1/AO30)),IF(AND(AL30&lt;&gt;".",AM30&lt;&gt;".",AN30=".",AO30="."),1/((1/AL30)+(1/AM30)),IF(AND(AL30&lt;&gt;".",AM30=".",AN30&lt;&gt;".",AO30="."),1/((1/AL30)+(1/AN30)),IF(AND(AL30&lt;&gt;".",AM30=".",AN30=".",AO30&lt;&gt;"."),1/((1/AL30)+(1/AO30)),IF(AND(AL30=".",AM30=".",AN30&lt;&gt;".",AO30&lt;&gt;"."),1/((1/AN30)+(1/AO30)),IF(AND(AL30=".",AM30&lt;&gt;".",AN30=".",AO30&lt;&gt;"."),1/((1/AM30)+(1/AO30)),IF(AND(AL30=".",AM30&lt;&gt;".",AN30&lt;&gt;".",AO30="."),1/((1/AM30)+(1/AN30)),IF(AND(AL30&lt;&gt;".",AM30=".",AN30=".",AO30="."),1/((1/AL30)),IF(AND(AL30=".",AM30&lt;&gt;".",AN30=".",AO30="."),1/((1/AM30)),IF(AND(AL30=".",AM30=".",AN30&lt;&gt;".",AO30="."),1/((1/AN30)),IF(AND(AL30=".",AM30=".",AN30=".",AO30&lt;&gt;"."),1/((1/AO30)),IF(AND(AL30=".",AM30=".",AN30=".",AO30="."),".")))))))))))))))))</f>
        <v>1.5731958335636468E-4</v>
      </c>
      <c r="AQ30" s="189">
        <f>AP30*(0.0000000000000028)*up_RadSpec!$AY30*up_RadSpec!$AF30</f>
        <v>5.1317648090846162E-16</v>
      </c>
      <c r="AR30" s="40">
        <f t="shared" si="4"/>
        <v>1375</v>
      </c>
      <c r="AS30" s="40">
        <f>IF(up_RadSpec!D30&lt;&gt;"",s_C*s_IFA_res_adj*s_K*up_RadSpec!D30,0)</f>
        <v>0</v>
      </c>
      <c r="AT30" s="40">
        <f t="shared" si="5"/>
        <v>0.12557077625570776</v>
      </c>
      <c r="AU30" s="40">
        <f>up_b2w!AC30</f>
        <v>30407.313038114935</v>
      </c>
      <c r="AV30" s="18"/>
      <c r="AW30" s="15">
        <f>IFERROR(s_DL/(up_RadSpec!F30*s_EF_res*1*s_IRF_res*0.001*s_CF_res_fish),".")</f>
        <v>6.6115702479338848E-4</v>
      </c>
      <c r="AX30" s="189">
        <f>IFERROR(AW30*(0.0000000000028)*up_RadSpec!$AY30*up_RadSpec!$AF30,0)</f>
        <v>2.1566942148760333E-12</v>
      </c>
      <c r="AY30" s="40">
        <f t="shared" si="6"/>
        <v>7562.5</v>
      </c>
    </row>
    <row r="31" spans="1:51" x14ac:dyDescent="0.25">
      <c r="A31" s="57" t="s">
        <v>1</v>
      </c>
      <c r="B31" s="57" t="s">
        <v>1185</v>
      </c>
      <c r="C31" s="57"/>
      <c r="D31" s="58">
        <f t="shared" ref="D31:I31" si="19">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2.7549035837466318E-2</v>
      </c>
      <c r="E31" s="58">
        <f t="shared" si="19"/>
        <v>257.50704064407699</v>
      </c>
      <c r="F31" s="58">
        <f t="shared" si="19"/>
        <v>59.962644451861991</v>
      </c>
      <c r="G31" s="58">
        <f t="shared" si="19"/>
        <v>2.7474853732388867E-6</v>
      </c>
      <c r="H31" s="58">
        <f t="shared" si="19"/>
        <v>1.3774517918733154E-5</v>
      </c>
      <c r="I31" s="59">
        <f t="shared" si="19"/>
        <v>2.7472112366763277E-6</v>
      </c>
      <c r="J31" s="190">
        <f>I31*(0.0000000000028)*up_RadSpec!$AY3*up_RadSpec!$AF3</f>
        <v>9.269090712545931E-15</v>
      </c>
      <c r="K31" s="47">
        <f>IFERROR(SUM(K32:K44),".")</f>
        <v>907.47277499999996</v>
      </c>
      <c r="L31" s="47">
        <f>IFERROR(SUM(L32:L44),".")</f>
        <v>9.7084724120435575E-2</v>
      </c>
      <c r="M31" s="47">
        <f>IFERROR(SUM(M32:M44),".")</f>
        <v>0.41692624180492904</v>
      </c>
      <c r="N31" s="47">
        <f>IFERROR(SUM(N32:N44),".")</f>
        <v>9099229.5149250012</v>
      </c>
      <c r="O31" s="47">
        <f>IFERROR(SUM(K32:N44),".")</f>
        <v>9100137.5017109662</v>
      </c>
      <c r="P31" s="59">
        <f>IFERROR(1/SUM(IFERROR(1/SUMIF(P32,"&lt;&gt;.",P32),0),IFERROR(1/SUMIF(P33,"&lt;&gt;.",P33),0),IFERROR(1/SUMIF(P34,"&lt;&gt;.",P34),0),IFERROR(1/SUMIF(P35,"&lt;&gt;.",P35),0),IFERROR(1/SUMIF(P36,"&lt;&gt;.",P36),0),IFERROR(1/SUMIF(P37,"&lt;&gt;.",P37),0),IFERROR(1/SUMIF(P38,"&lt;&gt;.",P38),0),IFERROR(1/SUMIF(P39,"&lt;&gt;.",P39),0),IFERROR(1/SUMIF(P40,"&lt;&gt;.",P40),0),IFERROR(1/SUMIF(P41,"&lt;&gt;.",P41),0),IFERROR(1/SUMIF(P42,"&lt;&gt;.",P42),0),IFERROR(1/SUMIF(P43,"&lt;&gt;.",P43),0),IFERROR(1/SUMIF(P44,"&lt;&gt;.",P44),0)),".")</f>
        <v>59.962644451861991</v>
      </c>
      <c r="Q31" s="59">
        <f>IFERROR(1/SUM(IFERROR(1/SUMIF(Q32,"&lt;&gt;.",Q32),0),IFERROR(1/SUMIF(Q33,"&lt;&gt;.",Q33),0),IFERROR(1/SUMIF(Q34,"&lt;&gt;.",Q34),0),IFERROR(1/SUMIF(Q35,"&lt;&gt;.",Q35),0),IFERROR(1/SUMIF(Q36,"&lt;&gt;.",Q36),0),IFERROR(1/SUMIF(Q37,"&lt;&gt;.",Q37),0),IFERROR(1/SUMIF(Q38,"&lt;&gt;.",Q38),0),IFERROR(1/SUMIF(Q39,"&lt;&gt;.",Q39),0),IFERROR(1/SUMIF(Q40,"&lt;&gt;.",Q40),0),IFERROR(1/SUMIF(Q41,"&lt;&gt;.",Q41),0),IFERROR(1/SUMIF(Q42,"&lt;&gt;.",Q42),0),IFERROR(1/SUMIF(Q43,"&lt;&gt;.",Q43),0),IFERROR(1/SUMIF(Q44,"&lt;&gt;.",Q44),0)),".")</f>
        <v>110.81340781663027</v>
      </c>
      <c r="R31" s="59">
        <f>IFERROR(1/SUM(IFERROR(1/SUMIF(R32,"&lt;&gt;.",R32),0),IFERROR(1/SUMIF(R33,"&lt;&gt;.",R33),0),IFERROR(1/SUMIF(R34,"&lt;&gt;.",R34),0),IFERROR(1/SUMIF(R35,"&lt;&gt;.",R35),0),IFERROR(1/SUMIF(R36,"&lt;&gt;.",R36),0),IFERROR(1/SUMIF(R37,"&lt;&gt;.",R37),0),IFERROR(1/SUMIF(R38,"&lt;&gt;.",R38),0),IFERROR(1/SUMIF(R39,"&lt;&gt;.",R39),0),IFERROR(1/SUMIF(R40,"&lt;&gt;.",R40),0),IFERROR(1/SUMIF(R41,"&lt;&gt;.",R41),0),IFERROR(1/SUMIF(R42,"&lt;&gt;.",R42),0),IFERROR(1/SUMIF(R43,"&lt;&gt;.",R43),0),IFERROR(1/SUMIF(R44,"&lt;&gt;.",R44),0)),".")</f>
        <v>78.295451610689085</v>
      </c>
      <c r="S31" s="59">
        <f>IFERROR(1/SUM(IFERROR(1/SUMIF(S32,"&lt;&gt;.",S32),0),IFERROR(1/SUMIF(S33,"&lt;&gt;.",S33),0),IFERROR(1/SUMIF(S34,"&lt;&gt;.",S34),0),IFERROR(1/SUMIF(S35,"&lt;&gt;.",S35),0),IFERROR(1/SUMIF(S36,"&lt;&gt;.",S36),0),IFERROR(1/SUMIF(S37,"&lt;&gt;.",S37),0),IFERROR(1/SUMIF(S38,"&lt;&gt;.",S38),0),IFERROR(1/SUMIF(S39,"&lt;&gt;.",S39),0),IFERROR(1/SUMIF(S40,"&lt;&gt;.",S40),0),IFERROR(1/SUMIF(S41,"&lt;&gt;.",S41),0),IFERROR(1/SUMIF(S42,"&lt;&gt;.",S42),0),IFERROR(1/SUMIF(S43,"&lt;&gt;.",S43),0),IFERROR(1/SUMIF(S44,"&lt;&gt;.",S44),0)),".")</f>
        <v>68.016673019499251</v>
      </c>
      <c r="T31" s="59">
        <f>IFERROR(1/SUM(IFERROR(1/SUMIF(T32,"&lt;&gt;.",T32),0),IFERROR(1/SUMIF(T33,"&lt;&gt;.",T33),0),IFERROR(1/SUMIF(T34,"&lt;&gt;.",T34),0),IFERROR(1/SUMIF(T35,"&lt;&gt;.",T35),0),IFERROR(1/SUMIF(T36,"&lt;&gt;.",T36),0),IFERROR(1/SUMIF(T37,"&lt;&gt;.",T37),0),IFERROR(1/SUMIF(T38,"&lt;&gt;.",T38),0),IFERROR(1/SUMIF(T39,"&lt;&gt;.",T39),0),IFERROR(1/SUMIF(T40,"&lt;&gt;.",T40),0),IFERROR(1/SUMIF(T41,"&lt;&gt;.",T41),0),IFERROR(1/SUMIF(T42,"&lt;&gt;.",T42),0),IFERROR(1/SUMIF(T43,"&lt;&gt;.",T43),0),IFERROR(1/SUMIF(T44,"&lt;&gt;.",T44),0)),".")</f>
        <v>234.10293166978016</v>
      </c>
      <c r="U31" s="190">
        <f>P31*(0.0000000000028)*up_RadSpec!$AY3*up_RadSpec!$AF3</f>
        <v>2.0231396238058237E-7</v>
      </c>
      <c r="V31" s="190">
        <f>Q31*(0.0000000000028)*up_RadSpec!$AY3*up_RadSpec!$AF3</f>
        <v>3.7388443797331054E-7</v>
      </c>
      <c r="W31" s="190">
        <f>R31*(0.0000000000028)*up_RadSpec!$AY3*up_RadSpec!$AF3</f>
        <v>2.6416885373446495E-7</v>
      </c>
      <c r="X31" s="190">
        <f>S31*(0.0000000000028)*up_RadSpec!$AY3*up_RadSpec!$AF3</f>
        <v>2.2948825476779049E-7</v>
      </c>
      <c r="Y31" s="190">
        <f>T31*(0.0000000000000028)*up_RadSpec!$AY3*up_RadSpec!$AF3</f>
        <v>7.8986329145383825E-10</v>
      </c>
      <c r="Z31" s="47">
        <f>IFERROR(SUM(Z32:Z44),".")</f>
        <v>0.41692624180492904</v>
      </c>
      <c r="AA31" s="47">
        <f t="shared" ref="AA31:AD31" si="20">IFERROR(SUM(AA32:AA44),".")</f>
        <v>0.2256044687423478</v>
      </c>
      <c r="AB31" s="47">
        <f t="shared" si="20"/>
        <v>0.31930335013977923</v>
      </c>
      <c r="AC31" s="47">
        <f t="shared" si="20"/>
        <v>0.3675569370003281</v>
      </c>
      <c r="AD31" s="47">
        <f t="shared" si="20"/>
        <v>0.10679063188864454</v>
      </c>
      <c r="AE31" s="58">
        <f>IFERROR(1/SUM(IFERROR(1/SUMIF(AE32,"&lt;&gt;.",AE32),0),IFERROR(1/SUMIF(AE33,"&lt;&gt;.",AE33),0),IFERROR(1/SUMIF(AE34,"&lt;&gt;.",AE34),0),IFERROR(1/SUMIF(AE35,"&lt;&gt;.",AE35),0),IFERROR(1/SUMIF(AE36,"&lt;&gt;.",AE36),0),IFERROR(1/SUMIF(AE37,"&lt;&gt;.",AE37),0),IFERROR(1/SUMIF(AE38,"&lt;&gt;.",AE38),0),IFERROR(1/SUMIF(AE39,"&lt;&gt;.",AE39),0),IFERROR(1/SUMIF(AE40,"&lt;&gt;.",AE40),0),IFERROR(1/SUMIF(AE41,"&lt;&gt;.",AE41),0),IFERROR(1/SUMIF(AE42,"&lt;&gt;.",AE42),0),IFERROR(1/SUMIF(AE43,"&lt;&gt;.",AE43),0),IFERROR(1/SUMIF(AE44,"&lt;&gt;.",AE44),0)),".")</f>
        <v>8.311937669818407E-4</v>
      </c>
      <c r="AF31" s="58">
        <f>IFERROR(1/SUM(IFERROR(1/SUMIF(AF32,"&lt;&gt;.",AF32),0),IFERROR(1/SUMIF(AF33,"&lt;&gt;.",AF33),0),IFERROR(1/SUMIF(AF34,"&lt;&gt;.",AF34),0),IFERROR(1/SUMIF(AF35,"&lt;&gt;.",AF35),0),IFERROR(1/SUMIF(AF36,"&lt;&gt;.",AF36),0),IFERROR(1/SUMIF(AF37,"&lt;&gt;.",AF37),0),IFERROR(1/SUMIF(AF38,"&lt;&gt;.",AF38),0),IFERROR(1/SUMIF(AF39,"&lt;&gt;.",AF39),0),IFERROR(1/SUMIF(AF40,"&lt;&gt;.",AF40),0),IFERROR(1/SUMIF(AF41,"&lt;&gt;.",AF41),0),IFERROR(1/SUMIF(AF42,"&lt;&gt;.",AF42),0),IFERROR(1/SUMIF(AF43,"&lt;&gt;.",AF43),0),IFERROR(1/SUMIF(AF44,"&lt;&gt;.",AF44),0)),".")</f>
        <v>5.3092501865965076</v>
      </c>
      <c r="AG31" s="59">
        <f>IFERROR(1/SUM(IFERROR(1/SUMIF(AG32,"&lt;&gt;.",AG32),0),IFERROR(1/SUMIF(AG33,"&lt;&gt;.",AG33),0),IFERROR(1/SUMIF(AG34,"&lt;&gt;.",AG34),0),IFERROR(1/SUMIF(AG35,"&lt;&gt;.",AG35),0),IFERROR(1/SUMIF(AG36,"&lt;&gt;.",AG36),0),IFERROR(1/SUMIF(AG37,"&lt;&gt;.",AG37),0),IFERROR(1/SUMIF(AG38,"&lt;&gt;.",AG38),0),IFERROR(1/SUMIF(AG39,"&lt;&gt;.",AG39),0),IFERROR(1/SUMIF(AG40,"&lt;&gt;.",AG40),0),IFERROR(1/SUMIF(AG41,"&lt;&gt;.",AG41),0),IFERROR(1/SUMIF(AG42,"&lt;&gt;.",AG42),0),IFERROR(1/SUMIF(AG43,"&lt;&gt;.",AG43),0),IFERROR(1/SUMIF(AG44,"&lt;&gt;.",AG44),0)),".")</f>
        <v>8.3106365916827253E-4</v>
      </c>
      <c r="AH31" s="190">
        <f>AG31*(0.0000000000000028)*up_RadSpec!$AY3*up_RadSpec!$AF3</f>
        <v>2.8040087860337519E-15</v>
      </c>
      <c r="AI31" s="47">
        <f t="shared" ref="AI31" si="21">IFERROR(SUM(AI32:AI44),".")</f>
        <v>30077.222656249985</v>
      </c>
      <c r="AJ31" s="47">
        <f t="shared" ref="AJ31:AK31" si="22">IFERROR(SUM(AJ32:AJ44),".")</f>
        <v>4.7087628424657533</v>
      </c>
      <c r="AK31" s="47">
        <f t="shared" si="22"/>
        <v>30081.93141909246</v>
      </c>
      <c r="AL31" s="58">
        <f>IFERROR(1/SUM(IFERROR(1/SUMIF(AL32,"&lt;&gt;.",AL32),0),IFERROR(1/SUMIF(AL33,"&lt;&gt;.",AL33),0),IFERROR(1/SUMIF(AL34,"&lt;&gt;.",AL34),0),IFERROR(1/SUMIF(AL35,"&lt;&gt;.",AL35),0),IFERROR(1/SUMIF(AL36,"&lt;&gt;.",AL36),0),IFERROR(1/SUMIF(AL37,"&lt;&gt;.",AL37),0),IFERROR(1/SUMIF(AL38,"&lt;&gt;.",AL38),0),IFERROR(1/SUMIF(AL39,"&lt;&gt;.",AL39),0),IFERROR(1/SUMIF(AL40,"&lt;&gt;.",AL40),0),IFERROR(1/SUMIF(AL41,"&lt;&gt;.",AL41),0),IFERROR(1/SUMIF(AL42,"&lt;&gt;.",AL42),0),IFERROR(1/SUMIF(AL43,"&lt;&gt;.",AL43),0),IFERROR(1/SUMIF(AL44,"&lt;&gt;.",AL44),0)),".")</f>
        <v>3.0303939421212937E-4</v>
      </c>
      <c r="AM31" s="58" t="str">
        <f>IFERROR(1/SUM(IFERROR(1/SUMIF(AM32,"&lt;&gt;.",AM32),0),IFERROR(1/SUMIF(AM33,"&lt;&gt;.",AM33),0),IFERROR(1/SUMIF(AM34,"&lt;&gt;.",AM34),0),IFERROR(1/SUMIF(AM35,"&lt;&gt;.",AM35),0),IFERROR(1/SUMIF(AM36,"&lt;&gt;.",AM36),0),IFERROR(1/SUMIF(AM37,"&lt;&gt;.",AM37),0),IFERROR(1/SUMIF(AM38,"&lt;&gt;.",AM38),0),IFERROR(1/SUMIF(AM39,"&lt;&gt;.",AM39),0),IFERROR(1/SUMIF(AM40,"&lt;&gt;.",AM40),0),IFERROR(1/SUMIF(AM41,"&lt;&gt;.",AM41),0),IFERROR(1/SUMIF(AM42,"&lt;&gt;.",AM42),0),IFERROR(1/SUMIF(AM43,"&lt;&gt;.",AM43),0),IFERROR(1/SUMIF(AM44,"&lt;&gt;.",AM44),0)),".")</f>
        <v>.</v>
      </c>
      <c r="AN31" s="58">
        <f>IFERROR(1/SUM(IFERROR(1/SUMIF(AN32,"&lt;&gt;.",AN32),0),IFERROR(1/SUMIF(AN33,"&lt;&gt;.",AN33),0),IFERROR(1/SUMIF(AN34,"&lt;&gt;.",AN34),0),IFERROR(1/SUMIF(AN35,"&lt;&gt;.",AN35),0),IFERROR(1/SUMIF(AN36,"&lt;&gt;.",AN36),0),IFERROR(1/SUMIF(AN37,"&lt;&gt;.",AN37),0),IFERROR(1/SUMIF(AN38,"&lt;&gt;.",AN38),0),IFERROR(1/SUMIF(AN39,"&lt;&gt;.",AN39),0),IFERROR(1/SUMIF(AN40,"&lt;&gt;.",AN40),0),IFERROR(1/SUMIF(AN41,"&lt;&gt;.",AN41),0),IFERROR(1/SUMIF(AN42,"&lt;&gt;.",AN42),0),IFERROR(1/SUMIF(AN43,"&lt;&gt;.",AN43),0),IFERROR(1/SUMIF(AN44,"&lt;&gt;.",AN44),0)),".")</f>
        <v>3.3182813666228168</v>
      </c>
      <c r="AO31" s="58">
        <f>IFERROR(1/SUM(IFERROR(1/SUMIF(AO32,"&lt;&gt;.",AO32),0),IFERROR(1/SUMIF(AO33,"&lt;&gt;.",AO33),0),IFERROR(1/SUMIF(AO34,"&lt;&gt;.",AO34),0),IFERROR(1/SUMIF(AO35,"&lt;&gt;.",AO35),0),IFERROR(1/SUMIF(AO36,"&lt;&gt;.",AO36),0),IFERROR(1/SUMIF(AO37,"&lt;&gt;.",AO37),0),IFERROR(1/SUMIF(AO38,"&lt;&gt;.",AO38),0),IFERROR(1/SUMIF(AO39,"&lt;&gt;.",AO39),0),IFERROR(1/SUMIF(AO40,"&lt;&gt;.",AO40),0),IFERROR(1/SUMIF(AO41,"&lt;&gt;.",AO41),0),IFERROR(1/SUMIF(AO42,"&lt;&gt;.",AO42),0),IFERROR(1/SUMIF(AO43,"&lt;&gt;.",AO43),0),IFERROR(1/SUMIF(AO44,"&lt;&gt;.",AO44),0)),".")</f>
        <v>1.3703255086017612E-5</v>
      </c>
      <c r="AP31" s="59">
        <f>IFERROR(1/SUM(IFERROR(1/SUMIF(AP32,"&lt;&gt;.",AP32),0),IFERROR(1/SUMIF(AP33,"&lt;&gt;.",AP33),0),IFERROR(1/SUMIF(AP34,"&lt;&gt;.",AP34),0),IFERROR(1/SUMIF(AP35,"&lt;&gt;.",AP35),0),IFERROR(1/SUMIF(AP36,"&lt;&gt;.",AP36),0),IFERROR(1/SUMIF(AP37,"&lt;&gt;.",AP37),0),IFERROR(1/SUMIF(AP38,"&lt;&gt;.",AP38),0),IFERROR(1/SUMIF(AP39,"&lt;&gt;.",AP39),0),IFERROR(1/SUMIF(AP40,"&lt;&gt;.",AP40),0),IFERROR(1/SUMIF(AP41,"&lt;&gt;.",AP41),0),IFERROR(1/SUMIF(AP42,"&lt;&gt;.",AP42),0),IFERROR(1/SUMIF(AP43,"&lt;&gt;.",AP43),0),IFERROR(1/SUMIF(AP44,"&lt;&gt;.",AP44),0)),".")</f>
        <v>1.3110358590454771E-5</v>
      </c>
      <c r="AQ31" s="190">
        <f>AP31*(0.0000000000000028)*up_RadSpec!$AY3*up_RadSpec!$AF3</f>
        <v>4.4234349884194399E-17</v>
      </c>
      <c r="AR31" s="47">
        <f t="shared" ref="AR31" si="23">IFERROR(SUM(AR32:AR44),".")</f>
        <v>82497.524999999994</v>
      </c>
      <c r="AS31" s="47">
        <f t="shared" ref="AS31:AV31" si="24">IFERROR(SUM(AS32:AS44),".")</f>
        <v>0</v>
      </c>
      <c r="AT31" s="47">
        <f t="shared" si="24"/>
        <v>7.5340205479452074</v>
      </c>
      <c r="AU31" s="47">
        <f t="shared" si="24"/>
        <v>1824384.0491234274</v>
      </c>
      <c r="AV31" s="47">
        <f t="shared" si="24"/>
        <v>1906889.1081439755</v>
      </c>
      <c r="AW31" s="59">
        <f>IFERROR(1/SUM(IFERROR(1/SUMIF(AW32,"&lt;&gt;.",AW32),0),IFERROR(1/SUMIF(AW33,"&lt;&gt;.",AW33),0),IFERROR(1/SUMIF(AW34,"&lt;&gt;.",AW34),0),IFERROR(1/SUMIF(AW35,"&lt;&gt;.",AW35),0),IFERROR(1/SUMIF(AW36,"&lt;&gt;.",AW36),0),IFERROR(1/SUMIF(AW37,"&lt;&gt;.",AW37),0),IFERROR(1/SUMIF(AW38,"&lt;&gt;.",AW38),0),IFERROR(1/SUMIF(AW39,"&lt;&gt;.",AW39),0),IFERROR(1/SUMIF(AW40,"&lt;&gt;.",AW40),0),IFERROR(1/SUMIF(AW41,"&lt;&gt;.",AW41),0),IFERROR(1/SUMIF(AW42,"&lt;&gt;.",AW42),0),IFERROR(1/SUMIF(AW43,"&lt;&gt;.",AW43),0),IFERROR(1/SUMIF(AW44,"&lt;&gt;.",AW44),0)),".")</f>
        <v>5.5098071674932618E-5</v>
      </c>
      <c r="AX31" s="190">
        <f>AW31*(0.0000000000028)*up_RadSpec!$AY3*up_RadSpec!$AF3</f>
        <v>1.8590089383122267E-13</v>
      </c>
      <c r="AY31" s="47">
        <f t="shared" ref="AY31" si="25">IFERROR(SUM(AY32:AY44),".")</f>
        <v>453736.38750000007</v>
      </c>
    </row>
    <row r="32" spans="1:51" x14ac:dyDescent="0.25">
      <c r="A32" s="48" t="s">
        <v>1085</v>
      </c>
      <c r="B32" s="15">
        <v>1</v>
      </c>
      <c r="C32" s="42"/>
      <c r="D32" s="60">
        <f t="shared" ref="D32:I32" si="26">IFERROR(D3/$B32,".")</f>
        <v>0.33057851239669422</v>
      </c>
      <c r="E32" s="60">
        <f t="shared" si="26"/>
        <v>3089.9917851942919</v>
      </c>
      <c r="F32" s="60">
        <f t="shared" si="26"/>
        <v>123246.7532467533</v>
      </c>
      <c r="G32" s="60">
        <f t="shared" si="26"/>
        <v>3.2968835384132272E-5</v>
      </c>
      <c r="H32" s="60">
        <f t="shared" si="26"/>
        <v>1.6528925619834712E-4</v>
      </c>
      <c r="I32" s="60">
        <f t="shared" si="26"/>
        <v>3.2965547345582256E-5</v>
      </c>
      <c r="J32" s="189">
        <f>IFERROR(J3/$B32,0)</f>
        <v>1.1122575674399454E-13</v>
      </c>
      <c r="K32" s="49">
        <f>IF(D32=".",".",up_RadSpec!$E$3*K3*$B$32)</f>
        <v>75.625</v>
      </c>
      <c r="L32" s="49">
        <f>IF(E32=".",".",up_RadSpec!$H$3*L3*$B$32)</f>
        <v>8.0906363957948379E-3</v>
      </c>
      <c r="M32" s="49">
        <f>IF(F32=".",".",up_RadSpec!$G$3*M3*$B$32)</f>
        <v>2.0284510010537397E-4</v>
      </c>
      <c r="N32" s="49">
        <f>up_b2s!AC32</f>
        <v>758291.875</v>
      </c>
      <c r="O32" s="49">
        <f>IFERROR(SUM(K32:N32),".")</f>
        <v>758367.50829348154</v>
      </c>
      <c r="P32" s="60">
        <f>IFERROR(P3/$B32,".")</f>
        <v>123246.7532467533</v>
      </c>
      <c r="Q32" s="60">
        <f>IFERROR(Q3/$B32,".")</f>
        <v>172812.08406846816</v>
      </c>
      <c r="R32" s="60">
        <f>IFERROR(R3/$B32,".")</f>
        <v>131016.23974552155</v>
      </c>
      <c r="S32" s="60">
        <f>IFERROR(S3/$B32,".")</f>
        <v>135053.79742667874</v>
      </c>
      <c r="T32" s="60">
        <f>IFERROR(T3/$B32,".")</f>
        <v>267934.36349970242</v>
      </c>
      <c r="U32" s="189">
        <f t="shared" ref="U32:Y32" si="27">IFERROR(U3/$B32,0)</f>
        <v>4.158345454545457E-4</v>
      </c>
      <c r="V32" s="189">
        <f t="shared" si="27"/>
        <v>5.830679716470117E-4</v>
      </c>
      <c r="W32" s="189">
        <f t="shared" si="27"/>
        <v>4.4204879290138973E-4</v>
      </c>
      <c r="X32" s="189">
        <f t="shared" si="27"/>
        <v>4.5567151251761412E-4</v>
      </c>
      <c r="Y32" s="189">
        <f t="shared" si="27"/>
        <v>9.0401054244799604E-4</v>
      </c>
      <c r="Z32" s="49">
        <f>IF(P32=".",".",up_RadSpec!$G$3*Z3*$B$32)</f>
        <v>2.0284510010537397E-4</v>
      </c>
      <c r="AA32" s="49">
        <f>IF(Q32=".",".",up_RadSpec!$N$3*AA3*$B$32)</f>
        <v>1.4466580930819049E-4</v>
      </c>
      <c r="AB32" s="49">
        <f>IF(R32=".",".",up_RadSpec!$O$3*AB3*$B$32)</f>
        <v>1.9081603966469019E-4</v>
      </c>
      <c r="AC32" s="49">
        <f>IF(S32=".",".",up_RadSpec!$P$3*AC3*$B$32)</f>
        <v>1.8511141838549637E-4</v>
      </c>
      <c r="AD32" s="49">
        <f>IF(T32=".",".",up_RadSpec!$L$3*AD3*$B$32)</f>
        <v>9.3306433984261103E-5</v>
      </c>
      <c r="AE32" s="60">
        <f>IFERROR(AE3/$B32,".")</f>
        <v>9.9740259740259754E-3</v>
      </c>
      <c r="AF32" s="60">
        <f>IFERROR(AF3/$B32,".")</f>
        <v>63.709090909090911</v>
      </c>
      <c r="AG32" s="60">
        <f>IFERROR(AG3/$B32,".")</f>
        <v>9.9724647271019675E-3</v>
      </c>
      <c r="AH32" s="189">
        <f t="shared" ref="AH32" si="28">IFERROR(AH3/$B32,0)</f>
        <v>3.3647095989242038E-14</v>
      </c>
      <c r="AI32" s="49">
        <f>IF(AE32=".",".",up_RadSpec!$H$3*AI3*$B$32)</f>
        <v>2506.5104166666661</v>
      </c>
      <c r="AJ32" s="49">
        <f>IF(AF32=".",".",up_RadSpec!$K$3*AJ3*$B$32)</f>
        <v>0.39240867579908678</v>
      </c>
      <c r="AK32" s="49">
        <f>IFERROR(SUM(AI32:AJ32),".")</f>
        <v>2506.9028253424653</v>
      </c>
      <c r="AL32" s="60">
        <f>IFERROR(AL3/$B32,".")</f>
        <v>3.6363636363636364E-3</v>
      </c>
      <c r="AM32" s="60" t="str">
        <f>IFERROR(AM3,".")</f>
        <v>.</v>
      </c>
      <c r="AN32" s="60">
        <f>IFERROR(AN3/$B32,".")</f>
        <v>39.81818181818182</v>
      </c>
      <c r="AO32" s="60">
        <f>IFERROR(AO3/$B32,".")</f>
        <v>1.6443412786038033E-4</v>
      </c>
      <c r="AP32" s="60">
        <f>IFERROR(AP3/$B32,".")</f>
        <v>1.5731958335636468E-4</v>
      </c>
      <c r="AQ32" s="189">
        <f t="shared" ref="AQ32" si="29">IFERROR(AQ3/$B32,0)</f>
        <v>5.3079627424437444E-16</v>
      </c>
      <c r="AR32" s="49">
        <f>IF(AL32=".",".",up_RadSpec!$I$3*AR3*$B$32)</f>
        <v>6875</v>
      </c>
      <c r="AS32" s="49" t="str">
        <f>IF(AM32=".",".",up_RadSpec!$H$3*AS3*$B$32)</f>
        <v>.</v>
      </c>
      <c r="AT32" s="49">
        <f>IF(AN32=".",".",up_RadSpec!$M$3*AT3*$B$32)</f>
        <v>0.62785388127853881</v>
      </c>
      <c r="AU32" s="49">
        <f>up_b2w!AC32</f>
        <v>152036.56519057468</v>
      </c>
      <c r="AV32" s="49">
        <f>IFERROR(SUM(AR32:AU32),".")</f>
        <v>158912.19304445595</v>
      </c>
      <c r="AW32" s="60">
        <f>IFERROR(AW3/$B32,".")</f>
        <v>6.6115702479338848E-4</v>
      </c>
      <c r="AX32" s="189">
        <f t="shared" ref="AX32" si="30">IFERROR(AX3/$B32,0)</f>
        <v>2.2307438016528927E-12</v>
      </c>
      <c r="AY32" s="49">
        <f>IF(AW32=".",".",up_RadSpec!$F$3*AY3*$B$32)</f>
        <v>37812.5</v>
      </c>
    </row>
    <row r="33" spans="1:51" x14ac:dyDescent="0.25">
      <c r="A33" s="48" t="s">
        <v>1061</v>
      </c>
      <c r="B33" s="15">
        <v>1</v>
      </c>
      <c r="C33" s="42"/>
      <c r="D33" s="60">
        <f t="shared" ref="D33:I34" si="31">IFERROR(D13/$B33,".")</f>
        <v>0.33057851239669422</v>
      </c>
      <c r="E33" s="60">
        <f t="shared" si="31"/>
        <v>3089.9917851942919</v>
      </c>
      <c r="F33" s="60">
        <f t="shared" si="31"/>
        <v>3043.9232247141867</v>
      </c>
      <c r="G33" s="60">
        <f t="shared" si="31"/>
        <v>3.2968835384132272E-5</v>
      </c>
      <c r="H33" s="60">
        <f t="shared" si="31"/>
        <v>1.6528925619834712E-4</v>
      </c>
      <c r="I33" s="60">
        <f t="shared" si="31"/>
        <v>3.2965546997384399E-5</v>
      </c>
      <c r="J33" s="189">
        <f t="shared" ref="J33:J34" si="32">IFERROR(J13/$B33,0)</f>
        <v>1.0937968493732145E-13</v>
      </c>
      <c r="K33" s="49">
        <f>IF(D33=".",".",up_RadSpec!$E$13*K13*$B$33)</f>
        <v>75.625</v>
      </c>
      <c r="L33" s="49">
        <f>IF(E33=".",".",up_RadSpec!$H$13*L13*$B$33)</f>
        <v>8.0906363957948379E-3</v>
      </c>
      <c r="M33" s="49">
        <f>IF(F33=".",".",up_RadSpec!$G$13*M13*$B$33)</f>
        <v>8.2130849415058445E-3</v>
      </c>
      <c r="N33" s="49">
        <f>up_b2s!AC33</f>
        <v>758291.875</v>
      </c>
      <c r="O33" s="49">
        <f t="shared" ref="O33:O44" si="33">IFERROR(SUM(K33:N33),".")</f>
        <v>758367.51630372135</v>
      </c>
      <c r="P33" s="60">
        <f t="shared" ref="P33:T34" si="34">IFERROR(P13/$B33,".")</f>
        <v>3043.9232247141867</v>
      </c>
      <c r="Q33" s="60">
        <f t="shared" si="34"/>
        <v>6638.1290962296553</v>
      </c>
      <c r="R33" s="60">
        <f t="shared" si="34"/>
        <v>3943.6655108296891</v>
      </c>
      <c r="S33" s="60">
        <f t="shared" si="34"/>
        <v>3255.5712315832266</v>
      </c>
      <c r="T33" s="60">
        <f t="shared" si="34"/>
        <v>63861.832611832586</v>
      </c>
      <c r="U33" s="189">
        <f t="shared" ref="U33:Y34" si="35">IFERROR(U13/$B33,0)</f>
        <v>1.0099737259601672E-5</v>
      </c>
      <c r="V33" s="189">
        <f t="shared" si="35"/>
        <v>2.2025312341289998E-5</v>
      </c>
      <c r="W33" s="189">
        <f t="shared" si="35"/>
        <v>1.3085082164932909E-5</v>
      </c>
      <c r="X33" s="189">
        <f t="shared" si="35"/>
        <v>1.0801985346393146E-5</v>
      </c>
      <c r="Y33" s="189">
        <f t="shared" si="35"/>
        <v>2.1189356060606051E-4</v>
      </c>
      <c r="Z33" s="49">
        <f>IF(P33=".",".",up_RadSpec!$G$13*Z13*$B$33)</f>
        <v>8.2130849415058445E-3</v>
      </c>
      <c r="AA33" s="49">
        <f>IF(Q33=".",".",up_RadSpec!$N$13*AA13*$B$33)</f>
        <v>3.7661213931798306E-3</v>
      </c>
      <c r="AB33" s="49">
        <f>IF(R33=".",".",up_RadSpec!$O$13*AB13*$B$33)</f>
        <v>6.3392800254858253E-3</v>
      </c>
      <c r="AC33" s="49">
        <f>IF(S33=".",".",up_RadSpec!$P$13*AC13*$B$33)</f>
        <v>7.6791439110494211E-3</v>
      </c>
      <c r="AD33" s="49">
        <f>IF(T33=".",".",up_RadSpec!$L$13*AD13*$B$33)</f>
        <v>3.9147013133738188E-4</v>
      </c>
      <c r="AE33" s="60">
        <f t="shared" ref="AE33:AG34" si="36">IFERROR(AE13/$B33,".")</f>
        <v>9.9740259740259754E-3</v>
      </c>
      <c r="AF33" s="60">
        <f t="shared" si="36"/>
        <v>63.709090909090911</v>
      </c>
      <c r="AG33" s="60">
        <f t="shared" si="36"/>
        <v>9.9724647271019675E-3</v>
      </c>
      <c r="AH33" s="189">
        <f t="shared" ref="AH33:AH34" si="37">IFERROR(AH13/$B33,0)</f>
        <v>3.3088637964524332E-14</v>
      </c>
      <c r="AI33" s="49">
        <f>IF(AE33=".",".",up_RadSpec!$H$13*AI13*$B$33)</f>
        <v>2506.5104166666661</v>
      </c>
      <c r="AJ33" s="49">
        <f>IF(AF33=".",".",up_RadSpec!$K$13*AJ13*$B$33)</f>
        <v>0.39240867579908678</v>
      </c>
      <c r="AK33" s="49">
        <f t="shared" ref="AK33:AK76" si="38">IFERROR(SUM(AI33:AJ33),".")</f>
        <v>2506.9028253424653</v>
      </c>
      <c r="AL33" s="60">
        <f t="shared" ref="AL33:AL34" si="39">IFERROR(AL13/$B33,".")</f>
        <v>3.6363636363636364E-3</v>
      </c>
      <c r="AM33" s="60" t="str">
        <f>IFERROR(AM13,".")</f>
        <v>.</v>
      </c>
      <c r="AN33" s="60">
        <f t="shared" ref="AN33:AP34" si="40">IFERROR(AN13/$B33,".")</f>
        <v>39.81818181818182</v>
      </c>
      <c r="AO33" s="60">
        <f t="shared" si="40"/>
        <v>1.6443412786038033E-4</v>
      </c>
      <c r="AP33" s="60">
        <f t="shared" si="40"/>
        <v>1.5731958335636468E-4</v>
      </c>
      <c r="AQ33" s="189">
        <f t="shared" ref="AQ33:AQ34" si="41">IFERROR(AQ13/$B33,0)</f>
        <v>5.2198637757641803E-16</v>
      </c>
      <c r="AR33" s="49">
        <f>IF(AL33=".",".",up_RadSpec!$I$13*AR13*$B$33)</f>
        <v>6875</v>
      </c>
      <c r="AS33" s="49" t="str">
        <f>IF(AM33=".",".",up_RadSpec!$H$13*AS13*$B$33)</f>
        <v>.</v>
      </c>
      <c r="AT33" s="49">
        <f>IF(AN33=".",".",up_RadSpec!$M$13*AT13*$B$33)</f>
        <v>0.62785388127853881</v>
      </c>
      <c r="AU33" s="49">
        <f>up_b2w!AC33</f>
        <v>152036.56519057468</v>
      </c>
      <c r="AV33" s="49">
        <f t="shared" ref="AV33:AV76" si="42">IFERROR(SUM(AR33:AU33),".")</f>
        <v>158912.19304445595</v>
      </c>
      <c r="AW33" s="60">
        <f t="shared" ref="AW33:AW34" si="43">IFERROR(AW13/$B33,".")</f>
        <v>6.6115702479338848E-4</v>
      </c>
      <c r="AX33" s="189">
        <f t="shared" ref="AX33:AX34" si="44">IFERROR(AX13/$B33,0)</f>
        <v>2.1937190082644632E-12</v>
      </c>
      <c r="AY33" s="49">
        <f>IF(AW33=".",".",up_RadSpec!$F$13*AY13*$B$33)</f>
        <v>37812.5</v>
      </c>
    </row>
    <row r="34" spans="1:51" x14ac:dyDescent="0.25">
      <c r="A34" s="48" t="s">
        <v>1062</v>
      </c>
      <c r="B34" s="15">
        <v>1</v>
      </c>
      <c r="C34" s="42"/>
      <c r="D34" s="60">
        <f t="shared" si="31"/>
        <v>0.33057851239669422</v>
      </c>
      <c r="E34" s="60">
        <f t="shared" si="31"/>
        <v>3089.9917851942919</v>
      </c>
      <c r="F34" s="60">
        <f t="shared" si="31"/>
        <v>456.94544130414806</v>
      </c>
      <c r="G34" s="60">
        <f t="shared" si="31"/>
        <v>3.2968835384132272E-5</v>
      </c>
      <c r="H34" s="60">
        <f t="shared" si="31"/>
        <v>1.6528925619834712E-4</v>
      </c>
      <c r="I34" s="60">
        <f t="shared" si="31"/>
        <v>3.2965544976156881E-5</v>
      </c>
      <c r="J34" s="189">
        <f t="shared" si="32"/>
        <v>1.0753360771222375E-13</v>
      </c>
      <c r="K34" s="49">
        <f>IF(D34=".",".",up_RadSpec!$E$14*K14*$B$34)</f>
        <v>75.625</v>
      </c>
      <c r="L34" s="49">
        <f>IF(E34=".",".",up_RadSpec!$H$14*L14*$B$34)</f>
        <v>8.0906363957948379E-3</v>
      </c>
      <c r="M34" s="49">
        <f>IF(F34=".",".",up_RadSpec!$G$14*M14*$B$34)</f>
        <v>5.4711126844046387E-2</v>
      </c>
      <c r="N34" s="49">
        <f>up_b2s!AC34</f>
        <v>758291.875</v>
      </c>
      <c r="O34" s="49">
        <f t="shared" si="33"/>
        <v>758367.56280176318</v>
      </c>
      <c r="P34" s="60">
        <f t="shared" si="34"/>
        <v>456.94544130414806</v>
      </c>
      <c r="Q34" s="60">
        <f t="shared" si="34"/>
        <v>829.86017700335981</v>
      </c>
      <c r="R34" s="60">
        <f t="shared" si="34"/>
        <v>613.55185865285387</v>
      </c>
      <c r="S34" s="60">
        <f t="shared" si="34"/>
        <v>537.65341535125719</v>
      </c>
      <c r="T34" s="60">
        <f t="shared" si="34"/>
        <v>2315.5333826065539</v>
      </c>
      <c r="U34" s="189">
        <f t="shared" si="35"/>
        <v>1.4905560295341312E-6</v>
      </c>
      <c r="V34" s="189">
        <f t="shared" si="35"/>
        <v>2.7070038973849601E-6</v>
      </c>
      <c r="W34" s="189">
        <f t="shared" si="35"/>
        <v>2.0014061629256094E-6</v>
      </c>
      <c r="X34" s="189">
        <f t="shared" si="35"/>
        <v>1.7538254408758009E-6</v>
      </c>
      <c r="Y34" s="189">
        <f t="shared" si="35"/>
        <v>7.5532698940625792E-6</v>
      </c>
      <c r="Z34" s="49">
        <f>IF(P34=".",".",up_RadSpec!$G$14*Z14*$B$34)</f>
        <v>5.4711126844046387E-2</v>
      </c>
      <c r="AA34" s="49">
        <f>IF(Q34=".",".",up_RadSpec!$N$14*AA14*$B$34)</f>
        <v>3.0125556922463076E-2</v>
      </c>
      <c r="AB34" s="49">
        <f>IF(R34=".",".",up_RadSpec!$O$14*AB14*$B$34)</f>
        <v>4.0746351995235235E-2</v>
      </c>
      <c r="AC34" s="49">
        <f>IF(S34=".",".",up_RadSpec!$P$14*AC14*$B$34)</f>
        <v>4.6498356164383553E-2</v>
      </c>
      <c r="AD34" s="49">
        <f>IF(T34=".",".",up_RadSpec!$L$14*AD14*$B$34)</f>
        <v>1.0796648490490753E-2</v>
      </c>
      <c r="AE34" s="60">
        <f t="shared" si="36"/>
        <v>9.9740259740259754E-3</v>
      </c>
      <c r="AF34" s="60">
        <f t="shared" si="36"/>
        <v>63.709090909090911</v>
      </c>
      <c r="AG34" s="60">
        <f t="shared" si="36"/>
        <v>9.9724647271019675E-3</v>
      </c>
      <c r="AH34" s="189">
        <f t="shared" si="37"/>
        <v>3.2530179939806619E-14</v>
      </c>
      <c r="AI34" s="49">
        <f>IF(AE34=".",".",up_RadSpec!$H$14*AI14*$B$34)</f>
        <v>2506.5104166666661</v>
      </c>
      <c r="AJ34" s="49">
        <f>IF(AF34=".",".",up_RadSpec!$K$14*AJ14*$B$34)</f>
        <v>0.39240867579908678</v>
      </c>
      <c r="AK34" s="49">
        <f t="shared" si="38"/>
        <v>2506.9028253424653</v>
      </c>
      <c r="AL34" s="60">
        <f t="shared" si="39"/>
        <v>3.6363636363636364E-3</v>
      </c>
      <c r="AM34" s="60" t="str">
        <f>IFERROR(AM14,".")</f>
        <v>.</v>
      </c>
      <c r="AN34" s="60">
        <f t="shared" si="40"/>
        <v>39.81818181818182</v>
      </c>
      <c r="AO34" s="60">
        <f t="shared" si="40"/>
        <v>1.6443412786038033E-4</v>
      </c>
      <c r="AP34" s="60">
        <f t="shared" si="40"/>
        <v>1.5731958335636468E-4</v>
      </c>
      <c r="AQ34" s="189">
        <f t="shared" si="41"/>
        <v>5.1317648090846162E-16</v>
      </c>
      <c r="AR34" s="49">
        <f>IF(AL34=".",".",up_RadSpec!$I$14*AR14*$B$34)</f>
        <v>6875</v>
      </c>
      <c r="AS34" s="49" t="str">
        <f>IF(AM34=".",".",up_RadSpec!$H$14*AS14*$B$34)</f>
        <v>.</v>
      </c>
      <c r="AT34" s="49">
        <f>IF(AN34=".",".",up_RadSpec!$M$14*AT14*$B$34)</f>
        <v>0.62785388127853881</v>
      </c>
      <c r="AU34" s="49">
        <f>up_b2w!AC34</f>
        <v>152036.56519057468</v>
      </c>
      <c r="AV34" s="49">
        <f t="shared" si="42"/>
        <v>158912.19304445595</v>
      </c>
      <c r="AW34" s="60">
        <f t="shared" si="43"/>
        <v>6.6115702479338848E-4</v>
      </c>
      <c r="AX34" s="189">
        <f t="shared" si="44"/>
        <v>2.1566942148760333E-12</v>
      </c>
      <c r="AY34" s="49">
        <f>IF(AW34=".",".",up_RadSpec!$F$14*AY14*$B$34)</f>
        <v>37812.5</v>
      </c>
    </row>
    <row r="35" spans="1:51" x14ac:dyDescent="0.25">
      <c r="A35" s="48" t="s">
        <v>1063</v>
      </c>
      <c r="B35" s="15">
        <v>1</v>
      </c>
      <c r="C35" s="42"/>
      <c r="D35" s="60">
        <f t="shared" ref="D35:I35" si="45">IFERROR(D30/$B35,".")</f>
        <v>0.33057851239669422</v>
      </c>
      <c r="E35" s="60">
        <f t="shared" si="45"/>
        <v>3089.9917851942919</v>
      </c>
      <c r="F35" s="60">
        <f t="shared" si="45"/>
        <v>1474.7474747474748</v>
      </c>
      <c r="G35" s="60">
        <f t="shared" si="45"/>
        <v>3.2968835384132272E-5</v>
      </c>
      <c r="H35" s="60">
        <f t="shared" si="45"/>
        <v>1.6528925619834712E-4</v>
      </c>
      <c r="I35" s="60">
        <f t="shared" si="45"/>
        <v>3.2965546617509327E-5</v>
      </c>
      <c r="J35" s="189">
        <f>IFERROR(J30/$B35,0)</f>
        <v>1.0753361306631543E-13</v>
      </c>
      <c r="K35" s="49">
        <f>IF(D35=".",".",up_RadSpec!$E$30*K30*$B$35)</f>
        <v>75.625</v>
      </c>
      <c r="L35" s="49">
        <f>IF(E35=".",".",up_RadSpec!$H$30*L30*$B$35)</f>
        <v>8.0906363957948379E-3</v>
      </c>
      <c r="M35" s="49">
        <f>IF(F35=".",".",up_RadSpec!$G$30*M30*$B$35)</f>
        <v>1.6952054794520548E-2</v>
      </c>
      <c r="N35" s="49">
        <f>up_b2s!AC35</f>
        <v>758291.875</v>
      </c>
      <c r="O35" s="49">
        <f t="shared" si="33"/>
        <v>758367.52504269115</v>
      </c>
      <c r="P35" s="60">
        <f>IFERROR(P30/$B35,".")</f>
        <v>1474.7474747474748</v>
      </c>
      <c r="Q35" s="60">
        <f>IFERROR(Q30/$B35,".")</f>
        <v>7224.7422680412365</v>
      </c>
      <c r="R35" s="60">
        <f>IFERROR(R30/$B35,".")</f>
        <v>2603.5517512790229</v>
      </c>
      <c r="S35" s="60">
        <f>IFERROR(S30/$B35,".")</f>
        <v>1937.953387868499</v>
      </c>
      <c r="T35" s="60">
        <f>IFERROR(T30/$B35,".")</f>
        <v>176969.69696969693</v>
      </c>
      <c r="U35" s="189">
        <f t="shared" ref="U35:Y35" si="46">IFERROR(U30/$B35,0)</f>
        <v>4.8106262626262622E-6</v>
      </c>
      <c r="V35" s="189">
        <f t="shared" si="46"/>
        <v>2.3567109278350515E-5</v>
      </c>
      <c r="W35" s="189">
        <f t="shared" si="46"/>
        <v>8.4927858126721732E-6</v>
      </c>
      <c r="X35" s="189">
        <f t="shared" si="46"/>
        <v>6.3216039512270449E-6</v>
      </c>
      <c r="Y35" s="189">
        <f t="shared" si="46"/>
        <v>5.7727515151515137E-4</v>
      </c>
      <c r="Z35" s="49">
        <f>IF(P35=".",".",up_RadSpec!$G$30*Z30*$B$35)</f>
        <v>1.6952054794520548E-2</v>
      </c>
      <c r="AA35" s="49">
        <f>IF(Q35=".",".",up_RadSpec!$N$30*AA30*$B$35)</f>
        <v>3.4603310502283107E-3</v>
      </c>
      <c r="AB35" s="49">
        <f>IF(R35=".",".",up_RadSpec!$O$30*AB30*$B$35)</f>
        <v>9.6022673594709524E-3</v>
      </c>
      <c r="AC35" s="49">
        <f>IF(S35=".",".",up_RadSpec!$P$30*AC30*$B$35)</f>
        <v>1.2900207072316018E-2</v>
      </c>
      <c r="AD35" s="49">
        <f>IF(T35=".",".",up_RadSpec!$L$30*AD30*$B$35)</f>
        <v>1.4126712328767124E-4</v>
      </c>
      <c r="AE35" s="60">
        <f>IFERROR(AE30/$B35,".")</f>
        <v>9.9740259740259754E-3</v>
      </c>
      <c r="AF35" s="60">
        <f>IFERROR(AF30/$B35,".")</f>
        <v>63.709090909090911</v>
      </c>
      <c r="AG35" s="60">
        <f>IFERROR(AG30/$B35,".")</f>
        <v>9.9724647271019675E-3</v>
      </c>
      <c r="AH35" s="189">
        <f t="shared" ref="AH35" si="47">IFERROR(AH30/$B35,0)</f>
        <v>3.2530179939806619E-14</v>
      </c>
      <c r="AI35" s="49">
        <f>IF(AE35=".",".",up_RadSpec!$H$30*AI30*$B$35)</f>
        <v>2506.5104166666661</v>
      </c>
      <c r="AJ35" s="49">
        <f>IF(AF35=".",".",up_RadSpec!$K$30*AJ30*$B$35)</f>
        <v>0.39240867579908678</v>
      </c>
      <c r="AK35" s="49">
        <f t="shared" si="38"/>
        <v>2506.9028253424653</v>
      </c>
      <c r="AL35" s="60">
        <f>IFERROR(AL30/$B35,".")</f>
        <v>3.6363636363636364E-3</v>
      </c>
      <c r="AM35" s="60" t="str">
        <f>IFERROR(AM30,".")</f>
        <v>.</v>
      </c>
      <c r="AN35" s="60">
        <f>IFERROR(AN30/$B35,".")</f>
        <v>39.81818181818182</v>
      </c>
      <c r="AO35" s="60">
        <f>IFERROR(AO30/$B35,".")</f>
        <v>1.6443412786038033E-4</v>
      </c>
      <c r="AP35" s="60">
        <f>IFERROR(AP30/$B35,".")</f>
        <v>1.5731958335636468E-4</v>
      </c>
      <c r="AQ35" s="189">
        <f t="shared" ref="AQ35" si="48">IFERROR(AQ30/$B35,0)</f>
        <v>5.1317648090846162E-16</v>
      </c>
      <c r="AR35" s="49">
        <f>IF(AL35=".",".",up_RadSpec!$I$30*AR30*$B$35)</f>
        <v>6875</v>
      </c>
      <c r="AS35" s="49" t="str">
        <f>IF(AM35=".",".",up_RadSpec!$H$30*AS30*$B$35)</f>
        <v>.</v>
      </c>
      <c r="AT35" s="49">
        <f>IF(AN35=".",".",up_RadSpec!$M$30*AT30*$B$35)</f>
        <v>0.62785388127853881</v>
      </c>
      <c r="AU35" s="49">
        <f>up_b2w!AC35</f>
        <v>152036.56519057468</v>
      </c>
      <c r="AV35" s="49">
        <f t="shared" si="42"/>
        <v>158912.19304445595</v>
      </c>
      <c r="AW35" s="60">
        <f>IFERROR(AW30/$B35,".")</f>
        <v>6.6115702479338848E-4</v>
      </c>
      <c r="AX35" s="189">
        <f t="shared" ref="AX35" si="49">IFERROR(AX30/$B35,0)</f>
        <v>2.1566942148760333E-12</v>
      </c>
      <c r="AY35" s="49">
        <f>IF(AW35=".",".",up_RadSpec!$F$30*AY30*$B$35)</f>
        <v>37812.5</v>
      </c>
    </row>
    <row r="36" spans="1:51" x14ac:dyDescent="0.25">
      <c r="A36" s="48" t="s">
        <v>1064</v>
      </c>
      <c r="B36" s="15">
        <v>1</v>
      </c>
      <c r="C36" s="42"/>
      <c r="D36" s="60">
        <f t="shared" ref="D36:I36" si="50">IFERROR(D26/$B36,".")</f>
        <v>0.33057851239669422</v>
      </c>
      <c r="E36" s="60">
        <f t="shared" si="50"/>
        <v>3089.9917851942919</v>
      </c>
      <c r="F36" s="60">
        <f t="shared" si="50"/>
        <v>1549.9896928468352</v>
      </c>
      <c r="G36" s="60">
        <f t="shared" si="50"/>
        <v>3.2968835384132272E-5</v>
      </c>
      <c r="H36" s="60">
        <f t="shared" si="50"/>
        <v>1.6528925619834712E-4</v>
      </c>
      <c r="I36" s="60">
        <f t="shared" si="50"/>
        <v>3.29655466532807E-5</v>
      </c>
      <c r="J36" s="189">
        <f>IFERROR(J26/$B36,0)</f>
        <v>1.0568754257041793E-13</v>
      </c>
      <c r="K36" s="49">
        <f>IF(D36=".",".",up_RadSpec!$E$26*K26*$B$36)</f>
        <v>75.625</v>
      </c>
      <c r="L36" s="49">
        <f>IF(E36=".",".",up_RadSpec!$H$26*L26*$B$36)</f>
        <v>8.0906363957948379E-3</v>
      </c>
      <c r="M36" s="49">
        <f>IF(F36=".",".",up_RadSpec!$G$26*M26*$B$36)</f>
        <v>1.6129139513233151E-2</v>
      </c>
      <c r="N36" s="49">
        <f>up_b2s!AC36</f>
        <v>758291.875</v>
      </c>
      <c r="O36" s="49">
        <f t="shared" si="33"/>
        <v>758367.52421977592</v>
      </c>
      <c r="P36" s="60">
        <f>IFERROR(P26/$B36,".")</f>
        <v>1549.9896928468352</v>
      </c>
      <c r="Q36" s="60">
        <f>IFERROR(Q26/$B36,".")</f>
        <v>2829.8980669054918</v>
      </c>
      <c r="R36" s="60">
        <f>IFERROR(R26/$B36,".")</f>
        <v>2045.3971291866021</v>
      </c>
      <c r="S36" s="60">
        <f>IFERROR(S26/$B36,".")</f>
        <v>1749.5867768595035</v>
      </c>
      <c r="T36" s="60">
        <f>IFERROR(T26/$B36,".")</f>
        <v>16494.164472369241</v>
      </c>
      <c r="U36" s="189">
        <f t="shared" ref="U36:Y36" si="51">IFERROR(U26/$B36,0)</f>
        <v>4.969266955266954E-6</v>
      </c>
      <c r="V36" s="189">
        <f t="shared" si="51"/>
        <v>9.0726532024990081E-6</v>
      </c>
      <c r="W36" s="189">
        <f t="shared" si="51"/>
        <v>6.5575431961722466E-6</v>
      </c>
      <c r="X36" s="189">
        <f t="shared" si="51"/>
        <v>5.6091752066115684E-6</v>
      </c>
      <c r="Y36" s="189">
        <f t="shared" si="51"/>
        <v>5.288029129841579E-5</v>
      </c>
      <c r="Z36" s="49">
        <f>IF(P36=".",".",up_RadSpec!$G$26*Z26*$B$36)</f>
        <v>1.6129139513233151E-2</v>
      </c>
      <c r="AA36" s="49">
        <f>IF(Q36=".",".",up_RadSpec!$N$26*AA26*$B$36)</f>
        <v>8.8342404598825818E-3</v>
      </c>
      <c r="AB36" s="49">
        <f>IF(R36=".",".",up_RadSpec!$O$26*AB26*$B$36)</f>
        <v>1.2222565311774838E-2</v>
      </c>
      <c r="AC36" s="49">
        <f>IF(S36=".",".",up_RadSpec!$P$26*AC26*$B$36)</f>
        <v>1.4289088332546062E-2</v>
      </c>
      <c r="AD36" s="49">
        <f>IF(T36=".",".",up_RadSpec!$L$26*AD26*$B$36)</f>
        <v>1.5156875658587981E-3</v>
      </c>
      <c r="AE36" s="60">
        <f>IFERROR(AE26/$B36,".")</f>
        <v>9.9740259740259754E-3</v>
      </c>
      <c r="AF36" s="60">
        <f>IFERROR(AF26/$B36,".")</f>
        <v>63.709090909090911</v>
      </c>
      <c r="AG36" s="60">
        <f>IFERROR(AG26/$B36,".")</f>
        <v>9.9724647271019675E-3</v>
      </c>
      <c r="AH36" s="189">
        <f t="shared" ref="AH36" si="52">IFERROR(AH26/$B36,0)</f>
        <v>3.1971721915088906E-14</v>
      </c>
      <c r="AI36" s="49">
        <f>IF(AE36=".",".",up_RadSpec!$H$26*AI26*$B$36)</f>
        <v>2506.5104166666661</v>
      </c>
      <c r="AJ36" s="49">
        <f>IF(AF36=".",".",up_RadSpec!$K$26*AJ26*$B$36)</f>
        <v>0.39240867579908678</v>
      </c>
      <c r="AK36" s="49">
        <f t="shared" si="38"/>
        <v>2506.9028253424653</v>
      </c>
      <c r="AL36" s="60">
        <f>IFERROR(AL26/$B36,".")</f>
        <v>3.6363636363636364E-3</v>
      </c>
      <c r="AM36" s="60" t="str">
        <f>IFERROR(AM26,".")</f>
        <v>.</v>
      </c>
      <c r="AN36" s="60">
        <f>IFERROR(AN26/$B36,".")</f>
        <v>39.81818181818182</v>
      </c>
      <c r="AO36" s="60">
        <f>IFERROR(AO26/$B36,".")</f>
        <v>1.6443412786038033E-4</v>
      </c>
      <c r="AP36" s="60">
        <f>IFERROR(AP26/$B36,".")</f>
        <v>1.5731958335636468E-4</v>
      </c>
      <c r="AQ36" s="189">
        <f t="shared" ref="AQ36" si="53">IFERROR(AQ26/$B36,0)</f>
        <v>5.043665842405052E-16</v>
      </c>
      <c r="AR36" s="49">
        <f>IF(AL36=".",".",up_RadSpec!$I$26*AR26*$B$36)</f>
        <v>6875</v>
      </c>
      <c r="AS36" s="49" t="str">
        <f>IF(AM36=".",".",up_RadSpec!$H$26*AS26*$B$36)</f>
        <v>.</v>
      </c>
      <c r="AT36" s="49">
        <f>IF(AN36=".",".",up_RadSpec!$M$26*AT26*$B$36)</f>
        <v>0.62785388127853881</v>
      </c>
      <c r="AU36" s="49">
        <f>up_b2w!AC36</f>
        <v>152036.56519057468</v>
      </c>
      <c r="AV36" s="49">
        <f t="shared" si="42"/>
        <v>158912.19304445595</v>
      </c>
      <c r="AW36" s="60">
        <f>IFERROR(AW26/$B36,".")</f>
        <v>6.6115702479338848E-4</v>
      </c>
      <c r="AX36" s="189">
        <f t="shared" ref="AX36" si="54">IFERROR(AX26/$B36,0)</f>
        <v>2.1196694214876034E-12</v>
      </c>
      <c r="AY36" s="49">
        <f>IF(AW36=".",".",up_RadSpec!$F$26*AY26*$B$36)</f>
        <v>37812.5</v>
      </c>
    </row>
    <row r="37" spans="1:51" x14ac:dyDescent="0.25">
      <c r="A37" s="48" t="s">
        <v>1065</v>
      </c>
      <c r="B37" s="15">
        <v>1</v>
      </c>
      <c r="C37" s="42"/>
      <c r="D37" s="60">
        <f t="shared" ref="D37:I37" si="55">IFERROR(D22/$B37,".")</f>
        <v>0.33057851239669422</v>
      </c>
      <c r="E37" s="60">
        <f t="shared" si="55"/>
        <v>3089.9917851942919</v>
      </c>
      <c r="F37" s="60">
        <f t="shared" si="55"/>
        <v>849169110.45943344</v>
      </c>
      <c r="G37" s="60">
        <f t="shared" si="55"/>
        <v>3.2968835384132272E-5</v>
      </c>
      <c r="H37" s="60">
        <f t="shared" si="55"/>
        <v>1.6528925619834712E-4</v>
      </c>
      <c r="I37" s="60">
        <f t="shared" si="55"/>
        <v>3.2965547354398467E-5</v>
      </c>
      <c r="J37" s="189">
        <f>IFERROR(J22/$B37,0)</f>
        <v>1.0384147416635518E-13</v>
      </c>
      <c r="K37" s="49">
        <f>IF(D37=".",".",up_RadSpec!$E$22*K22*$B$37)</f>
        <v>75.625</v>
      </c>
      <c r="L37" s="49">
        <f>IF(E37=".",".",up_RadSpec!$H$22*L22*$B$37)</f>
        <v>8.0906363957948379E-3</v>
      </c>
      <c r="M37" s="49">
        <f>IF(F37=".",".",up_RadSpec!$G$22*M22*$B$37)</f>
        <v>2.9440543340623906E-8</v>
      </c>
      <c r="N37" s="49">
        <f>up_b2s!AC37</f>
        <v>758291.875</v>
      </c>
      <c r="O37" s="49">
        <f t="shared" si="33"/>
        <v>758367.5080906658</v>
      </c>
      <c r="P37" s="60">
        <f>IFERROR(P22/$B37,".")</f>
        <v>849169110.45943344</v>
      </c>
      <c r="Q37" s="60">
        <f>IFERROR(Q22/$B37,".")</f>
        <v>778111286.12044013</v>
      </c>
      <c r="R37" s="60">
        <f>IFERROR(R22/$B37,".")</f>
        <v>597797819.95241511</v>
      </c>
      <c r="S37" s="60">
        <f>IFERROR(S22/$B37,".")</f>
        <v>616014309.76430941</v>
      </c>
      <c r="T37" s="60">
        <f>IFERROR(T22/$B37,".")</f>
        <v>4371048166.3075275</v>
      </c>
      <c r="U37" s="189">
        <f t="shared" ref="U37:Y37" si="56">IFERROR(U22/$B37,0)</f>
        <v>2.6748826979472149</v>
      </c>
      <c r="V37" s="189">
        <f t="shared" si="56"/>
        <v>2.4510505512793861</v>
      </c>
      <c r="W37" s="189">
        <f t="shared" si="56"/>
        <v>1.883063132850108</v>
      </c>
      <c r="X37" s="189">
        <f t="shared" si="56"/>
        <v>1.9404450757575749</v>
      </c>
      <c r="Y37" s="189">
        <f t="shared" si="56"/>
        <v>13.768801723868712</v>
      </c>
      <c r="Z37" s="49">
        <f>IF(P37=".",".",up_RadSpec!$G$22*Z22*$B$37)</f>
        <v>2.9440543340623906E-8</v>
      </c>
      <c r="AA37" s="49">
        <f>IF(Q37=".",".",up_RadSpec!$N$22*AA22*$B$37)</f>
        <v>3.2129080307582599E-8</v>
      </c>
      <c r="AB37" s="49">
        <f>IF(R37=".",".",up_RadSpec!$O$22*AB22*$B$37)</f>
        <v>4.1820159200296195E-8</v>
      </c>
      <c r="AC37" s="49">
        <f>IF(S37=".",".",up_RadSpec!$P$22*AC22*$B$37)</f>
        <v>4.0583472824787366E-8</v>
      </c>
      <c r="AD37" s="49">
        <f>IF(T37=".",".",up_RadSpec!$L$22*AD22*$B$37)</f>
        <v>5.7194519595328363E-9</v>
      </c>
      <c r="AE37" s="60">
        <f>IFERROR(AE22/$B37,".")</f>
        <v>9.9740259740259754E-3</v>
      </c>
      <c r="AF37" s="60">
        <f>IFERROR(AF22/$B37,".")</f>
        <v>63.709090909090911</v>
      </c>
      <c r="AG37" s="60">
        <f>IFERROR(AG22/$B37,".")</f>
        <v>9.9724647271019675E-3</v>
      </c>
      <c r="AH37" s="189">
        <f t="shared" ref="AH37" si="57">IFERROR(AH22/$B37,0)</f>
        <v>3.14132638903712E-14</v>
      </c>
      <c r="AI37" s="49">
        <f>IF(AE37=".",".",up_RadSpec!$H$22*AI22*$B$37)</f>
        <v>2506.5104166666661</v>
      </c>
      <c r="AJ37" s="49">
        <f>IF(AF37=".",".",up_RadSpec!$K$22*AJ22*$B$37)</f>
        <v>0.39240867579908678</v>
      </c>
      <c r="AK37" s="49">
        <f t="shared" si="38"/>
        <v>2506.9028253424653</v>
      </c>
      <c r="AL37" s="60">
        <f>IFERROR(AL22/$B37,".")</f>
        <v>3.6363636363636364E-3</v>
      </c>
      <c r="AM37" s="60" t="str">
        <f>IFERROR(AM22,".")</f>
        <v>.</v>
      </c>
      <c r="AN37" s="60">
        <f>IFERROR(AN22/$B37,".")</f>
        <v>39.81818181818182</v>
      </c>
      <c r="AO37" s="60">
        <f>IFERROR(AO22/$B37,".")</f>
        <v>1.6443412786038033E-4</v>
      </c>
      <c r="AP37" s="60">
        <f>IFERROR(AP22/$B37,".")</f>
        <v>1.5731958335636468E-4</v>
      </c>
      <c r="AQ37" s="189">
        <f t="shared" ref="AQ37" si="58">IFERROR(AQ22/$B37,0)</f>
        <v>4.9555668757254879E-16</v>
      </c>
      <c r="AR37" s="49">
        <f>IF(AL37=".",".",up_RadSpec!$I$22*AR22*$B$37)</f>
        <v>6875</v>
      </c>
      <c r="AS37" s="49" t="str">
        <f>IF(AM37=".",".",up_RadSpec!$H$22*AS22*$B$37)</f>
        <v>.</v>
      </c>
      <c r="AT37" s="49">
        <f>IF(AN37=".",".",up_RadSpec!$M$22*AT22*$B$37)</f>
        <v>0.62785388127853881</v>
      </c>
      <c r="AU37" s="49">
        <f>up_b2w!AC37</f>
        <v>152036.56519057468</v>
      </c>
      <c r="AV37" s="49">
        <f t="shared" si="42"/>
        <v>158912.19304445595</v>
      </c>
      <c r="AW37" s="60">
        <f>IFERROR(AW22/$B37,".")</f>
        <v>6.6115702479338848E-4</v>
      </c>
      <c r="AX37" s="189">
        <f t="shared" ref="AX37" si="59">IFERROR(AX22/$B37,0)</f>
        <v>2.0826446280991739E-12</v>
      </c>
      <c r="AY37" s="49">
        <f>IF(AW37=".",".",up_RadSpec!$F$22*AY22*$B$37)</f>
        <v>37812.5</v>
      </c>
    </row>
    <row r="38" spans="1:51" x14ac:dyDescent="0.25">
      <c r="A38" s="48" t="s">
        <v>1066</v>
      </c>
      <c r="B38" s="15">
        <v>1</v>
      </c>
      <c r="C38" s="42"/>
      <c r="D38" s="60">
        <f t="shared" ref="D38:I38" si="60">IFERROR(D2/$B38,".")</f>
        <v>0.33057851239669422</v>
      </c>
      <c r="E38" s="60">
        <f t="shared" si="60"/>
        <v>3089.9917851942919</v>
      </c>
      <c r="F38" s="60">
        <f t="shared" si="60"/>
        <v>939.40305308726374</v>
      </c>
      <c r="G38" s="60">
        <f t="shared" si="60"/>
        <v>3.2968835384132272E-5</v>
      </c>
      <c r="H38" s="60">
        <f t="shared" si="60"/>
        <v>1.6528925619834712E-4</v>
      </c>
      <c r="I38" s="60">
        <f t="shared" si="60"/>
        <v>3.2965546197572258E-5</v>
      </c>
      <c r="J38" s="189">
        <f>IFERROR(J2/$B38,0)</f>
        <v>1.0384147052235261E-13</v>
      </c>
      <c r="K38" s="49">
        <f>IF(D38=".",".",up_RadSpec!$E$2*K2*$B$38)</f>
        <v>75.625</v>
      </c>
      <c r="L38" s="49">
        <f>IF(E38=".",".",up_RadSpec!$H$2*L2*$B$38)</f>
        <v>8.0906363957948379E-3</v>
      </c>
      <c r="M38" s="49">
        <f>IF(F38=".",".",up_RadSpec!$G$2*M2*$B$38)</f>
        <v>2.6612645038612284E-2</v>
      </c>
      <c r="N38" s="49">
        <f>up_b2s!AC38</f>
        <v>758291.875</v>
      </c>
      <c r="O38" s="49">
        <f t="shared" si="33"/>
        <v>758367.53470328148</v>
      </c>
      <c r="P38" s="60">
        <f>IFERROR(P2/$B38,".")</f>
        <v>939.40305308726374</v>
      </c>
      <c r="Q38" s="60">
        <f>IFERROR(Q2/$B38,".")</f>
        <v>1899.412977947009</v>
      </c>
      <c r="R38" s="60">
        <f>IFERROR(R2/$B38,".")</f>
        <v>1290.059473237043</v>
      </c>
      <c r="S38" s="60">
        <f>IFERROR(S2/$B38,".")</f>
        <v>1072.3245527167094</v>
      </c>
      <c r="T38" s="60">
        <f>IFERROR(T2/$B38,".")</f>
        <v>15030.661116333202</v>
      </c>
      <c r="U38" s="189">
        <f t="shared" ref="U38:Y38" si="61">IFERROR(U2/$B38,0)</f>
        <v>2.959119617224881E-6</v>
      </c>
      <c r="V38" s="189">
        <f t="shared" si="61"/>
        <v>5.9831508805330796E-6</v>
      </c>
      <c r="W38" s="189">
        <f t="shared" si="61"/>
        <v>4.0636873406966863E-6</v>
      </c>
      <c r="X38" s="189">
        <f t="shared" si="61"/>
        <v>3.3778223410576344E-6</v>
      </c>
      <c r="Y38" s="189">
        <f t="shared" si="61"/>
        <v>4.734658251644959E-5</v>
      </c>
      <c r="Z38" s="49">
        <f>IF(P38=".",".",up_RadSpec!$G$2*Z2*$B$38)</f>
        <v>2.6612645038612284E-2</v>
      </c>
      <c r="AA38" s="49">
        <f>IF(Q38=".",".",up_RadSpec!$N$2*AA2*$B$38)</f>
        <v>1.3161961242900103E-2</v>
      </c>
      <c r="AB38" s="49">
        <f>IF(R38=".",".",up_RadSpec!$O$2*AB2*$B$38)</f>
        <v>1.9378951527924137E-2</v>
      </c>
      <c r="AC38" s="49">
        <f>IF(S38=".",".",up_RadSpec!$P$2*AC2*$B$38)</f>
        <v>2.3313837155610286E-2</v>
      </c>
      <c r="AD38" s="49">
        <f>IF(T38=".",".",up_RadSpec!$L$2*AD2*$B$38)</f>
        <v>1.6632668254913637E-3</v>
      </c>
      <c r="AE38" s="60">
        <f>IFERROR(AE2/$B38,".")</f>
        <v>9.9740259740259754E-3</v>
      </c>
      <c r="AF38" s="60">
        <f>IFERROR(AF2/$B38,".")</f>
        <v>63.709090909090911</v>
      </c>
      <c r="AG38" s="60">
        <f>IFERROR(AG2/$B38,".")</f>
        <v>9.9724647271019675E-3</v>
      </c>
      <c r="AH38" s="189">
        <f t="shared" ref="AH38" si="62">IFERROR(AH2/$B38,0)</f>
        <v>3.14132638903712E-14</v>
      </c>
      <c r="AI38" s="49">
        <f>IF(AE38=".",".",up_RadSpec!$H$2*AI2*$B$38)</f>
        <v>2506.5104166666661</v>
      </c>
      <c r="AJ38" s="49">
        <f>IF(AF38=".",".",up_RadSpec!$K$2*AJ2*$B$38)</f>
        <v>0.39240867579908678</v>
      </c>
      <c r="AK38" s="49">
        <f t="shared" si="38"/>
        <v>2506.9028253424653</v>
      </c>
      <c r="AL38" s="60">
        <f>IFERROR(AL2/$B38,".")</f>
        <v>3.6363636363636364E-3</v>
      </c>
      <c r="AM38" s="60" t="str">
        <f>IFERROR(AM2,".")</f>
        <v>.</v>
      </c>
      <c r="AN38" s="60">
        <f>IFERROR(AN2/$B38,".")</f>
        <v>39.81818181818182</v>
      </c>
      <c r="AO38" s="60">
        <f>IFERROR(AO2/$B38,".")</f>
        <v>1.6443412786038033E-4</v>
      </c>
      <c r="AP38" s="60">
        <f>IFERROR(AP2/$B38,".")</f>
        <v>1.5731958335636468E-4</v>
      </c>
      <c r="AQ38" s="189">
        <f t="shared" ref="AQ38" si="63">IFERROR(AQ2/$B38,0)</f>
        <v>4.9555668757254879E-16</v>
      </c>
      <c r="AR38" s="49">
        <f>IF(AL38=".",".",up_RadSpec!$I$2*AR2*$B$38)</f>
        <v>6875</v>
      </c>
      <c r="AS38" s="49" t="str">
        <f>IF(AM38=".",".",up_RadSpec!$H$2*AS2*$B$38)</f>
        <v>.</v>
      </c>
      <c r="AT38" s="49">
        <f>IF(AN38=".",".",up_RadSpec!$M$2*AT2*$B$38)</f>
        <v>0.62785388127853881</v>
      </c>
      <c r="AU38" s="49">
        <f>up_b2w!AC38</f>
        <v>152036.56519057468</v>
      </c>
      <c r="AV38" s="49">
        <f t="shared" si="42"/>
        <v>158912.19304445595</v>
      </c>
      <c r="AW38" s="60">
        <f>IFERROR(AW2/$B38,".")</f>
        <v>6.6115702479338848E-4</v>
      </c>
      <c r="AX38" s="189">
        <f t="shared" ref="AX38" si="64">IFERROR(AX2/$B38,0)</f>
        <v>2.0826446280991739E-12</v>
      </c>
      <c r="AY38" s="49">
        <f>IF(AW38=".",".",up_RadSpec!$F$2*AY2*$B$38)</f>
        <v>37812.5</v>
      </c>
    </row>
    <row r="39" spans="1:51" x14ac:dyDescent="0.25">
      <c r="A39" s="48" t="s">
        <v>1067</v>
      </c>
      <c r="B39" s="15">
        <v>1</v>
      </c>
      <c r="C39" s="42"/>
      <c r="D39" s="60">
        <f t="shared" ref="D39:I39" si="65">IFERROR(D11/$B39,".")</f>
        <v>0.33057851239669422</v>
      </c>
      <c r="E39" s="60">
        <f t="shared" si="65"/>
        <v>3089.9917851942919</v>
      </c>
      <c r="F39" s="60">
        <f t="shared" si="65"/>
        <v>826.50682650682666</v>
      </c>
      <c r="G39" s="60">
        <f t="shared" si="65"/>
        <v>3.2968835384132272E-5</v>
      </c>
      <c r="H39" s="60">
        <f t="shared" si="65"/>
        <v>1.6528925619834712E-4</v>
      </c>
      <c r="I39" s="60">
        <f t="shared" si="65"/>
        <v>3.296554603955608E-5</v>
      </c>
      <c r="J39" s="189">
        <f>IFERROR(J11/$B39,0)</f>
        <v>1.0199539944638652E-13</v>
      </c>
      <c r="K39" s="49">
        <f>IF(D39=".",".",up_RadSpec!$E$11*K11*$B$39)</f>
        <v>75.625</v>
      </c>
      <c r="L39" s="49">
        <f>IF(E39=".",".",up_RadSpec!$H$11*L11*$B$39)</f>
        <v>8.0906363957948379E-3</v>
      </c>
      <c r="M39" s="49">
        <f>IF(F39=".",".",up_RadSpec!$G$11*M11*$B$39)</f>
        <v>3.0247784045124897E-2</v>
      </c>
      <c r="N39" s="49">
        <f>up_b2s!AC39</f>
        <v>758291.875</v>
      </c>
      <c r="O39" s="49">
        <f t="shared" si="33"/>
        <v>758367.53833842045</v>
      </c>
      <c r="P39" s="60">
        <f>IFERROR(P11/$B39,".")</f>
        <v>826.50682650682666</v>
      </c>
      <c r="Q39" s="60">
        <f>IFERROR(Q11/$B39,".")</f>
        <v>1045.804303422032</v>
      </c>
      <c r="R39" s="60">
        <f>IFERROR(R11/$B39,".")</f>
        <v>811.64159581425747</v>
      </c>
      <c r="S39" s="60">
        <f>IFERROR(S11/$B39,".")</f>
        <v>773.13266443701264</v>
      </c>
      <c r="T39" s="60">
        <f>IFERROR(T11/$B39,".")</f>
        <v>1946.8923933209649</v>
      </c>
      <c r="U39" s="189">
        <f t="shared" ref="U39:Y39" si="66">IFERROR(U11/$B39,0)</f>
        <v>2.5572121212121217E-6</v>
      </c>
      <c r="V39" s="189">
        <f t="shared" si="66"/>
        <v>3.2357185147877671E-6</v>
      </c>
      <c r="W39" s="189">
        <f t="shared" si="66"/>
        <v>2.5112190974493128E-6</v>
      </c>
      <c r="X39" s="189">
        <f t="shared" si="66"/>
        <v>2.3920724637681175E-6</v>
      </c>
      <c r="Y39" s="189">
        <f t="shared" si="66"/>
        <v>6.0236850649350656E-6</v>
      </c>
      <c r="Z39" s="49">
        <f>IF(P39=".",".",up_RadSpec!$G$11*Z11*$B$39)</f>
        <v>3.0247784045124897E-2</v>
      </c>
      <c r="AA39" s="49">
        <f>IF(Q39=".",".",up_RadSpec!$N$11*AA11*$B$39)</f>
        <v>2.3905046018835616E-2</v>
      </c>
      <c r="AB39" s="49">
        <f>IF(R39=".",".",up_RadSpec!$O$11*AB11*$B$39)</f>
        <v>3.0801772763900087E-2</v>
      </c>
      <c r="AC39" s="49">
        <f>IF(S39=".",".",up_RadSpec!$P$11*AC11*$B$39)</f>
        <v>3.2335976928622917E-2</v>
      </c>
      <c r="AD39" s="49">
        <f>IF(T39=".",".",up_RadSpec!$L$11*AD11*$B$39)</f>
        <v>1.2840976771888028E-2</v>
      </c>
      <c r="AE39" s="60">
        <f>IFERROR(AE11/$B39,".")</f>
        <v>9.9740259740259754E-3</v>
      </c>
      <c r="AF39" s="60">
        <f>IFERROR(AF11/$B39,".")</f>
        <v>63.709090909090911</v>
      </c>
      <c r="AG39" s="60">
        <f>IFERROR(AG11/$B39,".")</f>
        <v>9.9724647271019675E-3</v>
      </c>
      <c r="AH39" s="189">
        <f t="shared" ref="AH39" si="67">IFERROR(AH11/$B39,0)</f>
        <v>3.0854805865653487E-14</v>
      </c>
      <c r="AI39" s="49">
        <f>IF(AE39=".",".",up_RadSpec!$H$11*AI11*$B$39)</f>
        <v>2506.5104166666661</v>
      </c>
      <c r="AJ39" s="49">
        <f>IF(AF39=".",".",up_RadSpec!$K$11*AJ11*$B$39)</f>
        <v>0.39240867579908678</v>
      </c>
      <c r="AK39" s="49">
        <f t="shared" si="38"/>
        <v>2506.9028253424653</v>
      </c>
      <c r="AL39" s="60">
        <f>IFERROR(AL11/$B39,".")</f>
        <v>3.6363636363636364E-3</v>
      </c>
      <c r="AM39" s="60" t="str">
        <f>IFERROR(AM11,".")</f>
        <v>.</v>
      </c>
      <c r="AN39" s="60">
        <f>IFERROR(AN11/$B39,".")</f>
        <v>39.81818181818182</v>
      </c>
      <c r="AO39" s="60">
        <f>IFERROR(AO11/$B39,".")</f>
        <v>1.6443412786038033E-4</v>
      </c>
      <c r="AP39" s="60">
        <f>IFERROR(AP11/$B39,".")</f>
        <v>1.5731958335636468E-4</v>
      </c>
      <c r="AQ39" s="189">
        <f t="shared" ref="AQ39" si="68">IFERROR(AQ11/$B39,0)</f>
        <v>4.8674679090459238E-16</v>
      </c>
      <c r="AR39" s="49">
        <f>IF(AL39=".",".",up_RadSpec!$I$11*AR11*$B$39)</f>
        <v>6875</v>
      </c>
      <c r="AS39" s="49" t="str">
        <f>IF(AM39=".",".",up_RadSpec!$H$11*AS11*$B$39)</f>
        <v>.</v>
      </c>
      <c r="AT39" s="49">
        <f>IF(AN39=".",".",up_RadSpec!$M$11*AT11*$B$39)</f>
        <v>0.62785388127853881</v>
      </c>
      <c r="AU39" s="49">
        <f>up_b2w!AC39</f>
        <v>152036.56519057468</v>
      </c>
      <c r="AV39" s="49">
        <f t="shared" si="42"/>
        <v>158912.19304445595</v>
      </c>
      <c r="AW39" s="60">
        <f>IFERROR(AW11/$B39,".")</f>
        <v>6.6115702479338848E-4</v>
      </c>
      <c r="AX39" s="189">
        <f t="shared" ref="AX39" si="69">IFERROR(AX11/$B39,0)</f>
        <v>2.045619834710744E-12</v>
      </c>
      <c r="AY39" s="49">
        <f>IF(AW39=".",".",up_RadSpec!$F$11*AY11*$B$39)</f>
        <v>37812.5</v>
      </c>
    </row>
    <row r="40" spans="1:51" x14ac:dyDescent="0.25">
      <c r="A40" s="48" t="s">
        <v>1068</v>
      </c>
      <c r="B40" s="15">
        <v>1</v>
      </c>
      <c r="C40" s="42"/>
      <c r="D40" s="60">
        <f t="shared" ref="D40:I40" si="70">IFERROR(D4/$B40,".")</f>
        <v>0.33057851239669422</v>
      </c>
      <c r="E40" s="60">
        <f t="shared" si="70"/>
        <v>3089.9917851942919</v>
      </c>
      <c r="F40" s="60">
        <f t="shared" si="70"/>
        <v>458.81032547699226</v>
      </c>
      <c r="G40" s="60">
        <f t="shared" si="70"/>
        <v>3.2968835384132272E-5</v>
      </c>
      <c r="H40" s="60">
        <f t="shared" si="70"/>
        <v>1.6528925619834712E-4</v>
      </c>
      <c r="I40" s="60">
        <f t="shared" si="70"/>
        <v>3.2965544985823506E-5</v>
      </c>
      <c r="J40" s="189">
        <f>IFERROR(J4/$B40,0)</f>
        <v>1.0014932566693182E-13</v>
      </c>
      <c r="K40" s="49">
        <f>IF(D40=".",".",up_RadSpec!$E$4*K4*$B$40)</f>
        <v>75.625</v>
      </c>
      <c r="L40" s="49">
        <f>IF(E40=".",".",up_RadSpec!$H$4*L4*$B$40)</f>
        <v>8.0906363957948379E-3</v>
      </c>
      <c r="M40" s="49">
        <f>IF(F40=".",".",up_RadSpec!$G$4*M4*$B$40)</f>
        <v>5.4488747553816032E-2</v>
      </c>
      <c r="N40" s="49">
        <f>up_b2s!AC40</f>
        <v>758291.875</v>
      </c>
      <c r="O40" s="49">
        <f t="shared" si="33"/>
        <v>758367.56257938396</v>
      </c>
      <c r="P40" s="60">
        <f>IFERROR(P4/$B40,".")</f>
        <v>458.81032547699226</v>
      </c>
      <c r="Q40" s="60">
        <f>IFERROR(Q4/$B40,".")</f>
        <v>748.71794871794896</v>
      </c>
      <c r="R40" s="60">
        <f>IFERROR(R4/$B40,".")</f>
        <v>538.60342555994714</v>
      </c>
      <c r="S40" s="60">
        <f>IFERROR(S4/$B40,".")</f>
        <v>468.85231426294234</v>
      </c>
      <c r="T40" s="60">
        <f>IFERROR(T4/$B40,".")</f>
        <v>1382.7035962958289</v>
      </c>
      <c r="U40" s="189">
        <f t="shared" ref="U40:Y40" si="71">IFERROR(U4/$B40,0)</f>
        <v>1.3938657687991026E-6</v>
      </c>
      <c r="V40" s="189">
        <f t="shared" si="71"/>
        <v>2.2746051282051291E-6</v>
      </c>
      <c r="W40" s="189">
        <f t="shared" si="71"/>
        <v>1.6362772068511197E-6</v>
      </c>
      <c r="X40" s="189">
        <f t="shared" si="71"/>
        <v>1.4243733307308189E-6</v>
      </c>
      <c r="Y40" s="189">
        <f t="shared" si="71"/>
        <v>4.2006535255467286E-6</v>
      </c>
      <c r="Z40" s="49">
        <f>IF(P40=".",".",up_RadSpec!$G$4*Z4*$B$40)</f>
        <v>5.4488747553816032E-2</v>
      </c>
      <c r="AA40" s="49">
        <f>IF(Q40=".",".",up_RadSpec!$N$4*AA4*$B$40)</f>
        <v>3.3390410958904097E-2</v>
      </c>
      <c r="AB40" s="49">
        <f>IF(R40=".",".",up_RadSpec!$O$4*AB4*$B$40)</f>
        <v>4.6416340508806275E-2</v>
      </c>
      <c r="AC40" s="49">
        <f>IF(S40=".",".",up_RadSpec!$P$4*AC4*$B$40)</f>
        <v>5.3321694784211879E-2</v>
      </c>
      <c r="AD40" s="49">
        <f>IF(T40=".",".",up_RadSpec!$L$4*AD4*$B$40)</f>
        <v>1.8080519980546328E-2</v>
      </c>
      <c r="AE40" s="60">
        <f>IFERROR(AE4/$B40,".")</f>
        <v>9.9740259740259754E-3</v>
      </c>
      <c r="AF40" s="60">
        <f>IFERROR(AF4/$B40,".")</f>
        <v>63.709090909090911</v>
      </c>
      <c r="AG40" s="60">
        <f>IFERROR(AG4/$B40,".")</f>
        <v>9.9724647271019675E-3</v>
      </c>
      <c r="AH40" s="189">
        <f t="shared" ref="AH40" si="72">IFERROR(AH4/$B40,0)</f>
        <v>3.0296347840935774E-14</v>
      </c>
      <c r="AI40" s="49">
        <f>IF(AE40=".",".",up_RadSpec!$H$4*AI4*$B$40)</f>
        <v>2506.5104166666661</v>
      </c>
      <c r="AJ40" s="49">
        <f>IF(AF40=".",".",up_RadSpec!$K$4*AJ4*$B$40)</f>
        <v>0.39240867579908678</v>
      </c>
      <c r="AK40" s="49">
        <f t="shared" si="38"/>
        <v>2506.9028253424653</v>
      </c>
      <c r="AL40" s="60">
        <f>IFERROR(AL4/$B40,".")</f>
        <v>3.6363636363636364E-3</v>
      </c>
      <c r="AM40" s="60" t="str">
        <f>IFERROR(AM4,".")</f>
        <v>.</v>
      </c>
      <c r="AN40" s="60">
        <f>IFERROR(AN4/$B40,".")</f>
        <v>39.81818181818182</v>
      </c>
      <c r="AO40" s="60">
        <f>IFERROR(AO4/$B40,".")</f>
        <v>1.6443412786038033E-4</v>
      </c>
      <c r="AP40" s="60">
        <f>IFERROR(AP4/$B40,".")</f>
        <v>1.5731958335636468E-4</v>
      </c>
      <c r="AQ40" s="189">
        <f t="shared" ref="AQ40" si="73">IFERROR(AQ4/$B40,0)</f>
        <v>4.7793689423663597E-16</v>
      </c>
      <c r="AR40" s="49">
        <f>IF(AL40=".",".",up_RadSpec!$I$4*AR4*$B$40)</f>
        <v>6875</v>
      </c>
      <c r="AS40" s="49" t="str">
        <f>IF(AM40=".",".",up_RadSpec!$H$4*AS4*$B$40)</f>
        <v>.</v>
      </c>
      <c r="AT40" s="49">
        <f>IF(AN40=".",".",up_RadSpec!$M$4*AT4*$B$40)</f>
        <v>0.62785388127853881</v>
      </c>
      <c r="AU40" s="49">
        <f>up_b2w!AC40</f>
        <v>152036.56519057468</v>
      </c>
      <c r="AV40" s="49">
        <f t="shared" si="42"/>
        <v>158912.19304445595</v>
      </c>
      <c r="AW40" s="60">
        <f>IFERROR(AW4/$B40,".")</f>
        <v>6.6115702479338848E-4</v>
      </c>
      <c r="AX40" s="189">
        <f t="shared" ref="AX40" si="74">IFERROR(AX4/$B40,0)</f>
        <v>2.0085950413223141E-12</v>
      </c>
      <c r="AY40" s="49">
        <f>IF(AW40=".",".",up_RadSpec!$F$4*AY4*$B$40)</f>
        <v>37812.5</v>
      </c>
    </row>
    <row r="41" spans="1:51" x14ac:dyDescent="0.25">
      <c r="A41" s="48" t="s">
        <v>1069</v>
      </c>
      <c r="B41" s="50">
        <v>0.99987999999999999</v>
      </c>
      <c r="C41" s="78"/>
      <c r="D41" s="60">
        <f t="shared" ref="D41:I41" si="75">IFERROR(D8/$B41,".")</f>
        <v>0.33061818657908371</v>
      </c>
      <c r="E41" s="60">
        <f t="shared" si="75"/>
        <v>3090.3626287097372</v>
      </c>
      <c r="F41" s="60">
        <f t="shared" si="75"/>
        <v>293.35514234586111</v>
      </c>
      <c r="G41" s="60">
        <f t="shared" si="75"/>
        <v>3.2972792119186577E-5</v>
      </c>
      <c r="H41" s="60">
        <f t="shared" si="75"/>
        <v>1.6530909328954188E-4</v>
      </c>
      <c r="I41" s="60">
        <f t="shared" si="75"/>
        <v>3.296949998947753E-5</v>
      </c>
      <c r="J41" s="189">
        <f>IFERROR(J8/$B41,0)</f>
        <v>9.8315048968621997E-14</v>
      </c>
      <c r="K41" s="49">
        <f>IF(D41=".",".",up_RadSpec!$E$8*K8*$B$41)</f>
        <v>75.615925000000004</v>
      </c>
      <c r="L41" s="49">
        <f>IF(E41=".",".",up_RadSpec!$H$8*L8*$B$41)</f>
        <v>8.0896655194273425E-3</v>
      </c>
      <c r="M41" s="49">
        <f>IF(F41=".",".",up_RadSpec!$G$8*M8*$B$41)</f>
        <v>8.5220936643835579E-2</v>
      </c>
      <c r="N41" s="49">
        <f>up_b2s!AC41</f>
        <v>758200.87997499993</v>
      </c>
      <c r="O41" s="49">
        <f t="shared" si="33"/>
        <v>758276.58921060211</v>
      </c>
      <c r="P41" s="60">
        <f>IFERROR(P8/$B41,".")</f>
        <v>293.35514234586111</v>
      </c>
      <c r="Q41" s="60">
        <f>IFERROR(Q8/$B41,".")</f>
        <v>538.51197530021136</v>
      </c>
      <c r="R41" s="60">
        <f>IFERROR(R8/$B41,".")</f>
        <v>393.06362664150373</v>
      </c>
      <c r="S41" s="60">
        <f>IFERROR(S8/$B41,".")</f>
        <v>360.37729990313181</v>
      </c>
      <c r="T41" s="60">
        <f>IFERROR(T8/$B41,".")</f>
        <v>997.80124926766689</v>
      </c>
      <c r="U41" s="189">
        <f t="shared" ref="U41:Y41" si="76">IFERROR(U8/$B41,0)</f>
        <v>8.7478503447535796E-7</v>
      </c>
      <c r="V41" s="189">
        <f t="shared" si="76"/>
        <v>1.6058427103452302E-6</v>
      </c>
      <c r="W41" s="189">
        <f t="shared" si="76"/>
        <v>1.1721157346449644E-6</v>
      </c>
      <c r="X41" s="189">
        <f t="shared" si="76"/>
        <v>1.0746451083111391E-6</v>
      </c>
      <c r="Y41" s="189">
        <f t="shared" si="76"/>
        <v>2.9754433253161824E-6</v>
      </c>
      <c r="Z41" s="49">
        <f>IF(P41=".",".",up_RadSpec!$G$8*Z8*$B$41)</f>
        <v>8.5220936643835579E-2</v>
      </c>
      <c r="AA41" s="49">
        <f>IF(Q41=".",".",up_RadSpec!$N$8*AA8*$B$41)</f>
        <v>4.6424222945205484E-2</v>
      </c>
      <c r="AB41" s="49">
        <f>IF(R41=".",".",up_RadSpec!$O$8*AB8*$B$41)</f>
        <v>6.3602934246575343E-2</v>
      </c>
      <c r="AC41" s="49">
        <f>IF(S41=".",".",up_RadSpec!$P$8*AC8*$B$41)</f>
        <v>6.9371739026625481E-2</v>
      </c>
      <c r="AD41" s="49">
        <f>IF(T41=".",".",up_RadSpec!$L$8*AD8*$B$41)</f>
        <v>2.5055089897260272E-2</v>
      </c>
      <c r="AE41" s="60">
        <f>IFERROR(AE8/$B41,".")</f>
        <v>9.9752230007860692E-3</v>
      </c>
      <c r="AF41" s="60">
        <f>IFERROR(AF8/$B41,".")</f>
        <v>63.716736917521011</v>
      </c>
      <c r="AG41" s="60">
        <f>IFERROR(AG8/$B41,".")</f>
        <v>9.973661566489947E-3</v>
      </c>
      <c r="AH41" s="189">
        <f t="shared" ref="AH41" si="77">IFERROR(AH8/$B41,0)</f>
        <v>2.9741458791273018E-14</v>
      </c>
      <c r="AI41" s="49">
        <f>IF(AE41=".",".",up_RadSpec!$H$8*AI8*$B$41)</f>
        <v>2506.2096354166661</v>
      </c>
      <c r="AJ41" s="49">
        <f>IF(AF41=".",".",up_RadSpec!$K$8*AJ8*$B$41)</f>
        <v>0.39236158675799088</v>
      </c>
      <c r="AK41" s="49">
        <f t="shared" si="38"/>
        <v>2506.601997003424</v>
      </c>
      <c r="AL41" s="60">
        <f>IFERROR(AL8/$B41,".")</f>
        <v>3.6368000523699208E-3</v>
      </c>
      <c r="AM41" s="60" t="str">
        <f>IFERROR(AM8,".")</f>
        <v>.</v>
      </c>
      <c r="AN41" s="60">
        <f>IFERROR(AN8/$B41,".")</f>
        <v>39.822960573450636</v>
      </c>
      <c r="AO41" s="60">
        <f>IFERROR(AO8/$B41,".")</f>
        <v>1.6445386232385919E-4</v>
      </c>
      <c r="AP41" s="60">
        <f>IFERROR(AP8/$B41,".")</f>
        <v>1.5733846397204132E-4</v>
      </c>
      <c r="AQ41" s="189">
        <f t="shared" ref="AQ41" si="78">IFERROR(AQ8/$B41,0)</f>
        <v>4.6918329956462723E-16</v>
      </c>
      <c r="AR41" s="49">
        <f>IF(AL41=".",".",up_RadSpec!$I$8*AR8*$B$41)</f>
        <v>6874.1750000000002</v>
      </c>
      <c r="AS41" s="49" t="str">
        <f>IF(AM41=".",".",up_RadSpec!$H$8*AS8*$B$41)</f>
        <v>.</v>
      </c>
      <c r="AT41" s="49">
        <f>IF(AN41=".",".",up_RadSpec!$M$8*AT8*$B$41)</f>
        <v>0.62777853881278534</v>
      </c>
      <c r="AU41" s="49">
        <f>up_b2w!AC41</f>
        <v>152018.32080275181</v>
      </c>
      <c r="AV41" s="49">
        <f t="shared" si="42"/>
        <v>158893.12358129062</v>
      </c>
      <c r="AW41" s="60">
        <f>IFERROR(AW8/$B41,".")</f>
        <v>6.612363731581675E-4</v>
      </c>
      <c r="AX41" s="189">
        <f t="shared" ref="AX41" si="79">IFERROR(AX8/$B41,0)</f>
        <v>1.9718068647576555E-12</v>
      </c>
      <c r="AY41" s="49">
        <f>IF(AW41=".",".",up_RadSpec!$F$8*AY8*$B$41)</f>
        <v>37807.962500000001</v>
      </c>
    </row>
    <row r="42" spans="1:51" x14ac:dyDescent="0.25">
      <c r="A42" s="48" t="s">
        <v>1070</v>
      </c>
      <c r="B42" s="15">
        <v>0.97898250799999997</v>
      </c>
      <c r="C42" s="42"/>
      <c r="D42" s="60">
        <f t="shared" ref="D42:I42" si="80">IFERROR(D19/$B42,".")</f>
        <v>0.33767560676037556</v>
      </c>
      <c r="E42" s="60">
        <f t="shared" si="80"/>
        <v>3156.3299241239274</v>
      </c>
      <c r="F42" s="60">
        <f t="shared" si="80"/>
        <v>207.41264376257445</v>
      </c>
      <c r="G42" s="60">
        <f t="shared" si="80"/>
        <v>3.3676633764872411E-5</v>
      </c>
      <c r="H42" s="60">
        <f t="shared" si="80"/>
        <v>1.6883780338018778E-4</v>
      </c>
      <c r="I42" s="60">
        <f t="shared" si="80"/>
        <v>3.3673269678553476E-5</v>
      </c>
      <c r="J42" s="189">
        <f>IFERROR(J19/$B42,0)</f>
        <v>1.0041369018144647E-13</v>
      </c>
      <c r="K42" s="246">
        <f>IF(D42=".",".",up_RadSpec!$E$19*K19*$B$42)</f>
        <v>74.035552167500001</v>
      </c>
      <c r="L42" s="246">
        <f>IF(E42=".",".",up_RadSpec!$H$19*L19*$B$42)</f>
        <v>7.920591510071311E-3</v>
      </c>
      <c r="M42" s="246">
        <f>IF(F42=".",".",up_RadSpec!$G$19*M19*$B$42)</f>
        <v>0.12053267123202739</v>
      </c>
      <c r="N42" s="49">
        <f>up_b2s!AC42</f>
        <v>742354.4815835224</v>
      </c>
      <c r="O42" s="49">
        <f t="shared" si="33"/>
        <v>742428.6455889527</v>
      </c>
      <c r="P42" s="60">
        <f>IFERROR(P19/$B42,".")</f>
        <v>207.41264376257445</v>
      </c>
      <c r="Q42" s="60">
        <f>IFERROR(Q19/$B42,".")</f>
        <v>411.38298168885689</v>
      </c>
      <c r="R42" s="60">
        <f>IFERROR(R19/$B42,".")</f>
        <v>285.17036045430166</v>
      </c>
      <c r="S42" s="60">
        <f>IFERROR(S19/$B42,".")</f>
        <v>238.17538236294322</v>
      </c>
      <c r="T42" s="60">
        <f>IFERROR(T19/$B42,".")</f>
        <v>708.41281538284966</v>
      </c>
      <c r="U42" s="189">
        <f t="shared" ref="U42:Y42" si="81">IFERROR(U19/$B42,0)</f>
        <v>6.1850450369999704E-7</v>
      </c>
      <c r="V42" s="189">
        <f t="shared" si="81"/>
        <v>1.2267440513961711E-6</v>
      </c>
      <c r="W42" s="189">
        <f t="shared" si="81"/>
        <v>8.5037801487472745E-7</v>
      </c>
      <c r="X42" s="189">
        <f t="shared" si="81"/>
        <v>7.1023899020629676E-7</v>
      </c>
      <c r="Y42" s="189">
        <f t="shared" si="81"/>
        <v>2.1124870154716577E-6</v>
      </c>
      <c r="Z42" s="246">
        <f>IF(P42=".",".",up_RadSpec!$G$19*Z19*$B$42)</f>
        <v>0.12053267123202739</v>
      </c>
      <c r="AA42" s="246">
        <f>IF(Q42=".",".",up_RadSpec!$N$19*AA19*$B$42)</f>
        <v>6.0770622784071221E-2</v>
      </c>
      <c r="AB42" s="246">
        <f>IF(R42=".",".",up_RadSpec!$O$19*AB19*$B$42)</f>
        <v>8.7666894834977888E-2</v>
      </c>
      <c r="AC42" s="246">
        <f>IF(S42=".",".",up_RadSpec!$P$19*AC19*$B$42)</f>
        <v>0.10496466827081141</v>
      </c>
      <c r="AD42" s="246">
        <f>IF(T42=".",".",up_RadSpec!$L$19*AD19*$B$42)</f>
        <v>3.5290157740143616E-2</v>
      </c>
      <c r="AE42" s="60">
        <f>IFERROR(AE19/$B42,".")</f>
        <v>1.0188155449684476E-2</v>
      </c>
      <c r="AF42" s="60">
        <f>IFERROR(AF19/$B42,".")</f>
        <v>65.076842934859584</v>
      </c>
      <c r="AG42" s="60">
        <f>IFERROR(AG19/$B42,".")</f>
        <v>1.0186560684802315E-2</v>
      </c>
      <c r="AH42" s="189">
        <f t="shared" ref="AH42" si="82">IFERROR(AH19/$B42,0)</f>
        <v>3.0376323962080502E-14</v>
      </c>
      <c r="AI42" s="246">
        <f>IF(AE42=".",".",up_RadSpec!$H$19*AI19*$B$42)</f>
        <v>2453.8298540364576</v>
      </c>
      <c r="AJ42" s="246">
        <f>IF(AF42=".",".",up_RadSpec!$K$19*AJ19*$B$42)</f>
        <v>0.38416122959474885</v>
      </c>
      <c r="AK42" s="49">
        <f t="shared" si="38"/>
        <v>2454.2140152660522</v>
      </c>
      <c r="AL42" s="60">
        <f>IFERROR(AL19/$B42,".")</f>
        <v>3.7144316743641312E-3</v>
      </c>
      <c r="AM42" s="60" t="str">
        <f>IFERROR(AM19,".")</f>
        <v>.</v>
      </c>
      <c r="AN42" s="60">
        <f>IFERROR(AN19/$B42,".")</f>
        <v>40.673026834287242</v>
      </c>
      <c r="AO42" s="60">
        <f>IFERROR(AO19/$B42,".")</f>
        <v>1.6796431653953549E-4</v>
      </c>
      <c r="AP42" s="60">
        <f>IFERROR(AP19/$B42,".")</f>
        <v>1.6069703193957851E-4</v>
      </c>
      <c r="AQ42" s="189">
        <f t="shared" ref="AQ42" si="83">IFERROR(AQ19/$B42,0)</f>
        <v>4.7919854924382312E-16</v>
      </c>
      <c r="AR42" s="246">
        <f>IF(AL42=".",".",up_RadSpec!$I$19*AR19*$B$42)</f>
        <v>6730.5047425000002</v>
      </c>
      <c r="AS42" s="246" t="str">
        <f>IF(AM42=".",".",up_RadSpec!$H$19*AS19*$B$42)</f>
        <v>.</v>
      </c>
      <c r="AT42" s="246">
        <f>IF(AN42=".",".",up_RadSpec!$M$19*AT19*$B$42)</f>
        <v>0.61465796735159817</v>
      </c>
      <c r="AU42" s="49">
        <f>up_b2w!AC42</f>
        <v>148841.13789797429</v>
      </c>
      <c r="AV42" s="49">
        <f t="shared" si="42"/>
        <v>155572.25729844163</v>
      </c>
      <c r="AW42" s="60">
        <f>IFERROR(AW19/$B42,".")</f>
        <v>6.7535121352075113E-4</v>
      </c>
      <c r="AX42" s="189">
        <f t="shared" ref="AX42" si="84">IFERROR(AX19/$B42,0)</f>
        <v>2.0138973187188802E-12</v>
      </c>
      <c r="AY42" s="246">
        <f>IF(AW42=".",".",up_RadSpec!$F$19*AY19*$B$42)</f>
        <v>37017.776083749995</v>
      </c>
    </row>
    <row r="43" spans="1:51" x14ac:dyDescent="0.25">
      <c r="A43" s="48" t="s">
        <v>1071</v>
      </c>
      <c r="B43" s="15">
        <v>2.0897492E-2</v>
      </c>
      <c r="C43" s="42"/>
      <c r="D43" s="60">
        <f t="shared" ref="D43:I43" si="85">IFERROR(D28/$B43,".")</f>
        <v>15.819051989429843</v>
      </c>
      <c r="E43" s="60">
        <f t="shared" si="85"/>
        <v>147864.24060812138</v>
      </c>
      <c r="F43" s="60">
        <f t="shared" si="85"/>
        <v>6915.2913863096328</v>
      </c>
      <c r="G43" s="60">
        <f t="shared" si="85"/>
        <v>1.5776455559419413E-3</v>
      </c>
      <c r="H43" s="60">
        <f t="shared" si="85"/>
        <v>7.9095259947149221E-3</v>
      </c>
      <c r="I43" s="60">
        <f t="shared" si="85"/>
        <v>1.577487855214135E-3</v>
      </c>
      <c r="J43" s="189">
        <f>IFERROR(J28/$B43,0)</f>
        <v>4.6157294643565591E-12</v>
      </c>
      <c r="K43" s="246">
        <f>IF(D43=".",".",up_RadSpec!E28*K28*$B$43)</f>
        <v>1.5803728324999999</v>
      </c>
      <c r="L43" s="246">
        <f>IF(E43=".",".",up_RadSpec!F28*L28*$B$43)</f>
        <v>1.6907400935603145E-4</v>
      </c>
      <c r="M43" s="246">
        <f>IF(F43=".",".",up_RadSpec!G28*M28*$B$43)</f>
        <v>3.6151766575582191E-3</v>
      </c>
      <c r="N43" s="49">
        <f>up_b2s!AC43</f>
        <v>15846.398391477502</v>
      </c>
      <c r="O43" s="49">
        <f t="shared" si="33"/>
        <v>15847.982548560669</v>
      </c>
      <c r="P43" s="60">
        <f>IFERROR(P28/$B43,".")</f>
        <v>6915.2913863096328</v>
      </c>
      <c r="Q43" s="60">
        <f>IFERROR(Q28/$B43,".")</f>
        <v>15420.133614707851</v>
      </c>
      <c r="R43" s="60">
        <f>IFERROR(R28/$B43,".")</f>
        <v>10706.025071649521</v>
      </c>
      <c r="S43" s="60">
        <f>IFERROR(S28/$B43,".")</f>
        <v>9269.3066648512577</v>
      </c>
      <c r="T43" s="60">
        <f>IFERROR(T28/$B43,".")</f>
        <v>27108.052000863718</v>
      </c>
      <c r="U43" s="189">
        <f t="shared" ref="U43:Y43" si="86">IFERROR(U28/$B43,0)</f>
        <v>2.0234142596341988E-5</v>
      </c>
      <c r="V43" s="189">
        <f t="shared" si="86"/>
        <v>4.5119310956635176E-5</v>
      </c>
      <c r="W43" s="189">
        <f t="shared" si="86"/>
        <v>3.1325829359646507E-5</v>
      </c>
      <c r="X43" s="189">
        <f t="shared" si="86"/>
        <v>2.7121991301354784E-5</v>
      </c>
      <c r="Y43" s="189">
        <f t="shared" si="86"/>
        <v>7.9318160154527256E-5</v>
      </c>
      <c r="Z43" s="246">
        <f>IF(P43=".",".",up_RadSpec!$G$28*Z28*$B$43)</f>
        <v>3.6151766575582191E-3</v>
      </c>
      <c r="AA43" s="246">
        <f>IF(Q43=".",".",up_RadSpec!$N$28*AA28*$B$43)</f>
        <v>1.6212570282889635E-3</v>
      </c>
      <c r="AB43" s="246">
        <f>IF(R43=".",".",up_RadSpec!$O$28*AB28*$B$43)</f>
        <v>2.3351337058047953E-3</v>
      </c>
      <c r="AC43" s="246">
        <f>IF(S43=".",".",up_RadSpec!$P$28*AC28*$B$43)</f>
        <v>2.6970733522927591E-3</v>
      </c>
      <c r="AD43" s="246">
        <f>IF(T43=".",".",up_RadSpec!$L$28*AD28*$B$43)</f>
        <v>9.2223520890410895E-4</v>
      </c>
      <c r="AE43" s="60">
        <f>IFERROR(AE28/$B43,".")</f>
        <v>0.47728339716679757</v>
      </c>
      <c r="AF43" s="60">
        <f>IFERROR(AF28/$B43,".")</f>
        <v>3048.6476994029194</v>
      </c>
      <c r="AG43" s="60">
        <f>IFERROR(AG28/$B43,".")</f>
        <v>0.47720868739186345</v>
      </c>
      <c r="AH43" s="189">
        <f t="shared" ref="AH43" si="87">IFERROR(AH28/$B43,0)</f>
        <v>1.3963126193085927E-12</v>
      </c>
      <c r="AI43" s="246">
        <f>IF(AE43=".",".",up_RadSpec!$H$28*AI28*$B$43)</f>
        <v>52.379781380208321</v>
      </c>
      <c r="AJ43" s="246">
        <f>IF(AF43=".",".",up_RadSpec!$K$28*AJ28*$B$43)</f>
        <v>8.2003571632420103E-3</v>
      </c>
      <c r="AK43" s="49">
        <f t="shared" si="38"/>
        <v>52.387981737371561</v>
      </c>
      <c r="AL43" s="60">
        <f>IFERROR(AL28/$B43,".")</f>
        <v>0.17400957188372826</v>
      </c>
      <c r="AM43" s="60" t="str">
        <f>IFERROR(AM28,".")</f>
        <v>.</v>
      </c>
      <c r="AN43" s="60">
        <f>IFERROR(AN28/$B43,".")</f>
        <v>1905.4048121268245</v>
      </c>
      <c r="AO43" s="60">
        <f>IFERROR(AO28/$B43,".")</f>
        <v>7.8686058528162298E-3</v>
      </c>
      <c r="AP43" s="60">
        <f>IFERROR(AP28/$B43,".")</f>
        <v>7.5281561709110685E-3</v>
      </c>
      <c r="AQ43" s="189">
        <f t="shared" ref="AQ43" si="88">IFERROR(AQ28/$B43,0)</f>
        <v>2.2027384956085788E-14</v>
      </c>
      <c r="AR43" s="246">
        <f>IF(AL43=".",".",up_RadSpec!$I$28*AR28*$B$43)</f>
        <v>143.67025749999999</v>
      </c>
      <c r="AS43" s="246" t="str">
        <f>IF(AM43=".",".",up_RadSpec!$H$28*AS28*$B$43)</f>
        <v>.</v>
      </c>
      <c r="AT43" s="246">
        <f>IF(AN43=".",".",up_RadSpec!$M$28*AT28*$B$43)</f>
        <v>1.3120571461187214E-2</v>
      </c>
      <c r="AU43" s="49">
        <f>up_b2w!AC43</f>
        <v>3177.1829047775127</v>
      </c>
      <c r="AV43" s="49">
        <f t="shared" si="42"/>
        <v>3320.8662828489737</v>
      </c>
      <c r="AW43" s="60">
        <f>IFERROR(AW28/$B43,".")</f>
        <v>3.1638103978859689E-2</v>
      </c>
      <c r="AX43" s="189">
        <f t="shared" ref="AX43" si="89">IFERROR(AX28/$B43,0)</f>
        <v>9.2573092242143448E-11</v>
      </c>
      <c r="AY43" s="246">
        <f>IF(AW43=".",".",up_RadSpec!$F$28*AY28*$B$43)</f>
        <v>790.18641624999998</v>
      </c>
    </row>
    <row r="44" spans="1:51" x14ac:dyDescent="0.25">
      <c r="A44" s="48" t="s">
        <v>1072</v>
      </c>
      <c r="B44" s="15">
        <v>0.99987999999999999</v>
      </c>
      <c r="C44" s="42"/>
      <c r="D44" s="60">
        <f t="shared" ref="D44:I44" si="90">IFERROR(D15/$B44,".")</f>
        <v>0.33061818657908371</v>
      </c>
      <c r="E44" s="60">
        <f t="shared" si="90"/>
        <v>3090.3626287097372</v>
      </c>
      <c r="F44" s="60" t="str">
        <f t="shared" si="90"/>
        <v>.</v>
      </c>
      <c r="G44" s="60">
        <f t="shared" si="90"/>
        <v>3.2972792119186577E-5</v>
      </c>
      <c r="H44" s="60">
        <f t="shared" si="90"/>
        <v>1.6530909328954188E-4</v>
      </c>
      <c r="I44" s="60">
        <f t="shared" si="90"/>
        <v>3.2969503694843127E-5</v>
      </c>
      <c r="J44" s="189">
        <f>IFERROR(J15/$B44,0)</f>
        <v>9.6468767811111004E-14</v>
      </c>
      <c r="K44" s="49">
        <f>IF(D44=".",".",up_RadSpec!$E$15*K15*$B$44)</f>
        <v>75.615925000000004</v>
      </c>
      <c r="L44" s="49">
        <f>IF(E44=".",".",up_RadSpec!$H$15*L15*$B$44)</f>
        <v>8.0896655194273425E-3</v>
      </c>
      <c r="M44" s="49" t="str">
        <f>IF(F44=".",".",up_RadSpec!$G$15*M15*$B$44)</f>
        <v>.</v>
      </c>
      <c r="N44" s="49">
        <f>up_b2s!AC44</f>
        <v>758200.87997499993</v>
      </c>
      <c r="O44" s="49">
        <f t="shared" si="33"/>
        <v>758276.50398966542</v>
      </c>
      <c r="P44" s="60" t="str">
        <f>IFERROR(P15/$B44,".")</f>
        <v>.</v>
      </c>
      <c r="Q44" s="60" t="str">
        <f>IFERROR(Q15/$B44,".")</f>
        <v>.</v>
      </c>
      <c r="R44" s="60" t="str">
        <f>IFERROR(R15/$B44,".")</f>
        <v>.</v>
      </c>
      <c r="S44" s="60" t="str">
        <f>IFERROR(S15/$B44,".")</f>
        <v>.</v>
      </c>
      <c r="T44" s="60" t="str">
        <f>IFERROR(T15/$B44,".")</f>
        <v>.</v>
      </c>
      <c r="U44" s="189">
        <f t="shared" ref="U44:Y44" si="91">IFERROR(U15/$B44,0)</f>
        <v>0</v>
      </c>
      <c r="V44" s="189">
        <f t="shared" si="91"/>
        <v>0</v>
      </c>
      <c r="W44" s="189">
        <f t="shared" si="91"/>
        <v>0</v>
      </c>
      <c r="X44" s="189">
        <f t="shared" si="91"/>
        <v>0</v>
      </c>
      <c r="Y44" s="189">
        <f t="shared" si="91"/>
        <v>0</v>
      </c>
      <c r="Z44" s="49" t="str">
        <f>IF(P44=".",".",up_RadSpec!$G$15*Z15*$B$44)</f>
        <v>.</v>
      </c>
      <c r="AA44" s="49" t="str">
        <f>IF(Q44=".",".",up_RadSpec!$N$15*AA15*$B$44)</f>
        <v>.</v>
      </c>
      <c r="AB44" s="49" t="str">
        <f>IF(R44=".",".",up_RadSpec!$O$15*AB15*$B$44)</f>
        <v>.</v>
      </c>
      <c r="AC44" s="49" t="str">
        <f>IF(S44=".",".",up_RadSpec!$P$15*AC15*$B$44)</f>
        <v>.</v>
      </c>
      <c r="AD44" s="49" t="str">
        <f>IF(T44=".",".",up_RadSpec!$L$15*AD15*$B$44)</f>
        <v>.</v>
      </c>
      <c r="AE44" s="60">
        <f>IFERROR(AE15/$B44,".")</f>
        <v>9.9752230007860692E-3</v>
      </c>
      <c r="AF44" s="60">
        <f>IFERROR(AF15/$B44,".")</f>
        <v>63.716736917521011</v>
      </c>
      <c r="AG44" s="60">
        <f>IFERROR(AG15/$B44,".")</f>
        <v>9.973661566489947E-3</v>
      </c>
      <c r="AH44" s="189">
        <f t="shared" ref="AH44" si="92">IFERROR(AH15/$B44,0)</f>
        <v>2.918293374354959E-14</v>
      </c>
      <c r="AI44" s="49">
        <f>IF(AE44=".",".",up_RadSpec!$H$15*AI15*$B$44)</f>
        <v>2506.2096354166661</v>
      </c>
      <c r="AJ44" s="49">
        <f>IF(AF44=".",".",up_RadSpec!$K$15*AJ15*$B$44)</f>
        <v>0.39236158675799088</v>
      </c>
      <c r="AK44" s="49">
        <f t="shared" si="38"/>
        <v>2506.601997003424</v>
      </c>
      <c r="AL44" s="60">
        <f>IFERROR(AL15/$B44,".")</f>
        <v>3.6368000523699208E-3</v>
      </c>
      <c r="AM44" s="60" t="str">
        <f>IFERROR(AM15,".")</f>
        <v>.</v>
      </c>
      <c r="AN44" s="60">
        <f>IFERROR(AN15/$B44,".")</f>
        <v>39.822960573450636</v>
      </c>
      <c r="AO44" s="60">
        <f>IFERROR(AO15/$B44,".")</f>
        <v>1.6445386232385919E-4</v>
      </c>
      <c r="AP44" s="60">
        <f>IFERROR(AP15/$B44,".")</f>
        <v>1.5733846397204132E-4</v>
      </c>
      <c r="AQ44" s="189">
        <f t="shared" ref="AQ44" si="93">IFERROR(AQ15/$B44,0)</f>
        <v>4.6037234558219305E-16</v>
      </c>
      <c r="AR44" s="49">
        <f>IF(AL44=".",".",up_RadSpec!$I$15*AR15*$B$44)</f>
        <v>6874.1750000000002</v>
      </c>
      <c r="AS44" s="49" t="str">
        <f>IF(AM44=".",".",up_RadSpec!$H$15*AS15*$B$44)</f>
        <v>.</v>
      </c>
      <c r="AT44" s="49">
        <f>IF(AN44=".",".",up_RadSpec!$M$15*AT15*$B$44)</f>
        <v>0.62777853881278534</v>
      </c>
      <c r="AU44" s="49">
        <f>up_b2w!AC44</f>
        <v>152018.32080275181</v>
      </c>
      <c r="AV44" s="49">
        <f t="shared" si="42"/>
        <v>158893.12358129062</v>
      </c>
      <c r="AW44" s="60">
        <f>IFERROR(AW15/$B44,".")</f>
        <v>6.612363731581675E-4</v>
      </c>
      <c r="AX44" s="189">
        <f t="shared" ref="AX44" si="94">IFERROR(AX15/$B44,0)</f>
        <v>1.9347776278607979E-12</v>
      </c>
      <c r="AY44" s="49">
        <f>IF(AW44=".",".",up_RadSpec!$F$15*AY15*$B$44)</f>
        <v>37807.962500000001</v>
      </c>
    </row>
    <row r="45" spans="1:51" x14ac:dyDescent="0.25">
      <c r="A45" s="57" t="s">
        <v>8</v>
      </c>
      <c r="B45" s="57" t="s">
        <v>1185</v>
      </c>
      <c r="C45" s="57"/>
      <c r="D45" s="58">
        <f t="shared" ref="D45:I45" si="95">IFERROR(1/SUM(IFERROR(1/SUMIF(D46,"&lt;&gt;.",D46),0),IFERROR(1/SUMIF(D47,"&lt;&gt;.",D47),0)),".")</f>
        <v>0.17005154985195101</v>
      </c>
      <c r="E45" s="58">
        <f t="shared" si="95"/>
        <v>1589.5101236088108</v>
      </c>
      <c r="F45" s="58">
        <f t="shared" si="95"/>
        <v>131.21793475004543</v>
      </c>
      <c r="G45" s="58">
        <f t="shared" si="95"/>
        <v>1.6959364700503746E-5</v>
      </c>
      <c r="H45" s="58">
        <f t="shared" si="95"/>
        <v>8.50257749259755E-5</v>
      </c>
      <c r="I45" s="59">
        <f t="shared" si="95"/>
        <v>1.6957671126995117E-5</v>
      </c>
      <c r="J45" s="190">
        <f>I45*(0.0000000000028)*up_RadSpec!$AY10*up_RadSpec!$AF10</f>
        <v>3.2524813221576634E-14</v>
      </c>
      <c r="K45" s="47">
        <f>IFERROR(SUM(K46:K47),".")</f>
        <v>147.01424374999999</v>
      </c>
      <c r="L45" s="47">
        <f>IFERROR(SUM(L46:L47),".")</f>
        <v>1.5728116247061205E-2</v>
      </c>
      <c r="M45" s="47">
        <f>IFERROR(SUM(M46:M47),".")</f>
        <v>0.19052273645079099</v>
      </c>
      <c r="N45" s="47">
        <f>IFERROR(SUM(N46:N47),".")</f>
        <v>1474111.8220812501</v>
      </c>
      <c r="O45" s="47">
        <f>IFERROR(SUM(O46:O47),".")</f>
        <v>1474259.0425758527</v>
      </c>
      <c r="P45" s="59">
        <f>IFERROR(1/SUM(IFERROR(1/SUMIF(P46,"&lt;&gt;.",P46),0),IFERROR(1/SUMIF(P47,"&lt;&gt;.",P47),0)),".")</f>
        <v>131.21793475004543</v>
      </c>
      <c r="Q45" s="59">
        <f>IFERROR(1/SUM(IFERROR(1/SUMIF(Q46,"&lt;&gt;.",Q46),0),IFERROR(1/SUMIF(Q47,"&lt;&gt;.",Q47),0)),".")</f>
        <v>223.91319196004366</v>
      </c>
      <c r="R45" s="59">
        <f>IFERROR(1/SUM(IFERROR(1/SUMIF(R46,"&lt;&gt;.",R46),0),IFERROR(1/SUMIF(R47,"&lt;&gt;.",R47),0)),".")</f>
        <v>159.09591770179014</v>
      </c>
      <c r="S45" s="59">
        <f>IFERROR(1/SUM(IFERROR(1/SUMIF(S46,"&lt;&gt;.",S46),0),IFERROR(1/SUMIF(S47,"&lt;&gt;.",S47),0)),".")</f>
        <v>138.42828067086154</v>
      </c>
      <c r="T45" s="59">
        <f>IFERROR(1/SUM(IFERROR(1/SUMIF(T46,"&lt;&gt;.",T46),0),IFERROR(1/SUMIF(T47,"&lt;&gt;.",T47),0)),".")</f>
        <v>376.27384008456488</v>
      </c>
      <c r="U45" s="190">
        <f>P45*(0.0000000000028)*up_RadSpec!$AY10*up_RadSpec!$AF10</f>
        <v>2.5167599885058713E-7</v>
      </c>
      <c r="V45" s="190">
        <f>Q45*(0.0000000000028)*up_RadSpec!$AY10*up_RadSpec!$AF10</f>
        <v>4.2946550217936376E-7</v>
      </c>
      <c r="W45" s="190">
        <f>R45*(0.0000000000028)*up_RadSpec!$AY10*up_RadSpec!$AF10</f>
        <v>3.0514597015203357E-7</v>
      </c>
      <c r="X45" s="190">
        <f>S45*(0.0000000000028)*up_RadSpec!$AY10*up_RadSpec!$AF10</f>
        <v>2.6550544232671245E-7</v>
      </c>
      <c r="Y45" s="190">
        <f>T45*(0.0000000000000028)*up_RadSpec!$AY10*up_RadSpec!$AF10</f>
        <v>7.2169322528219537E-10</v>
      </c>
      <c r="Z45" s="47">
        <f>IFERROR(SUM(Z46:Z47),".")</f>
        <v>0.19052273645079099</v>
      </c>
      <c r="AA45" s="47">
        <f t="shared" ref="AA45:AD45" si="96">IFERROR(SUM(AA46:AA47),".")</f>
        <v>0.11165041139899046</v>
      </c>
      <c r="AB45" s="47">
        <f t="shared" si="96"/>
        <v>0.15713791001765409</v>
      </c>
      <c r="AC45" s="47">
        <f t="shared" si="96"/>
        <v>0.18059893454461129</v>
      </c>
      <c r="AD45" s="47">
        <f t="shared" si="96"/>
        <v>6.6440972868008652E-2</v>
      </c>
      <c r="AE45" s="58">
        <f>IFERROR(1/SUM(IFERROR(1/SUMIF(AE46,"&lt;&gt;.",AE46),0),IFERROR(1/SUMIF(AE47,"&lt;&gt;.",AE47),0)),".")</f>
        <v>5.130698189818865E-3</v>
      </c>
      <c r="AF45" s="58">
        <f>IFERROR(1/SUM(IFERROR(1/SUMIF(AF46,"&lt;&gt;.",AF46),0),IFERROR(1/SUMIF(AF47,"&lt;&gt;.",AF47),0)),".")</f>
        <v>32.772334687467996</v>
      </c>
      <c r="AG45" s="59">
        <f>IFERROR(1/SUM(IFERROR(1/SUMIF(AG46,"&lt;&gt;.",AG46),0),IFERROR(1/SUMIF(AG47,"&lt;&gt;.",AG47),0)),".")</f>
        <v>5.1298950751299983E-3</v>
      </c>
      <c r="AH45" s="190">
        <f>AG45*(0.0000000000000028)*up_RadSpec!$AY10*up_RadSpec!$AF10</f>
        <v>9.8391387540993388E-15</v>
      </c>
      <c r="AI45" s="47">
        <f t="shared" ref="AI45" si="97">IFERROR(SUM(AI46:AI47),".")</f>
        <v>4872.6311848958321</v>
      </c>
      <c r="AJ45" s="47">
        <f t="shared" ref="AJ45" si="98">IFERROR(SUM(AJ46:AJ47),".")</f>
        <v>0.76283854166666676</v>
      </c>
      <c r="AK45" s="47">
        <f>IFERROR(SUM(AK46:AK47),".")</f>
        <v>4873.3940234374986</v>
      </c>
      <c r="AL45" s="58">
        <f>IFERROR(1/SUM(IFERROR(1/SUMIF(AL46,"&lt;&gt;.",AL46),0),IFERROR(1/SUMIF(AL47,"&lt;&gt;.",AL47),0)),".")</f>
        <v>1.8705670483714608E-3</v>
      </c>
      <c r="AM45" s="58" t="str">
        <f>IFERROR(1/SUM(IFERROR(1/SUMIF(AM46,"&lt;&gt;.",AM46),0),IFERROR(1/SUMIF(AM47,"&lt;&gt;.",AM47),0)),".")</f>
        <v>.</v>
      </c>
      <c r="AN45" s="58">
        <f>IFERROR(1/SUM(IFERROR(1/SUMIF(AN46,"&lt;&gt;.",AN46),0),IFERROR(1/SUMIF(AN47,"&lt;&gt;.",AN47),0)),".")</f>
        <v>20.482709179667498</v>
      </c>
      <c r="AO45" s="58">
        <f>IFERROR(1/SUM(IFERROR(1/SUMIF(AO46,"&lt;&gt;.",AO46),0),IFERROR(1/SUMIF(AO47,"&lt;&gt;.",AO47),0)),".")</f>
        <v>8.4585891830914935E-5</v>
      </c>
      <c r="AP45" s="59">
        <f>IFERROR(1/SUM(IFERROR(1/SUMIF(AP46,"&lt;&gt;.",AP46),0),IFERROR(1/SUMIF(AP47,"&lt;&gt;.",AP47),0)),".")</f>
        <v>8.0926127889734356E-5</v>
      </c>
      <c r="AQ45" s="190">
        <f>AP45*(0.0000000000000028)*up_RadSpec!$AY10*up_RadSpec!$AF10</f>
        <v>1.5521631329251053E-16</v>
      </c>
      <c r="AR45" s="47">
        <f t="shared" ref="AR45" si="99">IFERROR(SUM(AR46:AR47),".")</f>
        <v>13364.93125</v>
      </c>
      <c r="AS45" s="47">
        <f t="shared" ref="AS45:AT45" si="100">IFERROR(SUM(AS46:AS47),".")</f>
        <v>0</v>
      </c>
      <c r="AT45" s="47">
        <f t="shared" si="100"/>
        <v>1.2205416666666666</v>
      </c>
      <c r="AU45" s="47">
        <f>IFERROR(SUM(AU46:AU47),".")</f>
        <v>295557.56236482528</v>
      </c>
      <c r="AV45" s="47">
        <f t="shared" ref="AV45" si="101">IFERROR(SUM(AV46:AV47),".")</f>
        <v>308923.71415649191</v>
      </c>
      <c r="AW45" s="59">
        <f>IFERROR(1/SUM(IFERROR(1/SUMIF(AW46,"&lt;&gt;.",AW46),0),IFERROR(1/SUMIF(AW47,"&lt;&gt;.",AW47),0)),".")</f>
        <v>3.40103099703902E-4</v>
      </c>
      <c r="AX45" s="190">
        <f>AW45*(0.0000000000028)*up_RadSpec!$AY10*up_RadSpec!$AF10</f>
        <v>6.523177452320841E-13</v>
      </c>
      <c r="AY45" s="47">
        <f t="shared" ref="AY45" si="102">IFERROR(SUM(AY46:AY47),".")</f>
        <v>73507.121874999997</v>
      </c>
    </row>
    <row r="46" spans="1:51" x14ac:dyDescent="0.25">
      <c r="A46" s="48" t="s">
        <v>1084</v>
      </c>
      <c r="B46" s="15">
        <v>1</v>
      </c>
      <c r="C46" s="42"/>
      <c r="D46" s="60">
        <f t="shared" ref="D46:I46" si="103">IFERROR(D10/$B46,".")</f>
        <v>0.33057851239669422</v>
      </c>
      <c r="E46" s="60">
        <f t="shared" si="103"/>
        <v>3089.9917851942919</v>
      </c>
      <c r="F46" s="60">
        <f t="shared" si="103"/>
        <v>276.40981240981239</v>
      </c>
      <c r="G46" s="60">
        <f t="shared" si="103"/>
        <v>3.2968835384132272E-5</v>
      </c>
      <c r="H46" s="60">
        <f t="shared" si="103"/>
        <v>1.6528925619834712E-4</v>
      </c>
      <c r="I46" s="60">
        <f t="shared" si="103"/>
        <v>3.296554342282013E-5</v>
      </c>
      <c r="J46" s="189">
        <f>IFERROR(J10/$B46,0)</f>
        <v>6.3227912284969019E-14</v>
      </c>
      <c r="K46" s="49">
        <f>IF(D46=".",".",up_RadSpec!$E$10*K10*$B$46)</f>
        <v>75.625</v>
      </c>
      <c r="L46" s="49">
        <f>IF(E46=".",".",up_RadSpec!$H$10*L10*$B$46)</f>
        <v>8.0906363957948379E-3</v>
      </c>
      <c r="M46" s="49">
        <f>IF(F46=".",".",up_RadSpec!$G$10*M10*$B$46)</f>
        <v>9.0445414300033417E-2</v>
      </c>
      <c r="N46" s="49">
        <f>up_b2s!AC46</f>
        <v>758291.875</v>
      </c>
      <c r="O46" s="49">
        <f t="shared" ref="O46:O47" si="104">IFERROR(SUM(K46:N46),".")</f>
        <v>758367.59853605065</v>
      </c>
      <c r="P46" s="60">
        <f>IFERROR(P10/$B46,".")</f>
        <v>276.40981240981239</v>
      </c>
      <c r="Q46" s="60">
        <f>IFERROR(Q10/$B46,".")</f>
        <v>430.7198973865639</v>
      </c>
      <c r="R46" s="60">
        <f>IFERROR(R10/$B46,".")</f>
        <v>307.59036342644413</v>
      </c>
      <c r="S46" s="60">
        <f>IFERROR(S10/$B46,".")</f>
        <v>281.32732952010059</v>
      </c>
      <c r="T46" s="60">
        <f>IFERROR(T10/$B46,".")</f>
        <v>724.07613070789353</v>
      </c>
      <c r="U46" s="189">
        <f t="shared" ref="U46:Y46" si="105">IFERROR(U10/$B46,0)</f>
        <v>5.3015402020202021E-7</v>
      </c>
      <c r="V46" s="189">
        <f t="shared" si="105"/>
        <v>8.2612076318742971E-7</v>
      </c>
      <c r="W46" s="189">
        <f t="shared" si="105"/>
        <v>5.899583170519199E-7</v>
      </c>
      <c r="X46" s="189">
        <f t="shared" si="105"/>
        <v>5.3958581801955301E-7</v>
      </c>
      <c r="Y46" s="189">
        <f t="shared" si="105"/>
        <v>1.3887780186977398E-6</v>
      </c>
      <c r="Z46" s="49">
        <f>IF(P46=".",".",up_RadSpec!$G$10*Z10*$B46)</f>
        <v>9.0445414300033417E-2</v>
      </c>
      <c r="AA46" s="49">
        <f>IF(Q46=".",".",up_RadSpec!$N$10*AA10*$B46)</f>
        <v>5.8042361524717118E-2</v>
      </c>
      <c r="AB46" s="49">
        <f>IF(R46=".",".",up_RadSpec!$O$10*AB10*$B46)</f>
        <v>8.127692857965102E-2</v>
      </c>
      <c r="AC46" s="49">
        <f>IF(S46=".",".",up_RadSpec!$P$10*AC10*$B46)</f>
        <v>8.8864455659697195E-2</v>
      </c>
      <c r="AD46" s="49">
        <f>IF(T46=".",".",up_RadSpec!$L$10*AD10*$B46)</f>
        <v>3.4526756151399073E-2</v>
      </c>
      <c r="AE46" s="60">
        <f>IFERROR(AE10/$B46,".")</f>
        <v>9.9740259740259754E-3</v>
      </c>
      <c r="AF46" s="60">
        <f>IFERROR(AF10/$B46,".")</f>
        <v>63.709090909090911</v>
      </c>
      <c r="AG46" s="60">
        <f>IFERROR(AG10/$B46,".")</f>
        <v>9.9724647271019675E-3</v>
      </c>
      <c r="AH46" s="189">
        <f t="shared" ref="AH46" si="106">IFERROR(AH10/$B46,0)</f>
        <v>1.9127187346581575E-14</v>
      </c>
      <c r="AI46" s="49">
        <f>IF(AE46=".",".",up_RadSpec!$H$10*AI10*$B46)</f>
        <v>2506.5104166666661</v>
      </c>
      <c r="AJ46" s="49">
        <f>IF(AF46=".",".",up_RadSpec!$K$10*AJ10*$B46)</f>
        <v>0.39240867579908678</v>
      </c>
      <c r="AK46" s="49">
        <f t="shared" si="38"/>
        <v>2506.9028253424653</v>
      </c>
      <c r="AL46" s="60">
        <f>IFERROR(AL10/$B46,".")</f>
        <v>3.6363636363636364E-3</v>
      </c>
      <c r="AM46" s="60" t="str">
        <f>IFERROR(AM10,".")</f>
        <v>.</v>
      </c>
      <c r="AN46" s="60">
        <f>IFERROR(AN10/$B46,".")</f>
        <v>39.81818181818182</v>
      </c>
      <c r="AO46" s="60">
        <f>IFERROR(AO10/$B46,".")</f>
        <v>1.6443412786038033E-4</v>
      </c>
      <c r="AP46" s="60">
        <f>IFERROR(AP10/$B46,".")</f>
        <v>1.5731958335636468E-4</v>
      </c>
      <c r="AQ46" s="189">
        <f t="shared" ref="AQ46" si="107">IFERROR(AQ10/$B46,0)</f>
        <v>3.0173896087750751E-16</v>
      </c>
      <c r="AR46" s="49">
        <f>IF(AL46=".",".",up_RadSpec!$I$10*AR10*$B46)</f>
        <v>6875</v>
      </c>
      <c r="AS46" s="49" t="str">
        <f>IF(AM46=".",".",up_RadSpec!$H$10*AS10*$B46)</f>
        <v>.</v>
      </c>
      <c r="AT46" s="49">
        <f>IF(AN46=".",".",up_RadSpec!$M$10*AT10*$B46)</f>
        <v>0.62785388127853881</v>
      </c>
      <c r="AU46" s="49">
        <f>up_b2w!AC46</f>
        <v>152036.56519057468</v>
      </c>
      <c r="AV46" s="49">
        <f t="shared" si="42"/>
        <v>158912.19304445595</v>
      </c>
      <c r="AW46" s="60">
        <f>IFERROR(AW10/$B46,".")</f>
        <v>6.6115702479338848E-4</v>
      </c>
      <c r="AX46" s="189">
        <f t="shared" ref="AX46" si="108">IFERROR(AX10/$B46,0)</f>
        <v>1.2680991735537193E-12</v>
      </c>
      <c r="AY46" s="49">
        <f>IF(AW46=".",".",up_RadSpec!$F$10*AY10*$B46)</f>
        <v>37812.5</v>
      </c>
    </row>
    <row r="47" spans="1:51" x14ac:dyDescent="0.25">
      <c r="A47" s="48" t="s">
        <v>1058</v>
      </c>
      <c r="B47" s="51">
        <v>0.94399</v>
      </c>
      <c r="C47" s="79"/>
      <c r="D47" s="60">
        <f t="shared" ref="D47:I47" si="109">IFERROR(D6/$B$47,".")</f>
        <v>0.35019281178475853</v>
      </c>
      <c r="E47" s="60">
        <f t="shared" si="109"/>
        <v>3273.331057738209</v>
      </c>
      <c r="F47" s="60">
        <f t="shared" si="109"/>
        <v>249.80684397549851</v>
      </c>
      <c r="G47" s="60">
        <f t="shared" si="109"/>
        <v>3.4924983722425316E-5</v>
      </c>
      <c r="H47" s="60">
        <f t="shared" si="109"/>
        <v>1.750964058923793E-4</v>
      </c>
      <c r="I47" s="60">
        <f t="shared" si="109"/>
        <v>3.4921495721368143E-5</v>
      </c>
      <c r="J47" s="189">
        <f>IFERROR(J6/$B$47,0)</f>
        <v>6.6979428793584097E-14</v>
      </c>
      <c r="K47" s="49">
        <f>IF(D47=".",".",up_RadSpec!$E$6*K6*$B$47)</f>
        <v>71.389243750000006</v>
      </c>
      <c r="L47" s="49">
        <f>IF(E47=".",".",up_RadSpec!$H$6*L6*$B$47)</f>
        <v>7.637479851266369E-3</v>
      </c>
      <c r="M47" s="49">
        <f>IF(F47=".",".",up_RadSpec!$G$6*M6*$B$47)</f>
        <v>0.10007732215075757</v>
      </c>
      <c r="N47" s="49">
        <f>up_b2s!AC47</f>
        <v>715819.94708125002</v>
      </c>
      <c r="O47" s="49">
        <f t="shared" si="104"/>
        <v>715891.44403980207</v>
      </c>
      <c r="P47" s="60">
        <f>IFERROR(P6/$B$47,".")</f>
        <v>249.80684397549851</v>
      </c>
      <c r="Q47" s="60">
        <f>IFERROR(Q6/$B$47,".")</f>
        <v>466.34787235559509</v>
      </c>
      <c r="R47" s="60">
        <f>IFERROR(R6/$B$47,".")</f>
        <v>329.55017884168944</v>
      </c>
      <c r="S47" s="60">
        <f>IFERROR(S6/$B$47,".")</f>
        <v>272.52566650935972</v>
      </c>
      <c r="T47" s="60">
        <f>IFERROR(T6/$B$47,".")</f>
        <v>783.34994783026866</v>
      </c>
      <c r="U47" s="189">
        <f t="shared" ref="U47:Y47" si="110">IFERROR(U6/$B$47,0)</f>
        <v>4.7912952674500619E-7</v>
      </c>
      <c r="V47" s="189">
        <f t="shared" si="110"/>
        <v>8.9445521917803134E-7</v>
      </c>
      <c r="W47" s="189">
        <f t="shared" si="110"/>
        <v>6.3207724301836038E-7</v>
      </c>
      <c r="X47" s="189">
        <f t="shared" si="110"/>
        <v>5.2270422836495195E-7</v>
      </c>
      <c r="Y47" s="189">
        <f t="shared" si="110"/>
        <v>1.5024651999384554E-6</v>
      </c>
      <c r="Z47" s="49">
        <f>IF(P47=".",".",up_RadSpec!$G$6*Z6*$B47)</f>
        <v>0.10007732215075757</v>
      </c>
      <c r="AA47" s="49">
        <f>IF(Q47=".",".",up_RadSpec!$N$6*AA6*$B47)</f>
        <v>5.3608049874273346E-2</v>
      </c>
      <c r="AB47" s="49">
        <f>IF(R47=".",".",up_RadSpec!$O$6*AB6*$B47)</f>
        <v>7.5860981438003086E-2</v>
      </c>
      <c r="AC47" s="49">
        <f>IF(S47=".",".",up_RadSpec!$P$6*AC6*$B47)</f>
        <v>9.1734478884914081E-2</v>
      </c>
      <c r="AD47" s="49">
        <f>IF(T47=".",".",up_RadSpec!$L$6*AD6*$B47)</f>
        <v>3.1914216716609572E-2</v>
      </c>
      <c r="AE47" s="60">
        <f>IFERROR(AE6/$B$47,".")</f>
        <v>1.0565817406991574E-2</v>
      </c>
      <c r="AF47" s="60">
        <f>IFERROR(AF6/$B$47,".")</f>
        <v>67.489158687158664</v>
      </c>
      <c r="AG47" s="60">
        <f>IFERROR(AG6/$B$47,".")</f>
        <v>1.0564163526204692E-2</v>
      </c>
      <c r="AH47" s="189">
        <f t="shared" ref="AH47" si="111">IFERROR(AH6/$B$47,0)</f>
        <v>2.0262065643260603E-14</v>
      </c>
      <c r="AI47" s="49">
        <f>IF(AE47=".",".",up_RadSpec!$H$6*AI6*$B47)</f>
        <v>2366.1207682291661</v>
      </c>
      <c r="AJ47" s="49">
        <f>IF(AF47=".",".",up_RadSpec!$K$6*AJ6*$B47)</f>
        <v>0.37042986586757992</v>
      </c>
      <c r="AK47" s="49">
        <f t="shared" si="38"/>
        <v>2366.4911980950337</v>
      </c>
      <c r="AL47" s="60">
        <f>IFERROR(AL6/$B$47,".")</f>
        <v>3.8521209296323439E-3</v>
      </c>
      <c r="AM47" s="60" t="str">
        <f>IFERROR(AM6,".")</f>
        <v>.</v>
      </c>
      <c r="AN47" s="60">
        <f>IFERROR(AN6/$B$47,".")</f>
        <v>42.180724179474169</v>
      </c>
      <c r="AO47" s="60">
        <f>IFERROR(AO6/$B$47,".")</f>
        <v>1.741905400061233E-4</v>
      </c>
      <c r="AP47" s="60">
        <f>IFERROR(AP6/$B$47,".")</f>
        <v>1.6665386641422544E-4</v>
      </c>
      <c r="AQ47" s="189">
        <f t="shared" ref="AQ47" si="112">IFERROR(AQ6/$B$47,0)</f>
        <v>3.1964211578248446E-16</v>
      </c>
      <c r="AR47" s="49">
        <f>IF(AL47=".",".",up_RadSpec!$I$6*AR6*$B47)</f>
        <v>6489.9312499999996</v>
      </c>
      <c r="AS47" s="49" t="str">
        <f>IF(AM47=".",".",up_RadSpec!$H$6*AS6*$B47)</f>
        <v>.</v>
      </c>
      <c r="AT47" s="49">
        <f>IF(AN47=".",".",up_RadSpec!$M$6*AT6*$B47)</f>
        <v>0.59268778538812783</v>
      </c>
      <c r="AU47" s="49">
        <f>up_b2w!AC47</f>
        <v>143520.9971742506</v>
      </c>
      <c r="AV47" s="49">
        <f t="shared" si="42"/>
        <v>150011.52111203599</v>
      </c>
      <c r="AW47" s="60">
        <f>IFERROR(AW6/$B$47,".")</f>
        <v>7.0038562356951719E-4</v>
      </c>
      <c r="AX47" s="189">
        <f t="shared" ref="AX47" si="113">IFERROR(AX6/$B$47,0)</f>
        <v>1.3433396260063341E-12</v>
      </c>
      <c r="AY47" s="49">
        <f>IF(AW47=".",".",up_RadSpec!$F$6*AY6*$B47)</f>
        <v>35694.621874999997</v>
      </c>
    </row>
    <row r="48" spans="1:51" x14ac:dyDescent="0.25">
      <c r="A48" s="57" t="s">
        <v>21</v>
      </c>
      <c r="B48" s="57" t="s">
        <v>1185</v>
      </c>
      <c r="C48" s="239"/>
      <c r="D48" s="58">
        <f t="shared" ref="D48:I48" si="114">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3.6730940279564153E-2</v>
      </c>
      <c r="E48" s="58">
        <f t="shared" si="114"/>
        <v>343.33236877210391</v>
      </c>
      <c r="F48" s="58">
        <f t="shared" si="114"/>
        <v>33.183668476437539</v>
      </c>
      <c r="G48" s="58">
        <f t="shared" si="114"/>
        <v>3.6632033788335657E-6</v>
      </c>
      <c r="H48" s="58">
        <f t="shared" si="114"/>
        <v>1.8365470139782076E-5</v>
      </c>
      <c r="I48" s="59">
        <f t="shared" si="114"/>
        <v>3.6628376379449961E-6</v>
      </c>
      <c r="J48" s="190">
        <f>I48*(0.0000000000028)*up_RadSpec!$AY23*up_RadSpec!$AF23</f>
        <v>1.1589218286457969E-14</v>
      </c>
      <c r="K48" s="47">
        <f>IFERROR(SUM(K49:K62),".")</f>
        <v>680.62510269874997</v>
      </c>
      <c r="L48" s="47">
        <f>IFERROR(SUM(L49:L62),".")</f>
        <v>7.2815738549237771E-2</v>
      </c>
      <c r="M48" s="47">
        <f>IFERROR(SUM(M49:M62),".")</f>
        <v>0.7533826471823496</v>
      </c>
      <c r="N48" s="47">
        <f>IFERROR(SUM(N49:N62),".")</f>
        <v>6824627.9047603663</v>
      </c>
      <c r="O48" s="47">
        <f>IFERROR(SUM(O49:O62),".")</f>
        <v>6825309.3560614502</v>
      </c>
      <c r="P48" s="59">
        <f>IFERROR(1/SUM(IFERROR(1/SUMIF(P49,"&lt;&gt;.",P49),0),IFERROR(1/SUMIF(P50,"&lt;&gt;.",P50),0),IFERROR(1/SUMIF(P51,"&lt;&gt;.",P51),0),IFERROR(1/SUMIF(P52,"&lt;&gt;.",P52),0),IFERROR(1/SUMIF(P53,"&lt;&gt;.",P53),0),IFERROR(1/SUMIF(P54,"&lt;&gt;.",P54),0),IFERROR(1/SUMIF(P55,"&lt;&gt;.",P55),0),IFERROR(1/SUMIF(P56,"&lt;&gt;.",P56),0),IFERROR(1/SUMIF(P57,"&lt;&gt;.",P57),0),IFERROR(1/SUMIF(P58,"&lt;&gt;.",P58),0),IFERROR(1/SUMIF(P59,"&lt;&gt;.",P59),0),IFERROR(1/SUMIF(P60,"&lt;&gt;.",P60),0),IFERROR(1/SUMIF(P61,"&lt;&gt;.",P61),0),IFERROR(1/SUMIF(P62,"&lt;&gt;.",P62),0)),".")</f>
        <v>33.183668476437539</v>
      </c>
      <c r="Q48" s="59">
        <f>IFERROR(1/SUM(IFERROR(1/SUMIF(Q49,"&lt;&gt;.",Q49),0),IFERROR(1/SUMIF(Q50,"&lt;&gt;.",Q50),0),IFERROR(1/SUMIF(Q51,"&lt;&gt;.",Q51),0),IFERROR(1/SUMIF(Q52,"&lt;&gt;.",Q52),0),IFERROR(1/SUMIF(Q53,"&lt;&gt;.",Q53),0),IFERROR(1/SUMIF(Q54,"&lt;&gt;.",Q54),0),IFERROR(1/SUMIF(Q55,"&lt;&gt;.",Q55),0),IFERROR(1/SUMIF(Q56,"&lt;&gt;.",Q56),0),IFERROR(1/SUMIF(Q57,"&lt;&gt;.",Q57),0),IFERROR(1/SUMIF(Q58,"&lt;&gt;.",Q58),0),IFERROR(1/SUMIF(Q59,"&lt;&gt;.",Q59),0),IFERROR(1/SUMIF(Q60,"&lt;&gt;.",Q60),0),IFERROR(1/SUMIF(Q61,"&lt;&gt;.",Q61),0),IFERROR(1/SUMIF(Q62,"&lt;&gt;.",Q62),0)),".")</f>
        <v>62.466218656323669</v>
      </c>
      <c r="R48" s="59">
        <f>IFERROR(1/SUM(IFERROR(1/SUMIF(R49,"&lt;&gt;.",R49),0),IFERROR(1/SUMIF(R50,"&lt;&gt;.",R50),0),IFERROR(1/SUMIF(R51,"&lt;&gt;.",R51),0),IFERROR(1/SUMIF(R52,"&lt;&gt;.",R52),0),IFERROR(1/SUMIF(R53,"&lt;&gt;.",R53),0),IFERROR(1/SUMIF(R54,"&lt;&gt;.",R54),0),IFERROR(1/SUMIF(R55,"&lt;&gt;.",R55),0),IFERROR(1/SUMIF(R56,"&lt;&gt;.",R56),0),IFERROR(1/SUMIF(R57,"&lt;&gt;.",R57),0),IFERROR(1/SUMIF(R58,"&lt;&gt;.",R58),0),IFERROR(1/SUMIF(R59,"&lt;&gt;.",R59),0),IFERROR(1/SUMIF(R60,"&lt;&gt;.",R60),0),IFERROR(1/SUMIF(R61,"&lt;&gt;.",R61),0),IFERROR(1/SUMIF(R62,"&lt;&gt;.",R62),0)),".")</f>
        <v>44.426952008626799</v>
      </c>
      <c r="S48" s="59">
        <f>IFERROR(1/SUM(IFERROR(1/SUMIF(S49,"&lt;&gt;.",S49),0),IFERROR(1/SUMIF(S50,"&lt;&gt;.",S50),0),IFERROR(1/SUMIF(S51,"&lt;&gt;.",S51),0),IFERROR(1/SUMIF(S52,"&lt;&gt;.",S52),0),IFERROR(1/SUMIF(S53,"&lt;&gt;.",S53),0),IFERROR(1/SUMIF(S54,"&lt;&gt;.",S54),0),IFERROR(1/SUMIF(S55,"&lt;&gt;.",S55),0),IFERROR(1/SUMIF(S56,"&lt;&gt;.",S56),0),IFERROR(1/SUMIF(S57,"&lt;&gt;.",S57),0),IFERROR(1/SUMIF(S58,"&lt;&gt;.",S58),0),IFERROR(1/SUMIF(S59,"&lt;&gt;.",S59),0),IFERROR(1/SUMIF(S60,"&lt;&gt;.",S60),0),IFERROR(1/SUMIF(S61,"&lt;&gt;.",S61),0),IFERROR(1/SUMIF(S62,"&lt;&gt;.",S62),0)),".")</f>
        <v>37.594100836614075</v>
      </c>
      <c r="T48" s="59">
        <f>IFERROR(1/SUM(IFERROR(1/SUMIF(T49,"&lt;&gt;.",T49),0),IFERROR(1/SUMIF(T50,"&lt;&gt;.",T50),0),IFERROR(1/SUMIF(T51,"&lt;&gt;.",T51),0),IFERROR(1/SUMIF(T52,"&lt;&gt;.",T52),0),IFERROR(1/SUMIF(T53,"&lt;&gt;.",T53),0),IFERROR(1/SUMIF(T54,"&lt;&gt;.",T54),0),IFERROR(1/SUMIF(T55,"&lt;&gt;.",T55),0),IFERROR(1/SUMIF(T56,"&lt;&gt;.",T56),0),IFERROR(1/SUMIF(T57,"&lt;&gt;.",T57),0),IFERROR(1/SUMIF(T58,"&lt;&gt;.",T58),0),IFERROR(1/SUMIF(T59,"&lt;&gt;.",T59),0),IFERROR(1/SUMIF(T60,"&lt;&gt;.",T60),0),IFERROR(1/SUMIF(T61,"&lt;&gt;.",T61),0),IFERROR(1/SUMIF(T62,"&lt;&gt;.",T62),0)),".")</f>
        <v>107.44031958389807</v>
      </c>
      <c r="U48" s="190">
        <f>P48*(0.0000000000028)*up_RadSpec!$AY23*up_RadSpec!$AF23</f>
        <v>1.0499312705944839E-7</v>
      </c>
      <c r="V48" s="190">
        <f>Q48*(0.0000000000028)*up_RadSpec!$AY23*up_RadSpec!$AF23</f>
        <v>1.9764311582860809E-7</v>
      </c>
      <c r="W48" s="190">
        <f>R48*(0.0000000000028)*up_RadSpec!$AY23*up_RadSpec!$AF23</f>
        <v>1.405668761552952E-7</v>
      </c>
      <c r="X48" s="190">
        <f>S48*(0.0000000000028)*up_RadSpec!$AY23*up_RadSpec!$AF23</f>
        <v>1.1894773504704694E-7</v>
      </c>
      <c r="Y48" s="190">
        <f>T48*(0.0000000000000028)*up_RadSpec!$AY23*up_RadSpec!$AF23</f>
        <v>3.3994117116345353E-10</v>
      </c>
      <c r="Z48" s="47">
        <f>IFERROR(SUM(Z49:Z62),".")</f>
        <v>0.7533826471823496</v>
      </c>
      <c r="AA48" s="47">
        <f t="shared" ref="AA48:AD48" si="115">IFERROR(SUM(AA49:AA62),".")</f>
        <v>0.40021631751947206</v>
      </c>
      <c r="AB48" s="47">
        <f t="shared" si="115"/>
        <v>0.56272147580922305</v>
      </c>
      <c r="AC48" s="47">
        <f t="shared" si="115"/>
        <v>0.66499795030745124</v>
      </c>
      <c r="AD48" s="47">
        <f t="shared" si="115"/>
        <v>0.23268731977735765</v>
      </c>
      <c r="AE48" s="58">
        <f>IFERROR(1/SUM(IFERROR(1/SUMIF(AE49,"&lt;&gt;.",AE49),0),IFERROR(1/SUMIF(AE50,"&lt;&gt;.",AE50),0),IFERROR(1/SUMIF(AE51,"&lt;&gt;.",AE51),0),IFERROR(1/SUMIF(AE52,"&lt;&gt;.",AE52),0),IFERROR(1/SUMIF(AE53,"&lt;&gt;.",AE53),0),IFERROR(1/SUMIF(AE54,"&lt;&gt;.",AE54),0),IFERROR(1/SUMIF(AE55,"&lt;&gt;.",AE55),0),IFERROR(1/SUMIF(AE56,"&lt;&gt;.",AE56),0),IFERROR(1/SUMIF(AE57,"&lt;&gt;.",AE57),0),IFERROR(1/SUMIF(AE58,"&lt;&gt;.",AE58),0),IFERROR(1/SUMIF(AE59,"&lt;&gt;.",AE59),0),IFERROR(1/SUMIF(AE60,"&lt;&gt;.",AE60),0),IFERROR(1/SUMIF(AE61,"&lt;&gt;.",AE61),0),IFERROR(1/SUMIF(AE62,"&lt;&gt;.",AE62),0)),".")</f>
        <v>1.1082249410062784E-3</v>
      </c>
      <c r="AF48" s="58">
        <f>IFERROR(1/SUM(IFERROR(1/SUMIF(AF49,"&lt;&gt;.",AF49),0),IFERROR(1/SUMIF(AF50,"&lt;&gt;.",AF50),0),IFERROR(1/SUMIF(AF51,"&lt;&gt;.",AF51),0),IFERROR(1/SUMIF(AF52,"&lt;&gt;.",AF52),0),IFERROR(1/SUMIF(AF53,"&lt;&gt;.",AF53),0),IFERROR(1/SUMIF(AF54,"&lt;&gt;.",AF54),0),IFERROR(1/SUMIF(AF55,"&lt;&gt;.",AF55),0),IFERROR(1/SUMIF(AF56,"&lt;&gt;.",AF56),0),IFERROR(1/SUMIF(AF57,"&lt;&gt;.",AF57),0),IFERROR(1/SUMIF(AF58,"&lt;&gt;.",AF58),0),IFERROR(1/SUMIF(AF59,"&lt;&gt;.",AF59),0),IFERROR(1/SUMIF(AF60,"&lt;&gt;.",AF60),0),IFERROR(1/SUMIF(AF61,"&lt;&gt;.",AF61),0),IFERROR(1/SUMIF(AF62,"&lt;&gt;.",AF62),0)),".")</f>
        <v>7.0787868106776024</v>
      </c>
      <c r="AG48" s="59">
        <f>IFERROR(1/SUM(IFERROR(1/SUMIF(AG49,"&lt;&gt;.",AG49),0),IFERROR(1/SUMIF(AG50,"&lt;&gt;.",AG50),0),IFERROR(1/SUMIF(AG51,"&lt;&gt;.",AG51),0),IFERROR(1/SUMIF(AG52,"&lt;&gt;.",AG52),0),IFERROR(1/SUMIF(AG53,"&lt;&gt;.",AG53),0),IFERROR(1/SUMIF(AG54,"&lt;&gt;.",AG54),0),IFERROR(1/SUMIF(AG55,"&lt;&gt;.",AG55),0),IFERROR(1/SUMIF(AG56,"&lt;&gt;.",AG56),0),IFERROR(1/SUMIF(AG57,"&lt;&gt;.",AG57),0),IFERROR(1/SUMIF(AG58,"&lt;&gt;.",AG58),0),IFERROR(1/SUMIF(AG59,"&lt;&gt;.",AG59),0),IFERROR(1/SUMIF(AG60,"&lt;&gt;.",AG60),0),IFERROR(1/SUMIF(AG61,"&lt;&gt;.",AG61),0),IFERROR(1/SUMIF(AG62,"&lt;&gt;.",AG62),0)),".")</f>
        <v>1.1080514691520081E-3</v>
      </c>
      <c r="AH48" s="190">
        <f>AG48*(0.0000000000000028)*up_RadSpec!$AY23*up_RadSpec!$AF23</f>
        <v>3.5058748483969544E-15</v>
      </c>
      <c r="AI48" s="47">
        <f t="shared" ref="AI48" si="116">IFERROR(SUM(AI49:AI62),".")</f>
        <v>22558.597153841136</v>
      </c>
      <c r="AJ48" s="47">
        <f t="shared" ref="AJ48:AK48" si="117">IFERROR(SUM(AJ49:AJ62),".")</f>
        <v>3.5316786150827628</v>
      </c>
      <c r="AK48" s="47">
        <f t="shared" si="117"/>
        <v>22562.128832456227</v>
      </c>
      <c r="AL48" s="58">
        <f>IFERROR(1/SUM(IFERROR(1/SUMIF(AL49,"&lt;&gt;.",AL49),0),IFERROR(1/SUMIF(AL50,"&lt;&gt;.",AL50),0),IFERROR(1/SUMIF(AL51,"&lt;&gt;.",AL51),0),IFERROR(1/SUMIF(AL52,"&lt;&gt;.",AL52),0),IFERROR(1/SUMIF(AL53,"&lt;&gt;.",AL53),0),IFERROR(1/SUMIF(AL54,"&lt;&gt;.",AL54),0),IFERROR(1/SUMIF(AL55,"&lt;&gt;.",AL55),0),IFERROR(1/SUMIF(AL56,"&lt;&gt;.",AL56),0),IFERROR(1/SUMIF(AL57,"&lt;&gt;.",AL57),0),IFERROR(1/SUMIF(AL58,"&lt;&gt;.",AL58),0),IFERROR(1/SUMIF(AL59,"&lt;&gt;.",AL59),0),IFERROR(1/SUMIF(AL60,"&lt;&gt;.",AL60),0),IFERROR(1/SUMIF(AL61,"&lt;&gt;.",AL61),0),IFERROR(1/SUMIF(AL62,"&lt;&gt;.",AL62),0)),".")</f>
        <v>4.040403430752056E-4</v>
      </c>
      <c r="AM48" s="58">
        <f>IFERROR(1/SUM(IFERROR(1/SUMIF(AM49,"&lt;&gt;.",AM49),0),IFERROR(1/SUMIF(AM50,"&lt;&gt;.",AM50),0),IFERROR(1/SUMIF(AM51,"&lt;&gt;.",AM51),0),IFERROR(1/SUMIF(AM52,"&lt;&gt;.",AM52),0),IFERROR(1/SUMIF(AM53,"&lt;&gt;.",AM53),0),IFERROR(1/SUMIF(AM54,"&lt;&gt;.",AM54),0),IFERROR(1/SUMIF(AM55,"&lt;&gt;.",AM55),0),IFERROR(1/SUMIF(AM56,"&lt;&gt;.",AM56),0),IFERROR(1/SUMIF(AM57,"&lt;&gt;.",AM57),0),IFERROR(1/SUMIF(AM58,"&lt;&gt;.",AM58),0),IFERROR(1/SUMIF(AM59,"&lt;&gt;.",AM59),0),IFERROR(1/SUMIF(AM60,"&lt;&gt;.",AM60),0),IFERROR(1/SUMIF(AM61,"&lt;&gt;.",AM61),0),IFERROR(1/SUMIF(AM62,"&lt;&gt;.",AM62),0)),".")</f>
        <v>9.959072927753089E-3</v>
      </c>
      <c r="AN48" s="58">
        <f>IFERROR(1/SUM(IFERROR(1/SUMIF(AN49,"&lt;&gt;.",AN49),0),IFERROR(1/SUMIF(AN50,"&lt;&gt;.",AN50),0),IFERROR(1/SUMIF(AN51,"&lt;&gt;.",AN51),0),IFERROR(1/SUMIF(AN52,"&lt;&gt;.",AN52),0),IFERROR(1/SUMIF(AN53,"&lt;&gt;.",AN53),0),IFERROR(1/SUMIF(AN54,"&lt;&gt;.",AN54),0),IFERROR(1/SUMIF(AN55,"&lt;&gt;.",AN55),0),IFERROR(1/SUMIF(AN56,"&lt;&gt;.",AN56),0),IFERROR(1/SUMIF(AN57,"&lt;&gt;.",AN57),0),IFERROR(1/SUMIF(AN58,"&lt;&gt;.",AN58),0),IFERROR(1/SUMIF(AN59,"&lt;&gt;.",AN59),0),IFERROR(1/SUMIF(AN60,"&lt;&gt;.",AN60),0),IFERROR(1/SUMIF(AN61,"&lt;&gt;.",AN61),0),IFERROR(1/SUMIF(AN62,"&lt;&gt;.",AN62),0)),".")</f>
        <v>4.4242417566735019</v>
      </c>
      <c r="AO48" s="58">
        <f>IFERROR(1/SUM(IFERROR(1/SUMIF(AO49,"&lt;&gt;.",AO49),0),IFERROR(1/SUMIF(AO50,"&lt;&gt;.",AO50),0),IFERROR(1/SUMIF(AO51,"&lt;&gt;.",AO51),0),IFERROR(1/SUMIF(AO52,"&lt;&gt;.",AO52),0),IFERROR(1/SUMIF(AO53,"&lt;&gt;.",AO53),0),IFERROR(1/SUMIF(AO54,"&lt;&gt;.",AO54),0),IFERROR(1/SUMIF(AO55,"&lt;&gt;.",AO55),0),IFERROR(1/SUMIF(AO56,"&lt;&gt;.",AO56),0),IFERROR(1/SUMIF(AO57,"&lt;&gt;.",AO57),0),IFERROR(1/SUMIF(AO58,"&lt;&gt;.",AO58),0),IFERROR(1/SUMIF(AO59,"&lt;&gt;.",AO59),0),IFERROR(1/SUMIF(AO60,"&lt;&gt;.",AO60),0),IFERROR(1/SUMIF(AO61,"&lt;&gt;.",AO61),0),IFERROR(1/SUMIF(AO62,"&lt;&gt;.",AO62),0)),".")</f>
        <v>1.8270455894344583E-5</v>
      </c>
      <c r="AP48" s="59">
        <f>IFERROR(1/SUM(IFERROR(1/SUMIF(AP49,"&lt;&gt;.",AP49),0),IFERROR(1/SUMIF(AP50,"&lt;&gt;.",AP50),0),IFERROR(1/SUMIF(AP51,"&lt;&gt;.",AP51),0),IFERROR(1/SUMIF(AP52,"&lt;&gt;.",AP52),0),IFERROR(1/SUMIF(AP53,"&lt;&gt;.",AP53),0),IFERROR(1/SUMIF(AP54,"&lt;&gt;.",AP54),0),IFERROR(1/SUMIF(AP55,"&lt;&gt;.",AP55),0),IFERROR(1/SUMIF(AP56,"&lt;&gt;.",AP56),0),IFERROR(1/SUMIF(AP57,"&lt;&gt;.",AP57),0),IFERROR(1/SUMIF(AP58,"&lt;&gt;.",AP58),0),IFERROR(1/SUMIF(AP59,"&lt;&gt;.",AP59),0),IFERROR(1/SUMIF(AP60,"&lt;&gt;.",AP60),0),IFERROR(1/SUMIF(AP61,"&lt;&gt;.",AP61),0),IFERROR(1/SUMIF(AP62,"&lt;&gt;.",AP62),0)),".")</f>
        <v>1.7449327439182053E-5</v>
      </c>
      <c r="AQ48" s="190">
        <f>AP48*(0.0000000000000028)*up_RadSpec!$AY23*up_RadSpec!$AF23</f>
        <v>5.5209672017572013E-17</v>
      </c>
      <c r="AR48" s="47">
        <f t="shared" ref="AR48" si="118">IFERROR(SUM(AR49:AR62),".")</f>
        <v>61875.009336249997</v>
      </c>
      <c r="AS48" s="47">
        <f t="shared" ref="AS48:AV48" si="119">IFERROR(SUM(AS49:AS62),".")</f>
        <v>2510.0233770437644</v>
      </c>
      <c r="AT48" s="47">
        <f t="shared" si="119"/>
        <v>5.6506857841324214</v>
      </c>
      <c r="AU48" s="47">
        <f t="shared" si="119"/>
        <v>1368329.2931808273</v>
      </c>
      <c r="AV48" s="47">
        <f t="shared" si="119"/>
        <v>1432719.9765799057</v>
      </c>
      <c r="AW48" s="59">
        <f>IFERROR(1/SUM(IFERROR(1/SUMIF(AW49,"&lt;&gt;.",AW49),0),IFERROR(1/SUMIF(AW50,"&lt;&gt;.",AW50),0),IFERROR(1/SUMIF(AW51,"&lt;&gt;.",AW51),0),IFERROR(1/SUMIF(AW52,"&lt;&gt;.",AW52),0),IFERROR(1/SUMIF(AW53,"&lt;&gt;.",AW53),0),IFERROR(1/SUMIF(AW54,"&lt;&gt;.",AW54),0),IFERROR(1/SUMIF(AW55,"&lt;&gt;.",AW55),0),IFERROR(1/SUMIF(AW56,"&lt;&gt;.",AW56),0),IFERROR(1/SUMIF(AW57,"&lt;&gt;.",AW57),0),IFERROR(1/SUMIF(AW58,"&lt;&gt;.",AW58),0),IFERROR(1/SUMIF(AW59,"&lt;&gt;.",AW59),0),IFERROR(1/SUMIF(AW60,"&lt;&gt;.",AW60),0),IFERROR(1/SUMIF(AW61,"&lt;&gt;.",AW61),0),IFERROR(1/SUMIF(AW62,"&lt;&gt;.",AW62),0)),".")</f>
        <v>7.3461880559128306E-5</v>
      </c>
      <c r="AX48" s="190">
        <f>AW48*(0.0000000000028)*up_RadSpec!$AY23*up_RadSpec!$AF23</f>
        <v>2.3243339008908197E-13</v>
      </c>
      <c r="AY48" s="47">
        <f t="shared" ref="AY48" si="120">IFERROR(SUM(AY49:AY62),".")</f>
        <v>340312.55134937499</v>
      </c>
    </row>
    <row r="49" spans="1:51" x14ac:dyDescent="0.25">
      <c r="A49" s="48" t="s">
        <v>1086</v>
      </c>
      <c r="B49" s="15">
        <v>1</v>
      </c>
      <c r="C49" s="238"/>
      <c r="D49" s="60">
        <f t="shared" ref="D49:I49" si="121">IFERROR(D23/$B49,".")</f>
        <v>0.33057851239669422</v>
      </c>
      <c r="E49" s="60">
        <f t="shared" si="121"/>
        <v>3089.9917851942919</v>
      </c>
      <c r="F49" s="60">
        <f t="shared" si="121"/>
        <v>194.46624184916195</v>
      </c>
      <c r="G49" s="60">
        <f t="shared" si="121"/>
        <v>3.2968835384132272E-5</v>
      </c>
      <c r="H49" s="60">
        <f t="shared" si="121"/>
        <v>1.6528925619834712E-4</v>
      </c>
      <c r="I49" s="60">
        <f t="shared" si="121"/>
        <v>3.2965541766143822E-5</v>
      </c>
      <c r="J49" s="189">
        <f>IFERROR(J23/$B49,0)</f>
        <v>1.0430297414807905E-13</v>
      </c>
      <c r="K49" s="49">
        <f>IF(D49=".",".",up_RadSpec!$E$23*K23*$B$49)</f>
        <v>75.625</v>
      </c>
      <c r="L49" s="49">
        <f>IF(E49=".",".",up_RadSpec!$H$23*L23*$B$49)</f>
        <v>8.0906363957948379E-3</v>
      </c>
      <c r="M49" s="49">
        <f>IF(F49=".",".",up_RadSpec!$G$23*M23*$B$49)</f>
        <v>0.12855701720914262</v>
      </c>
      <c r="N49" s="49">
        <f>up_b2s!AC49</f>
        <v>758291.875</v>
      </c>
      <c r="O49" s="49">
        <f t="shared" ref="O49:O62" si="122">IFERROR(SUM(K49:N49),".")</f>
        <v>758367.63664765365</v>
      </c>
      <c r="P49" s="60">
        <f>IFERROR(P23/$B49,".")</f>
        <v>194.46624184916195</v>
      </c>
      <c r="Q49" s="60">
        <f>IFERROR(Q23/$B49,".")</f>
        <v>346.1535689835336</v>
      </c>
      <c r="R49" s="60">
        <f>IFERROR(R23/$B49,".")</f>
        <v>244.77396269819053</v>
      </c>
      <c r="S49" s="60">
        <f>IFERROR(S23/$B49,".")</f>
        <v>200.30636030636026</v>
      </c>
      <c r="T49" s="60">
        <f>IFERROR(T23/$B49,".")</f>
        <v>544.89976043374088</v>
      </c>
      <c r="U49" s="189">
        <f t="shared" ref="U49:Y49" si="123">IFERROR(U23/$B49,0)</f>
        <v>6.1529118921074854E-7</v>
      </c>
      <c r="V49" s="189">
        <f t="shared" si="123"/>
        <v>1.0952298922639004E-6</v>
      </c>
      <c r="W49" s="189">
        <f t="shared" si="123"/>
        <v>7.7446481797707486E-7</v>
      </c>
      <c r="X49" s="189">
        <f t="shared" si="123"/>
        <v>6.3376932400932401E-7</v>
      </c>
      <c r="Y49" s="189">
        <f t="shared" si="123"/>
        <v>1.7240628420123563E-6</v>
      </c>
      <c r="Z49" s="49">
        <f>IF(P49=".",".",up_RadSpec!$G$23*Z23*$B$49)</f>
        <v>0.12855701720914262</v>
      </c>
      <c r="AA49" s="49">
        <f>IF(Q49=".",".",up_RadSpec!$N$23*AA23*$B$49)</f>
        <v>7.2222280051630033E-2</v>
      </c>
      <c r="AB49" s="49">
        <f>IF(R49=".",".",up_RadSpec!$O$23*AB23*$B$49)</f>
        <v>0.10213504624601483</v>
      </c>
      <c r="AC49" s="49">
        <f>IF(S49=".",".",up_RadSpec!$P$23*AC23*$B$49)</f>
        <v>0.12480881766192316</v>
      </c>
      <c r="AD49" s="49">
        <f>IF(T49=".",".",up_RadSpec!$L$23*AD23*$B$49)</f>
        <v>4.5879998148833777E-2</v>
      </c>
      <c r="AE49" s="60">
        <f>IFERROR(AE23/$B49,".")</f>
        <v>9.9740259740259754E-3</v>
      </c>
      <c r="AF49" s="60">
        <f>IFERROR(AF23/$B49,".")</f>
        <v>63.709090909090911</v>
      </c>
      <c r="AG49" s="60">
        <f>IFERROR(AG23/$B49,".")</f>
        <v>9.9724647271019675E-3</v>
      </c>
      <c r="AH49" s="189">
        <f t="shared" ref="AH49" si="124">IFERROR(AH23/$B49,0)</f>
        <v>3.1552878396550628E-14</v>
      </c>
      <c r="AI49" s="49">
        <f>IF(AE49=".",".",up_RadSpec!$H$23*AI23*$B$49)</f>
        <v>2506.5104166666661</v>
      </c>
      <c r="AJ49" s="49">
        <f>IF(AF49=".",".",up_RadSpec!$K$23*AJ23*$B$49)</f>
        <v>0.39240867579908678</v>
      </c>
      <c r="AK49" s="49">
        <f t="shared" si="38"/>
        <v>2506.9028253424653</v>
      </c>
      <c r="AL49" s="60">
        <f>IFERROR(AL23/$B49,".")</f>
        <v>3.6363636363636364E-3</v>
      </c>
      <c r="AM49" s="60" t="str">
        <f>IFERROR(AM23,".")</f>
        <v>.</v>
      </c>
      <c r="AN49" s="60">
        <f>IFERROR(AN23/$B49,".")</f>
        <v>39.81818181818182</v>
      </c>
      <c r="AO49" s="60">
        <f>IFERROR(AO23/$B49,".")</f>
        <v>1.6443412786038033E-4</v>
      </c>
      <c r="AP49" s="60">
        <f>IFERROR(AP23/$B49,".")</f>
        <v>1.5731958335636468E-4</v>
      </c>
      <c r="AQ49" s="189">
        <f t="shared" ref="AQ49" si="125">IFERROR(AQ23/$B49,0)</f>
        <v>4.9775916173953787E-16</v>
      </c>
      <c r="AR49" s="49">
        <f>IF(AL49=".",".",up_RadSpec!$I$23*AR23*$B$49)</f>
        <v>6875</v>
      </c>
      <c r="AS49" s="49" t="str">
        <f>IF(AM49=".",".",up_RadSpec!$H$23*AS23*$B$49)</f>
        <v>.</v>
      </c>
      <c r="AT49" s="49">
        <f>IF(AN49=".",".",up_RadSpec!$M$23*AT23*$B$49)</f>
        <v>0.62785388127853881</v>
      </c>
      <c r="AU49" s="49">
        <f>up_b2w!AC49</f>
        <v>152036.56519057468</v>
      </c>
      <c r="AV49" s="49">
        <f t="shared" si="42"/>
        <v>158912.19304445595</v>
      </c>
      <c r="AW49" s="60">
        <f>IFERROR(AW23/$B49,".")</f>
        <v>6.6115702479338848E-4</v>
      </c>
      <c r="AX49" s="189">
        <f t="shared" ref="AX49" si="126">IFERROR(AX23/$B49,0)</f>
        <v>2.0919008264462814E-12</v>
      </c>
      <c r="AY49" s="49">
        <f>IF(AW49=".",".",up_RadSpec!$F$23*AY23*$B$49)</f>
        <v>37812.5</v>
      </c>
    </row>
    <row r="50" spans="1:51" x14ac:dyDescent="0.25">
      <c r="A50" s="48" t="s">
        <v>1073</v>
      </c>
      <c r="B50" s="15">
        <v>1</v>
      </c>
      <c r="C50" s="238"/>
      <c r="D50" s="60">
        <f t="shared" ref="D50:I50" si="127">IFERROR(D25/$B50,".")</f>
        <v>0.33057851239669422</v>
      </c>
      <c r="E50" s="60">
        <f t="shared" si="127"/>
        <v>3089.9917851942919</v>
      </c>
      <c r="F50" s="60">
        <f t="shared" si="127"/>
        <v>284.28866983083856</v>
      </c>
      <c r="G50" s="60">
        <f t="shared" si="127"/>
        <v>3.2968835384132272E-5</v>
      </c>
      <c r="H50" s="60">
        <f t="shared" si="127"/>
        <v>1.6528925619834712E-4</v>
      </c>
      <c r="I50" s="60">
        <f t="shared" si="127"/>
        <v>3.2965543531781039E-5</v>
      </c>
      <c r="J50" s="189">
        <f>IFERROR(J25/$B50,0)</f>
        <v>1.0245690929677549E-13</v>
      </c>
      <c r="K50" s="49">
        <f>IF(D50=".",".",up_RadSpec!$E$25*K25*$B$50)</f>
        <v>75.625</v>
      </c>
      <c r="L50" s="49">
        <f>IF(E50=".",".",up_RadSpec!$H$25*L25*$B$50)</f>
        <v>8.0906363957948379E-3</v>
      </c>
      <c r="M50" s="49">
        <f>IF(F50=".",".",up_RadSpec!$G$25*M25*$B$50)</f>
        <v>8.7938784246575336E-2</v>
      </c>
      <c r="N50" s="49">
        <f>up_b2s!AC50</f>
        <v>758291.875</v>
      </c>
      <c r="O50" s="49">
        <f t="shared" si="122"/>
        <v>758367.59602942062</v>
      </c>
      <c r="P50" s="60">
        <f>IFERROR(P25/$B50,".")</f>
        <v>284.28866983083856</v>
      </c>
      <c r="Q50" s="60">
        <f>IFERROR(Q25/$B50,".")</f>
        <v>509.10201418675985</v>
      </c>
      <c r="R50" s="60">
        <f>IFERROR(R25/$B50,".")</f>
        <v>365.1816348445563</v>
      </c>
      <c r="S50" s="60">
        <f>IFERROR(S25/$B50,".")</f>
        <v>326.09800745393966</v>
      </c>
      <c r="T50" s="60">
        <f>IFERROR(T25/$B50,".")</f>
        <v>912.76400367309452</v>
      </c>
      <c r="U50" s="189">
        <f t="shared" ref="U50:Y50" si="128">IFERROR(U25/$B50,0)</f>
        <v>8.8356918583424627E-7</v>
      </c>
      <c r="V50" s="189">
        <f t="shared" si="128"/>
        <v>1.5822890600924496E-6</v>
      </c>
      <c r="W50" s="189">
        <f t="shared" si="128"/>
        <v>1.1349845210968809E-6</v>
      </c>
      <c r="X50" s="189">
        <f t="shared" si="128"/>
        <v>1.0135126071668445E-6</v>
      </c>
      <c r="Y50" s="189">
        <f t="shared" si="128"/>
        <v>2.8368705234159777E-6</v>
      </c>
      <c r="Z50" s="49">
        <f>IF(P50=".",".",up_RadSpec!$G$25*Z25*$B$50)</f>
        <v>8.7938784246575336E-2</v>
      </c>
      <c r="AA50" s="49">
        <f>IF(Q50=".",".",up_RadSpec!$N$25*AA25*$B$50)</f>
        <v>4.9106071677864072E-2</v>
      </c>
      <c r="AB50" s="49">
        <f>IF(R50=".",".",up_RadSpec!$O$25*AB25*$B$50)</f>
        <v>6.8459083411030602E-2</v>
      </c>
      <c r="AC50" s="49">
        <f>IF(S50=".",".",up_RadSpec!$P$25*AC25*$B$50)</f>
        <v>7.6664068557766876E-2</v>
      </c>
      <c r="AD50" s="49">
        <f>IF(T50=".",".",up_RadSpec!$L$25*AD25*$B$50)</f>
        <v>2.7389336016096583E-2</v>
      </c>
      <c r="AE50" s="60">
        <f>IFERROR(AE25/$B50,".")</f>
        <v>9.9740259740259754E-3</v>
      </c>
      <c r="AF50" s="60">
        <f>IFERROR(AF25/$B50,".")</f>
        <v>63.709090909090911</v>
      </c>
      <c r="AG50" s="60">
        <f>IFERROR(AG25/$B50,".")</f>
        <v>9.9724647271019675E-3</v>
      </c>
      <c r="AH50" s="189">
        <f t="shared" ref="AH50" si="129">IFERROR(AH25/$B50,0)</f>
        <v>3.0994420371832921E-14</v>
      </c>
      <c r="AI50" s="49">
        <f>IF(AE50=".",".",up_RadSpec!$H$25*AI25*$B$50)</f>
        <v>2506.5104166666661</v>
      </c>
      <c r="AJ50" s="49">
        <f>IF(AF50=".",".",up_RadSpec!$K$25*AJ25*$B$50)</f>
        <v>0.39240867579908678</v>
      </c>
      <c r="AK50" s="49">
        <f t="shared" si="38"/>
        <v>2506.9028253424653</v>
      </c>
      <c r="AL50" s="60">
        <f>IFERROR(AL25/$B50,".")</f>
        <v>3.6363636363636364E-3</v>
      </c>
      <c r="AM50" s="60">
        <f>IFERROR(AM25,".")</f>
        <v>1.9948051948051951E-2</v>
      </c>
      <c r="AN50" s="60">
        <f>IFERROR(AN25/$B50,".")</f>
        <v>39.81818181818182</v>
      </c>
      <c r="AO50" s="60">
        <f>IFERROR(AO25/$B50,".")</f>
        <v>1.6443412786038033E-4</v>
      </c>
      <c r="AP50" s="60">
        <f>IFERROR(AP25/$B50,".")</f>
        <v>1.5608859634034475E-4</v>
      </c>
      <c r="AQ50" s="189">
        <f t="shared" ref="AQ50" si="130">IFERROR(AQ25/$B50,0)</f>
        <v>4.8512335742579153E-16</v>
      </c>
      <c r="AR50" s="49">
        <f>IF(AL50=".",".",up_RadSpec!$I$25*AR25*$B$50)</f>
        <v>6875</v>
      </c>
      <c r="AS50" s="49">
        <f>IF(AM50=".",".",up_RadSpec!$H$25*AS25*$B$50)</f>
        <v>1253.255208333333</v>
      </c>
      <c r="AT50" s="49">
        <f>IF(AN50=".",".",up_RadSpec!$M$25*AT25*$B$50)</f>
        <v>0.62785388127853881</v>
      </c>
      <c r="AU50" s="49">
        <f>up_b2w!AC50</f>
        <v>152036.56519057468</v>
      </c>
      <c r="AV50" s="49">
        <f t="shared" si="42"/>
        <v>160165.4482527893</v>
      </c>
      <c r="AW50" s="60">
        <f>IFERROR(AW25/$B50,".")</f>
        <v>6.6115702479338848E-4</v>
      </c>
      <c r="AX50" s="189">
        <f t="shared" ref="AX50" si="131">IFERROR(AX25/$B50,0)</f>
        <v>2.0548760330578514E-12</v>
      </c>
      <c r="AY50" s="49">
        <f>IF(AW50=".",".",up_RadSpec!$F$25*AY25*$B$50)</f>
        <v>37812.5</v>
      </c>
    </row>
    <row r="51" spans="1:51" x14ac:dyDescent="0.25">
      <c r="A51" s="48" t="s">
        <v>1059</v>
      </c>
      <c r="B51" s="15">
        <v>1</v>
      </c>
      <c r="C51" s="238"/>
      <c r="D51" s="60">
        <f t="shared" ref="D51:I51" si="132">IFERROR(D21/$B51,".")</f>
        <v>0.33057851239669422</v>
      </c>
      <c r="E51" s="60">
        <f t="shared" si="132"/>
        <v>3089.9917851942919</v>
      </c>
      <c r="F51" s="60" t="str">
        <f t="shared" si="132"/>
        <v>.</v>
      </c>
      <c r="G51" s="60">
        <f t="shared" si="132"/>
        <v>3.2968835384132272E-5</v>
      </c>
      <c r="H51" s="60">
        <f t="shared" si="132"/>
        <v>1.6528925619834712E-4</v>
      </c>
      <c r="I51" s="60">
        <f t="shared" si="132"/>
        <v>3.2965547354399747E-5</v>
      </c>
      <c r="J51" s="189">
        <f>IFERROR(J21/$B51,0)</f>
        <v>1.0061085052562804E-13</v>
      </c>
      <c r="K51" s="49">
        <f>IF(D51=".",".",up_RadSpec!$E$21*K21*$B$51)</f>
        <v>75.625</v>
      </c>
      <c r="L51" s="49">
        <f>IF(E51=".",".",up_RadSpec!$H$21*L21*$B$51)</f>
        <v>8.0906363957948379E-3</v>
      </c>
      <c r="M51" s="49" t="str">
        <f>IF(F51=".",".",up_RadSpec!$G$21*M21*$B$51)</f>
        <v>.</v>
      </c>
      <c r="N51" s="49">
        <f>up_b2s!AC51</f>
        <v>758291.875</v>
      </c>
      <c r="O51" s="49">
        <f t="shared" si="122"/>
        <v>758367.50809063634</v>
      </c>
      <c r="P51" s="60" t="str">
        <f>IFERROR(P21/$B51,".")</f>
        <v>.</v>
      </c>
      <c r="Q51" s="60" t="str">
        <f>IFERROR(Q21/$B51,".")</f>
        <v>.</v>
      </c>
      <c r="R51" s="60" t="str">
        <f>IFERROR(R21/$B51,".")</f>
        <v>.</v>
      </c>
      <c r="S51" s="60" t="str">
        <f>IFERROR(S21/$B51,".")</f>
        <v>.</v>
      </c>
      <c r="T51" s="60" t="str">
        <f>IFERROR(T21/$B51,".")</f>
        <v>.</v>
      </c>
      <c r="U51" s="189">
        <f t="shared" ref="U51:Y51" si="133">IFERROR(U21/$B51,0)</f>
        <v>0</v>
      </c>
      <c r="V51" s="189">
        <f t="shared" si="133"/>
        <v>0</v>
      </c>
      <c r="W51" s="189">
        <f t="shared" si="133"/>
        <v>0</v>
      </c>
      <c r="X51" s="189">
        <f t="shared" si="133"/>
        <v>0</v>
      </c>
      <c r="Y51" s="189">
        <f t="shared" si="133"/>
        <v>0</v>
      </c>
      <c r="Z51" s="49" t="str">
        <f>IF(P51=".",".",up_RadSpec!$G$21*Z21*$B$51)</f>
        <v>.</v>
      </c>
      <c r="AA51" s="49" t="str">
        <f>IF(Q51=".",".",up_RadSpec!$N$21*AA21*$B$51)</f>
        <v>.</v>
      </c>
      <c r="AB51" s="49" t="str">
        <f>IF(R51=".",".",up_RadSpec!$O$21*AB21*$B$51)</f>
        <v>.</v>
      </c>
      <c r="AC51" s="49" t="str">
        <f>IF(S51=".",".",up_RadSpec!$P$21*AC21*$B$51)</f>
        <v>.</v>
      </c>
      <c r="AD51" s="49" t="str">
        <f>IF(T51=".",".",up_RadSpec!$L$21*AD21*$B$51)</f>
        <v>.</v>
      </c>
      <c r="AE51" s="60">
        <f>IFERROR(AE21/$B51,".")</f>
        <v>9.9740259740259754E-3</v>
      </c>
      <c r="AF51" s="60">
        <f>IFERROR(AF21/$B51,".")</f>
        <v>63.709090909090911</v>
      </c>
      <c r="AG51" s="60">
        <f>IFERROR(AG21/$B51,".")</f>
        <v>9.9724647271019675E-3</v>
      </c>
      <c r="AH51" s="189">
        <f t="shared" ref="AH51" si="134">IFERROR(AH21/$B51,0)</f>
        <v>3.0435962347115209E-14</v>
      </c>
      <c r="AI51" s="49">
        <f>IF(AE51=".",".",up_RadSpec!$H$21*AI21*$B$51)</f>
        <v>2506.5104166666661</v>
      </c>
      <c r="AJ51" s="49">
        <f>IF(AF51=".",".",up_RadSpec!$K$21*AJ21*$B$51)</f>
        <v>0.39240867579908678</v>
      </c>
      <c r="AK51" s="49">
        <f t="shared" si="38"/>
        <v>2506.9028253424653</v>
      </c>
      <c r="AL51" s="60">
        <f>IFERROR(AL21/$B51,".")</f>
        <v>3.6363636363636364E-3</v>
      </c>
      <c r="AM51" s="60">
        <f>IFERROR(AM21,".")</f>
        <v>2.738261548962679E-2</v>
      </c>
      <c r="AN51" s="60">
        <f>IFERROR(AN21/$B51,".")</f>
        <v>39.81818181818182</v>
      </c>
      <c r="AO51" s="60">
        <f>IFERROR(AO21/$B51,".")</f>
        <v>1.6443412786038033E-4</v>
      </c>
      <c r="AP51" s="60">
        <f>IFERROR(AP21/$B51,".")</f>
        <v>1.5642090835071081E-4</v>
      </c>
      <c r="AQ51" s="189">
        <f t="shared" ref="AQ51" si="135">IFERROR(AQ21/$B51,0)</f>
        <v>4.7739661228636941E-16</v>
      </c>
      <c r="AR51" s="49">
        <f>IF(AL51=".",".",up_RadSpec!$I$21*AR21*$B$51)</f>
        <v>6875</v>
      </c>
      <c r="AS51" s="49">
        <f>IF(AM51=".",".",up_RadSpec!$H$21*AS21*$B$51)</f>
        <v>912.98802371419254</v>
      </c>
      <c r="AT51" s="49">
        <f>IF(AN51=".",".",up_RadSpec!$M$21*AT21*$B$51)</f>
        <v>0.62785388127853881</v>
      </c>
      <c r="AU51" s="49">
        <f>up_b2w!AC51</f>
        <v>152036.56519057468</v>
      </c>
      <c r="AV51" s="49">
        <f t="shared" si="42"/>
        <v>159825.18106817015</v>
      </c>
      <c r="AW51" s="60">
        <f>IFERROR(AW21/$B51,".")</f>
        <v>6.6115702479338848E-4</v>
      </c>
      <c r="AX51" s="189">
        <f t="shared" ref="AX51" si="136">IFERROR(AX21/$B51,0)</f>
        <v>2.0178512396694215E-12</v>
      </c>
      <c r="AY51" s="49">
        <f>IF(AW51=".",".",up_RadSpec!$F$21*AY21*$B$51)</f>
        <v>37812.5</v>
      </c>
    </row>
    <row r="52" spans="1:51" x14ac:dyDescent="0.25">
      <c r="A52" s="48" t="s">
        <v>1060</v>
      </c>
      <c r="B52" s="51">
        <v>0.99980000000000002</v>
      </c>
      <c r="C52" s="240"/>
      <c r="D52" s="60">
        <f t="shared" ref="D52:I52" si="137">IFERROR(D17/$B52,".")</f>
        <v>0.33064464132495919</v>
      </c>
      <c r="E52" s="60">
        <f t="shared" si="137"/>
        <v>3090.6099071757271</v>
      </c>
      <c r="F52" s="60">
        <f t="shared" si="137"/>
        <v>390.79047608026116</v>
      </c>
      <c r="G52" s="60">
        <f t="shared" si="137"/>
        <v>3.2975430470226314E-5</v>
      </c>
      <c r="H52" s="60">
        <f t="shared" si="137"/>
        <v>1.6532232066247962E-4</v>
      </c>
      <c r="I52" s="60">
        <f t="shared" si="137"/>
        <v>3.2972139000799961E-5</v>
      </c>
      <c r="J52" s="189">
        <f>IFERROR(J17/$B52,0)</f>
        <v>9.8784528446396685E-14</v>
      </c>
      <c r="K52" s="49">
        <f>IF(D52=".",".",up_RadSpec!$E$17*K17*$B$52)</f>
        <v>75.609875000000002</v>
      </c>
      <c r="L52" s="49">
        <f>IF(E52=".",".",up_RadSpec!$H$17*L17*$B$52)</f>
        <v>8.0890182685156783E-3</v>
      </c>
      <c r="M52" s="49">
        <f>IF(F52=".",".",up_RadSpec!$G$17*M17*$B$52)</f>
        <v>6.3972899879129769E-2</v>
      </c>
      <c r="N52" s="49">
        <f>up_b2s!AC52</f>
        <v>758140.216625</v>
      </c>
      <c r="O52" s="49">
        <f t="shared" si="122"/>
        <v>758215.89856191818</v>
      </c>
      <c r="P52" s="60">
        <f>IFERROR(P17/$B52,".")</f>
        <v>390.79047608026116</v>
      </c>
      <c r="Q52" s="60">
        <f>IFERROR(Q17/$B52,".")</f>
        <v>682.98808448848524</v>
      </c>
      <c r="R52" s="60">
        <f>IFERROR(R17/$B52,".")</f>
        <v>514.57307614421393</v>
      </c>
      <c r="S52" s="60">
        <f>IFERROR(S17/$B52,".")</f>
        <v>457.57457472458793</v>
      </c>
      <c r="T52" s="60">
        <f>IFERROR(T17/$B52,".")</f>
        <v>1308.6981284359076</v>
      </c>
      <c r="U52" s="189">
        <f t="shared" ref="U52:Y52" si="138">IFERROR(U17/$B52,0)</f>
        <v>1.1708082663364624E-6</v>
      </c>
      <c r="V52" s="189">
        <f t="shared" si="138"/>
        <v>2.0462323011275015E-6</v>
      </c>
      <c r="W52" s="189">
        <f t="shared" si="138"/>
        <v>1.5416609361280648E-6</v>
      </c>
      <c r="X52" s="189">
        <f t="shared" si="138"/>
        <v>1.3708934258748654E-6</v>
      </c>
      <c r="Y52" s="189">
        <f t="shared" si="138"/>
        <v>3.920859592793979E-6</v>
      </c>
      <c r="Z52" s="49">
        <f>IF(P52=".",".",up_RadSpec!$G$17*Z17*$B$52)</f>
        <v>6.3972899879129769E-2</v>
      </c>
      <c r="AA52" s="49">
        <f>IF(Q52=".",".",up_RadSpec!$N$17*AA17*$B$52)</f>
        <v>3.6603859668684284E-2</v>
      </c>
      <c r="AB52" s="49">
        <f>IF(R52=".",".",up_RadSpec!$O$17*AB17*$B$52)</f>
        <v>4.8583964375535103E-2</v>
      </c>
      <c r="AC52" s="49">
        <f>IF(S52=".",".",up_RadSpec!$P$17*AC17*$B$52)</f>
        <v>5.4635902825342489E-2</v>
      </c>
      <c r="AD52" s="49">
        <f>IF(T52=".",".",up_RadSpec!$L$17*AD17*$B$52)</f>
        <v>1.9102953887371096E-2</v>
      </c>
      <c r="AE52" s="60">
        <f>IFERROR(AE17/$B52,".")</f>
        <v>9.9760211782616275E-3</v>
      </c>
      <c r="AF52" s="60">
        <f>IFERROR(AF17/$B52,".")</f>
        <v>63.721835276146138</v>
      </c>
      <c r="AG52" s="60">
        <f>IFERROR(AG17/$B52,".")</f>
        <v>9.9744596190257731E-3</v>
      </c>
      <c r="AH52" s="189">
        <f t="shared" ref="AH52" si="139">IFERROR(AH17/$B52,0)</f>
        <v>2.9883481018601213E-14</v>
      </c>
      <c r="AI52" s="49">
        <f>IF(AE52=".",".",up_RadSpec!$H$17*AI17*$B$52)</f>
        <v>2506.0091145833326</v>
      </c>
      <c r="AJ52" s="49">
        <f>IF(AF52=".",".",up_RadSpec!$K$17*AJ17*$B$52)</f>
        <v>0.392330194063927</v>
      </c>
      <c r="AK52" s="49">
        <f t="shared" si="38"/>
        <v>2506.4014447773966</v>
      </c>
      <c r="AL52" s="60">
        <f>IFERROR(AL17/$B52,".")</f>
        <v>3.6370910545745513E-3</v>
      </c>
      <c r="AM52" s="60">
        <f>IFERROR(AM17,".")</f>
        <v>0.115609920856568</v>
      </c>
      <c r="AN52" s="60">
        <f>IFERROR(AN17/$B52,".")</f>
        <v>39.826147047591334</v>
      </c>
      <c r="AO52" s="60">
        <f>IFERROR(AO17/$B52,".")</f>
        <v>1.6446702126463324E-4</v>
      </c>
      <c r="AP52" s="60">
        <f>IFERROR(AP17/$B52,".")</f>
        <v>1.5713722448992476E-4</v>
      </c>
      <c r="AQ52" s="189">
        <f t="shared" ref="AQ52" si="140">IFERROR(AQ17/$B52,0)</f>
        <v>4.7078312457181464E-16</v>
      </c>
      <c r="AR52" s="49">
        <f>IF(AL52=".",".",up_RadSpec!$I$17*AR17*$B$52)</f>
        <v>6873.625</v>
      </c>
      <c r="AS52" s="49">
        <f>IF(AM52=".",".",up_RadSpec!$H$17*AS17*$B$52)</f>
        <v>216.20116867833656</v>
      </c>
      <c r="AT52" s="49">
        <f>IF(AN52=".",".",up_RadSpec!$M$17*AT17*$B$52)</f>
        <v>0.62772831050228306</v>
      </c>
      <c r="AU52" s="49">
        <f>up_b2w!AC52</f>
        <v>152006.15787753658</v>
      </c>
      <c r="AV52" s="49">
        <f t="shared" si="42"/>
        <v>159096.61177452543</v>
      </c>
      <c r="AW52" s="60">
        <f>IFERROR(AW17/$B52,".")</f>
        <v>6.6128928264991846E-4</v>
      </c>
      <c r="AX52" s="189">
        <f t="shared" ref="AX52" si="141">IFERROR(AX17/$B52,0)</f>
        <v>1.9812226908191554E-12</v>
      </c>
      <c r="AY52" s="49">
        <f>IF(AW52=".",".",up_RadSpec!$F$17*AY17*$B$52)</f>
        <v>37804.9375</v>
      </c>
    </row>
    <row r="53" spans="1:51" x14ac:dyDescent="0.25">
      <c r="A53" s="48" t="s">
        <v>1074</v>
      </c>
      <c r="B53" s="15">
        <v>2.0000000000000001E-4</v>
      </c>
      <c r="C53" s="238"/>
      <c r="D53" s="60">
        <f t="shared" ref="D53:I53" si="142">IFERROR(D5/$B53,".")</f>
        <v>1652.8925619834711</v>
      </c>
      <c r="E53" s="60">
        <f t="shared" si="142"/>
        <v>15449958.925971458</v>
      </c>
      <c r="F53" s="60" t="str">
        <f t="shared" si="142"/>
        <v>.</v>
      </c>
      <c r="G53" s="60">
        <f t="shared" si="142"/>
        <v>0.16484417692066136</v>
      </c>
      <c r="H53" s="60">
        <f t="shared" si="142"/>
        <v>0.82644628099173556</v>
      </c>
      <c r="I53" s="60">
        <f t="shared" si="142"/>
        <v>0.16482773677199872</v>
      </c>
      <c r="J53" s="189">
        <f>IFERROR(J5/$B53,0)</f>
        <v>5.0305425262814021E-10</v>
      </c>
      <c r="K53" s="49">
        <f>IF(D53=".",".",up_RadSpec!$E$5*K5*$B$53)</f>
        <v>1.5125000000000001E-2</v>
      </c>
      <c r="L53" s="49">
        <f>IF(E53=".",".",up_RadSpec!$H$5*L5*$B$53)</f>
        <v>1.6181272791589677E-6</v>
      </c>
      <c r="M53" s="49" t="str">
        <f>IF(F53=".",".",up_RadSpec!$G$5*M5*$B$53)</f>
        <v>.</v>
      </c>
      <c r="N53" s="49">
        <f>up_b2s!AC53</f>
        <v>151.65837500000001</v>
      </c>
      <c r="O53" s="49">
        <f t="shared" si="122"/>
        <v>151.67350161812729</v>
      </c>
      <c r="P53" s="60" t="str">
        <f>IFERROR(P5/$B53,".")</f>
        <v>.</v>
      </c>
      <c r="Q53" s="60" t="str">
        <f>IFERROR(Q5/$B53,".")</f>
        <v>.</v>
      </c>
      <c r="R53" s="60" t="str">
        <f>IFERROR(R5/$B53,".")</f>
        <v>.</v>
      </c>
      <c r="S53" s="60" t="str">
        <f>IFERROR(S5/$B53,".")</f>
        <v>.</v>
      </c>
      <c r="T53" s="60" t="str">
        <f>IFERROR(T5/$B53,".")</f>
        <v>.</v>
      </c>
      <c r="U53" s="189">
        <f t="shared" ref="U53:Y53" si="143">IFERROR(U5/$B53,0)</f>
        <v>0</v>
      </c>
      <c r="V53" s="189">
        <f t="shared" si="143"/>
        <v>0</v>
      </c>
      <c r="W53" s="189">
        <f t="shared" si="143"/>
        <v>0</v>
      </c>
      <c r="X53" s="189">
        <f t="shared" si="143"/>
        <v>0</v>
      </c>
      <c r="Y53" s="189">
        <f t="shared" si="143"/>
        <v>0</v>
      </c>
      <c r="Z53" s="49" t="str">
        <f>IF(P53=".",".",up_RadSpec!$G$5*Z5*$B$53)</f>
        <v>.</v>
      </c>
      <c r="AA53" s="49" t="str">
        <f>IF(Q53=".",".",up_RadSpec!$N$5*AA5*$B$53)</f>
        <v>.</v>
      </c>
      <c r="AB53" s="49" t="str">
        <f>IF(R53=".",".",up_RadSpec!$O$5*AB5*$B$53)</f>
        <v>.</v>
      </c>
      <c r="AC53" s="49" t="str">
        <f>IF(S53=".",".",up_RadSpec!$P$5*AC5*$B$53)</f>
        <v>.</v>
      </c>
      <c r="AD53" s="49" t="str">
        <f>IF(T53=".",".",up_RadSpec!$L$5*AD5*$B$53)</f>
        <v>.</v>
      </c>
      <c r="AE53" s="60">
        <f>IFERROR(AE5/$B53,".")</f>
        <v>49.870129870129873</v>
      </c>
      <c r="AF53" s="60">
        <f>IFERROR(AF5/$B53,".")</f>
        <v>318545.45454545453</v>
      </c>
      <c r="AG53" s="60">
        <f>IFERROR(AG5/$B53,".")</f>
        <v>49.862323635509838</v>
      </c>
      <c r="AH53" s="189">
        <f t="shared" ref="AH53" si="144">IFERROR(AH5/$B53,0)</f>
        <v>1.5217981173557603E-10</v>
      </c>
      <c r="AI53" s="49">
        <f>IF(AE53=".",".",up_RadSpec!$H$5*AI5*$B$53)</f>
        <v>0.50130208333333326</v>
      </c>
      <c r="AJ53" s="49">
        <f>IF(AF53=".",".",up_RadSpec!$K$5*AJ5*$B$53)</f>
        <v>7.8481735159817364E-5</v>
      </c>
      <c r="AK53" s="49">
        <f t="shared" si="38"/>
        <v>0.50138056506849304</v>
      </c>
      <c r="AL53" s="60">
        <f>IFERROR(AL5/$B53,".")</f>
        <v>18.18181818181818</v>
      </c>
      <c r="AM53" s="60">
        <f>IFERROR(AM5,".")</f>
        <v>137.32464063589893</v>
      </c>
      <c r="AN53" s="60">
        <f>IFERROR(AN5/$B53,".")</f>
        <v>199090.90909090909</v>
      </c>
      <c r="AO53" s="60">
        <f>IFERROR(AO5/$B53,".")</f>
        <v>0.8221706393019016</v>
      </c>
      <c r="AP53" s="60">
        <f>IFERROR(AP5/$B53,".")</f>
        <v>0.78659701565356122</v>
      </c>
      <c r="AQ53" s="189">
        <f t="shared" ref="AQ53" si="145">IFERROR(AQ5/$B53,0)</f>
        <v>2.4006940917746694E-12</v>
      </c>
      <c r="AR53" s="49">
        <f>IF(AL53=".",".",up_RadSpec!$I$5*AR5*$B$53)</f>
        <v>1.375</v>
      </c>
      <c r="AS53" s="49">
        <f>IF(AM53=".",".",up_RadSpec!$H$5*AS5*$B$53)</f>
        <v>3.6410071614583328E-5</v>
      </c>
      <c r="AT53" s="49">
        <f>IF(AN53=".",".",up_RadSpec!$M$5*AT5*$B$53)</f>
        <v>1.2557077625570778E-4</v>
      </c>
      <c r="AU53" s="49">
        <f>up_b2w!AC53</f>
        <v>30.407313038114939</v>
      </c>
      <c r="AV53" s="49">
        <f t="shared" si="42"/>
        <v>31.78247501896281</v>
      </c>
      <c r="AW53" s="60">
        <f>IFERROR(AW5/$B53,".")</f>
        <v>3.3057851239669422</v>
      </c>
      <c r="AX53" s="189">
        <f t="shared" ref="AX53" si="146">IFERROR(AX5/$B53,0)</f>
        <v>1.0089256198347107E-8</v>
      </c>
      <c r="AY53" s="49">
        <f>IF(AW53=".",".",up_RadSpec!$F$5*AY5*$B$53)</f>
        <v>7.5625</v>
      </c>
    </row>
    <row r="54" spans="1:51" x14ac:dyDescent="0.25">
      <c r="A54" s="48" t="s">
        <v>1075</v>
      </c>
      <c r="B54" s="15">
        <v>0.99999979999999999</v>
      </c>
      <c r="C54" s="238"/>
      <c r="D54" s="60">
        <f t="shared" ref="D54:I54" si="147">IFERROR(D9/$B54,".")</f>
        <v>0.3305785785124099</v>
      </c>
      <c r="E54" s="60">
        <f t="shared" si="147"/>
        <v>3089.9924031927726</v>
      </c>
      <c r="F54" s="60">
        <f t="shared" si="147"/>
        <v>144.45659169650497</v>
      </c>
      <c r="G54" s="60">
        <f t="shared" si="147"/>
        <v>3.296884197790067E-5</v>
      </c>
      <c r="H54" s="60">
        <f t="shared" si="147"/>
        <v>1.6528928925620498E-4</v>
      </c>
      <c r="I54" s="60">
        <f t="shared" si="147"/>
        <v>3.2965546424645108E-5</v>
      </c>
      <c r="J54" s="189">
        <f>IFERROR(J9/$B54,0)</f>
        <v>9.876477708823676E-14</v>
      </c>
      <c r="K54" s="49">
        <f>IF(D54=".",".",up_RadSpec!$E$9*K9*$B$54)</f>
        <v>75.624984874999996</v>
      </c>
      <c r="L54" s="49">
        <f>IF(E54=".",".",up_RadSpec!$H$9*L9*$B$54)</f>
        <v>8.0906347776675581E-3</v>
      </c>
      <c r="M54" s="49">
        <f>IF(F54=".",".",up_RadSpec!$G$9*M9*$B$54)</f>
        <v>0.17306236916155113</v>
      </c>
      <c r="N54" s="49">
        <f>up_b2s!AC54</f>
        <v>758291.72334162507</v>
      </c>
      <c r="O54" s="49">
        <f t="shared" si="122"/>
        <v>758367.52947950398</v>
      </c>
      <c r="P54" s="60">
        <f>IFERROR(P9/$B54,".")</f>
        <v>144.45659169650497</v>
      </c>
      <c r="Q54" s="60">
        <f>IFERROR(Q9/$B54,".")</f>
        <v>295.87127129546656</v>
      </c>
      <c r="R54" s="60">
        <f>IFERROR(R9/$B54,".")</f>
        <v>208.18081621171774</v>
      </c>
      <c r="S54" s="60">
        <f>IFERROR(S9/$B54,".")</f>
        <v>171.6070132011088</v>
      </c>
      <c r="T54" s="60">
        <f>IFERROR(T9/$B54,".")</f>
        <v>524.07071339179379</v>
      </c>
      <c r="U54" s="189">
        <f t="shared" ref="U54:Y54" si="148">IFERROR(U9/$B54,0)</f>
        <v>4.3279194872272893E-7</v>
      </c>
      <c r="V54" s="189">
        <f t="shared" si="148"/>
        <v>8.8643032880121789E-7</v>
      </c>
      <c r="W54" s="189">
        <f t="shared" si="148"/>
        <v>6.2370972537030637E-7</v>
      </c>
      <c r="X54" s="189">
        <f t="shared" si="148"/>
        <v>5.1413461155052203E-7</v>
      </c>
      <c r="Y54" s="189">
        <f t="shared" si="148"/>
        <v>1.5701158573218145E-6</v>
      </c>
      <c r="Z54" s="49">
        <f>IF(P54=".",".",up_RadSpec!$G$9*Z9*$B$54)</f>
        <v>0.17306236916155113</v>
      </c>
      <c r="AA54" s="49">
        <f>IF(Q54=".",".",up_RadSpec!$N$9*AA9*$B$54)</f>
        <v>8.4496206375624078E-2</v>
      </c>
      <c r="AB54" s="49">
        <f>IF(R54=".",".",up_RadSpec!$O$9*AB9*$B$54)</f>
        <v>0.12008791422248656</v>
      </c>
      <c r="AC54" s="49">
        <f>IF(S54=".",".",up_RadSpec!$P$9*AC9*$B$54)</f>
        <v>0.14568169175406678</v>
      </c>
      <c r="AD54" s="49">
        <f>IF(T54=".",".",up_RadSpec!$L$9*AD9*$B$54)</f>
        <v>4.7703486115832749E-2</v>
      </c>
      <c r="AE54" s="60">
        <f>IFERROR(AE9/$B54,".")</f>
        <v>9.9740279688315687E-3</v>
      </c>
      <c r="AF54" s="60">
        <f>IFERROR(AF9/$B54,".")</f>
        <v>63.709103650911644</v>
      </c>
      <c r="AG54" s="60">
        <f>IFERROR(AG9/$B54,".")</f>
        <v>9.9724667215953123E-3</v>
      </c>
      <c r="AH54" s="189">
        <f t="shared" ref="AH54" si="149">IFERROR(AH9/$B54,0)</f>
        <v>2.9877510297899558E-14</v>
      </c>
      <c r="AI54" s="49">
        <f>IF(AE54=".",".",up_RadSpec!$H$9*AI9*$B$54)</f>
        <v>2506.5099153645829</v>
      </c>
      <c r="AJ54" s="49">
        <f>IF(AF54=".",".",up_RadSpec!$K$9*AJ9*$B$54)</f>
        <v>0.39240859731735162</v>
      </c>
      <c r="AK54" s="49">
        <f t="shared" si="38"/>
        <v>2506.9023239619</v>
      </c>
      <c r="AL54" s="60">
        <f>IFERROR(AL9/$B54,".")</f>
        <v>3.6363643636365089E-3</v>
      </c>
      <c r="AM54" s="60">
        <f>IFERROR(AM9,".")</f>
        <v>0.39187352811929721</v>
      </c>
      <c r="AN54" s="60">
        <f>IFERROR(AN9/$B54,".")</f>
        <v>39.818189781819775</v>
      </c>
      <c r="AO54" s="60">
        <f>IFERROR(AO9/$B54,".")</f>
        <v>1.6443416074721248E-4</v>
      </c>
      <c r="AP54" s="60">
        <f>IFERROR(AP9/$B54,".")</f>
        <v>1.5725648342029106E-4</v>
      </c>
      <c r="AQ54" s="189">
        <f t="shared" ref="AQ54" si="150">IFERROR(AQ9/$B54,0)</f>
        <v>4.7114042432719219E-16</v>
      </c>
      <c r="AR54" s="49">
        <f>IF(AL54=".",".",up_RadSpec!$I$9*AR9*$B$54)</f>
        <v>6874.9986250000002</v>
      </c>
      <c r="AS54" s="49">
        <f>IF(AM54=".",".",up_RadSpec!$H$9*AS9*$B$54)</f>
        <v>63.79608012815121</v>
      </c>
      <c r="AT54" s="49">
        <f>IF(AN54=".",".",up_RadSpec!$M$9*AT9*$B$54)</f>
        <v>0.62785375570776258</v>
      </c>
      <c r="AU54" s="49">
        <f>up_b2w!AC54</f>
        <v>152036.53478326162</v>
      </c>
      <c r="AV54" s="49">
        <f t="shared" si="42"/>
        <v>158975.9573421455</v>
      </c>
      <c r="AW54" s="60">
        <f>IFERROR(AW9/$B54,".")</f>
        <v>6.611571570248199E-4</v>
      </c>
      <c r="AX54" s="189">
        <f t="shared" ref="AX54" si="151">IFERROR(AX9/$B54,0)</f>
        <v>1.9808268424463603E-12</v>
      </c>
      <c r="AY54" s="49">
        <f>IF(AW54=".",".",up_RadSpec!$F$9*AY9*$B$54)</f>
        <v>37812.492437499997</v>
      </c>
    </row>
    <row r="55" spans="1:51" x14ac:dyDescent="0.25">
      <c r="A55" s="48" t="s">
        <v>1076</v>
      </c>
      <c r="B55" s="15">
        <v>1.9999999999999999E-7</v>
      </c>
      <c r="C55" s="238"/>
      <c r="D55" s="60">
        <f t="shared" ref="D55:I55" si="152">IFERROR(D24/$B55,".")</f>
        <v>1652892.5619834713</v>
      </c>
      <c r="E55" s="60">
        <f t="shared" si="152"/>
        <v>15449958925.97146</v>
      </c>
      <c r="F55" s="60">
        <f t="shared" si="152"/>
        <v>1274648952.0994596</v>
      </c>
      <c r="G55" s="60">
        <f t="shared" si="152"/>
        <v>164.84417692066137</v>
      </c>
      <c r="H55" s="60">
        <f t="shared" si="152"/>
        <v>826.44628099173565</v>
      </c>
      <c r="I55" s="60">
        <f t="shared" si="152"/>
        <v>164.82771545775432</v>
      </c>
      <c r="J55" s="189">
        <f>IFERROR(J24/$B55,0)</f>
        <v>5.0305418757706623E-7</v>
      </c>
      <c r="K55" s="49">
        <f>IF(D55=".",".",up_RadSpec!$E$24*K24*$B$55)</f>
        <v>1.5125E-5</v>
      </c>
      <c r="L55" s="49">
        <f>IF(E55=".",".",up_RadSpec!$H$24*L24*$B$55)</f>
        <v>1.6181272791589676E-9</v>
      </c>
      <c r="M55" s="49">
        <f>IF(F55=".",".",up_RadSpec!$G$24*M24*$B$55)</f>
        <v>1.9613243284610075E-8</v>
      </c>
      <c r="N55" s="49">
        <f>up_b2s!AC55</f>
        <v>0.15165837499999998</v>
      </c>
      <c r="O55" s="49">
        <f t="shared" si="122"/>
        <v>0.15167352123137054</v>
      </c>
      <c r="P55" s="60">
        <f>IFERROR(P24/$B55,".")</f>
        <v>1274648952.0994596</v>
      </c>
      <c r="Q55" s="60">
        <f>IFERROR(Q24/$B55,".")</f>
        <v>2310957622.850565</v>
      </c>
      <c r="R55" s="60">
        <f>IFERROR(R24/$B55,".")</f>
        <v>1631685411.197315</v>
      </c>
      <c r="S55" s="60">
        <f>IFERROR(S24/$B55,".")</f>
        <v>1362563111.8701646</v>
      </c>
      <c r="T55" s="60">
        <f>IFERROR(T24/$B55,".")</f>
        <v>3840825840.82584</v>
      </c>
      <c r="U55" s="189">
        <f t="shared" ref="U55:Y55" si="153">IFERROR(U24/$B55,0)</f>
        <v>3.8902286018075518</v>
      </c>
      <c r="V55" s="189">
        <f t="shared" si="153"/>
        <v>7.0530426649399258</v>
      </c>
      <c r="W55" s="189">
        <f t="shared" si="153"/>
        <v>4.9799038749742053</v>
      </c>
      <c r="X55" s="189">
        <f t="shared" si="153"/>
        <v>4.1585426174277424</v>
      </c>
      <c r="Y55" s="189">
        <f t="shared" si="153"/>
        <v>11.722200466200464</v>
      </c>
      <c r="Z55" s="49">
        <f>IF(P55=".",".",up_RadSpec!$G$24*Z24*$B$55)</f>
        <v>1.9613243284610075E-8</v>
      </c>
      <c r="AA55" s="49">
        <f>IF(Q55=".",".",up_RadSpec!$N$24*AA24*$B$55)</f>
        <v>1.081802615193026E-8</v>
      </c>
      <c r="AB55" s="49">
        <f>IF(R55=".",".",up_RadSpec!$O$24*AB24*$B$55)</f>
        <v>1.5321580880995463E-8</v>
      </c>
      <c r="AC55" s="49">
        <f>IF(S55=".",".",up_RadSpec!$P$24*AC24*$B$55)</f>
        <v>1.8347773972602737E-8</v>
      </c>
      <c r="AD55" s="49">
        <f>IF(T55=".",".",up_RadSpec!$L$24*AD24*$B$55)</f>
        <v>6.5090168198370047E-9</v>
      </c>
      <c r="AE55" s="60">
        <f>IFERROR(AE24/$B55,".")</f>
        <v>49870.12987012988</v>
      </c>
      <c r="AF55" s="60">
        <f>IFERROR(AF24/$B55,".")</f>
        <v>318545454.54545456</v>
      </c>
      <c r="AG55" s="60">
        <f>IFERROR(AG24/$B55,".")</f>
        <v>49862.323635509842</v>
      </c>
      <c r="AH55" s="189">
        <f t="shared" ref="AH55" si="154">IFERROR(AH24/$B55,0)</f>
        <v>1.5217981173557604E-7</v>
      </c>
      <c r="AI55" s="49">
        <f>IF(AE55=".",".",up_RadSpec!$H$24*AI24*$B$55)</f>
        <v>5.013020833333332E-4</v>
      </c>
      <c r="AJ55" s="49">
        <f>IF(AF55=".",".",up_RadSpec!$K$24*AJ24*$B$55)</f>
        <v>7.8481735159817348E-8</v>
      </c>
      <c r="AK55" s="49">
        <f t="shared" si="38"/>
        <v>5.0138056506849303E-4</v>
      </c>
      <c r="AL55" s="60">
        <f>IFERROR(AL24/$B55,".")</f>
        <v>18181.818181818184</v>
      </c>
      <c r="AM55" s="60">
        <f>IFERROR(AM24,".")</f>
        <v>137334.09486996356</v>
      </c>
      <c r="AN55" s="60">
        <f>IFERROR(AN24/$B55,".")</f>
        <v>199090909.09090912</v>
      </c>
      <c r="AO55" s="60">
        <f>IFERROR(AO24/$B55,".")</f>
        <v>822.1706393019017</v>
      </c>
      <c r="AP55" s="60">
        <f>IFERROR(AP24/$B55,".")</f>
        <v>786.5979158807562</v>
      </c>
      <c r="AQ55" s="189">
        <f t="shared" ref="AQ55" si="155">IFERROR(AQ24/$B55,0)</f>
        <v>2.4006968392680678E-9</v>
      </c>
      <c r="AR55" s="49">
        <f>IF(AL55=".",".",up_RadSpec!$I$24*AR24*$B$55)</f>
        <v>1.3749999999999999E-3</v>
      </c>
      <c r="AS55" s="49">
        <f>IF(AM55=".",".",up_RadSpec!$H$24*AS24*$B$55)</f>
        <v>3.6407565104166664E-11</v>
      </c>
      <c r="AT55" s="49">
        <f>IF(AN55=".",".",up_RadSpec!$M$24*AT24*$B$55)</f>
        <v>1.2557077625570775E-7</v>
      </c>
      <c r="AU55" s="49">
        <f>up_b2w!AC55</f>
        <v>3.0407313038114933E-2</v>
      </c>
      <c r="AV55" s="49">
        <f t="shared" si="42"/>
        <v>3.1782438645298755E-2</v>
      </c>
      <c r="AW55" s="60">
        <f>IFERROR(AW24/$B55,".")</f>
        <v>3305.7851239669426</v>
      </c>
      <c r="AX55" s="189">
        <f t="shared" ref="AX55" si="156">IFERROR(AX24/$B55,0)</f>
        <v>1.0089256198347108E-5</v>
      </c>
      <c r="AY55" s="49">
        <f>IF(AW55=".",".",up_RadSpec!$F$24*AY24*$B$55)</f>
        <v>7.5624999999999998E-3</v>
      </c>
    </row>
    <row r="56" spans="1:51" x14ac:dyDescent="0.25">
      <c r="A56" s="48" t="s">
        <v>1077</v>
      </c>
      <c r="B56" s="15">
        <v>0.99979000004200003</v>
      </c>
      <c r="C56" s="238"/>
      <c r="D56" s="60">
        <f t="shared" ref="D56:I56" si="157">IFERROR(D20/$B56,".")</f>
        <v>0.33064794845198192</v>
      </c>
      <c r="E56" s="60">
        <f t="shared" si="157"/>
        <v>3090.6408196366087</v>
      </c>
      <c r="F56" s="60">
        <f t="shared" si="157"/>
        <v>199.70533568187113</v>
      </c>
      <c r="G56" s="60">
        <f t="shared" si="157"/>
        <v>3.2975760292408697E-5</v>
      </c>
      <c r="H56" s="60">
        <f t="shared" si="157"/>
        <v>1.6532397422599097E-4</v>
      </c>
      <c r="I56" s="60">
        <f t="shared" si="157"/>
        <v>3.2972466128105842E-5</v>
      </c>
      <c r="J56" s="189">
        <f>IFERROR(J20/$B56,0)</f>
        <v>9.8785508519805128E-14</v>
      </c>
      <c r="K56" s="49">
        <f>IF(D56=".",".",up_RadSpec!$E$20*K20*$B$56)</f>
        <v>75.609118753176247</v>
      </c>
      <c r="L56" s="49">
        <f>IF(E56=".",".",up_RadSpec!$H$20*L20*$B$56)</f>
        <v>8.0889373624915273E-3</v>
      </c>
      <c r="M56" s="49">
        <f>IF(F56=".",".",up_RadSpec!$G$20*M20*$B$56)</f>
        <v>0.12518443693374715</v>
      </c>
      <c r="N56" s="49">
        <f>up_b2s!AC56</f>
        <v>758132.6337380982</v>
      </c>
      <c r="O56" s="49">
        <f t="shared" si="122"/>
        <v>758208.37613022572</v>
      </c>
      <c r="P56" s="60">
        <f>IFERROR(P20/$B56,".")</f>
        <v>199.70533568187113</v>
      </c>
      <c r="Q56" s="60">
        <f>IFERROR(Q20/$B56,".")</f>
        <v>393.83783600255742</v>
      </c>
      <c r="R56" s="60">
        <f>IFERROR(R20/$B56,".")</f>
        <v>275.5601431207574</v>
      </c>
      <c r="S56" s="60">
        <f>IFERROR(S20/$B56,".")</f>
        <v>231.38152732631076</v>
      </c>
      <c r="T56" s="60">
        <f>IFERROR(T20/$B56,".")</f>
        <v>671.0845986812086</v>
      </c>
      <c r="U56" s="189">
        <f t="shared" ref="U56:Y56" si="158">IFERROR(U20/$B56,0)</f>
        <v>5.9831718570288597E-7</v>
      </c>
      <c r="V56" s="189">
        <f t="shared" si="158"/>
        <v>1.1799381566636622E-6</v>
      </c>
      <c r="W56" s="189">
        <f t="shared" si="158"/>
        <v>8.2557818878978925E-7</v>
      </c>
      <c r="X56" s="189">
        <f t="shared" si="158"/>
        <v>6.9321905586962699E-7</v>
      </c>
      <c r="Y56" s="189">
        <f t="shared" si="158"/>
        <v>2.0105694576489013E-6</v>
      </c>
      <c r="Z56" s="49">
        <f>IF(P56=".",".",up_RadSpec!$G$20*Z20*$B$56)</f>
        <v>0.12518443693374715</v>
      </c>
      <c r="AA56" s="49">
        <f>IF(Q56=".",".",up_RadSpec!$N$20*AA20*$B$56)</f>
        <v>6.3477903123146495E-2</v>
      </c>
      <c r="AB56" s="49">
        <f>IF(R56=".",".",up_RadSpec!$O$20*AB20*$B$56)</f>
        <v>9.0724296035237476E-2</v>
      </c>
      <c r="AC56" s="49">
        <f>IF(S56=".",".",up_RadSpec!$P$20*AC20*$B$56)</f>
        <v>0.10804665475625121</v>
      </c>
      <c r="AD56" s="49">
        <f>IF(T56=".",".",up_RadSpec!$L$20*AD20*$B$56)</f>
        <v>3.7253127324228724E-2</v>
      </c>
      <c r="AE56" s="60">
        <f>IFERROR(AE20/$B56,".")</f>
        <v>9.976120959008369E-3</v>
      </c>
      <c r="AF56" s="60">
        <f>IFERROR(AF20/$B56,".")</f>
        <v>63.722472625665958</v>
      </c>
      <c r="AG56" s="60">
        <f>IFERROR(AG20/$B56,".")</f>
        <v>9.974559384153708E-3</v>
      </c>
      <c r="AH56" s="189">
        <f t="shared" ref="AH56" si="159">IFERROR(AH20/$B56,0)</f>
        <v>2.9883779914924509E-14</v>
      </c>
      <c r="AI56" s="49">
        <f>IF(AE56=".",".",up_RadSpec!$H$20*AI20*$B$56)</f>
        <v>2505.9840495844396</v>
      </c>
      <c r="AJ56" s="49">
        <f>IF(AF56=".",".",up_RadSpec!$K$20*AJ20*$B$56)</f>
        <v>0.39232626999365017</v>
      </c>
      <c r="AK56" s="49">
        <f t="shared" si="38"/>
        <v>2506.3763758544333</v>
      </c>
      <c r="AL56" s="60">
        <f>IFERROR(AL20/$B56,".")</f>
        <v>3.6371274329718012E-3</v>
      </c>
      <c r="AM56" s="60">
        <f>IFERROR(AM20,".")</f>
        <v>0.39187253504904385</v>
      </c>
      <c r="AN56" s="60">
        <f>IFERROR(AN20/$B56,".")</f>
        <v>39.826545391041222</v>
      </c>
      <c r="AO56" s="60">
        <f>IFERROR(AO20/$B56,".")</f>
        <v>1.6446866627339005E-4</v>
      </c>
      <c r="AP56" s="60">
        <f>IFERROR(AP20/$B56,".")</f>
        <v>1.5728948259381169E-4</v>
      </c>
      <c r="AQ56" s="189">
        <f t="shared" ref="AQ56" si="160">IFERROR(AQ20/$B56,0)</f>
        <v>4.7123928985105988E-16</v>
      </c>
      <c r="AR56" s="49">
        <f>IF(AL56=".",".",up_RadSpec!$I$20*AR20*$B$56)</f>
        <v>6873.5562502887506</v>
      </c>
      <c r="AS56" s="49">
        <f>IF(AM56=".",".",up_RadSpec!$H$20*AS20*$B$56)</f>
        <v>63.782857346514071</v>
      </c>
      <c r="AT56" s="49">
        <f>IF(AN56=".",".",up_RadSpec!$M$20*AT20*$B$56)</f>
        <v>0.62772203198984022</v>
      </c>
      <c r="AU56" s="49">
        <f>up_b2w!AC56</f>
        <v>152004.6375182702</v>
      </c>
      <c r="AV56" s="49">
        <f t="shared" si="42"/>
        <v>158942.60434793745</v>
      </c>
      <c r="AW56" s="60">
        <f>IFERROR(AW20/$B56,".")</f>
        <v>6.6129589690396386E-4</v>
      </c>
      <c r="AX56" s="189">
        <f t="shared" ref="AX56" si="161">IFERROR(AX20/$B56,0)</f>
        <v>1.9812425071242756E-12</v>
      </c>
      <c r="AY56" s="49">
        <f>IF(AW56=".",".",up_RadSpec!$F$20*AY20*$B$56)</f>
        <v>37804.559376588128</v>
      </c>
    </row>
    <row r="57" spans="1:51" x14ac:dyDescent="0.25">
      <c r="A57" s="48" t="s">
        <v>1078</v>
      </c>
      <c r="B57" s="15">
        <v>2.0999995799999999E-4</v>
      </c>
      <c r="C57" s="238"/>
      <c r="D57" s="60">
        <f t="shared" ref="D57:I57" si="162">IFERROR(D29/$B57,".")</f>
        <v>1574.1837072019521</v>
      </c>
      <c r="E57" s="60">
        <f t="shared" si="162"/>
        <v>14714249.539013203</v>
      </c>
      <c r="F57" s="60">
        <f t="shared" si="162"/>
        <v>748310.73403830535</v>
      </c>
      <c r="G57" s="60">
        <f t="shared" si="162"/>
        <v>0.1569944856090508</v>
      </c>
      <c r="H57" s="60">
        <f t="shared" si="162"/>
        <v>0.78709185360097611</v>
      </c>
      <c r="I57" s="60">
        <f t="shared" si="162"/>
        <v>0.15697879539084411</v>
      </c>
      <c r="J57" s="189">
        <f>IFERROR(J29/$B57,0)</f>
        <v>4.6151765844908174E-10</v>
      </c>
      <c r="K57" s="49">
        <f>IF(D57=".",".",up_RadSpec!$E$29*K29*$B$57)</f>
        <v>1.588124682375E-2</v>
      </c>
      <c r="L57" s="49">
        <f>IF(E57=".",".",up_RadSpec!$H$29*L29*$B$57)</f>
        <v>1.6990333033101872E-6</v>
      </c>
      <c r="M57" s="49">
        <f>IF(F57=".",".",up_RadSpec!$G$29*M29*$B$57)</f>
        <v>3.3408581305637499E-5</v>
      </c>
      <c r="N57" s="49">
        <f>up_b2s!AC57</f>
        <v>159.24126190174124</v>
      </c>
      <c r="O57" s="49">
        <f t="shared" si="122"/>
        <v>159.2571782561796</v>
      </c>
      <c r="P57" s="60">
        <f>IFERROR(P29/$B57,".")</f>
        <v>748310.73403830535</v>
      </c>
      <c r="Q57" s="60">
        <f>IFERROR(Q29/$B57,".")</f>
        <v>1493228.318189472</v>
      </c>
      <c r="R57" s="60">
        <f>IFERROR(R29/$B57,".")</f>
        <v>1063769.5031241761</v>
      </c>
      <c r="S57" s="60">
        <f>IFERROR(S29/$B57,".")</f>
        <v>902351.16282121441</v>
      </c>
      <c r="T57" s="60">
        <f>IFERROR(T29/$B57,".")</f>
        <v>2681359.5812673252</v>
      </c>
      <c r="U57" s="189">
        <f t="shared" ref="U57:Y57" si="163">IFERROR(U29/$B57,0)</f>
        <v>2.2000335580726177E-3</v>
      </c>
      <c r="V57" s="189">
        <f t="shared" si="163"/>
        <v>4.3900912554770471E-3</v>
      </c>
      <c r="W57" s="189">
        <f t="shared" si="163"/>
        <v>3.127482339185078E-3</v>
      </c>
      <c r="X57" s="189">
        <f t="shared" si="163"/>
        <v>2.6529124186943699E-3</v>
      </c>
      <c r="Y57" s="189">
        <f t="shared" si="163"/>
        <v>7.8831971689259372E-3</v>
      </c>
      <c r="Z57" s="49">
        <f>IF(P57=".",".",up_RadSpec!$G$29*Z29*$B$57)</f>
        <v>3.3408581305637499E-5</v>
      </c>
      <c r="AA57" s="49">
        <f>IF(Q57=".",".",up_RadSpec!$N$29*AA29*$B$57)</f>
        <v>1.6742248787722103E-5</v>
      </c>
      <c r="AB57" s="49">
        <f>IF(R57=".",".",up_RadSpec!$O$29*AB29*$B$57)</f>
        <v>2.3501331751453393E-5</v>
      </c>
      <c r="AC57" s="49">
        <f>IF(S57=".",".",up_RadSpec!$P$29*AC29*$B$57)</f>
        <v>2.7705400103699236E-5</v>
      </c>
      <c r="AD57" s="49">
        <f>IF(T57=".",".",up_RadSpec!$L$29*AD29*$B$57)</f>
        <v>9.3236282722602721E-6</v>
      </c>
      <c r="AE57" s="60">
        <f>IFERROR(AE29/$B57,".")</f>
        <v>47.49537128015033</v>
      </c>
      <c r="AF57" s="60">
        <f>IFERROR(AF29/$B57,".")</f>
        <v>303376.68405196024</v>
      </c>
      <c r="AG57" s="60">
        <f>IFERROR(AG29/$B57,".")</f>
        <v>47.487936769501488</v>
      </c>
      <c r="AH57" s="189">
        <f t="shared" ref="AH57" si="164">IFERROR(AH29/$B57,0)</f>
        <v>1.3961453410233441E-10</v>
      </c>
      <c r="AI57" s="49">
        <f>IF(AE57=".",".",up_RadSpec!$H$29*AI29*$B$57)</f>
        <v>0.52636708222656237</v>
      </c>
      <c r="AJ57" s="49">
        <f>IF(AF57=".",".",up_RadSpec!$K$29*AJ29*$B$57)</f>
        <v>8.2405805436643834E-5</v>
      </c>
      <c r="AK57" s="49">
        <f t="shared" si="38"/>
        <v>0.52644948803199898</v>
      </c>
      <c r="AL57" s="60">
        <f>IFERROR(AL29/$B57,".")</f>
        <v>17.316020779221471</v>
      </c>
      <c r="AM57" s="60">
        <f>IFERROR(AM29,".")</f>
        <v>2157.7148215468005</v>
      </c>
      <c r="AN57" s="60">
        <f>IFERROR(AN29/$B57,".")</f>
        <v>189610.42753247515</v>
      </c>
      <c r="AO57" s="60">
        <f>IFERROR(AO29/$B57,".")</f>
        <v>0.78301981308196422</v>
      </c>
      <c r="AP57" s="60">
        <f>IFERROR(AP29/$B57,".")</f>
        <v>0.74914096833367594</v>
      </c>
      <c r="AQ57" s="189">
        <f t="shared" ref="AQ57" si="165">IFERROR(AQ29/$B57,0)</f>
        <v>2.2024744469010072E-12</v>
      </c>
      <c r="AR57" s="49">
        <f>IF(AL57=".",".",up_RadSpec!$I$29*AR29*$B$57)</f>
        <v>1.44374971125</v>
      </c>
      <c r="AS57" s="49">
        <f>IF(AM57=".",".",up_RadSpec!$H$29*AS29*$B$57)</f>
        <v>2.4331292057568735E-6</v>
      </c>
      <c r="AT57" s="49">
        <f>IF(AN57=".",".",up_RadSpec!$M$29*AT29*$B$57)</f>
        <v>1.3184928869863012E-4</v>
      </c>
      <c r="AU57" s="49">
        <f>up_b2w!AC57</f>
        <v>31.92767230448494</v>
      </c>
      <c r="AV57" s="49">
        <f t="shared" si="42"/>
        <v>33.371556298152846</v>
      </c>
      <c r="AW57" s="60">
        <f>IFERROR(AW29/$B57,".")</f>
        <v>3.1483674144039044</v>
      </c>
      <c r="AX57" s="189">
        <f t="shared" ref="AX57" si="166">IFERROR(AX29/$B57,0)</f>
        <v>9.2562001983474797E-9</v>
      </c>
      <c r="AY57" s="49">
        <f>IF(AW57=".",".",up_RadSpec!$F$29*AY29*$B$57)</f>
        <v>7.9406234118749994</v>
      </c>
    </row>
    <row r="58" spans="1:51" x14ac:dyDescent="0.25">
      <c r="A58" s="48" t="s">
        <v>1079</v>
      </c>
      <c r="B58" s="15">
        <v>1</v>
      </c>
      <c r="C58" s="238"/>
      <c r="D58" s="60">
        <f t="shared" ref="D58:I58" si="167">IFERROR(D16/$B58,".")</f>
        <v>0.33057851239669422</v>
      </c>
      <c r="E58" s="60">
        <f t="shared" si="167"/>
        <v>3089.9917851942919</v>
      </c>
      <c r="F58" s="60">
        <f t="shared" si="167"/>
        <v>4249701.1279172543</v>
      </c>
      <c r="G58" s="60">
        <f t="shared" si="167"/>
        <v>3.2968835384132272E-5</v>
      </c>
      <c r="H58" s="60">
        <f t="shared" si="167"/>
        <v>1.6528925619834712E-4</v>
      </c>
      <c r="I58" s="60">
        <f t="shared" si="167"/>
        <v>3.2965547354144031E-5</v>
      </c>
      <c r="J58" s="189">
        <f>IFERROR(J16/$B58,0)</f>
        <v>9.691870922118345E-14</v>
      </c>
      <c r="K58" s="49">
        <f>IF(D58=".",".",up_RadSpec!$E$16*K16*$B$58)</f>
        <v>75.625</v>
      </c>
      <c r="L58" s="49">
        <f>IF(E58=".",".",up_RadSpec!$H$16*L16*$B$58)</f>
        <v>8.0906363957948379E-3</v>
      </c>
      <c r="M58" s="49">
        <f>IF(F58=".",".",up_RadSpec!$G$16*M16*$B$58)</f>
        <v>5.8827666340508767E-6</v>
      </c>
      <c r="N58" s="49">
        <f>up_b2s!AC58</f>
        <v>758291.875</v>
      </c>
      <c r="O58" s="49">
        <f t="shared" si="122"/>
        <v>758367.50809651916</v>
      </c>
      <c r="P58" s="60">
        <f>IFERROR(P16/$B58,".")</f>
        <v>4249701.1279172543</v>
      </c>
      <c r="Q58" s="60">
        <f>IFERROR(Q16/$B58,".")</f>
        <v>7568571.8978401944</v>
      </c>
      <c r="R58" s="60">
        <f>IFERROR(R16/$B58,".")</f>
        <v>4546743.3645543214</v>
      </c>
      <c r="S58" s="60">
        <f>IFERROR(S16/$B58,".")</f>
        <v>4570236.0766923204</v>
      </c>
      <c r="T58" s="60">
        <f>IFERROR(T16/$B58,".")</f>
        <v>176969696.96969697</v>
      </c>
      <c r="U58" s="189">
        <f t="shared" ref="U58:Y58" si="168">IFERROR(U16/$B58,0)</f>
        <v>1.2494121316076728E-2</v>
      </c>
      <c r="V58" s="189">
        <f t="shared" si="168"/>
        <v>2.2251601379650175E-2</v>
      </c>
      <c r="W58" s="189">
        <f t="shared" si="168"/>
        <v>1.3367425491789705E-2</v>
      </c>
      <c r="X58" s="189">
        <f t="shared" si="168"/>
        <v>1.3436494065475424E-2</v>
      </c>
      <c r="Y58" s="189">
        <f t="shared" si="168"/>
        <v>0.52029090909090914</v>
      </c>
      <c r="Z58" s="49">
        <f>IF(P58=".",".",up_RadSpec!$G$16*Z16*$B$58)</f>
        <v>5.8827666340508767E-6</v>
      </c>
      <c r="AA58" s="49">
        <f>IF(Q58=".",".",up_RadSpec!$N$16*AA16*$B$58)</f>
        <v>3.3031330530313289E-6</v>
      </c>
      <c r="AB58" s="49">
        <f>IF(R58=".",".",up_RadSpec!$O$16*AB16*$B$58)</f>
        <v>5.4984409709366871E-6</v>
      </c>
      <c r="AC58" s="49">
        <f>IF(S58=".",".",up_RadSpec!$P$16*AC16*$B$58)</f>
        <v>5.4701769406392654E-6</v>
      </c>
      <c r="AD58" s="49">
        <f>IF(T58=".",".",up_RadSpec!$L$16*AD16*$B$58)</f>
        <v>1.4126712328767122E-7</v>
      </c>
      <c r="AE58" s="60">
        <f>IFERROR(AE16/$B58,".")</f>
        <v>9.9740259740259754E-3</v>
      </c>
      <c r="AF58" s="60">
        <f>IFERROR(AF16/$B58,".")</f>
        <v>63.709090909090911</v>
      </c>
      <c r="AG58" s="60">
        <f>IFERROR(AG16/$B58,".")</f>
        <v>9.9724647271019675E-3</v>
      </c>
      <c r="AH58" s="189">
        <f t="shared" ref="AH58" si="169">IFERROR(AH16/$B58,0)</f>
        <v>2.9319046297679789E-14</v>
      </c>
      <c r="AI58" s="49">
        <f>IF(AE58=".",".",up_RadSpec!$H$16*AI16*$B$58)</f>
        <v>2506.5104166666661</v>
      </c>
      <c r="AJ58" s="49">
        <f>IF(AF58=".",".",up_RadSpec!$K$16*AJ16*$B$58)</f>
        <v>0.39240867579908678</v>
      </c>
      <c r="AK58" s="49">
        <f t="shared" si="38"/>
        <v>2506.9028253424653</v>
      </c>
      <c r="AL58" s="60">
        <f>IFERROR(AL16/$B58,".")</f>
        <v>3.6363636363636364E-3</v>
      </c>
      <c r="AM58" s="60" t="str">
        <f>IFERROR(AM16,".")</f>
        <v>.</v>
      </c>
      <c r="AN58" s="60">
        <f>IFERROR(AN16/$B58,".")</f>
        <v>39.81818181818182</v>
      </c>
      <c r="AO58" s="60">
        <f>IFERROR(AO16/$B58,".")</f>
        <v>1.6443412786038033E-4</v>
      </c>
      <c r="AP58" s="60">
        <f>IFERROR(AP16/$B58,".")</f>
        <v>1.5731958335636468E-4</v>
      </c>
      <c r="AQ58" s="189">
        <f t="shared" ref="AQ58" si="170">IFERROR(AQ16/$B58,0)</f>
        <v>4.6251957506771222E-16</v>
      </c>
      <c r="AR58" s="49">
        <f>IF(AL58=".",".",up_RadSpec!$I$16*AR16*$B$58)</f>
        <v>6875</v>
      </c>
      <c r="AS58" s="49" t="str">
        <f>IF(AM58=".",".",up_RadSpec!$H$16*AS16*$B$58)</f>
        <v>.</v>
      </c>
      <c r="AT58" s="49">
        <f>IF(AN58=".",".",up_RadSpec!$M$16*AT16*$B$58)</f>
        <v>0.62785388127853881</v>
      </c>
      <c r="AU58" s="49">
        <f>up_b2w!AC58</f>
        <v>152036.56519057468</v>
      </c>
      <c r="AV58" s="49">
        <f t="shared" si="42"/>
        <v>158912.19304445595</v>
      </c>
      <c r="AW58" s="60">
        <f>IFERROR(AW16/$B58,".")</f>
        <v>6.6115702479338848E-4</v>
      </c>
      <c r="AX58" s="189">
        <f t="shared" ref="AX58" si="171">IFERROR(AX16/$B58,0)</f>
        <v>1.9438016528925621E-12</v>
      </c>
      <c r="AY58" s="49">
        <f>IF(AW58=".",".",up_RadSpec!$F$16*AY16*$B$58)</f>
        <v>37812.5</v>
      </c>
    </row>
    <row r="59" spans="1:51" x14ac:dyDescent="0.25">
      <c r="A59" s="48" t="s">
        <v>1080</v>
      </c>
      <c r="B59" s="15">
        <v>1</v>
      </c>
      <c r="C59" s="238"/>
      <c r="D59" s="60">
        <f t="shared" ref="D59:I59" si="172">IFERROR(D7/$B59,".")</f>
        <v>0.33057851239669422</v>
      </c>
      <c r="E59" s="60">
        <f t="shared" si="172"/>
        <v>3089.9917851942919</v>
      </c>
      <c r="F59" s="60">
        <f t="shared" si="172"/>
        <v>510.24109710241078</v>
      </c>
      <c r="G59" s="60">
        <f t="shared" si="172"/>
        <v>3.2968835384132272E-5</v>
      </c>
      <c r="H59" s="60">
        <f t="shared" si="172"/>
        <v>1.6528925619834712E-4</v>
      </c>
      <c r="I59" s="60">
        <f t="shared" si="172"/>
        <v>3.2965545224568869E-5</v>
      </c>
      <c r="J59" s="189">
        <f>IFERROR(J7/$B59,0)</f>
        <v>9.6918702960232479E-14</v>
      </c>
      <c r="K59" s="49">
        <f>IF(D59=".",".",up_RadSpec!$E$7*K7*$B$59)</f>
        <v>75.625</v>
      </c>
      <c r="L59" s="49">
        <f>IF(E59=".",".",up_RadSpec!$H$7*L7*$B$59)</f>
        <v>8.0906363957948379E-3</v>
      </c>
      <c r="M59" s="49">
        <f>IF(F59=".",".",up_RadSpec!$G$7*M7*$B$59)</f>
        <v>4.8996445292179662E-2</v>
      </c>
      <c r="N59" s="49">
        <f>up_b2s!AC59</f>
        <v>758291.875</v>
      </c>
      <c r="O59" s="49">
        <f t="shared" si="122"/>
        <v>758367.55708708172</v>
      </c>
      <c r="P59" s="60">
        <f>IFERROR(P7/$B59,".")</f>
        <v>510.24109710241078</v>
      </c>
      <c r="Q59" s="60">
        <f>IFERROR(Q7/$B59,".")</f>
        <v>811.73075290722397</v>
      </c>
      <c r="R59" s="60">
        <f>IFERROR(R7/$B59,".")</f>
        <v>594.69696969696975</v>
      </c>
      <c r="S59" s="60">
        <f>IFERROR(S7/$B59,".")</f>
        <v>547.06310932241604</v>
      </c>
      <c r="T59" s="60">
        <f>IFERROR(T7/$B59,".")</f>
        <v>1389.1242447392176</v>
      </c>
      <c r="U59" s="189">
        <f t="shared" ref="U59:Y59" si="173">IFERROR(U7/$B59,0)</f>
        <v>1.5001088254810878E-6</v>
      </c>
      <c r="V59" s="189">
        <f t="shared" si="173"/>
        <v>2.3864884135472385E-6</v>
      </c>
      <c r="W59" s="189">
        <f t="shared" si="173"/>
        <v>1.7484090909090912E-6</v>
      </c>
      <c r="X59" s="189">
        <f t="shared" si="173"/>
        <v>1.6083655414079035E-6</v>
      </c>
      <c r="Y59" s="189">
        <f t="shared" si="173"/>
        <v>4.0840252795333005E-6</v>
      </c>
      <c r="Z59" s="49">
        <f>IF(P59=".",".",up_RadSpec!$G$7*Z7*$B$59)</f>
        <v>4.8996445292179662E-2</v>
      </c>
      <c r="AA59" s="49">
        <f>IF(Q59=".",".",up_RadSpec!$N$7*AA7*$B$59)</f>
        <v>3.0798389626686167E-2</v>
      </c>
      <c r="AB59" s="49">
        <f>IF(R59=".",".",up_RadSpec!$O$7*AB7*$B$59)</f>
        <v>4.2038216560509545E-2</v>
      </c>
      <c r="AC59" s="49">
        <f>IF(S59=".",".",up_RadSpec!$P$7*AC7*$B$59)</f>
        <v>4.5698566717402342E-2</v>
      </c>
      <c r="AD59" s="49">
        <f>IF(T59=".",".",up_RadSpec!$L$7*AD7*$B$59)</f>
        <v>1.7996950304969506E-2</v>
      </c>
      <c r="AE59" s="60">
        <f>IFERROR(AE7/$B59,".")</f>
        <v>9.9740259740259754E-3</v>
      </c>
      <c r="AF59" s="60">
        <f>IFERROR(AF7/$B59,".")</f>
        <v>63.709090909090911</v>
      </c>
      <c r="AG59" s="60">
        <f>IFERROR(AG7/$B59,".")</f>
        <v>9.9724647271019675E-3</v>
      </c>
      <c r="AH59" s="189">
        <f t="shared" ref="AH59" si="174">IFERROR(AH7/$B59,0)</f>
        <v>2.9319046297679789E-14</v>
      </c>
      <c r="AI59" s="49">
        <f>IF(AE59=".",".",up_RadSpec!$H$7*AI7*$B$59)</f>
        <v>2506.5104166666661</v>
      </c>
      <c r="AJ59" s="49">
        <f>IF(AF59=".",".",up_RadSpec!$K$7*AJ7*$B$59)</f>
        <v>0.39240867579908678</v>
      </c>
      <c r="AK59" s="49">
        <f t="shared" si="38"/>
        <v>2506.9028253424653</v>
      </c>
      <c r="AL59" s="60">
        <f>IFERROR(AL7/$B59,".")</f>
        <v>3.6363636363636364E-3</v>
      </c>
      <c r="AM59" s="60" t="str">
        <f>IFERROR(AM7,".")</f>
        <v>.</v>
      </c>
      <c r="AN59" s="60">
        <f>IFERROR(AN7/$B59,".")</f>
        <v>39.81818181818182</v>
      </c>
      <c r="AO59" s="60">
        <f>IFERROR(AO7/$B59,".")</f>
        <v>1.6443412786038033E-4</v>
      </c>
      <c r="AP59" s="60">
        <f>IFERROR(AP7/$B59,".")</f>
        <v>1.5731958335636468E-4</v>
      </c>
      <c r="AQ59" s="189">
        <f t="shared" ref="AQ59" si="175">IFERROR(AQ7/$B59,0)</f>
        <v>4.6251957506771222E-16</v>
      </c>
      <c r="AR59" s="49">
        <f>IF(AL59=".",".",up_RadSpec!$I$7*AR7*$B$59)</f>
        <v>6875</v>
      </c>
      <c r="AS59" s="49" t="str">
        <f>IF(AM59=".",".",up_RadSpec!$H$7*AS7*$B$59)</f>
        <v>.</v>
      </c>
      <c r="AT59" s="49">
        <f>IF(AN59=".",".",up_RadSpec!$M$7*AT7*$B$59)</f>
        <v>0.62785388127853881</v>
      </c>
      <c r="AU59" s="49">
        <f>up_b2w!AC59</f>
        <v>152036.56519057468</v>
      </c>
      <c r="AV59" s="49">
        <f t="shared" si="42"/>
        <v>158912.19304445595</v>
      </c>
      <c r="AW59" s="60">
        <f>IFERROR(AW7/$B59,".")</f>
        <v>6.6115702479338848E-4</v>
      </c>
      <c r="AX59" s="189">
        <f t="shared" ref="AX59" si="176">IFERROR(AX7/$B59,0)</f>
        <v>1.9438016528925621E-12</v>
      </c>
      <c r="AY59" s="49">
        <f>IF(AW59=".",".",up_RadSpec!$F$7*AY7*$B$59)</f>
        <v>37812.5</v>
      </c>
    </row>
    <row r="60" spans="1:51" x14ac:dyDescent="0.25">
      <c r="A60" s="48" t="s">
        <v>1081</v>
      </c>
      <c r="B60" s="15">
        <v>1.9000000000000001E-8</v>
      </c>
      <c r="C60" s="241"/>
      <c r="D60" s="60">
        <f t="shared" ref="D60:I60" si="177">IFERROR(D12/$B60,".")</f>
        <v>17398869.073510222</v>
      </c>
      <c r="E60" s="60">
        <f t="shared" si="177"/>
        <v>162631146589.17325</v>
      </c>
      <c r="F60" s="60">
        <f t="shared" si="177"/>
        <v>20842707110.830246</v>
      </c>
      <c r="G60" s="60">
        <f t="shared" si="177"/>
        <v>1735.2018623227509</v>
      </c>
      <c r="H60" s="60">
        <f t="shared" si="177"/>
        <v>8699.4345367551105</v>
      </c>
      <c r="I60" s="60">
        <f t="shared" si="177"/>
        <v>1735.0286636957012</v>
      </c>
      <c r="J60" s="189">
        <f>IFERROR(J12/$B60,0)</f>
        <v>5.0038226660984025E-6</v>
      </c>
      <c r="K60" s="49">
        <f>IF(D60=".",".",up_RadSpec!$E$12*K12*$B$60)</f>
        <v>1.4368750000000001E-6</v>
      </c>
      <c r="L60" s="49">
        <f>IF(E60=".",".",up_RadSpec!$H$12*L12*$B$60)</f>
        <v>1.5372209152010192E-10</v>
      </c>
      <c r="M60" s="49">
        <f>IF(F60=".",".",up_RadSpec!$G$12*M12*$B$60)</f>
        <v>1.1994603132435494E-9</v>
      </c>
      <c r="N60" s="49">
        <f>up_b2s!AC60</f>
        <v>1.4407545625000002E-2</v>
      </c>
      <c r="O60" s="49">
        <f t="shared" si="122"/>
        <v>1.4408983853182407E-2</v>
      </c>
      <c r="P60" s="60">
        <f>IFERROR(P12/$B60,".")</f>
        <v>20842707110.830246</v>
      </c>
      <c r="Q60" s="60">
        <f>IFERROR(Q12/$B60,".")</f>
        <v>37393153339.235344</v>
      </c>
      <c r="R60" s="60">
        <f>IFERROR(R12/$B60,".")</f>
        <v>27113313130.457554</v>
      </c>
      <c r="S60" s="60">
        <f>IFERROR(S12/$B60,".")</f>
        <v>23944837028.216114</v>
      </c>
      <c r="T60" s="60">
        <f>IFERROR(T12/$B60,".")</f>
        <v>64549902895.767548</v>
      </c>
      <c r="U60" s="189">
        <f t="shared" ref="U60:Y60" si="178">IFERROR(U12/$B60,0)</f>
        <v>60.110367307634426</v>
      </c>
      <c r="V60" s="189">
        <f t="shared" si="178"/>
        <v>107.84185423035473</v>
      </c>
      <c r="W60" s="189">
        <f t="shared" si="178"/>
        <v>78.1947950682396</v>
      </c>
      <c r="X60" s="189">
        <f t="shared" si="178"/>
        <v>69.056909989375285</v>
      </c>
      <c r="Y60" s="189">
        <f t="shared" si="178"/>
        <v>186.1619199513936</v>
      </c>
      <c r="Z60" s="49">
        <f>IF(P60=".",".",up_RadSpec!$G$12*Z12*$B$60)</f>
        <v>1.1994603132435494E-9</v>
      </c>
      <c r="AA60" s="49">
        <f>IF(Q60=".",".",up_RadSpec!$N$12*AA12*$B$60)</f>
        <v>6.6857159045124879E-10</v>
      </c>
      <c r="AB60" s="49">
        <f>IF(R60=".",".",up_RadSpec!$O$12*AB12*$B$60)</f>
        <v>9.220562562646179E-10</v>
      </c>
      <c r="AC60" s="49">
        <f>IF(S60=".",".",up_RadSpec!$P$12*AC12*$B$60)</f>
        <v>1.0440664085765337E-9</v>
      </c>
      <c r="AD60" s="49">
        <f>IF(T60=".",".",up_RadSpec!$L$12*AD12*$B$60)</f>
        <v>3.872972518699051E-10</v>
      </c>
      <c r="AE60" s="60">
        <f>IFERROR(AE12/$B60,".")</f>
        <v>524948.73547505133</v>
      </c>
      <c r="AF60" s="60">
        <f>IFERROR(AF12/$B60,".")</f>
        <v>3353110047.84689</v>
      </c>
      <c r="AG60" s="60">
        <f>IFERROR(AG12/$B60,".")</f>
        <v>524866.56458431401</v>
      </c>
      <c r="AH60" s="189">
        <f t="shared" ref="AH60" si="179">IFERROR(AH12/$B60,0)</f>
        <v>1.5137151722611618E-6</v>
      </c>
      <c r="AI60" s="49">
        <f>IF(AE60=".",".",up_RadSpec!$H$12*AI12*$B$60)</f>
        <v>4.762369791666666E-5</v>
      </c>
      <c r="AJ60" s="49">
        <f>IF(AF60=".",".",up_RadSpec!$K$12*AJ12*$B$60)</f>
        <v>7.4557648401826493E-9</v>
      </c>
      <c r="AK60" s="49">
        <f t="shared" si="38"/>
        <v>4.7631153681506843E-5</v>
      </c>
      <c r="AL60" s="60">
        <f>IFERROR(AL12/$B60,".")</f>
        <v>191387.55980861242</v>
      </c>
      <c r="AM60" s="60" t="str">
        <f>IFERROR(AM12,".")</f>
        <v>.</v>
      </c>
      <c r="AN60" s="60">
        <f>IFERROR(AN12/$B60,".")</f>
        <v>2095693779.9043062</v>
      </c>
      <c r="AO60" s="60">
        <f>IFERROR(AO12/$B60,".")</f>
        <v>8654.4277821252799</v>
      </c>
      <c r="AP60" s="60">
        <f>IFERROR(AP12/$B60,".")</f>
        <v>8279.9780713876135</v>
      </c>
      <c r="AQ60" s="189">
        <f t="shared" ref="AQ60" si="180">IFERROR(AQ12/$B60,0)</f>
        <v>2.3879456757881884E-8</v>
      </c>
      <c r="AR60" s="49">
        <f>IF(AL60=".",".",up_RadSpec!$I$12*AR12*$B$60)</f>
        <v>1.3062500000000002E-4</v>
      </c>
      <c r="AS60" s="49" t="str">
        <f>IF(AM60=".",".",up_RadSpec!$H$12*AS12*$B$60)</f>
        <v>.</v>
      </c>
      <c r="AT60" s="49">
        <f>IF(AN60=".",".",up_RadSpec!$M$12*AT12*$B$60)</f>
        <v>1.1929223744292239E-8</v>
      </c>
      <c r="AU60" s="49">
        <f>up_b2w!AC60</f>
        <v>2.888694738620919E-3</v>
      </c>
      <c r="AV60" s="49">
        <f t="shared" si="42"/>
        <v>3.0193316678446633E-3</v>
      </c>
      <c r="AW60" s="60">
        <f>IFERROR(AW12/$B60,".")</f>
        <v>34797.738147020442</v>
      </c>
      <c r="AX60" s="189">
        <f t="shared" ref="AX60" si="181">IFERROR(AX12/$B60,0)</f>
        <v>1.0035667681600695E-4</v>
      </c>
      <c r="AY60" s="49">
        <f>IF(AW60=".",".",up_RadSpec!$F$12*AY12*$B$60)</f>
        <v>7.184375E-4</v>
      </c>
    </row>
    <row r="61" spans="1:51" x14ac:dyDescent="0.25">
      <c r="A61" s="48" t="s">
        <v>1082</v>
      </c>
      <c r="B61" s="15">
        <v>1</v>
      </c>
      <c r="C61" s="238"/>
      <c r="D61" s="60">
        <f t="shared" ref="D61:I61" si="182">IFERROR(D18/$B61,".")</f>
        <v>0.33057851239669422</v>
      </c>
      <c r="E61" s="60">
        <f t="shared" si="182"/>
        <v>3089.9917851942919</v>
      </c>
      <c r="F61" s="60">
        <f t="shared" si="182"/>
        <v>198.99502767614223</v>
      </c>
      <c r="G61" s="60">
        <f t="shared" si="182"/>
        <v>3.2968835384132272E-5</v>
      </c>
      <c r="H61" s="60">
        <f t="shared" si="182"/>
        <v>1.6528925619834712E-4</v>
      </c>
      <c r="I61" s="60">
        <f t="shared" si="182"/>
        <v>3.2965541893322932E-5</v>
      </c>
      <c r="J61" s="189">
        <f>IFERROR(J18/$B61,0)</f>
        <v>9.6918693166369434E-14</v>
      </c>
      <c r="K61" s="49">
        <f>IF(D61=".",".",up_RadSpec!$E$18*K18*$B$61)</f>
        <v>75.625</v>
      </c>
      <c r="L61" s="49">
        <f>IF(E61=".",".",up_RadSpec!$H$18*L18*$B$61)</f>
        <v>8.0906363957948379E-3</v>
      </c>
      <c r="M61" s="49">
        <f>IF(F61=".",".",up_RadSpec!$G$18*M18*$B$61)</f>
        <v>0.1256312797960292</v>
      </c>
      <c r="N61" s="49">
        <f>up_b2s!AC61</f>
        <v>758291.875</v>
      </c>
      <c r="O61" s="49">
        <f t="shared" si="122"/>
        <v>758367.63372191624</v>
      </c>
      <c r="P61" s="60">
        <f>IFERROR(P18/$B61,".")</f>
        <v>198.99502767614223</v>
      </c>
      <c r="Q61" s="60">
        <f>IFERROR(Q18/$B61,".")</f>
        <v>393.75339800268989</v>
      </c>
      <c r="R61" s="60">
        <f>IFERROR(R18/$B61,".")</f>
        <v>275.74376135306943</v>
      </c>
      <c r="S61" s="60">
        <f>IFERROR(S18/$B61,".")</f>
        <v>228.45868626050287</v>
      </c>
      <c r="T61" s="60">
        <f>IFERROR(T18/$B61,".")</f>
        <v>669.30846930846917</v>
      </c>
      <c r="U61" s="189">
        <f t="shared" ref="U61:Y61" si="183">IFERROR(U18/$B61,0)</f>
        <v>5.8504538136785824E-7</v>
      </c>
      <c r="V61" s="189">
        <f t="shared" si="183"/>
        <v>1.1576349901279086E-6</v>
      </c>
      <c r="W61" s="189">
        <f t="shared" si="183"/>
        <v>8.1068665837802415E-7</v>
      </c>
      <c r="X61" s="189">
        <f t="shared" si="183"/>
        <v>6.716685376058785E-7</v>
      </c>
      <c r="Y61" s="189">
        <f t="shared" si="183"/>
        <v>1.9677668997668997E-6</v>
      </c>
      <c r="Z61" s="49">
        <f>IF(P61=".",".",up_RadSpec!$G$18*Z18*$B$61)</f>
        <v>0.1256312797960292</v>
      </c>
      <c r="AA61" s="49">
        <f>IF(Q61=".",".",up_RadSpec!$N$18*AA18*$B$61)</f>
        <v>6.3491515569928395E-2</v>
      </c>
      <c r="AB61" s="49">
        <f>IF(R61=".",".",up_RadSpec!$O$18*AB18*$B$61)</f>
        <v>9.0663882574624613E-2</v>
      </c>
      <c r="AC61" s="49">
        <f>IF(S61=".",".",up_RadSpec!$P$18*AC18*$B$61)</f>
        <v>0.10942897558070276</v>
      </c>
      <c r="AD61" s="49">
        <f>IF(T61=".",".",up_RadSpec!$L$18*AD18*$B$61)</f>
        <v>3.7351985140469016E-2</v>
      </c>
      <c r="AE61" s="60">
        <f>IFERROR(AE18/$B61,".")</f>
        <v>9.9740259740259754E-3</v>
      </c>
      <c r="AF61" s="60">
        <f>IFERROR(AF18/$B61,".")</f>
        <v>63.709090909090911</v>
      </c>
      <c r="AG61" s="60">
        <f>IFERROR(AG18/$B61,".")</f>
        <v>9.9724647271019675E-3</v>
      </c>
      <c r="AH61" s="189">
        <f t="shared" ref="AH61" si="184">IFERROR(AH18/$B61,0)</f>
        <v>2.9319046297679789E-14</v>
      </c>
      <c r="AI61" s="49">
        <f>IF(AE61=".",".",up_RadSpec!$H$18*AI18*$B$61)</f>
        <v>2506.5104166666661</v>
      </c>
      <c r="AJ61" s="49">
        <f>IF(AF61=".",".",up_RadSpec!$K$18*AJ18*$B$61)</f>
        <v>0.39240867579908678</v>
      </c>
      <c r="AK61" s="49">
        <f t="shared" si="38"/>
        <v>2506.9028253424653</v>
      </c>
      <c r="AL61" s="60">
        <f>IFERROR(AL18/$B61,".")</f>
        <v>3.6363636363636364E-3</v>
      </c>
      <c r="AM61" s="60" t="str">
        <f>IFERROR(AM18,".")</f>
        <v>.</v>
      </c>
      <c r="AN61" s="60">
        <f>IFERROR(AN18/$B61,".")</f>
        <v>39.81818181818182</v>
      </c>
      <c r="AO61" s="60">
        <f>IFERROR(AO18/$B61,".")</f>
        <v>1.6443412786038033E-4</v>
      </c>
      <c r="AP61" s="60">
        <f>IFERROR(AP18/$B61,".")</f>
        <v>1.5731958335636468E-4</v>
      </c>
      <c r="AQ61" s="189">
        <f t="shared" ref="AQ61" si="185">IFERROR(AQ18/$B61,0)</f>
        <v>4.6251957506771222E-16</v>
      </c>
      <c r="AR61" s="49">
        <f>IF(AL61=".",".",up_RadSpec!$I$18*AR18*$B$61)</f>
        <v>6875</v>
      </c>
      <c r="AS61" s="49" t="str">
        <f>IF(AM61=".",".",up_RadSpec!$H$18*AS18*$B$61)</f>
        <v>.</v>
      </c>
      <c r="AT61" s="49">
        <f>IF(AN61=".",".",up_RadSpec!$M$18*AT18*$B$61)</f>
        <v>0.62785388127853881</v>
      </c>
      <c r="AU61" s="49">
        <f>up_b2w!AC61</f>
        <v>152036.56519057468</v>
      </c>
      <c r="AV61" s="49">
        <f t="shared" si="42"/>
        <v>158912.19304445595</v>
      </c>
      <c r="AW61" s="60">
        <f>IFERROR(AW18/$B61,".")</f>
        <v>6.6115702479338848E-4</v>
      </c>
      <c r="AX61" s="189">
        <f t="shared" ref="AX61" si="186">IFERROR(AX18/$B61,0)</f>
        <v>1.9438016528925621E-12</v>
      </c>
      <c r="AY61" s="49">
        <f>IF(AW61=".",".",up_RadSpec!$F$18*AY18*$B$61)</f>
        <v>37812.5</v>
      </c>
    </row>
    <row r="62" spans="1:51" x14ac:dyDescent="0.25">
      <c r="A62" s="48" t="s">
        <v>1083</v>
      </c>
      <c r="B62" s="15">
        <v>1.339E-6</v>
      </c>
      <c r="C62" s="238"/>
      <c r="D62" s="60">
        <f t="shared" ref="D62:I62" si="187">IFERROR(D27/$B62,".")</f>
        <v>246884.62464278881</v>
      </c>
      <c r="E62" s="60">
        <f t="shared" si="187"/>
        <v>2307686172.6619058</v>
      </c>
      <c r="F62" s="60">
        <f t="shared" si="187"/>
        <v>243894464.06009656</v>
      </c>
      <c r="G62" s="60">
        <f t="shared" si="187"/>
        <v>24.621983109882205</v>
      </c>
      <c r="H62" s="60">
        <f t="shared" si="187"/>
        <v>123.44231232139441</v>
      </c>
      <c r="I62" s="60">
        <f t="shared" si="187"/>
        <v>24.619525038645897</v>
      </c>
      <c r="J62" s="189">
        <f>IFERROR(J27/$B62,0)</f>
        <v>7.1002710211454772E-8</v>
      </c>
      <c r="K62" s="49">
        <f>IF(D62=".",".",up_RadSpec!$E$27*K27*$B$62)</f>
        <v>1.0126187500000001E-4</v>
      </c>
      <c r="L62" s="49">
        <f>IF(E62=".",".",up_RadSpec!$H$27*L27*$B$62)</f>
        <v>1.0833362133969288E-8</v>
      </c>
      <c r="M62" s="49">
        <f>IF(F62=".",".",up_RadSpec!$G$27*M27*$B$62)</f>
        <v>1.0250335158833248E-7</v>
      </c>
      <c r="N62" s="49">
        <f>up_b2s!AC62</f>
        <v>1.015352820625</v>
      </c>
      <c r="O62" s="49">
        <f t="shared" si="122"/>
        <v>1.0154541958367138</v>
      </c>
      <c r="P62" s="60">
        <f>IFERROR(P27/$B62,".")</f>
        <v>243894464.06009656</v>
      </c>
      <c r="Q62" s="60">
        <f>IFERROR(Q27/$B62,".")</f>
        <v>723432588.53223121</v>
      </c>
      <c r="R62" s="60">
        <f>IFERROR(R27/$B62,".")</f>
        <v>443518576.30272853</v>
      </c>
      <c r="S62" s="60">
        <f>IFERROR(S27/$B62,".")</f>
        <v>322642630.06237364</v>
      </c>
      <c r="T62" s="60">
        <f>IFERROR(T27/$B62,".")</f>
        <v>2262884433.0162129</v>
      </c>
      <c r="U62" s="189">
        <f t="shared" ref="U62:Y62" si="188">IFERROR(U27/$B62,0)</f>
        <v>0.70339163434931851</v>
      </c>
      <c r="V62" s="189">
        <f t="shared" si="188"/>
        <v>2.0863795853269549</v>
      </c>
      <c r="W62" s="189">
        <f t="shared" si="188"/>
        <v>1.2791075740570692</v>
      </c>
      <c r="X62" s="189">
        <f t="shared" si="188"/>
        <v>0.93050134509988558</v>
      </c>
      <c r="Y62" s="189">
        <f t="shared" si="188"/>
        <v>6.5261587048187586</v>
      </c>
      <c r="Z62" s="49">
        <f>IF(P62=".",".",up_RadSpec!$G$27*Z27*$B$62)</f>
        <v>1.0250335158833248E-7</v>
      </c>
      <c r="AA62" s="49">
        <f>IF(Q62=".",".",up_RadSpec!$N$27*AA27*$B$62)</f>
        <v>3.4557470034246562E-8</v>
      </c>
      <c r="AB62" s="49">
        <f>IF(R62=".",".",up_RadSpec!$O$27*AB27*$B$62)</f>
        <v>5.6367424806432396E-8</v>
      </c>
      <c r="AC62" s="49">
        <f>IF(S62=".",".",up_RadSpec!$P$27*AC27*$B$62)</f>
        <v>7.7485110988485845E-8</v>
      </c>
      <c r="AD62" s="49">
        <f>IF(T62=".",".",up_RadSpec!$L$27*AD27*$B$62)</f>
        <v>1.1047846560452647E-8</v>
      </c>
      <c r="AE62" s="60">
        <f>IFERROR(AE27/$B62,".")</f>
        <v>7448.8618177938579</v>
      </c>
      <c r="AF62" s="60">
        <f>IFERROR(AF27/$B62,".")</f>
        <v>47579604.861158259</v>
      </c>
      <c r="AG62" s="60">
        <f>IFERROR(AG27/$B62,".")</f>
        <v>7447.6958380149126</v>
      </c>
      <c r="AH62" s="189">
        <f t="shared" ref="AH62" si="189">IFERROR(AH27/$B62,0)</f>
        <v>2.1479154796835008E-8</v>
      </c>
      <c r="AI62" s="49">
        <f>IF(AE62=".",".",up_RadSpec!$H$27*AI27*$B$62)</f>
        <v>3.3562174479166659E-3</v>
      </c>
      <c r="AJ62" s="49">
        <f>IF(AF62=".",".",up_RadSpec!$K$27*AJ27*$B$62)</f>
        <v>5.2543521689497717E-7</v>
      </c>
      <c r="AK62" s="49">
        <f t="shared" si="38"/>
        <v>3.3567428831335609E-3</v>
      </c>
      <c r="AL62" s="60">
        <f>IFERROR(AL27/$B62,".")</f>
        <v>2715.730871070677</v>
      </c>
      <c r="AM62" s="60" t="str">
        <f>IFERROR(AM27,".")</f>
        <v>.</v>
      </c>
      <c r="AN62" s="60">
        <f>IFERROR(AN27/$B62,".")</f>
        <v>29737253.038223915</v>
      </c>
      <c r="AO62" s="60">
        <f>IFERROR(AO27/$B62,".")</f>
        <v>122.80368025420488</v>
      </c>
      <c r="AP62" s="60">
        <f>IFERROR(AP27/$B62,".")</f>
        <v>117.49035351483546</v>
      </c>
      <c r="AQ62" s="189">
        <f t="shared" ref="AQ62" si="190">IFERROR(AQ27/$B62,0)</f>
        <v>3.3884217953678551E-10</v>
      </c>
      <c r="AR62" s="49">
        <f>IF(AL62=".",".",up_RadSpec!$I$27*AR27*$B$62)</f>
        <v>9.2056250000000003E-3</v>
      </c>
      <c r="AS62" s="49" t="str">
        <f>IF(AM62=".",".",up_RadSpec!$H$27*AS27*$B$62)</f>
        <v>.</v>
      </c>
      <c r="AT62" s="49">
        <f>IF(AN62=".",".",up_RadSpec!$M$27*AT27*$B$62)</f>
        <v>8.4069634703196346E-7</v>
      </c>
      <c r="AU62" s="49">
        <f>up_b2w!AC62</f>
        <v>0.20357696079017951</v>
      </c>
      <c r="AV62" s="49">
        <f t="shared" si="42"/>
        <v>0.21278342648652654</v>
      </c>
      <c r="AW62" s="60">
        <f>IFERROR(AW27/$B62,".")</f>
        <v>493.76924928557764</v>
      </c>
      <c r="AX62" s="189">
        <f t="shared" ref="AX62" si="191">IFERROR(AX27/$B62,0)</f>
        <v>1.4240305149396058E-6</v>
      </c>
      <c r="AY62" s="49">
        <f>IF(AW62=".",".",up_RadSpec!$F$27*AY27*$B$62)</f>
        <v>5.0630937500000001E-2</v>
      </c>
    </row>
    <row r="63" spans="1:51" x14ac:dyDescent="0.25">
      <c r="A63" s="57" t="s">
        <v>23</v>
      </c>
      <c r="B63" s="57" t="s">
        <v>1185</v>
      </c>
      <c r="C63" s="57"/>
      <c r="D63" s="58">
        <f t="shared" ref="D63:I63" si="192">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4.1322307035125169E-2</v>
      </c>
      <c r="E63" s="58">
        <f t="shared" si="192"/>
        <v>386.24890758353439</v>
      </c>
      <c r="F63" s="58">
        <f t="shared" si="192"/>
        <v>40.011162796046023</v>
      </c>
      <c r="G63" s="58">
        <f t="shared" si="192"/>
        <v>4.1211037234591777E-6</v>
      </c>
      <c r="H63" s="58">
        <f t="shared" si="192"/>
        <v>2.0661153517562578E-5</v>
      </c>
      <c r="I63" s="59">
        <f t="shared" si="192"/>
        <v>4.1206922954281437E-6</v>
      </c>
      <c r="J63" s="190">
        <f>I63*(0.0000000000028)*up_RadSpec!$AY25*up_RadSpec!$AF25</f>
        <v>1.2807111654190673E-14</v>
      </c>
      <c r="K63" s="47">
        <f>IFERROR(SUM(K64:K76),".")</f>
        <v>605.00010269874997</v>
      </c>
      <c r="L63" s="47">
        <f>IFERROR(SUM(L64:L76),".")</f>
        <v>6.4725102153442932E-2</v>
      </c>
      <c r="M63" s="47">
        <f>IFERROR(SUM(M64:M76),".")</f>
        <v>0.62482562997320712</v>
      </c>
      <c r="N63" s="47">
        <f>IFERROR(SUM(N64:N76),".")</f>
        <v>6066336.0297603663</v>
      </c>
      <c r="O63" s="47">
        <f>IFERROR(SUM(O64:O76),".")</f>
        <v>6066941.7194137974</v>
      </c>
      <c r="P63" s="59">
        <f>IFERROR(1/SUM(IFERROR(1/SUMIF(P64,"&lt;&gt;.",P64),0),IFERROR(1/SUMIF(P65,"&lt;&gt;.",P65),0),IFERROR(1/SUMIF(P66,"&lt;&gt;.",P66),0),IFERROR(1/SUMIF(P67,"&lt;&gt;.",P67),0),IFERROR(1/SUMIF(P68,"&lt;&gt;.",P68),0),IFERROR(1/SUMIF(P69,"&lt;&gt;.",P69),0),IFERROR(1/SUMIF(P70,"&lt;&gt;.",P70),0),IFERROR(1/SUMIF(P71,"&lt;&gt;.",P71),0),IFERROR(1/SUMIF(P72,"&lt;&gt;.",P72),0),IFERROR(1/SUMIF(P73,"&lt;&gt;.",P73),0),IFERROR(1/SUMIF(P74,"&lt;&gt;.",P74),0),IFERROR(1/SUMIF(P75,"&lt;&gt;.",P75),0),IFERROR(1/SUMIF(P76,"&lt;&gt;.",P76),0)),".")</f>
        <v>40.011162796046023</v>
      </c>
      <c r="Q63" s="59">
        <f>IFERROR(1/SUM(IFERROR(1/SUMIF(Q64,"&lt;&gt;.",Q64),0),IFERROR(1/SUMIF(Q65,"&lt;&gt;.",Q65),0),IFERROR(1/SUMIF(Q66,"&lt;&gt;.",Q66),0),IFERROR(1/SUMIF(Q67,"&lt;&gt;.",Q67),0),IFERROR(1/SUMIF(Q68,"&lt;&gt;.",Q68),0),IFERROR(1/SUMIF(Q69,"&lt;&gt;.",Q69),0),IFERROR(1/SUMIF(Q70,"&lt;&gt;.",Q70),0),IFERROR(1/SUMIF(Q71,"&lt;&gt;.",Q71),0),IFERROR(1/SUMIF(Q72,"&lt;&gt;.",Q72),0),IFERROR(1/SUMIF(Q73,"&lt;&gt;.",Q73),0),IFERROR(1/SUMIF(Q74,"&lt;&gt;.",Q74),0),IFERROR(1/SUMIF(Q75,"&lt;&gt;.",Q75),0),IFERROR(1/SUMIF(Q76,"&lt;&gt;.",Q76),0)),".")</f>
        <v>76.220897773030728</v>
      </c>
      <c r="R63" s="59">
        <f>IFERROR(1/SUM(IFERROR(1/SUMIF(R64,"&lt;&gt;.",R64),0),IFERROR(1/SUMIF(R65,"&lt;&gt;.",R65),0),IFERROR(1/SUMIF(R66,"&lt;&gt;.",R66),0),IFERROR(1/SUMIF(R67,"&lt;&gt;.",R67),0),IFERROR(1/SUMIF(R68,"&lt;&gt;.",R68),0),IFERROR(1/SUMIF(R69,"&lt;&gt;.",R69),0),IFERROR(1/SUMIF(R70,"&lt;&gt;.",R70),0),IFERROR(1/SUMIF(R71,"&lt;&gt;.",R71),0),IFERROR(1/SUMIF(R72,"&lt;&gt;.",R72),0),IFERROR(1/SUMIF(R73,"&lt;&gt;.",R73),0),IFERROR(1/SUMIF(R74,"&lt;&gt;.",R74),0),IFERROR(1/SUMIF(R75,"&lt;&gt;.",R75),0),IFERROR(1/SUMIF(R76,"&lt;&gt;.",R76),0)),".")</f>
        <v>54.278629146126725</v>
      </c>
      <c r="S63" s="59">
        <f>IFERROR(1/SUM(IFERROR(1/SUMIF(S64,"&lt;&gt;.",S64),0),IFERROR(1/SUMIF(S65,"&lt;&gt;.",S65),0),IFERROR(1/SUMIF(S66,"&lt;&gt;.",S66),0),IFERROR(1/SUMIF(S67,"&lt;&gt;.",S67),0),IFERROR(1/SUMIF(S68,"&lt;&gt;.",S68),0),IFERROR(1/SUMIF(S69,"&lt;&gt;.",S69),0),IFERROR(1/SUMIF(S70,"&lt;&gt;.",S70),0),IFERROR(1/SUMIF(S71,"&lt;&gt;.",S71),0),IFERROR(1/SUMIF(S72,"&lt;&gt;.",S72),0),IFERROR(1/SUMIF(S73,"&lt;&gt;.",S73),0),IFERROR(1/SUMIF(S74,"&lt;&gt;.",S74),0),IFERROR(1/SUMIF(S75,"&lt;&gt;.",S75),0),IFERROR(1/SUMIF(S76,"&lt;&gt;.",S76),0)),".")</f>
        <v>46.280086897647749</v>
      </c>
      <c r="T63" s="59">
        <f>IFERROR(1/SUM(IFERROR(1/SUMIF(T64,"&lt;&gt;.",T64),0),IFERROR(1/SUMIF(T65,"&lt;&gt;.",T65),0),IFERROR(1/SUMIF(T66,"&lt;&gt;.",T66),0),IFERROR(1/SUMIF(T67,"&lt;&gt;.",T67),0),IFERROR(1/SUMIF(T68,"&lt;&gt;.",T68),0),IFERROR(1/SUMIF(T69,"&lt;&gt;.",T69),0),IFERROR(1/SUMIF(T70,"&lt;&gt;.",T70),0),IFERROR(1/SUMIF(T71,"&lt;&gt;.",T71),0),IFERROR(1/SUMIF(T72,"&lt;&gt;.",T72),0),IFERROR(1/SUMIF(T73,"&lt;&gt;.",T73),0),IFERROR(1/SUMIF(T74,"&lt;&gt;.",T74),0),IFERROR(1/SUMIF(T75,"&lt;&gt;.",T75),0),IFERROR(1/SUMIF(T76,"&lt;&gt;.",T76),0)),".")</f>
        <v>133.8277310656689</v>
      </c>
      <c r="U63" s="190">
        <f>P63*(0.0000000000028)*up_RadSpec!$AY25*up_RadSpec!$AF25</f>
        <v>1.2435469397011105E-7</v>
      </c>
      <c r="V63" s="190">
        <f>Q63*(0.0000000000028)*up_RadSpec!$AY25*up_RadSpec!$AF25</f>
        <v>2.3689455027857951E-7</v>
      </c>
      <c r="W63" s="190">
        <f>R63*(0.0000000000028)*up_RadSpec!$AY25*up_RadSpec!$AF25</f>
        <v>1.6869797938616187E-7</v>
      </c>
      <c r="X63" s="190">
        <f>S63*(0.0000000000028)*up_RadSpec!$AY25*up_RadSpec!$AF25</f>
        <v>1.438385100778892E-7</v>
      </c>
      <c r="Y63" s="190">
        <f>T63*(0.0000000000000028)*up_RadSpec!$AY25*up_RadSpec!$AF25</f>
        <v>4.1593658815209901E-10</v>
      </c>
      <c r="Z63" s="47">
        <f>IFERROR(SUM(Z64:Z76),".")</f>
        <v>0.62482562997320712</v>
      </c>
      <c r="AA63" s="47">
        <f t="shared" ref="AA63:AD63" si="193">IFERROR(SUM(AA64:AA76),".")</f>
        <v>0.327994037467842</v>
      </c>
      <c r="AB63" s="47">
        <f t="shared" si="193"/>
        <v>0.46058642956320817</v>
      </c>
      <c r="AC63" s="47">
        <f t="shared" si="193"/>
        <v>0.54018913264552815</v>
      </c>
      <c r="AD63" s="47">
        <f t="shared" si="193"/>
        <v>0.18680732162852384</v>
      </c>
      <c r="AE63" s="58">
        <f>IFERROR(1/SUM(IFERROR(1/SUMIF(AE64,"&lt;&gt;.",AE64),0),IFERROR(1/SUMIF(AE65,"&lt;&gt;.",AE65),0),IFERROR(1/SUMIF(AE66,"&lt;&gt;.",AE66),0),IFERROR(1/SUMIF(AE67,"&lt;&gt;.",AE67),0),IFERROR(1/SUMIF(AE68,"&lt;&gt;.",AE68),0),IFERROR(1/SUMIF(AE69,"&lt;&gt;.",AE69),0),IFERROR(1/SUMIF(AE70,"&lt;&gt;.",AE70),0),IFERROR(1/SUMIF(AE71,"&lt;&gt;.",AE71),0),IFERROR(1/SUMIF(AE72,"&lt;&gt;.",AE72),0),IFERROR(1/SUMIF(AE73,"&lt;&gt;.",AE73),0),IFERROR(1/SUMIF(AE74,"&lt;&gt;.",AE74),0),IFERROR(1/SUMIF(AE75,"&lt;&gt;.",AE75),0),IFERROR(1/SUMIF(AE76,"&lt;&gt;.",AE76),0)),".")</f>
        <v>1.2467530351169193E-3</v>
      </c>
      <c r="AF63" s="58">
        <f>IFERROR(1/SUM(IFERROR(1/SUMIF(AF64,"&lt;&gt;.",AF64),0),IFERROR(1/SUMIF(AF65,"&lt;&gt;.",AF65),0),IFERROR(1/SUMIF(AF66,"&lt;&gt;.",AF66),0),IFERROR(1/SUMIF(AF67,"&lt;&gt;.",AF67),0),IFERROR(1/SUMIF(AF68,"&lt;&gt;.",AF68),0),IFERROR(1/SUMIF(AF69,"&lt;&gt;.",AF69),0),IFERROR(1/SUMIF(AF70,"&lt;&gt;.",AF70),0),IFERROR(1/SUMIF(AF71,"&lt;&gt;.",AF71),0),IFERROR(1/SUMIF(AF72,"&lt;&gt;.",AF72),0),IFERROR(1/SUMIF(AF73,"&lt;&gt;.",AF73),0),IFERROR(1/SUMIF(AF74,"&lt;&gt;.",AF74),0),IFERROR(1/SUMIF(AF75,"&lt;&gt;.",AF75),0),IFERROR(1/SUMIF(AF76,"&lt;&gt;.",AF76),0)),".")</f>
        <v>7.9636350118093198</v>
      </c>
      <c r="AG63" s="59">
        <f>IFERROR(1/SUM(IFERROR(1/SUMIF(AG64,"&lt;&gt;.",AG64),0),IFERROR(1/SUMIF(AG65,"&lt;&gt;.",AG65),0),IFERROR(1/SUMIF(AG66,"&lt;&gt;.",AG66),0),IFERROR(1/SUMIF(AG67,"&lt;&gt;.",AG67),0),IFERROR(1/SUMIF(AG68,"&lt;&gt;.",AG68),0),IFERROR(1/SUMIF(AG69,"&lt;&gt;.",AG69),0),IFERROR(1/SUMIF(AG70,"&lt;&gt;.",AG70),0),IFERROR(1/SUMIF(AG71,"&lt;&gt;.",AG71),0),IFERROR(1/SUMIF(AG72,"&lt;&gt;.",AG72),0),IFERROR(1/SUMIF(AG73,"&lt;&gt;.",AG73),0),IFERROR(1/SUMIF(AG74,"&lt;&gt;.",AG74),0),IFERROR(1/SUMIF(AG75,"&lt;&gt;.",AG75),0),IFERROR(1/SUMIF(AG76,"&lt;&gt;.",AG76),0)),".")</f>
        <v>1.2465578792845461E-3</v>
      </c>
      <c r="AH63" s="190">
        <f>AG63*(0.0000000000000028)*up_RadSpec!$AY25*up_RadSpec!$AF25</f>
        <v>3.8743018888163697E-15</v>
      </c>
      <c r="AI63" s="47">
        <f t="shared" ref="AI63" si="194">IFERROR(SUM(AI64:AI76),".")</f>
        <v>20052.086737174472</v>
      </c>
      <c r="AJ63" s="47">
        <f t="shared" ref="AJ63:AK63" si="195">IFERROR(SUM(AJ64:AJ76),".")</f>
        <v>3.1392699392836763</v>
      </c>
      <c r="AK63" s="47">
        <f t="shared" si="195"/>
        <v>20055.226007113761</v>
      </c>
      <c r="AL63" s="58">
        <f>IFERROR(1/SUM(IFERROR(1/SUMIF(AL64,"&lt;&gt;.",AL64),0),IFERROR(1/SUMIF(AL65,"&lt;&gt;.",AL65),0),IFERROR(1/SUMIF(AL66,"&lt;&gt;.",AL66),0),IFERROR(1/SUMIF(AL67,"&lt;&gt;.",AL67),0),IFERROR(1/SUMIF(AL68,"&lt;&gt;.",AL68),0),IFERROR(1/SUMIF(AL69,"&lt;&gt;.",AL69),0),IFERROR(1/SUMIF(AL70,"&lt;&gt;.",AL70),0),IFERROR(1/SUMIF(AL71,"&lt;&gt;.",AL71),0),IFERROR(1/SUMIF(AL72,"&lt;&gt;.",AL72),0),IFERROR(1/SUMIF(AL73,"&lt;&gt;.",AL73),0),IFERROR(1/SUMIF(AL74,"&lt;&gt;.",AL74),0),IFERROR(1/SUMIF(AL75,"&lt;&gt;.",AL75),0),IFERROR(1/SUMIF(AL76,"&lt;&gt;.",AL76),0)),".")</f>
        <v>4.5454537738637681E-4</v>
      </c>
      <c r="AM63" s="58">
        <f>IFERROR(1/SUM(IFERROR(1/SUMIF(AM64,"&lt;&gt;.",AM64),0),IFERROR(1/SUMIF(AM65,"&lt;&gt;.",AM65),0),IFERROR(1/SUMIF(AM66,"&lt;&gt;.",AM66),0),IFERROR(1/SUMIF(AM67,"&lt;&gt;.",AM67),0),IFERROR(1/SUMIF(AM68,"&lt;&gt;.",AM68),0),IFERROR(1/SUMIF(AM69,"&lt;&gt;.",AM69),0),IFERROR(1/SUMIF(AM70,"&lt;&gt;.",AM70),0),IFERROR(1/SUMIF(AM71,"&lt;&gt;.",AM71),0),IFERROR(1/SUMIF(AM72,"&lt;&gt;.",AM72),0),IFERROR(1/SUMIF(AM73,"&lt;&gt;.",AM73),0),IFERROR(1/SUMIF(AM74,"&lt;&gt;.",AM74),0),IFERROR(1/SUMIF(AM75,"&lt;&gt;.",AM75),0),IFERROR(1/SUMIF(AM76,"&lt;&gt;.",AM76),0)),".")</f>
        <v>9.959072927753089E-3</v>
      </c>
      <c r="AN63" s="58">
        <f>IFERROR(1/SUM(IFERROR(1/SUMIF(AN64,"&lt;&gt;.",AN64),0),IFERROR(1/SUMIF(AN65,"&lt;&gt;.",AN65),0),IFERROR(1/SUMIF(AN66,"&lt;&gt;.",AN66),0),IFERROR(1/SUMIF(AN67,"&lt;&gt;.",AN67),0),IFERROR(1/SUMIF(AN68,"&lt;&gt;.",AN68),0),IFERROR(1/SUMIF(AN69,"&lt;&gt;.",AN69),0),IFERROR(1/SUMIF(AN70,"&lt;&gt;.",AN70),0),IFERROR(1/SUMIF(AN71,"&lt;&gt;.",AN71),0),IFERROR(1/SUMIF(AN72,"&lt;&gt;.",AN72),0),IFERROR(1/SUMIF(AN73,"&lt;&gt;.",AN73),0),IFERROR(1/SUMIF(AN74,"&lt;&gt;.",AN74),0),IFERROR(1/SUMIF(AN75,"&lt;&gt;.",AN75),0),IFERROR(1/SUMIF(AN76,"&lt;&gt;.",AN76),0)),".")</f>
        <v>4.9772718823808253</v>
      </c>
      <c r="AO63" s="58">
        <f>IFERROR(1/SUM(IFERROR(1/SUMIF(AO64,"&lt;&gt;.",AO64),0),IFERROR(1/SUMIF(AO65,"&lt;&gt;.",AO65),0),IFERROR(1/SUMIF(AO66,"&lt;&gt;.",AO66),0),IFERROR(1/SUMIF(AO67,"&lt;&gt;.",AO67),0),IFERROR(1/SUMIF(AO68,"&lt;&gt;.",AO68),0),IFERROR(1/SUMIF(AO69,"&lt;&gt;.",AO69),0),IFERROR(1/SUMIF(AO70,"&lt;&gt;.",AO70),0),IFERROR(1/SUMIF(AO71,"&lt;&gt;.",AO71),0),IFERROR(1/SUMIF(AO72,"&lt;&gt;.",AO72),0),IFERROR(1/SUMIF(AO73,"&lt;&gt;.",AO73),0),IFERROR(1/SUMIF(AO74,"&lt;&gt;.",AO74),0),IFERROR(1/SUMIF(AO75,"&lt;&gt;.",AO75),0),IFERROR(1/SUMIF(AO76,"&lt;&gt;.",AO76),0)),".")</f>
        <v>2.0554262493461483E-5</v>
      </c>
      <c r="AP63" s="59">
        <f>IFERROR(1/SUM(IFERROR(1/SUMIF(AP64,"&lt;&gt;.",AP64),0),IFERROR(1/SUMIF(AP65,"&lt;&gt;.",AP65),0),IFERROR(1/SUMIF(AP66,"&lt;&gt;.",AP66),0),IFERROR(1/SUMIF(AP67,"&lt;&gt;.",AP67),0),IFERROR(1/SUMIF(AP68,"&lt;&gt;.",AP68),0),IFERROR(1/SUMIF(AP69,"&lt;&gt;.",AP69),0),IFERROR(1/SUMIF(AP70,"&lt;&gt;.",AP70),0),IFERROR(1/SUMIF(AP71,"&lt;&gt;.",AP71),0),IFERROR(1/SUMIF(AP72,"&lt;&gt;.",AP72),0),IFERROR(1/SUMIF(AP73,"&lt;&gt;.",AP73),0),IFERROR(1/SUMIF(AP74,"&lt;&gt;.",AP74),0),IFERROR(1/SUMIF(AP75,"&lt;&gt;.",AP75),0),IFERROR(1/SUMIF(AP76,"&lt;&gt;.",AP76),0)),".")</f>
        <v>1.9626195037537442E-5</v>
      </c>
      <c r="AQ63" s="190">
        <f>AP63*(0.0000000000000028)*up_RadSpec!$AY25*up_RadSpec!$AF25</f>
        <v>6.0998214176666385E-17</v>
      </c>
      <c r="AR63" s="47">
        <f t="shared" ref="AR63" si="196">IFERROR(SUM(AR64:AR76),".")</f>
        <v>55000.009336249997</v>
      </c>
      <c r="AS63" s="47">
        <f t="shared" ref="AS63:AV63" si="197">IFERROR(SUM(AS64:AS76),".")</f>
        <v>2510.0233770437644</v>
      </c>
      <c r="AT63" s="47">
        <f t="shared" si="197"/>
        <v>5.0228319028538824</v>
      </c>
      <c r="AU63" s="47">
        <f t="shared" si="197"/>
        <v>1216292.7279902527</v>
      </c>
      <c r="AV63" s="47">
        <f t="shared" si="197"/>
        <v>1273807.7835354495</v>
      </c>
      <c r="AW63" s="59">
        <f>IFERROR(1/SUM(IFERROR(1/SUMIF(AW64,"&lt;&gt;.",AW64),0),IFERROR(1/SUMIF(AW65,"&lt;&gt;.",AW65),0),IFERROR(1/SUMIF(AW66,"&lt;&gt;.",AW66),0),IFERROR(1/SUMIF(AW67,"&lt;&gt;.",AW67),0),IFERROR(1/SUMIF(AW68,"&lt;&gt;.",AW68),0),IFERROR(1/SUMIF(AW69,"&lt;&gt;.",AW69),0),IFERROR(1/SUMIF(AW70,"&lt;&gt;.",AW70),0),IFERROR(1/SUMIF(AW71,"&lt;&gt;.",AW71),0),IFERROR(1/SUMIF(AW72,"&lt;&gt;.",AW72),0),IFERROR(1/SUMIF(AW73,"&lt;&gt;.",AW73),0),IFERROR(1/SUMIF(AW74,"&lt;&gt;.",AW74),0),IFERROR(1/SUMIF(AW75,"&lt;&gt;.",AW75),0),IFERROR(1/SUMIF(AW76,"&lt;&gt;.",AW76),0)),".")</f>
        <v>8.2644614070250314E-5</v>
      </c>
      <c r="AX63" s="190">
        <f>AW63*(0.0000000000028)*up_RadSpec!$AY25*up_RadSpec!$AF25</f>
        <v>2.5685946053033798E-13</v>
      </c>
      <c r="AY63" s="47">
        <f t="shared" ref="AY63" si="198">IFERROR(SUM(AY64:AY76),".")</f>
        <v>302500.05134937499</v>
      </c>
    </row>
    <row r="64" spans="1:51" x14ac:dyDescent="0.25">
      <c r="A64" s="48" t="s">
        <v>1073</v>
      </c>
      <c r="B64" s="45">
        <v>1</v>
      </c>
      <c r="C64" s="170"/>
      <c r="D64" s="60">
        <f t="shared" ref="D64:I64" si="199">IFERROR(D25/$B50,".")</f>
        <v>0.33057851239669422</v>
      </c>
      <c r="E64" s="60">
        <f t="shared" si="199"/>
        <v>3089.9917851942919</v>
      </c>
      <c r="F64" s="60">
        <f t="shared" si="199"/>
        <v>284.28866983083856</v>
      </c>
      <c r="G64" s="60">
        <f t="shared" si="199"/>
        <v>3.2968835384132272E-5</v>
      </c>
      <c r="H64" s="60">
        <f t="shared" si="199"/>
        <v>1.6528925619834712E-4</v>
      </c>
      <c r="I64" s="60">
        <f t="shared" si="199"/>
        <v>3.2965543531781039E-5</v>
      </c>
      <c r="J64" s="189">
        <f>IFERROR(J25/$B50,0)</f>
        <v>1.0245690929677549E-13</v>
      </c>
      <c r="K64" s="49">
        <f>IF(D64=".",".",up_RadSpec!$E$25*K25*$B$64)</f>
        <v>75.625</v>
      </c>
      <c r="L64" s="49">
        <f>IF(E64=".",".",up_RadSpec!$H$25*L25*$B$64)</f>
        <v>8.0906363957948379E-3</v>
      </c>
      <c r="M64" s="49">
        <f>IF(F64=".",".",up_RadSpec!$G$25*M25*$B$64)</f>
        <v>8.7938784246575336E-2</v>
      </c>
      <c r="N64" s="49">
        <f>up_b2s!AC64</f>
        <v>758291.875</v>
      </c>
      <c r="O64" s="49">
        <f t="shared" ref="O64:O76" si="200">IFERROR(SUM(K64:N64),".")</f>
        <v>758367.59602942062</v>
      </c>
      <c r="P64" s="60">
        <f>IFERROR(P25/$B50,".")</f>
        <v>284.28866983083856</v>
      </c>
      <c r="Q64" s="60">
        <f>IFERROR(Q25/$B50,".")</f>
        <v>509.10201418675985</v>
      </c>
      <c r="R64" s="60">
        <f>IFERROR(R25/$B50,".")</f>
        <v>365.1816348445563</v>
      </c>
      <c r="S64" s="60">
        <f>IFERROR(S25/$B50,".")</f>
        <v>326.09800745393966</v>
      </c>
      <c r="T64" s="60">
        <f>IFERROR(T25/$B50,".")</f>
        <v>912.76400367309452</v>
      </c>
      <c r="U64" s="189">
        <f t="shared" ref="U64:Y64" si="201">IFERROR(U25/$B50,0)</f>
        <v>8.8356918583424627E-7</v>
      </c>
      <c r="V64" s="189">
        <f t="shared" si="201"/>
        <v>1.5822890600924496E-6</v>
      </c>
      <c r="W64" s="189">
        <f t="shared" si="201"/>
        <v>1.1349845210968809E-6</v>
      </c>
      <c r="X64" s="189">
        <f t="shared" si="201"/>
        <v>1.0135126071668445E-6</v>
      </c>
      <c r="Y64" s="189">
        <f t="shared" si="201"/>
        <v>2.8368705234159777E-6</v>
      </c>
      <c r="Z64" s="49">
        <f>IF(P64=".",".",up_RadSpec!$G$25*Z25*$B$64)</f>
        <v>8.7938784246575336E-2</v>
      </c>
      <c r="AA64" s="49">
        <f>IF(Q64=".",".",up_RadSpec!$N$25*AA25*$B$64)</f>
        <v>4.9106071677864072E-2</v>
      </c>
      <c r="AB64" s="49">
        <f>IF(R64=".",".",up_RadSpec!$O$25*AB25*$B$64)</f>
        <v>6.8459083411030602E-2</v>
      </c>
      <c r="AC64" s="49">
        <f>IF(S64=".",".",up_RadSpec!$P$25*AC25*$B$64)</f>
        <v>7.6664068557766876E-2</v>
      </c>
      <c r="AD64" s="49">
        <f>IF(T64=".",".",up_RadSpec!$L$25*AD25*$B$64)</f>
        <v>2.7389336016096583E-2</v>
      </c>
      <c r="AE64" s="60">
        <f>IFERROR(AE25/$B50,".")</f>
        <v>9.9740259740259754E-3</v>
      </c>
      <c r="AF64" s="60">
        <f>IFERROR(AF25/$B50,".")</f>
        <v>63.709090909090911</v>
      </c>
      <c r="AG64" s="60">
        <f>IFERROR(AG25/$B50,".")</f>
        <v>9.9724647271019675E-3</v>
      </c>
      <c r="AH64" s="189">
        <f t="shared" ref="AH64" si="202">IFERROR(AH25/$B50,0)</f>
        <v>3.0994420371832921E-14</v>
      </c>
      <c r="AI64" s="49">
        <f>IF(AE64=".",".",up_RadSpec!$H$25*AI25*$B$64)</f>
        <v>2506.5104166666661</v>
      </c>
      <c r="AJ64" s="49">
        <f>IF(AF64=".",".",up_RadSpec!$K$25*AJ25*$B$64)</f>
        <v>0.39240867579908678</v>
      </c>
      <c r="AK64" s="49">
        <f t="shared" si="38"/>
        <v>2506.9028253424653</v>
      </c>
      <c r="AL64" s="60">
        <f>IFERROR(AL25/$B50,".")</f>
        <v>3.6363636363636364E-3</v>
      </c>
      <c r="AM64" s="60">
        <f>IFERROR(AM25,".")</f>
        <v>1.9948051948051951E-2</v>
      </c>
      <c r="AN64" s="60">
        <f>IFERROR(AN25/$B50,".")</f>
        <v>39.81818181818182</v>
      </c>
      <c r="AO64" s="60">
        <f>IFERROR(AO25/$B50,".")</f>
        <v>1.6443412786038033E-4</v>
      </c>
      <c r="AP64" s="60">
        <f>IFERROR(AP25/$B50,".")</f>
        <v>1.5608859634034475E-4</v>
      </c>
      <c r="AQ64" s="189">
        <f t="shared" ref="AQ64" si="203">IFERROR(AQ25/$B50,0)</f>
        <v>4.8512335742579153E-16</v>
      </c>
      <c r="AR64" s="49">
        <f>IF(AL64=".",".",up_RadSpec!$I$25*AR25*$B$64)</f>
        <v>6875</v>
      </c>
      <c r="AS64" s="49">
        <f>IF(AM64=".",".",up_RadSpec!$H$25*AS25*$B$64)</f>
        <v>1253.255208333333</v>
      </c>
      <c r="AT64" s="49">
        <f>IF(AN64=".",".",up_RadSpec!$M$25*AT25*$B$64)</f>
        <v>0.62785388127853881</v>
      </c>
      <c r="AU64" s="49">
        <f>up_b2w!AC64</f>
        <v>152036.56519057468</v>
      </c>
      <c r="AV64" s="49">
        <f t="shared" si="42"/>
        <v>160165.4482527893</v>
      </c>
      <c r="AW64" s="60">
        <f>IFERROR(AW25/$B50,".")</f>
        <v>6.6115702479338848E-4</v>
      </c>
      <c r="AX64" s="189">
        <f t="shared" ref="AX64" si="204">IFERROR(AX25/$B50,0)</f>
        <v>2.0548760330578514E-12</v>
      </c>
      <c r="AY64" s="49">
        <f>IF(AW64=".",".",up_RadSpec!$F$25*AY25*$B$64)</f>
        <v>37812.5</v>
      </c>
    </row>
    <row r="65" spans="1:51" x14ac:dyDescent="0.25">
      <c r="A65" s="48" t="s">
        <v>1059</v>
      </c>
      <c r="B65" s="45">
        <v>1</v>
      </c>
      <c r="C65" s="170"/>
      <c r="D65" s="60">
        <f t="shared" ref="D65:I65" si="205">IFERROR(D21/$B51,".")</f>
        <v>0.33057851239669422</v>
      </c>
      <c r="E65" s="60">
        <f t="shared" si="205"/>
        <v>3089.9917851942919</v>
      </c>
      <c r="F65" s="60" t="str">
        <f t="shared" si="205"/>
        <v>.</v>
      </c>
      <c r="G65" s="60">
        <f t="shared" si="205"/>
        <v>3.2968835384132272E-5</v>
      </c>
      <c r="H65" s="60">
        <f t="shared" si="205"/>
        <v>1.6528925619834712E-4</v>
      </c>
      <c r="I65" s="60">
        <f t="shared" si="205"/>
        <v>3.2965547354399747E-5</v>
      </c>
      <c r="J65" s="189">
        <f>IFERROR(J21/$B51,0)</f>
        <v>1.0061085052562804E-13</v>
      </c>
      <c r="K65" s="49">
        <f>IF(D65=".",".",up_RadSpec!$E$21*K21*$B$65)</f>
        <v>75.625</v>
      </c>
      <c r="L65" s="49">
        <f>IF(E65=".",".",up_RadSpec!$H$21*L21*$B$65)</f>
        <v>8.0906363957948379E-3</v>
      </c>
      <c r="M65" s="49" t="str">
        <f>IF(F65=".",".",up_RadSpec!$G$21*M21*$B$65)</f>
        <v>.</v>
      </c>
      <c r="N65" s="49">
        <f>up_b2s!AC65</f>
        <v>758291.875</v>
      </c>
      <c r="O65" s="49">
        <f t="shared" si="200"/>
        <v>758367.50809063634</v>
      </c>
      <c r="P65" s="60" t="str">
        <f>IFERROR(P21/$B51,".")</f>
        <v>.</v>
      </c>
      <c r="Q65" s="60" t="str">
        <f>IFERROR(Q21/$B51,".")</f>
        <v>.</v>
      </c>
      <c r="R65" s="60" t="str">
        <f>IFERROR(R21/$B51,".")</f>
        <v>.</v>
      </c>
      <c r="S65" s="60" t="str">
        <f>IFERROR(S21/$B51,".")</f>
        <v>.</v>
      </c>
      <c r="T65" s="60" t="str">
        <f>IFERROR(T21/$B51,".")</f>
        <v>.</v>
      </c>
      <c r="U65" s="189">
        <f t="shared" ref="U65:Y65" si="206">IFERROR(U21/$B51,0)</f>
        <v>0</v>
      </c>
      <c r="V65" s="189">
        <f t="shared" si="206"/>
        <v>0</v>
      </c>
      <c r="W65" s="189">
        <f t="shared" si="206"/>
        <v>0</v>
      </c>
      <c r="X65" s="189">
        <f t="shared" si="206"/>
        <v>0</v>
      </c>
      <c r="Y65" s="189">
        <f t="shared" si="206"/>
        <v>0</v>
      </c>
      <c r="Z65" s="49" t="str">
        <f>IF(P65=".",".",up_RadSpec!$G$21*Z21*$B$65)</f>
        <v>.</v>
      </c>
      <c r="AA65" s="49" t="str">
        <f>IF(Q65=".",".",up_RadSpec!$N$21*AA21*$B$65)</f>
        <v>.</v>
      </c>
      <c r="AB65" s="49" t="str">
        <f>IF(R65=".",".",up_RadSpec!$O$21*AB21*$B$65)</f>
        <v>.</v>
      </c>
      <c r="AC65" s="49" t="str">
        <f>IF(S65=".",".",up_RadSpec!$P$21*AC21*$B$65)</f>
        <v>.</v>
      </c>
      <c r="AD65" s="49" t="str">
        <f>IF(T65=".",".",up_RadSpec!$L$21*AD21*$B$65)</f>
        <v>.</v>
      </c>
      <c r="AE65" s="60">
        <f>IFERROR(AE21/$B51,".")</f>
        <v>9.9740259740259754E-3</v>
      </c>
      <c r="AF65" s="60">
        <f>IFERROR(AF21/$B51,".")</f>
        <v>63.709090909090911</v>
      </c>
      <c r="AG65" s="60">
        <f>IFERROR(AG21/$B51,".")</f>
        <v>9.9724647271019675E-3</v>
      </c>
      <c r="AH65" s="189">
        <f t="shared" ref="AH65" si="207">IFERROR(AH21/$B51,0)</f>
        <v>3.0435962347115209E-14</v>
      </c>
      <c r="AI65" s="49">
        <f>IF(AE65=".",".",up_RadSpec!$H$21*AI21*$B$65)</f>
        <v>2506.5104166666661</v>
      </c>
      <c r="AJ65" s="49">
        <f>IF(AF65=".",".",up_RadSpec!$K$21*AJ21*$B$65)</f>
        <v>0.39240867579908678</v>
      </c>
      <c r="AK65" s="49">
        <f t="shared" si="38"/>
        <v>2506.9028253424653</v>
      </c>
      <c r="AL65" s="60">
        <f>IFERROR(AL21/$B51,".")</f>
        <v>3.6363636363636364E-3</v>
      </c>
      <c r="AM65" s="60">
        <f>IFERROR(AM21,".")</f>
        <v>2.738261548962679E-2</v>
      </c>
      <c r="AN65" s="60">
        <f>IFERROR(AN21/$B51,".")</f>
        <v>39.81818181818182</v>
      </c>
      <c r="AO65" s="60">
        <f>IFERROR(AO21/$B51,".")</f>
        <v>1.6443412786038033E-4</v>
      </c>
      <c r="AP65" s="60">
        <f>IFERROR(AP21/$B51,".")</f>
        <v>1.5642090835071081E-4</v>
      </c>
      <c r="AQ65" s="189">
        <f t="shared" ref="AQ65" si="208">IFERROR(AQ21/$B51,0)</f>
        <v>4.7739661228636941E-16</v>
      </c>
      <c r="AR65" s="49">
        <f>IF(AL65=".",".",up_RadSpec!$I$21*AR21*$B$65)</f>
        <v>6875</v>
      </c>
      <c r="AS65" s="49">
        <f>IF(AM65=".",".",up_RadSpec!$H$21*AS21*$B$65)</f>
        <v>912.98802371419254</v>
      </c>
      <c r="AT65" s="49">
        <f>IF(AN65=".",".",up_RadSpec!$M$21*AT21*$B$65)</f>
        <v>0.62785388127853881</v>
      </c>
      <c r="AU65" s="49">
        <f>up_b2w!AC65</f>
        <v>152036.56519057468</v>
      </c>
      <c r="AV65" s="49">
        <f t="shared" si="42"/>
        <v>159825.18106817015</v>
      </c>
      <c r="AW65" s="60">
        <f>IFERROR(AW21/$B51,".")</f>
        <v>6.6115702479338848E-4</v>
      </c>
      <c r="AX65" s="189">
        <f t="shared" ref="AX65" si="209">IFERROR(AX21/$B51,0)</f>
        <v>2.0178512396694215E-12</v>
      </c>
      <c r="AY65" s="49">
        <f>IF(AW65=".",".",up_RadSpec!$F$21*AY21*$B$65)</f>
        <v>37812.5</v>
      </c>
    </row>
    <row r="66" spans="1:51" x14ac:dyDescent="0.25">
      <c r="A66" s="48" t="s">
        <v>1060</v>
      </c>
      <c r="B66" s="52">
        <v>0.99980000000000002</v>
      </c>
      <c r="C66" s="173"/>
      <c r="D66" s="60">
        <f t="shared" ref="D66:I66" si="210">IFERROR(D17/$B52,".")</f>
        <v>0.33064464132495919</v>
      </c>
      <c r="E66" s="60">
        <f t="shared" si="210"/>
        <v>3090.6099071757271</v>
      </c>
      <c r="F66" s="60">
        <f t="shared" si="210"/>
        <v>390.79047608026116</v>
      </c>
      <c r="G66" s="60">
        <f t="shared" si="210"/>
        <v>3.2975430470226314E-5</v>
      </c>
      <c r="H66" s="60">
        <f t="shared" si="210"/>
        <v>1.6532232066247962E-4</v>
      </c>
      <c r="I66" s="60">
        <f t="shared" si="210"/>
        <v>3.2972139000799961E-5</v>
      </c>
      <c r="J66" s="189">
        <f>IFERROR(J17/$B52,0)</f>
        <v>9.8784528446396685E-14</v>
      </c>
      <c r="K66" s="49">
        <f>IF(D66=".",".",up_RadSpec!$E$17*K17*$B$66)</f>
        <v>75.609875000000002</v>
      </c>
      <c r="L66" s="49">
        <f>IF(E66=".",".",up_RadSpec!$H$17*L17*$B$66)</f>
        <v>8.0890182685156783E-3</v>
      </c>
      <c r="M66" s="49">
        <f>IF(F66=".",".",up_RadSpec!$G$17*M17*$B$66)</f>
        <v>6.3972899879129769E-2</v>
      </c>
      <c r="N66" s="49">
        <f>up_b2s!AC66</f>
        <v>758140.216625</v>
      </c>
      <c r="O66" s="49">
        <f t="shared" si="200"/>
        <v>758215.89856191818</v>
      </c>
      <c r="P66" s="60">
        <f>IFERROR(P17/$B52,".")</f>
        <v>390.79047608026116</v>
      </c>
      <c r="Q66" s="60">
        <f>IFERROR(Q17/$B52,".")</f>
        <v>682.98808448848524</v>
      </c>
      <c r="R66" s="60">
        <f>IFERROR(R17/$B52,".")</f>
        <v>514.57307614421393</v>
      </c>
      <c r="S66" s="60">
        <f>IFERROR(S17/$B52,".")</f>
        <v>457.57457472458793</v>
      </c>
      <c r="T66" s="60">
        <f>IFERROR(T17/$B52,".")</f>
        <v>1308.6981284359076</v>
      </c>
      <c r="U66" s="189">
        <f t="shared" ref="U66:Y66" si="211">IFERROR(U17/$B52,0)</f>
        <v>1.1708082663364624E-6</v>
      </c>
      <c r="V66" s="189">
        <f t="shared" si="211"/>
        <v>2.0462323011275015E-6</v>
      </c>
      <c r="W66" s="189">
        <f t="shared" si="211"/>
        <v>1.5416609361280648E-6</v>
      </c>
      <c r="X66" s="189">
        <f t="shared" si="211"/>
        <v>1.3708934258748654E-6</v>
      </c>
      <c r="Y66" s="189">
        <f t="shared" si="211"/>
        <v>3.920859592793979E-6</v>
      </c>
      <c r="Z66" s="49">
        <f>IF(P66=".",".",up_RadSpec!$G$17*Z17*$B$66)</f>
        <v>6.3972899879129769E-2</v>
      </c>
      <c r="AA66" s="49">
        <f>IF(Q66=".",".",up_RadSpec!$N$17*AA17*$B$66)</f>
        <v>3.6603859668684284E-2</v>
      </c>
      <c r="AB66" s="49">
        <f>IF(R66=".",".",up_RadSpec!$O$17*AB17*$B$66)</f>
        <v>4.8583964375535103E-2</v>
      </c>
      <c r="AC66" s="49">
        <f>IF(S66=".",".",up_RadSpec!$P$17*AC17*$B$66)</f>
        <v>5.4635902825342489E-2</v>
      </c>
      <c r="AD66" s="49">
        <f>IF(T66=".",".",up_RadSpec!$L$17*AD17*$B$66)</f>
        <v>1.9102953887371096E-2</v>
      </c>
      <c r="AE66" s="60">
        <f>IFERROR(AE17/$B52,".")</f>
        <v>9.9760211782616275E-3</v>
      </c>
      <c r="AF66" s="60">
        <f>IFERROR(AF17/$B52,".")</f>
        <v>63.721835276146138</v>
      </c>
      <c r="AG66" s="60">
        <f>IFERROR(AG17/$B52,".")</f>
        <v>9.9744596190257731E-3</v>
      </c>
      <c r="AH66" s="189">
        <f t="shared" ref="AH66" si="212">IFERROR(AH17/$B52,0)</f>
        <v>2.9883481018601213E-14</v>
      </c>
      <c r="AI66" s="49">
        <f>IF(AE66=".",".",up_RadSpec!$H$17*AI17*$B$66)</f>
        <v>2506.0091145833326</v>
      </c>
      <c r="AJ66" s="49">
        <f>IF(AF66=".",".",up_RadSpec!$K$17*AJ17*$B$66)</f>
        <v>0.392330194063927</v>
      </c>
      <c r="AK66" s="49">
        <f t="shared" si="38"/>
        <v>2506.4014447773966</v>
      </c>
      <c r="AL66" s="60">
        <f>IFERROR(AL17/$B52,".")</f>
        <v>3.6370910545745513E-3</v>
      </c>
      <c r="AM66" s="60">
        <f>IFERROR(AM17,".")</f>
        <v>0.115609920856568</v>
      </c>
      <c r="AN66" s="60">
        <f>IFERROR(AN17/$B52,".")</f>
        <v>39.826147047591334</v>
      </c>
      <c r="AO66" s="60">
        <f>IFERROR(AO17/$B52,".")</f>
        <v>1.6446702126463324E-4</v>
      </c>
      <c r="AP66" s="60">
        <f>IFERROR(AP17/$B52,".")</f>
        <v>1.5713722448992476E-4</v>
      </c>
      <c r="AQ66" s="189">
        <f t="shared" ref="AQ66" si="213">IFERROR(AQ17/$B52,0)</f>
        <v>4.7078312457181464E-16</v>
      </c>
      <c r="AR66" s="49">
        <f>IF(AL66=".",".",up_RadSpec!$I$17*AR17*$B$66)</f>
        <v>6873.625</v>
      </c>
      <c r="AS66" s="49">
        <f>IF(AM66=".",".",up_RadSpec!$H$17*AS17*$B$66)</f>
        <v>216.20116867833656</v>
      </c>
      <c r="AT66" s="49">
        <f>IF(AN66=".",".",up_RadSpec!$M$17*AT17*$B$66)</f>
        <v>0.62772831050228306</v>
      </c>
      <c r="AU66" s="49">
        <f>up_b2w!AC66</f>
        <v>152006.15787753658</v>
      </c>
      <c r="AV66" s="49">
        <f t="shared" si="42"/>
        <v>159096.61177452543</v>
      </c>
      <c r="AW66" s="60">
        <f>IFERROR(AW17/$B52,".")</f>
        <v>6.6128928264991846E-4</v>
      </c>
      <c r="AX66" s="189">
        <f t="shared" ref="AX66" si="214">IFERROR(AX17/$B52,0)</f>
        <v>1.9812226908191554E-12</v>
      </c>
      <c r="AY66" s="49">
        <f>IF(AW66=".",".",up_RadSpec!$F$17*AY17*$B$66)</f>
        <v>37804.9375</v>
      </c>
    </row>
    <row r="67" spans="1:51" x14ac:dyDescent="0.25">
      <c r="A67" s="48" t="s">
        <v>1074</v>
      </c>
      <c r="B67" s="45">
        <v>2.0000000000000001E-4</v>
      </c>
      <c r="C67" s="170"/>
      <c r="D67" s="60">
        <f t="shared" ref="D67:I67" si="215">IFERROR(D5/$B53,".")</f>
        <v>1652.8925619834711</v>
      </c>
      <c r="E67" s="60">
        <f t="shared" si="215"/>
        <v>15449958.925971458</v>
      </c>
      <c r="F67" s="60" t="str">
        <f t="shared" si="215"/>
        <v>.</v>
      </c>
      <c r="G67" s="60">
        <f t="shared" si="215"/>
        <v>0.16484417692066136</v>
      </c>
      <c r="H67" s="60">
        <f t="shared" si="215"/>
        <v>0.82644628099173556</v>
      </c>
      <c r="I67" s="60">
        <f t="shared" si="215"/>
        <v>0.16482773677199872</v>
      </c>
      <c r="J67" s="189">
        <f>IFERROR(J5/$B53,0)</f>
        <v>5.0305425262814021E-10</v>
      </c>
      <c r="K67" s="49">
        <f>IF(D67=".",".",up_RadSpec!$E$5*K5*$B$67)</f>
        <v>1.5125000000000001E-2</v>
      </c>
      <c r="L67" s="49">
        <f>IF(E67=".",".",up_RadSpec!$H$5*L5*$B$67)</f>
        <v>1.6181272791589677E-6</v>
      </c>
      <c r="M67" s="49" t="str">
        <f>IF(F67=".",".",up_RadSpec!$G$5*M5*$B$67)</f>
        <v>.</v>
      </c>
      <c r="N67" s="49">
        <f>up_b2s!AC67</f>
        <v>151.65837500000001</v>
      </c>
      <c r="O67" s="49">
        <f t="shared" si="200"/>
        <v>151.67350161812729</v>
      </c>
      <c r="P67" s="60" t="str">
        <f>IFERROR(P5/$B53,".")</f>
        <v>.</v>
      </c>
      <c r="Q67" s="60" t="str">
        <f>IFERROR(Q5/$B53,".")</f>
        <v>.</v>
      </c>
      <c r="R67" s="60" t="str">
        <f>IFERROR(R5/$B53,".")</f>
        <v>.</v>
      </c>
      <c r="S67" s="60" t="str">
        <f>IFERROR(S5/$B53,".")</f>
        <v>.</v>
      </c>
      <c r="T67" s="60" t="str">
        <f>IFERROR(T5/$B53,".")</f>
        <v>.</v>
      </c>
      <c r="U67" s="189">
        <f t="shared" ref="U67:Y67" si="216">IFERROR(U5/$B53,0)</f>
        <v>0</v>
      </c>
      <c r="V67" s="189">
        <f t="shared" si="216"/>
        <v>0</v>
      </c>
      <c r="W67" s="189">
        <f t="shared" si="216"/>
        <v>0</v>
      </c>
      <c r="X67" s="189">
        <f t="shared" si="216"/>
        <v>0</v>
      </c>
      <c r="Y67" s="189">
        <f t="shared" si="216"/>
        <v>0</v>
      </c>
      <c r="Z67" s="49" t="str">
        <f>IF(P67=".",".",up_RadSpec!$G$5*Z5*$B$67)</f>
        <v>.</v>
      </c>
      <c r="AA67" s="49" t="str">
        <f>IF(Q67=".",".",up_RadSpec!$N$5*AA5*$B$67)</f>
        <v>.</v>
      </c>
      <c r="AB67" s="49" t="str">
        <f>IF(R67=".",".",up_RadSpec!$O$5*AB5*$B$67)</f>
        <v>.</v>
      </c>
      <c r="AC67" s="49" t="str">
        <f>IF(S67=".",".",up_RadSpec!$P$5*AC5*$B$67)</f>
        <v>.</v>
      </c>
      <c r="AD67" s="49" t="str">
        <f>IF(T67=".",".",up_RadSpec!$L$5*AD5*$B$67)</f>
        <v>.</v>
      </c>
      <c r="AE67" s="60">
        <f>IFERROR(AE5/$B53,".")</f>
        <v>49.870129870129873</v>
      </c>
      <c r="AF67" s="60">
        <f>IFERROR(AF5/$B53,".")</f>
        <v>318545.45454545453</v>
      </c>
      <c r="AG67" s="60">
        <f>IFERROR(AG5/$B53,".")</f>
        <v>49.862323635509838</v>
      </c>
      <c r="AH67" s="189">
        <f t="shared" ref="AH67" si="217">IFERROR(AH5/$B53,0)</f>
        <v>1.5217981173557603E-10</v>
      </c>
      <c r="AI67" s="49">
        <f>IF(AE67=".",".",up_RadSpec!$H$5*AI5*$B$67)</f>
        <v>0.50130208333333326</v>
      </c>
      <c r="AJ67" s="49">
        <f>IF(AF67=".",".",up_RadSpec!$K$5*AJ5*$B$67)</f>
        <v>7.8481735159817364E-5</v>
      </c>
      <c r="AK67" s="49">
        <f t="shared" si="38"/>
        <v>0.50138056506849304</v>
      </c>
      <c r="AL67" s="60">
        <f>IFERROR(AL5/$B53,".")</f>
        <v>18.18181818181818</v>
      </c>
      <c r="AM67" s="60">
        <f>IFERROR(AM5,".")</f>
        <v>137.32464063589893</v>
      </c>
      <c r="AN67" s="60">
        <f>IFERROR(AN5/$B53,".")</f>
        <v>199090.90909090909</v>
      </c>
      <c r="AO67" s="60">
        <f>IFERROR(AO5/$B53,".")</f>
        <v>0.8221706393019016</v>
      </c>
      <c r="AP67" s="60">
        <f>IFERROR(AP5/$B53,".")</f>
        <v>0.78659701565356122</v>
      </c>
      <c r="AQ67" s="189">
        <f t="shared" ref="AQ67" si="218">IFERROR(AQ5/$B53,0)</f>
        <v>2.4006940917746694E-12</v>
      </c>
      <c r="AR67" s="49">
        <f>IF(AL67=".",".",up_RadSpec!$I$5*AR5*$B$67)</f>
        <v>1.375</v>
      </c>
      <c r="AS67" s="49">
        <f>IF(AM67=".",".",up_RadSpec!$H$5*AS5*$B$67)</f>
        <v>3.6410071614583328E-5</v>
      </c>
      <c r="AT67" s="49">
        <f>IF(AN67=".",".",up_RadSpec!$M$5*AT5*$B$67)</f>
        <v>1.2557077625570778E-4</v>
      </c>
      <c r="AU67" s="49">
        <f>up_b2w!AC67</f>
        <v>30.407313038114939</v>
      </c>
      <c r="AV67" s="49">
        <f t="shared" si="42"/>
        <v>31.78247501896281</v>
      </c>
      <c r="AW67" s="60">
        <f>IFERROR(AW5/$B53,".")</f>
        <v>3.3057851239669422</v>
      </c>
      <c r="AX67" s="189">
        <f t="shared" ref="AX67" si="219">IFERROR(AX5/$B53,0)</f>
        <v>1.0089256198347107E-8</v>
      </c>
      <c r="AY67" s="49">
        <f>IF(AW67=".",".",up_RadSpec!$F$5*AY5*$B$67)</f>
        <v>7.5625</v>
      </c>
    </row>
    <row r="68" spans="1:51" x14ac:dyDescent="0.25">
      <c r="A68" s="48" t="s">
        <v>1075</v>
      </c>
      <c r="B68" s="45">
        <v>0.99999979999999999</v>
      </c>
      <c r="C68" s="170"/>
      <c r="D68" s="60">
        <f t="shared" ref="D68:I68" si="220">IFERROR(D9/$B54,".")</f>
        <v>0.3305785785124099</v>
      </c>
      <c r="E68" s="60">
        <f t="shared" si="220"/>
        <v>3089.9924031927726</v>
      </c>
      <c r="F68" s="60">
        <f t="shared" si="220"/>
        <v>144.45659169650497</v>
      </c>
      <c r="G68" s="60">
        <f t="shared" si="220"/>
        <v>3.296884197790067E-5</v>
      </c>
      <c r="H68" s="60">
        <f t="shared" si="220"/>
        <v>1.6528928925620498E-4</v>
      </c>
      <c r="I68" s="60">
        <f t="shared" si="220"/>
        <v>3.2965546424645108E-5</v>
      </c>
      <c r="J68" s="189">
        <f>IFERROR(J9/$B54,0)</f>
        <v>9.876477708823676E-14</v>
      </c>
      <c r="K68" s="49">
        <f>IF(D68=".",".",up_RadSpec!$E$9*K9*$B$68)</f>
        <v>75.624984874999996</v>
      </c>
      <c r="L68" s="49">
        <f>IF(E68=".",".",up_RadSpec!$H$9*L9*$B$68)</f>
        <v>8.0906347776675581E-3</v>
      </c>
      <c r="M68" s="49">
        <f>IF(F68=".",".",up_RadSpec!$G$9*M9*$B$68)</f>
        <v>0.17306236916155113</v>
      </c>
      <c r="N68" s="49">
        <f>up_b2s!AC68</f>
        <v>758291.72334162507</v>
      </c>
      <c r="O68" s="49">
        <f t="shared" si="200"/>
        <v>758367.52947950398</v>
      </c>
      <c r="P68" s="60">
        <f>IFERROR(P9/$B54,".")</f>
        <v>144.45659169650497</v>
      </c>
      <c r="Q68" s="60">
        <f>IFERROR(Q9/$B54,".")</f>
        <v>295.87127129546656</v>
      </c>
      <c r="R68" s="60">
        <f>IFERROR(R9/$B54,".")</f>
        <v>208.18081621171774</v>
      </c>
      <c r="S68" s="60">
        <f>IFERROR(S9/$B54,".")</f>
        <v>171.6070132011088</v>
      </c>
      <c r="T68" s="60">
        <f>IFERROR(T9/$B54,".")</f>
        <v>524.07071339179379</v>
      </c>
      <c r="U68" s="189">
        <f t="shared" ref="U68:Y68" si="221">IFERROR(U9/$B54,0)</f>
        <v>4.3279194872272893E-7</v>
      </c>
      <c r="V68" s="189">
        <f t="shared" si="221"/>
        <v>8.8643032880121789E-7</v>
      </c>
      <c r="W68" s="189">
        <f t="shared" si="221"/>
        <v>6.2370972537030637E-7</v>
      </c>
      <c r="X68" s="189">
        <f t="shared" si="221"/>
        <v>5.1413461155052203E-7</v>
      </c>
      <c r="Y68" s="189">
        <f t="shared" si="221"/>
        <v>1.5701158573218145E-6</v>
      </c>
      <c r="Z68" s="49">
        <f>IF(P68=".",".",up_RadSpec!$G$9*Z9*$B$68)</f>
        <v>0.17306236916155113</v>
      </c>
      <c r="AA68" s="49">
        <f>IF(Q68=".",".",up_RadSpec!$N$9*AA9*$B$68)</f>
        <v>8.4496206375624078E-2</v>
      </c>
      <c r="AB68" s="49">
        <f>IF(R68=".",".",up_RadSpec!$O$9*AB9*$B$68)</f>
        <v>0.12008791422248656</v>
      </c>
      <c r="AC68" s="49">
        <f>IF(S68=".",".",up_RadSpec!$P$9*AC9*$B$68)</f>
        <v>0.14568169175406678</v>
      </c>
      <c r="AD68" s="49">
        <f>IF(T68=".",".",up_RadSpec!$L$9*AD9*$B$68)</f>
        <v>4.7703486115832749E-2</v>
      </c>
      <c r="AE68" s="60">
        <f>IFERROR(AE9/$B54,".")</f>
        <v>9.9740279688315687E-3</v>
      </c>
      <c r="AF68" s="60">
        <f>IFERROR(AF9/$B54,".")</f>
        <v>63.709103650911644</v>
      </c>
      <c r="AG68" s="60">
        <f>IFERROR(AG9/$B54,".")</f>
        <v>9.9724667215953123E-3</v>
      </c>
      <c r="AH68" s="189">
        <f t="shared" ref="AH68" si="222">IFERROR(AH9/$B54,0)</f>
        <v>2.9877510297899558E-14</v>
      </c>
      <c r="AI68" s="49">
        <f>IF(AE68=".",".",up_RadSpec!$H$9*AI9*$B$68)</f>
        <v>2506.5099153645829</v>
      </c>
      <c r="AJ68" s="49">
        <f>IF(AF68=".",".",up_RadSpec!$K$9*AJ9*$B$68)</f>
        <v>0.39240859731735162</v>
      </c>
      <c r="AK68" s="49">
        <f t="shared" si="38"/>
        <v>2506.9023239619</v>
      </c>
      <c r="AL68" s="60">
        <f>IFERROR(AL9/$B54,".")</f>
        <v>3.6363643636365089E-3</v>
      </c>
      <c r="AM68" s="60">
        <f>IFERROR(AM9,".")</f>
        <v>0.39187352811929721</v>
      </c>
      <c r="AN68" s="60">
        <f>IFERROR(AN9/$B54,".")</f>
        <v>39.818189781819775</v>
      </c>
      <c r="AO68" s="60">
        <f>IFERROR(AO9/$B54,".")</f>
        <v>1.6443416074721248E-4</v>
      </c>
      <c r="AP68" s="60">
        <f>IFERROR(AP9/$B54,".")</f>
        <v>1.5725648342029106E-4</v>
      </c>
      <c r="AQ68" s="189">
        <f t="shared" ref="AQ68" si="223">IFERROR(AQ9/$B54,0)</f>
        <v>4.7114042432719219E-16</v>
      </c>
      <c r="AR68" s="49">
        <f>IF(AL68=".",".",up_RadSpec!$I$9*AR9*$B$68)</f>
        <v>6874.9986250000002</v>
      </c>
      <c r="AS68" s="49">
        <f>IF(AM68=".",".",up_RadSpec!$H$9*AS9*$B$68)</f>
        <v>63.79608012815121</v>
      </c>
      <c r="AT68" s="49">
        <f>IF(AN68=".",".",up_RadSpec!$M$9*AT9*$B$68)</f>
        <v>0.62785375570776258</v>
      </c>
      <c r="AU68" s="49">
        <f>up_b2w!AC68</f>
        <v>152036.53478326162</v>
      </c>
      <c r="AV68" s="49">
        <f t="shared" si="42"/>
        <v>158975.9573421455</v>
      </c>
      <c r="AW68" s="60">
        <f>IFERROR(AW9/$B54,".")</f>
        <v>6.611571570248199E-4</v>
      </c>
      <c r="AX68" s="189">
        <f t="shared" ref="AX68" si="224">IFERROR(AX9/$B54,0)</f>
        <v>1.9808268424463603E-12</v>
      </c>
      <c r="AY68" s="49">
        <f>IF(AW68=".",".",up_RadSpec!$F$9*AY9*$B$68)</f>
        <v>37812.492437499997</v>
      </c>
    </row>
    <row r="69" spans="1:51" x14ac:dyDescent="0.25">
      <c r="A69" s="48" t="s">
        <v>1076</v>
      </c>
      <c r="B69" s="45">
        <v>1.9999999999999999E-7</v>
      </c>
      <c r="C69" s="170"/>
      <c r="D69" s="60">
        <f t="shared" ref="D69:I69" si="225">IFERROR(D24/$B55,".")</f>
        <v>1652892.5619834713</v>
      </c>
      <c r="E69" s="60">
        <f t="shared" si="225"/>
        <v>15449958925.97146</v>
      </c>
      <c r="F69" s="60">
        <f t="shared" si="225"/>
        <v>1274648952.0994596</v>
      </c>
      <c r="G69" s="60">
        <f t="shared" si="225"/>
        <v>164.84417692066137</v>
      </c>
      <c r="H69" s="60">
        <f t="shared" si="225"/>
        <v>826.44628099173565</v>
      </c>
      <c r="I69" s="60">
        <f t="shared" si="225"/>
        <v>164.82771545775432</v>
      </c>
      <c r="J69" s="189">
        <f>IFERROR(J24/$B55,0)</f>
        <v>5.0305418757706623E-7</v>
      </c>
      <c r="K69" s="49">
        <f>IF(D69=".",".",up_RadSpec!$E$24*K24*$B$69)</f>
        <v>1.5125E-5</v>
      </c>
      <c r="L69" s="49">
        <f>IF(E69=".",".",up_RadSpec!$H$24*L24*$B$69)</f>
        <v>1.6181272791589676E-9</v>
      </c>
      <c r="M69" s="49">
        <f>IF(F69=".",".",up_RadSpec!$G$24*M24*$B$69)</f>
        <v>1.9613243284610075E-8</v>
      </c>
      <c r="N69" s="49">
        <f>up_b2s!AC69</f>
        <v>0.15165837499999998</v>
      </c>
      <c r="O69" s="49">
        <f t="shared" si="200"/>
        <v>0.15167352123137054</v>
      </c>
      <c r="P69" s="60">
        <f>IFERROR(P24/$B55,".")</f>
        <v>1274648952.0994596</v>
      </c>
      <c r="Q69" s="60">
        <f>IFERROR(Q24/$B55,".")</f>
        <v>2310957622.850565</v>
      </c>
      <c r="R69" s="60">
        <f>IFERROR(R24/$B55,".")</f>
        <v>1631685411.197315</v>
      </c>
      <c r="S69" s="60">
        <f>IFERROR(S24/$B55,".")</f>
        <v>1362563111.8701646</v>
      </c>
      <c r="T69" s="60">
        <f>IFERROR(T24/$B55,".")</f>
        <v>3840825840.82584</v>
      </c>
      <c r="U69" s="189">
        <f t="shared" ref="U69:Y69" si="226">IFERROR(U24/$B55,0)</f>
        <v>3.8902286018075518</v>
      </c>
      <c r="V69" s="189">
        <f t="shared" si="226"/>
        <v>7.0530426649399258</v>
      </c>
      <c r="W69" s="189">
        <f t="shared" si="226"/>
        <v>4.9799038749742053</v>
      </c>
      <c r="X69" s="189">
        <f t="shared" si="226"/>
        <v>4.1585426174277424</v>
      </c>
      <c r="Y69" s="189">
        <f t="shared" si="226"/>
        <v>11.722200466200464</v>
      </c>
      <c r="Z69" s="49">
        <f>IF(P69=".",".",up_RadSpec!$G$24*Z24*$B$69)</f>
        <v>1.9613243284610075E-8</v>
      </c>
      <c r="AA69" s="49">
        <f>IF(Q69=".",".",up_RadSpec!$N$24*AA24*$B$69)</f>
        <v>1.081802615193026E-8</v>
      </c>
      <c r="AB69" s="49">
        <f>IF(R69=".",".",up_RadSpec!$O$24*AB24*$B$69)</f>
        <v>1.5321580880995463E-8</v>
      </c>
      <c r="AC69" s="49">
        <f>IF(S69=".",".",up_RadSpec!$P$24*AC24*$B$69)</f>
        <v>1.8347773972602737E-8</v>
      </c>
      <c r="AD69" s="49">
        <f>IF(T69=".",".",up_RadSpec!$L$24*AD24*$B$69)</f>
        <v>6.5090168198370047E-9</v>
      </c>
      <c r="AE69" s="60">
        <f>IFERROR(AE24/$B55,".")</f>
        <v>49870.12987012988</v>
      </c>
      <c r="AF69" s="60">
        <f>IFERROR(AF24/$B55,".")</f>
        <v>318545454.54545456</v>
      </c>
      <c r="AG69" s="60">
        <f>IFERROR(AG24/$B55,".")</f>
        <v>49862.323635509842</v>
      </c>
      <c r="AH69" s="189">
        <f t="shared" ref="AH69" si="227">IFERROR(AH24/$B55,0)</f>
        <v>1.5217981173557604E-7</v>
      </c>
      <c r="AI69" s="49">
        <f>IF(AE69=".",".",up_RadSpec!$H$24*AI24*$B$69)</f>
        <v>5.013020833333332E-4</v>
      </c>
      <c r="AJ69" s="49">
        <f>IF(AF69=".",".",up_RadSpec!$K$24*AJ24*$B$69)</f>
        <v>7.8481735159817348E-8</v>
      </c>
      <c r="AK69" s="49">
        <f t="shared" si="38"/>
        <v>5.0138056506849303E-4</v>
      </c>
      <c r="AL69" s="60">
        <f>IFERROR(AL24/$B55,".")</f>
        <v>18181.818181818184</v>
      </c>
      <c r="AM69" s="60">
        <f>IFERROR(AM24,".")</f>
        <v>137334.09486996356</v>
      </c>
      <c r="AN69" s="60">
        <f>IFERROR(AN24/$B55,".")</f>
        <v>199090909.09090912</v>
      </c>
      <c r="AO69" s="60">
        <f>IFERROR(AO24/$B55,".")</f>
        <v>822.1706393019017</v>
      </c>
      <c r="AP69" s="60">
        <f>IFERROR(AP24/$B55,".")</f>
        <v>786.5979158807562</v>
      </c>
      <c r="AQ69" s="189">
        <f t="shared" ref="AQ69" si="228">IFERROR(AQ24/$B55,0)</f>
        <v>2.4006968392680678E-9</v>
      </c>
      <c r="AR69" s="49">
        <f>IF(AL69=".",".",up_RadSpec!$I$24*AR24*$B$69)</f>
        <v>1.3749999999999999E-3</v>
      </c>
      <c r="AS69" s="49">
        <f>IF(AM69=".",".",up_RadSpec!$H$24*AS24*$B$69)</f>
        <v>3.6407565104166664E-11</v>
      </c>
      <c r="AT69" s="49">
        <f>IF(AN69=".",".",up_RadSpec!$M$24*AT24*$B$69)</f>
        <v>1.2557077625570775E-7</v>
      </c>
      <c r="AU69" s="49">
        <f>up_b2w!AC69</f>
        <v>3.0407313038114933E-2</v>
      </c>
      <c r="AV69" s="49">
        <f t="shared" si="42"/>
        <v>3.1782438645298755E-2</v>
      </c>
      <c r="AW69" s="60">
        <f>IFERROR(AW24/$B55,".")</f>
        <v>3305.7851239669426</v>
      </c>
      <c r="AX69" s="189">
        <f t="shared" ref="AX69" si="229">IFERROR(AX24/$B55,0)</f>
        <v>1.0089256198347108E-5</v>
      </c>
      <c r="AY69" s="49">
        <f>IF(AW69=".",".",up_RadSpec!$F$24*AY24*$B$69)</f>
        <v>7.5624999999999998E-3</v>
      </c>
    </row>
    <row r="70" spans="1:51" x14ac:dyDescent="0.25">
      <c r="A70" s="48" t="s">
        <v>1077</v>
      </c>
      <c r="B70" s="45">
        <v>0.99979000004200003</v>
      </c>
      <c r="C70" s="170"/>
      <c r="D70" s="60">
        <f t="shared" ref="D70:I70" si="230">IFERROR(D20/$B56,".")</f>
        <v>0.33064794845198192</v>
      </c>
      <c r="E70" s="60">
        <f t="shared" si="230"/>
        <v>3090.6408196366087</v>
      </c>
      <c r="F70" s="60">
        <f t="shared" si="230"/>
        <v>199.70533568187113</v>
      </c>
      <c r="G70" s="60">
        <f t="shared" si="230"/>
        <v>3.2975760292408697E-5</v>
      </c>
      <c r="H70" s="60">
        <f t="shared" si="230"/>
        <v>1.6532397422599097E-4</v>
      </c>
      <c r="I70" s="60">
        <f t="shared" si="230"/>
        <v>3.2972466128105842E-5</v>
      </c>
      <c r="J70" s="189">
        <f>IFERROR(J20/$B56,0)</f>
        <v>9.8785508519805128E-14</v>
      </c>
      <c r="K70" s="49">
        <f>IF(D70=".",".",up_RadSpec!$E$20*K20*$B$70)</f>
        <v>75.609118753176247</v>
      </c>
      <c r="L70" s="49">
        <f>IF(E70=".",".",up_RadSpec!$H$20*L20*$B$70)</f>
        <v>8.0889373624915273E-3</v>
      </c>
      <c r="M70" s="49">
        <f>IF(F70=".",".",up_RadSpec!$G$20*M20*$B$70)</f>
        <v>0.12518443693374715</v>
      </c>
      <c r="N70" s="49">
        <f>up_b2s!AC70</f>
        <v>758132.6337380982</v>
      </c>
      <c r="O70" s="49">
        <f t="shared" si="200"/>
        <v>758208.37613022572</v>
      </c>
      <c r="P70" s="60">
        <f>IFERROR(P20/$B56,".")</f>
        <v>199.70533568187113</v>
      </c>
      <c r="Q70" s="60">
        <f>IFERROR(Q20/$B56,".")</f>
        <v>393.83783600255742</v>
      </c>
      <c r="R70" s="60">
        <f>IFERROR(R20/$B56,".")</f>
        <v>275.5601431207574</v>
      </c>
      <c r="S70" s="60">
        <f>IFERROR(S20/$B56,".")</f>
        <v>231.38152732631076</v>
      </c>
      <c r="T70" s="60">
        <f>IFERROR(T20/$B56,".")</f>
        <v>671.0845986812086</v>
      </c>
      <c r="U70" s="189">
        <f t="shared" ref="U70:Y70" si="231">IFERROR(U20/$B56,0)</f>
        <v>5.9831718570288597E-7</v>
      </c>
      <c r="V70" s="189">
        <f t="shared" si="231"/>
        <v>1.1799381566636622E-6</v>
      </c>
      <c r="W70" s="189">
        <f t="shared" si="231"/>
        <v>8.2557818878978925E-7</v>
      </c>
      <c r="X70" s="189">
        <f t="shared" si="231"/>
        <v>6.9321905586962699E-7</v>
      </c>
      <c r="Y70" s="189">
        <f t="shared" si="231"/>
        <v>2.0105694576489013E-6</v>
      </c>
      <c r="Z70" s="49">
        <f>IF(P70=".",".",up_RadSpec!$G$20*Z20*$B$70)</f>
        <v>0.12518443693374715</v>
      </c>
      <c r="AA70" s="49">
        <f>IF(Q70=".",".",up_RadSpec!$N$20*AA20*$B$70)</f>
        <v>6.3477903123146495E-2</v>
      </c>
      <c r="AB70" s="49">
        <f>IF(R70=".",".",up_RadSpec!$O$20*AB20*$B$70)</f>
        <v>9.0724296035237476E-2</v>
      </c>
      <c r="AC70" s="49">
        <f>IF(S70=".",".",up_RadSpec!$P$20*AC20*$B$70)</f>
        <v>0.10804665475625121</v>
      </c>
      <c r="AD70" s="49">
        <f>IF(T70=".",".",up_RadSpec!$L$20*AD20*$B$70)</f>
        <v>3.7253127324228724E-2</v>
      </c>
      <c r="AE70" s="60">
        <f>IFERROR(AE20/$B56,".")</f>
        <v>9.976120959008369E-3</v>
      </c>
      <c r="AF70" s="60">
        <f>IFERROR(AF20/$B56,".")</f>
        <v>63.722472625665958</v>
      </c>
      <c r="AG70" s="60">
        <f>IFERROR(AG20/$B56,".")</f>
        <v>9.974559384153708E-3</v>
      </c>
      <c r="AH70" s="189">
        <f t="shared" ref="AH70" si="232">IFERROR(AH20/$B56,0)</f>
        <v>2.9883779914924509E-14</v>
      </c>
      <c r="AI70" s="49">
        <f>IF(AE70=".",".",up_RadSpec!$H$20*AI20*$B$70)</f>
        <v>2505.9840495844396</v>
      </c>
      <c r="AJ70" s="49">
        <f>IF(AF70=".",".",up_RadSpec!$K$20*AJ20*$B$70)</f>
        <v>0.39232626999365017</v>
      </c>
      <c r="AK70" s="49">
        <f t="shared" si="38"/>
        <v>2506.3763758544333</v>
      </c>
      <c r="AL70" s="60">
        <f>IFERROR(AL20/$B56,".")</f>
        <v>3.6371274329718012E-3</v>
      </c>
      <c r="AM70" s="60">
        <f>IFERROR(AM20,".")</f>
        <v>0.39187253504904385</v>
      </c>
      <c r="AN70" s="60">
        <f>IFERROR(AN20/$B56,".")</f>
        <v>39.826545391041222</v>
      </c>
      <c r="AO70" s="60">
        <f>IFERROR(AO20/$B56,".")</f>
        <v>1.6446866627339005E-4</v>
      </c>
      <c r="AP70" s="60">
        <f>IFERROR(AP20/$B56,".")</f>
        <v>1.5728948259381169E-4</v>
      </c>
      <c r="AQ70" s="189">
        <f t="shared" ref="AQ70" si="233">IFERROR(AQ20/$B56,0)</f>
        <v>4.7123928985105988E-16</v>
      </c>
      <c r="AR70" s="49">
        <f>IF(AL70=".",".",up_RadSpec!$I$20*AR20*$B$70)</f>
        <v>6873.5562502887506</v>
      </c>
      <c r="AS70" s="49">
        <f>IF(AM70=".",".",up_RadSpec!$H$20*AS20*$B$70)</f>
        <v>63.782857346514071</v>
      </c>
      <c r="AT70" s="49">
        <f>IF(AN70=".",".",up_RadSpec!$M$20*AT20*$B$70)</f>
        <v>0.62772203198984022</v>
      </c>
      <c r="AU70" s="49">
        <f>up_b2w!AC70</f>
        <v>152004.6375182702</v>
      </c>
      <c r="AV70" s="49">
        <f t="shared" si="42"/>
        <v>158942.60434793745</v>
      </c>
      <c r="AW70" s="60">
        <f>IFERROR(AW20/$B56,".")</f>
        <v>6.6129589690396386E-4</v>
      </c>
      <c r="AX70" s="189">
        <f t="shared" ref="AX70" si="234">IFERROR(AX20/$B56,0)</f>
        <v>1.9812425071242756E-12</v>
      </c>
      <c r="AY70" s="49">
        <f>IF(AW70=".",".",up_RadSpec!$F$20*AY20*$B$70)</f>
        <v>37804.559376588128</v>
      </c>
    </row>
    <row r="71" spans="1:51" x14ac:dyDescent="0.25">
      <c r="A71" s="48" t="s">
        <v>1078</v>
      </c>
      <c r="B71" s="45">
        <v>2.0999995799999999E-4</v>
      </c>
      <c r="C71" s="170"/>
      <c r="D71" s="60">
        <f t="shared" ref="D71:I71" si="235">IFERROR(D29/$B57,".")</f>
        <v>1574.1837072019521</v>
      </c>
      <c r="E71" s="60">
        <f t="shared" si="235"/>
        <v>14714249.539013203</v>
      </c>
      <c r="F71" s="60">
        <f t="shared" si="235"/>
        <v>748310.73403830535</v>
      </c>
      <c r="G71" s="60">
        <f t="shared" si="235"/>
        <v>0.1569944856090508</v>
      </c>
      <c r="H71" s="60">
        <f t="shared" si="235"/>
        <v>0.78709185360097611</v>
      </c>
      <c r="I71" s="60">
        <f t="shared" si="235"/>
        <v>0.15697879539084411</v>
      </c>
      <c r="J71" s="189">
        <f>IFERROR(J29/$B57,0)</f>
        <v>4.6151765844908174E-10</v>
      </c>
      <c r="K71" s="49">
        <f>IF(D71=".",".",up_RadSpec!$E$29*K29*$B$71)</f>
        <v>1.588124682375E-2</v>
      </c>
      <c r="L71" s="49">
        <f>IF(E71=".",".",up_RadSpec!$H$29*L29*$B$71)</f>
        <v>1.6990333033101872E-6</v>
      </c>
      <c r="M71" s="49">
        <f>IF(F71=".",".",up_RadSpec!$G$29*M29*$B$71)</f>
        <v>3.3408581305637499E-5</v>
      </c>
      <c r="N71" s="49">
        <f>up_b2s!AC71</f>
        <v>159.24126190174124</v>
      </c>
      <c r="O71" s="49">
        <f t="shared" si="200"/>
        <v>159.2571782561796</v>
      </c>
      <c r="P71" s="60">
        <f>IFERROR(P29/$B57,".")</f>
        <v>748310.73403830535</v>
      </c>
      <c r="Q71" s="60">
        <f>IFERROR(Q29/$B57,".")</f>
        <v>1493228.318189472</v>
      </c>
      <c r="R71" s="60">
        <f>IFERROR(R29/$B57,".")</f>
        <v>1063769.5031241761</v>
      </c>
      <c r="S71" s="60">
        <f>IFERROR(S29/$B57,".")</f>
        <v>902351.16282121441</v>
      </c>
      <c r="T71" s="60">
        <f>IFERROR(T29/$B57,".")</f>
        <v>2681359.5812673252</v>
      </c>
      <c r="U71" s="189">
        <f t="shared" ref="U71:Y71" si="236">IFERROR(U29/$B57,0)</f>
        <v>2.2000335580726177E-3</v>
      </c>
      <c r="V71" s="189">
        <f t="shared" si="236"/>
        <v>4.3900912554770471E-3</v>
      </c>
      <c r="W71" s="189">
        <f t="shared" si="236"/>
        <v>3.127482339185078E-3</v>
      </c>
      <c r="X71" s="189">
        <f t="shared" si="236"/>
        <v>2.6529124186943699E-3</v>
      </c>
      <c r="Y71" s="189">
        <f t="shared" si="236"/>
        <v>7.8831971689259372E-3</v>
      </c>
      <c r="Z71" s="49">
        <f>IF(P71=".",".",up_RadSpec!$G$29*Z29*$B$71)</f>
        <v>3.3408581305637499E-5</v>
      </c>
      <c r="AA71" s="49">
        <f>IF(Q71=".",".",up_RadSpec!$N$29*AA29*$B$71)</f>
        <v>1.6742248787722103E-5</v>
      </c>
      <c r="AB71" s="49">
        <f>IF(R71=".",".",up_RadSpec!$O$29*AB29*$B$71)</f>
        <v>2.3501331751453393E-5</v>
      </c>
      <c r="AC71" s="49">
        <f>IF(S71=".",".",up_RadSpec!$P$29*AC29*$B$71)</f>
        <v>2.7705400103699236E-5</v>
      </c>
      <c r="AD71" s="49">
        <f>IF(T71=".",".",up_RadSpec!$L$29*AD29*$B$71)</f>
        <v>9.3236282722602721E-6</v>
      </c>
      <c r="AE71" s="60">
        <f>IFERROR(AE29/$B57,".")</f>
        <v>47.49537128015033</v>
      </c>
      <c r="AF71" s="60">
        <f>IFERROR(AF29/$B57,".")</f>
        <v>303376.68405196024</v>
      </c>
      <c r="AG71" s="60">
        <f>IFERROR(AG29/$B57,".")</f>
        <v>47.487936769501488</v>
      </c>
      <c r="AH71" s="189">
        <f t="shared" ref="AH71" si="237">IFERROR(AH29/$B57,0)</f>
        <v>1.3961453410233441E-10</v>
      </c>
      <c r="AI71" s="49">
        <f>IF(AE71=".",".",up_RadSpec!$H$29*AI29*$B$71)</f>
        <v>0.52636708222656237</v>
      </c>
      <c r="AJ71" s="49">
        <f>IF(AF71=".",".",up_RadSpec!$K$29*AJ29*$B$71)</f>
        <v>8.2405805436643834E-5</v>
      </c>
      <c r="AK71" s="49">
        <f t="shared" si="38"/>
        <v>0.52644948803199898</v>
      </c>
      <c r="AL71" s="60">
        <f>IFERROR(AL29/$B57,".")</f>
        <v>17.316020779221471</v>
      </c>
      <c r="AM71" s="60">
        <f>IFERROR(AM29,".")</f>
        <v>2157.7148215468005</v>
      </c>
      <c r="AN71" s="60">
        <f>IFERROR(AN29/$B57,".")</f>
        <v>189610.42753247515</v>
      </c>
      <c r="AO71" s="60">
        <f>IFERROR(AO29/$B57,".")</f>
        <v>0.78301981308196422</v>
      </c>
      <c r="AP71" s="60">
        <f>IFERROR(AP29/$B57,".")</f>
        <v>0.74914096833367594</v>
      </c>
      <c r="AQ71" s="189">
        <f t="shared" ref="AQ71" si="238">IFERROR(AQ29/$B57,0)</f>
        <v>2.2024744469010072E-12</v>
      </c>
      <c r="AR71" s="49">
        <f>IF(AL71=".",".",up_RadSpec!$I$29*AR29*$B$71)</f>
        <v>1.44374971125</v>
      </c>
      <c r="AS71" s="49">
        <f>IF(AM71=".",".",up_RadSpec!$H$29*AS29*$B$71)</f>
        <v>2.4331292057568735E-6</v>
      </c>
      <c r="AT71" s="49">
        <f>IF(AN71=".",".",up_RadSpec!$M$29*AT29*$B$71)</f>
        <v>1.3184928869863012E-4</v>
      </c>
      <c r="AU71" s="49">
        <f>up_b2w!AC71</f>
        <v>31.92767230448494</v>
      </c>
      <c r="AV71" s="49">
        <f t="shared" si="42"/>
        <v>33.371556298152846</v>
      </c>
      <c r="AW71" s="60">
        <f>IFERROR(AW29/$B57,".")</f>
        <v>3.1483674144039044</v>
      </c>
      <c r="AX71" s="189">
        <f t="shared" ref="AX71" si="239">IFERROR(AX29/$B57,0)</f>
        <v>9.2562001983474797E-9</v>
      </c>
      <c r="AY71" s="49">
        <f>IF(AW71=".",".",up_RadSpec!$F$29*AY29*$B$71)</f>
        <v>7.9406234118749994</v>
      </c>
    </row>
    <row r="72" spans="1:51" x14ac:dyDescent="0.25">
      <c r="A72" s="48" t="s">
        <v>1079</v>
      </c>
      <c r="B72" s="45">
        <v>1</v>
      </c>
      <c r="C72" s="170"/>
      <c r="D72" s="60">
        <f t="shared" ref="D72:I72" si="240">IFERROR(D16/$B58,".")</f>
        <v>0.33057851239669422</v>
      </c>
      <c r="E72" s="60">
        <f t="shared" si="240"/>
        <v>3089.9917851942919</v>
      </c>
      <c r="F72" s="60">
        <f t="shared" si="240"/>
        <v>4249701.1279172543</v>
      </c>
      <c r="G72" s="60">
        <f t="shared" si="240"/>
        <v>3.2968835384132272E-5</v>
      </c>
      <c r="H72" s="60">
        <f t="shared" si="240"/>
        <v>1.6528925619834712E-4</v>
      </c>
      <c r="I72" s="60">
        <f t="shared" si="240"/>
        <v>3.2965547354144031E-5</v>
      </c>
      <c r="J72" s="189">
        <f>IFERROR(J16/$B58,0)</f>
        <v>9.691870922118345E-14</v>
      </c>
      <c r="K72" s="49">
        <f>IF(D72=".",".",up_RadSpec!$E$16*K16*$B$72)</f>
        <v>75.625</v>
      </c>
      <c r="L72" s="49">
        <f>IF(E72=".",".",up_RadSpec!$H$16*L16*$B$72)</f>
        <v>8.0906363957948379E-3</v>
      </c>
      <c r="M72" s="49">
        <f>IF(F72=".",".",up_RadSpec!$G$16*M16*$B$72)</f>
        <v>5.8827666340508767E-6</v>
      </c>
      <c r="N72" s="49">
        <f>up_b2s!AC72</f>
        <v>758291.875</v>
      </c>
      <c r="O72" s="49">
        <f t="shared" si="200"/>
        <v>758367.50809651916</v>
      </c>
      <c r="P72" s="60">
        <f>IFERROR(P16/$B58,".")</f>
        <v>4249701.1279172543</v>
      </c>
      <c r="Q72" s="60">
        <f>IFERROR(Q16/$B58,".")</f>
        <v>7568571.8978401944</v>
      </c>
      <c r="R72" s="60">
        <f>IFERROR(R16/$B58,".")</f>
        <v>4546743.3645543214</v>
      </c>
      <c r="S72" s="60">
        <f>IFERROR(S16/$B58,".")</f>
        <v>4570236.0766923204</v>
      </c>
      <c r="T72" s="60">
        <f>IFERROR(T16/$B58,".")</f>
        <v>176969696.96969697</v>
      </c>
      <c r="U72" s="189">
        <f t="shared" ref="U72:Y72" si="241">IFERROR(U16/$B58,0)</f>
        <v>1.2494121316076728E-2</v>
      </c>
      <c r="V72" s="189">
        <f t="shared" si="241"/>
        <v>2.2251601379650175E-2</v>
      </c>
      <c r="W72" s="189">
        <f t="shared" si="241"/>
        <v>1.3367425491789705E-2</v>
      </c>
      <c r="X72" s="189">
        <f t="shared" si="241"/>
        <v>1.3436494065475424E-2</v>
      </c>
      <c r="Y72" s="189">
        <f t="shared" si="241"/>
        <v>0.52029090909090914</v>
      </c>
      <c r="Z72" s="49">
        <f>IF(P72=".",".",up_RadSpec!$G$16*Z16*$B$72)</f>
        <v>5.8827666340508767E-6</v>
      </c>
      <c r="AA72" s="49">
        <f>IF(Q72=".",".",up_RadSpec!$N$16*AA16*$B$72)</f>
        <v>3.3031330530313289E-6</v>
      </c>
      <c r="AB72" s="49">
        <f>IF(R72=".",".",up_RadSpec!$O$16*AB16*$B$72)</f>
        <v>5.4984409709366871E-6</v>
      </c>
      <c r="AC72" s="49">
        <f>IF(S72=".",".",up_RadSpec!$P$16*AC16*$B$72)</f>
        <v>5.4701769406392654E-6</v>
      </c>
      <c r="AD72" s="49">
        <f>IF(T72=".",".",up_RadSpec!$L$16*AD16*$B$72)</f>
        <v>1.4126712328767122E-7</v>
      </c>
      <c r="AE72" s="60">
        <f>IFERROR(AE16/$B58,".")</f>
        <v>9.9740259740259754E-3</v>
      </c>
      <c r="AF72" s="60">
        <f>IFERROR(AF16/$B58,".")</f>
        <v>63.709090909090911</v>
      </c>
      <c r="AG72" s="60">
        <f>IFERROR(AG16/$B58,".")</f>
        <v>9.9724647271019675E-3</v>
      </c>
      <c r="AH72" s="189">
        <f t="shared" ref="AH72" si="242">IFERROR(AH16/$B58,0)</f>
        <v>2.9319046297679789E-14</v>
      </c>
      <c r="AI72" s="49">
        <f>IF(AE72=".",".",up_RadSpec!$H$16*AI16*$B$72)</f>
        <v>2506.5104166666661</v>
      </c>
      <c r="AJ72" s="49">
        <f>IF(AF72=".",".",up_RadSpec!$K$16*AJ16*$B$72)</f>
        <v>0.39240867579908678</v>
      </c>
      <c r="AK72" s="49">
        <f t="shared" si="38"/>
        <v>2506.9028253424653</v>
      </c>
      <c r="AL72" s="60">
        <f>IFERROR(AL16/$B58,".")</f>
        <v>3.6363636363636364E-3</v>
      </c>
      <c r="AM72" s="60" t="str">
        <f>IFERROR(AM16,".")</f>
        <v>.</v>
      </c>
      <c r="AN72" s="60">
        <f>IFERROR(AN16/$B58,".")</f>
        <v>39.81818181818182</v>
      </c>
      <c r="AO72" s="60">
        <f>IFERROR(AO16/$B58,".")</f>
        <v>1.6443412786038033E-4</v>
      </c>
      <c r="AP72" s="60">
        <f>IFERROR(AP16/$B58,".")</f>
        <v>1.5731958335636468E-4</v>
      </c>
      <c r="AQ72" s="189">
        <f t="shared" ref="AQ72" si="243">IFERROR(AQ16/$B58,0)</f>
        <v>4.6251957506771222E-16</v>
      </c>
      <c r="AR72" s="49">
        <f>IF(AL72=".",".",up_RadSpec!$I$16*AR16*$B$72)</f>
        <v>6875</v>
      </c>
      <c r="AS72" s="49" t="str">
        <f>IF(AM72=".",".",up_RadSpec!$H$16*AS16*$B$72)</f>
        <v>.</v>
      </c>
      <c r="AT72" s="49">
        <f>IF(AN72=".",".",up_RadSpec!$M$16*AT16*$B$72)</f>
        <v>0.62785388127853881</v>
      </c>
      <c r="AU72" s="49">
        <f>up_b2w!AC72</f>
        <v>152036.56519057468</v>
      </c>
      <c r="AV72" s="49">
        <f t="shared" si="42"/>
        <v>158912.19304445595</v>
      </c>
      <c r="AW72" s="60">
        <f>IFERROR(AW16/$B58,".")</f>
        <v>6.6115702479338848E-4</v>
      </c>
      <c r="AX72" s="189">
        <f t="shared" ref="AX72" si="244">IFERROR(AX16/$B58,0)</f>
        <v>1.9438016528925621E-12</v>
      </c>
      <c r="AY72" s="49">
        <f>IF(AW72=".",".",up_RadSpec!$F$16*AY16*$B$72)</f>
        <v>37812.5</v>
      </c>
    </row>
    <row r="73" spans="1:51" x14ac:dyDescent="0.25">
      <c r="A73" s="48" t="s">
        <v>1080</v>
      </c>
      <c r="B73" s="45">
        <v>1</v>
      </c>
      <c r="C73" s="170"/>
      <c r="D73" s="60">
        <f t="shared" ref="D73:I73" si="245">IFERROR(D7/$B59,".")</f>
        <v>0.33057851239669422</v>
      </c>
      <c r="E73" s="60">
        <f t="shared" si="245"/>
        <v>3089.9917851942919</v>
      </c>
      <c r="F73" s="60">
        <f t="shared" si="245"/>
        <v>510.24109710241078</v>
      </c>
      <c r="G73" s="60">
        <f t="shared" si="245"/>
        <v>3.2968835384132272E-5</v>
      </c>
      <c r="H73" s="60">
        <f t="shared" si="245"/>
        <v>1.6528925619834712E-4</v>
      </c>
      <c r="I73" s="60">
        <f t="shared" si="245"/>
        <v>3.2965545224568869E-5</v>
      </c>
      <c r="J73" s="189">
        <f>IFERROR(J7/$B59,0)</f>
        <v>9.6918702960232479E-14</v>
      </c>
      <c r="K73" s="49">
        <f>IF(D73=".",".",up_RadSpec!$E$7*K7*$B$73)</f>
        <v>75.625</v>
      </c>
      <c r="L73" s="49">
        <f>IF(E73=".",".",up_RadSpec!$H$7*L7*$B$73)</f>
        <v>8.0906363957948379E-3</v>
      </c>
      <c r="M73" s="49">
        <f>IF(F73=".",".",up_RadSpec!$G$7*M7*$B$73)</f>
        <v>4.8996445292179662E-2</v>
      </c>
      <c r="N73" s="49">
        <f>up_b2s!AC73</f>
        <v>758291.875</v>
      </c>
      <c r="O73" s="49">
        <f t="shared" si="200"/>
        <v>758367.55708708172</v>
      </c>
      <c r="P73" s="60">
        <f>IFERROR(P7/$B59,".")</f>
        <v>510.24109710241078</v>
      </c>
      <c r="Q73" s="60">
        <f>IFERROR(Q7/$B59,".")</f>
        <v>811.73075290722397</v>
      </c>
      <c r="R73" s="60">
        <f>IFERROR(R7/$B59,".")</f>
        <v>594.69696969696975</v>
      </c>
      <c r="S73" s="60">
        <f>IFERROR(S7/$B59,".")</f>
        <v>547.06310932241604</v>
      </c>
      <c r="T73" s="60">
        <f>IFERROR(T7/$B59,".")</f>
        <v>1389.1242447392176</v>
      </c>
      <c r="U73" s="189">
        <f t="shared" ref="U73:Y73" si="246">IFERROR(U7/$B59,0)</f>
        <v>1.5001088254810878E-6</v>
      </c>
      <c r="V73" s="189">
        <f t="shared" si="246"/>
        <v>2.3864884135472385E-6</v>
      </c>
      <c r="W73" s="189">
        <f t="shared" si="246"/>
        <v>1.7484090909090912E-6</v>
      </c>
      <c r="X73" s="189">
        <f t="shared" si="246"/>
        <v>1.6083655414079035E-6</v>
      </c>
      <c r="Y73" s="189">
        <f t="shared" si="246"/>
        <v>4.0840252795333005E-6</v>
      </c>
      <c r="Z73" s="49">
        <f>IF(P73=".",".",up_RadSpec!$G$7*Z7*$B$73)</f>
        <v>4.8996445292179662E-2</v>
      </c>
      <c r="AA73" s="49">
        <f>IF(Q73=".",".",up_RadSpec!$N$7*AA7*$B$73)</f>
        <v>3.0798389626686167E-2</v>
      </c>
      <c r="AB73" s="49">
        <f>IF(R73=".",".",up_RadSpec!$O$7*AB7*$B$73)</f>
        <v>4.2038216560509545E-2</v>
      </c>
      <c r="AC73" s="49">
        <f>IF(S73=".",".",up_RadSpec!$P$7*AC7*$B$73)</f>
        <v>4.5698566717402342E-2</v>
      </c>
      <c r="AD73" s="49">
        <f>IF(T73=".",".",up_RadSpec!$L$7*AD7*$B$73)</f>
        <v>1.7996950304969506E-2</v>
      </c>
      <c r="AE73" s="60">
        <f>IFERROR(AE7/$B59,".")</f>
        <v>9.9740259740259754E-3</v>
      </c>
      <c r="AF73" s="60">
        <f>IFERROR(AF7/$B59,".")</f>
        <v>63.709090909090911</v>
      </c>
      <c r="AG73" s="60">
        <f>IFERROR(AG7/$B59,".")</f>
        <v>9.9724647271019675E-3</v>
      </c>
      <c r="AH73" s="189">
        <f t="shared" ref="AH73" si="247">IFERROR(AH7/$B59,0)</f>
        <v>2.9319046297679789E-14</v>
      </c>
      <c r="AI73" s="49">
        <f>IF(AE73=".",".",up_RadSpec!$H$7*AI7*$B$73)</f>
        <v>2506.5104166666661</v>
      </c>
      <c r="AJ73" s="49">
        <f>IF(AF73=".",".",up_RadSpec!$K$7*AJ7*$B$73)</f>
        <v>0.39240867579908678</v>
      </c>
      <c r="AK73" s="49">
        <f t="shared" si="38"/>
        <v>2506.9028253424653</v>
      </c>
      <c r="AL73" s="60">
        <f>IFERROR(AL7/$B59,".")</f>
        <v>3.6363636363636364E-3</v>
      </c>
      <c r="AM73" s="60" t="str">
        <f>IFERROR(AM7,".")</f>
        <v>.</v>
      </c>
      <c r="AN73" s="60">
        <f>IFERROR(AN7/$B59,".")</f>
        <v>39.81818181818182</v>
      </c>
      <c r="AO73" s="60">
        <f>IFERROR(AO7/$B59,".")</f>
        <v>1.6443412786038033E-4</v>
      </c>
      <c r="AP73" s="60">
        <f>IFERROR(AP7/$B59,".")</f>
        <v>1.5731958335636468E-4</v>
      </c>
      <c r="AQ73" s="189">
        <f t="shared" ref="AQ73" si="248">IFERROR(AQ7/$B59,0)</f>
        <v>4.6251957506771222E-16</v>
      </c>
      <c r="AR73" s="49">
        <f>IF(AL73=".",".",up_RadSpec!$I$7*AR7*$B$73)</f>
        <v>6875</v>
      </c>
      <c r="AS73" s="49" t="str">
        <f>IF(AM73=".",".",up_RadSpec!$H$7*AS7*$B$73)</f>
        <v>.</v>
      </c>
      <c r="AT73" s="49">
        <f>IF(AN73=".",".",up_RadSpec!$M$7*AT7*$B$73)</f>
        <v>0.62785388127853881</v>
      </c>
      <c r="AU73" s="49">
        <f>up_b2w!AC73</f>
        <v>152036.56519057468</v>
      </c>
      <c r="AV73" s="49">
        <f t="shared" si="42"/>
        <v>158912.19304445595</v>
      </c>
      <c r="AW73" s="60">
        <f>IFERROR(AW7/$B59,".")</f>
        <v>6.6115702479338848E-4</v>
      </c>
      <c r="AX73" s="189">
        <f t="shared" ref="AX73" si="249">IFERROR(AX7/$B59,0)</f>
        <v>1.9438016528925621E-12</v>
      </c>
      <c r="AY73" s="49">
        <f>IF(AW73=".",".",up_RadSpec!$F$7*AY7*$B$73)</f>
        <v>37812.5</v>
      </c>
    </row>
    <row r="74" spans="1:51" x14ac:dyDescent="0.25">
      <c r="A74" s="48" t="s">
        <v>1081</v>
      </c>
      <c r="B74" s="45">
        <v>1.9000000000000001E-8</v>
      </c>
      <c r="C74" s="174"/>
      <c r="D74" s="60">
        <f t="shared" ref="D74:I74" si="250">IFERROR(D12/$B60,".")</f>
        <v>17398869.073510222</v>
      </c>
      <c r="E74" s="60">
        <f t="shared" si="250"/>
        <v>162631146589.17325</v>
      </c>
      <c r="F74" s="60">
        <f t="shared" si="250"/>
        <v>20842707110.830246</v>
      </c>
      <c r="G74" s="60">
        <f t="shared" si="250"/>
        <v>1735.2018623227509</v>
      </c>
      <c r="H74" s="60">
        <f t="shared" si="250"/>
        <v>8699.4345367551105</v>
      </c>
      <c r="I74" s="60">
        <f t="shared" si="250"/>
        <v>1735.0286636957012</v>
      </c>
      <c r="J74" s="189">
        <f>IFERROR(J12/$B60,0)</f>
        <v>5.0038226660984025E-6</v>
      </c>
      <c r="K74" s="49">
        <f>IF(D74=".",".",up_RadSpec!$E$12*K12*$B$74)</f>
        <v>1.4368750000000001E-6</v>
      </c>
      <c r="L74" s="49">
        <f>IF(E74=".",".",up_RadSpec!$H$12*L12*$B$74)</f>
        <v>1.5372209152010192E-10</v>
      </c>
      <c r="M74" s="49">
        <f>IF(F74=".",".",up_RadSpec!$G$12*M12*$B$74)</f>
        <v>1.1994603132435494E-9</v>
      </c>
      <c r="N74" s="49">
        <f>up_b2s!AC74</f>
        <v>1.4407545625000002E-2</v>
      </c>
      <c r="O74" s="49">
        <f t="shared" si="200"/>
        <v>1.4408983853182407E-2</v>
      </c>
      <c r="P74" s="60">
        <f>IFERROR(P12/$B60,".")</f>
        <v>20842707110.830246</v>
      </c>
      <c r="Q74" s="60">
        <f>IFERROR(Q12/$B60,".")</f>
        <v>37393153339.235344</v>
      </c>
      <c r="R74" s="60">
        <f>IFERROR(R12/$B60,".")</f>
        <v>27113313130.457554</v>
      </c>
      <c r="S74" s="60">
        <f>IFERROR(S12/$B60,".")</f>
        <v>23944837028.216114</v>
      </c>
      <c r="T74" s="60">
        <f>IFERROR(T12/$B60,".")</f>
        <v>64549902895.767548</v>
      </c>
      <c r="U74" s="189">
        <f t="shared" ref="U74:Y74" si="251">IFERROR(U12/$B60,0)</f>
        <v>60.110367307634426</v>
      </c>
      <c r="V74" s="189">
        <f t="shared" si="251"/>
        <v>107.84185423035473</v>
      </c>
      <c r="W74" s="189">
        <f t="shared" si="251"/>
        <v>78.1947950682396</v>
      </c>
      <c r="X74" s="189">
        <f t="shared" si="251"/>
        <v>69.056909989375285</v>
      </c>
      <c r="Y74" s="189">
        <f t="shared" si="251"/>
        <v>186.1619199513936</v>
      </c>
      <c r="Z74" s="49">
        <f>IF(P74=".",".",up_RadSpec!$G$12*Z12*$B$74)</f>
        <v>1.1994603132435494E-9</v>
      </c>
      <c r="AA74" s="49">
        <f>IF(Q74=".",".",up_RadSpec!$N$12*AA12*$B$74)</f>
        <v>6.6857159045124879E-10</v>
      </c>
      <c r="AB74" s="49">
        <f>IF(R74=".",".",up_RadSpec!$O$12*AB12*$B$74)</f>
        <v>9.220562562646179E-10</v>
      </c>
      <c r="AC74" s="49">
        <f>IF(S74=".",".",up_RadSpec!$P$12*AC12*$B$74)</f>
        <v>1.0440664085765337E-9</v>
      </c>
      <c r="AD74" s="49">
        <f>IF(T74=".",".",up_RadSpec!$L$12*AD12*$B$74)</f>
        <v>3.872972518699051E-10</v>
      </c>
      <c r="AE74" s="60">
        <f>IFERROR(AE12/$B60,".")</f>
        <v>524948.73547505133</v>
      </c>
      <c r="AF74" s="60">
        <f>IFERROR(AF12/$B60,".")</f>
        <v>3353110047.84689</v>
      </c>
      <c r="AG74" s="60">
        <f>IFERROR(AG12/$B60,".")</f>
        <v>524866.56458431401</v>
      </c>
      <c r="AH74" s="189">
        <f t="shared" ref="AH74" si="252">IFERROR(AH12/$B60,0)</f>
        <v>1.5137151722611618E-6</v>
      </c>
      <c r="AI74" s="49">
        <f>IF(AE74=".",".",up_RadSpec!$H$12*AI12*$B$74)</f>
        <v>4.762369791666666E-5</v>
      </c>
      <c r="AJ74" s="49">
        <f>IF(AF74=".",".",up_RadSpec!$K$12*AJ12*$B$74)</f>
        <v>7.4557648401826493E-9</v>
      </c>
      <c r="AK74" s="49">
        <f t="shared" si="38"/>
        <v>4.7631153681506843E-5</v>
      </c>
      <c r="AL74" s="60">
        <f>IFERROR(AL12/$B60,".")</f>
        <v>191387.55980861242</v>
      </c>
      <c r="AM74" s="60" t="str">
        <f>IFERROR(AM12,".")</f>
        <v>.</v>
      </c>
      <c r="AN74" s="60">
        <f>IFERROR(AN12/$B60,".")</f>
        <v>2095693779.9043062</v>
      </c>
      <c r="AO74" s="60">
        <f>IFERROR(AO12/$B60,".")</f>
        <v>8654.4277821252799</v>
      </c>
      <c r="AP74" s="60">
        <f>IFERROR(AP12/$B60,".")</f>
        <v>8279.9780713876135</v>
      </c>
      <c r="AQ74" s="189">
        <f t="shared" ref="AQ74" si="253">IFERROR(AQ12/$B60,0)</f>
        <v>2.3879456757881884E-8</v>
      </c>
      <c r="AR74" s="49">
        <f>IF(AL74=".",".",up_RadSpec!$I$12*AR12*$B$74)</f>
        <v>1.3062500000000002E-4</v>
      </c>
      <c r="AS74" s="49" t="str">
        <f>IF(AM74=".",".",up_RadSpec!$H$12*AS12*$B$74)</f>
        <v>.</v>
      </c>
      <c r="AT74" s="49">
        <f>IF(AN74=".",".",up_RadSpec!$M$12*AT12*$B$74)</f>
        <v>1.1929223744292239E-8</v>
      </c>
      <c r="AU74" s="49">
        <f>up_b2w!AC74</f>
        <v>2.888694738620919E-3</v>
      </c>
      <c r="AV74" s="49">
        <f t="shared" si="42"/>
        <v>3.0193316678446633E-3</v>
      </c>
      <c r="AW74" s="60">
        <f>IFERROR(AW12/$B60,".")</f>
        <v>34797.738147020442</v>
      </c>
      <c r="AX74" s="189">
        <f t="shared" ref="AX74" si="254">IFERROR(AX12/$B60,0)</f>
        <v>1.0035667681600695E-4</v>
      </c>
      <c r="AY74" s="49">
        <f>IF(AW74=".",".",up_RadSpec!$F$12*AY12*$B$74)</f>
        <v>7.184375E-4</v>
      </c>
    </row>
    <row r="75" spans="1:51" x14ac:dyDescent="0.25">
      <c r="A75" s="48" t="s">
        <v>1082</v>
      </c>
      <c r="B75" s="45">
        <v>1</v>
      </c>
      <c r="C75" s="170"/>
      <c r="D75" s="60">
        <f t="shared" ref="D75:I75" si="255">IFERROR(D18/$B61,".")</f>
        <v>0.33057851239669422</v>
      </c>
      <c r="E75" s="60">
        <f t="shared" si="255"/>
        <v>3089.9917851942919</v>
      </c>
      <c r="F75" s="60">
        <f t="shared" si="255"/>
        <v>198.99502767614223</v>
      </c>
      <c r="G75" s="60">
        <f t="shared" si="255"/>
        <v>3.2968835384132272E-5</v>
      </c>
      <c r="H75" s="60">
        <f t="shared" si="255"/>
        <v>1.6528925619834712E-4</v>
      </c>
      <c r="I75" s="60">
        <f t="shared" si="255"/>
        <v>3.2965541893322932E-5</v>
      </c>
      <c r="J75" s="189">
        <f>IFERROR(J18/$B61,0)</f>
        <v>9.6918693166369434E-14</v>
      </c>
      <c r="K75" s="49">
        <f>IF(D75=".",".",up_RadSpec!$E$18*K18*$B$75)</f>
        <v>75.625</v>
      </c>
      <c r="L75" s="49">
        <f>IF(E75=".",".",up_RadSpec!$H$18*L18*$B$75)</f>
        <v>8.0906363957948379E-3</v>
      </c>
      <c r="M75" s="49">
        <f>IF(F75=".",".",up_RadSpec!$G$18*M18*$B$75)</f>
        <v>0.1256312797960292</v>
      </c>
      <c r="N75" s="49">
        <f>up_b2s!AC75</f>
        <v>758291.875</v>
      </c>
      <c r="O75" s="49">
        <f t="shared" si="200"/>
        <v>758367.63372191624</v>
      </c>
      <c r="P75" s="60">
        <f>IFERROR(P18/$B61,".")</f>
        <v>198.99502767614223</v>
      </c>
      <c r="Q75" s="60">
        <f>IFERROR(Q18/$B61,".")</f>
        <v>393.75339800268989</v>
      </c>
      <c r="R75" s="60">
        <f>IFERROR(R18/$B61,".")</f>
        <v>275.74376135306943</v>
      </c>
      <c r="S75" s="60">
        <f>IFERROR(S18/$B61,".")</f>
        <v>228.45868626050287</v>
      </c>
      <c r="T75" s="60">
        <f>IFERROR(T18/$B61,".")</f>
        <v>669.30846930846917</v>
      </c>
      <c r="U75" s="189">
        <f t="shared" ref="U75:Y75" si="256">IFERROR(U18/$B61,0)</f>
        <v>5.8504538136785824E-7</v>
      </c>
      <c r="V75" s="189">
        <f t="shared" si="256"/>
        <v>1.1576349901279086E-6</v>
      </c>
      <c r="W75" s="189">
        <f t="shared" si="256"/>
        <v>8.1068665837802415E-7</v>
      </c>
      <c r="X75" s="189">
        <f t="shared" si="256"/>
        <v>6.716685376058785E-7</v>
      </c>
      <c r="Y75" s="189">
        <f t="shared" si="256"/>
        <v>1.9677668997668997E-6</v>
      </c>
      <c r="Z75" s="49">
        <f>IF(P75=".",".",up_RadSpec!$G$18*Z18*$B$75)</f>
        <v>0.1256312797960292</v>
      </c>
      <c r="AA75" s="49">
        <f>IF(Q75=".",".",up_RadSpec!$N$18*AA18*$B$75)</f>
        <v>6.3491515569928395E-2</v>
      </c>
      <c r="AB75" s="49">
        <f>IF(R75=".",".",up_RadSpec!$O$18*AB18*$B$75)</f>
        <v>9.0663882574624613E-2</v>
      </c>
      <c r="AC75" s="49">
        <f>IF(S75=".",".",up_RadSpec!$P$18*AC18*$B$75)</f>
        <v>0.10942897558070276</v>
      </c>
      <c r="AD75" s="49">
        <f>IF(T75=".",".",up_RadSpec!$L$18*AD18*$B$75)</f>
        <v>3.7351985140469016E-2</v>
      </c>
      <c r="AE75" s="60">
        <f>IFERROR(AE18/$B61,".")</f>
        <v>9.9740259740259754E-3</v>
      </c>
      <c r="AF75" s="60">
        <f>IFERROR(AF18/$B61,".")</f>
        <v>63.709090909090911</v>
      </c>
      <c r="AG75" s="60">
        <f>IFERROR(AG18/$B61,".")</f>
        <v>9.9724647271019675E-3</v>
      </c>
      <c r="AH75" s="189">
        <f t="shared" ref="AH75" si="257">IFERROR(AH18/$B61,0)</f>
        <v>2.9319046297679789E-14</v>
      </c>
      <c r="AI75" s="49">
        <f>IF(AE75=".",".",up_RadSpec!$H$18*AI18*$B$75)</f>
        <v>2506.5104166666661</v>
      </c>
      <c r="AJ75" s="49">
        <f>IF(AF75=".",".",up_RadSpec!$K$18*AJ18*$B$75)</f>
        <v>0.39240867579908678</v>
      </c>
      <c r="AK75" s="49">
        <f t="shared" si="38"/>
        <v>2506.9028253424653</v>
      </c>
      <c r="AL75" s="60">
        <f>IFERROR(AL18/$B61,".")</f>
        <v>3.6363636363636364E-3</v>
      </c>
      <c r="AM75" s="60" t="str">
        <f>IFERROR(AM18,".")</f>
        <v>.</v>
      </c>
      <c r="AN75" s="60">
        <f>IFERROR(AN18/$B61,".")</f>
        <v>39.81818181818182</v>
      </c>
      <c r="AO75" s="60">
        <f>IFERROR(AO18/$B61,".")</f>
        <v>1.6443412786038033E-4</v>
      </c>
      <c r="AP75" s="60">
        <f>IFERROR(AP18/$B61,".")</f>
        <v>1.5731958335636468E-4</v>
      </c>
      <c r="AQ75" s="189">
        <f t="shared" ref="AQ75" si="258">IFERROR(AQ18/$B61,0)</f>
        <v>4.6251957506771222E-16</v>
      </c>
      <c r="AR75" s="49">
        <f>IF(AL75=".",".",up_RadSpec!$I$18*AR18*$B$75)</f>
        <v>6875</v>
      </c>
      <c r="AS75" s="49" t="str">
        <f>IF(AM75=".",".",up_RadSpec!$H$18*AS18*$B$75)</f>
        <v>.</v>
      </c>
      <c r="AT75" s="49">
        <f>IF(AN75=".",".",up_RadSpec!$M$18*AT18*$B$75)</f>
        <v>0.62785388127853881</v>
      </c>
      <c r="AU75" s="49">
        <f>up_b2w!AC75</f>
        <v>152036.56519057468</v>
      </c>
      <c r="AV75" s="49">
        <f t="shared" si="42"/>
        <v>158912.19304445595</v>
      </c>
      <c r="AW75" s="60">
        <f>IFERROR(AW18/$B61,".")</f>
        <v>6.6115702479338848E-4</v>
      </c>
      <c r="AX75" s="189">
        <f t="shared" ref="AX75" si="259">IFERROR(AX18/$B61,0)</f>
        <v>1.9438016528925621E-12</v>
      </c>
      <c r="AY75" s="49">
        <f>IF(AW75=".",".",up_RadSpec!$F$18*AY18*$B$75)</f>
        <v>37812.5</v>
      </c>
    </row>
    <row r="76" spans="1:51" x14ac:dyDescent="0.25">
      <c r="A76" s="48" t="s">
        <v>1083</v>
      </c>
      <c r="B76" s="45">
        <v>1.339E-6</v>
      </c>
      <c r="C76" s="170"/>
      <c r="D76" s="60">
        <f t="shared" ref="D76:I76" si="260">IFERROR(D27/$B62,".")</f>
        <v>246884.62464278881</v>
      </c>
      <c r="E76" s="60">
        <f t="shared" si="260"/>
        <v>2307686172.6619058</v>
      </c>
      <c r="F76" s="60">
        <f t="shared" si="260"/>
        <v>243894464.06009656</v>
      </c>
      <c r="G76" s="60">
        <f t="shared" si="260"/>
        <v>24.621983109882205</v>
      </c>
      <c r="H76" s="60">
        <f t="shared" si="260"/>
        <v>123.44231232139441</v>
      </c>
      <c r="I76" s="60">
        <f t="shared" si="260"/>
        <v>24.619525038645897</v>
      </c>
      <c r="J76" s="189">
        <f>IFERROR(J27/$B62,0)</f>
        <v>7.1002710211454772E-8</v>
      </c>
      <c r="K76" s="49">
        <f>IF(D76=".",".",up_RadSpec!$E$27*K27*$B$76)</f>
        <v>1.0126187500000001E-4</v>
      </c>
      <c r="L76" s="49">
        <f>IF(E76=".",".",up_RadSpec!$H$27*L27*$B$76)</f>
        <v>1.0833362133969288E-8</v>
      </c>
      <c r="M76" s="49">
        <f>IF(F76=".",".",up_RadSpec!$G$27*M27*$B$76)</f>
        <v>1.0250335158833248E-7</v>
      </c>
      <c r="N76" s="49">
        <f>up_b2s!AC76</f>
        <v>1.015352820625</v>
      </c>
      <c r="O76" s="49">
        <f t="shared" si="200"/>
        <v>1.0154541958367138</v>
      </c>
      <c r="P76" s="60">
        <f>IFERROR(P27/$B62,".")</f>
        <v>243894464.06009656</v>
      </c>
      <c r="Q76" s="60">
        <f>IFERROR(Q27/$B62,".")</f>
        <v>723432588.53223121</v>
      </c>
      <c r="R76" s="60">
        <f>IFERROR(R27/$B62,".")</f>
        <v>443518576.30272853</v>
      </c>
      <c r="S76" s="60">
        <f>IFERROR(S27/$B62,".")</f>
        <v>322642630.06237364</v>
      </c>
      <c r="T76" s="60">
        <f>IFERROR(T27/$B62,".")</f>
        <v>2262884433.0162129</v>
      </c>
      <c r="U76" s="189">
        <f t="shared" ref="U76:Y76" si="261">IFERROR(U27/$B62,0)</f>
        <v>0.70339163434931851</v>
      </c>
      <c r="V76" s="189">
        <f t="shared" si="261"/>
        <v>2.0863795853269549</v>
      </c>
      <c r="W76" s="189">
        <f t="shared" si="261"/>
        <v>1.2791075740570692</v>
      </c>
      <c r="X76" s="189">
        <f t="shared" si="261"/>
        <v>0.93050134509988558</v>
      </c>
      <c r="Y76" s="189">
        <f t="shared" si="261"/>
        <v>6.5261587048187586</v>
      </c>
      <c r="Z76" s="49">
        <f>IF(P76=".",".",up_RadSpec!$G$27*Z27*$B$76)</f>
        <v>1.0250335158833248E-7</v>
      </c>
      <c r="AA76" s="49">
        <f>IF(Q76=".",".",up_RadSpec!$N$27*AA27*$B$76)</f>
        <v>3.4557470034246562E-8</v>
      </c>
      <c r="AB76" s="49">
        <f>IF(R76=".",".",up_RadSpec!$O$27*AB27*$B$76)</f>
        <v>5.6367424806432396E-8</v>
      </c>
      <c r="AC76" s="49">
        <f>IF(S76=".",".",up_RadSpec!$P$27*AC27*$B$76)</f>
        <v>7.7485110988485845E-8</v>
      </c>
      <c r="AD76" s="49">
        <f>IF(T76=".",".",up_RadSpec!$L$27*AD27*$B$76)</f>
        <v>1.1047846560452647E-8</v>
      </c>
      <c r="AE76" s="60">
        <f>IFERROR(AE27/$B62,".")</f>
        <v>7448.8618177938579</v>
      </c>
      <c r="AF76" s="60">
        <f>IFERROR(AF27/$B62,".")</f>
        <v>47579604.861158259</v>
      </c>
      <c r="AG76" s="60">
        <f>IFERROR(AG27/$B62,".")</f>
        <v>7447.6958380149126</v>
      </c>
      <c r="AH76" s="189">
        <f t="shared" ref="AH76" si="262">IFERROR(AH27/$B62,0)</f>
        <v>2.1479154796835008E-8</v>
      </c>
      <c r="AI76" s="49">
        <f>IF(AE76=".",".",up_RadSpec!$H$27*AI27*$B$76)</f>
        <v>3.3562174479166659E-3</v>
      </c>
      <c r="AJ76" s="49">
        <f>IF(AF76=".",".",up_RadSpec!$K$27*AJ27*$B$76)</f>
        <v>5.2543521689497717E-7</v>
      </c>
      <c r="AK76" s="49">
        <f t="shared" si="38"/>
        <v>3.3567428831335609E-3</v>
      </c>
      <c r="AL76" s="60">
        <f>IFERROR(AL27/$B62,".")</f>
        <v>2715.730871070677</v>
      </c>
      <c r="AM76" s="60" t="str">
        <f>IFERROR(AM27,".")</f>
        <v>.</v>
      </c>
      <c r="AN76" s="60">
        <f>IFERROR(AN27/$B62,".")</f>
        <v>29737253.038223915</v>
      </c>
      <c r="AO76" s="60">
        <f>IFERROR(AO27/$B62,".")</f>
        <v>122.80368025420488</v>
      </c>
      <c r="AP76" s="60">
        <f>IFERROR(AP27/$B62,".")</f>
        <v>117.49035351483546</v>
      </c>
      <c r="AQ76" s="189">
        <f t="shared" ref="AQ76" si="263">IFERROR(AQ27/$B62,0)</f>
        <v>3.3884217953678551E-10</v>
      </c>
      <c r="AR76" s="49">
        <f>IF(AL76=".",".",up_RadSpec!$I$27*AR27*$B$76)</f>
        <v>9.2056250000000003E-3</v>
      </c>
      <c r="AS76" s="49" t="str">
        <f>IF(AM76=".",".",up_RadSpec!$H$27*AS27*$B$76)</f>
        <v>.</v>
      </c>
      <c r="AT76" s="49">
        <f>IF(AN76=".",".",up_RadSpec!$M$27*AT27*$B$76)</f>
        <v>8.4069634703196346E-7</v>
      </c>
      <c r="AU76" s="49">
        <f>up_b2w!AC76</f>
        <v>0.20357696079017951</v>
      </c>
      <c r="AV76" s="49">
        <f t="shared" si="42"/>
        <v>0.21278342648652654</v>
      </c>
      <c r="AW76" s="60">
        <f>IFERROR(AW27/$B62,".")</f>
        <v>493.76924928557764</v>
      </c>
      <c r="AX76" s="189">
        <f t="shared" ref="AX76" si="264">IFERROR(AX27/$B62,0)</f>
        <v>1.4240305149396058E-6</v>
      </c>
      <c r="AY76" s="49">
        <f>IF(AW76=".",".",up_RadSpec!$F$27*AY27*$B$76)</f>
        <v>5.0630937500000001E-2</v>
      </c>
    </row>
  </sheetData>
  <sheetProtection algorithmName="SHA-512" hashValue="+E58tPvOiwTYwCeiZn9sHFMhh0ADW380I3y9KKoR20DPBNJNBaWGx1D+v2lrKDwTDD5VUvsXERtGFhwl16Taew==" saltValue="FVZ9cSBpXSyG8N1YMnyUTg==" spinCount="100000" sheet="1" formatColumns="0" formatRows="0" autoFilter="0"/>
  <autoFilter ref="A1:AP1299" xr:uid="{00000000-0009-0000-0000-00001E000000}"/>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tint="-0.499984740745262"/>
  </sheetPr>
  <dimension ref="A1:EN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15.5703125" defaultRowHeight="15" x14ac:dyDescent="0.25"/>
  <cols>
    <col min="1" max="1" width="15.140625" style="4" bestFit="1" customWidth="1"/>
    <col min="2" max="2" width="12" style="4" bestFit="1" customWidth="1"/>
    <col min="3" max="3" width="13.28515625" style="4" customWidth="1"/>
    <col min="4" max="4" width="13.7109375" style="3" bestFit="1" customWidth="1"/>
    <col min="5" max="5" width="12.85546875" style="3" bestFit="1" customWidth="1"/>
    <col min="6" max="6" width="9.85546875" style="3" bestFit="1" customWidth="1"/>
    <col min="7" max="7" width="10.5703125" style="3" bestFit="1" customWidth="1"/>
    <col min="8" max="8" width="11" style="3" bestFit="1" customWidth="1"/>
    <col min="9" max="9" width="11.7109375" style="3" bestFit="1" customWidth="1"/>
    <col min="10" max="10" width="10" style="3" bestFit="1" customWidth="1"/>
    <col min="11" max="11" width="12.42578125" style="3" bestFit="1" customWidth="1"/>
    <col min="12" max="12" width="10.5703125" style="3" bestFit="1" customWidth="1"/>
    <col min="13" max="13" width="11.7109375" style="3" bestFit="1" customWidth="1"/>
    <col min="14" max="14" width="12.5703125" style="3" bestFit="1" customWidth="1"/>
    <col min="15" max="15" width="13.42578125" style="3" bestFit="1" customWidth="1"/>
    <col min="16" max="16" width="13" style="3" bestFit="1" customWidth="1"/>
    <col min="17" max="17" width="12.42578125" style="3" bestFit="1" customWidth="1"/>
    <col min="18" max="18" width="10" style="3" bestFit="1" customWidth="1"/>
    <col min="19" max="19" width="10.42578125" style="3" bestFit="1" customWidth="1"/>
    <col min="20" max="20" width="11" style="3" bestFit="1" customWidth="1"/>
    <col min="21" max="21" width="11.42578125" style="3" bestFit="1" customWidth="1"/>
    <col min="22" max="22" width="10" style="3" bestFit="1" customWidth="1"/>
    <col min="23" max="23" width="12" style="3" bestFit="1" customWidth="1"/>
    <col min="24" max="27" width="12" style="3" customWidth="1"/>
    <col min="28" max="28" width="13.140625" style="3" bestFit="1" customWidth="1"/>
    <col min="29" max="29" width="18.28515625" style="3" bestFit="1" customWidth="1"/>
    <col min="30" max="30" width="13.85546875" style="3" bestFit="1" customWidth="1"/>
    <col min="31" max="31" width="13" style="3" bestFit="1" customWidth="1"/>
    <col min="32" max="32" width="10.28515625" style="3" bestFit="1" customWidth="1"/>
    <col min="33" max="33" width="10.85546875" style="3" bestFit="1" customWidth="1"/>
    <col min="34" max="34" width="11.28515625" style="3" bestFit="1" customWidth="1"/>
    <col min="35" max="35" width="12" style="3" bestFit="1" customWidth="1"/>
    <col min="36" max="36" width="10.140625" style="3" bestFit="1" customWidth="1"/>
    <col min="37" max="37" width="12.5703125" style="3" bestFit="1" customWidth="1"/>
    <col min="38" max="38" width="11" style="3" bestFit="1" customWidth="1"/>
    <col min="39" max="39" width="12" style="3" bestFit="1" customWidth="1"/>
    <col min="40" max="40" width="13" style="3" bestFit="1" customWidth="1"/>
    <col min="41" max="41" width="13.85546875" style="3" bestFit="1" customWidth="1"/>
    <col min="42" max="42" width="13.140625" style="3" bestFit="1" customWidth="1"/>
    <col min="43" max="43" width="13.28515625" style="3" bestFit="1" customWidth="1"/>
    <col min="44" max="44" width="13.140625" style="2" bestFit="1" customWidth="1"/>
    <col min="45" max="45" width="17.42578125" style="3" bestFit="1" customWidth="1"/>
    <col min="46" max="46" width="13.7109375" style="3" bestFit="1" customWidth="1"/>
    <col min="47" max="47" width="16.140625" style="3" bestFit="1" customWidth="1"/>
    <col min="48" max="48" width="14.28515625" style="3" bestFit="1" customWidth="1"/>
    <col min="49" max="49" width="14.7109375" style="3" bestFit="1" customWidth="1"/>
    <col min="50" max="50" width="15.28515625" style="3" bestFit="1" customWidth="1"/>
    <col min="51" max="51" width="16.5703125" style="3" bestFit="1" customWidth="1"/>
    <col min="52" max="52" width="13.5703125" style="3" bestFit="1" customWidth="1"/>
    <col min="53" max="53" width="14.28515625" style="3" bestFit="1" customWidth="1"/>
    <col min="54" max="54" width="16.42578125" style="3" bestFit="1" customWidth="1"/>
    <col min="55" max="55" width="15.42578125" style="3" bestFit="1" customWidth="1"/>
    <col min="56" max="56" width="17.28515625" style="3" bestFit="1" customWidth="1"/>
    <col min="57" max="58" width="8.7109375" style="3" bestFit="1" customWidth="1"/>
    <col min="59" max="59" width="8.85546875" style="3" bestFit="1" customWidth="1"/>
    <col min="60" max="60" width="11.85546875" style="3" bestFit="1" customWidth="1"/>
    <col min="61" max="61" width="9" style="3" bestFit="1" customWidth="1"/>
    <col min="62" max="62" width="10.85546875" style="3" bestFit="1" customWidth="1"/>
    <col min="63" max="63" width="9.5703125" style="3" bestFit="1" customWidth="1"/>
    <col min="64" max="64" width="10" style="3" bestFit="1" customWidth="1"/>
    <col min="65" max="65" width="10.42578125" style="3" bestFit="1" customWidth="1"/>
    <col min="66" max="66" width="11.28515625" style="3" bestFit="1" customWidth="1"/>
    <col min="67" max="67" width="9" style="3" bestFit="1" customWidth="1"/>
    <col min="68" max="68" width="9.7109375" style="3" bestFit="1" customWidth="1"/>
    <col min="69" max="69" width="11.140625" style="3" bestFit="1" customWidth="1"/>
    <col min="70" max="70" width="10.42578125" style="3" bestFit="1" customWidth="1"/>
    <col min="71" max="71" width="11.85546875" style="3" bestFit="1" customWidth="1"/>
    <col min="72" max="72" width="13" style="3" bestFit="1" customWidth="1"/>
    <col min="73" max="73" width="17" style="2" bestFit="1" customWidth="1"/>
    <col min="74" max="76" width="13.42578125" style="3" bestFit="1" customWidth="1"/>
    <col min="77" max="77" width="17.5703125" style="3" bestFit="1" customWidth="1"/>
    <col min="78" max="78" width="13.85546875" style="3" bestFit="1" customWidth="1"/>
    <col min="79" max="79" width="16.42578125" style="3" bestFit="1" customWidth="1"/>
    <col min="80" max="80" width="14.42578125" style="3" bestFit="1" customWidth="1"/>
    <col min="81" max="81" width="15" style="3" bestFit="1" customWidth="1"/>
    <col min="82" max="82" width="15.5703125" style="3" bestFit="1" customWidth="1"/>
    <col min="83" max="83" width="16.85546875" style="3" bestFit="1" customWidth="1"/>
    <col min="84" max="84" width="14" style="3" bestFit="1" customWidth="1"/>
    <col min="85" max="85" width="14.7109375" style="3" bestFit="1" customWidth="1"/>
    <col min="86" max="86" width="16.85546875" style="3" bestFit="1" customWidth="1"/>
    <col min="87" max="87" width="15.7109375" style="3" bestFit="1" customWidth="1"/>
    <col min="88" max="88" width="17.5703125" style="3" bestFit="1" customWidth="1"/>
    <col min="89" max="89" width="17.28515625" style="3" bestFit="1" customWidth="1"/>
    <col min="90" max="91" width="13.42578125" style="3" bestFit="1" customWidth="1"/>
    <col min="92" max="92" width="14.5703125" style="3" bestFit="1" customWidth="1"/>
    <col min="93" max="93" width="17.7109375" style="3" bestFit="1" customWidth="1"/>
    <col min="94" max="94" width="13.85546875" style="3" bestFit="1" customWidth="1"/>
    <col min="95" max="95" width="16.42578125" style="3" bestFit="1" customWidth="1"/>
    <col min="96" max="96" width="14.42578125" style="3" bestFit="1" customWidth="1"/>
    <col min="97" max="97" width="15" style="3" bestFit="1" customWidth="1"/>
    <col min="98" max="98" width="15.5703125" style="3" bestFit="1" customWidth="1"/>
    <col min="99" max="99" width="16.85546875" style="3" bestFit="1" customWidth="1"/>
    <col min="100" max="100" width="13.85546875" style="3" bestFit="1" customWidth="1"/>
    <col min="101" max="101" width="14.42578125" style="3" bestFit="1" customWidth="1"/>
    <col min="102" max="102" width="16.5703125" style="3" bestFit="1" customWidth="1"/>
    <col min="103" max="103" width="15.7109375" style="3" bestFit="1" customWidth="1"/>
    <col min="104" max="104" width="17.42578125" style="3" bestFit="1" customWidth="1"/>
    <col min="105" max="106" width="9" style="2" bestFit="1" customWidth="1"/>
    <col min="107" max="107" width="9.85546875" style="2" bestFit="1" customWidth="1"/>
    <col min="108" max="108" width="12" style="2" bestFit="1" customWidth="1"/>
    <col min="109" max="109" width="9.28515625" style="2" bestFit="1" customWidth="1"/>
    <col min="110" max="110" width="11.140625" style="2" bestFit="1" customWidth="1"/>
    <col min="111" max="111" width="9.85546875" style="2" bestFit="1" customWidth="1"/>
    <col min="112" max="112" width="10.140625" style="2" bestFit="1" customWidth="1"/>
    <col min="113" max="113" width="10.7109375" style="2" bestFit="1" customWidth="1"/>
    <col min="114" max="114" width="11.5703125" style="2" bestFit="1" customWidth="1"/>
    <col min="115" max="115" width="9.28515625" style="2" bestFit="1" customWidth="1"/>
    <col min="116" max="116" width="9.85546875" style="2" bestFit="1" customWidth="1"/>
    <col min="117" max="117" width="11.42578125" style="2" bestFit="1" customWidth="1"/>
    <col min="118" max="118" width="10.7109375" style="2" bestFit="1" customWidth="1"/>
    <col min="119" max="119" width="12" style="2" bestFit="1" customWidth="1"/>
    <col min="120" max="120" width="13.28515625" style="3" bestFit="1" customWidth="1"/>
    <col min="121" max="121" width="15.42578125" style="3" bestFit="1" customWidth="1"/>
    <col min="122" max="123" width="13.85546875" style="3" bestFit="1" customWidth="1"/>
    <col min="124" max="124" width="14.85546875" style="3" bestFit="1" customWidth="1"/>
    <col min="125" max="125" width="17.85546875" style="3" bestFit="1" customWidth="1"/>
    <col min="126" max="126" width="14.140625" style="3" bestFit="1" customWidth="1"/>
    <col min="127" max="127" width="16.7109375" style="3" bestFit="1" customWidth="1"/>
    <col min="128" max="128" width="14.85546875" style="3" bestFit="1" customWidth="1"/>
    <col min="129" max="129" width="15.28515625" style="3" bestFit="1" customWidth="1"/>
    <col min="130" max="130" width="16" style="3" bestFit="1" customWidth="1"/>
    <col min="131" max="131" width="17" style="3" bestFit="1" customWidth="1"/>
    <col min="132" max="132" width="14.28515625" style="3" bestFit="1" customWidth="1"/>
    <col min="133" max="133" width="15" style="3" bestFit="1" customWidth="1"/>
    <col min="134" max="134" width="17" style="3" bestFit="1" customWidth="1"/>
    <col min="135" max="135" width="16" style="3" bestFit="1" customWidth="1"/>
    <col min="136" max="136" width="17.85546875" style="3" bestFit="1" customWidth="1"/>
    <col min="137" max="137" width="14.140625" style="3" bestFit="1" customWidth="1"/>
    <col min="138" max="138" width="12.5703125" style="3" bestFit="1" customWidth="1"/>
    <col min="139" max="139" width="13" style="3" bestFit="1" customWidth="1"/>
    <col min="140" max="140" width="12.42578125" style="3" bestFit="1" customWidth="1"/>
    <col min="141" max="141" width="15" style="3" bestFit="1" customWidth="1"/>
    <col min="142" max="142" width="13" style="3" bestFit="1" customWidth="1"/>
    <col min="143" max="144" width="13.28515625" style="3" bestFit="1" customWidth="1"/>
    <col min="145" max="16384" width="15.5703125" style="3"/>
  </cols>
  <sheetData>
    <row r="1" spans="1:144" s="14" customFormat="1" x14ac:dyDescent="0.25">
      <c r="A1" s="72" t="s">
        <v>39</v>
      </c>
      <c r="B1" s="73" t="s">
        <v>334</v>
      </c>
      <c r="C1" s="72"/>
      <c r="D1" s="64" t="s">
        <v>1392</v>
      </c>
      <c r="E1" s="64" t="s">
        <v>1393</v>
      </c>
      <c r="F1" s="64" t="s">
        <v>1394</v>
      </c>
      <c r="G1" s="64" t="s">
        <v>1395</v>
      </c>
      <c r="H1" s="64" t="s">
        <v>1396</v>
      </c>
      <c r="I1" s="64" t="s">
        <v>1397</v>
      </c>
      <c r="J1" s="64" t="s">
        <v>1398</v>
      </c>
      <c r="K1" s="64" t="s">
        <v>1399</v>
      </c>
      <c r="L1" s="64" t="s">
        <v>1485</v>
      </c>
      <c r="M1" s="64" t="s">
        <v>1486</v>
      </c>
      <c r="N1" s="64" t="s">
        <v>1487</v>
      </c>
      <c r="O1" s="64" t="s">
        <v>1488</v>
      </c>
      <c r="P1" s="38" t="s">
        <v>1523</v>
      </c>
      <c r="Q1" s="38" t="s">
        <v>1524</v>
      </c>
      <c r="R1" s="38" t="s">
        <v>1525</v>
      </c>
      <c r="S1" s="38" t="s">
        <v>1526</v>
      </c>
      <c r="T1" s="38" t="s">
        <v>1527</v>
      </c>
      <c r="U1" s="38" t="s">
        <v>1528</v>
      </c>
      <c r="V1" s="38" t="s">
        <v>1529</v>
      </c>
      <c r="W1" s="38" t="s">
        <v>1530</v>
      </c>
      <c r="X1" s="38" t="s">
        <v>1531</v>
      </c>
      <c r="Y1" s="38" t="s">
        <v>1532</v>
      </c>
      <c r="Z1" s="38" t="s">
        <v>1533</v>
      </c>
      <c r="AA1" s="38" t="s">
        <v>1534</v>
      </c>
      <c r="AB1" s="64" t="s">
        <v>1400</v>
      </c>
      <c r="AC1" s="247" t="s">
        <v>1516</v>
      </c>
      <c r="AD1" s="109" t="s">
        <v>1192</v>
      </c>
      <c r="AE1" s="109" t="s">
        <v>1193</v>
      </c>
      <c r="AF1" s="109" t="s">
        <v>1194</v>
      </c>
      <c r="AG1" s="109" t="s">
        <v>1195</v>
      </c>
      <c r="AH1" s="109" t="s">
        <v>1196</v>
      </c>
      <c r="AI1" s="109" t="s">
        <v>1197</v>
      </c>
      <c r="AJ1" s="109" t="s">
        <v>1198</v>
      </c>
      <c r="AK1" s="109" t="s">
        <v>1308</v>
      </c>
      <c r="AL1" s="109" t="s">
        <v>1199</v>
      </c>
      <c r="AM1" s="109" t="s">
        <v>1200</v>
      </c>
      <c r="AN1" s="109" t="s">
        <v>1201</v>
      </c>
      <c r="AO1" s="109" t="s">
        <v>1202</v>
      </c>
      <c r="AP1" s="64" t="s">
        <v>1372</v>
      </c>
      <c r="AQ1" s="64" t="s">
        <v>1373</v>
      </c>
      <c r="AR1" s="65" t="s">
        <v>1374</v>
      </c>
      <c r="AS1" s="64" t="s">
        <v>1375</v>
      </c>
      <c r="AT1" s="64" t="s">
        <v>1406</v>
      </c>
      <c r="AU1" s="64" t="s">
        <v>1407</v>
      </c>
      <c r="AV1" s="64" t="s">
        <v>1403</v>
      </c>
      <c r="AW1" s="64" t="s">
        <v>1404</v>
      </c>
      <c r="AX1" s="64" t="s">
        <v>1405</v>
      </c>
      <c r="AY1" s="64" t="s">
        <v>1401</v>
      </c>
      <c r="AZ1" s="64" t="s">
        <v>1402</v>
      </c>
      <c r="BA1" s="64" t="s">
        <v>1489</v>
      </c>
      <c r="BB1" s="64" t="s">
        <v>1490</v>
      </c>
      <c r="BC1" s="64" t="s">
        <v>1491</v>
      </c>
      <c r="BD1" s="64" t="s">
        <v>1492</v>
      </c>
      <c r="BE1" s="38" t="s">
        <v>1149</v>
      </c>
      <c r="BF1" s="38" t="s">
        <v>1150</v>
      </c>
      <c r="BG1" s="38" t="s">
        <v>1151</v>
      </c>
      <c r="BH1" s="38" t="s">
        <v>1152</v>
      </c>
      <c r="BI1" s="38" t="s">
        <v>1158</v>
      </c>
      <c r="BJ1" s="38" t="s">
        <v>1287</v>
      </c>
      <c r="BK1" s="38" t="s">
        <v>1155</v>
      </c>
      <c r="BL1" s="38" t="s">
        <v>1156</v>
      </c>
      <c r="BM1" s="38" t="s">
        <v>1157</v>
      </c>
      <c r="BN1" s="38" t="s">
        <v>1153</v>
      </c>
      <c r="BO1" s="38" t="s">
        <v>1154</v>
      </c>
      <c r="BP1" s="38" t="s">
        <v>1188</v>
      </c>
      <c r="BQ1" s="38" t="s">
        <v>1190</v>
      </c>
      <c r="BR1" s="38" t="s">
        <v>1189</v>
      </c>
      <c r="BS1" s="38" t="s">
        <v>1191</v>
      </c>
      <c r="BT1" s="64" t="s">
        <v>1377</v>
      </c>
      <c r="BU1" s="189" t="s">
        <v>1255</v>
      </c>
      <c r="BV1" s="109" t="s">
        <v>1169</v>
      </c>
      <c r="BW1" s="109" t="s">
        <v>1170</v>
      </c>
      <c r="BX1" s="109" t="s">
        <v>1171</v>
      </c>
      <c r="BY1" s="109" t="s">
        <v>1172</v>
      </c>
      <c r="BZ1" s="109" t="s">
        <v>1208</v>
      </c>
      <c r="CA1" s="109" t="s">
        <v>1309</v>
      </c>
      <c r="CB1" s="109" t="s">
        <v>1205</v>
      </c>
      <c r="CC1" s="109" t="s">
        <v>1206</v>
      </c>
      <c r="CD1" s="109" t="s">
        <v>1207</v>
      </c>
      <c r="CE1" s="109" t="s">
        <v>1203</v>
      </c>
      <c r="CF1" s="109" t="s">
        <v>1204</v>
      </c>
      <c r="CG1" s="109" t="s">
        <v>1209</v>
      </c>
      <c r="CH1" s="109" t="s">
        <v>1211</v>
      </c>
      <c r="CI1" s="109" t="s">
        <v>1210</v>
      </c>
      <c r="CJ1" s="109" t="s">
        <v>1212</v>
      </c>
      <c r="CK1" s="110" t="s">
        <v>1510</v>
      </c>
      <c r="CL1" s="64" t="s">
        <v>1422</v>
      </c>
      <c r="CM1" s="64" t="s">
        <v>1493</v>
      </c>
      <c r="CN1" s="64" t="s">
        <v>1423</v>
      </c>
      <c r="CO1" s="64" t="s">
        <v>1494</v>
      </c>
      <c r="CP1" s="64" t="s">
        <v>1495</v>
      </c>
      <c r="CQ1" s="64" t="s">
        <v>1496</v>
      </c>
      <c r="CR1" s="64" t="s">
        <v>1497</v>
      </c>
      <c r="CS1" s="64" t="s">
        <v>1498</v>
      </c>
      <c r="CT1" s="64" t="s">
        <v>1499</v>
      </c>
      <c r="CU1" s="64" t="s">
        <v>1500</v>
      </c>
      <c r="CV1" s="64" t="s">
        <v>1501</v>
      </c>
      <c r="CW1" s="64" t="s">
        <v>1502</v>
      </c>
      <c r="CX1" s="64" t="s">
        <v>1503</v>
      </c>
      <c r="CY1" s="64" t="s">
        <v>1504</v>
      </c>
      <c r="CZ1" s="64" t="s">
        <v>1505</v>
      </c>
      <c r="DA1" s="38" t="s">
        <v>1317</v>
      </c>
      <c r="DB1" s="38" t="s">
        <v>1318</v>
      </c>
      <c r="DC1" s="38" t="s">
        <v>1319</v>
      </c>
      <c r="DD1" s="38" t="s">
        <v>1320</v>
      </c>
      <c r="DE1" s="38" t="s">
        <v>1321</v>
      </c>
      <c r="DF1" s="38" t="s">
        <v>1322</v>
      </c>
      <c r="DG1" s="38" t="s">
        <v>1323</v>
      </c>
      <c r="DH1" s="38" t="s">
        <v>1324</v>
      </c>
      <c r="DI1" s="38" t="s">
        <v>1325</v>
      </c>
      <c r="DJ1" s="38" t="s">
        <v>1326</v>
      </c>
      <c r="DK1" s="38" t="s">
        <v>1327</v>
      </c>
      <c r="DL1" s="38" t="s">
        <v>1328</v>
      </c>
      <c r="DM1" s="38" t="s">
        <v>1329</v>
      </c>
      <c r="DN1" s="38" t="s">
        <v>1330</v>
      </c>
      <c r="DO1" s="38" t="s">
        <v>1331</v>
      </c>
      <c r="DP1" s="64" t="s">
        <v>1426</v>
      </c>
      <c r="DQ1" s="189" t="s">
        <v>1262</v>
      </c>
      <c r="DR1" s="109" t="s">
        <v>1213</v>
      </c>
      <c r="DS1" s="109" t="s">
        <v>1332</v>
      </c>
      <c r="DT1" s="109" t="s">
        <v>1214</v>
      </c>
      <c r="DU1" s="109" t="s">
        <v>1333</v>
      </c>
      <c r="DV1" s="109" t="s">
        <v>1334</v>
      </c>
      <c r="DW1" s="109" t="s">
        <v>1335</v>
      </c>
      <c r="DX1" s="109" t="s">
        <v>1336</v>
      </c>
      <c r="DY1" s="109" t="s">
        <v>1337</v>
      </c>
      <c r="DZ1" s="109" t="s">
        <v>1338</v>
      </c>
      <c r="EA1" s="109" t="s">
        <v>1339</v>
      </c>
      <c r="EB1" s="109" t="s">
        <v>1340</v>
      </c>
      <c r="EC1" s="109" t="s">
        <v>1341</v>
      </c>
      <c r="ED1" s="109" t="s">
        <v>1342</v>
      </c>
      <c r="EE1" s="109" t="s">
        <v>1343</v>
      </c>
      <c r="EF1" s="109" t="s">
        <v>1344</v>
      </c>
      <c r="EG1" s="110" t="s">
        <v>1513</v>
      </c>
      <c r="EH1" s="64" t="s">
        <v>1383</v>
      </c>
      <c r="EI1" s="64" t="s">
        <v>1384</v>
      </c>
      <c r="EJ1" s="64" t="s">
        <v>1385</v>
      </c>
      <c r="EK1" s="188" t="s">
        <v>1261</v>
      </c>
      <c r="EL1" s="109" t="s">
        <v>1178</v>
      </c>
      <c r="EM1" s="109" t="s">
        <v>1179</v>
      </c>
      <c r="EN1" s="110" t="s">
        <v>1511</v>
      </c>
    </row>
    <row r="2" spans="1:144" customFormat="1" x14ac:dyDescent="0.25">
      <c r="A2" s="44" t="s">
        <v>0</v>
      </c>
      <c r="B2" s="42" t="s">
        <v>1057</v>
      </c>
      <c r="C2" s="42"/>
      <c r="D2" s="15">
        <f>up_dir!AC2</f>
        <v>1.6528925619834712E-4</v>
      </c>
      <c r="E2" s="15">
        <f>IFERROR(s_DL/(up_RadSpec!F2*s_IFP_far_adj*s_CF_far_poultry),".")</f>
        <v>6.6115702479338848E-4</v>
      </c>
      <c r="F2" s="15">
        <f>IFERROR(s_DL/(up_RadSpec!F2*s_IFE_far_adj*s_CF_far_egg),".")</f>
        <v>6.6115702479338848E-4</v>
      </c>
      <c r="G2" s="15">
        <f>IFERROR(s_DL/(up_RadSpec!F2*s_IFB_far_adj*s_CF_far_beef),".")</f>
        <v>6.6115702479338848E-4</v>
      </c>
      <c r="H2" s="15">
        <f>IFERROR(s_DL/(up_RadSpec!F2*s_IFD_far_adj*s_CF_far_dairy),".")</f>
        <v>6.6115702479338848E-4</v>
      </c>
      <c r="I2" s="15">
        <f>IFERROR(s_DL/(up_RadSpec!F2*s_IFSW_far_adj*s_CF_far_swine),".")</f>
        <v>6.6115702479338848E-4</v>
      </c>
      <c r="J2" s="15">
        <f>IFERROR(s_DL/(up_RadSpec!F2*s_IFFI_far_adj*s_CF_far_fish),".")</f>
        <v>6.6115702479338848E-4</v>
      </c>
      <c r="K2" s="15">
        <f>IFERROR(s_DL/(up_RadSpec!F2*s_IFSF_far_adj*s_CF_far_shellfish),".")</f>
        <v>6.6115702479338848E-4</v>
      </c>
      <c r="L2" s="15">
        <f>IFERROR(s_DL/(up_RadSpec!F2*s_IFGO_far_adj*s_CF_far_goat),".")</f>
        <v>6.6115702479338848E-4</v>
      </c>
      <c r="M2" s="15">
        <f>IFERROR(s_DL/(up_RadSpec!F2*s_IFSH_far_adj*s_CF_far_sheep),".")</f>
        <v>6.6115702479338848E-4</v>
      </c>
      <c r="N2" s="15">
        <f>IFERROR(s_DL/(up_RadSpec!F2*s_IFGM_far_adj*s_CF_far_goat_milk),".")</f>
        <v>6.6115702479338848E-4</v>
      </c>
      <c r="O2" s="15">
        <f>IFERROR(s_DL/(up_RadSpec!F2*s_IFSM_far_adj*s_CF_far_sheep_milk),".")</f>
        <v>6.6115702479338848E-4</v>
      </c>
      <c r="P2" s="111">
        <f>IFERROR(1/D2,".")</f>
        <v>6050</v>
      </c>
      <c r="Q2" s="111">
        <f t="shared" ref="Q2:AA17" si="0">IFERROR(1/E2,".")</f>
        <v>1512.5</v>
      </c>
      <c r="R2" s="111">
        <f t="shared" si="0"/>
        <v>1512.5</v>
      </c>
      <c r="S2" s="111">
        <f t="shared" si="0"/>
        <v>1512.5</v>
      </c>
      <c r="T2" s="111">
        <f t="shared" si="0"/>
        <v>1512.5</v>
      </c>
      <c r="U2" s="111">
        <f t="shared" si="0"/>
        <v>1512.5</v>
      </c>
      <c r="V2" s="111">
        <f t="shared" si="0"/>
        <v>1512.5</v>
      </c>
      <c r="W2" s="111">
        <f t="shared" si="0"/>
        <v>1512.5</v>
      </c>
      <c r="X2" s="111">
        <f t="shared" si="0"/>
        <v>1512.5</v>
      </c>
      <c r="Y2" s="111">
        <f t="shared" si="0"/>
        <v>1512.5</v>
      </c>
      <c r="Z2" s="111">
        <f t="shared" si="0"/>
        <v>1512.5</v>
      </c>
      <c r="AA2" s="111">
        <f t="shared" si="0"/>
        <v>1512.5</v>
      </c>
      <c r="AB2" s="15">
        <f>IFERROR(1/(SUMIF(P2:AA2,"&lt;&gt;0")),".")</f>
        <v>4.4077134986225897E-5</v>
      </c>
      <c r="AC2" s="247">
        <f>IFERROR(AB2*(0.0000000000028)*up_RadSpec!$AY2*up_RadSpec!$AF2,0)</f>
        <v>1.388429752066116E-13</v>
      </c>
      <c r="AD2" s="40">
        <f>up_dir!BC2</f>
        <v>30250</v>
      </c>
      <c r="AE2" s="40">
        <f t="shared" ref="AE2:AE30" si="1">IFERROR(s_C*s_IFP_far_adj*s_CF_far_poultry,".")</f>
        <v>7562.5</v>
      </c>
      <c r="AF2" s="40">
        <f t="shared" ref="AF2:AF30" si="2">IFERROR(s_C*s_IFE_far_adj*s_CF_far_egg,".")</f>
        <v>7562.5</v>
      </c>
      <c r="AG2" s="40">
        <f t="shared" ref="AG2:AG30" si="3">IFERROR(s_C*s_IFB_far_adj*s_CF_far_beef,".")</f>
        <v>7562.5</v>
      </c>
      <c r="AH2" s="40">
        <f t="shared" ref="AH2:AH30" si="4">IFERROR(s_C*s_IFD_far_adj*s_CF_far_dairy,".")</f>
        <v>7562.5</v>
      </c>
      <c r="AI2" s="40">
        <f t="shared" ref="AI2:AI30" si="5">IFERROR(s_C*s_IFS_far_adj*s_CF_far_swine,".")</f>
        <v>7562.5</v>
      </c>
      <c r="AJ2" s="40">
        <f t="shared" ref="AJ2:AJ30" si="6">IFERROR(s_C*s_IFFI_far_adj*s_CF_far_fish,".")</f>
        <v>7562.5</v>
      </c>
      <c r="AK2" s="40">
        <f t="shared" ref="AK2:AK30" si="7">IFERROR(s_C*s_IFSF_far_adj*s_CF_far_shellfish,".")</f>
        <v>7562.5</v>
      </c>
      <c r="AL2" s="40">
        <f t="shared" ref="AL2:AL30" si="8">IFERROR(s_C*s_IFGO_far_adj*s_CF_far_goat,".")</f>
        <v>7562.5</v>
      </c>
      <c r="AM2" s="40">
        <f t="shared" ref="AM2:AM30" si="9">IFERROR(s_C*s_IFSH_far_adj*s_CF_far_sheep,".")</f>
        <v>7562.5</v>
      </c>
      <c r="AN2" s="40">
        <f t="shared" ref="AN2:AN30" si="10">IFERROR(s_C*s_IFGM_far_adj*s_CF_far_goat_milk,".")</f>
        <v>7562.5</v>
      </c>
      <c r="AO2" s="40">
        <f t="shared" ref="AO2:AO30" si="11">IFERROR(s_C*s_IFSM_far_adj*s_CF_far_sheep_milk,".")</f>
        <v>7562.5</v>
      </c>
      <c r="AP2" s="45">
        <f>IFERROR((s_DL/(up_RadSpec!E2*s_IFS_far_adj*(1/1000)))*1,".")</f>
        <v>0.33057851239669422</v>
      </c>
      <c r="AQ2" s="45">
        <f>IFERROR(IF(A2="H-3",(s_DL/(up_RadSpec!H2*s_IFA_far_adj*(1/17)*1000))*1,(s_DL/(up_RadSpec!H2*s_IFA_far_adj*(1/s_PEF_wind)*1000))*1),".")</f>
        <v>3089.9917851942919</v>
      </c>
      <c r="AR2" s="45">
        <f>IFERROR((s_DL/(up_RadSpec!G2*s_EF_far*(1/365)*1*up_RadSpec!R2*((s_ET_far_o*(1/24)*up_RadSpec!W2)+(s_ET_far_i*(1/24)*up_RadSpec!AB2))))*1,".")</f>
        <v>704.55228981544781</v>
      </c>
      <c r="AS2" s="45">
        <f>up_b2s!BC2</f>
        <v>3.2968835384132272E-5</v>
      </c>
      <c r="AT2" s="45">
        <f>IFERROR(((J2*up_RadSpec!AU2)/up_RadSpec!AJ2)*1,".")</f>
        <v>6.6115702479338848E-4</v>
      </c>
      <c r="AU2" s="45">
        <f>IFERROR(((K2*up_RadSpec!AU2)/up_RadSpec!AK2)*1,".")</f>
        <v>6.6115702479338848E-4</v>
      </c>
      <c r="AV2" s="45">
        <f>IFERROR((G2/(up_RadSpec!AI2*((s_Q_p_beef*s_f_p_beef*s_f_s_beef*(up_RadSpec!BD2+s_R_es_past))+(s_Q_s_beef*s_f_p_beef))))*1,".")</f>
        <v>1.8558793678410905E-7</v>
      </c>
      <c r="AW2" s="45">
        <f>IFERROR(((H2*s_D_milk)/(up_RadSpec!AH2*((s_Q_p_dairy*s_f_p_dairy*s_f_s_dairy*(up_RadSpec!BD2+s_R_es_past))+(s_Q_s_dairy*s_f_p_dairy))))*1,".")</f>
        <v>1.9115557488763231E-7</v>
      </c>
      <c r="AX2" s="45">
        <f>IFERROR((I2/(up_RadSpec!AN2*((s_Q_p_swine*s_f_p_swine*s_f_s_swine*(up_RadSpec!BD2+s_R_es_past))+(s_Q_s_swine*s_f_p_swine))))*1,".")</f>
        <v>1.8558793678410905E-7</v>
      </c>
      <c r="AY2" s="45">
        <f>IFERROR((E2/(up_RadSpec!AL2*((s_Q_p_poultry*s_f_p_poultry*s_f_s_poultry*(up_RadSpec!BD2+s_R_es_past))+(s_Q_s_poultry*s_f_p_poultry))))*1,".")</f>
        <v>1.8558793678410905E-7</v>
      </c>
      <c r="AZ2" s="45">
        <f>IFERROR((F2/(up_RadSpec!AM2*((s_Q_p_poultry*s_f_p_poultry*s_f_s_poultry*(up_RadSpec!BD2+s_R_es_past))+(s_Q_s_poultry*s_f_p_poultry))))*1,".")</f>
        <v>1.8558793678410905E-7</v>
      </c>
      <c r="BA2" s="45">
        <f>IFERROR((L2/(up_RadSpec!AQ2*((s_Q_p_goat*s_f_p_goat*s_f_s_goat*(up_RadSpec!BD2+s_R_es_past))+(s_Q_s_goat*s_f_p_goat))))*1,".")</f>
        <v>1.8558793678410905E-7</v>
      </c>
      <c r="BB2" s="45">
        <f>IFERROR((N2*s_D_milk/(up_RadSpec!AR2*((s_Q_p_goat_milk*s_f_p_goat_milk*s_f_s_goat_milk*(up_RadSpec!BD2+s_R_es_past))+(s_Q_s_goat_milk*s_f_p_goat_milk))))*1,".")</f>
        <v>1.9115557488763231E-7</v>
      </c>
      <c r="BC2" s="45">
        <f>IFERROR((M2/(up_RadSpec!AO2*((s_Q_p_sheep*s_f_p_sheep*s_f_s_sheep*(up_RadSpec!BD2+s_R_es_past))+(s_Q_s_sheep*s_f_p_sheep))))*1,".")</f>
        <v>1.8558793678410905E-7</v>
      </c>
      <c r="BD2" s="45">
        <f>IFERROR((O2*s_D_milk/(up_RadSpec!AP2*((s_Q_p_sheep_milk*s_f_p_sheep_milk*s_f_s_sheep_milk*(up_RadSpec!BD2+s_R_es_past))+(s_Q_s_sheep_milk*s_f_p_sheep_milk))))*1,".")</f>
        <v>1.9115557488763231E-7</v>
      </c>
      <c r="BE2" s="111">
        <f t="shared" ref="BE2:BS30" si="12">IFERROR(1/AP2,".")</f>
        <v>3.0249999999999999</v>
      </c>
      <c r="BF2" s="111">
        <f t="shared" si="12"/>
        <v>3.236254558317935E-4</v>
      </c>
      <c r="BG2" s="111">
        <f t="shared" si="12"/>
        <v>1.4193410687259884E-3</v>
      </c>
      <c r="BH2" s="111">
        <f t="shared" si="12"/>
        <v>30331.674999999992</v>
      </c>
      <c r="BI2" s="111">
        <f t="shared" si="12"/>
        <v>1512.5</v>
      </c>
      <c r="BJ2" s="111">
        <f t="shared" si="12"/>
        <v>1512.5</v>
      </c>
      <c r="BK2" s="111">
        <f t="shared" si="12"/>
        <v>5388281.2499999991</v>
      </c>
      <c r="BL2" s="111">
        <f t="shared" si="12"/>
        <v>5231341.0194174759</v>
      </c>
      <c r="BM2" s="111">
        <f t="shared" si="12"/>
        <v>5388281.2499999991</v>
      </c>
      <c r="BN2" s="111">
        <f t="shared" si="12"/>
        <v>5388281.2499999991</v>
      </c>
      <c r="BO2" s="111">
        <f t="shared" si="12"/>
        <v>5388281.2499999991</v>
      </c>
      <c r="BP2" s="111">
        <f t="shared" si="12"/>
        <v>5388281.2499999991</v>
      </c>
      <c r="BQ2" s="111">
        <f t="shared" si="12"/>
        <v>5231341.0194174759</v>
      </c>
      <c r="BR2" s="111">
        <f t="shared" si="12"/>
        <v>5388281.2499999991</v>
      </c>
      <c r="BS2" s="111">
        <f t="shared" si="12"/>
        <v>5231341.0194174759</v>
      </c>
      <c r="BT2" s="15">
        <f>IFERROR(1/(SUMIF(BE2:BS2,"&lt;&gt;0")),".")</f>
        <v>2.0808592670961039E-8</v>
      </c>
      <c r="BU2" s="189">
        <f>IFERROR(BT2*(0.0000000000028)*up_RadSpec!$AY2*up_RadSpec!$AF2,0)</f>
        <v>6.5547066913527287E-17</v>
      </c>
      <c r="BV2" s="40">
        <f t="shared" ref="BV2:BV30" si="13">IFERROR(s_C*s_IFS_far_adj*(1/1000),".")</f>
        <v>15.125</v>
      </c>
      <c r="BW2" s="40">
        <f t="shared" ref="BW2:BW30" si="14">IFERROR(s_C*s_IFA_far_adj*(1/s_PEF_wind)*1000,".")</f>
        <v>1.6181272791589674E-3</v>
      </c>
      <c r="BX2" s="40">
        <f>IFERROR((s_C*s_EF_far*(1/365)*1*up_RadSpec!R2*((s_ET_far_o*(1/24)*up_RadSpec!W2)+(s_ET_far_i*(1/24)*up_RadSpec!AB2))),".")</f>
        <v>7.0967053436299422E-3</v>
      </c>
      <c r="BY2" s="40">
        <f>up_b2s!CC2</f>
        <v>151658.375</v>
      </c>
      <c r="BZ2" s="40">
        <f>IFERROR(((s_C*up_RadSpec!AJ2)/up_RadSpec!AU2)*s_IFFI_far_adj*s_CF_far_fish,0)</f>
        <v>7562.5</v>
      </c>
      <c r="CA2" s="40">
        <f>IFERROR(((s_C*up_RadSpec!AK2)/up_RadSpec!AU2)*s_IFSF_far_adj*s_CF_far_shellfish,0)</f>
        <v>7562.5</v>
      </c>
      <c r="CB2" s="40">
        <f>(s_C*s_IFB_far_adj*s_CF_far_beef*up_RadSpec!AI2*((s_Q_p_beef*s_f_p_beef*s_f_s_beef*(up_RadSpec!$AT2+s_R_es_past))+(s_Q_s_beef*s_f_p_beef)))</f>
        <v>26941406.25</v>
      </c>
      <c r="CC2" s="40">
        <f>(s_C*s_IFD_far_adj*s_CF_far_dairy*up_RadSpec!AH2*1/s_D_milk*((s_Q_p_dairy*s_f_p_dairy*s_f_s_dairy*(up_RadSpec!$AT2+s_R_es_past))+(s_Q_s_dairy*s_f_p_dairy)))</f>
        <v>26156705.09708738</v>
      </c>
      <c r="CD2" s="40">
        <f>IFERROR((s_C*s_IFSW_far_adj*s_CF_far_swine*up_RadSpec!AN2*((s_Q_p_swine*s_f_p_swine*s_f_s_swine*(up_RadSpec!$AT2+s_R_es_past))+(s_Q_s_swine*s_f_p_swine))),0)</f>
        <v>26941406.25</v>
      </c>
      <c r="CE2" s="40">
        <f>IFERROR((s_C*s_IFP_far_adj*s_CF_far_poultry*up_RadSpec!AL2*((s_Q_p_poultry*s_f_p_poultry*s_f_s_poultry*(up_RadSpec!AT2+s_R_es_past))+(s_Q_s_poultry*s_f_p_poultry))),0)</f>
        <v>26941406.25</v>
      </c>
      <c r="CF2" s="40">
        <f>IFERROR((s_C*s_IFE_far_adj*s_CF_far_egg*up_RadSpec!AM2*((s_Q_p_egg*s_f_p_egg*s_f_s_egg*(up_RadSpec!$AT2+s_R_es_past))+(s_Q_s_egg*s_f_p_egg))),0)</f>
        <v>26941406.25</v>
      </c>
      <c r="CG2" s="40">
        <f>IFERROR((s_C*s_IFGO_far_adj*s_CF_far_goat*up_RadSpec!AQ2*((s_Q_p_goat*s_f_p_goat*s_f_s_goat*(up_RadSpec!$AT2+s_R_es_past))+(s_Q_s_goat*s_f_p_goat))),0)</f>
        <v>26941406.25</v>
      </c>
      <c r="CH2" s="40">
        <f>IFERROR((s_C*s_IFGM_far_adj*s_CF_far_goat_milk*up_RadSpec!AR2*1/s_D_milk*((s_Q_p_goat_milk*s_f_p_goat_milk*s_f_s_goat_milk*(up_RadSpec!$AT2+s_R_es_past))+(s_Q_s_goat_milk*s_f_p_goat_milk))),0)</f>
        <v>26156705.09708738</v>
      </c>
      <c r="CI2" s="40">
        <f>IFERROR((s_C*s_IFSH_far_adj*s_CF_far_sheep*up_RadSpec!AO2*((s_Q_p_sheep*s_f_p_sheep*s_f_s_sheep*(up_RadSpec!$AT2+s_R_es_past))+(s_Q_s_sheep*s_f_p_sheep))),0)</f>
        <v>26941406.25</v>
      </c>
      <c r="CJ2" s="40">
        <f>IFERROR((s_C*s_IFSM_far_adj*s_CF_far_sheep_milk*up_RadSpec!AP2*1/s_D_milk*((s_Q_p_sheep_milk*s_f_p_sheep_milk*s_f_s_sheep_milk*(up_RadSpec!$AT2+s_R_es_past))+(s_Q_s_sheep_milk*s_f_p_sheep_milk))),0)</f>
        <v>26156705.09708738</v>
      </c>
      <c r="CK2" s="18"/>
      <c r="CL2" s="15">
        <f>IFERROR(s_DL/(up_RadSpec!I2*s_IFW_far_adj),".")</f>
        <v>3.6363636363636364E-3</v>
      </c>
      <c r="CM2" s="15" t="str">
        <f>IFERROR(IF(AND(up_RadSpec!C2=1,up_RadSpec!D2&lt;&gt;0),s_DL/(up_RadSpec!H2*s_IFA_far_adj*s_K*up_RadSpec!D2),"."),".")</f>
        <v>.</v>
      </c>
      <c r="CN2" s="15">
        <f>IFERROR((s_DL/(up_RadSpec!M2*(1/8760)*s_DFA_far_adj)),".")</f>
        <v>39.81818181818182</v>
      </c>
      <c r="CO2" s="15">
        <f>up_b2w!BC2</f>
        <v>1.6443412786038033E-4</v>
      </c>
      <c r="CP2" s="15">
        <f>IFERROR(J2/(up_RadSpec!AJ2*(1/1000)),".")</f>
        <v>0.13223140495867769</v>
      </c>
      <c r="CQ2" s="15">
        <f>IFERROR(K2/(up_RadSpec!AK2*(1/1000)),".")</f>
        <v>0.13223140495867769</v>
      </c>
      <c r="CR2" s="15">
        <f>IFERROR(G2/(up_RadSpec!AI2*s_Q_w_beef*(1/1000)),".")</f>
        <v>2.6446280991735537E-2</v>
      </c>
      <c r="CS2" s="15">
        <f>IFERROR((H2*s_D_milk)/(up_RadSpec!AH2*s_Q_w_dairy*(1/1000)),".")</f>
        <v>2.7239669421487603E-2</v>
      </c>
      <c r="CT2" s="15">
        <f>IFERROR(I2/(up_RadSpec!AN2*s_Q_w_swine*(1/1000)),".")</f>
        <v>2.6446280991735537E-2</v>
      </c>
      <c r="CU2" s="15">
        <f>IFERROR(E2/(up_RadSpec!AL2*s_Q_w_poultry*(1/1000)),".")</f>
        <v>2.6446280991735537E-2</v>
      </c>
      <c r="CV2" s="15">
        <f>IFERROR(F2/(up_RadSpec!AM2*s_Q_w_poultry*(1/1000)),".")</f>
        <v>2.6446280991735537E-2</v>
      </c>
      <c r="CW2" s="15">
        <f>IFERROR(L2/(up_RadSpec!AQ2*s_Q_w_goat*(1/1000)),".")</f>
        <v>2.6446280991735537E-2</v>
      </c>
      <c r="CX2" s="15">
        <f>IFERROR(N2*s_D_milk/(up_RadSpec!AR2*s_Q_w_goat_milk*(1/1000)),".")</f>
        <v>2.7239669421487603E-2</v>
      </c>
      <c r="CY2" s="15">
        <f>IFERROR(M2/(up_RadSpec!AO2*s_Q_w_sheep*(1/1000)),".")</f>
        <v>2.6446280991735537E-2</v>
      </c>
      <c r="CZ2" s="15">
        <f>IFERROR(O2*s_D_milk/(up_RadSpec!AP2*s_Q_w_sheep_milk*(1/1000)),".")</f>
        <v>2.7239669421487603E-2</v>
      </c>
      <c r="DA2" s="111">
        <f t="shared" ref="DA2:DO30" si="15">IFERROR(1/CL2,".")</f>
        <v>275</v>
      </c>
      <c r="DB2" s="111" t="str">
        <f t="shared" si="15"/>
        <v>.</v>
      </c>
      <c r="DC2" s="111">
        <f t="shared" si="15"/>
        <v>2.5114155251141551E-2</v>
      </c>
      <c r="DD2" s="111">
        <f t="shared" si="15"/>
        <v>6081.4626076229861</v>
      </c>
      <c r="DE2" s="111">
        <f t="shared" si="15"/>
        <v>7.5625</v>
      </c>
      <c r="DF2" s="111">
        <f t="shared" si="15"/>
        <v>7.5625</v>
      </c>
      <c r="DG2" s="111">
        <f t="shared" si="15"/>
        <v>37.8125</v>
      </c>
      <c r="DH2" s="111">
        <f t="shared" si="15"/>
        <v>36.711165048543691</v>
      </c>
      <c r="DI2" s="111">
        <f t="shared" si="15"/>
        <v>37.8125</v>
      </c>
      <c r="DJ2" s="111">
        <f t="shared" si="15"/>
        <v>37.8125</v>
      </c>
      <c r="DK2" s="111">
        <f t="shared" si="15"/>
        <v>37.8125</v>
      </c>
      <c r="DL2" s="111">
        <f t="shared" si="15"/>
        <v>37.8125</v>
      </c>
      <c r="DM2" s="111">
        <f t="shared" si="15"/>
        <v>36.711165048543691</v>
      </c>
      <c r="DN2" s="111">
        <f t="shared" si="15"/>
        <v>37.8125</v>
      </c>
      <c r="DO2" s="111">
        <f t="shared" si="15"/>
        <v>36.711165048543691</v>
      </c>
      <c r="DP2" s="15">
        <f>IFERROR(1/(SUMIF(DA2:DO2,"&lt;&gt;0")),".")</f>
        <v>1.4906192608956598E-4</v>
      </c>
      <c r="DQ2" s="189">
        <f>DP2*(0.0000000000000028)*up_RadSpec!$AY2*up_RadSpec!$AF2</f>
        <v>4.6954506718213294E-16</v>
      </c>
      <c r="DR2" s="40">
        <f t="shared" ref="DR2:DR30" si="16">IFERROR(s_C*s_IFW_far_adj,".")</f>
        <v>1375</v>
      </c>
      <c r="DS2" s="40">
        <f>IFERROR(IF(up_RadSpec!D2&lt;&gt;"",s_C*s_IFA_far_adj*s_K*up_RadSpec!D2,0),".")</f>
        <v>0</v>
      </c>
      <c r="DT2" s="40">
        <f t="shared" ref="DT2:DT30" si="17">IFERROR((s_C*s_DFA_far_adj*(1/8760)),".")</f>
        <v>0.12557077625570776</v>
      </c>
      <c r="DU2" s="40">
        <f>up_b2w!CC2</f>
        <v>30407.313038114935</v>
      </c>
      <c r="DV2" s="40">
        <f>IFERROR(s_C*up_RadSpec!AJ2*(1/1000)*s_IFFI_far_adj*s_CF_far_fish,0)</f>
        <v>37.8125</v>
      </c>
      <c r="DW2" s="40">
        <f>IFERROR(s_C*up_RadSpec!AK2*(1/1000)*s_IFSF_far_adj*s_CF_far_shellfish,0)</f>
        <v>37.8125</v>
      </c>
      <c r="DX2" s="40">
        <f>(s_C*s_IFB_far_adj*s_CF_far_beef*up_RadSpec!AI2*s_Q_w_beef*(1/1000))</f>
        <v>189.0625</v>
      </c>
      <c r="DY2" s="40">
        <f>(s_C*s_IFD_far_adj*s_CF_far_dairy*up_RadSpec!AH2*(1/s_D_milk)*s_Q_w_dairy*(1/1000))</f>
        <v>183.55582524271844</v>
      </c>
      <c r="DZ2" s="40">
        <f>IFERROR((s_C*s_IFSW_far_adj*s_CF_far_swine*up_RadSpec!AN2*s_Q_w_swine*(1/1000)),0)</f>
        <v>189.0625</v>
      </c>
      <c r="EA2" s="40">
        <f>IFERROR((s_C*s_IFP_far_adj*s_CF_far_poultry*up_RadSpec!AL2*s_Q_w_poultry*(1/1000)),0)</f>
        <v>189.0625</v>
      </c>
      <c r="EB2" s="40">
        <f>IFERROR((s_C*s_IFE_far_adj*s_CF_far_egg*up_RadSpec!AM2*s_Q_w_egg*(1/1000)),0)</f>
        <v>189.0625</v>
      </c>
      <c r="EC2" s="40">
        <f>IFERROR((s_C*s_IFGO_far_adj*s_CF_far_goat*up_RadSpec!AQ2*s_Q_p_goat*(1/1000)),0)</f>
        <v>189.0625</v>
      </c>
      <c r="ED2" s="40">
        <f>IFERROR((s_C*s_IFGM_far_adj*s_CF_far_goat_milk*up_RadSpec!AR2*(1/s_D_milk)*s_Q_p_goat_milk*(1/1000)),0)</f>
        <v>183.55582524271844</v>
      </c>
      <c r="EE2" s="40">
        <f>IFERROR((s_C*s_IFSH_far_adj*s_CF_far_sheep*up_RadSpec!AO2*s_Q_p_sheep*(1/1000)),0)</f>
        <v>189.0625</v>
      </c>
      <c r="EF2" s="40">
        <f>IFERROR((s_C*s_IFSM_far_adj*s_CF_far_sheep_milk*up_RadSpec!AP2*(1/s_D_milk)*s_Q_p_sheep_milk*(1/1000)),0)</f>
        <v>183.55582524271844</v>
      </c>
      <c r="EG2" s="5"/>
      <c r="EH2" s="15">
        <f>IFERROR((s_DL/(up_RadSpec!H2*s_IFA_far_adj)),".")</f>
        <v>9.9740259740259754E-3</v>
      </c>
      <c r="EI2" s="15">
        <f>IFERROR((s_DL/(up_RadSpec!K2*s_EF_far*(1/365)*1*s_ET_far*(1/24)*s_GSF_a)),".")</f>
        <v>63.709090909090911</v>
      </c>
      <c r="EJ2" s="15">
        <f t="shared" ref="EJ2" si="18">IFERROR(IF(AND(ISNUMBER(EH2),ISNUMBER(EI2)),1/((1/EH2)+(1/EI2)),IF(AND(ISNUMBER(EH2),NOT(ISNUMBER(EI2))),1/((1/EH2)),IF(AND(NOT(ISNUMBER(EH2)),ISNUMBER(EI2)),1/((1/EI2)),IF(AND(NOT(ISNUMBER(EH2)),NOT(ISNUMBER(EI2))),".")))),".")</f>
        <v>9.9724647271019675E-3</v>
      </c>
      <c r="EK2" s="189">
        <f>EJ2*(0.0000000000000028)*up_RadSpec!$AY2*up_RadSpec!$AF2</f>
        <v>3.14132638903712E-14</v>
      </c>
      <c r="EL2" s="40">
        <f t="shared" ref="EL2:EL30" si="19">s_C*s_IFA_far_adj</f>
        <v>501.30208333333326</v>
      </c>
      <c r="EM2" s="40">
        <f t="shared" ref="EM2:EM30" si="20">s_C*s_EF_far*(1/365)*1*s_ET_far*(1/24)*s_GSF_a</f>
        <v>7.8481735159817351E-2</v>
      </c>
      <c r="EN2" s="113"/>
    </row>
    <row r="3" spans="1:144" x14ac:dyDescent="0.25">
      <c r="A3" s="46" t="s">
        <v>1</v>
      </c>
      <c r="B3" s="42" t="s">
        <v>335</v>
      </c>
      <c r="C3" s="42"/>
      <c r="D3" s="15">
        <f>up_dir!AC3</f>
        <v>1.6528925619834712E-4</v>
      </c>
      <c r="E3" s="15">
        <f>IFERROR(s_DL/(up_RadSpec!F3*s_IFP_far_adj*s_CF_far_poultry),".")</f>
        <v>6.6115702479338848E-4</v>
      </c>
      <c r="F3" s="15">
        <f>IFERROR(s_DL/(up_RadSpec!F3*s_IFE_far_adj*s_CF_far_egg),".")</f>
        <v>6.6115702479338848E-4</v>
      </c>
      <c r="G3" s="15">
        <f>IFERROR(s_DL/(up_RadSpec!F3*s_IFB_far_adj*s_CF_far_beef),".")</f>
        <v>6.6115702479338848E-4</v>
      </c>
      <c r="H3" s="15">
        <f>IFERROR(s_DL/(up_RadSpec!F3*s_IFD_far_adj*s_CF_far_dairy),".")</f>
        <v>6.6115702479338848E-4</v>
      </c>
      <c r="I3" s="15">
        <f>IFERROR(s_DL/(up_RadSpec!F3*s_IFSW_far_adj*s_CF_far_swine),".")</f>
        <v>6.6115702479338848E-4</v>
      </c>
      <c r="J3" s="15">
        <f>IFERROR(s_DL/(up_RadSpec!F3*s_IFFI_far_adj*s_CF_far_fish),".")</f>
        <v>6.6115702479338848E-4</v>
      </c>
      <c r="K3" s="15">
        <f>IFERROR(s_DL/(up_RadSpec!F3*s_IFSF_far_adj*s_CF_far_shellfish),".")</f>
        <v>6.6115702479338848E-4</v>
      </c>
      <c r="L3" s="15">
        <f>IFERROR(s_DL/(up_RadSpec!F3*s_IFGO_far_adj*s_CF_far_goat),".")</f>
        <v>6.6115702479338848E-4</v>
      </c>
      <c r="M3" s="15">
        <f>IFERROR(s_DL/(up_RadSpec!F3*s_IFSH_far_adj*s_CF_far_sheep),".")</f>
        <v>6.6115702479338848E-4</v>
      </c>
      <c r="N3" s="15">
        <f>IFERROR(s_DL/(up_RadSpec!F3*s_IFGM_far_adj*s_CF_far_goat_milk),".")</f>
        <v>6.6115702479338848E-4</v>
      </c>
      <c r="O3" s="15">
        <f>IFERROR(s_DL/(up_RadSpec!F3*s_IFSM_far_adj*s_CF_far_sheep_milk),".")</f>
        <v>6.6115702479338848E-4</v>
      </c>
      <c r="P3" s="111">
        <f t="shared" ref="P3:W30" si="21">IFERROR(1/H3,".")</f>
        <v>1512.5</v>
      </c>
      <c r="Q3" s="111">
        <f t="shared" si="21"/>
        <v>1512.5</v>
      </c>
      <c r="R3" s="111">
        <f t="shared" si="21"/>
        <v>1512.5</v>
      </c>
      <c r="S3" s="111">
        <f t="shared" si="21"/>
        <v>1512.5</v>
      </c>
      <c r="T3" s="111">
        <f t="shared" si="21"/>
        <v>1512.5</v>
      </c>
      <c r="U3" s="111">
        <f t="shared" si="21"/>
        <v>1512.5</v>
      </c>
      <c r="V3" s="111">
        <f t="shared" si="21"/>
        <v>1512.5</v>
      </c>
      <c r="W3" s="111">
        <f t="shared" si="21"/>
        <v>1512.5</v>
      </c>
      <c r="X3" s="111">
        <f t="shared" si="0"/>
        <v>1512.5</v>
      </c>
      <c r="Y3" s="111">
        <f t="shared" si="0"/>
        <v>1512.5</v>
      </c>
      <c r="Z3" s="111">
        <f t="shared" si="0"/>
        <v>1512.5</v>
      </c>
      <c r="AA3" s="111">
        <f t="shared" si="0"/>
        <v>1512.5</v>
      </c>
      <c r="AB3" s="15">
        <f t="shared" ref="AB3:AB30" si="22">IFERROR(1/(SUMIF(P3:AA3,"&lt;&gt;0")),".")</f>
        <v>5.5096418732782371E-5</v>
      </c>
      <c r="AC3" s="247">
        <f>IFERROR(AB3*(0.0000000000028)*up_RadSpec!$AY3*up_RadSpec!$AF3,0)</f>
        <v>1.8589531680440773E-13</v>
      </c>
      <c r="AD3" s="40">
        <f>up_dir!BC3</f>
        <v>30250</v>
      </c>
      <c r="AE3" s="40">
        <f t="shared" si="1"/>
        <v>7562.5</v>
      </c>
      <c r="AF3" s="40">
        <f t="shared" si="2"/>
        <v>7562.5</v>
      </c>
      <c r="AG3" s="40">
        <f t="shared" si="3"/>
        <v>7562.5</v>
      </c>
      <c r="AH3" s="40">
        <f t="shared" si="4"/>
        <v>7562.5</v>
      </c>
      <c r="AI3" s="40">
        <f t="shared" si="5"/>
        <v>7562.5</v>
      </c>
      <c r="AJ3" s="40">
        <f t="shared" si="6"/>
        <v>7562.5</v>
      </c>
      <c r="AK3" s="40">
        <f t="shared" si="7"/>
        <v>7562.5</v>
      </c>
      <c r="AL3" s="40">
        <f t="shared" si="8"/>
        <v>7562.5</v>
      </c>
      <c r="AM3" s="40">
        <f t="shared" si="9"/>
        <v>7562.5</v>
      </c>
      <c r="AN3" s="40">
        <f t="shared" si="10"/>
        <v>7562.5</v>
      </c>
      <c r="AO3" s="40">
        <f t="shared" si="11"/>
        <v>7562.5</v>
      </c>
      <c r="AP3" s="45">
        <f>IFERROR((s_DL/(up_RadSpec!E3*s_IFS_far_adj*(1/1000)))*1,".")</f>
        <v>0.33057851239669422</v>
      </c>
      <c r="AQ3" s="45">
        <f>IFERROR(IF(A3="H-3",(s_DL/(up_RadSpec!H3*s_IFA_far_adj*(1/17)*1000))*1,(s_DL/(up_RadSpec!H3*s_IFA_far_adj*(1/s_PEF_wind)*1000))*1),".")</f>
        <v>3089.9917851942919</v>
      </c>
      <c r="AR3" s="45">
        <f>IFERROR((s_DL/(up_RadSpec!G3*s_EF_far*(1/365)*1*up_RadSpec!R3*((s_ET_far_o*(1/24)*up_RadSpec!W3)+(s_ET_far_i*(1/24)*up_RadSpec!AB3))))*1,".")</f>
        <v>92435.064935064976</v>
      </c>
      <c r="AS3" s="45">
        <f>up_b2s!BC3</f>
        <v>3.2968835384132272E-5</v>
      </c>
      <c r="AT3" s="45">
        <f>IFERROR(((J3*up_RadSpec!AU3)/up_RadSpec!AJ3)*1,".")</f>
        <v>6.6115702479338848E-4</v>
      </c>
      <c r="AU3" s="45">
        <f>IFERROR(((K3*up_RadSpec!AU3)/up_RadSpec!AK3)*1,".")</f>
        <v>6.6115702479338848E-4</v>
      </c>
      <c r="AV3" s="45">
        <f>IFERROR((G3/(up_RadSpec!AI3*((s_Q_p_beef*s_f_p_beef*s_f_s_beef*(up_RadSpec!AT3+s_R_es_past))+(s_Q_s_beef*s_f_p_beef))))*1,".")</f>
        <v>1.8558793678410905E-7</v>
      </c>
      <c r="AW3" s="45">
        <f>IFERROR(((H3*s_D_milk)/(up_RadSpec!AH3*((s_Q_p_dairy*s_f_p_dairy*s_f_s_dairy*(up_RadSpec!AT3+s_R_es_past))+(s_Q_s_dairy*s_f_p_dairy))))*1,".")</f>
        <v>1.9115557488763231E-7</v>
      </c>
      <c r="AX3" s="45">
        <f>IFERROR((I3/(up_RadSpec!AN3*((s_Q_p_swine*s_f_p_swine*s_f_s_swine*(up_RadSpec!AT3+s_R_es_past))+(s_Q_s_swine*s_f_p_swine))))*1,".")</f>
        <v>1.8558793678410905E-7</v>
      </c>
      <c r="AY3" s="45">
        <f>IFERROR((E3/(up_RadSpec!AL3*((s_Q_p_poultry*s_f_p_poultry*s_f_s_poultry*(up_RadSpec!BD3+s_R_es_past))+(s_Q_s_poultry*s_f_p_poultry))))*1,".")</f>
        <v>1.8558793678410905E-7</v>
      </c>
      <c r="AZ3" s="45">
        <f>IFERROR((F3/(up_RadSpec!AM3*((s_Q_p_poultry*s_f_p_poultry*s_f_s_poultry*(up_RadSpec!AT3+s_R_es_past))+(s_Q_s_poultry*s_f_p_poultry))))*1,".")</f>
        <v>1.8558793678410905E-7</v>
      </c>
      <c r="BA3" s="45">
        <f>IFERROR((L3/(up_RadSpec!AQ3*((s_Q_p_goat*s_f_p_goat*s_f_s_goat*(up_RadSpec!AT3+s_R_es_past))+(s_Q_s_goat*s_f_p_goat))))*1,".")</f>
        <v>1.8558793678410905E-7</v>
      </c>
      <c r="BB3" s="45">
        <f>IFERROR((N3*s_D_milk/(up_RadSpec!AR3*((s_Q_p_goat_milk*s_f_p_goat_milk*s_f_s_goat_milk*(up_RadSpec!AT3+s_R_es_past))+(s_Q_s_goat_milk*s_f_p_goat_milk))))*1,".")</f>
        <v>1.9115557488763231E-7</v>
      </c>
      <c r="BC3" s="45">
        <f>IFERROR((M3/(up_RadSpec!AO3*((s_Q_p_sheep*s_f_p_sheep*s_f_s_sheep*(up_RadSpec!AT3+s_R_es_past))+(s_Q_s_sheep*s_f_p_sheep))))*1,".")</f>
        <v>1.8558793678410905E-7</v>
      </c>
      <c r="BD3" s="45">
        <f>IFERROR((O3*s_D_milk/(up_RadSpec!AP3*((s_Q_p_sheep_milk*s_f_p_sheep_milk*s_f_s_sheep_milk*(up_RadSpec!AT3+s_R_es_past))+(s_Q_s_sheep_milk*s_f_p_sheep_milk))))*1,".")</f>
        <v>1.9115557488763231E-7</v>
      </c>
      <c r="BE3" s="111">
        <f t="shared" si="12"/>
        <v>3.0249999999999999</v>
      </c>
      <c r="BF3" s="111">
        <f t="shared" si="12"/>
        <v>3.236254558317935E-4</v>
      </c>
      <c r="BG3" s="111">
        <f t="shared" si="12"/>
        <v>1.081840533895328E-5</v>
      </c>
      <c r="BH3" s="111">
        <f t="shared" si="12"/>
        <v>30331.674999999992</v>
      </c>
      <c r="BI3" s="111">
        <f t="shared" si="12"/>
        <v>1512.5</v>
      </c>
      <c r="BJ3" s="111">
        <f t="shared" si="12"/>
        <v>1512.5</v>
      </c>
      <c r="BK3" s="111">
        <f t="shared" si="12"/>
        <v>5388281.2499999991</v>
      </c>
      <c r="BL3" s="111">
        <f t="shared" si="12"/>
        <v>5231341.0194174759</v>
      </c>
      <c r="BM3" s="111">
        <f t="shared" si="12"/>
        <v>5388281.2499999991</v>
      </c>
      <c r="BN3" s="111">
        <f t="shared" si="12"/>
        <v>5388281.2499999991</v>
      </c>
      <c r="BO3" s="111">
        <f t="shared" si="12"/>
        <v>5388281.2499999991</v>
      </c>
      <c r="BP3" s="111">
        <f t="shared" si="12"/>
        <v>5388281.2499999991</v>
      </c>
      <c r="BQ3" s="111">
        <f t="shared" si="12"/>
        <v>5231341.0194174759</v>
      </c>
      <c r="BR3" s="111">
        <f t="shared" si="12"/>
        <v>5388281.2499999991</v>
      </c>
      <c r="BS3" s="111">
        <f t="shared" si="12"/>
        <v>5231341.0194174759</v>
      </c>
      <c r="BT3" s="15">
        <f t="shared" ref="BT3:BT30" si="23">IFERROR(1/(SUMIF(BE3:BS3,"&lt;&gt;0")),".")</f>
        <v>2.0808592671570929E-8</v>
      </c>
      <c r="BU3" s="189">
        <f>IFERROR(BT3*(0.0000000000028)*up_RadSpec!$AY3*up_RadSpec!$AF3,0)</f>
        <v>7.0208191673880323E-17</v>
      </c>
      <c r="BV3" s="40">
        <f t="shared" si="13"/>
        <v>15.125</v>
      </c>
      <c r="BW3" s="40">
        <f t="shared" si="14"/>
        <v>1.6181272791589674E-3</v>
      </c>
      <c r="BX3" s="40">
        <f>IFERROR((s_C*s_EF_far*(1/365)*1*up_RadSpec!R3*((s_ET_far_o*(1/24)*up_RadSpec!W3)+(s_ET_far_i*(1/24)*up_RadSpec!AB3))),".")</f>
        <v>5.4092026694766396E-5</v>
      </c>
      <c r="BY3" s="40">
        <f>up_b2s!CC3</f>
        <v>151658.375</v>
      </c>
      <c r="BZ3" s="40">
        <f>IFERROR(((s_C*up_RadSpec!AJ3)/up_RadSpec!AU3)*s_IFFI_far_adj*s_CF_far_fish,0)</f>
        <v>7562.5</v>
      </c>
      <c r="CA3" s="40">
        <f>IFERROR(((s_C*up_RadSpec!AK3)/up_RadSpec!AU3)*s_IFSF_far_adj*s_CF_far_shellfish,0)</f>
        <v>7562.5</v>
      </c>
      <c r="CB3" s="40">
        <f>(s_C*s_IFB_far_adj*s_CF_far_beef*up_RadSpec!AI3*((s_Q_p_beef*s_f_p_beef*s_f_s_beef*(up_RadSpec!$AT3+s_R_es_past))+(s_Q_s_beef*s_f_p_beef)))</f>
        <v>26941406.25</v>
      </c>
      <c r="CC3" s="40">
        <f>(s_C*s_IFD_far_adj*s_CF_far_dairy*up_RadSpec!AH3*1/s_D_milk*((s_Q_p_dairy*s_f_p_dairy*s_f_s_dairy*(up_RadSpec!$AT3+s_R_es_past))+(s_Q_s_dairy*s_f_p_dairy)))</f>
        <v>26156705.09708738</v>
      </c>
      <c r="CD3" s="40">
        <f>IFERROR((s_C*s_IFSW_far_adj*s_CF_far_swine*up_RadSpec!AN3*((s_Q_p_swine*s_f_p_swine*s_f_s_swine*(up_RadSpec!$AT3+s_R_es_past))+(s_Q_s_swine*s_f_p_swine))),0)</f>
        <v>26941406.25</v>
      </c>
      <c r="CE3" s="40">
        <f>IFERROR((s_C*s_IFP_far_adj*s_CF_far_poultry*up_RadSpec!AL3*((s_Q_p_poultry*s_f_p_poultry*s_f_s_poultry*(up_RadSpec!AT3+s_R_es_past))+(s_Q_s_poultry*s_f_p_poultry))),0)</f>
        <v>26941406.25</v>
      </c>
      <c r="CF3" s="40">
        <f>IFERROR((s_C*s_IFE_far_adj*s_CF_far_egg*up_RadSpec!AM3*((s_Q_p_egg*s_f_p_egg*s_f_s_egg*(up_RadSpec!$AT3+s_R_es_past))+(s_Q_s_egg*s_f_p_egg))),0)</f>
        <v>26941406.25</v>
      </c>
      <c r="CG3" s="40">
        <f>IFERROR((s_C*s_IFGO_far_adj*s_CF_far_goat*up_RadSpec!AQ3*((s_Q_p_goat*s_f_p_goat*s_f_s_goat*(up_RadSpec!$AT3+s_R_es_past))+(s_Q_s_goat*s_f_p_goat))),0)</f>
        <v>26941406.25</v>
      </c>
      <c r="CH3" s="40">
        <f>IFERROR((s_C*s_IFGM_far_adj*s_CF_far_goat_milk*up_RadSpec!AR3*1/s_D_milk*((s_Q_p_goat_milk*s_f_p_goat_milk*s_f_s_goat_milk*(up_RadSpec!$AT3+s_R_es_past))+(s_Q_s_goat_milk*s_f_p_goat_milk))),0)</f>
        <v>26156705.09708738</v>
      </c>
      <c r="CI3" s="40">
        <f>IFERROR((s_C*s_IFSH_far_adj*s_CF_far_sheep*up_RadSpec!AO3*((s_Q_p_sheep*s_f_p_sheep*s_f_s_sheep*(up_RadSpec!$AT3+s_R_es_past))+(s_Q_s_sheep*s_f_p_sheep))),0)</f>
        <v>26941406.25</v>
      </c>
      <c r="CJ3" s="40">
        <f>IFERROR((s_C*s_IFSM_far_adj*s_CF_far_sheep_milk*up_RadSpec!AP3*1/s_D_milk*((s_Q_p_sheep_milk*s_f_p_sheep_milk*s_f_s_sheep_milk*(up_RadSpec!$AT3+s_R_es_past))+(s_Q_s_sheep_milk*s_f_p_sheep_milk))),0)</f>
        <v>26156705.09708738</v>
      </c>
      <c r="CK3" s="18"/>
      <c r="CL3" s="15">
        <f>IFERROR(s_DL/(up_RadSpec!I3*s_IFW_far_adj),".")</f>
        <v>3.6363636363636364E-3</v>
      </c>
      <c r="CM3" s="15" t="str">
        <f>IFERROR(IF(AND(up_RadSpec!C3=1,up_RadSpec!D3&lt;&gt;0),s_DL/(up_RadSpec!H3*s_IFA_far_adj*s_K*up_RadSpec!D3),"."),".")</f>
        <v>.</v>
      </c>
      <c r="CN3" s="15">
        <f>IFERROR((s_DL/(up_RadSpec!M3*(1/8760)*s_DFA_far_adj)),".")</f>
        <v>39.81818181818182</v>
      </c>
      <c r="CO3" s="15">
        <f>up_b2w!BC3</f>
        <v>1.6443412786038033E-4</v>
      </c>
      <c r="CP3" s="15">
        <f>IFERROR(J3/(up_RadSpec!AJ3*(1/1000)),".")</f>
        <v>0.13223140495867769</v>
      </c>
      <c r="CQ3" s="15">
        <f>IFERROR(K3/(up_RadSpec!AK3*(1/1000)),".")</f>
        <v>0.13223140495867769</v>
      </c>
      <c r="CR3" s="15">
        <f>IFERROR(G3/(up_RadSpec!AI3*s_Q_w_beef*(1/1000)),".")</f>
        <v>2.6446280991735537E-2</v>
      </c>
      <c r="CS3" s="15">
        <f>IFERROR((H3*s_D_milk)/(up_RadSpec!AH3*s_Q_w_dairy*(1/1000)),".")</f>
        <v>2.7239669421487603E-2</v>
      </c>
      <c r="CT3" s="15">
        <f>IFERROR(I3/(up_RadSpec!AN3*s_Q_w_swine*(1/1000)),".")</f>
        <v>2.6446280991735537E-2</v>
      </c>
      <c r="CU3" s="15">
        <f>IFERROR(E3/(up_RadSpec!AL3*s_Q_w_poultry*(1/1000)),".")</f>
        <v>2.6446280991735537E-2</v>
      </c>
      <c r="CV3" s="15">
        <f>IFERROR(F3/(up_RadSpec!AM3*s_Q_w_poultry*(1/1000)),".")</f>
        <v>2.6446280991735537E-2</v>
      </c>
      <c r="CW3" s="15">
        <f>IFERROR(L3/(up_RadSpec!AQ3*s_Q_w_goat*(1/1000)),".")</f>
        <v>2.6446280991735537E-2</v>
      </c>
      <c r="CX3" s="15">
        <f>IFERROR(N3*s_D_milk/(up_RadSpec!AR3*s_Q_w_goat_milk*(1/1000)),".")</f>
        <v>2.7239669421487603E-2</v>
      </c>
      <c r="CY3" s="15">
        <f>IFERROR(M3/(up_RadSpec!AO3*s_Q_w_sheep*(1/1000)),".")</f>
        <v>2.6446280991735537E-2</v>
      </c>
      <c r="CZ3" s="15">
        <f>IFERROR(O3*s_D_milk/(up_RadSpec!AP3*s_Q_w_sheep_milk*(1/1000)),".")</f>
        <v>2.7239669421487603E-2</v>
      </c>
      <c r="DA3" s="111">
        <f t="shared" si="15"/>
        <v>275</v>
      </c>
      <c r="DB3" s="111" t="str">
        <f t="shared" si="15"/>
        <v>.</v>
      </c>
      <c r="DC3" s="111">
        <f t="shared" si="15"/>
        <v>2.5114155251141551E-2</v>
      </c>
      <c r="DD3" s="111">
        <f t="shared" si="15"/>
        <v>6081.4626076229861</v>
      </c>
      <c r="DE3" s="111">
        <f t="shared" si="15"/>
        <v>7.5625</v>
      </c>
      <c r="DF3" s="111">
        <f t="shared" si="15"/>
        <v>7.5625</v>
      </c>
      <c r="DG3" s="111">
        <f t="shared" si="15"/>
        <v>37.8125</v>
      </c>
      <c r="DH3" s="111">
        <f t="shared" si="15"/>
        <v>36.711165048543691</v>
      </c>
      <c r="DI3" s="111">
        <f t="shared" si="15"/>
        <v>37.8125</v>
      </c>
      <c r="DJ3" s="111">
        <f t="shared" si="15"/>
        <v>37.8125</v>
      </c>
      <c r="DK3" s="111">
        <f t="shared" si="15"/>
        <v>37.8125</v>
      </c>
      <c r="DL3" s="111">
        <f t="shared" si="15"/>
        <v>37.8125</v>
      </c>
      <c r="DM3" s="111">
        <f t="shared" si="15"/>
        <v>36.711165048543691</v>
      </c>
      <c r="DN3" s="111">
        <f t="shared" si="15"/>
        <v>37.8125</v>
      </c>
      <c r="DO3" s="111">
        <f t="shared" si="15"/>
        <v>36.711165048543691</v>
      </c>
      <c r="DP3" s="15">
        <f t="shared" ref="DP3:DP30" si="24">IFERROR(1/(SUMIF(DA3:DO3,"&lt;&gt;0")),".")</f>
        <v>1.4906192608956598E-4</v>
      </c>
      <c r="DQ3" s="189">
        <f>DP3*(0.0000000000000028)*up_RadSpec!$AY3*up_RadSpec!$AF3</f>
        <v>5.0293493862619574E-16</v>
      </c>
      <c r="DR3" s="40">
        <f t="shared" si="16"/>
        <v>1375</v>
      </c>
      <c r="DS3" s="40">
        <f>IFERROR(IF(up_RadSpec!D3&lt;&gt;"",s_C*s_IFA_far_adj*s_K*up_RadSpec!D3,0),".")</f>
        <v>0</v>
      </c>
      <c r="DT3" s="40">
        <f t="shared" si="17"/>
        <v>0.12557077625570776</v>
      </c>
      <c r="DU3" s="40">
        <f>up_b2w!CC3</f>
        <v>30407.313038114935</v>
      </c>
      <c r="DV3" s="40">
        <f>IFERROR(s_C*up_RadSpec!AJ3*(1/1000)*s_IFFI_far_adj*s_CF_far_fish,0)</f>
        <v>37.8125</v>
      </c>
      <c r="DW3" s="40">
        <f>IFERROR(s_C*up_RadSpec!AK3*(1/1000)*s_IFSF_far_adj*s_CF_far_shellfish,0)</f>
        <v>37.8125</v>
      </c>
      <c r="DX3" s="40">
        <f>(s_C*s_IFB_far_adj*s_CF_far_beef*up_RadSpec!AI3*s_Q_w_beef*(1/1000))</f>
        <v>189.0625</v>
      </c>
      <c r="DY3" s="40">
        <f>(s_C*s_IFD_far_adj*s_CF_far_dairy*up_RadSpec!AH3*(1/s_D_milk)*s_Q_w_dairy*(1/1000))</f>
        <v>183.55582524271844</v>
      </c>
      <c r="DZ3" s="40">
        <f>IFERROR((s_C*s_IFSW_far_adj*s_CF_far_swine*up_RadSpec!AN3*s_Q_w_swine*(1/1000)),0)</f>
        <v>189.0625</v>
      </c>
      <c r="EA3" s="40">
        <f>IFERROR((s_C*s_IFP_far_adj*s_CF_far_poultry*up_RadSpec!AL3*s_Q_w_poultry*(1/1000)),0)</f>
        <v>189.0625</v>
      </c>
      <c r="EB3" s="40">
        <f>IFERROR((s_C*s_IFE_far_adj*s_CF_far_egg*up_RadSpec!AM3*s_Q_w_egg*(1/1000)),0)</f>
        <v>189.0625</v>
      </c>
      <c r="EC3" s="40">
        <f>IFERROR((s_C*s_IFGO_far_adj*s_CF_far_goat*up_RadSpec!AQ3*s_Q_p_goat*(1/1000)),0)</f>
        <v>189.0625</v>
      </c>
      <c r="ED3" s="40">
        <f>IFERROR((s_C*s_IFGM_far_adj*s_CF_far_goat_milk*up_RadSpec!AR3*(1/s_D_milk)*s_Q_p_goat_milk*(1/1000)),0)</f>
        <v>183.55582524271844</v>
      </c>
      <c r="EE3" s="40">
        <f>IFERROR((s_C*s_IFSH_far_adj*s_CF_far_sheep*up_RadSpec!AO3*s_Q_p_sheep*(1/1000)),0)</f>
        <v>189.0625</v>
      </c>
      <c r="EF3" s="40">
        <f>IFERROR((s_C*s_IFSM_far_adj*s_CF_far_sheep_milk*up_RadSpec!AP3*(1/s_D_milk)*s_Q_p_sheep_milk*(1/1000)),0)</f>
        <v>183.55582524271844</v>
      </c>
      <c r="EG3" s="5"/>
      <c r="EH3" s="15">
        <f>IFERROR((s_DL/(up_RadSpec!H3*s_IFA_far_adj)),".")</f>
        <v>9.9740259740259754E-3</v>
      </c>
      <c r="EI3" s="15">
        <f>IFERROR((s_DL/(up_RadSpec!K3*s_EF_far*(1/365)*1*s_ET_far*(1/24)*s_GSF_a)),".")</f>
        <v>63.709090909090911</v>
      </c>
      <c r="EJ3" s="15">
        <f>IFERROR(IF(AND(ISNUMBER(EH3),ISNUMBER(EI3)),1/((1/EH3)+(1/EI3)),IF(AND(ISNUMBER(EH3),NOT(ISNUMBER(EI3))),1/((1/EH3)),IF(AND(NOT(ISNUMBER(EH3)),ISNUMBER(EI3)),1/((1/EI3)),IF(AND(NOT(ISNUMBER(EH3)),NOT(ISNUMBER(EI3))),".")))),".")</f>
        <v>9.9724647271019675E-3</v>
      </c>
      <c r="EK3" s="189">
        <f>EJ3*(0.0000000000000028)*up_RadSpec!$AY3*up_RadSpec!$AF3</f>
        <v>3.3647095989242038E-14</v>
      </c>
      <c r="EL3" s="40">
        <f t="shared" si="19"/>
        <v>501.30208333333326</v>
      </c>
      <c r="EM3" s="40">
        <f t="shared" si="20"/>
        <v>7.8481735159817351E-2</v>
      </c>
      <c r="EN3" s="4"/>
    </row>
    <row r="4" spans="1:144" customFormat="1" x14ac:dyDescent="0.25">
      <c r="A4" s="44" t="s">
        <v>2</v>
      </c>
      <c r="B4" s="42" t="s">
        <v>1057</v>
      </c>
      <c r="C4" s="42"/>
      <c r="D4" s="15">
        <f>up_dir!AC4</f>
        <v>1.6528925619834712E-4</v>
      </c>
      <c r="E4" s="15">
        <f>IFERROR(s_DL/(up_RadSpec!F4*s_IFP_far_adj*s_CF_far_poultry),".")</f>
        <v>6.6115702479338848E-4</v>
      </c>
      <c r="F4" s="15">
        <f>IFERROR(s_DL/(up_RadSpec!F4*s_IFE_far_adj*s_CF_far_egg),".")</f>
        <v>6.6115702479338848E-4</v>
      </c>
      <c r="G4" s="15">
        <f>IFERROR(s_DL/(up_RadSpec!F4*s_IFB_far_adj*s_CF_far_beef),".")</f>
        <v>6.6115702479338848E-4</v>
      </c>
      <c r="H4" s="15">
        <f>IFERROR(s_DL/(up_RadSpec!F4*s_IFD_far_adj*s_CF_far_dairy),".")</f>
        <v>6.6115702479338848E-4</v>
      </c>
      <c r="I4" s="15">
        <f>IFERROR(s_DL/(up_RadSpec!F4*s_IFSW_far_adj*s_CF_far_swine),".")</f>
        <v>6.6115702479338848E-4</v>
      </c>
      <c r="J4" s="15">
        <f>IFERROR(s_DL/(up_RadSpec!F4*s_IFFI_far_adj*s_CF_far_fish),".")</f>
        <v>6.6115702479338848E-4</v>
      </c>
      <c r="K4" s="15">
        <f>IFERROR(s_DL/(up_RadSpec!F4*s_IFSF_far_adj*s_CF_far_shellfish),".")</f>
        <v>6.6115702479338848E-4</v>
      </c>
      <c r="L4" s="15">
        <f>IFERROR(s_DL/(up_RadSpec!F4*s_IFGO_far_adj*s_CF_far_goat),".")</f>
        <v>6.6115702479338848E-4</v>
      </c>
      <c r="M4" s="15">
        <f>IFERROR(s_DL/(up_RadSpec!F4*s_IFSH_far_adj*s_CF_far_sheep),".")</f>
        <v>6.6115702479338848E-4</v>
      </c>
      <c r="N4" s="15">
        <f>IFERROR(s_DL/(up_RadSpec!F4*s_IFGM_far_adj*s_CF_far_goat_milk),".")</f>
        <v>6.6115702479338848E-4</v>
      </c>
      <c r="O4" s="15">
        <f>IFERROR(s_DL/(up_RadSpec!F4*s_IFSM_far_adj*s_CF_far_sheep_milk),".")</f>
        <v>6.6115702479338848E-4</v>
      </c>
      <c r="P4" s="111">
        <f t="shared" si="21"/>
        <v>1512.5</v>
      </c>
      <c r="Q4" s="111">
        <f t="shared" si="21"/>
        <v>1512.5</v>
      </c>
      <c r="R4" s="111">
        <f t="shared" si="21"/>
        <v>1512.5</v>
      </c>
      <c r="S4" s="111">
        <f t="shared" si="21"/>
        <v>1512.5</v>
      </c>
      <c r="T4" s="111">
        <f t="shared" si="21"/>
        <v>1512.5</v>
      </c>
      <c r="U4" s="111">
        <f t="shared" si="21"/>
        <v>1512.5</v>
      </c>
      <c r="V4" s="111">
        <f t="shared" si="21"/>
        <v>1512.5</v>
      </c>
      <c r="W4" s="111">
        <f t="shared" si="21"/>
        <v>1512.5</v>
      </c>
      <c r="X4" s="111">
        <f t="shared" si="0"/>
        <v>1512.5</v>
      </c>
      <c r="Y4" s="111">
        <f t="shared" si="0"/>
        <v>1512.5</v>
      </c>
      <c r="Z4" s="111">
        <f t="shared" si="0"/>
        <v>1512.5</v>
      </c>
      <c r="AA4" s="111">
        <f t="shared" si="0"/>
        <v>1512.5</v>
      </c>
      <c r="AB4" s="15">
        <f t="shared" si="22"/>
        <v>5.5096418732782371E-5</v>
      </c>
      <c r="AC4" s="247">
        <f>IFERROR(AB4*(0.0000000000028)*up_RadSpec!$AY4*up_RadSpec!$AF4,0)</f>
        <v>1.6738292011019286E-13</v>
      </c>
      <c r="AD4" s="40">
        <f>up_dir!BC4</f>
        <v>30250</v>
      </c>
      <c r="AE4" s="40">
        <f t="shared" si="1"/>
        <v>7562.5</v>
      </c>
      <c r="AF4" s="40">
        <f t="shared" si="2"/>
        <v>7562.5</v>
      </c>
      <c r="AG4" s="40">
        <f t="shared" si="3"/>
        <v>7562.5</v>
      </c>
      <c r="AH4" s="40">
        <f t="shared" si="4"/>
        <v>7562.5</v>
      </c>
      <c r="AI4" s="40">
        <f t="shared" si="5"/>
        <v>7562.5</v>
      </c>
      <c r="AJ4" s="40">
        <f t="shared" si="6"/>
        <v>7562.5</v>
      </c>
      <c r="AK4" s="40">
        <f t="shared" si="7"/>
        <v>7562.5</v>
      </c>
      <c r="AL4" s="40">
        <f t="shared" si="8"/>
        <v>7562.5</v>
      </c>
      <c r="AM4" s="40">
        <f t="shared" si="9"/>
        <v>7562.5</v>
      </c>
      <c r="AN4" s="40">
        <f t="shared" si="10"/>
        <v>7562.5</v>
      </c>
      <c r="AO4" s="40">
        <f t="shared" si="11"/>
        <v>7562.5</v>
      </c>
      <c r="AP4" s="45">
        <f>IFERROR((s_DL/(up_RadSpec!E4*s_IFS_far_adj*(1/1000)))*1,".")</f>
        <v>0.33057851239669422</v>
      </c>
      <c r="AQ4" s="45">
        <f>IFERROR(IF(A4="H-3",(s_DL/(up_RadSpec!H4*s_IFA_far_adj*(1/17)*1000))*1,(s_DL/(up_RadSpec!H4*s_IFA_far_adj*(1/s_PEF_wind)*1000))*1),".")</f>
        <v>3089.9917851942919</v>
      </c>
      <c r="AR4" s="45">
        <f>IFERROR((s_DL/(up_RadSpec!G4*s_EF_far*(1/365)*1*up_RadSpec!R4*((s_ET_far_o*(1/24)*up_RadSpec!W4)+(s_ET_far_i*(1/24)*up_RadSpec!AB4))))*1,".")</f>
        <v>344.10774410774422</v>
      </c>
      <c r="AS4" s="45">
        <f>up_b2s!BC4</f>
        <v>3.2968835384132272E-5</v>
      </c>
      <c r="AT4" s="45">
        <f>IFERROR(((J4*up_RadSpec!AU4)/up_RadSpec!AJ4)*1,".")</f>
        <v>6.6115702479338848E-4</v>
      </c>
      <c r="AU4" s="45">
        <f>IFERROR(((K4*up_RadSpec!AU4)/up_RadSpec!AK4)*1,".")</f>
        <v>6.6115702479338848E-4</v>
      </c>
      <c r="AV4" s="45">
        <f>IFERROR((G4/(up_RadSpec!AI4*((s_Q_p_beef*s_f_p_beef*s_f_s_beef*(up_RadSpec!BD4+s_R_es_past))+(s_Q_s_beef*s_f_p_beef))))*1,".")</f>
        <v>1.8558793678410905E-7</v>
      </c>
      <c r="AW4" s="45">
        <f>IFERROR(((H4*s_D_milk)/(up_RadSpec!AH4*((s_Q_p_dairy*s_f_p_dairy*s_f_s_dairy*(up_RadSpec!BD4+s_R_es_past))+(s_Q_s_dairy*s_f_p_dairy))))*1,".")</f>
        <v>1.9115557488763231E-7</v>
      </c>
      <c r="AX4" s="45">
        <f>IFERROR((I4/(up_RadSpec!AN4*((s_Q_p_swine*s_f_p_swine*s_f_s_swine*(up_RadSpec!BD4+s_R_es_past))+(s_Q_s_swine*s_f_p_swine))))*1,".")</f>
        <v>1.8558793678410905E-7</v>
      </c>
      <c r="AY4" s="45">
        <f>IFERROR((E4/(up_RadSpec!AL4*((s_Q_p_poultry*s_f_p_poultry*s_f_s_poultry*(up_RadSpec!BD4+s_R_es_past))+(s_Q_s_poultry*s_f_p_poultry))))*1,".")</f>
        <v>1.8558793678410905E-7</v>
      </c>
      <c r="AZ4" s="45">
        <f>IFERROR((F4/(up_RadSpec!AM4*((s_Q_p_poultry*s_f_p_poultry*s_f_s_poultry*(up_RadSpec!BD4+s_R_es_past))+(s_Q_s_poultry*s_f_p_poultry))))*1,".")</f>
        <v>1.8558793678410905E-7</v>
      </c>
      <c r="BA4" s="45">
        <f>IFERROR((L4/(up_RadSpec!AQ4*((s_Q_p_goat*s_f_p_goat*s_f_s_goat*(up_RadSpec!BD4+s_R_es_past))+(s_Q_s_goat*s_f_p_goat))))*1,".")</f>
        <v>1.8558793678410905E-7</v>
      </c>
      <c r="BB4" s="45">
        <f>IFERROR((N4*s_D_milk/(up_RadSpec!AR4*((s_Q_p_goat_milk*s_f_p_goat_milk*s_f_s_goat_milk*(up_RadSpec!BD4+s_R_es_past))+(s_Q_s_goat_milk*s_f_p_goat_milk))))*1,".")</f>
        <v>1.9115557488763231E-7</v>
      </c>
      <c r="BC4" s="45">
        <f>IFERROR((M4/(up_RadSpec!AO4*((s_Q_p_sheep*s_f_p_sheep*s_f_s_sheep*(up_RadSpec!BD4+s_R_es_past))+(s_Q_s_sheep*s_f_p_sheep))))*1,".")</f>
        <v>1.8558793678410905E-7</v>
      </c>
      <c r="BD4" s="45">
        <f>IFERROR((O4*s_D_milk/(up_RadSpec!AP4*((s_Q_p_sheep_milk*s_f_p_sheep_milk*s_f_s_sheep_milk*(up_RadSpec!BD4+s_R_es_past))+(s_Q_s_sheep_milk*s_f_p_sheep_milk))))*1,".")</f>
        <v>1.9115557488763231E-7</v>
      </c>
      <c r="BE4" s="111">
        <f t="shared" si="12"/>
        <v>3.0249999999999999</v>
      </c>
      <c r="BF4" s="111">
        <f t="shared" si="12"/>
        <v>3.236254558317935E-4</v>
      </c>
      <c r="BG4" s="111">
        <f t="shared" si="12"/>
        <v>2.9060665362035214E-3</v>
      </c>
      <c r="BH4" s="111">
        <f t="shared" si="12"/>
        <v>30331.674999999992</v>
      </c>
      <c r="BI4" s="111">
        <f t="shared" si="12"/>
        <v>1512.5</v>
      </c>
      <c r="BJ4" s="111">
        <f t="shared" si="12"/>
        <v>1512.5</v>
      </c>
      <c r="BK4" s="111">
        <f t="shared" si="12"/>
        <v>5388281.2499999991</v>
      </c>
      <c r="BL4" s="111">
        <f t="shared" si="12"/>
        <v>5231341.0194174759</v>
      </c>
      <c r="BM4" s="111">
        <f t="shared" si="12"/>
        <v>5388281.2499999991</v>
      </c>
      <c r="BN4" s="111">
        <f t="shared" si="12"/>
        <v>5388281.2499999991</v>
      </c>
      <c r="BO4" s="111">
        <f t="shared" si="12"/>
        <v>5388281.2499999991</v>
      </c>
      <c r="BP4" s="111">
        <f t="shared" si="12"/>
        <v>5388281.2499999991</v>
      </c>
      <c r="BQ4" s="111">
        <f t="shared" si="12"/>
        <v>5231341.0194174759</v>
      </c>
      <c r="BR4" s="111">
        <f t="shared" si="12"/>
        <v>5388281.2499999991</v>
      </c>
      <c r="BS4" s="111">
        <f t="shared" si="12"/>
        <v>5231341.0194174759</v>
      </c>
      <c r="BT4" s="15">
        <f t="shared" si="23"/>
        <v>2.0808592670317294E-8</v>
      </c>
      <c r="BU4" s="189">
        <f>IFERROR(BT4*(0.0000000000028)*up_RadSpec!$AY4*up_RadSpec!$AF4,0)</f>
        <v>6.3216504532423944E-17</v>
      </c>
      <c r="BV4" s="40">
        <f t="shared" si="13"/>
        <v>15.125</v>
      </c>
      <c r="BW4" s="40">
        <f t="shared" si="14"/>
        <v>1.6181272791589674E-3</v>
      </c>
      <c r="BX4" s="40">
        <f>IFERROR((s_C*s_EF_far*(1/365)*1*up_RadSpec!R4*((s_ET_far_o*(1/24)*up_RadSpec!W4)+(s_ET_far_i*(1/24)*up_RadSpec!AB4))),".")</f>
        <v>1.4530332681017609E-2</v>
      </c>
      <c r="BY4" s="40">
        <f>up_b2s!CC4</f>
        <v>151658.375</v>
      </c>
      <c r="BZ4" s="40">
        <f>IFERROR(((s_C*up_RadSpec!AJ4)/up_RadSpec!AU4)*s_IFFI_far_adj*s_CF_far_fish,0)</f>
        <v>7562.5</v>
      </c>
      <c r="CA4" s="40">
        <f>IFERROR(((s_C*up_RadSpec!AK4)/up_RadSpec!AU4)*s_IFSF_far_adj*s_CF_far_shellfish,0)</f>
        <v>7562.5</v>
      </c>
      <c r="CB4" s="40">
        <f>(s_C*s_IFB_far_adj*s_CF_far_beef*up_RadSpec!AI4*((s_Q_p_beef*s_f_p_beef*s_f_s_beef*(up_RadSpec!$AT4+s_R_es_past))+(s_Q_s_beef*s_f_p_beef)))</f>
        <v>26941406.25</v>
      </c>
      <c r="CC4" s="40">
        <f>(s_C*s_IFD_far_adj*s_CF_far_dairy*up_RadSpec!AH4*1/s_D_milk*((s_Q_p_dairy*s_f_p_dairy*s_f_s_dairy*(up_RadSpec!$AT4+s_R_es_past))+(s_Q_s_dairy*s_f_p_dairy)))</f>
        <v>26156705.09708738</v>
      </c>
      <c r="CD4" s="40">
        <f>IFERROR((s_C*s_IFSW_far_adj*s_CF_far_swine*up_RadSpec!AN4*((s_Q_p_swine*s_f_p_swine*s_f_s_swine*(up_RadSpec!$AT4+s_R_es_past))+(s_Q_s_swine*s_f_p_swine))),0)</f>
        <v>26941406.25</v>
      </c>
      <c r="CE4" s="40">
        <f>IFERROR((s_C*s_IFP_far_adj*s_CF_far_poultry*up_RadSpec!AL4*((s_Q_p_poultry*s_f_p_poultry*s_f_s_poultry*(up_RadSpec!AT4+s_R_es_past))+(s_Q_s_poultry*s_f_p_poultry))),0)</f>
        <v>26941406.25</v>
      </c>
      <c r="CF4" s="40">
        <f>IFERROR((s_C*s_IFE_far_adj*s_CF_far_egg*up_RadSpec!AM4*((s_Q_p_egg*s_f_p_egg*s_f_s_egg*(up_RadSpec!$AT4+s_R_es_past))+(s_Q_s_egg*s_f_p_egg))),0)</f>
        <v>26941406.25</v>
      </c>
      <c r="CG4" s="40">
        <f>IFERROR((s_C*s_IFGO_far_adj*s_CF_far_goat*up_RadSpec!AQ4*((s_Q_p_goat*s_f_p_goat*s_f_s_goat*(up_RadSpec!$AT4+s_R_es_past))+(s_Q_s_goat*s_f_p_goat))),0)</f>
        <v>26941406.25</v>
      </c>
      <c r="CH4" s="40">
        <f>IFERROR((s_C*s_IFGM_far_adj*s_CF_far_goat_milk*up_RadSpec!AR4*1/s_D_milk*((s_Q_p_goat_milk*s_f_p_goat_milk*s_f_s_goat_milk*(up_RadSpec!$AT4+s_R_es_past))+(s_Q_s_goat_milk*s_f_p_goat_milk))),0)</f>
        <v>26156705.09708738</v>
      </c>
      <c r="CI4" s="40">
        <f>IFERROR((s_C*s_IFSH_far_adj*s_CF_far_sheep*up_RadSpec!AO4*((s_Q_p_sheep*s_f_p_sheep*s_f_s_sheep*(up_RadSpec!$AT4+s_R_es_past))+(s_Q_s_sheep*s_f_p_sheep))),0)</f>
        <v>26941406.25</v>
      </c>
      <c r="CJ4" s="40">
        <f>IFERROR((s_C*s_IFSM_far_adj*s_CF_far_sheep_milk*up_RadSpec!AP4*1/s_D_milk*((s_Q_p_sheep_milk*s_f_p_sheep_milk*s_f_s_sheep_milk*(up_RadSpec!$AT4+s_R_es_past))+(s_Q_s_sheep_milk*s_f_p_sheep_milk))),0)</f>
        <v>26156705.09708738</v>
      </c>
      <c r="CK4" s="18"/>
      <c r="CL4" s="15">
        <f>IFERROR(s_DL/(up_RadSpec!I4*s_IFW_far_adj),".")</f>
        <v>3.6363636363636364E-3</v>
      </c>
      <c r="CM4" s="15" t="str">
        <f>IFERROR(IF(AND(up_RadSpec!C4=1,up_RadSpec!D4&lt;&gt;0),s_DL/(up_RadSpec!H4*s_IFA_far_adj*s_K*up_RadSpec!D4),"."),".")</f>
        <v>.</v>
      </c>
      <c r="CN4" s="15">
        <f>IFERROR((s_DL/(up_RadSpec!M4*(1/8760)*s_DFA_far_adj)),".")</f>
        <v>39.81818181818182</v>
      </c>
      <c r="CO4" s="15">
        <f>up_b2w!BC4</f>
        <v>1.6443412786038033E-4</v>
      </c>
      <c r="CP4" s="15">
        <f>IFERROR(J4/(up_RadSpec!AJ4*(1/1000)),".")</f>
        <v>0.13223140495867769</v>
      </c>
      <c r="CQ4" s="15">
        <f>IFERROR(K4/(up_RadSpec!AK4*(1/1000)),".")</f>
        <v>0.13223140495867769</v>
      </c>
      <c r="CR4" s="15">
        <f>IFERROR(G4/(up_RadSpec!AI4*s_Q_w_beef*(1/1000)),".")</f>
        <v>2.6446280991735537E-2</v>
      </c>
      <c r="CS4" s="15">
        <f>IFERROR((H4*s_D_milk)/(up_RadSpec!AH4*s_Q_w_dairy*(1/1000)),".")</f>
        <v>2.7239669421487603E-2</v>
      </c>
      <c r="CT4" s="15">
        <f>IFERROR(I4/(up_RadSpec!AN4*s_Q_w_swine*(1/1000)),".")</f>
        <v>2.6446280991735537E-2</v>
      </c>
      <c r="CU4" s="15">
        <f>IFERROR(E4/(up_RadSpec!AL4*s_Q_w_poultry*(1/1000)),".")</f>
        <v>2.6446280991735537E-2</v>
      </c>
      <c r="CV4" s="15">
        <f>IFERROR(F4/(up_RadSpec!AM4*s_Q_w_poultry*(1/1000)),".")</f>
        <v>2.6446280991735537E-2</v>
      </c>
      <c r="CW4" s="15">
        <f>IFERROR(L4/(up_RadSpec!AQ4*s_Q_w_goat*(1/1000)),".")</f>
        <v>2.6446280991735537E-2</v>
      </c>
      <c r="CX4" s="15">
        <f>IFERROR(N4*s_D_milk/(up_RadSpec!AR4*s_Q_w_goat_milk*(1/1000)),".")</f>
        <v>2.7239669421487603E-2</v>
      </c>
      <c r="CY4" s="15">
        <f>IFERROR(M4/(up_RadSpec!AO4*s_Q_w_sheep*(1/1000)),".")</f>
        <v>2.6446280991735537E-2</v>
      </c>
      <c r="CZ4" s="15">
        <f>IFERROR(O4*s_D_milk/(up_RadSpec!AP4*s_Q_w_sheep_milk*(1/1000)),".")</f>
        <v>2.7239669421487603E-2</v>
      </c>
      <c r="DA4" s="111">
        <f t="shared" si="15"/>
        <v>275</v>
      </c>
      <c r="DB4" s="111" t="str">
        <f t="shared" si="15"/>
        <v>.</v>
      </c>
      <c r="DC4" s="111">
        <f t="shared" si="15"/>
        <v>2.5114155251141551E-2</v>
      </c>
      <c r="DD4" s="111">
        <f t="shared" si="15"/>
        <v>6081.4626076229861</v>
      </c>
      <c r="DE4" s="111">
        <f t="shared" si="15"/>
        <v>7.5625</v>
      </c>
      <c r="DF4" s="111">
        <f t="shared" si="15"/>
        <v>7.5625</v>
      </c>
      <c r="DG4" s="111">
        <f t="shared" si="15"/>
        <v>37.8125</v>
      </c>
      <c r="DH4" s="111">
        <f t="shared" si="15"/>
        <v>36.711165048543691</v>
      </c>
      <c r="DI4" s="111">
        <f t="shared" si="15"/>
        <v>37.8125</v>
      </c>
      <c r="DJ4" s="111">
        <f t="shared" si="15"/>
        <v>37.8125</v>
      </c>
      <c r="DK4" s="111">
        <f t="shared" si="15"/>
        <v>37.8125</v>
      </c>
      <c r="DL4" s="111">
        <f t="shared" si="15"/>
        <v>37.8125</v>
      </c>
      <c r="DM4" s="111">
        <f t="shared" si="15"/>
        <v>36.711165048543691</v>
      </c>
      <c r="DN4" s="111">
        <f t="shared" si="15"/>
        <v>37.8125</v>
      </c>
      <c r="DO4" s="111">
        <f t="shared" si="15"/>
        <v>36.711165048543691</v>
      </c>
      <c r="DP4" s="15">
        <f t="shared" si="24"/>
        <v>1.4906192608956598E-4</v>
      </c>
      <c r="DQ4" s="189">
        <f>DP4*(0.0000000000000028)*up_RadSpec!$AY4*up_RadSpec!$AF4</f>
        <v>4.5285013146010149E-16</v>
      </c>
      <c r="DR4" s="40">
        <f t="shared" si="16"/>
        <v>1375</v>
      </c>
      <c r="DS4" s="40">
        <f>IFERROR(IF(up_RadSpec!D4&lt;&gt;"",s_C*s_IFA_far_adj*s_K*up_RadSpec!D4,0),".")</f>
        <v>0</v>
      </c>
      <c r="DT4" s="40">
        <f t="shared" si="17"/>
        <v>0.12557077625570776</v>
      </c>
      <c r="DU4" s="40">
        <f>up_b2w!CC4</f>
        <v>30407.313038114935</v>
      </c>
      <c r="DV4" s="40">
        <f>IFERROR(s_C*up_RadSpec!AJ4*(1/1000)*s_IFFI_far_adj*s_CF_far_fish,0)</f>
        <v>37.8125</v>
      </c>
      <c r="DW4" s="40">
        <f>IFERROR(s_C*up_RadSpec!AK4*(1/1000)*s_IFSF_far_adj*s_CF_far_shellfish,0)</f>
        <v>37.8125</v>
      </c>
      <c r="DX4" s="40">
        <f>(s_C*s_IFB_far_adj*s_CF_far_beef*up_RadSpec!AI4*s_Q_w_beef*(1/1000))</f>
        <v>189.0625</v>
      </c>
      <c r="DY4" s="40">
        <f>(s_C*s_IFD_far_adj*s_CF_far_dairy*up_RadSpec!AH4*(1/s_D_milk)*s_Q_w_dairy*(1/1000))</f>
        <v>183.55582524271844</v>
      </c>
      <c r="DZ4" s="40">
        <f>IFERROR((s_C*s_IFSW_far_adj*s_CF_far_swine*up_RadSpec!AN4*s_Q_w_swine*(1/1000)),0)</f>
        <v>189.0625</v>
      </c>
      <c r="EA4" s="40">
        <f>IFERROR((s_C*s_IFP_far_adj*s_CF_far_poultry*up_RadSpec!AL4*s_Q_w_poultry*(1/1000)),0)</f>
        <v>189.0625</v>
      </c>
      <c r="EB4" s="40">
        <f>IFERROR((s_C*s_IFE_far_adj*s_CF_far_egg*up_RadSpec!AM4*s_Q_w_egg*(1/1000)),0)</f>
        <v>189.0625</v>
      </c>
      <c r="EC4" s="40">
        <f>IFERROR((s_C*s_IFGO_far_adj*s_CF_far_goat*up_RadSpec!AQ4*s_Q_p_goat*(1/1000)),0)</f>
        <v>189.0625</v>
      </c>
      <c r="ED4" s="40">
        <f>IFERROR((s_C*s_IFGM_far_adj*s_CF_far_goat_milk*up_RadSpec!AR4*(1/s_D_milk)*s_Q_p_goat_milk*(1/1000)),0)</f>
        <v>183.55582524271844</v>
      </c>
      <c r="EE4" s="40">
        <f>IFERROR((s_C*s_IFSH_far_adj*s_CF_far_sheep*up_RadSpec!AO4*s_Q_p_sheep*(1/1000)),0)</f>
        <v>189.0625</v>
      </c>
      <c r="EF4" s="40">
        <f>IFERROR((s_C*s_IFSM_far_adj*s_CF_far_sheep_milk*up_RadSpec!AP4*(1/s_D_milk)*s_Q_p_sheep_milk*(1/1000)),0)</f>
        <v>183.55582524271844</v>
      </c>
      <c r="EG4" s="5"/>
      <c r="EH4" s="15">
        <f>IFERROR((s_DL/(up_RadSpec!H4*s_IFA_far_adj)),".")</f>
        <v>9.9740259740259754E-3</v>
      </c>
      <c r="EI4" s="15">
        <f>IFERROR((s_DL/(up_RadSpec!K4*s_EF_far*(1/365)*1*s_ET_far*(1/24)*s_GSF_a)),".")</f>
        <v>63.709090909090911</v>
      </c>
      <c r="EJ4" s="15">
        <f t="shared" ref="EJ4:EJ30" si="25">IFERROR(IF(AND(ISNUMBER(EH4),ISNUMBER(EI4)),1/((1/EH4)+(1/EI4)),IF(AND(ISNUMBER(EH4),NOT(ISNUMBER(EI4))),1/((1/EH4)),IF(AND(NOT(ISNUMBER(EH4)),ISNUMBER(EI4)),1/((1/EI4)),IF(AND(NOT(ISNUMBER(EH4)),NOT(ISNUMBER(EI4))),".")))),".")</f>
        <v>9.9724647271019675E-3</v>
      </c>
      <c r="EK4" s="189">
        <f>EJ4*(0.0000000000000028)*up_RadSpec!$AY4*up_RadSpec!$AF4</f>
        <v>3.0296347840935774E-14</v>
      </c>
      <c r="EL4" s="40">
        <f t="shared" si="19"/>
        <v>501.30208333333326</v>
      </c>
      <c r="EM4" s="40">
        <f t="shared" si="20"/>
        <v>7.8481735159817351E-2</v>
      </c>
      <c r="EN4" s="113"/>
    </row>
    <row r="5" spans="1:144" customFormat="1" x14ac:dyDescent="0.25">
      <c r="A5" s="44" t="s">
        <v>3</v>
      </c>
      <c r="B5" s="42" t="s">
        <v>1057</v>
      </c>
      <c r="C5" s="238"/>
      <c r="D5" s="15">
        <f>up_dir!AC5</f>
        <v>1.6528925619834712E-4</v>
      </c>
      <c r="E5" s="15">
        <f>IFERROR(s_DL/(up_RadSpec!F5*s_IFP_far_adj*s_CF_far_poultry),".")</f>
        <v>6.6115702479338848E-4</v>
      </c>
      <c r="F5" s="15">
        <f>IFERROR(s_DL/(up_RadSpec!F5*s_IFE_far_adj*s_CF_far_egg),".")</f>
        <v>6.6115702479338848E-4</v>
      </c>
      <c r="G5" s="15">
        <f>IFERROR(s_DL/(up_RadSpec!F5*s_IFB_far_adj*s_CF_far_beef),".")</f>
        <v>6.6115702479338848E-4</v>
      </c>
      <c r="H5" s="15">
        <f>IFERROR(s_DL/(up_RadSpec!F5*s_IFD_far_adj*s_CF_far_dairy),".")</f>
        <v>6.6115702479338848E-4</v>
      </c>
      <c r="I5" s="15">
        <f>IFERROR(s_DL/(up_RadSpec!F5*s_IFSW_far_adj*s_CF_far_swine),".")</f>
        <v>6.6115702479338848E-4</v>
      </c>
      <c r="J5" s="15">
        <f>IFERROR(s_DL/(up_RadSpec!F5*s_IFFI_far_adj*s_CF_far_fish),".")</f>
        <v>6.6115702479338848E-4</v>
      </c>
      <c r="K5" s="15">
        <f>IFERROR(s_DL/(up_RadSpec!F5*s_IFSF_far_adj*s_CF_far_shellfish),".")</f>
        <v>6.6115702479338848E-4</v>
      </c>
      <c r="L5" s="15">
        <f>IFERROR(s_DL/(up_RadSpec!F5*s_IFGO_far_adj*s_CF_far_goat),".")</f>
        <v>6.6115702479338848E-4</v>
      </c>
      <c r="M5" s="15">
        <f>IFERROR(s_DL/(up_RadSpec!F5*s_IFSH_far_adj*s_CF_far_sheep),".")</f>
        <v>6.6115702479338848E-4</v>
      </c>
      <c r="N5" s="15">
        <f>IFERROR(s_DL/(up_RadSpec!F5*s_IFGM_far_adj*s_CF_far_goat_milk),".")</f>
        <v>6.6115702479338848E-4</v>
      </c>
      <c r="O5" s="15">
        <f>IFERROR(s_DL/(up_RadSpec!F5*s_IFSM_far_adj*s_CF_far_sheep_milk),".")</f>
        <v>6.6115702479338848E-4</v>
      </c>
      <c r="P5" s="111">
        <f t="shared" si="21"/>
        <v>1512.5</v>
      </c>
      <c r="Q5" s="111">
        <f t="shared" si="21"/>
        <v>1512.5</v>
      </c>
      <c r="R5" s="111">
        <f t="shared" si="21"/>
        <v>1512.5</v>
      </c>
      <c r="S5" s="111">
        <f t="shared" si="21"/>
        <v>1512.5</v>
      </c>
      <c r="T5" s="111">
        <f t="shared" si="21"/>
        <v>1512.5</v>
      </c>
      <c r="U5" s="111">
        <f t="shared" si="21"/>
        <v>1512.5</v>
      </c>
      <c r="V5" s="111">
        <f t="shared" si="21"/>
        <v>1512.5</v>
      </c>
      <c r="W5" s="111">
        <f t="shared" si="21"/>
        <v>1512.5</v>
      </c>
      <c r="X5" s="111">
        <f t="shared" si="0"/>
        <v>1512.5</v>
      </c>
      <c r="Y5" s="111">
        <f t="shared" si="0"/>
        <v>1512.5</v>
      </c>
      <c r="Z5" s="111">
        <f t="shared" si="0"/>
        <v>1512.5</v>
      </c>
      <c r="AA5" s="111">
        <f t="shared" si="0"/>
        <v>1512.5</v>
      </c>
      <c r="AB5" s="15">
        <f t="shared" si="22"/>
        <v>5.5096418732782371E-5</v>
      </c>
      <c r="AC5" s="247">
        <f>IFERROR(AB5*(0.0000000000028)*up_RadSpec!$AY5*up_RadSpec!$AF5,0)</f>
        <v>1.6815426997245181E-13</v>
      </c>
      <c r="AD5" s="40">
        <f>up_dir!BC5</f>
        <v>30250</v>
      </c>
      <c r="AE5" s="40">
        <f t="shared" si="1"/>
        <v>7562.5</v>
      </c>
      <c r="AF5" s="40">
        <f t="shared" si="2"/>
        <v>7562.5</v>
      </c>
      <c r="AG5" s="40">
        <f t="shared" si="3"/>
        <v>7562.5</v>
      </c>
      <c r="AH5" s="40">
        <f t="shared" si="4"/>
        <v>7562.5</v>
      </c>
      <c r="AI5" s="40">
        <f t="shared" si="5"/>
        <v>7562.5</v>
      </c>
      <c r="AJ5" s="40">
        <f t="shared" si="6"/>
        <v>7562.5</v>
      </c>
      <c r="AK5" s="40">
        <f t="shared" si="7"/>
        <v>7562.5</v>
      </c>
      <c r="AL5" s="40">
        <f t="shared" si="8"/>
        <v>7562.5</v>
      </c>
      <c r="AM5" s="40">
        <f t="shared" si="9"/>
        <v>7562.5</v>
      </c>
      <c r="AN5" s="40">
        <f t="shared" si="10"/>
        <v>7562.5</v>
      </c>
      <c r="AO5" s="40">
        <f t="shared" si="11"/>
        <v>7562.5</v>
      </c>
      <c r="AP5" s="45">
        <f>IFERROR((s_DL/(up_RadSpec!E5*s_IFS_far_adj*(1/1000)))*1,".")</f>
        <v>0.33057851239669422</v>
      </c>
      <c r="AQ5" s="45">
        <f>IFERROR(IF(A5="H-3",(s_DL/(up_RadSpec!H5*s_IFA_far_adj*(1/17)*1000))*1,(s_DL/(up_RadSpec!H5*s_IFA_far_adj*(1/s_PEF_wind)*1000))*1),".")</f>
        <v>3089.9917851942919</v>
      </c>
      <c r="AR5" s="45" t="str">
        <f>IFERROR((s_DL/(up_RadSpec!G5*s_EF_far*(1/365)*1*up_RadSpec!R5*((s_ET_far_o*(1/24)*up_RadSpec!W5)+(s_ET_far_i*(1/24)*up_RadSpec!AB5))))*1,".")</f>
        <v>.</v>
      </c>
      <c r="AS5" s="45">
        <f>up_b2s!BC5</f>
        <v>3.2968835384132272E-5</v>
      </c>
      <c r="AT5" s="45">
        <f>IFERROR(((J5*up_RadSpec!AU5)/up_RadSpec!AJ5)*1,".")</f>
        <v>6.6115702479338848E-4</v>
      </c>
      <c r="AU5" s="45">
        <f>IFERROR(((K5*up_RadSpec!AU5)/up_RadSpec!AK5)*1,".")</f>
        <v>6.6115702479338848E-4</v>
      </c>
      <c r="AV5" s="45">
        <f>IFERROR((G5/(up_RadSpec!AI5*((s_Q_p_beef*s_f_p_beef*s_f_s_beef*(up_RadSpec!BD5+s_R_es_past))+(s_Q_s_beef*s_f_p_beef))))*1,".")</f>
        <v>1.8558793678410905E-7</v>
      </c>
      <c r="AW5" s="45">
        <f>IFERROR(((H5*s_D_milk)/(up_RadSpec!AH5*((s_Q_p_dairy*s_f_p_dairy*s_f_s_dairy*(up_RadSpec!BD5+s_R_es_past))+(s_Q_s_dairy*s_f_p_dairy))))*1,".")</f>
        <v>1.9115557488763231E-7</v>
      </c>
      <c r="AX5" s="45">
        <f>IFERROR((I5/(up_RadSpec!AN5*((s_Q_p_swine*s_f_p_swine*s_f_s_swine*(up_RadSpec!BD5+s_R_es_past))+(s_Q_s_swine*s_f_p_swine))))*1,".")</f>
        <v>1.8558793678410905E-7</v>
      </c>
      <c r="AY5" s="45">
        <f>IFERROR((E5/(up_RadSpec!AL5*((s_Q_p_poultry*s_f_p_poultry*s_f_s_poultry*(up_RadSpec!BD5+s_R_es_past))+(s_Q_s_poultry*s_f_p_poultry))))*1,".")</f>
        <v>1.8558793678410905E-7</v>
      </c>
      <c r="AZ5" s="45">
        <f>IFERROR((F5/(up_RadSpec!AM5*((s_Q_p_poultry*s_f_p_poultry*s_f_s_poultry*(up_RadSpec!BD5+s_R_es_past))+(s_Q_s_poultry*s_f_p_poultry))))*1,".")</f>
        <v>1.8558793678410905E-7</v>
      </c>
      <c r="BA5" s="45">
        <f>IFERROR((L5/(up_RadSpec!AQ5*((s_Q_p_goat*s_f_p_goat*s_f_s_goat*(up_RadSpec!BD5+s_R_es_past))+(s_Q_s_goat*s_f_p_goat))))*1,".")</f>
        <v>1.8558793678410905E-7</v>
      </c>
      <c r="BB5" s="45">
        <f>IFERROR((N5*s_D_milk/(up_RadSpec!AR5*((s_Q_p_goat_milk*s_f_p_goat_milk*s_f_s_goat_milk*(up_RadSpec!BD5+s_R_es_past))+(s_Q_s_goat_milk*s_f_p_goat_milk))))*1,".")</f>
        <v>1.9115557488763231E-7</v>
      </c>
      <c r="BC5" s="45">
        <f>IFERROR((M5/(up_RadSpec!AO5*((s_Q_p_sheep*s_f_p_sheep*s_f_s_sheep*(up_RadSpec!BD5+s_R_es_past))+(s_Q_s_sheep*s_f_p_sheep))))*1,".")</f>
        <v>1.8558793678410905E-7</v>
      </c>
      <c r="BD5" s="45">
        <f>IFERROR((O5*s_D_milk/(up_RadSpec!AP5*((s_Q_p_sheep_milk*s_f_p_sheep_milk*s_f_s_sheep_milk*(up_RadSpec!BD5+s_R_es_past))+(s_Q_s_sheep_milk*s_f_p_sheep_milk))))*1,".")</f>
        <v>1.9115557488763231E-7</v>
      </c>
      <c r="BE5" s="111">
        <f t="shared" si="12"/>
        <v>3.0249999999999999</v>
      </c>
      <c r="BF5" s="111">
        <f t="shared" si="12"/>
        <v>3.236254558317935E-4</v>
      </c>
      <c r="BG5" s="111" t="str">
        <f t="shared" si="12"/>
        <v>.</v>
      </c>
      <c r="BH5" s="111">
        <f t="shared" si="12"/>
        <v>30331.674999999992</v>
      </c>
      <c r="BI5" s="111">
        <f t="shared" si="12"/>
        <v>1512.5</v>
      </c>
      <c r="BJ5" s="111">
        <f t="shared" si="12"/>
        <v>1512.5</v>
      </c>
      <c r="BK5" s="111">
        <f t="shared" si="12"/>
        <v>5388281.2499999991</v>
      </c>
      <c r="BL5" s="111">
        <f t="shared" si="12"/>
        <v>5231341.0194174759</v>
      </c>
      <c r="BM5" s="111">
        <f t="shared" si="12"/>
        <v>5388281.2499999991</v>
      </c>
      <c r="BN5" s="111">
        <f t="shared" si="12"/>
        <v>5388281.2499999991</v>
      </c>
      <c r="BO5" s="111">
        <f t="shared" si="12"/>
        <v>5388281.2499999991</v>
      </c>
      <c r="BP5" s="111">
        <f t="shared" si="12"/>
        <v>5388281.2499999991</v>
      </c>
      <c r="BQ5" s="111">
        <f t="shared" si="12"/>
        <v>5231341.0194174759</v>
      </c>
      <c r="BR5" s="111">
        <f t="shared" si="12"/>
        <v>5388281.2499999991</v>
      </c>
      <c r="BS5" s="111">
        <f t="shared" si="12"/>
        <v>5231341.0194174759</v>
      </c>
      <c r="BT5" s="15">
        <f t="shared" si="23"/>
        <v>2.0808592671575615E-8</v>
      </c>
      <c r="BU5" s="189">
        <f>IFERROR(BT5*(0.0000000000028)*up_RadSpec!$AY5*up_RadSpec!$AF5,0)</f>
        <v>6.3507824833648777E-17</v>
      </c>
      <c r="BV5" s="40">
        <f t="shared" si="13"/>
        <v>15.125</v>
      </c>
      <c r="BW5" s="40">
        <f t="shared" si="14"/>
        <v>1.6181272791589674E-3</v>
      </c>
      <c r="BX5" s="40">
        <f>IFERROR((s_C*s_EF_far*(1/365)*1*up_RadSpec!R5*((s_ET_far_o*(1/24)*up_RadSpec!W5)+(s_ET_far_i*(1/24)*up_RadSpec!AB5))),".")</f>
        <v>0</v>
      </c>
      <c r="BY5" s="40">
        <f>up_b2s!CC5</f>
        <v>151658.375</v>
      </c>
      <c r="BZ5" s="40">
        <f>IFERROR(((s_C*up_RadSpec!AJ5)/up_RadSpec!AU5)*s_IFFI_far_adj*s_CF_far_fish,0)</f>
        <v>7562.5</v>
      </c>
      <c r="CA5" s="40">
        <f>IFERROR(((s_C*up_RadSpec!AK5)/up_RadSpec!AU5)*s_IFSF_far_adj*s_CF_far_shellfish,0)</f>
        <v>7562.5</v>
      </c>
      <c r="CB5" s="40">
        <f>(s_C*s_IFB_far_adj*s_CF_far_beef*up_RadSpec!AI5*((s_Q_p_beef*s_f_p_beef*s_f_s_beef*(up_RadSpec!$AT5+s_R_es_past))+(s_Q_s_beef*s_f_p_beef)))</f>
        <v>26941406.25</v>
      </c>
      <c r="CC5" s="40">
        <f>(s_C*s_IFD_far_adj*s_CF_far_dairy*up_RadSpec!AH5*1/s_D_milk*((s_Q_p_dairy*s_f_p_dairy*s_f_s_dairy*(up_RadSpec!$AT5+s_R_es_past))+(s_Q_s_dairy*s_f_p_dairy)))</f>
        <v>26156705.09708738</v>
      </c>
      <c r="CD5" s="40">
        <f>IFERROR((s_C*s_IFSW_far_adj*s_CF_far_swine*up_RadSpec!AN5*((s_Q_p_swine*s_f_p_swine*s_f_s_swine*(up_RadSpec!$AT5+s_R_es_past))+(s_Q_s_swine*s_f_p_swine))),0)</f>
        <v>26941406.25</v>
      </c>
      <c r="CE5" s="40">
        <f>IFERROR((s_C*s_IFP_far_adj*s_CF_far_poultry*up_RadSpec!AL5*((s_Q_p_poultry*s_f_p_poultry*s_f_s_poultry*(up_RadSpec!AT5+s_R_es_past))+(s_Q_s_poultry*s_f_p_poultry))),0)</f>
        <v>26941406.25</v>
      </c>
      <c r="CF5" s="40">
        <f>IFERROR((s_C*s_IFE_far_adj*s_CF_far_egg*up_RadSpec!AM5*((s_Q_p_egg*s_f_p_egg*s_f_s_egg*(up_RadSpec!$AT5+s_R_es_past))+(s_Q_s_egg*s_f_p_egg))),0)</f>
        <v>26941406.25</v>
      </c>
      <c r="CG5" s="40">
        <f>IFERROR((s_C*s_IFGO_far_adj*s_CF_far_goat*up_RadSpec!AQ5*((s_Q_p_goat*s_f_p_goat*s_f_s_goat*(up_RadSpec!$AT5+s_R_es_past))+(s_Q_s_goat*s_f_p_goat))),0)</f>
        <v>26941406.25</v>
      </c>
      <c r="CH5" s="40">
        <f>IFERROR((s_C*s_IFGM_far_adj*s_CF_far_goat_milk*up_RadSpec!AR5*1/s_D_milk*((s_Q_p_goat_milk*s_f_p_goat_milk*s_f_s_goat_milk*(up_RadSpec!$AT5+s_R_es_past))+(s_Q_s_goat_milk*s_f_p_goat_milk))),0)</f>
        <v>26156705.09708738</v>
      </c>
      <c r="CI5" s="40">
        <f>IFERROR((s_C*s_IFSH_far_adj*s_CF_far_sheep*up_RadSpec!AO5*((s_Q_p_sheep*s_f_p_sheep*s_f_s_sheep*(up_RadSpec!$AT5+s_R_es_past))+(s_Q_s_sheep*s_f_p_sheep))),0)</f>
        <v>26941406.25</v>
      </c>
      <c r="CJ5" s="40">
        <f>IFERROR((s_C*s_IFSM_far_adj*s_CF_far_sheep_milk*up_RadSpec!AP5*1/s_D_milk*((s_Q_p_sheep_milk*s_f_p_sheep_milk*s_f_s_sheep_milk*(up_RadSpec!$AT5+s_R_es_past))+(s_Q_s_sheep_milk*s_f_p_sheep_milk))),0)</f>
        <v>26156705.09708738</v>
      </c>
      <c r="CK5" s="18"/>
      <c r="CL5" s="15">
        <f>IFERROR(s_DL/(up_RadSpec!I5*s_IFW_far_adj),".")</f>
        <v>3.6363636363636364E-3</v>
      </c>
      <c r="CM5" s="15">
        <f>IFERROR(IF(AND(up_RadSpec!C5=1,up_RadSpec!D5&lt;&gt;0),s_DL/(up_RadSpec!H5*s_IFA_far_adj*s_K*up_RadSpec!D5),"."),".")</f>
        <v>137.32464063589893</v>
      </c>
      <c r="CN5" s="15">
        <f>IFERROR((s_DL/(up_RadSpec!M5*(1/8760)*s_DFA_far_adj)),".")</f>
        <v>39.81818181818182</v>
      </c>
      <c r="CO5" s="15">
        <f>up_b2w!BC5</f>
        <v>1.6443412786038033E-4</v>
      </c>
      <c r="CP5" s="15">
        <f>IFERROR(J5/(up_RadSpec!AJ5*(1/1000)),".")</f>
        <v>0.13223140495867769</v>
      </c>
      <c r="CQ5" s="15">
        <f>IFERROR(K5/(up_RadSpec!AK5*(1/1000)),".")</f>
        <v>0.13223140495867769</v>
      </c>
      <c r="CR5" s="15">
        <f>IFERROR(G5/(up_RadSpec!AI5*s_Q_w_beef*(1/1000)),".")</f>
        <v>2.6446280991735537E-2</v>
      </c>
      <c r="CS5" s="15">
        <f>IFERROR((H5*s_D_milk)/(up_RadSpec!AH5*s_Q_w_dairy*(1/1000)),".")</f>
        <v>2.7239669421487603E-2</v>
      </c>
      <c r="CT5" s="15">
        <f>IFERROR(I5/(up_RadSpec!AN5*s_Q_w_swine*(1/1000)),".")</f>
        <v>2.6446280991735537E-2</v>
      </c>
      <c r="CU5" s="15">
        <f>IFERROR(E5/(up_RadSpec!AL5*s_Q_w_poultry*(1/1000)),".")</f>
        <v>2.6446280991735537E-2</v>
      </c>
      <c r="CV5" s="15">
        <f>IFERROR(F5/(up_RadSpec!AM5*s_Q_w_poultry*(1/1000)),".")</f>
        <v>2.6446280991735537E-2</v>
      </c>
      <c r="CW5" s="15">
        <f>IFERROR(L5/(up_RadSpec!AQ5*s_Q_w_goat*(1/1000)),".")</f>
        <v>2.6446280991735537E-2</v>
      </c>
      <c r="CX5" s="15">
        <f>IFERROR(N5*s_D_milk/(up_RadSpec!AR5*s_Q_w_goat_milk*(1/1000)),".")</f>
        <v>2.7239669421487603E-2</v>
      </c>
      <c r="CY5" s="15">
        <f>IFERROR(M5/(up_RadSpec!AO5*s_Q_w_sheep*(1/1000)),".")</f>
        <v>2.6446280991735537E-2</v>
      </c>
      <c r="CZ5" s="15">
        <f>IFERROR(O5*s_D_milk/(up_RadSpec!AP5*s_Q_w_sheep_milk*(1/1000)),".")</f>
        <v>2.7239669421487603E-2</v>
      </c>
      <c r="DA5" s="111">
        <f t="shared" si="15"/>
        <v>275</v>
      </c>
      <c r="DB5" s="111">
        <f t="shared" si="15"/>
        <v>7.2820143229166655E-3</v>
      </c>
      <c r="DC5" s="111">
        <f t="shared" si="15"/>
        <v>2.5114155251141551E-2</v>
      </c>
      <c r="DD5" s="111">
        <f t="shared" si="15"/>
        <v>6081.4626076229861</v>
      </c>
      <c r="DE5" s="111">
        <f t="shared" si="15"/>
        <v>7.5625</v>
      </c>
      <c r="DF5" s="111">
        <f t="shared" si="15"/>
        <v>7.5625</v>
      </c>
      <c r="DG5" s="111">
        <f t="shared" si="15"/>
        <v>37.8125</v>
      </c>
      <c r="DH5" s="111">
        <f t="shared" si="15"/>
        <v>36.711165048543691</v>
      </c>
      <c r="DI5" s="111">
        <f t="shared" si="15"/>
        <v>37.8125</v>
      </c>
      <c r="DJ5" s="111">
        <f t="shared" si="15"/>
        <v>37.8125</v>
      </c>
      <c r="DK5" s="111">
        <f t="shared" si="15"/>
        <v>37.8125</v>
      </c>
      <c r="DL5" s="111">
        <f t="shared" si="15"/>
        <v>37.8125</v>
      </c>
      <c r="DM5" s="111">
        <f t="shared" si="15"/>
        <v>36.711165048543691</v>
      </c>
      <c r="DN5" s="111">
        <f t="shared" si="15"/>
        <v>37.8125</v>
      </c>
      <c r="DO5" s="111">
        <f t="shared" si="15"/>
        <v>36.711165048543691</v>
      </c>
      <c r="DP5" s="15">
        <f t="shared" si="24"/>
        <v>1.4906176428733161E-4</v>
      </c>
      <c r="DQ5" s="189">
        <f>DP5*(0.0000000000000028)*up_RadSpec!$AY5*up_RadSpec!$AF5</f>
        <v>4.5493650460493608E-16</v>
      </c>
      <c r="DR5" s="40">
        <f t="shared" si="16"/>
        <v>1375</v>
      </c>
      <c r="DS5" s="40">
        <f>IFERROR(IF(up_RadSpec!D5&lt;&gt;"",s_C*s_IFA_far_adj*s_K*up_RadSpec!D5,0),".")</f>
        <v>3.6410071614583331E-2</v>
      </c>
      <c r="DT5" s="40">
        <f t="shared" si="17"/>
        <v>0.12557077625570776</v>
      </c>
      <c r="DU5" s="40">
        <f>up_b2w!CC5</f>
        <v>30407.313038114935</v>
      </c>
      <c r="DV5" s="40">
        <f>IFERROR(s_C*up_RadSpec!AJ5*(1/1000)*s_IFFI_far_adj*s_CF_far_fish,0)</f>
        <v>37.8125</v>
      </c>
      <c r="DW5" s="40">
        <f>IFERROR(s_C*up_RadSpec!AK5*(1/1000)*s_IFSF_far_adj*s_CF_far_shellfish,0)</f>
        <v>37.8125</v>
      </c>
      <c r="DX5" s="40">
        <f>(s_C*s_IFB_far_adj*s_CF_far_beef*up_RadSpec!AI5*s_Q_w_beef*(1/1000))</f>
        <v>189.0625</v>
      </c>
      <c r="DY5" s="40">
        <f>(s_C*s_IFD_far_adj*s_CF_far_dairy*up_RadSpec!AH5*(1/s_D_milk)*s_Q_w_dairy*(1/1000))</f>
        <v>183.55582524271844</v>
      </c>
      <c r="DZ5" s="40">
        <f>IFERROR((s_C*s_IFSW_far_adj*s_CF_far_swine*up_RadSpec!AN5*s_Q_w_swine*(1/1000)),0)</f>
        <v>189.0625</v>
      </c>
      <c r="EA5" s="40">
        <f>IFERROR((s_C*s_IFP_far_adj*s_CF_far_poultry*up_RadSpec!AL5*s_Q_w_poultry*(1/1000)),0)</f>
        <v>189.0625</v>
      </c>
      <c r="EB5" s="40">
        <f>IFERROR((s_C*s_IFE_far_adj*s_CF_far_egg*up_RadSpec!AM5*s_Q_w_egg*(1/1000)),0)</f>
        <v>189.0625</v>
      </c>
      <c r="EC5" s="40">
        <f>IFERROR((s_C*s_IFGO_far_adj*s_CF_far_goat*up_RadSpec!AQ5*s_Q_p_goat*(1/1000)),0)</f>
        <v>189.0625</v>
      </c>
      <c r="ED5" s="40">
        <f>IFERROR((s_C*s_IFGM_far_adj*s_CF_far_goat_milk*up_RadSpec!AR5*(1/s_D_milk)*s_Q_p_goat_milk*(1/1000)),0)</f>
        <v>183.55582524271844</v>
      </c>
      <c r="EE5" s="40">
        <f>IFERROR((s_C*s_IFSH_far_adj*s_CF_far_sheep*up_RadSpec!AO5*s_Q_p_sheep*(1/1000)),0)</f>
        <v>189.0625</v>
      </c>
      <c r="EF5" s="40">
        <f>IFERROR((s_C*s_IFSM_far_adj*s_CF_far_sheep_milk*up_RadSpec!AP5*(1/s_D_milk)*s_Q_p_sheep_milk*(1/1000)),0)</f>
        <v>183.55582524271844</v>
      </c>
      <c r="EG5" s="5"/>
      <c r="EH5" s="15">
        <f>IFERROR((s_DL/(up_RadSpec!H5*s_IFA_far_adj)),".")</f>
        <v>9.9740259740259754E-3</v>
      </c>
      <c r="EI5" s="15">
        <f>IFERROR((s_DL/(up_RadSpec!K5*s_EF_far*(1/365)*1*s_ET_far*(1/24)*s_GSF_a)),".")</f>
        <v>63.709090909090911</v>
      </c>
      <c r="EJ5" s="15">
        <f t="shared" si="25"/>
        <v>9.9724647271019675E-3</v>
      </c>
      <c r="EK5" s="189">
        <f>EJ5*(0.0000000000000028)*up_RadSpec!$AY5*up_RadSpec!$AF5</f>
        <v>3.0435962347115209E-14</v>
      </c>
      <c r="EL5" s="40">
        <f t="shared" si="19"/>
        <v>501.30208333333326</v>
      </c>
      <c r="EM5" s="40">
        <f t="shared" si="20"/>
        <v>7.8481735159817351E-2</v>
      </c>
      <c r="EN5" s="113"/>
    </row>
    <row r="6" spans="1:144" customFormat="1" x14ac:dyDescent="0.25">
      <c r="A6" s="44" t="s">
        <v>4</v>
      </c>
      <c r="B6" s="42" t="s">
        <v>1057</v>
      </c>
      <c r="C6" s="42"/>
      <c r="D6" s="15">
        <f>up_dir!AC6</f>
        <v>1.6528925619834712E-4</v>
      </c>
      <c r="E6" s="15">
        <f>IFERROR(s_DL/(up_RadSpec!F6*s_IFP_far_adj*s_CF_far_poultry),".")</f>
        <v>6.6115702479338848E-4</v>
      </c>
      <c r="F6" s="15">
        <f>IFERROR(s_DL/(up_RadSpec!F6*s_IFE_far_adj*s_CF_far_egg),".")</f>
        <v>6.6115702479338848E-4</v>
      </c>
      <c r="G6" s="15">
        <f>IFERROR(s_DL/(up_RadSpec!F6*s_IFB_far_adj*s_CF_far_beef),".")</f>
        <v>6.6115702479338848E-4</v>
      </c>
      <c r="H6" s="15">
        <f>IFERROR(s_DL/(up_RadSpec!F6*s_IFD_far_adj*s_CF_far_dairy),".")</f>
        <v>6.6115702479338848E-4</v>
      </c>
      <c r="I6" s="15">
        <f>IFERROR(s_DL/(up_RadSpec!F6*s_IFSW_far_adj*s_CF_far_swine),".")</f>
        <v>6.6115702479338848E-4</v>
      </c>
      <c r="J6" s="15">
        <f>IFERROR(s_DL/(up_RadSpec!F6*s_IFFI_far_adj*s_CF_far_fish),".")</f>
        <v>6.6115702479338848E-4</v>
      </c>
      <c r="K6" s="15">
        <f>IFERROR(s_DL/(up_RadSpec!F6*s_IFSF_far_adj*s_CF_far_shellfish),".")</f>
        <v>6.6115702479338848E-4</v>
      </c>
      <c r="L6" s="15">
        <f>IFERROR(s_DL/(up_RadSpec!F6*s_IFGO_far_adj*s_CF_far_goat),".")</f>
        <v>6.6115702479338848E-4</v>
      </c>
      <c r="M6" s="15">
        <f>IFERROR(s_DL/(up_RadSpec!F6*s_IFSH_far_adj*s_CF_far_sheep),".")</f>
        <v>6.6115702479338848E-4</v>
      </c>
      <c r="N6" s="15">
        <f>IFERROR(s_DL/(up_RadSpec!F6*s_IFGM_far_adj*s_CF_far_goat_milk),".")</f>
        <v>6.6115702479338848E-4</v>
      </c>
      <c r="O6" s="15">
        <f>IFERROR(s_DL/(up_RadSpec!F6*s_IFSM_far_adj*s_CF_far_sheep_milk),".")</f>
        <v>6.6115702479338848E-4</v>
      </c>
      <c r="P6" s="111">
        <f t="shared" si="21"/>
        <v>1512.5</v>
      </c>
      <c r="Q6" s="111">
        <f t="shared" si="21"/>
        <v>1512.5</v>
      </c>
      <c r="R6" s="111">
        <f t="shared" si="21"/>
        <v>1512.5</v>
      </c>
      <c r="S6" s="111">
        <f t="shared" si="21"/>
        <v>1512.5</v>
      </c>
      <c r="T6" s="111">
        <f t="shared" si="21"/>
        <v>1512.5</v>
      </c>
      <c r="U6" s="111">
        <f t="shared" si="21"/>
        <v>1512.5</v>
      </c>
      <c r="V6" s="111">
        <f t="shared" si="21"/>
        <v>1512.5</v>
      </c>
      <c r="W6" s="111">
        <f t="shared" si="21"/>
        <v>1512.5</v>
      </c>
      <c r="X6" s="111">
        <f t="shared" si="0"/>
        <v>1512.5</v>
      </c>
      <c r="Y6" s="111">
        <f t="shared" si="0"/>
        <v>1512.5</v>
      </c>
      <c r="Z6" s="111">
        <f t="shared" si="0"/>
        <v>1512.5</v>
      </c>
      <c r="AA6" s="111">
        <f t="shared" si="0"/>
        <v>1512.5</v>
      </c>
      <c r="AB6" s="15">
        <f t="shared" si="22"/>
        <v>5.5096418732782371E-5</v>
      </c>
      <c r="AC6" s="247">
        <f>IFERROR(AB6*(0.0000000000028)*up_RadSpec!$AY6*up_RadSpec!$AF6,0)</f>
        <v>1.0567493112947661E-13</v>
      </c>
      <c r="AD6" s="40">
        <f>up_dir!BC6</f>
        <v>30250</v>
      </c>
      <c r="AE6" s="40">
        <f t="shared" si="1"/>
        <v>7562.5</v>
      </c>
      <c r="AF6" s="40">
        <f t="shared" si="2"/>
        <v>7562.5</v>
      </c>
      <c r="AG6" s="40">
        <f t="shared" si="3"/>
        <v>7562.5</v>
      </c>
      <c r="AH6" s="40">
        <f t="shared" si="4"/>
        <v>7562.5</v>
      </c>
      <c r="AI6" s="40">
        <f t="shared" si="5"/>
        <v>7562.5</v>
      </c>
      <c r="AJ6" s="40">
        <f t="shared" si="6"/>
        <v>7562.5</v>
      </c>
      <c r="AK6" s="40">
        <f t="shared" si="7"/>
        <v>7562.5</v>
      </c>
      <c r="AL6" s="40">
        <f t="shared" si="8"/>
        <v>7562.5</v>
      </c>
      <c r="AM6" s="40">
        <f t="shared" si="9"/>
        <v>7562.5</v>
      </c>
      <c r="AN6" s="40">
        <f t="shared" si="10"/>
        <v>7562.5</v>
      </c>
      <c r="AO6" s="40">
        <f t="shared" si="11"/>
        <v>7562.5</v>
      </c>
      <c r="AP6" s="45">
        <f>IFERROR((s_DL/(up_RadSpec!E6*s_IFS_far_adj*(1/1000)))*1,".")</f>
        <v>0.33057851239669422</v>
      </c>
      <c r="AQ6" s="45">
        <f>IFERROR(IF(A6="H-3",(s_DL/(up_RadSpec!H6*s_IFA_far_adj*(1/17)*1000))*1,(s_DL/(up_RadSpec!H6*s_IFA_far_adj*(1/s_PEF_wind)*1000))*1),".")</f>
        <v>3089.9917851942919</v>
      </c>
      <c r="AR6" s="45">
        <f>IFERROR((s_DL/(up_RadSpec!G6*s_EF_far*(1/365)*1*up_RadSpec!R6*((s_ET_far_o*(1/24)*up_RadSpec!W6)+(s_ET_far_i*(1/24)*up_RadSpec!AB6))))*1,".")</f>
        <v>176.86137198332315</v>
      </c>
      <c r="AS6" s="45">
        <f>up_b2s!BC6</f>
        <v>3.2968835384132272E-5</v>
      </c>
      <c r="AT6" s="45">
        <f>IFERROR(((J6*up_RadSpec!AU6)/up_RadSpec!AJ6)*1,".")</f>
        <v>6.6115702479338848E-4</v>
      </c>
      <c r="AU6" s="45">
        <f>IFERROR(((K6*up_RadSpec!AU6)/up_RadSpec!AK6)*1,".")</f>
        <v>6.6115702479338848E-4</v>
      </c>
      <c r="AV6" s="45">
        <f>IFERROR((G6/(up_RadSpec!AI6*((s_Q_p_beef*s_f_p_beef*s_f_s_beef*(up_RadSpec!BD6+s_R_es_past))+(s_Q_s_beef*s_f_p_beef))))*1,".")</f>
        <v>1.8558793678410905E-7</v>
      </c>
      <c r="AW6" s="45">
        <f>IFERROR(((H6*s_D_milk)/(up_RadSpec!AH6*((s_Q_p_dairy*s_f_p_dairy*s_f_s_dairy*(up_RadSpec!BD6+s_R_es_past))+(s_Q_s_dairy*s_f_p_dairy))))*1,".")</f>
        <v>1.9115557488763231E-7</v>
      </c>
      <c r="AX6" s="45">
        <f>IFERROR((I6/(up_RadSpec!AN6*((s_Q_p_swine*s_f_p_swine*s_f_s_swine*(up_RadSpec!BD6+s_R_es_past))+(s_Q_s_swine*s_f_p_swine))))*1,".")</f>
        <v>1.8558793678410905E-7</v>
      </c>
      <c r="AY6" s="45">
        <f>IFERROR((E6/(up_RadSpec!AL6*((s_Q_p_poultry*s_f_p_poultry*s_f_s_poultry*(up_RadSpec!BD6+s_R_es_past))+(s_Q_s_poultry*s_f_p_poultry))))*1,".")</f>
        <v>1.8558793678410905E-7</v>
      </c>
      <c r="AZ6" s="45">
        <f>IFERROR((F6/(up_RadSpec!AM6*((s_Q_p_poultry*s_f_p_poultry*s_f_s_poultry*(up_RadSpec!BD6+s_R_es_past))+(s_Q_s_poultry*s_f_p_poultry))))*1,".")</f>
        <v>1.8558793678410905E-7</v>
      </c>
      <c r="BA6" s="45">
        <f>IFERROR((L6/(up_RadSpec!AQ6*((s_Q_p_goat*s_f_p_goat*s_f_s_goat*(up_RadSpec!BD6+s_R_es_past))+(s_Q_s_goat*s_f_p_goat))))*1,".")</f>
        <v>1.8558793678410905E-7</v>
      </c>
      <c r="BB6" s="45">
        <f>IFERROR((N6*s_D_milk/(up_RadSpec!AR6*((s_Q_p_goat_milk*s_f_p_goat_milk*s_f_s_goat_milk*(up_RadSpec!BD6+s_R_es_past))+(s_Q_s_goat_milk*s_f_p_goat_milk))))*1,".")</f>
        <v>1.9115557488763231E-7</v>
      </c>
      <c r="BC6" s="45">
        <f>IFERROR((M6/(up_RadSpec!AO6*((s_Q_p_sheep*s_f_p_sheep*s_f_s_sheep*(up_RadSpec!BD6+s_R_es_past))+(s_Q_s_sheep*s_f_p_sheep))))*1,".")</f>
        <v>1.8558793678410905E-7</v>
      </c>
      <c r="BD6" s="45">
        <f>IFERROR((O6*s_D_milk/(up_RadSpec!AP6*((s_Q_p_sheep_milk*s_f_p_sheep_milk*s_f_s_sheep_milk*(up_RadSpec!BD6+s_R_es_past))+(s_Q_s_sheep_milk*s_f_p_sheep_milk))))*1,".")</f>
        <v>1.9115557488763231E-7</v>
      </c>
      <c r="BE6" s="111">
        <f t="shared" si="12"/>
        <v>3.0249999999999999</v>
      </c>
      <c r="BF6" s="111">
        <f t="shared" si="12"/>
        <v>3.236254558317935E-4</v>
      </c>
      <c r="BG6" s="111">
        <f t="shared" si="12"/>
        <v>5.6541458928312128E-3</v>
      </c>
      <c r="BH6" s="111">
        <f t="shared" si="12"/>
        <v>30331.674999999992</v>
      </c>
      <c r="BI6" s="111">
        <f t="shared" si="12"/>
        <v>1512.5</v>
      </c>
      <c r="BJ6" s="111">
        <f t="shared" si="12"/>
        <v>1512.5</v>
      </c>
      <c r="BK6" s="111">
        <f t="shared" si="12"/>
        <v>5388281.2499999991</v>
      </c>
      <c r="BL6" s="111">
        <f t="shared" si="12"/>
        <v>5231341.0194174759</v>
      </c>
      <c r="BM6" s="111">
        <f t="shared" si="12"/>
        <v>5388281.2499999991</v>
      </c>
      <c r="BN6" s="111">
        <f t="shared" si="12"/>
        <v>5388281.2499999991</v>
      </c>
      <c r="BO6" s="111">
        <f t="shared" si="12"/>
        <v>5388281.2499999991</v>
      </c>
      <c r="BP6" s="111">
        <f t="shared" si="12"/>
        <v>5388281.2499999991</v>
      </c>
      <c r="BQ6" s="111">
        <f t="shared" si="12"/>
        <v>5231341.0194174759</v>
      </c>
      <c r="BR6" s="111">
        <f t="shared" si="12"/>
        <v>5388281.2499999991</v>
      </c>
      <c r="BS6" s="111">
        <f t="shared" si="12"/>
        <v>5231341.0194174759</v>
      </c>
      <c r="BT6" s="15">
        <f t="shared" si="23"/>
        <v>2.0808592669127378E-8</v>
      </c>
      <c r="BU6" s="189">
        <f>IFERROR(BT6*(0.0000000000028)*up_RadSpec!$AY6*up_RadSpec!$AF6,0)</f>
        <v>3.9910880739386316E-17</v>
      </c>
      <c r="BV6" s="40">
        <f t="shared" si="13"/>
        <v>15.125</v>
      </c>
      <c r="BW6" s="40">
        <f t="shared" si="14"/>
        <v>1.6181272791589674E-3</v>
      </c>
      <c r="BX6" s="40">
        <f>IFERROR((s_C*s_EF_far*(1/365)*1*up_RadSpec!R6*((s_ET_far_o*(1/24)*up_RadSpec!W6)+(s_ET_far_i*(1/24)*up_RadSpec!AB6))),".")</f>
        <v>2.8270729464156066E-2</v>
      </c>
      <c r="BY6" s="40">
        <f>up_b2s!CC6</f>
        <v>151658.375</v>
      </c>
      <c r="BZ6" s="40">
        <f>IFERROR(((s_C*up_RadSpec!AJ6)/up_RadSpec!AU6)*s_IFFI_far_adj*s_CF_far_fish,0)</f>
        <v>7562.5</v>
      </c>
      <c r="CA6" s="40">
        <f>IFERROR(((s_C*up_RadSpec!AK6)/up_RadSpec!AU6)*s_IFSF_far_adj*s_CF_far_shellfish,0)</f>
        <v>7562.5</v>
      </c>
      <c r="CB6" s="40">
        <f>(s_C*s_IFB_far_adj*s_CF_far_beef*up_RadSpec!AI6*((s_Q_p_beef*s_f_p_beef*s_f_s_beef*(up_RadSpec!$AT6+s_R_es_past))+(s_Q_s_beef*s_f_p_beef)))</f>
        <v>26941406.25</v>
      </c>
      <c r="CC6" s="40">
        <f>(s_C*s_IFD_far_adj*s_CF_far_dairy*up_RadSpec!AH6*1/s_D_milk*((s_Q_p_dairy*s_f_p_dairy*s_f_s_dairy*(up_RadSpec!$AT6+s_R_es_past))+(s_Q_s_dairy*s_f_p_dairy)))</f>
        <v>26156705.09708738</v>
      </c>
      <c r="CD6" s="40">
        <f>IFERROR((s_C*s_IFSW_far_adj*s_CF_far_swine*up_RadSpec!AN6*((s_Q_p_swine*s_f_p_swine*s_f_s_swine*(up_RadSpec!$AT6+s_R_es_past))+(s_Q_s_swine*s_f_p_swine))),0)</f>
        <v>26941406.25</v>
      </c>
      <c r="CE6" s="40">
        <f>IFERROR((s_C*s_IFP_far_adj*s_CF_far_poultry*up_RadSpec!AL6*((s_Q_p_poultry*s_f_p_poultry*s_f_s_poultry*(up_RadSpec!AT6+s_R_es_past))+(s_Q_s_poultry*s_f_p_poultry))),0)</f>
        <v>26941406.25</v>
      </c>
      <c r="CF6" s="40">
        <f>IFERROR((s_C*s_IFE_far_adj*s_CF_far_egg*up_RadSpec!AM6*((s_Q_p_egg*s_f_p_egg*s_f_s_egg*(up_RadSpec!$AT6+s_R_es_past))+(s_Q_s_egg*s_f_p_egg))),0)</f>
        <v>26941406.25</v>
      </c>
      <c r="CG6" s="40">
        <f>IFERROR((s_C*s_IFGO_far_adj*s_CF_far_goat*up_RadSpec!AQ6*((s_Q_p_goat*s_f_p_goat*s_f_s_goat*(up_RadSpec!$AT6+s_R_es_past))+(s_Q_s_goat*s_f_p_goat))),0)</f>
        <v>26941406.25</v>
      </c>
      <c r="CH6" s="40">
        <f>IFERROR((s_C*s_IFGM_far_adj*s_CF_far_goat_milk*up_RadSpec!AR6*1/s_D_milk*((s_Q_p_goat_milk*s_f_p_goat_milk*s_f_s_goat_milk*(up_RadSpec!$AT6+s_R_es_past))+(s_Q_s_goat_milk*s_f_p_goat_milk))),0)</f>
        <v>26156705.09708738</v>
      </c>
      <c r="CI6" s="40">
        <f>IFERROR((s_C*s_IFSH_far_adj*s_CF_far_sheep*up_RadSpec!AO6*((s_Q_p_sheep*s_f_p_sheep*s_f_s_sheep*(up_RadSpec!$AT6+s_R_es_past))+(s_Q_s_sheep*s_f_p_sheep))),0)</f>
        <v>26941406.25</v>
      </c>
      <c r="CJ6" s="40">
        <f>IFERROR((s_C*s_IFSM_far_adj*s_CF_far_sheep_milk*up_RadSpec!AP6*1/s_D_milk*((s_Q_p_sheep_milk*s_f_p_sheep_milk*s_f_s_sheep_milk*(up_RadSpec!$AT6+s_R_es_past))+(s_Q_s_sheep_milk*s_f_p_sheep_milk))),0)</f>
        <v>26156705.09708738</v>
      </c>
      <c r="CK6" s="18"/>
      <c r="CL6" s="15">
        <f>IFERROR(s_DL/(up_RadSpec!I6*s_IFW_far_adj),".")</f>
        <v>3.6363636363636364E-3</v>
      </c>
      <c r="CM6" s="15" t="str">
        <f>IFERROR(IF(AND(up_RadSpec!C6=1,up_RadSpec!D6&lt;&gt;0),s_DL/(up_RadSpec!H6*s_IFA_far_adj*s_K*up_RadSpec!D6),"."),".")</f>
        <v>.</v>
      </c>
      <c r="CN6" s="15">
        <f>IFERROR((s_DL/(up_RadSpec!M6*(1/8760)*s_DFA_far_adj)),".")</f>
        <v>39.81818181818182</v>
      </c>
      <c r="CO6" s="15">
        <f>up_b2w!BC6</f>
        <v>1.6443412786038033E-4</v>
      </c>
      <c r="CP6" s="15">
        <f>IFERROR(J6/(up_RadSpec!AJ6*(1/1000)),".")</f>
        <v>0.13223140495867769</v>
      </c>
      <c r="CQ6" s="15">
        <f>IFERROR(K6/(up_RadSpec!AK6*(1/1000)),".")</f>
        <v>0.13223140495867769</v>
      </c>
      <c r="CR6" s="15">
        <f>IFERROR(G6/(up_RadSpec!AI6*s_Q_w_beef*(1/1000)),".")</f>
        <v>2.6446280991735537E-2</v>
      </c>
      <c r="CS6" s="15">
        <f>IFERROR((H6*s_D_milk)/(up_RadSpec!AH6*s_Q_w_dairy*(1/1000)),".")</f>
        <v>2.7239669421487603E-2</v>
      </c>
      <c r="CT6" s="15">
        <f>IFERROR(I6/(up_RadSpec!AN6*s_Q_w_swine*(1/1000)),".")</f>
        <v>2.6446280991735537E-2</v>
      </c>
      <c r="CU6" s="15">
        <f>IFERROR(E6/(up_RadSpec!AL6*s_Q_w_poultry*(1/1000)),".")</f>
        <v>2.6446280991735537E-2</v>
      </c>
      <c r="CV6" s="15">
        <f>IFERROR(F6/(up_RadSpec!AM6*s_Q_w_poultry*(1/1000)),".")</f>
        <v>2.6446280991735537E-2</v>
      </c>
      <c r="CW6" s="15">
        <f>IFERROR(L6/(up_RadSpec!AQ6*s_Q_w_goat*(1/1000)),".")</f>
        <v>2.6446280991735537E-2</v>
      </c>
      <c r="CX6" s="15">
        <f>IFERROR(N6*s_D_milk/(up_RadSpec!AR6*s_Q_w_goat_milk*(1/1000)),".")</f>
        <v>2.7239669421487603E-2</v>
      </c>
      <c r="CY6" s="15">
        <f>IFERROR(M6/(up_RadSpec!AO6*s_Q_w_sheep*(1/1000)),".")</f>
        <v>2.6446280991735537E-2</v>
      </c>
      <c r="CZ6" s="15">
        <f>IFERROR(O6*s_D_milk/(up_RadSpec!AP6*s_Q_w_sheep_milk*(1/1000)),".")</f>
        <v>2.7239669421487603E-2</v>
      </c>
      <c r="DA6" s="111">
        <f t="shared" si="15"/>
        <v>275</v>
      </c>
      <c r="DB6" s="111" t="str">
        <f t="shared" si="15"/>
        <v>.</v>
      </c>
      <c r="DC6" s="111">
        <f t="shared" si="15"/>
        <v>2.5114155251141551E-2</v>
      </c>
      <c r="DD6" s="111">
        <f t="shared" si="15"/>
        <v>6081.4626076229861</v>
      </c>
      <c r="DE6" s="111">
        <f t="shared" si="15"/>
        <v>7.5625</v>
      </c>
      <c r="DF6" s="111">
        <f t="shared" si="15"/>
        <v>7.5625</v>
      </c>
      <c r="DG6" s="111">
        <f t="shared" si="15"/>
        <v>37.8125</v>
      </c>
      <c r="DH6" s="111">
        <f t="shared" si="15"/>
        <v>36.711165048543691</v>
      </c>
      <c r="DI6" s="111">
        <f t="shared" si="15"/>
        <v>37.8125</v>
      </c>
      <c r="DJ6" s="111">
        <f t="shared" si="15"/>
        <v>37.8125</v>
      </c>
      <c r="DK6" s="111">
        <f t="shared" si="15"/>
        <v>37.8125</v>
      </c>
      <c r="DL6" s="111">
        <f t="shared" si="15"/>
        <v>37.8125</v>
      </c>
      <c r="DM6" s="111">
        <f t="shared" si="15"/>
        <v>36.711165048543691</v>
      </c>
      <c r="DN6" s="111">
        <f t="shared" si="15"/>
        <v>37.8125</v>
      </c>
      <c r="DO6" s="111">
        <f t="shared" si="15"/>
        <v>36.711165048543691</v>
      </c>
      <c r="DP6" s="15">
        <f t="shared" si="24"/>
        <v>1.4906192608956598E-4</v>
      </c>
      <c r="DQ6" s="189">
        <f>DP6*(0.0000000000000028)*up_RadSpec!$AY6*up_RadSpec!$AF6</f>
        <v>2.8590077423978759E-16</v>
      </c>
      <c r="DR6" s="40">
        <f t="shared" si="16"/>
        <v>1375</v>
      </c>
      <c r="DS6" s="40">
        <f>IFERROR(IF(up_RadSpec!D6&lt;&gt;"",s_C*s_IFA_far_adj*s_K*up_RadSpec!D6,0),".")</f>
        <v>0</v>
      </c>
      <c r="DT6" s="40">
        <f t="shared" si="17"/>
        <v>0.12557077625570776</v>
      </c>
      <c r="DU6" s="40">
        <f>up_b2w!CC6</f>
        <v>30407.313038114935</v>
      </c>
      <c r="DV6" s="40">
        <f>IFERROR(s_C*up_RadSpec!AJ6*(1/1000)*s_IFFI_far_adj*s_CF_far_fish,0)</f>
        <v>37.8125</v>
      </c>
      <c r="DW6" s="40">
        <f>IFERROR(s_C*up_RadSpec!AK6*(1/1000)*s_IFSF_far_adj*s_CF_far_shellfish,0)</f>
        <v>37.8125</v>
      </c>
      <c r="DX6" s="40">
        <f>(s_C*s_IFB_far_adj*s_CF_far_beef*up_RadSpec!AI6*s_Q_w_beef*(1/1000))</f>
        <v>189.0625</v>
      </c>
      <c r="DY6" s="40">
        <f>(s_C*s_IFD_far_adj*s_CF_far_dairy*up_RadSpec!AH6*(1/s_D_milk)*s_Q_w_dairy*(1/1000))</f>
        <v>183.55582524271844</v>
      </c>
      <c r="DZ6" s="40">
        <f>IFERROR((s_C*s_IFSW_far_adj*s_CF_far_swine*up_RadSpec!AN6*s_Q_w_swine*(1/1000)),0)</f>
        <v>189.0625</v>
      </c>
      <c r="EA6" s="40">
        <f>IFERROR((s_C*s_IFP_far_adj*s_CF_far_poultry*up_RadSpec!AL6*s_Q_w_poultry*(1/1000)),0)</f>
        <v>189.0625</v>
      </c>
      <c r="EB6" s="40">
        <f>IFERROR((s_C*s_IFE_far_adj*s_CF_far_egg*up_RadSpec!AM6*s_Q_w_egg*(1/1000)),0)</f>
        <v>189.0625</v>
      </c>
      <c r="EC6" s="40">
        <f>IFERROR((s_C*s_IFGO_far_adj*s_CF_far_goat*up_RadSpec!AQ6*s_Q_p_goat*(1/1000)),0)</f>
        <v>189.0625</v>
      </c>
      <c r="ED6" s="40">
        <f>IFERROR((s_C*s_IFGM_far_adj*s_CF_far_goat_milk*up_RadSpec!AR6*(1/s_D_milk)*s_Q_p_goat_milk*(1/1000)),0)</f>
        <v>183.55582524271844</v>
      </c>
      <c r="EE6" s="40">
        <f>IFERROR((s_C*s_IFSH_far_adj*s_CF_far_sheep*up_RadSpec!AO6*s_Q_p_sheep*(1/1000)),0)</f>
        <v>189.0625</v>
      </c>
      <c r="EF6" s="40">
        <f>IFERROR((s_C*s_IFSM_far_adj*s_CF_far_sheep_milk*up_RadSpec!AP6*(1/s_D_milk)*s_Q_p_sheep_milk*(1/1000)),0)</f>
        <v>183.55582524271844</v>
      </c>
      <c r="EG6" s="5"/>
      <c r="EH6" s="15">
        <f>IFERROR((s_DL/(up_RadSpec!H6*s_IFA_far_adj)),".")</f>
        <v>9.9740259740259754E-3</v>
      </c>
      <c r="EI6" s="15">
        <f>IFERROR((s_DL/(up_RadSpec!K6*s_EF_far*(1/365)*1*s_ET_far*(1/24)*s_GSF_a)),".")</f>
        <v>63.709090909090911</v>
      </c>
      <c r="EJ6" s="15">
        <f t="shared" si="25"/>
        <v>9.9724647271019675E-3</v>
      </c>
      <c r="EK6" s="189">
        <f>EJ6*(0.0000000000000028)*up_RadSpec!$AY6*up_RadSpec!$AF6</f>
        <v>1.9127187346581575E-14</v>
      </c>
      <c r="EL6" s="40">
        <f t="shared" si="19"/>
        <v>501.30208333333326</v>
      </c>
      <c r="EM6" s="40">
        <f t="shared" si="20"/>
        <v>7.8481735159817351E-2</v>
      </c>
      <c r="EN6" s="113"/>
    </row>
    <row r="7" spans="1:144" customFormat="1" x14ac:dyDescent="0.25">
      <c r="A7" s="44" t="s">
        <v>5</v>
      </c>
      <c r="B7" s="42" t="s">
        <v>1057</v>
      </c>
      <c r="C7" s="238"/>
      <c r="D7" s="15">
        <f>up_dir!AC7</f>
        <v>1.6528925619834712E-4</v>
      </c>
      <c r="E7" s="15">
        <f>IFERROR(s_DL/(up_RadSpec!F7*s_IFP_far_adj*s_CF_far_poultry),".")</f>
        <v>6.6115702479338848E-4</v>
      </c>
      <c r="F7" s="15">
        <f>IFERROR(s_DL/(up_RadSpec!F7*s_IFE_far_adj*s_CF_far_egg),".")</f>
        <v>6.6115702479338848E-4</v>
      </c>
      <c r="G7" s="15">
        <f>IFERROR(s_DL/(up_RadSpec!F7*s_IFB_far_adj*s_CF_far_beef),".")</f>
        <v>6.6115702479338848E-4</v>
      </c>
      <c r="H7" s="15">
        <f>IFERROR(s_DL/(up_RadSpec!F7*s_IFD_far_adj*s_CF_far_dairy),".")</f>
        <v>6.6115702479338848E-4</v>
      </c>
      <c r="I7" s="15">
        <f>IFERROR(s_DL/(up_RadSpec!F7*s_IFSW_far_adj*s_CF_far_swine),".")</f>
        <v>6.6115702479338848E-4</v>
      </c>
      <c r="J7" s="15">
        <f>IFERROR(s_DL/(up_RadSpec!F7*s_IFFI_far_adj*s_CF_far_fish),".")</f>
        <v>6.6115702479338848E-4</v>
      </c>
      <c r="K7" s="15">
        <f>IFERROR(s_DL/(up_RadSpec!F7*s_IFSF_far_adj*s_CF_far_shellfish),".")</f>
        <v>6.6115702479338848E-4</v>
      </c>
      <c r="L7" s="15">
        <f>IFERROR(s_DL/(up_RadSpec!F7*s_IFGO_far_adj*s_CF_far_goat),".")</f>
        <v>6.6115702479338848E-4</v>
      </c>
      <c r="M7" s="15">
        <f>IFERROR(s_DL/(up_RadSpec!F7*s_IFSH_far_adj*s_CF_far_sheep),".")</f>
        <v>6.6115702479338848E-4</v>
      </c>
      <c r="N7" s="15">
        <f>IFERROR(s_DL/(up_RadSpec!F7*s_IFGM_far_adj*s_CF_far_goat_milk),".")</f>
        <v>6.6115702479338848E-4</v>
      </c>
      <c r="O7" s="15">
        <f>IFERROR(s_DL/(up_RadSpec!F7*s_IFSM_far_adj*s_CF_far_sheep_milk),".")</f>
        <v>6.6115702479338848E-4</v>
      </c>
      <c r="P7" s="111">
        <f t="shared" si="21"/>
        <v>1512.5</v>
      </c>
      <c r="Q7" s="111">
        <f t="shared" si="21"/>
        <v>1512.5</v>
      </c>
      <c r="R7" s="111">
        <f t="shared" si="21"/>
        <v>1512.5</v>
      </c>
      <c r="S7" s="111">
        <f t="shared" si="21"/>
        <v>1512.5</v>
      </c>
      <c r="T7" s="111">
        <f t="shared" si="21"/>
        <v>1512.5</v>
      </c>
      <c r="U7" s="111">
        <f t="shared" si="21"/>
        <v>1512.5</v>
      </c>
      <c r="V7" s="111">
        <f t="shared" si="21"/>
        <v>1512.5</v>
      </c>
      <c r="W7" s="111">
        <f t="shared" si="21"/>
        <v>1512.5</v>
      </c>
      <c r="X7" s="111">
        <f t="shared" si="0"/>
        <v>1512.5</v>
      </c>
      <c r="Y7" s="111">
        <f t="shared" si="0"/>
        <v>1512.5</v>
      </c>
      <c r="Z7" s="111">
        <f t="shared" si="0"/>
        <v>1512.5</v>
      </c>
      <c r="AA7" s="111">
        <f t="shared" si="0"/>
        <v>1512.5</v>
      </c>
      <c r="AB7" s="15">
        <f t="shared" si="22"/>
        <v>5.5096418732782371E-5</v>
      </c>
      <c r="AC7" s="247">
        <f>IFERROR(AB7*(0.0000000000028)*up_RadSpec!$AY7*up_RadSpec!$AF7,0)</f>
        <v>1.6198347107438019E-13</v>
      </c>
      <c r="AD7" s="40">
        <f>up_dir!BC7</f>
        <v>30250</v>
      </c>
      <c r="AE7" s="40">
        <f t="shared" si="1"/>
        <v>7562.5</v>
      </c>
      <c r="AF7" s="40">
        <f t="shared" si="2"/>
        <v>7562.5</v>
      </c>
      <c r="AG7" s="40">
        <f t="shared" si="3"/>
        <v>7562.5</v>
      </c>
      <c r="AH7" s="40">
        <f t="shared" si="4"/>
        <v>7562.5</v>
      </c>
      <c r="AI7" s="40">
        <f t="shared" si="5"/>
        <v>7562.5</v>
      </c>
      <c r="AJ7" s="40">
        <f t="shared" si="6"/>
        <v>7562.5</v>
      </c>
      <c r="AK7" s="40">
        <f t="shared" si="7"/>
        <v>7562.5</v>
      </c>
      <c r="AL7" s="40">
        <f t="shared" si="8"/>
        <v>7562.5</v>
      </c>
      <c r="AM7" s="40">
        <f t="shared" si="9"/>
        <v>7562.5</v>
      </c>
      <c r="AN7" s="40">
        <f t="shared" si="10"/>
        <v>7562.5</v>
      </c>
      <c r="AO7" s="40">
        <f t="shared" si="11"/>
        <v>7562.5</v>
      </c>
      <c r="AP7" s="45">
        <f>IFERROR((s_DL/(up_RadSpec!E7*s_IFS_far_adj*(1/1000)))*1,".")</f>
        <v>0.33057851239669422</v>
      </c>
      <c r="AQ7" s="45">
        <f>IFERROR(IF(A7="H-3",(s_DL/(up_RadSpec!H7*s_IFA_far_adj*(1/17)*1000))*1,(s_DL/(up_RadSpec!H7*s_IFA_far_adj*(1/s_PEF_wind)*1000))*1),".")</f>
        <v>3089.9917851942919</v>
      </c>
      <c r="AR7" s="45">
        <f>IFERROR((s_DL/(up_RadSpec!G7*s_EF_far*(1/365)*1*up_RadSpec!R7*((s_ET_far_o*(1/24)*up_RadSpec!W7)+(s_ET_far_i*(1/24)*up_RadSpec!AB7))))*1,".")</f>
        <v>382.68082282680808</v>
      </c>
      <c r="AS7" s="45">
        <f>up_b2s!BC7</f>
        <v>3.2968835384132272E-5</v>
      </c>
      <c r="AT7" s="45">
        <f>IFERROR(((J7*up_RadSpec!AU7)/up_RadSpec!AJ7)*1,".")</f>
        <v>6.6115702479338848E-4</v>
      </c>
      <c r="AU7" s="45">
        <f>IFERROR(((K7*up_RadSpec!AU7)/up_RadSpec!AK7)*1,".")</f>
        <v>6.6115702479338848E-4</v>
      </c>
      <c r="AV7" s="45">
        <f>IFERROR((G7/(up_RadSpec!AI7*((s_Q_p_beef*s_f_p_beef*s_f_s_beef*(up_RadSpec!BD7+s_R_es_past))+(s_Q_s_beef*s_f_p_beef))))*1,".")</f>
        <v>1.8558793678410905E-7</v>
      </c>
      <c r="AW7" s="45">
        <f>IFERROR(((H7*s_D_milk)/(up_RadSpec!AH7*((s_Q_p_dairy*s_f_p_dairy*s_f_s_dairy*(up_RadSpec!BD7+s_R_es_past))+(s_Q_s_dairy*s_f_p_dairy))))*1,".")</f>
        <v>1.9115557488763231E-7</v>
      </c>
      <c r="AX7" s="45">
        <f>IFERROR((I7/(up_RadSpec!AN7*((s_Q_p_swine*s_f_p_swine*s_f_s_swine*(up_RadSpec!BD7+s_R_es_past))+(s_Q_s_swine*s_f_p_swine))))*1,".")</f>
        <v>1.8558793678410905E-7</v>
      </c>
      <c r="AY7" s="45">
        <f>IFERROR((E7/(up_RadSpec!AL7*((s_Q_p_poultry*s_f_p_poultry*s_f_s_poultry*(up_RadSpec!BD7+s_R_es_past))+(s_Q_s_poultry*s_f_p_poultry))))*1,".")</f>
        <v>1.8558793678410905E-7</v>
      </c>
      <c r="AZ7" s="45">
        <f>IFERROR((F7/(up_RadSpec!AM7*((s_Q_p_poultry*s_f_p_poultry*s_f_s_poultry*(up_RadSpec!BD7+s_R_es_past))+(s_Q_s_poultry*s_f_p_poultry))))*1,".")</f>
        <v>1.8558793678410905E-7</v>
      </c>
      <c r="BA7" s="45">
        <f>IFERROR((L7/(up_RadSpec!AQ7*((s_Q_p_goat*s_f_p_goat*s_f_s_goat*(up_RadSpec!BD7+s_R_es_past))+(s_Q_s_goat*s_f_p_goat))))*1,".")</f>
        <v>1.8558793678410905E-7</v>
      </c>
      <c r="BB7" s="45">
        <f>IFERROR((N7*s_D_milk/(up_RadSpec!AR7*((s_Q_p_goat_milk*s_f_p_goat_milk*s_f_s_goat_milk*(up_RadSpec!BD7+s_R_es_past))+(s_Q_s_goat_milk*s_f_p_goat_milk))))*1,".")</f>
        <v>1.9115557488763231E-7</v>
      </c>
      <c r="BC7" s="45">
        <f>IFERROR((M7/(up_RadSpec!AO7*((s_Q_p_sheep*s_f_p_sheep*s_f_s_sheep*(up_RadSpec!BD7+s_R_es_past))+(s_Q_s_sheep*s_f_p_sheep))))*1,".")</f>
        <v>1.8558793678410905E-7</v>
      </c>
      <c r="BD7" s="45">
        <f>IFERROR((O7*s_D_milk/(up_RadSpec!AP7*((s_Q_p_sheep_milk*s_f_p_sheep_milk*s_f_s_sheep_milk*(up_RadSpec!BD7+s_R_es_past))+(s_Q_s_sheep_milk*s_f_p_sheep_milk))))*1,".")</f>
        <v>1.9115557488763231E-7</v>
      </c>
      <c r="BE7" s="111">
        <f t="shared" si="12"/>
        <v>3.0249999999999999</v>
      </c>
      <c r="BF7" s="111">
        <f t="shared" si="12"/>
        <v>3.236254558317935E-4</v>
      </c>
      <c r="BG7" s="111">
        <f t="shared" si="12"/>
        <v>2.6131437489162485E-3</v>
      </c>
      <c r="BH7" s="111">
        <f t="shared" si="12"/>
        <v>30331.674999999992</v>
      </c>
      <c r="BI7" s="111">
        <f t="shared" si="12"/>
        <v>1512.5</v>
      </c>
      <c r="BJ7" s="111">
        <f t="shared" si="12"/>
        <v>1512.5</v>
      </c>
      <c r="BK7" s="111">
        <f t="shared" si="12"/>
        <v>5388281.2499999991</v>
      </c>
      <c r="BL7" s="111">
        <f t="shared" si="12"/>
        <v>5231341.0194174759</v>
      </c>
      <c r="BM7" s="111">
        <f t="shared" si="12"/>
        <v>5388281.2499999991</v>
      </c>
      <c r="BN7" s="111">
        <f t="shared" si="12"/>
        <v>5388281.2499999991</v>
      </c>
      <c r="BO7" s="111">
        <f t="shared" si="12"/>
        <v>5388281.2499999991</v>
      </c>
      <c r="BP7" s="111">
        <f t="shared" si="12"/>
        <v>5388281.2499999991</v>
      </c>
      <c r="BQ7" s="111">
        <f t="shared" si="12"/>
        <v>5231341.0194174759</v>
      </c>
      <c r="BR7" s="111">
        <f t="shared" si="12"/>
        <v>5388281.2499999991</v>
      </c>
      <c r="BS7" s="111">
        <f t="shared" si="12"/>
        <v>5231341.0194174759</v>
      </c>
      <c r="BT7" s="15">
        <f t="shared" si="23"/>
        <v>2.0808592670444131E-8</v>
      </c>
      <c r="BU7" s="189">
        <f>IFERROR(BT7*(0.0000000000028)*up_RadSpec!$AY7*up_RadSpec!$AF7,0)</f>
        <v>6.117726245110575E-17</v>
      </c>
      <c r="BV7" s="40">
        <f t="shared" si="13"/>
        <v>15.125</v>
      </c>
      <c r="BW7" s="40">
        <f t="shared" si="14"/>
        <v>1.6181272791589674E-3</v>
      </c>
      <c r="BX7" s="40">
        <f>IFERROR((s_C*s_EF_far*(1/365)*1*up_RadSpec!R7*((s_ET_far_o*(1/24)*up_RadSpec!W7)+(s_ET_far_i*(1/24)*up_RadSpec!AB7))),".")</f>
        <v>1.3065718744581243E-2</v>
      </c>
      <c r="BY7" s="40">
        <f>up_b2s!CC7</f>
        <v>151658.375</v>
      </c>
      <c r="BZ7" s="40">
        <f>IFERROR(((s_C*up_RadSpec!AJ7)/up_RadSpec!AU7)*s_IFFI_far_adj*s_CF_far_fish,0)</f>
        <v>7562.5</v>
      </c>
      <c r="CA7" s="40">
        <f>IFERROR(((s_C*up_RadSpec!AK7)/up_RadSpec!AU7)*s_IFSF_far_adj*s_CF_far_shellfish,0)</f>
        <v>7562.5</v>
      </c>
      <c r="CB7" s="40">
        <f>(s_C*s_IFB_far_adj*s_CF_far_beef*up_RadSpec!AI7*((s_Q_p_beef*s_f_p_beef*s_f_s_beef*(up_RadSpec!$AT7+s_R_es_past))+(s_Q_s_beef*s_f_p_beef)))</f>
        <v>26941406.25</v>
      </c>
      <c r="CC7" s="40">
        <f>(s_C*s_IFD_far_adj*s_CF_far_dairy*up_RadSpec!AH7*1/s_D_milk*((s_Q_p_dairy*s_f_p_dairy*s_f_s_dairy*(up_RadSpec!$AT7+s_R_es_past))+(s_Q_s_dairy*s_f_p_dairy)))</f>
        <v>26156705.09708738</v>
      </c>
      <c r="CD7" s="40">
        <f>IFERROR((s_C*s_IFSW_far_adj*s_CF_far_swine*up_RadSpec!AN7*((s_Q_p_swine*s_f_p_swine*s_f_s_swine*(up_RadSpec!$AT7+s_R_es_past))+(s_Q_s_swine*s_f_p_swine))),0)</f>
        <v>26941406.25</v>
      </c>
      <c r="CE7" s="40">
        <f>IFERROR((s_C*s_IFP_far_adj*s_CF_far_poultry*up_RadSpec!AL7*((s_Q_p_poultry*s_f_p_poultry*s_f_s_poultry*(up_RadSpec!AT7+s_R_es_past))+(s_Q_s_poultry*s_f_p_poultry))),0)</f>
        <v>26941406.25</v>
      </c>
      <c r="CF7" s="40">
        <f>IFERROR((s_C*s_IFE_far_adj*s_CF_far_egg*up_RadSpec!AM7*((s_Q_p_egg*s_f_p_egg*s_f_s_egg*(up_RadSpec!$AT7+s_R_es_past))+(s_Q_s_egg*s_f_p_egg))),0)</f>
        <v>26941406.25</v>
      </c>
      <c r="CG7" s="40">
        <f>IFERROR((s_C*s_IFGO_far_adj*s_CF_far_goat*up_RadSpec!AQ7*((s_Q_p_goat*s_f_p_goat*s_f_s_goat*(up_RadSpec!$AT7+s_R_es_past))+(s_Q_s_goat*s_f_p_goat))),0)</f>
        <v>26941406.25</v>
      </c>
      <c r="CH7" s="40">
        <f>IFERROR((s_C*s_IFGM_far_adj*s_CF_far_goat_milk*up_RadSpec!AR7*1/s_D_milk*((s_Q_p_goat_milk*s_f_p_goat_milk*s_f_s_goat_milk*(up_RadSpec!$AT7+s_R_es_past))+(s_Q_s_goat_milk*s_f_p_goat_milk))),0)</f>
        <v>26156705.09708738</v>
      </c>
      <c r="CI7" s="40">
        <f>IFERROR((s_C*s_IFSH_far_adj*s_CF_far_sheep*up_RadSpec!AO7*((s_Q_p_sheep*s_f_p_sheep*s_f_s_sheep*(up_RadSpec!$AT7+s_R_es_past))+(s_Q_s_sheep*s_f_p_sheep))),0)</f>
        <v>26941406.25</v>
      </c>
      <c r="CJ7" s="40">
        <f>IFERROR((s_C*s_IFSM_far_adj*s_CF_far_sheep_milk*up_RadSpec!AP7*1/s_D_milk*((s_Q_p_sheep_milk*s_f_p_sheep_milk*s_f_s_sheep_milk*(up_RadSpec!$AT7+s_R_es_past))+(s_Q_s_sheep_milk*s_f_p_sheep_milk))),0)</f>
        <v>26156705.09708738</v>
      </c>
      <c r="CK7" s="18"/>
      <c r="CL7" s="15">
        <f>IFERROR(s_DL/(up_RadSpec!I7*s_IFW_far_adj),".")</f>
        <v>3.6363636363636364E-3</v>
      </c>
      <c r="CM7" s="15" t="str">
        <f>IFERROR(IF(AND(up_RadSpec!C7=1,up_RadSpec!D7&lt;&gt;0),s_DL/(up_RadSpec!H7*s_IFA_far_adj*s_K*up_RadSpec!D7),"."),".")</f>
        <v>.</v>
      </c>
      <c r="CN7" s="15">
        <f>IFERROR((s_DL/(up_RadSpec!M7*(1/8760)*s_DFA_far_adj)),".")</f>
        <v>39.81818181818182</v>
      </c>
      <c r="CO7" s="15">
        <f>up_b2w!BC7</f>
        <v>1.6443412786038033E-4</v>
      </c>
      <c r="CP7" s="15">
        <f>IFERROR(J7/(up_RadSpec!AJ7*(1/1000)),".")</f>
        <v>0.13223140495867769</v>
      </c>
      <c r="CQ7" s="15">
        <f>IFERROR(K7/(up_RadSpec!AK7*(1/1000)),".")</f>
        <v>0.13223140495867769</v>
      </c>
      <c r="CR7" s="15">
        <f>IFERROR(G7/(up_RadSpec!AI7*s_Q_w_beef*(1/1000)),".")</f>
        <v>2.6446280991735537E-2</v>
      </c>
      <c r="CS7" s="15">
        <f>IFERROR((H7*s_D_milk)/(up_RadSpec!AH7*s_Q_w_dairy*(1/1000)),".")</f>
        <v>2.7239669421487603E-2</v>
      </c>
      <c r="CT7" s="15">
        <f>IFERROR(I7/(up_RadSpec!AN7*s_Q_w_swine*(1/1000)),".")</f>
        <v>2.6446280991735537E-2</v>
      </c>
      <c r="CU7" s="15">
        <f>IFERROR(E7/(up_RadSpec!AL7*s_Q_w_poultry*(1/1000)),".")</f>
        <v>2.6446280991735537E-2</v>
      </c>
      <c r="CV7" s="15">
        <f>IFERROR(F7/(up_RadSpec!AM7*s_Q_w_poultry*(1/1000)),".")</f>
        <v>2.6446280991735537E-2</v>
      </c>
      <c r="CW7" s="15">
        <f>IFERROR(L7/(up_RadSpec!AQ7*s_Q_w_goat*(1/1000)),".")</f>
        <v>2.6446280991735537E-2</v>
      </c>
      <c r="CX7" s="15">
        <f>IFERROR(N7*s_D_milk/(up_RadSpec!AR7*s_Q_w_goat_milk*(1/1000)),".")</f>
        <v>2.7239669421487603E-2</v>
      </c>
      <c r="CY7" s="15">
        <f>IFERROR(M7/(up_RadSpec!AO7*s_Q_w_sheep*(1/1000)),".")</f>
        <v>2.6446280991735537E-2</v>
      </c>
      <c r="CZ7" s="15">
        <f>IFERROR(O7*s_D_milk/(up_RadSpec!AP7*s_Q_w_sheep_milk*(1/1000)),".")</f>
        <v>2.7239669421487603E-2</v>
      </c>
      <c r="DA7" s="111">
        <f t="shared" si="15"/>
        <v>275</v>
      </c>
      <c r="DB7" s="111" t="str">
        <f t="shared" si="15"/>
        <v>.</v>
      </c>
      <c r="DC7" s="111">
        <f t="shared" si="15"/>
        <v>2.5114155251141551E-2</v>
      </c>
      <c r="DD7" s="111">
        <f t="shared" si="15"/>
        <v>6081.4626076229861</v>
      </c>
      <c r="DE7" s="111">
        <f t="shared" si="15"/>
        <v>7.5625</v>
      </c>
      <c r="DF7" s="111">
        <f t="shared" si="15"/>
        <v>7.5625</v>
      </c>
      <c r="DG7" s="111">
        <f t="shared" si="15"/>
        <v>37.8125</v>
      </c>
      <c r="DH7" s="111">
        <f t="shared" si="15"/>
        <v>36.711165048543691</v>
      </c>
      <c r="DI7" s="111">
        <f t="shared" si="15"/>
        <v>37.8125</v>
      </c>
      <c r="DJ7" s="111">
        <f t="shared" si="15"/>
        <v>37.8125</v>
      </c>
      <c r="DK7" s="111">
        <f t="shared" si="15"/>
        <v>37.8125</v>
      </c>
      <c r="DL7" s="111">
        <f t="shared" si="15"/>
        <v>37.8125</v>
      </c>
      <c r="DM7" s="111">
        <f t="shared" si="15"/>
        <v>36.711165048543691</v>
      </c>
      <c r="DN7" s="111">
        <f t="shared" si="15"/>
        <v>37.8125</v>
      </c>
      <c r="DO7" s="111">
        <f t="shared" si="15"/>
        <v>36.711165048543691</v>
      </c>
      <c r="DP7" s="15">
        <f t="shared" si="24"/>
        <v>1.4906192608956598E-4</v>
      </c>
      <c r="DQ7" s="189">
        <f>DP7*(0.0000000000000028)*up_RadSpec!$AY7*up_RadSpec!$AF7</f>
        <v>4.3824206270332409E-16</v>
      </c>
      <c r="DR7" s="40">
        <f t="shared" si="16"/>
        <v>1375</v>
      </c>
      <c r="DS7" s="40">
        <f>IFERROR(IF(up_RadSpec!D7&lt;&gt;"",s_C*s_IFA_far_adj*s_K*up_RadSpec!D7,0),".")</f>
        <v>0</v>
      </c>
      <c r="DT7" s="40">
        <f t="shared" si="17"/>
        <v>0.12557077625570776</v>
      </c>
      <c r="DU7" s="40">
        <f>up_b2w!CC7</f>
        <v>30407.313038114935</v>
      </c>
      <c r="DV7" s="40">
        <f>IFERROR(s_C*up_RadSpec!AJ7*(1/1000)*s_IFFI_far_adj*s_CF_far_fish,0)</f>
        <v>37.8125</v>
      </c>
      <c r="DW7" s="40">
        <f>IFERROR(s_C*up_RadSpec!AK7*(1/1000)*s_IFSF_far_adj*s_CF_far_shellfish,0)</f>
        <v>37.8125</v>
      </c>
      <c r="DX7" s="40">
        <f>(s_C*s_IFB_far_adj*s_CF_far_beef*up_RadSpec!AI7*s_Q_w_beef*(1/1000))</f>
        <v>189.0625</v>
      </c>
      <c r="DY7" s="40">
        <f>(s_C*s_IFD_far_adj*s_CF_far_dairy*up_RadSpec!AH7*(1/s_D_milk)*s_Q_w_dairy*(1/1000))</f>
        <v>183.55582524271844</v>
      </c>
      <c r="DZ7" s="40">
        <f>IFERROR((s_C*s_IFSW_far_adj*s_CF_far_swine*up_RadSpec!AN7*s_Q_w_swine*(1/1000)),0)</f>
        <v>189.0625</v>
      </c>
      <c r="EA7" s="40">
        <f>IFERROR((s_C*s_IFP_far_adj*s_CF_far_poultry*up_RadSpec!AL7*s_Q_w_poultry*(1/1000)),0)</f>
        <v>189.0625</v>
      </c>
      <c r="EB7" s="40">
        <f>IFERROR((s_C*s_IFE_far_adj*s_CF_far_egg*up_RadSpec!AM7*s_Q_w_egg*(1/1000)),0)</f>
        <v>189.0625</v>
      </c>
      <c r="EC7" s="40">
        <f>IFERROR((s_C*s_IFGO_far_adj*s_CF_far_goat*up_RadSpec!AQ7*s_Q_p_goat*(1/1000)),0)</f>
        <v>189.0625</v>
      </c>
      <c r="ED7" s="40">
        <f>IFERROR((s_C*s_IFGM_far_adj*s_CF_far_goat_milk*up_RadSpec!AR7*(1/s_D_milk)*s_Q_p_goat_milk*(1/1000)),0)</f>
        <v>183.55582524271844</v>
      </c>
      <c r="EE7" s="40">
        <f>IFERROR((s_C*s_IFSH_far_adj*s_CF_far_sheep*up_RadSpec!AO7*s_Q_p_sheep*(1/1000)),0)</f>
        <v>189.0625</v>
      </c>
      <c r="EF7" s="40">
        <f>IFERROR((s_C*s_IFSM_far_adj*s_CF_far_sheep_milk*up_RadSpec!AP7*(1/s_D_milk)*s_Q_p_sheep_milk*(1/1000)),0)</f>
        <v>183.55582524271844</v>
      </c>
      <c r="EG7" s="5"/>
      <c r="EH7" s="15">
        <f>IFERROR((s_DL/(up_RadSpec!H7*s_IFA_far_adj)),".")</f>
        <v>9.9740259740259754E-3</v>
      </c>
      <c r="EI7" s="15">
        <f>IFERROR((s_DL/(up_RadSpec!K7*s_EF_far*(1/365)*1*s_ET_far*(1/24)*s_GSF_a)),".")</f>
        <v>63.709090909090911</v>
      </c>
      <c r="EJ7" s="15">
        <f t="shared" si="25"/>
        <v>9.9724647271019675E-3</v>
      </c>
      <c r="EK7" s="189">
        <f>EJ7*(0.0000000000000028)*up_RadSpec!$AY7*up_RadSpec!$AF7</f>
        <v>2.9319046297679789E-14</v>
      </c>
      <c r="EL7" s="40">
        <f t="shared" si="19"/>
        <v>501.30208333333326</v>
      </c>
      <c r="EM7" s="40">
        <f t="shared" si="20"/>
        <v>7.8481735159817351E-2</v>
      </c>
      <c r="EN7" s="113"/>
    </row>
    <row r="8" spans="1:144" customFormat="1" x14ac:dyDescent="0.25">
      <c r="A8" s="44" t="s">
        <v>6</v>
      </c>
      <c r="B8" s="42" t="s">
        <v>1057</v>
      </c>
      <c r="C8" s="42"/>
      <c r="D8" s="15">
        <f>up_dir!AC8</f>
        <v>1.6528925619834712E-4</v>
      </c>
      <c r="E8" s="15">
        <f>IFERROR(s_DL/(up_RadSpec!F8*s_IFP_far_adj*s_CF_far_poultry),".")</f>
        <v>6.6115702479338848E-4</v>
      </c>
      <c r="F8" s="15">
        <f>IFERROR(s_DL/(up_RadSpec!F8*s_IFE_far_adj*s_CF_far_egg),".")</f>
        <v>6.6115702479338848E-4</v>
      </c>
      <c r="G8" s="15">
        <f>IFERROR(s_DL/(up_RadSpec!F8*s_IFB_far_adj*s_CF_far_beef),".")</f>
        <v>6.6115702479338848E-4</v>
      </c>
      <c r="H8" s="15">
        <f>IFERROR(s_DL/(up_RadSpec!F8*s_IFD_far_adj*s_CF_far_dairy),".")</f>
        <v>6.6115702479338848E-4</v>
      </c>
      <c r="I8" s="15">
        <f>IFERROR(s_DL/(up_RadSpec!F8*s_IFSW_far_adj*s_CF_far_swine),".")</f>
        <v>6.6115702479338848E-4</v>
      </c>
      <c r="J8" s="15">
        <f>IFERROR(s_DL/(up_RadSpec!F8*s_IFFI_far_adj*s_CF_far_fish),".")</f>
        <v>6.6115702479338848E-4</v>
      </c>
      <c r="K8" s="15">
        <f>IFERROR(s_DL/(up_RadSpec!F8*s_IFSF_far_adj*s_CF_far_shellfish),".")</f>
        <v>6.6115702479338848E-4</v>
      </c>
      <c r="L8" s="15">
        <f>IFERROR(s_DL/(up_RadSpec!F8*s_IFGO_far_adj*s_CF_far_goat),".")</f>
        <v>6.6115702479338848E-4</v>
      </c>
      <c r="M8" s="15">
        <f>IFERROR(s_DL/(up_RadSpec!F8*s_IFSH_far_adj*s_CF_far_sheep),".")</f>
        <v>6.6115702479338848E-4</v>
      </c>
      <c r="N8" s="15">
        <f>IFERROR(s_DL/(up_RadSpec!F8*s_IFGM_far_adj*s_CF_far_goat_milk),".")</f>
        <v>6.6115702479338848E-4</v>
      </c>
      <c r="O8" s="15">
        <f>IFERROR(s_DL/(up_RadSpec!F8*s_IFSM_far_adj*s_CF_far_sheep_milk),".")</f>
        <v>6.6115702479338848E-4</v>
      </c>
      <c r="P8" s="111">
        <f t="shared" si="21"/>
        <v>1512.5</v>
      </c>
      <c r="Q8" s="111">
        <f t="shared" si="21"/>
        <v>1512.5</v>
      </c>
      <c r="R8" s="111">
        <f t="shared" si="21"/>
        <v>1512.5</v>
      </c>
      <c r="S8" s="111">
        <f t="shared" si="21"/>
        <v>1512.5</v>
      </c>
      <c r="T8" s="111">
        <f t="shared" si="21"/>
        <v>1512.5</v>
      </c>
      <c r="U8" s="111">
        <f t="shared" si="21"/>
        <v>1512.5</v>
      </c>
      <c r="V8" s="111">
        <f t="shared" si="21"/>
        <v>1512.5</v>
      </c>
      <c r="W8" s="111">
        <f t="shared" si="21"/>
        <v>1512.5</v>
      </c>
      <c r="X8" s="111">
        <f t="shared" si="0"/>
        <v>1512.5</v>
      </c>
      <c r="Y8" s="111">
        <f t="shared" si="0"/>
        <v>1512.5</v>
      </c>
      <c r="Z8" s="111">
        <f t="shared" si="0"/>
        <v>1512.5</v>
      </c>
      <c r="AA8" s="111">
        <f t="shared" si="0"/>
        <v>1512.5</v>
      </c>
      <c r="AB8" s="15">
        <f t="shared" si="22"/>
        <v>5.5096418732782371E-5</v>
      </c>
      <c r="AC8" s="247">
        <f>IFERROR(AB8*(0.0000000000028)*up_RadSpec!$AY8*up_RadSpec!$AF8,0)</f>
        <v>1.6429752066115703E-13</v>
      </c>
      <c r="AD8" s="40">
        <f>up_dir!BC8</f>
        <v>30250</v>
      </c>
      <c r="AE8" s="40">
        <f t="shared" si="1"/>
        <v>7562.5</v>
      </c>
      <c r="AF8" s="40">
        <f t="shared" si="2"/>
        <v>7562.5</v>
      </c>
      <c r="AG8" s="40">
        <f t="shared" si="3"/>
        <v>7562.5</v>
      </c>
      <c r="AH8" s="40">
        <f t="shared" si="4"/>
        <v>7562.5</v>
      </c>
      <c r="AI8" s="40">
        <f t="shared" si="5"/>
        <v>7562.5</v>
      </c>
      <c r="AJ8" s="40">
        <f t="shared" si="6"/>
        <v>7562.5</v>
      </c>
      <c r="AK8" s="40">
        <f t="shared" si="7"/>
        <v>7562.5</v>
      </c>
      <c r="AL8" s="40">
        <f t="shared" si="8"/>
        <v>7562.5</v>
      </c>
      <c r="AM8" s="40">
        <f t="shared" si="9"/>
        <v>7562.5</v>
      </c>
      <c r="AN8" s="40">
        <f t="shared" si="10"/>
        <v>7562.5</v>
      </c>
      <c r="AO8" s="40">
        <f t="shared" si="11"/>
        <v>7562.5</v>
      </c>
      <c r="AP8" s="45">
        <f>IFERROR((s_DL/(up_RadSpec!E8*s_IFS_far_adj*(1/1000)))*1,".")</f>
        <v>0.33057851239669422</v>
      </c>
      <c r="AQ8" s="45">
        <f>IFERROR(IF(A8="H-3",(s_DL/(up_RadSpec!H8*s_IFA_far_adj*(1/17)*1000))*1,(s_DL/(up_RadSpec!H8*s_IFA_far_adj*(1/s_PEF_wind)*1000))*1),".")</f>
        <v>3089.9917851942919</v>
      </c>
      <c r="AR8" s="45">
        <f>IFERROR((s_DL/(up_RadSpec!G8*s_EF_far*(1/365)*1*up_RadSpec!R8*((s_ET_far_o*(1/24)*up_RadSpec!W8)+(s_ET_far_i*(1/24)*up_RadSpec!AB8))))*1,".")</f>
        <v>219.98995479658473</v>
      </c>
      <c r="AS8" s="45">
        <f>up_b2s!BC8</f>
        <v>3.2968835384132272E-5</v>
      </c>
      <c r="AT8" s="45">
        <f>IFERROR(((J8*up_RadSpec!AU8)/up_RadSpec!AJ8)*1,".")</f>
        <v>6.6115702479338848E-4</v>
      </c>
      <c r="AU8" s="45">
        <f>IFERROR(((K8*up_RadSpec!AU8)/up_RadSpec!AK8)*1,".")</f>
        <v>6.6115702479338848E-4</v>
      </c>
      <c r="AV8" s="45">
        <f>IFERROR((G8/(up_RadSpec!AI8*((s_Q_p_beef*s_f_p_beef*s_f_s_beef*(up_RadSpec!BD8+s_R_es_past))+(s_Q_s_beef*s_f_p_beef))))*1,".")</f>
        <v>1.8558793678410905E-7</v>
      </c>
      <c r="AW8" s="45">
        <f>IFERROR(((H8*s_D_milk)/(up_RadSpec!AH8*((s_Q_p_dairy*s_f_p_dairy*s_f_s_dairy*(up_RadSpec!BD8+s_R_es_past))+(s_Q_s_dairy*s_f_p_dairy))))*1,".")</f>
        <v>1.9115557488763231E-7</v>
      </c>
      <c r="AX8" s="45">
        <f>IFERROR((I8/(up_RadSpec!AN8*((s_Q_p_swine*s_f_p_swine*s_f_s_swine*(up_RadSpec!BD8+s_R_es_past))+(s_Q_s_swine*s_f_p_swine))))*1,".")</f>
        <v>1.8558793678410905E-7</v>
      </c>
      <c r="AY8" s="45">
        <f>IFERROR((E8/(up_RadSpec!AL8*((s_Q_p_poultry*s_f_p_poultry*s_f_s_poultry*(up_RadSpec!BD8+s_R_es_past))+(s_Q_s_poultry*s_f_p_poultry))))*1,".")</f>
        <v>1.8558793678410905E-7</v>
      </c>
      <c r="AZ8" s="45">
        <f>IFERROR((F8/(up_RadSpec!AM8*((s_Q_p_poultry*s_f_p_poultry*s_f_s_poultry*(up_RadSpec!BD8+s_R_es_past))+(s_Q_s_poultry*s_f_p_poultry))))*1,".")</f>
        <v>1.8558793678410905E-7</v>
      </c>
      <c r="BA8" s="45">
        <f>IFERROR((L8/(up_RadSpec!AQ8*((s_Q_p_goat*s_f_p_goat*s_f_s_goat*(up_RadSpec!BD8+s_R_es_past))+(s_Q_s_goat*s_f_p_goat))))*1,".")</f>
        <v>1.8558793678410905E-7</v>
      </c>
      <c r="BB8" s="45">
        <f>IFERROR((N8*s_D_milk/(up_RadSpec!AR8*((s_Q_p_goat_milk*s_f_p_goat_milk*s_f_s_goat_milk*(up_RadSpec!BD8+s_R_es_past))+(s_Q_s_goat_milk*s_f_p_goat_milk))))*1,".")</f>
        <v>1.9115557488763231E-7</v>
      </c>
      <c r="BC8" s="45">
        <f>IFERROR((M8/(up_RadSpec!AO8*((s_Q_p_sheep*s_f_p_sheep*s_f_s_sheep*(up_RadSpec!BD8+s_R_es_past))+(s_Q_s_sheep*s_f_p_sheep))))*1,".")</f>
        <v>1.8558793678410905E-7</v>
      </c>
      <c r="BD8" s="45">
        <f>IFERROR((O8*s_D_milk/(up_RadSpec!AP8*((s_Q_p_sheep_milk*s_f_p_sheep_milk*s_f_s_sheep_milk*(up_RadSpec!BD8+s_R_es_past))+(s_Q_s_sheep_milk*s_f_p_sheep_milk))))*1,".")</f>
        <v>1.9115557488763231E-7</v>
      </c>
      <c r="BE8" s="111">
        <f t="shared" si="12"/>
        <v>3.0249999999999999</v>
      </c>
      <c r="BF8" s="111">
        <f t="shared" si="12"/>
        <v>3.236254558317935E-4</v>
      </c>
      <c r="BG8" s="111">
        <f t="shared" si="12"/>
        <v>4.5456621004566194E-3</v>
      </c>
      <c r="BH8" s="111">
        <f t="shared" si="12"/>
        <v>30331.674999999992</v>
      </c>
      <c r="BI8" s="111">
        <f t="shared" si="12"/>
        <v>1512.5</v>
      </c>
      <c r="BJ8" s="111">
        <f t="shared" si="12"/>
        <v>1512.5</v>
      </c>
      <c r="BK8" s="111">
        <f t="shared" si="12"/>
        <v>5388281.2499999991</v>
      </c>
      <c r="BL8" s="111">
        <f t="shared" si="12"/>
        <v>5231341.0194174759</v>
      </c>
      <c r="BM8" s="111">
        <f t="shared" si="12"/>
        <v>5388281.2499999991</v>
      </c>
      <c r="BN8" s="111">
        <f t="shared" si="12"/>
        <v>5388281.2499999991</v>
      </c>
      <c r="BO8" s="111">
        <f t="shared" si="12"/>
        <v>5388281.2499999991</v>
      </c>
      <c r="BP8" s="111">
        <f t="shared" si="12"/>
        <v>5388281.2499999991</v>
      </c>
      <c r="BQ8" s="111">
        <f t="shared" si="12"/>
        <v>5231341.0194174759</v>
      </c>
      <c r="BR8" s="111">
        <f t="shared" si="12"/>
        <v>5388281.2499999991</v>
      </c>
      <c r="BS8" s="111">
        <f t="shared" si="12"/>
        <v>5231341.0194174759</v>
      </c>
      <c r="BT8" s="15">
        <f t="shared" si="23"/>
        <v>2.0808592669607355E-8</v>
      </c>
      <c r="BU8" s="189">
        <f>IFERROR(BT8*(0.0000000000028)*up_RadSpec!$AY8*up_RadSpec!$AF8,0)</f>
        <v>6.205122334076913E-17</v>
      </c>
      <c r="BV8" s="40">
        <f t="shared" si="13"/>
        <v>15.125</v>
      </c>
      <c r="BW8" s="40">
        <f t="shared" si="14"/>
        <v>1.6181272791589674E-3</v>
      </c>
      <c r="BX8" s="40">
        <f>IFERROR((s_C*s_EF_far*(1/365)*1*up_RadSpec!R8*((s_ET_far_o*(1/24)*up_RadSpec!W8)+(s_ET_far_i*(1/24)*up_RadSpec!AB8))),".")</f>
        <v>2.2728310502283095E-2</v>
      </c>
      <c r="BY8" s="40">
        <f>up_b2s!CC8</f>
        <v>151658.375</v>
      </c>
      <c r="BZ8" s="40">
        <f>IFERROR(((s_C*up_RadSpec!AJ8)/up_RadSpec!AU8)*s_IFFI_far_adj*s_CF_far_fish,0)</f>
        <v>7562.5</v>
      </c>
      <c r="CA8" s="40">
        <f>IFERROR(((s_C*up_RadSpec!AK8)/up_RadSpec!AU8)*s_IFSF_far_adj*s_CF_far_shellfish,0)</f>
        <v>7562.5</v>
      </c>
      <c r="CB8" s="40">
        <f>(s_C*s_IFB_far_adj*s_CF_far_beef*up_RadSpec!AI8*((s_Q_p_beef*s_f_p_beef*s_f_s_beef*(up_RadSpec!$AT8+s_R_es_past))+(s_Q_s_beef*s_f_p_beef)))</f>
        <v>26941406.25</v>
      </c>
      <c r="CC8" s="40">
        <f>(s_C*s_IFD_far_adj*s_CF_far_dairy*up_RadSpec!AH8*1/s_D_milk*((s_Q_p_dairy*s_f_p_dairy*s_f_s_dairy*(up_RadSpec!$AT8+s_R_es_past))+(s_Q_s_dairy*s_f_p_dairy)))</f>
        <v>26156705.09708738</v>
      </c>
      <c r="CD8" s="40">
        <f>IFERROR((s_C*s_IFSW_far_adj*s_CF_far_swine*up_RadSpec!AN8*((s_Q_p_swine*s_f_p_swine*s_f_s_swine*(up_RadSpec!$AT8+s_R_es_past))+(s_Q_s_swine*s_f_p_swine))),0)</f>
        <v>26941406.25</v>
      </c>
      <c r="CE8" s="40">
        <f>IFERROR((s_C*s_IFP_far_adj*s_CF_far_poultry*up_RadSpec!AL8*((s_Q_p_poultry*s_f_p_poultry*s_f_s_poultry*(up_RadSpec!AT8+s_R_es_past))+(s_Q_s_poultry*s_f_p_poultry))),0)</f>
        <v>26941406.25</v>
      </c>
      <c r="CF8" s="40">
        <f>IFERROR((s_C*s_IFE_far_adj*s_CF_far_egg*up_RadSpec!AM8*((s_Q_p_egg*s_f_p_egg*s_f_s_egg*(up_RadSpec!$AT8+s_R_es_past))+(s_Q_s_egg*s_f_p_egg))),0)</f>
        <v>26941406.25</v>
      </c>
      <c r="CG8" s="40">
        <f>IFERROR((s_C*s_IFGO_far_adj*s_CF_far_goat*up_RadSpec!AQ8*((s_Q_p_goat*s_f_p_goat*s_f_s_goat*(up_RadSpec!$AT8+s_R_es_past))+(s_Q_s_goat*s_f_p_goat))),0)</f>
        <v>26941406.25</v>
      </c>
      <c r="CH8" s="40">
        <f>IFERROR((s_C*s_IFGM_far_adj*s_CF_far_goat_milk*up_RadSpec!AR8*1/s_D_milk*((s_Q_p_goat_milk*s_f_p_goat_milk*s_f_s_goat_milk*(up_RadSpec!$AT8+s_R_es_past))+(s_Q_s_goat_milk*s_f_p_goat_milk))),0)</f>
        <v>26156705.09708738</v>
      </c>
      <c r="CI8" s="40">
        <f>IFERROR((s_C*s_IFSH_far_adj*s_CF_far_sheep*up_RadSpec!AO8*((s_Q_p_sheep*s_f_p_sheep*s_f_s_sheep*(up_RadSpec!$AT8+s_R_es_past))+(s_Q_s_sheep*s_f_p_sheep))),0)</f>
        <v>26941406.25</v>
      </c>
      <c r="CJ8" s="40">
        <f>IFERROR((s_C*s_IFSM_far_adj*s_CF_far_sheep_milk*up_RadSpec!AP8*1/s_D_milk*((s_Q_p_sheep_milk*s_f_p_sheep_milk*s_f_s_sheep_milk*(up_RadSpec!$AT8+s_R_es_past))+(s_Q_s_sheep_milk*s_f_p_sheep_milk))),0)</f>
        <v>26156705.09708738</v>
      </c>
      <c r="CK8" s="18"/>
      <c r="CL8" s="15">
        <f>IFERROR(s_DL/(up_RadSpec!I8*s_IFW_far_adj),".")</f>
        <v>3.6363636363636364E-3</v>
      </c>
      <c r="CM8" s="15" t="str">
        <f>IFERROR(IF(AND(up_RadSpec!C8=1,up_RadSpec!D8&lt;&gt;0),s_DL/(up_RadSpec!H8*s_IFA_far_adj*s_K*up_RadSpec!D8),"."),".")</f>
        <v>.</v>
      </c>
      <c r="CN8" s="15">
        <f>IFERROR((s_DL/(up_RadSpec!M8*(1/8760)*s_DFA_far_adj)),".")</f>
        <v>39.81818181818182</v>
      </c>
      <c r="CO8" s="15">
        <f>up_b2w!BC8</f>
        <v>1.6443412786038033E-4</v>
      </c>
      <c r="CP8" s="15">
        <f>IFERROR(J8/(up_RadSpec!AJ8*(1/1000)),".")</f>
        <v>0.13223140495867769</v>
      </c>
      <c r="CQ8" s="15">
        <f>IFERROR(K8/(up_RadSpec!AK8*(1/1000)),".")</f>
        <v>0.13223140495867769</v>
      </c>
      <c r="CR8" s="15">
        <f>IFERROR(G8/(up_RadSpec!AI8*s_Q_w_beef*(1/1000)),".")</f>
        <v>2.6446280991735537E-2</v>
      </c>
      <c r="CS8" s="15">
        <f>IFERROR((H8*s_D_milk)/(up_RadSpec!AH8*s_Q_w_dairy*(1/1000)),".")</f>
        <v>2.7239669421487603E-2</v>
      </c>
      <c r="CT8" s="15">
        <f>IFERROR(I8/(up_RadSpec!AN8*s_Q_w_swine*(1/1000)),".")</f>
        <v>2.6446280991735537E-2</v>
      </c>
      <c r="CU8" s="15">
        <f>IFERROR(E8/(up_RadSpec!AL8*s_Q_w_poultry*(1/1000)),".")</f>
        <v>2.6446280991735537E-2</v>
      </c>
      <c r="CV8" s="15">
        <f>IFERROR(F8/(up_RadSpec!AM8*s_Q_w_poultry*(1/1000)),".")</f>
        <v>2.6446280991735537E-2</v>
      </c>
      <c r="CW8" s="15">
        <f>IFERROR(L8/(up_RadSpec!AQ8*s_Q_w_goat*(1/1000)),".")</f>
        <v>2.6446280991735537E-2</v>
      </c>
      <c r="CX8" s="15">
        <f>IFERROR(N8*s_D_milk/(up_RadSpec!AR8*s_Q_w_goat_milk*(1/1000)),".")</f>
        <v>2.7239669421487603E-2</v>
      </c>
      <c r="CY8" s="15">
        <f>IFERROR(M8/(up_RadSpec!AO8*s_Q_w_sheep*(1/1000)),".")</f>
        <v>2.6446280991735537E-2</v>
      </c>
      <c r="CZ8" s="15">
        <f>IFERROR(O8*s_D_milk/(up_RadSpec!AP8*s_Q_w_sheep_milk*(1/1000)),".")</f>
        <v>2.7239669421487603E-2</v>
      </c>
      <c r="DA8" s="111">
        <f t="shared" si="15"/>
        <v>275</v>
      </c>
      <c r="DB8" s="111" t="str">
        <f t="shared" si="15"/>
        <v>.</v>
      </c>
      <c r="DC8" s="111">
        <f t="shared" si="15"/>
        <v>2.5114155251141551E-2</v>
      </c>
      <c r="DD8" s="111">
        <f t="shared" si="15"/>
        <v>6081.4626076229861</v>
      </c>
      <c r="DE8" s="111">
        <f t="shared" si="15"/>
        <v>7.5625</v>
      </c>
      <c r="DF8" s="111">
        <f t="shared" si="15"/>
        <v>7.5625</v>
      </c>
      <c r="DG8" s="111">
        <f t="shared" si="15"/>
        <v>37.8125</v>
      </c>
      <c r="DH8" s="111">
        <f t="shared" si="15"/>
        <v>36.711165048543691</v>
      </c>
      <c r="DI8" s="111">
        <f t="shared" si="15"/>
        <v>37.8125</v>
      </c>
      <c r="DJ8" s="111">
        <f t="shared" si="15"/>
        <v>37.8125</v>
      </c>
      <c r="DK8" s="111">
        <f t="shared" si="15"/>
        <v>37.8125</v>
      </c>
      <c r="DL8" s="111">
        <f t="shared" si="15"/>
        <v>37.8125</v>
      </c>
      <c r="DM8" s="111">
        <f t="shared" si="15"/>
        <v>36.711165048543691</v>
      </c>
      <c r="DN8" s="111">
        <f t="shared" si="15"/>
        <v>37.8125</v>
      </c>
      <c r="DO8" s="111">
        <f t="shared" si="15"/>
        <v>36.711165048543691</v>
      </c>
      <c r="DP8" s="15">
        <f t="shared" si="24"/>
        <v>1.4906192608956598E-4</v>
      </c>
      <c r="DQ8" s="189">
        <f>DP8*(0.0000000000000028)*up_RadSpec!$AY8*up_RadSpec!$AF8</f>
        <v>4.4450266359908582E-16</v>
      </c>
      <c r="DR8" s="40">
        <f t="shared" si="16"/>
        <v>1375</v>
      </c>
      <c r="DS8" s="40">
        <f>IFERROR(IF(up_RadSpec!D8&lt;&gt;"",s_C*s_IFA_far_adj*s_K*up_RadSpec!D8,0),".")</f>
        <v>0</v>
      </c>
      <c r="DT8" s="40">
        <f t="shared" si="17"/>
        <v>0.12557077625570776</v>
      </c>
      <c r="DU8" s="40">
        <f>up_b2w!CC8</f>
        <v>30407.313038114935</v>
      </c>
      <c r="DV8" s="40">
        <f>IFERROR(s_C*up_RadSpec!AJ8*(1/1000)*s_IFFI_far_adj*s_CF_far_fish,0)</f>
        <v>37.8125</v>
      </c>
      <c r="DW8" s="40">
        <f>IFERROR(s_C*up_RadSpec!AK8*(1/1000)*s_IFSF_far_adj*s_CF_far_shellfish,0)</f>
        <v>37.8125</v>
      </c>
      <c r="DX8" s="40">
        <f>(s_C*s_IFB_far_adj*s_CF_far_beef*up_RadSpec!AI8*s_Q_w_beef*(1/1000))</f>
        <v>189.0625</v>
      </c>
      <c r="DY8" s="40">
        <f>(s_C*s_IFD_far_adj*s_CF_far_dairy*up_RadSpec!AH8*(1/s_D_milk)*s_Q_w_dairy*(1/1000))</f>
        <v>183.55582524271844</v>
      </c>
      <c r="DZ8" s="40">
        <f>IFERROR((s_C*s_IFSW_far_adj*s_CF_far_swine*up_RadSpec!AN8*s_Q_w_swine*(1/1000)),0)</f>
        <v>189.0625</v>
      </c>
      <c r="EA8" s="40">
        <f>IFERROR((s_C*s_IFP_far_adj*s_CF_far_poultry*up_RadSpec!AL8*s_Q_w_poultry*(1/1000)),0)</f>
        <v>189.0625</v>
      </c>
      <c r="EB8" s="40">
        <f>IFERROR((s_C*s_IFE_far_adj*s_CF_far_egg*up_RadSpec!AM8*s_Q_w_egg*(1/1000)),0)</f>
        <v>189.0625</v>
      </c>
      <c r="EC8" s="40">
        <f>IFERROR((s_C*s_IFGO_far_adj*s_CF_far_goat*up_RadSpec!AQ8*s_Q_p_goat*(1/1000)),0)</f>
        <v>189.0625</v>
      </c>
      <c r="ED8" s="40">
        <f>IFERROR((s_C*s_IFGM_far_adj*s_CF_far_goat_milk*up_RadSpec!AR8*(1/s_D_milk)*s_Q_p_goat_milk*(1/1000)),0)</f>
        <v>183.55582524271844</v>
      </c>
      <c r="EE8" s="40">
        <f>IFERROR((s_C*s_IFSH_far_adj*s_CF_far_sheep*up_RadSpec!AO8*s_Q_p_sheep*(1/1000)),0)</f>
        <v>189.0625</v>
      </c>
      <c r="EF8" s="40">
        <f>IFERROR((s_C*s_IFSM_far_adj*s_CF_far_sheep_milk*up_RadSpec!AP8*(1/s_D_milk)*s_Q_p_sheep_milk*(1/1000)),0)</f>
        <v>183.55582524271844</v>
      </c>
      <c r="EG8" s="5"/>
      <c r="EH8" s="15">
        <f>IFERROR((s_DL/(up_RadSpec!H8*s_IFA_far_adj)),".")</f>
        <v>9.9740259740259754E-3</v>
      </c>
      <c r="EI8" s="15">
        <f>IFERROR((s_DL/(up_RadSpec!K8*s_EF_far*(1/365)*1*s_ET_far*(1/24)*s_GSF_a)),".")</f>
        <v>63.709090909090911</v>
      </c>
      <c r="EJ8" s="15">
        <f t="shared" si="25"/>
        <v>9.9724647271019675E-3</v>
      </c>
      <c r="EK8" s="189">
        <f>EJ8*(0.0000000000000028)*up_RadSpec!$AY8*up_RadSpec!$AF8</f>
        <v>2.9737889816218068E-14</v>
      </c>
      <c r="EL8" s="40">
        <f t="shared" si="19"/>
        <v>501.30208333333326</v>
      </c>
      <c r="EM8" s="40">
        <f t="shared" si="20"/>
        <v>7.8481735159817351E-2</v>
      </c>
      <c r="EN8" s="113"/>
    </row>
    <row r="9" spans="1:144" customFormat="1" x14ac:dyDescent="0.25">
      <c r="A9" s="44" t="s">
        <v>7</v>
      </c>
      <c r="B9" s="42" t="s">
        <v>1057</v>
      </c>
      <c r="C9" s="238"/>
      <c r="D9" s="15">
        <f>up_dir!AC9</f>
        <v>1.6528925619834712E-4</v>
      </c>
      <c r="E9" s="15">
        <f>IFERROR(s_DL/(up_RadSpec!F9*s_IFP_far_adj*s_CF_far_poultry),".")</f>
        <v>6.6115702479338848E-4</v>
      </c>
      <c r="F9" s="15">
        <f>IFERROR(s_DL/(up_RadSpec!F9*s_IFE_far_adj*s_CF_far_egg),".")</f>
        <v>6.6115702479338848E-4</v>
      </c>
      <c r="G9" s="15">
        <f>IFERROR(s_DL/(up_RadSpec!F9*s_IFB_far_adj*s_CF_far_beef),".")</f>
        <v>6.6115702479338848E-4</v>
      </c>
      <c r="H9" s="15">
        <f>IFERROR(s_DL/(up_RadSpec!F9*s_IFD_far_adj*s_CF_far_dairy),".")</f>
        <v>6.6115702479338848E-4</v>
      </c>
      <c r="I9" s="15">
        <f>IFERROR(s_DL/(up_RadSpec!F9*s_IFSW_far_adj*s_CF_far_swine),".")</f>
        <v>6.6115702479338848E-4</v>
      </c>
      <c r="J9" s="15">
        <f>IFERROR(s_DL/(up_RadSpec!F9*s_IFFI_far_adj*s_CF_far_fish),".")</f>
        <v>6.6115702479338848E-4</v>
      </c>
      <c r="K9" s="15">
        <f>IFERROR(s_DL/(up_RadSpec!F9*s_IFSF_far_adj*s_CF_far_shellfish),".")</f>
        <v>6.6115702479338848E-4</v>
      </c>
      <c r="L9" s="15">
        <f>IFERROR(s_DL/(up_RadSpec!F9*s_IFGO_far_adj*s_CF_far_goat),".")</f>
        <v>6.6115702479338848E-4</v>
      </c>
      <c r="M9" s="15">
        <f>IFERROR(s_DL/(up_RadSpec!F9*s_IFSH_far_adj*s_CF_far_sheep),".")</f>
        <v>6.6115702479338848E-4</v>
      </c>
      <c r="N9" s="15">
        <f>IFERROR(s_DL/(up_RadSpec!F9*s_IFGM_far_adj*s_CF_far_goat_milk),".")</f>
        <v>6.6115702479338848E-4</v>
      </c>
      <c r="O9" s="15">
        <f>IFERROR(s_DL/(up_RadSpec!F9*s_IFSM_far_adj*s_CF_far_sheep_milk),".")</f>
        <v>6.6115702479338848E-4</v>
      </c>
      <c r="P9" s="111">
        <f t="shared" si="21"/>
        <v>1512.5</v>
      </c>
      <c r="Q9" s="111">
        <f t="shared" si="21"/>
        <v>1512.5</v>
      </c>
      <c r="R9" s="111">
        <f t="shared" si="21"/>
        <v>1512.5</v>
      </c>
      <c r="S9" s="111">
        <f t="shared" si="21"/>
        <v>1512.5</v>
      </c>
      <c r="T9" s="111">
        <f t="shared" si="21"/>
        <v>1512.5</v>
      </c>
      <c r="U9" s="111">
        <f t="shared" si="21"/>
        <v>1512.5</v>
      </c>
      <c r="V9" s="111">
        <f t="shared" si="21"/>
        <v>1512.5</v>
      </c>
      <c r="W9" s="111">
        <f t="shared" si="21"/>
        <v>1512.5</v>
      </c>
      <c r="X9" s="111">
        <f t="shared" si="0"/>
        <v>1512.5</v>
      </c>
      <c r="Y9" s="111">
        <f t="shared" si="0"/>
        <v>1512.5</v>
      </c>
      <c r="Z9" s="111">
        <f t="shared" si="0"/>
        <v>1512.5</v>
      </c>
      <c r="AA9" s="111">
        <f t="shared" si="0"/>
        <v>1512.5</v>
      </c>
      <c r="AB9" s="15">
        <f t="shared" si="22"/>
        <v>5.5096418732782371E-5</v>
      </c>
      <c r="AC9" s="247">
        <f>IFERROR(AB9*(0.0000000000028)*up_RadSpec!$AY9*up_RadSpec!$AF9,0)</f>
        <v>1.6506887052341601E-13</v>
      </c>
      <c r="AD9" s="40">
        <f>up_dir!BC9</f>
        <v>30250</v>
      </c>
      <c r="AE9" s="40">
        <f t="shared" si="1"/>
        <v>7562.5</v>
      </c>
      <c r="AF9" s="40">
        <f t="shared" si="2"/>
        <v>7562.5</v>
      </c>
      <c r="AG9" s="40">
        <f t="shared" si="3"/>
        <v>7562.5</v>
      </c>
      <c r="AH9" s="40">
        <f t="shared" si="4"/>
        <v>7562.5</v>
      </c>
      <c r="AI9" s="40">
        <f t="shared" si="5"/>
        <v>7562.5</v>
      </c>
      <c r="AJ9" s="40">
        <f t="shared" si="6"/>
        <v>7562.5</v>
      </c>
      <c r="AK9" s="40">
        <f t="shared" si="7"/>
        <v>7562.5</v>
      </c>
      <c r="AL9" s="40">
        <f t="shared" si="8"/>
        <v>7562.5</v>
      </c>
      <c r="AM9" s="40">
        <f t="shared" si="9"/>
        <v>7562.5</v>
      </c>
      <c r="AN9" s="40">
        <f t="shared" si="10"/>
        <v>7562.5</v>
      </c>
      <c r="AO9" s="40">
        <f t="shared" si="11"/>
        <v>7562.5</v>
      </c>
      <c r="AP9" s="45">
        <f>IFERROR((s_DL/(up_RadSpec!E9*s_IFS_far_adj*(1/1000)))*1,".")</f>
        <v>0.33057851239669422</v>
      </c>
      <c r="AQ9" s="45">
        <f>IFERROR(IF(A9="H-3",(s_DL/(up_RadSpec!H9*s_IFA_far_adj*(1/17)*1000))*1,(s_DL/(up_RadSpec!H9*s_IFA_far_adj*(1/s_PEF_wind)*1000))*1),".")</f>
        <v>3089.9917851942919</v>
      </c>
      <c r="AR9" s="45">
        <f>IFERROR((s_DL/(up_RadSpec!G9*s_EF_far*(1/365)*1*up_RadSpec!R9*((s_ET_far_o*(1/24)*up_RadSpec!W9)+(s_ET_far_i*(1/24)*up_RadSpec!AB9))))*1,".")</f>
        <v>108.34242210388996</v>
      </c>
      <c r="AS9" s="45">
        <f>up_b2s!BC9</f>
        <v>3.2968835384132272E-5</v>
      </c>
      <c r="AT9" s="45">
        <f>IFERROR(((J9*up_RadSpec!AU9)/up_RadSpec!AJ9)*1,".")</f>
        <v>6.6115702479338848E-4</v>
      </c>
      <c r="AU9" s="45">
        <f>IFERROR(((K9*up_RadSpec!AU9)/up_RadSpec!AK9)*1,".")</f>
        <v>6.6115702479338848E-4</v>
      </c>
      <c r="AV9" s="45">
        <f>IFERROR((G9/(up_RadSpec!AI9*((s_Q_p_beef*s_f_p_beef*s_f_s_beef*(up_RadSpec!BD9+s_R_es_past))+(s_Q_s_beef*s_f_p_beef))))*1,".")</f>
        <v>1.8558793678410905E-7</v>
      </c>
      <c r="AW9" s="45">
        <f>IFERROR(((H9*s_D_milk)/(up_RadSpec!AH9*((s_Q_p_dairy*s_f_p_dairy*s_f_s_dairy*(up_RadSpec!BD9+s_R_es_past))+(s_Q_s_dairy*s_f_p_dairy))))*1,".")</f>
        <v>1.9115557488763231E-7</v>
      </c>
      <c r="AX9" s="45">
        <f>IFERROR((I9/(up_RadSpec!AN9*((s_Q_p_swine*s_f_p_swine*s_f_s_swine*(up_RadSpec!BD9+s_R_es_past))+(s_Q_s_swine*s_f_p_swine))))*1,".")</f>
        <v>1.8558793678410905E-7</v>
      </c>
      <c r="AY9" s="45">
        <f>IFERROR((E9/(up_RadSpec!AL9*((s_Q_p_poultry*s_f_p_poultry*s_f_s_poultry*(up_RadSpec!BD9+s_R_es_past))+(s_Q_s_poultry*s_f_p_poultry))))*1,".")</f>
        <v>1.8558793678410905E-7</v>
      </c>
      <c r="AZ9" s="45">
        <f>IFERROR((F9/(up_RadSpec!AM9*((s_Q_p_poultry*s_f_p_poultry*s_f_s_poultry*(up_RadSpec!BD9+s_R_es_past))+(s_Q_s_poultry*s_f_p_poultry))))*1,".")</f>
        <v>1.8558793678410905E-7</v>
      </c>
      <c r="BA9" s="45">
        <f>IFERROR((L9/(up_RadSpec!AQ9*((s_Q_p_goat*s_f_p_goat*s_f_s_goat*(up_RadSpec!BD9+s_R_es_past))+(s_Q_s_goat*s_f_p_goat))))*1,".")</f>
        <v>1.8558793678410905E-7</v>
      </c>
      <c r="BB9" s="45">
        <f>IFERROR((N9*s_D_milk/(up_RadSpec!AR9*((s_Q_p_goat_milk*s_f_p_goat_milk*s_f_s_goat_milk*(up_RadSpec!BD9+s_R_es_past))+(s_Q_s_goat_milk*s_f_p_goat_milk))))*1,".")</f>
        <v>1.9115557488763231E-7</v>
      </c>
      <c r="BC9" s="45">
        <f>IFERROR((M9/(up_RadSpec!AO9*((s_Q_p_sheep*s_f_p_sheep*s_f_s_sheep*(up_RadSpec!BD9+s_R_es_past))+(s_Q_s_sheep*s_f_p_sheep))))*1,".")</f>
        <v>1.8558793678410905E-7</v>
      </c>
      <c r="BD9" s="45">
        <f>IFERROR((O9*s_D_milk/(up_RadSpec!AP9*((s_Q_p_sheep_milk*s_f_p_sheep_milk*s_f_s_sheep_milk*(up_RadSpec!BD9+s_R_es_past))+(s_Q_s_sheep_milk*s_f_p_sheep_milk))))*1,".")</f>
        <v>1.9115557488763231E-7</v>
      </c>
      <c r="BE9" s="111">
        <f t="shared" si="12"/>
        <v>3.0249999999999999</v>
      </c>
      <c r="BF9" s="111">
        <f t="shared" si="12"/>
        <v>3.236254558317935E-4</v>
      </c>
      <c r="BG9" s="111">
        <f t="shared" si="12"/>
        <v>9.229994867948366E-3</v>
      </c>
      <c r="BH9" s="111">
        <f t="shared" si="12"/>
        <v>30331.674999999992</v>
      </c>
      <c r="BI9" s="111">
        <f t="shared" si="12"/>
        <v>1512.5</v>
      </c>
      <c r="BJ9" s="111">
        <f t="shared" si="12"/>
        <v>1512.5</v>
      </c>
      <c r="BK9" s="111">
        <f t="shared" si="12"/>
        <v>5388281.2499999991</v>
      </c>
      <c r="BL9" s="111">
        <f t="shared" si="12"/>
        <v>5231341.0194174759</v>
      </c>
      <c r="BM9" s="111">
        <f t="shared" si="12"/>
        <v>5388281.2499999991</v>
      </c>
      <c r="BN9" s="111">
        <f t="shared" si="12"/>
        <v>5388281.2499999991</v>
      </c>
      <c r="BO9" s="111">
        <f t="shared" si="12"/>
        <v>5388281.2499999991</v>
      </c>
      <c r="BP9" s="111">
        <f t="shared" si="12"/>
        <v>5388281.2499999991</v>
      </c>
      <c r="BQ9" s="111">
        <f t="shared" si="12"/>
        <v>5231341.0194174759</v>
      </c>
      <c r="BR9" s="111">
        <f t="shared" si="12"/>
        <v>5388281.2499999991</v>
      </c>
      <c r="BS9" s="111">
        <f t="shared" si="12"/>
        <v>5231341.0194174759</v>
      </c>
      <c r="BT9" s="15">
        <f t="shared" si="23"/>
        <v>2.0808592667579045E-8</v>
      </c>
      <c r="BU9" s="189">
        <f>IFERROR(BT9*(0.0000000000028)*up_RadSpec!$AY9*up_RadSpec!$AF9,0)</f>
        <v>6.2342543632066827E-17</v>
      </c>
      <c r="BV9" s="40">
        <f t="shared" si="13"/>
        <v>15.125</v>
      </c>
      <c r="BW9" s="40">
        <f t="shared" si="14"/>
        <v>1.6181272791589674E-3</v>
      </c>
      <c r="BX9" s="40">
        <f>IFERROR((s_C*s_EF_far*(1/365)*1*up_RadSpec!R9*((s_ET_far_o*(1/24)*up_RadSpec!W9)+(s_ET_far_i*(1/24)*up_RadSpec!AB9))),".")</f>
        <v>4.6149974339741835E-2</v>
      </c>
      <c r="BY9" s="40">
        <f>up_b2s!CC9</f>
        <v>151658.375</v>
      </c>
      <c r="BZ9" s="40">
        <f>IFERROR(((s_C*up_RadSpec!AJ9)/up_RadSpec!AU9)*s_IFFI_far_adj*s_CF_far_fish,0)</f>
        <v>7562.5</v>
      </c>
      <c r="CA9" s="40">
        <f>IFERROR(((s_C*up_RadSpec!AK9)/up_RadSpec!AU9)*s_IFSF_far_adj*s_CF_far_shellfish,0)</f>
        <v>7562.5</v>
      </c>
      <c r="CB9" s="40">
        <f>(s_C*s_IFB_far_adj*s_CF_far_beef*up_RadSpec!AI9*((s_Q_p_beef*s_f_p_beef*s_f_s_beef*(up_RadSpec!$AT9+s_R_es_past))+(s_Q_s_beef*s_f_p_beef)))</f>
        <v>26941406.25</v>
      </c>
      <c r="CC9" s="40">
        <f>(s_C*s_IFD_far_adj*s_CF_far_dairy*up_RadSpec!AH9*1/s_D_milk*((s_Q_p_dairy*s_f_p_dairy*s_f_s_dairy*(up_RadSpec!$AT9+s_R_es_past))+(s_Q_s_dairy*s_f_p_dairy)))</f>
        <v>26156705.09708738</v>
      </c>
      <c r="CD9" s="40">
        <f>IFERROR((s_C*s_IFSW_far_adj*s_CF_far_swine*up_RadSpec!AN9*((s_Q_p_swine*s_f_p_swine*s_f_s_swine*(up_RadSpec!$AT9+s_R_es_past))+(s_Q_s_swine*s_f_p_swine))),0)</f>
        <v>26941406.25</v>
      </c>
      <c r="CE9" s="40">
        <f>IFERROR((s_C*s_IFP_far_adj*s_CF_far_poultry*up_RadSpec!AL9*((s_Q_p_poultry*s_f_p_poultry*s_f_s_poultry*(up_RadSpec!AT9+s_R_es_past))+(s_Q_s_poultry*s_f_p_poultry))),0)</f>
        <v>26941406.25</v>
      </c>
      <c r="CF9" s="40">
        <f>IFERROR((s_C*s_IFE_far_adj*s_CF_far_egg*up_RadSpec!AM9*((s_Q_p_egg*s_f_p_egg*s_f_s_egg*(up_RadSpec!$AT9+s_R_es_past))+(s_Q_s_egg*s_f_p_egg))),0)</f>
        <v>26941406.25</v>
      </c>
      <c r="CG9" s="40">
        <f>IFERROR((s_C*s_IFGO_far_adj*s_CF_far_goat*up_RadSpec!AQ9*((s_Q_p_goat*s_f_p_goat*s_f_s_goat*(up_RadSpec!$AT9+s_R_es_past))+(s_Q_s_goat*s_f_p_goat))),0)</f>
        <v>26941406.25</v>
      </c>
      <c r="CH9" s="40">
        <f>IFERROR((s_C*s_IFGM_far_adj*s_CF_far_goat_milk*up_RadSpec!AR9*1/s_D_milk*((s_Q_p_goat_milk*s_f_p_goat_milk*s_f_s_goat_milk*(up_RadSpec!$AT9+s_R_es_past))+(s_Q_s_goat_milk*s_f_p_goat_milk))),0)</f>
        <v>26156705.09708738</v>
      </c>
      <c r="CI9" s="40">
        <f>IFERROR((s_C*s_IFSH_far_adj*s_CF_far_sheep*up_RadSpec!AO9*((s_Q_p_sheep*s_f_p_sheep*s_f_s_sheep*(up_RadSpec!$AT9+s_R_es_past))+(s_Q_s_sheep*s_f_p_sheep))),0)</f>
        <v>26941406.25</v>
      </c>
      <c r="CJ9" s="40">
        <f>IFERROR((s_C*s_IFSM_far_adj*s_CF_far_sheep_milk*up_RadSpec!AP9*1/s_D_milk*((s_Q_p_sheep_milk*s_f_p_sheep_milk*s_f_s_sheep_milk*(up_RadSpec!$AT9+s_R_es_past))+(s_Q_s_sheep_milk*s_f_p_sheep_milk))),0)</f>
        <v>26156705.09708738</v>
      </c>
      <c r="CK9" s="18"/>
      <c r="CL9" s="15">
        <f>IFERROR(s_DL/(up_RadSpec!I9*s_IFW_far_adj),".")</f>
        <v>3.6363636363636364E-3</v>
      </c>
      <c r="CM9" s="15">
        <f>IFERROR(IF(AND(up_RadSpec!C9=1,up_RadSpec!D9&lt;&gt;0),s_DL/(up_RadSpec!H9*s_IFA_far_adj*s_K*up_RadSpec!D9),"."),".")</f>
        <v>0.39187352811929721</v>
      </c>
      <c r="CN9" s="15">
        <f>IFERROR((s_DL/(up_RadSpec!M9*(1/8760)*s_DFA_far_adj)),".")</f>
        <v>39.81818181818182</v>
      </c>
      <c r="CO9" s="15">
        <f>up_b2w!BC9</f>
        <v>1.6443412786038033E-4</v>
      </c>
      <c r="CP9" s="15">
        <f>IFERROR(J9/(up_RadSpec!AJ9*(1/1000)),".")</f>
        <v>0.13223140495867769</v>
      </c>
      <c r="CQ9" s="15">
        <f>IFERROR(K9/(up_RadSpec!AK9*(1/1000)),".")</f>
        <v>0.13223140495867769</v>
      </c>
      <c r="CR9" s="15">
        <f>IFERROR(G9/(up_RadSpec!AI9*s_Q_w_beef*(1/1000)),".")</f>
        <v>2.6446280991735537E-2</v>
      </c>
      <c r="CS9" s="15">
        <f>IFERROR((H9*s_D_milk)/(up_RadSpec!AH9*s_Q_w_dairy*(1/1000)),".")</f>
        <v>2.7239669421487603E-2</v>
      </c>
      <c r="CT9" s="15">
        <f>IFERROR(I9/(up_RadSpec!AN9*s_Q_w_swine*(1/1000)),".")</f>
        <v>2.6446280991735537E-2</v>
      </c>
      <c r="CU9" s="15">
        <f>IFERROR(E9/(up_RadSpec!AL9*s_Q_w_poultry*(1/1000)),".")</f>
        <v>2.6446280991735537E-2</v>
      </c>
      <c r="CV9" s="15">
        <f>IFERROR(F9/(up_RadSpec!AM9*s_Q_w_poultry*(1/1000)),".")</f>
        <v>2.6446280991735537E-2</v>
      </c>
      <c r="CW9" s="15">
        <f>IFERROR(L9/(up_RadSpec!AQ9*s_Q_w_goat*(1/1000)),".")</f>
        <v>2.6446280991735537E-2</v>
      </c>
      <c r="CX9" s="15">
        <f>IFERROR(N9*s_D_milk/(up_RadSpec!AR9*s_Q_w_goat_milk*(1/1000)),".")</f>
        <v>2.7239669421487603E-2</v>
      </c>
      <c r="CY9" s="15">
        <f>IFERROR(M9/(up_RadSpec!AO9*s_Q_w_sheep*(1/1000)),".")</f>
        <v>2.6446280991735537E-2</v>
      </c>
      <c r="CZ9" s="15">
        <f>IFERROR(O9*s_D_milk/(up_RadSpec!AP9*s_Q_w_sheep_milk*(1/1000)),".")</f>
        <v>2.7239669421487603E-2</v>
      </c>
      <c r="DA9" s="111">
        <f t="shared" si="15"/>
        <v>275</v>
      </c>
      <c r="DB9" s="111">
        <f t="shared" si="15"/>
        <v>2.5518437154947913</v>
      </c>
      <c r="DC9" s="111">
        <f t="shared" si="15"/>
        <v>2.5114155251141551E-2</v>
      </c>
      <c r="DD9" s="111">
        <f t="shared" si="15"/>
        <v>6081.4626076229861</v>
      </c>
      <c r="DE9" s="111">
        <f t="shared" si="15"/>
        <v>7.5625</v>
      </c>
      <c r="DF9" s="111">
        <f t="shared" si="15"/>
        <v>7.5625</v>
      </c>
      <c r="DG9" s="111">
        <f t="shared" si="15"/>
        <v>37.8125</v>
      </c>
      <c r="DH9" s="111">
        <f t="shared" si="15"/>
        <v>36.711165048543691</v>
      </c>
      <c r="DI9" s="111">
        <f t="shared" si="15"/>
        <v>37.8125</v>
      </c>
      <c r="DJ9" s="111">
        <f t="shared" si="15"/>
        <v>37.8125</v>
      </c>
      <c r="DK9" s="111">
        <f t="shared" si="15"/>
        <v>37.8125</v>
      </c>
      <c r="DL9" s="111">
        <f t="shared" si="15"/>
        <v>37.8125</v>
      </c>
      <c r="DM9" s="111">
        <f t="shared" si="15"/>
        <v>36.711165048543691</v>
      </c>
      <c r="DN9" s="111">
        <f t="shared" si="15"/>
        <v>37.8125</v>
      </c>
      <c r="DO9" s="111">
        <f t="shared" si="15"/>
        <v>36.711165048543691</v>
      </c>
      <c r="DP9" s="15">
        <f t="shared" si="24"/>
        <v>1.4900524706551547E-4</v>
      </c>
      <c r="DQ9" s="189">
        <f>DP9*(0.0000000000000028)*up_RadSpec!$AY9*up_RadSpec!$AF9</f>
        <v>4.4641972020828434E-16</v>
      </c>
      <c r="DR9" s="40">
        <f t="shared" si="16"/>
        <v>1375</v>
      </c>
      <c r="DS9" s="40">
        <f>IFERROR(IF(up_RadSpec!D9&lt;&gt;"",s_C*s_IFA_far_adj*s_K*up_RadSpec!D9,0),".")</f>
        <v>12.759218577473957</v>
      </c>
      <c r="DT9" s="40">
        <f t="shared" si="17"/>
        <v>0.12557077625570776</v>
      </c>
      <c r="DU9" s="40">
        <f>up_b2w!CC9</f>
        <v>30407.313038114935</v>
      </c>
      <c r="DV9" s="40">
        <f>IFERROR(s_C*up_RadSpec!AJ9*(1/1000)*s_IFFI_far_adj*s_CF_far_fish,0)</f>
        <v>37.8125</v>
      </c>
      <c r="DW9" s="40">
        <f>IFERROR(s_C*up_RadSpec!AK9*(1/1000)*s_IFSF_far_adj*s_CF_far_shellfish,0)</f>
        <v>37.8125</v>
      </c>
      <c r="DX9" s="40">
        <f>(s_C*s_IFB_far_adj*s_CF_far_beef*up_RadSpec!AI9*s_Q_w_beef*(1/1000))</f>
        <v>189.0625</v>
      </c>
      <c r="DY9" s="40">
        <f>(s_C*s_IFD_far_adj*s_CF_far_dairy*up_RadSpec!AH9*(1/s_D_milk)*s_Q_w_dairy*(1/1000))</f>
        <v>183.55582524271844</v>
      </c>
      <c r="DZ9" s="40">
        <f>IFERROR((s_C*s_IFSW_far_adj*s_CF_far_swine*up_RadSpec!AN9*s_Q_w_swine*(1/1000)),0)</f>
        <v>189.0625</v>
      </c>
      <c r="EA9" s="40">
        <f>IFERROR((s_C*s_IFP_far_adj*s_CF_far_poultry*up_RadSpec!AL9*s_Q_w_poultry*(1/1000)),0)</f>
        <v>189.0625</v>
      </c>
      <c r="EB9" s="40">
        <f>IFERROR((s_C*s_IFE_far_adj*s_CF_far_egg*up_RadSpec!AM9*s_Q_w_egg*(1/1000)),0)</f>
        <v>189.0625</v>
      </c>
      <c r="EC9" s="40">
        <f>IFERROR((s_C*s_IFGO_far_adj*s_CF_far_goat*up_RadSpec!AQ9*s_Q_p_goat*(1/1000)),0)</f>
        <v>189.0625</v>
      </c>
      <c r="ED9" s="40">
        <f>IFERROR((s_C*s_IFGM_far_adj*s_CF_far_goat_milk*up_RadSpec!AR9*(1/s_D_milk)*s_Q_p_goat_milk*(1/1000)),0)</f>
        <v>183.55582524271844</v>
      </c>
      <c r="EE9" s="40">
        <f>IFERROR((s_C*s_IFSH_far_adj*s_CF_far_sheep*up_RadSpec!AO9*s_Q_p_sheep*(1/1000)),0)</f>
        <v>189.0625</v>
      </c>
      <c r="EF9" s="40">
        <f>IFERROR((s_C*s_IFSM_far_adj*s_CF_far_sheep_milk*up_RadSpec!AP9*(1/s_D_milk)*s_Q_p_sheep_milk*(1/1000)),0)</f>
        <v>183.55582524271844</v>
      </c>
      <c r="EG9" s="5"/>
      <c r="EH9" s="15">
        <f>IFERROR((s_DL/(up_RadSpec!H9*s_IFA_far_adj)),".")</f>
        <v>9.9740259740259754E-3</v>
      </c>
      <c r="EI9" s="15">
        <f>IFERROR((s_DL/(up_RadSpec!K9*s_EF_far*(1/365)*1*s_ET_far*(1/24)*s_GSF_a)),".")</f>
        <v>63.709090909090911</v>
      </c>
      <c r="EJ9" s="15">
        <f t="shared" si="25"/>
        <v>9.9724647271019675E-3</v>
      </c>
      <c r="EK9" s="189">
        <f>EJ9*(0.0000000000000028)*up_RadSpec!$AY9*up_RadSpec!$AF9</f>
        <v>2.9877504322397496E-14</v>
      </c>
      <c r="EL9" s="40">
        <f t="shared" si="19"/>
        <v>501.30208333333326</v>
      </c>
      <c r="EM9" s="40">
        <f t="shared" si="20"/>
        <v>7.8481735159817351E-2</v>
      </c>
      <c r="EN9" s="113"/>
    </row>
    <row r="10" spans="1:144" customFormat="1" x14ac:dyDescent="0.25">
      <c r="A10" s="46" t="s">
        <v>8</v>
      </c>
      <c r="B10" s="42" t="s">
        <v>335</v>
      </c>
      <c r="C10" s="42"/>
      <c r="D10" s="15">
        <f>up_dir!AC10</f>
        <v>1.6528925619834712E-4</v>
      </c>
      <c r="E10" s="15">
        <f>IFERROR(s_DL/(up_RadSpec!F10*s_IFP_far_adj*s_CF_far_poultry),".")</f>
        <v>6.6115702479338848E-4</v>
      </c>
      <c r="F10" s="15">
        <f>IFERROR(s_DL/(up_RadSpec!F10*s_IFE_far_adj*s_CF_far_egg),".")</f>
        <v>6.6115702479338848E-4</v>
      </c>
      <c r="G10" s="15">
        <f>IFERROR(s_DL/(up_RadSpec!F10*s_IFB_far_adj*s_CF_far_beef),".")</f>
        <v>6.6115702479338848E-4</v>
      </c>
      <c r="H10" s="15">
        <f>IFERROR(s_DL/(up_RadSpec!F10*s_IFD_far_adj*s_CF_far_dairy),".")</f>
        <v>6.6115702479338848E-4</v>
      </c>
      <c r="I10" s="15">
        <f>IFERROR(s_DL/(up_RadSpec!F10*s_IFSW_far_adj*s_CF_far_swine),".")</f>
        <v>6.6115702479338848E-4</v>
      </c>
      <c r="J10" s="15">
        <f>IFERROR(s_DL/(up_RadSpec!F10*s_IFFI_far_adj*s_CF_far_fish),".")</f>
        <v>6.6115702479338848E-4</v>
      </c>
      <c r="K10" s="15">
        <f>IFERROR(s_DL/(up_RadSpec!F10*s_IFSF_far_adj*s_CF_far_shellfish),".")</f>
        <v>6.6115702479338848E-4</v>
      </c>
      <c r="L10" s="15">
        <f>IFERROR(s_DL/(up_RadSpec!F10*s_IFGO_far_adj*s_CF_far_goat),".")</f>
        <v>6.6115702479338848E-4</v>
      </c>
      <c r="M10" s="15">
        <f>IFERROR(s_DL/(up_RadSpec!F10*s_IFSH_far_adj*s_CF_far_sheep),".")</f>
        <v>6.6115702479338848E-4</v>
      </c>
      <c r="N10" s="15">
        <f>IFERROR(s_DL/(up_RadSpec!F10*s_IFGM_far_adj*s_CF_far_goat_milk),".")</f>
        <v>6.6115702479338848E-4</v>
      </c>
      <c r="O10" s="15">
        <f>IFERROR(s_DL/(up_RadSpec!F10*s_IFSM_far_adj*s_CF_far_sheep_milk),".")</f>
        <v>6.6115702479338848E-4</v>
      </c>
      <c r="P10" s="111">
        <f t="shared" si="21"/>
        <v>1512.5</v>
      </c>
      <c r="Q10" s="111">
        <f t="shared" si="21"/>
        <v>1512.5</v>
      </c>
      <c r="R10" s="111">
        <f t="shared" si="21"/>
        <v>1512.5</v>
      </c>
      <c r="S10" s="111">
        <f t="shared" si="21"/>
        <v>1512.5</v>
      </c>
      <c r="T10" s="111">
        <f t="shared" si="21"/>
        <v>1512.5</v>
      </c>
      <c r="U10" s="111">
        <f t="shared" si="21"/>
        <v>1512.5</v>
      </c>
      <c r="V10" s="111">
        <f t="shared" si="21"/>
        <v>1512.5</v>
      </c>
      <c r="W10" s="111">
        <f t="shared" si="21"/>
        <v>1512.5</v>
      </c>
      <c r="X10" s="111">
        <f t="shared" si="0"/>
        <v>1512.5</v>
      </c>
      <c r="Y10" s="111">
        <f t="shared" si="0"/>
        <v>1512.5</v>
      </c>
      <c r="Z10" s="111">
        <f t="shared" si="0"/>
        <v>1512.5</v>
      </c>
      <c r="AA10" s="111">
        <f t="shared" si="0"/>
        <v>1512.5</v>
      </c>
      <c r="AB10" s="15">
        <f t="shared" si="22"/>
        <v>5.5096418732782371E-5</v>
      </c>
      <c r="AC10" s="247">
        <f>IFERROR(AB10*(0.0000000000028)*up_RadSpec!$AY10*up_RadSpec!$AF10,0)</f>
        <v>1.0567493112947661E-13</v>
      </c>
      <c r="AD10" s="40">
        <f>up_dir!BC10</f>
        <v>30250</v>
      </c>
      <c r="AE10" s="40">
        <f t="shared" si="1"/>
        <v>7562.5</v>
      </c>
      <c r="AF10" s="40">
        <f t="shared" si="2"/>
        <v>7562.5</v>
      </c>
      <c r="AG10" s="40">
        <f t="shared" si="3"/>
        <v>7562.5</v>
      </c>
      <c r="AH10" s="40">
        <f t="shared" si="4"/>
        <v>7562.5</v>
      </c>
      <c r="AI10" s="40">
        <f t="shared" si="5"/>
        <v>7562.5</v>
      </c>
      <c r="AJ10" s="40">
        <f t="shared" si="6"/>
        <v>7562.5</v>
      </c>
      <c r="AK10" s="40">
        <f t="shared" si="7"/>
        <v>7562.5</v>
      </c>
      <c r="AL10" s="40">
        <f t="shared" si="8"/>
        <v>7562.5</v>
      </c>
      <c r="AM10" s="40">
        <f t="shared" si="9"/>
        <v>7562.5</v>
      </c>
      <c r="AN10" s="40">
        <f t="shared" si="10"/>
        <v>7562.5</v>
      </c>
      <c r="AO10" s="40">
        <f t="shared" si="11"/>
        <v>7562.5</v>
      </c>
      <c r="AP10" s="45">
        <f>IFERROR((s_DL/(up_RadSpec!E10*s_IFS_far_adj*(1/1000)))*1,".")</f>
        <v>0.33057851239669422</v>
      </c>
      <c r="AQ10" s="45">
        <f>IFERROR(IF(A10="H-3",(s_DL/(up_RadSpec!H10*s_IFA_far_adj*(1/17)*1000))*1,(s_DL/(up_RadSpec!H10*s_IFA_far_adj*(1/s_PEF_wind)*1000))*1),".")</f>
        <v>3089.9917851942919</v>
      </c>
      <c r="AR10" s="45">
        <f>IFERROR((s_DL/(up_RadSpec!G10*s_EF_far*(1/365)*1*up_RadSpec!R10*((s_ET_far_o*(1/24)*up_RadSpec!W10)+(s_ET_far_i*(1/24)*up_RadSpec!AB10))))*1,".")</f>
        <v>207.30735930735929</v>
      </c>
      <c r="AS10" s="45">
        <f>up_b2s!BC10</f>
        <v>3.2968835384132272E-5</v>
      </c>
      <c r="AT10" s="45">
        <f>IFERROR(((J10*up_RadSpec!AU10)/up_RadSpec!AJ10)*1,".")</f>
        <v>6.6115702479338848E-4</v>
      </c>
      <c r="AU10" s="45">
        <f>IFERROR(((K10*up_RadSpec!AU10)/up_RadSpec!AK10)*1,".")</f>
        <v>6.6115702479338848E-4</v>
      </c>
      <c r="AV10" s="45">
        <f>IFERROR((G10/(up_RadSpec!AI10*((s_Q_p_beef*s_f_p_beef*s_f_s_beef*(up_RadSpec!BD10+s_R_es_past))+(s_Q_s_beef*s_f_p_beef))))*1,".")</f>
        <v>1.8558793678410905E-7</v>
      </c>
      <c r="AW10" s="45">
        <f>IFERROR(((H10*s_D_milk)/(up_RadSpec!AH10*((s_Q_p_dairy*s_f_p_dairy*s_f_s_dairy*(up_RadSpec!BD10+s_R_es_past))+(s_Q_s_dairy*s_f_p_dairy))))*1,".")</f>
        <v>1.9115557488763231E-7</v>
      </c>
      <c r="AX10" s="45">
        <f>IFERROR((I10/(up_RadSpec!AN10*((s_Q_p_swine*s_f_p_swine*s_f_s_swine*(up_RadSpec!BD10+s_R_es_past))+(s_Q_s_swine*s_f_p_swine))))*1,".")</f>
        <v>1.8558793678410905E-7</v>
      </c>
      <c r="AY10" s="45">
        <f>IFERROR((E10/(up_RadSpec!AL10*((s_Q_p_poultry*s_f_p_poultry*s_f_s_poultry*(up_RadSpec!BD10+s_R_es_past))+(s_Q_s_poultry*s_f_p_poultry))))*1,".")</f>
        <v>1.8558793678410905E-7</v>
      </c>
      <c r="AZ10" s="45">
        <f>IFERROR((F10/(up_RadSpec!AM10*((s_Q_p_poultry*s_f_p_poultry*s_f_s_poultry*(up_RadSpec!BD10+s_R_es_past))+(s_Q_s_poultry*s_f_p_poultry))))*1,".")</f>
        <v>1.8558793678410905E-7</v>
      </c>
      <c r="BA10" s="45">
        <f>IFERROR((L10/(up_RadSpec!AQ10*((s_Q_p_goat*s_f_p_goat*s_f_s_goat*(up_RadSpec!BD10+s_R_es_past))+(s_Q_s_goat*s_f_p_goat))))*1,".")</f>
        <v>1.8558793678410905E-7</v>
      </c>
      <c r="BB10" s="45">
        <f>IFERROR((N10*s_D_milk/(up_RadSpec!AR10*((s_Q_p_goat_milk*s_f_p_goat_milk*s_f_s_goat_milk*(up_RadSpec!BD10+s_R_es_past))+(s_Q_s_goat_milk*s_f_p_goat_milk))))*1,".")</f>
        <v>1.9115557488763231E-7</v>
      </c>
      <c r="BC10" s="45">
        <f>IFERROR((M10/(up_RadSpec!AO10*((s_Q_p_sheep*s_f_p_sheep*s_f_s_sheep*(up_RadSpec!BD10+s_R_es_past))+(s_Q_s_sheep*s_f_p_sheep))))*1,".")</f>
        <v>1.8558793678410905E-7</v>
      </c>
      <c r="BD10" s="45">
        <f>IFERROR((O10*s_D_milk/(up_RadSpec!AP10*((s_Q_p_sheep_milk*s_f_p_sheep_milk*s_f_s_sheep_milk*(up_RadSpec!BD10+s_R_es_past))+(s_Q_s_sheep_milk*s_f_p_sheep_milk))))*1,".")</f>
        <v>1.9115557488763231E-7</v>
      </c>
      <c r="BE10" s="111">
        <f t="shared" si="12"/>
        <v>3.0249999999999999</v>
      </c>
      <c r="BF10" s="111">
        <f t="shared" si="12"/>
        <v>3.236254558317935E-4</v>
      </c>
      <c r="BG10" s="111">
        <f t="shared" si="12"/>
        <v>4.823755429335116E-3</v>
      </c>
      <c r="BH10" s="111">
        <f t="shared" si="12"/>
        <v>30331.674999999992</v>
      </c>
      <c r="BI10" s="111">
        <f t="shared" si="12"/>
        <v>1512.5</v>
      </c>
      <c r="BJ10" s="111">
        <f t="shared" si="12"/>
        <v>1512.5</v>
      </c>
      <c r="BK10" s="111">
        <f t="shared" si="12"/>
        <v>5388281.2499999991</v>
      </c>
      <c r="BL10" s="111">
        <f t="shared" si="12"/>
        <v>5231341.0194174759</v>
      </c>
      <c r="BM10" s="111">
        <f t="shared" si="12"/>
        <v>5388281.2499999991</v>
      </c>
      <c r="BN10" s="111">
        <f t="shared" si="12"/>
        <v>5388281.2499999991</v>
      </c>
      <c r="BO10" s="111">
        <f t="shared" si="12"/>
        <v>5388281.2499999991</v>
      </c>
      <c r="BP10" s="111">
        <f t="shared" si="12"/>
        <v>5388281.2499999991</v>
      </c>
      <c r="BQ10" s="111">
        <f t="shared" si="12"/>
        <v>5231341.0194174759</v>
      </c>
      <c r="BR10" s="111">
        <f t="shared" si="12"/>
        <v>5388281.2499999991</v>
      </c>
      <c r="BS10" s="111">
        <f t="shared" si="12"/>
        <v>5231341.0194174759</v>
      </c>
      <c r="BT10" s="15">
        <f t="shared" si="23"/>
        <v>2.0808592669486937E-8</v>
      </c>
      <c r="BU10" s="189">
        <f>IFERROR(BT10*(0.0000000000028)*up_RadSpec!$AY10*up_RadSpec!$AF10,0)</f>
        <v>3.9910880740075953E-17</v>
      </c>
      <c r="BV10" s="40">
        <f t="shared" si="13"/>
        <v>15.125</v>
      </c>
      <c r="BW10" s="40">
        <f t="shared" si="14"/>
        <v>1.6181272791589674E-3</v>
      </c>
      <c r="BX10" s="40">
        <f>IFERROR((s_C*s_EF_far*(1/365)*1*up_RadSpec!R10*((s_ET_far_o*(1/24)*up_RadSpec!W10)+(s_ET_far_i*(1/24)*up_RadSpec!AB10))),".")</f>
        <v>2.4118777146675579E-2</v>
      </c>
      <c r="BY10" s="40">
        <f>up_b2s!CC10</f>
        <v>151658.375</v>
      </c>
      <c r="BZ10" s="40">
        <f>IFERROR(((s_C*up_RadSpec!AJ10)/up_RadSpec!AU10)*s_IFFI_far_adj*s_CF_far_fish,0)</f>
        <v>7562.5</v>
      </c>
      <c r="CA10" s="40">
        <f>IFERROR(((s_C*up_RadSpec!AK10)/up_RadSpec!AU10)*s_IFSF_far_adj*s_CF_far_shellfish,0)</f>
        <v>7562.5</v>
      </c>
      <c r="CB10" s="40">
        <f>(s_C*s_IFB_far_adj*s_CF_far_beef*up_RadSpec!AI10*((s_Q_p_beef*s_f_p_beef*s_f_s_beef*(up_RadSpec!$AT10+s_R_es_past))+(s_Q_s_beef*s_f_p_beef)))</f>
        <v>26941406.25</v>
      </c>
      <c r="CC10" s="40">
        <f>(s_C*s_IFD_far_adj*s_CF_far_dairy*up_RadSpec!AH10*1/s_D_milk*((s_Q_p_dairy*s_f_p_dairy*s_f_s_dairy*(up_RadSpec!$AT10+s_R_es_past))+(s_Q_s_dairy*s_f_p_dairy)))</f>
        <v>26156705.09708738</v>
      </c>
      <c r="CD10" s="40">
        <f>IFERROR((s_C*s_IFSW_far_adj*s_CF_far_swine*up_RadSpec!AN10*((s_Q_p_swine*s_f_p_swine*s_f_s_swine*(up_RadSpec!$AT10+s_R_es_past))+(s_Q_s_swine*s_f_p_swine))),0)</f>
        <v>26941406.25</v>
      </c>
      <c r="CE10" s="40">
        <f>IFERROR((s_C*s_IFP_far_adj*s_CF_far_poultry*up_RadSpec!AL10*((s_Q_p_poultry*s_f_p_poultry*s_f_s_poultry*(up_RadSpec!AT10+s_R_es_past))+(s_Q_s_poultry*s_f_p_poultry))),0)</f>
        <v>26941406.25</v>
      </c>
      <c r="CF10" s="40">
        <f>IFERROR((s_C*s_IFE_far_adj*s_CF_far_egg*up_RadSpec!AM10*((s_Q_p_egg*s_f_p_egg*s_f_s_egg*(up_RadSpec!$AT10+s_R_es_past))+(s_Q_s_egg*s_f_p_egg))),0)</f>
        <v>26941406.25</v>
      </c>
      <c r="CG10" s="40">
        <f>IFERROR((s_C*s_IFGO_far_adj*s_CF_far_goat*up_RadSpec!AQ10*((s_Q_p_goat*s_f_p_goat*s_f_s_goat*(up_RadSpec!$AT10+s_R_es_past))+(s_Q_s_goat*s_f_p_goat))),0)</f>
        <v>26941406.25</v>
      </c>
      <c r="CH10" s="40">
        <f>IFERROR((s_C*s_IFGM_far_adj*s_CF_far_goat_milk*up_RadSpec!AR10*1/s_D_milk*((s_Q_p_goat_milk*s_f_p_goat_milk*s_f_s_goat_milk*(up_RadSpec!$AT10+s_R_es_past))+(s_Q_s_goat_milk*s_f_p_goat_milk))),0)</f>
        <v>26156705.09708738</v>
      </c>
      <c r="CI10" s="40">
        <f>IFERROR((s_C*s_IFSH_far_adj*s_CF_far_sheep*up_RadSpec!AO10*((s_Q_p_sheep*s_f_p_sheep*s_f_s_sheep*(up_RadSpec!$AT10+s_R_es_past))+(s_Q_s_sheep*s_f_p_sheep))),0)</f>
        <v>26941406.25</v>
      </c>
      <c r="CJ10" s="40">
        <f>IFERROR((s_C*s_IFSM_far_adj*s_CF_far_sheep_milk*up_RadSpec!AP10*1/s_D_milk*((s_Q_p_sheep_milk*s_f_p_sheep_milk*s_f_s_sheep_milk*(up_RadSpec!$AT10+s_R_es_past))+(s_Q_s_sheep_milk*s_f_p_sheep_milk))),0)</f>
        <v>26156705.09708738</v>
      </c>
      <c r="CK10" s="18"/>
      <c r="CL10" s="15">
        <f>IFERROR(s_DL/(up_RadSpec!I10*s_IFW_far_adj),".")</f>
        <v>3.6363636363636364E-3</v>
      </c>
      <c r="CM10" s="15" t="str">
        <f>IFERROR(IF(AND(up_RadSpec!C10=1,up_RadSpec!D10&lt;&gt;0),s_DL/(up_RadSpec!H10*s_IFA_far_adj*s_K*up_RadSpec!D10),"."),".")</f>
        <v>.</v>
      </c>
      <c r="CN10" s="15">
        <f>IFERROR((s_DL/(up_RadSpec!M10*(1/8760)*s_DFA_far_adj)),".")</f>
        <v>39.81818181818182</v>
      </c>
      <c r="CO10" s="15">
        <f>up_b2w!BC10</f>
        <v>1.6443412786038033E-4</v>
      </c>
      <c r="CP10" s="15">
        <f>IFERROR(J10/(up_RadSpec!AJ10*(1/1000)),".")</f>
        <v>0.13223140495867769</v>
      </c>
      <c r="CQ10" s="15">
        <f>IFERROR(K10/(up_RadSpec!AK10*(1/1000)),".")</f>
        <v>0.13223140495867769</v>
      </c>
      <c r="CR10" s="15">
        <f>IFERROR(G10/(up_RadSpec!AI10*s_Q_w_beef*(1/1000)),".")</f>
        <v>2.6446280991735537E-2</v>
      </c>
      <c r="CS10" s="15">
        <f>IFERROR((H10*s_D_milk)/(up_RadSpec!AH10*s_Q_w_dairy*(1/1000)),".")</f>
        <v>2.7239669421487603E-2</v>
      </c>
      <c r="CT10" s="15">
        <f>IFERROR(I10/(up_RadSpec!AN10*s_Q_w_swine*(1/1000)),".")</f>
        <v>2.6446280991735537E-2</v>
      </c>
      <c r="CU10" s="15">
        <f>IFERROR(E10/(up_RadSpec!AL10*s_Q_w_poultry*(1/1000)),".")</f>
        <v>2.6446280991735537E-2</v>
      </c>
      <c r="CV10" s="15">
        <f>IFERROR(F10/(up_RadSpec!AM10*s_Q_w_poultry*(1/1000)),".")</f>
        <v>2.6446280991735537E-2</v>
      </c>
      <c r="CW10" s="15">
        <f>IFERROR(L10/(up_RadSpec!AQ10*s_Q_w_goat*(1/1000)),".")</f>
        <v>2.6446280991735537E-2</v>
      </c>
      <c r="CX10" s="15">
        <f>IFERROR(N10*s_D_milk/(up_RadSpec!AR10*s_Q_w_goat_milk*(1/1000)),".")</f>
        <v>2.7239669421487603E-2</v>
      </c>
      <c r="CY10" s="15">
        <f>IFERROR(M10/(up_RadSpec!AO10*s_Q_w_sheep*(1/1000)),".")</f>
        <v>2.6446280991735537E-2</v>
      </c>
      <c r="CZ10" s="15">
        <f>IFERROR(O10*s_D_milk/(up_RadSpec!AP10*s_Q_w_sheep_milk*(1/1000)),".")</f>
        <v>2.7239669421487603E-2</v>
      </c>
      <c r="DA10" s="111">
        <f t="shared" si="15"/>
        <v>275</v>
      </c>
      <c r="DB10" s="111" t="str">
        <f t="shared" si="15"/>
        <v>.</v>
      </c>
      <c r="DC10" s="111">
        <f t="shared" si="15"/>
        <v>2.5114155251141551E-2</v>
      </c>
      <c r="DD10" s="111">
        <f t="shared" si="15"/>
        <v>6081.4626076229861</v>
      </c>
      <c r="DE10" s="111">
        <f t="shared" si="15"/>
        <v>7.5625</v>
      </c>
      <c r="DF10" s="111">
        <f t="shared" si="15"/>
        <v>7.5625</v>
      </c>
      <c r="DG10" s="111">
        <f t="shared" si="15"/>
        <v>37.8125</v>
      </c>
      <c r="DH10" s="111">
        <f t="shared" si="15"/>
        <v>36.711165048543691</v>
      </c>
      <c r="DI10" s="111">
        <f t="shared" si="15"/>
        <v>37.8125</v>
      </c>
      <c r="DJ10" s="111">
        <f t="shared" si="15"/>
        <v>37.8125</v>
      </c>
      <c r="DK10" s="111">
        <f t="shared" si="15"/>
        <v>37.8125</v>
      </c>
      <c r="DL10" s="111">
        <f t="shared" si="15"/>
        <v>37.8125</v>
      </c>
      <c r="DM10" s="111">
        <f t="shared" si="15"/>
        <v>36.711165048543691</v>
      </c>
      <c r="DN10" s="111">
        <f t="shared" si="15"/>
        <v>37.8125</v>
      </c>
      <c r="DO10" s="111">
        <f t="shared" si="15"/>
        <v>36.711165048543691</v>
      </c>
      <c r="DP10" s="15">
        <f t="shared" si="24"/>
        <v>1.4906192608956598E-4</v>
      </c>
      <c r="DQ10" s="189">
        <f>DP10*(0.0000000000000028)*up_RadSpec!$AY10*up_RadSpec!$AF10</f>
        <v>2.8590077423978759E-16</v>
      </c>
      <c r="DR10" s="40">
        <f t="shared" si="16"/>
        <v>1375</v>
      </c>
      <c r="DS10" s="40">
        <f>IFERROR(IF(up_RadSpec!D10&lt;&gt;"",s_C*s_IFA_far_adj*s_K*up_RadSpec!D10,0),".")</f>
        <v>0</v>
      </c>
      <c r="DT10" s="40">
        <f t="shared" si="17"/>
        <v>0.12557077625570776</v>
      </c>
      <c r="DU10" s="40">
        <f>up_b2w!CC10</f>
        <v>30407.313038114935</v>
      </c>
      <c r="DV10" s="40">
        <f>IFERROR(s_C*up_RadSpec!AJ10*(1/1000)*s_IFFI_far_adj*s_CF_far_fish,0)</f>
        <v>37.8125</v>
      </c>
      <c r="DW10" s="40">
        <f>IFERROR(s_C*up_RadSpec!AK10*(1/1000)*s_IFSF_far_adj*s_CF_far_shellfish,0)</f>
        <v>37.8125</v>
      </c>
      <c r="DX10" s="40">
        <f>(s_C*s_IFB_far_adj*s_CF_far_beef*up_RadSpec!AI10*s_Q_w_beef*(1/1000))</f>
        <v>189.0625</v>
      </c>
      <c r="DY10" s="40">
        <f>(s_C*s_IFD_far_adj*s_CF_far_dairy*up_RadSpec!AH10*(1/s_D_milk)*s_Q_w_dairy*(1/1000))</f>
        <v>183.55582524271844</v>
      </c>
      <c r="DZ10" s="40">
        <f>IFERROR((s_C*s_IFSW_far_adj*s_CF_far_swine*up_RadSpec!AN10*s_Q_w_swine*(1/1000)),0)</f>
        <v>189.0625</v>
      </c>
      <c r="EA10" s="40">
        <f>IFERROR((s_C*s_IFP_far_adj*s_CF_far_poultry*up_RadSpec!AL10*s_Q_w_poultry*(1/1000)),0)</f>
        <v>189.0625</v>
      </c>
      <c r="EB10" s="40">
        <f>IFERROR((s_C*s_IFE_far_adj*s_CF_far_egg*up_RadSpec!AM10*s_Q_w_egg*(1/1000)),0)</f>
        <v>189.0625</v>
      </c>
      <c r="EC10" s="40">
        <f>IFERROR((s_C*s_IFGO_far_adj*s_CF_far_goat*up_RadSpec!AQ10*s_Q_p_goat*(1/1000)),0)</f>
        <v>189.0625</v>
      </c>
      <c r="ED10" s="40">
        <f>IFERROR((s_C*s_IFGM_far_adj*s_CF_far_goat_milk*up_RadSpec!AR10*(1/s_D_milk)*s_Q_p_goat_milk*(1/1000)),0)</f>
        <v>183.55582524271844</v>
      </c>
      <c r="EE10" s="40">
        <f>IFERROR((s_C*s_IFSH_far_adj*s_CF_far_sheep*up_RadSpec!AO10*s_Q_p_sheep*(1/1000)),0)</f>
        <v>189.0625</v>
      </c>
      <c r="EF10" s="40">
        <f>IFERROR((s_C*s_IFSM_far_adj*s_CF_far_sheep_milk*up_RadSpec!AP10*(1/s_D_milk)*s_Q_p_sheep_milk*(1/1000)),0)</f>
        <v>183.55582524271844</v>
      </c>
      <c r="EG10" s="5"/>
      <c r="EH10" s="15">
        <f>IFERROR((s_DL/(up_RadSpec!H10*s_IFA_far_adj)),".")</f>
        <v>9.9740259740259754E-3</v>
      </c>
      <c r="EI10" s="15">
        <f>IFERROR((s_DL/(up_RadSpec!K10*s_EF_far*(1/365)*1*s_ET_far*(1/24)*s_GSF_a)),".")</f>
        <v>63.709090909090911</v>
      </c>
      <c r="EJ10" s="15">
        <f t="shared" si="25"/>
        <v>9.9724647271019675E-3</v>
      </c>
      <c r="EK10" s="189">
        <f>EJ10*(0.0000000000000028)*up_RadSpec!$AY10*up_RadSpec!$AF10</f>
        <v>1.9127187346581575E-14</v>
      </c>
      <c r="EL10" s="40">
        <f t="shared" si="19"/>
        <v>501.30208333333326</v>
      </c>
      <c r="EM10" s="40">
        <f t="shared" si="20"/>
        <v>7.8481735159817351E-2</v>
      </c>
      <c r="EN10" s="113"/>
    </row>
    <row r="11" spans="1:144" customFormat="1" x14ac:dyDescent="0.25">
      <c r="A11" s="44" t="s">
        <v>9</v>
      </c>
      <c r="B11" s="42" t="s">
        <v>1057</v>
      </c>
      <c r="C11" s="42"/>
      <c r="D11" s="15">
        <f>up_dir!AC11</f>
        <v>1.6528925619834712E-4</v>
      </c>
      <c r="E11" s="15">
        <f>IFERROR(s_DL/(up_RadSpec!F11*s_IFP_far_adj*s_CF_far_poultry),".")</f>
        <v>6.6115702479338848E-4</v>
      </c>
      <c r="F11" s="15">
        <f>IFERROR(s_DL/(up_RadSpec!F11*s_IFE_far_adj*s_CF_far_egg),".")</f>
        <v>6.6115702479338848E-4</v>
      </c>
      <c r="G11" s="15">
        <f>IFERROR(s_DL/(up_RadSpec!F11*s_IFB_far_adj*s_CF_far_beef),".")</f>
        <v>6.6115702479338848E-4</v>
      </c>
      <c r="H11" s="15">
        <f>IFERROR(s_DL/(up_RadSpec!F11*s_IFD_far_adj*s_CF_far_dairy),".")</f>
        <v>6.6115702479338848E-4</v>
      </c>
      <c r="I11" s="15">
        <f>IFERROR(s_DL/(up_RadSpec!F11*s_IFSW_far_adj*s_CF_far_swine),".")</f>
        <v>6.6115702479338848E-4</v>
      </c>
      <c r="J11" s="15">
        <f>IFERROR(s_DL/(up_RadSpec!F11*s_IFFI_far_adj*s_CF_far_fish),".")</f>
        <v>6.6115702479338848E-4</v>
      </c>
      <c r="K11" s="15">
        <f>IFERROR(s_DL/(up_RadSpec!F11*s_IFSF_far_adj*s_CF_far_shellfish),".")</f>
        <v>6.6115702479338848E-4</v>
      </c>
      <c r="L11" s="15">
        <f>IFERROR(s_DL/(up_RadSpec!F11*s_IFGO_far_adj*s_CF_far_goat),".")</f>
        <v>6.6115702479338848E-4</v>
      </c>
      <c r="M11" s="15">
        <f>IFERROR(s_DL/(up_RadSpec!F11*s_IFSH_far_adj*s_CF_far_sheep),".")</f>
        <v>6.6115702479338848E-4</v>
      </c>
      <c r="N11" s="15">
        <f>IFERROR(s_DL/(up_RadSpec!F11*s_IFGM_far_adj*s_CF_far_goat_milk),".")</f>
        <v>6.6115702479338848E-4</v>
      </c>
      <c r="O11" s="15">
        <f>IFERROR(s_DL/(up_RadSpec!F11*s_IFSM_far_adj*s_CF_far_sheep_milk),".")</f>
        <v>6.6115702479338848E-4</v>
      </c>
      <c r="P11" s="111">
        <f t="shared" si="21"/>
        <v>1512.5</v>
      </c>
      <c r="Q11" s="111">
        <f t="shared" si="21"/>
        <v>1512.5</v>
      </c>
      <c r="R11" s="111">
        <f t="shared" si="21"/>
        <v>1512.5</v>
      </c>
      <c r="S11" s="111">
        <f t="shared" si="21"/>
        <v>1512.5</v>
      </c>
      <c r="T11" s="111">
        <f t="shared" si="21"/>
        <v>1512.5</v>
      </c>
      <c r="U11" s="111">
        <f t="shared" si="21"/>
        <v>1512.5</v>
      </c>
      <c r="V11" s="111">
        <f t="shared" si="21"/>
        <v>1512.5</v>
      </c>
      <c r="W11" s="111">
        <f t="shared" si="21"/>
        <v>1512.5</v>
      </c>
      <c r="X11" s="111">
        <f t="shared" si="0"/>
        <v>1512.5</v>
      </c>
      <c r="Y11" s="111">
        <f t="shared" si="0"/>
        <v>1512.5</v>
      </c>
      <c r="Z11" s="111">
        <f t="shared" si="0"/>
        <v>1512.5</v>
      </c>
      <c r="AA11" s="111">
        <f t="shared" si="0"/>
        <v>1512.5</v>
      </c>
      <c r="AB11" s="15">
        <f t="shared" si="22"/>
        <v>5.5096418732782371E-5</v>
      </c>
      <c r="AC11" s="247">
        <f>IFERROR(AB11*(0.0000000000028)*up_RadSpec!$AY11*up_RadSpec!$AF11,0)</f>
        <v>1.7046831955922868E-13</v>
      </c>
      <c r="AD11" s="40">
        <f>up_dir!BC11</f>
        <v>30250</v>
      </c>
      <c r="AE11" s="40">
        <f t="shared" si="1"/>
        <v>7562.5</v>
      </c>
      <c r="AF11" s="40">
        <f t="shared" si="2"/>
        <v>7562.5</v>
      </c>
      <c r="AG11" s="40">
        <f t="shared" si="3"/>
        <v>7562.5</v>
      </c>
      <c r="AH11" s="40">
        <f t="shared" si="4"/>
        <v>7562.5</v>
      </c>
      <c r="AI11" s="40">
        <f t="shared" si="5"/>
        <v>7562.5</v>
      </c>
      <c r="AJ11" s="40">
        <f t="shared" si="6"/>
        <v>7562.5</v>
      </c>
      <c r="AK11" s="40">
        <f t="shared" si="7"/>
        <v>7562.5</v>
      </c>
      <c r="AL11" s="40">
        <f t="shared" si="8"/>
        <v>7562.5</v>
      </c>
      <c r="AM11" s="40">
        <f t="shared" si="9"/>
        <v>7562.5</v>
      </c>
      <c r="AN11" s="40">
        <f t="shared" si="10"/>
        <v>7562.5</v>
      </c>
      <c r="AO11" s="40">
        <f t="shared" si="11"/>
        <v>7562.5</v>
      </c>
      <c r="AP11" s="45">
        <f>IFERROR((s_DL/(up_RadSpec!E11*s_IFS_far_adj*(1/1000)))*1,".")</f>
        <v>0.33057851239669422</v>
      </c>
      <c r="AQ11" s="45">
        <f>IFERROR(IF(A11="H-3",(s_DL/(up_RadSpec!H11*s_IFA_far_adj*(1/17)*1000))*1,(s_DL/(up_RadSpec!H11*s_IFA_far_adj*(1/s_PEF_wind)*1000))*1),".")</f>
        <v>3089.9917851942919</v>
      </c>
      <c r="AR11" s="45">
        <f>IFERROR((s_DL/(up_RadSpec!G11*s_EF_far*(1/365)*1*up_RadSpec!R11*((s_ET_far_o*(1/24)*up_RadSpec!W11)+(s_ET_far_i*(1/24)*up_RadSpec!AB11))))*1,".")</f>
        <v>619.88011988011999</v>
      </c>
      <c r="AS11" s="45">
        <f>up_b2s!BC11</f>
        <v>3.2968835384132272E-5</v>
      </c>
      <c r="AT11" s="45">
        <f>IFERROR(((J11*up_RadSpec!AU11)/up_RadSpec!AJ11)*1,".")</f>
        <v>6.6115702479338848E-4</v>
      </c>
      <c r="AU11" s="45">
        <f>IFERROR(((K11*up_RadSpec!AU11)/up_RadSpec!AK11)*1,".")</f>
        <v>6.6115702479338848E-4</v>
      </c>
      <c r="AV11" s="45">
        <f>IFERROR((G11/(up_RadSpec!AI11*((s_Q_p_beef*s_f_p_beef*s_f_s_beef*(up_RadSpec!BD11+s_R_es_past))+(s_Q_s_beef*s_f_p_beef))))*1,".")</f>
        <v>1.8558793678410905E-7</v>
      </c>
      <c r="AW11" s="45">
        <f>IFERROR(((H11*s_D_milk)/(up_RadSpec!AH11*((s_Q_p_dairy*s_f_p_dairy*s_f_s_dairy*(up_RadSpec!BD11+s_R_es_past))+(s_Q_s_dairy*s_f_p_dairy))))*1,".")</f>
        <v>1.9115557488763231E-7</v>
      </c>
      <c r="AX11" s="45">
        <f>IFERROR((I11/(up_RadSpec!AN11*((s_Q_p_swine*s_f_p_swine*s_f_s_swine*(up_RadSpec!BD11+s_R_es_past))+(s_Q_s_swine*s_f_p_swine))))*1,".")</f>
        <v>1.8558793678410905E-7</v>
      </c>
      <c r="AY11" s="45">
        <f>IFERROR((E11/(up_RadSpec!AL11*((s_Q_p_poultry*s_f_p_poultry*s_f_s_poultry*(up_RadSpec!BD11+s_R_es_past))+(s_Q_s_poultry*s_f_p_poultry))))*1,".")</f>
        <v>1.8558793678410905E-7</v>
      </c>
      <c r="AZ11" s="45">
        <f>IFERROR((F11/(up_RadSpec!AM11*((s_Q_p_poultry*s_f_p_poultry*s_f_s_poultry*(up_RadSpec!BD11+s_R_es_past))+(s_Q_s_poultry*s_f_p_poultry))))*1,".")</f>
        <v>1.8558793678410905E-7</v>
      </c>
      <c r="BA11" s="45">
        <f>IFERROR((L11/(up_RadSpec!AQ11*((s_Q_p_goat*s_f_p_goat*s_f_s_goat*(up_RadSpec!BD11+s_R_es_past))+(s_Q_s_goat*s_f_p_goat))))*1,".")</f>
        <v>1.8558793678410905E-7</v>
      </c>
      <c r="BB11" s="45">
        <f>IFERROR((N11*s_D_milk/(up_RadSpec!AR11*((s_Q_p_goat_milk*s_f_p_goat_milk*s_f_s_goat_milk*(up_RadSpec!BD11+s_R_es_past))+(s_Q_s_goat_milk*s_f_p_goat_milk))))*1,".")</f>
        <v>1.9115557488763231E-7</v>
      </c>
      <c r="BC11" s="45">
        <f>IFERROR((M11/(up_RadSpec!AO11*((s_Q_p_sheep*s_f_p_sheep*s_f_s_sheep*(up_RadSpec!BD11+s_R_es_past))+(s_Q_s_sheep*s_f_p_sheep))))*1,".")</f>
        <v>1.8558793678410905E-7</v>
      </c>
      <c r="BD11" s="45">
        <f>IFERROR((O11*s_D_milk/(up_RadSpec!AP11*((s_Q_p_sheep_milk*s_f_p_sheep_milk*s_f_s_sheep_milk*(up_RadSpec!BD11+s_R_es_past))+(s_Q_s_sheep_milk*s_f_p_sheep_milk))))*1,".")</f>
        <v>1.9115557488763231E-7</v>
      </c>
      <c r="BE11" s="111">
        <f t="shared" si="12"/>
        <v>3.0249999999999999</v>
      </c>
      <c r="BF11" s="111">
        <f t="shared" si="12"/>
        <v>3.236254558317935E-4</v>
      </c>
      <c r="BG11" s="111">
        <f t="shared" si="12"/>
        <v>1.6132151490733278E-3</v>
      </c>
      <c r="BH11" s="111">
        <f t="shared" si="12"/>
        <v>30331.674999999992</v>
      </c>
      <c r="BI11" s="111">
        <f t="shared" si="12"/>
        <v>1512.5</v>
      </c>
      <c r="BJ11" s="111">
        <f t="shared" si="12"/>
        <v>1512.5</v>
      </c>
      <c r="BK11" s="111">
        <f t="shared" si="12"/>
        <v>5388281.2499999991</v>
      </c>
      <c r="BL11" s="111">
        <f t="shared" si="12"/>
        <v>5231341.0194174759</v>
      </c>
      <c r="BM11" s="111">
        <f t="shared" si="12"/>
        <v>5388281.2499999991</v>
      </c>
      <c r="BN11" s="111">
        <f t="shared" si="12"/>
        <v>5388281.2499999991</v>
      </c>
      <c r="BO11" s="111">
        <f t="shared" si="12"/>
        <v>5388281.2499999991</v>
      </c>
      <c r="BP11" s="111">
        <f t="shared" si="12"/>
        <v>5388281.2499999991</v>
      </c>
      <c r="BQ11" s="111">
        <f t="shared" si="12"/>
        <v>5231341.0194174759</v>
      </c>
      <c r="BR11" s="111">
        <f t="shared" si="12"/>
        <v>5388281.2499999991</v>
      </c>
      <c r="BS11" s="111">
        <f t="shared" si="12"/>
        <v>5231341.0194174759</v>
      </c>
      <c r="BT11" s="15">
        <f t="shared" si="23"/>
        <v>2.0808592670877097E-8</v>
      </c>
      <c r="BU11" s="189">
        <f>IFERROR(BT11*(0.0000000000028)*up_RadSpec!$AY11*up_RadSpec!$AF11,0)</f>
        <v>6.4381785723693744E-17</v>
      </c>
      <c r="BV11" s="40">
        <f t="shared" si="13"/>
        <v>15.125</v>
      </c>
      <c r="BW11" s="40">
        <f t="shared" si="14"/>
        <v>1.6181272791589674E-3</v>
      </c>
      <c r="BX11" s="40">
        <f>IFERROR((s_C*s_EF_far*(1/365)*1*up_RadSpec!R11*((s_ET_far_o*(1/24)*up_RadSpec!W11)+(s_ET_far_i*(1/24)*up_RadSpec!AB11))),".")</f>
        <v>8.0660757453666389E-3</v>
      </c>
      <c r="BY11" s="40">
        <f>up_b2s!CC11</f>
        <v>151658.375</v>
      </c>
      <c r="BZ11" s="40">
        <f>IFERROR(((s_C*up_RadSpec!AJ11)/up_RadSpec!AU11)*s_IFFI_far_adj*s_CF_far_fish,0)</f>
        <v>7562.5</v>
      </c>
      <c r="CA11" s="40">
        <f>IFERROR(((s_C*up_RadSpec!AK11)/up_RadSpec!AU11)*s_IFSF_far_adj*s_CF_far_shellfish,0)</f>
        <v>7562.5</v>
      </c>
      <c r="CB11" s="40">
        <f>(s_C*s_IFB_far_adj*s_CF_far_beef*up_RadSpec!AI11*((s_Q_p_beef*s_f_p_beef*s_f_s_beef*(up_RadSpec!$AT11+s_R_es_past))+(s_Q_s_beef*s_f_p_beef)))</f>
        <v>26941406.25</v>
      </c>
      <c r="CC11" s="40">
        <f>(s_C*s_IFD_far_adj*s_CF_far_dairy*up_RadSpec!AH11*1/s_D_milk*((s_Q_p_dairy*s_f_p_dairy*s_f_s_dairy*(up_RadSpec!$AT11+s_R_es_past))+(s_Q_s_dairy*s_f_p_dairy)))</f>
        <v>26156705.09708738</v>
      </c>
      <c r="CD11" s="40">
        <f>IFERROR((s_C*s_IFSW_far_adj*s_CF_far_swine*up_RadSpec!AN11*((s_Q_p_swine*s_f_p_swine*s_f_s_swine*(up_RadSpec!$AT11+s_R_es_past))+(s_Q_s_swine*s_f_p_swine))),0)</f>
        <v>26941406.25</v>
      </c>
      <c r="CE11" s="40">
        <f>IFERROR((s_C*s_IFP_far_adj*s_CF_far_poultry*up_RadSpec!AL11*((s_Q_p_poultry*s_f_p_poultry*s_f_s_poultry*(up_RadSpec!AT11+s_R_es_past))+(s_Q_s_poultry*s_f_p_poultry))),0)</f>
        <v>26941406.25</v>
      </c>
      <c r="CF11" s="40">
        <f>IFERROR((s_C*s_IFE_far_adj*s_CF_far_egg*up_RadSpec!AM11*((s_Q_p_egg*s_f_p_egg*s_f_s_egg*(up_RadSpec!$AT11+s_R_es_past))+(s_Q_s_egg*s_f_p_egg))),0)</f>
        <v>26941406.25</v>
      </c>
      <c r="CG11" s="40">
        <f>IFERROR((s_C*s_IFGO_far_adj*s_CF_far_goat*up_RadSpec!AQ11*((s_Q_p_goat*s_f_p_goat*s_f_s_goat*(up_RadSpec!$AT11+s_R_es_past))+(s_Q_s_goat*s_f_p_goat))),0)</f>
        <v>26941406.25</v>
      </c>
      <c r="CH11" s="40">
        <f>IFERROR((s_C*s_IFGM_far_adj*s_CF_far_goat_milk*up_RadSpec!AR11*1/s_D_milk*((s_Q_p_goat_milk*s_f_p_goat_milk*s_f_s_goat_milk*(up_RadSpec!$AT11+s_R_es_past))+(s_Q_s_goat_milk*s_f_p_goat_milk))),0)</f>
        <v>26156705.09708738</v>
      </c>
      <c r="CI11" s="40">
        <f>IFERROR((s_C*s_IFSH_far_adj*s_CF_far_sheep*up_RadSpec!AO11*((s_Q_p_sheep*s_f_p_sheep*s_f_s_sheep*(up_RadSpec!$AT11+s_R_es_past))+(s_Q_s_sheep*s_f_p_sheep))),0)</f>
        <v>26941406.25</v>
      </c>
      <c r="CJ11" s="40">
        <f>IFERROR((s_C*s_IFSM_far_adj*s_CF_far_sheep_milk*up_RadSpec!AP11*1/s_D_milk*((s_Q_p_sheep_milk*s_f_p_sheep_milk*s_f_s_sheep_milk*(up_RadSpec!$AT11+s_R_es_past))+(s_Q_s_sheep_milk*s_f_p_sheep_milk))),0)</f>
        <v>26156705.09708738</v>
      </c>
      <c r="CK11" s="18"/>
      <c r="CL11" s="15">
        <f>IFERROR(s_DL/(up_RadSpec!I11*s_IFW_far_adj),".")</f>
        <v>3.6363636363636364E-3</v>
      </c>
      <c r="CM11" s="15" t="str">
        <f>IFERROR(IF(AND(up_RadSpec!C11=1,up_RadSpec!D11&lt;&gt;0),s_DL/(up_RadSpec!H11*s_IFA_far_adj*s_K*up_RadSpec!D11),"."),".")</f>
        <v>.</v>
      </c>
      <c r="CN11" s="15">
        <f>IFERROR((s_DL/(up_RadSpec!M11*(1/8760)*s_DFA_far_adj)),".")</f>
        <v>39.81818181818182</v>
      </c>
      <c r="CO11" s="15">
        <f>up_b2w!BC11</f>
        <v>1.6443412786038033E-4</v>
      </c>
      <c r="CP11" s="15">
        <f>IFERROR(J11/(up_RadSpec!AJ11*(1/1000)),".")</f>
        <v>0.13223140495867769</v>
      </c>
      <c r="CQ11" s="15">
        <f>IFERROR(K11/(up_RadSpec!AK11*(1/1000)),".")</f>
        <v>0.13223140495867769</v>
      </c>
      <c r="CR11" s="15">
        <f>IFERROR(G11/(up_RadSpec!AI11*s_Q_w_beef*(1/1000)),".")</f>
        <v>2.6446280991735537E-2</v>
      </c>
      <c r="CS11" s="15">
        <f>IFERROR((H11*s_D_milk)/(up_RadSpec!AH11*s_Q_w_dairy*(1/1000)),".")</f>
        <v>2.7239669421487603E-2</v>
      </c>
      <c r="CT11" s="15">
        <f>IFERROR(I11/(up_RadSpec!AN11*s_Q_w_swine*(1/1000)),".")</f>
        <v>2.6446280991735537E-2</v>
      </c>
      <c r="CU11" s="15">
        <f>IFERROR(E11/(up_RadSpec!AL11*s_Q_w_poultry*(1/1000)),".")</f>
        <v>2.6446280991735537E-2</v>
      </c>
      <c r="CV11" s="15">
        <f>IFERROR(F11/(up_RadSpec!AM11*s_Q_w_poultry*(1/1000)),".")</f>
        <v>2.6446280991735537E-2</v>
      </c>
      <c r="CW11" s="15">
        <f>IFERROR(L11/(up_RadSpec!AQ11*s_Q_w_goat*(1/1000)),".")</f>
        <v>2.6446280991735537E-2</v>
      </c>
      <c r="CX11" s="15">
        <f>IFERROR(N11*s_D_milk/(up_RadSpec!AR11*s_Q_w_goat_milk*(1/1000)),".")</f>
        <v>2.7239669421487603E-2</v>
      </c>
      <c r="CY11" s="15">
        <f>IFERROR(M11/(up_RadSpec!AO11*s_Q_w_sheep*(1/1000)),".")</f>
        <v>2.6446280991735537E-2</v>
      </c>
      <c r="CZ11" s="15">
        <f>IFERROR(O11*s_D_milk/(up_RadSpec!AP11*s_Q_w_sheep_milk*(1/1000)),".")</f>
        <v>2.7239669421487603E-2</v>
      </c>
      <c r="DA11" s="111">
        <f t="shared" si="15"/>
        <v>275</v>
      </c>
      <c r="DB11" s="111" t="str">
        <f t="shared" si="15"/>
        <v>.</v>
      </c>
      <c r="DC11" s="111">
        <f t="shared" si="15"/>
        <v>2.5114155251141551E-2</v>
      </c>
      <c r="DD11" s="111">
        <f t="shared" si="15"/>
        <v>6081.4626076229861</v>
      </c>
      <c r="DE11" s="111">
        <f t="shared" si="15"/>
        <v>7.5625</v>
      </c>
      <c r="DF11" s="111">
        <f t="shared" si="15"/>
        <v>7.5625</v>
      </c>
      <c r="DG11" s="111">
        <f t="shared" si="15"/>
        <v>37.8125</v>
      </c>
      <c r="DH11" s="111">
        <f t="shared" si="15"/>
        <v>36.711165048543691</v>
      </c>
      <c r="DI11" s="111">
        <f t="shared" si="15"/>
        <v>37.8125</v>
      </c>
      <c r="DJ11" s="111">
        <f t="shared" si="15"/>
        <v>37.8125</v>
      </c>
      <c r="DK11" s="111">
        <f t="shared" si="15"/>
        <v>37.8125</v>
      </c>
      <c r="DL11" s="111">
        <f t="shared" si="15"/>
        <v>37.8125</v>
      </c>
      <c r="DM11" s="111">
        <f t="shared" si="15"/>
        <v>36.711165048543691</v>
      </c>
      <c r="DN11" s="111">
        <f t="shared" si="15"/>
        <v>37.8125</v>
      </c>
      <c r="DO11" s="111">
        <f t="shared" si="15"/>
        <v>36.711165048543691</v>
      </c>
      <c r="DP11" s="15">
        <f t="shared" si="24"/>
        <v>1.4906192608956598E-4</v>
      </c>
      <c r="DQ11" s="189">
        <f>DP11*(0.0000000000000028)*up_RadSpec!$AY11*up_RadSpec!$AF11</f>
        <v>4.6119759932111717E-16</v>
      </c>
      <c r="DR11" s="40">
        <f t="shared" si="16"/>
        <v>1375</v>
      </c>
      <c r="DS11" s="40">
        <f>IFERROR(IF(up_RadSpec!D11&lt;&gt;"",s_C*s_IFA_far_adj*s_K*up_RadSpec!D11,0),".")</f>
        <v>0</v>
      </c>
      <c r="DT11" s="40">
        <f t="shared" si="17"/>
        <v>0.12557077625570776</v>
      </c>
      <c r="DU11" s="40">
        <f>up_b2w!CC11</f>
        <v>30407.313038114935</v>
      </c>
      <c r="DV11" s="40">
        <f>IFERROR(s_C*up_RadSpec!AJ11*(1/1000)*s_IFFI_far_adj*s_CF_far_fish,0)</f>
        <v>37.8125</v>
      </c>
      <c r="DW11" s="40">
        <f>IFERROR(s_C*up_RadSpec!AK11*(1/1000)*s_IFSF_far_adj*s_CF_far_shellfish,0)</f>
        <v>37.8125</v>
      </c>
      <c r="DX11" s="40">
        <f>(s_C*s_IFB_far_adj*s_CF_far_beef*up_RadSpec!AI11*s_Q_w_beef*(1/1000))</f>
        <v>189.0625</v>
      </c>
      <c r="DY11" s="40">
        <f>(s_C*s_IFD_far_adj*s_CF_far_dairy*up_RadSpec!AH11*(1/s_D_milk)*s_Q_w_dairy*(1/1000))</f>
        <v>183.55582524271844</v>
      </c>
      <c r="DZ11" s="40">
        <f>IFERROR((s_C*s_IFSW_far_adj*s_CF_far_swine*up_RadSpec!AN11*s_Q_w_swine*(1/1000)),0)</f>
        <v>189.0625</v>
      </c>
      <c r="EA11" s="40">
        <f>IFERROR((s_C*s_IFP_far_adj*s_CF_far_poultry*up_RadSpec!AL11*s_Q_w_poultry*(1/1000)),0)</f>
        <v>189.0625</v>
      </c>
      <c r="EB11" s="40">
        <f>IFERROR((s_C*s_IFE_far_adj*s_CF_far_egg*up_RadSpec!AM11*s_Q_w_egg*(1/1000)),0)</f>
        <v>189.0625</v>
      </c>
      <c r="EC11" s="40">
        <f>IFERROR((s_C*s_IFGO_far_adj*s_CF_far_goat*up_RadSpec!AQ11*s_Q_p_goat*(1/1000)),0)</f>
        <v>189.0625</v>
      </c>
      <c r="ED11" s="40">
        <f>IFERROR((s_C*s_IFGM_far_adj*s_CF_far_goat_milk*up_RadSpec!AR11*(1/s_D_milk)*s_Q_p_goat_milk*(1/1000)),0)</f>
        <v>183.55582524271844</v>
      </c>
      <c r="EE11" s="40">
        <f>IFERROR((s_C*s_IFSH_far_adj*s_CF_far_sheep*up_RadSpec!AO11*s_Q_p_sheep*(1/1000)),0)</f>
        <v>189.0625</v>
      </c>
      <c r="EF11" s="40">
        <f>IFERROR((s_C*s_IFSM_far_adj*s_CF_far_sheep_milk*up_RadSpec!AP11*(1/s_D_milk)*s_Q_p_sheep_milk*(1/1000)),0)</f>
        <v>183.55582524271844</v>
      </c>
      <c r="EG11" s="5"/>
      <c r="EH11" s="15">
        <f>IFERROR((s_DL/(up_RadSpec!H11*s_IFA_far_adj)),".")</f>
        <v>9.9740259740259754E-3</v>
      </c>
      <c r="EI11" s="15">
        <f>IFERROR((s_DL/(up_RadSpec!K11*s_EF_far*(1/365)*1*s_ET_far*(1/24)*s_GSF_a)),".")</f>
        <v>63.709090909090911</v>
      </c>
      <c r="EJ11" s="15">
        <f t="shared" si="25"/>
        <v>9.9724647271019675E-3</v>
      </c>
      <c r="EK11" s="189">
        <f>EJ11*(0.0000000000000028)*up_RadSpec!$AY11*up_RadSpec!$AF11</f>
        <v>3.0854805865653487E-14</v>
      </c>
      <c r="EL11" s="40">
        <f t="shared" si="19"/>
        <v>501.30208333333326</v>
      </c>
      <c r="EM11" s="40">
        <f t="shared" si="20"/>
        <v>7.8481735159817351E-2</v>
      </c>
      <c r="EN11" s="113"/>
    </row>
    <row r="12" spans="1:144" customFormat="1" x14ac:dyDescent="0.25">
      <c r="A12" s="44" t="s">
        <v>10</v>
      </c>
      <c r="B12" s="42" t="s">
        <v>1057</v>
      </c>
      <c r="C12" s="238"/>
      <c r="D12" s="15">
        <f>up_dir!AC12</f>
        <v>1.6528925619834712E-4</v>
      </c>
      <c r="E12" s="15">
        <f>IFERROR(s_DL/(up_RadSpec!F12*s_IFP_far_adj*s_CF_far_poultry),".")</f>
        <v>6.6115702479338848E-4</v>
      </c>
      <c r="F12" s="15">
        <f>IFERROR(s_DL/(up_RadSpec!F12*s_IFE_far_adj*s_CF_far_egg),".")</f>
        <v>6.6115702479338848E-4</v>
      </c>
      <c r="G12" s="15">
        <f>IFERROR(s_DL/(up_RadSpec!F12*s_IFB_far_adj*s_CF_far_beef),".")</f>
        <v>6.6115702479338848E-4</v>
      </c>
      <c r="H12" s="15">
        <f>IFERROR(s_DL/(up_RadSpec!F12*s_IFD_far_adj*s_CF_far_dairy),".")</f>
        <v>6.6115702479338848E-4</v>
      </c>
      <c r="I12" s="15">
        <f>IFERROR(s_DL/(up_RadSpec!F12*s_IFSW_far_adj*s_CF_far_swine),".")</f>
        <v>6.6115702479338848E-4</v>
      </c>
      <c r="J12" s="15">
        <f>IFERROR(s_DL/(up_RadSpec!F12*s_IFFI_far_adj*s_CF_far_fish),".")</f>
        <v>6.6115702479338848E-4</v>
      </c>
      <c r="K12" s="15">
        <f>IFERROR(s_DL/(up_RadSpec!F12*s_IFSF_far_adj*s_CF_far_shellfish),".")</f>
        <v>6.6115702479338848E-4</v>
      </c>
      <c r="L12" s="15">
        <f>IFERROR(s_DL/(up_RadSpec!F12*s_IFGO_far_adj*s_CF_far_goat),".")</f>
        <v>6.6115702479338848E-4</v>
      </c>
      <c r="M12" s="15">
        <f>IFERROR(s_DL/(up_RadSpec!F12*s_IFSH_far_adj*s_CF_far_sheep),".")</f>
        <v>6.6115702479338848E-4</v>
      </c>
      <c r="N12" s="15">
        <f>IFERROR(s_DL/(up_RadSpec!F12*s_IFGM_far_adj*s_CF_far_goat_milk),".")</f>
        <v>6.6115702479338848E-4</v>
      </c>
      <c r="O12" s="15">
        <f>IFERROR(s_DL/(up_RadSpec!F12*s_IFSM_far_adj*s_CF_far_sheep_milk),".")</f>
        <v>6.6115702479338848E-4</v>
      </c>
      <c r="P12" s="111">
        <f t="shared" si="21"/>
        <v>1512.5</v>
      </c>
      <c r="Q12" s="111">
        <f t="shared" si="21"/>
        <v>1512.5</v>
      </c>
      <c r="R12" s="111">
        <f t="shared" si="21"/>
        <v>1512.5</v>
      </c>
      <c r="S12" s="111">
        <f t="shared" si="21"/>
        <v>1512.5</v>
      </c>
      <c r="T12" s="111">
        <f t="shared" si="21"/>
        <v>1512.5</v>
      </c>
      <c r="U12" s="111">
        <f t="shared" si="21"/>
        <v>1512.5</v>
      </c>
      <c r="V12" s="111">
        <f t="shared" si="21"/>
        <v>1512.5</v>
      </c>
      <c r="W12" s="111">
        <f t="shared" si="21"/>
        <v>1512.5</v>
      </c>
      <c r="X12" s="111">
        <f t="shared" si="0"/>
        <v>1512.5</v>
      </c>
      <c r="Y12" s="111">
        <f t="shared" si="0"/>
        <v>1512.5</v>
      </c>
      <c r="Z12" s="111">
        <f t="shared" si="0"/>
        <v>1512.5</v>
      </c>
      <c r="AA12" s="111">
        <f t="shared" si="0"/>
        <v>1512.5</v>
      </c>
      <c r="AB12" s="15">
        <f t="shared" si="22"/>
        <v>5.5096418732782371E-5</v>
      </c>
      <c r="AC12" s="247">
        <f>IFERROR(AB12*(0.0000000000028)*up_RadSpec!$AY12*up_RadSpec!$AF12,0)</f>
        <v>1.5889807162534439E-13</v>
      </c>
      <c r="AD12" s="40">
        <f>up_dir!BC12</f>
        <v>30250</v>
      </c>
      <c r="AE12" s="40">
        <f t="shared" si="1"/>
        <v>7562.5</v>
      </c>
      <c r="AF12" s="40">
        <f t="shared" si="2"/>
        <v>7562.5</v>
      </c>
      <c r="AG12" s="40">
        <f t="shared" si="3"/>
        <v>7562.5</v>
      </c>
      <c r="AH12" s="40">
        <f t="shared" si="4"/>
        <v>7562.5</v>
      </c>
      <c r="AI12" s="40">
        <f t="shared" si="5"/>
        <v>7562.5</v>
      </c>
      <c r="AJ12" s="40">
        <f t="shared" si="6"/>
        <v>7562.5</v>
      </c>
      <c r="AK12" s="40">
        <f t="shared" si="7"/>
        <v>7562.5</v>
      </c>
      <c r="AL12" s="40">
        <f t="shared" si="8"/>
        <v>7562.5</v>
      </c>
      <c r="AM12" s="40">
        <f t="shared" si="9"/>
        <v>7562.5</v>
      </c>
      <c r="AN12" s="40">
        <f t="shared" si="10"/>
        <v>7562.5</v>
      </c>
      <c r="AO12" s="40">
        <f t="shared" si="11"/>
        <v>7562.5</v>
      </c>
      <c r="AP12" s="45">
        <f>IFERROR((s_DL/(up_RadSpec!E12*s_IFS_far_adj*(1/1000)))*1,".")</f>
        <v>0.33057851239669422</v>
      </c>
      <c r="AQ12" s="45">
        <f>IFERROR(IF(A12="H-3",(s_DL/(up_RadSpec!H12*s_IFA_far_adj*(1/17)*1000))*1,(s_DL/(up_RadSpec!H12*s_IFA_far_adj*(1/s_PEF_wind)*1000))*1),".")</f>
        <v>3089.9917851942919</v>
      </c>
      <c r="AR12" s="45">
        <f>IFERROR((s_DL/(up_RadSpec!G12*s_EF_far*(1/365)*1*up_RadSpec!R12*((s_ET_far_o*(1/24)*up_RadSpec!W12)+(s_ET_far_i*(1/24)*up_RadSpec!AB12))))*1,".")</f>
        <v>297.00857632933105</v>
      </c>
      <c r="AS12" s="45">
        <f>up_b2s!BC12</f>
        <v>3.2968835384132272E-5</v>
      </c>
      <c r="AT12" s="45">
        <f>IFERROR(((J12*up_RadSpec!AU12)/up_RadSpec!AJ12)*1,".")</f>
        <v>6.6115702479338848E-4</v>
      </c>
      <c r="AU12" s="45">
        <f>IFERROR(((K12*up_RadSpec!AU12)/up_RadSpec!AK12)*1,".")</f>
        <v>6.6115702479338848E-4</v>
      </c>
      <c r="AV12" s="45">
        <f>IFERROR((G12/(up_RadSpec!AI12*((s_Q_p_beef*s_f_p_beef*s_f_s_beef*(up_RadSpec!BD12+s_R_es_past))+(s_Q_s_beef*s_f_p_beef))))*1,".")</f>
        <v>1.8558793678410905E-7</v>
      </c>
      <c r="AW12" s="45">
        <f>IFERROR(((H12*s_D_milk)/(up_RadSpec!AH12*((s_Q_p_dairy*s_f_p_dairy*s_f_s_dairy*(up_RadSpec!BD12+s_R_es_past))+(s_Q_s_dairy*s_f_p_dairy))))*1,".")</f>
        <v>1.9115557488763231E-7</v>
      </c>
      <c r="AX12" s="45">
        <f>IFERROR((I12/(up_RadSpec!AN12*((s_Q_p_swine*s_f_p_swine*s_f_s_swine*(up_RadSpec!BD12+s_R_es_past))+(s_Q_s_swine*s_f_p_swine))))*1,".")</f>
        <v>1.8558793678410905E-7</v>
      </c>
      <c r="AY12" s="45">
        <f>IFERROR((E12/(up_RadSpec!AL12*((s_Q_p_poultry*s_f_p_poultry*s_f_s_poultry*(up_RadSpec!BD12+s_R_es_past))+(s_Q_s_poultry*s_f_p_poultry))))*1,".")</f>
        <v>1.8558793678410905E-7</v>
      </c>
      <c r="AZ12" s="45">
        <f>IFERROR((F12/(up_RadSpec!AM12*((s_Q_p_poultry*s_f_p_poultry*s_f_s_poultry*(up_RadSpec!BD12+s_R_es_past))+(s_Q_s_poultry*s_f_p_poultry))))*1,".")</f>
        <v>1.8558793678410905E-7</v>
      </c>
      <c r="BA12" s="45">
        <f>IFERROR((L12/(up_RadSpec!AQ12*((s_Q_p_goat*s_f_p_goat*s_f_s_goat*(up_RadSpec!BD12+s_R_es_past))+(s_Q_s_goat*s_f_p_goat))))*1,".")</f>
        <v>1.8558793678410905E-7</v>
      </c>
      <c r="BB12" s="45">
        <f>IFERROR((N12*s_D_milk/(up_RadSpec!AR12*((s_Q_p_goat_milk*s_f_p_goat_milk*s_f_s_goat_milk*(up_RadSpec!BD12+s_R_es_past))+(s_Q_s_goat_milk*s_f_p_goat_milk))))*1,".")</f>
        <v>1.9115557488763231E-7</v>
      </c>
      <c r="BC12" s="45">
        <f>IFERROR((M12/(up_RadSpec!AO12*((s_Q_p_sheep*s_f_p_sheep*s_f_s_sheep*(up_RadSpec!BD12+s_R_es_past))+(s_Q_s_sheep*s_f_p_sheep))))*1,".")</f>
        <v>1.8558793678410905E-7</v>
      </c>
      <c r="BD12" s="45">
        <f>IFERROR((O12*s_D_milk/(up_RadSpec!AP12*((s_Q_p_sheep_milk*s_f_p_sheep_milk*s_f_s_sheep_milk*(up_RadSpec!BD12+s_R_es_past))+(s_Q_s_sheep_milk*s_f_p_sheep_milk))))*1,".")</f>
        <v>1.9115557488763231E-7</v>
      </c>
      <c r="BE12" s="111">
        <f t="shared" si="12"/>
        <v>3.0249999999999999</v>
      </c>
      <c r="BF12" s="111">
        <f t="shared" si="12"/>
        <v>3.236254558317935E-4</v>
      </c>
      <c r="BG12" s="111">
        <f t="shared" si="12"/>
        <v>3.3669061424380325E-3</v>
      </c>
      <c r="BH12" s="111">
        <f t="shared" si="12"/>
        <v>30331.674999999992</v>
      </c>
      <c r="BI12" s="111">
        <f t="shared" si="12"/>
        <v>1512.5</v>
      </c>
      <c r="BJ12" s="111">
        <f t="shared" si="12"/>
        <v>1512.5</v>
      </c>
      <c r="BK12" s="111">
        <f t="shared" si="12"/>
        <v>5388281.2499999991</v>
      </c>
      <c r="BL12" s="111">
        <f t="shared" si="12"/>
        <v>5231341.0194174759</v>
      </c>
      <c r="BM12" s="111">
        <f t="shared" si="12"/>
        <v>5388281.2499999991</v>
      </c>
      <c r="BN12" s="111">
        <f t="shared" si="12"/>
        <v>5388281.2499999991</v>
      </c>
      <c r="BO12" s="111">
        <f t="shared" si="12"/>
        <v>5388281.2499999991</v>
      </c>
      <c r="BP12" s="111">
        <f t="shared" si="12"/>
        <v>5388281.2499999991</v>
      </c>
      <c r="BQ12" s="111">
        <f t="shared" si="12"/>
        <v>5231341.0194174759</v>
      </c>
      <c r="BR12" s="111">
        <f t="shared" si="12"/>
        <v>5388281.2499999991</v>
      </c>
      <c r="BS12" s="111">
        <f t="shared" si="12"/>
        <v>5231341.0194174759</v>
      </c>
      <c r="BT12" s="15">
        <f t="shared" si="23"/>
        <v>2.0808592670117755E-8</v>
      </c>
      <c r="BU12" s="189">
        <f>IFERROR(BT12*(0.0000000000028)*up_RadSpec!$AY12*up_RadSpec!$AF12,0)</f>
        <v>6.001198126061961E-17</v>
      </c>
      <c r="BV12" s="40">
        <f t="shared" si="13"/>
        <v>15.125</v>
      </c>
      <c r="BW12" s="40">
        <f t="shared" si="14"/>
        <v>1.6181272791589674E-3</v>
      </c>
      <c r="BX12" s="40">
        <f>IFERROR((s_C*s_EF_far*(1/365)*1*up_RadSpec!R12*((s_ET_far_o*(1/24)*up_RadSpec!W12)+(s_ET_far_i*(1/24)*up_RadSpec!AB12))),".")</f>
        <v>1.6834530712190165E-2</v>
      </c>
      <c r="BY12" s="40">
        <f>up_b2s!CC12</f>
        <v>151658.375</v>
      </c>
      <c r="BZ12" s="40">
        <f>IFERROR(((s_C*up_RadSpec!AJ12)/up_RadSpec!AU12)*s_IFFI_far_adj*s_CF_far_fish,0)</f>
        <v>7562.5</v>
      </c>
      <c r="CA12" s="40">
        <f>IFERROR(((s_C*up_RadSpec!AK12)/up_RadSpec!AU12)*s_IFSF_far_adj*s_CF_far_shellfish,0)</f>
        <v>7562.5</v>
      </c>
      <c r="CB12" s="40">
        <f>(s_C*s_IFB_far_adj*s_CF_far_beef*up_RadSpec!AI12*((s_Q_p_beef*s_f_p_beef*s_f_s_beef*(up_RadSpec!$AT12+s_R_es_past))+(s_Q_s_beef*s_f_p_beef)))</f>
        <v>26941406.25</v>
      </c>
      <c r="CC12" s="40">
        <f>(s_C*s_IFD_far_adj*s_CF_far_dairy*up_RadSpec!AH12*1/s_D_milk*((s_Q_p_dairy*s_f_p_dairy*s_f_s_dairy*(up_RadSpec!$AT12+s_R_es_past))+(s_Q_s_dairy*s_f_p_dairy)))</f>
        <v>26156705.09708738</v>
      </c>
      <c r="CD12" s="40">
        <f>IFERROR((s_C*s_IFSW_far_adj*s_CF_far_swine*up_RadSpec!AN12*((s_Q_p_swine*s_f_p_swine*s_f_s_swine*(up_RadSpec!$AT12+s_R_es_past))+(s_Q_s_swine*s_f_p_swine))),0)</f>
        <v>26941406.25</v>
      </c>
      <c r="CE12" s="40">
        <f>IFERROR((s_C*s_IFP_far_adj*s_CF_far_poultry*up_RadSpec!AL12*((s_Q_p_poultry*s_f_p_poultry*s_f_s_poultry*(up_RadSpec!AT12+s_R_es_past))+(s_Q_s_poultry*s_f_p_poultry))),0)</f>
        <v>26941406.25</v>
      </c>
      <c r="CF12" s="40">
        <f>IFERROR((s_C*s_IFE_far_adj*s_CF_far_egg*up_RadSpec!AM12*((s_Q_p_egg*s_f_p_egg*s_f_s_egg*(up_RadSpec!$AT12+s_R_es_past))+(s_Q_s_egg*s_f_p_egg))),0)</f>
        <v>26941406.25</v>
      </c>
      <c r="CG12" s="40">
        <f>IFERROR((s_C*s_IFGO_far_adj*s_CF_far_goat*up_RadSpec!AQ12*((s_Q_p_goat*s_f_p_goat*s_f_s_goat*(up_RadSpec!$AT12+s_R_es_past))+(s_Q_s_goat*s_f_p_goat))),0)</f>
        <v>26941406.25</v>
      </c>
      <c r="CH12" s="40">
        <f>IFERROR((s_C*s_IFGM_far_adj*s_CF_far_goat_milk*up_RadSpec!AR12*1/s_D_milk*((s_Q_p_goat_milk*s_f_p_goat_milk*s_f_s_goat_milk*(up_RadSpec!$AT12+s_R_es_past))+(s_Q_s_goat_milk*s_f_p_goat_milk))),0)</f>
        <v>26156705.09708738</v>
      </c>
      <c r="CI12" s="40">
        <f>IFERROR((s_C*s_IFSH_far_adj*s_CF_far_sheep*up_RadSpec!AO12*((s_Q_p_sheep*s_f_p_sheep*s_f_s_sheep*(up_RadSpec!$AT12+s_R_es_past))+(s_Q_s_sheep*s_f_p_sheep))),0)</f>
        <v>26941406.25</v>
      </c>
      <c r="CJ12" s="40">
        <f>IFERROR((s_C*s_IFSM_far_adj*s_CF_far_sheep_milk*up_RadSpec!AP12*1/s_D_milk*((s_Q_p_sheep_milk*s_f_p_sheep_milk*s_f_s_sheep_milk*(up_RadSpec!$AT12+s_R_es_past))+(s_Q_s_sheep_milk*s_f_p_sheep_milk))),0)</f>
        <v>26156705.09708738</v>
      </c>
      <c r="CK12" s="18"/>
      <c r="CL12" s="15">
        <f>IFERROR(s_DL/(up_RadSpec!I12*s_IFW_far_adj),".")</f>
        <v>3.6363636363636364E-3</v>
      </c>
      <c r="CM12" s="15" t="str">
        <f>IFERROR(IF(AND(up_RadSpec!C12=1,up_RadSpec!D12&lt;&gt;0),s_DL/(up_RadSpec!H12*s_IFA_far_adj*s_K*up_RadSpec!D12),"."),".")</f>
        <v>.</v>
      </c>
      <c r="CN12" s="15">
        <f>IFERROR((s_DL/(up_RadSpec!M12*(1/8760)*s_DFA_far_adj)),".")</f>
        <v>39.81818181818182</v>
      </c>
      <c r="CO12" s="15">
        <f>up_b2w!BC12</f>
        <v>1.6443412786038033E-4</v>
      </c>
      <c r="CP12" s="15">
        <f>IFERROR(J12/(up_RadSpec!AJ12*(1/1000)),".")</f>
        <v>0.13223140495867769</v>
      </c>
      <c r="CQ12" s="15">
        <f>IFERROR(K12/(up_RadSpec!AK12*(1/1000)),".")</f>
        <v>0.13223140495867769</v>
      </c>
      <c r="CR12" s="15">
        <f>IFERROR(G12/(up_RadSpec!AI12*s_Q_w_beef*(1/1000)),".")</f>
        <v>2.6446280991735537E-2</v>
      </c>
      <c r="CS12" s="15">
        <f>IFERROR((H12*s_D_milk)/(up_RadSpec!AH12*s_Q_w_dairy*(1/1000)),".")</f>
        <v>2.7239669421487603E-2</v>
      </c>
      <c r="CT12" s="15">
        <f>IFERROR(I12/(up_RadSpec!AN12*s_Q_w_swine*(1/1000)),".")</f>
        <v>2.6446280991735537E-2</v>
      </c>
      <c r="CU12" s="15">
        <f>IFERROR(E12/(up_RadSpec!AL12*s_Q_w_poultry*(1/1000)),".")</f>
        <v>2.6446280991735537E-2</v>
      </c>
      <c r="CV12" s="15">
        <f>IFERROR(F12/(up_RadSpec!AM12*s_Q_w_poultry*(1/1000)),".")</f>
        <v>2.6446280991735537E-2</v>
      </c>
      <c r="CW12" s="15">
        <f>IFERROR(L12/(up_RadSpec!AQ12*s_Q_w_goat*(1/1000)),".")</f>
        <v>2.6446280991735537E-2</v>
      </c>
      <c r="CX12" s="15">
        <f>IFERROR(N12*s_D_milk/(up_RadSpec!AR12*s_Q_w_goat_milk*(1/1000)),".")</f>
        <v>2.7239669421487603E-2</v>
      </c>
      <c r="CY12" s="15">
        <f>IFERROR(M12/(up_RadSpec!AO12*s_Q_w_sheep*(1/1000)),".")</f>
        <v>2.6446280991735537E-2</v>
      </c>
      <c r="CZ12" s="15">
        <f>IFERROR(O12*s_D_milk/(up_RadSpec!AP12*s_Q_w_sheep_milk*(1/1000)),".")</f>
        <v>2.7239669421487603E-2</v>
      </c>
      <c r="DA12" s="111">
        <f t="shared" si="15"/>
        <v>275</v>
      </c>
      <c r="DB12" s="111" t="str">
        <f t="shared" si="15"/>
        <v>.</v>
      </c>
      <c r="DC12" s="111">
        <f t="shared" si="15"/>
        <v>2.5114155251141551E-2</v>
      </c>
      <c r="DD12" s="111">
        <f t="shared" si="15"/>
        <v>6081.4626076229861</v>
      </c>
      <c r="DE12" s="111">
        <f t="shared" si="15"/>
        <v>7.5625</v>
      </c>
      <c r="DF12" s="111">
        <f t="shared" si="15"/>
        <v>7.5625</v>
      </c>
      <c r="DG12" s="111">
        <f t="shared" si="15"/>
        <v>37.8125</v>
      </c>
      <c r="DH12" s="111">
        <f t="shared" si="15"/>
        <v>36.711165048543691</v>
      </c>
      <c r="DI12" s="111">
        <f t="shared" si="15"/>
        <v>37.8125</v>
      </c>
      <c r="DJ12" s="111">
        <f t="shared" si="15"/>
        <v>37.8125</v>
      </c>
      <c r="DK12" s="111">
        <f t="shared" si="15"/>
        <v>37.8125</v>
      </c>
      <c r="DL12" s="111">
        <f t="shared" si="15"/>
        <v>37.8125</v>
      </c>
      <c r="DM12" s="111">
        <f t="shared" si="15"/>
        <v>36.711165048543691</v>
      </c>
      <c r="DN12" s="111">
        <f t="shared" si="15"/>
        <v>37.8125</v>
      </c>
      <c r="DO12" s="111">
        <f t="shared" si="15"/>
        <v>36.711165048543691</v>
      </c>
      <c r="DP12" s="15">
        <f t="shared" si="24"/>
        <v>1.4906192608956598E-4</v>
      </c>
      <c r="DQ12" s="189">
        <f>DP12*(0.0000000000000028)*up_RadSpec!$AY12*up_RadSpec!$AF12</f>
        <v>4.2989459484230836E-16</v>
      </c>
      <c r="DR12" s="40">
        <f t="shared" si="16"/>
        <v>1375</v>
      </c>
      <c r="DS12" s="40">
        <f>IFERROR(IF(up_RadSpec!D12&lt;&gt;"",s_C*s_IFA_far_adj*s_K*up_RadSpec!D12,0),".")</f>
        <v>0</v>
      </c>
      <c r="DT12" s="40">
        <f t="shared" si="17"/>
        <v>0.12557077625570776</v>
      </c>
      <c r="DU12" s="40">
        <f>up_b2w!CC12</f>
        <v>30407.313038114935</v>
      </c>
      <c r="DV12" s="40">
        <f>IFERROR(s_C*up_RadSpec!AJ12*(1/1000)*s_IFFI_far_adj*s_CF_far_fish,0)</f>
        <v>37.8125</v>
      </c>
      <c r="DW12" s="40">
        <f>IFERROR(s_C*up_RadSpec!AK12*(1/1000)*s_IFSF_far_adj*s_CF_far_shellfish,0)</f>
        <v>37.8125</v>
      </c>
      <c r="DX12" s="40">
        <f>(s_C*s_IFB_far_adj*s_CF_far_beef*up_RadSpec!AI12*s_Q_w_beef*(1/1000))</f>
        <v>189.0625</v>
      </c>
      <c r="DY12" s="40">
        <f>(s_C*s_IFD_far_adj*s_CF_far_dairy*up_RadSpec!AH12*(1/s_D_milk)*s_Q_w_dairy*(1/1000))</f>
        <v>183.55582524271844</v>
      </c>
      <c r="DZ12" s="40">
        <f>IFERROR((s_C*s_IFSW_far_adj*s_CF_far_swine*up_RadSpec!AN12*s_Q_w_swine*(1/1000)),0)</f>
        <v>189.0625</v>
      </c>
      <c r="EA12" s="40">
        <f>IFERROR((s_C*s_IFP_far_adj*s_CF_far_poultry*up_RadSpec!AL12*s_Q_w_poultry*(1/1000)),0)</f>
        <v>189.0625</v>
      </c>
      <c r="EB12" s="40">
        <f>IFERROR((s_C*s_IFE_far_adj*s_CF_far_egg*up_RadSpec!AM12*s_Q_w_egg*(1/1000)),0)</f>
        <v>189.0625</v>
      </c>
      <c r="EC12" s="40">
        <f>IFERROR((s_C*s_IFGO_far_adj*s_CF_far_goat*up_RadSpec!AQ12*s_Q_p_goat*(1/1000)),0)</f>
        <v>189.0625</v>
      </c>
      <c r="ED12" s="40">
        <f>IFERROR((s_C*s_IFGM_far_adj*s_CF_far_goat_milk*up_RadSpec!AR12*(1/s_D_milk)*s_Q_p_goat_milk*(1/1000)),0)</f>
        <v>183.55582524271844</v>
      </c>
      <c r="EE12" s="40">
        <f>IFERROR((s_C*s_IFSH_far_adj*s_CF_far_sheep*up_RadSpec!AO12*s_Q_p_sheep*(1/1000)),0)</f>
        <v>189.0625</v>
      </c>
      <c r="EF12" s="40">
        <f>IFERROR((s_C*s_IFSM_far_adj*s_CF_far_sheep_milk*up_RadSpec!AP12*(1/s_D_milk)*s_Q_p_sheep_milk*(1/1000)),0)</f>
        <v>183.55582524271844</v>
      </c>
      <c r="EG12" s="5"/>
      <c r="EH12" s="15">
        <f>IFERROR((s_DL/(up_RadSpec!H12*s_IFA_far_adj)),".")</f>
        <v>9.9740259740259754E-3</v>
      </c>
      <c r="EI12" s="15">
        <f>IFERROR((s_DL/(up_RadSpec!K12*s_EF_far*(1/365)*1*s_ET_far*(1/24)*s_GSF_a)),".")</f>
        <v>63.709090909090911</v>
      </c>
      <c r="EJ12" s="15">
        <f t="shared" si="25"/>
        <v>9.9724647271019675E-3</v>
      </c>
      <c r="EK12" s="189">
        <f>EJ12*(0.0000000000000028)*up_RadSpec!$AY12*up_RadSpec!$AF12</f>
        <v>2.8760588272962077E-14</v>
      </c>
      <c r="EL12" s="40">
        <f t="shared" si="19"/>
        <v>501.30208333333326</v>
      </c>
      <c r="EM12" s="40">
        <f t="shared" si="20"/>
        <v>7.8481735159817351E-2</v>
      </c>
      <c r="EN12" s="113"/>
    </row>
    <row r="13" spans="1:144" customFormat="1" x14ac:dyDescent="0.25">
      <c r="A13" s="44" t="s">
        <v>11</v>
      </c>
      <c r="B13" s="42" t="s">
        <v>1057</v>
      </c>
      <c r="C13" s="42"/>
      <c r="D13" s="15">
        <f>up_dir!AC13</f>
        <v>1.6528925619834712E-4</v>
      </c>
      <c r="E13" s="15">
        <f>IFERROR(s_DL/(up_RadSpec!F13*s_IFP_far_adj*s_CF_far_poultry),".")</f>
        <v>6.6115702479338848E-4</v>
      </c>
      <c r="F13" s="15">
        <f>IFERROR(s_DL/(up_RadSpec!F13*s_IFE_far_adj*s_CF_far_egg),".")</f>
        <v>6.6115702479338848E-4</v>
      </c>
      <c r="G13" s="15">
        <f>IFERROR(s_DL/(up_RadSpec!F13*s_IFB_far_adj*s_CF_far_beef),".")</f>
        <v>6.6115702479338848E-4</v>
      </c>
      <c r="H13" s="15">
        <f>IFERROR(s_DL/(up_RadSpec!F13*s_IFD_far_adj*s_CF_far_dairy),".")</f>
        <v>6.6115702479338848E-4</v>
      </c>
      <c r="I13" s="15">
        <f>IFERROR(s_DL/(up_RadSpec!F13*s_IFSW_far_adj*s_CF_far_swine),".")</f>
        <v>6.6115702479338848E-4</v>
      </c>
      <c r="J13" s="15">
        <f>IFERROR(s_DL/(up_RadSpec!F13*s_IFFI_far_adj*s_CF_far_fish),".")</f>
        <v>6.6115702479338848E-4</v>
      </c>
      <c r="K13" s="15">
        <f>IFERROR(s_DL/(up_RadSpec!F13*s_IFSF_far_adj*s_CF_far_shellfish),".")</f>
        <v>6.6115702479338848E-4</v>
      </c>
      <c r="L13" s="15">
        <f>IFERROR(s_DL/(up_RadSpec!F13*s_IFGO_far_adj*s_CF_far_goat),".")</f>
        <v>6.6115702479338848E-4</v>
      </c>
      <c r="M13" s="15">
        <f>IFERROR(s_DL/(up_RadSpec!F13*s_IFSH_far_adj*s_CF_far_sheep),".")</f>
        <v>6.6115702479338848E-4</v>
      </c>
      <c r="N13" s="15">
        <f>IFERROR(s_DL/(up_RadSpec!F13*s_IFGM_far_adj*s_CF_far_goat_milk),".")</f>
        <v>6.6115702479338848E-4</v>
      </c>
      <c r="O13" s="15">
        <f>IFERROR(s_DL/(up_RadSpec!F13*s_IFSM_far_adj*s_CF_far_sheep_milk),".")</f>
        <v>6.6115702479338848E-4</v>
      </c>
      <c r="P13" s="111">
        <f t="shared" si="21"/>
        <v>1512.5</v>
      </c>
      <c r="Q13" s="111">
        <f t="shared" si="21"/>
        <v>1512.5</v>
      </c>
      <c r="R13" s="111">
        <f t="shared" si="21"/>
        <v>1512.5</v>
      </c>
      <c r="S13" s="111">
        <f t="shared" si="21"/>
        <v>1512.5</v>
      </c>
      <c r="T13" s="111">
        <f t="shared" si="21"/>
        <v>1512.5</v>
      </c>
      <c r="U13" s="111">
        <f t="shared" si="21"/>
        <v>1512.5</v>
      </c>
      <c r="V13" s="111">
        <f t="shared" si="21"/>
        <v>1512.5</v>
      </c>
      <c r="W13" s="111">
        <f t="shared" si="21"/>
        <v>1512.5</v>
      </c>
      <c r="X13" s="111">
        <f t="shared" si="0"/>
        <v>1512.5</v>
      </c>
      <c r="Y13" s="111">
        <f t="shared" si="0"/>
        <v>1512.5</v>
      </c>
      <c r="Z13" s="111">
        <f t="shared" si="0"/>
        <v>1512.5</v>
      </c>
      <c r="AA13" s="111">
        <f t="shared" si="0"/>
        <v>1512.5</v>
      </c>
      <c r="AB13" s="15">
        <f t="shared" si="22"/>
        <v>5.5096418732782371E-5</v>
      </c>
      <c r="AC13" s="247">
        <f>IFERROR(AB13*(0.0000000000028)*up_RadSpec!$AY13*up_RadSpec!$AF13,0)</f>
        <v>1.8280991735537193E-13</v>
      </c>
      <c r="AD13" s="40">
        <f>up_dir!BC13</f>
        <v>30250</v>
      </c>
      <c r="AE13" s="40">
        <f t="shared" si="1"/>
        <v>7562.5</v>
      </c>
      <c r="AF13" s="40">
        <f t="shared" si="2"/>
        <v>7562.5</v>
      </c>
      <c r="AG13" s="40">
        <f t="shared" si="3"/>
        <v>7562.5</v>
      </c>
      <c r="AH13" s="40">
        <f t="shared" si="4"/>
        <v>7562.5</v>
      </c>
      <c r="AI13" s="40">
        <f t="shared" si="5"/>
        <v>7562.5</v>
      </c>
      <c r="AJ13" s="40">
        <f t="shared" si="6"/>
        <v>7562.5</v>
      </c>
      <c r="AK13" s="40">
        <f t="shared" si="7"/>
        <v>7562.5</v>
      </c>
      <c r="AL13" s="40">
        <f t="shared" si="8"/>
        <v>7562.5</v>
      </c>
      <c r="AM13" s="40">
        <f t="shared" si="9"/>
        <v>7562.5</v>
      </c>
      <c r="AN13" s="40">
        <f t="shared" si="10"/>
        <v>7562.5</v>
      </c>
      <c r="AO13" s="40">
        <f t="shared" si="11"/>
        <v>7562.5</v>
      </c>
      <c r="AP13" s="45">
        <f>IFERROR((s_DL/(up_RadSpec!E13*s_IFS_far_adj*(1/1000)))*1,".")</f>
        <v>0.33057851239669422</v>
      </c>
      <c r="AQ13" s="45">
        <f>IFERROR(IF(A13="H-3",(s_DL/(up_RadSpec!H13*s_IFA_far_adj*(1/17)*1000))*1,(s_DL/(up_RadSpec!H13*s_IFA_far_adj*(1/s_PEF_wind)*1000))*1),".")</f>
        <v>3089.9917851942919</v>
      </c>
      <c r="AR13" s="45">
        <f>IFERROR((s_DL/(up_RadSpec!G13*s_EF_far*(1/365)*1*up_RadSpec!R13*((s_ET_far_o*(1/24)*up_RadSpec!W13)+(s_ET_far_i*(1/24)*up_RadSpec!AB13))))*1,".")</f>
        <v>2282.9424185356402</v>
      </c>
      <c r="AS13" s="45">
        <f>up_b2s!BC13</f>
        <v>3.2968835384132272E-5</v>
      </c>
      <c r="AT13" s="45">
        <f>IFERROR(((J13*up_RadSpec!AU13)/up_RadSpec!AJ13)*1,".")</f>
        <v>6.6115702479338848E-4</v>
      </c>
      <c r="AU13" s="45">
        <f>IFERROR(((K13*up_RadSpec!AU13)/up_RadSpec!AK13)*1,".")</f>
        <v>6.6115702479338848E-4</v>
      </c>
      <c r="AV13" s="45">
        <f>IFERROR((G13/(up_RadSpec!AI13*((s_Q_p_beef*s_f_p_beef*s_f_s_beef*(up_RadSpec!BD13+s_R_es_past))+(s_Q_s_beef*s_f_p_beef))))*1,".")</f>
        <v>1.8558793678410905E-7</v>
      </c>
      <c r="AW13" s="45">
        <f>IFERROR(((H13*s_D_milk)/(up_RadSpec!AH13*((s_Q_p_dairy*s_f_p_dairy*s_f_s_dairy*(up_RadSpec!BD13+s_R_es_past))+(s_Q_s_dairy*s_f_p_dairy))))*1,".")</f>
        <v>1.9115557488763231E-7</v>
      </c>
      <c r="AX13" s="45">
        <f>IFERROR((I13/(up_RadSpec!AN13*((s_Q_p_swine*s_f_p_swine*s_f_s_swine*(up_RadSpec!BD13+s_R_es_past))+(s_Q_s_swine*s_f_p_swine))))*1,".")</f>
        <v>1.8558793678410905E-7</v>
      </c>
      <c r="AY13" s="45">
        <f>IFERROR((E13/(up_RadSpec!AL13*((s_Q_p_poultry*s_f_p_poultry*s_f_s_poultry*(up_RadSpec!BD13+s_R_es_past))+(s_Q_s_poultry*s_f_p_poultry))))*1,".")</f>
        <v>1.8558793678410905E-7</v>
      </c>
      <c r="AZ13" s="45">
        <f>IFERROR((F13/(up_RadSpec!AM13*((s_Q_p_poultry*s_f_p_poultry*s_f_s_poultry*(up_RadSpec!BD13+s_R_es_past))+(s_Q_s_poultry*s_f_p_poultry))))*1,".")</f>
        <v>1.8558793678410905E-7</v>
      </c>
      <c r="BA13" s="45">
        <f>IFERROR((L13/(up_RadSpec!AQ13*((s_Q_p_goat*s_f_p_goat*s_f_s_goat*(up_RadSpec!BD13+s_R_es_past))+(s_Q_s_goat*s_f_p_goat))))*1,".")</f>
        <v>1.8558793678410905E-7</v>
      </c>
      <c r="BB13" s="45">
        <f>IFERROR((N13*s_D_milk/(up_RadSpec!AR13*((s_Q_p_goat_milk*s_f_p_goat_milk*s_f_s_goat_milk*(up_RadSpec!BD13+s_R_es_past))+(s_Q_s_goat_milk*s_f_p_goat_milk))))*1,".")</f>
        <v>1.9115557488763231E-7</v>
      </c>
      <c r="BC13" s="45">
        <f>IFERROR((M13/(up_RadSpec!AO13*((s_Q_p_sheep*s_f_p_sheep*s_f_s_sheep*(up_RadSpec!BD13+s_R_es_past))+(s_Q_s_sheep*s_f_p_sheep))))*1,".")</f>
        <v>1.8558793678410905E-7</v>
      </c>
      <c r="BD13" s="45">
        <f>IFERROR((O13*s_D_milk/(up_RadSpec!AP13*((s_Q_p_sheep_milk*s_f_p_sheep_milk*s_f_s_sheep_milk*(up_RadSpec!BD13+s_R_es_past))+(s_Q_s_sheep_milk*s_f_p_sheep_milk))))*1,".")</f>
        <v>1.9115557488763231E-7</v>
      </c>
      <c r="BE13" s="111">
        <f t="shared" si="12"/>
        <v>3.0249999999999999</v>
      </c>
      <c r="BF13" s="111">
        <f t="shared" si="12"/>
        <v>3.236254558317935E-4</v>
      </c>
      <c r="BG13" s="111">
        <f t="shared" si="12"/>
        <v>4.3803119688031172E-4</v>
      </c>
      <c r="BH13" s="111">
        <f t="shared" si="12"/>
        <v>30331.674999999992</v>
      </c>
      <c r="BI13" s="111">
        <f t="shared" si="12"/>
        <v>1512.5</v>
      </c>
      <c r="BJ13" s="111">
        <f t="shared" si="12"/>
        <v>1512.5</v>
      </c>
      <c r="BK13" s="111">
        <f t="shared" si="12"/>
        <v>5388281.2499999991</v>
      </c>
      <c r="BL13" s="111">
        <f t="shared" si="12"/>
        <v>5231341.0194174759</v>
      </c>
      <c r="BM13" s="111">
        <f t="shared" si="12"/>
        <v>5388281.2499999991</v>
      </c>
      <c r="BN13" s="111">
        <f t="shared" si="12"/>
        <v>5388281.2499999991</v>
      </c>
      <c r="BO13" s="111">
        <f t="shared" si="12"/>
        <v>5388281.2499999991</v>
      </c>
      <c r="BP13" s="111">
        <f t="shared" si="12"/>
        <v>5388281.2499999991</v>
      </c>
      <c r="BQ13" s="111">
        <f t="shared" si="12"/>
        <v>5231341.0194174759</v>
      </c>
      <c r="BR13" s="111">
        <f t="shared" si="12"/>
        <v>5388281.2499999991</v>
      </c>
      <c r="BS13" s="111">
        <f t="shared" si="12"/>
        <v>5231341.0194174759</v>
      </c>
      <c r="BT13" s="15">
        <f t="shared" si="23"/>
        <v>2.0808592671385945E-8</v>
      </c>
      <c r="BU13" s="189">
        <f>IFERROR(BT13*(0.0000000000028)*up_RadSpec!$AY13*up_RadSpec!$AF13,0)</f>
        <v>6.9042910483658561E-17</v>
      </c>
      <c r="BV13" s="40">
        <f t="shared" si="13"/>
        <v>15.125</v>
      </c>
      <c r="BW13" s="40">
        <f t="shared" si="14"/>
        <v>1.6181272791589674E-3</v>
      </c>
      <c r="BX13" s="40">
        <f>IFERROR((s_C*s_EF_far*(1/365)*1*up_RadSpec!R13*((s_ET_far_o*(1/24)*up_RadSpec!W13)+(s_ET_far_i*(1/24)*up_RadSpec!AB13))),".")</f>
        <v>2.1901559844015586E-3</v>
      </c>
      <c r="BY13" s="40">
        <f>up_b2s!CC13</f>
        <v>151658.375</v>
      </c>
      <c r="BZ13" s="40">
        <f>IFERROR(((s_C*up_RadSpec!AJ13)/up_RadSpec!AU13)*s_IFFI_far_adj*s_CF_far_fish,0)</f>
        <v>7562.5</v>
      </c>
      <c r="CA13" s="40">
        <f>IFERROR(((s_C*up_RadSpec!AK13)/up_RadSpec!AU13)*s_IFSF_far_adj*s_CF_far_shellfish,0)</f>
        <v>7562.5</v>
      </c>
      <c r="CB13" s="40">
        <f>(s_C*s_IFB_far_adj*s_CF_far_beef*up_RadSpec!AI13*((s_Q_p_beef*s_f_p_beef*s_f_s_beef*(up_RadSpec!$AT13+s_R_es_past))+(s_Q_s_beef*s_f_p_beef)))</f>
        <v>26941406.25</v>
      </c>
      <c r="CC13" s="40">
        <f>(s_C*s_IFD_far_adj*s_CF_far_dairy*up_RadSpec!AH13*1/s_D_milk*((s_Q_p_dairy*s_f_p_dairy*s_f_s_dairy*(up_RadSpec!$AT13+s_R_es_past))+(s_Q_s_dairy*s_f_p_dairy)))</f>
        <v>26156705.09708738</v>
      </c>
      <c r="CD13" s="40">
        <f>IFERROR((s_C*s_IFSW_far_adj*s_CF_far_swine*up_RadSpec!AN13*((s_Q_p_swine*s_f_p_swine*s_f_s_swine*(up_RadSpec!$AT13+s_R_es_past))+(s_Q_s_swine*s_f_p_swine))),0)</f>
        <v>26941406.25</v>
      </c>
      <c r="CE13" s="40">
        <f>IFERROR((s_C*s_IFP_far_adj*s_CF_far_poultry*up_RadSpec!AL13*((s_Q_p_poultry*s_f_p_poultry*s_f_s_poultry*(up_RadSpec!AT13+s_R_es_past))+(s_Q_s_poultry*s_f_p_poultry))),0)</f>
        <v>26941406.25</v>
      </c>
      <c r="CF13" s="40">
        <f>IFERROR((s_C*s_IFE_far_adj*s_CF_far_egg*up_RadSpec!AM13*((s_Q_p_egg*s_f_p_egg*s_f_s_egg*(up_RadSpec!$AT13+s_R_es_past))+(s_Q_s_egg*s_f_p_egg))),0)</f>
        <v>26941406.25</v>
      </c>
      <c r="CG13" s="40">
        <f>IFERROR((s_C*s_IFGO_far_adj*s_CF_far_goat*up_RadSpec!AQ13*((s_Q_p_goat*s_f_p_goat*s_f_s_goat*(up_RadSpec!$AT13+s_R_es_past))+(s_Q_s_goat*s_f_p_goat))),0)</f>
        <v>26941406.25</v>
      </c>
      <c r="CH13" s="40">
        <f>IFERROR((s_C*s_IFGM_far_adj*s_CF_far_goat_milk*up_RadSpec!AR13*1/s_D_milk*((s_Q_p_goat_milk*s_f_p_goat_milk*s_f_s_goat_milk*(up_RadSpec!$AT13+s_R_es_past))+(s_Q_s_goat_milk*s_f_p_goat_milk))),0)</f>
        <v>26156705.09708738</v>
      </c>
      <c r="CI13" s="40">
        <f>IFERROR((s_C*s_IFSH_far_adj*s_CF_far_sheep*up_RadSpec!AO13*((s_Q_p_sheep*s_f_p_sheep*s_f_s_sheep*(up_RadSpec!$AT13+s_R_es_past))+(s_Q_s_sheep*s_f_p_sheep))),0)</f>
        <v>26941406.25</v>
      </c>
      <c r="CJ13" s="40">
        <f>IFERROR((s_C*s_IFSM_far_adj*s_CF_far_sheep_milk*up_RadSpec!AP13*1/s_D_milk*((s_Q_p_sheep_milk*s_f_p_sheep_milk*s_f_s_sheep_milk*(up_RadSpec!$AT13+s_R_es_past))+(s_Q_s_sheep_milk*s_f_p_sheep_milk))),0)</f>
        <v>26156705.09708738</v>
      </c>
      <c r="CK13" s="18"/>
      <c r="CL13" s="15">
        <f>IFERROR(s_DL/(up_RadSpec!I13*s_IFW_far_adj),".")</f>
        <v>3.6363636363636364E-3</v>
      </c>
      <c r="CM13" s="15" t="str">
        <f>IFERROR(IF(AND(up_RadSpec!C13=1,up_RadSpec!D13&lt;&gt;0),s_DL/(up_RadSpec!H13*s_IFA_far_adj*s_K*up_RadSpec!D13),"."),".")</f>
        <v>.</v>
      </c>
      <c r="CN13" s="15">
        <f>IFERROR((s_DL/(up_RadSpec!M13*(1/8760)*s_DFA_far_adj)),".")</f>
        <v>39.81818181818182</v>
      </c>
      <c r="CO13" s="15">
        <f>up_b2w!BC13</f>
        <v>1.6443412786038033E-4</v>
      </c>
      <c r="CP13" s="15">
        <f>IFERROR(J13/(up_RadSpec!AJ13*(1/1000)),".")</f>
        <v>0.13223140495867769</v>
      </c>
      <c r="CQ13" s="15">
        <f>IFERROR(K13/(up_RadSpec!AK13*(1/1000)),".")</f>
        <v>0.13223140495867769</v>
      </c>
      <c r="CR13" s="15">
        <f>IFERROR(G13/(up_RadSpec!AI13*s_Q_w_beef*(1/1000)),".")</f>
        <v>2.6446280991735537E-2</v>
      </c>
      <c r="CS13" s="15">
        <f>IFERROR((H13*s_D_milk)/(up_RadSpec!AH13*s_Q_w_dairy*(1/1000)),".")</f>
        <v>2.7239669421487603E-2</v>
      </c>
      <c r="CT13" s="15">
        <f>IFERROR(I13/(up_RadSpec!AN13*s_Q_w_swine*(1/1000)),".")</f>
        <v>2.6446280991735537E-2</v>
      </c>
      <c r="CU13" s="15">
        <f>IFERROR(E13/(up_RadSpec!AL13*s_Q_w_poultry*(1/1000)),".")</f>
        <v>2.6446280991735537E-2</v>
      </c>
      <c r="CV13" s="15">
        <f>IFERROR(F13/(up_RadSpec!AM13*s_Q_w_poultry*(1/1000)),".")</f>
        <v>2.6446280991735537E-2</v>
      </c>
      <c r="CW13" s="15">
        <f>IFERROR(L13/(up_RadSpec!AQ13*s_Q_w_goat*(1/1000)),".")</f>
        <v>2.6446280991735537E-2</v>
      </c>
      <c r="CX13" s="15">
        <f>IFERROR(N13*s_D_milk/(up_RadSpec!AR13*s_Q_w_goat_milk*(1/1000)),".")</f>
        <v>2.7239669421487603E-2</v>
      </c>
      <c r="CY13" s="15">
        <f>IFERROR(M13/(up_RadSpec!AO13*s_Q_w_sheep*(1/1000)),".")</f>
        <v>2.6446280991735537E-2</v>
      </c>
      <c r="CZ13" s="15">
        <f>IFERROR(O13*s_D_milk/(up_RadSpec!AP13*s_Q_w_sheep_milk*(1/1000)),".")</f>
        <v>2.7239669421487603E-2</v>
      </c>
      <c r="DA13" s="111">
        <f t="shared" si="15"/>
        <v>275</v>
      </c>
      <c r="DB13" s="111" t="str">
        <f t="shared" si="15"/>
        <v>.</v>
      </c>
      <c r="DC13" s="111">
        <f t="shared" si="15"/>
        <v>2.5114155251141551E-2</v>
      </c>
      <c r="DD13" s="111">
        <f t="shared" si="15"/>
        <v>6081.4626076229861</v>
      </c>
      <c r="DE13" s="111">
        <f t="shared" si="15"/>
        <v>7.5625</v>
      </c>
      <c r="DF13" s="111">
        <f t="shared" si="15"/>
        <v>7.5625</v>
      </c>
      <c r="DG13" s="111">
        <f t="shared" si="15"/>
        <v>37.8125</v>
      </c>
      <c r="DH13" s="111">
        <f t="shared" si="15"/>
        <v>36.711165048543691</v>
      </c>
      <c r="DI13" s="111">
        <f t="shared" si="15"/>
        <v>37.8125</v>
      </c>
      <c r="DJ13" s="111">
        <f t="shared" si="15"/>
        <v>37.8125</v>
      </c>
      <c r="DK13" s="111">
        <f t="shared" si="15"/>
        <v>37.8125</v>
      </c>
      <c r="DL13" s="111">
        <f t="shared" si="15"/>
        <v>37.8125</v>
      </c>
      <c r="DM13" s="111">
        <f t="shared" si="15"/>
        <v>36.711165048543691</v>
      </c>
      <c r="DN13" s="111">
        <f t="shared" si="15"/>
        <v>37.8125</v>
      </c>
      <c r="DO13" s="111">
        <f t="shared" si="15"/>
        <v>36.711165048543691</v>
      </c>
      <c r="DP13" s="15">
        <f t="shared" si="24"/>
        <v>1.4906192608956598E-4</v>
      </c>
      <c r="DQ13" s="189">
        <f>DP13*(0.0000000000000028)*up_RadSpec!$AY13*up_RadSpec!$AF13</f>
        <v>4.9458747076517997E-16</v>
      </c>
      <c r="DR13" s="40">
        <f t="shared" si="16"/>
        <v>1375</v>
      </c>
      <c r="DS13" s="40">
        <f>IFERROR(IF(up_RadSpec!D13&lt;&gt;"",s_C*s_IFA_far_adj*s_K*up_RadSpec!D13,0),".")</f>
        <v>0</v>
      </c>
      <c r="DT13" s="40">
        <f t="shared" si="17"/>
        <v>0.12557077625570776</v>
      </c>
      <c r="DU13" s="40">
        <f>up_b2w!CC13</f>
        <v>30407.313038114935</v>
      </c>
      <c r="DV13" s="40">
        <f>IFERROR(s_C*up_RadSpec!AJ13*(1/1000)*s_IFFI_far_adj*s_CF_far_fish,0)</f>
        <v>37.8125</v>
      </c>
      <c r="DW13" s="40">
        <f>IFERROR(s_C*up_RadSpec!AK13*(1/1000)*s_IFSF_far_adj*s_CF_far_shellfish,0)</f>
        <v>37.8125</v>
      </c>
      <c r="DX13" s="40">
        <f>(s_C*s_IFB_far_adj*s_CF_far_beef*up_RadSpec!AI13*s_Q_w_beef*(1/1000))</f>
        <v>189.0625</v>
      </c>
      <c r="DY13" s="40">
        <f>(s_C*s_IFD_far_adj*s_CF_far_dairy*up_RadSpec!AH13*(1/s_D_milk)*s_Q_w_dairy*(1/1000))</f>
        <v>183.55582524271844</v>
      </c>
      <c r="DZ13" s="40">
        <f>IFERROR((s_C*s_IFSW_far_adj*s_CF_far_swine*up_RadSpec!AN13*s_Q_w_swine*(1/1000)),0)</f>
        <v>189.0625</v>
      </c>
      <c r="EA13" s="40">
        <f>IFERROR((s_C*s_IFP_far_adj*s_CF_far_poultry*up_RadSpec!AL13*s_Q_w_poultry*(1/1000)),0)</f>
        <v>189.0625</v>
      </c>
      <c r="EB13" s="40">
        <f>IFERROR((s_C*s_IFE_far_adj*s_CF_far_egg*up_RadSpec!AM13*s_Q_w_egg*(1/1000)),0)</f>
        <v>189.0625</v>
      </c>
      <c r="EC13" s="40">
        <f>IFERROR((s_C*s_IFGO_far_adj*s_CF_far_goat*up_RadSpec!AQ13*s_Q_p_goat*(1/1000)),0)</f>
        <v>189.0625</v>
      </c>
      <c r="ED13" s="40">
        <f>IFERROR((s_C*s_IFGM_far_adj*s_CF_far_goat_milk*up_RadSpec!AR13*(1/s_D_milk)*s_Q_p_goat_milk*(1/1000)),0)</f>
        <v>183.55582524271844</v>
      </c>
      <c r="EE13" s="40">
        <f>IFERROR((s_C*s_IFSH_far_adj*s_CF_far_sheep*up_RadSpec!AO13*s_Q_p_sheep*(1/1000)),0)</f>
        <v>189.0625</v>
      </c>
      <c r="EF13" s="40">
        <f>IFERROR((s_C*s_IFSM_far_adj*s_CF_far_sheep_milk*up_RadSpec!AP13*(1/s_D_milk)*s_Q_p_sheep_milk*(1/1000)),0)</f>
        <v>183.55582524271844</v>
      </c>
      <c r="EG13" s="5"/>
      <c r="EH13" s="15">
        <f>IFERROR((s_DL/(up_RadSpec!H13*s_IFA_far_adj)),".")</f>
        <v>9.9740259740259754E-3</v>
      </c>
      <c r="EI13" s="15">
        <f>IFERROR((s_DL/(up_RadSpec!K13*s_EF_far*(1/365)*1*s_ET_far*(1/24)*s_GSF_a)),".")</f>
        <v>63.709090909090911</v>
      </c>
      <c r="EJ13" s="15">
        <f t="shared" si="25"/>
        <v>9.9724647271019675E-3</v>
      </c>
      <c r="EK13" s="189">
        <f>EJ13*(0.0000000000000028)*up_RadSpec!$AY13*up_RadSpec!$AF13</f>
        <v>3.3088637964524332E-14</v>
      </c>
      <c r="EL13" s="40">
        <f t="shared" si="19"/>
        <v>501.30208333333326</v>
      </c>
      <c r="EM13" s="40">
        <f t="shared" si="20"/>
        <v>7.8481735159817351E-2</v>
      </c>
      <c r="EN13" s="113"/>
    </row>
    <row r="14" spans="1:144" customFormat="1" x14ac:dyDescent="0.25">
      <c r="A14" s="44" t="s">
        <v>12</v>
      </c>
      <c r="B14" s="42" t="s">
        <v>1057</v>
      </c>
      <c r="C14" s="42"/>
      <c r="D14" s="15">
        <f>up_dir!AC14</f>
        <v>1.6528925619834712E-4</v>
      </c>
      <c r="E14" s="15">
        <f>IFERROR(s_DL/(up_RadSpec!F14*s_IFP_far_adj*s_CF_far_poultry),".")</f>
        <v>6.6115702479338848E-4</v>
      </c>
      <c r="F14" s="15">
        <f>IFERROR(s_DL/(up_RadSpec!F14*s_IFE_far_adj*s_CF_far_egg),".")</f>
        <v>6.6115702479338848E-4</v>
      </c>
      <c r="G14" s="15">
        <f>IFERROR(s_DL/(up_RadSpec!F14*s_IFB_far_adj*s_CF_far_beef),".")</f>
        <v>6.6115702479338848E-4</v>
      </c>
      <c r="H14" s="15">
        <f>IFERROR(s_DL/(up_RadSpec!F14*s_IFD_far_adj*s_CF_far_dairy),".")</f>
        <v>6.6115702479338848E-4</v>
      </c>
      <c r="I14" s="15">
        <f>IFERROR(s_DL/(up_RadSpec!F14*s_IFSW_far_adj*s_CF_far_swine),".")</f>
        <v>6.6115702479338848E-4</v>
      </c>
      <c r="J14" s="15">
        <f>IFERROR(s_DL/(up_RadSpec!F14*s_IFFI_far_adj*s_CF_far_fish),".")</f>
        <v>6.6115702479338848E-4</v>
      </c>
      <c r="K14" s="15">
        <f>IFERROR(s_DL/(up_RadSpec!F14*s_IFSF_far_adj*s_CF_far_shellfish),".")</f>
        <v>6.6115702479338848E-4</v>
      </c>
      <c r="L14" s="15">
        <f>IFERROR(s_DL/(up_RadSpec!F14*s_IFGO_far_adj*s_CF_far_goat),".")</f>
        <v>6.6115702479338848E-4</v>
      </c>
      <c r="M14" s="15">
        <f>IFERROR(s_DL/(up_RadSpec!F14*s_IFSH_far_adj*s_CF_far_sheep),".")</f>
        <v>6.6115702479338848E-4</v>
      </c>
      <c r="N14" s="15">
        <f>IFERROR(s_DL/(up_RadSpec!F14*s_IFGM_far_adj*s_CF_far_goat_milk),".")</f>
        <v>6.6115702479338848E-4</v>
      </c>
      <c r="O14" s="15">
        <f>IFERROR(s_DL/(up_RadSpec!F14*s_IFSM_far_adj*s_CF_far_sheep_milk),".")</f>
        <v>6.6115702479338848E-4</v>
      </c>
      <c r="P14" s="111">
        <f t="shared" si="21"/>
        <v>1512.5</v>
      </c>
      <c r="Q14" s="111">
        <f t="shared" si="21"/>
        <v>1512.5</v>
      </c>
      <c r="R14" s="111">
        <f t="shared" si="21"/>
        <v>1512.5</v>
      </c>
      <c r="S14" s="111">
        <f t="shared" si="21"/>
        <v>1512.5</v>
      </c>
      <c r="T14" s="111">
        <f t="shared" si="21"/>
        <v>1512.5</v>
      </c>
      <c r="U14" s="111">
        <f t="shared" si="21"/>
        <v>1512.5</v>
      </c>
      <c r="V14" s="111">
        <f t="shared" si="21"/>
        <v>1512.5</v>
      </c>
      <c r="W14" s="111">
        <f t="shared" si="21"/>
        <v>1512.5</v>
      </c>
      <c r="X14" s="111">
        <f t="shared" si="0"/>
        <v>1512.5</v>
      </c>
      <c r="Y14" s="111">
        <f t="shared" si="0"/>
        <v>1512.5</v>
      </c>
      <c r="Z14" s="111">
        <f t="shared" si="0"/>
        <v>1512.5</v>
      </c>
      <c r="AA14" s="111">
        <f t="shared" si="0"/>
        <v>1512.5</v>
      </c>
      <c r="AB14" s="15">
        <f t="shared" si="22"/>
        <v>5.5096418732782371E-5</v>
      </c>
      <c r="AC14" s="247">
        <f>IFERROR(AB14*(0.0000000000028)*up_RadSpec!$AY14*up_RadSpec!$AF14,0)</f>
        <v>1.7972451790633613E-13</v>
      </c>
      <c r="AD14" s="40">
        <f>up_dir!BC14</f>
        <v>30250</v>
      </c>
      <c r="AE14" s="40">
        <f t="shared" si="1"/>
        <v>7562.5</v>
      </c>
      <c r="AF14" s="40">
        <f t="shared" si="2"/>
        <v>7562.5</v>
      </c>
      <c r="AG14" s="40">
        <f t="shared" si="3"/>
        <v>7562.5</v>
      </c>
      <c r="AH14" s="40">
        <f t="shared" si="4"/>
        <v>7562.5</v>
      </c>
      <c r="AI14" s="40">
        <f t="shared" si="5"/>
        <v>7562.5</v>
      </c>
      <c r="AJ14" s="40">
        <f t="shared" si="6"/>
        <v>7562.5</v>
      </c>
      <c r="AK14" s="40">
        <f t="shared" si="7"/>
        <v>7562.5</v>
      </c>
      <c r="AL14" s="40">
        <f t="shared" si="8"/>
        <v>7562.5</v>
      </c>
      <c r="AM14" s="40">
        <f t="shared" si="9"/>
        <v>7562.5</v>
      </c>
      <c r="AN14" s="40">
        <f t="shared" si="10"/>
        <v>7562.5</v>
      </c>
      <c r="AO14" s="40">
        <f t="shared" si="11"/>
        <v>7562.5</v>
      </c>
      <c r="AP14" s="45">
        <f>IFERROR((s_DL/(up_RadSpec!E14*s_IFS_far_adj*(1/1000)))*1,".")</f>
        <v>0.33057851239669422</v>
      </c>
      <c r="AQ14" s="45">
        <f>IFERROR(IF(A14="H-3",(s_DL/(up_RadSpec!H14*s_IFA_far_adj*(1/17)*1000))*1,(s_DL/(up_RadSpec!H14*s_IFA_far_adj*(1/s_PEF_wind)*1000))*1),".")</f>
        <v>3089.9917851942919</v>
      </c>
      <c r="AR14" s="45">
        <f>IFERROR((s_DL/(up_RadSpec!G14*s_EF_far*(1/365)*1*up_RadSpec!R14*((s_ET_far_o*(1/24)*up_RadSpec!W14)+(s_ET_far_i*(1/24)*up_RadSpec!AB14))))*1,".")</f>
        <v>342.70908097811116</v>
      </c>
      <c r="AS14" s="45">
        <f>up_b2s!BC14</f>
        <v>3.2968835384132272E-5</v>
      </c>
      <c r="AT14" s="45">
        <f>IFERROR(((J14*up_RadSpec!AU14)/up_RadSpec!AJ14)*1,".")</f>
        <v>6.6115702479338848E-4</v>
      </c>
      <c r="AU14" s="45">
        <f>IFERROR(((K14*up_RadSpec!AU14)/up_RadSpec!AK14)*1,".")</f>
        <v>6.6115702479338848E-4</v>
      </c>
      <c r="AV14" s="45">
        <f>IFERROR((G14/(up_RadSpec!AI14*((s_Q_p_beef*s_f_p_beef*s_f_s_beef*(up_RadSpec!BD14+s_R_es_past))+(s_Q_s_beef*s_f_p_beef))))*1,".")</f>
        <v>1.8558793678410905E-7</v>
      </c>
      <c r="AW14" s="45">
        <f>IFERROR(((H14*s_D_milk)/(up_RadSpec!AH14*((s_Q_p_dairy*s_f_p_dairy*s_f_s_dairy*(up_RadSpec!BD14+s_R_es_past))+(s_Q_s_dairy*s_f_p_dairy))))*1,".")</f>
        <v>1.9115557488763231E-7</v>
      </c>
      <c r="AX14" s="45">
        <f>IFERROR((I14/(up_RadSpec!AN14*((s_Q_p_swine*s_f_p_swine*s_f_s_swine*(up_RadSpec!BD14+s_R_es_past))+(s_Q_s_swine*s_f_p_swine))))*1,".")</f>
        <v>1.8558793678410905E-7</v>
      </c>
      <c r="AY14" s="45">
        <f>IFERROR((E14/(up_RadSpec!AL14*((s_Q_p_poultry*s_f_p_poultry*s_f_s_poultry*(up_RadSpec!BD14+s_R_es_past))+(s_Q_s_poultry*s_f_p_poultry))))*1,".")</f>
        <v>1.8558793678410905E-7</v>
      </c>
      <c r="AZ14" s="45">
        <f>IFERROR((F14/(up_RadSpec!AM14*((s_Q_p_poultry*s_f_p_poultry*s_f_s_poultry*(up_RadSpec!BD14+s_R_es_past))+(s_Q_s_poultry*s_f_p_poultry))))*1,".")</f>
        <v>1.8558793678410905E-7</v>
      </c>
      <c r="BA14" s="45">
        <f>IFERROR((L14/(up_RadSpec!AQ14*((s_Q_p_goat*s_f_p_goat*s_f_s_goat*(up_RadSpec!BD14+s_R_es_past))+(s_Q_s_goat*s_f_p_goat))))*1,".")</f>
        <v>1.8558793678410905E-7</v>
      </c>
      <c r="BB14" s="45">
        <f>IFERROR((N14*s_D_milk/(up_RadSpec!AR14*((s_Q_p_goat_milk*s_f_p_goat_milk*s_f_s_goat_milk*(up_RadSpec!BD14+s_R_es_past))+(s_Q_s_goat_milk*s_f_p_goat_milk))))*1,".")</f>
        <v>1.9115557488763231E-7</v>
      </c>
      <c r="BC14" s="45">
        <f>IFERROR((M14/(up_RadSpec!AO14*((s_Q_p_sheep*s_f_p_sheep*s_f_s_sheep*(up_RadSpec!BD14+s_R_es_past))+(s_Q_s_sheep*s_f_p_sheep))))*1,".")</f>
        <v>1.8558793678410905E-7</v>
      </c>
      <c r="BD14" s="45">
        <f>IFERROR((O14*s_D_milk/(up_RadSpec!AP14*((s_Q_p_sheep_milk*s_f_p_sheep_milk*s_f_s_sheep_milk*(up_RadSpec!BD14+s_R_es_past))+(s_Q_s_sheep_milk*s_f_p_sheep_milk))))*1,".")</f>
        <v>1.9115557488763231E-7</v>
      </c>
      <c r="BE14" s="111">
        <f t="shared" si="12"/>
        <v>3.0249999999999999</v>
      </c>
      <c r="BF14" s="111">
        <f t="shared" si="12"/>
        <v>3.236254558317935E-4</v>
      </c>
      <c r="BG14" s="111">
        <f t="shared" si="12"/>
        <v>2.9179267650158067E-3</v>
      </c>
      <c r="BH14" s="111">
        <f t="shared" si="12"/>
        <v>30331.674999999992</v>
      </c>
      <c r="BI14" s="111">
        <f t="shared" si="12"/>
        <v>1512.5</v>
      </c>
      <c r="BJ14" s="111">
        <f t="shared" si="12"/>
        <v>1512.5</v>
      </c>
      <c r="BK14" s="111">
        <f t="shared" si="12"/>
        <v>5388281.2499999991</v>
      </c>
      <c r="BL14" s="111">
        <f t="shared" si="12"/>
        <v>5231341.0194174759</v>
      </c>
      <c r="BM14" s="111">
        <f t="shared" si="12"/>
        <v>5388281.2499999991</v>
      </c>
      <c r="BN14" s="111">
        <f t="shared" si="12"/>
        <v>5388281.2499999991</v>
      </c>
      <c r="BO14" s="111">
        <f t="shared" si="12"/>
        <v>5388281.2499999991</v>
      </c>
      <c r="BP14" s="111">
        <f t="shared" si="12"/>
        <v>5388281.2499999991</v>
      </c>
      <c r="BQ14" s="111">
        <f t="shared" si="12"/>
        <v>5231341.0194174759</v>
      </c>
      <c r="BR14" s="111">
        <f t="shared" si="12"/>
        <v>5388281.2499999991</v>
      </c>
      <c r="BS14" s="111">
        <f t="shared" si="12"/>
        <v>5231341.0194174759</v>
      </c>
      <c r="BT14" s="15">
        <f t="shared" si="23"/>
        <v>2.0808592670312156E-8</v>
      </c>
      <c r="BU14" s="189">
        <f>IFERROR(BT14*(0.0000000000028)*up_RadSpec!$AY14*up_RadSpec!$AF14,0)</f>
        <v>6.7877629290558259E-17</v>
      </c>
      <c r="BV14" s="40">
        <f t="shared" si="13"/>
        <v>15.125</v>
      </c>
      <c r="BW14" s="40">
        <f t="shared" si="14"/>
        <v>1.6181272791589674E-3</v>
      </c>
      <c r="BX14" s="40">
        <f>IFERROR((s_C*s_EF_far*(1/365)*1*up_RadSpec!R14*((s_ET_far_o*(1/24)*up_RadSpec!W14)+(s_ET_far_i*(1/24)*up_RadSpec!AB14))),".")</f>
        <v>1.4589633825079034E-2</v>
      </c>
      <c r="BY14" s="40">
        <f>up_b2s!CC14</f>
        <v>151658.375</v>
      </c>
      <c r="BZ14" s="40">
        <f>IFERROR(((s_C*up_RadSpec!AJ14)/up_RadSpec!AU14)*s_IFFI_far_adj*s_CF_far_fish,0)</f>
        <v>7562.5</v>
      </c>
      <c r="CA14" s="40">
        <f>IFERROR(((s_C*up_RadSpec!AK14)/up_RadSpec!AU14)*s_IFSF_far_adj*s_CF_far_shellfish,0)</f>
        <v>7562.5</v>
      </c>
      <c r="CB14" s="40">
        <f>(s_C*s_IFB_far_adj*s_CF_far_beef*up_RadSpec!AI14*((s_Q_p_beef*s_f_p_beef*s_f_s_beef*(up_RadSpec!$AT14+s_R_es_past))+(s_Q_s_beef*s_f_p_beef)))</f>
        <v>26941406.25</v>
      </c>
      <c r="CC14" s="40">
        <f>(s_C*s_IFD_far_adj*s_CF_far_dairy*up_RadSpec!AH14*1/s_D_milk*((s_Q_p_dairy*s_f_p_dairy*s_f_s_dairy*(up_RadSpec!$AT14+s_R_es_past))+(s_Q_s_dairy*s_f_p_dairy)))</f>
        <v>26156705.09708738</v>
      </c>
      <c r="CD14" s="40">
        <f>IFERROR((s_C*s_IFSW_far_adj*s_CF_far_swine*up_RadSpec!AN14*((s_Q_p_swine*s_f_p_swine*s_f_s_swine*(up_RadSpec!$AT14+s_R_es_past))+(s_Q_s_swine*s_f_p_swine))),0)</f>
        <v>26941406.25</v>
      </c>
      <c r="CE14" s="40">
        <f>IFERROR((s_C*s_IFP_far_adj*s_CF_far_poultry*up_RadSpec!AL14*((s_Q_p_poultry*s_f_p_poultry*s_f_s_poultry*(up_RadSpec!AT14+s_R_es_past))+(s_Q_s_poultry*s_f_p_poultry))),0)</f>
        <v>26941406.25</v>
      </c>
      <c r="CF14" s="40">
        <f>IFERROR((s_C*s_IFE_far_adj*s_CF_far_egg*up_RadSpec!AM14*((s_Q_p_egg*s_f_p_egg*s_f_s_egg*(up_RadSpec!$AT14+s_R_es_past))+(s_Q_s_egg*s_f_p_egg))),0)</f>
        <v>26941406.25</v>
      </c>
      <c r="CG14" s="40">
        <f>IFERROR((s_C*s_IFGO_far_adj*s_CF_far_goat*up_RadSpec!AQ14*((s_Q_p_goat*s_f_p_goat*s_f_s_goat*(up_RadSpec!$AT14+s_R_es_past))+(s_Q_s_goat*s_f_p_goat))),0)</f>
        <v>26941406.25</v>
      </c>
      <c r="CH14" s="40">
        <f>IFERROR((s_C*s_IFGM_far_adj*s_CF_far_goat_milk*up_RadSpec!AR14*1/s_D_milk*((s_Q_p_goat_milk*s_f_p_goat_milk*s_f_s_goat_milk*(up_RadSpec!$AT14+s_R_es_past))+(s_Q_s_goat_milk*s_f_p_goat_milk))),0)</f>
        <v>26156705.09708738</v>
      </c>
      <c r="CI14" s="40">
        <f>IFERROR((s_C*s_IFSH_far_adj*s_CF_far_sheep*up_RadSpec!AO14*((s_Q_p_sheep*s_f_p_sheep*s_f_s_sheep*(up_RadSpec!$AT14+s_R_es_past))+(s_Q_s_sheep*s_f_p_sheep))),0)</f>
        <v>26941406.25</v>
      </c>
      <c r="CJ14" s="40">
        <f>IFERROR((s_C*s_IFSM_far_adj*s_CF_far_sheep_milk*up_RadSpec!AP14*1/s_D_milk*((s_Q_p_sheep_milk*s_f_p_sheep_milk*s_f_s_sheep_milk*(up_RadSpec!$AT14+s_R_es_past))+(s_Q_s_sheep_milk*s_f_p_sheep_milk))),0)</f>
        <v>26156705.09708738</v>
      </c>
      <c r="CK14" s="18"/>
      <c r="CL14" s="15">
        <f>IFERROR(s_DL/(up_RadSpec!I14*s_IFW_far_adj),".")</f>
        <v>3.6363636363636364E-3</v>
      </c>
      <c r="CM14" s="15" t="str">
        <f>IFERROR(IF(AND(up_RadSpec!C14=1,up_RadSpec!D14&lt;&gt;0),s_DL/(up_RadSpec!H14*s_IFA_far_adj*s_K*up_RadSpec!D14),"."),".")</f>
        <v>.</v>
      </c>
      <c r="CN14" s="15">
        <f>IFERROR((s_DL/(up_RadSpec!M14*(1/8760)*s_DFA_far_adj)),".")</f>
        <v>39.81818181818182</v>
      </c>
      <c r="CO14" s="15">
        <f>up_b2w!BC14</f>
        <v>1.6443412786038033E-4</v>
      </c>
      <c r="CP14" s="15">
        <f>IFERROR(J14/(up_RadSpec!AJ14*(1/1000)),".")</f>
        <v>0.13223140495867769</v>
      </c>
      <c r="CQ14" s="15">
        <f>IFERROR(K14/(up_RadSpec!AK14*(1/1000)),".")</f>
        <v>0.13223140495867769</v>
      </c>
      <c r="CR14" s="15">
        <f>IFERROR(G14/(up_RadSpec!AI14*s_Q_w_beef*(1/1000)),".")</f>
        <v>2.6446280991735537E-2</v>
      </c>
      <c r="CS14" s="15">
        <f>IFERROR((H14*s_D_milk)/(up_RadSpec!AH14*s_Q_w_dairy*(1/1000)),".")</f>
        <v>2.7239669421487603E-2</v>
      </c>
      <c r="CT14" s="15">
        <f>IFERROR(I14/(up_RadSpec!AN14*s_Q_w_swine*(1/1000)),".")</f>
        <v>2.6446280991735537E-2</v>
      </c>
      <c r="CU14" s="15">
        <f>IFERROR(E14/(up_RadSpec!AL14*s_Q_w_poultry*(1/1000)),".")</f>
        <v>2.6446280991735537E-2</v>
      </c>
      <c r="CV14" s="15">
        <f>IFERROR(F14/(up_RadSpec!AM14*s_Q_w_poultry*(1/1000)),".")</f>
        <v>2.6446280991735537E-2</v>
      </c>
      <c r="CW14" s="15">
        <f>IFERROR(L14/(up_RadSpec!AQ14*s_Q_w_goat*(1/1000)),".")</f>
        <v>2.6446280991735537E-2</v>
      </c>
      <c r="CX14" s="15">
        <f>IFERROR(N14*s_D_milk/(up_RadSpec!AR14*s_Q_w_goat_milk*(1/1000)),".")</f>
        <v>2.7239669421487603E-2</v>
      </c>
      <c r="CY14" s="15">
        <f>IFERROR(M14/(up_RadSpec!AO14*s_Q_w_sheep*(1/1000)),".")</f>
        <v>2.6446280991735537E-2</v>
      </c>
      <c r="CZ14" s="15">
        <f>IFERROR(O14*s_D_milk/(up_RadSpec!AP14*s_Q_w_sheep_milk*(1/1000)),".")</f>
        <v>2.7239669421487603E-2</v>
      </c>
      <c r="DA14" s="111">
        <f t="shared" si="15"/>
        <v>275</v>
      </c>
      <c r="DB14" s="111" t="str">
        <f t="shared" si="15"/>
        <v>.</v>
      </c>
      <c r="DC14" s="111">
        <f t="shared" si="15"/>
        <v>2.5114155251141551E-2</v>
      </c>
      <c r="DD14" s="111">
        <f t="shared" si="15"/>
        <v>6081.4626076229861</v>
      </c>
      <c r="DE14" s="111">
        <f t="shared" si="15"/>
        <v>7.5625</v>
      </c>
      <c r="DF14" s="111">
        <f t="shared" si="15"/>
        <v>7.5625</v>
      </c>
      <c r="DG14" s="111">
        <f t="shared" si="15"/>
        <v>37.8125</v>
      </c>
      <c r="DH14" s="111">
        <f t="shared" si="15"/>
        <v>36.711165048543691</v>
      </c>
      <c r="DI14" s="111">
        <f t="shared" si="15"/>
        <v>37.8125</v>
      </c>
      <c r="DJ14" s="111">
        <f t="shared" si="15"/>
        <v>37.8125</v>
      </c>
      <c r="DK14" s="111">
        <f t="shared" si="15"/>
        <v>37.8125</v>
      </c>
      <c r="DL14" s="111">
        <f t="shared" si="15"/>
        <v>37.8125</v>
      </c>
      <c r="DM14" s="111">
        <f t="shared" si="15"/>
        <v>36.711165048543691</v>
      </c>
      <c r="DN14" s="111">
        <f t="shared" si="15"/>
        <v>37.8125</v>
      </c>
      <c r="DO14" s="111">
        <f t="shared" si="15"/>
        <v>36.711165048543691</v>
      </c>
      <c r="DP14" s="15">
        <f t="shared" si="24"/>
        <v>1.4906192608956598E-4</v>
      </c>
      <c r="DQ14" s="189">
        <f>DP14*(0.0000000000000028)*up_RadSpec!$AY14*up_RadSpec!$AF14</f>
        <v>4.8624000290416429E-16</v>
      </c>
      <c r="DR14" s="40">
        <f t="shared" si="16"/>
        <v>1375</v>
      </c>
      <c r="DS14" s="40">
        <f>IFERROR(IF(up_RadSpec!D14&lt;&gt;"",s_C*s_IFA_far_adj*s_K*up_RadSpec!D14,0),".")</f>
        <v>0</v>
      </c>
      <c r="DT14" s="40">
        <f t="shared" si="17"/>
        <v>0.12557077625570776</v>
      </c>
      <c r="DU14" s="40">
        <f>up_b2w!CC14</f>
        <v>30407.313038114935</v>
      </c>
      <c r="DV14" s="40">
        <f>IFERROR(s_C*up_RadSpec!AJ14*(1/1000)*s_IFFI_far_adj*s_CF_far_fish,0)</f>
        <v>37.8125</v>
      </c>
      <c r="DW14" s="40">
        <f>IFERROR(s_C*up_RadSpec!AK14*(1/1000)*s_IFSF_far_adj*s_CF_far_shellfish,0)</f>
        <v>37.8125</v>
      </c>
      <c r="DX14" s="40">
        <f>(s_C*s_IFB_far_adj*s_CF_far_beef*up_RadSpec!AI14*s_Q_w_beef*(1/1000))</f>
        <v>189.0625</v>
      </c>
      <c r="DY14" s="40">
        <f>(s_C*s_IFD_far_adj*s_CF_far_dairy*up_RadSpec!AH14*(1/s_D_milk)*s_Q_w_dairy*(1/1000))</f>
        <v>183.55582524271844</v>
      </c>
      <c r="DZ14" s="40">
        <f>IFERROR((s_C*s_IFSW_far_adj*s_CF_far_swine*up_RadSpec!AN14*s_Q_w_swine*(1/1000)),0)</f>
        <v>189.0625</v>
      </c>
      <c r="EA14" s="40">
        <f>IFERROR((s_C*s_IFP_far_adj*s_CF_far_poultry*up_RadSpec!AL14*s_Q_w_poultry*(1/1000)),0)</f>
        <v>189.0625</v>
      </c>
      <c r="EB14" s="40">
        <f>IFERROR((s_C*s_IFE_far_adj*s_CF_far_egg*up_RadSpec!AM14*s_Q_w_egg*(1/1000)),0)</f>
        <v>189.0625</v>
      </c>
      <c r="EC14" s="40">
        <f>IFERROR((s_C*s_IFGO_far_adj*s_CF_far_goat*up_RadSpec!AQ14*s_Q_p_goat*(1/1000)),0)</f>
        <v>189.0625</v>
      </c>
      <c r="ED14" s="40">
        <f>IFERROR((s_C*s_IFGM_far_adj*s_CF_far_goat_milk*up_RadSpec!AR14*(1/s_D_milk)*s_Q_p_goat_milk*(1/1000)),0)</f>
        <v>183.55582524271844</v>
      </c>
      <c r="EE14" s="40">
        <f>IFERROR((s_C*s_IFSH_far_adj*s_CF_far_sheep*up_RadSpec!AO14*s_Q_p_sheep*(1/1000)),0)</f>
        <v>189.0625</v>
      </c>
      <c r="EF14" s="40">
        <f>IFERROR((s_C*s_IFSM_far_adj*s_CF_far_sheep_milk*up_RadSpec!AP14*(1/s_D_milk)*s_Q_p_sheep_milk*(1/1000)),0)</f>
        <v>183.55582524271844</v>
      </c>
      <c r="EG14" s="5"/>
      <c r="EH14" s="15">
        <f>IFERROR((s_DL/(up_RadSpec!H14*s_IFA_far_adj)),".")</f>
        <v>9.9740259740259754E-3</v>
      </c>
      <c r="EI14" s="15">
        <f>IFERROR((s_DL/(up_RadSpec!K14*s_EF_far*(1/365)*1*s_ET_far*(1/24)*s_GSF_a)),".")</f>
        <v>63.709090909090911</v>
      </c>
      <c r="EJ14" s="15">
        <f t="shared" si="25"/>
        <v>9.9724647271019675E-3</v>
      </c>
      <c r="EK14" s="189">
        <f>EJ14*(0.0000000000000028)*up_RadSpec!$AY14*up_RadSpec!$AF14</f>
        <v>3.2530179939806619E-14</v>
      </c>
      <c r="EL14" s="40">
        <f t="shared" si="19"/>
        <v>501.30208333333326</v>
      </c>
      <c r="EM14" s="40">
        <f t="shared" si="20"/>
        <v>7.8481735159817351E-2</v>
      </c>
      <c r="EN14" s="113"/>
    </row>
    <row r="15" spans="1:144" customFormat="1" x14ac:dyDescent="0.25">
      <c r="A15" s="44" t="s">
        <v>13</v>
      </c>
      <c r="B15" s="42" t="s">
        <v>1057</v>
      </c>
      <c r="C15" s="42"/>
      <c r="D15" s="15">
        <f>up_dir!AC15</f>
        <v>1.6528925619834712E-4</v>
      </c>
      <c r="E15" s="15">
        <f>IFERROR(s_DL/(up_RadSpec!F15*s_IFP_far_adj*s_CF_far_poultry),".")</f>
        <v>6.6115702479338848E-4</v>
      </c>
      <c r="F15" s="15">
        <f>IFERROR(s_DL/(up_RadSpec!F15*s_IFE_far_adj*s_CF_far_egg),".")</f>
        <v>6.6115702479338848E-4</v>
      </c>
      <c r="G15" s="15">
        <f>IFERROR(s_DL/(up_RadSpec!F15*s_IFB_far_adj*s_CF_far_beef),".")</f>
        <v>6.6115702479338848E-4</v>
      </c>
      <c r="H15" s="15">
        <f>IFERROR(s_DL/(up_RadSpec!F15*s_IFD_far_adj*s_CF_far_dairy),".")</f>
        <v>6.6115702479338848E-4</v>
      </c>
      <c r="I15" s="15">
        <f>IFERROR(s_DL/(up_RadSpec!F15*s_IFSW_far_adj*s_CF_far_swine),".")</f>
        <v>6.6115702479338848E-4</v>
      </c>
      <c r="J15" s="15">
        <f>IFERROR(s_DL/(up_RadSpec!F15*s_IFFI_far_adj*s_CF_far_fish),".")</f>
        <v>6.6115702479338848E-4</v>
      </c>
      <c r="K15" s="15">
        <f>IFERROR(s_DL/(up_RadSpec!F15*s_IFSF_far_adj*s_CF_far_shellfish),".")</f>
        <v>6.6115702479338848E-4</v>
      </c>
      <c r="L15" s="15">
        <f>IFERROR(s_DL/(up_RadSpec!F15*s_IFGO_far_adj*s_CF_far_goat),".")</f>
        <v>6.6115702479338848E-4</v>
      </c>
      <c r="M15" s="15">
        <f>IFERROR(s_DL/(up_RadSpec!F15*s_IFSH_far_adj*s_CF_far_sheep),".")</f>
        <v>6.6115702479338848E-4</v>
      </c>
      <c r="N15" s="15">
        <f>IFERROR(s_DL/(up_RadSpec!F15*s_IFGM_far_adj*s_CF_far_goat_milk),".")</f>
        <v>6.6115702479338848E-4</v>
      </c>
      <c r="O15" s="15">
        <f>IFERROR(s_DL/(up_RadSpec!F15*s_IFSM_far_adj*s_CF_far_sheep_milk),".")</f>
        <v>6.6115702479338848E-4</v>
      </c>
      <c r="P15" s="111">
        <f t="shared" si="21"/>
        <v>1512.5</v>
      </c>
      <c r="Q15" s="111">
        <f t="shared" si="21"/>
        <v>1512.5</v>
      </c>
      <c r="R15" s="111">
        <f t="shared" si="21"/>
        <v>1512.5</v>
      </c>
      <c r="S15" s="111">
        <f t="shared" si="21"/>
        <v>1512.5</v>
      </c>
      <c r="T15" s="111">
        <f t="shared" si="21"/>
        <v>1512.5</v>
      </c>
      <c r="U15" s="111">
        <f t="shared" si="21"/>
        <v>1512.5</v>
      </c>
      <c r="V15" s="111">
        <f t="shared" si="21"/>
        <v>1512.5</v>
      </c>
      <c r="W15" s="111">
        <f t="shared" si="21"/>
        <v>1512.5</v>
      </c>
      <c r="X15" s="111">
        <f t="shared" si="0"/>
        <v>1512.5</v>
      </c>
      <c r="Y15" s="111">
        <f t="shared" si="0"/>
        <v>1512.5</v>
      </c>
      <c r="Z15" s="111">
        <f t="shared" si="0"/>
        <v>1512.5</v>
      </c>
      <c r="AA15" s="111">
        <f t="shared" si="0"/>
        <v>1512.5</v>
      </c>
      <c r="AB15" s="15">
        <f t="shared" si="22"/>
        <v>5.5096418732782371E-5</v>
      </c>
      <c r="AC15" s="247">
        <f>IFERROR(AB15*(0.0000000000028)*up_RadSpec!$AY15*up_RadSpec!$AF15,0)</f>
        <v>1.6121212121212123E-13</v>
      </c>
      <c r="AD15" s="40">
        <f>up_dir!BC15</f>
        <v>30250</v>
      </c>
      <c r="AE15" s="40">
        <f t="shared" si="1"/>
        <v>7562.5</v>
      </c>
      <c r="AF15" s="40">
        <f t="shared" si="2"/>
        <v>7562.5</v>
      </c>
      <c r="AG15" s="40">
        <f t="shared" si="3"/>
        <v>7562.5</v>
      </c>
      <c r="AH15" s="40">
        <f t="shared" si="4"/>
        <v>7562.5</v>
      </c>
      <c r="AI15" s="40">
        <f t="shared" si="5"/>
        <v>7562.5</v>
      </c>
      <c r="AJ15" s="40">
        <f t="shared" si="6"/>
        <v>7562.5</v>
      </c>
      <c r="AK15" s="40">
        <f t="shared" si="7"/>
        <v>7562.5</v>
      </c>
      <c r="AL15" s="40">
        <f t="shared" si="8"/>
        <v>7562.5</v>
      </c>
      <c r="AM15" s="40">
        <f t="shared" si="9"/>
        <v>7562.5</v>
      </c>
      <c r="AN15" s="40">
        <f t="shared" si="10"/>
        <v>7562.5</v>
      </c>
      <c r="AO15" s="40">
        <f t="shared" si="11"/>
        <v>7562.5</v>
      </c>
      <c r="AP15" s="45">
        <f>IFERROR((s_DL/(up_RadSpec!E15*s_IFS_far_adj*(1/1000)))*1,".")</f>
        <v>0.33057851239669422</v>
      </c>
      <c r="AQ15" s="45">
        <f>IFERROR(IF(A15="H-3",(s_DL/(up_RadSpec!H15*s_IFA_far_adj*(1/17)*1000))*1,(s_DL/(up_RadSpec!H15*s_IFA_far_adj*(1/s_PEF_wind)*1000))*1),".")</f>
        <v>3089.9917851942919</v>
      </c>
      <c r="AR15" s="45" t="str">
        <f>IFERROR((s_DL/(up_RadSpec!G15*s_EF_far*(1/365)*1*up_RadSpec!R15*((s_ET_far_o*(1/24)*up_RadSpec!W15)+(s_ET_far_i*(1/24)*up_RadSpec!AB15))))*1,".")</f>
        <v>.</v>
      </c>
      <c r="AS15" s="45">
        <f>up_b2s!BC15</f>
        <v>3.2968835384132272E-5</v>
      </c>
      <c r="AT15" s="45">
        <f>IFERROR(((J15*up_RadSpec!AU15)/up_RadSpec!AJ15)*1,".")</f>
        <v>6.6115702479338848E-4</v>
      </c>
      <c r="AU15" s="45">
        <f>IFERROR(((K15*up_RadSpec!AU15)/up_RadSpec!AK15)*1,".")</f>
        <v>6.6115702479338848E-4</v>
      </c>
      <c r="AV15" s="45">
        <f>IFERROR((G15/(up_RadSpec!AI15*((s_Q_p_beef*s_f_p_beef*s_f_s_beef*(up_RadSpec!BD15+s_R_es_past))+(s_Q_s_beef*s_f_p_beef))))*1,".")</f>
        <v>1.8558793678410905E-7</v>
      </c>
      <c r="AW15" s="45">
        <f>IFERROR(((H15*s_D_milk)/(up_RadSpec!AH15*((s_Q_p_dairy*s_f_p_dairy*s_f_s_dairy*(up_RadSpec!BD15+s_R_es_past))+(s_Q_s_dairy*s_f_p_dairy))))*1,".")</f>
        <v>1.9115557488763231E-7</v>
      </c>
      <c r="AX15" s="45">
        <f>IFERROR((I15/(up_RadSpec!AN15*((s_Q_p_swine*s_f_p_swine*s_f_s_swine*(up_RadSpec!BD15+s_R_es_past))+(s_Q_s_swine*s_f_p_swine))))*1,".")</f>
        <v>1.8558793678410905E-7</v>
      </c>
      <c r="AY15" s="45">
        <f>IFERROR((E15/(up_RadSpec!AL15*((s_Q_p_poultry*s_f_p_poultry*s_f_s_poultry*(up_RadSpec!BD15+s_R_es_past))+(s_Q_s_poultry*s_f_p_poultry))))*1,".")</f>
        <v>1.8558793678410905E-7</v>
      </c>
      <c r="AZ15" s="45">
        <f>IFERROR((F15/(up_RadSpec!AM15*((s_Q_p_poultry*s_f_p_poultry*s_f_s_poultry*(up_RadSpec!BD15+s_R_es_past))+(s_Q_s_poultry*s_f_p_poultry))))*1,".")</f>
        <v>1.8558793678410905E-7</v>
      </c>
      <c r="BA15" s="45">
        <f>IFERROR((L15/(up_RadSpec!AQ15*((s_Q_p_goat*s_f_p_goat*s_f_s_goat*(up_RadSpec!BD15+s_R_es_past))+(s_Q_s_goat*s_f_p_goat))))*1,".")</f>
        <v>1.8558793678410905E-7</v>
      </c>
      <c r="BB15" s="45">
        <f>IFERROR((N15*s_D_milk/(up_RadSpec!AR15*((s_Q_p_goat_milk*s_f_p_goat_milk*s_f_s_goat_milk*(up_RadSpec!BD15+s_R_es_past))+(s_Q_s_goat_milk*s_f_p_goat_milk))))*1,".")</f>
        <v>1.9115557488763231E-7</v>
      </c>
      <c r="BC15" s="45">
        <f>IFERROR((M15/(up_RadSpec!AO15*((s_Q_p_sheep*s_f_p_sheep*s_f_s_sheep*(up_RadSpec!BD15+s_R_es_past))+(s_Q_s_sheep*s_f_p_sheep))))*1,".")</f>
        <v>1.8558793678410905E-7</v>
      </c>
      <c r="BD15" s="45">
        <f>IFERROR((O15*s_D_milk/(up_RadSpec!AP15*((s_Q_p_sheep_milk*s_f_p_sheep_milk*s_f_s_sheep_milk*(up_RadSpec!BD15+s_R_es_past))+(s_Q_s_sheep_milk*s_f_p_sheep_milk))))*1,".")</f>
        <v>1.9115557488763231E-7</v>
      </c>
      <c r="BE15" s="111">
        <f t="shared" si="12"/>
        <v>3.0249999999999999</v>
      </c>
      <c r="BF15" s="111">
        <f t="shared" si="12"/>
        <v>3.236254558317935E-4</v>
      </c>
      <c r="BG15" s="111" t="str">
        <f t="shared" si="12"/>
        <v>.</v>
      </c>
      <c r="BH15" s="111">
        <f t="shared" si="12"/>
        <v>30331.674999999992</v>
      </c>
      <c r="BI15" s="111">
        <f t="shared" si="12"/>
        <v>1512.5</v>
      </c>
      <c r="BJ15" s="111">
        <f t="shared" si="12"/>
        <v>1512.5</v>
      </c>
      <c r="BK15" s="111">
        <f t="shared" si="12"/>
        <v>5388281.2499999991</v>
      </c>
      <c r="BL15" s="111">
        <f t="shared" si="12"/>
        <v>5231341.0194174759</v>
      </c>
      <c r="BM15" s="111">
        <f t="shared" si="12"/>
        <v>5388281.2499999991</v>
      </c>
      <c r="BN15" s="111">
        <f t="shared" si="12"/>
        <v>5388281.2499999991</v>
      </c>
      <c r="BO15" s="111">
        <f t="shared" si="12"/>
        <v>5388281.2499999991</v>
      </c>
      <c r="BP15" s="111">
        <f t="shared" si="12"/>
        <v>5388281.2499999991</v>
      </c>
      <c r="BQ15" s="111">
        <f t="shared" si="12"/>
        <v>5231341.0194174759</v>
      </c>
      <c r="BR15" s="111">
        <f t="shared" si="12"/>
        <v>5388281.2499999991</v>
      </c>
      <c r="BS15" s="111">
        <f t="shared" si="12"/>
        <v>5231341.0194174759</v>
      </c>
      <c r="BT15" s="15">
        <f t="shared" si="23"/>
        <v>2.0808592671575615E-8</v>
      </c>
      <c r="BU15" s="189">
        <f>IFERROR(BT15*(0.0000000000028)*up_RadSpec!$AY15*up_RadSpec!$AF15,0)</f>
        <v>6.0885942157030253E-17</v>
      </c>
      <c r="BV15" s="40">
        <f t="shared" si="13"/>
        <v>15.125</v>
      </c>
      <c r="BW15" s="40">
        <f t="shared" si="14"/>
        <v>1.6181272791589674E-3</v>
      </c>
      <c r="BX15" s="40">
        <f>IFERROR((s_C*s_EF_far*(1/365)*1*up_RadSpec!R15*((s_ET_far_o*(1/24)*up_RadSpec!W15)+(s_ET_far_i*(1/24)*up_RadSpec!AB15))),".")</f>
        <v>0</v>
      </c>
      <c r="BY15" s="40">
        <f>up_b2s!CC15</f>
        <v>151658.375</v>
      </c>
      <c r="BZ15" s="40">
        <f>IFERROR(((s_C*up_RadSpec!AJ15)/up_RadSpec!AU15)*s_IFFI_far_adj*s_CF_far_fish,0)</f>
        <v>7562.5</v>
      </c>
      <c r="CA15" s="40">
        <f>IFERROR(((s_C*up_RadSpec!AK15)/up_RadSpec!AU15)*s_IFSF_far_adj*s_CF_far_shellfish,0)</f>
        <v>7562.5</v>
      </c>
      <c r="CB15" s="40">
        <f>(s_C*s_IFB_far_adj*s_CF_far_beef*up_RadSpec!AI15*((s_Q_p_beef*s_f_p_beef*s_f_s_beef*(up_RadSpec!$AT15+s_R_es_past))+(s_Q_s_beef*s_f_p_beef)))</f>
        <v>26941406.25</v>
      </c>
      <c r="CC15" s="40">
        <f>(s_C*s_IFD_far_adj*s_CF_far_dairy*up_RadSpec!AH15*1/s_D_milk*((s_Q_p_dairy*s_f_p_dairy*s_f_s_dairy*(up_RadSpec!$AT15+s_R_es_past))+(s_Q_s_dairy*s_f_p_dairy)))</f>
        <v>26156705.09708738</v>
      </c>
      <c r="CD15" s="40">
        <f>IFERROR((s_C*s_IFSW_far_adj*s_CF_far_swine*up_RadSpec!AN15*((s_Q_p_swine*s_f_p_swine*s_f_s_swine*(up_RadSpec!$AT15+s_R_es_past))+(s_Q_s_swine*s_f_p_swine))),0)</f>
        <v>26941406.25</v>
      </c>
      <c r="CE15" s="40">
        <f>IFERROR((s_C*s_IFP_far_adj*s_CF_far_poultry*up_RadSpec!AL15*((s_Q_p_poultry*s_f_p_poultry*s_f_s_poultry*(up_RadSpec!AT15+s_R_es_past))+(s_Q_s_poultry*s_f_p_poultry))),0)</f>
        <v>26941406.25</v>
      </c>
      <c r="CF15" s="40">
        <f>IFERROR((s_C*s_IFE_far_adj*s_CF_far_egg*up_RadSpec!AM15*((s_Q_p_egg*s_f_p_egg*s_f_s_egg*(up_RadSpec!$AT15+s_R_es_past))+(s_Q_s_egg*s_f_p_egg))),0)</f>
        <v>26941406.25</v>
      </c>
      <c r="CG15" s="40">
        <f>IFERROR((s_C*s_IFGO_far_adj*s_CF_far_goat*up_RadSpec!AQ15*((s_Q_p_goat*s_f_p_goat*s_f_s_goat*(up_RadSpec!$AT15+s_R_es_past))+(s_Q_s_goat*s_f_p_goat))),0)</f>
        <v>26941406.25</v>
      </c>
      <c r="CH15" s="40">
        <f>IFERROR((s_C*s_IFGM_far_adj*s_CF_far_goat_milk*up_RadSpec!AR15*1/s_D_milk*((s_Q_p_goat_milk*s_f_p_goat_milk*s_f_s_goat_milk*(up_RadSpec!$AT15+s_R_es_past))+(s_Q_s_goat_milk*s_f_p_goat_milk))),0)</f>
        <v>26156705.09708738</v>
      </c>
      <c r="CI15" s="40">
        <f>IFERROR((s_C*s_IFSH_far_adj*s_CF_far_sheep*up_RadSpec!AO15*((s_Q_p_sheep*s_f_p_sheep*s_f_s_sheep*(up_RadSpec!$AT15+s_R_es_past))+(s_Q_s_sheep*s_f_p_sheep))),0)</f>
        <v>26941406.25</v>
      </c>
      <c r="CJ15" s="40">
        <f>IFERROR((s_C*s_IFSM_far_adj*s_CF_far_sheep_milk*up_RadSpec!AP15*1/s_D_milk*((s_Q_p_sheep_milk*s_f_p_sheep_milk*s_f_s_sheep_milk*(up_RadSpec!$AT15+s_R_es_past))+(s_Q_s_sheep_milk*s_f_p_sheep_milk))),0)</f>
        <v>26156705.09708738</v>
      </c>
      <c r="CK15" s="18"/>
      <c r="CL15" s="15">
        <f>IFERROR(s_DL/(up_RadSpec!I15*s_IFW_far_adj),".")</f>
        <v>3.6363636363636364E-3</v>
      </c>
      <c r="CM15" s="15" t="str">
        <f>IFERROR(IF(AND(up_RadSpec!C15=1,up_RadSpec!D15&lt;&gt;0),s_DL/(up_RadSpec!H15*s_IFA_far_adj*s_K*up_RadSpec!D15),"."),".")</f>
        <v>.</v>
      </c>
      <c r="CN15" s="15">
        <f>IFERROR((s_DL/(up_RadSpec!M15*(1/8760)*s_DFA_far_adj)),".")</f>
        <v>39.81818181818182</v>
      </c>
      <c r="CO15" s="15">
        <f>up_b2w!BC15</f>
        <v>1.6443412786038033E-4</v>
      </c>
      <c r="CP15" s="15">
        <f>IFERROR(J15/(up_RadSpec!AJ15*(1/1000)),".")</f>
        <v>0.13223140495867769</v>
      </c>
      <c r="CQ15" s="15">
        <f>IFERROR(K15/(up_RadSpec!AK15*(1/1000)),".")</f>
        <v>0.13223140495867769</v>
      </c>
      <c r="CR15" s="15">
        <f>IFERROR(G15/(up_RadSpec!AI15*s_Q_w_beef*(1/1000)),".")</f>
        <v>2.6446280991735537E-2</v>
      </c>
      <c r="CS15" s="15">
        <f>IFERROR((H15*s_D_milk)/(up_RadSpec!AH15*s_Q_w_dairy*(1/1000)),".")</f>
        <v>2.7239669421487603E-2</v>
      </c>
      <c r="CT15" s="15">
        <f>IFERROR(I15/(up_RadSpec!AN15*s_Q_w_swine*(1/1000)),".")</f>
        <v>2.6446280991735537E-2</v>
      </c>
      <c r="CU15" s="15">
        <f>IFERROR(E15/(up_RadSpec!AL15*s_Q_w_poultry*(1/1000)),".")</f>
        <v>2.6446280991735537E-2</v>
      </c>
      <c r="CV15" s="15">
        <f>IFERROR(F15/(up_RadSpec!AM15*s_Q_w_poultry*(1/1000)),".")</f>
        <v>2.6446280991735537E-2</v>
      </c>
      <c r="CW15" s="15">
        <f>IFERROR(L15/(up_RadSpec!AQ15*s_Q_w_goat*(1/1000)),".")</f>
        <v>2.6446280991735537E-2</v>
      </c>
      <c r="CX15" s="15">
        <f>IFERROR(N15*s_D_milk/(up_RadSpec!AR15*s_Q_w_goat_milk*(1/1000)),".")</f>
        <v>2.7239669421487603E-2</v>
      </c>
      <c r="CY15" s="15">
        <f>IFERROR(M15/(up_RadSpec!AO15*s_Q_w_sheep*(1/1000)),".")</f>
        <v>2.6446280991735537E-2</v>
      </c>
      <c r="CZ15" s="15">
        <f>IFERROR(O15*s_D_milk/(up_RadSpec!AP15*s_Q_w_sheep_milk*(1/1000)),".")</f>
        <v>2.7239669421487603E-2</v>
      </c>
      <c r="DA15" s="111">
        <f t="shared" si="15"/>
        <v>275</v>
      </c>
      <c r="DB15" s="111" t="str">
        <f t="shared" si="15"/>
        <v>.</v>
      </c>
      <c r="DC15" s="111">
        <f t="shared" si="15"/>
        <v>2.5114155251141551E-2</v>
      </c>
      <c r="DD15" s="111">
        <f t="shared" si="15"/>
        <v>6081.4626076229861</v>
      </c>
      <c r="DE15" s="111">
        <f t="shared" si="15"/>
        <v>7.5625</v>
      </c>
      <c r="DF15" s="111">
        <f t="shared" si="15"/>
        <v>7.5625</v>
      </c>
      <c r="DG15" s="111">
        <f t="shared" si="15"/>
        <v>37.8125</v>
      </c>
      <c r="DH15" s="111">
        <f t="shared" si="15"/>
        <v>36.711165048543691</v>
      </c>
      <c r="DI15" s="111">
        <f t="shared" si="15"/>
        <v>37.8125</v>
      </c>
      <c r="DJ15" s="111">
        <f t="shared" si="15"/>
        <v>37.8125</v>
      </c>
      <c r="DK15" s="111">
        <f t="shared" si="15"/>
        <v>37.8125</v>
      </c>
      <c r="DL15" s="111">
        <f t="shared" si="15"/>
        <v>37.8125</v>
      </c>
      <c r="DM15" s="111">
        <f t="shared" si="15"/>
        <v>36.711165048543691</v>
      </c>
      <c r="DN15" s="111">
        <f t="shared" si="15"/>
        <v>37.8125</v>
      </c>
      <c r="DO15" s="111">
        <f t="shared" si="15"/>
        <v>36.711165048543691</v>
      </c>
      <c r="DP15" s="15">
        <f t="shared" si="24"/>
        <v>1.4906192608956598E-4</v>
      </c>
      <c r="DQ15" s="189">
        <f>DP15*(0.0000000000000028)*up_RadSpec!$AY15*up_RadSpec!$AF15</f>
        <v>4.3615519573807014E-16</v>
      </c>
      <c r="DR15" s="40">
        <f t="shared" si="16"/>
        <v>1375</v>
      </c>
      <c r="DS15" s="40">
        <f>IFERROR(IF(up_RadSpec!D15&lt;&gt;"",s_C*s_IFA_far_adj*s_K*up_RadSpec!D15,0),".")</f>
        <v>0</v>
      </c>
      <c r="DT15" s="40">
        <f t="shared" si="17"/>
        <v>0.12557077625570776</v>
      </c>
      <c r="DU15" s="40">
        <f>up_b2w!CC15</f>
        <v>30407.313038114935</v>
      </c>
      <c r="DV15" s="40">
        <f>IFERROR(s_C*up_RadSpec!AJ15*(1/1000)*s_IFFI_far_adj*s_CF_far_fish,0)</f>
        <v>37.8125</v>
      </c>
      <c r="DW15" s="40">
        <f>IFERROR(s_C*up_RadSpec!AK15*(1/1000)*s_IFSF_far_adj*s_CF_far_shellfish,0)</f>
        <v>37.8125</v>
      </c>
      <c r="DX15" s="40">
        <f>(s_C*s_IFB_far_adj*s_CF_far_beef*up_RadSpec!AI15*s_Q_w_beef*(1/1000))</f>
        <v>189.0625</v>
      </c>
      <c r="DY15" s="40">
        <f>(s_C*s_IFD_far_adj*s_CF_far_dairy*up_RadSpec!AH15*(1/s_D_milk)*s_Q_w_dairy*(1/1000))</f>
        <v>183.55582524271844</v>
      </c>
      <c r="DZ15" s="40">
        <f>IFERROR((s_C*s_IFSW_far_adj*s_CF_far_swine*up_RadSpec!AN15*s_Q_w_swine*(1/1000)),0)</f>
        <v>189.0625</v>
      </c>
      <c r="EA15" s="40">
        <f>IFERROR((s_C*s_IFP_far_adj*s_CF_far_poultry*up_RadSpec!AL15*s_Q_w_poultry*(1/1000)),0)</f>
        <v>189.0625</v>
      </c>
      <c r="EB15" s="40">
        <f>IFERROR((s_C*s_IFE_far_adj*s_CF_far_egg*up_RadSpec!AM15*s_Q_w_egg*(1/1000)),0)</f>
        <v>189.0625</v>
      </c>
      <c r="EC15" s="40">
        <f>IFERROR((s_C*s_IFGO_far_adj*s_CF_far_goat*up_RadSpec!AQ15*s_Q_p_goat*(1/1000)),0)</f>
        <v>189.0625</v>
      </c>
      <c r="ED15" s="40">
        <f>IFERROR((s_C*s_IFGM_far_adj*s_CF_far_goat_milk*up_RadSpec!AR15*(1/s_D_milk)*s_Q_p_goat_milk*(1/1000)),0)</f>
        <v>183.55582524271844</v>
      </c>
      <c r="EE15" s="40">
        <f>IFERROR((s_C*s_IFSH_far_adj*s_CF_far_sheep*up_RadSpec!AO15*s_Q_p_sheep*(1/1000)),0)</f>
        <v>189.0625</v>
      </c>
      <c r="EF15" s="40">
        <f>IFERROR((s_C*s_IFSM_far_adj*s_CF_far_sheep_milk*up_RadSpec!AP15*(1/s_D_milk)*s_Q_p_sheep_milk*(1/1000)),0)</f>
        <v>183.55582524271844</v>
      </c>
      <c r="EG15" s="5"/>
      <c r="EH15" s="15">
        <f>IFERROR((s_DL/(up_RadSpec!H15*s_IFA_far_adj)),".")</f>
        <v>9.9740259740259754E-3</v>
      </c>
      <c r="EI15" s="15">
        <f>IFERROR((s_DL/(up_RadSpec!K15*s_EF_far*(1/365)*1*s_ET_far*(1/24)*s_GSF_a)),".")</f>
        <v>63.709090909090911</v>
      </c>
      <c r="EJ15" s="15">
        <f t="shared" si="25"/>
        <v>9.9724647271019675E-3</v>
      </c>
      <c r="EK15" s="189">
        <f>EJ15*(0.0000000000000028)*up_RadSpec!$AY15*up_RadSpec!$AF15</f>
        <v>2.9179431791500361E-14</v>
      </c>
      <c r="EL15" s="40">
        <f t="shared" si="19"/>
        <v>501.30208333333326</v>
      </c>
      <c r="EM15" s="40">
        <f t="shared" si="20"/>
        <v>7.8481735159817351E-2</v>
      </c>
      <c r="EN15" s="113"/>
    </row>
    <row r="16" spans="1:144" customFormat="1" x14ac:dyDescent="0.25">
      <c r="A16" s="44" t="s">
        <v>14</v>
      </c>
      <c r="B16" s="42" t="s">
        <v>1057</v>
      </c>
      <c r="C16" s="238"/>
      <c r="D16" s="15">
        <f>up_dir!AC16</f>
        <v>1.6528925619834712E-4</v>
      </c>
      <c r="E16" s="15">
        <f>IFERROR(s_DL/(up_RadSpec!F16*s_IFP_far_adj*s_CF_far_poultry),".")</f>
        <v>6.6115702479338848E-4</v>
      </c>
      <c r="F16" s="15">
        <f>IFERROR(s_DL/(up_RadSpec!F16*s_IFE_far_adj*s_CF_far_egg),".")</f>
        <v>6.6115702479338848E-4</v>
      </c>
      <c r="G16" s="15">
        <f>IFERROR(s_DL/(up_RadSpec!F16*s_IFB_far_adj*s_CF_far_beef),".")</f>
        <v>6.6115702479338848E-4</v>
      </c>
      <c r="H16" s="15">
        <f>IFERROR(s_DL/(up_RadSpec!F16*s_IFD_far_adj*s_CF_far_dairy),".")</f>
        <v>6.6115702479338848E-4</v>
      </c>
      <c r="I16" s="15">
        <f>IFERROR(s_DL/(up_RadSpec!F16*s_IFSW_far_adj*s_CF_far_swine),".")</f>
        <v>6.6115702479338848E-4</v>
      </c>
      <c r="J16" s="15">
        <f>IFERROR(s_DL/(up_RadSpec!F16*s_IFFI_far_adj*s_CF_far_fish),".")</f>
        <v>6.6115702479338848E-4</v>
      </c>
      <c r="K16" s="15">
        <f>IFERROR(s_DL/(up_RadSpec!F16*s_IFSF_far_adj*s_CF_far_shellfish),".")</f>
        <v>6.6115702479338848E-4</v>
      </c>
      <c r="L16" s="15">
        <f>IFERROR(s_DL/(up_RadSpec!F16*s_IFGO_far_adj*s_CF_far_goat),".")</f>
        <v>6.6115702479338848E-4</v>
      </c>
      <c r="M16" s="15">
        <f>IFERROR(s_DL/(up_RadSpec!F16*s_IFSH_far_adj*s_CF_far_sheep),".")</f>
        <v>6.6115702479338848E-4</v>
      </c>
      <c r="N16" s="15">
        <f>IFERROR(s_DL/(up_RadSpec!F16*s_IFGM_far_adj*s_CF_far_goat_milk),".")</f>
        <v>6.6115702479338848E-4</v>
      </c>
      <c r="O16" s="15">
        <f>IFERROR(s_DL/(up_RadSpec!F16*s_IFSM_far_adj*s_CF_far_sheep_milk),".")</f>
        <v>6.6115702479338848E-4</v>
      </c>
      <c r="P16" s="111">
        <f t="shared" si="21"/>
        <v>1512.5</v>
      </c>
      <c r="Q16" s="111">
        <f t="shared" si="21"/>
        <v>1512.5</v>
      </c>
      <c r="R16" s="111">
        <f t="shared" si="21"/>
        <v>1512.5</v>
      </c>
      <c r="S16" s="111">
        <f t="shared" si="21"/>
        <v>1512.5</v>
      </c>
      <c r="T16" s="111">
        <f t="shared" si="21"/>
        <v>1512.5</v>
      </c>
      <c r="U16" s="111">
        <f t="shared" si="21"/>
        <v>1512.5</v>
      </c>
      <c r="V16" s="111">
        <f t="shared" si="21"/>
        <v>1512.5</v>
      </c>
      <c r="W16" s="111">
        <f t="shared" si="21"/>
        <v>1512.5</v>
      </c>
      <c r="X16" s="111">
        <f t="shared" si="0"/>
        <v>1512.5</v>
      </c>
      <c r="Y16" s="111">
        <f t="shared" si="0"/>
        <v>1512.5</v>
      </c>
      <c r="Z16" s="111">
        <f t="shared" si="0"/>
        <v>1512.5</v>
      </c>
      <c r="AA16" s="111">
        <f t="shared" si="0"/>
        <v>1512.5</v>
      </c>
      <c r="AB16" s="15">
        <f t="shared" si="22"/>
        <v>5.5096418732782371E-5</v>
      </c>
      <c r="AC16" s="247">
        <f>IFERROR(AB16*(0.0000000000028)*up_RadSpec!$AY16*up_RadSpec!$AF16,0)</f>
        <v>1.6198347107438019E-13</v>
      </c>
      <c r="AD16" s="40">
        <f>up_dir!BC16</f>
        <v>30250</v>
      </c>
      <c r="AE16" s="40">
        <f t="shared" si="1"/>
        <v>7562.5</v>
      </c>
      <c r="AF16" s="40">
        <f t="shared" si="2"/>
        <v>7562.5</v>
      </c>
      <c r="AG16" s="40">
        <f t="shared" si="3"/>
        <v>7562.5</v>
      </c>
      <c r="AH16" s="40">
        <f t="shared" si="4"/>
        <v>7562.5</v>
      </c>
      <c r="AI16" s="40">
        <f t="shared" si="5"/>
        <v>7562.5</v>
      </c>
      <c r="AJ16" s="40">
        <f t="shared" si="6"/>
        <v>7562.5</v>
      </c>
      <c r="AK16" s="40">
        <f t="shared" si="7"/>
        <v>7562.5</v>
      </c>
      <c r="AL16" s="40">
        <f t="shared" si="8"/>
        <v>7562.5</v>
      </c>
      <c r="AM16" s="40">
        <f t="shared" si="9"/>
        <v>7562.5</v>
      </c>
      <c r="AN16" s="40">
        <f t="shared" si="10"/>
        <v>7562.5</v>
      </c>
      <c r="AO16" s="40">
        <f t="shared" si="11"/>
        <v>7562.5</v>
      </c>
      <c r="AP16" s="45">
        <f>IFERROR((s_DL/(up_RadSpec!E16*s_IFS_far_adj*(1/1000)))*1,".")</f>
        <v>0.33057851239669422</v>
      </c>
      <c r="AQ16" s="45">
        <f>IFERROR(IF(A16="H-3",(s_DL/(up_RadSpec!H16*s_IFA_far_adj*(1/17)*1000))*1,(s_DL/(up_RadSpec!H16*s_IFA_far_adj*(1/s_PEF_wind)*1000))*1),".")</f>
        <v>3089.9917851942919</v>
      </c>
      <c r="AR16" s="45">
        <f>IFERROR((s_DL/(up_RadSpec!G16*s_EF_far*(1/365)*1*up_RadSpec!R16*((s_ET_far_o*(1/24)*up_RadSpec!W16)+(s_ET_far_i*(1/24)*up_RadSpec!AB16))))*1,".")</f>
        <v>3187275.8459379398</v>
      </c>
      <c r="AS16" s="45">
        <f>up_b2s!BC16</f>
        <v>3.2968835384132272E-5</v>
      </c>
      <c r="AT16" s="45">
        <f>IFERROR(((J16*up_RadSpec!AU16)/up_RadSpec!AJ16)*1,".")</f>
        <v>6.6115702479338848E-4</v>
      </c>
      <c r="AU16" s="45">
        <f>IFERROR(((K16*up_RadSpec!AU16)/up_RadSpec!AK16)*1,".")</f>
        <v>6.6115702479338848E-4</v>
      </c>
      <c r="AV16" s="45">
        <f>IFERROR((G16/(up_RadSpec!AI16*((s_Q_p_beef*s_f_p_beef*s_f_s_beef*(up_RadSpec!BD16+s_R_es_past))+(s_Q_s_beef*s_f_p_beef))))*1,".")</f>
        <v>1.8558793678410905E-7</v>
      </c>
      <c r="AW16" s="45">
        <f>IFERROR(((H16*s_D_milk)/(up_RadSpec!AH16*((s_Q_p_dairy*s_f_p_dairy*s_f_s_dairy*(up_RadSpec!BD16+s_R_es_past))+(s_Q_s_dairy*s_f_p_dairy))))*1,".")</f>
        <v>1.9115557488763231E-7</v>
      </c>
      <c r="AX16" s="45">
        <f>IFERROR((I16/(up_RadSpec!AN16*((s_Q_p_swine*s_f_p_swine*s_f_s_swine*(up_RadSpec!BD16+s_R_es_past))+(s_Q_s_swine*s_f_p_swine))))*1,".")</f>
        <v>1.8558793678410905E-7</v>
      </c>
      <c r="AY16" s="45">
        <f>IFERROR((E16/(up_RadSpec!AL16*((s_Q_p_poultry*s_f_p_poultry*s_f_s_poultry*(up_RadSpec!BD16+s_R_es_past))+(s_Q_s_poultry*s_f_p_poultry))))*1,".")</f>
        <v>1.8558793678410905E-7</v>
      </c>
      <c r="AZ16" s="45">
        <f>IFERROR((F16/(up_RadSpec!AM16*((s_Q_p_poultry*s_f_p_poultry*s_f_s_poultry*(up_RadSpec!BD16+s_R_es_past))+(s_Q_s_poultry*s_f_p_poultry))))*1,".")</f>
        <v>1.8558793678410905E-7</v>
      </c>
      <c r="BA16" s="45">
        <f>IFERROR((L16/(up_RadSpec!AQ16*((s_Q_p_goat*s_f_p_goat*s_f_s_goat*(up_RadSpec!BD16+s_R_es_past))+(s_Q_s_goat*s_f_p_goat))))*1,".")</f>
        <v>1.8558793678410905E-7</v>
      </c>
      <c r="BB16" s="45">
        <f>IFERROR((N16*s_D_milk/(up_RadSpec!AR16*((s_Q_p_goat_milk*s_f_p_goat_milk*s_f_s_goat_milk*(up_RadSpec!BD16+s_R_es_past))+(s_Q_s_goat_milk*s_f_p_goat_milk))))*1,".")</f>
        <v>1.9115557488763231E-7</v>
      </c>
      <c r="BC16" s="45">
        <f>IFERROR((M16/(up_RadSpec!AO16*((s_Q_p_sheep*s_f_p_sheep*s_f_s_sheep*(up_RadSpec!BD16+s_R_es_past))+(s_Q_s_sheep*s_f_p_sheep))))*1,".")</f>
        <v>1.8558793678410905E-7</v>
      </c>
      <c r="BD16" s="45">
        <f>IFERROR((O16*s_D_milk/(up_RadSpec!AP16*((s_Q_p_sheep_milk*s_f_p_sheep_milk*s_f_s_sheep_milk*(up_RadSpec!BD16+s_R_es_past))+(s_Q_s_sheep_milk*s_f_p_sheep_milk))))*1,".")</f>
        <v>1.9115557488763231E-7</v>
      </c>
      <c r="BE16" s="111">
        <f t="shared" si="12"/>
        <v>3.0249999999999999</v>
      </c>
      <c r="BF16" s="111">
        <f t="shared" si="12"/>
        <v>3.236254558317935E-4</v>
      </c>
      <c r="BG16" s="111">
        <f t="shared" si="12"/>
        <v>3.1374755381604682E-7</v>
      </c>
      <c r="BH16" s="111">
        <f t="shared" si="12"/>
        <v>30331.674999999992</v>
      </c>
      <c r="BI16" s="111">
        <f t="shared" si="12"/>
        <v>1512.5</v>
      </c>
      <c r="BJ16" s="111">
        <f t="shared" si="12"/>
        <v>1512.5</v>
      </c>
      <c r="BK16" s="111">
        <f t="shared" si="12"/>
        <v>5388281.2499999991</v>
      </c>
      <c r="BL16" s="111">
        <f t="shared" si="12"/>
        <v>5231341.0194174759</v>
      </c>
      <c r="BM16" s="111">
        <f t="shared" si="12"/>
        <v>5388281.2499999991</v>
      </c>
      <c r="BN16" s="111">
        <f t="shared" si="12"/>
        <v>5388281.2499999991</v>
      </c>
      <c r="BO16" s="111">
        <f t="shared" si="12"/>
        <v>5388281.2499999991</v>
      </c>
      <c r="BP16" s="111">
        <f t="shared" si="12"/>
        <v>5388281.2499999991</v>
      </c>
      <c r="BQ16" s="111">
        <f t="shared" si="12"/>
        <v>5231341.0194174759</v>
      </c>
      <c r="BR16" s="111">
        <f t="shared" si="12"/>
        <v>5388281.2499999991</v>
      </c>
      <c r="BS16" s="111">
        <f t="shared" si="12"/>
        <v>5231341.0194174759</v>
      </c>
      <c r="BT16" s="15">
        <f t="shared" si="23"/>
        <v>2.0808592671575479E-8</v>
      </c>
      <c r="BU16" s="189">
        <f>IFERROR(BT16*(0.0000000000028)*up_RadSpec!$AY16*up_RadSpec!$AF16,0)</f>
        <v>6.1177262454431908E-17</v>
      </c>
      <c r="BV16" s="40">
        <f t="shared" si="13"/>
        <v>15.125</v>
      </c>
      <c r="BW16" s="40">
        <f t="shared" si="14"/>
        <v>1.6181272791589674E-3</v>
      </c>
      <c r="BX16" s="40">
        <f>IFERROR((s_C*s_EF_far*(1/365)*1*up_RadSpec!R16*((s_ET_far_o*(1/24)*up_RadSpec!W16)+(s_ET_far_i*(1/24)*up_RadSpec!AB16))),".")</f>
        <v>1.5687377690802341E-6</v>
      </c>
      <c r="BY16" s="40">
        <f>up_b2s!CC16</f>
        <v>151658.375</v>
      </c>
      <c r="BZ16" s="40">
        <f>IFERROR(((s_C*up_RadSpec!AJ16)/up_RadSpec!AU16)*s_IFFI_far_adj*s_CF_far_fish,0)</f>
        <v>7562.5</v>
      </c>
      <c r="CA16" s="40">
        <f>IFERROR(((s_C*up_RadSpec!AK16)/up_RadSpec!AU16)*s_IFSF_far_adj*s_CF_far_shellfish,0)</f>
        <v>7562.5</v>
      </c>
      <c r="CB16" s="40">
        <f>(s_C*s_IFB_far_adj*s_CF_far_beef*up_RadSpec!AI16*((s_Q_p_beef*s_f_p_beef*s_f_s_beef*(up_RadSpec!$AT16+s_R_es_past))+(s_Q_s_beef*s_f_p_beef)))</f>
        <v>26941406.25</v>
      </c>
      <c r="CC16" s="40">
        <f>(s_C*s_IFD_far_adj*s_CF_far_dairy*up_RadSpec!AH16*1/s_D_milk*((s_Q_p_dairy*s_f_p_dairy*s_f_s_dairy*(up_RadSpec!$AT16+s_R_es_past))+(s_Q_s_dairy*s_f_p_dairy)))</f>
        <v>26156705.09708738</v>
      </c>
      <c r="CD16" s="40">
        <f>IFERROR((s_C*s_IFSW_far_adj*s_CF_far_swine*up_RadSpec!AN16*((s_Q_p_swine*s_f_p_swine*s_f_s_swine*(up_RadSpec!$AT16+s_R_es_past))+(s_Q_s_swine*s_f_p_swine))),0)</f>
        <v>26941406.25</v>
      </c>
      <c r="CE16" s="40">
        <f>IFERROR((s_C*s_IFP_far_adj*s_CF_far_poultry*up_RadSpec!AL16*((s_Q_p_poultry*s_f_p_poultry*s_f_s_poultry*(up_RadSpec!AT16+s_R_es_past))+(s_Q_s_poultry*s_f_p_poultry))),0)</f>
        <v>26941406.25</v>
      </c>
      <c r="CF16" s="40">
        <f>IFERROR((s_C*s_IFE_far_adj*s_CF_far_egg*up_RadSpec!AM16*((s_Q_p_egg*s_f_p_egg*s_f_s_egg*(up_RadSpec!$AT16+s_R_es_past))+(s_Q_s_egg*s_f_p_egg))),0)</f>
        <v>26941406.25</v>
      </c>
      <c r="CG16" s="40">
        <f>IFERROR((s_C*s_IFGO_far_adj*s_CF_far_goat*up_RadSpec!AQ16*((s_Q_p_goat*s_f_p_goat*s_f_s_goat*(up_RadSpec!$AT16+s_R_es_past))+(s_Q_s_goat*s_f_p_goat))),0)</f>
        <v>26941406.25</v>
      </c>
      <c r="CH16" s="40">
        <f>IFERROR((s_C*s_IFGM_far_adj*s_CF_far_goat_milk*up_RadSpec!AR16*1/s_D_milk*((s_Q_p_goat_milk*s_f_p_goat_milk*s_f_s_goat_milk*(up_RadSpec!$AT16+s_R_es_past))+(s_Q_s_goat_milk*s_f_p_goat_milk))),0)</f>
        <v>26156705.09708738</v>
      </c>
      <c r="CI16" s="40">
        <f>IFERROR((s_C*s_IFSH_far_adj*s_CF_far_sheep*up_RadSpec!AO16*((s_Q_p_sheep*s_f_p_sheep*s_f_s_sheep*(up_RadSpec!$AT16+s_R_es_past))+(s_Q_s_sheep*s_f_p_sheep))),0)</f>
        <v>26941406.25</v>
      </c>
      <c r="CJ16" s="40">
        <f>IFERROR((s_C*s_IFSM_far_adj*s_CF_far_sheep_milk*up_RadSpec!AP16*1/s_D_milk*((s_Q_p_sheep_milk*s_f_p_sheep_milk*s_f_s_sheep_milk*(up_RadSpec!$AT16+s_R_es_past))+(s_Q_s_sheep_milk*s_f_p_sheep_milk))),0)</f>
        <v>26156705.09708738</v>
      </c>
      <c r="CK16" s="18"/>
      <c r="CL16" s="15">
        <f>IFERROR(s_DL/(up_RadSpec!I16*s_IFW_far_adj),".")</f>
        <v>3.6363636363636364E-3</v>
      </c>
      <c r="CM16" s="15" t="str">
        <f>IFERROR(IF(AND(up_RadSpec!C16=1,up_RadSpec!D16&lt;&gt;0),s_DL/(up_RadSpec!H16*s_IFA_far_adj*s_K*up_RadSpec!D16),"."),".")</f>
        <v>.</v>
      </c>
      <c r="CN16" s="15">
        <f>IFERROR((s_DL/(up_RadSpec!M16*(1/8760)*s_DFA_far_adj)),".")</f>
        <v>39.81818181818182</v>
      </c>
      <c r="CO16" s="15">
        <f>up_b2w!BC16</f>
        <v>1.6443412786038033E-4</v>
      </c>
      <c r="CP16" s="15">
        <f>IFERROR(J16/(up_RadSpec!AJ16*(1/1000)),".")</f>
        <v>0.13223140495867769</v>
      </c>
      <c r="CQ16" s="15">
        <f>IFERROR(K16/(up_RadSpec!AK16*(1/1000)),".")</f>
        <v>0.13223140495867769</v>
      </c>
      <c r="CR16" s="15">
        <f>IFERROR(G16/(up_RadSpec!AI16*s_Q_w_beef*(1/1000)),".")</f>
        <v>2.6446280991735537E-2</v>
      </c>
      <c r="CS16" s="15">
        <f>IFERROR((H16*s_D_milk)/(up_RadSpec!AH16*s_Q_w_dairy*(1/1000)),".")</f>
        <v>2.7239669421487603E-2</v>
      </c>
      <c r="CT16" s="15">
        <f>IFERROR(I16/(up_RadSpec!AN16*s_Q_w_swine*(1/1000)),".")</f>
        <v>2.6446280991735537E-2</v>
      </c>
      <c r="CU16" s="15">
        <f>IFERROR(E16/(up_RadSpec!AL16*s_Q_w_poultry*(1/1000)),".")</f>
        <v>2.6446280991735537E-2</v>
      </c>
      <c r="CV16" s="15">
        <f>IFERROR(F16/(up_RadSpec!AM16*s_Q_w_poultry*(1/1000)),".")</f>
        <v>2.6446280991735537E-2</v>
      </c>
      <c r="CW16" s="15">
        <f>IFERROR(L16/(up_RadSpec!AQ16*s_Q_w_goat*(1/1000)),".")</f>
        <v>2.6446280991735537E-2</v>
      </c>
      <c r="CX16" s="15">
        <f>IFERROR(N16*s_D_milk/(up_RadSpec!AR16*s_Q_w_goat_milk*(1/1000)),".")</f>
        <v>2.7239669421487603E-2</v>
      </c>
      <c r="CY16" s="15">
        <f>IFERROR(M16/(up_RadSpec!AO16*s_Q_w_sheep*(1/1000)),".")</f>
        <v>2.6446280991735537E-2</v>
      </c>
      <c r="CZ16" s="15">
        <f>IFERROR(O16*s_D_milk/(up_RadSpec!AP16*s_Q_w_sheep_milk*(1/1000)),".")</f>
        <v>2.7239669421487603E-2</v>
      </c>
      <c r="DA16" s="111">
        <f t="shared" si="15"/>
        <v>275</v>
      </c>
      <c r="DB16" s="111" t="str">
        <f t="shared" si="15"/>
        <v>.</v>
      </c>
      <c r="DC16" s="111">
        <f t="shared" si="15"/>
        <v>2.5114155251141551E-2</v>
      </c>
      <c r="DD16" s="111">
        <f t="shared" si="15"/>
        <v>6081.4626076229861</v>
      </c>
      <c r="DE16" s="111">
        <f t="shared" si="15"/>
        <v>7.5625</v>
      </c>
      <c r="DF16" s="111">
        <f t="shared" si="15"/>
        <v>7.5625</v>
      </c>
      <c r="DG16" s="111">
        <f t="shared" si="15"/>
        <v>37.8125</v>
      </c>
      <c r="DH16" s="111">
        <f t="shared" si="15"/>
        <v>36.711165048543691</v>
      </c>
      <c r="DI16" s="111">
        <f t="shared" si="15"/>
        <v>37.8125</v>
      </c>
      <c r="DJ16" s="111">
        <f t="shared" si="15"/>
        <v>37.8125</v>
      </c>
      <c r="DK16" s="111">
        <f t="shared" si="15"/>
        <v>37.8125</v>
      </c>
      <c r="DL16" s="111">
        <f t="shared" si="15"/>
        <v>37.8125</v>
      </c>
      <c r="DM16" s="111">
        <f t="shared" si="15"/>
        <v>36.711165048543691</v>
      </c>
      <c r="DN16" s="111">
        <f t="shared" si="15"/>
        <v>37.8125</v>
      </c>
      <c r="DO16" s="111">
        <f t="shared" si="15"/>
        <v>36.711165048543691</v>
      </c>
      <c r="DP16" s="15">
        <f t="shared" si="24"/>
        <v>1.4906192608956598E-4</v>
      </c>
      <c r="DQ16" s="189">
        <f>DP16*(0.0000000000000028)*up_RadSpec!$AY16*up_RadSpec!$AF16</f>
        <v>4.3824206270332409E-16</v>
      </c>
      <c r="DR16" s="40">
        <f t="shared" si="16"/>
        <v>1375</v>
      </c>
      <c r="DS16" s="40">
        <f>IFERROR(IF(up_RadSpec!D16&lt;&gt;"",s_C*s_IFA_far_adj*s_K*up_RadSpec!D16,0),".")</f>
        <v>0</v>
      </c>
      <c r="DT16" s="40">
        <f t="shared" si="17"/>
        <v>0.12557077625570776</v>
      </c>
      <c r="DU16" s="40">
        <f>up_b2w!CC16</f>
        <v>30407.313038114935</v>
      </c>
      <c r="DV16" s="40">
        <f>IFERROR(s_C*up_RadSpec!AJ16*(1/1000)*s_IFFI_far_adj*s_CF_far_fish,0)</f>
        <v>37.8125</v>
      </c>
      <c r="DW16" s="40">
        <f>IFERROR(s_C*up_RadSpec!AK16*(1/1000)*s_IFSF_far_adj*s_CF_far_shellfish,0)</f>
        <v>37.8125</v>
      </c>
      <c r="DX16" s="40">
        <f>(s_C*s_IFB_far_adj*s_CF_far_beef*up_RadSpec!AI16*s_Q_w_beef*(1/1000))</f>
        <v>189.0625</v>
      </c>
      <c r="DY16" s="40">
        <f>(s_C*s_IFD_far_adj*s_CF_far_dairy*up_RadSpec!AH16*(1/s_D_milk)*s_Q_w_dairy*(1/1000))</f>
        <v>183.55582524271844</v>
      </c>
      <c r="DZ16" s="40">
        <f>IFERROR((s_C*s_IFSW_far_adj*s_CF_far_swine*up_RadSpec!AN16*s_Q_w_swine*(1/1000)),0)</f>
        <v>189.0625</v>
      </c>
      <c r="EA16" s="40">
        <f>IFERROR((s_C*s_IFP_far_adj*s_CF_far_poultry*up_RadSpec!AL16*s_Q_w_poultry*(1/1000)),0)</f>
        <v>189.0625</v>
      </c>
      <c r="EB16" s="40">
        <f>IFERROR((s_C*s_IFE_far_adj*s_CF_far_egg*up_RadSpec!AM16*s_Q_w_egg*(1/1000)),0)</f>
        <v>189.0625</v>
      </c>
      <c r="EC16" s="40">
        <f>IFERROR((s_C*s_IFGO_far_adj*s_CF_far_goat*up_RadSpec!AQ16*s_Q_p_goat*(1/1000)),0)</f>
        <v>189.0625</v>
      </c>
      <c r="ED16" s="40">
        <f>IFERROR((s_C*s_IFGM_far_adj*s_CF_far_goat_milk*up_RadSpec!AR16*(1/s_D_milk)*s_Q_p_goat_milk*(1/1000)),0)</f>
        <v>183.55582524271844</v>
      </c>
      <c r="EE16" s="40">
        <f>IFERROR((s_C*s_IFSH_far_adj*s_CF_far_sheep*up_RadSpec!AO16*s_Q_p_sheep*(1/1000)),0)</f>
        <v>189.0625</v>
      </c>
      <c r="EF16" s="40">
        <f>IFERROR((s_C*s_IFSM_far_adj*s_CF_far_sheep_milk*up_RadSpec!AP16*(1/s_D_milk)*s_Q_p_sheep_milk*(1/1000)),0)</f>
        <v>183.55582524271844</v>
      </c>
      <c r="EG16" s="5"/>
      <c r="EH16" s="15">
        <f>IFERROR((s_DL/(up_RadSpec!H16*s_IFA_far_adj)),".")</f>
        <v>9.9740259740259754E-3</v>
      </c>
      <c r="EI16" s="15">
        <f>IFERROR((s_DL/(up_RadSpec!K16*s_EF_far*(1/365)*1*s_ET_far*(1/24)*s_GSF_a)),".")</f>
        <v>63.709090909090911</v>
      </c>
      <c r="EJ16" s="15">
        <f t="shared" si="25"/>
        <v>9.9724647271019675E-3</v>
      </c>
      <c r="EK16" s="189">
        <f>EJ16*(0.0000000000000028)*up_RadSpec!$AY16*up_RadSpec!$AF16</f>
        <v>2.9319046297679789E-14</v>
      </c>
      <c r="EL16" s="40">
        <f t="shared" si="19"/>
        <v>501.30208333333326</v>
      </c>
      <c r="EM16" s="40">
        <f t="shared" si="20"/>
        <v>7.8481735159817351E-2</v>
      </c>
      <c r="EN16" s="113"/>
    </row>
    <row r="17" spans="1:144" customFormat="1" x14ac:dyDescent="0.25">
      <c r="A17" s="44" t="s">
        <v>15</v>
      </c>
      <c r="B17" s="42" t="s">
        <v>1057</v>
      </c>
      <c r="C17" s="238"/>
      <c r="D17" s="15">
        <f>up_dir!AC17</f>
        <v>1.6528925619834712E-4</v>
      </c>
      <c r="E17" s="15">
        <f>IFERROR(s_DL/(up_RadSpec!F17*s_IFP_far_adj*s_CF_far_poultry),".")</f>
        <v>6.6115702479338848E-4</v>
      </c>
      <c r="F17" s="15">
        <f>IFERROR(s_DL/(up_RadSpec!F17*s_IFE_far_adj*s_CF_far_egg),".")</f>
        <v>6.6115702479338848E-4</v>
      </c>
      <c r="G17" s="15">
        <f>IFERROR(s_DL/(up_RadSpec!F17*s_IFB_far_adj*s_CF_far_beef),".")</f>
        <v>6.6115702479338848E-4</v>
      </c>
      <c r="H17" s="15">
        <f>IFERROR(s_DL/(up_RadSpec!F17*s_IFD_far_adj*s_CF_far_dairy),".")</f>
        <v>6.6115702479338848E-4</v>
      </c>
      <c r="I17" s="15">
        <f>IFERROR(s_DL/(up_RadSpec!F17*s_IFSW_far_adj*s_CF_far_swine),".")</f>
        <v>6.6115702479338848E-4</v>
      </c>
      <c r="J17" s="15">
        <f>IFERROR(s_DL/(up_RadSpec!F17*s_IFFI_far_adj*s_CF_far_fish),".")</f>
        <v>6.6115702479338848E-4</v>
      </c>
      <c r="K17" s="15">
        <f>IFERROR(s_DL/(up_RadSpec!F17*s_IFSF_far_adj*s_CF_far_shellfish),".")</f>
        <v>6.6115702479338848E-4</v>
      </c>
      <c r="L17" s="15">
        <f>IFERROR(s_DL/(up_RadSpec!F17*s_IFGO_far_adj*s_CF_far_goat),".")</f>
        <v>6.6115702479338848E-4</v>
      </c>
      <c r="M17" s="15">
        <f>IFERROR(s_DL/(up_RadSpec!F17*s_IFSH_far_adj*s_CF_far_sheep),".")</f>
        <v>6.6115702479338848E-4</v>
      </c>
      <c r="N17" s="15">
        <f>IFERROR(s_DL/(up_RadSpec!F17*s_IFGM_far_adj*s_CF_far_goat_milk),".")</f>
        <v>6.6115702479338848E-4</v>
      </c>
      <c r="O17" s="15">
        <f>IFERROR(s_DL/(up_RadSpec!F17*s_IFSM_far_adj*s_CF_far_sheep_milk),".")</f>
        <v>6.6115702479338848E-4</v>
      </c>
      <c r="P17" s="111">
        <f t="shared" si="21"/>
        <v>1512.5</v>
      </c>
      <c r="Q17" s="111">
        <f t="shared" si="21"/>
        <v>1512.5</v>
      </c>
      <c r="R17" s="111">
        <f t="shared" si="21"/>
        <v>1512.5</v>
      </c>
      <c r="S17" s="111">
        <f t="shared" si="21"/>
        <v>1512.5</v>
      </c>
      <c r="T17" s="111">
        <f t="shared" si="21"/>
        <v>1512.5</v>
      </c>
      <c r="U17" s="111">
        <f t="shared" si="21"/>
        <v>1512.5</v>
      </c>
      <c r="V17" s="111">
        <f t="shared" si="21"/>
        <v>1512.5</v>
      </c>
      <c r="W17" s="111">
        <f t="shared" si="21"/>
        <v>1512.5</v>
      </c>
      <c r="X17" s="111">
        <f t="shared" si="0"/>
        <v>1512.5</v>
      </c>
      <c r="Y17" s="111">
        <f t="shared" si="0"/>
        <v>1512.5</v>
      </c>
      <c r="Z17" s="111">
        <f t="shared" si="0"/>
        <v>1512.5</v>
      </c>
      <c r="AA17" s="111">
        <f t="shared" si="0"/>
        <v>1512.5</v>
      </c>
      <c r="AB17" s="15">
        <f t="shared" si="22"/>
        <v>5.5096418732782371E-5</v>
      </c>
      <c r="AC17" s="247">
        <f>IFERROR(AB17*(0.0000000000028)*up_RadSpec!$AY17*up_RadSpec!$AF17,0)</f>
        <v>1.6506887052341601E-13</v>
      </c>
      <c r="AD17" s="40">
        <f>up_dir!BC17</f>
        <v>30250</v>
      </c>
      <c r="AE17" s="40">
        <f t="shared" si="1"/>
        <v>7562.5</v>
      </c>
      <c r="AF17" s="40">
        <f t="shared" si="2"/>
        <v>7562.5</v>
      </c>
      <c r="AG17" s="40">
        <f t="shared" si="3"/>
        <v>7562.5</v>
      </c>
      <c r="AH17" s="40">
        <f t="shared" si="4"/>
        <v>7562.5</v>
      </c>
      <c r="AI17" s="40">
        <f t="shared" si="5"/>
        <v>7562.5</v>
      </c>
      <c r="AJ17" s="40">
        <f t="shared" si="6"/>
        <v>7562.5</v>
      </c>
      <c r="AK17" s="40">
        <f t="shared" si="7"/>
        <v>7562.5</v>
      </c>
      <c r="AL17" s="40">
        <f t="shared" si="8"/>
        <v>7562.5</v>
      </c>
      <c r="AM17" s="40">
        <f t="shared" si="9"/>
        <v>7562.5</v>
      </c>
      <c r="AN17" s="40">
        <f t="shared" si="10"/>
        <v>7562.5</v>
      </c>
      <c r="AO17" s="40">
        <f t="shared" si="11"/>
        <v>7562.5</v>
      </c>
      <c r="AP17" s="45">
        <f>IFERROR((s_DL/(up_RadSpec!E17*s_IFS_far_adj*(1/1000)))*1,".")</f>
        <v>0.33057851239669422</v>
      </c>
      <c r="AQ17" s="45">
        <f>IFERROR(IF(A17="H-3",(s_DL/(up_RadSpec!H17*s_IFA_far_adj*(1/17)*1000))*1,(s_DL/(up_RadSpec!H17*s_IFA_far_adj*(1/s_PEF_wind)*1000))*1),".")</f>
        <v>3089.9917851942919</v>
      </c>
      <c r="AR17" s="45">
        <f>IFERROR((s_DL/(up_RadSpec!G17*s_EF_far*(1/365)*1*up_RadSpec!R17*((s_ET_far_o*(1/24)*up_RadSpec!W17)+(s_ET_far_i*(1/24)*up_RadSpec!AB17))))*1,".")</f>
        <v>293.03423848878384</v>
      </c>
      <c r="AS17" s="45">
        <f>up_b2s!BC17</f>
        <v>3.2968835384132272E-5</v>
      </c>
      <c r="AT17" s="45">
        <f>IFERROR(((J17*up_RadSpec!AU17)/up_RadSpec!AJ17)*1,".")</f>
        <v>6.6115702479338848E-4</v>
      </c>
      <c r="AU17" s="45">
        <f>IFERROR(((K17*up_RadSpec!AU17)/up_RadSpec!AK17)*1,".")</f>
        <v>6.6115702479338848E-4</v>
      </c>
      <c r="AV17" s="45">
        <f>IFERROR((G17/(up_RadSpec!AI17*((s_Q_p_beef*s_f_p_beef*s_f_s_beef*(up_RadSpec!BD17+s_R_es_past))+(s_Q_s_beef*s_f_p_beef))))*1,".")</f>
        <v>1.8558793678410905E-7</v>
      </c>
      <c r="AW17" s="45">
        <f>IFERROR(((H17*s_D_milk)/(up_RadSpec!AH17*((s_Q_p_dairy*s_f_p_dairy*s_f_s_dairy*(up_RadSpec!BD17+s_R_es_past))+(s_Q_s_dairy*s_f_p_dairy))))*1,".")</f>
        <v>1.9115557488763231E-7</v>
      </c>
      <c r="AX17" s="45">
        <f>IFERROR((I17/(up_RadSpec!AN17*((s_Q_p_swine*s_f_p_swine*s_f_s_swine*(up_RadSpec!BD17+s_R_es_past))+(s_Q_s_swine*s_f_p_swine))))*1,".")</f>
        <v>1.8558793678410905E-7</v>
      </c>
      <c r="AY17" s="45">
        <f>IFERROR((E17/(up_RadSpec!AL17*((s_Q_p_poultry*s_f_p_poultry*s_f_s_poultry*(up_RadSpec!BD17+s_R_es_past))+(s_Q_s_poultry*s_f_p_poultry))))*1,".")</f>
        <v>1.8558793678410905E-7</v>
      </c>
      <c r="AZ17" s="45">
        <f>IFERROR((F17/(up_RadSpec!AM17*((s_Q_p_poultry*s_f_p_poultry*s_f_s_poultry*(up_RadSpec!BD17+s_R_es_past))+(s_Q_s_poultry*s_f_p_poultry))))*1,".")</f>
        <v>1.8558793678410905E-7</v>
      </c>
      <c r="BA17" s="45">
        <f>IFERROR((L17/(up_RadSpec!AQ17*((s_Q_p_goat*s_f_p_goat*s_f_s_goat*(up_RadSpec!BD17+s_R_es_past))+(s_Q_s_goat*s_f_p_goat))))*1,".")</f>
        <v>1.8558793678410905E-7</v>
      </c>
      <c r="BB17" s="45">
        <f>IFERROR((N17*s_D_milk/(up_RadSpec!AR17*((s_Q_p_goat_milk*s_f_p_goat_milk*s_f_s_goat_milk*(up_RadSpec!BD17+s_R_es_past))+(s_Q_s_goat_milk*s_f_p_goat_milk))))*1,".")</f>
        <v>1.9115557488763231E-7</v>
      </c>
      <c r="BC17" s="45">
        <f>IFERROR((M17/(up_RadSpec!AO17*((s_Q_p_sheep*s_f_p_sheep*s_f_s_sheep*(up_RadSpec!BD17+s_R_es_past))+(s_Q_s_sheep*s_f_p_sheep))))*1,".")</f>
        <v>1.8558793678410905E-7</v>
      </c>
      <c r="BD17" s="45">
        <f>IFERROR((O17*s_D_milk/(up_RadSpec!AP17*((s_Q_p_sheep_milk*s_f_p_sheep_milk*s_f_s_sheep_milk*(up_RadSpec!BD17+s_R_es_past))+(s_Q_s_sheep_milk*s_f_p_sheep_milk))))*1,".")</f>
        <v>1.9115557488763231E-7</v>
      </c>
      <c r="BE17" s="111">
        <f t="shared" si="12"/>
        <v>3.0249999999999999</v>
      </c>
      <c r="BF17" s="111">
        <f t="shared" si="12"/>
        <v>3.236254558317935E-4</v>
      </c>
      <c r="BG17" s="111">
        <f t="shared" si="12"/>
        <v>3.4125705076551182E-3</v>
      </c>
      <c r="BH17" s="111">
        <f t="shared" si="12"/>
        <v>30331.674999999992</v>
      </c>
      <c r="BI17" s="111">
        <f t="shared" si="12"/>
        <v>1512.5</v>
      </c>
      <c r="BJ17" s="111">
        <f t="shared" si="12"/>
        <v>1512.5</v>
      </c>
      <c r="BK17" s="111">
        <f t="shared" si="12"/>
        <v>5388281.2499999991</v>
      </c>
      <c r="BL17" s="111">
        <f t="shared" si="12"/>
        <v>5231341.0194174759</v>
      </c>
      <c r="BM17" s="111">
        <f t="shared" si="12"/>
        <v>5388281.2499999991</v>
      </c>
      <c r="BN17" s="111">
        <f t="shared" si="12"/>
        <v>5388281.2499999991</v>
      </c>
      <c r="BO17" s="111">
        <f t="shared" si="12"/>
        <v>5388281.2499999991</v>
      </c>
      <c r="BP17" s="111">
        <f t="shared" si="12"/>
        <v>5388281.2499999991</v>
      </c>
      <c r="BQ17" s="111">
        <f t="shared" si="12"/>
        <v>5231341.0194174759</v>
      </c>
      <c r="BR17" s="111">
        <f t="shared" si="12"/>
        <v>5388281.2499999991</v>
      </c>
      <c r="BS17" s="111">
        <f t="shared" si="12"/>
        <v>5231341.0194174759</v>
      </c>
      <c r="BT17" s="15">
        <f t="shared" si="23"/>
        <v>2.0808592670097979E-8</v>
      </c>
      <c r="BU17" s="189">
        <f>IFERROR(BT17*(0.0000000000028)*up_RadSpec!$AY17*up_RadSpec!$AF17,0)</f>
        <v>6.2342543639613539E-17</v>
      </c>
      <c r="BV17" s="40">
        <f t="shared" si="13"/>
        <v>15.125</v>
      </c>
      <c r="BW17" s="40">
        <f t="shared" si="14"/>
        <v>1.6181272791589674E-3</v>
      </c>
      <c r="BX17" s="40">
        <f>IFERROR((s_C*s_EF_far*(1/365)*1*up_RadSpec!R17*((s_ET_far_o*(1/24)*up_RadSpec!W17)+(s_ET_far_i*(1/24)*up_RadSpec!AB17))),".")</f>
        <v>1.7062852538275591E-2</v>
      </c>
      <c r="BY17" s="40">
        <f>up_b2s!CC17</f>
        <v>151658.375</v>
      </c>
      <c r="BZ17" s="40">
        <f>IFERROR(((s_C*up_RadSpec!AJ17)/up_RadSpec!AU17)*s_IFFI_far_adj*s_CF_far_fish,0)</f>
        <v>7562.5</v>
      </c>
      <c r="CA17" s="40">
        <f>IFERROR(((s_C*up_RadSpec!AK17)/up_RadSpec!AU17)*s_IFSF_far_adj*s_CF_far_shellfish,0)</f>
        <v>7562.5</v>
      </c>
      <c r="CB17" s="40">
        <f>(s_C*s_IFB_far_adj*s_CF_far_beef*up_RadSpec!AI17*((s_Q_p_beef*s_f_p_beef*s_f_s_beef*(up_RadSpec!$AT17+s_R_es_past))+(s_Q_s_beef*s_f_p_beef)))</f>
        <v>26941406.25</v>
      </c>
      <c r="CC17" s="40">
        <f>(s_C*s_IFD_far_adj*s_CF_far_dairy*up_RadSpec!AH17*1/s_D_milk*((s_Q_p_dairy*s_f_p_dairy*s_f_s_dairy*(up_RadSpec!$AT17+s_R_es_past))+(s_Q_s_dairy*s_f_p_dairy)))</f>
        <v>26156705.09708738</v>
      </c>
      <c r="CD17" s="40">
        <f>IFERROR((s_C*s_IFSW_far_adj*s_CF_far_swine*up_RadSpec!AN17*((s_Q_p_swine*s_f_p_swine*s_f_s_swine*(up_RadSpec!$AT17+s_R_es_past))+(s_Q_s_swine*s_f_p_swine))),0)</f>
        <v>26941406.25</v>
      </c>
      <c r="CE17" s="40">
        <f>IFERROR((s_C*s_IFP_far_adj*s_CF_far_poultry*up_RadSpec!AL17*((s_Q_p_poultry*s_f_p_poultry*s_f_s_poultry*(up_RadSpec!AT17+s_R_es_past))+(s_Q_s_poultry*s_f_p_poultry))),0)</f>
        <v>26941406.25</v>
      </c>
      <c r="CF17" s="40">
        <f>IFERROR((s_C*s_IFE_far_adj*s_CF_far_egg*up_RadSpec!AM17*((s_Q_p_egg*s_f_p_egg*s_f_s_egg*(up_RadSpec!$AT17+s_R_es_past))+(s_Q_s_egg*s_f_p_egg))),0)</f>
        <v>26941406.25</v>
      </c>
      <c r="CG17" s="40">
        <f>IFERROR((s_C*s_IFGO_far_adj*s_CF_far_goat*up_RadSpec!AQ17*((s_Q_p_goat*s_f_p_goat*s_f_s_goat*(up_RadSpec!$AT17+s_R_es_past))+(s_Q_s_goat*s_f_p_goat))),0)</f>
        <v>26941406.25</v>
      </c>
      <c r="CH17" s="40">
        <f>IFERROR((s_C*s_IFGM_far_adj*s_CF_far_goat_milk*up_RadSpec!AR17*1/s_D_milk*((s_Q_p_goat_milk*s_f_p_goat_milk*s_f_s_goat_milk*(up_RadSpec!$AT17+s_R_es_past))+(s_Q_s_goat_milk*s_f_p_goat_milk))),0)</f>
        <v>26156705.09708738</v>
      </c>
      <c r="CI17" s="40">
        <f>IFERROR((s_C*s_IFSH_far_adj*s_CF_far_sheep*up_RadSpec!AO17*((s_Q_p_sheep*s_f_p_sheep*s_f_s_sheep*(up_RadSpec!$AT17+s_R_es_past))+(s_Q_s_sheep*s_f_p_sheep))),0)</f>
        <v>26941406.25</v>
      </c>
      <c r="CJ17" s="40">
        <f>IFERROR((s_C*s_IFSM_far_adj*s_CF_far_sheep_milk*up_RadSpec!AP17*1/s_D_milk*((s_Q_p_sheep_milk*s_f_p_sheep_milk*s_f_s_sheep_milk*(up_RadSpec!$AT17+s_R_es_past))+(s_Q_s_sheep_milk*s_f_p_sheep_milk))),0)</f>
        <v>26156705.09708738</v>
      </c>
      <c r="CK17" s="18"/>
      <c r="CL17" s="15">
        <f>IFERROR(s_DL/(up_RadSpec!I17*s_IFW_far_adj),".")</f>
        <v>3.6363636363636364E-3</v>
      </c>
      <c r="CM17" s="15">
        <f>IFERROR(IF(AND(up_RadSpec!C17=1,up_RadSpec!D17&lt;&gt;0),s_DL/(up_RadSpec!H17*s_IFA_far_adj*s_K*up_RadSpec!D17),"."),".")</f>
        <v>0.115609920856568</v>
      </c>
      <c r="CN17" s="15">
        <f>IFERROR((s_DL/(up_RadSpec!M17*(1/8760)*s_DFA_far_adj)),".")</f>
        <v>39.81818181818182</v>
      </c>
      <c r="CO17" s="15">
        <f>up_b2w!BC17</f>
        <v>1.6443412786038033E-4</v>
      </c>
      <c r="CP17" s="15">
        <f>IFERROR(J17/(up_RadSpec!AJ17*(1/1000)),".")</f>
        <v>0.13223140495867769</v>
      </c>
      <c r="CQ17" s="15">
        <f>IFERROR(K17/(up_RadSpec!AK17*(1/1000)),".")</f>
        <v>0.13223140495867769</v>
      </c>
      <c r="CR17" s="15">
        <f>IFERROR(G17/(up_RadSpec!AI17*s_Q_w_beef*(1/1000)),".")</f>
        <v>2.6446280991735537E-2</v>
      </c>
      <c r="CS17" s="15">
        <f>IFERROR((H17*s_D_milk)/(up_RadSpec!AH17*s_Q_w_dairy*(1/1000)),".")</f>
        <v>2.7239669421487603E-2</v>
      </c>
      <c r="CT17" s="15">
        <f>IFERROR(I17/(up_RadSpec!AN17*s_Q_w_swine*(1/1000)),".")</f>
        <v>2.6446280991735537E-2</v>
      </c>
      <c r="CU17" s="15">
        <f>IFERROR(E17/(up_RadSpec!AL17*s_Q_w_poultry*(1/1000)),".")</f>
        <v>2.6446280991735537E-2</v>
      </c>
      <c r="CV17" s="15">
        <f>IFERROR(F17/(up_RadSpec!AM17*s_Q_w_poultry*(1/1000)),".")</f>
        <v>2.6446280991735537E-2</v>
      </c>
      <c r="CW17" s="15">
        <f>IFERROR(L17/(up_RadSpec!AQ17*s_Q_w_goat*(1/1000)),".")</f>
        <v>2.6446280991735537E-2</v>
      </c>
      <c r="CX17" s="15">
        <f>IFERROR(N17*s_D_milk/(up_RadSpec!AR17*s_Q_w_goat_milk*(1/1000)),".")</f>
        <v>2.7239669421487603E-2</v>
      </c>
      <c r="CY17" s="15">
        <f>IFERROR(M17/(up_RadSpec!AO17*s_Q_w_sheep*(1/1000)),".")</f>
        <v>2.6446280991735537E-2</v>
      </c>
      <c r="CZ17" s="15">
        <f>IFERROR(O17*s_D_milk/(up_RadSpec!AP17*s_Q_w_sheep_milk*(1/1000)),".")</f>
        <v>2.7239669421487603E-2</v>
      </c>
      <c r="DA17" s="111">
        <f t="shared" si="15"/>
        <v>275</v>
      </c>
      <c r="DB17" s="111">
        <f t="shared" si="15"/>
        <v>8.6497767024739574</v>
      </c>
      <c r="DC17" s="111">
        <f t="shared" si="15"/>
        <v>2.5114155251141551E-2</v>
      </c>
      <c r="DD17" s="111">
        <f t="shared" si="15"/>
        <v>6081.4626076229861</v>
      </c>
      <c r="DE17" s="111">
        <f t="shared" si="15"/>
        <v>7.5625</v>
      </c>
      <c r="DF17" s="111">
        <f t="shared" si="15"/>
        <v>7.5625</v>
      </c>
      <c r="DG17" s="111">
        <f t="shared" si="15"/>
        <v>37.8125</v>
      </c>
      <c r="DH17" s="111">
        <f t="shared" si="15"/>
        <v>36.711165048543691</v>
      </c>
      <c r="DI17" s="111">
        <f t="shared" si="15"/>
        <v>37.8125</v>
      </c>
      <c r="DJ17" s="111">
        <f t="shared" si="15"/>
        <v>37.8125</v>
      </c>
      <c r="DK17" s="111">
        <f t="shared" si="15"/>
        <v>37.8125</v>
      </c>
      <c r="DL17" s="111">
        <f t="shared" si="15"/>
        <v>37.8125</v>
      </c>
      <c r="DM17" s="111">
        <f t="shared" si="15"/>
        <v>36.711165048543691</v>
      </c>
      <c r="DN17" s="111">
        <f t="shared" si="15"/>
        <v>37.8125</v>
      </c>
      <c r="DO17" s="111">
        <f t="shared" si="15"/>
        <v>36.711165048543691</v>
      </c>
      <c r="DP17" s="15">
        <f t="shared" si="24"/>
        <v>1.4886998022691747E-4</v>
      </c>
      <c r="DQ17" s="189">
        <f>DP17*(0.0000000000000028)*up_RadSpec!$AY17*up_RadSpec!$AF17</f>
        <v>4.4601446075984474E-16</v>
      </c>
      <c r="DR17" s="40">
        <f t="shared" si="16"/>
        <v>1375</v>
      </c>
      <c r="DS17" s="40">
        <f>IFERROR(IF(up_RadSpec!D17&lt;&gt;"",s_C*s_IFA_far_adj*s_K*up_RadSpec!D17,0),".")</f>
        <v>43.248883512369787</v>
      </c>
      <c r="DT17" s="40">
        <f t="shared" si="17"/>
        <v>0.12557077625570776</v>
      </c>
      <c r="DU17" s="40">
        <f>up_b2w!CC17</f>
        <v>30407.313038114935</v>
      </c>
      <c r="DV17" s="40">
        <f>IFERROR(s_C*up_RadSpec!AJ17*(1/1000)*s_IFFI_far_adj*s_CF_far_fish,0)</f>
        <v>37.8125</v>
      </c>
      <c r="DW17" s="40">
        <f>IFERROR(s_C*up_RadSpec!AK17*(1/1000)*s_IFSF_far_adj*s_CF_far_shellfish,0)</f>
        <v>37.8125</v>
      </c>
      <c r="DX17" s="40">
        <f>(s_C*s_IFB_far_adj*s_CF_far_beef*up_RadSpec!AI17*s_Q_w_beef*(1/1000))</f>
        <v>189.0625</v>
      </c>
      <c r="DY17" s="40">
        <f>(s_C*s_IFD_far_adj*s_CF_far_dairy*up_RadSpec!AH17*(1/s_D_milk)*s_Q_w_dairy*(1/1000))</f>
        <v>183.55582524271844</v>
      </c>
      <c r="DZ17" s="40">
        <f>IFERROR((s_C*s_IFSW_far_adj*s_CF_far_swine*up_RadSpec!AN17*s_Q_w_swine*(1/1000)),0)</f>
        <v>189.0625</v>
      </c>
      <c r="EA17" s="40">
        <f>IFERROR((s_C*s_IFP_far_adj*s_CF_far_poultry*up_RadSpec!AL17*s_Q_w_poultry*(1/1000)),0)</f>
        <v>189.0625</v>
      </c>
      <c r="EB17" s="40">
        <f>IFERROR((s_C*s_IFE_far_adj*s_CF_far_egg*up_RadSpec!AM17*s_Q_w_egg*(1/1000)),0)</f>
        <v>189.0625</v>
      </c>
      <c r="EC17" s="40">
        <f>IFERROR((s_C*s_IFGO_far_adj*s_CF_far_goat*up_RadSpec!AQ17*s_Q_p_goat*(1/1000)),0)</f>
        <v>189.0625</v>
      </c>
      <c r="ED17" s="40">
        <f>IFERROR((s_C*s_IFGM_far_adj*s_CF_far_goat_milk*up_RadSpec!AR17*(1/s_D_milk)*s_Q_p_goat_milk*(1/1000)),0)</f>
        <v>183.55582524271844</v>
      </c>
      <c r="EE17" s="40">
        <f>IFERROR((s_C*s_IFSH_far_adj*s_CF_far_sheep*up_RadSpec!AO17*s_Q_p_sheep*(1/1000)),0)</f>
        <v>189.0625</v>
      </c>
      <c r="EF17" s="40">
        <f>IFERROR((s_C*s_IFSM_far_adj*s_CF_far_sheep_milk*up_RadSpec!AP17*(1/s_D_milk)*s_Q_p_sheep_milk*(1/1000)),0)</f>
        <v>183.55582524271844</v>
      </c>
      <c r="EG17" s="5"/>
      <c r="EH17" s="15">
        <f>IFERROR((s_DL/(up_RadSpec!H17*s_IFA_far_adj)),".")</f>
        <v>9.9740259740259754E-3</v>
      </c>
      <c r="EI17" s="15">
        <f>IFERROR((s_DL/(up_RadSpec!K17*s_EF_far*(1/365)*1*s_ET_far*(1/24)*s_GSF_a)),".")</f>
        <v>63.709090909090911</v>
      </c>
      <c r="EJ17" s="15">
        <f t="shared" si="25"/>
        <v>9.9724647271019675E-3</v>
      </c>
      <c r="EK17" s="189">
        <f>EJ17*(0.0000000000000028)*up_RadSpec!$AY17*up_RadSpec!$AF17</f>
        <v>2.9877504322397496E-14</v>
      </c>
      <c r="EL17" s="40">
        <f t="shared" si="19"/>
        <v>501.30208333333326</v>
      </c>
      <c r="EM17" s="40">
        <f t="shared" si="20"/>
        <v>7.8481735159817351E-2</v>
      </c>
      <c r="EN17" s="113"/>
    </row>
    <row r="18" spans="1:144" customFormat="1" x14ac:dyDescent="0.25">
      <c r="A18" s="44" t="s">
        <v>16</v>
      </c>
      <c r="B18" s="42" t="s">
        <v>1057</v>
      </c>
      <c r="C18" s="238"/>
      <c r="D18" s="15">
        <f>up_dir!AC18</f>
        <v>1.6528925619834712E-4</v>
      </c>
      <c r="E18" s="15">
        <f>IFERROR(s_DL/(up_RadSpec!F18*s_IFP_far_adj*s_CF_far_poultry),".")</f>
        <v>6.6115702479338848E-4</v>
      </c>
      <c r="F18" s="15">
        <f>IFERROR(s_DL/(up_RadSpec!F18*s_IFE_far_adj*s_CF_far_egg),".")</f>
        <v>6.6115702479338848E-4</v>
      </c>
      <c r="G18" s="15">
        <f>IFERROR(s_DL/(up_RadSpec!F18*s_IFB_far_adj*s_CF_far_beef),".")</f>
        <v>6.6115702479338848E-4</v>
      </c>
      <c r="H18" s="15">
        <f>IFERROR(s_DL/(up_RadSpec!F18*s_IFD_far_adj*s_CF_far_dairy),".")</f>
        <v>6.6115702479338848E-4</v>
      </c>
      <c r="I18" s="15">
        <f>IFERROR(s_DL/(up_RadSpec!F18*s_IFSW_far_adj*s_CF_far_swine),".")</f>
        <v>6.6115702479338848E-4</v>
      </c>
      <c r="J18" s="15">
        <f>IFERROR(s_DL/(up_RadSpec!F18*s_IFFI_far_adj*s_CF_far_fish),".")</f>
        <v>6.6115702479338848E-4</v>
      </c>
      <c r="K18" s="15">
        <f>IFERROR(s_DL/(up_RadSpec!F18*s_IFSF_far_adj*s_CF_far_shellfish),".")</f>
        <v>6.6115702479338848E-4</v>
      </c>
      <c r="L18" s="15">
        <f>IFERROR(s_DL/(up_RadSpec!F18*s_IFGO_far_adj*s_CF_far_goat),".")</f>
        <v>6.6115702479338848E-4</v>
      </c>
      <c r="M18" s="15">
        <f>IFERROR(s_DL/(up_RadSpec!F18*s_IFSH_far_adj*s_CF_far_sheep),".")</f>
        <v>6.6115702479338848E-4</v>
      </c>
      <c r="N18" s="15">
        <f>IFERROR(s_DL/(up_RadSpec!F18*s_IFGM_far_adj*s_CF_far_goat_milk),".")</f>
        <v>6.6115702479338848E-4</v>
      </c>
      <c r="O18" s="15">
        <f>IFERROR(s_DL/(up_RadSpec!F18*s_IFSM_far_adj*s_CF_far_sheep_milk),".")</f>
        <v>6.6115702479338848E-4</v>
      </c>
      <c r="P18" s="111">
        <f t="shared" si="21"/>
        <v>1512.5</v>
      </c>
      <c r="Q18" s="111">
        <f t="shared" si="21"/>
        <v>1512.5</v>
      </c>
      <c r="R18" s="111">
        <f t="shared" si="21"/>
        <v>1512.5</v>
      </c>
      <c r="S18" s="111">
        <f t="shared" si="21"/>
        <v>1512.5</v>
      </c>
      <c r="T18" s="111">
        <f t="shared" si="21"/>
        <v>1512.5</v>
      </c>
      <c r="U18" s="111">
        <f t="shared" si="21"/>
        <v>1512.5</v>
      </c>
      <c r="V18" s="111">
        <f t="shared" si="21"/>
        <v>1512.5</v>
      </c>
      <c r="W18" s="111">
        <f t="shared" si="21"/>
        <v>1512.5</v>
      </c>
      <c r="X18" s="111">
        <f t="shared" ref="X18:AA76" si="26">IFERROR(1/L18,".")</f>
        <v>1512.5</v>
      </c>
      <c r="Y18" s="111">
        <f t="shared" si="26"/>
        <v>1512.5</v>
      </c>
      <c r="Z18" s="111">
        <f t="shared" si="26"/>
        <v>1512.5</v>
      </c>
      <c r="AA18" s="111">
        <f t="shared" si="26"/>
        <v>1512.5</v>
      </c>
      <c r="AB18" s="15">
        <f t="shared" si="22"/>
        <v>5.5096418732782371E-5</v>
      </c>
      <c r="AC18" s="247">
        <f>IFERROR(AB18*(0.0000000000028)*up_RadSpec!$AY18*up_RadSpec!$AF18,0)</f>
        <v>1.6198347107438019E-13</v>
      </c>
      <c r="AD18" s="40">
        <f>up_dir!BC18</f>
        <v>30250</v>
      </c>
      <c r="AE18" s="40">
        <f t="shared" si="1"/>
        <v>7562.5</v>
      </c>
      <c r="AF18" s="40">
        <f t="shared" si="2"/>
        <v>7562.5</v>
      </c>
      <c r="AG18" s="40">
        <f t="shared" si="3"/>
        <v>7562.5</v>
      </c>
      <c r="AH18" s="40">
        <f t="shared" si="4"/>
        <v>7562.5</v>
      </c>
      <c r="AI18" s="40">
        <f t="shared" si="5"/>
        <v>7562.5</v>
      </c>
      <c r="AJ18" s="40">
        <f t="shared" si="6"/>
        <v>7562.5</v>
      </c>
      <c r="AK18" s="40">
        <f t="shared" si="7"/>
        <v>7562.5</v>
      </c>
      <c r="AL18" s="40">
        <f t="shared" si="8"/>
        <v>7562.5</v>
      </c>
      <c r="AM18" s="40">
        <f t="shared" si="9"/>
        <v>7562.5</v>
      </c>
      <c r="AN18" s="40">
        <f t="shared" si="10"/>
        <v>7562.5</v>
      </c>
      <c r="AO18" s="40">
        <f t="shared" si="11"/>
        <v>7562.5</v>
      </c>
      <c r="AP18" s="45">
        <f>IFERROR((s_DL/(up_RadSpec!E18*s_IFS_far_adj*(1/1000)))*1,".")</f>
        <v>0.33057851239669422</v>
      </c>
      <c r="AQ18" s="45">
        <f>IFERROR(IF(A18="H-3",(s_DL/(up_RadSpec!H18*s_IFA_far_adj*(1/17)*1000))*1,(s_DL/(up_RadSpec!H18*s_IFA_far_adj*(1/s_PEF_wind)*1000))*1),".")</f>
        <v>3089.9917851942919</v>
      </c>
      <c r="AR18" s="45">
        <f>IFERROR((s_DL/(up_RadSpec!G18*s_EF_far*(1/365)*1*up_RadSpec!R18*((s_ET_far_o*(1/24)*up_RadSpec!W18)+(s_ET_far_i*(1/24)*up_RadSpec!AB18))))*1,".")</f>
        <v>149.24627075710671</v>
      </c>
      <c r="AS18" s="45">
        <f>up_b2s!BC18</f>
        <v>3.2968835384132272E-5</v>
      </c>
      <c r="AT18" s="45">
        <f>IFERROR(((J18*up_RadSpec!AU18)/up_RadSpec!AJ18)*1,".")</f>
        <v>6.6115702479338848E-4</v>
      </c>
      <c r="AU18" s="45">
        <f>IFERROR(((K18*up_RadSpec!AU18)/up_RadSpec!AK18)*1,".")</f>
        <v>6.6115702479338848E-4</v>
      </c>
      <c r="AV18" s="45">
        <f>IFERROR((G18/(up_RadSpec!AI18*((s_Q_p_beef*s_f_p_beef*s_f_s_beef*(up_RadSpec!BD18+s_R_es_past))+(s_Q_s_beef*s_f_p_beef))))*1,".")</f>
        <v>1.8558793678410905E-7</v>
      </c>
      <c r="AW18" s="45">
        <f>IFERROR(((H18*s_D_milk)/(up_RadSpec!AH18*((s_Q_p_dairy*s_f_p_dairy*s_f_s_dairy*(up_RadSpec!BD18+s_R_es_past))+(s_Q_s_dairy*s_f_p_dairy))))*1,".")</f>
        <v>1.9115557488763231E-7</v>
      </c>
      <c r="AX18" s="45">
        <f>IFERROR((I18/(up_RadSpec!AN18*((s_Q_p_swine*s_f_p_swine*s_f_s_swine*(up_RadSpec!BD18+s_R_es_past))+(s_Q_s_swine*s_f_p_swine))))*1,".")</f>
        <v>1.8558793678410905E-7</v>
      </c>
      <c r="AY18" s="45">
        <f>IFERROR((E18/(up_RadSpec!AL18*((s_Q_p_poultry*s_f_p_poultry*s_f_s_poultry*(up_RadSpec!BD18+s_R_es_past))+(s_Q_s_poultry*s_f_p_poultry))))*1,".")</f>
        <v>1.8558793678410905E-7</v>
      </c>
      <c r="AZ18" s="45">
        <f>IFERROR((F18/(up_RadSpec!AM18*((s_Q_p_poultry*s_f_p_poultry*s_f_s_poultry*(up_RadSpec!BD18+s_R_es_past))+(s_Q_s_poultry*s_f_p_poultry))))*1,".")</f>
        <v>1.8558793678410905E-7</v>
      </c>
      <c r="BA18" s="45">
        <f>IFERROR((L18/(up_RadSpec!AQ18*((s_Q_p_goat*s_f_p_goat*s_f_s_goat*(up_RadSpec!BD18+s_R_es_past))+(s_Q_s_goat*s_f_p_goat))))*1,".")</f>
        <v>1.8558793678410905E-7</v>
      </c>
      <c r="BB18" s="45">
        <f>IFERROR((N18*s_D_milk/(up_RadSpec!AR18*((s_Q_p_goat_milk*s_f_p_goat_milk*s_f_s_goat_milk*(up_RadSpec!BD18+s_R_es_past))+(s_Q_s_goat_milk*s_f_p_goat_milk))))*1,".")</f>
        <v>1.9115557488763231E-7</v>
      </c>
      <c r="BC18" s="45">
        <f>IFERROR((M18/(up_RadSpec!AO18*((s_Q_p_sheep*s_f_p_sheep*s_f_s_sheep*(up_RadSpec!BD18+s_R_es_past))+(s_Q_s_sheep*s_f_p_sheep))))*1,".")</f>
        <v>1.8558793678410905E-7</v>
      </c>
      <c r="BD18" s="45">
        <f>IFERROR((O18*s_D_milk/(up_RadSpec!AP18*((s_Q_p_sheep_milk*s_f_p_sheep_milk*s_f_s_sheep_milk*(up_RadSpec!BD18+s_R_es_past))+(s_Q_s_sheep_milk*s_f_p_sheep_milk))))*1,".")</f>
        <v>1.9115557488763231E-7</v>
      </c>
      <c r="BE18" s="111">
        <f t="shared" si="12"/>
        <v>3.0249999999999999</v>
      </c>
      <c r="BF18" s="111">
        <f t="shared" si="12"/>
        <v>3.236254558317935E-4</v>
      </c>
      <c r="BG18" s="111">
        <f t="shared" si="12"/>
        <v>6.700334922454889E-3</v>
      </c>
      <c r="BH18" s="111">
        <f t="shared" si="12"/>
        <v>30331.674999999992</v>
      </c>
      <c r="BI18" s="111">
        <f t="shared" si="12"/>
        <v>1512.5</v>
      </c>
      <c r="BJ18" s="111">
        <f t="shared" si="12"/>
        <v>1512.5</v>
      </c>
      <c r="BK18" s="111">
        <f t="shared" si="12"/>
        <v>5388281.2499999991</v>
      </c>
      <c r="BL18" s="111">
        <f t="shared" si="12"/>
        <v>5231341.0194174759</v>
      </c>
      <c r="BM18" s="111">
        <f t="shared" si="12"/>
        <v>5388281.2499999991</v>
      </c>
      <c r="BN18" s="111">
        <f t="shared" si="12"/>
        <v>5388281.2499999991</v>
      </c>
      <c r="BO18" s="111">
        <f t="shared" si="12"/>
        <v>5388281.2499999991</v>
      </c>
      <c r="BP18" s="111">
        <f t="shared" si="12"/>
        <v>5388281.2499999991</v>
      </c>
      <c r="BQ18" s="111">
        <f t="shared" si="12"/>
        <v>5231341.0194174759</v>
      </c>
      <c r="BR18" s="111">
        <f t="shared" si="12"/>
        <v>5388281.2499999991</v>
      </c>
      <c r="BS18" s="111">
        <f t="shared" si="12"/>
        <v>5231341.0194174759</v>
      </c>
      <c r="BT18" s="15">
        <f t="shared" si="23"/>
        <v>2.0808592668674384E-8</v>
      </c>
      <c r="BU18" s="189">
        <f>IFERROR(BT18*(0.0000000000028)*up_RadSpec!$AY18*up_RadSpec!$AF18,0)</f>
        <v>6.1177262445902695E-17</v>
      </c>
      <c r="BV18" s="40">
        <f t="shared" si="13"/>
        <v>15.125</v>
      </c>
      <c r="BW18" s="40">
        <f t="shared" si="14"/>
        <v>1.6181272791589674E-3</v>
      </c>
      <c r="BX18" s="40">
        <f>IFERROR((s_C*s_EF_far*(1/365)*1*up_RadSpec!R18*((s_ET_far_o*(1/24)*up_RadSpec!W18)+(s_ET_far_i*(1/24)*up_RadSpec!AB18))),".")</f>
        <v>3.3501674612274449E-2</v>
      </c>
      <c r="BY18" s="40">
        <f>up_b2s!CC18</f>
        <v>151658.375</v>
      </c>
      <c r="BZ18" s="40">
        <f>IFERROR(((s_C*up_RadSpec!AJ18)/up_RadSpec!AU18)*s_IFFI_far_adj*s_CF_far_fish,0)</f>
        <v>7562.5</v>
      </c>
      <c r="CA18" s="40">
        <f>IFERROR(((s_C*up_RadSpec!AK18)/up_RadSpec!AU18)*s_IFSF_far_adj*s_CF_far_shellfish,0)</f>
        <v>7562.5</v>
      </c>
      <c r="CB18" s="40">
        <f>(s_C*s_IFB_far_adj*s_CF_far_beef*up_RadSpec!AI18*((s_Q_p_beef*s_f_p_beef*s_f_s_beef*(up_RadSpec!$AT18+s_R_es_past))+(s_Q_s_beef*s_f_p_beef)))</f>
        <v>26941406.25</v>
      </c>
      <c r="CC18" s="40">
        <f>(s_C*s_IFD_far_adj*s_CF_far_dairy*up_RadSpec!AH18*1/s_D_milk*((s_Q_p_dairy*s_f_p_dairy*s_f_s_dairy*(up_RadSpec!$AT18+s_R_es_past))+(s_Q_s_dairy*s_f_p_dairy)))</f>
        <v>26156705.09708738</v>
      </c>
      <c r="CD18" s="40">
        <f>IFERROR((s_C*s_IFSW_far_adj*s_CF_far_swine*up_RadSpec!AN18*((s_Q_p_swine*s_f_p_swine*s_f_s_swine*(up_RadSpec!$AT18+s_R_es_past))+(s_Q_s_swine*s_f_p_swine))),0)</f>
        <v>26941406.25</v>
      </c>
      <c r="CE18" s="40">
        <f>IFERROR((s_C*s_IFP_far_adj*s_CF_far_poultry*up_RadSpec!AL18*((s_Q_p_poultry*s_f_p_poultry*s_f_s_poultry*(up_RadSpec!AT18+s_R_es_past))+(s_Q_s_poultry*s_f_p_poultry))),0)</f>
        <v>26941406.25</v>
      </c>
      <c r="CF18" s="40">
        <f>IFERROR((s_C*s_IFE_far_adj*s_CF_far_egg*up_RadSpec!AM18*((s_Q_p_egg*s_f_p_egg*s_f_s_egg*(up_RadSpec!$AT18+s_R_es_past))+(s_Q_s_egg*s_f_p_egg))),0)</f>
        <v>26941406.25</v>
      </c>
      <c r="CG18" s="40">
        <f>IFERROR((s_C*s_IFGO_far_adj*s_CF_far_goat*up_RadSpec!AQ18*((s_Q_p_goat*s_f_p_goat*s_f_s_goat*(up_RadSpec!$AT18+s_R_es_past))+(s_Q_s_goat*s_f_p_goat))),0)</f>
        <v>26941406.25</v>
      </c>
      <c r="CH18" s="40">
        <f>IFERROR((s_C*s_IFGM_far_adj*s_CF_far_goat_milk*up_RadSpec!AR18*1/s_D_milk*((s_Q_p_goat_milk*s_f_p_goat_milk*s_f_s_goat_milk*(up_RadSpec!$AT18+s_R_es_past))+(s_Q_s_goat_milk*s_f_p_goat_milk))),0)</f>
        <v>26156705.09708738</v>
      </c>
      <c r="CI18" s="40">
        <f>IFERROR((s_C*s_IFSH_far_adj*s_CF_far_sheep*up_RadSpec!AO18*((s_Q_p_sheep*s_f_p_sheep*s_f_s_sheep*(up_RadSpec!$AT18+s_R_es_past))+(s_Q_s_sheep*s_f_p_sheep))),0)</f>
        <v>26941406.25</v>
      </c>
      <c r="CJ18" s="40">
        <f>IFERROR((s_C*s_IFSM_far_adj*s_CF_far_sheep_milk*up_RadSpec!AP18*1/s_D_milk*((s_Q_p_sheep_milk*s_f_p_sheep_milk*s_f_s_sheep_milk*(up_RadSpec!$AT18+s_R_es_past))+(s_Q_s_sheep_milk*s_f_p_sheep_milk))),0)</f>
        <v>26156705.09708738</v>
      </c>
      <c r="CK18" s="18"/>
      <c r="CL18" s="15">
        <f>IFERROR(s_DL/(up_RadSpec!I18*s_IFW_far_adj),".")</f>
        <v>3.6363636363636364E-3</v>
      </c>
      <c r="CM18" s="15" t="str">
        <f>IFERROR(IF(AND(up_RadSpec!C18=1,up_RadSpec!D18&lt;&gt;0),s_DL/(up_RadSpec!H18*s_IFA_far_adj*s_K*up_RadSpec!D18),"."),".")</f>
        <v>.</v>
      </c>
      <c r="CN18" s="15">
        <f>IFERROR((s_DL/(up_RadSpec!M18*(1/8760)*s_DFA_far_adj)),".")</f>
        <v>39.81818181818182</v>
      </c>
      <c r="CO18" s="15">
        <f>up_b2w!BC18</f>
        <v>1.6443412786038033E-4</v>
      </c>
      <c r="CP18" s="15">
        <f>IFERROR(J18/(up_RadSpec!AJ18*(1/1000)),".")</f>
        <v>0.13223140495867769</v>
      </c>
      <c r="CQ18" s="15">
        <f>IFERROR(K18/(up_RadSpec!AK18*(1/1000)),".")</f>
        <v>0.13223140495867769</v>
      </c>
      <c r="CR18" s="15">
        <f>IFERROR(G18/(up_RadSpec!AI18*s_Q_w_beef*(1/1000)),".")</f>
        <v>2.6446280991735537E-2</v>
      </c>
      <c r="CS18" s="15">
        <f>IFERROR((H18*s_D_milk)/(up_RadSpec!AH18*s_Q_w_dairy*(1/1000)),".")</f>
        <v>2.7239669421487603E-2</v>
      </c>
      <c r="CT18" s="15">
        <f>IFERROR(I18/(up_RadSpec!AN18*s_Q_w_swine*(1/1000)),".")</f>
        <v>2.6446280991735537E-2</v>
      </c>
      <c r="CU18" s="15">
        <f>IFERROR(E18/(up_RadSpec!AL18*s_Q_w_poultry*(1/1000)),".")</f>
        <v>2.6446280991735537E-2</v>
      </c>
      <c r="CV18" s="15">
        <f>IFERROR(F18/(up_RadSpec!AM18*s_Q_w_poultry*(1/1000)),".")</f>
        <v>2.6446280991735537E-2</v>
      </c>
      <c r="CW18" s="15">
        <f>IFERROR(L18/(up_RadSpec!AQ18*s_Q_w_goat*(1/1000)),".")</f>
        <v>2.6446280991735537E-2</v>
      </c>
      <c r="CX18" s="15">
        <f>IFERROR(N18*s_D_milk/(up_RadSpec!AR18*s_Q_w_goat_milk*(1/1000)),".")</f>
        <v>2.7239669421487603E-2</v>
      </c>
      <c r="CY18" s="15">
        <f>IFERROR(M18/(up_RadSpec!AO18*s_Q_w_sheep*(1/1000)),".")</f>
        <v>2.6446280991735537E-2</v>
      </c>
      <c r="CZ18" s="15">
        <f>IFERROR(O18*s_D_milk/(up_RadSpec!AP18*s_Q_w_sheep_milk*(1/1000)),".")</f>
        <v>2.7239669421487603E-2</v>
      </c>
      <c r="DA18" s="111">
        <f t="shared" si="15"/>
        <v>275</v>
      </c>
      <c r="DB18" s="111" t="str">
        <f t="shared" si="15"/>
        <v>.</v>
      </c>
      <c r="DC18" s="111">
        <f t="shared" si="15"/>
        <v>2.5114155251141551E-2</v>
      </c>
      <c r="DD18" s="111">
        <f t="shared" si="15"/>
        <v>6081.4626076229861</v>
      </c>
      <c r="DE18" s="111">
        <f t="shared" si="15"/>
        <v>7.5625</v>
      </c>
      <c r="DF18" s="111">
        <f t="shared" si="15"/>
        <v>7.5625</v>
      </c>
      <c r="DG18" s="111">
        <f t="shared" si="15"/>
        <v>37.8125</v>
      </c>
      <c r="DH18" s="111">
        <f t="shared" si="15"/>
        <v>36.711165048543691</v>
      </c>
      <c r="DI18" s="111">
        <f t="shared" si="15"/>
        <v>37.8125</v>
      </c>
      <c r="DJ18" s="111">
        <f t="shared" si="15"/>
        <v>37.8125</v>
      </c>
      <c r="DK18" s="111">
        <f t="shared" si="15"/>
        <v>37.8125</v>
      </c>
      <c r="DL18" s="111">
        <f t="shared" si="15"/>
        <v>37.8125</v>
      </c>
      <c r="DM18" s="111">
        <f t="shared" si="15"/>
        <v>36.711165048543691</v>
      </c>
      <c r="DN18" s="111">
        <f t="shared" si="15"/>
        <v>37.8125</v>
      </c>
      <c r="DO18" s="111">
        <f t="shared" si="15"/>
        <v>36.711165048543691</v>
      </c>
      <c r="DP18" s="15">
        <f t="shared" si="24"/>
        <v>1.4906192608956598E-4</v>
      </c>
      <c r="DQ18" s="189">
        <f>DP18*(0.0000000000000028)*up_RadSpec!$AY18*up_RadSpec!$AF18</f>
        <v>4.3824206270332409E-16</v>
      </c>
      <c r="DR18" s="40">
        <f t="shared" si="16"/>
        <v>1375</v>
      </c>
      <c r="DS18" s="40">
        <f>IFERROR(IF(up_RadSpec!D18&lt;&gt;"",s_C*s_IFA_far_adj*s_K*up_RadSpec!D18,0),".")</f>
        <v>0</v>
      </c>
      <c r="DT18" s="40">
        <f t="shared" si="17"/>
        <v>0.12557077625570776</v>
      </c>
      <c r="DU18" s="40">
        <f>up_b2w!CC18</f>
        <v>30407.313038114935</v>
      </c>
      <c r="DV18" s="40">
        <f>IFERROR(s_C*up_RadSpec!AJ18*(1/1000)*s_IFFI_far_adj*s_CF_far_fish,0)</f>
        <v>37.8125</v>
      </c>
      <c r="DW18" s="40">
        <f>IFERROR(s_C*up_RadSpec!AK18*(1/1000)*s_IFSF_far_adj*s_CF_far_shellfish,0)</f>
        <v>37.8125</v>
      </c>
      <c r="DX18" s="40">
        <f>(s_C*s_IFB_far_adj*s_CF_far_beef*up_RadSpec!AI18*s_Q_w_beef*(1/1000))</f>
        <v>189.0625</v>
      </c>
      <c r="DY18" s="40">
        <f>(s_C*s_IFD_far_adj*s_CF_far_dairy*up_RadSpec!AH18*(1/s_D_milk)*s_Q_w_dairy*(1/1000))</f>
        <v>183.55582524271844</v>
      </c>
      <c r="DZ18" s="40">
        <f>IFERROR((s_C*s_IFSW_far_adj*s_CF_far_swine*up_RadSpec!AN18*s_Q_w_swine*(1/1000)),0)</f>
        <v>189.0625</v>
      </c>
      <c r="EA18" s="40">
        <f>IFERROR((s_C*s_IFP_far_adj*s_CF_far_poultry*up_RadSpec!AL18*s_Q_w_poultry*(1/1000)),0)</f>
        <v>189.0625</v>
      </c>
      <c r="EB18" s="40">
        <f>IFERROR((s_C*s_IFE_far_adj*s_CF_far_egg*up_RadSpec!AM18*s_Q_w_egg*(1/1000)),0)</f>
        <v>189.0625</v>
      </c>
      <c r="EC18" s="40">
        <f>IFERROR((s_C*s_IFGO_far_adj*s_CF_far_goat*up_RadSpec!AQ18*s_Q_p_goat*(1/1000)),0)</f>
        <v>189.0625</v>
      </c>
      <c r="ED18" s="40">
        <f>IFERROR((s_C*s_IFGM_far_adj*s_CF_far_goat_milk*up_RadSpec!AR18*(1/s_D_milk)*s_Q_p_goat_milk*(1/1000)),0)</f>
        <v>183.55582524271844</v>
      </c>
      <c r="EE18" s="40">
        <f>IFERROR((s_C*s_IFSH_far_adj*s_CF_far_sheep*up_RadSpec!AO18*s_Q_p_sheep*(1/1000)),0)</f>
        <v>189.0625</v>
      </c>
      <c r="EF18" s="40">
        <f>IFERROR((s_C*s_IFSM_far_adj*s_CF_far_sheep_milk*up_RadSpec!AP18*(1/s_D_milk)*s_Q_p_sheep_milk*(1/1000)),0)</f>
        <v>183.55582524271844</v>
      </c>
      <c r="EG18" s="5"/>
      <c r="EH18" s="15">
        <f>IFERROR((s_DL/(up_RadSpec!H18*s_IFA_far_adj)),".")</f>
        <v>9.9740259740259754E-3</v>
      </c>
      <c r="EI18" s="15">
        <f>IFERROR((s_DL/(up_RadSpec!K18*s_EF_far*(1/365)*1*s_ET_far*(1/24)*s_GSF_a)),".")</f>
        <v>63.709090909090911</v>
      </c>
      <c r="EJ18" s="15">
        <f t="shared" si="25"/>
        <v>9.9724647271019675E-3</v>
      </c>
      <c r="EK18" s="189">
        <f>EJ18*(0.0000000000000028)*up_RadSpec!$AY18*up_RadSpec!$AF18</f>
        <v>2.9319046297679789E-14</v>
      </c>
      <c r="EL18" s="40">
        <f t="shared" si="19"/>
        <v>501.30208333333326</v>
      </c>
      <c r="EM18" s="40">
        <f t="shared" si="20"/>
        <v>7.8481735159817351E-2</v>
      </c>
      <c r="EN18" s="113"/>
    </row>
    <row r="19" spans="1:144" customFormat="1" x14ac:dyDescent="0.25">
      <c r="A19" s="44" t="s">
        <v>17</v>
      </c>
      <c r="B19" s="42" t="s">
        <v>1057</v>
      </c>
      <c r="C19" s="42"/>
      <c r="D19" s="15">
        <f>up_dir!AC19</f>
        <v>1.6528925619834712E-4</v>
      </c>
      <c r="E19" s="15">
        <f>IFERROR(s_DL/(up_RadSpec!F19*s_IFP_far_adj*s_CF_far_poultry),".")</f>
        <v>6.6115702479338848E-4</v>
      </c>
      <c r="F19" s="15">
        <f>IFERROR(s_DL/(up_RadSpec!F19*s_IFE_far_adj*s_CF_far_egg),".")</f>
        <v>6.6115702479338848E-4</v>
      </c>
      <c r="G19" s="15">
        <f>IFERROR(s_DL/(up_RadSpec!F19*s_IFB_far_adj*s_CF_far_beef),".")</f>
        <v>6.6115702479338848E-4</v>
      </c>
      <c r="H19" s="15">
        <f>IFERROR(s_DL/(up_RadSpec!F19*s_IFD_far_adj*s_CF_far_dairy),".")</f>
        <v>6.6115702479338848E-4</v>
      </c>
      <c r="I19" s="15">
        <f>IFERROR(s_DL/(up_RadSpec!F19*s_IFSW_far_adj*s_CF_far_swine),".")</f>
        <v>6.6115702479338848E-4</v>
      </c>
      <c r="J19" s="15">
        <f>IFERROR(s_DL/(up_RadSpec!F19*s_IFFI_far_adj*s_CF_far_fish),".")</f>
        <v>6.6115702479338848E-4</v>
      </c>
      <c r="K19" s="15">
        <f>IFERROR(s_DL/(up_RadSpec!F19*s_IFSF_far_adj*s_CF_far_shellfish),".")</f>
        <v>6.6115702479338848E-4</v>
      </c>
      <c r="L19" s="15">
        <f>IFERROR(s_DL/(up_RadSpec!F19*s_IFGO_far_adj*s_CF_far_goat),".")</f>
        <v>6.6115702479338848E-4</v>
      </c>
      <c r="M19" s="15">
        <f>IFERROR(s_DL/(up_RadSpec!F19*s_IFSH_far_adj*s_CF_far_sheep),".")</f>
        <v>6.6115702479338848E-4</v>
      </c>
      <c r="N19" s="15">
        <f>IFERROR(s_DL/(up_RadSpec!F19*s_IFGM_far_adj*s_CF_far_goat_milk),".")</f>
        <v>6.6115702479338848E-4</v>
      </c>
      <c r="O19" s="15">
        <f>IFERROR(s_DL/(up_RadSpec!F19*s_IFSM_far_adj*s_CF_far_sheep_milk),".")</f>
        <v>6.6115702479338848E-4</v>
      </c>
      <c r="P19" s="111">
        <f t="shared" si="21"/>
        <v>1512.5</v>
      </c>
      <c r="Q19" s="111">
        <f t="shared" si="21"/>
        <v>1512.5</v>
      </c>
      <c r="R19" s="111">
        <f t="shared" si="21"/>
        <v>1512.5</v>
      </c>
      <c r="S19" s="111">
        <f t="shared" si="21"/>
        <v>1512.5</v>
      </c>
      <c r="T19" s="111">
        <f t="shared" si="21"/>
        <v>1512.5</v>
      </c>
      <c r="U19" s="111">
        <f t="shared" si="21"/>
        <v>1512.5</v>
      </c>
      <c r="V19" s="111">
        <f t="shared" si="21"/>
        <v>1512.5</v>
      </c>
      <c r="W19" s="111">
        <f t="shared" si="21"/>
        <v>1512.5</v>
      </c>
      <c r="X19" s="111">
        <f t="shared" si="26"/>
        <v>1512.5</v>
      </c>
      <c r="Y19" s="111">
        <f t="shared" si="26"/>
        <v>1512.5</v>
      </c>
      <c r="Z19" s="111">
        <f t="shared" si="26"/>
        <v>1512.5</v>
      </c>
      <c r="AA19" s="111">
        <f t="shared" si="26"/>
        <v>1512.5</v>
      </c>
      <c r="AB19" s="15">
        <f t="shared" si="22"/>
        <v>5.5096418732782371E-5</v>
      </c>
      <c r="AC19" s="247">
        <f>IFERROR(AB19*(0.0000000000028)*up_RadSpec!$AY19*up_RadSpec!$AF19,0)</f>
        <v>1.6429752066115703E-13</v>
      </c>
      <c r="AD19" s="40">
        <f>up_dir!BC19</f>
        <v>30250</v>
      </c>
      <c r="AE19" s="40">
        <f t="shared" si="1"/>
        <v>7562.5</v>
      </c>
      <c r="AF19" s="40">
        <f t="shared" si="2"/>
        <v>7562.5</v>
      </c>
      <c r="AG19" s="40">
        <f t="shared" si="3"/>
        <v>7562.5</v>
      </c>
      <c r="AH19" s="40">
        <f t="shared" si="4"/>
        <v>7562.5</v>
      </c>
      <c r="AI19" s="40">
        <f t="shared" si="5"/>
        <v>7562.5</v>
      </c>
      <c r="AJ19" s="40">
        <f t="shared" si="6"/>
        <v>7562.5</v>
      </c>
      <c r="AK19" s="40">
        <f t="shared" si="7"/>
        <v>7562.5</v>
      </c>
      <c r="AL19" s="40">
        <f t="shared" si="8"/>
        <v>7562.5</v>
      </c>
      <c r="AM19" s="40">
        <f t="shared" si="9"/>
        <v>7562.5</v>
      </c>
      <c r="AN19" s="40">
        <f t="shared" si="10"/>
        <v>7562.5</v>
      </c>
      <c r="AO19" s="40">
        <f t="shared" si="11"/>
        <v>7562.5</v>
      </c>
      <c r="AP19" s="45">
        <f>IFERROR((s_DL/(up_RadSpec!E19*s_IFS_far_adj*(1/1000)))*1,".")</f>
        <v>0.33057851239669422</v>
      </c>
      <c r="AQ19" s="45">
        <f>IFERROR(IF(A19="H-3",(s_DL/(up_RadSpec!H19*s_IFA_far_adj*(1/17)*1000))*1,(s_DL/(up_RadSpec!H19*s_IFA_far_adj*(1/s_PEF_wind)*1000))*1),".")</f>
        <v>3089.9917851942919</v>
      </c>
      <c r="AR19" s="45">
        <f>IFERROR((s_DL/(up_RadSpec!G19*s_EF_far*(1/365)*1*up_RadSpec!R19*((s_ET_far_o*(1/24)*up_RadSpec!W19)+(s_ET_far_i*(1/24)*up_RadSpec!AB19))))*1,".")</f>
        <v>152.29001263619676</v>
      </c>
      <c r="AS19" s="45">
        <f>up_b2s!BC19</f>
        <v>3.2968835384132272E-5</v>
      </c>
      <c r="AT19" s="45">
        <f>IFERROR(((J19*up_RadSpec!AU19)/up_RadSpec!AJ19)*1,".")</f>
        <v>6.6115702479338848E-4</v>
      </c>
      <c r="AU19" s="45">
        <f>IFERROR(((K19*up_RadSpec!AU19)/up_RadSpec!AK19)*1,".")</f>
        <v>6.6115702479338848E-4</v>
      </c>
      <c r="AV19" s="45">
        <f>IFERROR((G19/(up_RadSpec!AI19*((s_Q_p_beef*s_f_p_beef*s_f_s_beef*(up_RadSpec!BD19+s_R_es_past))+(s_Q_s_beef*s_f_p_beef))))*1,".")</f>
        <v>1.8558793678410905E-7</v>
      </c>
      <c r="AW19" s="45">
        <f>IFERROR(((H19*s_D_milk)/(up_RadSpec!AH19*((s_Q_p_dairy*s_f_p_dairy*s_f_s_dairy*(up_RadSpec!BD19+s_R_es_past))+(s_Q_s_dairy*s_f_p_dairy))))*1,".")</f>
        <v>1.9115557488763231E-7</v>
      </c>
      <c r="AX19" s="45">
        <f>IFERROR((I19/(up_RadSpec!AN19*((s_Q_p_swine*s_f_p_swine*s_f_s_swine*(up_RadSpec!BD19+s_R_es_past))+(s_Q_s_swine*s_f_p_swine))))*1,".")</f>
        <v>1.8558793678410905E-7</v>
      </c>
      <c r="AY19" s="45">
        <f>IFERROR((E19/(up_RadSpec!AL19*((s_Q_p_poultry*s_f_p_poultry*s_f_s_poultry*(up_RadSpec!BD19+s_R_es_past))+(s_Q_s_poultry*s_f_p_poultry))))*1,".")</f>
        <v>1.8558793678410905E-7</v>
      </c>
      <c r="AZ19" s="45">
        <f>IFERROR((F19/(up_RadSpec!AM19*((s_Q_p_poultry*s_f_p_poultry*s_f_s_poultry*(up_RadSpec!BD19+s_R_es_past))+(s_Q_s_poultry*s_f_p_poultry))))*1,".")</f>
        <v>1.8558793678410905E-7</v>
      </c>
      <c r="BA19" s="45">
        <f>IFERROR((L19/(up_RadSpec!AQ19*((s_Q_p_goat*s_f_p_goat*s_f_s_goat*(up_RadSpec!BD19+s_R_es_past))+(s_Q_s_goat*s_f_p_goat))))*1,".")</f>
        <v>1.8558793678410905E-7</v>
      </c>
      <c r="BB19" s="45">
        <f>IFERROR((N19*s_D_milk/(up_RadSpec!AR19*((s_Q_p_goat_milk*s_f_p_goat_milk*s_f_s_goat_milk*(up_RadSpec!BD19+s_R_es_past))+(s_Q_s_goat_milk*s_f_p_goat_milk))))*1,".")</f>
        <v>1.9115557488763231E-7</v>
      </c>
      <c r="BC19" s="45">
        <f>IFERROR((M19/(up_RadSpec!AO19*((s_Q_p_sheep*s_f_p_sheep*s_f_s_sheep*(up_RadSpec!BD19+s_R_es_past))+(s_Q_s_sheep*s_f_p_sheep))))*1,".")</f>
        <v>1.8558793678410905E-7</v>
      </c>
      <c r="BD19" s="45">
        <f>IFERROR((O19*s_D_milk/(up_RadSpec!AP19*((s_Q_p_sheep_milk*s_f_p_sheep_milk*s_f_s_sheep_milk*(up_RadSpec!BD19+s_R_es_past))+(s_Q_s_sheep_milk*s_f_p_sheep_milk))))*1,".")</f>
        <v>1.9115557488763231E-7</v>
      </c>
      <c r="BE19" s="111">
        <f t="shared" ref="BE19:BS47" si="27">IFERROR(1/AP19,".")</f>
        <v>3.0249999999999999</v>
      </c>
      <c r="BF19" s="111">
        <f t="shared" si="27"/>
        <v>3.236254558317935E-4</v>
      </c>
      <c r="BG19" s="111">
        <f t="shared" si="27"/>
        <v>6.5664187866927588E-3</v>
      </c>
      <c r="BH19" s="111">
        <f t="shared" si="27"/>
        <v>30331.674999999992</v>
      </c>
      <c r="BI19" s="111">
        <f t="shared" si="27"/>
        <v>1512.5</v>
      </c>
      <c r="BJ19" s="111">
        <f t="shared" si="27"/>
        <v>1512.5</v>
      </c>
      <c r="BK19" s="111">
        <f t="shared" si="27"/>
        <v>5388281.2499999991</v>
      </c>
      <c r="BL19" s="111">
        <f t="shared" si="27"/>
        <v>5231341.0194174759</v>
      </c>
      <c r="BM19" s="111">
        <f t="shared" si="27"/>
        <v>5388281.2499999991</v>
      </c>
      <c r="BN19" s="111">
        <f t="shared" si="27"/>
        <v>5388281.2499999991</v>
      </c>
      <c r="BO19" s="111">
        <f t="shared" si="27"/>
        <v>5388281.2499999991</v>
      </c>
      <c r="BP19" s="111">
        <f t="shared" si="27"/>
        <v>5388281.2499999991</v>
      </c>
      <c r="BQ19" s="111">
        <f t="shared" si="27"/>
        <v>5231341.0194174759</v>
      </c>
      <c r="BR19" s="111">
        <f t="shared" si="27"/>
        <v>5388281.2499999991</v>
      </c>
      <c r="BS19" s="111">
        <f t="shared" si="27"/>
        <v>5231341.0194174759</v>
      </c>
      <c r="BT19" s="15">
        <f t="shared" si="23"/>
        <v>2.080859266873237E-8</v>
      </c>
      <c r="BU19" s="189">
        <f>IFERROR(BT19*(0.0000000000028)*up_RadSpec!$AY19*up_RadSpec!$AF19,0)</f>
        <v>6.2051223338159936E-17</v>
      </c>
      <c r="BV19" s="40">
        <f t="shared" si="13"/>
        <v>15.125</v>
      </c>
      <c r="BW19" s="40">
        <f t="shared" si="14"/>
        <v>1.6181272791589674E-3</v>
      </c>
      <c r="BX19" s="40">
        <f>IFERROR((s_C*s_EF_far*(1/365)*1*up_RadSpec!R19*((s_ET_far_o*(1/24)*up_RadSpec!W19)+(s_ET_far_i*(1/24)*up_RadSpec!AB19))),".")</f>
        <v>3.2832093933463792E-2</v>
      </c>
      <c r="BY19" s="40">
        <f>up_b2s!CC19</f>
        <v>151658.375</v>
      </c>
      <c r="BZ19" s="40">
        <f>IFERROR(((s_C*up_RadSpec!AJ19)/up_RadSpec!AU19)*s_IFFI_far_adj*s_CF_far_fish,0)</f>
        <v>7562.5</v>
      </c>
      <c r="CA19" s="40">
        <f>IFERROR(((s_C*up_RadSpec!AK19)/up_RadSpec!AU19)*s_IFSF_far_adj*s_CF_far_shellfish,0)</f>
        <v>7562.5</v>
      </c>
      <c r="CB19" s="40">
        <f>(s_C*s_IFB_far_adj*s_CF_far_beef*up_RadSpec!AI19*((s_Q_p_beef*s_f_p_beef*s_f_s_beef*(up_RadSpec!$AT19+s_R_es_past))+(s_Q_s_beef*s_f_p_beef)))</f>
        <v>26941406.25</v>
      </c>
      <c r="CC19" s="40">
        <f>(s_C*s_IFD_far_adj*s_CF_far_dairy*up_RadSpec!AH19*1/s_D_milk*((s_Q_p_dairy*s_f_p_dairy*s_f_s_dairy*(up_RadSpec!$AT19+s_R_es_past))+(s_Q_s_dairy*s_f_p_dairy)))</f>
        <v>26156705.09708738</v>
      </c>
      <c r="CD19" s="40">
        <f>IFERROR((s_C*s_IFSW_far_adj*s_CF_far_swine*up_RadSpec!AN19*((s_Q_p_swine*s_f_p_swine*s_f_s_swine*(up_RadSpec!$AT19+s_R_es_past))+(s_Q_s_swine*s_f_p_swine))),0)</f>
        <v>26941406.25</v>
      </c>
      <c r="CE19" s="40">
        <f>IFERROR((s_C*s_IFP_far_adj*s_CF_far_poultry*up_RadSpec!AL19*((s_Q_p_poultry*s_f_p_poultry*s_f_s_poultry*(up_RadSpec!AT19+s_R_es_past))+(s_Q_s_poultry*s_f_p_poultry))),0)</f>
        <v>26941406.25</v>
      </c>
      <c r="CF19" s="40">
        <f>IFERROR((s_C*s_IFE_far_adj*s_CF_far_egg*up_RadSpec!AM19*((s_Q_p_egg*s_f_p_egg*s_f_s_egg*(up_RadSpec!$AT19+s_R_es_past))+(s_Q_s_egg*s_f_p_egg))),0)</f>
        <v>26941406.25</v>
      </c>
      <c r="CG19" s="40">
        <f>IFERROR((s_C*s_IFGO_far_adj*s_CF_far_goat*up_RadSpec!AQ19*((s_Q_p_goat*s_f_p_goat*s_f_s_goat*(up_RadSpec!$AT19+s_R_es_past))+(s_Q_s_goat*s_f_p_goat))),0)</f>
        <v>26941406.25</v>
      </c>
      <c r="CH19" s="40">
        <f>IFERROR((s_C*s_IFGM_far_adj*s_CF_far_goat_milk*up_RadSpec!AR19*1/s_D_milk*((s_Q_p_goat_milk*s_f_p_goat_milk*s_f_s_goat_milk*(up_RadSpec!$AT19+s_R_es_past))+(s_Q_s_goat_milk*s_f_p_goat_milk))),0)</f>
        <v>26156705.09708738</v>
      </c>
      <c r="CI19" s="40">
        <f>IFERROR((s_C*s_IFSH_far_adj*s_CF_far_sheep*up_RadSpec!AO19*((s_Q_p_sheep*s_f_p_sheep*s_f_s_sheep*(up_RadSpec!$AT19+s_R_es_past))+(s_Q_s_sheep*s_f_p_sheep))),0)</f>
        <v>26941406.25</v>
      </c>
      <c r="CJ19" s="40">
        <f>IFERROR((s_C*s_IFSM_far_adj*s_CF_far_sheep_milk*up_RadSpec!AP19*1/s_D_milk*((s_Q_p_sheep_milk*s_f_p_sheep_milk*s_f_s_sheep_milk*(up_RadSpec!$AT19+s_R_es_past))+(s_Q_s_sheep_milk*s_f_p_sheep_milk))),0)</f>
        <v>26156705.09708738</v>
      </c>
      <c r="CK19" s="18"/>
      <c r="CL19" s="15">
        <f>IFERROR(s_DL/(up_RadSpec!I19*s_IFW_far_adj),".")</f>
        <v>3.6363636363636364E-3</v>
      </c>
      <c r="CM19" s="15" t="str">
        <f>IFERROR(IF(AND(up_RadSpec!C19=1,up_RadSpec!D19&lt;&gt;0),s_DL/(up_RadSpec!H19*s_IFA_far_adj*s_K*up_RadSpec!D19),"."),".")</f>
        <v>.</v>
      </c>
      <c r="CN19" s="15">
        <f>IFERROR((s_DL/(up_RadSpec!M19*(1/8760)*s_DFA_far_adj)),".")</f>
        <v>39.81818181818182</v>
      </c>
      <c r="CO19" s="15">
        <f>up_b2w!BC19</f>
        <v>1.6443412786038033E-4</v>
      </c>
      <c r="CP19" s="15">
        <f>IFERROR(J19/(up_RadSpec!AJ19*(1/1000)),".")</f>
        <v>0.13223140495867769</v>
      </c>
      <c r="CQ19" s="15">
        <f>IFERROR(K19/(up_RadSpec!AK19*(1/1000)),".")</f>
        <v>0.13223140495867769</v>
      </c>
      <c r="CR19" s="15">
        <f>IFERROR(G19/(up_RadSpec!AI19*s_Q_w_beef*(1/1000)),".")</f>
        <v>2.6446280991735537E-2</v>
      </c>
      <c r="CS19" s="15">
        <f>IFERROR((H19*s_D_milk)/(up_RadSpec!AH19*s_Q_w_dairy*(1/1000)),".")</f>
        <v>2.7239669421487603E-2</v>
      </c>
      <c r="CT19" s="15">
        <f>IFERROR(I19/(up_RadSpec!AN19*s_Q_w_swine*(1/1000)),".")</f>
        <v>2.6446280991735537E-2</v>
      </c>
      <c r="CU19" s="15">
        <f>IFERROR(E19/(up_RadSpec!AL19*s_Q_w_poultry*(1/1000)),".")</f>
        <v>2.6446280991735537E-2</v>
      </c>
      <c r="CV19" s="15">
        <f>IFERROR(F19/(up_RadSpec!AM19*s_Q_w_poultry*(1/1000)),".")</f>
        <v>2.6446280991735537E-2</v>
      </c>
      <c r="CW19" s="15">
        <f>IFERROR(L19/(up_RadSpec!AQ19*s_Q_w_goat*(1/1000)),".")</f>
        <v>2.6446280991735537E-2</v>
      </c>
      <c r="CX19" s="15">
        <f>IFERROR(N19*s_D_milk/(up_RadSpec!AR19*s_Q_w_goat_milk*(1/1000)),".")</f>
        <v>2.7239669421487603E-2</v>
      </c>
      <c r="CY19" s="15">
        <f>IFERROR(M19/(up_RadSpec!AO19*s_Q_w_sheep*(1/1000)),".")</f>
        <v>2.6446280991735537E-2</v>
      </c>
      <c r="CZ19" s="15">
        <f>IFERROR(O19*s_D_milk/(up_RadSpec!AP19*s_Q_w_sheep_milk*(1/1000)),".")</f>
        <v>2.7239669421487603E-2</v>
      </c>
      <c r="DA19" s="111">
        <f t="shared" ref="DA19:DO47" si="28">IFERROR(1/CL19,".")</f>
        <v>275</v>
      </c>
      <c r="DB19" s="111" t="str">
        <f t="shared" si="28"/>
        <v>.</v>
      </c>
      <c r="DC19" s="111">
        <f t="shared" si="28"/>
        <v>2.5114155251141551E-2</v>
      </c>
      <c r="DD19" s="111">
        <f t="shared" si="28"/>
        <v>6081.4626076229861</v>
      </c>
      <c r="DE19" s="111">
        <f t="shared" si="28"/>
        <v>7.5625</v>
      </c>
      <c r="DF19" s="111">
        <f t="shared" si="28"/>
        <v>7.5625</v>
      </c>
      <c r="DG19" s="111">
        <f t="shared" si="28"/>
        <v>37.8125</v>
      </c>
      <c r="DH19" s="111">
        <f t="shared" si="28"/>
        <v>36.711165048543691</v>
      </c>
      <c r="DI19" s="111">
        <f t="shared" si="28"/>
        <v>37.8125</v>
      </c>
      <c r="DJ19" s="111">
        <f t="shared" si="28"/>
        <v>37.8125</v>
      </c>
      <c r="DK19" s="111">
        <f t="shared" si="28"/>
        <v>37.8125</v>
      </c>
      <c r="DL19" s="111">
        <f t="shared" si="28"/>
        <v>37.8125</v>
      </c>
      <c r="DM19" s="111">
        <f t="shared" si="28"/>
        <v>36.711165048543691</v>
      </c>
      <c r="DN19" s="111">
        <f t="shared" si="28"/>
        <v>37.8125</v>
      </c>
      <c r="DO19" s="111">
        <f t="shared" si="28"/>
        <v>36.711165048543691</v>
      </c>
      <c r="DP19" s="15">
        <f t="shared" si="24"/>
        <v>1.4906192608956598E-4</v>
      </c>
      <c r="DQ19" s="189">
        <f>DP19*(0.0000000000000028)*up_RadSpec!$AY19*up_RadSpec!$AF19</f>
        <v>4.4450266359908582E-16</v>
      </c>
      <c r="DR19" s="40">
        <f t="shared" si="16"/>
        <v>1375</v>
      </c>
      <c r="DS19" s="40">
        <f>IFERROR(IF(up_RadSpec!D19&lt;&gt;"",s_C*s_IFA_far_adj*s_K*up_RadSpec!D19,0),".")</f>
        <v>0</v>
      </c>
      <c r="DT19" s="40">
        <f t="shared" si="17"/>
        <v>0.12557077625570776</v>
      </c>
      <c r="DU19" s="40">
        <f>up_b2w!CC19</f>
        <v>30407.313038114935</v>
      </c>
      <c r="DV19" s="40">
        <f>IFERROR(s_C*up_RadSpec!AJ19*(1/1000)*s_IFFI_far_adj*s_CF_far_fish,0)</f>
        <v>37.8125</v>
      </c>
      <c r="DW19" s="40">
        <f>IFERROR(s_C*up_RadSpec!AK19*(1/1000)*s_IFSF_far_adj*s_CF_far_shellfish,0)</f>
        <v>37.8125</v>
      </c>
      <c r="DX19" s="40">
        <f>(s_C*s_IFB_far_adj*s_CF_far_beef*up_RadSpec!AI19*s_Q_w_beef*(1/1000))</f>
        <v>189.0625</v>
      </c>
      <c r="DY19" s="40">
        <f>(s_C*s_IFD_far_adj*s_CF_far_dairy*up_RadSpec!AH19*(1/s_D_milk)*s_Q_w_dairy*(1/1000))</f>
        <v>183.55582524271844</v>
      </c>
      <c r="DZ19" s="40">
        <f>IFERROR((s_C*s_IFSW_far_adj*s_CF_far_swine*up_RadSpec!AN19*s_Q_w_swine*(1/1000)),0)</f>
        <v>189.0625</v>
      </c>
      <c r="EA19" s="40">
        <f>IFERROR((s_C*s_IFP_far_adj*s_CF_far_poultry*up_RadSpec!AL19*s_Q_w_poultry*(1/1000)),0)</f>
        <v>189.0625</v>
      </c>
      <c r="EB19" s="40">
        <f>IFERROR((s_C*s_IFE_far_adj*s_CF_far_egg*up_RadSpec!AM19*s_Q_w_egg*(1/1000)),0)</f>
        <v>189.0625</v>
      </c>
      <c r="EC19" s="40">
        <f>IFERROR((s_C*s_IFGO_far_adj*s_CF_far_goat*up_RadSpec!AQ19*s_Q_p_goat*(1/1000)),0)</f>
        <v>189.0625</v>
      </c>
      <c r="ED19" s="40">
        <f>IFERROR((s_C*s_IFGM_far_adj*s_CF_far_goat_milk*up_RadSpec!AR19*(1/s_D_milk)*s_Q_p_goat_milk*(1/1000)),0)</f>
        <v>183.55582524271844</v>
      </c>
      <c r="EE19" s="40">
        <f>IFERROR((s_C*s_IFSH_far_adj*s_CF_far_sheep*up_RadSpec!AO19*s_Q_p_sheep*(1/1000)),0)</f>
        <v>189.0625</v>
      </c>
      <c r="EF19" s="40">
        <f>IFERROR((s_C*s_IFSM_far_adj*s_CF_far_sheep_milk*up_RadSpec!AP19*(1/s_D_milk)*s_Q_p_sheep_milk*(1/1000)),0)</f>
        <v>183.55582524271844</v>
      </c>
      <c r="EG19" s="5"/>
      <c r="EH19" s="15">
        <f>IFERROR((s_DL/(up_RadSpec!H19*s_IFA_far_adj)),".")</f>
        <v>9.9740259740259754E-3</v>
      </c>
      <c r="EI19" s="15">
        <f>IFERROR((s_DL/(up_RadSpec!K19*s_EF_far*(1/365)*1*s_ET_far*(1/24)*s_GSF_a)),".")</f>
        <v>63.709090909090911</v>
      </c>
      <c r="EJ19" s="15">
        <f t="shared" si="25"/>
        <v>9.9724647271019675E-3</v>
      </c>
      <c r="EK19" s="189">
        <f>EJ19*(0.0000000000000028)*up_RadSpec!$AY19*up_RadSpec!$AF19</f>
        <v>2.9737889816218068E-14</v>
      </c>
      <c r="EL19" s="40">
        <f t="shared" si="19"/>
        <v>501.30208333333326</v>
      </c>
      <c r="EM19" s="40">
        <f t="shared" si="20"/>
        <v>7.8481735159817351E-2</v>
      </c>
      <c r="EN19" s="113"/>
    </row>
    <row r="20" spans="1:144" customFormat="1" x14ac:dyDescent="0.25">
      <c r="A20" s="44" t="s">
        <v>18</v>
      </c>
      <c r="B20" s="42" t="s">
        <v>1057</v>
      </c>
      <c r="C20" s="238"/>
      <c r="D20" s="15">
        <f>up_dir!AC20</f>
        <v>1.6528925619834712E-4</v>
      </c>
      <c r="E20" s="15">
        <f>IFERROR(s_DL/(up_RadSpec!F20*s_IFP_far_adj*s_CF_far_poultry),".")</f>
        <v>6.6115702479338848E-4</v>
      </c>
      <c r="F20" s="15">
        <f>IFERROR(s_DL/(up_RadSpec!F20*s_IFE_far_adj*s_CF_far_egg),".")</f>
        <v>6.6115702479338848E-4</v>
      </c>
      <c r="G20" s="15">
        <f>IFERROR(s_DL/(up_RadSpec!F20*s_IFB_far_adj*s_CF_far_beef),".")</f>
        <v>6.6115702479338848E-4</v>
      </c>
      <c r="H20" s="15">
        <f>IFERROR(s_DL/(up_RadSpec!F20*s_IFD_far_adj*s_CF_far_dairy),".")</f>
        <v>6.6115702479338848E-4</v>
      </c>
      <c r="I20" s="15">
        <f>IFERROR(s_DL/(up_RadSpec!F20*s_IFSW_far_adj*s_CF_far_swine),".")</f>
        <v>6.6115702479338848E-4</v>
      </c>
      <c r="J20" s="15">
        <f>IFERROR(s_DL/(up_RadSpec!F20*s_IFFI_far_adj*s_CF_far_fish),".")</f>
        <v>6.6115702479338848E-4</v>
      </c>
      <c r="K20" s="15">
        <f>IFERROR(s_DL/(up_RadSpec!F20*s_IFSF_far_adj*s_CF_far_shellfish),".")</f>
        <v>6.6115702479338848E-4</v>
      </c>
      <c r="L20" s="15">
        <f>IFERROR(s_DL/(up_RadSpec!F20*s_IFGO_far_adj*s_CF_far_goat),".")</f>
        <v>6.6115702479338848E-4</v>
      </c>
      <c r="M20" s="15">
        <f>IFERROR(s_DL/(up_RadSpec!F20*s_IFSH_far_adj*s_CF_far_sheep),".")</f>
        <v>6.6115702479338848E-4</v>
      </c>
      <c r="N20" s="15">
        <f>IFERROR(s_DL/(up_RadSpec!F20*s_IFGM_far_adj*s_CF_far_goat_milk),".")</f>
        <v>6.6115702479338848E-4</v>
      </c>
      <c r="O20" s="15">
        <f>IFERROR(s_DL/(up_RadSpec!F20*s_IFSM_far_adj*s_CF_far_sheep_milk),".")</f>
        <v>6.6115702479338848E-4</v>
      </c>
      <c r="P20" s="111">
        <f t="shared" si="21"/>
        <v>1512.5</v>
      </c>
      <c r="Q20" s="111">
        <f t="shared" si="21"/>
        <v>1512.5</v>
      </c>
      <c r="R20" s="111">
        <f t="shared" si="21"/>
        <v>1512.5</v>
      </c>
      <c r="S20" s="111">
        <f t="shared" si="21"/>
        <v>1512.5</v>
      </c>
      <c r="T20" s="111">
        <f t="shared" si="21"/>
        <v>1512.5</v>
      </c>
      <c r="U20" s="111">
        <f t="shared" si="21"/>
        <v>1512.5</v>
      </c>
      <c r="V20" s="111">
        <f t="shared" si="21"/>
        <v>1512.5</v>
      </c>
      <c r="W20" s="111">
        <f t="shared" si="21"/>
        <v>1512.5</v>
      </c>
      <c r="X20" s="111">
        <f t="shared" si="26"/>
        <v>1512.5</v>
      </c>
      <c r="Y20" s="111">
        <f t="shared" si="26"/>
        <v>1512.5</v>
      </c>
      <c r="Z20" s="111">
        <f t="shared" si="26"/>
        <v>1512.5</v>
      </c>
      <c r="AA20" s="111">
        <f t="shared" si="26"/>
        <v>1512.5</v>
      </c>
      <c r="AB20" s="15">
        <f t="shared" si="22"/>
        <v>5.5096418732782371E-5</v>
      </c>
      <c r="AC20" s="247">
        <f>IFERROR(AB20*(0.0000000000028)*up_RadSpec!$AY20*up_RadSpec!$AF20,0)</f>
        <v>1.6506887052341601E-13</v>
      </c>
      <c r="AD20" s="40">
        <f>up_dir!BC20</f>
        <v>30250</v>
      </c>
      <c r="AE20" s="40">
        <f t="shared" si="1"/>
        <v>7562.5</v>
      </c>
      <c r="AF20" s="40">
        <f t="shared" si="2"/>
        <v>7562.5</v>
      </c>
      <c r="AG20" s="40">
        <f t="shared" si="3"/>
        <v>7562.5</v>
      </c>
      <c r="AH20" s="40">
        <f t="shared" si="4"/>
        <v>7562.5</v>
      </c>
      <c r="AI20" s="40">
        <f t="shared" si="5"/>
        <v>7562.5</v>
      </c>
      <c r="AJ20" s="40">
        <f t="shared" si="6"/>
        <v>7562.5</v>
      </c>
      <c r="AK20" s="40">
        <f t="shared" si="7"/>
        <v>7562.5</v>
      </c>
      <c r="AL20" s="40">
        <f t="shared" si="8"/>
        <v>7562.5</v>
      </c>
      <c r="AM20" s="40">
        <f t="shared" si="9"/>
        <v>7562.5</v>
      </c>
      <c r="AN20" s="40">
        <f t="shared" si="10"/>
        <v>7562.5</v>
      </c>
      <c r="AO20" s="40">
        <f t="shared" si="11"/>
        <v>7562.5</v>
      </c>
      <c r="AP20" s="45">
        <f>IFERROR((s_DL/(up_RadSpec!E20*s_IFS_far_adj*(1/1000)))*1,".")</f>
        <v>0.33057851239669422</v>
      </c>
      <c r="AQ20" s="45">
        <f>IFERROR(IF(A20="H-3",(s_DL/(up_RadSpec!H20*s_IFA_far_adj*(1/17)*1000))*1,(s_DL/(up_RadSpec!H20*s_IFA_far_adj*(1/s_PEF_wind)*1000))*1),".")</f>
        <v>3089.9917851942919</v>
      </c>
      <c r="AR20" s="45">
        <f>IFERROR((s_DL/(up_RadSpec!G20*s_EF_far*(1/365)*1*up_RadSpec!R20*((s_ET_far_o*(1/24)*up_RadSpec!W20)+(s_ET_far_i*(1/24)*up_RadSpec!AB20))))*1,".")</f>
        <v>149.74754817732423</v>
      </c>
      <c r="AS20" s="45">
        <f>up_b2s!BC20</f>
        <v>3.2968835384132272E-5</v>
      </c>
      <c r="AT20" s="45">
        <f>IFERROR(((J20*up_RadSpec!AU20)/up_RadSpec!AJ20)*1,".")</f>
        <v>6.6115702479338848E-4</v>
      </c>
      <c r="AU20" s="45">
        <f>IFERROR(((K20*up_RadSpec!AU20)/up_RadSpec!AK20)*1,".")</f>
        <v>6.6115702479338848E-4</v>
      </c>
      <c r="AV20" s="45">
        <f>IFERROR((G20/(up_RadSpec!AI20*((s_Q_p_beef*s_f_p_beef*s_f_s_beef*(up_RadSpec!BD20+s_R_es_past))+(s_Q_s_beef*s_f_p_beef))))*1,".")</f>
        <v>1.8558793678410905E-7</v>
      </c>
      <c r="AW20" s="45">
        <f>IFERROR(((H20*s_D_milk)/(up_RadSpec!AH20*((s_Q_p_dairy*s_f_p_dairy*s_f_s_dairy*(up_RadSpec!BD20+s_R_es_past))+(s_Q_s_dairy*s_f_p_dairy))))*1,".")</f>
        <v>1.9115557488763231E-7</v>
      </c>
      <c r="AX20" s="45">
        <f>IFERROR((I20/(up_RadSpec!AN20*((s_Q_p_swine*s_f_p_swine*s_f_s_swine*(up_RadSpec!BD20+s_R_es_past))+(s_Q_s_swine*s_f_p_swine))))*1,".")</f>
        <v>1.8558793678410905E-7</v>
      </c>
      <c r="AY20" s="45">
        <f>IFERROR((E20/(up_RadSpec!AL20*((s_Q_p_poultry*s_f_p_poultry*s_f_s_poultry*(up_RadSpec!BD20+s_R_es_past))+(s_Q_s_poultry*s_f_p_poultry))))*1,".")</f>
        <v>1.8558793678410905E-7</v>
      </c>
      <c r="AZ20" s="45">
        <f>IFERROR((F20/(up_RadSpec!AM20*((s_Q_p_poultry*s_f_p_poultry*s_f_s_poultry*(up_RadSpec!BD20+s_R_es_past))+(s_Q_s_poultry*s_f_p_poultry))))*1,".")</f>
        <v>1.8558793678410905E-7</v>
      </c>
      <c r="BA20" s="45">
        <f>IFERROR((L20/(up_RadSpec!AQ20*((s_Q_p_goat*s_f_p_goat*s_f_s_goat*(up_RadSpec!BD20+s_R_es_past))+(s_Q_s_goat*s_f_p_goat))))*1,".")</f>
        <v>1.8558793678410905E-7</v>
      </c>
      <c r="BB20" s="45">
        <f>IFERROR((N20*s_D_milk/(up_RadSpec!AR20*((s_Q_p_goat_milk*s_f_p_goat_milk*s_f_s_goat_milk*(up_RadSpec!BD20+s_R_es_past))+(s_Q_s_goat_milk*s_f_p_goat_milk))))*1,".")</f>
        <v>1.9115557488763231E-7</v>
      </c>
      <c r="BC20" s="45">
        <f>IFERROR((M20/(up_RadSpec!AO20*((s_Q_p_sheep*s_f_p_sheep*s_f_s_sheep*(up_RadSpec!BD20+s_R_es_past))+(s_Q_s_sheep*s_f_p_sheep))))*1,".")</f>
        <v>1.8558793678410905E-7</v>
      </c>
      <c r="BD20" s="45">
        <f>IFERROR((O20*s_D_milk/(up_RadSpec!AP20*((s_Q_p_sheep_milk*s_f_p_sheep_milk*s_f_s_sheep_milk*(up_RadSpec!BD20+s_R_es_past))+(s_Q_s_sheep_milk*s_f_p_sheep_milk))))*1,".")</f>
        <v>1.9115557488763231E-7</v>
      </c>
      <c r="BE20" s="111">
        <f t="shared" si="27"/>
        <v>3.0249999999999999</v>
      </c>
      <c r="BF20" s="111">
        <f t="shared" si="27"/>
        <v>3.236254558317935E-4</v>
      </c>
      <c r="BG20" s="111">
        <f t="shared" si="27"/>
        <v>6.6779056630419447E-3</v>
      </c>
      <c r="BH20" s="111">
        <f t="shared" si="27"/>
        <v>30331.674999999992</v>
      </c>
      <c r="BI20" s="111">
        <f t="shared" si="27"/>
        <v>1512.5</v>
      </c>
      <c r="BJ20" s="111">
        <f t="shared" si="27"/>
        <v>1512.5</v>
      </c>
      <c r="BK20" s="111">
        <f t="shared" si="27"/>
        <v>5388281.2499999991</v>
      </c>
      <c r="BL20" s="111">
        <f t="shared" si="27"/>
        <v>5231341.0194174759</v>
      </c>
      <c r="BM20" s="111">
        <f t="shared" si="27"/>
        <v>5388281.2499999991</v>
      </c>
      <c r="BN20" s="111">
        <f t="shared" si="27"/>
        <v>5388281.2499999991</v>
      </c>
      <c r="BO20" s="111">
        <f t="shared" si="27"/>
        <v>5388281.2499999991</v>
      </c>
      <c r="BP20" s="111">
        <f t="shared" si="27"/>
        <v>5388281.2499999991</v>
      </c>
      <c r="BQ20" s="111">
        <f t="shared" si="27"/>
        <v>5231341.0194174759</v>
      </c>
      <c r="BR20" s="111">
        <f t="shared" si="27"/>
        <v>5388281.2499999991</v>
      </c>
      <c r="BS20" s="111">
        <f t="shared" si="27"/>
        <v>5231341.0194174759</v>
      </c>
      <c r="BT20" s="15">
        <f t="shared" si="23"/>
        <v>2.0808592668684096E-8</v>
      </c>
      <c r="BU20" s="189">
        <f>IFERROR(BT20*(0.0000000000028)*up_RadSpec!$AY20*up_RadSpec!$AF20,0)</f>
        <v>6.2342543635377553E-17</v>
      </c>
      <c r="BV20" s="40">
        <f t="shared" si="13"/>
        <v>15.125</v>
      </c>
      <c r="BW20" s="40">
        <f t="shared" si="14"/>
        <v>1.6181272791589674E-3</v>
      </c>
      <c r="BX20" s="40">
        <f>IFERROR((s_C*s_EF_far*(1/365)*1*up_RadSpec!R20*((s_ET_far_o*(1/24)*up_RadSpec!W20)+(s_ET_far_i*(1/24)*up_RadSpec!AB20))),".")</f>
        <v>3.3389528315209728E-2</v>
      </c>
      <c r="BY20" s="40">
        <f>up_b2s!CC20</f>
        <v>151658.375</v>
      </c>
      <c r="BZ20" s="40">
        <f>IFERROR(((s_C*up_RadSpec!AJ20)/up_RadSpec!AU20)*s_IFFI_far_adj*s_CF_far_fish,0)</f>
        <v>7562.5</v>
      </c>
      <c r="CA20" s="40">
        <f>IFERROR(((s_C*up_RadSpec!AK20)/up_RadSpec!AU20)*s_IFSF_far_adj*s_CF_far_shellfish,0)</f>
        <v>7562.5</v>
      </c>
      <c r="CB20" s="40">
        <f>(s_C*s_IFB_far_adj*s_CF_far_beef*up_RadSpec!AI20*((s_Q_p_beef*s_f_p_beef*s_f_s_beef*(up_RadSpec!$AT20+s_R_es_past))+(s_Q_s_beef*s_f_p_beef)))</f>
        <v>26941406.25</v>
      </c>
      <c r="CC20" s="40">
        <f>(s_C*s_IFD_far_adj*s_CF_far_dairy*up_RadSpec!AH20*1/s_D_milk*((s_Q_p_dairy*s_f_p_dairy*s_f_s_dairy*(up_RadSpec!$AT20+s_R_es_past))+(s_Q_s_dairy*s_f_p_dairy)))</f>
        <v>26156705.09708738</v>
      </c>
      <c r="CD20" s="40">
        <f>IFERROR((s_C*s_IFSW_far_adj*s_CF_far_swine*up_RadSpec!AN20*((s_Q_p_swine*s_f_p_swine*s_f_s_swine*(up_RadSpec!$AT20+s_R_es_past))+(s_Q_s_swine*s_f_p_swine))),0)</f>
        <v>26941406.25</v>
      </c>
      <c r="CE20" s="40">
        <f>IFERROR((s_C*s_IFP_far_adj*s_CF_far_poultry*up_RadSpec!AL20*((s_Q_p_poultry*s_f_p_poultry*s_f_s_poultry*(up_RadSpec!AT20+s_R_es_past))+(s_Q_s_poultry*s_f_p_poultry))),0)</f>
        <v>26941406.25</v>
      </c>
      <c r="CF20" s="40">
        <f>IFERROR((s_C*s_IFE_far_adj*s_CF_far_egg*up_RadSpec!AM20*((s_Q_p_egg*s_f_p_egg*s_f_s_egg*(up_RadSpec!$AT20+s_R_es_past))+(s_Q_s_egg*s_f_p_egg))),0)</f>
        <v>26941406.25</v>
      </c>
      <c r="CG20" s="40">
        <f>IFERROR((s_C*s_IFGO_far_adj*s_CF_far_goat*up_RadSpec!AQ20*((s_Q_p_goat*s_f_p_goat*s_f_s_goat*(up_RadSpec!$AT20+s_R_es_past))+(s_Q_s_goat*s_f_p_goat))),0)</f>
        <v>26941406.25</v>
      </c>
      <c r="CH20" s="40">
        <f>IFERROR((s_C*s_IFGM_far_adj*s_CF_far_goat_milk*up_RadSpec!AR20*1/s_D_milk*((s_Q_p_goat_milk*s_f_p_goat_milk*s_f_s_goat_milk*(up_RadSpec!$AT20+s_R_es_past))+(s_Q_s_goat_milk*s_f_p_goat_milk))),0)</f>
        <v>26156705.09708738</v>
      </c>
      <c r="CI20" s="40">
        <f>IFERROR((s_C*s_IFSH_far_adj*s_CF_far_sheep*up_RadSpec!AO20*((s_Q_p_sheep*s_f_p_sheep*s_f_s_sheep*(up_RadSpec!$AT20+s_R_es_past))+(s_Q_s_sheep*s_f_p_sheep))),0)</f>
        <v>26941406.25</v>
      </c>
      <c r="CJ20" s="40">
        <f>IFERROR((s_C*s_IFSM_far_adj*s_CF_far_sheep_milk*up_RadSpec!AP20*1/s_D_milk*((s_Q_p_sheep_milk*s_f_p_sheep_milk*s_f_s_sheep_milk*(up_RadSpec!$AT20+s_R_es_past))+(s_Q_s_sheep_milk*s_f_p_sheep_milk))),0)</f>
        <v>26156705.09708738</v>
      </c>
      <c r="CK20" s="18"/>
      <c r="CL20" s="15">
        <f>IFERROR(s_DL/(up_RadSpec!I20*s_IFW_far_adj),".")</f>
        <v>3.6363636363636364E-3</v>
      </c>
      <c r="CM20" s="15">
        <f>IFERROR(IF(AND(up_RadSpec!C20=1,up_RadSpec!D20&lt;&gt;0),s_DL/(up_RadSpec!H20*s_IFA_far_adj*s_K*up_RadSpec!D20),"."),".")</f>
        <v>0.39187253504904385</v>
      </c>
      <c r="CN20" s="15">
        <f>IFERROR((s_DL/(up_RadSpec!M20*(1/8760)*s_DFA_far_adj)),".")</f>
        <v>39.81818181818182</v>
      </c>
      <c r="CO20" s="15">
        <f>up_b2w!BC20</f>
        <v>1.6443412786038033E-4</v>
      </c>
      <c r="CP20" s="15">
        <f>IFERROR(J20/(up_RadSpec!AJ20*(1/1000)),".")</f>
        <v>0.13223140495867769</v>
      </c>
      <c r="CQ20" s="15">
        <f>IFERROR(K20/(up_RadSpec!AK20*(1/1000)),".")</f>
        <v>0.13223140495867769</v>
      </c>
      <c r="CR20" s="15">
        <f>IFERROR(G20/(up_RadSpec!AI20*s_Q_w_beef*(1/1000)),".")</f>
        <v>2.6446280991735537E-2</v>
      </c>
      <c r="CS20" s="15">
        <f>IFERROR((H20*s_D_milk)/(up_RadSpec!AH20*s_Q_w_dairy*(1/1000)),".")</f>
        <v>2.7239669421487603E-2</v>
      </c>
      <c r="CT20" s="15">
        <f>IFERROR(I20/(up_RadSpec!AN20*s_Q_w_swine*(1/1000)),".")</f>
        <v>2.6446280991735537E-2</v>
      </c>
      <c r="CU20" s="15">
        <f>IFERROR(E20/(up_RadSpec!AL20*s_Q_w_poultry*(1/1000)),".")</f>
        <v>2.6446280991735537E-2</v>
      </c>
      <c r="CV20" s="15">
        <f>IFERROR(F20/(up_RadSpec!AM20*s_Q_w_poultry*(1/1000)),".")</f>
        <v>2.6446280991735537E-2</v>
      </c>
      <c r="CW20" s="15">
        <f>IFERROR(L20/(up_RadSpec!AQ20*s_Q_w_goat*(1/1000)),".")</f>
        <v>2.6446280991735537E-2</v>
      </c>
      <c r="CX20" s="15">
        <f>IFERROR(N20*s_D_milk/(up_RadSpec!AR20*s_Q_w_goat_milk*(1/1000)),".")</f>
        <v>2.7239669421487603E-2</v>
      </c>
      <c r="CY20" s="15">
        <f>IFERROR(M20/(up_RadSpec!AO20*s_Q_w_sheep*(1/1000)),".")</f>
        <v>2.6446280991735537E-2</v>
      </c>
      <c r="CZ20" s="15">
        <f>IFERROR(O20*s_D_milk/(up_RadSpec!AP20*s_Q_w_sheep_milk*(1/1000)),".")</f>
        <v>2.7239669421487603E-2</v>
      </c>
      <c r="DA20" s="111">
        <f t="shared" si="28"/>
        <v>275</v>
      </c>
      <c r="DB20" s="111">
        <f t="shared" si="28"/>
        <v>2.5518501822916666</v>
      </c>
      <c r="DC20" s="111">
        <f t="shared" si="28"/>
        <v>2.5114155251141551E-2</v>
      </c>
      <c r="DD20" s="111">
        <f t="shared" si="28"/>
        <v>6081.4626076229861</v>
      </c>
      <c r="DE20" s="111">
        <f t="shared" si="28"/>
        <v>7.5625</v>
      </c>
      <c r="DF20" s="111">
        <f t="shared" si="28"/>
        <v>7.5625</v>
      </c>
      <c r="DG20" s="111">
        <f t="shared" si="28"/>
        <v>37.8125</v>
      </c>
      <c r="DH20" s="111">
        <f t="shared" si="28"/>
        <v>36.711165048543691</v>
      </c>
      <c r="DI20" s="111">
        <f t="shared" si="28"/>
        <v>37.8125</v>
      </c>
      <c r="DJ20" s="111">
        <f t="shared" si="28"/>
        <v>37.8125</v>
      </c>
      <c r="DK20" s="111">
        <f t="shared" si="28"/>
        <v>37.8125</v>
      </c>
      <c r="DL20" s="111">
        <f t="shared" si="28"/>
        <v>37.8125</v>
      </c>
      <c r="DM20" s="111">
        <f t="shared" si="28"/>
        <v>36.711165048543691</v>
      </c>
      <c r="DN20" s="111">
        <f t="shared" si="28"/>
        <v>37.8125</v>
      </c>
      <c r="DO20" s="111">
        <f t="shared" si="28"/>
        <v>36.711165048543691</v>
      </c>
      <c r="DP20" s="15">
        <f t="shared" si="24"/>
        <v>1.4900524692193601E-4</v>
      </c>
      <c r="DQ20" s="189">
        <f>DP20*(0.0000000000000028)*up_RadSpec!$AY20*up_RadSpec!$AF20</f>
        <v>4.4641971977812036E-16</v>
      </c>
      <c r="DR20" s="40">
        <f t="shared" si="16"/>
        <v>1375</v>
      </c>
      <c r="DS20" s="40">
        <f>IFERROR(IF(up_RadSpec!D20&lt;&gt;"",s_C*s_IFA_far_adj*s_K*up_RadSpec!D20,0),".")</f>
        <v>12.759250911458333</v>
      </c>
      <c r="DT20" s="40">
        <f t="shared" si="17"/>
        <v>0.12557077625570776</v>
      </c>
      <c r="DU20" s="40">
        <f>up_b2w!CC20</f>
        <v>30407.313038114935</v>
      </c>
      <c r="DV20" s="40">
        <f>IFERROR(s_C*up_RadSpec!AJ20*(1/1000)*s_IFFI_far_adj*s_CF_far_fish,0)</f>
        <v>37.8125</v>
      </c>
      <c r="DW20" s="40">
        <f>IFERROR(s_C*up_RadSpec!AK20*(1/1000)*s_IFSF_far_adj*s_CF_far_shellfish,0)</f>
        <v>37.8125</v>
      </c>
      <c r="DX20" s="40">
        <f>(s_C*s_IFB_far_adj*s_CF_far_beef*up_RadSpec!AI20*s_Q_w_beef*(1/1000))</f>
        <v>189.0625</v>
      </c>
      <c r="DY20" s="40">
        <f>(s_C*s_IFD_far_adj*s_CF_far_dairy*up_RadSpec!AH20*(1/s_D_milk)*s_Q_w_dairy*(1/1000))</f>
        <v>183.55582524271844</v>
      </c>
      <c r="DZ20" s="40">
        <f>IFERROR((s_C*s_IFSW_far_adj*s_CF_far_swine*up_RadSpec!AN20*s_Q_w_swine*(1/1000)),0)</f>
        <v>189.0625</v>
      </c>
      <c r="EA20" s="40">
        <f>IFERROR((s_C*s_IFP_far_adj*s_CF_far_poultry*up_RadSpec!AL20*s_Q_w_poultry*(1/1000)),0)</f>
        <v>189.0625</v>
      </c>
      <c r="EB20" s="40">
        <f>IFERROR((s_C*s_IFE_far_adj*s_CF_far_egg*up_RadSpec!AM20*s_Q_w_egg*(1/1000)),0)</f>
        <v>189.0625</v>
      </c>
      <c r="EC20" s="40">
        <f>IFERROR((s_C*s_IFGO_far_adj*s_CF_far_goat*up_RadSpec!AQ20*s_Q_p_goat*(1/1000)),0)</f>
        <v>189.0625</v>
      </c>
      <c r="ED20" s="40">
        <f>IFERROR((s_C*s_IFGM_far_adj*s_CF_far_goat_milk*up_RadSpec!AR20*(1/s_D_milk)*s_Q_p_goat_milk*(1/1000)),0)</f>
        <v>183.55582524271844</v>
      </c>
      <c r="EE20" s="40">
        <f>IFERROR((s_C*s_IFSH_far_adj*s_CF_far_sheep*up_RadSpec!AO20*s_Q_p_sheep*(1/1000)),0)</f>
        <v>189.0625</v>
      </c>
      <c r="EF20" s="40">
        <f>IFERROR((s_C*s_IFSM_far_adj*s_CF_far_sheep_milk*up_RadSpec!AP20*(1/s_D_milk)*s_Q_p_sheep_milk*(1/1000)),0)</f>
        <v>183.55582524271844</v>
      </c>
      <c r="EG20" s="5"/>
      <c r="EH20" s="15">
        <f>IFERROR((s_DL/(up_RadSpec!H20*s_IFA_far_adj)),".")</f>
        <v>9.9740259740259754E-3</v>
      </c>
      <c r="EI20" s="15">
        <f>IFERROR((s_DL/(up_RadSpec!K20*s_EF_far*(1/365)*1*s_ET_far*(1/24)*s_GSF_a)),".")</f>
        <v>63.709090909090911</v>
      </c>
      <c r="EJ20" s="15">
        <f t="shared" si="25"/>
        <v>9.9724647271019675E-3</v>
      </c>
      <c r="EK20" s="189">
        <f>EJ20*(0.0000000000000028)*up_RadSpec!$AY20*up_RadSpec!$AF20</f>
        <v>2.9877504322397496E-14</v>
      </c>
      <c r="EL20" s="40">
        <f t="shared" si="19"/>
        <v>501.30208333333326</v>
      </c>
      <c r="EM20" s="40">
        <f t="shared" si="20"/>
        <v>7.8481735159817351E-2</v>
      </c>
      <c r="EN20" s="113"/>
    </row>
    <row r="21" spans="1:144" customFormat="1" x14ac:dyDescent="0.25">
      <c r="A21" s="44" t="s">
        <v>19</v>
      </c>
      <c r="B21" s="42" t="s">
        <v>1057</v>
      </c>
      <c r="C21" s="238"/>
      <c r="D21" s="15">
        <f>up_dir!AC21</f>
        <v>1.6528925619834712E-4</v>
      </c>
      <c r="E21" s="15">
        <f>IFERROR(s_DL/(up_RadSpec!F21*s_IFP_far_adj*s_CF_far_poultry),".")</f>
        <v>6.6115702479338848E-4</v>
      </c>
      <c r="F21" s="15">
        <f>IFERROR(s_DL/(up_RadSpec!F21*s_IFE_far_adj*s_CF_far_egg),".")</f>
        <v>6.6115702479338848E-4</v>
      </c>
      <c r="G21" s="15">
        <f>IFERROR(s_DL/(up_RadSpec!F21*s_IFB_far_adj*s_CF_far_beef),".")</f>
        <v>6.6115702479338848E-4</v>
      </c>
      <c r="H21" s="15">
        <f>IFERROR(s_DL/(up_RadSpec!F21*s_IFD_far_adj*s_CF_far_dairy),".")</f>
        <v>6.6115702479338848E-4</v>
      </c>
      <c r="I21" s="15">
        <f>IFERROR(s_DL/(up_RadSpec!F21*s_IFSW_far_adj*s_CF_far_swine),".")</f>
        <v>6.6115702479338848E-4</v>
      </c>
      <c r="J21" s="15">
        <f>IFERROR(s_DL/(up_RadSpec!F21*s_IFFI_far_adj*s_CF_far_fish),".")</f>
        <v>6.6115702479338848E-4</v>
      </c>
      <c r="K21" s="15">
        <f>IFERROR(s_DL/(up_RadSpec!F21*s_IFSF_far_adj*s_CF_far_shellfish),".")</f>
        <v>6.6115702479338848E-4</v>
      </c>
      <c r="L21" s="15">
        <f>IFERROR(s_DL/(up_RadSpec!F21*s_IFGO_far_adj*s_CF_far_goat),".")</f>
        <v>6.6115702479338848E-4</v>
      </c>
      <c r="M21" s="15">
        <f>IFERROR(s_DL/(up_RadSpec!F21*s_IFSH_far_adj*s_CF_far_sheep),".")</f>
        <v>6.6115702479338848E-4</v>
      </c>
      <c r="N21" s="15">
        <f>IFERROR(s_DL/(up_RadSpec!F21*s_IFGM_far_adj*s_CF_far_goat_milk),".")</f>
        <v>6.6115702479338848E-4</v>
      </c>
      <c r="O21" s="15">
        <f>IFERROR(s_DL/(up_RadSpec!F21*s_IFSM_far_adj*s_CF_far_sheep_milk),".")</f>
        <v>6.6115702479338848E-4</v>
      </c>
      <c r="P21" s="111">
        <f t="shared" si="21"/>
        <v>1512.5</v>
      </c>
      <c r="Q21" s="111">
        <f t="shared" si="21"/>
        <v>1512.5</v>
      </c>
      <c r="R21" s="111">
        <f t="shared" si="21"/>
        <v>1512.5</v>
      </c>
      <c r="S21" s="111">
        <f t="shared" si="21"/>
        <v>1512.5</v>
      </c>
      <c r="T21" s="111">
        <f t="shared" si="21"/>
        <v>1512.5</v>
      </c>
      <c r="U21" s="111">
        <f t="shared" si="21"/>
        <v>1512.5</v>
      </c>
      <c r="V21" s="111">
        <f t="shared" si="21"/>
        <v>1512.5</v>
      </c>
      <c r="W21" s="111">
        <f t="shared" si="21"/>
        <v>1512.5</v>
      </c>
      <c r="X21" s="111">
        <f t="shared" si="26"/>
        <v>1512.5</v>
      </c>
      <c r="Y21" s="111">
        <f t="shared" si="26"/>
        <v>1512.5</v>
      </c>
      <c r="Z21" s="111">
        <f t="shared" si="26"/>
        <v>1512.5</v>
      </c>
      <c r="AA21" s="111">
        <f t="shared" si="26"/>
        <v>1512.5</v>
      </c>
      <c r="AB21" s="15">
        <f t="shared" si="22"/>
        <v>5.5096418732782371E-5</v>
      </c>
      <c r="AC21" s="247">
        <f>IFERROR(AB21*(0.0000000000028)*up_RadSpec!$AY21*up_RadSpec!$AF21,0)</f>
        <v>1.6815426997245181E-13</v>
      </c>
      <c r="AD21" s="40">
        <f>up_dir!BC21</f>
        <v>30250</v>
      </c>
      <c r="AE21" s="40">
        <f t="shared" si="1"/>
        <v>7562.5</v>
      </c>
      <c r="AF21" s="40">
        <f t="shared" si="2"/>
        <v>7562.5</v>
      </c>
      <c r="AG21" s="40">
        <f t="shared" si="3"/>
        <v>7562.5</v>
      </c>
      <c r="AH21" s="40">
        <f t="shared" si="4"/>
        <v>7562.5</v>
      </c>
      <c r="AI21" s="40">
        <f t="shared" si="5"/>
        <v>7562.5</v>
      </c>
      <c r="AJ21" s="40">
        <f t="shared" si="6"/>
        <v>7562.5</v>
      </c>
      <c r="AK21" s="40">
        <f t="shared" si="7"/>
        <v>7562.5</v>
      </c>
      <c r="AL21" s="40">
        <f t="shared" si="8"/>
        <v>7562.5</v>
      </c>
      <c r="AM21" s="40">
        <f t="shared" si="9"/>
        <v>7562.5</v>
      </c>
      <c r="AN21" s="40">
        <f t="shared" si="10"/>
        <v>7562.5</v>
      </c>
      <c r="AO21" s="40">
        <f t="shared" si="11"/>
        <v>7562.5</v>
      </c>
      <c r="AP21" s="45">
        <f>IFERROR((s_DL/(up_RadSpec!E21*s_IFS_far_adj*(1/1000)))*1,".")</f>
        <v>0.33057851239669422</v>
      </c>
      <c r="AQ21" s="45">
        <f>IFERROR(IF(A21="H-3",(s_DL/(up_RadSpec!H21*s_IFA_far_adj*(1/17)*1000))*1,(s_DL/(up_RadSpec!H21*s_IFA_far_adj*(1/s_PEF_wind)*1000))*1),".")</f>
        <v>3089.9917851942919</v>
      </c>
      <c r="AR21" s="45" t="str">
        <f>IFERROR((s_DL/(up_RadSpec!G21*s_EF_far*(1/365)*1*up_RadSpec!R21*((s_ET_far_o*(1/24)*up_RadSpec!W21)+(s_ET_far_i*(1/24)*up_RadSpec!AB21))))*1,".")</f>
        <v>.</v>
      </c>
      <c r="AS21" s="45">
        <f>up_b2s!BC21</f>
        <v>3.2968835384132272E-5</v>
      </c>
      <c r="AT21" s="45">
        <f>IFERROR(((J21*up_RadSpec!AU21)/up_RadSpec!AJ21)*1,".")</f>
        <v>6.6115702479338848E-4</v>
      </c>
      <c r="AU21" s="45">
        <f>IFERROR(((K21*up_RadSpec!AU21)/up_RadSpec!AK21)*1,".")</f>
        <v>6.6115702479338848E-4</v>
      </c>
      <c r="AV21" s="45">
        <f>IFERROR((G21/(up_RadSpec!AI21*((s_Q_p_beef*s_f_p_beef*s_f_s_beef*(up_RadSpec!BD21+s_R_es_past))+(s_Q_s_beef*s_f_p_beef))))*1,".")</f>
        <v>1.8558793678410905E-7</v>
      </c>
      <c r="AW21" s="45">
        <f>IFERROR(((H21*s_D_milk)/(up_RadSpec!AH21*((s_Q_p_dairy*s_f_p_dairy*s_f_s_dairy*(up_RadSpec!BD21+s_R_es_past))+(s_Q_s_dairy*s_f_p_dairy))))*1,".")</f>
        <v>1.9115557488763231E-7</v>
      </c>
      <c r="AX21" s="45">
        <f>IFERROR((I21/(up_RadSpec!AN21*((s_Q_p_swine*s_f_p_swine*s_f_s_swine*(up_RadSpec!BD21+s_R_es_past))+(s_Q_s_swine*s_f_p_swine))))*1,".")</f>
        <v>1.8558793678410905E-7</v>
      </c>
      <c r="AY21" s="45">
        <f>IFERROR((E21/(up_RadSpec!AL21*((s_Q_p_poultry*s_f_p_poultry*s_f_s_poultry*(up_RadSpec!BD21+s_R_es_past))+(s_Q_s_poultry*s_f_p_poultry))))*1,".")</f>
        <v>1.8558793678410905E-7</v>
      </c>
      <c r="AZ21" s="45">
        <f>IFERROR((F21/(up_RadSpec!AM21*((s_Q_p_poultry*s_f_p_poultry*s_f_s_poultry*(up_RadSpec!BD21+s_R_es_past))+(s_Q_s_poultry*s_f_p_poultry))))*1,".")</f>
        <v>1.8558793678410905E-7</v>
      </c>
      <c r="BA21" s="45">
        <f>IFERROR((L21/(up_RadSpec!AQ21*((s_Q_p_goat*s_f_p_goat*s_f_s_goat*(up_RadSpec!BD21+s_R_es_past))+(s_Q_s_goat*s_f_p_goat))))*1,".")</f>
        <v>1.8558793678410905E-7</v>
      </c>
      <c r="BB21" s="45">
        <f>IFERROR((N21*s_D_milk/(up_RadSpec!AR21*((s_Q_p_goat_milk*s_f_p_goat_milk*s_f_s_goat_milk*(up_RadSpec!BD21+s_R_es_past))+(s_Q_s_goat_milk*s_f_p_goat_milk))))*1,".")</f>
        <v>1.9115557488763231E-7</v>
      </c>
      <c r="BC21" s="45">
        <f>IFERROR((M21/(up_RadSpec!AO21*((s_Q_p_sheep*s_f_p_sheep*s_f_s_sheep*(up_RadSpec!BD21+s_R_es_past))+(s_Q_s_sheep*s_f_p_sheep))))*1,".")</f>
        <v>1.8558793678410905E-7</v>
      </c>
      <c r="BD21" s="45">
        <f>IFERROR((O21*s_D_milk/(up_RadSpec!AP21*((s_Q_p_sheep_milk*s_f_p_sheep_milk*s_f_s_sheep_milk*(up_RadSpec!BD21+s_R_es_past))+(s_Q_s_sheep_milk*s_f_p_sheep_milk))))*1,".")</f>
        <v>1.9115557488763231E-7</v>
      </c>
      <c r="BE21" s="111">
        <f t="shared" si="27"/>
        <v>3.0249999999999999</v>
      </c>
      <c r="BF21" s="111">
        <f t="shared" si="27"/>
        <v>3.236254558317935E-4</v>
      </c>
      <c r="BG21" s="111" t="str">
        <f t="shared" si="27"/>
        <v>.</v>
      </c>
      <c r="BH21" s="111">
        <f t="shared" si="27"/>
        <v>30331.674999999992</v>
      </c>
      <c r="BI21" s="111">
        <f t="shared" si="27"/>
        <v>1512.5</v>
      </c>
      <c r="BJ21" s="111">
        <f t="shared" si="27"/>
        <v>1512.5</v>
      </c>
      <c r="BK21" s="111">
        <f t="shared" si="27"/>
        <v>5388281.2499999991</v>
      </c>
      <c r="BL21" s="111">
        <f t="shared" si="27"/>
        <v>5231341.0194174759</v>
      </c>
      <c r="BM21" s="111">
        <f t="shared" si="27"/>
        <v>5388281.2499999991</v>
      </c>
      <c r="BN21" s="111">
        <f t="shared" si="27"/>
        <v>5388281.2499999991</v>
      </c>
      <c r="BO21" s="111">
        <f t="shared" si="27"/>
        <v>5388281.2499999991</v>
      </c>
      <c r="BP21" s="111">
        <f t="shared" si="27"/>
        <v>5388281.2499999991</v>
      </c>
      <c r="BQ21" s="111">
        <f t="shared" si="27"/>
        <v>5231341.0194174759</v>
      </c>
      <c r="BR21" s="111">
        <f t="shared" si="27"/>
        <v>5388281.2499999991</v>
      </c>
      <c r="BS21" s="111">
        <f t="shared" si="27"/>
        <v>5231341.0194174759</v>
      </c>
      <c r="BT21" s="15">
        <f t="shared" si="23"/>
        <v>2.0808592671575615E-8</v>
      </c>
      <c r="BU21" s="189">
        <f>IFERROR(BT21*(0.0000000000028)*up_RadSpec!$AY21*up_RadSpec!$AF21,0)</f>
        <v>6.3507824833648777E-17</v>
      </c>
      <c r="BV21" s="40">
        <f t="shared" si="13"/>
        <v>15.125</v>
      </c>
      <c r="BW21" s="40">
        <f t="shared" si="14"/>
        <v>1.6181272791589674E-3</v>
      </c>
      <c r="BX21" s="40">
        <f>IFERROR((s_C*s_EF_far*(1/365)*1*up_RadSpec!R21*((s_ET_far_o*(1/24)*up_RadSpec!W21)+(s_ET_far_i*(1/24)*up_RadSpec!AB21))),".")</f>
        <v>0</v>
      </c>
      <c r="BY21" s="40">
        <f>up_b2s!CC21</f>
        <v>151658.375</v>
      </c>
      <c r="BZ21" s="40">
        <f>IFERROR(((s_C*up_RadSpec!AJ21)/up_RadSpec!AU21)*s_IFFI_far_adj*s_CF_far_fish,0)</f>
        <v>7562.5</v>
      </c>
      <c r="CA21" s="40">
        <f>IFERROR(((s_C*up_RadSpec!AK21)/up_RadSpec!AU21)*s_IFSF_far_adj*s_CF_far_shellfish,0)</f>
        <v>7562.5</v>
      </c>
      <c r="CB21" s="40">
        <f>(s_C*s_IFB_far_adj*s_CF_far_beef*up_RadSpec!AI21*((s_Q_p_beef*s_f_p_beef*s_f_s_beef*(up_RadSpec!$AT21+s_R_es_past))+(s_Q_s_beef*s_f_p_beef)))</f>
        <v>26941406.25</v>
      </c>
      <c r="CC21" s="40">
        <f>(s_C*s_IFD_far_adj*s_CF_far_dairy*up_RadSpec!AH21*1/s_D_milk*((s_Q_p_dairy*s_f_p_dairy*s_f_s_dairy*(up_RadSpec!$AT21+s_R_es_past))+(s_Q_s_dairy*s_f_p_dairy)))</f>
        <v>26156705.09708738</v>
      </c>
      <c r="CD21" s="40">
        <f>IFERROR((s_C*s_IFSW_far_adj*s_CF_far_swine*up_RadSpec!AN21*((s_Q_p_swine*s_f_p_swine*s_f_s_swine*(up_RadSpec!$AT21+s_R_es_past))+(s_Q_s_swine*s_f_p_swine))),0)</f>
        <v>26941406.25</v>
      </c>
      <c r="CE21" s="40">
        <f>IFERROR((s_C*s_IFP_far_adj*s_CF_far_poultry*up_RadSpec!AL21*((s_Q_p_poultry*s_f_p_poultry*s_f_s_poultry*(up_RadSpec!AT21+s_R_es_past))+(s_Q_s_poultry*s_f_p_poultry))),0)</f>
        <v>26941406.25</v>
      </c>
      <c r="CF21" s="40">
        <f>IFERROR((s_C*s_IFE_far_adj*s_CF_far_egg*up_RadSpec!AM21*((s_Q_p_egg*s_f_p_egg*s_f_s_egg*(up_RadSpec!$AT21+s_R_es_past))+(s_Q_s_egg*s_f_p_egg))),0)</f>
        <v>26941406.25</v>
      </c>
      <c r="CG21" s="40">
        <f>IFERROR((s_C*s_IFGO_far_adj*s_CF_far_goat*up_RadSpec!AQ21*((s_Q_p_goat*s_f_p_goat*s_f_s_goat*(up_RadSpec!$AT21+s_R_es_past))+(s_Q_s_goat*s_f_p_goat))),0)</f>
        <v>26941406.25</v>
      </c>
      <c r="CH21" s="40">
        <f>IFERROR((s_C*s_IFGM_far_adj*s_CF_far_goat_milk*up_RadSpec!AR21*1/s_D_milk*((s_Q_p_goat_milk*s_f_p_goat_milk*s_f_s_goat_milk*(up_RadSpec!$AT21+s_R_es_past))+(s_Q_s_goat_milk*s_f_p_goat_milk))),0)</f>
        <v>26156705.09708738</v>
      </c>
      <c r="CI21" s="40">
        <f>IFERROR((s_C*s_IFSH_far_adj*s_CF_far_sheep*up_RadSpec!AO21*((s_Q_p_sheep*s_f_p_sheep*s_f_s_sheep*(up_RadSpec!$AT21+s_R_es_past))+(s_Q_s_sheep*s_f_p_sheep))),0)</f>
        <v>26941406.25</v>
      </c>
      <c r="CJ21" s="40">
        <f>IFERROR((s_C*s_IFSM_far_adj*s_CF_far_sheep_milk*up_RadSpec!AP21*1/s_D_milk*((s_Q_p_sheep_milk*s_f_p_sheep_milk*s_f_s_sheep_milk*(up_RadSpec!$AT21+s_R_es_past))+(s_Q_s_sheep_milk*s_f_p_sheep_milk))),0)</f>
        <v>26156705.09708738</v>
      </c>
      <c r="CK21" s="18"/>
      <c r="CL21" s="15">
        <f>IFERROR(s_DL/(up_RadSpec!I21*s_IFW_far_adj),".")</f>
        <v>3.6363636363636364E-3</v>
      </c>
      <c r="CM21" s="15">
        <f>IFERROR(IF(AND(up_RadSpec!C21=1,up_RadSpec!D21&lt;&gt;0),s_DL/(up_RadSpec!H21*s_IFA_far_adj*s_K*up_RadSpec!D21),"."),".")</f>
        <v>2.738261548962679E-2</v>
      </c>
      <c r="CN21" s="15">
        <f>IFERROR((s_DL/(up_RadSpec!M21*(1/8760)*s_DFA_far_adj)),".")</f>
        <v>39.81818181818182</v>
      </c>
      <c r="CO21" s="15">
        <f>up_b2w!BC21</f>
        <v>1.6443412786038033E-4</v>
      </c>
      <c r="CP21" s="15">
        <f>IFERROR(J21/(up_RadSpec!AJ21*(1/1000)),".")</f>
        <v>0.13223140495867769</v>
      </c>
      <c r="CQ21" s="15">
        <f>IFERROR(K21/(up_RadSpec!AK21*(1/1000)),".")</f>
        <v>0.13223140495867769</v>
      </c>
      <c r="CR21" s="15">
        <f>IFERROR(G21/(up_RadSpec!AI21*s_Q_w_beef*(1/1000)),".")</f>
        <v>2.6446280991735537E-2</v>
      </c>
      <c r="CS21" s="15">
        <f>IFERROR((H21*s_D_milk)/(up_RadSpec!AH21*s_Q_w_dairy*(1/1000)),".")</f>
        <v>2.7239669421487603E-2</v>
      </c>
      <c r="CT21" s="15">
        <f>IFERROR(I21/(up_RadSpec!AN21*s_Q_w_swine*(1/1000)),".")</f>
        <v>2.6446280991735537E-2</v>
      </c>
      <c r="CU21" s="15">
        <f>IFERROR(E21/(up_RadSpec!AL21*s_Q_w_poultry*(1/1000)),".")</f>
        <v>2.6446280991735537E-2</v>
      </c>
      <c r="CV21" s="15">
        <f>IFERROR(F21/(up_RadSpec!AM21*s_Q_w_poultry*(1/1000)),".")</f>
        <v>2.6446280991735537E-2</v>
      </c>
      <c r="CW21" s="15">
        <f>IFERROR(L21/(up_RadSpec!AQ21*s_Q_w_goat*(1/1000)),".")</f>
        <v>2.6446280991735537E-2</v>
      </c>
      <c r="CX21" s="15">
        <f>IFERROR(N21*s_D_milk/(up_RadSpec!AR21*s_Q_w_goat_milk*(1/1000)),".")</f>
        <v>2.7239669421487603E-2</v>
      </c>
      <c r="CY21" s="15">
        <f>IFERROR(M21/(up_RadSpec!AO21*s_Q_w_sheep*(1/1000)),".")</f>
        <v>2.6446280991735537E-2</v>
      </c>
      <c r="CZ21" s="15">
        <f>IFERROR(O21*s_D_milk/(up_RadSpec!AP21*s_Q_w_sheep_milk*(1/1000)),".")</f>
        <v>2.7239669421487603E-2</v>
      </c>
      <c r="DA21" s="111">
        <f t="shared" si="28"/>
        <v>275</v>
      </c>
      <c r="DB21" s="111">
        <f>IFERROR(1/CM21,".")</f>
        <v>36.519520948567703</v>
      </c>
      <c r="DC21" s="111">
        <f t="shared" si="28"/>
        <v>2.5114155251141551E-2</v>
      </c>
      <c r="DD21" s="111">
        <f t="shared" si="28"/>
        <v>6081.4626076229861</v>
      </c>
      <c r="DE21" s="111">
        <f t="shared" si="28"/>
        <v>7.5625</v>
      </c>
      <c r="DF21" s="111">
        <f t="shared" si="28"/>
        <v>7.5625</v>
      </c>
      <c r="DG21" s="111">
        <f t="shared" si="28"/>
        <v>37.8125</v>
      </c>
      <c r="DH21" s="111">
        <f t="shared" si="28"/>
        <v>36.711165048543691</v>
      </c>
      <c r="DI21" s="111">
        <f t="shared" si="28"/>
        <v>37.8125</v>
      </c>
      <c r="DJ21" s="111">
        <f t="shared" si="28"/>
        <v>37.8125</v>
      </c>
      <c r="DK21" s="111">
        <f t="shared" si="28"/>
        <v>37.8125</v>
      </c>
      <c r="DL21" s="111">
        <f t="shared" si="28"/>
        <v>37.8125</v>
      </c>
      <c r="DM21" s="111">
        <f t="shared" si="28"/>
        <v>36.711165048543691</v>
      </c>
      <c r="DN21" s="111">
        <f t="shared" si="28"/>
        <v>37.8125</v>
      </c>
      <c r="DO21" s="111">
        <f t="shared" si="28"/>
        <v>36.711165048543691</v>
      </c>
      <c r="DP21" s="15">
        <f>IFERROR(1/(SUMIF(DA21:DO21,"&lt;&gt;0")),".")</f>
        <v>1.4825487545207567E-4</v>
      </c>
      <c r="DQ21" s="189">
        <f>DP21*(0.0000000000000028)*up_RadSpec!$AY21*up_RadSpec!$AF21</f>
        <v>4.5247387987973493E-16</v>
      </c>
      <c r="DR21" s="40">
        <f t="shared" si="16"/>
        <v>1375</v>
      </c>
      <c r="DS21" s="40">
        <f>IFERROR(IF(up_RadSpec!D21&lt;&gt;"",s_C*s_IFA_far_adj*s_K*up_RadSpec!D21,0),".")</f>
        <v>182.59760474283851</v>
      </c>
      <c r="DT21" s="40">
        <f t="shared" si="17"/>
        <v>0.12557077625570776</v>
      </c>
      <c r="DU21" s="40">
        <f>up_b2w!CC21</f>
        <v>30407.313038114935</v>
      </c>
      <c r="DV21" s="40">
        <f>IFERROR(s_C*up_RadSpec!AJ21*(1/1000)*s_IFFI_far_adj*s_CF_far_fish,0)</f>
        <v>37.8125</v>
      </c>
      <c r="DW21" s="40">
        <f>IFERROR(s_C*up_RadSpec!AK21*(1/1000)*s_IFSF_far_adj*s_CF_far_shellfish,0)</f>
        <v>37.8125</v>
      </c>
      <c r="DX21" s="40">
        <f>(s_C*s_IFB_far_adj*s_CF_far_beef*up_RadSpec!AI21*s_Q_w_beef*(1/1000))</f>
        <v>189.0625</v>
      </c>
      <c r="DY21" s="40">
        <f>(s_C*s_IFD_far_adj*s_CF_far_dairy*up_RadSpec!AH21*(1/s_D_milk)*s_Q_w_dairy*(1/1000))</f>
        <v>183.55582524271844</v>
      </c>
      <c r="DZ21" s="40">
        <f>IFERROR((s_C*s_IFSW_far_adj*s_CF_far_swine*up_RadSpec!AN21*s_Q_w_swine*(1/1000)),0)</f>
        <v>189.0625</v>
      </c>
      <c r="EA21" s="40">
        <f>IFERROR((s_C*s_IFP_far_adj*s_CF_far_poultry*up_RadSpec!AL21*s_Q_w_poultry*(1/1000)),0)</f>
        <v>189.0625</v>
      </c>
      <c r="EB21" s="40">
        <f>IFERROR((s_C*s_IFE_far_adj*s_CF_far_egg*up_RadSpec!AM21*s_Q_w_egg*(1/1000)),0)</f>
        <v>189.0625</v>
      </c>
      <c r="EC21" s="40">
        <f>IFERROR((s_C*s_IFGO_far_adj*s_CF_far_goat*up_RadSpec!AQ21*s_Q_p_goat*(1/1000)),0)</f>
        <v>189.0625</v>
      </c>
      <c r="ED21" s="40">
        <f>IFERROR((s_C*s_IFGM_far_adj*s_CF_far_goat_milk*up_RadSpec!AR21*(1/s_D_milk)*s_Q_p_goat_milk*(1/1000)),0)</f>
        <v>183.55582524271844</v>
      </c>
      <c r="EE21" s="40">
        <f>IFERROR((s_C*s_IFSH_far_adj*s_CF_far_sheep*up_RadSpec!AO21*s_Q_p_sheep*(1/1000)),0)</f>
        <v>189.0625</v>
      </c>
      <c r="EF21" s="40">
        <f>IFERROR((s_C*s_IFSM_far_adj*s_CF_far_sheep_milk*up_RadSpec!AP21*(1/s_D_milk)*s_Q_p_sheep_milk*(1/1000)),0)</f>
        <v>183.55582524271844</v>
      </c>
      <c r="EG21" s="5"/>
      <c r="EH21" s="15">
        <f>IFERROR((s_DL/(up_RadSpec!H21*s_IFA_far_adj)),".")</f>
        <v>9.9740259740259754E-3</v>
      </c>
      <c r="EI21" s="15">
        <f>IFERROR((s_DL/(up_RadSpec!K21*s_EF_far*(1/365)*1*s_ET_far*(1/24)*s_GSF_a)),".")</f>
        <v>63.709090909090911</v>
      </c>
      <c r="EJ21" s="15">
        <f t="shared" si="25"/>
        <v>9.9724647271019675E-3</v>
      </c>
      <c r="EK21" s="189">
        <f>EJ21*(0.0000000000000028)*up_RadSpec!$AY21*up_RadSpec!$AF21</f>
        <v>3.0435962347115209E-14</v>
      </c>
      <c r="EL21" s="40">
        <f t="shared" si="19"/>
        <v>501.30208333333326</v>
      </c>
      <c r="EM21" s="40">
        <f t="shared" si="20"/>
        <v>7.8481735159817351E-2</v>
      </c>
      <c r="EN21" s="113"/>
    </row>
    <row r="22" spans="1:144" customFormat="1" x14ac:dyDescent="0.25">
      <c r="A22" s="44" t="s">
        <v>20</v>
      </c>
      <c r="B22" s="42" t="s">
        <v>1057</v>
      </c>
      <c r="C22" s="42"/>
      <c r="D22" s="15">
        <f>up_dir!AC22</f>
        <v>1.6528925619834712E-4</v>
      </c>
      <c r="E22" s="15">
        <f>IFERROR(s_DL/(up_RadSpec!F22*s_IFP_far_adj*s_CF_far_poultry),".")</f>
        <v>6.6115702479338848E-4</v>
      </c>
      <c r="F22" s="15">
        <f>IFERROR(s_DL/(up_RadSpec!F22*s_IFE_far_adj*s_CF_far_egg),".")</f>
        <v>6.6115702479338848E-4</v>
      </c>
      <c r="G22" s="15">
        <f>IFERROR(s_DL/(up_RadSpec!F22*s_IFB_far_adj*s_CF_far_beef),".")</f>
        <v>6.6115702479338848E-4</v>
      </c>
      <c r="H22" s="15">
        <f>IFERROR(s_DL/(up_RadSpec!F22*s_IFD_far_adj*s_CF_far_dairy),".")</f>
        <v>6.6115702479338848E-4</v>
      </c>
      <c r="I22" s="15">
        <f>IFERROR(s_DL/(up_RadSpec!F22*s_IFSW_far_adj*s_CF_far_swine),".")</f>
        <v>6.6115702479338848E-4</v>
      </c>
      <c r="J22" s="15">
        <f>IFERROR(s_DL/(up_RadSpec!F22*s_IFFI_far_adj*s_CF_far_fish),".")</f>
        <v>6.6115702479338848E-4</v>
      </c>
      <c r="K22" s="15">
        <f>IFERROR(s_DL/(up_RadSpec!F22*s_IFSF_far_adj*s_CF_far_shellfish),".")</f>
        <v>6.6115702479338848E-4</v>
      </c>
      <c r="L22" s="15">
        <f>IFERROR(s_DL/(up_RadSpec!F22*s_IFGO_far_adj*s_CF_far_goat),".")</f>
        <v>6.6115702479338848E-4</v>
      </c>
      <c r="M22" s="15">
        <f>IFERROR(s_DL/(up_RadSpec!F22*s_IFSH_far_adj*s_CF_far_sheep),".")</f>
        <v>6.6115702479338848E-4</v>
      </c>
      <c r="N22" s="15">
        <f>IFERROR(s_DL/(up_RadSpec!F22*s_IFGM_far_adj*s_CF_far_goat_milk),".")</f>
        <v>6.6115702479338848E-4</v>
      </c>
      <c r="O22" s="15">
        <f>IFERROR(s_DL/(up_RadSpec!F22*s_IFSM_far_adj*s_CF_far_sheep_milk),".")</f>
        <v>6.6115702479338848E-4</v>
      </c>
      <c r="P22" s="111">
        <f t="shared" si="21"/>
        <v>1512.5</v>
      </c>
      <c r="Q22" s="111">
        <f t="shared" si="21"/>
        <v>1512.5</v>
      </c>
      <c r="R22" s="111">
        <f t="shared" si="21"/>
        <v>1512.5</v>
      </c>
      <c r="S22" s="111">
        <f t="shared" si="21"/>
        <v>1512.5</v>
      </c>
      <c r="T22" s="111">
        <f t="shared" si="21"/>
        <v>1512.5</v>
      </c>
      <c r="U22" s="111">
        <f t="shared" si="21"/>
        <v>1512.5</v>
      </c>
      <c r="V22" s="111">
        <f t="shared" si="21"/>
        <v>1512.5</v>
      </c>
      <c r="W22" s="111">
        <f t="shared" si="21"/>
        <v>1512.5</v>
      </c>
      <c r="X22" s="111">
        <f t="shared" si="26"/>
        <v>1512.5</v>
      </c>
      <c r="Y22" s="111">
        <f t="shared" si="26"/>
        <v>1512.5</v>
      </c>
      <c r="Z22" s="111">
        <f t="shared" si="26"/>
        <v>1512.5</v>
      </c>
      <c r="AA22" s="111">
        <f t="shared" si="26"/>
        <v>1512.5</v>
      </c>
      <c r="AB22" s="15">
        <f t="shared" si="22"/>
        <v>5.5096418732782371E-5</v>
      </c>
      <c r="AC22" s="247">
        <f>IFERROR(AB22*(0.0000000000028)*up_RadSpec!$AY22*up_RadSpec!$AF22,0)</f>
        <v>1.7355371900826451E-13</v>
      </c>
      <c r="AD22" s="40">
        <f>up_dir!BC22</f>
        <v>30250</v>
      </c>
      <c r="AE22" s="40">
        <f t="shared" si="1"/>
        <v>7562.5</v>
      </c>
      <c r="AF22" s="40">
        <f t="shared" si="2"/>
        <v>7562.5</v>
      </c>
      <c r="AG22" s="40">
        <f t="shared" si="3"/>
        <v>7562.5</v>
      </c>
      <c r="AH22" s="40">
        <f t="shared" si="4"/>
        <v>7562.5</v>
      </c>
      <c r="AI22" s="40">
        <f t="shared" si="5"/>
        <v>7562.5</v>
      </c>
      <c r="AJ22" s="40">
        <f t="shared" si="6"/>
        <v>7562.5</v>
      </c>
      <c r="AK22" s="40">
        <f t="shared" si="7"/>
        <v>7562.5</v>
      </c>
      <c r="AL22" s="40">
        <f t="shared" si="8"/>
        <v>7562.5</v>
      </c>
      <c r="AM22" s="40">
        <f t="shared" si="9"/>
        <v>7562.5</v>
      </c>
      <c r="AN22" s="40">
        <f t="shared" si="10"/>
        <v>7562.5</v>
      </c>
      <c r="AO22" s="40">
        <f t="shared" si="11"/>
        <v>7562.5</v>
      </c>
      <c r="AP22" s="45">
        <f>IFERROR((s_DL/(up_RadSpec!E22*s_IFS_far_adj*(1/1000)))*1,".")</f>
        <v>0.33057851239669422</v>
      </c>
      <c r="AQ22" s="45">
        <f>IFERROR(IF(A22="H-3",(s_DL/(up_RadSpec!H22*s_IFA_far_adj*(1/17)*1000))*1,(s_DL/(up_RadSpec!H22*s_IFA_far_adj*(1/s_PEF_wind)*1000))*1),".")</f>
        <v>3089.9917851942919</v>
      </c>
      <c r="AR22" s="45">
        <f>IFERROR((s_DL/(up_RadSpec!G22*s_EF_far*(1/365)*1*up_RadSpec!R22*((s_ET_far_o*(1/24)*up_RadSpec!W22)+(s_ET_far_i*(1/24)*up_RadSpec!AB22))))*1,".")</f>
        <v>636876832.84457493</v>
      </c>
      <c r="AS22" s="45">
        <f>up_b2s!BC22</f>
        <v>3.2968835384132272E-5</v>
      </c>
      <c r="AT22" s="45">
        <f>IFERROR(((J22*up_RadSpec!AU22)/up_RadSpec!AJ22)*1,".")</f>
        <v>6.6115702479338848E-4</v>
      </c>
      <c r="AU22" s="45">
        <f>IFERROR(((K22*up_RadSpec!AU22)/up_RadSpec!AK22)*1,".")</f>
        <v>6.6115702479338848E-4</v>
      </c>
      <c r="AV22" s="45">
        <f>IFERROR((G22/(up_RadSpec!AI22*((s_Q_p_beef*s_f_p_beef*s_f_s_beef*(up_RadSpec!BD22+s_R_es_past))+(s_Q_s_beef*s_f_p_beef))))*1,".")</f>
        <v>1.8558793678410905E-7</v>
      </c>
      <c r="AW22" s="45">
        <f>IFERROR(((H22*s_D_milk)/(up_RadSpec!AH22*((s_Q_p_dairy*s_f_p_dairy*s_f_s_dairy*(up_RadSpec!BD22+s_R_es_past))+(s_Q_s_dairy*s_f_p_dairy))))*1,".")</f>
        <v>1.9115557488763231E-7</v>
      </c>
      <c r="AX22" s="45">
        <f>IFERROR((I22/(up_RadSpec!AN22*((s_Q_p_swine*s_f_p_swine*s_f_s_swine*(up_RadSpec!BD22+s_R_es_past))+(s_Q_s_swine*s_f_p_swine))))*1,".")</f>
        <v>1.8558793678410905E-7</v>
      </c>
      <c r="AY22" s="45">
        <f>IFERROR((E22/(up_RadSpec!AL22*((s_Q_p_poultry*s_f_p_poultry*s_f_s_poultry*(up_RadSpec!BD22+s_R_es_past))+(s_Q_s_poultry*s_f_p_poultry))))*1,".")</f>
        <v>1.8558793678410905E-7</v>
      </c>
      <c r="AZ22" s="45">
        <f>IFERROR((F22/(up_RadSpec!AM22*((s_Q_p_poultry*s_f_p_poultry*s_f_s_poultry*(up_RadSpec!BD22+s_R_es_past))+(s_Q_s_poultry*s_f_p_poultry))))*1,".")</f>
        <v>1.8558793678410905E-7</v>
      </c>
      <c r="BA22" s="45">
        <f>IFERROR((L22/(up_RadSpec!AQ22*((s_Q_p_goat*s_f_p_goat*s_f_s_goat*(up_RadSpec!BD22+s_R_es_past))+(s_Q_s_goat*s_f_p_goat))))*1,".")</f>
        <v>1.8558793678410905E-7</v>
      </c>
      <c r="BB22" s="45">
        <f>IFERROR((N22*s_D_milk/(up_RadSpec!AR22*((s_Q_p_goat_milk*s_f_p_goat_milk*s_f_s_goat_milk*(up_RadSpec!BD22+s_R_es_past))+(s_Q_s_goat_milk*s_f_p_goat_milk))))*1,".")</f>
        <v>1.9115557488763231E-7</v>
      </c>
      <c r="BC22" s="45">
        <f>IFERROR((M22/(up_RadSpec!AO22*((s_Q_p_sheep*s_f_p_sheep*s_f_s_sheep*(up_RadSpec!BD22+s_R_es_past))+(s_Q_s_sheep*s_f_p_sheep))))*1,".")</f>
        <v>1.8558793678410905E-7</v>
      </c>
      <c r="BD22" s="45">
        <f>IFERROR((O22*s_D_milk/(up_RadSpec!AP22*((s_Q_p_sheep_milk*s_f_p_sheep_milk*s_f_s_sheep_milk*(up_RadSpec!BD22+s_R_es_past))+(s_Q_s_sheep_milk*s_f_p_sheep_milk))))*1,".")</f>
        <v>1.9115557488763231E-7</v>
      </c>
      <c r="BE22" s="111">
        <f t="shared" si="27"/>
        <v>3.0249999999999999</v>
      </c>
      <c r="BF22" s="111">
        <f t="shared" si="27"/>
        <v>3.236254558317935E-4</v>
      </c>
      <c r="BG22" s="111">
        <f t="shared" si="27"/>
        <v>1.5701623114999422E-9</v>
      </c>
      <c r="BH22" s="111">
        <f t="shared" si="27"/>
        <v>30331.674999999992</v>
      </c>
      <c r="BI22" s="111">
        <f t="shared" si="27"/>
        <v>1512.5</v>
      </c>
      <c r="BJ22" s="111">
        <f t="shared" si="27"/>
        <v>1512.5</v>
      </c>
      <c r="BK22" s="111">
        <f t="shared" si="27"/>
        <v>5388281.2499999991</v>
      </c>
      <c r="BL22" s="111">
        <f t="shared" si="27"/>
        <v>5231341.0194174759</v>
      </c>
      <c r="BM22" s="111">
        <f t="shared" si="27"/>
        <v>5388281.2499999991</v>
      </c>
      <c r="BN22" s="111">
        <f t="shared" si="27"/>
        <v>5388281.2499999991</v>
      </c>
      <c r="BO22" s="111">
        <f t="shared" si="27"/>
        <v>5388281.2499999991</v>
      </c>
      <c r="BP22" s="111">
        <f t="shared" si="27"/>
        <v>5388281.2499999991</v>
      </c>
      <c r="BQ22" s="111">
        <f t="shared" si="27"/>
        <v>5231341.0194174759</v>
      </c>
      <c r="BR22" s="111">
        <f t="shared" si="27"/>
        <v>5388281.2499999991</v>
      </c>
      <c r="BS22" s="111">
        <f t="shared" si="27"/>
        <v>5231341.0194174759</v>
      </c>
      <c r="BT22" s="15">
        <f t="shared" si="23"/>
        <v>2.0808592671575615E-8</v>
      </c>
      <c r="BU22" s="189">
        <f>IFERROR(BT22*(0.0000000000028)*up_RadSpec!$AY22*up_RadSpec!$AF22,0)</f>
        <v>6.5547066915463189E-17</v>
      </c>
      <c r="BV22" s="40">
        <f t="shared" si="13"/>
        <v>15.125</v>
      </c>
      <c r="BW22" s="40">
        <f t="shared" si="14"/>
        <v>1.6181272791589674E-3</v>
      </c>
      <c r="BX22" s="40">
        <f>IFERROR((s_C*s_EF_far*(1/365)*1*up_RadSpec!R22*((s_ET_far_o*(1/24)*up_RadSpec!W22)+(s_ET_far_i*(1/24)*up_RadSpec!AB22))),".")</f>
        <v>7.8508115574997097E-9</v>
      </c>
      <c r="BY22" s="40">
        <f>up_b2s!CC22</f>
        <v>151658.375</v>
      </c>
      <c r="BZ22" s="40">
        <f>IFERROR(((s_C*up_RadSpec!AJ22)/up_RadSpec!AU22)*s_IFFI_far_adj*s_CF_far_fish,0)</f>
        <v>7562.5</v>
      </c>
      <c r="CA22" s="40">
        <f>IFERROR(((s_C*up_RadSpec!AK22)/up_RadSpec!AU22)*s_IFSF_far_adj*s_CF_far_shellfish,0)</f>
        <v>7562.5</v>
      </c>
      <c r="CB22" s="40">
        <f>(s_C*s_IFB_far_adj*s_CF_far_beef*up_RadSpec!AI22*((s_Q_p_beef*s_f_p_beef*s_f_s_beef*(up_RadSpec!$AT22+s_R_es_past))+(s_Q_s_beef*s_f_p_beef)))</f>
        <v>26941406.25</v>
      </c>
      <c r="CC22" s="40">
        <f>(s_C*s_IFD_far_adj*s_CF_far_dairy*up_RadSpec!AH22*1/s_D_milk*((s_Q_p_dairy*s_f_p_dairy*s_f_s_dairy*(up_RadSpec!$AT22+s_R_es_past))+(s_Q_s_dairy*s_f_p_dairy)))</f>
        <v>26156705.09708738</v>
      </c>
      <c r="CD22" s="40">
        <f>IFERROR((s_C*s_IFSW_far_adj*s_CF_far_swine*up_RadSpec!AN22*((s_Q_p_swine*s_f_p_swine*s_f_s_swine*(up_RadSpec!$AT22+s_R_es_past))+(s_Q_s_swine*s_f_p_swine))),0)</f>
        <v>26941406.25</v>
      </c>
      <c r="CE22" s="40">
        <f>IFERROR((s_C*s_IFP_far_adj*s_CF_far_poultry*up_RadSpec!AL22*((s_Q_p_poultry*s_f_p_poultry*s_f_s_poultry*(up_RadSpec!AT22+s_R_es_past))+(s_Q_s_poultry*s_f_p_poultry))),0)</f>
        <v>26941406.25</v>
      </c>
      <c r="CF22" s="40">
        <f>IFERROR((s_C*s_IFE_far_adj*s_CF_far_egg*up_RadSpec!AM22*((s_Q_p_egg*s_f_p_egg*s_f_s_egg*(up_RadSpec!$AT22+s_R_es_past))+(s_Q_s_egg*s_f_p_egg))),0)</f>
        <v>26941406.25</v>
      </c>
      <c r="CG22" s="40">
        <f>IFERROR((s_C*s_IFGO_far_adj*s_CF_far_goat*up_RadSpec!AQ22*((s_Q_p_goat*s_f_p_goat*s_f_s_goat*(up_RadSpec!$AT22+s_R_es_past))+(s_Q_s_goat*s_f_p_goat))),0)</f>
        <v>26941406.25</v>
      </c>
      <c r="CH22" s="40">
        <f>IFERROR((s_C*s_IFGM_far_adj*s_CF_far_goat_milk*up_RadSpec!AR22*1/s_D_milk*((s_Q_p_goat_milk*s_f_p_goat_milk*s_f_s_goat_milk*(up_RadSpec!$AT22+s_R_es_past))+(s_Q_s_goat_milk*s_f_p_goat_milk))),0)</f>
        <v>26156705.09708738</v>
      </c>
      <c r="CI22" s="40">
        <f>IFERROR((s_C*s_IFSH_far_adj*s_CF_far_sheep*up_RadSpec!AO22*((s_Q_p_sheep*s_f_p_sheep*s_f_s_sheep*(up_RadSpec!$AT22+s_R_es_past))+(s_Q_s_sheep*s_f_p_sheep))),0)</f>
        <v>26941406.25</v>
      </c>
      <c r="CJ22" s="40">
        <f>IFERROR((s_C*s_IFSM_far_adj*s_CF_far_sheep_milk*up_RadSpec!AP22*1/s_D_milk*((s_Q_p_sheep_milk*s_f_p_sheep_milk*s_f_s_sheep_milk*(up_RadSpec!$AT22+s_R_es_past))+(s_Q_s_sheep_milk*s_f_p_sheep_milk))),0)</f>
        <v>26156705.09708738</v>
      </c>
      <c r="CK22" s="18"/>
      <c r="CL22" s="15">
        <f>IFERROR(s_DL/(up_RadSpec!I22*s_IFW_far_adj),".")</f>
        <v>3.6363636363636364E-3</v>
      </c>
      <c r="CM22" s="15" t="str">
        <f>IFERROR(IF(AND(up_RadSpec!C22=1,up_RadSpec!D22&lt;&gt;0),s_DL/(up_RadSpec!H22*s_IFA_far_adj*s_K*up_RadSpec!D22),"."),".")</f>
        <v>.</v>
      </c>
      <c r="CN22" s="15">
        <f>IFERROR((s_DL/(up_RadSpec!M22*(1/8760)*s_DFA_far_adj)),".")</f>
        <v>39.81818181818182</v>
      </c>
      <c r="CO22" s="15">
        <f>up_b2w!BC22</f>
        <v>1.6443412786038033E-4</v>
      </c>
      <c r="CP22" s="15">
        <f>IFERROR(J22/(up_RadSpec!AJ22*(1/1000)),".")</f>
        <v>0.13223140495867769</v>
      </c>
      <c r="CQ22" s="15">
        <f>IFERROR(K22/(up_RadSpec!AK22*(1/1000)),".")</f>
        <v>0.13223140495867769</v>
      </c>
      <c r="CR22" s="15">
        <f>IFERROR(G22/(up_RadSpec!AI22*s_Q_w_beef*(1/1000)),".")</f>
        <v>2.6446280991735537E-2</v>
      </c>
      <c r="CS22" s="15">
        <f>IFERROR((H22*s_D_milk)/(up_RadSpec!AH22*s_Q_w_dairy*(1/1000)),".")</f>
        <v>2.7239669421487603E-2</v>
      </c>
      <c r="CT22" s="15">
        <f>IFERROR(I22/(up_RadSpec!AN22*s_Q_w_swine*(1/1000)),".")</f>
        <v>2.6446280991735537E-2</v>
      </c>
      <c r="CU22" s="15">
        <f>IFERROR(E22/(up_RadSpec!AL22*s_Q_w_poultry*(1/1000)),".")</f>
        <v>2.6446280991735537E-2</v>
      </c>
      <c r="CV22" s="15">
        <f>IFERROR(F22/(up_RadSpec!AM22*s_Q_w_poultry*(1/1000)),".")</f>
        <v>2.6446280991735537E-2</v>
      </c>
      <c r="CW22" s="15">
        <f>IFERROR(L22/(up_RadSpec!AQ22*s_Q_w_goat*(1/1000)),".")</f>
        <v>2.6446280991735537E-2</v>
      </c>
      <c r="CX22" s="15">
        <f>IFERROR(N22*s_D_milk/(up_RadSpec!AR22*s_Q_w_goat_milk*(1/1000)),".")</f>
        <v>2.7239669421487603E-2</v>
      </c>
      <c r="CY22" s="15">
        <f>IFERROR(M22/(up_RadSpec!AO22*s_Q_w_sheep*(1/1000)),".")</f>
        <v>2.6446280991735537E-2</v>
      </c>
      <c r="CZ22" s="15">
        <f>IFERROR(O22*s_D_milk/(up_RadSpec!AP22*s_Q_w_sheep_milk*(1/1000)),".")</f>
        <v>2.7239669421487603E-2</v>
      </c>
      <c r="DA22" s="111">
        <f t="shared" si="28"/>
        <v>275</v>
      </c>
      <c r="DB22" s="111" t="str">
        <f t="shared" si="28"/>
        <v>.</v>
      </c>
      <c r="DC22" s="111">
        <f t="shared" si="28"/>
        <v>2.5114155251141551E-2</v>
      </c>
      <c r="DD22" s="111">
        <f t="shared" si="28"/>
        <v>6081.4626076229861</v>
      </c>
      <c r="DE22" s="111">
        <f t="shared" si="28"/>
        <v>7.5625</v>
      </c>
      <c r="DF22" s="111">
        <f t="shared" si="28"/>
        <v>7.5625</v>
      </c>
      <c r="DG22" s="111">
        <f t="shared" si="28"/>
        <v>37.8125</v>
      </c>
      <c r="DH22" s="111">
        <f t="shared" si="28"/>
        <v>36.711165048543691</v>
      </c>
      <c r="DI22" s="111">
        <f t="shared" si="28"/>
        <v>37.8125</v>
      </c>
      <c r="DJ22" s="111">
        <f t="shared" si="28"/>
        <v>37.8125</v>
      </c>
      <c r="DK22" s="111">
        <f t="shared" si="28"/>
        <v>37.8125</v>
      </c>
      <c r="DL22" s="111">
        <f t="shared" si="28"/>
        <v>37.8125</v>
      </c>
      <c r="DM22" s="111">
        <f t="shared" si="28"/>
        <v>36.711165048543691</v>
      </c>
      <c r="DN22" s="111">
        <f t="shared" si="28"/>
        <v>37.8125</v>
      </c>
      <c r="DO22" s="111">
        <f t="shared" si="28"/>
        <v>36.711165048543691</v>
      </c>
      <c r="DP22" s="15">
        <f t="shared" si="24"/>
        <v>1.4906192608956598E-4</v>
      </c>
      <c r="DQ22" s="189">
        <f>DP22*(0.0000000000000028)*up_RadSpec!$AY22*up_RadSpec!$AF22</f>
        <v>4.6954506718213294E-16</v>
      </c>
      <c r="DR22" s="40">
        <f t="shared" si="16"/>
        <v>1375</v>
      </c>
      <c r="DS22" s="40">
        <f>IFERROR(IF(up_RadSpec!D22&lt;&gt;"",s_C*s_IFA_far_adj*s_K*up_RadSpec!D22,0),".")</f>
        <v>0</v>
      </c>
      <c r="DT22" s="40">
        <f t="shared" si="17"/>
        <v>0.12557077625570776</v>
      </c>
      <c r="DU22" s="40">
        <f>up_b2w!CC22</f>
        <v>30407.313038114935</v>
      </c>
      <c r="DV22" s="40">
        <f>IFERROR(s_C*up_RadSpec!AJ22*(1/1000)*s_IFFI_far_adj*s_CF_far_fish,0)</f>
        <v>37.8125</v>
      </c>
      <c r="DW22" s="40">
        <f>IFERROR(s_C*up_RadSpec!AK22*(1/1000)*s_IFSF_far_adj*s_CF_far_shellfish,0)</f>
        <v>37.8125</v>
      </c>
      <c r="DX22" s="40">
        <f>(s_C*s_IFB_far_adj*s_CF_far_beef*up_RadSpec!AI22*s_Q_w_beef*(1/1000))</f>
        <v>189.0625</v>
      </c>
      <c r="DY22" s="40">
        <f>(s_C*s_IFD_far_adj*s_CF_far_dairy*up_RadSpec!AH22*(1/s_D_milk)*s_Q_w_dairy*(1/1000))</f>
        <v>183.55582524271844</v>
      </c>
      <c r="DZ22" s="40">
        <f>IFERROR((s_C*s_IFSW_far_adj*s_CF_far_swine*up_RadSpec!AN22*s_Q_w_swine*(1/1000)),0)</f>
        <v>189.0625</v>
      </c>
      <c r="EA22" s="40">
        <f>IFERROR((s_C*s_IFP_far_adj*s_CF_far_poultry*up_RadSpec!AL22*s_Q_w_poultry*(1/1000)),0)</f>
        <v>189.0625</v>
      </c>
      <c r="EB22" s="40">
        <f>IFERROR((s_C*s_IFE_far_adj*s_CF_far_egg*up_RadSpec!AM22*s_Q_w_egg*(1/1000)),0)</f>
        <v>189.0625</v>
      </c>
      <c r="EC22" s="40">
        <f>IFERROR((s_C*s_IFGO_far_adj*s_CF_far_goat*up_RadSpec!AQ22*s_Q_p_goat*(1/1000)),0)</f>
        <v>189.0625</v>
      </c>
      <c r="ED22" s="40">
        <f>IFERROR((s_C*s_IFGM_far_adj*s_CF_far_goat_milk*up_RadSpec!AR22*(1/s_D_milk)*s_Q_p_goat_milk*(1/1000)),0)</f>
        <v>183.55582524271844</v>
      </c>
      <c r="EE22" s="40">
        <f>IFERROR((s_C*s_IFSH_far_adj*s_CF_far_sheep*up_RadSpec!AO22*s_Q_p_sheep*(1/1000)),0)</f>
        <v>189.0625</v>
      </c>
      <c r="EF22" s="40">
        <f>IFERROR((s_C*s_IFSM_far_adj*s_CF_far_sheep_milk*up_RadSpec!AP22*(1/s_D_milk)*s_Q_p_sheep_milk*(1/1000)),0)</f>
        <v>183.55582524271844</v>
      </c>
      <c r="EG22" s="5"/>
      <c r="EH22" s="15">
        <f>IFERROR((s_DL/(up_RadSpec!H22*s_IFA_far_adj)),".")</f>
        <v>9.9740259740259754E-3</v>
      </c>
      <c r="EI22" s="15">
        <f>IFERROR((s_DL/(up_RadSpec!K22*s_EF_far*(1/365)*1*s_ET_far*(1/24)*s_GSF_a)),".")</f>
        <v>63.709090909090911</v>
      </c>
      <c r="EJ22" s="15">
        <f t="shared" si="25"/>
        <v>9.9724647271019675E-3</v>
      </c>
      <c r="EK22" s="189">
        <f>EJ22*(0.0000000000000028)*up_RadSpec!$AY22*up_RadSpec!$AF22</f>
        <v>3.14132638903712E-14</v>
      </c>
      <c r="EL22" s="40">
        <f t="shared" si="19"/>
        <v>501.30208333333326</v>
      </c>
      <c r="EM22" s="40">
        <f t="shared" si="20"/>
        <v>7.8481735159817351E-2</v>
      </c>
      <c r="EN22" s="113"/>
    </row>
    <row r="23" spans="1:144" customFormat="1" x14ac:dyDescent="0.25">
      <c r="A23" s="46" t="s">
        <v>21</v>
      </c>
      <c r="B23" s="42" t="s">
        <v>335</v>
      </c>
      <c r="C23" s="238"/>
      <c r="D23" s="15">
        <f>up_dir!AC23</f>
        <v>1.6528925619834712E-4</v>
      </c>
      <c r="E23" s="15">
        <f>IFERROR(s_DL/(up_RadSpec!F23*s_IFP_far_adj*s_CF_far_poultry),".")</f>
        <v>6.6115702479338848E-4</v>
      </c>
      <c r="F23" s="15">
        <f>IFERROR(s_DL/(up_RadSpec!F23*s_IFE_far_adj*s_CF_far_egg),".")</f>
        <v>6.6115702479338848E-4</v>
      </c>
      <c r="G23" s="15">
        <f>IFERROR(s_DL/(up_RadSpec!F23*s_IFB_far_adj*s_CF_far_beef),".")</f>
        <v>6.6115702479338848E-4</v>
      </c>
      <c r="H23" s="15">
        <f>IFERROR(s_DL/(up_RadSpec!F23*s_IFD_far_adj*s_CF_far_dairy),".")</f>
        <v>6.6115702479338848E-4</v>
      </c>
      <c r="I23" s="15">
        <f>IFERROR(s_DL/(up_RadSpec!F23*s_IFSW_far_adj*s_CF_far_swine),".")</f>
        <v>6.6115702479338848E-4</v>
      </c>
      <c r="J23" s="15">
        <f>IFERROR(s_DL/(up_RadSpec!F23*s_IFFI_far_adj*s_CF_far_fish),".")</f>
        <v>6.6115702479338848E-4</v>
      </c>
      <c r="K23" s="15">
        <f>IFERROR(s_DL/(up_RadSpec!F23*s_IFSF_far_adj*s_CF_far_shellfish),".")</f>
        <v>6.6115702479338848E-4</v>
      </c>
      <c r="L23" s="15">
        <f>IFERROR(s_DL/(up_RadSpec!F23*s_IFGO_far_adj*s_CF_far_goat),".")</f>
        <v>6.6115702479338848E-4</v>
      </c>
      <c r="M23" s="15">
        <f>IFERROR(s_DL/(up_RadSpec!F23*s_IFSH_far_adj*s_CF_far_sheep),".")</f>
        <v>6.6115702479338848E-4</v>
      </c>
      <c r="N23" s="15">
        <f>IFERROR(s_DL/(up_RadSpec!F23*s_IFGM_far_adj*s_CF_far_goat_milk),".")</f>
        <v>6.6115702479338848E-4</v>
      </c>
      <c r="O23" s="15">
        <f>IFERROR(s_DL/(up_RadSpec!F23*s_IFSM_far_adj*s_CF_far_sheep_milk),".")</f>
        <v>6.6115702479338848E-4</v>
      </c>
      <c r="P23" s="111">
        <f t="shared" si="21"/>
        <v>1512.5</v>
      </c>
      <c r="Q23" s="111">
        <f t="shared" si="21"/>
        <v>1512.5</v>
      </c>
      <c r="R23" s="111">
        <f t="shared" si="21"/>
        <v>1512.5</v>
      </c>
      <c r="S23" s="111">
        <f t="shared" si="21"/>
        <v>1512.5</v>
      </c>
      <c r="T23" s="111">
        <f t="shared" si="21"/>
        <v>1512.5</v>
      </c>
      <c r="U23" s="111">
        <f t="shared" si="21"/>
        <v>1512.5</v>
      </c>
      <c r="V23" s="111">
        <f t="shared" si="21"/>
        <v>1512.5</v>
      </c>
      <c r="W23" s="111">
        <f t="shared" si="21"/>
        <v>1512.5</v>
      </c>
      <c r="X23" s="111">
        <f t="shared" si="26"/>
        <v>1512.5</v>
      </c>
      <c r="Y23" s="111">
        <f t="shared" si="26"/>
        <v>1512.5</v>
      </c>
      <c r="Z23" s="111">
        <f t="shared" si="26"/>
        <v>1512.5</v>
      </c>
      <c r="AA23" s="111">
        <f t="shared" si="26"/>
        <v>1512.5</v>
      </c>
      <c r="AB23" s="15">
        <f t="shared" si="22"/>
        <v>5.5096418732782371E-5</v>
      </c>
      <c r="AC23" s="247">
        <f>IFERROR(AB23*(0.0000000000028)*up_RadSpec!$AY23*up_RadSpec!$AF23,0)</f>
        <v>1.7432506887052346E-13</v>
      </c>
      <c r="AD23" s="40">
        <f>up_dir!BC23</f>
        <v>30250</v>
      </c>
      <c r="AE23" s="40">
        <f t="shared" si="1"/>
        <v>7562.5</v>
      </c>
      <c r="AF23" s="40">
        <f t="shared" si="2"/>
        <v>7562.5</v>
      </c>
      <c r="AG23" s="40">
        <f t="shared" si="3"/>
        <v>7562.5</v>
      </c>
      <c r="AH23" s="40">
        <f t="shared" si="4"/>
        <v>7562.5</v>
      </c>
      <c r="AI23" s="40">
        <f t="shared" si="5"/>
        <v>7562.5</v>
      </c>
      <c r="AJ23" s="40">
        <f t="shared" si="6"/>
        <v>7562.5</v>
      </c>
      <c r="AK23" s="40">
        <f t="shared" si="7"/>
        <v>7562.5</v>
      </c>
      <c r="AL23" s="40">
        <f t="shared" si="8"/>
        <v>7562.5</v>
      </c>
      <c r="AM23" s="40">
        <f t="shared" si="9"/>
        <v>7562.5</v>
      </c>
      <c r="AN23" s="40">
        <f t="shared" si="10"/>
        <v>7562.5</v>
      </c>
      <c r="AO23" s="40">
        <f t="shared" si="11"/>
        <v>7562.5</v>
      </c>
      <c r="AP23" s="45">
        <f>IFERROR((s_DL/(up_RadSpec!E23*s_IFS_far_adj*(1/1000)))*1,".")</f>
        <v>0.33057851239669422</v>
      </c>
      <c r="AQ23" s="45">
        <f>IFERROR(IF(A23="H-3",(s_DL/(up_RadSpec!H23*s_IFA_far_adj*(1/17)*1000))*1,(s_DL/(up_RadSpec!H23*s_IFA_far_adj*(1/s_PEF_wind)*1000))*1),".")</f>
        <v>3089.9917851942919</v>
      </c>
      <c r="AR23" s="45">
        <f>IFERROR((s_DL/(up_RadSpec!G23*s_EF_far*(1/365)*1*up_RadSpec!R23*((s_ET_far_o*(1/24)*up_RadSpec!W23)+(s_ET_far_i*(1/24)*up_RadSpec!AB23))))*1,".")</f>
        <v>145.84968138687145</v>
      </c>
      <c r="AS23" s="45">
        <f>up_b2s!BC23</f>
        <v>3.2968835384132272E-5</v>
      </c>
      <c r="AT23" s="45">
        <f>IFERROR(((J23*up_RadSpec!AU23)/up_RadSpec!AJ23)*1,".")</f>
        <v>6.6115702479338848E-4</v>
      </c>
      <c r="AU23" s="45">
        <f>IFERROR(((K23*up_RadSpec!AU23)/up_RadSpec!AK23)*1,".")</f>
        <v>6.6115702479338848E-4</v>
      </c>
      <c r="AV23" s="45">
        <f>IFERROR((G23/(up_RadSpec!AI23*((s_Q_p_beef*s_f_p_beef*s_f_s_beef*(up_RadSpec!BD23+s_R_es_past))+(s_Q_s_beef*s_f_p_beef))))*1,".")</f>
        <v>1.8558793678410905E-7</v>
      </c>
      <c r="AW23" s="45">
        <f>IFERROR(((H23*s_D_milk)/(up_RadSpec!AH23*((s_Q_p_dairy*s_f_p_dairy*s_f_s_dairy*(up_RadSpec!BD23+s_R_es_past))+(s_Q_s_dairy*s_f_p_dairy))))*1,".")</f>
        <v>1.9115557488763231E-7</v>
      </c>
      <c r="AX23" s="45">
        <f>IFERROR((I23/(up_RadSpec!AN23*((s_Q_p_swine*s_f_p_swine*s_f_s_swine*(up_RadSpec!BD23+s_R_es_past))+(s_Q_s_swine*s_f_p_swine))))*1,".")</f>
        <v>1.8558793678410905E-7</v>
      </c>
      <c r="AY23" s="45">
        <f>IFERROR((E23/(up_RadSpec!AL23*((s_Q_p_poultry*s_f_p_poultry*s_f_s_poultry*(up_RadSpec!BD23+s_R_es_past))+(s_Q_s_poultry*s_f_p_poultry))))*1,".")</f>
        <v>1.8558793678410905E-7</v>
      </c>
      <c r="AZ23" s="45">
        <f>IFERROR((F23/(up_RadSpec!AM23*((s_Q_p_poultry*s_f_p_poultry*s_f_s_poultry*(up_RadSpec!BD23+s_R_es_past))+(s_Q_s_poultry*s_f_p_poultry))))*1,".")</f>
        <v>1.8558793678410905E-7</v>
      </c>
      <c r="BA23" s="45">
        <f>IFERROR((L23/(up_RadSpec!AQ23*((s_Q_p_goat*s_f_p_goat*s_f_s_goat*(up_RadSpec!BD23+s_R_es_past))+(s_Q_s_goat*s_f_p_goat))))*1,".")</f>
        <v>1.8558793678410905E-7</v>
      </c>
      <c r="BB23" s="45">
        <f>IFERROR((N23*s_D_milk/(up_RadSpec!AR23*((s_Q_p_goat_milk*s_f_p_goat_milk*s_f_s_goat_milk*(up_RadSpec!BD23+s_R_es_past))+(s_Q_s_goat_milk*s_f_p_goat_milk))))*1,".")</f>
        <v>1.9115557488763231E-7</v>
      </c>
      <c r="BC23" s="45">
        <f>IFERROR((M23/(up_RadSpec!AO23*((s_Q_p_sheep*s_f_p_sheep*s_f_s_sheep*(up_RadSpec!BD23+s_R_es_past))+(s_Q_s_sheep*s_f_p_sheep))))*1,".")</f>
        <v>1.8558793678410905E-7</v>
      </c>
      <c r="BD23" s="45">
        <f>IFERROR((O23*s_D_milk/(up_RadSpec!AP23*((s_Q_p_sheep_milk*s_f_p_sheep_milk*s_f_s_sheep_milk*(up_RadSpec!BD23+s_R_es_past))+(s_Q_s_sheep_milk*s_f_p_sheep_milk))))*1,".")</f>
        <v>1.9115557488763231E-7</v>
      </c>
      <c r="BE23" s="111">
        <f t="shared" si="27"/>
        <v>3.0249999999999999</v>
      </c>
      <c r="BF23" s="111">
        <f t="shared" si="27"/>
        <v>3.236254558317935E-4</v>
      </c>
      <c r="BG23" s="111">
        <f t="shared" si="27"/>
        <v>6.8563742511542729E-3</v>
      </c>
      <c r="BH23" s="111">
        <f t="shared" si="27"/>
        <v>30331.674999999992</v>
      </c>
      <c r="BI23" s="111">
        <f t="shared" si="27"/>
        <v>1512.5</v>
      </c>
      <c r="BJ23" s="111">
        <f t="shared" si="27"/>
        <v>1512.5</v>
      </c>
      <c r="BK23" s="111">
        <f t="shared" si="27"/>
        <v>5388281.2499999991</v>
      </c>
      <c r="BL23" s="111">
        <f t="shared" si="27"/>
        <v>5231341.0194174759</v>
      </c>
      <c r="BM23" s="111">
        <f t="shared" si="27"/>
        <v>5388281.2499999991</v>
      </c>
      <c r="BN23" s="111">
        <f t="shared" si="27"/>
        <v>5388281.2499999991</v>
      </c>
      <c r="BO23" s="111">
        <f t="shared" si="27"/>
        <v>5388281.2499999991</v>
      </c>
      <c r="BP23" s="111">
        <f t="shared" si="27"/>
        <v>5388281.2499999991</v>
      </c>
      <c r="BQ23" s="111">
        <f t="shared" si="27"/>
        <v>5231341.0194174759</v>
      </c>
      <c r="BR23" s="111">
        <f t="shared" si="27"/>
        <v>5388281.2499999991</v>
      </c>
      <c r="BS23" s="111">
        <f t="shared" si="27"/>
        <v>5231341.0194174759</v>
      </c>
      <c r="BT23" s="15">
        <f t="shared" si="23"/>
        <v>2.0808592668606817E-8</v>
      </c>
      <c r="BU23" s="189">
        <f>IFERROR(BT23*(0.0000000000028)*up_RadSpec!$AY23*up_RadSpec!$AF23,0)</f>
        <v>6.5838387203471976E-17</v>
      </c>
      <c r="BV23" s="40">
        <f t="shared" si="13"/>
        <v>15.125</v>
      </c>
      <c r="BW23" s="40">
        <f t="shared" si="14"/>
        <v>1.6181272791589674E-3</v>
      </c>
      <c r="BX23" s="40">
        <f>IFERROR((s_C*s_EF_far*(1/365)*1*up_RadSpec!R23*((s_ET_far_o*(1/24)*up_RadSpec!W23)+(s_ET_far_i*(1/24)*up_RadSpec!AB23))),".")</f>
        <v>3.4281871255771361E-2</v>
      </c>
      <c r="BY23" s="40">
        <f>up_b2s!CC23</f>
        <v>151658.375</v>
      </c>
      <c r="BZ23" s="40">
        <f>IFERROR(((s_C*up_RadSpec!AJ23)/up_RadSpec!AU23)*s_IFFI_far_adj*s_CF_far_fish,0)</f>
        <v>7562.5</v>
      </c>
      <c r="CA23" s="40">
        <f>IFERROR(((s_C*up_RadSpec!AK23)/up_RadSpec!AU23)*s_IFSF_far_adj*s_CF_far_shellfish,0)</f>
        <v>7562.5</v>
      </c>
      <c r="CB23" s="40">
        <f>(s_C*s_IFB_far_adj*s_CF_far_beef*up_RadSpec!AI23*((s_Q_p_beef*s_f_p_beef*s_f_s_beef*(up_RadSpec!$AT23+s_R_es_past))+(s_Q_s_beef*s_f_p_beef)))</f>
        <v>26941406.25</v>
      </c>
      <c r="CC23" s="40">
        <f>(s_C*s_IFD_far_adj*s_CF_far_dairy*up_RadSpec!AH23*1/s_D_milk*((s_Q_p_dairy*s_f_p_dairy*s_f_s_dairy*(up_RadSpec!$AT23+s_R_es_past))+(s_Q_s_dairy*s_f_p_dairy)))</f>
        <v>26156705.09708738</v>
      </c>
      <c r="CD23" s="40">
        <f>IFERROR((s_C*s_IFSW_far_adj*s_CF_far_swine*up_RadSpec!AN23*((s_Q_p_swine*s_f_p_swine*s_f_s_swine*(up_RadSpec!$AT23+s_R_es_past))+(s_Q_s_swine*s_f_p_swine))),0)</f>
        <v>26941406.25</v>
      </c>
      <c r="CE23" s="40">
        <f>IFERROR((s_C*s_IFP_far_adj*s_CF_far_poultry*up_RadSpec!AL23*((s_Q_p_poultry*s_f_p_poultry*s_f_s_poultry*(up_RadSpec!AT23+s_R_es_past))+(s_Q_s_poultry*s_f_p_poultry))),0)</f>
        <v>26941406.25</v>
      </c>
      <c r="CF23" s="40">
        <f>IFERROR((s_C*s_IFE_far_adj*s_CF_far_egg*up_RadSpec!AM23*((s_Q_p_egg*s_f_p_egg*s_f_s_egg*(up_RadSpec!$AT23+s_R_es_past))+(s_Q_s_egg*s_f_p_egg))),0)</f>
        <v>26941406.25</v>
      </c>
      <c r="CG23" s="40">
        <f>IFERROR((s_C*s_IFGO_far_adj*s_CF_far_goat*up_RadSpec!AQ23*((s_Q_p_goat*s_f_p_goat*s_f_s_goat*(up_RadSpec!$AT23+s_R_es_past))+(s_Q_s_goat*s_f_p_goat))),0)</f>
        <v>26941406.25</v>
      </c>
      <c r="CH23" s="40">
        <f>IFERROR((s_C*s_IFGM_far_adj*s_CF_far_goat_milk*up_RadSpec!AR23*1/s_D_milk*((s_Q_p_goat_milk*s_f_p_goat_milk*s_f_s_goat_milk*(up_RadSpec!$AT23+s_R_es_past))+(s_Q_s_goat_milk*s_f_p_goat_milk))),0)</f>
        <v>26156705.09708738</v>
      </c>
      <c r="CI23" s="40">
        <f>IFERROR((s_C*s_IFSH_far_adj*s_CF_far_sheep*up_RadSpec!AO23*((s_Q_p_sheep*s_f_p_sheep*s_f_s_sheep*(up_RadSpec!$AT23+s_R_es_past))+(s_Q_s_sheep*s_f_p_sheep))),0)</f>
        <v>26941406.25</v>
      </c>
      <c r="CJ23" s="40">
        <f>IFERROR((s_C*s_IFSM_far_adj*s_CF_far_sheep_milk*up_RadSpec!AP23*1/s_D_milk*((s_Q_p_sheep_milk*s_f_p_sheep_milk*s_f_s_sheep_milk*(up_RadSpec!$AT23+s_R_es_past))+(s_Q_s_sheep_milk*s_f_p_sheep_milk))),0)</f>
        <v>26156705.09708738</v>
      </c>
      <c r="CK23" s="18"/>
      <c r="CL23" s="15">
        <f>IFERROR(s_DL/(up_RadSpec!I23*s_IFW_far_adj),".")</f>
        <v>3.6363636363636364E-3</v>
      </c>
      <c r="CM23" s="15" t="str">
        <f>IFERROR(IF(AND(up_RadSpec!C23=1,up_RadSpec!D23&lt;&gt;0),s_DL/(up_RadSpec!H23*s_IFA_far_adj*s_K*up_RadSpec!D23),"."),".")</f>
        <v>.</v>
      </c>
      <c r="CN23" s="15">
        <f>IFERROR((s_DL/(up_RadSpec!M23*(1/8760)*s_DFA_far_adj)),".")</f>
        <v>39.81818181818182</v>
      </c>
      <c r="CO23" s="15">
        <f>up_b2w!BC23</f>
        <v>1.6443412786038033E-4</v>
      </c>
      <c r="CP23" s="15">
        <f>IFERROR(J23/(up_RadSpec!AJ23*(1/1000)),".")</f>
        <v>0.13223140495867769</v>
      </c>
      <c r="CQ23" s="15">
        <f>IFERROR(K23/(up_RadSpec!AK23*(1/1000)),".")</f>
        <v>0.13223140495867769</v>
      </c>
      <c r="CR23" s="15">
        <f>IFERROR(G23/(up_RadSpec!AI23*s_Q_w_beef*(1/1000)),".")</f>
        <v>2.6446280991735537E-2</v>
      </c>
      <c r="CS23" s="15">
        <f>IFERROR((H23*s_D_milk)/(up_RadSpec!AH23*s_Q_w_dairy*(1/1000)),".")</f>
        <v>2.7239669421487603E-2</v>
      </c>
      <c r="CT23" s="15">
        <f>IFERROR(I23/(up_RadSpec!AN23*s_Q_w_swine*(1/1000)),".")</f>
        <v>2.6446280991735537E-2</v>
      </c>
      <c r="CU23" s="15">
        <f>IFERROR(E23/(up_RadSpec!AL23*s_Q_w_poultry*(1/1000)),".")</f>
        <v>2.6446280991735537E-2</v>
      </c>
      <c r="CV23" s="15">
        <f>IFERROR(F23/(up_RadSpec!AM23*s_Q_w_poultry*(1/1000)),".")</f>
        <v>2.6446280991735537E-2</v>
      </c>
      <c r="CW23" s="15">
        <f>IFERROR(L23/(up_RadSpec!AQ23*s_Q_w_goat*(1/1000)),".")</f>
        <v>2.6446280991735537E-2</v>
      </c>
      <c r="CX23" s="15">
        <f>IFERROR(N23*s_D_milk/(up_RadSpec!AR23*s_Q_w_goat_milk*(1/1000)),".")</f>
        <v>2.7239669421487603E-2</v>
      </c>
      <c r="CY23" s="15">
        <f>IFERROR(M23/(up_RadSpec!AO23*s_Q_w_sheep*(1/1000)),".")</f>
        <v>2.6446280991735537E-2</v>
      </c>
      <c r="CZ23" s="15">
        <f>IFERROR(O23*s_D_milk/(up_RadSpec!AP23*s_Q_w_sheep_milk*(1/1000)),".")</f>
        <v>2.7239669421487603E-2</v>
      </c>
      <c r="DA23" s="111">
        <f t="shared" si="28"/>
        <v>275</v>
      </c>
      <c r="DB23" s="111" t="str">
        <f t="shared" si="28"/>
        <v>.</v>
      </c>
      <c r="DC23" s="111">
        <f t="shared" si="28"/>
        <v>2.5114155251141551E-2</v>
      </c>
      <c r="DD23" s="111">
        <f t="shared" si="28"/>
        <v>6081.4626076229861</v>
      </c>
      <c r="DE23" s="111">
        <f t="shared" si="28"/>
        <v>7.5625</v>
      </c>
      <c r="DF23" s="111">
        <f t="shared" si="28"/>
        <v>7.5625</v>
      </c>
      <c r="DG23" s="111">
        <f t="shared" si="28"/>
        <v>37.8125</v>
      </c>
      <c r="DH23" s="111">
        <f t="shared" si="28"/>
        <v>36.711165048543691</v>
      </c>
      <c r="DI23" s="111">
        <f t="shared" si="28"/>
        <v>37.8125</v>
      </c>
      <c r="DJ23" s="111">
        <f t="shared" si="28"/>
        <v>37.8125</v>
      </c>
      <c r="DK23" s="111">
        <f t="shared" si="28"/>
        <v>37.8125</v>
      </c>
      <c r="DL23" s="111">
        <f t="shared" si="28"/>
        <v>37.8125</v>
      </c>
      <c r="DM23" s="111">
        <f t="shared" si="28"/>
        <v>36.711165048543691</v>
      </c>
      <c r="DN23" s="111">
        <f t="shared" si="28"/>
        <v>37.8125</v>
      </c>
      <c r="DO23" s="111">
        <f t="shared" si="28"/>
        <v>36.711165048543691</v>
      </c>
      <c r="DP23" s="15">
        <f>IFERROR(1/(SUMIF(DA23:DO23,"&lt;&gt;0")),".")</f>
        <v>1.4906192608956598E-4</v>
      </c>
      <c r="DQ23" s="189">
        <f>DP23*(0.0000000000000028)*up_RadSpec!$AY23*up_RadSpec!$AF23</f>
        <v>4.7163193414738679E-16</v>
      </c>
      <c r="DR23" s="40">
        <f t="shared" si="16"/>
        <v>1375</v>
      </c>
      <c r="DS23" s="40">
        <f>IFERROR(IF(up_RadSpec!D23&lt;&gt;"",s_C*s_IFA_far_adj*s_K*up_RadSpec!D23,0),".")</f>
        <v>0</v>
      </c>
      <c r="DT23" s="40">
        <f t="shared" si="17"/>
        <v>0.12557077625570776</v>
      </c>
      <c r="DU23" s="40">
        <f>up_b2w!CC23</f>
        <v>30407.313038114935</v>
      </c>
      <c r="DV23" s="40">
        <f>IFERROR(s_C*up_RadSpec!AJ23*(1/1000)*s_IFFI_far_adj*s_CF_far_fish,0)</f>
        <v>37.8125</v>
      </c>
      <c r="DW23" s="40">
        <f>IFERROR(s_C*up_RadSpec!AK23*(1/1000)*s_IFSF_far_adj*s_CF_far_shellfish,0)</f>
        <v>37.8125</v>
      </c>
      <c r="DX23" s="40">
        <f>(s_C*s_IFB_far_adj*s_CF_far_beef*up_RadSpec!AI23*s_Q_w_beef*(1/1000))</f>
        <v>189.0625</v>
      </c>
      <c r="DY23" s="40">
        <f>(s_C*s_IFD_far_adj*s_CF_far_dairy*up_RadSpec!AH23*(1/s_D_milk)*s_Q_w_dairy*(1/1000))</f>
        <v>183.55582524271844</v>
      </c>
      <c r="DZ23" s="40">
        <f>IFERROR((s_C*s_IFSW_far_adj*s_CF_far_swine*up_RadSpec!AN23*s_Q_w_swine*(1/1000)),0)</f>
        <v>189.0625</v>
      </c>
      <c r="EA23" s="40">
        <f>IFERROR((s_C*s_IFP_far_adj*s_CF_far_poultry*up_RadSpec!AL23*s_Q_w_poultry*(1/1000)),0)</f>
        <v>189.0625</v>
      </c>
      <c r="EB23" s="40">
        <f>IFERROR((s_C*s_IFE_far_adj*s_CF_far_egg*up_RadSpec!AM23*s_Q_w_egg*(1/1000)),0)</f>
        <v>189.0625</v>
      </c>
      <c r="EC23" s="40">
        <f>IFERROR((s_C*s_IFGO_far_adj*s_CF_far_goat*up_RadSpec!AQ23*s_Q_p_goat*(1/1000)),0)</f>
        <v>189.0625</v>
      </c>
      <c r="ED23" s="40">
        <f>IFERROR((s_C*s_IFGM_far_adj*s_CF_far_goat_milk*up_RadSpec!AR23*(1/s_D_milk)*s_Q_p_goat_milk*(1/1000)),0)</f>
        <v>183.55582524271844</v>
      </c>
      <c r="EE23" s="40">
        <f>IFERROR((s_C*s_IFSH_far_adj*s_CF_far_sheep*up_RadSpec!AO23*s_Q_p_sheep*(1/1000)),0)</f>
        <v>189.0625</v>
      </c>
      <c r="EF23" s="40">
        <f>IFERROR((s_C*s_IFSM_far_adj*s_CF_far_sheep_milk*up_RadSpec!AP23*(1/s_D_milk)*s_Q_p_sheep_milk*(1/1000)),0)</f>
        <v>183.55582524271844</v>
      </c>
      <c r="EG23" s="5"/>
      <c r="EH23" s="15">
        <f>IFERROR((s_DL/(up_RadSpec!H23*s_IFA_far_adj)),".")</f>
        <v>9.9740259740259754E-3</v>
      </c>
      <c r="EI23" s="15">
        <f>IFERROR((s_DL/(up_RadSpec!K23*s_EF_far*(1/365)*1*s_ET_far*(1/24)*s_GSF_a)),".")</f>
        <v>63.709090909090911</v>
      </c>
      <c r="EJ23" s="15">
        <f t="shared" si="25"/>
        <v>9.9724647271019675E-3</v>
      </c>
      <c r="EK23" s="189">
        <f>EJ23*(0.0000000000000028)*up_RadSpec!$AY23*up_RadSpec!$AF23</f>
        <v>3.1552878396550628E-14</v>
      </c>
      <c r="EL23" s="40">
        <f t="shared" si="19"/>
        <v>501.30208333333326</v>
      </c>
      <c r="EM23" s="40">
        <f t="shared" si="20"/>
        <v>7.8481735159817351E-2</v>
      </c>
      <c r="EN23" s="113"/>
    </row>
    <row r="24" spans="1:144" customFormat="1" x14ac:dyDescent="0.25">
      <c r="A24" s="44" t="s">
        <v>22</v>
      </c>
      <c r="B24" s="42" t="s">
        <v>1057</v>
      </c>
      <c r="C24" s="238"/>
      <c r="D24" s="15">
        <f>up_dir!AC24</f>
        <v>1.6528925619834712E-4</v>
      </c>
      <c r="E24" s="15">
        <f>IFERROR(s_DL/(up_RadSpec!F24*s_IFP_far_adj*s_CF_far_poultry),".")</f>
        <v>6.6115702479338848E-4</v>
      </c>
      <c r="F24" s="15">
        <f>IFERROR(s_DL/(up_RadSpec!F24*s_IFE_far_adj*s_CF_far_egg),".")</f>
        <v>6.6115702479338848E-4</v>
      </c>
      <c r="G24" s="15">
        <f>IFERROR(s_DL/(up_RadSpec!F24*s_IFB_far_adj*s_CF_far_beef),".")</f>
        <v>6.6115702479338848E-4</v>
      </c>
      <c r="H24" s="15">
        <f>IFERROR(s_DL/(up_RadSpec!F24*s_IFD_far_adj*s_CF_far_dairy),".")</f>
        <v>6.6115702479338848E-4</v>
      </c>
      <c r="I24" s="15">
        <f>IFERROR(s_DL/(up_RadSpec!F24*s_IFSW_far_adj*s_CF_far_swine),".")</f>
        <v>6.6115702479338848E-4</v>
      </c>
      <c r="J24" s="15">
        <f>IFERROR(s_DL/(up_RadSpec!F24*s_IFFI_far_adj*s_CF_far_fish),".")</f>
        <v>6.6115702479338848E-4</v>
      </c>
      <c r="K24" s="15">
        <f>IFERROR(s_DL/(up_RadSpec!F24*s_IFSF_far_adj*s_CF_far_shellfish),".")</f>
        <v>6.6115702479338848E-4</v>
      </c>
      <c r="L24" s="15">
        <f>IFERROR(s_DL/(up_RadSpec!F24*s_IFGO_far_adj*s_CF_far_goat),".")</f>
        <v>6.6115702479338848E-4</v>
      </c>
      <c r="M24" s="15">
        <f>IFERROR(s_DL/(up_RadSpec!F24*s_IFSH_far_adj*s_CF_far_sheep),".")</f>
        <v>6.6115702479338848E-4</v>
      </c>
      <c r="N24" s="15">
        <f>IFERROR(s_DL/(up_RadSpec!F24*s_IFGM_far_adj*s_CF_far_goat_milk),".")</f>
        <v>6.6115702479338848E-4</v>
      </c>
      <c r="O24" s="15">
        <f>IFERROR(s_DL/(up_RadSpec!F24*s_IFSM_far_adj*s_CF_far_sheep_milk),".")</f>
        <v>6.6115702479338848E-4</v>
      </c>
      <c r="P24" s="111">
        <f t="shared" si="21"/>
        <v>1512.5</v>
      </c>
      <c r="Q24" s="111">
        <f t="shared" si="21"/>
        <v>1512.5</v>
      </c>
      <c r="R24" s="111">
        <f t="shared" si="21"/>
        <v>1512.5</v>
      </c>
      <c r="S24" s="111">
        <f t="shared" si="21"/>
        <v>1512.5</v>
      </c>
      <c r="T24" s="111">
        <f t="shared" si="21"/>
        <v>1512.5</v>
      </c>
      <c r="U24" s="111">
        <f t="shared" si="21"/>
        <v>1512.5</v>
      </c>
      <c r="V24" s="111">
        <f t="shared" si="21"/>
        <v>1512.5</v>
      </c>
      <c r="W24" s="111">
        <f t="shared" si="21"/>
        <v>1512.5</v>
      </c>
      <c r="X24" s="111">
        <f t="shared" si="26"/>
        <v>1512.5</v>
      </c>
      <c r="Y24" s="111">
        <f t="shared" si="26"/>
        <v>1512.5</v>
      </c>
      <c r="Z24" s="111">
        <f t="shared" si="26"/>
        <v>1512.5</v>
      </c>
      <c r="AA24" s="111">
        <f t="shared" si="26"/>
        <v>1512.5</v>
      </c>
      <c r="AB24" s="15">
        <f t="shared" si="22"/>
        <v>5.5096418732782371E-5</v>
      </c>
      <c r="AC24" s="247">
        <f>IFERROR(AB24*(0.0000000000028)*up_RadSpec!$AY24*up_RadSpec!$AF24,0)</f>
        <v>1.6815426997245181E-13</v>
      </c>
      <c r="AD24" s="40">
        <f>up_dir!BC24</f>
        <v>30250</v>
      </c>
      <c r="AE24" s="40">
        <f t="shared" si="1"/>
        <v>7562.5</v>
      </c>
      <c r="AF24" s="40">
        <f t="shared" si="2"/>
        <v>7562.5</v>
      </c>
      <c r="AG24" s="40">
        <f t="shared" si="3"/>
        <v>7562.5</v>
      </c>
      <c r="AH24" s="40">
        <f t="shared" si="4"/>
        <v>7562.5</v>
      </c>
      <c r="AI24" s="40">
        <f t="shared" si="5"/>
        <v>7562.5</v>
      </c>
      <c r="AJ24" s="40">
        <f t="shared" si="6"/>
        <v>7562.5</v>
      </c>
      <c r="AK24" s="40">
        <f t="shared" si="7"/>
        <v>7562.5</v>
      </c>
      <c r="AL24" s="40">
        <f t="shared" si="8"/>
        <v>7562.5</v>
      </c>
      <c r="AM24" s="40">
        <f t="shared" si="9"/>
        <v>7562.5</v>
      </c>
      <c r="AN24" s="40">
        <f t="shared" si="10"/>
        <v>7562.5</v>
      </c>
      <c r="AO24" s="40">
        <f t="shared" si="11"/>
        <v>7562.5</v>
      </c>
      <c r="AP24" s="45">
        <f>IFERROR((s_DL/(up_RadSpec!E24*s_IFS_far_adj*(1/1000)))*1,".")</f>
        <v>0.33057851239669422</v>
      </c>
      <c r="AQ24" s="45">
        <f>IFERROR(IF(A24="H-3",(s_DL/(up_RadSpec!H24*s_IFA_far_adj*(1/17)*1000))*1,(s_DL/(up_RadSpec!H24*s_IFA_far_adj*(1/s_PEF_wind)*1000))*1),".")</f>
        <v>3089.9917851942919</v>
      </c>
      <c r="AR24" s="45">
        <f>IFERROR((s_DL/(up_RadSpec!G24*s_EF_far*(1/365)*1*up_RadSpec!R24*((s_ET_far_o*(1/24)*up_RadSpec!W24)+(s_ET_far_i*(1/24)*up_RadSpec!AB24))))*1,".")</f>
        <v>191.19734281491895</v>
      </c>
      <c r="AS24" s="45">
        <f>up_b2s!BC24</f>
        <v>3.2968835384132272E-5</v>
      </c>
      <c r="AT24" s="45">
        <f>IFERROR(((J24*up_RadSpec!AU24)/up_RadSpec!AJ24)*1,".")</f>
        <v>6.6115702479338848E-4</v>
      </c>
      <c r="AU24" s="45">
        <f>IFERROR(((K24*up_RadSpec!AU24)/up_RadSpec!AK24)*1,".")</f>
        <v>6.6115702479338848E-4</v>
      </c>
      <c r="AV24" s="45">
        <f>IFERROR((G24/(up_RadSpec!AI24*((s_Q_p_beef*s_f_p_beef*s_f_s_beef*(up_RadSpec!BD24+s_R_es_past))+(s_Q_s_beef*s_f_p_beef))))*1,".")</f>
        <v>1.8558793678410905E-7</v>
      </c>
      <c r="AW24" s="45">
        <f>IFERROR(((H24*s_D_milk)/(up_RadSpec!AH24*((s_Q_p_dairy*s_f_p_dairy*s_f_s_dairy*(up_RadSpec!BD24+s_R_es_past))+(s_Q_s_dairy*s_f_p_dairy))))*1,".")</f>
        <v>1.9115557488763231E-7</v>
      </c>
      <c r="AX24" s="45">
        <f>IFERROR((I24/(up_RadSpec!AN24*((s_Q_p_swine*s_f_p_swine*s_f_s_swine*(up_RadSpec!BD24+s_R_es_past))+(s_Q_s_swine*s_f_p_swine))))*1,".")</f>
        <v>1.8558793678410905E-7</v>
      </c>
      <c r="AY24" s="45">
        <f>IFERROR((E24/(up_RadSpec!AL24*((s_Q_p_poultry*s_f_p_poultry*s_f_s_poultry*(up_RadSpec!BD24+s_R_es_past))+(s_Q_s_poultry*s_f_p_poultry))))*1,".")</f>
        <v>1.8558793678410905E-7</v>
      </c>
      <c r="AZ24" s="45">
        <f>IFERROR((F24/(up_RadSpec!AM24*((s_Q_p_poultry*s_f_p_poultry*s_f_s_poultry*(up_RadSpec!BD24+s_R_es_past))+(s_Q_s_poultry*s_f_p_poultry))))*1,".")</f>
        <v>1.8558793678410905E-7</v>
      </c>
      <c r="BA24" s="45">
        <f>IFERROR((L24/(up_RadSpec!AQ24*((s_Q_p_goat*s_f_p_goat*s_f_s_goat*(up_RadSpec!BD24+s_R_es_past))+(s_Q_s_goat*s_f_p_goat))))*1,".")</f>
        <v>1.8558793678410905E-7</v>
      </c>
      <c r="BB24" s="45">
        <f>IFERROR((N24*s_D_milk/(up_RadSpec!AR24*((s_Q_p_goat_milk*s_f_p_goat_milk*s_f_s_goat_milk*(up_RadSpec!BD24+s_R_es_past))+(s_Q_s_goat_milk*s_f_p_goat_milk))))*1,".")</f>
        <v>1.9115557488763231E-7</v>
      </c>
      <c r="BC24" s="45">
        <f>IFERROR((M24/(up_RadSpec!AO24*((s_Q_p_sheep*s_f_p_sheep*s_f_s_sheep*(up_RadSpec!BD24+s_R_es_past))+(s_Q_s_sheep*s_f_p_sheep))))*1,".")</f>
        <v>1.8558793678410905E-7</v>
      </c>
      <c r="BD24" s="45">
        <f>IFERROR((O24*s_D_milk/(up_RadSpec!AP24*((s_Q_p_sheep_milk*s_f_p_sheep_milk*s_f_s_sheep_milk*(up_RadSpec!BD24+s_R_es_past))+(s_Q_s_sheep_milk*s_f_p_sheep_milk))))*1,".")</f>
        <v>1.9115557488763231E-7</v>
      </c>
      <c r="BE24" s="111">
        <f t="shared" si="27"/>
        <v>3.0249999999999999</v>
      </c>
      <c r="BF24" s="111">
        <f t="shared" si="27"/>
        <v>3.236254558317935E-4</v>
      </c>
      <c r="BG24" s="111">
        <f t="shared" si="27"/>
        <v>5.2301982092293536E-3</v>
      </c>
      <c r="BH24" s="111">
        <f t="shared" si="27"/>
        <v>30331.674999999992</v>
      </c>
      <c r="BI24" s="111">
        <f t="shared" si="27"/>
        <v>1512.5</v>
      </c>
      <c r="BJ24" s="111">
        <f t="shared" si="27"/>
        <v>1512.5</v>
      </c>
      <c r="BK24" s="111">
        <f t="shared" si="27"/>
        <v>5388281.2499999991</v>
      </c>
      <c r="BL24" s="111">
        <f t="shared" si="27"/>
        <v>5231341.0194174759</v>
      </c>
      <c r="BM24" s="111">
        <f t="shared" si="27"/>
        <v>5388281.2499999991</v>
      </c>
      <c r="BN24" s="111">
        <f t="shared" si="27"/>
        <v>5388281.2499999991</v>
      </c>
      <c r="BO24" s="111">
        <f t="shared" si="27"/>
        <v>5388281.2499999991</v>
      </c>
      <c r="BP24" s="111">
        <f t="shared" si="27"/>
        <v>5388281.2499999991</v>
      </c>
      <c r="BQ24" s="111">
        <f t="shared" si="27"/>
        <v>5231341.0194174759</v>
      </c>
      <c r="BR24" s="111">
        <f t="shared" si="27"/>
        <v>5388281.2499999991</v>
      </c>
      <c r="BS24" s="111">
        <f t="shared" si="27"/>
        <v>5231341.0194174759</v>
      </c>
      <c r="BT24" s="15">
        <f t="shared" si="23"/>
        <v>2.080859266931095E-8</v>
      </c>
      <c r="BU24" s="189">
        <f>IFERROR(BT24*(0.0000000000028)*up_RadSpec!$AY24*up_RadSpec!$AF24,0)</f>
        <v>6.3507824826737024E-17</v>
      </c>
      <c r="BV24" s="40">
        <f t="shared" si="13"/>
        <v>15.125</v>
      </c>
      <c r="BW24" s="40">
        <f t="shared" si="14"/>
        <v>1.6181272791589674E-3</v>
      </c>
      <c r="BX24" s="40">
        <f>IFERROR((s_C*s_EF_far*(1/365)*1*up_RadSpec!R24*((s_ET_far_o*(1/24)*up_RadSpec!W24)+(s_ET_far_i*(1/24)*up_RadSpec!AB24))),".")</f>
        <v>2.6150991046146769E-2</v>
      </c>
      <c r="BY24" s="40">
        <f>up_b2s!CC24</f>
        <v>151658.375</v>
      </c>
      <c r="BZ24" s="40">
        <f>IFERROR(((s_C*up_RadSpec!AJ24)/up_RadSpec!AU24)*s_IFFI_far_adj*s_CF_far_fish,0)</f>
        <v>7562.5</v>
      </c>
      <c r="CA24" s="40">
        <f>IFERROR(((s_C*up_RadSpec!AK24)/up_RadSpec!AU24)*s_IFSF_far_adj*s_CF_far_shellfish,0)</f>
        <v>7562.5</v>
      </c>
      <c r="CB24" s="40">
        <f>(s_C*s_IFB_far_adj*s_CF_far_beef*up_RadSpec!AI24*((s_Q_p_beef*s_f_p_beef*s_f_s_beef*(up_RadSpec!$AT24+s_R_es_past))+(s_Q_s_beef*s_f_p_beef)))</f>
        <v>26941406.25</v>
      </c>
      <c r="CC24" s="40">
        <f>(s_C*s_IFD_far_adj*s_CF_far_dairy*up_RadSpec!AH24*1/s_D_milk*((s_Q_p_dairy*s_f_p_dairy*s_f_s_dairy*(up_RadSpec!$AT24+s_R_es_past))+(s_Q_s_dairy*s_f_p_dairy)))</f>
        <v>26156705.09708738</v>
      </c>
      <c r="CD24" s="40">
        <f>IFERROR((s_C*s_IFSW_far_adj*s_CF_far_swine*up_RadSpec!AN24*((s_Q_p_swine*s_f_p_swine*s_f_s_swine*(up_RadSpec!$AT24+s_R_es_past))+(s_Q_s_swine*s_f_p_swine))),0)</f>
        <v>26941406.25</v>
      </c>
      <c r="CE24" s="40">
        <f>IFERROR((s_C*s_IFP_far_adj*s_CF_far_poultry*up_RadSpec!AL24*((s_Q_p_poultry*s_f_p_poultry*s_f_s_poultry*(up_RadSpec!AT24+s_R_es_past))+(s_Q_s_poultry*s_f_p_poultry))),0)</f>
        <v>26941406.25</v>
      </c>
      <c r="CF24" s="40">
        <f>IFERROR((s_C*s_IFE_far_adj*s_CF_far_egg*up_RadSpec!AM24*((s_Q_p_egg*s_f_p_egg*s_f_s_egg*(up_RadSpec!$AT24+s_R_es_past))+(s_Q_s_egg*s_f_p_egg))),0)</f>
        <v>26941406.25</v>
      </c>
      <c r="CG24" s="40">
        <f>IFERROR((s_C*s_IFGO_far_adj*s_CF_far_goat*up_RadSpec!AQ24*((s_Q_p_goat*s_f_p_goat*s_f_s_goat*(up_RadSpec!$AT24+s_R_es_past))+(s_Q_s_goat*s_f_p_goat))),0)</f>
        <v>26941406.25</v>
      </c>
      <c r="CH24" s="40">
        <f>IFERROR((s_C*s_IFGM_far_adj*s_CF_far_goat_milk*up_RadSpec!AR24*1/s_D_milk*((s_Q_p_goat_milk*s_f_p_goat_milk*s_f_s_goat_milk*(up_RadSpec!$AT24+s_R_es_past))+(s_Q_s_goat_milk*s_f_p_goat_milk))),0)</f>
        <v>26156705.09708738</v>
      </c>
      <c r="CI24" s="40">
        <f>IFERROR((s_C*s_IFSH_far_adj*s_CF_far_sheep*up_RadSpec!AO24*((s_Q_p_sheep*s_f_p_sheep*s_f_s_sheep*(up_RadSpec!$AT24+s_R_es_past))+(s_Q_s_sheep*s_f_p_sheep))),0)</f>
        <v>26941406.25</v>
      </c>
      <c r="CJ24" s="40">
        <f>IFERROR((s_C*s_IFSM_far_adj*s_CF_far_sheep_milk*up_RadSpec!AP24*1/s_D_milk*((s_Q_p_sheep_milk*s_f_p_sheep_milk*s_f_s_sheep_milk*(up_RadSpec!$AT24+s_R_es_past))+(s_Q_s_sheep_milk*s_f_p_sheep_milk))),0)</f>
        <v>26156705.09708738</v>
      </c>
      <c r="CK24" s="18"/>
      <c r="CL24" s="15">
        <f>IFERROR(s_DL/(up_RadSpec!I24*s_IFW_far_adj),".")</f>
        <v>3.6363636363636364E-3</v>
      </c>
      <c r="CM24" s="15">
        <f>IFERROR(IF(AND(up_RadSpec!C24=1,up_RadSpec!D24&lt;&gt;0),s_DL/(up_RadSpec!H24*s_IFA_far_adj*s_K*up_RadSpec!D24),"."),".")</f>
        <v>137334.09486996356</v>
      </c>
      <c r="CN24" s="15">
        <f>IFERROR((s_DL/(up_RadSpec!M24*(1/8760)*s_DFA_far_adj)),".")</f>
        <v>39.81818181818182</v>
      </c>
      <c r="CO24" s="15">
        <f>up_b2w!BC24</f>
        <v>1.6443412786038033E-4</v>
      </c>
      <c r="CP24" s="15">
        <f>IFERROR(J24/(up_RadSpec!AJ24*(1/1000)),".")</f>
        <v>0.13223140495867769</v>
      </c>
      <c r="CQ24" s="15">
        <f>IFERROR(K24/(up_RadSpec!AK24*(1/1000)),".")</f>
        <v>0.13223140495867769</v>
      </c>
      <c r="CR24" s="15">
        <f>IFERROR(G24/(up_RadSpec!AI24*s_Q_w_beef*(1/1000)),".")</f>
        <v>2.6446280991735537E-2</v>
      </c>
      <c r="CS24" s="15">
        <f>IFERROR((H24*s_D_milk)/(up_RadSpec!AH24*s_Q_w_dairy*(1/1000)),".")</f>
        <v>2.7239669421487603E-2</v>
      </c>
      <c r="CT24" s="15">
        <f>IFERROR(I24/(up_RadSpec!AN24*s_Q_w_swine*(1/1000)),".")</f>
        <v>2.6446280991735537E-2</v>
      </c>
      <c r="CU24" s="15">
        <f>IFERROR(E24/(up_RadSpec!AL24*s_Q_w_poultry*(1/1000)),".")</f>
        <v>2.6446280991735537E-2</v>
      </c>
      <c r="CV24" s="15">
        <f>IFERROR(F24/(up_RadSpec!AM24*s_Q_w_poultry*(1/1000)),".")</f>
        <v>2.6446280991735537E-2</v>
      </c>
      <c r="CW24" s="15">
        <f>IFERROR(L24/(up_RadSpec!AQ24*s_Q_w_goat*(1/1000)),".")</f>
        <v>2.6446280991735537E-2</v>
      </c>
      <c r="CX24" s="15">
        <f>IFERROR(N24*s_D_milk/(up_RadSpec!AR24*s_Q_w_goat_milk*(1/1000)),".")</f>
        <v>2.7239669421487603E-2</v>
      </c>
      <c r="CY24" s="15">
        <f>IFERROR(M24/(up_RadSpec!AO24*s_Q_w_sheep*(1/1000)),".")</f>
        <v>2.6446280991735537E-2</v>
      </c>
      <c r="CZ24" s="15">
        <f>IFERROR(O24*s_D_milk/(up_RadSpec!AP24*s_Q_w_sheep_milk*(1/1000)),".")</f>
        <v>2.7239669421487603E-2</v>
      </c>
      <c r="DA24" s="111">
        <f t="shared" si="28"/>
        <v>275</v>
      </c>
      <c r="DB24" s="111">
        <f t="shared" si="28"/>
        <v>7.2815130208333338E-6</v>
      </c>
      <c r="DC24" s="111">
        <f t="shared" si="28"/>
        <v>2.5114155251141551E-2</v>
      </c>
      <c r="DD24" s="111">
        <f t="shared" si="28"/>
        <v>6081.4626076229861</v>
      </c>
      <c r="DE24" s="111">
        <f t="shared" si="28"/>
        <v>7.5625</v>
      </c>
      <c r="DF24" s="111">
        <f t="shared" si="28"/>
        <v>7.5625</v>
      </c>
      <c r="DG24" s="111">
        <f t="shared" si="28"/>
        <v>37.8125</v>
      </c>
      <c r="DH24" s="111">
        <f t="shared" si="28"/>
        <v>36.711165048543691</v>
      </c>
      <c r="DI24" s="111">
        <f t="shared" si="28"/>
        <v>37.8125</v>
      </c>
      <c r="DJ24" s="111">
        <f t="shared" si="28"/>
        <v>37.8125</v>
      </c>
      <c r="DK24" s="111">
        <f t="shared" si="28"/>
        <v>37.8125</v>
      </c>
      <c r="DL24" s="111">
        <f t="shared" si="28"/>
        <v>37.8125</v>
      </c>
      <c r="DM24" s="111">
        <f t="shared" si="28"/>
        <v>36.711165048543691</v>
      </c>
      <c r="DN24" s="111">
        <f t="shared" si="28"/>
        <v>37.8125</v>
      </c>
      <c r="DO24" s="111">
        <f t="shared" si="28"/>
        <v>36.711165048543691</v>
      </c>
      <c r="DP24" s="15">
        <f t="shared" si="24"/>
        <v>1.4906192592777469E-4</v>
      </c>
      <c r="DQ24" s="189">
        <f>DP24*(0.0000000000000028)*up_RadSpec!$AY24*up_RadSpec!$AF24</f>
        <v>4.5493699793156835E-16</v>
      </c>
      <c r="DR24" s="40">
        <f t="shared" si="16"/>
        <v>1375</v>
      </c>
      <c r="DS24" s="40">
        <f>IFERROR(IF(up_RadSpec!D24&lt;&gt;"",s_C*s_IFA_far_adj*s_K*up_RadSpec!D24,0),".")</f>
        <v>3.6407565104166666E-5</v>
      </c>
      <c r="DT24" s="40">
        <f t="shared" si="17"/>
        <v>0.12557077625570776</v>
      </c>
      <c r="DU24" s="40">
        <f>up_b2w!CC24</f>
        <v>30407.313038114935</v>
      </c>
      <c r="DV24" s="40">
        <f>IFERROR(s_C*up_RadSpec!AJ24*(1/1000)*s_IFFI_far_adj*s_CF_far_fish,0)</f>
        <v>37.8125</v>
      </c>
      <c r="DW24" s="40">
        <f>IFERROR(s_C*up_RadSpec!AK24*(1/1000)*s_IFSF_far_adj*s_CF_far_shellfish,0)</f>
        <v>37.8125</v>
      </c>
      <c r="DX24" s="40">
        <f>(s_C*s_IFB_far_adj*s_CF_far_beef*up_RadSpec!AI24*s_Q_w_beef*(1/1000))</f>
        <v>189.0625</v>
      </c>
      <c r="DY24" s="40">
        <f>(s_C*s_IFD_far_adj*s_CF_far_dairy*up_RadSpec!AH24*(1/s_D_milk)*s_Q_w_dairy*(1/1000))</f>
        <v>183.55582524271844</v>
      </c>
      <c r="DZ24" s="40">
        <f>IFERROR((s_C*s_IFSW_far_adj*s_CF_far_swine*up_RadSpec!AN24*s_Q_w_swine*(1/1000)),0)</f>
        <v>189.0625</v>
      </c>
      <c r="EA24" s="40">
        <f>IFERROR((s_C*s_IFP_far_adj*s_CF_far_poultry*up_RadSpec!AL24*s_Q_w_poultry*(1/1000)),0)</f>
        <v>189.0625</v>
      </c>
      <c r="EB24" s="40">
        <f>IFERROR((s_C*s_IFE_far_adj*s_CF_far_egg*up_RadSpec!AM24*s_Q_w_egg*(1/1000)),0)</f>
        <v>189.0625</v>
      </c>
      <c r="EC24" s="40">
        <f>IFERROR((s_C*s_IFGO_far_adj*s_CF_far_goat*up_RadSpec!AQ24*s_Q_p_goat*(1/1000)),0)</f>
        <v>189.0625</v>
      </c>
      <c r="ED24" s="40">
        <f>IFERROR((s_C*s_IFGM_far_adj*s_CF_far_goat_milk*up_RadSpec!AR24*(1/s_D_milk)*s_Q_p_goat_milk*(1/1000)),0)</f>
        <v>183.55582524271844</v>
      </c>
      <c r="EE24" s="40">
        <f>IFERROR((s_C*s_IFSH_far_adj*s_CF_far_sheep*up_RadSpec!AO24*s_Q_p_sheep*(1/1000)),0)</f>
        <v>189.0625</v>
      </c>
      <c r="EF24" s="40">
        <f>IFERROR((s_C*s_IFSM_far_adj*s_CF_far_sheep_milk*up_RadSpec!AP24*(1/s_D_milk)*s_Q_p_sheep_milk*(1/1000)),0)</f>
        <v>183.55582524271844</v>
      </c>
      <c r="EG24" s="5"/>
      <c r="EH24" s="15">
        <f>IFERROR((s_DL/(up_RadSpec!H24*s_IFA_far_adj)),".")</f>
        <v>9.9740259740259754E-3</v>
      </c>
      <c r="EI24" s="15">
        <f>IFERROR((s_DL/(up_RadSpec!K24*s_EF_far*(1/365)*1*s_ET_far*(1/24)*s_GSF_a)),".")</f>
        <v>63.709090909090911</v>
      </c>
      <c r="EJ24" s="15">
        <f t="shared" si="25"/>
        <v>9.9724647271019675E-3</v>
      </c>
      <c r="EK24" s="189">
        <f>EJ24*(0.0000000000000028)*up_RadSpec!$AY24*up_RadSpec!$AF24</f>
        <v>3.0435962347115209E-14</v>
      </c>
      <c r="EL24" s="40">
        <f t="shared" si="19"/>
        <v>501.30208333333326</v>
      </c>
      <c r="EM24" s="40">
        <f t="shared" si="20"/>
        <v>7.8481735159817351E-2</v>
      </c>
      <c r="EN24" s="113"/>
    </row>
    <row r="25" spans="1:144" customFormat="1" x14ac:dyDescent="0.25">
      <c r="A25" s="46" t="s">
        <v>23</v>
      </c>
      <c r="B25" s="42" t="s">
        <v>335</v>
      </c>
      <c r="C25" s="238"/>
      <c r="D25" s="15">
        <f>up_dir!AC25</f>
        <v>1.6528925619834712E-4</v>
      </c>
      <c r="E25" s="15">
        <f>IFERROR(s_DL/(up_RadSpec!F25*s_IFP_far_adj*s_CF_far_poultry),".")</f>
        <v>6.6115702479338848E-4</v>
      </c>
      <c r="F25" s="15">
        <f>IFERROR(s_DL/(up_RadSpec!F25*s_IFE_far_adj*s_CF_far_egg),".")</f>
        <v>6.6115702479338848E-4</v>
      </c>
      <c r="G25" s="15">
        <f>IFERROR(s_DL/(up_RadSpec!F25*s_IFB_far_adj*s_CF_far_beef),".")</f>
        <v>6.6115702479338848E-4</v>
      </c>
      <c r="H25" s="15">
        <f>IFERROR(s_DL/(up_RadSpec!F25*s_IFD_far_adj*s_CF_far_dairy),".")</f>
        <v>6.6115702479338848E-4</v>
      </c>
      <c r="I25" s="15">
        <f>IFERROR(s_DL/(up_RadSpec!F25*s_IFSW_far_adj*s_CF_far_swine),".")</f>
        <v>6.6115702479338848E-4</v>
      </c>
      <c r="J25" s="15">
        <f>IFERROR(s_DL/(up_RadSpec!F25*s_IFFI_far_adj*s_CF_far_fish),".")</f>
        <v>6.6115702479338848E-4</v>
      </c>
      <c r="K25" s="15">
        <f>IFERROR(s_DL/(up_RadSpec!F25*s_IFSF_far_adj*s_CF_far_shellfish),".")</f>
        <v>6.6115702479338848E-4</v>
      </c>
      <c r="L25" s="15">
        <f>IFERROR(s_DL/(up_RadSpec!F25*s_IFGO_far_adj*s_CF_far_goat),".")</f>
        <v>6.6115702479338848E-4</v>
      </c>
      <c r="M25" s="15">
        <f>IFERROR(s_DL/(up_RadSpec!F25*s_IFSH_far_adj*s_CF_far_sheep),".")</f>
        <v>6.6115702479338848E-4</v>
      </c>
      <c r="N25" s="15">
        <f>IFERROR(s_DL/(up_RadSpec!F25*s_IFGM_far_adj*s_CF_far_goat_milk),".")</f>
        <v>6.6115702479338848E-4</v>
      </c>
      <c r="O25" s="15">
        <f>IFERROR(s_DL/(up_RadSpec!F25*s_IFSM_far_adj*s_CF_far_sheep_milk),".")</f>
        <v>6.6115702479338848E-4</v>
      </c>
      <c r="P25" s="111">
        <f t="shared" si="21"/>
        <v>1512.5</v>
      </c>
      <c r="Q25" s="111">
        <f t="shared" si="21"/>
        <v>1512.5</v>
      </c>
      <c r="R25" s="111">
        <f t="shared" si="21"/>
        <v>1512.5</v>
      </c>
      <c r="S25" s="111">
        <f t="shared" si="21"/>
        <v>1512.5</v>
      </c>
      <c r="T25" s="111">
        <f t="shared" si="21"/>
        <v>1512.5</v>
      </c>
      <c r="U25" s="111">
        <f t="shared" si="21"/>
        <v>1512.5</v>
      </c>
      <c r="V25" s="111">
        <f t="shared" si="21"/>
        <v>1512.5</v>
      </c>
      <c r="W25" s="111">
        <f t="shared" si="21"/>
        <v>1512.5</v>
      </c>
      <c r="X25" s="111">
        <f t="shared" si="26"/>
        <v>1512.5</v>
      </c>
      <c r="Y25" s="111">
        <f t="shared" si="26"/>
        <v>1512.5</v>
      </c>
      <c r="Z25" s="111">
        <f t="shared" si="26"/>
        <v>1512.5</v>
      </c>
      <c r="AA25" s="111">
        <f t="shared" si="26"/>
        <v>1512.5</v>
      </c>
      <c r="AB25" s="15">
        <f t="shared" si="22"/>
        <v>5.5096418732782371E-5</v>
      </c>
      <c r="AC25" s="247">
        <f>IFERROR(AB25*(0.0000000000028)*up_RadSpec!$AY25*up_RadSpec!$AF25,0)</f>
        <v>1.7123966942148761E-13</v>
      </c>
      <c r="AD25" s="40">
        <f>up_dir!BC25</f>
        <v>30250</v>
      </c>
      <c r="AE25" s="40">
        <f t="shared" si="1"/>
        <v>7562.5</v>
      </c>
      <c r="AF25" s="40">
        <f t="shared" si="2"/>
        <v>7562.5</v>
      </c>
      <c r="AG25" s="40">
        <f t="shared" si="3"/>
        <v>7562.5</v>
      </c>
      <c r="AH25" s="40">
        <f t="shared" si="4"/>
        <v>7562.5</v>
      </c>
      <c r="AI25" s="40">
        <f t="shared" si="5"/>
        <v>7562.5</v>
      </c>
      <c r="AJ25" s="40">
        <f t="shared" si="6"/>
        <v>7562.5</v>
      </c>
      <c r="AK25" s="40">
        <f t="shared" si="7"/>
        <v>7562.5</v>
      </c>
      <c r="AL25" s="40">
        <f t="shared" si="8"/>
        <v>7562.5</v>
      </c>
      <c r="AM25" s="40">
        <f t="shared" si="9"/>
        <v>7562.5</v>
      </c>
      <c r="AN25" s="40">
        <f t="shared" si="10"/>
        <v>7562.5</v>
      </c>
      <c r="AO25" s="40">
        <f t="shared" si="11"/>
        <v>7562.5</v>
      </c>
      <c r="AP25" s="45">
        <f>IFERROR((s_DL/(up_RadSpec!E25*s_IFS_far_adj*(1/1000)))*1,".")</f>
        <v>0.33057851239669422</v>
      </c>
      <c r="AQ25" s="45">
        <f>IFERROR(IF(A25="H-3",(s_DL/(up_RadSpec!H25*s_IFA_far_adj*(1/17)*1000))*1,(s_DL/(up_RadSpec!H25*s_IFA_far_adj*(1/s_PEF_wind)*1000))*1),".")</f>
        <v>3089.9917851942919</v>
      </c>
      <c r="AR25" s="45">
        <f>IFERROR((s_DL/(up_RadSpec!G25*s_EF_far*(1/365)*1*up_RadSpec!R25*((s_ET_far_o*(1/24)*up_RadSpec!W25)+(s_ET_far_i*(1/24)*up_RadSpec!AB25))))*1,".")</f>
        <v>213.21650237312892</v>
      </c>
      <c r="AS25" s="45">
        <f>up_b2s!BC25</f>
        <v>3.2968835384132272E-5</v>
      </c>
      <c r="AT25" s="45">
        <f>IFERROR(((J25*up_RadSpec!AU25)/up_RadSpec!AJ25)*1,".")</f>
        <v>6.6115702479338848E-4</v>
      </c>
      <c r="AU25" s="45">
        <f>IFERROR(((K25*up_RadSpec!AU25)/up_RadSpec!AK25)*1,".")</f>
        <v>6.6115702479338848E-4</v>
      </c>
      <c r="AV25" s="45">
        <f>IFERROR((G25/(up_RadSpec!AI25*((s_Q_p_beef*s_f_p_beef*s_f_s_beef*(up_RadSpec!BD25+s_R_es_past))+(s_Q_s_beef*s_f_p_beef))))*1,".")</f>
        <v>1.8558793678410905E-7</v>
      </c>
      <c r="AW25" s="45">
        <f>IFERROR(((H25*s_D_milk)/(up_RadSpec!AH25*((s_Q_p_dairy*s_f_p_dairy*s_f_s_dairy*(up_RadSpec!BD25+s_R_es_past))+(s_Q_s_dairy*s_f_p_dairy))))*1,".")</f>
        <v>1.9115557488763231E-7</v>
      </c>
      <c r="AX25" s="45">
        <f>IFERROR((I25/(up_RadSpec!AN25*((s_Q_p_swine*s_f_p_swine*s_f_s_swine*(up_RadSpec!BD25+s_R_es_past))+(s_Q_s_swine*s_f_p_swine))))*1,".")</f>
        <v>1.8558793678410905E-7</v>
      </c>
      <c r="AY25" s="45">
        <f>IFERROR((E25/(up_RadSpec!AL25*((s_Q_p_poultry*s_f_p_poultry*s_f_s_poultry*(up_RadSpec!BD25+s_R_es_past))+(s_Q_s_poultry*s_f_p_poultry))))*1,".")</f>
        <v>1.8558793678410905E-7</v>
      </c>
      <c r="AZ25" s="45">
        <f>IFERROR((F25/(up_RadSpec!AM25*((s_Q_p_poultry*s_f_p_poultry*s_f_s_poultry*(up_RadSpec!BD25+s_R_es_past))+(s_Q_s_poultry*s_f_p_poultry))))*1,".")</f>
        <v>1.8558793678410905E-7</v>
      </c>
      <c r="BA25" s="45">
        <f>IFERROR((L25/(up_RadSpec!AQ25*((s_Q_p_goat*s_f_p_goat*s_f_s_goat*(up_RadSpec!BD25+s_R_es_past))+(s_Q_s_goat*s_f_p_goat))))*1,".")</f>
        <v>1.8558793678410905E-7</v>
      </c>
      <c r="BB25" s="45">
        <f>IFERROR((N25*s_D_milk/(up_RadSpec!AR25*((s_Q_p_goat_milk*s_f_p_goat_milk*s_f_s_goat_milk*(up_RadSpec!BD25+s_R_es_past))+(s_Q_s_goat_milk*s_f_p_goat_milk))))*1,".")</f>
        <v>1.9115557488763231E-7</v>
      </c>
      <c r="BC25" s="45">
        <f>IFERROR((M25/(up_RadSpec!AO25*((s_Q_p_sheep*s_f_p_sheep*s_f_s_sheep*(up_RadSpec!BD25+s_R_es_past))+(s_Q_s_sheep*s_f_p_sheep))))*1,".")</f>
        <v>1.8558793678410905E-7</v>
      </c>
      <c r="BD25" s="45">
        <f>IFERROR((O25*s_D_milk/(up_RadSpec!AP25*((s_Q_p_sheep_milk*s_f_p_sheep_milk*s_f_s_sheep_milk*(up_RadSpec!BD25+s_R_es_past))+(s_Q_s_sheep_milk*s_f_p_sheep_milk))))*1,".")</f>
        <v>1.9115557488763231E-7</v>
      </c>
      <c r="BE25" s="111">
        <f t="shared" si="27"/>
        <v>3.0249999999999999</v>
      </c>
      <c r="BF25" s="111">
        <f t="shared" si="27"/>
        <v>3.236254558317935E-4</v>
      </c>
      <c r="BG25" s="111">
        <f t="shared" si="27"/>
        <v>4.6900684931506838E-3</v>
      </c>
      <c r="BH25" s="111">
        <f t="shared" si="27"/>
        <v>30331.674999999992</v>
      </c>
      <c r="BI25" s="111">
        <f t="shared" si="27"/>
        <v>1512.5</v>
      </c>
      <c r="BJ25" s="111">
        <f t="shared" si="27"/>
        <v>1512.5</v>
      </c>
      <c r="BK25" s="111">
        <f t="shared" si="27"/>
        <v>5388281.2499999991</v>
      </c>
      <c r="BL25" s="111">
        <f t="shared" si="27"/>
        <v>5231341.0194174759</v>
      </c>
      <c r="BM25" s="111">
        <f t="shared" si="27"/>
        <v>5388281.2499999991</v>
      </c>
      <c r="BN25" s="111">
        <f t="shared" si="27"/>
        <v>5388281.2499999991</v>
      </c>
      <c r="BO25" s="111">
        <f t="shared" si="27"/>
        <v>5388281.2499999991</v>
      </c>
      <c r="BP25" s="111">
        <f t="shared" si="27"/>
        <v>5388281.2499999991</v>
      </c>
      <c r="BQ25" s="111">
        <f t="shared" si="27"/>
        <v>5231341.0194174759</v>
      </c>
      <c r="BR25" s="111">
        <f t="shared" si="27"/>
        <v>5388281.2499999991</v>
      </c>
      <c r="BS25" s="111">
        <f t="shared" si="27"/>
        <v>5231341.0194174759</v>
      </c>
      <c r="BT25" s="15">
        <f t="shared" si="23"/>
        <v>2.0808592669544827E-8</v>
      </c>
      <c r="BU25" s="189">
        <f>IFERROR(BT25*(0.0000000000028)*up_RadSpec!$AY25*up_RadSpec!$AF25,0)</f>
        <v>6.4673106016945325E-17</v>
      </c>
      <c r="BV25" s="40">
        <f t="shared" si="13"/>
        <v>15.125</v>
      </c>
      <c r="BW25" s="40">
        <f t="shared" si="14"/>
        <v>1.6181272791589674E-3</v>
      </c>
      <c r="BX25" s="40">
        <f>IFERROR((s_C*s_EF_far*(1/365)*1*up_RadSpec!R25*((s_ET_far_o*(1/24)*up_RadSpec!W25)+(s_ET_far_i*(1/24)*up_RadSpec!AB25))),".")</f>
        <v>2.3450342465753421E-2</v>
      </c>
      <c r="BY25" s="40">
        <f>up_b2s!CC25</f>
        <v>151658.375</v>
      </c>
      <c r="BZ25" s="40">
        <f>IFERROR(((s_C*up_RadSpec!AJ25)/up_RadSpec!AU25)*s_IFFI_far_adj*s_CF_far_fish,0)</f>
        <v>7562.5</v>
      </c>
      <c r="CA25" s="40">
        <f>IFERROR(((s_C*up_RadSpec!AK25)/up_RadSpec!AU25)*s_IFSF_far_adj*s_CF_far_shellfish,0)</f>
        <v>7562.5</v>
      </c>
      <c r="CB25" s="40">
        <f>(s_C*s_IFB_far_adj*s_CF_far_beef*up_RadSpec!AI25*((s_Q_p_beef*s_f_p_beef*s_f_s_beef*(up_RadSpec!$AT25+s_R_es_past))+(s_Q_s_beef*s_f_p_beef)))</f>
        <v>26941406.25</v>
      </c>
      <c r="CC25" s="40">
        <f>(s_C*s_IFD_far_adj*s_CF_far_dairy*up_RadSpec!AH25*1/s_D_milk*((s_Q_p_dairy*s_f_p_dairy*s_f_s_dairy*(up_RadSpec!$AT25+s_R_es_past))+(s_Q_s_dairy*s_f_p_dairy)))</f>
        <v>26156705.09708738</v>
      </c>
      <c r="CD25" s="40">
        <f>IFERROR((s_C*s_IFSW_far_adj*s_CF_far_swine*up_RadSpec!AN25*((s_Q_p_swine*s_f_p_swine*s_f_s_swine*(up_RadSpec!$AT25+s_R_es_past))+(s_Q_s_swine*s_f_p_swine))),0)</f>
        <v>26941406.25</v>
      </c>
      <c r="CE25" s="40">
        <f>IFERROR((s_C*s_IFP_far_adj*s_CF_far_poultry*up_RadSpec!AL25*((s_Q_p_poultry*s_f_p_poultry*s_f_s_poultry*(up_RadSpec!AT25+s_R_es_past))+(s_Q_s_poultry*s_f_p_poultry))),0)</f>
        <v>26941406.25</v>
      </c>
      <c r="CF25" s="40">
        <f>IFERROR((s_C*s_IFE_far_adj*s_CF_far_egg*up_RadSpec!AM25*((s_Q_p_egg*s_f_p_egg*s_f_s_egg*(up_RadSpec!$AT25+s_R_es_past))+(s_Q_s_egg*s_f_p_egg))),0)</f>
        <v>26941406.25</v>
      </c>
      <c r="CG25" s="40">
        <f>IFERROR((s_C*s_IFGO_far_adj*s_CF_far_goat*up_RadSpec!AQ25*((s_Q_p_goat*s_f_p_goat*s_f_s_goat*(up_RadSpec!$AT25+s_R_es_past))+(s_Q_s_goat*s_f_p_goat))),0)</f>
        <v>26941406.25</v>
      </c>
      <c r="CH25" s="40">
        <f>IFERROR((s_C*s_IFGM_far_adj*s_CF_far_goat_milk*up_RadSpec!AR25*1/s_D_milk*((s_Q_p_goat_milk*s_f_p_goat_milk*s_f_s_goat_milk*(up_RadSpec!$AT25+s_R_es_past))+(s_Q_s_goat_milk*s_f_p_goat_milk))),0)</f>
        <v>26156705.09708738</v>
      </c>
      <c r="CI25" s="40">
        <f>IFERROR((s_C*s_IFSH_far_adj*s_CF_far_sheep*up_RadSpec!AO25*((s_Q_p_sheep*s_f_p_sheep*s_f_s_sheep*(up_RadSpec!$AT25+s_R_es_past))+(s_Q_s_sheep*s_f_p_sheep))),0)</f>
        <v>26941406.25</v>
      </c>
      <c r="CJ25" s="40">
        <f>IFERROR((s_C*s_IFSM_far_adj*s_CF_far_sheep_milk*up_RadSpec!AP25*1/s_D_milk*((s_Q_p_sheep_milk*s_f_p_sheep_milk*s_f_s_sheep_milk*(up_RadSpec!$AT25+s_R_es_past))+(s_Q_s_sheep_milk*s_f_p_sheep_milk))),0)</f>
        <v>26156705.09708738</v>
      </c>
      <c r="CK25" s="18"/>
      <c r="CL25" s="15">
        <f>IFERROR(s_DL/(up_RadSpec!I25*s_IFW_far_adj),".")</f>
        <v>3.6363636363636364E-3</v>
      </c>
      <c r="CM25" s="15">
        <f>IFERROR(IF(AND(up_RadSpec!C25=1,up_RadSpec!D25&lt;&gt;0),s_DL/(up_RadSpec!H25*s_IFA_far_adj*s_K*up_RadSpec!D25),"."),".")</f>
        <v>1.9948051948051951E-2</v>
      </c>
      <c r="CN25" s="15">
        <f>IFERROR((s_DL/(up_RadSpec!M25*(1/8760)*s_DFA_far_adj)),".")</f>
        <v>39.81818181818182</v>
      </c>
      <c r="CO25" s="15">
        <f>up_b2w!BC25</f>
        <v>1.6443412786038033E-4</v>
      </c>
      <c r="CP25" s="15">
        <f>IFERROR(J25/(up_RadSpec!AJ25*(1/1000)),".")</f>
        <v>0.13223140495867769</v>
      </c>
      <c r="CQ25" s="15">
        <f>IFERROR(K25/(up_RadSpec!AK25*(1/1000)),".")</f>
        <v>0.13223140495867769</v>
      </c>
      <c r="CR25" s="15">
        <f>IFERROR(G25/(up_RadSpec!AI25*s_Q_w_beef*(1/1000)),".")</f>
        <v>2.6446280991735537E-2</v>
      </c>
      <c r="CS25" s="15">
        <f>IFERROR((H25*s_D_milk)/(up_RadSpec!AH25*s_Q_w_dairy*(1/1000)),".")</f>
        <v>2.7239669421487603E-2</v>
      </c>
      <c r="CT25" s="15">
        <f>IFERROR(I25/(up_RadSpec!AN25*s_Q_w_swine*(1/1000)),".")</f>
        <v>2.6446280991735537E-2</v>
      </c>
      <c r="CU25" s="15">
        <f>IFERROR(E25/(up_RadSpec!AL25*s_Q_w_poultry*(1/1000)),".")</f>
        <v>2.6446280991735537E-2</v>
      </c>
      <c r="CV25" s="15">
        <f>IFERROR(F25/(up_RadSpec!AM25*s_Q_w_poultry*(1/1000)),".")</f>
        <v>2.6446280991735537E-2</v>
      </c>
      <c r="CW25" s="15">
        <f>IFERROR(L25/(up_RadSpec!AQ25*s_Q_w_goat*(1/1000)),".")</f>
        <v>2.6446280991735537E-2</v>
      </c>
      <c r="CX25" s="15">
        <f>IFERROR(N25*s_D_milk/(up_RadSpec!AR25*s_Q_w_goat_milk*(1/1000)),".")</f>
        <v>2.7239669421487603E-2</v>
      </c>
      <c r="CY25" s="15">
        <f>IFERROR(M25/(up_RadSpec!AO25*s_Q_w_sheep*(1/1000)),".")</f>
        <v>2.6446280991735537E-2</v>
      </c>
      <c r="CZ25" s="15">
        <f>IFERROR(O25*s_D_milk/(up_RadSpec!AP25*s_Q_w_sheep_milk*(1/1000)),".")</f>
        <v>2.7239669421487603E-2</v>
      </c>
      <c r="DA25" s="111">
        <f t="shared" si="28"/>
        <v>275</v>
      </c>
      <c r="DB25" s="111">
        <f t="shared" si="28"/>
        <v>50.130208333333329</v>
      </c>
      <c r="DC25" s="111">
        <f t="shared" si="28"/>
        <v>2.5114155251141551E-2</v>
      </c>
      <c r="DD25" s="111">
        <f t="shared" si="28"/>
        <v>6081.4626076229861</v>
      </c>
      <c r="DE25" s="111">
        <f t="shared" si="28"/>
        <v>7.5625</v>
      </c>
      <c r="DF25" s="111">
        <f t="shared" si="28"/>
        <v>7.5625</v>
      </c>
      <c r="DG25" s="111">
        <f t="shared" si="28"/>
        <v>37.8125</v>
      </c>
      <c r="DH25" s="111">
        <f t="shared" si="28"/>
        <v>36.711165048543691</v>
      </c>
      <c r="DI25" s="111">
        <f t="shared" si="28"/>
        <v>37.8125</v>
      </c>
      <c r="DJ25" s="111">
        <f t="shared" si="28"/>
        <v>37.8125</v>
      </c>
      <c r="DK25" s="111">
        <f t="shared" si="28"/>
        <v>37.8125</v>
      </c>
      <c r="DL25" s="111">
        <f t="shared" si="28"/>
        <v>37.8125</v>
      </c>
      <c r="DM25" s="111">
        <f t="shared" si="28"/>
        <v>36.711165048543691</v>
      </c>
      <c r="DN25" s="111">
        <f t="shared" si="28"/>
        <v>37.8125</v>
      </c>
      <c r="DO25" s="111">
        <f t="shared" si="28"/>
        <v>36.711165048543691</v>
      </c>
      <c r="DP25" s="15">
        <f t="shared" si="24"/>
        <v>1.4795632167548538E-4</v>
      </c>
      <c r="DQ25" s="189">
        <f>DP25*(0.0000000000000028)*up_RadSpec!$AY25*up_RadSpec!$AF25</f>
        <v>4.5984824776740855E-16</v>
      </c>
      <c r="DR25" s="40">
        <f t="shared" si="16"/>
        <v>1375</v>
      </c>
      <c r="DS25" s="40">
        <f>IFERROR(IF(up_RadSpec!D25&lt;&gt;"",s_C*s_IFA_far_adj*s_K*up_RadSpec!D25,0),".")</f>
        <v>250.65104166666663</v>
      </c>
      <c r="DT25" s="40">
        <f t="shared" si="17"/>
        <v>0.12557077625570776</v>
      </c>
      <c r="DU25" s="40">
        <f>up_b2w!CC25</f>
        <v>30407.313038114935</v>
      </c>
      <c r="DV25" s="40">
        <f>IFERROR(s_C*up_RadSpec!AJ25*(1/1000)*s_IFFI_far_adj*s_CF_far_fish,0)</f>
        <v>37.8125</v>
      </c>
      <c r="DW25" s="40">
        <f>IFERROR(s_C*up_RadSpec!AK25*(1/1000)*s_IFSF_far_adj*s_CF_far_shellfish,0)</f>
        <v>37.8125</v>
      </c>
      <c r="DX25" s="40">
        <f>(s_C*s_IFB_far_adj*s_CF_far_beef*up_RadSpec!AI25*s_Q_w_beef*(1/1000))</f>
        <v>189.0625</v>
      </c>
      <c r="DY25" s="40">
        <f>(s_C*s_IFD_far_adj*s_CF_far_dairy*up_RadSpec!AH25*(1/s_D_milk)*s_Q_w_dairy*(1/1000))</f>
        <v>183.55582524271844</v>
      </c>
      <c r="DZ25" s="40">
        <f>IFERROR((s_C*s_IFSW_far_adj*s_CF_far_swine*up_RadSpec!AN25*s_Q_w_swine*(1/1000)),0)</f>
        <v>189.0625</v>
      </c>
      <c r="EA25" s="40">
        <f>IFERROR((s_C*s_IFP_far_adj*s_CF_far_poultry*up_RadSpec!AL25*s_Q_w_poultry*(1/1000)),0)</f>
        <v>189.0625</v>
      </c>
      <c r="EB25" s="40">
        <f>IFERROR((s_C*s_IFE_far_adj*s_CF_far_egg*up_RadSpec!AM25*s_Q_w_egg*(1/1000)),0)</f>
        <v>189.0625</v>
      </c>
      <c r="EC25" s="40">
        <f>IFERROR((s_C*s_IFGO_far_adj*s_CF_far_goat*up_RadSpec!AQ25*s_Q_p_goat*(1/1000)),0)</f>
        <v>189.0625</v>
      </c>
      <c r="ED25" s="40">
        <f>IFERROR((s_C*s_IFGM_far_adj*s_CF_far_goat_milk*up_RadSpec!AR25*(1/s_D_milk)*s_Q_p_goat_milk*(1/1000)),0)</f>
        <v>183.55582524271844</v>
      </c>
      <c r="EE25" s="40">
        <f>IFERROR((s_C*s_IFSH_far_adj*s_CF_far_sheep*up_RadSpec!AO25*s_Q_p_sheep*(1/1000)),0)</f>
        <v>189.0625</v>
      </c>
      <c r="EF25" s="40">
        <f>IFERROR((s_C*s_IFSM_far_adj*s_CF_far_sheep_milk*up_RadSpec!AP25*(1/s_D_milk)*s_Q_p_sheep_milk*(1/1000)),0)</f>
        <v>183.55582524271844</v>
      </c>
      <c r="EG25" s="5"/>
      <c r="EH25" s="15">
        <f>IFERROR((s_DL/(up_RadSpec!H25*s_IFA_far_adj)),".")</f>
        <v>9.9740259740259754E-3</v>
      </c>
      <c r="EI25" s="15">
        <f>IFERROR((s_DL/(up_RadSpec!K25*s_EF_far*(1/365)*1*s_ET_far*(1/24)*s_GSF_a)),".")</f>
        <v>63.709090909090911</v>
      </c>
      <c r="EJ25" s="15">
        <f t="shared" si="25"/>
        <v>9.9724647271019675E-3</v>
      </c>
      <c r="EK25" s="189">
        <f>EJ25*(0.0000000000000028)*up_RadSpec!$AY25*up_RadSpec!$AF25</f>
        <v>3.0994420371832921E-14</v>
      </c>
      <c r="EL25" s="40">
        <f t="shared" si="19"/>
        <v>501.30208333333326</v>
      </c>
      <c r="EM25" s="40">
        <f t="shared" si="20"/>
        <v>7.8481735159817351E-2</v>
      </c>
      <c r="EN25" s="113"/>
    </row>
    <row r="26" spans="1:144" customFormat="1" x14ac:dyDescent="0.25">
      <c r="A26" s="44" t="s">
        <v>24</v>
      </c>
      <c r="B26" s="42" t="s">
        <v>1057</v>
      </c>
      <c r="C26" s="42"/>
      <c r="D26" s="15">
        <f>up_dir!AC26</f>
        <v>1.6528925619834712E-4</v>
      </c>
      <c r="E26" s="15">
        <f>IFERROR(s_DL/(up_RadSpec!F26*s_IFP_far_adj*s_CF_far_poultry),".")</f>
        <v>6.6115702479338848E-4</v>
      </c>
      <c r="F26" s="15">
        <f>IFERROR(s_DL/(up_RadSpec!F26*s_IFE_far_adj*s_CF_far_egg),".")</f>
        <v>6.6115702479338848E-4</v>
      </c>
      <c r="G26" s="15">
        <f>IFERROR(s_DL/(up_RadSpec!F26*s_IFB_far_adj*s_CF_far_beef),".")</f>
        <v>6.6115702479338848E-4</v>
      </c>
      <c r="H26" s="15">
        <f>IFERROR(s_DL/(up_RadSpec!F26*s_IFD_far_adj*s_CF_far_dairy),".")</f>
        <v>6.6115702479338848E-4</v>
      </c>
      <c r="I26" s="15">
        <f>IFERROR(s_DL/(up_RadSpec!F26*s_IFSW_far_adj*s_CF_far_swine),".")</f>
        <v>6.6115702479338848E-4</v>
      </c>
      <c r="J26" s="15">
        <f>IFERROR(s_DL/(up_RadSpec!F26*s_IFFI_far_adj*s_CF_far_fish),".")</f>
        <v>6.6115702479338848E-4</v>
      </c>
      <c r="K26" s="15">
        <f>IFERROR(s_DL/(up_RadSpec!F26*s_IFSF_far_adj*s_CF_far_shellfish),".")</f>
        <v>6.6115702479338848E-4</v>
      </c>
      <c r="L26" s="15">
        <f>IFERROR(s_DL/(up_RadSpec!F26*s_IFGO_far_adj*s_CF_far_goat),".")</f>
        <v>6.6115702479338848E-4</v>
      </c>
      <c r="M26" s="15">
        <f>IFERROR(s_DL/(up_RadSpec!F26*s_IFSH_far_adj*s_CF_far_sheep),".")</f>
        <v>6.6115702479338848E-4</v>
      </c>
      <c r="N26" s="15">
        <f>IFERROR(s_DL/(up_RadSpec!F26*s_IFGM_far_adj*s_CF_far_goat_milk),".")</f>
        <v>6.6115702479338848E-4</v>
      </c>
      <c r="O26" s="15">
        <f>IFERROR(s_DL/(up_RadSpec!F26*s_IFSM_far_adj*s_CF_far_sheep_milk),".")</f>
        <v>6.6115702479338848E-4</v>
      </c>
      <c r="P26" s="111">
        <f t="shared" si="21"/>
        <v>1512.5</v>
      </c>
      <c r="Q26" s="111">
        <f t="shared" si="21"/>
        <v>1512.5</v>
      </c>
      <c r="R26" s="111">
        <f t="shared" si="21"/>
        <v>1512.5</v>
      </c>
      <c r="S26" s="111">
        <f t="shared" si="21"/>
        <v>1512.5</v>
      </c>
      <c r="T26" s="111">
        <f t="shared" si="21"/>
        <v>1512.5</v>
      </c>
      <c r="U26" s="111">
        <f t="shared" si="21"/>
        <v>1512.5</v>
      </c>
      <c r="V26" s="111">
        <f t="shared" si="21"/>
        <v>1512.5</v>
      </c>
      <c r="W26" s="111">
        <f t="shared" si="21"/>
        <v>1512.5</v>
      </c>
      <c r="X26" s="111">
        <f t="shared" si="26"/>
        <v>1512.5</v>
      </c>
      <c r="Y26" s="111">
        <f t="shared" si="26"/>
        <v>1512.5</v>
      </c>
      <c r="Z26" s="111">
        <f t="shared" si="26"/>
        <v>1512.5</v>
      </c>
      <c r="AA26" s="111">
        <f t="shared" si="26"/>
        <v>1512.5</v>
      </c>
      <c r="AB26" s="15">
        <f t="shared" si="22"/>
        <v>5.5096418732782371E-5</v>
      </c>
      <c r="AC26" s="247">
        <f>IFERROR(AB26*(0.0000000000028)*up_RadSpec!$AY26*up_RadSpec!$AF26,0)</f>
        <v>1.7663911845730031E-13</v>
      </c>
      <c r="AD26" s="40">
        <f>up_dir!BC26</f>
        <v>30250</v>
      </c>
      <c r="AE26" s="40">
        <f t="shared" si="1"/>
        <v>7562.5</v>
      </c>
      <c r="AF26" s="40">
        <f t="shared" si="2"/>
        <v>7562.5</v>
      </c>
      <c r="AG26" s="40">
        <f t="shared" si="3"/>
        <v>7562.5</v>
      </c>
      <c r="AH26" s="40">
        <f t="shared" si="4"/>
        <v>7562.5</v>
      </c>
      <c r="AI26" s="40">
        <f t="shared" si="5"/>
        <v>7562.5</v>
      </c>
      <c r="AJ26" s="40">
        <f t="shared" si="6"/>
        <v>7562.5</v>
      </c>
      <c r="AK26" s="40">
        <f t="shared" si="7"/>
        <v>7562.5</v>
      </c>
      <c r="AL26" s="40">
        <f t="shared" si="8"/>
        <v>7562.5</v>
      </c>
      <c r="AM26" s="40">
        <f t="shared" si="9"/>
        <v>7562.5</v>
      </c>
      <c r="AN26" s="40">
        <f t="shared" si="10"/>
        <v>7562.5</v>
      </c>
      <c r="AO26" s="40">
        <f t="shared" si="11"/>
        <v>7562.5</v>
      </c>
      <c r="AP26" s="45">
        <f>IFERROR((s_DL/(up_RadSpec!E26*s_IFS_far_adj*(1/1000)))*1,".")</f>
        <v>0.33057851239669422</v>
      </c>
      <c r="AQ26" s="45">
        <f>IFERROR(IF(A26="H-3",(s_DL/(up_RadSpec!H26*s_IFA_far_adj*(1/17)*1000))*1,(s_DL/(up_RadSpec!H26*s_IFA_far_adj*(1/s_PEF_wind)*1000))*1),".")</f>
        <v>3089.9917851942919</v>
      </c>
      <c r="AR26" s="45">
        <f>IFERROR((s_DL/(up_RadSpec!G26*s_EF_far*(1/365)*1*up_RadSpec!R26*((s_ET_far_o*(1/24)*up_RadSpec!W26)+(s_ET_far_i*(1/24)*up_RadSpec!AB26))))*1,".")</f>
        <v>1162.4922696351264</v>
      </c>
      <c r="AS26" s="45">
        <f>up_b2s!BC26</f>
        <v>3.2968835384132272E-5</v>
      </c>
      <c r="AT26" s="45">
        <f>IFERROR(((J26*up_RadSpec!AU26)/up_RadSpec!AJ26)*1,".")</f>
        <v>6.6115702479338848E-4</v>
      </c>
      <c r="AU26" s="45">
        <f>IFERROR(((K26*up_RadSpec!AU26)/up_RadSpec!AK26)*1,".")</f>
        <v>6.6115702479338848E-4</v>
      </c>
      <c r="AV26" s="45">
        <f>IFERROR((G26/(up_RadSpec!AI26*((s_Q_p_beef*s_f_p_beef*s_f_s_beef*(up_RadSpec!BD26+s_R_es_past))+(s_Q_s_beef*s_f_p_beef))))*1,".")</f>
        <v>1.8558793678410905E-7</v>
      </c>
      <c r="AW26" s="45">
        <f>IFERROR(((H26*s_D_milk)/(up_RadSpec!AH26*((s_Q_p_dairy*s_f_p_dairy*s_f_s_dairy*(up_RadSpec!BD26+s_R_es_past))+(s_Q_s_dairy*s_f_p_dairy))))*1,".")</f>
        <v>1.9115557488763231E-7</v>
      </c>
      <c r="AX26" s="45">
        <f>IFERROR((I26/(up_RadSpec!AN26*((s_Q_p_swine*s_f_p_swine*s_f_s_swine*(up_RadSpec!BD26+s_R_es_past))+(s_Q_s_swine*s_f_p_swine))))*1,".")</f>
        <v>1.8558793678410905E-7</v>
      </c>
      <c r="AY26" s="45">
        <f>IFERROR((E26/(up_RadSpec!AL26*((s_Q_p_poultry*s_f_p_poultry*s_f_s_poultry*(up_RadSpec!BD26+s_R_es_past))+(s_Q_s_poultry*s_f_p_poultry))))*1,".")</f>
        <v>1.8558793678410905E-7</v>
      </c>
      <c r="AZ26" s="45">
        <f>IFERROR((F26/(up_RadSpec!AM26*((s_Q_p_poultry*s_f_p_poultry*s_f_s_poultry*(up_RadSpec!BD26+s_R_es_past))+(s_Q_s_poultry*s_f_p_poultry))))*1,".")</f>
        <v>1.8558793678410905E-7</v>
      </c>
      <c r="BA26" s="45">
        <f>IFERROR((L26/(up_RadSpec!AQ26*((s_Q_p_goat*s_f_p_goat*s_f_s_goat*(up_RadSpec!BD26+s_R_es_past))+(s_Q_s_goat*s_f_p_goat))))*1,".")</f>
        <v>1.8558793678410905E-7</v>
      </c>
      <c r="BB26" s="45">
        <f>IFERROR((N26*s_D_milk/(up_RadSpec!AR26*((s_Q_p_goat_milk*s_f_p_goat_milk*s_f_s_goat_milk*(up_RadSpec!BD26+s_R_es_past))+(s_Q_s_goat_milk*s_f_p_goat_milk))))*1,".")</f>
        <v>1.9115557488763231E-7</v>
      </c>
      <c r="BC26" s="45">
        <f>IFERROR((M26/(up_RadSpec!AO26*((s_Q_p_sheep*s_f_p_sheep*s_f_s_sheep*(up_RadSpec!BD26+s_R_es_past))+(s_Q_s_sheep*s_f_p_sheep))))*1,".")</f>
        <v>1.8558793678410905E-7</v>
      </c>
      <c r="BD26" s="45">
        <f>IFERROR((O26*s_D_milk/(up_RadSpec!AP26*((s_Q_p_sheep_milk*s_f_p_sheep_milk*s_f_s_sheep_milk*(up_RadSpec!BD26+s_R_es_past))+(s_Q_s_sheep_milk*s_f_p_sheep_milk))))*1,".")</f>
        <v>1.9115557488763231E-7</v>
      </c>
      <c r="BE26" s="111">
        <f t="shared" si="27"/>
        <v>3.0249999999999999</v>
      </c>
      <c r="BF26" s="111">
        <f t="shared" si="27"/>
        <v>3.236254558317935E-4</v>
      </c>
      <c r="BG26" s="111">
        <f t="shared" si="27"/>
        <v>8.6022077403910123E-4</v>
      </c>
      <c r="BH26" s="111">
        <f t="shared" si="27"/>
        <v>30331.674999999992</v>
      </c>
      <c r="BI26" s="111">
        <f t="shared" si="27"/>
        <v>1512.5</v>
      </c>
      <c r="BJ26" s="111">
        <f t="shared" si="27"/>
        <v>1512.5</v>
      </c>
      <c r="BK26" s="111">
        <f t="shared" si="27"/>
        <v>5388281.2499999991</v>
      </c>
      <c r="BL26" s="111">
        <f t="shared" si="27"/>
        <v>5231341.0194174759</v>
      </c>
      <c r="BM26" s="111">
        <f t="shared" si="27"/>
        <v>5388281.2499999991</v>
      </c>
      <c r="BN26" s="111">
        <f t="shared" si="27"/>
        <v>5388281.2499999991</v>
      </c>
      <c r="BO26" s="111">
        <f t="shared" si="27"/>
        <v>5388281.2499999991</v>
      </c>
      <c r="BP26" s="111">
        <f t="shared" si="27"/>
        <v>5388281.2499999991</v>
      </c>
      <c r="BQ26" s="111">
        <f t="shared" si="27"/>
        <v>5231341.0194174759</v>
      </c>
      <c r="BR26" s="111">
        <f t="shared" si="27"/>
        <v>5388281.2499999991</v>
      </c>
      <c r="BS26" s="111">
        <f t="shared" si="27"/>
        <v>5231341.0194174759</v>
      </c>
      <c r="BT26" s="15">
        <f t="shared" si="23"/>
        <v>2.0808592671203138E-8</v>
      </c>
      <c r="BU26" s="189">
        <f>IFERROR(BT26*(0.0000000000028)*up_RadSpec!$AY26*up_RadSpec!$AF26,0)</f>
        <v>6.6712348103877263E-17</v>
      </c>
      <c r="BV26" s="40">
        <f t="shared" si="13"/>
        <v>15.125</v>
      </c>
      <c r="BW26" s="40">
        <f t="shared" si="14"/>
        <v>1.6181272791589674E-3</v>
      </c>
      <c r="BX26" s="40">
        <f>IFERROR((s_C*s_EF_far*(1/365)*1*up_RadSpec!R26*((s_ET_far_o*(1/24)*up_RadSpec!W26)+(s_ET_far_i*(1/24)*up_RadSpec!AB26))),".")</f>
        <v>4.3011038701955065E-3</v>
      </c>
      <c r="BY26" s="40">
        <f>up_b2s!CC26</f>
        <v>151658.375</v>
      </c>
      <c r="BZ26" s="40">
        <f>IFERROR(((s_C*up_RadSpec!AJ26)/up_RadSpec!AU26)*s_IFFI_far_adj*s_CF_far_fish,0)</f>
        <v>7562.5</v>
      </c>
      <c r="CA26" s="40">
        <f>IFERROR(((s_C*up_RadSpec!AK26)/up_RadSpec!AU26)*s_IFSF_far_adj*s_CF_far_shellfish,0)</f>
        <v>7562.5</v>
      </c>
      <c r="CB26" s="40">
        <f>(s_C*s_IFB_far_adj*s_CF_far_beef*up_RadSpec!AI26*((s_Q_p_beef*s_f_p_beef*s_f_s_beef*(up_RadSpec!$AT26+s_R_es_past))+(s_Q_s_beef*s_f_p_beef)))</f>
        <v>26941406.25</v>
      </c>
      <c r="CC26" s="40">
        <f>(s_C*s_IFD_far_adj*s_CF_far_dairy*up_RadSpec!AH26*1/s_D_milk*((s_Q_p_dairy*s_f_p_dairy*s_f_s_dairy*(up_RadSpec!$AT26+s_R_es_past))+(s_Q_s_dairy*s_f_p_dairy)))</f>
        <v>26156705.09708738</v>
      </c>
      <c r="CD26" s="40">
        <f>IFERROR((s_C*s_IFSW_far_adj*s_CF_far_swine*up_RadSpec!AN26*((s_Q_p_swine*s_f_p_swine*s_f_s_swine*(up_RadSpec!$AT26+s_R_es_past))+(s_Q_s_swine*s_f_p_swine))),0)</f>
        <v>26941406.25</v>
      </c>
      <c r="CE26" s="40">
        <f>IFERROR((s_C*s_IFP_far_adj*s_CF_far_poultry*up_RadSpec!AL26*((s_Q_p_poultry*s_f_p_poultry*s_f_s_poultry*(up_RadSpec!AT26+s_R_es_past))+(s_Q_s_poultry*s_f_p_poultry))),0)</f>
        <v>26941406.25</v>
      </c>
      <c r="CF26" s="40">
        <f>IFERROR((s_C*s_IFE_far_adj*s_CF_far_egg*up_RadSpec!AM26*((s_Q_p_egg*s_f_p_egg*s_f_s_egg*(up_RadSpec!$AT26+s_R_es_past))+(s_Q_s_egg*s_f_p_egg))),0)</f>
        <v>26941406.25</v>
      </c>
      <c r="CG26" s="40">
        <f>IFERROR((s_C*s_IFGO_far_adj*s_CF_far_goat*up_RadSpec!AQ26*((s_Q_p_goat*s_f_p_goat*s_f_s_goat*(up_RadSpec!$AT26+s_R_es_past))+(s_Q_s_goat*s_f_p_goat))),0)</f>
        <v>26941406.25</v>
      </c>
      <c r="CH26" s="40">
        <f>IFERROR((s_C*s_IFGM_far_adj*s_CF_far_goat_milk*up_RadSpec!AR26*1/s_D_milk*((s_Q_p_goat_milk*s_f_p_goat_milk*s_f_s_goat_milk*(up_RadSpec!$AT26+s_R_es_past))+(s_Q_s_goat_milk*s_f_p_goat_milk))),0)</f>
        <v>26156705.09708738</v>
      </c>
      <c r="CI26" s="40">
        <f>IFERROR((s_C*s_IFSH_far_adj*s_CF_far_sheep*up_RadSpec!AO26*((s_Q_p_sheep*s_f_p_sheep*s_f_s_sheep*(up_RadSpec!$AT26+s_R_es_past))+(s_Q_s_sheep*s_f_p_sheep))),0)</f>
        <v>26941406.25</v>
      </c>
      <c r="CJ26" s="40">
        <f>IFERROR((s_C*s_IFSM_far_adj*s_CF_far_sheep_milk*up_RadSpec!AP26*1/s_D_milk*((s_Q_p_sheep_milk*s_f_p_sheep_milk*s_f_s_sheep_milk*(up_RadSpec!$AT26+s_R_es_past))+(s_Q_s_sheep_milk*s_f_p_sheep_milk))),0)</f>
        <v>26156705.09708738</v>
      </c>
      <c r="CK26" s="18"/>
      <c r="CL26" s="15">
        <f>IFERROR(s_DL/(up_RadSpec!I26*s_IFW_far_adj),".")</f>
        <v>3.6363636363636364E-3</v>
      </c>
      <c r="CM26" s="15" t="str">
        <f>IFERROR(IF(AND(up_RadSpec!C26=1,up_RadSpec!D26&lt;&gt;0),s_DL/(up_RadSpec!H26*s_IFA_far_adj*s_K*up_RadSpec!D26),"."),".")</f>
        <v>.</v>
      </c>
      <c r="CN26" s="15">
        <f>IFERROR((s_DL/(up_RadSpec!M26*(1/8760)*s_DFA_far_adj)),".")</f>
        <v>39.81818181818182</v>
      </c>
      <c r="CO26" s="15">
        <f>up_b2w!BC26</f>
        <v>1.6443412786038033E-4</v>
      </c>
      <c r="CP26" s="15">
        <f>IFERROR(J26/(up_RadSpec!AJ26*(1/1000)),".")</f>
        <v>0.13223140495867769</v>
      </c>
      <c r="CQ26" s="15">
        <f>IFERROR(K26/(up_RadSpec!AK26*(1/1000)),".")</f>
        <v>0.13223140495867769</v>
      </c>
      <c r="CR26" s="15">
        <f>IFERROR(G26/(up_RadSpec!AI26*s_Q_w_beef*(1/1000)),".")</f>
        <v>2.6446280991735537E-2</v>
      </c>
      <c r="CS26" s="15">
        <f>IFERROR((H26*s_D_milk)/(up_RadSpec!AH26*s_Q_w_dairy*(1/1000)),".")</f>
        <v>2.7239669421487603E-2</v>
      </c>
      <c r="CT26" s="15">
        <f>IFERROR(I26/(up_RadSpec!AN26*s_Q_w_swine*(1/1000)),".")</f>
        <v>2.6446280991735537E-2</v>
      </c>
      <c r="CU26" s="15">
        <f>IFERROR(E26/(up_RadSpec!AL26*s_Q_w_poultry*(1/1000)),".")</f>
        <v>2.6446280991735537E-2</v>
      </c>
      <c r="CV26" s="15">
        <f>IFERROR(F26/(up_RadSpec!AM26*s_Q_w_poultry*(1/1000)),".")</f>
        <v>2.6446280991735537E-2</v>
      </c>
      <c r="CW26" s="15">
        <f>IFERROR(L26/(up_RadSpec!AQ26*s_Q_w_goat*(1/1000)),".")</f>
        <v>2.6446280991735537E-2</v>
      </c>
      <c r="CX26" s="15">
        <f>IFERROR(N26*s_D_milk/(up_RadSpec!AR26*s_Q_w_goat_milk*(1/1000)),".")</f>
        <v>2.7239669421487603E-2</v>
      </c>
      <c r="CY26" s="15">
        <f>IFERROR(M26/(up_RadSpec!AO26*s_Q_w_sheep*(1/1000)),".")</f>
        <v>2.6446280991735537E-2</v>
      </c>
      <c r="CZ26" s="15">
        <f>IFERROR(O26*s_D_milk/(up_RadSpec!AP26*s_Q_w_sheep_milk*(1/1000)),".")</f>
        <v>2.7239669421487603E-2</v>
      </c>
      <c r="DA26" s="111">
        <f t="shared" si="28"/>
        <v>275</v>
      </c>
      <c r="DB26" s="111" t="str">
        <f t="shared" si="28"/>
        <v>.</v>
      </c>
      <c r="DC26" s="111">
        <f t="shared" si="28"/>
        <v>2.5114155251141551E-2</v>
      </c>
      <c r="DD26" s="111">
        <f t="shared" si="28"/>
        <v>6081.4626076229861</v>
      </c>
      <c r="DE26" s="111">
        <f t="shared" si="28"/>
        <v>7.5625</v>
      </c>
      <c r="DF26" s="111">
        <f t="shared" si="28"/>
        <v>7.5625</v>
      </c>
      <c r="DG26" s="111">
        <f t="shared" si="28"/>
        <v>37.8125</v>
      </c>
      <c r="DH26" s="111">
        <f t="shared" si="28"/>
        <v>36.711165048543691</v>
      </c>
      <c r="DI26" s="111">
        <f t="shared" si="28"/>
        <v>37.8125</v>
      </c>
      <c r="DJ26" s="111">
        <f t="shared" si="28"/>
        <v>37.8125</v>
      </c>
      <c r="DK26" s="111">
        <f t="shared" si="28"/>
        <v>37.8125</v>
      </c>
      <c r="DL26" s="111">
        <f t="shared" si="28"/>
        <v>37.8125</v>
      </c>
      <c r="DM26" s="111">
        <f t="shared" si="28"/>
        <v>36.711165048543691</v>
      </c>
      <c r="DN26" s="111">
        <f t="shared" si="28"/>
        <v>37.8125</v>
      </c>
      <c r="DO26" s="111">
        <f t="shared" si="28"/>
        <v>36.711165048543691</v>
      </c>
      <c r="DP26" s="15">
        <f t="shared" si="24"/>
        <v>1.4906192608956598E-4</v>
      </c>
      <c r="DQ26" s="189">
        <f>DP26*(0.0000000000000028)*up_RadSpec!$AY26*up_RadSpec!$AF26</f>
        <v>4.7789253504314862E-16</v>
      </c>
      <c r="DR26" s="40">
        <f t="shared" si="16"/>
        <v>1375</v>
      </c>
      <c r="DS26" s="40">
        <f>IFERROR(IF(up_RadSpec!D26&lt;&gt;"",s_C*s_IFA_far_adj*s_K*up_RadSpec!D26,0),".")</f>
        <v>0</v>
      </c>
      <c r="DT26" s="40">
        <f t="shared" si="17"/>
        <v>0.12557077625570776</v>
      </c>
      <c r="DU26" s="40">
        <f>up_b2w!CC26</f>
        <v>30407.313038114935</v>
      </c>
      <c r="DV26" s="40">
        <f>IFERROR(s_C*up_RadSpec!AJ26*(1/1000)*s_IFFI_far_adj*s_CF_far_fish,0)</f>
        <v>37.8125</v>
      </c>
      <c r="DW26" s="40">
        <f>IFERROR(s_C*up_RadSpec!AK26*(1/1000)*s_IFSF_far_adj*s_CF_far_shellfish,0)</f>
        <v>37.8125</v>
      </c>
      <c r="DX26" s="40">
        <f>(s_C*s_IFB_far_adj*s_CF_far_beef*up_RadSpec!AI26*s_Q_w_beef*(1/1000))</f>
        <v>189.0625</v>
      </c>
      <c r="DY26" s="40">
        <f>(s_C*s_IFD_far_adj*s_CF_far_dairy*up_RadSpec!AH26*(1/s_D_milk)*s_Q_w_dairy*(1/1000))</f>
        <v>183.55582524271844</v>
      </c>
      <c r="DZ26" s="40">
        <f>IFERROR((s_C*s_IFSW_far_adj*s_CF_far_swine*up_RadSpec!AN26*s_Q_w_swine*(1/1000)),0)</f>
        <v>189.0625</v>
      </c>
      <c r="EA26" s="40">
        <f>IFERROR((s_C*s_IFP_far_adj*s_CF_far_poultry*up_RadSpec!AL26*s_Q_w_poultry*(1/1000)),0)</f>
        <v>189.0625</v>
      </c>
      <c r="EB26" s="40">
        <f>IFERROR((s_C*s_IFE_far_adj*s_CF_far_egg*up_RadSpec!AM26*s_Q_w_egg*(1/1000)),0)</f>
        <v>189.0625</v>
      </c>
      <c r="EC26" s="40">
        <f>IFERROR((s_C*s_IFGO_far_adj*s_CF_far_goat*up_RadSpec!AQ26*s_Q_p_goat*(1/1000)),0)</f>
        <v>189.0625</v>
      </c>
      <c r="ED26" s="40">
        <f>IFERROR((s_C*s_IFGM_far_adj*s_CF_far_goat_milk*up_RadSpec!AR26*(1/s_D_milk)*s_Q_p_goat_milk*(1/1000)),0)</f>
        <v>183.55582524271844</v>
      </c>
      <c r="EE26" s="40">
        <f>IFERROR((s_C*s_IFSH_far_adj*s_CF_far_sheep*up_RadSpec!AO26*s_Q_p_sheep*(1/1000)),0)</f>
        <v>189.0625</v>
      </c>
      <c r="EF26" s="40">
        <f>IFERROR((s_C*s_IFSM_far_adj*s_CF_far_sheep_milk*up_RadSpec!AP26*(1/s_D_milk)*s_Q_p_sheep_milk*(1/1000)),0)</f>
        <v>183.55582524271844</v>
      </c>
      <c r="EG26" s="5"/>
      <c r="EH26" s="15">
        <f>IFERROR((s_DL/(up_RadSpec!H26*s_IFA_far_adj)),".")</f>
        <v>9.9740259740259754E-3</v>
      </c>
      <c r="EI26" s="15">
        <f>IFERROR((s_DL/(up_RadSpec!K26*s_EF_far*(1/365)*1*s_ET_far*(1/24)*s_GSF_a)),".")</f>
        <v>63.709090909090911</v>
      </c>
      <c r="EJ26" s="15">
        <f t="shared" si="25"/>
        <v>9.9724647271019675E-3</v>
      </c>
      <c r="EK26" s="189">
        <f>EJ26*(0.0000000000000028)*up_RadSpec!$AY26*up_RadSpec!$AF26</f>
        <v>3.1971721915088906E-14</v>
      </c>
      <c r="EL26" s="40">
        <f t="shared" si="19"/>
        <v>501.30208333333326</v>
      </c>
      <c r="EM26" s="40">
        <f t="shared" si="20"/>
        <v>7.8481735159817351E-2</v>
      </c>
      <c r="EN26" s="113"/>
    </row>
    <row r="27" spans="1:144" customFormat="1" x14ac:dyDescent="0.25">
      <c r="A27" s="44" t="s">
        <v>25</v>
      </c>
      <c r="B27" s="42" t="s">
        <v>1057</v>
      </c>
      <c r="C27" s="238"/>
      <c r="D27" s="15">
        <f>up_dir!AC27</f>
        <v>1.6528925619834712E-4</v>
      </c>
      <c r="E27" s="15">
        <f>IFERROR(s_DL/(up_RadSpec!F27*s_IFP_far_adj*s_CF_far_poultry),".")</f>
        <v>6.6115702479338848E-4</v>
      </c>
      <c r="F27" s="15">
        <f>IFERROR(s_DL/(up_RadSpec!F27*s_IFE_far_adj*s_CF_far_egg),".")</f>
        <v>6.6115702479338848E-4</v>
      </c>
      <c r="G27" s="15">
        <f>IFERROR(s_DL/(up_RadSpec!F27*s_IFB_far_adj*s_CF_far_beef),".")</f>
        <v>6.6115702479338848E-4</v>
      </c>
      <c r="H27" s="15">
        <f>IFERROR(s_DL/(up_RadSpec!F27*s_IFD_far_adj*s_CF_far_dairy),".")</f>
        <v>6.6115702479338848E-4</v>
      </c>
      <c r="I27" s="15">
        <f>IFERROR(s_DL/(up_RadSpec!F27*s_IFSW_far_adj*s_CF_far_swine),".")</f>
        <v>6.6115702479338848E-4</v>
      </c>
      <c r="J27" s="15">
        <f>IFERROR(s_DL/(up_RadSpec!F27*s_IFFI_far_adj*s_CF_far_fish),".")</f>
        <v>6.6115702479338848E-4</v>
      </c>
      <c r="K27" s="15">
        <f>IFERROR(s_DL/(up_RadSpec!F27*s_IFSF_far_adj*s_CF_far_shellfish),".")</f>
        <v>6.6115702479338848E-4</v>
      </c>
      <c r="L27" s="15">
        <f>IFERROR(s_DL/(up_RadSpec!F27*s_IFGO_far_adj*s_CF_far_goat),".")</f>
        <v>6.6115702479338848E-4</v>
      </c>
      <c r="M27" s="15">
        <f>IFERROR(s_DL/(up_RadSpec!F27*s_IFSH_far_adj*s_CF_far_sheep),".")</f>
        <v>6.6115702479338848E-4</v>
      </c>
      <c r="N27" s="15">
        <f>IFERROR(s_DL/(up_RadSpec!F27*s_IFGM_far_adj*s_CF_far_goat_milk),".")</f>
        <v>6.6115702479338848E-4</v>
      </c>
      <c r="O27" s="15">
        <f>IFERROR(s_DL/(up_RadSpec!F27*s_IFSM_far_adj*s_CF_far_sheep_milk),".")</f>
        <v>6.6115702479338848E-4</v>
      </c>
      <c r="P27" s="111">
        <f t="shared" si="21"/>
        <v>1512.5</v>
      </c>
      <c r="Q27" s="111">
        <f t="shared" si="21"/>
        <v>1512.5</v>
      </c>
      <c r="R27" s="111">
        <f t="shared" si="21"/>
        <v>1512.5</v>
      </c>
      <c r="S27" s="111">
        <f t="shared" si="21"/>
        <v>1512.5</v>
      </c>
      <c r="T27" s="111">
        <f t="shared" si="21"/>
        <v>1512.5</v>
      </c>
      <c r="U27" s="111">
        <f t="shared" si="21"/>
        <v>1512.5</v>
      </c>
      <c r="V27" s="111">
        <f t="shared" si="21"/>
        <v>1512.5</v>
      </c>
      <c r="W27" s="111">
        <f t="shared" si="21"/>
        <v>1512.5</v>
      </c>
      <c r="X27" s="111">
        <f t="shared" si="26"/>
        <v>1512.5</v>
      </c>
      <c r="Y27" s="111">
        <f t="shared" si="26"/>
        <v>1512.5</v>
      </c>
      <c r="Z27" s="111">
        <f t="shared" si="26"/>
        <v>1512.5</v>
      </c>
      <c r="AA27" s="111">
        <f t="shared" si="26"/>
        <v>1512.5</v>
      </c>
      <c r="AB27" s="15">
        <f t="shared" si="22"/>
        <v>5.5096418732782371E-5</v>
      </c>
      <c r="AC27" s="247">
        <f>IFERROR(AB27*(0.0000000000028)*up_RadSpec!$AY27*up_RadSpec!$AF27,0)</f>
        <v>1.5889807162534439E-13</v>
      </c>
      <c r="AD27" s="40">
        <f>up_dir!BC27</f>
        <v>30250</v>
      </c>
      <c r="AE27" s="40">
        <f t="shared" si="1"/>
        <v>7562.5</v>
      </c>
      <c r="AF27" s="40">
        <f t="shared" si="2"/>
        <v>7562.5</v>
      </c>
      <c r="AG27" s="40">
        <f t="shared" si="3"/>
        <v>7562.5</v>
      </c>
      <c r="AH27" s="40">
        <f t="shared" si="4"/>
        <v>7562.5</v>
      </c>
      <c r="AI27" s="40">
        <f t="shared" si="5"/>
        <v>7562.5</v>
      </c>
      <c r="AJ27" s="40">
        <f t="shared" si="6"/>
        <v>7562.5</v>
      </c>
      <c r="AK27" s="40">
        <f t="shared" si="7"/>
        <v>7562.5</v>
      </c>
      <c r="AL27" s="40">
        <f t="shared" si="8"/>
        <v>7562.5</v>
      </c>
      <c r="AM27" s="40">
        <f t="shared" si="9"/>
        <v>7562.5</v>
      </c>
      <c r="AN27" s="40">
        <f t="shared" si="10"/>
        <v>7562.5</v>
      </c>
      <c r="AO27" s="40">
        <f t="shared" si="11"/>
        <v>7562.5</v>
      </c>
      <c r="AP27" s="45">
        <f>IFERROR((s_DL/(up_RadSpec!E27*s_IFS_far_adj*(1/1000)))*1,".")</f>
        <v>0.33057851239669422</v>
      </c>
      <c r="AQ27" s="45">
        <f>IFERROR(IF(A27="H-3",(s_DL/(up_RadSpec!H27*s_IFA_far_adj*(1/17)*1000))*1,(s_DL/(up_RadSpec!H27*s_IFA_far_adj*(1/s_PEF_wind)*1000))*1),".")</f>
        <v>3089.9917851942919</v>
      </c>
      <c r="AR27" s="45">
        <f>IFERROR((s_DL/(up_RadSpec!G27*s_EF_far*(1/365)*1*up_RadSpec!R27*((s_ET_far_o*(1/24)*up_RadSpec!W27)+(s_ET_far_i*(1/24)*up_RadSpec!AB27))))*1,".")</f>
        <v>244.93101553235198</v>
      </c>
      <c r="AS27" s="45">
        <f>up_b2s!BC27</f>
        <v>3.2968835384132272E-5</v>
      </c>
      <c r="AT27" s="45">
        <f>IFERROR(((J27*up_RadSpec!AU27)/up_RadSpec!AJ27)*1,".")</f>
        <v>6.6115702479338848E-4</v>
      </c>
      <c r="AU27" s="45">
        <f>IFERROR(((K27*up_RadSpec!AU27)/up_RadSpec!AK27)*1,".")</f>
        <v>6.6115702479338848E-4</v>
      </c>
      <c r="AV27" s="45">
        <f>IFERROR((G27/(up_RadSpec!AI27*((s_Q_p_beef*s_f_p_beef*s_f_s_beef*(up_RadSpec!BD27+s_R_es_past))+(s_Q_s_beef*s_f_p_beef))))*1,".")</f>
        <v>1.8558793678410905E-7</v>
      </c>
      <c r="AW27" s="45">
        <f>IFERROR(((H27*s_D_milk)/(up_RadSpec!AH27*((s_Q_p_dairy*s_f_p_dairy*s_f_s_dairy*(up_RadSpec!BD27+s_R_es_past))+(s_Q_s_dairy*s_f_p_dairy))))*1,".")</f>
        <v>1.9115557488763231E-7</v>
      </c>
      <c r="AX27" s="45">
        <f>IFERROR((I27/(up_RadSpec!AN27*((s_Q_p_swine*s_f_p_swine*s_f_s_swine*(up_RadSpec!BD27+s_R_es_past))+(s_Q_s_swine*s_f_p_swine))))*1,".")</f>
        <v>1.8558793678410905E-7</v>
      </c>
      <c r="AY27" s="45">
        <f>IFERROR((E27/(up_RadSpec!AL27*((s_Q_p_poultry*s_f_p_poultry*s_f_s_poultry*(up_RadSpec!BD27+s_R_es_past))+(s_Q_s_poultry*s_f_p_poultry))))*1,".")</f>
        <v>1.8558793678410905E-7</v>
      </c>
      <c r="AZ27" s="45">
        <f>IFERROR((F27/(up_RadSpec!AM27*((s_Q_p_poultry*s_f_p_poultry*s_f_s_poultry*(up_RadSpec!BD27+s_R_es_past))+(s_Q_s_poultry*s_f_p_poultry))))*1,".")</f>
        <v>1.8558793678410905E-7</v>
      </c>
      <c r="BA27" s="45">
        <f>IFERROR((L27/(up_RadSpec!AQ27*((s_Q_p_goat*s_f_p_goat*s_f_s_goat*(up_RadSpec!BD27+s_R_es_past))+(s_Q_s_goat*s_f_p_goat))))*1,".")</f>
        <v>1.8558793678410905E-7</v>
      </c>
      <c r="BB27" s="45">
        <f>IFERROR((N27*s_D_milk/(up_RadSpec!AR27*((s_Q_p_goat_milk*s_f_p_goat_milk*s_f_s_goat_milk*(up_RadSpec!BD27+s_R_es_past))+(s_Q_s_goat_milk*s_f_p_goat_milk))))*1,".")</f>
        <v>1.9115557488763231E-7</v>
      </c>
      <c r="BC27" s="45">
        <f>IFERROR((M27/(up_RadSpec!AO27*((s_Q_p_sheep*s_f_p_sheep*s_f_s_sheep*(up_RadSpec!BD27+s_R_es_past))+(s_Q_s_sheep*s_f_p_sheep))))*1,".")</f>
        <v>1.8558793678410905E-7</v>
      </c>
      <c r="BD27" s="45">
        <f>IFERROR((O27*s_D_milk/(up_RadSpec!AP27*((s_Q_p_sheep_milk*s_f_p_sheep_milk*s_f_s_sheep_milk*(up_RadSpec!BD27+s_R_es_past))+(s_Q_s_sheep_milk*s_f_p_sheep_milk))))*1,".")</f>
        <v>1.9115557488763231E-7</v>
      </c>
      <c r="BE27" s="111">
        <f t="shared" si="27"/>
        <v>3.0249999999999999</v>
      </c>
      <c r="BF27" s="111">
        <f t="shared" si="27"/>
        <v>3.236254558317935E-4</v>
      </c>
      <c r="BG27" s="111">
        <f t="shared" si="27"/>
        <v>4.0827822390174752E-3</v>
      </c>
      <c r="BH27" s="111">
        <f t="shared" si="27"/>
        <v>30331.674999999992</v>
      </c>
      <c r="BI27" s="111">
        <f t="shared" si="27"/>
        <v>1512.5</v>
      </c>
      <c r="BJ27" s="111">
        <f t="shared" si="27"/>
        <v>1512.5</v>
      </c>
      <c r="BK27" s="111">
        <f t="shared" si="27"/>
        <v>5388281.2499999991</v>
      </c>
      <c r="BL27" s="111">
        <f t="shared" si="27"/>
        <v>5231341.0194174759</v>
      </c>
      <c r="BM27" s="111">
        <f t="shared" si="27"/>
        <v>5388281.2499999991</v>
      </c>
      <c r="BN27" s="111">
        <f t="shared" si="27"/>
        <v>5388281.2499999991</v>
      </c>
      <c r="BO27" s="111">
        <f t="shared" si="27"/>
        <v>5388281.2499999991</v>
      </c>
      <c r="BP27" s="111">
        <f t="shared" si="27"/>
        <v>5388281.2499999991</v>
      </c>
      <c r="BQ27" s="111">
        <f t="shared" si="27"/>
        <v>5231341.0194174759</v>
      </c>
      <c r="BR27" s="111">
        <f t="shared" si="27"/>
        <v>5388281.2499999991</v>
      </c>
      <c r="BS27" s="111">
        <f t="shared" si="27"/>
        <v>5231341.0194174759</v>
      </c>
      <c r="BT27" s="15">
        <f t="shared" si="23"/>
        <v>2.0808592669807777E-8</v>
      </c>
      <c r="BU27" s="189">
        <f>IFERROR(BT27*(0.0000000000028)*up_RadSpec!$AY27*up_RadSpec!$AF27,0)</f>
        <v>6.0011981259725633E-17</v>
      </c>
      <c r="BV27" s="40">
        <f t="shared" si="13"/>
        <v>15.125</v>
      </c>
      <c r="BW27" s="40">
        <f t="shared" si="14"/>
        <v>1.6181272791589674E-3</v>
      </c>
      <c r="BX27" s="40">
        <f>IFERROR((s_C*s_EF_far*(1/365)*1*up_RadSpec!R27*((s_ET_far_o*(1/24)*up_RadSpec!W27)+(s_ET_far_i*(1/24)*up_RadSpec!AB27))),".")</f>
        <v>2.0413911195087377E-2</v>
      </c>
      <c r="BY27" s="40">
        <f>up_b2s!CC27</f>
        <v>151658.375</v>
      </c>
      <c r="BZ27" s="40">
        <f>IFERROR(((s_C*up_RadSpec!AJ27)/up_RadSpec!AU27)*s_IFFI_far_adj*s_CF_far_fish,0)</f>
        <v>7562.5</v>
      </c>
      <c r="CA27" s="40">
        <f>IFERROR(((s_C*up_RadSpec!AK27)/up_RadSpec!AU27)*s_IFSF_far_adj*s_CF_far_shellfish,0)</f>
        <v>7562.5</v>
      </c>
      <c r="CB27" s="40">
        <f>(s_C*s_IFB_far_adj*s_CF_far_beef*up_RadSpec!AI27*((s_Q_p_beef*s_f_p_beef*s_f_s_beef*(up_RadSpec!$AT27+s_R_es_past))+(s_Q_s_beef*s_f_p_beef)))</f>
        <v>26941406.25</v>
      </c>
      <c r="CC27" s="40">
        <f>(s_C*s_IFD_far_adj*s_CF_far_dairy*up_RadSpec!AH27*1/s_D_milk*((s_Q_p_dairy*s_f_p_dairy*s_f_s_dairy*(up_RadSpec!$AT27+s_R_es_past))+(s_Q_s_dairy*s_f_p_dairy)))</f>
        <v>26156705.09708738</v>
      </c>
      <c r="CD27" s="40">
        <f>IFERROR((s_C*s_IFSW_far_adj*s_CF_far_swine*up_RadSpec!AN27*((s_Q_p_swine*s_f_p_swine*s_f_s_swine*(up_RadSpec!$AT27+s_R_es_past))+(s_Q_s_swine*s_f_p_swine))),0)</f>
        <v>26941406.25</v>
      </c>
      <c r="CE27" s="40">
        <f>IFERROR((s_C*s_IFP_far_adj*s_CF_far_poultry*up_RadSpec!AL27*((s_Q_p_poultry*s_f_p_poultry*s_f_s_poultry*(up_RadSpec!AT27+s_R_es_past))+(s_Q_s_poultry*s_f_p_poultry))),0)</f>
        <v>26941406.25</v>
      </c>
      <c r="CF27" s="40">
        <f>IFERROR((s_C*s_IFE_far_adj*s_CF_far_egg*up_RadSpec!AM27*((s_Q_p_egg*s_f_p_egg*s_f_s_egg*(up_RadSpec!$AT27+s_R_es_past))+(s_Q_s_egg*s_f_p_egg))),0)</f>
        <v>26941406.25</v>
      </c>
      <c r="CG27" s="40">
        <f>IFERROR((s_C*s_IFGO_far_adj*s_CF_far_goat*up_RadSpec!AQ27*((s_Q_p_goat*s_f_p_goat*s_f_s_goat*(up_RadSpec!$AT27+s_R_es_past))+(s_Q_s_goat*s_f_p_goat))),0)</f>
        <v>26941406.25</v>
      </c>
      <c r="CH27" s="40">
        <f>IFERROR((s_C*s_IFGM_far_adj*s_CF_far_goat_milk*up_RadSpec!AR27*1/s_D_milk*((s_Q_p_goat_milk*s_f_p_goat_milk*s_f_s_goat_milk*(up_RadSpec!$AT27+s_R_es_past))+(s_Q_s_goat_milk*s_f_p_goat_milk))),0)</f>
        <v>26156705.09708738</v>
      </c>
      <c r="CI27" s="40">
        <f>IFERROR((s_C*s_IFSH_far_adj*s_CF_far_sheep*up_RadSpec!AO27*((s_Q_p_sheep*s_f_p_sheep*s_f_s_sheep*(up_RadSpec!$AT27+s_R_es_past))+(s_Q_s_sheep*s_f_p_sheep))),0)</f>
        <v>26941406.25</v>
      </c>
      <c r="CJ27" s="40">
        <f>IFERROR((s_C*s_IFSM_far_adj*s_CF_far_sheep_milk*up_RadSpec!AP27*1/s_D_milk*((s_Q_p_sheep_milk*s_f_p_sheep_milk*s_f_s_sheep_milk*(up_RadSpec!$AT27+s_R_es_past))+(s_Q_s_sheep_milk*s_f_p_sheep_milk))),0)</f>
        <v>26156705.09708738</v>
      </c>
      <c r="CK27" s="18"/>
      <c r="CL27" s="15">
        <f>IFERROR(s_DL/(up_RadSpec!I27*s_IFW_far_adj),".")</f>
        <v>3.6363636363636364E-3</v>
      </c>
      <c r="CM27" s="15" t="str">
        <f>IFERROR(IF(AND(up_RadSpec!C27=1,up_RadSpec!D27&lt;&gt;0),s_DL/(up_RadSpec!H27*s_IFA_far_adj*s_K*up_RadSpec!D27),"."),".")</f>
        <v>.</v>
      </c>
      <c r="CN27" s="15">
        <f>IFERROR((s_DL/(up_RadSpec!M27*(1/8760)*s_DFA_far_adj)),".")</f>
        <v>39.81818181818182</v>
      </c>
      <c r="CO27" s="15">
        <f>up_b2w!BC27</f>
        <v>1.6443412786038033E-4</v>
      </c>
      <c r="CP27" s="15">
        <f>IFERROR(J27/(up_RadSpec!AJ27*(1/1000)),".")</f>
        <v>0.13223140495867769</v>
      </c>
      <c r="CQ27" s="15">
        <f>IFERROR(K27/(up_RadSpec!AK27*(1/1000)),".")</f>
        <v>0.13223140495867769</v>
      </c>
      <c r="CR27" s="15">
        <f>IFERROR(G27/(up_RadSpec!AI27*s_Q_w_beef*(1/1000)),".")</f>
        <v>2.6446280991735537E-2</v>
      </c>
      <c r="CS27" s="15">
        <f>IFERROR((H27*s_D_milk)/(up_RadSpec!AH27*s_Q_w_dairy*(1/1000)),".")</f>
        <v>2.7239669421487603E-2</v>
      </c>
      <c r="CT27" s="15">
        <f>IFERROR(I27/(up_RadSpec!AN27*s_Q_w_swine*(1/1000)),".")</f>
        <v>2.6446280991735537E-2</v>
      </c>
      <c r="CU27" s="15">
        <f>IFERROR(E27/(up_RadSpec!AL27*s_Q_w_poultry*(1/1000)),".")</f>
        <v>2.6446280991735537E-2</v>
      </c>
      <c r="CV27" s="15">
        <f>IFERROR(F27/(up_RadSpec!AM27*s_Q_w_poultry*(1/1000)),".")</f>
        <v>2.6446280991735537E-2</v>
      </c>
      <c r="CW27" s="15">
        <f>IFERROR(L27/(up_RadSpec!AQ27*s_Q_w_goat*(1/1000)),".")</f>
        <v>2.6446280991735537E-2</v>
      </c>
      <c r="CX27" s="15">
        <f>IFERROR(N27*s_D_milk/(up_RadSpec!AR27*s_Q_w_goat_milk*(1/1000)),".")</f>
        <v>2.7239669421487603E-2</v>
      </c>
      <c r="CY27" s="15">
        <f>IFERROR(M27/(up_RadSpec!AO27*s_Q_w_sheep*(1/1000)),".")</f>
        <v>2.6446280991735537E-2</v>
      </c>
      <c r="CZ27" s="15">
        <f>IFERROR(O27*s_D_milk/(up_RadSpec!AP27*s_Q_w_sheep_milk*(1/1000)),".")</f>
        <v>2.7239669421487603E-2</v>
      </c>
      <c r="DA27" s="111">
        <f t="shared" si="28"/>
        <v>275</v>
      </c>
      <c r="DB27" s="111" t="str">
        <f t="shared" si="28"/>
        <v>.</v>
      </c>
      <c r="DC27" s="111">
        <f t="shared" si="28"/>
        <v>2.5114155251141551E-2</v>
      </c>
      <c r="DD27" s="111">
        <f t="shared" si="28"/>
        <v>6081.4626076229861</v>
      </c>
      <c r="DE27" s="111">
        <f t="shared" si="28"/>
        <v>7.5625</v>
      </c>
      <c r="DF27" s="111">
        <f t="shared" si="28"/>
        <v>7.5625</v>
      </c>
      <c r="DG27" s="111">
        <f t="shared" si="28"/>
        <v>37.8125</v>
      </c>
      <c r="DH27" s="111">
        <f t="shared" si="28"/>
        <v>36.711165048543691</v>
      </c>
      <c r="DI27" s="111">
        <f t="shared" si="28"/>
        <v>37.8125</v>
      </c>
      <c r="DJ27" s="111">
        <f t="shared" si="28"/>
        <v>37.8125</v>
      </c>
      <c r="DK27" s="111">
        <f t="shared" si="28"/>
        <v>37.8125</v>
      </c>
      <c r="DL27" s="111">
        <f t="shared" si="28"/>
        <v>37.8125</v>
      </c>
      <c r="DM27" s="111">
        <f t="shared" si="28"/>
        <v>36.711165048543691</v>
      </c>
      <c r="DN27" s="111">
        <f t="shared" si="28"/>
        <v>37.8125</v>
      </c>
      <c r="DO27" s="111">
        <f t="shared" si="28"/>
        <v>36.711165048543691</v>
      </c>
      <c r="DP27" s="15">
        <f t="shared" si="24"/>
        <v>1.4906192608956598E-4</v>
      </c>
      <c r="DQ27" s="189">
        <f>DP27*(0.0000000000000028)*up_RadSpec!$AY27*up_RadSpec!$AF27</f>
        <v>4.2989459484230836E-16</v>
      </c>
      <c r="DR27" s="40">
        <f t="shared" si="16"/>
        <v>1375</v>
      </c>
      <c r="DS27" s="40">
        <f>IFERROR(IF(up_RadSpec!D27&lt;&gt;"",s_C*s_IFA_far_adj*s_K*up_RadSpec!D27,0),".")</f>
        <v>0</v>
      </c>
      <c r="DT27" s="40">
        <f t="shared" si="17"/>
        <v>0.12557077625570776</v>
      </c>
      <c r="DU27" s="40">
        <f>up_b2w!CC27</f>
        <v>30407.313038114935</v>
      </c>
      <c r="DV27" s="40">
        <f>IFERROR(s_C*up_RadSpec!AJ27*(1/1000)*s_IFFI_far_adj*s_CF_far_fish,0)</f>
        <v>37.8125</v>
      </c>
      <c r="DW27" s="40">
        <f>IFERROR(s_C*up_RadSpec!AK27*(1/1000)*s_IFSF_far_adj*s_CF_far_shellfish,0)</f>
        <v>37.8125</v>
      </c>
      <c r="DX27" s="40">
        <f>(s_C*s_IFB_far_adj*s_CF_far_beef*up_RadSpec!AI27*s_Q_w_beef*(1/1000))</f>
        <v>189.0625</v>
      </c>
      <c r="DY27" s="40">
        <f>(s_C*s_IFD_far_adj*s_CF_far_dairy*up_RadSpec!AH27*(1/s_D_milk)*s_Q_w_dairy*(1/1000))</f>
        <v>183.55582524271844</v>
      </c>
      <c r="DZ27" s="40">
        <f>IFERROR((s_C*s_IFSW_far_adj*s_CF_far_swine*up_RadSpec!AN27*s_Q_w_swine*(1/1000)),0)</f>
        <v>189.0625</v>
      </c>
      <c r="EA27" s="40">
        <f>IFERROR((s_C*s_IFP_far_adj*s_CF_far_poultry*up_RadSpec!AL27*s_Q_w_poultry*(1/1000)),0)</f>
        <v>189.0625</v>
      </c>
      <c r="EB27" s="40">
        <f>IFERROR((s_C*s_IFE_far_adj*s_CF_far_egg*up_RadSpec!AM27*s_Q_w_egg*(1/1000)),0)</f>
        <v>189.0625</v>
      </c>
      <c r="EC27" s="40">
        <f>IFERROR((s_C*s_IFGO_far_adj*s_CF_far_goat*up_RadSpec!AQ27*s_Q_p_goat*(1/1000)),0)</f>
        <v>189.0625</v>
      </c>
      <c r="ED27" s="40">
        <f>IFERROR((s_C*s_IFGM_far_adj*s_CF_far_goat_milk*up_RadSpec!AR27*(1/s_D_milk)*s_Q_p_goat_milk*(1/1000)),0)</f>
        <v>183.55582524271844</v>
      </c>
      <c r="EE27" s="40">
        <f>IFERROR((s_C*s_IFSH_far_adj*s_CF_far_sheep*up_RadSpec!AO27*s_Q_p_sheep*(1/1000)),0)</f>
        <v>189.0625</v>
      </c>
      <c r="EF27" s="40">
        <f>IFERROR((s_C*s_IFSM_far_adj*s_CF_far_sheep_milk*up_RadSpec!AP27*(1/s_D_milk)*s_Q_p_sheep_milk*(1/1000)),0)</f>
        <v>183.55582524271844</v>
      </c>
      <c r="EG27" s="5"/>
      <c r="EH27" s="15">
        <f>IFERROR((s_DL/(up_RadSpec!H27*s_IFA_far_adj)),".")</f>
        <v>9.9740259740259754E-3</v>
      </c>
      <c r="EI27" s="15">
        <f>IFERROR((s_DL/(up_RadSpec!K27*s_EF_far*(1/365)*1*s_ET_far*(1/24)*s_GSF_a)),".")</f>
        <v>63.709090909090911</v>
      </c>
      <c r="EJ27" s="15">
        <f t="shared" si="25"/>
        <v>9.9724647271019675E-3</v>
      </c>
      <c r="EK27" s="189">
        <f>EJ27*(0.0000000000000028)*up_RadSpec!$AY27*up_RadSpec!$AF27</f>
        <v>2.8760588272962077E-14</v>
      </c>
      <c r="EL27" s="40">
        <f t="shared" si="19"/>
        <v>501.30208333333326</v>
      </c>
      <c r="EM27" s="40">
        <f t="shared" si="20"/>
        <v>7.8481735159817351E-2</v>
      </c>
      <c r="EN27" s="113"/>
    </row>
    <row r="28" spans="1:144" customFormat="1" x14ac:dyDescent="0.25">
      <c r="A28" s="44" t="s">
        <v>26</v>
      </c>
      <c r="B28" s="42" t="s">
        <v>1057</v>
      </c>
      <c r="C28" s="42"/>
      <c r="D28" s="15">
        <f>up_dir!AC28</f>
        <v>1.6528925619834712E-4</v>
      </c>
      <c r="E28" s="15">
        <f>IFERROR(s_DL/(up_RadSpec!F28*s_IFP_far_adj*s_CF_far_poultry),".")</f>
        <v>6.6115702479338848E-4</v>
      </c>
      <c r="F28" s="15">
        <f>IFERROR(s_DL/(up_RadSpec!F28*s_IFE_far_adj*s_CF_far_egg),".")</f>
        <v>6.6115702479338848E-4</v>
      </c>
      <c r="G28" s="15">
        <f>IFERROR(s_DL/(up_RadSpec!F28*s_IFB_far_adj*s_CF_far_beef),".")</f>
        <v>6.6115702479338848E-4</v>
      </c>
      <c r="H28" s="15">
        <f>IFERROR(s_DL/(up_RadSpec!F28*s_IFD_far_adj*s_CF_far_dairy),".")</f>
        <v>6.6115702479338848E-4</v>
      </c>
      <c r="I28" s="15">
        <f>IFERROR(s_DL/(up_RadSpec!F28*s_IFSW_far_adj*s_CF_far_swine),".")</f>
        <v>6.6115702479338848E-4</v>
      </c>
      <c r="J28" s="15">
        <f>IFERROR(s_DL/(up_RadSpec!F28*s_IFFI_far_adj*s_CF_far_fish),".")</f>
        <v>6.6115702479338848E-4</v>
      </c>
      <c r="K28" s="15">
        <f>IFERROR(s_DL/(up_RadSpec!F28*s_IFSF_far_adj*s_CF_far_shellfish),".")</f>
        <v>6.6115702479338848E-4</v>
      </c>
      <c r="L28" s="15">
        <f>IFERROR(s_DL/(up_RadSpec!F28*s_IFGO_far_adj*s_CF_far_goat),".")</f>
        <v>6.6115702479338848E-4</v>
      </c>
      <c r="M28" s="15">
        <f>IFERROR(s_DL/(up_RadSpec!F28*s_IFSH_far_adj*s_CF_far_sheep),".")</f>
        <v>6.6115702479338848E-4</v>
      </c>
      <c r="N28" s="15">
        <f>IFERROR(s_DL/(up_RadSpec!F28*s_IFGM_far_adj*s_CF_far_goat_milk),".")</f>
        <v>6.6115702479338848E-4</v>
      </c>
      <c r="O28" s="15">
        <f>IFERROR(s_DL/(up_RadSpec!F28*s_IFSM_far_adj*s_CF_far_sheep_milk),".")</f>
        <v>6.6115702479338848E-4</v>
      </c>
      <c r="P28" s="111">
        <f t="shared" si="21"/>
        <v>1512.5</v>
      </c>
      <c r="Q28" s="111">
        <f t="shared" si="21"/>
        <v>1512.5</v>
      </c>
      <c r="R28" s="111">
        <f t="shared" si="21"/>
        <v>1512.5</v>
      </c>
      <c r="S28" s="111">
        <f t="shared" si="21"/>
        <v>1512.5</v>
      </c>
      <c r="T28" s="111">
        <f t="shared" si="21"/>
        <v>1512.5</v>
      </c>
      <c r="U28" s="111">
        <f t="shared" si="21"/>
        <v>1512.5</v>
      </c>
      <c r="V28" s="111">
        <f t="shared" si="21"/>
        <v>1512.5</v>
      </c>
      <c r="W28" s="111">
        <f t="shared" si="21"/>
        <v>1512.5</v>
      </c>
      <c r="X28" s="111">
        <f t="shared" si="26"/>
        <v>1512.5</v>
      </c>
      <c r="Y28" s="111">
        <f t="shared" si="26"/>
        <v>1512.5</v>
      </c>
      <c r="Z28" s="111">
        <f t="shared" si="26"/>
        <v>1512.5</v>
      </c>
      <c r="AA28" s="111">
        <f t="shared" si="26"/>
        <v>1512.5</v>
      </c>
      <c r="AB28" s="15">
        <f t="shared" si="22"/>
        <v>5.5096418732782371E-5</v>
      </c>
      <c r="AC28" s="247">
        <f>IFERROR(AB28*(0.0000000000028)*up_RadSpec!$AY28*up_RadSpec!$AF28,0)</f>
        <v>1.6121212121212123E-13</v>
      </c>
      <c r="AD28" s="40">
        <f>up_dir!BC28</f>
        <v>30250</v>
      </c>
      <c r="AE28" s="40">
        <f t="shared" si="1"/>
        <v>7562.5</v>
      </c>
      <c r="AF28" s="40">
        <f t="shared" si="2"/>
        <v>7562.5</v>
      </c>
      <c r="AG28" s="40">
        <f t="shared" si="3"/>
        <v>7562.5</v>
      </c>
      <c r="AH28" s="40">
        <f t="shared" si="4"/>
        <v>7562.5</v>
      </c>
      <c r="AI28" s="40">
        <f t="shared" si="5"/>
        <v>7562.5</v>
      </c>
      <c r="AJ28" s="40">
        <f t="shared" si="6"/>
        <v>7562.5</v>
      </c>
      <c r="AK28" s="40">
        <f t="shared" si="7"/>
        <v>7562.5</v>
      </c>
      <c r="AL28" s="40">
        <f t="shared" si="8"/>
        <v>7562.5</v>
      </c>
      <c r="AM28" s="40">
        <f t="shared" si="9"/>
        <v>7562.5</v>
      </c>
      <c r="AN28" s="40">
        <f t="shared" si="10"/>
        <v>7562.5</v>
      </c>
      <c r="AO28" s="40">
        <f t="shared" si="11"/>
        <v>7562.5</v>
      </c>
      <c r="AP28" s="45">
        <f>IFERROR((s_DL/(up_RadSpec!E28*s_IFS_far_adj*(1/1000)))*1,".")</f>
        <v>0.33057851239669422</v>
      </c>
      <c r="AQ28" s="45">
        <f>IFERROR(IF(A28="H-3",(s_DL/(up_RadSpec!H28*s_IFA_far_adj*(1/17)*1000))*1,(s_DL/(up_RadSpec!H28*s_IFA_far_adj*(1/s_PEF_wind)*1000))*1),".")</f>
        <v>3089.9917851942919</v>
      </c>
      <c r="AR28" s="45">
        <f>IFERROR((s_DL/(up_RadSpec!G28*s_EF_far*(1/365)*1*up_RadSpec!R28*((s_ET_far_o*(1/24)*up_RadSpec!W28)+(s_ET_far_i*(1/24)*up_RadSpec!AB28))))*1,".")</f>
        <v>108.38418481730584</v>
      </c>
      <c r="AS28" s="45">
        <f>up_b2s!BC28</f>
        <v>3.2968835384132272E-5</v>
      </c>
      <c r="AT28" s="45">
        <f>IFERROR(((J28*up_RadSpec!AU28)/up_RadSpec!AJ28)*1,".")</f>
        <v>6.6115702479338848E-4</v>
      </c>
      <c r="AU28" s="45">
        <f>IFERROR(((K28*up_RadSpec!AU28)/up_RadSpec!AK28)*1,".")</f>
        <v>6.6115702479338848E-4</v>
      </c>
      <c r="AV28" s="45">
        <f>IFERROR((G28/(up_RadSpec!AI28*((s_Q_p_beef*s_f_p_beef*s_f_s_beef*(up_RadSpec!BD28+s_R_es_past))+(s_Q_s_beef*s_f_p_beef))))*1,".")</f>
        <v>1.8558793678410905E-7</v>
      </c>
      <c r="AW28" s="45">
        <f>IFERROR(((H28*s_D_milk)/(up_RadSpec!AH28*((s_Q_p_dairy*s_f_p_dairy*s_f_s_dairy*(up_RadSpec!BD28+s_R_es_past))+(s_Q_s_dairy*s_f_p_dairy))))*1,".")</f>
        <v>1.9115557488763231E-7</v>
      </c>
      <c r="AX28" s="45">
        <f>IFERROR((I28/(up_RadSpec!AN28*((s_Q_p_swine*s_f_p_swine*s_f_s_swine*(up_RadSpec!BD28+s_R_es_past))+(s_Q_s_swine*s_f_p_swine))))*1,".")</f>
        <v>1.8558793678410905E-7</v>
      </c>
      <c r="AY28" s="45">
        <f>IFERROR((E28/(up_RadSpec!AL28*((s_Q_p_poultry*s_f_p_poultry*s_f_s_poultry*(up_RadSpec!BD28+s_R_es_past))+(s_Q_s_poultry*s_f_p_poultry))))*1,".")</f>
        <v>1.8558793678410905E-7</v>
      </c>
      <c r="AZ28" s="45">
        <f>IFERROR((F28/(up_RadSpec!AM28*((s_Q_p_poultry*s_f_p_poultry*s_f_s_poultry*(up_RadSpec!BD28+s_R_es_past))+(s_Q_s_poultry*s_f_p_poultry))))*1,".")</f>
        <v>1.8558793678410905E-7</v>
      </c>
      <c r="BA28" s="45">
        <f>IFERROR((L28/(up_RadSpec!AQ28*((s_Q_p_goat*s_f_p_goat*s_f_s_goat*(up_RadSpec!BD28+s_R_es_past))+(s_Q_s_goat*s_f_p_goat))))*1,".")</f>
        <v>1.8558793678410905E-7</v>
      </c>
      <c r="BB28" s="45">
        <f>IFERROR((N28*s_D_milk/(up_RadSpec!AR28*((s_Q_p_goat_milk*s_f_p_goat_milk*s_f_s_goat_milk*(up_RadSpec!BD28+s_R_es_past))+(s_Q_s_goat_milk*s_f_p_goat_milk))))*1,".")</f>
        <v>1.9115557488763231E-7</v>
      </c>
      <c r="BC28" s="45">
        <f>IFERROR((M28/(up_RadSpec!AO28*((s_Q_p_sheep*s_f_p_sheep*s_f_s_sheep*(up_RadSpec!BD28+s_R_es_past))+(s_Q_s_sheep*s_f_p_sheep))))*1,".")</f>
        <v>1.8558793678410905E-7</v>
      </c>
      <c r="BD28" s="45">
        <f>IFERROR((O28*s_D_milk/(up_RadSpec!AP28*((s_Q_p_sheep_milk*s_f_p_sheep_milk*s_f_s_sheep_milk*(up_RadSpec!BD28+s_R_es_past))+(s_Q_s_sheep_milk*s_f_p_sheep_milk))))*1,".")</f>
        <v>1.9115557488763231E-7</v>
      </c>
      <c r="BE28" s="111">
        <f t="shared" si="27"/>
        <v>3.0249999999999999</v>
      </c>
      <c r="BF28" s="111">
        <f t="shared" si="27"/>
        <v>3.236254558317935E-4</v>
      </c>
      <c r="BG28" s="111">
        <f t="shared" si="27"/>
        <v>9.2264383561643827E-3</v>
      </c>
      <c r="BH28" s="111">
        <f t="shared" si="27"/>
        <v>30331.674999999992</v>
      </c>
      <c r="BI28" s="111">
        <f t="shared" si="27"/>
        <v>1512.5</v>
      </c>
      <c r="BJ28" s="111">
        <f t="shared" si="27"/>
        <v>1512.5</v>
      </c>
      <c r="BK28" s="111">
        <f t="shared" si="27"/>
        <v>5388281.2499999991</v>
      </c>
      <c r="BL28" s="111">
        <f t="shared" si="27"/>
        <v>5231341.0194174759</v>
      </c>
      <c r="BM28" s="111">
        <f t="shared" si="27"/>
        <v>5388281.2499999991</v>
      </c>
      <c r="BN28" s="111">
        <f t="shared" si="27"/>
        <v>5388281.2499999991</v>
      </c>
      <c r="BO28" s="111">
        <f t="shared" si="27"/>
        <v>5388281.2499999991</v>
      </c>
      <c r="BP28" s="111">
        <f t="shared" si="27"/>
        <v>5388281.2499999991</v>
      </c>
      <c r="BQ28" s="111">
        <f t="shared" si="27"/>
        <v>5231341.0194174759</v>
      </c>
      <c r="BR28" s="111">
        <f t="shared" si="27"/>
        <v>5388281.2499999991</v>
      </c>
      <c r="BS28" s="111">
        <f t="shared" si="27"/>
        <v>5231341.0194174759</v>
      </c>
      <c r="BT28" s="15">
        <f t="shared" si="23"/>
        <v>2.0808592667580587E-8</v>
      </c>
      <c r="BU28" s="189">
        <f>IFERROR(BT28*(0.0000000000028)*up_RadSpec!$AY28*up_RadSpec!$AF28,0)</f>
        <v>6.0885942145340801E-17</v>
      </c>
      <c r="BV28" s="40">
        <f t="shared" si="13"/>
        <v>15.125</v>
      </c>
      <c r="BW28" s="40">
        <f t="shared" si="14"/>
        <v>1.6181272791589674E-3</v>
      </c>
      <c r="BX28" s="40">
        <f>IFERROR((s_C*s_EF_far*(1/365)*1*up_RadSpec!R28*((s_ET_far_o*(1/24)*up_RadSpec!W28)+(s_ET_far_i*(1/24)*up_RadSpec!AB28))),".")</f>
        <v>4.6132191780821917E-2</v>
      </c>
      <c r="BY28" s="40">
        <f>up_b2s!CC28</f>
        <v>151658.375</v>
      </c>
      <c r="BZ28" s="40">
        <f>IFERROR(((s_C*up_RadSpec!AJ28)/up_RadSpec!AU28)*s_IFFI_far_adj*s_CF_far_fish,0)</f>
        <v>7562.5</v>
      </c>
      <c r="CA28" s="40">
        <f>IFERROR(((s_C*up_RadSpec!AK28)/up_RadSpec!AU28)*s_IFSF_far_adj*s_CF_far_shellfish,0)</f>
        <v>7562.5</v>
      </c>
      <c r="CB28" s="40">
        <f>(s_C*s_IFB_far_adj*s_CF_far_beef*up_RadSpec!AI28*((s_Q_p_beef*s_f_p_beef*s_f_s_beef*(up_RadSpec!$AT28+s_R_es_past))+(s_Q_s_beef*s_f_p_beef)))</f>
        <v>26941406.25</v>
      </c>
      <c r="CC28" s="40">
        <f>(s_C*s_IFD_far_adj*s_CF_far_dairy*up_RadSpec!AH28*1/s_D_milk*((s_Q_p_dairy*s_f_p_dairy*s_f_s_dairy*(up_RadSpec!$AT28+s_R_es_past))+(s_Q_s_dairy*s_f_p_dairy)))</f>
        <v>26156705.09708738</v>
      </c>
      <c r="CD28" s="40">
        <f>IFERROR((s_C*s_IFSW_far_adj*s_CF_far_swine*up_RadSpec!AN28*((s_Q_p_swine*s_f_p_swine*s_f_s_swine*(up_RadSpec!$AT28+s_R_es_past))+(s_Q_s_swine*s_f_p_swine))),0)</f>
        <v>26941406.25</v>
      </c>
      <c r="CE28" s="40">
        <f>IFERROR((s_C*s_IFP_far_adj*s_CF_far_poultry*up_RadSpec!AL28*((s_Q_p_poultry*s_f_p_poultry*s_f_s_poultry*(up_RadSpec!AT28+s_R_es_past))+(s_Q_s_poultry*s_f_p_poultry))),0)</f>
        <v>26941406.25</v>
      </c>
      <c r="CF28" s="40">
        <f>IFERROR((s_C*s_IFE_far_adj*s_CF_far_egg*up_RadSpec!AM28*((s_Q_p_egg*s_f_p_egg*s_f_s_egg*(up_RadSpec!$AT28+s_R_es_past))+(s_Q_s_egg*s_f_p_egg))),0)</f>
        <v>26941406.25</v>
      </c>
      <c r="CG28" s="40">
        <f>IFERROR((s_C*s_IFGO_far_adj*s_CF_far_goat*up_RadSpec!AQ28*((s_Q_p_goat*s_f_p_goat*s_f_s_goat*(up_RadSpec!$AT28+s_R_es_past))+(s_Q_s_goat*s_f_p_goat))),0)</f>
        <v>26941406.25</v>
      </c>
      <c r="CH28" s="40">
        <f>IFERROR((s_C*s_IFGM_far_adj*s_CF_far_goat_milk*up_RadSpec!AR28*1/s_D_milk*((s_Q_p_goat_milk*s_f_p_goat_milk*s_f_s_goat_milk*(up_RadSpec!$AT28+s_R_es_past))+(s_Q_s_goat_milk*s_f_p_goat_milk))),0)</f>
        <v>26156705.09708738</v>
      </c>
      <c r="CI28" s="40">
        <f>IFERROR((s_C*s_IFSH_far_adj*s_CF_far_sheep*up_RadSpec!AO28*((s_Q_p_sheep*s_f_p_sheep*s_f_s_sheep*(up_RadSpec!$AT28+s_R_es_past))+(s_Q_s_sheep*s_f_p_sheep))),0)</f>
        <v>26941406.25</v>
      </c>
      <c r="CJ28" s="40">
        <f>IFERROR((s_C*s_IFSM_far_adj*s_CF_far_sheep_milk*up_RadSpec!AP28*1/s_D_milk*((s_Q_p_sheep_milk*s_f_p_sheep_milk*s_f_s_sheep_milk*(up_RadSpec!$AT28+s_R_es_past))+(s_Q_s_sheep_milk*s_f_p_sheep_milk))),0)</f>
        <v>26156705.09708738</v>
      </c>
      <c r="CK28" s="18"/>
      <c r="CL28" s="15">
        <f>IFERROR(s_DL/(up_RadSpec!I28*s_IFW_far_adj),".")</f>
        <v>3.6363636363636364E-3</v>
      </c>
      <c r="CM28" s="15" t="str">
        <f>IFERROR(IF(AND(up_RadSpec!C28=1,up_RadSpec!D28&lt;&gt;0),s_DL/(up_RadSpec!H28*s_IFA_far_adj*s_K*up_RadSpec!D28),"."),".")</f>
        <v>.</v>
      </c>
      <c r="CN28" s="15">
        <f>IFERROR((s_DL/(up_RadSpec!M28*(1/8760)*s_DFA_far_adj)),".")</f>
        <v>39.81818181818182</v>
      </c>
      <c r="CO28" s="15">
        <f>up_b2w!BC28</f>
        <v>1.6443412786038033E-4</v>
      </c>
      <c r="CP28" s="15">
        <f>IFERROR(J28/(up_RadSpec!AJ28*(1/1000)),".")</f>
        <v>0.13223140495867769</v>
      </c>
      <c r="CQ28" s="15">
        <f>IFERROR(K28/(up_RadSpec!AK28*(1/1000)),".")</f>
        <v>0.13223140495867769</v>
      </c>
      <c r="CR28" s="15">
        <f>IFERROR(G28/(up_RadSpec!AI28*s_Q_w_beef*(1/1000)),".")</f>
        <v>2.6446280991735537E-2</v>
      </c>
      <c r="CS28" s="15">
        <f>IFERROR((H28*s_D_milk)/(up_RadSpec!AH28*s_Q_w_dairy*(1/1000)),".")</f>
        <v>2.7239669421487603E-2</v>
      </c>
      <c r="CT28" s="15">
        <f>IFERROR(I28/(up_RadSpec!AN28*s_Q_w_swine*(1/1000)),".")</f>
        <v>2.6446280991735537E-2</v>
      </c>
      <c r="CU28" s="15">
        <f>IFERROR(E28/(up_RadSpec!AL28*s_Q_w_poultry*(1/1000)),".")</f>
        <v>2.6446280991735537E-2</v>
      </c>
      <c r="CV28" s="15">
        <f>IFERROR(F28/(up_RadSpec!AM28*s_Q_w_poultry*(1/1000)),".")</f>
        <v>2.6446280991735537E-2</v>
      </c>
      <c r="CW28" s="15">
        <f>IFERROR(L28/(up_RadSpec!AQ28*s_Q_w_goat*(1/1000)),".")</f>
        <v>2.6446280991735537E-2</v>
      </c>
      <c r="CX28" s="15">
        <f>IFERROR(N28*s_D_milk/(up_RadSpec!AR28*s_Q_w_goat_milk*(1/1000)),".")</f>
        <v>2.7239669421487603E-2</v>
      </c>
      <c r="CY28" s="15">
        <f>IFERROR(M28/(up_RadSpec!AO28*s_Q_w_sheep*(1/1000)),".")</f>
        <v>2.6446280991735537E-2</v>
      </c>
      <c r="CZ28" s="15">
        <f>IFERROR(O28*s_D_milk/(up_RadSpec!AP28*s_Q_w_sheep_milk*(1/1000)),".")</f>
        <v>2.7239669421487603E-2</v>
      </c>
      <c r="DA28" s="111">
        <f t="shared" si="28"/>
        <v>275</v>
      </c>
      <c r="DB28" s="111" t="str">
        <f t="shared" si="28"/>
        <v>.</v>
      </c>
      <c r="DC28" s="111">
        <f t="shared" si="28"/>
        <v>2.5114155251141551E-2</v>
      </c>
      <c r="DD28" s="111">
        <f t="shared" si="28"/>
        <v>6081.4626076229861</v>
      </c>
      <c r="DE28" s="111">
        <f t="shared" si="28"/>
        <v>7.5625</v>
      </c>
      <c r="DF28" s="111">
        <f t="shared" si="28"/>
        <v>7.5625</v>
      </c>
      <c r="DG28" s="111">
        <f t="shared" si="28"/>
        <v>37.8125</v>
      </c>
      <c r="DH28" s="111">
        <f t="shared" si="28"/>
        <v>36.711165048543691</v>
      </c>
      <c r="DI28" s="111">
        <f t="shared" si="28"/>
        <v>37.8125</v>
      </c>
      <c r="DJ28" s="111">
        <f t="shared" si="28"/>
        <v>37.8125</v>
      </c>
      <c r="DK28" s="111">
        <f t="shared" si="28"/>
        <v>37.8125</v>
      </c>
      <c r="DL28" s="111">
        <f t="shared" si="28"/>
        <v>37.8125</v>
      </c>
      <c r="DM28" s="111">
        <f t="shared" si="28"/>
        <v>36.711165048543691</v>
      </c>
      <c r="DN28" s="111">
        <f t="shared" si="28"/>
        <v>37.8125</v>
      </c>
      <c r="DO28" s="111">
        <f t="shared" si="28"/>
        <v>36.711165048543691</v>
      </c>
      <c r="DP28" s="15">
        <f t="shared" si="24"/>
        <v>1.4906192608956598E-4</v>
      </c>
      <c r="DQ28" s="189">
        <f>DP28*(0.0000000000000028)*up_RadSpec!$AY28*up_RadSpec!$AF28</f>
        <v>4.3615519573807014E-16</v>
      </c>
      <c r="DR28" s="40">
        <f t="shared" si="16"/>
        <v>1375</v>
      </c>
      <c r="DS28" s="40">
        <f>IFERROR(IF(up_RadSpec!D28&lt;&gt;"",s_C*s_IFA_far_adj*s_K*up_RadSpec!D28,0),".")</f>
        <v>0</v>
      </c>
      <c r="DT28" s="40">
        <f t="shared" si="17"/>
        <v>0.12557077625570776</v>
      </c>
      <c r="DU28" s="40">
        <f>up_b2w!CC28</f>
        <v>30407.313038114935</v>
      </c>
      <c r="DV28" s="40">
        <f>IFERROR(s_C*up_RadSpec!AJ28*(1/1000)*s_IFFI_far_adj*s_CF_far_fish,0)</f>
        <v>37.8125</v>
      </c>
      <c r="DW28" s="40">
        <f>IFERROR(s_C*up_RadSpec!AK28*(1/1000)*s_IFSF_far_adj*s_CF_far_shellfish,0)</f>
        <v>37.8125</v>
      </c>
      <c r="DX28" s="40">
        <f>(s_C*s_IFB_far_adj*s_CF_far_beef*up_RadSpec!AI28*s_Q_w_beef*(1/1000))</f>
        <v>189.0625</v>
      </c>
      <c r="DY28" s="40">
        <f>(s_C*s_IFD_far_adj*s_CF_far_dairy*up_RadSpec!AH28*(1/s_D_milk)*s_Q_w_dairy*(1/1000))</f>
        <v>183.55582524271844</v>
      </c>
      <c r="DZ28" s="40">
        <f>IFERROR((s_C*s_IFSW_far_adj*s_CF_far_swine*up_RadSpec!AN28*s_Q_w_swine*(1/1000)),0)</f>
        <v>189.0625</v>
      </c>
      <c r="EA28" s="40">
        <f>IFERROR((s_C*s_IFP_far_adj*s_CF_far_poultry*up_RadSpec!AL28*s_Q_w_poultry*(1/1000)),0)</f>
        <v>189.0625</v>
      </c>
      <c r="EB28" s="40">
        <f>IFERROR((s_C*s_IFE_far_adj*s_CF_far_egg*up_RadSpec!AM28*s_Q_w_egg*(1/1000)),0)</f>
        <v>189.0625</v>
      </c>
      <c r="EC28" s="40">
        <f>IFERROR((s_C*s_IFGO_far_adj*s_CF_far_goat*up_RadSpec!AQ28*s_Q_p_goat*(1/1000)),0)</f>
        <v>189.0625</v>
      </c>
      <c r="ED28" s="40">
        <f>IFERROR((s_C*s_IFGM_far_adj*s_CF_far_goat_milk*up_RadSpec!AR28*(1/s_D_milk)*s_Q_p_goat_milk*(1/1000)),0)</f>
        <v>183.55582524271844</v>
      </c>
      <c r="EE28" s="40">
        <f>IFERROR((s_C*s_IFSH_far_adj*s_CF_far_sheep*up_RadSpec!AO28*s_Q_p_sheep*(1/1000)),0)</f>
        <v>189.0625</v>
      </c>
      <c r="EF28" s="40">
        <f>IFERROR((s_C*s_IFSM_far_adj*s_CF_far_sheep_milk*up_RadSpec!AP28*(1/s_D_milk)*s_Q_p_sheep_milk*(1/1000)),0)</f>
        <v>183.55582524271844</v>
      </c>
      <c r="EG28" s="5"/>
      <c r="EH28" s="15">
        <f>IFERROR((s_DL/(up_RadSpec!H28*s_IFA_far_adj)),".")</f>
        <v>9.9740259740259754E-3</v>
      </c>
      <c r="EI28" s="15">
        <f>IFERROR((s_DL/(up_RadSpec!K28*s_EF_far*(1/365)*1*s_ET_far*(1/24)*s_GSF_a)),".")</f>
        <v>63.709090909090911</v>
      </c>
      <c r="EJ28" s="15">
        <f t="shared" si="25"/>
        <v>9.9724647271019675E-3</v>
      </c>
      <c r="EK28" s="189">
        <f>EJ28*(0.0000000000000028)*up_RadSpec!$AY28*up_RadSpec!$AF28</f>
        <v>2.9179431791500361E-14</v>
      </c>
      <c r="EL28" s="40">
        <f t="shared" si="19"/>
        <v>501.30208333333326</v>
      </c>
      <c r="EM28" s="40">
        <f t="shared" si="20"/>
        <v>7.8481735159817351E-2</v>
      </c>
      <c r="EN28" s="113"/>
    </row>
    <row r="29" spans="1:144" customFormat="1" x14ac:dyDescent="0.25">
      <c r="A29" s="44" t="s">
        <v>27</v>
      </c>
      <c r="B29" s="42" t="s">
        <v>1057</v>
      </c>
      <c r="C29" s="238"/>
      <c r="D29" s="15">
        <f>up_dir!AC29</f>
        <v>1.6528925619834712E-4</v>
      </c>
      <c r="E29" s="15">
        <f>IFERROR(s_DL/(up_RadSpec!F29*s_IFP_far_adj*s_CF_far_poultry),".")</f>
        <v>6.6115702479338848E-4</v>
      </c>
      <c r="F29" s="15">
        <f>IFERROR(s_DL/(up_RadSpec!F29*s_IFE_far_adj*s_CF_far_egg),".")</f>
        <v>6.6115702479338848E-4</v>
      </c>
      <c r="G29" s="15">
        <f>IFERROR(s_DL/(up_RadSpec!F29*s_IFB_far_adj*s_CF_far_beef),".")</f>
        <v>6.6115702479338848E-4</v>
      </c>
      <c r="H29" s="15">
        <f>IFERROR(s_DL/(up_RadSpec!F29*s_IFD_far_adj*s_CF_far_dairy),".")</f>
        <v>6.6115702479338848E-4</v>
      </c>
      <c r="I29" s="15">
        <f>IFERROR(s_DL/(up_RadSpec!F29*s_IFSW_far_adj*s_CF_far_swine),".")</f>
        <v>6.6115702479338848E-4</v>
      </c>
      <c r="J29" s="15">
        <f>IFERROR(s_DL/(up_RadSpec!F29*s_IFFI_far_adj*s_CF_far_fish),".")</f>
        <v>6.6115702479338848E-4</v>
      </c>
      <c r="K29" s="15">
        <f>IFERROR(s_DL/(up_RadSpec!F29*s_IFSF_far_adj*s_CF_far_shellfish),".")</f>
        <v>6.6115702479338848E-4</v>
      </c>
      <c r="L29" s="15">
        <f>IFERROR(s_DL/(up_RadSpec!F29*s_IFGO_far_adj*s_CF_far_goat),".")</f>
        <v>6.6115702479338848E-4</v>
      </c>
      <c r="M29" s="15">
        <f>IFERROR(s_DL/(up_RadSpec!F29*s_IFSH_far_adj*s_CF_far_sheep),".")</f>
        <v>6.6115702479338848E-4</v>
      </c>
      <c r="N29" s="15">
        <f>IFERROR(s_DL/(up_RadSpec!F29*s_IFGM_far_adj*s_CF_far_goat_milk),".")</f>
        <v>6.6115702479338848E-4</v>
      </c>
      <c r="O29" s="15">
        <f>IFERROR(s_DL/(up_RadSpec!F29*s_IFSM_far_adj*s_CF_far_sheep_milk),".")</f>
        <v>6.6115702479338848E-4</v>
      </c>
      <c r="P29" s="111">
        <f t="shared" si="21"/>
        <v>1512.5</v>
      </c>
      <c r="Q29" s="111">
        <f t="shared" si="21"/>
        <v>1512.5</v>
      </c>
      <c r="R29" s="111">
        <f t="shared" si="21"/>
        <v>1512.5</v>
      </c>
      <c r="S29" s="111">
        <f t="shared" si="21"/>
        <v>1512.5</v>
      </c>
      <c r="T29" s="111">
        <f t="shared" si="21"/>
        <v>1512.5</v>
      </c>
      <c r="U29" s="111">
        <f t="shared" si="21"/>
        <v>1512.5</v>
      </c>
      <c r="V29" s="111">
        <f t="shared" si="21"/>
        <v>1512.5</v>
      </c>
      <c r="W29" s="111">
        <f t="shared" si="21"/>
        <v>1512.5</v>
      </c>
      <c r="X29" s="111">
        <f t="shared" si="26"/>
        <v>1512.5</v>
      </c>
      <c r="Y29" s="111">
        <f t="shared" si="26"/>
        <v>1512.5</v>
      </c>
      <c r="Z29" s="111">
        <f t="shared" si="26"/>
        <v>1512.5</v>
      </c>
      <c r="AA29" s="111">
        <f t="shared" si="26"/>
        <v>1512.5</v>
      </c>
      <c r="AB29" s="15">
        <f t="shared" si="22"/>
        <v>5.5096418732782371E-5</v>
      </c>
      <c r="AC29" s="247">
        <f>IFERROR(AB29*(0.0000000000028)*up_RadSpec!$AY29*up_RadSpec!$AF29,0)</f>
        <v>1.6198347107438019E-13</v>
      </c>
      <c r="AD29" s="40">
        <f>up_dir!BC29</f>
        <v>30250</v>
      </c>
      <c r="AE29" s="40">
        <f t="shared" si="1"/>
        <v>7562.5</v>
      </c>
      <c r="AF29" s="40">
        <f t="shared" si="2"/>
        <v>7562.5</v>
      </c>
      <c r="AG29" s="40">
        <f t="shared" si="3"/>
        <v>7562.5</v>
      </c>
      <c r="AH29" s="40">
        <f t="shared" si="4"/>
        <v>7562.5</v>
      </c>
      <c r="AI29" s="40">
        <f t="shared" si="5"/>
        <v>7562.5</v>
      </c>
      <c r="AJ29" s="40">
        <f t="shared" si="6"/>
        <v>7562.5</v>
      </c>
      <c r="AK29" s="40">
        <f t="shared" si="7"/>
        <v>7562.5</v>
      </c>
      <c r="AL29" s="40">
        <f t="shared" si="8"/>
        <v>7562.5</v>
      </c>
      <c r="AM29" s="40">
        <f t="shared" si="9"/>
        <v>7562.5</v>
      </c>
      <c r="AN29" s="40">
        <f t="shared" si="10"/>
        <v>7562.5</v>
      </c>
      <c r="AO29" s="40">
        <f t="shared" si="11"/>
        <v>7562.5</v>
      </c>
      <c r="AP29" s="45">
        <f>IFERROR((s_DL/(up_RadSpec!E29*s_IFS_far_adj*(1/1000)))*1,".")</f>
        <v>0.33057851239669422</v>
      </c>
      <c r="AQ29" s="45">
        <f>IFERROR(IF(A29="H-3",(s_DL/(up_RadSpec!H29*s_IFA_far_adj*(1/17)*1000))*1,(s_DL/(up_RadSpec!H29*s_IFA_far_adj*(1/s_PEF_wind)*1000))*1),".")</f>
        <v>3089.9917851942919</v>
      </c>
      <c r="AR29" s="45">
        <f>IFERROR((s_DL/(up_RadSpec!G29*s_EF_far*(1/365)*1*up_RadSpec!R29*((s_ET_far_o*(1/24)*up_RadSpec!W29)+(s_ET_far_i*(1/24)*up_RadSpec!AB29))))*1,".")</f>
        <v>117.85891703924496</v>
      </c>
      <c r="AS29" s="45">
        <f>up_b2s!BC29</f>
        <v>3.2968835384132272E-5</v>
      </c>
      <c r="AT29" s="45">
        <f>IFERROR(((J29*up_RadSpec!AU29)/up_RadSpec!AJ29)*1,".")</f>
        <v>6.6115702479338848E-4</v>
      </c>
      <c r="AU29" s="45">
        <f>IFERROR(((K29*up_RadSpec!AU29)/up_RadSpec!AK29)*1,".")</f>
        <v>6.6115702479338848E-4</v>
      </c>
      <c r="AV29" s="45">
        <f>IFERROR((G29/(up_RadSpec!AI29*((s_Q_p_beef*s_f_p_beef*s_f_s_beef*(up_RadSpec!BD29+s_R_es_past))+(s_Q_s_beef*s_f_p_beef))))*1,".")</f>
        <v>1.8558793678410905E-7</v>
      </c>
      <c r="AW29" s="45">
        <f>IFERROR(((H29*s_D_milk)/(up_RadSpec!AH29*((s_Q_p_dairy*s_f_p_dairy*s_f_s_dairy*(up_RadSpec!BD29+s_R_es_past))+(s_Q_s_dairy*s_f_p_dairy))))*1,".")</f>
        <v>1.9115557488763231E-7</v>
      </c>
      <c r="AX29" s="45">
        <f>IFERROR((I29/(up_RadSpec!AN29*((s_Q_p_swine*s_f_p_swine*s_f_s_swine*(up_RadSpec!BD29+s_R_es_past))+(s_Q_s_swine*s_f_p_swine))))*1,".")</f>
        <v>1.8558793678410905E-7</v>
      </c>
      <c r="AY29" s="45">
        <f>IFERROR((E29/(up_RadSpec!AL29*((s_Q_p_poultry*s_f_p_poultry*s_f_s_poultry*(up_RadSpec!BD29+s_R_es_past))+(s_Q_s_poultry*s_f_p_poultry))))*1,".")</f>
        <v>1.8558793678410905E-7</v>
      </c>
      <c r="AZ29" s="45">
        <f>IFERROR((F29/(up_RadSpec!AM29*((s_Q_p_poultry*s_f_p_poultry*s_f_s_poultry*(up_RadSpec!BD29+s_R_es_past))+(s_Q_s_poultry*s_f_p_poultry))))*1,".")</f>
        <v>1.8558793678410905E-7</v>
      </c>
      <c r="BA29" s="45">
        <f>IFERROR((L29/(up_RadSpec!AQ29*((s_Q_p_goat*s_f_p_goat*s_f_s_goat*(up_RadSpec!BD29+s_R_es_past))+(s_Q_s_goat*s_f_p_goat))))*1,".")</f>
        <v>1.8558793678410905E-7</v>
      </c>
      <c r="BB29" s="45">
        <f>IFERROR((N29*s_D_milk/(up_RadSpec!AR29*((s_Q_p_goat_milk*s_f_p_goat_milk*s_f_s_goat_milk*(up_RadSpec!BD29+s_R_es_past))+(s_Q_s_goat_milk*s_f_p_goat_milk))))*1,".")</f>
        <v>1.9115557488763231E-7</v>
      </c>
      <c r="BC29" s="45">
        <f>IFERROR((M29/(up_RadSpec!AO29*((s_Q_p_sheep*s_f_p_sheep*s_f_s_sheep*(up_RadSpec!BD29+s_R_es_past))+(s_Q_s_sheep*s_f_p_sheep))))*1,".")</f>
        <v>1.8558793678410905E-7</v>
      </c>
      <c r="BD29" s="45">
        <f>IFERROR((O29*s_D_milk/(up_RadSpec!AP29*((s_Q_p_sheep_milk*s_f_p_sheep_milk*s_f_s_sheep_milk*(up_RadSpec!BD29+s_R_es_past))+(s_Q_s_sheep_milk*s_f_p_sheep_milk))))*1,".")</f>
        <v>1.9115557488763231E-7</v>
      </c>
      <c r="BE29" s="111">
        <f t="shared" si="27"/>
        <v>3.0249999999999999</v>
      </c>
      <c r="BF29" s="111">
        <f t="shared" si="27"/>
        <v>3.236254558317935E-4</v>
      </c>
      <c r="BG29" s="111">
        <f t="shared" si="27"/>
        <v>8.4847207586933576E-3</v>
      </c>
      <c r="BH29" s="111">
        <f t="shared" si="27"/>
        <v>30331.674999999992</v>
      </c>
      <c r="BI29" s="111">
        <f t="shared" si="27"/>
        <v>1512.5</v>
      </c>
      <c r="BJ29" s="111">
        <f t="shared" si="27"/>
        <v>1512.5</v>
      </c>
      <c r="BK29" s="111">
        <f t="shared" si="27"/>
        <v>5388281.2499999991</v>
      </c>
      <c r="BL29" s="111">
        <f t="shared" si="27"/>
        <v>5231341.0194174759</v>
      </c>
      <c r="BM29" s="111">
        <f t="shared" si="27"/>
        <v>5388281.2499999991</v>
      </c>
      <c r="BN29" s="111">
        <f t="shared" si="27"/>
        <v>5388281.2499999991</v>
      </c>
      <c r="BO29" s="111">
        <f t="shared" si="27"/>
        <v>5388281.2499999991</v>
      </c>
      <c r="BP29" s="111">
        <f t="shared" si="27"/>
        <v>5388281.2499999991</v>
      </c>
      <c r="BQ29" s="111">
        <f t="shared" si="27"/>
        <v>5231341.0194174759</v>
      </c>
      <c r="BR29" s="111">
        <f t="shared" si="27"/>
        <v>5388281.2499999991</v>
      </c>
      <c r="BS29" s="111">
        <f t="shared" si="27"/>
        <v>5231341.0194174759</v>
      </c>
      <c r="BT29" s="15">
        <f t="shared" si="23"/>
        <v>2.0808592667901751E-8</v>
      </c>
      <c r="BU29" s="189">
        <f>IFERROR(BT29*(0.0000000000028)*up_RadSpec!$AY29*up_RadSpec!$AF29,0)</f>
        <v>6.1177262443631145E-17</v>
      </c>
      <c r="BV29" s="40">
        <f t="shared" si="13"/>
        <v>15.125</v>
      </c>
      <c r="BW29" s="40">
        <f t="shared" si="14"/>
        <v>1.6181272791589674E-3</v>
      </c>
      <c r="BX29" s="40">
        <f>IFERROR((s_C*s_EF_far*(1/365)*1*up_RadSpec!R29*((s_ET_far_o*(1/24)*up_RadSpec!W29)+(s_ET_far_i*(1/24)*up_RadSpec!AB29))),".")</f>
        <v>4.242360379346679E-2</v>
      </c>
      <c r="BY29" s="40">
        <f>up_b2s!CC29</f>
        <v>151658.375</v>
      </c>
      <c r="BZ29" s="40">
        <f>IFERROR(((s_C*up_RadSpec!AJ29)/up_RadSpec!AU29)*s_IFFI_far_adj*s_CF_far_fish,0)</f>
        <v>7562.5</v>
      </c>
      <c r="CA29" s="40">
        <f>IFERROR(((s_C*up_RadSpec!AK29)/up_RadSpec!AU29)*s_IFSF_far_adj*s_CF_far_shellfish,0)</f>
        <v>7562.5</v>
      </c>
      <c r="CB29" s="40">
        <f>(s_C*s_IFB_far_adj*s_CF_far_beef*up_RadSpec!AI29*((s_Q_p_beef*s_f_p_beef*s_f_s_beef*(up_RadSpec!$AT29+s_R_es_past))+(s_Q_s_beef*s_f_p_beef)))</f>
        <v>26941406.25</v>
      </c>
      <c r="CC29" s="40">
        <f>(s_C*s_IFD_far_adj*s_CF_far_dairy*up_RadSpec!AH29*1/s_D_milk*((s_Q_p_dairy*s_f_p_dairy*s_f_s_dairy*(up_RadSpec!$AT29+s_R_es_past))+(s_Q_s_dairy*s_f_p_dairy)))</f>
        <v>26156705.09708738</v>
      </c>
      <c r="CD29" s="40">
        <f>IFERROR((s_C*s_IFSW_far_adj*s_CF_far_swine*up_RadSpec!AN29*((s_Q_p_swine*s_f_p_swine*s_f_s_swine*(up_RadSpec!$AT29+s_R_es_past))+(s_Q_s_swine*s_f_p_swine))),0)</f>
        <v>26941406.25</v>
      </c>
      <c r="CE29" s="40">
        <f>IFERROR((s_C*s_IFP_far_adj*s_CF_far_poultry*up_RadSpec!AL29*((s_Q_p_poultry*s_f_p_poultry*s_f_s_poultry*(up_RadSpec!AT29+s_R_es_past))+(s_Q_s_poultry*s_f_p_poultry))),0)</f>
        <v>26941406.25</v>
      </c>
      <c r="CF29" s="40">
        <f>IFERROR((s_C*s_IFE_far_adj*s_CF_far_egg*up_RadSpec!AM29*((s_Q_p_egg*s_f_p_egg*s_f_s_egg*(up_RadSpec!$AT29+s_R_es_past))+(s_Q_s_egg*s_f_p_egg))),0)</f>
        <v>26941406.25</v>
      </c>
      <c r="CG29" s="40">
        <f>IFERROR((s_C*s_IFGO_far_adj*s_CF_far_goat*up_RadSpec!AQ29*((s_Q_p_goat*s_f_p_goat*s_f_s_goat*(up_RadSpec!$AT29+s_R_es_past))+(s_Q_s_goat*s_f_p_goat))),0)</f>
        <v>26941406.25</v>
      </c>
      <c r="CH29" s="40">
        <f>IFERROR((s_C*s_IFGM_far_adj*s_CF_far_goat_milk*up_RadSpec!AR29*1/s_D_milk*((s_Q_p_goat_milk*s_f_p_goat_milk*s_f_s_goat_milk*(up_RadSpec!$AT29+s_R_es_past))+(s_Q_s_goat_milk*s_f_p_goat_milk))),0)</f>
        <v>26156705.09708738</v>
      </c>
      <c r="CI29" s="40">
        <f>IFERROR((s_C*s_IFSH_far_adj*s_CF_far_sheep*up_RadSpec!AO29*((s_Q_p_sheep*s_f_p_sheep*s_f_s_sheep*(up_RadSpec!$AT29+s_R_es_past))+(s_Q_s_sheep*s_f_p_sheep))),0)</f>
        <v>26941406.25</v>
      </c>
      <c r="CJ29" s="40">
        <f>IFERROR((s_C*s_IFSM_far_adj*s_CF_far_sheep_milk*up_RadSpec!AP29*1/s_D_milk*((s_Q_p_sheep_milk*s_f_p_sheep_milk*s_f_s_sheep_milk*(up_RadSpec!$AT29+s_R_es_past))+(s_Q_s_sheep_milk*s_f_p_sheep_milk))),0)</f>
        <v>26156705.09708738</v>
      </c>
      <c r="CK29" s="18"/>
      <c r="CL29" s="15">
        <f>IFERROR(s_DL/(up_RadSpec!I29*s_IFW_far_adj),".")</f>
        <v>3.6363636363636364E-3</v>
      </c>
      <c r="CM29" s="15">
        <f>IFERROR(IF(AND(up_RadSpec!C29=1,up_RadSpec!D29&lt;&gt;0),s_DL/(up_RadSpec!H29*s_IFA_far_adj*s_K*up_RadSpec!D29),"."),".")</f>
        <v>2157.7148215468005</v>
      </c>
      <c r="CN29" s="15">
        <f>IFERROR((s_DL/(up_RadSpec!M29*(1/8760)*s_DFA_far_adj)),".")</f>
        <v>39.81818181818182</v>
      </c>
      <c r="CO29" s="15">
        <f>up_b2w!BC29</f>
        <v>1.6443412786038033E-4</v>
      </c>
      <c r="CP29" s="15">
        <f>IFERROR(J29/(up_RadSpec!AJ29*(1/1000)),".")</f>
        <v>0.13223140495867769</v>
      </c>
      <c r="CQ29" s="15">
        <f>IFERROR(K29/(up_RadSpec!AK29*(1/1000)),".")</f>
        <v>0.13223140495867769</v>
      </c>
      <c r="CR29" s="15">
        <f>IFERROR(G29/(up_RadSpec!AI29*s_Q_w_beef*(1/1000)),".")</f>
        <v>2.6446280991735537E-2</v>
      </c>
      <c r="CS29" s="15">
        <f>IFERROR((H29*s_D_milk)/(up_RadSpec!AH29*s_Q_w_dairy*(1/1000)),".")</f>
        <v>2.7239669421487603E-2</v>
      </c>
      <c r="CT29" s="15">
        <f>IFERROR(I29/(up_RadSpec!AN29*s_Q_w_swine*(1/1000)),".")</f>
        <v>2.6446280991735537E-2</v>
      </c>
      <c r="CU29" s="15">
        <f>IFERROR(E29/(up_RadSpec!AL29*s_Q_w_poultry*(1/1000)),".")</f>
        <v>2.6446280991735537E-2</v>
      </c>
      <c r="CV29" s="15">
        <f>IFERROR(F29/(up_RadSpec!AM29*s_Q_w_poultry*(1/1000)),".")</f>
        <v>2.6446280991735537E-2</v>
      </c>
      <c r="CW29" s="15">
        <f>IFERROR(L29/(up_RadSpec!AQ29*s_Q_w_goat*(1/1000)),".")</f>
        <v>2.6446280991735537E-2</v>
      </c>
      <c r="CX29" s="15">
        <f>IFERROR(N29*s_D_milk/(up_RadSpec!AR29*s_Q_w_goat_milk*(1/1000)),".")</f>
        <v>2.7239669421487603E-2</v>
      </c>
      <c r="CY29" s="15">
        <f>IFERROR(M29/(up_RadSpec!AO29*s_Q_w_sheep*(1/1000)),".")</f>
        <v>2.6446280991735537E-2</v>
      </c>
      <c r="CZ29" s="15">
        <f>IFERROR(O29*s_D_milk/(up_RadSpec!AP29*s_Q_w_sheep_milk*(1/1000)),".")</f>
        <v>2.7239669421487603E-2</v>
      </c>
      <c r="DA29" s="111">
        <f t="shared" si="28"/>
        <v>275</v>
      </c>
      <c r="DB29" s="111">
        <f t="shared" si="28"/>
        <v>4.6345327473958314E-4</v>
      </c>
      <c r="DC29" s="111">
        <f t="shared" si="28"/>
        <v>2.5114155251141551E-2</v>
      </c>
      <c r="DD29" s="111">
        <f t="shared" si="28"/>
        <v>6081.4626076229861</v>
      </c>
      <c r="DE29" s="111">
        <f t="shared" si="28"/>
        <v>7.5625</v>
      </c>
      <c r="DF29" s="111">
        <f t="shared" si="28"/>
        <v>7.5625</v>
      </c>
      <c r="DG29" s="111">
        <f t="shared" si="28"/>
        <v>37.8125</v>
      </c>
      <c r="DH29" s="111">
        <f t="shared" si="28"/>
        <v>36.711165048543691</v>
      </c>
      <c r="DI29" s="111">
        <f t="shared" si="28"/>
        <v>37.8125</v>
      </c>
      <c r="DJ29" s="111">
        <f t="shared" si="28"/>
        <v>37.8125</v>
      </c>
      <c r="DK29" s="111">
        <f t="shared" si="28"/>
        <v>37.8125</v>
      </c>
      <c r="DL29" s="111">
        <f t="shared" si="28"/>
        <v>37.8125</v>
      </c>
      <c r="DM29" s="111">
        <f t="shared" si="28"/>
        <v>36.711165048543691</v>
      </c>
      <c r="DN29" s="111">
        <f t="shared" si="28"/>
        <v>37.8125</v>
      </c>
      <c r="DO29" s="111">
        <f t="shared" si="28"/>
        <v>36.711165048543691</v>
      </c>
      <c r="DP29" s="15">
        <f t="shared" si="24"/>
        <v>1.490619157918862E-4</v>
      </c>
      <c r="DQ29" s="189">
        <f>DP29*(0.0000000000000028)*up_RadSpec!$AY29*up_RadSpec!$AF29</f>
        <v>4.3824203242814545E-16</v>
      </c>
      <c r="DR29" s="40">
        <f t="shared" si="16"/>
        <v>1375</v>
      </c>
      <c r="DS29" s="40">
        <f>IFERROR(IF(up_RadSpec!D29&lt;&gt;"",s_C*s_IFA_far_adj*s_K*up_RadSpec!D29,0),".")</f>
        <v>2.317266373697916E-3</v>
      </c>
      <c r="DT29" s="40">
        <f t="shared" si="17"/>
        <v>0.12557077625570776</v>
      </c>
      <c r="DU29" s="40">
        <f>up_b2w!CC29</f>
        <v>30407.313038114935</v>
      </c>
      <c r="DV29" s="40">
        <f>IFERROR(s_C*up_RadSpec!AJ29*(1/1000)*s_IFFI_far_adj*s_CF_far_fish,0)</f>
        <v>37.8125</v>
      </c>
      <c r="DW29" s="40">
        <f>IFERROR(s_C*up_RadSpec!AK29*(1/1000)*s_IFSF_far_adj*s_CF_far_shellfish,0)</f>
        <v>37.8125</v>
      </c>
      <c r="DX29" s="40">
        <f>(s_C*s_IFB_far_adj*s_CF_far_beef*up_RadSpec!AI29*s_Q_w_beef*(1/1000))</f>
        <v>189.0625</v>
      </c>
      <c r="DY29" s="40">
        <f>(s_C*s_IFD_far_adj*s_CF_far_dairy*up_RadSpec!AH29*(1/s_D_milk)*s_Q_w_dairy*(1/1000))</f>
        <v>183.55582524271844</v>
      </c>
      <c r="DZ29" s="40">
        <f>IFERROR((s_C*s_IFSW_far_adj*s_CF_far_swine*up_RadSpec!AN29*s_Q_w_swine*(1/1000)),0)</f>
        <v>189.0625</v>
      </c>
      <c r="EA29" s="40">
        <f>IFERROR((s_C*s_IFP_far_adj*s_CF_far_poultry*up_RadSpec!AL29*s_Q_w_poultry*(1/1000)),0)</f>
        <v>189.0625</v>
      </c>
      <c r="EB29" s="40">
        <f>IFERROR((s_C*s_IFE_far_adj*s_CF_far_egg*up_RadSpec!AM29*s_Q_w_egg*(1/1000)),0)</f>
        <v>189.0625</v>
      </c>
      <c r="EC29" s="40">
        <f>IFERROR((s_C*s_IFGO_far_adj*s_CF_far_goat*up_RadSpec!AQ29*s_Q_p_goat*(1/1000)),0)</f>
        <v>189.0625</v>
      </c>
      <c r="ED29" s="40">
        <f>IFERROR((s_C*s_IFGM_far_adj*s_CF_far_goat_milk*up_RadSpec!AR29*(1/s_D_milk)*s_Q_p_goat_milk*(1/1000)),0)</f>
        <v>183.55582524271844</v>
      </c>
      <c r="EE29" s="40">
        <f>IFERROR((s_C*s_IFSH_far_adj*s_CF_far_sheep*up_RadSpec!AO29*s_Q_p_sheep*(1/1000)),0)</f>
        <v>189.0625</v>
      </c>
      <c r="EF29" s="40">
        <f>IFERROR((s_C*s_IFSM_far_adj*s_CF_far_sheep_milk*up_RadSpec!AP29*(1/s_D_milk)*s_Q_p_sheep_milk*(1/1000)),0)</f>
        <v>183.55582524271844</v>
      </c>
      <c r="EG29" s="5"/>
      <c r="EH29" s="15">
        <f>IFERROR((s_DL/(up_RadSpec!H29*s_IFA_far_adj)),".")</f>
        <v>9.9740259740259754E-3</v>
      </c>
      <c r="EI29" s="15">
        <f>IFERROR((s_DL/(up_RadSpec!K29*s_EF_far*(1/365)*1*s_ET_far*(1/24)*s_GSF_a)),".")</f>
        <v>63.709090909090911</v>
      </c>
      <c r="EJ29" s="15">
        <f t="shared" si="25"/>
        <v>9.9724647271019675E-3</v>
      </c>
      <c r="EK29" s="189">
        <f>EJ29*(0.0000000000000028)*up_RadSpec!$AY29*up_RadSpec!$AF29</f>
        <v>2.9319046297679789E-14</v>
      </c>
      <c r="EL29" s="40">
        <f t="shared" si="19"/>
        <v>501.30208333333326</v>
      </c>
      <c r="EM29" s="40">
        <f t="shared" si="20"/>
        <v>7.8481735159817351E-2</v>
      </c>
      <c r="EN29" s="113"/>
    </row>
    <row r="30" spans="1:144" customFormat="1" x14ac:dyDescent="0.25">
      <c r="A30" s="44" t="s">
        <v>28</v>
      </c>
      <c r="B30" s="42" t="s">
        <v>1057</v>
      </c>
      <c r="C30" s="42"/>
      <c r="D30" s="15">
        <f>up_dir!AC30</f>
        <v>1.6528925619834712E-4</v>
      </c>
      <c r="E30" s="15">
        <f>IFERROR(s_DL/(up_RadSpec!F30*s_IFP_far_adj*s_CF_far_poultry),".")</f>
        <v>6.6115702479338848E-4</v>
      </c>
      <c r="F30" s="15">
        <f>IFERROR(s_DL/(up_RadSpec!F30*s_IFE_far_adj*s_CF_far_egg),".")</f>
        <v>6.6115702479338848E-4</v>
      </c>
      <c r="G30" s="15">
        <f>IFERROR(s_DL/(up_RadSpec!F30*s_IFB_far_adj*s_CF_far_beef),".")</f>
        <v>6.6115702479338848E-4</v>
      </c>
      <c r="H30" s="15">
        <f>IFERROR(s_DL/(up_RadSpec!F30*s_IFD_far_adj*s_CF_far_dairy),".")</f>
        <v>6.6115702479338848E-4</v>
      </c>
      <c r="I30" s="15">
        <f>IFERROR(s_DL/(up_RadSpec!F30*s_IFSW_far_adj*s_CF_far_swine),".")</f>
        <v>6.6115702479338848E-4</v>
      </c>
      <c r="J30" s="15">
        <f>IFERROR(s_DL/(up_RadSpec!F30*s_IFFI_far_adj*s_CF_far_fish),".")</f>
        <v>6.6115702479338848E-4</v>
      </c>
      <c r="K30" s="15">
        <f>IFERROR(s_DL/(up_RadSpec!F30*s_IFSF_far_adj*s_CF_far_shellfish),".")</f>
        <v>6.6115702479338848E-4</v>
      </c>
      <c r="L30" s="15">
        <f>IFERROR(s_DL/(up_RadSpec!F30*s_IFGO_far_adj*s_CF_far_goat),".")</f>
        <v>6.6115702479338848E-4</v>
      </c>
      <c r="M30" s="15">
        <f>IFERROR(s_DL/(up_RadSpec!F30*s_IFSH_far_adj*s_CF_far_sheep),".")</f>
        <v>6.6115702479338848E-4</v>
      </c>
      <c r="N30" s="15">
        <f>IFERROR(s_DL/(up_RadSpec!F30*s_IFGM_far_adj*s_CF_far_goat_milk),".")</f>
        <v>6.6115702479338848E-4</v>
      </c>
      <c r="O30" s="15">
        <f>IFERROR(s_DL/(up_RadSpec!F30*s_IFSM_far_adj*s_CF_far_sheep_milk),".")</f>
        <v>6.6115702479338848E-4</v>
      </c>
      <c r="P30" s="111">
        <f t="shared" si="21"/>
        <v>1512.5</v>
      </c>
      <c r="Q30" s="111">
        <f t="shared" si="21"/>
        <v>1512.5</v>
      </c>
      <c r="R30" s="111">
        <f t="shared" si="21"/>
        <v>1512.5</v>
      </c>
      <c r="S30" s="111">
        <f t="shared" si="21"/>
        <v>1512.5</v>
      </c>
      <c r="T30" s="111">
        <f t="shared" si="21"/>
        <v>1512.5</v>
      </c>
      <c r="U30" s="111">
        <f t="shared" si="21"/>
        <v>1512.5</v>
      </c>
      <c r="V30" s="111">
        <f t="shared" si="21"/>
        <v>1512.5</v>
      </c>
      <c r="W30" s="111">
        <f t="shared" si="21"/>
        <v>1512.5</v>
      </c>
      <c r="X30" s="111">
        <f t="shared" si="26"/>
        <v>1512.5</v>
      </c>
      <c r="Y30" s="111">
        <f t="shared" si="26"/>
        <v>1512.5</v>
      </c>
      <c r="Z30" s="111">
        <f t="shared" si="26"/>
        <v>1512.5</v>
      </c>
      <c r="AA30" s="111">
        <f t="shared" si="26"/>
        <v>1512.5</v>
      </c>
      <c r="AB30" s="15">
        <f t="shared" si="22"/>
        <v>5.5096418732782371E-5</v>
      </c>
      <c r="AC30" s="247">
        <f>IFERROR(AB30*(0.0000000000028)*up_RadSpec!$AY30*up_RadSpec!$AF30,0)</f>
        <v>1.7972451790633613E-13</v>
      </c>
      <c r="AD30" s="40">
        <f>up_dir!BC30</f>
        <v>30250</v>
      </c>
      <c r="AE30" s="40">
        <f t="shared" si="1"/>
        <v>7562.5</v>
      </c>
      <c r="AF30" s="40">
        <f t="shared" si="2"/>
        <v>7562.5</v>
      </c>
      <c r="AG30" s="40">
        <f t="shared" si="3"/>
        <v>7562.5</v>
      </c>
      <c r="AH30" s="40">
        <f t="shared" si="4"/>
        <v>7562.5</v>
      </c>
      <c r="AI30" s="40">
        <f t="shared" si="5"/>
        <v>7562.5</v>
      </c>
      <c r="AJ30" s="40">
        <f t="shared" si="6"/>
        <v>7562.5</v>
      </c>
      <c r="AK30" s="40">
        <f t="shared" si="7"/>
        <v>7562.5</v>
      </c>
      <c r="AL30" s="40">
        <f t="shared" si="8"/>
        <v>7562.5</v>
      </c>
      <c r="AM30" s="40">
        <f t="shared" si="9"/>
        <v>7562.5</v>
      </c>
      <c r="AN30" s="40">
        <f t="shared" si="10"/>
        <v>7562.5</v>
      </c>
      <c r="AO30" s="40">
        <f t="shared" si="11"/>
        <v>7562.5</v>
      </c>
      <c r="AP30" s="45">
        <f>IFERROR((s_DL/(up_RadSpec!E30*s_IFS_far_adj*(1/1000)))*1,".")</f>
        <v>0.33057851239669422</v>
      </c>
      <c r="AQ30" s="45">
        <f>IFERROR(IF(A30="H-3",(s_DL/(up_RadSpec!H30*s_IFA_far_adj*(1/17)*1000))*1,(s_DL/(up_RadSpec!H30*s_IFA_far_adj*(1/s_PEF_wind)*1000))*1),".")</f>
        <v>3089.9917851942919</v>
      </c>
      <c r="AR30" s="45">
        <f>IFERROR((s_DL/(up_RadSpec!G30*s_EF_far*(1/365)*1*up_RadSpec!R30*((s_ET_far_o*(1/24)*up_RadSpec!W30)+(s_ET_far_i*(1/24)*up_RadSpec!AB30))))*1,".")</f>
        <v>1106.0606060606062</v>
      </c>
      <c r="AS30" s="45">
        <f>up_b2s!BC30</f>
        <v>3.2968835384132272E-5</v>
      </c>
      <c r="AT30" s="45">
        <f>IFERROR(((J30*up_RadSpec!AU30)/up_RadSpec!AJ30)*1,".")</f>
        <v>6.6115702479338848E-4</v>
      </c>
      <c r="AU30" s="45">
        <f>IFERROR(((K30*up_RadSpec!AU30)/up_RadSpec!AK30)*1,".")</f>
        <v>6.6115702479338848E-4</v>
      </c>
      <c r="AV30" s="45">
        <f>IFERROR((G30/(up_RadSpec!AI30*((s_Q_p_beef*s_f_p_beef*s_f_s_beef*(up_RadSpec!BD30+s_R_es_past))+(s_Q_s_beef*s_f_p_beef))))*1,".")</f>
        <v>1.8558793678410905E-7</v>
      </c>
      <c r="AW30" s="45">
        <f>IFERROR(((H30*s_D_milk)/(up_RadSpec!AH30*((s_Q_p_dairy*s_f_p_dairy*s_f_s_dairy*(up_RadSpec!BD30+s_R_es_past))+(s_Q_s_dairy*s_f_p_dairy))))*1,".")</f>
        <v>1.9115557488763231E-7</v>
      </c>
      <c r="AX30" s="45">
        <f>IFERROR((I30/(up_RadSpec!AN30*((s_Q_p_swine*s_f_p_swine*s_f_s_swine*(up_RadSpec!BD30+s_R_es_past))+(s_Q_s_swine*s_f_p_swine))))*1,".")</f>
        <v>1.8558793678410905E-7</v>
      </c>
      <c r="AY30" s="45">
        <f>IFERROR((E30/(up_RadSpec!AL30*((s_Q_p_poultry*s_f_p_poultry*s_f_s_poultry*(up_RadSpec!BD30+s_R_es_past))+(s_Q_s_poultry*s_f_p_poultry))))*1,".")</f>
        <v>1.8558793678410905E-7</v>
      </c>
      <c r="AZ30" s="45">
        <f>IFERROR((F30/(up_RadSpec!AM30*((s_Q_p_poultry*s_f_p_poultry*s_f_s_poultry*(up_RadSpec!BD30+s_R_es_past))+(s_Q_s_poultry*s_f_p_poultry))))*1,".")</f>
        <v>1.8558793678410905E-7</v>
      </c>
      <c r="BA30" s="45">
        <f>IFERROR((L30/(up_RadSpec!AQ30*((s_Q_p_goat*s_f_p_goat*s_f_s_goat*(up_RadSpec!BD30+s_R_es_past))+(s_Q_s_goat*s_f_p_goat))))*1,".")</f>
        <v>1.8558793678410905E-7</v>
      </c>
      <c r="BB30" s="45">
        <f>IFERROR((N30*s_D_milk/(up_RadSpec!AR30*((s_Q_p_goat_milk*s_f_p_goat_milk*s_f_s_goat_milk*(up_RadSpec!BD30+s_R_es_past))+(s_Q_s_goat_milk*s_f_p_goat_milk))))*1,".")</f>
        <v>1.9115557488763231E-7</v>
      </c>
      <c r="BC30" s="45">
        <f>IFERROR((M30/(up_RadSpec!AO30*((s_Q_p_sheep*s_f_p_sheep*s_f_s_sheep*(up_RadSpec!BD30+s_R_es_past))+(s_Q_s_sheep*s_f_p_sheep))))*1,".")</f>
        <v>1.8558793678410905E-7</v>
      </c>
      <c r="BD30" s="45">
        <f>IFERROR((O30*s_D_milk/(up_RadSpec!AP30*((s_Q_p_sheep_milk*s_f_p_sheep_milk*s_f_s_sheep_milk*(up_RadSpec!BD30+s_R_es_past))+(s_Q_s_sheep_milk*s_f_p_sheep_milk))))*1,".")</f>
        <v>1.9115557488763231E-7</v>
      </c>
      <c r="BE30" s="111">
        <f t="shared" si="27"/>
        <v>3.0249999999999999</v>
      </c>
      <c r="BF30" s="111">
        <f t="shared" si="27"/>
        <v>3.236254558317935E-4</v>
      </c>
      <c r="BG30" s="111">
        <f t="shared" si="27"/>
        <v>9.0410958904109579E-4</v>
      </c>
      <c r="BH30" s="111">
        <f t="shared" si="27"/>
        <v>30331.674999999992</v>
      </c>
      <c r="BI30" s="111">
        <f t="shared" si="27"/>
        <v>1512.5</v>
      </c>
      <c r="BJ30" s="111">
        <f t="shared" si="27"/>
        <v>1512.5</v>
      </c>
      <c r="BK30" s="111">
        <f t="shared" si="27"/>
        <v>5388281.2499999991</v>
      </c>
      <c r="BL30" s="111">
        <f t="shared" si="27"/>
        <v>5231341.0194174759</v>
      </c>
      <c r="BM30" s="111">
        <f t="shared" si="27"/>
        <v>5388281.2499999991</v>
      </c>
      <c r="BN30" s="111">
        <f t="shared" si="27"/>
        <v>5388281.2499999991</v>
      </c>
      <c r="BO30" s="111">
        <f t="shared" si="27"/>
        <v>5388281.2499999991</v>
      </c>
      <c r="BP30" s="111">
        <f t="shared" si="27"/>
        <v>5388281.2499999991</v>
      </c>
      <c r="BQ30" s="111">
        <f t="shared" si="27"/>
        <v>5231341.0194174759</v>
      </c>
      <c r="BR30" s="111">
        <f t="shared" si="27"/>
        <v>5388281.2499999991</v>
      </c>
      <c r="BS30" s="111">
        <f t="shared" si="27"/>
        <v>5231341.0194174759</v>
      </c>
      <c r="BT30" s="15">
        <f t="shared" si="23"/>
        <v>2.0808592671184136E-8</v>
      </c>
      <c r="BU30" s="189">
        <f>IFERROR(BT30*(0.0000000000028)*up_RadSpec!$AY30*up_RadSpec!$AF30,0)</f>
        <v>6.7877629293402657E-17</v>
      </c>
      <c r="BV30" s="40">
        <f t="shared" si="13"/>
        <v>15.125</v>
      </c>
      <c r="BW30" s="40">
        <f t="shared" si="14"/>
        <v>1.6181272791589674E-3</v>
      </c>
      <c r="BX30" s="40">
        <f>IFERROR((s_C*s_EF_far*(1/365)*1*up_RadSpec!R30*((s_ET_far_o*(1/24)*up_RadSpec!W30)+(s_ET_far_i*(1/24)*up_RadSpec!AB30))),".")</f>
        <v>4.5205479452054788E-3</v>
      </c>
      <c r="BY30" s="40">
        <f>up_b2s!CC30</f>
        <v>151658.375</v>
      </c>
      <c r="BZ30" s="40">
        <f>IFERROR(((s_C*up_RadSpec!AJ30)/up_RadSpec!AU30)*s_IFFI_far_adj*s_CF_far_fish,0)</f>
        <v>7562.5</v>
      </c>
      <c r="CA30" s="40">
        <f>IFERROR(((s_C*up_RadSpec!AK30)/up_RadSpec!AU30)*s_IFSF_far_adj*s_CF_far_shellfish,0)</f>
        <v>7562.5</v>
      </c>
      <c r="CB30" s="40">
        <f>(s_C*s_IFB_far_adj*s_CF_far_beef*up_RadSpec!AI30*((s_Q_p_beef*s_f_p_beef*s_f_s_beef*(up_RadSpec!$AT30+s_R_es_past))+(s_Q_s_beef*s_f_p_beef)))</f>
        <v>26941406.25</v>
      </c>
      <c r="CC30" s="40">
        <f>(s_C*s_IFD_far_adj*s_CF_far_dairy*up_RadSpec!AH30*1/s_D_milk*((s_Q_p_dairy*s_f_p_dairy*s_f_s_dairy*(up_RadSpec!$AT30+s_R_es_past))+(s_Q_s_dairy*s_f_p_dairy)))</f>
        <v>26156705.09708738</v>
      </c>
      <c r="CD30" s="40">
        <f>IFERROR((s_C*s_IFSW_far_adj*s_CF_far_swine*up_RadSpec!AN30*((s_Q_p_swine*s_f_p_swine*s_f_s_swine*(up_RadSpec!$AT30+s_R_es_past))+(s_Q_s_swine*s_f_p_swine))),0)</f>
        <v>26941406.25</v>
      </c>
      <c r="CE30" s="40">
        <f>IFERROR((s_C*s_IFP_far_adj*s_CF_far_poultry*up_RadSpec!AL30*((s_Q_p_poultry*s_f_p_poultry*s_f_s_poultry*(up_RadSpec!AT30+s_R_es_past))+(s_Q_s_poultry*s_f_p_poultry))),0)</f>
        <v>26941406.25</v>
      </c>
      <c r="CF30" s="40">
        <f>IFERROR((s_C*s_IFE_far_adj*s_CF_far_egg*up_RadSpec!AM30*((s_Q_p_egg*s_f_p_egg*s_f_s_egg*(up_RadSpec!$AT30+s_R_es_past))+(s_Q_s_egg*s_f_p_egg))),0)</f>
        <v>26941406.25</v>
      </c>
      <c r="CG30" s="40">
        <f>IFERROR((s_C*s_IFGO_far_adj*s_CF_far_goat*up_RadSpec!AQ30*((s_Q_p_goat*s_f_p_goat*s_f_s_goat*(up_RadSpec!$AT30+s_R_es_past))+(s_Q_s_goat*s_f_p_goat))),0)</f>
        <v>26941406.25</v>
      </c>
      <c r="CH30" s="40">
        <f>IFERROR((s_C*s_IFGM_far_adj*s_CF_far_goat_milk*up_RadSpec!AR30*1/s_D_milk*((s_Q_p_goat_milk*s_f_p_goat_milk*s_f_s_goat_milk*(up_RadSpec!$AT30+s_R_es_past))+(s_Q_s_goat_milk*s_f_p_goat_milk))),0)</f>
        <v>26156705.09708738</v>
      </c>
      <c r="CI30" s="40">
        <f>IFERROR((s_C*s_IFSH_far_adj*s_CF_far_sheep*up_RadSpec!AO30*((s_Q_p_sheep*s_f_p_sheep*s_f_s_sheep*(up_RadSpec!$AT30+s_R_es_past))+(s_Q_s_sheep*s_f_p_sheep))),0)</f>
        <v>26941406.25</v>
      </c>
      <c r="CJ30" s="40">
        <f>IFERROR((s_C*s_IFSM_far_adj*s_CF_far_sheep_milk*up_RadSpec!AP30*1/s_D_milk*((s_Q_p_sheep_milk*s_f_p_sheep_milk*s_f_s_sheep_milk*(up_RadSpec!$AT30+s_R_es_past))+(s_Q_s_sheep_milk*s_f_p_sheep_milk))),0)</f>
        <v>26156705.09708738</v>
      </c>
      <c r="CK30" s="18"/>
      <c r="CL30" s="15">
        <f>IFERROR(s_DL/(up_RadSpec!I30*s_IFW_far_adj),".")</f>
        <v>3.6363636363636364E-3</v>
      </c>
      <c r="CM30" s="15" t="str">
        <f>IFERROR(IF(AND(up_RadSpec!C30=1,up_RadSpec!D30&lt;&gt;0),s_DL/(up_RadSpec!H30*s_IFA_far_adj*s_K*up_RadSpec!D30),"."),".")</f>
        <v>.</v>
      </c>
      <c r="CN30" s="15">
        <f>IFERROR((s_DL/(up_RadSpec!M30*(1/8760)*s_DFA_far_adj)),".")</f>
        <v>39.81818181818182</v>
      </c>
      <c r="CO30" s="15">
        <f>up_b2w!BC30</f>
        <v>1.6443412786038033E-4</v>
      </c>
      <c r="CP30" s="15">
        <f>IFERROR(J30/(up_RadSpec!AJ30*(1/1000)),".")</f>
        <v>0.13223140495867769</v>
      </c>
      <c r="CQ30" s="15">
        <f>IFERROR(K30/(up_RadSpec!AK30*(1/1000)),".")</f>
        <v>0.13223140495867769</v>
      </c>
      <c r="CR30" s="15">
        <f>IFERROR(G30/(up_RadSpec!AI30*s_Q_w_beef*(1/1000)),".")</f>
        <v>2.6446280991735537E-2</v>
      </c>
      <c r="CS30" s="15">
        <f>IFERROR((H30*s_D_milk)/(up_RadSpec!AH30*s_Q_w_dairy*(1/1000)),".")</f>
        <v>2.7239669421487603E-2</v>
      </c>
      <c r="CT30" s="15">
        <f>IFERROR(I30/(up_RadSpec!AN30*s_Q_w_swine*(1/1000)),".")</f>
        <v>2.6446280991735537E-2</v>
      </c>
      <c r="CU30" s="15">
        <f>IFERROR(E30/(up_RadSpec!AL30*s_Q_w_poultry*(1/1000)),".")</f>
        <v>2.6446280991735537E-2</v>
      </c>
      <c r="CV30" s="15">
        <f>IFERROR(F30/(up_RadSpec!AM30*s_Q_w_poultry*(1/1000)),".")</f>
        <v>2.6446280991735537E-2</v>
      </c>
      <c r="CW30" s="15">
        <f>IFERROR(L30/(up_RadSpec!AQ30*s_Q_w_goat*(1/1000)),".")</f>
        <v>2.6446280991735537E-2</v>
      </c>
      <c r="CX30" s="15">
        <f>IFERROR(N30*s_D_milk/(up_RadSpec!AR30*s_Q_w_goat_milk*(1/1000)),".")</f>
        <v>2.7239669421487603E-2</v>
      </c>
      <c r="CY30" s="15">
        <f>IFERROR(M30/(up_RadSpec!AO30*s_Q_w_sheep*(1/1000)),".")</f>
        <v>2.6446280991735537E-2</v>
      </c>
      <c r="CZ30" s="15">
        <f>IFERROR(O30*s_D_milk/(up_RadSpec!AP30*s_Q_w_sheep_milk*(1/1000)),".")</f>
        <v>2.7239669421487603E-2</v>
      </c>
      <c r="DA30" s="111">
        <f t="shared" si="28"/>
        <v>275</v>
      </c>
      <c r="DB30" s="111" t="str">
        <f t="shared" si="28"/>
        <v>.</v>
      </c>
      <c r="DC30" s="111">
        <f t="shared" si="28"/>
        <v>2.5114155251141551E-2</v>
      </c>
      <c r="DD30" s="111">
        <f t="shared" si="28"/>
        <v>6081.4626076229861</v>
      </c>
      <c r="DE30" s="111">
        <f t="shared" si="28"/>
        <v>7.5625</v>
      </c>
      <c r="DF30" s="111">
        <f t="shared" si="28"/>
        <v>7.5625</v>
      </c>
      <c r="DG30" s="111">
        <f t="shared" si="28"/>
        <v>37.8125</v>
      </c>
      <c r="DH30" s="111">
        <f t="shared" si="28"/>
        <v>36.711165048543691</v>
      </c>
      <c r="DI30" s="111">
        <f t="shared" si="28"/>
        <v>37.8125</v>
      </c>
      <c r="DJ30" s="111">
        <f t="shared" si="28"/>
        <v>37.8125</v>
      </c>
      <c r="DK30" s="111">
        <f t="shared" si="28"/>
        <v>37.8125</v>
      </c>
      <c r="DL30" s="111">
        <f t="shared" si="28"/>
        <v>37.8125</v>
      </c>
      <c r="DM30" s="111">
        <f t="shared" si="28"/>
        <v>36.711165048543691</v>
      </c>
      <c r="DN30" s="111">
        <f t="shared" si="28"/>
        <v>37.8125</v>
      </c>
      <c r="DO30" s="111">
        <f t="shared" si="28"/>
        <v>36.711165048543691</v>
      </c>
      <c r="DP30" s="15">
        <f t="shared" si="24"/>
        <v>1.4906192608956598E-4</v>
      </c>
      <c r="DQ30" s="189">
        <f>DP30*(0.0000000000000028)*up_RadSpec!$AY30*up_RadSpec!$AF30</f>
        <v>4.8624000290416429E-16</v>
      </c>
      <c r="DR30" s="40">
        <f t="shared" si="16"/>
        <v>1375</v>
      </c>
      <c r="DS30" s="40">
        <f>IFERROR(IF(up_RadSpec!D30&lt;&gt;"",s_C*s_IFA_far_adj*s_K*up_RadSpec!D30,0),".")</f>
        <v>0</v>
      </c>
      <c r="DT30" s="40">
        <f t="shared" si="17"/>
        <v>0.12557077625570776</v>
      </c>
      <c r="DU30" s="40">
        <f>up_b2w!CC30</f>
        <v>30407.313038114935</v>
      </c>
      <c r="DV30" s="40">
        <f>IFERROR(s_C*up_RadSpec!AJ30*(1/1000)*s_IFFI_far_adj*s_CF_far_fish,0)</f>
        <v>37.8125</v>
      </c>
      <c r="DW30" s="40">
        <f>IFERROR(s_C*up_RadSpec!AK30*(1/1000)*s_IFSF_far_adj*s_CF_far_shellfish,0)</f>
        <v>37.8125</v>
      </c>
      <c r="DX30" s="40">
        <f>(s_C*s_IFB_far_adj*s_CF_far_beef*up_RadSpec!AI30*s_Q_w_beef*(1/1000))</f>
        <v>189.0625</v>
      </c>
      <c r="DY30" s="40">
        <f>(s_C*s_IFD_far_adj*s_CF_far_dairy*up_RadSpec!AH30*(1/s_D_milk)*s_Q_w_dairy*(1/1000))</f>
        <v>183.55582524271844</v>
      </c>
      <c r="DZ30" s="40">
        <f>IFERROR((s_C*s_IFSW_far_adj*s_CF_far_swine*up_RadSpec!AN30*s_Q_w_swine*(1/1000)),0)</f>
        <v>189.0625</v>
      </c>
      <c r="EA30" s="40">
        <f>IFERROR((s_C*s_IFP_far_adj*s_CF_far_poultry*up_RadSpec!AL30*s_Q_w_poultry*(1/1000)),0)</f>
        <v>189.0625</v>
      </c>
      <c r="EB30" s="40">
        <f>IFERROR((s_C*s_IFE_far_adj*s_CF_far_egg*up_RadSpec!AM30*s_Q_w_egg*(1/1000)),0)</f>
        <v>189.0625</v>
      </c>
      <c r="EC30" s="40">
        <f>IFERROR((s_C*s_IFGO_far_adj*s_CF_far_goat*up_RadSpec!AQ30*s_Q_p_goat*(1/1000)),0)</f>
        <v>189.0625</v>
      </c>
      <c r="ED30" s="40">
        <f>IFERROR((s_C*s_IFGM_far_adj*s_CF_far_goat_milk*up_RadSpec!AR30*(1/s_D_milk)*s_Q_p_goat_milk*(1/1000)),0)</f>
        <v>183.55582524271844</v>
      </c>
      <c r="EE30" s="40">
        <f>IFERROR((s_C*s_IFSH_far_adj*s_CF_far_sheep*up_RadSpec!AO30*s_Q_p_sheep*(1/1000)),0)</f>
        <v>189.0625</v>
      </c>
      <c r="EF30" s="40">
        <f>IFERROR((s_C*s_IFSM_far_adj*s_CF_far_sheep_milk*up_RadSpec!AP30*(1/s_D_milk)*s_Q_p_sheep_milk*(1/1000)),0)</f>
        <v>183.55582524271844</v>
      </c>
      <c r="EG30" s="5"/>
      <c r="EH30" s="15">
        <f>IFERROR((s_DL/(up_RadSpec!H30*s_IFA_far_adj)),".")</f>
        <v>9.9740259740259754E-3</v>
      </c>
      <c r="EI30" s="15">
        <f>IFERROR((s_DL/(up_RadSpec!K30*s_EF_far*(1/365)*1*s_ET_far*(1/24)*s_GSF_a)),".")</f>
        <v>63.709090909090911</v>
      </c>
      <c r="EJ30" s="15">
        <f t="shared" si="25"/>
        <v>9.9724647271019675E-3</v>
      </c>
      <c r="EK30" s="189">
        <f>EJ30*(0.0000000000000028)*up_RadSpec!$AY30*up_RadSpec!$AF30</f>
        <v>3.2530179939806619E-14</v>
      </c>
      <c r="EL30" s="40">
        <f t="shared" si="19"/>
        <v>501.30208333333326</v>
      </c>
      <c r="EM30" s="40">
        <f t="shared" si="20"/>
        <v>7.8481735159817351E-2</v>
      </c>
      <c r="EN30" s="113"/>
    </row>
    <row r="31" spans="1:144" x14ac:dyDescent="0.25">
      <c r="A31" s="76" t="s">
        <v>1</v>
      </c>
      <c r="B31" s="76" t="s">
        <v>1057</v>
      </c>
      <c r="C31" s="57"/>
      <c r="D31" s="58">
        <f t="shared" ref="D31:O31" si="29">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1.3774517918733154E-5</v>
      </c>
      <c r="E31" s="58">
        <f t="shared" si="29"/>
        <v>5.5098071674932618E-5</v>
      </c>
      <c r="F31" s="58">
        <f t="shared" si="29"/>
        <v>5.5098071674932618E-5</v>
      </c>
      <c r="G31" s="58">
        <f t="shared" si="29"/>
        <v>5.5098071674932618E-5</v>
      </c>
      <c r="H31" s="58">
        <f t="shared" si="29"/>
        <v>5.5098071674932618E-5</v>
      </c>
      <c r="I31" s="58">
        <f t="shared" si="29"/>
        <v>5.5098071674932618E-5</v>
      </c>
      <c r="J31" s="58">
        <f t="shared" si="29"/>
        <v>5.5098071674932618E-5</v>
      </c>
      <c r="K31" s="58">
        <f t="shared" si="29"/>
        <v>5.5098071674932618E-5</v>
      </c>
      <c r="L31" s="58">
        <f t="shared" si="29"/>
        <v>5.5098071674932618E-5</v>
      </c>
      <c r="M31" s="58">
        <f t="shared" si="29"/>
        <v>5.5098071674932618E-5</v>
      </c>
      <c r="N31" s="58">
        <f t="shared" si="29"/>
        <v>5.5098071674932618E-5</v>
      </c>
      <c r="O31" s="58">
        <f t="shared" si="29"/>
        <v>5.5098071674932618E-5</v>
      </c>
      <c r="P31" s="168"/>
      <c r="Q31" s="168"/>
      <c r="R31" s="168"/>
      <c r="S31" s="168"/>
      <c r="T31" s="168"/>
      <c r="U31" s="168"/>
      <c r="V31" s="168"/>
      <c r="W31" s="111"/>
      <c r="X31" s="111">
        <f t="shared" si="26"/>
        <v>18149.4555</v>
      </c>
      <c r="Y31" s="111">
        <f t="shared" si="26"/>
        <v>18149.4555</v>
      </c>
      <c r="Z31" s="111">
        <f t="shared" si="26"/>
        <v>18149.4555</v>
      </c>
      <c r="AA31" s="111">
        <f t="shared" si="26"/>
        <v>18149.4555</v>
      </c>
      <c r="AB31" s="59">
        <f t="shared" ref="AB31" si="30">IFERROR(1/SUM(IFERROR(1/SUMIF(AB32,"&lt;&gt;.",AB32),0),IFERROR(1/SUMIF(AB33,"&lt;&gt;.",AB33),0),IFERROR(1/SUMIF(AB34,"&lt;&gt;.",AB34),0),IFERROR(1/SUMIF(AB35,"&lt;&gt;.",AB35),0),IFERROR(1/SUMIF(AB36,"&lt;&gt;.",AB36),0),IFERROR(1/SUMIF(AB37,"&lt;&gt;.",AB37),0),IFERROR(1/SUMIF(AB38,"&lt;&gt;.",AB38),0),IFERROR(1/SUMIF(AB39,"&lt;&gt;.",AB39),0),IFERROR(1/SUMIF(AB40,"&lt;&gt;.",AB40),0),IFERROR(1/SUMIF(AB41,"&lt;&gt;.",AB41),0),IFERROR(1/SUMIF(AB42,"&lt;&gt;.",AB42),0),IFERROR(1/SUMIF(AB43,"&lt;&gt;.",AB43),0),IFERROR(1/SUMIF(AB44,"&lt;&gt;.",AB44),0)),".")</f>
        <v>4.4977990155451401E-6</v>
      </c>
      <c r="AC31" s="248">
        <f>IFERROR(AB31*(0.0000000000028)*up_RadSpec!$AY3*up_RadSpec!$AF3,0)</f>
        <v>1.5175573878449304E-14</v>
      </c>
      <c r="AD31" s="47">
        <f>IFERROR(SUM(AD32:AD44),".")</f>
        <v>1814945.5500000003</v>
      </c>
      <c r="AE31" s="47">
        <f t="shared" ref="AE31:AO31" si="31">IFERROR(SUM(AE32:AE44),".")</f>
        <v>453736.38750000007</v>
      </c>
      <c r="AF31" s="47">
        <f t="shared" si="31"/>
        <v>453736.38750000007</v>
      </c>
      <c r="AG31" s="47">
        <f t="shared" si="31"/>
        <v>453736.38750000007</v>
      </c>
      <c r="AH31" s="47">
        <f t="shared" si="31"/>
        <v>453736.38750000007</v>
      </c>
      <c r="AI31" s="47">
        <f t="shared" si="31"/>
        <v>453736.38750000007</v>
      </c>
      <c r="AJ31" s="47">
        <f t="shared" si="31"/>
        <v>453736.38750000007</v>
      </c>
      <c r="AK31" s="47">
        <f t="shared" si="31"/>
        <v>453736.38750000007</v>
      </c>
      <c r="AL31" s="47">
        <f t="shared" si="31"/>
        <v>453736.38750000007</v>
      </c>
      <c r="AM31" s="47">
        <f t="shared" si="31"/>
        <v>453736.38750000007</v>
      </c>
      <c r="AN31" s="47">
        <f t="shared" si="31"/>
        <v>453736.38750000007</v>
      </c>
      <c r="AO31" s="47">
        <f t="shared" si="31"/>
        <v>453736.38750000007</v>
      </c>
      <c r="AP31" s="58">
        <f t="shared" ref="AP31:BD31" si="32">IFERROR(1/SUM(IFERROR(1/SUMIF(AP32,"&lt;&gt;.",AP32),0),IFERROR(1/SUMIF(AP33,"&lt;&gt;.",AP33),0),IFERROR(1/SUMIF(AP34,"&lt;&gt;.",AP34),0),IFERROR(1/SUMIF(AP35,"&lt;&gt;.",AP35),0),IFERROR(1/SUMIF(AP36,"&lt;&gt;.",AP36),0),IFERROR(1/SUMIF(AP37,"&lt;&gt;.",AP37),0),IFERROR(1/SUMIF(AP38,"&lt;&gt;.",AP38),0),IFERROR(1/SUMIF(AP39,"&lt;&gt;.",AP39),0),IFERROR(1/SUMIF(AP40,"&lt;&gt;.",AP40),0),IFERROR(1/SUMIF(AP41,"&lt;&gt;.",AP41),0),IFERROR(1/SUMIF(AP42,"&lt;&gt;.",AP42),0),IFERROR(1/SUMIF(AP43,"&lt;&gt;.",AP43),0),IFERROR(1/SUMIF(AP44,"&lt;&gt;.",AP44),0)),".")</f>
        <v>2.7549035837466318E-2</v>
      </c>
      <c r="AQ31" s="58">
        <f t="shared" si="32"/>
        <v>257.50704064407699</v>
      </c>
      <c r="AR31" s="58">
        <f t="shared" si="32"/>
        <v>44.971983338896493</v>
      </c>
      <c r="AS31" s="58">
        <f t="shared" si="32"/>
        <v>2.7474853732388867E-6</v>
      </c>
      <c r="AT31" s="58">
        <f t="shared" si="32"/>
        <v>5.5098071674932618E-5</v>
      </c>
      <c r="AU31" s="58">
        <f t="shared" si="32"/>
        <v>5.5098071674932618E-5</v>
      </c>
      <c r="AV31" s="58">
        <f t="shared" si="32"/>
        <v>1.5466125382437226E-8</v>
      </c>
      <c r="AW31" s="58">
        <f t="shared" si="32"/>
        <v>1.5930109143910341E-8</v>
      </c>
      <c r="AX31" s="58">
        <f t="shared" si="32"/>
        <v>1.5466125382437226E-8</v>
      </c>
      <c r="AY31" s="58">
        <f t="shared" si="32"/>
        <v>1.5466125382437226E-8</v>
      </c>
      <c r="AZ31" s="58">
        <f t="shared" si="32"/>
        <v>1.5466125382437226E-8</v>
      </c>
      <c r="BA31" s="112">
        <f t="shared" si="32"/>
        <v>1.5466125382437226E-8</v>
      </c>
      <c r="BB31" s="58">
        <f t="shared" si="32"/>
        <v>1.5930109143910341E-8</v>
      </c>
      <c r="BC31" s="58">
        <f t="shared" si="32"/>
        <v>1.5466125382437226E-8</v>
      </c>
      <c r="BD31" s="58">
        <f t="shared" si="32"/>
        <v>1.5930109143910341E-8</v>
      </c>
      <c r="BE31" s="111">
        <f t="shared" si="27"/>
        <v>36.29891099999999</v>
      </c>
      <c r="BF31" s="111">
        <f t="shared" si="27"/>
        <v>3.8833889648174219E-3</v>
      </c>
      <c r="BG31" s="111">
        <f t="shared" si="27"/>
        <v>2.2236066229596216E-2</v>
      </c>
      <c r="BH31" s="111">
        <f t="shared" si="27"/>
        <v>363969.18059699988</v>
      </c>
      <c r="BI31" s="111">
        <f t="shared" si="27"/>
        <v>18149.4555</v>
      </c>
      <c r="BJ31" s="111">
        <f t="shared" si="27"/>
        <v>18149.4555</v>
      </c>
      <c r="BK31" s="111">
        <f t="shared" si="27"/>
        <v>64657435.21875</v>
      </c>
      <c r="BL31" s="111">
        <f t="shared" si="27"/>
        <v>62774208.950242721</v>
      </c>
      <c r="BM31" s="111">
        <f t="shared" si="27"/>
        <v>64657435.21875</v>
      </c>
      <c r="BN31" s="111">
        <f t="shared" si="27"/>
        <v>64657435.21875</v>
      </c>
      <c r="BO31" s="111">
        <f t="shared" si="27"/>
        <v>64657435.21875</v>
      </c>
      <c r="BP31" s="111">
        <f t="shared" si="27"/>
        <v>64657435.21875</v>
      </c>
      <c r="BQ31" s="111">
        <f t="shared" si="27"/>
        <v>62774208.950242721</v>
      </c>
      <c r="BR31" s="111">
        <f t="shared" si="27"/>
        <v>64657435.21875</v>
      </c>
      <c r="BS31" s="111">
        <f t="shared" si="27"/>
        <v>62774208.950242721</v>
      </c>
      <c r="BT31" s="59">
        <f>IFERROR(1/SUM(IFERROR(1/SUMIF(BT32,"&lt;&gt;.",BT32),0),IFERROR(1/SUMIF(BT33,"&lt;&gt;.",BT33),0),IFERROR(1/SUMIF(BT34,"&lt;&gt;.",BT34),0),IFERROR(1/SUMIF(BT35,"&lt;&gt;.",BT35),0),IFERROR(1/SUMIF(BT36,"&lt;&gt;.",BT36),0),IFERROR(1/SUMIF(BT37,"&lt;&gt;.",BT37),0),IFERROR(1/SUMIF(BT38,"&lt;&gt;.",BT38),0),IFERROR(1/SUMIF(BT39,"&lt;&gt;.",BT39),0),IFERROR(1/SUMIF(BT40,"&lt;&gt;.",BT40),0),IFERROR(1/SUMIF(BT41,"&lt;&gt;.",BT41),0),IFERROR(1/SUMIF(BT42,"&lt;&gt;.",BT42),0),IFERROR(1/SUMIF(BT43,"&lt;&gt;.",BT43),0),IFERROR(1/SUMIF(BT44,"&lt;&gt;.",BT44),0)),".")</f>
        <v>1.7341014122734715E-9</v>
      </c>
      <c r="BU31" s="190">
        <f>BT31*(0.0000000000028)*up_RadSpec!$AY3*up_RadSpec!$AF3</f>
        <v>5.8508581650106939E-18</v>
      </c>
      <c r="BV31" s="47">
        <f t="shared" ref="BV31" si="33">IFERROR(SUM(BV32:BV44),".")</f>
        <v>907.47277499999996</v>
      </c>
      <c r="BW31" s="47">
        <f t="shared" ref="BW31:CK31" si="34">IFERROR(SUM(BW32:BW44),".")</f>
        <v>9.7084724120435575E-2</v>
      </c>
      <c r="BX31" s="47">
        <f t="shared" si="34"/>
        <v>0.55590165573990535</v>
      </c>
      <c r="BY31" s="47">
        <f t="shared" si="34"/>
        <v>9099229.5149250012</v>
      </c>
      <c r="BZ31" s="47">
        <f t="shared" si="34"/>
        <v>453736.38750000007</v>
      </c>
      <c r="CA31" s="47">
        <f t="shared" si="34"/>
        <v>453736.38750000007</v>
      </c>
      <c r="CB31" s="47">
        <f t="shared" si="34"/>
        <v>1616435880.46875</v>
      </c>
      <c r="CC31" s="47">
        <f t="shared" si="34"/>
        <v>1569355223.756068</v>
      </c>
      <c r="CD31" s="47">
        <f t="shared" si="34"/>
        <v>1616435880.46875</v>
      </c>
      <c r="CE31" s="47">
        <f t="shared" si="34"/>
        <v>1616435880.46875</v>
      </c>
      <c r="CF31" s="47">
        <f t="shared" si="34"/>
        <v>1616435880.46875</v>
      </c>
      <c r="CG31" s="47">
        <f t="shared" si="34"/>
        <v>1616435880.46875</v>
      </c>
      <c r="CH31" s="47">
        <f t="shared" si="34"/>
        <v>1569355223.756068</v>
      </c>
      <c r="CI31" s="47">
        <f t="shared" si="34"/>
        <v>1616435880.46875</v>
      </c>
      <c r="CJ31" s="47">
        <f t="shared" si="34"/>
        <v>1569355223.756068</v>
      </c>
      <c r="CK31" s="47">
        <f t="shared" si="34"/>
        <v>14416688564.496393</v>
      </c>
      <c r="CL31" s="59">
        <f t="shared" ref="CL31:CZ31" si="35">IFERROR(1/SUM(IFERROR(1/SUMIF(CL32,"&lt;&gt;.",CL32),0),IFERROR(1/SUMIF(CL33,"&lt;&gt;.",CL33),0),IFERROR(1/SUMIF(CL34,"&lt;&gt;.",CL34),0),IFERROR(1/SUMIF(CL35,"&lt;&gt;.",CL35),0),IFERROR(1/SUMIF(CL36,"&lt;&gt;.",CL36),0),IFERROR(1/SUMIF(CL37,"&lt;&gt;.",CL37),0),IFERROR(1/SUMIF(CL38,"&lt;&gt;.",CL38),0),IFERROR(1/SUMIF(CL39,"&lt;&gt;.",CL39),0),IFERROR(1/SUMIF(CL40,"&lt;&gt;.",CL40),0),IFERROR(1/SUMIF(CL41,"&lt;&gt;.",CL41),0),IFERROR(1/SUMIF(CL42,"&lt;&gt;.",CL42),0),IFERROR(1/SUMIF(CL43,"&lt;&gt;.",CL43),0),IFERROR(1/SUMIF(CL44,"&lt;&gt;.",CL44),0)),".")</f>
        <v>3.0303939421212937E-4</v>
      </c>
      <c r="CM31" s="58" t="str">
        <f t="shared" si="35"/>
        <v>.</v>
      </c>
      <c r="CN31" s="59">
        <f t="shared" si="35"/>
        <v>3.3182813666228168</v>
      </c>
      <c r="CO31" s="59">
        <f t="shared" si="35"/>
        <v>1.3703255086017612E-5</v>
      </c>
      <c r="CP31" s="59">
        <f t="shared" si="35"/>
        <v>1.1019614334986522E-2</v>
      </c>
      <c r="CQ31" s="59">
        <f t="shared" si="35"/>
        <v>1.1019614334986522E-2</v>
      </c>
      <c r="CR31" s="59">
        <f t="shared" si="35"/>
        <v>2.2039228669973048E-3</v>
      </c>
      <c r="CS31" s="59">
        <f t="shared" si="35"/>
        <v>2.2700405530072234E-3</v>
      </c>
      <c r="CT31" s="59">
        <f t="shared" si="35"/>
        <v>2.2039228669973048E-3</v>
      </c>
      <c r="CU31" s="59">
        <f t="shared" si="35"/>
        <v>2.2039228669973048E-3</v>
      </c>
      <c r="CV31" s="59">
        <f t="shared" si="35"/>
        <v>2.2039228669973048E-3</v>
      </c>
      <c r="CW31" s="59">
        <f t="shared" si="35"/>
        <v>2.2039228669973048E-3</v>
      </c>
      <c r="CX31" s="59">
        <f t="shared" si="35"/>
        <v>2.2700405530072234E-3</v>
      </c>
      <c r="CY31" s="59">
        <f t="shared" si="35"/>
        <v>2.2039228669973048E-3</v>
      </c>
      <c r="CZ31" s="59">
        <f t="shared" si="35"/>
        <v>2.2700405530072234E-3</v>
      </c>
      <c r="DA31" s="111">
        <f t="shared" si="28"/>
        <v>3299.9010000000003</v>
      </c>
      <c r="DB31" s="111" t="str">
        <f t="shared" si="28"/>
        <v>.</v>
      </c>
      <c r="DC31" s="111">
        <f t="shared" si="28"/>
        <v>0.30136082191780822</v>
      </c>
      <c r="DD31" s="111">
        <f t="shared" si="28"/>
        <v>72975.361964937067</v>
      </c>
      <c r="DE31" s="111">
        <f t="shared" si="28"/>
        <v>90.74727750000001</v>
      </c>
      <c r="DF31" s="111">
        <f t="shared" si="28"/>
        <v>90.74727750000001</v>
      </c>
      <c r="DG31" s="111">
        <f t="shared" si="28"/>
        <v>453.73638749999998</v>
      </c>
      <c r="DH31" s="111">
        <f t="shared" si="28"/>
        <v>440.52076456310687</v>
      </c>
      <c r="DI31" s="111">
        <f t="shared" si="28"/>
        <v>453.73638749999998</v>
      </c>
      <c r="DJ31" s="111">
        <f t="shared" si="28"/>
        <v>453.73638749999998</v>
      </c>
      <c r="DK31" s="111">
        <f t="shared" si="28"/>
        <v>453.73638749999998</v>
      </c>
      <c r="DL31" s="111">
        <f t="shared" si="28"/>
        <v>453.73638749999998</v>
      </c>
      <c r="DM31" s="111">
        <f t="shared" si="28"/>
        <v>440.52076456310687</v>
      </c>
      <c r="DN31" s="111">
        <f t="shared" si="28"/>
        <v>453.73638749999998</v>
      </c>
      <c r="DO31" s="111">
        <f t="shared" si="28"/>
        <v>440.52076456310687</v>
      </c>
      <c r="DP31" s="59">
        <f>IFERROR(1/SUM(IFERROR(1/SUMIF(DP32,"&lt;&gt;.",DP32),0),IFERROR(1/SUMIF(DP33,"&lt;&gt;.",DP33),0),IFERROR(1/SUMIF(DP34,"&lt;&gt;.",DP34),0),IFERROR(1/SUMIF(DP35,"&lt;&gt;.",DP35),0),IFERROR(1/SUMIF(DP36,"&lt;&gt;.",DP36),0),IFERROR(1/SUMIF(DP37,"&lt;&gt;.",DP37),0),IFERROR(1/SUMIF(DP38,"&lt;&gt;.",DP38),0),IFERROR(1/SUMIF(DP39,"&lt;&gt;.",DP39),0),IFERROR(1/SUMIF(DP40,"&lt;&gt;.",DP40),0),IFERROR(1/SUMIF(DP41,"&lt;&gt;.",DP41),0),IFERROR(1/SUMIF(DP42,"&lt;&gt;.",DP42),0),IFERROR(1/SUMIF(DP43,"&lt;&gt;.",DP43),0),IFERROR(1/SUMIF(DP44,"&lt;&gt;.",DP44),0)),".")</f>
        <v>1.2422199840125702E-5</v>
      </c>
      <c r="DQ31" s="190">
        <f>DP31*(0.0000000000000028)*up_RadSpec!$AY3*up_RadSpec!$AF3</f>
        <v>4.1912502260584116E-17</v>
      </c>
      <c r="DR31" s="47">
        <f t="shared" ref="DR31" si="36">IFERROR(SUM(DR32:DR44),".")</f>
        <v>82497.524999999994</v>
      </c>
      <c r="DS31" s="47">
        <f t="shared" ref="DS31:EG31" si="37">IFERROR(SUM(DS32:DS44),".")</f>
        <v>0</v>
      </c>
      <c r="DT31" s="47">
        <f t="shared" si="37"/>
        <v>7.5340205479452074</v>
      </c>
      <c r="DU31" s="47">
        <f t="shared" si="37"/>
        <v>1824384.0491234274</v>
      </c>
      <c r="DV31" s="47">
        <f t="shared" si="37"/>
        <v>2268.6819375</v>
      </c>
      <c r="DW31" s="47">
        <f t="shared" si="37"/>
        <v>2268.6819375</v>
      </c>
      <c r="DX31" s="47">
        <f t="shared" si="37"/>
        <v>11343.4096875</v>
      </c>
      <c r="DY31" s="47">
        <f t="shared" si="37"/>
        <v>11013.019114077671</v>
      </c>
      <c r="DZ31" s="47">
        <f t="shared" si="37"/>
        <v>11343.4096875</v>
      </c>
      <c r="EA31" s="47">
        <f t="shared" si="37"/>
        <v>11343.4096875</v>
      </c>
      <c r="EB31" s="47">
        <f t="shared" si="37"/>
        <v>11343.4096875</v>
      </c>
      <c r="EC31" s="47">
        <f t="shared" si="37"/>
        <v>11343.4096875</v>
      </c>
      <c r="ED31" s="47">
        <f t="shared" si="37"/>
        <v>11013.019114077671</v>
      </c>
      <c r="EE31" s="47">
        <f t="shared" si="37"/>
        <v>11343.4096875</v>
      </c>
      <c r="EF31" s="47">
        <f t="shared" si="37"/>
        <v>11013.019114077671</v>
      </c>
      <c r="EG31" s="47">
        <f t="shared" si="37"/>
        <v>2012525.9874862088</v>
      </c>
      <c r="EH31" s="59">
        <f>IFERROR(1/SUM(IFERROR(1/SUMIF(EH32,"&lt;&gt;.",EH32),0),IFERROR(1/SUMIF(EH33,"&lt;&gt;.",EH33),0),IFERROR(1/SUMIF(EH34,"&lt;&gt;.",EH34),0),IFERROR(1/SUMIF(EH35,"&lt;&gt;.",EH35),0),IFERROR(1/SUMIF(EH36,"&lt;&gt;.",EH36),0),IFERROR(1/SUMIF(EH37,"&lt;&gt;.",EH37),0),IFERROR(1/SUMIF(EH38,"&lt;&gt;.",EH38),0),IFERROR(1/SUMIF(EH39,"&lt;&gt;.",EH39),0),IFERROR(1/SUMIF(EH40,"&lt;&gt;.",EH40),0),IFERROR(1/SUMIF(EH41,"&lt;&gt;.",EH41),0),IFERROR(1/SUMIF(EH42,"&lt;&gt;.",EH42),0),IFERROR(1/SUMIF(EH43,"&lt;&gt;.",EH43),0),IFERROR(1/SUMIF(EH44,"&lt;&gt;.",EH44),0)),".")</f>
        <v>8.311937669818407E-4</v>
      </c>
      <c r="EI31" s="59">
        <f>IFERROR(1/SUM(IFERROR(1/SUMIF(EI32,"&lt;&gt;.",EI32),0),IFERROR(1/SUMIF(EI33,"&lt;&gt;.",EI33),0),IFERROR(1/SUMIF(EI34,"&lt;&gt;.",EI34),0),IFERROR(1/SUMIF(EI35,"&lt;&gt;.",EI35),0),IFERROR(1/SUMIF(EI36,"&lt;&gt;.",EI36),0),IFERROR(1/SUMIF(EI37,"&lt;&gt;.",EI37),0),IFERROR(1/SUMIF(EI38,"&lt;&gt;.",EI38),0),IFERROR(1/SUMIF(EI39,"&lt;&gt;.",EI39),0),IFERROR(1/SUMIF(EI40,"&lt;&gt;.",EI40),0),IFERROR(1/SUMIF(EI41,"&lt;&gt;.",EI41),0),IFERROR(1/SUMIF(EI42,"&lt;&gt;.",EI42),0),IFERROR(1/SUMIF(EI43,"&lt;&gt;.",EI43),0),IFERROR(1/SUMIF(EI44,"&lt;&gt;.",EI44),0)),".")</f>
        <v>5.3092501865965076</v>
      </c>
      <c r="EJ31" s="59">
        <f>IFERROR(1/SUM(IFERROR(1/SUMIF(EJ32,"&lt;&gt;.",EJ32),0),IFERROR(1/SUMIF(EJ33,"&lt;&gt;.",EJ33),0),IFERROR(1/SUMIF(EJ34,"&lt;&gt;.",EJ34),0),IFERROR(1/SUMIF(EJ35,"&lt;&gt;.",EJ35),0),IFERROR(1/SUMIF(EJ36,"&lt;&gt;.",EJ36),0),IFERROR(1/SUMIF(EJ37,"&lt;&gt;.",EJ37),0),IFERROR(1/SUMIF(EJ38,"&lt;&gt;.",EJ38),0),IFERROR(1/SUMIF(EJ39,"&lt;&gt;.",EJ39),0),IFERROR(1/SUMIF(EJ40,"&lt;&gt;.",EJ40),0),IFERROR(1/SUMIF(EJ41,"&lt;&gt;.",EJ41),0),IFERROR(1/SUMIF(EJ42,"&lt;&gt;.",EJ42),0),IFERROR(1/SUMIF(EJ43,"&lt;&gt;.",EJ43),0),IFERROR(1/SUMIF(EJ44,"&lt;&gt;.",EJ44),0)),".")</f>
        <v>8.3106365916827253E-4</v>
      </c>
      <c r="EK31" s="190">
        <f>EJ31*(0.0000000000000028)*up_RadSpec!$AY3*up_RadSpec!$AF3</f>
        <v>2.8040087860337519E-15</v>
      </c>
      <c r="EL31" s="47">
        <f t="shared" ref="EL31" si="38">IFERROR(SUM(EL32:EL44),".")</f>
        <v>30077.222656249985</v>
      </c>
      <c r="EM31" s="47">
        <f t="shared" ref="EM31:EN31" si="39">IFERROR(SUM(EM32:EM44),".")</f>
        <v>4.7087628424657533</v>
      </c>
      <c r="EN31" s="47">
        <f t="shared" si="39"/>
        <v>30081.93141909246</v>
      </c>
    </row>
    <row r="32" spans="1:144" x14ac:dyDescent="0.25">
      <c r="A32" s="77" t="s">
        <v>1085</v>
      </c>
      <c r="B32" s="42">
        <v>1</v>
      </c>
      <c r="C32" s="42"/>
      <c r="D32" s="60">
        <f t="shared" ref="D32:O32" si="40">IFERROR(D3/$B32,".")</f>
        <v>1.6528925619834712E-4</v>
      </c>
      <c r="E32" s="60">
        <f t="shared" si="40"/>
        <v>6.6115702479338848E-4</v>
      </c>
      <c r="F32" s="60">
        <f t="shared" si="40"/>
        <v>6.6115702479338848E-4</v>
      </c>
      <c r="G32" s="60">
        <f t="shared" si="40"/>
        <v>6.6115702479338848E-4</v>
      </c>
      <c r="H32" s="60">
        <f t="shared" si="40"/>
        <v>6.6115702479338848E-4</v>
      </c>
      <c r="I32" s="60">
        <f t="shared" si="40"/>
        <v>6.6115702479338848E-4</v>
      </c>
      <c r="J32" s="60">
        <f t="shared" si="40"/>
        <v>6.6115702479338848E-4</v>
      </c>
      <c r="K32" s="60">
        <f t="shared" si="40"/>
        <v>6.6115702479338848E-4</v>
      </c>
      <c r="L32" s="60">
        <f t="shared" si="40"/>
        <v>6.6115702479338848E-4</v>
      </c>
      <c r="M32" s="60">
        <f t="shared" si="40"/>
        <v>6.6115702479338848E-4</v>
      </c>
      <c r="N32" s="60">
        <f t="shared" si="40"/>
        <v>6.6115702479338848E-4</v>
      </c>
      <c r="O32" s="60">
        <f t="shared" si="40"/>
        <v>6.6115702479338848E-4</v>
      </c>
      <c r="P32" s="111">
        <f>IFERROR(1/H32,".")</f>
        <v>1512.5</v>
      </c>
      <c r="Q32" s="111">
        <f t="shared" ref="Q32:W44" si="41">IFERROR(1/I32,".")</f>
        <v>1512.5</v>
      </c>
      <c r="R32" s="111">
        <f t="shared" si="41"/>
        <v>1512.5</v>
      </c>
      <c r="S32" s="111">
        <f t="shared" si="41"/>
        <v>1512.5</v>
      </c>
      <c r="T32" s="111">
        <f t="shared" si="41"/>
        <v>1512.5</v>
      </c>
      <c r="U32" s="111">
        <f t="shared" si="41"/>
        <v>1512.5</v>
      </c>
      <c r="V32" s="111">
        <f t="shared" si="41"/>
        <v>1512.5</v>
      </c>
      <c r="W32" s="111">
        <f t="shared" si="41"/>
        <v>1512.5</v>
      </c>
      <c r="X32" s="111">
        <f t="shared" si="26"/>
        <v>1512.5</v>
      </c>
      <c r="Y32" s="111">
        <f t="shared" si="26"/>
        <v>1512.5</v>
      </c>
      <c r="Z32" s="111">
        <f t="shared" si="26"/>
        <v>1512.5</v>
      </c>
      <c r="AA32" s="111">
        <f t="shared" si="26"/>
        <v>1512.5</v>
      </c>
      <c r="AB32" s="60">
        <f>IFERROR(AB3/$B32,".")</f>
        <v>5.5096418732782371E-5</v>
      </c>
      <c r="AC32" s="247">
        <f>IFERROR(AC3/$B32,0)</f>
        <v>1.8589531680440773E-13</v>
      </c>
      <c r="AD32" s="49">
        <f>up_dir!BC32</f>
        <v>151250</v>
      </c>
      <c r="AE32" s="49">
        <f>IF(E32=".",".",up_RadSpec!$F$3*AE3*$B$32)</f>
        <v>37812.5</v>
      </c>
      <c r="AF32" s="49">
        <f>IF(F32=".",".",up_RadSpec!$F$3*AF3*$B$32)</f>
        <v>37812.5</v>
      </c>
      <c r="AG32" s="49">
        <f>IF(G32=".",".",up_RadSpec!$F$3*AG3*$B$32)</f>
        <v>37812.5</v>
      </c>
      <c r="AH32" s="49">
        <f>IF(H32=".",".",up_RadSpec!$F$3*AH3*$B$32)</f>
        <v>37812.5</v>
      </c>
      <c r="AI32" s="49">
        <f>IF(I32=".",".",up_RadSpec!$F$3*AI3*$B$32)</f>
        <v>37812.5</v>
      </c>
      <c r="AJ32" s="49">
        <f>IF(J32=".",".",up_RadSpec!$F$3*AJ3*$B$32)</f>
        <v>37812.5</v>
      </c>
      <c r="AK32" s="49">
        <f>IF(K32=".",".",up_RadSpec!$F$3*AK3*$B$32)</f>
        <v>37812.5</v>
      </c>
      <c r="AL32" s="49">
        <f>IF(L32=".",".",up_RadSpec!$F$3*AL3*$B$32)</f>
        <v>37812.5</v>
      </c>
      <c r="AM32" s="49">
        <f>IF(M32=".",".",up_RadSpec!$F$3*AM3*$B$32)</f>
        <v>37812.5</v>
      </c>
      <c r="AN32" s="49">
        <f>IF(N32=".",".",up_RadSpec!$F$3*AN3*$B$32)</f>
        <v>37812.5</v>
      </c>
      <c r="AO32" s="49">
        <f>IF(O32=".",".",up_RadSpec!$F$3*AO3*$B$32)</f>
        <v>37812.5</v>
      </c>
      <c r="AP32" s="60">
        <f t="shared" ref="AP32:BD32" si="42">IFERROR(AP3/$B32,".")</f>
        <v>0.33057851239669422</v>
      </c>
      <c r="AQ32" s="60">
        <f t="shared" si="42"/>
        <v>3089.9917851942919</v>
      </c>
      <c r="AR32" s="60">
        <f t="shared" si="42"/>
        <v>92435.064935064976</v>
      </c>
      <c r="AS32" s="60">
        <f t="shared" si="42"/>
        <v>3.2968835384132272E-5</v>
      </c>
      <c r="AT32" s="60">
        <f t="shared" si="42"/>
        <v>6.6115702479338848E-4</v>
      </c>
      <c r="AU32" s="60">
        <f t="shared" si="42"/>
        <v>6.6115702479338848E-4</v>
      </c>
      <c r="AV32" s="60">
        <f t="shared" si="42"/>
        <v>1.8558793678410905E-7</v>
      </c>
      <c r="AW32" s="60">
        <f t="shared" si="42"/>
        <v>1.9115557488763231E-7</v>
      </c>
      <c r="AX32" s="60">
        <f t="shared" si="42"/>
        <v>1.8558793678410905E-7</v>
      </c>
      <c r="AY32" s="60">
        <f t="shared" si="42"/>
        <v>1.8558793678410905E-7</v>
      </c>
      <c r="AZ32" s="60">
        <f t="shared" si="42"/>
        <v>1.8558793678410905E-7</v>
      </c>
      <c r="BA32" s="60">
        <f t="shared" si="42"/>
        <v>1.8558793678410905E-7</v>
      </c>
      <c r="BB32" s="60">
        <f t="shared" si="42"/>
        <v>1.9115557488763231E-7</v>
      </c>
      <c r="BC32" s="60">
        <f t="shared" si="42"/>
        <v>1.8558793678410905E-7</v>
      </c>
      <c r="BD32" s="60">
        <f t="shared" si="42"/>
        <v>1.9115557488763231E-7</v>
      </c>
      <c r="BE32" s="111">
        <f t="shared" si="27"/>
        <v>3.0249999999999999</v>
      </c>
      <c r="BF32" s="111">
        <f t="shared" si="27"/>
        <v>3.236254558317935E-4</v>
      </c>
      <c r="BG32" s="111">
        <f t="shared" si="27"/>
        <v>1.081840533895328E-5</v>
      </c>
      <c r="BH32" s="111">
        <f t="shared" si="27"/>
        <v>30331.674999999992</v>
      </c>
      <c r="BI32" s="111">
        <f t="shared" si="27"/>
        <v>1512.5</v>
      </c>
      <c r="BJ32" s="111">
        <f t="shared" si="27"/>
        <v>1512.5</v>
      </c>
      <c r="BK32" s="111">
        <f t="shared" si="27"/>
        <v>5388281.2499999991</v>
      </c>
      <c r="BL32" s="111">
        <f t="shared" si="27"/>
        <v>5231341.0194174759</v>
      </c>
      <c r="BM32" s="111">
        <f t="shared" si="27"/>
        <v>5388281.2499999991</v>
      </c>
      <c r="BN32" s="111">
        <f t="shared" si="27"/>
        <v>5388281.2499999991</v>
      </c>
      <c r="BO32" s="111">
        <f t="shared" si="27"/>
        <v>5388281.2499999991</v>
      </c>
      <c r="BP32" s="111">
        <f t="shared" si="27"/>
        <v>5388281.2499999991</v>
      </c>
      <c r="BQ32" s="111">
        <f t="shared" si="27"/>
        <v>5231341.0194174759</v>
      </c>
      <c r="BR32" s="111">
        <f t="shared" si="27"/>
        <v>5388281.2499999991</v>
      </c>
      <c r="BS32" s="111">
        <f t="shared" si="27"/>
        <v>5231341.0194174759</v>
      </c>
      <c r="BT32" s="60">
        <f>IFERROR(BT3/$B32,".")</f>
        <v>2.0808592671570929E-8</v>
      </c>
      <c r="BU32" s="189">
        <f>IFERROR(BU3/$B32,0)</f>
        <v>7.0208191673880323E-17</v>
      </c>
      <c r="BV32" s="49">
        <f>IF(AP32=".",".",up_RadSpec!$E$3*BV3*$B$32)</f>
        <v>75.625</v>
      </c>
      <c r="BW32" s="49">
        <f>IF(AQ32=".",".",up_RadSpec!$H$3*BW3*$B$32)</f>
        <v>8.0906363957948379E-3</v>
      </c>
      <c r="BX32" s="49">
        <f>IF(AR32=".",".",up_RadSpec!$G$3*BX3*$B$32)</f>
        <v>2.7046013347383196E-4</v>
      </c>
      <c r="BY32" s="49">
        <f>up_b2s!CC32</f>
        <v>758291.875</v>
      </c>
      <c r="BZ32" s="49">
        <f>IF(AT32=".",".",up_RadSpec!$F$3*BZ3*$B$32)</f>
        <v>37812.5</v>
      </c>
      <c r="CA32" s="49">
        <f>IF(AU32=".",".",up_RadSpec!$F$3*CA3*$B$32)</f>
        <v>37812.5</v>
      </c>
      <c r="CB32" s="49">
        <f>IF(AV32=".",".",up_RadSpec!$F$3*CB3*$B$32)</f>
        <v>134707031.25</v>
      </c>
      <c r="CC32" s="49">
        <f>IF(AW32=".",".",up_RadSpec!$F$3*CC3*$B$32)</f>
        <v>130783525.4854369</v>
      </c>
      <c r="CD32" s="49">
        <f>IF(AX32=".",".",up_RadSpec!$F$3*CD3*$B$32)</f>
        <v>134707031.25</v>
      </c>
      <c r="CE32" s="49">
        <f>IF(AY32=".",".",up_RadSpec!$F$3*CE3*$B$32)</f>
        <v>134707031.25</v>
      </c>
      <c r="CF32" s="49">
        <f>IF(AZ32=".",".",up_RadSpec!$F$3*CF3*$B$32)</f>
        <v>134707031.25</v>
      </c>
      <c r="CG32" s="49">
        <f>IF(BA32=".",".",up_RadSpec!$F$3*CG3*$B$32)</f>
        <v>134707031.25</v>
      </c>
      <c r="CH32" s="49">
        <f>IF(BB32=".",".",up_RadSpec!$F$3*CH3*$B$32)</f>
        <v>130783525.4854369</v>
      </c>
      <c r="CI32" s="49">
        <f>IF(BC32=".",".",up_RadSpec!$F$3*CI3*$B$32)</f>
        <v>134707031.25</v>
      </c>
      <c r="CJ32" s="49">
        <f>IF(BD32=".",".",up_RadSpec!$F$3*CJ3*$B$32)</f>
        <v>130783525.4854369</v>
      </c>
      <c r="CK32" s="49">
        <f>IFERROR(SUM(BV32:CJ32),".")</f>
        <v>1201426756.4646719</v>
      </c>
      <c r="CL32" s="60">
        <f>IFERROR(CL3/$B32,".")</f>
        <v>3.6363636363636364E-3</v>
      </c>
      <c r="CM32" s="60" t="str">
        <f>IFERROR(CM3,".")</f>
        <v>.</v>
      </c>
      <c r="CN32" s="60">
        <f t="shared" ref="CN32:CZ32" si="43">IFERROR(CN3/$B32,".")</f>
        <v>39.81818181818182</v>
      </c>
      <c r="CO32" s="60">
        <f t="shared" si="43"/>
        <v>1.6443412786038033E-4</v>
      </c>
      <c r="CP32" s="60">
        <f t="shared" si="43"/>
        <v>0.13223140495867769</v>
      </c>
      <c r="CQ32" s="60">
        <f t="shared" si="43"/>
        <v>0.13223140495867769</v>
      </c>
      <c r="CR32" s="60">
        <f t="shared" si="43"/>
        <v>2.6446280991735537E-2</v>
      </c>
      <c r="CS32" s="60">
        <f t="shared" si="43"/>
        <v>2.7239669421487603E-2</v>
      </c>
      <c r="CT32" s="60">
        <f t="shared" si="43"/>
        <v>2.6446280991735537E-2</v>
      </c>
      <c r="CU32" s="60">
        <f t="shared" si="43"/>
        <v>2.6446280991735537E-2</v>
      </c>
      <c r="CV32" s="60">
        <f t="shared" si="43"/>
        <v>2.6446280991735537E-2</v>
      </c>
      <c r="CW32" s="60">
        <f t="shared" si="43"/>
        <v>2.6446280991735537E-2</v>
      </c>
      <c r="CX32" s="60">
        <f t="shared" si="43"/>
        <v>2.7239669421487603E-2</v>
      </c>
      <c r="CY32" s="60">
        <f t="shared" si="43"/>
        <v>2.6446280991735537E-2</v>
      </c>
      <c r="CZ32" s="60">
        <f t="shared" si="43"/>
        <v>2.7239669421487603E-2</v>
      </c>
      <c r="DA32" s="111">
        <f t="shared" si="28"/>
        <v>275</v>
      </c>
      <c r="DB32" s="111" t="str">
        <f t="shared" si="28"/>
        <v>.</v>
      </c>
      <c r="DC32" s="111">
        <f t="shared" si="28"/>
        <v>2.5114155251141551E-2</v>
      </c>
      <c r="DD32" s="111">
        <f t="shared" si="28"/>
        <v>6081.4626076229861</v>
      </c>
      <c r="DE32" s="111">
        <f t="shared" si="28"/>
        <v>7.5625</v>
      </c>
      <c r="DF32" s="111">
        <f t="shared" si="28"/>
        <v>7.5625</v>
      </c>
      <c r="DG32" s="111">
        <f t="shared" si="28"/>
        <v>37.8125</v>
      </c>
      <c r="DH32" s="111">
        <f t="shared" si="28"/>
        <v>36.711165048543691</v>
      </c>
      <c r="DI32" s="111">
        <f t="shared" si="28"/>
        <v>37.8125</v>
      </c>
      <c r="DJ32" s="111">
        <f t="shared" si="28"/>
        <v>37.8125</v>
      </c>
      <c r="DK32" s="111">
        <f t="shared" si="28"/>
        <v>37.8125</v>
      </c>
      <c r="DL32" s="111">
        <f t="shared" si="28"/>
        <v>37.8125</v>
      </c>
      <c r="DM32" s="111">
        <f t="shared" si="28"/>
        <v>36.711165048543691</v>
      </c>
      <c r="DN32" s="111">
        <f t="shared" si="28"/>
        <v>37.8125</v>
      </c>
      <c r="DO32" s="111">
        <f t="shared" si="28"/>
        <v>36.711165048543691</v>
      </c>
      <c r="DP32" s="60">
        <f>IFERROR(DP3/$B32,".")</f>
        <v>1.4906192608956598E-4</v>
      </c>
      <c r="DQ32" s="189">
        <f t="shared" ref="DQ32" si="44">IFERROR(DQ3/$B32,0)</f>
        <v>5.0293493862619574E-16</v>
      </c>
      <c r="DR32" s="49">
        <f>IF(CL32=".",".",up_RadSpec!$I$3*DR3*$B$32)</f>
        <v>6875</v>
      </c>
      <c r="DS32" s="49" t="str">
        <f>IF(CM32=".",".",up_RadSpec!$H$3*DS3)</f>
        <v>.</v>
      </c>
      <c r="DT32" s="49">
        <f>IF(CN32=".",".",up_RadSpec!$M$3*DT3*$B$32)</f>
        <v>0.62785388127853881</v>
      </c>
      <c r="DU32" s="49">
        <f>up_b2w!CC32</f>
        <v>152036.56519057468</v>
      </c>
      <c r="DV32" s="49">
        <f>IF(CP32=".",".",up_RadSpec!$F$3*DV3*$B$32)</f>
        <v>189.0625</v>
      </c>
      <c r="DW32" s="49">
        <f>IF(CQ32=".",".",up_RadSpec!$F$3*DW3*$B$32)</f>
        <v>189.0625</v>
      </c>
      <c r="DX32" s="49">
        <f>IF(CR32=".",".",up_RadSpec!$F$3*DX3*$B$32)</f>
        <v>945.3125</v>
      </c>
      <c r="DY32" s="49">
        <f>IF(CS32=".",".",up_RadSpec!$F$3*DY3*$B$32)</f>
        <v>917.77912621359224</v>
      </c>
      <c r="DZ32" s="49">
        <f>IF(CT32=".",".",up_RadSpec!$F$3*DZ3*$B$32)</f>
        <v>945.3125</v>
      </c>
      <c r="EA32" s="49">
        <f>IF(CU32=".",".",up_RadSpec!$F$3*EA3*$B$32)</f>
        <v>945.3125</v>
      </c>
      <c r="EB32" s="49">
        <f>IF(CV32=".",".",up_RadSpec!$F$3*EB3*$B$32)</f>
        <v>945.3125</v>
      </c>
      <c r="EC32" s="49">
        <f>IF(CW32=".",".",up_RadSpec!$F$3*EC3*$B$32)</f>
        <v>945.3125</v>
      </c>
      <c r="ED32" s="49">
        <f>IF(CX32=".",".",up_RadSpec!$F$3*ED3*$B$32)</f>
        <v>917.77912621359224</v>
      </c>
      <c r="EE32" s="49">
        <f>IF(CY32=".",".",up_RadSpec!$F$3*EE3*$B$32)</f>
        <v>945.3125</v>
      </c>
      <c r="EF32" s="49">
        <f>IF(CZ32=".",".",up_RadSpec!$F$3*EF3*$B$32)</f>
        <v>917.77912621359224</v>
      </c>
      <c r="EG32" s="49">
        <f>IFERROR(SUM(DR32:EF32),".")</f>
        <v>167715.53042309676</v>
      </c>
      <c r="EH32" s="60">
        <f>IFERROR(EH3/$B32,".")</f>
        <v>9.9740259740259754E-3</v>
      </c>
      <c r="EI32" s="60">
        <f>IFERROR(EI3/$B32,".")</f>
        <v>63.709090909090911</v>
      </c>
      <c r="EJ32" s="60">
        <f>IFERROR(EJ3/$B32,".")</f>
        <v>9.9724647271019675E-3</v>
      </c>
      <c r="EK32" s="189">
        <f t="shared" ref="EK32" si="45">IFERROR(EK3/$B32,0)</f>
        <v>3.3647095989242038E-14</v>
      </c>
      <c r="EL32" s="49">
        <f>IF(EH32=".",".",up_RadSpec!$H$3*EL3*$B$32)</f>
        <v>2506.5104166666661</v>
      </c>
      <c r="EM32" s="49">
        <f>IF(EI32=".",".",up_RadSpec!$K$3*EM3*$B$32)</f>
        <v>0.39240867579908678</v>
      </c>
      <c r="EN32" s="49">
        <f>IFERROR(SUM(EL32:EM32),".")</f>
        <v>2506.9028253424653</v>
      </c>
    </row>
    <row r="33" spans="1:144" x14ac:dyDescent="0.25">
      <c r="A33" s="77" t="s">
        <v>1061</v>
      </c>
      <c r="B33" s="42">
        <v>1</v>
      </c>
      <c r="C33" s="42"/>
      <c r="D33" s="60">
        <f t="shared" ref="D33:O34" si="46">IFERROR(D13/$B33,".")</f>
        <v>1.6528925619834712E-4</v>
      </c>
      <c r="E33" s="60">
        <f t="shared" si="46"/>
        <v>6.6115702479338848E-4</v>
      </c>
      <c r="F33" s="60">
        <f t="shared" si="46"/>
        <v>6.6115702479338848E-4</v>
      </c>
      <c r="G33" s="60">
        <f t="shared" si="46"/>
        <v>6.6115702479338848E-4</v>
      </c>
      <c r="H33" s="60">
        <f t="shared" si="46"/>
        <v>6.6115702479338848E-4</v>
      </c>
      <c r="I33" s="60">
        <f t="shared" si="46"/>
        <v>6.6115702479338848E-4</v>
      </c>
      <c r="J33" s="60">
        <f t="shared" si="46"/>
        <v>6.6115702479338848E-4</v>
      </c>
      <c r="K33" s="60">
        <f t="shared" si="46"/>
        <v>6.6115702479338848E-4</v>
      </c>
      <c r="L33" s="60">
        <f t="shared" si="46"/>
        <v>6.6115702479338848E-4</v>
      </c>
      <c r="M33" s="60">
        <f t="shared" si="46"/>
        <v>6.6115702479338848E-4</v>
      </c>
      <c r="N33" s="60">
        <f t="shared" si="46"/>
        <v>6.6115702479338848E-4</v>
      </c>
      <c r="O33" s="60">
        <f t="shared" si="46"/>
        <v>6.6115702479338848E-4</v>
      </c>
      <c r="P33" s="111">
        <f t="shared" ref="P33:P44" si="47">IFERROR(1/H33,".")</f>
        <v>1512.5</v>
      </c>
      <c r="Q33" s="111">
        <f t="shared" si="41"/>
        <v>1512.5</v>
      </c>
      <c r="R33" s="111">
        <f t="shared" si="41"/>
        <v>1512.5</v>
      </c>
      <c r="S33" s="111">
        <f t="shared" si="41"/>
        <v>1512.5</v>
      </c>
      <c r="T33" s="111">
        <f t="shared" si="41"/>
        <v>1512.5</v>
      </c>
      <c r="U33" s="111">
        <f t="shared" si="41"/>
        <v>1512.5</v>
      </c>
      <c r="V33" s="111">
        <f t="shared" si="41"/>
        <v>1512.5</v>
      </c>
      <c r="W33" s="111">
        <f t="shared" si="41"/>
        <v>1512.5</v>
      </c>
      <c r="X33" s="111">
        <f t="shared" si="26"/>
        <v>1512.5</v>
      </c>
      <c r="Y33" s="111">
        <f t="shared" si="26"/>
        <v>1512.5</v>
      </c>
      <c r="Z33" s="111">
        <f t="shared" si="26"/>
        <v>1512.5</v>
      </c>
      <c r="AA33" s="111">
        <f t="shared" si="26"/>
        <v>1512.5</v>
      </c>
      <c r="AB33" s="60">
        <f t="shared" ref="AB33:AB34" si="48">IFERROR(AB13/$B33,".")</f>
        <v>5.5096418732782371E-5</v>
      </c>
      <c r="AC33" s="247">
        <f>IFERROR(AC13/$B33,0)</f>
        <v>1.8280991735537193E-13</v>
      </c>
      <c r="AD33" s="49">
        <f>up_dir!BC33</f>
        <v>151250</v>
      </c>
      <c r="AE33" s="49">
        <f>IF(E33=".",".",up_RadSpec!$F$13*AE13*$B$33)</f>
        <v>37812.5</v>
      </c>
      <c r="AF33" s="49">
        <f>IF(F33=".",".",up_RadSpec!$F$13*AF13*$B$33)</f>
        <v>37812.5</v>
      </c>
      <c r="AG33" s="49">
        <f>IF(G33=".",".",up_RadSpec!$F$13*AG13*$B$33)</f>
        <v>37812.5</v>
      </c>
      <c r="AH33" s="49">
        <f>IF(H33=".",".",up_RadSpec!$F$13*AH13*$B$33)</f>
        <v>37812.5</v>
      </c>
      <c r="AI33" s="49">
        <f>IF(I33=".",".",up_RadSpec!$F$13*AI13*$B$33)</f>
        <v>37812.5</v>
      </c>
      <c r="AJ33" s="49">
        <f>IF(J33=".",".",up_RadSpec!$F$13*AJ13*$B$33)</f>
        <v>37812.5</v>
      </c>
      <c r="AK33" s="49">
        <f>IF(K33=".",".",up_RadSpec!$F$13*AK13*$B$33)</f>
        <v>37812.5</v>
      </c>
      <c r="AL33" s="49">
        <f>IF(L33=".",".",up_RadSpec!$F$13*AL13*$B$33)</f>
        <v>37812.5</v>
      </c>
      <c r="AM33" s="49">
        <f>IF(M33=".",".",up_RadSpec!$F$13*AM13*$B$33)</f>
        <v>37812.5</v>
      </c>
      <c r="AN33" s="49">
        <f>IF(N33=".",".",up_RadSpec!$F$13*AN13*$B$33)</f>
        <v>37812.5</v>
      </c>
      <c r="AO33" s="49">
        <f>IF(O33=".",".",up_RadSpec!$F$13*AO13*$B$33)</f>
        <v>37812.5</v>
      </c>
      <c r="AP33" s="60">
        <f t="shared" ref="AP33:BD34" si="49">IFERROR(AP13/$B33,".")</f>
        <v>0.33057851239669422</v>
      </c>
      <c r="AQ33" s="60">
        <f t="shared" si="49"/>
        <v>3089.9917851942919</v>
      </c>
      <c r="AR33" s="60">
        <f t="shared" si="49"/>
        <v>2282.9424185356402</v>
      </c>
      <c r="AS33" s="60">
        <f t="shared" si="49"/>
        <v>3.2968835384132272E-5</v>
      </c>
      <c r="AT33" s="60">
        <f t="shared" si="49"/>
        <v>6.6115702479338848E-4</v>
      </c>
      <c r="AU33" s="60">
        <f t="shared" si="49"/>
        <v>6.6115702479338848E-4</v>
      </c>
      <c r="AV33" s="60">
        <f t="shared" si="49"/>
        <v>1.8558793678410905E-7</v>
      </c>
      <c r="AW33" s="60">
        <f t="shared" si="49"/>
        <v>1.9115557488763231E-7</v>
      </c>
      <c r="AX33" s="60">
        <f t="shared" si="49"/>
        <v>1.8558793678410905E-7</v>
      </c>
      <c r="AY33" s="60">
        <f t="shared" si="49"/>
        <v>1.8558793678410905E-7</v>
      </c>
      <c r="AZ33" s="60">
        <f t="shared" si="49"/>
        <v>1.8558793678410905E-7</v>
      </c>
      <c r="BA33" s="60">
        <f t="shared" si="49"/>
        <v>1.8558793678410905E-7</v>
      </c>
      <c r="BB33" s="60">
        <f t="shared" si="49"/>
        <v>1.9115557488763231E-7</v>
      </c>
      <c r="BC33" s="60">
        <f t="shared" si="49"/>
        <v>1.8558793678410905E-7</v>
      </c>
      <c r="BD33" s="60">
        <f t="shared" si="49"/>
        <v>1.9115557488763231E-7</v>
      </c>
      <c r="BE33" s="111">
        <f t="shared" si="27"/>
        <v>3.0249999999999999</v>
      </c>
      <c r="BF33" s="111">
        <f t="shared" si="27"/>
        <v>3.236254558317935E-4</v>
      </c>
      <c r="BG33" s="111">
        <f t="shared" si="27"/>
        <v>4.3803119688031172E-4</v>
      </c>
      <c r="BH33" s="111">
        <f t="shared" si="27"/>
        <v>30331.674999999992</v>
      </c>
      <c r="BI33" s="111">
        <f t="shared" si="27"/>
        <v>1512.5</v>
      </c>
      <c r="BJ33" s="111">
        <f t="shared" si="27"/>
        <v>1512.5</v>
      </c>
      <c r="BK33" s="111">
        <f t="shared" si="27"/>
        <v>5388281.2499999991</v>
      </c>
      <c r="BL33" s="111">
        <f t="shared" si="27"/>
        <v>5231341.0194174759</v>
      </c>
      <c r="BM33" s="111">
        <f t="shared" si="27"/>
        <v>5388281.2499999991</v>
      </c>
      <c r="BN33" s="111">
        <f t="shared" si="27"/>
        <v>5388281.2499999991</v>
      </c>
      <c r="BO33" s="111">
        <f t="shared" si="27"/>
        <v>5388281.2499999991</v>
      </c>
      <c r="BP33" s="111">
        <f t="shared" si="27"/>
        <v>5388281.2499999991</v>
      </c>
      <c r="BQ33" s="111">
        <f t="shared" si="27"/>
        <v>5231341.0194174759</v>
      </c>
      <c r="BR33" s="111">
        <f t="shared" si="27"/>
        <v>5388281.2499999991</v>
      </c>
      <c r="BS33" s="111">
        <f t="shared" si="27"/>
        <v>5231341.0194174759</v>
      </c>
      <c r="BT33" s="60">
        <f t="shared" ref="BT33:BT34" si="50">IFERROR(BT13/$B33,".")</f>
        <v>2.0808592671385945E-8</v>
      </c>
      <c r="BU33" s="189">
        <f t="shared" ref="BU33:BU34" si="51">IFERROR(BU13/$B33,0)</f>
        <v>6.9042910483658561E-17</v>
      </c>
      <c r="BV33" s="49">
        <f>IF(AP33=".",".",up_RadSpec!$E$13*BV13*$B$33)</f>
        <v>75.625</v>
      </c>
      <c r="BW33" s="49">
        <f>IF(AQ33=".",".",up_RadSpec!$H$13*BW13*$B$33)</f>
        <v>8.0906363957948379E-3</v>
      </c>
      <c r="BX33" s="49">
        <f>IF(AR33=".",".",up_RadSpec!$G$13*BX13*$B$33)</f>
        <v>1.0950779922007794E-2</v>
      </c>
      <c r="BY33" s="49">
        <f>up_b2s!CC33</f>
        <v>758291.875</v>
      </c>
      <c r="BZ33" s="49">
        <f>IF(AT33=".",".",up_RadSpec!$F$13*BZ13*$B$33)</f>
        <v>37812.5</v>
      </c>
      <c r="CA33" s="49">
        <f>IF(AU33=".",".",up_RadSpec!$F$13*CA13*$B$33)</f>
        <v>37812.5</v>
      </c>
      <c r="CB33" s="49">
        <f>IF(AV33=".",".",up_RadSpec!$F$13*CB13*$B$33)</f>
        <v>134707031.25</v>
      </c>
      <c r="CC33" s="49">
        <f>IF(AW33=".",".",up_RadSpec!$F$13*CC13*$B$33)</f>
        <v>130783525.4854369</v>
      </c>
      <c r="CD33" s="49">
        <f>IF(AX33=".",".",up_RadSpec!$F$13*CD13*$B$33)</f>
        <v>134707031.25</v>
      </c>
      <c r="CE33" s="49">
        <f>IF(AY33=".",".",up_RadSpec!$F$13*CE13*$B$33)</f>
        <v>134707031.25</v>
      </c>
      <c r="CF33" s="49">
        <f>IF(AZ33=".",".",up_RadSpec!$F$13*CF13*$B$33)</f>
        <v>134707031.25</v>
      </c>
      <c r="CG33" s="49">
        <f>IF(BA33=".",".",up_RadSpec!$F$13*CG13*$B$33)</f>
        <v>134707031.25</v>
      </c>
      <c r="CH33" s="49">
        <f>IF(BB33=".",".",up_RadSpec!$F$13*CH13*$B$33)</f>
        <v>130783525.4854369</v>
      </c>
      <c r="CI33" s="49">
        <f>IF(BC33=".",".",up_RadSpec!$F$13*CI13*$B$33)</f>
        <v>134707031.25</v>
      </c>
      <c r="CJ33" s="49">
        <f>IF(BD33=".",".",up_RadSpec!$F$13*CJ13*$B$33)</f>
        <v>130783525.4854369</v>
      </c>
      <c r="CK33" s="49">
        <f t="shared" ref="CK33:CK44" si="52">IFERROR(SUM(BV33:CJ33),".")</f>
        <v>1201426756.475352</v>
      </c>
      <c r="CL33" s="60">
        <f t="shared" ref="CL33:CL34" si="53">IFERROR(CL13/$B33,".")</f>
        <v>3.6363636363636364E-3</v>
      </c>
      <c r="CM33" s="60" t="str">
        <f>IFERROR(CM13,".")</f>
        <v>.</v>
      </c>
      <c r="CN33" s="60">
        <f t="shared" ref="CN33:CZ34" si="54">IFERROR(CN13/$B33,".")</f>
        <v>39.81818181818182</v>
      </c>
      <c r="CO33" s="60">
        <f t="shared" si="54"/>
        <v>1.6443412786038033E-4</v>
      </c>
      <c r="CP33" s="60">
        <f t="shared" si="54"/>
        <v>0.13223140495867769</v>
      </c>
      <c r="CQ33" s="60">
        <f t="shared" si="54"/>
        <v>0.13223140495867769</v>
      </c>
      <c r="CR33" s="60">
        <f t="shared" si="54"/>
        <v>2.6446280991735537E-2</v>
      </c>
      <c r="CS33" s="60">
        <f t="shared" si="54"/>
        <v>2.7239669421487603E-2</v>
      </c>
      <c r="CT33" s="60">
        <f t="shared" si="54"/>
        <v>2.6446280991735537E-2</v>
      </c>
      <c r="CU33" s="60">
        <f t="shared" si="54"/>
        <v>2.6446280991735537E-2</v>
      </c>
      <c r="CV33" s="60">
        <f t="shared" si="54"/>
        <v>2.6446280991735537E-2</v>
      </c>
      <c r="CW33" s="60">
        <f t="shared" si="54"/>
        <v>2.6446280991735537E-2</v>
      </c>
      <c r="CX33" s="60">
        <f t="shared" si="54"/>
        <v>2.7239669421487603E-2</v>
      </c>
      <c r="CY33" s="60">
        <f t="shared" si="54"/>
        <v>2.6446280991735537E-2</v>
      </c>
      <c r="CZ33" s="60">
        <f t="shared" si="54"/>
        <v>2.7239669421487603E-2</v>
      </c>
      <c r="DA33" s="111">
        <f t="shared" si="28"/>
        <v>275</v>
      </c>
      <c r="DB33" s="111" t="str">
        <f t="shared" si="28"/>
        <v>.</v>
      </c>
      <c r="DC33" s="111">
        <f t="shared" si="28"/>
        <v>2.5114155251141551E-2</v>
      </c>
      <c r="DD33" s="111">
        <f t="shared" si="28"/>
        <v>6081.4626076229861</v>
      </c>
      <c r="DE33" s="111">
        <f t="shared" si="28"/>
        <v>7.5625</v>
      </c>
      <c r="DF33" s="111">
        <f t="shared" si="28"/>
        <v>7.5625</v>
      </c>
      <c r="DG33" s="111">
        <f t="shared" si="28"/>
        <v>37.8125</v>
      </c>
      <c r="DH33" s="111">
        <f t="shared" si="28"/>
        <v>36.711165048543691</v>
      </c>
      <c r="DI33" s="111">
        <f t="shared" si="28"/>
        <v>37.8125</v>
      </c>
      <c r="DJ33" s="111">
        <f t="shared" si="28"/>
        <v>37.8125</v>
      </c>
      <c r="DK33" s="111">
        <f t="shared" si="28"/>
        <v>37.8125</v>
      </c>
      <c r="DL33" s="111">
        <f t="shared" si="28"/>
        <v>37.8125</v>
      </c>
      <c r="DM33" s="111">
        <f t="shared" si="28"/>
        <v>36.711165048543691</v>
      </c>
      <c r="DN33" s="111">
        <f t="shared" si="28"/>
        <v>37.8125</v>
      </c>
      <c r="DO33" s="111">
        <f t="shared" si="28"/>
        <v>36.711165048543691</v>
      </c>
      <c r="DP33" s="60">
        <f t="shared" ref="DP33:DP34" si="55">IFERROR(DP13/$B33,".")</f>
        <v>1.4906192608956598E-4</v>
      </c>
      <c r="DQ33" s="189">
        <f t="shared" ref="DQ33:DQ34" si="56">IFERROR(DQ13/$B33,0)</f>
        <v>4.9458747076517997E-16</v>
      </c>
      <c r="DR33" s="49">
        <f>IF(CL33=".",".",up_RadSpec!$I$13*DR13*$B$33)</f>
        <v>6875</v>
      </c>
      <c r="DS33" s="49" t="str">
        <f>IF(CM33=".",".",up_RadSpec!$H$13*DS13)</f>
        <v>.</v>
      </c>
      <c r="DT33" s="49">
        <f>IF(CN33=".",".",up_RadSpec!$M$13*DT13*$B$33)</f>
        <v>0.62785388127853881</v>
      </c>
      <c r="DU33" s="49">
        <f>up_b2w!CC33</f>
        <v>152036.56519057468</v>
      </c>
      <c r="DV33" s="49">
        <f>IF(CP33=".",".",up_RadSpec!$F$13*DV13*$B$33)</f>
        <v>189.0625</v>
      </c>
      <c r="DW33" s="49">
        <f>IF(CQ33=".",".",up_RadSpec!$F$13*DW13*$B$33)</f>
        <v>189.0625</v>
      </c>
      <c r="DX33" s="49">
        <f>IF(CR33=".",".",up_RadSpec!$F$13*DX13*$B$33)</f>
        <v>945.3125</v>
      </c>
      <c r="DY33" s="49">
        <f>IF(CS33=".",".",up_RadSpec!$F$13*DY13*$B$33)</f>
        <v>917.77912621359224</v>
      </c>
      <c r="DZ33" s="49">
        <f>IF(CT33=".",".",up_RadSpec!$F$13*DZ13*$B$33)</f>
        <v>945.3125</v>
      </c>
      <c r="EA33" s="49">
        <f>IF(CU33=".",".",up_RadSpec!$F$13*EA13*$B$33)</f>
        <v>945.3125</v>
      </c>
      <c r="EB33" s="49">
        <f>IF(CV33=".",".",up_RadSpec!$F$13*EB13*$B$33)</f>
        <v>945.3125</v>
      </c>
      <c r="EC33" s="49">
        <f>IF(CW33=".",".",up_RadSpec!$F$13*EC13*$B$33)</f>
        <v>945.3125</v>
      </c>
      <c r="ED33" s="49">
        <f>IF(CX33=".",".",up_RadSpec!$F$13*ED13*$B$33)</f>
        <v>917.77912621359224</v>
      </c>
      <c r="EE33" s="49">
        <f>IF(CY33=".",".",up_RadSpec!$F$13*EE13*$B$33)</f>
        <v>945.3125</v>
      </c>
      <c r="EF33" s="49">
        <f>IF(CZ33=".",".",up_RadSpec!$F$13*EF13*$B$33)</f>
        <v>917.77912621359224</v>
      </c>
      <c r="EG33" s="49">
        <f t="shared" ref="EG33:EG44" si="57">IFERROR(SUM(DR33:EF33),".")</f>
        <v>167715.53042309676</v>
      </c>
      <c r="EH33" s="60">
        <f t="shared" ref="EH33:EJ34" si="58">IFERROR(EH13/$B33,".")</f>
        <v>9.9740259740259754E-3</v>
      </c>
      <c r="EI33" s="60">
        <f t="shared" si="58"/>
        <v>63.709090909090911</v>
      </c>
      <c r="EJ33" s="60">
        <f t="shared" si="58"/>
        <v>9.9724647271019675E-3</v>
      </c>
      <c r="EK33" s="189">
        <f t="shared" ref="EK33:EK34" si="59">IFERROR(EK13/$B33,0)</f>
        <v>3.3088637964524332E-14</v>
      </c>
      <c r="EL33" s="49">
        <f>IF(EH33=".",".",up_RadSpec!$H$13*EL13*$B$33)</f>
        <v>2506.5104166666661</v>
      </c>
      <c r="EM33" s="49">
        <f>IF(EI33=".",".",up_RadSpec!$K$13*EM13*$B$33)</f>
        <v>0.39240867579908678</v>
      </c>
      <c r="EN33" s="49">
        <f t="shared" ref="EN33:EN76" si="60">IFERROR(SUM(EL33:EM33),".")</f>
        <v>2506.9028253424653</v>
      </c>
    </row>
    <row r="34" spans="1:144" x14ac:dyDescent="0.25">
      <c r="A34" s="77" t="s">
        <v>1062</v>
      </c>
      <c r="B34" s="42">
        <v>1</v>
      </c>
      <c r="C34" s="42"/>
      <c r="D34" s="60">
        <f t="shared" si="46"/>
        <v>1.6528925619834712E-4</v>
      </c>
      <c r="E34" s="60">
        <f t="shared" si="46"/>
        <v>6.6115702479338848E-4</v>
      </c>
      <c r="F34" s="60">
        <f t="shared" si="46"/>
        <v>6.6115702479338848E-4</v>
      </c>
      <c r="G34" s="60">
        <f t="shared" si="46"/>
        <v>6.6115702479338848E-4</v>
      </c>
      <c r="H34" s="60">
        <f t="shared" si="46"/>
        <v>6.6115702479338848E-4</v>
      </c>
      <c r="I34" s="60">
        <f t="shared" si="46"/>
        <v>6.6115702479338848E-4</v>
      </c>
      <c r="J34" s="60">
        <f t="shared" si="46"/>
        <v>6.6115702479338848E-4</v>
      </c>
      <c r="K34" s="60">
        <f t="shared" si="46"/>
        <v>6.6115702479338848E-4</v>
      </c>
      <c r="L34" s="60">
        <f t="shared" si="46"/>
        <v>6.6115702479338848E-4</v>
      </c>
      <c r="M34" s="60">
        <f t="shared" si="46"/>
        <v>6.6115702479338848E-4</v>
      </c>
      <c r="N34" s="60">
        <f t="shared" si="46"/>
        <v>6.6115702479338848E-4</v>
      </c>
      <c r="O34" s="60">
        <f t="shared" si="46"/>
        <v>6.6115702479338848E-4</v>
      </c>
      <c r="P34" s="111">
        <f t="shared" si="47"/>
        <v>1512.5</v>
      </c>
      <c r="Q34" s="111">
        <f t="shared" si="41"/>
        <v>1512.5</v>
      </c>
      <c r="R34" s="111">
        <f t="shared" si="41"/>
        <v>1512.5</v>
      </c>
      <c r="S34" s="111">
        <f t="shared" si="41"/>
        <v>1512.5</v>
      </c>
      <c r="T34" s="111">
        <f t="shared" si="41"/>
        <v>1512.5</v>
      </c>
      <c r="U34" s="111">
        <f t="shared" si="41"/>
        <v>1512.5</v>
      </c>
      <c r="V34" s="111">
        <f t="shared" si="41"/>
        <v>1512.5</v>
      </c>
      <c r="W34" s="111">
        <f t="shared" si="41"/>
        <v>1512.5</v>
      </c>
      <c r="X34" s="111">
        <f t="shared" si="26"/>
        <v>1512.5</v>
      </c>
      <c r="Y34" s="111">
        <f t="shared" si="26"/>
        <v>1512.5</v>
      </c>
      <c r="Z34" s="111">
        <f t="shared" si="26"/>
        <v>1512.5</v>
      </c>
      <c r="AA34" s="111">
        <f t="shared" si="26"/>
        <v>1512.5</v>
      </c>
      <c r="AB34" s="60">
        <f t="shared" si="48"/>
        <v>5.5096418732782371E-5</v>
      </c>
      <c r="AC34" s="247">
        <f>IFERROR(AC14/$B34,0)</f>
        <v>1.7972451790633613E-13</v>
      </c>
      <c r="AD34" s="49">
        <f>up_dir!BC34</f>
        <v>151250</v>
      </c>
      <c r="AE34" s="49">
        <f>IF(E34=".",".",up_RadSpec!$F$14*AE14*$B$34)</f>
        <v>37812.5</v>
      </c>
      <c r="AF34" s="49">
        <f>IF(F34=".",".",up_RadSpec!$F$14*AF14*$B$34)</f>
        <v>37812.5</v>
      </c>
      <c r="AG34" s="49">
        <f>IF(G34=".",".",up_RadSpec!$F$14*AG14*$B$34)</f>
        <v>37812.5</v>
      </c>
      <c r="AH34" s="49">
        <f>IF(H34=".",".",up_RadSpec!$F$14*AH14*$B$34)</f>
        <v>37812.5</v>
      </c>
      <c r="AI34" s="49">
        <f>IF(I34=".",".",up_RadSpec!$F$14*AI14*$B$34)</f>
        <v>37812.5</v>
      </c>
      <c r="AJ34" s="49">
        <f>IF(J34=".",".",up_RadSpec!$F$14*AJ14*$B$34)</f>
        <v>37812.5</v>
      </c>
      <c r="AK34" s="49">
        <f>IF(K34=".",".",up_RadSpec!$F$14*AK14*$B$34)</f>
        <v>37812.5</v>
      </c>
      <c r="AL34" s="49">
        <f>IF(L34=".",".",up_RadSpec!$F$14*AL14*$B$34)</f>
        <v>37812.5</v>
      </c>
      <c r="AM34" s="49">
        <f>IF(M34=".",".",up_RadSpec!$F$14*AM14*$B$34)</f>
        <v>37812.5</v>
      </c>
      <c r="AN34" s="49">
        <f>IF(N34=".",".",up_RadSpec!$F$14*AN14*$B$34)</f>
        <v>37812.5</v>
      </c>
      <c r="AO34" s="49">
        <f>IF(O34=".",".",up_RadSpec!$F$14*AO14*$B$34)</f>
        <v>37812.5</v>
      </c>
      <c r="AP34" s="60">
        <f t="shared" si="49"/>
        <v>0.33057851239669422</v>
      </c>
      <c r="AQ34" s="60">
        <f t="shared" si="49"/>
        <v>3089.9917851942919</v>
      </c>
      <c r="AR34" s="60">
        <f t="shared" si="49"/>
        <v>342.70908097811116</v>
      </c>
      <c r="AS34" s="60">
        <f t="shared" si="49"/>
        <v>3.2968835384132272E-5</v>
      </c>
      <c r="AT34" s="60">
        <f t="shared" si="49"/>
        <v>6.6115702479338848E-4</v>
      </c>
      <c r="AU34" s="60">
        <f t="shared" si="49"/>
        <v>6.6115702479338848E-4</v>
      </c>
      <c r="AV34" s="60">
        <f t="shared" si="49"/>
        <v>1.8558793678410905E-7</v>
      </c>
      <c r="AW34" s="60">
        <f t="shared" si="49"/>
        <v>1.9115557488763231E-7</v>
      </c>
      <c r="AX34" s="60">
        <f t="shared" si="49"/>
        <v>1.8558793678410905E-7</v>
      </c>
      <c r="AY34" s="60">
        <f t="shared" si="49"/>
        <v>1.8558793678410905E-7</v>
      </c>
      <c r="AZ34" s="60">
        <f t="shared" si="49"/>
        <v>1.8558793678410905E-7</v>
      </c>
      <c r="BA34" s="60">
        <f t="shared" si="49"/>
        <v>1.8558793678410905E-7</v>
      </c>
      <c r="BB34" s="60">
        <f t="shared" si="49"/>
        <v>1.9115557488763231E-7</v>
      </c>
      <c r="BC34" s="60">
        <f t="shared" si="49"/>
        <v>1.8558793678410905E-7</v>
      </c>
      <c r="BD34" s="60">
        <f t="shared" si="49"/>
        <v>1.9115557488763231E-7</v>
      </c>
      <c r="BE34" s="111">
        <f t="shared" si="27"/>
        <v>3.0249999999999999</v>
      </c>
      <c r="BF34" s="111">
        <f t="shared" si="27"/>
        <v>3.236254558317935E-4</v>
      </c>
      <c r="BG34" s="111">
        <f t="shared" si="27"/>
        <v>2.9179267650158067E-3</v>
      </c>
      <c r="BH34" s="111">
        <f t="shared" si="27"/>
        <v>30331.674999999992</v>
      </c>
      <c r="BI34" s="111">
        <f t="shared" si="27"/>
        <v>1512.5</v>
      </c>
      <c r="BJ34" s="111">
        <f t="shared" si="27"/>
        <v>1512.5</v>
      </c>
      <c r="BK34" s="111">
        <f t="shared" si="27"/>
        <v>5388281.2499999991</v>
      </c>
      <c r="BL34" s="111">
        <f t="shared" si="27"/>
        <v>5231341.0194174759</v>
      </c>
      <c r="BM34" s="111">
        <f t="shared" si="27"/>
        <v>5388281.2499999991</v>
      </c>
      <c r="BN34" s="111">
        <f t="shared" si="27"/>
        <v>5388281.2499999991</v>
      </c>
      <c r="BO34" s="111">
        <f t="shared" si="27"/>
        <v>5388281.2499999991</v>
      </c>
      <c r="BP34" s="111">
        <f t="shared" si="27"/>
        <v>5388281.2499999991</v>
      </c>
      <c r="BQ34" s="111">
        <f t="shared" si="27"/>
        <v>5231341.0194174759</v>
      </c>
      <c r="BR34" s="111">
        <f t="shared" si="27"/>
        <v>5388281.2499999991</v>
      </c>
      <c r="BS34" s="111">
        <f t="shared" si="27"/>
        <v>5231341.0194174759</v>
      </c>
      <c r="BT34" s="60">
        <f t="shared" si="50"/>
        <v>2.0808592670312156E-8</v>
      </c>
      <c r="BU34" s="189">
        <f t="shared" si="51"/>
        <v>6.7877629290558259E-17</v>
      </c>
      <c r="BV34" s="49">
        <f>IF(AP34=".",".",up_RadSpec!$E$14*BV14*$B$34)</f>
        <v>75.625</v>
      </c>
      <c r="BW34" s="49">
        <f>IF(AQ34=".",".",up_RadSpec!$H$14*BW14*$B$34)</f>
        <v>8.0906363957948379E-3</v>
      </c>
      <c r="BX34" s="49">
        <f>IF(AR34=".",".",up_RadSpec!$G$14*BX14*$B$34)</f>
        <v>7.2948169125395174E-2</v>
      </c>
      <c r="BY34" s="49">
        <f>up_b2s!CC34</f>
        <v>758291.875</v>
      </c>
      <c r="BZ34" s="49">
        <f>IF(AT34=".",".",up_RadSpec!$F$14*BZ14*$B$34)</f>
        <v>37812.5</v>
      </c>
      <c r="CA34" s="49">
        <f>IF(AU34=".",".",up_RadSpec!$F$14*CA14*$B$34)</f>
        <v>37812.5</v>
      </c>
      <c r="CB34" s="49">
        <f>IF(AV34=".",".",up_RadSpec!$F$14*CB14*$B$34)</f>
        <v>134707031.25</v>
      </c>
      <c r="CC34" s="49">
        <f>IF(AW34=".",".",up_RadSpec!$F$14*CC14*$B$34)</f>
        <v>130783525.4854369</v>
      </c>
      <c r="CD34" s="49">
        <f>IF(AX34=".",".",up_RadSpec!$F$14*CD14*$B$34)</f>
        <v>134707031.25</v>
      </c>
      <c r="CE34" s="49">
        <f>IF(AY34=".",".",up_RadSpec!$F$14*CE14*$B$34)</f>
        <v>134707031.25</v>
      </c>
      <c r="CF34" s="49">
        <f>IF(AZ34=".",".",up_RadSpec!$F$14*CF14*$B$34)</f>
        <v>134707031.25</v>
      </c>
      <c r="CG34" s="49">
        <f>IF(BA34=".",".",up_RadSpec!$F$14*CG14*$B$34)</f>
        <v>134707031.25</v>
      </c>
      <c r="CH34" s="49">
        <f>IF(BB34=".",".",up_RadSpec!$F$14*CH14*$B$34)</f>
        <v>130783525.4854369</v>
      </c>
      <c r="CI34" s="49">
        <f>IF(BC34=".",".",up_RadSpec!$F$14*CI14*$B$34)</f>
        <v>134707031.25</v>
      </c>
      <c r="CJ34" s="49">
        <f>IF(BD34=".",".",up_RadSpec!$F$14*CJ14*$B$34)</f>
        <v>130783525.4854369</v>
      </c>
      <c r="CK34" s="49">
        <f t="shared" si="52"/>
        <v>1201426756.5373495</v>
      </c>
      <c r="CL34" s="60">
        <f t="shared" si="53"/>
        <v>3.6363636363636364E-3</v>
      </c>
      <c r="CM34" s="60" t="str">
        <f>IFERROR(CM14,".")</f>
        <v>.</v>
      </c>
      <c r="CN34" s="60">
        <f t="shared" si="54"/>
        <v>39.81818181818182</v>
      </c>
      <c r="CO34" s="60">
        <f t="shared" si="54"/>
        <v>1.6443412786038033E-4</v>
      </c>
      <c r="CP34" s="60">
        <f t="shared" si="54"/>
        <v>0.13223140495867769</v>
      </c>
      <c r="CQ34" s="60">
        <f t="shared" si="54"/>
        <v>0.13223140495867769</v>
      </c>
      <c r="CR34" s="60">
        <f t="shared" si="54"/>
        <v>2.6446280991735537E-2</v>
      </c>
      <c r="CS34" s="60">
        <f t="shared" si="54"/>
        <v>2.7239669421487603E-2</v>
      </c>
      <c r="CT34" s="60">
        <f t="shared" si="54"/>
        <v>2.6446280991735537E-2</v>
      </c>
      <c r="CU34" s="60">
        <f t="shared" si="54"/>
        <v>2.6446280991735537E-2</v>
      </c>
      <c r="CV34" s="60">
        <f t="shared" si="54"/>
        <v>2.6446280991735537E-2</v>
      </c>
      <c r="CW34" s="60">
        <f t="shared" si="54"/>
        <v>2.6446280991735537E-2</v>
      </c>
      <c r="CX34" s="60">
        <f t="shared" si="54"/>
        <v>2.7239669421487603E-2</v>
      </c>
      <c r="CY34" s="60">
        <f t="shared" si="54"/>
        <v>2.6446280991735537E-2</v>
      </c>
      <c r="CZ34" s="60">
        <f t="shared" si="54"/>
        <v>2.7239669421487603E-2</v>
      </c>
      <c r="DA34" s="111">
        <f t="shared" si="28"/>
        <v>275</v>
      </c>
      <c r="DB34" s="111" t="str">
        <f t="shared" si="28"/>
        <v>.</v>
      </c>
      <c r="DC34" s="111">
        <f t="shared" si="28"/>
        <v>2.5114155251141551E-2</v>
      </c>
      <c r="DD34" s="111">
        <f t="shared" si="28"/>
        <v>6081.4626076229861</v>
      </c>
      <c r="DE34" s="111">
        <f t="shared" si="28"/>
        <v>7.5625</v>
      </c>
      <c r="DF34" s="111">
        <f t="shared" si="28"/>
        <v>7.5625</v>
      </c>
      <c r="DG34" s="111">
        <f t="shared" si="28"/>
        <v>37.8125</v>
      </c>
      <c r="DH34" s="111">
        <f t="shared" si="28"/>
        <v>36.711165048543691</v>
      </c>
      <c r="DI34" s="111">
        <f t="shared" si="28"/>
        <v>37.8125</v>
      </c>
      <c r="DJ34" s="111">
        <f t="shared" si="28"/>
        <v>37.8125</v>
      </c>
      <c r="DK34" s="111">
        <f t="shared" si="28"/>
        <v>37.8125</v>
      </c>
      <c r="DL34" s="111">
        <f t="shared" si="28"/>
        <v>37.8125</v>
      </c>
      <c r="DM34" s="111">
        <f t="shared" si="28"/>
        <v>36.711165048543691</v>
      </c>
      <c r="DN34" s="111">
        <f t="shared" si="28"/>
        <v>37.8125</v>
      </c>
      <c r="DO34" s="111">
        <f t="shared" si="28"/>
        <v>36.711165048543691</v>
      </c>
      <c r="DP34" s="60">
        <f t="shared" si="55"/>
        <v>1.4906192608956598E-4</v>
      </c>
      <c r="DQ34" s="189">
        <f t="shared" si="56"/>
        <v>4.8624000290416429E-16</v>
      </c>
      <c r="DR34" s="49">
        <f>IF(CL34=".",".",up_RadSpec!$I$14*DR14*$B$34)</f>
        <v>6875</v>
      </c>
      <c r="DS34" s="49" t="str">
        <f>IF(CM34=".",".",up_RadSpec!$H$14*DS14)</f>
        <v>.</v>
      </c>
      <c r="DT34" s="49">
        <f>IF(CN34=".",".",up_RadSpec!$M$14*DT14*$B$34)</f>
        <v>0.62785388127853881</v>
      </c>
      <c r="DU34" s="49">
        <f>up_b2w!CC34</f>
        <v>152036.56519057468</v>
      </c>
      <c r="DV34" s="49">
        <f>IF(CP34=".",".",up_RadSpec!$F$14*DV14*$B$34)</f>
        <v>189.0625</v>
      </c>
      <c r="DW34" s="49">
        <f>IF(CQ34=".",".",up_RadSpec!$F$14*DW14*$B$34)</f>
        <v>189.0625</v>
      </c>
      <c r="DX34" s="49">
        <f>IF(CR34=".",".",up_RadSpec!$F$14*DX14*$B$34)</f>
        <v>945.3125</v>
      </c>
      <c r="DY34" s="49">
        <f>IF(CS34=".",".",up_RadSpec!$F$14*DY14*$B$34)</f>
        <v>917.77912621359224</v>
      </c>
      <c r="DZ34" s="49">
        <f>IF(CT34=".",".",up_RadSpec!$F$14*DZ14*$B$34)</f>
        <v>945.3125</v>
      </c>
      <c r="EA34" s="49">
        <f>IF(CU34=".",".",up_RadSpec!$F$14*EA14*$B$34)</f>
        <v>945.3125</v>
      </c>
      <c r="EB34" s="49">
        <f>IF(CV34=".",".",up_RadSpec!$F$14*EB14*$B$34)</f>
        <v>945.3125</v>
      </c>
      <c r="EC34" s="49">
        <f>IF(CW34=".",".",up_RadSpec!$F$14*EC14*$B$34)</f>
        <v>945.3125</v>
      </c>
      <c r="ED34" s="49">
        <f>IF(CX34=".",".",up_RadSpec!$F$14*ED14*$B$34)</f>
        <v>917.77912621359224</v>
      </c>
      <c r="EE34" s="49">
        <f>IF(CY34=".",".",up_RadSpec!$F$14*EE14*$B$34)</f>
        <v>945.3125</v>
      </c>
      <c r="EF34" s="49">
        <f>IF(CZ34=".",".",up_RadSpec!$F$14*EF14*$B$34)</f>
        <v>917.77912621359224</v>
      </c>
      <c r="EG34" s="49">
        <f t="shared" si="57"/>
        <v>167715.53042309676</v>
      </c>
      <c r="EH34" s="60">
        <f t="shared" si="58"/>
        <v>9.9740259740259754E-3</v>
      </c>
      <c r="EI34" s="60">
        <f t="shared" si="58"/>
        <v>63.709090909090911</v>
      </c>
      <c r="EJ34" s="60">
        <f t="shared" si="58"/>
        <v>9.9724647271019675E-3</v>
      </c>
      <c r="EK34" s="189">
        <f t="shared" si="59"/>
        <v>3.2530179939806619E-14</v>
      </c>
      <c r="EL34" s="49">
        <f>IF(EH34=".",".",up_RadSpec!$H$14*EL14*$B$34)</f>
        <v>2506.5104166666661</v>
      </c>
      <c r="EM34" s="49">
        <f>IF(EI34=".",".",up_RadSpec!$K$14*EM14*$B$34)</f>
        <v>0.39240867579908678</v>
      </c>
      <c r="EN34" s="49">
        <f t="shared" si="60"/>
        <v>2506.9028253424653</v>
      </c>
    </row>
    <row r="35" spans="1:144" x14ac:dyDescent="0.25">
      <c r="A35" s="77" t="s">
        <v>1063</v>
      </c>
      <c r="B35" s="42">
        <v>1</v>
      </c>
      <c r="C35" s="42"/>
      <c r="D35" s="60">
        <f t="shared" ref="D35:O35" si="61">IFERROR(D30/$B35,".")</f>
        <v>1.6528925619834712E-4</v>
      </c>
      <c r="E35" s="60">
        <f t="shared" si="61"/>
        <v>6.6115702479338848E-4</v>
      </c>
      <c r="F35" s="60">
        <f t="shared" si="61"/>
        <v>6.6115702479338848E-4</v>
      </c>
      <c r="G35" s="60">
        <f t="shared" si="61"/>
        <v>6.6115702479338848E-4</v>
      </c>
      <c r="H35" s="60">
        <f t="shared" si="61"/>
        <v>6.6115702479338848E-4</v>
      </c>
      <c r="I35" s="60">
        <f t="shared" si="61"/>
        <v>6.6115702479338848E-4</v>
      </c>
      <c r="J35" s="60">
        <f t="shared" si="61"/>
        <v>6.6115702479338848E-4</v>
      </c>
      <c r="K35" s="60">
        <f t="shared" si="61"/>
        <v>6.6115702479338848E-4</v>
      </c>
      <c r="L35" s="60">
        <f t="shared" si="61"/>
        <v>6.6115702479338848E-4</v>
      </c>
      <c r="M35" s="60">
        <f t="shared" si="61"/>
        <v>6.6115702479338848E-4</v>
      </c>
      <c r="N35" s="60">
        <f t="shared" si="61"/>
        <v>6.6115702479338848E-4</v>
      </c>
      <c r="O35" s="60">
        <f t="shared" si="61"/>
        <v>6.6115702479338848E-4</v>
      </c>
      <c r="P35" s="111">
        <f t="shared" si="47"/>
        <v>1512.5</v>
      </c>
      <c r="Q35" s="111">
        <f t="shared" si="41"/>
        <v>1512.5</v>
      </c>
      <c r="R35" s="111">
        <f t="shared" si="41"/>
        <v>1512.5</v>
      </c>
      <c r="S35" s="111">
        <f t="shared" si="41"/>
        <v>1512.5</v>
      </c>
      <c r="T35" s="111">
        <f t="shared" si="41"/>
        <v>1512.5</v>
      </c>
      <c r="U35" s="111">
        <f t="shared" si="41"/>
        <v>1512.5</v>
      </c>
      <c r="V35" s="111">
        <f t="shared" si="41"/>
        <v>1512.5</v>
      </c>
      <c r="W35" s="111">
        <f t="shared" si="41"/>
        <v>1512.5</v>
      </c>
      <c r="X35" s="111">
        <f t="shared" si="26"/>
        <v>1512.5</v>
      </c>
      <c r="Y35" s="111">
        <f t="shared" si="26"/>
        <v>1512.5</v>
      </c>
      <c r="Z35" s="111">
        <f t="shared" si="26"/>
        <v>1512.5</v>
      </c>
      <c r="AA35" s="111">
        <f t="shared" si="26"/>
        <v>1512.5</v>
      </c>
      <c r="AB35" s="60">
        <f>IFERROR(AB30/$B35,".")</f>
        <v>5.5096418732782371E-5</v>
      </c>
      <c r="AC35" s="247">
        <f>IFERROR(AC30/$B35,0)</f>
        <v>1.7972451790633613E-13</v>
      </c>
      <c r="AD35" s="49">
        <f>up_dir!BC35</f>
        <v>151250</v>
      </c>
      <c r="AE35" s="49">
        <f>IF(E35=".",".",up_RadSpec!$F$30*AE30*$B$35)</f>
        <v>37812.5</v>
      </c>
      <c r="AF35" s="49">
        <f>IF(F35=".",".",up_RadSpec!$F$30*AF30*$B$35)</f>
        <v>37812.5</v>
      </c>
      <c r="AG35" s="49">
        <f>IF(G35=".",".",up_RadSpec!$F$30*AG30*$B$35)</f>
        <v>37812.5</v>
      </c>
      <c r="AH35" s="49">
        <f>IF(H35=".",".",up_RadSpec!$F$30*AH30*$B$35)</f>
        <v>37812.5</v>
      </c>
      <c r="AI35" s="49">
        <f>IF(I35=".",".",up_RadSpec!$F$30*AI30*$B$35)</f>
        <v>37812.5</v>
      </c>
      <c r="AJ35" s="49">
        <f>IF(J35=".",".",up_RadSpec!$F$30*AJ30*$B$35)</f>
        <v>37812.5</v>
      </c>
      <c r="AK35" s="49">
        <f>IF(K35=".",".",up_RadSpec!$F$30*AK30*$B$35)</f>
        <v>37812.5</v>
      </c>
      <c r="AL35" s="49">
        <f>IF(L35=".",".",up_RadSpec!$F$30*AL30*$B$35)</f>
        <v>37812.5</v>
      </c>
      <c r="AM35" s="49">
        <f>IF(M35=".",".",up_RadSpec!$F$30*AM30*$B$35)</f>
        <v>37812.5</v>
      </c>
      <c r="AN35" s="49">
        <f>IF(N35=".",".",up_RadSpec!$F$30*AN30*$B$35)</f>
        <v>37812.5</v>
      </c>
      <c r="AO35" s="49">
        <f>IF(O35=".",".",up_RadSpec!$F$30*AO30*$B$35)</f>
        <v>37812.5</v>
      </c>
      <c r="AP35" s="60">
        <f t="shared" ref="AP35:BD35" si="62">IFERROR(AP30/$B35,".")</f>
        <v>0.33057851239669422</v>
      </c>
      <c r="AQ35" s="60">
        <f t="shared" si="62"/>
        <v>3089.9917851942919</v>
      </c>
      <c r="AR35" s="60">
        <f t="shared" si="62"/>
        <v>1106.0606060606062</v>
      </c>
      <c r="AS35" s="60">
        <f t="shared" si="62"/>
        <v>3.2968835384132272E-5</v>
      </c>
      <c r="AT35" s="60">
        <f t="shared" si="62"/>
        <v>6.6115702479338848E-4</v>
      </c>
      <c r="AU35" s="60">
        <f t="shared" si="62"/>
        <v>6.6115702479338848E-4</v>
      </c>
      <c r="AV35" s="60">
        <f t="shared" si="62"/>
        <v>1.8558793678410905E-7</v>
      </c>
      <c r="AW35" s="60">
        <f t="shared" si="62"/>
        <v>1.9115557488763231E-7</v>
      </c>
      <c r="AX35" s="60">
        <f t="shared" si="62"/>
        <v>1.8558793678410905E-7</v>
      </c>
      <c r="AY35" s="60">
        <f t="shared" si="62"/>
        <v>1.8558793678410905E-7</v>
      </c>
      <c r="AZ35" s="60">
        <f t="shared" si="62"/>
        <v>1.8558793678410905E-7</v>
      </c>
      <c r="BA35" s="60">
        <f t="shared" si="62"/>
        <v>1.8558793678410905E-7</v>
      </c>
      <c r="BB35" s="60">
        <f t="shared" si="62"/>
        <v>1.9115557488763231E-7</v>
      </c>
      <c r="BC35" s="60">
        <f t="shared" si="62"/>
        <v>1.8558793678410905E-7</v>
      </c>
      <c r="BD35" s="60">
        <f t="shared" si="62"/>
        <v>1.9115557488763231E-7</v>
      </c>
      <c r="BE35" s="111">
        <f t="shared" si="27"/>
        <v>3.0249999999999999</v>
      </c>
      <c r="BF35" s="111">
        <f t="shared" si="27"/>
        <v>3.236254558317935E-4</v>
      </c>
      <c r="BG35" s="111">
        <f t="shared" si="27"/>
        <v>9.0410958904109579E-4</v>
      </c>
      <c r="BH35" s="111">
        <f t="shared" si="27"/>
        <v>30331.674999999992</v>
      </c>
      <c r="BI35" s="111">
        <f t="shared" si="27"/>
        <v>1512.5</v>
      </c>
      <c r="BJ35" s="111">
        <f t="shared" si="27"/>
        <v>1512.5</v>
      </c>
      <c r="BK35" s="111">
        <f t="shared" si="27"/>
        <v>5388281.2499999991</v>
      </c>
      <c r="BL35" s="111">
        <f t="shared" si="27"/>
        <v>5231341.0194174759</v>
      </c>
      <c r="BM35" s="111">
        <f t="shared" si="27"/>
        <v>5388281.2499999991</v>
      </c>
      <c r="BN35" s="111">
        <f t="shared" si="27"/>
        <v>5388281.2499999991</v>
      </c>
      <c r="BO35" s="111">
        <f t="shared" si="27"/>
        <v>5388281.2499999991</v>
      </c>
      <c r="BP35" s="111">
        <f t="shared" si="27"/>
        <v>5388281.2499999991</v>
      </c>
      <c r="BQ35" s="111">
        <f t="shared" si="27"/>
        <v>5231341.0194174759</v>
      </c>
      <c r="BR35" s="111">
        <f t="shared" si="27"/>
        <v>5388281.2499999991</v>
      </c>
      <c r="BS35" s="111">
        <f t="shared" si="27"/>
        <v>5231341.0194174759</v>
      </c>
      <c r="BT35" s="60">
        <f>IFERROR(BT30/$B35,".")</f>
        <v>2.0808592671184136E-8</v>
      </c>
      <c r="BU35" s="189">
        <f>IFERROR(BU30/$B35,0)</f>
        <v>6.7877629293402657E-17</v>
      </c>
      <c r="BV35" s="49">
        <f>IF(AP35=".",".",up_RadSpec!$E$30*BV30*$B$35)</f>
        <v>75.625</v>
      </c>
      <c r="BW35" s="49">
        <f>IF(AQ35=".",".",up_RadSpec!$H$30*BW30*$B$35)</f>
        <v>8.0906363957948379E-3</v>
      </c>
      <c r="BX35" s="49">
        <f>IF(AR35=".",".",up_RadSpec!$G$30*BX30*$B$35)</f>
        <v>2.2602739726027395E-2</v>
      </c>
      <c r="BY35" s="49">
        <f>up_b2s!CC35</f>
        <v>758291.875</v>
      </c>
      <c r="BZ35" s="49">
        <f>IF(AT35=".",".",up_RadSpec!$F$30*BZ30*$B$35)</f>
        <v>37812.5</v>
      </c>
      <c r="CA35" s="49">
        <f>IF(AU35=".",".",up_RadSpec!$F$30*CA30*$B$35)</f>
        <v>37812.5</v>
      </c>
      <c r="CB35" s="49">
        <f>IF(AV35=".",".",up_RadSpec!$F$30*CB30*$B$35)</f>
        <v>134707031.25</v>
      </c>
      <c r="CC35" s="49">
        <f>IF(AW35=".",".",up_RadSpec!$F$30*CC30*$B$35)</f>
        <v>130783525.4854369</v>
      </c>
      <c r="CD35" s="49">
        <f>IF(AX35=".",".",up_RadSpec!$F$30*CD30*$B$35)</f>
        <v>134707031.25</v>
      </c>
      <c r="CE35" s="49">
        <f>IF(AY35=".",".",up_RadSpec!$F$30*CE30*$B$35)</f>
        <v>134707031.25</v>
      </c>
      <c r="CF35" s="49">
        <f>IF(AZ35=".",".",up_RadSpec!$F$30*CF30*$B$35)</f>
        <v>134707031.25</v>
      </c>
      <c r="CG35" s="49">
        <f>IF(BA35=".",".",up_RadSpec!$F$30*CG30*$B$35)</f>
        <v>134707031.25</v>
      </c>
      <c r="CH35" s="49">
        <f>IF(BB35=".",".",up_RadSpec!$F$30*CH30*$B$35)</f>
        <v>130783525.4854369</v>
      </c>
      <c r="CI35" s="49">
        <f>IF(BC35=".",".",up_RadSpec!$F$30*CI30*$B$35)</f>
        <v>134707031.25</v>
      </c>
      <c r="CJ35" s="49">
        <f>IF(BD35=".",".",up_RadSpec!$F$30*CJ30*$B$35)</f>
        <v>130783525.4854369</v>
      </c>
      <c r="CK35" s="49">
        <f t="shared" si="52"/>
        <v>1201426756.487004</v>
      </c>
      <c r="CL35" s="60">
        <f>IFERROR(CL30/$B35,".")</f>
        <v>3.6363636363636364E-3</v>
      </c>
      <c r="CM35" s="60" t="str">
        <f>IFERROR(CM30,".")</f>
        <v>.</v>
      </c>
      <c r="CN35" s="60">
        <f t="shared" ref="CN35:CZ35" si="63">IFERROR(CN30/$B35,".")</f>
        <v>39.81818181818182</v>
      </c>
      <c r="CO35" s="60">
        <f t="shared" si="63"/>
        <v>1.6443412786038033E-4</v>
      </c>
      <c r="CP35" s="60">
        <f t="shared" si="63"/>
        <v>0.13223140495867769</v>
      </c>
      <c r="CQ35" s="60">
        <f t="shared" si="63"/>
        <v>0.13223140495867769</v>
      </c>
      <c r="CR35" s="60">
        <f t="shared" si="63"/>
        <v>2.6446280991735537E-2</v>
      </c>
      <c r="CS35" s="60">
        <f t="shared" si="63"/>
        <v>2.7239669421487603E-2</v>
      </c>
      <c r="CT35" s="60">
        <f t="shared" si="63"/>
        <v>2.6446280991735537E-2</v>
      </c>
      <c r="CU35" s="60">
        <f t="shared" si="63"/>
        <v>2.6446280991735537E-2</v>
      </c>
      <c r="CV35" s="60">
        <f t="shared" si="63"/>
        <v>2.6446280991735537E-2</v>
      </c>
      <c r="CW35" s="60">
        <f t="shared" si="63"/>
        <v>2.6446280991735537E-2</v>
      </c>
      <c r="CX35" s="60">
        <f t="shared" si="63"/>
        <v>2.7239669421487603E-2</v>
      </c>
      <c r="CY35" s="60">
        <f t="shared" si="63"/>
        <v>2.6446280991735537E-2</v>
      </c>
      <c r="CZ35" s="60">
        <f t="shared" si="63"/>
        <v>2.7239669421487603E-2</v>
      </c>
      <c r="DA35" s="111">
        <f t="shared" si="28"/>
        <v>275</v>
      </c>
      <c r="DB35" s="111" t="str">
        <f t="shared" si="28"/>
        <v>.</v>
      </c>
      <c r="DC35" s="111">
        <f t="shared" si="28"/>
        <v>2.5114155251141551E-2</v>
      </c>
      <c r="DD35" s="111">
        <f t="shared" si="28"/>
        <v>6081.4626076229861</v>
      </c>
      <c r="DE35" s="111">
        <f t="shared" si="28"/>
        <v>7.5625</v>
      </c>
      <c r="DF35" s="111">
        <f t="shared" si="28"/>
        <v>7.5625</v>
      </c>
      <c r="DG35" s="111">
        <f t="shared" si="28"/>
        <v>37.8125</v>
      </c>
      <c r="DH35" s="111">
        <f t="shared" si="28"/>
        <v>36.711165048543691</v>
      </c>
      <c r="DI35" s="111">
        <f t="shared" si="28"/>
        <v>37.8125</v>
      </c>
      <c r="DJ35" s="111">
        <f t="shared" si="28"/>
        <v>37.8125</v>
      </c>
      <c r="DK35" s="111">
        <f t="shared" si="28"/>
        <v>37.8125</v>
      </c>
      <c r="DL35" s="111">
        <f t="shared" si="28"/>
        <v>37.8125</v>
      </c>
      <c r="DM35" s="111">
        <f t="shared" si="28"/>
        <v>36.711165048543691</v>
      </c>
      <c r="DN35" s="111">
        <f t="shared" si="28"/>
        <v>37.8125</v>
      </c>
      <c r="DO35" s="111">
        <f t="shared" si="28"/>
        <v>36.711165048543691</v>
      </c>
      <c r="DP35" s="60">
        <f>IFERROR(DP30/$B35,".")</f>
        <v>1.4906192608956598E-4</v>
      </c>
      <c r="DQ35" s="189">
        <f t="shared" ref="DQ35" si="64">IFERROR(DQ30/$B35,0)</f>
        <v>4.8624000290416429E-16</v>
      </c>
      <c r="DR35" s="49">
        <f>IF(CL35=".",".",up_RadSpec!$I$30*DR30*$B$35)</f>
        <v>6875</v>
      </c>
      <c r="DS35" s="49" t="str">
        <f>IF(CM35=".",".",up_RadSpec!$H$30*DS30)</f>
        <v>.</v>
      </c>
      <c r="DT35" s="49">
        <f>IF(CN35=".",".",up_RadSpec!$M$30*DT30*$B$35)</f>
        <v>0.62785388127853881</v>
      </c>
      <c r="DU35" s="49">
        <f>up_b2w!CC35</f>
        <v>152036.56519057468</v>
      </c>
      <c r="DV35" s="49">
        <f>IF(CP35=".",".",up_RadSpec!$F$30*DV30*$B$35)</f>
        <v>189.0625</v>
      </c>
      <c r="DW35" s="49">
        <f>IF(CQ35=".",".",up_RadSpec!$F$30*DW30*$B$35)</f>
        <v>189.0625</v>
      </c>
      <c r="DX35" s="49">
        <f>IF(CR35=".",".",up_RadSpec!$F$30*DX30*$B$35)</f>
        <v>945.3125</v>
      </c>
      <c r="DY35" s="49">
        <f>IF(CS35=".",".",up_RadSpec!$F$30*DY30*$B$35)</f>
        <v>917.77912621359224</v>
      </c>
      <c r="DZ35" s="49">
        <f>IF(CT35=".",".",up_RadSpec!$F$30*DZ30*$B$35)</f>
        <v>945.3125</v>
      </c>
      <c r="EA35" s="49">
        <f>IF(CU35=".",".",up_RadSpec!$F$30*EA30*$B$35)</f>
        <v>945.3125</v>
      </c>
      <c r="EB35" s="49">
        <f>IF(CV35=".",".",up_RadSpec!$F$30*EB30*$B$35)</f>
        <v>945.3125</v>
      </c>
      <c r="EC35" s="49">
        <f>IF(CW35=".",".",up_RadSpec!$F$30*EC30*$B$35)</f>
        <v>945.3125</v>
      </c>
      <c r="ED35" s="49">
        <f>IF(CX35=".",".",up_RadSpec!$F$30*ED30*$B$35)</f>
        <v>917.77912621359224</v>
      </c>
      <c r="EE35" s="49">
        <f>IF(CY35=".",".",up_RadSpec!$F$30*EE30*$B$35)</f>
        <v>945.3125</v>
      </c>
      <c r="EF35" s="49">
        <f>IF(CZ35=".",".",up_RadSpec!$F$30*EF30*$B$35)</f>
        <v>917.77912621359224</v>
      </c>
      <c r="EG35" s="49">
        <f t="shared" si="57"/>
        <v>167715.53042309676</v>
      </c>
      <c r="EH35" s="60">
        <f>IFERROR(EH30/$B35,".")</f>
        <v>9.9740259740259754E-3</v>
      </c>
      <c r="EI35" s="60">
        <f>IFERROR(EI30/$B35,".")</f>
        <v>63.709090909090911</v>
      </c>
      <c r="EJ35" s="60">
        <f>IFERROR(EJ30/$B35,".")</f>
        <v>9.9724647271019675E-3</v>
      </c>
      <c r="EK35" s="189">
        <f t="shared" ref="EK35" si="65">IFERROR(EK30/$B35,0)</f>
        <v>3.2530179939806619E-14</v>
      </c>
      <c r="EL35" s="49">
        <f>IF(EH35=".",".",up_RadSpec!$H$30*EL30*$B$35)</f>
        <v>2506.5104166666661</v>
      </c>
      <c r="EM35" s="49">
        <f>IF(EI35=".",".",up_RadSpec!$K$30*EM30*$B$35)</f>
        <v>0.39240867579908678</v>
      </c>
      <c r="EN35" s="49">
        <f t="shared" si="60"/>
        <v>2506.9028253424653</v>
      </c>
    </row>
    <row r="36" spans="1:144" x14ac:dyDescent="0.25">
      <c r="A36" s="77" t="s">
        <v>1064</v>
      </c>
      <c r="B36" s="42">
        <v>1</v>
      </c>
      <c r="C36" s="42"/>
      <c r="D36" s="60">
        <f t="shared" ref="D36:O36" si="66">IFERROR(D26/$B36,".")</f>
        <v>1.6528925619834712E-4</v>
      </c>
      <c r="E36" s="60">
        <f t="shared" si="66"/>
        <v>6.6115702479338848E-4</v>
      </c>
      <c r="F36" s="60">
        <f t="shared" si="66"/>
        <v>6.6115702479338848E-4</v>
      </c>
      <c r="G36" s="60">
        <f t="shared" si="66"/>
        <v>6.6115702479338848E-4</v>
      </c>
      <c r="H36" s="60">
        <f t="shared" si="66"/>
        <v>6.6115702479338848E-4</v>
      </c>
      <c r="I36" s="60">
        <f t="shared" si="66"/>
        <v>6.6115702479338848E-4</v>
      </c>
      <c r="J36" s="60">
        <f t="shared" si="66"/>
        <v>6.6115702479338848E-4</v>
      </c>
      <c r="K36" s="60">
        <f t="shared" si="66"/>
        <v>6.6115702479338848E-4</v>
      </c>
      <c r="L36" s="60">
        <f t="shared" si="66"/>
        <v>6.6115702479338848E-4</v>
      </c>
      <c r="M36" s="60">
        <f t="shared" si="66"/>
        <v>6.6115702479338848E-4</v>
      </c>
      <c r="N36" s="60">
        <f t="shared" si="66"/>
        <v>6.6115702479338848E-4</v>
      </c>
      <c r="O36" s="60">
        <f t="shared" si="66"/>
        <v>6.6115702479338848E-4</v>
      </c>
      <c r="P36" s="111">
        <f t="shared" si="47"/>
        <v>1512.5</v>
      </c>
      <c r="Q36" s="111">
        <f t="shared" si="41"/>
        <v>1512.5</v>
      </c>
      <c r="R36" s="111">
        <f t="shared" si="41"/>
        <v>1512.5</v>
      </c>
      <c r="S36" s="111">
        <f t="shared" si="41"/>
        <v>1512.5</v>
      </c>
      <c r="T36" s="111">
        <f t="shared" si="41"/>
        <v>1512.5</v>
      </c>
      <c r="U36" s="111">
        <f t="shared" si="41"/>
        <v>1512.5</v>
      </c>
      <c r="V36" s="111">
        <f t="shared" si="41"/>
        <v>1512.5</v>
      </c>
      <c r="W36" s="111">
        <f t="shared" si="41"/>
        <v>1512.5</v>
      </c>
      <c r="X36" s="111">
        <f t="shared" si="26"/>
        <v>1512.5</v>
      </c>
      <c r="Y36" s="111">
        <f t="shared" si="26"/>
        <v>1512.5</v>
      </c>
      <c r="Z36" s="111">
        <f t="shared" si="26"/>
        <v>1512.5</v>
      </c>
      <c r="AA36" s="111">
        <f t="shared" si="26"/>
        <v>1512.5</v>
      </c>
      <c r="AB36" s="60">
        <f>IFERROR(AB26/$B36,".")</f>
        <v>5.5096418732782371E-5</v>
      </c>
      <c r="AC36" s="247">
        <f>IFERROR(AC26/$B36,0)</f>
        <v>1.7663911845730031E-13</v>
      </c>
      <c r="AD36" s="49">
        <f>up_dir!BC36</f>
        <v>151250</v>
      </c>
      <c r="AE36" s="49">
        <f>IF(E36=".",".",up_RadSpec!$F$26*AE26*$B$36)</f>
        <v>37812.5</v>
      </c>
      <c r="AF36" s="49">
        <f>IF(F36=".",".",up_RadSpec!$F$26*AF26*$B$36)</f>
        <v>37812.5</v>
      </c>
      <c r="AG36" s="49">
        <f>IF(G36=".",".",up_RadSpec!$F$26*AG26*$B$36)</f>
        <v>37812.5</v>
      </c>
      <c r="AH36" s="49">
        <f>IF(H36=".",".",up_RadSpec!$F$26*AH26*$B$36)</f>
        <v>37812.5</v>
      </c>
      <c r="AI36" s="49">
        <f>IF(I36=".",".",up_RadSpec!$F$26*AI26*$B$36)</f>
        <v>37812.5</v>
      </c>
      <c r="AJ36" s="49">
        <f>IF(J36=".",".",up_RadSpec!$F$26*AJ26*$B$36)</f>
        <v>37812.5</v>
      </c>
      <c r="AK36" s="49">
        <f>IF(K36=".",".",up_RadSpec!$F$26*AK26*$B$36)</f>
        <v>37812.5</v>
      </c>
      <c r="AL36" s="49">
        <f>IF(L36=".",".",up_RadSpec!$F$26*AL26*$B$36)</f>
        <v>37812.5</v>
      </c>
      <c r="AM36" s="49">
        <f>IF(M36=".",".",up_RadSpec!$F$26*AM26*$B$36)</f>
        <v>37812.5</v>
      </c>
      <c r="AN36" s="49">
        <f>IF(N36=".",".",up_RadSpec!$F$26*AN26*$B$36)</f>
        <v>37812.5</v>
      </c>
      <c r="AO36" s="49">
        <f>IF(O36=".",".",up_RadSpec!$F$26*AO26*$B$36)</f>
        <v>37812.5</v>
      </c>
      <c r="AP36" s="60">
        <f t="shared" ref="AP36:BD36" si="67">IFERROR(AP26/$B36,".")</f>
        <v>0.33057851239669422</v>
      </c>
      <c r="AQ36" s="60">
        <f t="shared" si="67"/>
        <v>3089.9917851942919</v>
      </c>
      <c r="AR36" s="60">
        <f t="shared" si="67"/>
        <v>1162.4922696351264</v>
      </c>
      <c r="AS36" s="60">
        <f t="shared" si="67"/>
        <v>3.2968835384132272E-5</v>
      </c>
      <c r="AT36" s="60">
        <f t="shared" si="67"/>
        <v>6.6115702479338848E-4</v>
      </c>
      <c r="AU36" s="60">
        <f t="shared" si="67"/>
        <v>6.6115702479338848E-4</v>
      </c>
      <c r="AV36" s="60">
        <f t="shared" si="67"/>
        <v>1.8558793678410905E-7</v>
      </c>
      <c r="AW36" s="60">
        <f t="shared" si="67"/>
        <v>1.9115557488763231E-7</v>
      </c>
      <c r="AX36" s="60">
        <f t="shared" si="67"/>
        <v>1.8558793678410905E-7</v>
      </c>
      <c r="AY36" s="60">
        <f t="shared" si="67"/>
        <v>1.8558793678410905E-7</v>
      </c>
      <c r="AZ36" s="60">
        <f t="shared" si="67"/>
        <v>1.8558793678410905E-7</v>
      </c>
      <c r="BA36" s="60">
        <f t="shared" si="67"/>
        <v>1.8558793678410905E-7</v>
      </c>
      <c r="BB36" s="60">
        <f t="shared" si="67"/>
        <v>1.9115557488763231E-7</v>
      </c>
      <c r="BC36" s="60">
        <f t="shared" si="67"/>
        <v>1.8558793678410905E-7</v>
      </c>
      <c r="BD36" s="60">
        <f t="shared" si="67"/>
        <v>1.9115557488763231E-7</v>
      </c>
      <c r="BE36" s="111">
        <f t="shared" ref="BE36:BS81" si="68">IFERROR(1/AP36,".")</f>
        <v>3.0249999999999999</v>
      </c>
      <c r="BF36" s="111">
        <f t="shared" si="68"/>
        <v>3.236254558317935E-4</v>
      </c>
      <c r="BG36" s="111">
        <f t="shared" si="68"/>
        <v>8.6022077403910123E-4</v>
      </c>
      <c r="BH36" s="111">
        <f t="shared" si="68"/>
        <v>30331.674999999992</v>
      </c>
      <c r="BI36" s="111">
        <f t="shared" si="68"/>
        <v>1512.5</v>
      </c>
      <c r="BJ36" s="111">
        <f t="shared" si="68"/>
        <v>1512.5</v>
      </c>
      <c r="BK36" s="111">
        <f t="shared" si="68"/>
        <v>5388281.2499999991</v>
      </c>
      <c r="BL36" s="111">
        <f t="shared" si="68"/>
        <v>5231341.0194174759</v>
      </c>
      <c r="BM36" s="111">
        <f t="shared" si="68"/>
        <v>5388281.2499999991</v>
      </c>
      <c r="BN36" s="111">
        <f t="shared" si="68"/>
        <v>5388281.2499999991</v>
      </c>
      <c r="BO36" s="111">
        <f t="shared" si="68"/>
        <v>5388281.2499999991</v>
      </c>
      <c r="BP36" s="111">
        <f t="shared" si="68"/>
        <v>5388281.2499999991</v>
      </c>
      <c r="BQ36" s="111">
        <f t="shared" si="68"/>
        <v>5231341.0194174759</v>
      </c>
      <c r="BR36" s="111">
        <f t="shared" si="68"/>
        <v>5388281.2499999991</v>
      </c>
      <c r="BS36" s="111">
        <f t="shared" si="68"/>
        <v>5231341.0194174759</v>
      </c>
      <c r="BT36" s="60">
        <f>IFERROR(BT26/$B36,".")</f>
        <v>2.0808592671203138E-8</v>
      </c>
      <c r="BU36" s="189">
        <f>IFERROR(BU26/$B36,0)</f>
        <v>6.6712348103877263E-17</v>
      </c>
      <c r="BV36" s="49">
        <f>IF(AP36=".",".",up_RadSpec!$E$26*BV26*$B$36)</f>
        <v>75.625</v>
      </c>
      <c r="BW36" s="49">
        <f>IF(AQ36=".",".",up_RadSpec!$H$26*BW26*$B$36)</f>
        <v>8.0906363957948379E-3</v>
      </c>
      <c r="BX36" s="49">
        <f>IF(AR36=".",".",up_RadSpec!$G$26*BX26*$B$36)</f>
        <v>2.1505519350977532E-2</v>
      </c>
      <c r="BY36" s="49">
        <f>up_b2s!CC36</f>
        <v>758291.875</v>
      </c>
      <c r="BZ36" s="49">
        <f>IF(AT36=".",".",up_RadSpec!$F$26*BZ26*$B$36)</f>
        <v>37812.5</v>
      </c>
      <c r="CA36" s="49">
        <f>IF(AU36=".",".",up_RadSpec!$F$26*CA26*$B$36)</f>
        <v>37812.5</v>
      </c>
      <c r="CB36" s="49">
        <f>IF(AV36=".",".",up_RadSpec!$F$26*CB26*$B$36)</f>
        <v>134707031.25</v>
      </c>
      <c r="CC36" s="49">
        <f>IF(AW36=".",".",up_RadSpec!$F$26*CC26*$B$36)</f>
        <v>130783525.4854369</v>
      </c>
      <c r="CD36" s="49">
        <f>IF(AX36=".",".",up_RadSpec!$F$26*CD26*$B$36)</f>
        <v>134707031.25</v>
      </c>
      <c r="CE36" s="49">
        <f>IF(AY36=".",".",up_RadSpec!$F$26*CE26*$B$36)</f>
        <v>134707031.25</v>
      </c>
      <c r="CF36" s="49">
        <f>IF(AZ36=".",".",up_RadSpec!$F$26*CF26*$B$36)</f>
        <v>134707031.25</v>
      </c>
      <c r="CG36" s="49">
        <f>IF(BA36=".",".",up_RadSpec!$F$26*CG26*$B$36)</f>
        <v>134707031.25</v>
      </c>
      <c r="CH36" s="49">
        <f>IF(BB36=".",".",up_RadSpec!$F$26*CH26*$B$36)</f>
        <v>130783525.4854369</v>
      </c>
      <c r="CI36" s="49">
        <f>IF(BC36=".",".",up_RadSpec!$F$26*CI26*$B$36)</f>
        <v>134707031.25</v>
      </c>
      <c r="CJ36" s="49">
        <f>IF(BD36=".",".",up_RadSpec!$F$26*CJ26*$B$36)</f>
        <v>130783525.4854369</v>
      </c>
      <c r="CK36" s="49">
        <f t="shared" si="52"/>
        <v>1201426756.4859068</v>
      </c>
      <c r="CL36" s="60">
        <f>IFERROR(CL26/$B36,".")</f>
        <v>3.6363636363636364E-3</v>
      </c>
      <c r="CM36" s="60" t="str">
        <f>IFERROR(CM26,".")</f>
        <v>.</v>
      </c>
      <c r="CN36" s="60">
        <f t="shared" ref="CN36:CZ36" si="69">IFERROR(CN26/$B36,".")</f>
        <v>39.81818181818182</v>
      </c>
      <c r="CO36" s="60">
        <f t="shared" si="69"/>
        <v>1.6443412786038033E-4</v>
      </c>
      <c r="CP36" s="60">
        <f t="shared" si="69"/>
        <v>0.13223140495867769</v>
      </c>
      <c r="CQ36" s="60">
        <f t="shared" si="69"/>
        <v>0.13223140495867769</v>
      </c>
      <c r="CR36" s="60">
        <f t="shared" si="69"/>
        <v>2.6446280991735537E-2</v>
      </c>
      <c r="CS36" s="60">
        <f t="shared" si="69"/>
        <v>2.7239669421487603E-2</v>
      </c>
      <c r="CT36" s="60">
        <f t="shared" si="69"/>
        <v>2.6446280991735537E-2</v>
      </c>
      <c r="CU36" s="60">
        <f t="shared" si="69"/>
        <v>2.6446280991735537E-2</v>
      </c>
      <c r="CV36" s="60">
        <f t="shared" si="69"/>
        <v>2.6446280991735537E-2</v>
      </c>
      <c r="CW36" s="60">
        <f t="shared" si="69"/>
        <v>2.6446280991735537E-2</v>
      </c>
      <c r="CX36" s="60">
        <f t="shared" si="69"/>
        <v>2.7239669421487603E-2</v>
      </c>
      <c r="CY36" s="60">
        <f t="shared" si="69"/>
        <v>2.6446280991735537E-2</v>
      </c>
      <c r="CZ36" s="60">
        <f t="shared" si="69"/>
        <v>2.7239669421487603E-2</v>
      </c>
      <c r="DA36" s="111">
        <f t="shared" si="28"/>
        <v>275</v>
      </c>
      <c r="DB36" s="111" t="str">
        <f t="shared" ref="DB36:DO81" si="70">IFERROR(1/CM36,".")</f>
        <v>.</v>
      </c>
      <c r="DC36" s="111">
        <f t="shared" si="70"/>
        <v>2.5114155251141551E-2</v>
      </c>
      <c r="DD36" s="111">
        <f t="shared" si="70"/>
        <v>6081.4626076229861</v>
      </c>
      <c r="DE36" s="111">
        <f t="shared" si="70"/>
        <v>7.5625</v>
      </c>
      <c r="DF36" s="111">
        <f t="shared" si="70"/>
        <v>7.5625</v>
      </c>
      <c r="DG36" s="111">
        <f t="shared" si="70"/>
        <v>37.8125</v>
      </c>
      <c r="DH36" s="111">
        <f t="shared" si="70"/>
        <v>36.711165048543691</v>
      </c>
      <c r="DI36" s="111">
        <f t="shared" si="70"/>
        <v>37.8125</v>
      </c>
      <c r="DJ36" s="111">
        <f t="shared" si="70"/>
        <v>37.8125</v>
      </c>
      <c r="DK36" s="111">
        <f t="shared" si="70"/>
        <v>37.8125</v>
      </c>
      <c r="DL36" s="111">
        <f t="shared" si="70"/>
        <v>37.8125</v>
      </c>
      <c r="DM36" s="111">
        <f t="shared" si="70"/>
        <v>36.711165048543691</v>
      </c>
      <c r="DN36" s="111">
        <f t="shared" si="70"/>
        <v>37.8125</v>
      </c>
      <c r="DO36" s="111">
        <f t="shared" si="70"/>
        <v>36.711165048543691</v>
      </c>
      <c r="DP36" s="60">
        <f>IFERROR(DP26/$B36,".")</f>
        <v>1.4906192608956598E-4</v>
      </c>
      <c r="DQ36" s="189">
        <f t="shared" ref="DQ36" si="71">IFERROR(DQ26/$B36,0)</f>
        <v>4.7789253504314862E-16</v>
      </c>
      <c r="DR36" s="49">
        <f>IF(CL36=".",".",up_RadSpec!$I$26*DR26*$B$36)</f>
        <v>6875</v>
      </c>
      <c r="DS36" s="49" t="str">
        <f>IF(CM36=".",".",up_RadSpec!$H$26*DS26)</f>
        <v>.</v>
      </c>
      <c r="DT36" s="49">
        <f>IF(CN36=".",".",up_RadSpec!$M$26*DT26*$B$36)</f>
        <v>0.62785388127853881</v>
      </c>
      <c r="DU36" s="49">
        <f>up_b2w!CC36</f>
        <v>152036.56519057468</v>
      </c>
      <c r="DV36" s="49">
        <f>IF(CP36=".",".",up_RadSpec!$F$26*DV26*$B$36)</f>
        <v>189.0625</v>
      </c>
      <c r="DW36" s="49">
        <f>IF(CQ36=".",".",up_RadSpec!$F$26*DW26*$B$36)</f>
        <v>189.0625</v>
      </c>
      <c r="DX36" s="49">
        <f>IF(CR36=".",".",up_RadSpec!$F$26*DX26*$B$36)</f>
        <v>945.3125</v>
      </c>
      <c r="DY36" s="49">
        <f>IF(CS36=".",".",up_RadSpec!$F$26*DY26*$B$36)</f>
        <v>917.77912621359224</v>
      </c>
      <c r="DZ36" s="49">
        <f>IF(CT36=".",".",up_RadSpec!$F$26*DZ26*$B$36)</f>
        <v>945.3125</v>
      </c>
      <c r="EA36" s="49">
        <f>IF(CU36=".",".",up_RadSpec!$F$26*EA26*$B$36)</f>
        <v>945.3125</v>
      </c>
      <c r="EB36" s="49">
        <f>IF(CV36=".",".",up_RadSpec!$F$26*EB26*$B$36)</f>
        <v>945.3125</v>
      </c>
      <c r="EC36" s="49">
        <f>IF(CW36=".",".",up_RadSpec!$F$26*EC26*$B$36)</f>
        <v>945.3125</v>
      </c>
      <c r="ED36" s="49">
        <f>IF(CX36=".",".",up_RadSpec!$F$26*ED26*$B$36)</f>
        <v>917.77912621359224</v>
      </c>
      <c r="EE36" s="49">
        <f>IF(CY36=".",".",up_RadSpec!$F$26*EE26*$B$36)</f>
        <v>945.3125</v>
      </c>
      <c r="EF36" s="49">
        <f>IF(CZ36=".",".",up_RadSpec!$F$26*EF26*$B$36)</f>
        <v>917.77912621359224</v>
      </c>
      <c r="EG36" s="49">
        <f t="shared" si="57"/>
        <v>167715.53042309676</v>
      </c>
      <c r="EH36" s="60">
        <f>IFERROR(EH26/$B36,".")</f>
        <v>9.9740259740259754E-3</v>
      </c>
      <c r="EI36" s="60">
        <f>IFERROR(EI26/$B36,".")</f>
        <v>63.709090909090911</v>
      </c>
      <c r="EJ36" s="60">
        <f>IFERROR(EJ26/$B36,".")</f>
        <v>9.9724647271019675E-3</v>
      </c>
      <c r="EK36" s="189">
        <f t="shared" ref="EK36" si="72">IFERROR(EK26/$B36,0)</f>
        <v>3.1971721915088906E-14</v>
      </c>
      <c r="EL36" s="49">
        <f>IF(EH36=".",".",up_RadSpec!$H$26*EL26*$B$36)</f>
        <v>2506.5104166666661</v>
      </c>
      <c r="EM36" s="49">
        <f>IF(EI36=".",".",up_RadSpec!$K$26*EM26*$B$36)</f>
        <v>0.39240867579908678</v>
      </c>
      <c r="EN36" s="49">
        <f t="shared" si="60"/>
        <v>2506.9028253424653</v>
      </c>
    </row>
    <row r="37" spans="1:144" x14ac:dyDescent="0.25">
      <c r="A37" s="77" t="s">
        <v>1065</v>
      </c>
      <c r="B37" s="42">
        <v>1</v>
      </c>
      <c r="C37" s="42"/>
      <c r="D37" s="60">
        <f t="shared" ref="D37:O37" si="73">IFERROR(D22/$B37,".")</f>
        <v>1.6528925619834712E-4</v>
      </c>
      <c r="E37" s="60">
        <f t="shared" si="73"/>
        <v>6.6115702479338848E-4</v>
      </c>
      <c r="F37" s="60">
        <f t="shared" si="73"/>
        <v>6.6115702479338848E-4</v>
      </c>
      <c r="G37" s="60">
        <f t="shared" si="73"/>
        <v>6.6115702479338848E-4</v>
      </c>
      <c r="H37" s="60">
        <f t="shared" si="73"/>
        <v>6.6115702479338848E-4</v>
      </c>
      <c r="I37" s="60">
        <f t="shared" si="73"/>
        <v>6.6115702479338848E-4</v>
      </c>
      <c r="J37" s="60">
        <f t="shared" si="73"/>
        <v>6.6115702479338848E-4</v>
      </c>
      <c r="K37" s="60">
        <f t="shared" si="73"/>
        <v>6.6115702479338848E-4</v>
      </c>
      <c r="L37" s="60">
        <f t="shared" si="73"/>
        <v>6.6115702479338848E-4</v>
      </c>
      <c r="M37" s="60">
        <f t="shared" si="73"/>
        <v>6.6115702479338848E-4</v>
      </c>
      <c r="N37" s="60">
        <f t="shared" si="73"/>
        <v>6.6115702479338848E-4</v>
      </c>
      <c r="O37" s="60">
        <f t="shared" si="73"/>
        <v>6.6115702479338848E-4</v>
      </c>
      <c r="P37" s="111">
        <f t="shared" si="47"/>
        <v>1512.5</v>
      </c>
      <c r="Q37" s="111">
        <f t="shared" si="41"/>
        <v>1512.5</v>
      </c>
      <c r="R37" s="111">
        <f t="shared" si="41"/>
        <v>1512.5</v>
      </c>
      <c r="S37" s="111">
        <f t="shared" si="41"/>
        <v>1512.5</v>
      </c>
      <c r="T37" s="111">
        <f t="shared" si="41"/>
        <v>1512.5</v>
      </c>
      <c r="U37" s="111">
        <f t="shared" si="41"/>
        <v>1512.5</v>
      </c>
      <c r="V37" s="111">
        <f t="shared" si="41"/>
        <v>1512.5</v>
      </c>
      <c r="W37" s="111">
        <f t="shared" si="41"/>
        <v>1512.5</v>
      </c>
      <c r="X37" s="111">
        <f t="shared" si="26"/>
        <v>1512.5</v>
      </c>
      <c r="Y37" s="111">
        <f t="shared" si="26"/>
        <v>1512.5</v>
      </c>
      <c r="Z37" s="111">
        <f t="shared" si="26"/>
        <v>1512.5</v>
      </c>
      <c r="AA37" s="111">
        <f t="shared" si="26"/>
        <v>1512.5</v>
      </c>
      <c r="AB37" s="60">
        <f>IFERROR(AB22/$B37,".")</f>
        <v>5.5096418732782371E-5</v>
      </c>
      <c r="AC37" s="247">
        <f>IFERROR(AC22/$B37,0)</f>
        <v>1.7355371900826451E-13</v>
      </c>
      <c r="AD37" s="49">
        <f>up_dir!BC37</f>
        <v>151250</v>
      </c>
      <c r="AE37" s="49">
        <f>IF(E37=".",".",up_RadSpec!$F$22*AE22*$B$37)</f>
        <v>37812.5</v>
      </c>
      <c r="AF37" s="49">
        <f>IF(F37=".",".",up_RadSpec!$F$22*AF22*$B$37)</f>
        <v>37812.5</v>
      </c>
      <c r="AG37" s="49">
        <f>IF(G37=".",".",up_RadSpec!$F$22*AG22*$B$37)</f>
        <v>37812.5</v>
      </c>
      <c r="AH37" s="49">
        <f>IF(H37=".",".",up_RadSpec!$F$22*AH22*$B$37)</f>
        <v>37812.5</v>
      </c>
      <c r="AI37" s="49">
        <f>IF(I37=".",".",up_RadSpec!$F$22*AI22*$B$37)</f>
        <v>37812.5</v>
      </c>
      <c r="AJ37" s="49">
        <f>IF(J37=".",".",up_RadSpec!$F$22*AJ22*$B$37)</f>
        <v>37812.5</v>
      </c>
      <c r="AK37" s="49">
        <f>IF(K37=".",".",up_RadSpec!$F$22*AK22*$B$37)</f>
        <v>37812.5</v>
      </c>
      <c r="AL37" s="49">
        <f>IF(L37=".",".",up_RadSpec!$F$22*AL22*$B$37)</f>
        <v>37812.5</v>
      </c>
      <c r="AM37" s="49">
        <f>IF(M37=".",".",up_RadSpec!$F$22*AM22*$B$37)</f>
        <v>37812.5</v>
      </c>
      <c r="AN37" s="49">
        <f>IF(N37=".",".",up_RadSpec!$F$22*AN22*$B$37)</f>
        <v>37812.5</v>
      </c>
      <c r="AO37" s="49">
        <f>IF(O37=".",".",up_RadSpec!$F$22*AO22*$B$37)</f>
        <v>37812.5</v>
      </c>
      <c r="AP37" s="60">
        <f t="shared" ref="AP37:BD37" si="74">IFERROR(AP22/$B37,".")</f>
        <v>0.33057851239669422</v>
      </c>
      <c r="AQ37" s="60">
        <f t="shared" si="74"/>
        <v>3089.9917851942919</v>
      </c>
      <c r="AR37" s="60">
        <f t="shared" si="74"/>
        <v>636876832.84457493</v>
      </c>
      <c r="AS37" s="60">
        <f t="shared" si="74"/>
        <v>3.2968835384132272E-5</v>
      </c>
      <c r="AT37" s="60">
        <f t="shared" si="74"/>
        <v>6.6115702479338848E-4</v>
      </c>
      <c r="AU37" s="60">
        <f t="shared" si="74"/>
        <v>6.6115702479338848E-4</v>
      </c>
      <c r="AV37" s="60">
        <f t="shared" si="74"/>
        <v>1.8558793678410905E-7</v>
      </c>
      <c r="AW37" s="60">
        <f t="shared" si="74"/>
        <v>1.9115557488763231E-7</v>
      </c>
      <c r="AX37" s="60">
        <f t="shared" si="74"/>
        <v>1.8558793678410905E-7</v>
      </c>
      <c r="AY37" s="60">
        <f t="shared" si="74"/>
        <v>1.8558793678410905E-7</v>
      </c>
      <c r="AZ37" s="60">
        <f t="shared" si="74"/>
        <v>1.8558793678410905E-7</v>
      </c>
      <c r="BA37" s="60">
        <f t="shared" si="74"/>
        <v>1.8558793678410905E-7</v>
      </c>
      <c r="BB37" s="60">
        <f t="shared" si="74"/>
        <v>1.9115557488763231E-7</v>
      </c>
      <c r="BC37" s="60">
        <f t="shared" si="74"/>
        <v>1.8558793678410905E-7</v>
      </c>
      <c r="BD37" s="60">
        <f t="shared" si="74"/>
        <v>1.9115557488763231E-7</v>
      </c>
      <c r="BE37" s="111">
        <f t="shared" si="68"/>
        <v>3.0249999999999999</v>
      </c>
      <c r="BF37" s="111">
        <f t="shared" si="68"/>
        <v>3.236254558317935E-4</v>
      </c>
      <c r="BG37" s="111">
        <f t="shared" si="68"/>
        <v>1.5701623114999422E-9</v>
      </c>
      <c r="BH37" s="111">
        <f t="shared" si="68"/>
        <v>30331.674999999992</v>
      </c>
      <c r="BI37" s="111">
        <f t="shared" si="68"/>
        <v>1512.5</v>
      </c>
      <c r="BJ37" s="111">
        <f t="shared" si="68"/>
        <v>1512.5</v>
      </c>
      <c r="BK37" s="111">
        <f t="shared" si="68"/>
        <v>5388281.2499999991</v>
      </c>
      <c r="BL37" s="111">
        <f t="shared" si="68"/>
        <v>5231341.0194174759</v>
      </c>
      <c r="BM37" s="111">
        <f t="shared" si="68"/>
        <v>5388281.2499999991</v>
      </c>
      <c r="BN37" s="111">
        <f t="shared" si="68"/>
        <v>5388281.2499999991</v>
      </c>
      <c r="BO37" s="111">
        <f t="shared" si="68"/>
        <v>5388281.2499999991</v>
      </c>
      <c r="BP37" s="111">
        <f t="shared" si="68"/>
        <v>5388281.2499999991</v>
      </c>
      <c r="BQ37" s="111">
        <f t="shared" si="68"/>
        <v>5231341.0194174759</v>
      </c>
      <c r="BR37" s="111">
        <f t="shared" si="68"/>
        <v>5388281.2499999991</v>
      </c>
      <c r="BS37" s="111">
        <f t="shared" si="68"/>
        <v>5231341.0194174759</v>
      </c>
      <c r="BT37" s="60">
        <f>IFERROR(BT22/$B37,".")</f>
        <v>2.0808592671575615E-8</v>
      </c>
      <c r="BU37" s="189">
        <f>IFERROR(BU22/$B37,0)</f>
        <v>6.5547066915463189E-17</v>
      </c>
      <c r="BV37" s="49">
        <f>IF(AP37=".",".",up_RadSpec!$E$22*BV22*$B$37)</f>
        <v>75.625</v>
      </c>
      <c r="BW37" s="49">
        <f>IF(AQ37=".",".",up_RadSpec!$H$22*BW22*$B$37)</f>
        <v>8.0906363957948379E-3</v>
      </c>
      <c r="BX37" s="49">
        <f>IF(AR37=".",".",up_RadSpec!$G$22*BX22*$B$37)</f>
        <v>3.9254057787498545E-8</v>
      </c>
      <c r="BY37" s="49">
        <f>up_b2s!CC37</f>
        <v>758291.875</v>
      </c>
      <c r="BZ37" s="49">
        <f>IF(AT37=".",".",up_RadSpec!$F$22*BZ22*$B$37)</f>
        <v>37812.5</v>
      </c>
      <c r="CA37" s="49">
        <f>IF(AU37=".",".",up_RadSpec!$F$22*CA22*$B$37)</f>
        <v>37812.5</v>
      </c>
      <c r="CB37" s="49">
        <f>IF(AV37=".",".",up_RadSpec!$F$22*CB22*$B$37)</f>
        <v>134707031.25</v>
      </c>
      <c r="CC37" s="49">
        <f>IF(AW37=".",".",up_RadSpec!$F$22*CC22*$B$37)</f>
        <v>130783525.4854369</v>
      </c>
      <c r="CD37" s="49">
        <f>IF(AX37=".",".",up_RadSpec!$F$22*CD22*$B$37)</f>
        <v>134707031.25</v>
      </c>
      <c r="CE37" s="49">
        <f>IF(AY37=".",".",up_RadSpec!$F$22*CE22*$B$37)</f>
        <v>134707031.25</v>
      </c>
      <c r="CF37" s="49">
        <f>IF(AZ37=".",".",up_RadSpec!$F$22*CF22*$B$37)</f>
        <v>134707031.25</v>
      </c>
      <c r="CG37" s="49">
        <f>IF(BA37=".",".",up_RadSpec!$F$22*CG22*$B$37)</f>
        <v>134707031.25</v>
      </c>
      <c r="CH37" s="49">
        <f>IF(BB37=".",".",up_RadSpec!$F$22*CH22*$B$37)</f>
        <v>130783525.4854369</v>
      </c>
      <c r="CI37" s="49">
        <f>IF(BC37=".",".",up_RadSpec!$F$22*CI22*$B$37)</f>
        <v>134707031.25</v>
      </c>
      <c r="CJ37" s="49">
        <f>IF(BD37=".",".",up_RadSpec!$F$22*CJ22*$B$37)</f>
        <v>130783525.4854369</v>
      </c>
      <c r="CK37" s="49">
        <f t="shared" si="52"/>
        <v>1201426756.4644015</v>
      </c>
      <c r="CL37" s="60">
        <f>IFERROR(CL22/$B37,".")</f>
        <v>3.6363636363636364E-3</v>
      </c>
      <c r="CM37" s="60" t="str">
        <f>IFERROR(CM22,".")</f>
        <v>.</v>
      </c>
      <c r="CN37" s="60">
        <f t="shared" ref="CN37:CZ37" si="75">IFERROR(CN22/$B37,".")</f>
        <v>39.81818181818182</v>
      </c>
      <c r="CO37" s="60">
        <f t="shared" si="75"/>
        <v>1.6443412786038033E-4</v>
      </c>
      <c r="CP37" s="60">
        <f t="shared" si="75"/>
        <v>0.13223140495867769</v>
      </c>
      <c r="CQ37" s="60">
        <f t="shared" si="75"/>
        <v>0.13223140495867769</v>
      </c>
      <c r="CR37" s="60">
        <f t="shared" si="75"/>
        <v>2.6446280991735537E-2</v>
      </c>
      <c r="CS37" s="60">
        <f t="shared" si="75"/>
        <v>2.7239669421487603E-2</v>
      </c>
      <c r="CT37" s="60">
        <f t="shared" si="75"/>
        <v>2.6446280991735537E-2</v>
      </c>
      <c r="CU37" s="60">
        <f t="shared" si="75"/>
        <v>2.6446280991735537E-2</v>
      </c>
      <c r="CV37" s="60">
        <f t="shared" si="75"/>
        <v>2.6446280991735537E-2</v>
      </c>
      <c r="CW37" s="60">
        <f t="shared" si="75"/>
        <v>2.6446280991735537E-2</v>
      </c>
      <c r="CX37" s="60">
        <f t="shared" si="75"/>
        <v>2.7239669421487603E-2</v>
      </c>
      <c r="CY37" s="60">
        <f t="shared" si="75"/>
        <v>2.6446280991735537E-2</v>
      </c>
      <c r="CZ37" s="60">
        <f t="shared" si="75"/>
        <v>2.7239669421487603E-2</v>
      </c>
      <c r="DA37" s="111">
        <f t="shared" ref="DA37:DD82" si="76">IFERROR(1/CL37,".")</f>
        <v>275</v>
      </c>
      <c r="DB37" s="111" t="str">
        <f t="shared" si="70"/>
        <v>.</v>
      </c>
      <c r="DC37" s="111">
        <f t="shared" si="70"/>
        <v>2.5114155251141551E-2</v>
      </c>
      <c r="DD37" s="111">
        <f t="shared" si="70"/>
        <v>6081.4626076229861</v>
      </c>
      <c r="DE37" s="111">
        <f t="shared" si="70"/>
        <v>7.5625</v>
      </c>
      <c r="DF37" s="111">
        <f t="shared" si="70"/>
        <v>7.5625</v>
      </c>
      <c r="DG37" s="111">
        <f t="shared" si="70"/>
        <v>37.8125</v>
      </c>
      <c r="DH37" s="111">
        <f t="shared" si="70"/>
        <v>36.711165048543691</v>
      </c>
      <c r="DI37" s="111">
        <f t="shared" si="70"/>
        <v>37.8125</v>
      </c>
      <c r="DJ37" s="111">
        <f t="shared" si="70"/>
        <v>37.8125</v>
      </c>
      <c r="DK37" s="111">
        <f t="shared" si="70"/>
        <v>37.8125</v>
      </c>
      <c r="DL37" s="111">
        <f t="shared" si="70"/>
        <v>37.8125</v>
      </c>
      <c r="DM37" s="111">
        <f t="shared" si="70"/>
        <v>36.711165048543691</v>
      </c>
      <c r="DN37" s="111">
        <f t="shared" si="70"/>
        <v>37.8125</v>
      </c>
      <c r="DO37" s="111">
        <f t="shared" si="70"/>
        <v>36.711165048543691</v>
      </c>
      <c r="DP37" s="60">
        <f>IFERROR(DP22/$B37,".")</f>
        <v>1.4906192608956598E-4</v>
      </c>
      <c r="DQ37" s="189">
        <f t="shared" ref="DQ37" si="77">IFERROR(DQ22/$B37,0)</f>
        <v>4.6954506718213294E-16</v>
      </c>
      <c r="DR37" s="49">
        <f>IF(CL37=".",".",up_RadSpec!$I$22*DR22*$B$37)</f>
        <v>6875</v>
      </c>
      <c r="DS37" s="49" t="str">
        <f>IF(CM37=".",".",up_RadSpec!$H$22*DS22)</f>
        <v>.</v>
      </c>
      <c r="DT37" s="49">
        <f>IF(CN37=".",".",up_RadSpec!$M$22*DT22*$B$37)</f>
        <v>0.62785388127853881</v>
      </c>
      <c r="DU37" s="49">
        <f>up_b2w!CC37</f>
        <v>152036.56519057468</v>
      </c>
      <c r="DV37" s="49">
        <f>IF(CP37=".",".",up_RadSpec!$F$22*DV22*$B$37)</f>
        <v>189.0625</v>
      </c>
      <c r="DW37" s="49">
        <f>IF(CQ37=".",".",up_RadSpec!$F$22*DW22*$B$37)</f>
        <v>189.0625</v>
      </c>
      <c r="DX37" s="49">
        <f>IF(CR37=".",".",up_RadSpec!$F$22*DX22*$B$37)</f>
        <v>945.3125</v>
      </c>
      <c r="DY37" s="49">
        <f>IF(CS37=".",".",up_RadSpec!$F$22*DY22*$B$37)</f>
        <v>917.77912621359224</v>
      </c>
      <c r="DZ37" s="49">
        <f>IF(CT37=".",".",up_RadSpec!$F$22*DZ22*$B$37)</f>
        <v>945.3125</v>
      </c>
      <c r="EA37" s="49">
        <f>IF(CU37=".",".",up_RadSpec!$F$22*EA22*$B$37)</f>
        <v>945.3125</v>
      </c>
      <c r="EB37" s="49">
        <f>IF(CV37=".",".",up_RadSpec!$F$22*EB22*$B$37)</f>
        <v>945.3125</v>
      </c>
      <c r="EC37" s="49">
        <f>IF(CW37=".",".",up_RadSpec!$F$22*EC22*$B$37)</f>
        <v>945.3125</v>
      </c>
      <c r="ED37" s="49">
        <f>IF(CX37=".",".",up_RadSpec!$F$22*ED22*$B$37)</f>
        <v>917.77912621359224</v>
      </c>
      <c r="EE37" s="49">
        <f>IF(CY37=".",".",up_RadSpec!$F$22*EE22*$B$37)</f>
        <v>945.3125</v>
      </c>
      <c r="EF37" s="49">
        <f>IF(CZ37=".",".",up_RadSpec!$F$22*EF22*$B$37)</f>
        <v>917.77912621359224</v>
      </c>
      <c r="EG37" s="49">
        <f t="shared" si="57"/>
        <v>167715.53042309676</v>
      </c>
      <c r="EH37" s="60">
        <f>IFERROR(EH22/$B37,".")</f>
        <v>9.9740259740259754E-3</v>
      </c>
      <c r="EI37" s="60">
        <f>IFERROR(EI22/$B37,".")</f>
        <v>63.709090909090911</v>
      </c>
      <c r="EJ37" s="60">
        <f>IFERROR(EJ22/$B37,".")</f>
        <v>9.9724647271019675E-3</v>
      </c>
      <c r="EK37" s="189">
        <f t="shared" ref="EK37" si="78">IFERROR(EK22/$B37,0)</f>
        <v>3.14132638903712E-14</v>
      </c>
      <c r="EL37" s="49">
        <f>IF(EH37=".",".",up_RadSpec!$H$22*EL22*$B$37)</f>
        <v>2506.5104166666661</v>
      </c>
      <c r="EM37" s="49">
        <f>IF(EI37=".",".",up_RadSpec!$K$22*EM22*$B$37)</f>
        <v>0.39240867579908678</v>
      </c>
      <c r="EN37" s="49">
        <f t="shared" si="60"/>
        <v>2506.9028253424653</v>
      </c>
    </row>
    <row r="38" spans="1:144" x14ac:dyDescent="0.25">
      <c r="A38" s="77" t="s">
        <v>1066</v>
      </c>
      <c r="B38" s="42">
        <v>1</v>
      </c>
      <c r="C38" s="42"/>
      <c r="D38" s="60">
        <f t="shared" ref="D38:O38" si="79">IFERROR(D2/$B38,".")</f>
        <v>1.6528925619834712E-4</v>
      </c>
      <c r="E38" s="60">
        <f t="shared" si="79"/>
        <v>6.6115702479338848E-4</v>
      </c>
      <c r="F38" s="60">
        <f t="shared" si="79"/>
        <v>6.6115702479338848E-4</v>
      </c>
      <c r="G38" s="60">
        <f t="shared" si="79"/>
        <v>6.6115702479338848E-4</v>
      </c>
      <c r="H38" s="60">
        <f t="shared" si="79"/>
        <v>6.6115702479338848E-4</v>
      </c>
      <c r="I38" s="60">
        <f t="shared" si="79"/>
        <v>6.6115702479338848E-4</v>
      </c>
      <c r="J38" s="60">
        <f t="shared" si="79"/>
        <v>6.6115702479338848E-4</v>
      </c>
      <c r="K38" s="60">
        <f t="shared" si="79"/>
        <v>6.6115702479338848E-4</v>
      </c>
      <c r="L38" s="60">
        <f t="shared" si="79"/>
        <v>6.6115702479338848E-4</v>
      </c>
      <c r="M38" s="60">
        <f t="shared" si="79"/>
        <v>6.6115702479338848E-4</v>
      </c>
      <c r="N38" s="60">
        <f t="shared" si="79"/>
        <v>6.6115702479338848E-4</v>
      </c>
      <c r="O38" s="60">
        <f t="shared" si="79"/>
        <v>6.6115702479338848E-4</v>
      </c>
      <c r="P38" s="111">
        <f t="shared" si="47"/>
        <v>1512.5</v>
      </c>
      <c r="Q38" s="111">
        <f t="shared" si="41"/>
        <v>1512.5</v>
      </c>
      <c r="R38" s="111">
        <f t="shared" si="41"/>
        <v>1512.5</v>
      </c>
      <c r="S38" s="111">
        <f t="shared" si="41"/>
        <v>1512.5</v>
      </c>
      <c r="T38" s="111">
        <f t="shared" si="41"/>
        <v>1512.5</v>
      </c>
      <c r="U38" s="111">
        <f t="shared" si="41"/>
        <v>1512.5</v>
      </c>
      <c r="V38" s="111">
        <f t="shared" si="41"/>
        <v>1512.5</v>
      </c>
      <c r="W38" s="111">
        <f t="shared" si="41"/>
        <v>1512.5</v>
      </c>
      <c r="X38" s="111">
        <f t="shared" si="26"/>
        <v>1512.5</v>
      </c>
      <c r="Y38" s="111">
        <f t="shared" si="26"/>
        <v>1512.5</v>
      </c>
      <c r="Z38" s="111">
        <f t="shared" si="26"/>
        <v>1512.5</v>
      </c>
      <c r="AA38" s="111">
        <f t="shared" si="26"/>
        <v>1512.5</v>
      </c>
      <c r="AB38" s="60">
        <f>IFERROR(AB2/$B38,".")</f>
        <v>4.4077134986225897E-5</v>
      </c>
      <c r="AC38" s="247">
        <f>IFERROR(AC2/$B38,0)</f>
        <v>1.388429752066116E-13</v>
      </c>
      <c r="AD38" s="49">
        <f>up_dir!BC38</f>
        <v>151250</v>
      </c>
      <c r="AE38" s="49">
        <f>IF(E38=".",".",up_RadSpec!$F$2*AE2*$B$38)</f>
        <v>37812.5</v>
      </c>
      <c r="AF38" s="49">
        <f>IF(F38=".",".",up_RadSpec!$F$2*AF2*$B$38)</f>
        <v>37812.5</v>
      </c>
      <c r="AG38" s="49">
        <f>IF(G38=".",".",up_RadSpec!$F$2*AG2*$B$38)</f>
        <v>37812.5</v>
      </c>
      <c r="AH38" s="49">
        <f>IF(H38=".",".",up_RadSpec!$F$2*AH2*$B$38)</f>
        <v>37812.5</v>
      </c>
      <c r="AI38" s="49">
        <f>IF(I38=".",".",up_RadSpec!$F$2*AI2*$B$38)</f>
        <v>37812.5</v>
      </c>
      <c r="AJ38" s="49">
        <f>IF(J38=".",".",up_RadSpec!$F$2*AJ2*$B$38)</f>
        <v>37812.5</v>
      </c>
      <c r="AK38" s="49">
        <f>IF(K38=".",".",up_RadSpec!$F$2*AK2*$B$38)</f>
        <v>37812.5</v>
      </c>
      <c r="AL38" s="49">
        <f>IF(L38=".",".",up_RadSpec!$F$2*AL2*$B$38)</f>
        <v>37812.5</v>
      </c>
      <c r="AM38" s="49">
        <f>IF(M38=".",".",up_RadSpec!$F$2*AM2*$B$38)</f>
        <v>37812.5</v>
      </c>
      <c r="AN38" s="49">
        <f>IF(N38=".",".",up_RadSpec!$F$2*AN2*$B$38)</f>
        <v>37812.5</v>
      </c>
      <c r="AO38" s="49">
        <f>IF(O38=".",".",up_RadSpec!$F$2*AO2*$B$38)</f>
        <v>37812.5</v>
      </c>
      <c r="AP38" s="60">
        <f t="shared" ref="AP38:BD38" si="80">IFERROR(AP2/$B38,".")</f>
        <v>0.33057851239669422</v>
      </c>
      <c r="AQ38" s="60">
        <f t="shared" si="80"/>
        <v>3089.9917851942919</v>
      </c>
      <c r="AR38" s="60">
        <f t="shared" si="80"/>
        <v>704.55228981544781</v>
      </c>
      <c r="AS38" s="60">
        <f t="shared" si="80"/>
        <v>3.2968835384132272E-5</v>
      </c>
      <c r="AT38" s="60">
        <f t="shared" si="80"/>
        <v>6.6115702479338848E-4</v>
      </c>
      <c r="AU38" s="60">
        <f t="shared" si="80"/>
        <v>6.6115702479338848E-4</v>
      </c>
      <c r="AV38" s="60">
        <f t="shared" si="80"/>
        <v>1.8558793678410905E-7</v>
      </c>
      <c r="AW38" s="60">
        <f t="shared" si="80"/>
        <v>1.9115557488763231E-7</v>
      </c>
      <c r="AX38" s="60">
        <f t="shared" si="80"/>
        <v>1.8558793678410905E-7</v>
      </c>
      <c r="AY38" s="60">
        <f t="shared" si="80"/>
        <v>1.8558793678410905E-7</v>
      </c>
      <c r="AZ38" s="60">
        <f t="shared" si="80"/>
        <v>1.8558793678410905E-7</v>
      </c>
      <c r="BA38" s="60">
        <f t="shared" si="80"/>
        <v>1.8558793678410905E-7</v>
      </c>
      <c r="BB38" s="60">
        <f t="shared" si="80"/>
        <v>1.9115557488763231E-7</v>
      </c>
      <c r="BC38" s="60">
        <f t="shared" si="80"/>
        <v>1.8558793678410905E-7</v>
      </c>
      <c r="BD38" s="60">
        <f t="shared" si="80"/>
        <v>1.9115557488763231E-7</v>
      </c>
      <c r="BE38" s="111">
        <f t="shared" si="68"/>
        <v>3.0249999999999999</v>
      </c>
      <c r="BF38" s="111">
        <f t="shared" si="68"/>
        <v>3.236254558317935E-4</v>
      </c>
      <c r="BG38" s="111">
        <f t="shared" si="68"/>
        <v>1.4193410687259884E-3</v>
      </c>
      <c r="BH38" s="111">
        <f t="shared" si="68"/>
        <v>30331.674999999992</v>
      </c>
      <c r="BI38" s="111">
        <f t="shared" si="68"/>
        <v>1512.5</v>
      </c>
      <c r="BJ38" s="111">
        <f t="shared" si="68"/>
        <v>1512.5</v>
      </c>
      <c r="BK38" s="111">
        <f t="shared" si="68"/>
        <v>5388281.2499999991</v>
      </c>
      <c r="BL38" s="111">
        <f t="shared" si="68"/>
        <v>5231341.0194174759</v>
      </c>
      <c r="BM38" s="111">
        <f t="shared" si="68"/>
        <v>5388281.2499999991</v>
      </c>
      <c r="BN38" s="111">
        <f t="shared" si="68"/>
        <v>5388281.2499999991</v>
      </c>
      <c r="BO38" s="111">
        <f t="shared" si="68"/>
        <v>5388281.2499999991</v>
      </c>
      <c r="BP38" s="111">
        <f t="shared" si="68"/>
        <v>5388281.2499999991</v>
      </c>
      <c r="BQ38" s="111">
        <f t="shared" si="68"/>
        <v>5231341.0194174759</v>
      </c>
      <c r="BR38" s="111">
        <f t="shared" si="68"/>
        <v>5388281.2499999991</v>
      </c>
      <c r="BS38" s="111">
        <f t="shared" si="68"/>
        <v>5231341.0194174759</v>
      </c>
      <c r="BT38" s="60">
        <f>IFERROR(BT2/$B38,".")</f>
        <v>2.0808592670961039E-8</v>
      </c>
      <c r="BU38" s="189">
        <f>IFERROR(BU2/$B38,0)</f>
        <v>6.5547066913527287E-17</v>
      </c>
      <c r="BV38" s="49">
        <f>IF(AP38=".",".",up_RadSpec!$E$2*BV2*$B$38)</f>
        <v>75.625</v>
      </c>
      <c r="BW38" s="49">
        <f>IF(AQ38=".",".",up_RadSpec!$H$2*BW2*$B$38)</f>
        <v>8.0906363957948379E-3</v>
      </c>
      <c r="BX38" s="49">
        <f>IF(AR38=".",".",up_RadSpec!$G$2*BX2*$B$38)</f>
        <v>3.5483526718149708E-2</v>
      </c>
      <c r="BY38" s="49">
        <f>up_b2s!CC38</f>
        <v>758291.875</v>
      </c>
      <c r="BZ38" s="49">
        <f>IF(AT38=".",".",up_RadSpec!$F$2*BZ2*$B$38)</f>
        <v>37812.5</v>
      </c>
      <c r="CA38" s="49">
        <f>IF(AU38=".",".",up_RadSpec!$F$2*CA2*$B$38)</f>
        <v>37812.5</v>
      </c>
      <c r="CB38" s="49">
        <f>IF(AV38=".",".",up_RadSpec!$F$2*CB2*$B$38)</f>
        <v>134707031.25</v>
      </c>
      <c r="CC38" s="49">
        <f>IF(AW38=".",".",up_RadSpec!$F$2*CC2*$B$38)</f>
        <v>130783525.4854369</v>
      </c>
      <c r="CD38" s="49">
        <f>IF(AX38=".",".",up_RadSpec!$F$2*CD2*$B$38)</f>
        <v>134707031.25</v>
      </c>
      <c r="CE38" s="49">
        <f>IF(AY38=".",".",up_RadSpec!$F$2*CE2*$B$38)</f>
        <v>134707031.25</v>
      </c>
      <c r="CF38" s="49">
        <f>IF(AZ38=".",".",up_RadSpec!$F$2*CF2*$B$38)</f>
        <v>134707031.25</v>
      </c>
      <c r="CG38" s="49">
        <f>IF(BA38=".",".",up_RadSpec!$F$2*CG2*$B$38)</f>
        <v>134707031.25</v>
      </c>
      <c r="CH38" s="49">
        <f>IF(BB38=".",".",up_RadSpec!$F$2*CH2*$B$38)</f>
        <v>130783525.4854369</v>
      </c>
      <c r="CI38" s="49">
        <f>IF(BC38=".",".",up_RadSpec!$F$2*CI2*$B$38)</f>
        <v>134707031.25</v>
      </c>
      <c r="CJ38" s="49">
        <f>IF(BD38=".",".",up_RadSpec!$F$2*CJ2*$B$38)</f>
        <v>130783525.4854369</v>
      </c>
      <c r="CK38" s="49">
        <f t="shared" si="52"/>
        <v>1201426756.4998848</v>
      </c>
      <c r="CL38" s="60">
        <f>IFERROR(CL2/$B38,".")</f>
        <v>3.6363636363636364E-3</v>
      </c>
      <c r="CM38" s="60" t="str">
        <f>IFERROR(CM2,".")</f>
        <v>.</v>
      </c>
      <c r="CN38" s="60">
        <f t="shared" ref="CN38:CZ38" si="81">IFERROR(CN2/$B38,".")</f>
        <v>39.81818181818182</v>
      </c>
      <c r="CO38" s="60">
        <f t="shared" si="81"/>
        <v>1.6443412786038033E-4</v>
      </c>
      <c r="CP38" s="60">
        <f t="shared" si="81"/>
        <v>0.13223140495867769</v>
      </c>
      <c r="CQ38" s="60">
        <f t="shared" si="81"/>
        <v>0.13223140495867769</v>
      </c>
      <c r="CR38" s="60">
        <f t="shared" si="81"/>
        <v>2.6446280991735537E-2</v>
      </c>
      <c r="CS38" s="60">
        <f t="shared" si="81"/>
        <v>2.7239669421487603E-2</v>
      </c>
      <c r="CT38" s="60">
        <f t="shared" si="81"/>
        <v>2.6446280991735537E-2</v>
      </c>
      <c r="CU38" s="60">
        <f t="shared" si="81"/>
        <v>2.6446280991735537E-2</v>
      </c>
      <c r="CV38" s="60">
        <f t="shared" si="81"/>
        <v>2.6446280991735537E-2</v>
      </c>
      <c r="CW38" s="60">
        <f t="shared" si="81"/>
        <v>2.6446280991735537E-2</v>
      </c>
      <c r="CX38" s="60">
        <f t="shared" si="81"/>
        <v>2.7239669421487603E-2</v>
      </c>
      <c r="CY38" s="60">
        <f t="shared" si="81"/>
        <v>2.6446280991735537E-2</v>
      </c>
      <c r="CZ38" s="60">
        <f t="shared" si="81"/>
        <v>2.7239669421487603E-2</v>
      </c>
      <c r="DA38" s="111">
        <f t="shared" si="76"/>
        <v>275</v>
      </c>
      <c r="DB38" s="111" t="str">
        <f t="shared" si="70"/>
        <v>.</v>
      </c>
      <c r="DC38" s="111">
        <f t="shared" si="70"/>
        <v>2.5114155251141551E-2</v>
      </c>
      <c r="DD38" s="111">
        <f t="shared" si="70"/>
        <v>6081.4626076229861</v>
      </c>
      <c r="DE38" s="111">
        <f t="shared" si="70"/>
        <v>7.5625</v>
      </c>
      <c r="DF38" s="111">
        <f t="shared" si="70"/>
        <v>7.5625</v>
      </c>
      <c r="DG38" s="111">
        <f t="shared" si="70"/>
        <v>37.8125</v>
      </c>
      <c r="DH38" s="111">
        <f t="shared" si="70"/>
        <v>36.711165048543691</v>
      </c>
      <c r="DI38" s="111">
        <f t="shared" si="70"/>
        <v>37.8125</v>
      </c>
      <c r="DJ38" s="111">
        <f t="shared" si="70"/>
        <v>37.8125</v>
      </c>
      <c r="DK38" s="111">
        <f t="shared" si="70"/>
        <v>37.8125</v>
      </c>
      <c r="DL38" s="111">
        <f t="shared" si="70"/>
        <v>37.8125</v>
      </c>
      <c r="DM38" s="111">
        <f t="shared" si="70"/>
        <v>36.711165048543691</v>
      </c>
      <c r="DN38" s="111">
        <f t="shared" si="70"/>
        <v>37.8125</v>
      </c>
      <c r="DO38" s="111">
        <f t="shared" si="70"/>
        <v>36.711165048543691</v>
      </c>
      <c r="DP38" s="60">
        <f>IFERROR(DP2/$B38,".")</f>
        <v>1.4906192608956598E-4</v>
      </c>
      <c r="DQ38" s="189">
        <f t="shared" ref="DQ38" si="82">IFERROR(DQ2/$B38,0)</f>
        <v>4.6954506718213294E-16</v>
      </c>
      <c r="DR38" s="49">
        <f>IF(CL38=".",".",up_RadSpec!$I$2*DR2*$B$38)</f>
        <v>6875</v>
      </c>
      <c r="DS38" s="49" t="str">
        <f>IF(CM38=".",".",up_RadSpec!$H$2*DS2)</f>
        <v>.</v>
      </c>
      <c r="DT38" s="49">
        <f>IF(CN38=".",".",up_RadSpec!$M$2*DT2*$B$38)</f>
        <v>0.62785388127853881</v>
      </c>
      <c r="DU38" s="49">
        <f>up_b2w!CC38</f>
        <v>152036.56519057468</v>
      </c>
      <c r="DV38" s="49">
        <f>IF(CP38=".",".",up_RadSpec!$F$2*DV2*$B$38)</f>
        <v>189.0625</v>
      </c>
      <c r="DW38" s="49">
        <f>IF(CQ38=".",".",up_RadSpec!$F$2*DW2*$B$38)</f>
        <v>189.0625</v>
      </c>
      <c r="DX38" s="49">
        <f>IF(CR38=".",".",up_RadSpec!$F$2*DX2*$B$38)</f>
        <v>945.3125</v>
      </c>
      <c r="DY38" s="49">
        <f>IF(CS38=".",".",up_RadSpec!$F$2*DY2*$B$38)</f>
        <v>917.77912621359224</v>
      </c>
      <c r="DZ38" s="49">
        <f>IF(CT38=".",".",up_RadSpec!$F$2*DZ2*$B$38)</f>
        <v>945.3125</v>
      </c>
      <c r="EA38" s="49">
        <f>IF(CU38=".",".",up_RadSpec!$F$2*EA2*$B$38)</f>
        <v>945.3125</v>
      </c>
      <c r="EB38" s="49">
        <f>IF(CV38=".",".",up_RadSpec!$F$2*EB2*$B$38)</f>
        <v>945.3125</v>
      </c>
      <c r="EC38" s="49">
        <f>IF(CW38=".",".",up_RadSpec!$F$2*EC2*$B$38)</f>
        <v>945.3125</v>
      </c>
      <c r="ED38" s="49">
        <f>IF(CX38=".",".",up_RadSpec!$F$2*ED2*$B$38)</f>
        <v>917.77912621359224</v>
      </c>
      <c r="EE38" s="49">
        <f>IF(CY38=".",".",up_RadSpec!$F$2*EE2*$B$38)</f>
        <v>945.3125</v>
      </c>
      <c r="EF38" s="49">
        <f>IF(CZ38=".",".",up_RadSpec!$F$2*EF2*$B$38)</f>
        <v>917.77912621359224</v>
      </c>
      <c r="EG38" s="49">
        <f t="shared" si="57"/>
        <v>167715.53042309676</v>
      </c>
      <c r="EH38" s="60">
        <f>IFERROR(EH2/$B38,".")</f>
        <v>9.9740259740259754E-3</v>
      </c>
      <c r="EI38" s="60">
        <f>IFERROR(EI2/$B38,".")</f>
        <v>63.709090909090911</v>
      </c>
      <c r="EJ38" s="60">
        <f>IFERROR(EJ2/$B38,".")</f>
        <v>9.9724647271019675E-3</v>
      </c>
      <c r="EK38" s="189">
        <f t="shared" ref="EK38" si="83">IFERROR(EK2/$B38,0)</f>
        <v>3.14132638903712E-14</v>
      </c>
      <c r="EL38" s="49">
        <f>IF(EH38=".",".",up_RadSpec!$H$2*EL2*$B$38)</f>
        <v>2506.5104166666661</v>
      </c>
      <c r="EM38" s="49">
        <f>IF(EI38=".",".",up_RadSpec!$K$2*EM2*$B$38)</f>
        <v>0.39240867579908678</v>
      </c>
      <c r="EN38" s="49">
        <f t="shared" si="60"/>
        <v>2506.9028253424653</v>
      </c>
    </row>
    <row r="39" spans="1:144" x14ac:dyDescent="0.25">
      <c r="A39" s="77" t="s">
        <v>1067</v>
      </c>
      <c r="B39" s="42">
        <v>1</v>
      </c>
      <c r="C39" s="42"/>
      <c r="D39" s="60">
        <f t="shared" ref="D39:O39" si="84">IFERROR(D11/$B39,".")</f>
        <v>1.6528925619834712E-4</v>
      </c>
      <c r="E39" s="60">
        <f t="shared" si="84"/>
        <v>6.6115702479338848E-4</v>
      </c>
      <c r="F39" s="60">
        <f t="shared" si="84"/>
        <v>6.6115702479338848E-4</v>
      </c>
      <c r="G39" s="60">
        <f t="shared" si="84"/>
        <v>6.6115702479338848E-4</v>
      </c>
      <c r="H39" s="60">
        <f t="shared" si="84"/>
        <v>6.6115702479338848E-4</v>
      </c>
      <c r="I39" s="60">
        <f t="shared" si="84"/>
        <v>6.6115702479338848E-4</v>
      </c>
      <c r="J39" s="60">
        <f t="shared" si="84"/>
        <v>6.6115702479338848E-4</v>
      </c>
      <c r="K39" s="60">
        <f t="shared" si="84"/>
        <v>6.6115702479338848E-4</v>
      </c>
      <c r="L39" s="60">
        <f t="shared" si="84"/>
        <v>6.6115702479338848E-4</v>
      </c>
      <c r="M39" s="60">
        <f t="shared" si="84"/>
        <v>6.6115702479338848E-4</v>
      </c>
      <c r="N39" s="60">
        <f t="shared" si="84"/>
        <v>6.6115702479338848E-4</v>
      </c>
      <c r="O39" s="60">
        <f t="shared" si="84"/>
        <v>6.6115702479338848E-4</v>
      </c>
      <c r="P39" s="111">
        <f t="shared" si="47"/>
        <v>1512.5</v>
      </c>
      <c r="Q39" s="111">
        <f t="shared" si="41"/>
        <v>1512.5</v>
      </c>
      <c r="R39" s="111">
        <f t="shared" si="41"/>
        <v>1512.5</v>
      </c>
      <c r="S39" s="111">
        <f t="shared" si="41"/>
        <v>1512.5</v>
      </c>
      <c r="T39" s="111">
        <f t="shared" si="41"/>
        <v>1512.5</v>
      </c>
      <c r="U39" s="111">
        <f t="shared" si="41"/>
        <v>1512.5</v>
      </c>
      <c r="V39" s="111">
        <f t="shared" si="41"/>
        <v>1512.5</v>
      </c>
      <c r="W39" s="111">
        <f t="shared" si="41"/>
        <v>1512.5</v>
      </c>
      <c r="X39" s="111">
        <f t="shared" si="26"/>
        <v>1512.5</v>
      </c>
      <c r="Y39" s="111">
        <f t="shared" si="26"/>
        <v>1512.5</v>
      </c>
      <c r="Z39" s="111">
        <f t="shared" si="26"/>
        <v>1512.5</v>
      </c>
      <c r="AA39" s="111">
        <f t="shared" si="26"/>
        <v>1512.5</v>
      </c>
      <c r="AB39" s="60">
        <f>IFERROR(AB11/$B39,".")</f>
        <v>5.5096418732782371E-5</v>
      </c>
      <c r="AC39" s="247">
        <f>IFERROR(AC11/$B39,0)</f>
        <v>1.7046831955922868E-13</v>
      </c>
      <c r="AD39" s="49">
        <f>up_dir!BC39</f>
        <v>151250</v>
      </c>
      <c r="AE39" s="49">
        <f>IF(E39=".",".",up_RadSpec!$F$11*AE11*$B$39)</f>
        <v>37812.5</v>
      </c>
      <c r="AF39" s="49">
        <f>IF(F39=".",".",up_RadSpec!$F$11*AF11*$B$39)</f>
        <v>37812.5</v>
      </c>
      <c r="AG39" s="49">
        <f>IF(G39=".",".",up_RadSpec!$F$11*AG11*$B$39)</f>
        <v>37812.5</v>
      </c>
      <c r="AH39" s="49">
        <f>IF(H39=".",".",up_RadSpec!$F$11*AH11*$B$39)</f>
        <v>37812.5</v>
      </c>
      <c r="AI39" s="49">
        <f>IF(I39=".",".",up_RadSpec!$F$11*AI11*$B$39)</f>
        <v>37812.5</v>
      </c>
      <c r="AJ39" s="49">
        <f>IF(J39=".",".",up_RadSpec!$F$11*AJ11*$B$39)</f>
        <v>37812.5</v>
      </c>
      <c r="AK39" s="49">
        <f>IF(K39=".",".",up_RadSpec!$F$11*AK11*$B$39)</f>
        <v>37812.5</v>
      </c>
      <c r="AL39" s="49">
        <f>IF(L39=".",".",up_RadSpec!$F$11*AL11*$B$39)</f>
        <v>37812.5</v>
      </c>
      <c r="AM39" s="49">
        <f>IF(M39=".",".",up_RadSpec!$F$11*AM11*$B$39)</f>
        <v>37812.5</v>
      </c>
      <c r="AN39" s="49">
        <f>IF(N39=".",".",up_RadSpec!$F$11*AN11*$B$39)</f>
        <v>37812.5</v>
      </c>
      <c r="AO39" s="49">
        <f>IF(O39=".",".",up_RadSpec!$F$11*AO11*$B$39)</f>
        <v>37812.5</v>
      </c>
      <c r="AP39" s="60">
        <f t="shared" ref="AP39:BD39" si="85">IFERROR(AP11/$B39,".")</f>
        <v>0.33057851239669422</v>
      </c>
      <c r="AQ39" s="60">
        <f t="shared" si="85"/>
        <v>3089.9917851942919</v>
      </c>
      <c r="AR39" s="60">
        <f t="shared" si="85"/>
        <v>619.88011988011999</v>
      </c>
      <c r="AS39" s="60">
        <f t="shared" si="85"/>
        <v>3.2968835384132272E-5</v>
      </c>
      <c r="AT39" s="60">
        <f t="shared" si="85"/>
        <v>6.6115702479338848E-4</v>
      </c>
      <c r="AU39" s="60">
        <f t="shared" si="85"/>
        <v>6.6115702479338848E-4</v>
      </c>
      <c r="AV39" s="60">
        <f t="shared" si="85"/>
        <v>1.8558793678410905E-7</v>
      </c>
      <c r="AW39" s="60">
        <f t="shared" si="85"/>
        <v>1.9115557488763231E-7</v>
      </c>
      <c r="AX39" s="60">
        <f t="shared" si="85"/>
        <v>1.8558793678410905E-7</v>
      </c>
      <c r="AY39" s="60">
        <f t="shared" si="85"/>
        <v>1.8558793678410905E-7</v>
      </c>
      <c r="AZ39" s="60">
        <f t="shared" si="85"/>
        <v>1.8558793678410905E-7</v>
      </c>
      <c r="BA39" s="60">
        <f t="shared" si="85"/>
        <v>1.8558793678410905E-7</v>
      </c>
      <c r="BB39" s="60">
        <f t="shared" si="85"/>
        <v>1.9115557488763231E-7</v>
      </c>
      <c r="BC39" s="60">
        <f t="shared" si="85"/>
        <v>1.8558793678410905E-7</v>
      </c>
      <c r="BD39" s="60">
        <f t="shared" si="85"/>
        <v>1.9115557488763231E-7</v>
      </c>
      <c r="BE39" s="111">
        <f t="shared" si="68"/>
        <v>3.0249999999999999</v>
      </c>
      <c r="BF39" s="111">
        <f t="shared" si="68"/>
        <v>3.236254558317935E-4</v>
      </c>
      <c r="BG39" s="111">
        <f t="shared" si="68"/>
        <v>1.6132151490733278E-3</v>
      </c>
      <c r="BH39" s="111">
        <f t="shared" si="68"/>
        <v>30331.674999999992</v>
      </c>
      <c r="BI39" s="111">
        <f t="shared" si="68"/>
        <v>1512.5</v>
      </c>
      <c r="BJ39" s="111">
        <f t="shared" si="68"/>
        <v>1512.5</v>
      </c>
      <c r="BK39" s="111">
        <f t="shared" si="68"/>
        <v>5388281.2499999991</v>
      </c>
      <c r="BL39" s="111">
        <f t="shared" si="68"/>
        <v>5231341.0194174759</v>
      </c>
      <c r="BM39" s="111">
        <f t="shared" si="68"/>
        <v>5388281.2499999991</v>
      </c>
      <c r="BN39" s="111">
        <f t="shared" si="68"/>
        <v>5388281.2499999991</v>
      </c>
      <c r="BO39" s="111">
        <f t="shared" si="68"/>
        <v>5388281.2499999991</v>
      </c>
      <c r="BP39" s="111">
        <f t="shared" si="68"/>
        <v>5388281.2499999991</v>
      </c>
      <c r="BQ39" s="111">
        <f t="shared" si="68"/>
        <v>5231341.0194174759</v>
      </c>
      <c r="BR39" s="111">
        <f t="shared" si="68"/>
        <v>5388281.2499999991</v>
      </c>
      <c r="BS39" s="111">
        <f t="shared" si="68"/>
        <v>5231341.0194174759</v>
      </c>
      <c r="BT39" s="60">
        <f>IFERROR(BT11/$B39,".")</f>
        <v>2.0808592670877097E-8</v>
      </c>
      <c r="BU39" s="189">
        <f>IFERROR(BU11/$B39,0)</f>
        <v>6.4381785723693744E-17</v>
      </c>
      <c r="BV39" s="49">
        <f>IF(AP39=".",".",up_RadSpec!$E$11*BV11*$B$39)</f>
        <v>75.625</v>
      </c>
      <c r="BW39" s="49">
        <f>IF(AQ39=".",".",up_RadSpec!$H$11*BW11*$B$39)</f>
        <v>8.0906363957948379E-3</v>
      </c>
      <c r="BX39" s="49">
        <f>IF(AR39=".",".",up_RadSpec!$G$11*BX11*$B$39)</f>
        <v>4.0330378726833191E-2</v>
      </c>
      <c r="BY39" s="49">
        <f>up_b2s!CC39</f>
        <v>758291.875</v>
      </c>
      <c r="BZ39" s="49">
        <f>IF(AT39=".",".",up_RadSpec!$F$11*BZ11*$B$39)</f>
        <v>37812.5</v>
      </c>
      <c r="CA39" s="49">
        <f>IF(AU39=".",".",up_RadSpec!$F$11*CA11*$B$39)</f>
        <v>37812.5</v>
      </c>
      <c r="CB39" s="49">
        <f>IF(AV39=".",".",up_RadSpec!$F$11*CB11*$B$39)</f>
        <v>134707031.25</v>
      </c>
      <c r="CC39" s="49">
        <f>IF(AW39=".",".",up_RadSpec!$F$11*CC11*$B$39)</f>
        <v>130783525.4854369</v>
      </c>
      <c r="CD39" s="49">
        <f>IF(AX39=".",".",up_RadSpec!$F$11*CD11*$B$39)</f>
        <v>134707031.25</v>
      </c>
      <c r="CE39" s="49">
        <f>IF(AY39=".",".",up_RadSpec!$F$11*CE11*$B$39)</f>
        <v>134707031.25</v>
      </c>
      <c r="CF39" s="49">
        <f>IF(AZ39=".",".",up_RadSpec!$F$11*CF11*$B$39)</f>
        <v>134707031.25</v>
      </c>
      <c r="CG39" s="49">
        <f>IF(BA39=".",".",up_RadSpec!$F$11*CG11*$B$39)</f>
        <v>134707031.25</v>
      </c>
      <c r="CH39" s="49">
        <f>IF(BB39=".",".",up_RadSpec!$F$11*CH11*$B$39)</f>
        <v>130783525.4854369</v>
      </c>
      <c r="CI39" s="49">
        <f>IF(BC39=".",".",up_RadSpec!$F$11*CI11*$B$39)</f>
        <v>134707031.25</v>
      </c>
      <c r="CJ39" s="49">
        <f>IF(BD39=".",".",up_RadSpec!$F$11*CJ11*$B$39)</f>
        <v>130783525.4854369</v>
      </c>
      <c r="CK39" s="49">
        <f t="shared" si="52"/>
        <v>1201426756.5047317</v>
      </c>
      <c r="CL39" s="60">
        <f>IFERROR(CL11/$B39,".")</f>
        <v>3.6363636363636364E-3</v>
      </c>
      <c r="CM39" s="60" t="str">
        <f>IFERROR(CM11,".")</f>
        <v>.</v>
      </c>
      <c r="CN39" s="60">
        <f t="shared" ref="CN39:CZ39" si="86">IFERROR(CN11/$B39,".")</f>
        <v>39.81818181818182</v>
      </c>
      <c r="CO39" s="60">
        <f t="shared" si="86"/>
        <v>1.6443412786038033E-4</v>
      </c>
      <c r="CP39" s="60">
        <f t="shared" si="86"/>
        <v>0.13223140495867769</v>
      </c>
      <c r="CQ39" s="60">
        <f t="shared" si="86"/>
        <v>0.13223140495867769</v>
      </c>
      <c r="CR39" s="60">
        <f t="shared" si="86"/>
        <v>2.6446280991735537E-2</v>
      </c>
      <c r="CS39" s="60">
        <f t="shared" si="86"/>
        <v>2.7239669421487603E-2</v>
      </c>
      <c r="CT39" s="60">
        <f t="shared" si="86"/>
        <v>2.6446280991735537E-2</v>
      </c>
      <c r="CU39" s="60">
        <f t="shared" si="86"/>
        <v>2.6446280991735537E-2</v>
      </c>
      <c r="CV39" s="60">
        <f t="shared" si="86"/>
        <v>2.6446280991735537E-2</v>
      </c>
      <c r="CW39" s="60">
        <f t="shared" si="86"/>
        <v>2.6446280991735537E-2</v>
      </c>
      <c r="CX39" s="60">
        <f t="shared" si="86"/>
        <v>2.7239669421487603E-2</v>
      </c>
      <c r="CY39" s="60">
        <f t="shared" si="86"/>
        <v>2.6446280991735537E-2</v>
      </c>
      <c r="CZ39" s="60">
        <f t="shared" si="86"/>
        <v>2.7239669421487603E-2</v>
      </c>
      <c r="DA39" s="111">
        <f t="shared" si="76"/>
        <v>275</v>
      </c>
      <c r="DB39" s="111" t="str">
        <f t="shared" si="70"/>
        <v>.</v>
      </c>
      <c r="DC39" s="111">
        <f t="shared" si="70"/>
        <v>2.5114155251141551E-2</v>
      </c>
      <c r="DD39" s="111">
        <f t="shared" si="70"/>
        <v>6081.4626076229861</v>
      </c>
      <c r="DE39" s="111">
        <f t="shared" si="70"/>
        <v>7.5625</v>
      </c>
      <c r="DF39" s="111">
        <f t="shared" si="70"/>
        <v>7.5625</v>
      </c>
      <c r="DG39" s="111">
        <f t="shared" si="70"/>
        <v>37.8125</v>
      </c>
      <c r="DH39" s="111">
        <f t="shared" si="70"/>
        <v>36.711165048543691</v>
      </c>
      <c r="DI39" s="111">
        <f t="shared" si="70"/>
        <v>37.8125</v>
      </c>
      <c r="DJ39" s="111">
        <f t="shared" si="70"/>
        <v>37.8125</v>
      </c>
      <c r="DK39" s="111">
        <f t="shared" si="70"/>
        <v>37.8125</v>
      </c>
      <c r="DL39" s="111">
        <f t="shared" si="70"/>
        <v>37.8125</v>
      </c>
      <c r="DM39" s="111">
        <f t="shared" si="70"/>
        <v>36.711165048543691</v>
      </c>
      <c r="DN39" s="111">
        <f t="shared" si="70"/>
        <v>37.8125</v>
      </c>
      <c r="DO39" s="111">
        <f t="shared" si="70"/>
        <v>36.711165048543691</v>
      </c>
      <c r="DP39" s="60">
        <f>IFERROR(DP11/$B39,".")</f>
        <v>1.4906192608956598E-4</v>
      </c>
      <c r="DQ39" s="189">
        <f t="shared" ref="DQ39" si="87">IFERROR(DQ11/$B39,0)</f>
        <v>4.6119759932111717E-16</v>
      </c>
      <c r="DR39" s="49">
        <f>IF(CL39=".",".",up_RadSpec!$I$11*DR11*$B$39)</f>
        <v>6875</v>
      </c>
      <c r="DS39" s="49" t="str">
        <f>IF(CM39=".",".",up_RadSpec!$H$11*DS11)</f>
        <v>.</v>
      </c>
      <c r="DT39" s="49">
        <f>IF(CN39=".",".",up_RadSpec!$M$11*DT11*$B$39)</f>
        <v>0.62785388127853881</v>
      </c>
      <c r="DU39" s="49">
        <f>up_b2w!CC39</f>
        <v>152036.56519057468</v>
      </c>
      <c r="DV39" s="49">
        <f>IF(CP39=".",".",up_RadSpec!$F$11*DV11*$B$39)</f>
        <v>189.0625</v>
      </c>
      <c r="DW39" s="49">
        <f>IF(CQ39=".",".",up_RadSpec!$F$11*DW11*$B$39)</f>
        <v>189.0625</v>
      </c>
      <c r="DX39" s="49">
        <f>IF(CR39=".",".",up_RadSpec!$F$11*DX11*$B$39)</f>
        <v>945.3125</v>
      </c>
      <c r="DY39" s="49">
        <f>IF(CS39=".",".",up_RadSpec!$F$11*DY11*$B$39)</f>
        <v>917.77912621359224</v>
      </c>
      <c r="DZ39" s="49">
        <f>IF(CT39=".",".",up_RadSpec!$F$11*DZ11*$B$39)</f>
        <v>945.3125</v>
      </c>
      <c r="EA39" s="49">
        <f>IF(CU39=".",".",up_RadSpec!$F$11*EA11*$B$39)</f>
        <v>945.3125</v>
      </c>
      <c r="EB39" s="49">
        <f>IF(CV39=".",".",up_RadSpec!$F$11*EB11*$B$39)</f>
        <v>945.3125</v>
      </c>
      <c r="EC39" s="49">
        <f>IF(CW39=".",".",up_RadSpec!$F$11*EC11*$B$39)</f>
        <v>945.3125</v>
      </c>
      <c r="ED39" s="49">
        <f>IF(CX39=".",".",up_RadSpec!$F$11*ED11*$B$39)</f>
        <v>917.77912621359224</v>
      </c>
      <c r="EE39" s="49">
        <f>IF(CY39=".",".",up_RadSpec!$F$11*EE11*$B$39)</f>
        <v>945.3125</v>
      </c>
      <c r="EF39" s="49">
        <f>IF(CZ39=".",".",up_RadSpec!$F$11*EF11*$B$39)</f>
        <v>917.77912621359224</v>
      </c>
      <c r="EG39" s="49">
        <f t="shared" si="57"/>
        <v>167715.53042309676</v>
      </c>
      <c r="EH39" s="60">
        <f>IFERROR(EH11/$B39,".")</f>
        <v>9.9740259740259754E-3</v>
      </c>
      <c r="EI39" s="60">
        <f>IFERROR(EI11/$B39,".")</f>
        <v>63.709090909090911</v>
      </c>
      <c r="EJ39" s="60">
        <f>IFERROR(EJ11/$B39,".")</f>
        <v>9.9724647271019675E-3</v>
      </c>
      <c r="EK39" s="189">
        <f t="shared" ref="EK39" si="88">IFERROR(EK11/$B39,0)</f>
        <v>3.0854805865653487E-14</v>
      </c>
      <c r="EL39" s="49">
        <f>IF(EH39=".",".",up_RadSpec!$H$11*EL11*$B$39)</f>
        <v>2506.5104166666661</v>
      </c>
      <c r="EM39" s="49">
        <f>IF(EI39=".",".",up_RadSpec!$K$11*EM11*$B$39)</f>
        <v>0.39240867579908678</v>
      </c>
      <c r="EN39" s="49">
        <f t="shared" si="60"/>
        <v>2506.9028253424653</v>
      </c>
    </row>
    <row r="40" spans="1:144" x14ac:dyDescent="0.25">
      <c r="A40" s="77" t="s">
        <v>1068</v>
      </c>
      <c r="B40" s="42">
        <v>1</v>
      </c>
      <c r="C40" s="42"/>
      <c r="D40" s="60">
        <f t="shared" ref="D40:O40" si="89">IFERROR(D4/$B40,".")</f>
        <v>1.6528925619834712E-4</v>
      </c>
      <c r="E40" s="60">
        <f t="shared" si="89"/>
        <v>6.6115702479338848E-4</v>
      </c>
      <c r="F40" s="60">
        <f t="shared" si="89"/>
        <v>6.6115702479338848E-4</v>
      </c>
      <c r="G40" s="60">
        <f t="shared" si="89"/>
        <v>6.6115702479338848E-4</v>
      </c>
      <c r="H40" s="60">
        <f t="shared" si="89"/>
        <v>6.6115702479338848E-4</v>
      </c>
      <c r="I40" s="60">
        <f t="shared" si="89"/>
        <v>6.6115702479338848E-4</v>
      </c>
      <c r="J40" s="60">
        <f t="shared" si="89"/>
        <v>6.6115702479338848E-4</v>
      </c>
      <c r="K40" s="60">
        <f t="shared" si="89"/>
        <v>6.6115702479338848E-4</v>
      </c>
      <c r="L40" s="60">
        <f t="shared" si="89"/>
        <v>6.6115702479338848E-4</v>
      </c>
      <c r="M40" s="60">
        <f t="shared" si="89"/>
        <v>6.6115702479338848E-4</v>
      </c>
      <c r="N40" s="60">
        <f t="shared" si="89"/>
        <v>6.6115702479338848E-4</v>
      </c>
      <c r="O40" s="60">
        <f t="shared" si="89"/>
        <v>6.6115702479338848E-4</v>
      </c>
      <c r="P40" s="111">
        <f t="shared" si="47"/>
        <v>1512.5</v>
      </c>
      <c r="Q40" s="111">
        <f t="shared" si="41"/>
        <v>1512.5</v>
      </c>
      <c r="R40" s="111">
        <f t="shared" si="41"/>
        <v>1512.5</v>
      </c>
      <c r="S40" s="111">
        <f t="shared" si="41"/>
        <v>1512.5</v>
      </c>
      <c r="T40" s="111">
        <f t="shared" si="41"/>
        <v>1512.5</v>
      </c>
      <c r="U40" s="111">
        <f t="shared" si="41"/>
        <v>1512.5</v>
      </c>
      <c r="V40" s="111">
        <f t="shared" si="41"/>
        <v>1512.5</v>
      </c>
      <c r="W40" s="111">
        <f t="shared" si="41"/>
        <v>1512.5</v>
      </c>
      <c r="X40" s="111">
        <f t="shared" si="26"/>
        <v>1512.5</v>
      </c>
      <c r="Y40" s="111">
        <f t="shared" si="26"/>
        <v>1512.5</v>
      </c>
      <c r="Z40" s="111">
        <f t="shared" si="26"/>
        <v>1512.5</v>
      </c>
      <c r="AA40" s="111">
        <f t="shared" si="26"/>
        <v>1512.5</v>
      </c>
      <c r="AB40" s="60">
        <f>IFERROR(AB4/$B40,".")</f>
        <v>5.5096418732782371E-5</v>
      </c>
      <c r="AC40" s="247">
        <f>IFERROR(AC4/$B40,0)</f>
        <v>1.6738292011019286E-13</v>
      </c>
      <c r="AD40" s="49">
        <f>up_dir!BC40</f>
        <v>151250</v>
      </c>
      <c r="AE40" s="49">
        <f>IF(E40=".",".",up_RadSpec!$F$4*AE4*$B$40)</f>
        <v>37812.5</v>
      </c>
      <c r="AF40" s="49">
        <f>IF(F40=".",".",up_RadSpec!$F$4*AF4*$B$40)</f>
        <v>37812.5</v>
      </c>
      <c r="AG40" s="49">
        <f>IF(G40=".",".",up_RadSpec!$F$4*AG4*$B$40)</f>
        <v>37812.5</v>
      </c>
      <c r="AH40" s="49">
        <f>IF(H40=".",".",up_RadSpec!$F$4*AH4*$B$40)</f>
        <v>37812.5</v>
      </c>
      <c r="AI40" s="49">
        <f>IF(I40=".",".",up_RadSpec!$F$4*AI4*$B$40)</f>
        <v>37812.5</v>
      </c>
      <c r="AJ40" s="49">
        <f>IF(J40=".",".",up_RadSpec!$F$4*AJ4*$B$40)</f>
        <v>37812.5</v>
      </c>
      <c r="AK40" s="49">
        <f>IF(K40=".",".",up_RadSpec!$F$4*AK4*$B$40)</f>
        <v>37812.5</v>
      </c>
      <c r="AL40" s="49">
        <f>IF(L40=".",".",up_RadSpec!$F$4*AL4*$B$40)</f>
        <v>37812.5</v>
      </c>
      <c r="AM40" s="49">
        <f>IF(M40=".",".",up_RadSpec!$F$4*AM4*$B$40)</f>
        <v>37812.5</v>
      </c>
      <c r="AN40" s="49">
        <f>IF(N40=".",".",up_RadSpec!$F$4*AN4*$B$40)</f>
        <v>37812.5</v>
      </c>
      <c r="AO40" s="49">
        <f>IF(O40=".",".",up_RadSpec!$F$4*AO4*$B$40)</f>
        <v>37812.5</v>
      </c>
      <c r="AP40" s="60">
        <f t="shared" ref="AP40:BD40" si="90">IFERROR(AP4/$B40,".")</f>
        <v>0.33057851239669422</v>
      </c>
      <c r="AQ40" s="60">
        <f t="shared" si="90"/>
        <v>3089.9917851942919</v>
      </c>
      <c r="AR40" s="60">
        <f t="shared" si="90"/>
        <v>344.10774410774422</v>
      </c>
      <c r="AS40" s="60">
        <f t="shared" si="90"/>
        <v>3.2968835384132272E-5</v>
      </c>
      <c r="AT40" s="60">
        <f t="shared" si="90"/>
        <v>6.6115702479338848E-4</v>
      </c>
      <c r="AU40" s="60">
        <f t="shared" si="90"/>
        <v>6.6115702479338848E-4</v>
      </c>
      <c r="AV40" s="60">
        <f t="shared" si="90"/>
        <v>1.8558793678410905E-7</v>
      </c>
      <c r="AW40" s="60">
        <f t="shared" si="90"/>
        <v>1.9115557488763231E-7</v>
      </c>
      <c r="AX40" s="60">
        <f t="shared" si="90"/>
        <v>1.8558793678410905E-7</v>
      </c>
      <c r="AY40" s="60">
        <f t="shared" si="90"/>
        <v>1.8558793678410905E-7</v>
      </c>
      <c r="AZ40" s="60">
        <f t="shared" si="90"/>
        <v>1.8558793678410905E-7</v>
      </c>
      <c r="BA40" s="60">
        <f t="shared" si="90"/>
        <v>1.8558793678410905E-7</v>
      </c>
      <c r="BB40" s="60">
        <f t="shared" si="90"/>
        <v>1.9115557488763231E-7</v>
      </c>
      <c r="BC40" s="60">
        <f t="shared" si="90"/>
        <v>1.8558793678410905E-7</v>
      </c>
      <c r="BD40" s="60">
        <f t="shared" si="90"/>
        <v>1.9115557488763231E-7</v>
      </c>
      <c r="BE40" s="111">
        <f t="shared" si="68"/>
        <v>3.0249999999999999</v>
      </c>
      <c r="BF40" s="111">
        <f t="shared" si="68"/>
        <v>3.236254558317935E-4</v>
      </c>
      <c r="BG40" s="111">
        <f t="shared" si="68"/>
        <v>2.9060665362035214E-3</v>
      </c>
      <c r="BH40" s="111">
        <f t="shared" si="68"/>
        <v>30331.674999999992</v>
      </c>
      <c r="BI40" s="111">
        <f t="shared" si="68"/>
        <v>1512.5</v>
      </c>
      <c r="BJ40" s="111">
        <f t="shared" si="68"/>
        <v>1512.5</v>
      </c>
      <c r="BK40" s="111">
        <f t="shared" si="68"/>
        <v>5388281.2499999991</v>
      </c>
      <c r="BL40" s="111">
        <f t="shared" si="68"/>
        <v>5231341.0194174759</v>
      </c>
      <c r="BM40" s="111">
        <f t="shared" si="68"/>
        <v>5388281.2499999991</v>
      </c>
      <c r="BN40" s="111">
        <f t="shared" si="68"/>
        <v>5388281.2499999991</v>
      </c>
      <c r="BO40" s="111">
        <f t="shared" si="68"/>
        <v>5388281.2499999991</v>
      </c>
      <c r="BP40" s="111">
        <f t="shared" si="68"/>
        <v>5388281.2499999991</v>
      </c>
      <c r="BQ40" s="111">
        <f t="shared" si="68"/>
        <v>5231341.0194174759</v>
      </c>
      <c r="BR40" s="111">
        <f t="shared" si="68"/>
        <v>5388281.2499999991</v>
      </c>
      <c r="BS40" s="111">
        <f t="shared" si="68"/>
        <v>5231341.0194174759</v>
      </c>
      <c r="BT40" s="60">
        <f>IFERROR(BT4/$B40,".")</f>
        <v>2.0808592670317294E-8</v>
      </c>
      <c r="BU40" s="189">
        <f>IFERROR(BU4/$B40,0)</f>
        <v>6.3216504532423944E-17</v>
      </c>
      <c r="BV40" s="49">
        <f>IF(AP40=".",".",up_RadSpec!$E$4*BV4*$B$40)</f>
        <v>75.625</v>
      </c>
      <c r="BW40" s="49">
        <f>IF(AQ40=".",".",up_RadSpec!$H$4*BW4*$B$40)</f>
        <v>8.0906363957948379E-3</v>
      </c>
      <c r="BX40" s="49">
        <f>IF(AR40=".",".",up_RadSpec!$G$4*BX4*$B$40)</f>
        <v>7.2651663405088038E-2</v>
      </c>
      <c r="BY40" s="49">
        <f>up_b2s!CC40</f>
        <v>758291.875</v>
      </c>
      <c r="BZ40" s="49">
        <f>IF(AT40=".",".",up_RadSpec!$F$4*BZ4*$B$40)</f>
        <v>37812.5</v>
      </c>
      <c r="CA40" s="49">
        <f>IF(AU40=".",".",up_RadSpec!$F$4*CA4*$B$40)</f>
        <v>37812.5</v>
      </c>
      <c r="CB40" s="49">
        <f>IF(AV40=".",".",up_RadSpec!$F$4*CB4*$B$40)</f>
        <v>134707031.25</v>
      </c>
      <c r="CC40" s="49">
        <f>IF(AW40=".",".",up_RadSpec!$F$4*CC4*$B$40)</f>
        <v>130783525.4854369</v>
      </c>
      <c r="CD40" s="49">
        <f>IF(AX40=".",".",up_RadSpec!$F$4*CD4*$B$40)</f>
        <v>134707031.25</v>
      </c>
      <c r="CE40" s="49">
        <f>IF(AY40=".",".",up_RadSpec!$F$4*CE4*$B$40)</f>
        <v>134707031.25</v>
      </c>
      <c r="CF40" s="49">
        <f>IF(AZ40=".",".",up_RadSpec!$F$4*CF4*$B$40)</f>
        <v>134707031.25</v>
      </c>
      <c r="CG40" s="49">
        <f>IF(BA40=".",".",up_RadSpec!$F$4*CG4*$B$40)</f>
        <v>134707031.25</v>
      </c>
      <c r="CH40" s="49">
        <f>IF(BB40=".",".",up_RadSpec!$F$4*CH4*$B$40)</f>
        <v>130783525.4854369</v>
      </c>
      <c r="CI40" s="49">
        <f>IF(BC40=".",".",up_RadSpec!$F$4*CI4*$B$40)</f>
        <v>134707031.25</v>
      </c>
      <c r="CJ40" s="49">
        <f>IF(BD40=".",".",up_RadSpec!$F$4*CJ4*$B$40)</f>
        <v>130783525.4854369</v>
      </c>
      <c r="CK40" s="49">
        <f t="shared" si="52"/>
        <v>1201426756.5370531</v>
      </c>
      <c r="CL40" s="60">
        <f>IFERROR(CL4/$B40,".")</f>
        <v>3.6363636363636364E-3</v>
      </c>
      <c r="CM40" s="60" t="str">
        <f>IFERROR(CM4,".")</f>
        <v>.</v>
      </c>
      <c r="CN40" s="60">
        <f t="shared" ref="CN40:CZ40" si="91">IFERROR(CN4/$B40,".")</f>
        <v>39.81818181818182</v>
      </c>
      <c r="CO40" s="60">
        <f t="shared" si="91"/>
        <v>1.6443412786038033E-4</v>
      </c>
      <c r="CP40" s="60">
        <f t="shared" si="91"/>
        <v>0.13223140495867769</v>
      </c>
      <c r="CQ40" s="60">
        <f t="shared" si="91"/>
        <v>0.13223140495867769</v>
      </c>
      <c r="CR40" s="60">
        <f t="shared" si="91"/>
        <v>2.6446280991735537E-2</v>
      </c>
      <c r="CS40" s="60">
        <f t="shared" si="91"/>
        <v>2.7239669421487603E-2</v>
      </c>
      <c r="CT40" s="60">
        <f t="shared" si="91"/>
        <v>2.6446280991735537E-2</v>
      </c>
      <c r="CU40" s="60">
        <f t="shared" si="91"/>
        <v>2.6446280991735537E-2</v>
      </c>
      <c r="CV40" s="60">
        <f t="shared" si="91"/>
        <v>2.6446280991735537E-2</v>
      </c>
      <c r="CW40" s="60">
        <f t="shared" si="91"/>
        <v>2.6446280991735537E-2</v>
      </c>
      <c r="CX40" s="60">
        <f t="shared" si="91"/>
        <v>2.7239669421487603E-2</v>
      </c>
      <c r="CY40" s="60">
        <f t="shared" si="91"/>
        <v>2.6446280991735537E-2</v>
      </c>
      <c r="CZ40" s="60">
        <f t="shared" si="91"/>
        <v>2.7239669421487603E-2</v>
      </c>
      <c r="DA40" s="111">
        <f t="shared" si="76"/>
        <v>275</v>
      </c>
      <c r="DB40" s="111" t="str">
        <f t="shared" si="70"/>
        <v>.</v>
      </c>
      <c r="DC40" s="111">
        <f t="shared" si="70"/>
        <v>2.5114155251141551E-2</v>
      </c>
      <c r="DD40" s="111">
        <f t="shared" si="70"/>
        <v>6081.4626076229861</v>
      </c>
      <c r="DE40" s="111">
        <f t="shared" si="70"/>
        <v>7.5625</v>
      </c>
      <c r="DF40" s="111">
        <f t="shared" si="70"/>
        <v>7.5625</v>
      </c>
      <c r="DG40" s="111">
        <f t="shared" si="70"/>
        <v>37.8125</v>
      </c>
      <c r="DH40" s="111">
        <f t="shared" si="70"/>
        <v>36.711165048543691</v>
      </c>
      <c r="DI40" s="111">
        <f t="shared" si="70"/>
        <v>37.8125</v>
      </c>
      <c r="DJ40" s="111">
        <f t="shared" si="70"/>
        <v>37.8125</v>
      </c>
      <c r="DK40" s="111">
        <f t="shared" si="70"/>
        <v>37.8125</v>
      </c>
      <c r="DL40" s="111">
        <f t="shared" si="70"/>
        <v>37.8125</v>
      </c>
      <c r="DM40" s="111">
        <f t="shared" si="70"/>
        <v>36.711165048543691</v>
      </c>
      <c r="DN40" s="111">
        <f t="shared" si="70"/>
        <v>37.8125</v>
      </c>
      <c r="DO40" s="111">
        <f t="shared" si="70"/>
        <v>36.711165048543691</v>
      </c>
      <c r="DP40" s="60">
        <f>IFERROR(DP4/$B40,".")</f>
        <v>1.4906192608956598E-4</v>
      </c>
      <c r="DQ40" s="189">
        <f t="shared" ref="DQ40" si="92">IFERROR(DQ4/$B40,0)</f>
        <v>4.5285013146010149E-16</v>
      </c>
      <c r="DR40" s="49">
        <f>IF(CL40=".",".",up_RadSpec!$I$4*DR4*$B$40)</f>
        <v>6875</v>
      </c>
      <c r="DS40" s="49" t="str">
        <f>IF(CM40=".",".",up_RadSpec!$H$4*DS4)</f>
        <v>.</v>
      </c>
      <c r="DT40" s="49">
        <f>IF(CN40=".",".",up_RadSpec!$M$4*DT4*$B$40)</f>
        <v>0.62785388127853881</v>
      </c>
      <c r="DU40" s="49">
        <f>up_b2w!CC40</f>
        <v>152036.56519057468</v>
      </c>
      <c r="DV40" s="49">
        <f>IF(CP40=".",".",up_RadSpec!$F$4*DV4*$B$40)</f>
        <v>189.0625</v>
      </c>
      <c r="DW40" s="49">
        <f>IF(CQ40=".",".",up_RadSpec!$F$4*DW4*$B$40)</f>
        <v>189.0625</v>
      </c>
      <c r="DX40" s="49">
        <f>IF(CR40=".",".",up_RadSpec!$F$4*DX4*$B$40)</f>
        <v>945.3125</v>
      </c>
      <c r="DY40" s="49">
        <f>IF(CS40=".",".",up_RadSpec!$F$4*DY4*$B$40)</f>
        <v>917.77912621359224</v>
      </c>
      <c r="DZ40" s="49">
        <f>IF(CT40=".",".",up_RadSpec!$F$4*DZ4*$B$40)</f>
        <v>945.3125</v>
      </c>
      <c r="EA40" s="49">
        <f>IF(CU40=".",".",up_RadSpec!$F$4*EA4*$B$40)</f>
        <v>945.3125</v>
      </c>
      <c r="EB40" s="49">
        <f>IF(CV40=".",".",up_RadSpec!$F$4*EB4*$B$40)</f>
        <v>945.3125</v>
      </c>
      <c r="EC40" s="49">
        <f>IF(CW40=".",".",up_RadSpec!$F$4*EC4*$B$40)</f>
        <v>945.3125</v>
      </c>
      <c r="ED40" s="49">
        <f>IF(CX40=".",".",up_RadSpec!$F$4*ED4*$B$40)</f>
        <v>917.77912621359224</v>
      </c>
      <c r="EE40" s="49">
        <f>IF(CY40=".",".",up_RadSpec!$F$4*EE4*$B$40)</f>
        <v>945.3125</v>
      </c>
      <c r="EF40" s="49">
        <f>IF(CZ40=".",".",up_RadSpec!$F$4*EF4*$B$40)</f>
        <v>917.77912621359224</v>
      </c>
      <c r="EG40" s="49">
        <f t="shared" si="57"/>
        <v>167715.53042309676</v>
      </c>
      <c r="EH40" s="60">
        <f>IFERROR(EH4/$B40,".")</f>
        <v>9.9740259740259754E-3</v>
      </c>
      <c r="EI40" s="60">
        <f>IFERROR(EI4/$B40,".")</f>
        <v>63.709090909090911</v>
      </c>
      <c r="EJ40" s="60">
        <f>IFERROR(EJ4/$B40,".")</f>
        <v>9.9724647271019675E-3</v>
      </c>
      <c r="EK40" s="189">
        <f t="shared" ref="EK40" si="93">IFERROR(EK4/$B40,0)</f>
        <v>3.0296347840935774E-14</v>
      </c>
      <c r="EL40" s="49">
        <f>IF(EH40=".",".",up_RadSpec!$H$4*EL4*$B$40)</f>
        <v>2506.5104166666661</v>
      </c>
      <c r="EM40" s="49">
        <f>IF(EI40=".",".",up_RadSpec!$K$4*EM4*$B$40)</f>
        <v>0.39240867579908678</v>
      </c>
      <c r="EN40" s="49">
        <f t="shared" si="60"/>
        <v>2506.9028253424653</v>
      </c>
    </row>
    <row r="41" spans="1:144" x14ac:dyDescent="0.25">
      <c r="A41" s="77" t="s">
        <v>1069</v>
      </c>
      <c r="B41" s="78">
        <v>0.99987999999999999</v>
      </c>
      <c r="C41" s="78"/>
      <c r="D41" s="60">
        <f t="shared" ref="D41:O41" si="94">IFERROR(D8/$B41,".")</f>
        <v>1.6530909328954188E-4</v>
      </c>
      <c r="E41" s="60">
        <f t="shared" si="94"/>
        <v>6.612363731581675E-4</v>
      </c>
      <c r="F41" s="60">
        <f t="shared" si="94"/>
        <v>6.612363731581675E-4</v>
      </c>
      <c r="G41" s="60">
        <f t="shared" si="94"/>
        <v>6.612363731581675E-4</v>
      </c>
      <c r="H41" s="60">
        <f t="shared" si="94"/>
        <v>6.612363731581675E-4</v>
      </c>
      <c r="I41" s="60">
        <f t="shared" si="94"/>
        <v>6.612363731581675E-4</v>
      </c>
      <c r="J41" s="60">
        <f t="shared" si="94"/>
        <v>6.612363731581675E-4</v>
      </c>
      <c r="K41" s="60">
        <f t="shared" si="94"/>
        <v>6.612363731581675E-4</v>
      </c>
      <c r="L41" s="60">
        <f t="shared" si="94"/>
        <v>6.612363731581675E-4</v>
      </c>
      <c r="M41" s="60">
        <f t="shared" si="94"/>
        <v>6.612363731581675E-4</v>
      </c>
      <c r="N41" s="60">
        <f t="shared" si="94"/>
        <v>6.612363731581675E-4</v>
      </c>
      <c r="O41" s="60">
        <f t="shared" si="94"/>
        <v>6.612363731581675E-4</v>
      </c>
      <c r="P41" s="111">
        <f t="shared" si="47"/>
        <v>1512.3184999999999</v>
      </c>
      <c r="Q41" s="111">
        <f t="shared" si="41"/>
        <v>1512.3184999999999</v>
      </c>
      <c r="R41" s="111">
        <f t="shared" si="41"/>
        <v>1512.3184999999999</v>
      </c>
      <c r="S41" s="111">
        <f t="shared" si="41"/>
        <v>1512.3184999999999</v>
      </c>
      <c r="T41" s="111">
        <f t="shared" si="41"/>
        <v>1512.3184999999999</v>
      </c>
      <c r="U41" s="111">
        <f t="shared" si="41"/>
        <v>1512.3184999999999</v>
      </c>
      <c r="V41" s="111">
        <f t="shared" si="41"/>
        <v>1512.3184999999999</v>
      </c>
      <c r="W41" s="111">
        <f t="shared" si="41"/>
        <v>1512.3184999999999</v>
      </c>
      <c r="X41" s="111">
        <f t="shared" si="26"/>
        <v>1512.3184999999999</v>
      </c>
      <c r="Y41" s="111">
        <f t="shared" si="26"/>
        <v>1512.3184999999999</v>
      </c>
      <c r="Z41" s="111">
        <f t="shared" si="26"/>
        <v>1512.3184999999999</v>
      </c>
      <c r="AA41" s="111">
        <f t="shared" si="26"/>
        <v>1512.3184999999999</v>
      </c>
      <c r="AB41" s="60">
        <f>IFERROR(AB8/$B41,".")</f>
        <v>5.5103031096513952E-5</v>
      </c>
      <c r="AC41" s="247">
        <f>IFERROR(AC8/$B41,0)</f>
        <v>1.6431723872980461E-13</v>
      </c>
      <c r="AD41" s="49">
        <f>up_dir!BC41</f>
        <v>151231.85</v>
      </c>
      <c r="AE41" s="49">
        <f>IF(E41=".",".",up_RadSpec!$F$8*AE8*$B$41)</f>
        <v>37807.962500000001</v>
      </c>
      <c r="AF41" s="49">
        <f>IF(F41=".",".",up_RadSpec!$F$8*AF8*$B$41)</f>
        <v>37807.962500000001</v>
      </c>
      <c r="AG41" s="49">
        <f>IF(G41=".",".",up_RadSpec!$F$8*AG8*$B$41)</f>
        <v>37807.962500000001</v>
      </c>
      <c r="AH41" s="49">
        <f>IF(H41=".",".",up_RadSpec!$F$8*AH8*$B$41)</f>
        <v>37807.962500000001</v>
      </c>
      <c r="AI41" s="49">
        <f>IF(I41=".",".",up_RadSpec!$F$8*AI8*$B$41)</f>
        <v>37807.962500000001</v>
      </c>
      <c r="AJ41" s="49">
        <f>IF(J41=".",".",up_RadSpec!$F$8*AJ8*$B$41)</f>
        <v>37807.962500000001</v>
      </c>
      <c r="AK41" s="49">
        <f>IF(K41=".",".",up_RadSpec!$F$8*AK8*$B$41)</f>
        <v>37807.962500000001</v>
      </c>
      <c r="AL41" s="49">
        <f>IF(L41=".",".",up_RadSpec!$F$8*AL8*$B$41)</f>
        <v>37807.962500000001</v>
      </c>
      <c r="AM41" s="49">
        <f>IF(M41=".",".",up_RadSpec!$F$8*AM8*$B$41)</f>
        <v>37807.962500000001</v>
      </c>
      <c r="AN41" s="49">
        <f>IF(N41=".",".",up_RadSpec!$F$8*AN8*$B$41)</f>
        <v>37807.962500000001</v>
      </c>
      <c r="AO41" s="49">
        <f>IF(O41=".",".",up_RadSpec!$F$8*AO8*$B$41)</f>
        <v>37807.962500000001</v>
      </c>
      <c r="AP41" s="60">
        <f t="shared" ref="AP41:BD41" si="95">IFERROR(AP8/$B41,".")</f>
        <v>0.33061818657908371</v>
      </c>
      <c r="AQ41" s="60">
        <f t="shared" si="95"/>
        <v>3090.3626287097372</v>
      </c>
      <c r="AR41" s="60">
        <f t="shared" si="95"/>
        <v>220.01635675939585</v>
      </c>
      <c r="AS41" s="60">
        <f t="shared" si="95"/>
        <v>3.2972792119186577E-5</v>
      </c>
      <c r="AT41" s="60">
        <f t="shared" si="95"/>
        <v>6.612363731581675E-4</v>
      </c>
      <c r="AU41" s="60">
        <f t="shared" si="95"/>
        <v>6.612363731581675E-4</v>
      </c>
      <c r="AV41" s="60">
        <f t="shared" si="95"/>
        <v>1.8561021000931016E-7</v>
      </c>
      <c r="AW41" s="60">
        <f t="shared" si="95"/>
        <v>1.9117851630958947E-7</v>
      </c>
      <c r="AX41" s="60">
        <f t="shared" si="95"/>
        <v>1.8561021000931016E-7</v>
      </c>
      <c r="AY41" s="60">
        <f t="shared" si="95"/>
        <v>1.8561021000931016E-7</v>
      </c>
      <c r="AZ41" s="60">
        <f t="shared" si="95"/>
        <v>1.8561021000931016E-7</v>
      </c>
      <c r="BA41" s="60">
        <f t="shared" si="95"/>
        <v>1.8561021000931016E-7</v>
      </c>
      <c r="BB41" s="60">
        <f t="shared" si="95"/>
        <v>1.9117851630958947E-7</v>
      </c>
      <c r="BC41" s="60">
        <f t="shared" si="95"/>
        <v>1.8561021000931016E-7</v>
      </c>
      <c r="BD41" s="60">
        <f t="shared" si="95"/>
        <v>1.9117851630958947E-7</v>
      </c>
      <c r="BE41" s="111">
        <f t="shared" si="68"/>
        <v>3.0246369999999998</v>
      </c>
      <c r="BF41" s="111">
        <f t="shared" si="68"/>
        <v>3.2358662077709363E-4</v>
      </c>
      <c r="BG41" s="111">
        <f t="shared" si="68"/>
        <v>4.5451166210045647E-3</v>
      </c>
      <c r="BH41" s="111">
        <f t="shared" si="68"/>
        <v>30328.035198999991</v>
      </c>
      <c r="BI41" s="111">
        <f t="shared" si="68"/>
        <v>1512.3184999999999</v>
      </c>
      <c r="BJ41" s="111">
        <f t="shared" si="68"/>
        <v>1512.3184999999999</v>
      </c>
      <c r="BK41" s="111">
        <f t="shared" si="68"/>
        <v>5387634.65625</v>
      </c>
      <c r="BL41" s="111">
        <f t="shared" si="68"/>
        <v>5230713.2584951455</v>
      </c>
      <c r="BM41" s="111">
        <f t="shared" si="68"/>
        <v>5387634.65625</v>
      </c>
      <c r="BN41" s="111">
        <f t="shared" si="68"/>
        <v>5387634.65625</v>
      </c>
      <c r="BO41" s="111">
        <f t="shared" si="68"/>
        <v>5387634.65625</v>
      </c>
      <c r="BP41" s="111">
        <f t="shared" si="68"/>
        <v>5387634.65625</v>
      </c>
      <c r="BQ41" s="111">
        <f t="shared" si="68"/>
        <v>5230713.2584951455</v>
      </c>
      <c r="BR41" s="111">
        <f t="shared" si="68"/>
        <v>5387634.65625</v>
      </c>
      <c r="BS41" s="111">
        <f t="shared" si="68"/>
        <v>5230713.2584951455</v>
      </c>
      <c r="BT41" s="60">
        <f>IFERROR(BT8/$B41,".")</f>
        <v>2.0811090000407405E-8</v>
      </c>
      <c r="BU41" s="189">
        <f>IFERROR(BU8/$B41,0)</f>
        <v>6.2058670381214872E-17</v>
      </c>
      <c r="BV41" s="49">
        <f>IF(AP41=".",".",up_RadSpec!$E$8*BV8*$B$41)</f>
        <v>75.615925000000004</v>
      </c>
      <c r="BW41" s="49">
        <f>IF(AQ41=".",".",up_RadSpec!$H$8*BW8*$B$41)</f>
        <v>8.0896655194273425E-3</v>
      </c>
      <c r="BX41" s="49">
        <f>IF(AR41=".",".",up_RadSpec!$G$8*BX8*$B$41)</f>
        <v>0.1136279155251141</v>
      </c>
      <c r="BY41" s="49">
        <f>up_b2s!CC41</f>
        <v>758200.87997499993</v>
      </c>
      <c r="BZ41" s="49">
        <f>IF(AT41=".",".",up_RadSpec!$F$8*BZ8*$B$41)</f>
        <v>37807.962500000001</v>
      </c>
      <c r="CA41" s="49">
        <f>IF(AU41=".",".",up_RadSpec!$F$8*CA8*$B$41)</f>
        <v>37807.962500000001</v>
      </c>
      <c r="CB41" s="49">
        <f>IF(AV41=".",".",up_RadSpec!$F$8*CB8*$B$41)</f>
        <v>134690866.40625</v>
      </c>
      <c r="CC41" s="49">
        <f>IF(AW41=".",".",up_RadSpec!$F$8*CC8*$B$41)</f>
        <v>130767831.46237865</v>
      </c>
      <c r="CD41" s="49">
        <f>IF(AX41=".",".",up_RadSpec!$F$8*CD8*$B$41)</f>
        <v>134690866.40625</v>
      </c>
      <c r="CE41" s="49">
        <f>IF(AY41=".",".",up_RadSpec!$F$8*CE8*$B$41)</f>
        <v>134690866.40625</v>
      </c>
      <c r="CF41" s="49">
        <f>IF(AZ41=".",".",up_RadSpec!$F$8*CF8*$B$41)</f>
        <v>134690866.40625</v>
      </c>
      <c r="CG41" s="49">
        <f>IF(BA41=".",".",up_RadSpec!$F$8*CG8*$B$41)</f>
        <v>134690866.40625</v>
      </c>
      <c r="CH41" s="49">
        <f>IF(BB41=".",".",up_RadSpec!$F$8*CH8*$B$41)</f>
        <v>130767831.46237865</v>
      </c>
      <c r="CI41" s="49">
        <f>IF(BC41=".",".",up_RadSpec!$F$8*CI8*$B$41)</f>
        <v>134690866.40625</v>
      </c>
      <c r="CJ41" s="49">
        <f>IF(BD41=".",".",up_RadSpec!$F$8*CJ8*$B$41)</f>
        <v>130767831.46237865</v>
      </c>
      <c r="CK41" s="49">
        <f t="shared" si="52"/>
        <v>1201282585.3672535</v>
      </c>
      <c r="CL41" s="60">
        <f>IFERROR(CL8/$B41,".")</f>
        <v>3.6368000523699208E-3</v>
      </c>
      <c r="CM41" s="60" t="str">
        <f>IFERROR(CM8,".")</f>
        <v>.</v>
      </c>
      <c r="CN41" s="60">
        <f t="shared" ref="CN41:CZ41" si="96">IFERROR(CN8/$B41,".")</f>
        <v>39.822960573450636</v>
      </c>
      <c r="CO41" s="60">
        <f t="shared" si="96"/>
        <v>1.6445386232385919E-4</v>
      </c>
      <c r="CP41" s="60">
        <f t="shared" si="96"/>
        <v>0.13224727463163349</v>
      </c>
      <c r="CQ41" s="60">
        <f t="shared" si="96"/>
        <v>0.13224727463163349</v>
      </c>
      <c r="CR41" s="60">
        <f t="shared" si="96"/>
        <v>2.6449454926326697E-2</v>
      </c>
      <c r="CS41" s="60">
        <f t="shared" si="96"/>
        <v>2.7242938574116499E-2</v>
      </c>
      <c r="CT41" s="60">
        <f t="shared" si="96"/>
        <v>2.6449454926326697E-2</v>
      </c>
      <c r="CU41" s="60">
        <f t="shared" si="96"/>
        <v>2.6449454926326697E-2</v>
      </c>
      <c r="CV41" s="60">
        <f t="shared" si="96"/>
        <v>2.6449454926326697E-2</v>
      </c>
      <c r="CW41" s="60">
        <f t="shared" si="96"/>
        <v>2.6449454926326697E-2</v>
      </c>
      <c r="CX41" s="60">
        <f t="shared" si="96"/>
        <v>2.7242938574116499E-2</v>
      </c>
      <c r="CY41" s="60">
        <f t="shared" si="96"/>
        <v>2.6449454926326697E-2</v>
      </c>
      <c r="CZ41" s="60">
        <f t="shared" si="96"/>
        <v>2.7242938574116499E-2</v>
      </c>
      <c r="DA41" s="111">
        <f t="shared" si="76"/>
        <v>274.96699999999998</v>
      </c>
      <c r="DB41" s="111" t="str">
        <f t="shared" si="70"/>
        <v>.</v>
      </c>
      <c r="DC41" s="111">
        <f t="shared" si="70"/>
        <v>2.5111141552511412E-2</v>
      </c>
      <c r="DD41" s="111">
        <f t="shared" si="70"/>
        <v>6080.7328321100713</v>
      </c>
      <c r="DE41" s="111">
        <f t="shared" si="70"/>
        <v>7.5615924999999997</v>
      </c>
      <c r="DF41" s="111">
        <f t="shared" si="70"/>
        <v>7.5615924999999997</v>
      </c>
      <c r="DG41" s="111">
        <f t="shared" si="70"/>
        <v>37.807962500000002</v>
      </c>
      <c r="DH41" s="111">
        <f t="shared" si="70"/>
        <v>36.706759708737863</v>
      </c>
      <c r="DI41" s="111">
        <f t="shared" si="70"/>
        <v>37.807962500000002</v>
      </c>
      <c r="DJ41" s="111">
        <f t="shared" si="70"/>
        <v>37.807962500000002</v>
      </c>
      <c r="DK41" s="111">
        <f t="shared" si="70"/>
        <v>37.807962500000002</v>
      </c>
      <c r="DL41" s="111">
        <f t="shared" si="70"/>
        <v>37.807962500000002</v>
      </c>
      <c r="DM41" s="111">
        <f t="shared" si="70"/>
        <v>36.706759708737863</v>
      </c>
      <c r="DN41" s="111">
        <f t="shared" si="70"/>
        <v>37.807962500000002</v>
      </c>
      <c r="DO41" s="111">
        <f t="shared" si="70"/>
        <v>36.706759708737863</v>
      </c>
      <c r="DP41" s="60">
        <f>IFERROR(DP8/$B41,".")</f>
        <v>1.4907981566744609E-4</v>
      </c>
      <c r="DQ41" s="189">
        <f t="shared" ref="DQ41" si="97">IFERROR(DQ8/$B41,0)</f>
        <v>4.4455601032032427E-16</v>
      </c>
      <c r="DR41" s="49">
        <f>IF(CL41=".",".",up_RadSpec!$I$8*DR8*$B$41)</f>
        <v>6874.1750000000002</v>
      </c>
      <c r="DS41" s="49" t="str">
        <f>IF(CM41=".",".",up_RadSpec!$H$8*DS8)</f>
        <v>.</v>
      </c>
      <c r="DT41" s="49">
        <f>IF(CN41=".",".",up_RadSpec!$M$8*DT8*$B$41)</f>
        <v>0.62777853881278534</v>
      </c>
      <c r="DU41" s="49">
        <f>up_b2w!CC41</f>
        <v>152018.32080275181</v>
      </c>
      <c r="DV41" s="49">
        <f>IF(CP41=".",".",up_RadSpec!$F$8*DV8*$B$41)</f>
        <v>189.03981250000001</v>
      </c>
      <c r="DW41" s="49">
        <f>IF(CQ41=".",".",up_RadSpec!$F$8*DW8*$B$41)</f>
        <v>189.03981250000001</v>
      </c>
      <c r="DX41" s="49">
        <f>IF(CR41=".",".",up_RadSpec!$F$8*DX8*$B$41)</f>
        <v>945.19906249999997</v>
      </c>
      <c r="DY41" s="49">
        <f>IF(CS41=".",".",up_RadSpec!$F$8*DY8*$B$41)</f>
        <v>917.66899271844659</v>
      </c>
      <c r="DZ41" s="49">
        <f>IF(CT41=".",".",up_RadSpec!$F$8*DZ8*$B$41)</f>
        <v>945.19906249999997</v>
      </c>
      <c r="EA41" s="49">
        <f>IF(CU41=".",".",up_RadSpec!$F$8*EA8*$B$41)</f>
        <v>945.19906249999997</v>
      </c>
      <c r="EB41" s="49">
        <f>IF(CV41=".",".",up_RadSpec!$F$8*EB8*$B$41)</f>
        <v>945.19906249999997</v>
      </c>
      <c r="EC41" s="49">
        <f>IF(CW41=".",".",up_RadSpec!$F$8*EC8*$B$41)</f>
        <v>945.19906249999997</v>
      </c>
      <c r="ED41" s="49">
        <f>IF(CX41=".",".",up_RadSpec!$F$8*ED8*$B$41)</f>
        <v>917.66899271844659</v>
      </c>
      <c r="EE41" s="49">
        <f>IF(CY41=".",".",up_RadSpec!$F$8*EE8*$B$41)</f>
        <v>945.19906249999997</v>
      </c>
      <c r="EF41" s="49">
        <f>IF(CZ41=".",".",up_RadSpec!$F$8*EF8*$B$41)</f>
        <v>917.66899271844659</v>
      </c>
      <c r="EG41" s="49">
        <f t="shared" si="57"/>
        <v>167695.404559446</v>
      </c>
      <c r="EH41" s="60">
        <f>IFERROR(EH8/$B41,".")</f>
        <v>9.9752230007860692E-3</v>
      </c>
      <c r="EI41" s="60">
        <f>IFERROR(EI8/$B41,".")</f>
        <v>63.716736917521011</v>
      </c>
      <c r="EJ41" s="60">
        <f>IFERROR(EJ8/$B41,".")</f>
        <v>9.973661566489947E-3</v>
      </c>
      <c r="EK41" s="189">
        <f t="shared" ref="EK41" si="98">IFERROR(EK8/$B41,0)</f>
        <v>2.9741458791273018E-14</v>
      </c>
      <c r="EL41" s="49">
        <f>IF(EH41=".",".",up_RadSpec!$H$8*EL8*$B$41)</f>
        <v>2506.2096354166661</v>
      </c>
      <c r="EM41" s="49">
        <f>IF(EI41=".",".",up_RadSpec!$K$8*EM8*$B$41)</f>
        <v>0.39236158675799088</v>
      </c>
      <c r="EN41" s="49">
        <f t="shared" si="60"/>
        <v>2506.601997003424</v>
      </c>
    </row>
    <row r="42" spans="1:144" x14ac:dyDescent="0.25">
      <c r="A42" s="77" t="s">
        <v>1070</v>
      </c>
      <c r="B42" s="42">
        <v>0.97898250799999997</v>
      </c>
      <c r="C42" s="42"/>
      <c r="D42" s="60">
        <f t="shared" ref="D42:O42" si="99">IFERROR(D19/$B42,".")</f>
        <v>1.6883780338018778E-4</v>
      </c>
      <c r="E42" s="60">
        <f t="shared" si="99"/>
        <v>6.7535121352075113E-4</v>
      </c>
      <c r="F42" s="60">
        <f t="shared" si="99"/>
        <v>6.7535121352075113E-4</v>
      </c>
      <c r="G42" s="60">
        <f t="shared" si="99"/>
        <v>6.7535121352075113E-4</v>
      </c>
      <c r="H42" s="60">
        <f t="shared" si="99"/>
        <v>6.7535121352075113E-4</v>
      </c>
      <c r="I42" s="60">
        <f t="shared" si="99"/>
        <v>6.7535121352075113E-4</v>
      </c>
      <c r="J42" s="60">
        <f t="shared" si="99"/>
        <v>6.7535121352075113E-4</v>
      </c>
      <c r="K42" s="60">
        <f t="shared" si="99"/>
        <v>6.7535121352075113E-4</v>
      </c>
      <c r="L42" s="60">
        <f t="shared" si="99"/>
        <v>6.7535121352075113E-4</v>
      </c>
      <c r="M42" s="60">
        <f t="shared" si="99"/>
        <v>6.7535121352075113E-4</v>
      </c>
      <c r="N42" s="60">
        <f t="shared" si="99"/>
        <v>6.7535121352075113E-4</v>
      </c>
      <c r="O42" s="60">
        <f t="shared" si="99"/>
        <v>6.7535121352075113E-4</v>
      </c>
      <c r="P42" s="111">
        <f t="shared" si="47"/>
        <v>1480.71104335</v>
      </c>
      <c r="Q42" s="111">
        <f t="shared" si="41"/>
        <v>1480.71104335</v>
      </c>
      <c r="R42" s="111">
        <f t="shared" si="41"/>
        <v>1480.71104335</v>
      </c>
      <c r="S42" s="111">
        <f t="shared" si="41"/>
        <v>1480.71104335</v>
      </c>
      <c r="T42" s="111">
        <f t="shared" si="41"/>
        <v>1480.71104335</v>
      </c>
      <c r="U42" s="111">
        <f t="shared" si="41"/>
        <v>1480.71104335</v>
      </c>
      <c r="V42" s="111">
        <f t="shared" si="41"/>
        <v>1480.71104335</v>
      </c>
      <c r="W42" s="111">
        <f t="shared" si="41"/>
        <v>1480.71104335</v>
      </c>
      <c r="X42" s="111">
        <f t="shared" si="26"/>
        <v>1480.71104335</v>
      </c>
      <c r="Y42" s="111">
        <f t="shared" si="26"/>
        <v>1480.71104335</v>
      </c>
      <c r="Z42" s="111">
        <f t="shared" si="26"/>
        <v>1480.71104335</v>
      </c>
      <c r="AA42" s="111">
        <f t="shared" si="26"/>
        <v>1480.71104335</v>
      </c>
      <c r="AB42" s="60">
        <f>IFERROR(AB19/$B42,".")</f>
        <v>5.6279267793395932E-5</v>
      </c>
      <c r="AC42" s="247">
        <f>IFERROR(AC19/$B42,0)</f>
        <v>1.6782477655990667E-13</v>
      </c>
      <c r="AD42" s="49">
        <f>up_dir!BC42</f>
        <v>148071.10433500001</v>
      </c>
      <c r="AE42" s="246">
        <f>IF(E42=".",".",up_RadSpec!$F$19*AE19*$B$42)</f>
        <v>37017.776083749995</v>
      </c>
      <c r="AF42" s="246">
        <f>IF(F42=".",".",up_RadSpec!$F$19*AF19*$B$42)</f>
        <v>37017.776083749995</v>
      </c>
      <c r="AG42" s="246">
        <f>IF(G42=".",".",up_RadSpec!$F$19*AG19*$B$42)</f>
        <v>37017.776083749995</v>
      </c>
      <c r="AH42" s="246">
        <f>IF(H42=".",".",up_RadSpec!$F$19*AH19*$B$42)</f>
        <v>37017.776083749995</v>
      </c>
      <c r="AI42" s="246">
        <f>IF(I42=".",".",up_RadSpec!$F$19*AI19*$B$42)</f>
        <v>37017.776083749995</v>
      </c>
      <c r="AJ42" s="246">
        <f>IF(J42=".",".",up_RadSpec!$F$19*AJ19*$B$42)</f>
        <v>37017.776083749995</v>
      </c>
      <c r="AK42" s="246">
        <f>IF(K42=".",".",up_RadSpec!$F$19*AK19*$B$42)</f>
        <v>37017.776083749995</v>
      </c>
      <c r="AL42" s="246">
        <f>IF(L42=".",".",up_RadSpec!$F$19*AL19*$B$42)</f>
        <v>37017.776083749995</v>
      </c>
      <c r="AM42" s="246">
        <f>IF(M42=".",".",up_RadSpec!$F$19*AM19*$B$42)</f>
        <v>37017.776083749995</v>
      </c>
      <c r="AN42" s="246">
        <f>IF(N42=".",".",up_RadSpec!$F$19*AN19*$B$42)</f>
        <v>37017.776083749995</v>
      </c>
      <c r="AO42" s="246">
        <f>IF(O42=".",".",up_RadSpec!$F$19*AO19*$B$42)</f>
        <v>37017.776083749995</v>
      </c>
      <c r="AP42" s="60">
        <f t="shared" ref="AP42:BD42" si="100">IFERROR(AP19/$B42,".")</f>
        <v>0.33767560676037556</v>
      </c>
      <c r="AQ42" s="60">
        <f t="shared" si="100"/>
        <v>3156.3299241239274</v>
      </c>
      <c r="AR42" s="60">
        <f t="shared" si="100"/>
        <v>155.55948282193083</v>
      </c>
      <c r="AS42" s="60">
        <f t="shared" si="100"/>
        <v>3.3676633764872411E-5</v>
      </c>
      <c r="AT42" s="60">
        <f t="shared" si="100"/>
        <v>6.7535121352075113E-4</v>
      </c>
      <c r="AU42" s="60">
        <f t="shared" si="100"/>
        <v>6.7535121352075113E-4</v>
      </c>
      <c r="AV42" s="60">
        <f t="shared" si="100"/>
        <v>1.8957227046196526E-7</v>
      </c>
      <c r="AW42" s="60">
        <f t="shared" si="100"/>
        <v>1.9525943857582418E-7</v>
      </c>
      <c r="AX42" s="60">
        <f t="shared" si="100"/>
        <v>1.8957227046196526E-7</v>
      </c>
      <c r="AY42" s="60">
        <f t="shared" si="100"/>
        <v>1.8957227046196526E-7</v>
      </c>
      <c r="AZ42" s="60">
        <f t="shared" si="100"/>
        <v>1.8957227046196526E-7</v>
      </c>
      <c r="BA42" s="60">
        <f t="shared" si="100"/>
        <v>1.8957227046196526E-7</v>
      </c>
      <c r="BB42" s="60">
        <f t="shared" si="100"/>
        <v>1.9525943857582418E-7</v>
      </c>
      <c r="BC42" s="60">
        <f t="shared" si="100"/>
        <v>1.8957227046196526E-7</v>
      </c>
      <c r="BD42" s="60">
        <f t="shared" si="100"/>
        <v>1.9525943857582418E-7</v>
      </c>
      <c r="BE42" s="111">
        <f t="shared" si="68"/>
        <v>2.9614220866999998</v>
      </c>
      <c r="BF42" s="111">
        <f t="shared" si="68"/>
        <v>3.168236604028524E-4</v>
      </c>
      <c r="BG42" s="111">
        <f t="shared" si="68"/>
        <v>6.4284091323747938E-3</v>
      </c>
      <c r="BH42" s="111">
        <f t="shared" si="68"/>
        <v>29694.179263340891</v>
      </c>
      <c r="BI42" s="111">
        <f t="shared" si="68"/>
        <v>1480.71104335</v>
      </c>
      <c r="BJ42" s="111">
        <f t="shared" si="68"/>
        <v>1480.71104335</v>
      </c>
      <c r="BK42" s="111">
        <f t="shared" si="68"/>
        <v>5275033.0919343745</v>
      </c>
      <c r="BL42" s="111">
        <f t="shared" si="68"/>
        <v>5121391.351392597</v>
      </c>
      <c r="BM42" s="111">
        <f t="shared" si="68"/>
        <v>5275033.0919343745</v>
      </c>
      <c r="BN42" s="111">
        <f t="shared" si="68"/>
        <v>5275033.0919343745</v>
      </c>
      <c r="BO42" s="111">
        <f t="shared" si="68"/>
        <v>5275033.0919343745</v>
      </c>
      <c r="BP42" s="111">
        <f t="shared" si="68"/>
        <v>5275033.0919343745</v>
      </c>
      <c r="BQ42" s="111">
        <f t="shared" si="68"/>
        <v>5121391.351392597</v>
      </c>
      <c r="BR42" s="111">
        <f t="shared" si="68"/>
        <v>5275033.0919343745</v>
      </c>
      <c r="BS42" s="111">
        <f t="shared" si="68"/>
        <v>5121391.351392597</v>
      </c>
      <c r="BT42" s="60">
        <f>IFERROR(BT19/$B42,".")</f>
        <v>2.1255326319612208E-8</v>
      </c>
      <c r="BU42" s="189">
        <f>IFERROR(BU19/$B42,0)</f>
        <v>6.3383383085083615E-17</v>
      </c>
      <c r="BV42" s="246">
        <f>IF(AP42=".",".",up_RadSpec!$E$19*BV19*$B$42)</f>
        <v>74.035552167500001</v>
      </c>
      <c r="BW42" s="246">
        <f>IF(AQ42=".",".",up_RadSpec!$H$19*BW19*$B$42)</f>
        <v>7.920591510071311E-3</v>
      </c>
      <c r="BX42" s="246">
        <f>IF(AR42=".",".",up_RadSpec!$G$19*BX19*$B$42)</f>
        <v>0.16071022830936982</v>
      </c>
      <c r="BY42" s="49">
        <f>up_b2s!CC42</f>
        <v>742354.4815835224</v>
      </c>
      <c r="BZ42" s="246">
        <f>IF(AT42=".",".",up_RadSpec!$F$19*BZ19*$B$42)</f>
        <v>37017.776083749995</v>
      </c>
      <c r="CA42" s="246">
        <f>IF(AU42=".",".",up_RadSpec!$F$19*CA19*$B$42)</f>
        <v>37017.776083749995</v>
      </c>
      <c r="CB42" s="246">
        <f>IF(AV42=".",".",up_RadSpec!$F$19*CB19*$B$42)</f>
        <v>131875827.29835936</v>
      </c>
      <c r="CC42" s="246">
        <f>IF(AW42=".",".",up_RadSpec!$F$19*CC19*$B$42)</f>
        <v>128034783.78481494</v>
      </c>
      <c r="CD42" s="246">
        <f>IF(AX42=".",".",up_RadSpec!$F$19*CD19*$B$42)</f>
        <v>131875827.29835936</v>
      </c>
      <c r="CE42" s="246">
        <f>IF(AY42=".",".",up_RadSpec!$F$19*CE19*$B$42)</f>
        <v>131875827.29835936</v>
      </c>
      <c r="CF42" s="246">
        <f>IF(AZ42=".",".",up_RadSpec!$F$19*CF19*$B$42)</f>
        <v>131875827.29835936</v>
      </c>
      <c r="CG42" s="246">
        <f>IF(BA42=".",".",up_RadSpec!$F$19*CG19*$B$42)</f>
        <v>131875827.29835936</v>
      </c>
      <c r="CH42" s="246">
        <f>IF(BB42=".",".",up_RadSpec!$F$19*CH19*$B$42)</f>
        <v>128034783.78481494</v>
      </c>
      <c r="CI42" s="246">
        <f>IF(BC42=".",".",up_RadSpec!$F$19*CI19*$B$42)</f>
        <v>131875827.29835936</v>
      </c>
      <c r="CJ42" s="246">
        <f>IF(BD42=".",".",up_RadSpec!$F$19*CJ19*$B$42)</f>
        <v>128034783.78481494</v>
      </c>
      <c r="CK42" s="49">
        <f t="shared" si="52"/>
        <v>1176175779.382535</v>
      </c>
      <c r="CL42" s="60">
        <f>IFERROR(CL19/$B42,".")</f>
        <v>3.7144316743641312E-3</v>
      </c>
      <c r="CM42" s="60" t="str">
        <f>IFERROR(CM19,".")</f>
        <v>.</v>
      </c>
      <c r="CN42" s="60">
        <f t="shared" ref="CN42:CZ42" si="101">IFERROR(CN19/$B42,".")</f>
        <v>40.673026834287242</v>
      </c>
      <c r="CO42" s="60">
        <f t="shared" si="101"/>
        <v>1.6796431653953549E-4</v>
      </c>
      <c r="CP42" s="60">
        <f t="shared" si="101"/>
        <v>0.13507024270415022</v>
      </c>
      <c r="CQ42" s="60">
        <f t="shared" si="101"/>
        <v>0.13507024270415022</v>
      </c>
      <c r="CR42" s="60">
        <f t="shared" si="101"/>
        <v>2.7014048540830043E-2</v>
      </c>
      <c r="CS42" s="60">
        <f t="shared" si="101"/>
        <v>2.7824469997054947E-2</v>
      </c>
      <c r="CT42" s="60">
        <f t="shared" si="101"/>
        <v>2.7014048540830043E-2</v>
      </c>
      <c r="CU42" s="60">
        <f t="shared" si="101"/>
        <v>2.7014048540830043E-2</v>
      </c>
      <c r="CV42" s="60">
        <f t="shared" si="101"/>
        <v>2.7014048540830043E-2</v>
      </c>
      <c r="CW42" s="60">
        <f t="shared" si="101"/>
        <v>2.7014048540830043E-2</v>
      </c>
      <c r="CX42" s="60">
        <f t="shared" si="101"/>
        <v>2.7824469997054947E-2</v>
      </c>
      <c r="CY42" s="60">
        <f t="shared" si="101"/>
        <v>2.7014048540830043E-2</v>
      </c>
      <c r="CZ42" s="60">
        <f t="shared" si="101"/>
        <v>2.7824469997054947E-2</v>
      </c>
      <c r="DA42" s="111">
        <f t="shared" si="76"/>
        <v>269.22018969999999</v>
      </c>
      <c r="DB42" s="111" t="str">
        <f t="shared" si="70"/>
        <v>.</v>
      </c>
      <c r="DC42" s="111">
        <f t="shared" si="70"/>
        <v>2.4586318694063924E-2</v>
      </c>
      <c r="DD42" s="111">
        <f t="shared" si="70"/>
        <v>5953.64551591897</v>
      </c>
      <c r="DE42" s="111">
        <f t="shared" si="70"/>
        <v>7.4035552167500001</v>
      </c>
      <c r="DF42" s="111">
        <f t="shared" si="70"/>
        <v>7.4035552167500001</v>
      </c>
      <c r="DG42" s="111">
        <f t="shared" si="70"/>
        <v>37.01777608375</v>
      </c>
      <c r="DH42" s="111">
        <f t="shared" si="70"/>
        <v>35.939588430825239</v>
      </c>
      <c r="DI42" s="111">
        <f t="shared" si="70"/>
        <v>37.01777608375</v>
      </c>
      <c r="DJ42" s="111">
        <f t="shared" si="70"/>
        <v>37.01777608375</v>
      </c>
      <c r="DK42" s="111">
        <f t="shared" si="70"/>
        <v>37.01777608375</v>
      </c>
      <c r="DL42" s="111">
        <f t="shared" si="70"/>
        <v>37.01777608375</v>
      </c>
      <c r="DM42" s="111">
        <f t="shared" si="70"/>
        <v>35.939588430825239</v>
      </c>
      <c r="DN42" s="111">
        <f t="shared" si="70"/>
        <v>37.01777608375</v>
      </c>
      <c r="DO42" s="111">
        <f t="shared" si="70"/>
        <v>35.939588430825239</v>
      </c>
      <c r="DP42" s="60">
        <f>IFERROR(DP19/$B42,".")</f>
        <v>1.5226209341992247E-4</v>
      </c>
      <c r="DQ42" s="189">
        <f t="shared" ref="DQ42" si="102">IFERROR(DQ19/$B42,0)</f>
        <v>4.5404556257820882E-16</v>
      </c>
      <c r="DR42" s="246">
        <f>IF(CL42=".",".",up_RadSpec!$I$19*DR19*$B$42)</f>
        <v>6730.5047425000002</v>
      </c>
      <c r="DS42" s="246" t="str">
        <f>IF(CM42=".",".",up_RadSpec!$H$19*DS19)</f>
        <v>.</v>
      </c>
      <c r="DT42" s="246">
        <f>IF(CN42=".",".",up_RadSpec!$M$19*DT19*$B$42)</f>
        <v>0.61465796735159817</v>
      </c>
      <c r="DU42" s="49">
        <f>up_b2w!CC42</f>
        <v>148841.13789797429</v>
      </c>
      <c r="DV42" s="246">
        <f>IF(CP42=".",".",up_RadSpec!$F$19*DV19*$B$42)</f>
        <v>185.08888041874999</v>
      </c>
      <c r="DW42" s="246">
        <f>IF(CQ42=".",".",up_RadSpec!$F$19*DW19*$B$42)</f>
        <v>185.08888041874999</v>
      </c>
      <c r="DX42" s="246">
        <f>IF(CR42=".",".",up_RadSpec!$F$19*DX19*$B$42)</f>
        <v>925.44440209375</v>
      </c>
      <c r="DY42" s="246">
        <f>IF(CS42=".",".",up_RadSpec!$F$19*DY19*$B$42)</f>
        <v>898.48971077063106</v>
      </c>
      <c r="DZ42" s="246">
        <f>IF(CT42=".",".",up_RadSpec!$F$19*DZ19*$B$42)</f>
        <v>925.44440209375</v>
      </c>
      <c r="EA42" s="246">
        <f>IF(CU42=".",".",up_RadSpec!$F$19*EA19*$B$42)</f>
        <v>925.44440209375</v>
      </c>
      <c r="EB42" s="246">
        <f>IF(CV42=".",".",up_RadSpec!$F$19*EB19*$B$42)</f>
        <v>925.44440209375</v>
      </c>
      <c r="EC42" s="246">
        <f>IF(CW42=".",".",up_RadSpec!$F$19*EC19*$B$42)</f>
        <v>925.44440209375</v>
      </c>
      <c r="ED42" s="246">
        <f>IF(CX42=".",".",up_RadSpec!$F$19*ED19*$B$42)</f>
        <v>898.48971077063106</v>
      </c>
      <c r="EE42" s="246">
        <f>IF(CY42=".",".",up_RadSpec!$F$19*EE19*$B$42)</f>
        <v>925.44440209375</v>
      </c>
      <c r="EF42" s="246">
        <f>IF(CZ42=".",".",up_RadSpec!$F$19*EF19*$B$42)</f>
        <v>898.48971077063106</v>
      </c>
      <c r="EG42" s="49">
        <f t="shared" si="57"/>
        <v>164190.57060415344</v>
      </c>
      <c r="EH42" s="60">
        <f>IFERROR(EH19/$B42,".")</f>
        <v>1.0188155449684476E-2</v>
      </c>
      <c r="EI42" s="60">
        <f>IFERROR(EI19/$B42,".")</f>
        <v>65.076842934859584</v>
      </c>
      <c r="EJ42" s="60">
        <f>IFERROR(EJ19/$B42,".")</f>
        <v>1.0186560684802315E-2</v>
      </c>
      <c r="EK42" s="189">
        <f t="shared" ref="EK42" si="103">IFERROR(EK19/$B42,0)</f>
        <v>3.0376323962080502E-14</v>
      </c>
      <c r="EL42" s="246">
        <f>IF(EH42=".",".",up_RadSpec!$H$19*EL19*$B$42)</f>
        <v>2453.8298540364576</v>
      </c>
      <c r="EM42" s="246">
        <f>IF(EI42=".",".",up_RadSpec!$K$19*EM19*$B$42)</f>
        <v>0.38416122959474885</v>
      </c>
      <c r="EN42" s="49">
        <f t="shared" si="60"/>
        <v>2454.2140152660522</v>
      </c>
    </row>
    <row r="43" spans="1:144" x14ac:dyDescent="0.25">
      <c r="A43" s="77" t="s">
        <v>1071</v>
      </c>
      <c r="B43" s="42">
        <v>2.0897492E-2</v>
      </c>
      <c r="C43" s="42"/>
      <c r="D43" s="60">
        <f t="shared" ref="D43:O43" si="104">IFERROR(D28/$B43,".")</f>
        <v>7.9095259947149221E-3</v>
      </c>
      <c r="E43" s="60">
        <f t="shared" si="104"/>
        <v>3.1638103978859689E-2</v>
      </c>
      <c r="F43" s="60">
        <f t="shared" si="104"/>
        <v>3.1638103978859689E-2</v>
      </c>
      <c r="G43" s="60">
        <f t="shared" si="104"/>
        <v>3.1638103978859689E-2</v>
      </c>
      <c r="H43" s="60">
        <f t="shared" si="104"/>
        <v>3.1638103978859689E-2</v>
      </c>
      <c r="I43" s="60">
        <f t="shared" si="104"/>
        <v>3.1638103978859689E-2</v>
      </c>
      <c r="J43" s="60">
        <f t="shared" si="104"/>
        <v>3.1638103978859689E-2</v>
      </c>
      <c r="K43" s="60">
        <f t="shared" si="104"/>
        <v>3.1638103978859689E-2</v>
      </c>
      <c r="L43" s="60">
        <f t="shared" si="104"/>
        <v>3.1638103978859689E-2</v>
      </c>
      <c r="M43" s="60">
        <f t="shared" si="104"/>
        <v>3.1638103978859689E-2</v>
      </c>
      <c r="N43" s="60">
        <f t="shared" si="104"/>
        <v>3.1638103978859689E-2</v>
      </c>
      <c r="O43" s="60">
        <f t="shared" si="104"/>
        <v>3.1638103978859689E-2</v>
      </c>
      <c r="P43" s="111">
        <f t="shared" si="47"/>
        <v>31.607456649999996</v>
      </c>
      <c r="Q43" s="111">
        <f t="shared" si="41"/>
        <v>31.607456649999996</v>
      </c>
      <c r="R43" s="111">
        <f t="shared" si="41"/>
        <v>31.607456649999996</v>
      </c>
      <c r="S43" s="111">
        <f t="shared" si="41"/>
        <v>31.607456649999996</v>
      </c>
      <c r="T43" s="111">
        <f t="shared" si="41"/>
        <v>31.607456649999996</v>
      </c>
      <c r="U43" s="111">
        <f t="shared" si="41"/>
        <v>31.607456649999996</v>
      </c>
      <c r="V43" s="111">
        <f t="shared" si="41"/>
        <v>31.607456649999996</v>
      </c>
      <c r="W43" s="111">
        <f t="shared" si="41"/>
        <v>31.607456649999996</v>
      </c>
      <c r="X43" s="111">
        <f t="shared" si="26"/>
        <v>31.607456649999996</v>
      </c>
      <c r="Y43" s="111">
        <f t="shared" si="26"/>
        <v>31.607456649999996</v>
      </c>
      <c r="Z43" s="111">
        <f t="shared" si="26"/>
        <v>31.607456649999996</v>
      </c>
      <c r="AA43" s="111">
        <f t="shared" si="26"/>
        <v>31.607456649999996</v>
      </c>
      <c r="AB43" s="60">
        <f>IFERROR(AB28/$B43,".")</f>
        <v>2.6365086649049736E-3</v>
      </c>
      <c r="AC43" s="247">
        <f>IFERROR(AC28/$B43,0)</f>
        <v>7.7144243535119535E-12</v>
      </c>
      <c r="AD43" s="49">
        <f>up_dir!BC43</f>
        <v>3160.7456649999999</v>
      </c>
      <c r="AE43" s="246">
        <f>IF(E43=".",".",up_RadSpec!$F$28*AE28*$B$43)</f>
        <v>790.18641624999998</v>
      </c>
      <c r="AF43" s="246">
        <f>IF(F43=".",".",up_RadSpec!$F$28*AF28*$B$43)</f>
        <v>790.18641624999998</v>
      </c>
      <c r="AG43" s="246">
        <f>IF(G43=".",".",up_RadSpec!$F$28*AG28*$B$43)</f>
        <v>790.18641624999998</v>
      </c>
      <c r="AH43" s="246">
        <f>IF(H43=".",".",up_RadSpec!$F$28*AH28*$B$43)</f>
        <v>790.18641624999998</v>
      </c>
      <c r="AI43" s="246">
        <f>IF(I43=".",".",up_RadSpec!$F$28*AI28*$B$43)</f>
        <v>790.18641624999998</v>
      </c>
      <c r="AJ43" s="246">
        <f>IF(J43=".",".",up_RadSpec!$F$28*AJ28*$B$43)</f>
        <v>790.18641624999998</v>
      </c>
      <c r="AK43" s="246">
        <f>IF(K43=".",".",up_RadSpec!$F$28*AK28*$B$43)</f>
        <v>790.18641624999998</v>
      </c>
      <c r="AL43" s="246">
        <f>IF(L43=".",".",up_RadSpec!$F$28*AL28*$B$43)</f>
        <v>790.18641624999998</v>
      </c>
      <c r="AM43" s="246">
        <f>IF(M43=".",".",up_RadSpec!$F$28*AM28*$B$43)</f>
        <v>790.18641624999998</v>
      </c>
      <c r="AN43" s="246">
        <f>IF(N43=".",".",up_RadSpec!$F$28*AN28*$B$43)</f>
        <v>790.18641624999998</v>
      </c>
      <c r="AO43" s="246">
        <f>IF(O43=".",".",up_RadSpec!$F$28*AO28*$B$43)</f>
        <v>790.18641624999998</v>
      </c>
      <c r="AP43" s="60">
        <f t="shared" ref="AP43:BD43" si="105">IFERROR(AP28/$B43,".")</f>
        <v>15.819051989429843</v>
      </c>
      <c r="AQ43" s="60">
        <f t="shared" si="105"/>
        <v>147864.24060812138</v>
      </c>
      <c r="AR43" s="60">
        <f t="shared" si="105"/>
        <v>5186.4685397322237</v>
      </c>
      <c r="AS43" s="60">
        <f t="shared" si="105"/>
        <v>1.5776455559419413E-3</v>
      </c>
      <c r="AT43" s="60">
        <f t="shared" si="105"/>
        <v>3.1638103978859689E-2</v>
      </c>
      <c r="AU43" s="60">
        <f t="shared" si="105"/>
        <v>3.1638103978859689E-2</v>
      </c>
      <c r="AV43" s="60">
        <f t="shared" si="105"/>
        <v>8.8808712923114909E-6</v>
      </c>
      <c r="AW43" s="60">
        <f t="shared" si="105"/>
        <v>9.1472974310808351E-6</v>
      </c>
      <c r="AX43" s="60">
        <f t="shared" si="105"/>
        <v>8.8808712923114909E-6</v>
      </c>
      <c r="AY43" s="60">
        <f t="shared" si="105"/>
        <v>8.8808712923114909E-6</v>
      </c>
      <c r="AZ43" s="60">
        <f t="shared" si="105"/>
        <v>8.8808712923114909E-6</v>
      </c>
      <c r="BA43" s="60">
        <f t="shared" si="105"/>
        <v>8.8808712923114909E-6</v>
      </c>
      <c r="BB43" s="60">
        <f t="shared" si="105"/>
        <v>9.1472974310808351E-6</v>
      </c>
      <c r="BC43" s="60">
        <f t="shared" si="105"/>
        <v>8.8808712923114909E-6</v>
      </c>
      <c r="BD43" s="60">
        <f t="shared" si="105"/>
        <v>9.1472974310808351E-6</v>
      </c>
      <c r="BE43" s="111">
        <f t="shared" si="68"/>
        <v>6.3214913299999995E-2</v>
      </c>
      <c r="BF43" s="111">
        <f t="shared" si="68"/>
        <v>6.7629603742412578E-6</v>
      </c>
      <c r="BG43" s="111">
        <f t="shared" si="68"/>
        <v>1.9280942173643836E-4</v>
      </c>
      <c r="BH43" s="111">
        <f t="shared" si="68"/>
        <v>633.85593565909994</v>
      </c>
      <c r="BI43" s="111">
        <f t="shared" si="68"/>
        <v>31.607456649999996</v>
      </c>
      <c r="BJ43" s="111">
        <f t="shared" si="68"/>
        <v>31.607456649999996</v>
      </c>
      <c r="BK43" s="111">
        <f t="shared" si="68"/>
        <v>112601.564315625</v>
      </c>
      <c r="BL43" s="111">
        <f t="shared" si="68"/>
        <v>109321.90710254855</v>
      </c>
      <c r="BM43" s="111">
        <f t="shared" si="68"/>
        <v>112601.564315625</v>
      </c>
      <c r="BN43" s="111">
        <f t="shared" si="68"/>
        <v>112601.564315625</v>
      </c>
      <c r="BO43" s="111">
        <f t="shared" si="68"/>
        <v>112601.564315625</v>
      </c>
      <c r="BP43" s="111">
        <f t="shared" si="68"/>
        <v>112601.564315625</v>
      </c>
      <c r="BQ43" s="111">
        <f t="shared" si="68"/>
        <v>109321.90710254855</v>
      </c>
      <c r="BR43" s="111">
        <f t="shared" si="68"/>
        <v>112601.564315625</v>
      </c>
      <c r="BS43" s="111">
        <f t="shared" si="68"/>
        <v>109321.90710254855</v>
      </c>
      <c r="BT43" s="60">
        <f>IFERROR(BT28/$B43,".")</f>
        <v>9.9574593293686081E-7</v>
      </c>
      <c r="BU43" s="189">
        <f>IFERROR(BU28/$B43,0)</f>
        <v>2.9135525997732551E-15</v>
      </c>
      <c r="BV43" s="246">
        <f>IF(AP43=".",".",up_RadSpec!$E$28*BV28*$B$43)</f>
        <v>1.5803728324999999</v>
      </c>
      <c r="BW43" s="246">
        <f>IF(AQ43=".",".",up_RadSpec!$H$28*BW28*$B$43)</f>
        <v>1.6907400935603145E-4</v>
      </c>
      <c r="BX43" s="246">
        <f>IF(AR43=".",".",up_RadSpec!$G$28*BX28*$B$43)</f>
        <v>4.8202355434109594E-3</v>
      </c>
      <c r="BY43" s="49">
        <f>up_b2s!CC43</f>
        <v>15846.398391477502</v>
      </c>
      <c r="BZ43" s="246">
        <f>IF(AT43=".",".",up_RadSpec!$F$28*BZ28*$B$43)</f>
        <v>790.18641624999998</v>
      </c>
      <c r="CA43" s="246">
        <f>IF(AU43=".",".",up_RadSpec!$F$28*CA28*$B$43)</f>
        <v>790.18641624999998</v>
      </c>
      <c r="CB43" s="246">
        <f>IF(AV43=".",".",up_RadSpec!$F$28*CB28*$B$43)</f>
        <v>2815039.107890625</v>
      </c>
      <c r="CC43" s="246">
        <f>IF(AW43=".",".",up_RadSpec!$F$28*CC28*$B$43)</f>
        <v>2733047.6775637139</v>
      </c>
      <c r="CD43" s="246">
        <f>IF(AX43=".",".",up_RadSpec!$F$28*CD28*$B$43)</f>
        <v>2815039.107890625</v>
      </c>
      <c r="CE43" s="246">
        <f>IF(AY43=".",".",up_RadSpec!$F$28*CE28*$B$43)</f>
        <v>2815039.107890625</v>
      </c>
      <c r="CF43" s="246">
        <f>IF(AZ43=".",".",up_RadSpec!$F$28*CF28*$B$43)</f>
        <v>2815039.107890625</v>
      </c>
      <c r="CG43" s="246">
        <f>IF(BA43=".",".",up_RadSpec!$F$28*CG28*$B$43)</f>
        <v>2815039.107890625</v>
      </c>
      <c r="CH43" s="246">
        <f>IF(BB43=".",".",up_RadSpec!$F$28*CH28*$B$43)</f>
        <v>2733047.6775637139</v>
      </c>
      <c r="CI43" s="246">
        <f>IF(BC43=".",".",up_RadSpec!$F$28*CI28*$B$43)</f>
        <v>2815039.107890625</v>
      </c>
      <c r="CJ43" s="246">
        <f>IF(BD43=".",".",up_RadSpec!$F$28*CJ28*$B$43)</f>
        <v>2733047.6775637139</v>
      </c>
      <c r="CK43" s="49">
        <f t="shared" si="52"/>
        <v>25106806.036621012</v>
      </c>
      <c r="CL43" s="60">
        <f>IFERROR(CL28/$B43,".")</f>
        <v>0.17400957188372826</v>
      </c>
      <c r="CM43" s="60" t="str">
        <f>IFERROR(CM28,".")</f>
        <v>.</v>
      </c>
      <c r="CN43" s="60">
        <f t="shared" ref="CN43:CZ43" si="106">IFERROR(CN28/$B43,".")</f>
        <v>1905.4048121268245</v>
      </c>
      <c r="CO43" s="60">
        <f t="shared" si="106"/>
        <v>7.8686058528162298E-3</v>
      </c>
      <c r="CP43" s="60">
        <f t="shared" si="106"/>
        <v>6.3276207957719368</v>
      </c>
      <c r="CQ43" s="60">
        <f t="shared" si="106"/>
        <v>6.3276207957719368</v>
      </c>
      <c r="CR43" s="60">
        <f t="shared" si="106"/>
        <v>1.2655241591543873</v>
      </c>
      <c r="CS43" s="60">
        <f t="shared" si="106"/>
        <v>1.303489883929019</v>
      </c>
      <c r="CT43" s="60">
        <f t="shared" si="106"/>
        <v>1.2655241591543873</v>
      </c>
      <c r="CU43" s="60">
        <f t="shared" si="106"/>
        <v>1.2655241591543873</v>
      </c>
      <c r="CV43" s="60">
        <f t="shared" si="106"/>
        <v>1.2655241591543873</v>
      </c>
      <c r="CW43" s="60">
        <f t="shared" si="106"/>
        <v>1.2655241591543873</v>
      </c>
      <c r="CX43" s="60">
        <f t="shared" si="106"/>
        <v>1.303489883929019</v>
      </c>
      <c r="CY43" s="60">
        <f t="shared" si="106"/>
        <v>1.2655241591543873</v>
      </c>
      <c r="CZ43" s="60">
        <f t="shared" si="106"/>
        <v>1.303489883929019</v>
      </c>
      <c r="DA43" s="111">
        <f t="shared" si="76"/>
        <v>5.7468102999999999</v>
      </c>
      <c r="DB43" s="111" t="str">
        <f t="shared" si="70"/>
        <v>.</v>
      </c>
      <c r="DC43" s="111">
        <f t="shared" si="70"/>
        <v>5.2482285844748864E-4</v>
      </c>
      <c r="DD43" s="111">
        <f t="shared" si="70"/>
        <v>127.08731619110047</v>
      </c>
      <c r="DE43" s="111">
        <f t="shared" si="70"/>
        <v>0.15803728324999999</v>
      </c>
      <c r="DF43" s="111">
        <f t="shared" si="70"/>
        <v>0.15803728324999999</v>
      </c>
      <c r="DG43" s="111">
        <f t="shared" si="70"/>
        <v>0.79018641625000008</v>
      </c>
      <c r="DH43" s="111">
        <f t="shared" si="70"/>
        <v>0.76717127791262141</v>
      </c>
      <c r="DI43" s="111">
        <f t="shared" si="70"/>
        <v>0.79018641625000008</v>
      </c>
      <c r="DJ43" s="111">
        <f t="shared" si="70"/>
        <v>0.79018641625000008</v>
      </c>
      <c r="DK43" s="111">
        <f t="shared" si="70"/>
        <v>0.79018641625000008</v>
      </c>
      <c r="DL43" s="111">
        <f t="shared" si="70"/>
        <v>0.79018641625000008</v>
      </c>
      <c r="DM43" s="111">
        <f t="shared" si="70"/>
        <v>0.76717127791262141</v>
      </c>
      <c r="DN43" s="111">
        <f t="shared" si="70"/>
        <v>0.79018641625000008</v>
      </c>
      <c r="DO43" s="111">
        <f t="shared" si="70"/>
        <v>0.76717127791262141</v>
      </c>
      <c r="DP43" s="60">
        <f>IFERROR(DP28/$B43,".")</f>
        <v>7.1330055343275635E-3</v>
      </c>
      <c r="DQ43" s="189">
        <f t="shared" ref="DQ43" si="107">IFERROR(DQ28/$B43,0)</f>
        <v>2.0871174193442455E-14</v>
      </c>
      <c r="DR43" s="246">
        <f>IF(CL43=".",".",up_RadSpec!$I$28*DR28*$B$43)</f>
        <v>143.67025749999999</v>
      </c>
      <c r="DS43" s="246" t="str">
        <f>IF(CM43=".",".",up_RadSpec!$H$28*DS28)</f>
        <v>.</v>
      </c>
      <c r="DT43" s="246">
        <f>IF(CN43=".",".",up_RadSpec!$M$28*DT28*$B$43)</f>
        <v>1.3120571461187214E-2</v>
      </c>
      <c r="DU43" s="49">
        <f>up_b2w!CC43</f>
        <v>3177.1829047775127</v>
      </c>
      <c r="DV43" s="246">
        <f>IF(CP43=".",".",up_RadSpec!$F$28*DV28*$B$43)</f>
        <v>3.9509320812499999</v>
      </c>
      <c r="DW43" s="246">
        <f>IF(CQ43=".",".",up_RadSpec!$F$28*DW28*$B$43)</f>
        <v>3.9509320812499999</v>
      </c>
      <c r="DX43" s="246">
        <f>IF(CR43=".",".",up_RadSpec!$F$28*DX28*$B$43)</f>
        <v>19.75466040625</v>
      </c>
      <c r="DY43" s="246">
        <f>IF(CS43=".",".",up_RadSpec!$F$28*DY28*$B$43)</f>
        <v>19.179281947815536</v>
      </c>
      <c r="DZ43" s="246">
        <f>IF(CT43=".",".",up_RadSpec!$F$28*DZ28*$B$43)</f>
        <v>19.75466040625</v>
      </c>
      <c r="EA43" s="246">
        <f>IF(CU43=".",".",up_RadSpec!$F$28*EA28*$B$43)</f>
        <v>19.75466040625</v>
      </c>
      <c r="EB43" s="246">
        <f>IF(CV43=".",".",up_RadSpec!$F$28*EB28*$B$43)</f>
        <v>19.75466040625</v>
      </c>
      <c r="EC43" s="246">
        <f>IF(CW43=".",".",up_RadSpec!$F$28*EC28*$B$43)</f>
        <v>19.75466040625</v>
      </c>
      <c r="ED43" s="246">
        <f>IF(CX43=".",".",up_RadSpec!$F$28*ED28*$B$43)</f>
        <v>19.179281947815536</v>
      </c>
      <c r="EE43" s="246">
        <f>IF(CY43=".",".",up_RadSpec!$F$28*EE28*$B$43)</f>
        <v>19.75466040625</v>
      </c>
      <c r="EF43" s="246">
        <f>IF(CZ43=".",".",up_RadSpec!$F$28*EF28*$B$43)</f>
        <v>19.179281947815536</v>
      </c>
      <c r="EG43" s="49">
        <f t="shared" si="57"/>
        <v>3504.8339552924199</v>
      </c>
      <c r="EH43" s="60">
        <f>IFERROR(EH28/$B43,".")</f>
        <v>0.47728339716679757</v>
      </c>
      <c r="EI43" s="60">
        <f>IFERROR(EI28/$B43,".")</f>
        <v>3048.6476994029194</v>
      </c>
      <c r="EJ43" s="60">
        <f>IFERROR(EJ28/$B43,".")</f>
        <v>0.47720868739186345</v>
      </c>
      <c r="EK43" s="189">
        <f t="shared" ref="EK43" si="108">IFERROR(EK28/$B43,0)</f>
        <v>1.3963126193085927E-12</v>
      </c>
      <c r="EL43" s="246">
        <f>IF(EH43=".",".",up_RadSpec!$H$28*EL28*$B$43)</f>
        <v>52.379781380208321</v>
      </c>
      <c r="EM43" s="246">
        <f>IF(EI43=".",".",up_RadSpec!$K$28*EM28*$B$43)</f>
        <v>8.2003571632420103E-3</v>
      </c>
      <c r="EN43" s="49">
        <f t="shared" si="60"/>
        <v>52.387981737371561</v>
      </c>
    </row>
    <row r="44" spans="1:144" x14ac:dyDescent="0.25">
      <c r="A44" s="77" t="s">
        <v>1072</v>
      </c>
      <c r="B44" s="42">
        <v>0.99987999999999999</v>
      </c>
      <c r="C44" s="42"/>
      <c r="D44" s="60">
        <f t="shared" ref="D44:O44" si="109">IFERROR(D15/$B44,".")</f>
        <v>1.6530909328954188E-4</v>
      </c>
      <c r="E44" s="60">
        <f t="shared" si="109"/>
        <v>6.612363731581675E-4</v>
      </c>
      <c r="F44" s="60">
        <f t="shared" si="109"/>
        <v>6.612363731581675E-4</v>
      </c>
      <c r="G44" s="60">
        <f t="shared" si="109"/>
        <v>6.612363731581675E-4</v>
      </c>
      <c r="H44" s="60">
        <f t="shared" si="109"/>
        <v>6.612363731581675E-4</v>
      </c>
      <c r="I44" s="60">
        <f t="shared" si="109"/>
        <v>6.612363731581675E-4</v>
      </c>
      <c r="J44" s="60">
        <f t="shared" si="109"/>
        <v>6.612363731581675E-4</v>
      </c>
      <c r="K44" s="60">
        <f t="shared" si="109"/>
        <v>6.612363731581675E-4</v>
      </c>
      <c r="L44" s="60">
        <f t="shared" si="109"/>
        <v>6.612363731581675E-4</v>
      </c>
      <c r="M44" s="60">
        <f t="shared" si="109"/>
        <v>6.612363731581675E-4</v>
      </c>
      <c r="N44" s="60">
        <f t="shared" si="109"/>
        <v>6.612363731581675E-4</v>
      </c>
      <c r="O44" s="60">
        <f t="shared" si="109"/>
        <v>6.612363731581675E-4</v>
      </c>
      <c r="P44" s="111">
        <f t="shared" si="47"/>
        <v>1512.3184999999999</v>
      </c>
      <c r="Q44" s="111">
        <f t="shared" si="41"/>
        <v>1512.3184999999999</v>
      </c>
      <c r="R44" s="111">
        <f t="shared" si="41"/>
        <v>1512.3184999999999</v>
      </c>
      <c r="S44" s="111">
        <f t="shared" si="41"/>
        <v>1512.3184999999999</v>
      </c>
      <c r="T44" s="111">
        <f t="shared" si="41"/>
        <v>1512.3184999999999</v>
      </c>
      <c r="U44" s="111">
        <f t="shared" si="41"/>
        <v>1512.3184999999999</v>
      </c>
      <c r="V44" s="111">
        <f t="shared" si="41"/>
        <v>1512.3184999999999</v>
      </c>
      <c r="W44" s="111">
        <f t="shared" si="41"/>
        <v>1512.3184999999999</v>
      </c>
      <c r="X44" s="111">
        <f t="shared" si="26"/>
        <v>1512.3184999999999</v>
      </c>
      <c r="Y44" s="111">
        <f t="shared" si="26"/>
        <v>1512.3184999999999</v>
      </c>
      <c r="Z44" s="111">
        <f t="shared" si="26"/>
        <v>1512.3184999999999</v>
      </c>
      <c r="AA44" s="111">
        <f t="shared" si="26"/>
        <v>1512.3184999999999</v>
      </c>
      <c r="AB44" s="60">
        <f>IFERROR(AB15/$B44,".")</f>
        <v>5.5103031096513952E-5</v>
      </c>
      <c r="AC44" s="247">
        <f>IFERROR(AC15/$B44,0)</f>
        <v>1.6123146898839985E-13</v>
      </c>
      <c r="AD44" s="49">
        <f>up_dir!BC44</f>
        <v>151231.85</v>
      </c>
      <c r="AE44" s="49">
        <f>IF(E44=".",".",up_RadSpec!$F$15*AE15*$B$44)</f>
        <v>37807.962500000001</v>
      </c>
      <c r="AF44" s="49">
        <f>IF(F44=".",".",up_RadSpec!$F$15*AF15*$B$44)</f>
        <v>37807.962500000001</v>
      </c>
      <c r="AG44" s="49">
        <f>IF(G44=".",".",up_RadSpec!$F$15*AG15*$B$44)</f>
        <v>37807.962500000001</v>
      </c>
      <c r="AH44" s="49">
        <f>IF(H44=".",".",up_RadSpec!$F$15*AH15*$B$44)</f>
        <v>37807.962500000001</v>
      </c>
      <c r="AI44" s="49">
        <f>IF(I44=".",".",up_RadSpec!$F$15*AI15*$B$44)</f>
        <v>37807.962500000001</v>
      </c>
      <c r="AJ44" s="49">
        <f>IF(J44=".",".",up_RadSpec!$F$15*AJ15*$B$44)</f>
        <v>37807.962500000001</v>
      </c>
      <c r="AK44" s="49">
        <f>IF(K44=".",".",up_RadSpec!$F$15*AK15*$B$44)</f>
        <v>37807.962500000001</v>
      </c>
      <c r="AL44" s="49">
        <f>IF(L44=".",".",up_RadSpec!$F$15*AL15*$B$44)</f>
        <v>37807.962500000001</v>
      </c>
      <c r="AM44" s="49">
        <f>IF(M44=".",".",up_RadSpec!$F$15*AM15*$B$44)</f>
        <v>37807.962500000001</v>
      </c>
      <c r="AN44" s="49">
        <f>IF(N44=".",".",up_RadSpec!$F$15*AN15*$B$44)</f>
        <v>37807.962500000001</v>
      </c>
      <c r="AO44" s="49">
        <f>IF(O44=".",".",up_RadSpec!$F$15*AO15*$B$44)</f>
        <v>37807.962500000001</v>
      </c>
      <c r="AP44" s="60">
        <f t="shared" ref="AP44:BD44" si="110">IFERROR(AP15/$B44,".")</f>
        <v>0.33061818657908371</v>
      </c>
      <c r="AQ44" s="60">
        <f t="shared" si="110"/>
        <v>3090.3626287097372</v>
      </c>
      <c r="AR44" s="60" t="str">
        <f t="shared" si="110"/>
        <v>.</v>
      </c>
      <c r="AS44" s="60">
        <f t="shared" si="110"/>
        <v>3.2972792119186577E-5</v>
      </c>
      <c r="AT44" s="60">
        <f t="shared" si="110"/>
        <v>6.612363731581675E-4</v>
      </c>
      <c r="AU44" s="60">
        <f t="shared" si="110"/>
        <v>6.612363731581675E-4</v>
      </c>
      <c r="AV44" s="60">
        <f t="shared" si="110"/>
        <v>1.8561021000931016E-7</v>
      </c>
      <c r="AW44" s="60">
        <f t="shared" si="110"/>
        <v>1.9117851630958947E-7</v>
      </c>
      <c r="AX44" s="60">
        <f t="shared" si="110"/>
        <v>1.8561021000931016E-7</v>
      </c>
      <c r="AY44" s="60">
        <f t="shared" si="110"/>
        <v>1.8561021000931016E-7</v>
      </c>
      <c r="AZ44" s="60">
        <f t="shared" si="110"/>
        <v>1.8561021000931016E-7</v>
      </c>
      <c r="BA44" s="60">
        <f t="shared" si="110"/>
        <v>1.8561021000931016E-7</v>
      </c>
      <c r="BB44" s="60">
        <f t="shared" si="110"/>
        <v>1.9117851630958947E-7</v>
      </c>
      <c r="BC44" s="60">
        <f t="shared" si="110"/>
        <v>1.8561021000931016E-7</v>
      </c>
      <c r="BD44" s="60">
        <f t="shared" si="110"/>
        <v>1.9117851630958947E-7</v>
      </c>
      <c r="BE44" s="111">
        <f t="shared" si="68"/>
        <v>3.0246369999999998</v>
      </c>
      <c r="BF44" s="111">
        <f t="shared" si="68"/>
        <v>3.2358662077709363E-4</v>
      </c>
      <c r="BG44" s="111" t="str">
        <f t="shared" si="68"/>
        <v>.</v>
      </c>
      <c r="BH44" s="111">
        <f t="shared" si="68"/>
        <v>30328.035198999991</v>
      </c>
      <c r="BI44" s="111">
        <f t="shared" si="68"/>
        <v>1512.3184999999999</v>
      </c>
      <c r="BJ44" s="111">
        <f t="shared" si="68"/>
        <v>1512.3184999999999</v>
      </c>
      <c r="BK44" s="111">
        <f t="shared" si="68"/>
        <v>5387634.65625</v>
      </c>
      <c r="BL44" s="111">
        <f t="shared" si="68"/>
        <v>5230713.2584951455</v>
      </c>
      <c r="BM44" s="111">
        <f t="shared" si="68"/>
        <v>5387634.65625</v>
      </c>
      <c r="BN44" s="111">
        <f t="shared" si="68"/>
        <v>5387634.65625</v>
      </c>
      <c r="BO44" s="111">
        <f t="shared" si="68"/>
        <v>5387634.65625</v>
      </c>
      <c r="BP44" s="111">
        <f t="shared" si="68"/>
        <v>5387634.65625</v>
      </c>
      <c r="BQ44" s="111">
        <f t="shared" si="68"/>
        <v>5230713.2584951455</v>
      </c>
      <c r="BR44" s="111">
        <f t="shared" si="68"/>
        <v>5387634.65625</v>
      </c>
      <c r="BS44" s="111">
        <f t="shared" si="68"/>
        <v>5230713.2584951455</v>
      </c>
      <c r="BT44" s="60">
        <f>IFERROR(BT15/$B44,".")</f>
        <v>2.08110900023759E-8</v>
      </c>
      <c r="BU44" s="189">
        <f>IFERROR(BU15/$B44,0)</f>
        <v>6.0893249346951886E-17</v>
      </c>
      <c r="BV44" s="49">
        <f>IF(AP44=".",".",up_RadSpec!$E$15*BV15*$B$44)</f>
        <v>75.615925000000004</v>
      </c>
      <c r="BW44" s="49">
        <f>IF(AQ44=".",".",up_RadSpec!$H$15*BW15*$B$44)</f>
        <v>8.0896655194273425E-3</v>
      </c>
      <c r="BX44" s="49" t="str">
        <f>IF(AR44=".",".",up_RadSpec!$G$15*BX15*$B$44)</f>
        <v>.</v>
      </c>
      <c r="BY44" s="49">
        <f>up_b2s!CC44</f>
        <v>758200.87997499993</v>
      </c>
      <c r="BZ44" s="49">
        <f>IF(AT44=".",".",up_RadSpec!$F$15*BZ15*$B$44)</f>
        <v>37807.962500000001</v>
      </c>
      <c r="CA44" s="49">
        <f>IF(AU44=".",".",up_RadSpec!$F$15*CA15*$B$44)</f>
        <v>37807.962500000001</v>
      </c>
      <c r="CB44" s="49">
        <f>IF(AV44=".",".",up_RadSpec!$F$15*CB15*$B$44)</f>
        <v>134690866.40625</v>
      </c>
      <c r="CC44" s="49">
        <f>IF(AW44=".",".",up_RadSpec!$F$15*CC15*$B$44)</f>
        <v>130767831.46237865</v>
      </c>
      <c r="CD44" s="49">
        <f>IF(AX44=".",".",up_RadSpec!$F$15*CD15*$B$44)</f>
        <v>134690866.40625</v>
      </c>
      <c r="CE44" s="49">
        <f>IF(AY44=".",".",up_RadSpec!$F$15*CE15*$B$44)</f>
        <v>134690866.40625</v>
      </c>
      <c r="CF44" s="49">
        <f>IF(AZ44=".",".",up_RadSpec!$F$15*CF15*$B$44)</f>
        <v>134690866.40625</v>
      </c>
      <c r="CG44" s="49">
        <f>IF(BA44=".",".",up_RadSpec!$F$15*CG15*$B$44)</f>
        <v>134690866.40625</v>
      </c>
      <c r="CH44" s="49">
        <f>IF(BB44=".",".",up_RadSpec!$F$15*CH15*$B$44)</f>
        <v>130767831.46237865</v>
      </c>
      <c r="CI44" s="49">
        <f>IF(BC44=".",".",up_RadSpec!$F$15*CI15*$B$44)</f>
        <v>134690866.40625</v>
      </c>
      <c r="CJ44" s="49">
        <f>IF(BD44=".",".",up_RadSpec!$F$15*CJ15*$B$44)</f>
        <v>130767831.46237865</v>
      </c>
      <c r="CK44" s="49">
        <f t="shared" si="52"/>
        <v>1201282585.2536256</v>
      </c>
      <c r="CL44" s="60">
        <f>IFERROR(CL15/$B44,".")</f>
        <v>3.6368000523699208E-3</v>
      </c>
      <c r="CM44" s="60" t="str">
        <f>IFERROR(CM15,".")</f>
        <v>.</v>
      </c>
      <c r="CN44" s="60">
        <f t="shared" ref="CN44:CZ44" si="111">IFERROR(CN15/$B44,".")</f>
        <v>39.822960573450636</v>
      </c>
      <c r="CO44" s="60">
        <f t="shared" si="111"/>
        <v>1.6445386232385919E-4</v>
      </c>
      <c r="CP44" s="60">
        <f t="shared" si="111"/>
        <v>0.13224727463163349</v>
      </c>
      <c r="CQ44" s="60">
        <f t="shared" si="111"/>
        <v>0.13224727463163349</v>
      </c>
      <c r="CR44" s="60">
        <f t="shared" si="111"/>
        <v>2.6449454926326697E-2</v>
      </c>
      <c r="CS44" s="60">
        <f t="shared" si="111"/>
        <v>2.7242938574116499E-2</v>
      </c>
      <c r="CT44" s="60">
        <f t="shared" si="111"/>
        <v>2.6449454926326697E-2</v>
      </c>
      <c r="CU44" s="60">
        <f t="shared" si="111"/>
        <v>2.6449454926326697E-2</v>
      </c>
      <c r="CV44" s="60">
        <f t="shared" si="111"/>
        <v>2.6449454926326697E-2</v>
      </c>
      <c r="CW44" s="60">
        <f t="shared" si="111"/>
        <v>2.6449454926326697E-2</v>
      </c>
      <c r="CX44" s="60">
        <f t="shared" si="111"/>
        <v>2.7242938574116499E-2</v>
      </c>
      <c r="CY44" s="60">
        <f t="shared" si="111"/>
        <v>2.6449454926326697E-2</v>
      </c>
      <c r="CZ44" s="60">
        <f t="shared" si="111"/>
        <v>2.7242938574116499E-2</v>
      </c>
      <c r="DA44" s="111">
        <f t="shared" si="76"/>
        <v>274.96699999999998</v>
      </c>
      <c r="DB44" s="111" t="str">
        <f t="shared" si="70"/>
        <v>.</v>
      </c>
      <c r="DC44" s="111">
        <f t="shared" si="70"/>
        <v>2.5111141552511412E-2</v>
      </c>
      <c r="DD44" s="111">
        <f t="shared" si="70"/>
        <v>6080.7328321100713</v>
      </c>
      <c r="DE44" s="111">
        <f t="shared" si="70"/>
        <v>7.5615924999999997</v>
      </c>
      <c r="DF44" s="111">
        <f t="shared" si="70"/>
        <v>7.5615924999999997</v>
      </c>
      <c r="DG44" s="111">
        <f t="shared" si="70"/>
        <v>37.807962500000002</v>
      </c>
      <c r="DH44" s="111">
        <f t="shared" si="70"/>
        <v>36.706759708737863</v>
      </c>
      <c r="DI44" s="111">
        <f t="shared" si="70"/>
        <v>37.807962500000002</v>
      </c>
      <c r="DJ44" s="111">
        <f t="shared" si="70"/>
        <v>37.807962500000002</v>
      </c>
      <c r="DK44" s="111">
        <f t="shared" si="70"/>
        <v>37.807962500000002</v>
      </c>
      <c r="DL44" s="111">
        <f t="shared" si="70"/>
        <v>37.807962500000002</v>
      </c>
      <c r="DM44" s="111">
        <f t="shared" si="70"/>
        <v>36.706759708737863</v>
      </c>
      <c r="DN44" s="111">
        <f t="shared" si="70"/>
        <v>37.807962500000002</v>
      </c>
      <c r="DO44" s="111">
        <f t="shared" si="70"/>
        <v>36.706759708737863</v>
      </c>
      <c r="DP44" s="60">
        <f>IFERROR(DP15/$B44,".")</f>
        <v>1.4907981566744609E-4</v>
      </c>
      <c r="DQ44" s="189">
        <f t="shared" ref="DQ44" si="112">IFERROR(DQ15/$B44,0)</f>
        <v>4.3620754064294732E-16</v>
      </c>
      <c r="DR44" s="49">
        <f>IF(CL44=".",".",up_RadSpec!$I$15*DR15*$B$44)</f>
        <v>6874.1750000000002</v>
      </c>
      <c r="DS44" s="49" t="str">
        <f>IF(CM44=".",".",up_RadSpec!$H$15*DS15)</f>
        <v>.</v>
      </c>
      <c r="DT44" s="49">
        <f>IF(CN44=".",".",up_RadSpec!$M$15*DT15*$B$44)</f>
        <v>0.62777853881278534</v>
      </c>
      <c r="DU44" s="49">
        <f>up_b2w!CC44</f>
        <v>152018.32080275181</v>
      </c>
      <c r="DV44" s="49">
        <f>IF(CP44=".",".",up_RadSpec!$F$15*DV15*$B$44)</f>
        <v>189.03981250000001</v>
      </c>
      <c r="DW44" s="49">
        <f>IF(CQ44=".",".",up_RadSpec!$F$15*DW15*$B$44)</f>
        <v>189.03981250000001</v>
      </c>
      <c r="DX44" s="49">
        <f>IF(CR44=".",".",up_RadSpec!$F$15*DX15*$B$44)</f>
        <v>945.19906249999997</v>
      </c>
      <c r="DY44" s="49">
        <f>IF(CS44=".",".",up_RadSpec!$F$15*DY15*$B$44)</f>
        <v>917.66899271844659</v>
      </c>
      <c r="DZ44" s="49">
        <f>IF(CT44=".",".",up_RadSpec!$F$15*DZ15*$B$44)</f>
        <v>945.19906249999997</v>
      </c>
      <c r="EA44" s="49">
        <f>IF(CU44=".",".",up_RadSpec!$F$15*EA15*$B$44)</f>
        <v>945.19906249999997</v>
      </c>
      <c r="EB44" s="49">
        <f>IF(CV44=".",".",up_RadSpec!$F$15*EB15*$B$44)</f>
        <v>945.19906249999997</v>
      </c>
      <c r="EC44" s="49">
        <f>IF(CW44=".",".",up_RadSpec!$F$15*EC15*$B$44)</f>
        <v>945.19906249999997</v>
      </c>
      <c r="ED44" s="49">
        <f>IF(CX44=".",".",up_RadSpec!$F$15*ED15*$B$44)</f>
        <v>917.66899271844659</v>
      </c>
      <c r="EE44" s="49">
        <f>IF(CY44=".",".",up_RadSpec!$F$15*EE15*$B$44)</f>
        <v>945.19906249999997</v>
      </c>
      <c r="EF44" s="49">
        <f>IF(CZ44=".",".",up_RadSpec!$F$15*EF15*$B$44)</f>
        <v>917.66899271844659</v>
      </c>
      <c r="EG44" s="49">
        <f t="shared" si="57"/>
        <v>167695.404559446</v>
      </c>
      <c r="EH44" s="60">
        <f>IFERROR(EH15/$B44,".")</f>
        <v>9.9752230007860692E-3</v>
      </c>
      <c r="EI44" s="60">
        <f>IFERROR(EI15/$B44,".")</f>
        <v>63.716736917521011</v>
      </c>
      <c r="EJ44" s="60">
        <f>IFERROR(EJ15/$B44,".")</f>
        <v>9.973661566489947E-3</v>
      </c>
      <c r="EK44" s="189">
        <f t="shared" ref="EK44" si="113">IFERROR(EK15/$B44,0)</f>
        <v>2.918293374354959E-14</v>
      </c>
      <c r="EL44" s="49">
        <f>IF(EH44=".",".",up_RadSpec!$H$15*EL15*$B$44)</f>
        <v>2506.2096354166661</v>
      </c>
      <c r="EM44" s="49">
        <f>IF(EI44=".",".",up_RadSpec!$K$15*EM15*$B$44)</f>
        <v>0.39236158675799088</v>
      </c>
      <c r="EN44" s="49">
        <f t="shared" si="60"/>
        <v>2506.601997003424</v>
      </c>
    </row>
    <row r="45" spans="1:144" x14ac:dyDescent="0.25">
      <c r="A45" s="76" t="s">
        <v>8</v>
      </c>
      <c r="B45" s="76" t="s">
        <v>1057</v>
      </c>
      <c r="C45" s="57"/>
      <c r="D45" s="58">
        <f t="shared" ref="D45:O45" si="114">IFERROR(1/SUM(IFERROR(1/SUMIF(D46,"&lt;&gt;.",D46),0),IFERROR(1/SUMIF(D47,"&lt;&gt;.",D47),0)),".")</f>
        <v>8.50257749259755E-5</v>
      </c>
      <c r="E45" s="58">
        <f t="shared" si="114"/>
        <v>3.40103099703902E-4</v>
      </c>
      <c r="F45" s="58">
        <f t="shared" si="114"/>
        <v>3.40103099703902E-4</v>
      </c>
      <c r="G45" s="58">
        <f t="shared" si="114"/>
        <v>3.40103099703902E-4</v>
      </c>
      <c r="H45" s="58">
        <f t="shared" si="114"/>
        <v>3.40103099703902E-4</v>
      </c>
      <c r="I45" s="58">
        <f t="shared" si="114"/>
        <v>3.40103099703902E-4</v>
      </c>
      <c r="J45" s="58">
        <f t="shared" si="114"/>
        <v>3.40103099703902E-4</v>
      </c>
      <c r="K45" s="58">
        <f t="shared" si="114"/>
        <v>3.40103099703902E-4</v>
      </c>
      <c r="L45" s="58">
        <f t="shared" si="114"/>
        <v>3.40103099703902E-4</v>
      </c>
      <c r="M45" s="58">
        <f t="shared" si="114"/>
        <v>3.40103099703902E-4</v>
      </c>
      <c r="N45" s="58">
        <f t="shared" si="114"/>
        <v>3.40103099703902E-4</v>
      </c>
      <c r="O45" s="58">
        <f t="shared" si="114"/>
        <v>3.40103099703902E-4</v>
      </c>
      <c r="P45" s="168"/>
      <c r="Q45" s="168"/>
      <c r="R45" s="168"/>
      <c r="S45" s="168"/>
      <c r="T45" s="168"/>
      <c r="U45" s="168"/>
      <c r="V45" s="168"/>
      <c r="W45" s="111"/>
      <c r="X45" s="111">
        <f t="shared" si="26"/>
        <v>2940.2848749999998</v>
      </c>
      <c r="Y45" s="111">
        <f t="shared" si="26"/>
        <v>2940.2848749999998</v>
      </c>
      <c r="Z45" s="111">
        <f t="shared" si="26"/>
        <v>2940.2848749999998</v>
      </c>
      <c r="AA45" s="111">
        <f t="shared" si="26"/>
        <v>2940.2848749999998</v>
      </c>
      <c r="AB45" s="59">
        <f t="shared" ref="AB45" si="115">IFERROR(1/SUM(IFERROR(1/SUMIF(AB46,"&lt;&gt;.",AB46),0),IFERROR(1/SUMIF(AB47,"&lt;&gt;.",AB47),0)),".")</f>
        <v>2.8341924975325167E-5</v>
      </c>
      <c r="AC45" s="190">
        <f>AB45*(0.0000000000028)*up_RadSpec!$AY10*up_RadSpec!$AF10</f>
        <v>5.4359812102673671E-14</v>
      </c>
      <c r="AD45" s="47">
        <f>IFERROR(SUM(AD46:AD47),".")</f>
        <v>294028.48749999999</v>
      </c>
      <c r="AE45" s="47">
        <f t="shared" ref="AE45:AO45" si="116">IFERROR(SUM(AE46:AE47),".")</f>
        <v>73507.121874999997</v>
      </c>
      <c r="AF45" s="47">
        <f t="shared" si="116"/>
        <v>73507.121874999997</v>
      </c>
      <c r="AG45" s="47">
        <f t="shared" si="116"/>
        <v>73507.121874999997</v>
      </c>
      <c r="AH45" s="47">
        <f t="shared" si="116"/>
        <v>73507.121874999997</v>
      </c>
      <c r="AI45" s="47">
        <f t="shared" si="116"/>
        <v>73507.121874999997</v>
      </c>
      <c r="AJ45" s="47">
        <f t="shared" si="116"/>
        <v>73507.121874999997</v>
      </c>
      <c r="AK45" s="47">
        <f t="shared" si="116"/>
        <v>73507.121874999997</v>
      </c>
      <c r="AL45" s="47">
        <f t="shared" si="116"/>
        <v>73507.121874999997</v>
      </c>
      <c r="AM45" s="47">
        <f t="shared" si="116"/>
        <v>73507.121874999997</v>
      </c>
      <c r="AN45" s="47">
        <f t="shared" si="116"/>
        <v>73507.121874999997</v>
      </c>
      <c r="AO45" s="47">
        <f t="shared" si="116"/>
        <v>73507.121874999997</v>
      </c>
      <c r="AP45" s="58">
        <f t="shared" ref="AP45:BD45" si="117">IFERROR(1/SUM(IFERROR(1/SUMIF(AP46,"&lt;&gt;.",AP46),0),IFERROR(1/SUMIF(AP47,"&lt;&gt;.",AP47),0)),".")</f>
        <v>0.17005154985195101</v>
      </c>
      <c r="AQ45" s="58">
        <f t="shared" si="117"/>
        <v>1589.5101236088108</v>
      </c>
      <c r="AR45" s="58">
        <f t="shared" si="117"/>
        <v>98.413451062534094</v>
      </c>
      <c r="AS45" s="58">
        <f t="shared" si="117"/>
        <v>1.6959364700503746E-5</v>
      </c>
      <c r="AT45" s="58">
        <f t="shared" si="117"/>
        <v>3.40103099703902E-4</v>
      </c>
      <c r="AU45" s="58">
        <f t="shared" si="117"/>
        <v>3.40103099703902E-4</v>
      </c>
      <c r="AV45" s="58">
        <f t="shared" si="117"/>
        <v>9.5467536758990056E-8</v>
      </c>
      <c r="AW45" s="58">
        <f t="shared" si="117"/>
        <v>9.8331562861759723E-8</v>
      </c>
      <c r="AX45" s="58">
        <f t="shared" si="117"/>
        <v>9.5467536758990056E-8</v>
      </c>
      <c r="AY45" s="58">
        <f t="shared" si="117"/>
        <v>9.5467536758990056E-8</v>
      </c>
      <c r="AZ45" s="58">
        <f t="shared" si="117"/>
        <v>9.5467536758990056E-8</v>
      </c>
      <c r="BA45" s="58">
        <f t="shared" si="117"/>
        <v>9.5467536758990056E-8</v>
      </c>
      <c r="BB45" s="58">
        <f t="shared" si="117"/>
        <v>9.8331562861759723E-8</v>
      </c>
      <c r="BC45" s="58">
        <f t="shared" si="117"/>
        <v>9.5467536758990056E-8</v>
      </c>
      <c r="BD45" s="58">
        <f t="shared" si="117"/>
        <v>9.8331562861759723E-8</v>
      </c>
      <c r="BE45" s="111">
        <f t="shared" si="68"/>
        <v>5.8805697499999994</v>
      </c>
      <c r="BF45" s="111">
        <f t="shared" si="68"/>
        <v>6.2912464988244821E-4</v>
      </c>
      <c r="BG45" s="111">
        <f t="shared" si="68"/>
        <v>1.0161212610708853E-2</v>
      </c>
      <c r="BH45" s="111">
        <f t="shared" si="68"/>
        <v>58964.472883249975</v>
      </c>
      <c r="BI45" s="111">
        <f t="shared" si="68"/>
        <v>2940.2848749999998</v>
      </c>
      <c r="BJ45" s="111">
        <f t="shared" si="68"/>
        <v>2940.2848749999998</v>
      </c>
      <c r="BK45" s="111">
        <f t="shared" si="68"/>
        <v>10474764.867187498</v>
      </c>
      <c r="BL45" s="111">
        <f t="shared" si="68"/>
        <v>10169674.62833738</v>
      </c>
      <c r="BM45" s="111">
        <f t="shared" si="68"/>
        <v>10474764.867187498</v>
      </c>
      <c r="BN45" s="111">
        <f t="shared" si="68"/>
        <v>10474764.867187498</v>
      </c>
      <c r="BO45" s="111">
        <f t="shared" si="68"/>
        <v>10474764.867187498</v>
      </c>
      <c r="BP45" s="111">
        <f t="shared" si="68"/>
        <v>10474764.867187498</v>
      </c>
      <c r="BQ45" s="111">
        <f t="shared" si="68"/>
        <v>10169674.62833738</v>
      </c>
      <c r="BR45" s="111">
        <f t="shared" si="68"/>
        <v>10474764.867187498</v>
      </c>
      <c r="BS45" s="111">
        <f t="shared" si="68"/>
        <v>10169674.62833738</v>
      </c>
      <c r="BT45" s="59">
        <f>IFERROR(1/SUM(IFERROR(1/SUMIF(BT46,"&lt;&gt;.",BT46),0),IFERROR(1/SUMIF(BT47,"&lt;&gt;.",BT47),0)),".")</f>
        <v>1.0704063636804888E-8</v>
      </c>
      <c r="BU45" s="190">
        <f>BT45*(0.0000000000028)*up_RadSpec!$AY10*up_RadSpec!$AF10</f>
        <v>2.0530394055391776E-17</v>
      </c>
      <c r="BV45" s="47">
        <f t="shared" ref="BV45" si="118">IFERROR(SUM(BV46:BV47),".")</f>
        <v>147.01424374999999</v>
      </c>
      <c r="BW45" s="47">
        <f t="shared" ref="BW45:CK45" si="119">IFERROR(SUM(BW46:BW47),".")</f>
        <v>1.5728116247061205E-2</v>
      </c>
      <c r="BX45" s="47">
        <f t="shared" si="119"/>
        <v>0.2540303152677213</v>
      </c>
      <c r="BY45" s="47">
        <f t="shared" si="119"/>
        <v>1474111.8220812501</v>
      </c>
      <c r="BZ45" s="47">
        <f t="shared" si="119"/>
        <v>73507.121874999997</v>
      </c>
      <c r="CA45" s="47">
        <f t="shared" si="119"/>
        <v>73507.121874999997</v>
      </c>
      <c r="CB45" s="47">
        <f t="shared" si="119"/>
        <v>261869121.6796875</v>
      </c>
      <c r="CC45" s="47">
        <f t="shared" si="119"/>
        <v>254241865.70843446</v>
      </c>
      <c r="CD45" s="47">
        <f t="shared" si="119"/>
        <v>261869121.6796875</v>
      </c>
      <c r="CE45" s="47">
        <f t="shared" si="119"/>
        <v>261869121.6796875</v>
      </c>
      <c r="CF45" s="47">
        <f t="shared" si="119"/>
        <v>261869121.6796875</v>
      </c>
      <c r="CG45" s="47">
        <f t="shared" si="119"/>
        <v>261869121.6796875</v>
      </c>
      <c r="CH45" s="47">
        <f t="shared" si="119"/>
        <v>254241865.70843446</v>
      </c>
      <c r="CI45" s="47">
        <f t="shared" si="119"/>
        <v>261869121.6796875</v>
      </c>
      <c r="CJ45" s="47">
        <f t="shared" si="119"/>
        <v>254241865.70843446</v>
      </c>
      <c r="CK45" s="47">
        <f t="shared" si="119"/>
        <v>2335561600.5532618</v>
      </c>
      <c r="CL45" s="59">
        <f t="shared" ref="CL45:CZ45" si="120">IFERROR(1/SUM(IFERROR(1/SUMIF(CL46,"&lt;&gt;.",CL46),0),IFERROR(1/SUMIF(CL47,"&lt;&gt;.",CL47),0)),".")</f>
        <v>1.8705670483714608E-3</v>
      </c>
      <c r="CM45" s="58" t="str">
        <f t="shared" si="120"/>
        <v>.</v>
      </c>
      <c r="CN45" s="59">
        <f t="shared" si="120"/>
        <v>20.482709179667498</v>
      </c>
      <c r="CO45" s="59">
        <f t="shared" si="120"/>
        <v>8.4585891830914935E-5</v>
      </c>
      <c r="CP45" s="59">
        <f t="shared" si="120"/>
        <v>6.8020619940780402E-2</v>
      </c>
      <c r="CQ45" s="59">
        <f t="shared" si="120"/>
        <v>6.8020619940780402E-2</v>
      </c>
      <c r="CR45" s="59">
        <f t="shared" si="120"/>
        <v>1.360412398815608E-2</v>
      </c>
      <c r="CS45" s="59">
        <f t="shared" si="120"/>
        <v>1.4012247707800761E-2</v>
      </c>
      <c r="CT45" s="59">
        <f t="shared" si="120"/>
        <v>1.360412398815608E-2</v>
      </c>
      <c r="CU45" s="59">
        <f t="shared" si="120"/>
        <v>1.360412398815608E-2</v>
      </c>
      <c r="CV45" s="59">
        <f t="shared" si="120"/>
        <v>1.360412398815608E-2</v>
      </c>
      <c r="CW45" s="59">
        <f t="shared" si="120"/>
        <v>1.360412398815608E-2</v>
      </c>
      <c r="CX45" s="59">
        <f t="shared" si="120"/>
        <v>1.4012247707800761E-2</v>
      </c>
      <c r="CY45" s="59">
        <f t="shared" si="120"/>
        <v>1.360412398815608E-2</v>
      </c>
      <c r="CZ45" s="59">
        <f t="shared" si="120"/>
        <v>1.4012247707800761E-2</v>
      </c>
      <c r="DA45" s="111">
        <f t="shared" si="76"/>
        <v>534.59725000000003</v>
      </c>
      <c r="DB45" s="111" t="str">
        <f t="shared" si="70"/>
        <v>.</v>
      </c>
      <c r="DC45" s="111">
        <f t="shared" si="70"/>
        <v>4.8821666666666666E-2</v>
      </c>
      <c r="DD45" s="111">
        <f t="shared" si="70"/>
        <v>11822.302494593008</v>
      </c>
      <c r="DE45" s="111">
        <f t="shared" si="70"/>
        <v>14.701424374999998</v>
      </c>
      <c r="DF45" s="111">
        <f t="shared" si="70"/>
        <v>14.701424374999998</v>
      </c>
      <c r="DG45" s="111">
        <f t="shared" si="70"/>
        <v>73.507121874999996</v>
      </c>
      <c r="DH45" s="111">
        <f t="shared" si="70"/>
        <v>71.36613774271845</v>
      </c>
      <c r="DI45" s="111">
        <f t="shared" si="70"/>
        <v>73.507121874999996</v>
      </c>
      <c r="DJ45" s="111">
        <f t="shared" si="70"/>
        <v>73.507121874999996</v>
      </c>
      <c r="DK45" s="111">
        <f t="shared" si="70"/>
        <v>73.507121874999996</v>
      </c>
      <c r="DL45" s="111">
        <f t="shared" si="70"/>
        <v>73.507121874999996</v>
      </c>
      <c r="DM45" s="111">
        <f t="shared" si="70"/>
        <v>71.36613774271845</v>
      </c>
      <c r="DN45" s="111">
        <f t="shared" si="70"/>
        <v>73.507121874999996</v>
      </c>
      <c r="DO45" s="111">
        <f t="shared" si="70"/>
        <v>71.36613774271845</v>
      </c>
      <c r="DP45" s="59">
        <f>IFERROR(1/SUM(IFERROR(1/SUMIF(DP46,"&lt;&gt;.",DP46),0),IFERROR(1/SUMIF(DP47,"&lt;&gt;.",DP47),0)),".")</f>
        <v>7.6678339955229183E-5</v>
      </c>
      <c r="DQ45" s="190">
        <f>DP45*(0.0000000000000028)*up_RadSpec!$AY10*up_RadSpec!$AF10</f>
        <v>1.4706905603412958E-16</v>
      </c>
      <c r="DR45" s="47">
        <f t="shared" ref="DR45" si="121">IFERROR(SUM(DR46:DR47),".")</f>
        <v>13364.93125</v>
      </c>
      <c r="DS45" s="47">
        <f t="shared" ref="DS45:EG45" si="122">IFERROR(SUM(DS46:DS47),".")</f>
        <v>0</v>
      </c>
      <c r="DT45" s="47">
        <f t="shared" si="122"/>
        <v>1.2205416666666666</v>
      </c>
      <c r="DU45" s="47">
        <f t="shared" si="122"/>
        <v>295557.56236482528</v>
      </c>
      <c r="DV45" s="47">
        <f t="shared" si="122"/>
        <v>367.53560937500004</v>
      </c>
      <c r="DW45" s="47">
        <f t="shared" si="122"/>
        <v>367.53560937500004</v>
      </c>
      <c r="DX45" s="47">
        <f t="shared" si="122"/>
        <v>1837.6780468749998</v>
      </c>
      <c r="DY45" s="47">
        <f t="shared" si="122"/>
        <v>1784.1534435679612</v>
      </c>
      <c r="DZ45" s="47">
        <f t="shared" si="122"/>
        <v>1837.6780468749998</v>
      </c>
      <c r="EA45" s="47">
        <f t="shared" si="122"/>
        <v>1837.6780468749998</v>
      </c>
      <c r="EB45" s="47">
        <f t="shared" si="122"/>
        <v>1837.6780468749998</v>
      </c>
      <c r="EC45" s="47">
        <f t="shared" si="122"/>
        <v>1837.6780468749998</v>
      </c>
      <c r="ED45" s="47">
        <f t="shared" si="122"/>
        <v>1784.1534435679612</v>
      </c>
      <c r="EE45" s="47">
        <f t="shared" si="122"/>
        <v>1837.6780468749998</v>
      </c>
      <c r="EF45" s="47">
        <f t="shared" si="122"/>
        <v>1784.1534435679612</v>
      </c>
      <c r="EG45" s="47">
        <f t="shared" si="122"/>
        <v>326037.31398719584</v>
      </c>
      <c r="EH45" s="59">
        <f>IFERROR(1/SUM(IFERROR(1/SUMIF(EH46,"&lt;&gt;.",EH46),0),IFERROR(1/SUMIF(EH47,"&lt;&gt;.",EH47),0)),".")</f>
        <v>5.130698189818865E-3</v>
      </c>
      <c r="EI45" s="59">
        <f>IFERROR(1/SUM(IFERROR(1/SUMIF(EI46,"&lt;&gt;.",EI46),0),IFERROR(1/SUMIF(EI47,"&lt;&gt;.",EI47),0)),".")</f>
        <v>32.772334687467996</v>
      </c>
      <c r="EJ45" s="59">
        <f>IFERROR(1/SUM(IFERROR(1/SUMIF(EJ46,"&lt;&gt;.",EJ46),0),IFERROR(1/SUMIF(EJ47,"&lt;&gt;.",EJ47),0)),".")</f>
        <v>5.1298950751299983E-3</v>
      </c>
      <c r="EK45" s="190">
        <f>EJ45*(0.0000000000000028)*up_RadSpec!$AY10*up_RadSpec!$AF10</f>
        <v>9.8391387540993388E-15</v>
      </c>
      <c r="EL45" s="47">
        <f t="shared" ref="EL45" si="123">IFERROR(SUM(EL46:EL47),".")</f>
        <v>4872.6311848958321</v>
      </c>
      <c r="EM45" s="47">
        <f t="shared" ref="EM45:EN45" si="124">IFERROR(SUM(EM46:EM47),".")</f>
        <v>0.76283854166666676</v>
      </c>
      <c r="EN45" s="47">
        <f t="shared" si="124"/>
        <v>4873.3940234374986</v>
      </c>
    </row>
    <row r="46" spans="1:144" x14ac:dyDescent="0.25">
      <c r="A46" s="77" t="s">
        <v>1084</v>
      </c>
      <c r="B46" s="42">
        <v>1</v>
      </c>
      <c r="C46" s="42"/>
      <c r="D46" s="60">
        <f t="shared" ref="D46:O46" si="125">IFERROR(D10/$B46,".")</f>
        <v>1.6528925619834712E-4</v>
      </c>
      <c r="E46" s="60">
        <f t="shared" si="125"/>
        <v>6.6115702479338848E-4</v>
      </c>
      <c r="F46" s="60">
        <f t="shared" si="125"/>
        <v>6.6115702479338848E-4</v>
      </c>
      <c r="G46" s="60">
        <f t="shared" si="125"/>
        <v>6.6115702479338848E-4</v>
      </c>
      <c r="H46" s="60">
        <f t="shared" si="125"/>
        <v>6.6115702479338848E-4</v>
      </c>
      <c r="I46" s="60">
        <f t="shared" si="125"/>
        <v>6.6115702479338848E-4</v>
      </c>
      <c r="J46" s="60">
        <f t="shared" si="125"/>
        <v>6.6115702479338848E-4</v>
      </c>
      <c r="K46" s="60">
        <f t="shared" si="125"/>
        <v>6.6115702479338848E-4</v>
      </c>
      <c r="L46" s="60">
        <f t="shared" si="125"/>
        <v>6.6115702479338848E-4</v>
      </c>
      <c r="M46" s="60">
        <f t="shared" si="125"/>
        <v>6.6115702479338848E-4</v>
      </c>
      <c r="N46" s="60">
        <f t="shared" si="125"/>
        <v>6.6115702479338848E-4</v>
      </c>
      <c r="O46" s="60">
        <f t="shared" si="125"/>
        <v>6.6115702479338848E-4</v>
      </c>
      <c r="P46" s="111">
        <f t="shared" ref="P46:W47" si="126">IFERROR(1/H46,".")</f>
        <v>1512.5</v>
      </c>
      <c r="Q46" s="111">
        <f t="shared" si="126"/>
        <v>1512.5</v>
      </c>
      <c r="R46" s="111">
        <f t="shared" si="126"/>
        <v>1512.5</v>
      </c>
      <c r="S46" s="111">
        <f t="shared" si="126"/>
        <v>1512.5</v>
      </c>
      <c r="T46" s="111">
        <f t="shared" si="126"/>
        <v>1512.5</v>
      </c>
      <c r="U46" s="111">
        <f t="shared" si="126"/>
        <v>1512.5</v>
      </c>
      <c r="V46" s="111">
        <f t="shared" si="126"/>
        <v>1512.5</v>
      </c>
      <c r="W46" s="111">
        <f t="shared" si="126"/>
        <v>1512.5</v>
      </c>
      <c r="X46" s="111">
        <f t="shared" si="26"/>
        <v>1512.5</v>
      </c>
      <c r="Y46" s="111">
        <f t="shared" si="26"/>
        <v>1512.5</v>
      </c>
      <c r="Z46" s="111">
        <f t="shared" si="26"/>
        <v>1512.5</v>
      </c>
      <c r="AA46" s="111">
        <f t="shared" si="26"/>
        <v>1512.5</v>
      </c>
      <c r="AB46" s="60">
        <f>IFERROR(AB10/$B46,".")</f>
        <v>5.5096418732782371E-5</v>
      </c>
      <c r="AC46" s="189">
        <f>IFERROR(AC10/$B46,0)</f>
        <v>1.0567493112947661E-13</v>
      </c>
      <c r="AD46" s="49">
        <f>up_dir!BC46</f>
        <v>151250</v>
      </c>
      <c r="AE46" s="49">
        <f>IF(E46=".",".",up_RadSpec!$F$10*AE10*$B$46)</f>
        <v>37812.5</v>
      </c>
      <c r="AF46" s="49">
        <f>IF(F46=".",".",up_RadSpec!$F$10*AF10*$B$46)</f>
        <v>37812.5</v>
      </c>
      <c r="AG46" s="49">
        <f>IF(G46=".",".",up_RadSpec!$F$10*AG10*$B$46)</f>
        <v>37812.5</v>
      </c>
      <c r="AH46" s="49">
        <f>IF(H46=".",".",up_RadSpec!$F$10*AH10*$B$46)</f>
        <v>37812.5</v>
      </c>
      <c r="AI46" s="49">
        <f>IF(I46=".",".",up_RadSpec!$F$10*AI10*$B$46)</f>
        <v>37812.5</v>
      </c>
      <c r="AJ46" s="49">
        <f>IF(J46=".",".",up_RadSpec!$F$10*AJ10*$B$46)</f>
        <v>37812.5</v>
      </c>
      <c r="AK46" s="49">
        <f>IF(K46=".",".",up_RadSpec!$F$10*AK10*$B$46)</f>
        <v>37812.5</v>
      </c>
      <c r="AL46" s="49">
        <f>IF(L46=".",".",up_RadSpec!$F$10*AL10*$B$46)</f>
        <v>37812.5</v>
      </c>
      <c r="AM46" s="49">
        <f>IF(M46=".",".",up_RadSpec!$F$10*AM10*$B$46)</f>
        <v>37812.5</v>
      </c>
      <c r="AN46" s="49">
        <f>IF(N46=".",".",up_RadSpec!$F$10*AN10*$B$46)</f>
        <v>37812.5</v>
      </c>
      <c r="AO46" s="49">
        <f>IF(O46=".",".",up_RadSpec!$F$10*AO10*$B$46)</f>
        <v>37812.5</v>
      </c>
      <c r="AP46" s="60">
        <f t="shared" ref="AP46:BD46" si="127">IFERROR(AP10/$B46,".")</f>
        <v>0.33057851239669422</v>
      </c>
      <c r="AQ46" s="60">
        <f t="shared" si="127"/>
        <v>3089.9917851942919</v>
      </c>
      <c r="AR46" s="60">
        <f t="shared" si="127"/>
        <v>207.30735930735929</v>
      </c>
      <c r="AS46" s="60">
        <f t="shared" si="127"/>
        <v>3.2968835384132272E-5</v>
      </c>
      <c r="AT46" s="60">
        <f t="shared" si="127"/>
        <v>6.6115702479338848E-4</v>
      </c>
      <c r="AU46" s="60">
        <f t="shared" si="127"/>
        <v>6.6115702479338848E-4</v>
      </c>
      <c r="AV46" s="60">
        <f t="shared" si="127"/>
        <v>1.8558793678410905E-7</v>
      </c>
      <c r="AW46" s="60">
        <f t="shared" si="127"/>
        <v>1.9115557488763231E-7</v>
      </c>
      <c r="AX46" s="60">
        <f t="shared" si="127"/>
        <v>1.8558793678410905E-7</v>
      </c>
      <c r="AY46" s="60">
        <f t="shared" si="127"/>
        <v>1.8558793678410905E-7</v>
      </c>
      <c r="AZ46" s="60">
        <f t="shared" si="127"/>
        <v>1.8558793678410905E-7</v>
      </c>
      <c r="BA46" s="60">
        <f t="shared" si="127"/>
        <v>1.8558793678410905E-7</v>
      </c>
      <c r="BB46" s="60">
        <f t="shared" si="127"/>
        <v>1.9115557488763231E-7</v>
      </c>
      <c r="BC46" s="60">
        <f t="shared" si="127"/>
        <v>1.8558793678410905E-7</v>
      </c>
      <c r="BD46" s="60">
        <f t="shared" si="127"/>
        <v>1.9115557488763231E-7</v>
      </c>
      <c r="BE46" s="111">
        <f t="shared" si="68"/>
        <v>3.0249999999999999</v>
      </c>
      <c r="BF46" s="111">
        <f t="shared" si="68"/>
        <v>3.236254558317935E-4</v>
      </c>
      <c r="BG46" s="111">
        <f t="shared" si="68"/>
        <v>4.823755429335116E-3</v>
      </c>
      <c r="BH46" s="111">
        <f t="shared" si="68"/>
        <v>30331.674999999992</v>
      </c>
      <c r="BI46" s="111">
        <f t="shared" si="68"/>
        <v>1512.5</v>
      </c>
      <c r="BJ46" s="111">
        <f t="shared" si="68"/>
        <v>1512.5</v>
      </c>
      <c r="BK46" s="111">
        <f t="shared" si="68"/>
        <v>5388281.2499999991</v>
      </c>
      <c r="BL46" s="111">
        <f t="shared" si="68"/>
        <v>5231341.0194174759</v>
      </c>
      <c r="BM46" s="111">
        <f t="shared" si="68"/>
        <v>5388281.2499999991</v>
      </c>
      <c r="BN46" s="111">
        <f t="shared" si="68"/>
        <v>5388281.2499999991</v>
      </c>
      <c r="BO46" s="111">
        <f t="shared" si="68"/>
        <v>5388281.2499999991</v>
      </c>
      <c r="BP46" s="111">
        <f t="shared" si="68"/>
        <v>5388281.2499999991</v>
      </c>
      <c r="BQ46" s="111">
        <f t="shared" si="68"/>
        <v>5231341.0194174759</v>
      </c>
      <c r="BR46" s="111">
        <f t="shared" si="68"/>
        <v>5388281.2499999991</v>
      </c>
      <c r="BS46" s="111">
        <f t="shared" si="68"/>
        <v>5231341.0194174759</v>
      </c>
      <c r="BT46" s="60">
        <f>IFERROR(BT10/$B46,".")</f>
        <v>2.0808592669486937E-8</v>
      </c>
      <c r="BU46" s="189">
        <f>IFERROR(BU10/$B46,0)</f>
        <v>3.9910880740075953E-17</v>
      </c>
      <c r="BV46" s="49">
        <f>IF(AP46=".",".",up_RadSpec!$E$10*BV10*$B$46)</f>
        <v>75.625</v>
      </c>
      <c r="BW46" s="49">
        <f>IF(AQ46=".",".",up_RadSpec!$H$10*BW10*$B$46)</f>
        <v>8.0906363957948379E-3</v>
      </c>
      <c r="BX46" s="49">
        <f>IF(AR46=".",".",up_RadSpec!$G$10*BX10*$B$46)</f>
        <v>0.1205938857333779</v>
      </c>
      <c r="BY46" s="49">
        <f>up_b2s!CC46</f>
        <v>758291.875</v>
      </c>
      <c r="BZ46" s="49">
        <f>IF(AT46=".",".",up_RadSpec!$F$10*BZ10*$B$46)</f>
        <v>37812.5</v>
      </c>
      <c r="CA46" s="49">
        <f>IF(AU46=".",".",up_RadSpec!$F$10*CA10*$B$46)</f>
        <v>37812.5</v>
      </c>
      <c r="CB46" s="49">
        <f>IF(AV46=".",".",up_RadSpec!$F$10*CB10*$B$46)</f>
        <v>134707031.25</v>
      </c>
      <c r="CC46" s="49">
        <f>IF(AW46=".",".",up_RadSpec!$F$10*CC10*$B$46)</f>
        <v>130783525.4854369</v>
      </c>
      <c r="CD46" s="49">
        <f>IF(AX46=".",".",up_RadSpec!$F$10*CD10*$B$46)</f>
        <v>134707031.25</v>
      </c>
      <c r="CE46" s="49">
        <f>IF(AY46=".",".",up_RadSpec!$F$10*CE10*$B$46)</f>
        <v>134707031.25</v>
      </c>
      <c r="CF46" s="49">
        <f>IF(AZ46=".",".",up_RadSpec!$F$10*CF10*$B$46)</f>
        <v>134707031.25</v>
      </c>
      <c r="CG46" s="49">
        <f>IF(BA46=".",".",up_RadSpec!$F$10*CG10*$B$46)</f>
        <v>134707031.25</v>
      </c>
      <c r="CH46" s="49">
        <f>IF(BB46=".",".",up_RadSpec!$F$10*CH10*$B$46)</f>
        <v>130783525.4854369</v>
      </c>
      <c r="CI46" s="49">
        <f>IF(BC46=".",".",up_RadSpec!$F$10*CI10*$B$46)</f>
        <v>134707031.25</v>
      </c>
      <c r="CJ46" s="49">
        <f>IF(BD46=".",".",up_RadSpec!$F$10*CJ10*$B$46)</f>
        <v>130783525.4854369</v>
      </c>
      <c r="CK46" s="49">
        <f t="shared" ref="CK46:CK47" si="128">IFERROR(SUM(BV46:CJ46),".")</f>
        <v>1201426756.5849953</v>
      </c>
      <c r="CL46" s="60">
        <f>IFERROR(CL10/$B46,".")</f>
        <v>3.6363636363636364E-3</v>
      </c>
      <c r="CM46" s="60" t="str">
        <f>IFERROR(CM10,".")</f>
        <v>.</v>
      </c>
      <c r="CN46" s="60">
        <f t="shared" ref="CN46:CZ46" si="129">IFERROR(CN10/$B46,".")</f>
        <v>39.81818181818182</v>
      </c>
      <c r="CO46" s="60">
        <f t="shared" si="129"/>
        <v>1.6443412786038033E-4</v>
      </c>
      <c r="CP46" s="60">
        <f t="shared" si="129"/>
        <v>0.13223140495867769</v>
      </c>
      <c r="CQ46" s="60">
        <f t="shared" si="129"/>
        <v>0.13223140495867769</v>
      </c>
      <c r="CR46" s="60">
        <f t="shared" si="129"/>
        <v>2.6446280991735537E-2</v>
      </c>
      <c r="CS46" s="60">
        <f t="shared" si="129"/>
        <v>2.7239669421487603E-2</v>
      </c>
      <c r="CT46" s="60">
        <f t="shared" si="129"/>
        <v>2.6446280991735537E-2</v>
      </c>
      <c r="CU46" s="60">
        <f t="shared" si="129"/>
        <v>2.6446280991735537E-2</v>
      </c>
      <c r="CV46" s="60">
        <f t="shared" si="129"/>
        <v>2.6446280991735537E-2</v>
      </c>
      <c r="CW46" s="60">
        <f t="shared" si="129"/>
        <v>2.6446280991735537E-2</v>
      </c>
      <c r="CX46" s="60">
        <f t="shared" si="129"/>
        <v>2.7239669421487603E-2</v>
      </c>
      <c r="CY46" s="60">
        <f t="shared" si="129"/>
        <v>2.6446280991735537E-2</v>
      </c>
      <c r="CZ46" s="60">
        <f t="shared" si="129"/>
        <v>2.7239669421487603E-2</v>
      </c>
      <c r="DA46" s="111">
        <f t="shared" si="76"/>
        <v>275</v>
      </c>
      <c r="DB46" s="111" t="str">
        <f t="shared" si="70"/>
        <v>.</v>
      </c>
      <c r="DC46" s="111">
        <f t="shared" si="70"/>
        <v>2.5114155251141551E-2</v>
      </c>
      <c r="DD46" s="111">
        <f t="shared" si="70"/>
        <v>6081.4626076229861</v>
      </c>
      <c r="DE46" s="111">
        <f t="shared" si="70"/>
        <v>7.5625</v>
      </c>
      <c r="DF46" s="111">
        <f t="shared" si="70"/>
        <v>7.5625</v>
      </c>
      <c r="DG46" s="111">
        <f t="shared" si="70"/>
        <v>37.8125</v>
      </c>
      <c r="DH46" s="111">
        <f t="shared" si="70"/>
        <v>36.711165048543691</v>
      </c>
      <c r="DI46" s="111">
        <f t="shared" si="70"/>
        <v>37.8125</v>
      </c>
      <c r="DJ46" s="111">
        <f t="shared" si="70"/>
        <v>37.8125</v>
      </c>
      <c r="DK46" s="111">
        <f t="shared" si="70"/>
        <v>37.8125</v>
      </c>
      <c r="DL46" s="111">
        <f t="shared" si="70"/>
        <v>37.8125</v>
      </c>
      <c r="DM46" s="111">
        <f t="shared" si="70"/>
        <v>36.711165048543691</v>
      </c>
      <c r="DN46" s="111">
        <f t="shared" si="70"/>
        <v>37.8125</v>
      </c>
      <c r="DO46" s="111">
        <f t="shared" si="70"/>
        <v>36.711165048543691</v>
      </c>
      <c r="DP46" s="60">
        <f>IFERROR(DP10/$B46,".")</f>
        <v>1.4906192608956598E-4</v>
      </c>
      <c r="DQ46" s="189">
        <f t="shared" ref="DQ46" si="130">IFERROR(DQ10/$B46,0)</f>
        <v>2.8590077423978759E-16</v>
      </c>
      <c r="DR46" s="49">
        <f>IF(CL46=".",".",up_RadSpec!$I$10*DR10*$B$46)</f>
        <v>6875</v>
      </c>
      <c r="DS46" s="49" t="str">
        <f>IF(CM46=".",".",up_RadSpec!$H$10*DS10)</f>
        <v>.</v>
      </c>
      <c r="DT46" s="49">
        <f>IF(CN46=".",".",up_RadSpec!$M$10*DT10*$B$46)</f>
        <v>0.62785388127853881</v>
      </c>
      <c r="DU46" s="49">
        <f>up_b2w!CC46</f>
        <v>152036.56519057468</v>
      </c>
      <c r="DV46" s="49">
        <f>IF(CP46=".",".",up_RadSpec!$F$10*DV10*$B$46)</f>
        <v>189.0625</v>
      </c>
      <c r="DW46" s="49">
        <f>IF(CQ46=".",".",up_RadSpec!$F$10*DW10*$B$46)</f>
        <v>189.0625</v>
      </c>
      <c r="DX46" s="49">
        <f>IF(CR46=".",".",up_RadSpec!$F$10*DX10*$B$46)</f>
        <v>945.3125</v>
      </c>
      <c r="DY46" s="49">
        <f>IF(CS46=".",".",up_RadSpec!$F$10*DY10*$B$46)</f>
        <v>917.77912621359224</v>
      </c>
      <c r="DZ46" s="49">
        <f>IF(CT46=".",".",up_RadSpec!$F$10*DZ10*$B$46)</f>
        <v>945.3125</v>
      </c>
      <c r="EA46" s="49">
        <f>IF(CU46=".",".",up_RadSpec!$F$10*EA10*$B$46)</f>
        <v>945.3125</v>
      </c>
      <c r="EB46" s="49">
        <f>IF(CV46=".",".",up_RadSpec!$F$10*EB10*$B$46)</f>
        <v>945.3125</v>
      </c>
      <c r="EC46" s="49">
        <f>IF(CW46=".",".",up_RadSpec!$F$10*EC10*$B$46)</f>
        <v>945.3125</v>
      </c>
      <c r="ED46" s="49">
        <f>IF(CX46=".",".",up_RadSpec!$F$10*ED10*$B$46)</f>
        <v>917.77912621359224</v>
      </c>
      <c r="EE46" s="49">
        <f>IF(CY46=".",".",up_RadSpec!$F$10*EE10*$B$46)</f>
        <v>945.3125</v>
      </c>
      <c r="EF46" s="49">
        <f>IF(CZ46=".",".",up_RadSpec!$F$10*EF10*$B$46)</f>
        <v>917.77912621359224</v>
      </c>
      <c r="EG46" s="49">
        <f t="shared" ref="EG46:EG47" si="131">IFERROR(SUM(DR46:EF46),".")</f>
        <v>167715.53042309676</v>
      </c>
      <c r="EH46" s="60">
        <f>IFERROR(EH10/$B46,".")</f>
        <v>9.9740259740259754E-3</v>
      </c>
      <c r="EI46" s="60">
        <f>IFERROR(EI10/$B46,".")</f>
        <v>63.709090909090911</v>
      </c>
      <c r="EJ46" s="60">
        <f>IFERROR(EJ10/$B46,".")</f>
        <v>9.9724647271019675E-3</v>
      </c>
      <c r="EK46" s="189">
        <f t="shared" ref="EK46" si="132">IFERROR(EK10/$B46,0)</f>
        <v>1.9127187346581575E-14</v>
      </c>
      <c r="EL46" s="49">
        <f>IF(EH46=".",".",up_RadSpec!$H$10*EL10*$B46)</f>
        <v>2506.5104166666661</v>
      </c>
      <c r="EM46" s="49">
        <f>IF(EI46=".",".",up_RadSpec!$K$10*EM10*$B46)</f>
        <v>0.39240867579908678</v>
      </c>
      <c r="EN46" s="49">
        <f t="shared" si="60"/>
        <v>2506.9028253424653</v>
      </c>
    </row>
    <row r="47" spans="1:144" x14ac:dyDescent="0.25">
      <c r="A47" s="77" t="s">
        <v>1058</v>
      </c>
      <c r="B47" s="79">
        <v>0.94399</v>
      </c>
      <c r="C47" s="79"/>
      <c r="D47" s="60">
        <f t="shared" ref="D47:O47" si="133">IFERROR(D6/$B$47,".")</f>
        <v>1.750964058923793E-4</v>
      </c>
      <c r="E47" s="60">
        <f t="shared" si="133"/>
        <v>7.0038562356951719E-4</v>
      </c>
      <c r="F47" s="60">
        <f t="shared" si="133"/>
        <v>7.0038562356951719E-4</v>
      </c>
      <c r="G47" s="60">
        <f t="shared" si="133"/>
        <v>7.0038562356951719E-4</v>
      </c>
      <c r="H47" s="60">
        <f t="shared" si="133"/>
        <v>7.0038562356951719E-4</v>
      </c>
      <c r="I47" s="60">
        <f t="shared" si="133"/>
        <v>7.0038562356951719E-4</v>
      </c>
      <c r="J47" s="60">
        <f t="shared" si="133"/>
        <v>7.0038562356951719E-4</v>
      </c>
      <c r="K47" s="60">
        <f t="shared" si="133"/>
        <v>7.0038562356951719E-4</v>
      </c>
      <c r="L47" s="60">
        <f t="shared" si="133"/>
        <v>7.0038562356951719E-4</v>
      </c>
      <c r="M47" s="60">
        <f t="shared" si="133"/>
        <v>7.0038562356951719E-4</v>
      </c>
      <c r="N47" s="60">
        <f t="shared" si="133"/>
        <v>7.0038562356951719E-4</v>
      </c>
      <c r="O47" s="60">
        <f t="shared" si="133"/>
        <v>7.0038562356951719E-4</v>
      </c>
      <c r="P47" s="111">
        <f t="shared" si="126"/>
        <v>1427.7848749999998</v>
      </c>
      <c r="Q47" s="111">
        <f t="shared" si="126"/>
        <v>1427.7848749999998</v>
      </c>
      <c r="R47" s="111">
        <f t="shared" si="126"/>
        <v>1427.7848749999998</v>
      </c>
      <c r="S47" s="111">
        <f t="shared" si="126"/>
        <v>1427.7848749999998</v>
      </c>
      <c r="T47" s="111">
        <f t="shared" si="126"/>
        <v>1427.7848749999998</v>
      </c>
      <c r="U47" s="111">
        <f t="shared" si="126"/>
        <v>1427.7848749999998</v>
      </c>
      <c r="V47" s="111">
        <f t="shared" si="126"/>
        <v>1427.7848749999998</v>
      </c>
      <c r="W47" s="111">
        <f t="shared" si="126"/>
        <v>1427.7848749999998</v>
      </c>
      <c r="X47" s="111">
        <f t="shared" si="26"/>
        <v>1427.7848749999998</v>
      </c>
      <c r="Y47" s="111">
        <f t="shared" si="26"/>
        <v>1427.7848749999998</v>
      </c>
      <c r="Z47" s="111">
        <f t="shared" si="26"/>
        <v>1427.7848749999998</v>
      </c>
      <c r="AA47" s="111">
        <f t="shared" si="26"/>
        <v>1427.7848749999998</v>
      </c>
      <c r="AB47" s="60">
        <f>IFERROR(AB6/$B$47,".")</f>
        <v>5.8365468630793094E-5</v>
      </c>
      <c r="AC47" s="189">
        <f>IFERROR(AC6/$B$47,0)</f>
        <v>1.1194496883386117E-13</v>
      </c>
      <c r="AD47" s="49">
        <f>up_dir!BC47</f>
        <v>142778.48749999999</v>
      </c>
      <c r="AE47" s="49">
        <f>IF(E47=".",".",up_RadSpec!$F$6*AE6*$B$47)</f>
        <v>35694.621874999997</v>
      </c>
      <c r="AF47" s="49">
        <f>IF(F47=".",".",up_RadSpec!$F$6*AF6*$B$47)</f>
        <v>35694.621874999997</v>
      </c>
      <c r="AG47" s="49">
        <f>IF(G47=".",".",up_RadSpec!$F$6*AG6*$B$47)</f>
        <v>35694.621874999997</v>
      </c>
      <c r="AH47" s="49">
        <f>IF(H47=".",".",up_RadSpec!$F$6*AH6*$B$47)</f>
        <v>35694.621874999997</v>
      </c>
      <c r="AI47" s="49">
        <f>IF(I47=".",".",up_RadSpec!$F$6*AI6*$B$47)</f>
        <v>35694.621874999997</v>
      </c>
      <c r="AJ47" s="49">
        <f>IF(J47=".",".",up_RadSpec!$F$6*AJ6*$B$47)</f>
        <v>35694.621874999997</v>
      </c>
      <c r="AK47" s="49">
        <f>IF(K47=".",".",up_RadSpec!$F$6*AK6*$B$47)</f>
        <v>35694.621874999997</v>
      </c>
      <c r="AL47" s="49">
        <f>IF(L47=".",".",up_RadSpec!$F$6*AL6*$B$47)</f>
        <v>35694.621874999997</v>
      </c>
      <c r="AM47" s="49">
        <f>IF(M47=".",".",up_RadSpec!$F$6*AM6*$B$47)</f>
        <v>35694.621874999997</v>
      </c>
      <c r="AN47" s="49">
        <f>IF(N47=".",".",up_RadSpec!$F$6*AN6*$B$47)</f>
        <v>35694.621874999997</v>
      </c>
      <c r="AO47" s="49">
        <f>IF(O47=".",".",up_RadSpec!$F$6*AO6*$B$47)</f>
        <v>35694.621874999997</v>
      </c>
      <c r="AP47" s="60">
        <f t="shared" ref="AP47:BD47" si="134">IFERROR(AP6/$B$47,".")</f>
        <v>0.35019281178475853</v>
      </c>
      <c r="AQ47" s="60">
        <f t="shared" si="134"/>
        <v>3273.331057738209</v>
      </c>
      <c r="AR47" s="60">
        <f t="shared" si="134"/>
        <v>187.35513298162391</v>
      </c>
      <c r="AS47" s="60">
        <f t="shared" si="134"/>
        <v>3.4924983722425316E-5</v>
      </c>
      <c r="AT47" s="60">
        <f t="shared" si="134"/>
        <v>7.0038562356951719E-4</v>
      </c>
      <c r="AU47" s="60">
        <f t="shared" si="134"/>
        <v>7.0038562356951719E-4</v>
      </c>
      <c r="AV47" s="60">
        <f t="shared" si="134"/>
        <v>1.9659947328267149E-7</v>
      </c>
      <c r="AW47" s="60">
        <f t="shared" si="134"/>
        <v>2.0249745748115162E-7</v>
      </c>
      <c r="AX47" s="60">
        <f t="shared" si="134"/>
        <v>1.9659947328267149E-7</v>
      </c>
      <c r="AY47" s="60">
        <f t="shared" si="134"/>
        <v>1.9659947328267149E-7</v>
      </c>
      <c r="AZ47" s="60">
        <f t="shared" si="134"/>
        <v>1.9659947328267149E-7</v>
      </c>
      <c r="BA47" s="60">
        <f t="shared" si="134"/>
        <v>1.9659947328267149E-7</v>
      </c>
      <c r="BB47" s="60">
        <f t="shared" si="134"/>
        <v>2.0249745748115162E-7</v>
      </c>
      <c r="BC47" s="60">
        <f t="shared" si="134"/>
        <v>1.9659947328267149E-7</v>
      </c>
      <c r="BD47" s="60">
        <f t="shared" si="134"/>
        <v>2.0249745748115162E-7</v>
      </c>
      <c r="BE47" s="111">
        <f t="shared" si="68"/>
        <v>2.8555697499999999</v>
      </c>
      <c r="BF47" s="111">
        <f t="shared" si="68"/>
        <v>3.0549919405065471E-4</v>
      </c>
      <c r="BG47" s="111">
        <f t="shared" si="68"/>
        <v>5.3374571813737367E-3</v>
      </c>
      <c r="BH47" s="111">
        <f t="shared" si="68"/>
        <v>28632.79788324999</v>
      </c>
      <c r="BI47" s="111">
        <f t="shared" si="68"/>
        <v>1427.7848749999998</v>
      </c>
      <c r="BJ47" s="111">
        <f t="shared" si="68"/>
        <v>1427.7848749999998</v>
      </c>
      <c r="BK47" s="111">
        <f t="shared" si="68"/>
        <v>5086483.6171874991</v>
      </c>
      <c r="BL47" s="111">
        <f t="shared" si="68"/>
        <v>4938333.6089199027</v>
      </c>
      <c r="BM47" s="111">
        <f t="shared" si="68"/>
        <v>5086483.6171874991</v>
      </c>
      <c r="BN47" s="111">
        <f t="shared" si="68"/>
        <v>5086483.6171874991</v>
      </c>
      <c r="BO47" s="111">
        <f t="shared" si="68"/>
        <v>5086483.6171874991</v>
      </c>
      <c r="BP47" s="111">
        <f t="shared" si="68"/>
        <v>5086483.6171874991</v>
      </c>
      <c r="BQ47" s="111">
        <f t="shared" si="68"/>
        <v>4938333.6089199027</v>
      </c>
      <c r="BR47" s="111">
        <f t="shared" si="68"/>
        <v>5086483.6171874991</v>
      </c>
      <c r="BS47" s="111">
        <f t="shared" si="68"/>
        <v>4938333.6089199027</v>
      </c>
      <c r="BT47" s="60">
        <f>IFERROR(BT6/$B$47,".")</f>
        <v>2.2043234217658426E-8</v>
      </c>
      <c r="BU47" s="189">
        <f>IFERROR(BU6/$B$47,0)</f>
        <v>4.2278923229468865E-17</v>
      </c>
      <c r="BV47" s="49">
        <f>IF(AP47=".",".",up_RadSpec!$E$6*BV6*$B$47)</f>
        <v>71.389243750000006</v>
      </c>
      <c r="BW47" s="49">
        <f>IF(AQ47=".",".",up_RadSpec!$H$6*BW6*$B$47)</f>
        <v>7.637479851266369E-3</v>
      </c>
      <c r="BX47" s="49">
        <f>IF(AR47=".",".",up_RadSpec!$G$6*BX6*$B$47)</f>
        <v>0.1334364295343434</v>
      </c>
      <c r="BY47" s="49">
        <f>up_b2s!CC47</f>
        <v>715819.94708125002</v>
      </c>
      <c r="BZ47" s="49">
        <f>IF(AT47=".",".",up_RadSpec!$F$6*BZ6*$B$47)</f>
        <v>35694.621874999997</v>
      </c>
      <c r="CA47" s="49">
        <f>IF(AU47=".",".",up_RadSpec!$F$6*CA6*$B$47)</f>
        <v>35694.621874999997</v>
      </c>
      <c r="CB47" s="49">
        <f>IF(AV47=".",".",up_RadSpec!$F$6*CB6*$B$47)</f>
        <v>127162090.4296875</v>
      </c>
      <c r="CC47" s="49">
        <f>IF(AW47=".",".",up_RadSpec!$F$6*CC6*$B$47)</f>
        <v>123458340.22299758</v>
      </c>
      <c r="CD47" s="49">
        <f>IF(AX47=".",".",up_RadSpec!$F$6*CD6*$B$47)</f>
        <v>127162090.4296875</v>
      </c>
      <c r="CE47" s="49">
        <f>IF(AY47=".",".",up_RadSpec!$F$6*CE6*$B$47)</f>
        <v>127162090.4296875</v>
      </c>
      <c r="CF47" s="49">
        <f>IF(AZ47=".",".",up_RadSpec!$F$6*CF6*$B$47)</f>
        <v>127162090.4296875</v>
      </c>
      <c r="CG47" s="49">
        <f>IF(BA47=".",".",up_RadSpec!$F$6*CG6*$B$47)</f>
        <v>127162090.4296875</v>
      </c>
      <c r="CH47" s="49">
        <f>IF(BB47=".",".",up_RadSpec!$F$6*CH6*$B$47)</f>
        <v>123458340.22299758</v>
      </c>
      <c r="CI47" s="49">
        <f>IF(BC47=".",".",up_RadSpec!$F$6*CI6*$B$47)</f>
        <v>127162090.4296875</v>
      </c>
      <c r="CJ47" s="49">
        <f>IF(BD47=".",".",up_RadSpec!$F$6*CJ6*$B$47)</f>
        <v>123458340.22299758</v>
      </c>
      <c r="CK47" s="49">
        <f t="shared" si="128"/>
        <v>1134134843.9682667</v>
      </c>
      <c r="CL47" s="60">
        <f>IFERROR(CL6/$B$47,".")</f>
        <v>3.8521209296323439E-3</v>
      </c>
      <c r="CM47" s="60" t="str">
        <f>IFERROR(CM6,".")</f>
        <v>.</v>
      </c>
      <c r="CN47" s="60">
        <f t="shared" ref="CN47:CZ47" si="135">IFERROR(CN6/$B$47,".")</f>
        <v>42.180724179474169</v>
      </c>
      <c r="CO47" s="60">
        <f t="shared" si="135"/>
        <v>1.741905400061233E-4</v>
      </c>
      <c r="CP47" s="60">
        <f t="shared" si="135"/>
        <v>0.14007712471390343</v>
      </c>
      <c r="CQ47" s="60">
        <f t="shared" si="135"/>
        <v>0.14007712471390343</v>
      </c>
      <c r="CR47" s="60">
        <f t="shared" si="135"/>
        <v>2.8015424942780684E-2</v>
      </c>
      <c r="CS47" s="60">
        <f t="shared" si="135"/>
        <v>2.8855887691064102E-2</v>
      </c>
      <c r="CT47" s="60">
        <f t="shared" si="135"/>
        <v>2.8015424942780684E-2</v>
      </c>
      <c r="CU47" s="60">
        <f t="shared" si="135"/>
        <v>2.8015424942780684E-2</v>
      </c>
      <c r="CV47" s="60">
        <f t="shared" si="135"/>
        <v>2.8015424942780684E-2</v>
      </c>
      <c r="CW47" s="60">
        <f t="shared" si="135"/>
        <v>2.8015424942780684E-2</v>
      </c>
      <c r="CX47" s="60">
        <f t="shared" si="135"/>
        <v>2.8855887691064102E-2</v>
      </c>
      <c r="CY47" s="60">
        <f t="shared" si="135"/>
        <v>2.8015424942780684E-2</v>
      </c>
      <c r="CZ47" s="60">
        <f t="shared" si="135"/>
        <v>2.8855887691064102E-2</v>
      </c>
      <c r="DA47" s="111">
        <f t="shared" si="76"/>
        <v>259.59725000000003</v>
      </c>
      <c r="DB47" s="111" t="str">
        <f t="shared" si="70"/>
        <v>.</v>
      </c>
      <c r="DC47" s="111">
        <f t="shared" si="70"/>
        <v>2.3707511415525111E-2</v>
      </c>
      <c r="DD47" s="111">
        <f t="shared" si="70"/>
        <v>5740.8398869700222</v>
      </c>
      <c r="DE47" s="111">
        <f t="shared" si="70"/>
        <v>7.1389243749999993</v>
      </c>
      <c r="DF47" s="111">
        <f t="shared" si="70"/>
        <v>7.1389243749999993</v>
      </c>
      <c r="DG47" s="111">
        <f t="shared" si="70"/>
        <v>35.694621874999996</v>
      </c>
      <c r="DH47" s="111">
        <f t="shared" si="70"/>
        <v>34.654972694174759</v>
      </c>
      <c r="DI47" s="111">
        <f t="shared" si="70"/>
        <v>35.694621874999996</v>
      </c>
      <c r="DJ47" s="111">
        <f t="shared" si="70"/>
        <v>35.694621874999996</v>
      </c>
      <c r="DK47" s="111">
        <f t="shared" si="70"/>
        <v>35.694621874999996</v>
      </c>
      <c r="DL47" s="111">
        <f t="shared" si="70"/>
        <v>35.694621874999996</v>
      </c>
      <c r="DM47" s="111">
        <f t="shared" si="70"/>
        <v>34.654972694174759</v>
      </c>
      <c r="DN47" s="111">
        <f t="shared" si="70"/>
        <v>35.694621874999996</v>
      </c>
      <c r="DO47" s="111">
        <f t="shared" si="70"/>
        <v>34.654972694174759</v>
      </c>
      <c r="DP47" s="60">
        <f>IFERROR(DP6/$B$47,".")</f>
        <v>1.5790625545775483E-4</v>
      </c>
      <c r="DQ47" s="189">
        <f t="shared" ref="DQ47" si="136">IFERROR(DQ6/$B$47,0)</f>
        <v>3.0286419796797382E-16</v>
      </c>
      <c r="DR47" s="49">
        <f>IF(CL47=".",".",up_RadSpec!$I$6*DR6*$B$47)</f>
        <v>6489.9312499999996</v>
      </c>
      <c r="DS47" s="49" t="str">
        <f>IF(CM47=".",".",up_RadSpec!$H$6*DS6)</f>
        <v>.</v>
      </c>
      <c r="DT47" s="49">
        <f>IF(CN47=".",".",up_RadSpec!$M$6*DT6*$B$47)</f>
        <v>0.59268778538812783</v>
      </c>
      <c r="DU47" s="49">
        <f>up_b2w!CC47</f>
        <v>143520.9971742506</v>
      </c>
      <c r="DV47" s="49">
        <f>IF(CP47=".",".",up_RadSpec!$F$6*DV6*$B$47)</f>
        <v>178.47310937500001</v>
      </c>
      <c r="DW47" s="49">
        <f>IF(CQ47=".",".",up_RadSpec!$F$6*DW6*$B$47)</f>
        <v>178.47310937500001</v>
      </c>
      <c r="DX47" s="49">
        <f>IF(CR47=".",".",up_RadSpec!$F$6*DX6*$B$47)</f>
        <v>892.36554687499995</v>
      </c>
      <c r="DY47" s="49">
        <f>IF(CS47=".",".",up_RadSpec!$F$6*DY6*$B$47)</f>
        <v>866.37431735436894</v>
      </c>
      <c r="DZ47" s="49">
        <f>IF(CT47=".",".",up_RadSpec!$F$6*DZ6*$B$47)</f>
        <v>892.36554687499995</v>
      </c>
      <c r="EA47" s="49">
        <f>IF(CU47=".",".",up_RadSpec!$F$6*EA6*$B$47)</f>
        <v>892.36554687499995</v>
      </c>
      <c r="EB47" s="49">
        <f>IF(CV47=".",".",up_RadSpec!$F$6*EB6*$B$47)</f>
        <v>892.36554687499995</v>
      </c>
      <c r="EC47" s="49">
        <f>IF(CW47=".",".",up_RadSpec!$F$6*EC6*$B$47)</f>
        <v>892.36554687499995</v>
      </c>
      <c r="ED47" s="49">
        <f>IF(CX47=".",".",up_RadSpec!$F$6*ED6*$B$47)</f>
        <v>866.37431735436894</v>
      </c>
      <c r="EE47" s="49">
        <f>IF(CY47=".",".",up_RadSpec!$F$6*EE6*$B$47)</f>
        <v>892.36554687499995</v>
      </c>
      <c r="EF47" s="49">
        <f>IF(CZ47=".",".",up_RadSpec!$F$6*EF6*$B$47)</f>
        <v>866.37431735436894</v>
      </c>
      <c r="EG47" s="49">
        <f t="shared" si="131"/>
        <v>158321.78356409905</v>
      </c>
      <c r="EH47" s="60">
        <f>IFERROR(EH6/$B$47,".")</f>
        <v>1.0565817406991574E-2</v>
      </c>
      <c r="EI47" s="60">
        <f>IFERROR(EI6/$B$47,".")</f>
        <v>67.489158687158664</v>
      </c>
      <c r="EJ47" s="60">
        <f>IFERROR(EJ6/$B$47,".")</f>
        <v>1.0564163526204692E-2</v>
      </c>
      <c r="EK47" s="189">
        <f t="shared" ref="EK47" si="137">IFERROR(EK6/$B$47,0)</f>
        <v>2.0262065643260603E-14</v>
      </c>
      <c r="EL47" s="49">
        <f>IF(EH47=".",".",up_RadSpec!$H$6*EL6*$B47)</f>
        <v>2366.1207682291661</v>
      </c>
      <c r="EM47" s="49">
        <f>IF(EI47=".",".",up_RadSpec!$K$6*EM6*$B47)</f>
        <v>0.37042986586757992</v>
      </c>
      <c r="EN47" s="49">
        <f t="shared" si="60"/>
        <v>2366.4911980950337</v>
      </c>
    </row>
    <row r="48" spans="1:144" x14ac:dyDescent="0.25">
      <c r="A48" s="76" t="s">
        <v>21</v>
      </c>
      <c r="B48" s="76" t="s">
        <v>1057</v>
      </c>
      <c r="C48" s="239"/>
      <c r="D48" s="58">
        <f t="shared" ref="D48:O48" si="138">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1.8365470139782076E-5</v>
      </c>
      <c r="E48" s="58">
        <f t="shared" si="138"/>
        <v>7.3461880559128306E-5</v>
      </c>
      <c r="F48" s="58">
        <f t="shared" si="138"/>
        <v>7.3461880559128306E-5</v>
      </c>
      <c r="G48" s="58">
        <f t="shared" si="138"/>
        <v>7.3461880559128306E-5</v>
      </c>
      <c r="H48" s="58">
        <f t="shared" si="138"/>
        <v>7.3461880559128306E-5</v>
      </c>
      <c r="I48" s="58">
        <f t="shared" si="138"/>
        <v>7.3461880559128306E-5</v>
      </c>
      <c r="J48" s="58">
        <f t="shared" si="138"/>
        <v>7.3461880559128306E-5</v>
      </c>
      <c r="K48" s="58">
        <f t="shared" si="138"/>
        <v>7.3461880559128306E-5</v>
      </c>
      <c r="L48" s="58">
        <f t="shared" si="138"/>
        <v>7.3461880559128306E-5</v>
      </c>
      <c r="M48" s="58">
        <f t="shared" si="138"/>
        <v>7.3461880559128306E-5</v>
      </c>
      <c r="N48" s="58">
        <f t="shared" si="138"/>
        <v>7.3461880559128306E-5</v>
      </c>
      <c r="O48" s="58">
        <f t="shared" si="138"/>
        <v>7.3461880559128306E-5</v>
      </c>
      <c r="P48" s="168"/>
      <c r="Q48" s="168"/>
      <c r="R48" s="168"/>
      <c r="S48" s="168"/>
      <c r="T48" s="168"/>
      <c r="U48" s="168"/>
      <c r="V48" s="168"/>
      <c r="W48" s="111"/>
      <c r="X48" s="111">
        <f t="shared" si="26"/>
        <v>13612.502053974997</v>
      </c>
      <c r="Y48" s="111">
        <f t="shared" si="26"/>
        <v>13612.502053974997</v>
      </c>
      <c r="Z48" s="111">
        <f t="shared" si="26"/>
        <v>13612.502053974997</v>
      </c>
      <c r="AA48" s="111">
        <f t="shared" si="26"/>
        <v>13612.502053974997</v>
      </c>
      <c r="AB48" s="59">
        <f t="shared" ref="AB48" si="139">IFERROR(1/SUM(IFERROR(1/SUMIF(AB49,"&lt;&gt;.",AB49),0),IFERROR(1/SUMIF(AB50,"&lt;&gt;.",AB50),0),IFERROR(1/SUMIF(AB51,"&lt;&gt;.",AB51),0),IFERROR(1/SUMIF(AB52,"&lt;&gt;.",AB52),0),IFERROR(1/SUMIF(AB53,"&lt;&gt;.",AB53),0),IFERROR(1/SUMIF(AB54,"&lt;&gt;.",AB54),0),IFERROR(1/SUMIF(AB55,"&lt;&gt;.",AB55),0),IFERROR(1/SUMIF(AB56,"&lt;&gt;.",AB56),0),IFERROR(1/SUMIF(AB57,"&lt;&gt;.",AB57),0),IFERROR(1/SUMIF(AB58,"&lt;&gt;.",AB58),0),IFERROR(1/SUMIF(AB59,"&lt;&gt;.",AB59),0),IFERROR(1/SUMIF(AB60,"&lt;&gt;.",AB60),0),IFERROR(1/SUMIF(AB61,"&lt;&gt;.",AB61),0),IFERROR(1/SUMIF(AB62,"&lt;&gt;.",AB62),0)),".")</f>
        <v>6.1218233799273569E-6</v>
      </c>
      <c r="AC48" s="190">
        <f>AB48*(0.0000000000028)*up_RadSpec!$AY23*up_RadSpec!$AF23</f>
        <v>1.9369449174090162E-14</v>
      </c>
      <c r="AD48" s="47">
        <f>IFERROR(SUM(AD49:AD62),".")</f>
        <v>1361250.2053975</v>
      </c>
      <c r="AE48" s="47">
        <f t="shared" ref="AE48:AO48" si="140">IFERROR(SUM(AE49:AE62),".")</f>
        <v>340312.55134937499</v>
      </c>
      <c r="AF48" s="47">
        <f t="shared" si="140"/>
        <v>340312.55134937499</v>
      </c>
      <c r="AG48" s="47">
        <f t="shared" si="140"/>
        <v>340312.55134937499</v>
      </c>
      <c r="AH48" s="47">
        <f t="shared" si="140"/>
        <v>340312.55134937499</v>
      </c>
      <c r="AI48" s="47">
        <f t="shared" si="140"/>
        <v>340312.55134937499</v>
      </c>
      <c r="AJ48" s="47">
        <f t="shared" si="140"/>
        <v>340312.55134937499</v>
      </c>
      <c r="AK48" s="47">
        <f t="shared" si="140"/>
        <v>340312.55134937499</v>
      </c>
      <c r="AL48" s="47">
        <f t="shared" si="140"/>
        <v>340312.55134937499</v>
      </c>
      <c r="AM48" s="47">
        <f t="shared" si="140"/>
        <v>340312.55134937499</v>
      </c>
      <c r="AN48" s="47">
        <f t="shared" si="140"/>
        <v>340312.55134937499</v>
      </c>
      <c r="AO48" s="47">
        <f t="shared" si="140"/>
        <v>340312.55134937499</v>
      </c>
      <c r="AP48" s="58">
        <f t="shared" ref="AP48:BD48" si="141">IFERROR(1/SUM(IFERROR(1/SUMIF(AP49,"&lt;&gt;.",AP49),0),IFERROR(1/SUMIF(AP50,"&lt;&gt;.",AP50),0),IFERROR(1/SUMIF(AP51,"&lt;&gt;.",AP51),0),IFERROR(1/SUMIF(AP52,"&lt;&gt;.",AP52),0),IFERROR(1/SUMIF(AP53,"&lt;&gt;.",AP53),0),IFERROR(1/SUMIF(AP54,"&lt;&gt;.",AP54),0),IFERROR(1/SUMIF(AP55,"&lt;&gt;.",AP55),0),IFERROR(1/SUMIF(AP56,"&lt;&gt;.",AP56),0),IFERROR(1/SUMIF(AP57,"&lt;&gt;.",AP57),0),IFERROR(1/SUMIF(AP58,"&lt;&gt;.",AP58),0),IFERROR(1/SUMIF(AP59,"&lt;&gt;.",AP59),0),IFERROR(1/SUMIF(AP60,"&lt;&gt;.",AP60),0),IFERROR(1/SUMIF(AP61,"&lt;&gt;.",AP61),0),IFERROR(1/SUMIF(AP62,"&lt;&gt;.",AP62),0)),".")</f>
        <v>3.6730940279564153E-2</v>
      </c>
      <c r="AQ48" s="58">
        <f t="shared" si="141"/>
        <v>343.33236877210391</v>
      </c>
      <c r="AR48" s="58">
        <f t="shared" si="141"/>
        <v>24.887751357328153</v>
      </c>
      <c r="AS48" s="58">
        <f t="shared" si="141"/>
        <v>3.6632033788335657E-6</v>
      </c>
      <c r="AT48" s="58">
        <f t="shared" si="141"/>
        <v>7.3461880559128306E-5</v>
      </c>
      <c r="AU48" s="58">
        <f t="shared" si="141"/>
        <v>7.3461880559128306E-5</v>
      </c>
      <c r="AV48" s="58">
        <f t="shared" si="141"/>
        <v>2.0620878753439526E-8</v>
      </c>
      <c r="AW48" s="58">
        <f t="shared" si="141"/>
        <v>2.1239505116042711E-8</v>
      </c>
      <c r="AX48" s="112">
        <f t="shared" si="141"/>
        <v>2.0620878753439526E-8</v>
      </c>
      <c r="AY48" s="58">
        <f t="shared" si="141"/>
        <v>2.0620878753439526E-8</v>
      </c>
      <c r="AZ48" s="58">
        <f t="shared" si="141"/>
        <v>2.0620878753439526E-8</v>
      </c>
      <c r="BA48" s="112">
        <f t="shared" si="141"/>
        <v>2.0620878753439526E-8</v>
      </c>
      <c r="BB48" s="58">
        <f t="shared" si="141"/>
        <v>2.1239505116042711E-8</v>
      </c>
      <c r="BC48" s="58">
        <f t="shared" si="141"/>
        <v>2.0620878753439526E-8</v>
      </c>
      <c r="BD48" s="58">
        <f t="shared" si="141"/>
        <v>2.1239505116042711E-8</v>
      </c>
      <c r="BE48" s="111">
        <f t="shared" si="68"/>
        <v>27.225004107949996</v>
      </c>
      <c r="BF48" s="111">
        <f t="shared" si="68"/>
        <v>2.9126295419695104E-3</v>
      </c>
      <c r="BG48" s="111">
        <f t="shared" si="68"/>
        <v>4.0180407849725319E-2</v>
      </c>
      <c r="BH48" s="111">
        <f t="shared" si="68"/>
        <v>272985.11619041453</v>
      </c>
      <c r="BI48" s="111">
        <f t="shared" si="68"/>
        <v>13612.502053974997</v>
      </c>
      <c r="BJ48" s="111">
        <f t="shared" si="68"/>
        <v>13612.502053974997</v>
      </c>
      <c r="BK48" s="111">
        <f t="shared" si="68"/>
        <v>48494538.567285925</v>
      </c>
      <c r="BL48" s="111">
        <f t="shared" si="68"/>
        <v>47082076.278918378</v>
      </c>
      <c r="BM48" s="111">
        <f t="shared" si="68"/>
        <v>48494538.567285925</v>
      </c>
      <c r="BN48" s="111">
        <f t="shared" si="68"/>
        <v>48494538.567285925</v>
      </c>
      <c r="BO48" s="111">
        <f t="shared" si="68"/>
        <v>48494538.567285925</v>
      </c>
      <c r="BP48" s="111">
        <f t="shared" si="68"/>
        <v>48494538.567285925</v>
      </c>
      <c r="BQ48" s="111">
        <f t="shared" si="68"/>
        <v>47082076.278918378</v>
      </c>
      <c r="BR48" s="111">
        <f t="shared" si="68"/>
        <v>48494538.567285925</v>
      </c>
      <c r="BS48" s="111">
        <f t="shared" si="68"/>
        <v>47082076.278918378</v>
      </c>
      <c r="BT48" s="59">
        <f>IFERROR(1/SUM(IFERROR(1/SUMIF(BT49,"&lt;&gt;.",BT49),0),IFERROR(1/SUMIF(BT50,"&lt;&gt;.",BT50),0),IFERROR(1/SUMIF(BT51,"&lt;&gt;.",BT51),0),IFERROR(1/SUMIF(BT52,"&lt;&gt;.",BT52),0),IFERROR(1/SUMIF(BT53,"&lt;&gt;.",BT53),0),IFERROR(1/SUMIF(BT54,"&lt;&gt;.",BT54),0),IFERROR(1/SUMIF(BT55,"&lt;&gt;.",BT55),0),IFERROR(1/SUMIF(BT56,"&lt;&gt;.",BT56),0),IFERROR(1/SUMIF(BT57,"&lt;&gt;.",BT57),0),IFERROR(1/SUMIF(BT58,"&lt;&gt;.",BT58),0),IFERROR(1/SUMIF(BT59,"&lt;&gt;.",BT59),0),IFERROR(1/SUMIF(BT60,"&lt;&gt;.",BT60),0),IFERROR(1/SUMIF(BT61,"&lt;&gt;.",BT61),0),IFERROR(1/SUMIF(BT62,"&lt;&gt;.",BT62),0)),".")</f>
        <v>2.3120655033175055E-9</v>
      </c>
      <c r="BU48" s="190">
        <f>BT48*(0.0000000000028)*up_RadSpec!$AY23*up_RadSpec!$AF23</f>
        <v>7.3153752524965881E-18</v>
      </c>
      <c r="BV48" s="47">
        <f t="shared" ref="BV48" si="142">IFERROR(SUM(BV49:BV62),".")</f>
        <v>680.62510269874997</v>
      </c>
      <c r="BW48" s="47">
        <f t="shared" ref="BW48:CK48" si="143">IFERROR(SUM(BW49:BW62),".")</f>
        <v>7.2815738549237771E-2</v>
      </c>
      <c r="BX48" s="47">
        <f t="shared" si="143"/>
        <v>1.0045101962431329</v>
      </c>
      <c r="BY48" s="47">
        <f t="shared" si="143"/>
        <v>6824627.9047603663</v>
      </c>
      <c r="BZ48" s="47">
        <f t="shared" si="143"/>
        <v>340312.55134937499</v>
      </c>
      <c r="CA48" s="47">
        <f t="shared" si="143"/>
        <v>340312.55134937499</v>
      </c>
      <c r="CB48" s="47">
        <f t="shared" si="143"/>
        <v>1212363464.1821485</v>
      </c>
      <c r="CC48" s="47">
        <f t="shared" si="143"/>
        <v>1177051906.9729598</v>
      </c>
      <c r="CD48" s="47">
        <f t="shared" si="143"/>
        <v>1212363464.1821485</v>
      </c>
      <c r="CE48" s="47">
        <f t="shared" si="143"/>
        <v>1212363464.1821485</v>
      </c>
      <c r="CF48" s="47">
        <f t="shared" si="143"/>
        <v>1212363464.1821485</v>
      </c>
      <c r="CG48" s="47">
        <f t="shared" si="143"/>
        <v>1212363464.1821485</v>
      </c>
      <c r="CH48" s="47">
        <f t="shared" si="143"/>
        <v>1177051906.9729598</v>
      </c>
      <c r="CI48" s="47">
        <f t="shared" si="143"/>
        <v>1212363464.1821485</v>
      </c>
      <c r="CJ48" s="47">
        <f t="shared" si="143"/>
        <v>1177051906.9729598</v>
      </c>
      <c r="CK48" s="47">
        <f t="shared" si="143"/>
        <v>10812842440.721657</v>
      </c>
      <c r="CL48" s="59">
        <f t="shared" ref="CL48:CZ48" si="144">IFERROR(1/SUM(IFERROR(1/SUMIF(CL49,"&lt;&gt;.",CL49),0),IFERROR(1/SUMIF(CL50,"&lt;&gt;.",CL50),0),IFERROR(1/SUMIF(CL51,"&lt;&gt;.",CL51),0),IFERROR(1/SUMIF(CL52,"&lt;&gt;.",CL52),0),IFERROR(1/SUMIF(CL53,"&lt;&gt;.",CL53),0),IFERROR(1/SUMIF(CL54,"&lt;&gt;.",CL54),0),IFERROR(1/SUMIF(CL55,"&lt;&gt;.",CL55),0),IFERROR(1/SUMIF(CL56,"&lt;&gt;.",CL56),0),IFERROR(1/SUMIF(CL57,"&lt;&gt;.",CL57),0),IFERROR(1/SUMIF(CL58,"&lt;&gt;.",CL58),0),IFERROR(1/SUMIF(CL59,"&lt;&gt;.",CL59),0),IFERROR(1/SUMIF(CL60,"&lt;&gt;.",CL60),0),IFERROR(1/SUMIF(CL61,"&lt;&gt;.",CL61),0),IFERROR(1/SUMIF(CL62,"&lt;&gt;.",CL62),0)),".")</f>
        <v>4.040403430752056E-4</v>
      </c>
      <c r="CM48" s="58">
        <f t="shared" si="144"/>
        <v>9.959072927753089E-3</v>
      </c>
      <c r="CN48" s="59">
        <f t="shared" si="144"/>
        <v>4.4242417566735019</v>
      </c>
      <c r="CO48" s="59">
        <f t="shared" si="144"/>
        <v>1.8270455894344583E-5</v>
      </c>
      <c r="CP48" s="59">
        <f t="shared" si="144"/>
        <v>1.4692376111825655E-2</v>
      </c>
      <c r="CQ48" s="59">
        <f t="shared" si="144"/>
        <v>1.4692376111825655E-2</v>
      </c>
      <c r="CR48" s="59">
        <f t="shared" si="144"/>
        <v>2.9384752223651318E-3</v>
      </c>
      <c r="CS48" s="59">
        <f t="shared" si="144"/>
        <v>3.0266294790360858E-3</v>
      </c>
      <c r="CT48" s="59">
        <f t="shared" si="144"/>
        <v>2.9384752223651318E-3</v>
      </c>
      <c r="CU48" s="59">
        <f t="shared" si="144"/>
        <v>2.9384752223651318E-3</v>
      </c>
      <c r="CV48" s="59">
        <f t="shared" si="144"/>
        <v>2.9384752223651318E-3</v>
      </c>
      <c r="CW48" s="59">
        <f t="shared" si="144"/>
        <v>2.9384752223651318E-3</v>
      </c>
      <c r="CX48" s="59">
        <f t="shared" si="144"/>
        <v>3.0266294790360858E-3</v>
      </c>
      <c r="CY48" s="59">
        <f t="shared" si="144"/>
        <v>2.9384752223651318E-3</v>
      </c>
      <c r="CZ48" s="59">
        <f t="shared" si="144"/>
        <v>3.0266294790360858E-3</v>
      </c>
      <c r="DA48" s="111">
        <f t="shared" si="76"/>
        <v>2475.0003734500001</v>
      </c>
      <c r="DB48" s="111">
        <f t="shared" si="70"/>
        <v>100.41095263127212</v>
      </c>
      <c r="DC48" s="111">
        <f t="shared" si="70"/>
        <v>0.22602743136529677</v>
      </c>
      <c r="DD48" s="111">
        <f t="shared" si="70"/>
        <v>54733.171727233086</v>
      </c>
      <c r="DE48" s="111">
        <f t="shared" si="70"/>
        <v>68.06251026987502</v>
      </c>
      <c r="DF48" s="111">
        <f t="shared" si="70"/>
        <v>68.06251026987502</v>
      </c>
      <c r="DG48" s="111">
        <f t="shared" si="70"/>
        <v>340.31255134937498</v>
      </c>
      <c r="DH48" s="111">
        <f t="shared" si="70"/>
        <v>330.40053529065534</v>
      </c>
      <c r="DI48" s="111">
        <f t="shared" si="70"/>
        <v>340.31255134937498</v>
      </c>
      <c r="DJ48" s="111">
        <f t="shared" si="70"/>
        <v>340.31255134937498</v>
      </c>
      <c r="DK48" s="111">
        <f t="shared" si="70"/>
        <v>340.31255134937498</v>
      </c>
      <c r="DL48" s="111">
        <f t="shared" si="70"/>
        <v>340.31255134937498</v>
      </c>
      <c r="DM48" s="111">
        <f t="shared" si="70"/>
        <v>330.40053529065534</v>
      </c>
      <c r="DN48" s="111">
        <f t="shared" si="70"/>
        <v>340.31255134937498</v>
      </c>
      <c r="DO48" s="111">
        <f t="shared" si="70"/>
        <v>330.40053529065534</v>
      </c>
      <c r="DP48" s="59">
        <f>IFERROR(1/SUM(IFERROR(1/SUMIF(DP49,"&lt;&gt;.",DP49),0),IFERROR(1/SUMIF(DP50,"&lt;&gt;.",DP50),0),IFERROR(1/SUMIF(DP51,"&lt;&gt;.",DP51),0),IFERROR(1/SUMIF(DP52,"&lt;&gt;.",DP52),0),IFERROR(1/SUMIF(DP53,"&lt;&gt;.",DP53),0),IFERROR(1/SUMIF(DP54,"&lt;&gt;.",DP54),0),IFERROR(1/SUMIF(DP55,"&lt;&gt;.",DP55),0),IFERROR(1/SUMIF(DP56,"&lt;&gt;.",DP56),0),IFERROR(1/SUMIF(DP57,"&lt;&gt;.",DP57),0),IFERROR(1/SUMIF(DP58,"&lt;&gt;.",DP58),0),IFERROR(1/SUMIF(DP59,"&lt;&gt;.",DP59),0),IFERROR(1/SUMIF(DP60,"&lt;&gt;.",DP60),0),IFERROR(1/SUMIF(DP61,"&lt;&gt;.",DP61),0),IFERROR(1/SUMIF(DP62,"&lt;&gt;.",DP62),0)),".")</f>
        <v>1.653493805190355E-5</v>
      </c>
      <c r="DQ48" s="190">
        <f>DP48*(0.0000000000000028)*up_RadSpec!$AY23*up_RadSpec!$AF23</f>
        <v>5.2316543996222833E-17</v>
      </c>
      <c r="DR48" s="47">
        <f t="shared" ref="DR48" si="145">IFERROR(SUM(DR49:DR62),".")</f>
        <v>61875.009336249997</v>
      </c>
      <c r="DS48" s="47">
        <f t="shared" ref="DS48:EG48" si="146">IFERROR(SUM(DS49:DS62),".")</f>
        <v>2510.273815781803</v>
      </c>
      <c r="DT48" s="47">
        <f t="shared" si="146"/>
        <v>5.6506857841324214</v>
      </c>
      <c r="DU48" s="47">
        <f t="shared" si="146"/>
        <v>1368329.2931808273</v>
      </c>
      <c r="DV48" s="47">
        <f t="shared" si="146"/>
        <v>1701.562756746875</v>
      </c>
      <c r="DW48" s="47">
        <f t="shared" si="146"/>
        <v>1701.562756746875</v>
      </c>
      <c r="DX48" s="47">
        <f t="shared" si="146"/>
        <v>8507.8137837343747</v>
      </c>
      <c r="DY48" s="47">
        <f t="shared" si="146"/>
        <v>8260.0133822663847</v>
      </c>
      <c r="DZ48" s="47">
        <f t="shared" si="146"/>
        <v>8507.8137837343747</v>
      </c>
      <c r="EA48" s="47">
        <f t="shared" si="146"/>
        <v>8507.8137837343747</v>
      </c>
      <c r="EB48" s="47">
        <f t="shared" si="146"/>
        <v>8507.8137837343747</v>
      </c>
      <c r="EC48" s="47">
        <f t="shared" si="146"/>
        <v>8507.8137837343747</v>
      </c>
      <c r="ED48" s="47">
        <f t="shared" si="146"/>
        <v>8260.0133822663847</v>
      </c>
      <c r="EE48" s="47">
        <f t="shared" si="146"/>
        <v>8507.8137837343747</v>
      </c>
      <c r="EF48" s="47">
        <f t="shared" si="146"/>
        <v>8260.0133822663847</v>
      </c>
      <c r="EG48" s="47">
        <f t="shared" si="146"/>
        <v>1511950.2753813432</v>
      </c>
      <c r="EH48" s="59">
        <f>IFERROR(1/SUM(IFERROR(1/SUMIF(EH49,"&lt;&gt;.",EH49),0),IFERROR(1/SUMIF(EH50,"&lt;&gt;.",EH50),0),IFERROR(1/SUMIF(EH51,"&lt;&gt;.",EH51),0),IFERROR(1/SUMIF(EH52,"&lt;&gt;.",EH52),0),IFERROR(1/SUMIF(EH53,"&lt;&gt;.",EH53),0),IFERROR(1/SUMIF(EH54,"&lt;&gt;.",EH54),0),IFERROR(1/SUMIF(EH55,"&lt;&gt;.",EH55),0),IFERROR(1/SUMIF(EH56,"&lt;&gt;.",EH56),0),IFERROR(1/SUMIF(EH57,"&lt;&gt;.",EH57),0),IFERROR(1/SUMIF(EH58,"&lt;&gt;.",EH58),0),IFERROR(1/SUMIF(EH59,"&lt;&gt;.",EH59),0),IFERROR(1/SUMIF(EH60,"&lt;&gt;.",EH60),0),IFERROR(1/SUMIF(EH61,"&lt;&gt;.",EH61),0),IFERROR(1/SUMIF(EH62,"&lt;&gt;.",EH62),0)),".")</f>
        <v>1.1082249410062784E-3</v>
      </c>
      <c r="EI48" s="59">
        <f>IFERROR(1/SUM(IFERROR(1/SUMIF(EI49,"&lt;&gt;.",EI49),0),IFERROR(1/SUMIF(EI50,"&lt;&gt;.",EI50),0),IFERROR(1/SUMIF(EI51,"&lt;&gt;.",EI51),0),IFERROR(1/SUMIF(EI52,"&lt;&gt;.",EI52),0),IFERROR(1/SUMIF(EI53,"&lt;&gt;.",EI53),0),IFERROR(1/SUMIF(EI54,"&lt;&gt;.",EI54),0),IFERROR(1/SUMIF(EI55,"&lt;&gt;.",EI55),0),IFERROR(1/SUMIF(EI56,"&lt;&gt;.",EI56),0),IFERROR(1/SUMIF(EI57,"&lt;&gt;.",EI57),0),IFERROR(1/SUMIF(EI58,"&lt;&gt;.",EI58),0),IFERROR(1/SUMIF(EI59,"&lt;&gt;.",EI59),0),IFERROR(1/SUMIF(EI60,"&lt;&gt;.",EI60),0),IFERROR(1/SUMIF(EI61,"&lt;&gt;.",EI61),0),IFERROR(1/SUMIF(EI62,"&lt;&gt;.",EI62),0)),".")</f>
        <v>7.0787868106776024</v>
      </c>
      <c r="EJ48" s="59">
        <f>IFERROR(1/SUM(IFERROR(1/SUMIF(EJ49,"&lt;&gt;.",EJ49),0),IFERROR(1/SUMIF(EJ50,"&lt;&gt;.",EJ50),0),IFERROR(1/SUMIF(EJ51,"&lt;&gt;.",EJ51),0),IFERROR(1/SUMIF(EJ52,"&lt;&gt;.",EJ52),0),IFERROR(1/SUMIF(EJ53,"&lt;&gt;.",EJ53),0),IFERROR(1/SUMIF(EJ54,"&lt;&gt;.",EJ54),0),IFERROR(1/SUMIF(EJ55,"&lt;&gt;.",EJ55),0),IFERROR(1/SUMIF(EJ56,"&lt;&gt;.",EJ56),0),IFERROR(1/SUMIF(EJ57,"&lt;&gt;.",EJ57),0),IFERROR(1/SUMIF(EJ58,"&lt;&gt;.",EJ58),0),IFERROR(1/SUMIF(EJ59,"&lt;&gt;.",EJ59),0),IFERROR(1/SUMIF(EJ60,"&lt;&gt;.",EJ60),0),IFERROR(1/SUMIF(EJ61,"&lt;&gt;.",EJ61),0),IFERROR(1/SUMIF(EJ62,"&lt;&gt;.",EJ62),0)),".")</f>
        <v>1.1080514691520081E-3</v>
      </c>
      <c r="EK48" s="190">
        <f>EJ48*(0.0000000000000028)*up_RadSpec!$AY23*up_RadSpec!$AF23</f>
        <v>3.5058748483969544E-15</v>
      </c>
      <c r="EL48" s="47">
        <f t="shared" ref="EL48" si="147">IFERROR(SUM(EL49:EL62),".")</f>
        <v>22558.597153841136</v>
      </c>
      <c r="EM48" s="47">
        <f t="shared" ref="EM48:EN48" si="148">IFERROR(SUM(EM49:EM62),".")</f>
        <v>3.5316786150827628</v>
      </c>
      <c r="EN48" s="47">
        <f t="shared" si="148"/>
        <v>22562.128832456227</v>
      </c>
    </row>
    <row r="49" spans="1:144" x14ac:dyDescent="0.25">
      <c r="A49" s="77" t="s">
        <v>1086</v>
      </c>
      <c r="B49" s="42">
        <v>1</v>
      </c>
      <c r="C49" s="238"/>
      <c r="D49" s="60">
        <f t="shared" ref="D49:O49" si="149">IFERROR(D23/$B49,".")</f>
        <v>1.6528925619834712E-4</v>
      </c>
      <c r="E49" s="60">
        <f t="shared" si="149"/>
        <v>6.6115702479338848E-4</v>
      </c>
      <c r="F49" s="60">
        <f t="shared" si="149"/>
        <v>6.6115702479338848E-4</v>
      </c>
      <c r="G49" s="60">
        <f t="shared" si="149"/>
        <v>6.6115702479338848E-4</v>
      </c>
      <c r="H49" s="60">
        <f t="shared" si="149"/>
        <v>6.6115702479338848E-4</v>
      </c>
      <c r="I49" s="60">
        <f t="shared" si="149"/>
        <v>6.6115702479338848E-4</v>
      </c>
      <c r="J49" s="60">
        <f t="shared" si="149"/>
        <v>6.6115702479338848E-4</v>
      </c>
      <c r="K49" s="60">
        <f t="shared" si="149"/>
        <v>6.6115702479338848E-4</v>
      </c>
      <c r="L49" s="60">
        <f t="shared" si="149"/>
        <v>6.6115702479338848E-4</v>
      </c>
      <c r="M49" s="60">
        <f t="shared" si="149"/>
        <v>6.6115702479338848E-4</v>
      </c>
      <c r="N49" s="60">
        <f t="shared" si="149"/>
        <v>6.6115702479338848E-4</v>
      </c>
      <c r="O49" s="60">
        <f t="shared" si="149"/>
        <v>6.6115702479338848E-4</v>
      </c>
      <c r="P49" s="111">
        <f t="shared" ref="P49:W62" si="150">IFERROR(1/H49,".")</f>
        <v>1512.5</v>
      </c>
      <c r="Q49" s="111">
        <f t="shared" si="150"/>
        <v>1512.5</v>
      </c>
      <c r="R49" s="111">
        <f t="shared" si="150"/>
        <v>1512.5</v>
      </c>
      <c r="S49" s="111">
        <f t="shared" si="150"/>
        <v>1512.5</v>
      </c>
      <c r="T49" s="111">
        <f t="shared" si="150"/>
        <v>1512.5</v>
      </c>
      <c r="U49" s="111">
        <f t="shared" si="150"/>
        <v>1512.5</v>
      </c>
      <c r="V49" s="111">
        <f t="shared" si="150"/>
        <v>1512.5</v>
      </c>
      <c r="W49" s="111">
        <f t="shared" si="150"/>
        <v>1512.5</v>
      </c>
      <c r="X49" s="111">
        <f t="shared" si="26"/>
        <v>1512.5</v>
      </c>
      <c r="Y49" s="111">
        <f t="shared" si="26"/>
        <v>1512.5</v>
      </c>
      <c r="Z49" s="111">
        <f t="shared" si="26"/>
        <v>1512.5</v>
      </c>
      <c r="AA49" s="111">
        <f t="shared" si="26"/>
        <v>1512.5</v>
      </c>
      <c r="AB49" s="60">
        <f>IFERROR(AB23/$B49,".")</f>
        <v>5.5096418732782371E-5</v>
      </c>
      <c r="AC49" s="189">
        <f>IFERROR(AC23/$B49,0)</f>
        <v>1.7432506887052346E-13</v>
      </c>
      <c r="AD49" s="49">
        <f>up_dir!BC49</f>
        <v>151250</v>
      </c>
      <c r="AE49" s="49">
        <f>IF(E49=".",".",up_RadSpec!$F$23*AE23*$B$49)</f>
        <v>37812.5</v>
      </c>
      <c r="AF49" s="49">
        <f>IF(F49=".",".",up_RadSpec!$F$23*AF23*$B$49)</f>
        <v>37812.5</v>
      </c>
      <c r="AG49" s="49">
        <f>IF(G49=".",".",up_RadSpec!$F$23*AG23*$B$49)</f>
        <v>37812.5</v>
      </c>
      <c r="AH49" s="49">
        <f>IF(H49=".",".",up_RadSpec!$F$23*AH23*$B$49)</f>
        <v>37812.5</v>
      </c>
      <c r="AI49" s="49">
        <f>IF(I49=".",".",up_RadSpec!$F$23*AI23*$B$49)</f>
        <v>37812.5</v>
      </c>
      <c r="AJ49" s="49">
        <f>IF(J49=".",".",up_RadSpec!$F$23*AJ23*$B$49)</f>
        <v>37812.5</v>
      </c>
      <c r="AK49" s="49">
        <f>IF(K49=".",".",up_RadSpec!$F$23*AK23*$B$49)</f>
        <v>37812.5</v>
      </c>
      <c r="AL49" s="49">
        <f>IF(L49=".",".",up_RadSpec!$F$23*AL23*$B$49)</f>
        <v>37812.5</v>
      </c>
      <c r="AM49" s="49">
        <f>IF(M49=".",".",up_RadSpec!$F$23*AM23*$B$49)</f>
        <v>37812.5</v>
      </c>
      <c r="AN49" s="49">
        <f>IF(N49=".",".",up_RadSpec!$F$23*AN23*$B$49)</f>
        <v>37812.5</v>
      </c>
      <c r="AO49" s="49">
        <f>IF(O49=".",".",up_RadSpec!$F$23*AO23*$B$49)</f>
        <v>37812.5</v>
      </c>
      <c r="AP49" s="60">
        <f t="shared" ref="AP49:BD49" si="151">IFERROR(AP23/$B49,".")</f>
        <v>0.33057851239669422</v>
      </c>
      <c r="AQ49" s="60">
        <f t="shared" si="151"/>
        <v>3089.9917851942919</v>
      </c>
      <c r="AR49" s="60">
        <f t="shared" si="151"/>
        <v>145.84968138687145</v>
      </c>
      <c r="AS49" s="60">
        <f t="shared" si="151"/>
        <v>3.2968835384132272E-5</v>
      </c>
      <c r="AT49" s="60">
        <f t="shared" si="151"/>
        <v>6.6115702479338848E-4</v>
      </c>
      <c r="AU49" s="60">
        <f t="shared" si="151"/>
        <v>6.6115702479338848E-4</v>
      </c>
      <c r="AV49" s="60">
        <f t="shared" si="151"/>
        <v>1.8558793678410905E-7</v>
      </c>
      <c r="AW49" s="60">
        <f t="shared" si="151"/>
        <v>1.9115557488763231E-7</v>
      </c>
      <c r="AX49" s="60">
        <f t="shared" si="151"/>
        <v>1.8558793678410905E-7</v>
      </c>
      <c r="AY49" s="60">
        <f t="shared" si="151"/>
        <v>1.8558793678410905E-7</v>
      </c>
      <c r="AZ49" s="60">
        <f t="shared" si="151"/>
        <v>1.8558793678410905E-7</v>
      </c>
      <c r="BA49" s="60">
        <f t="shared" si="151"/>
        <v>1.8558793678410905E-7</v>
      </c>
      <c r="BB49" s="60">
        <f t="shared" si="151"/>
        <v>1.9115557488763231E-7</v>
      </c>
      <c r="BC49" s="60">
        <f t="shared" si="151"/>
        <v>1.8558793678410905E-7</v>
      </c>
      <c r="BD49" s="60">
        <f t="shared" si="151"/>
        <v>1.9115557488763231E-7</v>
      </c>
      <c r="BE49" s="111">
        <f t="shared" si="68"/>
        <v>3.0249999999999999</v>
      </c>
      <c r="BF49" s="111">
        <f t="shared" si="68"/>
        <v>3.236254558317935E-4</v>
      </c>
      <c r="BG49" s="111">
        <f t="shared" si="68"/>
        <v>6.8563742511542729E-3</v>
      </c>
      <c r="BH49" s="111">
        <f t="shared" si="68"/>
        <v>30331.674999999992</v>
      </c>
      <c r="BI49" s="111">
        <f t="shared" si="68"/>
        <v>1512.5</v>
      </c>
      <c r="BJ49" s="111">
        <f t="shared" si="68"/>
        <v>1512.5</v>
      </c>
      <c r="BK49" s="111">
        <f t="shared" si="68"/>
        <v>5388281.2499999991</v>
      </c>
      <c r="BL49" s="111">
        <f t="shared" si="68"/>
        <v>5231341.0194174759</v>
      </c>
      <c r="BM49" s="111">
        <f t="shared" si="68"/>
        <v>5388281.2499999991</v>
      </c>
      <c r="BN49" s="111">
        <f t="shared" si="68"/>
        <v>5388281.2499999991</v>
      </c>
      <c r="BO49" s="111">
        <f t="shared" si="68"/>
        <v>5388281.2499999991</v>
      </c>
      <c r="BP49" s="111">
        <f t="shared" si="68"/>
        <v>5388281.2499999991</v>
      </c>
      <c r="BQ49" s="111">
        <f t="shared" si="68"/>
        <v>5231341.0194174759</v>
      </c>
      <c r="BR49" s="111">
        <f t="shared" si="68"/>
        <v>5388281.2499999991</v>
      </c>
      <c r="BS49" s="111">
        <f t="shared" si="68"/>
        <v>5231341.0194174759</v>
      </c>
      <c r="BT49" s="60">
        <f>IFERROR(BT23/$B49,".")</f>
        <v>2.0808592668606817E-8</v>
      </c>
      <c r="BU49" s="189">
        <f>IFERROR(BU23/$B49,0)</f>
        <v>6.5838387203471976E-17</v>
      </c>
      <c r="BV49" s="49">
        <f>IF(AP49=".",".",up_RadSpec!$E$23*BV23*$B$49)</f>
        <v>75.625</v>
      </c>
      <c r="BW49" s="49">
        <f>IF(AQ49=".",".",up_RadSpec!$H$23*BW23*$B$49)</f>
        <v>8.0906363957948379E-3</v>
      </c>
      <c r="BX49" s="49">
        <f>IF(AR49=".",".",up_RadSpec!$G$23*BX23*$B$49)</f>
        <v>0.17140935627885681</v>
      </c>
      <c r="BY49" s="49">
        <f>up_b2s!CC49</f>
        <v>758291.875</v>
      </c>
      <c r="BZ49" s="49">
        <f>IF(AT49=".",".",up_RadSpec!$F$23*BZ23*$B$49)</f>
        <v>37812.5</v>
      </c>
      <c r="CA49" s="49">
        <f>IF(AU49=".",".",up_RadSpec!$F$23*CA23*$B$49)</f>
        <v>37812.5</v>
      </c>
      <c r="CB49" s="49">
        <f>IF(AV49=".",".",up_RadSpec!$F$23*CB23*$B$49)</f>
        <v>134707031.25</v>
      </c>
      <c r="CC49" s="49">
        <f>IF(AW49=".",".",up_RadSpec!$F$23*CC23*$B$49)</f>
        <v>130783525.4854369</v>
      </c>
      <c r="CD49" s="49">
        <f>IF(AX49=".",".",up_RadSpec!$F$23*CD23*$B$49)</f>
        <v>134707031.25</v>
      </c>
      <c r="CE49" s="49">
        <f>IF(AY49=".",".",up_RadSpec!$F$23*CE23*$B$49)</f>
        <v>134707031.25</v>
      </c>
      <c r="CF49" s="49">
        <f>IF(AZ49=".",".",up_RadSpec!$F$23*CF23*$B$49)</f>
        <v>134707031.25</v>
      </c>
      <c r="CG49" s="49">
        <f>IF(BA49=".",".",up_RadSpec!$F$23*CG23*$B$49)</f>
        <v>134707031.25</v>
      </c>
      <c r="CH49" s="49">
        <f>IF(BB49=".",".",up_RadSpec!$F$23*CH23*$B$49)</f>
        <v>130783525.4854369</v>
      </c>
      <c r="CI49" s="49">
        <f>IF(BC49=".",".",up_RadSpec!$F$23*CI23*$B$49)</f>
        <v>134707031.25</v>
      </c>
      <c r="CJ49" s="49">
        <f>IF(BD49=".",".",up_RadSpec!$F$23*CJ23*$B$49)</f>
        <v>130783525.4854369</v>
      </c>
      <c r="CK49" s="49">
        <f t="shared" ref="CK49:CK62" si="152">IFERROR(SUM(BV49:CJ49),".")</f>
        <v>1201426756.6358106</v>
      </c>
      <c r="CL49" s="60">
        <f>IFERROR(CL23/$B49,".")</f>
        <v>3.6363636363636364E-3</v>
      </c>
      <c r="CM49" s="60" t="str">
        <f>IFERROR(CM23,".")</f>
        <v>.</v>
      </c>
      <c r="CN49" s="60">
        <f t="shared" ref="CN49:CZ49" si="153">IFERROR(CN23/$B49,".")</f>
        <v>39.81818181818182</v>
      </c>
      <c r="CO49" s="60">
        <f t="shared" si="153"/>
        <v>1.6443412786038033E-4</v>
      </c>
      <c r="CP49" s="60">
        <f t="shared" si="153"/>
        <v>0.13223140495867769</v>
      </c>
      <c r="CQ49" s="60">
        <f t="shared" si="153"/>
        <v>0.13223140495867769</v>
      </c>
      <c r="CR49" s="60">
        <f t="shared" si="153"/>
        <v>2.6446280991735537E-2</v>
      </c>
      <c r="CS49" s="60">
        <f t="shared" si="153"/>
        <v>2.7239669421487603E-2</v>
      </c>
      <c r="CT49" s="60">
        <f t="shared" si="153"/>
        <v>2.6446280991735537E-2</v>
      </c>
      <c r="CU49" s="60">
        <f t="shared" si="153"/>
        <v>2.6446280991735537E-2</v>
      </c>
      <c r="CV49" s="60">
        <f t="shared" si="153"/>
        <v>2.6446280991735537E-2</v>
      </c>
      <c r="CW49" s="60">
        <f t="shared" si="153"/>
        <v>2.6446280991735537E-2</v>
      </c>
      <c r="CX49" s="60">
        <f t="shared" si="153"/>
        <v>2.7239669421487603E-2</v>
      </c>
      <c r="CY49" s="60">
        <f t="shared" si="153"/>
        <v>2.6446280991735537E-2</v>
      </c>
      <c r="CZ49" s="60">
        <f t="shared" si="153"/>
        <v>2.7239669421487603E-2</v>
      </c>
      <c r="DA49" s="111">
        <f t="shared" si="76"/>
        <v>275</v>
      </c>
      <c r="DB49" s="111" t="str">
        <f t="shared" si="70"/>
        <v>.</v>
      </c>
      <c r="DC49" s="111">
        <f t="shared" si="70"/>
        <v>2.5114155251141551E-2</v>
      </c>
      <c r="DD49" s="111">
        <f t="shared" si="70"/>
        <v>6081.4626076229861</v>
      </c>
      <c r="DE49" s="111">
        <f t="shared" si="70"/>
        <v>7.5625</v>
      </c>
      <c r="DF49" s="111">
        <f t="shared" si="70"/>
        <v>7.5625</v>
      </c>
      <c r="DG49" s="111">
        <f t="shared" si="70"/>
        <v>37.8125</v>
      </c>
      <c r="DH49" s="111">
        <f t="shared" si="70"/>
        <v>36.711165048543691</v>
      </c>
      <c r="DI49" s="111">
        <f t="shared" si="70"/>
        <v>37.8125</v>
      </c>
      <c r="DJ49" s="111">
        <f t="shared" si="70"/>
        <v>37.8125</v>
      </c>
      <c r="DK49" s="111">
        <f t="shared" si="70"/>
        <v>37.8125</v>
      </c>
      <c r="DL49" s="111">
        <f t="shared" si="70"/>
        <v>37.8125</v>
      </c>
      <c r="DM49" s="111">
        <f t="shared" si="70"/>
        <v>36.711165048543691</v>
      </c>
      <c r="DN49" s="111">
        <f t="shared" si="70"/>
        <v>37.8125</v>
      </c>
      <c r="DO49" s="111">
        <f t="shared" si="70"/>
        <v>36.711165048543691</v>
      </c>
      <c r="DP49" s="60">
        <f>IFERROR(DP23/$B49,".")</f>
        <v>1.4906192608956598E-4</v>
      </c>
      <c r="DQ49" s="189">
        <f t="shared" ref="DQ49" si="154">IFERROR(DQ23/$B49,0)</f>
        <v>4.7163193414738679E-16</v>
      </c>
      <c r="DR49" s="49">
        <f>IF(CL49=".",".",up_RadSpec!$I$23*DR23*$B$49)</f>
        <v>6875</v>
      </c>
      <c r="DS49" s="49" t="str">
        <f>IF(CM49=".",".",up_RadSpec!$H$23*DS23)</f>
        <v>.</v>
      </c>
      <c r="DT49" s="49">
        <f>IF(CN49=".",".",up_RadSpec!$M$23*DT23*$B$49)</f>
        <v>0.62785388127853881</v>
      </c>
      <c r="DU49" s="49">
        <f>up_b2w!CC49</f>
        <v>152036.56519057468</v>
      </c>
      <c r="DV49" s="49">
        <f>IF(CP49=".",".",up_RadSpec!$F$23*DV23*$B$49)</f>
        <v>189.0625</v>
      </c>
      <c r="DW49" s="49">
        <f>IF(CQ49=".",".",up_RadSpec!$F$23*DW23*$B$49)</f>
        <v>189.0625</v>
      </c>
      <c r="DX49" s="49">
        <f>IF(CR49=".",".",up_RadSpec!$F$23*DX23*$B$49)</f>
        <v>945.3125</v>
      </c>
      <c r="DY49" s="49">
        <f>IF(CS49=".",".",up_RadSpec!$F$23*DY23*$B$49)</f>
        <v>917.77912621359224</v>
      </c>
      <c r="DZ49" s="49">
        <f>IF(CT49=".",".",up_RadSpec!$F$23*DZ23*$B$49)</f>
        <v>945.3125</v>
      </c>
      <c r="EA49" s="49">
        <f>IF(CU49=".",".",up_RadSpec!$F$23*EA23*$B$49)</f>
        <v>945.3125</v>
      </c>
      <c r="EB49" s="49">
        <f>IF(CV49=".",".",up_RadSpec!$F$23*EB23*$B$49)</f>
        <v>945.3125</v>
      </c>
      <c r="EC49" s="49">
        <f>IF(CW49=".",".",up_RadSpec!$F$23*EC23*$B$49)</f>
        <v>945.3125</v>
      </c>
      <c r="ED49" s="49">
        <f>IF(CX49=".",".",up_RadSpec!$F$23*ED23*$B$49)</f>
        <v>917.77912621359224</v>
      </c>
      <c r="EE49" s="49">
        <f>IF(CY49=".",".",up_RadSpec!$F$23*EE23*$B$49)</f>
        <v>945.3125</v>
      </c>
      <c r="EF49" s="49">
        <f>IF(CZ49=".",".",up_RadSpec!$F$23*EF23*$B$49)</f>
        <v>917.77912621359224</v>
      </c>
      <c r="EG49" s="49">
        <f t="shared" ref="EG49:EG62" si="155">IFERROR(SUM(DR49:EF49),".")</f>
        <v>167715.53042309676</v>
      </c>
      <c r="EH49" s="60">
        <f>IFERROR(EH23/$B49,".")</f>
        <v>9.9740259740259754E-3</v>
      </c>
      <c r="EI49" s="60">
        <f>IFERROR(EI23/$B49,".")</f>
        <v>63.709090909090911</v>
      </c>
      <c r="EJ49" s="60">
        <f>IFERROR(EJ23/$B49,".")</f>
        <v>9.9724647271019675E-3</v>
      </c>
      <c r="EK49" s="189">
        <f t="shared" ref="EK49" si="156">IFERROR(EK23/$B49,0)</f>
        <v>3.1552878396550628E-14</v>
      </c>
      <c r="EL49" s="49">
        <f>IF(EH49=".",".",up_RadSpec!$H$23*EL23*$B$49)</f>
        <v>2506.5104166666661</v>
      </c>
      <c r="EM49" s="49">
        <f>IF(EI49=".",".",up_RadSpec!$K$23*EM23*$B$49)</f>
        <v>0.39240867579908678</v>
      </c>
      <c r="EN49" s="49">
        <f t="shared" si="60"/>
        <v>2506.9028253424653</v>
      </c>
    </row>
    <row r="50" spans="1:144" x14ac:dyDescent="0.25">
      <c r="A50" s="77" t="s">
        <v>1073</v>
      </c>
      <c r="B50" s="42">
        <v>1</v>
      </c>
      <c r="C50" s="238"/>
      <c r="D50" s="60">
        <f t="shared" ref="D50:O50" si="157">IFERROR(D25/$B50,".")</f>
        <v>1.6528925619834712E-4</v>
      </c>
      <c r="E50" s="60">
        <f t="shared" si="157"/>
        <v>6.6115702479338848E-4</v>
      </c>
      <c r="F50" s="60">
        <f t="shared" si="157"/>
        <v>6.6115702479338848E-4</v>
      </c>
      <c r="G50" s="60">
        <f t="shared" si="157"/>
        <v>6.6115702479338848E-4</v>
      </c>
      <c r="H50" s="60">
        <f t="shared" si="157"/>
        <v>6.6115702479338848E-4</v>
      </c>
      <c r="I50" s="60">
        <f t="shared" si="157"/>
        <v>6.6115702479338848E-4</v>
      </c>
      <c r="J50" s="60">
        <f t="shared" si="157"/>
        <v>6.6115702479338848E-4</v>
      </c>
      <c r="K50" s="60">
        <f t="shared" si="157"/>
        <v>6.6115702479338848E-4</v>
      </c>
      <c r="L50" s="60">
        <f t="shared" si="157"/>
        <v>6.6115702479338848E-4</v>
      </c>
      <c r="M50" s="60">
        <f t="shared" si="157"/>
        <v>6.6115702479338848E-4</v>
      </c>
      <c r="N50" s="60">
        <f t="shared" si="157"/>
        <v>6.6115702479338848E-4</v>
      </c>
      <c r="O50" s="60">
        <f t="shared" si="157"/>
        <v>6.6115702479338848E-4</v>
      </c>
      <c r="P50" s="111">
        <f t="shared" si="150"/>
        <v>1512.5</v>
      </c>
      <c r="Q50" s="111">
        <f t="shared" si="150"/>
        <v>1512.5</v>
      </c>
      <c r="R50" s="111">
        <f t="shared" si="150"/>
        <v>1512.5</v>
      </c>
      <c r="S50" s="111">
        <f t="shared" si="150"/>
        <v>1512.5</v>
      </c>
      <c r="T50" s="111">
        <f t="shared" si="150"/>
        <v>1512.5</v>
      </c>
      <c r="U50" s="111">
        <f t="shared" si="150"/>
        <v>1512.5</v>
      </c>
      <c r="V50" s="111">
        <f t="shared" si="150"/>
        <v>1512.5</v>
      </c>
      <c r="W50" s="111">
        <f t="shared" si="150"/>
        <v>1512.5</v>
      </c>
      <c r="X50" s="111">
        <f t="shared" si="26"/>
        <v>1512.5</v>
      </c>
      <c r="Y50" s="111">
        <f t="shared" si="26"/>
        <v>1512.5</v>
      </c>
      <c r="Z50" s="111">
        <f t="shared" si="26"/>
        <v>1512.5</v>
      </c>
      <c r="AA50" s="111">
        <f t="shared" si="26"/>
        <v>1512.5</v>
      </c>
      <c r="AB50" s="60">
        <f>IFERROR(AB25/$B50,".")</f>
        <v>5.5096418732782371E-5</v>
      </c>
      <c r="AC50" s="189">
        <f>IFERROR(AC25/$B50,0)</f>
        <v>1.7123966942148761E-13</v>
      </c>
      <c r="AD50" s="49">
        <f>up_dir!BC50</f>
        <v>151250</v>
      </c>
      <c r="AE50" s="49">
        <f>IF(E50=".",".",up_RadSpec!$F$25*AE25*$B$50)</f>
        <v>37812.5</v>
      </c>
      <c r="AF50" s="49">
        <f>IF(F50=".",".",up_RadSpec!$F$25*AF25*$B$50)</f>
        <v>37812.5</v>
      </c>
      <c r="AG50" s="49">
        <f>IF(G50=".",".",up_RadSpec!$F$25*AG25*$B$50)</f>
        <v>37812.5</v>
      </c>
      <c r="AH50" s="49">
        <f>IF(H50=".",".",up_RadSpec!$F$25*AH25*$B$50)</f>
        <v>37812.5</v>
      </c>
      <c r="AI50" s="49">
        <f>IF(I50=".",".",up_RadSpec!$F$25*AI25*$B$50)</f>
        <v>37812.5</v>
      </c>
      <c r="AJ50" s="49">
        <f>IF(J50=".",".",up_RadSpec!$F$25*AJ25*$B$50)</f>
        <v>37812.5</v>
      </c>
      <c r="AK50" s="49">
        <f>IF(K50=".",".",up_RadSpec!$F$25*AK25*$B$50)</f>
        <v>37812.5</v>
      </c>
      <c r="AL50" s="49">
        <f>IF(L50=".",".",up_RadSpec!$F$25*AL25*$B$50)</f>
        <v>37812.5</v>
      </c>
      <c r="AM50" s="49">
        <f>IF(M50=".",".",up_RadSpec!$F$25*AM25*$B$50)</f>
        <v>37812.5</v>
      </c>
      <c r="AN50" s="49">
        <f>IF(N50=".",".",up_RadSpec!$F$25*AN25*$B$50)</f>
        <v>37812.5</v>
      </c>
      <c r="AO50" s="49">
        <f>IF(O50=".",".",up_RadSpec!$F$25*AO25*$B$50)</f>
        <v>37812.5</v>
      </c>
      <c r="AP50" s="60">
        <f t="shared" ref="AP50:BD50" si="158">IFERROR(AP25/$B50,".")</f>
        <v>0.33057851239669422</v>
      </c>
      <c r="AQ50" s="60">
        <f t="shared" si="158"/>
        <v>3089.9917851942919</v>
      </c>
      <c r="AR50" s="60">
        <f t="shared" si="158"/>
        <v>213.21650237312892</v>
      </c>
      <c r="AS50" s="60">
        <f t="shared" si="158"/>
        <v>3.2968835384132272E-5</v>
      </c>
      <c r="AT50" s="60">
        <f t="shared" si="158"/>
        <v>6.6115702479338848E-4</v>
      </c>
      <c r="AU50" s="60">
        <f t="shared" si="158"/>
        <v>6.6115702479338848E-4</v>
      </c>
      <c r="AV50" s="60">
        <f t="shared" si="158"/>
        <v>1.8558793678410905E-7</v>
      </c>
      <c r="AW50" s="60">
        <f t="shared" si="158"/>
        <v>1.9115557488763231E-7</v>
      </c>
      <c r="AX50" s="60">
        <f t="shared" si="158"/>
        <v>1.8558793678410905E-7</v>
      </c>
      <c r="AY50" s="60">
        <f t="shared" si="158"/>
        <v>1.8558793678410905E-7</v>
      </c>
      <c r="AZ50" s="60">
        <f t="shared" si="158"/>
        <v>1.8558793678410905E-7</v>
      </c>
      <c r="BA50" s="60">
        <f t="shared" si="158"/>
        <v>1.8558793678410905E-7</v>
      </c>
      <c r="BB50" s="60">
        <f t="shared" si="158"/>
        <v>1.9115557488763231E-7</v>
      </c>
      <c r="BC50" s="60">
        <f t="shared" si="158"/>
        <v>1.8558793678410905E-7</v>
      </c>
      <c r="BD50" s="60">
        <f t="shared" si="158"/>
        <v>1.9115557488763231E-7</v>
      </c>
      <c r="BE50" s="111">
        <f t="shared" si="68"/>
        <v>3.0249999999999999</v>
      </c>
      <c r="BF50" s="111">
        <f t="shared" si="68"/>
        <v>3.236254558317935E-4</v>
      </c>
      <c r="BG50" s="111">
        <f t="shared" si="68"/>
        <v>4.6900684931506838E-3</v>
      </c>
      <c r="BH50" s="111">
        <f t="shared" si="68"/>
        <v>30331.674999999992</v>
      </c>
      <c r="BI50" s="111">
        <f t="shared" si="68"/>
        <v>1512.5</v>
      </c>
      <c r="BJ50" s="111">
        <f t="shared" si="68"/>
        <v>1512.5</v>
      </c>
      <c r="BK50" s="111">
        <f t="shared" si="68"/>
        <v>5388281.2499999991</v>
      </c>
      <c r="BL50" s="111">
        <f t="shared" si="68"/>
        <v>5231341.0194174759</v>
      </c>
      <c r="BM50" s="111">
        <f t="shared" si="68"/>
        <v>5388281.2499999991</v>
      </c>
      <c r="BN50" s="111">
        <f t="shared" si="68"/>
        <v>5388281.2499999991</v>
      </c>
      <c r="BO50" s="111">
        <f t="shared" si="68"/>
        <v>5388281.2499999991</v>
      </c>
      <c r="BP50" s="111">
        <f t="shared" si="68"/>
        <v>5388281.2499999991</v>
      </c>
      <c r="BQ50" s="111">
        <f t="shared" si="68"/>
        <v>5231341.0194174759</v>
      </c>
      <c r="BR50" s="111">
        <f t="shared" si="68"/>
        <v>5388281.2499999991</v>
      </c>
      <c r="BS50" s="111">
        <f t="shared" si="68"/>
        <v>5231341.0194174759</v>
      </c>
      <c r="BT50" s="60">
        <f>IFERROR(BT25/$B50,".")</f>
        <v>2.0808592669544827E-8</v>
      </c>
      <c r="BU50" s="189">
        <f>IFERROR(BU25/$B50,0)</f>
        <v>6.4673106016945325E-17</v>
      </c>
      <c r="BV50" s="49">
        <f>IF(AP50=".",".",up_RadSpec!$E$25*BV25*$B$50)</f>
        <v>75.625</v>
      </c>
      <c r="BW50" s="49">
        <f>IF(AQ50=".",".",up_RadSpec!$H$25*BW25*$B$50)</f>
        <v>8.0906363957948379E-3</v>
      </c>
      <c r="BX50" s="49">
        <f>IF(AR50=".",".",up_RadSpec!$G$25*BX25*$B$50)</f>
        <v>0.1172517123287671</v>
      </c>
      <c r="BY50" s="49">
        <f>up_b2s!CC50</f>
        <v>758291.875</v>
      </c>
      <c r="BZ50" s="49">
        <f>IF(AT50=".",".",up_RadSpec!$F$25*BZ25*$B$50)</f>
        <v>37812.5</v>
      </c>
      <c r="CA50" s="49">
        <f>IF(AU50=".",".",up_RadSpec!$F$25*CA25*$B$50)</f>
        <v>37812.5</v>
      </c>
      <c r="CB50" s="49">
        <f>IF(AV50=".",".",up_RadSpec!$F$25*CB25*$B$50)</f>
        <v>134707031.25</v>
      </c>
      <c r="CC50" s="49">
        <f>IF(AW50=".",".",up_RadSpec!$F$25*CC25*$B$50)</f>
        <v>130783525.4854369</v>
      </c>
      <c r="CD50" s="49">
        <f>IF(AX50=".",".",up_RadSpec!$F$25*CD25*$B$50)</f>
        <v>134707031.25</v>
      </c>
      <c r="CE50" s="49">
        <f>IF(AY50=".",".",up_RadSpec!$F$25*CE25*$B$50)</f>
        <v>134707031.25</v>
      </c>
      <c r="CF50" s="49">
        <f>IF(AZ50=".",".",up_RadSpec!$F$25*CF25*$B$50)</f>
        <v>134707031.25</v>
      </c>
      <c r="CG50" s="49">
        <f>IF(BA50=".",".",up_RadSpec!$F$25*CG25*$B$50)</f>
        <v>134707031.25</v>
      </c>
      <c r="CH50" s="49">
        <f>IF(BB50=".",".",up_RadSpec!$F$25*CH25*$B$50)</f>
        <v>130783525.4854369</v>
      </c>
      <c r="CI50" s="49">
        <f>IF(BC50=".",".",up_RadSpec!$F$25*CI25*$B$50)</f>
        <v>134707031.25</v>
      </c>
      <c r="CJ50" s="49">
        <f>IF(BD50=".",".",up_RadSpec!$F$25*CJ25*$B$50)</f>
        <v>130783525.4854369</v>
      </c>
      <c r="CK50" s="49">
        <f t="shared" si="152"/>
        <v>1201426756.5816531</v>
      </c>
      <c r="CL50" s="60">
        <f>IFERROR(CL25/$B50,".")</f>
        <v>3.6363636363636364E-3</v>
      </c>
      <c r="CM50" s="60">
        <f>IFERROR(CM25,".")</f>
        <v>1.9948051948051951E-2</v>
      </c>
      <c r="CN50" s="60">
        <f t="shared" ref="CN50:CZ50" si="159">IFERROR(CN25/$B50,".")</f>
        <v>39.81818181818182</v>
      </c>
      <c r="CO50" s="60">
        <f t="shared" si="159"/>
        <v>1.6443412786038033E-4</v>
      </c>
      <c r="CP50" s="60">
        <f t="shared" si="159"/>
        <v>0.13223140495867769</v>
      </c>
      <c r="CQ50" s="60">
        <f t="shared" si="159"/>
        <v>0.13223140495867769</v>
      </c>
      <c r="CR50" s="60">
        <f t="shared" si="159"/>
        <v>2.6446280991735537E-2</v>
      </c>
      <c r="CS50" s="60">
        <f t="shared" si="159"/>
        <v>2.7239669421487603E-2</v>
      </c>
      <c r="CT50" s="60">
        <f t="shared" si="159"/>
        <v>2.6446280991735537E-2</v>
      </c>
      <c r="CU50" s="60">
        <f t="shared" si="159"/>
        <v>2.6446280991735537E-2</v>
      </c>
      <c r="CV50" s="60">
        <f t="shared" si="159"/>
        <v>2.6446280991735537E-2</v>
      </c>
      <c r="CW50" s="60">
        <f t="shared" si="159"/>
        <v>2.6446280991735537E-2</v>
      </c>
      <c r="CX50" s="60">
        <f t="shared" si="159"/>
        <v>2.7239669421487603E-2</v>
      </c>
      <c r="CY50" s="60">
        <f t="shared" si="159"/>
        <v>2.6446280991735537E-2</v>
      </c>
      <c r="CZ50" s="60">
        <f t="shared" si="159"/>
        <v>2.7239669421487603E-2</v>
      </c>
      <c r="DA50" s="111">
        <f t="shared" si="76"/>
        <v>275</v>
      </c>
      <c r="DB50" s="111">
        <f t="shared" si="70"/>
        <v>50.130208333333329</v>
      </c>
      <c r="DC50" s="111">
        <f t="shared" si="70"/>
        <v>2.5114155251141551E-2</v>
      </c>
      <c r="DD50" s="111">
        <f t="shared" si="70"/>
        <v>6081.4626076229861</v>
      </c>
      <c r="DE50" s="111">
        <f t="shared" si="70"/>
        <v>7.5625</v>
      </c>
      <c r="DF50" s="111">
        <f t="shared" si="70"/>
        <v>7.5625</v>
      </c>
      <c r="DG50" s="111">
        <f t="shared" si="70"/>
        <v>37.8125</v>
      </c>
      <c r="DH50" s="111">
        <f t="shared" si="70"/>
        <v>36.711165048543691</v>
      </c>
      <c r="DI50" s="111">
        <f t="shared" si="70"/>
        <v>37.8125</v>
      </c>
      <c r="DJ50" s="111">
        <f t="shared" si="70"/>
        <v>37.8125</v>
      </c>
      <c r="DK50" s="111">
        <f t="shared" si="70"/>
        <v>37.8125</v>
      </c>
      <c r="DL50" s="111">
        <f t="shared" si="70"/>
        <v>37.8125</v>
      </c>
      <c r="DM50" s="111">
        <f t="shared" si="70"/>
        <v>36.711165048543691</v>
      </c>
      <c r="DN50" s="111">
        <f t="shared" si="70"/>
        <v>37.8125</v>
      </c>
      <c r="DO50" s="111">
        <f t="shared" si="70"/>
        <v>36.711165048543691</v>
      </c>
      <c r="DP50" s="60">
        <f>IFERROR(DP25/$B50,".")</f>
        <v>1.4795632167548538E-4</v>
      </c>
      <c r="DQ50" s="189">
        <f t="shared" ref="DQ50" si="160">IFERROR(DQ25/$B50,0)</f>
        <v>4.5984824776740855E-16</v>
      </c>
      <c r="DR50" s="49">
        <f>IF(CL50=".",".",up_RadSpec!$I$25*DR25*$B$50)</f>
        <v>6875</v>
      </c>
      <c r="DS50" s="49">
        <f>IF(CM50=".",".",up_RadSpec!$H$25*DS25)</f>
        <v>1253.255208333333</v>
      </c>
      <c r="DT50" s="49">
        <f>IF(CN50=".",".",up_RadSpec!$M$25*DT25*$B$50)</f>
        <v>0.62785388127853881</v>
      </c>
      <c r="DU50" s="49">
        <f>up_b2w!CC50</f>
        <v>152036.56519057468</v>
      </c>
      <c r="DV50" s="49">
        <f>IF(CP50=".",".",up_RadSpec!$F$25*DV25*$B$50)</f>
        <v>189.0625</v>
      </c>
      <c r="DW50" s="49">
        <f>IF(CQ50=".",".",up_RadSpec!$F$25*DW25*$B$50)</f>
        <v>189.0625</v>
      </c>
      <c r="DX50" s="49">
        <f>IF(CR50=".",".",up_RadSpec!$F$25*DX25*$B$50)</f>
        <v>945.3125</v>
      </c>
      <c r="DY50" s="49">
        <f>IF(CS50=".",".",up_RadSpec!$F$25*DY25*$B$50)</f>
        <v>917.77912621359224</v>
      </c>
      <c r="DZ50" s="49">
        <f>IF(CT50=".",".",up_RadSpec!$F$25*DZ25*$B$50)</f>
        <v>945.3125</v>
      </c>
      <c r="EA50" s="49">
        <f>IF(CU50=".",".",up_RadSpec!$F$25*EA25*$B$50)</f>
        <v>945.3125</v>
      </c>
      <c r="EB50" s="49">
        <f>IF(CV50=".",".",up_RadSpec!$F$25*EB25*$B$50)</f>
        <v>945.3125</v>
      </c>
      <c r="EC50" s="49">
        <f>IF(CW50=".",".",up_RadSpec!$F$25*EC25*$B$50)</f>
        <v>945.3125</v>
      </c>
      <c r="ED50" s="49">
        <f>IF(CX50=".",".",up_RadSpec!$F$25*ED25*$B$50)</f>
        <v>917.77912621359224</v>
      </c>
      <c r="EE50" s="49">
        <f>IF(CY50=".",".",up_RadSpec!$F$25*EE25*$B$50)</f>
        <v>945.3125</v>
      </c>
      <c r="EF50" s="49">
        <f>IF(CZ50=".",".",up_RadSpec!$F$25*EF25*$B$50)</f>
        <v>917.77912621359224</v>
      </c>
      <c r="EG50" s="49">
        <f t="shared" si="155"/>
        <v>168968.7856314301</v>
      </c>
      <c r="EH50" s="60">
        <f>IFERROR(EH25/$B50,".")</f>
        <v>9.9740259740259754E-3</v>
      </c>
      <c r="EI50" s="60">
        <f>IFERROR(EI25/$B50,".")</f>
        <v>63.709090909090911</v>
      </c>
      <c r="EJ50" s="60">
        <f>IFERROR(EJ25/$B50,".")</f>
        <v>9.9724647271019675E-3</v>
      </c>
      <c r="EK50" s="189">
        <f t="shared" ref="EK50" si="161">IFERROR(EK25/$B50,0)</f>
        <v>3.0994420371832921E-14</v>
      </c>
      <c r="EL50" s="49">
        <f>IF(EH50=".",".",up_RadSpec!$H$25*EL25*$B$50)</f>
        <v>2506.5104166666661</v>
      </c>
      <c r="EM50" s="49">
        <f>IF(EI50=".",".",up_RadSpec!$K$25*EM25*$B$50)</f>
        <v>0.39240867579908678</v>
      </c>
      <c r="EN50" s="49">
        <f t="shared" si="60"/>
        <v>2506.9028253424653</v>
      </c>
    </row>
    <row r="51" spans="1:144" x14ac:dyDescent="0.25">
      <c r="A51" s="77" t="s">
        <v>1059</v>
      </c>
      <c r="B51" s="42">
        <v>1</v>
      </c>
      <c r="C51" s="238"/>
      <c r="D51" s="60">
        <f t="shared" ref="D51:O51" si="162">IFERROR(D21/$B51,".")</f>
        <v>1.6528925619834712E-4</v>
      </c>
      <c r="E51" s="60">
        <f t="shared" si="162"/>
        <v>6.6115702479338848E-4</v>
      </c>
      <c r="F51" s="60">
        <f t="shared" si="162"/>
        <v>6.6115702479338848E-4</v>
      </c>
      <c r="G51" s="60">
        <f t="shared" si="162"/>
        <v>6.6115702479338848E-4</v>
      </c>
      <c r="H51" s="60">
        <f t="shared" si="162"/>
        <v>6.6115702479338848E-4</v>
      </c>
      <c r="I51" s="60">
        <f t="shared" si="162"/>
        <v>6.6115702479338848E-4</v>
      </c>
      <c r="J51" s="60">
        <f t="shared" si="162"/>
        <v>6.6115702479338848E-4</v>
      </c>
      <c r="K51" s="60">
        <f t="shared" si="162"/>
        <v>6.6115702479338848E-4</v>
      </c>
      <c r="L51" s="60">
        <f t="shared" si="162"/>
        <v>6.6115702479338848E-4</v>
      </c>
      <c r="M51" s="60">
        <f t="shared" si="162"/>
        <v>6.6115702479338848E-4</v>
      </c>
      <c r="N51" s="60">
        <f t="shared" si="162"/>
        <v>6.6115702479338848E-4</v>
      </c>
      <c r="O51" s="60">
        <f t="shared" si="162"/>
        <v>6.6115702479338848E-4</v>
      </c>
      <c r="P51" s="111">
        <f t="shared" si="150"/>
        <v>1512.5</v>
      </c>
      <c r="Q51" s="111">
        <f t="shared" si="150"/>
        <v>1512.5</v>
      </c>
      <c r="R51" s="111">
        <f t="shared" si="150"/>
        <v>1512.5</v>
      </c>
      <c r="S51" s="111">
        <f t="shared" si="150"/>
        <v>1512.5</v>
      </c>
      <c r="T51" s="111">
        <f t="shared" si="150"/>
        <v>1512.5</v>
      </c>
      <c r="U51" s="111">
        <f t="shared" si="150"/>
        <v>1512.5</v>
      </c>
      <c r="V51" s="111">
        <f t="shared" si="150"/>
        <v>1512.5</v>
      </c>
      <c r="W51" s="111">
        <f t="shared" si="150"/>
        <v>1512.5</v>
      </c>
      <c r="X51" s="111">
        <f t="shared" si="26"/>
        <v>1512.5</v>
      </c>
      <c r="Y51" s="111">
        <f t="shared" si="26"/>
        <v>1512.5</v>
      </c>
      <c r="Z51" s="111">
        <f t="shared" si="26"/>
        <v>1512.5</v>
      </c>
      <c r="AA51" s="111">
        <f t="shared" si="26"/>
        <v>1512.5</v>
      </c>
      <c r="AB51" s="60">
        <f>IFERROR(AB21/$B51,".")</f>
        <v>5.5096418732782371E-5</v>
      </c>
      <c r="AC51" s="189">
        <f>IFERROR(AC21/$B51,0)</f>
        <v>1.6815426997245181E-13</v>
      </c>
      <c r="AD51" s="49">
        <f>up_dir!BC51</f>
        <v>151250</v>
      </c>
      <c r="AE51" s="49">
        <f>IF(E51=".",".",up_RadSpec!$F$21*AE21*$B$51)</f>
        <v>37812.5</v>
      </c>
      <c r="AF51" s="49">
        <f>IF(F51=".",".",up_RadSpec!$F$21*AF21*$B$51)</f>
        <v>37812.5</v>
      </c>
      <c r="AG51" s="49">
        <f>IF(G51=".",".",up_RadSpec!$F$21*AG21*$B$51)</f>
        <v>37812.5</v>
      </c>
      <c r="AH51" s="49">
        <f>IF(H51=".",".",up_RadSpec!$F$21*AH21*$B$51)</f>
        <v>37812.5</v>
      </c>
      <c r="AI51" s="49">
        <f>IF(I51=".",".",up_RadSpec!$F$21*AI21*$B$51)</f>
        <v>37812.5</v>
      </c>
      <c r="AJ51" s="49">
        <f>IF(J51=".",".",up_RadSpec!$F$21*AJ21*$B$51)</f>
        <v>37812.5</v>
      </c>
      <c r="AK51" s="49">
        <f>IF(K51=".",".",up_RadSpec!$F$21*AK21*$B$51)</f>
        <v>37812.5</v>
      </c>
      <c r="AL51" s="49">
        <f>IF(L51=".",".",up_RadSpec!$F$21*AL21*$B$51)</f>
        <v>37812.5</v>
      </c>
      <c r="AM51" s="49">
        <f>IF(M51=".",".",up_RadSpec!$F$21*AM21*$B$51)</f>
        <v>37812.5</v>
      </c>
      <c r="AN51" s="49">
        <f>IF(N51=".",".",up_RadSpec!$F$21*AN21*$B$51)</f>
        <v>37812.5</v>
      </c>
      <c r="AO51" s="49">
        <f>IF(O51=".",".",up_RadSpec!$F$21*AO21*$B$51)</f>
        <v>37812.5</v>
      </c>
      <c r="AP51" s="60">
        <f t="shared" ref="AP51:BD51" si="163">IFERROR(AP21/$B51,".")</f>
        <v>0.33057851239669422</v>
      </c>
      <c r="AQ51" s="60">
        <f t="shared" si="163"/>
        <v>3089.9917851942919</v>
      </c>
      <c r="AR51" s="60" t="str">
        <f t="shared" si="163"/>
        <v>.</v>
      </c>
      <c r="AS51" s="60">
        <f t="shared" si="163"/>
        <v>3.2968835384132272E-5</v>
      </c>
      <c r="AT51" s="60">
        <f t="shared" si="163"/>
        <v>6.6115702479338848E-4</v>
      </c>
      <c r="AU51" s="60">
        <f t="shared" si="163"/>
        <v>6.6115702479338848E-4</v>
      </c>
      <c r="AV51" s="60">
        <f t="shared" si="163"/>
        <v>1.8558793678410905E-7</v>
      </c>
      <c r="AW51" s="60">
        <f t="shared" si="163"/>
        <v>1.9115557488763231E-7</v>
      </c>
      <c r="AX51" s="60">
        <f t="shared" si="163"/>
        <v>1.8558793678410905E-7</v>
      </c>
      <c r="AY51" s="60">
        <f t="shared" si="163"/>
        <v>1.8558793678410905E-7</v>
      </c>
      <c r="AZ51" s="60">
        <f t="shared" si="163"/>
        <v>1.8558793678410905E-7</v>
      </c>
      <c r="BA51" s="60">
        <f t="shared" si="163"/>
        <v>1.8558793678410905E-7</v>
      </c>
      <c r="BB51" s="60">
        <f t="shared" si="163"/>
        <v>1.9115557488763231E-7</v>
      </c>
      <c r="BC51" s="60">
        <f t="shared" si="163"/>
        <v>1.8558793678410905E-7</v>
      </c>
      <c r="BD51" s="60">
        <f t="shared" si="163"/>
        <v>1.9115557488763231E-7</v>
      </c>
      <c r="BE51" s="111">
        <f t="shared" si="68"/>
        <v>3.0249999999999999</v>
      </c>
      <c r="BF51" s="111">
        <f t="shared" si="68"/>
        <v>3.236254558317935E-4</v>
      </c>
      <c r="BG51" s="111" t="str">
        <f t="shared" si="68"/>
        <v>.</v>
      </c>
      <c r="BH51" s="111">
        <f t="shared" si="68"/>
        <v>30331.674999999992</v>
      </c>
      <c r="BI51" s="111">
        <f t="shared" si="68"/>
        <v>1512.5</v>
      </c>
      <c r="BJ51" s="111">
        <f t="shared" si="68"/>
        <v>1512.5</v>
      </c>
      <c r="BK51" s="111">
        <f t="shared" si="68"/>
        <v>5388281.2499999991</v>
      </c>
      <c r="BL51" s="111">
        <f t="shared" si="68"/>
        <v>5231341.0194174759</v>
      </c>
      <c r="BM51" s="111">
        <f t="shared" si="68"/>
        <v>5388281.2499999991</v>
      </c>
      <c r="BN51" s="111">
        <f t="shared" si="68"/>
        <v>5388281.2499999991</v>
      </c>
      <c r="BO51" s="111">
        <f t="shared" si="68"/>
        <v>5388281.2499999991</v>
      </c>
      <c r="BP51" s="111">
        <f t="shared" si="68"/>
        <v>5388281.2499999991</v>
      </c>
      <c r="BQ51" s="111">
        <f t="shared" si="68"/>
        <v>5231341.0194174759</v>
      </c>
      <c r="BR51" s="111">
        <f t="shared" si="68"/>
        <v>5388281.2499999991</v>
      </c>
      <c r="BS51" s="111">
        <f t="shared" si="68"/>
        <v>5231341.0194174759</v>
      </c>
      <c r="BT51" s="60">
        <f>IFERROR(BT21/$B51,".")</f>
        <v>2.0808592671575615E-8</v>
      </c>
      <c r="BU51" s="189">
        <f>IFERROR(BU21/$B51,0)</f>
        <v>6.3507824833648777E-17</v>
      </c>
      <c r="BV51" s="49">
        <f>IF(AP51=".",".",up_RadSpec!$E$21*BV21*$B$51)</f>
        <v>75.625</v>
      </c>
      <c r="BW51" s="49">
        <f>IF(AQ51=".",".",up_RadSpec!$H$21*BW21*$B$51)</f>
        <v>8.0906363957948379E-3</v>
      </c>
      <c r="BX51" s="49" t="str">
        <f>IF(AR51=".",".",up_RadSpec!$G$21*BX21*$B$51)</f>
        <v>.</v>
      </c>
      <c r="BY51" s="49">
        <f>up_b2s!CC51</f>
        <v>758291.875</v>
      </c>
      <c r="BZ51" s="49">
        <f>IF(AT51=".",".",up_RadSpec!$F$21*BZ21*$B$51)</f>
        <v>37812.5</v>
      </c>
      <c r="CA51" s="49">
        <f>IF(AU51=".",".",up_RadSpec!$F$21*CA21*$B$51)</f>
        <v>37812.5</v>
      </c>
      <c r="CB51" s="49">
        <f>IF(AV51=".",".",up_RadSpec!$F$21*CB21*$B$51)</f>
        <v>134707031.25</v>
      </c>
      <c r="CC51" s="49">
        <f>IF(AW51=".",".",up_RadSpec!$F$21*CC21*$B$51)</f>
        <v>130783525.4854369</v>
      </c>
      <c r="CD51" s="49">
        <f>IF(AX51=".",".",up_RadSpec!$F$21*CD21*$B$51)</f>
        <v>134707031.25</v>
      </c>
      <c r="CE51" s="49">
        <f>IF(AY51=".",".",up_RadSpec!$F$21*CE21*$B$51)</f>
        <v>134707031.25</v>
      </c>
      <c r="CF51" s="49">
        <f>IF(AZ51=".",".",up_RadSpec!$F$21*CF21*$B$51)</f>
        <v>134707031.25</v>
      </c>
      <c r="CG51" s="49">
        <f>IF(BA51=".",".",up_RadSpec!$F$21*CG21*$B$51)</f>
        <v>134707031.25</v>
      </c>
      <c r="CH51" s="49">
        <f>IF(BB51=".",".",up_RadSpec!$F$21*CH21*$B$51)</f>
        <v>130783525.4854369</v>
      </c>
      <c r="CI51" s="49">
        <f>IF(BC51=".",".",up_RadSpec!$F$21*CI21*$B$51)</f>
        <v>134707031.25</v>
      </c>
      <c r="CJ51" s="49">
        <f>IF(BD51=".",".",up_RadSpec!$F$21*CJ21*$B$51)</f>
        <v>130783525.4854369</v>
      </c>
      <c r="CK51" s="49">
        <f t="shared" si="152"/>
        <v>1201426756.4644012</v>
      </c>
      <c r="CL51" s="60">
        <f>IFERROR(CL21/$B51,".")</f>
        <v>3.6363636363636364E-3</v>
      </c>
      <c r="CM51" s="60">
        <f>IFERROR(CM21,".")</f>
        <v>2.738261548962679E-2</v>
      </c>
      <c r="CN51" s="60">
        <f t="shared" ref="CN51:CZ51" si="164">IFERROR(CN21/$B51,".")</f>
        <v>39.81818181818182</v>
      </c>
      <c r="CO51" s="60">
        <f t="shared" si="164"/>
        <v>1.6443412786038033E-4</v>
      </c>
      <c r="CP51" s="60">
        <f t="shared" si="164"/>
        <v>0.13223140495867769</v>
      </c>
      <c r="CQ51" s="60">
        <f t="shared" si="164"/>
        <v>0.13223140495867769</v>
      </c>
      <c r="CR51" s="60">
        <f t="shared" si="164"/>
        <v>2.6446280991735537E-2</v>
      </c>
      <c r="CS51" s="60">
        <f t="shared" si="164"/>
        <v>2.7239669421487603E-2</v>
      </c>
      <c r="CT51" s="60">
        <f t="shared" si="164"/>
        <v>2.6446280991735537E-2</v>
      </c>
      <c r="CU51" s="60">
        <f t="shared" si="164"/>
        <v>2.6446280991735537E-2</v>
      </c>
      <c r="CV51" s="60">
        <f t="shared" si="164"/>
        <v>2.6446280991735537E-2</v>
      </c>
      <c r="CW51" s="60">
        <f t="shared" si="164"/>
        <v>2.6446280991735537E-2</v>
      </c>
      <c r="CX51" s="60">
        <f t="shared" si="164"/>
        <v>2.7239669421487603E-2</v>
      </c>
      <c r="CY51" s="60">
        <f t="shared" si="164"/>
        <v>2.6446280991735537E-2</v>
      </c>
      <c r="CZ51" s="60">
        <f t="shared" si="164"/>
        <v>2.7239669421487603E-2</v>
      </c>
      <c r="DA51" s="111">
        <f t="shared" si="76"/>
        <v>275</v>
      </c>
      <c r="DB51" s="111">
        <f t="shared" si="70"/>
        <v>36.519520948567703</v>
      </c>
      <c r="DC51" s="111">
        <f t="shared" si="70"/>
        <v>2.5114155251141551E-2</v>
      </c>
      <c r="DD51" s="111">
        <f t="shared" si="70"/>
        <v>6081.4626076229861</v>
      </c>
      <c r="DE51" s="111">
        <f t="shared" si="70"/>
        <v>7.5625</v>
      </c>
      <c r="DF51" s="111">
        <f t="shared" si="70"/>
        <v>7.5625</v>
      </c>
      <c r="DG51" s="111">
        <f t="shared" si="70"/>
        <v>37.8125</v>
      </c>
      <c r="DH51" s="111">
        <f t="shared" si="70"/>
        <v>36.711165048543691</v>
      </c>
      <c r="DI51" s="111">
        <f t="shared" si="70"/>
        <v>37.8125</v>
      </c>
      <c r="DJ51" s="111">
        <f t="shared" si="70"/>
        <v>37.8125</v>
      </c>
      <c r="DK51" s="111">
        <f t="shared" si="70"/>
        <v>37.8125</v>
      </c>
      <c r="DL51" s="111">
        <f t="shared" si="70"/>
        <v>37.8125</v>
      </c>
      <c r="DM51" s="111">
        <f t="shared" si="70"/>
        <v>36.711165048543691</v>
      </c>
      <c r="DN51" s="111">
        <f t="shared" si="70"/>
        <v>37.8125</v>
      </c>
      <c r="DO51" s="111">
        <f t="shared" si="70"/>
        <v>36.711165048543691</v>
      </c>
      <c r="DP51" s="60">
        <f>IFERROR(DP21/$B51,".")</f>
        <v>1.4825487545207567E-4</v>
      </c>
      <c r="DQ51" s="189">
        <f t="shared" ref="DQ51" si="165">IFERROR(DQ21/$B51,0)</f>
        <v>4.5247387987973493E-16</v>
      </c>
      <c r="DR51" s="49">
        <f>IF(CL51=".",".",up_RadSpec!$I$21*DR21*$B$51)</f>
        <v>6875</v>
      </c>
      <c r="DS51" s="49">
        <f>IF(CM51=".",".",up_RadSpec!$H$21*DS21)</f>
        <v>912.98802371419254</v>
      </c>
      <c r="DT51" s="49">
        <f>IF(CN51=".",".",up_RadSpec!$M$21*DT21*$B$51)</f>
        <v>0.62785388127853881</v>
      </c>
      <c r="DU51" s="49">
        <f>up_b2w!CC51</f>
        <v>152036.56519057468</v>
      </c>
      <c r="DV51" s="49">
        <f>IF(CP51=".",".",up_RadSpec!$F$21*DV21*$B$51)</f>
        <v>189.0625</v>
      </c>
      <c r="DW51" s="49">
        <f>IF(CQ51=".",".",up_RadSpec!$F$21*DW21*$B$51)</f>
        <v>189.0625</v>
      </c>
      <c r="DX51" s="49">
        <f>IF(CR51=".",".",up_RadSpec!$F$21*DX21*$B$51)</f>
        <v>945.3125</v>
      </c>
      <c r="DY51" s="49">
        <f>IF(CS51=".",".",up_RadSpec!$F$21*DY21*$B$51)</f>
        <v>917.77912621359224</v>
      </c>
      <c r="DZ51" s="49">
        <f>IF(CT51=".",".",up_RadSpec!$F$21*DZ21*$B$51)</f>
        <v>945.3125</v>
      </c>
      <c r="EA51" s="49">
        <f>IF(CU51=".",".",up_RadSpec!$F$21*EA21*$B$51)</f>
        <v>945.3125</v>
      </c>
      <c r="EB51" s="49">
        <f>IF(CV51=".",".",up_RadSpec!$F$21*EB21*$B$51)</f>
        <v>945.3125</v>
      </c>
      <c r="EC51" s="49">
        <f>IF(CW51=".",".",up_RadSpec!$F$21*EC21*$B$51)</f>
        <v>945.3125</v>
      </c>
      <c r="ED51" s="49">
        <f>IF(CX51=".",".",up_RadSpec!$F$21*ED21*$B$51)</f>
        <v>917.77912621359224</v>
      </c>
      <c r="EE51" s="49">
        <f>IF(CY51=".",".",up_RadSpec!$F$21*EE21*$B$51)</f>
        <v>945.3125</v>
      </c>
      <c r="EF51" s="49">
        <f>IF(CZ51=".",".",up_RadSpec!$F$21*EF21*$B$51)</f>
        <v>917.77912621359224</v>
      </c>
      <c r="EG51" s="49">
        <f t="shared" si="155"/>
        <v>168628.51844681095</v>
      </c>
      <c r="EH51" s="60">
        <f>IFERROR(EH21/$B51,".")</f>
        <v>9.9740259740259754E-3</v>
      </c>
      <c r="EI51" s="60">
        <f>IFERROR(EI21/$B51,".")</f>
        <v>63.709090909090911</v>
      </c>
      <c r="EJ51" s="60">
        <f>IFERROR(EJ21/$B51,".")</f>
        <v>9.9724647271019675E-3</v>
      </c>
      <c r="EK51" s="189">
        <f t="shared" ref="EK51" si="166">IFERROR(EK21/$B51,0)</f>
        <v>3.0435962347115209E-14</v>
      </c>
      <c r="EL51" s="49">
        <f>IF(EH51=".",".",up_RadSpec!$H$21*EL21*$B$51)</f>
        <v>2506.5104166666661</v>
      </c>
      <c r="EM51" s="49">
        <f>IF(EI51=".",".",up_RadSpec!$K$21*EM21*$B$51)</f>
        <v>0.39240867579908678</v>
      </c>
      <c r="EN51" s="49">
        <f t="shared" si="60"/>
        <v>2506.9028253424653</v>
      </c>
    </row>
    <row r="52" spans="1:144" x14ac:dyDescent="0.25">
      <c r="A52" s="77" t="s">
        <v>1060</v>
      </c>
      <c r="B52" s="79">
        <v>0.99980000000000002</v>
      </c>
      <c r="C52" s="240"/>
      <c r="D52" s="60">
        <f t="shared" ref="D52:O52" si="167">IFERROR(D17/$B52,".")</f>
        <v>1.6532232066247962E-4</v>
      </c>
      <c r="E52" s="60">
        <f t="shared" si="167"/>
        <v>6.6128928264991846E-4</v>
      </c>
      <c r="F52" s="60">
        <f t="shared" si="167"/>
        <v>6.6128928264991846E-4</v>
      </c>
      <c r="G52" s="60">
        <f t="shared" si="167"/>
        <v>6.6128928264991846E-4</v>
      </c>
      <c r="H52" s="60">
        <f t="shared" si="167"/>
        <v>6.6128928264991846E-4</v>
      </c>
      <c r="I52" s="60">
        <f t="shared" si="167"/>
        <v>6.6128928264991846E-4</v>
      </c>
      <c r="J52" s="60">
        <f t="shared" si="167"/>
        <v>6.6128928264991846E-4</v>
      </c>
      <c r="K52" s="60">
        <f t="shared" si="167"/>
        <v>6.6128928264991846E-4</v>
      </c>
      <c r="L52" s="60">
        <f t="shared" si="167"/>
        <v>6.6128928264991846E-4</v>
      </c>
      <c r="M52" s="60">
        <f t="shared" si="167"/>
        <v>6.6128928264991846E-4</v>
      </c>
      <c r="N52" s="60">
        <f t="shared" si="167"/>
        <v>6.6128928264991846E-4</v>
      </c>
      <c r="O52" s="60">
        <f t="shared" si="167"/>
        <v>6.6128928264991846E-4</v>
      </c>
      <c r="P52" s="111">
        <f t="shared" si="150"/>
        <v>1512.1975</v>
      </c>
      <c r="Q52" s="111">
        <f t="shared" si="150"/>
        <v>1512.1975</v>
      </c>
      <c r="R52" s="111">
        <f t="shared" si="150"/>
        <v>1512.1975</v>
      </c>
      <c r="S52" s="111">
        <f t="shared" si="150"/>
        <v>1512.1975</v>
      </c>
      <c r="T52" s="111">
        <f t="shared" si="150"/>
        <v>1512.1975</v>
      </c>
      <c r="U52" s="111">
        <f t="shared" si="150"/>
        <v>1512.1975</v>
      </c>
      <c r="V52" s="111">
        <f t="shared" si="150"/>
        <v>1512.1975</v>
      </c>
      <c r="W52" s="111">
        <f t="shared" si="150"/>
        <v>1512.1975</v>
      </c>
      <c r="X52" s="111">
        <f t="shared" si="26"/>
        <v>1512.1975</v>
      </c>
      <c r="Y52" s="111">
        <f t="shared" si="26"/>
        <v>1512.1975</v>
      </c>
      <c r="Z52" s="111">
        <f t="shared" si="26"/>
        <v>1512.1975</v>
      </c>
      <c r="AA52" s="111">
        <f t="shared" si="26"/>
        <v>1512.1975</v>
      </c>
      <c r="AB52" s="60">
        <f>IFERROR(AB17/$B52,".")</f>
        <v>5.5107440220826534E-5</v>
      </c>
      <c r="AC52" s="189">
        <f>IFERROR(AC17/$B52,0)</f>
        <v>1.6510189090159632E-13</v>
      </c>
      <c r="AD52" s="49">
        <f>up_dir!BC52</f>
        <v>151219.75</v>
      </c>
      <c r="AE52" s="49">
        <f>IF(E52=".",".",up_RadSpec!$F$17*AE17*$B$52)</f>
        <v>37804.9375</v>
      </c>
      <c r="AF52" s="49">
        <f>IF(F52=".",".",up_RadSpec!$F$17*AF17*$B$52)</f>
        <v>37804.9375</v>
      </c>
      <c r="AG52" s="49">
        <f>IF(G52=".",".",up_RadSpec!$F$17*AG17*$B$52)</f>
        <v>37804.9375</v>
      </c>
      <c r="AH52" s="49">
        <f>IF(H52=".",".",up_RadSpec!$F$17*AH17*$B$52)</f>
        <v>37804.9375</v>
      </c>
      <c r="AI52" s="49">
        <f>IF(I52=".",".",up_RadSpec!$F$17*AI17*$B$52)</f>
        <v>37804.9375</v>
      </c>
      <c r="AJ52" s="49">
        <f>IF(J52=".",".",up_RadSpec!$F$17*AJ17*$B$52)</f>
        <v>37804.9375</v>
      </c>
      <c r="AK52" s="49">
        <f>IF(K52=".",".",up_RadSpec!$F$17*AK17*$B$52)</f>
        <v>37804.9375</v>
      </c>
      <c r="AL52" s="49">
        <f>IF(L52=".",".",up_RadSpec!$F$17*AL17*$B$52)</f>
        <v>37804.9375</v>
      </c>
      <c r="AM52" s="49">
        <f>IF(M52=".",".",up_RadSpec!$F$17*AM17*$B$52)</f>
        <v>37804.9375</v>
      </c>
      <c r="AN52" s="49">
        <f>IF(N52=".",".",up_RadSpec!$F$17*AN17*$B$52)</f>
        <v>37804.9375</v>
      </c>
      <c r="AO52" s="49">
        <f>IF(O52=".",".",up_RadSpec!$F$17*AO17*$B$52)</f>
        <v>37804.9375</v>
      </c>
      <c r="AP52" s="60">
        <f t="shared" ref="AP52:BD52" si="168">IFERROR(AP17/$B52,".")</f>
        <v>0.33064464132495919</v>
      </c>
      <c r="AQ52" s="60">
        <f t="shared" si="168"/>
        <v>3090.6099071757271</v>
      </c>
      <c r="AR52" s="60">
        <f t="shared" si="168"/>
        <v>293.09285706019585</v>
      </c>
      <c r="AS52" s="60">
        <f t="shared" si="168"/>
        <v>3.2975430470226314E-5</v>
      </c>
      <c r="AT52" s="60">
        <f t="shared" si="168"/>
        <v>6.6128928264991846E-4</v>
      </c>
      <c r="AU52" s="60">
        <f t="shared" si="168"/>
        <v>6.6128928264991846E-4</v>
      </c>
      <c r="AV52" s="60">
        <f t="shared" si="168"/>
        <v>1.8562506179646834E-7</v>
      </c>
      <c r="AW52" s="60">
        <f t="shared" si="168"/>
        <v>1.9119381365036237E-7</v>
      </c>
      <c r="AX52" s="60">
        <f t="shared" si="168"/>
        <v>1.8562506179646834E-7</v>
      </c>
      <c r="AY52" s="60">
        <f t="shared" si="168"/>
        <v>1.8562506179646834E-7</v>
      </c>
      <c r="AZ52" s="60">
        <f t="shared" si="168"/>
        <v>1.8562506179646834E-7</v>
      </c>
      <c r="BA52" s="60">
        <f t="shared" si="168"/>
        <v>1.8562506179646834E-7</v>
      </c>
      <c r="BB52" s="60">
        <f t="shared" si="168"/>
        <v>1.9119381365036237E-7</v>
      </c>
      <c r="BC52" s="60">
        <f t="shared" si="168"/>
        <v>1.8562506179646834E-7</v>
      </c>
      <c r="BD52" s="60">
        <f t="shared" si="168"/>
        <v>1.9119381365036237E-7</v>
      </c>
      <c r="BE52" s="111">
        <f t="shared" si="68"/>
        <v>3.0243950000000002</v>
      </c>
      <c r="BF52" s="111">
        <f t="shared" si="68"/>
        <v>3.2356073074062711E-4</v>
      </c>
      <c r="BG52" s="111">
        <f t="shared" si="68"/>
        <v>3.4118879935535872E-3</v>
      </c>
      <c r="BH52" s="111">
        <f t="shared" si="68"/>
        <v>30325.608664999996</v>
      </c>
      <c r="BI52" s="111">
        <f t="shared" si="68"/>
        <v>1512.1975</v>
      </c>
      <c r="BJ52" s="111">
        <f t="shared" si="68"/>
        <v>1512.1975</v>
      </c>
      <c r="BK52" s="111">
        <f t="shared" si="68"/>
        <v>5387203.59375</v>
      </c>
      <c r="BL52" s="111">
        <f t="shared" si="68"/>
        <v>5230294.7512135925</v>
      </c>
      <c r="BM52" s="111">
        <f t="shared" si="68"/>
        <v>5387203.59375</v>
      </c>
      <c r="BN52" s="111">
        <f t="shared" si="68"/>
        <v>5387203.59375</v>
      </c>
      <c r="BO52" s="111">
        <f t="shared" si="68"/>
        <v>5387203.59375</v>
      </c>
      <c r="BP52" s="111">
        <f t="shared" si="68"/>
        <v>5387203.59375</v>
      </c>
      <c r="BQ52" s="111">
        <f t="shared" si="68"/>
        <v>5230294.7512135925</v>
      </c>
      <c r="BR52" s="111">
        <f t="shared" si="68"/>
        <v>5387203.59375</v>
      </c>
      <c r="BS52" s="111">
        <f t="shared" si="68"/>
        <v>5230294.7512135925</v>
      </c>
      <c r="BT52" s="60">
        <f>IFERROR(BT17/$B52,".")</f>
        <v>2.0812755221142208E-8</v>
      </c>
      <c r="BU52" s="189">
        <f>IFERROR(BU17/$B52,0)</f>
        <v>6.2355014642542042E-17</v>
      </c>
      <c r="BV52" s="49">
        <f>IF(AP52=".",".",up_RadSpec!$E$17*BV17*$B$52)</f>
        <v>75.609875000000002</v>
      </c>
      <c r="BW52" s="49">
        <f>IF(AQ52=".",".",up_RadSpec!$H$17*BW17*$B$52)</f>
        <v>8.0890182685156783E-3</v>
      </c>
      <c r="BX52" s="49">
        <f>IF(AR52=".",".",up_RadSpec!$G$17*BX17*$B$52)</f>
        <v>8.5297199838839682E-2</v>
      </c>
      <c r="BY52" s="49">
        <f>up_b2s!CC52</f>
        <v>758140.216625</v>
      </c>
      <c r="BZ52" s="49">
        <f>IF(AT52=".",".",up_RadSpec!$F$17*BZ17*$B$52)</f>
        <v>37804.9375</v>
      </c>
      <c r="CA52" s="49">
        <f>IF(AU52=".",".",up_RadSpec!$F$17*CA17*$B$52)</f>
        <v>37804.9375</v>
      </c>
      <c r="CB52" s="49">
        <f>IF(AV52=".",".",up_RadSpec!$F$17*CB17*$B$52)</f>
        <v>134680089.84375</v>
      </c>
      <c r="CC52" s="49">
        <f>IF(AW52=".",".",up_RadSpec!$F$17*CC17*$B$52)</f>
        <v>130757368.78033982</v>
      </c>
      <c r="CD52" s="49">
        <f>IF(AX52=".",".",up_RadSpec!$F$17*CD17*$B$52)</f>
        <v>134680089.84375</v>
      </c>
      <c r="CE52" s="49">
        <f>IF(AY52=".",".",up_RadSpec!$F$17*CE17*$B$52)</f>
        <v>134680089.84375</v>
      </c>
      <c r="CF52" s="49">
        <f>IF(AZ52=".",".",up_RadSpec!$F$17*CF17*$B$52)</f>
        <v>134680089.84375</v>
      </c>
      <c r="CG52" s="49">
        <f>IF(BA52=".",".",up_RadSpec!$F$17*CG17*$B$52)</f>
        <v>134680089.84375</v>
      </c>
      <c r="CH52" s="49">
        <f>IF(BB52=".",".",up_RadSpec!$F$17*CH17*$B$52)</f>
        <v>130757368.78033982</v>
      </c>
      <c r="CI52" s="49">
        <f>IF(BC52=".",".",up_RadSpec!$F$17*CI17*$B$52)</f>
        <v>134680089.84375</v>
      </c>
      <c r="CJ52" s="49">
        <f>IF(BD52=".",".",up_RadSpec!$F$17*CJ17*$B$52)</f>
        <v>130757368.78033982</v>
      </c>
      <c r="CK52" s="49">
        <f t="shared" si="152"/>
        <v>1201186471.1984057</v>
      </c>
      <c r="CL52" s="60">
        <f>IFERROR(CL17/$B52,".")</f>
        <v>3.6370910545745513E-3</v>
      </c>
      <c r="CM52" s="60">
        <f>IFERROR(CM17,".")</f>
        <v>0.115609920856568</v>
      </c>
      <c r="CN52" s="60">
        <f t="shared" ref="CN52:CZ52" si="169">IFERROR(CN17/$B52,".")</f>
        <v>39.826147047591334</v>
      </c>
      <c r="CO52" s="60">
        <f t="shared" si="169"/>
        <v>1.6446702126463324E-4</v>
      </c>
      <c r="CP52" s="60">
        <f t="shared" si="169"/>
        <v>0.13225785652998368</v>
      </c>
      <c r="CQ52" s="60">
        <f t="shared" si="169"/>
        <v>0.13225785652998368</v>
      </c>
      <c r="CR52" s="60">
        <f t="shared" si="169"/>
        <v>2.6451571305996735E-2</v>
      </c>
      <c r="CS52" s="60">
        <f t="shared" si="169"/>
        <v>2.7245118445176637E-2</v>
      </c>
      <c r="CT52" s="60">
        <f t="shared" si="169"/>
        <v>2.6451571305996735E-2</v>
      </c>
      <c r="CU52" s="60">
        <f t="shared" si="169"/>
        <v>2.6451571305996735E-2</v>
      </c>
      <c r="CV52" s="60">
        <f t="shared" si="169"/>
        <v>2.6451571305996735E-2</v>
      </c>
      <c r="CW52" s="60">
        <f t="shared" si="169"/>
        <v>2.6451571305996735E-2</v>
      </c>
      <c r="CX52" s="60">
        <f t="shared" si="169"/>
        <v>2.7245118445176637E-2</v>
      </c>
      <c r="CY52" s="60">
        <f t="shared" si="169"/>
        <v>2.6451571305996735E-2</v>
      </c>
      <c r="CZ52" s="60">
        <f t="shared" si="169"/>
        <v>2.7245118445176637E-2</v>
      </c>
      <c r="DA52" s="111">
        <f t="shared" si="76"/>
        <v>274.94499999999999</v>
      </c>
      <c r="DB52" s="111">
        <f t="shared" si="70"/>
        <v>8.6497767024739574</v>
      </c>
      <c r="DC52" s="111">
        <f t="shared" si="70"/>
        <v>2.5109132420091326E-2</v>
      </c>
      <c r="DD52" s="111">
        <f t="shared" si="70"/>
        <v>6080.2463151014617</v>
      </c>
      <c r="DE52" s="111">
        <f t="shared" si="70"/>
        <v>7.5609875000000004</v>
      </c>
      <c r="DF52" s="111">
        <f t="shared" si="70"/>
        <v>7.5609875000000004</v>
      </c>
      <c r="DG52" s="111">
        <f t="shared" si="70"/>
        <v>37.804937500000001</v>
      </c>
      <c r="DH52" s="111">
        <f t="shared" si="70"/>
        <v>36.703822815533982</v>
      </c>
      <c r="DI52" s="111">
        <f t="shared" si="70"/>
        <v>37.804937500000001</v>
      </c>
      <c r="DJ52" s="111">
        <f t="shared" si="70"/>
        <v>37.804937500000001</v>
      </c>
      <c r="DK52" s="111">
        <f t="shared" si="70"/>
        <v>37.804937500000001</v>
      </c>
      <c r="DL52" s="111">
        <f t="shared" si="70"/>
        <v>37.804937500000001</v>
      </c>
      <c r="DM52" s="111">
        <f t="shared" si="70"/>
        <v>36.703822815533982</v>
      </c>
      <c r="DN52" s="111">
        <f t="shared" si="70"/>
        <v>37.804937500000001</v>
      </c>
      <c r="DO52" s="111">
        <f t="shared" si="70"/>
        <v>36.703822815533982</v>
      </c>
      <c r="DP52" s="60">
        <f>IFERROR(DP17/$B52,".")</f>
        <v>1.4889976017895326E-4</v>
      </c>
      <c r="DQ52" s="189">
        <f t="shared" ref="DQ52" si="170">IFERROR(DQ17/$B52,0)</f>
        <v>4.4610368149614395E-16</v>
      </c>
      <c r="DR52" s="49">
        <f>IF(CL52=".",".",up_RadSpec!$I$17*DR17*$B$52)</f>
        <v>6873.625</v>
      </c>
      <c r="DS52" s="49">
        <f>IF(CM52=".",".",up_RadSpec!$H$17*DS17)</f>
        <v>216.24441756184893</v>
      </c>
      <c r="DT52" s="49">
        <f>IF(CN52=".",".",up_RadSpec!$M$17*DT17*$B$52)</f>
        <v>0.62772831050228306</v>
      </c>
      <c r="DU52" s="49">
        <f>up_b2w!CC52</f>
        <v>152006.15787753658</v>
      </c>
      <c r="DV52" s="49">
        <f>IF(CP52=".",".",up_RadSpec!$F$17*DV17*$B$52)</f>
        <v>189.0246875</v>
      </c>
      <c r="DW52" s="49">
        <f>IF(CQ52=".",".",up_RadSpec!$F$17*DW17*$B$52)</f>
        <v>189.0246875</v>
      </c>
      <c r="DX52" s="49">
        <f>IF(CR52=".",".",up_RadSpec!$F$17*DX17*$B$52)</f>
        <v>945.12343750000002</v>
      </c>
      <c r="DY52" s="49">
        <f>IF(CS52=".",".",up_RadSpec!$F$17*DY17*$B$52)</f>
        <v>917.59557038834953</v>
      </c>
      <c r="DZ52" s="49">
        <f>IF(CT52=".",".",up_RadSpec!$F$17*DZ17*$B$52)</f>
        <v>945.12343750000002</v>
      </c>
      <c r="EA52" s="49">
        <f>IF(CU52=".",".",up_RadSpec!$F$17*EA17*$B$52)</f>
        <v>945.12343750000002</v>
      </c>
      <c r="EB52" s="49">
        <f>IF(CV52=".",".",up_RadSpec!$F$17*EB17*$B$52)</f>
        <v>945.12343750000002</v>
      </c>
      <c r="EC52" s="49">
        <f>IF(CW52=".",".",up_RadSpec!$F$17*EC17*$B$52)</f>
        <v>945.12343750000002</v>
      </c>
      <c r="ED52" s="49">
        <f>IF(CX52=".",".",up_RadSpec!$F$17*ED17*$B$52)</f>
        <v>917.59557038834953</v>
      </c>
      <c r="EE52" s="49">
        <f>IF(CY52=".",".",up_RadSpec!$F$17*EE17*$B$52)</f>
        <v>945.12343750000002</v>
      </c>
      <c r="EF52" s="49">
        <f>IF(CZ52=".",".",up_RadSpec!$F$17*EF17*$B$52)</f>
        <v>917.59557038834953</v>
      </c>
      <c r="EG52" s="49">
        <f t="shared" si="155"/>
        <v>167898.23173457399</v>
      </c>
      <c r="EH52" s="60">
        <f>IFERROR(EH17/$B52,".")</f>
        <v>9.9760211782616275E-3</v>
      </c>
      <c r="EI52" s="60">
        <f>IFERROR(EI17/$B52,".")</f>
        <v>63.721835276146138</v>
      </c>
      <c r="EJ52" s="60">
        <f>IFERROR(EJ17/$B52,".")</f>
        <v>9.9744596190257731E-3</v>
      </c>
      <c r="EK52" s="189">
        <f t="shared" ref="EK52" si="171">IFERROR(EK17/$B52,0)</f>
        <v>2.9883481018601213E-14</v>
      </c>
      <c r="EL52" s="49">
        <f>IF(EH52=".",".",up_RadSpec!$H$17*EL17*$B$52)</f>
        <v>2506.0091145833326</v>
      </c>
      <c r="EM52" s="49">
        <f>IF(EI52=".",".",up_RadSpec!$K$17*EM17*$B$52)</f>
        <v>0.392330194063927</v>
      </c>
      <c r="EN52" s="49">
        <f t="shared" si="60"/>
        <v>2506.4014447773966</v>
      </c>
    </row>
    <row r="53" spans="1:144" x14ac:dyDescent="0.25">
      <c r="A53" s="77" t="s">
        <v>1074</v>
      </c>
      <c r="B53" s="42">
        <v>2.0000000000000001E-4</v>
      </c>
      <c r="C53" s="238"/>
      <c r="D53" s="60">
        <f t="shared" ref="D53:O53" si="172">IFERROR(D5/$B53,".")</f>
        <v>0.82644628099173556</v>
      </c>
      <c r="E53" s="60">
        <f t="shared" si="172"/>
        <v>3.3057851239669422</v>
      </c>
      <c r="F53" s="60">
        <f t="shared" si="172"/>
        <v>3.3057851239669422</v>
      </c>
      <c r="G53" s="60">
        <f t="shared" si="172"/>
        <v>3.3057851239669422</v>
      </c>
      <c r="H53" s="60">
        <f t="shared" si="172"/>
        <v>3.3057851239669422</v>
      </c>
      <c r="I53" s="60">
        <f t="shared" si="172"/>
        <v>3.3057851239669422</v>
      </c>
      <c r="J53" s="60">
        <f t="shared" si="172"/>
        <v>3.3057851239669422</v>
      </c>
      <c r="K53" s="60">
        <f t="shared" si="172"/>
        <v>3.3057851239669422</v>
      </c>
      <c r="L53" s="60">
        <f t="shared" si="172"/>
        <v>3.3057851239669422</v>
      </c>
      <c r="M53" s="60">
        <f t="shared" si="172"/>
        <v>3.3057851239669422</v>
      </c>
      <c r="N53" s="60">
        <f t="shared" si="172"/>
        <v>3.3057851239669422</v>
      </c>
      <c r="O53" s="60">
        <f t="shared" si="172"/>
        <v>3.3057851239669422</v>
      </c>
      <c r="P53" s="111">
        <f t="shared" si="150"/>
        <v>0.30249999999999999</v>
      </c>
      <c r="Q53" s="111">
        <f t="shared" si="150"/>
        <v>0.30249999999999999</v>
      </c>
      <c r="R53" s="111">
        <f t="shared" si="150"/>
        <v>0.30249999999999999</v>
      </c>
      <c r="S53" s="111">
        <f t="shared" si="150"/>
        <v>0.30249999999999999</v>
      </c>
      <c r="T53" s="111">
        <f t="shared" si="150"/>
        <v>0.30249999999999999</v>
      </c>
      <c r="U53" s="111">
        <f t="shared" si="150"/>
        <v>0.30249999999999999</v>
      </c>
      <c r="V53" s="111">
        <f t="shared" si="150"/>
        <v>0.30249999999999999</v>
      </c>
      <c r="W53" s="111">
        <f t="shared" si="150"/>
        <v>0.30249999999999999</v>
      </c>
      <c r="X53" s="111">
        <f t="shared" si="26"/>
        <v>0.30249999999999999</v>
      </c>
      <c r="Y53" s="111">
        <f t="shared" si="26"/>
        <v>0.30249999999999999</v>
      </c>
      <c r="Z53" s="111">
        <f t="shared" si="26"/>
        <v>0.30249999999999999</v>
      </c>
      <c r="AA53" s="111">
        <f t="shared" si="26"/>
        <v>0.30249999999999999</v>
      </c>
      <c r="AB53" s="60">
        <f>IFERROR(AB5/$B53,".")</f>
        <v>0.27548209366391185</v>
      </c>
      <c r="AC53" s="189">
        <f>IFERROR(AC5/$B53,0)</f>
        <v>8.4077134986225902E-10</v>
      </c>
      <c r="AD53" s="49">
        <f>up_dir!BC53</f>
        <v>30.250000000000004</v>
      </c>
      <c r="AE53" s="49">
        <f>IF(E53=".",".",up_RadSpec!$F$5*AE5*$B$53)</f>
        <v>7.5625</v>
      </c>
      <c r="AF53" s="49">
        <f>IF(F53=".",".",up_RadSpec!$F$5*AF5*$B$53)</f>
        <v>7.5625</v>
      </c>
      <c r="AG53" s="49">
        <f>IF(G53=".",".",up_RadSpec!$F$5*AG5*$B$53)</f>
        <v>7.5625</v>
      </c>
      <c r="AH53" s="49">
        <f>IF(H53=".",".",up_RadSpec!$F$5*AH5*$B$53)</f>
        <v>7.5625</v>
      </c>
      <c r="AI53" s="49">
        <f>IF(I53=".",".",up_RadSpec!$F$5*AI5*$B$53)</f>
        <v>7.5625</v>
      </c>
      <c r="AJ53" s="49">
        <f>IF(J53=".",".",up_RadSpec!$F$5*AJ5*$B$53)</f>
        <v>7.5625</v>
      </c>
      <c r="AK53" s="49">
        <f>IF(K53=".",".",up_RadSpec!$F$5*AK5*$B$53)</f>
        <v>7.5625</v>
      </c>
      <c r="AL53" s="49">
        <f>IF(L53=".",".",up_RadSpec!$F$5*AL5*$B$53)</f>
        <v>7.5625</v>
      </c>
      <c r="AM53" s="49">
        <f>IF(M53=".",".",up_RadSpec!$F$5*AM5*$B$53)</f>
        <v>7.5625</v>
      </c>
      <c r="AN53" s="49">
        <f>IF(N53=".",".",up_RadSpec!$F$5*AN5*$B$53)</f>
        <v>7.5625</v>
      </c>
      <c r="AO53" s="49">
        <f>IF(O53=".",".",up_RadSpec!$F$5*AO5*$B$53)</f>
        <v>7.5625</v>
      </c>
      <c r="AP53" s="60">
        <f t="shared" ref="AP53:BD53" si="173">IFERROR(AP5/$B53,".")</f>
        <v>1652.8925619834711</v>
      </c>
      <c r="AQ53" s="60">
        <f t="shared" si="173"/>
        <v>15449958.925971458</v>
      </c>
      <c r="AR53" s="60" t="str">
        <f t="shared" si="173"/>
        <v>.</v>
      </c>
      <c r="AS53" s="60">
        <f t="shared" si="173"/>
        <v>0.16484417692066136</v>
      </c>
      <c r="AT53" s="60">
        <f t="shared" si="173"/>
        <v>3.3057851239669422</v>
      </c>
      <c r="AU53" s="60">
        <f t="shared" si="173"/>
        <v>3.3057851239669422</v>
      </c>
      <c r="AV53" s="60">
        <f t="shared" si="173"/>
        <v>9.2793968392054522E-4</v>
      </c>
      <c r="AW53" s="60">
        <f t="shared" si="173"/>
        <v>9.5577787443816152E-4</v>
      </c>
      <c r="AX53" s="60">
        <f t="shared" si="173"/>
        <v>9.2793968392054522E-4</v>
      </c>
      <c r="AY53" s="60">
        <f t="shared" si="173"/>
        <v>9.2793968392054522E-4</v>
      </c>
      <c r="AZ53" s="60">
        <f t="shared" si="173"/>
        <v>9.2793968392054522E-4</v>
      </c>
      <c r="BA53" s="60">
        <f t="shared" si="173"/>
        <v>9.2793968392054522E-4</v>
      </c>
      <c r="BB53" s="60">
        <f t="shared" si="173"/>
        <v>9.5577787443816152E-4</v>
      </c>
      <c r="BC53" s="60">
        <f t="shared" si="173"/>
        <v>9.2793968392054522E-4</v>
      </c>
      <c r="BD53" s="60">
        <f t="shared" si="173"/>
        <v>9.5577787443816152E-4</v>
      </c>
      <c r="BE53" s="111">
        <f t="shared" ref="BE53:BS98" si="174">IFERROR(1/AP53,".")</f>
        <v>6.0499999999999996E-4</v>
      </c>
      <c r="BF53" s="111">
        <f t="shared" si="174"/>
        <v>6.4725091166358705E-8</v>
      </c>
      <c r="BG53" s="111" t="str">
        <f t="shared" si="174"/>
        <v>.</v>
      </c>
      <c r="BH53" s="111">
        <f t="shared" si="174"/>
        <v>6.0663349999999987</v>
      </c>
      <c r="BI53" s="111">
        <f t="shared" si="174"/>
        <v>0.30249999999999999</v>
      </c>
      <c r="BJ53" s="111">
        <f t="shared" si="174"/>
        <v>0.30249999999999999</v>
      </c>
      <c r="BK53" s="111">
        <f t="shared" si="174"/>
        <v>1077.65625</v>
      </c>
      <c r="BL53" s="111">
        <f t="shared" si="174"/>
        <v>1046.2682038834951</v>
      </c>
      <c r="BM53" s="111">
        <f t="shared" si="174"/>
        <v>1077.65625</v>
      </c>
      <c r="BN53" s="111">
        <f t="shared" si="174"/>
        <v>1077.65625</v>
      </c>
      <c r="BO53" s="111">
        <f t="shared" si="174"/>
        <v>1077.65625</v>
      </c>
      <c r="BP53" s="111">
        <f t="shared" si="174"/>
        <v>1077.65625</v>
      </c>
      <c r="BQ53" s="111">
        <f t="shared" si="174"/>
        <v>1046.2682038834951</v>
      </c>
      <c r="BR53" s="111">
        <f t="shared" si="174"/>
        <v>1077.65625</v>
      </c>
      <c r="BS53" s="111">
        <f t="shared" si="174"/>
        <v>1046.2682038834951</v>
      </c>
      <c r="BT53" s="60">
        <f>IFERROR(BT5/$B53,".")</f>
        <v>1.0404296335787807E-4</v>
      </c>
      <c r="BU53" s="189">
        <f>IFERROR(BU5/$B53,0)</f>
        <v>3.1753912416824387E-13</v>
      </c>
      <c r="BV53" s="49">
        <f>IF(AP53=".",".",up_RadSpec!$E$5*BV5*$B$53)</f>
        <v>1.5125000000000001E-2</v>
      </c>
      <c r="BW53" s="49">
        <f>IF(AQ53=".",".",up_RadSpec!$H$5*BW5*$B$53)</f>
        <v>1.6181272791589677E-6</v>
      </c>
      <c r="BX53" s="49" t="str">
        <f>IF(AR53=".",".",up_RadSpec!$G$5*BX5*$B$53)</f>
        <v>.</v>
      </c>
      <c r="BY53" s="49">
        <f>up_b2s!CC53</f>
        <v>151.65837500000001</v>
      </c>
      <c r="BZ53" s="49">
        <f>IF(AT53=".",".",up_RadSpec!$F$5*BZ5*$B$53)</f>
        <v>7.5625</v>
      </c>
      <c r="CA53" s="49">
        <f>IF(AU53=".",".",up_RadSpec!$F$5*CA5*$B$53)</f>
        <v>7.5625</v>
      </c>
      <c r="CB53" s="49">
        <f>IF(AV53=".",".",up_RadSpec!$F$5*CB5*$B$53)</f>
        <v>26941.40625</v>
      </c>
      <c r="CC53" s="49">
        <f>IF(AW53=".",".",up_RadSpec!$F$5*CC5*$B$53)</f>
        <v>26156.705097087382</v>
      </c>
      <c r="CD53" s="49">
        <f>IF(AX53=".",".",up_RadSpec!$F$5*CD5*$B$53)</f>
        <v>26941.40625</v>
      </c>
      <c r="CE53" s="49">
        <f>IF(AY53=".",".",up_RadSpec!$F$5*CE5*$B$53)</f>
        <v>26941.40625</v>
      </c>
      <c r="CF53" s="49">
        <f>IF(AZ53=".",".",up_RadSpec!$F$5*CF5*$B$53)</f>
        <v>26941.40625</v>
      </c>
      <c r="CG53" s="49">
        <f>IF(BA53=".",".",up_RadSpec!$F$5*CG5*$B$53)</f>
        <v>26941.40625</v>
      </c>
      <c r="CH53" s="49">
        <f>IF(BB53=".",".",up_RadSpec!$F$5*CH5*$B$53)</f>
        <v>26156.705097087382</v>
      </c>
      <c r="CI53" s="49">
        <f>IF(BC53=".",".",up_RadSpec!$F$5*CI5*$B$53)</f>
        <v>26941.40625</v>
      </c>
      <c r="CJ53" s="49">
        <f>IF(BD53=".",".",up_RadSpec!$F$5*CJ5*$B$53)</f>
        <v>26156.705097087382</v>
      </c>
      <c r="CK53" s="49">
        <f t="shared" si="152"/>
        <v>240285.35129288025</v>
      </c>
      <c r="CL53" s="60">
        <f>IFERROR(CL5/$B53,".")</f>
        <v>18.18181818181818</v>
      </c>
      <c r="CM53" s="60">
        <f>IFERROR(CM5,".")</f>
        <v>137.32464063589893</v>
      </c>
      <c r="CN53" s="60">
        <f t="shared" ref="CN53:CZ53" si="175">IFERROR(CN5/$B53,".")</f>
        <v>199090.90909090909</v>
      </c>
      <c r="CO53" s="60">
        <f t="shared" si="175"/>
        <v>0.8221706393019016</v>
      </c>
      <c r="CP53" s="60">
        <f t="shared" si="175"/>
        <v>661.15702479338847</v>
      </c>
      <c r="CQ53" s="60">
        <f t="shared" si="175"/>
        <v>661.15702479338847</v>
      </c>
      <c r="CR53" s="60">
        <f t="shared" si="175"/>
        <v>132.23140495867767</v>
      </c>
      <c r="CS53" s="60">
        <f t="shared" si="175"/>
        <v>136.198347107438</v>
      </c>
      <c r="CT53" s="60">
        <f t="shared" si="175"/>
        <v>132.23140495867767</v>
      </c>
      <c r="CU53" s="60">
        <f t="shared" si="175"/>
        <v>132.23140495867767</v>
      </c>
      <c r="CV53" s="60">
        <f t="shared" si="175"/>
        <v>132.23140495867767</v>
      </c>
      <c r="CW53" s="60">
        <f t="shared" si="175"/>
        <v>132.23140495867767</v>
      </c>
      <c r="CX53" s="60">
        <f t="shared" si="175"/>
        <v>136.198347107438</v>
      </c>
      <c r="CY53" s="60">
        <f t="shared" si="175"/>
        <v>132.23140495867767</v>
      </c>
      <c r="CZ53" s="60">
        <f t="shared" si="175"/>
        <v>136.198347107438</v>
      </c>
      <c r="DA53" s="111">
        <f t="shared" si="76"/>
        <v>5.5000000000000007E-2</v>
      </c>
      <c r="DB53" s="111">
        <f t="shared" si="70"/>
        <v>7.2820143229166655E-3</v>
      </c>
      <c r="DC53" s="111">
        <f t="shared" si="70"/>
        <v>5.0228310502283103E-6</v>
      </c>
      <c r="DD53" s="111">
        <f t="shared" si="70"/>
        <v>1.2162925215245972</v>
      </c>
      <c r="DE53" s="111">
        <f t="shared" si="70"/>
        <v>1.5125E-3</v>
      </c>
      <c r="DF53" s="111">
        <f t="shared" si="70"/>
        <v>1.5125E-3</v>
      </c>
      <c r="DG53" s="111">
        <f t="shared" si="70"/>
        <v>7.5625000000000006E-3</v>
      </c>
      <c r="DH53" s="111">
        <f t="shared" si="70"/>
        <v>7.3422330097087391E-3</v>
      </c>
      <c r="DI53" s="111">
        <f t="shared" si="70"/>
        <v>7.5625000000000006E-3</v>
      </c>
      <c r="DJ53" s="111">
        <f t="shared" si="70"/>
        <v>7.5625000000000006E-3</v>
      </c>
      <c r="DK53" s="111">
        <f t="shared" si="70"/>
        <v>7.5625000000000006E-3</v>
      </c>
      <c r="DL53" s="111">
        <f t="shared" si="70"/>
        <v>7.5625000000000006E-3</v>
      </c>
      <c r="DM53" s="111">
        <f t="shared" si="70"/>
        <v>7.3422330097087391E-3</v>
      </c>
      <c r="DN53" s="111">
        <f t="shared" si="70"/>
        <v>7.5625000000000006E-3</v>
      </c>
      <c r="DO53" s="111">
        <f t="shared" si="70"/>
        <v>7.3422330097087391E-3</v>
      </c>
      <c r="DP53" s="60">
        <f>IFERROR(DP5/$B53,".")</f>
        <v>0.745308821436658</v>
      </c>
      <c r="DQ53" s="189">
        <f t="shared" ref="DQ53" si="176">IFERROR(DQ5/$B53,0)</f>
        <v>2.2746825230246802E-12</v>
      </c>
      <c r="DR53" s="49">
        <f>IF(CL53=".",".",up_RadSpec!$I$5*DR5*$B$53)</f>
        <v>1.375</v>
      </c>
      <c r="DS53" s="49">
        <f>IF(CM53=".",".",up_RadSpec!$H$5*DS5)</f>
        <v>0.18205035807291664</v>
      </c>
      <c r="DT53" s="49">
        <f>IF(CN53=".",".",up_RadSpec!$M$5*DT5*$B$53)</f>
        <v>1.2557077625570778E-4</v>
      </c>
      <c r="DU53" s="49">
        <f>up_b2w!CC53</f>
        <v>30.407313038114939</v>
      </c>
      <c r="DV53" s="49">
        <f>IF(CP53=".",".",up_RadSpec!$F$5*DV5*$B$53)</f>
        <v>3.7812499999999999E-2</v>
      </c>
      <c r="DW53" s="49">
        <f>IF(CQ53=".",".",up_RadSpec!$F$5*DW5*$B$53)</f>
        <v>3.7812499999999999E-2</v>
      </c>
      <c r="DX53" s="49">
        <f>IF(CR53=".",".",up_RadSpec!$F$5*DX5*$B$53)</f>
        <v>0.18906250000000002</v>
      </c>
      <c r="DY53" s="49">
        <f>IF(CS53=".",".",up_RadSpec!$F$5*DY5*$B$53)</f>
        <v>0.18355582524271846</v>
      </c>
      <c r="DZ53" s="49">
        <f>IF(CT53=".",".",up_RadSpec!$F$5*DZ5*$B$53)</f>
        <v>0.18906250000000002</v>
      </c>
      <c r="EA53" s="49">
        <f>IF(CU53=".",".",up_RadSpec!$F$5*EA5*$B$53)</f>
        <v>0.18906250000000002</v>
      </c>
      <c r="EB53" s="49">
        <f>IF(CV53=".",".",up_RadSpec!$F$5*EB5*$B$53)</f>
        <v>0.18906250000000002</v>
      </c>
      <c r="EC53" s="49">
        <f>IF(CW53=".",".",up_RadSpec!$F$5*EC5*$B$53)</f>
        <v>0.18906250000000002</v>
      </c>
      <c r="ED53" s="49">
        <f>IF(CX53=".",".",up_RadSpec!$F$5*ED5*$B$53)</f>
        <v>0.18355582524271846</v>
      </c>
      <c r="EE53" s="49">
        <f>IF(CY53=".",".",up_RadSpec!$F$5*EE5*$B$53)</f>
        <v>0.18906250000000002</v>
      </c>
      <c r="EF53" s="49">
        <f>IF(CZ53=".",".",up_RadSpec!$F$5*EF5*$B$53)</f>
        <v>0.18355582524271846</v>
      </c>
      <c r="EG53" s="49">
        <f t="shared" si="155"/>
        <v>33.725156442692267</v>
      </c>
      <c r="EH53" s="60">
        <f>IFERROR(EH5/$B53,".")</f>
        <v>49.870129870129873</v>
      </c>
      <c r="EI53" s="60">
        <f>IFERROR(EI5/$B53,".")</f>
        <v>318545.45454545453</v>
      </c>
      <c r="EJ53" s="60">
        <f>IFERROR(EJ5/$B53,".")</f>
        <v>49.862323635509838</v>
      </c>
      <c r="EK53" s="189">
        <f t="shared" ref="EK53" si="177">IFERROR(EK5/$B53,0)</f>
        <v>1.5217981173557603E-10</v>
      </c>
      <c r="EL53" s="49">
        <f>IF(EH53=".",".",up_RadSpec!$H$5*EL5*$B$53)</f>
        <v>0.50130208333333326</v>
      </c>
      <c r="EM53" s="49">
        <f>IF(EI53=".",".",up_RadSpec!$K$5*EM5*$B$53)</f>
        <v>7.8481735159817364E-5</v>
      </c>
      <c r="EN53" s="49">
        <f t="shared" si="60"/>
        <v>0.50138056506849304</v>
      </c>
    </row>
    <row r="54" spans="1:144" x14ac:dyDescent="0.25">
      <c r="A54" s="77" t="s">
        <v>1075</v>
      </c>
      <c r="B54" s="42">
        <v>0.99999979999999999</v>
      </c>
      <c r="C54" s="238"/>
      <c r="D54" s="60">
        <f t="shared" ref="D54:O54" si="178">IFERROR(D9/$B54,".")</f>
        <v>1.6528928925620498E-4</v>
      </c>
      <c r="E54" s="60">
        <f t="shared" si="178"/>
        <v>6.611571570248199E-4</v>
      </c>
      <c r="F54" s="60">
        <f t="shared" si="178"/>
        <v>6.611571570248199E-4</v>
      </c>
      <c r="G54" s="60">
        <f t="shared" si="178"/>
        <v>6.611571570248199E-4</v>
      </c>
      <c r="H54" s="60">
        <f t="shared" si="178"/>
        <v>6.611571570248199E-4</v>
      </c>
      <c r="I54" s="60">
        <f t="shared" si="178"/>
        <v>6.611571570248199E-4</v>
      </c>
      <c r="J54" s="60">
        <f t="shared" si="178"/>
        <v>6.611571570248199E-4</v>
      </c>
      <c r="K54" s="60">
        <f t="shared" si="178"/>
        <v>6.611571570248199E-4</v>
      </c>
      <c r="L54" s="60">
        <f t="shared" si="178"/>
        <v>6.611571570248199E-4</v>
      </c>
      <c r="M54" s="60">
        <f t="shared" si="178"/>
        <v>6.611571570248199E-4</v>
      </c>
      <c r="N54" s="60">
        <f t="shared" si="178"/>
        <v>6.611571570248199E-4</v>
      </c>
      <c r="O54" s="60">
        <f t="shared" si="178"/>
        <v>6.611571570248199E-4</v>
      </c>
      <c r="P54" s="111">
        <f t="shared" si="150"/>
        <v>1512.4996974999999</v>
      </c>
      <c r="Q54" s="111">
        <f t="shared" si="150"/>
        <v>1512.4996974999999</v>
      </c>
      <c r="R54" s="111">
        <f t="shared" si="150"/>
        <v>1512.4996974999999</v>
      </c>
      <c r="S54" s="111">
        <f t="shared" si="150"/>
        <v>1512.4996974999999</v>
      </c>
      <c r="T54" s="111">
        <f t="shared" si="150"/>
        <v>1512.4996974999999</v>
      </c>
      <c r="U54" s="111">
        <f t="shared" si="150"/>
        <v>1512.4996974999999</v>
      </c>
      <c r="V54" s="111">
        <f t="shared" si="150"/>
        <v>1512.4996974999999</v>
      </c>
      <c r="W54" s="111">
        <f t="shared" si="150"/>
        <v>1512.4996974999999</v>
      </c>
      <c r="X54" s="111">
        <f t="shared" si="26"/>
        <v>1512.4996974999999</v>
      </c>
      <c r="Y54" s="111">
        <f t="shared" si="26"/>
        <v>1512.4996974999999</v>
      </c>
      <c r="Z54" s="111">
        <f t="shared" si="26"/>
        <v>1512.4996974999999</v>
      </c>
      <c r="AA54" s="111">
        <f t="shared" si="26"/>
        <v>1512.4996974999999</v>
      </c>
      <c r="AB54" s="60">
        <f>IFERROR(AB9/$B54,".")</f>
        <v>5.5096429752068319E-5</v>
      </c>
      <c r="AC54" s="189">
        <f>IFERROR(AC9/$B54,0)</f>
        <v>1.6506890353719673E-13</v>
      </c>
      <c r="AD54" s="49">
        <f>up_dir!BC54</f>
        <v>151249.96974999999</v>
      </c>
      <c r="AE54" s="49">
        <f>IF(E54=".",".",up_RadSpec!$F$9*AE9*$B$54)</f>
        <v>37812.492437499997</v>
      </c>
      <c r="AF54" s="49">
        <f>IF(F54=".",".",up_RadSpec!$F$9*AF9*$B$54)</f>
        <v>37812.492437499997</v>
      </c>
      <c r="AG54" s="49">
        <f>IF(G54=".",".",up_RadSpec!$F$9*AG9*$B$54)</f>
        <v>37812.492437499997</v>
      </c>
      <c r="AH54" s="49">
        <f>IF(H54=".",".",up_RadSpec!$F$9*AH9*$B$54)</f>
        <v>37812.492437499997</v>
      </c>
      <c r="AI54" s="49">
        <f>IF(I54=".",".",up_RadSpec!$F$9*AI9*$B$54)</f>
        <v>37812.492437499997</v>
      </c>
      <c r="AJ54" s="49">
        <f>IF(J54=".",".",up_RadSpec!$F$9*AJ9*$B$54)</f>
        <v>37812.492437499997</v>
      </c>
      <c r="AK54" s="49">
        <f>IF(K54=".",".",up_RadSpec!$F$9*AK9*$B$54)</f>
        <v>37812.492437499997</v>
      </c>
      <c r="AL54" s="49">
        <f>IF(L54=".",".",up_RadSpec!$F$9*AL9*$B$54)</f>
        <v>37812.492437499997</v>
      </c>
      <c r="AM54" s="49">
        <f>IF(M54=".",".",up_RadSpec!$F$9*AM9*$B$54)</f>
        <v>37812.492437499997</v>
      </c>
      <c r="AN54" s="49">
        <f>IF(N54=".",".",up_RadSpec!$F$9*AN9*$B$54)</f>
        <v>37812.492437499997</v>
      </c>
      <c r="AO54" s="49">
        <f>IF(O54=".",".",up_RadSpec!$F$9*AO9*$B$54)</f>
        <v>37812.492437499997</v>
      </c>
      <c r="AP54" s="60">
        <f t="shared" ref="AP54:BD54" si="179">IFERROR(AP9/$B54,".")</f>
        <v>0.3305785785124099</v>
      </c>
      <c r="AQ54" s="60">
        <f t="shared" si="179"/>
        <v>3089.9924031927726</v>
      </c>
      <c r="AR54" s="60">
        <f t="shared" si="179"/>
        <v>108.34244377237872</v>
      </c>
      <c r="AS54" s="60">
        <f t="shared" si="179"/>
        <v>3.296884197790067E-5</v>
      </c>
      <c r="AT54" s="60">
        <f t="shared" si="179"/>
        <v>6.611571570248199E-4</v>
      </c>
      <c r="AU54" s="60">
        <f t="shared" si="179"/>
        <v>6.611571570248199E-4</v>
      </c>
      <c r="AV54" s="60">
        <f t="shared" si="179"/>
        <v>1.8558797390170383E-7</v>
      </c>
      <c r="AW54" s="60">
        <f t="shared" si="179"/>
        <v>1.9115561311875494E-7</v>
      </c>
      <c r="AX54" s="60">
        <f t="shared" si="179"/>
        <v>1.8558797390170383E-7</v>
      </c>
      <c r="AY54" s="60">
        <f t="shared" si="179"/>
        <v>1.8558797390170383E-7</v>
      </c>
      <c r="AZ54" s="60">
        <f t="shared" si="179"/>
        <v>1.8558797390170383E-7</v>
      </c>
      <c r="BA54" s="60">
        <f t="shared" si="179"/>
        <v>1.8558797390170383E-7</v>
      </c>
      <c r="BB54" s="60">
        <f t="shared" si="179"/>
        <v>1.9115561311875494E-7</v>
      </c>
      <c r="BC54" s="60">
        <f t="shared" si="179"/>
        <v>1.8558797390170383E-7</v>
      </c>
      <c r="BD54" s="60">
        <f t="shared" si="179"/>
        <v>1.9115561311875494E-7</v>
      </c>
      <c r="BE54" s="111">
        <f t="shared" si="174"/>
        <v>3.024999395</v>
      </c>
      <c r="BF54" s="111">
        <f t="shared" si="174"/>
        <v>3.2362539110670233E-4</v>
      </c>
      <c r="BG54" s="111">
        <f t="shared" si="174"/>
        <v>9.2299930219493925E-3</v>
      </c>
      <c r="BH54" s="111">
        <f t="shared" si="174"/>
        <v>30331.668933664991</v>
      </c>
      <c r="BI54" s="111">
        <f t="shared" si="174"/>
        <v>1512.4996974999999</v>
      </c>
      <c r="BJ54" s="111">
        <f t="shared" si="174"/>
        <v>1512.4996974999999</v>
      </c>
      <c r="BK54" s="111">
        <f t="shared" si="174"/>
        <v>5388280.1723437496</v>
      </c>
      <c r="BL54" s="111">
        <f t="shared" si="174"/>
        <v>5231339.9731492717</v>
      </c>
      <c r="BM54" s="111">
        <f t="shared" si="174"/>
        <v>5388280.1723437496</v>
      </c>
      <c r="BN54" s="111">
        <f t="shared" si="174"/>
        <v>5388280.1723437496</v>
      </c>
      <c r="BO54" s="111">
        <f t="shared" si="174"/>
        <v>5388280.1723437496</v>
      </c>
      <c r="BP54" s="111">
        <f t="shared" si="174"/>
        <v>5388280.1723437496</v>
      </c>
      <c r="BQ54" s="111">
        <f t="shared" si="174"/>
        <v>5231339.9731492717</v>
      </c>
      <c r="BR54" s="111">
        <f t="shared" si="174"/>
        <v>5388280.1723437496</v>
      </c>
      <c r="BS54" s="111">
        <f t="shared" si="174"/>
        <v>5231339.9731492717</v>
      </c>
      <c r="BT54" s="60">
        <f>IFERROR(BT9/$B54,".")</f>
        <v>2.0808596829298411E-8</v>
      </c>
      <c r="BU54" s="189">
        <f>IFERROR(BU9/$B54,0)</f>
        <v>6.2342556100578049E-17</v>
      </c>
      <c r="BV54" s="49">
        <f>IF(AP54=".",".",up_RadSpec!$E$9*BV9*$B$54)</f>
        <v>75.624984874999996</v>
      </c>
      <c r="BW54" s="49">
        <f>IF(AQ54=".",".",up_RadSpec!$H$9*BW9*$B$54)</f>
        <v>8.0906347776675581E-3</v>
      </c>
      <c r="BX54" s="49">
        <f>IF(AR54=".",".",up_RadSpec!$G$9*BX9*$B$54)</f>
        <v>0.23074982554873483</v>
      </c>
      <c r="BY54" s="49">
        <f>up_b2s!CC54</f>
        <v>758291.72334162507</v>
      </c>
      <c r="BZ54" s="49">
        <f>IF(AT54=".",".",up_RadSpec!$F$9*BZ9*$B$54)</f>
        <v>37812.492437499997</v>
      </c>
      <c r="CA54" s="49">
        <f>IF(AU54=".",".",up_RadSpec!$F$9*CA9*$B$54)</f>
        <v>37812.492437499997</v>
      </c>
      <c r="CB54" s="49">
        <f>IF(AV54=".",".",up_RadSpec!$F$9*CB9*$B$54)</f>
        <v>134707004.30859375</v>
      </c>
      <c r="CC54" s="49">
        <f>IF(AW54=".",".",up_RadSpec!$F$9*CC9*$B$54)</f>
        <v>130783499.32873181</v>
      </c>
      <c r="CD54" s="49">
        <f>IF(AX54=".",".",up_RadSpec!$F$9*CD9*$B$54)</f>
        <v>134707004.30859375</v>
      </c>
      <c r="CE54" s="49">
        <f>IF(AY54=".",".",up_RadSpec!$F$9*CE9*$B$54)</f>
        <v>134707004.30859375</v>
      </c>
      <c r="CF54" s="49">
        <f>IF(AZ54=".",".",up_RadSpec!$F$9*CF9*$B$54)</f>
        <v>134707004.30859375</v>
      </c>
      <c r="CG54" s="49">
        <f>IF(BA54=".",".",up_RadSpec!$F$9*CG9*$B$54)</f>
        <v>134707004.30859375</v>
      </c>
      <c r="CH54" s="49">
        <f>IF(BB54=".",".",up_RadSpec!$F$9*CH9*$B$54)</f>
        <v>130783499.32873181</v>
      </c>
      <c r="CI54" s="49">
        <f>IF(BC54=".",".",up_RadSpec!$F$9*CI9*$B$54)</f>
        <v>134707004.30859375</v>
      </c>
      <c r="CJ54" s="49">
        <f>IF(BD54=".",".",up_RadSpec!$F$9*CJ9*$B$54)</f>
        <v>130783499.32873181</v>
      </c>
      <c r="CK54" s="49">
        <f t="shared" si="152"/>
        <v>1201426516.4097998</v>
      </c>
      <c r="CL54" s="60">
        <f>IFERROR(CL9/$B54,".")</f>
        <v>3.6363643636365089E-3</v>
      </c>
      <c r="CM54" s="60">
        <f>IFERROR(CM9,".")</f>
        <v>0.39187352811929721</v>
      </c>
      <c r="CN54" s="60">
        <f t="shared" ref="CN54:CZ54" si="180">IFERROR(CN9/$B54,".")</f>
        <v>39.818189781819775</v>
      </c>
      <c r="CO54" s="60">
        <f t="shared" si="180"/>
        <v>1.6443416074721248E-4</v>
      </c>
      <c r="CP54" s="60">
        <f t="shared" si="180"/>
        <v>0.13223143140496396</v>
      </c>
      <c r="CQ54" s="60">
        <f t="shared" si="180"/>
        <v>0.13223143140496396</v>
      </c>
      <c r="CR54" s="60">
        <f t="shared" si="180"/>
        <v>2.6446286280992794E-2</v>
      </c>
      <c r="CS54" s="60">
        <f t="shared" si="180"/>
        <v>2.7239674869422578E-2</v>
      </c>
      <c r="CT54" s="60">
        <f t="shared" si="180"/>
        <v>2.6446286280992794E-2</v>
      </c>
      <c r="CU54" s="60">
        <f t="shared" si="180"/>
        <v>2.6446286280992794E-2</v>
      </c>
      <c r="CV54" s="60">
        <f t="shared" si="180"/>
        <v>2.6446286280992794E-2</v>
      </c>
      <c r="CW54" s="60">
        <f t="shared" si="180"/>
        <v>2.6446286280992794E-2</v>
      </c>
      <c r="CX54" s="60">
        <f t="shared" si="180"/>
        <v>2.7239674869422578E-2</v>
      </c>
      <c r="CY54" s="60">
        <f t="shared" si="180"/>
        <v>2.6446286280992794E-2</v>
      </c>
      <c r="CZ54" s="60">
        <f t="shared" si="180"/>
        <v>2.7239674869422578E-2</v>
      </c>
      <c r="DA54" s="111">
        <f t="shared" si="76"/>
        <v>274.99994500000003</v>
      </c>
      <c r="DB54" s="111">
        <f t="shared" si="70"/>
        <v>2.5518437154947913</v>
      </c>
      <c r="DC54" s="111">
        <f t="shared" si="70"/>
        <v>2.5114150228310501E-2</v>
      </c>
      <c r="DD54" s="111">
        <f t="shared" si="70"/>
        <v>6081.4613913304647</v>
      </c>
      <c r="DE54" s="111">
        <f t="shared" ref="DE54:DO99" si="181">IFERROR(1/CP54,".")</f>
        <v>7.5624984875000001</v>
      </c>
      <c r="DF54" s="111">
        <f t="shared" si="181"/>
        <v>7.5624984875000001</v>
      </c>
      <c r="DG54" s="111">
        <f t="shared" si="181"/>
        <v>37.812492437499998</v>
      </c>
      <c r="DH54" s="111">
        <f t="shared" si="181"/>
        <v>36.711157706310679</v>
      </c>
      <c r="DI54" s="111">
        <f t="shared" si="181"/>
        <v>37.812492437499998</v>
      </c>
      <c r="DJ54" s="111">
        <f t="shared" si="181"/>
        <v>37.812492437499998</v>
      </c>
      <c r="DK54" s="111">
        <f t="shared" si="181"/>
        <v>37.812492437499998</v>
      </c>
      <c r="DL54" s="111">
        <f t="shared" si="181"/>
        <v>37.812492437499998</v>
      </c>
      <c r="DM54" s="111">
        <f t="shared" si="181"/>
        <v>36.711157706310679</v>
      </c>
      <c r="DN54" s="111">
        <f t="shared" si="181"/>
        <v>37.812492437499998</v>
      </c>
      <c r="DO54" s="111">
        <f t="shared" si="181"/>
        <v>36.711157706310679</v>
      </c>
      <c r="DP54" s="60">
        <f>IFERROR(DP9/$B54,".")</f>
        <v>1.4900527686657084E-4</v>
      </c>
      <c r="DQ54" s="189">
        <f t="shared" ref="DQ54" si="182">IFERROR(DQ9/$B54,0)</f>
        <v>4.4641980949224623E-16</v>
      </c>
      <c r="DR54" s="49">
        <f>IF(CL54=".",".",up_RadSpec!$I$9*DR9*$B$54)</f>
        <v>6874.9986250000002</v>
      </c>
      <c r="DS54" s="49">
        <f>IF(CM54=".",".",up_RadSpec!$H$9*DS9)</f>
        <v>63.796092887369788</v>
      </c>
      <c r="DT54" s="49">
        <f>IF(CN54=".",".",up_RadSpec!$M$9*DT9*$B$54)</f>
        <v>0.62785375570776258</v>
      </c>
      <c r="DU54" s="49">
        <f>up_b2w!CC54</f>
        <v>152036.53478326162</v>
      </c>
      <c r="DV54" s="49">
        <f>IF(CP54=".",".",up_RadSpec!$F$9*DV9*$B$54)</f>
        <v>189.06246218749999</v>
      </c>
      <c r="DW54" s="49">
        <f>IF(CQ54=".",".",up_RadSpec!$F$9*DW9*$B$54)</f>
        <v>189.06246218749999</v>
      </c>
      <c r="DX54" s="49">
        <f>IF(CR54=".",".",up_RadSpec!$F$9*DX9*$B$54)</f>
        <v>945.3123109375</v>
      </c>
      <c r="DY54" s="49">
        <f>IF(CS54=".",".",up_RadSpec!$F$9*DY9*$B$54)</f>
        <v>917.77894265776695</v>
      </c>
      <c r="DZ54" s="49">
        <f>IF(CT54=".",".",up_RadSpec!$F$9*DZ9*$B$54)</f>
        <v>945.3123109375</v>
      </c>
      <c r="EA54" s="49">
        <f>IF(CU54=".",".",up_RadSpec!$F$9*EA9*$B$54)</f>
        <v>945.3123109375</v>
      </c>
      <c r="EB54" s="49">
        <f>IF(CV54=".",".",up_RadSpec!$F$9*EB9*$B$54)</f>
        <v>945.3123109375</v>
      </c>
      <c r="EC54" s="49">
        <f>IF(CW54=".",".",up_RadSpec!$F$9*EC9*$B$54)</f>
        <v>945.3123109375</v>
      </c>
      <c r="ED54" s="49">
        <f>IF(CX54=".",".",up_RadSpec!$F$9*ED9*$B$54)</f>
        <v>917.77894265776695</v>
      </c>
      <c r="EE54" s="49">
        <f>IF(CY54=".",".",up_RadSpec!$F$9*EE9*$B$54)</f>
        <v>945.3123109375</v>
      </c>
      <c r="EF54" s="49">
        <f>IF(CZ54=".",".",up_RadSpec!$F$9*EF9*$B$54)</f>
        <v>917.77894265776695</v>
      </c>
      <c r="EG54" s="49">
        <f t="shared" si="155"/>
        <v>167779.29297287803</v>
      </c>
      <c r="EH54" s="60">
        <f>IFERROR(EH9/$B54,".")</f>
        <v>9.9740279688315687E-3</v>
      </c>
      <c r="EI54" s="60">
        <f>IFERROR(EI9/$B54,".")</f>
        <v>63.709103650911644</v>
      </c>
      <c r="EJ54" s="60">
        <f>IFERROR(EJ9/$B54,".")</f>
        <v>9.9724667215953123E-3</v>
      </c>
      <c r="EK54" s="189">
        <f t="shared" ref="EK54" si="183">IFERROR(EK9/$B54,0)</f>
        <v>2.9877510297899558E-14</v>
      </c>
      <c r="EL54" s="49">
        <f>IF(EH54=".",".",up_RadSpec!$H$9*EL9*$B$54)</f>
        <v>2506.5099153645829</v>
      </c>
      <c r="EM54" s="49">
        <f>IF(EI54=".",".",up_RadSpec!$K$9*EM9*$B$54)</f>
        <v>0.39240859731735162</v>
      </c>
      <c r="EN54" s="49">
        <f t="shared" si="60"/>
        <v>2506.9023239619</v>
      </c>
    </row>
    <row r="55" spans="1:144" x14ac:dyDescent="0.25">
      <c r="A55" s="77" t="s">
        <v>1076</v>
      </c>
      <c r="B55" s="42">
        <v>1.9999999999999999E-7</v>
      </c>
      <c r="C55" s="238"/>
      <c r="D55" s="60">
        <f t="shared" ref="D55:O55" si="184">IFERROR(D24/$B55,".")</f>
        <v>826.44628099173565</v>
      </c>
      <c r="E55" s="60">
        <f t="shared" si="184"/>
        <v>3305.7851239669426</v>
      </c>
      <c r="F55" s="60">
        <f t="shared" si="184"/>
        <v>3305.7851239669426</v>
      </c>
      <c r="G55" s="60">
        <f t="shared" si="184"/>
        <v>3305.7851239669426</v>
      </c>
      <c r="H55" s="60">
        <f t="shared" si="184"/>
        <v>3305.7851239669426</v>
      </c>
      <c r="I55" s="60">
        <f t="shared" si="184"/>
        <v>3305.7851239669426</v>
      </c>
      <c r="J55" s="60">
        <f t="shared" si="184"/>
        <v>3305.7851239669426</v>
      </c>
      <c r="K55" s="60">
        <f t="shared" si="184"/>
        <v>3305.7851239669426</v>
      </c>
      <c r="L55" s="60">
        <f t="shared" si="184"/>
        <v>3305.7851239669426</v>
      </c>
      <c r="M55" s="60">
        <f t="shared" si="184"/>
        <v>3305.7851239669426</v>
      </c>
      <c r="N55" s="60">
        <f t="shared" si="184"/>
        <v>3305.7851239669426</v>
      </c>
      <c r="O55" s="60">
        <f t="shared" si="184"/>
        <v>3305.7851239669426</v>
      </c>
      <c r="P55" s="111">
        <f t="shared" si="150"/>
        <v>3.0249999999999998E-4</v>
      </c>
      <c r="Q55" s="111">
        <f t="shared" si="150"/>
        <v>3.0249999999999998E-4</v>
      </c>
      <c r="R55" s="111">
        <f t="shared" si="150"/>
        <v>3.0249999999999998E-4</v>
      </c>
      <c r="S55" s="111">
        <f t="shared" si="150"/>
        <v>3.0249999999999998E-4</v>
      </c>
      <c r="T55" s="111">
        <f t="shared" si="150"/>
        <v>3.0249999999999998E-4</v>
      </c>
      <c r="U55" s="111">
        <f t="shared" si="150"/>
        <v>3.0249999999999998E-4</v>
      </c>
      <c r="V55" s="111">
        <f t="shared" si="150"/>
        <v>3.0249999999999998E-4</v>
      </c>
      <c r="W55" s="111">
        <f t="shared" si="150"/>
        <v>3.0249999999999998E-4</v>
      </c>
      <c r="X55" s="111">
        <f t="shared" si="26"/>
        <v>3.0249999999999998E-4</v>
      </c>
      <c r="Y55" s="111">
        <f t="shared" si="26"/>
        <v>3.0249999999999998E-4</v>
      </c>
      <c r="Z55" s="111">
        <f t="shared" si="26"/>
        <v>3.0249999999999998E-4</v>
      </c>
      <c r="AA55" s="111">
        <f t="shared" si="26"/>
        <v>3.0249999999999998E-4</v>
      </c>
      <c r="AB55" s="60">
        <f>IFERROR(AB24/$B55,".")</f>
        <v>275.48209366391188</v>
      </c>
      <c r="AC55" s="189">
        <f>IFERROR(AC24/$B55,0)</f>
        <v>8.4077134986225911E-7</v>
      </c>
      <c r="AD55" s="49">
        <f>up_dir!BC55</f>
        <v>3.0249999999999999E-2</v>
      </c>
      <c r="AE55" s="49">
        <f>IF(E55=".",".",up_RadSpec!$F$24*AE24*$B$55)</f>
        <v>7.5624999999999998E-3</v>
      </c>
      <c r="AF55" s="49">
        <f>IF(F55=".",".",up_RadSpec!$F$24*AF24*$B$55)</f>
        <v>7.5624999999999998E-3</v>
      </c>
      <c r="AG55" s="49">
        <f>IF(G55=".",".",up_RadSpec!$F$24*AG24*$B$55)</f>
        <v>7.5624999999999998E-3</v>
      </c>
      <c r="AH55" s="49">
        <f>IF(H55=".",".",up_RadSpec!$F$24*AH24*$B$55)</f>
        <v>7.5624999999999998E-3</v>
      </c>
      <c r="AI55" s="49">
        <f>IF(I55=".",".",up_RadSpec!$F$24*AI24*$B$55)</f>
        <v>7.5624999999999998E-3</v>
      </c>
      <c r="AJ55" s="49">
        <f>IF(J55=".",".",up_RadSpec!$F$24*AJ24*$B$55)</f>
        <v>7.5624999999999998E-3</v>
      </c>
      <c r="AK55" s="49">
        <f>IF(K55=".",".",up_RadSpec!$F$24*AK24*$B$55)</f>
        <v>7.5624999999999998E-3</v>
      </c>
      <c r="AL55" s="49">
        <f>IF(L55=".",".",up_RadSpec!$F$24*AL24*$B$55)</f>
        <v>7.5624999999999998E-3</v>
      </c>
      <c r="AM55" s="49">
        <f>IF(M55=".",".",up_RadSpec!$F$24*AM24*$B$55)</f>
        <v>7.5624999999999998E-3</v>
      </c>
      <c r="AN55" s="49">
        <f>IF(N55=".",".",up_RadSpec!$F$24*AN24*$B$55)</f>
        <v>7.5624999999999998E-3</v>
      </c>
      <c r="AO55" s="49">
        <f>IF(O55=".",".",up_RadSpec!$F$24*AO24*$B$55)</f>
        <v>7.5624999999999998E-3</v>
      </c>
      <c r="AP55" s="60">
        <f t="shared" ref="AP55:BD55" si="185">IFERROR(AP24/$B55,".")</f>
        <v>1652892.5619834713</v>
      </c>
      <c r="AQ55" s="60">
        <f t="shared" si="185"/>
        <v>15449958925.97146</v>
      </c>
      <c r="AR55" s="60">
        <f t="shared" si="185"/>
        <v>955986714.07459486</v>
      </c>
      <c r="AS55" s="60">
        <f t="shared" si="185"/>
        <v>164.84417692066137</v>
      </c>
      <c r="AT55" s="60">
        <f t="shared" si="185"/>
        <v>3305.7851239669426</v>
      </c>
      <c r="AU55" s="60">
        <f t="shared" si="185"/>
        <v>3305.7851239669426</v>
      </c>
      <c r="AV55" s="60">
        <f t="shared" si="185"/>
        <v>0.92793968392054527</v>
      </c>
      <c r="AW55" s="60">
        <f t="shared" si="185"/>
        <v>0.95577787443816153</v>
      </c>
      <c r="AX55" s="60">
        <f t="shared" si="185"/>
        <v>0.92793968392054527</v>
      </c>
      <c r="AY55" s="60">
        <f t="shared" si="185"/>
        <v>0.92793968392054527</v>
      </c>
      <c r="AZ55" s="60">
        <f t="shared" si="185"/>
        <v>0.92793968392054527</v>
      </c>
      <c r="BA55" s="60">
        <f t="shared" si="185"/>
        <v>0.92793968392054527</v>
      </c>
      <c r="BB55" s="60">
        <f t="shared" si="185"/>
        <v>0.95577787443816153</v>
      </c>
      <c r="BC55" s="60">
        <f t="shared" si="185"/>
        <v>0.92793968392054527</v>
      </c>
      <c r="BD55" s="60">
        <f t="shared" si="185"/>
        <v>0.95577787443816153</v>
      </c>
      <c r="BE55" s="111">
        <f t="shared" si="174"/>
        <v>6.0499999999999992E-7</v>
      </c>
      <c r="BF55" s="111">
        <f t="shared" si="174"/>
        <v>6.4725091166358696E-11</v>
      </c>
      <c r="BG55" s="111">
        <f t="shared" si="174"/>
        <v>1.0460396418458708E-9</v>
      </c>
      <c r="BH55" s="111">
        <f t="shared" si="174"/>
        <v>6.0663349999999982E-3</v>
      </c>
      <c r="BI55" s="111">
        <f t="shared" si="174"/>
        <v>3.0249999999999998E-4</v>
      </c>
      <c r="BJ55" s="111">
        <f t="shared" si="174"/>
        <v>3.0249999999999998E-4</v>
      </c>
      <c r="BK55" s="111">
        <f t="shared" si="174"/>
        <v>1.07765625</v>
      </c>
      <c r="BL55" s="111">
        <f t="shared" si="174"/>
        <v>1.0462682038834952</v>
      </c>
      <c r="BM55" s="111">
        <f t="shared" si="174"/>
        <v>1.07765625</v>
      </c>
      <c r="BN55" s="111">
        <f t="shared" si="174"/>
        <v>1.07765625</v>
      </c>
      <c r="BO55" s="111">
        <f t="shared" si="174"/>
        <v>1.07765625</v>
      </c>
      <c r="BP55" s="111">
        <f t="shared" si="174"/>
        <v>1.07765625</v>
      </c>
      <c r="BQ55" s="111">
        <f t="shared" si="174"/>
        <v>1.0462682038834952</v>
      </c>
      <c r="BR55" s="111">
        <f t="shared" si="174"/>
        <v>1.07765625</v>
      </c>
      <c r="BS55" s="111">
        <f t="shared" si="174"/>
        <v>1.0462682038834952</v>
      </c>
      <c r="BT55" s="60">
        <f>IFERROR(BT24/$B55,".")</f>
        <v>0.10404296334655476</v>
      </c>
      <c r="BU55" s="189">
        <f>IFERROR(BU24/$B55,0)</f>
        <v>3.1753912413368511E-10</v>
      </c>
      <c r="BV55" s="49">
        <f>IF(AP55=".",".",up_RadSpec!$E$24*BV24*$B$55)</f>
        <v>1.5125E-5</v>
      </c>
      <c r="BW55" s="49">
        <f>IF(AQ55=".",".",up_RadSpec!$H$24*BW24*$B$55)</f>
        <v>1.6181272791589676E-9</v>
      </c>
      <c r="BX55" s="49">
        <f>IF(AR55=".",".",up_RadSpec!$G$24*BX24*$B$55)</f>
        <v>2.6150991046146769E-8</v>
      </c>
      <c r="BY55" s="49">
        <f>up_b2s!CC55</f>
        <v>0.15165837499999998</v>
      </c>
      <c r="BZ55" s="49">
        <f>IF(AT55=".",".",up_RadSpec!$F$24*BZ24*$B$55)</f>
        <v>7.5624999999999998E-3</v>
      </c>
      <c r="CA55" s="49">
        <f>IF(AU55=".",".",up_RadSpec!$F$24*CA24*$B$55)</f>
        <v>7.5624999999999998E-3</v>
      </c>
      <c r="CB55" s="49">
        <f>IF(AV55=".",".",up_RadSpec!$F$24*CB24*$B$55)</f>
        <v>26.94140625</v>
      </c>
      <c r="CC55" s="49">
        <f>IF(AW55=".",".",up_RadSpec!$F$24*CC24*$B$55)</f>
        <v>26.156705097087379</v>
      </c>
      <c r="CD55" s="49">
        <f>IF(AX55=".",".",up_RadSpec!$F$24*CD24*$B$55)</f>
        <v>26.94140625</v>
      </c>
      <c r="CE55" s="49">
        <f>IF(AY55=".",".",up_RadSpec!$F$24*CE24*$B$55)</f>
        <v>26.94140625</v>
      </c>
      <c r="CF55" s="49">
        <f>IF(AZ55=".",".",up_RadSpec!$F$24*CF24*$B$55)</f>
        <v>26.94140625</v>
      </c>
      <c r="CG55" s="49">
        <f>IF(BA55=".",".",up_RadSpec!$F$24*CG24*$B$55)</f>
        <v>26.94140625</v>
      </c>
      <c r="CH55" s="49">
        <f>IF(BB55=".",".",up_RadSpec!$F$24*CH24*$B$55)</f>
        <v>26.156705097087379</v>
      </c>
      <c r="CI55" s="49">
        <f>IF(BC55=".",".",up_RadSpec!$F$24*CI24*$B$55)</f>
        <v>26.94140625</v>
      </c>
      <c r="CJ55" s="49">
        <f>IF(BD55=".",".",up_RadSpec!$F$24*CJ24*$B$55)</f>
        <v>26.156705097087379</v>
      </c>
      <c r="CK55" s="49">
        <f t="shared" si="152"/>
        <v>240.28535131903126</v>
      </c>
      <c r="CL55" s="60">
        <f>IFERROR(CL24/$B55,".")</f>
        <v>18181.818181818184</v>
      </c>
      <c r="CM55" s="60">
        <f>IFERROR(CM24,".")</f>
        <v>137334.09486996356</v>
      </c>
      <c r="CN55" s="60">
        <f t="shared" ref="CN55:CZ55" si="186">IFERROR(CN24/$B55,".")</f>
        <v>199090909.09090912</v>
      </c>
      <c r="CO55" s="60">
        <f t="shared" si="186"/>
        <v>822.1706393019017</v>
      </c>
      <c r="CP55" s="60">
        <f t="shared" si="186"/>
        <v>661157.02479338844</v>
      </c>
      <c r="CQ55" s="60">
        <f t="shared" si="186"/>
        <v>661157.02479338844</v>
      </c>
      <c r="CR55" s="60">
        <f t="shared" si="186"/>
        <v>132231.40495867768</v>
      </c>
      <c r="CS55" s="60">
        <f t="shared" si="186"/>
        <v>136198.34710743802</v>
      </c>
      <c r="CT55" s="60">
        <f t="shared" si="186"/>
        <v>132231.40495867768</v>
      </c>
      <c r="CU55" s="60">
        <f t="shared" si="186"/>
        <v>132231.40495867768</v>
      </c>
      <c r="CV55" s="60">
        <f t="shared" si="186"/>
        <v>132231.40495867768</v>
      </c>
      <c r="CW55" s="60">
        <f t="shared" si="186"/>
        <v>132231.40495867768</v>
      </c>
      <c r="CX55" s="60">
        <f t="shared" si="186"/>
        <v>136198.34710743802</v>
      </c>
      <c r="CY55" s="60">
        <f t="shared" si="186"/>
        <v>132231.40495867768</v>
      </c>
      <c r="CZ55" s="60">
        <f t="shared" si="186"/>
        <v>136198.34710743802</v>
      </c>
      <c r="DA55" s="111">
        <f t="shared" si="76"/>
        <v>5.4999999999999995E-5</v>
      </c>
      <c r="DB55" s="111">
        <f t="shared" si="76"/>
        <v>7.2815130208333338E-6</v>
      </c>
      <c r="DC55" s="111">
        <f t="shared" si="76"/>
        <v>5.0228310502283097E-9</v>
      </c>
      <c r="DD55" s="111">
        <f t="shared" si="76"/>
        <v>1.2162925215245971E-3</v>
      </c>
      <c r="DE55" s="111">
        <f t="shared" si="181"/>
        <v>1.5124999999999999E-6</v>
      </c>
      <c r="DF55" s="111">
        <f t="shared" si="181"/>
        <v>1.5124999999999999E-6</v>
      </c>
      <c r="DG55" s="111">
        <f t="shared" si="181"/>
        <v>7.5625E-6</v>
      </c>
      <c r="DH55" s="111">
        <f t="shared" si="181"/>
        <v>7.3422330097087374E-6</v>
      </c>
      <c r="DI55" s="111">
        <f t="shared" si="181"/>
        <v>7.5625E-6</v>
      </c>
      <c r="DJ55" s="111">
        <f t="shared" si="181"/>
        <v>7.5625E-6</v>
      </c>
      <c r="DK55" s="111">
        <f t="shared" si="181"/>
        <v>7.5625E-6</v>
      </c>
      <c r="DL55" s="111">
        <f t="shared" si="181"/>
        <v>7.5625E-6</v>
      </c>
      <c r="DM55" s="111">
        <f t="shared" si="181"/>
        <v>7.3422330097087374E-6</v>
      </c>
      <c r="DN55" s="111">
        <f t="shared" si="181"/>
        <v>7.5625E-6</v>
      </c>
      <c r="DO55" s="111">
        <f t="shared" si="181"/>
        <v>7.3422330097087374E-6</v>
      </c>
      <c r="DP55" s="60">
        <f>IFERROR(DP24/$B55,".")</f>
        <v>745.3096296388735</v>
      </c>
      <c r="DQ55" s="189">
        <f t="shared" ref="DQ55" si="187">IFERROR(DQ24/$B55,0)</f>
        <v>2.2746849896578416E-9</v>
      </c>
      <c r="DR55" s="49">
        <f>IF(CL55=".",".",up_RadSpec!$I$24*DR24*$B$55)</f>
        <v>1.3749999999999999E-3</v>
      </c>
      <c r="DS55" s="49">
        <f>IF(CM55=".",".",up_RadSpec!$H$24*DS24)</f>
        <v>1.8203782552083332E-4</v>
      </c>
      <c r="DT55" s="49">
        <f>IF(CN55=".",".",up_RadSpec!$M$24*DT24*$B$55)</f>
        <v>1.2557077625570775E-7</v>
      </c>
      <c r="DU55" s="49">
        <f>up_b2w!CC55</f>
        <v>3.0407313038114933E-2</v>
      </c>
      <c r="DV55" s="49">
        <f>IF(CP55=".",".",up_RadSpec!$F$24*DV24*$B$55)</f>
        <v>3.7812499999999998E-5</v>
      </c>
      <c r="DW55" s="49">
        <f>IF(CQ55=".",".",up_RadSpec!$F$24*DW24*$B$55)</f>
        <v>3.7812499999999998E-5</v>
      </c>
      <c r="DX55" s="49">
        <f>IF(CR55=".",".",up_RadSpec!$F$24*DX24*$B$55)</f>
        <v>1.8906249999999999E-4</v>
      </c>
      <c r="DY55" s="49">
        <f>IF(CS55=".",".",up_RadSpec!$F$24*DY24*$B$55)</f>
        <v>1.8355582524271844E-4</v>
      </c>
      <c r="DZ55" s="49">
        <f>IF(CT55=".",".",up_RadSpec!$F$24*DZ24*$B$55)</f>
        <v>1.8906249999999999E-4</v>
      </c>
      <c r="EA55" s="49">
        <f>IF(CU55=".",".",up_RadSpec!$F$24*EA24*$B$55)</f>
        <v>1.8906249999999999E-4</v>
      </c>
      <c r="EB55" s="49">
        <f>IF(CV55=".",".",up_RadSpec!$F$24*EB24*$B$55)</f>
        <v>1.8906249999999999E-4</v>
      </c>
      <c r="EC55" s="49">
        <f>IF(CW55=".",".",up_RadSpec!$F$24*EC24*$B$55)</f>
        <v>1.8906249999999999E-4</v>
      </c>
      <c r="ED55" s="49">
        <f>IF(CX55=".",".",up_RadSpec!$F$24*ED24*$B$55)</f>
        <v>1.8355582524271844E-4</v>
      </c>
      <c r="EE55" s="49">
        <f>IF(CY55=".",".",up_RadSpec!$F$24*EE24*$B$55)</f>
        <v>1.8906249999999999E-4</v>
      </c>
      <c r="EF55" s="49">
        <f>IF(CZ55=".",".",up_RadSpec!$F$24*EF24*$B$55)</f>
        <v>1.8355582524271844E-4</v>
      </c>
      <c r="EG55" s="49">
        <f t="shared" si="155"/>
        <v>3.3725143910140164E-2</v>
      </c>
      <c r="EH55" s="60">
        <f>IFERROR(EH24/$B55,".")</f>
        <v>49870.12987012988</v>
      </c>
      <c r="EI55" s="60">
        <f>IFERROR(EI24/$B55,".")</f>
        <v>318545454.54545456</v>
      </c>
      <c r="EJ55" s="60">
        <f>IFERROR(EJ24/$B55,".")</f>
        <v>49862.323635509842</v>
      </c>
      <c r="EK55" s="189">
        <f t="shared" ref="EK55" si="188">IFERROR(EK24/$B55,0)</f>
        <v>1.5217981173557604E-7</v>
      </c>
      <c r="EL55" s="49">
        <f>IF(EH55=".",".",up_RadSpec!$H$24*EL24*$B$55)</f>
        <v>5.013020833333332E-4</v>
      </c>
      <c r="EM55" s="49">
        <f>IF(EI55=".",".",up_RadSpec!$K$24*EM24*$B$55)</f>
        <v>7.8481735159817348E-8</v>
      </c>
      <c r="EN55" s="49">
        <f t="shared" si="60"/>
        <v>5.0138056506849303E-4</v>
      </c>
    </row>
    <row r="56" spans="1:144" x14ac:dyDescent="0.25">
      <c r="A56" s="77" t="s">
        <v>1077</v>
      </c>
      <c r="B56" s="42">
        <v>0.99979000004200003</v>
      </c>
      <c r="C56" s="238"/>
      <c r="D56" s="60">
        <f t="shared" ref="D56:O56" si="189">IFERROR(D20/$B56,".")</f>
        <v>1.6532397422599097E-4</v>
      </c>
      <c r="E56" s="60">
        <f t="shared" si="189"/>
        <v>6.6129589690396386E-4</v>
      </c>
      <c r="F56" s="60">
        <f t="shared" si="189"/>
        <v>6.6129589690396386E-4</v>
      </c>
      <c r="G56" s="60">
        <f t="shared" si="189"/>
        <v>6.6129589690396386E-4</v>
      </c>
      <c r="H56" s="60">
        <f t="shared" si="189"/>
        <v>6.6129589690396386E-4</v>
      </c>
      <c r="I56" s="60">
        <f t="shared" si="189"/>
        <v>6.6129589690396386E-4</v>
      </c>
      <c r="J56" s="60">
        <f t="shared" si="189"/>
        <v>6.6129589690396386E-4</v>
      </c>
      <c r="K56" s="60">
        <f t="shared" si="189"/>
        <v>6.6129589690396386E-4</v>
      </c>
      <c r="L56" s="60">
        <f t="shared" si="189"/>
        <v>6.6129589690396386E-4</v>
      </c>
      <c r="M56" s="60">
        <f t="shared" si="189"/>
        <v>6.6129589690396386E-4</v>
      </c>
      <c r="N56" s="60">
        <f t="shared" si="189"/>
        <v>6.6129589690396386E-4</v>
      </c>
      <c r="O56" s="60">
        <f t="shared" si="189"/>
        <v>6.6129589690396386E-4</v>
      </c>
      <c r="P56" s="111">
        <f t="shared" si="150"/>
        <v>1512.1823750635249</v>
      </c>
      <c r="Q56" s="111">
        <f t="shared" si="150"/>
        <v>1512.1823750635249</v>
      </c>
      <c r="R56" s="111">
        <f t="shared" si="150"/>
        <v>1512.1823750635249</v>
      </c>
      <c r="S56" s="111">
        <f t="shared" si="150"/>
        <v>1512.1823750635249</v>
      </c>
      <c r="T56" s="111">
        <f t="shared" si="150"/>
        <v>1512.1823750635249</v>
      </c>
      <c r="U56" s="111">
        <f t="shared" si="150"/>
        <v>1512.1823750635249</v>
      </c>
      <c r="V56" s="111">
        <f t="shared" si="150"/>
        <v>1512.1823750635249</v>
      </c>
      <c r="W56" s="111">
        <f t="shared" si="150"/>
        <v>1512.1823750635249</v>
      </c>
      <c r="X56" s="111">
        <f t="shared" si="26"/>
        <v>1512.1823750635249</v>
      </c>
      <c r="Y56" s="111">
        <f t="shared" si="26"/>
        <v>1512.1823750635249</v>
      </c>
      <c r="Z56" s="111">
        <f t="shared" si="26"/>
        <v>1512.1823750635249</v>
      </c>
      <c r="AA56" s="111">
        <f t="shared" si="26"/>
        <v>1512.1823750635249</v>
      </c>
      <c r="AB56" s="60">
        <f>IFERROR(AB20/$B56,".")</f>
        <v>5.5107991408663653E-5</v>
      </c>
      <c r="AC56" s="189">
        <f>IFERROR(AC20/$B56,0)</f>
        <v>1.6510354226035634E-13</v>
      </c>
      <c r="AD56" s="49">
        <f>up_dir!BC56</f>
        <v>151218.23750635251</v>
      </c>
      <c r="AE56" s="49">
        <f>IF(E56=".",".",up_RadSpec!$F$20*AE20*$B$56)</f>
        <v>37804.559376588128</v>
      </c>
      <c r="AF56" s="49">
        <f>IF(F56=".",".",up_RadSpec!$F$20*AF20*$B$56)</f>
        <v>37804.559376588128</v>
      </c>
      <c r="AG56" s="49">
        <f>IF(G56=".",".",up_RadSpec!$F$20*AG20*$B$56)</f>
        <v>37804.559376588128</v>
      </c>
      <c r="AH56" s="49">
        <f>IF(H56=".",".",up_RadSpec!$F$20*AH20*$B$56)</f>
        <v>37804.559376588128</v>
      </c>
      <c r="AI56" s="49">
        <f>IF(I56=".",".",up_RadSpec!$F$20*AI20*$B$56)</f>
        <v>37804.559376588128</v>
      </c>
      <c r="AJ56" s="49">
        <f>IF(J56=".",".",up_RadSpec!$F$20*AJ20*$B$56)</f>
        <v>37804.559376588128</v>
      </c>
      <c r="AK56" s="49">
        <f>IF(K56=".",".",up_RadSpec!$F$20*AK20*$B$56)</f>
        <v>37804.559376588128</v>
      </c>
      <c r="AL56" s="49">
        <f>IF(L56=".",".",up_RadSpec!$F$20*AL20*$B$56)</f>
        <v>37804.559376588128</v>
      </c>
      <c r="AM56" s="49">
        <f>IF(M56=".",".",up_RadSpec!$F$20*AM20*$B$56)</f>
        <v>37804.559376588128</v>
      </c>
      <c r="AN56" s="49">
        <f>IF(N56=".",".",up_RadSpec!$F$20*AN20*$B$56)</f>
        <v>37804.559376588128</v>
      </c>
      <c r="AO56" s="49">
        <f>IF(O56=".",".",up_RadSpec!$F$20*AO20*$B$56)</f>
        <v>37804.559376588128</v>
      </c>
      <c r="AP56" s="60">
        <f t="shared" ref="AP56:BD56" si="190">IFERROR(AP20/$B56,".")</f>
        <v>0.33064794845198192</v>
      </c>
      <c r="AQ56" s="60">
        <f t="shared" si="190"/>
        <v>3090.6408196366087</v>
      </c>
      <c r="AR56" s="60">
        <f t="shared" si="190"/>
        <v>149.77900176140341</v>
      </c>
      <c r="AS56" s="60">
        <f t="shared" si="190"/>
        <v>3.2975760292408697E-5</v>
      </c>
      <c r="AT56" s="60">
        <f t="shared" si="190"/>
        <v>6.6129589690396386E-4</v>
      </c>
      <c r="AU56" s="60">
        <f t="shared" si="190"/>
        <v>6.6129589690396386E-4</v>
      </c>
      <c r="AV56" s="60">
        <f t="shared" si="190"/>
        <v>1.8562691842918285E-7</v>
      </c>
      <c r="AW56" s="60">
        <f t="shared" si="190"/>
        <v>1.9119572598205831E-7</v>
      </c>
      <c r="AX56" s="60">
        <f t="shared" si="190"/>
        <v>1.8562691842918285E-7</v>
      </c>
      <c r="AY56" s="60">
        <f t="shared" si="190"/>
        <v>1.8562691842918285E-7</v>
      </c>
      <c r="AZ56" s="60">
        <f t="shared" si="190"/>
        <v>1.8562691842918285E-7</v>
      </c>
      <c r="BA56" s="60">
        <f t="shared" si="190"/>
        <v>1.8562691842918285E-7</v>
      </c>
      <c r="BB56" s="60">
        <f t="shared" si="190"/>
        <v>1.9119572598205831E-7</v>
      </c>
      <c r="BC56" s="60">
        <f t="shared" si="190"/>
        <v>1.8562691842918285E-7</v>
      </c>
      <c r="BD56" s="60">
        <f t="shared" si="190"/>
        <v>1.9119572598205831E-7</v>
      </c>
      <c r="BE56" s="111">
        <f t="shared" si="174"/>
        <v>3.0243647501270501</v>
      </c>
      <c r="BF56" s="111">
        <f t="shared" si="174"/>
        <v>3.2355749449966109E-4</v>
      </c>
      <c r="BG56" s="111">
        <f t="shared" si="174"/>
        <v>6.6765033031331786E-3</v>
      </c>
      <c r="BH56" s="111">
        <f t="shared" si="174"/>
        <v>30325.305349523922</v>
      </c>
      <c r="BI56" s="111">
        <f t="shared" si="174"/>
        <v>1512.1823750635249</v>
      </c>
      <c r="BJ56" s="111">
        <f t="shared" si="174"/>
        <v>1512.1823750635249</v>
      </c>
      <c r="BK56" s="111">
        <f t="shared" si="174"/>
        <v>5387149.7111638077</v>
      </c>
      <c r="BL56" s="111">
        <f t="shared" si="174"/>
        <v>5230242.4380231146</v>
      </c>
      <c r="BM56" s="111">
        <f t="shared" si="174"/>
        <v>5387149.7111638077</v>
      </c>
      <c r="BN56" s="111">
        <f t="shared" si="174"/>
        <v>5387149.7111638077</v>
      </c>
      <c r="BO56" s="111">
        <f t="shared" si="174"/>
        <v>5387149.7111638077</v>
      </c>
      <c r="BP56" s="111">
        <f t="shared" si="174"/>
        <v>5387149.7111638077</v>
      </c>
      <c r="BQ56" s="111">
        <f t="shared" si="174"/>
        <v>5230242.4380231146</v>
      </c>
      <c r="BR56" s="111">
        <f t="shared" si="174"/>
        <v>5387149.7111638077</v>
      </c>
      <c r="BS56" s="111">
        <f t="shared" si="174"/>
        <v>5230242.4380231146</v>
      </c>
      <c r="BT56" s="60">
        <f>IFERROR(BT20/$B56,".")</f>
        <v>2.0812963390121876E-8</v>
      </c>
      <c r="BU56" s="189">
        <f>IFERROR(BU20/$B56,0)</f>
        <v>6.2355638316805145E-17</v>
      </c>
      <c r="BV56" s="49">
        <f>IF(AP56=".",".",up_RadSpec!$E$20*BV20*$B$56)</f>
        <v>75.609118753176247</v>
      </c>
      <c r="BW56" s="49">
        <f>IF(AQ56=".",".",up_RadSpec!$H$20*BW20*$B$56)</f>
        <v>8.0889373624915273E-3</v>
      </c>
      <c r="BX56" s="49">
        <f>IF(AR56=".",".",up_RadSpec!$G$20*BX20*$B$56)</f>
        <v>0.16691258257832947</v>
      </c>
      <c r="BY56" s="49">
        <f>up_b2s!CC56</f>
        <v>758132.6337380982</v>
      </c>
      <c r="BZ56" s="49">
        <f>IF(AT56=".",".",up_RadSpec!$F$20*BZ20*$B$56)</f>
        <v>37804.559376588128</v>
      </c>
      <c r="CA56" s="49">
        <f>IF(AU56=".",".",up_RadSpec!$F$20*CA20*$B$56)</f>
        <v>37804.559376588128</v>
      </c>
      <c r="CB56" s="49">
        <f>IF(AV56=".",".",up_RadSpec!$F$20*CB20*$B$56)</f>
        <v>134678742.7790952</v>
      </c>
      <c r="CC56" s="49">
        <f>IF(AW56=".",".",up_RadSpec!$F$20*CC20*$B$56)</f>
        <v>130756060.95057787</v>
      </c>
      <c r="CD56" s="49">
        <f>IF(AX56=".",".",up_RadSpec!$F$20*CD20*$B$56)</f>
        <v>134678742.7790952</v>
      </c>
      <c r="CE56" s="49">
        <f>IF(AY56=".",".",up_RadSpec!$F$20*CE20*$B$56)</f>
        <v>134678742.7790952</v>
      </c>
      <c r="CF56" s="49">
        <f>IF(AZ56=".",".",up_RadSpec!$F$20*CF20*$B$56)</f>
        <v>134678742.7790952</v>
      </c>
      <c r="CG56" s="49">
        <f>IF(BA56=".",".",up_RadSpec!$F$20*CG20*$B$56)</f>
        <v>134678742.7790952</v>
      </c>
      <c r="CH56" s="49">
        <f>IF(BB56=".",".",up_RadSpec!$F$20*CH20*$B$56)</f>
        <v>130756060.95057787</v>
      </c>
      <c r="CI56" s="49">
        <f>IF(BC56=".",".",up_RadSpec!$F$20*CI20*$B$56)</f>
        <v>134678742.7790952</v>
      </c>
      <c r="CJ56" s="49">
        <f>IF(BD56=".",".",up_RadSpec!$F$20*CJ20*$B$56)</f>
        <v>130756060.95057787</v>
      </c>
      <c r="CK56" s="49">
        <f t="shared" si="152"/>
        <v>1201174457.0629163</v>
      </c>
      <c r="CL56" s="60">
        <f>IFERROR(CL20/$B56,".")</f>
        <v>3.6371274329718012E-3</v>
      </c>
      <c r="CM56" s="60">
        <f>IFERROR(CM20,".")</f>
        <v>0.39187253504904385</v>
      </c>
      <c r="CN56" s="60">
        <f t="shared" ref="CN56:CZ56" si="191">IFERROR(CN20/$B56,".")</f>
        <v>39.826545391041222</v>
      </c>
      <c r="CO56" s="60">
        <f t="shared" si="191"/>
        <v>1.6446866627339005E-4</v>
      </c>
      <c r="CP56" s="60">
        <f t="shared" si="191"/>
        <v>0.13225917938079276</v>
      </c>
      <c r="CQ56" s="60">
        <f t="shared" si="191"/>
        <v>0.13225917938079276</v>
      </c>
      <c r="CR56" s="60">
        <f t="shared" si="191"/>
        <v>2.6451835876158552E-2</v>
      </c>
      <c r="CS56" s="60">
        <f t="shared" si="191"/>
        <v>2.724539095244331E-2</v>
      </c>
      <c r="CT56" s="60">
        <f t="shared" si="191"/>
        <v>2.6451835876158552E-2</v>
      </c>
      <c r="CU56" s="60">
        <f t="shared" si="191"/>
        <v>2.6451835876158552E-2</v>
      </c>
      <c r="CV56" s="60">
        <f t="shared" si="191"/>
        <v>2.6451835876158552E-2</v>
      </c>
      <c r="CW56" s="60">
        <f t="shared" si="191"/>
        <v>2.6451835876158552E-2</v>
      </c>
      <c r="CX56" s="60">
        <f t="shared" si="191"/>
        <v>2.724539095244331E-2</v>
      </c>
      <c r="CY56" s="60">
        <f t="shared" si="191"/>
        <v>2.6451835876158552E-2</v>
      </c>
      <c r="CZ56" s="60">
        <f t="shared" si="191"/>
        <v>2.724539095244331E-2</v>
      </c>
      <c r="DA56" s="111">
        <f t="shared" si="76"/>
        <v>274.94225001155002</v>
      </c>
      <c r="DB56" s="111">
        <f t="shared" si="76"/>
        <v>2.5518501822916666</v>
      </c>
      <c r="DC56" s="111">
        <f t="shared" si="76"/>
        <v>2.5108881279593608E-2</v>
      </c>
      <c r="DD56" s="111">
        <f t="shared" si="76"/>
        <v>6080.1855007308068</v>
      </c>
      <c r="DE56" s="111">
        <f t="shared" si="181"/>
        <v>7.5609118753176254</v>
      </c>
      <c r="DF56" s="111">
        <f t="shared" si="181"/>
        <v>7.5609118753176254</v>
      </c>
      <c r="DG56" s="111">
        <f t="shared" si="181"/>
        <v>37.804559376588124</v>
      </c>
      <c r="DH56" s="111">
        <f t="shared" si="181"/>
        <v>36.703455705425363</v>
      </c>
      <c r="DI56" s="111">
        <f t="shared" si="181"/>
        <v>37.804559376588124</v>
      </c>
      <c r="DJ56" s="111">
        <f t="shared" si="181"/>
        <v>37.804559376588124</v>
      </c>
      <c r="DK56" s="111">
        <f t="shared" si="181"/>
        <v>37.804559376588124</v>
      </c>
      <c r="DL56" s="111">
        <f t="shared" si="181"/>
        <v>37.804559376588124</v>
      </c>
      <c r="DM56" s="111">
        <f t="shared" si="181"/>
        <v>36.703455705425363</v>
      </c>
      <c r="DN56" s="111">
        <f t="shared" si="181"/>
        <v>37.804559376588124</v>
      </c>
      <c r="DO56" s="111">
        <f t="shared" si="181"/>
        <v>36.703455705425363</v>
      </c>
      <c r="DP56" s="60">
        <f>IFERROR(DP20/$B56,".")</f>
        <v>1.4903654459004037E-4</v>
      </c>
      <c r="DQ56" s="189">
        <f t="shared" ref="DQ56" si="192">IFERROR(DQ20/$B56,0)</f>
        <v>4.4651348759176108E-16</v>
      </c>
      <c r="DR56" s="49">
        <f>IF(CL56=".",".",up_RadSpec!$I$20*DR20*$B$56)</f>
        <v>6873.5562502887506</v>
      </c>
      <c r="DS56" s="49">
        <f>IF(CM56=".",".",up_RadSpec!$H$20*DS20)</f>
        <v>63.796254557291661</v>
      </c>
      <c r="DT56" s="49">
        <f>IF(CN56=".",".",up_RadSpec!$M$20*DT20*$B$56)</f>
        <v>0.62772203198984022</v>
      </c>
      <c r="DU56" s="49">
        <f>up_b2w!CC56</f>
        <v>152004.6375182702</v>
      </c>
      <c r="DV56" s="49">
        <f>IF(CP56=".",".",up_RadSpec!$F$20*DV20*$B$56)</f>
        <v>189.02279688294064</v>
      </c>
      <c r="DW56" s="49">
        <f>IF(CQ56=".",".",up_RadSpec!$F$20*DW20*$B$56)</f>
        <v>189.02279688294064</v>
      </c>
      <c r="DX56" s="49">
        <f>IF(CR56=".",".",up_RadSpec!$F$20*DX20*$B$56)</f>
        <v>945.11398441470317</v>
      </c>
      <c r="DY56" s="49">
        <f>IF(CS56=".",".",up_RadSpec!$F$20*DY20*$B$56)</f>
        <v>917.58639263563418</v>
      </c>
      <c r="DZ56" s="49">
        <f>IF(CT56=".",".",up_RadSpec!$F$20*DZ20*$B$56)</f>
        <v>945.11398441470317</v>
      </c>
      <c r="EA56" s="49">
        <f>IF(CU56=".",".",up_RadSpec!$F$20*EA20*$B$56)</f>
        <v>945.11398441470317</v>
      </c>
      <c r="EB56" s="49">
        <f>IF(CV56=".",".",up_RadSpec!$F$20*EB20*$B$56)</f>
        <v>945.11398441470317</v>
      </c>
      <c r="EC56" s="49">
        <f>IF(CW56=".",".",up_RadSpec!$F$20*EC20*$B$56)</f>
        <v>945.11398441470317</v>
      </c>
      <c r="ED56" s="49">
        <f>IF(CX56=".",".",up_RadSpec!$F$20*ED20*$B$56)</f>
        <v>917.58639263563418</v>
      </c>
      <c r="EE56" s="49">
        <f>IF(CY56=".",".",up_RadSpec!$F$20*EE20*$B$56)</f>
        <v>945.11398441470317</v>
      </c>
      <c r="EF56" s="49">
        <f>IF(CZ56=".",".",up_RadSpec!$F$20*EF20*$B$56)</f>
        <v>917.58639263563418</v>
      </c>
      <c r="EG56" s="49">
        <f t="shared" si="155"/>
        <v>167744.10642330913</v>
      </c>
      <c r="EH56" s="60">
        <f>IFERROR(EH20/$B56,".")</f>
        <v>9.976120959008369E-3</v>
      </c>
      <c r="EI56" s="60">
        <f>IFERROR(EI20/$B56,".")</f>
        <v>63.722472625665958</v>
      </c>
      <c r="EJ56" s="60">
        <f>IFERROR(EJ20/$B56,".")</f>
        <v>9.974559384153708E-3</v>
      </c>
      <c r="EK56" s="189">
        <f t="shared" ref="EK56" si="193">IFERROR(EK20/$B56,0)</f>
        <v>2.9883779914924509E-14</v>
      </c>
      <c r="EL56" s="49">
        <f>IF(EH56=".",".",up_RadSpec!$H$20*EL20*$B$56)</f>
        <v>2505.9840495844396</v>
      </c>
      <c r="EM56" s="49">
        <f>IF(EI56=".",".",up_RadSpec!$K$20*EM20*$B$56)</f>
        <v>0.39232626999365017</v>
      </c>
      <c r="EN56" s="49">
        <f t="shared" si="60"/>
        <v>2506.3763758544333</v>
      </c>
    </row>
    <row r="57" spans="1:144" x14ac:dyDescent="0.25">
      <c r="A57" s="77" t="s">
        <v>1078</v>
      </c>
      <c r="B57" s="42">
        <v>2.0999995799999999E-4</v>
      </c>
      <c r="C57" s="238"/>
      <c r="D57" s="60">
        <f t="shared" ref="D57:O57" si="194">IFERROR(D29/$B57,".")</f>
        <v>0.78709185360097611</v>
      </c>
      <c r="E57" s="60">
        <f t="shared" si="194"/>
        <v>3.1483674144039044</v>
      </c>
      <c r="F57" s="60">
        <f t="shared" si="194"/>
        <v>3.1483674144039044</v>
      </c>
      <c r="G57" s="60">
        <f t="shared" si="194"/>
        <v>3.1483674144039044</v>
      </c>
      <c r="H57" s="60">
        <f t="shared" si="194"/>
        <v>3.1483674144039044</v>
      </c>
      <c r="I57" s="60">
        <f t="shared" si="194"/>
        <v>3.1483674144039044</v>
      </c>
      <c r="J57" s="60">
        <f t="shared" si="194"/>
        <v>3.1483674144039044</v>
      </c>
      <c r="K57" s="60">
        <f t="shared" si="194"/>
        <v>3.1483674144039044</v>
      </c>
      <c r="L57" s="60">
        <f t="shared" si="194"/>
        <v>3.1483674144039044</v>
      </c>
      <c r="M57" s="60">
        <f t="shared" si="194"/>
        <v>3.1483674144039044</v>
      </c>
      <c r="N57" s="60">
        <f t="shared" si="194"/>
        <v>3.1483674144039044</v>
      </c>
      <c r="O57" s="60">
        <f t="shared" si="194"/>
        <v>3.1483674144039044</v>
      </c>
      <c r="P57" s="111">
        <f t="shared" si="150"/>
        <v>0.31762493647499995</v>
      </c>
      <c r="Q57" s="111">
        <f t="shared" si="150"/>
        <v>0.31762493647499995</v>
      </c>
      <c r="R57" s="111">
        <f t="shared" si="150"/>
        <v>0.31762493647499995</v>
      </c>
      <c r="S57" s="111">
        <f t="shared" si="150"/>
        <v>0.31762493647499995</v>
      </c>
      <c r="T57" s="111">
        <f t="shared" si="150"/>
        <v>0.31762493647499995</v>
      </c>
      <c r="U57" s="111">
        <f t="shared" si="150"/>
        <v>0.31762493647499995</v>
      </c>
      <c r="V57" s="111">
        <f t="shared" si="150"/>
        <v>0.31762493647499995</v>
      </c>
      <c r="W57" s="111">
        <f t="shared" si="150"/>
        <v>0.31762493647499995</v>
      </c>
      <c r="X57" s="111">
        <f t="shared" si="26"/>
        <v>0.31762493647499995</v>
      </c>
      <c r="Y57" s="111">
        <f t="shared" si="26"/>
        <v>0.31762493647499995</v>
      </c>
      <c r="Z57" s="111">
        <f t="shared" si="26"/>
        <v>0.31762493647499995</v>
      </c>
      <c r="AA57" s="111">
        <f t="shared" si="26"/>
        <v>0.31762493647499995</v>
      </c>
      <c r="AB57" s="60">
        <f>IFERROR(AB29/$B57,".")</f>
        <v>0.26236395120032535</v>
      </c>
      <c r="AC57" s="189">
        <f>IFERROR(AC29/$B57,0)</f>
        <v>7.7135001652895661E-10</v>
      </c>
      <c r="AD57" s="49">
        <f>up_dir!BC57</f>
        <v>31.762493647499998</v>
      </c>
      <c r="AE57" s="49">
        <f>IF(E57=".",".",up_RadSpec!$F$29*AE29*$B$57)</f>
        <v>7.9406234118749994</v>
      </c>
      <c r="AF57" s="49">
        <f>IF(F57=".",".",up_RadSpec!$F$29*AF29*$B$57)</f>
        <v>7.9406234118749994</v>
      </c>
      <c r="AG57" s="49">
        <f>IF(G57=".",".",up_RadSpec!$F$29*AG29*$B$57)</f>
        <v>7.9406234118749994</v>
      </c>
      <c r="AH57" s="49">
        <f>IF(H57=".",".",up_RadSpec!$F$29*AH29*$B$57)</f>
        <v>7.9406234118749994</v>
      </c>
      <c r="AI57" s="49">
        <f>IF(I57=".",".",up_RadSpec!$F$29*AI29*$B$57)</f>
        <v>7.9406234118749994</v>
      </c>
      <c r="AJ57" s="49">
        <f>IF(J57=".",".",up_RadSpec!$F$29*AJ29*$B$57)</f>
        <v>7.9406234118749994</v>
      </c>
      <c r="AK57" s="49">
        <f>IF(K57=".",".",up_RadSpec!$F$29*AK29*$B$57)</f>
        <v>7.9406234118749994</v>
      </c>
      <c r="AL57" s="49">
        <f>IF(L57=".",".",up_RadSpec!$F$29*AL29*$B$57)</f>
        <v>7.9406234118749994</v>
      </c>
      <c r="AM57" s="49">
        <f>IF(M57=".",".",up_RadSpec!$F$29*AM29*$B$57)</f>
        <v>7.9406234118749994</v>
      </c>
      <c r="AN57" s="49">
        <f>IF(N57=".",".",up_RadSpec!$F$29*AN29*$B$57)</f>
        <v>7.9406234118749994</v>
      </c>
      <c r="AO57" s="49">
        <f>IF(O57=".",".",up_RadSpec!$F$29*AO29*$B$57)</f>
        <v>7.9406234118749994</v>
      </c>
      <c r="AP57" s="60">
        <f t="shared" ref="AP57:BD57" si="195">IFERROR(AP29/$B57,".")</f>
        <v>1574.1837072019521</v>
      </c>
      <c r="AQ57" s="60">
        <f t="shared" si="195"/>
        <v>14714249.539013203</v>
      </c>
      <c r="AR57" s="60">
        <f t="shared" si="195"/>
        <v>561233.05052872899</v>
      </c>
      <c r="AS57" s="60">
        <f t="shared" si="195"/>
        <v>0.1569944856090508</v>
      </c>
      <c r="AT57" s="60">
        <f t="shared" si="195"/>
        <v>3.1483674144039044</v>
      </c>
      <c r="AU57" s="60">
        <f t="shared" si="195"/>
        <v>3.1483674144039044</v>
      </c>
      <c r="AV57" s="60">
        <f t="shared" si="195"/>
        <v>8.8375225667478019E-4</v>
      </c>
      <c r="AW57" s="60">
        <f t="shared" si="195"/>
        <v>9.1026482437502358E-4</v>
      </c>
      <c r="AX57" s="60">
        <f t="shared" si="195"/>
        <v>8.8375225667478019E-4</v>
      </c>
      <c r="AY57" s="60">
        <f t="shared" si="195"/>
        <v>8.8375225667478019E-4</v>
      </c>
      <c r="AZ57" s="60">
        <f t="shared" si="195"/>
        <v>8.8375225667478019E-4</v>
      </c>
      <c r="BA57" s="60">
        <f t="shared" si="195"/>
        <v>8.8375225667478019E-4</v>
      </c>
      <c r="BB57" s="60">
        <f t="shared" si="195"/>
        <v>9.1026482437502358E-4</v>
      </c>
      <c r="BC57" s="60">
        <f t="shared" si="195"/>
        <v>8.8375225667478019E-4</v>
      </c>
      <c r="BD57" s="60">
        <f t="shared" si="195"/>
        <v>9.1026482437502358E-4</v>
      </c>
      <c r="BE57" s="111">
        <f t="shared" si="174"/>
        <v>6.3524987294999999E-4</v>
      </c>
      <c r="BF57" s="111">
        <f t="shared" si="174"/>
        <v>6.7961332132407484E-8</v>
      </c>
      <c r="BG57" s="111">
        <f t="shared" si="174"/>
        <v>1.7817910029673332E-6</v>
      </c>
      <c r="BH57" s="111">
        <f t="shared" si="174"/>
        <v>6.3696504760696486</v>
      </c>
      <c r="BI57" s="111">
        <f t="shared" si="174"/>
        <v>0.31762493647499995</v>
      </c>
      <c r="BJ57" s="111">
        <f t="shared" si="174"/>
        <v>0.31762493647499995</v>
      </c>
      <c r="BK57" s="111">
        <f t="shared" si="174"/>
        <v>1131.5388361921873</v>
      </c>
      <c r="BL57" s="111">
        <f t="shared" si="174"/>
        <v>1098.5813943613468</v>
      </c>
      <c r="BM57" s="111">
        <f t="shared" si="174"/>
        <v>1131.5388361921873</v>
      </c>
      <c r="BN57" s="111">
        <f t="shared" si="174"/>
        <v>1131.5388361921873</v>
      </c>
      <c r="BO57" s="111">
        <f t="shared" si="174"/>
        <v>1131.5388361921873</v>
      </c>
      <c r="BP57" s="111">
        <f t="shared" si="174"/>
        <v>1131.5388361921873</v>
      </c>
      <c r="BQ57" s="111">
        <f t="shared" si="174"/>
        <v>1098.5813943613468</v>
      </c>
      <c r="BR57" s="111">
        <f t="shared" si="174"/>
        <v>1131.5388361921873</v>
      </c>
      <c r="BS57" s="111">
        <f t="shared" si="174"/>
        <v>1098.5813943613468</v>
      </c>
      <c r="BT57" s="60">
        <f>IFERROR(BT29/$B57,".")</f>
        <v>9.9088556331529141E-5</v>
      </c>
      <c r="BU57" s="189">
        <f>IFERROR(BU29/$B57,0)</f>
        <v>2.9132035561469562E-13</v>
      </c>
      <c r="BV57" s="49">
        <f>IF(AP57=".",".",up_RadSpec!$E$29*BV29*$B$57)</f>
        <v>1.588124682375E-2</v>
      </c>
      <c r="BW57" s="49">
        <f>IF(AQ57=".",".",up_RadSpec!$H$29*BW29*$B$57)</f>
        <v>1.6990333033101872E-6</v>
      </c>
      <c r="BX57" s="49">
        <f>IF(AR57=".",".",up_RadSpec!$G$29*BX29*$B$57)</f>
        <v>4.4544775074183334E-5</v>
      </c>
      <c r="BY57" s="49">
        <f>up_b2s!CC57</f>
        <v>159.24126190174124</v>
      </c>
      <c r="BZ57" s="49">
        <f>IF(AT57=".",".",up_RadSpec!$F$29*BZ29*$B$57)</f>
        <v>7.9406234118749994</v>
      </c>
      <c r="CA57" s="49">
        <f>IF(AU57=".",".",up_RadSpec!$F$29*CA29*$B$57)</f>
        <v>7.9406234118749994</v>
      </c>
      <c r="CB57" s="49">
        <f>IF(AV57=".",".",up_RadSpec!$F$29*CB29*$B$57)</f>
        <v>28288.470904804686</v>
      </c>
      <c r="CC57" s="49">
        <f>IF(AW57=".",".",up_RadSpec!$F$29*CC29*$B$57)</f>
        <v>27464.534859033676</v>
      </c>
      <c r="CD57" s="49">
        <f>IF(AX57=".",".",up_RadSpec!$F$29*CD29*$B$57)</f>
        <v>28288.470904804686</v>
      </c>
      <c r="CE57" s="49">
        <f>IF(AY57=".",".",up_RadSpec!$F$29*CE29*$B$57)</f>
        <v>28288.470904804686</v>
      </c>
      <c r="CF57" s="49">
        <f>IF(AZ57=".",".",up_RadSpec!$F$29*CF29*$B$57)</f>
        <v>28288.470904804686</v>
      </c>
      <c r="CG57" s="49">
        <f>IF(BA57=".",".",up_RadSpec!$F$29*CG29*$B$57)</f>
        <v>28288.470904804686</v>
      </c>
      <c r="CH57" s="49">
        <f>IF(BB57=".",".",up_RadSpec!$F$29*CH29*$B$57)</f>
        <v>27464.534859033676</v>
      </c>
      <c r="CI57" s="49">
        <f>IF(BC57=".",".",up_RadSpec!$F$29*CI29*$B$57)</f>
        <v>28288.470904804686</v>
      </c>
      <c r="CJ57" s="49">
        <f>IF(BD57=".",".",up_RadSpec!$F$29*CJ29*$B$57)</f>
        <v>27464.534859033676</v>
      </c>
      <c r="CK57" s="49">
        <f t="shared" si="152"/>
        <v>252299.56844214525</v>
      </c>
      <c r="CL57" s="60">
        <f>IFERROR(CL29/$B57,".")</f>
        <v>17.316020779221471</v>
      </c>
      <c r="CM57" s="60">
        <f>IFERROR(CM29,".")</f>
        <v>2157.7148215468005</v>
      </c>
      <c r="CN57" s="60">
        <f t="shared" ref="CN57:CZ57" si="196">IFERROR(CN29/$B57,".")</f>
        <v>189610.42753247515</v>
      </c>
      <c r="CO57" s="60">
        <f t="shared" si="196"/>
        <v>0.78301981308196422</v>
      </c>
      <c r="CP57" s="60">
        <f t="shared" si="196"/>
        <v>629.67348288078085</v>
      </c>
      <c r="CQ57" s="60">
        <f t="shared" si="196"/>
        <v>629.67348288078085</v>
      </c>
      <c r="CR57" s="60">
        <f t="shared" si="196"/>
        <v>125.93469657615617</v>
      </c>
      <c r="CS57" s="60">
        <f t="shared" si="196"/>
        <v>129.71273747344085</v>
      </c>
      <c r="CT57" s="60">
        <f t="shared" si="196"/>
        <v>125.93469657615617</v>
      </c>
      <c r="CU57" s="60">
        <f t="shared" si="196"/>
        <v>125.93469657615617</v>
      </c>
      <c r="CV57" s="60">
        <f t="shared" si="196"/>
        <v>125.93469657615617</v>
      </c>
      <c r="CW57" s="60">
        <f t="shared" si="196"/>
        <v>125.93469657615617</v>
      </c>
      <c r="CX57" s="60">
        <f t="shared" si="196"/>
        <v>129.71273747344085</v>
      </c>
      <c r="CY57" s="60">
        <f t="shared" si="196"/>
        <v>125.93469657615617</v>
      </c>
      <c r="CZ57" s="60">
        <f t="shared" si="196"/>
        <v>129.71273747344085</v>
      </c>
      <c r="DA57" s="111">
        <f t="shared" si="76"/>
        <v>5.7749988450000005E-2</v>
      </c>
      <c r="DB57" s="111">
        <f t="shared" si="76"/>
        <v>4.6345327473958314E-4</v>
      </c>
      <c r="DC57" s="111">
        <f t="shared" si="76"/>
        <v>5.273971547945205E-6</v>
      </c>
      <c r="DD57" s="111">
        <f t="shared" si="76"/>
        <v>1.2771068921793973</v>
      </c>
      <c r="DE57" s="111">
        <f t="shared" si="181"/>
        <v>1.5881246823749998E-3</v>
      </c>
      <c r="DF57" s="111">
        <f t="shared" si="181"/>
        <v>1.5881246823749998E-3</v>
      </c>
      <c r="DG57" s="111">
        <f t="shared" si="181"/>
        <v>7.9406234118749985E-3</v>
      </c>
      <c r="DH57" s="111">
        <f t="shared" si="181"/>
        <v>7.7093431183252424E-3</v>
      </c>
      <c r="DI57" s="111">
        <f t="shared" si="181"/>
        <v>7.9406234118749985E-3</v>
      </c>
      <c r="DJ57" s="111">
        <f t="shared" si="181"/>
        <v>7.9406234118749985E-3</v>
      </c>
      <c r="DK57" s="111">
        <f t="shared" si="181"/>
        <v>7.9406234118749985E-3</v>
      </c>
      <c r="DL57" s="111">
        <f t="shared" si="181"/>
        <v>7.9406234118749985E-3</v>
      </c>
      <c r="DM57" s="111">
        <f t="shared" si="181"/>
        <v>7.7093431183252424E-3</v>
      </c>
      <c r="DN57" s="111">
        <f t="shared" si="181"/>
        <v>7.9406234118749985E-3</v>
      </c>
      <c r="DO57" s="111">
        <f t="shared" si="181"/>
        <v>7.7093431183252424E-3</v>
      </c>
      <c r="DP57" s="60">
        <f>IFERROR(DP29/$B57,".")</f>
        <v>0.70981878859178726</v>
      </c>
      <c r="DQ57" s="189">
        <f t="shared" ref="DQ57" si="197">IFERROR(DQ29/$B57,0)</f>
        <v>2.0868672384598546E-12</v>
      </c>
      <c r="DR57" s="49">
        <f>IF(CL57=".",".",up_RadSpec!$I$29*DR29*$B$57)</f>
        <v>1.44374971125</v>
      </c>
      <c r="DS57" s="49">
        <f>IF(CM57=".",".",up_RadSpec!$H$29*DS29)</f>
        <v>1.1586331868489581E-2</v>
      </c>
      <c r="DT57" s="49">
        <f>IF(CN57=".",".",up_RadSpec!$M$29*DT29*$B$57)</f>
        <v>1.3184928869863012E-4</v>
      </c>
      <c r="DU57" s="49">
        <f>up_b2w!CC57</f>
        <v>31.92767230448494</v>
      </c>
      <c r="DV57" s="49">
        <f>IF(CP57=".",".",up_RadSpec!$F$29*DV29*$B$57)</f>
        <v>3.9703117059374994E-2</v>
      </c>
      <c r="DW57" s="49">
        <f>IF(CQ57=".",".",up_RadSpec!$F$29*DW29*$B$57)</f>
        <v>3.9703117059374994E-2</v>
      </c>
      <c r="DX57" s="49">
        <f>IF(CR57=".",".",up_RadSpec!$F$29*DX29*$B$57)</f>
        <v>0.19851558529687499</v>
      </c>
      <c r="DY57" s="49">
        <f>IF(CS57=".",".",up_RadSpec!$F$29*DY29*$B$57)</f>
        <v>0.19273357795813106</v>
      </c>
      <c r="DZ57" s="49">
        <f>IF(CT57=".",".",up_RadSpec!$F$29*DZ29*$B$57)</f>
        <v>0.19851558529687499</v>
      </c>
      <c r="EA57" s="49">
        <f>IF(CU57=".",".",up_RadSpec!$F$29*EA29*$B$57)</f>
        <v>0.19851558529687499</v>
      </c>
      <c r="EB57" s="49">
        <f>IF(CV57=".",".",up_RadSpec!$F$29*EB29*$B$57)</f>
        <v>0.19851558529687499</v>
      </c>
      <c r="EC57" s="49">
        <f>IF(CW57=".",".",up_RadSpec!$F$29*EC29*$B$57)</f>
        <v>0.19851558529687499</v>
      </c>
      <c r="ED57" s="49">
        <f>IF(CX57=".",".",up_RadSpec!$F$29*ED29*$B$57)</f>
        <v>0.19273357795813106</v>
      </c>
      <c r="EE57" s="49">
        <f>IF(CY57=".",".",up_RadSpec!$F$29*EE29*$B$57)</f>
        <v>0.19851558529687499</v>
      </c>
      <c r="EF57" s="49">
        <f>IF(CZ57=".",".",up_RadSpec!$F$29*EF29*$B$57)</f>
        <v>0.19273357795813106</v>
      </c>
      <c r="EG57" s="49">
        <f t="shared" si="155"/>
        <v>35.231840676666515</v>
      </c>
      <c r="EH57" s="60">
        <f>IFERROR(EH29/$B57,".")</f>
        <v>47.49537128015033</v>
      </c>
      <c r="EI57" s="60">
        <f>IFERROR(EI29/$B57,".")</f>
        <v>303376.68405196024</v>
      </c>
      <c r="EJ57" s="60">
        <f>IFERROR(EJ29/$B57,".")</f>
        <v>47.487936769501488</v>
      </c>
      <c r="EK57" s="189">
        <f t="shared" ref="EK57" si="198">IFERROR(EK29/$B57,0)</f>
        <v>1.3961453410233441E-10</v>
      </c>
      <c r="EL57" s="49">
        <f>IF(EH57=".",".",up_RadSpec!$H$29*EL29*$B$57)</f>
        <v>0.52636708222656237</v>
      </c>
      <c r="EM57" s="49">
        <f>IF(EI57=".",".",up_RadSpec!$K$29*EM29*$B$57)</f>
        <v>8.2405805436643834E-5</v>
      </c>
      <c r="EN57" s="49">
        <f t="shared" si="60"/>
        <v>0.52644948803199898</v>
      </c>
    </row>
    <row r="58" spans="1:144" x14ac:dyDescent="0.25">
      <c r="A58" s="77" t="s">
        <v>1079</v>
      </c>
      <c r="B58" s="42">
        <v>1</v>
      </c>
      <c r="C58" s="238"/>
      <c r="D58" s="60">
        <f t="shared" ref="D58:O58" si="199">IFERROR(D16/$B58,".")</f>
        <v>1.6528925619834712E-4</v>
      </c>
      <c r="E58" s="60">
        <f t="shared" si="199"/>
        <v>6.6115702479338848E-4</v>
      </c>
      <c r="F58" s="60">
        <f t="shared" si="199"/>
        <v>6.6115702479338848E-4</v>
      </c>
      <c r="G58" s="60">
        <f t="shared" si="199"/>
        <v>6.6115702479338848E-4</v>
      </c>
      <c r="H58" s="60">
        <f t="shared" si="199"/>
        <v>6.6115702479338848E-4</v>
      </c>
      <c r="I58" s="60">
        <f t="shared" si="199"/>
        <v>6.6115702479338848E-4</v>
      </c>
      <c r="J58" s="60">
        <f t="shared" si="199"/>
        <v>6.6115702479338848E-4</v>
      </c>
      <c r="K58" s="60">
        <f t="shared" si="199"/>
        <v>6.6115702479338848E-4</v>
      </c>
      <c r="L58" s="60">
        <f t="shared" si="199"/>
        <v>6.6115702479338848E-4</v>
      </c>
      <c r="M58" s="60">
        <f t="shared" si="199"/>
        <v>6.6115702479338848E-4</v>
      </c>
      <c r="N58" s="60">
        <f t="shared" si="199"/>
        <v>6.6115702479338848E-4</v>
      </c>
      <c r="O58" s="60">
        <f t="shared" si="199"/>
        <v>6.6115702479338848E-4</v>
      </c>
      <c r="P58" s="111">
        <f t="shared" si="150"/>
        <v>1512.5</v>
      </c>
      <c r="Q58" s="111">
        <f t="shared" si="150"/>
        <v>1512.5</v>
      </c>
      <c r="R58" s="111">
        <f t="shared" si="150"/>
        <v>1512.5</v>
      </c>
      <c r="S58" s="111">
        <f t="shared" si="150"/>
        <v>1512.5</v>
      </c>
      <c r="T58" s="111">
        <f t="shared" si="150"/>
        <v>1512.5</v>
      </c>
      <c r="U58" s="111">
        <f t="shared" si="150"/>
        <v>1512.5</v>
      </c>
      <c r="V58" s="111">
        <f t="shared" si="150"/>
        <v>1512.5</v>
      </c>
      <c r="W58" s="111">
        <f t="shared" si="150"/>
        <v>1512.5</v>
      </c>
      <c r="X58" s="111">
        <f t="shared" si="26"/>
        <v>1512.5</v>
      </c>
      <c r="Y58" s="111">
        <f t="shared" si="26"/>
        <v>1512.5</v>
      </c>
      <c r="Z58" s="111">
        <f t="shared" si="26"/>
        <v>1512.5</v>
      </c>
      <c r="AA58" s="111">
        <f t="shared" si="26"/>
        <v>1512.5</v>
      </c>
      <c r="AB58" s="60">
        <f>IFERROR(AB16/$B58,".")</f>
        <v>5.5096418732782371E-5</v>
      </c>
      <c r="AC58" s="189">
        <f>IFERROR(AC16/$B58,0)</f>
        <v>1.6198347107438019E-13</v>
      </c>
      <c r="AD58" s="49">
        <f>up_dir!BC58</f>
        <v>151250</v>
      </c>
      <c r="AE58" s="49">
        <f>IF(E58=".",".",up_RadSpec!$F$16*AE16*$B$58)</f>
        <v>37812.5</v>
      </c>
      <c r="AF58" s="49">
        <f>IF(F58=".",".",up_RadSpec!$F$16*AF16*$B$58)</f>
        <v>37812.5</v>
      </c>
      <c r="AG58" s="49">
        <f>IF(G58=".",".",up_RadSpec!$F$16*AG16*$B$58)</f>
        <v>37812.5</v>
      </c>
      <c r="AH58" s="49">
        <f>IF(H58=".",".",up_RadSpec!$F$16*AH16*$B$58)</f>
        <v>37812.5</v>
      </c>
      <c r="AI58" s="49">
        <f>IF(I58=".",".",up_RadSpec!$F$16*AI16*$B$58)</f>
        <v>37812.5</v>
      </c>
      <c r="AJ58" s="49">
        <f>IF(J58=".",".",up_RadSpec!$F$16*AJ16*$B$58)</f>
        <v>37812.5</v>
      </c>
      <c r="AK58" s="49">
        <f>IF(K58=".",".",up_RadSpec!$F$16*AK16*$B$58)</f>
        <v>37812.5</v>
      </c>
      <c r="AL58" s="49">
        <f>IF(L58=".",".",up_RadSpec!$F$16*AL16*$B$58)</f>
        <v>37812.5</v>
      </c>
      <c r="AM58" s="49">
        <f>IF(M58=".",".",up_RadSpec!$F$16*AM16*$B$58)</f>
        <v>37812.5</v>
      </c>
      <c r="AN58" s="49">
        <f>IF(N58=".",".",up_RadSpec!$F$16*AN16*$B$58)</f>
        <v>37812.5</v>
      </c>
      <c r="AO58" s="49">
        <f>IF(O58=".",".",up_RadSpec!$F$16*AO16*$B$58)</f>
        <v>37812.5</v>
      </c>
      <c r="AP58" s="60">
        <f t="shared" ref="AP58:BD58" si="200">IFERROR(AP16/$B58,".")</f>
        <v>0.33057851239669422</v>
      </c>
      <c r="AQ58" s="60">
        <f t="shared" si="200"/>
        <v>3089.9917851942919</v>
      </c>
      <c r="AR58" s="60">
        <f t="shared" si="200"/>
        <v>3187275.8459379398</v>
      </c>
      <c r="AS58" s="60">
        <f t="shared" si="200"/>
        <v>3.2968835384132272E-5</v>
      </c>
      <c r="AT58" s="60">
        <f t="shared" si="200"/>
        <v>6.6115702479338848E-4</v>
      </c>
      <c r="AU58" s="60">
        <f t="shared" si="200"/>
        <v>6.6115702479338848E-4</v>
      </c>
      <c r="AV58" s="60">
        <f t="shared" si="200"/>
        <v>1.8558793678410905E-7</v>
      </c>
      <c r="AW58" s="60">
        <f t="shared" si="200"/>
        <v>1.9115557488763231E-7</v>
      </c>
      <c r="AX58" s="60">
        <f t="shared" si="200"/>
        <v>1.8558793678410905E-7</v>
      </c>
      <c r="AY58" s="60">
        <f t="shared" si="200"/>
        <v>1.8558793678410905E-7</v>
      </c>
      <c r="AZ58" s="60">
        <f t="shared" si="200"/>
        <v>1.8558793678410905E-7</v>
      </c>
      <c r="BA58" s="60">
        <f t="shared" si="200"/>
        <v>1.8558793678410905E-7</v>
      </c>
      <c r="BB58" s="60">
        <f t="shared" si="200"/>
        <v>1.9115557488763231E-7</v>
      </c>
      <c r="BC58" s="60">
        <f t="shared" si="200"/>
        <v>1.8558793678410905E-7</v>
      </c>
      <c r="BD58" s="60">
        <f t="shared" si="200"/>
        <v>1.9115557488763231E-7</v>
      </c>
      <c r="BE58" s="111">
        <f t="shared" si="174"/>
        <v>3.0249999999999999</v>
      </c>
      <c r="BF58" s="111">
        <f t="shared" si="174"/>
        <v>3.236254558317935E-4</v>
      </c>
      <c r="BG58" s="111">
        <f t="shared" si="174"/>
        <v>3.1374755381604682E-7</v>
      </c>
      <c r="BH58" s="111">
        <f t="shared" si="174"/>
        <v>30331.674999999992</v>
      </c>
      <c r="BI58" s="111">
        <f t="shared" si="174"/>
        <v>1512.5</v>
      </c>
      <c r="BJ58" s="111">
        <f t="shared" si="174"/>
        <v>1512.5</v>
      </c>
      <c r="BK58" s="111">
        <f t="shared" si="174"/>
        <v>5388281.2499999991</v>
      </c>
      <c r="BL58" s="111">
        <f t="shared" si="174"/>
        <v>5231341.0194174759</v>
      </c>
      <c r="BM58" s="111">
        <f t="shared" si="174"/>
        <v>5388281.2499999991</v>
      </c>
      <c r="BN58" s="111">
        <f t="shared" si="174"/>
        <v>5388281.2499999991</v>
      </c>
      <c r="BO58" s="111">
        <f t="shared" si="174"/>
        <v>5388281.2499999991</v>
      </c>
      <c r="BP58" s="111">
        <f t="shared" si="174"/>
        <v>5388281.2499999991</v>
      </c>
      <c r="BQ58" s="111">
        <f t="shared" si="174"/>
        <v>5231341.0194174759</v>
      </c>
      <c r="BR58" s="111">
        <f t="shared" si="174"/>
        <v>5388281.2499999991</v>
      </c>
      <c r="BS58" s="111">
        <f t="shared" si="174"/>
        <v>5231341.0194174759</v>
      </c>
      <c r="BT58" s="60">
        <f>IFERROR(BT16/$B58,".")</f>
        <v>2.0808592671575479E-8</v>
      </c>
      <c r="BU58" s="189">
        <f>IFERROR(BU16/$B58,0)</f>
        <v>6.1177262454431908E-17</v>
      </c>
      <c r="BV58" s="49">
        <f>IF(AP58=".",".",up_RadSpec!$E$16*BV16*$B$58)</f>
        <v>75.625</v>
      </c>
      <c r="BW58" s="49">
        <f>IF(AQ58=".",".",up_RadSpec!$H$16*BW16*$B$58)</f>
        <v>8.0906363957948379E-3</v>
      </c>
      <c r="BX58" s="49">
        <f>IF(AR58=".",".",up_RadSpec!$G$16*BX16*$B$58)</f>
        <v>7.8436888454011701E-6</v>
      </c>
      <c r="BY58" s="49">
        <f>up_b2s!CC58</f>
        <v>758291.875</v>
      </c>
      <c r="BZ58" s="49">
        <f>IF(AT58=".",".",up_RadSpec!$F$16*BZ16*$B$58)</f>
        <v>37812.5</v>
      </c>
      <c r="CA58" s="49">
        <f>IF(AU58=".",".",up_RadSpec!$F$16*CA16*$B$58)</f>
        <v>37812.5</v>
      </c>
      <c r="CB58" s="49">
        <f>IF(AV58=".",".",up_RadSpec!$F$16*CB16*$B$58)</f>
        <v>134707031.25</v>
      </c>
      <c r="CC58" s="49">
        <f>IF(AW58=".",".",up_RadSpec!$F$16*CC16*$B$58)</f>
        <v>130783525.4854369</v>
      </c>
      <c r="CD58" s="49">
        <f>IF(AX58=".",".",up_RadSpec!$F$16*CD16*$B$58)</f>
        <v>134707031.25</v>
      </c>
      <c r="CE58" s="49">
        <f>IF(AY58=".",".",up_RadSpec!$F$16*CE16*$B$58)</f>
        <v>134707031.25</v>
      </c>
      <c r="CF58" s="49">
        <f>IF(AZ58=".",".",up_RadSpec!$F$16*CF16*$B$58)</f>
        <v>134707031.25</v>
      </c>
      <c r="CG58" s="49">
        <f>IF(BA58=".",".",up_RadSpec!$F$16*CG16*$B$58)</f>
        <v>134707031.25</v>
      </c>
      <c r="CH58" s="49">
        <f>IF(BB58=".",".",up_RadSpec!$F$16*CH16*$B$58)</f>
        <v>130783525.4854369</v>
      </c>
      <c r="CI58" s="49">
        <f>IF(BC58=".",".",up_RadSpec!$F$16*CI16*$B$58)</f>
        <v>134707031.25</v>
      </c>
      <c r="CJ58" s="49">
        <f>IF(BD58=".",".",up_RadSpec!$F$16*CJ16*$B$58)</f>
        <v>130783525.4854369</v>
      </c>
      <c r="CK58" s="49">
        <f t="shared" si="152"/>
        <v>1201426756.4644091</v>
      </c>
      <c r="CL58" s="60">
        <f>IFERROR(CL16/$B58,".")</f>
        <v>3.6363636363636364E-3</v>
      </c>
      <c r="CM58" s="60" t="str">
        <f>IFERROR(CM16,".")</f>
        <v>.</v>
      </c>
      <c r="CN58" s="60">
        <f t="shared" ref="CN58:CZ58" si="201">IFERROR(CN16/$B58,".")</f>
        <v>39.81818181818182</v>
      </c>
      <c r="CO58" s="60">
        <f t="shared" si="201"/>
        <v>1.6443412786038033E-4</v>
      </c>
      <c r="CP58" s="60">
        <f t="shared" si="201"/>
        <v>0.13223140495867769</v>
      </c>
      <c r="CQ58" s="60">
        <f t="shared" si="201"/>
        <v>0.13223140495867769</v>
      </c>
      <c r="CR58" s="60">
        <f t="shared" si="201"/>
        <v>2.6446280991735537E-2</v>
      </c>
      <c r="CS58" s="60">
        <f t="shared" si="201"/>
        <v>2.7239669421487603E-2</v>
      </c>
      <c r="CT58" s="60">
        <f t="shared" si="201"/>
        <v>2.6446280991735537E-2</v>
      </c>
      <c r="CU58" s="60">
        <f t="shared" si="201"/>
        <v>2.6446280991735537E-2</v>
      </c>
      <c r="CV58" s="60">
        <f t="shared" si="201"/>
        <v>2.6446280991735537E-2</v>
      </c>
      <c r="CW58" s="60">
        <f t="shared" si="201"/>
        <v>2.6446280991735537E-2</v>
      </c>
      <c r="CX58" s="60">
        <f t="shared" si="201"/>
        <v>2.7239669421487603E-2</v>
      </c>
      <c r="CY58" s="60">
        <f t="shared" si="201"/>
        <v>2.6446280991735537E-2</v>
      </c>
      <c r="CZ58" s="60">
        <f t="shared" si="201"/>
        <v>2.7239669421487603E-2</v>
      </c>
      <c r="DA58" s="111">
        <f t="shared" si="76"/>
        <v>275</v>
      </c>
      <c r="DB58" s="111" t="str">
        <f t="shared" si="76"/>
        <v>.</v>
      </c>
      <c r="DC58" s="111">
        <f t="shared" si="76"/>
        <v>2.5114155251141551E-2</v>
      </c>
      <c r="DD58" s="111">
        <f t="shared" si="76"/>
        <v>6081.4626076229861</v>
      </c>
      <c r="DE58" s="111">
        <f t="shared" si="181"/>
        <v>7.5625</v>
      </c>
      <c r="DF58" s="111">
        <f t="shared" si="181"/>
        <v>7.5625</v>
      </c>
      <c r="DG58" s="111">
        <f t="shared" si="181"/>
        <v>37.8125</v>
      </c>
      <c r="DH58" s="111">
        <f t="shared" si="181"/>
        <v>36.711165048543691</v>
      </c>
      <c r="DI58" s="111">
        <f t="shared" si="181"/>
        <v>37.8125</v>
      </c>
      <c r="DJ58" s="111">
        <f t="shared" si="181"/>
        <v>37.8125</v>
      </c>
      <c r="DK58" s="111">
        <f t="shared" si="181"/>
        <v>37.8125</v>
      </c>
      <c r="DL58" s="111">
        <f t="shared" si="181"/>
        <v>37.8125</v>
      </c>
      <c r="DM58" s="111">
        <f t="shared" si="181"/>
        <v>36.711165048543691</v>
      </c>
      <c r="DN58" s="111">
        <f t="shared" si="181"/>
        <v>37.8125</v>
      </c>
      <c r="DO58" s="111">
        <f t="shared" si="181"/>
        <v>36.711165048543691</v>
      </c>
      <c r="DP58" s="60">
        <f>IFERROR(DP16/$B58,".")</f>
        <v>1.4906192608956598E-4</v>
      </c>
      <c r="DQ58" s="189">
        <f t="shared" ref="DQ58" si="202">IFERROR(DQ16/$B58,0)</f>
        <v>4.3824206270332409E-16</v>
      </c>
      <c r="DR58" s="49">
        <f>IF(CL58=".",".",up_RadSpec!$I$16*DR16*$B$58)</f>
        <v>6875</v>
      </c>
      <c r="DS58" s="49" t="str">
        <f>IF(CM58=".",".",up_RadSpec!$H$16*DS16)</f>
        <v>.</v>
      </c>
      <c r="DT58" s="49">
        <f>IF(CN58=".",".",up_RadSpec!$M$16*DT16*$B$58)</f>
        <v>0.62785388127853881</v>
      </c>
      <c r="DU58" s="49">
        <f>up_b2w!CC58</f>
        <v>152036.56519057468</v>
      </c>
      <c r="DV58" s="49">
        <f>IF(CP58=".",".",up_RadSpec!$F$16*DV16*$B$58)</f>
        <v>189.0625</v>
      </c>
      <c r="DW58" s="49">
        <f>IF(CQ58=".",".",up_RadSpec!$F$16*DW16*$B$58)</f>
        <v>189.0625</v>
      </c>
      <c r="DX58" s="49">
        <f>IF(CR58=".",".",up_RadSpec!$F$16*DX16*$B$58)</f>
        <v>945.3125</v>
      </c>
      <c r="DY58" s="49">
        <f>IF(CS58=".",".",up_RadSpec!$F$16*DY16*$B$58)</f>
        <v>917.77912621359224</v>
      </c>
      <c r="DZ58" s="49">
        <f>IF(CT58=".",".",up_RadSpec!$F$16*DZ16*$B$58)</f>
        <v>945.3125</v>
      </c>
      <c r="EA58" s="49">
        <f>IF(CU58=".",".",up_RadSpec!$F$16*EA16*$B$58)</f>
        <v>945.3125</v>
      </c>
      <c r="EB58" s="49">
        <f>IF(CV58=".",".",up_RadSpec!$F$16*EB16*$B$58)</f>
        <v>945.3125</v>
      </c>
      <c r="EC58" s="49">
        <f>IF(CW58=".",".",up_RadSpec!$F$16*EC16*$B$58)</f>
        <v>945.3125</v>
      </c>
      <c r="ED58" s="49">
        <f>IF(CX58=".",".",up_RadSpec!$F$16*ED16*$B$58)</f>
        <v>917.77912621359224</v>
      </c>
      <c r="EE58" s="49">
        <f>IF(CY58=".",".",up_RadSpec!$F$16*EE16*$B$58)</f>
        <v>945.3125</v>
      </c>
      <c r="EF58" s="49">
        <f>IF(CZ58=".",".",up_RadSpec!$F$16*EF16*$B$58)</f>
        <v>917.77912621359224</v>
      </c>
      <c r="EG58" s="49">
        <f t="shared" si="155"/>
        <v>167715.53042309676</v>
      </c>
      <c r="EH58" s="60">
        <f>IFERROR(EH16/$B58,".")</f>
        <v>9.9740259740259754E-3</v>
      </c>
      <c r="EI58" s="60">
        <f>IFERROR(EI16/$B58,".")</f>
        <v>63.709090909090911</v>
      </c>
      <c r="EJ58" s="60">
        <f>IFERROR(EJ16/$B58,".")</f>
        <v>9.9724647271019675E-3</v>
      </c>
      <c r="EK58" s="189">
        <f t="shared" ref="EK58" si="203">IFERROR(EK16/$B58,0)</f>
        <v>2.9319046297679789E-14</v>
      </c>
      <c r="EL58" s="49">
        <f>IF(EH58=".",".",up_RadSpec!$H$16*EL16*$B$58)</f>
        <v>2506.5104166666661</v>
      </c>
      <c r="EM58" s="49">
        <f>IF(EI58=".",".",up_RadSpec!$K$16*EM16*$B$58)</f>
        <v>0.39240867579908678</v>
      </c>
      <c r="EN58" s="49">
        <f t="shared" si="60"/>
        <v>2506.9028253424653</v>
      </c>
    </row>
    <row r="59" spans="1:144" x14ac:dyDescent="0.25">
      <c r="A59" s="77" t="s">
        <v>1080</v>
      </c>
      <c r="B59" s="42">
        <v>1</v>
      </c>
      <c r="C59" s="238"/>
      <c r="D59" s="60">
        <f t="shared" ref="D59:O59" si="204">IFERROR(D7/$B59,".")</f>
        <v>1.6528925619834712E-4</v>
      </c>
      <c r="E59" s="60">
        <f t="shared" si="204"/>
        <v>6.6115702479338848E-4</v>
      </c>
      <c r="F59" s="60">
        <f t="shared" si="204"/>
        <v>6.6115702479338848E-4</v>
      </c>
      <c r="G59" s="60">
        <f t="shared" si="204"/>
        <v>6.6115702479338848E-4</v>
      </c>
      <c r="H59" s="60">
        <f t="shared" si="204"/>
        <v>6.6115702479338848E-4</v>
      </c>
      <c r="I59" s="60">
        <f t="shared" si="204"/>
        <v>6.6115702479338848E-4</v>
      </c>
      <c r="J59" s="60">
        <f t="shared" si="204"/>
        <v>6.6115702479338848E-4</v>
      </c>
      <c r="K59" s="60">
        <f t="shared" si="204"/>
        <v>6.6115702479338848E-4</v>
      </c>
      <c r="L59" s="60">
        <f t="shared" si="204"/>
        <v>6.6115702479338848E-4</v>
      </c>
      <c r="M59" s="60">
        <f t="shared" si="204"/>
        <v>6.6115702479338848E-4</v>
      </c>
      <c r="N59" s="60">
        <f t="shared" si="204"/>
        <v>6.6115702479338848E-4</v>
      </c>
      <c r="O59" s="60">
        <f t="shared" si="204"/>
        <v>6.6115702479338848E-4</v>
      </c>
      <c r="P59" s="111">
        <f t="shared" si="150"/>
        <v>1512.5</v>
      </c>
      <c r="Q59" s="111">
        <f t="shared" si="150"/>
        <v>1512.5</v>
      </c>
      <c r="R59" s="111">
        <f t="shared" si="150"/>
        <v>1512.5</v>
      </c>
      <c r="S59" s="111">
        <f t="shared" si="150"/>
        <v>1512.5</v>
      </c>
      <c r="T59" s="111">
        <f t="shared" si="150"/>
        <v>1512.5</v>
      </c>
      <c r="U59" s="111">
        <f t="shared" si="150"/>
        <v>1512.5</v>
      </c>
      <c r="V59" s="111">
        <f t="shared" si="150"/>
        <v>1512.5</v>
      </c>
      <c r="W59" s="111">
        <f t="shared" si="150"/>
        <v>1512.5</v>
      </c>
      <c r="X59" s="111">
        <f t="shared" si="26"/>
        <v>1512.5</v>
      </c>
      <c r="Y59" s="111">
        <f t="shared" si="26"/>
        <v>1512.5</v>
      </c>
      <c r="Z59" s="111">
        <f t="shared" si="26"/>
        <v>1512.5</v>
      </c>
      <c r="AA59" s="111">
        <f t="shared" si="26"/>
        <v>1512.5</v>
      </c>
      <c r="AB59" s="60">
        <f>IFERROR(AB7/$B59,".")</f>
        <v>5.5096418732782371E-5</v>
      </c>
      <c r="AC59" s="189">
        <f>IFERROR(AC7/$B59,0)</f>
        <v>1.6198347107438019E-13</v>
      </c>
      <c r="AD59" s="49">
        <f>up_dir!BC59</f>
        <v>151250</v>
      </c>
      <c r="AE59" s="49">
        <f>IF(E59=".",".",up_RadSpec!$F$7*AE7*$B$59)</f>
        <v>37812.5</v>
      </c>
      <c r="AF59" s="49">
        <f>IF(F59=".",".",up_RadSpec!$F$7*AF7*$B$59)</f>
        <v>37812.5</v>
      </c>
      <c r="AG59" s="49">
        <f>IF(G59=".",".",up_RadSpec!$F$7*AG7*$B$59)</f>
        <v>37812.5</v>
      </c>
      <c r="AH59" s="49">
        <f>IF(H59=".",".",up_RadSpec!$F$7*AH7*$B$59)</f>
        <v>37812.5</v>
      </c>
      <c r="AI59" s="49">
        <f>IF(I59=".",".",up_RadSpec!$F$7*AI7*$B$59)</f>
        <v>37812.5</v>
      </c>
      <c r="AJ59" s="49">
        <f>IF(J59=".",".",up_RadSpec!$F$7*AJ7*$B$59)</f>
        <v>37812.5</v>
      </c>
      <c r="AK59" s="49">
        <f>IF(K59=".",".",up_RadSpec!$F$7*AK7*$B$59)</f>
        <v>37812.5</v>
      </c>
      <c r="AL59" s="49">
        <f>IF(L59=".",".",up_RadSpec!$F$7*AL7*$B$59)</f>
        <v>37812.5</v>
      </c>
      <c r="AM59" s="49">
        <f>IF(M59=".",".",up_RadSpec!$F$7*AM7*$B$59)</f>
        <v>37812.5</v>
      </c>
      <c r="AN59" s="49">
        <f>IF(N59=".",".",up_RadSpec!$F$7*AN7*$B$59)</f>
        <v>37812.5</v>
      </c>
      <c r="AO59" s="49">
        <f>IF(O59=".",".",up_RadSpec!$F$7*AO7*$B$59)</f>
        <v>37812.5</v>
      </c>
      <c r="AP59" s="60">
        <f t="shared" ref="AP59:BD59" si="205">IFERROR(AP7/$B59,".")</f>
        <v>0.33057851239669422</v>
      </c>
      <c r="AQ59" s="60">
        <f t="shared" si="205"/>
        <v>3089.9917851942919</v>
      </c>
      <c r="AR59" s="60">
        <f t="shared" si="205"/>
        <v>382.68082282680808</v>
      </c>
      <c r="AS59" s="60">
        <f t="shared" si="205"/>
        <v>3.2968835384132272E-5</v>
      </c>
      <c r="AT59" s="60">
        <f t="shared" si="205"/>
        <v>6.6115702479338848E-4</v>
      </c>
      <c r="AU59" s="60">
        <f t="shared" si="205"/>
        <v>6.6115702479338848E-4</v>
      </c>
      <c r="AV59" s="60">
        <f t="shared" si="205"/>
        <v>1.8558793678410905E-7</v>
      </c>
      <c r="AW59" s="60">
        <f t="shared" si="205"/>
        <v>1.9115557488763231E-7</v>
      </c>
      <c r="AX59" s="60">
        <f t="shared" si="205"/>
        <v>1.8558793678410905E-7</v>
      </c>
      <c r="AY59" s="60">
        <f t="shared" si="205"/>
        <v>1.8558793678410905E-7</v>
      </c>
      <c r="AZ59" s="60">
        <f t="shared" si="205"/>
        <v>1.8558793678410905E-7</v>
      </c>
      <c r="BA59" s="60">
        <f t="shared" si="205"/>
        <v>1.8558793678410905E-7</v>
      </c>
      <c r="BB59" s="60">
        <f t="shared" si="205"/>
        <v>1.9115557488763231E-7</v>
      </c>
      <c r="BC59" s="60">
        <f t="shared" si="205"/>
        <v>1.8558793678410905E-7</v>
      </c>
      <c r="BD59" s="60">
        <f t="shared" si="205"/>
        <v>1.9115557488763231E-7</v>
      </c>
      <c r="BE59" s="111">
        <f t="shared" si="174"/>
        <v>3.0249999999999999</v>
      </c>
      <c r="BF59" s="111">
        <f t="shared" si="174"/>
        <v>3.236254558317935E-4</v>
      </c>
      <c r="BG59" s="111">
        <f t="shared" si="174"/>
        <v>2.6131437489162485E-3</v>
      </c>
      <c r="BH59" s="111">
        <f t="shared" si="174"/>
        <v>30331.674999999992</v>
      </c>
      <c r="BI59" s="111">
        <f t="shared" si="174"/>
        <v>1512.5</v>
      </c>
      <c r="BJ59" s="111">
        <f t="shared" si="174"/>
        <v>1512.5</v>
      </c>
      <c r="BK59" s="111">
        <f t="shared" si="174"/>
        <v>5388281.2499999991</v>
      </c>
      <c r="BL59" s="111">
        <f t="shared" si="174"/>
        <v>5231341.0194174759</v>
      </c>
      <c r="BM59" s="111">
        <f t="shared" si="174"/>
        <v>5388281.2499999991</v>
      </c>
      <c r="BN59" s="111">
        <f t="shared" si="174"/>
        <v>5388281.2499999991</v>
      </c>
      <c r="BO59" s="111">
        <f t="shared" si="174"/>
        <v>5388281.2499999991</v>
      </c>
      <c r="BP59" s="111">
        <f t="shared" si="174"/>
        <v>5388281.2499999991</v>
      </c>
      <c r="BQ59" s="111">
        <f t="shared" si="174"/>
        <v>5231341.0194174759</v>
      </c>
      <c r="BR59" s="111">
        <f t="shared" si="174"/>
        <v>5388281.2499999991</v>
      </c>
      <c r="BS59" s="111">
        <f t="shared" si="174"/>
        <v>5231341.0194174759</v>
      </c>
      <c r="BT59" s="60">
        <f>IFERROR(BT7/$B59,".")</f>
        <v>2.0808592670444131E-8</v>
      </c>
      <c r="BU59" s="189">
        <f>IFERROR(BU7/$B59,0)</f>
        <v>6.117726245110575E-17</v>
      </c>
      <c r="BV59" s="49">
        <f>IF(AP59=".",".",up_RadSpec!$E$7*BV7*$B$59)</f>
        <v>75.625</v>
      </c>
      <c r="BW59" s="49">
        <f>IF(AQ59=".",".",up_RadSpec!$H$7*BW7*$B$59)</f>
        <v>8.0906363957948379E-3</v>
      </c>
      <c r="BX59" s="49">
        <f>IF(AR59=".",".",up_RadSpec!$G$7*BX7*$B$59)</f>
        <v>6.5328593722906211E-2</v>
      </c>
      <c r="BY59" s="49">
        <f>up_b2s!CC59</f>
        <v>758291.875</v>
      </c>
      <c r="BZ59" s="49">
        <f>IF(AT59=".",".",up_RadSpec!$F$7*BZ7*$B$59)</f>
        <v>37812.5</v>
      </c>
      <c r="CA59" s="49">
        <f>IF(AU59=".",".",up_RadSpec!$F$7*CA7*$B$59)</f>
        <v>37812.5</v>
      </c>
      <c r="CB59" s="49">
        <f>IF(AV59=".",".",up_RadSpec!$F$7*CB7*$B$59)</f>
        <v>134707031.25</v>
      </c>
      <c r="CC59" s="49">
        <f>IF(AW59=".",".",up_RadSpec!$F$7*CC7*$B$59)</f>
        <v>130783525.4854369</v>
      </c>
      <c r="CD59" s="49">
        <f>IF(AX59=".",".",up_RadSpec!$F$7*CD7*$B$59)</f>
        <v>134707031.25</v>
      </c>
      <c r="CE59" s="49">
        <f>IF(AY59=".",".",up_RadSpec!$F$7*CE7*$B$59)</f>
        <v>134707031.25</v>
      </c>
      <c r="CF59" s="49">
        <f>IF(AZ59=".",".",up_RadSpec!$F$7*CF7*$B$59)</f>
        <v>134707031.25</v>
      </c>
      <c r="CG59" s="49">
        <f>IF(BA59=".",".",up_RadSpec!$F$7*CG7*$B$59)</f>
        <v>134707031.25</v>
      </c>
      <c r="CH59" s="49">
        <f>IF(BB59=".",".",up_RadSpec!$F$7*CH7*$B$59)</f>
        <v>130783525.4854369</v>
      </c>
      <c r="CI59" s="49">
        <f>IF(BC59=".",".",up_RadSpec!$F$7*CI7*$B$59)</f>
        <v>134707031.25</v>
      </c>
      <c r="CJ59" s="49">
        <f>IF(BD59=".",".",up_RadSpec!$F$7*CJ7*$B$59)</f>
        <v>130783525.4854369</v>
      </c>
      <c r="CK59" s="49">
        <f t="shared" si="152"/>
        <v>1201426756.5297298</v>
      </c>
      <c r="CL59" s="60">
        <f>IFERROR(CL7/$B59,".")</f>
        <v>3.6363636363636364E-3</v>
      </c>
      <c r="CM59" s="60" t="str">
        <f>IFERROR(CM7,".")</f>
        <v>.</v>
      </c>
      <c r="CN59" s="60">
        <f t="shared" ref="CN59:CZ59" si="206">IFERROR(CN7/$B59,".")</f>
        <v>39.81818181818182</v>
      </c>
      <c r="CO59" s="60">
        <f t="shared" si="206"/>
        <v>1.6443412786038033E-4</v>
      </c>
      <c r="CP59" s="60">
        <f t="shared" si="206"/>
        <v>0.13223140495867769</v>
      </c>
      <c r="CQ59" s="60">
        <f t="shared" si="206"/>
        <v>0.13223140495867769</v>
      </c>
      <c r="CR59" s="60">
        <f t="shared" si="206"/>
        <v>2.6446280991735537E-2</v>
      </c>
      <c r="CS59" s="60">
        <f t="shared" si="206"/>
        <v>2.7239669421487603E-2</v>
      </c>
      <c r="CT59" s="60">
        <f t="shared" si="206"/>
        <v>2.6446280991735537E-2</v>
      </c>
      <c r="CU59" s="60">
        <f t="shared" si="206"/>
        <v>2.6446280991735537E-2</v>
      </c>
      <c r="CV59" s="60">
        <f t="shared" si="206"/>
        <v>2.6446280991735537E-2</v>
      </c>
      <c r="CW59" s="60">
        <f t="shared" si="206"/>
        <v>2.6446280991735537E-2</v>
      </c>
      <c r="CX59" s="60">
        <f t="shared" si="206"/>
        <v>2.7239669421487603E-2</v>
      </c>
      <c r="CY59" s="60">
        <f t="shared" si="206"/>
        <v>2.6446280991735537E-2</v>
      </c>
      <c r="CZ59" s="60">
        <f t="shared" si="206"/>
        <v>2.7239669421487603E-2</v>
      </c>
      <c r="DA59" s="111">
        <f t="shared" si="76"/>
        <v>275</v>
      </c>
      <c r="DB59" s="111" t="str">
        <f t="shared" si="76"/>
        <v>.</v>
      </c>
      <c r="DC59" s="111">
        <f t="shared" si="76"/>
        <v>2.5114155251141551E-2</v>
      </c>
      <c r="DD59" s="111">
        <f t="shared" si="76"/>
        <v>6081.4626076229861</v>
      </c>
      <c r="DE59" s="111">
        <f t="shared" si="181"/>
        <v>7.5625</v>
      </c>
      <c r="DF59" s="111">
        <f t="shared" si="181"/>
        <v>7.5625</v>
      </c>
      <c r="DG59" s="111">
        <f t="shared" si="181"/>
        <v>37.8125</v>
      </c>
      <c r="DH59" s="111">
        <f t="shared" si="181"/>
        <v>36.711165048543691</v>
      </c>
      <c r="DI59" s="111">
        <f t="shared" si="181"/>
        <v>37.8125</v>
      </c>
      <c r="DJ59" s="111">
        <f t="shared" si="181"/>
        <v>37.8125</v>
      </c>
      <c r="DK59" s="111">
        <f t="shared" si="181"/>
        <v>37.8125</v>
      </c>
      <c r="DL59" s="111">
        <f t="shared" si="181"/>
        <v>37.8125</v>
      </c>
      <c r="DM59" s="111">
        <f t="shared" si="181"/>
        <v>36.711165048543691</v>
      </c>
      <c r="DN59" s="111">
        <f t="shared" si="181"/>
        <v>37.8125</v>
      </c>
      <c r="DO59" s="111">
        <f t="shared" si="181"/>
        <v>36.711165048543691</v>
      </c>
      <c r="DP59" s="60">
        <f>IFERROR(DP7/$B59,".")</f>
        <v>1.4906192608956598E-4</v>
      </c>
      <c r="DQ59" s="189">
        <f t="shared" ref="DQ59" si="207">IFERROR(DQ7/$B59,0)</f>
        <v>4.3824206270332409E-16</v>
      </c>
      <c r="DR59" s="49">
        <f>IF(CL59=".",".",up_RadSpec!$I$7*DR7*$B$59)</f>
        <v>6875</v>
      </c>
      <c r="DS59" s="49" t="str">
        <f>IF(CM59=".",".",up_RadSpec!$H$7*DS7)</f>
        <v>.</v>
      </c>
      <c r="DT59" s="49">
        <f>IF(CN59=".",".",up_RadSpec!$M$7*DT7*$B$59)</f>
        <v>0.62785388127853881</v>
      </c>
      <c r="DU59" s="49">
        <f>up_b2w!CC59</f>
        <v>152036.56519057468</v>
      </c>
      <c r="DV59" s="49">
        <f>IF(CP59=".",".",up_RadSpec!$F$7*DV7*$B$59)</f>
        <v>189.0625</v>
      </c>
      <c r="DW59" s="49">
        <f>IF(CQ59=".",".",up_RadSpec!$F$7*DW7*$B$59)</f>
        <v>189.0625</v>
      </c>
      <c r="DX59" s="49">
        <f>IF(CR59=".",".",up_RadSpec!$F$7*DX7*$B$59)</f>
        <v>945.3125</v>
      </c>
      <c r="DY59" s="49">
        <f>IF(CS59=".",".",up_RadSpec!$F$7*DY7*$B$59)</f>
        <v>917.77912621359224</v>
      </c>
      <c r="DZ59" s="49">
        <f>IF(CT59=".",".",up_RadSpec!$F$7*DZ7*$B$59)</f>
        <v>945.3125</v>
      </c>
      <c r="EA59" s="49">
        <f>IF(CU59=".",".",up_RadSpec!$F$7*EA7*$B$59)</f>
        <v>945.3125</v>
      </c>
      <c r="EB59" s="49">
        <f>IF(CV59=".",".",up_RadSpec!$F$7*EB7*$B$59)</f>
        <v>945.3125</v>
      </c>
      <c r="EC59" s="49">
        <f>IF(CW59=".",".",up_RadSpec!$F$7*EC7*$B$59)</f>
        <v>945.3125</v>
      </c>
      <c r="ED59" s="49">
        <f>IF(CX59=".",".",up_RadSpec!$F$7*ED7*$B$59)</f>
        <v>917.77912621359224</v>
      </c>
      <c r="EE59" s="49">
        <f>IF(CY59=".",".",up_RadSpec!$F$7*EE7*$B$59)</f>
        <v>945.3125</v>
      </c>
      <c r="EF59" s="49">
        <f>IF(CZ59=".",".",up_RadSpec!$F$7*EF7*$B$59)</f>
        <v>917.77912621359224</v>
      </c>
      <c r="EG59" s="49">
        <f t="shared" si="155"/>
        <v>167715.53042309676</v>
      </c>
      <c r="EH59" s="60">
        <f>IFERROR(EH7/$B59,".")</f>
        <v>9.9740259740259754E-3</v>
      </c>
      <c r="EI59" s="60">
        <f>IFERROR(EI7/$B59,".")</f>
        <v>63.709090909090911</v>
      </c>
      <c r="EJ59" s="60">
        <f>IFERROR(EJ7/$B59,".")</f>
        <v>9.9724647271019675E-3</v>
      </c>
      <c r="EK59" s="189">
        <f t="shared" ref="EK59" si="208">IFERROR(EK7/$B59,0)</f>
        <v>2.9319046297679789E-14</v>
      </c>
      <c r="EL59" s="49">
        <f>IF(EH59=".",".",up_RadSpec!$H$7*EL7*$B$59)</f>
        <v>2506.5104166666661</v>
      </c>
      <c r="EM59" s="49">
        <f>IF(EI59=".",".",up_RadSpec!$K$7*EM7*$B$59)</f>
        <v>0.39240867579908678</v>
      </c>
      <c r="EN59" s="49">
        <f t="shared" si="60"/>
        <v>2506.9028253424653</v>
      </c>
    </row>
    <row r="60" spans="1:144" x14ac:dyDescent="0.25">
      <c r="A60" s="77" t="s">
        <v>1081</v>
      </c>
      <c r="B60" s="80">
        <v>1.9000000000000001E-8</v>
      </c>
      <c r="C60" s="241"/>
      <c r="D60" s="60">
        <f t="shared" ref="D60:O60" si="209">IFERROR(D12/$B60,".")</f>
        <v>8699.4345367551105</v>
      </c>
      <c r="E60" s="60">
        <f t="shared" si="209"/>
        <v>34797.738147020442</v>
      </c>
      <c r="F60" s="60">
        <f t="shared" si="209"/>
        <v>34797.738147020442</v>
      </c>
      <c r="G60" s="60">
        <f t="shared" si="209"/>
        <v>34797.738147020442</v>
      </c>
      <c r="H60" s="60">
        <f t="shared" si="209"/>
        <v>34797.738147020442</v>
      </c>
      <c r="I60" s="60">
        <f t="shared" si="209"/>
        <v>34797.738147020442</v>
      </c>
      <c r="J60" s="60">
        <f t="shared" si="209"/>
        <v>34797.738147020442</v>
      </c>
      <c r="K60" s="60">
        <f t="shared" si="209"/>
        <v>34797.738147020442</v>
      </c>
      <c r="L60" s="60">
        <f t="shared" si="209"/>
        <v>34797.738147020442</v>
      </c>
      <c r="M60" s="60">
        <f t="shared" si="209"/>
        <v>34797.738147020442</v>
      </c>
      <c r="N60" s="60">
        <f t="shared" si="209"/>
        <v>34797.738147020442</v>
      </c>
      <c r="O60" s="60">
        <f t="shared" si="209"/>
        <v>34797.738147020442</v>
      </c>
      <c r="P60" s="111">
        <f t="shared" si="150"/>
        <v>2.8737500000000001E-5</v>
      </c>
      <c r="Q60" s="111">
        <f t="shared" si="150"/>
        <v>2.8737500000000001E-5</v>
      </c>
      <c r="R60" s="111">
        <f t="shared" si="150"/>
        <v>2.8737500000000001E-5</v>
      </c>
      <c r="S60" s="111">
        <f t="shared" si="150"/>
        <v>2.8737500000000001E-5</v>
      </c>
      <c r="T60" s="111">
        <f t="shared" si="150"/>
        <v>2.8737500000000001E-5</v>
      </c>
      <c r="U60" s="111">
        <f t="shared" si="150"/>
        <v>2.8737500000000001E-5</v>
      </c>
      <c r="V60" s="111">
        <f t="shared" si="150"/>
        <v>2.8737500000000001E-5</v>
      </c>
      <c r="W60" s="111">
        <f t="shared" si="150"/>
        <v>2.8737500000000001E-5</v>
      </c>
      <c r="X60" s="111">
        <f t="shared" si="26"/>
        <v>2.8737500000000001E-5</v>
      </c>
      <c r="Y60" s="111">
        <f t="shared" si="26"/>
        <v>2.8737500000000001E-5</v>
      </c>
      <c r="Z60" s="111">
        <f t="shared" si="26"/>
        <v>2.8737500000000001E-5</v>
      </c>
      <c r="AA60" s="111">
        <f t="shared" si="26"/>
        <v>2.8737500000000001E-5</v>
      </c>
      <c r="AB60" s="60">
        <f>IFERROR(AB12/$B60,".")</f>
        <v>2899.8115122517033</v>
      </c>
      <c r="AC60" s="189">
        <f>IFERROR(AC12/$B60,0)</f>
        <v>8.3630564013339149E-6</v>
      </c>
      <c r="AD60" s="49">
        <f>up_dir!BC60</f>
        <v>2.8737500000000004E-3</v>
      </c>
      <c r="AE60" s="49">
        <f>IF(E60=".",".",up_RadSpec!$F$12*AE12*$B$60)</f>
        <v>7.184375E-4</v>
      </c>
      <c r="AF60" s="49">
        <f>IF(F60=".",".",up_RadSpec!$F$12*AF12*$B$60)</f>
        <v>7.184375E-4</v>
      </c>
      <c r="AG60" s="49">
        <f>IF(G60=".",".",up_RadSpec!$F$12*AG12*$B$60)</f>
        <v>7.184375E-4</v>
      </c>
      <c r="AH60" s="49">
        <f>IF(H60=".",".",up_RadSpec!$F$12*AH12*$B$60)</f>
        <v>7.184375E-4</v>
      </c>
      <c r="AI60" s="49">
        <f>IF(I60=".",".",up_RadSpec!$F$12*AI12*$B$60)</f>
        <v>7.184375E-4</v>
      </c>
      <c r="AJ60" s="49">
        <f>IF(J60=".",".",up_RadSpec!$F$12*AJ12*$B$60)</f>
        <v>7.184375E-4</v>
      </c>
      <c r="AK60" s="49">
        <f>IF(K60=".",".",up_RadSpec!$F$12*AK12*$B$60)</f>
        <v>7.184375E-4</v>
      </c>
      <c r="AL60" s="49">
        <f>IF(L60=".",".",up_RadSpec!$F$12*AL12*$B$60)</f>
        <v>7.184375E-4</v>
      </c>
      <c r="AM60" s="49">
        <f>IF(M60=".",".",up_RadSpec!$F$12*AM12*$B$60)</f>
        <v>7.184375E-4</v>
      </c>
      <c r="AN60" s="49">
        <f>IF(N60=".",".",up_RadSpec!$F$12*AN12*$B$60)</f>
        <v>7.184375E-4</v>
      </c>
      <c r="AO60" s="49">
        <f>IF(O60=".",".",up_RadSpec!$F$12*AO12*$B$60)</f>
        <v>7.184375E-4</v>
      </c>
      <c r="AP60" s="60">
        <f t="shared" ref="AP60:BD60" si="210">IFERROR(AP12/$B60,".")</f>
        <v>17398869.073510222</v>
      </c>
      <c r="AQ60" s="60">
        <f t="shared" si="210"/>
        <v>162631146589.17325</v>
      </c>
      <c r="AR60" s="60">
        <f t="shared" si="210"/>
        <v>15632030333.122686</v>
      </c>
      <c r="AS60" s="60">
        <f t="shared" si="210"/>
        <v>1735.2018623227509</v>
      </c>
      <c r="AT60" s="60">
        <f t="shared" si="210"/>
        <v>34797.738147020442</v>
      </c>
      <c r="AU60" s="60">
        <f t="shared" si="210"/>
        <v>34797.738147020442</v>
      </c>
      <c r="AV60" s="60">
        <f t="shared" si="210"/>
        <v>9.767786146532055</v>
      </c>
      <c r="AW60" s="60">
        <f t="shared" si="210"/>
        <v>10.060819730928015</v>
      </c>
      <c r="AX60" s="60">
        <f t="shared" si="210"/>
        <v>9.767786146532055</v>
      </c>
      <c r="AY60" s="60">
        <f t="shared" si="210"/>
        <v>9.767786146532055</v>
      </c>
      <c r="AZ60" s="60">
        <f t="shared" si="210"/>
        <v>9.767786146532055</v>
      </c>
      <c r="BA60" s="60">
        <f t="shared" si="210"/>
        <v>9.767786146532055</v>
      </c>
      <c r="BB60" s="60">
        <f t="shared" si="210"/>
        <v>10.060819730928015</v>
      </c>
      <c r="BC60" s="60">
        <f t="shared" si="210"/>
        <v>9.767786146532055</v>
      </c>
      <c r="BD60" s="60">
        <f t="shared" si="210"/>
        <v>10.060819730928015</v>
      </c>
      <c r="BE60" s="111">
        <f t="shared" si="174"/>
        <v>5.7474999999999997E-8</v>
      </c>
      <c r="BF60" s="111">
        <f t="shared" si="174"/>
        <v>6.1488836608040762E-12</v>
      </c>
      <c r="BG60" s="111">
        <f t="shared" si="174"/>
        <v>6.3971216706322627E-11</v>
      </c>
      <c r="BH60" s="111">
        <f t="shared" si="174"/>
        <v>5.7630182499999994E-4</v>
      </c>
      <c r="BI60" s="111">
        <f t="shared" si="174"/>
        <v>2.8737500000000001E-5</v>
      </c>
      <c r="BJ60" s="111">
        <f t="shared" si="174"/>
        <v>2.8737500000000001E-5</v>
      </c>
      <c r="BK60" s="111">
        <f t="shared" si="174"/>
        <v>0.10237734374999999</v>
      </c>
      <c r="BL60" s="111">
        <f t="shared" si="174"/>
        <v>9.9395479368932046E-2</v>
      </c>
      <c r="BM60" s="111">
        <f t="shared" si="174"/>
        <v>0.10237734374999999</v>
      </c>
      <c r="BN60" s="111">
        <f t="shared" si="174"/>
        <v>0.10237734374999999</v>
      </c>
      <c r="BO60" s="111">
        <f t="shared" si="174"/>
        <v>0.10237734374999999</v>
      </c>
      <c r="BP60" s="111">
        <f t="shared" si="174"/>
        <v>0.10237734374999999</v>
      </c>
      <c r="BQ60" s="111">
        <f t="shared" si="174"/>
        <v>9.9395479368932046E-2</v>
      </c>
      <c r="BR60" s="111">
        <f t="shared" si="174"/>
        <v>0.10237734374999999</v>
      </c>
      <c r="BS60" s="111">
        <f t="shared" si="174"/>
        <v>9.9395479368932046E-2</v>
      </c>
      <c r="BT60" s="60">
        <f>IFERROR(BT12/$B60,".")</f>
        <v>1.0951890879009345</v>
      </c>
      <c r="BU60" s="189">
        <f>IFERROR(BU12/$B60,0)</f>
        <v>3.1585253295062951E-9</v>
      </c>
      <c r="BV60" s="49">
        <f>IF(AP60=".",".",up_RadSpec!$E$12*BV12*$B$60)</f>
        <v>1.4368750000000001E-6</v>
      </c>
      <c r="BW60" s="49">
        <f>IF(AQ60=".",".",up_RadSpec!$H$12*BW12*$B$60)</f>
        <v>1.5372209152010192E-10</v>
      </c>
      <c r="BX60" s="49">
        <f>IF(AR60=".",".",up_RadSpec!$G$12*BX12*$B$60)</f>
        <v>1.5992804176580659E-9</v>
      </c>
      <c r="BY60" s="49">
        <f>up_b2s!CC60</f>
        <v>1.4407545625000002E-2</v>
      </c>
      <c r="BZ60" s="49">
        <f>IF(AT60=".",".",up_RadSpec!$F$12*BZ12*$B$60)</f>
        <v>7.184375E-4</v>
      </c>
      <c r="CA60" s="49">
        <f>IF(AU60=".",".",up_RadSpec!$F$12*CA12*$B$60)</f>
        <v>7.184375E-4</v>
      </c>
      <c r="CB60" s="49">
        <f>IF(AV60=".",".",up_RadSpec!$F$12*CB12*$B$60)</f>
        <v>2.5594335937500001</v>
      </c>
      <c r="CC60" s="49">
        <f>IF(AW60=".",".",up_RadSpec!$F$12*CC12*$B$60)</f>
        <v>2.4848869842233015</v>
      </c>
      <c r="CD60" s="49">
        <f>IF(AX60=".",".",up_RadSpec!$F$12*CD12*$B$60)</f>
        <v>2.5594335937500001</v>
      </c>
      <c r="CE60" s="49">
        <f>IF(AY60=".",".",up_RadSpec!$F$12*CE12*$B$60)</f>
        <v>2.5594335937500001</v>
      </c>
      <c r="CF60" s="49">
        <f>IF(AZ60=".",".",up_RadSpec!$F$12*CF12*$B$60)</f>
        <v>2.5594335937500001</v>
      </c>
      <c r="CG60" s="49">
        <f>IF(BA60=".",".",up_RadSpec!$F$12*CG12*$B$60)</f>
        <v>2.5594335937500001</v>
      </c>
      <c r="CH60" s="49">
        <f>IF(BB60=".",".",up_RadSpec!$F$12*CH12*$B$60)</f>
        <v>2.4848869842233015</v>
      </c>
      <c r="CI60" s="49">
        <f>IF(BC60=".",".",up_RadSpec!$F$12*CI12*$B$60)</f>
        <v>2.5594335937500001</v>
      </c>
      <c r="CJ60" s="49">
        <f>IF(BD60=".",".",up_RadSpec!$F$12*CJ12*$B$60)</f>
        <v>2.4848869842233015</v>
      </c>
      <c r="CK60" s="49">
        <f t="shared" si="152"/>
        <v>22.82710837442291</v>
      </c>
      <c r="CL60" s="60">
        <f>IFERROR(CL12/$B60,".")</f>
        <v>191387.55980861242</v>
      </c>
      <c r="CM60" s="60" t="str">
        <f>IFERROR(CM12,".")</f>
        <v>.</v>
      </c>
      <c r="CN60" s="60">
        <f t="shared" ref="CN60:CZ60" si="211">IFERROR(CN12/$B60,".")</f>
        <v>2095693779.9043062</v>
      </c>
      <c r="CO60" s="60">
        <f t="shared" si="211"/>
        <v>8654.4277821252799</v>
      </c>
      <c r="CP60" s="60">
        <f t="shared" si="211"/>
        <v>6959547.6294040885</v>
      </c>
      <c r="CQ60" s="60">
        <f t="shared" si="211"/>
        <v>6959547.6294040885</v>
      </c>
      <c r="CR60" s="60">
        <f t="shared" si="211"/>
        <v>1391909.5258808176</v>
      </c>
      <c r="CS60" s="60">
        <f t="shared" si="211"/>
        <v>1433666.8116572422</v>
      </c>
      <c r="CT60" s="60">
        <f t="shared" si="211"/>
        <v>1391909.5258808176</v>
      </c>
      <c r="CU60" s="60">
        <f t="shared" si="211"/>
        <v>1391909.5258808176</v>
      </c>
      <c r="CV60" s="60">
        <f t="shared" si="211"/>
        <v>1391909.5258808176</v>
      </c>
      <c r="CW60" s="60">
        <f t="shared" si="211"/>
        <v>1391909.5258808176</v>
      </c>
      <c r="CX60" s="60">
        <f t="shared" si="211"/>
        <v>1433666.8116572422</v>
      </c>
      <c r="CY60" s="60">
        <f t="shared" si="211"/>
        <v>1391909.5258808176</v>
      </c>
      <c r="CZ60" s="60">
        <f t="shared" si="211"/>
        <v>1433666.8116572422</v>
      </c>
      <c r="DA60" s="111">
        <f t="shared" si="76"/>
        <v>5.2250000000000008E-6</v>
      </c>
      <c r="DB60" s="111" t="str">
        <f t="shared" si="76"/>
        <v>.</v>
      </c>
      <c r="DC60" s="111">
        <f t="shared" si="76"/>
        <v>4.7716894977168946E-10</v>
      </c>
      <c r="DD60" s="111">
        <f t="shared" si="76"/>
        <v>1.1554778954483673E-4</v>
      </c>
      <c r="DE60" s="111">
        <f t="shared" si="181"/>
        <v>1.436875E-7</v>
      </c>
      <c r="DF60" s="111">
        <f t="shared" si="181"/>
        <v>1.436875E-7</v>
      </c>
      <c r="DG60" s="111">
        <f t="shared" si="181"/>
        <v>7.1843750000000006E-7</v>
      </c>
      <c r="DH60" s="111">
        <f t="shared" si="181"/>
        <v>6.9751213592233012E-7</v>
      </c>
      <c r="DI60" s="111">
        <f t="shared" si="181"/>
        <v>7.1843750000000006E-7</v>
      </c>
      <c r="DJ60" s="111">
        <f t="shared" si="181"/>
        <v>7.1843750000000006E-7</v>
      </c>
      <c r="DK60" s="111">
        <f t="shared" si="181"/>
        <v>7.1843750000000006E-7</v>
      </c>
      <c r="DL60" s="111">
        <f t="shared" si="181"/>
        <v>7.1843750000000006E-7</v>
      </c>
      <c r="DM60" s="111">
        <f t="shared" si="181"/>
        <v>6.9751213592233012E-7</v>
      </c>
      <c r="DN60" s="111">
        <f t="shared" si="181"/>
        <v>7.1843750000000006E-7</v>
      </c>
      <c r="DO60" s="111">
        <f t="shared" si="181"/>
        <v>6.9751213592233012E-7</v>
      </c>
      <c r="DP60" s="60">
        <f>IFERROR(DP12/$B60,".")</f>
        <v>7845.3645310297879</v>
      </c>
      <c r="DQ60" s="189">
        <f t="shared" ref="DQ60" si="212">IFERROR(DQ12/$B60,0)</f>
        <v>2.2626031307489911E-8</v>
      </c>
      <c r="DR60" s="49">
        <f>IF(CL60=".",".",up_RadSpec!$I$12*DR12*$B$60)</f>
        <v>1.3062500000000002E-4</v>
      </c>
      <c r="DS60" s="49" t="str">
        <f>IF(CM60=".",".",up_RadSpec!$H$12*DS12)</f>
        <v>.</v>
      </c>
      <c r="DT60" s="49">
        <f>IF(CN60=".",".",up_RadSpec!$M$12*DT12*$B$60)</f>
        <v>1.1929223744292239E-8</v>
      </c>
      <c r="DU60" s="49">
        <f>up_b2w!CC60</f>
        <v>2.888694738620919E-3</v>
      </c>
      <c r="DV60" s="49">
        <f>IF(CP60=".",".",up_RadSpec!$F$12*DV12*$B$60)</f>
        <v>3.5921875000000001E-6</v>
      </c>
      <c r="DW60" s="49">
        <f>IF(CQ60=".",".",up_RadSpec!$F$12*DW12*$B$60)</f>
        <v>3.5921875000000001E-6</v>
      </c>
      <c r="DX60" s="49">
        <f>IF(CR60=".",".",up_RadSpec!$F$12*DX12*$B$60)</f>
        <v>1.7960937500000002E-5</v>
      </c>
      <c r="DY60" s="49">
        <f>IF(CS60=".",".",up_RadSpec!$F$12*DY12*$B$60)</f>
        <v>1.7437803398058254E-5</v>
      </c>
      <c r="DZ60" s="49">
        <f>IF(CT60=".",".",up_RadSpec!$F$12*DZ12*$B$60)</f>
        <v>1.7960937500000002E-5</v>
      </c>
      <c r="EA60" s="49">
        <f>IF(CU60=".",".",up_RadSpec!$F$12*EA12*$B$60)</f>
        <v>1.7960937500000002E-5</v>
      </c>
      <c r="EB60" s="49">
        <f>IF(CV60=".",".",up_RadSpec!$F$12*EB12*$B$60)</f>
        <v>1.7960937500000002E-5</v>
      </c>
      <c r="EC60" s="49">
        <f>IF(CW60=".",".",up_RadSpec!$F$12*EC12*$B$60)</f>
        <v>1.7960937500000002E-5</v>
      </c>
      <c r="ED60" s="49">
        <f>IF(CX60=".",".",up_RadSpec!$F$12*ED12*$B$60)</f>
        <v>1.7437803398058254E-5</v>
      </c>
      <c r="EE60" s="49">
        <f>IF(CY60=".",".",up_RadSpec!$F$12*EE12*$B$60)</f>
        <v>1.7960937500000002E-5</v>
      </c>
      <c r="EF60" s="49">
        <f>IF(CZ60=".",".",up_RadSpec!$F$12*EF12*$B$60)</f>
        <v>1.7437803398058254E-5</v>
      </c>
      <c r="EG60" s="49">
        <f t="shared" si="155"/>
        <v>3.1865950780388375E-3</v>
      </c>
      <c r="EH60" s="60">
        <f>IFERROR(EH12/$B60,".")</f>
        <v>524948.73547505133</v>
      </c>
      <c r="EI60" s="60">
        <f>IFERROR(EI12/$B60,".")</f>
        <v>3353110047.84689</v>
      </c>
      <c r="EJ60" s="60">
        <f>IFERROR(EJ12/$B60,".")</f>
        <v>524866.56458431401</v>
      </c>
      <c r="EK60" s="189">
        <f t="shared" ref="EK60" si="213">IFERROR(EK12/$B60,0)</f>
        <v>1.5137151722611618E-6</v>
      </c>
      <c r="EL60" s="49">
        <f>IF(EH60=".",".",up_RadSpec!$H$12*EL12*$B$60)</f>
        <v>4.762369791666666E-5</v>
      </c>
      <c r="EM60" s="49">
        <f>IF(EI60=".",".",up_RadSpec!$K$12*EM12*$B$60)</f>
        <v>7.4557648401826493E-9</v>
      </c>
      <c r="EN60" s="49">
        <f t="shared" si="60"/>
        <v>4.7631153681506843E-5</v>
      </c>
    </row>
    <row r="61" spans="1:144" x14ac:dyDescent="0.25">
      <c r="A61" s="77" t="s">
        <v>1082</v>
      </c>
      <c r="B61" s="42">
        <v>1</v>
      </c>
      <c r="C61" s="238"/>
      <c r="D61" s="60">
        <f t="shared" ref="D61:O61" si="214">IFERROR(D18/$B61,".")</f>
        <v>1.6528925619834712E-4</v>
      </c>
      <c r="E61" s="60">
        <f t="shared" si="214"/>
        <v>6.6115702479338848E-4</v>
      </c>
      <c r="F61" s="60">
        <f t="shared" si="214"/>
        <v>6.6115702479338848E-4</v>
      </c>
      <c r="G61" s="60">
        <f t="shared" si="214"/>
        <v>6.6115702479338848E-4</v>
      </c>
      <c r="H61" s="60">
        <f t="shared" si="214"/>
        <v>6.6115702479338848E-4</v>
      </c>
      <c r="I61" s="60">
        <f t="shared" si="214"/>
        <v>6.6115702479338848E-4</v>
      </c>
      <c r="J61" s="60">
        <f t="shared" si="214"/>
        <v>6.6115702479338848E-4</v>
      </c>
      <c r="K61" s="60">
        <f t="shared" si="214"/>
        <v>6.6115702479338848E-4</v>
      </c>
      <c r="L61" s="60">
        <f t="shared" si="214"/>
        <v>6.6115702479338848E-4</v>
      </c>
      <c r="M61" s="60">
        <f t="shared" si="214"/>
        <v>6.6115702479338848E-4</v>
      </c>
      <c r="N61" s="60">
        <f t="shared" si="214"/>
        <v>6.6115702479338848E-4</v>
      </c>
      <c r="O61" s="60">
        <f t="shared" si="214"/>
        <v>6.6115702479338848E-4</v>
      </c>
      <c r="P61" s="111">
        <f t="shared" si="150"/>
        <v>1512.5</v>
      </c>
      <c r="Q61" s="111">
        <f t="shared" si="150"/>
        <v>1512.5</v>
      </c>
      <c r="R61" s="111">
        <f t="shared" si="150"/>
        <v>1512.5</v>
      </c>
      <c r="S61" s="111">
        <f t="shared" si="150"/>
        <v>1512.5</v>
      </c>
      <c r="T61" s="111">
        <f t="shared" si="150"/>
        <v>1512.5</v>
      </c>
      <c r="U61" s="111">
        <f t="shared" si="150"/>
        <v>1512.5</v>
      </c>
      <c r="V61" s="111">
        <f t="shared" si="150"/>
        <v>1512.5</v>
      </c>
      <c r="W61" s="111">
        <f t="shared" si="150"/>
        <v>1512.5</v>
      </c>
      <c r="X61" s="111">
        <f t="shared" si="26"/>
        <v>1512.5</v>
      </c>
      <c r="Y61" s="111">
        <f t="shared" si="26"/>
        <v>1512.5</v>
      </c>
      <c r="Z61" s="111">
        <f t="shared" si="26"/>
        <v>1512.5</v>
      </c>
      <c r="AA61" s="111">
        <f t="shared" si="26"/>
        <v>1512.5</v>
      </c>
      <c r="AB61" s="60">
        <f>IFERROR(AB18/$B61,".")</f>
        <v>5.5096418732782371E-5</v>
      </c>
      <c r="AC61" s="189">
        <f>IFERROR(AC18/$B61,0)</f>
        <v>1.6198347107438019E-13</v>
      </c>
      <c r="AD61" s="49">
        <f>up_dir!BC61</f>
        <v>151250</v>
      </c>
      <c r="AE61" s="49">
        <f>IF(E61=".",".",up_RadSpec!$F$18*AE18*$B$61)</f>
        <v>37812.5</v>
      </c>
      <c r="AF61" s="49">
        <f>IF(F61=".",".",up_RadSpec!$F$18*AF18*$B$61)</f>
        <v>37812.5</v>
      </c>
      <c r="AG61" s="49">
        <f>IF(G61=".",".",up_RadSpec!$F$18*AG18*$B$61)</f>
        <v>37812.5</v>
      </c>
      <c r="AH61" s="49">
        <f>IF(H61=".",".",up_RadSpec!$F$18*AH18*$B$61)</f>
        <v>37812.5</v>
      </c>
      <c r="AI61" s="49">
        <f>IF(I61=".",".",up_RadSpec!$F$18*AI18*$B$61)</f>
        <v>37812.5</v>
      </c>
      <c r="AJ61" s="49">
        <f>IF(J61=".",".",up_RadSpec!$F$18*AJ18*$B$61)</f>
        <v>37812.5</v>
      </c>
      <c r="AK61" s="49">
        <f>IF(K61=".",".",up_RadSpec!$F$18*AK18*$B$61)</f>
        <v>37812.5</v>
      </c>
      <c r="AL61" s="49">
        <f>IF(L61=".",".",up_RadSpec!$F$18*AL18*$B$61)</f>
        <v>37812.5</v>
      </c>
      <c r="AM61" s="49">
        <f>IF(M61=".",".",up_RadSpec!$F$18*AM18*$B$61)</f>
        <v>37812.5</v>
      </c>
      <c r="AN61" s="49">
        <f>IF(N61=".",".",up_RadSpec!$F$18*AN18*$B$61)</f>
        <v>37812.5</v>
      </c>
      <c r="AO61" s="49">
        <f>IF(O61=".",".",up_RadSpec!$F$18*AO18*$B$61)</f>
        <v>37812.5</v>
      </c>
      <c r="AP61" s="60">
        <f t="shared" ref="AP61:BD61" si="215">IFERROR(AP18/$B61,".")</f>
        <v>0.33057851239669422</v>
      </c>
      <c r="AQ61" s="60">
        <f t="shared" si="215"/>
        <v>3089.9917851942919</v>
      </c>
      <c r="AR61" s="60">
        <f t="shared" si="215"/>
        <v>149.24627075710671</v>
      </c>
      <c r="AS61" s="60">
        <f t="shared" si="215"/>
        <v>3.2968835384132272E-5</v>
      </c>
      <c r="AT61" s="60">
        <f t="shared" si="215"/>
        <v>6.6115702479338848E-4</v>
      </c>
      <c r="AU61" s="60">
        <f t="shared" si="215"/>
        <v>6.6115702479338848E-4</v>
      </c>
      <c r="AV61" s="60">
        <f t="shared" si="215"/>
        <v>1.8558793678410905E-7</v>
      </c>
      <c r="AW61" s="60">
        <f t="shared" si="215"/>
        <v>1.9115557488763231E-7</v>
      </c>
      <c r="AX61" s="60">
        <f t="shared" si="215"/>
        <v>1.8558793678410905E-7</v>
      </c>
      <c r="AY61" s="60">
        <f t="shared" si="215"/>
        <v>1.8558793678410905E-7</v>
      </c>
      <c r="AZ61" s="60">
        <f t="shared" si="215"/>
        <v>1.8558793678410905E-7</v>
      </c>
      <c r="BA61" s="60">
        <f t="shared" si="215"/>
        <v>1.8558793678410905E-7</v>
      </c>
      <c r="BB61" s="60">
        <f t="shared" si="215"/>
        <v>1.9115557488763231E-7</v>
      </c>
      <c r="BC61" s="60">
        <f t="shared" si="215"/>
        <v>1.8558793678410905E-7</v>
      </c>
      <c r="BD61" s="60">
        <f t="shared" si="215"/>
        <v>1.9115557488763231E-7</v>
      </c>
      <c r="BE61" s="111">
        <f t="shared" si="174"/>
        <v>3.0249999999999999</v>
      </c>
      <c r="BF61" s="111">
        <f t="shared" si="174"/>
        <v>3.236254558317935E-4</v>
      </c>
      <c r="BG61" s="111">
        <f t="shared" si="174"/>
        <v>6.700334922454889E-3</v>
      </c>
      <c r="BH61" s="111">
        <f t="shared" si="174"/>
        <v>30331.674999999992</v>
      </c>
      <c r="BI61" s="111">
        <f t="shared" si="174"/>
        <v>1512.5</v>
      </c>
      <c r="BJ61" s="111">
        <f t="shared" si="174"/>
        <v>1512.5</v>
      </c>
      <c r="BK61" s="111">
        <f t="shared" si="174"/>
        <v>5388281.2499999991</v>
      </c>
      <c r="BL61" s="111">
        <f t="shared" si="174"/>
        <v>5231341.0194174759</v>
      </c>
      <c r="BM61" s="111">
        <f t="shared" si="174"/>
        <v>5388281.2499999991</v>
      </c>
      <c r="BN61" s="111">
        <f t="shared" si="174"/>
        <v>5388281.2499999991</v>
      </c>
      <c r="BO61" s="111">
        <f t="shared" si="174"/>
        <v>5388281.2499999991</v>
      </c>
      <c r="BP61" s="111">
        <f t="shared" si="174"/>
        <v>5388281.2499999991</v>
      </c>
      <c r="BQ61" s="111">
        <f t="shared" si="174"/>
        <v>5231341.0194174759</v>
      </c>
      <c r="BR61" s="111">
        <f t="shared" si="174"/>
        <v>5388281.2499999991</v>
      </c>
      <c r="BS61" s="111">
        <f t="shared" si="174"/>
        <v>5231341.0194174759</v>
      </c>
      <c r="BT61" s="60">
        <f>IFERROR(BT18/$B61,".")</f>
        <v>2.0808592668674384E-8</v>
      </c>
      <c r="BU61" s="189">
        <f>IFERROR(BU18/$B61,0)</f>
        <v>6.1177262445902695E-17</v>
      </c>
      <c r="BV61" s="49">
        <f>IF(AP61=".",".",up_RadSpec!$E$18*BV18*$B$61)</f>
        <v>75.625</v>
      </c>
      <c r="BW61" s="49">
        <f>IF(AQ61=".",".",up_RadSpec!$H$18*BW18*$B$61)</f>
        <v>8.0906363957948379E-3</v>
      </c>
      <c r="BX61" s="49">
        <f>IF(AR61=".",".",up_RadSpec!$G$18*BX18*$B$61)</f>
        <v>0.16750837306137223</v>
      </c>
      <c r="BY61" s="49">
        <f>up_b2s!CC61</f>
        <v>758291.875</v>
      </c>
      <c r="BZ61" s="49">
        <f>IF(AT61=".",".",up_RadSpec!$F$18*BZ18*$B$61)</f>
        <v>37812.5</v>
      </c>
      <c r="CA61" s="49">
        <f>IF(AU61=".",".",up_RadSpec!$F$18*CA18*$B$61)</f>
        <v>37812.5</v>
      </c>
      <c r="CB61" s="49">
        <f>IF(AV61=".",".",up_RadSpec!$F$18*CB18*$B$61)</f>
        <v>134707031.25</v>
      </c>
      <c r="CC61" s="49">
        <f>IF(AW61=".",".",up_RadSpec!$F$18*CC18*$B$61)</f>
        <v>130783525.4854369</v>
      </c>
      <c r="CD61" s="49">
        <f>IF(AX61=".",".",up_RadSpec!$F$18*CD18*$B$61)</f>
        <v>134707031.25</v>
      </c>
      <c r="CE61" s="49">
        <f>IF(AY61=".",".",up_RadSpec!$F$18*CE18*$B$61)</f>
        <v>134707031.25</v>
      </c>
      <c r="CF61" s="49">
        <f>IF(AZ61=".",".",up_RadSpec!$F$18*CF18*$B$61)</f>
        <v>134707031.25</v>
      </c>
      <c r="CG61" s="49">
        <f>IF(BA61=".",".",up_RadSpec!$F$18*CG18*$B$61)</f>
        <v>134707031.25</v>
      </c>
      <c r="CH61" s="49">
        <f>IF(BB61=".",".",up_RadSpec!$F$18*CH18*$B$61)</f>
        <v>130783525.4854369</v>
      </c>
      <c r="CI61" s="49">
        <f>IF(BC61=".",".",up_RadSpec!$F$18*CI18*$B$61)</f>
        <v>134707031.25</v>
      </c>
      <c r="CJ61" s="49">
        <f>IF(BD61=".",".",up_RadSpec!$F$18*CJ18*$B$61)</f>
        <v>130783525.4854369</v>
      </c>
      <c r="CK61" s="49">
        <f t="shared" si="152"/>
        <v>1201426756.6319096</v>
      </c>
      <c r="CL61" s="60">
        <f>IFERROR(CL18/$B61,".")</f>
        <v>3.6363636363636364E-3</v>
      </c>
      <c r="CM61" s="60" t="str">
        <f>IFERROR(CM18,".")</f>
        <v>.</v>
      </c>
      <c r="CN61" s="60">
        <f t="shared" ref="CN61:CZ61" si="216">IFERROR(CN18/$B61,".")</f>
        <v>39.81818181818182</v>
      </c>
      <c r="CO61" s="60">
        <f t="shared" si="216"/>
        <v>1.6443412786038033E-4</v>
      </c>
      <c r="CP61" s="60">
        <f t="shared" si="216"/>
        <v>0.13223140495867769</v>
      </c>
      <c r="CQ61" s="60">
        <f t="shared" si="216"/>
        <v>0.13223140495867769</v>
      </c>
      <c r="CR61" s="60">
        <f t="shared" si="216"/>
        <v>2.6446280991735537E-2</v>
      </c>
      <c r="CS61" s="60">
        <f t="shared" si="216"/>
        <v>2.7239669421487603E-2</v>
      </c>
      <c r="CT61" s="60">
        <f t="shared" si="216"/>
        <v>2.6446280991735537E-2</v>
      </c>
      <c r="CU61" s="60">
        <f t="shared" si="216"/>
        <v>2.6446280991735537E-2</v>
      </c>
      <c r="CV61" s="60">
        <f t="shared" si="216"/>
        <v>2.6446280991735537E-2</v>
      </c>
      <c r="CW61" s="60">
        <f t="shared" si="216"/>
        <v>2.6446280991735537E-2</v>
      </c>
      <c r="CX61" s="60">
        <f t="shared" si="216"/>
        <v>2.7239669421487603E-2</v>
      </c>
      <c r="CY61" s="60">
        <f t="shared" si="216"/>
        <v>2.6446280991735537E-2</v>
      </c>
      <c r="CZ61" s="60">
        <f t="shared" si="216"/>
        <v>2.7239669421487603E-2</v>
      </c>
      <c r="DA61" s="111">
        <f t="shared" si="76"/>
        <v>275</v>
      </c>
      <c r="DB61" s="111" t="str">
        <f t="shared" si="76"/>
        <v>.</v>
      </c>
      <c r="DC61" s="111">
        <f t="shared" si="76"/>
        <v>2.5114155251141551E-2</v>
      </c>
      <c r="DD61" s="111">
        <f t="shared" si="76"/>
        <v>6081.4626076229861</v>
      </c>
      <c r="DE61" s="111">
        <f t="shared" si="181"/>
        <v>7.5625</v>
      </c>
      <c r="DF61" s="111">
        <f t="shared" si="181"/>
        <v>7.5625</v>
      </c>
      <c r="DG61" s="111">
        <f t="shared" si="181"/>
        <v>37.8125</v>
      </c>
      <c r="DH61" s="111">
        <f t="shared" si="181"/>
        <v>36.711165048543691</v>
      </c>
      <c r="DI61" s="111">
        <f t="shared" si="181"/>
        <v>37.8125</v>
      </c>
      <c r="DJ61" s="111">
        <f t="shared" si="181"/>
        <v>37.8125</v>
      </c>
      <c r="DK61" s="111">
        <f t="shared" si="181"/>
        <v>37.8125</v>
      </c>
      <c r="DL61" s="111">
        <f t="shared" si="181"/>
        <v>37.8125</v>
      </c>
      <c r="DM61" s="111">
        <f t="shared" si="181"/>
        <v>36.711165048543691</v>
      </c>
      <c r="DN61" s="111">
        <f t="shared" si="181"/>
        <v>37.8125</v>
      </c>
      <c r="DO61" s="111">
        <f t="shared" si="181"/>
        <v>36.711165048543691</v>
      </c>
      <c r="DP61" s="60">
        <f>IFERROR(DP18/$B61,".")</f>
        <v>1.4906192608956598E-4</v>
      </c>
      <c r="DQ61" s="189">
        <f t="shared" ref="DQ61" si="217">IFERROR(DQ18/$B61,0)</f>
        <v>4.3824206270332409E-16</v>
      </c>
      <c r="DR61" s="49">
        <f>IF(CL61=".",".",up_RadSpec!$I$18*DR18*$B$61)</f>
        <v>6875</v>
      </c>
      <c r="DS61" s="49" t="str">
        <f>IF(CM61=".",".",up_RadSpec!$H$18*DS18)</f>
        <v>.</v>
      </c>
      <c r="DT61" s="49">
        <f>IF(CN61=".",".",up_RadSpec!$M$18*DT18*$B$61)</f>
        <v>0.62785388127853881</v>
      </c>
      <c r="DU61" s="49">
        <f>up_b2w!CC61</f>
        <v>152036.56519057468</v>
      </c>
      <c r="DV61" s="49">
        <f>IF(CP61=".",".",up_RadSpec!$F$18*DV18*$B$61)</f>
        <v>189.0625</v>
      </c>
      <c r="DW61" s="49">
        <f>IF(CQ61=".",".",up_RadSpec!$F$18*DW18*$B$61)</f>
        <v>189.0625</v>
      </c>
      <c r="DX61" s="49">
        <f>IF(CR61=".",".",up_RadSpec!$F$18*DX18*$B$61)</f>
        <v>945.3125</v>
      </c>
      <c r="DY61" s="49">
        <f>IF(CS61=".",".",up_RadSpec!$F$18*DY18*$B$61)</f>
        <v>917.77912621359224</v>
      </c>
      <c r="DZ61" s="49">
        <f>IF(CT61=".",".",up_RadSpec!$F$18*DZ18*$B$61)</f>
        <v>945.3125</v>
      </c>
      <c r="EA61" s="49">
        <f>IF(CU61=".",".",up_RadSpec!$F$18*EA18*$B$61)</f>
        <v>945.3125</v>
      </c>
      <c r="EB61" s="49">
        <f>IF(CV61=".",".",up_RadSpec!$F$18*EB18*$B$61)</f>
        <v>945.3125</v>
      </c>
      <c r="EC61" s="49">
        <f>IF(CW61=".",".",up_RadSpec!$F$18*EC18*$B$61)</f>
        <v>945.3125</v>
      </c>
      <c r="ED61" s="49">
        <f>IF(CX61=".",".",up_RadSpec!$F$18*ED18*$B$61)</f>
        <v>917.77912621359224</v>
      </c>
      <c r="EE61" s="49">
        <f>IF(CY61=".",".",up_RadSpec!$F$18*EE18*$B$61)</f>
        <v>945.3125</v>
      </c>
      <c r="EF61" s="49">
        <f>IF(CZ61=".",".",up_RadSpec!$F$18*EF18*$B$61)</f>
        <v>917.77912621359224</v>
      </c>
      <c r="EG61" s="49">
        <f t="shared" si="155"/>
        <v>167715.53042309676</v>
      </c>
      <c r="EH61" s="60">
        <f>IFERROR(EH18/$B61,".")</f>
        <v>9.9740259740259754E-3</v>
      </c>
      <c r="EI61" s="60">
        <f>IFERROR(EI18/$B61,".")</f>
        <v>63.709090909090911</v>
      </c>
      <c r="EJ61" s="60">
        <f>IFERROR(EJ18/$B61,".")</f>
        <v>9.9724647271019675E-3</v>
      </c>
      <c r="EK61" s="189">
        <f t="shared" ref="EK61" si="218">IFERROR(EK18/$B61,0)</f>
        <v>2.9319046297679789E-14</v>
      </c>
      <c r="EL61" s="49">
        <f>IF(EH61=".",".",up_RadSpec!$H$18*EL18*$B$61)</f>
        <v>2506.5104166666661</v>
      </c>
      <c r="EM61" s="49">
        <f>IF(EI61=".",".",up_RadSpec!$K$18*EM18*$B$61)</f>
        <v>0.39240867579908678</v>
      </c>
      <c r="EN61" s="49">
        <f t="shared" si="60"/>
        <v>2506.9028253424653</v>
      </c>
    </row>
    <row r="62" spans="1:144" x14ac:dyDescent="0.25">
      <c r="A62" s="77" t="s">
        <v>1083</v>
      </c>
      <c r="B62" s="42">
        <v>1.339E-6</v>
      </c>
      <c r="C62" s="238"/>
      <c r="D62" s="60">
        <f t="shared" ref="D62:O62" si="219">IFERROR(D27/$B62,".")</f>
        <v>123.44231232139441</v>
      </c>
      <c r="E62" s="60">
        <f t="shared" si="219"/>
        <v>493.76924928557764</v>
      </c>
      <c r="F62" s="60">
        <f t="shared" si="219"/>
        <v>493.76924928557764</v>
      </c>
      <c r="G62" s="60">
        <f t="shared" si="219"/>
        <v>493.76924928557764</v>
      </c>
      <c r="H62" s="60">
        <f t="shared" si="219"/>
        <v>493.76924928557764</v>
      </c>
      <c r="I62" s="60">
        <f t="shared" si="219"/>
        <v>493.76924928557764</v>
      </c>
      <c r="J62" s="60">
        <f t="shared" si="219"/>
        <v>493.76924928557764</v>
      </c>
      <c r="K62" s="60">
        <f t="shared" si="219"/>
        <v>493.76924928557764</v>
      </c>
      <c r="L62" s="60">
        <f t="shared" si="219"/>
        <v>493.76924928557764</v>
      </c>
      <c r="M62" s="60">
        <f t="shared" si="219"/>
        <v>493.76924928557764</v>
      </c>
      <c r="N62" s="60">
        <f t="shared" si="219"/>
        <v>493.76924928557764</v>
      </c>
      <c r="O62" s="60">
        <f t="shared" si="219"/>
        <v>493.76924928557764</v>
      </c>
      <c r="P62" s="111">
        <f t="shared" si="150"/>
        <v>2.0252374999999998E-3</v>
      </c>
      <c r="Q62" s="111">
        <f t="shared" si="150"/>
        <v>2.0252374999999998E-3</v>
      </c>
      <c r="R62" s="111">
        <f t="shared" si="150"/>
        <v>2.0252374999999998E-3</v>
      </c>
      <c r="S62" s="111">
        <f t="shared" si="150"/>
        <v>2.0252374999999998E-3</v>
      </c>
      <c r="T62" s="111">
        <f t="shared" si="150"/>
        <v>2.0252374999999998E-3</v>
      </c>
      <c r="U62" s="111">
        <f t="shared" si="150"/>
        <v>2.0252374999999998E-3</v>
      </c>
      <c r="V62" s="111">
        <f t="shared" si="150"/>
        <v>2.0252374999999998E-3</v>
      </c>
      <c r="W62" s="111">
        <f t="shared" si="150"/>
        <v>2.0252374999999998E-3</v>
      </c>
      <c r="X62" s="111">
        <f t="shared" si="26"/>
        <v>2.0252374999999998E-3</v>
      </c>
      <c r="Y62" s="111">
        <f t="shared" si="26"/>
        <v>2.0252374999999998E-3</v>
      </c>
      <c r="Z62" s="111">
        <f t="shared" si="26"/>
        <v>2.0252374999999998E-3</v>
      </c>
      <c r="AA62" s="111">
        <f t="shared" si="26"/>
        <v>2.0252374999999998E-3</v>
      </c>
      <c r="AB62" s="60">
        <f>IFERROR(AB27/$B62,".")</f>
        <v>41.147437440464799</v>
      </c>
      <c r="AC62" s="189">
        <f>IFERROR(AC27/$B62,0)</f>
        <v>1.1866920957830051E-7</v>
      </c>
      <c r="AD62" s="49">
        <f>up_dir!BC62</f>
        <v>0.20252375</v>
      </c>
      <c r="AE62" s="49">
        <f>IF(E62=".",".",up_RadSpec!$F$27*AE27*$B$62)</f>
        <v>5.0630937500000001E-2</v>
      </c>
      <c r="AF62" s="49">
        <f>IF(F62=".",".",up_RadSpec!$F$27*AF27*$B$62)</f>
        <v>5.0630937500000001E-2</v>
      </c>
      <c r="AG62" s="49">
        <f>IF(G62=".",".",up_RadSpec!$F$27*AG27*$B$62)</f>
        <v>5.0630937500000001E-2</v>
      </c>
      <c r="AH62" s="49">
        <f>IF(H62=".",".",up_RadSpec!$F$27*AH27*$B$62)</f>
        <v>5.0630937500000001E-2</v>
      </c>
      <c r="AI62" s="49">
        <f>IF(I62=".",".",up_RadSpec!$F$27*AI27*$B$62)</f>
        <v>5.0630937500000001E-2</v>
      </c>
      <c r="AJ62" s="49">
        <f>IF(J62=".",".",up_RadSpec!$F$27*AJ27*$B$62)</f>
        <v>5.0630937500000001E-2</v>
      </c>
      <c r="AK62" s="49">
        <f>IF(K62=".",".",up_RadSpec!$F$27*AK27*$B$62)</f>
        <v>5.0630937500000001E-2</v>
      </c>
      <c r="AL62" s="49">
        <f>IF(L62=".",".",up_RadSpec!$F$27*AL27*$B$62)</f>
        <v>5.0630937500000001E-2</v>
      </c>
      <c r="AM62" s="49">
        <f>IF(M62=".",".",up_RadSpec!$F$27*AM27*$B$62)</f>
        <v>5.0630937500000001E-2</v>
      </c>
      <c r="AN62" s="49">
        <f>IF(N62=".",".",up_RadSpec!$F$27*AN27*$B$62)</f>
        <v>5.0630937500000001E-2</v>
      </c>
      <c r="AO62" s="49">
        <f>IF(O62=".",".",up_RadSpec!$F$27*AO27*$B$62)</f>
        <v>5.0630937500000001E-2</v>
      </c>
      <c r="AP62" s="60">
        <f t="shared" ref="AP62:BD62" si="220">IFERROR(AP27/$B62,".")</f>
        <v>246884.62464278881</v>
      </c>
      <c r="AQ62" s="60">
        <f t="shared" si="220"/>
        <v>2307686172.6619058</v>
      </c>
      <c r="AR62" s="60">
        <f t="shared" si="220"/>
        <v>182920848.04507244</v>
      </c>
      <c r="AS62" s="60">
        <f t="shared" si="220"/>
        <v>24.621983109882205</v>
      </c>
      <c r="AT62" s="60">
        <f t="shared" si="220"/>
        <v>493.76924928557764</v>
      </c>
      <c r="AU62" s="60">
        <f t="shared" si="220"/>
        <v>493.76924928557764</v>
      </c>
      <c r="AV62" s="60">
        <f t="shared" si="220"/>
        <v>0.13860189453630251</v>
      </c>
      <c r="AW62" s="60">
        <f t="shared" si="220"/>
        <v>0.14275995137239156</v>
      </c>
      <c r="AX62" s="60">
        <f t="shared" si="220"/>
        <v>0.13860189453630251</v>
      </c>
      <c r="AY62" s="60">
        <f t="shared" si="220"/>
        <v>0.13860189453630251</v>
      </c>
      <c r="AZ62" s="60">
        <f t="shared" si="220"/>
        <v>0.13860189453630251</v>
      </c>
      <c r="BA62" s="60">
        <f t="shared" si="220"/>
        <v>0.13860189453630251</v>
      </c>
      <c r="BB62" s="60">
        <f t="shared" si="220"/>
        <v>0.14275995137239156</v>
      </c>
      <c r="BC62" s="60">
        <f t="shared" si="220"/>
        <v>0.13860189453630251</v>
      </c>
      <c r="BD62" s="60">
        <f t="shared" si="220"/>
        <v>0.14275995137239156</v>
      </c>
      <c r="BE62" s="111">
        <f t="shared" si="174"/>
        <v>4.0504750000000004E-6</v>
      </c>
      <c r="BF62" s="111">
        <f t="shared" si="174"/>
        <v>4.3333448535877146E-10</v>
      </c>
      <c r="BG62" s="111">
        <f t="shared" si="174"/>
        <v>5.4668454180443989E-9</v>
      </c>
      <c r="BH62" s="111">
        <f t="shared" si="174"/>
        <v>4.0614112824999993E-2</v>
      </c>
      <c r="BI62" s="111">
        <f t="shared" si="174"/>
        <v>2.0252374999999998E-3</v>
      </c>
      <c r="BJ62" s="111">
        <f t="shared" si="174"/>
        <v>2.0252374999999998E-3</v>
      </c>
      <c r="BK62" s="111">
        <f t="shared" si="174"/>
        <v>7.2149085937499988</v>
      </c>
      <c r="BL62" s="111">
        <f t="shared" si="174"/>
        <v>7.0047656250000001</v>
      </c>
      <c r="BM62" s="111">
        <f t="shared" si="174"/>
        <v>7.2149085937499988</v>
      </c>
      <c r="BN62" s="111">
        <f t="shared" si="174"/>
        <v>7.2149085937499988</v>
      </c>
      <c r="BO62" s="111">
        <f t="shared" si="174"/>
        <v>7.2149085937499988</v>
      </c>
      <c r="BP62" s="111">
        <f t="shared" si="174"/>
        <v>7.2149085937499988</v>
      </c>
      <c r="BQ62" s="111">
        <f t="shared" si="174"/>
        <v>7.0047656250000001</v>
      </c>
      <c r="BR62" s="111">
        <f t="shared" si="174"/>
        <v>7.2149085937499988</v>
      </c>
      <c r="BS62" s="111">
        <f t="shared" si="174"/>
        <v>7.0047656250000001</v>
      </c>
      <c r="BT62" s="60">
        <f>IFERROR(BT27/$B62,".")</f>
        <v>1.5540397811656293E-2</v>
      </c>
      <c r="BU62" s="189">
        <f>IFERROR(BU27/$B62,0)</f>
        <v>4.4818507288816752E-11</v>
      </c>
      <c r="BV62" s="49">
        <f>IF(AP62=".",".",up_RadSpec!$E$27*BV27*$B$62)</f>
        <v>1.0126187500000001E-4</v>
      </c>
      <c r="BW62" s="49">
        <f>IF(AQ62=".",".",up_RadSpec!$H$27*BW27*$B$62)</f>
        <v>1.0833362133969288E-8</v>
      </c>
      <c r="BX62" s="49">
        <f>IF(AR62=".",".",up_RadSpec!$G$27*BX27*$B$62)</f>
        <v>1.3667113545110998E-7</v>
      </c>
      <c r="BY62" s="49">
        <f>up_b2s!CC62</f>
        <v>1.015352820625</v>
      </c>
      <c r="BZ62" s="49">
        <f>IF(AT62=".",".",up_RadSpec!$F$27*BZ27*$B$62)</f>
        <v>5.0630937500000001E-2</v>
      </c>
      <c r="CA62" s="49">
        <f>IF(AU62=".",".",up_RadSpec!$F$27*CA27*$B$62)</f>
        <v>5.0630937500000001E-2</v>
      </c>
      <c r="CB62" s="49">
        <f>IF(AV62=".",".",up_RadSpec!$F$27*CB27*$B$62)</f>
        <v>180.37271484375</v>
      </c>
      <c r="CC62" s="49">
        <f>IF(AW62=".",".",up_RadSpec!$F$27*CC27*$B$62)</f>
        <v>175.119140625</v>
      </c>
      <c r="CD62" s="49">
        <f>IF(AX62=".",".",up_RadSpec!$F$27*CD27*$B$62)</f>
        <v>180.37271484375</v>
      </c>
      <c r="CE62" s="49">
        <f>IF(AY62=".",".",up_RadSpec!$F$27*CE27*$B$62)</f>
        <v>180.37271484375</v>
      </c>
      <c r="CF62" s="49">
        <f>IF(AZ62=".",".",up_RadSpec!$F$27*CF27*$B$62)</f>
        <v>180.37271484375</v>
      </c>
      <c r="CG62" s="49">
        <f>IF(BA62=".",".",up_RadSpec!$F$27*CG27*$B$62)</f>
        <v>180.37271484375</v>
      </c>
      <c r="CH62" s="49">
        <f>IF(BB62=".",".",up_RadSpec!$F$27*CH27*$B$62)</f>
        <v>175.119140625</v>
      </c>
      <c r="CI62" s="49">
        <f>IF(BC62=".",".",up_RadSpec!$F$27*CI27*$B$62)</f>
        <v>180.37271484375</v>
      </c>
      <c r="CJ62" s="49">
        <f>IF(BD62=".",".",up_RadSpec!$F$27*CJ27*$B$62)</f>
        <v>175.119140625</v>
      </c>
      <c r="CK62" s="49">
        <f t="shared" si="152"/>
        <v>1608.7104270425045</v>
      </c>
      <c r="CL62" s="60">
        <f>IFERROR(CL27/$B62,".")</f>
        <v>2715.730871070677</v>
      </c>
      <c r="CM62" s="60" t="str">
        <f>IFERROR(CM27,".")</f>
        <v>.</v>
      </c>
      <c r="CN62" s="60">
        <f t="shared" ref="CN62:CZ62" si="221">IFERROR(CN27/$B62,".")</f>
        <v>29737253.038223915</v>
      </c>
      <c r="CO62" s="60">
        <f t="shared" si="221"/>
        <v>122.80368025420488</v>
      </c>
      <c r="CP62" s="60">
        <f t="shared" si="221"/>
        <v>98753.849857115521</v>
      </c>
      <c r="CQ62" s="60">
        <f t="shared" si="221"/>
        <v>98753.849857115521</v>
      </c>
      <c r="CR62" s="60">
        <f t="shared" si="221"/>
        <v>19750.769971423106</v>
      </c>
      <c r="CS62" s="60">
        <f t="shared" si="221"/>
        <v>20343.293070565796</v>
      </c>
      <c r="CT62" s="60">
        <f t="shared" si="221"/>
        <v>19750.769971423106</v>
      </c>
      <c r="CU62" s="60">
        <f t="shared" si="221"/>
        <v>19750.769971423106</v>
      </c>
      <c r="CV62" s="60">
        <f t="shared" si="221"/>
        <v>19750.769971423106</v>
      </c>
      <c r="CW62" s="60">
        <f t="shared" si="221"/>
        <v>19750.769971423106</v>
      </c>
      <c r="CX62" s="60">
        <f t="shared" si="221"/>
        <v>20343.293070565796</v>
      </c>
      <c r="CY62" s="60">
        <f t="shared" si="221"/>
        <v>19750.769971423106</v>
      </c>
      <c r="CZ62" s="60">
        <f t="shared" si="221"/>
        <v>20343.293070565796</v>
      </c>
      <c r="DA62" s="111">
        <f t="shared" si="76"/>
        <v>3.6822499999999997E-4</v>
      </c>
      <c r="DB62" s="111" t="str">
        <f t="shared" si="76"/>
        <v>.</v>
      </c>
      <c r="DC62" s="111">
        <f t="shared" si="76"/>
        <v>3.3627853881278534E-8</v>
      </c>
      <c r="DD62" s="111">
        <f t="shared" si="76"/>
        <v>8.1430784316071786E-3</v>
      </c>
      <c r="DE62" s="111">
        <f t="shared" si="181"/>
        <v>1.0126187500000001E-5</v>
      </c>
      <c r="DF62" s="111">
        <f t="shared" si="181"/>
        <v>1.0126187500000001E-5</v>
      </c>
      <c r="DG62" s="111">
        <f t="shared" si="181"/>
        <v>5.0630937499999996E-5</v>
      </c>
      <c r="DH62" s="111">
        <f t="shared" si="181"/>
        <v>4.9156250000000006E-5</v>
      </c>
      <c r="DI62" s="111">
        <f t="shared" si="181"/>
        <v>5.0630937499999996E-5</v>
      </c>
      <c r="DJ62" s="111">
        <f t="shared" si="181"/>
        <v>5.0630937499999996E-5</v>
      </c>
      <c r="DK62" s="111">
        <f t="shared" si="181"/>
        <v>5.0630937499999996E-5</v>
      </c>
      <c r="DL62" s="111">
        <f t="shared" si="181"/>
        <v>5.0630937499999996E-5</v>
      </c>
      <c r="DM62" s="111">
        <f t="shared" si="181"/>
        <v>4.9156250000000006E-5</v>
      </c>
      <c r="DN62" s="111">
        <f t="shared" si="181"/>
        <v>5.0630937499999996E-5</v>
      </c>
      <c r="DO62" s="111">
        <f t="shared" si="181"/>
        <v>4.9156250000000006E-5</v>
      </c>
      <c r="DP62" s="60">
        <f>IFERROR(DP27/$B62,".")</f>
        <v>111.32332045523972</v>
      </c>
      <c r="DQ62" s="189">
        <f t="shared" ref="DQ62" si="222">IFERROR(DQ27/$B62,0)</f>
        <v>3.2105645619291139E-10</v>
      </c>
      <c r="DR62" s="49">
        <f>IF(CL62=".",".",up_RadSpec!$I$27*DR27*$B$62)</f>
        <v>9.2056250000000003E-3</v>
      </c>
      <c r="DS62" s="49" t="str">
        <f>IF(CM62=".",".",up_RadSpec!$H$27*DS27)</f>
        <v>.</v>
      </c>
      <c r="DT62" s="49">
        <f>IF(CN62=".",".",up_RadSpec!$M$27*DT27*$B$62)</f>
        <v>8.4069634703196346E-7</v>
      </c>
      <c r="DU62" s="49">
        <f>up_b2w!CC62</f>
        <v>0.20357696079017951</v>
      </c>
      <c r="DV62" s="49">
        <f>IF(CP62=".",".",up_RadSpec!$F$27*DV27*$B$62)</f>
        <v>2.5315468750000003E-4</v>
      </c>
      <c r="DW62" s="49">
        <f>IF(CQ62=".",".",up_RadSpec!$F$27*DW27*$B$62)</f>
        <v>2.5315468750000003E-4</v>
      </c>
      <c r="DX62" s="49">
        <f>IF(CR62=".",".",up_RadSpec!$F$27*DX27*$B$62)</f>
        <v>1.2657734375E-3</v>
      </c>
      <c r="DY62" s="49">
        <f>IF(CS62=".",".",up_RadSpec!$F$27*DY27*$B$62)</f>
        <v>1.22890625E-3</v>
      </c>
      <c r="DZ62" s="49">
        <f>IF(CT62=".",".",up_RadSpec!$F$27*DZ27*$B$62)</f>
        <v>1.2657734375E-3</v>
      </c>
      <c r="EA62" s="49">
        <f>IF(CU62=".",".",up_RadSpec!$F$27*EA27*$B$62)</f>
        <v>1.2657734375E-3</v>
      </c>
      <c r="EB62" s="49">
        <f>IF(CV62=".",".",up_RadSpec!$F$27*EB27*$B$62)</f>
        <v>1.2657734375E-3</v>
      </c>
      <c r="EC62" s="49">
        <f>IF(CW62=".",".",up_RadSpec!$F$27*EC27*$B$62)</f>
        <v>1.2657734375E-3</v>
      </c>
      <c r="ED62" s="49">
        <f>IF(CX62=".",".",up_RadSpec!$F$27*ED27*$B$62)</f>
        <v>1.22890625E-3</v>
      </c>
      <c r="EE62" s="49">
        <f>IF(CY62=".",".",up_RadSpec!$F$27*EE27*$B$62)</f>
        <v>1.2657734375E-3</v>
      </c>
      <c r="EF62" s="49">
        <f>IF(CZ62=".",".",up_RadSpec!$F$27*EF27*$B$62)</f>
        <v>1.22890625E-3</v>
      </c>
      <c r="EG62" s="49">
        <f t="shared" si="155"/>
        <v>0.22457109523652657</v>
      </c>
      <c r="EH62" s="60">
        <f>IFERROR(EH27/$B62,".")</f>
        <v>7448.8618177938579</v>
      </c>
      <c r="EI62" s="60">
        <f>IFERROR(EI27/$B62,".")</f>
        <v>47579604.861158259</v>
      </c>
      <c r="EJ62" s="60">
        <f>IFERROR(EJ27/$B62,".")</f>
        <v>7447.6958380149126</v>
      </c>
      <c r="EK62" s="189">
        <f t="shared" ref="EK62" si="223">IFERROR(EK27/$B62,0)</f>
        <v>2.1479154796835008E-8</v>
      </c>
      <c r="EL62" s="49">
        <f>IF(EH62=".",".",up_RadSpec!$H$27*EL27*$B$62)</f>
        <v>3.3562174479166659E-3</v>
      </c>
      <c r="EM62" s="49">
        <f>IF(EI62=".",".",up_RadSpec!$K$27*EM27*$B$62)</f>
        <v>5.2543521689497717E-7</v>
      </c>
      <c r="EN62" s="49">
        <f t="shared" si="60"/>
        <v>3.3567428831335609E-3</v>
      </c>
    </row>
    <row r="63" spans="1:144" x14ac:dyDescent="0.25">
      <c r="A63" s="76" t="s">
        <v>23</v>
      </c>
      <c r="B63" s="76" t="s">
        <v>1057</v>
      </c>
      <c r="C63" s="57"/>
      <c r="D63" s="58">
        <f t="shared" ref="D63:O63" si="224">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2.0661153517562578E-5</v>
      </c>
      <c r="E63" s="58">
        <f t="shared" si="224"/>
        <v>8.2644614070250314E-5</v>
      </c>
      <c r="F63" s="58">
        <f t="shared" si="224"/>
        <v>8.2644614070250314E-5</v>
      </c>
      <c r="G63" s="58">
        <f t="shared" si="224"/>
        <v>8.2644614070250314E-5</v>
      </c>
      <c r="H63" s="58">
        <f t="shared" si="224"/>
        <v>8.2644614070250314E-5</v>
      </c>
      <c r="I63" s="58">
        <f t="shared" si="224"/>
        <v>8.2644614070250314E-5</v>
      </c>
      <c r="J63" s="58">
        <f t="shared" si="224"/>
        <v>8.2644614070250314E-5</v>
      </c>
      <c r="K63" s="58">
        <f t="shared" si="224"/>
        <v>8.2644614070250314E-5</v>
      </c>
      <c r="L63" s="58">
        <f t="shared" si="224"/>
        <v>8.2644614070250314E-5</v>
      </c>
      <c r="M63" s="58">
        <f t="shared" si="224"/>
        <v>8.2644614070250314E-5</v>
      </c>
      <c r="N63" s="58">
        <f t="shared" si="224"/>
        <v>8.2644614070250314E-5</v>
      </c>
      <c r="O63" s="58">
        <f t="shared" si="224"/>
        <v>8.2644614070250314E-5</v>
      </c>
      <c r="P63" s="168"/>
      <c r="Q63" s="168"/>
      <c r="R63" s="168"/>
      <c r="S63" s="168"/>
      <c r="T63" s="168"/>
      <c r="U63" s="168"/>
      <c r="V63" s="168"/>
      <c r="W63" s="111"/>
      <c r="X63" s="111">
        <f t="shared" si="26"/>
        <v>12100.002053975</v>
      </c>
      <c r="Y63" s="111">
        <f t="shared" si="26"/>
        <v>12100.002053975</v>
      </c>
      <c r="Z63" s="111">
        <f t="shared" si="26"/>
        <v>12100.002053975</v>
      </c>
      <c r="AA63" s="111">
        <f t="shared" si="26"/>
        <v>12100.002053975</v>
      </c>
      <c r="AB63" s="59">
        <f t="shared" ref="AB63" si="225">IFERROR(1/SUM(IFERROR(1/SUMIF(AB64,"&lt;&gt;.",AB64),0),IFERROR(1/SUMIF(AB65,"&lt;&gt;.",AB65),0),IFERROR(1/SUMIF(AB66,"&lt;&gt;.",AB66),0),IFERROR(1/SUMIF(AB67,"&lt;&gt;.",AB67),0),IFERROR(1/SUMIF(AB68,"&lt;&gt;.",AB68),0),IFERROR(1/SUMIF(AB69,"&lt;&gt;.",AB69),0),IFERROR(1/SUMIF(AB70,"&lt;&gt;.",AB70),0),IFERROR(1/SUMIF(AB71,"&lt;&gt;.",AB71),0),IFERROR(1/SUMIF(AB72,"&lt;&gt;.",AB72),0),IFERROR(1/SUMIF(AB73,"&lt;&gt;.",AB73),0),IFERROR(1/SUMIF(AB74,"&lt;&gt;.",AB74),0),IFERROR(1/SUMIF(AB75,"&lt;&gt;.",AB75),0),IFERROR(1/SUMIF(AB76,"&lt;&gt;.",AB76),0)),".")</f>
        <v>6.8870511725208583E-6</v>
      </c>
      <c r="AC63" s="190">
        <f>AB63*(0.0000000000028)*up_RadSpec!$AY25*up_RadSpec!$AF25</f>
        <v>2.1404955044194828E-14</v>
      </c>
      <c r="AD63" s="47">
        <f>IFERROR(SUM(AD64:AD76),".")</f>
        <v>1210000.2053975</v>
      </c>
      <c r="AE63" s="47">
        <f t="shared" ref="AE63:AO63" si="226">IFERROR(SUM(AE64:AE76),".")</f>
        <v>302500.05134937499</v>
      </c>
      <c r="AF63" s="47">
        <f t="shared" si="226"/>
        <v>302500.05134937499</v>
      </c>
      <c r="AG63" s="47">
        <f t="shared" si="226"/>
        <v>302500.05134937499</v>
      </c>
      <c r="AH63" s="47">
        <f t="shared" si="226"/>
        <v>302500.05134937499</v>
      </c>
      <c r="AI63" s="47">
        <f t="shared" si="226"/>
        <v>302500.05134937499</v>
      </c>
      <c r="AJ63" s="47">
        <f t="shared" si="226"/>
        <v>302500.05134937499</v>
      </c>
      <c r="AK63" s="47">
        <f t="shared" si="226"/>
        <v>302500.05134937499</v>
      </c>
      <c r="AL63" s="47">
        <f t="shared" si="226"/>
        <v>302500.05134937499</v>
      </c>
      <c r="AM63" s="47">
        <f t="shared" si="226"/>
        <v>302500.05134937499</v>
      </c>
      <c r="AN63" s="47">
        <f t="shared" si="226"/>
        <v>302500.05134937499</v>
      </c>
      <c r="AO63" s="47">
        <f t="shared" si="226"/>
        <v>302500.05134937499</v>
      </c>
      <c r="AP63" s="58">
        <f t="shared" ref="AP63:BD63" si="227">IFERROR(1/SUM(IFERROR(1/SUMIF(AP64,"&lt;&gt;.",AP64),0),IFERROR(1/SUMIF(AP65,"&lt;&gt;.",AP65),0),IFERROR(1/SUMIF(AP66,"&lt;&gt;.",AP66),0),IFERROR(1/SUMIF(AP67,"&lt;&gt;.",AP67),0),IFERROR(1/SUMIF(AP68,"&lt;&gt;.",AP68),0),IFERROR(1/SUMIF(AP69,"&lt;&gt;.",AP69),0),IFERROR(1/SUMIF(AP70,"&lt;&gt;.",AP70),0),IFERROR(1/SUMIF(AP71,"&lt;&gt;.",AP71),0),IFERROR(1/SUMIF(AP72,"&lt;&gt;.",AP72),0),IFERROR(1/SUMIF(AP73,"&lt;&gt;.",AP73),0),IFERROR(1/SUMIF(AP74,"&lt;&gt;.",AP74),0),IFERROR(1/SUMIF(AP75,"&lt;&gt;.",AP75),0),IFERROR(1/SUMIF(AP76,"&lt;&gt;.",AP76),0)),".")</f>
        <v>4.1322307035125169E-2</v>
      </c>
      <c r="AQ63" s="58">
        <f t="shared" si="227"/>
        <v>386.24890758353439</v>
      </c>
      <c r="AR63" s="58">
        <f t="shared" si="227"/>
        <v>30.008372097034517</v>
      </c>
      <c r="AS63" s="58">
        <f t="shared" si="227"/>
        <v>4.1211037234591777E-6</v>
      </c>
      <c r="AT63" s="58">
        <f t="shared" si="227"/>
        <v>8.2644614070250314E-5</v>
      </c>
      <c r="AU63" s="58">
        <f t="shared" si="227"/>
        <v>8.2644614070250314E-5</v>
      </c>
      <c r="AV63" s="58">
        <f t="shared" si="227"/>
        <v>2.3198488160070272E-8</v>
      </c>
      <c r="AW63" s="58">
        <f t="shared" si="227"/>
        <v>2.3894442804872379E-8</v>
      </c>
      <c r="AX63" s="112">
        <f t="shared" si="227"/>
        <v>2.3198488160070272E-8</v>
      </c>
      <c r="AY63" s="58">
        <f t="shared" si="227"/>
        <v>2.3198488160070272E-8</v>
      </c>
      <c r="AZ63" s="58">
        <f t="shared" si="227"/>
        <v>2.3198488160070272E-8</v>
      </c>
      <c r="BA63" s="112">
        <f t="shared" si="227"/>
        <v>2.3198488160070272E-8</v>
      </c>
      <c r="BB63" s="58">
        <f t="shared" si="227"/>
        <v>2.3894442804872379E-8</v>
      </c>
      <c r="BC63" s="58">
        <f t="shared" si="227"/>
        <v>2.3198488160070272E-8</v>
      </c>
      <c r="BD63" s="58">
        <f t="shared" si="227"/>
        <v>2.3894442804872379E-8</v>
      </c>
      <c r="BE63" s="111">
        <f t="shared" si="174"/>
        <v>24.200004107949994</v>
      </c>
      <c r="BF63" s="111">
        <f t="shared" si="174"/>
        <v>2.589004086137717E-3</v>
      </c>
      <c r="BG63" s="111">
        <f t="shared" si="174"/>
        <v>3.3324033598571043E-2</v>
      </c>
      <c r="BH63" s="111">
        <f t="shared" si="174"/>
        <v>242653.44119041454</v>
      </c>
      <c r="BI63" s="111">
        <f t="shared" si="174"/>
        <v>12100.002053975</v>
      </c>
      <c r="BJ63" s="111">
        <f t="shared" si="174"/>
        <v>12100.002053975</v>
      </c>
      <c r="BK63" s="111">
        <f t="shared" si="174"/>
        <v>43106257.317285925</v>
      </c>
      <c r="BL63" s="111">
        <f t="shared" si="174"/>
        <v>41850735.259500898</v>
      </c>
      <c r="BM63" s="111">
        <f t="shared" si="174"/>
        <v>43106257.317285925</v>
      </c>
      <c r="BN63" s="111">
        <f t="shared" si="174"/>
        <v>43106257.317285925</v>
      </c>
      <c r="BO63" s="111">
        <f t="shared" si="174"/>
        <v>43106257.317285925</v>
      </c>
      <c r="BP63" s="111">
        <f t="shared" si="174"/>
        <v>43106257.317285925</v>
      </c>
      <c r="BQ63" s="111">
        <f t="shared" si="174"/>
        <v>41850735.259500898</v>
      </c>
      <c r="BR63" s="111">
        <f t="shared" si="174"/>
        <v>43106257.317285925</v>
      </c>
      <c r="BS63" s="111">
        <f t="shared" si="174"/>
        <v>41850735.259500898</v>
      </c>
      <c r="BT63" s="59">
        <f>IFERROR(1/SUM(IFERROR(1/SUMIF(BT64,"&lt;&gt;.",BT64),0),IFERROR(1/SUMIF(BT65,"&lt;&gt;.",BT65),0),IFERROR(1/SUMIF(BT66,"&lt;&gt;.",BT66),0),IFERROR(1/SUMIF(BT67,"&lt;&gt;.",BT67),0),IFERROR(1/SUMIF(BT68,"&lt;&gt;.",BT68),0),IFERROR(1/SUMIF(BT69,"&lt;&gt;.",BT69),0),IFERROR(1/SUMIF(BT70,"&lt;&gt;.",BT70),0),IFERROR(1/SUMIF(BT71,"&lt;&gt;.",BT71),0),IFERROR(1/SUMIF(BT72,"&lt;&gt;.",BT72),0),IFERROR(1/SUMIF(BT73,"&lt;&gt;.",BT73),0),IFERROR(1/SUMIF(BT74,"&lt;&gt;.",BT74),0),IFERROR(1/SUMIF(BT75,"&lt;&gt;.",BT75),0),IFERROR(1/SUMIF(BT76,"&lt;&gt;.",BT76),0)),".")</f>
        <v>2.601073642189244E-9</v>
      </c>
      <c r="BU63" s="190">
        <f>BT63*(0.0000000000028)*up_RadSpec!$AY25*up_RadSpec!$AF25</f>
        <v>8.0841368799241725E-18</v>
      </c>
      <c r="BV63" s="47">
        <f t="shared" ref="BV63" si="228">IFERROR(SUM(BV64:BV76),".")</f>
        <v>605.00010269874997</v>
      </c>
      <c r="BW63" s="47">
        <f t="shared" ref="BW63:CK63" si="229">IFERROR(SUM(BW64:BW76),".")</f>
        <v>6.4725102153442932E-2</v>
      </c>
      <c r="BX63" s="47">
        <f t="shared" si="229"/>
        <v>0.83310083996427609</v>
      </c>
      <c r="BY63" s="47">
        <f t="shared" si="229"/>
        <v>6066336.0297603663</v>
      </c>
      <c r="BZ63" s="47">
        <f t="shared" si="229"/>
        <v>302500.05134937499</v>
      </c>
      <c r="CA63" s="47">
        <f t="shared" si="229"/>
        <v>302500.05134937499</v>
      </c>
      <c r="CB63" s="47">
        <f t="shared" si="229"/>
        <v>1077656432.9321482</v>
      </c>
      <c r="CC63" s="47">
        <f t="shared" si="229"/>
        <v>1046268381.487523</v>
      </c>
      <c r="CD63" s="47">
        <f t="shared" si="229"/>
        <v>1077656432.9321482</v>
      </c>
      <c r="CE63" s="47">
        <f t="shared" si="229"/>
        <v>1077656432.9321482</v>
      </c>
      <c r="CF63" s="47">
        <f t="shared" si="229"/>
        <v>1077656432.9321482</v>
      </c>
      <c r="CG63" s="47">
        <f t="shared" si="229"/>
        <v>1077656432.9321482</v>
      </c>
      <c r="CH63" s="47">
        <f t="shared" si="229"/>
        <v>1046268381.487523</v>
      </c>
      <c r="CI63" s="47">
        <f t="shared" si="229"/>
        <v>1077656432.9321482</v>
      </c>
      <c r="CJ63" s="47">
        <f t="shared" si="229"/>
        <v>1046268381.487523</v>
      </c>
      <c r="CK63" s="47">
        <f t="shared" si="229"/>
        <v>9611415684.0858459</v>
      </c>
      <c r="CL63" s="59">
        <f t="shared" ref="CL63:CZ63" si="230">IFERROR(1/SUM(IFERROR(1/SUMIF(CL64,"&lt;&gt;.",CL64),0),IFERROR(1/SUMIF(CL65,"&lt;&gt;.",CL65),0),IFERROR(1/SUMIF(CL66,"&lt;&gt;.",CL66),0),IFERROR(1/SUMIF(CL67,"&lt;&gt;.",CL67),0),IFERROR(1/SUMIF(CL68,"&lt;&gt;.",CL68),0),IFERROR(1/SUMIF(CL69,"&lt;&gt;.",CL69),0),IFERROR(1/SUMIF(CL70,"&lt;&gt;.",CL70),0),IFERROR(1/SUMIF(CL71,"&lt;&gt;.",CL71),0),IFERROR(1/SUMIF(CL72,"&lt;&gt;.",CL72),0),IFERROR(1/SUMIF(CL73,"&lt;&gt;.",CL73),0),IFERROR(1/SUMIF(CL74,"&lt;&gt;.",CL74),0),IFERROR(1/SUMIF(CL75,"&lt;&gt;.",CL75),0),IFERROR(1/SUMIF(CL76,"&lt;&gt;.",CL76),0)),".")</f>
        <v>4.5454537738637681E-4</v>
      </c>
      <c r="CM63" s="58">
        <f t="shared" si="230"/>
        <v>9.959072927753089E-3</v>
      </c>
      <c r="CN63" s="59">
        <f t="shared" si="230"/>
        <v>4.9772718823808253</v>
      </c>
      <c r="CO63" s="59">
        <f t="shared" si="230"/>
        <v>2.0554262493461483E-5</v>
      </c>
      <c r="CP63" s="59">
        <f t="shared" si="230"/>
        <v>1.6528922814050061E-2</v>
      </c>
      <c r="CQ63" s="59">
        <f t="shared" si="230"/>
        <v>1.6528922814050061E-2</v>
      </c>
      <c r="CR63" s="59">
        <f t="shared" si="230"/>
        <v>3.305784562810013E-3</v>
      </c>
      <c r="CS63" s="59">
        <f t="shared" si="230"/>
        <v>3.4049580996943123E-3</v>
      </c>
      <c r="CT63" s="59">
        <f t="shared" si="230"/>
        <v>3.305784562810013E-3</v>
      </c>
      <c r="CU63" s="59">
        <f t="shared" si="230"/>
        <v>3.305784562810013E-3</v>
      </c>
      <c r="CV63" s="59">
        <f t="shared" si="230"/>
        <v>3.305784562810013E-3</v>
      </c>
      <c r="CW63" s="59">
        <f t="shared" si="230"/>
        <v>3.305784562810013E-3</v>
      </c>
      <c r="CX63" s="59">
        <f t="shared" si="230"/>
        <v>3.4049580996943123E-3</v>
      </c>
      <c r="CY63" s="59">
        <f t="shared" si="230"/>
        <v>3.305784562810013E-3</v>
      </c>
      <c r="CZ63" s="59">
        <f t="shared" si="230"/>
        <v>3.4049580996943123E-3</v>
      </c>
      <c r="DA63" s="111">
        <f t="shared" si="76"/>
        <v>2200.0003734499996</v>
      </c>
      <c r="DB63" s="111">
        <f t="shared" si="76"/>
        <v>100.41095263127212</v>
      </c>
      <c r="DC63" s="111">
        <f t="shared" si="76"/>
        <v>0.20091327611415524</v>
      </c>
      <c r="DD63" s="111">
        <f t="shared" si="76"/>
        <v>48651.709119610103</v>
      </c>
      <c r="DE63" s="111">
        <f t="shared" si="181"/>
        <v>60.500010269875006</v>
      </c>
      <c r="DF63" s="111">
        <f t="shared" si="181"/>
        <v>60.500010269875006</v>
      </c>
      <c r="DG63" s="111">
        <f t="shared" si="181"/>
        <v>302.50005134937498</v>
      </c>
      <c r="DH63" s="111">
        <f t="shared" si="181"/>
        <v>293.68937024211169</v>
      </c>
      <c r="DI63" s="111">
        <f t="shared" si="181"/>
        <v>302.50005134937498</v>
      </c>
      <c r="DJ63" s="111">
        <f t="shared" si="181"/>
        <v>302.50005134937498</v>
      </c>
      <c r="DK63" s="111">
        <f t="shared" si="181"/>
        <v>302.50005134937498</v>
      </c>
      <c r="DL63" s="111">
        <f t="shared" si="181"/>
        <v>302.50005134937498</v>
      </c>
      <c r="DM63" s="111">
        <f t="shared" si="181"/>
        <v>293.68937024211169</v>
      </c>
      <c r="DN63" s="111">
        <f t="shared" si="181"/>
        <v>302.50005134937498</v>
      </c>
      <c r="DO63" s="111">
        <f t="shared" si="181"/>
        <v>293.68937024211169</v>
      </c>
      <c r="DP63" s="59">
        <f>IFERROR(1/SUM(IFERROR(1/SUMIF(DP64,"&lt;&gt;.",DP64),0),IFERROR(1/SUMIF(DP65,"&lt;&gt;.",DP65),0),IFERROR(1/SUMIF(DP66,"&lt;&gt;.",DP66),0),IFERROR(1/SUMIF(DP67,"&lt;&gt;.",DP67),0),IFERROR(1/SUMIF(DP68,"&lt;&gt;.",DP68),0),IFERROR(1/SUMIF(DP69,"&lt;&gt;.",DP69),0),IFERROR(1/SUMIF(DP70,"&lt;&gt;.",DP70),0),IFERROR(1/SUMIF(DP71,"&lt;&gt;.",DP71),0),IFERROR(1/SUMIF(DP72,"&lt;&gt;.",DP72),0),IFERROR(1/SUMIF(DP73,"&lt;&gt;.",DP73),0),IFERROR(1/SUMIF(DP74,"&lt;&gt;.",DP74),0),IFERROR(1/SUMIF(DP75,"&lt;&gt;.",DP75),0),IFERROR(1/SUMIF(DP76,"&lt;&gt;.",DP76),0)),".")</f>
        <v>1.8597945597978542E-5</v>
      </c>
      <c r="DQ63" s="190">
        <f>DP63*(0.0000000000000028)*up_RadSpec!$AY25*up_RadSpec!$AF25</f>
        <v>5.7802414918517306E-17</v>
      </c>
      <c r="DR63" s="47">
        <f t="shared" ref="DR63" si="231">IFERROR(SUM(DR64:DR76),".")</f>
        <v>55000.009336249997</v>
      </c>
      <c r="DS63" s="47">
        <f t="shared" ref="DS63:EG63" si="232">IFERROR(SUM(DS64:DS76),".")</f>
        <v>2510.273815781803</v>
      </c>
      <c r="DT63" s="47">
        <f t="shared" si="232"/>
        <v>5.0228319028538824</v>
      </c>
      <c r="DU63" s="47">
        <f t="shared" si="232"/>
        <v>1216292.7279902527</v>
      </c>
      <c r="DV63" s="47">
        <f t="shared" si="232"/>
        <v>1512.500256746875</v>
      </c>
      <c r="DW63" s="47">
        <f t="shared" si="232"/>
        <v>1512.500256746875</v>
      </c>
      <c r="DX63" s="47">
        <f t="shared" si="232"/>
        <v>7562.5012837343756</v>
      </c>
      <c r="DY63" s="47">
        <f t="shared" si="232"/>
        <v>7342.2342560527923</v>
      </c>
      <c r="DZ63" s="47">
        <f t="shared" si="232"/>
        <v>7562.5012837343756</v>
      </c>
      <c r="EA63" s="47">
        <f t="shared" si="232"/>
        <v>7562.5012837343756</v>
      </c>
      <c r="EB63" s="47">
        <f t="shared" si="232"/>
        <v>7562.5012837343756</v>
      </c>
      <c r="EC63" s="47">
        <f t="shared" si="232"/>
        <v>7562.5012837343756</v>
      </c>
      <c r="ED63" s="47">
        <f t="shared" si="232"/>
        <v>7342.2342560527923</v>
      </c>
      <c r="EE63" s="47">
        <f t="shared" si="232"/>
        <v>7562.5012837343756</v>
      </c>
      <c r="EF63" s="47">
        <f t="shared" si="232"/>
        <v>7342.2342560527923</v>
      </c>
      <c r="EG63" s="47">
        <f t="shared" si="232"/>
        <v>1344234.7449582461</v>
      </c>
      <c r="EH63" s="59">
        <f>IFERROR(1/SUM(IFERROR(1/SUMIF(EH64,"&lt;&gt;.",EH64),0),IFERROR(1/SUMIF(EH65,"&lt;&gt;.",EH65),0),IFERROR(1/SUMIF(EH66,"&lt;&gt;.",EH66),0),IFERROR(1/SUMIF(EH67,"&lt;&gt;.",EH67),0),IFERROR(1/SUMIF(EH68,"&lt;&gt;.",EH68),0),IFERROR(1/SUMIF(EH69,"&lt;&gt;.",EH69),0),IFERROR(1/SUMIF(EH70,"&lt;&gt;.",EH70),0),IFERROR(1/SUMIF(EH71,"&lt;&gt;.",EH71),0),IFERROR(1/SUMIF(EH72,"&lt;&gt;.",EH72),0),IFERROR(1/SUMIF(EH73,"&lt;&gt;.",EH73),0),IFERROR(1/SUMIF(EH74,"&lt;&gt;.",EH74),0),IFERROR(1/SUMIF(EH75,"&lt;&gt;.",EH75),0),IFERROR(1/SUMIF(EH76,"&lt;&gt;.",EH76),0)),".")</f>
        <v>1.2467530351169193E-3</v>
      </c>
      <c r="EI63" s="59">
        <f>IFERROR(1/SUM(IFERROR(1/SUMIF(EI64,"&lt;&gt;.",EI64),0),IFERROR(1/SUMIF(EI65,"&lt;&gt;.",EI65),0),IFERROR(1/SUMIF(EI66,"&lt;&gt;.",EI66),0),IFERROR(1/SUMIF(EI67,"&lt;&gt;.",EI67),0),IFERROR(1/SUMIF(EI68,"&lt;&gt;.",EI68),0),IFERROR(1/SUMIF(EI69,"&lt;&gt;.",EI69),0),IFERROR(1/SUMIF(EI70,"&lt;&gt;.",EI70),0),IFERROR(1/SUMIF(EI71,"&lt;&gt;.",EI71),0),IFERROR(1/SUMIF(EI72,"&lt;&gt;.",EI72),0),IFERROR(1/SUMIF(EI73,"&lt;&gt;.",EI73),0),IFERROR(1/SUMIF(EI74,"&lt;&gt;.",EI74),0),IFERROR(1/SUMIF(EI75,"&lt;&gt;.",EI75),0),IFERROR(1/SUMIF(EI76,"&lt;&gt;.",EI76),0)),".")</f>
        <v>7.9636350118093198</v>
      </c>
      <c r="EJ63" s="59">
        <f>IFERROR(1/SUM(IFERROR(1/SUMIF(EJ64,"&lt;&gt;.",EJ64),0),IFERROR(1/SUMIF(EJ65,"&lt;&gt;.",EJ65),0),IFERROR(1/SUMIF(EJ66,"&lt;&gt;.",EJ66),0),IFERROR(1/SUMIF(EJ67,"&lt;&gt;.",EJ67),0),IFERROR(1/SUMIF(EJ68,"&lt;&gt;.",EJ68),0),IFERROR(1/SUMIF(EJ69,"&lt;&gt;.",EJ69),0),IFERROR(1/SUMIF(EJ70,"&lt;&gt;.",EJ70),0),IFERROR(1/SUMIF(EJ71,"&lt;&gt;.",EJ71),0),IFERROR(1/SUMIF(EJ72,"&lt;&gt;.",EJ72),0),IFERROR(1/SUMIF(EJ73,"&lt;&gt;.",EJ73),0),IFERROR(1/SUMIF(EJ74,"&lt;&gt;.",EJ74),0),IFERROR(1/SUMIF(EJ75,"&lt;&gt;.",EJ75),0),IFERROR(1/SUMIF(EJ76,"&lt;&gt;.",EJ76),0)),".")</f>
        <v>1.2465578792845461E-3</v>
      </c>
      <c r="EK63" s="190">
        <f>EJ63*(0.0000000000000028)*up_RadSpec!$AY25*up_RadSpec!$AF25</f>
        <v>3.8743018888163697E-15</v>
      </c>
      <c r="EL63" s="47">
        <f t="shared" ref="EL63" si="233">IFERROR(SUM(EL64:EL76),".")</f>
        <v>20052.086737174472</v>
      </c>
      <c r="EM63" s="47">
        <f t="shared" ref="EM63:EN63" si="234">IFERROR(SUM(EM64:EM76),".")</f>
        <v>3.1392699392836763</v>
      </c>
      <c r="EN63" s="47">
        <f t="shared" si="234"/>
        <v>20055.226007113761</v>
      </c>
    </row>
    <row r="64" spans="1:144" x14ac:dyDescent="0.25">
      <c r="A64" s="77" t="s">
        <v>1073</v>
      </c>
      <c r="B64" s="42">
        <v>1</v>
      </c>
      <c r="C64" s="170"/>
      <c r="D64" s="60">
        <f t="shared" ref="D64:O64" si="235">IFERROR(D25/$B50,".")</f>
        <v>1.6528925619834712E-4</v>
      </c>
      <c r="E64" s="60">
        <f t="shared" si="235"/>
        <v>6.6115702479338848E-4</v>
      </c>
      <c r="F64" s="60">
        <f t="shared" si="235"/>
        <v>6.6115702479338848E-4</v>
      </c>
      <c r="G64" s="60">
        <f t="shared" si="235"/>
        <v>6.6115702479338848E-4</v>
      </c>
      <c r="H64" s="60">
        <f t="shared" si="235"/>
        <v>6.6115702479338848E-4</v>
      </c>
      <c r="I64" s="60">
        <f t="shared" si="235"/>
        <v>6.6115702479338848E-4</v>
      </c>
      <c r="J64" s="60">
        <f t="shared" si="235"/>
        <v>6.6115702479338848E-4</v>
      </c>
      <c r="K64" s="60">
        <f t="shared" si="235"/>
        <v>6.6115702479338848E-4</v>
      </c>
      <c r="L64" s="60">
        <f t="shared" si="235"/>
        <v>6.6115702479338848E-4</v>
      </c>
      <c r="M64" s="60">
        <f t="shared" si="235"/>
        <v>6.6115702479338848E-4</v>
      </c>
      <c r="N64" s="60">
        <f t="shared" si="235"/>
        <v>6.6115702479338848E-4</v>
      </c>
      <c r="O64" s="60">
        <f t="shared" si="235"/>
        <v>6.6115702479338848E-4</v>
      </c>
      <c r="P64" s="111">
        <f t="shared" ref="P64:W76" si="236">IFERROR(1/H64,".")</f>
        <v>1512.5</v>
      </c>
      <c r="Q64" s="111">
        <f t="shared" si="236"/>
        <v>1512.5</v>
      </c>
      <c r="R64" s="111">
        <f t="shared" si="236"/>
        <v>1512.5</v>
      </c>
      <c r="S64" s="111">
        <f t="shared" si="236"/>
        <v>1512.5</v>
      </c>
      <c r="T64" s="111">
        <f t="shared" si="236"/>
        <v>1512.5</v>
      </c>
      <c r="U64" s="111">
        <f t="shared" si="236"/>
        <v>1512.5</v>
      </c>
      <c r="V64" s="111">
        <f t="shared" si="236"/>
        <v>1512.5</v>
      </c>
      <c r="W64" s="111">
        <f t="shared" si="236"/>
        <v>1512.5</v>
      </c>
      <c r="X64" s="111">
        <f t="shared" si="26"/>
        <v>1512.5</v>
      </c>
      <c r="Y64" s="111">
        <f t="shared" si="26"/>
        <v>1512.5</v>
      </c>
      <c r="Z64" s="111">
        <f t="shared" si="26"/>
        <v>1512.5</v>
      </c>
      <c r="AA64" s="111">
        <f t="shared" si="26"/>
        <v>1512.5</v>
      </c>
      <c r="AB64" s="60">
        <f>IFERROR(AB25/$B50,".")</f>
        <v>5.5096418732782371E-5</v>
      </c>
      <c r="AC64" s="189">
        <f>IFERROR(AC25/$B50,0)</f>
        <v>1.7123966942148761E-13</v>
      </c>
      <c r="AD64" s="49">
        <f>up_dir!BC64</f>
        <v>151250</v>
      </c>
      <c r="AE64" s="49">
        <f>IF(E64=".",".",up_RadSpec!$F$25*AE25*$B$64)</f>
        <v>37812.5</v>
      </c>
      <c r="AF64" s="49">
        <f>IF(F64=".",".",up_RadSpec!$F$25*AF25*$B$64)</f>
        <v>37812.5</v>
      </c>
      <c r="AG64" s="49">
        <f>IF(G64=".",".",up_RadSpec!$F$25*AG25*$B$64)</f>
        <v>37812.5</v>
      </c>
      <c r="AH64" s="49">
        <f>IF(H64=".",".",up_RadSpec!$F$25*AH25*$B$64)</f>
        <v>37812.5</v>
      </c>
      <c r="AI64" s="49">
        <f>IF(I64=".",".",up_RadSpec!$F$25*AI25*$B$64)</f>
        <v>37812.5</v>
      </c>
      <c r="AJ64" s="49">
        <f>IF(J64=".",".",up_RadSpec!$F$25*AJ25*$B$64)</f>
        <v>37812.5</v>
      </c>
      <c r="AK64" s="49">
        <f>IF(K64=".",".",up_RadSpec!$F$25*AK25*$B$64)</f>
        <v>37812.5</v>
      </c>
      <c r="AL64" s="49">
        <f>IF(L64=".",".",up_RadSpec!$F$25*AL25*$B$64)</f>
        <v>37812.5</v>
      </c>
      <c r="AM64" s="49">
        <f>IF(M64=".",".",up_RadSpec!$F$25*AM25*$B$64)</f>
        <v>37812.5</v>
      </c>
      <c r="AN64" s="49">
        <f>IF(N64=".",".",up_RadSpec!$F$25*AN25*$B$64)</f>
        <v>37812.5</v>
      </c>
      <c r="AO64" s="49">
        <f>IF(O64=".",".",up_RadSpec!$F$25*AO25*$B$64)</f>
        <v>37812.5</v>
      </c>
      <c r="AP64" s="60">
        <f t="shared" ref="AP64:BD64" si="237">IFERROR(AP25/$B50,".")</f>
        <v>0.33057851239669422</v>
      </c>
      <c r="AQ64" s="60">
        <f t="shared" si="237"/>
        <v>3089.9917851942919</v>
      </c>
      <c r="AR64" s="60">
        <f t="shared" si="237"/>
        <v>213.21650237312892</v>
      </c>
      <c r="AS64" s="60">
        <f t="shared" si="237"/>
        <v>3.2968835384132272E-5</v>
      </c>
      <c r="AT64" s="60">
        <f t="shared" si="237"/>
        <v>6.6115702479338848E-4</v>
      </c>
      <c r="AU64" s="60">
        <f t="shared" si="237"/>
        <v>6.6115702479338848E-4</v>
      </c>
      <c r="AV64" s="60">
        <f t="shared" si="237"/>
        <v>1.8558793678410905E-7</v>
      </c>
      <c r="AW64" s="60">
        <f t="shared" si="237"/>
        <v>1.9115557488763231E-7</v>
      </c>
      <c r="AX64" s="60">
        <f t="shared" si="237"/>
        <v>1.8558793678410905E-7</v>
      </c>
      <c r="AY64" s="60">
        <f t="shared" si="237"/>
        <v>1.8558793678410905E-7</v>
      </c>
      <c r="AZ64" s="60">
        <f t="shared" si="237"/>
        <v>1.8558793678410905E-7</v>
      </c>
      <c r="BA64" s="60">
        <f t="shared" si="237"/>
        <v>1.8558793678410905E-7</v>
      </c>
      <c r="BB64" s="60">
        <f t="shared" si="237"/>
        <v>1.9115557488763231E-7</v>
      </c>
      <c r="BC64" s="60">
        <f t="shared" si="237"/>
        <v>1.8558793678410905E-7</v>
      </c>
      <c r="BD64" s="60">
        <f t="shared" si="237"/>
        <v>1.9115557488763231E-7</v>
      </c>
      <c r="BE64" s="111">
        <f t="shared" si="174"/>
        <v>3.0249999999999999</v>
      </c>
      <c r="BF64" s="111">
        <f t="shared" si="174"/>
        <v>3.236254558317935E-4</v>
      </c>
      <c r="BG64" s="111">
        <f t="shared" si="174"/>
        <v>4.6900684931506838E-3</v>
      </c>
      <c r="BH64" s="111">
        <f t="shared" si="174"/>
        <v>30331.674999999992</v>
      </c>
      <c r="BI64" s="111">
        <f t="shared" si="174"/>
        <v>1512.5</v>
      </c>
      <c r="BJ64" s="111">
        <f t="shared" si="174"/>
        <v>1512.5</v>
      </c>
      <c r="BK64" s="111">
        <f t="shared" si="174"/>
        <v>5388281.2499999991</v>
      </c>
      <c r="BL64" s="111">
        <f t="shared" si="174"/>
        <v>5231341.0194174759</v>
      </c>
      <c r="BM64" s="111">
        <f t="shared" si="174"/>
        <v>5388281.2499999991</v>
      </c>
      <c r="BN64" s="111">
        <f t="shared" si="174"/>
        <v>5388281.2499999991</v>
      </c>
      <c r="BO64" s="111">
        <f t="shared" si="174"/>
        <v>5388281.2499999991</v>
      </c>
      <c r="BP64" s="111">
        <f t="shared" si="174"/>
        <v>5388281.2499999991</v>
      </c>
      <c r="BQ64" s="111">
        <f t="shared" si="174"/>
        <v>5231341.0194174759</v>
      </c>
      <c r="BR64" s="111">
        <f t="shared" si="174"/>
        <v>5388281.2499999991</v>
      </c>
      <c r="BS64" s="111">
        <f t="shared" si="174"/>
        <v>5231341.0194174759</v>
      </c>
      <c r="BT64" s="60">
        <f>IFERROR(BT25/$B50,".")</f>
        <v>2.0808592669544827E-8</v>
      </c>
      <c r="BU64" s="189">
        <f>IFERROR(BU25/$B50,0)</f>
        <v>6.4673106016945325E-17</v>
      </c>
      <c r="BV64" s="49">
        <f>IF(AP64=".",".",up_RadSpec!$E$25*BV25*$B$64)</f>
        <v>75.625</v>
      </c>
      <c r="BW64" s="49">
        <f>IF(AQ64=".",".",up_RadSpec!$H$25*BW25*$B$64)</f>
        <v>8.0906363957948379E-3</v>
      </c>
      <c r="BX64" s="49">
        <f>IF(AR64=".",".",up_RadSpec!$G$25*BX25*$B$64)</f>
        <v>0.1172517123287671</v>
      </c>
      <c r="BY64" s="49">
        <f>up_b2s!CC64</f>
        <v>758291.875</v>
      </c>
      <c r="BZ64" s="49">
        <f>IF(AT64=".",".",up_RadSpec!$F$25*BZ25*$B$64)</f>
        <v>37812.5</v>
      </c>
      <c r="CA64" s="49">
        <f>IF(AU64=".",".",up_RadSpec!$F$25*CA25*$B$64)</f>
        <v>37812.5</v>
      </c>
      <c r="CB64" s="49">
        <f>IF(AV64=".",".",up_RadSpec!$F$25*CB25*$B$64)</f>
        <v>134707031.25</v>
      </c>
      <c r="CC64" s="49">
        <f>IF(AW64=".",".",up_RadSpec!$F$25*CC25*$B$64)</f>
        <v>130783525.4854369</v>
      </c>
      <c r="CD64" s="49">
        <f>IF(AX64=".",".",up_RadSpec!$F$25*CD25*$B$64)</f>
        <v>134707031.25</v>
      </c>
      <c r="CE64" s="49">
        <f>IF(AY64=".",".",up_RadSpec!$F$25*CE25*$B$64)</f>
        <v>134707031.25</v>
      </c>
      <c r="CF64" s="49">
        <f>IF(AZ64=".",".",up_RadSpec!$F$25*CF25*$B$64)</f>
        <v>134707031.25</v>
      </c>
      <c r="CG64" s="49">
        <f>IF(BA64=".",".",up_RadSpec!$F$25*CG25*$B$64)</f>
        <v>134707031.25</v>
      </c>
      <c r="CH64" s="49">
        <f>IF(BB64=".",".",up_RadSpec!$F$25*CH25*$B$64)</f>
        <v>130783525.4854369</v>
      </c>
      <c r="CI64" s="49">
        <f>IF(BC64=".",".",up_RadSpec!$F$25*CI25*$B$64)</f>
        <v>134707031.25</v>
      </c>
      <c r="CJ64" s="49">
        <f>IF(BD64=".",".",up_RadSpec!$F$25*CJ25*$B$64)</f>
        <v>130783525.4854369</v>
      </c>
      <c r="CK64" s="49">
        <f t="shared" ref="CK64:CK76" si="238">IFERROR(SUM(BV64:CJ64),".")</f>
        <v>1201426756.5816531</v>
      </c>
      <c r="CL64" s="60">
        <f>IFERROR(CL25/$B50,".")</f>
        <v>3.6363636363636364E-3</v>
      </c>
      <c r="CM64" s="60">
        <f>IFERROR(CM25,".")</f>
        <v>1.9948051948051951E-2</v>
      </c>
      <c r="CN64" s="60">
        <f t="shared" ref="CN64:CZ64" si="239">IFERROR(CN25/$B50,".")</f>
        <v>39.81818181818182</v>
      </c>
      <c r="CO64" s="60">
        <f t="shared" si="239"/>
        <v>1.6443412786038033E-4</v>
      </c>
      <c r="CP64" s="60">
        <f t="shared" si="239"/>
        <v>0.13223140495867769</v>
      </c>
      <c r="CQ64" s="60">
        <f t="shared" si="239"/>
        <v>0.13223140495867769</v>
      </c>
      <c r="CR64" s="60">
        <f t="shared" si="239"/>
        <v>2.6446280991735537E-2</v>
      </c>
      <c r="CS64" s="60">
        <f t="shared" si="239"/>
        <v>2.7239669421487603E-2</v>
      </c>
      <c r="CT64" s="60">
        <f t="shared" si="239"/>
        <v>2.6446280991735537E-2</v>
      </c>
      <c r="CU64" s="60">
        <f t="shared" si="239"/>
        <v>2.6446280991735537E-2</v>
      </c>
      <c r="CV64" s="60">
        <f t="shared" si="239"/>
        <v>2.6446280991735537E-2</v>
      </c>
      <c r="CW64" s="60">
        <f t="shared" si="239"/>
        <v>2.6446280991735537E-2</v>
      </c>
      <c r="CX64" s="60">
        <f t="shared" si="239"/>
        <v>2.7239669421487603E-2</v>
      </c>
      <c r="CY64" s="60">
        <f t="shared" si="239"/>
        <v>2.6446280991735537E-2</v>
      </c>
      <c r="CZ64" s="60">
        <f t="shared" si="239"/>
        <v>2.7239669421487603E-2</v>
      </c>
      <c r="DA64" s="111">
        <f t="shared" si="76"/>
        <v>275</v>
      </c>
      <c r="DB64" s="111">
        <f t="shared" si="76"/>
        <v>50.130208333333329</v>
      </c>
      <c r="DC64" s="111">
        <f t="shared" si="76"/>
        <v>2.5114155251141551E-2</v>
      </c>
      <c r="DD64" s="111">
        <f t="shared" si="76"/>
        <v>6081.4626076229861</v>
      </c>
      <c r="DE64" s="111">
        <f t="shared" si="181"/>
        <v>7.5625</v>
      </c>
      <c r="DF64" s="111">
        <f t="shared" si="181"/>
        <v>7.5625</v>
      </c>
      <c r="DG64" s="111">
        <f t="shared" si="181"/>
        <v>37.8125</v>
      </c>
      <c r="DH64" s="111">
        <f t="shared" si="181"/>
        <v>36.711165048543691</v>
      </c>
      <c r="DI64" s="111">
        <f t="shared" si="181"/>
        <v>37.8125</v>
      </c>
      <c r="DJ64" s="111">
        <f t="shared" si="181"/>
        <v>37.8125</v>
      </c>
      <c r="DK64" s="111">
        <f t="shared" si="181"/>
        <v>37.8125</v>
      </c>
      <c r="DL64" s="111">
        <f t="shared" si="181"/>
        <v>37.8125</v>
      </c>
      <c r="DM64" s="111">
        <f t="shared" si="181"/>
        <v>36.711165048543691</v>
      </c>
      <c r="DN64" s="111">
        <f t="shared" si="181"/>
        <v>37.8125</v>
      </c>
      <c r="DO64" s="111">
        <f t="shared" si="181"/>
        <v>36.711165048543691</v>
      </c>
      <c r="DP64" s="60">
        <f>IFERROR(DP25/$B50,".")</f>
        <v>1.4795632167548538E-4</v>
      </c>
      <c r="DQ64" s="189">
        <f t="shared" ref="DQ64" si="240">IFERROR(DQ25/$B50,0)</f>
        <v>4.5984824776740855E-16</v>
      </c>
      <c r="DR64" s="49">
        <f>IF(CL64=".",".",up_RadSpec!$I$25*DR25*$B$64)</f>
        <v>6875</v>
      </c>
      <c r="DS64" s="49">
        <f>IF(CM64=".",".",up_RadSpec!$H$25*DS25)</f>
        <v>1253.255208333333</v>
      </c>
      <c r="DT64" s="49">
        <f>IF(CN64=".",".",up_RadSpec!$M$25*DT25*$B$64)</f>
        <v>0.62785388127853881</v>
      </c>
      <c r="DU64" s="49">
        <f>up_b2w!CC64</f>
        <v>152036.56519057468</v>
      </c>
      <c r="DV64" s="49">
        <f>IF(CP64=".",".",up_RadSpec!$F$25*DV25*$B$64)</f>
        <v>189.0625</v>
      </c>
      <c r="DW64" s="49">
        <f>IF(CQ64=".",".",up_RadSpec!$F$25*DW25*$B$64)</f>
        <v>189.0625</v>
      </c>
      <c r="DX64" s="49">
        <f>IF(CR64=".",".",up_RadSpec!$F$25*DX25*$B$64)</f>
        <v>945.3125</v>
      </c>
      <c r="DY64" s="49">
        <f>IF(CS64=".",".",up_RadSpec!$F$25*DY25*$B$64)</f>
        <v>917.77912621359224</v>
      </c>
      <c r="DZ64" s="49">
        <f>IF(CT64=".",".",up_RadSpec!$F$25*DZ25*$B$64)</f>
        <v>945.3125</v>
      </c>
      <c r="EA64" s="49">
        <f>IF(CU64=".",".",up_RadSpec!$F$25*EA25*$B$64)</f>
        <v>945.3125</v>
      </c>
      <c r="EB64" s="49">
        <f>IF(CV64=".",".",up_RadSpec!$F$25*EB25*$B$64)</f>
        <v>945.3125</v>
      </c>
      <c r="EC64" s="49">
        <f>IF(CW64=".",".",up_RadSpec!$F$25*EC25*$B$64)</f>
        <v>945.3125</v>
      </c>
      <c r="ED64" s="49">
        <f>IF(CX64=".",".",up_RadSpec!$F$25*ED25*$B$64)</f>
        <v>917.77912621359224</v>
      </c>
      <c r="EE64" s="49">
        <f>IF(CY64=".",".",up_RadSpec!$F$25*EE25*$B$64)</f>
        <v>945.3125</v>
      </c>
      <c r="EF64" s="49">
        <f>IF(CZ64=".",".",up_RadSpec!$F$25*EF25*$B$64)</f>
        <v>917.77912621359224</v>
      </c>
      <c r="EG64" s="49">
        <f t="shared" ref="EG64:EG76" si="241">IFERROR(SUM(DR64:EF64),".")</f>
        <v>168968.7856314301</v>
      </c>
      <c r="EH64" s="60">
        <f>IFERROR(EH25/$B50,".")</f>
        <v>9.9740259740259754E-3</v>
      </c>
      <c r="EI64" s="60">
        <f>IFERROR(EI25/$B50,".")</f>
        <v>63.709090909090911</v>
      </c>
      <c r="EJ64" s="60">
        <f>IFERROR(EJ25/$B50,".")</f>
        <v>9.9724647271019675E-3</v>
      </c>
      <c r="EK64" s="189">
        <f t="shared" ref="EK64" si="242">IFERROR(EK25/$B50,0)</f>
        <v>3.0994420371832921E-14</v>
      </c>
      <c r="EL64" s="49">
        <f>IF(EH64=".",".",up_RadSpec!$H$25*EL25*$B$64)</f>
        <v>2506.5104166666661</v>
      </c>
      <c r="EM64" s="49">
        <f>IF(EI64=".",".",up_RadSpec!$K$25*EM25*$B$64)</f>
        <v>0.39240867579908678</v>
      </c>
      <c r="EN64" s="49">
        <f t="shared" si="60"/>
        <v>2506.9028253424653</v>
      </c>
    </row>
    <row r="65" spans="1:144" x14ac:dyDescent="0.25">
      <c r="A65" s="77" t="s">
        <v>1059</v>
      </c>
      <c r="B65" s="42">
        <v>1</v>
      </c>
      <c r="C65" s="170"/>
      <c r="D65" s="60">
        <f t="shared" ref="D65:O65" si="243">IFERROR(D21/$B51,".")</f>
        <v>1.6528925619834712E-4</v>
      </c>
      <c r="E65" s="60">
        <f t="shared" si="243"/>
        <v>6.6115702479338848E-4</v>
      </c>
      <c r="F65" s="60">
        <f t="shared" si="243"/>
        <v>6.6115702479338848E-4</v>
      </c>
      <c r="G65" s="60">
        <f t="shared" si="243"/>
        <v>6.6115702479338848E-4</v>
      </c>
      <c r="H65" s="60">
        <f t="shared" si="243"/>
        <v>6.6115702479338848E-4</v>
      </c>
      <c r="I65" s="60">
        <f t="shared" si="243"/>
        <v>6.6115702479338848E-4</v>
      </c>
      <c r="J65" s="60">
        <f t="shared" si="243"/>
        <v>6.6115702479338848E-4</v>
      </c>
      <c r="K65" s="60">
        <f t="shared" si="243"/>
        <v>6.6115702479338848E-4</v>
      </c>
      <c r="L65" s="60">
        <f t="shared" si="243"/>
        <v>6.6115702479338848E-4</v>
      </c>
      <c r="M65" s="60">
        <f t="shared" si="243"/>
        <v>6.6115702479338848E-4</v>
      </c>
      <c r="N65" s="60">
        <f t="shared" si="243"/>
        <v>6.6115702479338848E-4</v>
      </c>
      <c r="O65" s="60">
        <f t="shared" si="243"/>
        <v>6.6115702479338848E-4</v>
      </c>
      <c r="P65" s="111">
        <f t="shared" si="236"/>
        <v>1512.5</v>
      </c>
      <c r="Q65" s="111">
        <f t="shared" si="236"/>
        <v>1512.5</v>
      </c>
      <c r="R65" s="111">
        <f t="shared" si="236"/>
        <v>1512.5</v>
      </c>
      <c r="S65" s="111">
        <f t="shared" si="236"/>
        <v>1512.5</v>
      </c>
      <c r="T65" s="111">
        <f t="shared" si="236"/>
        <v>1512.5</v>
      </c>
      <c r="U65" s="111">
        <f t="shared" si="236"/>
        <v>1512.5</v>
      </c>
      <c r="V65" s="111">
        <f t="shared" si="236"/>
        <v>1512.5</v>
      </c>
      <c r="W65" s="111">
        <f t="shared" si="236"/>
        <v>1512.5</v>
      </c>
      <c r="X65" s="111">
        <f t="shared" si="26"/>
        <v>1512.5</v>
      </c>
      <c r="Y65" s="111">
        <f t="shared" si="26"/>
        <v>1512.5</v>
      </c>
      <c r="Z65" s="111">
        <f t="shared" si="26"/>
        <v>1512.5</v>
      </c>
      <c r="AA65" s="111">
        <f t="shared" si="26"/>
        <v>1512.5</v>
      </c>
      <c r="AB65" s="60">
        <f>IFERROR(AB21/$B51,".")</f>
        <v>5.5096418732782371E-5</v>
      </c>
      <c r="AC65" s="189">
        <f>IFERROR(AC21/$B51,0)</f>
        <v>1.6815426997245181E-13</v>
      </c>
      <c r="AD65" s="49">
        <f>up_dir!BC65</f>
        <v>151250</v>
      </c>
      <c r="AE65" s="49">
        <f>IF(E65=".",".",up_RadSpec!$F$21*AE21*$B$65)</f>
        <v>37812.5</v>
      </c>
      <c r="AF65" s="49">
        <f>IF(F65=".",".",up_RadSpec!$F$21*AF21*$B$65)</f>
        <v>37812.5</v>
      </c>
      <c r="AG65" s="49">
        <f>IF(G65=".",".",up_RadSpec!$F$21*AG21*$B$65)</f>
        <v>37812.5</v>
      </c>
      <c r="AH65" s="49">
        <f>IF(H65=".",".",up_RadSpec!$F$21*AH21*$B$65)</f>
        <v>37812.5</v>
      </c>
      <c r="AI65" s="49">
        <f>IF(I65=".",".",up_RadSpec!$F$21*AI21*$B$65)</f>
        <v>37812.5</v>
      </c>
      <c r="AJ65" s="49">
        <f>IF(J65=".",".",up_RadSpec!$F$21*AJ21*$B$65)</f>
        <v>37812.5</v>
      </c>
      <c r="AK65" s="49">
        <f>IF(K65=".",".",up_RadSpec!$F$21*AK21*$B$65)</f>
        <v>37812.5</v>
      </c>
      <c r="AL65" s="49">
        <f>IF(L65=".",".",up_RadSpec!$F$21*AL21*$B$65)</f>
        <v>37812.5</v>
      </c>
      <c r="AM65" s="49">
        <f>IF(M65=".",".",up_RadSpec!$F$21*AM21*$B$65)</f>
        <v>37812.5</v>
      </c>
      <c r="AN65" s="49">
        <f>IF(N65=".",".",up_RadSpec!$F$21*AN21*$B$65)</f>
        <v>37812.5</v>
      </c>
      <c r="AO65" s="49">
        <f>IF(O65=".",".",up_RadSpec!$F$21*AO21*$B$65)</f>
        <v>37812.5</v>
      </c>
      <c r="AP65" s="60">
        <f t="shared" ref="AP65:BD65" si="244">IFERROR(AP21/$B51,".")</f>
        <v>0.33057851239669422</v>
      </c>
      <c r="AQ65" s="60">
        <f t="shared" si="244"/>
        <v>3089.9917851942919</v>
      </c>
      <c r="AR65" s="60" t="str">
        <f t="shared" si="244"/>
        <v>.</v>
      </c>
      <c r="AS65" s="60">
        <f t="shared" si="244"/>
        <v>3.2968835384132272E-5</v>
      </c>
      <c r="AT65" s="60">
        <f t="shared" si="244"/>
        <v>6.6115702479338848E-4</v>
      </c>
      <c r="AU65" s="60">
        <f t="shared" si="244"/>
        <v>6.6115702479338848E-4</v>
      </c>
      <c r="AV65" s="60">
        <f t="shared" si="244"/>
        <v>1.8558793678410905E-7</v>
      </c>
      <c r="AW65" s="60">
        <f t="shared" si="244"/>
        <v>1.9115557488763231E-7</v>
      </c>
      <c r="AX65" s="60">
        <f t="shared" si="244"/>
        <v>1.8558793678410905E-7</v>
      </c>
      <c r="AY65" s="60">
        <f t="shared" si="244"/>
        <v>1.8558793678410905E-7</v>
      </c>
      <c r="AZ65" s="60">
        <f t="shared" si="244"/>
        <v>1.8558793678410905E-7</v>
      </c>
      <c r="BA65" s="60">
        <f t="shared" si="244"/>
        <v>1.8558793678410905E-7</v>
      </c>
      <c r="BB65" s="60">
        <f t="shared" si="244"/>
        <v>1.9115557488763231E-7</v>
      </c>
      <c r="BC65" s="60">
        <f t="shared" si="244"/>
        <v>1.8558793678410905E-7</v>
      </c>
      <c r="BD65" s="60">
        <f t="shared" si="244"/>
        <v>1.9115557488763231E-7</v>
      </c>
      <c r="BE65" s="111">
        <f t="shared" si="174"/>
        <v>3.0249999999999999</v>
      </c>
      <c r="BF65" s="111">
        <f t="shared" si="174"/>
        <v>3.236254558317935E-4</v>
      </c>
      <c r="BG65" s="111" t="str">
        <f t="shared" si="174"/>
        <v>.</v>
      </c>
      <c r="BH65" s="111">
        <f t="shared" si="174"/>
        <v>30331.674999999992</v>
      </c>
      <c r="BI65" s="111">
        <f t="shared" si="174"/>
        <v>1512.5</v>
      </c>
      <c r="BJ65" s="111">
        <f t="shared" si="174"/>
        <v>1512.5</v>
      </c>
      <c r="BK65" s="111">
        <f t="shared" si="174"/>
        <v>5388281.2499999991</v>
      </c>
      <c r="BL65" s="111">
        <f t="shared" si="174"/>
        <v>5231341.0194174759</v>
      </c>
      <c r="BM65" s="111">
        <f t="shared" si="174"/>
        <v>5388281.2499999991</v>
      </c>
      <c r="BN65" s="111">
        <f t="shared" si="174"/>
        <v>5388281.2499999991</v>
      </c>
      <c r="BO65" s="111">
        <f t="shared" si="174"/>
        <v>5388281.2499999991</v>
      </c>
      <c r="BP65" s="111">
        <f t="shared" si="174"/>
        <v>5388281.2499999991</v>
      </c>
      <c r="BQ65" s="111">
        <f t="shared" si="174"/>
        <v>5231341.0194174759</v>
      </c>
      <c r="BR65" s="111">
        <f t="shared" si="174"/>
        <v>5388281.2499999991</v>
      </c>
      <c r="BS65" s="111">
        <f t="shared" si="174"/>
        <v>5231341.0194174759</v>
      </c>
      <c r="BT65" s="60">
        <f>IFERROR(BT21/$B51,".")</f>
        <v>2.0808592671575615E-8</v>
      </c>
      <c r="BU65" s="189">
        <f>IFERROR(BU21/$B51,0)</f>
        <v>6.3507824833648777E-17</v>
      </c>
      <c r="BV65" s="49">
        <f>IF(AP65=".",".",up_RadSpec!$E$21*BV21*$B$65)</f>
        <v>75.625</v>
      </c>
      <c r="BW65" s="49">
        <f>IF(AQ65=".",".",up_RadSpec!$H$21*BW21*$B$65)</f>
        <v>8.0906363957948379E-3</v>
      </c>
      <c r="BX65" s="49" t="str">
        <f>IF(AR65=".",".",up_RadSpec!$G$21*BX21*$B$65)</f>
        <v>.</v>
      </c>
      <c r="BY65" s="49">
        <f>up_b2s!CC65</f>
        <v>758291.875</v>
      </c>
      <c r="BZ65" s="49">
        <f>IF(AT65=".",".",up_RadSpec!$F$21*BZ21*$B$65)</f>
        <v>37812.5</v>
      </c>
      <c r="CA65" s="49">
        <f>IF(AU65=".",".",up_RadSpec!$F$21*CA21*$B$65)</f>
        <v>37812.5</v>
      </c>
      <c r="CB65" s="49">
        <f>IF(AV65=".",".",up_RadSpec!$F$21*CB21*$B$65)</f>
        <v>134707031.25</v>
      </c>
      <c r="CC65" s="49">
        <f>IF(AW65=".",".",up_RadSpec!$F$21*CC21*$B$65)</f>
        <v>130783525.4854369</v>
      </c>
      <c r="CD65" s="49">
        <f>IF(AX65=".",".",up_RadSpec!$F$21*CD21*$B$65)</f>
        <v>134707031.25</v>
      </c>
      <c r="CE65" s="49">
        <f>IF(AY65=".",".",up_RadSpec!$F$21*CE21*$B$65)</f>
        <v>134707031.25</v>
      </c>
      <c r="CF65" s="49">
        <f>IF(AZ65=".",".",up_RadSpec!$F$21*CF21*$B$65)</f>
        <v>134707031.25</v>
      </c>
      <c r="CG65" s="49">
        <f>IF(BA65=".",".",up_RadSpec!$F$21*CG21*$B$65)</f>
        <v>134707031.25</v>
      </c>
      <c r="CH65" s="49">
        <f>IF(BB65=".",".",up_RadSpec!$F$21*CH21*$B$65)</f>
        <v>130783525.4854369</v>
      </c>
      <c r="CI65" s="49">
        <f>IF(BC65=".",".",up_RadSpec!$F$21*CI21*$B$65)</f>
        <v>134707031.25</v>
      </c>
      <c r="CJ65" s="49">
        <f>IF(BD65=".",".",up_RadSpec!$F$21*CJ21*$B$65)</f>
        <v>130783525.4854369</v>
      </c>
      <c r="CK65" s="49">
        <f t="shared" si="238"/>
        <v>1201426756.4644012</v>
      </c>
      <c r="CL65" s="60">
        <f>IFERROR(CL21/$B51,".")</f>
        <v>3.6363636363636364E-3</v>
      </c>
      <c r="CM65" s="60">
        <f>IFERROR(CM21,".")</f>
        <v>2.738261548962679E-2</v>
      </c>
      <c r="CN65" s="60">
        <f t="shared" ref="CN65:CZ65" si="245">IFERROR(CN21/$B51,".")</f>
        <v>39.81818181818182</v>
      </c>
      <c r="CO65" s="60">
        <f t="shared" si="245"/>
        <v>1.6443412786038033E-4</v>
      </c>
      <c r="CP65" s="60">
        <f t="shared" si="245"/>
        <v>0.13223140495867769</v>
      </c>
      <c r="CQ65" s="60">
        <f t="shared" si="245"/>
        <v>0.13223140495867769</v>
      </c>
      <c r="CR65" s="60">
        <f t="shared" si="245"/>
        <v>2.6446280991735537E-2</v>
      </c>
      <c r="CS65" s="60">
        <f t="shared" si="245"/>
        <v>2.7239669421487603E-2</v>
      </c>
      <c r="CT65" s="60">
        <f t="shared" si="245"/>
        <v>2.6446280991735537E-2</v>
      </c>
      <c r="CU65" s="60">
        <f t="shared" si="245"/>
        <v>2.6446280991735537E-2</v>
      </c>
      <c r="CV65" s="60">
        <f t="shared" si="245"/>
        <v>2.6446280991735537E-2</v>
      </c>
      <c r="CW65" s="60">
        <f t="shared" si="245"/>
        <v>2.6446280991735537E-2</v>
      </c>
      <c r="CX65" s="60">
        <f t="shared" si="245"/>
        <v>2.7239669421487603E-2</v>
      </c>
      <c r="CY65" s="60">
        <f t="shared" si="245"/>
        <v>2.6446280991735537E-2</v>
      </c>
      <c r="CZ65" s="60">
        <f t="shared" si="245"/>
        <v>2.7239669421487603E-2</v>
      </c>
      <c r="DA65" s="111">
        <f t="shared" si="76"/>
        <v>275</v>
      </c>
      <c r="DB65" s="111">
        <f t="shared" si="76"/>
        <v>36.519520948567703</v>
      </c>
      <c r="DC65" s="111">
        <f t="shared" si="76"/>
        <v>2.5114155251141551E-2</v>
      </c>
      <c r="DD65" s="111">
        <f t="shared" si="76"/>
        <v>6081.4626076229861</v>
      </c>
      <c r="DE65" s="111">
        <f t="shared" si="181"/>
        <v>7.5625</v>
      </c>
      <c r="DF65" s="111">
        <f t="shared" si="181"/>
        <v>7.5625</v>
      </c>
      <c r="DG65" s="111">
        <f t="shared" si="181"/>
        <v>37.8125</v>
      </c>
      <c r="DH65" s="111">
        <f t="shared" si="181"/>
        <v>36.711165048543691</v>
      </c>
      <c r="DI65" s="111">
        <f t="shared" si="181"/>
        <v>37.8125</v>
      </c>
      <c r="DJ65" s="111">
        <f t="shared" si="181"/>
        <v>37.8125</v>
      </c>
      <c r="DK65" s="111">
        <f t="shared" si="181"/>
        <v>37.8125</v>
      </c>
      <c r="DL65" s="111">
        <f t="shared" si="181"/>
        <v>37.8125</v>
      </c>
      <c r="DM65" s="111">
        <f t="shared" si="181"/>
        <v>36.711165048543691</v>
      </c>
      <c r="DN65" s="111">
        <f t="shared" si="181"/>
        <v>37.8125</v>
      </c>
      <c r="DO65" s="111">
        <f t="shared" si="181"/>
        <v>36.711165048543691</v>
      </c>
      <c r="DP65" s="60">
        <f>IFERROR(DP21/$B51,".")</f>
        <v>1.4825487545207567E-4</v>
      </c>
      <c r="DQ65" s="189">
        <f t="shared" ref="DQ65" si="246">IFERROR(DQ21/$B51,0)</f>
        <v>4.5247387987973493E-16</v>
      </c>
      <c r="DR65" s="49">
        <f>IF(CL65=".",".",up_RadSpec!$I$21*DR21*$B$65)</f>
        <v>6875</v>
      </c>
      <c r="DS65" s="49">
        <f>IF(CM65=".",".",up_RadSpec!$H$21*DS21)</f>
        <v>912.98802371419254</v>
      </c>
      <c r="DT65" s="49">
        <f>IF(CN65=".",".",up_RadSpec!$M$21*DT21*$B$65)</f>
        <v>0.62785388127853881</v>
      </c>
      <c r="DU65" s="49">
        <f>up_b2w!CC65</f>
        <v>152036.56519057468</v>
      </c>
      <c r="DV65" s="49">
        <f>IF(CP65=".",".",up_RadSpec!$F$21*DV21*$B$65)</f>
        <v>189.0625</v>
      </c>
      <c r="DW65" s="49">
        <f>IF(CQ65=".",".",up_RadSpec!$F$21*DW21*$B$65)</f>
        <v>189.0625</v>
      </c>
      <c r="DX65" s="49">
        <f>IF(CR65=".",".",up_RadSpec!$F$21*DX21*$B$65)</f>
        <v>945.3125</v>
      </c>
      <c r="DY65" s="49">
        <f>IF(CS65=".",".",up_RadSpec!$F$21*DY21*$B$65)</f>
        <v>917.77912621359224</v>
      </c>
      <c r="DZ65" s="49">
        <f>IF(CT65=".",".",up_RadSpec!$F$21*DZ21*$B$65)</f>
        <v>945.3125</v>
      </c>
      <c r="EA65" s="49">
        <f>IF(CU65=".",".",up_RadSpec!$F$21*EA21*$B$65)</f>
        <v>945.3125</v>
      </c>
      <c r="EB65" s="49">
        <f>IF(CV65=".",".",up_RadSpec!$F$21*EB21*$B$65)</f>
        <v>945.3125</v>
      </c>
      <c r="EC65" s="49">
        <f>IF(CW65=".",".",up_RadSpec!$F$21*EC21*$B$65)</f>
        <v>945.3125</v>
      </c>
      <c r="ED65" s="49">
        <f>IF(CX65=".",".",up_RadSpec!$F$21*ED21*$B$65)</f>
        <v>917.77912621359224</v>
      </c>
      <c r="EE65" s="49">
        <f>IF(CY65=".",".",up_RadSpec!$F$21*EE21*$B$65)</f>
        <v>945.3125</v>
      </c>
      <c r="EF65" s="49">
        <f>IF(CZ65=".",".",up_RadSpec!$F$21*EF21*$B$65)</f>
        <v>917.77912621359224</v>
      </c>
      <c r="EG65" s="49">
        <f t="shared" si="241"/>
        <v>168628.51844681095</v>
      </c>
      <c r="EH65" s="60">
        <f>IFERROR(EH21/$B51,".")</f>
        <v>9.9740259740259754E-3</v>
      </c>
      <c r="EI65" s="60">
        <f>IFERROR(EI21/$B51,".")</f>
        <v>63.709090909090911</v>
      </c>
      <c r="EJ65" s="60">
        <f>IFERROR(EJ21/$B51,".")</f>
        <v>9.9724647271019675E-3</v>
      </c>
      <c r="EK65" s="189">
        <f t="shared" ref="EK65" si="247">IFERROR(EK21/$B51,0)</f>
        <v>3.0435962347115209E-14</v>
      </c>
      <c r="EL65" s="49">
        <f>IF(EH65=".",".",up_RadSpec!$H$21*EL21*$B$65)</f>
        <v>2506.5104166666661</v>
      </c>
      <c r="EM65" s="49">
        <f>IF(EI65=".",".",up_RadSpec!$K$21*EM21*$B$65)</f>
        <v>0.39240867579908678</v>
      </c>
      <c r="EN65" s="49">
        <f t="shared" si="60"/>
        <v>2506.9028253424653</v>
      </c>
    </row>
    <row r="66" spans="1:144" x14ac:dyDescent="0.25">
      <c r="A66" s="77" t="s">
        <v>1060</v>
      </c>
      <c r="B66" s="79">
        <v>0.99980000000000002</v>
      </c>
      <c r="C66" s="173"/>
      <c r="D66" s="60">
        <f t="shared" ref="D66:O66" si="248">IFERROR(D17/$B52,".")</f>
        <v>1.6532232066247962E-4</v>
      </c>
      <c r="E66" s="60">
        <f t="shared" si="248"/>
        <v>6.6128928264991846E-4</v>
      </c>
      <c r="F66" s="60">
        <f t="shared" si="248"/>
        <v>6.6128928264991846E-4</v>
      </c>
      <c r="G66" s="60">
        <f t="shared" si="248"/>
        <v>6.6128928264991846E-4</v>
      </c>
      <c r="H66" s="60">
        <f t="shared" si="248"/>
        <v>6.6128928264991846E-4</v>
      </c>
      <c r="I66" s="60">
        <f t="shared" si="248"/>
        <v>6.6128928264991846E-4</v>
      </c>
      <c r="J66" s="60">
        <f t="shared" si="248"/>
        <v>6.6128928264991846E-4</v>
      </c>
      <c r="K66" s="60">
        <f t="shared" si="248"/>
        <v>6.6128928264991846E-4</v>
      </c>
      <c r="L66" s="60">
        <f t="shared" si="248"/>
        <v>6.6128928264991846E-4</v>
      </c>
      <c r="M66" s="60">
        <f t="shared" si="248"/>
        <v>6.6128928264991846E-4</v>
      </c>
      <c r="N66" s="60">
        <f t="shared" si="248"/>
        <v>6.6128928264991846E-4</v>
      </c>
      <c r="O66" s="60">
        <f t="shared" si="248"/>
        <v>6.6128928264991846E-4</v>
      </c>
      <c r="P66" s="111">
        <f t="shared" si="236"/>
        <v>1512.1975</v>
      </c>
      <c r="Q66" s="111">
        <f t="shared" si="236"/>
        <v>1512.1975</v>
      </c>
      <c r="R66" s="111">
        <f t="shared" si="236"/>
        <v>1512.1975</v>
      </c>
      <c r="S66" s="111">
        <f t="shared" si="236"/>
        <v>1512.1975</v>
      </c>
      <c r="T66" s="111">
        <f t="shared" si="236"/>
        <v>1512.1975</v>
      </c>
      <c r="U66" s="111">
        <f t="shared" si="236"/>
        <v>1512.1975</v>
      </c>
      <c r="V66" s="111">
        <f t="shared" si="236"/>
        <v>1512.1975</v>
      </c>
      <c r="W66" s="111">
        <f t="shared" si="236"/>
        <v>1512.1975</v>
      </c>
      <c r="X66" s="111">
        <f t="shared" si="26"/>
        <v>1512.1975</v>
      </c>
      <c r="Y66" s="111">
        <f t="shared" si="26"/>
        <v>1512.1975</v>
      </c>
      <c r="Z66" s="111">
        <f t="shared" si="26"/>
        <v>1512.1975</v>
      </c>
      <c r="AA66" s="111">
        <f t="shared" si="26"/>
        <v>1512.1975</v>
      </c>
      <c r="AB66" s="60">
        <f>IFERROR(AB17/$B52,".")</f>
        <v>5.5107440220826534E-5</v>
      </c>
      <c r="AC66" s="189">
        <f>IFERROR(AC17/$B52,0)</f>
        <v>1.6510189090159632E-13</v>
      </c>
      <c r="AD66" s="49">
        <f>up_dir!BC66</f>
        <v>151219.75</v>
      </c>
      <c r="AE66" s="49">
        <f>IF(E66=".",".",up_RadSpec!$F$17*AE17*$B$66)</f>
        <v>37804.9375</v>
      </c>
      <c r="AF66" s="49">
        <f>IF(F66=".",".",up_RadSpec!$F$17*AF17*$B$66)</f>
        <v>37804.9375</v>
      </c>
      <c r="AG66" s="49">
        <f>IF(G66=".",".",up_RadSpec!$F$17*AG17*$B$66)</f>
        <v>37804.9375</v>
      </c>
      <c r="AH66" s="49">
        <f>IF(H66=".",".",up_RadSpec!$F$17*AH17*$B$66)</f>
        <v>37804.9375</v>
      </c>
      <c r="AI66" s="49">
        <f>IF(I66=".",".",up_RadSpec!$F$17*AI17*$B$66)</f>
        <v>37804.9375</v>
      </c>
      <c r="AJ66" s="49">
        <f>IF(J66=".",".",up_RadSpec!$F$17*AJ17*$B$66)</f>
        <v>37804.9375</v>
      </c>
      <c r="AK66" s="49">
        <f>IF(K66=".",".",up_RadSpec!$F$17*AK17*$B$66)</f>
        <v>37804.9375</v>
      </c>
      <c r="AL66" s="49">
        <f>IF(L66=".",".",up_RadSpec!$F$17*AL17*$B$66)</f>
        <v>37804.9375</v>
      </c>
      <c r="AM66" s="49">
        <f>IF(M66=".",".",up_RadSpec!$F$17*AM17*$B$66)</f>
        <v>37804.9375</v>
      </c>
      <c r="AN66" s="49">
        <f>IF(N66=".",".",up_RadSpec!$F$17*AN17*$B$66)</f>
        <v>37804.9375</v>
      </c>
      <c r="AO66" s="49">
        <f>IF(O66=".",".",up_RadSpec!$F$17*AO17*$B$66)</f>
        <v>37804.9375</v>
      </c>
      <c r="AP66" s="60">
        <f t="shared" ref="AP66:BD66" si="249">IFERROR(AP17/$B52,".")</f>
        <v>0.33064464132495919</v>
      </c>
      <c r="AQ66" s="60">
        <f t="shared" si="249"/>
        <v>3090.6099071757271</v>
      </c>
      <c r="AR66" s="60">
        <f t="shared" si="249"/>
        <v>293.09285706019585</v>
      </c>
      <c r="AS66" s="60">
        <f t="shared" si="249"/>
        <v>3.2975430470226314E-5</v>
      </c>
      <c r="AT66" s="60">
        <f t="shared" si="249"/>
        <v>6.6128928264991846E-4</v>
      </c>
      <c r="AU66" s="60">
        <f t="shared" si="249"/>
        <v>6.6128928264991846E-4</v>
      </c>
      <c r="AV66" s="60">
        <f t="shared" si="249"/>
        <v>1.8562506179646834E-7</v>
      </c>
      <c r="AW66" s="60">
        <f t="shared" si="249"/>
        <v>1.9119381365036237E-7</v>
      </c>
      <c r="AX66" s="60">
        <f t="shared" si="249"/>
        <v>1.8562506179646834E-7</v>
      </c>
      <c r="AY66" s="60">
        <f t="shared" si="249"/>
        <v>1.8562506179646834E-7</v>
      </c>
      <c r="AZ66" s="60">
        <f t="shared" si="249"/>
        <v>1.8562506179646834E-7</v>
      </c>
      <c r="BA66" s="60">
        <f t="shared" si="249"/>
        <v>1.8562506179646834E-7</v>
      </c>
      <c r="BB66" s="60">
        <f t="shared" si="249"/>
        <v>1.9119381365036237E-7</v>
      </c>
      <c r="BC66" s="60">
        <f t="shared" si="249"/>
        <v>1.8562506179646834E-7</v>
      </c>
      <c r="BD66" s="60">
        <f t="shared" si="249"/>
        <v>1.9119381365036237E-7</v>
      </c>
      <c r="BE66" s="111">
        <f t="shared" si="174"/>
        <v>3.0243950000000002</v>
      </c>
      <c r="BF66" s="111">
        <f t="shared" si="174"/>
        <v>3.2356073074062711E-4</v>
      </c>
      <c r="BG66" s="111">
        <f t="shared" si="174"/>
        <v>3.4118879935535872E-3</v>
      </c>
      <c r="BH66" s="111">
        <f t="shared" si="174"/>
        <v>30325.608664999996</v>
      </c>
      <c r="BI66" s="111">
        <f t="shared" si="174"/>
        <v>1512.1975</v>
      </c>
      <c r="BJ66" s="111">
        <f t="shared" si="174"/>
        <v>1512.1975</v>
      </c>
      <c r="BK66" s="111">
        <f t="shared" si="174"/>
        <v>5387203.59375</v>
      </c>
      <c r="BL66" s="111">
        <f t="shared" si="174"/>
        <v>5230294.7512135925</v>
      </c>
      <c r="BM66" s="111">
        <f t="shared" si="174"/>
        <v>5387203.59375</v>
      </c>
      <c r="BN66" s="111">
        <f t="shared" si="174"/>
        <v>5387203.59375</v>
      </c>
      <c r="BO66" s="111">
        <f t="shared" si="174"/>
        <v>5387203.59375</v>
      </c>
      <c r="BP66" s="111">
        <f t="shared" si="174"/>
        <v>5387203.59375</v>
      </c>
      <c r="BQ66" s="111">
        <f t="shared" si="174"/>
        <v>5230294.7512135925</v>
      </c>
      <c r="BR66" s="111">
        <f t="shared" si="174"/>
        <v>5387203.59375</v>
      </c>
      <c r="BS66" s="111">
        <f t="shared" si="174"/>
        <v>5230294.7512135925</v>
      </c>
      <c r="BT66" s="60">
        <f>IFERROR(BT17/$B52,".")</f>
        <v>2.0812755221142208E-8</v>
      </c>
      <c r="BU66" s="189">
        <f>IFERROR(BU17/$B52,0)</f>
        <v>6.2355014642542042E-17</v>
      </c>
      <c r="BV66" s="49">
        <f>IF(AP66=".",".",up_RadSpec!$E$17*BV17*$B$66)</f>
        <v>75.609875000000002</v>
      </c>
      <c r="BW66" s="49">
        <f>IF(AQ66=".",".",up_RadSpec!$H$17*BW17*$B$66)</f>
        <v>8.0890182685156783E-3</v>
      </c>
      <c r="BX66" s="49">
        <f>IF(AR66=".",".",up_RadSpec!$G$17*BX17*$B$66)</f>
        <v>8.5297199838839682E-2</v>
      </c>
      <c r="BY66" s="49">
        <f>up_b2s!CC66</f>
        <v>758140.216625</v>
      </c>
      <c r="BZ66" s="49">
        <f>IF(AT66=".",".",up_RadSpec!$F$17*BZ17*$B$66)</f>
        <v>37804.9375</v>
      </c>
      <c r="CA66" s="49">
        <f>IF(AU66=".",".",up_RadSpec!$F$17*CA17*$B$66)</f>
        <v>37804.9375</v>
      </c>
      <c r="CB66" s="49">
        <f>IF(AV66=".",".",up_RadSpec!$F$17*CB17*$B$66)</f>
        <v>134680089.84375</v>
      </c>
      <c r="CC66" s="49">
        <f>IF(AW66=".",".",up_RadSpec!$F$17*CC17*$B$66)</f>
        <v>130757368.78033982</v>
      </c>
      <c r="CD66" s="49">
        <f>IF(AX66=".",".",up_RadSpec!$F$17*CD17*$B$66)</f>
        <v>134680089.84375</v>
      </c>
      <c r="CE66" s="49">
        <f>IF(AY66=".",".",up_RadSpec!$F$17*CE17*$B$66)</f>
        <v>134680089.84375</v>
      </c>
      <c r="CF66" s="49">
        <f>IF(AZ66=".",".",up_RadSpec!$F$17*CF17*$B$66)</f>
        <v>134680089.84375</v>
      </c>
      <c r="CG66" s="49">
        <f>IF(BA66=".",".",up_RadSpec!$F$17*CG17*$B$66)</f>
        <v>134680089.84375</v>
      </c>
      <c r="CH66" s="49">
        <f>IF(BB66=".",".",up_RadSpec!$F$17*CH17*$B$66)</f>
        <v>130757368.78033982</v>
      </c>
      <c r="CI66" s="49">
        <f>IF(BC66=".",".",up_RadSpec!$F$17*CI17*$B$66)</f>
        <v>134680089.84375</v>
      </c>
      <c r="CJ66" s="49">
        <f>IF(BD66=".",".",up_RadSpec!$F$17*CJ17*$B$66)</f>
        <v>130757368.78033982</v>
      </c>
      <c r="CK66" s="49">
        <f t="shared" si="238"/>
        <v>1201186471.1984057</v>
      </c>
      <c r="CL66" s="60">
        <f>IFERROR(CL17/$B52,".")</f>
        <v>3.6370910545745513E-3</v>
      </c>
      <c r="CM66" s="60">
        <f>IFERROR(CM17,".")</f>
        <v>0.115609920856568</v>
      </c>
      <c r="CN66" s="60">
        <f t="shared" ref="CN66:CZ66" si="250">IFERROR(CN17/$B52,".")</f>
        <v>39.826147047591334</v>
      </c>
      <c r="CO66" s="60">
        <f t="shared" si="250"/>
        <v>1.6446702126463324E-4</v>
      </c>
      <c r="CP66" s="60">
        <f t="shared" si="250"/>
        <v>0.13225785652998368</v>
      </c>
      <c r="CQ66" s="60">
        <f t="shared" si="250"/>
        <v>0.13225785652998368</v>
      </c>
      <c r="CR66" s="60">
        <f t="shared" si="250"/>
        <v>2.6451571305996735E-2</v>
      </c>
      <c r="CS66" s="60">
        <f t="shared" si="250"/>
        <v>2.7245118445176637E-2</v>
      </c>
      <c r="CT66" s="60">
        <f t="shared" si="250"/>
        <v>2.6451571305996735E-2</v>
      </c>
      <c r="CU66" s="60">
        <f t="shared" si="250"/>
        <v>2.6451571305996735E-2</v>
      </c>
      <c r="CV66" s="60">
        <f t="shared" si="250"/>
        <v>2.6451571305996735E-2</v>
      </c>
      <c r="CW66" s="60">
        <f t="shared" si="250"/>
        <v>2.6451571305996735E-2</v>
      </c>
      <c r="CX66" s="60">
        <f t="shared" si="250"/>
        <v>2.7245118445176637E-2</v>
      </c>
      <c r="CY66" s="60">
        <f t="shared" si="250"/>
        <v>2.6451571305996735E-2</v>
      </c>
      <c r="CZ66" s="60">
        <f t="shared" si="250"/>
        <v>2.7245118445176637E-2</v>
      </c>
      <c r="DA66" s="111">
        <f t="shared" si="76"/>
        <v>274.94499999999999</v>
      </c>
      <c r="DB66" s="111">
        <f t="shared" si="76"/>
        <v>8.6497767024739574</v>
      </c>
      <c r="DC66" s="111">
        <f t="shared" si="76"/>
        <v>2.5109132420091326E-2</v>
      </c>
      <c r="DD66" s="111">
        <f t="shared" si="76"/>
        <v>6080.2463151014617</v>
      </c>
      <c r="DE66" s="111">
        <f t="shared" si="181"/>
        <v>7.5609875000000004</v>
      </c>
      <c r="DF66" s="111">
        <f t="shared" si="181"/>
        <v>7.5609875000000004</v>
      </c>
      <c r="DG66" s="111">
        <f t="shared" si="181"/>
        <v>37.804937500000001</v>
      </c>
      <c r="DH66" s="111">
        <f t="shared" si="181"/>
        <v>36.703822815533982</v>
      </c>
      <c r="DI66" s="111">
        <f t="shared" si="181"/>
        <v>37.804937500000001</v>
      </c>
      <c r="DJ66" s="111">
        <f t="shared" si="181"/>
        <v>37.804937500000001</v>
      </c>
      <c r="DK66" s="111">
        <f t="shared" si="181"/>
        <v>37.804937500000001</v>
      </c>
      <c r="DL66" s="111">
        <f t="shared" si="181"/>
        <v>37.804937500000001</v>
      </c>
      <c r="DM66" s="111">
        <f t="shared" si="181"/>
        <v>36.703822815533982</v>
      </c>
      <c r="DN66" s="111">
        <f t="shared" si="181"/>
        <v>37.804937500000001</v>
      </c>
      <c r="DO66" s="111">
        <f t="shared" si="181"/>
        <v>36.703822815533982</v>
      </c>
      <c r="DP66" s="60">
        <f>IFERROR(DP17/$B52,".")</f>
        <v>1.4889976017895326E-4</v>
      </c>
      <c r="DQ66" s="189">
        <f t="shared" ref="DQ66" si="251">IFERROR(DQ17/$B52,0)</f>
        <v>4.4610368149614395E-16</v>
      </c>
      <c r="DR66" s="49">
        <f>IF(CL66=".",".",up_RadSpec!$I$17*DR17*$B$66)</f>
        <v>6873.625</v>
      </c>
      <c r="DS66" s="49">
        <f>IF(CM66=".",".",up_RadSpec!$H$17*DS17)</f>
        <v>216.24441756184893</v>
      </c>
      <c r="DT66" s="49">
        <f>IF(CN66=".",".",up_RadSpec!$M$17*DT17*$B$66)</f>
        <v>0.62772831050228306</v>
      </c>
      <c r="DU66" s="49">
        <f>up_b2w!CC66</f>
        <v>152006.15787753658</v>
      </c>
      <c r="DV66" s="49">
        <f>IF(CP66=".",".",up_RadSpec!$F$17*DV17*$B$66)</f>
        <v>189.0246875</v>
      </c>
      <c r="DW66" s="49">
        <f>IF(CQ66=".",".",up_RadSpec!$F$17*DW17*$B$66)</f>
        <v>189.0246875</v>
      </c>
      <c r="DX66" s="49">
        <f>IF(CR66=".",".",up_RadSpec!$F$17*DX17*$B$66)</f>
        <v>945.12343750000002</v>
      </c>
      <c r="DY66" s="49">
        <f>IF(CS66=".",".",up_RadSpec!$F$17*DY17*$B$66)</f>
        <v>917.59557038834953</v>
      </c>
      <c r="DZ66" s="49">
        <f>IF(CT66=".",".",up_RadSpec!$F$17*DZ17*$B$66)</f>
        <v>945.12343750000002</v>
      </c>
      <c r="EA66" s="49">
        <f>IF(CU66=".",".",up_RadSpec!$F$17*EA17*$B$66)</f>
        <v>945.12343750000002</v>
      </c>
      <c r="EB66" s="49">
        <f>IF(CV66=".",".",up_RadSpec!$F$17*EB17*$B$66)</f>
        <v>945.12343750000002</v>
      </c>
      <c r="EC66" s="49">
        <f>IF(CW66=".",".",up_RadSpec!$F$17*EC17*$B$66)</f>
        <v>945.12343750000002</v>
      </c>
      <c r="ED66" s="49">
        <f>IF(CX66=".",".",up_RadSpec!$F$17*ED17*$B$66)</f>
        <v>917.59557038834953</v>
      </c>
      <c r="EE66" s="49">
        <f>IF(CY66=".",".",up_RadSpec!$F$17*EE17*$B$66)</f>
        <v>945.12343750000002</v>
      </c>
      <c r="EF66" s="49">
        <f>IF(CZ66=".",".",up_RadSpec!$F$17*EF17*$B$66)</f>
        <v>917.59557038834953</v>
      </c>
      <c r="EG66" s="49">
        <f t="shared" si="241"/>
        <v>167898.23173457399</v>
      </c>
      <c r="EH66" s="60">
        <f>IFERROR(EH17/$B52,".")</f>
        <v>9.9760211782616275E-3</v>
      </c>
      <c r="EI66" s="60">
        <f>IFERROR(EI17/$B52,".")</f>
        <v>63.721835276146138</v>
      </c>
      <c r="EJ66" s="60">
        <f>IFERROR(EJ17/$B52,".")</f>
        <v>9.9744596190257731E-3</v>
      </c>
      <c r="EK66" s="189">
        <f t="shared" ref="EK66" si="252">IFERROR(EK17/$B52,0)</f>
        <v>2.9883481018601213E-14</v>
      </c>
      <c r="EL66" s="49">
        <f>IF(EH66=".",".",up_RadSpec!$H$17*EL17*$B$66)</f>
        <v>2506.0091145833326</v>
      </c>
      <c r="EM66" s="49">
        <f>IF(EI66=".",".",up_RadSpec!$K$17*EM17*$B$66)</f>
        <v>0.392330194063927</v>
      </c>
      <c r="EN66" s="49">
        <f t="shared" si="60"/>
        <v>2506.4014447773966</v>
      </c>
    </row>
    <row r="67" spans="1:144" x14ac:dyDescent="0.25">
      <c r="A67" s="77" t="s">
        <v>1074</v>
      </c>
      <c r="B67" s="42">
        <v>2.0000000000000001E-4</v>
      </c>
      <c r="C67" s="170"/>
      <c r="D67" s="60">
        <f t="shared" ref="D67:O67" si="253">IFERROR(D5/$B53,".")</f>
        <v>0.82644628099173556</v>
      </c>
      <c r="E67" s="60">
        <f t="shared" si="253"/>
        <v>3.3057851239669422</v>
      </c>
      <c r="F67" s="60">
        <f t="shared" si="253"/>
        <v>3.3057851239669422</v>
      </c>
      <c r="G67" s="60">
        <f t="shared" si="253"/>
        <v>3.3057851239669422</v>
      </c>
      <c r="H67" s="60">
        <f t="shared" si="253"/>
        <v>3.3057851239669422</v>
      </c>
      <c r="I67" s="60">
        <f t="shared" si="253"/>
        <v>3.3057851239669422</v>
      </c>
      <c r="J67" s="60">
        <f t="shared" si="253"/>
        <v>3.3057851239669422</v>
      </c>
      <c r="K67" s="60">
        <f t="shared" si="253"/>
        <v>3.3057851239669422</v>
      </c>
      <c r="L67" s="60">
        <f t="shared" si="253"/>
        <v>3.3057851239669422</v>
      </c>
      <c r="M67" s="60">
        <f t="shared" si="253"/>
        <v>3.3057851239669422</v>
      </c>
      <c r="N67" s="60">
        <f t="shared" si="253"/>
        <v>3.3057851239669422</v>
      </c>
      <c r="O67" s="60">
        <f t="shared" si="253"/>
        <v>3.3057851239669422</v>
      </c>
      <c r="P67" s="111">
        <f t="shared" si="236"/>
        <v>0.30249999999999999</v>
      </c>
      <c r="Q67" s="111">
        <f t="shared" si="236"/>
        <v>0.30249999999999999</v>
      </c>
      <c r="R67" s="111">
        <f t="shared" si="236"/>
        <v>0.30249999999999999</v>
      </c>
      <c r="S67" s="111">
        <f t="shared" si="236"/>
        <v>0.30249999999999999</v>
      </c>
      <c r="T67" s="111">
        <f t="shared" si="236"/>
        <v>0.30249999999999999</v>
      </c>
      <c r="U67" s="111">
        <f t="shared" si="236"/>
        <v>0.30249999999999999</v>
      </c>
      <c r="V67" s="111">
        <f t="shared" si="236"/>
        <v>0.30249999999999999</v>
      </c>
      <c r="W67" s="111">
        <f t="shared" si="236"/>
        <v>0.30249999999999999</v>
      </c>
      <c r="X67" s="111">
        <f t="shared" si="26"/>
        <v>0.30249999999999999</v>
      </c>
      <c r="Y67" s="111">
        <f t="shared" si="26"/>
        <v>0.30249999999999999</v>
      </c>
      <c r="Z67" s="111">
        <f t="shared" si="26"/>
        <v>0.30249999999999999</v>
      </c>
      <c r="AA67" s="111">
        <f t="shared" si="26"/>
        <v>0.30249999999999999</v>
      </c>
      <c r="AB67" s="60">
        <f>IFERROR(AB5/$B53,".")</f>
        <v>0.27548209366391185</v>
      </c>
      <c r="AC67" s="189">
        <f>IFERROR(AC5/$B53,0)</f>
        <v>8.4077134986225902E-10</v>
      </c>
      <c r="AD67" s="49">
        <f>up_dir!BC67</f>
        <v>30.250000000000004</v>
      </c>
      <c r="AE67" s="49">
        <f>IF(E67=".",".",up_RadSpec!$F$5*AE5*$B$67)</f>
        <v>7.5625</v>
      </c>
      <c r="AF67" s="49">
        <f>IF(F67=".",".",up_RadSpec!$F$5*AF5*$B$67)</f>
        <v>7.5625</v>
      </c>
      <c r="AG67" s="49">
        <f>IF(G67=".",".",up_RadSpec!$F$5*AG5*$B$67)</f>
        <v>7.5625</v>
      </c>
      <c r="AH67" s="49">
        <f>IF(H67=".",".",up_RadSpec!$F$5*AH5*$B$67)</f>
        <v>7.5625</v>
      </c>
      <c r="AI67" s="49">
        <f>IF(I67=".",".",up_RadSpec!$F$5*AI5*$B$67)</f>
        <v>7.5625</v>
      </c>
      <c r="AJ67" s="49">
        <f>IF(J67=".",".",up_RadSpec!$F$5*AJ5*$B$67)</f>
        <v>7.5625</v>
      </c>
      <c r="AK67" s="49">
        <f>IF(K67=".",".",up_RadSpec!$F$5*AK5*$B$67)</f>
        <v>7.5625</v>
      </c>
      <c r="AL67" s="49">
        <f>IF(L67=".",".",up_RadSpec!$F$5*AL5*$B$67)</f>
        <v>7.5625</v>
      </c>
      <c r="AM67" s="49">
        <f>IF(M67=".",".",up_RadSpec!$F$5*AM5*$B$67)</f>
        <v>7.5625</v>
      </c>
      <c r="AN67" s="49">
        <f>IF(N67=".",".",up_RadSpec!$F$5*AN5*$B$67)</f>
        <v>7.5625</v>
      </c>
      <c r="AO67" s="49">
        <f>IF(O67=".",".",up_RadSpec!$F$5*AO5*$B$67)</f>
        <v>7.5625</v>
      </c>
      <c r="AP67" s="60">
        <f t="shared" ref="AP67:BD67" si="254">IFERROR(AP5/$B53,".")</f>
        <v>1652.8925619834711</v>
      </c>
      <c r="AQ67" s="60">
        <f t="shared" si="254"/>
        <v>15449958.925971458</v>
      </c>
      <c r="AR67" s="60" t="str">
        <f t="shared" si="254"/>
        <v>.</v>
      </c>
      <c r="AS67" s="60">
        <f t="shared" si="254"/>
        <v>0.16484417692066136</v>
      </c>
      <c r="AT67" s="60">
        <f t="shared" si="254"/>
        <v>3.3057851239669422</v>
      </c>
      <c r="AU67" s="60">
        <f t="shared" si="254"/>
        <v>3.3057851239669422</v>
      </c>
      <c r="AV67" s="60">
        <f t="shared" si="254"/>
        <v>9.2793968392054522E-4</v>
      </c>
      <c r="AW67" s="60">
        <f t="shared" si="254"/>
        <v>9.5577787443816152E-4</v>
      </c>
      <c r="AX67" s="60">
        <f t="shared" si="254"/>
        <v>9.2793968392054522E-4</v>
      </c>
      <c r="AY67" s="60">
        <f t="shared" si="254"/>
        <v>9.2793968392054522E-4</v>
      </c>
      <c r="AZ67" s="60">
        <f t="shared" si="254"/>
        <v>9.2793968392054522E-4</v>
      </c>
      <c r="BA67" s="60">
        <f t="shared" si="254"/>
        <v>9.2793968392054522E-4</v>
      </c>
      <c r="BB67" s="60">
        <f t="shared" si="254"/>
        <v>9.5577787443816152E-4</v>
      </c>
      <c r="BC67" s="60">
        <f t="shared" si="254"/>
        <v>9.2793968392054522E-4</v>
      </c>
      <c r="BD67" s="60">
        <f t="shared" si="254"/>
        <v>9.5577787443816152E-4</v>
      </c>
      <c r="BE67" s="111">
        <f t="shared" si="174"/>
        <v>6.0499999999999996E-4</v>
      </c>
      <c r="BF67" s="111">
        <f t="shared" si="174"/>
        <v>6.4725091166358705E-8</v>
      </c>
      <c r="BG67" s="111" t="str">
        <f t="shared" si="174"/>
        <v>.</v>
      </c>
      <c r="BH67" s="111">
        <f t="shared" si="174"/>
        <v>6.0663349999999987</v>
      </c>
      <c r="BI67" s="111">
        <f t="shared" si="174"/>
        <v>0.30249999999999999</v>
      </c>
      <c r="BJ67" s="111">
        <f t="shared" si="174"/>
        <v>0.30249999999999999</v>
      </c>
      <c r="BK67" s="111">
        <f t="shared" si="174"/>
        <v>1077.65625</v>
      </c>
      <c r="BL67" s="111">
        <f t="shared" si="174"/>
        <v>1046.2682038834951</v>
      </c>
      <c r="BM67" s="111">
        <f t="shared" si="174"/>
        <v>1077.65625</v>
      </c>
      <c r="BN67" s="111">
        <f t="shared" si="174"/>
        <v>1077.65625</v>
      </c>
      <c r="BO67" s="111">
        <f t="shared" si="174"/>
        <v>1077.65625</v>
      </c>
      <c r="BP67" s="111">
        <f t="shared" si="174"/>
        <v>1077.65625</v>
      </c>
      <c r="BQ67" s="111">
        <f t="shared" si="174"/>
        <v>1046.2682038834951</v>
      </c>
      <c r="BR67" s="111">
        <f t="shared" si="174"/>
        <v>1077.65625</v>
      </c>
      <c r="BS67" s="111">
        <f t="shared" si="174"/>
        <v>1046.2682038834951</v>
      </c>
      <c r="BT67" s="60">
        <f>IFERROR(BT5/$B53,".")</f>
        <v>1.0404296335787807E-4</v>
      </c>
      <c r="BU67" s="189">
        <f>IFERROR(BU5/$B53,0)</f>
        <v>3.1753912416824387E-13</v>
      </c>
      <c r="BV67" s="49">
        <f>IF(AP67=".",".",up_RadSpec!$E$5*BV5*$B$67)</f>
        <v>1.5125000000000001E-2</v>
      </c>
      <c r="BW67" s="49">
        <f>IF(AQ67=".",".",up_RadSpec!$H$5*BW5*$B$67)</f>
        <v>1.6181272791589677E-6</v>
      </c>
      <c r="BX67" s="49" t="str">
        <f>IF(AR67=".",".",up_RadSpec!$G$5*BX5*$B$67)</f>
        <v>.</v>
      </c>
      <c r="BY67" s="49">
        <f>up_b2s!CC67</f>
        <v>151.65837500000001</v>
      </c>
      <c r="BZ67" s="49">
        <f>IF(AT67=".",".",up_RadSpec!$F$5*BZ5*$B$67)</f>
        <v>7.5625</v>
      </c>
      <c r="CA67" s="49">
        <f>IF(AU67=".",".",up_RadSpec!$F$5*CA5*$B$67)</f>
        <v>7.5625</v>
      </c>
      <c r="CB67" s="49">
        <f>IF(AV67=".",".",up_RadSpec!$F$5*CB5*$B$67)</f>
        <v>26941.40625</v>
      </c>
      <c r="CC67" s="49">
        <f>IF(AW67=".",".",up_RadSpec!$F$5*CC5*$B$67)</f>
        <v>26156.705097087382</v>
      </c>
      <c r="CD67" s="49">
        <f>IF(AX67=".",".",up_RadSpec!$F$5*CD5*$B$67)</f>
        <v>26941.40625</v>
      </c>
      <c r="CE67" s="49">
        <f>IF(AY67=".",".",up_RadSpec!$F$5*CE5*$B$67)</f>
        <v>26941.40625</v>
      </c>
      <c r="CF67" s="49">
        <f>IF(AZ67=".",".",up_RadSpec!$F$5*CF5*$B$67)</f>
        <v>26941.40625</v>
      </c>
      <c r="CG67" s="49">
        <f>IF(BA67=".",".",up_RadSpec!$F$5*CG5*$B$67)</f>
        <v>26941.40625</v>
      </c>
      <c r="CH67" s="49">
        <f>IF(BB67=".",".",up_RadSpec!$F$5*CH5*$B$67)</f>
        <v>26156.705097087382</v>
      </c>
      <c r="CI67" s="49">
        <f>IF(BC67=".",".",up_RadSpec!$F$5*CI5*$B$67)</f>
        <v>26941.40625</v>
      </c>
      <c r="CJ67" s="49">
        <f>IF(BD67=".",".",up_RadSpec!$F$5*CJ5*$B$67)</f>
        <v>26156.705097087382</v>
      </c>
      <c r="CK67" s="49">
        <f t="shared" si="238"/>
        <v>240285.35129288025</v>
      </c>
      <c r="CL67" s="60">
        <f>IFERROR(CL5/$B53,".")</f>
        <v>18.18181818181818</v>
      </c>
      <c r="CM67" s="60">
        <f>IFERROR(CM5,".")</f>
        <v>137.32464063589893</v>
      </c>
      <c r="CN67" s="60">
        <f t="shared" ref="CN67:CZ67" si="255">IFERROR(CN5/$B53,".")</f>
        <v>199090.90909090909</v>
      </c>
      <c r="CO67" s="60">
        <f t="shared" si="255"/>
        <v>0.8221706393019016</v>
      </c>
      <c r="CP67" s="60">
        <f t="shared" si="255"/>
        <v>661.15702479338847</v>
      </c>
      <c r="CQ67" s="60">
        <f t="shared" si="255"/>
        <v>661.15702479338847</v>
      </c>
      <c r="CR67" s="60">
        <f t="shared" si="255"/>
        <v>132.23140495867767</v>
      </c>
      <c r="CS67" s="60">
        <f t="shared" si="255"/>
        <v>136.198347107438</v>
      </c>
      <c r="CT67" s="60">
        <f t="shared" si="255"/>
        <v>132.23140495867767</v>
      </c>
      <c r="CU67" s="60">
        <f t="shared" si="255"/>
        <v>132.23140495867767</v>
      </c>
      <c r="CV67" s="60">
        <f t="shared" si="255"/>
        <v>132.23140495867767</v>
      </c>
      <c r="CW67" s="60">
        <f t="shared" si="255"/>
        <v>132.23140495867767</v>
      </c>
      <c r="CX67" s="60">
        <f t="shared" si="255"/>
        <v>136.198347107438</v>
      </c>
      <c r="CY67" s="60">
        <f t="shared" si="255"/>
        <v>132.23140495867767</v>
      </c>
      <c r="CZ67" s="60">
        <f t="shared" si="255"/>
        <v>136.198347107438</v>
      </c>
      <c r="DA67" s="111">
        <f t="shared" si="76"/>
        <v>5.5000000000000007E-2</v>
      </c>
      <c r="DB67" s="111">
        <f t="shared" si="76"/>
        <v>7.2820143229166655E-3</v>
      </c>
      <c r="DC67" s="111">
        <f t="shared" si="76"/>
        <v>5.0228310502283103E-6</v>
      </c>
      <c r="DD67" s="111">
        <f t="shared" si="76"/>
        <v>1.2162925215245972</v>
      </c>
      <c r="DE67" s="111">
        <f t="shared" si="181"/>
        <v>1.5125E-3</v>
      </c>
      <c r="DF67" s="111">
        <f t="shared" si="181"/>
        <v>1.5125E-3</v>
      </c>
      <c r="DG67" s="111">
        <f t="shared" si="181"/>
        <v>7.5625000000000006E-3</v>
      </c>
      <c r="DH67" s="111">
        <f t="shared" si="181"/>
        <v>7.3422330097087391E-3</v>
      </c>
      <c r="DI67" s="111">
        <f t="shared" si="181"/>
        <v>7.5625000000000006E-3</v>
      </c>
      <c r="DJ67" s="111">
        <f t="shared" si="181"/>
        <v>7.5625000000000006E-3</v>
      </c>
      <c r="DK67" s="111">
        <f t="shared" si="181"/>
        <v>7.5625000000000006E-3</v>
      </c>
      <c r="DL67" s="111">
        <f t="shared" si="181"/>
        <v>7.5625000000000006E-3</v>
      </c>
      <c r="DM67" s="111">
        <f t="shared" si="181"/>
        <v>7.3422330097087391E-3</v>
      </c>
      <c r="DN67" s="111">
        <f t="shared" si="181"/>
        <v>7.5625000000000006E-3</v>
      </c>
      <c r="DO67" s="111">
        <f t="shared" si="181"/>
        <v>7.3422330097087391E-3</v>
      </c>
      <c r="DP67" s="60">
        <f>IFERROR(DP5/$B53,".")</f>
        <v>0.745308821436658</v>
      </c>
      <c r="DQ67" s="189">
        <f t="shared" ref="DQ67" si="256">IFERROR(DQ5/$B53,0)</f>
        <v>2.2746825230246802E-12</v>
      </c>
      <c r="DR67" s="49">
        <f>IF(CL67=".",".",up_RadSpec!$I$5*DR5*$B$67)</f>
        <v>1.375</v>
      </c>
      <c r="DS67" s="49">
        <f>IF(CM67=".",".",up_RadSpec!$H$5*DS5)</f>
        <v>0.18205035807291664</v>
      </c>
      <c r="DT67" s="49">
        <f>IF(CN67=".",".",up_RadSpec!$M$5*DT5*$B$67)</f>
        <v>1.2557077625570778E-4</v>
      </c>
      <c r="DU67" s="49">
        <f>up_b2w!CC67</f>
        <v>30.407313038114939</v>
      </c>
      <c r="DV67" s="49">
        <f>IF(CP67=".",".",up_RadSpec!$F$5*DV5*$B$67)</f>
        <v>3.7812499999999999E-2</v>
      </c>
      <c r="DW67" s="49">
        <f>IF(CQ67=".",".",up_RadSpec!$F$5*DW5*$B$67)</f>
        <v>3.7812499999999999E-2</v>
      </c>
      <c r="DX67" s="49">
        <f>IF(CR67=".",".",up_RadSpec!$F$5*DX5*$B$67)</f>
        <v>0.18906250000000002</v>
      </c>
      <c r="DY67" s="49">
        <f>IF(CS67=".",".",up_RadSpec!$F$5*DY5*$B$67)</f>
        <v>0.18355582524271846</v>
      </c>
      <c r="DZ67" s="49">
        <f>IF(CT67=".",".",up_RadSpec!$F$5*DZ5*$B$67)</f>
        <v>0.18906250000000002</v>
      </c>
      <c r="EA67" s="49">
        <f>IF(CU67=".",".",up_RadSpec!$F$5*EA5*$B$67)</f>
        <v>0.18906250000000002</v>
      </c>
      <c r="EB67" s="49">
        <f>IF(CV67=".",".",up_RadSpec!$F$5*EB5*$B$67)</f>
        <v>0.18906250000000002</v>
      </c>
      <c r="EC67" s="49">
        <f>IF(CW67=".",".",up_RadSpec!$F$5*EC5*$B$67)</f>
        <v>0.18906250000000002</v>
      </c>
      <c r="ED67" s="49">
        <f>IF(CX67=".",".",up_RadSpec!$F$5*ED5*$B$67)</f>
        <v>0.18355582524271846</v>
      </c>
      <c r="EE67" s="49">
        <f>IF(CY67=".",".",up_RadSpec!$F$5*EE5*$B$67)</f>
        <v>0.18906250000000002</v>
      </c>
      <c r="EF67" s="49">
        <f>IF(CZ67=".",".",up_RadSpec!$F$5*EF5*$B$67)</f>
        <v>0.18355582524271846</v>
      </c>
      <c r="EG67" s="49">
        <f t="shared" si="241"/>
        <v>33.725156442692267</v>
      </c>
      <c r="EH67" s="60">
        <f>IFERROR(EH5/$B53,".")</f>
        <v>49.870129870129873</v>
      </c>
      <c r="EI67" s="60">
        <f>IFERROR(EI5/$B53,".")</f>
        <v>318545.45454545453</v>
      </c>
      <c r="EJ67" s="60">
        <f>IFERROR(EJ5/$B53,".")</f>
        <v>49.862323635509838</v>
      </c>
      <c r="EK67" s="189">
        <f t="shared" ref="EK67" si="257">IFERROR(EK5/$B53,0)</f>
        <v>1.5217981173557603E-10</v>
      </c>
      <c r="EL67" s="49">
        <f>IF(EH67=".",".",up_RadSpec!$H$5*EL5*$B$67)</f>
        <v>0.50130208333333326</v>
      </c>
      <c r="EM67" s="49">
        <f>IF(EI67=".",".",up_RadSpec!$K$5*EM5*$B$67)</f>
        <v>7.8481735159817364E-5</v>
      </c>
      <c r="EN67" s="49">
        <f t="shared" si="60"/>
        <v>0.50138056506849304</v>
      </c>
    </row>
    <row r="68" spans="1:144" x14ac:dyDescent="0.25">
      <c r="A68" s="77" t="s">
        <v>1075</v>
      </c>
      <c r="B68" s="42">
        <v>0.99999979999999999</v>
      </c>
      <c r="C68" s="170"/>
      <c r="D68" s="60">
        <f t="shared" ref="D68:O68" si="258">IFERROR(D9/$B54,".")</f>
        <v>1.6528928925620498E-4</v>
      </c>
      <c r="E68" s="60">
        <f t="shared" si="258"/>
        <v>6.611571570248199E-4</v>
      </c>
      <c r="F68" s="60">
        <f t="shared" si="258"/>
        <v>6.611571570248199E-4</v>
      </c>
      <c r="G68" s="60">
        <f t="shared" si="258"/>
        <v>6.611571570248199E-4</v>
      </c>
      <c r="H68" s="60">
        <f t="shared" si="258"/>
        <v>6.611571570248199E-4</v>
      </c>
      <c r="I68" s="60">
        <f t="shared" si="258"/>
        <v>6.611571570248199E-4</v>
      </c>
      <c r="J68" s="60">
        <f t="shared" si="258"/>
        <v>6.611571570248199E-4</v>
      </c>
      <c r="K68" s="60">
        <f t="shared" si="258"/>
        <v>6.611571570248199E-4</v>
      </c>
      <c r="L68" s="60">
        <f t="shared" si="258"/>
        <v>6.611571570248199E-4</v>
      </c>
      <c r="M68" s="60">
        <f t="shared" si="258"/>
        <v>6.611571570248199E-4</v>
      </c>
      <c r="N68" s="60">
        <f t="shared" si="258"/>
        <v>6.611571570248199E-4</v>
      </c>
      <c r="O68" s="60">
        <f t="shared" si="258"/>
        <v>6.611571570248199E-4</v>
      </c>
      <c r="P68" s="111">
        <f t="shared" si="236"/>
        <v>1512.4996974999999</v>
      </c>
      <c r="Q68" s="111">
        <f t="shared" si="236"/>
        <v>1512.4996974999999</v>
      </c>
      <c r="R68" s="111">
        <f t="shared" si="236"/>
        <v>1512.4996974999999</v>
      </c>
      <c r="S68" s="111">
        <f t="shared" si="236"/>
        <v>1512.4996974999999</v>
      </c>
      <c r="T68" s="111">
        <f t="shared" si="236"/>
        <v>1512.4996974999999</v>
      </c>
      <c r="U68" s="111">
        <f t="shared" si="236"/>
        <v>1512.4996974999999</v>
      </c>
      <c r="V68" s="111">
        <f t="shared" si="236"/>
        <v>1512.4996974999999</v>
      </c>
      <c r="W68" s="111">
        <f t="shared" si="236"/>
        <v>1512.4996974999999</v>
      </c>
      <c r="X68" s="111">
        <f t="shared" si="26"/>
        <v>1512.4996974999999</v>
      </c>
      <c r="Y68" s="111">
        <f t="shared" si="26"/>
        <v>1512.4996974999999</v>
      </c>
      <c r="Z68" s="111">
        <f t="shared" si="26"/>
        <v>1512.4996974999999</v>
      </c>
      <c r="AA68" s="111">
        <f t="shared" si="26"/>
        <v>1512.4996974999999</v>
      </c>
      <c r="AB68" s="60">
        <f>IFERROR(AB9/$B54,".")</f>
        <v>5.5096429752068319E-5</v>
      </c>
      <c r="AC68" s="189">
        <f>IFERROR(AC9/$B54,0)</f>
        <v>1.6506890353719673E-13</v>
      </c>
      <c r="AD68" s="49">
        <f>up_dir!BC68</f>
        <v>151249.96974999999</v>
      </c>
      <c r="AE68" s="49">
        <f>IF(E68=".",".",up_RadSpec!$F$9*AE9*$B$68)</f>
        <v>37812.492437499997</v>
      </c>
      <c r="AF68" s="49">
        <f>IF(F68=".",".",up_RadSpec!$F$9*AF9*$B$68)</f>
        <v>37812.492437499997</v>
      </c>
      <c r="AG68" s="49">
        <f>IF(G68=".",".",up_RadSpec!$F$9*AG9*$B$68)</f>
        <v>37812.492437499997</v>
      </c>
      <c r="AH68" s="49">
        <f>IF(H68=".",".",up_RadSpec!$F$9*AH9*$B$68)</f>
        <v>37812.492437499997</v>
      </c>
      <c r="AI68" s="49">
        <f>IF(I68=".",".",up_RadSpec!$F$9*AI9*$B$68)</f>
        <v>37812.492437499997</v>
      </c>
      <c r="AJ68" s="49">
        <f>IF(J68=".",".",up_RadSpec!$F$9*AJ9*$B$68)</f>
        <v>37812.492437499997</v>
      </c>
      <c r="AK68" s="49">
        <f>IF(K68=".",".",up_RadSpec!$F$9*AK9*$B$68)</f>
        <v>37812.492437499997</v>
      </c>
      <c r="AL68" s="49">
        <f>IF(L68=".",".",up_RadSpec!$F$9*AL9*$B$68)</f>
        <v>37812.492437499997</v>
      </c>
      <c r="AM68" s="49">
        <f>IF(M68=".",".",up_RadSpec!$F$9*AM9*$B$68)</f>
        <v>37812.492437499997</v>
      </c>
      <c r="AN68" s="49">
        <f>IF(N68=".",".",up_RadSpec!$F$9*AN9*$B$68)</f>
        <v>37812.492437499997</v>
      </c>
      <c r="AO68" s="49">
        <f>IF(O68=".",".",up_RadSpec!$F$9*AO9*$B$68)</f>
        <v>37812.492437499997</v>
      </c>
      <c r="AP68" s="60">
        <f t="shared" ref="AP68:BD68" si="259">IFERROR(AP9/$B54,".")</f>
        <v>0.3305785785124099</v>
      </c>
      <c r="AQ68" s="60">
        <f t="shared" si="259"/>
        <v>3089.9924031927726</v>
      </c>
      <c r="AR68" s="60">
        <f t="shared" si="259"/>
        <v>108.34244377237872</v>
      </c>
      <c r="AS68" s="60">
        <f t="shared" si="259"/>
        <v>3.296884197790067E-5</v>
      </c>
      <c r="AT68" s="60">
        <f t="shared" si="259"/>
        <v>6.611571570248199E-4</v>
      </c>
      <c r="AU68" s="60">
        <f t="shared" si="259"/>
        <v>6.611571570248199E-4</v>
      </c>
      <c r="AV68" s="60">
        <f t="shared" si="259"/>
        <v>1.8558797390170383E-7</v>
      </c>
      <c r="AW68" s="60">
        <f t="shared" si="259"/>
        <v>1.9115561311875494E-7</v>
      </c>
      <c r="AX68" s="60">
        <f t="shared" si="259"/>
        <v>1.8558797390170383E-7</v>
      </c>
      <c r="AY68" s="60">
        <f t="shared" si="259"/>
        <v>1.8558797390170383E-7</v>
      </c>
      <c r="AZ68" s="60">
        <f t="shared" si="259"/>
        <v>1.8558797390170383E-7</v>
      </c>
      <c r="BA68" s="60">
        <f t="shared" si="259"/>
        <v>1.8558797390170383E-7</v>
      </c>
      <c r="BB68" s="60">
        <f t="shared" si="259"/>
        <v>1.9115561311875494E-7</v>
      </c>
      <c r="BC68" s="60">
        <f t="shared" si="259"/>
        <v>1.8558797390170383E-7</v>
      </c>
      <c r="BD68" s="60">
        <f t="shared" si="259"/>
        <v>1.9115561311875494E-7</v>
      </c>
      <c r="BE68" s="111">
        <f t="shared" si="174"/>
        <v>3.024999395</v>
      </c>
      <c r="BF68" s="111">
        <f t="shared" si="174"/>
        <v>3.2362539110670233E-4</v>
      </c>
      <c r="BG68" s="111">
        <f t="shared" si="174"/>
        <v>9.2299930219493925E-3</v>
      </c>
      <c r="BH68" s="111">
        <f t="shared" si="174"/>
        <v>30331.668933664991</v>
      </c>
      <c r="BI68" s="111">
        <f t="shared" si="174"/>
        <v>1512.4996974999999</v>
      </c>
      <c r="BJ68" s="111">
        <f t="shared" si="174"/>
        <v>1512.4996974999999</v>
      </c>
      <c r="BK68" s="111">
        <f t="shared" si="174"/>
        <v>5388280.1723437496</v>
      </c>
      <c r="BL68" s="111">
        <f t="shared" si="174"/>
        <v>5231339.9731492717</v>
      </c>
      <c r="BM68" s="111">
        <f t="shared" si="174"/>
        <v>5388280.1723437496</v>
      </c>
      <c r="BN68" s="111">
        <f t="shared" si="174"/>
        <v>5388280.1723437496</v>
      </c>
      <c r="BO68" s="111">
        <f t="shared" si="174"/>
        <v>5388280.1723437496</v>
      </c>
      <c r="BP68" s="111">
        <f t="shared" si="174"/>
        <v>5388280.1723437496</v>
      </c>
      <c r="BQ68" s="111">
        <f t="shared" si="174"/>
        <v>5231339.9731492717</v>
      </c>
      <c r="BR68" s="111">
        <f t="shared" si="174"/>
        <v>5388280.1723437496</v>
      </c>
      <c r="BS68" s="111">
        <f t="shared" si="174"/>
        <v>5231339.9731492717</v>
      </c>
      <c r="BT68" s="60">
        <f>IFERROR(BT9/$B54,".")</f>
        <v>2.0808596829298411E-8</v>
      </c>
      <c r="BU68" s="189">
        <f>IFERROR(BU9/$B54,0)</f>
        <v>6.2342556100578049E-17</v>
      </c>
      <c r="BV68" s="49">
        <f>IF(AP68=".",".",up_RadSpec!$E$9*BV9*$B$68)</f>
        <v>75.624984874999996</v>
      </c>
      <c r="BW68" s="49">
        <f>IF(AQ68=".",".",up_RadSpec!$H$9*BW9*$B$68)</f>
        <v>8.0906347776675581E-3</v>
      </c>
      <c r="BX68" s="49">
        <f>IF(AR68=".",".",up_RadSpec!$G$9*BX9*$B$68)</f>
        <v>0.23074982554873483</v>
      </c>
      <c r="BY68" s="49">
        <f>up_b2s!CC68</f>
        <v>758291.72334162507</v>
      </c>
      <c r="BZ68" s="49">
        <f>IF(AT68=".",".",up_RadSpec!$F$9*BZ9*$B$68)</f>
        <v>37812.492437499997</v>
      </c>
      <c r="CA68" s="49">
        <f>IF(AU68=".",".",up_RadSpec!$F$9*CA9*$B$68)</f>
        <v>37812.492437499997</v>
      </c>
      <c r="CB68" s="49">
        <f>IF(AV68=".",".",up_RadSpec!$F$9*CB9*$B$68)</f>
        <v>134707004.30859375</v>
      </c>
      <c r="CC68" s="49">
        <f>IF(AW68=".",".",up_RadSpec!$F$9*CC9*$B$68)</f>
        <v>130783499.32873181</v>
      </c>
      <c r="CD68" s="49">
        <f>IF(AX68=".",".",up_RadSpec!$F$9*CD9*$B$68)</f>
        <v>134707004.30859375</v>
      </c>
      <c r="CE68" s="49">
        <f>IF(AY68=".",".",up_RadSpec!$F$9*CE9*$B$68)</f>
        <v>134707004.30859375</v>
      </c>
      <c r="CF68" s="49">
        <f>IF(AZ68=".",".",up_RadSpec!$F$9*CF9*$B$68)</f>
        <v>134707004.30859375</v>
      </c>
      <c r="CG68" s="49">
        <f>IF(BA68=".",".",up_RadSpec!$F$9*CG9*$B$68)</f>
        <v>134707004.30859375</v>
      </c>
      <c r="CH68" s="49">
        <f>IF(BB68=".",".",up_RadSpec!$F$9*CH9*$B$68)</f>
        <v>130783499.32873181</v>
      </c>
      <c r="CI68" s="49">
        <f>IF(BC68=".",".",up_RadSpec!$F$9*CI9*$B$68)</f>
        <v>134707004.30859375</v>
      </c>
      <c r="CJ68" s="49">
        <f>IF(BD68=".",".",up_RadSpec!$F$9*CJ9*$B$68)</f>
        <v>130783499.32873181</v>
      </c>
      <c r="CK68" s="49">
        <f t="shared" si="238"/>
        <v>1201426516.4097998</v>
      </c>
      <c r="CL68" s="60">
        <f>IFERROR(CL9/$B54,".")</f>
        <v>3.6363643636365089E-3</v>
      </c>
      <c r="CM68" s="60">
        <f>IFERROR(CM9,".")</f>
        <v>0.39187352811929721</v>
      </c>
      <c r="CN68" s="60">
        <f t="shared" ref="CN68:CZ68" si="260">IFERROR(CN9/$B54,".")</f>
        <v>39.818189781819775</v>
      </c>
      <c r="CO68" s="60">
        <f t="shared" si="260"/>
        <v>1.6443416074721248E-4</v>
      </c>
      <c r="CP68" s="60">
        <f t="shared" si="260"/>
        <v>0.13223143140496396</v>
      </c>
      <c r="CQ68" s="60">
        <f t="shared" si="260"/>
        <v>0.13223143140496396</v>
      </c>
      <c r="CR68" s="60">
        <f t="shared" si="260"/>
        <v>2.6446286280992794E-2</v>
      </c>
      <c r="CS68" s="60">
        <f t="shared" si="260"/>
        <v>2.7239674869422578E-2</v>
      </c>
      <c r="CT68" s="60">
        <f t="shared" si="260"/>
        <v>2.6446286280992794E-2</v>
      </c>
      <c r="CU68" s="60">
        <f t="shared" si="260"/>
        <v>2.6446286280992794E-2</v>
      </c>
      <c r="CV68" s="60">
        <f t="shared" si="260"/>
        <v>2.6446286280992794E-2</v>
      </c>
      <c r="CW68" s="60">
        <f t="shared" si="260"/>
        <v>2.6446286280992794E-2</v>
      </c>
      <c r="CX68" s="60">
        <f t="shared" si="260"/>
        <v>2.7239674869422578E-2</v>
      </c>
      <c r="CY68" s="60">
        <f t="shared" si="260"/>
        <v>2.6446286280992794E-2</v>
      </c>
      <c r="CZ68" s="60">
        <f t="shared" si="260"/>
        <v>2.7239674869422578E-2</v>
      </c>
      <c r="DA68" s="111">
        <f t="shared" si="76"/>
        <v>274.99994500000003</v>
      </c>
      <c r="DB68" s="111">
        <f t="shared" si="76"/>
        <v>2.5518437154947913</v>
      </c>
      <c r="DC68" s="111">
        <f t="shared" si="76"/>
        <v>2.5114150228310501E-2</v>
      </c>
      <c r="DD68" s="111">
        <f t="shared" si="76"/>
        <v>6081.4613913304647</v>
      </c>
      <c r="DE68" s="111">
        <f t="shared" si="181"/>
        <v>7.5624984875000001</v>
      </c>
      <c r="DF68" s="111">
        <f t="shared" si="181"/>
        <v>7.5624984875000001</v>
      </c>
      <c r="DG68" s="111">
        <f t="shared" si="181"/>
        <v>37.812492437499998</v>
      </c>
      <c r="DH68" s="111">
        <f t="shared" si="181"/>
        <v>36.711157706310679</v>
      </c>
      <c r="DI68" s="111">
        <f t="shared" si="181"/>
        <v>37.812492437499998</v>
      </c>
      <c r="DJ68" s="111">
        <f t="shared" si="181"/>
        <v>37.812492437499998</v>
      </c>
      <c r="DK68" s="111">
        <f t="shared" si="181"/>
        <v>37.812492437499998</v>
      </c>
      <c r="DL68" s="111">
        <f t="shared" si="181"/>
        <v>37.812492437499998</v>
      </c>
      <c r="DM68" s="111">
        <f t="shared" si="181"/>
        <v>36.711157706310679</v>
      </c>
      <c r="DN68" s="111">
        <f t="shared" si="181"/>
        <v>37.812492437499998</v>
      </c>
      <c r="DO68" s="111">
        <f t="shared" si="181"/>
        <v>36.711157706310679</v>
      </c>
      <c r="DP68" s="60">
        <f>IFERROR(DP9/$B54,".")</f>
        <v>1.4900527686657084E-4</v>
      </c>
      <c r="DQ68" s="189">
        <f t="shared" ref="DQ68" si="261">IFERROR(DQ9/$B54,0)</f>
        <v>4.4641980949224623E-16</v>
      </c>
      <c r="DR68" s="49">
        <f>IF(CL68=".",".",up_RadSpec!$I$9*DR9*$B$68)</f>
        <v>6874.9986250000002</v>
      </c>
      <c r="DS68" s="49">
        <f>IF(CM68=".",".",up_RadSpec!$H$9*DS9)</f>
        <v>63.796092887369788</v>
      </c>
      <c r="DT68" s="49">
        <f>IF(CN68=".",".",up_RadSpec!$M$9*DT9*$B$68)</f>
        <v>0.62785375570776258</v>
      </c>
      <c r="DU68" s="49">
        <f>up_b2w!CC68</f>
        <v>152036.53478326162</v>
      </c>
      <c r="DV68" s="49">
        <f>IF(CP68=".",".",up_RadSpec!$F$9*DV9*$B$68)</f>
        <v>189.06246218749999</v>
      </c>
      <c r="DW68" s="49">
        <f>IF(CQ68=".",".",up_RadSpec!$F$9*DW9*$B$68)</f>
        <v>189.06246218749999</v>
      </c>
      <c r="DX68" s="49">
        <f>IF(CR68=".",".",up_RadSpec!$F$9*DX9*$B$68)</f>
        <v>945.3123109375</v>
      </c>
      <c r="DY68" s="49">
        <f>IF(CS68=".",".",up_RadSpec!$F$9*DY9*$B$68)</f>
        <v>917.77894265776695</v>
      </c>
      <c r="DZ68" s="49">
        <f>IF(CT68=".",".",up_RadSpec!$F$9*DZ9*$B$68)</f>
        <v>945.3123109375</v>
      </c>
      <c r="EA68" s="49">
        <f>IF(CU68=".",".",up_RadSpec!$F$9*EA9*$B$68)</f>
        <v>945.3123109375</v>
      </c>
      <c r="EB68" s="49">
        <f>IF(CV68=".",".",up_RadSpec!$F$9*EB9*$B$68)</f>
        <v>945.3123109375</v>
      </c>
      <c r="EC68" s="49">
        <f>IF(CW68=".",".",up_RadSpec!$F$9*EC9*$B$68)</f>
        <v>945.3123109375</v>
      </c>
      <c r="ED68" s="49">
        <f>IF(CX68=".",".",up_RadSpec!$F$9*ED9*$B$68)</f>
        <v>917.77894265776695</v>
      </c>
      <c r="EE68" s="49">
        <f>IF(CY68=".",".",up_RadSpec!$F$9*EE9*$B$68)</f>
        <v>945.3123109375</v>
      </c>
      <c r="EF68" s="49">
        <f>IF(CZ68=".",".",up_RadSpec!$F$9*EF9*$B$68)</f>
        <v>917.77894265776695</v>
      </c>
      <c r="EG68" s="49">
        <f t="shared" si="241"/>
        <v>167779.29297287803</v>
      </c>
      <c r="EH68" s="60">
        <f>IFERROR(EH9/$B54,".")</f>
        <v>9.9740279688315687E-3</v>
      </c>
      <c r="EI68" s="60">
        <f>IFERROR(EI9/$B54,".")</f>
        <v>63.709103650911644</v>
      </c>
      <c r="EJ68" s="60">
        <f>IFERROR(EJ9/$B54,".")</f>
        <v>9.9724667215953123E-3</v>
      </c>
      <c r="EK68" s="189">
        <f t="shared" ref="EK68" si="262">IFERROR(EK9/$B54,0)</f>
        <v>2.9877510297899558E-14</v>
      </c>
      <c r="EL68" s="49">
        <f>IF(EH68=".",".",up_RadSpec!$H$9*EL9*$B$68)</f>
        <v>2506.5099153645829</v>
      </c>
      <c r="EM68" s="49">
        <f>IF(EI68=".",".",up_RadSpec!$K$9*EM9*$B$68)</f>
        <v>0.39240859731735162</v>
      </c>
      <c r="EN68" s="49">
        <f t="shared" si="60"/>
        <v>2506.9023239619</v>
      </c>
    </row>
    <row r="69" spans="1:144" x14ac:dyDescent="0.25">
      <c r="A69" s="77" t="s">
        <v>1076</v>
      </c>
      <c r="B69" s="42">
        <v>1.9999999999999999E-7</v>
      </c>
      <c r="C69" s="170"/>
      <c r="D69" s="60">
        <f t="shared" ref="D69:O69" si="263">IFERROR(D24/$B55,".")</f>
        <v>826.44628099173565</v>
      </c>
      <c r="E69" s="60">
        <f t="shared" si="263"/>
        <v>3305.7851239669426</v>
      </c>
      <c r="F69" s="60">
        <f t="shared" si="263"/>
        <v>3305.7851239669426</v>
      </c>
      <c r="G69" s="60">
        <f t="shared" si="263"/>
        <v>3305.7851239669426</v>
      </c>
      <c r="H69" s="60">
        <f t="shared" si="263"/>
        <v>3305.7851239669426</v>
      </c>
      <c r="I69" s="60">
        <f t="shared" si="263"/>
        <v>3305.7851239669426</v>
      </c>
      <c r="J69" s="60">
        <f t="shared" si="263"/>
        <v>3305.7851239669426</v>
      </c>
      <c r="K69" s="60">
        <f t="shared" si="263"/>
        <v>3305.7851239669426</v>
      </c>
      <c r="L69" s="60">
        <f t="shared" si="263"/>
        <v>3305.7851239669426</v>
      </c>
      <c r="M69" s="60">
        <f t="shared" si="263"/>
        <v>3305.7851239669426</v>
      </c>
      <c r="N69" s="60">
        <f t="shared" si="263"/>
        <v>3305.7851239669426</v>
      </c>
      <c r="O69" s="60">
        <f t="shared" si="263"/>
        <v>3305.7851239669426</v>
      </c>
      <c r="P69" s="111">
        <f t="shared" si="236"/>
        <v>3.0249999999999998E-4</v>
      </c>
      <c r="Q69" s="111">
        <f t="shared" si="236"/>
        <v>3.0249999999999998E-4</v>
      </c>
      <c r="R69" s="111">
        <f t="shared" si="236"/>
        <v>3.0249999999999998E-4</v>
      </c>
      <c r="S69" s="111">
        <f t="shared" si="236"/>
        <v>3.0249999999999998E-4</v>
      </c>
      <c r="T69" s="111">
        <f t="shared" si="236"/>
        <v>3.0249999999999998E-4</v>
      </c>
      <c r="U69" s="111">
        <f t="shared" si="236"/>
        <v>3.0249999999999998E-4</v>
      </c>
      <c r="V69" s="111">
        <f t="shared" si="236"/>
        <v>3.0249999999999998E-4</v>
      </c>
      <c r="W69" s="111">
        <f t="shared" si="236"/>
        <v>3.0249999999999998E-4</v>
      </c>
      <c r="X69" s="111">
        <f t="shared" si="26"/>
        <v>3.0249999999999998E-4</v>
      </c>
      <c r="Y69" s="111">
        <f t="shared" si="26"/>
        <v>3.0249999999999998E-4</v>
      </c>
      <c r="Z69" s="111">
        <f t="shared" si="26"/>
        <v>3.0249999999999998E-4</v>
      </c>
      <c r="AA69" s="111">
        <f t="shared" si="26"/>
        <v>3.0249999999999998E-4</v>
      </c>
      <c r="AB69" s="60">
        <f>IFERROR(AB24/$B55,".")</f>
        <v>275.48209366391188</v>
      </c>
      <c r="AC69" s="189">
        <f>IFERROR(AC24/$B55,0)</f>
        <v>8.4077134986225911E-7</v>
      </c>
      <c r="AD69" s="49">
        <f>up_dir!BC69</f>
        <v>3.0249999999999999E-2</v>
      </c>
      <c r="AE69" s="49">
        <f>IF(E69=".",".",up_RadSpec!$F$24*AE24*$B$69)</f>
        <v>7.5624999999999998E-3</v>
      </c>
      <c r="AF69" s="49">
        <f>IF(F69=".",".",up_RadSpec!$F$24*AF24*$B$69)</f>
        <v>7.5624999999999998E-3</v>
      </c>
      <c r="AG69" s="49">
        <f>IF(G69=".",".",up_RadSpec!$F$24*AG24*$B$69)</f>
        <v>7.5624999999999998E-3</v>
      </c>
      <c r="AH69" s="49">
        <f>IF(H69=".",".",up_RadSpec!$F$24*AH24*$B$69)</f>
        <v>7.5624999999999998E-3</v>
      </c>
      <c r="AI69" s="49">
        <f>IF(I69=".",".",up_RadSpec!$F$24*AI24*$B$69)</f>
        <v>7.5624999999999998E-3</v>
      </c>
      <c r="AJ69" s="49">
        <f>IF(J69=".",".",up_RadSpec!$F$24*AJ24*$B$69)</f>
        <v>7.5624999999999998E-3</v>
      </c>
      <c r="AK69" s="49">
        <f>IF(K69=".",".",up_RadSpec!$F$24*AK24*$B$69)</f>
        <v>7.5624999999999998E-3</v>
      </c>
      <c r="AL69" s="49">
        <f>IF(L69=".",".",up_RadSpec!$F$24*AL24*$B$69)</f>
        <v>7.5624999999999998E-3</v>
      </c>
      <c r="AM69" s="49">
        <f>IF(M69=".",".",up_RadSpec!$F$24*AM24*$B$69)</f>
        <v>7.5624999999999998E-3</v>
      </c>
      <c r="AN69" s="49">
        <f>IF(N69=".",".",up_RadSpec!$F$24*AN24*$B$69)</f>
        <v>7.5624999999999998E-3</v>
      </c>
      <c r="AO69" s="49">
        <f>IF(O69=".",".",up_RadSpec!$F$24*AO24*$B$69)</f>
        <v>7.5624999999999998E-3</v>
      </c>
      <c r="AP69" s="60">
        <f t="shared" ref="AP69:BD69" si="264">IFERROR(AP24/$B55,".")</f>
        <v>1652892.5619834713</v>
      </c>
      <c r="AQ69" s="60">
        <f t="shared" si="264"/>
        <v>15449958925.97146</v>
      </c>
      <c r="AR69" s="60">
        <f t="shared" si="264"/>
        <v>955986714.07459486</v>
      </c>
      <c r="AS69" s="60">
        <f t="shared" si="264"/>
        <v>164.84417692066137</v>
      </c>
      <c r="AT69" s="60">
        <f t="shared" si="264"/>
        <v>3305.7851239669426</v>
      </c>
      <c r="AU69" s="60">
        <f t="shared" si="264"/>
        <v>3305.7851239669426</v>
      </c>
      <c r="AV69" s="60">
        <f t="shared" si="264"/>
        <v>0.92793968392054527</v>
      </c>
      <c r="AW69" s="60">
        <f t="shared" si="264"/>
        <v>0.95577787443816153</v>
      </c>
      <c r="AX69" s="60">
        <f t="shared" si="264"/>
        <v>0.92793968392054527</v>
      </c>
      <c r="AY69" s="60">
        <f t="shared" si="264"/>
        <v>0.92793968392054527</v>
      </c>
      <c r="AZ69" s="60">
        <f t="shared" si="264"/>
        <v>0.92793968392054527</v>
      </c>
      <c r="BA69" s="60">
        <f t="shared" si="264"/>
        <v>0.92793968392054527</v>
      </c>
      <c r="BB69" s="60">
        <f t="shared" si="264"/>
        <v>0.95577787443816153</v>
      </c>
      <c r="BC69" s="60">
        <f t="shared" si="264"/>
        <v>0.92793968392054527</v>
      </c>
      <c r="BD69" s="60">
        <f t="shared" si="264"/>
        <v>0.95577787443816153</v>
      </c>
      <c r="BE69" s="111">
        <f t="shared" si="174"/>
        <v>6.0499999999999992E-7</v>
      </c>
      <c r="BF69" s="111">
        <f t="shared" si="174"/>
        <v>6.4725091166358696E-11</v>
      </c>
      <c r="BG69" s="111">
        <f t="shared" si="174"/>
        <v>1.0460396418458708E-9</v>
      </c>
      <c r="BH69" s="111">
        <f t="shared" si="174"/>
        <v>6.0663349999999982E-3</v>
      </c>
      <c r="BI69" s="111">
        <f t="shared" si="174"/>
        <v>3.0249999999999998E-4</v>
      </c>
      <c r="BJ69" s="111">
        <f t="shared" si="174"/>
        <v>3.0249999999999998E-4</v>
      </c>
      <c r="BK69" s="111">
        <f t="shared" si="174"/>
        <v>1.07765625</v>
      </c>
      <c r="BL69" s="111">
        <f t="shared" si="174"/>
        <v>1.0462682038834952</v>
      </c>
      <c r="BM69" s="111">
        <f t="shared" si="174"/>
        <v>1.07765625</v>
      </c>
      <c r="BN69" s="111">
        <f t="shared" si="174"/>
        <v>1.07765625</v>
      </c>
      <c r="BO69" s="111">
        <f t="shared" si="174"/>
        <v>1.07765625</v>
      </c>
      <c r="BP69" s="111">
        <f t="shared" si="174"/>
        <v>1.07765625</v>
      </c>
      <c r="BQ69" s="111">
        <f t="shared" si="174"/>
        <v>1.0462682038834952</v>
      </c>
      <c r="BR69" s="111">
        <f t="shared" si="174"/>
        <v>1.07765625</v>
      </c>
      <c r="BS69" s="111">
        <f t="shared" si="174"/>
        <v>1.0462682038834952</v>
      </c>
      <c r="BT69" s="60">
        <f>IFERROR(BT24/$B55,".")</f>
        <v>0.10404296334655476</v>
      </c>
      <c r="BU69" s="189">
        <f>IFERROR(BU24/$B55,0)</f>
        <v>3.1753912413368511E-10</v>
      </c>
      <c r="BV69" s="49">
        <f>IF(AP69=".",".",up_RadSpec!$E$24*BV24*$B$69)</f>
        <v>1.5125E-5</v>
      </c>
      <c r="BW69" s="49">
        <f>IF(AQ69=".",".",up_RadSpec!$H$24*BW24*$B$69)</f>
        <v>1.6181272791589676E-9</v>
      </c>
      <c r="BX69" s="49">
        <f>IF(AR69=".",".",up_RadSpec!$G$24*BX24*$B$69)</f>
        <v>2.6150991046146769E-8</v>
      </c>
      <c r="BY69" s="49">
        <f>up_b2s!CC69</f>
        <v>0.15165837499999998</v>
      </c>
      <c r="BZ69" s="49">
        <f>IF(AT69=".",".",up_RadSpec!$F$24*BZ24*$B$69)</f>
        <v>7.5624999999999998E-3</v>
      </c>
      <c r="CA69" s="49">
        <f>IF(AU69=".",".",up_RadSpec!$F$24*CA24*$B$69)</f>
        <v>7.5624999999999998E-3</v>
      </c>
      <c r="CB69" s="49">
        <f>IF(AV69=".",".",up_RadSpec!$F$24*CB24*$B$69)</f>
        <v>26.94140625</v>
      </c>
      <c r="CC69" s="49">
        <f>IF(AW69=".",".",up_RadSpec!$F$24*CC24*$B$69)</f>
        <v>26.156705097087379</v>
      </c>
      <c r="CD69" s="49">
        <f>IF(AX69=".",".",up_RadSpec!$F$24*CD24*$B$69)</f>
        <v>26.94140625</v>
      </c>
      <c r="CE69" s="49">
        <f>IF(AY69=".",".",up_RadSpec!$F$24*CE24*$B$69)</f>
        <v>26.94140625</v>
      </c>
      <c r="CF69" s="49">
        <f>IF(AZ69=".",".",up_RadSpec!$F$24*CF24*$B$69)</f>
        <v>26.94140625</v>
      </c>
      <c r="CG69" s="49">
        <f>IF(BA69=".",".",up_RadSpec!$F$24*CG24*$B$69)</f>
        <v>26.94140625</v>
      </c>
      <c r="CH69" s="49">
        <f>IF(BB69=".",".",up_RadSpec!$F$24*CH24*$B$69)</f>
        <v>26.156705097087379</v>
      </c>
      <c r="CI69" s="49">
        <f>IF(BC69=".",".",up_RadSpec!$F$24*CI24*$B$69)</f>
        <v>26.94140625</v>
      </c>
      <c r="CJ69" s="49">
        <f>IF(BD69=".",".",up_RadSpec!$F$24*CJ24*$B$69)</f>
        <v>26.156705097087379</v>
      </c>
      <c r="CK69" s="49">
        <f t="shared" si="238"/>
        <v>240.28535131903126</v>
      </c>
      <c r="CL69" s="60">
        <f>IFERROR(CL24/$B55,".")</f>
        <v>18181.818181818184</v>
      </c>
      <c r="CM69" s="60">
        <f>IFERROR(CM24,".")</f>
        <v>137334.09486996356</v>
      </c>
      <c r="CN69" s="60">
        <f t="shared" ref="CN69:CZ69" si="265">IFERROR(CN24/$B55,".")</f>
        <v>199090909.09090912</v>
      </c>
      <c r="CO69" s="60">
        <f t="shared" si="265"/>
        <v>822.1706393019017</v>
      </c>
      <c r="CP69" s="60">
        <f t="shared" si="265"/>
        <v>661157.02479338844</v>
      </c>
      <c r="CQ69" s="60">
        <f t="shared" si="265"/>
        <v>661157.02479338844</v>
      </c>
      <c r="CR69" s="60">
        <f t="shared" si="265"/>
        <v>132231.40495867768</v>
      </c>
      <c r="CS69" s="60">
        <f t="shared" si="265"/>
        <v>136198.34710743802</v>
      </c>
      <c r="CT69" s="60">
        <f t="shared" si="265"/>
        <v>132231.40495867768</v>
      </c>
      <c r="CU69" s="60">
        <f t="shared" si="265"/>
        <v>132231.40495867768</v>
      </c>
      <c r="CV69" s="60">
        <f t="shared" si="265"/>
        <v>132231.40495867768</v>
      </c>
      <c r="CW69" s="60">
        <f t="shared" si="265"/>
        <v>132231.40495867768</v>
      </c>
      <c r="CX69" s="60">
        <f t="shared" si="265"/>
        <v>136198.34710743802</v>
      </c>
      <c r="CY69" s="60">
        <f t="shared" si="265"/>
        <v>132231.40495867768</v>
      </c>
      <c r="CZ69" s="60">
        <f t="shared" si="265"/>
        <v>136198.34710743802</v>
      </c>
      <c r="DA69" s="111">
        <f t="shared" si="76"/>
        <v>5.4999999999999995E-5</v>
      </c>
      <c r="DB69" s="111">
        <f t="shared" si="76"/>
        <v>7.2815130208333338E-6</v>
      </c>
      <c r="DC69" s="111">
        <f t="shared" si="76"/>
        <v>5.0228310502283097E-9</v>
      </c>
      <c r="DD69" s="111">
        <f t="shared" si="76"/>
        <v>1.2162925215245971E-3</v>
      </c>
      <c r="DE69" s="111">
        <f t="shared" si="181"/>
        <v>1.5124999999999999E-6</v>
      </c>
      <c r="DF69" s="111">
        <f t="shared" si="181"/>
        <v>1.5124999999999999E-6</v>
      </c>
      <c r="DG69" s="111">
        <f t="shared" si="181"/>
        <v>7.5625E-6</v>
      </c>
      <c r="DH69" s="111">
        <f t="shared" si="181"/>
        <v>7.3422330097087374E-6</v>
      </c>
      <c r="DI69" s="111">
        <f t="shared" si="181"/>
        <v>7.5625E-6</v>
      </c>
      <c r="DJ69" s="111">
        <f t="shared" si="181"/>
        <v>7.5625E-6</v>
      </c>
      <c r="DK69" s="111">
        <f t="shared" si="181"/>
        <v>7.5625E-6</v>
      </c>
      <c r="DL69" s="111">
        <f t="shared" si="181"/>
        <v>7.5625E-6</v>
      </c>
      <c r="DM69" s="111">
        <f t="shared" si="181"/>
        <v>7.3422330097087374E-6</v>
      </c>
      <c r="DN69" s="111">
        <f t="shared" si="181"/>
        <v>7.5625E-6</v>
      </c>
      <c r="DO69" s="111">
        <f t="shared" si="181"/>
        <v>7.3422330097087374E-6</v>
      </c>
      <c r="DP69" s="60">
        <f>IFERROR(DP24/$B55,".")</f>
        <v>745.3096296388735</v>
      </c>
      <c r="DQ69" s="189">
        <f t="shared" ref="DQ69" si="266">IFERROR(DQ24/$B55,0)</f>
        <v>2.2746849896578416E-9</v>
      </c>
      <c r="DR69" s="49">
        <f>IF(CL69=".",".",up_RadSpec!$I$24*DR24*$B$69)</f>
        <v>1.3749999999999999E-3</v>
      </c>
      <c r="DS69" s="49">
        <f>IF(CM69=".",".",up_RadSpec!$H$24*DS24)</f>
        <v>1.8203782552083332E-4</v>
      </c>
      <c r="DT69" s="49">
        <f>IF(CN69=".",".",up_RadSpec!$M$24*DT24*$B$69)</f>
        <v>1.2557077625570775E-7</v>
      </c>
      <c r="DU69" s="49">
        <f>up_b2w!CC69</f>
        <v>3.0407313038114933E-2</v>
      </c>
      <c r="DV69" s="49">
        <f>IF(CP69=".",".",up_RadSpec!$F$24*DV24*$B$69)</f>
        <v>3.7812499999999998E-5</v>
      </c>
      <c r="DW69" s="49">
        <f>IF(CQ69=".",".",up_RadSpec!$F$24*DW24*$B$69)</f>
        <v>3.7812499999999998E-5</v>
      </c>
      <c r="DX69" s="49">
        <f>IF(CR69=".",".",up_RadSpec!$F$24*DX24*$B$69)</f>
        <v>1.8906249999999999E-4</v>
      </c>
      <c r="DY69" s="49">
        <f>IF(CS69=".",".",up_RadSpec!$F$24*DY24*$B$69)</f>
        <v>1.8355582524271844E-4</v>
      </c>
      <c r="DZ69" s="49">
        <f>IF(CT69=".",".",up_RadSpec!$F$24*DZ24*$B$69)</f>
        <v>1.8906249999999999E-4</v>
      </c>
      <c r="EA69" s="49">
        <f>IF(CU69=".",".",up_RadSpec!$F$24*EA24*$B$69)</f>
        <v>1.8906249999999999E-4</v>
      </c>
      <c r="EB69" s="49">
        <f>IF(CV69=".",".",up_RadSpec!$F$24*EB24*$B$69)</f>
        <v>1.8906249999999999E-4</v>
      </c>
      <c r="EC69" s="49">
        <f>IF(CW69=".",".",up_RadSpec!$F$24*EC24*$B$69)</f>
        <v>1.8906249999999999E-4</v>
      </c>
      <c r="ED69" s="49">
        <f>IF(CX69=".",".",up_RadSpec!$F$24*ED24*$B$69)</f>
        <v>1.8355582524271844E-4</v>
      </c>
      <c r="EE69" s="49">
        <f>IF(CY69=".",".",up_RadSpec!$F$24*EE24*$B$69)</f>
        <v>1.8906249999999999E-4</v>
      </c>
      <c r="EF69" s="49">
        <f>IF(CZ69=".",".",up_RadSpec!$F$24*EF24*$B$69)</f>
        <v>1.8355582524271844E-4</v>
      </c>
      <c r="EG69" s="49">
        <f t="shared" si="241"/>
        <v>3.3725143910140164E-2</v>
      </c>
      <c r="EH69" s="60">
        <f>IFERROR(EH24/$B55,".")</f>
        <v>49870.12987012988</v>
      </c>
      <c r="EI69" s="60">
        <f>IFERROR(EI24/$B55,".")</f>
        <v>318545454.54545456</v>
      </c>
      <c r="EJ69" s="60">
        <f>IFERROR(EJ24/$B55,".")</f>
        <v>49862.323635509842</v>
      </c>
      <c r="EK69" s="189">
        <f t="shared" ref="EK69" si="267">IFERROR(EK24/$B55,0)</f>
        <v>1.5217981173557604E-7</v>
      </c>
      <c r="EL69" s="49">
        <f>IF(EH69=".",".",up_RadSpec!$H$24*EL24*$B$69)</f>
        <v>5.013020833333332E-4</v>
      </c>
      <c r="EM69" s="49">
        <f>IF(EI69=".",".",up_RadSpec!$K$24*EM24*$B$69)</f>
        <v>7.8481735159817348E-8</v>
      </c>
      <c r="EN69" s="49">
        <f t="shared" si="60"/>
        <v>5.0138056506849303E-4</v>
      </c>
    </row>
    <row r="70" spans="1:144" x14ac:dyDescent="0.25">
      <c r="A70" s="77" t="s">
        <v>1077</v>
      </c>
      <c r="B70" s="42">
        <v>0.99979000004200003</v>
      </c>
      <c r="C70" s="170"/>
      <c r="D70" s="60">
        <f t="shared" ref="D70:O70" si="268">IFERROR(D20/$B56,".")</f>
        <v>1.6532397422599097E-4</v>
      </c>
      <c r="E70" s="60">
        <f t="shared" si="268"/>
        <v>6.6129589690396386E-4</v>
      </c>
      <c r="F70" s="60">
        <f t="shared" si="268"/>
        <v>6.6129589690396386E-4</v>
      </c>
      <c r="G70" s="60">
        <f t="shared" si="268"/>
        <v>6.6129589690396386E-4</v>
      </c>
      <c r="H70" s="60">
        <f t="shared" si="268"/>
        <v>6.6129589690396386E-4</v>
      </c>
      <c r="I70" s="60">
        <f t="shared" si="268"/>
        <v>6.6129589690396386E-4</v>
      </c>
      <c r="J70" s="60">
        <f t="shared" si="268"/>
        <v>6.6129589690396386E-4</v>
      </c>
      <c r="K70" s="60">
        <f t="shared" si="268"/>
        <v>6.6129589690396386E-4</v>
      </c>
      <c r="L70" s="60">
        <f t="shared" si="268"/>
        <v>6.6129589690396386E-4</v>
      </c>
      <c r="M70" s="60">
        <f t="shared" si="268"/>
        <v>6.6129589690396386E-4</v>
      </c>
      <c r="N70" s="60">
        <f t="shared" si="268"/>
        <v>6.6129589690396386E-4</v>
      </c>
      <c r="O70" s="60">
        <f t="shared" si="268"/>
        <v>6.6129589690396386E-4</v>
      </c>
      <c r="P70" s="111">
        <f t="shared" si="236"/>
        <v>1512.1823750635249</v>
      </c>
      <c r="Q70" s="111">
        <f t="shared" si="236"/>
        <v>1512.1823750635249</v>
      </c>
      <c r="R70" s="111">
        <f t="shared" si="236"/>
        <v>1512.1823750635249</v>
      </c>
      <c r="S70" s="111">
        <f t="shared" si="236"/>
        <v>1512.1823750635249</v>
      </c>
      <c r="T70" s="111">
        <f t="shared" si="236"/>
        <v>1512.1823750635249</v>
      </c>
      <c r="U70" s="111">
        <f t="shared" si="236"/>
        <v>1512.1823750635249</v>
      </c>
      <c r="V70" s="111">
        <f t="shared" si="236"/>
        <v>1512.1823750635249</v>
      </c>
      <c r="W70" s="111">
        <f t="shared" si="236"/>
        <v>1512.1823750635249</v>
      </c>
      <c r="X70" s="111">
        <f t="shared" si="26"/>
        <v>1512.1823750635249</v>
      </c>
      <c r="Y70" s="111">
        <f t="shared" si="26"/>
        <v>1512.1823750635249</v>
      </c>
      <c r="Z70" s="111">
        <f t="shared" si="26"/>
        <v>1512.1823750635249</v>
      </c>
      <c r="AA70" s="111">
        <f t="shared" si="26"/>
        <v>1512.1823750635249</v>
      </c>
      <c r="AB70" s="60">
        <f>IFERROR(AB20/$B56,".")</f>
        <v>5.5107991408663653E-5</v>
      </c>
      <c r="AC70" s="189">
        <f>IFERROR(AC20/$B56,0)</f>
        <v>1.6510354226035634E-13</v>
      </c>
      <c r="AD70" s="49">
        <f>up_dir!BC70</f>
        <v>151218.23750635251</v>
      </c>
      <c r="AE70" s="49">
        <f>IF(E70=".",".",up_RadSpec!$F$20*AE20*$B$70)</f>
        <v>37804.559376588128</v>
      </c>
      <c r="AF70" s="49">
        <f>IF(F70=".",".",up_RadSpec!$F$20*AF20*$B$70)</f>
        <v>37804.559376588128</v>
      </c>
      <c r="AG70" s="49">
        <f>IF(G70=".",".",up_RadSpec!$F$20*AG20*$B$70)</f>
        <v>37804.559376588128</v>
      </c>
      <c r="AH70" s="49">
        <f>IF(H70=".",".",up_RadSpec!$F$20*AH20*$B$70)</f>
        <v>37804.559376588128</v>
      </c>
      <c r="AI70" s="49">
        <f>IF(I70=".",".",up_RadSpec!$F$20*AI20*$B$70)</f>
        <v>37804.559376588128</v>
      </c>
      <c r="AJ70" s="49">
        <f>IF(J70=".",".",up_RadSpec!$F$20*AJ20*$B$70)</f>
        <v>37804.559376588128</v>
      </c>
      <c r="AK70" s="49">
        <f>IF(K70=".",".",up_RadSpec!$F$20*AK20*$B$70)</f>
        <v>37804.559376588128</v>
      </c>
      <c r="AL70" s="49">
        <f>IF(L70=".",".",up_RadSpec!$F$20*AL20*$B$70)</f>
        <v>37804.559376588128</v>
      </c>
      <c r="AM70" s="49">
        <f>IF(M70=".",".",up_RadSpec!$F$20*AM20*$B$70)</f>
        <v>37804.559376588128</v>
      </c>
      <c r="AN70" s="49">
        <f>IF(N70=".",".",up_RadSpec!$F$20*AN20*$B$70)</f>
        <v>37804.559376588128</v>
      </c>
      <c r="AO70" s="49">
        <f>IF(O70=".",".",up_RadSpec!$F$20*AO20*$B$70)</f>
        <v>37804.559376588128</v>
      </c>
      <c r="AP70" s="60">
        <f t="shared" ref="AP70:BD70" si="269">IFERROR(AP20/$B56,".")</f>
        <v>0.33064794845198192</v>
      </c>
      <c r="AQ70" s="60">
        <f t="shared" si="269"/>
        <v>3090.6408196366087</v>
      </c>
      <c r="AR70" s="60">
        <f t="shared" si="269"/>
        <v>149.77900176140341</v>
      </c>
      <c r="AS70" s="60">
        <f t="shared" si="269"/>
        <v>3.2975760292408697E-5</v>
      </c>
      <c r="AT70" s="60">
        <f t="shared" si="269"/>
        <v>6.6129589690396386E-4</v>
      </c>
      <c r="AU70" s="60">
        <f t="shared" si="269"/>
        <v>6.6129589690396386E-4</v>
      </c>
      <c r="AV70" s="60">
        <f t="shared" si="269"/>
        <v>1.8562691842918285E-7</v>
      </c>
      <c r="AW70" s="60">
        <f t="shared" si="269"/>
        <v>1.9119572598205831E-7</v>
      </c>
      <c r="AX70" s="60">
        <f t="shared" si="269"/>
        <v>1.8562691842918285E-7</v>
      </c>
      <c r="AY70" s="60">
        <f t="shared" si="269"/>
        <v>1.8562691842918285E-7</v>
      </c>
      <c r="AZ70" s="60">
        <f t="shared" si="269"/>
        <v>1.8562691842918285E-7</v>
      </c>
      <c r="BA70" s="60">
        <f t="shared" si="269"/>
        <v>1.8562691842918285E-7</v>
      </c>
      <c r="BB70" s="60">
        <f t="shared" si="269"/>
        <v>1.9119572598205831E-7</v>
      </c>
      <c r="BC70" s="60">
        <f t="shared" si="269"/>
        <v>1.8562691842918285E-7</v>
      </c>
      <c r="BD70" s="60">
        <f t="shared" si="269"/>
        <v>1.9119572598205831E-7</v>
      </c>
      <c r="BE70" s="111">
        <f t="shared" ref="BE70:BS115" si="270">IFERROR(1/AP70,".")</f>
        <v>3.0243647501270501</v>
      </c>
      <c r="BF70" s="111">
        <f t="shared" si="270"/>
        <v>3.2355749449966109E-4</v>
      </c>
      <c r="BG70" s="111">
        <f t="shared" si="270"/>
        <v>6.6765033031331786E-3</v>
      </c>
      <c r="BH70" s="111">
        <f t="shared" si="270"/>
        <v>30325.305349523922</v>
      </c>
      <c r="BI70" s="111">
        <f t="shared" si="270"/>
        <v>1512.1823750635249</v>
      </c>
      <c r="BJ70" s="111">
        <f t="shared" si="270"/>
        <v>1512.1823750635249</v>
      </c>
      <c r="BK70" s="111">
        <f t="shared" si="270"/>
        <v>5387149.7111638077</v>
      </c>
      <c r="BL70" s="111">
        <f t="shared" si="270"/>
        <v>5230242.4380231146</v>
      </c>
      <c r="BM70" s="111">
        <f t="shared" si="270"/>
        <v>5387149.7111638077</v>
      </c>
      <c r="BN70" s="111">
        <f t="shared" si="270"/>
        <v>5387149.7111638077</v>
      </c>
      <c r="BO70" s="111">
        <f t="shared" si="270"/>
        <v>5387149.7111638077</v>
      </c>
      <c r="BP70" s="111">
        <f t="shared" si="270"/>
        <v>5387149.7111638077</v>
      </c>
      <c r="BQ70" s="111">
        <f t="shared" si="270"/>
        <v>5230242.4380231146</v>
      </c>
      <c r="BR70" s="111">
        <f t="shared" si="270"/>
        <v>5387149.7111638077</v>
      </c>
      <c r="BS70" s="111">
        <f t="shared" si="270"/>
        <v>5230242.4380231146</v>
      </c>
      <c r="BT70" s="60">
        <f>IFERROR(BT20/$B56,".")</f>
        <v>2.0812963390121876E-8</v>
      </c>
      <c r="BU70" s="189">
        <f>IFERROR(BU20/$B56,0)</f>
        <v>6.2355638316805145E-17</v>
      </c>
      <c r="BV70" s="49">
        <f>IF(AP70=".",".",up_RadSpec!$E$20*BV20*$B$70)</f>
        <v>75.609118753176247</v>
      </c>
      <c r="BW70" s="49">
        <f>IF(AQ70=".",".",up_RadSpec!$H$20*BW20*$B$70)</f>
        <v>8.0889373624915273E-3</v>
      </c>
      <c r="BX70" s="49">
        <f>IF(AR70=".",".",up_RadSpec!$G$20*BX20*$B$70)</f>
        <v>0.16691258257832947</v>
      </c>
      <c r="BY70" s="49">
        <f>up_b2s!CC70</f>
        <v>758132.6337380982</v>
      </c>
      <c r="BZ70" s="49">
        <f>IF(AT70=".",".",up_RadSpec!$F$20*BZ20*$B$70)</f>
        <v>37804.559376588128</v>
      </c>
      <c r="CA70" s="49">
        <f>IF(AU70=".",".",up_RadSpec!$F$20*CA20*$B$70)</f>
        <v>37804.559376588128</v>
      </c>
      <c r="CB70" s="49">
        <f>IF(AV70=".",".",up_RadSpec!$F$20*CB20*$B$70)</f>
        <v>134678742.7790952</v>
      </c>
      <c r="CC70" s="49">
        <f>IF(AW70=".",".",up_RadSpec!$F$20*CC20*$B$70)</f>
        <v>130756060.95057787</v>
      </c>
      <c r="CD70" s="49">
        <f>IF(AX70=".",".",up_RadSpec!$F$20*CD20*$B$70)</f>
        <v>134678742.7790952</v>
      </c>
      <c r="CE70" s="49">
        <f>IF(AY70=".",".",up_RadSpec!$F$20*CE20*$B$70)</f>
        <v>134678742.7790952</v>
      </c>
      <c r="CF70" s="49">
        <f>IF(AZ70=".",".",up_RadSpec!$F$20*CF20*$B$70)</f>
        <v>134678742.7790952</v>
      </c>
      <c r="CG70" s="49">
        <f>IF(BA70=".",".",up_RadSpec!$F$20*CG20*$B$70)</f>
        <v>134678742.7790952</v>
      </c>
      <c r="CH70" s="49">
        <f>IF(BB70=".",".",up_RadSpec!$F$20*CH20*$B$70)</f>
        <v>130756060.95057787</v>
      </c>
      <c r="CI70" s="49">
        <f>IF(BC70=".",".",up_RadSpec!$F$20*CI20*$B$70)</f>
        <v>134678742.7790952</v>
      </c>
      <c r="CJ70" s="49">
        <f>IF(BD70=".",".",up_RadSpec!$F$20*CJ20*$B$70)</f>
        <v>130756060.95057787</v>
      </c>
      <c r="CK70" s="49">
        <f t="shared" si="238"/>
        <v>1201174457.0629163</v>
      </c>
      <c r="CL70" s="60">
        <f>IFERROR(CL20/$B56,".")</f>
        <v>3.6371274329718012E-3</v>
      </c>
      <c r="CM70" s="60">
        <f>IFERROR(CM20,".")</f>
        <v>0.39187253504904385</v>
      </c>
      <c r="CN70" s="60">
        <f t="shared" ref="CN70:CZ70" si="271">IFERROR(CN20/$B56,".")</f>
        <v>39.826545391041222</v>
      </c>
      <c r="CO70" s="60">
        <f t="shared" si="271"/>
        <v>1.6446866627339005E-4</v>
      </c>
      <c r="CP70" s="60">
        <f t="shared" si="271"/>
        <v>0.13225917938079276</v>
      </c>
      <c r="CQ70" s="60">
        <f t="shared" si="271"/>
        <v>0.13225917938079276</v>
      </c>
      <c r="CR70" s="60">
        <f t="shared" si="271"/>
        <v>2.6451835876158552E-2</v>
      </c>
      <c r="CS70" s="60">
        <f t="shared" si="271"/>
        <v>2.724539095244331E-2</v>
      </c>
      <c r="CT70" s="60">
        <f t="shared" si="271"/>
        <v>2.6451835876158552E-2</v>
      </c>
      <c r="CU70" s="60">
        <f t="shared" si="271"/>
        <v>2.6451835876158552E-2</v>
      </c>
      <c r="CV70" s="60">
        <f t="shared" si="271"/>
        <v>2.6451835876158552E-2</v>
      </c>
      <c r="CW70" s="60">
        <f t="shared" si="271"/>
        <v>2.6451835876158552E-2</v>
      </c>
      <c r="CX70" s="60">
        <f t="shared" si="271"/>
        <v>2.724539095244331E-2</v>
      </c>
      <c r="CY70" s="60">
        <f t="shared" si="271"/>
        <v>2.6451835876158552E-2</v>
      </c>
      <c r="CZ70" s="60">
        <f t="shared" si="271"/>
        <v>2.724539095244331E-2</v>
      </c>
      <c r="DA70" s="111">
        <f t="shared" si="76"/>
        <v>274.94225001155002</v>
      </c>
      <c r="DB70" s="111">
        <f t="shared" si="76"/>
        <v>2.5518501822916666</v>
      </c>
      <c r="DC70" s="111">
        <f t="shared" si="76"/>
        <v>2.5108881279593608E-2</v>
      </c>
      <c r="DD70" s="111">
        <f t="shared" si="76"/>
        <v>6080.1855007308068</v>
      </c>
      <c r="DE70" s="111">
        <f t="shared" si="181"/>
        <v>7.5609118753176254</v>
      </c>
      <c r="DF70" s="111">
        <f t="shared" si="181"/>
        <v>7.5609118753176254</v>
      </c>
      <c r="DG70" s="111">
        <f t="shared" si="181"/>
        <v>37.804559376588124</v>
      </c>
      <c r="DH70" s="111">
        <f t="shared" si="181"/>
        <v>36.703455705425363</v>
      </c>
      <c r="DI70" s="111">
        <f t="shared" si="181"/>
        <v>37.804559376588124</v>
      </c>
      <c r="DJ70" s="111">
        <f t="shared" si="181"/>
        <v>37.804559376588124</v>
      </c>
      <c r="DK70" s="111">
        <f t="shared" si="181"/>
        <v>37.804559376588124</v>
      </c>
      <c r="DL70" s="111">
        <f t="shared" si="181"/>
        <v>37.804559376588124</v>
      </c>
      <c r="DM70" s="111">
        <f t="shared" si="181"/>
        <v>36.703455705425363</v>
      </c>
      <c r="DN70" s="111">
        <f t="shared" si="181"/>
        <v>37.804559376588124</v>
      </c>
      <c r="DO70" s="111">
        <f t="shared" si="181"/>
        <v>36.703455705425363</v>
      </c>
      <c r="DP70" s="60">
        <f>IFERROR(DP20/$B56,".")</f>
        <v>1.4903654459004037E-4</v>
      </c>
      <c r="DQ70" s="189">
        <f t="shared" ref="DQ70" si="272">IFERROR(DQ20/$B56,0)</f>
        <v>4.4651348759176108E-16</v>
      </c>
      <c r="DR70" s="49">
        <f>IF(CL70=".",".",up_RadSpec!$I$20*DR20*$B$70)</f>
        <v>6873.5562502887506</v>
      </c>
      <c r="DS70" s="49">
        <f>IF(CM70=".",".",up_RadSpec!$H$20*DS20)</f>
        <v>63.796254557291661</v>
      </c>
      <c r="DT70" s="49">
        <f>IF(CN70=".",".",up_RadSpec!$M$20*DT20*$B$70)</f>
        <v>0.62772203198984022</v>
      </c>
      <c r="DU70" s="49">
        <f>up_b2w!CC70</f>
        <v>152004.6375182702</v>
      </c>
      <c r="DV70" s="49">
        <f>IF(CP70=".",".",up_RadSpec!$F$20*DV20*$B$70)</f>
        <v>189.02279688294064</v>
      </c>
      <c r="DW70" s="49">
        <f>IF(CQ70=".",".",up_RadSpec!$F$20*DW20*$B$70)</f>
        <v>189.02279688294064</v>
      </c>
      <c r="DX70" s="49">
        <f>IF(CR70=".",".",up_RadSpec!$F$20*DX20*$B$70)</f>
        <v>945.11398441470317</v>
      </c>
      <c r="DY70" s="49">
        <f>IF(CS70=".",".",up_RadSpec!$F$20*DY20*$B$70)</f>
        <v>917.58639263563418</v>
      </c>
      <c r="DZ70" s="49">
        <f>IF(CT70=".",".",up_RadSpec!$F$20*DZ20*$B$70)</f>
        <v>945.11398441470317</v>
      </c>
      <c r="EA70" s="49">
        <f>IF(CU70=".",".",up_RadSpec!$F$20*EA20*$B$70)</f>
        <v>945.11398441470317</v>
      </c>
      <c r="EB70" s="49">
        <f>IF(CV70=".",".",up_RadSpec!$F$20*EB20*$B$70)</f>
        <v>945.11398441470317</v>
      </c>
      <c r="EC70" s="49">
        <f>IF(CW70=".",".",up_RadSpec!$F$20*EC20*$B$70)</f>
        <v>945.11398441470317</v>
      </c>
      <c r="ED70" s="49">
        <f>IF(CX70=".",".",up_RadSpec!$F$20*ED20*$B$70)</f>
        <v>917.58639263563418</v>
      </c>
      <c r="EE70" s="49">
        <f>IF(CY70=".",".",up_RadSpec!$F$20*EE20*$B$70)</f>
        <v>945.11398441470317</v>
      </c>
      <c r="EF70" s="49">
        <f>IF(CZ70=".",".",up_RadSpec!$F$20*EF20*$B$70)</f>
        <v>917.58639263563418</v>
      </c>
      <c r="EG70" s="49">
        <f t="shared" si="241"/>
        <v>167744.10642330913</v>
      </c>
      <c r="EH70" s="60">
        <f>IFERROR(EH20/$B56,".")</f>
        <v>9.976120959008369E-3</v>
      </c>
      <c r="EI70" s="60">
        <f>IFERROR(EI20/$B56,".")</f>
        <v>63.722472625665958</v>
      </c>
      <c r="EJ70" s="60">
        <f>IFERROR(EJ20/$B56,".")</f>
        <v>9.974559384153708E-3</v>
      </c>
      <c r="EK70" s="189">
        <f t="shared" ref="EK70" si="273">IFERROR(EK20/$B56,0)</f>
        <v>2.9883779914924509E-14</v>
      </c>
      <c r="EL70" s="49">
        <f>IF(EH70=".",".",up_RadSpec!$H$20*EL20*$B$70)</f>
        <v>2505.9840495844396</v>
      </c>
      <c r="EM70" s="49">
        <f>IF(EI70=".",".",up_RadSpec!$K$20*EM20*$B$70)</f>
        <v>0.39232626999365017</v>
      </c>
      <c r="EN70" s="49">
        <f t="shared" si="60"/>
        <v>2506.3763758544333</v>
      </c>
    </row>
    <row r="71" spans="1:144" x14ac:dyDescent="0.25">
      <c r="A71" s="77" t="s">
        <v>1078</v>
      </c>
      <c r="B71" s="42">
        <v>2.0999995799999999E-4</v>
      </c>
      <c r="C71" s="170"/>
      <c r="D71" s="60">
        <f t="shared" ref="D71:O71" si="274">IFERROR(D29/$B57,".")</f>
        <v>0.78709185360097611</v>
      </c>
      <c r="E71" s="60">
        <f t="shared" si="274"/>
        <v>3.1483674144039044</v>
      </c>
      <c r="F71" s="60">
        <f t="shared" si="274"/>
        <v>3.1483674144039044</v>
      </c>
      <c r="G71" s="60">
        <f t="shared" si="274"/>
        <v>3.1483674144039044</v>
      </c>
      <c r="H71" s="60">
        <f t="shared" si="274"/>
        <v>3.1483674144039044</v>
      </c>
      <c r="I71" s="60">
        <f t="shared" si="274"/>
        <v>3.1483674144039044</v>
      </c>
      <c r="J71" s="60">
        <f t="shared" si="274"/>
        <v>3.1483674144039044</v>
      </c>
      <c r="K71" s="60">
        <f t="shared" si="274"/>
        <v>3.1483674144039044</v>
      </c>
      <c r="L71" s="60">
        <f t="shared" si="274"/>
        <v>3.1483674144039044</v>
      </c>
      <c r="M71" s="60">
        <f t="shared" si="274"/>
        <v>3.1483674144039044</v>
      </c>
      <c r="N71" s="60">
        <f t="shared" si="274"/>
        <v>3.1483674144039044</v>
      </c>
      <c r="O71" s="60">
        <f t="shared" si="274"/>
        <v>3.1483674144039044</v>
      </c>
      <c r="P71" s="111">
        <f t="shared" si="236"/>
        <v>0.31762493647499995</v>
      </c>
      <c r="Q71" s="111">
        <f t="shared" si="236"/>
        <v>0.31762493647499995</v>
      </c>
      <c r="R71" s="111">
        <f t="shared" si="236"/>
        <v>0.31762493647499995</v>
      </c>
      <c r="S71" s="111">
        <f t="shared" si="236"/>
        <v>0.31762493647499995</v>
      </c>
      <c r="T71" s="111">
        <f t="shared" si="236"/>
        <v>0.31762493647499995</v>
      </c>
      <c r="U71" s="111">
        <f t="shared" si="236"/>
        <v>0.31762493647499995</v>
      </c>
      <c r="V71" s="111">
        <f t="shared" si="236"/>
        <v>0.31762493647499995</v>
      </c>
      <c r="W71" s="111">
        <f t="shared" si="236"/>
        <v>0.31762493647499995</v>
      </c>
      <c r="X71" s="111">
        <f t="shared" si="26"/>
        <v>0.31762493647499995</v>
      </c>
      <c r="Y71" s="111">
        <f t="shared" si="26"/>
        <v>0.31762493647499995</v>
      </c>
      <c r="Z71" s="111">
        <f t="shared" si="26"/>
        <v>0.31762493647499995</v>
      </c>
      <c r="AA71" s="111">
        <f t="shared" si="26"/>
        <v>0.31762493647499995</v>
      </c>
      <c r="AB71" s="60">
        <f>IFERROR(AB29/$B57,".")</f>
        <v>0.26236395120032535</v>
      </c>
      <c r="AC71" s="189">
        <f>IFERROR(AC29/$B57,0)</f>
        <v>7.7135001652895661E-10</v>
      </c>
      <c r="AD71" s="49">
        <f>up_dir!BC71</f>
        <v>31.762493647499998</v>
      </c>
      <c r="AE71" s="49">
        <f>IF(E71=".",".",up_RadSpec!$F$29*AE29*$B$71)</f>
        <v>7.9406234118749994</v>
      </c>
      <c r="AF71" s="49">
        <f>IF(F71=".",".",up_RadSpec!$F$29*AF29*$B$71)</f>
        <v>7.9406234118749994</v>
      </c>
      <c r="AG71" s="49">
        <f>IF(G71=".",".",up_RadSpec!$F$29*AG29*$B$71)</f>
        <v>7.9406234118749994</v>
      </c>
      <c r="AH71" s="49">
        <f>IF(H71=".",".",up_RadSpec!$F$29*AH29*$B$71)</f>
        <v>7.9406234118749994</v>
      </c>
      <c r="AI71" s="49">
        <f>IF(I71=".",".",up_RadSpec!$F$29*AI29*$B$71)</f>
        <v>7.9406234118749994</v>
      </c>
      <c r="AJ71" s="49">
        <f>IF(J71=".",".",up_RadSpec!$F$29*AJ29*$B$71)</f>
        <v>7.9406234118749994</v>
      </c>
      <c r="AK71" s="49">
        <f>IF(K71=".",".",up_RadSpec!$F$29*AK29*$B$71)</f>
        <v>7.9406234118749994</v>
      </c>
      <c r="AL71" s="49">
        <f>IF(L71=".",".",up_RadSpec!$F$29*AL29*$B$71)</f>
        <v>7.9406234118749994</v>
      </c>
      <c r="AM71" s="49">
        <f>IF(M71=".",".",up_RadSpec!$F$29*AM29*$B$71)</f>
        <v>7.9406234118749994</v>
      </c>
      <c r="AN71" s="49">
        <f>IF(N71=".",".",up_RadSpec!$F$29*AN29*$B$71)</f>
        <v>7.9406234118749994</v>
      </c>
      <c r="AO71" s="49">
        <f>IF(O71=".",".",up_RadSpec!$F$29*AO29*$B$71)</f>
        <v>7.9406234118749994</v>
      </c>
      <c r="AP71" s="60">
        <f t="shared" ref="AP71:BD71" si="275">IFERROR(AP29/$B57,".")</f>
        <v>1574.1837072019521</v>
      </c>
      <c r="AQ71" s="60">
        <f t="shared" si="275"/>
        <v>14714249.539013203</v>
      </c>
      <c r="AR71" s="60">
        <f t="shared" si="275"/>
        <v>561233.05052872899</v>
      </c>
      <c r="AS71" s="60">
        <f t="shared" si="275"/>
        <v>0.1569944856090508</v>
      </c>
      <c r="AT71" s="60">
        <f t="shared" si="275"/>
        <v>3.1483674144039044</v>
      </c>
      <c r="AU71" s="60">
        <f t="shared" si="275"/>
        <v>3.1483674144039044</v>
      </c>
      <c r="AV71" s="60">
        <f t="shared" si="275"/>
        <v>8.8375225667478019E-4</v>
      </c>
      <c r="AW71" s="60">
        <f t="shared" si="275"/>
        <v>9.1026482437502358E-4</v>
      </c>
      <c r="AX71" s="60">
        <f t="shared" si="275"/>
        <v>8.8375225667478019E-4</v>
      </c>
      <c r="AY71" s="60">
        <f t="shared" si="275"/>
        <v>8.8375225667478019E-4</v>
      </c>
      <c r="AZ71" s="60">
        <f t="shared" si="275"/>
        <v>8.8375225667478019E-4</v>
      </c>
      <c r="BA71" s="60">
        <f t="shared" si="275"/>
        <v>8.8375225667478019E-4</v>
      </c>
      <c r="BB71" s="60">
        <f t="shared" si="275"/>
        <v>9.1026482437502358E-4</v>
      </c>
      <c r="BC71" s="60">
        <f t="shared" si="275"/>
        <v>8.8375225667478019E-4</v>
      </c>
      <c r="BD71" s="60">
        <f t="shared" si="275"/>
        <v>9.1026482437502358E-4</v>
      </c>
      <c r="BE71" s="111">
        <f t="shared" si="270"/>
        <v>6.3524987294999999E-4</v>
      </c>
      <c r="BF71" s="111">
        <f t="shared" si="270"/>
        <v>6.7961332132407484E-8</v>
      </c>
      <c r="BG71" s="111">
        <f t="shared" si="270"/>
        <v>1.7817910029673332E-6</v>
      </c>
      <c r="BH71" s="111">
        <f t="shared" si="270"/>
        <v>6.3696504760696486</v>
      </c>
      <c r="BI71" s="111">
        <f t="shared" si="270"/>
        <v>0.31762493647499995</v>
      </c>
      <c r="BJ71" s="111">
        <f t="shared" si="270"/>
        <v>0.31762493647499995</v>
      </c>
      <c r="BK71" s="111">
        <f t="shared" si="270"/>
        <v>1131.5388361921873</v>
      </c>
      <c r="BL71" s="111">
        <f t="shared" si="270"/>
        <v>1098.5813943613468</v>
      </c>
      <c r="BM71" s="111">
        <f t="shared" si="270"/>
        <v>1131.5388361921873</v>
      </c>
      <c r="BN71" s="111">
        <f t="shared" si="270"/>
        <v>1131.5388361921873</v>
      </c>
      <c r="BO71" s="111">
        <f t="shared" si="270"/>
        <v>1131.5388361921873</v>
      </c>
      <c r="BP71" s="111">
        <f t="shared" si="270"/>
        <v>1131.5388361921873</v>
      </c>
      <c r="BQ71" s="111">
        <f t="shared" si="270"/>
        <v>1098.5813943613468</v>
      </c>
      <c r="BR71" s="111">
        <f t="shared" si="270"/>
        <v>1131.5388361921873</v>
      </c>
      <c r="BS71" s="111">
        <f t="shared" si="270"/>
        <v>1098.5813943613468</v>
      </c>
      <c r="BT71" s="60">
        <f>IFERROR(BT29/$B57,".")</f>
        <v>9.9088556331529141E-5</v>
      </c>
      <c r="BU71" s="189">
        <f>IFERROR(BU29/$B57,0)</f>
        <v>2.9132035561469562E-13</v>
      </c>
      <c r="BV71" s="49">
        <f>IF(AP71=".",".",up_RadSpec!$E$29*BV29*$B$71)</f>
        <v>1.588124682375E-2</v>
      </c>
      <c r="BW71" s="49">
        <f>IF(AQ71=".",".",up_RadSpec!$H$29*BW29*$B$71)</f>
        <v>1.6990333033101872E-6</v>
      </c>
      <c r="BX71" s="49">
        <f>IF(AR71=".",".",up_RadSpec!$G$29*BX29*$B$71)</f>
        <v>4.4544775074183334E-5</v>
      </c>
      <c r="BY71" s="49">
        <f>up_b2s!CC71</f>
        <v>159.24126190174124</v>
      </c>
      <c r="BZ71" s="49">
        <f>IF(AT71=".",".",up_RadSpec!$F$29*BZ29*$B$71)</f>
        <v>7.9406234118749994</v>
      </c>
      <c r="CA71" s="49">
        <f>IF(AU71=".",".",up_RadSpec!$F$29*CA29*$B$71)</f>
        <v>7.9406234118749994</v>
      </c>
      <c r="CB71" s="49">
        <f>IF(AV71=".",".",up_RadSpec!$F$29*CB29*$B$71)</f>
        <v>28288.470904804686</v>
      </c>
      <c r="CC71" s="49">
        <f>IF(AW71=".",".",up_RadSpec!$F$29*CC29*$B$71)</f>
        <v>27464.534859033676</v>
      </c>
      <c r="CD71" s="49">
        <f>IF(AX71=".",".",up_RadSpec!$F$29*CD29*$B$71)</f>
        <v>28288.470904804686</v>
      </c>
      <c r="CE71" s="49">
        <f>IF(AY71=".",".",up_RadSpec!$F$29*CE29*$B$71)</f>
        <v>28288.470904804686</v>
      </c>
      <c r="CF71" s="49">
        <f>IF(AZ71=".",".",up_RadSpec!$F$29*CF29*$B$71)</f>
        <v>28288.470904804686</v>
      </c>
      <c r="CG71" s="49">
        <f>IF(BA71=".",".",up_RadSpec!$F$29*CG29*$B$71)</f>
        <v>28288.470904804686</v>
      </c>
      <c r="CH71" s="49">
        <f>IF(BB71=".",".",up_RadSpec!$F$29*CH29*$B$71)</f>
        <v>27464.534859033676</v>
      </c>
      <c r="CI71" s="49">
        <f>IF(BC71=".",".",up_RadSpec!$F$29*CI29*$B$71)</f>
        <v>28288.470904804686</v>
      </c>
      <c r="CJ71" s="49">
        <f>IF(BD71=".",".",up_RadSpec!$F$29*CJ29*$B$71)</f>
        <v>27464.534859033676</v>
      </c>
      <c r="CK71" s="49">
        <f t="shared" si="238"/>
        <v>252299.56844214525</v>
      </c>
      <c r="CL71" s="60">
        <f>IFERROR(CL29/$B57,".")</f>
        <v>17.316020779221471</v>
      </c>
      <c r="CM71" s="60">
        <f>IFERROR(CM29,".")</f>
        <v>2157.7148215468005</v>
      </c>
      <c r="CN71" s="60">
        <f t="shared" ref="CN71:CZ71" si="276">IFERROR(CN29/$B57,".")</f>
        <v>189610.42753247515</v>
      </c>
      <c r="CO71" s="60">
        <f t="shared" si="276"/>
        <v>0.78301981308196422</v>
      </c>
      <c r="CP71" s="60">
        <f t="shared" si="276"/>
        <v>629.67348288078085</v>
      </c>
      <c r="CQ71" s="60">
        <f t="shared" si="276"/>
        <v>629.67348288078085</v>
      </c>
      <c r="CR71" s="60">
        <f t="shared" si="276"/>
        <v>125.93469657615617</v>
      </c>
      <c r="CS71" s="60">
        <f t="shared" si="276"/>
        <v>129.71273747344085</v>
      </c>
      <c r="CT71" s="60">
        <f t="shared" si="276"/>
        <v>125.93469657615617</v>
      </c>
      <c r="CU71" s="60">
        <f t="shared" si="276"/>
        <v>125.93469657615617</v>
      </c>
      <c r="CV71" s="60">
        <f t="shared" si="276"/>
        <v>125.93469657615617</v>
      </c>
      <c r="CW71" s="60">
        <f t="shared" si="276"/>
        <v>125.93469657615617</v>
      </c>
      <c r="CX71" s="60">
        <f t="shared" si="276"/>
        <v>129.71273747344085</v>
      </c>
      <c r="CY71" s="60">
        <f t="shared" si="276"/>
        <v>125.93469657615617</v>
      </c>
      <c r="CZ71" s="60">
        <f t="shared" si="276"/>
        <v>129.71273747344085</v>
      </c>
      <c r="DA71" s="111">
        <f t="shared" si="76"/>
        <v>5.7749988450000005E-2</v>
      </c>
      <c r="DB71" s="111">
        <f t="shared" si="76"/>
        <v>4.6345327473958314E-4</v>
      </c>
      <c r="DC71" s="111">
        <f t="shared" si="76"/>
        <v>5.273971547945205E-6</v>
      </c>
      <c r="DD71" s="111">
        <f t="shared" si="76"/>
        <v>1.2771068921793973</v>
      </c>
      <c r="DE71" s="111">
        <f t="shared" si="181"/>
        <v>1.5881246823749998E-3</v>
      </c>
      <c r="DF71" s="111">
        <f t="shared" si="181"/>
        <v>1.5881246823749998E-3</v>
      </c>
      <c r="DG71" s="111">
        <f t="shared" si="181"/>
        <v>7.9406234118749985E-3</v>
      </c>
      <c r="DH71" s="111">
        <f t="shared" si="181"/>
        <v>7.7093431183252424E-3</v>
      </c>
      <c r="DI71" s="111">
        <f t="shared" si="181"/>
        <v>7.9406234118749985E-3</v>
      </c>
      <c r="DJ71" s="111">
        <f t="shared" si="181"/>
        <v>7.9406234118749985E-3</v>
      </c>
      <c r="DK71" s="111">
        <f t="shared" si="181"/>
        <v>7.9406234118749985E-3</v>
      </c>
      <c r="DL71" s="111">
        <f t="shared" si="181"/>
        <v>7.9406234118749985E-3</v>
      </c>
      <c r="DM71" s="111">
        <f t="shared" si="181"/>
        <v>7.7093431183252424E-3</v>
      </c>
      <c r="DN71" s="111">
        <f t="shared" si="181"/>
        <v>7.9406234118749985E-3</v>
      </c>
      <c r="DO71" s="111">
        <f t="shared" si="181"/>
        <v>7.7093431183252424E-3</v>
      </c>
      <c r="DP71" s="60">
        <f>IFERROR(DP29/$B57,".")</f>
        <v>0.70981878859178726</v>
      </c>
      <c r="DQ71" s="189">
        <f t="shared" ref="DQ71" si="277">IFERROR(DQ29/$B57,0)</f>
        <v>2.0868672384598546E-12</v>
      </c>
      <c r="DR71" s="49">
        <f>IF(CL71=".",".",up_RadSpec!$I$29*DR29*$B$71)</f>
        <v>1.44374971125</v>
      </c>
      <c r="DS71" s="49">
        <f>IF(CM71=".",".",up_RadSpec!$H$29*DS29)</f>
        <v>1.1586331868489581E-2</v>
      </c>
      <c r="DT71" s="49">
        <f>IF(CN71=".",".",up_RadSpec!$M$29*DT29*$B$71)</f>
        <v>1.3184928869863012E-4</v>
      </c>
      <c r="DU71" s="49">
        <f>up_b2w!CC71</f>
        <v>31.92767230448494</v>
      </c>
      <c r="DV71" s="49">
        <f>IF(CP71=".",".",up_RadSpec!$F$29*DV29*$B$71)</f>
        <v>3.9703117059374994E-2</v>
      </c>
      <c r="DW71" s="49">
        <f>IF(CQ71=".",".",up_RadSpec!$F$29*DW29*$B$71)</f>
        <v>3.9703117059374994E-2</v>
      </c>
      <c r="DX71" s="49">
        <f>IF(CR71=".",".",up_RadSpec!$F$29*DX29*$B$71)</f>
        <v>0.19851558529687499</v>
      </c>
      <c r="DY71" s="49">
        <f>IF(CS71=".",".",up_RadSpec!$F$29*DY29*$B$71)</f>
        <v>0.19273357795813106</v>
      </c>
      <c r="DZ71" s="49">
        <f>IF(CT71=".",".",up_RadSpec!$F$29*DZ29*$B$71)</f>
        <v>0.19851558529687499</v>
      </c>
      <c r="EA71" s="49">
        <f>IF(CU71=".",".",up_RadSpec!$F$29*EA29*$B$71)</f>
        <v>0.19851558529687499</v>
      </c>
      <c r="EB71" s="49">
        <f>IF(CV71=".",".",up_RadSpec!$F$29*EB29*$B$71)</f>
        <v>0.19851558529687499</v>
      </c>
      <c r="EC71" s="49">
        <f>IF(CW71=".",".",up_RadSpec!$F$29*EC29*$B$71)</f>
        <v>0.19851558529687499</v>
      </c>
      <c r="ED71" s="49">
        <f>IF(CX71=".",".",up_RadSpec!$F$29*ED29*$B$71)</f>
        <v>0.19273357795813106</v>
      </c>
      <c r="EE71" s="49">
        <f>IF(CY71=".",".",up_RadSpec!$F$29*EE29*$B$71)</f>
        <v>0.19851558529687499</v>
      </c>
      <c r="EF71" s="49">
        <f>IF(CZ71=".",".",up_RadSpec!$F$29*EF29*$B$71)</f>
        <v>0.19273357795813106</v>
      </c>
      <c r="EG71" s="49">
        <f t="shared" si="241"/>
        <v>35.231840676666515</v>
      </c>
      <c r="EH71" s="60">
        <f>IFERROR(EH29/$B57,".")</f>
        <v>47.49537128015033</v>
      </c>
      <c r="EI71" s="60">
        <f>IFERROR(EI29/$B57,".")</f>
        <v>303376.68405196024</v>
      </c>
      <c r="EJ71" s="60">
        <f>IFERROR(EJ29/$B57,".")</f>
        <v>47.487936769501488</v>
      </c>
      <c r="EK71" s="189">
        <f t="shared" ref="EK71" si="278">IFERROR(EK29/$B57,0)</f>
        <v>1.3961453410233441E-10</v>
      </c>
      <c r="EL71" s="49">
        <f>IF(EH71=".",".",up_RadSpec!$H$29*EL29*$B$71)</f>
        <v>0.52636708222656237</v>
      </c>
      <c r="EM71" s="49">
        <f>IF(EI71=".",".",up_RadSpec!$K$29*EM29*$B$71)</f>
        <v>8.2405805436643834E-5</v>
      </c>
      <c r="EN71" s="49">
        <f t="shared" si="60"/>
        <v>0.52644948803199898</v>
      </c>
    </row>
    <row r="72" spans="1:144" x14ac:dyDescent="0.25">
      <c r="A72" s="77" t="s">
        <v>1079</v>
      </c>
      <c r="B72" s="42">
        <v>1</v>
      </c>
      <c r="C72" s="170"/>
      <c r="D72" s="60">
        <f t="shared" ref="D72:O72" si="279">IFERROR(D16/$B58,".")</f>
        <v>1.6528925619834712E-4</v>
      </c>
      <c r="E72" s="60">
        <f t="shared" si="279"/>
        <v>6.6115702479338848E-4</v>
      </c>
      <c r="F72" s="60">
        <f t="shared" si="279"/>
        <v>6.6115702479338848E-4</v>
      </c>
      <c r="G72" s="60">
        <f t="shared" si="279"/>
        <v>6.6115702479338848E-4</v>
      </c>
      <c r="H72" s="60">
        <f t="shared" si="279"/>
        <v>6.6115702479338848E-4</v>
      </c>
      <c r="I72" s="60">
        <f t="shared" si="279"/>
        <v>6.6115702479338848E-4</v>
      </c>
      <c r="J72" s="60">
        <f t="shared" si="279"/>
        <v>6.6115702479338848E-4</v>
      </c>
      <c r="K72" s="60">
        <f t="shared" si="279"/>
        <v>6.6115702479338848E-4</v>
      </c>
      <c r="L72" s="60">
        <f t="shared" si="279"/>
        <v>6.6115702479338848E-4</v>
      </c>
      <c r="M72" s="60">
        <f t="shared" si="279"/>
        <v>6.6115702479338848E-4</v>
      </c>
      <c r="N72" s="60">
        <f t="shared" si="279"/>
        <v>6.6115702479338848E-4</v>
      </c>
      <c r="O72" s="60">
        <f t="shared" si="279"/>
        <v>6.6115702479338848E-4</v>
      </c>
      <c r="P72" s="111">
        <f t="shared" si="236"/>
        <v>1512.5</v>
      </c>
      <c r="Q72" s="111">
        <f t="shared" si="236"/>
        <v>1512.5</v>
      </c>
      <c r="R72" s="111">
        <f t="shared" si="236"/>
        <v>1512.5</v>
      </c>
      <c r="S72" s="111">
        <f t="shared" si="236"/>
        <v>1512.5</v>
      </c>
      <c r="T72" s="111">
        <f t="shared" si="236"/>
        <v>1512.5</v>
      </c>
      <c r="U72" s="111">
        <f t="shared" si="236"/>
        <v>1512.5</v>
      </c>
      <c r="V72" s="111">
        <f t="shared" si="236"/>
        <v>1512.5</v>
      </c>
      <c r="W72" s="111">
        <f t="shared" si="236"/>
        <v>1512.5</v>
      </c>
      <c r="X72" s="111">
        <f t="shared" si="26"/>
        <v>1512.5</v>
      </c>
      <c r="Y72" s="111">
        <f t="shared" si="26"/>
        <v>1512.5</v>
      </c>
      <c r="Z72" s="111">
        <f t="shared" si="26"/>
        <v>1512.5</v>
      </c>
      <c r="AA72" s="111">
        <f t="shared" si="26"/>
        <v>1512.5</v>
      </c>
      <c r="AB72" s="60">
        <f>IFERROR(AB16/$B58,".")</f>
        <v>5.5096418732782371E-5</v>
      </c>
      <c r="AC72" s="189">
        <f>IFERROR(AC16/$B58,0)</f>
        <v>1.6198347107438019E-13</v>
      </c>
      <c r="AD72" s="49">
        <f>up_dir!BC72</f>
        <v>151250</v>
      </c>
      <c r="AE72" s="49">
        <f>IF(E72=".",".",up_RadSpec!$F$16*AE16*$B$72)</f>
        <v>37812.5</v>
      </c>
      <c r="AF72" s="49">
        <f>IF(F72=".",".",up_RadSpec!$F$16*AF16*$B$72)</f>
        <v>37812.5</v>
      </c>
      <c r="AG72" s="49">
        <f>IF(G72=".",".",up_RadSpec!$F$16*AG16*$B$72)</f>
        <v>37812.5</v>
      </c>
      <c r="AH72" s="49">
        <f>IF(H72=".",".",up_RadSpec!$F$16*AH16*$B$72)</f>
        <v>37812.5</v>
      </c>
      <c r="AI72" s="49">
        <f>IF(I72=".",".",up_RadSpec!$F$16*AI16*$B$72)</f>
        <v>37812.5</v>
      </c>
      <c r="AJ72" s="49">
        <f>IF(J72=".",".",up_RadSpec!$F$16*AJ16*$B$72)</f>
        <v>37812.5</v>
      </c>
      <c r="AK72" s="49">
        <f>IF(K72=".",".",up_RadSpec!$F$16*AK16*$B$72)</f>
        <v>37812.5</v>
      </c>
      <c r="AL72" s="49">
        <f>IF(L72=".",".",up_RadSpec!$F$16*AL16*$B$72)</f>
        <v>37812.5</v>
      </c>
      <c r="AM72" s="49">
        <f>IF(M72=".",".",up_RadSpec!$F$16*AM16*$B$72)</f>
        <v>37812.5</v>
      </c>
      <c r="AN72" s="49">
        <f>IF(N72=".",".",up_RadSpec!$F$16*AN16*$B$72)</f>
        <v>37812.5</v>
      </c>
      <c r="AO72" s="49">
        <f>IF(O72=".",".",up_RadSpec!$F$16*AO16*$B$72)</f>
        <v>37812.5</v>
      </c>
      <c r="AP72" s="60">
        <f t="shared" ref="AP72:BD72" si="280">IFERROR(AP16/$B58,".")</f>
        <v>0.33057851239669422</v>
      </c>
      <c r="AQ72" s="60">
        <f t="shared" si="280"/>
        <v>3089.9917851942919</v>
      </c>
      <c r="AR72" s="60">
        <f t="shared" si="280"/>
        <v>3187275.8459379398</v>
      </c>
      <c r="AS72" s="60">
        <f t="shared" si="280"/>
        <v>3.2968835384132272E-5</v>
      </c>
      <c r="AT72" s="60">
        <f t="shared" si="280"/>
        <v>6.6115702479338848E-4</v>
      </c>
      <c r="AU72" s="60">
        <f t="shared" si="280"/>
        <v>6.6115702479338848E-4</v>
      </c>
      <c r="AV72" s="60">
        <f t="shared" si="280"/>
        <v>1.8558793678410905E-7</v>
      </c>
      <c r="AW72" s="60">
        <f t="shared" si="280"/>
        <v>1.9115557488763231E-7</v>
      </c>
      <c r="AX72" s="60">
        <f t="shared" si="280"/>
        <v>1.8558793678410905E-7</v>
      </c>
      <c r="AY72" s="60">
        <f t="shared" si="280"/>
        <v>1.8558793678410905E-7</v>
      </c>
      <c r="AZ72" s="60">
        <f t="shared" si="280"/>
        <v>1.8558793678410905E-7</v>
      </c>
      <c r="BA72" s="60">
        <f t="shared" si="280"/>
        <v>1.8558793678410905E-7</v>
      </c>
      <c r="BB72" s="60">
        <f t="shared" si="280"/>
        <v>1.9115557488763231E-7</v>
      </c>
      <c r="BC72" s="60">
        <f t="shared" si="280"/>
        <v>1.8558793678410905E-7</v>
      </c>
      <c r="BD72" s="60">
        <f t="shared" si="280"/>
        <v>1.9115557488763231E-7</v>
      </c>
      <c r="BE72" s="111">
        <f t="shared" si="270"/>
        <v>3.0249999999999999</v>
      </c>
      <c r="BF72" s="111">
        <f t="shared" si="270"/>
        <v>3.236254558317935E-4</v>
      </c>
      <c r="BG72" s="111">
        <f t="shared" si="270"/>
        <v>3.1374755381604682E-7</v>
      </c>
      <c r="BH72" s="111">
        <f t="shared" si="270"/>
        <v>30331.674999999992</v>
      </c>
      <c r="BI72" s="111">
        <f t="shared" si="270"/>
        <v>1512.5</v>
      </c>
      <c r="BJ72" s="111">
        <f t="shared" si="270"/>
        <v>1512.5</v>
      </c>
      <c r="BK72" s="111">
        <f t="shared" si="270"/>
        <v>5388281.2499999991</v>
      </c>
      <c r="BL72" s="111">
        <f t="shared" si="270"/>
        <v>5231341.0194174759</v>
      </c>
      <c r="BM72" s="111">
        <f t="shared" si="270"/>
        <v>5388281.2499999991</v>
      </c>
      <c r="BN72" s="111">
        <f t="shared" si="270"/>
        <v>5388281.2499999991</v>
      </c>
      <c r="BO72" s="111">
        <f t="shared" si="270"/>
        <v>5388281.2499999991</v>
      </c>
      <c r="BP72" s="111">
        <f t="shared" si="270"/>
        <v>5388281.2499999991</v>
      </c>
      <c r="BQ72" s="111">
        <f t="shared" si="270"/>
        <v>5231341.0194174759</v>
      </c>
      <c r="BR72" s="111">
        <f t="shared" si="270"/>
        <v>5388281.2499999991</v>
      </c>
      <c r="BS72" s="111">
        <f t="shared" si="270"/>
        <v>5231341.0194174759</v>
      </c>
      <c r="BT72" s="60">
        <f>IFERROR(BT16/$B58,".")</f>
        <v>2.0808592671575479E-8</v>
      </c>
      <c r="BU72" s="189">
        <f>IFERROR(BU16/$B58,0)</f>
        <v>6.1177262454431908E-17</v>
      </c>
      <c r="BV72" s="49">
        <f>IF(AP72=".",".",up_RadSpec!$E$16*BV16*$B$72)</f>
        <v>75.625</v>
      </c>
      <c r="BW72" s="49">
        <f>IF(AQ72=".",".",up_RadSpec!$H$16*BW16*$B$72)</f>
        <v>8.0906363957948379E-3</v>
      </c>
      <c r="BX72" s="49">
        <f>IF(AR72=".",".",up_RadSpec!$G$16*BX16*$B$72)</f>
        <v>7.8436888454011701E-6</v>
      </c>
      <c r="BY72" s="49">
        <f>up_b2s!CC72</f>
        <v>758291.875</v>
      </c>
      <c r="BZ72" s="49">
        <f>IF(AT72=".",".",up_RadSpec!$F$16*BZ16*$B$72)</f>
        <v>37812.5</v>
      </c>
      <c r="CA72" s="49">
        <f>IF(AU72=".",".",up_RadSpec!$F$16*CA16*$B$72)</f>
        <v>37812.5</v>
      </c>
      <c r="CB72" s="49">
        <f>IF(AV72=".",".",up_RadSpec!$F$16*CB16*$B$72)</f>
        <v>134707031.25</v>
      </c>
      <c r="CC72" s="49">
        <f>IF(AW72=".",".",up_RadSpec!$F$16*CC16*$B$72)</f>
        <v>130783525.4854369</v>
      </c>
      <c r="CD72" s="49">
        <f>IF(AX72=".",".",up_RadSpec!$F$16*CD16*$B$72)</f>
        <v>134707031.25</v>
      </c>
      <c r="CE72" s="49">
        <f>IF(AY72=".",".",up_RadSpec!$F$16*CE16*$B$72)</f>
        <v>134707031.25</v>
      </c>
      <c r="CF72" s="49">
        <f>IF(AZ72=".",".",up_RadSpec!$F$16*CF16*$B$72)</f>
        <v>134707031.25</v>
      </c>
      <c r="CG72" s="49">
        <f>IF(BA72=".",".",up_RadSpec!$F$16*CG16*$B$72)</f>
        <v>134707031.25</v>
      </c>
      <c r="CH72" s="49">
        <f>IF(BB72=".",".",up_RadSpec!$F$16*CH16*$B$72)</f>
        <v>130783525.4854369</v>
      </c>
      <c r="CI72" s="49">
        <f>IF(BC72=".",".",up_RadSpec!$F$16*CI16*$B$72)</f>
        <v>134707031.25</v>
      </c>
      <c r="CJ72" s="49">
        <f>IF(BD72=".",".",up_RadSpec!$F$16*CJ16*$B$72)</f>
        <v>130783525.4854369</v>
      </c>
      <c r="CK72" s="49">
        <f t="shared" si="238"/>
        <v>1201426756.4644091</v>
      </c>
      <c r="CL72" s="60">
        <f>IFERROR(CL16/$B58,".")</f>
        <v>3.6363636363636364E-3</v>
      </c>
      <c r="CM72" s="60" t="str">
        <f>IFERROR(CM16,".")</f>
        <v>.</v>
      </c>
      <c r="CN72" s="60">
        <f t="shared" ref="CN72:CZ72" si="281">IFERROR(CN16/$B58,".")</f>
        <v>39.81818181818182</v>
      </c>
      <c r="CO72" s="60">
        <f t="shared" si="281"/>
        <v>1.6443412786038033E-4</v>
      </c>
      <c r="CP72" s="60">
        <f t="shared" si="281"/>
        <v>0.13223140495867769</v>
      </c>
      <c r="CQ72" s="60">
        <f t="shared" si="281"/>
        <v>0.13223140495867769</v>
      </c>
      <c r="CR72" s="60">
        <f t="shared" si="281"/>
        <v>2.6446280991735537E-2</v>
      </c>
      <c r="CS72" s="60">
        <f t="shared" si="281"/>
        <v>2.7239669421487603E-2</v>
      </c>
      <c r="CT72" s="60">
        <f t="shared" si="281"/>
        <v>2.6446280991735537E-2</v>
      </c>
      <c r="CU72" s="60">
        <f t="shared" si="281"/>
        <v>2.6446280991735537E-2</v>
      </c>
      <c r="CV72" s="60">
        <f t="shared" si="281"/>
        <v>2.6446280991735537E-2</v>
      </c>
      <c r="CW72" s="60">
        <f t="shared" si="281"/>
        <v>2.6446280991735537E-2</v>
      </c>
      <c r="CX72" s="60">
        <f t="shared" si="281"/>
        <v>2.7239669421487603E-2</v>
      </c>
      <c r="CY72" s="60">
        <f t="shared" si="281"/>
        <v>2.6446280991735537E-2</v>
      </c>
      <c r="CZ72" s="60">
        <f t="shared" si="281"/>
        <v>2.7239669421487603E-2</v>
      </c>
      <c r="DA72" s="111">
        <f t="shared" si="76"/>
        <v>275</v>
      </c>
      <c r="DB72" s="111" t="str">
        <f t="shared" si="76"/>
        <v>.</v>
      </c>
      <c r="DC72" s="111">
        <f t="shared" si="76"/>
        <v>2.5114155251141551E-2</v>
      </c>
      <c r="DD72" s="111">
        <f t="shared" si="76"/>
        <v>6081.4626076229861</v>
      </c>
      <c r="DE72" s="111">
        <f t="shared" si="181"/>
        <v>7.5625</v>
      </c>
      <c r="DF72" s="111">
        <f t="shared" si="181"/>
        <v>7.5625</v>
      </c>
      <c r="DG72" s="111">
        <f t="shared" si="181"/>
        <v>37.8125</v>
      </c>
      <c r="DH72" s="111">
        <f t="shared" si="181"/>
        <v>36.711165048543691</v>
      </c>
      <c r="DI72" s="111">
        <f t="shared" si="181"/>
        <v>37.8125</v>
      </c>
      <c r="DJ72" s="111">
        <f t="shared" si="181"/>
        <v>37.8125</v>
      </c>
      <c r="DK72" s="111">
        <f t="shared" si="181"/>
        <v>37.8125</v>
      </c>
      <c r="DL72" s="111">
        <f t="shared" si="181"/>
        <v>37.8125</v>
      </c>
      <c r="DM72" s="111">
        <f t="shared" si="181"/>
        <v>36.711165048543691</v>
      </c>
      <c r="DN72" s="111">
        <f t="shared" si="181"/>
        <v>37.8125</v>
      </c>
      <c r="DO72" s="111">
        <f t="shared" si="181"/>
        <v>36.711165048543691</v>
      </c>
      <c r="DP72" s="60">
        <f>IFERROR(DP16/$B58,".")</f>
        <v>1.4906192608956598E-4</v>
      </c>
      <c r="DQ72" s="189">
        <f t="shared" ref="DQ72" si="282">IFERROR(DQ16/$B58,0)</f>
        <v>4.3824206270332409E-16</v>
      </c>
      <c r="DR72" s="49">
        <f>IF(CL72=".",".",up_RadSpec!$I$16*DR16*$B$72)</f>
        <v>6875</v>
      </c>
      <c r="DS72" s="49" t="str">
        <f>IF(CM72=".",".",up_RadSpec!$H$16*DS16)</f>
        <v>.</v>
      </c>
      <c r="DT72" s="49">
        <f>IF(CN72=".",".",up_RadSpec!$M$16*DT16*$B$72)</f>
        <v>0.62785388127853881</v>
      </c>
      <c r="DU72" s="49">
        <f>up_b2w!CC72</f>
        <v>152036.56519057468</v>
      </c>
      <c r="DV72" s="49">
        <f>IF(CP72=".",".",up_RadSpec!$F$16*DV16*$B$72)</f>
        <v>189.0625</v>
      </c>
      <c r="DW72" s="49">
        <f>IF(CQ72=".",".",up_RadSpec!$F$16*DW16*$B$72)</f>
        <v>189.0625</v>
      </c>
      <c r="DX72" s="49">
        <f>IF(CR72=".",".",up_RadSpec!$F$16*DX16*$B$72)</f>
        <v>945.3125</v>
      </c>
      <c r="DY72" s="49">
        <f>IF(CS72=".",".",up_RadSpec!$F$16*DY16*$B$72)</f>
        <v>917.77912621359224</v>
      </c>
      <c r="DZ72" s="49">
        <f>IF(CT72=".",".",up_RadSpec!$F$16*DZ16*$B$72)</f>
        <v>945.3125</v>
      </c>
      <c r="EA72" s="49">
        <f>IF(CU72=".",".",up_RadSpec!$F$16*EA16*$B$72)</f>
        <v>945.3125</v>
      </c>
      <c r="EB72" s="49">
        <f>IF(CV72=".",".",up_RadSpec!$F$16*EB16*$B$72)</f>
        <v>945.3125</v>
      </c>
      <c r="EC72" s="49">
        <f>IF(CW72=".",".",up_RadSpec!$F$16*EC16*$B$72)</f>
        <v>945.3125</v>
      </c>
      <c r="ED72" s="49">
        <f>IF(CX72=".",".",up_RadSpec!$F$16*ED16*$B$72)</f>
        <v>917.77912621359224</v>
      </c>
      <c r="EE72" s="49">
        <f>IF(CY72=".",".",up_RadSpec!$F$16*EE16*$B$72)</f>
        <v>945.3125</v>
      </c>
      <c r="EF72" s="49">
        <f>IF(CZ72=".",".",up_RadSpec!$F$16*EF16*$B$72)</f>
        <v>917.77912621359224</v>
      </c>
      <c r="EG72" s="49">
        <f t="shared" si="241"/>
        <v>167715.53042309676</v>
      </c>
      <c r="EH72" s="60">
        <f>IFERROR(EH16/$B58,".")</f>
        <v>9.9740259740259754E-3</v>
      </c>
      <c r="EI72" s="60">
        <f>IFERROR(EI16/$B58,".")</f>
        <v>63.709090909090911</v>
      </c>
      <c r="EJ72" s="60">
        <f>IFERROR(EJ16/$B58,".")</f>
        <v>9.9724647271019675E-3</v>
      </c>
      <c r="EK72" s="189">
        <f t="shared" ref="EK72" si="283">IFERROR(EK16/$B58,0)</f>
        <v>2.9319046297679789E-14</v>
      </c>
      <c r="EL72" s="49">
        <f>IF(EH72=".",".",up_RadSpec!$H$16*EL16*$B$72)</f>
        <v>2506.5104166666661</v>
      </c>
      <c r="EM72" s="49">
        <f>IF(EI72=".",".",up_RadSpec!$K$16*EM16*$B$72)</f>
        <v>0.39240867579908678</v>
      </c>
      <c r="EN72" s="49">
        <f t="shared" si="60"/>
        <v>2506.9028253424653</v>
      </c>
    </row>
    <row r="73" spans="1:144" x14ac:dyDescent="0.25">
      <c r="A73" s="77" t="s">
        <v>1080</v>
      </c>
      <c r="B73" s="42">
        <v>1</v>
      </c>
      <c r="C73" s="170"/>
      <c r="D73" s="60">
        <f t="shared" ref="D73:O73" si="284">IFERROR(D7/$B59,".")</f>
        <v>1.6528925619834712E-4</v>
      </c>
      <c r="E73" s="60">
        <f t="shared" si="284"/>
        <v>6.6115702479338848E-4</v>
      </c>
      <c r="F73" s="60">
        <f t="shared" si="284"/>
        <v>6.6115702479338848E-4</v>
      </c>
      <c r="G73" s="60">
        <f t="shared" si="284"/>
        <v>6.6115702479338848E-4</v>
      </c>
      <c r="H73" s="60">
        <f t="shared" si="284"/>
        <v>6.6115702479338848E-4</v>
      </c>
      <c r="I73" s="60">
        <f t="shared" si="284"/>
        <v>6.6115702479338848E-4</v>
      </c>
      <c r="J73" s="60">
        <f t="shared" si="284"/>
        <v>6.6115702479338848E-4</v>
      </c>
      <c r="K73" s="60">
        <f t="shared" si="284"/>
        <v>6.6115702479338848E-4</v>
      </c>
      <c r="L73" s="60">
        <f t="shared" si="284"/>
        <v>6.6115702479338848E-4</v>
      </c>
      <c r="M73" s="60">
        <f t="shared" si="284"/>
        <v>6.6115702479338848E-4</v>
      </c>
      <c r="N73" s="60">
        <f t="shared" si="284"/>
        <v>6.6115702479338848E-4</v>
      </c>
      <c r="O73" s="60">
        <f t="shared" si="284"/>
        <v>6.6115702479338848E-4</v>
      </c>
      <c r="P73" s="111">
        <f t="shared" si="236"/>
        <v>1512.5</v>
      </c>
      <c r="Q73" s="111">
        <f t="shared" si="236"/>
        <v>1512.5</v>
      </c>
      <c r="R73" s="111">
        <f t="shared" si="236"/>
        <v>1512.5</v>
      </c>
      <c r="S73" s="111">
        <f t="shared" si="236"/>
        <v>1512.5</v>
      </c>
      <c r="T73" s="111">
        <f t="shared" si="236"/>
        <v>1512.5</v>
      </c>
      <c r="U73" s="111">
        <f t="shared" si="236"/>
        <v>1512.5</v>
      </c>
      <c r="V73" s="111">
        <f t="shared" si="236"/>
        <v>1512.5</v>
      </c>
      <c r="W73" s="111">
        <f t="shared" si="236"/>
        <v>1512.5</v>
      </c>
      <c r="X73" s="111">
        <f t="shared" si="26"/>
        <v>1512.5</v>
      </c>
      <c r="Y73" s="111">
        <f t="shared" si="26"/>
        <v>1512.5</v>
      </c>
      <c r="Z73" s="111">
        <f t="shared" si="26"/>
        <v>1512.5</v>
      </c>
      <c r="AA73" s="111">
        <f t="shared" si="26"/>
        <v>1512.5</v>
      </c>
      <c r="AB73" s="60">
        <f>IFERROR(AB7/$B59,".")</f>
        <v>5.5096418732782371E-5</v>
      </c>
      <c r="AC73" s="189">
        <f>IFERROR(AC7/$B59,0)</f>
        <v>1.6198347107438019E-13</v>
      </c>
      <c r="AD73" s="49">
        <f>up_dir!BC73</f>
        <v>151250</v>
      </c>
      <c r="AE73" s="49">
        <f>IF(E73=".",".",up_RadSpec!$F$7*AE7*$B$73)</f>
        <v>37812.5</v>
      </c>
      <c r="AF73" s="49">
        <f>IF(F73=".",".",up_RadSpec!$F$7*AF7*$B$73)</f>
        <v>37812.5</v>
      </c>
      <c r="AG73" s="49">
        <f>IF(G73=".",".",up_RadSpec!$F$7*AG7*$B$73)</f>
        <v>37812.5</v>
      </c>
      <c r="AH73" s="49">
        <f>IF(H73=".",".",up_RadSpec!$F$7*AH7*$B$73)</f>
        <v>37812.5</v>
      </c>
      <c r="AI73" s="49">
        <f>IF(I73=".",".",up_RadSpec!$F$7*AI7*$B$73)</f>
        <v>37812.5</v>
      </c>
      <c r="AJ73" s="49">
        <f>IF(J73=".",".",up_RadSpec!$F$7*AJ7*$B$73)</f>
        <v>37812.5</v>
      </c>
      <c r="AK73" s="49">
        <f>IF(K73=".",".",up_RadSpec!$F$7*AK7*$B$73)</f>
        <v>37812.5</v>
      </c>
      <c r="AL73" s="49">
        <f>IF(L73=".",".",up_RadSpec!$F$7*AL7*$B$73)</f>
        <v>37812.5</v>
      </c>
      <c r="AM73" s="49">
        <f>IF(M73=".",".",up_RadSpec!$F$7*AM7*$B$73)</f>
        <v>37812.5</v>
      </c>
      <c r="AN73" s="49">
        <f>IF(N73=".",".",up_RadSpec!$F$7*AN7*$B$73)</f>
        <v>37812.5</v>
      </c>
      <c r="AO73" s="49">
        <f>IF(O73=".",".",up_RadSpec!$F$7*AO7*$B$73)</f>
        <v>37812.5</v>
      </c>
      <c r="AP73" s="60">
        <f t="shared" ref="AP73:BD73" si="285">IFERROR(AP7/$B59,".")</f>
        <v>0.33057851239669422</v>
      </c>
      <c r="AQ73" s="60">
        <f t="shared" si="285"/>
        <v>3089.9917851942919</v>
      </c>
      <c r="AR73" s="60">
        <f t="shared" si="285"/>
        <v>382.68082282680808</v>
      </c>
      <c r="AS73" s="60">
        <f t="shared" si="285"/>
        <v>3.2968835384132272E-5</v>
      </c>
      <c r="AT73" s="60">
        <f t="shared" si="285"/>
        <v>6.6115702479338848E-4</v>
      </c>
      <c r="AU73" s="60">
        <f t="shared" si="285"/>
        <v>6.6115702479338848E-4</v>
      </c>
      <c r="AV73" s="60">
        <f t="shared" si="285"/>
        <v>1.8558793678410905E-7</v>
      </c>
      <c r="AW73" s="60">
        <f t="shared" si="285"/>
        <v>1.9115557488763231E-7</v>
      </c>
      <c r="AX73" s="60">
        <f t="shared" si="285"/>
        <v>1.8558793678410905E-7</v>
      </c>
      <c r="AY73" s="60">
        <f t="shared" si="285"/>
        <v>1.8558793678410905E-7</v>
      </c>
      <c r="AZ73" s="60">
        <f t="shared" si="285"/>
        <v>1.8558793678410905E-7</v>
      </c>
      <c r="BA73" s="60">
        <f t="shared" si="285"/>
        <v>1.8558793678410905E-7</v>
      </c>
      <c r="BB73" s="60">
        <f t="shared" si="285"/>
        <v>1.9115557488763231E-7</v>
      </c>
      <c r="BC73" s="60">
        <f t="shared" si="285"/>
        <v>1.8558793678410905E-7</v>
      </c>
      <c r="BD73" s="60">
        <f t="shared" si="285"/>
        <v>1.9115557488763231E-7</v>
      </c>
      <c r="BE73" s="111">
        <f t="shared" si="270"/>
        <v>3.0249999999999999</v>
      </c>
      <c r="BF73" s="111">
        <f t="shared" si="270"/>
        <v>3.236254558317935E-4</v>
      </c>
      <c r="BG73" s="111">
        <f t="shared" si="270"/>
        <v>2.6131437489162485E-3</v>
      </c>
      <c r="BH73" s="111">
        <f t="shared" si="270"/>
        <v>30331.674999999992</v>
      </c>
      <c r="BI73" s="111">
        <f t="shared" si="270"/>
        <v>1512.5</v>
      </c>
      <c r="BJ73" s="111">
        <f t="shared" si="270"/>
        <v>1512.5</v>
      </c>
      <c r="BK73" s="111">
        <f t="shared" si="270"/>
        <v>5388281.2499999991</v>
      </c>
      <c r="BL73" s="111">
        <f t="shared" si="270"/>
        <v>5231341.0194174759</v>
      </c>
      <c r="BM73" s="111">
        <f t="shared" si="270"/>
        <v>5388281.2499999991</v>
      </c>
      <c r="BN73" s="111">
        <f t="shared" si="270"/>
        <v>5388281.2499999991</v>
      </c>
      <c r="BO73" s="111">
        <f t="shared" si="270"/>
        <v>5388281.2499999991</v>
      </c>
      <c r="BP73" s="111">
        <f t="shared" si="270"/>
        <v>5388281.2499999991</v>
      </c>
      <c r="BQ73" s="111">
        <f t="shared" si="270"/>
        <v>5231341.0194174759</v>
      </c>
      <c r="BR73" s="111">
        <f t="shared" si="270"/>
        <v>5388281.2499999991</v>
      </c>
      <c r="BS73" s="111">
        <f t="shared" si="270"/>
        <v>5231341.0194174759</v>
      </c>
      <c r="BT73" s="60">
        <f>IFERROR(BT7/$B59,".")</f>
        <v>2.0808592670444131E-8</v>
      </c>
      <c r="BU73" s="189">
        <f>IFERROR(BU7/$B59,0)</f>
        <v>6.117726245110575E-17</v>
      </c>
      <c r="BV73" s="49">
        <f>IF(AP73=".",".",up_RadSpec!$E$7*BV7*$B$73)</f>
        <v>75.625</v>
      </c>
      <c r="BW73" s="49">
        <f>IF(AQ73=".",".",up_RadSpec!$H$7*BW7*$B$73)</f>
        <v>8.0906363957948379E-3</v>
      </c>
      <c r="BX73" s="49">
        <f>IF(AR73=".",".",up_RadSpec!$G$7*BX7*$B$73)</f>
        <v>6.5328593722906211E-2</v>
      </c>
      <c r="BY73" s="49">
        <f>up_b2s!CC73</f>
        <v>758291.875</v>
      </c>
      <c r="BZ73" s="49">
        <f>IF(AT73=".",".",up_RadSpec!$F$7*BZ7*$B$73)</f>
        <v>37812.5</v>
      </c>
      <c r="CA73" s="49">
        <f>IF(AU73=".",".",up_RadSpec!$F$7*CA7*$B$73)</f>
        <v>37812.5</v>
      </c>
      <c r="CB73" s="49">
        <f>IF(AV73=".",".",up_RadSpec!$F$7*CB7*$B$73)</f>
        <v>134707031.25</v>
      </c>
      <c r="CC73" s="49">
        <f>IF(AW73=".",".",up_RadSpec!$F$7*CC7*$B$73)</f>
        <v>130783525.4854369</v>
      </c>
      <c r="CD73" s="49">
        <f>IF(AX73=".",".",up_RadSpec!$F$7*CD7*$B$73)</f>
        <v>134707031.25</v>
      </c>
      <c r="CE73" s="49">
        <f>IF(AY73=".",".",up_RadSpec!$F$7*CE7*$B$73)</f>
        <v>134707031.25</v>
      </c>
      <c r="CF73" s="49">
        <f>IF(AZ73=".",".",up_RadSpec!$F$7*CF7*$B$73)</f>
        <v>134707031.25</v>
      </c>
      <c r="CG73" s="49">
        <f>IF(BA73=".",".",up_RadSpec!$F$7*CG7*$B$73)</f>
        <v>134707031.25</v>
      </c>
      <c r="CH73" s="49">
        <f>IF(BB73=".",".",up_RadSpec!$F$7*CH7*$B$73)</f>
        <v>130783525.4854369</v>
      </c>
      <c r="CI73" s="49">
        <f>IF(BC73=".",".",up_RadSpec!$F$7*CI7*$B$73)</f>
        <v>134707031.25</v>
      </c>
      <c r="CJ73" s="49">
        <f>IF(BD73=".",".",up_RadSpec!$F$7*CJ7*$B$73)</f>
        <v>130783525.4854369</v>
      </c>
      <c r="CK73" s="49">
        <f t="shared" si="238"/>
        <v>1201426756.5297298</v>
      </c>
      <c r="CL73" s="60">
        <f>IFERROR(CL7/$B59,".")</f>
        <v>3.6363636363636364E-3</v>
      </c>
      <c r="CM73" s="60" t="str">
        <f>IFERROR(CM7,".")</f>
        <v>.</v>
      </c>
      <c r="CN73" s="60">
        <f t="shared" ref="CN73:CZ73" si="286">IFERROR(CN7/$B59,".")</f>
        <v>39.81818181818182</v>
      </c>
      <c r="CO73" s="60">
        <f t="shared" si="286"/>
        <v>1.6443412786038033E-4</v>
      </c>
      <c r="CP73" s="60">
        <f t="shared" si="286"/>
        <v>0.13223140495867769</v>
      </c>
      <c r="CQ73" s="60">
        <f t="shared" si="286"/>
        <v>0.13223140495867769</v>
      </c>
      <c r="CR73" s="60">
        <f t="shared" si="286"/>
        <v>2.6446280991735537E-2</v>
      </c>
      <c r="CS73" s="60">
        <f t="shared" si="286"/>
        <v>2.7239669421487603E-2</v>
      </c>
      <c r="CT73" s="60">
        <f t="shared" si="286"/>
        <v>2.6446280991735537E-2</v>
      </c>
      <c r="CU73" s="60">
        <f t="shared" si="286"/>
        <v>2.6446280991735537E-2</v>
      </c>
      <c r="CV73" s="60">
        <f t="shared" si="286"/>
        <v>2.6446280991735537E-2</v>
      </c>
      <c r="CW73" s="60">
        <f t="shared" si="286"/>
        <v>2.6446280991735537E-2</v>
      </c>
      <c r="CX73" s="60">
        <f t="shared" si="286"/>
        <v>2.7239669421487603E-2</v>
      </c>
      <c r="CY73" s="60">
        <f t="shared" si="286"/>
        <v>2.6446280991735537E-2</v>
      </c>
      <c r="CZ73" s="60">
        <f t="shared" si="286"/>
        <v>2.7239669421487603E-2</v>
      </c>
      <c r="DA73" s="111">
        <f t="shared" si="76"/>
        <v>275</v>
      </c>
      <c r="DB73" s="111" t="str">
        <f t="shared" si="76"/>
        <v>.</v>
      </c>
      <c r="DC73" s="111">
        <f t="shared" si="76"/>
        <v>2.5114155251141551E-2</v>
      </c>
      <c r="DD73" s="111">
        <f t="shared" si="76"/>
        <v>6081.4626076229861</v>
      </c>
      <c r="DE73" s="111">
        <f t="shared" si="181"/>
        <v>7.5625</v>
      </c>
      <c r="DF73" s="111">
        <f t="shared" si="181"/>
        <v>7.5625</v>
      </c>
      <c r="DG73" s="111">
        <f t="shared" si="181"/>
        <v>37.8125</v>
      </c>
      <c r="DH73" s="111">
        <f t="shared" si="181"/>
        <v>36.711165048543691</v>
      </c>
      <c r="DI73" s="111">
        <f t="shared" si="181"/>
        <v>37.8125</v>
      </c>
      <c r="DJ73" s="111">
        <f t="shared" si="181"/>
        <v>37.8125</v>
      </c>
      <c r="DK73" s="111">
        <f t="shared" si="181"/>
        <v>37.8125</v>
      </c>
      <c r="DL73" s="111">
        <f t="shared" si="181"/>
        <v>37.8125</v>
      </c>
      <c r="DM73" s="111">
        <f t="shared" si="181"/>
        <v>36.711165048543691</v>
      </c>
      <c r="DN73" s="111">
        <f t="shared" si="181"/>
        <v>37.8125</v>
      </c>
      <c r="DO73" s="111">
        <f t="shared" si="181"/>
        <v>36.711165048543691</v>
      </c>
      <c r="DP73" s="60">
        <f>IFERROR(DP7/$B59,".")</f>
        <v>1.4906192608956598E-4</v>
      </c>
      <c r="DQ73" s="189">
        <f t="shared" ref="DQ73" si="287">IFERROR(DQ7/$B59,0)</f>
        <v>4.3824206270332409E-16</v>
      </c>
      <c r="DR73" s="49">
        <f>IF(CL73=".",".",up_RadSpec!$I$7*DR7*$B$73)</f>
        <v>6875</v>
      </c>
      <c r="DS73" s="49" t="str">
        <f>IF(CM73=".",".",up_RadSpec!$H$7*DS7)</f>
        <v>.</v>
      </c>
      <c r="DT73" s="49">
        <f>IF(CN73=".",".",up_RadSpec!$M$7*DT7*$B$73)</f>
        <v>0.62785388127853881</v>
      </c>
      <c r="DU73" s="49">
        <f>up_b2w!CC73</f>
        <v>152036.56519057468</v>
      </c>
      <c r="DV73" s="49">
        <f>IF(CP73=".",".",up_RadSpec!$F$7*DV7*$B$73)</f>
        <v>189.0625</v>
      </c>
      <c r="DW73" s="49">
        <f>IF(CQ73=".",".",up_RadSpec!$F$7*DW7*$B$73)</f>
        <v>189.0625</v>
      </c>
      <c r="DX73" s="49">
        <f>IF(CR73=".",".",up_RadSpec!$F$7*DX7*$B$73)</f>
        <v>945.3125</v>
      </c>
      <c r="DY73" s="49">
        <f>IF(CS73=".",".",up_RadSpec!$F$7*DY7*$B$73)</f>
        <v>917.77912621359224</v>
      </c>
      <c r="DZ73" s="49">
        <f>IF(CT73=".",".",up_RadSpec!$F$7*DZ7*$B$73)</f>
        <v>945.3125</v>
      </c>
      <c r="EA73" s="49">
        <f>IF(CU73=".",".",up_RadSpec!$F$7*EA7*$B$73)</f>
        <v>945.3125</v>
      </c>
      <c r="EB73" s="49">
        <f>IF(CV73=".",".",up_RadSpec!$F$7*EB7*$B$73)</f>
        <v>945.3125</v>
      </c>
      <c r="EC73" s="49">
        <f>IF(CW73=".",".",up_RadSpec!$F$7*EC7*$B$73)</f>
        <v>945.3125</v>
      </c>
      <c r="ED73" s="49">
        <f>IF(CX73=".",".",up_RadSpec!$F$7*ED7*$B$73)</f>
        <v>917.77912621359224</v>
      </c>
      <c r="EE73" s="49">
        <f>IF(CY73=".",".",up_RadSpec!$F$7*EE7*$B$73)</f>
        <v>945.3125</v>
      </c>
      <c r="EF73" s="49">
        <f>IF(CZ73=".",".",up_RadSpec!$F$7*EF7*$B$73)</f>
        <v>917.77912621359224</v>
      </c>
      <c r="EG73" s="49">
        <f t="shared" si="241"/>
        <v>167715.53042309676</v>
      </c>
      <c r="EH73" s="60">
        <f>IFERROR(EH7/$B59,".")</f>
        <v>9.9740259740259754E-3</v>
      </c>
      <c r="EI73" s="60">
        <f>IFERROR(EI7/$B59,".")</f>
        <v>63.709090909090911</v>
      </c>
      <c r="EJ73" s="60">
        <f>IFERROR(EJ7/$B59,".")</f>
        <v>9.9724647271019675E-3</v>
      </c>
      <c r="EK73" s="189">
        <f t="shared" ref="EK73" si="288">IFERROR(EK7/$B59,0)</f>
        <v>2.9319046297679789E-14</v>
      </c>
      <c r="EL73" s="49">
        <f>IF(EH73=".",".",up_RadSpec!$H$7*EL7*$B$73)</f>
        <v>2506.5104166666661</v>
      </c>
      <c r="EM73" s="49">
        <f>IF(EI73=".",".",up_RadSpec!$K$7*EM7*$B$73)</f>
        <v>0.39240867579908678</v>
      </c>
      <c r="EN73" s="49">
        <f t="shared" si="60"/>
        <v>2506.9028253424653</v>
      </c>
    </row>
    <row r="74" spans="1:144" x14ac:dyDescent="0.25">
      <c r="A74" s="77" t="s">
        <v>1081</v>
      </c>
      <c r="B74" s="80">
        <v>1.9000000000000001E-8</v>
      </c>
      <c r="C74" s="174"/>
      <c r="D74" s="60">
        <f t="shared" ref="D74:O74" si="289">IFERROR(D12/$B60,".")</f>
        <v>8699.4345367551105</v>
      </c>
      <c r="E74" s="60">
        <f t="shared" si="289"/>
        <v>34797.738147020442</v>
      </c>
      <c r="F74" s="60">
        <f t="shared" si="289"/>
        <v>34797.738147020442</v>
      </c>
      <c r="G74" s="60">
        <f t="shared" si="289"/>
        <v>34797.738147020442</v>
      </c>
      <c r="H74" s="60">
        <f t="shared" si="289"/>
        <v>34797.738147020442</v>
      </c>
      <c r="I74" s="60">
        <f t="shared" si="289"/>
        <v>34797.738147020442</v>
      </c>
      <c r="J74" s="60">
        <f t="shared" si="289"/>
        <v>34797.738147020442</v>
      </c>
      <c r="K74" s="60">
        <f t="shared" si="289"/>
        <v>34797.738147020442</v>
      </c>
      <c r="L74" s="60">
        <f t="shared" si="289"/>
        <v>34797.738147020442</v>
      </c>
      <c r="M74" s="60">
        <f t="shared" si="289"/>
        <v>34797.738147020442</v>
      </c>
      <c r="N74" s="60">
        <f t="shared" si="289"/>
        <v>34797.738147020442</v>
      </c>
      <c r="O74" s="60">
        <f t="shared" si="289"/>
        <v>34797.738147020442</v>
      </c>
      <c r="P74" s="111">
        <f t="shared" si="236"/>
        <v>2.8737500000000001E-5</v>
      </c>
      <c r="Q74" s="111">
        <f t="shared" si="236"/>
        <v>2.8737500000000001E-5</v>
      </c>
      <c r="R74" s="111">
        <f t="shared" si="236"/>
        <v>2.8737500000000001E-5</v>
      </c>
      <c r="S74" s="111">
        <f t="shared" si="236"/>
        <v>2.8737500000000001E-5</v>
      </c>
      <c r="T74" s="111">
        <f t="shared" si="236"/>
        <v>2.8737500000000001E-5</v>
      </c>
      <c r="U74" s="111">
        <f t="shared" si="236"/>
        <v>2.8737500000000001E-5</v>
      </c>
      <c r="V74" s="111">
        <f t="shared" si="236"/>
        <v>2.8737500000000001E-5</v>
      </c>
      <c r="W74" s="111">
        <f t="shared" si="236"/>
        <v>2.8737500000000001E-5</v>
      </c>
      <c r="X74" s="111">
        <f t="shared" si="26"/>
        <v>2.8737500000000001E-5</v>
      </c>
      <c r="Y74" s="111">
        <f t="shared" si="26"/>
        <v>2.8737500000000001E-5</v>
      </c>
      <c r="Z74" s="111">
        <f t="shared" si="26"/>
        <v>2.8737500000000001E-5</v>
      </c>
      <c r="AA74" s="111">
        <f t="shared" si="26"/>
        <v>2.8737500000000001E-5</v>
      </c>
      <c r="AB74" s="60">
        <f>IFERROR(AB12/$B60,".")</f>
        <v>2899.8115122517033</v>
      </c>
      <c r="AC74" s="189">
        <f>IFERROR(AC12/$B60,0)</f>
        <v>8.3630564013339149E-6</v>
      </c>
      <c r="AD74" s="49">
        <f>up_dir!BC74</f>
        <v>2.8737500000000004E-3</v>
      </c>
      <c r="AE74" s="49">
        <f>IF(E74=".",".",up_RadSpec!$F$12*AE12*$B$74)</f>
        <v>7.184375E-4</v>
      </c>
      <c r="AF74" s="49">
        <f>IF(F74=".",".",up_RadSpec!$F$12*AF12*$B$74)</f>
        <v>7.184375E-4</v>
      </c>
      <c r="AG74" s="49">
        <f>IF(G74=".",".",up_RadSpec!$F$12*AG12*$B$74)</f>
        <v>7.184375E-4</v>
      </c>
      <c r="AH74" s="49">
        <f>IF(H74=".",".",up_RadSpec!$F$12*AH12*$B$74)</f>
        <v>7.184375E-4</v>
      </c>
      <c r="AI74" s="49">
        <f>IF(I74=".",".",up_RadSpec!$F$12*AI12*$B$74)</f>
        <v>7.184375E-4</v>
      </c>
      <c r="AJ74" s="49">
        <f>IF(J74=".",".",up_RadSpec!$F$12*AJ12*$B$74)</f>
        <v>7.184375E-4</v>
      </c>
      <c r="AK74" s="49">
        <f>IF(K74=".",".",up_RadSpec!$F$12*AK12*$B$74)</f>
        <v>7.184375E-4</v>
      </c>
      <c r="AL74" s="49">
        <f>IF(L74=".",".",up_RadSpec!$F$12*AL12*$B$74)</f>
        <v>7.184375E-4</v>
      </c>
      <c r="AM74" s="49">
        <f>IF(M74=".",".",up_RadSpec!$F$12*AM12*$B$74)</f>
        <v>7.184375E-4</v>
      </c>
      <c r="AN74" s="49">
        <f>IF(N74=".",".",up_RadSpec!$F$12*AN12*$B$74)</f>
        <v>7.184375E-4</v>
      </c>
      <c r="AO74" s="49">
        <f>IF(O74=".",".",up_RadSpec!$F$12*AO12*$B$74)</f>
        <v>7.184375E-4</v>
      </c>
      <c r="AP74" s="60">
        <f t="shared" ref="AP74:BD74" si="290">IFERROR(AP12/$B60,".")</f>
        <v>17398869.073510222</v>
      </c>
      <c r="AQ74" s="60">
        <f t="shared" si="290"/>
        <v>162631146589.17325</v>
      </c>
      <c r="AR74" s="60">
        <f t="shared" si="290"/>
        <v>15632030333.122686</v>
      </c>
      <c r="AS74" s="60">
        <f t="shared" si="290"/>
        <v>1735.2018623227509</v>
      </c>
      <c r="AT74" s="60">
        <f t="shared" si="290"/>
        <v>34797.738147020442</v>
      </c>
      <c r="AU74" s="60">
        <f t="shared" si="290"/>
        <v>34797.738147020442</v>
      </c>
      <c r="AV74" s="60">
        <f t="shared" si="290"/>
        <v>9.767786146532055</v>
      </c>
      <c r="AW74" s="60">
        <f t="shared" si="290"/>
        <v>10.060819730928015</v>
      </c>
      <c r="AX74" s="60">
        <f t="shared" si="290"/>
        <v>9.767786146532055</v>
      </c>
      <c r="AY74" s="60">
        <f t="shared" si="290"/>
        <v>9.767786146532055</v>
      </c>
      <c r="AZ74" s="60">
        <f t="shared" si="290"/>
        <v>9.767786146532055</v>
      </c>
      <c r="BA74" s="60">
        <f t="shared" si="290"/>
        <v>9.767786146532055</v>
      </c>
      <c r="BB74" s="60">
        <f t="shared" si="290"/>
        <v>10.060819730928015</v>
      </c>
      <c r="BC74" s="60">
        <f t="shared" si="290"/>
        <v>9.767786146532055</v>
      </c>
      <c r="BD74" s="60">
        <f t="shared" si="290"/>
        <v>10.060819730928015</v>
      </c>
      <c r="BE74" s="111">
        <f t="shared" si="270"/>
        <v>5.7474999999999997E-8</v>
      </c>
      <c r="BF74" s="111">
        <f t="shared" si="270"/>
        <v>6.1488836608040762E-12</v>
      </c>
      <c r="BG74" s="111">
        <f t="shared" si="270"/>
        <v>6.3971216706322627E-11</v>
      </c>
      <c r="BH74" s="111">
        <f t="shared" si="270"/>
        <v>5.7630182499999994E-4</v>
      </c>
      <c r="BI74" s="111">
        <f t="shared" si="270"/>
        <v>2.8737500000000001E-5</v>
      </c>
      <c r="BJ74" s="111">
        <f t="shared" si="270"/>
        <v>2.8737500000000001E-5</v>
      </c>
      <c r="BK74" s="111">
        <f t="shared" si="270"/>
        <v>0.10237734374999999</v>
      </c>
      <c r="BL74" s="111">
        <f t="shared" si="270"/>
        <v>9.9395479368932046E-2</v>
      </c>
      <c r="BM74" s="111">
        <f t="shared" si="270"/>
        <v>0.10237734374999999</v>
      </c>
      <c r="BN74" s="111">
        <f t="shared" si="270"/>
        <v>0.10237734374999999</v>
      </c>
      <c r="BO74" s="111">
        <f t="shared" si="270"/>
        <v>0.10237734374999999</v>
      </c>
      <c r="BP74" s="111">
        <f t="shared" si="270"/>
        <v>0.10237734374999999</v>
      </c>
      <c r="BQ74" s="111">
        <f t="shared" si="270"/>
        <v>9.9395479368932046E-2</v>
      </c>
      <c r="BR74" s="111">
        <f t="shared" si="270"/>
        <v>0.10237734374999999</v>
      </c>
      <c r="BS74" s="111">
        <f t="shared" si="270"/>
        <v>9.9395479368932046E-2</v>
      </c>
      <c r="BT74" s="60">
        <f>IFERROR(BT12/$B60,".")</f>
        <v>1.0951890879009345</v>
      </c>
      <c r="BU74" s="189">
        <f>IFERROR(BU12/$B60,0)</f>
        <v>3.1585253295062951E-9</v>
      </c>
      <c r="BV74" s="49">
        <f>IF(AP74=".",".",up_RadSpec!$E$12*BV12*$B$74)</f>
        <v>1.4368750000000001E-6</v>
      </c>
      <c r="BW74" s="49">
        <f>IF(AQ74=".",".",up_RadSpec!$H$12*BW12*$B$74)</f>
        <v>1.5372209152010192E-10</v>
      </c>
      <c r="BX74" s="49">
        <f>IF(AR74=".",".",up_RadSpec!$G$12*BX12*$B$74)</f>
        <v>1.5992804176580659E-9</v>
      </c>
      <c r="BY74" s="49">
        <f>up_b2s!CC74</f>
        <v>1.4407545625000002E-2</v>
      </c>
      <c r="BZ74" s="49">
        <f>IF(AT74=".",".",up_RadSpec!$F$12*BZ12*$B$74)</f>
        <v>7.184375E-4</v>
      </c>
      <c r="CA74" s="49">
        <f>IF(AU74=".",".",up_RadSpec!$F$12*CA12*$B$74)</f>
        <v>7.184375E-4</v>
      </c>
      <c r="CB74" s="49">
        <f>IF(AV74=".",".",up_RadSpec!$F$12*CB12*$B$74)</f>
        <v>2.5594335937500001</v>
      </c>
      <c r="CC74" s="49">
        <f>IF(AW74=".",".",up_RadSpec!$F$12*CC12*$B$74)</f>
        <v>2.4848869842233015</v>
      </c>
      <c r="CD74" s="49">
        <f>IF(AX74=".",".",up_RadSpec!$F$12*CD12*$B$74)</f>
        <v>2.5594335937500001</v>
      </c>
      <c r="CE74" s="49">
        <f>IF(AY74=".",".",up_RadSpec!$F$12*CE12*$B$74)</f>
        <v>2.5594335937500001</v>
      </c>
      <c r="CF74" s="49">
        <f>IF(AZ74=".",".",up_RadSpec!$F$12*CF12*$B$74)</f>
        <v>2.5594335937500001</v>
      </c>
      <c r="CG74" s="49">
        <f>IF(BA74=".",".",up_RadSpec!$F$12*CG12*$B$74)</f>
        <v>2.5594335937500001</v>
      </c>
      <c r="CH74" s="49">
        <f>IF(BB74=".",".",up_RadSpec!$F$12*CH12*$B$74)</f>
        <v>2.4848869842233015</v>
      </c>
      <c r="CI74" s="49">
        <f>IF(BC74=".",".",up_RadSpec!$F$12*CI12*$B$74)</f>
        <v>2.5594335937500001</v>
      </c>
      <c r="CJ74" s="49">
        <f>IF(BD74=".",".",up_RadSpec!$F$12*CJ12*$B$74)</f>
        <v>2.4848869842233015</v>
      </c>
      <c r="CK74" s="49">
        <f t="shared" si="238"/>
        <v>22.82710837442291</v>
      </c>
      <c r="CL74" s="60">
        <f>IFERROR(CL12/$B60,".")</f>
        <v>191387.55980861242</v>
      </c>
      <c r="CM74" s="60" t="str">
        <f>IFERROR(CM12,".")</f>
        <v>.</v>
      </c>
      <c r="CN74" s="60">
        <f t="shared" ref="CN74:CZ74" si="291">IFERROR(CN12/$B60,".")</f>
        <v>2095693779.9043062</v>
      </c>
      <c r="CO74" s="60">
        <f t="shared" si="291"/>
        <v>8654.4277821252799</v>
      </c>
      <c r="CP74" s="60">
        <f t="shared" si="291"/>
        <v>6959547.6294040885</v>
      </c>
      <c r="CQ74" s="60">
        <f t="shared" si="291"/>
        <v>6959547.6294040885</v>
      </c>
      <c r="CR74" s="60">
        <f t="shared" si="291"/>
        <v>1391909.5258808176</v>
      </c>
      <c r="CS74" s="60">
        <f t="shared" si="291"/>
        <v>1433666.8116572422</v>
      </c>
      <c r="CT74" s="60">
        <f t="shared" si="291"/>
        <v>1391909.5258808176</v>
      </c>
      <c r="CU74" s="60">
        <f t="shared" si="291"/>
        <v>1391909.5258808176</v>
      </c>
      <c r="CV74" s="60">
        <f t="shared" si="291"/>
        <v>1391909.5258808176</v>
      </c>
      <c r="CW74" s="60">
        <f t="shared" si="291"/>
        <v>1391909.5258808176</v>
      </c>
      <c r="CX74" s="60">
        <f t="shared" si="291"/>
        <v>1433666.8116572422</v>
      </c>
      <c r="CY74" s="60">
        <f t="shared" si="291"/>
        <v>1391909.5258808176</v>
      </c>
      <c r="CZ74" s="60">
        <f t="shared" si="291"/>
        <v>1433666.8116572422</v>
      </c>
      <c r="DA74" s="111">
        <f t="shared" si="76"/>
        <v>5.2250000000000008E-6</v>
      </c>
      <c r="DB74" s="111" t="str">
        <f t="shared" si="76"/>
        <v>.</v>
      </c>
      <c r="DC74" s="111">
        <f t="shared" si="76"/>
        <v>4.7716894977168946E-10</v>
      </c>
      <c r="DD74" s="111">
        <f t="shared" si="76"/>
        <v>1.1554778954483673E-4</v>
      </c>
      <c r="DE74" s="111">
        <f t="shared" si="181"/>
        <v>1.436875E-7</v>
      </c>
      <c r="DF74" s="111">
        <f t="shared" si="181"/>
        <v>1.436875E-7</v>
      </c>
      <c r="DG74" s="111">
        <f t="shared" si="181"/>
        <v>7.1843750000000006E-7</v>
      </c>
      <c r="DH74" s="111">
        <f t="shared" si="181"/>
        <v>6.9751213592233012E-7</v>
      </c>
      <c r="DI74" s="111">
        <f t="shared" si="181"/>
        <v>7.1843750000000006E-7</v>
      </c>
      <c r="DJ74" s="111">
        <f t="shared" si="181"/>
        <v>7.1843750000000006E-7</v>
      </c>
      <c r="DK74" s="111">
        <f t="shared" si="181"/>
        <v>7.1843750000000006E-7</v>
      </c>
      <c r="DL74" s="111">
        <f t="shared" si="181"/>
        <v>7.1843750000000006E-7</v>
      </c>
      <c r="DM74" s="111">
        <f t="shared" si="181"/>
        <v>6.9751213592233012E-7</v>
      </c>
      <c r="DN74" s="111">
        <f t="shared" si="181"/>
        <v>7.1843750000000006E-7</v>
      </c>
      <c r="DO74" s="111">
        <f t="shared" si="181"/>
        <v>6.9751213592233012E-7</v>
      </c>
      <c r="DP74" s="60">
        <f>IFERROR(DP12/$B60,".")</f>
        <v>7845.3645310297879</v>
      </c>
      <c r="DQ74" s="189">
        <f t="shared" ref="DQ74" si="292">IFERROR(DQ12/$B60,0)</f>
        <v>2.2626031307489911E-8</v>
      </c>
      <c r="DR74" s="49">
        <f>IF(CL74=".",".",up_RadSpec!$I$12*DR12*$B$74)</f>
        <v>1.3062500000000002E-4</v>
      </c>
      <c r="DS74" s="49" t="str">
        <f>IF(CM74=".",".",up_RadSpec!$H$12*DS12)</f>
        <v>.</v>
      </c>
      <c r="DT74" s="49">
        <f>IF(CN74=".",".",up_RadSpec!$M$12*DT12*$B$74)</f>
        <v>1.1929223744292239E-8</v>
      </c>
      <c r="DU74" s="49">
        <f>up_b2w!CC74</f>
        <v>2.888694738620919E-3</v>
      </c>
      <c r="DV74" s="49">
        <f>IF(CP74=".",".",up_RadSpec!$F$12*DV12*$B$74)</f>
        <v>3.5921875000000001E-6</v>
      </c>
      <c r="DW74" s="49">
        <f>IF(CQ74=".",".",up_RadSpec!$F$12*DW12*$B$74)</f>
        <v>3.5921875000000001E-6</v>
      </c>
      <c r="DX74" s="49">
        <f>IF(CR74=".",".",up_RadSpec!$F$12*DX12*$B$74)</f>
        <v>1.7960937500000002E-5</v>
      </c>
      <c r="DY74" s="49">
        <f>IF(CS74=".",".",up_RadSpec!$F$12*DY12*$B$74)</f>
        <v>1.7437803398058254E-5</v>
      </c>
      <c r="DZ74" s="49">
        <f>IF(CT74=".",".",up_RadSpec!$F$12*DZ12*$B$74)</f>
        <v>1.7960937500000002E-5</v>
      </c>
      <c r="EA74" s="49">
        <f>IF(CU74=".",".",up_RadSpec!$F$12*EA12*$B$74)</f>
        <v>1.7960937500000002E-5</v>
      </c>
      <c r="EB74" s="49">
        <f>IF(CV74=".",".",up_RadSpec!$F$12*EB12*$B$74)</f>
        <v>1.7960937500000002E-5</v>
      </c>
      <c r="EC74" s="49">
        <f>IF(CW74=".",".",up_RadSpec!$F$12*EC12*$B$74)</f>
        <v>1.7960937500000002E-5</v>
      </c>
      <c r="ED74" s="49">
        <f>IF(CX74=".",".",up_RadSpec!$F$12*ED12*$B$74)</f>
        <v>1.7437803398058254E-5</v>
      </c>
      <c r="EE74" s="49">
        <f>IF(CY74=".",".",up_RadSpec!$F$12*EE12*$B$74)</f>
        <v>1.7960937500000002E-5</v>
      </c>
      <c r="EF74" s="49">
        <f>IF(CZ74=".",".",up_RadSpec!$F$12*EF12*$B$74)</f>
        <v>1.7437803398058254E-5</v>
      </c>
      <c r="EG74" s="49">
        <f t="shared" si="241"/>
        <v>3.1865950780388375E-3</v>
      </c>
      <c r="EH74" s="60">
        <f>IFERROR(EH12/$B60,".")</f>
        <v>524948.73547505133</v>
      </c>
      <c r="EI74" s="60">
        <f>IFERROR(EI12/$B60,".")</f>
        <v>3353110047.84689</v>
      </c>
      <c r="EJ74" s="60">
        <f>IFERROR(EJ12/$B60,".")</f>
        <v>524866.56458431401</v>
      </c>
      <c r="EK74" s="189">
        <f t="shared" ref="EK74" si="293">IFERROR(EK12/$B60,0)</f>
        <v>1.5137151722611618E-6</v>
      </c>
      <c r="EL74" s="49">
        <f>IF(EH74=".",".",up_RadSpec!$H$12*EL12*$B$74)</f>
        <v>4.762369791666666E-5</v>
      </c>
      <c r="EM74" s="49">
        <f>IF(EI74=".",".",up_RadSpec!$K$12*EM12*$B$74)</f>
        <v>7.4557648401826493E-9</v>
      </c>
      <c r="EN74" s="49">
        <f t="shared" si="60"/>
        <v>4.7631153681506843E-5</v>
      </c>
    </row>
    <row r="75" spans="1:144" x14ac:dyDescent="0.25">
      <c r="A75" s="77" t="s">
        <v>1082</v>
      </c>
      <c r="B75" s="42">
        <v>1</v>
      </c>
      <c r="C75" s="170"/>
      <c r="D75" s="60">
        <f t="shared" ref="D75:O75" si="294">IFERROR(D18/$B61,".")</f>
        <v>1.6528925619834712E-4</v>
      </c>
      <c r="E75" s="60">
        <f t="shared" si="294"/>
        <v>6.6115702479338848E-4</v>
      </c>
      <c r="F75" s="60">
        <f t="shared" si="294"/>
        <v>6.6115702479338848E-4</v>
      </c>
      <c r="G75" s="60">
        <f t="shared" si="294"/>
        <v>6.6115702479338848E-4</v>
      </c>
      <c r="H75" s="60">
        <f t="shared" si="294"/>
        <v>6.6115702479338848E-4</v>
      </c>
      <c r="I75" s="60">
        <f t="shared" si="294"/>
        <v>6.6115702479338848E-4</v>
      </c>
      <c r="J75" s="60">
        <f t="shared" si="294"/>
        <v>6.6115702479338848E-4</v>
      </c>
      <c r="K75" s="60">
        <f t="shared" si="294"/>
        <v>6.6115702479338848E-4</v>
      </c>
      <c r="L75" s="60">
        <f t="shared" si="294"/>
        <v>6.6115702479338848E-4</v>
      </c>
      <c r="M75" s="60">
        <f t="shared" si="294"/>
        <v>6.6115702479338848E-4</v>
      </c>
      <c r="N75" s="60">
        <f t="shared" si="294"/>
        <v>6.6115702479338848E-4</v>
      </c>
      <c r="O75" s="60">
        <f t="shared" si="294"/>
        <v>6.6115702479338848E-4</v>
      </c>
      <c r="P75" s="111">
        <f t="shared" si="236"/>
        <v>1512.5</v>
      </c>
      <c r="Q75" s="111">
        <f t="shared" si="236"/>
        <v>1512.5</v>
      </c>
      <c r="R75" s="111">
        <f t="shared" si="236"/>
        <v>1512.5</v>
      </c>
      <c r="S75" s="111">
        <f t="shared" si="236"/>
        <v>1512.5</v>
      </c>
      <c r="T75" s="111">
        <f t="shared" si="236"/>
        <v>1512.5</v>
      </c>
      <c r="U75" s="111">
        <f t="shared" si="236"/>
        <v>1512.5</v>
      </c>
      <c r="V75" s="111">
        <f t="shared" si="236"/>
        <v>1512.5</v>
      </c>
      <c r="W75" s="111">
        <f t="shared" si="236"/>
        <v>1512.5</v>
      </c>
      <c r="X75" s="111">
        <f t="shared" si="26"/>
        <v>1512.5</v>
      </c>
      <c r="Y75" s="111">
        <f t="shared" si="26"/>
        <v>1512.5</v>
      </c>
      <c r="Z75" s="111">
        <f t="shared" si="26"/>
        <v>1512.5</v>
      </c>
      <c r="AA75" s="111">
        <f t="shared" si="26"/>
        <v>1512.5</v>
      </c>
      <c r="AB75" s="60">
        <f>IFERROR(AB18/$B61,".")</f>
        <v>5.5096418732782371E-5</v>
      </c>
      <c r="AC75" s="189">
        <f>IFERROR(AC18/$B61,0)</f>
        <v>1.6198347107438019E-13</v>
      </c>
      <c r="AD75" s="49">
        <f>up_dir!BC75</f>
        <v>151250</v>
      </c>
      <c r="AE75" s="49">
        <f>IF(E75=".",".",up_RadSpec!$F$18*AE18*$B$75)</f>
        <v>37812.5</v>
      </c>
      <c r="AF75" s="49">
        <f>IF(F75=".",".",up_RadSpec!$F$18*AF18*$B$75)</f>
        <v>37812.5</v>
      </c>
      <c r="AG75" s="49">
        <f>IF(G75=".",".",up_RadSpec!$F$18*AG18*$B$75)</f>
        <v>37812.5</v>
      </c>
      <c r="AH75" s="49">
        <f>IF(H75=".",".",up_RadSpec!$F$18*AH18*$B$75)</f>
        <v>37812.5</v>
      </c>
      <c r="AI75" s="49">
        <f>IF(I75=".",".",up_RadSpec!$F$18*AI18*$B$75)</f>
        <v>37812.5</v>
      </c>
      <c r="AJ75" s="49">
        <f>IF(J75=".",".",up_RadSpec!$F$18*AJ18*$B$75)</f>
        <v>37812.5</v>
      </c>
      <c r="AK75" s="49">
        <f>IF(K75=".",".",up_RadSpec!$F$18*AK18*$B$75)</f>
        <v>37812.5</v>
      </c>
      <c r="AL75" s="49">
        <f>IF(L75=".",".",up_RadSpec!$F$18*AL18*$B$75)</f>
        <v>37812.5</v>
      </c>
      <c r="AM75" s="49">
        <f>IF(M75=".",".",up_RadSpec!$F$18*AM18*$B$75)</f>
        <v>37812.5</v>
      </c>
      <c r="AN75" s="49">
        <f>IF(N75=".",".",up_RadSpec!$F$18*AN18*$B$75)</f>
        <v>37812.5</v>
      </c>
      <c r="AO75" s="49">
        <f>IF(O75=".",".",up_RadSpec!$F$18*AO18*$B$75)</f>
        <v>37812.5</v>
      </c>
      <c r="AP75" s="60">
        <f t="shared" ref="AP75:BD75" si="295">IFERROR(AP18/$B61,".")</f>
        <v>0.33057851239669422</v>
      </c>
      <c r="AQ75" s="60">
        <f t="shared" si="295"/>
        <v>3089.9917851942919</v>
      </c>
      <c r="AR75" s="60">
        <f t="shared" si="295"/>
        <v>149.24627075710671</v>
      </c>
      <c r="AS75" s="60">
        <f t="shared" si="295"/>
        <v>3.2968835384132272E-5</v>
      </c>
      <c r="AT75" s="60">
        <f t="shared" si="295"/>
        <v>6.6115702479338848E-4</v>
      </c>
      <c r="AU75" s="60">
        <f t="shared" si="295"/>
        <v>6.6115702479338848E-4</v>
      </c>
      <c r="AV75" s="60">
        <f t="shared" si="295"/>
        <v>1.8558793678410905E-7</v>
      </c>
      <c r="AW75" s="60">
        <f t="shared" si="295"/>
        <v>1.9115557488763231E-7</v>
      </c>
      <c r="AX75" s="60">
        <f t="shared" si="295"/>
        <v>1.8558793678410905E-7</v>
      </c>
      <c r="AY75" s="60">
        <f t="shared" si="295"/>
        <v>1.8558793678410905E-7</v>
      </c>
      <c r="AZ75" s="60">
        <f t="shared" si="295"/>
        <v>1.8558793678410905E-7</v>
      </c>
      <c r="BA75" s="60">
        <f t="shared" si="295"/>
        <v>1.8558793678410905E-7</v>
      </c>
      <c r="BB75" s="60">
        <f t="shared" si="295"/>
        <v>1.9115557488763231E-7</v>
      </c>
      <c r="BC75" s="60">
        <f t="shared" si="295"/>
        <v>1.8558793678410905E-7</v>
      </c>
      <c r="BD75" s="60">
        <f t="shared" si="295"/>
        <v>1.9115557488763231E-7</v>
      </c>
      <c r="BE75" s="111">
        <f t="shared" si="270"/>
        <v>3.0249999999999999</v>
      </c>
      <c r="BF75" s="111">
        <f t="shared" si="270"/>
        <v>3.236254558317935E-4</v>
      </c>
      <c r="BG75" s="111">
        <f t="shared" si="270"/>
        <v>6.700334922454889E-3</v>
      </c>
      <c r="BH75" s="111">
        <f t="shared" si="270"/>
        <v>30331.674999999992</v>
      </c>
      <c r="BI75" s="111">
        <f t="shared" si="270"/>
        <v>1512.5</v>
      </c>
      <c r="BJ75" s="111">
        <f t="shared" si="270"/>
        <v>1512.5</v>
      </c>
      <c r="BK75" s="111">
        <f t="shared" si="270"/>
        <v>5388281.2499999991</v>
      </c>
      <c r="BL75" s="111">
        <f t="shared" si="270"/>
        <v>5231341.0194174759</v>
      </c>
      <c r="BM75" s="111">
        <f t="shared" si="270"/>
        <v>5388281.2499999991</v>
      </c>
      <c r="BN75" s="111">
        <f t="shared" si="270"/>
        <v>5388281.2499999991</v>
      </c>
      <c r="BO75" s="111">
        <f t="shared" si="270"/>
        <v>5388281.2499999991</v>
      </c>
      <c r="BP75" s="111">
        <f t="shared" si="270"/>
        <v>5388281.2499999991</v>
      </c>
      <c r="BQ75" s="111">
        <f t="shared" si="270"/>
        <v>5231341.0194174759</v>
      </c>
      <c r="BR75" s="111">
        <f t="shared" si="270"/>
        <v>5388281.2499999991</v>
      </c>
      <c r="BS75" s="111">
        <f t="shared" si="270"/>
        <v>5231341.0194174759</v>
      </c>
      <c r="BT75" s="60">
        <f>IFERROR(BT18/$B61,".")</f>
        <v>2.0808592668674384E-8</v>
      </c>
      <c r="BU75" s="189">
        <f>IFERROR(BU18/$B61,0)</f>
        <v>6.1177262445902695E-17</v>
      </c>
      <c r="BV75" s="49">
        <f>IF(AP75=".",".",up_RadSpec!$E$18*BV18*$B$75)</f>
        <v>75.625</v>
      </c>
      <c r="BW75" s="49">
        <f>IF(AQ75=".",".",up_RadSpec!$H$18*BW18*$B$75)</f>
        <v>8.0906363957948379E-3</v>
      </c>
      <c r="BX75" s="49">
        <f>IF(AR75=".",".",up_RadSpec!$G$18*BX18*$B$75)</f>
        <v>0.16750837306137223</v>
      </c>
      <c r="BY75" s="49">
        <f>up_b2s!CC75</f>
        <v>758291.875</v>
      </c>
      <c r="BZ75" s="49">
        <f>IF(AT75=".",".",up_RadSpec!$F$18*BZ18*$B$75)</f>
        <v>37812.5</v>
      </c>
      <c r="CA75" s="49">
        <f>IF(AU75=".",".",up_RadSpec!$F$18*CA18*$B$75)</f>
        <v>37812.5</v>
      </c>
      <c r="CB75" s="49">
        <f>IF(AV75=".",".",up_RadSpec!$F$18*CB18*$B$75)</f>
        <v>134707031.25</v>
      </c>
      <c r="CC75" s="49">
        <f>IF(AW75=".",".",up_RadSpec!$F$18*CC18*$B$75)</f>
        <v>130783525.4854369</v>
      </c>
      <c r="CD75" s="49">
        <f>IF(AX75=".",".",up_RadSpec!$F$18*CD18*$B$75)</f>
        <v>134707031.25</v>
      </c>
      <c r="CE75" s="49">
        <f>IF(AY75=".",".",up_RadSpec!$F$18*CE18*$B$75)</f>
        <v>134707031.25</v>
      </c>
      <c r="CF75" s="49">
        <f>IF(AZ75=".",".",up_RadSpec!$F$18*CF18*$B$75)</f>
        <v>134707031.25</v>
      </c>
      <c r="CG75" s="49">
        <f>IF(BA75=".",".",up_RadSpec!$F$18*CG18*$B$75)</f>
        <v>134707031.25</v>
      </c>
      <c r="CH75" s="49">
        <f>IF(BB75=".",".",up_RadSpec!$F$18*CH18*$B$75)</f>
        <v>130783525.4854369</v>
      </c>
      <c r="CI75" s="49">
        <f>IF(BC75=".",".",up_RadSpec!$F$18*CI18*$B$75)</f>
        <v>134707031.25</v>
      </c>
      <c r="CJ75" s="49">
        <f>IF(BD75=".",".",up_RadSpec!$F$18*CJ18*$B$75)</f>
        <v>130783525.4854369</v>
      </c>
      <c r="CK75" s="49">
        <f t="shared" si="238"/>
        <v>1201426756.6319096</v>
      </c>
      <c r="CL75" s="60">
        <f>IFERROR(CL18/$B61,".")</f>
        <v>3.6363636363636364E-3</v>
      </c>
      <c r="CM75" s="60" t="str">
        <f>IFERROR(CM18,".")</f>
        <v>.</v>
      </c>
      <c r="CN75" s="60">
        <f t="shared" ref="CN75:CZ75" si="296">IFERROR(CN18/$B61,".")</f>
        <v>39.81818181818182</v>
      </c>
      <c r="CO75" s="60">
        <f t="shared" si="296"/>
        <v>1.6443412786038033E-4</v>
      </c>
      <c r="CP75" s="60">
        <f t="shared" si="296"/>
        <v>0.13223140495867769</v>
      </c>
      <c r="CQ75" s="60">
        <f t="shared" si="296"/>
        <v>0.13223140495867769</v>
      </c>
      <c r="CR75" s="60">
        <f t="shared" si="296"/>
        <v>2.6446280991735537E-2</v>
      </c>
      <c r="CS75" s="60">
        <f t="shared" si="296"/>
        <v>2.7239669421487603E-2</v>
      </c>
      <c r="CT75" s="60">
        <f t="shared" si="296"/>
        <v>2.6446280991735537E-2</v>
      </c>
      <c r="CU75" s="60">
        <f t="shared" si="296"/>
        <v>2.6446280991735537E-2</v>
      </c>
      <c r="CV75" s="60">
        <f t="shared" si="296"/>
        <v>2.6446280991735537E-2</v>
      </c>
      <c r="CW75" s="60">
        <f t="shared" si="296"/>
        <v>2.6446280991735537E-2</v>
      </c>
      <c r="CX75" s="60">
        <f t="shared" si="296"/>
        <v>2.7239669421487603E-2</v>
      </c>
      <c r="CY75" s="60">
        <f t="shared" si="296"/>
        <v>2.6446280991735537E-2</v>
      </c>
      <c r="CZ75" s="60">
        <f t="shared" si="296"/>
        <v>2.7239669421487603E-2</v>
      </c>
      <c r="DA75" s="111">
        <f t="shared" si="76"/>
        <v>275</v>
      </c>
      <c r="DB75" s="111" t="str">
        <f t="shared" si="76"/>
        <v>.</v>
      </c>
      <c r="DC75" s="111">
        <f t="shared" si="76"/>
        <v>2.5114155251141551E-2</v>
      </c>
      <c r="DD75" s="111">
        <f t="shared" si="76"/>
        <v>6081.4626076229861</v>
      </c>
      <c r="DE75" s="111">
        <f t="shared" si="181"/>
        <v>7.5625</v>
      </c>
      <c r="DF75" s="111">
        <f t="shared" si="181"/>
        <v>7.5625</v>
      </c>
      <c r="DG75" s="111">
        <f t="shared" si="181"/>
        <v>37.8125</v>
      </c>
      <c r="DH75" s="111">
        <f t="shared" si="181"/>
        <v>36.711165048543691</v>
      </c>
      <c r="DI75" s="111">
        <f t="shared" si="181"/>
        <v>37.8125</v>
      </c>
      <c r="DJ75" s="111">
        <f t="shared" si="181"/>
        <v>37.8125</v>
      </c>
      <c r="DK75" s="111">
        <f t="shared" si="181"/>
        <v>37.8125</v>
      </c>
      <c r="DL75" s="111">
        <f t="shared" si="181"/>
        <v>37.8125</v>
      </c>
      <c r="DM75" s="111">
        <f t="shared" si="181"/>
        <v>36.711165048543691</v>
      </c>
      <c r="DN75" s="111">
        <f t="shared" si="181"/>
        <v>37.8125</v>
      </c>
      <c r="DO75" s="111">
        <f t="shared" si="181"/>
        <v>36.711165048543691</v>
      </c>
      <c r="DP75" s="60">
        <f>IFERROR(DP18/$B61,".")</f>
        <v>1.4906192608956598E-4</v>
      </c>
      <c r="DQ75" s="189">
        <f t="shared" ref="DQ75" si="297">IFERROR(DQ18/$B61,0)</f>
        <v>4.3824206270332409E-16</v>
      </c>
      <c r="DR75" s="49">
        <f>IF(CL75=".",".",up_RadSpec!$I$18*DR18*$B$75)</f>
        <v>6875</v>
      </c>
      <c r="DS75" s="49" t="str">
        <f>IF(CM75=".",".",up_RadSpec!$H$18*DS18)</f>
        <v>.</v>
      </c>
      <c r="DT75" s="49">
        <f>IF(CN75=".",".",up_RadSpec!$M$18*DT18*$B$75)</f>
        <v>0.62785388127853881</v>
      </c>
      <c r="DU75" s="49">
        <f>up_b2w!CC75</f>
        <v>152036.56519057468</v>
      </c>
      <c r="DV75" s="49">
        <f>IF(CP75=".",".",up_RadSpec!$F$18*DV18*$B$75)</f>
        <v>189.0625</v>
      </c>
      <c r="DW75" s="49">
        <f>IF(CQ75=".",".",up_RadSpec!$F$18*DW18*$B$75)</f>
        <v>189.0625</v>
      </c>
      <c r="DX75" s="49">
        <f>IF(CR75=".",".",up_RadSpec!$F$18*DX18*$B$75)</f>
        <v>945.3125</v>
      </c>
      <c r="DY75" s="49">
        <f>IF(CS75=".",".",up_RadSpec!$F$18*DY18*$B$75)</f>
        <v>917.77912621359224</v>
      </c>
      <c r="DZ75" s="49">
        <f>IF(CT75=".",".",up_RadSpec!$F$18*DZ18*$B$75)</f>
        <v>945.3125</v>
      </c>
      <c r="EA75" s="49">
        <f>IF(CU75=".",".",up_RadSpec!$F$18*EA18*$B$75)</f>
        <v>945.3125</v>
      </c>
      <c r="EB75" s="49">
        <f>IF(CV75=".",".",up_RadSpec!$F$18*EB18*$B$75)</f>
        <v>945.3125</v>
      </c>
      <c r="EC75" s="49">
        <f>IF(CW75=".",".",up_RadSpec!$F$18*EC18*$B$75)</f>
        <v>945.3125</v>
      </c>
      <c r="ED75" s="49">
        <f>IF(CX75=".",".",up_RadSpec!$F$18*ED18*$B$75)</f>
        <v>917.77912621359224</v>
      </c>
      <c r="EE75" s="49">
        <f>IF(CY75=".",".",up_RadSpec!$F$18*EE18*$B$75)</f>
        <v>945.3125</v>
      </c>
      <c r="EF75" s="49">
        <f>IF(CZ75=".",".",up_RadSpec!$F$18*EF18*$B$75)</f>
        <v>917.77912621359224</v>
      </c>
      <c r="EG75" s="49">
        <f t="shared" si="241"/>
        <v>167715.53042309676</v>
      </c>
      <c r="EH75" s="60">
        <f>IFERROR(EH18/$B61,".")</f>
        <v>9.9740259740259754E-3</v>
      </c>
      <c r="EI75" s="60">
        <f>IFERROR(EI18/$B61,".")</f>
        <v>63.709090909090911</v>
      </c>
      <c r="EJ75" s="60">
        <f>IFERROR(EJ18/$B61,".")</f>
        <v>9.9724647271019675E-3</v>
      </c>
      <c r="EK75" s="189">
        <f t="shared" ref="EK75" si="298">IFERROR(EK18/$B61,0)</f>
        <v>2.9319046297679789E-14</v>
      </c>
      <c r="EL75" s="49">
        <f>IF(EH75=".",".",up_RadSpec!$H$18*EL18*$B$75)</f>
        <v>2506.5104166666661</v>
      </c>
      <c r="EM75" s="49">
        <f>IF(EI75=".",".",up_RadSpec!$K$18*EM18*$B$75)</f>
        <v>0.39240867579908678</v>
      </c>
      <c r="EN75" s="49">
        <f t="shared" si="60"/>
        <v>2506.9028253424653</v>
      </c>
    </row>
    <row r="76" spans="1:144" x14ac:dyDescent="0.25">
      <c r="A76" s="77" t="s">
        <v>1083</v>
      </c>
      <c r="B76" s="42">
        <v>1.339E-6</v>
      </c>
      <c r="C76" s="170"/>
      <c r="D76" s="60">
        <f t="shared" ref="D76:O76" si="299">IFERROR(D27/$B62,".")</f>
        <v>123.44231232139441</v>
      </c>
      <c r="E76" s="60">
        <f t="shared" si="299"/>
        <v>493.76924928557764</v>
      </c>
      <c r="F76" s="60">
        <f t="shared" si="299"/>
        <v>493.76924928557764</v>
      </c>
      <c r="G76" s="60">
        <f t="shared" si="299"/>
        <v>493.76924928557764</v>
      </c>
      <c r="H76" s="60">
        <f t="shared" si="299"/>
        <v>493.76924928557764</v>
      </c>
      <c r="I76" s="60">
        <f t="shared" si="299"/>
        <v>493.76924928557764</v>
      </c>
      <c r="J76" s="60">
        <f t="shared" si="299"/>
        <v>493.76924928557764</v>
      </c>
      <c r="K76" s="60">
        <f t="shared" si="299"/>
        <v>493.76924928557764</v>
      </c>
      <c r="L76" s="60">
        <f t="shared" si="299"/>
        <v>493.76924928557764</v>
      </c>
      <c r="M76" s="60">
        <f t="shared" si="299"/>
        <v>493.76924928557764</v>
      </c>
      <c r="N76" s="60">
        <f t="shared" si="299"/>
        <v>493.76924928557764</v>
      </c>
      <c r="O76" s="60">
        <f t="shared" si="299"/>
        <v>493.76924928557764</v>
      </c>
      <c r="P76" s="111">
        <f t="shared" si="236"/>
        <v>2.0252374999999998E-3</v>
      </c>
      <c r="Q76" s="111">
        <f t="shared" si="236"/>
        <v>2.0252374999999998E-3</v>
      </c>
      <c r="R76" s="111">
        <f t="shared" si="236"/>
        <v>2.0252374999999998E-3</v>
      </c>
      <c r="S76" s="111">
        <f t="shared" si="236"/>
        <v>2.0252374999999998E-3</v>
      </c>
      <c r="T76" s="111">
        <f t="shared" si="236"/>
        <v>2.0252374999999998E-3</v>
      </c>
      <c r="U76" s="111">
        <f t="shared" si="236"/>
        <v>2.0252374999999998E-3</v>
      </c>
      <c r="V76" s="111">
        <f t="shared" si="236"/>
        <v>2.0252374999999998E-3</v>
      </c>
      <c r="W76" s="111">
        <f t="shared" si="236"/>
        <v>2.0252374999999998E-3</v>
      </c>
      <c r="X76" s="111">
        <f t="shared" si="26"/>
        <v>2.0252374999999998E-3</v>
      </c>
      <c r="Y76" s="111">
        <f t="shared" si="26"/>
        <v>2.0252374999999998E-3</v>
      </c>
      <c r="Z76" s="111">
        <f t="shared" si="26"/>
        <v>2.0252374999999998E-3</v>
      </c>
      <c r="AA76" s="111">
        <f t="shared" si="26"/>
        <v>2.0252374999999998E-3</v>
      </c>
      <c r="AB76" s="60">
        <f>IFERROR(AB27/$B62,".")</f>
        <v>41.147437440464799</v>
      </c>
      <c r="AC76" s="189">
        <f>IFERROR(AC27/$B62,0)</f>
        <v>1.1866920957830051E-7</v>
      </c>
      <c r="AD76" s="49">
        <f>up_dir!BC76</f>
        <v>0.20252375</v>
      </c>
      <c r="AE76" s="49">
        <f>IF(E76=".",".",up_RadSpec!$F$27*AE27*$B$76)</f>
        <v>5.0630937500000001E-2</v>
      </c>
      <c r="AF76" s="49">
        <f>IF(F76=".",".",up_RadSpec!$F$27*AF27*$B$76)</f>
        <v>5.0630937500000001E-2</v>
      </c>
      <c r="AG76" s="49">
        <f>IF(G76=".",".",up_RadSpec!$F$27*AG27*$B$76)</f>
        <v>5.0630937500000001E-2</v>
      </c>
      <c r="AH76" s="49">
        <f>IF(H76=".",".",up_RadSpec!$F$27*AH27*$B$76)</f>
        <v>5.0630937500000001E-2</v>
      </c>
      <c r="AI76" s="49">
        <f>IF(I76=".",".",up_RadSpec!$F$27*AI27*$B$76)</f>
        <v>5.0630937500000001E-2</v>
      </c>
      <c r="AJ76" s="49">
        <f>IF(J76=".",".",up_RadSpec!$F$27*AJ27*$B$76)</f>
        <v>5.0630937500000001E-2</v>
      </c>
      <c r="AK76" s="49">
        <f>IF(K76=".",".",up_RadSpec!$F$27*AK27*$B$76)</f>
        <v>5.0630937500000001E-2</v>
      </c>
      <c r="AL76" s="49">
        <f>IF(L76=".",".",up_RadSpec!$F$27*AL27*$B$76)</f>
        <v>5.0630937500000001E-2</v>
      </c>
      <c r="AM76" s="49">
        <f>IF(M76=".",".",up_RadSpec!$F$27*AM27*$B$76)</f>
        <v>5.0630937500000001E-2</v>
      </c>
      <c r="AN76" s="49">
        <f>IF(N76=".",".",up_RadSpec!$F$27*AN27*$B$76)</f>
        <v>5.0630937500000001E-2</v>
      </c>
      <c r="AO76" s="49">
        <f>IF(O76=".",".",up_RadSpec!$F$27*AO27*$B$76)</f>
        <v>5.0630937500000001E-2</v>
      </c>
      <c r="AP76" s="60">
        <f t="shared" ref="AP76:BD76" si="300">IFERROR(AP27/$B62,".")</f>
        <v>246884.62464278881</v>
      </c>
      <c r="AQ76" s="60">
        <f t="shared" si="300"/>
        <v>2307686172.6619058</v>
      </c>
      <c r="AR76" s="60">
        <f t="shared" si="300"/>
        <v>182920848.04507244</v>
      </c>
      <c r="AS76" s="60">
        <f t="shared" si="300"/>
        <v>24.621983109882205</v>
      </c>
      <c r="AT76" s="60">
        <f t="shared" si="300"/>
        <v>493.76924928557764</v>
      </c>
      <c r="AU76" s="60">
        <f t="shared" si="300"/>
        <v>493.76924928557764</v>
      </c>
      <c r="AV76" s="60">
        <f t="shared" si="300"/>
        <v>0.13860189453630251</v>
      </c>
      <c r="AW76" s="60">
        <f t="shared" si="300"/>
        <v>0.14275995137239156</v>
      </c>
      <c r="AX76" s="60">
        <f t="shared" si="300"/>
        <v>0.13860189453630251</v>
      </c>
      <c r="AY76" s="60">
        <f t="shared" si="300"/>
        <v>0.13860189453630251</v>
      </c>
      <c r="AZ76" s="60">
        <f t="shared" si="300"/>
        <v>0.13860189453630251</v>
      </c>
      <c r="BA76" s="60">
        <f t="shared" si="300"/>
        <v>0.13860189453630251</v>
      </c>
      <c r="BB76" s="60">
        <f t="shared" si="300"/>
        <v>0.14275995137239156</v>
      </c>
      <c r="BC76" s="60">
        <f t="shared" si="300"/>
        <v>0.13860189453630251</v>
      </c>
      <c r="BD76" s="60">
        <f t="shared" si="300"/>
        <v>0.14275995137239156</v>
      </c>
      <c r="BE76" s="111">
        <f t="shared" si="270"/>
        <v>4.0504750000000004E-6</v>
      </c>
      <c r="BF76" s="111">
        <f t="shared" si="270"/>
        <v>4.3333448535877146E-10</v>
      </c>
      <c r="BG76" s="111">
        <f t="shared" si="270"/>
        <v>5.4668454180443989E-9</v>
      </c>
      <c r="BH76" s="111">
        <f t="shared" si="270"/>
        <v>4.0614112824999993E-2</v>
      </c>
      <c r="BI76" s="111">
        <f t="shared" si="270"/>
        <v>2.0252374999999998E-3</v>
      </c>
      <c r="BJ76" s="111">
        <f t="shared" si="270"/>
        <v>2.0252374999999998E-3</v>
      </c>
      <c r="BK76" s="111">
        <f t="shared" si="270"/>
        <v>7.2149085937499988</v>
      </c>
      <c r="BL76" s="111">
        <f t="shared" si="270"/>
        <v>7.0047656250000001</v>
      </c>
      <c r="BM76" s="111">
        <f t="shared" si="270"/>
        <v>7.2149085937499988</v>
      </c>
      <c r="BN76" s="111">
        <f t="shared" si="270"/>
        <v>7.2149085937499988</v>
      </c>
      <c r="BO76" s="111">
        <f t="shared" si="270"/>
        <v>7.2149085937499988</v>
      </c>
      <c r="BP76" s="111">
        <f t="shared" si="270"/>
        <v>7.2149085937499988</v>
      </c>
      <c r="BQ76" s="111">
        <f t="shared" si="270"/>
        <v>7.0047656250000001</v>
      </c>
      <c r="BR76" s="111">
        <f t="shared" si="270"/>
        <v>7.2149085937499988</v>
      </c>
      <c r="BS76" s="111">
        <f t="shared" si="270"/>
        <v>7.0047656250000001</v>
      </c>
      <c r="BT76" s="60">
        <f>IFERROR(BT27/$B62,".")</f>
        <v>1.5540397811656293E-2</v>
      </c>
      <c r="BU76" s="189">
        <f>IFERROR(BU27/$B62,0)</f>
        <v>4.4818507288816752E-11</v>
      </c>
      <c r="BV76" s="49">
        <f>IF(AP76=".",".",up_RadSpec!$E$27*BV27*$B$76)</f>
        <v>1.0126187500000001E-4</v>
      </c>
      <c r="BW76" s="49">
        <f>IF(AQ76=".",".",up_RadSpec!$H$27*BW27*$B$76)</f>
        <v>1.0833362133969288E-8</v>
      </c>
      <c r="BX76" s="49">
        <f>IF(AR76=".",".",up_RadSpec!$G$27*BX27*$B$76)</f>
        <v>1.3667113545110998E-7</v>
      </c>
      <c r="BY76" s="49">
        <f>up_b2s!CC76</f>
        <v>1.015352820625</v>
      </c>
      <c r="BZ76" s="49">
        <f>IF(AT76=".",".",up_RadSpec!$F$27*BZ27*$B$76)</f>
        <v>5.0630937500000001E-2</v>
      </c>
      <c r="CA76" s="49">
        <f>IF(AU76=".",".",up_RadSpec!$F$27*CA27*$B$76)</f>
        <v>5.0630937500000001E-2</v>
      </c>
      <c r="CB76" s="49">
        <f>IF(AV76=".",".",up_RadSpec!$F$27*CB27*$B$76)</f>
        <v>180.37271484375</v>
      </c>
      <c r="CC76" s="49">
        <f>IF(AW76=".",".",up_RadSpec!$F$27*CC27*$B$76)</f>
        <v>175.119140625</v>
      </c>
      <c r="CD76" s="49">
        <f>IF(AX76=".",".",up_RadSpec!$F$27*CD27*$B$76)</f>
        <v>180.37271484375</v>
      </c>
      <c r="CE76" s="49">
        <f>IF(AY76=".",".",up_RadSpec!$F$27*CE27*$B$76)</f>
        <v>180.37271484375</v>
      </c>
      <c r="CF76" s="49">
        <f>IF(AZ76=".",".",up_RadSpec!$F$27*CF27*$B$76)</f>
        <v>180.37271484375</v>
      </c>
      <c r="CG76" s="49">
        <f>IF(BA76=".",".",up_RadSpec!$F$27*CG27*$B$76)</f>
        <v>180.37271484375</v>
      </c>
      <c r="CH76" s="49">
        <f>IF(BB76=".",".",up_RadSpec!$F$27*CH27*$B$76)</f>
        <v>175.119140625</v>
      </c>
      <c r="CI76" s="49">
        <f>IF(BC76=".",".",up_RadSpec!$F$27*CI27*$B$76)</f>
        <v>180.37271484375</v>
      </c>
      <c r="CJ76" s="49">
        <f>IF(BD76=".",".",up_RadSpec!$F$27*CJ27*$B$76)</f>
        <v>175.119140625</v>
      </c>
      <c r="CK76" s="49">
        <f t="shared" si="238"/>
        <v>1608.7104270425045</v>
      </c>
      <c r="CL76" s="60">
        <f>IFERROR(CL27/$B62,".")</f>
        <v>2715.730871070677</v>
      </c>
      <c r="CM76" s="60" t="str">
        <f>IFERROR(CM27,".")</f>
        <v>.</v>
      </c>
      <c r="CN76" s="60">
        <f t="shared" ref="CN76:CZ76" si="301">IFERROR(CN27/$B62,".")</f>
        <v>29737253.038223915</v>
      </c>
      <c r="CO76" s="60">
        <f t="shared" si="301"/>
        <v>122.80368025420488</v>
      </c>
      <c r="CP76" s="60">
        <f t="shared" si="301"/>
        <v>98753.849857115521</v>
      </c>
      <c r="CQ76" s="60">
        <f t="shared" si="301"/>
        <v>98753.849857115521</v>
      </c>
      <c r="CR76" s="60">
        <f t="shared" si="301"/>
        <v>19750.769971423106</v>
      </c>
      <c r="CS76" s="60">
        <f t="shared" si="301"/>
        <v>20343.293070565796</v>
      </c>
      <c r="CT76" s="60">
        <f t="shared" si="301"/>
        <v>19750.769971423106</v>
      </c>
      <c r="CU76" s="60">
        <f t="shared" si="301"/>
        <v>19750.769971423106</v>
      </c>
      <c r="CV76" s="60">
        <f t="shared" si="301"/>
        <v>19750.769971423106</v>
      </c>
      <c r="CW76" s="60">
        <f t="shared" si="301"/>
        <v>19750.769971423106</v>
      </c>
      <c r="CX76" s="60">
        <f t="shared" si="301"/>
        <v>20343.293070565796</v>
      </c>
      <c r="CY76" s="60">
        <f t="shared" si="301"/>
        <v>19750.769971423106</v>
      </c>
      <c r="CZ76" s="60">
        <f t="shared" si="301"/>
        <v>20343.293070565796</v>
      </c>
      <c r="DA76" s="111">
        <f t="shared" si="76"/>
        <v>3.6822499999999997E-4</v>
      </c>
      <c r="DB76" s="111" t="str">
        <f t="shared" si="76"/>
        <v>.</v>
      </c>
      <c r="DC76" s="111">
        <f t="shared" si="76"/>
        <v>3.3627853881278534E-8</v>
      </c>
      <c r="DD76" s="111">
        <f t="shared" si="76"/>
        <v>8.1430784316071786E-3</v>
      </c>
      <c r="DE76" s="111">
        <f t="shared" si="181"/>
        <v>1.0126187500000001E-5</v>
      </c>
      <c r="DF76" s="111">
        <f t="shared" si="181"/>
        <v>1.0126187500000001E-5</v>
      </c>
      <c r="DG76" s="111">
        <f t="shared" si="181"/>
        <v>5.0630937499999996E-5</v>
      </c>
      <c r="DH76" s="111">
        <f t="shared" si="181"/>
        <v>4.9156250000000006E-5</v>
      </c>
      <c r="DI76" s="111">
        <f t="shared" si="181"/>
        <v>5.0630937499999996E-5</v>
      </c>
      <c r="DJ76" s="111">
        <f t="shared" si="181"/>
        <v>5.0630937499999996E-5</v>
      </c>
      <c r="DK76" s="111">
        <f t="shared" si="181"/>
        <v>5.0630937499999996E-5</v>
      </c>
      <c r="DL76" s="111">
        <f t="shared" si="181"/>
        <v>5.0630937499999996E-5</v>
      </c>
      <c r="DM76" s="111">
        <f t="shared" si="181"/>
        <v>4.9156250000000006E-5</v>
      </c>
      <c r="DN76" s="111">
        <f t="shared" si="181"/>
        <v>5.0630937499999996E-5</v>
      </c>
      <c r="DO76" s="111">
        <f t="shared" si="181"/>
        <v>4.9156250000000006E-5</v>
      </c>
      <c r="DP76" s="60">
        <f>IFERROR(DP27/$B62,".")</f>
        <v>111.32332045523972</v>
      </c>
      <c r="DQ76" s="189">
        <f t="shared" ref="DQ76" si="302">IFERROR(DQ27/$B62,0)</f>
        <v>3.2105645619291139E-10</v>
      </c>
      <c r="DR76" s="49">
        <f>IF(CL76=".",".",up_RadSpec!$I$27*DR27*$B$76)</f>
        <v>9.2056250000000003E-3</v>
      </c>
      <c r="DS76" s="49" t="str">
        <f>IF(CM76=".",".",up_RadSpec!$H$27*DS27)</f>
        <v>.</v>
      </c>
      <c r="DT76" s="49">
        <f>IF(CN76=".",".",up_RadSpec!$M$27*DT27*$B$76)</f>
        <v>8.4069634703196346E-7</v>
      </c>
      <c r="DU76" s="49">
        <f>up_b2w!CC76</f>
        <v>0.20357696079017951</v>
      </c>
      <c r="DV76" s="49">
        <f>IF(CP76=".",".",up_RadSpec!$F$27*DV27*$B$76)</f>
        <v>2.5315468750000003E-4</v>
      </c>
      <c r="DW76" s="49">
        <f>IF(CQ76=".",".",up_RadSpec!$F$27*DW27*$B$76)</f>
        <v>2.5315468750000003E-4</v>
      </c>
      <c r="DX76" s="49">
        <f>IF(CR76=".",".",up_RadSpec!$F$27*DX27*$B$76)</f>
        <v>1.2657734375E-3</v>
      </c>
      <c r="DY76" s="49">
        <f>IF(CS76=".",".",up_RadSpec!$F$27*DY27*$B$76)</f>
        <v>1.22890625E-3</v>
      </c>
      <c r="DZ76" s="49">
        <f>IF(CT76=".",".",up_RadSpec!$F$27*DZ27*$B$76)</f>
        <v>1.2657734375E-3</v>
      </c>
      <c r="EA76" s="49">
        <f>IF(CU76=".",".",up_RadSpec!$F$27*EA27*$B$76)</f>
        <v>1.2657734375E-3</v>
      </c>
      <c r="EB76" s="49">
        <f>IF(CV76=".",".",up_RadSpec!$F$27*EB27*$B$76)</f>
        <v>1.2657734375E-3</v>
      </c>
      <c r="EC76" s="49">
        <f>IF(CW76=".",".",up_RadSpec!$F$27*EC27*$B$76)</f>
        <v>1.2657734375E-3</v>
      </c>
      <c r="ED76" s="49">
        <f>IF(CX76=".",".",up_RadSpec!$F$27*ED27*$B$76)</f>
        <v>1.22890625E-3</v>
      </c>
      <c r="EE76" s="49">
        <f>IF(CY76=".",".",up_RadSpec!$F$27*EE27*$B$76)</f>
        <v>1.2657734375E-3</v>
      </c>
      <c r="EF76" s="49">
        <f>IF(CZ76=".",".",up_RadSpec!$F$27*EF27*$B$76)</f>
        <v>1.22890625E-3</v>
      </c>
      <c r="EG76" s="49">
        <f t="shared" si="241"/>
        <v>0.22457109523652657</v>
      </c>
      <c r="EH76" s="60">
        <f>IFERROR(EH27/$B62,".")</f>
        <v>7448.8618177938579</v>
      </c>
      <c r="EI76" s="60">
        <f>IFERROR(EI27/$B62,".")</f>
        <v>47579604.861158259</v>
      </c>
      <c r="EJ76" s="60">
        <f>IFERROR(EJ27/$B62,".")</f>
        <v>7447.6958380149126</v>
      </c>
      <c r="EK76" s="189">
        <f t="shared" ref="EK76" si="303">IFERROR(EK27/$B62,0)</f>
        <v>2.1479154796835008E-8</v>
      </c>
      <c r="EL76" s="49">
        <f>IF(EH76=".",".",up_RadSpec!$H$27*EL27*$B$76)</f>
        <v>3.3562174479166659E-3</v>
      </c>
      <c r="EM76" s="49">
        <f>IF(EI76=".",".",up_RadSpec!$K$27*EM27*$B$76)</f>
        <v>5.2543521689497717E-7</v>
      </c>
      <c r="EN76" s="49">
        <f t="shared" si="60"/>
        <v>3.3567428831335609E-3</v>
      </c>
    </row>
  </sheetData>
  <sheetProtection algorithmName="SHA-512" hashValue="b8cU3VueFzE8sgRfU1421PyPgaEogBqA7Y/d64t282285BJk2SPWBUD7k80t/d75jyNdJEnogXlzE/41E/xcNw==" saltValue="Kr/Xc2QmO0/JTUSAyQF46Q==" spinCount="100000" sheet="1" formatColumns="0" formatRows="0" autoFilter="0"/>
  <autoFilter ref="A1:DP76" xr:uid="{F6725207-36EA-4A5F-832C-7471C0763726}"/>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9" tint="-0.499984740745262"/>
  </sheetPr>
  <dimension ref="A1:BL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5703125" style="15" bestFit="1" customWidth="1"/>
    <col min="2" max="2" width="11.85546875" style="15" bestFit="1" customWidth="1"/>
    <col min="3" max="3" width="13.28515625" style="4" customWidth="1"/>
    <col min="4" max="4" width="15.140625" style="15" bestFit="1" customWidth="1"/>
    <col min="5" max="5" width="15.28515625" style="15" bestFit="1" customWidth="1"/>
    <col min="6" max="6" width="15" style="15" bestFit="1" customWidth="1"/>
    <col min="7" max="7" width="21.42578125" style="3" bestFit="1" customWidth="1"/>
    <col min="8" max="8" width="20.42578125" style="3" bestFit="1" customWidth="1"/>
    <col min="9" max="11" width="11.42578125" style="3" bestFit="1" customWidth="1"/>
    <col min="12" max="12" width="13.42578125" style="3" bestFit="1" customWidth="1"/>
    <col min="13" max="13" width="12.140625" style="3" bestFit="1" customWidth="1"/>
    <col min="14" max="14" width="14.7109375" style="3" bestFit="1" customWidth="1"/>
    <col min="15" max="15" width="17" style="2" bestFit="1" customWidth="1"/>
    <col min="16" max="16" width="15" style="15" bestFit="1" customWidth="1"/>
    <col min="17" max="17" width="15.140625" style="15" bestFit="1" customWidth="1"/>
    <col min="18" max="18" width="14.7109375" style="15" bestFit="1" customWidth="1"/>
    <col min="19" max="19" width="20.140625" style="17" bestFit="1" customWidth="1"/>
    <col min="20" max="20" width="19.140625" style="17" bestFit="1" customWidth="1"/>
    <col min="21" max="21" width="14.7109375" style="15" bestFit="1" customWidth="1"/>
    <col min="22" max="22" width="14.140625" style="15" bestFit="1" customWidth="1"/>
    <col min="23" max="24" width="15.7109375" style="15" bestFit="1" customWidth="1"/>
    <col min="25" max="25" width="17" style="15" bestFit="1" customWidth="1"/>
    <col min="26" max="26" width="14.42578125" style="15" bestFit="1" customWidth="1"/>
    <col min="27" max="27" width="15.42578125" style="3" bestFit="1" customWidth="1"/>
    <col min="28" max="29" width="17.28515625" style="3" bestFit="1" customWidth="1"/>
    <col min="30" max="30" width="18.42578125" style="3" bestFit="1" customWidth="1"/>
    <col min="31" max="31" width="15.5703125" style="3" bestFit="1" customWidth="1"/>
    <col min="32" max="32" width="13.42578125" style="15" bestFit="1" customWidth="1"/>
    <col min="33" max="34" width="15.28515625" style="15" bestFit="1" customWidth="1"/>
    <col min="35" max="35" width="16.42578125" style="15" bestFit="1" customWidth="1"/>
    <col min="36" max="36" width="13.7109375" style="15" bestFit="1" customWidth="1"/>
    <col min="37" max="37" width="14.28515625" style="15" bestFit="1" customWidth="1"/>
    <col min="38" max="38" width="14.5703125" style="15" bestFit="1" customWidth="1"/>
    <col min="39" max="39" width="13.7109375" style="15" bestFit="1" customWidth="1"/>
    <col min="40" max="40" width="15" style="3" bestFit="1" customWidth="1"/>
    <col min="41" max="41" width="13.5703125" style="15" bestFit="1" customWidth="1"/>
    <col min="42" max="42" width="13.85546875" style="15" bestFit="1" customWidth="1"/>
    <col min="43" max="43" width="14.140625" style="15" bestFit="1" customWidth="1"/>
    <col min="44" max="44" width="15" style="15" bestFit="1" customWidth="1"/>
    <col min="45" max="45" width="16.28515625" style="15" bestFit="1" customWidth="1"/>
    <col min="46" max="46" width="21.28515625" style="3" bestFit="1" customWidth="1"/>
    <col min="47" max="47" width="20.28515625" style="3" bestFit="1" customWidth="1"/>
    <col min="48" max="49" width="11.42578125" style="3" bestFit="1" customWidth="1"/>
    <col min="50" max="50" width="13.42578125" style="3" bestFit="1" customWidth="1"/>
    <col min="51" max="51" width="12.140625" style="3" bestFit="1" customWidth="1"/>
    <col min="52" max="52" width="14.5703125" style="3" bestFit="1" customWidth="1"/>
    <col min="53" max="53" width="15.42578125" style="3" bestFit="1" customWidth="1"/>
    <col min="54" max="54" width="14.5703125" style="15" bestFit="1" customWidth="1"/>
    <col min="55" max="55" width="16" style="15" bestFit="1" customWidth="1"/>
    <col min="56" max="56" width="20.7109375" style="17" bestFit="1" customWidth="1"/>
    <col min="57" max="57" width="19.42578125" style="17" bestFit="1" customWidth="1"/>
    <col min="58" max="58" width="15.140625" style="15" bestFit="1" customWidth="1"/>
    <col min="59" max="59" width="16.7109375" style="3" bestFit="1" customWidth="1"/>
    <col min="60" max="60" width="15.5703125" style="3" bestFit="1" customWidth="1"/>
    <col min="61" max="62" width="15.42578125" style="3" bestFit="1" customWidth="1"/>
    <col min="63" max="63" width="16.140625" style="17" bestFit="1" customWidth="1"/>
    <col min="64" max="64" width="15.140625" style="17" bestFit="1" customWidth="1"/>
    <col min="65" max="16384" width="9.140625" style="3"/>
  </cols>
  <sheetData>
    <row r="1" spans="1:64" x14ac:dyDescent="0.25">
      <c r="A1" s="39" t="s">
        <v>39</v>
      </c>
      <c r="B1" s="39" t="s">
        <v>334</v>
      </c>
      <c r="C1" s="72"/>
      <c r="D1" s="15" t="s">
        <v>1372</v>
      </c>
      <c r="E1" s="15" t="s">
        <v>1373</v>
      </c>
      <c r="F1" s="15" t="s">
        <v>1374</v>
      </c>
      <c r="G1" s="2" t="s">
        <v>1420</v>
      </c>
      <c r="H1" s="2" t="s">
        <v>1421</v>
      </c>
      <c r="I1" s="232" t="s">
        <v>1149</v>
      </c>
      <c r="J1" s="233" t="s">
        <v>1150</v>
      </c>
      <c r="K1" s="233" t="s">
        <v>1151</v>
      </c>
      <c r="L1" s="233" t="s">
        <v>1313</v>
      </c>
      <c r="M1" s="233" t="s">
        <v>1314</v>
      </c>
      <c r="N1" s="2" t="s">
        <v>1377</v>
      </c>
      <c r="O1" s="189" t="s">
        <v>1255</v>
      </c>
      <c r="P1" s="40" t="s">
        <v>1169</v>
      </c>
      <c r="Q1" s="40" t="s">
        <v>1170</v>
      </c>
      <c r="R1" s="40" t="s">
        <v>1171</v>
      </c>
      <c r="S1" s="16" t="s">
        <v>1216</v>
      </c>
      <c r="T1" s="16" t="s">
        <v>1219</v>
      </c>
      <c r="U1" s="41" t="s">
        <v>1510</v>
      </c>
      <c r="V1" s="42" t="s">
        <v>1378</v>
      </c>
      <c r="W1" s="42" t="s">
        <v>1379</v>
      </c>
      <c r="X1" s="42" t="s">
        <v>1380</v>
      </c>
      <c r="Y1" s="42" t="s">
        <v>1381</v>
      </c>
      <c r="Z1" s="42" t="s">
        <v>1382</v>
      </c>
      <c r="AA1" s="188" t="s">
        <v>1256</v>
      </c>
      <c r="AB1" s="188" t="s">
        <v>1257</v>
      </c>
      <c r="AC1" s="188" t="s">
        <v>1258</v>
      </c>
      <c r="AD1" s="188" t="s">
        <v>1259</v>
      </c>
      <c r="AE1" s="188" t="s">
        <v>1260</v>
      </c>
      <c r="AF1" s="43" t="s">
        <v>1173</v>
      </c>
      <c r="AG1" s="43" t="s">
        <v>1174</v>
      </c>
      <c r="AH1" s="43" t="s">
        <v>1175</v>
      </c>
      <c r="AI1" s="43" t="s">
        <v>1176</v>
      </c>
      <c r="AJ1" s="43" t="s">
        <v>1177</v>
      </c>
      <c r="AK1" s="42" t="s">
        <v>1383</v>
      </c>
      <c r="AL1" s="42" t="s">
        <v>1384</v>
      </c>
      <c r="AM1" s="42" t="s">
        <v>1385</v>
      </c>
      <c r="AN1" s="188" t="s">
        <v>1261</v>
      </c>
      <c r="AO1" s="43" t="s">
        <v>1178</v>
      </c>
      <c r="AP1" s="43" t="s">
        <v>1179</v>
      </c>
      <c r="AQ1" s="41" t="s">
        <v>1511</v>
      </c>
      <c r="AR1" s="15" t="s">
        <v>1422</v>
      </c>
      <c r="AS1" s="15" t="s">
        <v>1423</v>
      </c>
      <c r="AT1" s="2" t="s">
        <v>1424</v>
      </c>
      <c r="AU1" s="2" t="s">
        <v>1425</v>
      </c>
      <c r="AV1" s="233" t="s">
        <v>1317</v>
      </c>
      <c r="AW1" s="233" t="s">
        <v>1536</v>
      </c>
      <c r="AX1" s="233" t="s">
        <v>1537</v>
      </c>
      <c r="AY1" s="233" t="s">
        <v>1538</v>
      </c>
      <c r="AZ1" s="2" t="s">
        <v>1426</v>
      </c>
      <c r="BA1" s="189" t="s">
        <v>1535</v>
      </c>
      <c r="BB1" s="43" t="s">
        <v>1213</v>
      </c>
      <c r="BC1" s="43" t="s">
        <v>1214</v>
      </c>
      <c r="BD1" s="16" t="s">
        <v>1217</v>
      </c>
      <c r="BE1" s="16" t="s">
        <v>1220</v>
      </c>
      <c r="BF1" s="41" t="s">
        <v>1513</v>
      </c>
      <c r="BG1" s="2" t="s">
        <v>1427</v>
      </c>
      <c r="BH1" s="2" t="s">
        <v>1428</v>
      </c>
      <c r="BI1" s="189" t="s">
        <v>1519</v>
      </c>
      <c r="BJ1" s="189" t="s">
        <v>1520</v>
      </c>
      <c r="BK1" s="16" t="s">
        <v>1215</v>
      </c>
      <c r="BL1" s="16" t="s">
        <v>1218</v>
      </c>
    </row>
    <row r="2" spans="1:64" customFormat="1" x14ac:dyDescent="0.25">
      <c r="A2" s="44" t="s">
        <v>0</v>
      </c>
      <c r="B2" s="42" t="s">
        <v>1057</v>
      </c>
      <c r="C2" s="42"/>
      <c r="D2" s="15">
        <f>IFERROR(((s_DL/(up_RadSpec!E2*s_IFS_rec_adj*(1/1000)))*1),".")</f>
        <v>0.33057851239669422</v>
      </c>
      <c r="E2" s="15">
        <f>IFERROR(IF(A2="H-3",(s_DL/((up_RadSpec!H2*s_IFA_rec_adj*(1/17)*1000))*1),(s_DL/((up_RadSpec!H2*s_IFA_rec_adj*(1/s_PEF_wind)*1000))*1)),".")</f>
        <v>3089.9917851942919</v>
      </c>
      <c r="F2" s="2">
        <f>IFERROR((s_DL/(up_RadSpec!G2*s_EF_rec*(1/365)*1*up_RadSpec!R2*s_ET_rec*(1/24)*up_RadSpec!W2)),".")</f>
        <v>1690.9254955570748</v>
      </c>
      <c r="G2" s="2">
        <f>IFERROR((BG2/(up_RadSpec!AI2*((s_Q_p_game*s_f_p_game*s_f_s_game*(up_RadSpec!BD2+s_R_es_past))+(s_Q_s_game*s_f_p_game)))),".")</f>
        <v>7.5757575757575758E-5</v>
      </c>
      <c r="H2" s="2">
        <f>IFERROR((BG2/(up_RadSpec!AL2*((s_Q_p_fowl*s_f_p_fowl*s_f_s_fowl*(up_RadSpec!BD2+s_R_es_past))+(s_Q_s_fowl*s_f_p_fowl)))),".")</f>
        <v>7.5757575757575758E-5</v>
      </c>
      <c r="I2" s="233">
        <f>IFERROR(1/D2,0)</f>
        <v>3.0249999999999999</v>
      </c>
      <c r="J2" s="233">
        <f t="shared" ref="J2:M17" si="0">IFERROR(1/E2,0)</f>
        <v>3.236254558317935E-4</v>
      </c>
      <c r="K2" s="233">
        <f t="shared" si="0"/>
        <v>5.9139211196916185E-4</v>
      </c>
      <c r="L2" s="233">
        <f t="shared" si="0"/>
        <v>13200</v>
      </c>
      <c r="M2" s="233">
        <f t="shared" si="0"/>
        <v>13200</v>
      </c>
      <c r="N2" s="2">
        <f>IFERROR(1/SUM(I2:M2),0)</f>
        <v>3.7874446785707915E-5</v>
      </c>
      <c r="O2" s="189">
        <f>IFERROR(N2*(0.0000000000028)*up_RadSpec!$AY2*up_RadSpec!$AF2,0)</f>
        <v>1.1930450737497993E-13</v>
      </c>
      <c r="P2" s="40">
        <f t="shared" ref="P2:P30" si="1">s_C*s_IFS_rec_adj*(1/1000)</f>
        <v>15.125</v>
      </c>
      <c r="Q2" s="40">
        <f t="shared" ref="Q2:Q30" si="2">s_C*s_IFA_rec_adj*(1/s_PEF_wind)*1000</f>
        <v>1.6181272791589674E-3</v>
      </c>
      <c r="R2" s="40">
        <f>IFERROR((s_C*s_EF_rec*(1/365)*1*up_RadSpec!R2*s_ET_rec*(1/24)*up_RadSpec!W2),".")</f>
        <v>2.9569605598458093E-3</v>
      </c>
      <c r="S2" s="19">
        <f>IFERROR((s_C*s_IRGL_rec*s_EF_rec*1*s_CF_game*up_RadSpec!AI2)*((s_Q_p_game*s_f_p_game*s_f_s_game*(up_RadSpec!BD2+s_R_es_past))+(s_Q_s_game*s_f_p_game)),".")</f>
        <v>66000</v>
      </c>
      <c r="T2" s="19">
        <f>IFERROR((s_C*s_IRGF_rec*s_EF_rec*1*s_CF_fowl*up_RadSpec!AL2)*((s_Q_p_fowl*s_f_p_fowl*s_f_s_fowl*(up_RadSpec!BD2+s_R_es_past))+(s_Q_s_fowl*s_f_p_fowl)),0)</f>
        <v>66000</v>
      </c>
      <c r="U2" s="18"/>
      <c r="V2" s="15">
        <f>IFERROR((s_DL/(up_RadSpec!G2*s_EF_rec*(1/365)*1*up_RadSpec!R2*s_ET_rec*(1/24)*up_RadSpec!W2)),".")</f>
        <v>1690.9254955570748</v>
      </c>
      <c r="W2" s="15">
        <f>IFERROR((s_DL/(up_RadSpec!N2*s_EF_rec*(1/365)*1*up_RadSpec!S2*s_ET_rec*(1/24)*up_RadSpec!X2)),".")</f>
        <v>3418.9433603046168</v>
      </c>
      <c r="X2" s="15">
        <f>IFERROR((s_DL/(up_RadSpec!O2*s_EF_rec*(1/365)*1*up_RadSpec!T2*s_ET_rec*(1/24)*up_RadSpec!Y2)),".")</f>
        <v>2322.1070518266774</v>
      </c>
      <c r="Y2" s="15">
        <f>IFERROR((s_DL/(up_RadSpec!P2*s_EF_rec*(1/365)*1*up_RadSpec!U2*s_ET_rec*(1/24)*up_RadSpec!Z2)),".")</f>
        <v>1930.1841948900772</v>
      </c>
      <c r="Z2" s="15">
        <f>IFERROR((s_DL/(up_RadSpec!L2*s_EF_rec*(1/365)*1*up_RadSpec!Q2*s_ET_rec*(1/24)*up_RadSpec!V2)),".")</f>
        <v>27055.190009399761</v>
      </c>
      <c r="AA2" s="189">
        <f>IFERROR(V2*(0.0000000000028)*up_RadSpec!$AY2*up_RadSpec!$AF2,0)</f>
        <v>5.3264153110047854E-6</v>
      </c>
      <c r="AB2" s="189">
        <f>IFERROR(W2*(0.0000000000028)*up_RadSpec!$AY2*up_RadSpec!$AF2,0)</f>
        <v>1.0769671584959544E-5</v>
      </c>
      <c r="AC2" s="189">
        <f>IFERROR(X2*(0.0000000000028)*up_RadSpec!$AY2*up_RadSpec!$AF2,0)</f>
        <v>7.3146372132540349E-6</v>
      </c>
      <c r="AD2" s="189">
        <f>IFERROR(Y2*(0.0000000000028)*up_RadSpec!$AY2*up_RadSpec!$AF2,0)</f>
        <v>6.0800802139037432E-6</v>
      </c>
      <c r="AE2" s="189">
        <f>IFERROR(Z2*(0.0000000000028)*up_RadSpec!$AY2*up_RadSpec!$AF2,0)</f>
        <v>8.5223848529609255E-5</v>
      </c>
      <c r="AF2" s="40">
        <f>IFERROR((s_C*s_EF_rec*(1/365)*1*up_RadSpec!R2*s_ET_rec*(1/24)*up_RadSpec!W2),".")</f>
        <v>2.9569605598458093E-3</v>
      </c>
      <c r="AG2" s="40">
        <f>IFERROR((s_C*s_EF_rec*(1/365)*1*up_RadSpec!S2*s_ET_rec*(1/24)*up_RadSpec!X2),".")</f>
        <v>1.4624401381000112E-3</v>
      </c>
      <c r="AH2" s="40">
        <f>IFERROR((s_C*s_EF_rec*(1/365)*1*up_RadSpec!T2*s_ET_rec*(1/24)*up_RadSpec!Y2),".")</f>
        <v>2.153216836436015E-3</v>
      </c>
      <c r="AI2" s="40">
        <f>IFERROR((s_C*s_EF_rec*(1/365)*1*up_RadSpec!U2*s_ET_rec*(1/24)*up_RadSpec!Z2),".")</f>
        <v>2.5904263506233648E-3</v>
      </c>
      <c r="AJ2" s="40">
        <f>IFERROR((s_C*s_EF_rec*(1/365)*1*up_RadSpec!Q2*s_ET_rec*(1/24)*up_RadSpec!V2),".")</f>
        <v>1.8480742505459598E-4</v>
      </c>
      <c r="AK2" s="15">
        <f>IFERROR((s_DL/(up_RadSpec!H2*s_IFA_rec_adj)),".")</f>
        <v>9.9740259740259754E-3</v>
      </c>
      <c r="AL2" s="15">
        <f>IFERROR((s_DL/(up_RadSpec!K2*s_EF_rec*(1/365)*1*s_ET_rec*(1/24)*s_GSF_a)),".")</f>
        <v>63.709090909090911</v>
      </c>
      <c r="AM2" s="15">
        <f>IFERROR(IF(AND(AK2&lt;&gt;".",AL2&lt;&gt;"."),1/((1/AK2)+(1/AL2)),IF(AND(AK2&lt;&gt;".",AL2="."),1/((1/AK2)),IF(AND(AK2=".",AL2&lt;&gt;"."),1/((1/AL2)),IF(AND(AK2=".",AL2="."),".")))),".")</f>
        <v>9.9724647271019675E-3</v>
      </c>
      <c r="AN2" s="189">
        <f>AM2*(0.0000000000000028)*up_RadSpec!$AY2*up_RadSpec!$AF2</f>
        <v>3.14132638903712E-14</v>
      </c>
      <c r="AO2" s="40">
        <f t="shared" ref="AO2:AO30" si="3">s_C*s_IFA_rec_adj</f>
        <v>501.30208333333326</v>
      </c>
      <c r="AP2" s="40">
        <f t="shared" ref="AP2:AP30" si="4">IFERROR((s_C*s_EF_rec*(1/365)*1*s_ET_rec*(1/24)*s_GSF_a),".")</f>
        <v>7.8481735159817351E-2</v>
      </c>
      <c r="AQ2" s="45"/>
      <c r="AR2" s="15">
        <f>IFERROR((s_DL/(up_RadSpec!I2*s_IFW_rec_adj)),".")</f>
        <v>2.2727272727272726E-3</v>
      </c>
      <c r="AS2" s="15">
        <f>IFERROR((s_DL/(up_RadSpec!M2*(1/8760)*s_DFA_rec_adj)),".")</f>
        <v>39.81818181818182</v>
      </c>
      <c r="AT2" s="2">
        <f>IFERROR(BG2/(up_RadSpec!AI2*s_Q_w_game*(1/1000)),".")</f>
        <v>1.8181818181818181</v>
      </c>
      <c r="AU2" s="2">
        <f>IFERROR(BG2/(up_RadSpec!AL2*s_Q_w_fowl*(1/1000)),".")</f>
        <v>1.8181818181818181</v>
      </c>
      <c r="AV2" s="233">
        <f t="shared" ref="AV2:AY31" si="5">IFERROR(1/AR2,0)</f>
        <v>440</v>
      </c>
      <c r="AW2" s="233">
        <f t="shared" si="5"/>
        <v>2.5114155251141551E-2</v>
      </c>
      <c r="AX2" s="233">
        <f t="shared" si="5"/>
        <v>0.55000000000000004</v>
      </c>
      <c r="AY2" s="233">
        <f t="shared" si="5"/>
        <v>0.55000000000000004</v>
      </c>
      <c r="AZ2" s="2">
        <f>IFERROR(1/SUM(AV2:AY2),0)</f>
        <v>2.2669305553255272E-3</v>
      </c>
      <c r="BA2" s="189">
        <f>AZ2*(0.0000000000000028)*up_RadSpec!$AY2*up_RadSpec!$AF2</f>
        <v>7.140831249275411E-15</v>
      </c>
      <c r="BB2" s="40">
        <f t="shared" ref="BB2:BB30" si="6">s_C*s_IFW_rec_adj</f>
        <v>2200</v>
      </c>
      <c r="BC2" s="40">
        <f t="shared" ref="BC2:BC30" si="7">s_C*(1/8760)*s_DFA_rec_adj</f>
        <v>0.12557077625570776</v>
      </c>
      <c r="BD2" s="19">
        <f>IFERROR(s_C*up_RadSpec!AI2*s_Q_w_game*(1/1000)*s_EF_rec*1*s_IRGL_rec*s_CF_game,".")</f>
        <v>2.75</v>
      </c>
      <c r="BE2" s="19">
        <f>IFERROR(s_C*up_RadSpec!AL2*s_Q_w_fowl*(1/1000)*s_EF_rec*1*s_IRGL_rec*s_CF_fowl,0)</f>
        <v>2.75</v>
      </c>
      <c r="BF2" s="18"/>
      <c r="BG2" s="2">
        <f>IFERROR(s_DL/(up_RadSpec!F2*s_EF_rec*1*s_IRGL_rec*s_CF_game),".")</f>
        <v>1.8181818181818181E-2</v>
      </c>
      <c r="BH2" s="2">
        <f>IFERROR(s_DL/(up_RadSpec!F2*s_EF_rec*1*s_IRGF_rec*s_CF_fowl),".")</f>
        <v>1.8181818181818181E-2</v>
      </c>
      <c r="BI2" s="189">
        <f>IFERROR(BG2*(0.0000000000028)*up_RadSpec!$AY2*up_RadSpec!$AF2,0)</f>
        <v>5.7272727272727281E-11</v>
      </c>
      <c r="BJ2" s="189">
        <f>IFERROR(BH2*(0.0000000000028)*up_RadSpec!$AY2*up_RadSpec!$AF2,0)</f>
        <v>5.7272727272727281E-11</v>
      </c>
      <c r="BK2" s="19">
        <f t="shared" ref="BK2:BK30" si="8">IFERROR(s_C*s_EF_rec*1*s_IRGL_rec*s_CF_game,".")</f>
        <v>275</v>
      </c>
      <c r="BL2" s="19">
        <f t="shared" ref="BL2:BL30" si="9">IFERROR(s_C*s_EF_rec*1*s_IRGF_rec*s_CF_fowl,".")</f>
        <v>275</v>
      </c>
    </row>
    <row r="3" spans="1:64" x14ac:dyDescent="0.25">
      <c r="A3" s="46" t="s">
        <v>1</v>
      </c>
      <c r="B3" s="42" t="s">
        <v>335</v>
      </c>
      <c r="C3" s="42"/>
      <c r="D3" s="15">
        <f>IFERROR(((s_DL/(up_RadSpec!E3*s_IFS_rec_adj*(1/1000)))*1),".")</f>
        <v>0.33057851239669422</v>
      </c>
      <c r="E3" s="15">
        <f>IFERROR(IF(A3="H-3",(s_DL/((up_RadSpec!H3*s_IFA_rec_adj*(1/17)*1000))*1),(s_DL/((up_RadSpec!H3*s_IFA_rec_adj*(1/s_PEF_wind)*1000))*1)),".")</f>
        <v>3089.9917851942919</v>
      </c>
      <c r="F3" s="2">
        <f>IFERROR((s_DL/(up_RadSpec!G3*s_EF_rec*(1/365)*1*up_RadSpec!R3*s_ET_rec*(1/24)*up_RadSpec!W3)),".")</f>
        <v>221844.15584415593</v>
      </c>
      <c r="G3" s="2">
        <f>IFERROR((BG3/(up_RadSpec!AI3*((s_Q_p_game*s_f_p_game*s_f_s_game*(up_RadSpec!BD3+s_R_es_past))+(s_Q_s_game*s_f_p_game)))),".")</f>
        <v>7.5757575757575758E-5</v>
      </c>
      <c r="H3" s="2">
        <f>IFERROR((BG3/(up_RadSpec!AL3*((s_Q_p_fowl*s_f_p_fowl*s_f_s_fowl*(up_RadSpec!BD3+s_R_es_past))+(s_Q_s_fowl*s_f_p_fowl)))),".")</f>
        <v>7.5757575757575758E-5</v>
      </c>
      <c r="I3" s="233">
        <f t="shared" ref="I3:M66" si="10">IFERROR(1/D3,0)</f>
        <v>3.0249999999999999</v>
      </c>
      <c r="J3" s="233">
        <f t="shared" si="0"/>
        <v>3.236254558317935E-4</v>
      </c>
      <c r="K3" s="233">
        <f t="shared" si="0"/>
        <v>4.5076688912305335E-6</v>
      </c>
      <c r="L3" s="233">
        <f t="shared" si="0"/>
        <v>13200</v>
      </c>
      <c r="M3" s="233">
        <f t="shared" si="0"/>
        <v>13200</v>
      </c>
      <c r="N3" s="2">
        <f t="shared" ref="N3:N30" si="11">IFERROR(1/SUM(I3:M3),0)</f>
        <v>3.787444762757825E-5</v>
      </c>
      <c r="O3" s="189">
        <f>IFERROR(N3*(0.0000000000028)*up_RadSpec!$AY3*up_RadSpec!$AF3,0)</f>
        <v>1.2778838629544901E-13</v>
      </c>
      <c r="P3" s="40">
        <f t="shared" si="1"/>
        <v>15.125</v>
      </c>
      <c r="Q3" s="40">
        <f t="shared" si="2"/>
        <v>1.6181272791589674E-3</v>
      </c>
      <c r="R3" s="40">
        <f>IFERROR((s_C*s_EF_rec*(1/365)*1*up_RadSpec!R3*s_ET_rec*(1/24)*up_RadSpec!W3),".")</f>
        <v>2.2538344456152668E-5</v>
      </c>
      <c r="S3" s="19">
        <f>IFERROR((s_C*s_IRGL_rec*s_EF_rec*1*s_CF_game*up_RadSpec!AI3)*((s_Q_p_game*s_f_p_game*s_f_s_game*(up_RadSpec!BD3+s_R_es_past))+(s_Q_s_game*s_f_p_game)),".")</f>
        <v>66000</v>
      </c>
      <c r="T3" s="19">
        <f>IFERROR((s_C*s_IRGF_rec*s_EF_rec*1*s_CF_fowl*up_RadSpec!AL3)*((s_Q_p_fowl*s_f_p_fowl*s_f_s_fowl*(up_RadSpec!BD3+s_R_es_past))+(s_Q_s_fowl*s_f_p_fowl)),0)</f>
        <v>66000</v>
      </c>
      <c r="U3" s="18"/>
      <c r="V3" s="15">
        <f>IFERROR((s_DL/(up_RadSpec!G3*s_EF_rec*(1/365)*1*up_RadSpec!R3*s_ET_rec*(1/24)*up_RadSpec!W3)),".")</f>
        <v>221844.15584415593</v>
      </c>
      <c r="W3" s="15">
        <f>IFERROR((s_DL/(up_RadSpec!N3*s_EF_rec*(1/365)*1*up_RadSpec!S3*s_ET_rec*(1/24)*up_RadSpec!X3)),".")</f>
        <v>311061.75132324267</v>
      </c>
      <c r="X3" s="15">
        <f>IFERROR((s_DL/(up_RadSpec!O3*s_EF_rec*(1/365)*1*up_RadSpec!T3*s_ET_rec*(1/24)*up_RadSpec!Y3)),".")</f>
        <v>235829.23154193873</v>
      </c>
      <c r="Y3" s="15">
        <f>IFERROR((s_DL/(up_RadSpec!P3*s_EF_rec*(1/365)*1*up_RadSpec!U3*s_ET_rec*(1/24)*up_RadSpec!Z3)),".")</f>
        <v>243096.83536802168</v>
      </c>
      <c r="Z3" s="15">
        <f>IFERROR((s_DL/(up_RadSpec!L3*s_EF_rec*(1/365)*1*up_RadSpec!Q3*s_ET_rec*(1/24)*up_RadSpec!V3)),".")</f>
        <v>482281.85429946438</v>
      </c>
      <c r="AA3" s="189">
        <f>IFERROR(V3*(0.0000000000028)*up_RadSpec!$AY3*up_RadSpec!$AF3,0)</f>
        <v>7.485021818181821E-4</v>
      </c>
      <c r="AB3" s="189">
        <f>IFERROR(W3*(0.0000000000028)*up_RadSpec!$AY3*up_RadSpec!$AF3,0)</f>
        <v>1.0495223489646209E-3</v>
      </c>
      <c r="AC3" s="189">
        <f>IFERROR(X3*(0.0000000000028)*up_RadSpec!$AY3*up_RadSpec!$AF3,0)</f>
        <v>7.9568782722250122E-4</v>
      </c>
      <c r="AD3" s="189">
        <f>IFERROR(Y3*(0.0000000000028)*up_RadSpec!$AY3*up_RadSpec!$AF3,0)</f>
        <v>8.2020872253170526E-4</v>
      </c>
      <c r="AE3" s="189">
        <f>IFERROR(Z3*(0.0000000000028)*up_RadSpec!$AY3*up_RadSpec!$AF3,0)</f>
        <v>1.627218976406393E-3</v>
      </c>
      <c r="AF3" s="40">
        <f>IFERROR((s_C*s_EF_rec*(1/365)*1*up_RadSpec!R3*s_ET_rec*(1/24)*up_RadSpec!W3),".")</f>
        <v>2.2538344456152668E-5</v>
      </c>
      <c r="AG3" s="40">
        <f>IFERROR((s_C*s_EF_rec*(1/365)*1*up_RadSpec!S3*s_ET_rec*(1/24)*up_RadSpec!X3),".")</f>
        <v>1.6073978812021168E-5</v>
      </c>
      <c r="AH3" s="40">
        <f>IFERROR((s_C*s_EF_rec*(1/365)*1*up_RadSpec!T3*s_ET_rec*(1/24)*up_RadSpec!Y3),".")</f>
        <v>2.1201782184965583E-5</v>
      </c>
      <c r="AI3" s="40">
        <f>IFERROR((s_C*s_EF_rec*(1/365)*1*up_RadSpec!U3*s_ET_rec*(1/24)*up_RadSpec!Z3),".")</f>
        <v>2.0567935376166267E-5</v>
      </c>
      <c r="AJ3" s="40">
        <f>IFERROR((s_C*s_EF_rec*(1/365)*1*up_RadSpec!Q3*s_ET_rec*(1/24)*up_RadSpec!V3),".")</f>
        <v>1.0367381553806788E-5</v>
      </c>
      <c r="AK3" s="15">
        <f>IFERROR((s_DL/(up_RadSpec!H3*s_IFA_rec_adj)),".")</f>
        <v>9.9740259740259754E-3</v>
      </c>
      <c r="AL3" s="15">
        <f>IFERROR((s_DL/(up_RadSpec!K3*s_EF_rec*(1/365)*1*s_ET_rec*(1/24)*s_GSF_a)),".")</f>
        <v>63.709090909090911</v>
      </c>
      <c r="AM3" s="15">
        <f>IFERROR(IF(AND(AK3&lt;&gt;".",AL3&lt;&gt;"."),1/((1/AK3)+(1/AL3)),IF(AND(AK3&lt;&gt;".",AL3="."),1/((1/AK3)),IF(AND(AK3=".",AL3&lt;&gt;"."),1/((1/AL3)),IF(AND(AK3=".",AL3="."),".")))),".")</f>
        <v>9.9724647271019675E-3</v>
      </c>
      <c r="AN3" s="189">
        <f>AM3*(0.0000000000000028)*up_RadSpec!$AY3*up_RadSpec!$AF3</f>
        <v>3.3647095989242038E-14</v>
      </c>
      <c r="AO3" s="40">
        <f t="shared" si="3"/>
        <v>501.30208333333326</v>
      </c>
      <c r="AP3" s="40">
        <f t="shared" si="4"/>
        <v>7.8481735159817351E-2</v>
      </c>
      <c r="AQ3" s="45"/>
      <c r="AR3" s="15">
        <f>IFERROR((s_DL/(up_RadSpec!I3*s_IFW_rec_adj)),".")</f>
        <v>2.2727272727272726E-3</v>
      </c>
      <c r="AS3" s="15">
        <f>IFERROR((s_DL/(up_RadSpec!M3*(1/8760)*s_DFA_rec_adj)),".")</f>
        <v>39.81818181818182</v>
      </c>
      <c r="AT3" s="2">
        <f>IFERROR(BG3/(up_RadSpec!AI3*s_Q_w_game*(1/1000)),".")</f>
        <v>1.8181818181818181</v>
      </c>
      <c r="AU3" s="2">
        <f>IFERROR(BG3/(up_RadSpec!AL3*s_Q_w_fowl*(1/1000)),".")</f>
        <v>1.8181818181818181</v>
      </c>
      <c r="AV3" s="233">
        <f t="shared" si="5"/>
        <v>440</v>
      </c>
      <c r="AW3" s="233">
        <f t="shared" si="5"/>
        <v>2.5114155251141551E-2</v>
      </c>
      <c r="AX3" s="233">
        <f t="shared" si="5"/>
        <v>0.55000000000000004</v>
      </c>
      <c r="AY3" s="233">
        <f t="shared" si="5"/>
        <v>0.55000000000000004</v>
      </c>
      <c r="AZ3" s="2">
        <f t="shared" ref="AZ3:AZ29" si="12">IFERROR(1/SUM(AV3:AY3),0)</f>
        <v>2.2669305553255272E-3</v>
      </c>
      <c r="BA3" s="189">
        <f>AZ3*(0.0000000000000028)*up_RadSpec!$AY3*up_RadSpec!$AF3</f>
        <v>7.6486236936683288E-15</v>
      </c>
      <c r="BB3" s="40">
        <f t="shared" si="6"/>
        <v>2200</v>
      </c>
      <c r="BC3" s="40">
        <f t="shared" si="7"/>
        <v>0.12557077625570776</v>
      </c>
      <c r="BD3" s="19">
        <f>IFERROR(s_C*up_RadSpec!AI3*s_Q_w_game*(1/1000)*s_EF_rec*1*s_IRGL_rec*s_CF_game,".")</f>
        <v>2.75</v>
      </c>
      <c r="BE3" s="19">
        <f>IFERROR(s_C*up_RadSpec!AL3*s_Q_w_fowl*(1/1000)*s_EF_rec*1*s_IRGL_rec*s_CF_fowl,0)</f>
        <v>2.75</v>
      </c>
      <c r="BF3" s="18"/>
      <c r="BG3" s="2">
        <f>IFERROR(s_DL/(up_RadSpec!F3*s_EF_rec*1*s_IRGL_rec*s_CF_game),".")</f>
        <v>1.8181818181818181E-2</v>
      </c>
      <c r="BH3" s="2">
        <f>IFERROR(s_DL/(up_RadSpec!F3*s_EF_rec*1*s_IRGF_rec*s_CF_fowl),".")</f>
        <v>1.8181818181818181E-2</v>
      </c>
      <c r="BI3" s="189">
        <f>IFERROR(BG3*(0.0000000000028)*up_RadSpec!$AY3*up_RadSpec!$AF3,0)</f>
        <v>6.1345454545454554E-11</v>
      </c>
      <c r="BJ3" s="189">
        <f>IFERROR(BH3*(0.0000000000028)*up_RadSpec!$AY3*up_RadSpec!$AF3,0)</f>
        <v>6.1345454545454554E-11</v>
      </c>
      <c r="BK3" s="19">
        <f t="shared" si="8"/>
        <v>275</v>
      </c>
      <c r="BL3" s="19">
        <f t="shared" si="9"/>
        <v>275</v>
      </c>
    </row>
    <row r="4" spans="1:64" customFormat="1" x14ac:dyDescent="0.25">
      <c r="A4" s="44" t="s">
        <v>2</v>
      </c>
      <c r="B4" s="42" t="s">
        <v>1057</v>
      </c>
      <c r="C4" s="42"/>
      <c r="D4" s="15">
        <f>IFERROR(((s_DL/(up_RadSpec!E4*s_IFS_rec_adj*(1/1000)))*1),".")</f>
        <v>0.33057851239669422</v>
      </c>
      <c r="E4" s="15">
        <f>IFERROR(IF(A4="H-3",(s_DL/((up_RadSpec!H4*s_IFA_rec_adj*(1/17)*1000))*1),(s_DL/((up_RadSpec!H4*s_IFA_rec_adj*(1/s_PEF_wind)*1000))*1)),".")</f>
        <v>3089.9917851942919</v>
      </c>
      <c r="F4" s="2">
        <f>IFERROR((s_DL/(up_RadSpec!G4*s_EF_rec*(1/365)*1*up_RadSpec!R4*s_ET_rec*(1/24)*up_RadSpec!W4)),".")</f>
        <v>825.85858585858614</v>
      </c>
      <c r="G4" s="2">
        <f>IFERROR((BG4/(up_RadSpec!AI4*((s_Q_p_game*s_f_p_game*s_f_s_game*(up_RadSpec!BD4+s_R_es_past))+(s_Q_s_game*s_f_p_game)))),".")</f>
        <v>7.5757575757575758E-5</v>
      </c>
      <c r="H4" s="2">
        <f>IFERROR((BG4/(up_RadSpec!AL4*((s_Q_p_fowl*s_f_p_fowl*s_f_s_fowl*(up_RadSpec!BD4+s_R_es_past))+(s_Q_s_fowl*s_f_p_fowl)))),".")</f>
        <v>7.5757575757575758E-5</v>
      </c>
      <c r="I4" s="233">
        <f t="shared" si="10"/>
        <v>3.0249999999999999</v>
      </c>
      <c r="J4" s="233">
        <f t="shared" si="0"/>
        <v>3.236254558317935E-4</v>
      </c>
      <c r="K4" s="233">
        <f t="shared" si="0"/>
        <v>1.2108610567514674E-3</v>
      </c>
      <c r="L4" s="233">
        <f t="shared" si="0"/>
        <v>13200</v>
      </c>
      <c r="M4" s="233">
        <f t="shared" si="0"/>
        <v>13200</v>
      </c>
      <c r="N4" s="2">
        <f t="shared" si="11"/>
        <v>3.7874445897096017E-5</v>
      </c>
      <c r="O4" s="189">
        <f>IFERROR(N4*(0.0000000000028)*up_RadSpec!$AY4*up_RadSpec!$AF4,0)</f>
        <v>1.150625666353777E-13</v>
      </c>
      <c r="P4" s="40">
        <f t="shared" si="1"/>
        <v>15.125</v>
      </c>
      <c r="Q4" s="40">
        <f t="shared" si="2"/>
        <v>1.6181272791589674E-3</v>
      </c>
      <c r="R4" s="40">
        <f>IFERROR((s_C*s_EF_rec*(1/365)*1*up_RadSpec!R4*s_ET_rec*(1/24)*up_RadSpec!W4),".")</f>
        <v>6.0543052837573365E-3</v>
      </c>
      <c r="S4" s="19">
        <f>IFERROR((s_C*s_IRGL_rec*s_EF_rec*1*s_CF_game*up_RadSpec!AI4)*((s_Q_p_game*s_f_p_game*s_f_s_game*(up_RadSpec!BD4+s_R_es_past))+(s_Q_s_game*s_f_p_game)),".")</f>
        <v>66000</v>
      </c>
      <c r="T4" s="19">
        <f>IFERROR((s_C*s_IRGF_rec*s_EF_rec*1*s_CF_fowl*up_RadSpec!AL4)*((s_Q_p_fowl*s_f_p_fowl*s_f_s_fowl*(up_RadSpec!BD4+s_R_es_past))+(s_Q_s_fowl*s_f_p_fowl)),0)</f>
        <v>66000</v>
      </c>
      <c r="U4" s="18"/>
      <c r="V4" s="15">
        <f>IFERROR((s_DL/(up_RadSpec!G4*s_EF_rec*(1/365)*1*up_RadSpec!R4*s_ET_rec*(1/24)*up_RadSpec!W4)),".")</f>
        <v>825.85858585858614</v>
      </c>
      <c r="W4" s="15">
        <f>IFERROR((s_DL/(up_RadSpec!N4*s_EF_rec*(1/365)*1*up_RadSpec!S4*s_ET_rec*(1/24)*up_RadSpec!X4)),".")</f>
        <v>1347.6923076923078</v>
      </c>
      <c r="X4" s="15">
        <f>IFERROR((s_DL/(up_RadSpec!O4*s_EF_rec*(1/365)*1*up_RadSpec!T4*s_ET_rec*(1/24)*up_RadSpec!Y4)),".")</f>
        <v>969.48616600790467</v>
      </c>
      <c r="Y4" s="15">
        <f>IFERROR((s_DL/(up_RadSpec!P4*s_EF_rec*(1/365)*1*up_RadSpec!U4*s_ET_rec*(1/24)*up_RadSpec!Z4)),".")</f>
        <v>843.93416567329632</v>
      </c>
      <c r="Z4" s="15">
        <f>IFERROR((s_DL/(up_RadSpec!L4*s_EF_rec*(1/365)*1*up_RadSpec!Q4*s_ET_rec*(1/24)*up_RadSpec!V4)),".")</f>
        <v>2488.8664733324913</v>
      </c>
      <c r="AA4" s="189">
        <f>IFERROR(V4*(0.0000000000028)*up_RadSpec!$AY4*up_RadSpec!$AF4,0)</f>
        <v>2.5089583838383851E-6</v>
      </c>
      <c r="AB4" s="189">
        <f>IFERROR(W4*(0.0000000000028)*up_RadSpec!$AY4*up_RadSpec!$AF4,0)</f>
        <v>4.0942892307692313E-6</v>
      </c>
      <c r="AC4" s="189">
        <f>IFERROR(X4*(0.0000000000028)*up_RadSpec!$AY4*up_RadSpec!$AF4,0)</f>
        <v>2.945298972332015E-6</v>
      </c>
      <c r="AD4" s="189">
        <f>IFERROR(Y4*(0.0000000000028)*up_RadSpec!$AY4*up_RadSpec!$AF4,0)</f>
        <v>2.5638719953154743E-6</v>
      </c>
      <c r="AE4" s="189">
        <f>IFERROR(Z4*(0.0000000000028)*up_RadSpec!$AY4*up_RadSpec!$AF4,0)</f>
        <v>7.5611763459841097E-6</v>
      </c>
      <c r="AF4" s="40">
        <f>IFERROR((s_C*s_EF_rec*(1/365)*1*up_RadSpec!R4*s_ET_rec*(1/24)*up_RadSpec!W4),".")</f>
        <v>6.0543052837573365E-3</v>
      </c>
      <c r="AG4" s="40">
        <f>IFERROR((s_C*s_EF_rec*(1/365)*1*up_RadSpec!S4*s_ET_rec*(1/24)*up_RadSpec!X4),".")</f>
        <v>3.710045662100456E-3</v>
      </c>
      <c r="AH4" s="40">
        <f>IFERROR((s_C*s_EF_rec*(1/365)*1*up_RadSpec!T4*s_ET_rec*(1/24)*up_RadSpec!Y4),".")</f>
        <v>5.1573711676451426E-3</v>
      </c>
      <c r="AI4" s="40">
        <f>IFERROR((s_C*s_EF_rec*(1/365)*1*up_RadSpec!U4*s_ET_rec*(1/24)*up_RadSpec!Z4),".")</f>
        <v>5.9246327538013191E-3</v>
      </c>
      <c r="AJ4" s="40">
        <f>IFERROR((s_C*s_EF_rec*(1/365)*1*up_RadSpec!Q4*s_ET_rec*(1/24)*up_RadSpec!V4),".")</f>
        <v>2.0089466645051481E-3</v>
      </c>
      <c r="AK4" s="15">
        <f>IFERROR((s_DL/(up_RadSpec!H4*s_IFA_rec_adj)),".")</f>
        <v>9.9740259740259754E-3</v>
      </c>
      <c r="AL4" s="15">
        <f>IFERROR((s_DL/(up_RadSpec!K4*s_EF_rec*(1/365)*1*s_ET_rec*(1/24)*s_GSF_a)),".")</f>
        <v>63.709090909090911</v>
      </c>
      <c r="AM4" s="15">
        <f t="shared" ref="AM4:AM16" si="13">IFERROR(IF(AND(AK4&lt;&gt;".",AL4&lt;&gt;"."),1/((1/AK4)+(1/AL4)),IF(AND(AK4&lt;&gt;".",AL4="."),1/((1/AK4)),IF(AND(AK4=".",AL4&lt;&gt;"."),1/((1/AL4)),IF(AND(AK4=".",AL4="."),".")))),".")</f>
        <v>9.9724647271019675E-3</v>
      </c>
      <c r="AN4" s="189">
        <f>AM4*(0.0000000000000028)*up_RadSpec!$AY4*up_RadSpec!$AF4</f>
        <v>3.0296347840935774E-14</v>
      </c>
      <c r="AO4" s="40">
        <f t="shared" si="3"/>
        <v>501.30208333333326</v>
      </c>
      <c r="AP4" s="40">
        <f t="shared" si="4"/>
        <v>7.8481735159817351E-2</v>
      </c>
      <c r="AQ4" s="45"/>
      <c r="AR4" s="15">
        <f>IFERROR((s_DL/(up_RadSpec!I4*s_IFW_rec_adj)),".")</f>
        <v>2.2727272727272726E-3</v>
      </c>
      <c r="AS4" s="15">
        <f>IFERROR((s_DL/(up_RadSpec!M4*(1/8760)*s_DFA_rec_adj)),".")</f>
        <v>39.81818181818182</v>
      </c>
      <c r="AT4" s="2">
        <f>IFERROR(BG4/(up_RadSpec!AI4*s_Q_w_game*(1/1000)),".")</f>
        <v>1.8181818181818181</v>
      </c>
      <c r="AU4" s="2">
        <f>IFERROR(BG4/(up_RadSpec!AL4*s_Q_w_fowl*(1/1000)),".")</f>
        <v>1.8181818181818181</v>
      </c>
      <c r="AV4" s="233">
        <f t="shared" si="5"/>
        <v>440</v>
      </c>
      <c r="AW4" s="233">
        <f t="shared" si="5"/>
        <v>2.5114155251141551E-2</v>
      </c>
      <c r="AX4" s="233">
        <f t="shared" si="5"/>
        <v>0.55000000000000004</v>
      </c>
      <c r="AY4" s="233">
        <f t="shared" si="5"/>
        <v>0.55000000000000004</v>
      </c>
      <c r="AZ4" s="2">
        <f t="shared" si="12"/>
        <v>2.2669305553255272E-3</v>
      </c>
      <c r="BA4" s="189">
        <f>AZ4*(0.0000000000000028)*up_RadSpec!$AY4*up_RadSpec!$AF4</f>
        <v>6.8869350270789514E-15</v>
      </c>
      <c r="BB4" s="40">
        <f t="shared" si="6"/>
        <v>2200</v>
      </c>
      <c r="BC4" s="40">
        <f t="shared" si="7"/>
        <v>0.12557077625570776</v>
      </c>
      <c r="BD4" s="19">
        <f>IFERROR(s_C*up_RadSpec!AI4*s_Q_w_game*(1/1000)*s_EF_rec*1*s_IRGL_rec*s_CF_game,".")</f>
        <v>2.75</v>
      </c>
      <c r="BE4" s="19">
        <f>IFERROR(s_C*up_RadSpec!AL4*s_Q_w_fowl*(1/1000)*s_EF_rec*1*s_IRGL_rec*s_CF_fowl,0)</f>
        <v>2.75</v>
      </c>
      <c r="BF4" s="18"/>
      <c r="BG4" s="2">
        <f>IFERROR(s_DL/(up_RadSpec!F4*s_EF_rec*1*s_IRGL_rec*s_CF_game),".")</f>
        <v>1.8181818181818181E-2</v>
      </c>
      <c r="BH4" s="2">
        <f>IFERROR(s_DL/(up_RadSpec!F4*s_EF_rec*1*s_IRGF_rec*s_CF_fowl),".")</f>
        <v>1.8181818181818181E-2</v>
      </c>
      <c r="BI4" s="189">
        <f>IFERROR(BG4*(0.0000000000028)*up_RadSpec!$AY4*up_RadSpec!$AF4,0)</f>
        <v>5.5236363636363644E-11</v>
      </c>
      <c r="BJ4" s="189">
        <f>IFERROR(BH4*(0.0000000000028)*up_RadSpec!$AY4*up_RadSpec!$AF4,0)</f>
        <v>5.5236363636363644E-11</v>
      </c>
      <c r="BK4" s="19">
        <f t="shared" si="8"/>
        <v>275</v>
      </c>
      <c r="BL4" s="19">
        <f t="shared" si="9"/>
        <v>275</v>
      </c>
    </row>
    <row r="5" spans="1:64" customFormat="1" x14ac:dyDescent="0.25">
      <c r="A5" s="44" t="s">
        <v>3</v>
      </c>
      <c r="B5" s="42" t="s">
        <v>1057</v>
      </c>
      <c r="C5" s="238"/>
      <c r="D5" s="15">
        <f>IFERROR(((s_DL/(up_RadSpec!E5*s_IFS_rec_adj*(1/1000)))*1),".")</f>
        <v>0.33057851239669422</v>
      </c>
      <c r="E5" s="15">
        <f>IFERROR(IF(A5="H-3",(s_DL/((up_RadSpec!H5*s_IFA_rec_adj*(1/17)*1000))*1),(s_DL/((up_RadSpec!H5*s_IFA_rec_adj*(1/s_PEF_wind)*1000))*1)),".")</f>
        <v>3089.9917851942919</v>
      </c>
      <c r="F5" s="2" t="str">
        <f>IFERROR((s_DL/(up_RadSpec!G5*s_EF_rec*(1/365)*1*up_RadSpec!R5*s_ET_rec*(1/24)*up_RadSpec!W5)),".")</f>
        <v>.</v>
      </c>
      <c r="G5" s="2">
        <f>IFERROR((BG5/(up_RadSpec!AI5*((s_Q_p_game*s_f_p_game*s_f_s_game*(up_RadSpec!BD5+s_R_es_past))+(s_Q_s_game*s_f_p_game)))),".")</f>
        <v>7.5757575757575758E-5</v>
      </c>
      <c r="H5" s="2">
        <f>IFERROR((BG5/(up_RadSpec!AL5*((s_Q_p_fowl*s_f_p_fowl*s_f_s_fowl*(up_RadSpec!BD5+s_R_es_past))+(s_Q_s_fowl*s_f_p_fowl)))),".")</f>
        <v>7.5757575757575758E-5</v>
      </c>
      <c r="I5" s="233">
        <f t="shared" si="10"/>
        <v>3.0249999999999999</v>
      </c>
      <c r="J5" s="233">
        <f t="shared" si="0"/>
        <v>3.236254558317935E-4</v>
      </c>
      <c r="K5" s="233">
        <f t="shared" si="0"/>
        <v>0</v>
      </c>
      <c r="L5" s="233">
        <f t="shared" si="0"/>
        <v>13200</v>
      </c>
      <c r="M5" s="233">
        <f t="shared" si="0"/>
        <v>13200</v>
      </c>
      <c r="N5" s="2">
        <f t="shared" si="11"/>
        <v>3.7874447634044378E-5</v>
      </c>
      <c r="O5" s="189">
        <f>IFERROR(N5*(0.0000000000028)*up_RadSpec!$AY5*up_RadSpec!$AF5,0)</f>
        <v>1.1559281417910346E-13</v>
      </c>
      <c r="P5" s="40">
        <f t="shared" si="1"/>
        <v>15.125</v>
      </c>
      <c r="Q5" s="40">
        <f t="shared" si="2"/>
        <v>1.6181272791589674E-3</v>
      </c>
      <c r="R5" s="40">
        <f>IFERROR((s_C*s_EF_rec*(1/365)*1*up_RadSpec!R5*s_ET_rec*(1/24)*up_RadSpec!W5),".")</f>
        <v>0</v>
      </c>
      <c r="S5" s="19">
        <f>IFERROR((s_C*s_IRGL_rec*s_EF_rec*1*s_CF_game*up_RadSpec!AI5)*((s_Q_p_game*s_f_p_game*s_f_s_game*(up_RadSpec!BD5+s_R_es_past))+(s_Q_s_game*s_f_p_game)),".")</f>
        <v>66000</v>
      </c>
      <c r="T5" s="19">
        <f>IFERROR((s_C*s_IRGF_rec*s_EF_rec*1*s_CF_fowl*up_RadSpec!AL5)*((s_Q_p_fowl*s_f_p_fowl*s_f_s_fowl*(up_RadSpec!BD5+s_R_es_past))+(s_Q_s_fowl*s_f_p_fowl)),0)</f>
        <v>66000</v>
      </c>
      <c r="U5" s="18"/>
      <c r="V5" s="15" t="str">
        <f>IFERROR((s_DL/(up_RadSpec!G5*s_EF_rec*(1/365)*1*up_RadSpec!R5*s_ET_rec*(1/24)*up_RadSpec!W5)),".")</f>
        <v>.</v>
      </c>
      <c r="W5" s="15" t="str">
        <f>IFERROR((s_DL/(up_RadSpec!N5*s_EF_rec*(1/365)*1*up_RadSpec!S5*s_ET_rec*(1/24)*up_RadSpec!X5)),".")</f>
        <v>.</v>
      </c>
      <c r="X5" s="15" t="str">
        <f>IFERROR((s_DL/(up_RadSpec!O5*s_EF_rec*(1/365)*1*up_RadSpec!T5*s_ET_rec*(1/24)*up_RadSpec!Y5)),".")</f>
        <v>.</v>
      </c>
      <c r="Y5" s="15" t="str">
        <f>IFERROR((s_DL/(up_RadSpec!P5*s_EF_rec*(1/365)*1*up_RadSpec!U5*s_ET_rec*(1/24)*up_RadSpec!Z5)),".")</f>
        <v>.</v>
      </c>
      <c r="Z5" s="15" t="str">
        <f>IFERROR((s_DL/(up_RadSpec!L5*s_EF_rec*(1/365)*1*up_RadSpec!Q5*s_ET_rec*(1/24)*up_RadSpec!V5)),".")</f>
        <v>.</v>
      </c>
      <c r="AA5" s="189">
        <f>IFERROR(V5*(0.0000000000028)*up_RadSpec!$AY5*up_RadSpec!$AF5,0)</f>
        <v>0</v>
      </c>
      <c r="AB5" s="189">
        <f>IFERROR(W5*(0.0000000000028)*up_RadSpec!$AY5*up_RadSpec!$AF5,0)</f>
        <v>0</v>
      </c>
      <c r="AC5" s="189">
        <f>IFERROR(X5*(0.0000000000028)*up_RadSpec!$AY5*up_RadSpec!$AF5,0)</f>
        <v>0</v>
      </c>
      <c r="AD5" s="189">
        <f>IFERROR(Y5*(0.0000000000028)*up_RadSpec!$AY5*up_RadSpec!$AF5,0)</f>
        <v>0</v>
      </c>
      <c r="AE5" s="189">
        <f>IFERROR(Z5*(0.0000000000028)*up_RadSpec!$AY5*up_RadSpec!$AF5,0)</f>
        <v>0</v>
      </c>
      <c r="AF5" s="40">
        <f>IFERROR((s_C*s_EF_rec*(1/365)*1*up_RadSpec!R5*s_ET_rec*(1/24)*up_RadSpec!W5),".")</f>
        <v>0</v>
      </c>
      <c r="AG5" s="40">
        <f>IFERROR((s_C*s_EF_rec*(1/365)*1*up_RadSpec!S5*s_ET_rec*(1/24)*up_RadSpec!X5),".")</f>
        <v>0</v>
      </c>
      <c r="AH5" s="40">
        <f>IFERROR((s_C*s_EF_rec*(1/365)*1*up_RadSpec!T5*s_ET_rec*(1/24)*up_RadSpec!Y5),".")</f>
        <v>0</v>
      </c>
      <c r="AI5" s="40">
        <f>IFERROR((s_C*s_EF_rec*(1/365)*1*up_RadSpec!U5*s_ET_rec*(1/24)*up_RadSpec!Z5),".")</f>
        <v>0</v>
      </c>
      <c r="AJ5" s="40">
        <f>IFERROR((s_C*s_EF_rec*(1/365)*1*up_RadSpec!Q5*s_ET_rec*(1/24)*up_RadSpec!V5),".")</f>
        <v>0</v>
      </c>
      <c r="AK5" s="15">
        <f>IFERROR((s_DL/(up_RadSpec!H5*s_IFA_rec_adj)),".")</f>
        <v>9.9740259740259754E-3</v>
      </c>
      <c r="AL5" s="15">
        <f>IFERROR((s_DL/(up_RadSpec!K5*s_EF_rec*(1/365)*1*s_ET_rec*(1/24)*s_GSF_a)),".")</f>
        <v>63.709090909090911</v>
      </c>
      <c r="AM5" s="15">
        <f t="shared" si="13"/>
        <v>9.9724647271019675E-3</v>
      </c>
      <c r="AN5" s="189">
        <f>AM5*(0.0000000000000028)*up_RadSpec!$AY5*up_RadSpec!$AF5</f>
        <v>3.0435962347115209E-14</v>
      </c>
      <c r="AO5" s="40">
        <f t="shared" si="3"/>
        <v>501.30208333333326</v>
      </c>
      <c r="AP5" s="40">
        <f t="shared" si="4"/>
        <v>7.8481735159817351E-2</v>
      </c>
      <c r="AQ5" s="45"/>
      <c r="AR5" s="15">
        <f>IFERROR((s_DL/(up_RadSpec!I5*s_IFW_rec_adj)),".")</f>
        <v>2.2727272727272726E-3</v>
      </c>
      <c r="AS5" s="15">
        <f>IFERROR((s_DL/(up_RadSpec!M5*(1/8760)*s_DFA_rec_adj)),".")</f>
        <v>39.81818181818182</v>
      </c>
      <c r="AT5" s="2">
        <f>IFERROR(BG5/(up_RadSpec!AI5*s_Q_w_game*(1/1000)),".")</f>
        <v>1.8181818181818181</v>
      </c>
      <c r="AU5" s="2">
        <f>IFERROR(BG5/(up_RadSpec!AL5*s_Q_w_fowl*(1/1000)),".")</f>
        <v>1.8181818181818181</v>
      </c>
      <c r="AV5" s="233">
        <f t="shared" si="5"/>
        <v>440</v>
      </c>
      <c r="AW5" s="233">
        <f t="shared" si="5"/>
        <v>2.5114155251141551E-2</v>
      </c>
      <c r="AX5" s="233">
        <f t="shared" si="5"/>
        <v>0.55000000000000004</v>
      </c>
      <c r="AY5" s="233">
        <f t="shared" si="5"/>
        <v>0.55000000000000004</v>
      </c>
      <c r="AZ5" s="2">
        <f t="shared" si="12"/>
        <v>2.2669305553255272E-3</v>
      </c>
      <c r="BA5" s="189">
        <f>AZ5*(0.0000000000000028)*up_RadSpec!$AY5*up_RadSpec!$AF5</f>
        <v>6.918672054853509E-15</v>
      </c>
      <c r="BB5" s="40">
        <f t="shared" si="6"/>
        <v>2200</v>
      </c>
      <c r="BC5" s="40">
        <f t="shared" si="7"/>
        <v>0.12557077625570776</v>
      </c>
      <c r="BD5" s="19">
        <f>IFERROR(s_C*up_RadSpec!AI5*s_Q_w_game*(1/1000)*s_EF_rec*1*s_IRGL_rec*s_CF_game,".")</f>
        <v>2.75</v>
      </c>
      <c r="BE5" s="19">
        <f>IFERROR(s_C*up_RadSpec!AL5*s_Q_w_fowl*(1/1000)*s_EF_rec*1*s_IRGL_rec*s_CF_fowl,0)</f>
        <v>2.75</v>
      </c>
      <c r="BF5" s="18"/>
      <c r="BG5" s="2">
        <f>IFERROR(s_DL/(up_RadSpec!F5*s_EF_rec*1*s_IRGL_rec*s_CF_game),".")</f>
        <v>1.8181818181818181E-2</v>
      </c>
      <c r="BH5" s="2">
        <f>IFERROR(s_DL/(up_RadSpec!F5*s_EF_rec*1*s_IRGF_rec*s_CF_fowl),".")</f>
        <v>1.8181818181818181E-2</v>
      </c>
      <c r="BI5" s="189">
        <f>IFERROR(BG5*(0.0000000000028)*up_RadSpec!$AY5*up_RadSpec!$AF5,0)</f>
        <v>5.5490909090909096E-11</v>
      </c>
      <c r="BJ5" s="189">
        <f>IFERROR(BH5*(0.0000000000028)*up_RadSpec!$AY5*up_RadSpec!$AF5,0)</f>
        <v>5.5490909090909096E-11</v>
      </c>
      <c r="BK5" s="19">
        <f t="shared" si="8"/>
        <v>275</v>
      </c>
      <c r="BL5" s="19">
        <f t="shared" si="9"/>
        <v>275</v>
      </c>
    </row>
    <row r="6" spans="1:64" customFormat="1" x14ac:dyDescent="0.25">
      <c r="A6" s="44" t="s">
        <v>4</v>
      </c>
      <c r="B6" s="42" t="s">
        <v>1057</v>
      </c>
      <c r="C6" s="42"/>
      <c r="D6" s="15">
        <f>IFERROR(((s_DL/(up_RadSpec!E6*s_IFS_rec_adj*(1/1000)))*1),".")</f>
        <v>0.33057851239669422</v>
      </c>
      <c r="E6" s="15">
        <f>IFERROR(IF(A6="H-3",(s_DL/((up_RadSpec!H6*s_IFA_rec_adj*(1/17)*1000))*1),(s_DL/((up_RadSpec!H6*s_IFA_rec_adj*(1/s_PEF_wind)*1000))*1)),".")</f>
        <v>3089.9917851942919</v>
      </c>
      <c r="F6" s="2">
        <f>IFERROR((s_DL/(up_RadSpec!G6*s_EF_rec*(1/365)*1*up_RadSpec!R6*s_ET_rec*(1/24)*up_RadSpec!W6)),".")</f>
        <v>424.46729275997552</v>
      </c>
      <c r="G6" s="2">
        <f>IFERROR((BG6/(up_RadSpec!AI6*((s_Q_p_game*s_f_p_game*s_f_s_game*(up_RadSpec!BD6+s_R_es_past))+(s_Q_s_game*s_f_p_game)))),".")</f>
        <v>7.5757575757575758E-5</v>
      </c>
      <c r="H6" s="2">
        <f>IFERROR((BG6/(up_RadSpec!AL6*((s_Q_p_fowl*s_f_p_fowl*s_f_s_fowl*(up_RadSpec!BD6+s_R_es_past))+(s_Q_s_fowl*s_f_p_fowl)))),".")</f>
        <v>7.5757575757575758E-5</v>
      </c>
      <c r="I6" s="233">
        <f t="shared" si="10"/>
        <v>3.0249999999999999</v>
      </c>
      <c r="J6" s="233">
        <f t="shared" si="0"/>
        <v>3.236254558317935E-4</v>
      </c>
      <c r="K6" s="233">
        <f t="shared" si="0"/>
        <v>2.3558941220130059E-3</v>
      </c>
      <c r="L6" s="233">
        <f t="shared" si="0"/>
        <v>13200</v>
      </c>
      <c r="M6" s="233">
        <f t="shared" si="0"/>
        <v>13200</v>
      </c>
      <c r="N6" s="2">
        <f t="shared" si="11"/>
        <v>3.7874444254576326E-5</v>
      </c>
      <c r="O6" s="189">
        <f>IFERROR(N6*(0.0000000000028)*up_RadSpec!$AY6*up_RadSpec!$AF6,0)</f>
        <v>7.2643184080277403E-14</v>
      </c>
      <c r="P6" s="40">
        <f t="shared" si="1"/>
        <v>15.125</v>
      </c>
      <c r="Q6" s="40">
        <f t="shared" si="2"/>
        <v>1.6181272791589674E-3</v>
      </c>
      <c r="R6" s="40">
        <f>IFERROR((s_C*s_EF_rec*(1/365)*1*up_RadSpec!R6*s_ET_rec*(1/24)*up_RadSpec!W6),".")</f>
        <v>1.1779470610065028E-2</v>
      </c>
      <c r="S6" s="19">
        <f>IFERROR((s_C*s_IRGL_rec*s_EF_rec*1*s_CF_game*up_RadSpec!AI6)*((s_Q_p_game*s_f_p_game*s_f_s_game*(up_RadSpec!BD6+s_R_es_past))+(s_Q_s_game*s_f_p_game)),".")</f>
        <v>66000</v>
      </c>
      <c r="T6" s="19">
        <f>IFERROR((s_C*s_IRGF_rec*s_EF_rec*1*s_CF_fowl*up_RadSpec!AL6)*((s_Q_p_fowl*s_f_p_fowl*s_f_s_fowl*(up_RadSpec!BD6+s_R_es_past))+(s_Q_s_fowl*s_f_p_fowl)),0)</f>
        <v>66000</v>
      </c>
      <c r="U6" s="18"/>
      <c r="V6" s="15">
        <f>IFERROR((s_DL/(up_RadSpec!G6*s_EF_rec*(1/365)*1*up_RadSpec!R6*s_ET_rec*(1/24)*up_RadSpec!W6)),".")</f>
        <v>424.46729275997552</v>
      </c>
      <c r="W6" s="15">
        <f>IFERROR((s_DL/(up_RadSpec!N6*s_EF_rec*(1/365)*1*up_RadSpec!S6*s_ET_rec*(1/24)*up_RadSpec!X6)),".")</f>
        <v>792.40991044492478</v>
      </c>
      <c r="X6" s="15">
        <f>IFERROR((s_DL/(up_RadSpec!O6*s_EF_rec*(1/365)*1*up_RadSpec!T6*s_ET_rec*(1/24)*up_RadSpec!Y6)),".")</f>
        <v>559.96573198457963</v>
      </c>
      <c r="Y6" s="15">
        <f>IFERROR((s_DL/(up_RadSpec!P6*s_EF_rec*(1/365)*1*up_RadSpec!U6*s_ET_rec*(1/24)*up_RadSpec!Z6)),".")</f>
        <v>463.07070707070687</v>
      </c>
      <c r="Z6" s="15">
        <f>IFERROR((s_DL/(up_RadSpec!L6*s_EF_rec*(1/365)*1*up_RadSpec!Q6*s_ET_rec*(1/24)*up_RadSpec!V6)),".")</f>
        <v>1331.0541310541319</v>
      </c>
      <c r="AA6" s="189">
        <f>IFERROR(V6*(0.0000000000028)*up_RadSpec!$AY6*up_RadSpec!$AF6,0)</f>
        <v>8.1412826751363306E-7</v>
      </c>
      <c r="AB6" s="189">
        <f>IFERROR(W6*(0.0000000000028)*up_RadSpec!$AY6*up_RadSpec!$AF6,0)</f>
        <v>1.5198422082333659E-6</v>
      </c>
      <c r="AC6" s="189">
        <f>IFERROR(X6*(0.0000000000028)*up_RadSpec!$AY6*up_RadSpec!$AF6,0)</f>
        <v>1.0740142739464238E-6</v>
      </c>
      <c r="AD6" s="189">
        <f>IFERROR(Y6*(0.0000000000028)*up_RadSpec!$AY6*up_RadSpec!$AF6,0)</f>
        <v>8.8816961616161582E-7</v>
      </c>
      <c r="AE6" s="189">
        <f>IFERROR(Z6*(0.0000000000028)*up_RadSpec!$AY6*up_RadSpec!$AF6,0)</f>
        <v>2.5529618233618254E-6</v>
      </c>
      <c r="AF6" s="40">
        <f>IFERROR((s_C*s_EF_rec*(1/365)*1*up_RadSpec!R6*s_ET_rec*(1/24)*up_RadSpec!W6),".")</f>
        <v>1.1779470610065028E-2</v>
      </c>
      <c r="AG6" s="40">
        <f>IFERROR((s_C*s_EF_rec*(1/365)*1*up_RadSpec!S6*s_ET_rec*(1/24)*up_RadSpec!X6),".")</f>
        <v>6.3098655558113661E-3</v>
      </c>
      <c r="AH6" s="40">
        <f>IFERROR((s_C*s_EF_rec*(1/365)*1*up_RadSpec!T6*s_ET_rec*(1/24)*up_RadSpec!Y6),".")</f>
        <v>8.9291178270489071E-3</v>
      </c>
      <c r="AI6" s="40">
        <f>IFERROR((s_C*s_EF_rec*(1/365)*1*up_RadSpec!U6*s_ET_rec*(1/24)*up_RadSpec!Z6),".")</f>
        <v>1.0797487130267869E-2</v>
      </c>
      <c r="AJ6" s="40">
        <f>IFERROR((s_C*s_EF_rec*(1/365)*1*up_RadSpec!Q6*s_ET_rec*(1/24)*up_RadSpec!V6),".")</f>
        <v>3.7564212328767103E-3</v>
      </c>
      <c r="AK6" s="15">
        <f>IFERROR((s_DL/(up_RadSpec!H6*s_IFA_rec_adj)),".")</f>
        <v>9.9740259740259754E-3</v>
      </c>
      <c r="AL6" s="15">
        <f>IFERROR((s_DL/(up_RadSpec!K6*s_EF_rec*(1/365)*1*s_ET_rec*(1/24)*s_GSF_a)),".")</f>
        <v>63.709090909090911</v>
      </c>
      <c r="AM6" s="15">
        <f t="shared" si="13"/>
        <v>9.9724647271019675E-3</v>
      </c>
      <c r="AN6" s="189">
        <f>AM6*(0.0000000000000028)*up_RadSpec!$AY6*up_RadSpec!$AF6</f>
        <v>1.9127187346581575E-14</v>
      </c>
      <c r="AO6" s="40">
        <f t="shared" si="3"/>
        <v>501.30208333333326</v>
      </c>
      <c r="AP6" s="40">
        <f t="shared" si="4"/>
        <v>7.8481735159817351E-2</v>
      </c>
      <c r="AQ6" s="45"/>
      <c r="AR6" s="15">
        <f>IFERROR((s_DL/(up_RadSpec!I6*s_IFW_rec_adj)),".")</f>
        <v>2.2727272727272726E-3</v>
      </c>
      <c r="AS6" s="15">
        <f>IFERROR((s_DL/(up_RadSpec!M6*(1/8760)*s_DFA_rec_adj)),".")</f>
        <v>39.81818181818182</v>
      </c>
      <c r="AT6" s="2">
        <f>IFERROR(BG6/(up_RadSpec!AI6*s_Q_w_game*(1/1000)),".")</f>
        <v>1.8181818181818181</v>
      </c>
      <c r="AU6" s="2">
        <f>IFERROR(BG6/(up_RadSpec!AL6*s_Q_w_fowl*(1/1000)),".")</f>
        <v>1.8181818181818181</v>
      </c>
      <c r="AV6" s="233">
        <f t="shared" si="5"/>
        <v>440</v>
      </c>
      <c r="AW6" s="233">
        <f t="shared" si="5"/>
        <v>2.5114155251141551E-2</v>
      </c>
      <c r="AX6" s="233">
        <f t="shared" si="5"/>
        <v>0.55000000000000004</v>
      </c>
      <c r="AY6" s="233">
        <f t="shared" si="5"/>
        <v>0.55000000000000004</v>
      </c>
      <c r="AZ6" s="2">
        <f t="shared" si="12"/>
        <v>2.2669305553255272E-3</v>
      </c>
      <c r="BA6" s="189">
        <f>AZ6*(0.0000000000000028)*up_RadSpec!$AY6*up_RadSpec!$AF6</f>
        <v>4.347972805114361E-15</v>
      </c>
      <c r="BB6" s="40">
        <f t="shared" si="6"/>
        <v>2200</v>
      </c>
      <c r="BC6" s="40">
        <f t="shared" si="7"/>
        <v>0.12557077625570776</v>
      </c>
      <c r="BD6" s="19">
        <f>IFERROR(s_C*up_RadSpec!AI6*s_Q_w_game*(1/1000)*s_EF_rec*1*s_IRGL_rec*s_CF_game,".")</f>
        <v>2.75</v>
      </c>
      <c r="BE6" s="19">
        <f>IFERROR(s_C*up_RadSpec!AL6*s_Q_w_fowl*(1/1000)*s_EF_rec*1*s_IRGL_rec*s_CF_fowl,0)</f>
        <v>2.75</v>
      </c>
      <c r="BF6" s="18"/>
      <c r="BG6" s="2">
        <f>IFERROR(s_DL/(up_RadSpec!F6*s_EF_rec*1*s_IRGL_rec*s_CF_game),".")</f>
        <v>1.8181818181818181E-2</v>
      </c>
      <c r="BH6" s="2">
        <f>IFERROR(s_DL/(up_RadSpec!F6*s_EF_rec*1*s_IRGF_rec*s_CF_fowl),".")</f>
        <v>1.8181818181818181E-2</v>
      </c>
      <c r="BI6" s="189">
        <f>IFERROR(BG6*(0.0000000000028)*up_RadSpec!$AY6*up_RadSpec!$AF6,0)</f>
        <v>3.4872727272727273E-11</v>
      </c>
      <c r="BJ6" s="189">
        <f>IFERROR(BH6*(0.0000000000028)*up_RadSpec!$AY6*up_RadSpec!$AF6,0)</f>
        <v>3.4872727272727273E-11</v>
      </c>
      <c r="BK6" s="19">
        <f t="shared" si="8"/>
        <v>275</v>
      </c>
      <c r="BL6" s="19">
        <f t="shared" si="9"/>
        <v>275</v>
      </c>
    </row>
    <row r="7" spans="1:64" customFormat="1" x14ac:dyDescent="0.25">
      <c r="A7" s="44" t="s">
        <v>5</v>
      </c>
      <c r="B7" s="42" t="s">
        <v>1057</v>
      </c>
      <c r="C7" s="238"/>
      <c r="D7" s="15">
        <f>IFERROR(((s_DL/(up_RadSpec!E7*s_IFS_rec_adj*(1/1000)))*1),".")</f>
        <v>0.33057851239669422</v>
      </c>
      <c r="E7" s="15">
        <f>IFERROR(IF(A7="H-3",(s_DL/((up_RadSpec!H7*s_IFA_rec_adj*(1/17)*1000))*1),(s_DL/((up_RadSpec!H7*s_IFA_rec_adj*(1/s_PEF_wind)*1000))*1)),".")</f>
        <v>3089.9917851942919</v>
      </c>
      <c r="F7" s="2">
        <f>IFERROR((s_DL/(up_RadSpec!G7*s_EF_rec*(1/365)*1*up_RadSpec!R7*s_ET_rec*(1/24)*up_RadSpec!W7)),".")</f>
        <v>918.4339747843394</v>
      </c>
      <c r="G7" s="2">
        <f>IFERROR((BG7/(up_RadSpec!AI7*((s_Q_p_game*s_f_p_game*s_f_s_game*(up_RadSpec!BD7+s_R_es_past))+(s_Q_s_game*s_f_p_game)))),".")</f>
        <v>7.5757575757575758E-5</v>
      </c>
      <c r="H7" s="2">
        <f>IFERROR((BG7/(up_RadSpec!AL7*((s_Q_p_fowl*s_f_p_fowl*s_f_s_fowl*(up_RadSpec!BD7+s_R_es_past))+(s_Q_s_fowl*s_f_p_fowl)))),".")</f>
        <v>7.5757575757575758E-5</v>
      </c>
      <c r="I7" s="233">
        <f t="shared" si="10"/>
        <v>3.0249999999999999</v>
      </c>
      <c r="J7" s="233">
        <f t="shared" si="0"/>
        <v>3.236254558317935E-4</v>
      </c>
      <c r="K7" s="233">
        <f t="shared" si="0"/>
        <v>1.0888098953817703E-3</v>
      </c>
      <c r="L7" s="233">
        <f t="shared" si="0"/>
        <v>13200</v>
      </c>
      <c r="M7" s="233">
        <f t="shared" si="0"/>
        <v>13200</v>
      </c>
      <c r="N7" s="2">
        <f t="shared" si="11"/>
        <v>3.78744460721752E-5</v>
      </c>
      <c r="O7" s="189">
        <f>IFERROR(N7*(0.0000000000028)*up_RadSpec!$AY7*up_RadSpec!$AF7,0)</f>
        <v>1.1135087145219509E-13</v>
      </c>
      <c r="P7" s="40">
        <f t="shared" si="1"/>
        <v>15.125</v>
      </c>
      <c r="Q7" s="40">
        <f t="shared" si="2"/>
        <v>1.6181272791589674E-3</v>
      </c>
      <c r="R7" s="40">
        <f>IFERROR((s_C*s_EF_rec*(1/365)*1*up_RadSpec!R7*s_ET_rec*(1/24)*up_RadSpec!W7),".")</f>
        <v>5.4440494769088512E-3</v>
      </c>
      <c r="S7" s="19">
        <f>IFERROR((s_C*s_IRGL_rec*s_EF_rec*1*s_CF_game*up_RadSpec!AI7)*((s_Q_p_game*s_f_p_game*s_f_s_game*(up_RadSpec!BD7+s_R_es_past))+(s_Q_s_game*s_f_p_game)),".")</f>
        <v>66000</v>
      </c>
      <c r="T7" s="19">
        <f>IFERROR((s_C*s_IRGF_rec*s_EF_rec*1*s_CF_fowl*up_RadSpec!AL7)*((s_Q_p_fowl*s_f_p_fowl*s_f_s_fowl*(up_RadSpec!BD7+s_R_es_past))+(s_Q_s_fowl*s_f_p_fowl)),0)</f>
        <v>66000</v>
      </c>
      <c r="U7" s="18"/>
      <c r="V7" s="15">
        <f>IFERROR((s_DL/(up_RadSpec!G7*s_EF_rec*(1/365)*1*up_RadSpec!R7*s_ET_rec*(1/24)*up_RadSpec!W7)),".")</f>
        <v>918.4339747843394</v>
      </c>
      <c r="W7" s="15">
        <f>IFERROR((s_DL/(up_RadSpec!N7*s_EF_rec*(1/365)*1*up_RadSpec!S7*s_ET_rec*(1/24)*up_RadSpec!X7)),".")</f>
        <v>1461.1153552330034</v>
      </c>
      <c r="X7" s="15">
        <f>IFERROR((s_DL/(up_RadSpec!O7*s_EF_rec*(1/365)*1*up_RadSpec!T7*s_ET_rec*(1/24)*up_RadSpec!Y7)),".")</f>
        <v>1070.4545454545457</v>
      </c>
      <c r="Y7" s="15">
        <f>IFERROR((s_DL/(up_RadSpec!P7*s_EF_rec*(1/365)*1*up_RadSpec!U7*s_ET_rec*(1/24)*up_RadSpec!Z7)),".")</f>
        <v>984.71359678034878</v>
      </c>
      <c r="Z7" s="15">
        <f>IFERROR((s_DL/(up_RadSpec!L7*s_EF_rec*(1/365)*1*up_RadSpec!Q7*s_ET_rec*(1/24)*up_RadSpec!V7)),".")</f>
        <v>2500.4236405305915</v>
      </c>
      <c r="AA7" s="189">
        <f>IFERROR(V7*(0.0000000000028)*up_RadSpec!$AY7*up_RadSpec!$AF7,0)</f>
        <v>2.700195885865958E-6</v>
      </c>
      <c r="AB7" s="189">
        <f>IFERROR(W7*(0.0000000000028)*up_RadSpec!$AY7*up_RadSpec!$AF7,0)</f>
        <v>4.2956791443850306E-6</v>
      </c>
      <c r="AC7" s="189">
        <f>IFERROR(X7*(0.0000000000028)*up_RadSpec!$AY7*up_RadSpec!$AF7,0)</f>
        <v>3.1471363636363646E-6</v>
      </c>
      <c r="AD7" s="189">
        <f>IFERROR(Y7*(0.0000000000028)*up_RadSpec!$AY7*up_RadSpec!$AF7,0)</f>
        <v>2.8950579745342256E-6</v>
      </c>
      <c r="AE7" s="189">
        <f>IFERROR(Z7*(0.0000000000028)*up_RadSpec!$AY7*up_RadSpec!$AF7,0)</f>
        <v>7.3512455031599397E-6</v>
      </c>
      <c r="AF7" s="40">
        <f>IFERROR((s_C*s_EF_rec*(1/365)*1*up_RadSpec!R7*s_ET_rec*(1/24)*up_RadSpec!W7),".")</f>
        <v>5.4440494769088512E-3</v>
      </c>
      <c r="AG7" s="40">
        <f>IFERROR((s_C*s_EF_rec*(1/365)*1*up_RadSpec!S7*s_ET_rec*(1/24)*up_RadSpec!X7),".")</f>
        <v>3.4220432918540184E-3</v>
      </c>
      <c r="AH7" s="40">
        <f>IFERROR((s_C*s_EF_rec*(1/365)*1*up_RadSpec!T7*s_ET_rec*(1/24)*up_RadSpec!Y7),".")</f>
        <v>4.6709129511677272E-3</v>
      </c>
      <c r="AI7" s="40">
        <f>IFERROR((s_C*s_EF_rec*(1/365)*1*up_RadSpec!U7*s_ET_rec*(1/24)*up_RadSpec!Z7),".")</f>
        <v>5.0776185241558159E-3</v>
      </c>
      <c r="AJ7" s="40">
        <f>IFERROR((s_C*s_EF_rec*(1/365)*1*up_RadSpec!Q7*s_ET_rec*(1/24)*up_RadSpec!V7),".")</f>
        <v>1.9996611449966122E-3</v>
      </c>
      <c r="AK7" s="15">
        <f>IFERROR((s_DL/(up_RadSpec!H7*s_IFA_rec_adj)),".")</f>
        <v>9.9740259740259754E-3</v>
      </c>
      <c r="AL7" s="15">
        <f>IFERROR((s_DL/(up_RadSpec!K7*s_EF_rec*(1/365)*1*s_ET_rec*(1/24)*s_GSF_a)),".")</f>
        <v>63.709090909090911</v>
      </c>
      <c r="AM7" s="15">
        <f t="shared" si="13"/>
        <v>9.9724647271019675E-3</v>
      </c>
      <c r="AN7" s="189">
        <f>AM7*(0.0000000000000028)*up_RadSpec!$AY7*up_RadSpec!$AF7</f>
        <v>2.9319046297679789E-14</v>
      </c>
      <c r="AO7" s="40">
        <f t="shared" si="3"/>
        <v>501.30208333333326</v>
      </c>
      <c r="AP7" s="40">
        <f t="shared" si="4"/>
        <v>7.8481735159817351E-2</v>
      </c>
      <c r="AQ7" s="45"/>
      <c r="AR7" s="15">
        <f>IFERROR((s_DL/(up_RadSpec!I7*s_IFW_rec_adj)),".")</f>
        <v>2.2727272727272726E-3</v>
      </c>
      <c r="AS7" s="15">
        <f>IFERROR((s_DL/(up_RadSpec!M7*(1/8760)*s_DFA_rec_adj)),".")</f>
        <v>39.81818181818182</v>
      </c>
      <c r="AT7" s="2">
        <f>IFERROR(BG7/(up_RadSpec!AI7*s_Q_w_game*(1/1000)),".")</f>
        <v>1.8181818181818181</v>
      </c>
      <c r="AU7" s="2">
        <f>IFERROR(BG7/(up_RadSpec!AL7*s_Q_w_fowl*(1/1000)),".")</f>
        <v>1.8181818181818181</v>
      </c>
      <c r="AV7" s="233">
        <f t="shared" si="5"/>
        <v>440</v>
      </c>
      <c r="AW7" s="233">
        <f t="shared" si="5"/>
        <v>2.5114155251141551E-2</v>
      </c>
      <c r="AX7" s="233">
        <f t="shared" si="5"/>
        <v>0.55000000000000004</v>
      </c>
      <c r="AY7" s="233">
        <f t="shared" si="5"/>
        <v>0.55000000000000004</v>
      </c>
      <c r="AZ7" s="2">
        <f t="shared" si="12"/>
        <v>2.2669305553255272E-3</v>
      </c>
      <c r="BA7" s="189">
        <f>AZ7*(0.0000000000000028)*up_RadSpec!$AY7*up_RadSpec!$AF7</f>
        <v>6.6647758326570493E-15</v>
      </c>
      <c r="BB7" s="40">
        <f t="shared" si="6"/>
        <v>2200</v>
      </c>
      <c r="BC7" s="40">
        <f t="shared" si="7"/>
        <v>0.12557077625570776</v>
      </c>
      <c r="BD7" s="19">
        <f>IFERROR(s_C*up_RadSpec!AI7*s_Q_w_game*(1/1000)*s_EF_rec*1*s_IRGL_rec*s_CF_game,".")</f>
        <v>2.75</v>
      </c>
      <c r="BE7" s="19">
        <f>IFERROR(s_C*up_RadSpec!AL7*s_Q_w_fowl*(1/1000)*s_EF_rec*1*s_IRGL_rec*s_CF_fowl,0)</f>
        <v>2.75</v>
      </c>
      <c r="BF7" s="18"/>
      <c r="BG7" s="2">
        <f>IFERROR(s_DL/(up_RadSpec!F7*s_EF_rec*1*s_IRGL_rec*s_CF_game),".")</f>
        <v>1.8181818181818181E-2</v>
      </c>
      <c r="BH7" s="2">
        <f>IFERROR(s_DL/(up_RadSpec!F7*s_EF_rec*1*s_IRGF_rec*s_CF_fowl),".")</f>
        <v>1.8181818181818181E-2</v>
      </c>
      <c r="BI7" s="189">
        <f>IFERROR(BG7*(0.0000000000028)*up_RadSpec!$AY7*up_RadSpec!$AF7,0)</f>
        <v>5.345454545454546E-11</v>
      </c>
      <c r="BJ7" s="189">
        <f>IFERROR(BH7*(0.0000000000028)*up_RadSpec!$AY7*up_RadSpec!$AF7,0)</f>
        <v>5.345454545454546E-11</v>
      </c>
      <c r="BK7" s="19">
        <f t="shared" si="8"/>
        <v>275</v>
      </c>
      <c r="BL7" s="19">
        <f t="shared" si="9"/>
        <v>275</v>
      </c>
    </row>
    <row r="8" spans="1:64" customFormat="1" x14ac:dyDescent="0.25">
      <c r="A8" s="44" t="s">
        <v>6</v>
      </c>
      <c r="B8" s="42" t="s">
        <v>1057</v>
      </c>
      <c r="C8" s="42"/>
      <c r="D8" s="15">
        <f>IFERROR(((s_DL/(up_RadSpec!E8*s_IFS_rec_adj*(1/1000)))*1),".")</f>
        <v>0.33057851239669422</v>
      </c>
      <c r="E8" s="15">
        <f>IFERROR(IF(A8="H-3",(s_DL/((up_RadSpec!H8*s_IFA_rec_adj*(1/17)*1000))*1),(s_DL/((up_RadSpec!H8*s_IFA_rec_adj*(1/s_PEF_wind)*1000))*1)),".")</f>
        <v>3089.9917851942919</v>
      </c>
      <c r="F8" s="2">
        <f>IFERROR((s_DL/(up_RadSpec!G8*s_EF_rec*(1/365)*1*up_RadSpec!R8*s_ET_rec*(1/24)*up_RadSpec!W8)),".")</f>
        <v>527.9758915118033</v>
      </c>
      <c r="G8" s="2">
        <f>IFERROR((BG8/(up_RadSpec!AI8*((s_Q_p_game*s_f_p_game*s_f_s_game*(up_RadSpec!BD8+s_R_es_past))+(s_Q_s_game*s_f_p_game)))),".")</f>
        <v>7.5757575757575758E-5</v>
      </c>
      <c r="H8" s="2">
        <f>IFERROR((BG8/(up_RadSpec!AL8*((s_Q_p_fowl*s_f_p_fowl*s_f_s_fowl*(up_RadSpec!BD8+s_R_es_past))+(s_Q_s_fowl*s_f_p_fowl)))),".")</f>
        <v>7.5757575757575758E-5</v>
      </c>
      <c r="I8" s="233">
        <f t="shared" si="10"/>
        <v>3.0249999999999999</v>
      </c>
      <c r="J8" s="233">
        <f t="shared" si="0"/>
        <v>3.236254558317935E-4</v>
      </c>
      <c r="K8" s="233">
        <f t="shared" si="0"/>
        <v>1.8940258751902581E-3</v>
      </c>
      <c r="L8" s="233">
        <f t="shared" si="0"/>
        <v>13200</v>
      </c>
      <c r="M8" s="233">
        <f t="shared" si="0"/>
        <v>13200</v>
      </c>
      <c r="N8" s="2">
        <f t="shared" si="11"/>
        <v>3.7874444917114114E-5</v>
      </c>
      <c r="O8" s="189">
        <f>IFERROR(N8*(0.0000000000028)*up_RadSpec!$AY8*up_RadSpec!$AF8,0)</f>
        <v>1.1294159474283429E-13</v>
      </c>
      <c r="P8" s="40">
        <f t="shared" si="1"/>
        <v>15.125</v>
      </c>
      <c r="Q8" s="40">
        <f t="shared" si="2"/>
        <v>1.6181272791589674E-3</v>
      </c>
      <c r="R8" s="40">
        <f>IFERROR((s_C*s_EF_rec*(1/365)*1*up_RadSpec!R8*s_ET_rec*(1/24)*up_RadSpec!W8),".")</f>
        <v>9.4701293759512899E-3</v>
      </c>
      <c r="S8" s="19">
        <f>IFERROR((s_C*s_IRGL_rec*s_EF_rec*1*s_CF_game*up_RadSpec!AI8)*((s_Q_p_game*s_f_p_game*s_f_s_game*(up_RadSpec!BD8+s_R_es_past))+(s_Q_s_game*s_f_p_game)),".")</f>
        <v>66000</v>
      </c>
      <c r="T8" s="19">
        <f>IFERROR((s_C*s_IRGF_rec*s_EF_rec*1*s_CF_fowl*up_RadSpec!AL8)*((s_Q_p_fowl*s_f_p_fowl*s_f_s_fowl*(up_RadSpec!BD8+s_R_es_past))+(s_Q_s_fowl*s_f_p_fowl)),0)</f>
        <v>66000</v>
      </c>
      <c r="U8" s="18"/>
      <c r="V8" s="15">
        <f>IFERROR((s_DL/(up_RadSpec!G8*s_EF_rec*(1/365)*1*up_RadSpec!R8*s_ET_rec*(1/24)*up_RadSpec!W8)),".")</f>
        <v>527.9758915118033</v>
      </c>
      <c r="W8" s="15">
        <f>IFERROR((s_DL/(up_RadSpec!N8*s_EF_rec*(1/365)*1*up_RadSpec!S8*s_ET_rec*(1/24)*up_RadSpec!X8)),".")</f>
        <v>969.2052369537156</v>
      </c>
      <c r="X8" s="15">
        <f>IFERROR((s_DL/(up_RadSpec!O8*s_EF_rec*(1/365)*1*up_RadSpec!T8*s_ET_rec*(1/24)*up_RadSpec!Y8)),".")</f>
        <v>707.42962621135223</v>
      </c>
      <c r="Y8" s="15">
        <f>IFERROR((s_DL/(up_RadSpec!P8*s_EF_rec*(1/365)*1*up_RadSpec!U8*s_ET_rec*(1/24)*up_RadSpec!Z8)),".")</f>
        <v>648.60129832885798</v>
      </c>
      <c r="Z8" s="15">
        <f>IFERROR((s_DL/(up_RadSpec!L8*s_EF_rec*(1/365)*1*up_RadSpec!Q8*s_ET_rec*(1/24)*up_RadSpec!V8)),".")</f>
        <v>1795.8267236119586</v>
      </c>
      <c r="AA8" s="189">
        <f>IFERROR(V8*(0.0000000000028)*up_RadSpec!$AY8*up_RadSpec!$AF8,0)</f>
        <v>1.5744241084881975E-6</v>
      </c>
      <c r="AB8" s="189">
        <f>IFERROR(W8*(0.0000000000028)*up_RadSpec!$AY8*up_RadSpec!$AF8,0)</f>
        <v>2.89017001659598E-6</v>
      </c>
      <c r="AC8" s="189">
        <f>IFERROR(X8*(0.0000000000028)*up_RadSpec!$AY8*up_RadSpec!$AF8,0)</f>
        <v>2.1095551453622526E-6</v>
      </c>
      <c r="AD8" s="189">
        <f>IFERROR(Y8*(0.0000000000028)*up_RadSpec!$AY8*up_RadSpec!$AF8,0)</f>
        <v>1.9341290716166547E-6</v>
      </c>
      <c r="AE8" s="189">
        <f>IFERROR(Z8*(0.0000000000028)*up_RadSpec!$AY8*up_RadSpec!$AF8,0)</f>
        <v>5.3551552898108603E-6</v>
      </c>
      <c r="AF8" s="40">
        <f>IFERROR((s_C*s_EF_rec*(1/365)*1*up_RadSpec!R8*s_ET_rec*(1/24)*up_RadSpec!W8),".")</f>
        <v>9.4701293759512899E-3</v>
      </c>
      <c r="AG8" s="40">
        <f>IFERROR((s_C*s_EF_rec*(1/365)*1*up_RadSpec!S8*s_ET_rec*(1/24)*up_RadSpec!X8),".")</f>
        <v>5.1588660578386607E-3</v>
      </c>
      <c r="AH8" s="40">
        <f>IFERROR((s_C*s_EF_rec*(1/365)*1*up_RadSpec!T8*s_ET_rec*(1/24)*up_RadSpec!Y8),".")</f>
        <v>7.0678408349641219E-3</v>
      </c>
      <c r="AI8" s="40">
        <f>IFERROR((s_C*s_EF_rec*(1/365)*1*up_RadSpec!U8*s_ET_rec*(1/24)*up_RadSpec!Z8),".")</f>
        <v>7.7088960704868462E-3</v>
      </c>
      <c r="AJ8" s="40">
        <f>IFERROR((s_C*s_EF_rec*(1/365)*1*up_RadSpec!Q8*s_ET_rec*(1/24)*up_RadSpec!V8),".")</f>
        <v>2.7842329854316154E-3</v>
      </c>
      <c r="AK8" s="15">
        <f>IFERROR((s_DL/(up_RadSpec!H8*s_IFA_rec_adj)),".")</f>
        <v>9.9740259740259754E-3</v>
      </c>
      <c r="AL8" s="15">
        <f>IFERROR((s_DL/(up_RadSpec!K8*s_EF_rec*(1/365)*1*s_ET_rec*(1/24)*s_GSF_a)),".")</f>
        <v>63.709090909090911</v>
      </c>
      <c r="AM8" s="15">
        <f t="shared" si="13"/>
        <v>9.9724647271019675E-3</v>
      </c>
      <c r="AN8" s="189">
        <f>AM8*(0.0000000000000028)*up_RadSpec!$AY8*up_RadSpec!$AF8</f>
        <v>2.9737889816218068E-14</v>
      </c>
      <c r="AO8" s="40">
        <f t="shared" si="3"/>
        <v>501.30208333333326</v>
      </c>
      <c r="AP8" s="40">
        <f t="shared" si="4"/>
        <v>7.8481735159817351E-2</v>
      </c>
      <c r="AQ8" s="45"/>
      <c r="AR8" s="15">
        <f>IFERROR((s_DL/(up_RadSpec!I8*s_IFW_rec_adj)),".")</f>
        <v>2.2727272727272726E-3</v>
      </c>
      <c r="AS8" s="15">
        <f>IFERROR((s_DL/(up_RadSpec!M8*(1/8760)*s_DFA_rec_adj)),".")</f>
        <v>39.81818181818182</v>
      </c>
      <c r="AT8" s="2">
        <f>IFERROR(BG8/(up_RadSpec!AI8*s_Q_w_game*(1/1000)),".")</f>
        <v>1.8181818181818181</v>
      </c>
      <c r="AU8" s="2">
        <f>IFERROR(BG8/(up_RadSpec!AL8*s_Q_w_fowl*(1/1000)),".")</f>
        <v>1.8181818181818181</v>
      </c>
      <c r="AV8" s="233">
        <f t="shared" si="5"/>
        <v>440</v>
      </c>
      <c r="AW8" s="233">
        <f t="shared" si="5"/>
        <v>2.5114155251141551E-2</v>
      </c>
      <c r="AX8" s="233">
        <f t="shared" si="5"/>
        <v>0.55000000000000004</v>
      </c>
      <c r="AY8" s="233">
        <f t="shared" si="5"/>
        <v>0.55000000000000004</v>
      </c>
      <c r="AZ8" s="2">
        <f t="shared" si="12"/>
        <v>2.2669305553255272E-3</v>
      </c>
      <c r="BA8" s="189">
        <f>AZ8*(0.0000000000000028)*up_RadSpec!$AY8*up_RadSpec!$AF8</f>
        <v>6.7599869159807223E-15</v>
      </c>
      <c r="BB8" s="40">
        <f t="shared" si="6"/>
        <v>2200</v>
      </c>
      <c r="BC8" s="40">
        <f t="shared" si="7"/>
        <v>0.12557077625570776</v>
      </c>
      <c r="BD8" s="19">
        <f>IFERROR(s_C*up_RadSpec!AI8*s_Q_w_game*(1/1000)*s_EF_rec*1*s_IRGL_rec*s_CF_game,".")</f>
        <v>2.75</v>
      </c>
      <c r="BE8" s="19">
        <f>IFERROR(s_C*up_RadSpec!AL8*s_Q_w_fowl*(1/1000)*s_EF_rec*1*s_IRGL_rec*s_CF_fowl,0)</f>
        <v>2.75</v>
      </c>
      <c r="BF8" s="18"/>
      <c r="BG8" s="2">
        <f>IFERROR(s_DL/(up_RadSpec!F8*s_EF_rec*1*s_IRGL_rec*s_CF_game),".")</f>
        <v>1.8181818181818181E-2</v>
      </c>
      <c r="BH8" s="2">
        <f>IFERROR(s_DL/(up_RadSpec!F8*s_EF_rec*1*s_IRGF_rec*s_CF_fowl),".")</f>
        <v>1.8181818181818181E-2</v>
      </c>
      <c r="BI8" s="189">
        <f>IFERROR(BG8*(0.0000000000028)*up_RadSpec!$AY8*up_RadSpec!$AF8,0)</f>
        <v>5.4218181818181829E-11</v>
      </c>
      <c r="BJ8" s="189">
        <f>IFERROR(BH8*(0.0000000000028)*up_RadSpec!$AY8*up_RadSpec!$AF8,0)</f>
        <v>5.4218181818181829E-11</v>
      </c>
      <c r="BK8" s="19">
        <f t="shared" si="8"/>
        <v>275</v>
      </c>
      <c r="BL8" s="19">
        <f t="shared" si="9"/>
        <v>275</v>
      </c>
    </row>
    <row r="9" spans="1:64" customFormat="1" x14ac:dyDescent="0.25">
      <c r="A9" s="44" t="s">
        <v>7</v>
      </c>
      <c r="B9" s="42" t="s">
        <v>1057</v>
      </c>
      <c r="C9" s="238"/>
      <c r="D9" s="15">
        <f>IFERROR(((s_DL/(up_RadSpec!E9*s_IFS_rec_adj*(1/1000)))*1),".")</f>
        <v>0.33057851239669422</v>
      </c>
      <c r="E9" s="15">
        <f>IFERROR(IF(A9="H-3",(s_DL/((up_RadSpec!H9*s_IFA_rec_adj*(1/17)*1000))*1),(s_DL/((up_RadSpec!H9*s_IFA_rec_adj*(1/s_PEF_wind)*1000))*1)),".")</f>
        <v>3089.9917851942919</v>
      </c>
      <c r="F9" s="2">
        <f>IFERROR((s_DL/(up_RadSpec!G9*s_EF_rec*(1/365)*1*up_RadSpec!R9*s_ET_rec*(1/24)*up_RadSpec!W9)),".")</f>
        <v>260.02181304933595</v>
      </c>
      <c r="G9" s="2">
        <f>IFERROR((BG9/(up_RadSpec!AI9*((s_Q_p_game*s_f_p_game*s_f_s_game*(up_RadSpec!BD9+s_R_es_past))+(s_Q_s_game*s_f_p_game)))),".")</f>
        <v>7.5757575757575758E-5</v>
      </c>
      <c r="H9" s="2">
        <f>IFERROR((BG9/(up_RadSpec!AL9*((s_Q_p_fowl*s_f_p_fowl*s_f_s_fowl*(up_RadSpec!BD9+s_R_es_past))+(s_Q_s_fowl*s_f_p_fowl)))),".")</f>
        <v>7.5757575757575758E-5</v>
      </c>
      <c r="I9" s="233">
        <f t="shared" si="10"/>
        <v>3.0249999999999999</v>
      </c>
      <c r="J9" s="233">
        <f t="shared" si="0"/>
        <v>3.236254558317935E-4</v>
      </c>
      <c r="K9" s="233">
        <f t="shared" si="0"/>
        <v>3.8458311949784853E-3</v>
      </c>
      <c r="L9" s="233">
        <f t="shared" si="0"/>
        <v>13200</v>
      </c>
      <c r="M9" s="233">
        <f t="shared" si="0"/>
        <v>13200</v>
      </c>
      <c r="N9" s="2">
        <f t="shared" si="11"/>
        <v>3.7874442117301161E-5</v>
      </c>
      <c r="O9" s="189">
        <f>IFERROR(N9*(0.0000000000028)*up_RadSpec!$AY9*up_RadSpec!$AF9,0)</f>
        <v>1.1347182858343427E-13</v>
      </c>
      <c r="P9" s="40">
        <f t="shared" si="1"/>
        <v>15.125</v>
      </c>
      <c r="Q9" s="40">
        <f t="shared" si="2"/>
        <v>1.6181272791589674E-3</v>
      </c>
      <c r="R9" s="40">
        <f>IFERROR((s_C*s_EF_rec*(1/365)*1*up_RadSpec!R9*s_ET_rec*(1/24)*up_RadSpec!W9),".")</f>
        <v>1.9229155974892428E-2</v>
      </c>
      <c r="S9" s="19">
        <f>IFERROR((s_C*s_IRGL_rec*s_EF_rec*1*s_CF_game*up_RadSpec!AI9)*((s_Q_p_game*s_f_p_game*s_f_s_game*(up_RadSpec!BD9+s_R_es_past))+(s_Q_s_game*s_f_p_game)),".")</f>
        <v>66000</v>
      </c>
      <c r="T9" s="19">
        <f>IFERROR((s_C*s_IRGF_rec*s_EF_rec*1*s_CF_fowl*up_RadSpec!AL9)*((s_Q_p_fowl*s_f_p_fowl*s_f_s_fowl*(up_RadSpec!BD9+s_R_es_past))+(s_Q_s_fowl*s_f_p_fowl)),0)</f>
        <v>66000</v>
      </c>
      <c r="U9" s="18"/>
      <c r="V9" s="15">
        <f>IFERROR((s_DL/(up_RadSpec!G9*s_EF_rec*(1/365)*1*up_RadSpec!R9*s_ET_rec*(1/24)*up_RadSpec!W9)),".")</f>
        <v>260.02181304933595</v>
      </c>
      <c r="W9" s="15">
        <f>IFERROR((s_DL/(up_RadSpec!N9*s_EF_rec*(1/365)*1*up_RadSpec!S9*s_ET_rec*(1/24)*up_RadSpec!X9)),".")</f>
        <v>532.5681818181821</v>
      </c>
      <c r="X9" s="15">
        <f>IFERROR((s_DL/(up_RadSpec!O9*s_EF_rec*(1/365)*1*up_RadSpec!T9*s_ET_rec*(1/24)*up_RadSpec!Y9)),".")</f>
        <v>374.72539423599801</v>
      </c>
      <c r="Y9" s="15">
        <f>IFERROR((s_DL/(up_RadSpec!P9*s_EF_rec*(1/365)*1*up_RadSpec!U9*s_ET_rec*(1/24)*up_RadSpec!Z9)),".")</f>
        <v>308.89256198347113</v>
      </c>
      <c r="Z9" s="15">
        <f>IFERROR((s_DL/(up_RadSpec!L9*s_EF_rec*(1/365)*1*up_RadSpec!Q9*s_ET_rec*(1/24)*up_RadSpec!V9)),".")</f>
        <v>943.32709543977194</v>
      </c>
      <c r="AA9" s="189">
        <f>IFERROR(V9*(0.0000000000028)*up_RadSpec!$AY9*up_RadSpec!$AF9,0)</f>
        <v>7.7902535189581043E-7</v>
      </c>
      <c r="AB9" s="189">
        <f>IFERROR(W9*(0.0000000000028)*up_RadSpec!$AY9*up_RadSpec!$AF9,0)</f>
        <v>1.5955742727272738E-6</v>
      </c>
      <c r="AC9" s="189">
        <f>IFERROR(X9*(0.0000000000028)*up_RadSpec!$AY9*up_RadSpec!$AF9,0)</f>
        <v>1.1226772811310499E-6</v>
      </c>
      <c r="AD9" s="189">
        <f>IFERROR(Y9*(0.0000000000028)*up_RadSpec!$AY9*up_RadSpec!$AF9,0)</f>
        <v>9.2544211570247942E-7</v>
      </c>
      <c r="AE9" s="189">
        <f>IFERROR(Z9*(0.0000000000028)*up_RadSpec!$AY9*up_RadSpec!$AF9,0)</f>
        <v>2.8262079779375568E-6</v>
      </c>
      <c r="AF9" s="40">
        <f>IFERROR((s_C*s_EF_rec*(1/365)*1*up_RadSpec!R9*s_ET_rec*(1/24)*up_RadSpec!W9),".")</f>
        <v>1.9229155974892428E-2</v>
      </c>
      <c r="AG9" s="40">
        <f>IFERROR((s_C*s_EF_rec*(1/365)*1*up_RadSpec!S9*s_ET_rec*(1/24)*up_RadSpec!X9),".")</f>
        <v>9.3884692527631923E-3</v>
      </c>
      <c r="AH9" s="40">
        <f>IFERROR((s_C*s_EF_rec*(1/365)*1*up_RadSpec!T9*s_ET_rec*(1/24)*up_RadSpec!Y9),".")</f>
        <v>1.3343104248897137E-2</v>
      </c>
      <c r="AI9" s="40">
        <f>IFERROR((s_C*s_EF_rec*(1/365)*1*up_RadSpec!U9*s_ET_rec*(1/24)*up_RadSpec!Z9),".")</f>
        <v>1.6186857876712327E-2</v>
      </c>
      <c r="AJ9" s="40">
        <f>IFERROR((s_C*s_EF_rec*(1/365)*1*up_RadSpec!Q9*s_ET_rec*(1/24)*up_RadSpec!V9),".")</f>
        <v>5.3003884062813207E-3</v>
      </c>
      <c r="AK9" s="15">
        <f>IFERROR((s_DL/(up_RadSpec!H9*s_IFA_rec_adj)),".")</f>
        <v>9.9740259740259754E-3</v>
      </c>
      <c r="AL9" s="15">
        <f>IFERROR((s_DL/(up_RadSpec!K9*s_EF_rec*(1/365)*1*s_ET_rec*(1/24)*s_GSF_a)),".")</f>
        <v>63.709090909090911</v>
      </c>
      <c r="AM9" s="15">
        <f t="shared" si="13"/>
        <v>9.9724647271019675E-3</v>
      </c>
      <c r="AN9" s="189">
        <f>AM9*(0.0000000000000028)*up_RadSpec!$AY9*up_RadSpec!$AF9</f>
        <v>2.9877504322397496E-14</v>
      </c>
      <c r="AO9" s="40">
        <f t="shared" si="3"/>
        <v>501.30208333333326</v>
      </c>
      <c r="AP9" s="40">
        <f t="shared" si="4"/>
        <v>7.8481735159817351E-2</v>
      </c>
      <c r="AQ9" s="45"/>
      <c r="AR9" s="15">
        <f>IFERROR((s_DL/(up_RadSpec!I9*s_IFW_rec_adj)),".")</f>
        <v>2.2727272727272726E-3</v>
      </c>
      <c r="AS9" s="15">
        <f>IFERROR((s_DL/(up_RadSpec!M9*(1/8760)*s_DFA_rec_adj)),".")</f>
        <v>39.81818181818182</v>
      </c>
      <c r="AT9" s="2">
        <f>IFERROR(BG9/(up_RadSpec!AI9*s_Q_w_game*(1/1000)),".")</f>
        <v>1.8181818181818181</v>
      </c>
      <c r="AU9" s="2">
        <f>IFERROR(BG9/(up_RadSpec!AL9*s_Q_w_fowl*(1/1000)),".")</f>
        <v>1.8181818181818181</v>
      </c>
      <c r="AV9" s="233">
        <f t="shared" si="5"/>
        <v>440</v>
      </c>
      <c r="AW9" s="233">
        <f t="shared" si="5"/>
        <v>2.5114155251141551E-2</v>
      </c>
      <c r="AX9" s="233">
        <f t="shared" si="5"/>
        <v>0.55000000000000004</v>
      </c>
      <c r="AY9" s="233">
        <f t="shared" si="5"/>
        <v>0.55000000000000004</v>
      </c>
      <c r="AZ9" s="2">
        <f t="shared" si="12"/>
        <v>2.2669305553255272E-3</v>
      </c>
      <c r="BA9" s="189">
        <f>AZ9*(0.0000000000000028)*up_RadSpec!$AY9*up_RadSpec!$AF9</f>
        <v>6.79172394375528E-15</v>
      </c>
      <c r="BB9" s="40">
        <f t="shared" si="6"/>
        <v>2200</v>
      </c>
      <c r="BC9" s="40">
        <f t="shared" si="7"/>
        <v>0.12557077625570776</v>
      </c>
      <c r="BD9" s="19">
        <f>IFERROR(s_C*up_RadSpec!AI9*s_Q_w_game*(1/1000)*s_EF_rec*1*s_IRGL_rec*s_CF_game,".")</f>
        <v>2.75</v>
      </c>
      <c r="BE9" s="19">
        <f>IFERROR(s_C*up_RadSpec!AL9*s_Q_w_fowl*(1/1000)*s_EF_rec*1*s_IRGL_rec*s_CF_fowl,0)</f>
        <v>2.75</v>
      </c>
      <c r="BF9" s="18"/>
      <c r="BG9" s="2">
        <f>IFERROR(s_DL/(up_RadSpec!F9*s_EF_rec*1*s_IRGL_rec*s_CF_game),".")</f>
        <v>1.8181818181818181E-2</v>
      </c>
      <c r="BH9" s="2">
        <f>IFERROR(s_DL/(up_RadSpec!F9*s_EF_rec*1*s_IRGF_rec*s_CF_fowl),".")</f>
        <v>1.8181818181818181E-2</v>
      </c>
      <c r="BI9" s="189">
        <f>IFERROR(BG9*(0.0000000000028)*up_RadSpec!$AY9*up_RadSpec!$AF9,0)</f>
        <v>5.4472727272727275E-11</v>
      </c>
      <c r="BJ9" s="189">
        <f>IFERROR(BH9*(0.0000000000028)*up_RadSpec!$AY9*up_RadSpec!$AF9,0)</f>
        <v>5.4472727272727275E-11</v>
      </c>
      <c r="BK9" s="19">
        <f t="shared" si="8"/>
        <v>275</v>
      </c>
      <c r="BL9" s="19">
        <f t="shared" si="9"/>
        <v>275</v>
      </c>
    </row>
    <row r="10" spans="1:64" customFormat="1" x14ac:dyDescent="0.25">
      <c r="A10" s="46" t="s">
        <v>8</v>
      </c>
      <c r="B10" s="42" t="s">
        <v>335</v>
      </c>
      <c r="C10" s="42"/>
      <c r="D10" s="15">
        <f>IFERROR(((s_DL/(up_RadSpec!E10*s_IFS_rec_adj*(1/1000)))*1),".")</f>
        <v>0.33057851239669422</v>
      </c>
      <c r="E10" s="15">
        <f>IFERROR(IF(A10="H-3",(s_DL/((up_RadSpec!H10*s_IFA_rec_adj*(1/17)*1000))*1),(s_DL/((up_RadSpec!H10*s_IFA_rec_adj*(1/s_PEF_wind)*1000))*1)),".")</f>
        <v>3089.9917851942919</v>
      </c>
      <c r="F10" s="2">
        <f>IFERROR((s_DL/(up_RadSpec!G10*s_EF_rec*(1/365)*1*up_RadSpec!R10*s_ET_rec*(1/24)*up_RadSpec!W10)),".")</f>
        <v>497.53766233766237</v>
      </c>
      <c r="G10" s="2">
        <f>IFERROR((BG10/(up_RadSpec!AI10*((s_Q_p_game*s_f_p_game*s_f_s_game*(up_RadSpec!BD10+s_R_es_past))+(s_Q_s_game*s_f_p_game)))),".")</f>
        <v>7.5757575757575758E-5</v>
      </c>
      <c r="H10" s="2">
        <f>IFERROR((BG10/(up_RadSpec!AL10*((s_Q_p_fowl*s_f_p_fowl*s_f_s_fowl*(up_RadSpec!BD10+s_R_es_past))+(s_Q_s_fowl*s_f_p_fowl)))),".")</f>
        <v>7.5757575757575758E-5</v>
      </c>
      <c r="I10" s="233">
        <f t="shared" si="10"/>
        <v>3.0249999999999999</v>
      </c>
      <c r="J10" s="233">
        <f t="shared" si="0"/>
        <v>3.236254558317935E-4</v>
      </c>
      <c r="K10" s="233">
        <f t="shared" si="0"/>
        <v>2.0098980955562981E-3</v>
      </c>
      <c r="L10" s="233">
        <f t="shared" si="0"/>
        <v>13200</v>
      </c>
      <c r="M10" s="233">
        <f t="shared" si="0"/>
        <v>13200</v>
      </c>
      <c r="N10" s="2">
        <f t="shared" si="11"/>
        <v>3.7874444750898473E-5</v>
      </c>
      <c r="O10" s="189">
        <f>IFERROR(N10*(0.0000000000028)*up_RadSpec!$AY10*up_RadSpec!$AF10,0)</f>
        <v>7.2643185032223271E-14</v>
      </c>
      <c r="P10" s="40">
        <f t="shared" si="1"/>
        <v>15.125</v>
      </c>
      <c r="Q10" s="40">
        <f t="shared" si="2"/>
        <v>1.6181272791589674E-3</v>
      </c>
      <c r="R10" s="40">
        <f>IFERROR((s_C*s_EF_rec*(1/365)*1*up_RadSpec!R10*s_ET_rec*(1/24)*up_RadSpec!W10),".")</f>
        <v>1.0049490477781489E-2</v>
      </c>
      <c r="S10" s="19">
        <f>IFERROR((s_C*s_IRGL_rec*s_EF_rec*1*s_CF_game*up_RadSpec!AI10)*((s_Q_p_game*s_f_p_game*s_f_s_game*(up_RadSpec!BD10+s_R_es_past))+(s_Q_s_game*s_f_p_game)),".")</f>
        <v>66000</v>
      </c>
      <c r="T10" s="19">
        <f>IFERROR((s_C*s_IRGF_rec*s_EF_rec*1*s_CF_fowl*up_RadSpec!AL10)*((s_Q_p_fowl*s_f_p_fowl*s_f_s_fowl*(up_RadSpec!BD10+s_R_es_past))+(s_Q_s_fowl*s_f_p_fowl)),0)</f>
        <v>66000</v>
      </c>
      <c r="U10" s="18"/>
      <c r="V10" s="15">
        <f>IFERROR((s_DL/(up_RadSpec!G10*s_EF_rec*(1/365)*1*up_RadSpec!R10*s_ET_rec*(1/24)*up_RadSpec!W10)),".")</f>
        <v>497.53766233766237</v>
      </c>
      <c r="W10" s="15">
        <f>IFERROR((s_DL/(up_RadSpec!N10*s_EF_rec*(1/365)*1*up_RadSpec!S10*s_ET_rec*(1/24)*up_RadSpec!X10)),".")</f>
        <v>775.29581529581503</v>
      </c>
      <c r="X10" s="15">
        <f>IFERROR((s_DL/(up_RadSpec!O10*s_EF_rec*(1/365)*1*up_RadSpec!T10*s_ET_rec*(1/24)*up_RadSpec!Y10)),".")</f>
        <v>553.66265416759938</v>
      </c>
      <c r="Y10" s="15">
        <f>IFERROR((s_DL/(up_RadSpec!P10*s_EF_rec*(1/365)*1*up_RadSpec!U10*s_ET_rec*(1/24)*up_RadSpec!Z10)),".")</f>
        <v>506.38919313618106</v>
      </c>
      <c r="Z10" s="15">
        <f>IFERROR((s_DL/(up_RadSpec!L10*s_EF_rec*(1/365)*1*up_RadSpec!Q10*s_ET_rec*(1/24)*up_RadSpec!V10)),".")</f>
        <v>1303.3370352742083</v>
      </c>
      <c r="AA10" s="189">
        <f>IFERROR(V10*(0.0000000000028)*up_RadSpec!$AY10*up_RadSpec!$AF10,0)</f>
        <v>9.5427723636363646E-7</v>
      </c>
      <c r="AB10" s="189">
        <f>IFERROR(W10*(0.0000000000028)*up_RadSpec!$AY10*up_RadSpec!$AF10,0)</f>
        <v>1.4870173737373732E-6</v>
      </c>
      <c r="AC10" s="189">
        <f>IFERROR(X10*(0.0000000000028)*up_RadSpec!$AY10*up_RadSpec!$AF10,0)</f>
        <v>1.0619249706934556E-6</v>
      </c>
      <c r="AD10" s="189">
        <f>IFERROR(Y10*(0.0000000000028)*up_RadSpec!$AY10*up_RadSpec!$AF10,0)</f>
        <v>9.712544724351953E-7</v>
      </c>
      <c r="AE10" s="189">
        <f>IFERROR(Z10*(0.0000000000028)*up_RadSpec!$AY10*up_RadSpec!$AF10,0)</f>
        <v>2.4998004336559317E-6</v>
      </c>
      <c r="AF10" s="40">
        <f>IFERROR((s_C*s_EF_rec*(1/365)*1*up_RadSpec!R10*s_ET_rec*(1/24)*up_RadSpec!W10),".")</f>
        <v>1.0049490477781489E-2</v>
      </c>
      <c r="AG10" s="40">
        <f>IFERROR((s_C*s_EF_rec*(1/365)*1*up_RadSpec!S10*s_ET_rec*(1/24)*up_RadSpec!X10),".")</f>
        <v>6.4491512805241241E-3</v>
      </c>
      <c r="AH10" s="40">
        <f>IFERROR((s_C*s_EF_rec*(1/365)*1*up_RadSpec!T10*s_ET_rec*(1/24)*up_RadSpec!Y10),".")</f>
        <v>9.0307698421834472E-3</v>
      </c>
      <c r="AI10" s="40">
        <f>IFERROR((s_C*s_EF_rec*(1/365)*1*up_RadSpec!U10*s_ET_rec*(1/24)*up_RadSpec!Z10),".")</f>
        <v>9.8738284066330218E-3</v>
      </c>
      <c r="AJ10" s="40">
        <f>IFERROR((s_C*s_EF_rec*(1/365)*1*up_RadSpec!Q10*s_ET_rec*(1/24)*up_RadSpec!V10),".")</f>
        <v>3.8363062390443414E-3</v>
      </c>
      <c r="AK10" s="15">
        <f>IFERROR((s_DL/(up_RadSpec!H10*s_IFA_rec_adj)),".")</f>
        <v>9.9740259740259754E-3</v>
      </c>
      <c r="AL10" s="15">
        <f>IFERROR((s_DL/(up_RadSpec!K10*s_EF_rec*(1/365)*1*s_ET_rec*(1/24)*s_GSF_a)),".")</f>
        <v>63.709090909090911</v>
      </c>
      <c r="AM10" s="15">
        <f t="shared" si="13"/>
        <v>9.9724647271019675E-3</v>
      </c>
      <c r="AN10" s="189">
        <f>AM10*(0.0000000000000028)*up_RadSpec!$AY10*up_RadSpec!$AF10</f>
        <v>1.9127187346581575E-14</v>
      </c>
      <c r="AO10" s="40">
        <f t="shared" si="3"/>
        <v>501.30208333333326</v>
      </c>
      <c r="AP10" s="40">
        <f t="shared" si="4"/>
        <v>7.8481735159817351E-2</v>
      </c>
      <c r="AQ10" s="45"/>
      <c r="AR10" s="15">
        <f>IFERROR((s_DL/(up_RadSpec!I10*s_IFW_rec_adj)),".")</f>
        <v>2.2727272727272726E-3</v>
      </c>
      <c r="AS10" s="15">
        <f>IFERROR((s_DL/(up_RadSpec!M10*(1/8760)*s_DFA_rec_adj)),".")</f>
        <v>39.81818181818182</v>
      </c>
      <c r="AT10" s="2">
        <f>IFERROR(BG10/(up_RadSpec!AI10*s_Q_w_game*(1/1000)),".")</f>
        <v>1.8181818181818181</v>
      </c>
      <c r="AU10" s="2">
        <f>IFERROR(BG10/(up_RadSpec!AL10*s_Q_w_fowl*(1/1000)),".")</f>
        <v>1.8181818181818181</v>
      </c>
      <c r="AV10" s="233">
        <f t="shared" si="5"/>
        <v>440</v>
      </c>
      <c r="AW10" s="233">
        <f t="shared" si="5"/>
        <v>2.5114155251141551E-2</v>
      </c>
      <c r="AX10" s="233">
        <f t="shared" si="5"/>
        <v>0.55000000000000004</v>
      </c>
      <c r="AY10" s="233">
        <f t="shared" si="5"/>
        <v>0.55000000000000004</v>
      </c>
      <c r="AZ10" s="2">
        <f t="shared" si="12"/>
        <v>2.2669305553255272E-3</v>
      </c>
      <c r="BA10" s="189">
        <f>AZ10*(0.0000000000000028)*up_RadSpec!$AY10*up_RadSpec!$AF10</f>
        <v>4.347972805114361E-15</v>
      </c>
      <c r="BB10" s="40">
        <f t="shared" si="6"/>
        <v>2200</v>
      </c>
      <c r="BC10" s="40">
        <f t="shared" si="7"/>
        <v>0.12557077625570776</v>
      </c>
      <c r="BD10" s="19">
        <f>IFERROR(s_C*up_RadSpec!AI10*s_Q_w_game*(1/1000)*s_EF_rec*1*s_IRGL_rec*s_CF_game,".")</f>
        <v>2.75</v>
      </c>
      <c r="BE10" s="19">
        <f>IFERROR(s_C*up_RadSpec!AL10*s_Q_w_fowl*(1/1000)*s_EF_rec*1*s_IRGL_rec*s_CF_fowl,0)</f>
        <v>2.75</v>
      </c>
      <c r="BF10" s="18"/>
      <c r="BG10" s="2">
        <f>IFERROR(s_DL/(up_RadSpec!F10*s_EF_rec*1*s_IRGL_rec*s_CF_game),".")</f>
        <v>1.8181818181818181E-2</v>
      </c>
      <c r="BH10" s="2">
        <f>IFERROR(s_DL/(up_RadSpec!F10*s_EF_rec*1*s_IRGF_rec*s_CF_fowl),".")</f>
        <v>1.8181818181818181E-2</v>
      </c>
      <c r="BI10" s="189">
        <f>IFERROR(BG10*(0.0000000000028)*up_RadSpec!$AY10*up_RadSpec!$AF10,0)</f>
        <v>3.4872727272727273E-11</v>
      </c>
      <c r="BJ10" s="189">
        <f>IFERROR(BH10*(0.0000000000028)*up_RadSpec!$AY10*up_RadSpec!$AF10,0)</f>
        <v>3.4872727272727273E-11</v>
      </c>
      <c r="BK10" s="19">
        <f t="shared" si="8"/>
        <v>275</v>
      </c>
      <c r="BL10" s="19">
        <f t="shared" si="9"/>
        <v>275</v>
      </c>
    </row>
    <row r="11" spans="1:64" customFormat="1" x14ac:dyDescent="0.25">
      <c r="A11" s="44" t="s">
        <v>9</v>
      </c>
      <c r="B11" s="42" t="s">
        <v>1057</v>
      </c>
      <c r="C11" s="42"/>
      <c r="D11" s="15">
        <f>IFERROR(((s_DL/(up_RadSpec!E11*s_IFS_rec_adj*(1/1000)))*1),".")</f>
        <v>0.33057851239669422</v>
      </c>
      <c r="E11" s="15">
        <f>IFERROR(IF(A11="H-3",(s_DL/((up_RadSpec!H11*s_IFA_rec_adj*(1/17)*1000))*1),(s_DL/((up_RadSpec!H11*s_IFA_rec_adj*(1/s_PEF_wind)*1000))*1)),".")</f>
        <v>3089.9917851942919</v>
      </c>
      <c r="F11" s="2">
        <f>IFERROR((s_DL/(up_RadSpec!G11*s_EF_rec*(1/365)*1*up_RadSpec!R11*s_ET_rec*(1/24)*up_RadSpec!W11)),".")</f>
        <v>1487.7122877122879</v>
      </c>
      <c r="G11" s="2">
        <f>IFERROR((BG11/(up_RadSpec!AI11*((s_Q_p_game*s_f_p_game*s_f_s_game*(up_RadSpec!BD11+s_R_es_past))+(s_Q_s_game*s_f_p_game)))),".")</f>
        <v>7.5757575757575758E-5</v>
      </c>
      <c r="H11" s="2">
        <f>IFERROR((BG11/(up_RadSpec!AL11*((s_Q_p_fowl*s_f_p_fowl*s_f_s_fowl*(up_RadSpec!BD11+s_R_es_past))+(s_Q_s_fowl*s_f_p_fowl)))),".")</f>
        <v>7.5757575757575758E-5</v>
      </c>
      <c r="I11" s="233">
        <f t="shared" si="10"/>
        <v>3.0249999999999999</v>
      </c>
      <c r="J11" s="233">
        <f t="shared" si="0"/>
        <v>3.236254558317935E-4</v>
      </c>
      <c r="K11" s="233">
        <f t="shared" si="0"/>
        <v>6.721729787805532E-4</v>
      </c>
      <c r="L11" s="233">
        <f t="shared" si="0"/>
        <v>13200</v>
      </c>
      <c r="M11" s="233">
        <f t="shared" si="0"/>
        <v>13200</v>
      </c>
      <c r="N11" s="2">
        <f t="shared" si="11"/>
        <v>3.7874446669829891E-5</v>
      </c>
      <c r="O11" s="189">
        <f>IFERROR(N11*(0.0000000000028)*up_RadSpec!$AY11*up_RadSpec!$AF11,0)</f>
        <v>1.171835379964537E-13</v>
      </c>
      <c r="P11" s="40">
        <f t="shared" si="1"/>
        <v>15.125</v>
      </c>
      <c r="Q11" s="40">
        <f t="shared" si="2"/>
        <v>1.6181272791589674E-3</v>
      </c>
      <c r="R11" s="40">
        <f>IFERROR((s_C*s_EF_rec*(1/365)*1*up_RadSpec!R11*s_ET_rec*(1/24)*up_RadSpec!W11),".")</f>
        <v>3.3608648939027663E-3</v>
      </c>
      <c r="S11" s="19">
        <f>IFERROR((s_C*s_IRGL_rec*s_EF_rec*1*s_CF_game*up_RadSpec!AI11)*((s_Q_p_game*s_f_p_game*s_f_s_game*(up_RadSpec!BD11+s_R_es_past))+(s_Q_s_game*s_f_p_game)),".")</f>
        <v>66000</v>
      </c>
      <c r="T11" s="19">
        <f>IFERROR((s_C*s_IRGF_rec*s_EF_rec*1*s_CF_fowl*up_RadSpec!AL11)*((s_Q_p_fowl*s_f_p_fowl*s_f_s_fowl*(up_RadSpec!BD11+s_R_es_past))+(s_Q_s_fowl*s_f_p_fowl)),0)</f>
        <v>66000</v>
      </c>
      <c r="U11" s="18"/>
      <c r="V11" s="15">
        <f>IFERROR((s_DL/(up_RadSpec!G11*s_EF_rec*(1/365)*1*up_RadSpec!R11*s_ET_rec*(1/24)*up_RadSpec!W11)),".")</f>
        <v>1487.7122877122879</v>
      </c>
      <c r="W11" s="15">
        <f>IFERROR((s_DL/(up_RadSpec!N11*s_EF_rec*(1/365)*1*up_RadSpec!S11*s_ET_rec*(1/24)*up_RadSpec!X11)),".")</f>
        <v>1882.4477461596578</v>
      </c>
      <c r="X11" s="15">
        <f>IFERROR((s_DL/(up_RadSpec!O11*s_EF_rec*(1/365)*1*up_RadSpec!T11*s_ET_rec*(1/24)*up_RadSpec!Y11)),".")</f>
        <v>1460.9548724656636</v>
      </c>
      <c r="Y11" s="15">
        <f>IFERROR((s_DL/(up_RadSpec!P11*s_EF_rec*(1/365)*1*up_RadSpec!U11*s_ET_rec*(1/24)*up_RadSpec!Z11)),".")</f>
        <v>1391.6387959866224</v>
      </c>
      <c r="Z11" s="15">
        <f>IFERROR((s_DL/(up_RadSpec!L11*s_EF_rec*(1/365)*1*up_RadSpec!Q11*s_ET_rec*(1/24)*up_RadSpec!V11)),".")</f>
        <v>3504.4063079777366</v>
      </c>
      <c r="AA11" s="189">
        <f>IFERROR(V11*(0.0000000000028)*up_RadSpec!$AY11*up_RadSpec!$AF11,0)</f>
        <v>4.6029818181818196E-6</v>
      </c>
      <c r="AB11" s="189">
        <f>IFERROR(W11*(0.0000000000028)*up_RadSpec!$AY11*up_RadSpec!$AF11,0)</f>
        <v>5.8242933266179809E-6</v>
      </c>
      <c r="AC11" s="189">
        <f>IFERROR(X11*(0.0000000000028)*up_RadSpec!$AY11*up_RadSpec!$AF11,0)</f>
        <v>4.5201943754087637E-6</v>
      </c>
      <c r="AD11" s="189">
        <f>IFERROR(Y11*(0.0000000000028)*up_RadSpec!$AY11*up_RadSpec!$AF11,0)</f>
        <v>4.3057304347826095E-6</v>
      </c>
      <c r="AE11" s="189">
        <f>IFERROR(Z11*(0.0000000000028)*up_RadSpec!$AY11*up_RadSpec!$AF11,0)</f>
        <v>1.0842633116883119E-5</v>
      </c>
      <c r="AF11" s="40">
        <f>IFERROR((s_C*s_EF_rec*(1/365)*1*up_RadSpec!R11*s_ET_rec*(1/24)*up_RadSpec!W11),".")</f>
        <v>3.3608648939027663E-3</v>
      </c>
      <c r="AG11" s="40">
        <f>IFERROR((s_C*s_EF_rec*(1/365)*1*up_RadSpec!S11*s_ET_rec*(1/24)*up_RadSpec!X11),".")</f>
        <v>2.6561162243150683E-3</v>
      </c>
      <c r="AH11" s="40">
        <f>IFERROR((s_C*s_EF_rec*(1/365)*1*up_RadSpec!T11*s_ET_rec*(1/24)*up_RadSpec!Y11),".")</f>
        <v>3.4224191959888986E-3</v>
      </c>
      <c r="AI11" s="40">
        <f>IFERROR((s_C*s_EF_rec*(1/365)*1*up_RadSpec!U11*s_ET_rec*(1/24)*up_RadSpec!Z11),".")</f>
        <v>3.5928863254025465E-3</v>
      </c>
      <c r="AJ11" s="40">
        <f>IFERROR((s_C*s_EF_rec*(1/365)*1*up_RadSpec!Q11*s_ET_rec*(1/24)*up_RadSpec!V11),".")</f>
        <v>1.4267751968764476E-3</v>
      </c>
      <c r="AK11" s="15">
        <f>IFERROR((s_DL/(up_RadSpec!H11*s_IFA_rec_adj)),".")</f>
        <v>9.9740259740259754E-3</v>
      </c>
      <c r="AL11" s="15">
        <f>IFERROR((s_DL/(up_RadSpec!K11*s_EF_rec*(1/365)*1*s_ET_rec*(1/24)*s_GSF_a)),".")</f>
        <v>63.709090909090911</v>
      </c>
      <c r="AM11" s="15">
        <f t="shared" si="13"/>
        <v>9.9724647271019675E-3</v>
      </c>
      <c r="AN11" s="189">
        <f>AM11*(0.0000000000000028)*up_RadSpec!$AY11*up_RadSpec!$AF11</f>
        <v>3.0854805865653487E-14</v>
      </c>
      <c r="AO11" s="40">
        <f t="shared" si="3"/>
        <v>501.30208333333326</v>
      </c>
      <c r="AP11" s="40">
        <f t="shared" si="4"/>
        <v>7.8481735159817351E-2</v>
      </c>
      <c r="AQ11" s="45"/>
      <c r="AR11" s="15">
        <f>IFERROR((s_DL/(up_RadSpec!I11*s_IFW_rec_adj)),".")</f>
        <v>2.2727272727272726E-3</v>
      </c>
      <c r="AS11" s="15">
        <f>IFERROR((s_DL/(up_RadSpec!M11*(1/8760)*s_DFA_rec_adj)),".")</f>
        <v>39.81818181818182</v>
      </c>
      <c r="AT11" s="2">
        <f>IFERROR(BG11/(up_RadSpec!AI11*s_Q_w_game*(1/1000)),".")</f>
        <v>1.8181818181818181</v>
      </c>
      <c r="AU11" s="2">
        <f>IFERROR(BG11/(up_RadSpec!AL11*s_Q_w_fowl*(1/1000)),".")</f>
        <v>1.8181818181818181</v>
      </c>
      <c r="AV11" s="233">
        <f t="shared" si="5"/>
        <v>440</v>
      </c>
      <c r="AW11" s="233">
        <f t="shared" si="5"/>
        <v>2.5114155251141551E-2</v>
      </c>
      <c r="AX11" s="233">
        <f t="shared" si="5"/>
        <v>0.55000000000000004</v>
      </c>
      <c r="AY11" s="233">
        <f t="shared" si="5"/>
        <v>0.55000000000000004</v>
      </c>
      <c r="AZ11" s="2">
        <f t="shared" si="12"/>
        <v>2.2669305553255272E-3</v>
      </c>
      <c r="BA11" s="189">
        <f>AZ11*(0.0000000000000028)*up_RadSpec!$AY11*up_RadSpec!$AF11</f>
        <v>7.0138831381771812E-15</v>
      </c>
      <c r="BB11" s="40">
        <f t="shared" si="6"/>
        <v>2200</v>
      </c>
      <c r="BC11" s="40">
        <f t="shared" si="7"/>
        <v>0.12557077625570776</v>
      </c>
      <c r="BD11" s="19">
        <f>IFERROR(s_C*up_RadSpec!AI11*s_Q_w_game*(1/1000)*s_EF_rec*1*s_IRGL_rec*s_CF_game,".")</f>
        <v>2.75</v>
      </c>
      <c r="BE11" s="19">
        <f>IFERROR(s_C*up_RadSpec!AL11*s_Q_w_fowl*(1/1000)*s_EF_rec*1*s_IRGL_rec*s_CF_fowl,0)</f>
        <v>2.75</v>
      </c>
      <c r="BF11" s="18"/>
      <c r="BG11" s="2">
        <f>IFERROR(s_DL/(up_RadSpec!F11*s_EF_rec*1*s_IRGL_rec*s_CF_game),".")</f>
        <v>1.8181818181818181E-2</v>
      </c>
      <c r="BH11" s="2">
        <f>IFERROR(s_DL/(up_RadSpec!F11*s_EF_rec*1*s_IRGF_rec*s_CF_fowl),".")</f>
        <v>1.8181818181818181E-2</v>
      </c>
      <c r="BI11" s="189">
        <f>IFERROR(BG11*(0.0000000000028)*up_RadSpec!$AY11*up_RadSpec!$AF11,0)</f>
        <v>5.6254545454545459E-11</v>
      </c>
      <c r="BJ11" s="189">
        <f>IFERROR(BH11*(0.0000000000028)*up_RadSpec!$AY11*up_RadSpec!$AF11,0)</f>
        <v>5.6254545454545459E-11</v>
      </c>
      <c r="BK11" s="19">
        <f t="shared" si="8"/>
        <v>275</v>
      </c>
      <c r="BL11" s="19">
        <f t="shared" si="9"/>
        <v>275</v>
      </c>
    </row>
    <row r="12" spans="1:64" customFormat="1" x14ac:dyDescent="0.25">
      <c r="A12" s="44" t="s">
        <v>10</v>
      </c>
      <c r="B12" s="42" t="s">
        <v>1057</v>
      </c>
      <c r="C12" s="238"/>
      <c r="D12" s="15">
        <f>IFERROR(((s_DL/(up_RadSpec!E12*s_IFS_rec_adj*(1/1000)))*1),".")</f>
        <v>0.33057851239669422</v>
      </c>
      <c r="E12" s="15">
        <f>IFERROR(IF(A12="H-3",(s_DL/((up_RadSpec!H12*s_IFA_rec_adj*(1/17)*1000))*1),(s_DL/((up_RadSpec!H12*s_IFA_rec_adj*(1/s_PEF_wind)*1000))*1)),".")</f>
        <v>3089.9917851942919</v>
      </c>
      <c r="F12" s="2">
        <f>IFERROR((s_DL/(up_RadSpec!G12*s_EF_rec*(1/365)*1*up_RadSpec!R12*s_ET_rec*(1/24)*up_RadSpec!W12)),".")</f>
        <v>712.82058319039447</v>
      </c>
      <c r="G12" s="2">
        <f>IFERROR((BG12/(up_RadSpec!AI12*((s_Q_p_game*s_f_p_game*s_f_s_game*(up_RadSpec!BD12+s_R_es_past))+(s_Q_s_game*s_f_p_game)))),".")</f>
        <v>7.5757575757575758E-5</v>
      </c>
      <c r="H12" s="2">
        <f>IFERROR((BG12/(up_RadSpec!AL12*((s_Q_p_fowl*s_f_p_fowl*s_f_s_fowl*(up_RadSpec!BD12+s_R_es_past))+(s_Q_s_fowl*s_f_p_fowl)))),".")</f>
        <v>7.5757575757575758E-5</v>
      </c>
      <c r="I12" s="233">
        <f t="shared" si="10"/>
        <v>3.0249999999999999</v>
      </c>
      <c r="J12" s="233">
        <f t="shared" si="0"/>
        <v>3.236254558317935E-4</v>
      </c>
      <c r="K12" s="233">
        <f t="shared" si="0"/>
        <v>1.4028775593491803E-3</v>
      </c>
      <c r="L12" s="233">
        <f t="shared" si="0"/>
        <v>13200</v>
      </c>
      <c r="M12" s="233">
        <f t="shared" si="0"/>
        <v>13200</v>
      </c>
      <c r="N12" s="2">
        <f t="shared" si="11"/>
        <v>3.7874445621653412E-5</v>
      </c>
      <c r="O12" s="189">
        <f>IFERROR(N12*(0.0000000000028)*up_RadSpec!$AY12*up_RadSpec!$AF12,0)</f>
        <v>1.0922990117284845E-13</v>
      </c>
      <c r="P12" s="40">
        <f t="shared" si="1"/>
        <v>15.125</v>
      </c>
      <c r="Q12" s="40">
        <f t="shared" si="2"/>
        <v>1.6181272791589674E-3</v>
      </c>
      <c r="R12" s="40">
        <f>IFERROR((s_C*s_EF_rec*(1/365)*1*up_RadSpec!R12*s_ET_rec*(1/24)*up_RadSpec!W12),".")</f>
        <v>7.0143877967459014E-3</v>
      </c>
      <c r="S12" s="19">
        <f>IFERROR((s_C*s_IRGL_rec*s_EF_rec*1*s_CF_game*up_RadSpec!AI12)*((s_Q_p_game*s_f_p_game*s_f_s_game*(up_RadSpec!BD12+s_R_es_past))+(s_Q_s_game*s_f_p_game)),".")</f>
        <v>66000</v>
      </c>
      <c r="T12" s="19">
        <f>IFERROR((s_C*s_IRGF_rec*s_EF_rec*1*s_CF_fowl*up_RadSpec!AL12)*((s_Q_p_fowl*s_f_p_fowl*s_f_s_fowl*(up_RadSpec!BD12+s_R_es_past))+(s_Q_s_fowl*s_f_p_fowl)),0)</f>
        <v>66000</v>
      </c>
      <c r="U12" s="18"/>
      <c r="V12" s="15">
        <f>IFERROR((s_DL/(up_RadSpec!G12*s_EF_rec*(1/365)*1*up_RadSpec!R12*s_ET_rec*(1/24)*up_RadSpec!W12)),".")</f>
        <v>712.82058319039447</v>
      </c>
      <c r="W12" s="15">
        <f>IFERROR((s_DL/(up_RadSpec!N12*s_EF_rec*(1/365)*1*up_RadSpec!S12*s_ET_rec*(1/24)*up_RadSpec!X12)),".")</f>
        <v>1278.8458442018489</v>
      </c>
      <c r="X12" s="15">
        <f>IFERROR((s_DL/(up_RadSpec!O12*s_EF_rec*(1/365)*1*up_RadSpec!T12*s_ET_rec*(1/24)*up_RadSpec!Y12)),".")</f>
        <v>927.27530906164839</v>
      </c>
      <c r="Y12" s="15">
        <f>IFERROR((s_DL/(up_RadSpec!P12*s_EF_rec*(1/365)*1*up_RadSpec!U12*s_ET_rec*(1/24)*up_RadSpec!Z12)),".")</f>
        <v>818.91342636499121</v>
      </c>
      <c r="Z12" s="15">
        <f>IFERROR((s_DL/(up_RadSpec!L12*s_EF_rec*(1/365)*1*up_RadSpec!Q12*s_ET_rec*(1/24)*up_RadSpec!V12)),".")</f>
        <v>2207.6066790352502</v>
      </c>
      <c r="AA12" s="189">
        <f>IFERROR(V12*(0.0000000000028)*up_RadSpec!$AY12*up_RadSpec!$AF12,0)</f>
        <v>2.0557745619210982E-6</v>
      </c>
      <c r="AB12" s="189">
        <f>IFERROR(W12*(0.0000000000028)*up_RadSpec!$AY12*up_RadSpec!$AF12,0)</f>
        <v>3.688191414678133E-6</v>
      </c>
      <c r="AC12" s="189">
        <f>IFERROR(X12*(0.0000000000028)*up_RadSpec!$AY12*up_RadSpec!$AF12,0)</f>
        <v>2.6742619913337939E-6</v>
      </c>
      <c r="AD12" s="189">
        <f>IFERROR(Y12*(0.0000000000028)*up_RadSpec!$AY12*up_RadSpec!$AF12,0)</f>
        <v>2.361746321636635E-6</v>
      </c>
      <c r="AE12" s="189">
        <f>IFERROR(Z12*(0.0000000000028)*up_RadSpec!$AY12*up_RadSpec!$AF12,0)</f>
        <v>6.3667376623376612E-6</v>
      </c>
      <c r="AF12" s="40">
        <f>IFERROR((s_C*s_EF_rec*(1/365)*1*up_RadSpec!R12*s_ET_rec*(1/24)*up_RadSpec!W12),".")</f>
        <v>7.0143877967459014E-3</v>
      </c>
      <c r="AG12" s="40">
        <f>IFERROR((s_C*s_EF_rec*(1/365)*1*up_RadSpec!S12*s_ET_rec*(1/24)*up_RadSpec!X12),".")</f>
        <v>3.9097753827558408E-3</v>
      </c>
      <c r="AH12" s="40">
        <f>IFERROR((s_C*s_EF_rec*(1/365)*1*up_RadSpec!T12*s_ET_rec*(1/24)*up_RadSpec!Y12),".")</f>
        <v>5.392141849500689E-3</v>
      </c>
      <c r="AI12" s="40">
        <f>IFERROR((s_C*s_EF_rec*(1/365)*1*up_RadSpec!U12*s_ET_rec*(1/24)*up_RadSpec!Z12),".")</f>
        <v>6.1056515121434719E-3</v>
      </c>
      <c r="AJ12" s="40">
        <f>IFERROR((s_C*s_EF_rec*(1/365)*1*up_RadSpec!Q12*s_ET_rec*(1/24)*up_RadSpec!V12),".")</f>
        <v>2.2648962097655267E-3</v>
      </c>
      <c r="AK12" s="15">
        <f>IFERROR((s_DL/(up_RadSpec!H12*s_IFA_rec_adj)),".")</f>
        <v>9.9740259740259754E-3</v>
      </c>
      <c r="AL12" s="15">
        <f>IFERROR((s_DL/(up_RadSpec!K12*s_EF_rec*(1/365)*1*s_ET_rec*(1/24)*s_GSF_a)),".")</f>
        <v>63.709090909090911</v>
      </c>
      <c r="AM12" s="15">
        <f t="shared" si="13"/>
        <v>9.9724647271019675E-3</v>
      </c>
      <c r="AN12" s="189">
        <f>AM12*(0.0000000000000028)*up_RadSpec!$AY12*up_RadSpec!$AF12</f>
        <v>2.8760588272962077E-14</v>
      </c>
      <c r="AO12" s="40">
        <f t="shared" si="3"/>
        <v>501.30208333333326</v>
      </c>
      <c r="AP12" s="40">
        <f t="shared" si="4"/>
        <v>7.8481735159817351E-2</v>
      </c>
      <c r="AQ12" s="45"/>
      <c r="AR12" s="15">
        <f>IFERROR((s_DL/(up_RadSpec!I12*s_IFW_rec_adj)),".")</f>
        <v>2.2727272727272726E-3</v>
      </c>
      <c r="AS12" s="15">
        <f>IFERROR((s_DL/(up_RadSpec!M12*(1/8760)*s_DFA_rec_adj)),".")</f>
        <v>39.81818181818182</v>
      </c>
      <c r="AT12" s="2">
        <f>IFERROR(BG12/(up_RadSpec!AI12*s_Q_w_game*(1/1000)),".")</f>
        <v>1.8181818181818181</v>
      </c>
      <c r="AU12" s="2">
        <f>IFERROR(BG12/(up_RadSpec!AL12*s_Q_w_fowl*(1/1000)),".")</f>
        <v>1.8181818181818181</v>
      </c>
      <c r="AV12" s="233">
        <f t="shared" si="5"/>
        <v>440</v>
      </c>
      <c r="AW12" s="233">
        <f t="shared" si="5"/>
        <v>2.5114155251141551E-2</v>
      </c>
      <c r="AX12" s="233">
        <f t="shared" si="5"/>
        <v>0.55000000000000004</v>
      </c>
      <c r="AY12" s="233">
        <f t="shared" si="5"/>
        <v>0.55000000000000004</v>
      </c>
      <c r="AZ12" s="2">
        <f t="shared" si="12"/>
        <v>2.2669305553255272E-3</v>
      </c>
      <c r="BA12" s="189">
        <f>AZ12*(0.0000000000000028)*up_RadSpec!$AY12*up_RadSpec!$AF12</f>
        <v>6.5378277215588203E-15</v>
      </c>
      <c r="BB12" s="40">
        <f t="shared" si="6"/>
        <v>2200</v>
      </c>
      <c r="BC12" s="40">
        <f t="shared" si="7"/>
        <v>0.12557077625570776</v>
      </c>
      <c r="BD12" s="19">
        <f>IFERROR(s_C*up_RadSpec!AI12*s_Q_w_game*(1/1000)*s_EF_rec*1*s_IRGL_rec*s_CF_game,".")</f>
        <v>2.75</v>
      </c>
      <c r="BE12" s="19">
        <f>IFERROR(s_C*up_RadSpec!AL12*s_Q_w_fowl*(1/1000)*s_EF_rec*1*s_IRGL_rec*s_CF_fowl,0)</f>
        <v>2.75</v>
      </c>
      <c r="BF12" s="18"/>
      <c r="BG12" s="2">
        <f>IFERROR(s_DL/(up_RadSpec!F12*s_EF_rec*1*s_IRGL_rec*s_CF_game),".")</f>
        <v>1.8181818181818181E-2</v>
      </c>
      <c r="BH12" s="2">
        <f>IFERROR(s_DL/(up_RadSpec!F12*s_EF_rec*1*s_IRGF_rec*s_CF_fowl),".")</f>
        <v>1.8181818181818181E-2</v>
      </c>
      <c r="BI12" s="189">
        <f>IFERROR(BG12*(0.0000000000028)*up_RadSpec!$AY12*up_RadSpec!$AF12,0)</f>
        <v>5.2436363636363638E-11</v>
      </c>
      <c r="BJ12" s="189">
        <f>IFERROR(BH12*(0.0000000000028)*up_RadSpec!$AY12*up_RadSpec!$AF12,0)</f>
        <v>5.2436363636363638E-11</v>
      </c>
      <c r="BK12" s="19">
        <f t="shared" si="8"/>
        <v>275</v>
      </c>
      <c r="BL12" s="19">
        <f t="shared" si="9"/>
        <v>275</v>
      </c>
    </row>
    <row r="13" spans="1:64" customFormat="1" x14ac:dyDescent="0.25">
      <c r="A13" s="44" t="s">
        <v>11</v>
      </c>
      <c r="B13" s="42" t="s">
        <v>1057</v>
      </c>
      <c r="C13" s="42"/>
      <c r="D13" s="15">
        <f>IFERROR(((s_DL/(up_RadSpec!E13*s_IFS_rec_adj*(1/1000)))*1),".")</f>
        <v>0.33057851239669422</v>
      </c>
      <c r="E13" s="15">
        <f>IFERROR(IF(A13="H-3",(s_DL/((up_RadSpec!H13*s_IFA_rec_adj*(1/17)*1000))*1),(s_DL/((up_RadSpec!H13*s_IFA_rec_adj*(1/s_PEF_wind)*1000))*1)),".")</f>
        <v>3089.9917851942919</v>
      </c>
      <c r="F13" s="2">
        <f>IFERROR((s_DL/(up_RadSpec!G13*s_EF_rec*(1/365)*1*up_RadSpec!R13*s_ET_rec*(1/24)*up_RadSpec!W13)),".")</f>
        <v>5479.0618044855373</v>
      </c>
      <c r="G13" s="2">
        <f>IFERROR((BG13/(up_RadSpec!AI13*((s_Q_p_game*s_f_p_game*s_f_s_game*(up_RadSpec!BD13+s_R_es_past))+(s_Q_s_game*s_f_p_game)))),".")</f>
        <v>7.5757575757575758E-5</v>
      </c>
      <c r="H13" s="2">
        <f>IFERROR((BG13/(up_RadSpec!AL13*((s_Q_p_fowl*s_f_p_fowl*s_f_s_fowl*(up_RadSpec!BD13+s_R_es_past))+(s_Q_s_fowl*s_f_p_fowl)))),".")</f>
        <v>7.5757575757575758E-5</v>
      </c>
      <c r="I13" s="233">
        <f t="shared" si="10"/>
        <v>3.0249999999999999</v>
      </c>
      <c r="J13" s="233">
        <f t="shared" si="0"/>
        <v>3.236254558317935E-4</v>
      </c>
      <c r="K13" s="233">
        <f t="shared" si="0"/>
        <v>1.8251299870012985E-4</v>
      </c>
      <c r="L13" s="233">
        <f t="shared" si="0"/>
        <v>13200</v>
      </c>
      <c r="M13" s="233">
        <f t="shared" si="0"/>
        <v>13200</v>
      </c>
      <c r="N13" s="2">
        <f t="shared" si="11"/>
        <v>3.7874447372234273E-5</v>
      </c>
      <c r="O13" s="189">
        <f>IFERROR(N13*(0.0000000000028)*up_RadSpec!$AY13*up_RadSpec!$AF13,0)</f>
        <v>1.2566741638107333E-13</v>
      </c>
      <c r="P13" s="40">
        <f t="shared" si="1"/>
        <v>15.125</v>
      </c>
      <c r="Q13" s="40">
        <f t="shared" si="2"/>
        <v>1.6181272791589674E-3</v>
      </c>
      <c r="R13" s="40">
        <f>IFERROR((s_C*s_EF_rec*(1/365)*1*up_RadSpec!R13*s_ET_rec*(1/24)*up_RadSpec!W13),".")</f>
        <v>9.1256499350064919E-4</v>
      </c>
      <c r="S13" s="19">
        <f>IFERROR((s_C*s_IRGL_rec*s_EF_rec*1*s_CF_game*up_RadSpec!AI13)*((s_Q_p_game*s_f_p_game*s_f_s_game*(up_RadSpec!BD13+s_R_es_past))+(s_Q_s_game*s_f_p_game)),".")</f>
        <v>66000</v>
      </c>
      <c r="T13" s="19">
        <f>IFERROR((s_C*s_IRGF_rec*s_EF_rec*1*s_CF_fowl*up_RadSpec!AL13)*((s_Q_p_fowl*s_f_p_fowl*s_f_s_fowl*(up_RadSpec!BD13+s_R_es_past))+(s_Q_s_fowl*s_f_p_fowl)),0)</f>
        <v>66000</v>
      </c>
      <c r="U13" s="18"/>
      <c r="V13" s="15">
        <f>IFERROR((s_DL/(up_RadSpec!G13*s_EF_rec*(1/365)*1*up_RadSpec!R13*s_ET_rec*(1/24)*up_RadSpec!W13)),".")</f>
        <v>5479.0618044855373</v>
      </c>
      <c r="W13" s="15">
        <f>IFERROR((s_DL/(up_RadSpec!N13*s_EF_rec*(1/365)*1*up_RadSpec!S13*s_ET_rec*(1/24)*up_RadSpec!X13)),".")</f>
        <v>11948.632373213381</v>
      </c>
      <c r="X13" s="15">
        <f>IFERROR((s_DL/(up_RadSpec!O13*s_EF_rec*(1/365)*1*up_RadSpec!T13*s_ET_rec*(1/24)*up_RadSpec!Y13)),".")</f>
        <v>7098.5979194934398</v>
      </c>
      <c r="Y13" s="15">
        <f>IFERROR((s_DL/(up_RadSpec!P13*s_EF_rec*(1/365)*1*up_RadSpec!U13*s_ET_rec*(1/24)*up_RadSpec!Z13)),".")</f>
        <v>5860.0282168498088</v>
      </c>
      <c r="Z13" s="15">
        <f>IFERROR((s_DL/(up_RadSpec!L13*s_EF_rec*(1/365)*1*up_RadSpec!Q13*s_ET_rec*(1/24)*up_RadSpec!V13)),".")</f>
        <v>114951.29870129867</v>
      </c>
      <c r="AA13" s="189">
        <f>IFERROR(V13*(0.0000000000028)*up_RadSpec!$AY13*up_RadSpec!$AF13,0)</f>
        <v>1.8179527067283013E-5</v>
      </c>
      <c r="AB13" s="189">
        <f>IFERROR(W13*(0.0000000000028)*up_RadSpec!$AY13*up_RadSpec!$AF13,0)</f>
        <v>3.9645562214321997E-5</v>
      </c>
      <c r="AC13" s="189">
        <f>IFERROR(X13*(0.0000000000028)*up_RadSpec!$AY13*up_RadSpec!$AF13,0)</f>
        <v>2.3553147896879235E-5</v>
      </c>
      <c r="AD13" s="189">
        <f>IFERROR(Y13*(0.0000000000028)*up_RadSpec!$AY13*up_RadSpec!$AF13,0)</f>
        <v>1.9443573623507672E-5</v>
      </c>
      <c r="AE13" s="189">
        <f>IFERROR(Z13*(0.0000000000028)*up_RadSpec!$AY13*up_RadSpec!$AF13,0)</f>
        <v>3.8140840909090901E-4</v>
      </c>
      <c r="AF13" s="40">
        <f>IFERROR((s_C*s_EF_rec*(1/365)*1*up_RadSpec!R13*s_ET_rec*(1/24)*up_RadSpec!W13),".")</f>
        <v>9.1256499350064919E-4</v>
      </c>
      <c r="AG13" s="40">
        <f>IFERROR((s_C*s_EF_rec*(1/365)*1*up_RadSpec!S13*s_ET_rec*(1/24)*up_RadSpec!X13),".")</f>
        <v>4.1845793257553671E-4</v>
      </c>
      <c r="AH13" s="40">
        <f>IFERROR((s_C*s_EF_rec*(1/365)*1*up_RadSpec!T13*s_ET_rec*(1/24)*up_RadSpec!Y13),".")</f>
        <v>7.043644472762028E-4</v>
      </c>
      <c r="AI13" s="40">
        <f>IFERROR((s_C*s_EF_rec*(1/365)*1*up_RadSpec!U13*s_ET_rec*(1/24)*up_RadSpec!Z13),".")</f>
        <v>8.5323821233882445E-4</v>
      </c>
      <c r="AJ13" s="40">
        <f>IFERROR((s_C*s_EF_rec*(1/365)*1*up_RadSpec!Q13*s_ET_rec*(1/24)*up_RadSpec!V13),".")</f>
        <v>4.3496681259709092E-5</v>
      </c>
      <c r="AK13" s="15">
        <f>IFERROR((s_DL/(up_RadSpec!H13*s_IFA_rec_adj)),".")</f>
        <v>9.9740259740259754E-3</v>
      </c>
      <c r="AL13" s="15">
        <f>IFERROR((s_DL/(up_RadSpec!K13*s_EF_rec*(1/365)*1*s_ET_rec*(1/24)*s_GSF_a)),".")</f>
        <v>63.709090909090911</v>
      </c>
      <c r="AM13" s="15">
        <f t="shared" si="13"/>
        <v>9.9724647271019675E-3</v>
      </c>
      <c r="AN13" s="189">
        <f>AM13*(0.0000000000000028)*up_RadSpec!$AY13*up_RadSpec!$AF13</f>
        <v>3.3088637964524332E-14</v>
      </c>
      <c r="AO13" s="40">
        <f t="shared" si="3"/>
        <v>501.30208333333326</v>
      </c>
      <c r="AP13" s="40">
        <f t="shared" si="4"/>
        <v>7.8481735159817351E-2</v>
      </c>
      <c r="AQ13" s="45"/>
      <c r="AR13" s="15">
        <f>IFERROR((s_DL/(up_RadSpec!I13*s_IFW_rec_adj)),".")</f>
        <v>2.2727272727272726E-3</v>
      </c>
      <c r="AS13" s="15">
        <f>IFERROR((s_DL/(up_RadSpec!M13*(1/8760)*s_DFA_rec_adj)),".")</f>
        <v>39.81818181818182</v>
      </c>
      <c r="AT13" s="2">
        <f>IFERROR(BG13/(up_RadSpec!AI13*s_Q_w_game*(1/1000)),".")</f>
        <v>1.8181818181818181</v>
      </c>
      <c r="AU13" s="2">
        <f>IFERROR(BG13/(up_RadSpec!AL13*s_Q_w_fowl*(1/1000)),".")</f>
        <v>1.8181818181818181</v>
      </c>
      <c r="AV13" s="233">
        <f t="shared" si="5"/>
        <v>440</v>
      </c>
      <c r="AW13" s="233">
        <f t="shared" si="5"/>
        <v>2.5114155251141551E-2</v>
      </c>
      <c r="AX13" s="233">
        <f t="shared" si="5"/>
        <v>0.55000000000000004</v>
      </c>
      <c r="AY13" s="233">
        <f t="shared" si="5"/>
        <v>0.55000000000000004</v>
      </c>
      <c r="AZ13" s="2">
        <f t="shared" si="12"/>
        <v>2.2669305553255272E-3</v>
      </c>
      <c r="BA13" s="189">
        <f>AZ13*(0.0000000000000028)*up_RadSpec!$AY13*up_RadSpec!$AF13</f>
        <v>7.5216755825700997E-15</v>
      </c>
      <c r="BB13" s="40">
        <f t="shared" si="6"/>
        <v>2200</v>
      </c>
      <c r="BC13" s="40">
        <f t="shared" si="7"/>
        <v>0.12557077625570776</v>
      </c>
      <c r="BD13" s="19">
        <f>IFERROR(s_C*up_RadSpec!AI13*s_Q_w_game*(1/1000)*s_EF_rec*1*s_IRGL_rec*s_CF_game,".")</f>
        <v>2.75</v>
      </c>
      <c r="BE13" s="19">
        <f>IFERROR(s_C*up_RadSpec!AL13*s_Q_w_fowl*(1/1000)*s_EF_rec*1*s_IRGL_rec*s_CF_fowl,0)</f>
        <v>2.75</v>
      </c>
      <c r="BF13" s="18"/>
      <c r="BG13" s="2">
        <f>IFERROR(s_DL/(up_RadSpec!F13*s_EF_rec*1*s_IRGL_rec*s_CF_game),".")</f>
        <v>1.8181818181818181E-2</v>
      </c>
      <c r="BH13" s="2">
        <f>IFERROR(s_DL/(up_RadSpec!F13*s_EF_rec*1*s_IRGF_rec*s_CF_fowl),".")</f>
        <v>1.8181818181818181E-2</v>
      </c>
      <c r="BI13" s="189">
        <f>IFERROR(BG13*(0.0000000000028)*up_RadSpec!$AY13*up_RadSpec!$AF13,0)</f>
        <v>6.0327272727272732E-11</v>
      </c>
      <c r="BJ13" s="189">
        <f>IFERROR(BH13*(0.0000000000028)*up_RadSpec!$AY13*up_RadSpec!$AF13,0)</f>
        <v>6.0327272727272732E-11</v>
      </c>
      <c r="BK13" s="19">
        <f t="shared" si="8"/>
        <v>275</v>
      </c>
      <c r="BL13" s="19">
        <f t="shared" si="9"/>
        <v>275</v>
      </c>
    </row>
    <row r="14" spans="1:64" customFormat="1" x14ac:dyDescent="0.25">
      <c r="A14" s="44" t="s">
        <v>12</v>
      </c>
      <c r="B14" s="42" t="s">
        <v>1057</v>
      </c>
      <c r="C14" s="42"/>
      <c r="D14" s="15">
        <f>IFERROR(((s_DL/(up_RadSpec!E14*s_IFS_rec_adj*(1/1000)))*1),".")</f>
        <v>0.33057851239669422</v>
      </c>
      <c r="E14" s="15">
        <f>IFERROR(IF(A14="H-3",(s_DL/((up_RadSpec!H14*s_IFA_rec_adj*(1/17)*1000))*1),(s_DL/((up_RadSpec!H14*s_IFA_rec_adj*(1/s_PEF_wind)*1000))*1)),".")</f>
        <v>3089.9917851942919</v>
      </c>
      <c r="F14" s="2">
        <f>IFERROR((s_DL/(up_RadSpec!G14*s_EF_rec*(1/365)*1*up_RadSpec!R14*s_ET_rec*(1/24)*up_RadSpec!W14)),".")</f>
        <v>822.50179434746656</v>
      </c>
      <c r="G14" s="2">
        <f>IFERROR((BG14/(up_RadSpec!AI14*((s_Q_p_game*s_f_p_game*s_f_s_game*(up_RadSpec!BD14+s_R_es_past))+(s_Q_s_game*s_f_p_game)))),".")</f>
        <v>7.5757575757575758E-5</v>
      </c>
      <c r="H14" s="2">
        <f>IFERROR((BG14/(up_RadSpec!AL14*((s_Q_p_fowl*s_f_p_fowl*s_f_s_fowl*(up_RadSpec!BD14+s_R_es_past))+(s_Q_s_fowl*s_f_p_fowl)))),".")</f>
        <v>7.5757575757575758E-5</v>
      </c>
      <c r="I14" s="233">
        <f t="shared" si="10"/>
        <v>3.0249999999999999</v>
      </c>
      <c r="J14" s="233">
        <f t="shared" si="0"/>
        <v>3.236254558317935E-4</v>
      </c>
      <c r="K14" s="233">
        <f t="shared" si="0"/>
        <v>1.2158028187565864E-3</v>
      </c>
      <c r="L14" s="233">
        <f t="shared" si="0"/>
        <v>13200</v>
      </c>
      <c r="M14" s="233">
        <f t="shared" si="0"/>
        <v>13200</v>
      </c>
      <c r="N14" s="2">
        <f t="shared" si="11"/>
        <v>3.7874445890007192E-5</v>
      </c>
      <c r="O14" s="189">
        <f>IFERROR(N14*(0.0000000000028)*up_RadSpec!$AY14*up_RadSpec!$AF14,0)</f>
        <v>1.2354644249320347E-13</v>
      </c>
      <c r="P14" s="40">
        <f t="shared" si="1"/>
        <v>15.125</v>
      </c>
      <c r="Q14" s="40">
        <f t="shared" si="2"/>
        <v>1.6181272791589674E-3</v>
      </c>
      <c r="R14" s="40">
        <f>IFERROR((s_C*s_EF_rec*(1/365)*1*up_RadSpec!R14*s_ET_rec*(1/24)*up_RadSpec!W14),".")</f>
        <v>6.0790140937829317E-3</v>
      </c>
      <c r="S14" s="19">
        <f>IFERROR((s_C*s_IRGL_rec*s_EF_rec*1*s_CF_game*up_RadSpec!AI14)*((s_Q_p_game*s_f_p_game*s_f_s_game*(up_RadSpec!BD14+s_R_es_past))+(s_Q_s_game*s_f_p_game)),".")</f>
        <v>66000</v>
      </c>
      <c r="T14" s="19">
        <f>IFERROR((s_C*s_IRGF_rec*s_EF_rec*1*s_CF_fowl*up_RadSpec!AL14)*((s_Q_p_fowl*s_f_p_fowl*s_f_s_fowl*(up_RadSpec!BD14+s_R_es_past))+(s_Q_s_fowl*s_f_p_fowl)),0)</f>
        <v>66000</v>
      </c>
      <c r="U14" s="18"/>
      <c r="V14" s="15">
        <f>IFERROR((s_DL/(up_RadSpec!G14*s_EF_rec*(1/365)*1*up_RadSpec!R14*s_ET_rec*(1/24)*up_RadSpec!W14)),".")</f>
        <v>822.50179434746656</v>
      </c>
      <c r="W14" s="15">
        <f>IFERROR((s_DL/(up_RadSpec!N14*s_EF_rec*(1/365)*1*up_RadSpec!S14*s_ET_rec*(1/24)*up_RadSpec!X14)),".")</f>
        <v>1493.7483186060476</v>
      </c>
      <c r="X14" s="15">
        <f>IFERROR((s_DL/(up_RadSpec!O14*s_EF_rec*(1/365)*1*up_RadSpec!T14*s_ET_rec*(1/24)*up_RadSpec!Y14)),".")</f>
        <v>1104.3933455751369</v>
      </c>
      <c r="Y14" s="15">
        <f>IFERROR((s_DL/(up_RadSpec!P14*s_EF_rec*(1/365)*1*up_RadSpec!U14*s_ET_rec*(1/24)*up_RadSpec!Z14)),".")</f>
        <v>967.77614763226291</v>
      </c>
      <c r="Z14" s="15">
        <f>IFERROR((s_DL/(up_RadSpec!L14*s_EF_rec*(1/365)*1*up_RadSpec!Q14*s_ET_rec*(1/24)*up_RadSpec!V14)),".")</f>
        <v>4167.9600886917979</v>
      </c>
      <c r="AA14" s="189">
        <f>IFERROR(V14*(0.0000000000028)*up_RadSpec!$AY14*up_RadSpec!$AF14,0)</f>
        <v>2.6830008531614364E-6</v>
      </c>
      <c r="AB14" s="189">
        <f>IFERROR(W14*(0.0000000000028)*up_RadSpec!$AY14*up_RadSpec!$AF14,0)</f>
        <v>4.8726070152929272E-6</v>
      </c>
      <c r="AC14" s="189">
        <f>IFERROR(X14*(0.0000000000028)*up_RadSpec!$AY14*up_RadSpec!$AF14,0)</f>
        <v>3.6025310932660969E-6</v>
      </c>
      <c r="AD14" s="189">
        <f>IFERROR(Y14*(0.0000000000028)*up_RadSpec!$AY14*up_RadSpec!$AF14,0)</f>
        <v>3.1568857935764422E-6</v>
      </c>
      <c r="AE14" s="189">
        <f>IFERROR(Z14*(0.0000000000028)*up_RadSpec!$AY14*up_RadSpec!$AF14,0)</f>
        <v>1.3595885809312644E-5</v>
      </c>
      <c r="AF14" s="40">
        <f>IFERROR((s_C*s_EF_rec*(1/365)*1*up_RadSpec!R14*s_ET_rec*(1/24)*up_RadSpec!W14),".")</f>
        <v>6.0790140937829317E-3</v>
      </c>
      <c r="AG14" s="40">
        <f>IFERROR((s_C*s_EF_rec*(1/365)*1*up_RadSpec!S14*s_ET_rec*(1/24)*up_RadSpec!X14),".")</f>
        <v>3.3472841024958975E-3</v>
      </c>
      <c r="AH14" s="40">
        <f>IFERROR((s_C*s_EF_rec*(1/365)*1*up_RadSpec!T14*s_ET_rec*(1/24)*up_RadSpec!Y14),".")</f>
        <v>4.5273724439150263E-3</v>
      </c>
      <c r="AI14" s="40">
        <f>IFERROR((s_C*s_EF_rec*(1/365)*1*up_RadSpec!U14*s_ET_rec*(1/24)*up_RadSpec!Z14),".")</f>
        <v>5.1664840182648391E-3</v>
      </c>
      <c r="AJ14" s="40">
        <f>IFERROR((s_C*s_EF_rec*(1/365)*1*up_RadSpec!Q14*s_ET_rec*(1/24)*up_RadSpec!V14),".")</f>
        <v>1.1996276100545279E-3</v>
      </c>
      <c r="AK14" s="15">
        <f>IFERROR((s_DL/(up_RadSpec!H14*s_IFA_rec_adj)),".")</f>
        <v>9.9740259740259754E-3</v>
      </c>
      <c r="AL14" s="15">
        <f>IFERROR((s_DL/(up_RadSpec!K14*s_EF_rec*(1/365)*1*s_ET_rec*(1/24)*s_GSF_a)),".")</f>
        <v>63.709090909090911</v>
      </c>
      <c r="AM14" s="15">
        <f t="shared" si="13"/>
        <v>9.9724647271019675E-3</v>
      </c>
      <c r="AN14" s="189">
        <f>AM14*(0.0000000000000028)*up_RadSpec!$AY14*up_RadSpec!$AF14</f>
        <v>3.2530179939806619E-14</v>
      </c>
      <c r="AO14" s="40">
        <f t="shared" si="3"/>
        <v>501.30208333333326</v>
      </c>
      <c r="AP14" s="40">
        <f t="shared" si="4"/>
        <v>7.8481735159817351E-2</v>
      </c>
      <c r="AQ14" s="45"/>
      <c r="AR14" s="15">
        <f>IFERROR((s_DL/(up_RadSpec!I14*s_IFW_rec_adj)),".")</f>
        <v>2.2727272727272726E-3</v>
      </c>
      <c r="AS14" s="15">
        <f>IFERROR((s_DL/(up_RadSpec!M14*(1/8760)*s_DFA_rec_adj)),".")</f>
        <v>39.81818181818182</v>
      </c>
      <c r="AT14" s="2">
        <f>IFERROR(BG14/(up_RadSpec!AI14*s_Q_w_game*(1/1000)),".")</f>
        <v>1.8181818181818181</v>
      </c>
      <c r="AU14" s="2">
        <f>IFERROR(BG14/(up_RadSpec!AL14*s_Q_w_fowl*(1/1000)),".")</f>
        <v>1.8181818181818181</v>
      </c>
      <c r="AV14" s="233">
        <f t="shared" si="5"/>
        <v>440</v>
      </c>
      <c r="AW14" s="233">
        <f t="shared" si="5"/>
        <v>2.5114155251141551E-2</v>
      </c>
      <c r="AX14" s="233">
        <f t="shared" si="5"/>
        <v>0.55000000000000004</v>
      </c>
      <c r="AY14" s="233">
        <f t="shared" si="5"/>
        <v>0.55000000000000004</v>
      </c>
      <c r="AZ14" s="2">
        <f t="shared" si="12"/>
        <v>2.2669305553255272E-3</v>
      </c>
      <c r="BA14" s="189">
        <f>AZ14*(0.0000000000000028)*up_RadSpec!$AY14*up_RadSpec!$AF14</f>
        <v>7.3947274714718691E-15</v>
      </c>
      <c r="BB14" s="40">
        <f t="shared" si="6"/>
        <v>2200</v>
      </c>
      <c r="BC14" s="40">
        <f t="shared" si="7"/>
        <v>0.12557077625570776</v>
      </c>
      <c r="BD14" s="19">
        <f>IFERROR(s_C*up_RadSpec!AI14*s_Q_w_game*(1/1000)*s_EF_rec*1*s_IRGL_rec*s_CF_game,".")</f>
        <v>2.75</v>
      </c>
      <c r="BE14" s="19">
        <f>IFERROR(s_C*up_RadSpec!AL14*s_Q_w_fowl*(1/1000)*s_EF_rec*1*s_IRGL_rec*s_CF_fowl,0)</f>
        <v>2.75</v>
      </c>
      <c r="BF14" s="18"/>
      <c r="BG14" s="2">
        <f>IFERROR(s_DL/(up_RadSpec!F14*s_EF_rec*1*s_IRGL_rec*s_CF_game),".")</f>
        <v>1.8181818181818181E-2</v>
      </c>
      <c r="BH14" s="2">
        <f>IFERROR(s_DL/(up_RadSpec!F14*s_EF_rec*1*s_IRGF_rec*s_CF_fowl),".")</f>
        <v>1.8181818181818181E-2</v>
      </c>
      <c r="BI14" s="189">
        <f>IFERROR(BG14*(0.0000000000028)*up_RadSpec!$AY14*up_RadSpec!$AF14,0)</f>
        <v>5.9309090909090911E-11</v>
      </c>
      <c r="BJ14" s="189">
        <f>IFERROR(BH14*(0.0000000000028)*up_RadSpec!$AY14*up_RadSpec!$AF14,0)</f>
        <v>5.9309090909090911E-11</v>
      </c>
      <c r="BK14" s="19">
        <f t="shared" si="8"/>
        <v>275</v>
      </c>
      <c r="BL14" s="19">
        <f t="shared" si="9"/>
        <v>275</v>
      </c>
    </row>
    <row r="15" spans="1:64" customFormat="1" x14ac:dyDescent="0.25">
      <c r="A15" s="44" t="s">
        <v>13</v>
      </c>
      <c r="B15" s="42" t="s">
        <v>1057</v>
      </c>
      <c r="C15" s="42"/>
      <c r="D15" s="15">
        <f>IFERROR(((s_DL/(up_RadSpec!E15*s_IFS_rec_adj*(1/1000)))*1),".")</f>
        <v>0.33057851239669422</v>
      </c>
      <c r="E15" s="15">
        <f>IFERROR(IF(A15="H-3",(s_DL/((up_RadSpec!H15*s_IFA_rec_adj*(1/17)*1000))*1),(s_DL/((up_RadSpec!H15*s_IFA_rec_adj*(1/s_PEF_wind)*1000))*1)),".")</f>
        <v>3089.9917851942919</v>
      </c>
      <c r="F15" s="2" t="str">
        <f>IFERROR((s_DL/(up_RadSpec!G15*s_EF_rec*(1/365)*1*up_RadSpec!R15*s_ET_rec*(1/24)*up_RadSpec!W15)),".")</f>
        <v>.</v>
      </c>
      <c r="G15" s="2">
        <f>IFERROR((BG15/(up_RadSpec!AI15*((s_Q_p_game*s_f_p_game*s_f_s_game*(up_RadSpec!BD15+s_R_es_past))+(s_Q_s_game*s_f_p_game)))),".")</f>
        <v>7.5757575757575758E-5</v>
      </c>
      <c r="H15" s="2">
        <f>IFERROR((BG15/(up_RadSpec!AL15*((s_Q_p_fowl*s_f_p_fowl*s_f_s_fowl*(up_RadSpec!BD15+s_R_es_past))+(s_Q_s_fowl*s_f_p_fowl)))),".")</f>
        <v>7.5757575757575758E-5</v>
      </c>
      <c r="I15" s="233">
        <f t="shared" si="10"/>
        <v>3.0249999999999999</v>
      </c>
      <c r="J15" s="233">
        <f t="shared" si="0"/>
        <v>3.236254558317935E-4</v>
      </c>
      <c r="K15" s="233">
        <f t="shared" si="0"/>
        <v>0</v>
      </c>
      <c r="L15" s="233">
        <f t="shared" si="0"/>
        <v>13200</v>
      </c>
      <c r="M15" s="233">
        <f t="shared" si="0"/>
        <v>13200</v>
      </c>
      <c r="N15" s="2">
        <f t="shared" si="11"/>
        <v>3.7874447634044378E-5</v>
      </c>
      <c r="O15" s="189">
        <f>IFERROR(N15*(0.0000000000028)*up_RadSpec!$AY15*up_RadSpec!$AF15,0)</f>
        <v>1.1082063377721385E-13</v>
      </c>
      <c r="P15" s="40">
        <f t="shared" si="1"/>
        <v>15.125</v>
      </c>
      <c r="Q15" s="40">
        <f t="shared" si="2"/>
        <v>1.6181272791589674E-3</v>
      </c>
      <c r="R15" s="40">
        <f>IFERROR((s_C*s_EF_rec*(1/365)*1*up_RadSpec!R15*s_ET_rec*(1/24)*up_RadSpec!W15),".")</f>
        <v>0</v>
      </c>
      <c r="S15" s="19">
        <f>IFERROR((s_C*s_IRGL_rec*s_EF_rec*1*s_CF_game*up_RadSpec!AI15)*((s_Q_p_game*s_f_p_game*s_f_s_game*(up_RadSpec!BD15+s_R_es_past))+(s_Q_s_game*s_f_p_game)),".")</f>
        <v>66000</v>
      </c>
      <c r="T15" s="19">
        <f>IFERROR((s_C*s_IRGF_rec*s_EF_rec*1*s_CF_fowl*up_RadSpec!AL15)*((s_Q_p_fowl*s_f_p_fowl*s_f_s_fowl*(up_RadSpec!BD15+s_R_es_past))+(s_Q_s_fowl*s_f_p_fowl)),0)</f>
        <v>66000</v>
      </c>
      <c r="U15" s="18"/>
      <c r="V15" s="15" t="str">
        <f>IFERROR((s_DL/(up_RadSpec!G15*s_EF_rec*(1/365)*1*up_RadSpec!R15*s_ET_rec*(1/24)*up_RadSpec!W15)),".")</f>
        <v>.</v>
      </c>
      <c r="W15" s="15" t="str">
        <f>IFERROR((s_DL/(up_RadSpec!N15*s_EF_rec*(1/365)*1*up_RadSpec!S15*s_ET_rec*(1/24)*up_RadSpec!X15)),".")</f>
        <v>.</v>
      </c>
      <c r="X15" s="15" t="str">
        <f>IFERROR((s_DL/(up_RadSpec!O15*s_EF_rec*(1/365)*1*up_RadSpec!T15*s_ET_rec*(1/24)*up_RadSpec!Y15)),".")</f>
        <v>.</v>
      </c>
      <c r="Y15" s="15" t="str">
        <f>IFERROR((s_DL/(up_RadSpec!P15*s_EF_rec*(1/365)*1*up_RadSpec!U15*s_ET_rec*(1/24)*up_RadSpec!Z15)),".")</f>
        <v>.</v>
      </c>
      <c r="Z15" s="15" t="str">
        <f>IFERROR((s_DL/(up_RadSpec!L15*s_EF_rec*(1/365)*1*up_RadSpec!Q15*s_ET_rec*(1/24)*up_RadSpec!V15)),".")</f>
        <v>.</v>
      </c>
      <c r="AA15" s="189">
        <f>IFERROR(V15*(0.0000000000028)*up_RadSpec!$AY15*up_RadSpec!$AF15,0)</f>
        <v>0</v>
      </c>
      <c r="AB15" s="189">
        <f>IFERROR(W15*(0.0000000000028)*up_RadSpec!$AY15*up_RadSpec!$AF15,0)</f>
        <v>0</v>
      </c>
      <c r="AC15" s="189">
        <f>IFERROR(X15*(0.0000000000028)*up_RadSpec!$AY15*up_RadSpec!$AF15,0)</f>
        <v>0</v>
      </c>
      <c r="AD15" s="189">
        <f>IFERROR(Y15*(0.0000000000028)*up_RadSpec!$AY15*up_RadSpec!$AF15,0)</f>
        <v>0</v>
      </c>
      <c r="AE15" s="189">
        <f>IFERROR(Z15*(0.0000000000028)*up_RadSpec!$AY15*up_RadSpec!$AF15,0)</f>
        <v>0</v>
      </c>
      <c r="AF15" s="40">
        <f>IFERROR((s_C*s_EF_rec*(1/365)*1*up_RadSpec!R15*s_ET_rec*(1/24)*up_RadSpec!W15),".")</f>
        <v>0</v>
      </c>
      <c r="AG15" s="40">
        <f>IFERROR((s_C*s_EF_rec*(1/365)*1*up_RadSpec!S15*s_ET_rec*(1/24)*up_RadSpec!X15),".")</f>
        <v>0</v>
      </c>
      <c r="AH15" s="40">
        <f>IFERROR((s_C*s_EF_rec*(1/365)*1*up_RadSpec!T15*s_ET_rec*(1/24)*up_RadSpec!Y15),".")</f>
        <v>0</v>
      </c>
      <c r="AI15" s="40">
        <f>IFERROR((s_C*s_EF_rec*(1/365)*1*up_RadSpec!U15*s_ET_rec*(1/24)*up_RadSpec!Z15),".")</f>
        <v>0</v>
      </c>
      <c r="AJ15" s="40">
        <f>IFERROR((s_C*s_EF_rec*(1/365)*1*up_RadSpec!Q15*s_ET_rec*(1/24)*up_RadSpec!V15),".")</f>
        <v>0</v>
      </c>
      <c r="AK15" s="15">
        <f>IFERROR((s_DL/(up_RadSpec!H15*s_IFA_rec_adj)),".")</f>
        <v>9.9740259740259754E-3</v>
      </c>
      <c r="AL15" s="15">
        <f>IFERROR((s_DL/(up_RadSpec!K15*s_EF_rec*(1/365)*1*s_ET_rec*(1/24)*s_GSF_a)),".")</f>
        <v>63.709090909090911</v>
      </c>
      <c r="AM15" s="15">
        <f t="shared" si="13"/>
        <v>9.9724647271019675E-3</v>
      </c>
      <c r="AN15" s="189">
        <f>AM15*(0.0000000000000028)*up_RadSpec!$AY15*up_RadSpec!$AF15</f>
        <v>2.9179431791500361E-14</v>
      </c>
      <c r="AO15" s="40">
        <f t="shared" si="3"/>
        <v>501.30208333333326</v>
      </c>
      <c r="AP15" s="40">
        <f t="shared" si="4"/>
        <v>7.8481735159817351E-2</v>
      </c>
      <c r="AQ15" s="45"/>
      <c r="AR15" s="15">
        <f>IFERROR((s_DL/(up_RadSpec!I15*s_IFW_rec_adj)),".")</f>
        <v>2.2727272727272726E-3</v>
      </c>
      <c r="AS15" s="15">
        <f>IFERROR((s_DL/(up_RadSpec!M15*(1/8760)*s_DFA_rec_adj)),".")</f>
        <v>39.81818181818182</v>
      </c>
      <c r="AT15" s="2">
        <f>IFERROR(BG15/(up_RadSpec!AI15*s_Q_w_game*(1/1000)),".")</f>
        <v>1.8181818181818181</v>
      </c>
      <c r="AU15" s="2">
        <f>IFERROR(BG15/(up_RadSpec!AL15*s_Q_w_fowl*(1/1000)),".")</f>
        <v>1.8181818181818181</v>
      </c>
      <c r="AV15" s="233">
        <f t="shared" si="5"/>
        <v>440</v>
      </c>
      <c r="AW15" s="233">
        <f t="shared" si="5"/>
        <v>2.5114155251141551E-2</v>
      </c>
      <c r="AX15" s="233">
        <f t="shared" si="5"/>
        <v>0.55000000000000004</v>
      </c>
      <c r="AY15" s="233">
        <f t="shared" si="5"/>
        <v>0.55000000000000004</v>
      </c>
      <c r="AZ15" s="2">
        <f t="shared" si="12"/>
        <v>2.2669305553255272E-3</v>
      </c>
      <c r="BA15" s="189">
        <f>AZ15*(0.0000000000000028)*up_RadSpec!$AY15*up_RadSpec!$AF15</f>
        <v>6.6330388048824925E-15</v>
      </c>
      <c r="BB15" s="40">
        <f t="shared" si="6"/>
        <v>2200</v>
      </c>
      <c r="BC15" s="40">
        <f t="shared" si="7"/>
        <v>0.12557077625570776</v>
      </c>
      <c r="BD15" s="19">
        <f>IFERROR(s_C*up_RadSpec!AI15*s_Q_w_game*(1/1000)*s_EF_rec*1*s_IRGL_rec*s_CF_game,".")</f>
        <v>2.75</v>
      </c>
      <c r="BE15" s="19">
        <f>IFERROR(s_C*up_RadSpec!AL15*s_Q_w_fowl*(1/1000)*s_EF_rec*1*s_IRGL_rec*s_CF_fowl,0)</f>
        <v>2.75</v>
      </c>
      <c r="BF15" s="18"/>
      <c r="BG15" s="2">
        <f>IFERROR(s_DL/(up_RadSpec!F15*s_EF_rec*1*s_IRGL_rec*s_CF_game),".")</f>
        <v>1.8181818181818181E-2</v>
      </c>
      <c r="BH15" s="2">
        <f>IFERROR(s_DL/(up_RadSpec!F15*s_EF_rec*1*s_IRGF_rec*s_CF_fowl),".")</f>
        <v>1.8181818181818181E-2</v>
      </c>
      <c r="BI15" s="189">
        <f>IFERROR(BG15*(0.0000000000028)*up_RadSpec!$AY15*up_RadSpec!$AF15,0)</f>
        <v>5.3200000000000008E-11</v>
      </c>
      <c r="BJ15" s="189">
        <f>IFERROR(BH15*(0.0000000000028)*up_RadSpec!$AY15*up_RadSpec!$AF15,0)</f>
        <v>5.3200000000000008E-11</v>
      </c>
      <c r="BK15" s="19">
        <f t="shared" si="8"/>
        <v>275</v>
      </c>
      <c r="BL15" s="19">
        <f t="shared" si="9"/>
        <v>275</v>
      </c>
    </row>
    <row r="16" spans="1:64" customFormat="1" x14ac:dyDescent="0.25">
      <c r="A16" s="44" t="s">
        <v>14</v>
      </c>
      <c r="B16" s="42" t="s">
        <v>1057</v>
      </c>
      <c r="C16" s="238"/>
      <c r="D16" s="15">
        <f>IFERROR(((s_DL/(up_RadSpec!E16*s_IFS_rec_adj*(1/1000)))*1),".")</f>
        <v>0.33057851239669422</v>
      </c>
      <c r="E16" s="15">
        <f>IFERROR(IF(A16="H-3",(s_DL/((up_RadSpec!H16*s_IFA_rec_adj*(1/17)*1000))*1),(s_DL/((up_RadSpec!H16*s_IFA_rec_adj*(1/s_PEF_wind)*1000))*1)),".")</f>
        <v>3089.9917851942919</v>
      </c>
      <c r="F16" s="2">
        <f>IFERROR((s_DL/(up_RadSpec!G16*s_EF_rec*(1/365)*1*up_RadSpec!R16*s_ET_rec*(1/24)*up_RadSpec!W16)),".")</f>
        <v>7649462.0302510569</v>
      </c>
      <c r="G16" s="2">
        <f>IFERROR((BG16/(up_RadSpec!AI16*((s_Q_p_game*s_f_p_game*s_f_s_game*(up_RadSpec!BD16+s_R_es_past))+(s_Q_s_game*s_f_p_game)))),".")</f>
        <v>7.5757575757575758E-5</v>
      </c>
      <c r="H16" s="2">
        <f>IFERROR((BG16/(up_RadSpec!AL16*((s_Q_p_fowl*s_f_p_fowl*s_f_s_fowl*(up_RadSpec!BD16+s_R_es_past))+(s_Q_s_fowl*s_f_p_fowl)))),".")</f>
        <v>7.5757575757575758E-5</v>
      </c>
      <c r="I16" s="233">
        <f t="shared" si="10"/>
        <v>3.0249999999999999</v>
      </c>
      <c r="J16" s="233">
        <f t="shared" si="0"/>
        <v>3.236254558317935E-4</v>
      </c>
      <c r="K16" s="233">
        <f t="shared" si="0"/>
        <v>1.3072814742335282E-7</v>
      </c>
      <c r="L16" s="233">
        <f t="shared" si="0"/>
        <v>13200</v>
      </c>
      <c r="M16" s="233">
        <f t="shared" si="0"/>
        <v>13200</v>
      </c>
      <c r="N16" s="2">
        <f t="shared" si="11"/>
        <v>3.7874447633856851E-5</v>
      </c>
      <c r="O16" s="189">
        <f>IFERROR(N16*(0.0000000000028)*up_RadSpec!$AY16*up_RadSpec!$AF16,0)</f>
        <v>1.1135087604353916E-13</v>
      </c>
      <c r="P16" s="40">
        <f t="shared" si="1"/>
        <v>15.125</v>
      </c>
      <c r="Q16" s="40">
        <f t="shared" si="2"/>
        <v>1.6181272791589674E-3</v>
      </c>
      <c r="R16" s="40">
        <f>IFERROR((s_C*s_EF_rec*(1/365)*1*up_RadSpec!R16*s_ET_rec*(1/24)*up_RadSpec!W16),".")</f>
        <v>6.5364073711676418E-7</v>
      </c>
      <c r="S16" s="19">
        <f>IFERROR((s_C*s_IRGL_rec*s_EF_rec*1*s_CF_game*up_RadSpec!AI16)*((s_Q_p_game*s_f_p_game*s_f_s_game*(up_RadSpec!BD16+s_R_es_past))+(s_Q_s_game*s_f_p_game)),".")</f>
        <v>66000</v>
      </c>
      <c r="T16" s="19">
        <f>IFERROR((s_C*s_IRGF_rec*s_EF_rec*1*s_CF_fowl*up_RadSpec!AL16)*((s_Q_p_fowl*s_f_p_fowl*s_f_s_fowl*(up_RadSpec!BD16+s_R_es_past))+(s_Q_s_fowl*s_f_p_fowl)),0)</f>
        <v>66000</v>
      </c>
      <c r="U16" s="18"/>
      <c r="V16" s="15">
        <f>IFERROR((s_DL/(up_RadSpec!G16*s_EF_rec*(1/365)*1*up_RadSpec!R16*s_ET_rec*(1/24)*up_RadSpec!W16)),".")</f>
        <v>7649462.0302510569</v>
      </c>
      <c r="W16" s="15">
        <f>IFERROR((s_DL/(up_RadSpec!N16*s_EF_rec*(1/365)*1*up_RadSpec!S16*s_ET_rec*(1/24)*up_RadSpec!X16)),".")</f>
        <v>13623429.416112348</v>
      </c>
      <c r="X16" s="15">
        <f>IFERROR((s_DL/(up_RadSpec!O16*s_EF_rec*(1/365)*1*up_RadSpec!T16*s_ET_rec*(1/24)*up_RadSpec!Y16)),".")</f>
        <v>8184138.0561977783</v>
      </c>
      <c r="Y16" s="15">
        <f>IFERROR((s_DL/(up_RadSpec!P16*s_EF_rec*(1/365)*1*up_RadSpec!U16*s_ET_rec*(1/24)*up_RadSpec!Z16)),".")</f>
        <v>8226424.938046176</v>
      </c>
      <c r="Z16" s="15">
        <f>IFERROR((s_DL/(up_RadSpec!L16*s_EF_rec*(1/365)*1*up_RadSpec!Q16*s_ET_rec*(1/24)*up_RadSpec!V16)),".")</f>
        <v>318545454.54545456</v>
      </c>
      <c r="AA16" s="189">
        <f>IFERROR(V16*(0.0000000000028)*up_RadSpec!$AY16*up_RadSpec!$AF16,0)</f>
        <v>2.2489418368938113E-2</v>
      </c>
      <c r="AB16" s="189">
        <f>IFERROR(W16*(0.0000000000028)*up_RadSpec!$AY16*up_RadSpec!$AF16,0)</f>
        <v>4.0052882483370307E-2</v>
      </c>
      <c r="AC16" s="189">
        <f>IFERROR(X16*(0.0000000000028)*up_RadSpec!$AY16*up_RadSpec!$AF16,0)</f>
        <v>2.406136588522147E-2</v>
      </c>
      <c r="AD16" s="189">
        <f>IFERROR(Y16*(0.0000000000028)*up_RadSpec!$AY16*up_RadSpec!$AF16,0)</f>
        <v>2.4185689317855759E-2</v>
      </c>
      <c r="AE16" s="189">
        <f>IFERROR(Z16*(0.0000000000028)*up_RadSpec!$AY16*up_RadSpec!$AF16,0)</f>
        <v>0.93652363636363656</v>
      </c>
      <c r="AF16" s="40">
        <f>IFERROR((s_C*s_EF_rec*(1/365)*1*up_RadSpec!R16*s_ET_rec*(1/24)*up_RadSpec!W16),".")</f>
        <v>6.5364073711676418E-7</v>
      </c>
      <c r="AG16" s="40">
        <f>IFERROR((s_C*s_EF_rec*(1/365)*1*up_RadSpec!S16*s_ET_rec*(1/24)*up_RadSpec!X16),".")</f>
        <v>3.6701478367014768E-7</v>
      </c>
      <c r="AH16" s="40">
        <f>IFERROR((s_C*s_EF_rec*(1/365)*1*up_RadSpec!T16*s_ET_rec*(1/24)*up_RadSpec!Y16),".")</f>
        <v>6.1093788565963183E-7</v>
      </c>
      <c r="AI16" s="40">
        <f>IFERROR((s_C*s_EF_rec*(1/365)*1*up_RadSpec!U16*s_ET_rec*(1/24)*up_RadSpec!Z16),".")</f>
        <v>6.0779743784880742E-7</v>
      </c>
      <c r="AJ16" s="40">
        <f>IFERROR((s_C*s_EF_rec*(1/365)*1*up_RadSpec!Q16*s_ET_rec*(1/24)*up_RadSpec!V16),".")</f>
        <v>1.5696347031963468E-8</v>
      </c>
      <c r="AK16" s="15">
        <f>IFERROR((s_DL/(up_RadSpec!H16*s_IFA_rec_adj)),".")</f>
        <v>9.9740259740259754E-3</v>
      </c>
      <c r="AL16" s="15">
        <f>IFERROR((s_DL/(up_RadSpec!K16*s_EF_rec*(1/365)*1*s_ET_rec*(1/24)*s_GSF_a)),".")</f>
        <v>63.709090909090911</v>
      </c>
      <c r="AM16" s="15">
        <f t="shared" si="13"/>
        <v>9.9724647271019675E-3</v>
      </c>
      <c r="AN16" s="189">
        <f>AM16*(0.0000000000000028)*up_RadSpec!$AY16*up_RadSpec!$AF16</f>
        <v>2.9319046297679789E-14</v>
      </c>
      <c r="AO16" s="40">
        <f t="shared" si="3"/>
        <v>501.30208333333326</v>
      </c>
      <c r="AP16" s="40">
        <f t="shared" si="4"/>
        <v>7.8481735159817351E-2</v>
      </c>
      <c r="AQ16" s="45"/>
      <c r="AR16" s="15">
        <f>IFERROR((s_DL/(up_RadSpec!I16*s_IFW_rec_adj)),".")</f>
        <v>2.2727272727272726E-3</v>
      </c>
      <c r="AS16" s="15">
        <f>IFERROR((s_DL/(up_RadSpec!M16*(1/8760)*s_DFA_rec_adj)),".")</f>
        <v>39.81818181818182</v>
      </c>
      <c r="AT16" s="2">
        <f>IFERROR(BG16/(up_RadSpec!AI16*s_Q_w_game*(1/1000)),".")</f>
        <v>1.8181818181818181</v>
      </c>
      <c r="AU16" s="2">
        <f>IFERROR(BG16/(up_RadSpec!AL16*s_Q_w_fowl*(1/1000)),".")</f>
        <v>1.8181818181818181</v>
      </c>
      <c r="AV16" s="233">
        <f t="shared" si="5"/>
        <v>440</v>
      </c>
      <c r="AW16" s="233">
        <f t="shared" si="5"/>
        <v>2.5114155251141551E-2</v>
      </c>
      <c r="AX16" s="233">
        <f t="shared" si="5"/>
        <v>0.55000000000000004</v>
      </c>
      <c r="AY16" s="233">
        <f t="shared" si="5"/>
        <v>0.55000000000000004</v>
      </c>
      <c r="AZ16" s="2">
        <f t="shared" si="12"/>
        <v>2.2669305553255272E-3</v>
      </c>
      <c r="BA16" s="189">
        <f>AZ16*(0.0000000000000028)*up_RadSpec!$AY16*up_RadSpec!$AF16</f>
        <v>6.6647758326570493E-15</v>
      </c>
      <c r="BB16" s="40">
        <f t="shared" si="6"/>
        <v>2200</v>
      </c>
      <c r="BC16" s="40">
        <f t="shared" si="7"/>
        <v>0.12557077625570776</v>
      </c>
      <c r="BD16" s="19">
        <f>IFERROR(s_C*up_RadSpec!AI16*s_Q_w_game*(1/1000)*s_EF_rec*1*s_IRGL_rec*s_CF_game,".")</f>
        <v>2.75</v>
      </c>
      <c r="BE16" s="19">
        <f>IFERROR(s_C*up_RadSpec!AL16*s_Q_w_fowl*(1/1000)*s_EF_rec*1*s_IRGL_rec*s_CF_fowl,0)</f>
        <v>2.75</v>
      </c>
      <c r="BF16" s="18"/>
      <c r="BG16" s="2">
        <f>IFERROR(s_DL/(up_RadSpec!F16*s_EF_rec*1*s_IRGL_rec*s_CF_game),".")</f>
        <v>1.8181818181818181E-2</v>
      </c>
      <c r="BH16" s="2">
        <f>IFERROR(s_DL/(up_RadSpec!F16*s_EF_rec*1*s_IRGF_rec*s_CF_fowl),".")</f>
        <v>1.8181818181818181E-2</v>
      </c>
      <c r="BI16" s="189">
        <f>IFERROR(BG16*(0.0000000000028)*up_RadSpec!$AY16*up_RadSpec!$AF16,0)</f>
        <v>5.345454545454546E-11</v>
      </c>
      <c r="BJ16" s="189">
        <f>IFERROR(BH16*(0.0000000000028)*up_RadSpec!$AY16*up_RadSpec!$AF16,0)</f>
        <v>5.345454545454546E-11</v>
      </c>
      <c r="BK16" s="19">
        <f t="shared" si="8"/>
        <v>275</v>
      </c>
      <c r="BL16" s="19">
        <f t="shared" si="9"/>
        <v>275</v>
      </c>
    </row>
    <row r="17" spans="1:64" customFormat="1" x14ac:dyDescent="0.25">
      <c r="A17" s="44" t="s">
        <v>15</v>
      </c>
      <c r="B17" s="42" t="s">
        <v>1057</v>
      </c>
      <c r="C17" s="238"/>
      <c r="D17" s="15">
        <f>IFERROR(((s_DL/(up_RadSpec!E17*s_IFS_rec_adj*(1/1000)))*1),".")</f>
        <v>0.33057851239669422</v>
      </c>
      <c r="E17" s="15">
        <f>IFERROR(IF(A17="H-3",(s_DL/((up_RadSpec!H17*s_IFA_rec_adj*(1/17)*1000))*1),(s_DL/((up_RadSpec!H17*s_IFA_rec_adj*(1/s_PEF_wind)*1000))*1)),".")</f>
        <v>3089.9917851942919</v>
      </c>
      <c r="F17" s="2">
        <f>IFERROR((s_DL/(up_RadSpec!G17*s_EF_rec*(1/365)*1*up_RadSpec!R17*s_ET_rec*(1/24)*up_RadSpec!W17)),".")</f>
        <v>703.28217237308115</v>
      </c>
      <c r="G17" s="2">
        <f>IFERROR((BG17/(up_RadSpec!AI17*((s_Q_p_game*s_f_p_game*s_f_s_game*(up_RadSpec!BD17+s_R_es_past))+(s_Q_s_game*s_f_p_game)))),".")</f>
        <v>7.5757575757575758E-5</v>
      </c>
      <c r="H17" s="2">
        <f>IFERROR((BG17/(up_RadSpec!AL17*((s_Q_p_fowl*s_f_p_fowl*s_f_s_fowl*(up_RadSpec!BD17+s_R_es_past))+(s_Q_s_fowl*s_f_p_fowl)))),".")</f>
        <v>7.5757575757575758E-5</v>
      </c>
      <c r="I17" s="233">
        <f t="shared" si="10"/>
        <v>3.0249999999999999</v>
      </c>
      <c r="J17" s="233">
        <f t="shared" si="0"/>
        <v>3.236254558317935E-4</v>
      </c>
      <c r="K17" s="233">
        <f t="shared" si="0"/>
        <v>1.4219043781896327E-3</v>
      </c>
      <c r="L17" s="233">
        <f t="shared" si="0"/>
        <v>13200</v>
      </c>
      <c r="M17" s="233">
        <f t="shared" si="0"/>
        <v>13200</v>
      </c>
      <c r="N17" s="2">
        <f t="shared" si="11"/>
        <v>3.7874445594359937E-5</v>
      </c>
      <c r="O17" s="189">
        <f>IFERROR(N17*(0.0000000000028)*up_RadSpec!$AY17*up_RadSpec!$AF17,0)</f>
        <v>1.1347183900070238E-13</v>
      </c>
      <c r="P17" s="40">
        <f t="shared" si="1"/>
        <v>15.125</v>
      </c>
      <c r="Q17" s="40">
        <f t="shared" si="2"/>
        <v>1.6181272791589674E-3</v>
      </c>
      <c r="R17" s="40">
        <f>IFERROR((s_C*s_EF_rec*(1/365)*1*up_RadSpec!R17*s_ET_rec*(1/24)*up_RadSpec!W17),".")</f>
        <v>7.1095218909481631E-3</v>
      </c>
      <c r="S17" s="19">
        <f>IFERROR((s_C*s_IRGL_rec*s_EF_rec*1*s_CF_game*up_RadSpec!AI17)*((s_Q_p_game*s_f_p_game*s_f_s_game*(up_RadSpec!BD17+s_R_es_past))+(s_Q_s_game*s_f_p_game)),".")</f>
        <v>66000</v>
      </c>
      <c r="T17" s="19">
        <f>IFERROR((s_C*s_IRGF_rec*s_EF_rec*1*s_CF_fowl*up_RadSpec!AL17)*((s_Q_p_fowl*s_f_p_fowl*s_f_s_fowl*(up_RadSpec!BD17+s_R_es_past))+(s_Q_s_fowl*s_f_p_fowl)),0)</f>
        <v>66000</v>
      </c>
      <c r="U17" s="18"/>
      <c r="V17" s="15">
        <f>IFERROR((s_DL/(up_RadSpec!G17*s_EF_rec*(1/365)*1*up_RadSpec!R17*s_ET_rec*(1/24)*up_RadSpec!W17)),".")</f>
        <v>703.28217237308115</v>
      </c>
      <c r="W17" s="15">
        <f>IFERROR((s_DL/(up_RadSpec!N17*s_EF_rec*(1/365)*1*up_RadSpec!S17*s_ET_rec*(1/24)*up_RadSpec!X17)),".")</f>
        <v>1229.1326763688576</v>
      </c>
      <c r="X17" s="15">
        <f>IFERROR((s_DL/(up_RadSpec!O17*s_EF_rec*(1/365)*1*up_RadSpec!T17*s_ET_rec*(1/24)*up_RadSpec!Y17)),".")</f>
        <v>926.04629075217326</v>
      </c>
      <c r="Y17" s="15">
        <f>IFERROR((s_DL/(up_RadSpec!P17*s_EF_rec*(1/365)*1*up_RadSpec!U17*s_ET_rec*(1/24)*up_RadSpec!Z17)),".")</f>
        <v>823.46950765735755</v>
      </c>
      <c r="Z17" s="15">
        <f>IFERROR((s_DL/(up_RadSpec!L17*s_EF_rec*(1/365)*1*up_RadSpec!Q17*s_ET_rec*(1/24)*up_RadSpec!V17)),".")</f>
        <v>2355.1854998583972</v>
      </c>
      <c r="AA17" s="189">
        <f>IFERROR(V17*(0.0000000000028)*up_RadSpec!$AY17*up_RadSpec!$AF17,0)</f>
        <v>2.1070333884297514E-6</v>
      </c>
      <c r="AB17" s="189">
        <f>IFERROR(W17*(0.0000000000028)*up_RadSpec!$AY17*up_RadSpec!$AF17,0)</f>
        <v>3.6824814984010975E-6</v>
      </c>
      <c r="AC17" s="189">
        <f>IFERROR(X17*(0.0000000000028)*up_RadSpec!$AY17*up_RadSpec!$AF17,0)</f>
        <v>2.7744346870935114E-6</v>
      </c>
      <c r="AD17" s="189">
        <f>IFERROR(Y17*(0.0000000000028)*up_RadSpec!$AY17*up_RadSpec!$AF17,0)</f>
        <v>2.4671146449414435E-6</v>
      </c>
      <c r="AE17" s="189">
        <f>IFERROR(Z17*(0.0000000000028)*up_RadSpec!$AY17*up_RadSpec!$AF17,0)</f>
        <v>7.0561357575757589E-6</v>
      </c>
      <c r="AF17" s="40">
        <f>IFERROR((s_C*s_EF_rec*(1/365)*1*up_RadSpec!R17*s_ET_rec*(1/24)*up_RadSpec!W17),".")</f>
        <v>7.1095218909481631E-3</v>
      </c>
      <c r="AG17" s="40">
        <f>IFERROR((s_C*s_EF_rec*(1/365)*1*up_RadSpec!S17*s_ET_rec*(1/24)*up_RadSpec!X17),".")</f>
        <v>4.0679091005628113E-3</v>
      </c>
      <c r="AH17" s="40">
        <f>IFERROR((s_C*s_EF_rec*(1/365)*1*up_RadSpec!T17*s_ET_rec*(1/24)*up_RadSpec!Y17),".")</f>
        <v>5.3992981235730583E-3</v>
      </c>
      <c r="AI17" s="40">
        <f>IFERROR((s_C*s_EF_rec*(1/365)*1*up_RadSpec!U17*s_ET_rec*(1/24)*up_RadSpec!Z17),".")</f>
        <v>6.0718702435312039E-3</v>
      </c>
      <c r="AJ17" s="40">
        <f>IFERROR((s_C*s_EF_rec*(1/365)*1*up_RadSpec!Q17*s_ET_rec*(1/24)*up_RadSpec!V17),".")</f>
        <v>2.1229750269355085E-3</v>
      </c>
      <c r="AK17" s="15">
        <f>IFERROR((s_DL/(up_RadSpec!H17*s_IFA_rec_adj)),".")</f>
        <v>9.9740259740259754E-3</v>
      </c>
      <c r="AL17" s="15">
        <f>IFERROR((s_DL/(up_RadSpec!K17*s_EF_rec*(1/365)*1*s_ET_rec*(1/24)*s_GSF_a)),".")</f>
        <v>63.709090909090911</v>
      </c>
      <c r="AM17" s="15">
        <f>IFERROR(IF(AND(AK17&lt;&gt;".",AL17&lt;&gt;"."),1/((1/AK17)+(1/AL17)),IF(AND(AK17&lt;&gt;".",AL17="."),1/((1/AK17)),IF(AND(AK17=".",AL17&lt;&gt;"."),1/((1/AL17)),IF(AND(AK17=".",AL17="."),".")))),".")</f>
        <v>9.9724647271019675E-3</v>
      </c>
      <c r="AN17" s="189">
        <f>AM17*(0.0000000000000028)*up_RadSpec!$AY17*up_RadSpec!$AF17</f>
        <v>2.9877504322397496E-14</v>
      </c>
      <c r="AO17" s="40">
        <f t="shared" si="3"/>
        <v>501.30208333333326</v>
      </c>
      <c r="AP17" s="40">
        <f t="shared" si="4"/>
        <v>7.8481735159817351E-2</v>
      </c>
      <c r="AQ17" s="45"/>
      <c r="AR17" s="15">
        <f>IFERROR((s_DL/(up_RadSpec!I17*s_IFW_rec_adj)),".")</f>
        <v>2.2727272727272726E-3</v>
      </c>
      <c r="AS17" s="15">
        <f>IFERROR((s_DL/(up_RadSpec!M17*(1/8760)*s_DFA_rec_adj)),".")</f>
        <v>39.81818181818182</v>
      </c>
      <c r="AT17" s="2">
        <f>IFERROR(BG17/(up_RadSpec!AI17*s_Q_w_game*(1/1000)),".")</f>
        <v>1.8181818181818181</v>
      </c>
      <c r="AU17" s="2">
        <f>IFERROR(BG17/(up_RadSpec!AL17*s_Q_w_fowl*(1/1000)),".")</f>
        <v>1.8181818181818181</v>
      </c>
      <c r="AV17" s="233">
        <f t="shared" si="5"/>
        <v>440</v>
      </c>
      <c r="AW17" s="233">
        <f t="shared" si="5"/>
        <v>2.5114155251141551E-2</v>
      </c>
      <c r="AX17" s="233">
        <f t="shared" si="5"/>
        <v>0.55000000000000004</v>
      </c>
      <c r="AY17" s="233">
        <f t="shared" si="5"/>
        <v>0.55000000000000004</v>
      </c>
      <c r="AZ17" s="2">
        <f t="shared" si="12"/>
        <v>2.2669305553255272E-3</v>
      </c>
      <c r="BA17" s="189">
        <f>AZ17*(0.0000000000000028)*up_RadSpec!$AY17*up_RadSpec!$AF17</f>
        <v>6.79172394375528E-15</v>
      </c>
      <c r="BB17" s="40">
        <f t="shared" si="6"/>
        <v>2200</v>
      </c>
      <c r="BC17" s="40">
        <f t="shared" si="7"/>
        <v>0.12557077625570776</v>
      </c>
      <c r="BD17" s="19">
        <f>IFERROR(s_C*up_RadSpec!AI17*s_Q_w_game*(1/1000)*s_EF_rec*1*s_IRGL_rec*s_CF_game,".")</f>
        <v>2.75</v>
      </c>
      <c r="BE17" s="19">
        <f>IFERROR(s_C*up_RadSpec!AL17*s_Q_w_fowl*(1/1000)*s_EF_rec*1*s_IRGL_rec*s_CF_fowl,0)</f>
        <v>2.75</v>
      </c>
      <c r="BF17" s="18"/>
      <c r="BG17" s="2">
        <f>IFERROR(s_DL/(up_RadSpec!F17*s_EF_rec*1*s_IRGL_rec*s_CF_game),".")</f>
        <v>1.8181818181818181E-2</v>
      </c>
      <c r="BH17" s="2">
        <f>IFERROR(s_DL/(up_RadSpec!F17*s_EF_rec*1*s_IRGF_rec*s_CF_fowl),".")</f>
        <v>1.8181818181818181E-2</v>
      </c>
      <c r="BI17" s="189">
        <f>IFERROR(BG17*(0.0000000000028)*up_RadSpec!$AY17*up_RadSpec!$AF17,0)</f>
        <v>5.4472727272727275E-11</v>
      </c>
      <c r="BJ17" s="189">
        <f>IFERROR(BH17*(0.0000000000028)*up_RadSpec!$AY17*up_RadSpec!$AF17,0)</f>
        <v>5.4472727272727275E-11</v>
      </c>
      <c r="BK17" s="19">
        <f t="shared" si="8"/>
        <v>275</v>
      </c>
      <c r="BL17" s="19">
        <f t="shared" si="9"/>
        <v>275</v>
      </c>
    </row>
    <row r="18" spans="1:64" customFormat="1" x14ac:dyDescent="0.25">
      <c r="A18" s="44" t="s">
        <v>16</v>
      </c>
      <c r="B18" s="42" t="s">
        <v>1057</v>
      </c>
      <c r="C18" s="238"/>
      <c r="D18" s="15">
        <f>IFERROR(((s_DL/(up_RadSpec!E18*s_IFS_rec_adj*(1/1000)))*1),".")</f>
        <v>0.33057851239669422</v>
      </c>
      <c r="E18" s="15">
        <f>IFERROR(IF(A18="H-3",(s_DL/((up_RadSpec!H18*s_IFA_rec_adj*(1/17)*1000))*1),(s_DL/((up_RadSpec!H18*s_IFA_rec_adj*(1/s_PEF_wind)*1000))*1)),".")</f>
        <v>3089.9917851942919</v>
      </c>
      <c r="F18" s="2">
        <f>IFERROR((s_DL/(up_RadSpec!G18*s_EF_rec*(1/365)*1*up_RadSpec!R18*s_ET_rec*(1/24)*up_RadSpec!W18)),".")</f>
        <v>358.19104981705613</v>
      </c>
      <c r="G18" s="2">
        <f>IFERROR((BG18/(up_RadSpec!AI18*((s_Q_p_game*s_f_p_game*s_f_s_game*(up_RadSpec!BD18+s_R_es_past))+(s_Q_s_game*s_f_p_game)))),".")</f>
        <v>7.5757575757575758E-5</v>
      </c>
      <c r="H18" s="2">
        <f>IFERROR((BG18/(up_RadSpec!AL18*((s_Q_p_fowl*s_f_p_fowl*s_f_s_fowl*(up_RadSpec!BD18+s_R_es_past))+(s_Q_s_fowl*s_f_p_fowl)))),".")</f>
        <v>7.5757575757575758E-5</v>
      </c>
      <c r="I18" s="233">
        <f t="shared" si="10"/>
        <v>3.0249999999999999</v>
      </c>
      <c r="J18" s="233">
        <f t="shared" si="10"/>
        <v>3.236254558317935E-4</v>
      </c>
      <c r="K18" s="233">
        <f t="shared" si="10"/>
        <v>2.7918062176895369E-3</v>
      </c>
      <c r="L18" s="233">
        <f t="shared" si="10"/>
        <v>13200</v>
      </c>
      <c r="M18" s="233">
        <f t="shared" si="10"/>
        <v>13200</v>
      </c>
      <c r="N18" s="2">
        <f t="shared" si="11"/>
        <v>3.787444362927198E-5</v>
      </c>
      <c r="O18" s="189">
        <f>IFERROR(N18*(0.0000000000028)*up_RadSpec!$AY18*up_RadSpec!$AF18,0)</f>
        <v>1.1135086427005964E-13</v>
      </c>
      <c r="P18" s="40">
        <f t="shared" si="1"/>
        <v>15.125</v>
      </c>
      <c r="Q18" s="40">
        <f t="shared" si="2"/>
        <v>1.6181272791589674E-3</v>
      </c>
      <c r="R18" s="40">
        <f>IFERROR((s_C*s_EF_rec*(1/365)*1*up_RadSpec!R18*s_ET_rec*(1/24)*up_RadSpec!W18),".")</f>
        <v>1.3959031088447685E-2</v>
      </c>
      <c r="S18" s="19">
        <f>IFERROR((s_C*s_IRGL_rec*s_EF_rec*1*s_CF_game*up_RadSpec!AI18)*((s_Q_p_game*s_f_p_game*s_f_s_game*(up_RadSpec!BD18+s_R_es_past))+(s_Q_s_game*s_f_p_game)),".")</f>
        <v>66000</v>
      </c>
      <c r="T18" s="19">
        <f>IFERROR((s_C*s_IRGF_rec*s_EF_rec*1*s_CF_fowl*up_RadSpec!AL18)*((s_Q_p_fowl*s_f_p_fowl*s_f_s_fowl*(up_RadSpec!BD18+s_R_es_past))+(s_Q_s_fowl*s_f_p_fowl)),0)</f>
        <v>66000</v>
      </c>
      <c r="U18" s="18"/>
      <c r="V18" s="15">
        <f>IFERROR((s_DL/(up_RadSpec!G18*s_EF_rec*(1/365)*1*up_RadSpec!R18*s_ET_rec*(1/24)*up_RadSpec!W18)),".")</f>
        <v>358.19104981705613</v>
      </c>
      <c r="W18" s="15">
        <f>IFERROR((s_DL/(up_RadSpec!N18*s_EF_rec*(1/365)*1*up_RadSpec!S18*s_ET_rec*(1/24)*up_RadSpec!X18)),".")</f>
        <v>708.75611640484192</v>
      </c>
      <c r="X18" s="15">
        <f>IFERROR((s_DL/(up_RadSpec!O18*s_EF_rec*(1/365)*1*up_RadSpec!T18*s_ET_rec*(1/24)*up_RadSpec!Y18)),".")</f>
        <v>496.33877043552508</v>
      </c>
      <c r="Y18" s="15">
        <f>IFERROR((s_DL/(up_RadSpec!P18*s_EF_rec*(1/365)*1*up_RadSpec!U18*s_ET_rec*(1/24)*up_RadSpec!Z18)),".")</f>
        <v>411.22563526890514</v>
      </c>
      <c r="Z18" s="15">
        <f>IFERROR((s_DL/(up_RadSpec!L18*s_EF_rec*(1/365)*1*up_RadSpec!Q18*s_ET_rec*(1/24)*up_RadSpec!V18)),".")</f>
        <v>1204.7552447552446</v>
      </c>
      <c r="AA18" s="189">
        <f>IFERROR(V18*(0.0000000000028)*up_RadSpec!$AY18*up_RadSpec!$AF18,0)</f>
        <v>1.0530816864621452E-6</v>
      </c>
      <c r="AB18" s="189">
        <f>IFERROR(W18*(0.0000000000028)*up_RadSpec!$AY18*up_RadSpec!$AF18,0)</f>
        <v>2.0837429822302357E-6</v>
      </c>
      <c r="AC18" s="189">
        <f>IFERROR(X18*(0.0000000000028)*up_RadSpec!$AY18*up_RadSpec!$AF18,0)</f>
        <v>1.4592359850804439E-6</v>
      </c>
      <c r="AD18" s="189">
        <f>IFERROR(Y18*(0.0000000000028)*up_RadSpec!$AY18*up_RadSpec!$AF18,0)</f>
        <v>1.2090033676905811E-6</v>
      </c>
      <c r="AE18" s="189">
        <f>IFERROR(Z18*(0.0000000000028)*up_RadSpec!$AY18*up_RadSpec!$AF18,0)</f>
        <v>3.5419804195804195E-6</v>
      </c>
      <c r="AF18" s="40">
        <f>IFERROR((s_C*s_EF_rec*(1/365)*1*up_RadSpec!R18*s_ET_rec*(1/24)*up_RadSpec!W18),".")</f>
        <v>1.3959031088447685E-2</v>
      </c>
      <c r="AG18" s="40">
        <f>IFERROR((s_C*s_EF_rec*(1/365)*1*up_RadSpec!S18*s_ET_rec*(1/24)*up_RadSpec!X18),".")</f>
        <v>7.054612841103155E-3</v>
      </c>
      <c r="AH18" s="40">
        <f>IFERROR((s_C*s_EF_rec*(1/365)*1*up_RadSpec!T18*s_ET_rec*(1/24)*up_RadSpec!Y18),".")</f>
        <v>1.0073764730513845E-2</v>
      </c>
      <c r="AI18" s="40">
        <f>IFERROR((s_C*s_EF_rec*(1/365)*1*up_RadSpec!U18*s_ET_rec*(1/24)*up_RadSpec!Z18),".")</f>
        <v>1.2158775064522528E-2</v>
      </c>
      <c r="AJ18" s="40">
        <f>IFERROR((s_C*s_EF_rec*(1/365)*1*up_RadSpec!Q18*s_ET_rec*(1/24)*up_RadSpec!V18),".")</f>
        <v>4.1502205711632231E-3</v>
      </c>
      <c r="AK18" s="15">
        <f>IFERROR((s_DL/(up_RadSpec!H18*s_IFA_rec_adj)),".")</f>
        <v>9.9740259740259754E-3</v>
      </c>
      <c r="AL18" s="15">
        <f>IFERROR((s_DL/(up_RadSpec!K18*s_EF_rec*(1/365)*1*s_ET_rec*(1/24)*s_GSF_a)),".")</f>
        <v>63.709090909090911</v>
      </c>
      <c r="AM18" s="15">
        <f t="shared" ref="AM18:AM20" si="14">IFERROR(IF(AND(AK18&lt;&gt;".",AL18&lt;&gt;"."),1/((1/AK18)+(1/AL18)),IF(AND(AK18&lt;&gt;".",AL18="."),1/((1/AK18)),IF(AND(AK18=".",AL18&lt;&gt;"."),1/((1/AL18)),IF(AND(AK18=".",AL18="."),".")))),".")</f>
        <v>9.9724647271019675E-3</v>
      </c>
      <c r="AN18" s="189">
        <f>AM18*(0.0000000000000028)*up_RadSpec!$AY18*up_RadSpec!$AF18</f>
        <v>2.9319046297679789E-14</v>
      </c>
      <c r="AO18" s="40">
        <f t="shared" si="3"/>
        <v>501.30208333333326</v>
      </c>
      <c r="AP18" s="40">
        <f t="shared" si="4"/>
        <v>7.8481735159817351E-2</v>
      </c>
      <c r="AQ18" s="45"/>
      <c r="AR18" s="15">
        <f>IFERROR((s_DL/(up_RadSpec!I18*s_IFW_rec_adj)),".")</f>
        <v>2.2727272727272726E-3</v>
      </c>
      <c r="AS18" s="15">
        <f>IFERROR((s_DL/(up_RadSpec!M18*(1/8760)*s_DFA_rec_adj)),".")</f>
        <v>39.81818181818182</v>
      </c>
      <c r="AT18" s="2">
        <f>IFERROR(BG18/(up_RadSpec!AI18*s_Q_w_game*(1/1000)),".")</f>
        <v>1.8181818181818181</v>
      </c>
      <c r="AU18" s="2">
        <f>IFERROR(BG18/(up_RadSpec!AL18*s_Q_w_fowl*(1/1000)),".")</f>
        <v>1.8181818181818181</v>
      </c>
      <c r="AV18" s="233">
        <f t="shared" si="5"/>
        <v>440</v>
      </c>
      <c r="AW18" s="233">
        <f t="shared" si="5"/>
        <v>2.5114155251141551E-2</v>
      </c>
      <c r="AX18" s="233">
        <f t="shared" si="5"/>
        <v>0.55000000000000004</v>
      </c>
      <c r="AY18" s="233">
        <f t="shared" si="5"/>
        <v>0.55000000000000004</v>
      </c>
      <c r="AZ18" s="2">
        <f t="shared" si="12"/>
        <v>2.2669305553255272E-3</v>
      </c>
      <c r="BA18" s="189">
        <f>AZ18*(0.0000000000000028)*up_RadSpec!$AY18*up_RadSpec!$AF18</f>
        <v>6.6647758326570493E-15</v>
      </c>
      <c r="BB18" s="40">
        <f t="shared" si="6"/>
        <v>2200</v>
      </c>
      <c r="BC18" s="40">
        <f t="shared" si="7"/>
        <v>0.12557077625570776</v>
      </c>
      <c r="BD18" s="19">
        <f>IFERROR(s_C*up_RadSpec!AI18*s_Q_w_game*(1/1000)*s_EF_rec*1*s_IRGL_rec*s_CF_game,".")</f>
        <v>2.75</v>
      </c>
      <c r="BE18" s="19">
        <f>IFERROR(s_C*up_RadSpec!AL18*s_Q_w_fowl*(1/1000)*s_EF_rec*1*s_IRGL_rec*s_CF_fowl,0)</f>
        <v>2.75</v>
      </c>
      <c r="BF18" s="18"/>
      <c r="BG18" s="2">
        <f>IFERROR(s_DL/(up_RadSpec!F18*s_EF_rec*1*s_IRGL_rec*s_CF_game),".")</f>
        <v>1.8181818181818181E-2</v>
      </c>
      <c r="BH18" s="2">
        <f>IFERROR(s_DL/(up_RadSpec!F18*s_EF_rec*1*s_IRGF_rec*s_CF_fowl),".")</f>
        <v>1.8181818181818181E-2</v>
      </c>
      <c r="BI18" s="189">
        <f>IFERROR(BG18*(0.0000000000028)*up_RadSpec!$AY18*up_RadSpec!$AF18,0)</f>
        <v>5.345454545454546E-11</v>
      </c>
      <c r="BJ18" s="189">
        <f>IFERROR(BH18*(0.0000000000028)*up_RadSpec!$AY18*up_RadSpec!$AF18,0)</f>
        <v>5.345454545454546E-11</v>
      </c>
      <c r="BK18" s="19">
        <f t="shared" si="8"/>
        <v>275</v>
      </c>
      <c r="BL18" s="19">
        <f t="shared" si="9"/>
        <v>275</v>
      </c>
    </row>
    <row r="19" spans="1:64" customFormat="1" x14ac:dyDescent="0.25">
      <c r="A19" s="44" t="s">
        <v>17</v>
      </c>
      <c r="B19" s="42" t="s">
        <v>1057</v>
      </c>
      <c r="C19" s="42"/>
      <c r="D19" s="15">
        <f>IFERROR(((s_DL/(up_RadSpec!E19*s_IFS_rec_adj*(1/1000)))*1),".")</f>
        <v>0.33057851239669422</v>
      </c>
      <c r="E19" s="15">
        <f>IFERROR(IF(A19="H-3",(s_DL/((up_RadSpec!H19*s_IFA_rec_adj*(1/17)*1000))*1),(s_DL/((up_RadSpec!H19*s_IFA_rec_adj*(1/s_PEF_wind)*1000))*1)),".")</f>
        <v>3089.9917851942919</v>
      </c>
      <c r="F19" s="2">
        <f>IFERROR((s_DL/(up_RadSpec!G19*s_EF_rec*(1/365)*1*up_RadSpec!R19*s_ET_rec*(1/24)*up_RadSpec!W19)),".")</f>
        <v>365.49603032687224</v>
      </c>
      <c r="G19" s="2">
        <f>IFERROR((BG19/(up_RadSpec!AI19*((s_Q_p_game*s_f_p_game*s_f_s_game*(up_RadSpec!BD19+s_R_es_past))+(s_Q_s_game*s_f_p_game)))),".")</f>
        <v>7.5757575757575758E-5</v>
      </c>
      <c r="H19" s="2">
        <f>IFERROR((BG19/(up_RadSpec!AL19*((s_Q_p_fowl*s_f_p_fowl*s_f_s_fowl*(up_RadSpec!BD19+s_R_es_past))+(s_Q_s_fowl*s_f_p_fowl)))),".")</f>
        <v>7.5757575757575758E-5</v>
      </c>
      <c r="I19" s="233">
        <f t="shared" si="10"/>
        <v>3.0249999999999999</v>
      </c>
      <c r="J19" s="233">
        <f t="shared" si="10"/>
        <v>3.236254558317935E-4</v>
      </c>
      <c r="K19" s="233">
        <f t="shared" si="10"/>
        <v>2.7360078277886492E-3</v>
      </c>
      <c r="L19" s="233">
        <f t="shared" si="10"/>
        <v>13200</v>
      </c>
      <c r="M19" s="233">
        <f t="shared" si="10"/>
        <v>13200</v>
      </c>
      <c r="N19" s="2">
        <f t="shared" si="11"/>
        <v>3.7874443709313286E-5</v>
      </c>
      <c r="O19" s="189">
        <f>IFERROR(N19*(0.0000000000028)*up_RadSpec!$AY19*up_RadSpec!$AF19,0)</f>
        <v>1.1294159114117223E-13</v>
      </c>
      <c r="P19" s="40">
        <f t="shared" si="1"/>
        <v>15.125</v>
      </c>
      <c r="Q19" s="40">
        <f t="shared" si="2"/>
        <v>1.6181272791589674E-3</v>
      </c>
      <c r="R19" s="40">
        <f>IFERROR((s_C*s_EF_rec*(1/365)*1*up_RadSpec!R19*s_ET_rec*(1/24)*up_RadSpec!W19),".")</f>
        <v>1.3680039138943246E-2</v>
      </c>
      <c r="S19" s="19">
        <f>IFERROR((s_C*s_IRGL_rec*s_EF_rec*1*s_CF_game*up_RadSpec!AI19)*((s_Q_p_game*s_f_p_game*s_f_s_game*(up_RadSpec!BD19+s_R_es_past))+(s_Q_s_game*s_f_p_game)),".")</f>
        <v>66000</v>
      </c>
      <c r="T19" s="19">
        <f>IFERROR((s_C*s_IRGF_rec*s_EF_rec*1*s_CF_fowl*up_RadSpec!AL19)*((s_Q_p_fowl*s_f_p_fowl*s_f_s_fowl*(up_RadSpec!BD19+s_R_es_past))+(s_Q_s_fowl*s_f_p_fowl)),0)</f>
        <v>66000</v>
      </c>
      <c r="U19" s="18"/>
      <c r="V19" s="15">
        <f>IFERROR((s_DL/(up_RadSpec!G19*s_EF_rec*(1/365)*1*up_RadSpec!R19*s_ET_rec*(1/24)*up_RadSpec!W19)),".")</f>
        <v>365.49603032687224</v>
      </c>
      <c r="W19" s="15">
        <f>IFERROR((s_DL/(up_RadSpec!N19*s_EF_rec*(1/365)*1*up_RadSpec!S19*s_ET_rec*(1/24)*up_RadSpec!X19)),".")</f>
        <v>724.92613769209538</v>
      </c>
      <c r="X19" s="15">
        <f>IFERROR((s_DL/(up_RadSpec!O19*s_EF_rec*(1/365)*1*up_RadSpec!T19*s_ET_rec*(1/24)*up_RadSpec!Y19)),".")</f>
        <v>502.51823043266927</v>
      </c>
      <c r="Y19" s="15">
        <f>IFERROR((s_DL/(up_RadSpec!P19*s_EF_rec*(1/365)*1*up_RadSpec!U19*s_ET_rec*(1/24)*up_RadSpec!Z19)),".")</f>
        <v>419.70515970515953</v>
      </c>
      <c r="Z19" s="15">
        <f>IFERROR((s_DL/(up_RadSpec!L19*s_EF_rec*(1/365)*1*up_RadSpec!Q19*s_ET_rec*(1/24)*up_RadSpec!V19)),".")</f>
        <v>1248.3427584651174</v>
      </c>
      <c r="AA19" s="189">
        <f>IFERROR(V19*(0.0000000000028)*up_RadSpec!$AY19*up_RadSpec!$AF19,0)</f>
        <v>1.089909162434733E-6</v>
      </c>
      <c r="AB19" s="189">
        <f>IFERROR(W19*(0.0000000000028)*up_RadSpec!$AY19*up_RadSpec!$AF19,0)</f>
        <v>2.1617297425978283E-6</v>
      </c>
      <c r="AC19" s="189">
        <f>IFERROR(X19*(0.0000000000028)*up_RadSpec!$AY19*up_RadSpec!$AF19,0)</f>
        <v>1.4985093631502199E-6</v>
      </c>
      <c r="AD19" s="189">
        <f>IFERROR(Y19*(0.0000000000028)*up_RadSpec!$AY19*up_RadSpec!$AF19,0)</f>
        <v>1.2515607862407859E-6</v>
      </c>
      <c r="AE19" s="189">
        <f>IFERROR(Z19*(0.0000000000028)*up_RadSpec!$AY19*up_RadSpec!$AF19,0)</f>
        <v>3.7225581057429806E-6</v>
      </c>
      <c r="AF19" s="40">
        <f>IFERROR((s_C*s_EF_rec*(1/365)*1*up_RadSpec!R19*s_ET_rec*(1/24)*up_RadSpec!W19),".")</f>
        <v>1.3680039138943246E-2</v>
      </c>
      <c r="AG19" s="40">
        <f>IFERROR((s_C*s_EF_rec*(1/365)*1*up_RadSpec!S19*s_ET_rec*(1/24)*up_RadSpec!X19),".")</f>
        <v>6.8972544098329872E-3</v>
      </c>
      <c r="AH19" s="40">
        <f>IFERROR((s_C*s_EF_rec*(1/365)*1*up_RadSpec!T19*s_ET_rec*(1/24)*up_RadSpec!Y19),".")</f>
        <v>9.9498877795836174E-3</v>
      </c>
      <c r="AI19" s="40">
        <f>IFERROR((s_C*s_EF_rec*(1/365)*1*up_RadSpec!U19*s_ET_rec*(1/24)*up_RadSpec!Z19),".")</f>
        <v>1.1913124926823561E-2</v>
      </c>
      <c r="AJ19" s="40">
        <f>IFERROR((s_C*s_EF_rec*(1/365)*1*up_RadSpec!Q19*s_ET_rec*(1/24)*up_RadSpec!V19),".")</f>
        <v>4.0053102131562658E-3</v>
      </c>
      <c r="AK19" s="15">
        <f>IFERROR((s_DL/(up_RadSpec!H19*s_IFA_rec_adj)),".")</f>
        <v>9.9740259740259754E-3</v>
      </c>
      <c r="AL19" s="15">
        <f>IFERROR((s_DL/(up_RadSpec!K19*s_EF_rec*(1/365)*1*s_ET_rec*(1/24)*s_GSF_a)),".")</f>
        <v>63.709090909090911</v>
      </c>
      <c r="AM19" s="15">
        <f t="shared" si="14"/>
        <v>9.9724647271019675E-3</v>
      </c>
      <c r="AN19" s="189">
        <f>AM19*(0.0000000000000028)*up_RadSpec!$AY19*up_RadSpec!$AF19</f>
        <v>2.9737889816218068E-14</v>
      </c>
      <c r="AO19" s="40">
        <f t="shared" si="3"/>
        <v>501.30208333333326</v>
      </c>
      <c r="AP19" s="40">
        <f t="shared" si="4"/>
        <v>7.8481735159817351E-2</v>
      </c>
      <c r="AQ19" s="45"/>
      <c r="AR19" s="15">
        <f>IFERROR((s_DL/(up_RadSpec!I19*s_IFW_rec_adj)),".")</f>
        <v>2.2727272727272726E-3</v>
      </c>
      <c r="AS19" s="15">
        <f>IFERROR((s_DL/(up_RadSpec!M19*(1/8760)*s_DFA_rec_adj)),".")</f>
        <v>39.81818181818182</v>
      </c>
      <c r="AT19" s="2">
        <f>IFERROR(BG19/(up_RadSpec!AI19*s_Q_w_game*(1/1000)),".")</f>
        <v>1.8181818181818181</v>
      </c>
      <c r="AU19" s="2">
        <f>IFERROR(BG19/(up_RadSpec!AL19*s_Q_w_fowl*(1/1000)),".")</f>
        <v>1.8181818181818181</v>
      </c>
      <c r="AV19" s="233">
        <f t="shared" si="5"/>
        <v>440</v>
      </c>
      <c r="AW19" s="233">
        <f t="shared" si="5"/>
        <v>2.5114155251141551E-2</v>
      </c>
      <c r="AX19" s="233">
        <f t="shared" si="5"/>
        <v>0.55000000000000004</v>
      </c>
      <c r="AY19" s="233">
        <f t="shared" si="5"/>
        <v>0.55000000000000004</v>
      </c>
      <c r="AZ19" s="2">
        <f t="shared" si="12"/>
        <v>2.2669305553255272E-3</v>
      </c>
      <c r="BA19" s="189">
        <f>AZ19*(0.0000000000000028)*up_RadSpec!$AY19*up_RadSpec!$AF19</f>
        <v>6.7599869159807223E-15</v>
      </c>
      <c r="BB19" s="40">
        <f t="shared" si="6"/>
        <v>2200</v>
      </c>
      <c r="BC19" s="40">
        <f t="shared" si="7"/>
        <v>0.12557077625570776</v>
      </c>
      <c r="BD19" s="19">
        <f>IFERROR(s_C*up_RadSpec!AI19*s_Q_w_game*(1/1000)*s_EF_rec*1*s_IRGL_rec*s_CF_game,".")</f>
        <v>2.75</v>
      </c>
      <c r="BE19" s="19">
        <f>IFERROR(s_C*up_RadSpec!AL19*s_Q_w_fowl*(1/1000)*s_EF_rec*1*s_IRGL_rec*s_CF_fowl,0)</f>
        <v>2.75</v>
      </c>
      <c r="BF19" s="18"/>
      <c r="BG19" s="2">
        <f>IFERROR(s_DL/(up_RadSpec!F19*s_EF_rec*1*s_IRGL_rec*s_CF_game),".")</f>
        <v>1.8181818181818181E-2</v>
      </c>
      <c r="BH19" s="2">
        <f>IFERROR(s_DL/(up_RadSpec!F19*s_EF_rec*1*s_IRGF_rec*s_CF_fowl),".")</f>
        <v>1.8181818181818181E-2</v>
      </c>
      <c r="BI19" s="189">
        <f>IFERROR(BG19*(0.0000000000028)*up_RadSpec!$AY19*up_RadSpec!$AF19,0)</f>
        <v>5.4218181818181829E-11</v>
      </c>
      <c r="BJ19" s="189">
        <f>IFERROR(BH19*(0.0000000000028)*up_RadSpec!$AY19*up_RadSpec!$AF19,0)</f>
        <v>5.4218181818181829E-11</v>
      </c>
      <c r="BK19" s="19">
        <f t="shared" si="8"/>
        <v>275</v>
      </c>
      <c r="BL19" s="19">
        <f t="shared" si="9"/>
        <v>275</v>
      </c>
    </row>
    <row r="20" spans="1:64" customFormat="1" x14ac:dyDescent="0.25">
      <c r="A20" s="44" t="s">
        <v>18</v>
      </c>
      <c r="B20" s="42" t="s">
        <v>1057</v>
      </c>
      <c r="C20" s="238"/>
      <c r="D20" s="15">
        <f>IFERROR(((s_DL/(up_RadSpec!E20*s_IFS_rec_adj*(1/1000)))*1),".")</f>
        <v>0.33057851239669422</v>
      </c>
      <c r="E20" s="15">
        <f>IFERROR(IF(A20="H-3",(s_DL/((up_RadSpec!H20*s_IFA_rec_adj*(1/17)*1000))*1),(s_DL/((up_RadSpec!H20*s_IFA_rec_adj*(1/s_PEF_wind)*1000))*1)),".")</f>
        <v>3089.9917851942919</v>
      </c>
      <c r="F20" s="2">
        <f>IFERROR((s_DL/(up_RadSpec!G20*s_EF_rec*(1/365)*1*up_RadSpec!R20*s_ET_rec*(1/24)*up_RadSpec!W20)),".")</f>
        <v>359.39411562557814</v>
      </c>
      <c r="G20" s="2">
        <f>IFERROR((BG20/(up_RadSpec!AI20*((s_Q_p_game*s_f_p_game*s_f_s_game*(up_RadSpec!BD20+s_R_es_past))+(s_Q_s_game*s_f_p_game)))),".")</f>
        <v>7.5757575757575758E-5</v>
      </c>
      <c r="H20" s="2">
        <f>IFERROR((BG20/(up_RadSpec!AL20*((s_Q_p_fowl*s_f_p_fowl*s_f_s_fowl*(up_RadSpec!BD20+s_R_es_past))+(s_Q_s_fowl*s_f_p_fowl)))),".")</f>
        <v>7.5757575757575758E-5</v>
      </c>
      <c r="I20" s="233">
        <f t="shared" si="10"/>
        <v>3.0249999999999999</v>
      </c>
      <c r="J20" s="233">
        <f t="shared" si="10"/>
        <v>3.236254558317935E-4</v>
      </c>
      <c r="K20" s="233">
        <f t="shared" si="10"/>
        <v>2.7824606929341441E-3</v>
      </c>
      <c r="L20" s="233">
        <f t="shared" si="10"/>
        <v>13200</v>
      </c>
      <c r="M20" s="233">
        <f t="shared" si="10"/>
        <v>13200</v>
      </c>
      <c r="N20" s="2">
        <f t="shared" si="11"/>
        <v>3.7874443642677882E-5</v>
      </c>
      <c r="O20" s="189">
        <f>IFERROR(N20*(0.0000000000028)*up_RadSpec!$AY20*up_RadSpec!$AF20,0)</f>
        <v>1.1347183315346294E-13</v>
      </c>
      <c r="P20" s="40">
        <f t="shared" si="1"/>
        <v>15.125</v>
      </c>
      <c r="Q20" s="40">
        <f t="shared" si="2"/>
        <v>1.6181272791589674E-3</v>
      </c>
      <c r="R20" s="40">
        <f>IFERROR((s_C*s_EF_rec*(1/365)*1*up_RadSpec!R20*s_ET_rec*(1/24)*up_RadSpec!W20),".")</f>
        <v>1.3912303464670719E-2</v>
      </c>
      <c r="S20" s="19">
        <f>IFERROR((s_C*s_IRGL_rec*s_EF_rec*1*s_CF_game*up_RadSpec!AI20)*((s_Q_p_game*s_f_p_game*s_f_s_game*(up_RadSpec!BD20+s_R_es_past))+(s_Q_s_game*s_f_p_game)),".")</f>
        <v>66000</v>
      </c>
      <c r="T20" s="19">
        <f>IFERROR((s_C*s_IRGF_rec*s_EF_rec*1*s_CF_fowl*up_RadSpec!AL20)*((s_Q_p_fowl*s_f_p_fowl*s_f_s_fowl*(up_RadSpec!BD20+s_R_es_past))+(s_Q_s_fowl*s_f_p_fowl)),0)</f>
        <v>66000</v>
      </c>
      <c r="U20" s="18"/>
      <c r="V20" s="15">
        <f>IFERROR((s_DL/(up_RadSpec!G20*s_EF_rec*(1/365)*1*up_RadSpec!R20*s_ET_rec*(1/24)*up_RadSpec!W20)),".")</f>
        <v>359.39411562557814</v>
      </c>
      <c r="W20" s="15">
        <f>IFERROR((s_DL/(up_RadSpec!N20*s_EF_rec*(1/365)*1*up_RadSpec!S20*s_ET_rec*(1/24)*up_RadSpec!X20)),".")</f>
        <v>708.75923413236853</v>
      </c>
      <c r="X20" s="15">
        <f>IFERROR((s_DL/(up_RadSpec!O20*s_EF_rec*(1/365)*1*up_RadSpec!T20*s_ET_rec*(1/24)*up_RadSpec!Y20)),".")</f>
        <v>495.90409590409598</v>
      </c>
      <c r="Y20" s="15">
        <f>IFERROR((s_DL/(up_RadSpec!P20*s_EF_rec*(1/365)*1*up_RadSpec!U20*s_ET_rec*(1/24)*up_RadSpec!Z20)),".")</f>
        <v>416.39928698752243</v>
      </c>
      <c r="Z20" s="15">
        <f>IFERROR((s_DL/(up_RadSpec!L20*s_EF_rec*(1/365)*1*up_RadSpec!Q20*s_ET_rec*(1/24)*up_RadSpec!V20)),".")</f>
        <v>1207.6986076986082</v>
      </c>
      <c r="AA20" s="189">
        <f>IFERROR(V20*(0.0000000000028)*up_RadSpec!$AY20*up_RadSpec!$AF20,0)</f>
        <v>1.0767447704142321E-6</v>
      </c>
      <c r="AB20" s="189">
        <f>IFERROR(W20*(0.0000000000028)*up_RadSpec!$AY20*up_RadSpec!$AF20,0)</f>
        <v>2.1234426654605762E-6</v>
      </c>
      <c r="AC20" s="189">
        <f>IFERROR(X20*(0.0000000000028)*up_RadSpec!$AY20*up_RadSpec!$AF20,0)</f>
        <v>1.4857286713286718E-6</v>
      </c>
      <c r="AD20" s="189">
        <f>IFERROR(Y20*(0.0000000000028)*up_RadSpec!$AY20*up_RadSpec!$AF20,0)</f>
        <v>1.2475322638146172E-6</v>
      </c>
      <c r="AE20" s="189">
        <f>IFERROR(Z20*(0.0000000000028)*up_RadSpec!$AY20*up_RadSpec!$AF20,0)</f>
        <v>3.6182650286650305E-6</v>
      </c>
      <c r="AF20" s="40">
        <f>IFERROR((s_C*s_EF_rec*(1/365)*1*up_RadSpec!R20*s_ET_rec*(1/24)*up_RadSpec!W20),".")</f>
        <v>1.3912303464670719E-2</v>
      </c>
      <c r="AG20" s="40">
        <f>IFERROR((s_C*s_EF_rec*(1/365)*1*up_RadSpec!S20*s_ET_rec*(1/24)*up_RadSpec!X20),".")</f>
        <v>7.0545818088998541E-3</v>
      </c>
      <c r="AH20" s="40">
        <f>IFERROR((s_C*s_EF_rec*(1/365)*1*up_RadSpec!T20*s_ET_rec*(1/24)*up_RadSpec!Y20),".")</f>
        <v>1.0082594681708298E-2</v>
      </c>
      <c r="AI20" s="40">
        <f>IFERROR((s_C*s_EF_rec*(1/365)*1*up_RadSpec!U20*s_ET_rec*(1/24)*up_RadSpec!Z20),".")</f>
        <v>1.200770547945205E-2</v>
      </c>
      <c r="AJ20" s="40">
        <f>IFERROR((s_C*s_EF_rec*(1/365)*1*up_RadSpec!Q20*s_ET_rec*(1/24)*up_RadSpec!V20),".")</f>
        <v>4.1401057914010565E-3</v>
      </c>
      <c r="AK20" s="15">
        <f>IFERROR((s_DL/(up_RadSpec!H20*s_IFA_rec_adj)),".")</f>
        <v>9.9740259740259754E-3</v>
      </c>
      <c r="AL20" s="15">
        <f>IFERROR((s_DL/(up_RadSpec!K20*s_EF_rec*(1/365)*1*s_ET_rec*(1/24)*s_GSF_a)),".")</f>
        <v>63.709090909090911</v>
      </c>
      <c r="AM20" s="15">
        <f t="shared" si="14"/>
        <v>9.9724647271019675E-3</v>
      </c>
      <c r="AN20" s="189">
        <f>AM20*(0.0000000000000028)*up_RadSpec!$AY20*up_RadSpec!$AF20</f>
        <v>2.9877504322397496E-14</v>
      </c>
      <c r="AO20" s="40">
        <f t="shared" si="3"/>
        <v>501.30208333333326</v>
      </c>
      <c r="AP20" s="40">
        <f t="shared" si="4"/>
        <v>7.8481735159817351E-2</v>
      </c>
      <c r="AQ20" s="45"/>
      <c r="AR20" s="15">
        <f>IFERROR((s_DL/(up_RadSpec!I20*s_IFW_rec_adj)),".")</f>
        <v>2.2727272727272726E-3</v>
      </c>
      <c r="AS20" s="15">
        <f>IFERROR((s_DL/(up_RadSpec!M20*(1/8760)*s_DFA_rec_adj)),".")</f>
        <v>39.81818181818182</v>
      </c>
      <c r="AT20" s="2">
        <f>IFERROR(BG20/(up_RadSpec!AI20*s_Q_w_game*(1/1000)),".")</f>
        <v>1.8181818181818181</v>
      </c>
      <c r="AU20" s="2">
        <f>IFERROR(BG20/(up_RadSpec!AL20*s_Q_w_fowl*(1/1000)),".")</f>
        <v>1.8181818181818181</v>
      </c>
      <c r="AV20" s="233">
        <f t="shared" si="5"/>
        <v>440</v>
      </c>
      <c r="AW20" s="233">
        <f t="shared" si="5"/>
        <v>2.5114155251141551E-2</v>
      </c>
      <c r="AX20" s="233">
        <f t="shared" si="5"/>
        <v>0.55000000000000004</v>
      </c>
      <c r="AY20" s="233">
        <f t="shared" si="5"/>
        <v>0.55000000000000004</v>
      </c>
      <c r="AZ20" s="2">
        <f t="shared" si="12"/>
        <v>2.2669305553255272E-3</v>
      </c>
      <c r="BA20" s="189">
        <f>AZ20*(0.0000000000000028)*up_RadSpec!$AY20*up_RadSpec!$AF20</f>
        <v>6.79172394375528E-15</v>
      </c>
      <c r="BB20" s="40">
        <f t="shared" si="6"/>
        <v>2200</v>
      </c>
      <c r="BC20" s="40">
        <f t="shared" si="7"/>
        <v>0.12557077625570776</v>
      </c>
      <c r="BD20" s="19">
        <f>IFERROR(s_C*up_RadSpec!AI20*s_Q_w_game*(1/1000)*s_EF_rec*1*s_IRGL_rec*s_CF_game,".")</f>
        <v>2.75</v>
      </c>
      <c r="BE20" s="19">
        <f>IFERROR(s_C*up_RadSpec!AL20*s_Q_w_fowl*(1/1000)*s_EF_rec*1*s_IRGL_rec*s_CF_fowl,0)</f>
        <v>2.75</v>
      </c>
      <c r="BF20" s="18"/>
      <c r="BG20" s="2">
        <f>IFERROR(s_DL/(up_RadSpec!F20*s_EF_rec*1*s_IRGL_rec*s_CF_game),".")</f>
        <v>1.8181818181818181E-2</v>
      </c>
      <c r="BH20" s="2">
        <f>IFERROR(s_DL/(up_RadSpec!F20*s_EF_rec*1*s_IRGF_rec*s_CF_fowl),".")</f>
        <v>1.8181818181818181E-2</v>
      </c>
      <c r="BI20" s="189">
        <f>IFERROR(BG20*(0.0000000000028)*up_RadSpec!$AY20*up_RadSpec!$AF20,0)</f>
        <v>5.4472727272727275E-11</v>
      </c>
      <c r="BJ20" s="189">
        <f>IFERROR(BH20*(0.0000000000028)*up_RadSpec!$AY20*up_RadSpec!$AF20,0)</f>
        <v>5.4472727272727275E-11</v>
      </c>
      <c r="BK20" s="19">
        <f t="shared" si="8"/>
        <v>275</v>
      </c>
      <c r="BL20" s="19">
        <f t="shared" si="9"/>
        <v>275</v>
      </c>
    </row>
    <row r="21" spans="1:64" customFormat="1" x14ac:dyDescent="0.25">
      <c r="A21" s="44" t="s">
        <v>19</v>
      </c>
      <c r="B21" s="42" t="s">
        <v>1057</v>
      </c>
      <c r="C21" s="238"/>
      <c r="D21" s="15">
        <f>IFERROR(((s_DL/(up_RadSpec!E21*s_IFS_rec_adj*(1/1000)))*1),".")</f>
        <v>0.33057851239669422</v>
      </c>
      <c r="E21" s="15">
        <f>IFERROR(IF(A21="H-3",(s_DL/((up_RadSpec!H21*s_IFA_rec_adj*(1/17)*1000))*1),(s_DL/((up_RadSpec!H21*s_IFA_rec_adj*(1/s_PEF_wind)*1000))*1)),".")</f>
        <v>3089.9917851942919</v>
      </c>
      <c r="F21" s="2" t="str">
        <f>IFERROR((s_DL/(up_RadSpec!G21*s_EF_rec*(1/365)*1*up_RadSpec!R21*s_ET_rec*(1/24)*up_RadSpec!W21)),".")</f>
        <v>.</v>
      </c>
      <c r="G21" s="2">
        <f>IFERROR((BG21/(up_RadSpec!AI21*((s_Q_p_game*s_f_p_game*s_f_s_game*(up_RadSpec!BD21+s_R_es_past))+(s_Q_s_game*s_f_p_game)))),".")</f>
        <v>7.5757575757575758E-5</v>
      </c>
      <c r="H21" s="2">
        <f>IFERROR((BG21/(up_RadSpec!AL21*((s_Q_p_fowl*s_f_p_fowl*s_f_s_fowl*(up_RadSpec!BD21+s_R_es_past))+(s_Q_s_fowl*s_f_p_fowl)))),".")</f>
        <v>7.5757575757575758E-5</v>
      </c>
      <c r="I21" s="233">
        <f t="shared" si="10"/>
        <v>3.0249999999999999</v>
      </c>
      <c r="J21" s="233">
        <f t="shared" si="10"/>
        <v>3.236254558317935E-4</v>
      </c>
      <c r="K21" s="233">
        <f t="shared" si="10"/>
        <v>0</v>
      </c>
      <c r="L21" s="233">
        <f t="shared" si="10"/>
        <v>13200</v>
      </c>
      <c r="M21" s="233">
        <f t="shared" si="10"/>
        <v>13200</v>
      </c>
      <c r="N21" s="2">
        <f t="shared" si="11"/>
        <v>3.7874447634044378E-5</v>
      </c>
      <c r="O21" s="189">
        <f>IFERROR(N21*(0.0000000000028)*up_RadSpec!$AY21*up_RadSpec!$AF21,0)</f>
        <v>1.1559281417910346E-13</v>
      </c>
      <c r="P21" s="40">
        <f t="shared" si="1"/>
        <v>15.125</v>
      </c>
      <c r="Q21" s="40">
        <f t="shared" si="2"/>
        <v>1.6181272791589674E-3</v>
      </c>
      <c r="R21" s="40">
        <f>IFERROR((s_C*s_EF_rec*(1/365)*1*up_RadSpec!R21*s_ET_rec*(1/24)*up_RadSpec!W21),".")</f>
        <v>0</v>
      </c>
      <c r="S21" s="19">
        <f>IFERROR((s_C*s_IRGL_rec*s_EF_rec*1*s_CF_game*up_RadSpec!AI21)*((s_Q_p_game*s_f_p_game*s_f_s_game*(up_RadSpec!BD21+s_R_es_past))+(s_Q_s_game*s_f_p_game)),".")</f>
        <v>66000</v>
      </c>
      <c r="T21" s="19">
        <f>IFERROR((s_C*s_IRGF_rec*s_EF_rec*1*s_CF_fowl*up_RadSpec!AL21)*((s_Q_p_fowl*s_f_p_fowl*s_f_s_fowl*(up_RadSpec!BD21+s_R_es_past))+(s_Q_s_fowl*s_f_p_fowl)),0)</f>
        <v>66000</v>
      </c>
      <c r="U21" s="18"/>
      <c r="V21" s="15" t="str">
        <f>IFERROR((s_DL/(up_RadSpec!G21*s_EF_rec*(1/365)*1*up_RadSpec!R21*s_ET_rec*(1/24)*up_RadSpec!W21)),".")</f>
        <v>.</v>
      </c>
      <c r="W21" s="15" t="str">
        <f>IFERROR((s_DL/(up_RadSpec!N21*s_EF_rec*(1/365)*1*up_RadSpec!S21*s_ET_rec*(1/24)*up_RadSpec!X21)),".")</f>
        <v>.</v>
      </c>
      <c r="X21" s="15" t="str">
        <f>IFERROR((s_DL/(up_RadSpec!O21*s_EF_rec*(1/365)*1*up_RadSpec!T21*s_ET_rec*(1/24)*up_RadSpec!Y21)),".")</f>
        <v>.</v>
      </c>
      <c r="Y21" s="15" t="str">
        <f>IFERROR((s_DL/(up_RadSpec!P21*s_EF_rec*(1/365)*1*up_RadSpec!U21*s_ET_rec*(1/24)*up_RadSpec!Z21)),".")</f>
        <v>.</v>
      </c>
      <c r="Z21" s="15" t="str">
        <f>IFERROR((s_DL/(up_RadSpec!L21*s_EF_rec*(1/365)*1*up_RadSpec!Q21*s_ET_rec*(1/24)*up_RadSpec!V21)),".")</f>
        <v>.</v>
      </c>
      <c r="AA21" s="189">
        <f>IFERROR(V21*(0.0000000000028)*up_RadSpec!$AY21*up_RadSpec!$AF21,0)</f>
        <v>0</v>
      </c>
      <c r="AB21" s="189">
        <f>IFERROR(W21*(0.0000000000028)*up_RadSpec!$AY21*up_RadSpec!$AF21,0)</f>
        <v>0</v>
      </c>
      <c r="AC21" s="189">
        <f>IFERROR(X21*(0.0000000000028)*up_RadSpec!$AY21*up_RadSpec!$AF21,0)</f>
        <v>0</v>
      </c>
      <c r="AD21" s="189">
        <f>IFERROR(Y21*(0.0000000000028)*up_RadSpec!$AY21*up_RadSpec!$AF21,0)</f>
        <v>0</v>
      </c>
      <c r="AE21" s="189">
        <f>IFERROR(Z21*(0.0000000000028)*up_RadSpec!$AY21*up_RadSpec!$AF21,0)</f>
        <v>0</v>
      </c>
      <c r="AF21" s="40">
        <f>IFERROR((s_C*s_EF_rec*(1/365)*1*up_RadSpec!R21*s_ET_rec*(1/24)*up_RadSpec!W21),".")</f>
        <v>0</v>
      </c>
      <c r="AG21" s="40">
        <f>IFERROR((s_C*s_EF_rec*(1/365)*1*up_RadSpec!S21*s_ET_rec*(1/24)*up_RadSpec!X21),".")</f>
        <v>0</v>
      </c>
      <c r="AH21" s="40">
        <f>IFERROR((s_C*s_EF_rec*(1/365)*1*up_RadSpec!T21*s_ET_rec*(1/24)*up_RadSpec!Y21),".")</f>
        <v>0</v>
      </c>
      <c r="AI21" s="40">
        <f>IFERROR((s_C*s_EF_rec*(1/365)*1*up_RadSpec!U21*s_ET_rec*(1/24)*up_RadSpec!Z21),".")</f>
        <v>0</v>
      </c>
      <c r="AJ21" s="40">
        <f>IFERROR((s_C*s_EF_rec*(1/365)*1*up_RadSpec!Q21*s_ET_rec*(1/24)*up_RadSpec!V21),".")</f>
        <v>0</v>
      </c>
      <c r="AK21" s="15">
        <f>IFERROR((s_DL/(up_RadSpec!H21*s_IFA_rec_adj)),".")</f>
        <v>9.9740259740259754E-3</v>
      </c>
      <c r="AL21" s="15">
        <f>IFERROR((s_DL/(up_RadSpec!K21*s_EF_rec*(1/365)*1*s_ET_rec*(1/24)*s_GSF_a)),".")</f>
        <v>63.709090909090911</v>
      </c>
      <c r="AM21" s="15">
        <f>IFERROR(IF(AND(AK21&lt;&gt;".",AL21&lt;&gt;"."),1/((1/AK21)+(1/AL21)),IF(AND(AK21&lt;&gt;".",AL21="."),1/((1/AK21)),IF(AND(AK21=".",AL21&lt;&gt;"."),1/((1/AL21)),IF(AND(AK21=".",AL21="."),".")))),".")</f>
        <v>9.9724647271019675E-3</v>
      </c>
      <c r="AN21" s="189">
        <f>AM21*(0.0000000000000028)*up_RadSpec!$AY21*up_RadSpec!$AF21</f>
        <v>3.0435962347115209E-14</v>
      </c>
      <c r="AO21" s="40">
        <f t="shared" si="3"/>
        <v>501.30208333333326</v>
      </c>
      <c r="AP21" s="40">
        <f t="shared" si="4"/>
        <v>7.8481735159817351E-2</v>
      </c>
      <c r="AQ21" s="45"/>
      <c r="AR21" s="15">
        <f>IFERROR((s_DL/(up_RadSpec!I21*s_IFW_rec_adj)),".")</f>
        <v>2.2727272727272726E-3</v>
      </c>
      <c r="AS21" s="15">
        <f>IFERROR((s_DL/(up_RadSpec!M21*(1/8760)*s_DFA_rec_adj)),".")</f>
        <v>39.81818181818182</v>
      </c>
      <c r="AT21" s="2">
        <f>IFERROR(BG21/(up_RadSpec!AI21*s_Q_w_game*(1/1000)),".")</f>
        <v>1.8181818181818181</v>
      </c>
      <c r="AU21" s="2">
        <f>IFERROR(BG21/(up_RadSpec!AL21*s_Q_w_fowl*(1/1000)),".")</f>
        <v>1.8181818181818181</v>
      </c>
      <c r="AV21" s="233">
        <f t="shared" si="5"/>
        <v>440</v>
      </c>
      <c r="AW21" s="233">
        <f t="shared" si="5"/>
        <v>2.5114155251141551E-2</v>
      </c>
      <c r="AX21" s="233">
        <f t="shared" si="5"/>
        <v>0.55000000000000004</v>
      </c>
      <c r="AY21" s="233">
        <f t="shared" si="5"/>
        <v>0.55000000000000004</v>
      </c>
      <c r="AZ21" s="2">
        <f t="shared" si="12"/>
        <v>2.2669305553255272E-3</v>
      </c>
      <c r="BA21" s="189">
        <f>AZ21*(0.0000000000000028)*up_RadSpec!$AY21*up_RadSpec!$AF21</f>
        <v>6.918672054853509E-15</v>
      </c>
      <c r="BB21" s="40">
        <f t="shared" si="6"/>
        <v>2200</v>
      </c>
      <c r="BC21" s="40">
        <f t="shared" si="7"/>
        <v>0.12557077625570776</v>
      </c>
      <c r="BD21" s="19">
        <f>IFERROR(s_C*up_RadSpec!AI21*s_Q_w_game*(1/1000)*s_EF_rec*1*s_IRGL_rec*s_CF_game,".")</f>
        <v>2.75</v>
      </c>
      <c r="BE21" s="19">
        <f>IFERROR(s_C*up_RadSpec!AL21*s_Q_w_fowl*(1/1000)*s_EF_rec*1*s_IRGL_rec*s_CF_fowl,0)</f>
        <v>2.75</v>
      </c>
      <c r="BF21" s="18"/>
      <c r="BG21" s="2">
        <f>IFERROR(s_DL/(up_RadSpec!F21*s_EF_rec*1*s_IRGL_rec*s_CF_game),".")</f>
        <v>1.8181818181818181E-2</v>
      </c>
      <c r="BH21" s="2">
        <f>IFERROR(s_DL/(up_RadSpec!F21*s_EF_rec*1*s_IRGF_rec*s_CF_fowl),".")</f>
        <v>1.8181818181818181E-2</v>
      </c>
      <c r="BI21" s="189">
        <f>IFERROR(BG21*(0.0000000000028)*up_RadSpec!$AY21*up_RadSpec!$AF21,0)</f>
        <v>5.5490909090909096E-11</v>
      </c>
      <c r="BJ21" s="189">
        <f>IFERROR(BH21*(0.0000000000028)*up_RadSpec!$AY21*up_RadSpec!$AF21,0)</f>
        <v>5.5490909090909096E-11</v>
      </c>
      <c r="BK21" s="19">
        <f t="shared" si="8"/>
        <v>275</v>
      </c>
      <c r="BL21" s="19">
        <f t="shared" si="9"/>
        <v>275</v>
      </c>
    </row>
    <row r="22" spans="1:64" customFormat="1" x14ac:dyDescent="0.25">
      <c r="A22" s="44" t="s">
        <v>20</v>
      </c>
      <c r="B22" s="42" t="s">
        <v>1057</v>
      </c>
      <c r="C22" s="42"/>
      <c r="D22" s="15">
        <f>IFERROR(((s_DL/(up_RadSpec!E22*s_IFS_rec_adj*(1/1000)))*1),".")</f>
        <v>0.33057851239669422</v>
      </c>
      <c r="E22" s="15">
        <f>IFERROR(IF(A22="H-3",(s_DL/((up_RadSpec!H22*s_IFA_rec_adj*(1/17)*1000))*1),(s_DL/((up_RadSpec!H22*s_IFA_rec_adj*(1/s_PEF_wind)*1000))*1)),".")</f>
        <v>3089.9917851942919</v>
      </c>
      <c r="F22" s="2">
        <f>IFERROR((s_DL/(up_RadSpec!G22*s_EF_rec*(1/365)*1*up_RadSpec!R22*s_ET_rec*(1/24)*up_RadSpec!W22)),".")</f>
        <v>1528504398.8269799</v>
      </c>
      <c r="G22" s="2">
        <f>IFERROR((BG22/(up_RadSpec!AI22*((s_Q_p_game*s_f_p_game*s_f_s_game*(up_RadSpec!BD22+s_R_es_past))+(s_Q_s_game*s_f_p_game)))),".")</f>
        <v>7.5757575757575758E-5</v>
      </c>
      <c r="H22" s="2">
        <f>IFERROR((BG22/(up_RadSpec!AL22*((s_Q_p_fowl*s_f_p_fowl*s_f_s_fowl*(up_RadSpec!BD22+s_R_es_past))+(s_Q_s_fowl*s_f_p_fowl)))),".")</f>
        <v>7.5757575757575758E-5</v>
      </c>
      <c r="I22" s="233">
        <f t="shared" si="10"/>
        <v>3.0249999999999999</v>
      </c>
      <c r="J22" s="233">
        <f t="shared" si="10"/>
        <v>3.236254558317935E-4</v>
      </c>
      <c r="K22" s="233">
        <f t="shared" si="10"/>
        <v>6.5423429645830921E-10</v>
      </c>
      <c r="L22" s="233">
        <f t="shared" si="10"/>
        <v>13200</v>
      </c>
      <c r="M22" s="233">
        <f t="shared" si="10"/>
        <v>13200</v>
      </c>
      <c r="N22" s="2">
        <f t="shared" si="11"/>
        <v>3.7874447634043436E-5</v>
      </c>
      <c r="O22" s="189">
        <f>IFERROR(N22*(0.0000000000028)*up_RadSpec!$AY22*up_RadSpec!$AF22,0)</f>
        <v>1.1930451004723683E-13</v>
      </c>
      <c r="P22" s="40">
        <f t="shared" si="1"/>
        <v>15.125</v>
      </c>
      <c r="Q22" s="40">
        <f t="shared" si="2"/>
        <v>1.6181272791589674E-3</v>
      </c>
      <c r="R22" s="40">
        <f>IFERROR((s_C*s_EF_rec*(1/365)*1*up_RadSpec!R22*s_ET_rec*(1/24)*up_RadSpec!W22),".")</f>
        <v>3.2711714822915459E-9</v>
      </c>
      <c r="S22" s="19">
        <f>IFERROR((s_C*s_IRGL_rec*s_EF_rec*1*s_CF_game*up_RadSpec!AI22)*((s_Q_p_game*s_f_p_game*s_f_s_game*(up_RadSpec!BD22+s_R_es_past))+(s_Q_s_game*s_f_p_game)),".")</f>
        <v>66000</v>
      </c>
      <c r="T22" s="19">
        <f>IFERROR((s_C*s_IRGF_rec*s_EF_rec*1*s_CF_fowl*up_RadSpec!AL22)*((s_Q_p_fowl*s_f_p_fowl*s_f_s_fowl*(up_RadSpec!BD22+s_R_es_past))+(s_Q_s_fowl*s_f_p_fowl)),0)</f>
        <v>66000</v>
      </c>
      <c r="U22" s="18"/>
      <c r="V22" s="15">
        <f>IFERROR((s_DL/(up_RadSpec!G22*s_EF_rec*(1/365)*1*up_RadSpec!R22*s_ET_rec*(1/24)*up_RadSpec!W22)),".")</f>
        <v>1528504398.8269799</v>
      </c>
      <c r="W22" s="15">
        <f>IFERROR((s_DL/(up_RadSpec!N22*s_EF_rec*(1/365)*1*up_RadSpec!S22*s_ET_rec*(1/24)*up_RadSpec!X22)),".")</f>
        <v>1400600315.0167918</v>
      </c>
      <c r="X22" s="15">
        <f>IFERROR((s_DL/(up_RadSpec!O22*s_EF_rec*(1/365)*1*up_RadSpec!T22*s_ET_rec*(1/24)*up_RadSpec!Y22)),".")</f>
        <v>1076036075.9143474</v>
      </c>
      <c r="Y22" s="15">
        <f>IFERROR((s_DL/(up_RadSpec!P22*s_EF_rec*(1/365)*1*up_RadSpec!U22*s_ET_rec*(1/24)*up_RadSpec!Z22)),".")</f>
        <v>1108825757.575757</v>
      </c>
      <c r="Z22" s="15">
        <f>IFERROR((s_DL/(up_RadSpec!L22*s_EF_rec*(1/365)*1*up_RadSpec!Q22*s_ET_rec*(1/24)*up_RadSpec!V22)),".")</f>
        <v>7867886699.35355</v>
      </c>
      <c r="AA22" s="189">
        <f>IFERROR(V22*(0.0000000000028)*up_RadSpec!$AY22*up_RadSpec!$AF22,0)</f>
        <v>4.814788856304987</v>
      </c>
      <c r="AB22" s="189">
        <f>IFERROR(W22*(0.0000000000028)*up_RadSpec!$AY22*up_RadSpec!$AF22,0)</f>
        <v>4.4118909923028946</v>
      </c>
      <c r="AC22" s="189">
        <f>IFERROR(X22*(0.0000000000028)*up_RadSpec!$AY22*up_RadSpec!$AF22,0)</f>
        <v>3.3895136391301945</v>
      </c>
      <c r="AD22" s="189">
        <f>IFERROR(Y22*(0.0000000000028)*up_RadSpec!$AY22*up_RadSpec!$AF22,0)</f>
        <v>3.4928011363636347</v>
      </c>
      <c r="AE22" s="189">
        <f>IFERROR(Z22*(0.0000000000028)*up_RadSpec!$AY22*up_RadSpec!$AF22,0)</f>
        <v>24.783843102963683</v>
      </c>
      <c r="AF22" s="40">
        <f>IFERROR((s_C*s_EF_rec*(1/365)*1*up_RadSpec!R22*s_ET_rec*(1/24)*up_RadSpec!W22),".")</f>
        <v>3.2711714822915459E-9</v>
      </c>
      <c r="AG22" s="40">
        <f>IFERROR((s_C*s_EF_rec*(1/365)*1*up_RadSpec!S22*s_ET_rec*(1/24)*up_RadSpec!X22),".")</f>
        <v>3.5698978119536226E-9</v>
      </c>
      <c r="AH22" s="40">
        <f>IFERROR((s_C*s_EF_rec*(1/365)*1*up_RadSpec!T22*s_ET_rec*(1/24)*up_RadSpec!Y22),".")</f>
        <v>4.646684355588465E-9</v>
      </c>
      <c r="AI22" s="40">
        <f>IFERROR((s_C*s_EF_rec*(1/365)*1*up_RadSpec!U22*s_ET_rec*(1/24)*up_RadSpec!Z22),".")</f>
        <v>4.5092747583097075E-9</v>
      </c>
      <c r="AJ22" s="40">
        <f>IFERROR((s_C*s_EF_rec*(1/365)*1*up_RadSpec!Q22*s_ET_rec*(1/24)*up_RadSpec!V22),".")</f>
        <v>6.3549466217031515E-10</v>
      </c>
      <c r="AK22" s="15">
        <f>IFERROR((s_DL/(up_RadSpec!H22*s_IFA_rec_adj)),".")</f>
        <v>9.9740259740259754E-3</v>
      </c>
      <c r="AL22" s="15">
        <f>IFERROR((s_DL/(up_RadSpec!K22*s_EF_rec*(1/365)*1*s_ET_rec*(1/24)*s_GSF_a)),".")</f>
        <v>63.709090909090911</v>
      </c>
      <c r="AM22" s="15">
        <f t="shared" ref="AM22:AM24" si="15">IFERROR(IF(AND(AK22&lt;&gt;".",AL22&lt;&gt;"."),1/((1/AK22)+(1/AL22)),IF(AND(AK22&lt;&gt;".",AL22="."),1/((1/AK22)),IF(AND(AK22=".",AL22&lt;&gt;"."),1/((1/AL22)),IF(AND(AK22=".",AL22="."),".")))),".")</f>
        <v>9.9724647271019675E-3</v>
      </c>
      <c r="AN22" s="189">
        <f>AM22*(0.0000000000000028)*up_RadSpec!$AY22*up_RadSpec!$AF22</f>
        <v>3.14132638903712E-14</v>
      </c>
      <c r="AO22" s="40">
        <f t="shared" si="3"/>
        <v>501.30208333333326</v>
      </c>
      <c r="AP22" s="40">
        <f t="shared" si="4"/>
        <v>7.8481735159817351E-2</v>
      </c>
      <c r="AQ22" s="45"/>
      <c r="AR22" s="15">
        <f>IFERROR((s_DL/(up_RadSpec!I22*s_IFW_rec_adj)),".")</f>
        <v>2.2727272727272726E-3</v>
      </c>
      <c r="AS22" s="15">
        <f>IFERROR((s_DL/(up_RadSpec!M22*(1/8760)*s_DFA_rec_adj)),".")</f>
        <v>39.81818181818182</v>
      </c>
      <c r="AT22" s="2">
        <f>IFERROR(BG22/(up_RadSpec!AI22*s_Q_w_game*(1/1000)),".")</f>
        <v>1.8181818181818181</v>
      </c>
      <c r="AU22" s="2">
        <f>IFERROR(BG22/(up_RadSpec!AL22*s_Q_w_fowl*(1/1000)),".")</f>
        <v>1.8181818181818181</v>
      </c>
      <c r="AV22" s="233">
        <f t="shared" si="5"/>
        <v>440</v>
      </c>
      <c r="AW22" s="233">
        <f t="shared" si="5"/>
        <v>2.5114155251141551E-2</v>
      </c>
      <c r="AX22" s="233">
        <f t="shared" si="5"/>
        <v>0.55000000000000004</v>
      </c>
      <c r="AY22" s="233">
        <f t="shared" si="5"/>
        <v>0.55000000000000004</v>
      </c>
      <c r="AZ22" s="2">
        <f t="shared" si="12"/>
        <v>2.2669305553255272E-3</v>
      </c>
      <c r="BA22" s="189">
        <f>AZ22*(0.0000000000000028)*up_RadSpec!$AY22*up_RadSpec!$AF22</f>
        <v>7.140831249275411E-15</v>
      </c>
      <c r="BB22" s="40">
        <f t="shared" si="6"/>
        <v>2200</v>
      </c>
      <c r="BC22" s="40">
        <f t="shared" si="7"/>
        <v>0.12557077625570776</v>
      </c>
      <c r="BD22" s="19">
        <f>IFERROR(s_C*up_RadSpec!AI22*s_Q_w_game*(1/1000)*s_EF_rec*1*s_IRGL_rec*s_CF_game,".")</f>
        <v>2.75</v>
      </c>
      <c r="BE22" s="19">
        <f>IFERROR(s_C*up_RadSpec!AL22*s_Q_w_fowl*(1/1000)*s_EF_rec*1*s_IRGL_rec*s_CF_fowl,0)</f>
        <v>2.75</v>
      </c>
      <c r="BF22" s="18"/>
      <c r="BG22" s="2">
        <f>IFERROR(s_DL/(up_RadSpec!F22*s_EF_rec*1*s_IRGL_rec*s_CF_game),".")</f>
        <v>1.8181818181818181E-2</v>
      </c>
      <c r="BH22" s="2">
        <f>IFERROR(s_DL/(up_RadSpec!F22*s_EF_rec*1*s_IRGF_rec*s_CF_fowl),".")</f>
        <v>1.8181818181818181E-2</v>
      </c>
      <c r="BI22" s="189">
        <f>IFERROR(BG22*(0.0000000000028)*up_RadSpec!$AY22*up_RadSpec!$AF22,0)</f>
        <v>5.7272727272727281E-11</v>
      </c>
      <c r="BJ22" s="189">
        <f>IFERROR(BH22*(0.0000000000028)*up_RadSpec!$AY22*up_RadSpec!$AF22,0)</f>
        <v>5.7272727272727281E-11</v>
      </c>
      <c r="BK22" s="19">
        <f t="shared" si="8"/>
        <v>275</v>
      </c>
      <c r="BL22" s="19">
        <f t="shared" si="9"/>
        <v>275</v>
      </c>
    </row>
    <row r="23" spans="1:64" customFormat="1" x14ac:dyDescent="0.25">
      <c r="A23" s="46" t="s">
        <v>21</v>
      </c>
      <c r="B23" s="42" t="s">
        <v>335</v>
      </c>
      <c r="C23" s="238"/>
      <c r="D23" s="15">
        <f>IFERROR(((s_DL/(up_RadSpec!E23*s_IFS_rec_adj*(1/1000)))*1),".")</f>
        <v>0.33057851239669422</v>
      </c>
      <c r="E23" s="15">
        <f>IFERROR(IF(A23="H-3",(s_DL/((up_RadSpec!H23*s_IFA_rec_adj*(1/17)*1000))*1),(s_DL/((up_RadSpec!H23*s_IFA_rec_adj*(1/s_PEF_wind)*1000))*1)),".")</f>
        <v>3089.9917851942919</v>
      </c>
      <c r="F23" s="2">
        <f>IFERROR((s_DL/(up_RadSpec!G23*s_EF_rec*(1/365)*1*up_RadSpec!R23*s_ET_rec*(1/24)*up_RadSpec!W23)),".")</f>
        <v>350.03923532849149</v>
      </c>
      <c r="G23" s="2">
        <f>IFERROR((BG23/(up_RadSpec!AI23*((s_Q_p_game*s_f_p_game*s_f_s_game*(up_RadSpec!BD23+s_R_es_past))+(s_Q_s_game*s_f_p_game)))),".")</f>
        <v>7.5757575757575758E-5</v>
      </c>
      <c r="H23" s="2">
        <f>IFERROR((BG23/(up_RadSpec!AL23*((s_Q_p_fowl*s_f_p_fowl*s_f_s_fowl*(up_RadSpec!BD23+s_R_es_past))+(s_Q_s_fowl*s_f_p_fowl)))),".")</f>
        <v>7.5757575757575758E-5</v>
      </c>
      <c r="I23" s="233">
        <f t="shared" si="10"/>
        <v>3.0249999999999999</v>
      </c>
      <c r="J23" s="233">
        <f t="shared" si="10"/>
        <v>3.236254558317935E-4</v>
      </c>
      <c r="K23" s="233">
        <f t="shared" si="10"/>
        <v>2.8568226046476134E-3</v>
      </c>
      <c r="L23" s="233">
        <f t="shared" si="10"/>
        <v>13200</v>
      </c>
      <c r="M23" s="233">
        <f t="shared" si="10"/>
        <v>13200</v>
      </c>
      <c r="N23" s="2">
        <f t="shared" si="11"/>
        <v>3.7874443536007689E-5</v>
      </c>
      <c r="O23" s="189">
        <f>IFERROR(N23*(0.0000000000028)*up_RadSpec!$AY23*up_RadSpec!$AF23,0)</f>
        <v>1.1983473934792834E-13</v>
      </c>
      <c r="P23" s="40">
        <f t="shared" si="1"/>
        <v>15.125</v>
      </c>
      <c r="Q23" s="40">
        <f t="shared" si="2"/>
        <v>1.6181272791589674E-3</v>
      </c>
      <c r="R23" s="40">
        <f>IFERROR((s_C*s_EF_rec*(1/365)*1*up_RadSpec!R23*s_ET_rec*(1/24)*up_RadSpec!W23),".")</f>
        <v>1.4284113023238069E-2</v>
      </c>
      <c r="S23" s="19">
        <f>IFERROR((s_C*s_IRGL_rec*s_EF_rec*1*s_CF_game*up_RadSpec!AI23)*((s_Q_p_game*s_f_p_game*s_f_s_game*(up_RadSpec!BD23+s_R_es_past))+(s_Q_s_game*s_f_p_game)),".")</f>
        <v>66000</v>
      </c>
      <c r="T23" s="19">
        <f>IFERROR((s_C*s_IRGF_rec*s_EF_rec*1*s_CF_fowl*up_RadSpec!AL23)*((s_Q_p_fowl*s_f_p_fowl*s_f_s_fowl*(up_RadSpec!BD23+s_R_es_past))+(s_Q_s_fowl*s_f_p_fowl)),0)</f>
        <v>66000</v>
      </c>
      <c r="U23" s="18"/>
      <c r="V23" s="15">
        <f>IFERROR((s_DL/(up_RadSpec!G23*s_EF_rec*(1/365)*1*up_RadSpec!R23*s_ET_rec*(1/24)*up_RadSpec!W23)),".")</f>
        <v>350.03923532849149</v>
      </c>
      <c r="W23" s="15">
        <f>IFERROR((s_DL/(up_RadSpec!N23*s_EF_rec*(1/365)*1*up_RadSpec!S23*s_ET_rec*(1/24)*up_RadSpec!X23)),".")</f>
        <v>623.0764241703605</v>
      </c>
      <c r="X23" s="15">
        <f>IFERROR((s_DL/(up_RadSpec!O23*s_EF_rec*(1/365)*1*up_RadSpec!T23*s_ET_rec*(1/24)*up_RadSpec!Y23)),".")</f>
        <v>440.59313285674295</v>
      </c>
      <c r="Y23" s="15">
        <f>IFERROR((s_DL/(up_RadSpec!P23*s_EF_rec*(1/365)*1*up_RadSpec!U23*s_ET_rec*(1/24)*up_RadSpec!Z23)),".")</f>
        <v>360.55144855144857</v>
      </c>
      <c r="Z23" s="15">
        <f>IFERROR((s_DL/(up_RadSpec!L23*s_EF_rec*(1/365)*1*up_RadSpec!Q23*s_ET_rec*(1/24)*up_RadSpec!V23)),".")</f>
        <v>980.81956878073379</v>
      </c>
      <c r="AA23" s="189">
        <f>IFERROR(V23*(0.0000000000028)*up_RadSpec!$AY23*up_RadSpec!$AF23,0)</f>
        <v>1.1075241405793471E-6</v>
      </c>
      <c r="AB23" s="189">
        <f>IFERROR(W23*(0.0000000000028)*up_RadSpec!$AY23*up_RadSpec!$AF23,0)</f>
        <v>1.9714138060750206E-6</v>
      </c>
      <c r="AC23" s="189">
        <f>IFERROR(X23*(0.0000000000028)*up_RadSpec!$AY23*up_RadSpec!$AF23,0)</f>
        <v>1.3940366723587347E-6</v>
      </c>
      <c r="AD23" s="189">
        <f>IFERROR(Y23*(0.0000000000028)*up_RadSpec!$AY23*up_RadSpec!$AF23,0)</f>
        <v>1.1407847832167834E-6</v>
      </c>
      <c r="AE23" s="189">
        <f>IFERROR(Z23*(0.0000000000028)*up_RadSpec!$AY23*up_RadSpec!$AF23,0)</f>
        <v>3.1033131156222421E-6</v>
      </c>
      <c r="AF23" s="40">
        <f>IFERROR((s_C*s_EF_rec*(1/365)*1*up_RadSpec!R23*s_ET_rec*(1/24)*up_RadSpec!W23),".")</f>
        <v>1.4284113023238069E-2</v>
      </c>
      <c r="AG23" s="40">
        <f>IFERROR((s_C*s_EF_rec*(1/365)*1*up_RadSpec!S23*s_ET_rec*(1/24)*up_RadSpec!X23),".")</f>
        <v>8.0246977835144485E-3</v>
      </c>
      <c r="AH23" s="40">
        <f>IFERROR((s_C*s_EF_rec*(1/365)*1*up_RadSpec!T23*s_ET_rec*(1/24)*up_RadSpec!Y23),".")</f>
        <v>1.1348338471779426E-2</v>
      </c>
      <c r="AI23" s="40">
        <f>IFERROR((s_C*s_EF_rec*(1/365)*1*up_RadSpec!U23*s_ET_rec*(1/24)*up_RadSpec!Z23),".")</f>
        <v>1.3867646406880346E-2</v>
      </c>
      <c r="AJ23" s="40">
        <f>IFERROR((s_C*s_EF_rec*(1/365)*1*up_RadSpec!Q23*s_ET_rec*(1/24)*up_RadSpec!V23),".")</f>
        <v>5.097777572092641E-3</v>
      </c>
      <c r="AK23" s="15">
        <f>IFERROR((s_DL/(up_RadSpec!H23*s_IFA_rec_adj)),".")</f>
        <v>9.9740259740259754E-3</v>
      </c>
      <c r="AL23" s="15">
        <f>IFERROR((s_DL/(up_RadSpec!K23*s_EF_rec*(1/365)*1*s_ET_rec*(1/24)*s_GSF_a)),".")</f>
        <v>63.709090909090911</v>
      </c>
      <c r="AM23" s="15">
        <f t="shared" si="15"/>
        <v>9.9724647271019675E-3</v>
      </c>
      <c r="AN23" s="189">
        <f>AM23*(0.0000000000000028)*up_RadSpec!$AY23*up_RadSpec!$AF23</f>
        <v>3.1552878396550628E-14</v>
      </c>
      <c r="AO23" s="40">
        <f t="shared" si="3"/>
        <v>501.30208333333326</v>
      </c>
      <c r="AP23" s="40">
        <f t="shared" si="4"/>
        <v>7.8481735159817351E-2</v>
      </c>
      <c r="AQ23" s="45"/>
      <c r="AR23" s="15">
        <f>IFERROR((s_DL/(up_RadSpec!I23*s_IFW_rec_adj)),".")</f>
        <v>2.2727272727272726E-3</v>
      </c>
      <c r="AS23" s="15">
        <f>IFERROR((s_DL/(up_RadSpec!M23*(1/8760)*s_DFA_rec_adj)),".")</f>
        <v>39.81818181818182</v>
      </c>
      <c r="AT23" s="2">
        <f>IFERROR(BG23/(up_RadSpec!AI23*s_Q_w_game*(1/1000)),".")</f>
        <v>1.8181818181818181</v>
      </c>
      <c r="AU23" s="2">
        <f>IFERROR(BG23/(up_RadSpec!AL23*s_Q_w_fowl*(1/1000)),".")</f>
        <v>1.8181818181818181</v>
      </c>
      <c r="AV23" s="233">
        <f t="shared" si="5"/>
        <v>440</v>
      </c>
      <c r="AW23" s="233">
        <f t="shared" si="5"/>
        <v>2.5114155251141551E-2</v>
      </c>
      <c r="AX23" s="233">
        <f t="shared" si="5"/>
        <v>0.55000000000000004</v>
      </c>
      <c r="AY23" s="233">
        <f t="shared" si="5"/>
        <v>0.55000000000000004</v>
      </c>
      <c r="AZ23" s="2">
        <f t="shared" si="12"/>
        <v>2.2669305553255272E-3</v>
      </c>
      <c r="BA23" s="189">
        <f>AZ23*(0.0000000000000028)*up_RadSpec!$AY23*up_RadSpec!$AF23</f>
        <v>7.1725682770499671E-15</v>
      </c>
      <c r="BB23" s="40">
        <f t="shared" si="6"/>
        <v>2200</v>
      </c>
      <c r="BC23" s="40">
        <f t="shared" si="7"/>
        <v>0.12557077625570776</v>
      </c>
      <c r="BD23" s="19">
        <f>IFERROR(s_C*up_RadSpec!AI23*s_Q_w_game*(1/1000)*s_EF_rec*1*s_IRGL_rec*s_CF_game,".")</f>
        <v>2.75</v>
      </c>
      <c r="BE23" s="19">
        <f>IFERROR(s_C*up_RadSpec!AL23*s_Q_w_fowl*(1/1000)*s_EF_rec*1*s_IRGL_rec*s_CF_fowl,0)</f>
        <v>2.75</v>
      </c>
      <c r="BF23" s="18"/>
      <c r="BG23" s="2">
        <f>IFERROR(s_DL/(up_RadSpec!F23*s_EF_rec*1*s_IRGL_rec*s_CF_game),".")</f>
        <v>1.8181818181818181E-2</v>
      </c>
      <c r="BH23" s="2">
        <f>IFERROR(s_DL/(up_RadSpec!F23*s_EF_rec*1*s_IRGF_rec*s_CF_fowl),".")</f>
        <v>1.8181818181818181E-2</v>
      </c>
      <c r="BI23" s="189">
        <f>IFERROR(BG23*(0.0000000000028)*up_RadSpec!$AY23*up_RadSpec!$AF23,0)</f>
        <v>5.7527272727272733E-11</v>
      </c>
      <c r="BJ23" s="189">
        <f>IFERROR(BH23*(0.0000000000028)*up_RadSpec!$AY23*up_RadSpec!$AF23,0)</f>
        <v>5.7527272727272733E-11</v>
      </c>
      <c r="BK23" s="19">
        <f t="shared" si="8"/>
        <v>275</v>
      </c>
      <c r="BL23" s="19">
        <f t="shared" si="9"/>
        <v>275</v>
      </c>
    </row>
    <row r="24" spans="1:64" customFormat="1" x14ac:dyDescent="0.25">
      <c r="A24" s="44" t="s">
        <v>22</v>
      </c>
      <c r="B24" s="42" t="s">
        <v>1057</v>
      </c>
      <c r="C24" s="238"/>
      <c r="D24" s="15">
        <f>IFERROR(((s_DL/(up_RadSpec!E24*s_IFS_rec_adj*(1/1000)))*1),".")</f>
        <v>0.33057851239669422</v>
      </c>
      <c r="E24" s="15">
        <f>IFERROR(IF(A24="H-3",(s_DL/((up_RadSpec!H24*s_IFA_rec_adj*(1/17)*1000))*1),(s_DL/((up_RadSpec!H24*s_IFA_rec_adj*(1/s_PEF_wind)*1000))*1)),".")</f>
        <v>3089.9917851942919</v>
      </c>
      <c r="F24" s="2">
        <f>IFERROR((s_DL/(up_RadSpec!G24*s_EF_rec*(1/365)*1*up_RadSpec!R24*s_ET_rec*(1/24)*up_RadSpec!W24)),".")</f>
        <v>458.87362275580551</v>
      </c>
      <c r="G24" s="2">
        <f>IFERROR((BG24/(up_RadSpec!AI24*((s_Q_p_game*s_f_p_game*s_f_s_game*(up_RadSpec!BD24+s_R_es_past))+(s_Q_s_game*s_f_p_game)))),".")</f>
        <v>7.5757575757575758E-5</v>
      </c>
      <c r="H24" s="2">
        <f>IFERROR((BG24/(up_RadSpec!AL24*((s_Q_p_fowl*s_f_p_fowl*s_f_s_fowl*(up_RadSpec!BD24+s_R_es_past))+(s_Q_s_fowl*s_f_p_fowl)))),".")</f>
        <v>7.5757575757575758E-5</v>
      </c>
      <c r="I24" s="233">
        <f t="shared" si="10"/>
        <v>3.0249999999999999</v>
      </c>
      <c r="J24" s="233">
        <f t="shared" si="10"/>
        <v>3.236254558317935E-4</v>
      </c>
      <c r="K24" s="233">
        <f t="shared" si="10"/>
        <v>2.1792492538455642E-3</v>
      </c>
      <c r="L24" s="233">
        <f t="shared" si="10"/>
        <v>13200</v>
      </c>
      <c r="M24" s="233">
        <f t="shared" si="10"/>
        <v>13200</v>
      </c>
      <c r="N24" s="2">
        <f t="shared" si="11"/>
        <v>3.7874444507968719E-5</v>
      </c>
      <c r="O24" s="189">
        <f>IFERROR(N24*(0.0000000000028)*up_RadSpec!$AY24*up_RadSpec!$AF24,0)</f>
        <v>1.1559280463832054E-13</v>
      </c>
      <c r="P24" s="40">
        <f t="shared" si="1"/>
        <v>15.125</v>
      </c>
      <c r="Q24" s="40">
        <f t="shared" si="2"/>
        <v>1.6181272791589674E-3</v>
      </c>
      <c r="R24" s="40">
        <f>IFERROR((s_C*s_EF_rec*(1/365)*1*up_RadSpec!R24*s_ET_rec*(1/24)*up_RadSpec!W24),".")</f>
        <v>1.0896246269227821E-2</v>
      </c>
      <c r="S24" s="19">
        <f>IFERROR((s_C*s_IRGL_rec*s_EF_rec*1*s_CF_game*up_RadSpec!AI24)*((s_Q_p_game*s_f_p_game*s_f_s_game*(up_RadSpec!BD24+s_R_es_past))+(s_Q_s_game*s_f_p_game)),".")</f>
        <v>66000</v>
      </c>
      <c r="T24" s="19">
        <f>IFERROR((s_C*s_IRGF_rec*s_EF_rec*1*s_CF_fowl*up_RadSpec!AL24)*((s_Q_p_fowl*s_f_p_fowl*s_f_s_fowl*(up_RadSpec!BD24+s_R_es_past))+(s_Q_s_fowl*s_f_p_fowl)),0)</f>
        <v>66000</v>
      </c>
      <c r="U24" s="18"/>
      <c r="V24" s="15">
        <f>IFERROR((s_DL/(up_RadSpec!G24*s_EF_rec*(1/365)*1*up_RadSpec!R24*s_ET_rec*(1/24)*up_RadSpec!W24)),".")</f>
        <v>458.87362275580551</v>
      </c>
      <c r="W24" s="15">
        <f>IFERROR((s_DL/(up_RadSpec!N24*s_EF_rec*(1/365)*1*up_RadSpec!S24*s_ET_rec*(1/24)*up_RadSpec!X24)),".")</f>
        <v>831.9447442262034</v>
      </c>
      <c r="X24" s="15">
        <f>IFERROR((s_DL/(up_RadSpec!O24*s_EF_rec*(1/365)*1*up_RadSpec!T24*s_ET_rec*(1/24)*up_RadSpec!Y24)),".")</f>
        <v>587.40674803103343</v>
      </c>
      <c r="Y24" s="15">
        <f>IFERROR((s_DL/(up_RadSpec!P24*s_EF_rec*(1/365)*1*up_RadSpec!U24*s_ET_rec*(1/24)*up_RadSpec!Z24)),".")</f>
        <v>490.52272027325921</v>
      </c>
      <c r="Z24" s="15">
        <f>IFERROR((s_DL/(up_RadSpec!L24*s_EF_rec*(1/365)*1*up_RadSpec!Q24*s_ET_rec*(1/24)*up_RadSpec!V24)),".")</f>
        <v>1382.6973026973023</v>
      </c>
      <c r="AA24" s="189">
        <f>IFERROR(V24*(0.0000000000028)*up_RadSpec!$AY24*up_RadSpec!$AF24,0)</f>
        <v>1.4004822966507184E-6</v>
      </c>
      <c r="AB24" s="189">
        <f>IFERROR(W24*(0.0000000000028)*up_RadSpec!$AY24*up_RadSpec!$AF24,0)</f>
        <v>2.5390953593783728E-6</v>
      </c>
      <c r="AC24" s="189">
        <f>IFERROR(X24*(0.0000000000028)*up_RadSpec!$AY24*up_RadSpec!$AF24,0)</f>
        <v>1.7927653949907141E-6</v>
      </c>
      <c r="AD24" s="189">
        <f>IFERROR(Y24*(0.0000000000028)*up_RadSpec!$AY24*up_RadSpec!$AF24,0)</f>
        <v>1.4970753422739872E-6</v>
      </c>
      <c r="AE24" s="189">
        <f>IFERROR(Z24*(0.0000000000028)*up_RadSpec!$AY24*up_RadSpec!$AF24,0)</f>
        <v>4.2199921678321661E-6</v>
      </c>
      <c r="AF24" s="40">
        <f>IFERROR((s_C*s_EF_rec*(1/365)*1*up_RadSpec!R24*s_ET_rec*(1/24)*up_RadSpec!W24),".")</f>
        <v>1.0896246269227821E-2</v>
      </c>
      <c r="AG24" s="40">
        <f>IFERROR((s_C*s_EF_rec*(1/365)*1*up_RadSpec!S24*s_ET_rec*(1/24)*up_RadSpec!X24),".")</f>
        <v>6.0100145288501444E-3</v>
      </c>
      <c r="AH24" s="40">
        <f>IFERROR((s_C*s_EF_rec*(1/365)*1*up_RadSpec!T24*s_ET_rec*(1/24)*up_RadSpec!Y24),".")</f>
        <v>8.5119893783308122E-3</v>
      </c>
      <c r="AI24" s="40">
        <f>IFERROR((s_C*s_EF_rec*(1/365)*1*up_RadSpec!U24*s_ET_rec*(1/24)*up_RadSpec!Z24),".")</f>
        <v>1.0193207762557078E-2</v>
      </c>
      <c r="AJ24" s="40">
        <f>IFERROR((s_C*s_EF_rec*(1/365)*1*up_RadSpec!Q24*s_ET_rec*(1/24)*up_RadSpec!V24),".")</f>
        <v>3.616120455465003E-3</v>
      </c>
      <c r="AK24" s="15">
        <f>IFERROR((s_DL/(up_RadSpec!H24*s_IFA_rec_adj)),".")</f>
        <v>9.9740259740259754E-3</v>
      </c>
      <c r="AL24" s="15">
        <f>IFERROR((s_DL/(up_RadSpec!K24*s_EF_rec*(1/365)*1*s_ET_rec*(1/24)*s_GSF_a)),".")</f>
        <v>63.709090909090911</v>
      </c>
      <c r="AM24" s="15">
        <f t="shared" si="15"/>
        <v>9.9724647271019675E-3</v>
      </c>
      <c r="AN24" s="189">
        <f>AM24*(0.0000000000000028)*up_RadSpec!$AY24*up_RadSpec!$AF24</f>
        <v>3.0435962347115209E-14</v>
      </c>
      <c r="AO24" s="40">
        <f t="shared" si="3"/>
        <v>501.30208333333326</v>
      </c>
      <c r="AP24" s="40">
        <f t="shared" si="4"/>
        <v>7.8481735159817351E-2</v>
      </c>
      <c r="AQ24" s="45"/>
      <c r="AR24" s="15">
        <f>IFERROR((s_DL/(up_RadSpec!I24*s_IFW_rec_adj)),".")</f>
        <v>2.2727272727272726E-3</v>
      </c>
      <c r="AS24" s="15">
        <f>IFERROR((s_DL/(up_RadSpec!M24*(1/8760)*s_DFA_rec_adj)),".")</f>
        <v>39.81818181818182</v>
      </c>
      <c r="AT24" s="2">
        <f>IFERROR(BG24/(up_RadSpec!AI24*s_Q_w_game*(1/1000)),".")</f>
        <v>1.8181818181818181</v>
      </c>
      <c r="AU24" s="2">
        <f>IFERROR(BG24/(up_RadSpec!AL24*s_Q_w_fowl*(1/1000)),".")</f>
        <v>1.8181818181818181</v>
      </c>
      <c r="AV24" s="233">
        <f t="shared" si="5"/>
        <v>440</v>
      </c>
      <c r="AW24" s="233">
        <f t="shared" si="5"/>
        <v>2.5114155251141551E-2</v>
      </c>
      <c r="AX24" s="233">
        <f t="shared" si="5"/>
        <v>0.55000000000000004</v>
      </c>
      <c r="AY24" s="233">
        <f t="shared" si="5"/>
        <v>0.55000000000000004</v>
      </c>
      <c r="AZ24" s="2">
        <f t="shared" si="12"/>
        <v>2.2669305553255272E-3</v>
      </c>
      <c r="BA24" s="189">
        <f>AZ24*(0.0000000000000028)*up_RadSpec!$AY24*up_RadSpec!$AF24</f>
        <v>6.918672054853509E-15</v>
      </c>
      <c r="BB24" s="40">
        <f t="shared" si="6"/>
        <v>2200</v>
      </c>
      <c r="BC24" s="40">
        <f t="shared" si="7"/>
        <v>0.12557077625570776</v>
      </c>
      <c r="BD24" s="19">
        <f>IFERROR(s_C*up_RadSpec!AI24*s_Q_w_game*(1/1000)*s_EF_rec*1*s_IRGL_rec*s_CF_game,".")</f>
        <v>2.75</v>
      </c>
      <c r="BE24" s="19">
        <f>IFERROR(s_C*up_RadSpec!AL24*s_Q_w_fowl*(1/1000)*s_EF_rec*1*s_IRGL_rec*s_CF_fowl,0)</f>
        <v>2.75</v>
      </c>
      <c r="BF24" s="18"/>
      <c r="BG24" s="2">
        <f>IFERROR(s_DL/(up_RadSpec!F24*s_EF_rec*1*s_IRGL_rec*s_CF_game),".")</f>
        <v>1.8181818181818181E-2</v>
      </c>
      <c r="BH24" s="2">
        <f>IFERROR(s_DL/(up_RadSpec!F24*s_EF_rec*1*s_IRGF_rec*s_CF_fowl),".")</f>
        <v>1.8181818181818181E-2</v>
      </c>
      <c r="BI24" s="189">
        <f>IFERROR(BG24*(0.0000000000028)*up_RadSpec!$AY24*up_RadSpec!$AF24,0)</f>
        <v>5.5490909090909096E-11</v>
      </c>
      <c r="BJ24" s="189">
        <f>IFERROR(BH24*(0.0000000000028)*up_RadSpec!$AY24*up_RadSpec!$AF24,0)</f>
        <v>5.5490909090909096E-11</v>
      </c>
      <c r="BK24" s="19">
        <f t="shared" si="8"/>
        <v>275</v>
      </c>
      <c r="BL24" s="19">
        <f t="shared" si="9"/>
        <v>275</v>
      </c>
    </row>
    <row r="25" spans="1:64" customFormat="1" x14ac:dyDescent="0.25">
      <c r="A25" s="46" t="s">
        <v>23</v>
      </c>
      <c r="B25" s="42" t="s">
        <v>335</v>
      </c>
      <c r="C25" s="238"/>
      <c r="D25" s="15">
        <f>IFERROR(((s_DL/(up_RadSpec!E25*s_IFS_rec_adj*(1/1000)))*1),".")</f>
        <v>0.33057851239669422</v>
      </c>
      <c r="E25" s="15">
        <f>IFERROR(IF(A25="H-3",(s_DL/((up_RadSpec!H25*s_IFA_rec_adj*(1/17)*1000))*1),(s_DL/((up_RadSpec!H25*s_IFA_rec_adj*(1/s_PEF_wind)*1000))*1)),".")</f>
        <v>3089.9917851942919</v>
      </c>
      <c r="F25" s="2">
        <f>IFERROR((s_DL/(up_RadSpec!G25*s_EF_rec*(1/365)*1*up_RadSpec!R25*s_ET_rec*(1/24)*up_RadSpec!W25)),".")</f>
        <v>511.71960569550941</v>
      </c>
      <c r="G25" s="2">
        <f>IFERROR((BG25/(up_RadSpec!AI25*((s_Q_p_game*s_f_p_game*s_f_s_game*(up_RadSpec!BD25+s_R_es_past))+(s_Q_s_game*s_f_p_game)))),".")</f>
        <v>7.5757575757575758E-5</v>
      </c>
      <c r="H25" s="2">
        <f>IFERROR((BG25/(up_RadSpec!AL25*((s_Q_p_fowl*s_f_p_fowl*s_f_s_fowl*(up_RadSpec!BD25+s_R_es_past))+(s_Q_s_fowl*s_f_p_fowl)))),".")</f>
        <v>7.5757575757575758E-5</v>
      </c>
      <c r="I25" s="233">
        <f t="shared" si="10"/>
        <v>3.0249999999999999</v>
      </c>
      <c r="J25" s="233">
        <f t="shared" si="10"/>
        <v>3.236254558317935E-4</v>
      </c>
      <c r="K25" s="233">
        <f t="shared" si="10"/>
        <v>1.9541952054794517E-3</v>
      </c>
      <c r="L25" s="233">
        <f t="shared" si="10"/>
        <v>13200</v>
      </c>
      <c r="M25" s="233">
        <f t="shared" si="10"/>
        <v>13200</v>
      </c>
      <c r="N25" s="2">
        <f t="shared" si="11"/>
        <v>3.7874444830802791E-5</v>
      </c>
      <c r="O25" s="189">
        <f>IFERROR(N25*(0.0000000000028)*up_RadSpec!$AY25*up_RadSpec!$AF25,0)</f>
        <v>1.1771377453413507E-13</v>
      </c>
      <c r="P25" s="40">
        <f t="shared" si="1"/>
        <v>15.125</v>
      </c>
      <c r="Q25" s="40">
        <f t="shared" si="2"/>
        <v>1.6181272791589674E-3</v>
      </c>
      <c r="R25" s="40">
        <f>IFERROR((s_C*s_EF_rec*(1/365)*1*up_RadSpec!R25*s_ET_rec*(1/24)*up_RadSpec!W25),".")</f>
        <v>9.7709760273972587E-3</v>
      </c>
      <c r="S25" s="19">
        <f>IFERROR((s_C*s_IRGL_rec*s_EF_rec*1*s_CF_game*up_RadSpec!AI25)*((s_Q_p_game*s_f_p_game*s_f_s_game*(up_RadSpec!BD25+s_R_es_past))+(s_Q_s_game*s_f_p_game)),".")</f>
        <v>66000</v>
      </c>
      <c r="T25" s="19">
        <f>IFERROR((s_C*s_IRGF_rec*s_EF_rec*1*s_CF_fowl*up_RadSpec!AL25)*((s_Q_p_fowl*s_f_p_fowl*s_f_s_fowl*(up_RadSpec!BD25+s_R_es_past))+(s_Q_s_fowl*s_f_p_fowl)),0)</f>
        <v>66000</v>
      </c>
      <c r="U25" s="18"/>
      <c r="V25" s="15">
        <f>IFERROR((s_DL/(up_RadSpec!G25*s_EF_rec*(1/365)*1*up_RadSpec!R25*s_ET_rec*(1/24)*up_RadSpec!W25)),".")</f>
        <v>511.71960569550941</v>
      </c>
      <c r="W25" s="15">
        <f>IFERROR((s_DL/(up_RadSpec!N25*s_EF_rec*(1/365)*1*up_RadSpec!S25*s_ET_rec*(1/24)*up_RadSpec!X25)),".")</f>
        <v>916.38362553616764</v>
      </c>
      <c r="X25" s="15">
        <f>IFERROR((s_DL/(up_RadSpec!O25*s_EF_rec*(1/365)*1*up_RadSpec!T25*s_ET_rec*(1/24)*up_RadSpec!Y25)),".")</f>
        <v>657.32694272020126</v>
      </c>
      <c r="Y25" s="15">
        <f>IFERROR((s_DL/(up_RadSpec!P25*s_EF_rec*(1/365)*1*up_RadSpec!U25*s_ET_rec*(1/24)*up_RadSpec!Z25)),".")</f>
        <v>586.97641341709129</v>
      </c>
      <c r="Z25" s="15">
        <f>IFERROR((s_DL/(up_RadSpec!L25*s_EF_rec*(1/365)*1*up_RadSpec!Q25*s_ET_rec*(1/24)*up_RadSpec!V25)),".")</f>
        <v>1642.9752066115702</v>
      </c>
      <c r="AA25" s="189">
        <f>IFERROR(V25*(0.0000000000028)*up_RadSpec!$AY25*up_RadSpec!$AF25,0)</f>
        <v>1.5904245345016435E-6</v>
      </c>
      <c r="AB25" s="189">
        <f>IFERROR(W25*(0.0000000000028)*up_RadSpec!$AY25*up_RadSpec!$AF25,0)</f>
        <v>2.8481203081664092E-6</v>
      </c>
      <c r="AC25" s="189">
        <f>IFERROR(X25*(0.0000000000028)*up_RadSpec!$AY25*up_RadSpec!$AF25,0)</f>
        <v>2.0429721379743854E-6</v>
      </c>
      <c r="AD25" s="189">
        <f>IFERROR(Y25*(0.0000000000028)*up_RadSpec!$AY25*up_RadSpec!$AF25,0)</f>
        <v>1.82432269290032E-6</v>
      </c>
      <c r="AE25" s="189">
        <f>IFERROR(Z25*(0.0000000000028)*up_RadSpec!$AY25*up_RadSpec!$AF25,0)</f>
        <v>5.1063669421487615E-6</v>
      </c>
      <c r="AF25" s="40">
        <f>IFERROR((s_C*s_EF_rec*(1/365)*1*up_RadSpec!R25*s_ET_rec*(1/24)*up_RadSpec!W25),".")</f>
        <v>9.7709760273972587E-3</v>
      </c>
      <c r="AG25" s="40">
        <f>IFERROR((s_C*s_EF_rec*(1/365)*1*up_RadSpec!S25*s_ET_rec*(1/24)*up_RadSpec!X25),".")</f>
        <v>5.4562301864293419E-3</v>
      </c>
      <c r="AH25" s="40">
        <f>IFERROR((s_C*s_EF_rec*(1/365)*1*up_RadSpec!T25*s_ET_rec*(1/24)*up_RadSpec!Y25),".")</f>
        <v>7.6065648234478461E-3</v>
      </c>
      <c r="AI25" s="40">
        <f>IFERROR((s_C*s_EF_rec*(1/365)*1*up_RadSpec!U25*s_ET_rec*(1/24)*up_RadSpec!Z25),".")</f>
        <v>8.5182298397518744E-3</v>
      </c>
      <c r="AJ25" s="40">
        <f>IFERROR((s_C*s_EF_rec*(1/365)*1*up_RadSpec!Q25*s_ET_rec*(1/24)*up_RadSpec!V25),".")</f>
        <v>3.0432595573440645E-3</v>
      </c>
      <c r="AK25" s="15">
        <f>IFERROR((s_DL/(up_RadSpec!H25*s_IFA_rec_adj)),".")</f>
        <v>9.9740259740259754E-3</v>
      </c>
      <c r="AL25" s="15">
        <f>IFERROR((s_DL/(up_RadSpec!K25*s_EF_rec*(1/365)*1*s_ET_rec*(1/24)*s_GSF_a)),".")</f>
        <v>63.709090909090911</v>
      </c>
      <c r="AM25" s="15">
        <f>IFERROR(IF(AND(AK25&lt;&gt;".",AL25&lt;&gt;"."),1/((1/AK25)+(1/AL25)),IF(AND(AK25&lt;&gt;".",AL25="."),1/((1/AK25)),IF(AND(AK25=".",AL25&lt;&gt;"."),1/((1/AL25)),IF(AND(AK25=".",AL25="."),".")))),".")</f>
        <v>9.9724647271019675E-3</v>
      </c>
      <c r="AN25" s="189">
        <f>AM25*(0.0000000000000028)*up_RadSpec!$AY25*up_RadSpec!$AF25</f>
        <v>3.0994420371832921E-14</v>
      </c>
      <c r="AO25" s="40">
        <f t="shared" si="3"/>
        <v>501.30208333333326</v>
      </c>
      <c r="AP25" s="40">
        <f t="shared" si="4"/>
        <v>7.8481735159817351E-2</v>
      </c>
      <c r="AQ25" s="45"/>
      <c r="AR25" s="15">
        <f>IFERROR((s_DL/(up_RadSpec!I25*s_IFW_rec_adj)),".")</f>
        <v>2.2727272727272726E-3</v>
      </c>
      <c r="AS25" s="15">
        <f>IFERROR((s_DL/(up_RadSpec!M25*(1/8760)*s_DFA_rec_adj)),".")</f>
        <v>39.81818181818182</v>
      </c>
      <c r="AT25" s="2">
        <f>IFERROR(BG25/(up_RadSpec!AI25*s_Q_w_game*(1/1000)),".")</f>
        <v>1.8181818181818181</v>
      </c>
      <c r="AU25" s="2">
        <f>IFERROR(BG25/(up_RadSpec!AL25*s_Q_w_fowl*(1/1000)),".")</f>
        <v>1.8181818181818181</v>
      </c>
      <c r="AV25" s="233">
        <f t="shared" si="5"/>
        <v>440</v>
      </c>
      <c r="AW25" s="233">
        <f t="shared" si="5"/>
        <v>2.5114155251141551E-2</v>
      </c>
      <c r="AX25" s="233">
        <f t="shared" si="5"/>
        <v>0.55000000000000004</v>
      </c>
      <c r="AY25" s="233">
        <f t="shared" si="5"/>
        <v>0.55000000000000004</v>
      </c>
      <c r="AZ25" s="2">
        <f t="shared" si="12"/>
        <v>2.2669305553255272E-3</v>
      </c>
      <c r="BA25" s="189">
        <f>AZ25*(0.0000000000000028)*up_RadSpec!$AY25*up_RadSpec!$AF25</f>
        <v>7.0456201659517389E-15</v>
      </c>
      <c r="BB25" s="40">
        <f t="shared" si="6"/>
        <v>2200</v>
      </c>
      <c r="BC25" s="40">
        <f t="shared" si="7"/>
        <v>0.12557077625570776</v>
      </c>
      <c r="BD25" s="19">
        <f>IFERROR(s_C*up_RadSpec!AI25*s_Q_w_game*(1/1000)*s_EF_rec*1*s_IRGL_rec*s_CF_game,".")</f>
        <v>2.75</v>
      </c>
      <c r="BE25" s="19">
        <f>IFERROR(s_C*up_RadSpec!AL25*s_Q_w_fowl*(1/1000)*s_EF_rec*1*s_IRGL_rec*s_CF_fowl,0)</f>
        <v>2.75</v>
      </c>
      <c r="BF25" s="18"/>
      <c r="BG25" s="2">
        <f>IFERROR(s_DL/(up_RadSpec!F25*s_EF_rec*1*s_IRGL_rec*s_CF_game),".")</f>
        <v>1.8181818181818181E-2</v>
      </c>
      <c r="BH25" s="2">
        <f>IFERROR(s_DL/(up_RadSpec!F25*s_EF_rec*1*s_IRGF_rec*s_CF_fowl),".")</f>
        <v>1.8181818181818181E-2</v>
      </c>
      <c r="BI25" s="189">
        <f>IFERROR(BG25*(0.0000000000028)*up_RadSpec!$AY25*up_RadSpec!$AF25,0)</f>
        <v>5.6509090909090911E-11</v>
      </c>
      <c r="BJ25" s="189">
        <f>IFERROR(BH25*(0.0000000000028)*up_RadSpec!$AY25*up_RadSpec!$AF25,0)</f>
        <v>5.6509090909090911E-11</v>
      </c>
      <c r="BK25" s="19">
        <f t="shared" si="8"/>
        <v>275</v>
      </c>
      <c r="BL25" s="19">
        <f t="shared" si="9"/>
        <v>275</v>
      </c>
    </row>
    <row r="26" spans="1:64" customFormat="1" x14ac:dyDescent="0.25">
      <c r="A26" s="44" t="s">
        <v>24</v>
      </c>
      <c r="B26" s="42" t="s">
        <v>1057</v>
      </c>
      <c r="C26" s="42"/>
      <c r="D26" s="15">
        <f>IFERROR(((s_DL/(up_RadSpec!E26*s_IFS_rec_adj*(1/1000)))*1),".")</f>
        <v>0.33057851239669422</v>
      </c>
      <c r="E26" s="15">
        <f>IFERROR(IF(A26="H-3",(s_DL/((up_RadSpec!H26*s_IFA_rec_adj*(1/17)*1000))*1),(s_DL/((up_RadSpec!H26*s_IFA_rec_adj*(1/s_PEF_wind)*1000))*1)),".")</f>
        <v>3089.9917851942919</v>
      </c>
      <c r="F26" s="2">
        <f>IFERROR((s_DL/(up_RadSpec!G26*s_EF_rec*(1/365)*1*up_RadSpec!R26*s_ET_rec*(1/24)*up_RadSpec!W26)),".")</f>
        <v>2789.981447124303</v>
      </c>
      <c r="G26" s="2">
        <f>IFERROR((BG26/(up_RadSpec!AI26*((s_Q_p_game*s_f_p_game*s_f_s_game*(up_RadSpec!BD26+s_R_es_past))+(s_Q_s_game*s_f_p_game)))),".")</f>
        <v>7.5757575757575758E-5</v>
      </c>
      <c r="H26" s="2">
        <f>IFERROR((BG26/(up_RadSpec!AL26*((s_Q_p_fowl*s_f_p_fowl*s_f_s_fowl*(up_RadSpec!BD26+s_R_es_past))+(s_Q_s_fowl*s_f_p_fowl)))),".")</f>
        <v>7.5757575757575758E-5</v>
      </c>
      <c r="I26" s="233">
        <f t="shared" si="10"/>
        <v>3.0249999999999999</v>
      </c>
      <c r="J26" s="233">
        <f t="shared" si="10"/>
        <v>3.236254558317935E-4</v>
      </c>
      <c r="K26" s="233">
        <f t="shared" si="10"/>
        <v>3.5842532251629221E-4</v>
      </c>
      <c r="L26" s="233">
        <f t="shared" si="10"/>
        <v>13200</v>
      </c>
      <c r="M26" s="233">
        <f t="shared" si="10"/>
        <v>13200</v>
      </c>
      <c r="N26" s="2">
        <f t="shared" si="11"/>
        <v>3.7874447119892662E-5</v>
      </c>
      <c r="O26" s="189">
        <f>IFERROR(N26*(0.0000000000028)*up_RadSpec!$AY26*up_RadSpec!$AF26,0)</f>
        <v>1.2142547746637587E-13</v>
      </c>
      <c r="P26" s="40">
        <f t="shared" si="1"/>
        <v>15.125</v>
      </c>
      <c r="Q26" s="40">
        <f t="shared" si="2"/>
        <v>1.6181272791589674E-3</v>
      </c>
      <c r="R26" s="40">
        <f>IFERROR((s_C*s_EF_rec*(1/365)*1*up_RadSpec!R26*s_ET_rec*(1/24)*up_RadSpec!W26),".")</f>
        <v>1.792126612581461E-3</v>
      </c>
      <c r="S26" s="19">
        <f>IFERROR((s_C*s_IRGL_rec*s_EF_rec*1*s_CF_game*up_RadSpec!AI26)*((s_Q_p_game*s_f_p_game*s_f_s_game*(up_RadSpec!BD26+s_R_es_past))+(s_Q_s_game*s_f_p_game)),".")</f>
        <v>66000</v>
      </c>
      <c r="T26" s="19">
        <f>IFERROR((s_C*s_IRGF_rec*s_EF_rec*1*s_CF_fowl*up_RadSpec!AL26)*((s_Q_p_fowl*s_f_p_fowl*s_f_s_fowl*(up_RadSpec!BD26+s_R_es_past))+(s_Q_s_fowl*s_f_p_fowl)),0)</f>
        <v>66000</v>
      </c>
      <c r="U26" s="18"/>
      <c r="V26" s="15">
        <f>IFERROR((s_DL/(up_RadSpec!G26*s_EF_rec*(1/365)*1*up_RadSpec!R26*s_ET_rec*(1/24)*up_RadSpec!W26)),".")</f>
        <v>2789.981447124303</v>
      </c>
      <c r="W26" s="15">
        <f>IFERROR((s_DL/(up_RadSpec!N26*s_EF_rec*(1/365)*1*up_RadSpec!S26*s_ET_rec*(1/24)*up_RadSpec!X26)),".")</f>
        <v>5093.8165204298857</v>
      </c>
      <c r="X26" s="15">
        <f>IFERROR((s_DL/(up_RadSpec!O26*s_EF_rec*(1/365)*1*up_RadSpec!T26*s_ET_rec*(1/24)*up_RadSpec!Y26)),".")</f>
        <v>3681.7148325358839</v>
      </c>
      <c r="Y26" s="15">
        <f>IFERROR((s_DL/(up_RadSpec!P26*s_EF_rec*(1/365)*1*up_RadSpec!U26*s_ET_rec*(1/24)*up_RadSpec!Z26)),".")</f>
        <v>3149.2561983471064</v>
      </c>
      <c r="Z26" s="15">
        <f>IFERROR((s_DL/(up_RadSpec!L26*s_EF_rec*(1/365)*1*up_RadSpec!Q26*s_ET_rec*(1/24)*up_RadSpec!V26)),".")</f>
        <v>29689.496050264632</v>
      </c>
      <c r="AA26" s="189">
        <f>IFERROR(V26*(0.0000000000028)*up_RadSpec!$AY26*up_RadSpec!$AF26,0)</f>
        <v>8.9446805194805153E-6</v>
      </c>
      <c r="AB26" s="189">
        <f>IFERROR(W26*(0.0000000000028)*up_RadSpec!$AY26*up_RadSpec!$AF26,0)</f>
        <v>1.6330775764498214E-5</v>
      </c>
      <c r="AC26" s="189">
        <f>IFERROR(X26*(0.0000000000028)*up_RadSpec!$AY26*up_RadSpec!$AF26,0)</f>
        <v>1.1803577753110045E-5</v>
      </c>
      <c r="AD26" s="189">
        <f>IFERROR(Y26*(0.0000000000028)*up_RadSpec!$AY26*up_RadSpec!$AF26,0)</f>
        <v>1.0096515371900824E-5</v>
      </c>
      <c r="AE26" s="189">
        <f>IFERROR(Z26*(0.0000000000028)*up_RadSpec!$AY26*up_RadSpec!$AF26,0)</f>
        <v>9.5184524337148409E-5</v>
      </c>
      <c r="AF26" s="40">
        <f>IFERROR((s_C*s_EF_rec*(1/365)*1*up_RadSpec!R26*s_ET_rec*(1/24)*up_RadSpec!W26),".")</f>
        <v>1.792126612581461E-3</v>
      </c>
      <c r="AG26" s="40">
        <f>IFERROR((s_C*s_EF_rec*(1/365)*1*up_RadSpec!S26*s_ET_rec*(1/24)*up_RadSpec!X26),".")</f>
        <v>9.815822733202867E-4</v>
      </c>
      <c r="AH26" s="40">
        <f>IFERROR((s_C*s_EF_rec*(1/365)*1*up_RadSpec!T26*s_ET_rec*(1/24)*up_RadSpec!Y26),".")</f>
        <v>1.3580628124194264E-3</v>
      </c>
      <c r="AI26" s="40">
        <f>IFERROR((s_C*s_EF_rec*(1/365)*1*up_RadSpec!U26*s_ET_rec*(1/24)*up_RadSpec!Z26),".")</f>
        <v>1.5876764813940068E-3</v>
      </c>
      <c r="AJ26" s="40">
        <f>IFERROR((s_C*s_EF_rec*(1/365)*1*up_RadSpec!Q26*s_ET_rec*(1/24)*up_RadSpec!V26),".")</f>
        <v>1.6840972953986646E-4</v>
      </c>
      <c r="AK26" s="15">
        <f>IFERROR((s_DL/(up_RadSpec!H26*s_IFA_rec_adj)),".")</f>
        <v>9.9740259740259754E-3</v>
      </c>
      <c r="AL26" s="15">
        <f>IFERROR((s_DL/(up_RadSpec!K26*s_EF_rec*(1/365)*1*s_ET_rec*(1/24)*s_GSF_a)),".")</f>
        <v>63.709090909090911</v>
      </c>
      <c r="AM26" s="15">
        <f>IFERROR(IF(AND(AK26&lt;&gt;".",AL26&lt;&gt;"."),1/((1/AK26)+(1/AL26)),IF(AND(AK26&lt;&gt;".",AL26="."),1/((1/AK26)),IF(AND(AK26=".",AL26&lt;&gt;"."),1/((1/AL26)),IF(AND(AK26=".",AL26="."),".")))),".")</f>
        <v>9.9724647271019675E-3</v>
      </c>
      <c r="AN26" s="189">
        <f>AM26*(0.0000000000000028)*up_RadSpec!$AY26*up_RadSpec!$AF26</f>
        <v>3.1971721915088906E-14</v>
      </c>
      <c r="AO26" s="40">
        <f t="shared" si="3"/>
        <v>501.30208333333326</v>
      </c>
      <c r="AP26" s="40">
        <f t="shared" si="4"/>
        <v>7.8481735159817351E-2</v>
      </c>
      <c r="AQ26" s="45"/>
      <c r="AR26" s="15">
        <f>IFERROR((s_DL/(up_RadSpec!I26*s_IFW_rec_adj)),".")</f>
        <v>2.2727272727272726E-3</v>
      </c>
      <c r="AS26" s="15">
        <f>IFERROR((s_DL/(up_RadSpec!M26*(1/8760)*s_DFA_rec_adj)),".")</f>
        <v>39.81818181818182</v>
      </c>
      <c r="AT26" s="2">
        <f>IFERROR(BG26/(up_RadSpec!AI26*s_Q_w_game*(1/1000)),".")</f>
        <v>1.8181818181818181</v>
      </c>
      <c r="AU26" s="2">
        <f>IFERROR(BG26/(up_RadSpec!AL26*s_Q_w_fowl*(1/1000)),".")</f>
        <v>1.8181818181818181</v>
      </c>
      <c r="AV26" s="233">
        <f t="shared" si="5"/>
        <v>440</v>
      </c>
      <c r="AW26" s="233">
        <f t="shared" si="5"/>
        <v>2.5114155251141551E-2</v>
      </c>
      <c r="AX26" s="233">
        <f t="shared" si="5"/>
        <v>0.55000000000000004</v>
      </c>
      <c r="AY26" s="233">
        <f t="shared" si="5"/>
        <v>0.55000000000000004</v>
      </c>
      <c r="AZ26" s="2">
        <f t="shared" si="12"/>
        <v>2.2669305553255272E-3</v>
      </c>
      <c r="BA26" s="189">
        <f>AZ26*(0.0000000000000028)*up_RadSpec!$AY26*up_RadSpec!$AF26</f>
        <v>7.2677793603736401E-15</v>
      </c>
      <c r="BB26" s="40">
        <f t="shared" si="6"/>
        <v>2200</v>
      </c>
      <c r="BC26" s="40">
        <f t="shared" si="7"/>
        <v>0.12557077625570776</v>
      </c>
      <c r="BD26" s="19">
        <f>IFERROR(s_C*up_RadSpec!AI26*s_Q_w_game*(1/1000)*s_EF_rec*1*s_IRGL_rec*s_CF_game,".")</f>
        <v>2.75</v>
      </c>
      <c r="BE26" s="19">
        <f>IFERROR(s_C*up_RadSpec!AL26*s_Q_w_fowl*(1/1000)*s_EF_rec*1*s_IRGL_rec*s_CF_fowl,0)</f>
        <v>2.75</v>
      </c>
      <c r="BF26" s="18"/>
      <c r="BG26" s="2">
        <f>IFERROR(s_DL/(up_RadSpec!F26*s_EF_rec*1*s_IRGL_rec*s_CF_game),".")</f>
        <v>1.8181818181818181E-2</v>
      </c>
      <c r="BH26" s="2">
        <f>IFERROR(s_DL/(up_RadSpec!F26*s_EF_rec*1*s_IRGF_rec*s_CF_fowl),".")</f>
        <v>1.8181818181818181E-2</v>
      </c>
      <c r="BI26" s="189">
        <f>IFERROR(BG26*(0.0000000000028)*up_RadSpec!$AY26*up_RadSpec!$AF26,0)</f>
        <v>5.8290909090909102E-11</v>
      </c>
      <c r="BJ26" s="189">
        <f>IFERROR(BH26*(0.0000000000028)*up_RadSpec!$AY26*up_RadSpec!$AF26,0)</f>
        <v>5.8290909090909102E-11</v>
      </c>
      <c r="BK26" s="19">
        <f t="shared" si="8"/>
        <v>275</v>
      </c>
      <c r="BL26" s="19">
        <f t="shared" si="9"/>
        <v>275</v>
      </c>
    </row>
    <row r="27" spans="1:64" customFormat="1" x14ac:dyDescent="0.25">
      <c r="A27" s="44" t="s">
        <v>25</v>
      </c>
      <c r="B27" s="42" t="s">
        <v>1057</v>
      </c>
      <c r="C27" s="238"/>
      <c r="D27" s="15">
        <f>IFERROR(((s_DL/(up_RadSpec!E27*s_IFS_rec_adj*(1/1000)))*1),".")</f>
        <v>0.33057851239669422</v>
      </c>
      <c r="E27" s="15">
        <f>IFERROR(IF(A27="H-3",(s_DL/((up_RadSpec!H27*s_IFA_rec_adj*(1/17)*1000))*1),(s_DL/((up_RadSpec!H27*s_IFA_rec_adj*(1/s_PEF_wind)*1000))*1)),".")</f>
        <v>3089.9917851942919</v>
      </c>
      <c r="F27" s="2">
        <f>IFERROR((s_DL/(up_RadSpec!G27*s_EF_rec*(1/365)*1*up_RadSpec!R27*s_ET_rec*(1/24)*up_RadSpec!W27)),".")</f>
        <v>587.83443727764472</v>
      </c>
      <c r="G27" s="2">
        <f>IFERROR((BG27/(up_RadSpec!AI27*((s_Q_p_game*s_f_p_game*s_f_s_game*(up_RadSpec!BD27+s_R_es_past))+(s_Q_s_game*s_f_p_game)))),".")</f>
        <v>7.5757575757575758E-5</v>
      </c>
      <c r="H27" s="2">
        <f>IFERROR((BG27/(up_RadSpec!AL27*((s_Q_p_fowl*s_f_p_fowl*s_f_s_fowl*(up_RadSpec!BD27+s_R_es_past))+(s_Q_s_fowl*s_f_p_fowl)))),".")</f>
        <v>7.5757575757575758E-5</v>
      </c>
      <c r="I27" s="233">
        <f t="shared" si="10"/>
        <v>3.0249999999999999</v>
      </c>
      <c r="J27" s="233">
        <f t="shared" si="10"/>
        <v>3.236254558317935E-4</v>
      </c>
      <c r="K27" s="233">
        <f t="shared" si="10"/>
        <v>1.7011592662572815E-3</v>
      </c>
      <c r="L27" s="233">
        <f t="shared" si="10"/>
        <v>13200</v>
      </c>
      <c r="M27" s="233">
        <f t="shared" si="10"/>
        <v>13200</v>
      </c>
      <c r="N27" s="2">
        <f t="shared" si="11"/>
        <v>3.7874445193776169E-5</v>
      </c>
      <c r="O27" s="189">
        <f>IFERROR(N27*(0.0000000000028)*up_RadSpec!$AY27*up_RadSpec!$AF27,0)</f>
        <v>1.0922989993885048E-13</v>
      </c>
      <c r="P27" s="40">
        <f t="shared" si="1"/>
        <v>15.125</v>
      </c>
      <c r="Q27" s="40">
        <f t="shared" si="2"/>
        <v>1.6181272791589674E-3</v>
      </c>
      <c r="R27" s="40">
        <f>IFERROR((s_C*s_EF_rec*(1/365)*1*up_RadSpec!R27*s_ET_rec*(1/24)*up_RadSpec!W27),".")</f>
        <v>8.5057963312864075E-3</v>
      </c>
      <c r="S27" s="19">
        <f>IFERROR((s_C*s_IRGL_rec*s_EF_rec*1*s_CF_game*up_RadSpec!AI27)*((s_Q_p_game*s_f_p_game*s_f_s_game*(up_RadSpec!BD27+s_R_es_past))+(s_Q_s_game*s_f_p_game)),".")</f>
        <v>66000</v>
      </c>
      <c r="T27" s="19">
        <f>IFERROR((s_C*s_IRGF_rec*s_EF_rec*1*s_CF_fowl*up_RadSpec!AL27)*((s_Q_p_fowl*s_f_p_fowl*s_f_s_fowl*(up_RadSpec!BD27+s_R_es_past))+(s_Q_s_fowl*s_f_p_fowl)),0)</f>
        <v>66000</v>
      </c>
      <c r="U27" s="18"/>
      <c r="V27" s="15">
        <f>IFERROR((s_DL/(up_RadSpec!G27*s_EF_rec*(1/365)*1*up_RadSpec!R27*s_ET_rec*(1/24)*up_RadSpec!W27)),".")</f>
        <v>587.83443727764472</v>
      </c>
      <c r="W27" s="15">
        <f>IFERROR((s_DL/(up_RadSpec!N27*s_EF_rec*(1/365)*1*up_RadSpec!S27*s_ET_rec*(1/24)*up_RadSpec!X27)),".")</f>
        <v>1743.6172248803834</v>
      </c>
      <c r="X27" s="15">
        <f>IFERROR((s_DL/(up_RadSpec!O27*s_EF_rec*(1/365)*1*up_RadSpec!T27*s_ET_rec*(1/24)*up_RadSpec!Y27)),".")</f>
        <v>1068.9684726048363</v>
      </c>
      <c r="Y27" s="15">
        <f>IFERROR((s_DL/(up_RadSpec!P27*s_EF_rec*(1/365)*1*up_RadSpec!U27*s_ET_rec*(1/24)*up_RadSpec!Z27)),".")</f>
        <v>777.63326697633283</v>
      </c>
      <c r="Z27" s="15">
        <f>IFERROR((s_DL/(up_RadSpec!L27*s_EF_rec*(1/365)*1*up_RadSpec!Q27*s_ET_rec*(1/24)*up_RadSpec!V27)),".")</f>
        <v>5454.0040604556762</v>
      </c>
      <c r="AA27" s="189">
        <f>IFERROR(V27*(0.0000000000028)*up_RadSpec!$AY27*up_RadSpec!$AF27,0)</f>
        <v>1.6953145171087274E-6</v>
      </c>
      <c r="AB27" s="189">
        <f>IFERROR(W27*(0.0000000000028)*up_RadSpec!$AY27*up_RadSpec!$AF27,0)</f>
        <v>5.028592076555026E-6</v>
      </c>
      <c r="AC27" s="189">
        <f>IFERROR(X27*(0.0000000000028)*up_RadSpec!$AY27*up_RadSpec!$AF27,0)</f>
        <v>3.0829050749923484E-6</v>
      </c>
      <c r="AD27" s="189">
        <f>IFERROR(Y27*(0.0000000000028)*up_RadSpec!$AY27*up_RadSpec!$AF27,0)</f>
        <v>2.2426943419597441E-6</v>
      </c>
      <c r="AE27" s="189">
        <f>IFERROR(Z27*(0.0000000000028)*up_RadSpec!$AY27*up_RadSpec!$AF27,0)</f>
        <v>1.572934771035417E-5</v>
      </c>
      <c r="AF27" s="40">
        <f>IFERROR((s_C*s_EF_rec*(1/365)*1*up_RadSpec!R27*s_ET_rec*(1/24)*up_RadSpec!W27),".")</f>
        <v>8.5057963312864075E-3</v>
      </c>
      <c r="AG27" s="40">
        <f>IFERROR((s_C*s_EF_rec*(1/365)*1*up_RadSpec!S27*s_ET_rec*(1/24)*up_RadSpec!X27),".")</f>
        <v>2.8676018616087097E-3</v>
      </c>
      <c r="AH27" s="40">
        <f>IFERROR((s_C*s_EF_rec*(1/365)*1*up_RadSpec!T27*s_ET_rec*(1/24)*up_RadSpec!Y27),".")</f>
        <v>4.6774064232372745E-3</v>
      </c>
      <c r="AI27" s="40">
        <f>IFERROR((s_C*s_EF_rec*(1/365)*1*up_RadSpec!U27*s_ET_rec*(1/24)*up_RadSpec!Z27),".")</f>
        <v>6.4297660765484897E-3</v>
      </c>
      <c r="AJ27" s="40">
        <f>IFERROR((s_C*s_EF_rec*(1/365)*1*up_RadSpec!Q27*s_ET_rec*(1/24)*up_RadSpec!V27),".")</f>
        <v>9.1675765998279349E-4</v>
      </c>
      <c r="AK27" s="15">
        <f>IFERROR((s_DL/(up_RadSpec!H27*s_IFA_rec_adj)),".")</f>
        <v>9.9740259740259754E-3</v>
      </c>
      <c r="AL27" s="15">
        <f>IFERROR((s_DL/(up_RadSpec!K27*s_EF_rec*(1/365)*1*s_ET_rec*(1/24)*s_GSF_a)),".")</f>
        <v>63.709090909090911</v>
      </c>
      <c r="AM27" s="15">
        <f>IFERROR(IF(AND(AK27&lt;&gt;".",AL27&lt;&gt;"."),1/((1/AK27)+(1/AL27)),IF(AND(AK27&lt;&gt;".",AL27="."),1/((1/AK27)),IF(AND(AK27=".",AL27&lt;&gt;"."),1/((1/AL27)),IF(AND(AK27=".",AL27="."),".")))),".")</f>
        <v>9.9724647271019675E-3</v>
      </c>
      <c r="AN27" s="189">
        <f>AM27*(0.0000000000000028)*up_RadSpec!$AY27*up_RadSpec!$AF27</f>
        <v>2.8760588272962077E-14</v>
      </c>
      <c r="AO27" s="40">
        <f t="shared" si="3"/>
        <v>501.30208333333326</v>
      </c>
      <c r="AP27" s="40">
        <f t="shared" si="4"/>
        <v>7.8481735159817351E-2</v>
      </c>
      <c r="AQ27" s="45"/>
      <c r="AR27" s="15">
        <f>IFERROR((s_DL/(up_RadSpec!I27*s_IFW_rec_adj)),".")</f>
        <v>2.2727272727272726E-3</v>
      </c>
      <c r="AS27" s="15">
        <f>IFERROR((s_DL/(up_RadSpec!M27*(1/8760)*s_DFA_rec_adj)),".")</f>
        <v>39.81818181818182</v>
      </c>
      <c r="AT27" s="2">
        <f>IFERROR(BG27/(up_RadSpec!AI27*s_Q_w_game*(1/1000)),".")</f>
        <v>1.8181818181818181</v>
      </c>
      <c r="AU27" s="2">
        <f>IFERROR(BG27/(up_RadSpec!AL27*s_Q_w_fowl*(1/1000)),".")</f>
        <v>1.8181818181818181</v>
      </c>
      <c r="AV27" s="233">
        <f t="shared" si="5"/>
        <v>440</v>
      </c>
      <c r="AW27" s="233">
        <f t="shared" si="5"/>
        <v>2.5114155251141551E-2</v>
      </c>
      <c r="AX27" s="233">
        <f t="shared" si="5"/>
        <v>0.55000000000000004</v>
      </c>
      <c r="AY27" s="233">
        <f t="shared" si="5"/>
        <v>0.55000000000000004</v>
      </c>
      <c r="AZ27" s="2">
        <f t="shared" si="12"/>
        <v>2.2669305553255272E-3</v>
      </c>
      <c r="BA27" s="189">
        <f>AZ27*(0.0000000000000028)*up_RadSpec!$AY27*up_RadSpec!$AF27</f>
        <v>6.5378277215588203E-15</v>
      </c>
      <c r="BB27" s="40">
        <f t="shared" si="6"/>
        <v>2200</v>
      </c>
      <c r="BC27" s="40">
        <f t="shared" si="7"/>
        <v>0.12557077625570776</v>
      </c>
      <c r="BD27" s="19">
        <f>IFERROR(s_C*up_RadSpec!AI27*s_Q_w_game*(1/1000)*s_EF_rec*1*s_IRGL_rec*s_CF_game,".")</f>
        <v>2.75</v>
      </c>
      <c r="BE27" s="19">
        <f>IFERROR(s_C*up_RadSpec!AL27*s_Q_w_fowl*(1/1000)*s_EF_rec*1*s_IRGL_rec*s_CF_fowl,0)</f>
        <v>2.75</v>
      </c>
      <c r="BF27" s="18"/>
      <c r="BG27" s="2">
        <f>IFERROR(s_DL/(up_RadSpec!F27*s_EF_rec*1*s_IRGL_rec*s_CF_game),".")</f>
        <v>1.8181818181818181E-2</v>
      </c>
      <c r="BH27" s="2">
        <f>IFERROR(s_DL/(up_RadSpec!F27*s_EF_rec*1*s_IRGF_rec*s_CF_fowl),".")</f>
        <v>1.8181818181818181E-2</v>
      </c>
      <c r="BI27" s="189">
        <f>IFERROR(BG27*(0.0000000000028)*up_RadSpec!$AY27*up_RadSpec!$AF27,0)</f>
        <v>5.2436363636363638E-11</v>
      </c>
      <c r="BJ27" s="189">
        <f>IFERROR(BH27*(0.0000000000028)*up_RadSpec!$AY27*up_RadSpec!$AF27,0)</f>
        <v>5.2436363636363638E-11</v>
      </c>
      <c r="BK27" s="19">
        <f t="shared" si="8"/>
        <v>275</v>
      </c>
      <c r="BL27" s="19">
        <f t="shared" si="9"/>
        <v>275</v>
      </c>
    </row>
    <row r="28" spans="1:64" customFormat="1" x14ac:dyDescent="0.25">
      <c r="A28" s="44" t="s">
        <v>26</v>
      </c>
      <c r="B28" s="42" t="s">
        <v>1057</v>
      </c>
      <c r="C28" s="42"/>
      <c r="D28" s="15">
        <f>IFERROR(((s_DL/(up_RadSpec!E28*s_IFS_rec_adj*(1/1000)))*1),".")</f>
        <v>0.33057851239669422</v>
      </c>
      <c r="E28" s="15">
        <f>IFERROR(IF(A28="H-3",(s_DL/((up_RadSpec!H28*s_IFA_rec_adj*(1/17)*1000))*1),(s_DL/((up_RadSpec!H28*s_IFA_rec_adj*(1/s_PEF_wind)*1000))*1)),".")</f>
        <v>3089.9917851942919</v>
      </c>
      <c r="F28" s="2">
        <f>IFERROR((s_DL/(up_RadSpec!G28*s_EF_rec*(1/365)*1*up_RadSpec!R28*s_ET_rec*(1/24)*up_RadSpec!W28)),".")</f>
        <v>260.12204356153404</v>
      </c>
      <c r="G28" s="2">
        <f>IFERROR((BG28/(up_RadSpec!AI28*((s_Q_p_game*s_f_p_game*s_f_s_game*(up_RadSpec!BD28+s_R_es_past))+(s_Q_s_game*s_f_p_game)))),".")</f>
        <v>7.5757575757575758E-5</v>
      </c>
      <c r="H28" s="2">
        <f>IFERROR((BG28/(up_RadSpec!AL28*((s_Q_p_fowl*s_f_p_fowl*s_f_s_fowl*(up_RadSpec!BD28+s_R_es_past))+(s_Q_s_fowl*s_f_p_fowl)))),".")</f>
        <v>7.5757575757575758E-5</v>
      </c>
      <c r="I28" s="233">
        <f t="shared" si="10"/>
        <v>3.0249999999999999</v>
      </c>
      <c r="J28" s="233">
        <f t="shared" si="10"/>
        <v>3.236254558317935E-4</v>
      </c>
      <c r="K28" s="233">
        <f t="shared" si="10"/>
        <v>3.8443493150684925E-3</v>
      </c>
      <c r="L28" s="233">
        <f t="shared" si="10"/>
        <v>13200</v>
      </c>
      <c r="M28" s="233">
        <f t="shared" si="10"/>
        <v>13200</v>
      </c>
      <c r="N28" s="2">
        <f t="shared" si="11"/>
        <v>3.7874442119426874E-5</v>
      </c>
      <c r="O28" s="189">
        <f>IFERROR(N28*(0.0000000000028)*up_RadSpec!$AY28*up_RadSpec!$AF28,0)</f>
        <v>1.1082061764144304E-13</v>
      </c>
      <c r="P28" s="40">
        <f t="shared" si="1"/>
        <v>15.125</v>
      </c>
      <c r="Q28" s="40">
        <f t="shared" si="2"/>
        <v>1.6181272791589674E-3</v>
      </c>
      <c r="R28" s="40">
        <f>IFERROR((s_C*s_EF_rec*(1/365)*1*up_RadSpec!R28*s_ET_rec*(1/24)*up_RadSpec!W28),".")</f>
        <v>1.9221746575342463E-2</v>
      </c>
      <c r="S28" s="19">
        <f>IFERROR((s_C*s_IRGL_rec*s_EF_rec*1*s_CF_game*up_RadSpec!AI28)*((s_Q_p_game*s_f_p_game*s_f_s_game*(up_RadSpec!BD28+s_R_es_past))+(s_Q_s_game*s_f_p_game)),".")</f>
        <v>66000</v>
      </c>
      <c r="T28" s="19">
        <f>IFERROR((s_C*s_IRGF_rec*s_EF_rec*1*s_CF_fowl*up_RadSpec!AL28)*((s_Q_p_fowl*s_f_p_fowl*s_f_s_fowl*(up_RadSpec!BD28+s_R_es_past))+(s_Q_s_fowl*s_f_p_fowl)),0)</f>
        <v>66000</v>
      </c>
      <c r="U28" s="18"/>
      <c r="V28" s="15">
        <f>IFERROR((s_DL/(up_RadSpec!G28*s_EF_rec*(1/365)*1*up_RadSpec!R28*s_ET_rec*(1/24)*up_RadSpec!W28)),".")</f>
        <v>260.12204356153404</v>
      </c>
      <c r="W28" s="15">
        <f>IFERROR((s_DL/(up_RadSpec!N28*s_EF_rec*(1/365)*1*up_RadSpec!S28*s_ET_rec*(1/24)*up_RadSpec!X28)),".")</f>
        <v>580.03581393411912</v>
      </c>
      <c r="X28" s="15">
        <f>IFERROR((s_DL/(up_RadSpec!O28*s_EF_rec*(1/365)*1*up_RadSpec!T28*s_ET_rec*(1/24)*up_RadSpec!Y28)),".")</f>
        <v>402.71233191587152</v>
      </c>
      <c r="Y28" s="15">
        <f>IFERROR((s_DL/(up_RadSpec!P28*s_EF_rec*(1/365)*1*up_RadSpec!U28*s_ET_rec*(1/24)*up_RadSpec!Z28)),".")</f>
        <v>348.66947137369652</v>
      </c>
      <c r="Z28" s="15">
        <f>IFERROR((s_DL/(up_RadSpec!L28*s_EF_rec*(1/365)*1*up_RadSpec!Q28*s_ET_rec*(1/24)*up_RadSpec!V28)),".")</f>
        <v>1019.6825396825403</v>
      </c>
      <c r="AA28" s="189">
        <f>IFERROR(V28*(0.0000000000028)*up_RadSpec!$AY28*up_RadSpec!$AF28,0)</f>
        <v>7.611170994610486E-7</v>
      </c>
      <c r="AB28" s="189">
        <f>IFERROR(W28*(0.0000000000028)*up_RadSpec!$AY28*up_RadSpec!$AF28,0)</f>
        <v>1.6971847915712327E-6</v>
      </c>
      <c r="AC28" s="189">
        <f>IFERROR(X28*(0.0000000000028)*up_RadSpec!$AY28*up_RadSpec!$AF28,0)</f>
        <v>1.1783362831858401E-6</v>
      </c>
      <c r="AD28" s="189">
        <f>IFERROR(Y28*(0.0000000000028)*up_RadSpec!$AY28*up_RadSpec!$AF28,0)</f>
        <v>1.0202068732394361E-6</v>
      </c>
      <c r="AE28" s="189">
        <f>IFERROR(Z28*(0.0000000000028)*up_RadSpec!$AY28*up_RadSpec!$AF28,0)</f>
        <v>2.9835911111111131E-6</v>
      </c>
      <c r="AF28" s="40">
        <f>IFERROR((s_C*s_EF_rec*(1/365)*1*up_RadSpec!R28*s_ET_rec*(1/24)*up_RadSpec!W28),".")</f>
        <v>1.9221746575342463E-2</v>
      </c>
      <c r="AG28" s="40">
        <f>IFERROR((s_C*s_EF_rec*(1/365)*1*up_RadSpec!S28*s_ET_rec*(1/24)*up_RadSpec!X28),".")</f>
        <v>8.6201573762959127E-3</v>
      </c>
      <c r="AH28" s="40">
        <f>IFERROR((s_C*s_EF_rec*(1/365)*1*up_RadSpec!T28*s_ET_rec*(1/24)*up_RadSpec!Y28),".")</f>
        <v>1.2415810502283112E-2</v>
      </c>
      <c r="AI28" s="40">
        <f>IFERROR((s_C*s_EF_rec*(1/365)*1*up_RadSpec!U28*s_ET_rec*(1/24)*up_RadSpec!Z28),".")</f>
        <v>1.4340228814128398E-2</v>
      </c>
      <c r="AJ28" s="40">
        <f>IFERROR((s_C*s_EF_rec*(1/365)*1*up_RadSpec!Q28*s_ET_rec*(1/24)*up_RadSpec!V28),".")</f>
        <v>4.9034869240348663E-3</v>
      </c>
      <c r="AK28" s="15">
        <f>IFERROR((s_DL/(up_RadSpec!H28*s_IFA_rec_adj)),".")</f>
        <v>9.9740259740259754E-3</v>
      </c>
      <c r="AL28" s="15">
        <f>IFERROR((s_DL/(up_RadSpec!K28*s_EF_rec*(1/365)*1*s_ET_rec*(1/24)*s_GSF_a)),".")</f>
        <v>63.709090909090911</v>
      </c>
      <c r="AM28" s="15">
        <f t="shared" ref="AM28:AM29" si="16">IFERROR(IF(AND(AK28&lt;&gt;".",AL28&lt;&gt;"."),1/((1/AK28)+(1/AL28)),IF(AND(AK28&lt;&gt;".",AL28="."),1/((1/AK28)),IF(AND(AK28=".",AL28&lt;&gt;"."),1/((1/AL28)),IF(AND(AK28=".",AL28="."),".")))),".")</f>
        <v>9.9724647271019675E-3</v>
      </c>
      <c r="AN28" s="189">
        <f>AM28*(0.0000000000000028)*up_RadSpec!$AY28*up_RadSpec!$AF28</f>
        <v>2.9179431791500361E-14</v>
      </c>
      <c r="AO28" s="40">
        <f t="shared" si="3"/>
        <v>501.30208333333326</v>
      </c>
      <c r="AP28" s="40">
        <f t="shared" si="4"/>
        <v>7.8481735159817351E-2</v>
      </c>
      <c r="AQ28" s="45"/>
      <c r="AR28" s="15">
        <f>IFERROR((s_DL/(up_RadSpec!I28*s_IFW_rec_adj)),".")</f>
        <v>2.2727272727272726E-3</v>
      </c>
      <c r="AS28" s="15">
        <f>IFERROR((s_DL/(up_RadSpec!M28*(1/8760)*s_DFA_rec_adj)),".")</f>
        <v>39.81818181818182</v>
      </c>
      <c r="AT28" s="2">
        <f>IFERROR(BG28/(up_RadSpec!AI28*s_Q_w_game*(1/1000)),".")</f>
        <v>1.8181818181818181</v>
      </c>
      <c r="AU28" s="2">
        <f>IFERROR(BG28/(up_RadSpec!AL28*s_Q_w_fowl*(1/1000)),".")</f>
        <v>1.8181818181818181</v>
      </c>
      <c r="AV28" s="233">
        <f t="shared" si="5"/>
        <v>440</v>
      </c>
      <c r="AW28" s="233">
        <f t="shared" si="5"/>
        <v>2.5114155251141551E-2</v>
      </c>
      <c r="AX28" s="233">
        <f t="shared" si="5"/>
        <v>0.55000000000000004</v>
      </c>
      <c r="AY28" s="233">
        <f t="shared" si="5"/>
        <v>0.55000000000000004</v>
      </c>
      <c r="AZ28" s="2">
        <f t="shared" si="12"/>
        <v>2.2669305553255272E-3</v>
      </c>
      <c r="BA28" s="189">
        <f>AZ28*(0.0000000000000028)*up_RadSpec!$AY28*up_RadSpec!$AF28</f>
        <v>6.6330388048824925E-15</v>
      </c>
      <c r="BB28" s="40">
        <f t="shared" si="6"/>
        <v>2200</v>
      </c>
      <c r="BC28" s="40">
        <f t="shared" si="7"/>
        <v>0.12557077625570776</v>
      </c>
      <c r="BD28" s="19">
        <f>IFERROR(s_C*up_RadSpec!AI28*s_Q_w_game*(1/1000)*s_EF_rec*1*s_IRGL_rec*s_CF_game,".")</f>
        <v>2.75</v>
      </c>
      <c r="BE28" s="19">
        <f>IFERROR(s_C*up_RadSpec!AL28*s_Q_w_fowl*(1/1000)*s_EF_rec*1*s_IRGL_rec*s_CF_fowl,0)</f>
        <v>2.75</v>
      </c>
      <c r="BF28" s="18"/>
      <c r="BG28" s="2">
        <f>IFERROR(s_DL/(up_RadSpec!F28*s_EF_rec*1*s_IRGL_rec*s_CF_game),".")</f>
        <v>1.8181818181818181E-2</v>
      </c>
      <c r="BH28" s="2">
        <f>IFERROR(s_DL/(up_RadSpec!F28*s_EF_rec*1*s_IRGF_rec*s_CF_fowl),".")</f>
        <v>1.8181818181818181E-2</v>
      </c>
      <c r="BI28" s="189">
        <f>IFERROR(BG28*(0.0000000000028)*up_RadSpec!$AY28*up_RadSpec!$AF28,0)</f>
        <v>5.3200000000000008E-11</v>
      </c>
      <c r="BJ28" s="189">
        <f>IFERROR(BH28*(0.0000000000028)*up_RadSpec!$AY28*up_RadSpec!$AF28,0)</f>
        <v>5.3200000000000008E-11</v>
      </c>
      <c r="BK28" s="19">
        <f t="shared" si="8"/>
        <v>275</v>
      </c>
      <c r="BL28" s="19">
        <f t="shared" si="9"/>
        <v>275</v>
      </c>
    </row>
    <row r="29" spans="1:64" customFormat="1" x14ac:dyDescent="0.25">
      <c r="A29" s="44" t="s">
        <v>27</v>
      </c>
      <c r="B29" s="42" t="s">
        <v>1057</v>
      </c>
      <c r="C29" s="238"/>
      <c r="D29" s="15">
        <f>IFERROR(((s_DL/(up_RadSpec!E29*s_IFS_rec_adj*(1/1000)))*1),".")</f>
        <v>0.33057851239669422</v>
      </c>
      <c r="E29" s="15">
        <f>IFERROR(IF(A29="H-3",(s_DL/((up_RadSpec!H29*s_IFA_rec_adj*(1/17)*1000))*1),(s_DL/((up_RadSpec!H29*s_IFA_rec_adj*(1/s_PEF_wind)*1000))*1)),".")</f>
        <v>3089.9917851942919</v>
      </c>
      <c r="F29" s="2">
        <f>IFERROR((s_DL/(up_RadSpec!G29*s_EF_rec*(1/365)*1*up_RadSpec!R29*s_ET_rec*(1/24)*up_RadSpec!W29)),".")</f>
        <v>282.86140089418791</v>
      </c>
      <c r="G29" s="2">
        <f>IFERROR((BG29/(up_RadSpec!AI29*((s_Q_p_game*s_f_p_game*s_f_s_game*(up_RadSpec!BD29+s_R_es_past))+(s_Q_s_game*s_f_p_game)))),".")</f>
        <v>7.5757575757575758E-5</v>
      </c>
      <c r="H29" s="2">
        <f>IFERROR((BG29/(up_RadSpec!AL29*((s_Q_p_fowl*s_f_p_fowl*s_f_s_fowl*(up_RadSpec!BD29+s_R_es_past))+(s_Q_s_fowl*s_f_p_fowl)))),".")</f>
        <v>7.5757575757575758E-5</v>
      </c>
      <c r="I29" s="233">
        <f t="shared" si="10"/>
        <v>3.0249999999999999</v>
      </c>
      <c r="J29" s="233">
        <f t="shared" si="10"/>
        <v>3.236254558317935E-4</v>
      </c>
      <c r="K29" s="233">
        <f t="shared" si="10"/>
        <v>3.5353003161222325E-3</v>
      </c>
      <c r="L29" s="233">
        <f t="shared" si="10"/>
        <v>13200</v>
      </c>
      <c r="M29" s="233">
        <f t="shared" si="10"/>
        <v>13200</v>
      </c>
      <c r="N29" s="2">
        <f t="shared" si="11"/>
        <v>3.7874442562749438E-5</v>
      </c>
      <c r="O29" s="189">
        <f>IFERROR(N29*(0.0000000000028)*up_RadSpec!$AY29*up_RadSpec!$AF29,0)</f>
        <v>1.1135086113448336E-13</v>
      </c>
      <c r="P29" s="40">
        <f t="shared" si="1"/>
        <v>15.125</v>
      </c>
      <c r="Q29" s="40">
        <f t="shared" si="2"/>
        <v>1.6181272791589674E-3</v>
      </c>
      <c r="R29" s="40">
        <f>IFERROR((s_C*s_EF_rec*(1/365)*1*up_RadSpec!R29*s_ET_rec*(1/24)*up_RadSpec!W29),".")</f>
        <v>1.7676501580611161E-2</v>
      </c>
      <c r="S29" s="19">
        <f>IFERROR((s_C*s_IRGL_rec*s_EF_rec*1*s_CF_game*up_RadSpec!AI29)*((s_Q_p_game*s_f_p_game*s_f_s_game*(up_RadSpec!BD29+s_R_es_past))+(s_Q_s_game*s_f_p_game)),".")</f>
        <v>66000</v>
      </c>
      <c r="T29" s="19">
        <f>IFERROR((s_C*s_IRGF_rec*s_EF_rec*1*s_CF_fowl*up_RadSpec!AL29)*((s_Q_p_fowl*s_f_p_fowl*s_f_s_fowl*(up_RadSpec!BD29+s_R_es_past))+(s_Q_s_fowl*s_f_p_fowl)),0)</f>
        <v>66000</v>
      </c>
      <c r="U29" s="18"/>
      <c r="V29" s="15">
        <f>IFERROR((s_DL/(up_RadSpec!G29*s_EF_rec*(1/365)*1*up_RadSpec!R29*s_ET_rec*(1/24)*up_RadSpec!W29)),".")</f>
        <v>282.86140089418791</v>
      </c>
      <c r="W29" s="15">
        <f>IFERROR((s_DL/(up_RadSpec!N29*s_EF_rec*(1/365)*1*up_RadSpec!S29*s_ET_rec*(1/24)*up_RadSpec!X29)),".")</f>
        <v>564.44019138755948</v>
      </c>
      <c r="X29" s="15">
        <f>IFERROR((s_DL/(up_RadSpec!O29*s_EF_rec*(1/365)*1*up_RadSpec!T29*s_ET_rec*(1/24)*up_RadSpec!Y29)),".")</f>
        <v>402.10479175996409</v>
      </c>
      <c r="Y29" s="15">
        <f>IFERROR((s_DL/(up_RadSpec!P29*s_EF_rec*(1/365)*1*up_RadSpec!U29*s_ET_rec*(1/24)*up_RadSpec!Z29)),".")</f>
        <v>341.08867132867113</v>
      </c>
      <c r="Z29" s="15">
        <f>IFERROR((s_DL/(up_RadSpec!L29*s_EF_rec*(1/365)*1*up_RadSpec!Q29*s_ET_rec*(1/24)*up_RadSpec!V29)),".")</f>
        <v>1013.5537190082645</v>
      </c>
      <c r="AA29" s="189">
        <f>IFERROR(V29*(0.0000000000028)*up_RadSpec!$AY29*up_RadSpec!$AF29,0)</f>
        <v>8.3161251862891254E-7</v>
      </c>
      <c r="AB29" s="189">
        <f>IFERROR(W29*(0.0000000000028)*up_RadSpec!$AY29*up_RadSpec!$AF29,0)</f>
        <v>1.6594541626794251E-6</v>
      </c>
      <c r="AC29" s="189">
        <f>IFERROR(X29*(0.0000000000028)*up_RadSpec!$AY29*up_RadSpec!$AF29,0)</f>
        <v>1.1821880877742944E-6</v>
      </c>
      <c r="AD29" s="189">
        <f>IFERROR(Y29*(0.0000000000028)*up_RadSpec!$AY29*up_RadSpec!$AF29,0)</f>
        <v>1.0028006937062932E-6</v>
      </c>
      <c r="AE29" s="189">
        <f>IFERROR(Z29*(0.0000000000028)*up_RadSpec!$AY29*up_RadSpec!$AF29,0)</f>
        <v>2.9798479338842977E-6</v>
      </c>
      <c r="AF29" s="40">
        <f>IFERROR((s_C*s_EF_rec*(1/365)*1*up_RadSpec!R29*s_ET_rec*(1/24)*up_RadSpec!W29),".")</f>
        <v>1.7676501580611161E-2</v>
      </c>
      <c r="AG29" s="40">
        <f>IFERROR((s_C*s_EF_rec*(1/365)*1*up_RadSpec!S29*s_ET_rec*(1/24)*up_RadSpec!X29),".")</f>
        <v>8.8583344635833495E-3</v>
      </c>
      <c r="AH29" s="40">
        <f>IFERROR((s_C*s_EF_rec*(1/365)*1*up_RadSpec!T29*s_ET_rec*(1/24)*up_RadSpec!Y29),".")</f>
        <v>1.2434569551174966E-2</v>
      </c>
      <c r="AI29" s="40">
        <f>IFERROR((s_C*s_EF_rec*(1/365)*1*up_RadSpec!U29*s_ET_rec*(1/24)*up_RadSpec!Z29),".")</f>
        <v>1.4658944785598078E-2</v>
      </c>
      <c r="AJ29" s="40">
        <f>IFERROR((s_C*s_EF_rec*(1/365)*1*up_RadSpec!Q29*s_ET_rec*(1/24)*up_RadSpec!V29),".")</f>
        <v>4.9331376386170904E-3</v>
      </c>
      <c r="AK29" s="15">
        <f>IFERROR((s_DL/(up_RadSpec!H29*s_IFA_rec_adj)),".")</f>
        <v>9.9740259740259754E-3</v>
      </c>
      <c r="AL29" s="15">
        <f>IFERROR((s_DL/(up_RadSpec!K29*s_EF_rec*(1/365)*1*s_ET_rec*(1/24)*s_GSF_a)),".")</f>
        <v>63.709090909090911</v>
      </c>
      <c r="AM29" s="15">
        <f t="shared" si="16"/>
        <v>9.9724647271019675E-3</v>
      </c>
      <c r="AN29" s="189">
        <f>AM29*(0.0000000000000028)*up_RadSpec!$AY29*up_RadSpec!$AF29</f>
        <v>2.9319046297679789E-14</v>
      </c>
      <c r="AO29" s="40">
        <f t="shared" si="3"/>
        <v>501.30208333333326</v>
      </c>
      <c r="AP29" s="40">
        <f t="shared" si="4"/>
        <v>7.8481735159817351E-2</v>
      </c>
      <c r="AQ29" s="45"/>
      <c r="AR29" s="15">
        <f>IFERROR((s_DL/(up_RadSpec!I29*s_IFW_rec_adj)),".")</f>
        <v>2.2727272727272726E-3</v>
      </c>
      <c r="AS29" s="15">
        <f>IFERROR((s_DL/(up_RadSpec!M29*(1/8760)*s_DFA_rec_adj)),".")</f>
        <v>39.81818181818182</v>
      </c>
      <c r="AT29" s="2">
        <f>IFERROR(BG29/(up_RadSpec!AI29*s_Q_w_game*(1/1000)),".")</f>
        <v>1.8181818181818181</v>
      </c>
      <c r="AU29" s="2">
        <f>IFERROR(BG29/(up_RadSpec!AL29*s_Q_w_fowl*(1/1000)),".")</f>
        <v>1.8181818181818181</v>
      </c>
      <c r="AV29" s="233">
        <f t="shared" si="5"/>
        <v>440</v>
      </c>
      <c r="AW29" s="233">
        <f t="shared" si="5"/>
        <v>2.5114155251141551E-2</v>
      </c>
      <c r="AX29" s="233">
        <f t="shared" si="5"/>
        <v>0.55000000000000004</v>
      </c>
      <c r="AY29" s="233">
        <f t="shared" si="5"/>
        <v>0.55000000000000004</v>
      </c>
      <c r="AZ29" s="2">
        <f t="shared" si="12"/>
        <v>2.2669305553255272E-3</v>
      </c>
      <c r="BA29" s="189">
        <f>AZ29*(0.0000000000000028)*up_RadSpec!$AY29*up_RadSpec!$AF29</f>
        <v>6.6647758326570493E-15</v>
      </c>
      <c r="BB29" s="40">
        <f t="shared" si="6"/>
        <v>2200</v>
      </c>
      <c r="BC29" s="40">
        <f t="shared" si="7"/>
        <v>0.12557077625570776</v>
      </c>
      <c r="BD29" s="19">
        <f>IFERROR(s_C*up_RadSpec!AI29*s_Q_w_game*(1/1000)*s_EF_rec*1*s_IRGL_rec*s_CF_game,".")</f>
        <v>2.75</v>
      </c>
      <c r="BE29" s="19">
        <f>IFERROR(s_C*up_RadSpec!AL29*s_Q_w_fowl*(1/1000)*s_EF_rec*1*s_IRGL_rec*s_CF_fowl,0)</f>
        <v>2.75</v>
      </c>
      <c r="BF29" s="18"/>
      <c r="BG29" s="2">
        <f>IFERROR(s_DL/(up_RadSpec!F29*s_EF_rec*1*s_IRGL_rec*s_CF_game),".")</f>
        <v>1.8181818181818181E-2</v>
      </c>
      <c r="BH29" s="2">
        <f>IFERROR(s_DL/(up_RadSpec!F29*s_EF_rec*1*s_IRGF_rec*s_CF_fowl),".")</f>
        <v>1.8181818181818181E-2</v>
      </c>
      <c r="BI29" s="189">
        <f>IFERROR(BG29*(0.0000000000028)*up_RadSpec!$AY29*up_RadSpec!$AF29,0)</f>
        <v>5.345454545454546E-11</v>
      </c>
      <c r="BJ29" s="189">
        <f>IFERROR(BH29*(0.0000000000028)*up_RadSpec!$AY29*up_RadSpec!$AF29,0)</f>
        <v>5.345454545454546E-11</v>
      </c>
      <c r="BK29" s="19">
        <f t="shared" si="8"/>
        <v>275</v>
      </c>
      <c r="BL29" s="19">
        <f t="shared" si="9"/>
        <v>275</v>
      </c>
    </row>
    <row r="30" spans="1:64" customFormat="1" x14ac:dyDescent="0.25">
      <c r="A30" s="44" t="s">
        <v>28</v>
      </c>
      <c r="B30" s="42" t="s">
        <v>1057</v>
      </c>
      <c r="C30" s="42"/>
      <c r="D30" s="15">
        <f>IFERROR(((s_DL/(up_RadSpec!E30*s_IFS_rec_adj*(1/1000)))*1),".")</f>
        <v>0.33057851239669422</v>
      </c>
      <c r="E30" s="15">
        <f>IFERROR(IF(A30="H-3",(s_DL/((up_RadSpec!H30*s_IFA_rec_adj*(1/17)*1000))*1),(s_DL/((up_RadSpec!H30*s_IFA_rec_adj*(1/s_PEF_wind)*1000))*1)),".")</f>
        <v>3089.9917851942919</v>
      </c>
      <c r="F30" s="2">
        <f>IFERROR((s_DL/(up_RadSpec!G30*s_EF_rec*(1/365)*1*up_RadSpec!R30*s_ET_rec*(1/24)*up_RadSpec!W30)),".")</f>
        <v>2654.5454545454545</v>
      </c>
      <c r="G30" s="2">
        <f>IFERROR((BG30/(up_RadSpec!AI30*((s_Q_p_game*s_f_p_game*s_f_s_game*(up_RadSpec!BD30+s_R_es_past))+(s_Q_s_game*s_f_p_game)))),".")</f>
        <v>7.5757575757575758E-5</v>
      </c>
      <c r="H30" s="2">
        <f>IFERROR((BG30/(up_RadSpec!AL30*((s_Q_p_fowl*s_f_p_fowl*s_f_s_fowl*(up_RadSpec!BD30+s_R_es_past))+(s_Q_s_fowl*s_f_p_fowl)))),".")</f>
        <v>7.5757575757575758E-5</v>
      </c>
      <c r="I30" s="233">
        <f t="shared" si="10"/>
        <v>3.0249999999999999</v>
      </c>
      <c r="J30" s="233">
        <f t="shared" si="10"/>
        <v>3.236254558317935E-4</v>
      </c>
      <c r="K30" s="233">
        <f t="shared" si="10"/>
        <v>3.767123287671233E-4</v>
      </c>
      <c r="L30" s="233">
        <f t="shared" si="10"/>
        <v>13200</v>
      </c>
      <c r="M30" s="233">
        <f t="shared" si="10"/>
        <v>13200</v>
      </c>
      <c r="N30" s="2">
        <f t="shared" si="11"/>
        <v>3.7874447093660431E-5</v>
      </c>
      <c r="O30" s="189">
        <f>IFERROR(N30*(0.0000000000028)*up_RadSpec!$AY30*up_RadSpec!$AF30,0)</f>
        <v>1.2354644641952033E-13</v>
      </c>
      <c r="P30" s="40">
        <f t="shared" si="1"/>
        <v>15.125</v>
      </c>
      <c r="Q30" s="40">
        <f t="shared" si="2"/>
        <v>1.6181272791589674E-3</v>
      </c>
      <c r="R30" s="40">
        <f>IFERROR((s_C*s_EF_rec*(1/365)*1*up_RadSpec!R30*s_ET_rec*(1/24)*up_RadSpec!W30),".")</f>
        <v>1.8835616438356165E-3</v>
      </c>
      <c r="S30" s="19">
        <f>IFERROR((s_C*s_IRGL_rec*s_EF_rec*1*s_CF_game*up_RadSpec!AI30)*((s_Q_p_game*s_f_p_game*s_f_s_game*(up_RadSpec!BD30+s_R_es_past))+(s_Q_s_game*s_f_p_game)),".")</f>
        <v>66000</v>
      </c>
      <c r="T30" s="19">
        <f>IFERROR((s_C*s_IRGF_rec*s_EF_rec*1*s_CF_fowl*up_RadSpec!AL30)*((s_Q_p_fowl*s_f_p_fowl*s_f_s_fowl*(up_RadSpec!BD30+s_R_es_past))+(s_Q_s_fowl*s_f_p_fowl)),0)</f>
        <v>66000</v>
      </c>
      <c r="U30" s="18"/>
      <c r="V30" s="15">
        <f>IFERROR((s_DL/(up_RadSpec!G30*s_EF_rec*(1/365)*1*up_RadSpec!R30*s_ET_rec*(1/24)*up_RadSpec!W30)),".")</f>
        <v>2654.5454545454545</v>
      </c>
      <c r="W30" s="15">
        <f>IFERROR((s_DL/(up_RadSpec!N30*s_EF_rec*(1/365)*1*up_RadSpec!S30*s_ET_rec*(1/24)*up_RadSpec!X30)),".")</f>
        <v>13004.536082474226</v>
      </c>
      <c r="X30" s="15">
        <f>IFERROR((s_DL/(up_RadSpec!O30*s_EF_rec*(1/365)*1*up_RadSpec!T30*s_ET_rec*(1/24)*up_RadSpec!Y30)),".")</f>
        <v>4686.3931523022411</v>
      </c>
      <c r="Y30" s="15">
        <f>IFERROR((s_DL/(up_RadSpec!P30*s_EF_rec*(1/365)*1*up_RadSpec!U30*s_ET_rec*(1/24)*up_RadSpec!Z30)),".")</f>
        <v>3488.3160981632982</v>
      </c>
      <c r="Z30" s="15">
        <f>IFERROR((s_DL/(up_RadSpec!L30*s_EF_rec*(1/365)*1*up_RadSpec!Q30*s_ET_rec*(1/24)*up_RadSpec!V30)),".")</f>
        <v>318545.45454545453</v>
      </c>
      <c r="AA30" s="189">
        <f>IFERROR(V30*(0.0000000000028)*up_RadSpec!$AY30*up_RadSpec!$AF30,0)</f>
        <v>8.6591272727272723E-6</v>
      </c>
      <c r="AB30" s="189">
        <f>IFERROR(W30*(0.0000000000028)*up_RadSpec!$AY30*up_RadSpec!$AF30,0)</f>
        <v>4.242079670103093E-5</v>
      </c>
      <c r="AC30" s="189">
        <f>IFERROR(X30*(0.0000000000028)*up_RadSpec!$AY30*up_RadSpec!$AF30,0)</f>
        <v>1.5287014462809911E-5</v>
      </c>
      <c r="AD30" s="189">
        <f>IFERROR(Y30*(0.0000000000028)*up_RadSpec!$AY30*up_RadSpec!$AF30,0)</f>
        <v>1.1378887112208679E-5</v>
      </c>
      <c r="AE30" s="189">
        <f>IFERROR(Z30*(0.0000000000028)*up_RadSpec!$AY30*up_RadSpec!$AF30,0)</f>
        <v>1.0390952727272729E-3</v>
      </c>
      <c r="AF30" s="40">
        <f>IFERROR((s_C*s_EF_rec*(1/365)*1*up_RadSpec!R30*s_ET_rec*(1/24)*up_RadSpec!W30),".")</f>
        <v>1.8835616438356165E-3</v>
      </c>
      <c r="AG30" s="40">
        <f>IFERROR((s_C*s_EF_rec*(1/365)*1*up_RadSpec!S30*s_ET_rec*(1/24)*up_RadSpec!X30),".")</f>
        <v>3.8448122780314564E-4</v>
      </c>
      <c r="AH30" s="40">
        <f>IFERROR((s_C*s_EF_rec*(1/365)*1*up_RadSpec!T30*s_ET_rec*(1/24)*up_RadSpec!Y30),".")</f>
        <v>1.0669185954967726E-3</v>
      </c>
      <c r="AI30" s="40">
        <f>IFERROR((s_C*s_EF_rec*(1/365)*1*up_RadSpec!U30*s_ET_rec*(1/24)*up_RadSpec!Z30),".")</f>
        <v>1.4333563413684465E-3</v>
      </c>
      <c r="AJ30" s="40">
        <f>IFERROR((s_C*s_EF_rec*(1/365)*1*up_RadSpec!Q30*s_ET_rec*(1/24)*up_RadSpec!V30),".")</f>
        <v>1.5696347031963472E-5</v>
      </c>
      <c r="AK30" s="15">
        <f>IFERROR((s_DL/(up_RadSpec!H30*s_IFA_rec_adj)),".")</f>
        <v>9.9740259740259754E-3</v>
      </c>
      <c r="AL30" s="15">
        <f>IFERROR((s_DL/(up_RadSpec!K30*s_EF_rec*(1/365)*1*s_ET_rec*(1/24)*s_GSF_a)),".")</f>
        <v>63.709090909090911</v>
      </c>
      <c r="AM30" s="15">
        <f>IFERROR(IF(AND(AK30&lt;&gt;".",AL30&lt;&gt;"."),1/((1/AK30)+(1/AL30)),IF(AND(AK30&lt;&gt;".",AL30="."),1/((1/AK30)),IF(AND(AK30=".",AL30&lt;&gt;"."),1/((1/AL30)),IF(AND(AK30=".",AL30="."),".")))),".")</f>
        <v>9.9724647271019675E-3</v>
      </c>
      <c r="AN30" s="189">
        <f>AM30*(0.0000000000000028)*up_RadSpec!$AY30*up_RadSpec!$AF30</f>
        <v>3.2530179939806619E-14</v>
      </c>
      <c r="AO30" s="40">
        <f t="shared" si="3"/>
        <v>501.30208333333326</v>
      </c>
      <c r="AP30" s="40">
        <f t="shared" si="4"/>
        <v>7.8481735159817351E-2</v>
      </c>
      <c r="AQ30" s="45"/>
      <c r="AR30" s="15">
        <f>IFERROR((s_DL/(up_RadSpec!I30*s_IFW_rec_adj)),".")</f>
        <v>2.2727272727272726E-3</v>
      </c>
      <c r="AS30" s="15">
        <f>IFERROR((s_DL/(up_RadSpec!M30*(1/8760)*s_DFA_rec_adj)),".")</f>
        <v>39.81818181818182</v>
      </c>
      <c r="AT30" s="2">
        <f>IFERROR(BG30/(up_RadSpec!AI30*s_Q_w_game*(1/1000)),".")</f>
        <v>1.8181818181818181</v>
      </c>
      <c r="AU30" s="2">
        <f>IFERROR(BG30/(up_RadSpec!AL30*s_Q_w_fowl*(1/1000)),".")</f>
        <v>1.8181818181818181</v>
      </c>
      <c r="AV30" s="233">
        <f t="shared" si="5"/>
        <v>440</v>
      </c>
      <c r="AW30" s="233">
        <f t="shared" si="5"/>
        <v>2.5114155251141551E-2</v>
      </c>
      <c r="AX30" s="233">
        <f t="shared" si="5"/>
        <v>0.55000000000000004</v>
      </c>
      <c r="AY30" s="233">
        <f t="shared" si="5"/>
        <v>0.55000000000000004</v>
      </c>
      <c r="AZ30" s="2">
        <f>IFERROR(1/SUM(AV30:AY30),0)</f>
        <v>2.2669305553255272E-3</v>
      </c>
      <c r="BA30" s="189">
        <f>AZ30*(0.0000000000000028)*up_RadSpec!$AY30*up_RadSpec!$AF30</f>
        <v>7.3947274714718691E-15</v>
      </c>
      <c r="BB30" s="40">
        <f t="shared" si="6"/>
        <v>2200</v>
      </c>
      <c r="BC30" s="40">
        <f t="shared" si="7"/>
        <v>0.12557077625570776</v>
      </c>
      <c r="BD30" s="19">
        <f>IFERROR(s_C*up_RadSpec!AI30*s_Q_w_game*(1/1000)*s_EF_rec*1*s_IRGL_rec*s_CF_game,".")</f>
        <v>2.75</v>
      </c>
      <c r="BE30" s="19">
        <f>IFERROR(s_C*up_RadSpec!AL30*s_Q_w_fowl*(1/1000)*s_EF_rec*1*s_IRGL_rec*s_CF_fowl,0)</f>
        <v>2.75</v>
      </c>
      <c r="BF30" s="18"/>
      <c r="BG30" s="2">
        <f>IFERROR(s_DL/(up_RadSpec!F30*s_EF_rec*1*s_IRGL_rec*s_CF_game),".")</f>
        <v>1.8181818181818181E-2</v>
      </c>
      <c r="BH30" s="2">
        <f>IFERROR(s_DL/(up_RadSpec!F30*s_EF_rec*1*s_IRGF_rec*s_CF_fowl),".")</f>
        <v>1.8181818181818181E-2</v>
      </c>
      <c r="BI30" s="189">
        <f>IFERROR(BG30*(0.0000000000028)*up_RadSpec!$AY30*up_RadSpec!$AF30,0)</f>
        <v>5.9309090909090911E-11</v>
      </c>
      <c r="BJ30" s="189">
        <f>IFERROR(BH30*(0.0000000000028)*up_RadSpec!$AY30*up_RadSpec!$AF30,0)</f>
        <v>5.9309090909090911E-11</v>
      </c>
      <c r="BK30" s="19">
        <f t="shared" si="8"/>
        <v>275</v>
      </c>
      <c r="BL30" s="19">
        <f t="shared" si="9"/>
        <v>275</v>
      </c>
    </row>
    <row r="31" spans="1:64" x14ac:dyDescent="0.25">
      <c r="A31" s="57" t="s">
        <v>1</v>
      </c>
      <c r="B31" s="57" t="s">
        <v>1185</v>
      </c>
      <c r="C31" s="57"/>
      <c r="D31" s="58">
        <f>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2.7549035837466318E-2</v>
      </c>
      <c r="E31" s="58">
        <f>IFERROR(1/SUM(IFERROR(1/SUMIF(E32,"&lt;&gt;.",E32),0),IFERROR(1/SUMIF(E33,"&lt;&gt;.",E33),0),IFERROR(1/SUMIF(E34,"&lt;&gt;.",E34),0),IFERROR(1/SUMIF(E35,"&lt;&gt;.",E35),0),IFERROR(1/SUMIF(E36,"&lt;&gt;.",E36),0),IFERROR(1/SUMIF(E37,"&lt;&gt;.",E37),0),IFERROR(1/SUMIF(E38,"&lt;&gt;.",E38),0),IFERROR(1/SUMIF(E39,"&lt;&gt;.",E39),0),IFERROR(1/SUMIF(E40,"&lt;&gt;.",E40),0),IFERROR(1/SUMIF(E41,"&lt;&gt;.",E41),0),IFERROR(1/SUMIF(E42,"&lt;&gt;.",E42),0),IFERROR(1/SUMIF(E43,"&lt;&gt;.",E43),0),IFERROR(1/SUMIF(E44,"&lt;&gt;.",E44),0)),".")</f>
        <v>257.50704064407699</v>
      </c>
      <c r="F31" s="58">
        <f>IFERROR(1/SUM(IFERROR(1/SUMIF(F32,"&lt;&gt;.",F32),0),IFERROR(1/SUMIF(F33,"&lt;&gt;.",F33),0),IFERROR(1/SUMIF(F34,"&lt;&gt;.",F34),0),IFERROR(1/SUMIF(F35,"&lt;&gt;.",F35),0),IFERROR(1/SUMIF(F36,"&lt;&gt;.",F36),0),IFERROR(1/SUMIF(F37,"&lt;&gt;.",F37),0),IFERROR(1/SUMIF(F38,"&lt;&gt;.",F38),0),IFERROR(1/SUMIF(F39,"&lt;&gt;.",F39),0),IFERROR(1/SUMIF(F40,"&lt;&gt;.",F40),0),IFERROR(1/SUMIF(F41,"&lt;&gt;.",F41),0),IFERROR(1/SUMIF(F42,"&lt;&gt;.",F42),0),IFERROR(1/SUMIF(F43,"&lt;&gt;.",F43),0),IFERROR(1/SUMIF(F44,"&lt;&gt;.",F44),0)),".")</f>
        <v>107.9327600133516</v>
      </c>
      <c r="G31" s="61">
        <f>IFERROR(1/SUM(IFERROR(1/SUMIF(G32,"&lt;&gt;.",G32),0),IFERROR(1/SUMIF(G33,"&lt;&gt;.",G33),0),IFERROR(1/SUMIF(G34,"&lt;&gt;.",G34),0),IFERROR(1/SUMIF(G35,"&lt;&gt;.",G35),0),IFERROR(1/SUMIF(G36,"&lt;&gt;.",G36),0),IFERROR(1/SUMIF(G37,"&lt;&gt;.",G37),0),IFERROR(1/SUMIF(G38,"&lt;&gt;.",G38),0),IFERROR(1/SUMIF(G39,"&lt;&gt;.",G39),0),IFERROR(1/SUMIF(G40,"&lt;&gt;.",G40),0),IFERROR(1/SUMIF(G41,"&lt;&gt;.",G41),0),IFERROR(1/SUMIF(G42,"&lt;&gt;.",G42),0),IFERROR(1/SUMIF(G43,"&lt;&gt;.",G43),0),IFERROR(1/SUMIF(G44,"&lt;&gt;.",G44),0)),".")</f>
        <v>6.3133207127526963E-6</v>
      </c>
      <c r="H31" s="61">
        <f>IFERROR(1/SUM(IFERROR(1/SUMIF(H32,"&lt;&gt;.",H32),0),IFERROR(1/SUMIF(H33,"&lt;&gt;.",H33),0),IFERROR(1/SUMIF(H34,"&lt;&gt;.",H34),0),IFERROR(1/SUMIF(H35,"&lt;&gt;.",H35),0),IFERROR(1/SUMIF(H36,"&lt;&gt;.",H36),0),IFERROR(1/SUMIF(H37,"&lt;&gt;.",H37),0),IFERROR(1/SUMIF(H38,"&lt;&gt;.",H38),0),IFERROR(1/SUMIF(H39,"&lt;&gt;.",H39),0),IFERROR(1/SUMIF(H40,"&lt;&gt;.",H40),0),IFERROR(1/SUMIF(H41,"&lt;&gt;.",H41),0),IFERROR(1/SUMIF(H42,"&lt;&gt;.",H42),0),IFERROR(1/SUMIF(H43,"&lt;&gt;.",H43),0),IFERROR(1/SUMIF(H44,"&lt;&gt;.",H44),0)),".")</f>
        <v>6.3133207127526963E-6</v>
      </c>
      <c r="I31" s="233">
        <f t="shared" si="10"/>
        <v>36.29891099999999</v>
      </c>
      <c r="J31" s="233">
        <f t="shared" si="10"/>
        <v>3.8833889648174219E-3</v>
      </c>
      <c r="K31" s="233">
        <f t="shared" si="10"/>
        <v>9.2650275956650888E-3</v>
      </c>
      <c r="L31" s="233">
        <f t="shared" si="10"/>
        <v>158395.24799999999</v>
      </c>
      <c r="M31" s="233">
        <f t="shared" si="10"/>
        <v>158395.24799999999</v>
      </c>
      <c r="N31" s="59">
        <f>IFERROR(1/SUM(IFERROR(1/SUMIF(N32,"&lt;&gt;.",N32),0),IFERROR(1/SUMIF(N33,"&lt;&gt;.",N33),0),IFERROR(1/SUMIF(N34,"&lt;&gt;.",N34),0),IFERROR(1/SUMIF(N35,"&lt;&gt;.",N35),0),IFERROR(1/SUMIF(N36,"&lt;&gt;.",N36),0),IFERROR(1/SUMIF(N37,"&lt;&gt;.",N37),0),IFERROR(1/SUMIF(N38,"&lt;&gt;.",N38),0),IFERROR(1/SUMIF(N39,"&lt;&gt;.",N39),0),IFERROR(1/SUMIF(N40,"&lt;&gt;.",N40),0),IFERROR(1/SUMIF(N41,"&lt;&gt;.",N41),0),IFERROR(1/SUMIF(N42,"&lt;&gt;.",N42),0),IFERROR(1/SUMIF(N43,"&lt;&gt;.",N43),0),IFERROR(1/SUMIF(N44,"&lt;&gt;.",N44),0)),".")</f>
        <v>3.1562985661632006E-6</v>
      </c>
      <c r="O31" s="190">
        <f>N31*(0.0000000000028)*up_RadSpec!$AY3*up_RadSpec!$AF3</f>
        <v>1.0649351362234639E-14</v>
      </c>
      <c r="P31" s="47">
        <f>IFERROR(SUM(P32:P44),".")</f>
        <v>907.47277499999996</v>
      </c>
      <c r="Q31" s="47">
        <f t="shared" ref="Q31:U31" si="17">IFERROR(SUM(Q32:Q44),".")</f>
        <v>9.7084724120435575E-2</v>
      </c>
      <c r="R31" s="47">
        <f>IFERROR(SUM(R32:R44),".")</f>
        <v>0.23162568989162724</v>
      </c>
      <c r="S31" s="47">
        <f t="shared" si="17"/>
        <v>3959881.2</v>
      </c>
      <c r="T31" s="47">
        <f t="shared" si="17"/>
        <v>3959881.2</v>
      </c>
      <c r="U31" s="47">
        <f t="shared" si="17"/>
        <v>7920670.2014854141</v>
      </c>
      <c r="V31" s="59">
        <f>IFERROR(1/SUM(IFERROR(1/SUMIF(V32,"&lt;&gt;.",V32),0),IFERROR(1/SUMIF(V33,"&lt;&gt;.",V33),0),IFERROR(1/SUMIF(V34,"&lt;&gt;.",V34),0),IFERROR(1/SUMIF(V35,"&lt;&gt;.",V35),0),IFERROR(1/SUMIF(V36,"&lt;&gt;.",V36),0),IFERROR(1/SUMIF(V37,"&lt;&gt;.",V37),0),IFERROR(1/SUMIF(V38,"&lt;&gt;.",V38),0),IFERROR(1/SUMIF(V39,"&lt;&gt;.",V39),0),IFERROR(1/SUMIF(V40,"&lt;&gt;.",V40),0),IFERROR(1/SUMIF(V41,"&lt;&gt;.",V41),0),IFERROR(1/SUMIF(V42,"&lt;&gt;.",V42),0),IFERROR(1/SUMIF(V43,"&lt;&gt;.",V43),0),IFERROR(1/SUMIF(V44,"&lt;&gt;.",V44),0)),".")</f>
        <v>107.9327600133516</v>
      </c>
      <c r="W31" s="59">
        <f>IFERROR(1/SUM(IFERROR(1/SUMIF(W32,"&lt;&gt;.",W32),0),IFERROR(1/SUMIF(W33,"&lt;&gt;.",W33),0),IFERROR(1/SUMIF(W34,"&lt;&gt;.",W34),0),IFERROR(1/SUMIF(W35,"&lt;&gt;.",W35),0),IFERROR(1/SUMIF(W36,"&lt;&gt;.",W36),0),IFERROR(1/SUMIF(W37,"&lt;&gt;.",W37),0),IFERROR(1/SUMIF(W38,"&lt;&gt;.",W38),0),IFERROR(1/SUMIF(W39,"&lt;&gt;.",W39),0),IFERROR(1/SUMIF(W40,"&lt;&gt;.",W40),0),IFERROR(1/SUMIF(W41,"&lt;&gt;.",W41),0),IFERROR(1/SUMIF(W42,"&lt;&gt;.",W42),0),IFERROR(1/SUMIF(W43,"&lt;&gt;.",W43),0),IFERROR(1/SUMIF(W44,"&lt;&gt;.",W44),0)),".")</f>
        <v>199.46413406993449</v>
      </c>
      <c r="X31" s="59">
        <f>IFERROR(1/SUM(IFERROR(1/SUMIF(X32,"&lt;&gt;.",X32),0),IFERROR(1/SUMIF(X33,"&lt;&gt;.",X33),0),IFERROR(1/SUMIF(X34,"&lt;&gt;.",X34),0),IFERROR(1/SUMIF(X35,"&lt;&gt;.",X35),0),IFERROR(1/SUMIF(X36,"&lt;&gt;.",X36),0),IFERROR(1/SUMIF(X37,"&lt;&gt;.",X37),0),IFERROR(1/SUMIF(X38,"&lt;&gt;.",X38),0),IFERROR(1/SUMIF(X39,"&lt;&gt;.",X39),0),IFERROR(1/SUMIF(X40,"&lt;&gt;.",X40),0),IFERROR(1/SUMIF(X41,"&lt;&gt;.",X41),0),IFERROR(1/SUMIF(X42,"&lt;&gt;.",X42),0),IFERROR(1/SUMIF(X43,"&lt;&gt;.",X43),0),IFERROR(1/SUMIF(X44,"&lt;&gt;.",X44),0)),".")</f>
        <v>140.93181289924036</v>
      </c>
      <c r="Y31" s="59">
        <f>IFERROR(1/SUM(IFERROR(1/SUMIF(Y32,"&lt;&gt;.",Y32),0),IFERROR(1/SUMIF(Y33,"&lt;&gt;.",Y33),0),IFERROR(1/SUMIF(Y34,"&lt;&gt;.",Y34),0),IFERROR(1/SUMIF(Y35,"&lt;&gt;.",Y35),0),IFERROR(1/SUMIF(Y36,"&lt;&gt;.",Y36),0),IFERROR(1/SUMIF(Y37,"&lt;&gt;.",Y37),0),IFERROR(1/SUMIF(Y38,"&lt;&gt;.",Y38),0),IFERROR(1/SUMIF(Y39,"&lt;&gt;.",Y39),0),IFERROR(1/SUMIF(Y40,"&lt;&gt;.",Y40),0),IFERROR(1/SUMIF(Y41,"&lt;&gt;.",Y41),0),IFERROR(1/SUMIF(Y42,"&lt;&gt;.",Y42),0),IFERROR(1/SUMIF(Y43,"&lt;&gt;.",Y43),0),IFERROR(1/SUMIF(Y44,"&lt;&gt;.",Y44),0)),".")</f>
        <v>122.43001143509866</v>
      </c>
      <c r="Z31" s="59">
        <f>IFERROR(1/SUM(IFERROR(1/SUMIF(Z32,"&lt;&gt;.",Z32),0),IFERROR(1/SUMIF(Z33,"&lt;&gt;.",Z33),0),IFERROR(1/SUMIF(Z34,"&lt;&gt;.",Z34),0),IFERROR(1/SUMIF(Z35,"&lt;&gt;.",Z35),0),IFERROR(1/SUMIF(Z36,"&lt;&gt;.",Z36),0),IFERROR(1/SUMIF(Z37,"&lt;&gt;.",Z37),0),IFERROR(1/SUMIF(Z38,"&lt;&gt;.",Z38),0),IFERROR(1/SUMIF(Z39,"&lt;&gt;.",Z39),0),IFERROR(1/SUMIF(Z40,"&lt;&gt;.",Z40),0),IFERROR(1/SUMIF(Z41,"&lt;&gt;.",Z41),0),IFERROR(1/SUMIF(Z42,"&lt;&gt;.",Z42),0),IFERROR(1/SUMIF(Z43,"&lt;&gt;.",Z43),0),IFERROR(1/SUMIF(Z44,"&lt;&gt;.",Z44),0)),".")</f>
        <v>421.38527700560428</v>
      </c>
      <c r="AA31" s="190">
        <f>V31*(0.0000000000028)*up_RadSpec!$AY3*up_RadSpec!$AF3</f>
        <v>3.6416513228504827E-7</v>
      </c>
      <c r="AB31" s="190">
        <f>W31*(0.0000000000028)*up_RadSpec!$AY3*up_RadSpec!$AF3</f>
        <v>6.7299198835195903E-7</v>
      </c>
      <c r="AC31" s="190">
        <f>X31*(0.0000000000028)*up_RadSpec!$AY3*up_RadSpec!$AF3</f>
        <v>4.7550393672203701E-7</v>
      </c>
      <c r="AD31" s="190">
        <f>Y31*(0.0000000000028)*up_RadSpec!$AY3*up_RadSpec!$AF3</f>
        <v>4.1307885858202294E-7</v>
      </c>
      <c r="AE31" s="190">
        <f>Z31*(0.0000000000000028)*up_RadSpec!$AY3*up_RadSpec!$AF3</f>
        <v>1.4217539246169091E-9</v>
      </c>
      <c r="AF31" s="47">
        <f t="shared" ref="AF31" si="18">IFERROR(SUM(AF32:AF44),".")</f>
        <v>0.23162568989162724</v>
      </c>
      <c r="AG31" s="47">
        <f t="shared" ref="AG31:AJ31" si="19">IFERROR(SUM(AG32:AG44),".")</f>
        <v>0.12533581596797097</v>
      </c>
      <c r="AH31" s="47">
        <f t="shared" si="19"/>
        <v>0.17739075007765512</v>
      </c>
      <c r="AI31" s="47">
        <f t="shared" si="19"/>
        <v>0.20419829833351566</v>
      </c>
      <c r="AJ31" s="47">
        <f t="shared" si="19"/>
        <v>5.9328128827024741E-2</v>
      </c>
      <c r="AK31" s="58">
        <f>IFERROR(1/SUM(IFERROR(1/SUMIF(AK32,"&lt;&gt;.",AK32),0),IFERROR(1/SUMIF(AK33,"&lt;&gt;.",AK33),0),IFERROR(1/SUMIF(AK34,"&lt;&gt;.",AK34),0),IFERROR(1/SUMIF(AK35,"&lt;&gt;.",AK35),0),IFERROR(1/SUMIF(AK36,"&lt;&gt;.",AK36),0),IFERROR(1/SUMIF(AK37,"&lt;&gt;.",AK37),0),IFERROR(1/SUMIF(AK38,"&lt;&gt;.",AK38),0),IFERROR(1/SUMIF(AK39,"&lt;&gt;.",AK39),0),IFERROR(1/SUMIF(AK40,"&lt;&gt;.",AK40),0),IFERROR(1/SUMIF(AK41,"&lt;&gt;.",AK41),0),IFERROR(1/SUMIF(AK42,"&lt;&gt;.",AK42),0),IFERROR(1/SUMIF(AK43,"&lt;&gt;.",AK43),0),IFERROR(1/SUMIF(AK44,"&lt;&gt;.",AK44),0)),".")</f>
        <v>8.311937669818407E-4</v>
      </c>
      <c r="AL31" s="58">
        <f>IFERROR(1/SUM(IFERROR(1/SUMIF(AL32,"&lt;&gt;.",AL32),0),IFERROR(1/SUMIF(AL33,"&lt;&gt;.",AL33),0),IFERROR(1/SUMIF(AL34,"&lt;&gt;.",AL34),0),IFERROR(1/SUMIF(AL35,"&lt;&gt;.",AL35),0),IFERROR(1/SUMIF(AL36,"&lt;&gt;.",AL36),0),IFERROR(1/SUMIF(AL37,"&lt;&gt;.",AL37),0),IFERROR(1/SUMIF(AL38,"&lt;&gt;.",AL38),0),IFERROR(1/SUMIF(AL39,"&lt;&gt;.",AL39),0),IFERROR(1/SUMIF(AL40,"&lt;&gt;.",AL40),0),IFERROR(1/SUMIF(AL41,"&lt;&gt;.",AL41),0),IFERROR(1/SUMIF(AL42,"&lt;&gt;.",AL42),0),IFERROR(1/SUMIF(AL43,"&lt;&gt;.",AL43),0),IFERROR(1/SUMIF(AL44,"&lt;&gt;.",AL44),0)),".")</f>
        <v>5.3092501865965076</v>
      </c>
      <c r="AM31" s="59">
        <f>IFERROR(1/SUM(IFERROR(1/SUMIF(AM32,"&lt;&gt;.",AM32),0),IFERROR(1/SUMIF(AM33,"&lt;&gt;.",AM33),0),IFERROR(1/SUMIF(AM34,"&lt;&gt;.",AM34),0),IFERROR(1/SUMIF(AM35,"&lt;&gt;.",AM35),0),IFERROR(1/SUMIF(AM36,"&lt;&gt;.",AM36),0),IFERROR(1/SUMIF(AM37,"&lt;&gt;.",AM37),0),IFERROR(1/SUMIF(AM38,"&lt;&gt;.",AM38),0),IFERROR(1/SUMIF(AM39,"&lt;&gt;.",AM39),0),IFERROR(1/SUMIF(AM40,"&lt;&gt;.",AM40),0),IFERROR(1/SUMIF(AM41,"&lt;&gt;.",AM41),0),IFERROR(1/SUMIF(AM42,"&lt;&gt;.",AM42),0),IFERROR(1/SUMIF(AM43,"&lt;&gt;.",AM43),0),IFERROR(1/SUMIF(AM44,"&lt;&gt;.",AM44),0)),".")</f>
        <v>8.3106365916827253E-4</v>
      </c>
      <c r="AN31" s="190">
        <f>AM31*(0.0000000000000028)*up_RadSpec!$AY3*up_RadSpec!$AF3</f>
        <v>2.8040087860337519E-15</v>
      </c>
      <c r="AO31" s="47">
        <f t="shared" ref="AO31" si="20">IFERROR(SUM(AO32:AO44),".")</f>
        <v>30077.222656249985</v>
      </c>
      <c r="AP31" s="47">
        <f t="shared" ref="AP31:AQ31" si="21">IFERROR(SUM(AP32:AP44),".")</f>
        <v>4.7087628424657533</v>
      </c>
      <c r="AQ31" s="47">
        <f t="shared" si="21"/>
        <v>30081.93141909246</v>
      </c>
      <c r="AR31" s="58">
        <f>IFERROR(1/SUM(IFERROR(1/SUMIF(AR32,"&lt;&gt;.",AR32),0),IFERROR(1/SUMIF(AR33,"&lt;&gt;.",AR33),0),IFERROR(1/SUMIF(AR34,"&lt;&gt;.",AR34),0),IFERROR(1/SUMIF(AR35,"&lt;&gt;.",AR35),0),IFERROR(1/SUMIF(AR36,"&lt;&gt;.",AR36),0),IFERROR(1/SUMIF(AR37,"&lt;&gt;.",AR37),0),IFERROR(1/SUMIF(AR38,"&lt;&gt;.",AR38),0),IFERROR(1/SUMIF(AR39,"&lt;&gt;.",AR39),0),IFERROR(1/SUMIF(AR40,"&lt;&gt;.",AR40),0),IFERROR(1/SUMIF(AR41,"&lt;&gt;.",AR41),0),IFERROR(1/SUMIF(AR42,"&lt;&gt;.",AR42),0),IFERROR(1/SUMIF(AR43,"&lt;&gt;.",AR43),0),IFERROR(1/SUMIF(AR44,"&lt;&gt;.",AR44),0)),".")</f>
        <v>1.8939962138258087E-4</v>
      </c>
      <c r="AS31" s="58">
        <f>IFERROR(1/SUM(IFERROR(1/SUMIF(AS32,"&lt;&gt;.",AS32),0),IFERROR(1/SUMIF(AS33,"&lt;&gt;.",AS33),0),IFERROR(1/SUMIF(AS34,"&lt;&gt;.",AS34),0),IFERROR(1/SUMIF(AS35,"&lt;&gt;.",AS35),0),IFERROR(1/SUMIF(AS36,"&lt;&gt;.",AS36),0),IFERROR(1/SUMIF(AS37,"&lt;&gt;.",AS37),0),IFERROR(1/SUMIF(AS38,"&lt;&gt;.",AS38),0),IFERROR(1/SUMIF(AS39,"&lt;&gt;.",AS39),0),IFERROR(1/SUMIF(AS40,"&lt;&gt;.",AS40),0),IFERROR(1/SUMIF(AS41,"&lt;&gt;.",AS41),0),IFERROR(1/SUMIF(AS42,"&lt;&gt;.",AS42),0),IFERROR(1/SUMIF(AS43,"&lt;&gt;.",AS43),0),IFERROR(1/SUMIF(AS44,"&lt;&gt;.",AS44),0)),".")</f>
        <v>3.3182813666228168</v>
      </c>
      <c r="AT31" s="61">
        <f>IFERROR(1/SUM(IFERROR(1/SUMIF(AT32,"&lt;&gt;.",AT32),0),IFERROR(1/SUMIF(AT33,"&lt;&gt;.",AT33),0),IFERROR(1/SUMIF(AT34,"&lt;&gt;.",AT34),0),IFERROR(1/SUMIF(AT35,"&lt;&gt;.",AT35),0),IFERROR(1/SUMIF(AT36,"&lt;&gt;.",AT36),0),IFERROR(1/SUMIF(AT37,"&lt;&gt;.",AT37),0),IFERROR(1/SUMIF(AT38,"&lt;&gt;.",AT38),0),IFERROR(1/SUMIF(AT39,"&lt;&gt;.",AT39),0),IFERROR(1/SUMIF(AT40,"&lt;&gt;.",AT40),0),IFERROR(1/SUMIF(AT41,"&lt;&gt;.",AT41),0),IFERROR(1/SUMIF(AT42,"&lt;&gt;.",AT42),0),IFERROR(1/SUMIF(AT43,"&lt;&gt;.",AT43),0),IFERROR(1/SUMIF(AT44,"&lt;&gt;.",AT44),0)),".")</f>
        <v>0.15151969710606472</v>
      </c>
      <c r="AU31" s="61">
        <f>IFERROR(1/SUM(IFERROR(1/SUMIF(AU32,"&lt;&gt;.",AU32),0),IFERROR(1/SUMIF(AU33,"&lt;&gt;.",AU33),0),IFERROR(1/SUMIF(AU34,"&lt;&gt;.",AU34),0),IFERROR(1/SUMIF(AU35,"&lt;&gt;.",AU35),0),IFERROR(1/SUMIF(AU36,"&lt;&gt;.",AU36),0),IFERROR(1/SUMIF(AU37,"&lt;&gt;.",AU37),0),IFERROR(1/SUMIF(AU38,"&lt;&gt;.",AU38),0),IFERROR(1/SUMIF(AU39,"&lt;&gt;.",AU39),0),IFERROR(1/SUMIF(AU40,"&lt;&gt;.",AU40),0),IFERROR(1/SUMIF(AU41,"&lt;&gt;.",AU41),0),IFERROR(1/SUMIF(AU42,"&lt;&gt;.",AU42),0),IFERROR(1/SUMIF(AU43,"&lt;&gt;.",AU43),0),IFERROR(1/SUMIF(AU44,"&lt;&gt;.",AU44),0)),".")</f>
        <v>0.15151969710606472</v>
      </c>
      <c r="AV31" s="233">
        <f t="shared" si="5"/>
        <v>5279.8415999999997</v>
      </c>
      <c r="AW31" s="233">
        <f t="shared" si="5"/>
        <v>0.30136082191780822</v>
      </c>
      <c r="AX31" s="233">
        <f t="shared" si="5"/>
        <v>6.5998019999999986</v>
      </c>
      <c r="AY31" s="233">
        <f t="shared" si="5"/>
        <v>6.5998019999999986</v>
      </c>
      <c r="AZ31" s="62">
        <f>IFERROR(1/SUM(IFERROR(1/SUMIF(AZ32,"&lt;&gt;.",AZ32),0),IFERROR(1/SUMIF(AZ33,"&lt;&gt;.",AZ33),0),IFERROR(1/SUMIF(AZ34,"&lt;&gt;.",AZ34),0),IFERROR(1/SUMIF(AZ35,"&lt;&gt;.",AZ35),0),IFERROR(1/SUMIF(AZ36,"&lt;&gt;.",AZ36),0),IFERROR(1/SUMIF(AZ37,"&lt;&gt;.",AZ37),0),IFERROR(1/SUMIF(AZ38,"&lt;&gt;.",AZ38),0),IFERROR(1/SUMIF(AZ39,"&lt;&gt;.",AZ39),0),IFERROR(1/SUMIF(AZ40,"&lt;&gt;.",AZ40),0),IFERROR(1/SUMIF(AZ41,"&lt;&gt;.",AZ41),0),IFERROR(1/SUMIF(AZ42,"&lt;&gt;.",AZ42),0),IFERROR(1/SUMIF(AZ43,"&lt;&gt;.",AZ43),0),IFERROR(1/SUMIF(AZ44,"&lt;&gt;.",AZ44),0)),".")</f>
        <v>1.8891654710687379E-4</v>
      </c>
      <c r="BA31" s="190">
        <f>AZ31*(0.0000000000000028)*up_RadSpec!$AY3*up_RadSpec!$AF3</f>
        <v>6.3740442993859226E-16</v>
      </c>
      <c r="BB31" s="47">
        <f t="shared" ref="BB31" si="22">IFERROR(SUM(BB32:BB44),".")</f>
        <v>131996.03999999998</v>
      </c>
      <c r="BC31" s="47">
        <f>IFERROR(SUM(BC32:BC44),".")</f>
        <v>7.5340205479452074</v>
      </c>
      <c r="BD31" s="47">
        <f t="shared" ref="BD31:BF31" si="23">IFERROR(SUM(BD32:BD44),".")</f>
        <v>164.99504999999999</v>
      </c>
      <c r="BE31" s="47">
        <f t="shared" si="23"/>
        <v>164.99504999999999</v>
      </c>
      <c r="BF31" s="47">
        <f t="shared" si="23"/>
        <v>132333.56412054793</v>
      </c>
      <c r="BG31" s="61">
        <f>IFERROR(1/SUM(IFERROR(1/SUMIF(BG32,"&lt;&gt;.",BG32),0),IFERROR(1/SUMIF(BG33,"&lt;&gt;.",BG33),0),IFERROR(1/SUMIF(BG34,"&lt;&gt;.",BG34),0),IFERROR(1/SUMIF(BG35,"&lt;&gt;.",BG35),0),IFERROR(1/SUMIF(BG36,"&lt;&gt;.",BG36),0),IFERROR(1/SUMIF(BG37,"&lt;&gt;.",BG37),0),IFERROR(1/SUMIF(BG38,"&lt;&gt;.",BG38),0),IFERROR(1/SUMIF(BG39,"&lt;&gt;.",BG39),0),IFERROR(1/SUMIF(BG40,"&lt;&gt;.",BG40),0),IFERROR(1/SUMIF(BG41,"&lt;&gt;.",BG41),0),IFERROR(1/SUMIF(BG42,"&lt;&gt;.",BG42),0),IFERROR(1/SUMIF(BG43,"&lt;&gt;.",BG43),0),IFERROR(1/SUMIF(BG44,"&lt;&gt;.",BG44),0)),".")</f>
        <v>1.5151969710606469E-3</v>
      </c>
      <c r="BH31" s="61">
        <f>IFERROR(1/SUM(IFERROR(1/SUMIF(BH32,"&lt;&gt;.",BH32),0),IFERROR(1/SUMIF(BH33,"&lt;&gt;.",BH33),0),IFERROR(1/SUMIF(BH34,"&lt;&gt;.",BH34),0),IFERROR(1/SUMIF(BH35,"&lt;&gt;.",BH35),0),IFERROR(1/SUMIF(BH36,"&lt;&gt;.",BH36),0),IFERROR(1/SUMIF(BH37,"&lt;&gt;.",BH37),0),IFERROR(1/SUMIF(BH38,"&lt;&gt;.",BH38),0),IFERROR(1/SUMIF(BH39,"&lt;&gt;.",BH39),0),IFERROR(1/SUMIF(BH40,"&lt;&gt;.",BH40),0),IFERROR(1/SUMIF(BH41,"&lt;&gt;.",BH41),0),IFERROR(1/SUMIF(BH42,"&lt;&gt;.",BH42),0),IFERROR(1/SUMIF(BH43,"&lt;&gt;.",BH43),0),IFERROR(1/SUMIF(BH44,"&lt;&gt;.",BH44),0)),".")</f>
        <v>1.5151969710606469E-3</v>
      </c>
      <c r="BI31" s="190">
        <f>BG31*(0.0000000000028)*up_RadSpec!$AY3*up_RadSpec!$AF3</f>
        <v>5.1122745803586232E-12</v>
      </c>
      <c r="BJ31" s="190">
        <f>BH31*(0.0000000000028)*up_RadSpec!$AY3*up_RadSpec!$AF3</f>
        <v>5.1122745803586232E-12</v>
      </c>
      <c r="BK31" s="47">
        <f t="shared" ref="BK31" si="24">IFERROR(SUM(BK32:BK44),".")</f>
        <v>16470.770948499998</v>
      </c>
      <c r="BL31" s="47">
        <f t="shared" ref="BL31" si="25">IFERROR(SUM(BL32:BL44),".")</f>
        <v>16470.770948499998</v>
      </c>
    </row>
    <row r="32" spans="1:64" x14ac:dyDescent="0.25">
      <c r="A32" s="48" t="s">
        <v>1085</v>
      </c>
      <c r="B32" s="15">
        <v>1</v>
      </c>
      <c r="C32" s="42"/>
      <c r="D32" s="60">
        <f>IFERROR(D3/$B32,".")</f>
        <v>0.33057851239669422</v>
      </c>
      <c r="E32" s="60">
        <f>IFERROR(E3/$B32,".")</f>
        <v>3089.9917851942919</v>
      </c>
      <c r="F32" s="60">
        <f>IFERROR(F3/$B32,".")</f>
        <v>221844.15584415593</v>
      </c>
      <c r="G32" s="63">
        <f>IFERROR(G3/$B32,".")</f>
        <v>7.5757575757575758E-5</v>
      </c>
      <c r="H32" s="63">
        <f>IFERROR(H3/$B32,".")</f>
        <v>7.5757575757575758E-5</v>
      </c>
      <c r="I32" s="233">
        <f t="shared" si="10"/>
        <v>3.0249999999999999</v>
      </c>
      <c r="J32" s="233">
        <f t="shared" si="10"/>
        <v>3.236254558317935E-4</v>
      </c>
      <c r="K32" s="233">
        <f t="shared" si="10"/>
        <v>4.5076688912305335E-6</v>
      </c>
      <c r="L32" s="233">
        <f t="shared" si="10"/>
        <v>13200</v>
      </c>
      <c r="M32" s="233">
        <f t="shared" si="10"/>
        <v>13200</v>
      </c>
      <c r="N32" s="63">
        <f>IFERROR(N3/$B32,".")</f>
        <v>3.787444762757825E-5</v>
      </c>
      <c r="O32" s="189">
        <f>IFERROR(O3/$B32,0)</f>
        <v>1.2778838629544901E-13</v>
      </c>
      <c r="P32" s="49">
        <f>IF(D32=".",".",up_RadSpec!$E$3*P3*$B$32)</f>
        <v>75.625</v>
      </c>
      <c r="Q32" s="49">
        <f>IF(E32=".",".",up_RadSpec!$H$3*Q3*$B$32)</f>
        <v>8.0906363957948379E-3</v>
      </c>
      <c r="R32" s="49">
        <f>IF(F32=".",".",up_RadSpec!$G$3*R3*$B$32)</f>
        <v>1.1269172228076334E-4</v>
      </c>
      <c r="S32" s="49">
        <f>IF(G32=".",".",up_RadSpec!$F$3*S3*$B$32)</f>
        <v>330000</v>
      </c>
      <c r="T32" s="49">
        <f>IF(H32=".",".",up_RadSpec!$F$3*T3*$B$32)</f>
        <v>330000</v>
      </c>
      <c r="U32" s="49">
        <f>IFERROR(SUM(P32:T32),".")</f>
        <v>660075.63320332812</v>
      </c>
      <c r="V32" s="60">
        <f>IFERROR(V3/$B32,".")</f>
        <v>221844.15584415593</v>
      </c>
      <c r="W32" s="60">
        <f>IFERROR(W3/$B32,".")</f>
        <v>311061.75132324267</v>
      </c>
      <c r="X32" s="60">
        <f>IFERROR(X3/$B32,".")</f>
        <v>235829.23154193873</v>
      </c>
      <c r="Y32" s="60">
        <f>IFERROR(Y3/$B32,".")</f>
        <v>243096.83536802168</v>
      </c>
      <c r="Z32" s="60">
        <f>IFERROR(Z3/$B32,".")</f>
        <v>482281.85429946438</v>
      </c>
      <c r="AA32" s="189">
        <f t="shared" ref="AA32:AE32" si="26">IFERROR(AA3/$B32,0)</f>
        <v>7.485021818181821E-4</v>
      </c>
      <c r="AB32" s="189">
        <f t="shared" si="26"/>
        <v>1.0495223489646209E-3</v>
      </c>
      <c r="AC32" s="189">
        <f t="shared" si="26"/>
        <v>7.9568782722250122E-4</v>
      </c>
      <c r="AD32" s="189">
        <f t="shared" si="26"/>
        <v>8.2020872253170526E-4</v>
      </c>
      <c r="AE32" s="189">
        <f t="shared" si="26"/>
        <v>1.627218976406393E-3</v>
      </c>
      <c r="AF32" s="49">
        <f>IF(V32=".",".",up_RadSpec!$G$3*AF3*$B$32)</f>
        <v>1.1269172228076334E-4</v>
      </c>
      <c r="AG32" s="49">
        <f>IF(W32=".",".",up_RadSpec!$N$3*AG3*$B$32)</f>
        <v>8.0369894060105846E-5</v>
      </c>
      <c r="AH32" s="49">
        <f>IF(X32=".",".",up_RadSpec!$O$3*AH3*$B$32)</f>
        <v>1.0600891092482791E-4</v>
      </c>
      <c r="AI32" s="49">
        <f>IF(Y32=".",".",up_RadSpec!$P$3*AI3*$B$32)</f>
        <v>1.0283967688083133E-4</v>
      </c>
      <c r="AJ32" s="49">
        <f>IF(Z32=".",".",up_RadSpec!$L$3*AJ3*$B$32)</f>
        <v>5.1836907769033943E-5</v>
      </c>
      <c r="AK32" s="60">
        <f>IFERROR(AK3/$B32,".")</f>
        <v>9.9740259740259754E-3</v>
      </c>
      <c r="AL32" s="60">
        <f>IFERROR(AL3/$B32,".")</f>
        <v>63.709090909090911</v>
      </c>
      <c r="AM32" s="60">
        <f>IFERROR(AM3/$B32,".")</f>
        <v>9.9724647271019675E-3</v>
      </c>
      <c r="AN32" s="189">
        <f t="shared" ref="AN32" si="27">IFERROR(AN3/$B32,0)</f>
        <v>3.3647095989242038E-14</v>
      </c>
      <c r="AO32" s="49">
        <f>IF(AK32=".",".",up_RadSpec!$H$3*AO3*$B$32)</f>
        <v>2506.5104166666661</v>
      </c>
      <c r="AP32" s="49">
        <f>IF(AL32=".",".",up_RadSpec!$K$3*AP3*$B$32)</f>
        <v>0.39240867579908678</v>
      </c>
      <c r="AQ32" s="49">
        <f>IFERROR(SUM(AO32:AP32),".")</f>
        <v>2506.9028253424653</v>
      </c>
      <c r="AR32" s="60">
        <f>IFERROR(AR3/$B32,".")</f>
        <v>2.2727272727272726E-3</v>
      </c>
      <c r="AS32" s="60">
        <f>IFERROR(AS3/$B32,".")</f>
        <v>39.81818181818182</v>
      </c>
      <c r="AT32" s="63">
        <f>IFERROR(AT3/$B32,".")</f>
        <v>1.8181818181818181</v>
      </c>
      <c r="AU32" s="63">
        <f>IFERROR(AU3/$B32,".")</f>
        <v>1.8181818181818181</v>
      </c>
      <c r="AV32" s="233">
        <f>IFERROR(1/AR32,0)</f>
        <v>440</v>
      </c>
      <c r="AW32" s="233">
        <f t="shared" ref="AW32:AY47" si="28">IFERROR(1/AS32,0)</f>
        <v>2.5114155251141551E-2</v>
      </c>
      <c r="AX32" s="233">
        <f t="shared" si="28"/>
        <v>0.55000000000000004</v>
      </c>
      <c r="AY32" s="233">
        <f t="shared" si="28"/>
        <v>0.55000000000000004</v>
      </c>
      <c r="AZ32" s="63">
        <f>IFERROR(AZ3/$B32,".")</f>
        <v>2.2669305553255272E-3</v>
      </c>
      <c r="BA32" s="189">
        <f t="shared" ref="BA32" si="29">IFERROR(BA3/$B32,0)</f>
        <v>7.6486236936683288E-15</v>
      </c>
      <c r="BB32" s="49">
        <f>IF(AR32=".",".",up_RadSpec!$I$3*BB3*$B$32)</f>
        <v>11000</v>
      </c>
      <c r="BC32" s="49">
        <f>IF(AS32=".",".",up_RadSpec!$M$3*BC3*$B$32)</f>
        <v>0.62785388127853881</v>
      </c>
      <c r="BD32" s="49">
        <f>IF(AT32=".",".",up_RadSpec!$F$3*BD3*$B$32)</f>
        <v>13.75</v>
      </c>
      <c r="BE32" s="49">
        <f>IF(AU32=".",".",up_RadSpec!$F$3*BE3*$B$32)</f>
        <v>13.75</v>
      </c>
      <c r="BF32" s="49">
        <f>IFERROR(SUM(BB32:BE32),".")</f>
        <v>11028.127853881278</v>
      </c>
      <c r="BG32" s="63">
        <f>IFERROR(BG3/$B32,".")</f>
        <v>1.8181818181818181E-2</v>
      </c>
      <c r="BH32" s="63">
        <f>IFERROR(BH3/$B32,".")</f>
        <v>1.8181818181818181E-2</v>
      </c>
      <c r="BI32" s="189">
        <f t="shared" ref="BI32:BJ32" si="30">IFERROR(BI3/$B32,0)</f>
        <v>6.1345454545454554E-11</v>
      </c>
      <c r="BJ32" s="189">
        <f t="shared" si="30"/>
        <v>6.1345454545454554E-11</v>
      </c>
      <c r="BK32" s="49">
        <f>IF(BG32=".",".",up_RadSpec!$F$3*BK3*$B$32)</f>
        <v>1375</v>
      </c>
      <c r="BL32" s="49">
        <f>IF(BH32=".",".",up_RadSpec!$F$3*BL3*$B$32)</f>
        <v>1375</v>
      </c>
    </row>
    <row r="33" spans="1:64" x14ac:dyDescent="0.25">
      <c r="A33" s="48" t="s">
        <v>1061</v>
      </c>
      <c r="B33" s="15">
        <v>1</v>
      </c>
      <c r="C33" s="42"/>
      <c r="D33" s="60">
        <f t="shared" ref="D33:H34" si="31">IFERROR(D13/$B33,".")</f>
        <v>0.33057851239669422</v>
      </c>
      <c r="E33" s="60">
        <f t="shared" si="31"/>
        <v>3089.9917851942919</v>
      </c>
      <c r="F33" s="60">
        <f t="shared" si="31"/>
        <v>5479.0618044855373</v>
      </c>
      <c r="G33" s="63">
        <f t="shared" si="31"/>
        <v>7.5757575757575758E-5</v>
      </c>
      <c r="H33" s="63">
        <f t="shared" si="31"/>
        <v>7.5757575757575758E-5</v>
      </c>
      <c r="I33" s="233">
        <f t="shared" si="10"/>
        <v>3.0249999999999999</v>
      </c>
      <c r="J33" s="233">
        <f t="shared" si="10"/>
        <v>3.236254558317935E-4</v>
      </c>
      <c r="K33" s="233">
        <f t="shared" si="10"/>
        <v>1.8251299870012985E-4</v>
      </c>
      <c r="L33" s="233">
        <f t="shared" si="10"/>
        <v>13200</v>
      </c>
      <c r="M33" s="233">
        <f t="shared" si="10"/>
        <v>13200</v>
      </c>
      <c r="N33" s="63">
        <f t="shared" ref="N33:N34" si="32">IFERROR(N13/$B33,".")</f>
        <v>3.7874447372234273E-5</v>
      </c>
      <c r="O33" s="189">
        <f t="shared" ref="O33:O34" si="33">IFERROR(O13/$B33,0)</f>
        <v>1.2566741638107333E-13</v>
      </c>
      <c r="P33" s="49">
        <f>IF(D33=".",".",up_RadSpec!$E$13*P13*$B$33)</f>
        <v>75.625</v>
      </c>
      <c r="Q33" s="49">
        <f>IF(E33=".",".",up_RadSpec!$H$13*Q13*$B$33)</f>
        <v>8.0906363957948379E-3</v>
      </c>
      <c r="R33" s="49">
        <f>IF(F33=".",".",up_RadSpec!$G$13*R13*$B$33)</f>
        <v>4.562824967503246E-3</v>
      </c>
      <c r="S33" s="49">
        <f>IF(G33=".",".",up_RadSpec!$F$13*S13*$B$33)</f>
        <v>330000</v>
      </c>
      <c r="T33" s="49">
        <f>IF(H33=".",".",up_RadSpec!$F$13*T13*$B$33)</f>
        <v>330000</v>
      </c>
      <c r="U33" s="49">
        <f t="shared" ref="U33:U44" si="34">IFERROR(SUM(P33:T33),".")</f>
        <v>660075.63765346142</v>
      </c>
      <c r="V33" s="60">
        <f t="shared" ref="V33:Z34" si="35">IFERROR(V13/$B33,".")</f>
        <v>5479.0618044855373</v>
      </c>
      <c r="W33" s="60">
        <f t="shared" si="35"/>
        <v>11948.632373213381</v>
      </c>
      <c r="X33" s="60">
        <f t="shared" si="35"/>
        <v>7098.5979194934398</v>
      </c>
      <c r="Y33" s="60">
        <f t="shared" si="35"/>
        <v>5860.0282168498088</v>
      </c>
      <c r="Z33" s="60">
        <f t="shared" si="35"/>
        <v>114951.29870129867</v>
      </c>
      <c r="AA33" s="189">
        <f t="shared" ref="AA33:AE34" si="36">IFERROR(AA13/$B33,0)</f>
        <v>1.8179527067283013E-5</v>
      </c>
      <c r="AB33" s="189">
        <f t="shared" si="36"/>
        <v>3.9645562214321997E-5</v>
      </c>
      <c r="AC33" s="189">
        <f t="shared" si="36"/>
        <v>2.3553147896879235E-5</v>
      </c>
      <c r="AD33" s="189">
        <f t="shared" si="36"/>
        <v>1.9443573623507672E-5</v>
      </c>
      <c r="AE33" s="189">
        <f t="shared" si="36"/>
        <v>3.8140840909090901E-4</v>
      </c>
      <c r="AF33" s="49">
        <f>IF(V33=".",".",up_RadSpec!$G$13*AF13*$B$33)</f>
        <v>4.562824967503246E-3</v>
      </c>
      <c r="AG33" s="49">
        <f>IF(W33=".",".",up_RadSpec!$N$13*AG13*$B$33)</f>
        <v>2.0922896628776835E-3</v>
      </c>
      <c r="AH33" s="49">
        <f>IF(X33=".",".",up_RadSpec!$O$13*AH13*$B$33)</f>
        <v>3.5218222363810141E-3</v>
      </c>
      <c r="AI33" s="49">
        <f>IF(Y33=".",".",up_RadSpec!$P$13*AI13*$B$33)</f>
        <v>4.2661910616941219E-3</v>
      </c>
      <c r="AJ33" s="49">
        <f>IF(Z33=".",".",up_RadSpec!$L$13*AJ13*$B$33)</f>
        <v>2.1748340629854546E-4</v>
      </c>
      <c r="AK33" s="60">
        <f t="shared" ref="AK33:AM34" si="37">IFERROR(AK13/$B33,".")</f>
        <v>9.9740259740259754E-3</v>
      </c>
      <c r="AL33" s="60">
        <f t="shared" si="37"/>
        <v>63.709090909090911</v>
      </c>
      <c r="AM33" s="60">
        <f t="shared" si="37"/>
        <v>9.9724647271019675E-3</v>
      </c>
      <c r="AN33" s="189">
        <f t="shared" ref="AN33:AN34" si="38">IFERROR(AN13/$B33,0)</f>
        <v>3.3088637964524332E-14</v>
      </c>
      <c r="AO33" s="49">
        <f>IF(AK33=".",".",up_RadSpec!$H$13*AO13*$B$33)</f>
        <v>2506.5104166666661</v>
      </c>
      <c r="AP33" s="49">
        <f>IF(AL33=".",".",up_RadSpec!$K$13*AP13*$B$33)</f>
        <v>0.39240867579908678</v>
      </c>
      <c r="AQ33" s="49">
        <f t="shared" ref="AQ33:AQ44" si="39">IFERROR(SUM(AO33:AP33),".")</f>
        <v>2506.9028253424653</v>
      </c>
      <c r="AR33" s="60">
        <f t="shared" ref="AR33:AU34" si="40">IFERROR(AR13/$B33,".")</f>
        <v>2.2727272727272726E-3</v>
      </c>
      <c r="AS33" s="60">
        <f t="shared" si="40"/>
        <v>39.81818181818182</v>
      </c>
      <c r="AT33" s="63">
        <f t="shared" si="40"/>
        <v>1.8181818181818181</v>
      </c>
      <c r="AU33" s="63">
        <f t="shared" si="40"/>
        <v>1.8181818181818181</v>
      </c>
      <c r="AV33" s="233">
        <f t="shared" ref="AV33:AY76" si="41">IFERROR(1/AR33,0)</f>
        <v>440</v>
      </c>
      <c r="AW33" s="233">
        <f t="shared" si="28"/>
        <v>2.5114155251141551E-2</v>
      </c>
      <c r="AX33" s="233">
        <f t="shared" si="28"/>
        <v>0.55000000000000004</v>
      </c>
      <c r="AY33" s="233">
        <f t="shared" si="28"/>
        <v>0.55000000000000004</v>
      </c>
      <c r="AZ33" s="63">
        <f t="shared" ref="AZ33:AZ34" si="42">IFERROR(AZ13/$B33,".")</f>
        <v>2.2669305553255272E-3</v>
      </c>
      <c r="BA33" s="189">
        <f t="shared" ref="BA33:BA34" si="43">IFERROR(BA13/$B33,0)</f>
        <v>7.5216755825700997E-15</v>
      </c>
      <c r="BB33" s="49">
        <f>IF(AR33=".",".",up_RadSpec!$I$13*BB13*$B$33)</f>
        <v>11000</v>
      </c>
      <c r="BC33" s="49">
        <f>IF(AS33=".",".",up_RadSpec!$M$13*BC13*$B$33)</f>
        <v>0.62785388127853881</v>
      </c>
      <c r="BD33" s="49">
        <f>IF(AT33=".",".",up_RadSpec!$F$13*BD13*$B$33)</f>
        <v>13.75</v>
      </c>
      <c r="BE33" s="49">
        <f>IF(AU33=".",".",up_RadSpec!$F$13*BE13*$B$33)</f>
        <v>13.75</v>
      </c>
      <c r="BF33" s="49">
        <f t="shared" ref="BF33:BF76" si="44">IFERROR(SUM(BB33:BE33),".")</f>
        <v>11028.127853881278</v>
      </c>
      <c r="BG33" s="63">
        <f t="shared" ref="BG33:BH34" si="45">IFERROR(BG13/$B33,".")</f>
        <v>1.8181818181818181E-2</v>
      </c>
      <c r="BH33" s="63">
        <f t="shared" si="45"/>
        <v>1.8181818181818181E-2</v>
      </c>
      <c r="BI33" s="189">
        <f t="shared" ref="BI33:BJ34" si="46">IFERROR(BI13/$B33,0)</f>
        <v>6.0327272727272732E-11</v>
      </c>
      <c r="BJ33" s="189">
        <f t="shared" si="46"/>
        <v>6.0327272727272732E-11</v>
      </c>
      <c r="BK33" s="49">
        <f>IF(BG33=".",".",up_RadSpec!$F$13*BK13*$B$33)</f>
        <v>1375</v>
      </c>
      <c r="BL33" s="49">
        <f>IF(BH33=".",".",up_RadSpec!$F$13*BL13*$B$33)</f>
        <v>1375</v>
      </c>
    </row>
    <row r="34" spans="1:64" x14ac:dyDescent="0.25">
      <c r="A34" s="48" t="s">
        <v>1062</v>
      </c>
      <c r="B34" s="15">
        <v>1</v>
      </c>
      <c r="C34" s="42"/>
      <c r="D34" s="60">
        <f t="shared" si="31"/>
        <v>0.33057851239669422</v>
      </c>
      <c r="E34" s="60">
        <f t="shared" si="31"/>
        <v>3089.9917851942919</v>
      </c>
      <c r="F34" s="60">
        <f t="shared" si="31"/>
        <v>822.50179434746656</v>
      </c>
      <c r="G34" s="63">
        <f t="shared" si="31"/>
        <v>7.5757575757575758E-5</v>
      </c>
      <c r="H34" s="63">
        <f t="shared" si="31"/>
        <v>7.5757575757575758E-5</v>
      </c>
      <c r="I34" s="233">
        <f t="shared" si="10"/>
        <v>3.0249999999999999</v>
      </c>
      <c r="J34" s="233">
        <f t="shared" si="10"/>
        <v>3.236254558317935E-4</v>
      </c>
      <c r="K34" s="233">
        <f t="shared" si="10"/>
        <v>1.2158028187565864E-3</v>
      </c>
      <c r="L34" s="233">
        <f t="shared" si="10"/>
        <v>13200</v>
      </c>
      <c r="M34" s="233">
        <f t="shared" si="10"/>
        <v>13200</v>
      </c>
      <c r="N34" s="63">
        <f t="shared" si="32"/>
        <v>3.7874445890007192E-5</v>
      </c>
      <c r="O34" s="189">
        <f t="shared" si="33"/>
        <v>1.2354644249320347E-13</v>
      </c>
      <c r="P34" s="49">
        <f>IF(D34=".",".",up_RadSpec!$E$14*P14*$B$34)</f>
        <v>75.625</v>
      </c>
      <c r="Q34" s="49">
        <f>IF(E34=".",".",up_RadSpec!$H$14*Q14*$B$34)</f>
        <v>8.0906363957948379E-3</v>
      </c>
      <c r="R34" s="49">
        <f>IF(F34=".",".",up_RadSpec!$G$14*R14*$B$34)</f>
        <v>3.039507046891466E-2</v>
      </c>
      <c r="S34" s="49">
        <f>IF(G34=".",".",up_RadSpec!$F$14*S14*$B$34)</f>
        <v>330000</v>
      </c>
      <c r="T34" s="49">
        <f>IF(H34=".",".",up_RadSpec!$F$14*T14*$B$34)</f>
        <v>330000</v>
      </c>
      <c r="U34" s="49">
        <f t="shared" si="34"/>
        <v>660075.66348570678</v>
      </c>
      <c r="V34" s="60">
        <f t="shared" si="35"/>
        <v>822.50179434746656</v>
      </c>
      <c r="W34" s="60">
        <f t="shared" si="35"/>
        <v>1493.7483186060476</v>
      </c>
      <c r="X34" s="60">
        <f t="shared" si="35"/>
        <v>1104.3933455751369</v>
      </c>
      <c r="Y34" s="60">
        <f t="shared" si="35"/>
        <v>967.77614763226291</v>
      </c>
      <c r="Z34" s="60">
        <f t="shared" si="35"/>
        <v>4167.9600886917979</v>
      </c>
      <c r="AA34" s="189">
        <f t="shared" si="36"/>
        <v>2.6830008531614364E-6</v>
      </c>
      <c r="AB34" s="189">
        <f t="shared" si="36"/>
        <v>4.8726070152929272E-6</v>
      </c>
      <c r="AC34" s="189">
        <f t="shared" si="36"/>
        <v>3.6025310932660969E-6</v>
      </c>
      <c r="AD34" s="189">
        <f t="shared" si="36"/>
        <v>3.1568857935764422E-6</v>
      </c>
      <c r="AE34" s="189">
        <f t="shared" si="36"/>
        <v>1.3595885809312644E-5</v>
      </c>
      <c r="AF34" s="49">
        <f>IF(V34=".",".",up_RadSpec!$G$14*AF14*$B$34)</f>
        <v>3.039507046891466E-2</v>
      </c>
      <c r="AG34" s="49">
        <f>IF(W34=".",".",up_RadSpec!$N$14*AG14*$B$34)</f>
        <v>1.6736420512479488E-2</v>
      </c>
      <c r="AH34" s="49">
        <f>IF(X34=".",".",up_RadSpec!$O$14*AH14*$B$34)</f>
        <v>2.263686221957513E-2</v>
      </c>
      <c r="AI34" s="49">
        <f>IF(Y34=".",".",up_RadSpec!$P$14*AI14*$B$34)</f>
        <v>2.5832420091324197E-2</v>
      </c>
      <c r="AJ34" s="49">
        <f>IF(Z34=".",".",up_RadSpec!$L$14*AJ14*$B$34)</f>
        <v>5.9981380502726394E-3</v>
      </c>
      <c r="AK34" s="60">
        <f t="shared" si="37"/>
        <v>9.9740259740259754E-3</v>
      </c>
      <c r="AL34" s="60">
        <f t="shared" si="37"/>
        <v>63.709090909090911</v>
      </c>
      <c r="AM34" s="60">
        <f t="shared" si="37"/>
        <v>9.9724647271019675E-3</v>
      </c>
      <c r="AN34" s="189">
        <f t="shared" si="38"/>
        <v>3.2530179939806619E-14</v>
      </c>
      <c r="AO34" s="49">
        <f>IF(AK34=".",".",up_RadSpec!$H$14*AO14*$B$34)</f>
        <v>2506.5104166666661</v>
      </c>
      <c r="AP34" s="49">
        <f>IF(AL34=".",".",up_RadSpec!$K$14*AP14*$B$34)</f>
        <v>0.39240867579908678</v>
      </c>
      <c r="AQ34" s="49">
        <f t="shared" si="39"/>
        <v>2506.9028253424653</v>
      </c>
      <c r="AR34" s="60">
        <f t="shared" si="40"/>
        <v>2.2727272727272726E-3</v>
      </c>
      <c r="AS34" s="60">
        <f t="shared" si="40"/>
        <v>39.81818181818182</v>
      </c>
      <c r="AT34" s="63">
        <f t="shared" si="40"/>
        <v>1.8181818181818181</v>
      </c>
      <c r="AU34" s="63">
        <f t="shared" si="40"/>
        <v>1.8181818181818181</v>
      </c>
      <c r="AV34" s="233">
        <f t="shared" si="41"/>
        <v>440</v>
      </c>
      <c r="AW34" s="233">
        <f t="shared" si="28"/>
        <v>2.5114155251141551E-2</v>
      </c>
      <c r="AX34" s="233">
        <f t="shared" si="28"/>
        <v>0.55000000000000004</v>
      </c>
      <c r="AY34" s="233">
        <f t="shared" si="28"/>
        <v>0.55000000000000004</v>
      </c>
      <c r="AZ34" s="63">
        <f t="shared" si="42"/>
        <v>2.2669305553255272E-3</v>
      </c>
      <c r="BA34" s="189">
        <f t="shared" si="43"/>
        <v>7.3947274714718691E-15</v>
      </c>
      <c r="BB34" s="49">
        <f>IF(AR34=".",".",up_RadSpec!$I$14*BB14*$B$34)</f>
        <v>11000</v>
      </c>
      <c r="BC34" s="49">
        <f>IF(AS34=".",".",up_RadSpec!$M$14*BC14*$B$34)</f>
        <v>0.62785388127853881</v>
      </c>
      <c r="BD34" s="49">
        <f>IF(AT34=".",".",up_RadSpec!$F$14*BD14*$B$34)</f>
        <v>13.75</v>
      </c>
      <c r="BE34" s="49">
        <f>IF(AU34=".",".",up_RadSpec!$F$14*BE14*$B$34)</f>
        <v>13.75</v>
      </c>
      <c r="BF34" s="49">
        <f t="shared" si="44"/>
        <v>11028.127853881278</v>
      </c>
      <c r="BG34" s="63">
        <f t="shared" si="45"/>
        <v>1.8181818181818181E-2</v>
      </c>
      <c r="BH34" s="63">
        <f t="shared" si="45"/>
        <v>1.8181818181818181E-2</v>
      </c>
      <c r="BI34" s="189">
        <f t="shared" si="46"/>
        <v>5.9309090909090911E-11</v>
      </c>
      <c r="BJ34" s="189">
        <f t="shared" si="46"/>
        <v>5.9309090909090911E-11</v>
      </c>
      <c r="BK34" s="49">
        <f>IF(BG34=".",".",up_RadSpec!$F$14*BK14*$B$34)</f>
        <v>1375</v>
      </c>
      <c r="BL34" s="49">
        <f>IF(BH34=".",".",up_RadSpec!$F$14*BL14*$B$34)</f>
        <v>1375</v>
      </c>
    </row>
    <row r="35" spans="1:64" x14ac:dyDescent="0.25">
      <c r="A35" s="48" t="s">
        <v>1063</v>
      </c>
      <c r="B35" s="15">
        <v>1</v>
      </c>
      <c r="C35" s="42"/>
      <c r="D35" s="60">
        <f>IFERROR(D30/$B35,".")</f>
        <v>0.33057851239669422</v>
      </c>
      <c r="E35" s="60">
        <f>IFERROR(E30/$B35,".")</f>
        <v>3089.9917851942919</v>
      </c>
      <c r="F35" s="60">
        <f>IFERROR(F30/$B35,".")</f>
        <v>2654.5454545454545</v>
      </c>
      <c r="G35" s="63">
        <f>IFERROR(G30/$B35,".")</f>
        <v>7.5757575757575758E-5</v>
      </c>
      <c r="H35" s="63">
        <f>IFERROR(H30/$B35,".")</f>
        <v>7.5757575757575758E-5</v>
      </c>
      <c r="I35" s="233">
        <f t="shared" si="10"/>
        <v>3.0249999999999999</v>
      </c>
      <c r="J35" s="233">
        <f t="shared" si="10"/>
        <v>3.236254558317935E-4</v>
      </c>
      <c r="K35" s="233">
        <f t="shared" si="10"/>
        <v>3.767123287671233E-4</v>
      </c>
      <c r="L35" s="233">
        <f t="shared" si="10"/>
        <v>13200</v>
      </c>
      <c r="M35" s="233">
        <f t="shared" si="10"/>
        <v>13200</v>
      </c>
      <c r="N35" s="63">
        <f>IFERROR(N30/$B35,".")</f>
        <v>3.7874447093660431E-5</v>
      </c>
      <c r="O35" s="189">
        <f>IFERROR(O30/$B35,0)</f>
        <v>1.2354644641952033E-13</v>
      </c>
      <c r="P35" s="49">
        <f>IF(D35=".",".",up_RadSpec!$E$30*P30*$B$35)</f>
        <v>75.625</v>
      </c>
      <c r="Q35" s="49">
        <f>IF(E35=".",".",up_RadSpec!$H$30*Q30*$B$35)</f>
        <v>8.0906363957948379E-3</v>
      </c>
      <c r="R35" s="49">
        <f>IF(F35=".",".",up_RadSpec!$G$30*R30*$B$35)</f>
        <v>9.4178082191780817E-3</v>
      </c>
      <c r="S35" s="49">
        <f>IF(G35=".",".",up_RadSpec!$F$30*S30*$B$35)</f>
        <v>330000</v>
      </c>
      <c r="T35" s="49">
        <f>IF(H35=".",".",up_RadSpec!$F$30*T30*$B$35)</f>
        <v>330000</v>
      </c>
      <c r="U35" s="49">
        <f t="shared" si="34"/>
        <v>660075.64250844461</v>
      </c>
      <c r="V35" s="60">
        <f>IFERROR(V30/$B35,".")</f>
        <v>2654.5454545454545</v>
      </c>
      <c r="W35" s="60">
        <f>IFERROR(W30/$B35,".")</f>
        <v>13004.536082474226</v>
      </c>
      <c r="X35" s="60">
        <f>IFERROR(X30/$B35,".")</f>
        <v>4686.3931523022411</v>
      </c>
      <c r="Y35" s="60">
        <f>IFERROR(Y30/$B35,".")</f>
        <v>3488.3160981632982</v>
      </c>
      <c r="Z35" s="60">
        <f>IFERROR(Z30/$B35,".")</f>
        <v>318545.45454545453</v>
      </c>
      <c r="AA35" s="189">
        <f t="shared" ref="AA35:AE35" si="47">IFERROR(AA30/$B35,0)</f>
        <v>8.6591272727272723E-6</v>
      </c>
      <c r="AB35" s="189">
        <f t="shared" si="47"/>
        <v>4.242079670103093E-5</v>
      </c>
      <c r="AC35" s="189">
        <f t="shared" si="47"/>
        <v>1.5287014462809911E-5</v>
      </c>
      <c r="AD35" s="189">
        <f t="shared" si="47"/>
        <v>1.1378887112208679E-5</v>
      </c>
      <c r="AE35" s="189">
        <f t="shared" si="47"/>
        <v>1.0390952727272729E-3</v>
      </c>
      <c r="AF35" s="49">
        <f>IF(V35=".",".",up_RadSpec!$G$30*AF30*$B$35)</f>
        <v>9.4178082191780817E-3</v>
      </c>
      <c r="AG35" s="49">
        <f>IF(W35=".",".",up_RadSpec!$N$30*AG30*$B$35)</f>
        <v>1.9224061390157282E-3</v>
      </c>
      <c r="AH35" s="49">
        <f>IF(X35=".",".",up_RadSpec!$O$30*AH30*$B$35)</f>
        <v>5.3345929774838629E-3</v>
      </c>
      <c r="AI35" s="49">
        <f>IF(Y35=".",".",up_RadSpec!$P$30*AI30*$B$35)</f>
        <v>7.1667817068422329E-3</v>
      </c>
      <c r="AJ35" s="49">
        <f>IF(Z35=".",".",up_RadSpec!$L$30*AJ30*$B$35)</f>
        <v>7.8481735159817364E-5</v>
      </c>
      <c r="AK35" s="60">
        <f>IFERROR(AK30/$B35,".")</f>
        <v>9.9740259740259754E-3</v>
      </c>
      <c r="AL35" s="60">
        <f>IFERROR(AL30/$B35,".")</f>
        <v>63.709090909090911</v>
      </c>
      <c r="AM35" s="60">
        <f>IFERROR(AM30/$B35,".")</f>
        <v>9.9724647271019675E-3</v>
      </c>
      <c r="AN35" s="189">
        <f t="shared" ref="AN35" si="48">IFERROR(AN30/$B35,0)</f>
        <v>3.2530179939806619E-14</v>
      </c>
      <c r="AO35" s="49">
        <f>IF(AK35=".",".",up_RadSpec!$H$30*AO30*$B$35)</f>
        <v>2506.5104166666661</v>
      </c>
      <c r="AP35" s="49">
        <f>IF(AL35=".",".",up_RadSpec!$K$30*AP30*$B$35)</f>
        <v>0.39240867579908678</v>
      </c>
      <c r="AQ35" s="49">
        <f t="shared" si="39"/>
        <v>2506.9028253424653</v>
      </c>
      <c r="AR35" s="60">
        <f>IFERROR(AR30/$B35,".")</f>
        <v>2.2727272727272726E-3</v>
      </c>
      <c r="AS35" s="60">
        <f>IFERROR(AS30/$B35,".")</f>
        <v>39.81818181818182</v>
      </c>
      <c r="AT35" s="63">
        <f>IFERROR(AT30/$B35,".")</f>
        <v>1.8181818181818181</v>
      </c>
      <c r="AU35" s="63">
        <f>IFERROR(AU30/$B35,".")</f>
        <v>1.8181818181818181</v>
      </c>
      <c r="AV35" s="233">
        <f t="shared" si="41"/>
        <v>440</v>
      </c>
      <c r="AW35" s="233">
        <f t="shared" si="28"/>
        <v>2.5114155251141551E-2</v>
      </c>
      <c r="AX35" s="233">
        <f t="shared" si="28"/>
        <v>0.55000000000000004</v>
      </c>
      <c r="AY35" s="233">
        <f t="shared" si="28"/>
        <v>0.55000000000000004</v>
      </c>
      <c r="AZ35" s="63">
        <f>IFERROR(AZ30/$B35,".")</f>
        <v>2.2669305553255272E-3</v>
      </c>
      <c r="BA35" s="189">
        <f t="shared" ref="BA35" si="49">IFERROR(BA30/$B35,0)</f>
        <v>7.3947274714718691E-15</v>
      </c>
      <c r="BB35" s="49">
        <f>IF(AR35=".",".",up_RadSpec!$I$30*BB30*$B$35)</f>
        <v>11000</v>
      </c>
      <c r="BC35" s="49">
        <f>IF(AS35=".",".",up_RadSpec!$M$30*BC30*$B$35)</f>
        <v>0.62785388127853881</v>
      </c>
      <c r="BD35" s="49">
        <f>IF(AT35=".",".",up_RadSpec!$F$30*BD30*$B$35)</f>
        <v>13.75</v>
      </c>
      <c r="BE35" s="49">
        <f>IF(AU35=".",".",up_RadSpec!$F$30*BE30*$B$35)</f>
        <v>13.75</v>
      </c>
      <c r="BF35" s="49">
        <f t="shared" si="44"/>
        <v>11028.127853881278</v>
      </c>
      <c r="BG35" s="63">
        <f>IFERROR(BG30/$B35,".")</f>
        <v>1.8181818181818181E-2</v>
      </c>
      <c r="BH35" s="63">
        <f>IFERROR(BH30/$B35,".")</f>
        <v>1.8181818181818181E-2</v>
      </c>
      <c r="BI35" s="189">
        <f t="shared" ref="BI35:BJ35" si="50">IFERROR(BI30/$B35,0)</f>
        <v>5.9309090909090911E-11</v>
      </c>
      <c r="BJ35" s="189">
        <f t="shared" si="50"/>
        <v>5.9309090909090911E-11</v>
      </c>
      <c r="BK35" s="49">
        <f>IF(BG35=".",".",up_RadSpec!$F$30*BK30*$B$35)</f>
        <v>1375</v>
      </c>
      <c r="BL35" s="49">
        <f>IF(BH35=".",".",up_RadSpec!$F$30*BL30*$B$35)</f>
        <v>1375</v>
      </c>
    </row>
    <row r="36" spans="1:64" x14ac:dyDescent="0.25">
      <c r="A36" s="48" t="s">
        <v>1064</v>
      </c>
      <c r="B36" s="15">
        <v>1</v>
      </c>
      <c r="C36" s="42"/>
      <c r="D36" s="60">
        <f>IFERROR(D26/$B36,".")</f>
        <v>0.33057851239669422</v>
      </c>
      <c r="E36" s="60">
        <f>IFERROR(E26/$B36,".")</f>
        <v>3089.9917851942919</v>
      </c>
      <c r="F36" s="60">
        <f>IFERROR(F26/$B36,".")</f>
        <v>2789.981447124303</v>
      </c>
      <c r="G36" s="63">
        <f>IFERROR(G26/$B36,".")</f>
        <v>7.5757575757575758E-5</v>
      </c>
      <c r="H36" s="63">
        <f>IFERROR(H26/$B36,".")</f>
        <v>7.5757575757575758E-5</v>
      </c>
      <c r="I36" s="233">
        <f t="shared" si="10"/>
        <v>3.0249999999999999</v>
      </c>
      <c r="J36" s="233">
        <f t="shared" si="10"/>
        <v>3.236254558317935E-4</v>
      </c>
      <c r="K36" s="233">
        <f t="shared" si="10"/>
        <v>3.5842532251629221E-4</v>
      </c>
      <c r="L36" s="233">
        <f t="shared" si="10"/>
        <v>13200</v>
      </c>
      <c r="M36" s="233">
        <f t="shared" si="10"/>
        <v>13200</v>
      </c>
      <c r="N36" s="63">
        <f>IFERROR(N26/$B36,".")</f>
        <v>3.7874447119892662E-5</v>
      </c>
      <c r="O36" s="189">
        <f>IFERROR(O26/$B36,0)</f>
        <v>1.2142547746637587E-13</v>
      </c>
      <c r="P36" s="49">
        <f>IF(D36=".",".",up_RadSpec!$E$26*P26*$B$36)</f>
        <v>75.625</v>
      </c>
      <c r="Q36" s="49">
        <f>IF(E36=".",".",up_RadSpec!$H$26*Q26*$B$36)</f>
        <v>8.0906363957948379E-3</v>
      </c>
      <c r="R36" s="49">
        <f>IF(F36=".",".",up_RadSpec!$G$26*R26*$B$36)</f>
        <v>8.9606330629073052E-3</v>
      </c>
      <c r="S36" s="49">
        <f>IF(G36=".",".",up_RadSpec!$F$26*S26*$B$36)</f>
        <v>330000</v>
      </c>
      <c r="T36" s="49">
        <f>IF(H36=".",".",up_RadSpec!$F$26*T26*$B$36)</f>
        <v>330000</v>
      </c>
      <c r="U36" s="49">
        <f t="shared" si="34"/>
        <v>660075.64205126953</v>
      </c>
      <c r="V36" s="60">
        <f>IFERROR(V26/$B36,".")</f>
        <v>2789.981447124303</v>
      </c>
      <c r="W36" s="60">
        <f>IFERROR(W26/$B36,".")</f>
        <v>5093.8165204298857</v>
      </c>
      <c r="X36" s="60">
        <f>IFERROR(X26/$B36,".")</f>
        <v>3681.7148325358839</v>
      </c>
      <c r="Y36" s="60">
        <f>IFERROR(Y26/$B36,".")</f>
        <v>3149.2561983471064</v>
      </c>
      <c r="Z36" s="60">
        <f>IFERROR(Z26/$B36,".")</f>
        <v>29689.496050264632</v>
      </c>
      <c r="AA36" s="189">
        <f t="shared" ref="AA36:AE36" si="51">IFERROR(AA26/$B36,0)</f>
        <v>8.9446805194805153E-6</v>
      </c>
      <c r="AB36" s="189">
        <f t="shared" si="51"/>
        <v>1.6330775764498214E-5</v>
      </c>
      <c r="AC36" s="189">
        <f t="shared" si="51"/>
        <v>1.1803577753110045E-5</v>
      </c>
      <c r="AD36" s="189">
        <f t="shared" si="51"/>
        <v>1.0096515371900824E-5</v>
      </c>
      <c r="AE36" s="189">
        <f t="shared" si="51"/>
        <v>9.5184524337148409E-5</v>
      </c>
      <c r="AF36" s="49">
        <f>IF(V36=".",".",up_RadSpec!$G$26*AF26*$B$36)</f>
        <v>8.9606330629073052E-3</v>
      </c>
      <c r="AG36" s="49">
        <f>IF(W36=".",".",up_RadSpec!$N$26*AG26*$B$36)</f>
        <v>4.9079113666014333E-3</v>
      </c>
      <c r="AH36" s="49">
        <f>IF(X36=".",".",up_RadSpec!$O$26*AH26*$B$36)</f>
        <v>6.7903140620971317E-3</v>
      </c>
      <c r="AI36" s="49">
        <f>IF(Y36=".",".",up_RadSpec!$P$26*AI26*$B$36)</f>
        <v>7.9383824069700348E-3</v>
      </c>
      <c r="AJ36" s="49">
        <f>IF(Z36=".",".",up_RadSpec!$L$26*AJ26*$B$36)</f>
        <v>8.4204864769933229E-4</v>
      </c>
      <c r="AK36" s="60">
        <f>IFERROR(AK26/$B36,".")</f>
        <v>9.9740259740259754E-3</v>
      </c>
      <c r="AL36" s="60">
        <f>IFERROR(AL26/$B36,".")</f>
        <v>63.709090909090911</v>
      </c>
      <c r="AM36" s="60">
        <f>IFERROR(AM26/$B36,".")</f>
        <v>9.9724647271019675E-3</v>
      </c>
      <c r="AN36" s="189">
        <f t="shared" ref="AN36" si="52">IFERROR(AN26/$B36,0)</f>
        <v>3.1971721915088906E-14</v>
      </c>
      <c r="AO36" s="49">
        <f>IF(AK36=".",".",up_RadSpec!$H$26*AO26*$B$36)</f>
        <v>2506.5104166666661</v>
      </c>
      <c r="AP36" s="49">
        <f>IF(AL36=".",".",up_RadSpec!$K$26*AP26*$B$36)</f>
        <v>0.39240867579908678</v>
      </c>
      <c r="AQ36" s="49">
        <f t="shared" si="39"/>
        <v>2506.9028253424653</v>
      </c>
      <c r="AR36" s="60">
        <f>IFERROR(AR26/$B36,".")</f>
        <v>2.2727272727272726E-3</v>
      </c>
      <c r="AS36" s="60">
        <f>IFERROR(AS26/$B36,".")</f>
        <v>39.81818181818182</v>
      </c>
      <c r="AT36" s="63">
        <f>IFERROR(AT26/$B36,".")</f>
        <v>1.8181818181818181</v>
      </c>
      <c r="AU36" s="63">
        <f>IFERROR(AU26/$B36,".")</f>
        <v>1.8181818181818181</v>
      </c>
      <c r="AV36" s="233">
        <f t="shared" si="41"/>
        <v>440</v>
      </c>
      <c r="AW36" s="233">
        <f t="shared" si="28"/>
        <v>2.5114155251141551E-2</v>
      </c>
      <c r="AX36" s="233">
        <f t="shared" si="28"/>
        <v>0.55000000000000004</v>
      </c>
      <c r="AY36" s="233">
        <f t="shared" si="28"/>
        <v>0.55000000000000004</v>
      </c>
      <c r="AZ36" s="63">
        <f>IFERROR(AZ26/$B36,".")</f>
        <v>2.2669305553255272E-3</v>
      </c>
      <c r="BA36" s="189">
        <f t="shared" ref="BA36" si="53">IFERROR(BA26/$B36,0)</f>
        <v>7.2677793603736401E-15</v>
      </c>
      <c r="BB36" s="49">
        <f>IF(AR36=".",".",up_RadSpec!$I$26*BB26*$B$36)</f>
        <v>11000</v>
      </c>
      <c r="BC36" s="49">
        <f>IF(AS36=".",".",up_RadSpec!$M$26*BC26*$B$36)</f>
        <v>0.62785388127853881</v>
      </c>
      <c r="BD36" s="49">
        <f>IF(AT36=".",".",up_RadSpec!$F$26*BD26*$B$36)</f>
        <v>13.75</v>
      </c>
      <c r="BE36" s="49">
        <f>IF(AU36=".",".",up_RadSpec!$F$26*BE26*$B$36)</f>
        <v>13.75</v>
      </c>
      <c r="BF36" s="49">
        <f t="shared" si="44"/>
        <v>11028.127853881278</v>
      </c>
      <c r="BG36" s="63">
        <f>IFERROR(BG26/$B36,".")</f>
        <v>1.8181818181818181E-2</v>
      </c>
      <c r="BH36" s="63">
        <f>IFERROR(BH26/$B36,".")</f>
        <v>1.8181818181818181E-2</v>
      </c>
      <c r="BI36" s="189">
        <f t="shared" ref="BI36:BJ36" si="54">IFERROR(BI26/$B36,0)</f>
        <v>5.8290909090909102E-11</v>
      </c>
      <c r="BJ36" s="189">
        <f t="shared" si="54"/>
        <v>5.8290909090909102E-11</v>
      </c>
      <c r="BK36" s="49">
        <f>IF(BG36=".",".",up_RadSpec!$F$26*BK26*$B$36)</f>
        <v>1375</v>
      </c>
      <c r="BL36" s="49">
        <f>IF(BH36=".",".",up_RadSpec!$F$26*BL26*$B$36)</f>
        <v>1375</v>
      </c>
    </row>
    <row r="37" spans="1:64" x14ac:dyDescent="0.25">
      <c r="A37" s="48" t="s">
        <v>1065</v>
      </c>
      <c r="B37" s="15">
        <v>1</v>
      </c>
      <c r="C37" s="42"/>
      <c r="D37" s="60">
        <f>IFERROR(D22/$B37,".")</f>
        <v>0.33057851239669422</v>
      </c>
      <c r="E37" s="60">
        <f>IFERROR(E22/$B37,".")</f>
        <v>3089.9917851942919</v>
      </c>
      <c r="F37" s="60">
        <f>IFERROR(F22/$B37,".")</f>
        <v>1528504398.8269799</v>
      </c>
      <c r="G37" s="63">
        <f>IFERROR(G22/$B37,".")</f>
        <v>7.5757575757575758E-5</v>
      </c>
      <c r="H37" s="63">
        <f>IFERROR(H22/$B37,".")</f>
        <v>7.5757575757575758E-5</v>
      </c>
      <c r="I37" s="233">
        <f t="shared" si="10"/>
        <v>3.0249999999999999</v>
      </c>
      <c r="J37" s="233">
        <f t="shared" si="10"/>
        <v>3.236254558317935E-4</v>
      </c>
      <c r="K37" s="233">
        <f t="shared" si="10"/>
        <v>6.5423429645830921E-10</v>
      </c>
      <c r="L37" s="233">
        <f t="shared" si="10"/>
        <v>13200</v>
      </c>
      <c r="M37" s="233">
        <f t="shared" si="10"/>
        <v>13200</v>
      </c>
      <c r="N37" s="63">
        <f>IFERROR(N22/$B37,".")</f>
        <v>3.7874447634043436E-5</v>
      </c>
      <c r="O37" s="189">
        <f>IFERROR(O22/$B37,0)</f>
        <v>1.1930451004723683E-13</v>
      </c>
      <c r="P37" s="49">
        <f>IF(D37=".",".",up_RadSpec!$E$22*P22*$B$37)</f>
        <v>75.625</v>
      </c>
      <c r="Q37" s="49">
        <f>IF(E37=".",".",up_RadSpec!$H$22*Q22*$B$37)</f>
        <v>8.0906363957948379E-3</v>
      </c>
      <c r="R37" s="49">
        <f>IF(F37=".",".",up_RadSpec!$G$22*R22*$B$37)</f>
        <v>1.6355857411457731E-8</v>
      </c>
      <c r="S37" s="49">
        <f>IF(G37=".",".",up_RadSpec!$F$22*S22*$B$37)</f>
        <v>330000</v>
      </c>
      <c r="T37" s="49">
        <f>IF(H37=".",".",up_RadSpec!$F$22*T22*$B$37)</f>
        <v>330000</v>
      </c>
      <c r="U37" s="49">
        <f t="shared" si="34"/>
        <v>660075.63309065276</v>
      </c>
      <c r="V37" s="60">
        <f>IFERROR(V22/$B37,".")</f>
        <v>1528504398.8269799</v>
      </c>
      <c r="W37" s="60">
        <f>IFERROR(W22/$B37,".")</f>
        <v>1400600315.0167918</v>
      </c>
      <c r="X37" s="60">
        <f>IFERROR(X22/$B37,".")</f>
        <v>1076036075.9143474</v>
      </c>
      <c r="Y37" s="60">
        <f>IFERROR(Y22/$B37,".")</f>
        <v>1108825757.575757</v>
      </c>
      <c r="Z37" s="60">
        <f>IFERROR(Z22/$B37,".")</f>
        <v>7867886699.35355</v>
      </c>
      <c r="AA37" s="189">
        <f t="shared" ref="AA37:AE37" si="55">IFERROR(AA22/$B37,0)</f>
        <v>4.814788856304987</v>
      </c>
      <c r="AB37" s="189">
        <f t="shared" si="55"/>
        <v>4.4118909923028946</v>
      </c>
      <c r="AC37" s="189">
        <f t="shared" si="55"/>
        <v>3.3895136391301945</v>
      </c>
      <c r="AD37" s="189">
        <f t="shared" si="55"/>
        <v>3.4928011363636347</v>
      </c>
      <c r="AE37" s="189">
        <f t="shared" si="55"/>
        <v>24.783843102963683</v>
      </c>
      <c r="AF37" s="49">
        <f>IF(V37=".",".",up_RadSpec!$G$22*AF22*$B$37)</f>
        <v>1.6355857411457731E-8</v>
      </c>
      <c r="AG37" s="49">
        <f>IF(W37=".",".",up_RadSpec!$N$22*AG22*$B$37)</f>
        <v>1.7849489059768114E-8</v>
      </c>
      <c r="AH37" s="49">
        <f>IF(X37=".",".",up_RadSpec!$O$22*AH22*$B$37)</f>
        <v>2.3233421777942325E-8</v>
      </c>
      <c r="AI37" s="49">
        <f>IF(Y37=".",".",up_RadSpec!$P$22*AI22*$B$37)</f>
        <v>2.2546373791548536E-8</v>
      </c>
      <c r="AJ37" s="49">
        <f>IF(Z37=".",".",up_RadSpec!$L$22*AJ22*$B$37)</f>
        <v>3.1774733108515757E-9</v>
      </c>
      <c r="AK37" s="60">
        <f>IFERROR(AK22/$B37,".")</f>
        <v>9.9740259740259754E-3</v>
      </c>
      <c r="AL37" s="60">
        <f>IFERROR(AL22/$B37,".")</f>
        <v>63.709090909090911</v>
      </c>
      <c r="AM37" s="60">
        <f>IFERROR(AM22/$B37,".")</f>
        <v>9.9724647271019675E-3</v>
      </c>
      <c r="AN37" s="189">
        <f t="shared" ref="AN37" si="56">IFERROR(AN22/$B37,0)</f>
        <v>3.14132638903712E-14</v>
      </c>
      <c r="AO37" s="49">
        <f>IF(AK37=".",".",up_RadSpec!$H$22*AO22*$B$37)</f>
        <v>2506.5104166666661</v>
      </c>
      <c r="AP37" s="49">
        <f>IF(AL37=".",".",up_RadSpec!$K$22*AP22*$B$37)</f>
        <v>0.39240867579908678</v>
      </c>
      <c r="AQ37" s="49">
        <f t="shared" si="39"/>
        <v>2506.9028253424653</v>
      </c>
      <c r="AR37" s="60">
        <f>IFERROR(AR22/$B37,".")</f>
        <v>2.2727272727272726E-3</v>
      </c>
      <c r="AS37" s="60">
        <f>IFERROR(AS22/$B37,".")</f>
        <v>39.81818181818182</v>
      </c>
      <c r="AT37" s="63">
        <f>IFERROR(AT22/$B37,".")</f>
        <v>1.8181818181818181</v>
      </c>
      <c r="AU37" s="63">
        <f>IFERROR(AU22/$B37,".")</f>
        <v>1.8181818181818181</v>
      </c>
      <c r="AV37" s="233">
        <f t="shared" si="41"/>
        <v>440</v>
      </c>
      <c r="AW37" s="233">
        <f t="shared" si="28"/>
        <v>2.5114155251141551E-2</v>
      </c>
      <c r="AX37" s="233">
        <f t="shared" si="28"/>
        <v>0.55000000000000004</v>
      </c>
      <c r="AY37" s="233">
        <f t="shared" si="28"/>
        <v>0.55000000000000004</v>
      </c>
      <c r="AZ37" s="63">
        <f>IFERROR(AZ22/$B37,".")</f>
        <v>2.2669305553255272E-3</v>
      </c>
      <c r="BA37" s="189">
        <f t="shared" ref="BA37" si="57">IFERROR(BA22/$B37,0)</f>
        <v>7.140831249275411E-15</v>
      </c>
      <c r="BB37" s="49">
        <f>IF(AR37=".",".",up_RadSpec!$I$22*BB22*$B$37)</f>
        <v>11000</v>
      </c>
      <c r="BC37" s="49">
        <f>IF(AS37=".",".",up_RadSpec!$M$22*BC22*$B$37)</f>
        <v>0.62785388127853881</v>
      </c>
      <c r="BD37" s="49">
        <f>IF(AT37=".",".",up_RadSpec!$F$22*BD22*$B$37)</f>
        <v>13.75</v>
      </c>
      <c r="BE37" s="49">
        <f>IF(AU37=".",".",up_RadSpec!$F$22*BE22*$B$37)</f>
        <v>13.75</v>
      </c>
      <c r="BF37" s="49">
        <f t="shared" si="44"/>
        <v>11028.127853881278</v>
      </c>
      <c r="BG37" s="63">
        <f>IFERROR(BG22/$B37,".")</f>
        <v>1.8181818181818181E-2</v>
      </c>
      <c r="BH37" s="63">
        <f>IFERROR(BH22/$B37,".")</f>
        <v>1.8181818181818181E-2</v>
      </c>
      <c r="BI37" s="189">
        <f t="shared" ref="BI37:BJ37" si="58">IFERROR(BI22/$B37,0)</f>
        <v>5.7272727272727281E-11</v>
      </c>
      <c r="BJ37" s="189">
        <f t="shared" si="58"/>
        <v>5.7272727272727281E-11</v>
      </c>
      <c r="BK37" s="49">
        <f>IF(BG37=".",".",up_RadSpec!$F$22*BK22*$B$37)</f>
        <v>1375</v>
      </c>
      <c r="BL37" s="49">
        <f>IF(BH37=".",".",up_RadSpec!$F$22*BL22*$B$37)</f>
        <v>1375</v>
      </c>
    </row>
    <row r="38" spans="1:64" x14ac:dyDescent="0.25">
      <c r="A38" s="48" t="s">
        <v>1066</v>
      </c>
      <c r="B38" s="15">
        <v>1</v>
      </c>
      <c r="C38" s="42"/>
      <c r="D38" s="60">
        <f>IFERROR(D2/$B38,".")</f>
        <v>0.33057851239669422</v>
      </c>
      <c r="E38" s="60">
        <f>IFERROR(E2/$B38,".")</f>
        <v>3089.9917851942919</v>
      </c>
      <c r="F38" s="60">
        <f>IFERROR(F2/$B38,".")</f>
        <v>1690.9254955570748</v>
      </c>
      <c r="G38" s="63">
        <f>IFERROR(G2/$B38,".")</f>
        <v>7.5757575757575758E-5</v>
      </c>
      <c r="H38" s="63">
        <f>IFERROR(H2/$B38,".")</f>
        <v>7.5757575757575758E-5</v>
      </c>
      <c r="I38" s="233">
        <f t="shared" si="10"/>
        <v>3.0249999999999999</v>
      </c>
      <c r="J38" s="233">
        <f t="shared" si="10"/>
        <v>3.236254558317935E-4</v>
      </c>
      <c r="K38" s="233">
        <f t="shared" si="10"/>
        <v>5.9139211196916185E-4</v>
      </c>
      <c r="L38" s="233">
        <f t="shared" si="10"/>
        <v>13200</v>
      </c>
      <c r="M38" s="233">
        <f t="shared" si="10"/>
        <v>13200</v>
      </c>
      <c r="N38" s="63">
        <f>IFERROR(N2/$B38,".")</f>
        <v>3.7874446785707915E-5</v>
      </c>
      <c r="O38" s="189">
        <f>IFERROR(O2/$B38,0)</f>
        <v>1.1930450737497993E-13</v>
      </c>
      <c r="P38" s="49">
        <f>IF(D38=".",".",up_RadSpec!$E$2*P2*$B$38)</f>
        <v>75.625</v>
      </c>
      <c r="Q38" s="49">
        <f>IF(E38=".",".",up_RadSpec!$H$2*Q2*$B$38)</f>
        <v>8.0906363957948379E-3</v>
      </c>
      <c r="R38" s="49">
        <f>IF(F38=".",".",up_RadSpec!$G$2*R2*$B$38)</f>
        <v>1.4784802799229047E-2</v>
      </c>
      <c r="S38" s="49">
        <f>IF(G38=".",".",up_RadSpec!$F$2*S2*$B$38)</f>
        <v>330000</v>
      </c>
      <c r="T38" s="49">
        <f>IF(H38=".",".",up_RadSpec!$F$2*T2*$B$38)</f>
        <v>330000</v>
      </c>
      <c r="U38" s="49">
        <f t="shared" si="34"/>
        <v>660075.64787543914</v>
      </c>
      <c r="V38" s="60">
        <f>IFERROR(V2/$B38,".")</f>
        <v>1690.9254955570748</v>
      </c>
      <c r="W38" s="60">
        <f>IFERROR(W2/$B38,".")</f>
        <v>3418.9433603046168</v>
      </c>
      <c r="X38" s="60">
        <f>IFERROR(X2/$B38,".")</f>
        <v>2322.1070518266774</v>
      </c>
      <c r="Y38" s="60">
        <f>IFERROR(Y2/$B38,".")</f>
        <v>1930.1841948900772</v>
      </c>
      <c r="Z38" s="60">
        <f>IFERROR(Z2/$B38,".")</f>
        <v>27055.190009399761</v>
      </c>
      <c r="AA38" s="189">
        <f t="shared" ref="AA38:AE38" si="59">IFERROR(AA2/$B38,0)</f>
        <v>5.3264153110047854E-6</v>
      </c>
      <c r="AB38" s="189">
        <f t="shared" si="59"/>
        <v>1.0769671584959544E-5</v>
      </c>
      <c r="AC38" s="189">
        <f t="shared" si="59"/>
        <v>7.3146372132540349E-6</v>
      </c>
      <c r="AD38" s="189">
        <f t="shared" si="59"/>
        <v>6.0800802139037432E-6</v>
      </c>
      <c r="AE38" s="189">
        <f t="shared" si="59"/>
        <v>8.5223848529609255E-5</v>
      </c>
      <c r="AF38" s="49">
        <f>IF(V38=".",".",up_RadSpec!$G$2*AF2*$B$38)</f>
        <v>1.4784802799229047E-2</v>
      </c>
      <c r="AG38" s="49">
        <f>IF(W38=".",".",up_RadSpec!$N$2*AG2*$B$38)</f>
        <v>7.312200690500056E-3</v>
      </c>
      <c r="AH38" s="49">
        <f>IF(X38=".",".",up_RadSpec!$O$2*AH2*$B$38)</f>
        <v>1.0766084182180075E-2</v>
      </c>
      <c r="AI38" s="49">
        <f>IF(Y38=".",".",up_RadSpec!$P$2*AI2*$B$38)</f>
        <v>1.2952131753116825E-2</v>
      </c>
      <c r="AJ38" s="49">
        <f>IF(Z38=".",".",up_RadSpec!$L$2*AJ2*$B$38)</f>
        <v>9.2403712527297987E-4</v>
      </c>
      <c r="AK38" s="60">
        <f>IFERROR(AK2/$B38,".")</f>
        <v>9.9740259740259754E-3</v>
      </c>
      <c r="AL38" s="60">
        <f>IFERROR(AL2/$B38,".")</f>
        <v>63.709090909090911</v>
      </c>
      <c r="AM38" s="60">
        <f>IFERROR(AM2/$B38,".")</f>
        <v>9.9724647271019675E-3</v>
      </c>
      <c r="AN38" s="189">
        <f t="shared" ref="AN38" si="60">IFERROR(AN2/$B38,0)</f>
        <v>3.14132638903712E-14</v>
      </c>
      <c r="AO38" s="49">
        <f>IF(AK38=".",".",up_RadSpec!$H$2*AO2*$B$38)</f>
        <v>2506.5104166666661</v>
      </c>
      <c r="AP38" s="49">
        <f>IF(AL38=".",".",up_RadSpec!$K$2*AP2*$B$38)</f>
        <v>0.39240867579908678</v>
      </c>
      <c r="AQ38" s="49">
        <f t="shared" si="39"/>
        <v>2506.9028253424653</v>
      </c>
      <c r="AR38" s="60">
        <f>IFERROR(AR2/$B38,".")</f>
        <v>2.2727272727272726E-3</v>
      </c>
      <c r="AS38" s="60">
        <f>IFERROR(AS2/$B38,".")</f>
        <v>39.81818181818182</v>
      </c>
      <c r="AT38" s="63">
        <f>IFERROR(AT2/$B38,".")</f>
        <v>1.8181818181818181</v>
      </c>
      <c r="AU38" s="63">
        <f>IFERROR(AU2/$B38,".")</f>
        <v>1.8181818181818181</v>
      </c>
      <c r="AV38" s="233">
        <f t="shared" si="41"/>
        <v>440</v>
      </c>
      <c r="AW38" s="233">
        <f t="shared" si="28"/>
        <v>2.5114155251141551E-2</v>
      </c>
      <c r="AX38" s="233">
        <f t="shared" si="28"/>
        <v>0.55000000000000004</v>
      </c>
      <c r="AY38" s="233">
        <f t="shared" si="28"/>
        <v>0.55000000000000004</v>
      </c>
      <c r="AZ38" s="63">
        <f>IFERROR(AZ2/$B38,".")</f>
        <v>2.2669305553255272E-3</v>
      </c>
      <c r="BA38" s="189">
        <f t="shared" ref="BA38" si="61">IFERROR(BA2/$B38,0)</f>
        <v>7.140831249275411E-15</v>
      </c>
      <c r="BB38" s="49">
        <f>IF(AR38=".",".",up_RadSpec!$I$2*BB2*$B$38)</f>
        <v>11000</v>
      </c>
      <c r="BC38" s="49">
        <f>IF(AS38=".",".",up_RadSpec!$M$2*BC2*$B$38)</f>
        <v>0.62785388127853881</v>
      </c>
      <c r="BD38" s="49">
        <f>IF(AT38=".",".",up_RadSpec!$F$2*BD2*$B$38)</f>
        <v>13.75</v>
      </c>
      <c r="BE38" s="49">
        <f>IF(AU38=".",".",up_RadSpec!$F$2*BE2*$B$38)</f>
        <v>13.75</v>
      </c>
      <c r="BF38" s="49">
        <f t="shared" si="44"/>
        <v>11028.127853881278</v>
      </c>
      <c r="BG38" s="63">
        <f>IFERROR(BG2/$B38,".")</f>
        <v>1.8181818181818181E-2</v>
      </c>
      <c r="BH38" s="63">
        <f>IFERROR(BH2/$B38,".")</f>
        <v>1.8181818181818181E-2</v>
      </c>
      <c r="BI38" s="189">
        <f t="shared" ref="BI38:BJ38" si="62">IFERROR(BI2/$B38,0)</f>
        <v>5.7272727272727281E-11</v>
      </c>
      <c r="BJ38" s="189">
        <f t="shared" si="62"/>
        <v>5.7272727272727281E-11</v>
      </c>
      <c r="BK38" s="49">
        <f>IF(BG38=".",".",up_RadSpec!$F$2*BK2*$B$38)</f>
        <v>1375</v>
      </c>
      <c r="BL38" s="49">
        <f>IF(BH38=".",".",up_RadSpec!$F$2*BL2*$B$38)</f>
        <v>1375</v>
      </c>
    </row>
    <row r="39" spans="1:64" x14ac:dyDescent="0.25">
      <c r="A39" s="48" t="s">
        <v>1067</v>
      </c>
      <c r="B39" s="15">
        <v>1</v>
      </c>
      <c r="C39" s="42"/>
      <c r="D39" s="60">
        <f>IFERROR(D11/$B39,".")</f>
        <v>0.33057851239669422</v>
      </c>
      <c r="E39" s="60">
        <f>IFERROR(E11/$B39,".")</f>
        <v>3089.9917851942919</v>
      </c>
      <c r="F39" s="60">
        <f>IFERROR(F11/$B39,".")</f>
        <v>1487.7122877122879</v>
      </c>
      <c r="G39" s="63">
        <f>IFERROR(G11/$B39,".")</f>
        <v>7.5757575757575758E-5</v>
      </c>
      <c r="H39" s="63">
        <f>IFERROR(H11/$B39,".")</f>
        <v>7.5757575757575758E-5</v>
      </c>
      <c r="I39" s="233">
        <f t="shared" si="10"/>
        <v>3.0249999999999999</v>
      </c>
      <c r="J39" s="233">
        <f t="shared" si="10"/>
        <v>3.236254558317935E-4</v>
      </c>
      <c r="K39" s="233">
        <f t="shared" si="10"/>
        <v>6.721729787805532E-4</v>
      </c>
      <c r="L39" s="233">
        <f t="shared" si="10"/>
        <v>13200</v>
      </c>
      <c r="M39" s="233">
        <f t="shared" si="10"/>
        <v>13200</v>
      </c>
      <c r="N39" s="63">
        <f>IFERROR(N11/$B39,".")</f>
        <v>3.7874446669829891E-5</v>
      </c>
      <c r="O39" s="189">
        <f>IFERROR(O11/$B39,0)</f>
        <v>1.171835379964537E-13</v>
      </c>
      <c r="P39" s="49">
        <f>IF(D39=".",".",up_RadSpec!$E$11*P11*$B$39)</f>
        <v>75.625</v>
      </c>
      <c r="Q39" s="49">
        <f>IF(E39=".",".",up_RadSpec!$H$11*Q11*$B$39)</f>
        <v>8.0906363957948379E-3</v>
      </c>
      <c r="R39" s="49">
        <f>IF(F39=".",".",up_RadSpec!$G$11*R11*$B$39)</f>
        <v>1.6804324469513833E-2</v>
      </c>
      <c r="S39" s="49">
        <f>IF(G39=".",".",up_RadSpec!$F$11*S11*$B$39)</f>
        <v>330000</v>
      </c>
      <c r="T39" s="49">
        <f>IF(H39=".",".",up_RadSpec!$F$11*T11*$B$39)</f>
        <v>330000</v>
      </c>
      <c r="U39" s="49">
        <f t="shared" si="34"/>
        <v>660075.64989496092</v>
      </c>
      <c r="V39" s="60">
        <f>IFERROR(V11/$B39,".")</f>
        <v>1487.7122877122879</v>
      </c>
      <c r="W39" s="60">
        <f>IFERROR(W11/$B39,".")</f>
        <v>1882.4477461596578</v>
      </c>
      <c r="X39" s="60">
        <f>IFERROR(X11/$B39,".")</f>
        <v>1460.9548724656636</v>
      </c>
      <c r="Y39" s="60">
        <f>IFERROR(Y11/$B39,".")</f>
        <v>1391.6387959866224</v>
      </c>
      <c r="Z39" s="60">
        <f>IFERROR(Z11/$B39,".")</f>
        <v>3504.4063079777366</v>
      </c>
      <c r="AA39" s="189">
        <f t="shared" ref="AA39:AE39" si="63">IFERROR(AA11/$B39,0)</f>
        <v>4.6029818181818196E-6</v>
      </c>
      <c r="AB39" s="189">
        <f t="shared" si="63"/>
        <v>5.8242933266179809E-6</v>
      </c>
      <c r="AC39" s="189">
        <f t="shared" si="63"/>
        <v>4.5201943754087637E-6</v>
      </c>
      <c r="AD39" s="189">
        <f t="shared" si="63"/>
        <v>4.3057304347826095E-6</v>
      </c>
      <c r="AE39" s="189">
        <f t="shared" si="63"/>
        <v>1.0842633116883119E-5</v>
      </c>
      <c r="AF39" s="49">
        <f>IF(V39=".",".",up_RadSpec!$G$11*AF11*$B$39)</f>
        <v>1.6804324469513833E-2</v>
      </c>
      <c r="AG39" s="49">
        <f>IF(W39=".",".",up_RadSpec!$N$11*AG11*$B$39)</f>
        <v>1.3280581121575341E-2</v>
      </c>
      <c r="AH39" s="49">
        <f>IF(X39=".",".",up_RadSpec!$O$11*AH11*$B$39)</f>
        <v>1.7112095979944494E-2</v>
      </c>
      <c r="AI39" s="49">
        <f>IF(Y39=".",".",up_RadSpec!$P$11*AI11*$B$39)</f>
        <v>1.7964431627012733E-2</v>
      </c>
      <c r="AJ39" s="49">
        <f>IF(Z39=".",".",up_RadSpec!$L$11*AJ11*$B$39)</f>
        <v>7.1338759843822376E-3</v>
      </c>
      <c r="AK39" s="60">
        <f>IFERROR(AK11/$B39,".")</f>
        <v>9.9740259740259754E-3</v>
      </c>
      <c r="AL39" s="60">
        <f>IFERROR(AL11/$B39,".")</f>
        <v>63.709090909090911</v>
      </c>
      <c r="AM39" s="60">
        <f>IFERROR(AM11/$B39,".")</f>
        <v>9.9724647271019675E-3</v>
      </c>
      <c r="AN39" s="189">
        <f t="shared" ref="AN39" si="64">IFERROR(AN11/$B39,0)</f>
        <v>3.0854805865653487E-14</v>
      </c>
      <c r="AO39" s="49">
        <f>IF(AK39=".",".",up_RadSpec!$H$11*AO11*$B$39)</f>
        <v>2506.5104166666661</v>
      </c>
      <c r="AP39" s="49">
        <f>IF(AL39=".",".",up_RadSpec!$K$11*AP11*$B$39)</f>
        <v>0.39240867579908678</v>
      </c>
      <c r="AQ39" s="49">
        <f t="shared" si="39"/>
        <v>2506.9028253424653</v>
      </c>
      <c r="AR39" s="60">
        <f>IFERROR(AR11/$B39,".")</f>
        <v>2.2727272727272726E-3</v>
      </c>
      <c r="AS39" s="60">
        <f>IFERROR(AS11/$B39,".")</f>
        <v>39.81818181818182</v>
      </c>
      <c r="AT39" s="63">
        <f>IFERROR(AT11/$B39,".")</f>
        <v>1.8181818181818181</v>
      </c>
      <c r="AU39" s="63">
        <f>IFERROR(AU11/$B39,".")</f>
        <v>1.8181818181818181</v>
      </c>
      <c r="AV39" s="233">
        <f t="shared" si="41"/>
        <v>440</v>
      </c>
      <c r="AW39" s="233">
        <f t="shared" si="28"/>
        <v>2.5114155251141551E-2</v>
      </c>
      <c r="AX39" s="233">
        <f t="shared" si="28"/>
        <v>0.55000000000000004</v>
      </c>
      <c r="AY39" s="233">
        <f t="shared" si="28"/>
        <v>0.55000000000000004</v>
      </c>
      <c r="AZ39" s="63">
        <f>IFERROR(AZ11/$B39,".")</f>
        <v>2.2669305553255272E-3</v>
      </c>
      <c r="BA39" s="189">
        <f t="shared" ref="BA39" si="65">IFERROR(BA11/$B39,0)</f>
        <v>7.0138831381771812E-15</v>
      </c>
      <c r="BB39" s="49">
        <f>IF(AR39=".",".",up_RadSpec!$I$11*BB11*$B$39)</f>
        <v>11000</v>
      </c>
      <c r="BC39" s="49">
        <f>IF(AS39=".",".",up_RadSpec!$M$11*BC11*$B$39)</f>
        <v>0.62785388127853881</v>
      </c>
      <c r="BD39" s="49">
        <f>IF(AT39=".",".",up_RadSpec!$F$11*BD11*$B$39)</f>
        <v>13.75</v>
      </c>
      <c r="BE39" s="49">
        <f>IF(AU39=".",".",up_RadSpec!$F$11*BE11*$B$39)</f>
        <v>13.75</v>
      </c>
      <c r="BF39" s="49">
        <f t="shared" si="44"/>
        <v>11028.127853881278</v>
      </c>
      <c r="BG39" s="63">
        <f>IFERROR(BG11/$B39,".")</f>
        <v>1.8181818181818181E-2</v>
      </c>
      <c r="BH39" s="63">
        <f>IFERROR(BH11/$B39,".")</f>
        <v>1.8181818181818181E-2</v>
      </c>
      <c r="BI39" s="189">
        <f t="shared" ref="BI39:BJ39" si="66">IFERROR(BI11/$B39,0)</f>
        <v>5.6254545454545459E-11</v>
      </c>
      <c r="BJ39" s="189">
        <f t="shared" si="66"/>
        <v>5.6254545454545459E-11</v>
      </c>
      <c r="BK39" s="49">
        <f>IF(BG39=".",".",up_RadSpec!$F$11*BK11*$B$39)</f>
        <v>1375</v>
      </c>
      <c r="BL39" s="49">
        <f>IF(BH39=".",".",up_RadSpec!$F$11*BL11*$B$39)</f>
        <v>1375</v>
      </c>
    </row>
    <row r="40" spans="1:64" x14ac:dyDescent="0.25">
      <c r="A40" s="48" t="s">
        <v>1068</v>
      </c>
      <c r="B40" s="15">
        <v>1</v>
      </c>
      <c r="C40" s="42"/>
      <c r="D40" s="60">
        <f>IFERROR(D4/$B40,".")</f>
        <v>0.33057851239669422</v>
      </c>
      <c r="E40" s="60">
        <f>IFERROR(E4/$B40,".")</f>
        <v>3089.9917851942919</v>
      </c>
      <c r="F40" s="60">
        <f>IFERROR(F4/$B40,".")</f>
        <v>825.85858585858614</v>
      </c>
      <c r="G40" s="63">
        <f>IFERROR(G4/$B40,".")</f>
        <v>7.5757575757575758E-5</v>
      </c>
      <c r="H40" s="63">
        <f>IFERROR(H4/$B40,".")</f>
        <v>7.5757575757575758E-5</v>
      </c>
      <c r="I40" s="233">
        <f t="shared" si="10"/>
        <v>3.0249999999999999</v>
      </c>
      <c r="J40" s="233">
        <f t="shared" si="10"/>
        <v>3.236254558317935E-4</v>
      </c>
      <c r="K40" s="233">
        <f t="shared" si="10"/>
        <v>1.2108610567514674E-3</v>
      </c>
      <c r="L40" s="233">
        <f t="shared" si="10"/>
        <v>13200</v>
      </c>
      <c r="M40" s="233">
        <f t="shared" si="10"/>
        <v>13200</v>
      </c>
      <c r="N40" s="63">
        <f>IFERROR(N4/$B40,".")</f>
        <v>3.7874445897096017E-5</v>
      </c>
      <c r="O40" s="189">
        <f>IFERROR(O4/$B40,0)</f>
        <v>1.150625666353777E-13</v>
      </c>
      <c r="P40" s="49">
        <f>IF(D40=".",".",up_RadSpec!$E$4*P4*$B$40)</f>
        <v>75.625</v>
      </c>
      <c r="Q40" s="49">
        <f>IF(E40=".",".",up_RadSpec!$H$4*Q4*$B$40)</f>
        <v>8.0906363957948379E-3</v>
      </c>
      <c r="R40" s="49">
        <f>IF(F40=".",".",up_RadSpec!$G$4*R4*$B$40)</f>
        <v>3.0271526418786682E-2</v>
      </c>
      <c r="S40" s="49">
        <f>IF(G40=".",".",up_RadSpec!$F$4*S4*$B$40)</f>
        <v>330000</v>
      </c>
      <c r="T40" s="49">
        <f>IF(H40=".",".",up_RadSpec!$F$4*T4*$B$40)</f>
        <v>330000</v>
      </c>
      <c r="U40" s="49">
        <f t="shared" si="34"/>
        <v>660075.66336216289</v>
      </c>
      <c r="V40" s="60">
        <f>IFERROR(V4/$B40,".")</f>
        <v>825.85858585858614</v>
      </c>
      <c r="W40" s="60">
        <f>IFERROR(W4/$B40,".")</f>
        <v>1347.6923076923078</v>
      </c>
      <c r="X40" s="60">
        <f>IFERROR(X4/$B40,".")</f>
        <v>969.48616600790467</v>
      </c>
      <c r="Y40" s="60">
        <f>IFERROR(Y4/$B40,".")</f>
        <v>843.93416567329632</v>
      </c>
      <c r="Z40" s="60">
        <f>IFERROR(Z4/$B40,".")</f>
        <v>2488.8664733324913</v>
      </c>
      <c r="AA40" s="189">
        <f t="shared" ref="AA40:AE40" si="67">IFERROR(AA4/$B40,0)</f>
        <v>2.5089583838383851E-6</v>
      </c>
      <c r="AB40" s="189">
        <f t="shared" si="67"/>
        <v>4.0942892307692313E-6</v>
      </c>
      <c r="AC40" s="189">
        <f t="shared" si="67"/>
        <v>2.945298972332015E-6</v>
      </c>
      <c r="AD40" s="189">
        <f t="shared" si="67"/>
        <v>2.5638719953154743E-6</v>
      </c>
      <c r="AE40" s="189">
        <f t="shared" si="67"/>
        <v>7.5611763459841097E-6</v>
      </c>
      <c r="AF40" s="49">
        <f>IF(V40=".",".",up_RadSpec!$G$4*AF4*$B$40)</f>
        <v>3.0271526418786682E-2</v>
      </c>
      <c r="AG40" s="49">
        <f>IF(W40=".",".",up_RadSpec!$N$4*AG4*$B$40)</f>
        <v>1.8550228310502279E-2</v>
      </c>
      <c r="AH40" s="49">
        <f>IF(X40=".",".",up_RadSpec!$O$4*AH4*$B$40)</f>
        <v>2.5786855838225712E-2</v>
      </c>
      <c r="AI40" s="49">
        <f>IF(Y40=".",".",up_RadSpec!$P$4*AI4*$B$40)</f>
        <v>2.9623163769006595E-2</v>
      </c>
      <c r="AJ40" s="49">
        <f>IF(Z40=".",".",up_RadSpec!$L$4*AJ4*$B$40)</f>
        <v>1.0044733322525741E-2</v>
      </c>
      <c r="AK40" s="60">
        <f>IFERROR(AK4/$B40,".")</f>
        <v>9.9740259740259754E-3</v>
      </c>
      <c r="AL40" s="60">
        <f>IFERROR(AL4/$B40,".")</f>
        <v>63.709090909090911</v>
      </c>
      <c r="AM40" s="60">
        <f>IFERROR(AM4/$B40,".")</f>
        <v>9.9724647271019675E-3</v>
      </c>
      <c r="AN40" s="189">
        <f t="shared" ref="AN40" si="68">IFERROR(AN4/$B40,0)</f>
        <v>3.0296347840935774E-14</v>
      </c>
      <c r="AO40" s="49">
        <f>IF(AK40=".",".",up_RadSpec!$H$4*AO4*$B$40)</f>
        <v>2506.5104166666661</v>
      </c>
      <c r="AP40" s="49">
        <f>IF(AL40=".",".",up_RadSpec!$K$4*AP4*$B$40)</f>
        <v>0.39240867579908678</v>
      </c>
      <c r="AQ40" s="49">
        <f t="shared" si="39"/>
        <v>2506.9028253424653</v>
      </c>
      <c r="AR40" s="60">
        <f>IFERROR(AR4/$B40,".")</f>
        <v>2.2727272727272726E-3</v>
      </c>
      <c r="AS40" s="60">
        <f>IFERROR(AS4/$B40,".")</f>
        <v>39.81818181818182</v>
      </c>
      <c r="AT40" s="63">
        <f>IFERROR(AT4/$B40,".")</f>
        <v>1.8181818181818181</v>
      </c>
      <c r="AU40" s="63">
        <f>IFERROR(AU4/$B40,".")</f>
        <v>1.8181818181818181</v>
      </c>
      <c r="AV40" s="233">
        <f t="shared" si="41"/>
        <v>440</v>
      </c>
      <c r="AW40" s="233">
        <f t="shared" si="28"/>
        <v>2.5114155251141551E-2</v>
      </c>
      <c r="AX40" s="233">
        <f t="shared" si="28"/>
        <v>0.55000000000000004</v>
      </c>
      <c r="AY40" s="233">
        <f t="shared" si="28"/>
        <v>0.55000000000000004</v>
      </c>
      <c r="AZ40" s="63">
        <f>IFERROR(AZ4/$B40,".")</f>
        <v>2.2669305553255272E-3</v>
      </c>
      <c r="BA40" s="189">
        <f t="shared" ref="BA40" si="69">IFERROR(BA4/$B40,0)</f>
        <v>6.8869350270789514E-15</v>
      </c>
      <c r="BB40" s="49">
        <f>IF(AR40=".",".",up_RadSpec!$I$4*BB4*$B$40)</f>
        <v>11000</v>
      </c>
      <c r="BC40" s="49">
        <f>IF(AS40=".",".",up_RadSpec!$M$4*BC4*$B$40)</f>
        <v>0.62785388127853881</v>
      </c>
      <c r="BD40" s="49">
        <f>IF(AT40=".",".",up_RadSpec!$F$4*BD4*$B$40)</f>
        <v>13.75</v>
      </c>
      <c r="BE40" s="49">
        <f>IF(AU40=".",".",up_RadSpec!$F$4*BE4*$B$40)</f>
        <v>13.75</v>
      </c>
      <c r="BF40" s="49">
        <f t="shared" si="44"/>
        <v>11028.127853881278</v>
      </c>
      <c r="BG40" s="63">
        <f>IFERROR(BG4/$B40,".")</f>
        <v>1.8181818181818181E-2</v>
      </c>
      <c r="BH40" s="63">
        <f>IFERROR(BH4/$B40,".")</f>
        <v>1.8181818181818181E-2</v>
      </c>
      <c r="BI40" s="189">
        <f t="shared" ref="BI40:BJ40" si="70">IFERROR(BI4/$B40,0)</f>
        <v>5.5236363636363644E-11</v>
      </c>
      <c r="BJ40" s="189">
        <f t="shared" si="70"/>
        <v>5.5236363636363644E-11</v>
      </c>
      <c r="BK40" s="49">
        <f>IF(BG40=".",".",up_RadSpec!$F$4*BK4*$B$40)</f>
        <v>1375</v>
      </c>
      <c r="BL40" s="49">
        <f>IF(BH40=".",".",up_RadSpec!$F$4*BL4*$B$40)</f>
        <v>1375</v>
      </c>
    </row>
    <row r="41" spans="1:64" x14ac:dyDescent="0.25">
      <c r="A41" s="48" t="s">
        <v>1069</v>
      </c>
      <c r="B41" s="50">
        <v>0.99987999999999999</v>
      </c>
      <c r="C41" s="78"/>
      <c r="D41" s="60">
        <f>IFERROR(D8/$B41,".")</f>
        <v>0.33061818657908371</v>
      </c>
      <c r="E41" s="60">
        <f>IFERROR(E8/$B41,".")</f>
        <v>3090.3626287097372</v>
      </c>
      <c r="F41" s="60">
        <f>IFERROR(F8/$B41,".")</f>
        <v>528.03925622254997</v>
      </c>
      <c r="G41" s="63">
        <f>IFERROR(G8/$B41,".")</f>
        <v>7.5766667757706679E-5</v>
      </c>
      <c r="H41" s="63">
        <f>IFERROR(H8/$B41,".")</f>
        <v>7.5766667757706679E-5</v>
      </c>
      <c r="I41" s="233">
        <f t="shared" si="10"/>
        <v>3.0246369999999998</v>
      </c>
      <c r="J41" s="233">
        <f t="shared" si="10"/>
        <v>3.2358662077709363E-4</v>
      </c>
      <c r="K41" s="233">
        <f t="shared" si="10"/>
        <v>1.8937985920852354E-3</v>
      </c>
      <c r="L41" s="233">
        <f t="shared" si="10"/>
        <v>13198.416000000001</v>
      </c>
      <c r="M41" s="233">
        <f t="shared" si="10"/>
        <v>13198.416000000001</v>
      </c>
      <c r="N41" s="63">
        <f>IFERROR(N8/$B41,".")</f>
        <v>3.7878990395961632E-5</v>
      </c>
      <c r="O41" s="189">
        <f>IFERROR(O8/$B41,0)</f>
        <v>1.1295514936075758E-13</v>
      </c>
      <c r="P41" s="49">
        <f>IF(D41=".",".",up_RadSpec!$E$8*P8*$B$41)</f>
        <v>75.615925000000004</v>
      </c>
      <c r="Q41" s="49">
        <f>IF(E41=".",".",up_RadSpec!$H$8*Q8*$B$41)</f>
        <v>8.0896655194273425E-3</v>
      </c>
      <c r="R41" s="49">
        <f>IF(F41=".",".",up_RadSpec!$G$8*R8*$B$41)</f>
        <v>4.7344964802130879E-2</v>
      </c>
      <c r="S41" s="49">
        <f>IF(G41=".",".",up_RadSpec!$F$8*S8*$B$41)</f>
        <v>329960.40000000002</v>
      </c>
      <c r="T41" s="49">
        <f>IF(H41=".",".",up_RadSpec!$F$8*T8*$B$41)</f>
        <v>329960.40000000002</v>
      </c>
      <c r="U41" s="49">
        <f t="shared" si="34"/>
        <v>659996.47135963035</v>
      </c>
      <c r="V41" s="60">
        <f>IFERROR(V8/$B41,".")</f>
        <v>528.03925622254997</v>
      </c>
      <c r="W41" s="60">
        <f>IFERROR(W8/$B41,".")</f>
        <v>969.32155554038047</v>
      </c>
      <c r="X41" s="60">
        <f>IFERROR(X8/$B41,".")</f>
        <v>707.51452795470675</v>
      </c>
      <c r="Y41" s="60">
        <f>IFERROR(Y8/$B41,".")</f>
        <v>648.67913982563709</v>
      </c>
      <c r="Z41" s="60">
        <f>IFERROR(Z8/$B41,".")</f>
        <v>1796.0422486818004</v>
      </c>
      <c r="AA41" s="189">
        <f t="shared" ref="AA41:AE41" si="71">IFERROR(AA8/$B41,0)</f>
        <v>1.5746130620556442E-6</v>
      </c>
      <c r="AB41" s="189">
        <f t="shared" si="71"/>
        <v>2.8905168786214144E-6</v>
      </c>
      <c r="AC41" s="189">
        <f t="shared" si="71"/>
        <v>2.109808322360936E-6</v>
      </c>
      <c r="AD41" s="189">
        <f t="shared" si="71"/>
        <v>1.9343611949600501E-6</v>
      </c>
      <c r="AE41" s="189">
        <f t="shared" si="71"/>
        <v>5.3557979855691285E-6</v>
      </c>
      <c r="AF41" s="49">
        <f>IF(V41=".",".",up_RadSpec!$G$8*AF8*$B$41)</f>
        <v>4.7344964802130879E-2</v>
      </c>
      <c r="AG41" s="49">
        <f>IF(W41=".",".",up_RadSpec!$N$8*AG8*$B$41)</f>
        <v>2.5791234969558603E-2</v>
      </c>
      <c r="AH41" s="49">
        <f>IF(X41=".",".",up_RadSpec!$O$8*AH8*$B$41)</f>
        <v>3.5334963470319627E-2</v>
      </c>
      <c r="AI41" s="49">
        <f>IF(Y41=".",".",up_RadSpec!$P$8*AI8*$B$41)</f>
        <v>3.8539855014791943E-2</v>
      </c>
      <c r="AJ41" s="49">
        <f>IF(Z41=".",".",up_RadSpec!$L$8*AJ8*$B$41)</f>
        <v>1.3919494387366818E-2</v>
      </c>
      <c r="AK41" s="60">
        <f>IFERROR(AK8/$B41,".")</f>
        <v>9.9752230007860692E-3</v>
      </c>
      <c r="AL41" s="60">
        <f>IFERROR(AL8/$B41,".")</f>
        <v>63.716736917521011</v>
      </c>
      <c r="AM41" s="60">
        <f>IFERROR(AM8/$B41,".")</f>
        <v>9.973661566489947E-3</v>
      </c>
      <c r="AN41" s="189">
        <f t="shared" ref="AN41" si="72">IFERROR(AN8/$B41,0)</f>
        <v>2.9741458791273018E-14</v>
      </c>
      <c r="AO41" s="49">
        <f>IF(AK41=".",".",up_RadSpec!$H$8*AO8*$B$41)</f>
        <v>2506.2096354166661</v>
      </c>
      <c r="AP41" s="49">
        <f>IF(AL41=".",".",up_RadSpec!$K$8*AP8*$B$41)</f>
        <v>0.39236158675799088</v>
      </c>
      <c r="AQ41" s="49">
        <f t="shared" si="39"/>
        <v>2506.601997003424</v>
      </c>
      <c r="AR41" s="60">
        <f>IFERROR(AR8/$B41,".")</f>
        <v>2.2730000327312004E-3</v>
      </c>
      <c r="AS41" s="60">
        <f>IFERROR(AS8/$B41,".")</f>
        <v>39.822960573450636</v>
      </c>
      <c r="AT41" s="63">
        <f>IFERROR(AT8/$B41,".")</f>
        <v>1.8184000261849604</v>
      </c>
      <c r="AU41" s="63">
        <f>IFERROR(AU8/$B41,".")</f>
        <v>1.8184000261849604</v>
      </c>
      <c r="AV41" s="233">
        <f t="shared" si="41"/>
        <v>439.94720000000001</v>
      </c>
      <c r="AW41" s="233">
        <f t="shared" si="28"/>
        <v>2.5111141552511412E-2</v>
      </c>
      <c r="AX41" s="233">
        <f t="shared" si="28"/>
        <v>0.54993400000000003</v>
      </c>
      <c r="AY41" s="233">
        <f t="shared" si="28"/>
        <v>0.54993400000000003</v>
      </c>
      <c r="AZ41" s="63">
        <f>IFERROR(AZ8/$B41,".")</f>
        <v>2.267202619639884E-3</v>
      </c>
      <c r="BA41" s="189">
        <f t="shared" ref="BA41" si="73">IFERROR(BA8/$B41,0)</f>
        <v>6.7607982117661342E-15</v>
      </c>
      <c r="BB41" s="49">
        <f>IF(AR41=".",".",up_RadSpec!$I$8*BB8*$B$41)</f>
        <v>10998.68</v>
      </c>
      <c r="BC41" s="49">
        <f>IF(AS41=".",".",up_RadSpec!$M$8*BC8*$B$41)</f>
        <v>0.62777853881278534</v>
      </c>
      <c r="BD41" s="49">
        <f>IF(AT41=".",".",up_RadSpec!$F$8*BD8*$B$41)</f>
        <v>13.74835</v>
      </c>
      <c r="BE41" s="49">
        <f>IF(AU41=".",".",up_RadSpec!$F$8*BE8*$B$41)</f>
        <v>13.74835</v>
      </c>
      <c r="BF41" s="49">
        <f t="shared" si="44"/>
        <v>11026.804478538812</v>
      </c>
      <c r="BG41" s="63">
        <f>IFERROR(BG8/$B41,".")</f>
        <v>1.8184000261849603E-2</v>
      </c>
      <c r="BH41" s="63">
        <f>IFERROR(BH8/$B41,".")</f>
        <v>1.8184000261849603E-2</v>
      </c>
      <c r="BI41" s="189">
        <f t="shared" ref="BI41:BJ41" si="74">IFERROR(BI8/$B41,0)</f>
        <v>5.4224688780835531E-11</v>
      </c>
      <c r="BJ41" s="189">
        <f t="shared" si="74"/>
        <v>5.4224688780835531E-11</v>
      </c>
      <c r="BK41" s="49">
        <f>IF(BG41=".",".",up_RadSpec!$F$8*BK8*$B$41)</f>
        <v>1374.835</v>
      </c>
      <c r="BL41" s="49">
        <f>IF(BH41=".",".",up_RadSpec!$F$8*BL8*$B$41)</f>
        <v>1374.835</v>
      </c>
    </row>
    <row r="42" spans="1:64" x14ac:dyDescent="0.25">
      <c r="A42" s="48" t="s">
        <v>1070</v>
      </c>
      <c r="B42" s="15">
        <v>0.97898250799999997</v>
      </c>
      <c r="C42" s="42"/>
      <c r="D42" s="60">
        <f>IFERROR(D19/$B42,".")</f>
        <v>0.33767560676037556</v>
      </c>
      <c r="E42" s="60">
        <f>IFERROR(E19/$B42,".")</f>
        <v>3156.3299241239274</v>
      </c>
      <c r="F42" s="60">
        <f>IFERROR(F19/$B42,".")</f>
        <v>373.342758772634</v>
      </c>
      <c r="G42" s="63">
        <f>IFERROR(G19/$B42,".")</f>
        <v>7.7383993215919395E-5</v>
      </c>
      <c r="H42" s="63">
        <f>IFERROR(H19/$B42,".")</f>
        <v>7.7383993215919395E-5</v>
      </c>
      <c r="I42" s="233">
        <f t="shared" si="10"/>
        <v>2.9614220866999998</v>
      </c>
      <c r="J42" s="233">
        <f t="shared" si="10"/>
        <v>3.168236604028524E-4</v>
      </c>
      <c r="K42" s="233">
        <f t="shared" si="10"/>
        <v>2.678503805156164E-3</v>
      </c>
      <c r="L42" s="233">
        <f t="shared" si="10"/>
        <v>12922.5691056</v>
      </c>
      <c r="M42" s="233">
        <f t="shared" si="10"/>
        <v>12922.5691056</v>
      </c>
      <c r="N42" s="63">
        <f>IFERROR(N19/$B42,".")</f>
        <v>3.8687559174768511E-5</v>
      </c>
      <c r="O42" s="189">
        <f>IFERROR(O19/$B42,0)</f>
        <v>1.153663014591597E-13</v>
      </c>
      <c r="P42" s="246">
        <f>IF(D42=".",".",up_RadSpec!$E$19*P19*$B$42)</f>
        <v>74.035552167500001</v>
      </c>
      <c r="Q42" s="246">
        <f>IF(E42=".",".",up_RadSpec!$H$19*Q19*$B$42)</f>
        <v>7.920591510071311E-3</v>
      </c>
      <c r="R42" s="246">
        <f>IF(F42=".",".",up_RadSpec!$G$19*R19*$B$42)</f>
        <v>6.6962595128904095E-2</v>
      </c>
      <c r="S42" s="246">
        <f>IF(G42=".",".",up_RadSpec!$F$19*S19*$B$42)</f>
        <v>323064.22764</v>
      </c>
      <c r="T42" s="246">
        <f>IF(H42=".",".",up_RadSpec!$F$19*T19*$B$42)</f>
        <v>323064.22764</v>
      </c>
      <c r="U42" s="49">
        <f t="shared" si="34"/>
        <v>646202.56571535417</v>
      </c>
      <c r="V42" s="60">
        <f>IFERROR(V19/$B42,".")</f>
        <v>373.342758772634</v>
      </c>
      <c r="W42" s="60">
        <f>IFERROR(W19/$B42,".")</f>
        <v>740.48936703994241</v>
      </c>
      <c r="X42" s="60">
        <f>IFERROR(X19/$B42,".")</f>
        <v>513.30664881774305</v>
      </c>
      <c r="Y42" s="60">
        <f>IFERROR(Y19/$B42,".")</f>
        <v>428.71568825329774</v>
      </c>
      <c r="Z42" s="60">
        <f>IFERROR(Z19/$B42,".")</f>
        <v>1275.1430676891291</v>
      </c>
      <c r="AA42" s="189">
        <f t="shared" ref="AA42:AE42" si="75">IFERROR(AA19/$B42,0)</f>
        <v>1.1133081066599947E-6</v>
      </c>
      <c r="AB42" s="189">
        <f t="shared" si="75"/>
        <v>2.2081392925131083E-6</v>
      </c>
      <c r="AC42" s="189">
        <f t="shared" si="75"/>
        <v>1.5306804267745097E-6</v>
      </c>
      <c r="AD42" s="189">
        <f t="shared" si="75"/>
        <v>1.2784301823713341E-6</v>
      </c>
      <c r="AE42" s="189">
        <f t="shared" si="75"/>
        <v>3.8024766278489837E-6</v>
      </c>
      <c r="AF42" s="246">
        <f>IF(V42=".",".",up_RadSpec!$G$19*AF19*$B$42)</f>
        <v>6.6962595128904095E-2</v>
      </c>
      <c r="AG42" s="246">
        <f>IF(W42=".",".",up_RadSpec!$N$19*AG19*$B$42)</f>
        <v>3.3761457102261784E-2</v>
      </c>
      <c r="AH42" s="246">
        <f>IF(X42=".",".",up_RadSpec!$O$19*AH19*$B$42)</f>
        <v>4.87038304638766E-2</v>
      </c>
      <c r="AI42" s="246">
        <f>IF(Y42=".",".",up_RadSpec!$P$19*AI19*$B$42)</f>
        <v>5.8313704594895231E-2</v>
      </c>
      <c r="AJ42" s="246">
        <f>IF(Z42=".",".",up_RadSpec!$L$19*AJ19*$B$42)</f>
        <v>1.9605643188968676E-2</v>
      </c>
      <c r="AK42" s="60">
        <f>IFERROR(AK19/$B42,".")</f>
        <v>1.0188155449684476E-2</v>
      </c>
      <c r="AL42" s="60">
        <f>IFERROR(AL19/$B42,".")</f>
        <v>65.076842934859584</v>
      </c>
      <c r="AM42" s="60">
        <f>IFERROR(AM19/$B42,".")</f>
        <v>1.0186560684802315E-2</v>
      </c>
      <c r="AN42" s="189">
        <f t="shared" ref="AN42" si="76">IFERROR(AN19/$B42,0)</f>
        <v>3.0376323962080502E-14</v>
      </c>
      <c r="AO42" s="246">
        <f>IF(AK42=".",".",up_RadSpec!$H$19*AO19*$B$42)</f>
        <v>2453.8298540364576</v>
      </c>
      <c r="AP42" s="246">
        <f>IF(AL42=".",".",up_RadSpec!$K$19*AP19*$B$42)</f>
        <v>0.38416122959474885</v>
      </c>
      <c r="AQ42" s="49">
        <f t="shared" si="39"/>
        <v>2454.2140152660522</v>
      </c>
      <c r="AR42" s="60">
        <f>IFERROR(AR19/$B42,".")</f>
        <v>2.321519796477582E-3</v>
      </c>
      <c r="AS42" s="60">
        <f>IFERROR(AS19/$B42,".")</f>
        <v>40.673026834287242</v>
      </c>
      <c r="AT42" s="63">
        <f>IFERROR(AT19/$B42,".")</f>
        <v>1.8572158371820655</v>
      </c>
      <c r="AU42" s="63">
        <f>IFERROR(AU19/$B42,".")</f>
        <v>1.8572158371820655</v>
      </c>
      <c r="AV42" s="233">
        <f t="shared" si="41"/>
        <v>430.75230352</v>
      </c>
      <c r="AW42" s="233">
        <f t="shared" si="28"/>
        <v>2.4586318694063924E-2</v>
      </c>
      <c r="AX42" s="233">
        <f t="shared" si="28"/>
        <v>0.5384403794</v>
      </c>
      <c r="AY42" s="233">
        <f t="shared" si="28"/>
        <v>0.5384403794</v>
      </c>
      <c r="AZ42" s="63">
        <f>IFERROR(AZ19/$B42,".")</f>
        <v>2.315598631028377E-3</v>
      </c>
      <c r="BA42" s="189">
        <f t="shared" ref="BA42" si="77">IFERROR(BA19/$B42,0)</f>
        <v>6.905115117726621E-15</v>
      </c>
      <c r="BB42" s="246">
        <f>IF(AR42=".",".",up_RadSpec!$I$19*BB19*$B$42)</f>
        <v>10768.807588</v>
      </c>
      <c r="BC42" s="246">
        <f>IF(AS42=".",".",up_RadSpec!$M$19*BC19*$B$42)</f>
        <v>0.61465796735159817</v>
      </c>
      <c r="BD42" s="246">
        <f>IF(AT42=".",".",up_RadSpec!$F$19*BD19*$B$42)</f>
        <v>13.461009485</v>
      </c>
      <c r="BE42" s="246">
        <f>IF(AU42=".",".",up_RadSpec!$F$19*BE19*$B$42)</f>
        <v>13.461009485</v>
      </c>
      <c r="BF42" s="49">
        <f t="shared" si="44"/>
        <v>10796.34426493735</v>
      </c>
      <c r="BG42" s="63">
        <f>IFERROR(BG19/$B42,".")</f>
        <v>1.8572158371820656E-2</v>
      </c>
      <c r="BH42" s="63">
        <f>IFERROR(BH19/$B42,".")</f>
        <v>1.8572158371820656E-2</v>
      </c>
      <c r="BI42" s="189">
        <f t="shared" ref="BI42:BJ42" si="78">IFERROR(BI19/$B42,0)</f>
        <v>5.5382176264769208E-11</v>
      </c>
      <c r="BJ42" s="189">
        <f t="shared" si="78"/>
        <v>5.5382176264769208E-11</v>
      </c>
      <c r="BK42" s="246">
        <f>IF(BG42=".",".",up_RadSpec!$F$19*BK19*$B$42)</f>
        <v>1346.1009485</v>
      </c>
      <c r="BL42" s="246">
        <f>IF(BH42=".",".",up_RadSpec!$F$19*BL19*$B$42)</f>
        <v>1346.1009485</v>
      </c>
    </row>
    <row r="43" spans="1:64" x14ac:dyDescent="0.25">
      <c r="A43" s="48" t="s">
        <v>1071</v>
      </c>
      <c r="B43" s="15">
        <v>2.0897492E-2</v>
      </c>
      <c r="C43" s="42"/>
      <c r="D43" s="60">
        <f>IFERROR(D28/$B43,".")</f>
        <v>15.819051989429843</v>
      </c>
      <c r="E43" s="60">
        <f>IFERROR(E28/$B43,".")</f>
        <v>147864.24060812138</v>
      </c>
      <c r="F43" s="60">
        <f>IFERROR(F28/$B43,".")</f>
        <v>12447.52449535734</v>
      </c>
      <c r="G43" s="63">
        <f>IFERROR(G28/$B43,".")</f>
        <v>3.6251994142443389E-3</v>
      </c>
      <c r="H43" s="63">
        <f>IFERROR(H28/$B43,".")</f>
        <v>3.6251994142443389E-3</v>
      </c>
      <c r="I43" s="233">
        <f t="shared" si="10"/>
        <v>6.3214913299999995E-2</v>
      </c>
      <c r="J43" s="233">
        <f t="shared" si="10"/>
        <v>6.7629603742412578E-6</v>
      </c>
      <c r="K43" s="233">
        <f t="shared" si="10"/>
        <v>8.0337259056849296E-5</v>
      </c>
      <c r="L43" s="233">
        <f t="shared" si="10"/>
        <v>275.8468944</v>
      </c>
      <c r="M43" s="233">
        <f t="shared" si="10"/>
        <v>275.8468944</v>
      </c>
      <c r="N43" s="63">
        <f>IFERROR(N28/$B43,".")</f>
        <v>1.812391751097542E-3</v>
      </c>
      <c r="O43" s="189">
        <f>IFERROR(O28/$B43,0)</f>
        <v>5.3030582637114081E-12</v>
      </c>
      <c r="P43" s="246">
        <f>IF(D43=".",".",up_RadSpec!J28*P28*$B$43)</f>
        <v>1.5803728324999999</v>
      </c>
      <c r="Q43" s="246">
        <f>IF(E43=".",".",up_RadSpec!K28*Q28*$B$43)</f>
        <v>1.6907400935603145E-4</v>
      </c>
      <c r="R43" s="246">
        <f>IF(F43=".",".",up_RadSpec!$G$28*R28*$B$43)</f>
        <v>2.0084314764212325E-3</v>
      </c>
      <c r="S43" s="246">
        <f>IF(G43=".",".",up_RadSpec!M28*S28*$B$43)</f>
        <v>6896.1723600000005</v>
      </c>
      <c r="T43" s="246">
        <f>IF(H43=".",".",up_RadSpec!N28*T28*$B$43)</f>
        <v>6896.1723600000005</v>
      </c>
      <c r="U43" s="49">
        <f t="shared" si="34"/>
        <v>13793.927270337987</v>
      </c>
      <c r="V43" s="60">
        <f>IFERROR(V28/$B43,".")</f>
        <v>12447.52449535734</v>
      </c>
      <c r="W43" s="60">
        <f>IFERROR(W28/$B43,".")</f>
        <v>27756.240506474132</v>
      </c>
      <c r="X43" s="60">
        <f>IFERROR(X28/$B43,".")</f>
        <v>19270.845128969137</v>
      </c>
      <c r="Y43" s="60">
        <f>IFERROR(Y28/$B43,".")</f>
        <v>16684.751996732266</v>
      </c>
      <c r="Z43" s="60">
        <f>IFERROR(Z28/$B43,".")</f>
        <v>48794.493601554692</v>
      </c>
      <c r="AA43" s="189">
        <f t="shared" ref="AA43:AE43" si="79">IFERROR(AA28/$B43,0)</f>
        <v>3.6421456673415577E-5</v>
      </c>
      <c r="AB43" s="189">
        <f t="shared" si="79"/>
        <v>8.1214759721943313E-5</v>
      </c>
      <c r="AC43" s="189">
        <f t="shared" si="79"/>
        <v>5.6386492847363701E-5</v>
      </c>
      <c r="AD43" s="189">
        <f t="shared" si="79"/>
        <v>4.8819584342438607E-5</v>
      </c>
      <c r="AE43" s="189">
        <f t="shared" si="79"/>
        <v>1.4277268827814901E-4</v>
      </c>
      <c r="AF43" s="246">
        <f>IF(V43=".",".",up_RadSpec!$G$28*AF28*$B$43)</f>
        <v>2.0084314764212325E-3</v>
      </c>
      <c r="AG43" s="246">
        <f>IF(W43=".",".",up_RadSpec!$N$28*AG28*$B$43)</f>
        <v>9.0069834904942415E-4</v>
      </c>
      <c r="AH43" s="246">
        <f>IF(X43=".",".",up_RadSpec!$O$28*AH28*$B$43)</f>
        <v>1.2972965032248865E-3</v>
      </c>
      <c r="AI43" s="246">
        <f>IF(Y43=".",".",up_RadSpec!$P$28*AI28*$B$43)</f>
        <v>1.4983740846070883E-3</v>
      </c>
      <c r="AJ43" s="246">
        <f>IF(Z43=".",".",up_RadSpec!$L$28*AJ28*$B$43)</f>
        <v>5.1235289383561619E-4</v>
      </c>
      <c r="AK43" s="60">
        <f>IFERROR(AK28/$B43,".")</f>
        <v>0.47728339716679757</v>
      </c>
      <c r="AL43" s="60">
        <f>IFERROR(AL28/$B43,".")</f>
        <v>3048.6476994029194</v>
      </c>
      <c r="AM43" s="60">
        <f>IFERROR(AM28/$B43,".")</f>
        <v>0.47720868739186345</v>
      </c>
      <c r="AN43" s="189">
        <f t="shared" ref="AN43" si="80">IFERROR(AN28/$B43,0)</f>
        <v>1.3963126193085927E-12</v>
      </c>
      <c r="AO43" s="246">
        <f>IF(AK43=".",".",up_RadSpec!AO28*AO28*$B$43)</f>
        <v>52.379781380208321</v>
      </c>
      <c r="AP43" s="246">
        <f>IF(AL43=".",".",up_RadSpec!$K$28*AP28*$B$43)</f>
        <v>8.2003571632420103E-3</v>
      </c>
      <c r="AQ43" s="49">
        <f t="shared" si="39"/>
        <v>52.387981737371561</v>
      </c>
      <c r="AR43" s="60">
        <f>IFERROR(AR28/$B43,".")</f>
        <v>0.10875598242733016</v>
      </c>
      <c r="AS43" s="60">
        <f>IFERROR(AS28/$B43,".")</f>
        <v>1905.4048121268245</v>
      </c>
      <c r="AT43" s="63">
        <f>IFERROR(AT28/$B43,".")</f>
        <v>87.004785941864128</v>
      </c>
      <c r="AU43" s="63">
        <f>IFERROR(AU28/$B43,".")</f>
        <v>87.004785941864128</v>
      </c>
      <c r="AV43" s="233">
        <f t="shared" si="41"/>
        <v>9.1948964800000006</v>
      </c>
      <c r="AW43" s="233">
        <f t="shared" si="28"/>
        <v>5.2482285844748864E-4</v>
      </c>
      <c r="AX43" s="233">
        <f t="shared" si="28"/>
        <v>1.1493620600000001E-2</v>
      </c>
      <c r="AY43" s="233">
        <f t="shared" si="28"/>
        <v>1.1493620600000001E-2</v>
      </c>
      <c r="AZ43" s="63">
        <f>IFERROR(AZ28/$B43,".")</f>
        <v>0.10847859424114277</v>
      </c>
      <c r="BA43" s="189">
        <f t="shared" ref="BA43" si="81">IFERROR(BA28/$B43,0)</f>
        <v>3.1740836674958377E-13</v>
      </c>
      <c r="BB43" s="246">
        <f>IF(AR43=".",".",up_RadSpec!$I$28*BB28*$B$43)</f>
        <v>229.872412</v>
      </c>
      <c r="BC43" s="246">
        <f>IF(AS43=".",".",up_RadSpec!$M$28*BC28*$B$43)</f>
        <v>1.3120571461187214E-2</v>
      </c>
      <c r="BD43" s="246">
        <f>IF(AT43=".",".",up_RadSpec!$F$28*BD28*$B$43)</f>
        <v>0.28734051500000002</v>
      </c>
      <c r="BE43" s="246">
        <f>IF(AU43=".",".",up_RadSpec!$F$28*BE28*$B$43)</f>
        <v>0.28734051500000002</v>
      </c>
      <c r="BF43" s="49">
        <f t="shared" si="44"/>
        <v>230.46021360146122</v>
      </c>
      <c r="BG43" s="63">
        <f>IFERROR(BG28/$B43,".")</f>
        <v>0.87004785941864127</v>
      </c>
      <c r="BH43" s="63">
        <f>IFERROR(BH28/$B43,".")</f>
        <v>0.87004785941864127</v>
      </c>
      <c r="BI43" s="189">
        <f t="shared" ref="BI43:BJ43" si="82">IFERROR(BI28/$B43,0)</f>
        <v>2.545760036658945E-9</v>
      </c>
      <c r="BJ43" s="189">
        <f t="shared" si="82"/>
        <v>2.545760036658945E-9</v>
      </c>
      <c r="BK43" s="246">
        <f>IF(BG43=".",".",up_RadSpec!BO28*BK28*$B$43)</f>
        <v>0</v>
      </c>
      <c r="BL43" s="246">
        <f>IF(BH43=".",".",up_RadSpec!BP28*BL28*$B$43)</f>
        <v>0</v>
      </c>
    </row>
    <row r="44" spans="1:64" x14ac:dyDescent="0.25">
      <c r="A44" s="48" t="s">
        <v>1072</v>
      </c>
      <c r="B44" s="15">
        <v>0.99987999999999999</v>
      </c>
      <c r="C44" s="42"/>
      <c r="D44" s="60">
        <f>IFERROR(D15/$B44,".")</f>
        <v>0.33061818657908371</v>
      </c>
      <c r="E44" s="60">
        <f>IFERROR(E15/$B44,".")</f>
        <v>3090.3626287097372</v>
      </c>
      <c r="F44" s="60" t="str">
        <f>IFERROR(F15/$B44,".")</f>
        <v>.</v>
      </c>
      <c r="G44" s="63">
        <f>IFERROR(G15/$B44,".")</f>
        <v>7.5766667757706679E-5</v>
      </c>
      <c r="H44" s="63">
        <f>IFERROR(H15/$B44,".")</f>
        <v>7.5766667757706679E-5</v>
      </c>
      <c r="I44" s="233">
        <f t="shared" si="10"/>
        <v>3.0246369999999998</v>
      </c>
      <c r="J44" s="233">
        <f t="shared" si="10"/>
        <v>3.2358662077709363E-4</v>
      </c>
      <c r="K44" s="233">
        <f t="shared" si="10"/>
        <v>0</v>
      </c>
      <c r="L44" s="233">
        <f t="shared" si="10"/>
        <v>13198.416000000001</v>
      </c>
      <c r="M44" s="233">
        <f t="shared" si="10"/>
        <v>13198.416000000001</v>
      </c>
      <c r="N44" s="63">
        <f>IFERROR(N15/$B44,".")</f>
        <v>3.7878993113217963E-5</v>
      </c>
      <c r="O44" s="189">
        <f>IFERROR(O15/$B44,0)</f>
        <v>1.1083393384927577E-13</v>
      </c>
      <c r="P44" s="49">
        <f>IF(D44=".",".",up_RadSpec!$E$15*P15*$B$44)</f>
        <v>75.615925000000004</v>
      </c>
      <c r="Q44" s="49">
        <f>IF(E44=".",".",up_RadSpec!$H$15*Q15*$B$44)</f>
        <v>8.0896655194273425E-3</v>
      </c>
      <c r="R44" s="49" t="str">
        <f>IF(F44=".",".",up_RadSpec!$G$15*R15*$B$44)</f>
        <v>.</v>
      </c>
      <c r="S44" s="49">
        <f>IF(G44=".",".",up_RadSpec!$F$15*S15*$B$44)</f>
        <v>329960.40000000002</v>
      </c>
      <c r="T44" s="49">
        <f>IF(H44=".",".",up_RadSpec!$F$15*T15*$B$44)</f>
        <v>329960.40000000002</v>
      </c>
      <c r="U44" s="49">
        <f t="shared" si="34"/>
        <v>659996.42401466565</v>
      </c>
      <c r="V44" s="60" t="str">
        <f>IFERROR(V15/$B44,".")</f>
        <v>.</v>
      </c>
      <c r="W44" s="60" t="str">
        <f>IFERROR(W15/$B44,".")</f>
        <v>.</v>
      </c>
      <c r="X44" s="60" t="str">
        <f>IFERROR(X15/$B44,".")</f>
        <v>.</v>
      </c>
      <c r="Y44" s="60" t="str">
        <f>IFERROR(Y15/$B44,".")</f>
        <v>.</v>
      </c>
      <c r="Z44" s="60" t="str">
        <f>IFERROR(Z15/$B44,".")</f>
        <v>.</v>
      </c>
      <c r="AA44" s="189">
        <f t="shared" ref="AA44:AE44" si="83">IFERROR(AA15/$B44,0)</f>
        <v>0</v>
      </c>
      <c r="AB44" s="189">
        <f t="shared" si="83"/>
        <v>0</v>
      </c>
      <c r="AC44" s="189">
        <f t="shared" si="83"/>
        <v>0</v>
      </c>
      <c r="AD44" s="189">
        <f t="shared" si="83"/>
        <v>0</v>
      </c>
      <c r="AE44" s="189">
        <f t="shared" si="83"/>
        <v>0</v>
      </c>
      <c r="AF44" s="49" t="str">
        <f>IF(V44=".",".",up_RadSpec!$G$15*AF15*$B$44)</f>
        <v>.</v>
      </c>
      <c r="AG44" s="49" t="str">
        <f>IF(W44=".",".",up_RadSpec!$N$15*AG15*$B$44)</f>
        <v>.</v>
      </c>
      <c r="AH44" s="49" t="str">
        <f>IF(X44=".",".",up_RadSpec!$O$15*AH15*$B$44)</f>
        <v>.</v>
      </c>
      <c r="AI44" s="49" t="str">
        <f>IF(Y44=".",".",up_RadSpec!$P$15*AI15*$B$44)</f>
        <v>.</v>
      </c>
      <c r="AJ44" s="49" t="str">
        <f>IF(Z44=".",".",up_RadSpec!$L$15*AJ15*$B$44)</f>
        <v>.</v>
      </c>
      <c r="AK44" s="60">
        <f>IFERROR(AK15/$B44,".")</f>
        <v>9.9752230007860692E-3</v>
      </c>
      <c r="AL44" s="60">
        <f>IFERROR(AL15/$B44,".")</f>
        <v>63.716736917521011</v>
      </c>
      <c r="AM44" s="60">
        <f>IFERROR(AM15/$B44,".")</f>
        <v>9.973661566489947E-3</v>
      </c>
      <c r="AN44" s="189">
        <f t="shared" ref="AN44" si="84">IFERROR(AN15/$B44,0)</f>
        <v>2.918293374354959E-14</v>
      </c>
      <c r="AO44" s="49">
        <f>IF(AK44=".",".",up_RadSpec!$H$15*AO15*$B$44)</f>
        <v>2506.2096354166661</v>
      </c>
      <c r="AP44" s="49">
        <f>IF(AL44=".",".",up_RadSpec!$K$15*AP15*$B$44)</f>
        <v>0.39236158675799088</v>
      </c>
      <c r="AQ44" s="49">
        <f t="shared" si="39"/>
        <v>2506.601997003424</v>
      </c>
      <c r="AR44" s="60">
        <f>IFERROR(AR15/$B44,".")</f>
        <v>2.2730000327312004E-3</v>
      </c>
      <c r="AS44" s="60">
        <f>IFERROR(AS15/$B44,".")</f>
        <v>39.822960573450636</v>
      </c>
      <c r="AT44" s="63">
        <f>IFERROR(AT15/$B44,".")</f>
        <v>1.8184000261849604</v>
      </c>
      <c r="AU44" s="63">
        <f>IFERROR(AU15/$B44,".")</f>
        <v>1.8184000261849604</v>
      </c>
      <c r="AV44" s="233">
        <f t="shared" si="41"/>
        <v>439.94720000000001</v>
      </c>
      <c r="AW44" s="233">
        <f t="shared" si="28"/>
        <v>2.5111141552511412E-2</v>
      </c>
      <c r="AX44" s="233">
        <f t="shared" si="28"/>
        <v>0.54993400000000003</v>
      </c>
      <c r="AY44" s="233">
        <f t="shared" si="28"/>
        <v>0.54993400000000003</v>
      </c>
      <c r="AZ44" s="63">
        <f>IFERROR(AZ15/$B44,".")</f>
        <v>2.267202619639884E-3</v>
      </c>
      <c r="BA44" s="189">
        <f t="shared" ref="BA44" si="85">IFERROR(BA15/$B44,0)</f>
        <v>6.6338348650663005E-15</v>
      </c>
      <c r="BB44" s="49">
        <f>IF(AR44=".",".",up_RadSpec!$I$15*BB15*$B$44)</f>
        <v>10998.68</v>
      </c>
      <c r="BC44" s="49">
        <f>IF(AS44=".",".",up_RadSpec!$M$15*BC15*$B$44)</f>
        <v>0.62777853881278534</v>
      </c>
      <c r="BD44" s="49">
        <f>IF(AT44=".",".",up_RadSpec!$F$15*BD15*$B$44)</f>
        <v>13.74835</v>
      </c>
      <c r="BE44" s="49">
        <f>IF(AU44=".",".",up_RadSpec!$F$15*BE15*$B$44)</f>
        <v>13.74835</v>
      </c>
      <c r="BF44" s="49">
        <f t="shared" si="44"/>
        <v>11026.804478538812</v>
      </c>
      <c r="BG44" s="63">
        <f>IFERROR(BG15/$B44,".")</f>
        <v>1.8184000261849603E-2</v>
      </c>
      <c r="BH44" s="63">
        <f>IFERROR(BH15/$B44,".")</f>
        <v>1.8184000261849603E-2</v>
      </c>
      <c r="BI44" s="189">
        <f t="shared" ref="BI44:BJ44" si="86">IFERROR(BI15/$B44,0)</f>
        <v>5.3206384766171948E-11</v>
      </c>
      <c r="BJ44" s="189">
        <f t="shared" si="86"/>
        <v>5.3206384766171948E-11</v>
      </c>
      <c r="BK44" s="49">
        <f>IF(BG44=".",".",up_RadSpec!$F$15*BK15*$B$44)</f>
        <v>1374.835</v>
      </c>
      <c r="BL44" s="49">
        <f>IF(BH44=".",".",up_RadSpec!$F$15*BL15*$B$44)</f>
        <v>1374.835</v>
      </c>
    </row>
    <row r="45" spans="1:64" x14ac:dyDescent="0.25">
      <c r="A45" s="57" t="s">
        <v>8</v>
      </c>
      <c r="B45" s="57" t="s">
        <v>1185</v>
      </c>
      <c r="C45" s="57"/>
      <c r="D45" s="58">
        <f>IFERROR(1/SUM(IFERROR(1/SUMIF(D46,"&lt;&gt;.",D46),0),IFERROR(1/SUMIF(D47,"&lt;&gt;.",D47),0)),".")</f>
        <v>0.17005154985195101</v>
      </c>
      <c r="E45" s="58">
        <f>IFERROR(1/SUM(IFERROR(1/SUMIF(E46,"&lt;&gt;.",E46),0),IFERROR(1/SUMIF(E47,"&lt;&gt;.",E47),0)),".")</f>
        <v>1589.5101236088108</v>
      </c>
      <c r="F45" s="58">
        <f>IFERROR(1/SUM(IFERROR(1/SUMIF(F46,"&lt;&gt;.",F46),0),IFERROR(1/SUMIF(F47,"&lt;&gt;.",F47),0)),".")</f>
        <v>236.19228255008179</v>
      </c>
      <c r="G45" s="61">
        <f>IFERROR(1/SUM(IFERROR(1/SUMIF(G46,"&lt;&gt;.",G46),0),IFERROR(1/SUMIF(G47,"&lt;&gt;.",G47),0)),".")</f>
        <v>3.8970146841072099E-5</v>
      </c>
      <c r="H45" s="61">
        <f>IFERROR(1/SUM(IFERROR(1/SUMIF(H46,"&lt;&gt;.",H46),0),IFERROR(1/SUMIF(H47,"&lt;&gt;.",H47),0)),".")</f>
        <v>3.8970146841072099E-5</v>
      </c>
      <c r="I45" s="233">
        <f t="shared" si="10"/>
        <v>5.8805697499999994</v>
      </c>
      <c r="J45" s="233">
        <f t="shared" si="10"/>
        <v>6.2912464988244821E-4</v>
      </c>
      <c r="K45" s="233">
        <f t="shared" si="10"/>
        <v>4.233838587795356E-3</v>
      </c>
      <c r="L45" s="233">
        <f t="shared" si="10"/>
        <v>25660.668000000001</v>
      </c>
      <c r="M45" s="233">
        <f t="shared" si="10"/>
        <v>25660.668000000001</v>
      </c>
      <c r="N45" s="58">
        <f>IFERROR(1/SUM(IFERROR(1/SUMIF(N46,"&lt;&gt;.",N46),0),IFERROR(1/SUMIF(N47,"&lt;&gt;.",N47),0)),".")</f>
        <v>1.9482839165781399E-5</v>
      </c>
      <c r="O45" s="190">
        <f>N45*(0.0000000000028)*up_RadSpec!$AY10*up_RadSpec!$AF10</f>
        <v>3.7368085519968723E-14</v>
      </c>
      <c r="P45" s="47">
        <f>IFERROR(SUM(P46:P47),".")</f>
        <v>147.01424374999999</v>
      </c>
      <c r="Q45" s="47">
        <f t="shared" ref="Q45:U45" si="87">IFERROR(SUM(Q46:Q47),".")</f>
        <v>1.5728116247061205E-2</v>
      </c>
      <c r="R45" s="47">
        <f t="shared" si="87"/>
        <v>0.10584596469488387</v>
      </c>
      <c r="S45" s="47">
        <f t="shared" si="87"/>
        <v>641516.69999999995</v>
      </c>
      <c r="T45" s="47">
        <f t="shared" si="87"/>
        <v>641516.69999999995</v>
      </c>
      <c r="U45" s="47">
        <f t="shared" si="87"/>
        <v>1283180.5358178308</v>
      </c>
      <c r="V45" s="59">
        <f>IFERROR(1/SUM(IFERROR(1/SUMIF(V46,"&lt;&gt;.",V46),0),IFERROR(1/SUMIF(V47,"&lt;&gt;.",V47),0)),".")</f>
        <v>236.19228255008179</v>
      </c>
      <c r="W45" s="59">
        <f>IFERROR(1/SUM(IFERROR(1/SUMIF(W46,"&lt;&gt;.",W46),0),IFERROR(1/SUMIF(W47,"&lt;&gt;.",W47),0)),".")</f>
        <v>403.04374552807866</v>
      </c>
      <c r="X45" s="59">
        <f>IFERROR(1/SUM(IFERROR(1/SUMIF(X46,"&lt;&gt;.",X46),0),IFERROR(1/SUMIF(X47,"&lt;&gt;.",X47),0)),".")</f>
        <v>286.37265186322225</v>
      </c>
      <c r="Y45" s="59">
        <f>IFERROR(1/SUM(IFERROR(1/SUMIF(Y46,"&lt;&gt;.",Y46),0),IFERROR(1/SUMIF(Y47,"&lt;&gt;.",Y47),0)),".")</f>
        <v>249.17090520755076</v>
      </c>
      <c r="Z45" s="59">
        <f>IFERROR(1/SUM(IFERROR(1/SUMIF(Z46,"&lt;&gt;.",Z46),0),IFERROR(1/SUMIF(Z47,"&lt;&gt;.",Z47),0)),".")</f>
        <v>677.29291215221679</v>
      </c>
      <c r="AA45" s="190">
        <f>V45*(0.0000000000028)*up_RadSpec!$AY10*up_RadSpec!$AF10</f>
        <v>4.5301679793105691E-7</v>
      </c>
      <c r="AB45" s="190">
        <f>W45*(0.0000000000028)*up_RadSpec!$AY10*up_RadSpec!$AF10</f>
        <v>7.73037903922855E-7</v>
      </c>
      <c r="AC45" s="190">
        <f>X45*(0.0000000000028)*up_RadSpec!$AY10*up_RadSpec!$AF10</f>
        <v>5.492627462736603E-7</v>
      </c>
      <c r="AD45" s="190">
        <f>Y45*(0.0000000000028)*up_RadSpec!$AY10*up_RadSpec!$AF10</f>
        <v>4.7790979618808247E-7</v>
      </c>
      <c r="AE45" s="190">
        <f>Z45*(0.0000000000000028)*up_RadSpec!$AY10*up_RadSpec!$AF10</f>
        <v>1.2990478055079518E-9</v>
      </c>
      <c r="AF45" s="47">
        <f t="shared" ref="AF45" si="88">IFERROR(SUM(AF46:AF47),".")</f>
        <v>0.10584596469488387</v>
      </c>
      <c r="AG45" s="47">
        <f t="shared" ref="AG45:AJ45" si="89">IFERROR(SUM(AG46:AG47),".")</f>
        <v>6.2028006332772473E-2</v>
      </c>
      <c r="AH45" s="47">
        <f t="shared" si="89"/>
        <v>8.7298838898696732E-2</v>
      </c>
      <c r="AI45" s="47">
        <f t="shared" si="89"/>
        <v>0.10033274141367293</v>
      </c>
      <c r="AJ45" s="47">
        <f t="shared" si="89"/>
        <v>3.6911651593338132E-2</v>
      </c>
      <c r="AK45" s="58">
        <f>IFERROR(1/SUM(IFERROR(1/SUMIF(AK46,"&lt;&gt;.",AK46),0),IFERROR(1/SUMIF(AK47,"&lt;&gt;.",AK47),0)),".")</f>
        <v>5.130698189818865E-3</v>
      </c>
      <c r="AL45" s="58">
        <f>IFERROR(1/SUM(IFERROR(1/SUMIF(AL46,"&lt;&gt;.",AL46),0),IFERROR(1/SUMIF(AL47,"&lt;&gt;.",AL47),0)),".")</f>
        <v>32.772334687467996</v>
      </c>
      <c r="AM45" s="59">
        <f>IFERROR(1/SUM(IFERROR(1/SUMIF(AM46,"&lt;&gt;.",AM46),0),IFERROR(1/SUMIF(AM47,"&lt;&gt;.",AM47),0)),".")</f>
        <v>5.1298950751299983E-3</v>
      </c>
      <c r="AN45" s="190">
        <f>AM45*(0.0000000000000028)*up_RadSpec!$AY10*up_RadSpec!$AF10</f>
        <v>9.8391387540993388E-15</v>
      </c>
      <c r="AO45" s="47">
        <f t="shared" ref="AO45" si="90">IFERROR(SUM(AO46:AO47),".")</f>
        <v>4872.6311848958321</v>
      </c>
      <c r="AP45" s="47">
        <f t="shared" ref="AP45:AQ45" si="91">IFERROR(SUM(AP46:AP47),".")</f>
        <v>0.76283854166666676</v>
      </c>
      <c r="AQ45" s="47">
        <f t="shared" si="91"/>
        <v>4873.3940234374986</v>
      </c>
      <c r="AR45" s="58">
        <f>IFERROR(1/SUM(IFERROR(1/SUMIF(AR46,"&lt;&gt;.",AR46),0),IFERROR(1/SUMIF(AR47,"&lt;&gt;.",AR47),0)),".")</f>
        <v>1.1691044052321632E-3</v>
      </c>
      <c r="AS45" s="58">
        <f>IFERROR(1/SUM(IFERROR(1/SUMIF(AS46,"&lt;&gt;.",AS46),0),IFERROR(1/SUMIF(AS47,"&lt;&gt;.",AS47),0)),".")</f>
        <v>20.482709179667498</v>
      </c>
      <c r="AT45" s="61">
        <f>IFERROR(1/SUM(IFERROR(1/SUMIF(AT46,"&lt;&gt;.",AT46),0),IFERROR(1/SUMIF(AT47,"&lt;&gt;.",AT47),0)),".")</f>
        <v>0.93528352418573046</v>
      </c>
      <c r="AU45" s="61">
        <f>IFERROR(1/SUM(IFERROR(1/SUMIF(AU46,"&lt;&gt;.",AU46),0),IFERROR(1/SUMIF(AU47,"&lt;&gt;.",AU47),0)),".")</f>
        <v>0.93528352418573046</v>
      </c>
      <c r="AV45" s="233">
        <f t="shared" si="41"/>
        <v>855.35559999999998</v>
      </c>
      <c r="AW45" s="233">
        <f t="shared" si="28"/>
        <v>4.8821666666666666E-2</v>
      </c>
      <c r="AX45" s="233">
        <f t="shared" si="28"/>
        <v>1.0691945</v>
      </c>
      <c r="AY45" s="233">
        <f t="shared" si="28"/>
        <v>1.0691945</v>
      </c>
      <c r="AZ45" s="62">
        <f>IFERROR(1/SUM(IFERROR(1/SUMIF(AZ46,"&lt;&gt;.",AZ46),0),IFERROR(1/SUMIF(AZ47,"&lt;&gt;.",AZ47),0)),".")</f>
        <v>1.1661225393780458E-3</v>
      </c>
      <c r="BA45" s="190">
        <f>AZ45*(0.0000000000000028)*up_RadSpec!$AY10*up_RadSpec!$AF10</f>
        <v>2.2366230305270919E-15</v>
      </c>
      <c r="BB45" s="47">
        <f t="shared" ref="BB45" si="92">IFERROR(SUM(BB46:BB47),".")</f>
        <v>21383.89</v>
      </c>
      <c r="BC45" s="47">
        <f t="shared" ref="BC45:BF45" si="93">IFERROR(SUM(BC46:BC47),".")</f>
        <v>1.2205416666666666</v>
      </c>
      <c r="BD45" s="47">
        <f t="shared" si="93"/>
        <v>26.729862499999999</v>
      </c>
      <c r="BE45" s="47">
        <f t="shared" si="93"/>
        <v>26.729862499999999</v>
      </c>
      <c r="BF45" s="47">
        <f t="shared" si="93"/>
        <v>21438.570266666669</v>
      </c>
      <c r="BG45" s="61">
        <f>IFERROR(1/SUM(IFERROR(1/SUMIF(BG46,"&lt;&gt;.",BG46),0),IFERROR(1/SUMIF(BG47,"&lt;&gt;.",BG47),0)),".")</f>
        <v>9.3528352418573053E-3</v>
      </c>
      <c r="BH45" s="61">
        <f>IFERROR(1/SUM(IFERROR(1/SUMIF(BH46,"&lt;&gt;.",BH46),0),IFERROR(1/SUMIF(BH47,"&lt;&gt;.",BH47),0)),".")</f>
        <v>9.3528352418573053E-3</v>
      </c>
      <c r="BI45" s="190">
        <f>BG45*(0.0000000000028)*up_RadSpec!$AY10*up_RadSpec!$AF10</f>
        <v>1.7938737993882314E-11</v>
      </c>
      <c r="BJ45" s="190">
        <f>BH45*(0.0000000000028)*up_RadSpec!$AY10*up_RadSpec!$AF10</f>
        <v>1.7938737993882314E-11</v>
      </c>
      <c r="BK45" s="47">
        <f t="shared" ref="BK45" si="94">IFERROR(SUM(BK46:BK47),".")</f>
        <v>2672.9862499999999</v>
      </c>
      <c r="BL45" s="47">
        <f t="shared" ref="BL45" si="95">IFERROR(SUM(BL46:BL47),".")</f>
        <v>2672.9862499999999</v>
      </c>
    </row>
    <row r="46" spans="1:64" x14ac:dyDescent="0.25">
      <c r="A46" s="48" t="s">
        <v>1084</v>
      </c>
      <c r="B46" s="15">
        <v>1</v>
      </c>
      <c r="C46" s="42"/>
      <c r="D46" s="60">
        <f>IFERROR(D10/$B46,".")</f>
        <v>0.33057851239669422</v>
      </c>
      <c r="E46" s="60">
        <f>IFERROR(E10/$B46,".")</f>
        <v>3089.9917851942919</v>
      </c>
      <c r="F46" s="60">
        <f>IFERROR(F10/$B46,".")</f>
        <v>497.53766233766237</v>
      </c>
      <c r="G46" s="63">
        <f>IFERROR(G10/$B46,".")</f>
        <v>7.5757575757575758E-5</v>
      </c>
      <c r="H46" s="63">
        <f>IFERROR(H10/$B46,".")</f>
        <v>7.5757575757575758E-5</v>
      </c>
      <c r="I46" s="233">
        <f t="shared" si="10"/>
        <v>3.0249999999999999</v>
      </c>
      <c r="J46" s="233">
        <f t="shared" si="10"/>
        <v>3.236254558317935E-4</v>
      </c>
      <c r="K46" s="233">
        <f t="shared" si="10"/>
        <v>2.0098980955562981E-3</v>
      </c>
      <c r="L46" s="233">
        <f t="shared" si="10"/>
        <v>13200</v>
      </c>
      <c r="M46" s="233">
        <f t="shared" si="10"/>
        <v>13200</v>
      </c>
      <c r="N46" s="63">
        <f>IFERROR(N10/$B46,".")</f>
        <v>3.7874444750898473E-5</v>
      </c>
      <c r="O46" s="189">
        <f>IFERROR(O10/$B46,0)</f>
        <v>7.2643185032223271E-14</v>
      </c>
      <c r="P46" s="49">
        <f>IF(D46=".",".",up_RadSpec!$E$10*P10*$B$46)</f>
        <v>75.625</v>
      </c>
      <c r="Q46" s="49">
        <f>IF(E46=".",".",up_RadSpec!$H$10*Q10*$B$46)</f>
        <v>8.0906363957948379E-3</v>
      </c>
      <c r="R46" s="49">
        <f>IF(F46=".",".",up_RadSpec!$G$10*R10*$B$46)</f>
        <v>5.0247452388907446E-2</v>
      </c>
      <c r="S46" s="49">
        <f>IF(G46=".",".",up_RadSpec!$F$10*S10*$B$46)</f>
        <v>330000</v>
      </c>
      <c r="T46" s="49">
        <f>IF(H46=".",".",up_RadSpec!$F$10*T10*$B$46)</f>
        <v>330000</v>
      </c>
      <c r="U46" s="49">
        <f t="shared" ref="U46:U47" si="96">IFERROR(SUM(P46:T46),".")</f>
        <v>660075.6833380888</v>
      </c>
      <c r="V46" s="60">
        <f>IFERROR(V10/$B46,".")</f>
        <v>497.53766233766237</v>
      </c>
      <c r="W46" s="60">
        <f>IFERROR(W10/$B46,".")</f>
        <v>775.29581529581503</v>
      </c>
      <c r="X46" s="60">
        <f>IFERROR(X10/$B46,".")</f>
        <v>553.66265416759938</v>
      </c>
      <c r="Y46" s="60">
        <f>IFERROR(Y10/$B46,".")</f>
        <v>506.38919313618106</v>
      </c>
      <c r="Z46" s="60">
        <f>IFERROR(Z10/$B46,".")</f>
        <v>1303.3370352742083</v>
      </c>
      <c r="AA46" s="189">
        <f t="shared" ref="AA46:AE46" si="97">IFERROR(AA10/$B46,0)</f>
        <v>9.5427723636363646E-7</v>
      </c>
      <c r="AB46" s="189">
        <f t="shared" si="97"/>
        <v>1.4870173737373732E-6</v>
      </c>
      <c r="AC46" s="189">
        <f t="shared" si="97"/>
        <v>1.0619249706934556E-6</v>
      </c>
      <c r="AD46" s="189">
        <f t="shared" si="97"/>
        <v>9.712544724351953E-7</v>
      </c>
      <c r="AE46" s="189">
        <f t="shared" si="97"/>
        <v>2.4998004336559317E-6</v>
      </c>
      <c r="AF46" s="49">
        <f>IF(V46=".",".",up_RadSpec!$G$10*AF10*$B$46)</f>
        <v>5.0247452388907446E-2</v>
      </c>
      <c r="AG46" s="49">
        <f>IF(W46=".",".",up_RadSpec!$N$10*AG10*$B$46)</f>
        <v>3.2245756402620618E-2</v>
      </c>
      <c r="AH46" s="49">
        <f>IF(X46=".",".",up_RadSpec!$O$10*AH10*$B$46)</f>
        <v>4.5153849210917238E-2</v>
      </c>
      <c r="AI46" s="49">
        <f>IF(Y46=".",".",up_RadSpec!$P$10*AI10*$B$46)</f>
        <v>4.9369142033165107E-2</v>
      </c>
      <c r="AJ46" s="49">
        <f>IF(Z46=".",".",up_RadSpec!$L$10*AJ10*$B$46)</f>
        <v>1.9181531195221709E-2</v>
      </c>
      <c r="AK46" s="60">
        <f>IFERROR(AK10/$B46,".")</f>
        <v>9.9740259740259754E-3</v>
      </c>
      <c r="AL46" s="60">
        <f>IFERROR(AL10/$B46,".")</f>
        <v>63.709090909090911</v>
      </c>
      <c r="AM46" s="60">
        <f>IFERROR(AM10/$B46,".")</f>
        <v>9.9724647271019675E-3</v>
      </c>
      <c r="AN46" s="189">
        <f t="shared" ref="AN46" si="98">IFERROR(AN10/$B46,0)</f>
        <v>1.9127187346581575E-14</v>
      </c>
      <c r="AO46" s="49">
        <f>IF(AK46=".",".",up_RadSpec!$H$10*AO10*$B$46)</f>
        <v>2506.5104166666661</v>
      </c>
      <c r="AP46" s="49">
        <f>IF(AL46=".",".",up_RadSpec!$K$10*AP10*$B$46)</f>
        <v>0.39240867579908678</v>
      </c>
      <c r="AQ46" s="49">
        <f t="shared" ref="AQ46:AQ47" si="99">IFERROR(SUM(AO46:AP46),".")</f>
        <v>2506.9028253424653</v>
      </c>
      <c r="AR46" s="60">
        <f>IFERROR(AR10/$B46,".")</f>
        <v>2.2727272727272726E-3</v>
      </c>
      <c r="AS46" s="60">
        <f>IFERROR(AS10/$B46,".")</f>
        <v>39.81818181818182</v>
      </c>
      <c r="AT46" s="63">
        <f>IFERROR(AT10/$B46,".")</f>
        <v>1.8181818181818181</v>
      </c>
      <c r="AU46" s="63">
        <f>IFERROR(AU10/$B46,".")</f>
        <v>1.8181818181818181</v>
      </c>
      <c r="AV46" s="233">
        <f t="shared" si="41"/>
        <v>440</v>
      </c>
      <c r="AW46" s="233">
        <f t="shared" si="28"/>
        <v>2.5114155251141551E-2</v>
      </c>
      <c r="AX46" s="233">
        <f t="shared" si="28"/>
        <v>0.55000000000000004</v>
      </c>
      <c r="AY46" s="233">
        <f t="shared" si="28"/>
        <v>0.55000000000000004</v>
      </c>
      <c r="AZ46" s="63">
        <f>IFERROR(AZ10/$B46,".")</f>
        <v>2.2669305553255272E-3</v>
      </c>
      <c r="BA46" s="189">
        <f t="shared" ref="BA46" si="100">IFERROR(BA10/$B46,0)</f>
        <v>4.347972805114361E-15</v>
      </c>
      <c r="BB46" s="49">
        <f>IF(AR46=".",".",up_RadSpec!$I$10*BB10*$B$46)</f>
        <v>11000</v>
      </c>
      <c r="BC46" s="49">
        <f>IF(AS46=".",".",up_RadSpec!$M$10*BC10*$B$46)</f>
        <v>0.62785388127853881</v>
      </c>
      <c r="BD46" s="49">
        <f>IF(AT46=".",".",up_RadSpec!$F$10*BD10*$B$46)</f>
        <v>13.75</v>
      </c>
      <c r="BE46" s="49">
        <f>IF(AU46=".",".",up_RadSpec!$F$10*BE10*$B$46)</f>
        <v>13.75</v>
      </c>
      <c r="BF46" s="49">
        <f t="shared" si="44"/>
        <v>11028.127853881278</v>
      </c>
      <c r="BG46" s="63">
        <f>IFERROR(BG10/$B46,".")</f>
        <v>1.8181818181818181E-2</v>
      </c>
      <c r="BH46" s="63">
        <f>IFERROR(BH10/$B46,".")</f>
        <v>1.8181818181818181E-2</v>
      </c>
      <c r="BI46" s="189">
        <f t="shared" ref="BI46:BJ46" si="101">IFERROR(BI10/$B46,0)</f>
        <v>3.4872727272727273E-11</v>
      </c>
      <c r="BJ46" s="189">
        <f t="shared" si="101"/>
        <v>3.4872727272727273E-11</v>
      </c>
      <c r="BK46" s="49">
        <f>IF(BG46=".",".",up_RadSpec!$F$10*BK10*$B$46)</f>
        <v>1375</v>
      </c>
      <c r="BL46" s="49">
        <f>IF(BH46=".",".",up_RadSpec!$F$10*BL10*$B$46)</f>
        <v>1375</v>
      </c>
    </row>
    <row r="47" spans="1:64" x14ac:dyDescent="0.25">
      <c r="A47" s="48" t="s">
        <v>1058</v>
      </c>
      <c r="B47" s="51">
        <v>0.94399</v>
      </c>
      <c r="C47" s="79"/>
      <c r="D47" s="60">
        <f>IFERROR(D6/$B$47,".")</f>
        <v>0.35019281178475853</v>
      </c>
      <c r="E47" s="60">
        <f>IFERROR(E6/$B$47,".")</f>
        <v>3273.331057738209</v>
      </c>
      <c r="F47" s="60">
        <f>IFERROR(F6/$B$47,".")</f>
        <v>449.65231915589732</v>
      </c>
      <c r="G47" s="63">
        <f>IFERROR(G6/$B$47,".")</f>
        <v>8.0252519367340493E-5</v>
      </c>
      <c r="H47" s="63">
        <f>IFERROR(H6/$B$47,".")</f>
        <v>8.0252519367340493E-5</v>
      </c>
      <c r="I47" s="233">
        <f t="shared" si="10"/>
        <v>2.8555697499999999</v>
      </c>
      <c r="J47" s="233">
        <f t="shared" si="10"/>
        <v>3.0549919405065471E-4</v>
      </c>
      <c r="K47" s="233">
        <f t="shared" si="10"/>
        <v>2.2239404922390574E-3</v>
      </c>
      <c r="L47" s="233">
        <f t="shared" si="10"/>
        <v>12460.668000000001</v>
      </c>
      <c r="M47" s="233">
        <f t="shared" si="10"/>
        <v>12460.668000000001</v>
      </c>
      <c r="N47" s="63">
        <f>IFERROR(N6/$B$47,".")</f>
        <v>4.0121658338092914E-5</v>
      </c>
      <c r="O47" s="189">
        <f>IFERROR(O6/$B$47,0)</f>
        <v>7.6953340692462211E-14</v>
      </c>
      <c r="P47" s="49">
        <f>IF(D47=".",".",up_RadSpec!$E$6*P6*$B$47)</f>
        <v>71.389243750000006</v>
      </c>
      <c r="Q47" s="49">
        <f>IF(E47=".",".",up_RadSpec!$H$6*Q6*$B$47)</f>
        <v>7.637479851266369E-3</v>
      </c>
      <c r="R47" s="49">
        <f>IF(F47=".",".",up_RadSpec!$G$6*R6*$B$47)</f>
        <v>5.5598512305976427E-2</v>
      </c>
      <c r="S47" s="49">
        <f>IF(G47=".",".",up_RadSpec!$F$6*S6*$B$47)</f>
        <v>311516.7</v>
      </c>
      <c r="T47" s="49">
        <f>IF(H47=".",".",up_RadSpec!$F$6*T6*$B$47)</f>
        <v>311516.7</v>
      </c>
      <c r="U47" s="49">
        <f t="shared" si="96"/>
        <v>623104.85247974214</v>
      </c>
      <c r="V47" s="60">
        <f>IFERROR(V6/$B$47,".")</f>
        <v>449.65231915589732</v>
      </c>
      <c r="W47" s="60">
        <f>IFERROR(W6/$B$47,".")</f>
        <v>839.4261702400712</v>
      </c>
      <c r="X47" s="60">
        <f>IFERROR(X6/$B$47,".")</f>
        <v>593.19032191504107</v>
      </c>
      <c r="Y47" s="60">
        <f>IFERROR(Y6/$B$47,".")</f>
        <v>490.54619971684752</v>
      </c>
      <c r="Z47" s="60">
        <f>IFERROR(Z6/$B$47,".")</f>
        <v>1410.029906094484</v>
      </c>
      <c r="AA47" s="189">
        <f t="shared" ref="AA47:AE47" si="102">IFERROR(AA6/$B$47,0)</f>
        <v>8.6243314814101114E-7</v>
      </c>
      <c r="AB47" s="189">
        <f t="shared" si="102"/>
        <v>1.6100193945204567E-6</v>
      </c>
      <c r="AC47" s="189">
        <f t="shared" si="102"/>
        <v>1.137739037433049E-6</v>
      </c>
      <c r="AD47" s="189">
        <f t="shared" si="102"/>
        <v>9.4086761105691352E-7</v>
      </c>
      <c r="AE47" s="189">
        <f t="shared" si="102"/>
        <v>2.7044373598892207E-6</v>
      </c>
      <c r="AF47" s="49">
        <f>IF(V47=".",".",up_RadSpec!$G$6*AF6*$B$47)</f>
        <v>5.5598512305976427E-2</v>
      </c>
      <c r="AG47" s="49">
        <f>IF(W47=".",".",up_RadSpec!$N$6*AG6*$B$47)</f>
        <v>2.9782249930151855E-2</v>
      </c>
      <c r="AH47" s="49">
        <f>IF(X47=".",".",up_RadSpec!$O$6*AH6*$B$47)</f>
        <v>4.2144989687779494E-2</v>
      </c>
      <c r="AI47" s="49">
        <f>IF(Y47=".",".",up_RadSpec!$P$6*AI6*$B$47)</f>
        <v>5.0963599380507825E-2</v>
      </c>
      <c r="AJ47" s="49">
        <f>IF(Z47=".",".",up_RadSpec!$L$6*AJ6*$B$47)</f>
        <v>1.7730120398116427E-2</v>
      </c>
      <c r="AK47" s="60">
        <f>IFERROR(AK6/$B$47,".")</f>
        <v>1.0565817406991574E-2</v>
      </c>
      <c r="AL47" s="60">
        <f>IFERROR(AL6/$B$47,".")</f>
        <v>67.489158687158664</v>
      </c>
      <c r="AM47" s="60">
        <f>IFERROR(AM6/$B$47,".")</f>
        <v>1.0564163526204692E-2</v>
      </c>
      <c r="AN47" s="189">
        <f t="shared" ref="AN47" si="103">IFERROR(AN6/$B$47,0)</f>
        <v>2.0262065643260603E-14</v>
      </c>
      <c r="AO47" s="49">
        <f>IF(AK47=".",".",up_RadSpec!$H$6*AO6*$B$47)</f>
        <v>2366.1207682291661</v>
      </c>
      <c r="AP47" s="49">
        <f>IF(AL47=".",".",up_RadSpec!$K$6*AP6*$B$47)</f>
        <v>0.37042986586757992</v>
      </c>
      <c r="AQ47" s="49">
        <f t="shared" si="99"/>
        <v>2366.4911980950337</v>
      </c>
      <c r="AR47" s="60">
        <f>IFERROR(AR6/$B$47,".")</f>
        <v>2.4075755810202149E-3</v>
      </c>
      <c r="AS47" s="60">
        <f>IFERROR(AS6/$B$47,".")</f>
        <v>42.180724179474169</v>
      </c>
      <c r="AT47" s="63">
        <f>IFERROR(AT6/$B$47,".")</f>
        <v>1.9260604648161719</v>
      </c>
      <c r="AU47" s="63">
        <f>IFERROR(AU6/$B$47,".")</f>
        <v>1.9260604648161719</v>
      </c>
      <c r="AV47" s="233">
        <f t="shared" si="41"/>
        <v>415.35559999999998</v>
      </c>
      <c r="AW47" s="233">
        <f t="shared" si="28"/>
        <v>2.3707511415525111E-2</v>
      </c>
      <c r="AX47" s="233">
        <f t="shared" si="28"/>
        <v>0.5191945</v>
      </c>
      <c r="AY47" s="233">
        <f t="shared" si="28"/>
        <v>0.5191945</v>
      </c>
      <c r="AZ47" s="63">
        <f>IFERROR(AZ6/$B$47,".")</f>
        <v>2.4014349255029473E-3</v>
      </c>
      <c r="BA47" s="189">
        <f t="shared" ref="BA47" si="104">IFERROR(BA6/$B$47,0)</f>
        <v>4.6059521871146523E-15</v>
      </c>
      <c r="BB47" s="49">
        <f>IF(AR47=".",".",up_RadSpec!$I$6*BB6*$B$47)</f>
        <v>10383.89</v>
      </c>
      <c r="BC47" s="49">
        <f>IF(AS47=".",".",up_RadSpec!$M$6*BC6*$B$47)</f>
        <v>0.59268778538812783</v>
      </c>
      <c r="BD47" s="49">
        <f>IF(AT47=".",".",up_RadSpec!$F$6*BD6*$B$47)</f>
        <v>12.979862499999999</v>
      </c>
      <c r="BE47" s="49">
        <f>IF(AU47=".",".",up_RadSpec!$F$6*BE6*$B$47)</f>
        <v>12.979862499999999</v>
      </c>
      <c r="BF47" s="49">
        <f t="shared" si="44"/>
        <v>10410.442412785389</v>
      </c>
      <c r="BG47" s="63">
        <f>IFERROR(BG6/$B$47,".")</f>
        <v>1.9260604648161719E-2</v>
      </c>
      <c r="BH47" s="63">
        <f>IFERROR(BH6/$B$47,".")</f>
        <v>1.9260604648161719E-2</v>
      </c>
      <c r="BI47" s="189">
        <f t="shared" ref="BI47:BJ47" si="105">IFERROR(BI6/$B$47,0)</f>
        <v>3.6941839715174179E-11</v>
      </c>
      <c r="BJ47" s="189">
        <f t="shared" si="105"/>
        <v>3.6941839715174179E-11</v>
      </c>
      <c r="BK47" s="49">
        <f>IF(BG47=".",".",up_RadSpec!$F$6*BK6*$B$47)</f>
        <v>1297.9862499999999</v>
      </c>
      <c r="BL47" s="49">
        <f>IF(BH47=".",".",up_RadSpec!$F$6*BL6*$B$47)</f>
        <v>1297.9862499999999</v>
      </c>
    </row>
    <row r="48" spans="1:64" x14ac:dyDescent="0.25">
      <c r="A48" s="57" t="s">
        <v>21</v>
      </c>
      <c r="B48" s="57" t="s">
        <v>1185</v>
      </c>
      <c r="C48" s="239"/>
      <c r="D48" s="58">
        <f>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3.6730940279564153E-2</v>
      </c>
      <c r="E48" s="58">
        <f>IFERROR(1/SUM(IFERROR(1/SUMIF(E49,"&lt;&gt;.",E49),0),IFERROR(1/SUMIF(E50,"&lt;&gt;.",E50),0),IFERROR(1/SUMIF(E51,"&lt;&gt;.",E51),0),IFERROR(1/SUMIF(E52,"&lt;&gt;.",E52),0),IFERROR(1/SUMIF(E53,"&lt;&gt;.",E53),0),IFERROR(1/SUMIF(E54,"&lt;&gt;.",E54),0),IFERROR(1/SUMIF(E55,"&lt;&gt;.",E55),0),IFERROR(1/SUMIF(E56,"&lt;&gt;.",E56),0),IFERROR(1/SUMIF(E57,"&lt;&gt;.",E57),0),IFERROR(1/SUMIF(E58,"&lt;&gt;.",E58),0),IFERROR(1/SUMIF(E59,"&lt;&gt;.",E59),0),IFERROR(1/SUMIF(E60,"&lt;&gt;.",E60),0),IFERROR(1/SUMIF(E61,"&lt;&gt;.",E61),0),IFERROR(1/SUMIF(E62,"&lt;&gt;.",E62),0)),".")</f>
        <v>343.33236877210391</v>
      </c>
      <c r="F48" s="58">
        <f>IFERROR(1/SUM(IFERROR(1/SUMIF(F49,"&lt;&gt;.",F49),0),IFERROR(1/SUMIF(F50,"&lt;&gt;.",F50),0),IFERROR(1/SUMIF(F51,"&lt;&gt;.",F51),0),IFERROR(1/SUMIF(F52,"&lt;&gt;.",F52),0),IFERROR(1/SUMIF(F53,"&lt;&gt;.",F53),0),IFERROR(1/SUMIF(F54,"&lt;&gt;.",F54),0),IFERROR(1/SUMIF(F55,"&lt;&gt;.",F55),0),IFERROR(1/SUMIF(F56,"&lt;&gt;.",F56),0),IFERROR(1/SUMIF(F57,"&lt;&gt;.",F57),0),IFERROR(1/SUMIF(F58,"&lt;&gt;.",F58),0),IFERROR(1/SUMIF(F59,"&lt;&gt;.",F59),0),IFERROR(1/SUMIF(F60,"&lt;&gt;.",F60),0),IFERROR(1/SUMIF(F61,"&lt;&gt;.",F61),0),IFERROR(1/SUMIF(F62,"&lt;&gt;.",F62),0)),".")</f>
        <v>59.730603257587582</v>
      </c>
      <c r="G48" s="61">
        <f>IFERROR(1/SUM(IFERROR(1/SUMIF(G49,"&lt;&gt;.",G49),0),IFERROR(1/SUMIF(G50,"&lt;&gt;.",G50),0),IFERROR(1/SUMIF(G51,"&lt;&gt;.",G51),0),IFERROR(1/SUMIF(G52,"&lt;&gt;.",G52),0),IFERROR(1/SUMIF(G53,"&lt;&gt;.",G53),0),IFERROR(1/SUMIF(G54,"&lt;&gt;.",G54),0),IFERROR(1/SUMIF(G55,"&lt;&gt;.",G55),0),IFERROR(1/SUMIF(G56,"&lt;&gt;.",G56),0),IFERROR(1/SUMIF(G57,"&lt;&gt;.",G57),0),IFERROR(1/SUMIF(G58,"&lt;&gt;.",G58),0),IFERROR(1/SUMIF(G59,"&lt;&gt;.",G59),0),IFERROR(1/SUMIF(G60,"&lt;&gt;.",G60),0),IFERROR(1/SUMIF(G61,"&lt;&gt;.",G61),0),IFERROR(1/SUMIF(G62,"&lt;&gt;.",G62),0)),".")</f>
        <v>8.4175071474001173E-6</v>
      </c>
      <c r="H48" s="61">
        <f>IFERROR(1/SUM(IFERROR(1/SUMIF(H49,"&lt;&gt;.",H49),0),IFERROR(1/SUMIF(H50,"&lt;&gt;.",H50),0),IFERROR(1/SUMIF(H51,"&lt;&gt;.",H51),0),IFERROR(1/SUMIF(H52,"&lt;&gt;.",H52),0),IFERROR(1/SUMIF(H53,"&lt;&gt;.",H53),0),IFERROR(1/SUMIF(H54,"&lt;&gt;.",H54),0),IFERROR(1/SUMIF(H55,"&lt;&gt;.",H55),0),IFERROR(1/SUMIF(H56,"&lt;&gt;.",H56),0),IFERROR(1/SUMIF(H57,"&lt;&gt;.",H57),0),IFERROR(1/SUMIF(H58,"&lt;&gt;.",H58),0),IFERROR(1/SUMIF(H59,"&lt;&gt;.",H59),0),IFERROR(1/SUMIF(H60,"&lt;&gt;.",H60),0),IFERROR(1/SUMIF(H61,"&lt;&gt;.",H61),0),IFERROR(1/SUMIF(H62,"&lt;&gt;.",H62),0)),".")</f>
        <v>8.4175071474001173E-6</v>
      </c>
      <c r="I48" s="233">
        <f t="shared" si="10"/>
        <v>27.225004107949996</v>
      </c>
      <c r="J48" s="233">
        <f t="shared" si="10"/>
        <v>2.9126295419695104E-3</v>
      </c>
      <c r="K48" s="233">
        <f t="shared" si="10"/>
        <v>1.6741836604052211E-2</v>
      </c>
      <c r="L48" s="233">
        <f t="shared" si="10"/>
        <v>118800.0179256</v>
      </c>
      <c r="M48" s="233">
        <f t="shared" si="10"/>
        <v>118800.0179256</v>
      </c>
      <c r="N48" s="58">
        <f>IFERROR(1/SUM(IFERROR(1/SUMIF(N49,"&lt;&gt;.",N49),0),IFERROR(1/SUMIF(N50,"&lt;&gt;.",N50),0),IFERROR(1/SUMIF(N51,"&lt;&gt;.",N51),0),IFERROR(1/SUMIF(N52,"&lt;&gt;.",N52),0),IFERROR(1/SUMIF(N53,"&lt;&gt;.",N53),0),IFERROR(1/SUMIF(N54,"&lt;&gt;.",N54),0),IFERROR(1/SUMIF(N55,"&lt;&gt;.",N55),0),IFERROR(1/SUMIF(N56,"&lt;&gt;.",N56),0),IFERROR(1/SUMIF(N57,"&lt;&gt;.",N57),0),IFERROR(1/SUMIF(N58,"&lt;&gt;.",N58),0),IFERROR(1/SUMIF(N59,"&lt;&gt;.",N59),0),IFERROR(1/SUMIF(N60,"&lt;&gt;.",N60),0),IFERROR(1/SUMIF(N61,"&lt;&gt;.",N61),0),IFERROR(1/SUMIF(N62,"&lt;&gt;.",N62),0)),".")</f>
        <v>4.2082710278665503E-6</v>
      </c>
      <c r="O48" s="190">
        <f>N48*(0.0000000000028)*up_RadSpec!$AY23*up_RadSpec!$AF23</f>
        <v>1.3314969532169765E-14</v>
      </c>
      <c r="P48" s="47">
        <f>IFERROR(SUM(P49:P62),".")</f>
        <v>680.62510269874997</v>
      </c>
      <c r="Q48" s="47">
        <f t="shared" ref="Q48:U48" si="106">IFERROR(SUM(Q49:Q62),".")</f>
        <v>7.2815738549237771E-2</v>
      </c>
      <c r="R48" s="47">
        <f t="shared" si="106"/>
        <v>0.41854591510130534</v>
      </c>
      <c r="S48" s="47">
        <f t="shared" si="106"/>
        <v>2970000.44814</v>
      </c>
      <c r="T48" s="47">
        <f t="shared" si="106"/>
        <v>2970000.44814</v>
      </c>
      <c r="U48" s="47">
        <f t="shared" si="106"/>
        <v>5940682.0127443513</v>
      </c>
      <c r="V48" s="59">
        <f>IFERROR(1/SUM(IFERROR(1/SUMIF(V49,"&lt;&gt;.",V49),0),IFERROR(1/SUMIF(V50,"&lt;&gt;.",V50),0),IFERROR(1/SUMIF(V51,"&lt;&gt;.",V51),0),IFERROR(1/SUMIF(V52,"&lt;&gt;.",V52),0),IFERROR(1/SUMIF(V53,"&lt;&gt;.",V53),0),IFERROR(1/SUMIF(V54,"&lt;&gt;.",V54),0),IFERROR(1/SUMIF(V55,"&lt;&gt;.",V55),0),IFERROR(1/SUMIF(V56,"&lt;&gt;.",V56),0),IFERROR(1/SUMIF(V57,"&lt;&gt;.",V57),0),IFERROR(1/SUMIF(V58,"&lt;&gt;.",V58),0),IFERROR(1/SUMIF(V59,"&lt;&gt;.",V59),0),IFERROR(1/SUMIF(V60,"&lt;&gt;.",V60),0),IFERROR(1/SUMIF(V61,"&lt;&gt;.",V61),0),IFERROR(1/SUMIF(V62,"&lt;&gt;.",V62),0)),".")</f>
        <v>59.730603257587582</v>
      </c>
      <c r="W48" s="59">
        <f>IFERROR(1/SUM(IFERROR(1/SUMIF(W49,"&lt;&gt;.",W49),0),IFERROR(1/SUMIF(W50,"&lt;&gt;.",W50),0),IFERROR(1/SUMIF(W51,"&lt;&gt;.",W51),0),IFERROR(1/SUMIF(W52,"&lt;&gt;.",W52),0),IFERROR(1/SUMIF(W53,"&lt;&gt;.",W53),0),IFERROR(1/SUMIF(W54,"&lt;&gt;.",W54),0),IFERROR(1/SUMIF(W55,"&lt;&gt;.",W55),0),IFERROR(1/SUMIF(W56,"&lt;&gt;.",W56),0),IFERROR(1/SUMIF(W57,"&lt;&gt;.",W57),0),IFERROR(1/SUMIF(W58,"&lt;&gt;.",W58),0),IFERROR(1/SUMIF(W59,"&lt;&gt;.",W59),0),IFERROR(1/SUMIF(W60,"&lt;&gt;.",W60),0),IFERROR(1/SUMIF(W61,"&lt;&gt;.",W61),0),IFERROR(1/SUMIF(W62,"&lt;&gt;.",W62),0)),".")</f>
        <v>112.43919358138261</v>
      </c>
      <c r="X48" s="59">
        <f>IFERROR(1/SUM(IFERROR(1/SUMIF(X49,"&lt;&gt;.",X49),0),IFERROR(1/SUMIF(X50,"&lt;&gt;.",X50),0),IFERROR(1/SUMIF(X51,"&lt;&gt;.",X51),0),IFERROR(1/SUMIF(X52,"&lt;&gt;.",X52),0),IFERROR(1/SUMIF(X53,"&lt;&gt;.",X53),0),IFERROR(1/SUMIF(X54,"&lt;&gt;.",X54),0),IFERROR(1/SUMIF(X55,"&lt;&gt;.",X55),0),IFERROR(1/SUMIF(X56,"&lt;&gt;.",X56),0),IFERROR(1/SUMIF(X57,"&lt;&gt;.",X57),0),IFERROR(1/SUMIF(X58,"&lt;&gt;.",X58),0),IFERROR(1/SUMIF(X59,"&lt;&gt;.",X59),0),IFERROR(1/SUMIF(X60,"&lt;&gt;.",X60),0),IFERROR(1/SUMIF(X61,"&lt;&gt;.",X61),0),IFERROR(1/SUMIF(X62,"&lt;&gt;.",X62),0)),".")</f>
        <v>79.968513615528238</v>
      </c>
      <c r="Y48" s="59">
        <f>IFERROR(1/SUM(IFERROR(1/SUMIF(Y49,"&lt;&gt;.",Y49),0),IFERROR(1/SUMIF(Y50,"&lt;&gt;.",Y50),0),IFERROR(1/SUMIF(Y51,"&lt;&gt;.",Y51),0),IFERROR(1/SUMIF(Y52,"&lt;&gt;.",Y52),0),IFERROR(1/SUMIF(Y53,"&lt;&gt;.",Y53),0),IFERROR(1/SUMIF(Y54,"&lt;&gt;.",Y54),0),IFERROR(1/SUMIF(Y55,"&lt;&gt;.",Y55),0),IFERROR(1/SUMIF(Y56,"&lt;&gt;.",Y56),0),IFERROR(1/SUMIF(Y57,"&lt;&gt;.",Y57),0),IFERROR(1/SUMIF(Y58,"&lt;&gt;.",Y58),0),IFERROR(1/SUMIF(Y59,"&lt;&gt;.",Y59),0),IFERROR(1/SUMIF(Y60,"&lt;&gt;.",Y60),0),IFERROR(1/SUMIF(Y61,"&lt;&gt;.",Y61),0),IFERROR(1/SUMIF(Y62,"&lt;&gt;.",Y62),0)),".")</f>
        <v>67.669381505905321</v>
      </c>
      <c r="Z48" s="59">
        <f>IFERROR(1/SUM(IFERROR(1/SUMIF(Z49,"&lt;&gt;.",Z49),0),IFERROR(1/SUMIF(Z50,"&lt;&gt;.",Z50),0),IFERROR(1/SUMIF(Z51,"&lt;&gt;.",Z51),0),IFERROR(1/SUMIF(Z52,"&lt;&gt;.",Z52),0),IFERROR(1/SUMIF(Z53,"&lt;&gt;.",Z53),0),IFERROR(1/SUMIF(Z54,"&lt;&gt;.",Z54),0),IFERROR(1/SUMIF(Z55,"&lt;&gt;.",Z55),0),IFERROR(1/SUMIF(Z56,"&lt;&gt;.",Z56),0),IFERROR(1/SUMIF(Z57,"&lt;&gt;.",Z57),0),IFERROR(1/SUMIF(Z58,"&lt;&gt;.",Z58),0),IFERROR(1/SUMIF(Z59,"&lt;&gt;.",Z59),0),IFERROR(1/SUMIF(Z60,"&lt;&gt;.",Z60),0),IFERROR(1/SUMIF(Z61,"&lt;&gt;.",Z61),0),IFERROR(1/SUMIF(Z62,"&lt;&gt;.",Z62),0)),".")</f>
        <v>193.39257525101664</v>
      </c>
      <c r="AA48" s="190">
        <f>V48*(0.0000000000028)*up_RadSpec!$AY23*up_RadSpec!$AF23</f>
        <v>1.8898762870700712E-7</v>
      </c>
      <c r="AB48" s="190">
        <f>W48*(0.0000000000028)*up_RadSpec!$AY23*up_RadSpec!$AF23</f>
        <v>3.5575760849149458E-7</v>
      </c>
      <c r="AC48" s="190">
        <f>X48*(0.0000000000028)*up_RadSpec!$AY23*up_RadSpec!$AF23</f>
        <v>2.5302037707953138E-7</v>
      </c>
      <c r="AD48" s="190">
        <f>Y48*(0.0000000000028)*up_RadSpec!$AY23*up_RadSpec!$AF23</f>
        <v>2.1410592308468446E-7</v>
      </c>
      <c r="AE48" s="190">
        <f>Z48*(0.0000000000000028)*up_RadSpec!$AY23*up_RadSpec!$AF23</f>
        <v>6.1189410809421676E-10</v>
      </c>
      <c r="AF48" s="47">
        <f t="shared" ref="AF48" si="107">IFERROR(SUM(AF49:AF62),".")</f>
        <v>0.41854591510130534</v>
      </c>
      <c r="AG48" s="47">
        <f t="shared" ref="AG48:AJ48" si="108">IFERROR(SUM(AG49:AG62),".")</f>
        <v>0.22234239862192898</v>
      </c>
      <c r="AH48" s="47">
        <f t="shared" si="108"/>
        <v>0.31262304211623504</v>
      </c>
      <c r="AI48" s="47">
        <f t="shared" si="108"/>
        <v>0.3694433057263618</v>
      </c>
      <c r="AJ48" s="47">
        <f t="shared" si="108"/>
        <v>0.12927073320964311</v>
      </c>
      <c r="AK48" s="58">
        <f>IFERROR(1/SUM(IFERROR(1/SUMIF(AK49,"&lt;&gt;.",AK49),0),IFERROR(1/SUMIF(AK50,"&lt;&gt;.",AK50),0),IFERROR(1/SUMIF(AK51,"&lt;&gt;.",AK51),0),IFERROR(1/SUMIF(AK52,"&lt;&gt;.",AK52),0),IFERROR(1/SUMIF(AK53,"&lt;&gt;.",AK53),0),IFERROR(1/SUMIF(AK54,"&lt;&gt;.",AK54),0),IFERROR(1/SUMIF(AK55,"&lt;&gt;.",AK55),0),IFERROR(1/SUMIF(AK56,"&lt;&gt;.",AK56),0),IFERROR(1/SUMIF(AK57,"&lt;&gt;.",AK57),0),IFERROR(1/SUMIF(AK58,"&lt;&gt;.",AK58),0),IFERROR(1/SUMIF(AK59,"&lt;&gt;.",AK59),0),IFERROR(1/SUMIF(AK60,"&lt;&gt;.",AK60),0),IFERROR(1/SUMIF(AK61,"&lt;&gt;.",AK61),0),IFERROR(1/SUMIF(AK62,"&lt;&gt;.",AK62),0)),".")</f>
        <v>1.1082249410062784E-3</v>
      </c>
      <c r="AL48" s="58">
        <f>IFERROR(1/SUM(IFERROR(1/SUMIF(AL49,"&lt;&gt;.",AL49),0),IFERROR(1/SUMIF(AL50,"&lt;&gt;.",AL50),0),IFERROR(1/SUMIF(AL51,"&lt;&gt;.",AL51),0),IFERROR(1/SUMIF(AL52,"&lt;&gt;.",AL52),0),IFERROR(1/SUMIF(AL53,"&lt;&gt;.",AL53),0),IFERROR(1/SUMIF(AL54,"&lt;&gt;.",AL54),0),IFERROR(1/SUMIF(AL55,"&lt;&gt;.",AL55),0),IFERROR(1/SUMIF(AL56,"&lt;&gt;.",AL56),0),IFERROR(1/SUMIF(AL57,"&lt;&gt;.",AL57),0),IFERROR(1/SUMIF(AL58,"&lt;&gt;.",AL58),0),IFERROR(1/SUMIF(AL59,"&lt;&gt;.",AL59),0),IFERROR(1/SUMIF(AL60,"&lt;&gt;.",AL60),0),IFERROR(1/SUMIF(AL61,"&lt;&gt;.",AL61),0),IFERROR(1/SUMIF(AL62,"&lt;&gt;.",AL62),0)),".")</f>
        <v>7.0787868106776024</v>
      </c>
      <c r="AM48" s="59">
        <f>IFERROR(1/SUM(IFERROR(1/SUMIF(AM49,"&lt;&gt;.",AM49),0),IFERROR(1/SUMIF(AM50,"&lt;&gt;.",AM50),0),IFERROR(1/SUMIF(AM51,"&lt;&gt;.",AM51),0),IFERROR(1/SUMIF(AM52,"&lt;&gt;.",AM52),0),IFERROR(1/SUMIF(AM53,"&lt;&gt;.",AM53),0),IFERROR(1/SUMIF(AM54,"&lt;&gt;.",AM54),0),IFERROR(1/SUMIF(AM55,"&lt;&gt;.",AM55),0),IFERROR(1/SUMIF(AM56,"&lt;&gt;.",AM56),0),IFERROR(1/SUMIF(AM57,"&lt;&gt;.",AM57),0),IFERROR(1/SUMIF(AM58,"&lt;&gt;.",AM58),0),IFERROR(1/SUMIF(AM59,"&lt;&gt;.",AM59),0),IFERROR(1/SUMIF(AM60,"&lt;&gt;.",AM60),0),IFERROR(1/SUMIF(AM61,"&lt;&gt;.",AM61),0),IFERROR(1/SUMIF(AM62,"&lt;&gt;.",AM62),0)),".")</f>
        <v>1.1080514691520081E-3</v>
      </c>
      <c r="AN48" s="190">
        <f>AM48*(0.0000000000000028)*up_RadSpec!$AY23*up_RadSpec!$AF23</f>
        <v>3.5058748483969544E-15</v>
      </c>
      <c r="AO48" s="47">
        <f t="shared" ref="AO48" si="109">IFERROR(SUM(AO49:AO62),".")</f>
        <v>22558.597153841136</v>
      </c>
      <c r="AP48" s="47">
        <f t="shared" ref="AP48:AQ48" si="110">IFERROR(SUM(AP49:AP62),".")</f>
        <v>3.5316786150827628</v>
      </c>
      <c r="AQ48" s="47">
        <f t="shared" si="110"/>
        <v>22562.128832456227</v>
      </c>
      <c r="AR48" s="58">
        <f>IFERROR(1/SUM(IFERROR(1/SUMIF(AR49,"&lt;&gt;.",AR49),0),IFERROR(1/SUMIF(AR50,"&lt;&gt;.",AR50),0),IFERROR(1/SUMIF(AR51,"&lt;&gt;.",AR51),0),IFERROR(1/SUMIF(AR52,"&lt;&gt;.",AR52),0),IFERROR(1/SUMIF(AR53,"&lt;&gt;.",AR53),0),IFERROR(1/SUMIF(AR54,"&lt;&gt;.",AR54),0),IFERROR(1/SUMIF(AR55,"&lt;&gt;.",AR55),0),IFERROR(1/SUMIF(AR56,"&lt;&gt;.",AR56),0),IFERROR(1/SUMIF(AR57,"&lt;&gt;.",AR57),0),IFERROR(1/SUMIF(AR58,"&lt;&gt;.",AR58),0),IFERROR(1/SUMIF(AR59,"&lt;&gt;.",AR59),0),IFERROR(1/SUMIF(AR60,"&lt;&gt;.",AR60),0),IFERROR(1/SUMIF(AR61,"&lt;&gt;.",AR61),0),IFERROR(1/SUMIF(AR62,"&lt;&gt;.",AR62),0)),".")</f>
        <v>2.5252521442200351E-4</v>
      </c>
      <c r="AS48" s="58">
        <f>IFERROR(1/SUM(IFERROR(1/SUMIF(AS49,"&lt;&gt;.",AS49),0),IFERROR(1/SUMIF(AS50,"&lt;&gt;.",AS50),0),IFERROR(1/SUMIF(AS51,"&lt;&gt;.",AS51),0),IFERROR(1/SUMIF(AS52,"&lt;&gt;.",AS52),0),IFERROR(1/SUMIF(AS53,"&lt;&gt;.",AS53),0),IFERROR(1/SUMIF(AS54,"&lt;&gt;.",AS54),0),IFERROR(1/SUMIF(AS55,"&lt;&gt;.",AS55),0),IFERROR(1/SUMIF(AS56,"&lt;&gt;.",AS56),0),IFERROR(1/SUMIF(AS57,"&lt;&gt;.",AS57),0),IFERROR(1/SUMIF(AS58,"&lt;&gt;.",AS58),0),IFERROR(1/SUMIF(AS59,"&lt;&gt;.",AS59),0),IFERROR(1/SUMIF(AS60,"&lt;&gt;.",AS60),0),IFERROR(1/SUMIF(AS61,"&lt;&gt;.",AS61),0),IFERROR(1/SUMIF(AS62,"&lt;&gt;.",AS62),0)),".")</f>
        <v>4.4242417566735019</v>
      </c>
      <c r="AT48" s="61">
        <f>IFERROR(1/SUM(IFERROR(1/SUMIF(AT49,"&lt;&gt;.",AT49),0),IFERROR(1/SUMIF(AT50,"&lt;&gt;.",AT50),0),IFERROR(1/SUMIF(AT51,"&lt;&gt;.",AT51),0),IFERROR(1/SUMIF(AT52,"&lt;&gt;.",AT52),0),IFERROR(1/SUMIF(AT53,"&lt;&gt;.",AT53),0),IFERROR(1/SUMIF(AT54,"&lt;&gt;.",AT54),0),IFERROR(1/SUMIF(AT55,"&lt;&gt;.",AT55),0),IFERROR(1/SUMIF(AT56,"&lt;&gt;.",AT56),0),IFERROR(1/SUMIF(AT57,"&lt;&gt;.",AT57),0),IFERROR(1/SUMIF(AT58,"&lt;&gt;.",AT58),0),IFERROR(1/SUMIF(AT59,"&lt;&gt;.",AT59),0),IFERROR(1/SUMIF(AT60,"&lt;&gt;.",AT60),0),IFERROR(1/SUMIF(AT61,"&lt;&gt;.",AT61),0),IFERROR(1/SUMIF(AT62,"&lt;&gt;.",AT62),0)),".")</f>
        <v>0.20202017153760282</v>
      </c>
      <c r="AU48" s="61">
        <f>IFERROR(1/SUM(IFERROR(1/SUMIF(AU49,"&lt;&gt;.",AU49),0),IFERROR(1/SUMIF(AU50,"&lt;&gt;.",AU50),0),IFERROR(1/SUMIF(AU51,"&lt;&gt;.",AU51),0),IFERROR(1/SUMIF(AU52,"&lt;&gt;.",AU52),0),IFERROR(1/SUMIF(AU53,"&lt;&gt;.",AU53),0),IFERROR(1/SUMIF(AU54,"&lt;&gt;.",AU54),0),IFERROR(1/SUMIF(AU55,"&lt;&gt;.",AU55),0),IFERROR(1/SUMIF(AU56,"&lt;&gt;.",AU56),0),IFERROR(1/SUMIF(AU57,"&lt;&gt;.",AU57),0),IFERROR(1/SUMIF(AU58,"&lt;&gt;.",AU58),0),IFERROR(1/SUMIF(AU59,"&lt;&gt;.",AU59),0),IFERROR(1/SUMIF(AU60,"&lt;&gt;.",AU60),0),IFERROR(1/SUMIF(AU61,"&lt;&gt;.",AU61),0),IFERROR(1/SUMIF(AU62,"&lt;&gt;.",AU62),0)),".")</f>
        <v>0.20202017153760282</v>
      </c>
      <c r="AV48" s="233">
        <f t="shared" si="41"/>
        <v>3960.0005975200002</v>
      </c>
      <c r="AW48" s="233">
        <f t="shared" si="41"/>
        <v>0.22602743136529677</v>
      </c>
      <c r="AX48" s="233">
        <f t="shared" si="41"/>
        <v>4.9500007468999998</v>
      </c>
      <c r="AY48" s="233">
        <f t="shared" si="41"/>
        <v>4.9500007468999998</v>
      </c>
      <c r="AZ48" s="62">
        <f>IFERROR(1/SUM(IFERROR(1/SUMIF(AZ49,"&lt;&gt;.",AZ49),0),IFERROR(1/SUMIF(AZ50,"&lt;&gt;.",AZ50),0),IFERROR(1/SUMIF(AZ51,"&lt;&gt;.",AZ51),0),IFERROR(1/SUMIF(AZ52,"&lt;&gt;.",AZ52),0),IFERROR(1/SUMIF(AZ53,"&lt;&gt;.",AZ53),0),IFERROR(1/SUMIF(AZ54,"&lt;&gt;.",AZ54),0),IFERROR(1/SUMIF(AZ55,"&lt;&gt;.",AZ55),0),IFERROR(1/SUMIF(AZ56,"&lt;&gt;.",AZ56),0),IFERROR(1/SUMIF(AZ57,"&lt;&gt;.",AZ57),0),IFERROR(1/SUMIF(AZ58,"&lt;&gt;.",AZ58),0),IFERROR(1/SUMIF(AZ59,"&lt;&gt;.",AZ59),0),IFERROR(1/SUMIF(AZ60,"&lt;&gt;.",AZ60),0),IFERROR(1/SUMIF(AZ61,"&lt;&gt;.",AZ61),0),IFERROR(1/SUMIF(AZ62,"&lt;&gt;.",AZ62),0)),".")</f>
        <v>2.5188113480788292E-4</v>
      </c>
      <c r="BA48" s="190">
        <f>AZ48*(0.0000000000000028)*up_RadSpec!$AY23*up_RadSpec!$AF23</f>
        <v>7.9695191053214172E-16</v>
      </c>
      <c r="BB48" s="47">
        <f t="shared" ref="BB48" si="111">IFERROR(SUM(BB49:BB62),".")</f>
        <v>99000.014938000008</v>
      </c>
      <c r="BC48" s="47">
        <f t="shared" ref="BC48:BF48" si="112">IFERROR(SUM(BC49:BC62),".")</f>
        <v>5.6506857841324214</v>
      </c>
      <c r="BD48" s="47">
        <f t="shared" si="112"/>
        <v>123.75001867249999</v>
      </c>
      <c r="BE48" s="47">
        <f t="shared" si="112"/>
        <v>123.75001867249999</v>
      </c>
      <c r="BF48" s="47">
        <f t="shared" si="112"/>
        <v>99253.165661129126</v>
      </c>
      <c r="BG48" s="61">
        <f>IFERROR(1/SUM(IFERROR(1/SUMIF(BG49,"&lt;&gt;.",BG49),0),IFERROR(1/SUMIF(BG50,"&lt;&gt;.",BG50),0),IFERROR(1/SUMIF(BG51,"&lt;&gt;.",BG51),0),IFERROR(1/SUMIF(BG52,"&lt;&gt;.",BG52),0),IFERROR(1/SUMIF(BG53,"&lt;&gt;.",BG53),0),IFERROR(1/SUMIF(BG54,"&lt;&gt;.",BG54),0),IFERROR(1/SUMIF(BG55,"&lt;&gt;.",BG55),0),IFERROR(1/SUMIF(BG56,"&lt;&gt;.",BG56),0),IFERROR(1/SUMIF(BG57,"&lt;&gt;.",BG57),0),IFERROR(1/SUMIF(BG58,"&lt;&gt;.",BG58),0),IFERROR(1/SUMIF(BG59,"&lt;&gt;.",BG59),0),IFERROR(1/SUMIF(BG60,"&lt;&gt;.",BG60),0),IFERROR(1/SUMIF(BG61,"&lt;&gt;.",BG61),0),IFERROR(1/SUMIF(BG62,"&lt;&gt;.",BG62),0)),".")</f>
        <v>2.0202017153760281E-3</v>
      </c>
      <c r="BH48" s="61">
        <f>IFERROR(1/SUM(IFERROR(1/SUMIF(BH49,"&lt;&gt;.",BH49),0),IFERROR(1/SUMIF(BH50,"&lt;&gt;.",BH50),0),IFERROR(1/SUMIF(BH51,"&lt;&gt;.",BH51),0),IFERROR(1/SUMIF(BH52,"&lt;&gt;.",BH52),0),IFERROR(1/SUMIF(BH53,"&lt;&gt;.",BH53),0),IFERROR(1/SUMIF(BH54,"&lt;&gt;.",BH54),0),IFERROR(1/SUMIF(BH55,"&lt;&gt;.",BH55),0),IFERROR(1/SUMIF(BH56,"&lt;&gt;.",BH56),0),IFERROR(1/SUMIF(BH57,"&lt;&gt;.",BH57),0),IFERROR(1/SUMIF(BH58,"&lt;&gt;.",BH58),0),IFERROR(1/SUMIF(BH59,"&lt;&gt;.",BH59),0),IFERROR(1/SUMIF(BH60,"&lt;&gt;.",BH60),0),IFERROR(1/SUMIF(BH61,"&lt;&gt;.",BH61),0),IFERROR(1/SUMIF(BH62,"&lt;&gt;.",BH62),0)),".")</f>
        <v>2.0202017153760281E-3</v>
      </c>
      <c r="BI48" s="190">
        <f>BG48*(0.0000000000028)*up_RadSpec!$AY23*up_RadSpec!$AF23</f>
        <v>6.3919182274497526E-12</v>
      </c>
      <c r="BJ48" s="190">
        <f>BH48*(0.0000000000028)*up_RadSpec!$AY23*up_RadSpec!$AF23</f>
        <v>6.3919182274497526E-12</v>
      </c>
      <c r="BK48" s="47">
        <f t="shared" ref="BK48" si="113">IFERROR(SUM(BK49:BK62),".")</f>
        <v>12375.001867250001</v>
      </c>
      <c r="BL48" s="47">
        <f t="shared" ref="BL48" si="114">IFERROR(SUM(BL49:BL62),".")</f>
        <v>12375.001867250001</v>
      </c>
    </row>
    <row r="49" spans="1:64" x14ac:dyDescent="0.25">
      <c r="A49" s="48" t="s">
        <v>1086</v>
      </c>
      <c r="B49" s="15">
        <v>1</v>
      </c>
      <c r="C49" s="238"/>
      <c r="D49" s="60">
        <f>IFERROR(D23/$B49,".")</f>
        <v>0.33057851239669422</v>
      </c>
      <c r="E49" s="60">
        <f>IFERROR(E23/$B49,".")</f>
        <v>3089.9917851942919</v>
      </c>
      <c r="F49" s="60">
        <f>IFERROR(F23/$B49,".")</f>
        <v>350.03923532849149</v>
      </c>
      <c r="G49" s="63">
        <f>IFERROR(G23/$B49,".")</f>
        <v>7.5757575757575758E-5</v>
      </c>
      <c r="H49" s="63">
        <f>IFERROR(H23/$B49,".")</f>
        <v>7.5757575757575758E-5</v>
      </c>
      <c r="I49" s="233">
        <f t="shared" si="10"/>
        <v>3.0249999999999999</v>
      </c>
      <c r="J49" s="233">
        <f t="shared" si="10"/>
        <v>3.236254558317935E-4</v>
      </c>
      <c r="K49" s="233">
        <f t="shared" si="10"/>
        <v>2.8568226046476134E-3</v>
      </c>
      <c r="L49" s="233">
        <f t="shared" si="10"/>
        <v>13200</v>
      </c>
      <c r="M49" s="233">
        <f t="shared" si="10"/>
        <v>13200</v>
      </c>
      <c r="N49" s="63">
        <f>IFERROR(N23/$B49,".")</f>
        <v>3.7874443536007689E-5</v>
      </c>
      <c r="O49" s="189">
        <f>IFERROR(O23/$B49,0)</f>
        <v>1.1983473934792834E-13</v>
      </c>
      <c r="P49" s="49">
        <f>IF(D49=".",".",up_RadSpec!$E$23*P23*$B$49)</f>
        <v>75.625</v>
      </c>
      <c r="Q49" s="49">
        <f>IF(E49=".",".",up_RadSpec!$H$23*Q23*$B$49)</f>
        <v>8.0906363957948379E-3</v>
      </c>
      <c r="R49" s="49">
        <f>IF(F49=".",".",up_RadSpec!$G$23*R23*$B$49)</f>
        <v>7.142056511619034E-2</v>
      </c>
      <c r="S49" s="49">
        <f>IF(G49=".",".",up_RadSpec!$F$23*S23*$B$49)</f>
        <v>330000</v>
      </c>
      <c r="T49" s="49">
        <f>IF(H49=".",".",up_RadSpec!$F$23*T23*$B$49)</f>
        <v>330000</v>
      </c>
      <c r="U49" s="49">
        <f t="shared" ref="U49:U62" si="115">IFERROR(SUM(P49:T49),".")</f>
        <v>660075.70451120147</v>
      </c>
      <c r="V49" s="60">
        <f>IFERROR(V23/$B49,".")</f>
        <v>350.03923532849149</v>
      </c>
      <c r="W49" s="60">
        <f>IFERROR(W23/$B49,".")</f>
        <v>623.0764241703605</v>
      </c>
      <c r="X49" s="60">
        <f>IFERROR(X23/$B49,".")</f>
        <v>440.59313285674295</v>
      </c>
      <c r="Y49" s="60">
        <f>IFERROR(Y23/$B49,".")</f>
        <v>360.55144855144857</v>
      </c>
      <c r="Z49" s="60">
        <f>IFERROR(Z23/$B49,".")</f>
        <v>980.81956878073379</v>
      </c>
      <c r="AA49" s="189">
        <f t="shared" ref="AA49:AE49" si="116">IFERROR(AA23/$B49,0)</f>
        <v>1.1075241405793471E-6</v>
      </c>
      <c r="AB49" s="189">
        <f t="shared" si="116"/>
        <v>1.9714138060750206E-6</v>
      </c>
      <c r="AC49" s="189">
        <f t="shared" si="116"/>
        <v>1.3940366723587347E-6</v>
      </c>
      <c r="AD49" s="189">
        <f t="shared" si="116"/>
        <v>1.1407847832167834E-6</v>
      </c>
      <c r="AE49" s="189">
        <f t="shared" si="116"/>
        <v>3.1033131156222421E-6</v>
      </c>
      <c r="AF49" s="49">
        <f>IF(V49=".",".",up_RadSpec!$G$23*AF23*$B$49)</f>
        <v>7.142056511619034E-2</v>
      </c>
      <c r="AG49" s="49">
        <f>IF(W49=".",".",up_RadSpec!$N$23*AG23*$B$49)</f>
        <v>4.0123488917572239E-2</v>
      </c>
      <c r="AH49" s="49">
        <f>IF(X49=".",".",up_RadSpec!$O$23*AH23*$B$49)</f>
        <v>5.6741692358897131E-2</v>
      </c>
      <c r="AI49" s="49">
        <f>IF(Y49=".",".",up_RadSpec!$P$23*AI23*$B$49)</f>
        <v>6.9338232034401731E-2</v>
      </c>
      <c r="AJ49" s="49">
        <f>IF(Z49=".",".",up_RadSpec!$L$23*AJ23*$B$49)</f>
        <v>2.5488887860463206E-2</v>
      </c>
      <c r="AK49" s="60">
        <f>IFERROR(AK23/$B49,".")</f>
        <v>9.9740259740259754E-3</v>
      </c>
      <c r="AL49" s="60">
        <f>IFERROR(AL23/$B49,".")</f>
        <v>63.709090909090911</v>
      </c>
      <c r="AM49" s="60">
        <f>IFERROR(AM23/$B49,".")</f>
        <v>9.9724647271019675E-3</v>
      </c>
      <c r="AN49" s="189">
        <f t="shared" ref="AN49" si="117">IFERROR(AN23/$B49,0)</f>
        <v>3.1552878396550628E-14</v>
      </c>
      <c r="AO49" s="49">
        <f>IF(AK49=".",".",up_RadSpec!$H$23*AO23*$B$49)</f>
        <v>2506.5104166666661</v>
      </c>
      <c r="AP49" s="49">
        <f>IF(AL49=".",".",up_RadSpec!$K$23*AP23*$B$49)</f>
        <v>0.39240867579908678</v>
      </c>
      <c r="AQ49" s="49">
        <f t="shared" ref="AQ49:AQ62" si="118">IFERROR(SUM(AO49:AP49),".")</f>
        <v>2506.9028253424653</v>
      </c>
      <c r="AR49" s="60">
        <f>IFERROR(AR23/$B49,".")</f>
        <v>2.2727272727272726E-3</v>
      </c>
      <c r="AS49" s="60">
        <f>IFERROR(AS23/$B49,".")</f>
        <v>39.81818181818182</v>
      </c>
      <c r="AT49" s="63">
        <f>IFERROR(AT23/$B49,".")</f>
        <v>1.8181818181818181</v>
      </c>
      <c r="AU49" s="63">
        <f>IFERROR(AU23/$B49,".")</f>
        <v>1.8181818181818181</v>
      </c>
      <c r="AV49" s="233">
        <f t="shared" si="41"/>
        <v>440</v>
      </c>
      <c r="AW49" s="233">
        <f t="shared" si="41"/>
        <v>2.5114155251141551E-2</v>
      </c>
      <c r="AX49" s="233">
        <f t="shared" si="41"/>
        <v>0.55000000000000004</v>
      </c>
      <c r="AY49" s="233">
        <f t="shared" si="41"/>
        <v>0.55000000000000004</v>
      </c>
      <c r="AZ49" s="63">
        <f>IFERROR(AZ23/$B49,".")</f>
        <v>2.2669305553255272E-3</v>
      </c>
      <c r="BA49" s="189">
        <f t="shared" ref="BA49" si="119">IFERROR(BA23/$B49,0)</f>
        <v>7.1725682770499671E-15</v>
      </c>
      <c r="BB49" s="49">
        <f>IF(AR49=".",".",up_RadSpec!$I$23*BB23*$B$49)</f>
        <v>11000</v>
      </c>
      <c r="BC49" s="49">
        <f>IF(AS49=".",".",up_RadSpec!$M$23*BC23*$B$49)</f>
        <v>0.62785388127853881</v>
      </c>
      <c r="BD49" s="49">
        <f>IF(AT49=".",".",up_RadSpec!$F$23*BD23*$B$49)</f>
        <v>13.75</v>
      </c>
      <c r="BE49" s="49">
        <f>IF(AU49=".",".",up_RadSpec!$F$23*BE23*$B$49)</f>
        <v>13.75</v>
      </c>
      <c r="BF49" s="49">
        <f t="shared" si="44"/>
        <v>11028.127853881278</v>
      </c>
      <c r="BG49" s="63">
        <f>IFERROR(BG23/$B49,".")</f>
        <v>1.8181818181818181E-2</v>
      </c>
      <c r="BH49" s="63">
        <f>IFERROR(BH23/$B49,".")</f>
        <v>1.8181818181818181E-2</v>
      </c>
      <c r="BI49" s="189">
        <f t="shared" ref="BI49:BJ49" si="120">IFERROR(BI23/$B49,0)</f>
        <v>5.7527272727272733E-11</v>
      </c>
      <c r="BJ49" s="189">
        <f t="shared" si="120"/>
        <v>5.7527272727272733E-11</v>
      </c>
      <c r="BK49" s="49">
        <f>IF(BG49=".",".",up_RadSpec!$F$23*BK23*$B$49)</f>
        <v>1375</v>
      </c>
      <c r="BL49" s="49">
        <f>IF(BH49=".",".",up_RadSpec!$F$23*BL23*$B$49)</f>
        <v>1375</v>
      </c>
    </row>
    <row r="50" spans="1:64" x14ac:dyDescent="0.25">
      <c r="A50" s="48" t="s">
        <v>1073</v>
      </c>
      <c r="B50" s="15">
        <v>1</v>
      </c>
      <c r="C50" s="238"/>
      <c r="D50" s="60">
        <f>IFERROR(D25/$B50,".")</f>
        <v>0.33057851239669422</v>
      </c>
      <c r="E50" s="60">
        <f>IFERROR(E25/$B50,".")</f>
        <v>3089.9917851942919</v>
      </c>
      <c r="F50" s="60">
        <f>IFERROR(F25/$B50,".")</f>
        <v>511.71960569550941</v>
      </c>
      <c r="G50" s="63">
        <f>IFERROR(G25/$B50,".")</f>
        <v>7.5757575757575758E-5</v>
      </c>
      <c r="H50" s="63">
        <f>IFERROR(H25/$B50,".")</f>
        <v>7.5757575757575758E-5</v>
      </c>
      <c r="I50" s="233">
        <f t="shared" si="10"/>
        <v>3.0249999999999999</v>
      </c>
      <c r="J50" s="233">
        <f t="shared" si="10"/>
        <v>3.236254558317935E-4</v>
      </c>
      <c r="K50" s="233">
        <f t="shared" si="10"/>
        <v>1.9541952054794517E-3</v>
      </c>
      <c r="L50" s="233">
        <f t="shared" si="10"/>
        <v>13200</v>
      </c>
      <c r="M50" s="233">
        <f t="shared" si="10"/>
        <v>13200</v>
      </c>
      <c r="N50" s="63">
        <f>IFERROR(N25/$B50,".")</f>
        <v>3.7874444830802791E-5</v>
      </c>
      <c r="O50" s="189">
        <f>IFERROR(O25/$B50,0)</f>
        <v>1.1771377453413507E-13</v>
      </c>
      <c r="P50" s="49">
        <f>IF(D50=".",".",up_RadSpec!$E$25*P25*$B$50)</f>
        <v>75.625</v>
      </c>
      <c r="Q50" s="49">
        <f>IF(E50=".",".",up_RadSpec!$H$25*Q25*$B$50)</f>
        <v>8.0906363957948379E-3</v>
      </c>
      <c r="R50" s="49">
        <f>IF(F50=".",".",up_RadSpec!$G$25*R25*$B$50)</f>
        <v>4.8854880136986294E-2</v>
      </c>
      <c r="S50" s="49">
        <f>IF(G50=".",".",up_RadSpec!$F$25*S25*$B$50)</f>
        <v>330000</v>
      </c>
      <c r="T50" s="49">
        <f>IF(H50=".",".",up_RadSpec!$F$25*T25*$B$50)</f>
        <v>330000</v>
      </c>
      <c r="U50" s="49">
        <f t="shared" si="115"/>
        <v>660075.6819455165</v>
      </c>
      <c r="V50" s="60">
        <f>IFERROR(V25/$B50,".")</f>
        <v>511.71960569550941</v>
      </c>
      <c r="W50" s="60">
        <f>IFERROR(W25/$B50,".")</f>
        <v>916.38362553616764</v>
      </c>
      <c r="X50" s="60">
        <f>IFERROR(X25/$B50,".")</f>
        <v>657.32694272020126</v>
      </c>
      <c r="Y50" s="60">
        <f>IFERROR(Y25/$B50,".")</f>
        <v>586.97641341709129</v>
      </c>
      <c r="Z50" s="60">
        <f>IFERROR(Z25/$B50,".")</f>
        <v>1642.9752066115702</v>
      </c>
      <c r="AA50" s="189">
        <f t="shared" ref="AA50:AE50" si="121">IFERROR(AA25/$B50,0)</f>
        <v>1.5904245345016435E-6</v>
      </c>
      <c r="AB50" s="189">
        <f t="shared" si="121"/>
        <v>2.8481203081664092E-6</v>
      </c>
      <c r="AC50" s="189">
        <f t="shared" si="121"/>
        <v>2.0429721379743854E-6</v>
      </c>
      <c r="AD50" s="189">
        <f t="shared" si="121"/>
        <v>1.82432269290032E-6</v>
      </c>
      <c r="AE50" s="189">
        <f t="shared" si="121"/>
        <v>5.1063669421487615E-6</v>
      </c>
      <c r="AF50" s="49">
        <f>IF(V50=".",".",up_RadSpec!$G$25*AF25*$B$50)</f>
        <v>4.8854880136986294E-2</v>
      </c>
      <c r="AG50" s="49">
        <f>IF(W50=".",".",up_RadSpec!$N$25*AG25*$B$50)</f>
        <v>2.7281150932146711E-2</v>
      </c>
      <c r="AH50" s="49">
        <f>IF(X50=".",".",up_RadSpec!$O$25*AH25*$B$50)</f>
        <v>3.8032824117239232E-2</v>
      </c>
      <c r="AI50" s="49">
        <f>IF(Y50=".",".",up_RadSpec!$P$25*AI25*$B$50)</f>
        <v>4.2591149198759372E-2</v>
      </c>
      <c r="AJ50" s="49">
        <f>IF(Z50=".",".",up_RadSpec!$L$25*AJ25*$B$50)</f>
        <v>1.5216297786720323E-2</v>
      </c>
      <c r="AK50" s="60">
        <f>IFERROR(AK25/$B50,".")</f>
        <v>9.9740259740259754E-3</v>
      </c>
      <c r="AL50" s="60">
        <f>IFERROR(AL25/$B50,".")</f>
        <v>63.709090909090911</v>
      </c>
      <c r="AM50" s="60">
        <f>IFERROR(AM25/$B50,".")</f>
        <v>9.9724647271019675E-3</v>
      </c>
      <c r="AN50" s="189">
        <f t="shared" ref="AN50" si="122">IFERROR(AN25/$B50,0)</f>
        <v>3.0994420371832921E-14</v>
      </c>
      <c r="AO50" s="49">
        <f>IF(AK50=".",".",up_RadSpec!$H$25*AO25*$B$50)</f>
        <v>2506.5104166666661</v>
      </c>
      <c r="AP50" s="49">
        <f>IF(AL50=".",".",up_RadSpec!$K$25*AP25*$B$50)</f>
        <v>0.39240867579908678</v>
      </c>
      <c r="AQ50" s="49">
        <f t="shared" si="118"/>
        <v>2506.9028253424653</v>
      </c>
      <c r="AR50" s="60">
        <f>IFERROR(AR25/$B50,".")</f>
        <v>2.2727272727272726E-3</v>
      </c>
      <c r="AS50" s="60">
        <f>IFERROR(AS25/$B50,".")</f>
        <v>39.81818181818182</v>
      </c>
      <c r="AT50" s="63">
        <f>IFERROR(AT25/$B50,".")</f>
        <v>1.8181818181818181</v>
      </c>
      <c r="AU50" s="63">
        <f>IFERROR(AU25/$B50,".")</f>
        <v>1.8181818181818181</v>
      </c>
      <c r="AV50" s="233">
        <f t="shared" si="41"/>
        <v>440</v>
      </c>
      <c r="AW50" s="233">
        <f t="shared" si="41"/>
        <v>2.5114155251141551E-2</v>
      </c>
      <c r="AX50" s="233">
        <f t="shared" si="41"/>
        <v>0.55000000000000004</v>
      </c>
      <c r="AY50" s="233">
        <f t="shared" si="41"/>
        <v>0.55000000000000004</v>
      </c>
      <c r="AZ50" s="63">
        <f>IFERROR(AZ25/$B50,".")</f>
        <v>2.2669305553255272E-3</v>
      </c>
      <c r="BA50" s="189">
        <f t="shared" ref="BA50" si="123">IFERROR(BA25/$B50,0)</f>
        <v>7.0456201659517389E-15</v>
      </c>
      <c r="BB50" s="49">
        <f>IF(AR50=".",".",up_RadSpec!$I$25*BB25*$B$50)</f>
        <v>11000</v>
      </c>
      <c r="BC50" s="49">
        <f>IF(AS50=".",".",up_RadSpec!$M$25*BC25*$B$50)</f>
        <v>0.62785388127853881</v>
      </c>
      <c r="BD50" s="49">
        <f>IF(AT50=".",".",up_RadSpec!$F$25*BD25*$B$50)</f>
        <v>13.75</v>
      </c>
      <c r="BE50" s="49">
        <f>IF(AU50=".",".",up_RadSpec!$F$25*BE25*$B$50)</f>
        <v>13.75</v>
      </c>
      <c r="BF50" s="49">
        <f t="shared" si="44"/>
        <v>11028.127853881278</v>
      </c>
      <c r="BG50" s="63">
        <f>IFERROR(BG25/$B50,".")</f>
        <v>1.8181818181818181E-2</v>
      </c>
      <c r="BH50" s="63">
        <f>IFERROR(BH25/$B50,".")</f>
        <v>1.8181818181818181E-2</v>
      </c>
      <c r="BI50" s="189">
        <f t="shared" ref="BI50:BJ50" si="124">IFERROR(BI25/$B50,0)</f>
        <v>5.6509090909090911E-11</v>
      </c>
      <c r="BJ50" s="189">
        <f t="shared" si="124"/>
        <v>5.6509090909090911E-11</v>
      </c>
      <c r="BK50" s="49">
        <f>IF(BG50=".",".",up_RadSpec!$F$25*BK25*$B$50)</f>
        <v>1375</v>
      </c>
      <c r="BL50" s="49">
        <f>IF(BH50=".",".",up_RadSpec!$F$25*BL25*$B$50)</f>
        <v>1375</v>
      </c>
    </row>
    <row r="51" spans="1:64" x14ac:dyDescent="0.25">
      <c r="A51" s="48" t="s">
        <v>1059</v>
      </c>
      <c r="B51" s="15">
        <v>1</v>
      </c>
      <c r="C51" s="238"/>
      <c r="D51" s="60">
        <f>IFERROR(D21/$B51,".")</f>
        <v>0.33057851239669422</v>
      </c>
      <c r="E51" s="60">
        <f>IFERROR(E21/$B51,".")</f>
        <v>3089.9917851942919</v>
      </c>
      <c r="F51" s="60" t="str">
        <f>IFERROR(F21/$B51,".")</f>
        <v>.</v>
      </c>
      <c r="G51" s="63">
        <f>IFERROR(G21/$B51,".")</f>
        <v>7.5757575757575758E-5</v>
      </c>
      <c r="H51" s="63">
        <f>IFERROR(H21/$B51,".")</f>
        <v>7.5757575757575758E-5</v>
      </c>
      <c r="I51" s="233">
        <f t="shared" si="10"/>
        <v>3.0249999999999999</v>
      </c>
      <c r="J51" s="233">
        <f t="shared" si="10"/>
        <v>3.236254558317935E-4</v>
      </c>
      <c r="K51" s="233">
        <f t="shared" si="10"/>
        <v>0</v>
      </c>
      <c r="L51" s="233">
        <f t="shared" si="10"/>
        <v>13200</v>
      </c>
      <c r="M51" s="233">
        <f t="shared" si="10"/>
        <v>13200</v>
      </c>
      <c r="N51" s="63">
        <f>IFERROR(N21/$B51,".")</f>
        <v>3.7874447634044378E-5</v>
      </c>
      <c r="O51" s="189">
        <f>IFERROR(O21/$B51,0)</f>
        <v>1.1559281417910346E-13</v>
      </c>
      <c r="P51" s="49">
        <f>IF(D51=".",".",up_RadSpec!$E$21*P21*$B$51)</f>
        <v>75.625</v>
      </c>
      <c r="Q51" s="49">
        <f>IF(E51=".",".",up_RadSpec!$H$21*Q21*$B$51)</f>
        <v>8.0906363957948379E-3</v>
      </c>
      <c r="R51" s="49" t="str">
        <f>IF(F51=".",".",up_RadSpec!$G$21*R21*$B$51)</f>
        <v>.</v>
      </c>
      <c r="S51" s="49">
        <f>IF(G51=".",".",up_RadSpec!$F$21*S21*$B$51)</f>
        <v>330000</v>
      </c>
      <c r="T51" s="49">
        <f>IF(H51=".",".",up_RadSpec!$F$21*T21*$B$51)</f>
        <v>330000</v>
      </c>
      <c r="U51" s="49">
        <f t="shared" si="115"/>
        <v>660075.63309063646</v>
      </c>
      <c r="V51" s="60" t="str">
        <f>IFERROR(V21/$B51,".")</f>
        <v>.</v>
      </c>
      <c r="W51" s="60" t="str">
        <f>IFERROR(W21/$B51,".")</f>
        <v>.</v>
      </c>
      <c r="X51" s="60" t="str">
        <f>IFERROR(X21/$B51,".")</f>
        <v>.</v>
      </c>
      <c r="Y51" s="60" t="str">
        <f>IFERROR(Y21/$B51,".")</f>
        <v>.</v>
      </c>
      <c r="Z51" s="60" t="str">
        <f>IFERROR(Z21/$B51,".")</f>
        <v>.</v>
      </c>
      <c r="AA51" s="189">
        <f t="shared" ref="AA51:AE51" si="125">IFERROR(AA21/$B51,0)</f>
        <v>0</v>
      </c>
      <c r="AB51" s="189">
        <f t="shared" si="125"/>
        <v>0</v>
      </c>
      <c r="AC51" s="189">
        <f t="shared" si="125"/>
        <v>0</v>
      </c>
      <c r="AD51" s="189">
        <f t="shared" si="125"/>
        <v>0</v>
      </c>
      <c r="AE51" s="189">
        <f t="shared" si="125"/>
        <v>0</v>
      </c>
      <c r="AF51" s="49" t="str">
        <f>IF(V51=".",".",up_RadSpec!$G$21*AF21*$B$51)</f>
        <v>.</v>
      </c>
      <c r="AG51" s="49" t="str">
        <f>IF(W51=".",".",up_RadSpec!$N$21*AG21*$B$51)</f>
        <v>.</v>
      </c>
      <c r="AH51" s="49" t="str">
        <f>IF(X51=".",".",up_RadSpec!$O$21*AH21*$B$51)</f>
        <v>.</v>
      </c>
      <c r="AI51" s="49" t="str">
        <f>IF(Y51=".",".",up_RadSpec!$P$21*AI21*$B$51)</f>
        <v>.</v>
      </c>
      <c r="AJ51" s="49" t="str">
        <f>IF(Z51=".",".",up_RadSpec!$L$21*AJ21*$B$51)</f>
        <v>.</v>
      </c>
      <c r="AK51" s="60">
        <f>IFERROR(AK21/$B51,".")</f>
        <v>9.9740259740259754E-3</v>
      </c>
      <c r="AL51" s="60">
        <f>IFERROR(AL21/$B51,".")</f>
        <v>63.709090909090911</v>
      </c>
      <c r="AM51" s="60">
        <f>IFERROR(AM21/$B51,".")</f>
        <v>9.9724647271019675E-3</v>
      </c>
      <c r="AN51" s="189">
        <f t="shared" ref="AN51" si="126">IFERROR(AN21/$B51,0)</f>
        <v>3.0435962347115209E-14</v>
      </c>
      <c r="AO51" s="49">
        <f>IF(AK51=".",".",up_RadSpec!$H$21*AO21*$B$51)</f>
        <v>2506.5104166666661</v>
      </c>
      <c r="AP51" s="49">
        <f>IF(AL51=".",".",up_RadSpec!$K$21*AP21*$B$51)</f>
        <v>0.39240867579908678</v>
      </c>
      <c r="AQ51" s="49">
        <f t="shared" si="118"/>
        <v>2506.9028253424653</v>
      </c>
      <c r="AR51" s="60">
        <f>IFERROR(AR21/$B51,".")</f>
        <v>2.2727272727272726E-3</v>
      </c>
      <c r="AS51" s="60">
        <f>IFERROR(AS21/$B51,".")</f>
        <v>39.81818181818182</v>
      </c>
      <c r="AT51" s="63">
        <f>IFERROR(AT21/$B51,".")</f>
        <v>1.8181818181818181</v>
      </c>
      <c r="AU51" s="63">
        <f>IFERROR(AU21/$B51,".")</f>
        <v>1.8181818181818181</v>
      </c>
      <c r="AV51" s="233">
        <f t="shared" si="41"/>
        <v>440</v>
      </c>
      <c r="AW51" s="233">
        <f t="shared" si="41"/>
        <v>2.5114155251141551E-2</v>
      </c>
      <c r="AX51" s="233">
        <f t="shared" si="41"/>
        <v>0.55000000000000004</v>
      </c>
      <c r="AY51" s="233">
        <f t="shared" si="41"/>
        <v>0.55000000000000004</v>
      </c>
      <c r="AZ51" s="63">
        <f>IFERROR(AZ21/$B51,".")</f>
        <v>2.2669305553255272E-3</v>
      </c>
      <c r="BA51" s="189">
        <f t="shared" ref="BA51" si="127">IFERROR(BA21/$B51,0)</f>
        <v>6.918672054853509E-15</v>
      </c>
      <c r="BB51" s="49">
        <f>IF(AR51=".",".",up_RadSpec!$I$21*BB21*$B$51)</f>
        <v>11000</v>
      </c>
      <c r="BC51" s="49">
        <f>IF(AS51=".",".",up_RadSpec!$M$21*BC21*$B$51)</f>
        <v>0.62785388127853881</v>
      </c>
      <c r="BD51" s="49">
        <f>IF(AT51=".",".",up_RadSpec!$F$21*BD21*$B$51)</f>
        <v>13.75</v>
      </c>
      <c r="BE51" s="49">
        <f>IF(AU51=".",".",up_RadSpec!$F$21*BE21*$B$51)</f>
        <v>13.75</v>
      </c>
      <c r="BF51" s="49">
        <f t="shared" si="44"/>
        <v>11028.127853881278</v>
      </c>
      <c r="BG51" s="63">
        <f>IFERROR(BG21/$B51,".")</f>
        <v>1.8181818181818181E-2</v>
      </c>
      <c r="BH51" s="63">
        <f>IFERROR(BH21/$B51,".")</f>
        <v>1.8181818181818181E-2</v>
      </c>
      <c r="BI51" s="189">
        <f t="shared" ref="BI51:BJ51" si="128">IFERROR(BI21/$B51,0)</f>
        <v>5.5490909090909096E-11</v>
      </c>
      <c r="BJ51" s="189">
        <f t="shared" si="128"/>
        <v>5.5490909090909096E-11</v>
      </c>
      <c r="BK51" s="49">
        <f>IF(BG51=".",".",up_RadSpec!$F$21*BK21*$B$51)</f>
        <v>1375</v>
      </c>
      <c r="BL51" s="49">
        <f>IF(BH51=".",".",up_RadSpec!$F$21*BL21*$B$51)</f>
        <v>1375</v>
      </c>
    </row>
    <row r="52" spans="1:64" x14ac:dyDescent="0.25">
      <c r="A52" s="48" t="s">
        <v>1060</v>
      </c>
      <c r="B52" s="51">
        <v>0.99980000000000002</v>
      </c>
      <c r="C52" s="240"/>
      <c r="D52" s="60">
        <f>IFERROR(D17/$B52,".")</f>
        <v>0.33064464132495919</v>
      </c>
      <c r="E52" s="60">
        <f>IFERROR(E17/$B52,".")</f>
        <v>3090.6099071757271</v>
      </c>
      <c r="F52" s="60">
        <f>IFERROR(F17/$B52,".")</f>
        <v>703.42285694447003</v>
      </c>
      <c r="G52" s="63">
        <f>IFERROR(G17/$B52,".")</f>
        <v>7.5772730303636486E-5</v>
      </c>
      <c r="H52" s="63">
        <f>IFERROR(H17/$B52,".")</f>
        <v>7.5772730303636486E-5</v>
      </c>
      <c r="I52" s="233">
        <f t="shared" si="10"/>
        <v>3.0243950000000002</v>
      </c>
      <c r="J52" s="233">
        <f t="shared" si="10"/>
        <v>3.2356073074062711E-4</v>
      </c>
      <c r="K52" s="233">
        <f t="shared" si="10"/>
        <v>1.4216199973139947E-3</v>
      </c>
      <c r="L52" s="233">
        <f t="shared" si="10"/>
        <v>13197.36</v>
      </c>
      <c r="M52" s="233">
        <f t="shared" si="10"/>
        <v>13197.36</v>
      </c>
      <c r="N52" s="63">
        <f>IFERROR(N17/$B52,".")</f>
        <v>3.7882021998759687E-5</v>
      </c>
      <c r="O52" s="189">
        <f>IFERROR(O17/$B52,0)</f>
        <v>1.1349453790828403E-13</v>
      </c>
      <c r="P52" s="49">
        <f>IF(D52=".",".",up_RadSpec!$E$17*P17*$B$52)</f>
        <v>75.609875000000002</v>
      </c>
      <c r="Q52" s="49">
        <f>IF(E52=".",".",up_RadSpec!$H$17*Q17*$B$52)</f>
        <v>8.0890182685156783E-3</v>
      </c>
      <c r="R52" s="49">
        <f>IF(F52=".",".",up_RadSpec!$G$17*R17*$B$52)</f>
        <v>3.554049993284987E-2</v>
      </c>
      <c r="S52" s="49">
        <f>IF(G52=".",".",up_RadSpec!$F$17*S17*$B$52)</f>
        <v>329934</v>
      </c>
      <c r="T52" s="49">
        <f>IF(H52=".",".",up_RadSpec!$F$17*T17*$B$52)</f>
        <v>329934</v>
      </c>
      <c r="U52" s="49">
        <f t="shared" si="115"/>
        <v>659943.65350451821</v>
      </c>
      <c r="V52" s="60">
        <f>IFERROR(V17/$B52,".")</f>
        <v>703.42285694447003</v>
      </c>
      <c r="W52" s="60">
        <f>IFERROR(W17/$B52,".")</f>
        <v>1229.3785520792735</v>
      </c>
      <c r="X52" s="60">
        <f>IFERROR(X17/$B52,".")</f>
        <v>926.23153705958521</v>
      </c>
      <c r="Y52" s="60">
        <f>IFERROR(Y17/$B52,".")</f>
        <v>823.63423450425842</v>
      </c>
      <c r="Z52" s="60">
        <f>IFERROR(Z17/$B52,".")</f>
        <v>2355.6566311846341</v>
      </c>
      <c r="AA52" s="189">
        <f t="shared" ref="AA52:AE52" si="129">IFERROR(AA17/$B52,0)</f>
        <v>2.1074548794056323E-6</v>
      </c>
      <c r="AB52" s="189">
        <f t="shared" si="129"/>
        <v>3.6832181420295035E-6</v>
      </c>
      <c r="AC52" s="189">
        <f t="shared" si="129"/>
        <v>2.7749896850305176E-6</v>
      </c>
      <c r="AD52" s="189">
        <f t="shared" si="129"/>
        <v>2.4676081665747585E-6</v>
      </c>
      <c r="AE52" s="189">
        <f t="shared" si="129"/>
        <v>7.0575472670291644E-6</v>
      </c>
      <c r="AF52" s="49">
        <f>IF(V52=".",".",up_RadSpec!$G$17*AF17*$B$52)</f>
        <v>3.554049993284987E-2</v>
      </c>
      <c r="AG52" s="49">
        <f>IF(W52=".",".",up_RadSpec!$N$17*AG17*$B$52)</f>
        <v>2.0335477593713493E-2</v>
      </c>
      <c r="AH52" s="49">
        <f>IF(X52=".",".",up_RadSpec!$O$17*AH17*$B$52)</f>
        <v>2.6991091319741718E-2</v>
      </c>
      <c r="AI52" s="49">
        <f>IF(Y52=".",".",up_RadSpec!$P$17*AI17*$B$52)</f>
        <v>3.0353279347412488E-2</v>
      </c>
      <c r="AJ52" s="49">
        <f>IF(Z52=".",".",up_RadSpec!$L$17*AJ17*$B$52)</f>
        <v>1.0612752159650608E-2</v>
      </c>
      <c r="AK52" s="60">
        <f>IFERROR(AK17/$B52,".")</f>
        <v>9.9760211782616275E-3</v>
      </c>
      <c r="AL52" s="60">
        <f>IFERROR(AL17/$B52,".")</f>
        <v>63.721835276146138</v>
      </c>
      <c r="AM52" s="60">
        <f>IFERROR(AM17/$B52,".")</f>
        <v>9.9744596190257731E-3</v>
      </c>
      <c r="AN52" s="189">
        <f t="shared" ref="AN52" si="130">IFERROR(AN17/$B52,0)</f>
        <v>2.9883481018601213E-14</v>
      </c>
      <c r="AO52" s="49">
        <f>IF(AK52=".",".",up_RadSpec!$H$17*AO17*$B$52)</f>
        <v>2506.0091145833326</v>
      </c>
      <c r="AP52" s="49">
        <f>IF(AL52=".",".",up_RadSpec!$K$17*AP17*$B$52)</f>
        <v>0.392330194063927</v>
      </c>
      <c r="AQ52" s="49">
        <f t="shared" si="118"/>
        <v>2506.4014447773966</v>
      </c>
      <c r="AR52" s="60">
        <f>IFERROR(AR17/$B52,".")</f>
        <v>2.2731819091090944E-3</v>
      </c>
      <c r="AS52" s="60">
        <f>IFERROR(AS17/$B52,".")</f>
        <v>39.826147047591334</v>
      </c>
      <c r="AT52" s="63">
        <f>IFERROR(AT17/$B52,".")</f>
        <v>1.8185455272872755</v>
      </c>
      <c r="AU52" s="63">
        <f>IFERROR(AU17/$B52,".")</f>
        <v>1.8185455272872755</v>
      </c>
      <c r="AV52" s="233">
        <f t="shared" si="41"/>
        <v>439.91200000000003</v>
      </c>
      <c r="AW52" s="233">
        <f t="shared" si="41"/>
        <v>2.5109132420091326E-2</v>
      </c>
      <c r="AX52" s="233">
        <f t="shared" si="41"/>
        <v>0.5498900000000001</v>
      </c>
      <c r="AY52" s="233">
        <f t="shared" si="41"/>
        <v>0.5498900000000001</v>
      </c>
      <c r="AZ52" s="63">
        <f>IFERROR(AZ17/$B52,".")</f>
        <v>2.2673840321319537E-3</v>
      </c>
      <c r="BA52" s="189">
        <f t="shared" ref="BA52" si="131">IFERROR(BA17/$B52,0)</f>
        <v>6.793082560267333E-15</v>
      </c>
      <c r="BB52" s="49">
        <f>IF(AR52=".",".",up_RadSpec!$I$17*BB17*$B$52)</f>
        <v>10997.800000000001</v>
      </c>
      <c r="BC52" s="49">
        <f>IF(AS52=".",".",up_RadSpec!$M$17*BC17*$B$52)</f>
        <v>0.62772831050228306</v>
      </c>
      <c r="BD52" s="49">
        <f>IF(AT52=".",".",up_RadSpec!$F$17*BD17*$B$52)</f>
        <v>13.747250000000001</v>
      </c>
      <c r="BE52" s="49">
        <f>IF(AU52=".",".",up_RadSpec!$F$17*BE17*$B$52)</f>
        <v>13.747250000000001</v>
      </c>
      <c r="BF52" s="49">
        <f t="shared" si="44"/>
        <v>11025.922228310505</v>
      </c>
      <c r="BG52" s="63">
        <f>IFERROR(BG17/$B52,".")</f>
        <v>1.8185455272872755E-2</v>
      </c>
      <c r="BH52" s="63">
        <f>IFERROR(BH17/$B52,".")</f>
        <v>1.8185455272872755E-2</v>
      </c>
      <c r="BI52" s="189">
        <f t="shared" ref="BI52:BJ52" si="132">IFERROR(BI17/$B52,0)</f>
        <v>5.4483623997526782E-11</v>
      </c>
      <c r="BJ52" s="189">
        <f t="shared" si="132"/>
        <v>5.4483623997526782E-11</v>
      </c>
      <c r="BK52" s="49">
        <f>IF(BG52=".",".",up_RadSpec!$F$17*BK17*$B$52)</f>
        <v>1374.7250000000001</v>
      </c>
      <c r="BL52" s="49">
        <f>IF(BH52=".",".",up_RadSpec!$F$17*BL17*$B$52)</f>
        <v>1374.7250000000001</v>
      </c>
    </row>
    <row r="53" spans="1:64" x14ac:dyDescent="0.25">
      <c r="A53" s="48" t="s">
        <v>1074</v>
      </c>
      <c r="B53" s="15">
        <v>2.0000000000000001E-4</v>
      </c>
      <c r="C53" s="238"/>
      <c r="D53" s="60">
        <f>IFERROR(D5/$B53,".")</f>
        <v>1652.8925619834711</v>
      </c>
      <c r="E53" s="60">
        <f>IFERROR(E5/$B53,".")</f>
        <v>15449958.925971458</v>
      </c>
      <c r="F53" s="60" t="str">
        <f>IFERROR(F5/$B53,".")</f>
        <v>.</v>
      </c>
      <c r="G53" s="63">
        <f>IFERROR(G5/$B53,".")</f>
        <v>0.37878787878787878</v>
      </c>
      <c r="H53" s="63">
        <f>IFERROR(H5/$B53,".")</f>
        <v>0.37878787878787878</v>
      </c>
      <c r="I53" s="233">
        <f t="shared" si="10"/>
        <v>6.0499999999999996E-4</v>
      </c>
      <c r="J53" s="233">
        <f t="shared" si="10"/>
        <v>6.4725091166358705E-8</v>
      </c>
      <c r="K53" s="233">
        <f t="shared" si="10"/>
        <v>0</v>
      </c>
      <c r="L53" s="233">
        <f t="shared" si="10"/>
        <v>2.64</v>
      </c>
      <c r="M53" s="233">
        <f t="shared" si="10"/>
        <v>2.64</v>
      </c>
      <c r="N53" s="63">
        <f>IFERROR(N5/$B53,".")</f>
        <v>0.18937223817022189</v>
      </c>
      <c r="O53" s="189">
        <f>IFERROR(O5/$B53,0)</f>
        <v>5.7796407089551728E-10</v>
      </c>
      <c r="P53" s="49">
        <f>IF(D53=".",".",up_RadSpec!$E$5*P5*$B$53)</f>
        <v>1.5125000000000001E-2</v>
      </c>
      <c r="Q53" s="49">
        <f>IF(E53=".",".",up_RadSpec!$H$5*Q5*$B$53)</f>
        <v>1.6181272791589677E-6</v>
      </c>
      <c r="R53" s="49" t="str">
        <f>IF(F53=".",".",up_RadSpec!$G$5*R5*$B$53)</f>
        <v>.</v>
      </c>
      <c r="S53" s="49">
        <f>IF(G53=".",".",up_RadSpec!$F$5*S5*$B$53)</f>
        <v>66</v>
      </c>
      <c r="T53" s="49">
        <f>IF(H53=".",".",up_RadSpec!$F$5*T5*$B$53)</f>
        <v>66</v>
      </c>
      <c r="U53" s="49">
        <f t="shared" si="115"/>
        <v>132.01512661812728</v>
      </c>
      <c r="V53" s="60" t="str">
        <f>IFERROR(V5/$B53,".")</f>
        <v>.</v>
      </c>
      <c r="W53" s="60" t="str">
        <f>IFERROR(W5/$B53,".")</f>
        <v>.</v>
      </c>
      <c r="X53" s="60" t="str">
        <f>IFERROR(X5/$B53,".")</f>
        <v>.</v>
      </c>
      <c r="Y53" s="60" t="str">
        <f>IFERROR(Y5/$B53,".")</f>
        <v>.</v>
      </c>
      <c r="Z53" s="60" t="str">
        <f>IFERROR(Z5/$B53,".")</f>
        <v>.</v>
      </c>
      <c r="AA53" s="189">
        <f t="shared" ref="AA53:AE53" si="133">IFERROR(AA5/$B53,0)</f>
        <v>0</v>
      </c>
      <c r="AB53" s="189">
        <f t="shared" si="133"/>
        <v>0</v>
      </c>
      <c r="AC53" s="189">
        <f t="shared" si="133"/>
        <v>0</v>
      </c>
      <c r="AD53" s="189">
        <f t="shared" si="133"/>
        <v>0</v>
      </c>
      <c r="AE53" s="189">
        <f t="shared" si="133"/>
        <v>0</v>
      </c>
      <c r="AF53" s="49" t="str">
        <f>IF(V53=".",".",up_RadSpec!$G$5*AF5*$B$53)</f>
        <v>.</v>
      </c>
      <c r="AG53" s="49" t="str">
        <f>IF(W53=".",".",up_RadSpec!$N$5*AG5*$B$53)</f>
        <v>.</v>
      </c>
      <c r="AH53" s="49" t="str">
        <f>IF(X53=".",".",up_RadSpec!$O$5*AH5*$B$53)</f>
        <v>.</v>
      </c>
      <c r="AI53" s="49" t="str">
        <f>IF(Y53=".",".",up_RadSpec!$P$5*AI5*$B$53)</f>
        <v>.</v>
      </c>
      <c r="AJ53" s="49" t="str">
        <f>IF(Z53=".",".",up_RadSpec!$L$5*AJ5*$B$53)</f>
        <v>.</v>
      </c>
      <c r="AK53" s="60">
        <f>IFERROR(AK5/$B53,".")</f>
        <v>49.870129870129873</v>
      </c>
      <c r="AL53" s="60">
        <f>IFERROR(AL5/$B53,".")</f>
        <v>318545.45454545453</v>
      </c>
      <c r="AM53" s="60">
        <f>IFERROR(AM5/$B53,".")</f>
        <v>49.862323635509838</v>
      </c>
      <c r="AN53" s="189">
        <f t="shared" ref="AN53" si="134">IFERROR(AN5/$B53,0)</f>
        <v>1.5217981173557603E-10</v>
      </c>
      <c r="AO53" s="49">
        <f>IF(AK53=".",".",up_RadSpec!$H$5*AO5*$B$53)</f>
        <v>0.50130208333333326</v>
      </c>
      <c r="AP53" s="49">
        <f>IF(AL53=".",".",up_RadSpec!$K$5*AP5*$B$53)</f>
        <v>7.8481735159817364E-5</v>
      </c>
      <c r="AQ53" s="49">
        <f t="shared" si="118"/>
        <v>0.50138056506849304</v>
      </c>
      <c r="AR53" s="60">
        <f>IFERROR(AR5/$B53,".")</f>
        <v>11.363636363636363</v>
      </c>
      <c r="AS53" s="60">
        <f>IFERROR(AS5/$B53,".")</f>
        <v>199090.90909090909</v>
      </c>
      <c r="AT53" s="63">
        <f>IFERROR(AT5/$B53,".")</f>
        <v>9090.9090909090901</v>
      </c>
      <c r="AU53" s="63">
        <f>IFERROR(AU5/$B53,".")</f>
        <v>9090.9090909090901</v>
      </c>
      <c r="AV53" s="233">
        <f t="shared" si="41"/>
        <v>8.8000000000000009E-2</v>
      </c>
      <c r="AW53" s="233">
        <f t="shared" si="41"/>
        <v>5.0228310502283103E-6</v>
      </c>
      <c r="AX53" s="233">
        <f t="shared" si="41"/>
        <v>1.1E-4</v>
      </c>
      <c r="AY53" s="233">
        <f t="shared" si="41"/>
        <v>1.1E-4</v>
      </c>
      <c r="AZ53" s="63">
        <f>IFERROR(AZ5/$B53,".")</f>
        <v>11.334652776627635</v>
      </c>
      <c r="BA53" s="189">
        <f t="shared" ref="BA53" si="135">IFERROR(BA5/$B53,0)</f>
        <v>3.4593360274267547E-11</v>
      </c>
      <c r="BB53" s="49">
        <f>IF(AR53=".",".",up_RadSpec!$I$5*BB5*$B$53)</f>
        <v>2.2000000000000002</v>
      </c>
      <c r="BC53" s="49">
        <f>IF(AS53=".",".",up_RadSpec!$M$5*BC5*$B$53)</f>
        <v>1.2557077625570778E-4</v>
      </c>
      <c r="BD53" s="49">
        <f>IF(AT53=".",".",up_RadSpec!$F$5*BD5*$B$53)</f>
        <v>2.7500000000000003E-3</v>
      </c>
      <c r="BE53" s="49">
        <f>IF(AU53=".",".",up_RadSpec!$F$5*BE5*$B$53)</f>
        <v>2.7500000000000003E-3</v>
      </c>
      <c r="BF53" s="49">
        <f t="shared" si="44"/>
        <v>2.2056255707762555</v>
      </c>
      <c r="BG53" s="63">
        <f>IFERROR(BG5/$B53,".")</f>
        <v>90.909090909090907</v>
      </c>
      <c r="BH53" s="63">
        <f>IFERROR(BH5/$B53,".")</f>
        <v>90.909090909090907</v>
      </c>
      <c r="BI53" s="189">
        <f t="shared" ref="BI53:BJ53" si="136">IFERROR(BI5/$B53,0)</f>
        <v>2.7745454545454547E-7</v>
      </c>
      <c r="BJ53" s="189">
        <f t="shared" si="136"/>
        <v>2.7745454545454547E-7</v>
      </c>
      <c r="BK53" s="49">
        <f>IF(BG53=".",".",up_RadSpec!$F$5*BK5*$B$53)</f>
        <v>0.27500000000000002</v>
      </c>
      <c r="BL53" s="49">
        <f>IF(BH53=".",".",up_RadSpec!$F$5*BL5*$B$53)</f>
        <v>0.27500000000000002</v>
      </c>
    </row>
    <row r="54" spans="1:64" x14ac:dyDescent="0.25">
      <c r="A54" s="48" t="s">
        <v>1075</v>
      </c>
      <c r="B54" s="15">
        <v>0.99999979999999999</v>
      </c>
      <c r="C54" s="238"/>
      <c r="D54" s="60">
        <f>IFERROR(D9/$B54,".")</f>
        <v>0.3305785785124099</v>
      </c>
      <c r="E54" s="60">
        <f>IFERROR(E9/$B54,".")</f>
        <v>3089.9924031927726</v>
      </c>
      <c r="F54" s="60">
        <f>IFERROR(F9/$B54,".")</f>
        <v>260.02186505370895</v>
      </c>
      <c r="G54" s="63">
        <f>IFERROR(G9/$B54,".")</f>
        <v>7.5757590909093941E-5</v>
      </c>
      <c r="H54" s="63">
        <f>IFERROR(H9/$B54,".")</f>
        <v>7.5757590909093941E-5</v>
      </c>
      <c r="I54" s="233">
        <f t="shared" si="10"/>
        <v>3.024999395</v>
      </c>
      <c r="J54" s="233">
        <f t="shared" si="10"/>
        <v>3.2362539110670233E-4</v>
      </c>
      <c r="K54" s="233">
        <f t="shared" si="10"/>
        <v>3.8458304258122467E-3</v>
      </c>
      <c r="L54" s="233">
        <f t="shared" si="10"/>
        <v>13199.997359999999</v>
      </c>
      <c r="M54" s="233">
        <f t="shared" si="10"/>
        <v>13199.997359999999</v>
      </c>
      <c r="N54" s="63">
        <f>IFERROR(N9/$B54,".")</f>
        <v>3.7874449692191101E-5</v>
      </c>
      <c r="O54" s="189">
        <f>IFERROR(O9/$B54,0)</f>
        <v>1.1347185127780453E-13</v>
      </c>
      <c r="P54" s="49">
        <f>IF(D54=".",".",up_RadSpec!$E$9*P9*$B$54)</f>
        <v>75.624984874999996</v>
      </c>
      <c r="Q54" s="49">
        <f>IF(E54=".",".",up_RadSpec!$H$9*Q9*$B$54)</f>
        <v>8.0906347776675581E-3</v>
      </c>
      <c r="R54" s="49">
        <f>IF(F54=".",".",up_RadSpec!$G$9*R9*$B$54)</f>
        <v>9.6145760645306166E-2</v>
      </c>
      <c r="S54" s="49">
        <f>IF(G54=".",".",up_RadSpec!$F$9*S9*$B$54)</f>
        <v>329999.93400000001</v>
      </c>
      <c r="T54" s="49">
        <f>IF(H54=".",".",up_RadSpec!$F$9*T9*$B$54)</f>
        <v>329999.93400000001</v>
      </c>
      <c r="U54" s="49">
        <f t="shared" si="115"/>
        <v>660075.59722127044</v>
      </c>
      <c r="V54" s="60">
        <f>IFERROR(V9/$B54,".")</f>
        <v>260.02186505370895</v>
      </c>
      <c r="W54" s="60">
        <f>IFERROR(W9/$B54,".")</f>
        <v>532.56828833183977</v>
      </c>
      <c r="X54" s="60">
        <f>IFERROR(X9/$B54,".")</f>
        <v>374.72546918109185</v>
      </c>
      <c r="Y54" s="60">
        <f>IFERROR(Y9/$B54,".")</f>
        <v>308.89262376199588</v>
      </c>
      <c r="Z54" s="60">
        <f>IFERROR(Z9/$B54,".")</f>
        <v>943.32728410522873</v>
      </c>
      <c r="AA54" s="189">
        <f t="shared" ref="AA54:AE54" si="137">IFERROR(AA9/$B54,0)</f>
        <v>7.79025507700912E-7</v>
      </c>
      <c r="AB54" s="189">
        <f t="shared" si="137"/>
        <v>1.5955745918421922E-6</v>
      </c>
      <c r="AC54" s="189">
        <f t="shared" si="137"/>
        <v>1.1226775056665511E-6</v>
      </c>
      <c r="AD54" s="189">
        <f t="shared" si="137"/>
        <v>9.2544230079093955E-7</v>
      </c>
      <c r="AE54" s="189">
        <f t="shared" si="137"/>
        <v>2.8262085431792655E-6</v>
      </c>
      <c r="AF54" s="49">
        <f>IF(V54=".",".",up_RadSpec!$G$9*AF9*$B$54)</f>
        <v>9.6145760645306166E-2</v>
      </c>
      <c r="AG54" s="49">
        <f>IF(W54=".",".",up_RadSpec!$N$9*AG9*$B$54)</f>
        <v>4.6942336875346713E-2</v>
      </c>
      <c r="AH54" s="49">
        <f>IF(X54=".",".",up_RadSpec!$O$9*AH9*$B$54)</f>
        <v>6.6715507901381435E-2</v>
      </c>
      <c r="AI54" s="49">
        <f>IF(Y54=".",".",up_RadSpec!$P$9*AI9*$B$54)</f>
        <v>8.0934273196703752E-2</v>
      </c>
      <c r="AJ54" s="49">
        <f>IF(Z54=".",".",up_RadSpec!$L$9*AJ9*$B$54)</f>
        <v>2.6501936731018198E-2</v>
      </c>
      <c r="AK54" s="60">
        <f>IFERROR(AK9/$B54,".")</f>
        <v>9.9740279688315687E-3</v>
      </c>
      <c r="AL54" s="60">
        <f>IFERROR(AL9/$B54,".")</f>
        <v>63.709103650911644</v>
      </c>
      <c r="AM54" s="60">
        <f>IFERROR(AM9/$B54,".")</f>
        <v>9.9724667215953123E-3</v>
      </c>
      <c r="AN54" s="189">
        <f t="shared" ref="AN54" si="138">IFERROR(AN9/$B54,0)</f>
        <v>2.9877510297899558E-14</v>
      </c>
      <c r="AO54" s="49">
        <f>IF(AK54=".",".",up_RadSpec!$H$9*AO9*$B$54)</f>
        <v>2506.5099153645829</v>
      </c>
      <c r="AP54" s="49">
        <f>IF(AL54=".",".",up_RadSpec!$K$9*AP9*$B$54)</f>
        <v>0.39240859731735162</v>
      </c>
      <c r="AQ54" s="49">
        <f t="shared" si="118"/>
        <v>2506.9023239619</v>
      </c>
      <c r="AR54" s="60">
        <f>IFERROR(AR9/$B54,".")</f>
        <v>2.2727277272728179E-3</v>
      </c>
      <c r="AS54" s="60">
        <f>IFERROR(AS9/$B54,".")</f>
        <v>39.818189781819775</v>
      </c>
      <c r="AT54" s="63">
        <f>IFERROR(AT9/$B54,".")</f>
        <v>1.8181821818182544</v>
      </c>
      <c r="AU54" s="63">
        <f>IFERROR(AU9/$B54,".")</f>
        <v>1.8181821818182544</v>
      </c>
      <c r="AV54" s="233">
        <f t="shared" si="41"/>
        <v>439.99991200000005</v>
      </c>
      <c r="AW54" s="233">
        <f t="shared" si="41"/>
        <v>2.5114150228310501E-2</v>
      </c>
      <c r="AX54" s="233">
        <f t="shared" si="41"/>
        <v>0.54999989000000005</v>
      </c>
      <c r="AY54" s="233">
        <f t="shared" si="41"/>
        <v>0.54999989000000005</v>
      </c>
      <c r="AZ54" s="63">
        <f>IFERROR(AZ9/$B54,".")</f>
        <v>2.2669310087117291E-3</v>
      </c>
      <c r="BA54" s="189">
        <f t="shared" ref="BA54" si="139">IFERROR(BA9/$B54,0)</f>
        <v>6.7917253021003403E-15</v>
      </c>
      <c r="BB54" s="49">
        <f>IF(AR54=".",".",up_RadSpec!$I$9*BB9*$B$54)</f>
        <v>10999.997799999999</v>
      </c>
      <c r="BC54" s="49">
        <f>IF(AS54=".",".",up_RadSpec!$M$9*BC9*$B$54)</f>
        <v>0.62785375570776258</v>
      </c>
      <c r="BD54" s="49">
        <f>IF(AT54=".",".",up_RadSpec!$F$9*BD9*$B$54)</f>
        <v>13.74999725</v>
      </c>
      <c r="BE54" s="49">
        <f>IF(AU54=".",".",up_RadSpec!$F$9*BE9*$B$54)</f>
        <v>13.74999725</v>
      </c>
      <c r="BF54" s="49">
        <f t="shared" si="44"/>
        <v>11028.125648255709</v>
      </c>
      <c r="BG54" s="63">
        <f>IFERROR(BG9/$B54,".")</f>
        <v>1.8181821818182543E-2</v>
      </c>
      <c r="BH54" s="63">
        <f>IFERROR(BH9/$B54,".")</f>
        <v>1.8181821818182543E-2</v>
      </c>
      <c r="BI54" s="189">
        <f t="shared" ref="BI54:BJ54" si="140">IFERROR(BI9/$B54,0)</f>
        <v>5.447273816727491E-11</v>
      </c>
      <c r="BJ54" s="189">
        <f t="shared" si="140"/>
        <v>5.447273816727491E-11</v>
      </c>
      <c r="BK54" s="49">
        <f>IF(BG54=".",".",up_RadSpec!$F$9*BK9*$B$54)</f>
        <v>1374.9997249999999</v>
      </c>
      <c r="BL54" s="49">
        <f>IF(BH54=".",".",up_RadSpec!$F$9*BL9*$B$54)</f>
        <v>1374.9997249999999</v>
      </c>
    </row>
    <row r="55" spans="1:64" x14ac:dyDescent="0.25">
      <c r="A55" s="48" t="s">
        <v>1076</v>
      </c>
      <c r="B55" s="15">
        <v>1.9999999999999999E-7</v>
      </c>
      <c r="C55" s="238"/>
      <c r="D55" s="60">
        <f>IFERROR(D24/$B55,".")</f>
        <v>1652892.5619834713</v>
      </c>
      <c r="E55" s="60">
        <f>IFERROR(E24/$B55,".")</f>
        <v>15449958925.97146</v>
      </c>
      <c r="F55" s="60">
        <f>IFERROR(F24/$B55,".")</f>
        <v>2294368113.7790275</v>
      </c>
      <c r="G55" s="63">
        <f>IFERROR(G24/$B55,".")</f>
        <v>378.78787878787881</v>
      </c>
      <c r="H55" s="63">
        <f>IFERROR(H24/$B55,".")</f>
        <v>378.78787878787881</v>
      </c>
      <c r="I55" s="233">
        <f t="shared" si="10"/>
        <v>6.0499999999999992E-7</v>
      </c>
      <c r="J55" s="233">
        <f t="shared" si="10"/>
        <v>6.4725091166358696E-11</v>
      </c>
      <c r="K55" s="233">
        <f t="shared" si="10"/>
        <v>4.3584985076911285E-10</v>
      </c>
      <c r="L55" s="233">
        <f t="shared" si="10"/>
        <v>2.64E-3</v>
      </c>
      <c r="M55" s="233">
        <f t="shared" si="10"/>
        <v>2.64E-3</v>
      </c>
      <c r="N55" s="63">
        <f>IFERROR(N24/$B55,".")</f>
        <v>189.37222253984362</v>
      </c>
      <c r="O55" s="189">
        <f>IFERROR(O24/$B55,0)</f>
        <v>5.7796402319160272E-7</v>
      </c>
      <c r="P55" s="49">
        <f>IF(D55=".",".",up_RadSpec!$E$24*P24*$B$55)</f>
        <v>1.5125E-5</v>
      </c>
      <c r="Q55" s="49">
        <f>IF(E55=".",".",up_RadSpec!$H$24*Q24*$B$55)</f>
        <v>1.6181272791589676E-9</v>
      </c>
      <c r="R55" s="49">
        <f>IF(F55=".",".",up_RadSpec!$G$24*R24*$B$55)</f>
        <v>1.089624626922782E-8</v>
      </c>
      <c r="S55" s="49">
        <f>IF(G55=".",".",up_RadSpec!$F$24*S24*$B$55)</f>
        <v>6.6000000000000003E-2</v>
      </c>
      <c r="T55" s="49">
        <f>IF(H55=".",".",up_RadSpec!$F$24*T24*$B$55)</f>
        <v>6.6000000000000003E-2</v>
      </c>
      <c r="U55" s="49">
        <f t="shared" si="115"/>
        <v>0.13201513751437355</v>
      </c>
      <c r="V55" s="60">
        <f>IFERROR(V24/$B55,".")</f>
        <v>2294368113.7790275</v>
      </c>
      <c r="W55" s="60">
        <f>IFERROR(W24/$B55,".")</f>
        <v>4159723721.1310172</v>
      </c>
      <c r="X55" s="60">
        <f>IFERROR(X24/$B55,".")</f>
        <v>2937033740.1551671</v>
      </c>
      <c r="Y55" s="60">
        <f>IFERROR(Y24/$B55,".")</f>
        <v>2452613601.3662963</v>
      </c>
      <c r="Z55" s="60">
        <f>IFERROR(Z24/$B55,".")</f>
        <v>6913486513.4865122</v>
      </c>
      <c r="AA55" s="189">
        <f t="shared" ref="AA55:AE55" si="141">IFERROR(AA24/$B55,0)</f>
        <v>7.0024114832535922</v>
      </c>
      <c r="AB55" s="189">
        <f t="shared" si="141"/>
        <v>12.695476796891864</v>
      </c>
      <c r="AC55" s="189">
        <f t="shared" si="141"/>
        <v>8.9638269749535713</v>
      </c>
      <c r="AD55" s="189">
        <f t="shared" si="141"/>
        <v>7.4853767113699359</v>
      </c>
      <c r="AE55" s="189">
        <f t="shared" si="141"/>
        <v>21.099960839160833</v>
      </c>
      <c r="AF55" s="49">
        <f>IF(V55=".",".",up_RadSpec!$G$24*AF24*$B$55)</f>
        <v>1.089624626922782E-8</v>
      </c>
      <c r="AG55" s="49">
        <f>IF(W55=".",".",up_RadSpec!$N$24*AG24*$B$55)</f>
        <v>6.0100145288501442E-9</v>
      </c>
      <c r="AH55" s="49">
        <f>IF(X55=".",".",up_RadSpec!$O$24*AH24*$B$55)</f>
        <v>8.5119893783308114E-9</v>
      </c>
      <c r="AI55" s="49">
        <f>IF(Y55=".",".",up_RadSpec!$P$24*AI24*$B$55)</f>
        <v>1.0193207762557076E-8</v>
      </c>
      <c r="AJ55" s="49">
        <f>IF(Z55=".",".",up_RadSpec!$L$24*AJ24*$B$55)</f>
        <v>3.6161204554650027E-9</v>
      </c>
      <c r="AK55" s="60">
        <f>IFERROR(AK24/$B55,".")</f>
        <v>49870.12987012988</v>
      </c>
      <c r="AL55" s="60">
        <f>IFERROR(AL24/$B55,".")</f>
        <v>318545454.54545456</v>
      </c>
      <c r="AM55" s="60">
        <f>IFERROR(AM24/$B55,".")</f>
        <v>49862.323635509842</v>
      </c>
      <c r="AN55" s="189">
        <f t="shared" ref="AN55" si="142">IFERROR(AN24/$B55,0)</f>
        <v>1.5217981173557604E-7</v>
      </c>
      <c r="AO55" s="49">
        <f>IF(AK55=".",".",up_RadSpec!$H$24*AO24*$B$55)</f>
        <v>5.013020833333332E-4</v>
      </c>
      <c r="AP55" s="49">
        <f>IF(AL55=".",".",up_RadSpec!$K$24*AP24*$B$55)</f>
        <v>7.8481735159817348E-8</v>
      </c>
      <c r="AQ55" s="49">
        <f t="shared" si="118"/>
        <v>5.0138056506849303E-4</v>
      </c>
      <c r="AR55" s="60">
        <f>IFERROR(AR24/$B55,".")</f>
        <v>11363.636363636364</v>
      </c>
      <c r="AS55" s="60">
        <f>IFERROR(AS24/$B55,".")</f>
        <v>199090909.09090912</v>
      </c>
      <c r="AT55" s="63">
        <f>IFERROR(AT24/$B55,".")</f>
        <v>9090909.0909090918</v>
      </c>
      <c r="AU55" s="63">
        <f>IFERROR(AU24/$B55,".")</f>
        <v>9090909.0909090918</v>
      </c>
      <c r="AV55" s="233">
        <f t="shared" si="41"/>
        <v>8.7999999999999998E-5</v>
      </c>
      <c r="AW55" s="233">
        <f t="shared" si="41"/>
        <v>5.0228310502283097E-9</v>
      </c>
      <c r="AX55" s="233">
        <f t="shared" si="41"/>
        <v>1.0999999999999999E-7</v>
      </c>
      <c r="AY55" s="233">
        <f t="shared" si="41"/>
        <v>1.0999999999999999E-7</v>
      </c>
      <c r="AZ55" s="63">
        <f>IFERROR(AZ24/$B55,".")</f>
        <v>11334.652776627636</v>
      </c>
      <c r="BA55" s="189">
        <f t="shared" ref="BA55" si="143">IFERROR(BA24/$B55,0)</f>
        <v>3.4593360274267548E-8</v>
      </c>
      <c r="BB55" s="49">
        <f>IF(AR55=".",".",up_RadSpec!$I$24*BB24*$B$55)</f>
        <v>2.1999999999999997E-3</v>
      </c>
      <c r="BC55" s="49">
        <f>IF(AS55=".",".",up_RadSpec!$M$24*BC24*$B$55)</f>
        <v>1.2557077625570775E-7</v>
      </c>
      <c r="BD55" s="49">
        <f>IF(AT55=".",".",up_RadSpec!$F$24*BD24*$B$55)</f>
        <v>2.7499999999999999E-6</v>
      </c>
      <c r="BE55" s="49">
        <f>IF(AU55=".",".",up_RadSpec!$F$24*BE24*$B$55)</f>
        <v>2.7499999999999999E-6</v>
      </c>
      <c r="BF55" s="49">
        <f t="shared" si="44"/>
        <v>2.2056255707762558E-3</v>
      </c>
      <c r="BG55" s="63">
        <f>IFERROR(BG24/$B55,".")</f>
        <v>90909.090909090912</v>
      </c>
      <c r="BH55" s="63">
        <f>IFERROR(BH24/$B55,".")</f>
        <v>90909.090909090912</v>
      </c>
      <c r="BI55" s="189">
        <f t="shared" ref="BI55:BJ55" si="144">IFERROR(BI24/$B55,0)</f>
        <v>2.7745454545454547E-4</v>
      </c>
      <c r="BJ55" s="189">
        <f t="shared" si="144"/>
        <v>2.7745454545454547E-4</v>
      </c>
      <c r="BK55" s="49">
        <f>IF(BG55=".",".",up_RadSpec!$F$24*BK24*$B$55)</f>
        <v>2.7499999999999996E-4</v>
      </c>
      <c r="BL55" s="49">
        <f>IF(BH55=".",".",up_RadSpec!$F$24*BL24*$B$55)</f>
        <v>2.7499999999999996E-4</v>
      </c>
    </row>
    <row r="56" spans="1:64" x14ac:dyDescent="0.25">
      <c r="A56" s="48" t="s">
        <v>1077</v>
      </c>
      <c r="B56" s="15">
        <v>0.99979000004200003</v>
      </c>
      <c r="C56" s="238"/>
      <c r="D56" s="60">
        <f>IFERROR(D20/$B56,".")</f>
        <v>0.33064794845198192</v>
      </c>
      <c r="E56" s="60">
        <f>IFERROR(E20/$B56,".")</f>
        <v>3090.6408196366087</v>
      </c>
      <c r="F56" s="60">
        <f>IFERROR(F20/$B56,".")</f>
        <v>359.46960422736817</v>
      </c>
      <c r="G56" s="63">
        <f>IFERROR(G20/$B56,".")</f>
        <v>7.577348818691252E-5</v>
      </c>
      <c r="H56" s="63">
        <f>IFERROR(H20/$B56,".")</f>
        <v>7.577348818691252E-5</v>
      </c>
      <c r="I56" s="233">
        <f t="shared" si="10"/>
        <v>3.0243647501270501</v>
      </c>
      <c r="J56" s="233">
        <f t="shared" si="10"/>
        <v>3.2355749449966109E-4</v>
      </c>
      <c r="K56" s="233">
        <f t="shared" si="10"/>
        <v>2.7818763763054911E-3</v>
      </c>
      <c r="L56" s="233">
        <f t="shared" si="10"/>
        <v>13197.2280005544</v>
      </c>
      <c r="M56" s="233">
        <f t="shared" si="10"/>
        <v>13197.2280005544</v>
      </c>
      <c r="N56" s="63">
        <f>IFERROR(N20/$B56,".")</f>
        <v>3.7882398944865242E-5</v>
      </c>
      <c r="O56" s="189">
        <f>IFERROR(O20/$B56,0)</f>
        <v>1.1349566723881628E-13</v>
      </c>
      <c r="P56" s="49">
        <f>IF(D56=".",".",up_RadSpec!$E$20*P20*$B$56)</f>
        <v>75.609118753176247</v>
      </c>
      <c r="Q56" s="49">
        <f>IF(E56=".",".",up_RadSpec!$H$20*Q20*$B$56)</f>
        <v>8.0889373624915273E-3</v>
      </c>
      <c r="R56" s="49">
        <f>IF(F56=".",".",up_RadSpec!$G$20*R20*$B$56)</f>
        <v>6.9546909407637275E-2</v>
      </c>
      <c r="S56" s="49">
        <f>IF(G56=".",".",up_RadSpec!$F$20*S20*$B$56)</f>
        <v>329930.70001386001</v>
      </c>
      <c r="T56" s="49">
        <f>IF(H56=".",".",up_RadSpec!$F$20*T20*$B$56)</f>
        <v>329930.70001386001</v>
      </c>
      <c r="U56" s="49">
        <f t="shared" si="115"/>
        <v>659937.08678231994</v>
      </c>
      <c r="V56" s="60">
        <f>IFERROR(V20/$B56,".")</f>
        <v>359.46960422736817</v>
      </c>
      <c r="W56" s="60">
        <f>IFERROR(W20/$B56,".")</f>
        <v>708.90810480460334</v>
      </c>
      <c r="X56" s="60">
        <f>IFERROR(X20/$B56,".")</f>
        <v>496.00825761736326</v>
      </c>
      <c r="Y56" s="60">
        <f>IFERROR(Y20/$B56,".")</f>
        <v>416.48674918735929</v>
      </c>
      <c r="Z56" s="60">
        <f>IFERROR(Z20/$B56,".")</f>
        <v>1207.9522776261756</v>
      </c>
      <c r="AA56" s="189">
        <f t="shared" ref="AA56:AE56" si="145">IFERROR(AA20/$B56,0)</f>
        <v>1.076970934265195E-6</v>
      </c>
      <c r="AB56" s="189">
        <f t="shared" si="145"/>
        <v>2.1238886819945916E-6</v>
      </c>
      <c r="AC56" s="189">
        <f t="shared" si="145"/>
        <v>1.4860407398216206E-6</v>
      </c>
      <c r="AD56" s="189">
        <f t="shared" si="145"/>
        <v>1.2477943005653284E-6</v>
      </c>
      <c r="AE56" s="189">
        <f t="shared" si="145"/>
        <v>3.6190250237680228E-6</v>
      </c>
      <c r="AF56" s="49">
        <f>IF(V56=".",".",up_RadSpec!$G$20*AF20*$B$56)</f>
        <v>6.9546909407637275E-2</v>
      </c>
      <c r="AG56" s="49">
        <f>IF(W56=".",".",up_RadSpec!$N$20*AG20*$B$56)</f>
        <v>3.5265501735081389E-2</v>
      </c>
      <c r="AH56" s="49">
        <f>IF(X56=".",".",up_RadSpec!$O$20*AH20*$B$56)</f>
        <v>5.0402386686243042E-2</v>
      </c>
      <c r="AI56" s="49">
        <f>IF(Y56=".",".",up_RadSpec!$P$20*AI20*$B$56)</f>
        <v>6.0025919309028439E-2</v>
      </c>
      <c r="AJ56" s="49">
        <f>IF(Z56=".",".",up_RadSpec!$L$20*AJ20*$B$56)</f>
        <v>2.0696181846793733E-2</v>
      </c>
      <c r="AK56" s="60">
        <f>IFERROR(AK20/$B56,".")</f>
        <v>9.976120959008369E-3</v>
      </c>
      <c r="AL56" s="60">
        <f>IFERROR(AL20/$B56,".")</f>
        <v>63.722472625665958</v>
      </c>
      <c r="AM56" s="60">
        <f>IFERROR(AM20/$B56,".")</f>
        <v>9.974559384153708E-3</v>
      </c>
      <c r="AN56" s="189">
        <f t="shared" ref="AN56" si="146">IFERROR(AN20/$B56,0)</f>
        <v>2.9883779914924509E-14</v>
      </c>
      <c r="AO56" s="49">
        <f>IF(AK56=".",".",up_RadSpec!$H$20*AO20*$B$56)</f>
        <v>2505.9840495844396</v>
      </c>
      <c r="AP56" s="49">
        <f>IF(AL56=".",".",up_RadSpec!$K$20*AP20*$B$56)</f>
        <v>0.39232626999365017</v>
      </c>
      <c r="AQ56" s="49">
        <f t="shared" si="118"/>
        <v>2506.3763758544333</v>
      </c>
      <c r="AR56" s="60">
        <f>IFERROR(AR20/$B56,".")</f>
        <v>2.2732046456073753E-3</v>
      </c>
      <c r="AS56" s="60">
        <f>IFERROR(AS20/$B56,".")</f>
        <v>39.826545391041222</v>
      </c>
      <c r="AT56" s="63">
        <f>IFERROR(AT20/$B56,".")</f>
        <v>1.8185637164859005</v>
      </c>
      <c r="AU56" s="63">
        <f>IFERROR(AU20/$B56,".")</f>
        <v>1.8185637164859005</v>
      </c>
      <c r="AV56" s="233">
        <f t="shared" si="41"/>
        <v>439.90760001848008</v>
      </c>
      <c r="AW56" s="233">
        <f t="shared" si="41"/>
        <v>2.5108881279593608E-2</v>
      </c>
      <c r="AX56" s="233">
        <f t="shared" si="41"/>
        <v>0.54988450002309996</v>
      </c>
      <c r="AY56" s="233">
        <f t="shared" si="41"/>
        <v>0.54988450002309996</v>
      </c>
      <c r="AZ56" s="63">
        <f>IFERROR(AZ20/$B56,".")</f>
        <v>2.2674067106395303E-3</v>
      </c>
      <c r="BA56" s="189">
        <f t="shared" ref="BA56" si="147">IFERROR(BA20/$B56,0)</f>
        <v>6.7931505050760338E-15</v>
      </c>
      <c r="BB56" s="49">
        <f>IF(AR56=".",".",up_RadSpec!$I$20*BB20*$B$56)</f>
        <v>10997.690000462</v>
      </c>
      <c r="BC56" s="49">
        <f>IF(AS56=".",".",up_RadSpec!$M$20*BC20*$B$56)</f>
        <v>0.62772203198984022</v>
      </c>
      <c r="BD56" s="49">
        <f>IF(AT56=".",".",up_RadSpec!$F$20*BD20*$B$56)</f>
        <v>13.747112500577501</v>
      </c>
      <c r="BE56" s="49">
        <f>IF(AU56=".",".",up_RadSpec!$F$20*BE20*$B$56)</f>
        <v>13.747112500577501</v>
      </c>
      <c r="BF56" s="49">
        <f t="shared" si="44"/>
        <v>11025.811947495145</v>
      </c>
      <c r="BG56" s="63">
        <f>IFERROR(BG20/$B56,".")</f>
        <v>1.8185637164859002E-2</v>
      </c>
      <c r="BH56" s="63">
        <f>IFERROR(BH20/$B56,".")</f>
        <v>1.8185637164859002E-2</v>
      </c>
      <c r="BI56" s="189">
        <f t="shared" ref="BI56:BJ56" si="148">IFERROR(BI20/$B56,0)</f>
        <v>5.4484168945917579E-11</v>
      </c>
      <c r="BJ56" s="189">
        <f t="shared" si="148"/>
        <v>5.4484168945917579E-11</v>
      </c>
      <c r="BK56" s="49">
        <f>IF(BG56=".",".",up_RadSpec!$F$20*BK20*$B$56)</f>
        <v>1374.71125005775</v>
      </c>
      <c r="BL56" s="49">
        <f>IF(BH56=".",".",up_RadSpec!$F$20*BL20*$B$56)</f>
        <v>1374.71125005775</v>
      </c>
    </row>
    <row r="57" spans="1:64" x14ac:dyDescent="0.25">
      <c r="A57" s="48" t="s">
        <v>1078</v>
      </c>
      <c r="B57" s="15">
        <v>2.0999995799999999E-4</v>
      </c>
      <c r="C57" s="238"/>
      <c r="D57" s="60">
        <f>IFERROR(D29/$B57,".")</f>
        <v>1574.1837072019521</v>
      </c>
      <c r="E57" s="60">
        <f>IFERROR(E29/$B57,".")</f>
        <v>14714249.539013203</v>
      </c>
      <c r="F57" s="60">
        <f>IFERROR(F29/$B57,".")</f>
        <v>1346959.3212689497</v>
      </c>
      <c r="G57" s="63">
        <f>IFERROR(G29/$B57,".")</f>
        <v>0.36075043290044734</v>
      </c>
      <c r="H57" s="63">
        <f>IFERROR(H29/$B57,".")</f>
        <v>0.36075043290044734</v>
      </c>
      <c r="I57" s="233">
        <f t="shared" si="10"/>
        <v>6.3524987294999999E-4</v>
      </c>
      <c r="J57" s="233">
        <f t="shared" si="10"/>
        <v>6.7961332132407484E-8</v>
      </c>
      <c r="K57" s="233">
        <f t="shared" si="10"/>
        <v>7.4241291790305542E-7</v>
      </c>
      <c r="L57" s="233">
        <f t="shared" si="10"/>
        <v>2.7719994456000001</v>
      </c>
      <c r="M57" s="233">
        <f t="shared" si="10"/>
        <v>2.7719994456000001</v>
      </c>
      <c r="N57" s="63">
        <f>IFERROR(N29/$B57,".")</f>
        <v>0.18035452446494984</v>
      </c>
      <c r="O57" s="189">
        <f>IFERROR(O29/$B57,0)</f>
        <v>5.3024230192695263E-10</v>
      </c>
      <c r="P57" s="49">
        <f>IF(D57=".",".",up_RadSpec!$E$29*P29*$B$57)</f>
        <v>1.588124682375E-2</v>
      </c>
      <c r="Q57" s="49">
        <f>IF(E57=".",".",up_RadSpec!$H$29*Q29*$B$57)</f>
        <v>1.6990333033101872E-6</v>
      </c>
      <c r="R57" s="49">
        <f>IF(F57=".",".",up_RadSpec!$G$29*R29*$B$57)</f>
        <v>1.8560322947576384E-5</v>
      </c>
      <c r="S57" s="49">
        <f>IF(G57=".",".",up_RadSpec!$F$29*S29*$B$57)</f>
        <v>69.299986140000001</v>
      </c>
      <c r="T57" s="49">
        <f>IF(H57=".",".",up_RadSpec!$F$29*T29*$B$57)</f>
        <v>69.299986140000001</v>
      </c>
      <c r="U57" s="49">
        <f t="shared" si="115"/>
        <v>138.61587378618</v>
      </c>
      <c r="V57" s="60">
        <f>IFERROR(V29/$B57,".")</f>
        <v>1346959.3212689497</v>
      </c>
      <c r="W57" s="60">
        <f>IFERROR(W29/$B57,".")</f>
        <v>2687810.9727410492</v>
      </c>
      <c r="X57" s="60">
        <f>IFERROR(X29/$B57,".")</f>
        <v>1914785.105623517</v>
      </c>
      <c r="Y57" s="60">
        <f>IFERROR(Y29/$B57,".")</f>
        <v>1624232.093078186</v>
      </c>
      <c r="Z57" s="60">
        <f>IFERROR(Z29/$B57,".")</f>
        <v>4826447.2462811852</v>
      </c>
      <c r="AA57" s="189">
        <f t="shared" ref="AA57:AE57" si="149">IFERROR(AA29/$B57,0)</f>
        <v>3.9600604045307124E-3</v>
      </c>
      <c r="AB57" s="189">
        <f t="shared" si="149"/>
        <v>7.9021642598586864E-3</v>
      </c>
      <c r="AC57" s="189">
        <f t="shared" si="149"/>
        <v>5.6294682105331399E-3</v>
      </c>
      <c r="AD57" s="189">
        <f t="shared" si="149"/>
        <v>4.7752423536498671E-3</v>
      </c>
      <c r="AE57" s="189">
        <f t="shared" si="149"/>
        <v>1.4189754904066685E-2</v>
      </c>
      <c r="AF57" s="49">
        <f>IF(V57=".",".",up_RadSpec!$G$29*AF29*$B$57)</f>
        <v>1.8560322947576384E-5</v>
      </c>
      <c r="AG57" s="49">
        <f>IF(W57=".",".",up_RadSpec!$N$29*AG29*$B$57)</f>
        <v>9.3012493265122792E-6</v>
      </c>
      <c r="AH57" s="49">
        <f>IF(X57=".",".",up_RadSpec!$O$29*AH29*$B$57)</f>
        <v>1.3056295417474109E-5</v>
      </c>
      <c r="AI57" s="49">
        <f>IF(Y57=".",".",up_RadSpec!$P$29*AI29*$B$57)</f>
        <v>1.5391888946499574E-5</v>
      </c>
      <c r="AJ57" s="49">
        <f>IF(Z57=".",".",up_RadSpec!$L$29*AJ29*$B$57)</f>
        <v>5.1797934845890407E-6</v>
      </c>
      <c r="AK57" s="60">
        <f>IFERROR(AK29/$B57,".")</f>
        <v>47.49537128015033</v>
      </c>
      <c r="AL57" s="60">
        <f>IFERROR(AL29/$B57,".")</f>
        <v>303376.68405196024</v>
      </c>
      <c r="AM57" s="60">
        <f>IFERROR(AM29/$B57,".")</f>
        <v>47.487936769501488</v>
      </c>
      <c r="AN57" s="189">
        <f t="shared" ref="AN57" si="150">IFERROR(AN29/$B57,0)</f>
        <v>1.3961453410233441E-10</v>
      </c>
      <c r="AO57" s="49">
        <f>IF(AK57=".",".",up_RadSpec!$H$29*AO29*$B$57)</f>
        <v>0.52636708222656237</v>
      </c>
      <c r="AP57" s="49">
        <f>IF(AL57=".",".",up_RadSpec!$K$29*AP29*$B$57)</f>
        <v>8.2405805436643834E-5</v>
      </c>
      <c r="AQ57" s="49">
        <f t="shared" si="118"/>
        <v>0.52644948803199898</v>
      </c>
      <c r="AR57" s="60">
        <f>IFERROR(AR29/$B57,".")</f>
        <v>10.82251298701342</v>
      </c>
      <c r="AS57" s="60">
        <f>IFERROR(AS29/$B57,".")</f>
        <v>189610.42753247515</v>
      </c>
      <c r="AT57" s="63">
        <f>IFERROR(AT29/$B57,".")</f>
        <v>8658.0103896107357</v>
      </c>
      <c r="AU57" s="63">
        <f>IFERROR(AU29/$B57,".")</f>
        <v>8658.0103896107357</v>
      </c>
      <c r="AV57" s="233">
        <f t="shared" si="41"/>
        <v>9.2399981519999994E-2</v>
      </c>
      <c r="AW57" s="233">
        <f t="shared" si="41"/>
        <v>5.273971547945205E-6</v>
      </c>
      <c r="AX57" s="233">
        <f t="shared" si="41"/>
        <v>1.1549997690000001E-4</v>
      </c>
      <c r="AY57" s="233">
        <f t="shared" si="41"/>
        <v>1.1549997690000001E-4</v>
      </c>
      <c r="AZ57" s="63">
        <f>IFERROR(AZ29/$B57,".")</f>
        <v>10.794909565293947</v>
      </c>
      <c r="BA57" s="189">
        <f t="shared" ref="BA57" si="151">IFERROR(BA29/$B57,0)</f>
        <v>3.1737034121964206E-11</v>
      </c>
      <c r="BB57" s="49">
        <f>IF(AR57=".",".",up_RadSpec!$I$29*BB29*$B$57)</f>
        <v>2.309999538</v>
      </c>
      <c r="BC57" s="49">
        <f>IF(AS57=".",".",up_RadSpec!$M$29*BC29*$B$57)</f>
        <v>1.3184928869863012E-4</v>
      </c>
      <c r="BD57" s="49">
        <f>IF(AT57=".",".",up_RadSpec!$F$29*BD29*$B$57)</f>
        <v>2.8874994224999998E-3</v>
      </c>
      <c r="BE57" s="49">
        <f>IF(AU57=".",".",up_RadSpec!$F$29*BE29*$B$57)</f>
        <v>2.8874994224999998E-3</v>
      </c>
      <c r="BF57" s="49">
        <f t="shared" si="44"/>
        <v>2.3159063861336988</v>
      </c>
      <c r="BG57" s="63">
        <f>IFERROR(BG29/$B57,".")</f>
        <v>86.58010389610736</v>
      </c>
      <c r="BH57" s="63">
        <f>IFERROR(BH29/$B57,".")</f>
        <v>86.58010389610736</v>
      </c>
      <c r="BI57" s="189">
        <f t="shared" ref="BI57:BJ57" si="152">IFERROR(BI29/$B57,0)</f>
        <v>2.5454550545455569E-7</v>
      </c>
      <c r="BJ57" s="189">
        <f t="shared" si="152"/>
        <v>2.5454550545455569E-7</v>
      </c>
      <c r="BK57" s="49">
        <f>IF(BG57=".",".",up_RadSpec!$F$29*BK29*$B$57)</f>
        <v>0.28874994225</v>
      </c>
      <c r="BL57" s="49">
        <f>IF(BH57=".",".",up_RadSpec!$F$29*BL29*$B$57)</f>
        <v>0.28874994225</v>
      </c>
    </row>
    <row r="58" spans="1:64" x14ac:dyDescent="0.25">
      <c r="A58" s="48" t="s">
        <v>1079</v>
      </c>
      <c r="B58" s="15">
        <v>1</v>
      </c>
      <c r="C58" s="238"/>
      <c r="D58" s="60">
        <f>IFERROR(D16/$B58,".")</f>
        <v>0.33057851239669422</v>
      </c>
      <c r="E58" s="60">
        <f>IFERROR(E16/$B58,".")</f>
        <v>3089.9917851942919</v>
      </c>
      <c r="F58" s="60">
        <f>IFERROR(F16/$B58,".")</f>
        <v>7649462.0302510569</v>
      </c>
      <c r="G58" s="63">
        <f>IFERROR(G16/$B58,".")</f>
        <v>7.5757575757575758E-5</v>
      </c>
      <c r="H58" s="63">
        <f>IFERROR(H16/$B58,".")</f>
        <v>7.5757575757575758E-5</v>
      </c>
      <c r="I58" s="233">
        <f t="shared" si="10"/>
        <v>3.0249999999999999</v>
      </c>
      <c r="J58" s="233">
        <f t="shared" si="10"/>
        <v>3.236254558317935E-4</v>
      </c>
      <c r="K58" s="233">
        <f t="shared" si="10"/>
        <v>1.3072814742335282E-7</v>
      </c>
      <c r="L58" s="233">
        <f t="shared" si="10"/>
        <v>13200</v>
      </c>
      <c r="M58" s="233">
        <f t="shared" si="10"/>
        <v>13200</v>
      </c>
      <c r="N58" s="63">
        <f>IFERROR(N16/$B58,".")</f>
        <v>3.7874447633856851E-5</v>
      </c>
      <c r="O58" s="189">
        <f>IFERROR(O16/$B58,0)</f>
        <v>1.1135087604353916E-13</v>
      </c>
      <c r="P58" s="49">
        <f>IF(D58=".",".",up_RadSpec!$E$16*P16*$B$58)</f>
        <v>75.625</v>
      </c>
      <c r="Q58" s="49">
        <f>IF(E58=".",".",up_RadSpec!$H$16*Q16*$B$58)</f>
        <v>8.0906363957948379E-3</v>
      </c>
      <c r="R58" s="49">
        <f>IF(F58=".",".",up_RadSpec!$G$16*R16*$B$58)</f>
        <v>3.2682036855838209E-6</v>
      </c>
      <c r="S58" s="49">
        <f>IF(G58=".",".",up_RadSpec!$F$16*S16*$B$58)</f>
        <v>330000</v>
      </c>
      <c r="T58" s="49">
        <f>IF(H58=".",".",up_RadSpec!$F$16*T16*$B$58)</f>
        <v>330000</v>
      </c>
      <c r="U58" s="49">
        <f t="shared" si="115"/>
        <v>660075.63309390459</v>
      </c>
      <c r="V58" s="60">
        <f>IFERROR(V16/$B58,".")</f>
        <v>7649462.0302510569</v>
      </c>
      <c r="W58" s="60">
        <f>IFERROR(W16/$B58,".")</f>
        <v>13623429.416112348</v>
      </c>
      <c r="X58" s="60">
        <f>IFERROR(X16/$B58,".")</f>
        <v>8184138.0561977783</v>
      </c>
      <c r="Y58" s="60">
        <f>IFERROR(Y16/$B58,".")</f>
        <v>8226424.938046176</v>
      </c>
      <c r="Z58" s="60">
        <f>IFERROR(Z16/$B58,".")</f>
        <v>318545454.54545456</v>
      </c>
      <c r="AA58" s="189">
        <f t="shared" ref="AA58:AE58" si="153">IFERROR(AA16/$B58,0)</f>
        <v>2.2489418368938113E-2</v>
      </c>
      <c r="AB58" s="189">
        <f t="shared" si="153"/>
        <v>4.0052882483370307E-2</v>
      </c>
      <c r="AC58" s="189">
        <f t="shared" si="153"/>
        <v>2.406136588522147E-2</v>
      </c>
      <c r="AD58" s="189">
        <f t="shared" si="153"/>
        <v>2.4185689317855759E-2</v>
      </c>
      <c r="AE58" s="189">
        <f t="shared" si="153"/>
        <v>0.93652363636363656</v>
      </c>
      <c r="AF58" s="49">
        <f>IF(V58=".",".",up_RadSpec!$G$16*AF16*$B$58)</f>
        <v>3.2682036855838209E-6</v>
      </c>
      <c r="AG58" s="49">
        <f>IF(W58=".",".",up_RadSpec!$N$16*AG16*$B$58)</f>
        <v>1.8350739183507384E-6</v>
      </c>
      <c r="AH58" s="49">
        <f>IF(X58=".",".",up_RadSpec!$O$16*AH16*$B$58)</f>
        <v>3.0546894282981589E-6</v>
      </c>
      <c r="AI58" s="49">
        <f>IF(Y58=".",".",up_RadSpec!$P$16*AI16*$B$58)</f>
        <v>3.038987189244037E-6</v>
      </c>
      <c r="AJ58" s="49">
        <f>IF(Z58=".",".",up_RadSpec!$L$16*AJ16*$B$58)</f>
        <v>7.8481735159817348E-8</v>
      </c>
      <c r="AK58" s="60">
        <f>IFERROR(AK16/$B58,".")</f>
        <v>9.9740259740259754E-3</v>
      </c>
      <c r="AL58" s="60">
        <f>IFERROR(AL16/$B58,".")</f>
        <v>63.709090909090911</v>
      </c>
      <c r="AM58" s="60">
        <f>IFERROR(AM16/$B58,".")</f>
        <v>9.9724647271019675E-3</v>
      </c>
      <c r="AN58" s="189">
        <f t="shared" ref="AN58" si="154">IFERROR(AN16/$B58,0)</f>
        <v>2.9319046297679789E-14</v>
      </c>
      <c r="AO58" s="49">
        <f>IF(AK58=".",".",up_RadSpec!$H$16*AO16*$B$58)</f>
        <v>2506.5104166666661</v>
      </c>
      <c r="AP58" s="49">
        <f>IF(AL58=".",".",up_RadSpec!$K$16*AP16*$B$58)</f>
        <v>0.39240867579908678</v>
      </c>
      <c r="AQ58" s="49">
        <f t="shared" si="118"/>
        <v>2506.9028253424653</v>
      </c>
      <c r="AR58" s="60">
        <f>IFERROR(AR16/$B58,".")</f>
        <v>2.2727272727272726E-3</v>
      </c>
      <c r="AS58" s="60">
        <f>IFERROR(AS16/$B58,".")</f>
        <v>39.81818181818182</v>
      </c>
      <c r="AT58" s="63">
        <f>IFERROR(AT16/$B58,".")</f>
        <v>1.8181818181818181</v>
      </c>
      <c r="AU58" s="63">
        <f>IFERROR(AU16/$B58,".")</f>
        <v>1.8181818181818181</v>
      </c>
      <c r="AV58" s="233">
        <f t="shared" si="41"/>
        <v>440</v>
      </c>
      <c r="AW58" s="233">
        <f t="shared" si="41"/>
        <v>2.5114155251141551E-2</v>
      </c>
      <c r="AX58" s="233">
        <f t="shared" si="41"/>
        <v>0.55000000000000004</v>
      </c>
      <c r="AY58" s="233">
        <f t="shared" si="41"/>
        <v>0.55000000000000004</v>
      </c>
      <c r="AZ58" s="63">
        <f>IFERROR(AZ16/$B58,".")</f>
        <v>2.2669305553255272E-3</v>
      </c>
      <c r="BA58" s="189">
        <f t="shared" ref="BA58" si="155">IFERROR(BA16/$B58,0)</f>
        <v>6.6647758326570493E-15</v>
      </c>
      <c r="BB58" s="49">
        <f>IF(AR58=".",".",up_RadSpec!$I$16*BB16*$B$58)</f>
        <v>11000</v>
      </c>
      <c r="BC58" s="49">
        <f>IF(AS58=".",".",up_RadSpec!$M$16*BC16*$B$58)</f>
        <v>0.62785388127853881</v>
      </c>
      <c r="BD58" s="49">
        <f>IF(AT58=".",".",up_RadSpec!$F$16*BD16*$B$58)</f>
        <v>13.75</v>
      </c>
      <c r="BE58" s="49">
        <f>IF(AU58=".",".",up_RadSpec!$F$16*BE16*$B$58)</f>
        <v>13.75</v>
      </c>
      <c r="BF58" s="49">
        <f t="shared" si="44"/>
        <v>11028.127853881278</v>
      </c>
      <c r="BG58" s="63">
        <f>IFERROR(BG16/$B58,".")</f>
        <v>1.8181818181818181E-2</v>
      </c>
      <c r="BH58" s="63">
        <f>IFERROR(BH16/$B58,".")</f>
        <v>1.8181818181818181E-2</v>
      </c>
      <c r="BI58" s="189">
        <f t="shared" ref="BI58:BJ58" si="156">IFERROR(BI16/$B58,0)</f>
        <v>5.345454545454546E-11</v>
      </c>
      <c r="BJ58" s="189">
        <f t="shared" si="156"/>
        <v>5.345454545454546E-11</v>
      </c>
      <c r="BK58" s="49">
        <f>IF(BG58=".",".",up_RadSpec!$F$16*BK16*$B$58)</f>
        <v>1375</v>
      </c>
      <c r="BL58" s="49">
        <f>IF(BH58=".",".",up_RadSpec!$F$16*BL16*$B$58)</f>
        <v>1375</v>
      </c>
    </row>
    <row r="59" spans="1:64" x14ac:dyDescent="0.25">
      <c r="A59" s="48" t="s">
        <v>1080</v>
      </c>
      <c r="B59" s="15">
        <v>1</v>
      </c>
      <c r="C59" s="238"/>
      <c r="D59" s="60">
        <f>IFERROR(D7/$B59,".")</f>
        <v>0.33057851239669422</v>
      </c>
      <c r="E59" s="60">
        <f>IFERROR(E7/$B59,".")</f>
        <v>3089.9917851942919</v>
      </c>
      <c r="F59" s="60">
        <f>IFERROR(F7/$B59,".")</f>
        <v>918.4339747843394</v>
      </c>
      <c r="G59" s="63">
        <f>IFERROR(G7/$B59,".")</f>
        <v>7.5757575757575758E-5</v>
      </c>
      <c r="H59" s="63">
        <f>IFERROR(H7/$B59,".")</f>
        <v>7.5757575757575758E-5</v>
      </c>
      <c r="I59" s="233">
        <f t="shared" si="10"/>
        <v>3.0249999999999999</v>
      </c>
      <c r="J59" s="233">
        <f t="shared" si="10"/>
        <v>3.236254558317935E-4</v>
      </c>
      <c r="K59" s="233">
        <f t="shared" si="10"/>
        <v>1.0888098953817703E-3</v>
      </c>
      <c r="L59" s="233">
        <f t="shared" si="10"/>
        <v>13200</v>
      </c>
      <c r="M59" s="233">
        <f t="shared" si="10"/>
        <v>13200</v>
      </c>
      <c r="N59" s="63">
        <f>IFERROR(N7/$B59,".")</f>
        <v>3.78744460721752E-5</v>
      </c>
      <c r="O59" s="189">
        <f>IFERROR(O7/$B59,0)</f>
        <v>1.1135087145219509E-13</v>
      </c>
      <c r="P59" s="49">
        <f>IF(D59=".",".",up_RadSpec!$E$7*P7*$B$59)</f>
        <v>75.625</v>
      </c>
      <c r="Q59" s="49">
        <f>IF(E59=".",".",up_RadSpec!$H$7*Q7*$B$59)</f>
        <v>8.0906363957948379E-3</v>
      </c>
      <c r="R59" s="49">
        <f>IF(F59=".",".",up_RadSpec!$G$7*R7*$B$59)</f>
        <v>2.7220247384544257E-2</v>
      </c>
      <c r="S59" s="49">
        <f>IF(G59=".",".",up_RadSpec!$F$7*S7*$B$59)</f>
        <v>330000</v>
      </c>
      <c r="T59" s="49">
        <f>IF(H59=".",".",up_RadSpec!$F$7*T7*$B$59)</f>
        <v>330000</v>
      </c>
      <c r="U59" s="49">
        <f t="shared" si="115"/>
        <v>660075.66031088377</v>
      </c>
      <c r="V59" s="60">
        <f>IFERROR(V7/$B59,".")</f>
        <v>918.4339747843394</v>
      </c>
      <c r="W59" s="60">
        <f>IFERROR(W7/$B59,".")</f>
        <v>1461.1153552330034</v>
      </c>
      <c r="X59" s="60">
        <f>IFERROR(X7/$B59,".")</f>
        <v>1070.4545454545457</v>
      </c>
      <c r="Y59" s="60">
        <f>IFERROR(Y7/$B59,".")</f>
        <v>984.71359678034878</v>
      </c>
      <c r="Z59" s="60">
        <f>IFERROR(Z7/$B59,".")</f>
        <v>2500.4236405305915</v>
      </c>
      <c r="AA59" s="189">
        <f t="shared" ref="AA59:AE59" si="157">IFERROR(AA7/$B59,0)</f>
        <v>2.700195885865958E-6</v>
      </c>
      <c r="AB59" s="189">
        <f t="shared" si="157"/>
        <v>4.2956791443850306E-6</v>
      </c>
      <c r="AC59" s="189">
        <f t="shared" si="157"/>
        <v>3.1471363636363646E-6</v>
      </c>
      <c r="AD59" s="189">
        <f t="shared" si="157"/>
        <v>2.8950579745342256E-6</v>
      </c>
      <c r="AE59" s="189">
        <f t="shared" si="157"/>
        <v>7.3512455031599397E-6</v>
      </c>
      <c r="AF59" s="49">
        <f>IF(V59=".",".",up_RadSpec!$G$7*AF7*$B$59)</f>
        <v>2.7220247384544257E-2</v>
      </c>
      <c r="AG59" s="49">
        <f>IF(W59=".",".",up_RadSpec!$N$7*AG7*$B$59)</f>
        <v>1.7110216459270092E-2</v>
      </c>
      <c r="AH59" s="49">
        <f>IF(X59=".",".",up_RadSpec!$O$7*AH7*$B$59)</f>
        <v>2.3354564755838636E-2</v>
      </c>
      <c r="AI59" s="49">
        <f>IF(Y59=".",".",up_RadSpec!$P$7*AI7*$B$59)</f>
        <v>2.5388092620779078E-2</v>
      </c>
      <c r="AJ59" s="49">
        <f>IF(Z59=".",".",up_RadSpec!$L$7*AJ7*$B$59)</f>
        <v>9.9983057249830604E-3</v>
      </c>
      <c r="AK59" s="60">
        <f>IFERROR(AK7/$B59,".")</f>
        <v>9.9740259740259754E-3</v>
      </c>
      <c r="AL59" s="60">
        <f>IFERROR(AL7/$B59,".")</f>
        <v>63.709090909090911</v>
      </c>
      <c r="AM59" s="60">
        <f>IFERROR(AM7/$B59,".")</f>
        <v>9.9724647271019675E-3</v>
      </c>
      <c r="AN59" s="189">
        <f t="shared" ref="AN59" si="158">IFERROR(AN7/$B59,0)</f>
        <v>2.9319046297679789E-14</v>
      </c>
      <c r="AO59" s="49">
        <f>IF(AK59=".",".",up_RadSpec!$H$7*AO7*$B$59)</f>
        <v>2506.5104166666661</v>
      </c>
      <c r="AP59" s="49">
        <f>IF(AL59=".",".",up_RadSpec!$K$7*AP7*$B$59)</f>
        <v>0.39240867579908678</v>
      </c>
      <c r="AQ59" s="49">
        <f t="shared" si="118"/>
        <v>2506.9028253424653</v>
      </c>
      <c r="AR59" s="60">
        <f>IFERROR(AR7/$B59,".")</f>
        <v>2.2727272727272726E-3</v>
      </c>
      <c r="AS59" s="60">
        <f>IFERROR(AS7/$B59,".")</f>
        <v>39.81818181818182</v>
      </c>
      <c r="AT59" s="63">
        <f>IFERROR(AT7/$B59,".")</f>
        <v>1.8181818181818181</v>
      </c>
      <c r="AU59" s="63">
        <f>IFERROR(AU7/$B59,".")</f>
        <v>1.8181818181818181</v>
      </c>
      <c r="AV59" s="233">
        <f t="shared" si="41"/>
        <v>440</v>
      </c>
      <c r="AW59" s="233">
        <f t="shared" si="41"/>
        <v>2.5114155251141551E-2</v>
      </c>
      <c r="AX59" s="233">
        <f t="shared" si="41"/>
        <v>0.55000000000000004</v>
      </c>
      <c r="AY59" s="233">
        <f t="shared" si="41"/>
        <v>0.55000000000000004</v>
      </c>
      <c r="AZ59" s="63">
        <f>IFERROR(AZ7/$B59,".")</f>
        <v>2.2669305553255272E-3</v>
      </c>
      <c r="BA59" s="189">
        <f t="shared" ref="BA59" si="159">IFERROR(BA7/$B59,0)</f>
        <v>6.6647758326570493E-15</v>
      </c>
      <c r="BB59" s="49">
        <f>IF(AR59=".",".",up_RadSpec!$I$7*BB7*$B$59)</f>
        <v>11000</v>
      </c>
      <c r="BC59" s="49">
        <f>IF(AS59=".",".",up_RadSpec!$M$7*BC7*$B$59)</f>
        <v>0.62785388127853881</v>
      </c>
      <c r="BD59" s="49">
        <f>IF(AT59=".",".",up_RadSpec!$F$7*BD7*$B$59)</f>
        <v>13.75</v>
      </c>
      <c r="BE59" s="49">
        <f>IF(AU59=".",".",up_RadSpec!$F$7*BE7*$B$59)</f>
        <v>13.75</v>
      </c>
      <c r="BF59" s="49">
        <f t="shared" si="44"/>
        <v>11028.127853881278</v>
      </c>
      <c r="BG59" s="63">
        <f>IFERROR(BG7/$B59,".")</f>
        <v>1.8181818181818181E-2</v>
      </c>
      <c r="BH59" s="63">
        <f>IFERROR(BH7/$B59,".")</f>
        <v>1.8181818181818181E-2</v>
      </c>
      <c r="BI59" s="189">
        <f t="shared" ref="BI59:BJ59" si="160">IFERROR(BI7/$B59,0)</f>
        <v>5.345454545454546E-11</v>
      </c>
      <c r="BJ59" s="189">
        <f t="shared" si="160"/>
        <v>5.345454545454546E-11</v>
      </c>
      <c r="BK59" s="49">
        <f>IF(BG59=".",".",up_RadSpec!$F$7*BK7*$B$59)</f>
        <v>1375</v>
      </c>
      <c r="BL59" s="49">
        <f>IF(BH59=".",".",up_RadSpec!$F$7*BL7*$B$59)</f>
        <v>1375</v>
      </c>
    </row>
    <row r="60" spans="1:64" x14ac:dyDescent="0.25">
      <c r="A60" s="48" t="s">
        <v>1081</v>
      </c>
      <c r="B60" s="15">
        <v>1.9000000000000001E-8</v>
      </c>
      <c r="C60" s="241"/>
      <c r="D60" s="60">
        <f>IFERROR(D12/$B60,".")</f>
        <v>17398869.073510222</v>
      </c>
      <c r="E60" s="60">
        <f>IFERROR(E12/$B60,".")</f>
        <v>162631146589.17325</v>
      </c>
      <c r="F60" s="60">
        <f>IFERROR(F12/$B60,".")</f>
        <v>37516872799.494446</v>
      </c>
      <c r="G60" s="63">
        <f>IFERROR(G12/$B60,".")</f>
        <v>3987.2408293460921</v>
      </c>
      <c r="H60" s="63">
        <f>IFERROR(H12/$B60,".")</f>
        <v>3987.2408293460921</v>
      </c>
      <c r="I60" s="233">
        <f t="shared" si="10"/>
        <v>5.7474999999999997E-8</v>
      </c>
      <c r="J60" s="233">
        <f t="shared" si="10"/>
        <v>6.1488836608040762E-12</v>
      </c>
      <c r="K60" s="233">
        <f t="shared" si="10"/>
        <v>2.6654673627634427E-11</v>
      </c>
      <c r="L60" s="233">
        <f t="shared" si="10"/>
        <v>2.5080000000000002E-4</v>
      </c>
      <c r="M60" s="233">
        <f t="shared" si="10"/>
        <v>2.5080000000000002E-4</v>
      </c>
      <c r="N60" s="63">
        <f>IFERROR(N12/$B60,".")</f>
        <v>1993.3918748238636</v>
      </c>
      <c r="O60" s="189">
        <f>IFERROR(O12/$B60,0)</f>
        <v>5.7489421669920238E-6</v>
      </c>
      <c r="P60" s="49">
        <f>IF(D60=".",".",up_RadSpec!$E$12*P12*$B$60)</f>
        <v>1.4368750000000001E-6</v>
      </c>
      <c r="Q60" s="49">
        <f>IF(E60=".",".",up_RadSpec!$H$12*Q12*$B$60)</f>
        <v>1.5372209152010192E-10</v>
      </c>
      <c r="R60" s="49">
        <f>IF(F60=".",".",up_RadSpec!$G$12*R12*$B$60)</f>
        <v>6.6636684069086066E-10</v>
      </c>
      <c r="S60" s="49">
        <f>IF(G60=".",".",up_RadSpec!$F$12*S12*$B$60)</f>
        <v>6.2700000000000004E-3</v>
      </c>
      <c r="T60" s="49">
        <f>IF(H60=".",".",up_RadSpec!$F$12*T12*$B$60)</f>
        <v>6.2700000000000004E-3</v>
      </c>
      <c r="U60" s="49">
        <f t="shared" si="115"/>
        <v>1.2541437695088933E-2</v>
      </c>
      <c r="V60" s="60">
        <f>IFERROR(V12/$B60,".")</f>
        <v>37516872799.494446</v>
      </c>
      <c r="W60" s="60">
        <f>IFERROR(W12/$B60,".")</f>
        <v>67307676010.623619</v>
      </c>
      <c r="X60" s="60">
        <f>IFERROR(X12/$B60,".")</f>
        <v>48803963634.823593</v>
      </c>
      <c r="Y60" s="60">
        <f>IFERROR(Y12/$B60,".")</f>
        <v>43100706650.789009</v>
      </c>
      <c r="Z60" s="60">
        <f>IFERROR(Z12/$B60,".")</f>
        <v>116189825212.38158</v>
      </c>
      <c r="AA60" s="189">
        <f t="shared" ref="AA60:AE60" si="161">IFERROR(AA12/$B60,0)</f>
        <v>108.19866115374199</v>
      </c>
      <c r="AB60" s="189">
        <f t="shared" si="161"/>
        <v>194.11533761463858</v>
      </c>
      <c r="AC60" s="189">
        <f t="shared" si="161"/>
        <v>140.75063112283124</v>
      </c>
      <c r="AD60" s="189">
        <f t="shared" si="161"/>
        <v>124.30243798087552</v>
      </c>
      <c r="AE60" s="189">
        <f t="shared" si="161"/>
        <v>335.09145591250848</v>
      </c>
      <c r="AF60" s="49">
        <f>IF(V60=".",".",up_RadSpec!$G$12*AF12*$B$60)</f>
        <v>6.6636684069086066E-10</v>
      </c>
      <c r="AG60" s="49">
        <f>IF(W60=".",".",up_RadSpec!$N$12*AG12*$B$60)</f>
        <v>3.7142866136180492E-10</v>
      </c>
      <c r="AH60" s="49">
        <f>IF(X60=".",".",up_RadSpec!$O$12*AH12*$B$60)</f>
        <v>5.1225347570256548E-10</v>
      </c>
      <c r="AI60" s="49">
        <f>IF(Y60=".",".",up_RadSpec!$P$12*AI12*$B$60)</f>
        <v>5.8003689365362988E-10</v>
      </c>
      <c r="AJ60" s="49">
        <f>IF(Z60=".",".",up_RadSpec!$L$12*AJ12*$B$60)</f>
        <v>2.1516513992772505E-10</v>
      </c>
      <c r="AK60" s="60">
        <f>IFERROR(AK12/$B60,".")</f>
        <v>524948.73547505133</v>
      </c>
      <c r="AL60" s="60">
        <f>IFERROR(AL12/$B60,".")</f>
        <v>3353110047.84689</v>
      </c>
      <c r="AM60" s="60">
        <f>IFERROR(AM12/$B60,".")</f>
        <v>524866.56458431401</v>
      </c>
      <c r="AN60" s="189">
        <f t="shared" ref="AN60" si="162">IFERROR(AN12/$B60,0)</f>
        <v>1.5137151722611618E-6</v>
      </c>
      <c r="AO60" s="49">
        <f>IF(AK60=".",".",up_RadSpec!$H$12*AO12*$B$60)</f>
        <v>4.762369791666666E-5</v>
      </c>
      <c r="AP60" s="49">
        <f>IF(AL60=".",".",up_RadSpec!$K$12*AP12*$B$60)</f>
        <v>7.4557648401826493E-9</v>
      </c>
      <c r="AQ60" s="49">
        <f t="shared" si="118"/>
        <v>4.7631153681506843E-5</v>
      </c>
      <c r="AR60" s="60">
        <f>IFERROR(AR12/$B60,".")</f>
        <v>119617.22488038275</v>
      </c>
      <c r="AS60" s="60">
        <f>IFERROR(AS12/$B60,".")</f>
        <v>2095693779.9043062</v>
      </c>
      <c r="AT60" s="63">
        <f>IFERROR(AT12/$B60,".")</f>
        <v>95693779.904306203</v>
      </c>
      <c r="AU60" s="63">
        <f>IFERROR(AU12/$B60,".")</f>
        <v>95693779.904306203</v>
      </c>
      <c r="AV60" s="233">
        <f t="shared" si="41"/>
        <v>8.3600000000000013E-6</v>
      </c>
      <c r="AW60" s="233">
        <f t="shared" si="41"/>
        <v>4.7716894977168946E-10</v>
      </c>
      <c r="AX60" s="233">
        <f t="shared" si="41"/>
        <v>1.0450000000000003E-8</v>
      </c>
      <c r="AY60" s="233">
        <f t="shared" si="41"/>
        <v>1.0450000000000003E-8</v>
      </c>
      <c r="AZ60" s="63">
        <f>IFERROR(AZ12/$B60,".")</f>
        <v>119312.13449081722</v>
      </c>
      <c r="BA60" s="189">
        <f t="shared" ref="BA60" si="163">IFERROR(BA12/$B60,0)</f>
        <v>3.4409619587151684E-7</v>
      </c>
      <c r="BB60" s="49">
        <f>IF(AR60=".",".",up_RadSpec!$I$12*BB12*$B$60)</f>
        <v>2.0900000000000001E-4</v>
      </c>
      <c r="BC60" s="49">
        <f>IF(AS60=".",".",up_RadSpec!$M$12*BC12*$B$60)</f>
        <v>1.1929223744292239E-8</v>
      </c>
      <c r="BD60" s="49">
        <f>IF(AT60=".",".",up_RadSpec!$F$12*BD12*$B$60)</f>
        <v>2.6125000000000004E-7</v>
      </c>
      <c r="BE60" s="49">
        <f>IF(AU60=".",".",up_RadSpec!$F$12*BE12*$B$60)</f>
        <v>2.6125000000000004E-7</v>
      </c>
      <c r="BF60" s="49">
        <f t="shared" si="44"/>
        <v>2.0953442922374429E-4</v>
      </c>
      <c r="BG60" s="63">
        <f>IFERROR(BG12/$B60,".")</f>
        <v>956937.79904306203</v>
      </c>
      <c r="BH60" s="63">
        <f>IFERROR(BH12/$B60,".")</f>
        <v>956937.79904306203</v>
      </c>
      <c r="BI60" s="189">
        <f t="shared" ref="BI60:BJ60" si="164">IFERROR(BI12/$B60,0)</f>
        <v>2.7598086124401913E-3</v>
      </c>
      <c r="BJ60" s="189">
        <f t="shared" si="164"/>
        <v>2.7598086124401913E-3</v>
      </c>
      <c r="BK60" s="49">
        <f>IF(BG60=".",".",up_RadSpec!$F$12*BK12*$B$60)</f>
        <v>2.6125000000000001E-5</v>
      </c>
      <c r="BL60" s="49">
        <f>IF(BH60=".",".",up_RadSpec!$F$12*BL12*$B$60)</f>
        <v>2.6125000000000001E-5</v>
      </c>
    </row>
    <row r="61" spans="1:64" x14ac:dyDescent="0.25">
      <c r="A61" s="48" t="s">
        <v>1082</v>
      </c>
      <c r="B61" s="15">
        <v>1</v>
      </c>
      <c r="C61" s="238"/>
      <c r="D61" s="60">
        <f>IFERROR(D18/$B61,".")</f>
        <v>0.33057851239669422</v>
      </c>
      <c r="E61" s="60">
        <f>IFERROR(E18/$B61,".")</f>
        <v>3089.9917851942919</v>
      </c>
      <c r="F61" s="60">
        <f>IFERROR(F18/$B61,".")</f>
        <v>358.19104981705613</v>
      </c>
      <c r="G61" s="63">
        <f>IFERROR(G18/$B61,".")</f>
        <v>7.5757575757575758E-5</v>
      </c>
      <c r="H61" s="63">
        <f>IFERROR(H18/$B61,".")</f>
        <v>7.5757575757575758E-5</v>
      </c>
      <c r="I61" s="233">
        <f t="shared" si="10"/>
        <v>3.0249999999999999</v>
      </c>
      <c r="J61" s="233">
        <f t="shared" si="10"/>
        <v>3.236254558317935E-4</v>
      </c>
      <c r="K61" s="233">
        <f t="shared" si="10"/>
        <v>2.7918062176895369E-3</v>
      </c>
      <c r="L61" s="233">
        <f t="shared" si="10"/>
        <v>13200</v>
      </c>
      <c r="M61" s="233">
        <f t="shared" si="10"/>
        <v>13200</v>
      </c>
      <c r="N61" s="63">
        <f>IFERROR(N18/$B61,".")</f>
        <v>3.787444362927198E-5</v>
      </c>
      <c r="O61" s="189">
        <f>IFERROR(O18/$B61,0)</f>
        <v>1.1135086427005964E-13</v>
      </c>
      <c r="P61" s="49">
        <f>IF(D61=".",".",up_RadSpec!$E$18*P18*$B$61)</f>
        <v>75.625</v>
      </c>
      <c r="Q61" s="49">
        <f>IF(E61=".",".",up_RadSpec!$H$18*Q18*$B$61)</f>
        <v>8.0906363957948379E-3</v>
      </c>
      <c r="R61" s="49">
        <f>IF(F61=".",".",up_RadSpec!$G$18*R18*$B$61)</f>
        <v>6.9795155442238424E-2</v>
      </c>
      <c r="S61" s="49">
        <f>IF(G61=".",".",up_RadSpec!$F$18*S18*$B$61)</f>
        <v>330000</v>
      </c>
      <c r="T61" s="49">
        <f>IF(H61=".",".",up_RadSpec!$F$18*T18*$B$61)</f>
        <v>330000</v>
      </c>
      <c r="U61" s="49">
        <f t="shared" si="115"/>
        <v>660075.70288579189</v>
      </c>
      <c r="V61" s="60">
        <f>IFERROR(V18/$B61,".")</f>
        <v>358.19104981705613</v>
      </c>
      <c r="W61" s="60">
        <f>IFERROR(W18/$B61,".")</f>
        <v>708.75611640484192</v>
      </c>
      <c r="X61" s="60">
        <f>IFERROR(X18/$B61,".")</f>
        <v>496.33877043552508</v>
      </c>
      <c r="Y61" s="60">
        <f>IFERROR(Y18/$B61,".")</f>
        <v>411.22563526890514</v>
      </c>
      <c r="Z61" s="60">
        <f>IFERROR(Z18/$B61,".")</f>
        <v>1204.7552447552446</v>
      </c>
      <c r="AA61" s="189">
        <f t="shared" ref="AA61:AE61" si="165">IFERROR(AA18/$B61,0)</f>
        <v>1.0530816864621452E-6</v>
      </c>
      <c r="AB61" s="189">
        <f t="shared" si="165"/>
        <v>2.0837429822302357E-6</v>
      </c>
      <c r="AC61" s="189">
        <f t="shared" si="165"/>
        <v>1.4592359850804439E-6</v>
      </c>
      <c r="AD61" s="189">
        <f t="shared" si="165"/>
        <v>1.2090033676905811E-6</v>
      </c>
      <c r="AE61" s="189">
        <f t="shared" si="165"/>
        <v>3.5419804195804195E-6</v>
      </c>
      <c r="AF61" s="49">
        <f>IF(V61=".",".",up_RadSpec!$G$18*AF18*$B$61)</f>
        <v>6.9795155442238424E-2</v>
      </c>
      <c r="AG61" s="49">
        <f>IF(W61=".",".",up_RadSpec!$N$18*AG18*$B$61)</f>
        <v>3.5273064205515778E-2</v>
      </c>
      <c r="AH61" s="49">
        <f>IF(X61=".",".",up_RadSpec!$O$18*AH18*$B$61)</f>
        <v>5.0368823652569221E-2</v>
      </c>
      <c r="AI61" s="49">
        <f>IF(Y61=".",".",up_RadSpec!$P$18*AI18*$B$61)</f>
        <v>6.0793875322612642E-2</v>
      </c>
      <c r="AJ61" s="49">
        <f>IF(Z61=".",".",up_RadSpec!$L$18*AJ18*$B$61)</f>
        <v>2.0751102855816116E-2</v>
      </c>
      <c r="AK61" s="60">
        <f>IFERROR(AK18/$B61,".")</f>
        <v>9.9740259740259754E-3</v>
      </c>
      <c r="AL61" s="60">
        <f>IFERROR(AL18/$B61,".")</f>
        <v>63.709090909090911</v>
      </c>
      <c r="AM61" s="60">
        <f>IFERROR(AM18/$B61,".")</f>
        <v>9.9724647271019675E-3</v>
      </c>
      <c r="AN61" s="189">
        <f t="shared" ref="AN61" si="166">IFERROR(AN18/$B61,0)</f>
        <v>2.9319046297679789E-14</v>
      </c>
      <c r="AO61" s="49">
        <f>IF(AK61=".",".",up_RadSpec!$H$18*AO18*$B$61)</f>
        <v>2506.5104166666661</v>
      </c>
      <c r="AP61" s="49">
        <f>IF(AL61=".",".",up_RadSpec!$K$18*AP18*$B$61)</f>
        <v>0.39240867579908678</v>
      </c>
      <c r="AQ61" s="49">
        <f t="shared" si="118"/>
        <v>2506.9028253424653</v>
      </c>
      <c r="AR61" s="60">
        <f>IFERROR(AR18/$B61,".")</f>
        <v>2.2727272727272726E-3</v>
      </c>
      <c r="AS61" s="60">
        <f>IFERROR(AS18/$B61,".")</f>
        <v>39.81818181818182</v>
      </c>
      <c r="AT61" s="63">
        <f>IFERROR(AT18/$B61,".")</f>
        <v>1.8181818181818181</v>
      </c>
      <c r="AU61" s="63">
        <f>IFERROR(AU18/$B61,".")</f>
        <v>1.8181818181818181</v>
      </c>
      <c r="AV61" s="233">
        <f t="shared" si="41"/>
        <v>440</v>
      </c>
      <c r="AW61" s="233">
        <f t="shared" si="41"/>
        <v>2.5114155251141551E-2</v>
      </c>
      <c r="AX61" s="233">
        <f t="shared" si="41"/>
        <v>0.55000000000000004</v>
      </c>
      <c r="AY61" s="233">
        <f t="shared" si="41"/>
        <v>0.55000000000000004</v>
      </c>
      <c r="AZ61" s="63">
        <f>IFERROR(AZ18/$B61,".")</f>
        <v>2.2669305553255272E-3</v>
      </c>
      <c r="BA61" s="189">
        <f t="shared" ref="BA61" si="167">IFERROR(BA18/$B61,0)</f>
        <v>6.6647758326570493E-15</v>
      </c>
      <c r="BB61" s="49">
        <f>IF(AR61=".",".",up_RadSpec!$I$18*BB18*$B$61)</f>
        <v>11000</v>
      </c>
      <c r="BC61" s="49">
        <f>IF(AS61=".",".",up_RadSpec!$M$18*BC18*$B$61)</f>
        <v>0.62785388127853881</v>
      </c>
      <c r="BD61" s="49">
        <f>IF(AT61=".",".",up_RadSpec!$F$18*BD18*$B$61)</f>
        <v>13.75</v>
      </c>
      <c r="BE61" s="49">
        <f>IF(AU61=".",".",up_RadSpec!$F$18*BE18*$B$61)</f>
        <v>13.75</v>
      </c>
      <c r="BF61" s="49">
        <f t="shared" si="44"/>
        <v>11028.127853881278</v>
      </c>
      <c r="BG61" s="63">
        <f>IFERROR(BG18/$B61,".")</f>
        <v>1.8181818181818181E-2</v>
      </c>
      <c r="BH61" s="63">
        <f>IFERROR(BH18/$B61,".")</f>
        <v>1.8181818181818181E-2</v>
      </c>
      <c r="BI61" s="189">
        <f t="shared" ref="BI61:BJ61" si="168">IFERROR(BI18/$B61,0)</f>
        <v>5.345454545454546E-11</v>
      </c>
      <c r="BJ61" s="189">
        <f t="shared" si="168"/>
        <v>5.345454545454546E-11</v>
      </c>
      <c r="BK61" s="49">
        <f>IF(BG61=".",".",up_RadSpec!$F$18*BK18*$B$61)</f>
        <v>1375</v>
      </c>
      <c r="BL61" s="49">
        <f>IF(BH61=".",".",up_RadSpec!$F$18*BL18*$B$61)</f>
        <v>1375</v>
      </c>
    </row>
    <row r="62" spans="1:64" x14ac:dyDescent="0.25">
      <c r="A62" s="48" t="s">
        <v>1083</v>
      </c>
      <c r="B62" s="15">
        <v>1.339E-6</v>
      </c>
      <c r="C62" s="238"/>
      <c r="D62" s="60">
        <f>IFERROR(D27/$B62,".")</f>
        <v>246884.62464278881</v>
      </c>
      <c r="E62" s="60">
        <f>IFERROR(E27/$B62,".")</f>
        <v>2307686172.6619058</v>
      </c>
      <c r="F62" s="60">
        <f>IFERROR(F27/$B62,".")</f>
        <v>439010035.30817378</v>
      </c>
      <c r="G62" s="63">
        <f>IFERROR(G27/$B62,".")</f>
        <v>56.5777264806391</v>
      </c>
      <c r="H62" s="63">
        <f>IFERROR(H27/$B62,".")</f>
        <v>56.5777264806391</v>
      </c>
      <c r="I62" s="233">
        <f t="shared" si="10"/>
        <v>4.0504750000000004E-6</v>
      </c>
      <c r="J62" s="233">
        <f t="shared" si="10"/>
        <v>4.3333448535877146E-10</v>
      </c>
      <c r="K62" s="233">
        <f t="shared" si="10"/>
        <v>2.2778522575185E-9</v>
      </c>
      <c r="L62" s="233">
        <f t="shared" si="10"/>
        <v>1.7674800000000001E-2</v>
      </c>
      <c r="M62" s="233">
        <f t="shared" si="10"/>
        <v>1.7674800000000001E-2</v>
      </c>
      <c r="N62" s="63">
        <f>IFERROR(N27/$B62,".")</f>
        <v>28.285620010288401</v>
      </c>
      <c r="O62" s="189">
        <f>IFERROR(O27/$B62,0)</f>
        <v>8.1575728109671756E-8</v>
      </c>
      <c r="P62" s="49">
        <f>IF(D62=".",".",up_RadSpec!$E$27*P27*$B$62)</f>
        <v>1.0126187500000001E-4</v>
      </c>
      <c r="Q62" s="49">
        <f>IF(E62=".",".",up_RadSpec!$H$27*Q27*$B$62)</f>
        <v>1.0833362133969288E-8</v>
      </c>
      <c r="R62" s="49">
        <f>IF(F62=".",".",up_RadSpec!$G$27*R27*$B$62)</f>
        <v>5.6946306437962506E-8</v>
      </c>
      <c r="S62" s="49">
        <f>IF(G62=".",".",up_RadSpec!$F$27*S27*$B$62)</f>
        <v>0.44186999999999999</v>
      </c>
      <c r="T62" s="49">
        <f>IF(H62=".",".",up_RadSpec!$F$27*T27*$B$62)</f>
        <v>0.44186999999999999</v>
      </c>
      <c r="U62" s="49">
        <f t="shared" si="115"/>
        <v>0.88384132965466855</v>
      </c>
      <c r="V62" s="60">
        <f>IFERROR(V27/$B62,".")</f>
        <v>439010035.30817378</v>
      </c>
      <c r="W62" s="60">
        <f>IFERROR(W27/$B62,".")</f>
        <v>1302178659.358016</v>
      </c>
      <c r="X62" s="60">
        <f>IFERROR(X27/$B62,".")</f>
        <v>798333437.34491134</v>
      </c>
      <c r="Y62" s="60">
        <f>IFERROR(Y27/$B62,".")</f>
        <v>580756734.1122725</v>
      </c>
      <c r="Z62" s="60">
        <f>IFERROR(Z27/$B62,".")</f>
        <v>4073191979.429183</v>
      </c>
      <c r="AA62" s="189">
        <f t="shared" ref="AA62:AE62" si="169">IFERROR(AA27/$B62,0)</f>
        <v>1.2661049418287733</v>
      </c>
      <c r="AB62" s="189">
        <f t="shared" si="169"/>
        <v>3.7554832535885181</v>
      </c>
      <c r="AC62" s="189">
        <f t="shared" si="169"/>
        <v>2.3023936333027248</v>
      </c>
      <c r="AD62" s="189">
        <f t="shared" si="169"/>
        <v>1.6749024211797938</v>
      </c>
      <c r="AE62" s="189">
        <f t="shared" si="169"/>
        <v>11.747085668673764</v>
      </c>
      <c r="AF62" s="49">
        <f>IF(V62=".",".",up_RadSpec!$G$27*AF27*$B$62)</f>
        <v>5.6946306437962506E-8</v>
      </c>
      <c r="AG62" s="49">
        <f>IF(W62=".",".",up_RadSpec!$N$27*AG27*$B$62)</f>
        <v>1.9198594463470311E-8</v>
      </c>
      <c r="AH62" s="49">
        <f>IF(X62=".",".",up_RadSpec!$O$27*AH27*$B$62)</f>
        <v>3.1315236003573555E-8</v>
      </c>
      <c r="AI62" s="49">
        <f>IF(Y62=".",".",up_RadSpec!$P$27*AI27*$B$62)</f>
        <v>4.3047283882492144E-8</v>
      </c>
      <c r="AJ62" s="49">
        <f>IF(Z62=".",".",up_RadSpec!$L$27*AJ27*$B$62)</f>
        <v>6.1376925335848023E-9</v>
      </c>
      <c r="AK62" s="60">
        <f>IFERROR(AK27/$B62,".")</f>
        <v>7448.8618177938579</v>
      </c>
      <c r="AL62" s="60">
        <f>IFERROR(AL27/$B62,".")</f>
        <v>47579604.861158259</v>
      </c>
      <c r="AM62" s="60">
        <f>IFERROR(AM27/$B62,".")</f>
        <v>7447.6958380149126</v>
      </c>
      <c r="AN62" s="189">
        <f t="shared" ref="AN62" si="170">IFERROR(AN27/$B62,0)</f>
        <v>2.1479154796835008E-8</v>
      </c>
      <c r="AO62" s="49">
        <f>IF(AK62=".",".",up_RadSpec!$H$27*AO27*$B$62)</f>
        <v>3.3562174479166659E-3</v>
      </c>
      <c r="AP62" s="49">
        <f>IF(AL62=".",".",up_RadSpec!$K$27*AP27*$B$62)</f>
        <v>5.2543521689497717E-7</v>
      </c>
      <c r="AQ62" s="49">
        <f t="shared" si="118"/>
        <v>3.3567428831335609E-3</v>
      </c>
      <c r="AR62" s="60">
        <f>IFERROR(AR27/$B62,".")</f>
        <v>1697.3317944191729</v>
      </c>
      <c r="AS62" s="60">
        <f>IFERROR(AS27/$B62,".")</f>
        <v>29737253.038223915</v>
      </c>
      <c r="AT62" s="63">
        <f>IFERROR(AT27/$B62,".")</f>
        <v>1357865.4355353385</v>
      </c>
      <c r="AU62" s="63">
        <f>IFERROR(AU27/$B62,".")</f>
        <v>1357865.4355353385</v>
      </c>
      <c r="AV62" s="233">
        <f t="shared" si="41"/>
        <v>5.8916000000000003E-4</v>
      </c>
      <c r="AW62" s="233">
        <f t="shared" si="41"/>
        <v>3.3627853881278534E-8</v>
      </c>
      <c r="AX62" s="233">
        <f t="shared" si="41"/>
        <v>7.3644999999999995E-7</v>
      </c>
      <c r="AY62" s="233">
        <f t="shared" si="41"/>
        <v>7.3644999999999995E-7</v>
      </c>
      <c r="AZ62" s="63">
        <f>IFERROR(AZ27/$B62,".")</f>
        <v>1693.0026552095051</v>
      </c>
      <c r="BA62" s="189">
        <f t="shared" ref="BA62" si="171">IFERROR(BA27/$B62,0)</f>
        <v>4.8826196576242123E-9</v>
      </c>
      <c r="BB62" s="49">
        <f>IF(AR62=".",".",up_RadSpec!$I$27*BB27*$B$62)</f>
        <v>1.4729000000000001E-2</v>
      </c>
      <c r="BC62" s="49">
        <f>IF(AS62=".",".",up_RadSpec!$M$27*BC27*$B$62)</f>
        <v>8.4069634703196346E-7</v>
      </c>
      <c r="BD62" s="49">
        <f>IF(AT62=".",".",up_RadSpec!$F$27*BD27*$B$62)</f>
        <v>1.8411250000000001E-5</v>
      </c>
      <c r="BE62" s="49">
        <f>IF(AU62=".",".",up_RadSpec!$F$27*BE27*$B$62)</f>
        <v>1.8411250000000001E-5</v>
      </c>
      <c r="BF62" s="49">
        <f t="shared" si="44"/>
        <v>1.4766663196347032E-2</v>
      </c>
      <c r="BG62" s="63">
        <f>IFERROR(BG27/$B62,".")</f>
        <v>13578.654355353383</v>
      </c>
      <c r="BH62" s="63">
        <f>IFERROR(BH27/$B62,".")</f>
        <v>13578.654355353383</v>
      </c>
      <c r="BI62" s="189">
        <f t="shared" ref="BI62:BJ62" si="172">IFERROR(BI27/$B62,0)</f>
        <v>3.9160839160839162E-5</v>
      </c>
      <c r="BJ62" s="189">
        <f t="shared" si="172"/>
        <v>3.9160839160839162E-5</v>
      </c>
      <c r="BK62" s="49">
        <f>IF(BG62=".",".",up_RadSpec!$F$27*BK27*$B$62)</f>
        <v>1.8411250000000001E-3</v>
      </c>
      <c r="BL62" s="49">
        <f>IF(BH62=".",".",up_RadSpec!$F$27*BL27*$B$62)</f>
        <v>1.8411250000000001E-3</v>
      </c>
    </row>
    <row r="63" spans="1:64" x14ac:dyDescent="0.25">
      <c r="A63" s="57" t="s">
        <v>23</v>
      </c>
      <c r="B63" s="57" t="s">
        <v>1185</v>
      </c>
      <c r="C63" s="57"/>
      <c r="D63" s="58">
        <f>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4.1322307035125169E-2</v>
      </c>
      <c r="E63" s="58">
        <f>IFERROR(1/SUM(IFERROR(1/SUMIF(E64,"&lt;&gt;.",E64),0),IFERROR(1/SUMIF(E65,"&lt;&gt;.",E65),0),IFERROR(1/SUMIF(E66,"&lt;&gt;.",E66),0),IFERROR(1/SUMIF(E67,"&lt;&gt;.",E67),0),IFERROR(1/SUMIF(E68,"&lt;&gt;.",E68),0),IFERROR(1/SUMIF(E69,"&lt;&gt;.",E69),0),IFERROR(1/SUMIF(E70,"&lt;&gt;.",E70),0),IFERROR(1/SUMIF(E71,"&lt;&gt;.",E71),0),IFERROR(1/SUMIF(E72,"&lt;&gt;.",E72),0),IFERROR(1/SUMIF(E73,"&lt;&gt;.",E73),0),IFERROR(1/SUMIF(E74,"&lt;&gt;.",E74),0),IFERROR(1/SUMIF(E75,"&lt;&gt;.",E75),0),IFERROR(1/SUMIF(E76,"&lt;&gt;.",E76),0)),".")</f>
        <v>386.24890758353439</v>
      </c>
      <c r="F63" s="58">
        <f>IFERROR(1/SUM(IFERROR(1/SUMIF(F64,"&lt;&gt;.",F64),0),IFERROR(1/SUMIF(F65,"&lt;&gt;.",F65),0),IFERROR(1/SUMIF(F66,"&lt;&gt;.",F66),0),IFERROR(1/SUMIF(F67,"&lt;&gt;.",F67),0),IFERROR(1/SUMIF(F68,"&lt;&gt;.",F68),0),IFERROR(1/SUMIF(F69,"&lt;&gt;.",F69),0),IFERROR(1/SUMIF(F70,"&lt;&gt;.",F70),0),IFERROR(1/SUMIF(F71,"&lt;&gt;.",F71),0),IFERROR(1/SUMIF(F72,"&lt;&gt;.",F72),0),IFERROR(1/SUMIF(F73,"&lt;&gt;.",F73),0),IFERROR(1/SUMIF(F74,"&lt;&gt;.",F74),0),IFERROR(1/SUMIF(F75,"&lt;&gt;.",F75),0),IFERROR(1/SUMIF(F76,"&lt;&gt;.",F76),0)),".")</f>
        <v>72.020093032882841</v>
      </c>
      <c r="G63" s="61">
        <f>IFERROR(1/SUM(IFERROR(1/SUMIF(G64,"&lt;&gt;.",G64),0),IFERROR(1/SUMIF(G65,"&lt;&gt;.",G65),0),IFERROR(1/SUMIF(G66,"&lt;&gt;.",G66),0),IFERROR(1/SUMIF(G67,"&lt;&gt;.",G67),0),IFERROR(1/SUMIF(G68,"&lt;&gt;.",G68),0),IFERROR(1/SUMIF(G69,"&lt;&gt;.",G69),0),IFERROR(1/SUMIF(G70,"&lt;&gt;.",G70),0),IFERROR(1/SUMIF(G71,"&lt;&gt;.",G71),0),IFERROR(1/SUMIF(G72,"&lt;&gt;.",G72),0),IFERROR(1/SUMIF(G73,"&lt;&gt;.",G73),0),IFERROR(1/SUMIF(G74,"&lt;&gt;.",G74),0),IFERROR(1/SUMIF(G75,"&lt;&gt;.",G75),0),IFERROR(1/SUMIF(G76,"&lt;&gt;.",G76),0)),".")</f>
        <v>9.4696953622161823E-6</v>
      </c>
      <c r="H63" s="61">
        <f>IFERROR(1/SUM(IFERROR(1/SUMIF(H64,"&lt;&gt;.",H64),0),IFERROR(1/SUMIF(H65,"&lt;&gt;.",H65),0),IFERROR(1/SUMIF(H66,"&lt;&gt;.",H66),0),IFERROR(1/SUMIF(H67,"&lt;&gt;.",H67),0),IFERROR(1/SUMIF(H68,"&lt;&gt;.",H68),0),IFERROR(1/SUMIF(H69,"&lt;&gt;.",H69),0),IFERROR(1/SUMIF(H70,"&lt;&gt;.",H70),0),IFERROR(1/SUMIF(H71,"&lt;&gt;.",H71),0),IFERROR(1/SUMIF(H72,"&lt;&gt;.",H72),0),IFERROR(1/SUMIF(H73,"&lt;&gt;.",H73),0),IFERROR(1/SUMIF(H74,"&lt;&gt;.",H74),0),IFERROR(1/SUMIF(H75,"&lt;&gt;.",H75),0),IFERROR(1/SUMIF(H76,"&lt;&gt;.",H76),0)),".")</f>
        <v>9.4696953622161823E-6</v>
      </c>
      <c r="I63" s="233">
        <f t="shared" si="10"/>
        <v>24.200004107949994</v>
      </c>
      <c r="J63" s="233">
        <f t="shared" si="10"/>
        <v>2.589004086137717E-3</v>
      </c>
      <c r="K63" s="233">
        <f t="shared" si="10"/>
        <v>1.3885013999404601E-2</v>
      </c>
      <c r="L63" s="233">
        <f t="shared" si="10"/>
        <v>105600.0179256</v>
      </c>
      <c r="M63" s="233">
        <f t="shared" si="10"/>
        <v>105600.0179256</v>
      </c>
      <c r="N63" s="58">
        <f>IFERROR(1/SUM(IFERROR(1/SUMIF(N64,"&lt;&gt;.",N64),0),IFERROR(1/SUMIF(N65,"&lt;&gt;.",N65),0),IFERROR(1/SUMIF(N66,"&lt;&gt;.",N66),0),IFERROR(1/SUMIF(N67,"&lt;&gt;.",N67),0),IFERROR(1/SUMIF(N68,"&lt;&gt;.",N68),0),IFERROR(1/SUMIF(N69,"&lt;&gt;.",N69),0),IFERROR(1/SUMIF(N70,"&lt;&gt;.",N70),0),IFERROR(1/SUMIF(N71,"&lt;&gt;.",N71),0),IFERROR(1/SUMIF(N72,"&lt;&gt;.",N72),0),IFERROR(1/SUMIF(N73,"&lt;&gt;.",N73),0),IFERROR(1/SUMIF(N74,"&lt;&gt;.",N74),0),IFERROR(1/SUMIF(N75,"&lt;&gt;.",N75),0),IFERROR(1/SUMIF(N76,"&lt;&gt;.",N76),0)),".")</f>
        <v>4.7343048393934909E-6</v>
      </c>
      <c r="O63" s="190">
        <f>N63*(0.0000000000028)*up_RadSpec!$AY25*up_RadSpec!$AF25</f>
        <v>1.471421944083497E-14</v>
      </c>
      <c r="P63" s="47">
        <f>IFERROR(SUM(P64:P76),".")</f>
        <v>605.00010269874997</v>
      </c>
      <c r="Q63" s="47">
        <f t="shared" ref="Q63:U63" si="173">IFERROR(SUM(Q64:Q76),".")</f>
        <v>6.4725102153442932E-2</v>
      </c>
      <c r="R63" s="47">
        <f t="shared" si="173"/>
        <v>0.34712534998511496</v>
      </c>
      <c r="S63" s="47">
        <f t="shared" si="173"/>
        <v>2640000.44814</v>
      </c>
      <c r="T63" s="47">
        <f t="shared" si="173"/>
        <v>2640000.44814</v>
      </c>
      <c r="U63" s="47">
        <f t="shared" si="173"/>
        <v>5280606.3082331503</v>
      </c>
      <c r="V63" s="59">
        <f>IFERROR(1/SUM(IFERROR(1/SUMIF(V64,"&lt;&gt;.",V64),0),IFERROR(1/SUMIF(V65,"&lt;&gt;.",V65),0),IFERROR(1/SUMIF(V66,"&lt;&gt;.",V66),0),IFERROR(1/SUMIF(V67,"&lt;&gt;.",V67),0),IFERROR(1/SUMIF(V68,"&lt;&gt;.",V68),0),IFERROR(1/SUMIF(V69,"&lt;&gt;.",V69),0),IFERROR(1/SUMIF(V70,"&lt;&gt;.",V70),0),IFERROR(1/SUMIF(V71,"&lt;&gt;.",V71),0),IFERROR(1/SUMIF(V72,"&lt;&gt;.",V72),0),IFERROR(1/SUMIF(V73,"&lt;&gt;.",V73),0),IFERROR(1/SUMIF(V74,"&lt;&gt;.",V74),0),IFERROR(1/SUMIF(V75,"&lt;&gt;.",V75),0),IFERROR(1/SUMIF(V76,"&lt;&gt;.",V76),0)),".")</f>
        <v>72.020093032882841</v>
      </c>
      <c r="W63" s="59">
        <f>IFERROR(1/SUM(IFERROR(1/SUMIF(W64,"&lt;&gt;.",W64),0),IFERROR(1/SUMIF(W65,"&lt;&gt;.",W65),0),IFERROR(1/SUMIF(W66,"&lt;&gt;.",W66),0),IFERROR(1/SUMIF(W67,"&lt;&gt;.",W67),0),IFERROR(1/SUMIF(W68,"&lt;&gt;.",W68),0),IFERROR(1/SUMIF(W69,"&lt;&gt;.",W69),0),IFERROR(1/SUMIF(W70,"&lt;&gt;.",W70),0),IFERROR(1/SUMIF(W71,"&lt;&gt;.",W71),0),IFERROR(1/SUMIF(W72,"&lt;&gt;.",W72),0),IFERROR(1/SUMIF(W73,"&lt;&gt;.",W73),0),IFERROR(1/SUMIF(W74,"&lt;&gt;.",W74),0),IFERROR(1/SUMIF(W75,"&lt;&gt;.",W75),0),IFERROR(1/SUMIF(W76,"&lt;&gt;.",W76),0)),".")</f>
        <v>137.19761599145534</v>
      </c>
      <c r="X63" s="59">
        <f>IFERROR(1/SUM(IFERROR(1/SUMIF(X64,"&lt;&gt;.",X64),0),IFERROR(1/SUMIF(X65,"&lt;&gt;.",X65),0),IFERROR(1/SUMIF(X66,"&lt;&gt;.",X66),0),IFERROR(1/SUMIF(X67,"&lt;&gt;.",X67),0),IFERROR(1/SUMIF(X68,"&lt;&gt;.",X68),0),IFERROR(1/SUMIF(X69,"&lt;&gt;.",X69),0),IFERROR(1/SUMIF(X70,"&lt;&gt;.",X70),0),IFERROR(1/SUMIF(X71,"&lt;&gt;.",X71),0),IFERROR(1/SUMIF(X72,"&lt;&gt;.",X72),0),IFERROR(1/SUMIF(X73,"&lt;&gt;.",X73),0),IFERROR(1/SUMIF(X74,"&lt;&gt;.",X74),0),IFERROR(1/SUMIF(X75,"&lt;&gt;.",X75),0),IFERROR(1/SUMIF(X76,"&lt;&gt;.",X76),0)),".")</f>
        <v>97.701532463028101</v>
      </c>
      <c r="Y63" s="59">
        <f>IFERROR(1/SUM(IFERROR(1/SUMIF(Y64,"&lt;&gt;.",Y64),0),IFERROR(1/SUMIF(Y65,"&lt;&gt;.",Y65),0),IFERROR(1/SUMIF(Y66,"&lt;&gt;.",Y66),0),IFERROR(1/SUMIF(Y67,"&lt;&gt;.",Y67),0),IFERROR(1/SUMIF(Y68,"&lt;&gt;.",Y68),0),IFERROR(1/SUMIF(Y69,"&lt;&gt;.",Y69),0),IFERROR(1/SUMIF(Y70,"&lt;&gt;.",Y70),0),IFERROR(1/SUMIF(Y71,"&lt;&gt;.",Y71),0),IFERROR(1/SUMIF(Y72,"&lt;&gt;.",Y72),0),IFERROR(1/SUMIF(Y73,"&lt;&gt;.",Y73),0),IFERROR(1/SUMIF(Y74,"&lt;&gt;.",Y74),0),IFERROR(1/SUMIF(Y75,"&lt;&gt;.",Y75),0),IFERROR(1/SUMIF(Y76,"&lt;&gt;.",Y76),0)),".")</f>
        <v>83.304156415765917</v>
      </c>
      <c r="Z63" s="59">
        <f>IFERROR(1/SUM(IFERROR(1/SUMIF(Z64,"&lt;&gt;.",Z64),0),IFERROR(1/SUMIF(Z65,"&lt;&gt;.",Z65),0),IFERROR(1/SUMIF(Z66,"&lt;&gt;.",Z66),0),IFERROR(1/SUMIF(Z67,"&lt;&gt;.",Z67),0),IFERROR(1/SUMIF(Z68,"&lt;&gt;.",Z68),0),IFERROR(1/SUMIF(Z69,"&lt;&gt;.",Z69),0),IFERROR(1/SUMIF(Z70,"&lt;&gt;.",Z70),0),IFERROR(1/SUMIF(Z71,"&lt;&gt;.",Z71),0),IFERROR(1/SUMIF(Z72,"&lt;&gt;.",Z72),0),IFERROR(1/SUMIF(Z73,"&lt;&gt;.",Z73),0),IFERROR(1/SUMIF(Z74,"&lt;&gt;.",Z74),0),IFERROR(1/SUMIF(Z75,"&lt;&gt;.",Z75),0),IFERROR(1/SUMIF(Z76,"&lt;&gt;.",Z76),0)),".")</f>
        <v>240.88991591820403</v>
      </c>
      <c r="AA63" s="190">
        <f>V63*(0.0000000000028)*up_RadSpec!$AY25*up_RadSpec!$AF25</f>
        <v>2.2383844914619991E-7</v>
      </c>
      <c r="AB63" s="190">
        <f>W63*(0.0000000000028)*up_RadSpec!$AY25*up_RadSpec!$AF25</f>
        <v>4.2641019050144315E-7</v>
      </c>
      <c r="AC63" s="190">
        <f>X63*(0.0000000000028)*up_RadSpec!$AY25*up_RadSpec!$AF25</f>
        <v>3.0365636289509137E-7</v>
      </c>
      <c r="AD63" s="190">
        <f>Y63*(0.0000000000028)*up_RadSpec!$AY25*up_RadSpec!$AF25</f>
        <v>2.5890931814020046E-7</v>
      </c>
      <c r="AE63" s="190">
        <f>Z63*(0.0000000000000028)*up_RadSpec!$AY25*up_RadSpec!$AF25</f>
        <v>7.4868585867377821E-10</v>
      </c>
      <c r="AF63" s="47">
        <f t="shared" ref="AF63" si="174">IFERROR(SUM(AF64:AF76),".")</f>
        <v>0.34712534998511496</v>
      </c>
      <c r="AG63" s="47">
        <f t="shared" ref="AG63:AJ63" si="175">IFERROR(SUM(AG64:AG76),".")</f>
        <v>0.18221890970435675</v>
      </c>
      <c r="AH63" s="47">
        <f t="shared" si="175"/>
        <v>0.25588134975733795</v>
      </c>
      <c r="AI63" s="47">
        <f t="shared" si="175"/>
        <v>0.30010507369196004</v>
      </c>
      <c r="AJ63" s="47">
        <f t="shared" si="175"/>
        <v>0.10378184534917993</v>
      </c>
      <c r="AK63" s="58">
        <f>IFERROR(1/SUM(IFERROR(1/SUMIF(AK64,"&lt;&gt;.",AK64),0),IFERROR(1/SUMIF(AK65,"&lt;&gt;.",AK65),0),IFERROR(1/SUMIF(AK66,"&lt;&gt;.",AK66),0),IFERROR(1/SUMIF(AK67,"&lt;&gt;.",AK67),0),IFERROR(1/SUMIF(AK68,"&lt;&gt;.",AK68),0),IFERROR(1/SUMIF(AK69,"&lt;&gt;.",AK69),0),IFERROR(1/SUMIF(AK70,"&lt;&gt;.",AK70),0),IFERROR(1/SUMIF(AK71,"&lt;&gt;.",AK71),0),IFERROR(1/SUMIF(AK72,"&lt;&gt;.",AK72),0),IFERROR(1/SUMIF(AK73,"&lt;&gt;.",AK73),0),IFERROR(1/SUMIF(AK74,"&lt;&gt;.",AK74),0),IFERROR(1/SUMIF(AK75,"&lt;&gt;.",AK75),0),IFERROR(1/SUMIF(AK76,"&lt;&gt;.",AK76),0)),".")</f>
        <v>1.2467530351169193E-3</v>
      </c>
      <c r="AL63" s="58">
        <f>IFERROR(1/SUM(IFERROR(1/SUMIF(AL64,"&lt;&gt;.",AL64),0),IFERROR(1/SUMIF(AL65,"&lt;&gt;.",AL65),0),IFERROR(1/SUMIF(AL66,"&lt;&gt;.",AL66),0),IFERROR(1/SUMIF(AL67,"&lt;&gt;.",AL67),0),IFERROR(1/SUMIF(AL68,"&lt;&gt;.",AL68),0),IFERROR(1/SUMIF(AL69,"&lt;&gt;.",AL69),0),IFERROR(1/SUMIF(AL70,"&lt;&gt;.",AL70),0),IFERROR(1/SUMIF(AL71,"&lt;&gt;.",AL71),0),IFERROR(1/SUMIF(AL72,"&lt;&gt;.",AL72),0),IFERROR(1/SUMIF(AL73,"&lt;&gt;.",AL73),0),IFERROR(1/SUMIF(AL74,"&lt;&gt;.",AL74),0),IFERROR(1/SUMIF(AL75,"&lt;&gt;.",AL75),0),IFERROR(1/SUMIF(AL76,"&lt;&gt;.",AL76),0)),".")</f>
        <v>7.9636350118093198</v>
      </c>
      <c r="AM63" s="59">
        <f>IFERROR(1/SUM(IFERROR(1/SUMIF(AM64,"&lt;&gt;.",AM64),0),IFERROR(1/SUMIF(AM65,"&lt;&gt;.",AM65),0),IFERROR(1/SUMIF(AM66,"&lt;&gt;.",AM66),0),IFERROR(1/SUMIF(AM67,"&lt;&gt;.",AM67),0),IFERROR(1/SUMIF(AM68,"&lt;&gt;.",AM68),0),IFERROR(1/SUMIF(AM69,"&lt;&gt;.",AM69),0),IFERROR(1/SUMIF(AM70,"&lt;&gt;.",AM70),0),IFERROR(1/SUMIF(AM71,"&lt;&gt;.",AM71),0),IFERROR(1/SUMIF(AM72,"&lt;&gt;.",AM72),0),IFERROR(1/SUMIF(AM73,"&lt;&gt;.",AM73),0),IFERROR(1/SUMIF(AM74,"&lt;&gt;.",AM74),0),IFERROR(1/SUMIF(AM75,"&lt;&gt;.",AM75),0),IFERROR(1/SUMIF(AM76,"&lt;&gt;.",AM76),0)),".")</f>
        <v>1.2465578792845461E-3</v>
      </c>
      <c r="AN63" s="190">
        <f>AM63*(0.0000000000000028)*up_RadSpec!$AY25*up_RadSpec!$AF25</f>
        <v>3.8743018888163697E-15</v>
      </c>
      <c r="AO63" s="47">
        <f t="shared" ref="AO63" si="176">IFERROR(SUM(AO64:AO76),".")</f>
        <v>20052.086737174472</v>
      </c>
      <c r="AP63" s="47">
        <f t="shared" ref="AP63:AQ63" si="177">IFERROR(SUM(AP64:AP76),".")</f>
        <v>3.1392699392836763</v>
      </c>
      <c r="AQ63" s="47">
        <f t="shared" si="177"/>
        <v>20055.226007113761</v>
      </c>
      <c r="AR63" s="58">
        <f>IFERROR(1/SUM(IFERROR(1/SUMIF(AR64,"&lt;&gt;.",AR64),0),IFERROR(1/SUMIF(AR65,"&lt;&gt;.",AR65),0),IFERROR(1/SUMIF(AR66,"&lt;&gt;.",AR66),0),IFERROR(1/SUMIF(AR67,"&lt;&gt;.",AR67),0),IFERROR(1/SUMIF(AR68,"&lt;&gt;.",AR68),0),IFERROR(1/SUMIF(AR69,"&lt;&gt;.",AR69),0),IFERROR(1/SUMIF(AR70,"&lt;&gt;.",AR70),0),IFERROR(1/SUMIF(AR71,"&lt;&gt;.",AR71),0),IFERROR(1/SUMIF(AR72,"&lt;&gt;.",AR72),0),IFERROR(1/SUMIF(AR73,"&lt;&gt;.",AR73),0),IFERROR(1/SUMIF(AR74,"&lt;&gt;.",AR74),0),IFERROR(1/SUMIF(AR75,"&lt;&gt;.",AR75),0),IFERROR(1/SUMIF(AR76,"&lt;&gt;.",AR76),0)),".")</f>
        <v>2.8409086086648549E-4</v>
      </c>
      <c r="AS63" s="58">
        <f>IFERROR(1/SUM(IFERROR(1/SUMIF(AS64,"&lt;&gt;.",AS64),0),IFERROR(1/SUMIF(AS65,"&lt;&gt;.",AS65),0),IFERROR(1/SUMIF(AS66,"&lt;&gt;.",AS66),0),IFERROR(1/SUMIF(AS67,"&lt;&gt;.",AS67),0),IFERROR(1/SUMIF(AS68,"&lt;&gt;.",AS68),0),IFERROR(1/SUMIF(AS69,"&lt;&gt;.",AS69),0),IFERROR(1/SUMIF(AS70,"&lt;&gt;.",AS70),0),IFERROR(1/SUMIF(AS71,"&lt;&gt;.",AS71),0),IFERROR(1/SUMIF(AS72,"&lt;&gt;.",AS72),0),IFERROR(1/SUMIF(AS73,"&lt;&gt;.",AS73),0),IFERROR(1/SUMIF(AS74,"&lt;&gt;.",AS74),0),IFERROR(1/SUMIF(AS75,"&lt;&gt;.",AS75),0),IFERROR(1/SUMIF(AS76,"&lt;&gt;.",AS76),0)),".")</f>
        <v>4.9772718823808253</v>
      </c>
      <c r="AT63" s="61">
        <f>IFERROR(1/SUM(IFERROR(1/SUMIF(AT64,"&lt;&gt;.",AT64),0),IFERROR(1/SUMIF(AT65,"&lt;&gt;.",AT65),0),IFERROR(1/SUMIF(AT66,"&lt;&gt;.",AT66),0),IFERROR(1/SUMIF(AT67,"&lt;&gt;.",AT67),0),IFERROR(1/SUMIF(AT68,"&lt;&gt;.",AT68),0),IFERROR(1/SUMIF(AT69,"&lt;&gt;.",AT69),0),IFERROR(1/SUMIF(AT70,"&lt;&gt;.",AT70),0),IFERROR(1/SUMIF(AT71,"&lt;&gt;.",AT71),0),IFERROR(1/SUMIF(AT72,"&lt;&gt;.",AT72),0),IFERROR(1/SUMIF(AT73,"&lt;&gt;.",AT73),0),IFERROR(1/SUMIF(AT74,"&lt;&gt;.",AT74),0),IFERROR(1/SUMIF(AT75,"&lt;&gt;.",AT75),0),IFERROR(1/SUMIF(AT76,"&lt;&gt;.",AT76),0)),".")</f>
        <v>0.22727268869318842</v>
      </c>
      <c r="AU63" s="61">
        <f>IFERROR(1/SUM(IFERROR(1/SUMIF(AU64,"&lt;&gt;.",AU64),0),IFERROR(1/SUMIF(AU65,"&lt;&gt;.",AU65),0),IFERROR(1/SUMIF(AU66,"&lt;&gt;.",AU66),0),IFERROR(1/SUMIF(AU67,"&lt;&gt;.",AU67),0),IFERROR(1/SUMIF(AU68,"&lt;&gt;.",AU68),0),IFERROR(1/SUMIF(AU69,"&lt;&gt;.",AU69),0),IFERROR(1/SUMIF(AU70,"&lt;&gt;.",AU70),0),IFERROR(1/SUMIF(AU71,"&lt;&gt;.",AU71),0),IFERROR(1/SUMIF(AU72,"&lt;&gt;.",AU72),0),IFERROR(1/SUMIF(AU73,"&lt;&gt;.",AU73),0),IFERROR(1/SUMIF(AU74,"&lt;&gt;.",AU74),0),IFERROR(1/SUMIF(AU75,"&lt;&gt;.",AU75),0),IFERROR(1/SUMIF(AU76,"&lt;&gt;.",AU76),0)),".")</f>
        <v>0.22727268869318842</v>
      </c>
      <c r="AV63" s="233">
        <f t="shared" si="41"/>
        <v>3520.0005975199997</v>
      </c>
      <c r="AW63" s="233">
        <f t="shared" si="41"/>
        <v>0.20091327611415524</v>
      </c>
      <c r="AX63" s="233">
        <f t="shared" si="41"/>
        <v>4.4000007468999991</v>
      </c>
      <c r="AY63" s="233">
        <f t="shared" si="41"/>
        <v>4.4000007468999991</v>
      </c>
      <c r="AZ63" s="58">
        <f>IFERROR(1/SUM(IFERROR(1/SUMIF(AZ64,"&lt;&gt;.",AZ64),0),IFERROR(1/SUMIF(AZ65,"&lt;&gt;.",AZ65),0),IFERROR(1/SUMIF(AZ66,"&lt;&gt;.",AZ66),0),IFERROR(1/SUMIF(AZ67,"&lt;&gt;.",AZ67),0),IFERROR(1/SUMIF(AZ68,"&lt;&gt;.",AZ68),0),IFERROR(1/SUMIF(AZ69,"&lt;&gt;.",AZ69),0),IFERROR(1/SUMIF(AZ70,"&lt;&gt;.",AZ70),0),IFERROR(1/SUMIF(AZ71,"&lt;&gt;.",AZ71),0),IFERROR(1/SUMIF(AZ72,"&lt;&gt;.",AZ72),0),IFERROR(1/SUMIF(AZ73,"&lt;&gt;.",AZ73),0),IFERROR(1/SUMIF(AZ74,"&lt;&gt;.",AZ74),0),IFERROR(1/SUMIF(AZ75,"&lt;&gt;.",AZ75),0),IFERROR(1/SUMIF(AZ76,"&lt;&gt;.",AZ76),0)),".")</f>
        <v>2.8336627131426637E-4</v>
      </c>
      <c r="BA63" s="190">
        <f>AZ63*(0.0000000000000028)*up_RadSpec!$AY25*up_RadSpec!$AF25</f>
        <v>8.8070237124473993E-16</v>
      </c>
      <c r="BB63" s="47">
        <f t="shared" ref="BB63" si="178">IFERROR(SUM(BB64:BB76),".")</f>
        <v>88000.014938000008</v>
      </c>
      <c r="BC63" s="47">
        <f t="shared" ref="BC63:BF63" si="179">IFERROR(SUM(BC64:BC76),".")</f>
        <v>5.0228319028538824</v>
      </c>
      <c r="BD63" s="47">
        <f t="shared" si="179"/>
        <v>110.00001867249999</v>
      </c>
      <c r="BE63" s="47">
        <f t="shared" si="179"/>
        <v>110.00001867249999</v>
      </c>
      <c r="BF63" s="47">
        <f t="shared" si="179"/>
        <v>88225.037807247849</v>
      </c>
      <c r="BG63" s="61">
        <f>IFERROR(1/SUM(IFERROR(1/SUMIF(BG64,"&lt;&gt;.",BG64),0),IFERROR(1/SUMIF(BG65,"&lt;&gt;.",BG65),0),IFERROR(1/SUMIF(BG66,"&lt;&gt;.",BG66),0),IFERROR(1/SUMIF(BG67,"&lt;&gt;.",BG67),0),IFERROR(1/SUMIF(BG68,"&lt;&gt;.",BG68),0),IFERROR(1/SUMIF(BG69,"&lt;&gt;.",BG69),0),IFERROR(1/SUMIF(BG70,"&lt;&gt;.",BG70),0),IFERROR(1/SUMIF(BG71,"&lt;&gt;.",BG71),0),IFERROR(1/SUMIF(BG72,"&lt;&gt;.",BG72),0),IFERROR(1/SUMIF(BG73,"&lt;&gt;.",BG73),0),IFERROR(1/SUMIF(BG74,"&lt;&gt;.",BG74),0),IFERROR(1/SUMIF(BG75,"&lt;&gt;.",BG75),0),IFERROR(1/SUMIF(BG76,"&lt;&gt;.",BG76),0)),".")</f>
        <v>2.2727268869318839E-3</v>
      </c>
      <c r="BH63" s="61">
        <f>IFERROR(1/SUM(IFERROR(1/SUMIF(BH64,"&lt;&gt;.",BH64),0),IFERROR(1/SUMIF(BH65,"&lt;&gt;.",BH65),0),IFERROR(1/SUMIF(BH66,"&lt;&gt;.",BH66),0),IFERROR(1/SUMIF(BH67,"&lt;&gt;.",BH67),0),IFERROR(1/SUMIF(BH68,"&lt;&gt;.",BH68),0),IFERROR(1/SUMIF(BH69,"&lt;&gt;.",BH69),0),IFERROR(1/SUMIF(BH70,"&lt;&gt;.",BH70),0),IFERROR(1/SUMIF(BH71,"&lt;&gt;.",BH71),0),IFERROR(1/SUMIF(BH72,"&lt;&gt;.",BH72),0),IFERROR(1/SUMIF(BH73,"&lt;&gt;.",BH73),0),IFERROR(1/SUMIF(BH74,"&lt;&gt;.",BH74),0),IFERROR(1/SUMIF(BH75,"&lt;&gt;.",BH75),0),IFERROR(1/SUMIF(BH76,"&lt;&gt;.",BH76),0)),".")</f>
        <v>2.2727268869318839E-3</v>
      </c>
      <c r="BI63" s="190">
        <f>BG63*(0.0000000000028)*up_RadSpec!$AY25*up_RadSpec!$AF25</f>
        <v>7.0636351645842968E-12</v>
      </c>
      <c r="BJ63" s="190">
        <f>BH63*(0.0000000000028)*up_RadSpec!$AY25*up_RadSpec!$AF25</f>
        <v>7.0636351645842968E-12</v>
      </c>
      <c r="BK63" s="47">
        <f t="shared" ref="BK63" si="180">IFERROR(SUM(BK64:BK76),".")</f>
        <v>11000.001867250001</v>
      </c>
      <c r="BL63" s="47">
        <f t="shared" ref="BL63" si="181">IFERROR(SUM(BL64:BL76),".")</f>
        <v>11000.001867250001</v>
      </c>
    </row>
    <row r="64" spans="1:64" x14ac:dyDescent="0.25">
      <c r="A64" s="48" t="s">
        <v>1073</v>
      </c>
      <c r="B64" s="45">
        <v>1</v>
      </c>
      <c r="C64" s="170"/>
      <c r="D64" s="60">
        <f>IFERROR(D25/$B50,".")</f>
        <v>0.33057851239669422</v>
      </c>
      <c r="E64" s="60">
        <f>IFERROR(E25/$B50,".")</f>
        <v>3089.9917851942919</v>
      </c>
      <c r="F64" s="60">
        <f>IFERROR(F25/$B50,".")</f>
        <v>511.71960569550941</v>
      </c>
      <c r="G64" s="63">
        <f>IFERROR(G25/$B50,".")</f>
        <v>7.5757575757575758E-5</v>
      </c>
      <c r="H64" s="63">
        <f>IFERROR(H25/$B50,".")</f>
        <v>7.5757575757575758E-5</v>
      </c>
      <c r="I64" s="233">
        <f t="shared" si="10"/>
        <v>3.0249999999999999</v>
      </c>
      <c r="J64" s="233">
        <f t="shared" si="10"/>
        <v>3.236254558317935E-4</v>
      </c>
      <c r="K64" s="233">
        <f t="shared" si="10"/>
        <v>1.9541952054794517E-3</v>
      </c>
      <c r="L64" s="233">
        <f t="shared" si="10"/>
        <v>13200</v>
      </c>
      <c r="M64" s="233">
        <f t="shared" si="10"/>
        <v>13200</v>
      </c>
      <c r="N64" s="63">
        <f>IFERROR(N25/$B50,".")</f>
        <v>3.7874444830802791E-5</v>
      </c>
      <c r="O64" s="189">
        <f>IFERROR(O25/$B50,0)</f>
        <v>1.1771377453413507E-13</v>
      </c>
      <c r="P64" s="49">
        <f>IF(D64=".",".",up_RadSpec!$E$25*P25*$B$64)</f>
        <v>75.625</v>
      </c>
      <c r="Q64" s="49">
        <f>IF(E64=".",".",up_RadSpec!$H$25*Q25*$B$64)</f>
        <v>8.0906363957948379E-3</v>
      </c>
      <c r="R64" s="49">
        <f>IF(F64=".",".",up_RadSpec!$G$25*R25*$B$64)</f>
        <v>4.8854880136986294E-2</v>
      </c>
      <c r="S64" s="49">
        <f>IF(G64=".",".",up_RadSpec!$F$25*S25*$B$64)</f>
        <v>330000</v>
      </c>
      <c r="T64" s="49">
        <f>IF(H64=".",".",up_RadSpec!$F$25*T25*$B$64)</f>
        <v>330000</v>
      </c>
      <c r="U64" s="49">
        <f t="shared" ref="U64:U76" si="182">IFERROR(SUM(P64:T64),".")</f>
        <v>660075.6819455165</v>
      </c>
      <c r="V64" s="60">
        <f>IFERROR(V25/$B50,".")</f>
        <v>511.71960569550941</v>
      </c>
      <c r="W64" s="60">
        <f>IFERROR(W25/$B50,".")</f>
        <v>916.38362553616764</v>
      </c>
      <c r="X64" s="60">
        <f>IFERROR(X25/$B50,".")</f>
        <v>657.32694272020126</v>
      </c>
      <c r="Y64" s="60">
        <f>IFERROR(Y25/$B50,".")</f>
        <v>586.97641341709129</v>
      </c>
      <c r="Z64" s="60">
        <f>IFERROR(Z25/$B50,".")</f>
        <v>1642.9752066115702</v>
      </c>
      <c r="AA64" s="189">
        <f t="shared" ref="AA64:AE64" si="183">IFERROR(AA25/$B50,0)</f>
        <v>1.5904245345016435E-6</v>
      </c>
      <c r="AB64" s="189">
        <f t="shared" si="183"/>
        <v>2.8481203081664092E-6</v>
      </c>
      <c r="AC64" s="189">
        <f t="shared" si="183"/>
        <v>2.0429721379743854E-6</v>
      </c>
      <c r="AD64" s="189">
        <f t="shared" si="183"/>
        <v>1.82432269290032E-6</v>
      </c>
      <c r="AE64" s="189">
        <f t="shared" si="183"/>
        <v>5.1063669421487615E-6</v>
      </c>
      <c r="AF64" s="49">
        <f>IF(V64=".",".",up_RadSpec!$G$25*AF25*$B$64)</f>
        <v>4.8854880136986294E-2</v>
      </c>
      <c r="AG64" s="49">
        <f>IF(W64=".",".",up_RadSpec!$N$25*AG25*$B$64)</f>
        <v>2.7281150932146711E-2</v>
      </c>
      <c r="AH64" s="49">
        <f>IF(X64=".",".",up_RadSpec!$O$25*AH25*$B$64)</f>
        <v>3.8032824117239232E-2</v>
      </c>
      <c r="AI64" s="49">
        <f>IF(Y64=".",".",up_RadSpec!$P$25*AI25*$B$64)</f>
        <v>4.2591149198759372E-2</v>
      </c>
      <c r="AJ64" s="49">
        <f>IF(Z64=".",".",up_RadSpec!$L$25*AJ25*$B$64)</f>
        <v>1.5216297786720323E-2</v>
      </c>
      <c r="AK64" s="60">
        <f>IFERROR(AK25/$B50,".")</f>
        <v>9.9740259740259754E-3</v>
      </c>
      <c r="AL64" s="60">
        <f>IFERROR(AL25/$B50,".")</f>
        <v>63.709090909090911</v>
      </c>
      <c r="AM64" s="60">
        <f>IFERROR(AM25/$B50,".")</f>
        <v>9.9724647271019675E-3</v>
      </c>
      <c r="AN64" s="189">
        <f t="shared" ref="AN64" si="184">IFERROR(AN25/$B50,0)</f>
        <v>3.0994420371832921E-14</v>
      </c>
      <c r="AO64" s="49">
        <f>IF(AK64=".",".",up_RadSpec!$H$25*AO25*$B$64)</f>
        <v>2506.5104166666661</v>
      </c>
      <c r="AP64" s="49">
        <f>IF(AL64=".",".",up_RadSpec!$K$25*AP25*$B$64)</f>
        <v>0.39240867579908678</v>
      </c>
      <c r="AQ64" s="49">
        <f t="shared" ref="AQ64:AQ76" si="185">IFERROR(SUM(AO64:AP64),".")</f>
        <v>2506.9028253424653</v>
      </c>
      <c r="AR64" s="60">
        <f>IFERROR(AR25/$B50,".")</f>
        <v>2.2727272727272726E-3</v>
      </c>
      <c r="AS64" s="60">
        <f>IFERROR(AS25/$B50,".")</f>
        <v>39.81818181818182</v>
      </c>
      <c r="AT64" s="63">
        <f>IFERROR(AT25/$B50,".")</f>
        <v>1.8181818181818181</v>
      </c>
      <c r="AU64" s="63">
        <f>IFERROR(AU25/$B50,".")</f>
        <v>1.8181818181818181</v>
      </c>
      <c r="AV64" s="233">
        <f t="shared" si="41"/>
        <v>440</v>
      </c>
      <c r="AW64" s="233">
        <f t="shared" si="41"/>
        <v>2.5114155251141551E-2</v>
      </c>
      <c r="AX64" s="233">
        <f t="shared" si="41"/>
        <v>0.55000000000000004</v>
      </c>
      <c r="AY64" s="233">
        <f t="shared" si="41"/>
        <v>0.55000000000000004</v>
      </c>
      <c r="AZ64" s="63">
        <f>IFERROR(AZ25/$B50,".")</f>
        <v>2.2669305553255272E-3</v>
      </c>
      <c r="BA64" s="189">
        <f t="shared" ref="BA64" si="186">IFERROR(BA25/$B50,0)</f>
        <v>7.0456201659517389E-15</v>
      </c>
      <c r="BB64" s="49">
        <f>IF(AR64=".",".",up_RadSpec!$I$25*BB25*$B$64)</f>
        <v>11000</v>
      </c>
      <c r="BC64" s="49">
        <f>IF(AS64=".",".",up_RadSpec!$M$25*BC25*$B$64)</f>
        <v>0.62785388127853881</v>
      </c>
      <c r="BD64" s="49">
        <f>IF(AT64=".",".",up_RadSpec!$F$25*BD25*$B$64)</f>
        <v>13.75</v>
      </c>
      <c r="BE64" s="49">
        <f>IF(AU64=".",".",up_RadSpec!$F$25*BE25*$B$64)</f>
        <v>13.75</v>
      </c>
      <c r="BF64" s="49">
        <f t="shared" si="44"/>
        <v>11028.127853881278</v>
      </c>
      <c r="BG64" s="63">
        <f>IFERROR(BG25/$B50,".")</f>
        <v>1.8181818181818181E-2</v>
      </c>
      <c r="BH64" s="63">
        <f>IFERROR(BH25/$B50,".")</f>
        <v>1.8181818181818181E-2</v>
      </c>
      <c r="BI64" s="189">
        <f t="shared" ref="BI64:BJ64" si="187">IFERROR(BI25/$B50,0)</f>
        <v>5.6509090909090911E-11</v>
      </c>
      <c r="BJ64" s="189">
        <f t="shared" si="187"/>
        <v>5.6509090909090911E-11</v>
      </c>
      <c r="BK64" s="49">
        <f>IF(BG64=".",".",up_RadSpec!$F$25*BK25*$B$64)</f>
        <v>1375</v>
      </c>
      <c r="BL64" s="49">
        <f>IF(BH64=".",".",up_RadSpec!$F$25*BL25*$B$64)</f>
        <v>1375</v>
      </c>
    </row>
    <row r="65" spans="1:64" x14ac:dyDescent="0.25">
      <c r="A65" s="48" t="s">
        <v>1059</v>
      </c>
      <c r="B65" s="45">
        <v>1</v>
      </c>
      <c r="C65" s="170"/>
      <c r="D65" s="60">
        <f>IFERROR(D21/$B51,".")</f>
        <v>0.33057851239669422</v>
      </c>
      <c r="E65" s="60">
        <f>IFERROR(E21/$B51,".")</f>
        <v>3089.9917851942919</v>
      </c>
      <c r="F65" s="60" t="str">
        <f>IFERROR(F21/$B51,".")</f>
        <v>.</v>
      </c>
      <c r="G65" s="63">
        <f>IFERROR(G21/$B51,".")</f>
        <v>7.5757575757575758E-5</v>
      </c>
      <c r="H65" s="63">
        <f>IFERROR(H21/$B51,".")</f>
        <v>7.5757575757575758E-5</v>
      </c>
      <c r="I65" s="233">
        <f t="shared" si="10"/>
        <v>3.0249999999999999</v>
      </c>
      <c r="J65" s="233">
        <f t="shared" si="10"/>
        <v>3.236254558317935E-4</v>
      </c>
      <c r="K65" s="233">
        <f t="shared" si="10"/>
        <v>0</v>
      </c>
      <c r="L65" s="233">
        <f t="shared" si="10"/>
        <v>13200</v>
      </c>
      <c r="M65" s="233">
        <f t="shared" si="10"/>
        <v>13200</v>
      </c>
      <c r="N65" s="63">
        <f>IFERROR(N21/$B51,".")</f>
        <v>3.7874447634044378E-5</v>
      </c>
      <c r="O65" s="189">
        <f>IFERROR(O21/$B51,0)</f>
        <v>1.1559281417910346E-13</v>
      </c>
      <c r="P65" s="49">
        <f>IF(D65=".",".",up_RadSpec!$E$21*P21*$B$65)</f>
        <v>75.625</v>
      </c>
      <c r="Q65" s="49">
        <f>IF(E65=".",".",up_RadSpec!$H$21*Q21*$B$65)</f>
        <v>8.0906363957948379E-3</v>
      </c>
      <c r="R65" s="49" t="str">
        <f>IF(F65=".",".",up_RadSpec!$G$21*R21*$B$65)</f>
        <v>.</v>
      </c>
      <c r="S65" s="49">
        <f>IF(G65=".",".",up_RadSpec!$F$21*S21*$B$65)</f>
        <v>330000</v>
      </c>
      <c r="T65" s="49">
        <f>IF(H65=".",".",up_RadSpec!$F$21*T21*$B$65)</f>
        <v>330000</v>
      </c>
      <c r="U65" s="49">
        <f t="shared" si="182"/>
        <v>660075.63309063646</v>
      </c>
      <c r="V65" s="60" t="str">
        <f>IFERROR(V21/$B51,".")</f>
        <v>.</v>
      </c>
      <c r="W65" s="60" t="str">
        <f>IFERROR(W21/$B51,".")</f>
        <v>.</v>
      </c>
      <c r="X65" s="60" t="str">
        <f>IFERROR(X21/$B51,".")</f>
        <v>.</v>
      </c>
      <c r="Y65" s="60" t="str">
        <f>IFERROR(Y21/$B51,".")</f>
        <v>.</v>
      </c>
      <c r="Z65" s="60" t="str">
        <f>IFERROR(Z21/$B51,".")</f>
        <v>.</v>
      </c>
      <c r="AA65" s="189">
        <f t="shared" ref="AA65:AE65" si="188">IFERROR(AA21/$B51,0)</f>
        <v>0</v>
      </c>
      <c r="AB65" s="189">
        <f t="shared" si="188"/>
        <v>0</v>
      </c>
      <c r="AC65" s="189">
        <f t="shared" si="188"/>
        <v>0</v>
      </c>
      <c r="AD65" s="189">
        <f t="shared" si="188"/>
        <v>0</v>
      </c>
      <c r="AE65" s="189">
        <f t="shared" si="188"/>
        <v>0</v>
      </c>
      <c r="AF65" s="49" t="str">
        <f>IF(V65=".",".",up_RadSpec!$G$21*AF21*$B$65)</f>
        <v>.</v>
      </c>
      <c r="AG65" s="49" t="str">
        <f>IF(W65=".",".",up_RadSpec!$N$21*AG21*$B$65)</f>
        <v>.</v>
      </c>
      <c r="AH65" s="49" t="str">
        <f>IF(X65=".",".",up_RadSpec!$O$21*AH21*$B$65)</f>
        <v>.</v>
      </c>
      <c r="AI65" s="49" t="str">
        <f>IF(Y65=".",".",up_RadSpec!$P$21*AI21*$B$65)</f>
        <v>.</v>
      </c>
      <c r="AJ65" s="49" t="str">
        <f>IF(Z65=".",".",up_RadSpec!$L$21*AJ21*$B$65)</f>
        <v>.</v>
      </c>
      <c r="AK65" s="60">
        <f>IFERROR(AK21/$B51,".")</f>
        <v>9.9740259740259754E-3</v>
      </c>
      <c r="AL65" s="60">
        <f>IFERROR(AL21/$B51,".")</f>
        <v>63.709090909090911</v>
      </c>
      <c r="AM65" s="60">
        <f>IFERROR(AM21/$B51,".")</f>
        <v>9.9724647271019675E-3</v>
      </c>
      <c r="AN65" s="189">
        <f t="shared" ref="AN65" si="189">IFERROR(AN21/$B51,0)</f>
        <v>3.0435962347115209E-14</v>
      </c>
      <c r="AO65" s="49">
        <f>IF(AK65=".",".",up_RadSpec!$H$21*AO21*$B$65)</f>
        <v>2506.5104166666661</v>
      </c>
      <c r="AP65" s="49">
        <f>IF(AL65=".",".",up_RadSpec!$K$21*AP21*$B$65)</f>
        <v>0.39240867579908678</v>
      </c>
      <c r="AQ65" s="49">
        <f t="shared" si="185"/>
        <v>2506.9028253424653</v>
      </c>
      <c r="AR65" s="60">
        <f>IFERROR(AR21/$B51,".")</f>
        <v>2.2727272727272726E-3</v>
      </c>
      <c r="AS65" s="60">
        <f>IFERROR(AS21/$B51,".")</f>
        <v>39.81818181818182</v>
      </c>
      <c r="AT65" s="63">
        <f>IFERROR(AT21/$B51,".")</f>
        <v>1.8181818181818181</v>
      </c>
      <c r="AU65" s="63">
        <f>IFERROR(AU21/$B51,".")</f>
        <v>1.8181818181818181</v>
      </c>
      <c r="AV65" s="233">
        <f t="shared" si="41"/>
        <v>440</v>
      </c>
      <c r="AW65" s="233">
        <f t="shared" si="41"/>
        <v>2.5114155251141551E-2</v>
      </c>
      <c r="AX65" s="233">
        <f t="shared" si="41"/>
        <v>0.55000000000000004</v>
      </c>
      <c r="AY65" s="233">
        <f t="shared" si="41"/>
        <v>0.55000000000000004</v>
      </c>
      <c r="AZ65" s="63">
        <f>IFERROR(AZ21/$B51,".")</f>
        <v>2.2669305553255272E-3</v>
      </c>
      <c r="BA65" s="189">
        <f t="shared" ref="BA65" si="190">IFERROR(BA21/$B51,0)</f>
        <v>6.918672054853509E-15</v>
      </c>
      <c r="BB65" s="49">
        <f>IF(AR65=".",".",up_RadSpec!$I$21*BB21*$B$65)</f>
        <v>11000</v>
      </c>
      <c r="BC65" s="49">
        <f>IF(AS65=".",".",up_RadSpec!$M$21*BC21*$B$65)</f>
        <v>0.62785388127853881</v>
      </c>
      <c r="BD65" s="49">
        <f>IF(AT65=".",".",up_RadSpec!$F$21*BD21*$B$65)</f>
        <v>13.75</v>
      </c>
      <c r="BE65" s="49">
        <f>IF(AU65=".",".",up_RadSpec!$F$21*BE21*$B$65)</f>
        <v>13.75</v>
      </c>
      <c r="BF65" s="49">
        <f t="shared" si="44"/>
        <v>11028.127853881278</v>
      </c>
      <c r="BG65" s="63">
        <f>IFERROR(BG21/$B51,".")</f>
        <v>1.8181818181818181E-2</v>
      </c>
      <c r="BH65" s="63">
        <f>IFERROR(BH21/$B51,".")</f>
        <v>1.8181818181818181E-2</v>
      </c>
      <c r="BI65" s="189">
        <f t="shared" ref="BI65:BJ65" si="191">IFERROR(BI21/$B51,0)</f>
        <v>5.5490909090909096E-11</v>
      </c>
      <c r="BJ65" s="189">
        <f t="shared" si="191"/>
        <v>5.5490909090909096E-11</v>
      </c>
      <c r="BK65" s="49">
        <f>IF(BG65=".",".",up_RadSpec!$F$21*BK21*$B$65)</f>
        <v>1375</v>
      </c>
      <c r="BL65" s="49">
        <f>IF(BH65=".",".",up_RadSpec!$F$21*BL21*$B$65)</f>
        <v>1375</v>
      </c>
    </row>
    <row r="66" spans="1:64" x14ac:dyDescent="0.25">
      <c r="A66" s="48" t="s">
        <v>1060</v>
      </c>
      <c r="B66" s="52">
        <v>0.99980000000000002</v>
      </c>
      <c r="C66" s="173"/>
      <c r="D66" s="60">
        <f>IFERROR(D17/$B52,".")</f>
        <v>0.33064464132495919</v>
      </c>
      <c r="E66" s="60">
        <f>IFERROR(E17/$B52,".")</f>
        <v>3090.6099071757271</v>
      </c>
      <c r="F66" s="60">
        <f>IFERROR(F17/$B52,".")</f>
        <v>703.42285694447003</v>
      </c>
      <c r="G66" s="63">
        <f>IFERROR(G17/$B52,".")</f>
        <v>7.5772730303636486E-5</v>
      </c>
      <c r="H66" s="63">
        <f>IFERROR(H17/$B52,".")</f>
        <v>7.5772730303636486E-5</v>
      </c>
      <c r="I66" s="233">
        <f t="shared" ref="I66:M129" si="192">IFERROR(1/D66,0)</f>
        <v>3.0243950000000002</v>
      </c>
      <c r="J66" s="233">
        <f t="shared" si="192"/>
        <v>3.2356073074062711E-4</v>
      </c>
      <c r="K66" s="233">
        <f t="shared" si="192"/>
        <v>1.4216199973139947E-3</v>
      </c>
      <c r="L66" s="233">
        <f t="shared" si="192"/>
        <v>13197.36</v>
      </c>
      <c r="M66" s="233">
        <f t="shared" si="192"/>
        <v>13197.36</v>
      </c>
      <c r="N66" s="63">
        <f>IFERROR(N17/$B52,".")</f>
        <v>3.7882021998759687E-5</v>
      </c>
      <c r="O66" s="189">
        <f>IFERROR(O17/$B52,0)</f>
        <v>1.1349453790828403E-13</v>
      </c>
      <c r="P66" s="49">
        <f>IF(D66=".",".",up_RadSpec!$E$17*P17*$B$66)</f>
        <v>75.609875000000002</v>
      </c>
      <c r="Q66" s="49">
        <f>IF(E66=".",".",up_RadSpec!$H$17*Q17*$B$66)</f>
        <v>8.0890182685156783E-3</v>
      </c>
      <c r="R66" s="49">
        <f>IF(F66=".",".",up_RadSpec!$G$17*R17*$B$66)</f>
        <v>3.554049993284987E-2</v>
      </c>
      <c r="S66" s="49">
        <f>IF(G66=".",".",up_RadSpec!$F$17*S17*$B$66)</f>
        <v>329934</v>
      </c>
      <c r="T66" s="49">
        <f>IF(H66=".",".",up_RadSpec!$F$17*T17*$B$66)</f>
        <v>329934</v>
      </c>
      <c r="U66" s="49">
        <f t="shared" si="182"/>
        <v>659943.65350451821</v>
      </c>
      <c r="V66" s="60">
        <f>IFERROR(V17/$B52,".")</f>
        <v>703.42285694447003</v>
      </c>
      <c r="W66" s="60">
        <f>IFERROR(W17/$B52,".")</f>
        <v>1229.3785520792735</v>
      </c>
      <c r="X66" s="60">
        <f>IFERROR(X17/$B52,".")</f>
        <v>926.23153705958521</v>
      </c>
      <c r="Y66" s="60">
        <f>IFERROR(Y17/$B52,".")</f>
        <v>823.63423450425842</v>
      </c>
      <c r="Z66" s="60">
        <f>IFERROR(Z17/$B52,".")</f>
        <v>2355.6566311846341</v>
      </c>
      <c r="AA66" s="189">
        <f t="shared" ref="AA66:AE66" si="193">IFERROR(AA17/$B52,0)</f>
        <v>2.1074548794056323E-6</v>
      </c>
      <c r="AB66" s="189">
        <f t="shared" si="193"/>
        <v>3.6832181420295035E-6</v>
      </c>
      <c r="AC66" s="189">
        <f t="shared" si="193"/>
        <v>2.7749896850305176E-6</v>
      </c>
      <c r="AD66" s="189">
        <f t="shared" si="193"/>
        <v>2.4676081665747585E-6</v>
      </c>
      <c r="AE66" s="189">
        <f t="shared" si="193"/>
        <v>7.0575472670291644E-6</v>
      </c>
      <c r="AF66" s="49">
        <f>IF(V66=".",".",up_RadSpec!$G$17*AF17*$B$66)</f>
        <v>3.554049993284987E-2</v>
      </c>
      <c r="AG66" s="49">
        <f>IF(W66=".",".",up_RadSpec!$N$17*AG17*$B$66)</f>
        <v>2.0335477593713493E-2</v>
      </c>
      <c r="AH66" s="49">
        <f>IF(X66=".",".",up_RadSpec!$O$17*AH17*$B$66)</f>
        <v>2.6991091319741718E-2</v>
      </c>
      <c r="AI66" s="49">
        <f>IF(Y66=".",".",up_RadSpec!$P$17*AI17*$B$66)</f>
        <v>3.0353279347412488E-2</v>
      </c>
      <c r="AJ66" s="49">
        <f>IF(Z66=".",".",up_RadSpec!$L$17*AJ17*$B$66)</f>
        <v>1.0612752159650608E-2</v>
      </c>
      <c r="AK66" s="60">
        <f>IFERROR(AK17/$B52,".")</f>
        <v>9.9760211782616275E-3</v>
      </c>
      <c r="AL66" s="60">
        <f>IFERROR(AL17/$B52,".")</f>
        <v>63.721835276146138</v>
      </c>
      <c r="AM66" s="60">
        <f>IFERROR(AM17/$B52,".")</f>
        <v>9.9744596190257731E-3</v>
      </c>
      <c r="AN66" s="189">
        <f t="shared" ref="AN66" si="194">IFERROR(AN17/$B52,0)</f>
        <v>2.9883481018601213E-14</v>
      </c>
      <c r="AO66" s="49">
        <f>IF(AK66=".",".",up_RadSpec!$H$17*AO17*$B$66)</f>
        <v>2506.0091145833326</v>
      </c>
      <c r="AP66" s="49">
        <f>IF(AL66=".",".",up_RadSpec!$K$17*AP17*$B$66)</f>
        <v>0.392330194063927</v>
      </c>
      <c r="AQ66" s="49">
        <f t="shared" si="185"/>
        <v>2506.4014447773966</v>
      </c>
      <c r="AR66" s="60">
        <f>IFERROR(AR17/$B52,".")</f>
        <v>2.2731819091090944E-3</v>
      </c>
      <c r="AS66" s="60">
        <f>IFERROR(AS17/$B52,".")</f>
        <v>39.826147047591334</v>
      </c>
      <c r="AT66" s="63">
        <f>IFERROR(AT17/$B52,".")</f>
        <v>1.8185455272872755</v>
      </c>
      <c r="AU66" s="63">
        <f>IFERROR(AU17/$B52,".")</f>
        <v>1.8185455272872755</v>
      </c>
      <c r="AV66" s="233">
        <f t="shared" si="41"/>
        <v>439.91200000000003</v>
      </c>
      <c r="AW66" s="233">
        <f t="shared" si="41"/>
        <v>2.5109132420091326E-2</v>
      </c>
      <c r="AX66" s="233">
        <f t="shared" si="41"/>
        <v>0.5498900000000001</v>
      </c>
      <c r="AY66" s="233">
        <f t="shared" si="41"/>
        <v>0.5498900000000001</v>
      </c>
      <c r="AZ66" s="63">
        <f>IFERROR(AZ17/$B52,".")</f>
        <v>2.2673840321319537E-3</v>
      </c>
      <c r="BA66" s="189">
        <f t="shared" ref="BA66" si="195">IFERROR(BA17/$B52,0)</f>
        <v>6.793082560267333E-15</v>
      </c>
      <c r="BB66" s="49">
        <f>IF(AR66=".",".",up_RadSpec!$I$17*BB17*$B$66)</f>
        <v>10997.800000000001</v>
      </c>
      <c r="BC66" s="49">
        <f>IF(AS66=".",".",up_RadSpec!$M$17*BC17*$B$66)</f>
        <v>0.62772831050228306</v>
      </c>
      <c r="BD66" s="49">
        <f>IF(AT66=".",".",up_RadSpec!$F$17*BD17*$B$66)</f>
        <v>13.747250000000001</v>
      </c>
      <c r="BE66" s="49">
        <f>IF(AU66=".",".",up_RadSpec!$F$17*BE17*$B$66)</f>
        <v>13.747250000000001</v>
      </c>
      <c r="BF66" s="49">
        <f t="shared" si="44"/>
        <v>11025.922228310505</v>
      </c>
      <c r="BG66" s="63">
        <f>IFERROR(BG17/$B52,".")</f>
        <v>1.8185455272872755E-2</v>
      </c>
      <c r="BH66" s="63">
        <f>IFERROR(BH17/$B52,".")</f>
        <v>1.8185455272872755E-2</v>
      </c>
      <c r="BI66" s="189">
        <f t="shared" ref="BI66:BJ66" si="196">IFERROR(BI17/$B52,0)</f>
        <v>5.4483623997526782E-11</v>
      </c>
      <c r="BJ66" s="189">
        <f t="shared" si="196"/>
        <v>5.4483623997526782E-11</v>
      </c>
      <c r="BK66" s="49">
        <f>IF(BG66=".",".",up_RadSpec!$F$17*BK17*$B$66)</f>
        <v>1374.7250000000001</v>
      </c>
      <c r="BL66" s="49">
        <f>IF(BH66=".",".",up_RadSpec!$F$17*BL17*$B$66)</f>
        <v>1374.7250000000001</v>
      </c>
    </row>
    <row r="67" spans="1:64" x14ac:dyDescent="0.25">
      <c r="A67" s="48" t="s">
        <v>1074</v>
      </c>
      <c r="B67" s="45">
        <v>2.0000000000000001E-4</v>
      </c>
      <c r="C67" s="170"/>
      <c r="D67" s="60">
        <f>IFERROR(D5/$B53,".")</f>
        <v>1652.8925619834711</v>
      </c>
      <c r="E67" s="60">
        <f>IFERROR(E5/$B53,".")</f>
        <v>15449958.925971458</v>
      </c>
      <c r="F67" s="60" t="str">
        <f>IFERROR(F5/$B53,".")</f>
        <v>.</v>
      </c>
      <c r="G67" s="63">
        <f>IFERROR(G5/$B53,".")</f>
        <v>0.37878787878787878</v>
      </c>
      <c r="H67" s="63">
        <f>IFERROR(H5/$B53,".")</f>
        <v>0.37878787878787878</v>
      </c>
      <c r="I67" s="233">
        <f t="shared" si="192"/>
        <v>6.0499999999999996E-4</v>
      </c>
      <c r="J67" s="233">
        <f t="shared" si="192"/>
        <v>6.4725091166358705E-8</v>
      </c>
      <c r="K67" s="233">
        <f t="shared" si="192"/>
        <v>0</v>
      </c>
      <c r="L67" s="233">
        <f t="shared" si="192"/>
        <v>2.64</v>
      </c>
      <c r="M67" s="233">
        <f t="shared" si="192"/>
        <v>2.64</v>
      </c>
      <c r="N67" s="63">
        <f>IFERROR(N5/$B53,".")</f>
        <v>0.18937223817022189</v>
      </c>
      <c r="O67" s="189">
        <f>IFERROR(O5/$B53,0)</f>
        <v>5.7796407089551728E-10</v>
      </c>
      <c r="P67" s="49">
        <f>IF(D67=".",".",up_RadSpec!$E$5*P5*$B$67)</f>
        <v>1.5125000000000001E-2</v>
      </c>
      <c r="Q67" s="49">
        <f>IF(E67=".",".",up_RadSpec!$H$5*Q5*$B$67)</f>
        <v>1.6181272791589677E-6</v>
      </c>
      <c r="R67" s="49" t="str">
        <f>IF(F67=".",".",up_RadSpec!$G$5*R5*$B$67)</f>
        <v>.</v>
      </c>
      <c r="S67" s="49">
        <f>IF(G67=".",".",up_RadSpec!$F$5*S5*$B$67)</f>
        <v>66</v>
      </c>
      <c r="T67" s="49">
        <f>IF(H67=".",".",up_RadSpec!$F$5*T5*$B$67)</f>
        <v>66</v>
      </c>
      <c r="U67" s="49">
        <f t="shared" si="182"/>
        <v>132.01512661812728</v>
      </c>
      <c r="V67" s="60" t="str">
        <f>IFERROR(V5/$B53,".")</f>
        <v>.</v>
      </c>
      <c r="W67" s="60" t="str">
        <f>IFERROR(W5/$B53,".")</f>
        <v>.</v>
      </c>
      <c r="X67" s="60" t="str">
        <f>IFERROR(X5/$B53,".")</f>
        <v>.</v>
      </c>
      <c r="Y67" s="60" t="str">
        <f>IFERROR(Y5/$B53,".")</f>
        <v>.</v>
      </c>
      <c r="Z67" s="60" t="str">
        <f>IFERROR(Z5/$B53,".")</f>
        <v>.</v>
      </c>
      <c r="AA67" s="189">
        <f t="shared" ref="AA67:AE67" si="197">IFERROR(AA5/$B53,0)</f>
        <v>0</v>
      </c>
      <c r="AB67" s="189">
        <f t="shared" si="197"/>
        <v>0</v>
      </c>
      <c r="AC67" s="189">
        <f t="shared" si="197"/>
        <v>0</v>
      </c>
      <c r="AD67" s="189">
        <f t="shared" si="197"/>
        <v>0</v>
      </c>
      <c r="AE67" s="189">
        <f t="shared" si="197"/>
        <v>0</v>
      </c>
      <c r="AF67" s="49" t="str">
        <f>IF(V67=".",".",up_RadSpec!$G$5*AF5*$B$67)</f>
        <v>.</v>
      </c>
      <c r="AG67" s="49" t="str">
        <f>IF(W67=".",".",up_RadSpec!$N$5*AG5*$B$67)</f>
        <v>.</v>
      </c>
      <c r="AH67" s="49" t="str">
        <f>IF(X67=".",".",up_RadSpec!$O$5*AH5*$B$67)</f>
        <v>.</v>
      </c>
      <c r="AI67" s="49" t="str">
        <f>IF(Y67=".",".",up_RadSpec!$P$5*AI5*$B$67)</f>
        <v>.</v>
      </c>
      <c r="AJ67" s="49" t="str">
        <f>IF(Z67=".",".",up_RadSpec!$L$5*AJ5*$B$67)</f>
        <v>.</v>
      </c>
      <c r="AK67" s="60">
        <f>IFERROR(AK5/$B53,".")</f>
        <v>49.870129870129873</v>
      </c>
      <c r="AL67" s="60">
        <f>IFERROR(AL5/$B53,".")</f>
        <v>318545.45454545453</v>
      </c>
      <c r="AM67" s="60">
        <f>IFERROR(AM5/$B53,".")</f>
        <v>49.862323635509838</v>
      </c>
      <c r="AN67" s="189">
        <f t="shared" ref="AN67" si="198">IFERROR(AN5/$B53,0)</f>
        <v>1.5217981173557603E-10</v>
      </c>
      <c r="AO67" s="49">
        <f>IF(AK67=".",".",up_RadSpec!$H$5*AO5*$B$67)</f>
        <v>0.50130208333333326</v>
      </c>
      <c r="AP67" s="49">
        <f>IF(AL67=".",".",up_RadSpec!$K$5*AP5*$B$67)</f>
        <v>7.8481735159817364E-5</v>
      </c>
      <c r="AQ67" s="49">
        <f t="shared" si="185"/>
        <v>0.50138056506849304</v>
      </c>
      <c r="AR67" s="60">
        <f>IFERROR(AR5/$B53,".")</f>
        <v>11.363636363636363</v>
      </c>
      <c r="AS67" s="60">
        <f>IFERROR(AS5/$B53,".")</f>
        <v>199090.90909090909</v>
      </c>
      <c r="AT67" s="63">
        <f>IFERROR(AT5/$B53,".")</f>
        <v>9090.9090909090901</v>
      </c>
      <c r="AU67" s="63">
        <f>IFERROR(AU5/$B53,".")</f>
        <v>9090.9090909090901</v>
      </c>
      <c r="AV67" s="233">
        <f t="shared" si="41"/>
        <v>8.8000000000000009E-2</v>
      </c>
      <c r="AW67" s="233">
        <f t="shared" si="41"/>
        <v>5.0228310502283103E-6</v>
      </c>
      <c r="AX67" s="233">
        <f t="shared" si="41"/>
        <v>1.1E-4</v>
      </c>
      <c r="AY67" s="233">
        <f t="shared" si="41"/>
        <v>1.1E-4</v>
      </c>
      <c r="AZ67" s="63">
        <f>IFERROR(AZ5/$B53,".")</f>
        <v>11.334652776627635</v>
      </c>
      <c r="BA67" s="189">
        <f t="shared" ref="BA67" si="199">IFERROR(BA5/$B53,0)</f>
        <v>3.4593360274267547E-11</v>
      </c>
      <c r="BB67" s="49">
        <f>IF(AR67=".",".",up_RadSpec!$I$5*BB5*$B$67)</f>
        <v>2.2000000000000002</v>
      </c>
      <c r="BC67" s="49">
        <f>IF(AS67=".",".",up_RadSpec!$M$5*BC5*$B$67)</f>
        <v>1.2557077625570778E-4</v>
      </c>
      <c r="BD67" s="49">
        <f>IF(AT67=".",".",up_RadSpec!$F$5*BD5*$B$67)</f>
        <v>2.7500000000000003E-3</v>
      </c>
      <c r="BE67" s="49">
        <f>IF(AU67=".",".",up_RadSpec!$F$5*BE5*$B$67)</f>
        <v>2.7500000000000003E-3</v>
      </c>
      <c r="BF67" s="49">
        <f t="shared" si="44"/>
        <v>2.2056255707762555</v>
      </c>
      <c r="BG67" s="63">
        <f>IFERROR(BG5/$B53,".")</f>
        <v>90.909090909090907</v>
      </c>
      <c r="BH67" s="63">
        <f>IFERROR(BH5/$B53,".")</f>
        <v>90.909090909090907</v>
      </c>
      <c r="BI67" s="189">
        <f t="shared" ref="BI67:BJ67" si="200">IFERROR(BI5/$B53,0)</f>
        <v>2.7745454545454547E-7</v>
      </c>
      <c r="BJ67" s="189">
        <f t="shared" si="200"/>
        <v>2.7745454545454547E-7</v>
      </c>
      <c r="BK67" s="49">
        <f>IF(BG67=".",".",up_RadSpec!$F$5*BK5*$B$67)</f>
        <v>0.27500000000000002</v>
      </c>
      <c r="BL67" s="49">
        <f>IF(BH67=".",".",up_RadSpec!$F$5*BL5*$B$67)</f>
        <v>0.27500000000000002</v>
      </c>
    </row>
    <row r="68" spans="1:64" x14ac:dyDescent="0.25">
      <c r="A68" s="48" t="s">
        <v>1075</v>
      </c>
      <c r="B68" s="45">
        <v>0.99999979999999999</v>
      </c>
      <c r="C68" s="170"/>
      <c r="D68" s="60">
        <f>IFERROR(D9/$B54,".")</f>
        <v>0.3305785785124099</v>
      </c>
      <c r="E68" s="60">
        <f>IFERROR(E9/$B54,".")</f>
        <v>3089.9924031927726</v>
      </c>
      <c r="F68" s="60">
        <f>IFERROR(F9/$B54,".")</f>
        <v>260.02186505370895</v>
      </c>
      <c r="G68" s="63">
        <f>IFERROR(G9/$B54,".")</f>
        <v>7.5757590909093941E-5</v>
      </c>
      <c r="H68" s="63">
        <f>IFERROR(H9/$B54,".")</f>
        <v>7.5757590909093941E-5</v>
      </c>
      <c r="I68" s="233">
        <f t="shared" si="192"/>
        <v>3.024999395</v>
      </c>
      <c r="J68" s="233">
        <f t="shared" si="192"/>
        <v>3.2362539110670233E-4</v>
      </c>
      <c r="K68" s="233">
        <f t="shared" si="192"/>
        <v>3.8458304258122467E-3</v>
      </c>
      <c r="L68" s="233">
        <f t="shared" si="192"/>
        <v>13199.997359999999</v>
      </c>
      <c r="M68" s="233">
        <f t="shared" si="192"/>
        <v>13199.997359999999</v>
      </c>
      <c r="N68" s="63">
        <f>IFERROR(N9/$B54,".")</f>
        <v>3.7874449692191101E-5</v>
      </c>
      <c r="O68" s="189">
        <f>IFERROR(O9/$B54,0)</f>
        <v>1.1347185127780453E-13</v>
      </c>
      <c r="P68" s="49">
        <f>IF(D68=".",".",up_RadSpec!$E$9*P9*$B$68)</f>
        <v>75.624984874999996</v>
      </c>
      <c r="Q68" s="49">
        <f>IF(E68=".",".",up_RadSpec!$H$9*Q9*$B$68)</f>
        <v>8.0906347776675581E-3</v>
      </c>
      <c r="R68" s="49">
        <f>IF(F68=".",".",up_RadSpec!$G$9*R9*$B$68)</f>
        <v>9.6145760645306166E-2</v>
      </c>
      <c r="S68" s="49">
        <f>IF(G68=".",".",up_RadSpec!$F$9*S9*$B$68)</f>
        <v>329999.93400000001</v>
      </c>
      <c r="T68" s="49">
        <f>IF(H68=".",".",up_RadSpec!$F$9*T9*$B$68)</f>
        <v>329999.93400000001</v>
      </c>
      <c r="U68" s="49">
        <f t="shared" si="182"/>
        <v>660075.59722127044</v>
      </c>
      <c r="V68" s="60">
        <f>IFERROR(V9/$B54,".")</f>
        <v>260.02186505370895</v>
      </c>
      <c r="W68" s="60">
        <f>IFERROR(W9/$B54,".")</f>
        <v>532.56828833183977</v>
      </c>
      <c r="X68" s="60">
        <f>IFERROR(X9/$B54,".")</f>
        <v>374.72546918109185</v>
      </c>
      <c r="Y68" s="60">
        <f>IFERROR(Y9/$B54,".")</f>
        <v>308.89262376199588</v>
      </c>
      <c r="Z68" s="60">
        <f>IFERROR(Z9/$B54,".")</f>
        <v>943.32728410522873</v>
      </c>
      <c r="AA68" s="189">
        <f t="shared" ref="AA68:AE68" si="201">IFERROR(AA9/$B54,0)</f>
        <v>7.79025507700912E-7</v>
      </c>
      <c r="AB68" s="189">
        <f t="shared" si="201"/>
        <v>1.5955745918421922E-6</v>
      </c>
      <c r="AC68" s="189">
        <f t="shared" si="201"/>
        <v>1.1226775056665511E-6</v>
      </c>
      <c r="AD68" s="189">
        <f t="shared" si="201"/>
        <v>9.2544230079093955E-7</v>
      </c>
      <c r="AE68" s="189">
        <f t="shared" si="201"/>
        <v>2.8262085431792655E-6</v>
      </c>
      <c r="AF68" s="49">
        <f>IF(V68=".",".",up_RadSpec!$G$9*AF9*$B$68)</f>
        <v>9.6145760645306166E-2</v>
      </c>
      <c r="AG68" s="49">
        <f>IF(W68=".",".",up_RadSpec!$N$9*AG9*$B$68)</f>
        <v>4.6942336875346713E-2</v>
      </c>
      <c r="AH68" s="49">
        <f>IF(X68=".",".",up_RadSpec!$O$9*AH9*$B$68)</f>
        <v>6.6715507901381435E-2</v>
      </c>
      <c r="AI68" s="49">
        <f>IF(Y68=".",".",up_RadSpec!$P$9*AI9*$B$68)</f>
        <v>8.0934273196703752E-2</v>
      </c>
      <c r="AJ68" s="49">
        <f>IF(Z68=".",".",up_RadSpec!$L$9*AJ9*$B$68)</f>
        <v>2.6501936731018198E-2</v>
      </c>
      <c r="AK68" s="60">
        <f>IFERROR(AK9/$B54,".")</f>
        <v>9.9740279688315687E-3</v>
      </c>
      <c r="AL68" s="60">
        <f>IFERROR(AL9/$B54,".")</f>
        <v>63.709103650911644</v>
      </c>
      <c r="AM68" s="60">
        <f>IFERROR(AM9/$B54,".")</f>
        <v>9.9724667215953123E-3</v>
      </c>
      <c r="AN68" s="189">
        <f t="shared" ref="AN68" si="202">IFERROR(AN9/$B54,0)</f>
        <v>2.9877510297899558E-14</v>
      </c>
      <c r="AO68" s="49">
        <f>IF(AK68=".",".",up_RadSpec!$H$9*AO9*$B$68)</f>
        <v>2506.5099153645829</v>
      </c>
      <c r="AP68" s="49">
        <f>IF(AL68=".",".",up_RadSpec!$K$9*AP9*$B$68)</f>
        <v>0.39240859731735162</v>
      </c>
      <c r="AQ68" s="49">
        <f t="shared" si="185"/>
        <v>2506.9023239619</v>
      </c>
      <c r="AR68" s="60">
        <f>IFERROR(AR9/$B54,".")</f>
        <v>2.2727277272728179E-3</v>
      </c>
      <c r="AS68" s="60">
        <f>IFERROR(AS9/$B54,".")</f>
        <v>39.818189781819775</v>
      </c>
      <c r="AT68" s="63">
        <f>IFERROR(AT9/$B54,".")</f>
        <v>1.8181821818182544</v>
      </c>
      <c r="AU68" s="63">
        <f>IFERROR(AU9/$B54,".")</f>
        <v>1.8181821818182544</v>
      </c>
      <c r="AV68" s="233">
        <f t="shared" si="41"/>
        <v>439.99991200000005</v>
      </c>
      <c r="AW68" s="233">
        <f t="shared" si="41"/>
        <v>2.5114150228310501E-2</v>
      </c>
      <c r="AX68" s="233">
        <f t="shared" si="41"/>
        <v>0.54999989000000005</v>
      </c>
      <c r="AY68" s="233">
        <f t="shared" si="41"/>
        <v>0.54999989000000005</v>
      </c>
      <c r="AZ68" s="63">
        <f>IFERROR(AZ9/$B54,".")</f>
        <v>2.2669310087117291E-3</v>
      </c>
      <c r="BA68" s="189">
        <f t="shared" ref="BA68" si="203">IFERROR(BA9/$B54,0)</f>
        <v>6.7917253021003403E-15</v>
      </c>
      <c r="BB68" s="49">
        <f>IF(AR68=".",".",up_RadSpec!$I$9*BB9*$B$68)</f>
        <v>10999.997799999999</v>
      </c>
      <c r="BC68" s="49">
        <f>IF(AS68=".",".",up_RadSpec!$M$9*BC9*$B$68)</f>
        <v>0.62785375570776258</v>
      </c>
      <c r="BD68" s="49">
        <f>IF(AT68=".",".",up_RadSpec!$F$9*BD9*$B$68)</f>
        <v>13.74999725</v>
      </c>
      <c r="BE68" s="49">
        <f>IF(AU68=".",".",up_RadSpec!$F$9*BE9*$B$68)</f>
        <v>13.74999725</v>
      </c>
      <c r="BF68" s="49">
        <f t="shared" si="44"/>
        <v>11028.125648255709</v>
      </c>
      <c r="BG68" s="63">
        <f>IFERROR(BG9/$B54,".")</f>
        <v>1.8181821818182543E-2</v>
      </c>
      <c r="BH68" s="63">
        <f>IFERROR(BH9/$B54,".")</f>
        <v>1.8181821818182543E-2</v>
      </c>
      <c r="BI68" s="189">
        <f t="shared" ref="BI68:BJ68" si="204">IFERROR(BI9/$B54,0)</f>
        <v>5.447273816727491E-11</v>
      </c>
      <c r="BJ68" s="189">
        <f t="shared" si="204"/>
        <v>5.447273816727491E-11</v>
      </c>
      <c r="BK68" s="49">
        <f>IF(BG68=".",".",up_RadSpec!$F$9*BK9*$B$68)</f>
        <v>1374.9997249999999</v>
      </c>
      <c r="BL68" s="49">
        <f>IF(BH68=".",".",up_RadSpec!$F$9*BL9*$B$68)</f>
        <v>1374.9997249999999</v>
      </c>
    </row>
    <row r="69" spans="1:64" x14ac:dyDescent="0.25">
      <c r="A69" s="48" t="s">
        <v>1076</v>
      </c>
      <c r="B69" s="45">
        <v>1.9999999999999999E-7</v>
      </c>
      <c r="C69" s="170"/>
      <c r="D69" s="60">
        <f>IFERROR(D24/$B55,".")</f>
        <v>1652892.5619834713</v>
      </c>
      <c r="E69" s="60">
        <f>IFERROR(E24/$B55,".")</f>
        <v>15449958925.97146</v>
      </c>
      <c r="F69" s="60">
        <f>IFERROR(F24/$B55,".")</f>
        <v>2294368113.7790275</v>
      </c>
      <c r="G69" s="63">
        <f>IFERROR(G24/$B55,".")</f>
        <v>378.78787878787881</v>
      </c>
      <c r="H69" s="63">
        <f>IFERROR(H24/$B55,".")</f>
        <v>378.78787878787881</v>
      </c>
      <c r="I69" s="233">
        <f t="shared" si="192"/>
        <v>6.0499999999999992E-7</v>
      </c>
      <c r="J69" s="233">
        <f t="shared" si="192"/>
        <v>6.4725091166358696E-11</v>
      </c>
      <c r="K69" s="233">
        <f t="shared" si="192"/>
        <v>4.3584985076911285E-10</v>
      </c>
      <c r="L69" s="233">
        <f t="shared" si="192"/>
        <v>2.64E-3</v>
      </c>
      <c r="M69" s="233">
        <f t="shared" si="192"/>
        <v>2.64E-3</v>
      </c>
      <c r="N69" s="63">
        <f>IFERROR(N24/$B55,".")</f>
        <v>189.37222253984362</v>
      </c>
      <c r="O69" s="189">
        <f>IFERROR(O24/$B55,0)</f>
        <v>5.7796402319160272E-7</v>
      </c>
      <c r="P69" s="49">
        <f>IF(D69=".",".",up_RadSpec!$E$24*P24*$B$69)</f>
        <v>1.5125E-5</v>
      </c>
      <c r="Q69" s="49">
        <f>IF(E69=".",".",up_RadSpec!$H$24*Q24*$B$69)</f>
        <v>1.6181272791589676E-9</v>
      </c>
      <c r="R69" s="49">
        <f>IF(F69=".",".",up_RadSpec!$G$24*R24*$B$69)</f>
        <v>1.089624626922782E-8</v>
      </c>
      <c r="S69" s="49">
        <f>IF(G69=".",".",up_RadSpec!$F$24*S24*$B$69)</f>
        <v>6.6000000000000003E-2</v>
      </c>
      <c r="T69" s="49">
        <f>IF(H69=".",".",up_RadSpec!$F$24*T24*$B$69)</f>
        <v>6.6000000000000003E-2</v>
      </c>
      <c r="U69" s="49">
        <f t="shared" si="182"/>
        <v>0.13201513751437355</v>
      </c>
      <c r="V69" s="60">
        <f>IFERROR(V24/$B55,".")</f>
        <v>2294368113.7790275</v>
      </c>
      <c r="W69" s="60">
        <f>IFERROR(W24/$B55,".")</f>
        <v>4159723721.1310172</v>
      </c>
      <c r="X69" s="60">
        <f>IFERROR(X24/$B55,".")</f>
        <v>2937033740.1551671</v>
      </c>
      <c r="Y69" s="60">
        <f>IFERROR(Y24/$B55,".")</f>
        <v>2452613601.3662963</v>
      </c>
      <c r="Z69" s="60">
        <f>IFERROR(Z24/$B55,".")</f>
        <v>6913486513.4865122</v>
      </c>
      <c r="AA69" s="189">
        <f t="shared" ref="AA69:AE69" si="205">IFERROR(AA24/$B55,0)</f>
        <v>7.0024114832535922</v>
      </c>
      <c r="AB69" s="189">
        <f t="shared" si="205"/>
        <v>12.695476796891864</v>
      </c>
      <c r="AC69" s="189">
        <f t="shared" si="205"/>
        <v>8.9638269749535713</v>
      </c>
      <c r="AD69" s="189">
        <f t="shared" si="205"/>
        <v>7.4853767113699359</v>
      </c>
      <c r="AE69" s="189">
        <f t="shared" si="205"/>
        <v>21.099960839160833</v>
      </c>
      <c r="AF69" s="49">
        <f>IF(V69=".",".",up_RadSpec!$G$24*AF24*$B$69)</f>
        <v>1.089624626922782E-8</v>
      </c>
      <c r="AG69" s="49">
        <f>IF(W69=".",".",up_RadSpec!$N$24*AG24*$B$69)</f>
        <v>6.0100145288501442E-9</v>
      </c>
      <c r="AH69" s="49">
        <f>IF(X69=".",".",up_RadSpec!$O$24*AH24*$B$69)</f>
        <v>8.5119893783308114E-9</v>
      </c>
      <c r="AI69" s="49">
        <f>IF(Y69=".",".",up_RadSpec!$P$24*AI24*$B$69)</f>
        <v>1.0193207762557076E-8</v>
      </c>
      <c r="AJ69" s="49">
        <f>IF(Z69=".",".",up_RadSpec!$L$24*AJ24*$B$69)</f>
        <v>3.6161204554650027E-9</v>
      </c>
      <c r="AK69" s="60">
        <f>IFERROR(AK24/$B55,".")</f>
        <v>49870.12987012988</v>
      </c>
      <c r="AL69" s="60">
        <f>IFERROR(AL24/$B55,".")</f>
        <v>318545454.54545456</v>
      </c>
      <c r="AM69" s="60">
        <f>IFERROR(AM24/$B55,".")</f>
        <v>49862.323635509842</v>
      </c>
      <c r="AN69" s="189">
        <f t="shared" ref="AN69" si="206">IFERROR(AN24/$B55,0)</f>
        <v>1.5217981173557604E-7</v>
      </c>
      <c r="AO69" s="49">
        <f>IF(AK69=".",".",up_RadSpec!$H$24*AO24*$B$69)</f>
        <v>5.013020833333332E-4</v>
      </c>
      <c r="AP69" s="49">
        <f>IF(AL69=".",".",up_RadSpec!$K$24*AP24*$B$69)</f>
        <v>7.8481735159817348E-8</v>
      </c>
      <c r="AQ69" s="49">
        <f t="shared" si="185"/>
        <v>5.0138056506849303E-4</v>
      </c>
      <c r="AR69" s="60">
        <f>IFERROR(AR24/$B55,".")</f>
        <v>11363.636363636364</v>
      </c>
      <c r="AS69" s="60">
        <f>IFERROR(AS24/$B55,".")</f>
        <v>199090909.09090912</v>
      </c>
      <c r="AT69" s="63">
        <f>IFERROR(AT24/$B55,".")</f>
        <v>9090909.0909090918</v>
      </c>
      <c r="AU69" s="63">
        <f>IFERROR(AU24/$B55,".")</f>
        <v>9090909.0909090918</v>
      </c>
      <c r="AV69" s="233">
        <f t="shared" si="41"/>
        <v>8.7999999999999998E-5</v>
      </c>
      <c r="AW69" s="233">
        <f t="shared" si="41"/>
        <v>5.0228310502283097E-9</v>
      </c>
      <c r="AX69" s="233">
        <f t="shared" si="41"/>
        <v>1.0999999999999999E-7</v>
      </c>
      <c r="AY69" s="233">
        <f t="shared" si="41"/>
        <v>1.0999999999999999E-7</v>
      </c>
      <c r="AZ69" s="63">
        <f>IFERROR(AZ24/$B55,".")</f>
        <v>11334.652776627636</v>
      </c>
      <c r="BA69" s="189">
        <f t="shared" ref="BA69" si="207">IFERROR(BA24/$B55,0)</f>
        <v>3.4593360274267548E-8</v>
      </c>
      <c r="BB69" s="49">
        <f>IF(AR69=".",".",up_RadSpec!$I$24*BB24*$B$69)</f>
        <v>2.1999999999999997E-3</v>
      </c>
      <c r="BC69" s="49">
        <f>IF(AS69=".",".",up_RadSpec!$M$24*BC24*$B$69)</f>
        <v>1.2557077625570775E-7</v>
      </c>
      <c r="BD69" s="49">
        <f>IF(AT69=".",".",up_RadSpec!$F$24*BD24*$B$69)</f>
        <v>2.7499999999999999E-6</v>
      </c>
      <c r="BE69" s="49">
        <f>IF(AU69=".",".",up_RadSpec!$F$24*BE24*$B$69)</f>
        <v>2.7499999999999999E-6</v>
      </c>
      <c r="BF69" s="49">
        <f t="shared" si="44"/>
        <v>2.2056255707762558E-3</v>
      </c>
      <c r="BG69" s="63">
        <f>IFERROR(BG24/$B55,".")</f>
        <v>90909.090909090912</v>
      </c>
      <c r="BH69" s="63">
        <f>IFERROR(BH24/$B55,".")</f>
        <v>90909.090909090912</v>
      </c>
      <c r="BI69" s="189">
        <f t="shared" ref="BI69:BJ69" si="208">IFERROR(BI24/$B55,0)</f>
        <v>2.7745454545454547E-4</v>
      </c>
      <c r="BJ69" s="189">
        <f t="shared" si="208"/>
        <v>2.7745454545454547E-4</v>
      </c>
      <c r="BK69" s="49">
        <f>IF(BG69=".",".",up_RadSpec!$F$24*BK24*$B$69)</f>
        <v>2.7499999999999996E-4</v>
      </c>
      <c r="BL69" s="49">
        <f>IF(BH69=".",".",up_RadSpec!$F$24*BL24*$B$69)</f>
        <v>2.7499999999999996E-4</v>
      </c>
    </row>
    <row r="70" spans="1:64" x14ac:dyDescent="0.25">
      <c r="A70" s="48" t="s">
        <v>1077</v>
      </c>
      <c r="B70" s="45">
        <v>0.99979000004200003</v>
      </c>
      <c r="C70" s="170"/>
      <c r="D70" s="60">
        <f>IFERROR(D20/$B56,".")</f>
        <v>0.33064794845198192</v>
      </c>
      <c r="E70" s="60">
        <f>IFERROR(E20/$B56,".")</f>
        <v>3090.6408196366087</v>
      </c>
      <c r="F70" s="60">
        <f>IFERROR(F20/$B56,".")</f>
        <v>359.46960422736817</v>
      </c>
      <c r="G70" s="63">
        <f>IFERROR(G20/$B56,".")</f>
        <v>7.577348818691252E-5</v>
      </c>
      <c r="H70" s="63">
        <f>IFERROR(H20/$B56,".")</f>
        <v>7.577348818691252E-5</v>
      </c>
      <c r="I70" s="233">
        <f t="shared" si="192"/>
        <v>3.0243647501270501</v>
      </c>
      <c r="J70" s="233">
        <f t="shared" si="192"/>
        <v>3.2355749449966109E-4</v>
      </c>
      <c r="K70" s="233">
        <f t="shared" si="192"/>
        <v>2.7818763763054911E-3</v>
      </c>
      <c r="L70" s="233">
        <f t="shared" si="192"/>
        <v>13197.2280005544</v>
      </c>
      <c r="M70" s="233">
        <f t="shared" si="192"/>
        <v>13197.2280005544</v>
      </c>
      <c r="N70" s="63">
        <f>IFERROR(N20/$B56,".")</f>
        <v>3.7882398944865242E-5</v>
      </c>
      <c r="O70" s="189">
        <f>IFERROR(O20/$B56,0)</f>
        <v>1.1349566723881628E-13</v>
      </c>
      <c r="P70" s="49">
        <f>IF(D70=".",".",up_RadSpec!$E$20*P20*$B$70)</f>
        <v>75.609118753176247</v>
      </c>
      <c r="Q70" s="49">
        <f>IF(E70=".",".",up_RadSpec!$H$20*Q20*$B$70)</f>
        <v>8.0889373624915273E-3</v>
      </c>
      <c r="R70" s="49">
        <f>IF(F70=".",".",up_RadSpec!$G$20*R20*$B$70)</f>
        <v>6.9546909407637275E-2</v>
      </c>
      <c r="S70" s="49">
        <f>IF(G70=".",".",up_RadSpec!$F$20*S20*$B$70)</f>
        <v>329930.70001386001</v>
      </c>
      <c r="T70" s="49">
        <f>IF(H70=".",".",up_RadSpec!$F$20*T20*$B$70)</f>
        <v>329930.70001386001</v>
      </c>
      <c r="U70" s="49">
        <f t="shared" si="182"/>
        <v>659937.08678231994</v>
      </c>
      <c r="V70" s="60">
        <f>IFERROR(V20/$B56,".")</f>
        <v>359.46960422736817</v>
      </c>
      <c r="W70" s="60">
        <f>IFERROR(W20/$B56,".")</f>
        <v>708.90810480460334</v>
      </c>
      <c r="X70" s="60">
        <f>IFERROR(X20/$B56,".")</f>
        <v>496.00825761736326</v>
      </c>
      <c r="Y70" s="60">
        <f>IFERROR(Y20/$B56,".")</f>
        <v>416.48674918735929</v>
      </c>
      <c r="Z70" s="60">
        <f>IFERROR(Z20/$B56,".")</f>
        <v>1207.9522776261756</v>
      </c>
      <c r="AA70" s="189">
        <f t="shared" ref="AA70:AE70" si="209">IFERROR(AA20/$B56,0)</f>
        <v>1.076970934265195E-6</v>
      </c>
      <c r="AB70" s="189">
        <f t="shared" si="209"/>
        <v>2.1238886819945916E-6</v>
      </c>
      <c r="AC70" s="189">
        <f t="shared" si="209"/>
        <v>1.4860407398216206E-6</v>
      </c>
      <c r="AD70" s="189">
        <f t="shared" si="209"/>
        <v>1.2477943005653284E-6</v>
      </c>
      <c r="AE70" s="189">
        <f t="shared" si="209"/>
        <v>3.6190250237680228E-6</v>
      </c>
      <c r="AF70" s="49">
        <f>IF(V70=".",".",up_RadSpec!$G$20*AF20*$B$70)</f>
        <v>6.9546909407637275E-2</v>
      </c>
      <c r="AG70" s="49">
        <f>IF(W70=".",".",up_RadSpec!$N$20*AG20*$B$70)</f>
        <v>3.5265501735081389E-2</v>
      </c>
      <c r="AH70" s="49">
        <f>IF(X70=".",".",up_RadSpec!$O$20*AH20*$B$70)</f>
        <v>5.0402386686243042E-2</v>
      </c>
      <c r="AI70" s="49">
        <f>IF(Y70=".",".",up_RadSpec!$P$20*AI20*$B$70)</f>
        <v>6.0025919309028439E-2</v>
      </c>
      <c r="AJ70" s="49">
        <f>IF(Z70=".",".",up_RadSpec!$L$20*AJ20*$B$70)</f>
        <v>2.0696181846793733E-2</v>
      </c>
      <c r="AK70" s="60">
        <f>IFERROR(AK20/$B56,".")</f>
        <v>9.976120959008369E-3</v>
      </c>
      <c r="AL70" s="60">
        <f>IFERROR(AL20/$B56,".")</f>
        <v>63.722472625665958</v>
      </c>
      <c r="AM70" s="60">
        <f>IFERROR(AM20/$B56,".")</f>
        <v>9.974559384153708E-3</v>
      </c>
      <c r="AN70" s="189">
        <f t="shared" ref="AN70" si="210">IFERROR(AN20/$B56,0)</f>
        <v>2.9883779914924509E-14</v>
      </c>
      <c r="AO70" s="49">
        <f>IF(AK70=".",".",up_RadSpec!$H$20*AO20*$B$70)</f>
        <v>2505.9840495844396</v>
      </c>
      <c r="AP70" s="49">
        <f>IF(AL70=".",".",up_RadSpec!$K$20*AP20*$B$70)</f>
        <v>0.39232626999365017</v>
      </c>
      <c r="AQ70" s="49">
        <f t="shared" si="185"/>
        <v>2506.3763758544333</v>
      </c>
      <c r="AR70" s="60">
        <f>IFERROR(AR20/$B56,".")</f>
        <v>2.2732046456073753E-3</v>
      </c>
      <c r="AS70" s="60">
        <f>IFERROR(AS20/$B56,".")</f>
        <v>39.826545391041222</v>
      </c>
      <c r="AT70" s="63">
        <f>IFERROR(AT20/$B56,".")</f>
        <v>1.8185637164859005</v>
      </c>
      <c r="AU70" s="63">
        <f>IFERROR(AU20/$B56,".")</f>
        <v>1.8185637164859005</v>
      </c>
      <c r="AV70" s="233">
        <f t="shared" si="41"/>
        <v>439.90760001848008</v>
      </c>
      <c r="AW70" s="233">
        <f t="shared" si="41"/>
        <v>2.5108881279593608E-2</v>
      </c>
      <c r="AX70" s="233">
        <f t="shared" si="41"/>
        <v>0.54988450002309996</v>
      </c>
      <c r="AY70" s="233">
        <f t="shared" si="41"/>
        <v>0.54988450002309996</v>
      </c>
      <c r="AZ70" s="63">
        <f>IFERROR(AZ20/$B56,".")</f>
        <v>2.2674067106395303E-3</v>
      </c>
      <c r="BA70" s="189">
        <f t="shared" ref="BA70" si="211">IFERROR(BA20/$B56,0)</f>
        <v>6.7931505050760338E-15</v>
      </c>
      <c r="BB70" s="49">
        <f>IF(AR70=".",".",up_RadSpec!$I$20*BB20*$B$70)</f>
        <v>10997.690000462</v>
      </c>
      <c r="BC70" s="49">
        <f>IF(AS70=".",".",up_RadSpec!$M$20*BC20*$B$70)</f>
        <v>0.62772203198984022</v>
      </c>
      <c r="BD70" s="49">
        <f>IF(AT70=".",".",up_RadSpec!$F$20*BD20*$B$70)</f>
        <v>13.747112500577501</v>
      </c>
      <c r="BE70" s="49">
        <f>IF(AU70=".",".",up_RadSpec!$F$20*BE20*$B$70)</f>
        <v>13.747112500577501</v>
      </c>
      <c r="BF70" s="49">
        <f t="shared" si="44"/>
        <v>11025.811947495145</v>
      </c>
      <c r="BG70" s="63">
        <f>IFERROR(BG20/$B56,".")</f>
        <v>1.8185637164859002E-2</v>
      </c>
      <c r="BH70" s="63">
        <f>IFERROR(BH20/$B56,".")</f>
        <v>1.8185637164859002E-2</v>
      </c>
      <c r="BI70" s="189">
        <f t="shared" ref="BI70:BJ70" si="212">IFERROR(BI20/$B56,0)</f>
        <v>5.4484168945917579E-11</v>
      </c>
      <c r="BJ70" s="189">
        <f t="shared" si="212"/>
        <v>5.4484168945917579E-11</v>
      </c>
      <c r="BK70" s="49">
        <f>IF(BG70=".",".",up_RadSpec!$F$20*BK20*$B$70)</f>
        <v>1374.71125005775</v>
      </c>
      <c r="BL70" s="49">
        <f>IF(BH70=".",".",up_RadSpec!$F$20*BL20*$B$70)</f>
        <v>1374.71125005775</v>
      </c>
    </row>
    <row r="71" spans="1:64" x14ac:dyDescent="0.25">
      <c r="A71" s="48" t="s">
        <v>1078</v>
      </c>
      <c r="B71" s="45">
        <v>2.0999995799999999E-4</v>
      </c>
      <c r="C71" s="170"/>
      <c r="D71" s="60">
        <f>IFERROR(D29/$B57,".")</f>
        <v>1574.1837072019521</v>
      </c>
      <c r="E71" s="60">
        <f>IFERROR(E29/$B57,".")</f>
        <v>14714249.539013203</v>
      </c>
      <c r="F71" s="60">
        <f>IFERROR(F29/$B57,".")</f>
        <v>1346959.3212689497</v>
      </c>
      <c r="G71" s="63">
        <f>IFERROR(G29/$B57,".")</f>
        <v>0.36075043290044734</v>
      </c>
      <c r="H71" s="63">
        <f>IFERROR(H29/$B57,".")</f>
        <v>0.36075043290044734</v>
      </c>
      <c r="I71" s="233">
        <f t="shared" si="192"/>
        <v>6.3524987294999999E-4</v>
      </c>
      <c r="J71" s="233">
        <f t="shared" si="192"/>
        <v>6.7961332132407484E-8</v>
      </c>
      <c r="K71" s="233">
        <f t="shared" si="192"/>
        <v>7.4241291790305542E-7</v>
      </c>
      <c r="L71" s="233">
        <f t="shared" si="192"/>
        <v>2.7719994456000001</v>
      </c>
      <c r="M71" s="233">
        <f t="shared" si="192"/>
        <v>2.7719994456000001</v>
      </c>
      <c r="N71" s="63">
        <f>IFERROR(N29/$B57,".")</f>
        <v>0.18035452446494984</v>
      </c>
      <c r="O71" s="189">
        <f>IFERROR(O29/$B57,0)</f>
        <v>5.3024230192695263E-10</v>
      </c>
      <c r="P71" s="49">
        <f>IF(D71=".",".",up_RadSpec!$E$29*P29*$B$71)</f>
        <v>1.588124682375E-2</v>
      </c>
      <c r="Q71" s="49">
        <f>IF(E71=".",".",up_RadSpec!$H$29*Q29*$B$71)</f>
        <v>1.6990333033101872E-6</v>
      </c>
      <c r="R71" s="49">
        <f>IF(F71=".",".",up_RadSpec!$G$29*R29*$B$71)</f>
        <v>1.8560322947576384E-5</v>
      </c>
      <c r="S71" s="49">
        <f>IF(G71=".",".",up_RadSpec!$F$29*S29*$B$71)</f>
        <v>69.299986140000001</v>
      </c>
      <c r="T71" s="49">
        <f>IF(H71=".",".",up_RadSpec!$F$29*T29*$B$71)</f>
        <v>69.299986140000001</v>
      </c>
      <c r="U71" s="49">
        <f t="shared" si="182"/>
        <v>138.61587378618</v>
      </c>
      <c r="V71" s="60">
        <f>IFERROR(V29/$B57,".")</f>
        <v>1346959.3212689497</v>
      </c>
      <c r="W71" s="60">
        <f>IFERROR(W29/$B57,".")</f>
        <v>2687810.9727410492</v>
      </c>
      <c r="X71" s="60">
        <f>IFERROR(X29/$B57,".")</f>
        <v>1914785.105623517</v>
      </c>
      <c r="Y71" s="60">
        <f>IFERROR(Y29/$B57,".")</f>
        <v>1624232.093078186</v>
      </c>
      <c r="Z71" s="60">
        <f>IFERROR(Z29/$B57,".")</f>
        <v>4826447.2462811852</v>
      </c>
      <c r="AA71" s="189">
        <f t="shared" ref="AA71:AE71" si="213">IFERROR(AA29/$B57,0)</f>
        <v>3.9600604045307124E-3</v>
      </c>
      <c r="AB71" s="189">
        <f t="shared" si="213"/>
        <v>7.9021642598586864E-3</v>
      </c>
      <c r="AC71" s="189">
        <f t="shared" si="213"/>
        <v>5.6294682105331399E-3</v>
      </c>
      <c r="AD71" s="189">
        <f t="shared" si="213"/>
        <v>4.7752423536498671E-3</v>
      </c>
      <c r="AE71" s="189">
        <f t="shared" si="213"/>
        <v>1.4189754904066685E-2</v>
      </c>
      <c r="AF71" s="49">
        <f>IF(V71=".",".",up_RadSpec!$G$29*AF29*$B$71)</f>
        <v>1.8560322947576384E-5</v>
      </c>
      <c r="AG71" s="49">
        <f>IF(W71=".",".",up_RadSpec!$N$29*AG29*$B$71)</f>
        <v>9.3012493265122792E-6</v>
      </c>
      <c r="AH71" s="49">
        <f>IF(X71=".",".",up_RadSpec!$O$29*AH29*$B$71)</f>
        <v>1.3056295417474109E-5</v>
      </c>
      <c r="AI71" s="49">
        <f>IF(Y71=".",".",up_RadSpec!$P$29*AI29*$B$71)</f>
        <v>1.5391888946499574E-5</v>
      </c>
      <c r="AJ71" s="49">
        <f>IF(Z71=".",".",up_RadSpec!$L$29*AJ29*$B$71)</f>
        <v>5.1797934845890407E-6</v>
      </c>
      <c r="AK71" s="60">
        <f>IFERROR(AK29/$B57,".")</f>
        <v>47.49537128015033</v>
      </c>
      <c r="AL71" s="60">
        <f>IFERROR(AL29/$B57,".")</f>
        <v>303376.68405196024</v>
      </c>
      <c r="AM71" s="60">
        <f>IFERROR(AM29/$B57,".")</f>
        <v>47.487936769501488</v>
      </c>
      <c r="AN71" s="189">
        <f t="shared" ref="AN71" si="214">IFERROR(AN29/$B57,0)</f>
        <v>1.3961453410233441E-10</v>
      </c>
      <c r="AO71" s="49">
        <f>IF(AK71=".",".",up_RadSpec!$H$29*AO29*$B$71)</f>
        <v>0.52636708222656237</v>
      </c>
      <c r="AP71" s="49">
        <f>IF(AL71=".",".",up_RadSpec!$K$29*AP29*$B$71)</f>
        <v>8.2405805436643834E-5</v>
      </c>
      <c r="AQ71" s="49">
        <f t="shared" si="185"/>
        <v>0.52644948803199898</v>
      </c>
      <c r="AR71" s="60">
        <f>IFERROR(AR29/$B57,".")</f>
        <v>10.82251298701342</v>
      </c>
      <c r="AS71" s="60">
        <f>IFERROR(AS29/$B57,".")</f>
        <v>189610.42753247515</v>
      </c>
      <c r="AT71" s="63">
        <f>IFERROR(AT29/$B57,".")</f>
        <v>8658.0103896107357</v>
      </c>
      <c r="AU71" s="63">
        <f>IFERROR(AU29/$B57,".")</f>
        <v>8658.0103896107357</v>
      </c>
      <c r="AV71" s="233">
        <f t="shared" si="41"/>
        <v>9.2399981519999994E-2</v>
      </c>
      <c r="AW71" s="233">
        <f t="shared" si="41"/>
        <v>5.273971547945205E-6</v>
      </c>
      <c r="AX71" s="233">
        <f t="shared" si="41"/>
        <v>1.1549997690000001E-4</v>
      </c>
      <c r="AY71" s="233">
        <f t="shared" si="41"/>
        <v>1.1549997690000001E-4</v>
      </c>
      <c r="AZ71" s="63">
        <f>IFERROR(AZ29/$B57,".")</f>
        <v>10.794909565293947</v>
      </c>
      <c r="BA71" s="189">
        <f t="shared" ref="BA71" si="215">IFERROR(BA29/$B57,0)</f>
        <v>3.1737034121964206E-11</v>
      </c>
      <c r="BB71" s="49">
        <f>IF(AR71=".",".",up_RadSpec!$I$29*BB29*$B$71)</f>
        <v>2.309999538</v>
      </c>
      <c r="BC71" s="49">
        <f>IF(AS71=".",".",up_RadSpec!$M$29*BC29*$B$71)</f>
        <v>1.3184928869863012E-4</v>
      </c>
      <c r="BD71" s="49">
        <f>IF(AT71=".",".",up_RadSpec!$F$29*BD29*$B$71)</f>
        <v>2.8874994224999998E-3</v>
      </c>
      <c r="BE71" s="49">
        <f>IF(AU71=".",".",up_RadSpec!$F$29*BE29*$B$71)</f>
        <v>2.8874994224999998E-3</v>
      </c>
      <c r="BF71" s="49">
        <f t="shared" si="44"/>
        <v>2.3159063861336988</v>
      </c>
      <c r="BG71" s="63">
        <f>IFERROR(BG29/$B57,".")</f>
        <v>86.58010389610736</v>
      </c>
      <c r="BH71" s="63">
        <f>IFERROR(BH29/$B57,".")</f>
        <v>86.58010389610736</v>
      </c>
      <c r="BI71" s="189">
        <f t="shared" ref="BI71:BJ71" si="216">IFERROR(BI29/$B57,0)</f>
        <v>2.5454550545455569E-7</v>
      </c>
      <c r="BJ71" s="189">
        <f t="shared" si="216"/>
        <v>2.5454550545455569E-7</v>
      </c>
      <c r="BK71" s="49">
        <f>IF(BG71=".",".",up_RadSpec!$F$29*BK29*$B$71)</f>
        <v>0.28874994225</v>
      </c>
      <c r="BL71" s="49">
        <f>IF(BH71=".",".",up_RadSpec!$F$29*BL29*$B$71)</f>
        <v>0.28874994225</v>
      </c>
    </row>
    <row r="72" spans="1:64" x14ac:dyDescent="0.25">
      <c r="A72" s="48" t="s">
        <v>1079</v>
      </c>
      <c r="B72" s="45">
        <v>1</v>
      </c>
      <c r="C72" s="170"/>
      <c r="D72" s="60">
        <f>IFERROR(D16/$B58,".")</f>
        <v>0.33057851239669422</v>
      </c>
      <c r="E72" s="60">
        <f>IFERROR(E16/$B58,".")</f>
        <v>3089.9917851942919</v>
      </c>
      <c r="F72" s="60">
        <f>IFERROR(F16/$B58,".")</f>
        <v>7649462.0302510569</v>
      </c>
      <c r="G72" s="63">
        <f>IFERROR(G16/$B58,".")</f>
        <v>7.5757575757575758E-5</v>
      </c>
      <c r="H72" s="63">
        <f>IFERROR(H16/$B58,".")</f>
        <v>7.5757575757575758E-5</v>
      </c>
      <c r="I72" s="233">
        <f t="shared" si="192"/>
        <v>3.0249999999999999</v>
      </c>
      <c r="J72" s="233">
        <f t="shared" si="192"/>
        <v>3.236254558317935E-4</v>
      </c>
      <c r="K72" s="233">
        <f t="shared" si="192"/>
        <v>1.3072814742335282E-7</v>
      </c>
      <c r="L72" s="233">
        <f t="shared" si="192"/>
        <v>13200</v>
      </c>
      <c r="M72" s="233">
        <f t="shared" si="192"/>
        <v>13200</v>
      </c>
      <c r="N72" s="63">
        <f>IFERROR(N16/$B58,".")</f>
        <v>3.7874447633856851E-5</v>
      </c>
      <c r="O72" s="189">
        <f>IFERROR(O16/$B58,0)</f>
        <v>1.1135087604353916E-13</v>
      </c>
      <c r="P72" s="49">
        <f>IF(D72=".",".",up_RadSpec!$E$16*P16*$B$72)</f>
        <v>75.625</v>
      </c>
      <c r="Q72" s="49">
        <f>IF(E72=".",".",up_RadSpec!$H$16*Q16*$B$72)</f>
        <v>8.0906363957948379E-3</v>
      </c>
      <c r="R72" s="49">
        <f>IF(F72=".",".",up_RadSpec!$G$16*R16*$B$72)</f>
        <v>3.2682036855838209E-6</v>
      </c>
      <c r="S72" s="49">
        <f>IF(G72=".",".",up_RadSpec!$F$16*S16*$B$72)</f>
        <v>330000</v>
      </c>
      <c r="T72" s="49">
        <f>IF(H72=".",".",up_RadSpec!$F$16*T16*$B$72)</f>
        <v>330000</v>
      </c>
      <c r="U72" s="49">
        <f t="shared" si="182"/>
        <v>660075.63309390459</v>
      </c>
      <c r="V72" s="60">
        <f>IFERROR(V16/$B58,".")</f>
        <v>7649462.0302510569</v>
      </c>
      <c r="W72" s="60">
        <f>IFERROR(W16/$B58,".")</f>
        <v>13623429.416112348</v>
      </c>
      <c r="X72" s="60">
        <f>IFERROR(X16/$B58,".")</f>
        <v>8184138.0561977783</v>
      </c>
      <c r="Y72" s="60">
        <f>IFERROR(Y16/$B58,".")</f>
        <v>8226424.938046176</v>
      </c>
      <c r="Z72" s="60">
        <f>IFERROR(Z16/$B58,".")</f>
        <v>318545454.54545456</v>
      </c>
      <c r="AA72" s="189">
        <f t="shared" ref="AA72:AE72" si="217">IFERROR(AA16/$B58,0)</f>
        <v>2.2489418368938113E-2</v>
      </c>
      <c r="AB72" s="189">
        <f t="shared" si="217"/>
        <v>4.0052882483370307E-2</v>
      </c>
      <c r="AC72" s="189">
        <f t="shared" si="217"/>
        <v>2.406136588522147E-2</v>
      </c>
      <c r="AD72" s="189">
        <f t="shared" si="217"/>
        <v>2.4185689317855759E-2</v>
      </c>
      <c r="AE72" s="189">
        <f t="shared" si="217"/>
        <v>0.93652363636363656</v>
      </c>
      <c r="AF72" s="49">
        <f>IF(V72=".",".",up_RadSpec!$G$16*AF16*$B$72)</f>
        <v>3.2682036855838209E-6</v>
      </c>
      <c r="AG72" s="49">
        <f>IF(W72=".",".",up_RadSpec!$N$16*AG16*$B$72)</f>
        <v>1.8350739183507384E-6</v>
      </c>
      <c r="AH72" s="49">
        <f>IF(X72=".",".",up_RadSpec!$O$16*AH16*$B$72)</f>
        <v>3.0546894282981589E-6</v>
      </c>
      <c r="AI72" s="49">
        <f>IF(Y72=".",".",up_RadSpec!$P$16*AI16*$B$72)</f>
        <v>3.038987189244037E-6</v>
      </c>
      <c r="AJ72" s="49">
        <f>IF(Z72=".",".",up_RadSpec!$L$16*AJ16*$B$72)</f>
        <v>7.8481735159817348E-8</v>
      </c>
      <c r="AK72" s="60">
        <f>IFERROR(AK16/$B58,".")</f>
        <v>9.9740259740259754E-3</v>
      </c>
      <c r="AL72" s="60">
        <f>IFERROR(AL16/$B58,".")</f>
        <v>63.709090909090911</v>
      </c>
      <c r="AM72" s="60">
        <f>IFERROR(AM16/$B58,".")</f>
        <v>9.9724647271019675E-3</v>
      </c>
      <c r="AN72" s="189">
        <f t="shared" ref="AN72" si="218">IFERROR(AN16/$B58,0)</f>
        <v>2.9319046297679789E-14</v>
      </c>
      <c r="AO72" s="49">
        <f>IF(AK72=".",".",up_RadSpec!$H$16*AO16*$B$72)</f>
        <v>2506.5104166666661</v>
      </c>
      <c r="AP72" s="49">
        <f>IF(AL72=".",".",up_RadSpec!$K$16*AP16*$B$72)</f>
        <v>0.39240867579908678</v>
      </c>
      <c r="AQ72" s="49">
        <f t="shared" si="185"/>
        <v>2506.9028253424653</v>
      </c>
      <c r="AR72" s="60">
        <f>IFERROR(AR16/$B58,".")</f>
        <v>2.2727272727272726E-3</v>
      </c>
      <c r="AS72" s="60">
        <f>IFERROR(AS16/$B58,".")</f>
        <v>39.81818181818182</v>
      </c>
      <c r="AT72" s="63">
        <f>IFERROR(AT16/$B58,".")</f>
        <v>1.8181818181818181</v>
      </c>
      <c r="AU72" s="63">
        <f>IFERROR(AU16/$B58,".")</f>
        <v>1.8181818181818181</v>
      </c>
      <c r="AV72" s="233">
        <f t="shared" si="41"/>
        <v>440</v>
      </c>
      <c r="AW72" s="233">
        <f t="shared" si="41"/>
        <v>2.5114155251141551E-2</v>
      </c>
      <c r="AX72" s="233">
        <f t="shared" si="41"/>
        <v>0.55000000000000004</v>
      </c>
      <c r="AY72" s="233">
        <f t="shared" si="41"/>
        <v>0.55000000000000004</v>
      </c>
      <c r="AZ72" s="63">
        <f>IFERROR(AZ16/$B58,".")</f>
        <v>2.2669305553255272E-3</v>
      </c>
      <c r="BA72" s="189">
        <f t="shared" ref="BA72" si="219">IFERROR(BA16/$B58,0)</f>
        <v>6.6647758326570493E-15</v>
      </c>
      <c r="BB72" s="49">
        <f>IF(AR72=".",".",up_RadSpec!$I$16*BB16*$B$72)</f>
        <v>11000</v>
      </c>
      <c r="BC72" s="49">
        <f>IF(AS72=".",".",up_RadSpec!$M$16*BC16*$B$72)</f>
        <v>0.62785388127853881</v>
      </c>
      <c r="BD72" s="49">
        <f>IF(AT72=".",".",up_RadSpec!$F$16*BD16*$B$72)</f>
        <v>13.75</v>
      </c>
      <c r="BE72" s="49">
        <f>IF(AU72=".",".",up_RadSpec!$F$16*BE16*$B$72)</f>
        <v>13.75</v>
      </c>
      <c r="BF72" s="49">
        <f t="shared" si="44"/>
        <v>11028.127853881278</v>
      </c>
      <c r="BG72" s="63">
        <f>IFERROR(BG16/$B58,".")</f>
        <v>1.8181818181818181E-2</v>
      </c>
      <c r="BH72" s="63">
        <f>IFERROR(BH16/$B58,".")</f>
        <v>1.8181818181818181E-2</v>
      </c>
      <c r="BI72" s="189">
        <f t="shared" ref="BI72:BJ72" si="220">IFERROR(BI16/$B58,0)</f>
        <v>5.345454545454546E-11</v>
      </c>
      <c r="BJ72" s="189">
        <f t="shared" si="220"/>
        <v>5.345454545454546E-11</v>
      </c>
      <c r="BK72" s="49">
        <f>IF(BG72=".",".",up_RadSpec!$F$16*BK16*$B$72)</f>
        <v>1375</v>
      </c>
      <c r="BL72" s="49">
        <f>IF(BH72=".",".",up_RadSpec!$F$16*BL16*$B$72)</f>
        <v>1375</v>
      </c>
    </row>
    <row r="73" spans="1:64" x14ac:dyDescent="0.25">
      <c r="A73" s="48" t="s">
        <v>1080</v>
      </c>
      <c r="B73" s="45">
        <v>1</v>
      </c>
      <c r="C73" s="170"/>
      <c r="D73" s="60">
        <f>IFERROR(D7/$B59,".")</f>
        <v>0.33057851239669422</v>
      </c>
      <c r="E73" s="60">
        <f>IFERROR(E7/$B59,".")</f>
        <v>3089.9917851942919</v>
      </c>
      <c r="F73" s="60">
        <f>IFERROR(F7/$B59,".")</f>
        <v>918.4339747843394</v>
      </c>
      <c r="G73" s="63">
        <f>IFERROR(G7/$B59,".")</f>
        <v>7.5757575757575758E-5</v>
      </c>
      <c r="H73" s="63">
        <f>IFERROR(H7/$B59,".")</f>
        <v>7.5757575757575758E-5</v>
      </c>
      <c r="I73" s="233">
        <f t="shared" si="192"/>
        <v>3.0249999999999999</v>
      </c>
      <c r="J73" s="233">
        <f t="shared" si="192"/>
        <v>3.236254558317935E-4</v>
      </c>
      <c r="K73" s="233">
        <f t="shared" si="192"/>
        <v>1.0888098953817703E-3</v>
      </c>
      <c r="L73" s="233">
        <f t="shared" si="192"/>
        <v>13200</v>
      </c>
      <c r="M73" s="233">
        <f t="shared" si="192"/>
        <v>13200</v>
      </c>
      <c r="N73" s="63">
        <f>IFERROR(N7/$B59,".")</f>
        <v>3.78744460721752E-5</v>
      </c>
      <c r="O73" s="189">
        <f>IFERROR(O7/$B59,0)</f>
        <v>1.1135087145219509E-13</v>
      </c>
      <c r="P73" s="49">
        <f>IF(D73=".",".",up_RadSpec!$E$7*P7*$B$73)</f>
        <v>75.625</v>
      </c>
      <c r="Q73" s="49">
        <f>IF(E73=".",".",up_RadSpec!$H$7*Q7*$B$73)</f>
        <v>8.0906363957948379E-3</v>
      </c>
      <c r="R73" s="49">
        <f>IF(F73=".",".",up_RadSpec!$G$7*R7*$B$73)</f>
        <v>2.7220247384544257E-2</v>
      </c>
      <c r="S73" s="49">
        <f>IF(G73=".",".",up_RadSpec!$F$7*S7*$B$73)</f>
        <v>330000</v>
      </c>
      <c r="T73" s="49">
        <f>IF(H73=".",".",up_RadSpec!$F$7*T7*$B$73)</f>
        <v>330000</v>
      </c>
      <c r="U73" s="49">
        <f t="shared" si="182"/>
        <v>660075.66031088377</v>
      </c>
      <c r="V73" s="60">
        <f>IFERROR(V7/$B59,".")</f>
        <v>918.4339747843394</v>
      </c>
      <c r="W73" s="60">
        <f>IFERROR(W7/$B59,".")</f>
        <v>1461.1153552330034</v>
      </c>
      <c r="X73" s="60">
        <f>IFERROR(X7/$B59,".")</f>
        <v>1070.4545454545457</v>
      </c>
      <c r="Y73" s="60">
        <f>IFERROR(Y7/$B59,".")</f>
        <v>984.71359678034878</v>
      </c>
      <c r="Z73" s="60">
        <f>IFERROR(Z7/$B59,".")</f>
        <v>2500.4236405305915</v>
      </c>
      <c r="AA73" s="189">
        <f t="shared" ref="AA73:AE73" si="221">IFERROR(AA7/$B59,0)</f>
        <v>2.700195885865958E-6</v>
      </c>
      <c r="AB73" s="189">
        <f t="shared" si="221"/>
        <v>4.2956791443850306E-6</v>
      </c>
      <c r="AC73" s="189">
        <f t="shared" si="221"/>
        <v>3.1471363636363646E-6</v>
      </c>
      <c r="AD73" s="189">
        <f t="shared" si="221"/>
        <v>2.8950579745342256E-6</v>
      </c>
      <c r="AE73" s="189">
        <f t="shared" si="221"/>
        <v>7.3512455031599397E-6</v>
      </c>
      <c r="AF73" s="49">
        <f>IF(V73=".",".",up_RadSpec!$G$7*AF7*$B$73)</f>
        <v>2.7220247384544257E-2</v>
      </c>
      <c r="AG73" s="49">
        <f>IF(W73=".",".",up_RadSpec!$N$7*AG7*$B$73)</f>
        <v>1.7110216459270092E-2</v>
      </c>
      <c r="AH73" s="49">
        <f>IF(X73=".",".",up_RadSpec!$O$7*AH7*$B$73)</f>
        <v>2.3354564755838636E-2</v>
      </c>
      <c r="AI73" s="49">
        <f>IF(Y73=".",".",up_RadSpec!$P$7*AI7*$B$73)</f>
        <v>2.5388092620779078E-2</v>
      </c>
      <c r="AJ73" s="49">
        <f>IF(Z73=".",".",up_RadSpec!$L$7*AJ7*$B$73)</f>
        <v>9.9983057249830604E-3</v>
      </c>
      <c r="AK73" s="60">
        <f>IFERROR(AK7/$B59,".")</f>
        <v>9.9740259740259754E-3</v>
      </c>
      <c r="AL73" s="60">
        <f>IFERROR(AL7/$B59,".")</f>
        <v>63.709090909090911</v>
      </c>
      <c r="AM73" s="60">
        <f>IFERROR(AM7/$B59,".")</f>
        <v>9.9724647271019675E-3</v>
      </c>
      <c r="AN73" s="189">
        <f t="shared" ref="AN73" si="222">IFERROR(AN7/$B59,0)</f>
        <v>2.9319046297679789E-14</v>
      </c>
      <c r="AO73" s="49">
        <f>IF(AK73=".",".",up_RadSpec!$H$7*AO7*$B$73)</f>
        <v>2506.5104166666661</v>
      </c>
      <c r="AP73" s="49">
        <f>IF(AL73=".",".",up_RadSpec!$K$7*AP7*$B$73)</f>
        <v>0.39240867579908678</v>
      </c>
      <c r="AQ73" s="49">
        <f t="shared" si="185"/>
        <v>2506.9028253424653</v>
      </c>
      <c r="AR73" s="60">
        <f>IFERROR(AR7/$B59,".")</f>
        <v>2.2727272727272726E-3</v>
      </c>
      <c r="AS73" s="60">
        <f>IFERROR(AS7/$B59,".")</f>
        <v>39.81818181818182</v>
      </c>
      <c r="AT73" s="63">
        <f>IFERROR(AT7/$B59,".")</f>
        <v>1.8181818181818181</v>
      </c>
      <c r="AU73" s="63">
        <f>IFERROR(AU7/$B59,".")</f>
        <v>1.8181818181818181</v>
      </c>
      <c r="AV73" s="233">
        <f t="shared" si="41"/>
        <v>440</v>
      </c>
      <c r="AW73" s="233">
        <f t="shared" si="41"/>
        <v>2.5114155251141551E-2</v>
      </c>
      <c r="AX73" s="233">
        <f t="shared" si="41"/>
        <v>0.55000000000000004</v>
      </c>
      <c r="AY73" s="233">
        <f t="shared" si="41"/>
        <v>0.55000000000000004</v>
      </c>
      <c r="AZ73" s="63">
        <f>IFERROR(AZ7/$B59,".")</f>
        <v>2.2669305553255272E-3</v>
      </c>
      <c r="BA73" s="189">
        <f t="shared" ref="BA73" si="223">IFERROR(BA7/$B59,0)</f>
        <v>6.6647758326570493E-15</v>
      </c>
      <c r="BB73" s="49">
        <f>IF(AR73=".",".",up_RadSpec!$I$7*BB7*$B$73)</f>
        <v>11000</v>
      </c>
      <c r="BC73" s="49">
        <f>IF(AS73=".",".",up_RadSpec!$M$7*BC7*$B$73)</f>
        <v>0.62785388127853881</v>
      </c>
      <c r="BD73" s="49">
        <f>IF(AT73=".",".",up_RadSpec!$F$7*BD7*$B$73)</f>
        <v>13.75</v>
      </c>
      <c r="BE73" s="49">
        <f>IF(AU73=".",".",up_RadSpec!$F$7*BE7*$B$73)</f>
        <v>13.75</v>
      </c>
      <c r="BF73" s="49">
        <f t="shared" si="44"/>
        <v>11028.127853881278</v>
      </c>
      <c r="BG73" s="63">
        <f>IFERROR(BG7/$B59,".")</f>
        <v>1.8181818181818181E-2</v>
      </c>
      <c r="BH73" s="63">
        <f>IFERROR(BH7/$B59,".")</f>
        <v>1.8181818181818181E-2</v>
      </c>
      <c r="BI73" s="189">
        <f t="shared" ref="BI73:BJ73" si="224">IFERROR(BI7/$B59,0)</f>
        <v>5.345454545454546E-11</v>
      </c>
      <c r="BJ73" s="189">
        <f t="shared" si="224"/>
        <v>5.345454545454546E-11</v>
      </c>
      <c r="BK73" s="49">
        <f>IF(BG73=".",".",up_RadSpec!$F$7*BK7*$B$73)</f>
        <v>1375</v>
      </c>
      <c r="BL73" s="49">
        <f>IF(BH73=".",".",up_RadSpec!$F$7*BL7*$B$73)</f>
        <v>1375</v>
      </c>
    </row>
    <row r="74" spans="1:64" x14ac:dyDescent="0.25">
      <c r="A74" s="48" t="s">
        <v>1081</v>
      </c>
      <c r="B74" s="45">
        <v>1.9000000000000001E-8</v>
      </c>
      <c r="C74" s="174"/>
      <c r="D74" s="60">
        <f>IFERROR(D12/$B60,".")</f>
        <v>17398869.073510222</v>
      </c>
      <c r="E74" s="60">
        <f>IFERROR(E12/$B60,".")</f>
        <v>162631146589.17325</v>
      </c>
      <c r="F74" s="60">
        <f>IFERROR(F12/$B60,".")</f>
        <v>37516872799.494446</v>
      </c>
      <c r="G74" s="63">
        <f>IFERROR(G12/$B60,".")</f>
        <v>3987.2408293460921</v>
      </c>
      <c r="H74" s="63">
        <f>IFERROR(H12/$B60,".")</f>
        <v>3987.2408293460921</v>
      </c>
      <c r="I74" s="233">
        <f t="shared" si="192"/>
        <v>5.7474999999999997E-8</v>
      </c>
      <c r="J74" s="233">
        <f t="shared" si="192"/>
        <v>6.1488836608040762E-12</v>
      </c>
      <c r="K74" s="233">
        <f t="shared" si="192"/>
        <v>2.6654673627634427E-11</v>
      </c>
      <c r="L74" s="233">
        <f t="shared" si="192"/>
        <v>2.5080000000000002E-4</v>
      </c>
      <c r="M74" s="233">
        <f t="shared" si="192"/>
        <v>2.5080000000000002E-4</v>
      </c>
      <c r="N74" s="63">
        <f>IFERROR(N12/$B60,".")</f>
        <v>1993.3918748238636</v>
      </c>
      <c r="O74" s="189">
        <f>IFERROR(O12/$B60,0)</f>
        <v>5.7489421669920238E-6</v>
      </c>
      <c r="P74" s="49">
        <f>IF(D74=".",".",up_RadSpec!$E$12*P12*$B$74)</f>
        <v>1.4368750000000001E-6</v>
      </c>
      <c r="Q74" s="49">
        <f>IF(E74=".",".",up_RadSpec!$H$12*Q12*$B$74)</f>
        <v>1.5372209152010192E-10</v>
      </c>
      <c r="R74" s="49">
        <f>IF(F74=".",".",up_RadSpec!$G$12*R12*$B$74)</f>
        <v>6.6636684069086066E-10</v>
      </c>
      <c r="S74" s="49">
        <f>IF(G74=".",".",up_RadSpec!$F$12*S12*$B$74)</f>
        <v>6.2700000000000004E-3</v>
      </c>
      <c r="T74" s="49">
        <f>IF(H74=".",".",up_RadSpec!$F$12*T12*$B$74)</f>
        <v>6.2700000000000004E-3</v>
      </c>
      <c r="U74" s="49">
        <f t="shared" si="182"/>
        <v>1.2541437695088933E-2</v>
      </c>
      <c r="V74" s="60">
        <f>IFERROR(V12/$B60,".")</f>
        <v>37516872799.494446</v>
      </c>
      <c r="W74" s="60">
        <f>IFERROR(W12/$B60,".")</f>
        <v>67307676010.623619</v>
      </c>
      <c r="X74" s="60">
        <f>IFERROR(X12/$B60,".")</f>
        <v>48803963634.823593</v>
      </c>
      <c r="Y74" s="60">
        <f>IFERROR(Y12/$B60,".")</f>
        <v>43100706650.789009</v>
      </c>
      <c r="Z74" s="60">
        <f>IFERROR(Z12/$B60,".")</f>
        <v>116189825212.38158</v>
      </c>
      <c r="AA74" s="189">
        <f t="shared" ref="AA74:AE74" si="225">IFERROR(AA12/$B60,0)</f>
        <v>108.19866115374199</v>
      </c>
      <c r="AB74" s="189">
        <f t="shared" si="225"/>
        <v>194.11533761463858</v>
      </c>
      <c r="AC74" s="189">
        <f t="shared" si="225"/>
        <v>140.75063112283124</v>
      </c>
      <c r="AD74" s="189">
        <f t="shared" si="225"/>
        <v>124.30243798087552</v>
      </c>
      <c r="AE74" s="189">
        <f t="shared" si="225"/>
        <v>335.09145591250848</v>
      </c>
      <c r="AF74" s="49">
        <f>IF(V74=".",".",up_RadSpec!$G$12*AF12*$B$74)</f>
        <v>6.6636684069086066E-10</v>
      </c>
      <c r="AG74" s="49">
        <f>IF(W74=".",".",up_RadSpec!$N$12*AG12*$B$74)</f>
        <v>3.7142866136180492E-10</v>
      </c>
      <c r="AH74" s="49">
        <f>IF(X74=".",".",up_RadSpec!$O$12*AH12*$B$74)</f>
        <v>5.1225347570256548E-10</v>
      </c>
      <c r="AI74" s="49">
        <f>IF(Y74=".",".",up_RadSpec!$P$12*AI12*$B$74)</f>
        <v>5.8003689365362988E-10</v>
      </c>
      <c r="AJ74" s="49">
        <f>IF(Z74=".",".",up_RadSpec!$L$12*AJ12*$B$74)</f>
        <v>2.1516513992772505E-10</v>
      </c>
      <c r="AK74" s="60">
        <f>IFERROR(AK12/$B60,".")</f>
        <v>524948.73547505133</v>
      </c>
      <c r="AL74" s="60">
        <f>IFERROR(AL12/$B60,".")</f>
        <v>3353110047.84689</v>
      </c>
      <c r="AM74" s="60">
        <f>IFERROR(AM12/$B60,".")</f>
        <v>524866.56458431401</v>
      </c>
      <c r="AN74" s="189">
        <f t="shared" ref="AN74" si="226">IFERROR(AN12/$B60,0)</f>
        <v>1.5137151722611618E-6</v>
      </c>
      <c r="AO74" s="49">
        <f>IF(AK74=".",".",up_RadSpec!$H$12*AO12*$B$74)</f>
        <v>4.762369791666666E-5</v>
      </c>
      <c r="AP74" s="49">
        <f>IF(AL74=".",".",up_RadSpec!$K$12*AP12*$B$74)</f>
        <v>7.4557648401826493E-9</v>
      </c>
      <c r="AQ74" s="49">
        <f t="shared" si="185"/>
        <v>4.7631153681506843E-5</v>
      </c>
      <c r="AR74" s="60">
        <f>IFERROR(AR12/$B60,".")</f>
        <v>119617.22488038275</v>
      </c>
      <c r="AS74" s="60">
        <f>IFERROR(AS12/$B60,".")</f>
        <v>2095693779.9043062</v>
      </c>
      <c r="AT74" s="63">
        <f>IFERROR(AT12/$B60,".")</f>
        <v>95693779.904306203</v>
      </c>
      <c r="AU74" s="63">
        <f>IFERROR(AU12/$B60,".")</f>
        <v>95693779.904306203</v>
      </c>
      <c r="AV74" s="233">
        <f t="shared" si="41"/>
        <v>8.3600000000000013E-6</v>
      </c>
      <c r="AW74" s="233">
        <f t="shared" si="41"/>
        <v>4.7716894977168946E-10</v>
      </c>
      <c r="AX74" s="233">
        <f t="shared" si="41"/>
        <v>1.0450000000000003E-8</v>
      </c>
      <c r="AY74" s="233">
        <f t="shared" si="41"/>
        <v>1.0450000000000003E-8</v>
      </c>
      <c r="AZ74" s="63">
        <f>IFERROR(AZ12/$B60,".")</f>
        <v>119312.13449081722</v>
      </c>
      <c r="BA74" s="189">
        <f t="shared" ref="BA74" si="227">IFERROR(BA12/$B60,0)</f>
        <v>3.4409619587151684E-7</v>
      </c>
      <c r="BB74" s="49">
        <f>IF(AR74=".",".",up_RadSpec!$I$12*BB12*$B$74)</f>
        <v>2.0900000000000001E-4</v>
      </c>
      <c r="BC74" s="49">
        <f>IF(AS74=".",".",up_RadSpec!$M$12*BC12*$B$74)</f>
        <v>1.1929223744292239E-8</v>
      </c>
      <c r="BD74" s="49">
        <f>IF(AT74=".",".",up_RadSpec!$F$12*BD12*$B$74)</f>
        <v>2.6125000000000004E-7</v>
      </c>
      <c r="BE74" s="49">
        <f>IF(AU74=".",".",up_RadSpec!$F$12*BE12*$B$74)</f>
        <v>2.6125000000000004E-7</v>
      </c>
      <c r="BF74" s="49">
        <f t="shared" si="44"/>
        <v>2.0953442922374429E-4</v>
      </c>
      <c r="BG74" s="63">
        <f>IFERROR(BG12/$B60,".")</f>
        <v>956937.79904306203</v>
      </c>
      <c r="BH74" s="63">
        <f>IFERROR(BH12/$B60,".")</f>
        <v>956937.79904306203</v>
      </c>
      <c r="BI74" s="189">
        <f t="shared" ref="BI74:BJ74" si="228">IFERROR(BI12/$B60,0)</f>
        <v>2.7598086124401913E-3</v>
      </c>
      <c r="BJ74" s="189">
        <f t="shared" si="228"/>
        <v>2.7598086124401913E-3</v>
      </c>
      <c r="BK74" s="49">
        <f>IF(BG74=".",".",up_RadSpec!$F$12*BK12*$B$74)</f>
        <v>2.6125000000000001E-5</v>
      </c>
      <c r="BL74" s="49">
        <f>IF(BH74=".",".",up_RadSpec!$F$12*BL12*$B$74)</f>
        <v>2.6125000000000001E-5</v>
      </c>
    </row>
    <row r="75" spans="1:64" x14ac:dyDescent="0.25">
      <c r="A75" s="48" t="s">
        <v>1082</v>
      </c>
      <c r="B75" s="45">
        <v>1</v>
      </c>
      <c r="C75" s="170"/>
      <c r="D75" s="60">
        <f>IFERROR(D18/$B61,".")</f>
        <v>0.33057851239669422</v>
      </c>
      <c r="E75" s="60">
        <f>IFERROR(E18/$B61,".")</f>
        <v>3089.9917851942919</v>
      </c>
      <c r="F75" s="60">
        <f>IFERROR(F18/$B61,".")</f>
        <v>358.19104981705613</v>
      </c>
      <c r="G75" s="63">
        <f>IFERROR(G18/$B61,".")</f>
        <v>7.5757575757575758E-5</v>
      </c>
      <c r="H75" s="63">
        <f>IFERROR(H18/$B61,".")</f>
        <v>7.5757575757575758E-5</v>
      </c>
      <c r="I75" s="233">
        <f t="shared" si="192"/>
        <v>3.0249999999999999</v>
      </c>
      <c r="J75" s="233">
        <f t="shared" si="192"/>
        <v>3.236254558317935E-4</v>
      </c>
      <c r="K75" s="233">
        <f t="shared" si="192"/>
        <v>2.7918062176895369E-3</v>
      </c>
      <c r="L75" s="233">
        <f t="shared" si="192"/>
        <v>13200</v>
      </c>
      <c r="M75" s="233">
        <f t="shared" si="192"/>
        <v>13200</v>
      </c>
      <c r="N75" s="63">
        <f>IFERROR(N18/$B61,".")</f>
        <v>3.787444362927198E-5</v>
      </c>
      <c r="O75" s="189">
        <f>IFERROR(O18/$B61,0)</f>
        <v>1.1135086427005964E-13</v>
      </c>
      <c r="P75" s="49">
        <f>IF(D75=".",".",up_RadSpec!$E$18*P18*$B$75)</f>
        <v>75.625</v>
      </c>
      <c r="Q75" s="49">
        <f>IF(E75=".",".",up_RadSpec!$H$18*Q18*$B$75)</f>
        <v>8.0906363957948379E-3</v>
      </c>
      <c r="R75" s="49">
        <f>IF(F75=".",".",up_RadSpec!$G$18*R18*$B$75)</f>
        <v>6.9795155442238424E-2</v>
      </c>
      <c r="S75" s="49">
        <f>IF(G75=".",".",up_RadSpec!$F$18*S18*$B$75)</f>
        <v>330000</v>
      </c>
      <c r="T75" s="49">
        <f>IF(H75=".",".",up_RadSpec!$F$18*T18*$B$75)</f>
        <v>330000</v>
      </c>
      <c r="U75" s="49">
        <f t="shared" si="182"/>
        <v>660075.70288579189</v>
      </c>
      <c r="V75" s="60">
        <f>IFERROR(V18/$B61,".")</f>
        <v>358.19104981705613</v>
      </c>
      <c r="W75" s="60">
        <f>IFERROR(W18/$B61,".")</f>
        <v>708.75611640484192</v>
      </c>
      <c r="X75" s="60">
        <f>IFERROR(X18/$B61,".")</f>
        <v>496.33877043552508</v>
      </c>
      <c r="Y75" s="60">
        <f>IFERROR(Y18/$B61,".")</f>
        <v>411.22563526890514</v>
      </c>
      <c r="Z75" s="60">
        <f>IFERROR(Z18/$B61,".")</f>
        <v>1204.7552447552446</v>
      </c>
      <c r="AA75" s="189">
        <f t="shared" ref="AA75:AE75" si="229">IFERROR(AA18/$B61,0)</f>
        <v>1.0530816864621452E-6</v>
      </c>
      <c r="AB75" s="189">
        <f t="shared" si="229"/>
        <v>2.0837429822302357E-6</v>
      </c>
      <c r="AC75" s="189">
        <f t="shared" si="229"/>
        <v>1.4592359850804439E-6</v>
      </c>
      <c r="AD75" s="189">
        <f t="shared" si="229"/>
        <v>1.2090033676905811E-6</v>
      </c>
      <c r="AE75" s="189">
        <f t="shared" si="229"/>
        <v>3.5419804195804195E-6</v>
      </c>
      <c r="AF75" s="49">
        <f>IF(V75=".",".",up_RadSpec!$G$18*AF18*$B$75)</f>
        <v>6.9795155442238424E-2</v>
      </c>
      <c r="AG75" s="49">
        <f>IF(W75=".",".",up_RadSpec!$N$18*AG18*$B$75)</f>
        <v>3.5273064205515778E-2</v>
      </c>
      <c r="AH75" s="49">
        <f>IF(X75=".",".",up_RadSpec!$O$18*AH18*$B$75)</f>
        <v>5.0368823652569221E-2</v>
      </c>
      <c r="AI75" s="49">
        <f>IF(Y75=".",".",up_RadSpec!$P$18*AI18*$B$75)</f>
        <v>6.0793875322612642E-2</v>
      </c>
      <c r="AJ75" s="49">
        <f>IF(Z75=".",".",up_RadSpec!$L$18*AJ18*$B$75)</f>
        <v>2.0751102855816116E-2</v>
      </c>
      <c r="AK75" s="60">
        <f>IFERROR(AK18/$B61,".")</f>
        <v>9.9740259740259754E-3</v>
      </c>
      <c r="AL75" s="60">
        <f>IFERROR(AL18/$B61,".")</f>
        <v>63.709090909090911</v>
      </c>
      <c r="AM75" s="60">
        <f>IFERROR(AM18/$B61,".")</f>
        <v>9.9724647271019675E-3</v>
      </c>
      <c r="AN75" s="189">
        <f t="shared" ref="AN75" si="230">IFERROR(AN18/$B61,0)</f>
        <v>2.9319046297679789E-14</v>
      </c>
      <c r="AO75" s="49">
        <f>IF(AK75=".",".",up_RadSpec!$H$18*AO18*$B$75)</f>
        <v>2506.5104166666661</v>
      </c>
      <c r="AP75" s="49">
        <f>IF(AL75=".",".",up_RadSpec!$K$18*AP18*$B$75)</f>
        <v>0.39240867579908678</v>
      </c>
      <c r="AQ75" s="49">
        <f t="shared" si="185"/>
        <v>2506.9028253424653</v>
      </c>
      <c r="AR75" s="60">
        <f>IFERROR(AR18/$B61,".")</f>
        <v>2.2727272727272726E-3</v>
      </c>
      <c r="AS75" s="60">
        <f>IFERROR(AS18/$B61,".")</f>
        <v>39.81818181818182</v>
      </c>
      <c r="AT75" s="63">
        <f>IFERROR(AT18/$B61,".")</f>
        <v>1.8181818181818181</v>
      </c>
      <c r="AU75" s="63">
        <f>IFERROR(AU18/$B61,".")</f>
        <v>1.8181818181818181</v>
      </c>
      <c r="AV75" s="233">
        <f t="shared" si="41"/>
        <v>440</v>
      </c>
      <c r="AW75" s="233">
        <f t="shared" si="41"/>
        <v>2.5114155251141551E-2</v>
      </c>
      <c r="AX75" s="233">
        <f t="shared" si="41"/>
        <v>0.55000000000000004</v>
      </c>
      <c r="AY75" s="233">
        <f t="shared" si="41"/>
        <v>0.55000000000000004</v>
      </c>
      <c r="AZ75" s="63">
        <f>IFERROR(AZ18/$B61,".")</f>
        <v>2.2669305553255272E-3</v>
      </c>
      <c r="BA75" s="189">
        <f t="shared" ref="BA75" si="231">IFERROR(BA18/$B61,0)</f>
        <v>6.6647758326570493E-15</v>
      </c>
      <c r="BB75" s="49">
        <f>IF(AR75=".",".",up_RadSpec!$I$18*BB18*$B$75)</f>
        <v>11000</v>
      </c>
      <c r="BC75" s="49">
        <f>IF(AS75=".",".",up_RadSpec!$M$18*BC18*$B$75)</f>
        <v>0.62785388127853881</v>
      </c>
      <c r="BD75" s="49">
        <f>IF(AT75=".",".",up_RadSpec!$F$18*BD18*$B$75)</f>
        <v>13.75</v>
      </c>
      <c r="BE75" s="49">
        <f>IF(AU75=".",".",up_RadSpec!$F$18*BE18*$B$75)</f>
        <v>13.75</v>
      </c>
      <c r="BF75" s="49">
        <f t="shared" si="44"/>
        <v>11028.127853881278</v>
      </c>
      <c r="BG75" s="63">
        <f>IFERROR(BG18/$B61,".")</f>
        <v>1.8181818181818181E-2</v>
      </c>
      <c r="BH75" s="63">
        <f>IFERROR(BH18/$B61,".")</f>
        <v>1.8181818181818181E-2</v>
      </c>
      <c r="BI75" s="189">
        <f t="shared" ref="BI75:BJ75" si="232">IFERROR(BI18/$B61,0)</f>
        <v>5.345454545454546E-11</v>
      </c>
      <c r="BJ75" s="189">
        <f t="shared" si="232"/>
        <v>5.345454545454546E-11</v>
      </c>
      <c r="BK75" s="49">
        <f>IF(BG75=".",".",up_RadSpec!$F$18*BK18*$B$75)</f>
        <v>1375</v>
      </c>
      <c r="BL75" s="49">
        <f>IF(BH75=".",".",up_RadSpec!$F$18*BL18*$B$75)</f>
        <v>1375</v>
      </c>
    </row>
    <row r="76" spans="1:64" x14ac:dyDescent="0.25">
      <c r="A76" s="48" t="s">
        <v>1083</v>
      </c>
      <c r="B76" s="45">
        <v>1.339E-6</v>
      </c>
      <c r="C76" s="170"/>
      <c r="D76" s="60">
        <f>IFERROR(D27/$B62,".")</f>
        <v>246884.62464278881</v>
      </c>
      <c r="E76" s="60">
        <f>IFERROR(E27/$B62,".")</f>
        <v>2307686172.6619058</v>
      </c>
      <c r="F76" s="60">
        <f>IFERROR(F27/$B62,".")</f>
        <v>439010035.30817378</v>
      </c>
      <c r="G76" s="63">
        <f>IFERROR(G27/$B62,".")</f>
        <v>56.5777264806391</v>
      </c>
      <c r="H76" s="63">
        <f>IFERROR(H27/$B62,".")</f>
        <v>56.5777264806391</v>
      </c>
      <c r="I76" s="233">
        <f t="shared" si="192"/>
        <v>4.0504750000000004E-6</v>
      </c>
      <c r="J76" s="233">
        <f t="shared" si="192"/>
        <v>4.3333448535877146E-10</v>
      </c>
      <c r="K76" s="233">
        <f t="shared" si="192"/>
        <v>2.2778522575185E-9</v>
      </c>
      <c r="L76" s="233">
        <f t="shared" si="192"/>
        <v>1.7674800000000001E-2</v>
      </c>
      <c r="M76" s="233">
        <f t="shared" si="192"/>
        <v>1.7674800000000001E-2</v>
      </c>
      <c r="N76" s="63">
        <f>IFERROR(N27/$B62,".")</f>
        <v>28.285620010288401</v>
      </c>
      <c r="O76" s="189">
        <f>IFERROR(O27/$B62,0)</f>
        <v>8.1575728109671756E-8</v>
      </c>
      <c r="P76" s="49">
        <f>IF(D76=".",".",up_RadSpec!$E$27*P27*$B$76)</f>
        <v>1.0126187500000001E-4</v>
      </c>
      <c r="Q76" s="49">
        <f>IF(E76=".",".",up_RadSpec!$H$27*Q27*$B$76)</f>
        <v>1.0833362133969288E-8</v>
      </c>
      <c r="R76" s="49">
        <f>IF(F76=".",".",up_RadSpec!$G$27*R27*$B$76)</f>
        <v>5.6946306437962506E-8</v>
      </c>
      <c r="S76" s="49">
        <f>IF(G76=".",".",up_RadSpec!$F$27*S27*$B$76)</f>
        <v>0.44186999999999999</v>
      </c>
      <c r="T76" s="49">
        <f>IF(H76=".",".",up_RadSpec!$F$27*T27*$B$76)</f>
        <v>0.44186999999999999</v>
      </c>
      <c r="U76" s="49">
        <f t="shared" si="182"/>
        <v>0.88384132965466855</v>
      </c>
      <c r="V76" s="60">
        <f>IFERROR(V27/$B62,".")</f>
        <v>439010035.30817378</v>
      </c>
      <c r="W76" s="60">
        <f>IFERROR(W27/$B62,".")</f>
        <v>1302178659.358016</v>
      </c>
      <c r="X76" s="60">
        <f>IFERROR(X27/$B62,".")</f>
        <v>798333437.34491134</v>
      </c>
      <c r="Y76" s="60">
        <f>IFERROR(Y27/$B62,".")</f>
        <v>580756734.1122725</v>
      </c>
      <c r="Z76" s="60">
        <f>IFERROR(Z27/$B62,".")</f>
        <v>4073191979.429183</v>
      </c>
      <c r="AA76" s="189">
        <f t="shared" ref="AA76:AE76" si="233">IFERROR(AA27/$B62,0)</f>
        <v>1.2661049418287733</v>
      </c>
      <c r="AB76" s="189">
        <f t="shared" si="233"/>
        <v>3.7554832535885181</v>
      </c>
      <c r="AC76" s="189">
        <f t="shared" si="233"/>
        <v>2.3023936333027248</v>
      </c>
      <c r="AD76" s="189">
        <f t="shared" si="233"/>
        <v>1.6749024211797938</v>
      </c>
      <c r="AE76" s="189">
        <f t="shared" si="233"/>
        <v>11.747085668673764</v>
      </c>
      <c r="AF76" s="49">
        <f>IF(V76=".",".",up_RadSpec!$G$27*AF27*$B$76)</f>
        <v>5.6946306437962506E-8</v>
      </c>
      <c r="AG76" s="49">
        <f>IF(W76=".",".",up_RadSpec!$N$27*AG27*$B$76)</f>
        <v>1.9198594463470311E-8</v>
      </c>
      <c r="AH76" s="49">
        <f>IF(X76=".",".",up_RadSpec!$O$27*AH27*$B$76)</f>
        <v>3.1315236003573555E-8</v>
      </c>
      <c r="AI76" s="49">
        <f>IF(Y76=".",".",up_RadSpec!$P$27*AI27*$B$76)</f>
        <v>4.3047283882492144E-8</v>
      </c>
      <c r="AJ76" s="49">
        <f>IF(Z76=".",".",up_RadSpec!$L$27*AJ27*$B$76)</f>
        <v>6.1376925335848023E-9</v>
      </c>
      <c r="AK76" s="60">
        <f>IFERROR(AK27/$B62,".")</f>
        <v>7448.8618177938579</v>
      </c>
      <c r="AL76" s="60">
        <f>IFERROR(AL27/$B62,".")</f>
        <v>47579604.861158259</v>
      </c>
      <c r="AM76" s="60">
        <f>IFERROR(AM27/$B62,".")</f>
        <v>7447.6958380149126</v>
      </c>
      <c r="AN76" s="189">
        <f t="shared" ref="AN76" si="234">IFERROR(AN27/$B62,0)</f>
        <v>2.1479154796835008E-8</v>
      </c>
      <c r="AO76" s="49">
        <f>IF(AK76=".",".",up_RadSpec!$H$27*AO27*$B$76)</f>
        <v>3.3562174479166659E-3</v>
      </c>
      <c r="AP76" s="49">
        <f>IF(AL76=".",".",up_RadSpec!$K$27*AP27*$B$76)</f>
        <v>5.2543521689497717E-7</v>
      </c>
      <c r="AQ76" s="49">
        <f t="shared" si="185"/>
        <v>3.3567428831335609E-3</v>
      </c>
      <c r="AR76" s="60">
        <f>IFERROR(AR27/$B62,".")</f>
        <v>1697.3317944191729</v>
      </c>
      <c r="AS76" s="60">
        <f>IFERROR(AS27/$B62,".")</f>
        <v>29737253.038223915</v>
      </c>
      <c r="AT76" s="63">
        <f>IFERROR(AT27/$B62,".")</f>
        <v>1357865.4355353385</v>
      </c>
      <c r="AU76" s="63">
        <f>IFERROR(AU27/$B62,".")</f>
        <v>1357865.4355353385</v>
      </c>
      <c r="AV76" s="233">
        <f t="shared" si="41"/>
        <v>5.8916000000000003E-4</v>
      </c>
      <c r="AW76" s="233">
        <f t="shared" si="41"/>
        <v>3.3627853881278534E-8</v>
      </c>
      <c r="AX76" s="233">
        <f t="shared" si="41"/>
        <v>7.3644999999999995E-7</v>
      </c>
      <c r="AY76" s="233">
        <f t="shared" si="41"/>
        <v>7.3644999999999995E-7</v>
      </c>
      <c r="AZ76" s="63">
        <f>IFERROR(AZ27/$B62,".")</f>
        <v>1693.0026552095051</v>
      </c>
      <c r="BA76" s="189">
        <f t="shared" ref="BA76" si="235">IFERROR(BA27/$B62,0)</f>
        <v>4.8826196576242123E-9</v>
      </c>
      <c r="BB76" s="49">
        <f>IF(AR76=".",".",up_RadSpec!$I$27*BB27*$B$76)</f>
        <v>1.4729000000000001E-2</v>
      </c>
      <c r="BC76" s="49">
        <f>IF(AS76=".",".",up_RadSpec!$M$27*BC27*$B$76)</f>
        <v>8.4069634703196346E-7</v>
      </c>
      <c r="BD76" s="49">
        <f>IF(AT76=".",".",up_RadSpec!$F$27*BD27*$B$76)</f>
        <v>1.8411250000000001E-5</v>
      </c>
      <c r="BE76" s="49">
        <f>IF(AU76=".",".",up_RadSpec!$F$27*BE27*$B$76)</f>
        <v>1.8411250000000001E-5</v>
      </c>
      <c r="BF76" s="49">
        <f t="shared" si="44"/>
        <v>1.4766663196347032E-2</v>
      </c>
      <c r="BG76" s="63">
        <f>IFERROR(BG27/$B62,".")</f>
        <v>13578.654355353383</v>
      </c>
      <c r="BH76" s="63">
        <f>IFERROR(BH27/$B62,".")</f>
        <v>13578.654355353383</v>
      </c>
      <c r="BI76" s="189">
        <f t="shared" ref="BI76:BJ76" si="236">IFERROR(BI27/$B62,0)</f>
        <v>3.9160839160839162E-5</v>
      </c>
      <c r="BJ76" s="189">
        <f t="shared" si="236"/>
        <v>3.9160839160839162E-5</v>
      </c>
      <c r="BK76" s="49">
        <f>IF(BG76=".",".",up_RadSpec!$F$27*BK27*$B$76)</f>
        <v>1.8411250000000001E-3</v>
      </c>
      <c r="BL76" s="49">
        <f>IF(BH76=".",".",up_RadSpec!$F$27*BL27*$B$76)</f>
        <v>1.8411250000000001E-3</v>
      </c>
    </row>
  </sheetData>
  <sheetProtection algorithmName="SHA-512" hashValue="1mEhElNtbWjkPfzzxRVulkHp7Q9/HOjhly+LvlDt5YGse1Y5Qz4krKkIxT+Poa/haKM0D7T3A+v+2xzqvA12DQ==" saltValue="H6k4AwOvjl/JIWDkmG1fGA==" spinCount="100000" sheet="1" formatColumns="0" formatRows="0" autoFilter="0"/>
  <autoFilter ref="A1:AI1299" xr:uid="{00000000-0009-0000-0000-000020000000}"/>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9" tint="-0.499984740745262"/>
  </sheetPr>
  <dimension ref="A1:M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3.140625" style="4" bestFit="1" customWidth="1"/>
    <col min="2" max="2" width="12" style="4" bestFit="1" customWidth="1"/>
    <col min="3" max="3" width="13.28515625" style="4" customWidth="1"/>
    <col min="4" max="4" width="17.7109375" bestFit="1" customWidth="1"/>
    <col min="5" max="6" width="18.85546875" bestFit="1" customWidth="1"/>
    <col min="7" max="7" width="18.140625" style="3" bestFit="1" customWidth="1"/>
    <col min="8" max="8" width="20.140625" bestFit="1" customWidth="1"/>
    <col min="9" max="9" width="19.28515625" style="3" bestFit="1" customWidth="1"/>
    <col min="10" max="10" width="18.85546875" bestFit="1" customWidth="1"/>
    <col min="11" max="11" width="18.140625" style="3" bestFit="1" customWidth="1"/>
    <col min="12" max="12" width="20.140625" bestFit="1" customWidth="1"/>
    <col min="13" max="13" width="19.28515625" style="3" bestFit="1" customWidth="1"/>
  </cols>
  <sheetData>
    <row r="1" spans="1:13" x14ac:dyDescent="0.25">
      <c r="A1" s="72" t="s">
        <v>39</v>
      </c>
      <c r="B1" s="73" t="s">
        <v>334</v>
      </c>
      <c r="C1" s="72"/>
      <c r="D1" s="105" t="s">
        <v>1221</v>
      </c>
      <c r="E1" s="105" t="s">
        <v>1509</v>
      </c>
      <c r="F1" s="105" t="s">
        <v>1316</v>
      </c>
      <c r="G1" s="189" t="s">
        <v>1543</v>
      </c>
      <c r="H1" s="105" t="s">
        <v>1514</v>
      </c>
      <c r="I1" s="189" t="s">
        <v>1542</v>
      </c>
      <c r="J1" s="105" t="s">
        <v>1315</v>
      </c>
      <c r="K1" s="189" t="s">
        <v>1541</v>
      </c>
      <c r="L1" s="105" t="s">
        <v>1515</v>
      </c>
      <c r="M1" s="189" t="s">
        <v>1540</v>
      </c>
    </row>
    <row r="2" spans="1:13" x14ac:dyDescent="0.25">
      <c r="A2" s="44" t="s">
        <v>0</v>
      </c>
      <c r="B2" s="42" t="s">
        <v>1057</v>
      </c>
      <c r="C2" s="42"/>
      <c r="D2" s="114">
        <f>IF(up_RadSpec!AX2*s_DAF=0,".",up_RadSpec!AX2*s_DAF)</f>
        <v>36.407844783957088</v>
      </c>
      <c r="E2" s="114">
        <f>IFERROR(up_res!AP2*s_DAF,".")</f>
        <v>1.1455333944630649E-3</v>
      </c>
      <c r="F2" s="114">
        <f>IFERROR((D2*0.001*(up_RadSpec!AU2+(s_θw/s_ρb))*1),".")</f>
        <v>0.19114118511577471</v>
      </c>
      <c r="G2" s="189">
        <f>IFERROR(F2*(0.0000000000000028)*up_RadSpec!$AY2*up_RadSpec!$AF2,0)</f>
        <v>6.0209473311469029E-13</v>
      </c>
      <c r="H2" s="114">
        <f>IFERROR((E2*0.001*(up_RadSpec!AU2+(s_θw/s_ρb))*1),".")</f>
        <v>6.0140503209310907E-6</v>
      </c>
      <c r="I2" s="189">
        <f>IFERROR(H2*(0.0000000000000028)*up_RadSpec!$AY2*up_RadSpec!$AF2,0)</f>
        <v>1.8944258510932938E-17</v>
      </c>
      <c r="J2" s="114">
        <f t="shared" ref="J2:J30" si="0">IFERROR((D2*s_ls2gw*s_ED_s2gw)/(s_ρb*s_d_s*1000),".")</f>
        <v>0.12742745674384981</v>
      </c>
      <c r="K2" s="189">
        <f>IFERROR(J2*(0.0000000000000028)*up_RadSpec!$AY2*up_RadSpec!$AF2,0)</f>
        <v>4.0139648874312698E-13</v>
      </c>
      <c r="L2" s="114">
        <f t="shared" ref="L2:L30" si="1">IFERROR((E2*s_ls2gw*s_ED_s2gw)/(s_ρb*s_d_s*1000),".")</f>
        <v>4.0093668806207272E-6</v>
      </c>
      <c r="M2" s="189">
        <f>IFERROR(L2*(0.0000000000000028)*up_RadSpec!$AY2*up_RadSpec!$AF2,0)</f>
        <v>1.2629505673955291E-17</v>
      </c>
    </row>
    <row r="3" spans="1:13" x14ac:dyDescent="0.25">
      <c r="A3" s="46" t="s">
        <v>1</v>
      </c>
      <c r="B3" s="42" t="s">
        <v>335</v>
      </c>
      <c r="C3" s="42"/>
      <c r="D3" s="114">
        <f>IF(up_RadSpec!AX3*s_DAF=0,".",up_RadSpec!AX3*s_DAF)</f>
        <v>36.407844783957088</v>
      </c>
      <c r="E3" s="114">
        <f>IFERROR(up_res!AP3*s_DAF,".")</f>
        <v>1.1455333944630649E-3</v>
      </c>
      <c r="F3" s="114">
        <f>IFERROR((D3*0.001*(up_RadSpec!AU3+(s_θw/s_ρb))*1),".")</f>
        <v>0.19114118511577471</v>
      </c>
      <c r="G3" s="189">
        <f>IFERROR(F3*(0.0000000000000028)*up_RadSpec!$AY3*up_RadSpec!$AF3,0)</f>
        <v>6.4491035858062392E-13</v>
      </c>
      <c r="H3" s="114">
        <f>IFERROR((E3*0.001*(up_RadSpec!AU3+(s_θw/s_ρb))*1),".")</f>
        <v>6.0140503209310907E-6</v>
      </c>
      <c r="I3" s="189">
        <f>IFERROR(H3*(0.0000000000000028)*up_RadSpec!$AY3*up_RadSpec!$AF3,0)</f>
        <v>2.0291405782821502E-17</v>
      </c>
      <c r="J3" s="114">
        <f t="shared" si="0"/>
        <v>0.12742745674384981</v>
      </c>
      <c r="K3" s="189">
        <f>IFERROR(J3*(0.0000000000000028)*up_RadSpec!$AY3*up_RadSpec!$AF3,0)</f>
        <v>4.2994023905374934E-13</v>
      </c>
      <c r="L3" s="114">
        <f t="shared" si="1"/>
        <v>4.0093668806207272E-6</v>
      </c>
      <c r="M3" s="189">
        <f>IFERROR(L3*(0.0000000000000028)*up_RadSpec!$AY3*up_RadSpec!$AF3,0)</f>
        <v>1.3527603855214334E-17</v>
      </c>
    </row>
    <row r="4" spans="1:13" x14ac:dyDescent="0.25">
      <c r="A4" s="44" t="s">
        <v>2</v>
      </c>
      <c r="B4" s="42" t="s">
        <v>1057</v>
      </c>
      <c r="C4" s="42"/>
      <c r="D4" s="114">
        <f>IF(up_RadSpec!AX4*s_DAF=0,".",up_RadSpec!AX4*s_DAF)</f>
        <v>36.407844783957088</v>
      </c>
      <c r="E4" s="114">
        <f>IFERROR(up_res!AP4*s_DAF,".")</f>
        <v>1.1455333944630649E-3</v>
      </c>
      <c r="F4" s="114">
        <f>IFERROR((D4*0.001*(up_RadSpec!AU4+(s_θw/s_ρb))*1),".")</f>
        <v>0.19114118511577471</v>
      </c>
      <c r="G4" s="189">
        <f>IFERROR(F4*(0.0000000000000028)*up_RadSpec!$AY4*up_RadSpec!$AF4,0)</f>
        <v>5.8068692038172358E-13</v>
      </c>
      <c r="H4" s="114">
        <f>IFERROR((E4*0.001*(up_RadSpec!AU4+(s_θw/s_ρb))*1),".")</f>
        <v>6.0140503209310907E-6</v>
      </c>
      <c r="I4" s="189">
        <f>IFERROR(H4*(0.0000000000000028)*up_RadSpec!$AY4*up_RadSpec!$AF4,0)</f>
        <v>1.8270684874988654E-17</v>
      </c>
      <c r="J4" s="114">
        <f t="shared" si="0"/>
        <v>0.12742745674384981</v>
      </c>
      <c r="K4" s="189">
        <f>IFERROR(J4*(0.0000000000000028)*up_RadSpec!$AY4*up_RadSpec!$AF4,0)</f>
        <v>3.8712461358781572E-13</v>
      </c>
      <c r="L4" s="114">
        <f t="shared" si="1"/>
        <v>4.0093668806207272E-6</v>
      </c>
      <c r="M4" s="189">
        <f>IFERROR(L4*(0.0000000000000028)*up_RadSpec!$AY4*up_RadSpec!$AF4,0)</f>
        <v>1.2180456583325769E-17</v>
      </c>
    </row>
    <row r="5" spans="1:13" x14ac:dyDescent="0.25">
      <c r="A5" s="44" t="s">
        <v>3</v>
      </c>
      <c r="B5" s="42" t="s">
        <v>1057</v>
      </c>
      <c r="C5" s="238"/>
      <c r="D5" s="114">
        <f>IF(up_RadSpec!AX5*s_DAF=0,".",up_RadSpec!AX5*s_DAF)</f>
        <v>36.407844783957088</v>
      </c>
      <c r="E5" s="114">
        <f>IFERROR(up_res!AP5*s_DAF,".")</f>
        <v>1.1455320821375488E-3</v>
      </c>
      <c r="F5" s="114">
        <f>IFERROR((D5*0.001*(up_RadSpec!AU5+(s_θw/s_ρb))*1),".")</f>
        <v>0.19114118511577471</v>
      </c>
      <c r="G5" s="189">
        <f>IFERROR(F5*(0.0000000000000028)*up_RadSpec!$AY5*up_RadSpec!$AF5,0)</f>
        <v>5.8336289697334433E-13</v>
      </c>
      <c r="H5" s="114">
        <f>IFERROR((E5*0.001*(up_RadSpec!AU5+(s_θw/s_ρb))*1),".")</f>
        <v>6.014043431222131E-6</v>
      </c>
      <c r="I5" s="189">
        <f>IFERROR(H5*(0.0000000000000028)*up_RadSpec!$AY5*up_RadSpec!$AF5,0)</f>
        <v>1.8354860552089946E-17</v>
      </c>
      <c r="J5" s="114">
        <f t="shared" si="0"/>
        <v>0.12742745674384981</v>
      </c>
      <c r="K5" s="189">
        <f>IFERROR(J5*(0.0000000000000028)*up_RadSpec!$AY5*up_RadSpec!$AF5,0)</f>
        <v>3.8890859798222972E-13</v>
      </c>
      <c r="L5" s="114">
        <f t="shared" si="1"/>
        <v>4.0093622874814207E-6</v>
      </c>
      <c r="M5" s="189">
        <f>IFERROR(L5*(0.0000000000000028)*up_RadSpec!$AY5*up_RadSpec!$AF5,0)</f>
        <v>1.2236573701393297E-17</v>
      </c>
    </row>
    <row r="6" spans="1:13" x14ac:dyDescent="0.25">
      <c r="A6" s="44" t="s">
        <v>4</v>
      </c>
      <c r="B6" s="42" t="s">
        <v>1057</v>
      </c>
      <c r="C6" s="42"/>
      <c r="D6" s="114">
        <f>IF(up_RadSpec!AX6*s_DAF=0,".",up_RadSpec!AX6*s_DAF)</f>
        <v>36.407844783957088</v>
      </c>
      <c r="E6" s="114">
        <f>IFERROR(up_res!AP6*s_DAF,".")</f>
        <v>1.1455333944630649E-3</v>
      </c>
      <c r="F6" s="114">
        <f>IFERROR((D6*0.001*(up_RadSpec!AU6+(s_θw/s_ρb))*1),".")</f>
        <v>0.19114118511577471</v>
      </c>
      <c r="G6" s="189">
        <f>IFERROR(F6*(0.0000000000000028)*up_RadSpec!$AY6*up_RadSpec!$AF6,0)</f>
        <v>3.6660879305205586E-13</v>
      </c>
      <c r="H6" s="114">
        <f>IFERROR((E6*0.001*(up_RadSpec!AU6+(s_θw/s_ρb))*1),".")</f>
        <v>6.0140503209310907E-6</v>
      </c>
      <c r="I6" s="189">
        <f>IFERROR(H6*(0.0000000000000028)*up_RadSpec!$AY6*up_RadSpec!$AF6,0)</f>
        <v>1.1534948515545833E-17</v>
      </c>
      <c r="J6" s="114">
        <f t="shared" si="0"/>
        <v>0.12742745674384981</v>
      </c>
      <c r="K6" s="189">
        <f>IFERROR(J6*(0.0000000000000028)*up_RadSpec!$AY6*up_RadSpec!$AF6,0)</f>
        <v>2.4440586203470399E-13</v>
      </c>
      <c r="L6" s="114">
        <f t="shared" si="1"/>
        <v>4.0093668806207272E-6</v>
      </c>
      <c r="M6" s="189">
        <f>IFERROR(L6*(0.0000000000000028)*up_RadSpec!$AY6*up_RadSpec!$AF6,0)</f>
        <v>7.6899656770305551E-18</v>
      </c>
    </row>
    <row r="7" spans="1:13" x14ac:dyDescent="0.25">
      <c r="A7" s="44" t="s">
        <v>5</v>
      </c>
      <c r="B7" s="42" t="s">
        <v>1057</v>
      </c>
      <c r="C7" s="238"/>
      <c r="D7" s="114">
        <f>IF(up_RadSpec!AX7*s_DAF=0,".",up_RadSpec!AX7*s_DAF)</f>
        <v>36.407844783957088</v>
      </c>
      <c r="E7" s="114">
        <f>IFERROR(up_res!AP7*s_DAF,".")</f>
        <v>1.1455333944630649E-3</v>
      </c>
      <c r="F7" s="114">
        <f>IFERROR((D7*0.001*(up_RadSpec!AU7+(s_θw/s_ρb))*1),".")</f>
        <v>0.19114118511577471</v>
      </c>
      <c r="G7" s="189">
        <f>IFERROR(F7*(0.0000000000000028)*up_RadSpec!$AY7*up_RadSpec!$AF7,0)</f>
        <v>5.6195508424037762E-13</v>
      </c>
      <c r="H7" s="114">
        <f>IFERROR((E7*0.001*(up_RadSpec!AU7+(s_θw/s_ρb))*1),".")</f>
        <v>6.0140503209310907E-6</v>
      </c>
      <c r="I7" s="189">
        <f>IFERROR(H7*(0.0000000000000028)*up_RadSpec!$AY7*up_RadSpec!$AF7,0)</f>
        <v>1.7681307943537408E-17</v>
      </c>
      <c r="J7" s="114">
        <f t="shared" si="0"/>
        <v>0.12742745674384981</v>
      </c>
      <c r="K7" s="189">
        <f>IFERROR(J7*(0.0000000000000028)*up_RadSpec!$AY7*up_RadSpec!$AF7,0)</f>
        <v>3.7463672282691846E-13</v>
      </c>
      <c r="L7" s="114">
        <f t="shared" si="1"/>
        <v>4.0093668806207272E-6</v>
      </c>
      <c r="M7" s="189">
        <f>IFERROR(L7*(0.0000000000000028)*up_RadSpec!$AY7*up_RadSpec!$AF7,0)</f>
        <v>1.1787538629024938E-17</v>
      </c>
    </row>
    <row r="8" spans="1:13" x14ac:dyDescent="0.25">
      <c r="A8" s="44" t="s">
        <v>6</v>
      </c>
      <c r="B8" s="42" t="s">
        <v>1057</v>
      </c>
      <c r="C8" s="42"/>
      <c r="D8" s="114">
        <f>IF(up_RadSpec!AX8*s_DAF=0,".",up_RadSpec!AX8*s_DAF)</f>
        <v>36.407844783957088</v>
      </c>
      <c r="E8" s="114">
        <f>IFERROR(up_res!AP8*s_DAF,".")</f>
        <v>1.1455333944630649E-3</v>
      </c>
      <c r="F8" s="114">
        <f>IFERROR((D8*0.001*(up_RadSpec!AU8+(s_θw/s_ρb))*1),".")</f>
        <v>0.19114118511577471</v>
      </c>
      <c r="G8" s="189">
        <f>IFERROR(F8*(0.0000000000000028)*up_RadSpec!$AY8*up_RadSpec!$AF8,0)</f>
        <v>5.6998301401524027E-13</v>
      </c>
      <c r="H8" s="114">
        <f>IFERROR((E8*0.001*(up_RadSpec!AU8+(s_θw/s_ρb))*1),".")</f>
        <v>6.0140503209310907E-6</v>
      </c>
      <c r="I8" s="189">
        <f>IFERROR(H8*(0.0000000000000028)*up_RadSpec!$AY8*up_RadSpec!$AF8,0)</f>
        <v>1.7933898057016516E-17</v>
      </c>
      <c r="J8" s="114">
        <f t="shared" si="0"/>
        <v>0.12742745674384981</v>
      </c>
      <c r="K8" s="189">
        <f>IFERROR(J8*(0.0000000000000028)*up_RadSpec!$AY8*up_RadSpec!$AF8,0)</f>
        <v>3.7998867601016022E-13</v>
      </c>
      <c r="L8" s="114">
        <f t="shared" si="1"/>
        <v>4.0093668806207272E-6</v>
      </c>
      <c r="M8" s="189">
        <f>IFERROR(L8*(0.0000000000000028)*up_RadSpec!$AY8*up_RadSpec!$AF8,0)</f>
        <v>1.195593203801101E-17</v>
      </c>
    </row>
    <row r="9" spans="1:13" x14ac:dyDescent="0.25">
      <c r="A9" s="44" t="s">
        <v>7</v>
      </c>
      <c r="B9" s="42" t="s">
        <v>1057</v>
      </c>
      <c r="C9" s="238"/>
      <c r="D9" s="114">
        <f>IF(up_RadSpec!AX9*s_DAF=0,".",up_RadSpec!AX9*s_DAF)</f>
        <v>36.407844783957088</v>
      </c>
      <c r="E9" s="114">
        <f>IFERROR(up_res!AP9*s_DAF,".")</f>
        <v>1.1450736989125901E-3</v>
      </c>
      <c r="F9" s="114">
        <f>IFERROR((D9*0.001*(up_RadSpec!AU9+(s_θw/s_ρb))*1),".")</f>
        <v>0.19114118511577471</v>
      </c>
      <c r="G9" s="189">
        <f>IFERROR(F9*(0.0000000000000028)*up_RadSpec!$AY9*up_RadSpec!$AF9,0)</f>
        <v>5.7265899060686102E-13</v>
      </c>
      <c r="H9" s="114">
        <f>IFERROR((E9*0.001*(up_RadSpec!AU9+(s_θw/s_ρb))*1),".")</f>
        <v>6.0116369192910981E-6</v>
      </c>
      <c r="I9" s="189">
        <f>IFERROR(H9*(0.0000000000000028)*up_RadSpec!$AY9*up_RadSpec!$AF9,0)</f>
        <v>1.8010864210196132E-17</v>
      </c>
      <c r="J9" s="114">
        <f t="shared" si="0"/>
        <v>0.12742745674384981</v>
      </c>
      <c r="K9" s="189">
        <f>IFERROR(J9*(0.0000000000000028)*up_RadSpec!$AY9*up_RadSpec!$AF9,0)</f>
        <v>3.8177266040457407E-13</v>
      </c>
      <c r="L9" s="114">
        <f t="shared" si="1"/>
        <v>4.0077579461940651E-6</v>
      </c>
      <c r="M9" s="189">
        <f>IFERROR(L9*(0.0000000000000028)*up_RadSpec!$AY9*up_RadSpec!$AF9,0)</f>
        <v>1.200724280679742E-17</v>
      </c>
    </row>
    <row r="10" spans="1:13" x14ac:dyDescent="0.25">
      <c r="A10" s="46" t="s">
        <v>8</v>
      </c>
      <c r="B10" s="42" t="s">
        <v>335</v>
      </c>
      <c r="C10" s="42"/>
      <c r="D10" s="114">
        <f>IF(up_RadSpec!AX10*s_DAF=0,".",up_RadSpec!AX10*s_DAF)</f>
        <v>36.407844783957088</v>
      </c>
      <c r="E10" s="114">
        <f>IFERROR(up_res!AP10*s_DAF,".")</f>
        <v>1.1455333944630649E-3</v>
      </c>
      <c r="F10" s="114">
        <f>IFERROR((D10*0.001*(up_RadSpec!AU10+(s_θw/s_ρb))*1),".")</f>
        <v>0.19114118511577471</v>
      </c>
      <c r="G10" s="189">
        <f>IFERROR(F10*(0.0000000000000028)*up_RadSpec!$AY10*up_RadSpec!$AF10,0)</f>
        <v>3.6660879305205586E-13</v>
      </c>
      <c r="H10" s="114">
        <f>IFERROR((E10*0.001*(up_RadSpec!AU10+(s_θw/s_ρb))*1),".")</f>
        <v>6.0140503209310907E-6</v>
      </c>
      <c r="I10" s="189">
        <f>IFERROR(H10*(0.0000000000000028)*up_RadSpec!$AY10*up_RadSpec!$AF10,0)</f>
        <v>1.1534948515545833E-17</v>
      </c>
      <c r="J10" s="114">
        <f t="shared" si="0"/>
        <v>0.12742745674384981</v>
      </c>
      <c r="K10" s="189">
        <f>IFERROR(J10*(0.0000000000000028)*up_RadSpec!$AY10*up_RadSpec!$AF10,0)</f>
        <v>2.4440586203470399E-13</v>
      </c>
      <c r="L10" s="114">
        <f t="shared" si="1"/>
        <v>4.0093668806207272E-6</v>
      </c>
      <c r="M10" s="189">
        <f>IFERROR(L10*(0.0000000000000028)*up_RadSpec!$AY10*up_RadSpec!$AF10,0)</f>
        <v>7.6899656770305551E-18</v>
      </c>
    </row>
    <row r="11" spans="1:13" x14ac:dyDescent="0.25">
      <c r="A11" s="44" t="s">
        <v>9</v>
      </c>
      <c r="B11" s="42" t="s">
        <v>1057</v>
      </c>
      <c r="C11" s="42"/>
      <c r="D11" s="114">
        <f>IF(up_RadSpec!AX11*s_DAF=0,".",up_RadSpec!AX11*s_DAF)</f>
        <v>36.407844783957088</v>
      </c>
      <c r="E11" s="114">
        <f>IFERROR(up_res!AP11*s_DAF,".")</f>
        <v>1.1455333944630649E-3</v>
      </c>
      <c r="F11" s="114">
        <f>IFERROR((D11*0.001*(up_RadSpec!AU11+(s_θw/s_ρb))*1),".")</f>
        <v>0.19114118511577471</v>
      </c>
      <c r="G11" s="189">
        <f>IFERROR(F11*(0.0000000000000028)*up_RadSpec!$AY11*up_RadSpec!$AF11,0)</f>
        <v>5.9139082674820699E-13</v>
      </c>
      <c r="H11" s="114">
        <f>IFERROR((E11*0.001*(up_RadSpec!AU11+(s_θw/s_ρb))*1),".")</f>
        <v>6.0140503209310907E-6</v>
      </c>
      <c r="I11" s="189">
        <f>IFERROR(H11*(0.0000000000000028)*up_RadSpec!$AY11*up_RadSpec!$AF11,0)</f>
        <v>1.8607471692960798E-17</v>
      </c>
      <c r="J11" s="114">
        <f t="shared" si="0"/>
        <v>0.12742745674384981</v>
      </c>
      <c r="K11" s="189">
        <f>IFERROR(J11*(0.0000000000000028)*up_RadSpec!$AY11*up_RadSpec!$AF11,0)</f>
        <v>3.9426055116547137E-13</v>
      </c>
      <c r="L11" s="114">
        <f t="shared" si="1"/>
        <v>4.0093668806207272E-6</v>
      </c>
      <c r="M11" s="189">
        <f>IFERROR(L11*(0.0000000000000028)*up_RadSpec!$AY11*up_RadSpec!$AF11,0)</f>
        <v>1.2404981128640529E-17</v>
      </c>
    </row>
    <row r="12" spans="1:13" x14ac:dyDescent="0.25">
      <c r="A12" s="44" t="s">
        <v>10</v>
      </c>
      <c r="B12" s="42" t="s">
        <v>1057</v>
      </c>
      <c r="C12" s="238"/>
      <c r="D12" s="114">
        <f>IF(up_RadSpec!AX12*s_DAF=0,".",up_RadSpec!AX12*s_DAF)</f>
        <v>36.407844783957088</v>
      </c>
      <c r="E12" s="114">
        <f>IFERROR(up_res!AP12*s_DAF,".")</f>
        <v>1.1455333944630649E-3</v>
      </c>
      <c r="F12" s="114">
        <f>IFERROR((D12*0.001*(up_RadSpec!AU12+(s_θw/s_ρb))*1),".")</f>
        <v>0.19114118511577471</v>
      </c>
      <c r="G12" s="189">
        <f>IFERROR(F12*(0.0000000000000028)*up_RadSpec!$AY12*up_RadSpec!$AF12,0)</f>
        <v>5.5125117787389421E-13</v>
      </c>
      <c r="H12" s="114">
        <f>IFERROR((E12*0.001*(up_RadSpec!AU12+(s_θw/s_ρb))*1),".")</f>
        <v>6.0140503209310907E-6</v>
      </c>
      <c r="I12" s="189">
        <f>IFERROR(H12*(0.0000000000000028)*up_RadSpec!$AY12*up_RadSpec!$AF12,0)</f>
        <v>1.7344521125565267E-17</v>
      </c>
      <c r="J12" s="114">
        <f t="shared" si="0"/>
        <v>0.12742745674384981</v>
      </c>
      <c r="K12" s="189">
        <f>IFERROR(J12*(0.0000000000000028)*up_RadSpec!$AY12*up_RadSpec!$AF12,0)</f>
        <v>3.6750078524926291E-13</v>
      </c>
      <c r="L12" s="114">
        <f t="shared" si="1"/>
        <v>4.0093668806207272E-6</v>
      </c>
      <c r="M12" s="189">
        <f>IFERROR(L12*(0.0000000000000028)*up_RadSpec!$AY12*up_RadSpec!$AF12,0)</f>
        <v>1.1563014083710177E-17</v>
      </c>
    </row>
    <row r="13" spans="1:13" x14ac:dyDescent="0.25">
      <c r="A13" s="44" t="s">
        <v>11</v>
      </c>
      <c r="B13" s="42" t="s">
        <v>1057</v>
      </c>
      <c r="C13" s="42"/>
      <c r="D13" s="114">
        <f>IF(up_RadSpec!AX13*s_DAF=0,".",up_RadSpec!AX13*s_DAF)</f>
        <v>36.407844783957088</v>
      </c>
      <c r="E13" s="114">
        <f>IFERROR(up_res!AP13*s_DAF,".")</f>
        <v>1.1455333944630649E-3</v>
      </c>
      <c r="F13" s="114">
        <f>IFERROR((D13*0.001*(up_RadSpec!AU13+(s_θw/s_ρb))*1),".")</f>
        <v>0.19114118511577471</v>
      </c>
      <c r="G13" s="189">
        <f>IFERROR(F13*(0.0000000000000028)*up_RadSpec!$AY13*up_RadSpec!$AF13,0)</f>
        <v>6.3420645221414051E-13</v>
      </c>
      <c r="H13" s="114">
        <f>IFERROR((E13*0.001*(up_RadSpec!AU13+(s_θw/s_ρb))*1),".")</f>
        <v>6.0140503209310907E-6</v>
      </c>
      <c r="I13" s="189">
        <f>IFERROR(H13*(0.0000000000000028)*up_RadSpec!$AY13*up_RadSpec!$AF13,0)</f>
        <v>1.9954618964849358E-17</v>
      </c>
      <c r="J13" s="114">
        <f t="shared" si="0"/>
        <v>0.12742745674384981</v>
      </c>
      <c r="K13" s="189">
        <f>IFERROR(J13*(0.0000000000000028)*up_RadSpec!$AY13*up_RadSpec!$AF13,0)</f>
        <v>4.2280430147609369E-13</v>
      </c>
      <c r="L13" s="114">
        <f t="shared" si="1"/>
        <v>4.0093668806207272E-6</v>
      </c>
      <c r="M13" s="189">
        <f>IFERROR(L13*(0.0000000000000028)*up_RadSpec!$AY13*up_RadSpec!$AF13,0)</f>
        <v>1.3303079309899572E-17</v>
      </c>
    </row>
    <row r="14" spans="1:13" x14ac:dyDescent="0.25">
      <c r="A14" s="44" t="s">
        <v>12</v>
      </c>
      <c r="B14" s="42" t="s">
        <v>1057</v>
      </c>
      <c r="C14" s="42"/>
      <c r="D14" s="114">
        <f>IF(up_RadSpec!AX14*s_DAF=0,".",up_RadSpec!AX14*s_DAF)</f>
        <v>36.407844783957088</v>
      </c>
      <c r="E14" s="114">
        <f>IFERROR(up_res!AP14*s_DAF,".")</f>
        <v>1.1455333944630649E-3</v>
      </c>
      <c r="F14" s="114">
        <f>IFERROR((D14*0.001*(up_RadSpec!AU14+(s_θw/s_ρb))*1),".")</f>
        <v>0.19114118511577471</v>
      </c>
      <c r="G14" s="189">
        <f>IFERROR(F14*(0.0000000000000028)*up_RadSpec!$AY14*up_RadSpec!$AF14,0)</f>
        <v>6.235025458476571E-13</v>
      </c>
      <c r="H14" s="114">
        <f>IFERROR((E14*0.001*(up_RadSpec!AU14+(s_θw/s_ρb))*1),".")</f>
        <v>6.0140503209310907E-6</v>
      </c>
      <c r="I14" s="189">
        <f>IFERROR(H14*(0.0000000000000028)*up_RadSpec!$AY14*up_RadSpec!$AF14,0)</f>
        <v>1.961783214687722E-17</v>
      </c>
      <c r="J14" s="114">
        <f t="shared" si="0"/>
        <v>0.12742745674384981</v>
      </c>
      <c r="K14" s="189">
        <f>IFERROR(J14*(0.0000000000000028)*up_RadSpec!$AY14*up_RadSpec!$AF14,0)</f>
        <v>4.1566836389843814E-13</v>
      </c>
      <c r="L14" s="114">
        <f t="shared" si="1"/>
        <v>4.0093668806207272E-6</v>
      </c>
      <c r="M14" s="189">
        <f>IFERROR(L14*(0.0000000000000028)*up_RadSpec!$AY14*up_RadSpec!$AF14,0)</f>
        <v>1.3078554764584812E-17</v>
      </c>
    </row>
    <row r="15" spans="1:13" x14ac:dyDescent="0.25">
      <c r="A15" s="44" t="s">
        <v>13</v>
      </c>
      <c r="B15" s="42" t="s">
        <v>1057</v>
      </c>
      <c r="C15" s="42"/>
      <c r="D15" s="114">
        <f>IF(up_RadSpec!AX15*s_DAF=0,".",up_RadSpec!AX15*s_DAF)</f>
        <v>36.407844783957088</v>
      </c>
      <c r="E15" s="114">
        <f>IFERROR(up_res!AP15*s_DAF,".")</f>
        <v>1.1455333944630649E-3</v>
      </c>
      <c r="F15" s="114">
        <f>IFERROR((D15*0.001*(up_RadSpec!AU15+(s_θw/s_ρb))*1),".")</f>
        <v>0.19114118511577471</v>
      </c>
      <c r="G15" s="189">
        <f>IFERROR(F15*(0.0000000000000028)*up_RadSpec!$AY15*up_RadSpec!$AF15,0)</f>
        <v>5.5927910764875687E-13</v>
      </c>
      <c r="H15" s="114">
        <f>IFERROR((E15*0.001*(up_RadSpec!AU15+(s_θw/s_ρb))*1),".")</f>
        <v>6.0140503209310907E-6</v>
      </c>
      <c r="I15" s="189">
        <f>IFERROR(H15*(0.0000000000000028)*up_RadSpec!$AY15*up_RadSpec!$AF15,0)</f>
        <v>1.7597111239044372E-17</v>
      </c>
      <c r="J15" s="114">
        <f t="shared" si="0"/>
        <v>0.12742745674384981</v>
      </c>
      <c r="K15" s="189">
        <f>IFERROR(J15*(0.0000000000000028)*up_RadSpec!$AY15*up_RadSpec!$AF15,0)</f>
        <v>3.7285273843250456E-13</v>
      </c>
      <c r="L15" s="114">
        <f t="shared" si="1"/>
        <v>4.0093668806207272E-6</v>
      </c>
      <c r="M15" s="189">
        <f>IFERROR(L15*(0.0000000000000028)*up_RadSpec!$AY15*up_RadSpec!$AF15,0)</f>
        <v>1.1731407492696249E-17</v>
      </c>
    </row>
    <row r="16" spans="1:13" x14ac:dyDescent="0.25">
      <c r="A16" s="44" t="s">
        <v>14</v>
      </c>
      <c r="B16" s="42" t="s">
        <v>1057</v>
      </c>
      <c r="C16" s="238"/>
      <c r="D16" s="114">
        <f>IF(up_RadSpec!AX16*s_DAF=0,".",up_RadSpec!AX16*s_DAF)</f>
        <v>36.407844783957088</v>
      </c>
      <c r="E16" s="114">
        <f>IFERROR(up_res!AP16*s_DAF,".")</f>
        <v>1.1455333944630649E-3</v>
      </c>
      <c r="F16" s="114">
        <f>IFERROR((D16*0.001*(up_RadSpec!AU16+(s_θw/s_ρb))*1),".")</f>
        <v>0.19114118511577471</v>
      </c>
      <c r="G16" s="189">
        <f>IFERROR(F16*(0.0000000000000028)*up_RadSpec!$AY16*up_RadSpec!$AF16,0)</f>
        <v>5.6195508424037762E-13</v>
      </c>
      <c r="H16" s="114">
        <f>IFERROR((E16*0.001*(up_RadSpec!AU16+(s_θw/s_ρb))*1),".")</f>
        <v>6.0140503209310907E-6</v>
      </c>
      <c r="I16" s="189">
        <f>IFERROR(H16*(0.0000000000000028)*up_RadSpec!$AY16*up_RadSpec!$AF16,0)</f>
        <v>1.7681307943537408E-17</v>
      </c>
      <c r="J16" s="114">
        <f t="shared" si="0"/>
        <v>0.12742745674384981</v>
      </c>
      <c r="K16" s="189">
        <f>IFERROR(J16*(0.0000000000000028)*up_RadSpec!$AY16*up_RadSpec!$AF16,0)</f>
        <v>3.7463672282691846E-13</v>
      </c>
      <c r="L16" s="114">
        <f t="shared" si="1"/>
        <v>4.0093668806207272E-6</v>
      </c>
      <c r="M16" s="189">
        <f>IFERROR(L16*(0.0000000000000028)*up_RadSpec!$AY16*up_RadSpec!$AF16,0)</f>
        <v>1.1787538629024938E-17</v>
      </c>
    </row>
    <row r="17" spans="1:13" x14ac:dyDescent="0.25">
      <c r="A17" s="44" t="s">
        <v>15</v>
      </c>
      <c r="B17" s="42" t="s">
        <v>1057</v>
      </c>
      <c r="C17" s="238"/>
      <c r="D17" s="114">
        <f>IF(up_RadSpec!AX17*s_DAF=0,".",up_RadSpec!AX17*s_DAF)</f>
        <v>36.407844783957088</v>
      </c>
      <c r="E17" s="114">
        <f>IFERROR(up_res!AP17*s_DAF,".")</f>
        <v>1.1439766946950399E-3</v>
      </c>
      <c r="F17" s="114">
        <f>IFERROR((D17*0.001*(up_RadSpec!AU17+(s_θw/s_ρb))*1),".")</f>
        <v>0.19114118511577471</v>
      </c>
      <c r="G17" s="189">
        <f>IFERROR(F17*(0.0000000000000028)*up_RadSpec!$AY17*up_RadSpec!$AF17,0)</f>
        <v>5.7265899060686102E-13</v>
      </c>
      <c r="H17" s="114">
        <f>IFERROR((E17*0.001*(up_RadSpec!AU17+(s_θw/s_ρb))*1),".")</f>
        <v>6.0058776471489604E-6</v>
      </c>
      <c r="I17" s="189">
        <f>IFERROR(H17*(0.0000000000000028)*up_RadSpec!$AY17*up_RadSpec!$AF17,0)</f>
        <v>1.7993609430858286E-17</v>
      </c>
      <c r="J17" s="114">
        <f t="shared" si="0"/>
        <v>0.12742745674384981</v>
      </c>
      <c r="K17" s="189">
        <f>IFERROR(J17*(0.0000000000000028)*up_RadSpec!$AY17*up_RadSpec!$AF17,0)</f>
        <v>3.8177266040457407E-13</v>
      </c>
      <c r="L17" s="114">
        <f t="shared" si="1"/>
        <v>4.0039184314326394E-6</v>
      </c>
      <c r="M17" s="189">
        <f>IFERROR(L17*(0.0000000000000028)*up_RadSpec!$AY17*up_RadSpec!$AF17,0)</f>
        <v>1.1995739620572188E-17</v>
      </c>
    </row>
    <row r="18" spans="1:13" x14ac:dyDescent="0.25">
      <c r="A18" s="44" t="s">
        <v>16</v>
      </c>
      <c r="B18" s="42" t="s">
        <v>1057</v>
      </c>
      <c r="C18" s="238"/>
      <c r="D18" s="114">
        <f>IF(up_RadSpec!AX18*s_DAF=0,".",up_RadSpec!AX18*s_DAF)</f>
        <v>36.407844783957088</v>
      </c>
      <c r="E18" s="114">
        <f>IFERROR(up_res!AP18*s_DAF,".")</f>
        <v>1.1455333944630649E-3</v>
      </c>
      <c r="F18" s="114">
        <f>IFERROR((D18*0.001*(up_RadSpec!AU18+(s_θw/s_ρb))*1),".")</f>
        <v>0.19114118511577471</v>
      </c>
      <c r="G18" s="189">
        <f>IFERROR(F18*(0.0000000000000028)*up_RadSpec!$AY18*up_RadSpec!$AF18,0)</f>
        <v>5.6195508424037762E-13</v>
      </c>
      <c r="H18" s="114">
        <f>IFERROR((E18*0.001*(up_RadSpec!AU18+(s_θw/s_ρb))*1),".")</f>
        <v>6.0140503209310907E-6</v>
      </c>
      <c r="I18" s="189">
        <f>IFERROR(H18*(0.0000000000000028)*up_RadSpec!$AY18*up_RadSpec!$AF18,0)</f>
        <v>1.7681307943537408E-17</v>
      </c>
      <c r="J18" s="114">
        <f t="shared" si="0"/>
        <v>0.12742745674384981</v>
      </c>
      <c r="K18" s="189">
        <f>IFERROR(J18*(0.0000000000000028)*up_RadSpec!$AY18*up_RadSpec!$AF18,0)</f>
        <v>3.7463672282691846E-13</v>
      </c>
      <c r="L18" s="114">
        <f t="shared" si="1"/>
        <v>4.0093668806207272E-6</v>
      </c>
      <c r="M18" s="189">
        <f>IFERROR(L18*(0.0000000000000028)*up_RadSpec!$AY18*up_RadSpec!$AF18,0)</f>
        <v>1.1787538629024938E-17</v>
      </c>
    </row>
    <row r="19" spans="1:13" x14ac:dyDescent="0.25">
      <c r="A19" s="44" t="s">
        <v>17</v>
      </c>
      <c r="B19" s="42" t="s">
        <v>1057</v>
      </c>
      <c r="C19" s="42"/>
      <c r="D19" s="114">
        <f>IF(up_RadSpec!AX19*s_DAF=0,".",up_RadSpec!AX19*s_DAF)</f>
        <v>36.407844783957088</v>
      </c>
      <c r="E19" s="114">
        <f>IFERROR(up_res!AP19*s_DAF,".")</f>
        <v>1.1455333944630649E-3</v>
      </c>
      <c r="F19" s="114">
        <f>IFERROR((D19*0.001*(up_RadSpec!AU19+(s_θw/s_ρb))*1),".")</f>
        <v>0.19114118511577471</v>
      </c>
      <c r="G19" s="189">
        <f>IFERROR(F19*(0.0000000000000028)*up_RadSpec!$AY19*up_RadSpec!$AF19,0)</f>
        <v>5.6998301401524027E-13</v>
      </c>
      <c r="H19" s="114">
        <f>IFERROR((E19*0.001*(up_RadSpec!AU19+(s_θw/s_ρb))*1),".")</f>
        <v>6.0140503209310907E-6</v>
      </c>
      <c r="I19" s="189">
        <f>IFERROR(H19*(0.0000000000000028)*up_RadSpec!$AY19*up_RadSpec!$AF19,0)</f>
        <v>1.7933898057016516E-17</v>
      </c>
      <c r="J19" s="114">
        <f t="shared" si="0"/>
        <v>0.12742745674384981</v>
      </c>
      <c r="K19" s="189">
        <f>IFERROR(J19*(0.0000000000000028)*up_RadSpec!$AY19*up_RadSpec!$AF19,0)</f>
        <v>3.7998867601016022E-13</v>
      </c>
      <c r="L19" s="114">
        <f t="shared" si="1"/>
        <v>4.0093668806207272E-6</v>
      </c>
      <c r="M19" s="189">
        <f>IFERROR(L19*(0.0000000000000028)*up_RadSpec!$AY19*up_RadSpec!$AF19,0)</f>
        <v>1.195593203801101E-17</v>
      </c>
    </row>
    <row r="20" spans="1:13" x14ac:dyDescent="0.25">
      <c r="A20" s="44" t="s">
        <v>18</v>
      </c>
      <c r="B20" s="42" t="s">
        <v>1057</v>
      </c>
      <c r="C20" s="238"/>
      <c r="D20" s="114">
        <f>IF(up_RadSpec!AX20*s_DAF=0,".",up_RadSpec!AX20*s_DAF)</f>
        <v>36.407844783957088</v>
      </c>
      <c r="E20" s="114">
        <f>IFERROR(up_res!AP20*s_DAF,".")</f>
        <v>1.1450736977481127E-3</v>
      </c>
      <c r="F20" s="114">
        <f>IFERROR((D20*0.001*(up_RadSpec!AU20+(s_θw/s_ρb))*1),".")</f>
        <v>0.19114118511577471</v>
      </c>
      <c r="G20" s="189">
        <f>IFERROR(F20*(0.0000000000000028)*up_RadSpec!$AY20*up_RadSpec!$AF20,0)</f>
        <v>5.7265899060686102E-13</v>
      </c>
      <c r="H20" s="114">
        <f>IFERROR((E20*0.001*(up_RadSpec!AU20+(s_θw/s_ρb))*1),".")</f>
        <v>6.0116369131775912E-6</v>
      </c>
      <c r="I20" s="189">
        <f>IFERROR(H20*(0.0000000000000028)*up_RadSpec!$AY20*up_RadSpec!$AF20,0)</f>
        <v>1.8010864191880067E-17</v>
      </c>
      <c r="J20" s="114">
        <f t="shared" si="0"/>
        <v>0.12742745674384981</v>
      </c>
      <c r="K20" s="189">
        <f>IFERROR(J20*(0.0000000000000028)*up_RadSpec!$AY20*up_RadSpec!$AF20,0)</f>
        <v>3.8177266040457407E-13</v>
      </c>
      <c r="L20" s="114">
        <f t="shared" si="1"/>
        <v>4.0077579421183941E-6</v>
      </c>
      <c r="M20" s="189">
        <f>IFERROR(L20*(0.0000000000000028)*up_RadSpec!$AY20*up_RadSpec!$AF20,0)</f>
        <v>1.200724279458671E-17</v>
      </c>
    </row>
    <row r="21" spans="1:13" x14ac:dyDescent="0.25">
      <c r="A21" s="44" t="s">
        <v>19</v>
      </c>
      <c r="B21" s="42" t="s">
        <v>1057</v>
      </c>
      <c r="C21" s="238"/>
      <c r="D21" s="114">
        <f>IF(up_RadSpec!AX21*s_DAF=0,".",up_RadSpec!AX21*s_DAF)</f>
        <v>36.407844783957088</v>
      </c>
      <c r="E21" s="114">
        <f>IFERROR(up_res!AP21*s_DAF,".")</f>
        <v>1.1389896304396512E-3</v>
      </c>
      <c r="F21" s="114">
        <f>IFERROR((D21*0.001*(up_RadSpec!AU21+(s_θw/s_ρb))*1),".")</f>
        <v>0.19114118511577471</v>
      </c>
      <c r="G21" s="189">
        <f>IFERROR(F21*(0.0000000000000028)*up_RadSpec!$AY21*up_RadSpec!$AF21,0)</f>
        <v>5.8336289697334433E-13</v>
      </c>
      <c r="H21" s="114">
        <f>IFERROR((E21*0.001*(up_RadSpec!AU21+(s_θw/s_ρb))*1),".")</f>
        <v>5.9796955598081696E-6</v>
      </c>
      <c r="I21" s="189">
        <f>IFERROR(H21*(0.0000000000000028)*up_RadSpec!$AY21*up_RadSpec!$AF21,0)</f>
        <v>1.8250030848534536E-17</v>
      </c>
      <c r="J21" s="114">
        <f t="shared" si="0"/>
        <v>0.12742745674384981</v>
      </c>
      <c r="K21" s="189">
        <f>IFERROR(J21*(0.0000000000000028)*up_RadSpec!$AY21*up_RadSpec!$AF21,0)</f>
        <v>3.8890859798222972E-13</v>
      </c>
      <c r="L21" s="114">
        <f t="shared" si="1"/>
        <v>3.9864637065387792E-6</v>
      </c>
      <c r="M21" s="189">
        <f>IFERROR(L21*(0.0000000000000028)*up_RadSpec!$AY21*up_RadSpec!$AF21,0)</f>
        <v>1.2166687232356353E-17</v>
      </c>
    </row>
    <row r="22" spans="1:13" x14ac:dyDescent="0.25">
      <c r="A22" s="44" t="s">
        <v>20</v>
      </c>
      <c r="B22" s="42" t="s">
        <v>1057</v>
      </c>
      <c r="C22" s="42"/>
      <c r="D22" s="114">
        <f>IF(up_RadSpec!AX22*s_DAF=0,".",up_RadSpec!AX22*s_DAF)</f>
        <v>36.407844783957088</v>
      </c>
      <c r="E22" s="114">
        <f>IFERROR(up_res!AP22*s_DAF,".")</f>
        <v>1.1455333944630649E-3</v>
      </c>
      <c r="F22" s="114">
        <f>IFERROR((D22*0.001*(up_RadSpec!AU22+(s_θw/s_ρb))*1),".")</f>
        <v>0.19114118511577471</v>
      </c>
      <c r="G22" s="189">
        <f>IFERROR(F22*(0.0000000000000028)*up_RadSpec!$AY22*up_RadSpec!$AF22,0)</f>
        <v>6.0209473311469029E-13</v>
      </c>
      <c r="H22" s="114">
        <f>IFERROR((E22*0.001*(up_RadSpec!AU22+(s_θw/s_ρb))*1),".")</f>
        <v>6.0140503209310907E-6</v>
      </c>
      <c r="I22" s="189">
        <f>IFERROR(H22*(0.0000000000000028)*up_RadSpec!$AY22*up_RadSpec!$AF22,0)</f>
        <v>1.8944258510932938E-17</v>
      </c>
      <c r="J22" s="114">
        <f t="shared" si="0"/>
        <v>0.12742745674384981</v>
      </c>
      <c r="K22" s="189">
        <f>IFERROR(J22*(0.0000000000000028)*up_RadSpec!$AY22*up_RadSpec!$AF22,0)</f>
        <v>4.0139648874312698E-13</v>
      </c>
      <c r="L22" s="114">
        <f t="shared" si="1"/>
        <v>4.0093668806207272E-6</v>
      </c>
      <c r="M22" s="189">
        <f>IFERROR(L22*(0.0000000000000028)*up_RadSpec!$AY22*up_RadSpec!$AF22,0)</f>
        <v>1.2629505673955291E-17</v>
      </c>
    </row>
    <row r="23" spans="1:13" x14ac:dyDescent="0.25">
      <c r="A23" s="46" t="s">
        <v>21</v>
      </c>
      <c r="B23" s="42" t="s">
        <v>335</v>
      </c>
      <c r="C23" s="238"/>
      <c r="D23" s="114">
        <f>IF(up_RadSpec!AX23*s_DAF=0,".",up_RadSpec!AX23*s_DAF)</f>
        <v>36.407844783957088</v>
      </c>
      <c r="E23" s="114">
        <f>IFERROR(up_res!AP23*s_DAF,".")</f>
        <v>1.1455333944630649E-3</v>
      </c>
      <c r="F23" s="114">
        <f>IFERROR((D23*0.001*(up_RadSpec!AU23+(s_θw/s_ρb))*1),".")</f>
        <v>0.19114118511577471</v>
      </c>
      <c r="G23" s="189">
        <f>IFERROR(F23*(0.0000000000000028)*up_RadSpec!$AY23*up_RadSpec!$AF23,0)</f>
        <v>6.0477070970631114E-13</v>
      </c>
      <c r="H23" s="114">
        <f>IFERROR((E23*0.001*(up_RadSpec!AU23+(s_θw/s_ρb))*1),".")</f>
        <v>6.0140503209310907E-6</v>
      </c>
      <c r="I23" s="189">
        <f>IFERROR(H23*(0.0000000000000028)*up_RadSpec!$AY23*up_RadSpec!$AF23,0)</f>
        <v>1.9028455215425974E-17</v>
      </c>
      <c r="J23" s="114">
        <f t="shared" si="0"/>
        <v>0.12742745674384981</v>
      </c>
      <c r="K23" s="189">
        <f>IFERROR(J23*(0.0000000000000028)*up_RadSpec!$AY23*up_RadSpec!$AF23,0)</f>
        <v>4.0318047313754088E-13</v>
      </c>
      <c r="L23" s="114">
        <f t="shared" si="1"/>
        <v>4.0093668806207272E-6</v>
      </c>
      <c r="M23" s="189">
        <f>IFERROR(L23*(0.0000000000000028)*up_RadSpec!$AY23*up_RadSpec!$AF23,0)</f>
        <v>1.2685636810283981E-17</v>
      </c>
    </row>
    <row r="24" spans="1:13" x14ac:dyDescent="0.25">
      <c r="A24" s="44" t="s">
        <v>22</v>
      </c>
      <c r="B24" s="42" t="s">
        <v>1057</v>
      </c>
      <c r="C24" s="238"/>
      <c r="D24" s="114">
        <f>IF(up_RadSpec!AX24*s_DAF=0,".",up_RadSpec!AX24*s_DAF)</f>
        <v>36.407844783957088</v>
      </c>
      <c r="E24" s="114">
        <f>IFERROR(up_res!AP24*s_DAF,".")</f>
        <v>1.1455333931508281E-3</v>
      </c>
      <c r="F24" s="114">
        <f>IFERROR((D24*0.001*(up_RadSpec!AU24+(s_θw/s_ρb))*1),".")</f>
        <v>0.19114118511577471</v>
      </c>
      <c r="G24" s="189">
        <f>IFERROR(F24*(0.0000000000000028)*up_RadSpec!$AY24*up_RadSpec!$AF24,0)</f>
        <v>5.8336289697334433E-13</v>
      </c>
      <c r="H24" s="114">
        <f>IFERROR((E24*0.001*(up_RadSpec!AU24+(s_θw/s_ρb))*1),".")</f>
        <v>6.0140503140418482E-6</v>
      </c>
      <c r="I24" s="189">
        <f>IFERROR(H24*(0.0000000000000028)*up_RadSpec!$AY24*up_RadSpec!$AF24,0)</f>
        <v>1.8354881558455721E-17</v>
      </c>
      <c r="J24" s="114">
        <f t="shared" si="0"/>
        <v>0.12742745674384981</v>
      </c>
      <c r="K24" s="189">
        <f>IFERROR(J24*(0.0000000000000028)*up_RadSpec!$AY24*up_RadSpec!$AF24,0)</f>
        <v>3.8890859798222972E-13</v>
      </c>
      <c r="L24" s="114">
        <f t="shared" si="1"/>
        <v>4.0093668760278985E-6</v>
      </c>
      <c r="M24" s="189">
        <f>IFERROR(L24*(0.0000000000000028)*up_RadSpec!$AY24*up_RadSpec!$AF24,0)</f>
        <v>1.2236587705637146E-17</v>
      </c>
    </row>
    <row r="25" spans="1:13" x14ac:dyDescent="0.25">
      <c r="A25" s="46" t="s">
        <v>23</v>
      </c>
      <c r="B25" s="42" t="s">
        <v>335</v>
      </c>
      <c r="C25" s="238"/>
      <c r="D25" s="114">
        <f>IF(up_RadSpec!AX25*s_DAF=0,".",up_RadSpec!AX25*s_DAF)</f>
        <v>36.407844783957088</v>
      </c>
      <c r="E25" s="114">
        <f>IFERROR(up_res!AP25*s_DAF,".")</f>
        <v>1.1365698776210009E-3</v>
      </c>
      <c r="F25" s="114">
        <f>IFERROR((D25*0.001*(up_RadSpec!AU25+(s_θw/s_ρb))*1),".")</f>
        <v>0.19114118511577471</v>
      </c>
      <c r="G25" s="189">
        <f>IFERROR(F25*(0.0000000000000028)*up_RadSpec!$AY25*up_RadSpec!$AF25,0)</f>
        <v>5.9406680333982784E-13</v>
      </c>
      <c r="H25" s="114">
        <f>IFERROR((E25*0.001*(up_RadSpec!AU25+(s_θw/s_ρb))*1),".")</f>
        <v>5.9669918575102546E-6</v>
      </c>
      <c r="I25" s="189">
        <f>IFERROR(H25*(0.0000000000000028)*up_RadSpec!$AY25*up_RadSpec!$AF25,0)</f>
        <v>1.8545410693141871E-17</v>
      </c>
      <c r="J25" s="114">
        <f t="shared" si="0"/>
        <v>0.12742745674384981</v>
      </c>
      <c r="K25" s="189">
        <f>IFERROR(J25*(0.0000000000000028)*up_RadSpec!$AY25*up_RadSpec!$AF25,0)</f>
        <v>3.9604453555988522E-13</v>
      </c>
      <c r="L25" s="114">
        <f t="shared" si="1"/>
        <v>3.9779945716735028E-6</v>
      </c>
      <c r="M25" s="189">
        <f>IFERROR(L25*(0.0000000000000028)*up_RadSpec!$AY25*up_RadSpec!$AF25,0)</f>
        <v>1.2363607128761247E-17</v>
      </c>
    </row>
    <row r="26" spans="1:13" x14ac:dyDescent="0.25">
      <c r="A26" s="44" t="s">
        <v>24</v>
      </c>
      <c r="B26" s="42" t="s">
        <v>1057</v>
      </c>
      <c r="C26" s="42"/>
      <c r="D26" s="114">
        <f>IF(up_RadSpec!AX26*s_DAF=0,".",up_RadSpec!AX26*s_DAF)</f>
        <v>36.407844783957088</v>
      </c>
      <c r="E26" s="114">
        <f>IFERROR(up_res!AP26*s_DAF,".")</f>
        <v>1.1455333944630649E-3</v>
      </c>
      <c r="F26" s="114">
        <f>IFERROR((D26*0.001*(up_RadSpec!AU26+(s_θw/s_ρb))*1),".")</f>
        <v>0.19114118511577471</v>
      </c>
      <c r="G26" s="189">
        <f>IFERROR(F26*(0.0000000000000028)*up_RadSpec!$AY26*up_RadSpec!$AF26,0)</f>
        <v>6.127986394811737E-13</v>
      </c>
      <c r="H26" s="114">
        <f>IFERROR((E26*0.001*(up_RadSpec!AU26+(s_θw/s_ρb))*1),".")</f>
        <v>6.0140503209310907E-6</v>
      </c>
      <c r="I26" s="189">
        <f>IFERROR(H26*(0.0000000000000028)*up_RadSpec!$AY26*up_RadSpec!$AF26,0)</f>
        <v>1.9281045328905076E-17</v>
      </c>
      <c r="J26" s="114">
        <f t="shared" si="0"/>
        <v>0.12742745674384981</v>
      </c>
      <c r="K26" s="189">
        <f>IFERROR(J26*(0.0000000000000028)*up_RadSpec!$AY26*up_RadSpec!$AF26,0)</f>
        <v>4.0853242632078253E-13</v>
      </c>
      <c r="L26" s="114">
        <f t="shared" si="1"/>
        <v>4.0093668806207272E-6</v>
      </c>
      <c r="M26" s="189">
        <f>IFERROR(L26*(0.0000000000000028)*up_RadSpec!$AY26*up_RadSpec!$AF26,0)</f>
        <v>1.2854030219270052E-17</v>
      </c>
    </row>
    <row r="27" spans="1:13" x14ac:dyDescent="0.25">
      <c r="A27" s="44" t="s">
        <v>25</v>
      </c>
      <c r="B27" s="42" t="s">
        <v>1057</v>
      </c>
      <c r="C27" s="238"/>
      <c r="D27" s="114">
        <f>IF(up_RadSpec!AX27*s_DAF=0,".",up_RadSpec!AX27*s_DAF)</f>
        <v>36.407844783957088</v>
      </c>
      <c r="E27" s="114">
        <f>IFERROR(up_res!AP27*s_DAF,".")</f>
        <v>1.1455333944630649E-3</v>
      </c>
      <c r="F27" s="114">
        <f>IFERROR((D27*0.001*(up_RadSpec!AU27+(s_θw/s_ρb))*1),".")</f>
        <v>0.19114118511577471</v>
      </c>
      <c r="G27" s="189">
        <f>IFERROR(F27*(0.0000000000000028)*up_RadSpec!$AY27*up_RadSpec!$AF27,0)</f>
        <v>5.5125117787389421E-13</v>
      </c>
      <c r="H27" s="114">
        <f>IFERROR((E27*0.001*(up_RadSpec!AU27+(s_θw/s_ρb))*1),".")</f>
        <v>6.0140503209310907E-6</v>
      </c>
      <c r="I27" s="189">
        <f>IFERROR(H27*(0.0000000000000028)*up_RadSpec!$AY27*up_RadSpec!$AF27,0)</f>
        <v>1.7344521125565267E-17</v>
      </c>
      <c r="J27" s="114">
        <f t="shared" si="0"/>
        <v>0.12742745674384981</v>
      </c>
      <c r="K27" s="189">
        <f>IFERROR(J27*(0.0000000000000028)*up_RadSpec!$AY27*up_RadSpec!$AF27,0)</f>
        <v>3.6750078524926291E-13</v>
      </c>
      <c r="L27" s="114">
        <f t="shared" si="1"/>
        <v>4.0093668806207272E-6</v>
      </c>
      <c r="M27" s="189">
        <f>IFERROR(L27*(0.0000000000000028)*up_RadSpec!$AY27*up_RadSpec!$AF27,0)</f>
        <v>1.1563014083710177E-17</v>
      </c>
    </row>
    <row r="28" spans="1:13" x14ac:dyDescent="0.25">
      <c r="A28" s="44" t="s">
        <v>26</v>
      </c>
      <c r="B28" s="42" t="s">
        <v>1057</v>
      </c>
      <c r="C28" s="42"/>
      <c r="D28" s="114">
        <f>IF(up_RadSpec!AX28*s_DAF=0,".",up_RadSpec!AX28*s_DAF)</f>
        <v>36.407844783957088</v>
      </c>
      <c r="E28" s="114">
        <f>IFERROR(up_res!AP28*s_DAF,".")</f>
        <v>1.1455333944630649E-3</v>
      </c>
      <c r="F28" s="114">
        <f>IFERROR((D28*0.001*(up_RadSpec!AU28+(s_θw/s_ρb))*1),".")</f>
        <v>0.19114118511577471</v>
      </c>
      <c r="G28" s="189">
        <f>IFERROR(F28*(0.0000000000000028)*up_RadSpec!$AY28*up_RadSpec!$AF28,0)</f>
        <v>5.5927910764875687E-13</v>
      </c>
      <c r="H28" s="114">
        <f>IFERROR((E28*0.001*(up_RadSpec!AU28+(s_θw/s_ρb))*1),".")</f>
        <v>6.0140503209310907E-6</v>
      </c>
      <c r="I28" s="189">
        <f>IFERROR(H28*(0.0000000000000028)*up_RadSpec!$AY28*up_RadSpec!$AF28,0)</f>
        <v>1.7597111239044372E-17</v>
      </c>
      <c r="J28" s="114">
        <f t="shared" si="0"/>
        <v>0.12742745674384981</v>
      </c>
      <c r="K28" s="189">
        <f>IFERROR(J28*(0.0000000000000028)*up_RadSpec!$AY28*up_RadSpec!$AF28,0)</f>
        <v>3.7285273843250456E-13</v>
      </c>
      <c r="L28" s="114">
        <f t="shared" si="1"/>
        <v>4.0093668806207272E-6</v>
      </c>
      <c r="M28" s="189">
        <f>IFERROR(L28*(0.0000000000000028)*up_RadSpec!$AY28*up_RadSpec!$AF28,0)</f>
        <v>1.1731407492696249E-17</v>
      </c>
    </row>
    <row r="29" spans="1:13" x14ac:dyDescent="0.25">
      <c r="A29" s="44" t="s">
        <v>27</v>
      </c>
      <c r="B29" s="42" t="s">
        <v>1057</v>
      </c>
      <c r="C29" s="238"/>
      <c r="D29" s="114">
        <f>IF(up_RadSpec!AX29*s_DAF=0,".",up_RadSpec!AX29*s_DAF)</f>
        <v>36.407844783957088</v>
      </c>
      <c r="E29" s="114">
        <f>IFERROR(up_res!AP29*s_DAF,".")</f>
        <v>1.1455333109419148E-3</v>
      </c>
      <c r="F29" s="114">
        <f>IFERROR((D29*0.001*(up_RadSpec!AU29+(s_θw/s_ρb))*1),".")</f>
        <v>0.19114118511577471</v>
      </c>
      <c r="G29" s="189">
        <f>IFERROR(F29*(0.0000000000000028)*up_RadSpec!$AY29*up_RadSpec!$AF29,0)</f>
        <v>5.6195508424037762E-13</v>
      </c>
      <c r="H29" s="114">
        <f>IFERROR((E29*0.001*(up_RadSpec!AU29+(s_θw/s_ρb))*1),".")</f>
        <v>6.014049882445053E-6</v>
      </c>
      <c r="I29" s="189">
        <f>IFERROR(H29*(0.0000000000000028)*up_RadSpec!$AY29*up_RadSpec!$AF29,0)</f>
        <v>1.7681306654388457E-17</v>
      </c>
      <c r="J29" s="114">
        <f t="shared" si="0"/>
        <v>0.12742745674384981</v>
      </c>
      <c r="K29" s="189">
        <f>IFERROR(J29*(0.0000000000000028)*up_RadSpec!$AY29*up_RadSpec!$AF29,0)</f>
        <v>3.7463672282691846E-13</v>
      </c>
      <c r="L29" s="114">
        <f t="shared" si="1"/>
        <v>4.0093665882967017E-6</v>
      </c>
      <c r="M29" s="189">
        <f>IFERROR(L29*(0.0000000000000028)*up_RadSpec!$AY29*up_RadSpec!$AF29,0)</f>
        <v>1.1787537769592302E-17</v>
      </c>
    </row>
    <row r="30" spans="1:13" x14ac:dyDescent="0.25">
      <c r="A30" s="44" t="s">
        <v>28</v>
      </c>
      <c r="B30" s="42" t="s">
        <v>1057</v>
      </c>
      <c r="C30" s="42"/>
      <c r="D30" s="114">
        <f>IF(up_RadSpec!AX30*s_DAF=0,".",up_RadSpec!AX30*s_DAF)</f>
        <v>36.407844783957088</v>
      </c>
      <c r="E30" s="114">
        <f>IFERROR(up_res!AP30*s_DAF,".")</f>
        <v>1.1455333944630649E-3</v>
      </c>
      <c r="F30" s="114">
        <f>IFERROR((D30*0.001*(up_RadSpec!AU30+(s_θw/s_ρb))*1),".")</f>
        <v>0.19114118511577471</v>
      </c>
      <c r="G30" s="189">
        <f>IFERROR(F30*(0.0000000000000028)*up_RadSpec!$AY30*up_RadSpec!$AF30,0)</f>
        <v>6.235025458476571E-13</v>
      </c>
      <c r="H30" s="114">
        <f>IFERROR((E30*0.001*(up_RadSpec!AU30+(s_θw/s_ρb))*1),".")</f>
        <v>6.0140503209310907E-6</v>
      </c>
      <c r="I30" s="189">
        <f>IFERROR(H30*(0.0000000000000028)*up_RadSpec!$AY30*up_RadSpec!$AF30,0)</f>
        <v>1.961783214687722E-17</v>
      </c>
      <c r="J30" s="114">
        <f t="shared" si="0"/>
        <v>0.12742745674384981</v>
      </c>
      <c r="K30" s="189">
        <f>IFERROR(J30*(0.0000000000000028)*up_RadSpec!$AY30*up_RadSpec!$AF30,0)</f>
        <v>4.1566836389843814E-13</v>
      </c>
      <c r="L30" s="114">
        <f t="shared" si="1"/>
        <v>4.0093668806207272E-6</v>
      </c>
      <c r="M30" s="189">
        <f>IFERROR(L30*(0.0000000000000028)*up_RadSpec!$AY30*up_RadSpec!$AF30,0)</f>
        <v>1.3078554764584812E-17</v>
      </c>
    </row>
    <row r="31" spans="1:13" x14ac:dyDescent="0.25">
      <c r="A31" s="76" t="s">
        <v>1</v>
      </c>
      <c r="B31" s="76" t="s">
        <v>1057</v>
      </c>
      <c r="C31" s="57"/>
      <c r="D31" s="58">
        <f t="shared" ref="D31:L31" si="2">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3.0340780876723876</v>
      </c>
      <c r="E31" s="58">
        <f t="shared" si="2"/>
        <v>9.5463980124659172E-5</v>
      </c>
      <c r="F31" s="58">
        <f t="shared" si="2"/>
        <v>1.5928909960280034E-2</v>
      </c>
      <c r="G31" s="190">
        <f>F31*(0.0000000000000028)*up_RadSpec!$AY3*up_RadSpec!$AF3</f>
        <v>5.3744142205984834E-14</v>
      </c>
      <c r="H31" s="58">
        <f t="shared" si="2"/>
        <v>5.0118589565446037E-7</v>
      </c>
      <c r="I31" s="190">
        <f>H31*(0.0000000000000028)*up_RadSpec!$AY3*up_RadSpec!$AF3</f>
        <v>1.6910012119381493E-18</v>
      </c>
      <c r="J31" s="58">
        <f t="shared" si="2"/>
        <v>1.0619273306853355E-2</v>
      </c>
      <c r="K31" s="190">
        <f>J31*(0.0000000000000028)*up_RadSpec!$AY3*up_RadSpec!$AF3</f>
        <v>3.5829428137323221E-14</v>
      </c>
      <c r="L31" s="58">
        <f t="shared" si="2"/>
        <v>3.3412393043630703E-7</v>
      </c>
      <c r="M31" s="190">
        <f>L31*(0.0000000000000028)*up_RadSpec!$AY3*up_RadSpec!$AF3</f>
        <v>1.1273341412921001E-18</v>
      </c>
    </row>
    <row r="32" spans="1:13" x14ac:dyDescent="0.25">
      <c r="A32" s="77" t="s">
        <v>1085</v>
      </c>
      <c r="B32" s="42">
        <v>1</v>
      </c>
      <c r="C32" s="42"/>
      <c r="D32" s="60">
        <f t="shared" ref="D32:L32" si="3">IFERROR(D3/$B32,".")</f>
        <v>36.407844783957088</v>
      </c>
      <c r="E32" s="60">
        <f t="shared" si="3"/>
        <v>1.1455333944630649E-3</v>
      </c>
      <c r="F32" s="60">
        <f t="shared" si="3"/>
        <v>0.19114118511577471</v>
      </c>
      <c r="G32" s="189">
        <f t="shared" ref="G32" si="4">IFERROR(G3/$B32,0)</f>
        <v>6.4491035858062392E-13</v>
      </c>
      <c r="H32" s="60">
        <f t="shared" si="3"/>
        <v>6.0140503209310907E-6</v>
      </c>
      <c r="I32" s="189">
        <f t="shared" ref="I32" si="5">IFERROR(I3/$B32,0)</f>
        <v>2.0291405782821502E-17</v>
      </c>
      <c r="J32" s="60">
        <f t="shared" si="3"/>
        <v>0.12742745674384981</v>
      </c>
      <c r="K32" s="189">
        <f t="shared" ref="K32" si="6">IFERROR(K3/$B32,0)</f>
        <v>4.2994023905374934E-13</v>
      </c>
      <c r="L32" s="60">
        <f t="shared" si="3"/>
        <v>4.0093668806207272E-6</v>
      </c>
      <c r="M32" s="189">
        <f t="shared" ref="M32" si="7">IFERROR(M3/$B32,0)</f>
        <v>1.3527603855214334E-17</v>
      </c>
    </row>
    <row r="33" spans="1:13" x14ac:dyDescent="0.25">
      <c r="A33" s="77" t="s">
        <v>1061</v>
      </c>
      <c r="B33" s="42">
        <v>1</v>
      </c>
      <c r="C33" s="42"/>
      <c r="D33" s="60">
        <f t="shared" ref="D33:L34" si="8">IFERROR(D13/$B33,".")</f>
        <v>36.407844783957088</v>
      </c>
      <c r="E33" s="60">
        <f t="shared" si="8"/>
        <v>1.1455333944630649E-3</v>
      </c>
      <c r="F33" s="60">
        <f t="shared" si="8"/>
        <v>0.19114118511577471</v>
      </c>
      <c r="G33" s="189">
        <f t="shared" ref="G33:G34" si="9">IFERROR(G13/$B33,0)</f>
        <v>6.3420645221414051E-13</v>
      </c>
      <c r="H33" s="60">
        <f t="shared" si="8"/>
        <v>6.0140503209310907E-6</v>
      </c>
      <c r="I33" s="189">
        <f t="shared" ref="I33:I34" si="10">IFERROR(I13/$B33,0)</f>
        <v>1.9954618964849358E-17</v>
      </c>
      <c r="J33" s="60">
        <f t="shared" si="8"/>
        <v>0.12742745674384981</v>
      </c>
      <c r="K33" s="189">
        <f t="shared" ref="K33:K34" si="11">IFERROR(K13/$B33,0)</f>
        <v>4.2280430147609369E-13</v>
      </c>
      <c r="L33" s="60">
        <f t="shared" si="8"/>
        <v>4.0093668806207272E-6</v>
      </c>
      <c r="M33" s="189">
        <f t="shared" ref="M33:M34" si="12">IFERROR(M13/$B33,0)</f>
        <v>1.3303079309899572E-17</v>
      </c>
    </row>
    <row r="34" spans="1:13" x14ac:dyDescent="0.25">
      <c r="A34" s="77" t="s">
        <v>1062</v>
      </c>
      <c r="B34" s="42">
        <v>1</v>
      </c>
      <c r="C34" s="42"/>
      <c r="D34" s="60">
        <f t="shared" si="8"/>
        <v>36.407844783957088</v>
      </c>
      <c r="E34" s="60">
        <f t="shared" si="8"/>
        <v>1.1455333944630649E-3</v>
      </c>
      <c r="F34" s="60">
        <f t="shared" si="8"/>
        <v>0.19114118511577471</v>
      </c>
      <c r="G34" s="189">
        <f t="shared" si="9"/>
        <v>6.235025458476571E-13</v>
      </c>
      <c r="H34" s="60">
        <f t="shared" si="8"/>
        <v>6.0140503209310907E-6</v>
      </c>
      <c r="I34" s="189">
        <f t="shared" si="10"/>
        <v>1.961783214687722E-17</v>
      </c>
      <c r="J34" s="60">
        <f t="shared" si="8"/>
        <v>0.12742745674384981</v>
      </c>
      <c r="K34" s="189">
        <f t="shared" si="11"/>
        <v>4.1566836389843814E-13</v>
      </c>
      <c r="L34" s="60">
        <f t="shared" si="8"/>
        <v>4.0093668806207272E-6</v>
      </c>
      <c r="M34" s="189">
        <f t="shared" si="12"/>
        <v>1.3078554764584812E-17</v>
      </c>
    </row>
    <row r="35" spans="1:13" x14ac:dyDescent="0.25">
      <c r="A35" s="77" t="s">
        <v>1063</v>
      </c>
      <c r="B35" s="42">
        <v>1</v>
      </c>
      <c r="C35" s="42"/>
      <c r="D35" s="60">
        <f t="shared" ref="D35:L35" si="13">IFERROR(D30/$B35,".")</f>
        <v>36.407844783957088</v>
      </c>
      <c r="E35" s="60">
        <f t="shared" si="13"/>
        <v>1.1455333944630649E-3</v>
      </c>
      <c r="F35" s="60">
        <f t="shared" si="13"/>
        <v>0.19114118511577471</v>
      </c>
      <c r="G35" s="189">
        <f t="shared" ref="G35" si="14">IFERROR(G30/$B35,0)</f>
        <v>6.235025458476571E-13</v>
      </c>
      <c r="H35" s="60">
        <f t="shared" si="13"/>
        <v>6.0140503209310907E-6</v>
      </c>
      <c r="I35" s="189">
        <f t="shared" ref="I35" si="15">IFERROR(I30/$B35,0)</f>
        <v>1.961783214687722E-17</v>
      </c>
      <c r="J35" s="60">
        <f t="shared" si="13"/>
        <v>0.12742745674384981</v>
      </c>
      <c r="K35" s="189">
        <f t="shared" ref="K35" si="16">IFERROR(K30/$B35,0)</f>
        <v>4.1566836389843814E-13</v>
      </c>
      <c r="L35" s="60">
        <f t="shared" si="13"/>
        <v>4.0093668806207272E-6</v>
      </c>
      <c r="M35" s="189">
        <f t="shared" ref="M35" si="17">IFERROR(M30/$B35,0)</f>
        <v>1.3078554764584812E-17</v>
      </c>
    </row>
    <row r="36" spans="1:13" x14ac:dyDescent="0.25">
      <c r="A36" s="77" t="s">
        <v>1064</v>
      </c>
      <c r="B36" s="42">
        <v>1</v>
      </c>
      <c r="C36" s="42"/>
      <c r="D36" s="60">
        <f t="shared" ref="D36:L36" si="18">IFERROR(D26/$B36,".")</f>
        <v>36.407844783957088</v>
      </c>
      <c r="E36" s="60">
        <f t="shared" si="18"/>
        <v>1.1455333944630649E-3</v>
      </c>
      <c r="F36" s="60">
        <f t="shared" si="18"/>
        <v>0.19114118511577471</v>
      </c>
      <c r="G36" s="189">
        <f t="shared" ref="G36" si="19">IFERROR(G26/$B36,0)</f>
        <v>6.127986394811737E-13</v>
      </c>
      <c r="H36" s="60">
        <f t="shared" si="18"/>
        <v>6.0140503209310907E-6</v>
      </c>
      <c r="I36" s="189">
        <f t="shared" ref="I36" si="20">IFERROR(I26/$B36,0)</f>
        <v>1.9281045328905076E-17</v>
      </c>
      <c r="J36" s="60">
        <f t="shared" si="18"/>
        <v>0.12742745674384981</v>
      </c>
      <c r="K36" s="189">
        <f t="shared" ref="K36" si="21">IFERROR(K26/$B36,0)</f>
        <v>4.0853242632078253E-13</v>
      </c>
      <c r="L36" s="60">
        <f t="shared" si="18"/>
        <v>4.0093668806207272E-6</v>
      </c>
      <c r="M36" s="189">
        <f t="shared" ref="M36" si="22">IFERROR(M26/$B36,0)</f>
        <v>1.2854030219270052E-17</v>
      </c>
    </row>
    <row r="37" spans="1:13" x14ac:dyDescent="0.25">
      <c r="A37" s="77" t="s">
        <v>1065</v>
      </c>
      <c r="B37" s="42">
        <v>1</v>
      </c>
      <c r="C37" s="42"/>
      <c r="D37" s="60">
        <f t="shared" ref="D37:L37" si="23">IFERROR(D22/$B37,".")</f>
        <v>36.407844783957088</v>
      </c>
      <c r="E37" s="60">
        <f t="shared" si="23"/>
        <v>1.1455333944630649E-3</v>
      </c>
      <c r="F37" s="60">
        <f t="shared" si="23"/>
        <v>0.19114118511577471</v>
      </c>
      <c r="G37" s="189">
        <f t="shared" ref="G37" si="24">IFERROR(G22/$B37,0)</f>
        <v>6.0209473311469029E-13</v>
      </c>
      <c r="H37" s="60">
        <f t="shared" si="23"/>
        <v>6.0140503209310907E-6</v>
      </c>
      <c r="I37" s="189">
        <f t="shared" ref="I37" si="25">IFERROR(I22/$B37,0)</f>
        <v>1.8944258510932938E-17</v>
      </c>
      <c r="J37" s="60">
        <f t="shared" si="23"/>
        <v>0.12742745674384981</v>
      </c>
      <c r="K37" s="189">
        <f t="shared" ref="K37" si="26">IFERROR(K22/$B37,0)</f>
        <v>4.0139648874312698E-13</v>
      </c>
      <c r="L37" s="60">
        <f t="shared" si="23"/>
        <v>4.0093668806207272E-6</v>
      </c>
      <c r="M37" s="189">
        <f t="shared" ref="M37" si="27">IFERROR(M22/$B37,0)</f>
        <v>1.2629505673955291E-17</v>
      </c>
    </row>
    <row r="38" spans="1:13" x14ac:dyDescent="0.25">
      <c r="A38" s="77" t="s">
        <v>1066</v>
      </c>
      <c r="B38" s="42">
        <v>1</v>
      </c>
      <c r="C38" s="42"/>
      <c r="D38" s="60">
        <f t="shared" ref="D38:L38" si="28">IFERROR(D2/$B38,".")</f>
        <v>36.407844783957088</v>
      </c>
      <c r="E38" s="60">
        <f t="shared" si="28"/>
        <v>1.1455333944630649E-3</v>
      </c>
      <c r="F38" s="60">
        <f t="shared" si="28"/>
        <v>0.19114118511577471</v>
      </c>
      <c r="G38" s="189">
        <f t="shared" ref="G38" si="29">IFERROR(G2/$B38,0)</f>
        <v>6.0209473311469029E-13</v>
      </c>
      <c r="H38" s="60">
        <f t="shared" si="28"/>
        <v>6.0140503209310907E-6</v>
      </c>
      <c r="I38" s="189">
        <f t="shared" ref="I38" si="30">IFERROR(I2/$B38,0)</f>
        <v>1.8944258510932938E-17</v>
      </c>
      <c r="J38" s="60">
        <f t="shared" si="28"/>
        <v>0.12742745674384981</v>
      </c>
      <c r="K38" s="189">
        <f t="shared" ref="K38" si="31">IFERROR(K2/$B38,0)</f>
        <v>4.0139648874312698E-13</v>
      </c>
      <c r="L38" s="60">
        <f t="shared" si="28"/>
        <v>4.0093668806207272E-6</v>
      </c>
      <c r="M38" s="189">
        <f t="shared" ref="M38" si="32">IFERROR(M2/$B38,0)</f>
        <v>1.2629505673955291E-17</v>
      </c>
    </row>
    <row r="39" spans="1:13" x14ac:dyDescent="0.25">
      <c r="A39" s="77" t="s">
        <v>1067</v>
      </c>
      <c r="B39" s="42">
        <v>1</v>
      </c>
      <c r="C39" s="42"/>
      <c r="D39" s="60">
        <f t="shared" ref="D39:L39" si="33">IFERROR(D11/$B39,".")</f>
        <v>36.407844783957088</v>
      </c>
      <c r="E39" s="60">
        <f t="shared" si="33"/>
        <v>1.1455333944630649E-3</v>
      </c>
      <c r="F39" s="60">
        <f t="shared" si="33"/>
        <v>0.19114118511577471</v>
      </c>
      <c r="G39" s="189">
        <f t="shared" ref="G39" si="34">IFERROR(G11/$B39,0)</f>
        <v>5.9139082674820699E-13</v>
      </c>
      <c r="H39" s="60">
        <f t="shared" si="33"/>
        <v>6.0140503209310907E-6</v>
      </c>
      <c r="I39" s="189">
        <f t="shared" ref="I39" si="35">IFERROR(I11/$B39,0)</f>
        <v>1.8607471692960798E-17</v>
      </c>
      <c r="J39" s="60">
        <f t="shared" si="33"/>
        <v>0.12742745674384981</v>
      </c>
      <c r="K39" s="189">
        <f t="shared" ref="K39" si="36">IFERROR(K11/$B39,0)</f>
        <v>3.9426055116547137E-13</v>
      </c>
      <c r="L39" s="60">
        <f t="shared" si="33"/>
        <v>4.0093668806207272E-6</v>
      </c>
      <c r="M39" s="189">
        <f t="shared" ref="M39" si="37">IFERROR(M11/$B39,0)</f>
        <v>1.2404981128640529E-17</v>
      </c>
    </row>
    <row r="40" spans="1:13" x14ac:dyDescent="0.25">
      <c r="A40" s="77" t="s">
        <v>1068</v>
      </c>
      <c r="B40" s="42">
        <v>1</v>
      </c>
      <c r="C40" s="42"/>
      <c r="D40" s="60">
        <f t="shared" ref="D40:L40" si="38">IFERROR(D4/$B40,".")</f>
        <v>36.407844783957088</v>
      </c>
      <c r="E40" s="60">
        <f t="shared" si="38"/>
        <v>1.1455333944630649E-3</v>
      </c>
      <c r="F40" s="60">
        <f t="shared" si="38"/>
        <v>0.19114118511577471</v>
      </c>
      <c r="G40" s="189">
        <f t="shared" ref="G40" si="39">IFERROR(G4/$B40,0)</f>
        <v>5.8068692038172358E-13</v>
      </c>
      <c r="H40" s="60">
        <f t="shared" si="38"/>
        <v>6.0140503209310907E-6</v>
      </c>
      <c r="I40" s="189">
        <f t="shared" ref="I40" si="40">IFERROR(I4/$B40,0)</f>
        <v>1.8270684874988654E-17</v>
      </c>
      <c r="J40" s="60">
        <f t="shared" si="38"/>
        <v>0.12742745674384981</v>
      </c>
      <c r="K40" s="189">
        <f t="shared" ref="K40" si="41">IFERROR(K4/$B40,0)</f>
        <v>3.8712461358781572E-13</v>
      </c>
      <c r="L40" s="60">
        <f t="shared" si="38"/>
        <v>4.0093668806207272E-6</v>
      </c>
      <c r="M40" s="189">
        <f t="shared" ref="M40" si="42">IFERROR(M4/$B40,0)</f>
        <v>1.2180456583325769E-17</v>
      </c>
    </row>
    <row r="41" spans="1:13" x14ac:dyDescent="0.25">
      <c r="A41" s="77" t="s">
        <v>1069</v>
      </c>
      <c r="B41" s="78">
        <v>0.99987999999999999</v>
      </c>
      <c r="C41" s="78"/>
      <c r="D41" s="60">
        <f t="shared" ref="D41:L41" si="43">IFERROR(D8/$B41,".")</f>
        <v>36.412214249667052</v>
      </c>
      <c r="E41" s="60">
        <f t="shared" si="43"/>
        <v>1.145670874968061E-3</v>
      </c>
      <c r="F41" s="60">
        <f t="shared" si="43"/>
        <v>0.19116412481075201</v>
      </c>
      <c r="G41" s="189">
        <f t="shared" ref="G41" si="44">IFERROR(G8/$B41,0)</f>
        <v>5.7005142018566252E-13</v>
      </c>
      <c r="H41" s="60">
        <f t="shared" si="43"/>
        <v>6.0147720935823206E-6</v>
      </c>
      <c r="I41" s="189">
        <f t="shared" ref="I41" si="45">IFERROR(I8/$B41,0)</f>
        <v>1.7936050383062484E-17</v>
      </c>
      <c r="J41" s="60">
        <f t="shared" si="43"/>
        <v>0.12744274987383467</v>
      </c>
      <c r="K41" s="189">
        <f t="shared" ref="K41" si="46">IFERROR(K8/$B41,0)</f>
        <v>3.8003428012377506E-13</v>
      </c>
      <c r="L41" s="60">
        <f t="shared" si="43"/>
        <v>4.009848062388214E-6</v>
      </c>
      <c r="M41" s="189">
        <f t="shared" ref="M41" si="47">IFERROR(M8/$B41,0)</f>
        <v>1.1957366922041655E-17</v>
      </c>
    </row>
    <row r="42" spans="1:13" x14ac:dyDescent="0.25">
      <c r="A42" s="77" t="s">
        <v>1070</v>
      </c>
      <c r="B42" s="42">
        <v>0.97898250799999997</v>
      </c>
      <c r="C42" s="42"/>
      <c r="D42" s="60">
        <f t="shared" ref="D42:L42" si="48">IFERROR(D19/$B42,".")</f>
        <v>37.189474261737359</v>
      </c>
      <c r="E42" s="60">
        <f t="shared" si="48"/>
        <v>1.1701265192197538E-3</v>
      </c>
      <c r="F42" s="60">
        <f t="shared" si="48"/>
        <v>0.19524473987412114</v>
      </c>
      <c r="G42" s="189">
        <f t="shared" ref="G42" si="49">IFERROR(G19/$B42,0)</f>
        <v>5.8221981430462932E-13</v>
      </c>
      <c r="H42" s="60">
        <f t="shared" si="48"/>
        <v>6.143164225903708E-6</v>
      </c>
      <c r="I42" s="189">
        <f t="shared" ref="I42" si="50">IFERROR(I19/$B42,0)</f>
        <v>1.8318915721644862E-17</v>
      </c>
      <c r="J42" s="60">
        <f t="shared" si="48"/>
        <v>0.13016315991608077</v>
      </c>
      <c r="K42" s="189">
        <f t="shared" ref="K42" si="51">IFERROR(K19/$B42,0)</f>
        <v>3.8814654286975289E-13</v>
      </c>
      <c r="L42" s="60">
        <f t="shared" si="48"/>
        <v>4.0954428172691392E-6</v>
      </c>
      <c r="M42" s="189">
        <f t="shared" ref="M42" si="52">IFERROR(M19/$B42,0)</f>
        <v>1.2212610481096573E-17</v>
      </c>
    </row>
    <row r="43" spans="1:13" x14ac:dyDescent="0.25">
      <c r="A43" s="77" t="s">
        <v>1071</v>
      </c>
      <c r="B43" s="42">
        <v>2.0897492E-2</v>
      </c>
      <c r="C43" s="42"/>
      <c r="D43" s="60">
        <f t="shared" ref="D43:L43" si="53">IFERROR(D28/$B43,".")</f>
        <v>1742.2112081180405</v>
      </c>
      <c r="E43" s="60">
        <f t="shared" si="53"/>
        <v>5.4816788275983783E-2</v>
      </c>
      <c r="F43" s="60">
        <f t="shared" si="53"/>
        <v>9.1466088426197132</v>
      </c>
      <c r="G43" s="189">
        <f t="shared" ref="G43" si="54">IFERROR(G28/$B43,0)</f>
        <v>2.6762977473505282E-11</v>
      </c>
      <c r="H43" s="60">
        <f t="shared" si="53"/>
        <v>2.8778813844891485E-4</v>
      </c>
      <c r="I43" s="189">
        <f t="shared" ref="I43" si="55">IFERROR(I28/$B43,0)</f>
        <v>8.4206809310152492E-16</v>
      </c>
      <c r="J43" s="60">
        <f t="shared" si="53"/>
        <v>6.0977392284131424</v>
      </c>
      <c r="K43" s="189">
        <f t="shared" ref="K43" si="56">IFERROR(K28/$B43,0)</f>
        <v>1.7841984982336856E-11</v>
      </c>
      <c r="L43" s="60">
        <f t="shared" si="53"/>
        <v>1.9185875896594325E-4</v>
      </c>
      <c r="M43" s="189">
        <f t="shared" ref="M43" si="57">IFERROR(M28/$B43,0)</f>
        <v>5.6137872873434998E-16</v>
      </c>
    </row>
    <row r="44" spans="1:13" x14ac:dyDescent="0.25">
      <c r="A44" s="77" t="s">
        <v>1072</v>
      </c>
      <c r="B44" s="42">
        <v>0.99987999999999999</v>
      </c>
      <c r="C44" s="42"/>
      <c r="D44" s="60">
        <f t="shared" ref="D44:L44" si="58">IFERROR(D15/$B44,".")</f>
        <v>36.412214249667052</v>
      </c>
      <c r="E44" s="60">
        <f t="shared" si="58"/>
        <v>1.145670874968061E-3</v>
      </c>
      <c r="F44" s="60">
        <f t="shared" si="58"/>
        <v>0.19116412481075201</v>
      </c>
      <c r="G44" s="189">
        <f t="shared" ref="G44" si="59">IFERROR(G15/$B44,0)</f>
        <v>5.5934622919626047E-13</v>
      </c>
      <c r="H44" s="60">
        <f t="shared" si="58"/>
        <v>6.0147720935823206E-6</v>
      </c>
      <c r="I44" s="189">
        <f t="shared" ref="I44" si="60">IFERROR(I15/$B44,0)</f>
        <v>1.759922314582187E-17</v>
      </c>
      <c r="J44" s="60">
        <f t="shared" si="58"/>
        <v>0.12744274987383467</v>
      </c>
      <c r="K44" s="189">
        <f t="shared" ref="K44" si="61">IFERROR(K15/$B44,0)</f>
        <v>3.7289748613084026E-13</v>
      </c>
      <c r="L44" s="60">
        <f t="shared" si="58"/>
        <v>4.009848062388214E-6</v>
      </c>
      <c r="M44" s="189">
        <f t="shared" ref="M44" si="62">IFERROR(M15/$B44,0)</f>
        <v>1.1732815430547915E-17</v>
      </c>
    </row>
    <row r="45" spans="1:13" x14ac:dyDescent="0.25">
      <c r="A45" s="76" t="s">
        <v>8</v>
      </c>
      <c r="B45" s="76" t="s">
        <v>1057</v>
      </c>
      <c r="C45" s="57"/>
      <c r="D45" s="58">
        <f t="shared" ref="D45:L45" si="63">IFERROR(1/SUM(IFERROR(1/SUMIF(D46,"&lt;&gt;.",D46),0),IFERROR(1/SUMIF(D47,"&lt;&gt;.",D47),0)),".")</f>
        <v>18.728411557650546</v>
      </c>
      <c r="E45" s="58">
        <f t="shared" si="63"/>
        <v>5.8926918063522185E-4</v>
      </c>
      <c r="F45" s="58">
        <f t="shared" si="63"/>
        <v>9.8324160677665376E-2</v>
      </c>
      <c r="G45" s="190">
        <f>F45*(0.0000000000000028)*up_RadSpec!$AY10*up_RadSpec!$AF10</f>
        <v>1.8858574017976221E-13</v>
      </c>
      <c r="H45" s="115">
        <f t="shared" si="63"/>
        <v>3.0936631983349145E-6</v>
      </c>
      <c r="I45" s="190">
        <f>H45*(0.0000000000000028)*up_RadSpec!$AY10*up_RadSpec!$AF10</f>
        <v>5.9336460144063662E-18</v>
      </c>
      <c r="J45" s="58">
        <f t="shared" si="63"/>
        <v>6.5549440451776908E-2</v>
      </c>
      <c r="K45" s="190">
        <f>J45*(0.0000000000000028)*up_RadSpec!$AY10*up_RadSpec!$AF10</f>
        <v>1.257238267865081E-13</v>
      </c>
      <c r="L45" s="115">
        <f t="shared" si="63"/>
        <v>2.0624421322232765E-6</v>
      </c>
      <c r="M45" s="190">
        <f>L45*(0.0000000000000028)*up_RadSpec!$AY10*up_RadSpec!$AF10</f>
        <v>3.9557640096042444E-18</v>
      </c>
    </row>
    <row r="46" spans="1:13" x14ac:dyDescent="0.25">
      <c r="A46" s="77" t="s">
        <v>1084</v>
      </c>
      <c r="B46" s="42">
        <v>1</v>
      </c>
      <c r="C46" s="42"/>
      <c r="D46" s="60">
        <f t="shared" ref="D46:L46" si="64">IFERROR(D10/$B46,".")</f>
        <v>36.407844783957088</v>
      </c>
      <c r="E46" s="60">
        <f t="shared" si="64"/>
        <v>1.1455333944630649E-3</v>
      </c>
      <c r="F46" s="60">
        <f t="shared" si="64"/>
        <v>0.19114118511577471</v>
      </c>
      <c r="G46" s="189">
        <f t="shared" ref="G46" si="65">IFERROR(G10/$B46,0)</f>
        <v>3.6660879305205586E-13</v>
      </c>
      <c r="H46" s="60">
        <f t="shared" si="64"/>
        <v>6.0140503209310907E-6</v>
      </c>
      <c r="I46" s="189">
        <f t="shared" ref="I46" si="66">IFERROR(I10/$B46,0)</f>
        <v>1.1534948515545833E-17</v>
      </c>
      <c r="J46" s="60">
        <f t="shared" si="64"/>
        <v>0.12742745674384981</v>
      </c>
      <c r="K46" s="189">
        <f t="shared" ref="K46" si="67">IFERROR(K10/$B46,0)</f>
        <v>2.4440586203470399E-13</v>
      </c>
      <c r="L46" s="60">
        <f t="shared" si="64"/>
        <v>4.0093668806207272E-6</v>
      </c>
      <c r="M46" s="189">
        <f t="shared" ref="M46" si="68">IFERROR(M10/$B46,0)</f>
        <v>7.6899656770305551E-18</v>
      </c>
    </row>
    <row r="47" spans="1:13" x14ac:dyDescent="0.25">
      <c r="A47" s="77" t="s">
        <v>1058</v>
      </c>
      <c r="B47" s="79">
        <v>0.94399</v>
      </c>
      <c r="C47" s="79"/>
      <c r="D47" s="60">
        <f t="shared" ref="D47:L47" si="69">IFERROR(D6/$B$47,".")</f>
        <v>38.568040746148888</v>
      </c>
      <c r="E47" s="60">
        <f t="shared" si="69"/>
        <v>1.2135016202110879E-3</v>
      </c>
      <c r="F47" s="60">
        <f t="shared" si="69"/>
        <v>0.20248221391728166</v>
      </c>
      <c r="G47" s="189">
        <f t="shared" ref="G47" si="70">IFERROR(G6/$B$47,0)</f>
        <v>3.8836088629334617E-13</v>
      </c>
      <c r="H47" s="60">
        <f t="shared" si="69"/>
        <v>6.3708835061082114E-6</v>
      </c>
      <c r="I47" s="189">
        <f t="shared" ref="I47" si="71">IFERROR(I6/$B$47,0)</f>
        <v>1.2219354564715551E-17</v>
      </c>
      <c r="J47" s="60">
        <f t="shared" si="69"/>
        <v>0.13498814261152112</v>
      </c>
      <c r="K47" s="189">
        <f t="shared" ref="K47" si="72">IFERROR(K6/$B$47,0)</f>
        <v>2.5890725752889755E-13</v>
      </c>
      <c r="L47" s="60">
        <f t="shared" si="69"/>
        <v>4.2472556707388079E-6</v>
      </c>
      <c r="M47" s="189">
        <f t="shared" ref="M47" si="73">IFERROR(M6/$B$47,0)</f>
        <v>8.1462363764770338E-18</v>
      </c>
    </row>
    <row r="48" spans="1:13" x14ac:dyDescent="0.25">
      <c r="A48" s="76" t="s">
        <v>21</v>
      </c>
      <c r="B48" s="76" t="s">
        <v>1057</v>
      </c>
      <c r="C48" s="239"/>
      <c r="D48" s="58">
        <f t="shared" ref="D48:L48" si="74">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4.0453154767131858</v>
      </c>
      <c r="E48" s="58">
        <f t="shared" si="74"/>
        <v>1.2705848099803666E-4</v>
      </c>
      <c r="F48" s="58">
        <f t="shared" si="74"/>
        <v>2.1237906252744226E-2</v>
      </c>
      <c r="G48" s="190">
        <f>F48*(0.0000000000000028)*up_RadSpec!$AY23*up_RadSpec!$AF23</f>
        <v>6.7196735383682729E-14</v>
      </c>
      <c r="H48" s="58">
        <f t="shared" si="74"/>
        <v>6.6705702523969254E-7</v>
      </c>
      <c r="I48" s="190">
        <f>H48*(0.0000000000000028)*up_RadSpec!$AY23*up_RadSpec!$AF23</f>
        <v>2.1105684278583876E-18</v>
      </c>
      <c r="J48" s="58">
        <f t="shared" si="74"/>
        <v>1.4158604168496149E-2</v>
      </c>
      <c r="K48" s="190">
        <f>J48*(0.0000000000000028)*up_RadSpec!$AY23*up_RadSpec!$AF23</f>
        <v>4.4797823589121819E-14</v>
      </c>
      <c r="L48" s="58">
        <f t="shared" si="74"/>
        <v>4.4470468349312839E-7</v>
      </c>
      <c r="M48" s="190">
        <f>L48*(0.0000000000000028)*up_RadSpec!$AY23*up_RadSpec!$AF23</f>
        <v>1.4070456185722583E-18</v>
      </c>
    </row>
    <row r="49" spans="1:13" x14ac:dyDescent="0.25">
      <c r="A49" s="77" t="s">
        <v>1086</v>
      </c>
      <c r="B49" s="42">
        <v>1</v>
      </c>
      <c r="C49" s="238"/>
      <c r="D49" s="60">
        <f t="shared" ref="D49:L49" si="75">IFERROR(D23/$B49,".")</f>
        <v>36.407844783957088</v>
      </c>
      <c r="E49" s="60">
        <f t="shared" si="75"/>
        <v>1.1455333944630649E-3</v>
      </c>
      <c r="F49" s="60">
        <f t="shared" si="75"/>
        <v>0.19114118511577471</v>
      </c>
      <c r="G49" s="189">
        <f t="shared" ref="G49" si="76">IFERROR(G23/$B49,0)</f>
        <v>6.0477070970631114E-13</v>
      </c>
      <c r="H49" s="60">
        <f t="shared" si="75"/>
        <v>6.0140503209310907E-6</v>
      </c>
      <c r="I49" s="189">
        <f t="shared" ref="I49" si="77">IFERROR(I23/$B49,0)</f>
        <v>1.9028455215425974E-17</v>
      </c>
      <c r="J49" s="60">
        <f t="shared" si="75"/>
        <v>0.12742745674384981</v>
      </c>
      <c r="K49" s="189">
        <f t="shared" ref="K49" si="78">IFERROR(K23/$B49,0)</f>
        <v>4.0318047313754088E-13</v>
      </c>
      <c r="L49" s="60">
        <f t="shared" si="75"/>
        <v>4.0093668806207272E-6</v>
      </c>
      <c r="M49" s="189">
        <f t="shared" ref="M49" si="79">IFERROR(M23/$B49,0)</f>
        <v>1.2685636810283981E-17</v>
      </c>
    </row>
    <row r="50" spans="1:13" x14ac:dyDescent="0.25">
      <c r="A50" s="77" t="s">
        <v>1073</v>
      </c>
      <c r="B50" s="42">
        <v>1</v>
      </c>
      <c r="C50" s="238"/>
      <c r="D50" s="60">
        <f t="shared" ref="D50:L50" si="80">IFERROR(D25/$B50,".")</f>
        <v>36.407844783957088</v>
      </c>
      <c r="E50" s="60">
        <f t="shared" si="80"/>
        <v>1.1365698776210009E-3</v>
      </c>
      <c r="F50" s="60">
        <f t="shared" si="80"/>
        <v>0.19114118511577471</v>
      </c>
      <c r="G50" s="189">
        <f t="shared" ref="G50" si="81">IFERROR(G25/$B50,0)</f>
        <v>5.9406680333982784E-13</v>
      </c>
      <c r="H50" s="60">
        <f t="shared" si="80"/>
        <v>5.9669918575102546E-6</v>
      </c>
      <c r="I50" s="189">
        <f t="shared" ref="I50" si="82">IFERROR(I25/$B50,0)</f>
        <v>1.8545410693141871E-17</v>
      </c>
      <c r="J50" s="60">
        <f t="shared" si="80"/>
        <v>0.12742745674384981</v>
      </c>
      <c r="K50" s="189">
        <f t="shared" ref="K50" si="83">IFERROR(K25/$B50,0)</f>
        <v>3.9604453555988522E-13</v>
      </c>
      <c r="L50" s="60">
        <f t="shared" si="80"/>
        <v>3.9779945716735028E-6</v>
      </c>
      <c r="M50" s="189">
        <f t="shared" ref="M50" si="84">IFERROR(M25/$B50,0)</f>
        <v>1.2363607128761247E-17</v>
      </c>
    </row>
    <row r="51" spans="1:13" x14ac:dyDescent="0.25">
      <c r="A51" s="77" t="s">
        <v>1059</v>
      </c>
      <c r="B51" s="42">
        <v>1</v>
      </c>
      <c r="C51" s="238"/>
      <c r="D51" s="60">
        <f t="shared" ref="D51:L51" si="85">IFERROR(D21/$B51,".")</f>
        <v>36.407844783957088</v>
      </c>
      <c r="E51" s="60">
        <f t="shared" si="85"/>
        <v>1.1389896304396512E-3</v>
      </c>
      <c r="F51" s="60">
        <f t="shared" si="85"/>
        <v>0.19114118511577471</v>
      </c>
      <c r="G51" s="189">
        <f t="shared" ref="G51" si="86">IFERROR(G21/$B51,0)</f>
        <v>5.8336289697334433E-13</v>
      </c>
      <c r="H51" s="60">
        <f t="shared" si="85"/>
        <v>5.9796955598081696E-6</v>
      </c>
      <c r="I51" s="189">
        <f t="shared" ref="I51" si="87">IFERROR(I21/$B51,0)</f>
        <v>1.8250030848534536E-17</v>
      </c>
      <c r="J51" s="60">
        <f t="shared" si="85"/>
        <v>0.12742745674384981</v>
      </c>
      <c r="K51" s="189">
        <f t="shared" ref="K51" si="88">IFERROR(K21/$B51,0)</f>
        <v>3.8890859798222972E-13</v>
      </c>
      <c r="L51" s="60">
        <f t="shared" si="85"/>
        <v>3.9864637065387792E-6</v>
      </c>
      <c r="M51" s="189">
        <f t="shared" ref="M51" si="89">IFERROR(M21/$B51,0)</f>
        <v>1.2166687232356353E-17</v>
      </c>
    </row>
    <row r="52" spans="1:13" x14ac:dyDescent="0.25">
      <c r="A52" s="77" t="s">
        <v>1060</v>
      </c>
      <c r="B52" s="79">
        <v>0.99980000000000002</v>
      </c>
      <c r="C52" s="240"/>
      <c r="D52" s="60">
        <f t="shared" ref="D52:L52" si="90">IFERROR(D17/$B52,".")</f>
        <v>36.415127809518992</v>
      </c>
      <c r="E52" s="60">
        <f t="shared" si="90"/>
        <v>1.1442055358022003E-3</v>
      </c>
      <c r="F52" s="60">
        <f t="shared" si="90"/>
        <v>0.1911794209999747</v>
      </c>
      <c r="G52" s="189">
        <f t="shared" ref="G52" si="91">IFERROR(G17/$B52,0)</f>
        <v>5.7277354531592421E-13</v>
      </c>
      <c r="H52" s="60">
        <f t="shared" si="90"/>
        <v>6.0070790629615528E-6</v>
      </c>
      <c r="I52" s="189">
        <f t="shared" ref="I52" si="92">IFERROR(I17/$B52,0)</f>
        <v>1.7997208872632813E-17</v>
      </c>
      <c r="J52" s="60">
        <f t="shared" si="90"/>
        <v>0.12745294733331647</v>
      </c>
      <c r="K52" s="189">
        <f t="shared" ref="K52" si="93">IFERROR(K17/$B52,0)</f>
        <v>3.8184903021061619E-13</v>
      </c>
      <c r="L52" s="60">
        <f t="shared" si="90"/>
        <v>4.0047193753077004E-6</v>
      </c>
      <c r="M52" s="189">
        <f t="shared" ref="M52" si="94">IFERROR(M17/$B52,0)</f>
        <v>1.1998139248421872E-17</v>
      </c>
    </row>
    <row r="53" spans="1:13" x14ac:dyDescent="0.25">
      <c r="A53" s="77" t="s">
        <v>1074</v>
      </c>
      <c r="B53" s="42">
        <v>2.0000000000000001E-4</v>
      </c>
      <c r="C53" s="238"/>
      <c r="D53" s="60">
        <f t="shared" ref="D53:L53" si="95">IFERROR(D5/$B53,".")</f>
        <v>182039.22391978544</v>
      </c>
      <c r="E53" s="60">
        <f t="shared" si="95"/>
        <v>5.7276604106877436</v>
      </c>
      <c r="F53" s="60">
        <f t="shared" si="95"/>
        <v>955.70592557887358</v>
      </c>
      <c r="G53" s="189">
        <f t="shared" ref="G53" si="96">IFERROR(G5/$B53,0)</f>
        <v>2.9168144848667214E-9</v>
      </c>
      <c r="H53" s="60">
        <f t="shared" si="95"/>
        <v>3.0070217156110655E-2</v>
      </c>
      <c r="I53" s="189">
        <f t="shared" ref="I53" si="97">IFERROR(I5/$B53,0)</f>
        <v>9.1774302760449725E-14</v>
      </c>
      <c r="J53" s="60">
        <f t="shared" si="95"/>
        <v>637.13728371924901</v>
      </c>
      <c r="K53" s="189">
        <f t="shared" ref="K53" si="98">IFERROR(K5/$B53,0)</f>
        <v>1.9445429899111487E-9</v>
      </c>
      <c r="L53" s="60">
        <f t="shared" si="95"/>
        <v>2.0046811437407101E-2</v>
      </c>
      <c r="M53" s="189">
        <f t="shared" ref="M53" si="99">IFERROR(M5/$B53,0)</f>
        <v>6.1182868506966483E-14</v>
      </c>
    </row>
    <row r="54" spans="1:13" x14ac:dyDescent="0.25">
      <c r="A54" s="77" t="s">
        <v>1075</v>
      </c>
      <c r="B54" s="42">
        <v>0.99999979999999999</v>
      </c>
      <c r="C54" s="238"/>
      <c r="D54" s="60">
        <f t="shared" ref="D54:L54" si="100">IFERROR(D9/$B54,".")</f>
        <v>36.4078520655275</v>
      </c>
      <c r="E54" s="60">
        <f t="shared" si="100"/>
        <v>1.1450739279273757E-3</v>
      </c>
      <c r="F54" s="60">
        <f t="shared" si="100"/>
        <v>0.1911412233440194</v>
      </c>
      <c r="G54" s="189">
        <f t="shared" ref="G54" si="101">IFERROR(G9/$B54,0)</f>
        <v>5.7265910513868203E-13</v>
      </c>
      <c r="H54" s="60">
        <f t="shared" si="100"/>
        <v>6.0116381216187227E-6</v>
      </c>
      <c r="I54" s="189">
        <f t="shared" ref="I54" si="102">IFERROR(I9/$B54,0)</f>
        <v>1.8010867812369696E-17</v>
      </c>
      <c r="J54" s="60">
        <f t="shared" si="100"/>
        <v>0.12742748222934625</v>
      </c>
      <c r="K54" s="189">
        <f t="shared" ref="K54" si="103">IFERROR(K9/$B54,0)</f>
        <v>3.8177273675912144E-13</v>
      </c>
      <c r="L54" s="60">
        <f t="shared" si="100"/>
        <v>4.0077587477458146E-6</v>
      </c>
      <c r="M54" s="189">
        <f t="shared" ref="M54" si="104">IFERROR(M9/$B54,0)</f>
        <v>1.2007245208246461E-17</v>
      </c>
    </row>
    <row r="55" spans="1:13" x14ac:dyDescent="0.25">
      <c r="A55" s="77" t="s">
        <v>1076</v>
      </c>
      <c r="B55" s="42">
        <v>1.9999999999999999E-7</v>
      </c>
      <c r="C55" s="238"/>
      <c r="D55" s="60">
        <f t="shared" ref="D55:L55" si="105">IFERROR(D24/$B55,".")</f>
        <v>182039223.91978544</v>
      </c>
      <c r="E55" s="60">
        <f t="shared" si="105"/>
        <v>5727.6669657541406</v>
      </c>
      <c r="F55" s="60">
        <f t="shared" si="105"/>
        <v>955705.9255788736</v>
      </c>
      <c r="G55" s="189">
        <f t="shared" ref="G55" si="106">IFERROR(G24/$B55,0)</f>
        <v>2.9168144848667216E-6</v>
      </c>
      <c r="H55" s="60">
        <f t="shared" si="105"/>
        <v>30.070251570209244</v>
      </c>
      <c r="I55" s="189">
        <f t="shared" ref="I55" si="107">IFERROR(I24/$B55,0)</f>
        <v>9.1774407792278607E-11</v>
      </c>
      <c r="J55" s="60">
        <f t="shared" si="105"/>
        <v>637137.28371924907</v>
      </c>
      <c r="K55" s="189">
        <f t="shared" ref="K55" si="108">IFERROR(K24/$B55,0)</f>
        <v>1.9445429899111489E-6</v>
      </c>
      <c r="L55" s="60">
        <f t="shared" si="105"/>
        <v>20.046834380139494</v>
      </c>
      <c r="M55" s="189">
        <f t="shared" ref="M55" si="109">IFERROR(M24/$B55,0)</f>
        <v>6.1182938528185729E-11</v>
      </c>
    </row>
    <row r="56" spans="1:13" x14ac:dyDescent="0.25">
      <c r="A56" s="77" t="s">
        <v>1077</v>
      </c>
      <c r="B56" s="42">
        <v>0.99979000004200003</v>
      </c>
      <c r="C56" s="238"/>
      <c r="D56" s="60">
        <f t="shared" ref="D56:L56" si="110">IFERROR(D20/$B56,".")</f>
        <v>36.415492035755143</v>
      </c>
      <c r="E56" s="60">
        <f t="shared" si="110"/>
        <v>1.1453142136848833E-3</v>
      </c>
      <c r="F56" s="60">
        <f t="shared" si="110"/>
        <v>0.19118133318771452</v>
      </c>
      <c r="G56" s="189">
        <f t="shared" ref="G56" si="111">IFERROR(G20/$B56,0)</f>
        <v>5.7277927423039265E-13</v>
      </c>
      <c r="H56" s="60">
        <f t="shared" si="110"/>
        <v>6.0128996218456369E-6</v>
      </c>
      <c r="I56" s="189">
        <f t="shared" ref="I56" si="112">IFERROR(I20/$B56,0)</f>
        <v>1.8014647267049532E-17</v>
      </c>
      <c r="J56" s="60">
        <f t="shared" si="110"/>
        <v>0.12745422212514301</v>
      </c>
      <c r="K56" s="189">
        <f t="shared" ref="K56" si="113">IFERROR(K20/$B56,0)</f>
        <v>3.8185284948692852E-13</v>
      </c>
      <c r="L56" s="60">
        <f t="shared" si="110"/>
        <v>4.008599747897091E-6</v>
      </c>
      <c r="M56" s="189">
        <f t="shared" ref="M56" si="114">IFERROR(M20/$B56,0)</f>
        <v>1.2009764844699686E-17</v>
      </c>
    </row>
    <row r="57" spans="1:13" x14ac:dyDescent="0.25">
      <c r="A57" s="77" t="s">
        <v>1078</v>
      </c>
      <c r="B57" s="42">
        <v>2.0999995799999999E-4</v>
      </c>
      <c r="C57" s="238"/>
      <c r="D57" s="60">
        <f t="shared" ref="D57:L57" si="115">IFERROR(D29/$B57,".")</f>
        <v>173370.72412155953</v>
      </c>
      <c r="E57" s="60">
        <f t="shared" si="115"/>
        <v>5.4549216192791565</v>
      </c>
      <c r="F57" s="60">
        <f t="shared" si="115"/>
        <v>910.19630163818761</v>
      </c>
      <c r="G57" s="189">
        <f t="shared" ref="G57" si="116">IFERROR(G29/$B57,0)</f>
        <v>2.6759771268162715E-9</v>
      </c>
      <c r="H57" s="60">
        <f t="shared" si="115"/>
        <v>2.8638338501215572E-2</v>
      </c>
      <c r="I57" s="189">
        <f t="shared" ref="I57" si="117">IFERROR(I29/$B57,0)</f>
        <v>8.4196715193573796E-14</v>
      </c>
      <c r="J57" s="60">
        <f t="shared" si="115"/>
        <v>606.79753442545837</v>
      </c>
      <c r="K57" s="189">
        <f t="shared" ref="K57" si="118">IFERROR(K29/$B57,0)</f>
        <v>1.7839847512108478E-9</v>
      </c>
      <c r="L57" s="60">
        <f t="shared" si="115"/>
        <v>1.9092225667477047E-2</v>
      </c>
      <c r="M57" s="189">
        <f t="shared" ref="M57" si="119">IFERROR(M29/$B57,0)</f>
        <v>5.6131143462382514E-14</v>
      </c>
    </row>
    <row r="58" spans="1:13" x14ac:dyDescent="0.25">
      <c r="A58" s="77" t="s">
        <v>1079</v>
      </c>
      <c r="B58" s="42">
        <v>1</v>
      </c>
      <c r="C58" s="238"/>
      <c r="D58" s="60">
        <f t="shared" ref="D58:L58" si="120">IFERROR(D16/$B58,".")</f>
        <v>36.407844783957088</v>
      </c>
      <c r="E58" s="60">
        <f t="shared" si="120"/>
        <v>1.1455333944630649E-3</v>
      </c>
      <c r="F58" s="60">
        <f t="shared" si="120"/>
        <v>0.19114118511577471</v>
      </c>
      <c r="G58" s="189">
        <f t="shared" ref="G58" si="121">IFERROR(G16/$B58,0)</f>
        <v>5.6195508424037762E-13</v>
      </c>
      <c r="H58" s="60">
        <f t="shared" si="120"/>
        <v>6.0140503209310907E-6</v>
      </c>
      <c r="I58" s="189">
        <f t="shared" ref="I58" si="122">IFERROR(I16/$B58,0)</f>
        <v>1.7681307943537408E-17</v>
      </c>
      <c r="J58" s="60">
        <f t="shared" si="120"/>
        <v>0.12742745674384981</v>
      </c>
      <c r="K58" s="189">
        <f t="shared" ref="K58" si="123">IFERROR(K16/$B58,0)</f>
        <v>3.7463672282691846E-13</v>
      </c>
      <c r="L58" s="60">
        <f t="shared" si="120"/>
        <v>4.0093668806207272E-6</v>
      </c>
      <c r="M58" s="189">
        <f t="shared" ref="M58" si="124">IFERROR(M16/$B58,0)</f>
        <v>1.1787538629024938E-17</v>
      </c>
    </row>
    <row r="59" spans="1:13" x14ac:dyDescent="0.25">
      <c r="A59" s="77" t="s">
        <v>1080</v>
      </c>
      <c r="B59" s="42">
        <v>1</v>
      </c>
      <c r="C59" s="238"/>
      <c r="D59" s="60">
        <f t="shared" ref="D59:L59" si="125">IFERROR(D7/$B59,".")</f>
        <v>36.407844783957088</v>
      </c>
      <c r="E59" s="60">
        <f t="shared" si="125"/>
        <v>1.1455333944630649E-3</v>
      </c>
      <c r="F59" s="60">
        <f t="shared" si="125"/>
        <v>0.19114118511577471</v>
      </c>
      <c r="G59" s="189">
        <f t="shared" ref="G59" si="126">IFERROR(G7/$B59,0)</f>
        <v>5.6195508424037762E-13</v>
      </c>
      <c r="H59" s="60">
        <f t="shared" si="125"/>
        <v>6.0140503209310907E-6</v>
      </c>
      <c r="I59" s="189">
        <f t="shared" ref="I59" si="127">IFERROR(I7/$B59,0)</f>
        <v>1.7681307943537408E-17</v>
      </c>
      <c r="J59" s="60">
        <f t="shared" si="125"/>
        <v>0.12742745674384981</v>
      </c>
      <c r="K59" s="189">
        <f t="shared" ref="K59" si="128">IFERROR(K7/$B59,0)</f>
        <v>3.7463672282691846E-13</v>
      </c>
      <c r="L59" s="60">
        <f t="shared" si="125"/>
        <v>4.0093668806207272E-6</v>
      </c>
      <c r="M59" s="189">
        <f t="shared" ref="M59" si="129">IFERROR(M7/$B59,0)</f>
        <v>1.1787538629024938E-17</v>
      </c>
    </row>
    <row r="60" spans="1:13" x14ac:dyDescent="0.25">
      <c r="A60" s="77" t="s">
        <v>1081</v>
      </c>
      <c r="B60" s="80">
        <v>1.9000000000000001E-8</v>
      </c>
      <c r="C60" s="241"/>
      <c r="D60" s="60">
        <f t="shared" ref="D60:L60" si="130">IFERROR(D12/$B60,".")</f>
        <v>1916202357.0503728</v>
      </c>
      <c r="E60" s="60">
        <f t="shared" si="130"/>
        <v>60291.231287529728</v>
      </c>
      <c r="F60" s="60">
        <f t="shared" si="130"/>
        <v>10060062.374514459</v>
      </c>
      <c r="G60" s="189">
        <f t="shared" ref="G60" si="131">IFERROR(G12/$B60,0)</f>
        <v>2.9013219888099694E-5</v>
      </c>
      <c r="H60" s="60">
        <f t="shared" si="130"/>
        <v>316.52896425953105</v>
      </c>
      <c r="I60" s="189">
        <f t="shared" ref="I60" si="132">IFERROR(I12/$B60,0)</f>
        <v>9.128695329244877E-10</v>
      </c>
      <c r="J60" s="60">
        <f t="shared" si="130"/>
        <v>6706708.2496763049</v>
      </c>
      <c r="K60" s="189">
        <f t="shared" ref="K60" si="133">IFERROR(K12/$B60,0)</f>
        <v>1.9342146592066467E-5</v>
      </c>
      <c r="L60" s="60">
        <f t="shared" si="130"/>
        <v>211.01930950635403</v>
      </c>
      <c r="M60" s="189">
        <f t="shared" ref="M60" si="134">IFERROR(M12/$B60,0)</f>
        <v>6.085796886163251E-10</v>
      </c>
    </row>
    <row r="61" spans="1:13" x14ac:dyDescent="0.25">
      <c r="A61" s="77" t="s">
        <v>1082</v>
      </c>
      <c r="B61" s="42">
        <v>1</v>
      </c>
      <c r="C61" s="238"/>
      <c r="D61" s="60">
        <f t="shared" ref="D61:L61" si="135">IFERROR(D18/$B61,".")</f>
        <v>36.407844783957088</v>
      </c>
      <c r="E61" s="60">
        <f t="shared" si="135"/>
        <v>1.1455333944630649E-3</v>
      </c>
      <c r="F61" s="60">
        <f t="shared" si="135"/>
        <v>0.19114118511577471</v>
      </c>
      <c r="G61" s="189">
        <f t="shared" ref="G61" si="136">IFERROR(G18/$B61,0)</f>
        <v>5.6195508424037762E-13</v>
      </c>
      <c r="H61" s="60">
        <f t="shared" si="135"/>
        <v>6.0140503209310907E-6</v>
      </c>
      <c r="I61" s="189">
        <f t="shared" ref="I61" si="137">IFERROR(I18/$B61,0)</f>
        <v>1.7681307943537408E-17</v>
      </c>
      <c r="J61" s="60">
        <f t="shared" si="135"/>
        <v>0.12742745674384981</v>
      </c>
      <c r="K61" s="189">
        <f t="shared" ref="K61" si="138">IFERROR(K18/$B61,0)</f>
        <v>3.7463672282691846E-13</v>
      </c>
      <c r="L61" s="60">
        <f t="shared" si="135"/>
        <v>4.0093668806207272E-6</v>
      </c>
      <c r="M61" s="189">
        <f t="shared" ref="M61" si="139">IFERROR(M18/$B61,0)</f>
        <v>1.1787538629024938E-17</v>
      </c>
    </row>
    <row r="62" spans="1:13" x14ac:dyDescent="0.25">
      <c r="A62" s="77" t="s">
        <v>1083</v>
      </c>
      <c r="B62" s="42">
        <v>1.339E-6</v>
      </c>
      <c r="C62" s="238"/>
      <c r="D62" s="60">
        <f t="shared" ref="D62:L62" si="140">IFERROR(D27/$B62,".")</f>
        <v>27190324.707958989</v>
      </c>
      <c r="E62" s="60">
        <f t="shared" si="140"/>
        <v>855.51411087607528</v>
      </c>
      <c r="F62" s="60">
        <f t="shared" si="140"/>
        <v>142749.2047167847</v>
      </c>
      <c r="G62" s="189">
        <f t="shared" ref="G62" si="141">IFERROR(G27/$B62,0)</f>
        <v>4.1168870640320703E-7</v>
      </c>
      <c r="H62" s="60">
        <f t="shared" si="140"/>
        <v>4.491449082099396</v>
      </c>
      <c r="I62" s="189">
        <f t="shared" ref="I62" si="142">IFERROR(I27/$B62,0)</f>
        <v>1.2953339152774658E-11</v>
      </c>
      <c r="J62" s="60">
        <f t="shared" si="140"/>
        <v>95166.13647785646</v>
      </c>
      <c r="K62" s="189">
        <f t="shared" ref="K62" si="143">IFERROR(K27/$B62,0)</f>
        <v>2.7445913760213807E-7</v>
      </c>
      <c r="L62" s="60">
        <f t="shared" si="140"/>
        <v>2.9942993880662638</v>
      </c>
      <c r="M62" s="189">
        <f t="shared" ref="M62" si="144">IFERROR(M27/$B62,0)</f>
        <v>8.6355594351831039E-12</v>
      </c>
    </row>
    <row r="63" spans="1:13" x14ac:dyDescent="0.25">
      <c r="A63" s="76" t="s">
        <v>23</v>
      </c>
      <c r="B63" s="76" t="s">
        <v>1057</v>
      </c>
      <c r="C63" s="57"/>
      <c r="D63" s="58">
        <f t="shared" ref="D63:L63" si="145">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4.5509798254658111</v>
      </c>
      <c r="E63" s="58">
        <f t="shared" si="145"/>
        <v>1.4290949252526638E-4</v>
      </c>
      <c r="F63" s="58">
        <f t="shared" si="145"/>
        <v>2.3892644083695506E-2</v>
      </c>
      <c r="G63" s="190">
        <f>F63*(0.0000000000000028)*up_RadSpec!$AY25*up_RadSpec!$AF25</f>
        <v>7.4258337812125644E-14</v>
      </c>
      <c r="H63" s="58">
        <f t="shared" si="145"/>
        <v>7.5027483575764855E-7</v>
      </c>
      <c r="I63" s="190">
        <f>H63*(0.0000000000000028)*up_RadSpec!$AY25*up_RadSpec!$AF25</f>
        <v>2.3318541895347718E-18</v>
      </c>
      <c r="J63" s="58">
        <f t="shared" si="145"/>
        <v>1.5928429389130336E-2</v>
      </c>
      <c r="K63" s="190">
        <f>J63*(0.0000000000000028)*up_RadSpec!$AY25*up_RadSpec!$AF25</f>
        <v>4.9505558541417088E-14</v>
      </c>
      <c r="L63" s="58">
        <f t="shared" si="145"/>
        <v>5.001832238384323E-7</v>
      </c>
      <c r="M63" s="190">
        <f>L63*(0.0000000000000028)*up_RadSpec!$AY25*up_RadSpec!$AF25</f>
        <v>1.5545694596898476E-18</v>
      </c>
    </row>
    <row r="64" spans="1:13" x14ac:dyDescent="0.25">
      <c r="A64" s="77" t="s">
        <v>1073</v>
      </c>
      <c r="B64" s="42">
        <v>1</v>
      </c>
      <c r="C64" s="170"/>
      <c r="D64" s="60">
        <f t="shared" ref="D64:L64" si="146">IFERROR(D25/$B50,".")</f>
        <v>36.407844783957088</v>
      </c>
      <c r="E64" s="60">
        <f t="shared" si="146"/>
        <v>1.1365698776210009E-3</v>
      </c>
      <c r="F64" s="60">
        <f t="shared" si="146"/>
        <v>0.19114118511577471</v>
      </c>
      <c r="G64" s="189">
        <f t="shared" ref="G64" si="147">IFERROR(G25/$B50,0)</f>
        <v>5.9406680333982784E-13</v>
      </c>
      <c r="H64" s="60">
        <f t="shared" si="146"/>
        <v>5.9669918575102546E-6</v>
      </c>
      <c r="I64" s="189">
        <f t="shared" ref="I64" si="148">IFERROR(I25/$B50,0)</f>
        <v>1.8545410693141871E-17</v>
      </c>
      <c r="J64" s="60">
        <f t="shared" si="146"/>
        <v>0.12742745674384981</v>
      </c>
      <c r="K64" s="189">
        <f t="shared" ref="K64" si="149">IFERROR(K25/$B50,0)</f>
        <v>3.9604453555988522E-13</v>
      </c>
      <c r="L64" s="60">
        <f t="shared" si="146"/>
        <v>3.9779945716735028E-6</v>
      </c>
      <c r="M64" s="189">
        <f t="shared" ref="M64" si="150">IFERROR(M25/$B50,0)</f>
        <v>1.2363607128761247E-17</v>
      </c>
    </row>
    <row r="65" spans="1:13" x14ac:dyDescent="0.25">
      <c r="A65" s="77" t="s">
        <v>1059</v>
      </c>
      <c r="B65" s="42">
        <v>1</v>
      </c>
      <c r="C65" s="170"/>
      <c r="D65" s="60">
        <f t="shared" ref="D65:L65" si="151">IFERROR(D21/$B51,".")</f>
        <v>36.407844783957088</v>
      </c>
      <c r="E65" s="60">
        <f t="shared" si="151"/>
        <v>1.1389896304396512E-3</v>
      </c>
      <c r="F65" s="60">
        <f t="shared" si="151"/>
        <v>0.19114118511577471</v>
      </c>
      <c r="G65" s="189">
        <f t="shared" ref="G65" si="152">IFERROR(G21/$B51,0)</f>
        <v>5.8336289697334433E-13</v>
      </c>
      <c r="H65" s="60">
        <f t="shared" si="151"/>
        <v>5.9796955598081696E-6</v>
      </c>
      <c r="I65" s="189">
        <f t="shared" ref="I65" si="153">IFERROR(I21/$B51,0)</f>
        <v>1.8250030848534536E-17</v>
      </c>
      <c r="J65" s="60">
        <f t="shared" si="151"/>
        <v>0.12742745674384981</v>
      </c>
      <c r="K65" s="189">
        <f t="shared" ref="K65" si="154">IFERROR(K21/$B51,0)</f>
        <v>3.8890859798222972E-13</v>
      </c>
      <c r="L65" s="60">
        <f t="shared" si="151"/>
        <v>3.9864637065387792E-6</v>
      </c>
      <c r="M65" s="189">
        <f t="shared" ref="M65" si="155">IFERROR(M21/$B51,0)</f>
        <v>1.2166687232356353E-17</v>
      </c>
    </row>
    <row r="66" spans="1:13" x14ac:dyDescent="0.25">
      <c r="A66" s="77" t="s">
        <v>1060</v>
      </c>
      <c r="B66" s="79">
        <v>0.99980000000000002</v>
      </c>
      <c r="C66" s="173"/>
      <c r="D66" s="60">
        <f t="shared" ref="D66:L66" si="156">IFERROR(D17/$B52,".")</f>
        <v>36.415127809518992</v>
      </c>
      <c r="E66" s="60">
        <f t="shared" si="156"/>
        <v>1.1442055358022003E-3</v>
      </c>
      <c r="F66" s="60">
        <f t="shared" si="156"/>
        <v>0.1911794209999747</v>
      </c>
      <c r="G66" s="189">
        <f t="shared" ref="G66" si="157">IFERROR(G17/$B52,0)</f>
        <v>5.7277354531592421E-13</v>
      </c>
      <c r="H66" s="60">
        <f t="shared" si="156"/>
        <v>6.0070790629615528E-6</v>
      </c>
      <c r="I66" s="189">
        <f t="shared" ref="I66" si="158">IFERROR(I17/$B52,0)</f>
        <v>1.7997208872632813E-17</v>
      </c>
      <c r="J66" s="60">
        <f t="shared" si="156"/>
        <v>0.12745294733331647</v>
      </c>
      <c r="K66" s="189">
        <f t="shared" ref="K66" si="159">IFERROR(K17/$B52,0)</f>
        <v>3.8184903021061619E-13</v>
      </c>
      <c r="L66" s="60">
        <f t="shared" si="156"/>
        <v>4.0047193753077004E-6</v>
      </c>
      <c r="M66" s="189">
        <f t="shared" ref="M66" si="160">IFERROR(M17/$B52,0)</f>
        <v>1.1998139248421872E-17</v>
      </c>
    </row>
    <row r="67" spans="1:13" x14ac:dyDescent="0.25">
      <c r="A67" s="77" t="s">
        <v>1074</v>
      </c>
      <c r="B67" s="42">
        <v>2.0000000000000001E-4</v>
      </c>
      <c r="C67" s="170"/>
      <c r="D67" s="60">
        <f t="shared" ref="D67:L67" si="161">IFERROR(D5/$B53,".")</f>
        <v>182039.22391978544</v>
      </c>
      <c r="E67" s="60">
        <f t="shared" si="161"/>
        <v>5.7276604106877436</v>
      </c>
      <c r="F67" s="60">
        <f t="shared" si="161"/>
        <v>955.70592557887358</v>
      </c>
      <c r="G67" s="189">
        <f t="shared" ref="G67" si="162">IFERROR(G5/$B53,0)</f>
        <v>2.9168144848667214E-9</v>
      </c>
      <c r="H67" s="60">
        <f t="shared" si="161"/>
        <v>3.0070217156110655E-2</v>
      </c>
      <c r="I67" s="189">
        <f t="shared" ref="I67" si="163">IFERROR(I5/$B53,0)</f>
        <v>9.1774302760449725E-14</v>
      </c>
      <c r="J67" s="60">
        <f t="shared" si="161"/>
        <v>637.13728371924901</v>
      </c>
      <c r="K67" s="189">
        <f t="shared" ref="K67" si="164">IFERROR(K5/$B53,0)</f>
        <v>1.9445429899111487E-9</v>
      </c>
      <c r="L67" s="60">
        <f t="shared" si="161"/>
        <v>2.0046811437407101E-2</v>
      </c>
      <c r="M67" s="189">
        <f t="shared" ref="M67" si="165">IFERROR(M5/$B53,0)</f>
        <v>6.1182868506966483E-14</v>
      </c>
    </row>
    <row r="68" spans="1:13" x14ac:dyDescent="0.25">
      <c r="A68" s="77" t="s">
        <v>1075</v>
      </c>
      <c r="B68" s="42">
        <v>0.99999979999999999</v>
      </c>
      <c r="C68" s="170"/>
      <c r="D68" s="60">
        <f t="shared" ref="D68:L68" si="166">IFERROR(D9/$B54,".")</f>
        <v>36.4078520655275</v>
      </c>
      <c r="E68" s="60">
        <f t="shared" si="166"/>
        <v>1.1450739279273757E-3</v>
      </c>
      <c r="F68" s="60">
        <f t="shared" si="166"/>
        <v>0.1911412233440194</v>
      </c>
      <c r="G68" s="189">
        <f t="shared" ref="G68" si="167">IFERROR(G9/$B54,0)</f>
        <v>5.7265910513868203E-13</v>
      </c>
      <c r="H68" s="60">
        <f t="shared" si="166"/>
        <v>6.0116381216187227E-6</v>
      </c>
      <c r="I68" s="189">
        <f t="shared" ref="I68" si="168">IFERROR(I9/$B54,0)</f>
        <v>1.8010867812369696E-17</v>
      </c>
      <c r="J68" s="60">
        <f t="shared" si="166"/>
        <v>0.12742748222934625</v>
      </c>
      <c r="K68" s="189">
        <f t="shared" ref="K68" si="169">IFERROR(K9/$B54,0)</f>
        <v>3.8177273675912144E-13</v>
      </c>
      <c r="L68" s="60">
        <f t="shared" si="166"/>
        <v>4.0077587477458146E-6</v>
      </c>
      <c r="M68" s="189">
        <f t="shared" ref="M68" si="170">IFERROR(M9/$B54,0)</f>
        <v>1.2007245208246461E-17</v>
      </c>
    </row>
    <row r="69" spans="1:13" x14ac:dyDescent="0.25">
      <c r="A69" s="77" t="s">
        <v>1076</v>
      </c>
      <c r="B69" s="42">
        <v>1.9999999999999999E-7</v>
      </c>
      <c r="C69" s="170"/>
      <c r="D69" s="60">
        <f t="shared" ref="D69:L69" si="171">IFERROR(D24/$B55,".")</f>
        <v>182039223.91978544</v>
      </c>
      <c r="E69" s="60">
        <f t="shared" si="171"/>
        <v>5727.6669657541406</v>
      </c>
      <c r="F69" s="60">
        <f t="shared" si="171"/>
        <v>955705.9255788736</v>
      </c>
      <c r="G69" s="189">
        <f t="shared" ref="G69" si="172">IFERROR(G24/$B55,0)</f>
        <v>2.9168144848667216E-6</v>
      </c>
      <c r="H69" s="60">
        <f t="shared" si="171"/>
        <v>30.070251570209244</v>
      </c>
      <c r="I69" s="189">
        <f t="shared" ref="I69" si="173">IFERROR(I24/$B55,0)</f>
        <v>9.1774407792278607E-11</v>
      </c>
      <c r="J69" s="60">
        <f t="shared" si="171"/>
        <v>637137.28371924907</v>
      </c>
      <c r="K69" s="189">
        <f t="shared" ref="K69" si="174">IFERROR(K24/$B55,0)</f>
        <v>1.9445429899111489E-6</v>
      </c>
      <c r="L69" s="60">
        <f t="shared" si="171"/>
        <v>20.046834380139494</v>
      </c>
      <c r="M69" s="189">
        <f t="shared" ref="M69" si="175">IFERROR(M24/$B55,0)</f>
        <v>6.1182938528185729E-11</v>
      </c>
    </row>
    <row r="70" spans="1:13" x14ac:dyDescent="0.25">
      <c r="A70" s="77" t="s">
        <v>1077</v>
      </c>
      <c r="B70" s="42">
        <v>0.99979000004200003</v>
      </c>
      <c r="C70" s="170"/>
      <c r="D70" s="60">
        <f t="shared" ref="D70:L70" si="176">IFERROR(D20/$B56,".")</f>
        <v>36.415492035755143</v>
      </c>
      <c r="E70" s="60">
        <f t="shared" si="176"/>
        <v>1.1453142136848833E-3</v>
      </c>
      <c r="F70" s="60">
        <f t="shared" si="176"/>
        <v>0.19118133318771452</v>
      </c>
      <c r="G70" s="189">
        <f t="shared" ref="G70" si="177">IFERROR(G20/$B56,0)</f>
        <v>5.7277927423039265E-13</v>
      </c>
      <c r="H70" s="60">
        <f t="shared" si="176"/>
        <v>6.0128996218456369E-6</v>
      </c>
      <c r="I70" s="189">
        <f t="shared" ref="I70" si="178">IFERROR(I20/$B56,0)</f>
        <v>1.8014647267049532E-17</v>
      </c>
      <c r="J70" s="60">
        <f t="shared" si="176"/>
        <v>0.12745422212514301</v>
      </c>
      <c r="K70" s="189">
        <f t="shared" ref="K70" si="179">IFERROR(K20/$B56,0)</f>
        <v>3.8185284948692852E-13</v>
      </c>
      <c r="L70" s="60">
        <f t="shared" si="176"/>
        <v>4.008599747897091E-6</v>
      </c>
      <c r="M70" s="189">
        <f t="shared" ref="M70" si="180">IFERROR(M20/$B56,0)</f>
        <v>1.2009764844699686E-17</v>
      </c>
    </row>
    <row r="71" spans="1:13" x14ac:dyDescent="0.25">
      <c r="A71" s="77" t="s">
        <v>1078</v>
      </c>
      <c r="B71" s="42">
        <v>2.0999995799999999E-4</v>
      </c>
      <c r="C71" s="170"/>
      <c r="D71" s="60">
        <f t="shared" ref="D71:L71" si="181">IFERROR(D29/$B57,".")</f>
        <v>173370.72412155953</v>
      </c>
      <c r="E71" s="60">
        <f t="shared" si="181"/>
        <v>5.4549216192791565</v>
      </c>
      <c r="F71" s="60">
        <f t="shared" si="181"/>
        <v>910.19630163818761</v>
      </c>
      <c r="G71" s="189">
        <f t="shared" ref="G71" si="182">IFERROR(G29/$B57,0)</f>
        <v>2.6759771268162715E-9</v>
      </c>
      <c r="H71" s="60">
        <f t="shared" si="181"/>
        <v>2.8638338501215572E-2</v>
      </c>
      <c r="I71" s="189">
        <f t="shared" ref="I71" si="183">IFERROR(I29/$B57,0)</f>
        <v>8.4196715193573796E-14</v>
      </c>
      <c r="J71" s="60">
        <f t="shared" si="181"/>
        <v>606.79753442545837</v>
      </c>
      <c r="K71" s="189">
        <f t="shared" ref="K71" si="184">IFERROR(K29/$B57,0)</f>
        <v>1.7839847512108478E-9</v>
      </c>
      <c r="L71" s="60">
        <f t="shared" si="181"/>
        <v>1.9092225667477047E-2</v>
      </c>
      <c r="M71" s="189">
        <f t="shared" ref="M71" si="185">IFERROR(M29/$B57,0)</f>
        <v>5.6131143462382514E-14</v>
      </c>
    </row>
    <row r="72" spans="1:13" x14ac:dyDescent="0.25">
      <c r="A72" s="77" t="s">
        <v>1079</v>
      </c>
      <c r="B72" s="42">
        <v>1</v>
      </c>
      <c r="C72" s="170"/>
      <c r="D72" s="60">
        <f t="shared" ref="D72:L72" si="186">IFERROR(D16/$B58,".")</f>
        <v>36.407844783957088</v>
      </c>
      <c r="E72" s="60">
        <f t="shared" si="186"/>
        <v>1.1455333944630649E-3</v>
      </c>
      <c r="F72" s="60">
        <f t="shared" si="186"/>
        <v>0.19114118511577471</v>
      </c>
      <c r="G72" s="189">
        <f t="shared" ref="G72" si="187">IFERROR(G16/$B58,0)</f>
        <v>5.6195508424037762E-13</v>
      </c>
      <c r="H72" s="60">
        <f t="shared" si="186"/>
        <v>6.0140503209310907E-6</v>
      </c>
      <c r="I72" s="189">
        <f t="shared" ref="I72" si="188">IFERROR(I16/$B58,0)</f>
        <v>1.7681307943537408E-17</v>
      </c>
      <c r="J72" s="60">
        <f t="shared" si="186"/>
        <v>0.12742745674384981</v>
      </c>
      <c r="K72" s="189">
        <f t="shared" ref="K72" si="189">IFERROR(K16/$B58,0)</f>
        <v>3.7463672282691846E-13</v>
      </c>
      <c r="L72" s="60">
        <f t="shared" si="186"/>
        <v>4.0093668806207272E-6</v>
      </c>
      <c r="M72" s="189">
        <f t="shared" ref="M72" si="190">IFERROR(M16/$B58,0)</f>
        <v>1.1787538629024938E-17</v>
      </c>
    </row>
    <row r="73" spans="1:13" x14ac:dyDescent="0.25">
      <c r="A73" s="77" t="s">
        <v>1080</v>
      </c>
      <c r="B73" s="42">
        <v>1</v>
      </c>
      <c r="C73" s="170"/>
      <c r="D73" s="60">
        <f t="shared" ref="D73:L73" si="191">IFERROR(D7/$B59,".")</f>
        <v>36.407844783957088</v>
      </c>
      <c r="E73" s="60">
        <f t="shared" si="191"/>
        <v>1.1455333944630649E-3</v>
      </c>
      <c r="F73" s="60">
        <f t="shared" si="191"/>
        <v>0.19114118511577471</v>
      </c>
      <c r="G73" s="189">
        <f t="shared" ref="G73" si="192">IFERROR(G7/$B59,0)</f>
        <v>5.6195508424037762E-13</v>
      </c>
      <c r="H73" s="60">
        <f t="shared" si="191"/>
        <v>6.0140503209310907E-6</v>
      </c>
      <c r="I73" s="189">
        <f t="shared" ref="I73" si="193">IFERROR(I7/$B59,0)</f>
        <v>1.7681307943537408E-17</v>
      </c>
      <c r="J73" s="60">
        <f t="shared" si="191"/>
        <v>0.12742745674384981</v>
      </c>
      <c r="K73" s="189">
        <f t="shared" ref="K73" si="194">IFERROR(K7/$B59,0)</f>
        <v>3.7463672282691846E-13</v>
      </c>
      <c r="L73" s="60">
        <f t="shared" si="191"/>
        <v>4.0093668806207272E-6</v>
      </c>
      <c r="M73" s="189">
        <f t="shared" ref="M73" si="195">IFERROR(M7/$B59,0)</f>
        <v>1.1787538629024938E-17</v>
      </c>
    </row>
    <row r="74" spans="1:13" x14ac:dyDescent="0.25">
      <c r="A74" s="77" t="s">
        <v>1081</v>
      </c>
      <c r="B74" s="80">
        <v>1.9000000000000001E-8</v>
      </c>
      <c r="C74" s="174"/>
      <c r="D74" s="60">
        <f t="shared" ref="D74:L74" si="196">IFERROR(D12/$B60,".")</f>
        <v>1916202357.0503728</v>
      </c>
      <c r="E74" s="60">
        <f t="shared" si="196"/>
        <v>60291.231287529728</v>
      </c>
      <c r="F74" s="60">
        <f t="shared" si="196"/>
        <v>10060062.374514459</v>
      </c>
      <c r="G74" s="189">
        <f t="shared" ref="G74" si="197">IFERROR(G12/$B60,0)</f>
        <v>2.9013219888099694E-5</v>
      </c>
      <c r="H74" s="60">
        <f t="shared" si="196"/>
        <v>316.52896425953105</v>
      </c>
      <c r="I74" s="189">
        <f t="shared" ref="I74" si="198">IFERROR(I12/$B60,0)</f>
        <v>9.128695329244877E-10</v>
      </c>
      <c r="J74" s="60">
        <f t="shared" si="196"/>
        <v>6706708.2496763049</v>
      </c>
      <c r="K74" s="189">
        <f t="shared" ref="K74" si="199">IFERROR(K12/$B60,0)</f>
        <v>1.9342146592066467E-5</v>
      </c>
      <c r="L74" s="60">
        <f t="shared" si="196"/>
        <v>211.01930950635403</v>
      </c>
      <c r="M74" s="189">
        <f t="shared" ref="M74" si="200">IFERROR(M12/$B60,0)</f>
        <v>6.085796886163251E-10</v>
      </c>
    </row>
    <row r="75" spans="1:13" x14ac:dyDescent="0.25">
      <c r="A75" s="77" t="s">
        <v>1082</v>
      </c>
      <c r="B75" s="42">
        <v>1</v>
      </c>
      <c r="C75" s="170"/>
      <c r="D75" s="60">
        <f t="shared" ref="D75:L75" si="201">IFERROR(D18/$B61,".")</f>
        <v>36.407844783957088</v>
      </c>
      <c r="E75" s="60">
        <f t="shared" si="201"/>
        <v>1.1455333944630649E-3</v>
      </c>
      <c r="F75" s="60">
        <f t="shared" si="201"/>
        <v>0.19114118511577471</v>
      </c>
      <c r="G75" s="189">
        <f t="shared" ref="G75" si="202">IFERROR(G18/$B61,0)</f>
        <v>5.6195508424037762E-13</v>
      </c>
      <c r="H75" s="60">
        <f t="shared" si="201"/>
        <v>6.0140503209310907E-6</v>
      </c>
      <c r="I75" s="189">
        <f t="shared" ref="I75" si="203">IFERROR(I18/$B61,0)</f>
        <v>1.7681307943537408E-17</v>
      </c>
      <c r="J75" s="60">
        <f t="shared" si="201"/>
        <v>0.12742745674384981</v>
      </c>
      <c r="K75" s="189">
        <f t="shared" ref="K75" si="204">IFERROR(K18/$B61,0)</f>
        <v>3.7463672282691846E-13</v>
      </c>
      <c r="L75" s="60">
        <f t="shared" si="201"/>
        <v>4.0093668806207272E-6</v>
      </c>
      <c r="M75" s="189">
        <f t="shared" ref="M75" si="205">IFERROR(M18/$B61,0)</f>
        <v>1.1787538629024938E-17</v>
      </c>
    </row>
    <row r="76" spans="1:13" x14ac:dyDescent="0.25">
      <c r="A76" s="77" t="s">
        <v>1083</v>
      </c>
      <c r="B76" s="42">
        <v>1.339E-6</v>
      </c>
      <c r="C76" s="170"/>
      <c r="D76" s="60">
        <f t="shared" ref="D76:L76" si="206">IFERROR(D27/$B62,".")</f>
        <v>27190324.707958989</v>
      </c>
      <c r="E76" s="60">
        <f t="shared" si="206"/>
        <v>855.51411087607528</v>
      </c>
      <c r="F76" s="60">
        <f t="shared" si="206"/>
        <v>142749.2047167847</v>
      </c>
      <c r="G76" s="189">
        <f t="shared" ref="G76" si="207">IFERROR(G27/$B62,0)</f>
        <v>4.1168870640320703E-7</v>
      </c>
      <c r="H76" s="60">
        <f t="shared" si="206"/>
        <v>4.491449082099396</v>
      </c>
      <c r="I76" s="189">
        <f t="shared" ref="I76" si="208">IFERROR(I27/$B62,0)</f>
        <v>1.2953339152774658E-11</v>
      </c>
      <c r="J76" s="60">
        <f t="shared" si="206"/>
        <v>95166.13647785646</v>
      </c>
      <c r="K76" s="189">
        <f t="shared" ref="K76" si="209">IFERROR(K27/$B62,0)</f>
        <v>2.7445913760213807E-7</v>
      </c>
      <c r="L76" s="60">
        <f t="shared" si="206"/>
        <v>2.9942993880662638</v>
      </c>
      <c r="M76" s="189">
        <f t="shared" ref="M76" si="210">IFERROR(M27/$B62,0)</f>
        <v>8.6355594351831039E-12</v>
      </c>
    </row>
  </sheetData>
  <sheetProtection algorithmName="SHA-512" hashValue="NCTUHSGvwQ6zxDR6esgO/gQqar90qgjSU1eJti8TOzLkXh1Aq8UOIr8+yitZ8eGNtQRhxAi5IsqMlCUg7nZEMQ==" saltValue="vKIUgO2c1dXdzifaKIankA==" spinCount="100000" sheet="1" formatColumns="0" formatRows="0" autoFilter="0"/>
  <autoFilter ref="A1:I1299" xr:uid="{00000000-0009-0000-0000-000021000000}"/>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A32"/>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7.28515625" bestFit="1" customWidth="1"/>
    <col min="21" max="21" width="14.5703125" bestFit="1" customWidth="1"/>
    <col min="22" max="22" width="15" bestFit="1" customWidth="1"/>
    <col min="23" max="23" width="14" bestFit="1" customWidth="1"/>
    <col min="24" max="24" width="14.7109375" bestFit="1" customWidth="1"/>
    <col min="25" max="25" width="13.42578125" bestFit="1" customWidth="1"/>
    <col min="26" max="26" width="13.140625" bestFit="1" customWidth="1"/>
    <col min="27" max="27" width="15.42578125" bestFit="1" customWidth="1"/>
  </cols>
  <sheetData>
    <row r="1" spans="1:27" x14ac:dyDescent="0.25">
      <c r="A1" s="72" t="s">
        <v>39</v>
      </c>
      <c r="B1" s="73" t="s">
        <v>334</v>
      </c>
      <c r="C1" s="105" t="s">
        <v>627</v>
      </c>
      <c r="D1" s="105" t="s">
        <v>628</v>
      </c>
      <c r="E1" s="105" t="s">
        <v>629</v>
      </c>
      <c r="F1" s="105" t="s">
        <v>630</v>
      </c>
      <c r="G1" s="105" t="s">
        <v>631</v>
      </c>
      <c r="H1" s="105" t="s">
        <v>632</v>
      </c>
      <c r="I1" s="105" t="s">
        <v>633</v>
      </c>
      <c r="J1" s="105" t="s">
        <v>634</v>
      </c>
      <c r="K1" s="105" t="s">
        <v>635</v>
      </c>
      <c r="L1" s="105" t="s">
        <v>636</v>
      </c>
      <c r="M1" s="105" t="s">
        <v>637</v>
      </c>
      <c r="N1" s="105" t="s">
        <v>638</v>
      </c>
      <c r="O1" s="105" t="s">
        <v>639</v>
      </c>
      <c r="P1" s="105" t="s">
        <v>640</v>
      </c>
      <c r="Q1" s="105" t="s">
        <v>641</v>
      </c>
      <c r="R1" s="105" t="s">
        <v>642</v>
      </c>
      <c r="S1" s="105" t="s">
        <v>643</v>
      </c>
      <c r="T1" t="s">
        <v>1283</v>
      </c>
      <c r="U1" s="105" t="s">
        <v>644</v>
      </c>
      <c r="V1" s="105" t="s">
        <v>645</v>
      </c>
      <c r="W1" s="105" t="s">
        <v>646</v>
      </c>
      <c r="X1" s="105" t="s">
        <v>647</v>
      </c>
      <c r="Y1" s="105" t="s">
        <v>648</v>
      </c>
      <c r="Z1" s="105" t="s">
        <v>649</v>
      </c>
      <c r="AA1" s="105" t="s">
        <v>719</v>
      </c>
    </row>
    <row r="2" spans="1:27" ht="15" customHeight="1" x14ac:dyDescent="0.25">
      <c r="A2" s="44" t="s">
        <v>0</v>
      </c>
      <c r="B2" s="42" t="s">
        <v>1057</v>
      </c>
      <c r="C2" s="175">
        <v>1E-3</v>
      </c>
      <c r="D2" s="175">
        <v>1E-3</v>
      </c>
      <c r="E2" s="175">
        <v>1E-3</v>
      </c>
      <c r="F2" s="175">
        <v>1E-3</v>
      </c>
      <c r="G2" s="175">
        <v>1E-3</v>
      </c>
      <c r="H2" s="175">
        <v>1E-3</v>
      </c>
      <c r="I2" s="175">
        <v>1E-3</v>
      </c>
      <c r="J2" s="175">
        <v>1E-3</v>
      </c>
      <c r="K2" s="175">
        <v>1E-3</v>
      </c>
      <c r="L2" s="175">
        <v>1E-3</v>
      </c>
      <c r="M2" s="175">
        <v>1E-3</v>
      </c>
      <c r="N2" s="175">
        <v>1E-3</v>
      </c>
      <c r="O2" s="175">
        <v>1E-3</v>
      </c>
      <c r="P2" s="175">
        <v>1E-3</v>
      </c>
      <c r="Q2" s="175">
        <v>1E-3</v>
      </c>
      <c r="R2" s="175">
        <v>1E-3</v>
      </c>
      <c r="S2" s="175">
        <v>1E-3</v>
      </c>
      <c r="T2" s="203">
        <v>1E-3</v>
      </c>
      <c r="U2" s="175">
        <v>1E-3</v>
      </c>
      <c r="V2" s="175">
        <v>1E-3</v>
      </c>
      <c r="W2" s="175">
        <v>1E-3</v>
      </c>
      <c r="X2" s="175">
        <v>1E-3</v>
      </c>
      <c r="Y2" s="175">
        <v>1E-3</v>
      </c>
      <c r="Z2" s="175">
        <v>1E-3</v>
      </c>
      <c r="AA2" s="175">
        <v>1E-3</v>
      </c>
    </row>
    <row r="3" spans="1:27" ht="15" customHeight="1" x14ac:dyDescent="0.25">
      <c r="A3" s="46" t="s">
        <v>1</v>
      </c>
      <c r="B3" s="42" t="s">
        <v>335</v>
      </c>
      <c r="C3" s="176">
        <v>3.1000000000000001E-5</v>
      </c>
      <c r="D3" s="176">
        <v>2.7E-4</v>
      </c>
      <c r="E3" s="176">
        <v>6.7000000000000002E-4</v>
      </c>
      <c r="F3" s="177">
        <v>8.0000000000000004E-4</v>
      </c>
      <c r="G3" s="176">
        <v>3.6000000000000002E-4</v>
      </c>
      <c r="H3" s="176">
        <v>2.7E-4</v>
      </c>
      <c r="I3" s="176">
        <v>6.7000000000000002E-4</v>
      </c>
      <c r="J3" s="176">
        <v>3.1000000000000001E-5</v>
      </c>
      <c r="K3" s="177">
        <v>5.0000000000000002E-5</v>
      </c>
      <c r="L3" s="176">
        <v>3.6000000000000002E-4</v>
      </c>
      <c r="M3" s="176">
        <v>2.7E-4</v>
      </c>
      <c r="N3" s="176">
        <v>3.8000000000000002E-4</v>
      </c>
      <c r="O3" s="176">
        <v>3.6000000000000002E-4</v>
      </c>
      <c r="P3" s="176">
        <v>6.7000000000000002E-4</v>
      </c>
      <c r="Q3" s="176">
        <v>3.1000000000000001E-5</v>
      </c>
      <c r="R3" s="176">
        <v>3.1000000000000001E-5</v>
      </c>
      <c r="S3" s="176">
        <v>3.8000000000000002E-4</v>
      </c>
      <c r="T3" s="204">
        <v>3.6000000000000002E-4</v>
      </c>
      <c r="U3" s="176">
        <v>2.1000000000000001E-4</v>
      </c>
      <c r="V3" s="176">
        <v>3.6000000000000002E-4</v>
      </c>
      <c r="W3" s="176">
        <v>3.8000000000000002E-4</v>
      </c>
      <c r="X3" s="176">
        <v>1.1E-4</v>
      </c>
      <c r="Y3" s="176">
        <v>3.6000000000000002E-4</v>
      </c>
      <c r="Z3" s="175">
        <v>1E-3</v>
      </c>
      <c r="AA3" s="176">
        <v>2.1999999999999999E-5</v>
      </c>
    </row>
    <row r="4" spans="1:27" ht="15" customHeight="1" x14ac:dyDescent="0.25">
      <c r="A4" s="44" t="s">
        <v>2</v>
      </c>
      <c r="B4" s="42" t="s">
        <v>1057</v>
      </c>
      <c r="C4" s="175">
        <v>0.2</v>
      </c>
      <c r="D4" s="175">
        <v>0.2</v>
      </c>
      <c r="E4" s="175">
        <v>0.2</v>
      </c>
      <c r="F4" s="175">
        <v>0.2</v>
      </c>
      <c r="G4" s="175">
        <v>0.2</v>
      </c>
      <c r="H4" s="175">
        <v>0.2</v>
      </c>
      <c r="I4" s="175">
        <v>0.2</v>
      </c>
      <c r="J4" s="175">
        <v>0.2</v>
      </c>
      <c r="K4" s="175">
        <v>0.2</v>
      </c>
      <c r="L4" s="175">
        <v>0.2</v>
      </c>
      <c r="M4" s="175">
        <v>0.2</v>
      </c>
      <c r="N4" s="175">
        <v>0.2</v>
      </c>
      <c r="O4" s="175">
        <v>0.2</v>
      </c>
      <c r="P4" s="175">
        <v>0.2</v>
      </c>
      <c r="Q4" s="175">
        <v>0.2</v>
      </c>
      <c r="R4" s="175">
        <v>0.2</v>
      </c>
      <c r="S4" s="175">
        <v>0.2</v>
      </c>
      <c r="T4" s="203">
        <v>0.2</v>
      </c>
      <c r="U4" s="175">
        <v>0.2</v>
      </c>
      <c r="V4" s="175">
        <v>0.2</v>
      </c>
      <c r="W4" s="175">
        <v>0.2</v>
      </c>
      <c r="X4" s="175">
        <v>0.2</v>
      </c>
      <c r="Y4" s="175">
        <v>0.2</v>
      </c>
      <c r="Z4" s="175">
        <v>0.2</v>
      </c>
      <c r="AA4" s="175">
        <v>0.2</v>
      </c>
    </row>
    <row r="5" spans="1:27" ht="15" customHeight="1" x14ac:dyDescent="0.25">
      <c r="A5" s="44" t="s">
        <v>3</v>
      </c>
      <c r="B5" s="42" t="s">
        <v>1057</v>
      </c>
      <c r="C5" s="175">
        <v>0.2</v>
      </c>
      <c r="D5" s="175">
        <v>0.2</v>
      </c>
      <c r="E5" s="175">
        <v>0.2</v>
      </c>
      <c r="F5" s="175">
        <v>0.2</v>
      </c>
      <c r="G5" s="175">
        <v>0.2</v>
      </c>
      <c r="H5" s="175">
        <v>0.2</v>
      </c>
      <c r="I5" s="175">
        <v>0.2</v>
      </c>
      <c r="J5" s="175">
        <v>0.2</v>
      </c>
      <c r="K5" s="175">
        <v>0.2</v>
      </c>
      <c r="L5" s="175">
        <v>0.2</v>
      </c>
      <c r="M5" s="175">
        <v>0.2</v>
      </c>
      <c r="N5" s="175">
        <v>0.2</v>
      </c>
      <c r="O5" s="175">
        <v>0.2</v>
      </c>
      <c r="P5" s="175">
        <v>0.2</v>
      </c>
      <c r="Q5" s="175">
        <v>0.2</v>
      </c>
      <c r="R5" s="175">
        <v>0.2</v>
      </c>
      <c r="S5" s="175">
        <v>0.2</v>
      </c>
      <c r="T5" s="203">
        <v>0.2</v>
      </c>
      <c r="U5" s="175">
        <v>0.2</v>
      </c>
      <c r="V5" s="175">
        <v>0.2</v>
      </c>
      <c r="W5" s="175">
        <v>0.2</v>
      </c>
      <c r="X5" s="175">
        <v>0.2</v>
      </c>
      <c r="Y5" s="175">
        <v>0.2</v>
      </c>
      <c r="Z5" s="175">
        <v>0.2</v>
      </c>
      <c r="AA5" s="175">
        <v>0.2</v>
      </c>
    </row>
    <row r="6" spans="1:27" ht="15" customHeight="1" x14ac:dyDescent="0.25">
      <c r="A6" s="44" t="s">
        <v>4</v>
      </c>
      <c r="B6" s="42" t="s">
        <v>1057</v>
      </c>
      <c r="C6" s="177">
        <v>0.01</v>
      </c>
      <c r="D6" s="176">
        <v>5.0000000000000001E-3</v>
      </c>
      <c r="E6" s="176">
        <v>5.0000000000000001E-3</v>
      </c>
      <c r="F6" s="177">
        <v>0.01</v>
      </c>
      <c r="G6" s="177">
        <v>0.01</v>
      </c>
      <c r="H6" s="176">
        <v>5.0000000000000001E-3</v>
      </c>
      <c r="I6" s="176">
        <v>5.0000000000000001E-3</v>
      </c>
      <c r="J6" s="177">
        <v>0.01</v>
      </c>
      <c r="K6" s="177">
        <v>0.01</v>
      </c>
      <c r="L6" s="177">
        <v>0.01</v>
      </c>
      <c r="M6" s="176">
        <v>5.0000000000000001E-3</v>
      </c>
      <c r="N6" s="177">
        <v>0.01</v>
      </c>
      <c r="O6" s="177">
        <v>0.01</v>
      </c>
      <c r="P6" s="177">
        <v>5.0000000000000001E-3</v>
      </c>
      <c r="Q6" s="177">
        <v>0.01</v>
      </c>
      <c r="R6" s="177">
        <v>0.01</v>
      </c>
      <c r="S6" s="177">
        <v>0.01</v>
      </c>
      <c r="T6" s="205">
        <v>0.01</v>
      </c>
      <c r="U6" s="176">
        <v>5.0000000000000001E-3</v>
      </c>
      <c r="V6" s="177">
        <v>0.01</v>
      </c>
      <c r="W6" s="177">
        <v>0.01</v>
      </c>
      <c r="X6" s="177">
        <v>0.01</v>
      </c>
      <c r="Y6" s="177">
        <v>0.01</v>
      </c>
      <c r="Z6" s="176">
        <v>9.3999999999999997E-4</v>
      </c>
      <c r="AA6" s="176">
        <v>1E-3</v>
      </c>
    </row>
    <row r="7" spans="1:27" ht="15" customHeight="1" x14ac:dyDescent="0.25">
      <c r="A7" s="44" t="s">
        <v>5</v>
      </c>
      <c r="B7" s="42" t="s">
        <v>1057</v>
      </c>
      <c r="C7" s="175">
        <v>0.1</v>
      </c>
      <c r="D7" s="175">
        <v>0.1</v>
      </c>
      <c r="E7" s="175">
        <v>0.1</v>
      </c>
      <c r="F7" s="175">
        <v>0.1</v>
      </c>
      <c r="G7" s="175">
        <v>0.1</v>
      </c>
      <c r="H7" s="175">
        <v>0.1</v>
      </c>
      <c r="I7" s="175">
        <v>0.1</v>
      </c>
      <c r="J7" s="175">
        <v>0.1</v>
      </c>
      <c r="K7" s="175">
        <v>0.1</v>
      </c>
      <c r="L7" s="175">
        <v>0.1</v>
      </c>
      <c r="M7" s="175">
        <v>0.1</v>
      </c>
      <c r="N7" s="175">
        <v>0.1</v>
      </c>
      <c r="O7" s="175">
        <v>0.1</v>
      </c>
      <c r="P7" s="175">
        <v>0.1</v>
      </c>
      <c r="Q7" s="175">
        <v>0.1</v>
      </c>
      <c r="R7" s="175">
        <v>0.1</v>
      </c>
      <c r="S7" s="175">
        <v>0.1</v>
      </c>
      <c r="T7" s="203">
        <v>0.1</v>
      </c>
      <c r="U7" s="175">
        <v>0.1</v>
      </c>
      <c r="V7" s="175">
        <v>0.1</v>
      </c>
      <c r="W7" s="175">
        <v>0.1</v>
      </c>
      <c r="X7" s="175">
        <v>0.1</v>
      </c>
      <c r="Y7" s="175">
        <v>0.1</v>
      </c>
      <c r="Z7" s="175">
        <v>0.1</v>
      </c>
      <c r="AA7" s="175">
        <v>0.1</v>
      </c>
    </row>
    <row r="8" spans="1:27" ht="15" customHeight="1" x14ac:dyDescent="0.25">
      <c r="A8" s="44" t="s">
        <v>6</v>
      </c>
      <c r="B8" s="42" t="s">
        <v>1057</v>
      </c>
      <c r="C8" s="175">
        <v>0.1</v>
      </c>
      <c r="D8" s="175">
        <v>0.1</v>
      </c>
      <c r="E8" s="175">
        <v>0.1</v>
      </c>
      <c r="F8" s="175">
        <v>0.1</v>
      </c>
      <c r="G8" s="175">
        <v>0.1</v>
      </c>
      <c r="H8" s="175">
        <v>0.1</v>
      </c>
      <c r="I8" s="175">
        <v>0.1</v>
      </c>
      <c r="J8" s="175">
        <v>0.1</v>
      </c>
      <c r="K8" s="175">
        <v>0.1</v>
      </c>
      <c r="L8" s="175">
        <v>0.1</v>
      </c>
      <c r="M8" s="175">
        <v>0.1</v>
      </c>
      <c r="N8" s="175">
        <v>0.1</v>
      </c>
      <c r="O8" s="175">
        <v>0.1</v>
      </c>
      <c r="P8" s="175">
        <v>0.1</v>
      </c>
      <c r="Q8" s="175">
        <v>0.1</v>
      </c>
      <c r="R8" s="175">
        <v>0.1</v>
      </c>
      <c r="S8" s="175">
        <v>0.1</v>
      </c>
      <c r="T8" s="203">
        <v>0.1</v>
      </c>
      <c r="U8" s="175">
        <v>0.1</v>
      </c>
      <c r="V8" s="175">
        <v>0.1</v>
      </c>
      <c r="W8" s="175">
        <v>0.1</v>
      </c>
      <c r="X8" s="175">
        <v>0.1</v>
      </c>
      <c r="Y8" s="175">
        <v>0.1</v>
      </c>
      <c r="Z8" s="175">
        <v>0.1</v>
      </c>
      <c r="AA8" s="175">
        <v>0.1</v>
      </c>
    </row>
    <row r="9" spans="1:27" ht="15" customHeight="1" x14ac:dyDescent="0.25">
      <c r="A9" s="44" t="s">
        <v>7</v>
      </c>
      <c r="B9" s="42" t="s">
        <v>1057</v>
      </c>
      <c r="C9" s="175">
        <v>0.1</v>
      </c>
      <c r="D9" s="175">
        <v>0.1</v>
      </c>
      <c r="E9" s="175">
        <v>0.1</v>
      </c>
      <c r="F9" s="175">
        <v>0.1</v>
      </c>
      <c r="G9" s="175">
        <v>0.1</v>
      </c>
      <c r="H9" s="175">
        <v>0.1</v>
      </c>
      <c r="I9" s="175">
        <v>0.1</v>
      </c>
      <c r="J9" s="175">
        <v>0.1</v>
      </c>
      <c r="K9" s="175">
        <v>0.1</v>
      </c>
      <c r="L9" s="175">
        <v>0.1</v>
      </c>
      <c r="M9" s="175">
        <v>0.1</v>
      </c>
      <c r="N9" s="175">
        <v>0.1</v>
      </c>
      <c r="O9" s="175">
        <v>0.1</v>
      </c>
      <c r="P9" s="175">
        <v>0.1</v>
      </c>
      <c r="Q9" s="175">
        <v>0.1</v>
      </c>
      <c r="R9" s="175">
        <v>0.1</v>
      </c>
      <c r="S9" s="175">
        <v>0.1</v>
      </c>
      <c r="T9" s="203">
        <v>0.1</v>
      </c>
      <c r="U9" s="175">
        <v>0.1</v>
      </c>
      <c r="V9" s="175">
        <v>0.1</v>
      </c>
      <c r="W9" s="175">
        <v>0.1</v>
      </c>
      <c r="X9" s="175">
        <v>0.1</v>
      </c>
      <c r="Y9" s="175">
        <v>0.1</v>
      </c>
      <c r="Z9" s="175">
        <v>0.1</v>
      </c>
      <c r="AA9" s="175">
        <v>0.1</v>
      </c>
    </row>
    <row r="10" spans="1:27" ht="15" customHeight="1" x14ac:dyDescent="0.25">
      <c r="A10" s="46" t="s">
        <v>8</v>
      </c>
      <c r="B10" s="42" t="s">
        <v>335</v>
      </c>
      <c r="C10" s="176">
        <v>5.7999999999999996E-3</v>
      </c>
      <c r="D10" s="176">
        <v>0.06</v>
      </c>
      <c r="E10" s="176">
        <v>4.2000000000000003E-2</v>
      </c>
      <c r="F10" s="176">
        <v>2.0999999999999999E-3</v>
      </c>
      <c r="G10" s="176">
        <v>2.1000000000000001E-2</v>
      </c>
      <c r="H10" s="176">
        <v>0.06</v>
      </c>
      <c r="I10" s="176">
        <v>4.2000000000000003E-2</v>
      </c>
      <c r="J10" s="176">
        <v>5.7999999999999996E-3</v>
      </c>
      <c r="K10" s="176">
        <v>3.3000000000000002E-2</v>
      </c>
      <c r="L10" s="176">
        <v>2.1000000000000001E-2</v>
      </c>
      <c r="M10" s="176">
        <v>0.06</v>
      </c>
      <c r="N10" s="176">
        <v>0.04</v>
      </c>
      <c r="O10" s="176">
        <v>2.1000000000000001E-2</v>
      </c>
      <c r="P10" s="176">
        <v>4.2000000000000003E-2</v>
      </c>
      <c r="Q10" s="176">
        <v>5.7999999999999996E-3</v>
      </c>
      <c r="R10" s="176">
        <v>5.7999999999999996E-3</v>
      </c>
      <c r="S10" s="176">
        <v>0.04</v>
      </c>
      <c r="T10" s="204">
        <v>2.1000000000000001E-2</v>
      </c>
      <c r="U10" s="176">
        <v>5.6000000000000001E-2</v>
      </c>
      <c r="V10" s="176">
        <v>2.1000000000000001E-2</v>
      </c>
      <c r="W10" s="176">
        <v>0.04</v>
      </c>
      <c r="X10" s="176">
        <v>2.8999999999999998E-3</v>
      </c>
      <c r="Y10" s="176">
        <v>2.1000000000000001E-2</v>
      </c>
      <c r="Z10" s="176">
        <v>7.2999999999999996E-4</v>
      </c>
      <c r="AA10" s="176">
        <v>2.9000000000000001E-2</v>
      </c>
    </row>
    <row r="11" spans="1:27" ht="15" customHeight="1" x14ac:dyDescent="0.25">
      <c r="A11" s="44" t="s">
        <v>9</v>
      </c>
      <c r="B11" s="42" t="s">
        <v>1057</v>
      </c>
      <c r="C11" s="175">
        <v>0.03</v>
      </c>
      <c r="D11" s="175">
        <v>0.03</v>
      </c>
      <c r="E11" s="175">
        <v>0.03</v>
      </c>
      <c r="F11" s="175">
        <v>0.03</v>
      </c>
      <c r="G11" s="175">
        <v>0.03</v>
      </c>
      <c r="H11" s="175">
        <v>0.03</v>
      </c>
      <c r="I11" s="175">
        <v>0.03</v>
      </c>
      <c r="J11" s="175">
        <v>0.03</v>
      </c>
      <c r="K11" s="175">
        <v>0.03</v>
      </c>
      <c r="L11" s="175">
        <v>0.03</v>
      </c>
      <c r="M11" s="175">
        <v>0.03</v>
      </c>
      <c r="N11" s="175">
        <v>0.03</v>
      </c>
      <c r="O11" s="175">
        <v>0.03</v>
      </c>
      <c r="P11" s="175">
        <v>0.03</v>
      </c>
      <c r="Q11" s="175">
        <v>0.03</v>
      </c>
      <c r="R11" s="175">
        <v>0.03</v>
      </c>
      <c r="S11" s="175">
        <v>0.03</v>
      </c>
      <c r="T11" s="203">
        <v>0.03</v>
      </c>
      <c r="U11" s="175">
        <v>0.03</v>
      </c>
      <c r="V11" s="175">
        <v>0.03</v>
      </c>
      <c r="W11" s="175">
        <v>0.03</v>
      </c>
      <c r="X11" s="175">
        <v>0.03</v>
      </c>
      <c r="Y11" s="175">
        <v>0.03</v>
      </c>
      <c r="Z11" s="175">
        <v>0.03</v>
      </c>
      <c r="AA11" s="175">
        <v>0.03</v>
      </c>
    </row>
    <row r="12" spans="1:27" ht="15" customHeight="1" x14ac:dyDescent="0.25">
      <c r="A12" s="44" t="s">
        <v>10</v>
      </c>
      <c r="B12" s="42" t="s">
        <v>1057</v>
      </c>
      <c r="C12" s="175">
        <v>0.3</v>
      </c>
      <c r="D12" s="175">
        <v>0.3</v>
      </c>
      <c r="E12" s="175">
        <v>0.3</v>
      </c>
      <c r="F12" s="175">
        <v>0.3</v>
      </c>
      <c r="G12" s="175">
        <v>0.3</v>
      </c>
      <c r="H12" s="175">
        <v>0.3</v>
      </c>
      <c r="I12" s="175">
        <v>0.3</v>
      </c>
      <c r="J12" s="175">
        <v>0.3</v>
      </c>
      <c r="K12" s="175">
        <v>0.3</v>
      </c>
      <c r="L12" s="175">
        <v>0.3</v>
      </c>
      <c r="M12" s="175">
        <v>0.3</v>
      </c>
      <c r="N12" s="175">
        <v>0.3</v>
      </c>
      <c r="O12" s="175">
        <v>0.3</v>
      </c>
      <c r="P12" s="175">
        <v>0.3</v>
      </c>
      <c r="Q12" s="175">
        <v>0.3</v>
      </c>
      <c r="R12" s="175">
        <v>0.3</v>
      </c>
      <c r="S12" s="175">
        <v>0.3</v>
      </c>
      <c r="T12" s="203">
        <v>0.3</v>
      </c>
      <c r="U12" s="175">
        <v>0.3</v>
      </c>
      <c r="V12" s="175">
        <v>0.3</v>
      </c>
      <c r="W12" s="175">
        <v>0.3</v>
      </c>
      <c r="X12" s="175">
        <v>0.3</v>
      </c>
      <c r="Y12" s="175">
        <v>0.3</v>
      </c>
      <c r="Z12" s="175">
        <v>0.3</v>
      </c>
      <c r="AA12" s="175">
        <v>0.3</v>
      </c>
    </row>
    <row r="13" spans="1:27" ht="15" customHeight="1" x14ac:dyDescent="0.25">
      <c r="A13" s="44" t="s">
        <v>11</v>
      </c>
      <c r="B13" s="42" t="s">
        <v>1057</v>
      </c>
      <c r="C13" s="177">
        <v>2.9999999999999997E-4</v>
      </c>
      <c r="D13" s="176">
        <v>2.7E-2</v>
      </c>
      <c r="E13" s="176">
        <v>2.1999999999999999E-2</v>
      </c>
      <c r="F13" s="177">
        <v>2.9999999999999997E-4</v>
      </c>
      <c r="G13" s="176">
        <v>1.7999999999999999E-2</v>
      </c>
      <c r="H13" s="176">
        <v>2.7E-2</v>
      </c>
      <c r="I13" s="176">
        <v>2.1999999999999999E-2</v>
      </c>
      <c r="J13" s="177">
        <v>2.9999999999999997E-4</v>
      </c>
      <c r="K13" s="176">
        <v>4.7999999999999996E-3</v>
      </c>
      <c r="L13" s="176">
        <v>1.7999999999999999E-2</v>
      </c>
      <c r="M13" s="176">
        <v>2.7E-2</v>
      </c>
      <c r="N13" s="176">
        <v>1.7000000000000001E-2</v>
      </c>
      <c r="O13" s="176">
        <v>1.7999999999999999E-2</v>
      </c>
      <c r="P13" s="176">
        <v>2.1999999999999999E-2</v>
      </c>
      <c r="Q13" s="177">
        <v>2.9999999999999997E-4</v>
      </c>
      <c r="R13" s="177">
        <v>2.9999999999999997E-4</v>
      </c>
      <c r="S13" s="176">
        <v>1.7000000000000001E-2</v>
      </c>
      <c r="T13" s="204">
        <v>1.7999999999999999E-2</v>
      </c>
      <c r="U13" s="176">
        <v>5.7000000000000002E-3</v>
      </c>
      <c r="V13" s="176">
        <v>1.7999999999999999E-2</v>
      </c>
      <c r="W13" s="176">
        <v>1.7000000000000001E-2</v>
      </c>
      <c r="X13" s="177">
        <v>2.9999999999999997E-4</v>
      </c>
      <c r="Y13" s="176">
        <v>1.7999999999999999E-2</v>
      </c>
      <c r="Z13" s="175">
        <v>0.02</v>
      </c>
      <c r="AA13" s="176">
        <v>2.8999999999999998E-3</v>
      </c>
    </row>
    <row r="14" spans="1:27" ht="15" customHeight="1" x14ac:dyDescent="0.25">
      <c r="A14" s="44" t="s">
        <v>12</v>
      </c>
      <c r="B14" s="42" t="s">
        <v>1057</v>
      </c>
      <c r="C14" s="175">
        <v>0.01</v>
      </c>
      <c r="D14" s="175">
        <v>0.01</v>
      </c>
      <c r="E14" s="175">
        <v>0.01</v>
      </c>
      <c r="F14" s="175">
        <v>0.01</v>
      </c>
      <c r="G14" s="175">
        <v>0.01</v>
      </c>
      <c r="H14" s="175">
        <v>0.01</v>
      </c>
      <c r="I14" s="175">
        <v>0.01</v>
      </c>
      <c r="J14" s="175">
        <v>0.01</v>
      </c>
      <c r="K14" s="175">
        <v>0.01</v>
      </c>
      <c r="L14" s="175">
        <v>0.01</v>
      </c>
      <c r="M14" s="175">
        <v>0.01</v>
      </c>
      <c r="N14" s="175">
        <v>0.01</v>
      </c>
      <c r="O14" s="175">
        <v>0.01</v>
      </c>
      <c r="P14" s="175">
        <v>0.01</v>
      </c>
      <c r="Q14" s="175">
        <v>0.01</v>
      </c>
      <c r="R14" s="175">
        <v>0.01</v>
      </c>
      <c r="S14" s="175">
        <v>0.01</v>
      </c>
      <c r="T14" s="203">
        <v>0.01</v>
      </c>
      <c r="U14" s="175">
        <v>0.01</v>
      </c>
      <c r="V14" s="175">
        <v>0.01</v>
      </c>
      <c r="W14" s="175">
        <v>0.01</v>
      </c>
      <c r="X14" s="175">
        <v>0.01</v>
      </c>
      <c r="Y14" s="175">
        <v>0.01</v>
      </c>
      <c r="Z14" s="175">
        <v>0.01</v>
      </c>
      <c r="AA14" s="175">
        <v>0.01</v>
      </c>
    </row>
    <row r="15" spans="1:27" ht="15" customHeight="1" x14ac:dyDescent="0.25">
      <c r="A15" s="44" t="s">
        <v>13</v>
      </c>
      <c r="B15" s="42" t="s">
        <v>1057</v>
      </c>
      <c r="C15" s="177">
        <v>0.01</v>
      </c>
      <c r="D15" s="176">
        <v>0.08</v>
      </c>
      <c r="E15" s="176">
        <v>1.4999999999999999E-2</v>
      </c>
      <c r="F15" s="177">
        <v>0.01</v>
      </c>
      <c r="G15" s="176">
        <v>1.4999999999999999E-2</v>
      </c>
      <c r="H15" s="176">
        <v>0.08</v>
      </c>
      <c r="I15" s="176">
        <v>1.4999999999999999E-2</v>
      </c>
      <c r="J15" s="177">
        <v>0.01</v>
      </c>
      <c r="K15" s="176">
        <v>1.1999999999999999E-3</v>
      </c>
      <c r="L15" s="176">
        <v>1.4999999999999999E-2</v>
      </c>
      <c r="M15" s="176">
        <v>0.08</v>
      </c>
      <c r="N15" s="176">
        <v>5.3E-3</v>
      </c>
      <c r="O15" s="176">
        <v>1.4999999999999999E-2</v>
      </c>
      <c r="P15" s="176">
        <v>1.4999999999999999E-2</v>
      </c>
      <c r="Q15" s="177">
        <v>0.01</v>
      </c>
      <c r="R15" s="177">
        <v>0.01</v>
      </c>
      <c r="S15" s="176">
        <v>5.3E-3</v>
      </c>
      <c r="T15" s="204">
        <v>1.4999999999999999E-2</v>
      </c>
      <c r="U15" s="176">
        <v>1.5E-3</v>
      </c>
      <c r="V15" s="176">
        <v>1.4999999999999999E-2</v>
      </c>
      <c r="W15" s="176">
        <v>5.3E-3</v>
      </c>
      <c r="X15" s="177">
        <v>0.01</v>
      </c>
      <c r="Y15" s="176">
        <v>1.4999999999999999E-2</v>
      </c>
      <c r="Z15" s="176">
        <v>2.9E-4</v>
      </c>
      <c r="AA15" s="176">
        <v>1.0999999999999999E-2</v>
      </c>
    </row>
    <row r="16" spans="1:27" ht="15" customHeight="1" x14ac:dyDescent="0.25">
      <c r="A16" s="44" t="s">
        <v>14</v>
      </c>
      <c r="B16" s="42" t="s">
        <v>1057</v>
      </c>
      <c r="C16" s="177">
        <v>0.01</v>
      </c>
      <c r="D16" s="176">
        <v>0.08</v>
      </c>
      <c r="E16" s="176">
        <v>1.4999999999999999E-2</v>
      </c>
      <c r="F16" s="177">
        <v>0.01</v>
      </c>
      <c r="G16" s="176">
        <v>1.4999999999999999E-2</v>
      </c>
      <c r="H16" s="176">
        <v>0.08</v>
      </c>
      <c r="I16" s="176">
        <v>1.4999999999999999E-2</v>
      </c>
      <c r="J16" s="177">
        <v>0.01</v>
      </c>
      <c r="K16" s="176">
        <v>1.1999999999999999E-3</v>
      </c>
      <c r="L16" s="176">
        <v>1.4999999999999999E-2</v>
      </c>
      <c r="M16" s="176">
        <v>0.08</v>
      </c>
      <c r="N16" s="176">
        <v>5.3E-3</v>
      </c>
      <c r="O16" s="176">
        <v>1.4999999999999999E-2</v>
      </c>
      <c r="P16" s="176">
        <v>1.4999999999999999E-2</v>
      </c>
      <c r="Q16" s="177">
        <v>0.01</v>
      </c>
      <c r="R16" s="177">
        <v>0.01</v>
      </c>
      <c r="S16" s="176">
        <v>5.3E-3</v>
      </c>
      <c r="T16" s="204">
        <v>1.4999999999999999E-2</v>
      </c>
      <c r="U16" s="176">
        <v>1.5E-3</v>
      </c>
      <c r="V16" s="176">
        <v>1.4999999999999999E-2</v>
      </c>
      <c r="W16" s="176">
        <v>5.3E-3</v>
      </c>
      <c r="X16" s="177">
        <v>0.01</v>
      </c>
      <c r="Y16" s="176">
        <v>1.4999999999999999E-2</v>
      </c>
      <c r="Z16" s="176">
        <v>2.9E-4</v>
      </c>
      <c r="AA16" s="176">
        <v>1.0999999999999999E-2</v>
      </c>
    </row>
    <row r="17" spans="1:27" ht="15" customHeight="1" x14ac:dyDescent="0.25">
      <c r="A17" s="44" t="s">
        <v>15</v>
      </c>
      <c r="B17" s="42" t="s">
        <v>1057</v>
      </c>
      <c r="C17" s="177">
        <v>0.01</v>
      </c>
      <c r="D17" s="176">
        <v>0.08</v>
      </c>
      <c r="E17" s="176">
        <v>1.4999999999999999E-2</v>
      </c>
      <c r="F17" s="177">
        <v>0.01</v>
      </c>
      <c r="G17" s="176">
        <v>1.4999999999999999E-2</v>
      </c>
      <c r="H17" s="176">
        <v>0.08</v>
      </c>
      <c r="I17" s="176">
        <v>1.4999999999999999E-2</v>
      </c>
      <c r="J17" s="177">
        <v>0.01</v>
      </c>
      <c r="K17" s="176">
        <v>1.1999999999999999E-3</v>
      </c>
      <c r="L17" s="176">
        <v>1.4999999999999999E-2</v>
      </c>
      <c r="M17" s="176">
        <v>0.08</v>
      </c>
      <c r="N17" s="176">
        <v>5.3E-3</v>
      </c>
      <c r="O17" s="176">
        <v>1.4999999999999999E-2</v>
      </c>
      <c r="P17" s="176">
        <v>1.4999999999999999E-2</v>
      </c>
      <c r="Q17" s="177">
        <v>0.01</v>
      </c>
      <c r="R17" s="177">
        <v>0.01</v>
      </c>
      <c r="S17" s="176">
        <v>5.3E-3</v>
      </c>
      <c r="T17" s="204">
        <v>1.4999999999999999E-2</v>
      </c>
      <c r="U17" s="176">
        <v>1.5E-3</v>
      </c>
      <c r="V17" s="176">
        <v>1.4999999999999999E-2</v>
      </c>
      <c r="W17" s="176">
        <v>5.3E-3</v>
      </c>
      <c r="X17" s="177">
        <v>0.01</v>
      </c>
      <c r="Y17" s="176">
        <v>1.4999999999999999E-2</v>
      </c>
      <c r="Z17" s="176">
        <v>2.9E-4</v>
      </c>
      <c r="AA17" s="176">
        <v>1.0999999999999999E-2</v>
      </c>
    </row>
    <row r="18" spans="1:27" ht="15" customHeight="1" x14ac:dyDescent="0.25">
      <c r="A18" s="44" t="s">
        <v>16</v>
      </c>
      <c r="B18" s="42" t="s">
        <v>1057</v>
      </c>
      <c r="C18" s="177">
        <v>2.0000000000000001E-4</v>
      </c>
      <c r="D18" s="176">
        <v>7.4000000000000003E-3</v>
      </c>
      <c r="E18" s="176">
        <v>5.7999999999999996E-3</v>
      </c>
      <c r="F18" s="177">
        <v>2.0000000000000001E-4</v>
      </c>
      <c r="G18" s="177">
        <v>2.0000000000000001E-4</v>
      </c>
      <c r="H18" s="176">
        <v>7.4000000000000003E-3</v>
      </c>
      <c r="I18" s="176">
        <v>5.7999999999999996E-3</v>
      </c>
      <c r="J18" s="177">
        <v>2.0000000000000001E-4</v>
      </c>
      <c r="K18" s="176">
        <v>2.4000000000000001E-4</v>
      </c>
      <c r="L18" s="177">
        <v>2.0000000000000001E-4</v>
      </c>
      <c r="M18" s="176">
        <v>7.4000000000000003E-3</v>
      </c>
      <c r="N18" s="176">
        <v>2.7E-4</v>
      </c>
      <c r="O18" s="177">
        <v>2.0000000000000001E-4</v>
      </c>
      <c r="P18" s="177">
        <v>5.7999999999999996E-3</v>
      </c>
      <c r="Q18" s="177">
        <v>2.0000000000000001E-4</v>
      </c>
      <c r="R18" s="177">
        <v>2.0000000000000001E-4</v>
      </c>
      <c r="S18" s="176">
        <v>2.7E-4</v>
      </c>
      <c r="T18" s="205">
        <v>2.0000000000000001E-4</v>
      </c>
      <c r="U18" s="176">
        <v>2.7000000000000001E-3</v>
      </c>
      <c r="V18" s="177">
        <v>2.0000000000000001E-4</v>
      </c>
      <c r="W18" s="176">
        <v>2.7E-4</v>
      </c>
      <c r="X18" s="177">
        <v>2.0000000000000001E-4</v>
      </c>
      <c r="Y18" s="177">
        <v>2.0000000000000001E-4</v>
      </c>
      <c r="Z18" s="176">
        <v>1.2999999999999999E-2</v>
      </c>
      <c r="AA18" s="176">
        <v>2.4000000000000001E-4</v>
      </c>
    </row>
    <row r="19" spans="1:27" ht="15" customHeight="1" x14ac:dyDescent="0.25">
      <c r="A19" s="44" t="s">
        <v>17</v>
      </c>
      <c r="B19" s="42" t="s">
        <v>1057</v>
      </c>
      <c r="C19" s="177">
        <v>2.0000000000000001E-4</v>
      </c>
      <c r="D19" s="176">
        <v>7.4000000000000003E-3</v>
      </c>
      <c r="E19" s="176">
        <v>5.7999999999999996E-3</v>
      </c>
      <c r="F19" s="177">
        <v>2.0000000000000001E-4</v>
      </c>
      <c r="G19" s="177">
        <v>2.0000000000000001E-4</v>
      </c>
      <c r="H19" s="176">
        <v>7.4000000000000003E-3</v>
      </c>
      <c r="I19" s="176">
        <v>5.7999999999999996E-3</v>
      </c>
      <c r="J19" s="177">
        <v>2.0000000000000001E-4</v>
      </c>
      <c r="K19" s="176">
        <v>2.4000000000000001E-4</v>
      </c>
      <c r="L19" s="177">
        <v>2.0000000000000001E-4</v>
      </c>
      <c r="M19" s="176">
        <v>7.4000000000000003E-3</v>
      </c>
      <c r="N19" s="176">
        <v>2.7E-4</v>
      </c>
      <c r="O19" s="177">
        <v>2.0000000000000001E-4</v>
      </c>
      <c r="P19" s="177">
        <v>5.7999999999999996E-3</v>
      </c>
      <c r="Q19" s="177">
        <v>2.0000000000000001E-4</v>
      </c>
      <c r="R19" s="177">
        <v>2.0000000000000001E-4</v>
      </c>
      <c r="S19" s="176">
        <v>2.7E-4</v>
      </c>
      <c r="T19" s="205">
        <v>2.0000000000000001E-4</v>
      </c>
      <c r="U19" s="176">
        <v>2.7000000000000001E-3</v>
      </c>
      <c r="V19" s="177">
        <v>2.0000000000000001E-4</v>
      </c>
      <c r="W19" s="176">
        <v>2.7E-4</v>
      </c>
      <c r="X19" s="177">
        <v>2.0000000000000001E-4</v>
      </c>
      <c r="Y19" s="177">
        <v>2.0000000000000001E-4</v>
      </c>
      <c r="Z19" s="176">
        <v>1.2999999999999999E-2</v>
      </c>
      <c r="AA19" s="176">
        <v>2.4000000000000001E-4</v>
      </c>
    </row>
    <row r="20" spans="1:27" ht="15" customHeight="1" x14ac:dyDescent="0.25">
      <c r="A20" s="44" t="s">
        <v>18</v>
      </c>
      <c r="B20" s="42" t="s">
        <v>1057</v>
      </c>
      <c r="C20" s="177">
        <v>2.0000000000000001E-4</v>
      </c>
      <c r="D20" s="176">
        <v>7.4000000000000003E-3</v>
      </c>
      <c r="E20" s="176">
        <v>5.7999999999999996E-3</v>
      </c>
      <c r="F20" s="177">
        <v>2.0000000000000001E-4</v>
      </c>
      <c r="G20" s="177">
        <v>2.0000000000000001E-4</v>
      </c>
      <c r="H20" s="176">
        <v>7.4000000000000003E-3</v>
      </c>
      <c r="I20" s="176">
        <v>5.7999999999999996E-3</v>
      </c>
      <c r="J20" s="177">
        <v>2.0000000000000001E-4</v>
      </c>
      <c r="K20" s="176">
        <v>2.4000000000000001E-4</v>
      </c>
      <c r="L20" s="177">
        <v>2.0000000000000001E-4</v>
      </c>
      <c r="M20" s="176">
        <v>7.4000000000000003E-3</v>
      </c>
      <c r="N20" s="176">
        <v>2.7E-4</v>
      </c>
      <c r="O20" s="177">
        <v>2.0000000000000001E-4</v>
      </c>
      <c r="P20" s="177">
        <v>5.7999999999999996E-3</v>
      </c>
      <c r="Q20" s="177">
        <v>2.0000000000000001E-4</v>
      </c>
      <c r="R20" s="177">
        <v>2.0000000000000001E-4</v>
      </c>
      <c r="S20" s="176">
        <v>2.7E-4</v>
      </c>
      <c r="T20" s="205">
        <v>2.0000000000000001E-4</v>
      </c>
      <c r="U20" s="176">
        <v>2.7000000000000001E-3</v>
      </c>
      <c r="V20" s="177">
        <v>2.0000000000000001E-4</v>
      </c>
      <c r="W20" s="176">
        <v>2.7E-4</v>
      </c>
      <c r="X20" s="177">
        <v>2.0000000000000001E-4</v>
      </c>
      <c r="Y20" s="177">
        <v>2.0000000000000001E-4</v>
      </c>
      <c r="Z20" s="176">
        <v>1.2999999999999999E-2</v>
      </c>
      <c r="AA20" s="176">
        <v>2.4000000000000001E-4</v>
      </c>
    </row>
    <row r="21" spans="1:27" ht="15" customHeight="1" x14ac:dyDescent="0.25">
      <c r="A21" s="44" t="s">
        <v>19</v>
      </c>
      <c r="B21" s="42" t="s">
        <v>1057</v>
      </c>
      <c r="C21" s="177">
        <v>2.0000000000000001E-4</v>
      </c>
      <c r="D21" s="176">
        <v>7.4000000000000003E-3</v>
      </c>
      <c r="E21" s="176">
        <v>5.7999999999999996E-3</v>
      </c>
      <c r="F21" s="177">
        <v>2.0000000000000001E-4</v>
      </c>
      <c r="G21" s="177">
        <v>2.0000000000000001E-4</v>
      </c>
      <c r="H21" s="176">
        <v>7.4000000000000003E-3</v>
      </c>
      <c r="I21" s="176">
        <v>5.7999999999999996E-3</v>
      </c>
      <c r="J21" s="177">
        <v>2.0000000000000001E-4</v>
      </c>
      <c r="K21" s="176">
        <v>2.4000000000000001E-4</v>
      </c>
      <c r="L21" s="177">
        <v>2.0000000000000001E-4</v>
      </c>
      <c r="M21" s="176">
        <v>7.4000000000000003E-3</v>
      </c>
      <c r="N21" s="176">
        <v>2.7E-4</v>
      </c>
      <c r="O21" s="177">
        <v>2.0000000000000001E-4</v>
      </c>
      <c r="P21" s="177">
        <v>5.7999999999999996E-3</v>
      </c>
      <c r="Q21" s="177">
        <v>2.0000000000000001E-4</v>
      </c>
      <c r="R21" s="177">
        <v>2.0000000000000001E-4</v>
      </c>
      <c r="S21" s="176">
        <v>2.7E-4</v>
      </c>
      <c r="T21" s="205">
        <v>2.0000000000000001E-4</v>
      </c>
      <c r="U21" s="176">
        <v>2.7000000000000001E-3</v>
      </c>
      <c r="V21" s="177">
        <v>2.0000000000000001E-4</v>
      </c>
      <c r="W21" s="176">
        <v>2.7E-4</v>
      </c>
      <c r="X21" s="177">
        <v>2.0000000000000001E-4</v>
      </c>
      <c r="Y21" s="177">
        <v>2.0000000000000001E-4</v>
      </c>
      <c r="Z21" s="176">
        <v>1.2999999999999999E-2</v>
      </c>
      <c r="AA21" s="176">
        <v>2.4000000000000001E-4</v>
      </c>
    </row>
    <row r="22" spans="1:27" ht="15" customHeight="1" x14ac:dyDescent="0.25">
      <c r="A22" s="44" t="s">
        <v>20</v>
      </c>
      <c r="B22" s="42" t="s">
        <v>1057</v>
      </c>
      <c r="C22" s="177">
        <v>0.01</v>
      </c>
      <c r="D22" s="176">
        <v>9.0999999999999998E-2</v>
      </c>
      <c r="E22" s="176">
        <v>7.0000000000000007E-2</v>
      </c>
      <c r="F22" s="177">
        <v>0.01</v>
      </c>
      <c r="G22" s="176">
        <v>1.7000000000000001E-2</v>
      </c>
      <c r="H22" s="176">
        <v>9.0999999999999998E-2</v>
      </c>
      <c r="I22" s="176">
        <v>7.0000000000000007E-2</v>
      </c>
      <c r="J22" s="177">
        <v>0.01</v>
      </c>
      <c r="K22" s="176">
        <v>2.3999999999999998E-3</v>
      </c>
      <c r="L22" s="176">
        <v>1.7000000000000001E-2</v>
      </c>
      <c r="M22" s="176">
        <v>9.0999999999999998E-2</v>
      </c>
      <c r="N22" s="176">
        <v>1.4E-2</v>
      </c>
      <c r="O22" s="176">
        <v>1.7000000000000001E-2</v>
      </c>
      <c r="P22" s="176">
        <v>7.0000000000000007E-2</v>
      </c>
      <c r="Q22" s="177">
        <v>0.01</v>
      </c>
      <c r="R22" s="177">
        <v>0.01</v>
      </c>
      <c r="S22" s="176">
        <v>1.4E-2</v>
      </c>
      <c r="T22" s="204">
        <v>1.7000000000000001E-2</v>
      </c>
      <c r="U22" s="176">
        <v>1.0999999999999999E-2</v>
      </c>
      <c r="V22" s="176">
        <v>1.7000000000000001E-2</v>
      </c>
      <c r="W22" s="176">
        <v>1.4E-2</v>
      </c>
      <c r="X22" s="177">
        <v>0.01</v>
      </c>
      <c r="Y22" s="176">
        <v>1.7000000000000001E-2</v>
      </c>
      <c r="Z22" s="176">
        <v>8.7000000000000001E-4</v>
      </c>
      <c r="AA22" s="176">
        <v>1.7000000000000001E-2</v>
      </c>
    </row>
    <row r="23" spans="1:27" ht="15" customHeight="1" x14ac:dyDescent="0.25">
      <c r="A23" s="46" t="s">
        <v>21</v>
      </c>
      <c r="B23" s="42" t="s">
        <v>335</v>
      </c>
      <c r="C23" s="177">
        <v>0.01</v>
      </c>
      <c r="D23" s="176">
        <v>9.0999999999999998E-2</v>
      </c>
      <c r="E23" s="176">
        <v>7.0000000000000007E-2</v>
      </c>
      <c r="F23" s="177">
        <v>0.01</v>
      </c>
      <c r="G23" s="176">
        <v>1.7000000000000001E-2</v>
      </c>
      <c r="H23" s="176">
        <v>9.0999999999999998E-2</v>
      </c>
      <c r="I23" s="176">
        <v>7.0000000000000007E-2</v>
      </c>
      <c r="J23" s="177">
        <v>0.01</v>
      </c>
      <c r="K23" s="176">
        <v>2.3999999999999998E-3</v>
      </c>
      <c r="L23" s="176">
        <v>1.7000000000000001E-2</v>
      </c>
      <c r="M23" s="176">
        <v>9.0999999999999998E-2</v>
      </c>
      <c r="N23" s="176">
        <v>1.4E-2</v>
      </c>
      <c r="O23" s="176">
        <v>1.7000000000000001E-2</v>
      </c>
      <c r="P23" s="176">
        <v>7.0000000000000007E-2</v>
      </c>
      <c r="Q23" s="177">
        <v>0.01</v>
      </c>
      <c r="R23" s="177">
        <v>0.01</v>
      </c>
      <c r="S23" s="176">
        <v>1.4E-2</v>
      </c>
      <c r="T23" s="204">
        <v>1.7000000000000001E-2</v>
      </c>
      <c r="U23" s="176">
        <v>1.0999999999999999E-2</v>
      </c>
      <c r="V23" s="176">
        <v>1.7000000000000001E-2</v>
      </c>
      <c r="W23" s="176">
        <v>1.4E-2</v>
      </c>
      <c r="X23" s="177">
        <v>0.01</v>
      </c>
      <c r="Y23" s="176">
        <v>1.7000000000000001E-2</v>
      </c>
      <c r="Z23" s="176">
        <v>8.7000000000000001E-4</v>
      </c>
      <c r="AA23" s="176">
        <v>1.7000000000000001E-2</v>
      </c>
    </row>
    <row r="24" spans="1:27" ht="15" customHeight="1" x14ac:dyDescent="0.25">
      <c r="A24" s="44" t="s">
        <v>22</v>
      </c>
      <c r="B24" s="42" t="s">
        <v>1057</v>
      </c>
      <c r="C24" s="175">
        <v>0</v>
      </c>
      <c r="D24" s="175">
        <v>0</v>
      </c>
      <c r="E24" s="175">
        <v>0</v>
      </c>
      <c r="F24" s="175">
        <v>0</v>
      </c>
      <c r="G24" s="175">
        <v>0</v>
      </c>
      <c r="H24" s="175">
        <v>0</v>
      </c>
      <c r="I24" s="175">
        <v>0</v>
      </c>
      <c r="J24" s="175">
        <v>0</v>
      </c>
      <c r="K24" s="175">
        <v>0</v>
      </c>
      <c r="L24" s="175">
        <v>0</v>
      </c>
      <c r="M24" s="175">
        <v>0</v>
      </c>
      <c r="N24" s="175">
        <v>0</v>
      </c>
      <c r="O24" s="175">
        <v>0</v>
      </c>
      <c r="P24" s="175">
        <v>0</v>
      </c>
      <c r="Q24" s="175">
        <v>0</v>
      </c>
      <c r="R24" s="175">
        <v>0</v>
      </c>
      <c r="S24" s="175">
        <v>0</v>
      </c>
      <c r="T24" s="203">
        <v>0</v>
      </c>
      <c r="U24" s="175">
        <v>0</v>
      </c>
      <c r="V24" s="175">
        <v>0</v>
      </c>
      <c r="W24" s="175">
        <v>0</v>
      </c>
      <c r="X24" s="175">
        <v>0</v>
      </c>
      <c r="Y24" s="175">
        <v>0</v>
      </c>
      <c r="Z24" s="175">
        <v>0</v>
      </c>
      <c r="AA24" s="175">
        <v>0</v>
      </c>
    </row>
    <row r="25" spans="1:27" ht="15" customHeight="1" x14ac:dyDescent="0.25">
      <c r="A25" s="46" t="s">
        <v>23</v>
      </c>
      <c r="B25" s="42" t="s">
        <v>335</v>
      </c>
      <c r="C25" s="175">
        <v>0</v>
      </c>
      <c r="D25" s="175">
        <v>0</v>
      </c>
      <c r="E25" s="175">
        <v>0</v>
      </c>
      <c r="F25" s="175">
        <v>0</v>
      </c>
      <c r="G25" s="175">
        <v>0</v>
      </c>
      <c r="H25" s="175">
        <v>0</v>
      </c>
      <c r="I25" s="175">
        <v>0</v>
      </c>
      <c r="J25" s="175">
        <v>0</v>
      </c>
      <c r="K25" s="175">
        <v>0</v>
      </c>
      <c r="L25" s="175">
        <v>0</v>
      </c>
      <c r="M25" s="175">
        <v>0</v>
      </c>
      <c r="N25" s="175">
        <v>0</v>
      </c>
      <c r="O25" s="175">
        <v>0</v>
      </c>
      <c r="P25" s="175">
        <v>0</v>
      </c>
      <c r="Q25" s="175">
        <v>0</v>
      </c>
      <c r="R25" s="175">
        <v>0</v>
      </c>
      <c r="S25" s="175">
        <v>0</v>
      </c>
      <c r="T25" s="203">
        <v>0</v>
      </c>
      <c r="U25" s="175">
        <v>0</v>
      </c>
      <c r="V25" s="175">
        <v>0</v>
      </c>
      <c r="W25" s="175">
        <v>0</v>
      </c>
      <c r="X25" s="175">
        <v>0</v>
      </c>
      <c r="Y25" s="175">
        <v>0</v>
      </c>
      <c r="Z25" s="175">
        <v>0</v>
      </c>
      <c r="AA25" s="175">
        <v>0</v>
      </c>
    </row>
    <row r="26" spans="1:27" ht="15" customHeight="1" x14ac:dyDescent="0.25">
      <c r="A26" s="44" t="s">
        <v>24</v>
      </c>
      <c r="B26" s="42" t="s">
        <v>1057</v>
      </c>
      <c r="C26" s="177">
        <v>5.0000000000000001E-4</v>
      </c>
      <c r="D26" s="176">
        <v>1.1999999999999999E-3</v>
      </c>
      <c r="E26" s="176">
        <v>8.0000000000000004E-4</v>
      </c>
      <c r="F26" s="177">
        <v>5.0000000000000001E-4</v>
      </c>
      <c r="G26" s="176">
        <v>7.7999999999999999E-4</v>
      </c>
      <c r="H26" s="176">
        <v>1.1999999999999999E-3</v>
      </c>
      <c r="I26" s="176">
        <v>8.0000000000000004E-4</v>
      </c>
      <c r="J26" s="177">
        <v>5.0000000000000001E-4</v>
      </c>
      <c r="K26" s="176">
        <v>6.4000000000000005E-4</v>
      </c>
      <c r="L26" s="176">
        <v>7.7999999999999999E-4</v>
      </c>
      <c r="M26" s="176">
        <v>1.1999999999999999E-3</v>
      </c>
      <c r="N26" s="176">
        <v>5.2999999999999998E-4</v>
      </c>
      <c r="O26" s="176">
        <v>7.7999999999999999E-4</v>
      </c>
      <c r="P26" s="176">
        <v>8.0000000000000004E-4</v>
      </c>
      <c r="Q26" s="177">
        <v>5.0000000000000001E-4</v>
      </c>
      <c r="R26" s="177">
        <v>5.0000000000000001E-4</v>
      </c>
      <c r="S26" s="176">
        <v>5.2999999999999998E-4</v>
      </c>
      <c r="T26" s="204">
        <v>7.7999999999999999E-4</v>
      </c>
      <c r="U26" s="176">
        <v>2.0000000000000001E-4</v>
      </c>
      <c r="V26" s="176">
        <v>7.7999999999999999E-4</v>
      </c>
      <c r="W26" s="176">
        <v>5.2999999999999998E-4</v>
      </c>
      <c r="X26" s="177">
        <v>5.0000000000000001E-4</v>
      </c>
      <c r="Y26" s="176">
        <v>7.7999999999999999E-4</v>
      </c>
      <c r="Z26" s="176">
        <v>1.6000000000000001E-4</v>
      </c>
      <c r="AA26" s="176">
        <v>2.0999999999999999E-3</v>
      </c>
    </row>
    <row r="27" spans="1:27" ht="15" customHeight="1" x14ac:dyDescent="0.25">
      <c r="A27" s="44" t="s">
        <v>25</v>
      </c>
      <c r="B27" s="42" t="s">
        <v>1057</v>
      </c>
      <c r="C27" s="177">
        <v>8.0000000000000007E-5</v>
      </c>
      <c r="D27" s="177">
        <v>8.0000000000000004E-4</v>
      </c>
      <c r="E27" s="177">
        <v>8.0000000000000007E-5</v>
      </c>
      <c r="F27" s="177">
        <v>8.0000000000000007E-5</v>
      </c>
      <c r="G27" s="177">
        <v>8.0000000000000004E-4</v>
      </c>
      <c r="H27" s="177">
        <v>8.0000000000000004E-4</v>
      </c>
      <c r="I27" s="177">
        <v>8.0000000000000007E-5</v>
      </c>
      <c r="J27" s="177">
        <v>8.0000000000000007E-5</v>
      </c>
      <c r="K27" s="177">
        <v>8.0000000000000004E-4</v>
      </c>
      <c r="L27" s="177">
        <v>8.0000000000000004E-4</v>
      </c>
      <c r="M27" s="177">
        <v>8.0000000000000004E-4</v>
      </c>
      <c r="N27" s="177">
        <v>8.0000000000000004E-4</v>
      </c>
      <c r="O27" s="177">
        <v>8.0000000000000004E-4</v>
      </c>
      <c r="P27" s="177">
        <v>8.0000000000000007E-5</v>
      </c>
      <c r="Q27" s="177">
        <v>8.0000000000000007E-5</v>
      </c>
      <c r="R27" s="177">
        <v>8.0000000000000007E-5</v>
      </c>
      <c r="S27" s="177">
        <v>8.0000000000000004E-4</v>
      </c>
      <c r="T27" s="205">
        <v>8.0000000000000004E-4</v>
      </c>
      <c r="U27" s="177">
        <v>8.0000000000000007E-5</v>
      </c>
      <c r="V27" s="177">
        <v>8.0000000000000004E-4</v>
      </c>
      <c r="W27" s="177">
        <v>8.0000000000000004E-4</v>
      </c>
      <c r="X27" s="177">
        <v>8.0000000000000007E-5</v>
      </c>
      <c r="Y27" s="177">
        <v>8.0000000000000004E-4</v>
      </c>
      <c r="Z27" s="175">
        <v>0.2</v>
      </c>
      <c r="AA27" s="175">
        <v>8.0000000000000004E-4</v>
      </c>
    </row>
    <row r="28" spans="1:27" ht="15" customHeight="1" x14ac:dyDescent="0.25">
      <c r="A28" s="44" t="s">
        <v>26</v>
      </c>
      <c r="B28" s="42" t="s">
        <v>1057</v>
      </c>
      <c r="C28" s="177">
        <v>8.0000000000000007E-5</v>
      </c>
      <c r="D28" s="177">
        <v>8.0000000000000004E-4</v>
      </c>
      <c r="E28" s="177">
        <v>8.0000000000000007E-5</v>
      </c>
      <c r="F28" s="177">
        <v>8.0000000000000007E-5</v>
      </c>
      <c r="G28" s="177">
        <v>8.0000000000000004E-4</v>
      </c>
      <c r="H28" s="177">
        <v>8.0000000000000004E-4</v>
      </c>
      <c r="I28" s="177">
        <v>8.0000000000000007E-5</v>
      </c>
      <c r="J28" s="177">
        <v>8.0000000000000007E-5</v>
      </c>
      <c r="K28" s="177">
        <v>8.0000000000000004E-4</v>
      </c>
      <c r="L28" s="177">
        <v>8.0000000000000004E-4</v>
      </c>
      <c r="M28" s="177">
        <v>8.0000000000000004E-4</v>
      </c>
      <c r="N28" s="177">
        <v>8.0000000000000004E-4</v>
      </c>
      <c r="O28" s="177">
        <v>8.0000000000000004E-4</v>
      </c>
      <c r="P28" s="177">
        <v>8.0000000000000007E-5</v>
      </c>
      <c r="Q28" s="177">
        <v>8.0000000000000007E-5</v>
      </c>
      <c r="R28" s="177">
        <v>8.0000000000000007E-5</v>
      </c>
      <c r="S28" s="177">
        <v>8.0000000000000004E-4</v>
      </c>
      <c r="T28" s="205">
        <v>8.0000000000000004E-4</v>
      </c>
      <c r="U28" s="177">
        <v>8.0000000000000007E-5</v>
      </c>
      <c r="V28" s="177">
        <v>8.0000000000000004E-4</v>
      </c>
      <c r="W28" s="177">
        <v>8.0000000000000004E-4</v>
      </c>
      <c r="X28" s="177">
        <v>8.0000000000000007E-5</v>
      </c>
      <c r="Y28" s="177">
        <v>8.0000000000000004E-4</v>
      </c>
      <c r="Z28" s="175">
        <v>0.2</v>
      </c>
      <c r="AA28" s="175">
        <v>8.0000000000000004E-4</v>
      </c>
    </row>
    <row r="29" spans="1:27" ht="15" customHeight="1" x14ac:dyDescent="0.25">
      <c r="A29" s="44" t="s">
        <v>27</v>
      </c>
      <c r="B29" s="42" t="s">
        <v>1057</v>
      </c>
      <c r="C29" s="177">
        <v>8.0000000000000007E-5</v>
      </c>
      <c r="D29" s="177">
        <v>8.0000000000000004E-4</v>
      </c>
      <c r="E29" s="177">
        <v>8.0000000000000007E-5</v>
      </c>
      <c r="F29" s="177">
        <v>8.0000000000000007E-5</v>
      </c>
      <c r="G29" s="177">
        <v>8.0000000000000004E-4</v>
      </c>
      <c r="H29" s="177">
        <v>8.0000000000000004E-4</v>
      </c>
      <c r="I29" s="177">
        <v>8.0000000000000007E-5</v>
      </c>
      <c r="J29" s="177">
        <v>8.0000000000000007E-5</v>
      </c>
      <c r="K29" s="177">
        <v>8.0000000000000004E-4</v>
      </c>
      <c r="L29" s="177">
        <v>8.0000000000000004E-4</v>
      </c>
      <c r="M29" s="177">
        <v>8.0000000000000004E-4</v>
      </c>
      <c r="N29" s="177">
        <v>8.0000000000000004E-4</v>
      </c>
      <c r="O29" s="177">
        <v>8.0000000000000004E-4</v>
      </c>
      <c r="P29" s="177">
        <v>8.0000000000000007E-5</v>
      </c>
      <c r="Q29" s="177">
        <v>8.0000000000000007E-5</v>
      </c>
      <c r="R29" s="177">
        <v>8.0000000000000007E-5</v>
      </c>
      <c r="S29" s="177">
        <v>8.0000000000000004E-4</v>
      </c>
      <c r="T29" s="205">
        <v>8.0000000000000004E-4</v>
      </c>
      <c r="U29" s="177">
        <v>8.0000000000000007E-5</v>
      </c>
      <c r="V29" s="177">
        <v>8.0000000000000004E-4</v>
      </c>
      <c r="W29" s="177">
        <v>8.0000000000000004E-4</v>
      </c>
      <c r="X29" s="177">
        <v>8.0000000000000007E-5</v>
      </c>
      <c r="Y29" s="177">
        <v>8.0000000000000004E-4</v>
      </c>
      <c r="Z29" s="175">
        <v>0.2</v>
      </c>
      <c r="AA29" s="175">
        <v>8.0000000000000004E-4</v>
      </c>
    </row>
    <row r="30" spans="1:27" ht="15" customHeight="1" x14ac:dyDescent="0.25">
      <c r="A30" s="44" t="s">
        <v>28</v>
      </c>
      <c r="B30" s="42" t="s">
        <v>1057</v>
      </c>
      <c r="C30" s="177">
        <v>1E-3</v>
      </c>
      <c r="D30" s="176">
        <v>0.02</v>
      </c>
      <c r="E30" s="176">
        <v>8.3999999999999995E-3</v>
      </c>
      <c r="F30" s="177">
        <v>1E-3</v>
      </c>
      <c r="G30" s="176">
        <v>1.4999999999999999E-2</v>
      </c>
      <c r="H30" s="176">
        <v>0.02</v>
      </c>
      <c r="I30" s="176">
        <v>8.3999999999999995E-3</v>
      </c>
      <c r="J30" s="177">
        <v>1E-3</v>
      </c>
      <c r="K30" s="176">
        <v>1.4999999999999999E-2</v>
      </c>
      <c r="L30" s="176">
        <v>1.4999999999999999E-2</v>
      </c>
      <c r="M30" s="176">
        <v>0.02</v>
      </c>
      <c r="N30" s="176">
        <v>2.2000000000000001E-3</v>
      </c>
      <c r="O30" s="176">
        <v>1.4999999999999999E-2</v>
      </c>
      <c r="P30" s="176">
        <v>8.3999999999999995E-3</v>
      </c>
      <c r="Q30" s="177">
        <v>1E-3</v>
      </c>
      <c r="R30" s="177">
        <v>1E-3</v>
      </c>
      <c r="S30" s="176">
        <v>2.2000000000000001E-3</v>
      </c>
      <c r="T30" s="204">
        <v>1.4999999999999999E-2</v>
      </c>
      <c r="U30" s="176">
        <v>5.0000000000000001E-3</v>
      </c>
      <c r="V30" s="176">
        <v>1.4999999999999999E-2</v>
      </c>
      <c r="W30" s="176">
        <v>2.2000000000000001E-3</v>
      </c>
      <c r="X30" s="177">
        <v>1E-3</v>
      </c>
      <c r="Y30" s="176">
        <v>1.4999999999999999E-2</v>
      </c>
      <c r="Z30" s="176">
        <v>2.43E-4</v>
      </c>
      <c r="AA30" s="176">
        <v>6.1999999999999998E-3</v>
      </c>
    </row>
    <row r="31" spans="1:27" x14ac:dyDescent="0.25">
      <c r="A31" s="42"/>
      <c r="B31" s="42"/>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row>
    <row r="32" spans="1:27" x14ac:dyDescent="0.25">
      <c r="A32" s="42"/>
      <c r="B32" s="42"/>
      <c r="C32" s="178" t="s">
        <v>1248</v>
      </c>
      <c r="D32" s="179" t="s">
        <v>1249</v>
      </c>
      <c r="E32" s="180" t="s">
        <v>1250</v>
      </c>
      <c r="F32" s="181" t="s">
        <v>1251</v>
      </c>
      <c r="G32" s="105"/>
      <c r="H32" s="105"/>
      <c r="I32" s="105"/>
      <c r="J32" s="105"/>
      <c r="K32" s="105"/>
      <c r="L32" s="105"/>
      <c r="M32" s="105"/>
      <c r="N32" s="105"/>
      <c r="O32" s="105"/>
      <c r="P32" s="105"/>
      <c r="Q32" s="105"/>
      <c r="R32" s="105"/>
      <c r="S32" s="105"/>
      <c r="T32" s="105"/>
      <c r="U32" s="105"/>
      <c r="V32" s="105"/>
      <c r="W32" s="105"/>
      <c r="X32" s="105"/>
      <c r="Y32" s="105"/>
      <c r="Z32" s="105"/>
      <c r="AA32" s="105"/>
    </row>
  </sheetData>
  <sheetProtection algorithmName="SHA-512" hashValue="pnSiGRL/x12bPAWfug0cEXqT1h2uvcoZPfhvjE41NW9hiLmiHnq3Ir4jsM9UP6tgGOKrv33PZB/IOLdh/OWH2A==" saltValue="VQ+uF7t7S5hsKcHLa3f8HQ==" spinCount="100000" sheet="1" formatColumns="0" formatRows="0" autoFilter="0"/>
  <autoFilter ref="A1:AA30" xr:uid="{00000000-0009-0000-0000-000006000000}"/>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Y30"/>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140625" style="4" bestFit="1" customWidth="1"/>
    <col min="3" max="3" width="15.140625" style="1" bestFit="1" customWidth="1"/>
    <col min="4" max="4" width="14.85546875" style="1" bestFit="1" customWidth="1"/>
    <col min="5" max="5" width="14.28515625" style="1" bestFit="1" customWidth="1"/>
    <col min="6" max="6" width="14.85546875" style="1" bestFit="1" customWidth="1"/>
    <col min="7" max="7" width="14" style="1" bestFit="1" customWidth="1"/>
    <col min="8" max="8" width="14.28515625" style="1" bestFit="1" customWidth="1"/>
    <col min="9" max="9" width="13.42578125" style="1" bestFit="1" customWidth="1"/>
    <col min="10" max="10" width="15" style="1" bestFit="1" customWidth="1"/>
    <col min="11" max="11" width="14" style="1" bestFit="1" customWidth="1"/>
    <col min="12" max="12" width="16" style="1" bestFit="1" customWidth="1"/>
    <col min="13" max="13" width="13.28515625" style="1" bestFit="1" customWidth="1"/>
    <col min="14" max="15" width="14" style="1" bestFit="1" customWidth="1"/>
    <col min="16" max="16" width="15.42578125" style="1" bestFit="1" customWidth="1"/>
    <col min="17" max="17" width="15.5703125" style="1" bestFit="1" customWidth="1"/>
    <col min="18" max="18" width="14.140625" style="1" bestFit="1" customWidth="1"/>
    <col min="19" max="19" width="13.42578125" style="1" bestFit="1" customWidth="1"/>
    <col min="20" max="20" width="13.42578125" style="1" customWidth="1"/>
    <col min="21" max="21" width="14.85546875" style="1" bestFit="1" customWidth="1"/>
    <col min="22" max="22" width="15.42578125" style="1" bestFit="1" customWidth="1"/>
    <col min="23" max="23" width="14.28515625" style="1" bestFit="1" customWidth="1"/>
    <col min="24" max="24" width="15" style="1" bestFit="1" customWidth="1"/>
    <col min="25" max="25" width="13.7109375" style="1" bestFit="1" customWidth="1"/>
    <col min="26" max="26" width="13.42578125" style="1" bestFit="1" customWidth="1"/>
    <col min="27" max="27" width="15.7109375" style="1" bestFit="1" customWidth="1"/>
    <col min="28" max="28" width="14.85546875" style="1" bestFit="1" customWidth="1"/>
    <col min="29" max="29" width="14.5703125" style="1" bestFit="1" customWidth="1"/>
    <col min="30" max="30" width="14" style="1" bestFit="1" customWidth="1"/>
    <col min="31" max="31" width="14.5703125" style="1" bestFit="1" customWidth="1"/>
    <col min="32" max="32" width="13.7109375" style="1" bestFit="1" customWidth="1"/>
    <col min="33" max="33" width="14" style="1" bestFit="1" customWidth="1"/>
    <col min="34" max="34" width="13.140625" style="1" bestFit="1" customWidth="1"/>
    <col min="35" max="35" width="14.7109375" style="1" bestFit="1" customWidth="1"/>
    <col min="36" max="36" width="13.7109375" style="1" bestFit="1" customWidth="1"/>
    <col min="37" max="37" width="15.7109375" style="1" bestFit="1" customWidth="1"/>
    <col min="38" max="38" width="13" style="1" bestFit="1" customWidth="1"/>
    <col min="39" max="40" width="13.7109375" style="1" bestFit="1" customWidth="1"/>
    <col min="41" max="41" width="15" style="1" bestFit="1" customWidth="1"/>
    <col min="42" max="42" width="15.140625" style="1" bestFit="1" customWidth="1"/>
    <col min="43" max="43" width="13.85546875" style="1" bestFit="1" customWidth="1"/>
    <col min="44" max="44" width="13.140625" style="1" bestFit="1" customWidth="1"/>
    <col min="45" max="45" width="13.140625" style="1" customWidth="1"/>
    <col min="46" max="46" width="14.5703125" style="1" bestFit="1" customWidth="1"/>
    <col min="47" max="47" width="15" style="1" bestFit="1" customWidth="1"/>
    <col min="48" max="48" width="14" style="1" bestFit="1" customWidth="1"/>
    <col min="49" max="49" width="14.7109375" style="1" bestFit="1" customWidth="1"/>
    <col min="50" max="50" width="13.42578125" style="1" bestFit="1" customWidth="1"/>
    <col min="51" max="51" width="13.140625" style="1" bestFit="1" customWidth="1"/>
    <col min="52" max="52" width="15.42578125" style="1" bestFit="1" customWidth="1"/>
    <col min="53" max="53" width="15.7109375" style="1" bestFit="1" customWidth="1"/>
    <col min="54" max="54" width="15.42578125" style="1" bestFit="1" customWidth="1"/>
    <col min="55" max="55" width="14.7109375" style="1" bestFit="1" customWidth="1"/>
    <col min="56" max="56" width="15.42578125" style="1" bestFit="1" customWidth="1"/>
    <col min="57" max="57" width="14.42578125" style="1" bestFit="1" customWidth="1"/>
    <col min="58" max="58" width="14.7109375" style="1" bestFit="1" customWidth="1"/>
    <col min="59" max="59" width="13.85546875" style="1" bestFit="1" customWidth="1"/>
    <col min="60" max="60" width="15.5703125" style="1" bestFit="1" customWidth="1"/>
    <col min="61" max="61" width="14.42578125" style="1" bestFit="1" customWidth="1"/>
    <col min="62" max="62" width="16.42578125" style="1" bestFit="1" customWidth="1"/>
    <col min="63" max="63" width="13.7109375" style="1" bestFit="1" customWidth="1"/>
    <col min="64" max="65" width="14.42578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3.85546875" style="1" customWidth="1"/>
    <col min="71" max="71" width="15.42578125" style="1" bestFit="1" customWidth="1"/>
    <col min="72" max="72" width="15.85546875" style="1" bestFit="1" customWidth="1"/>
    <col min="73" max="73" width="14.7109375" style="1" bestFit="1" customWidth="1"/>
    <col min="74" max="74" width="15.5703125" style="1" bestFit="1" customWidth="1"/>
    <col min="75" max="75" width="14.140625" style="1" bestFit="1" customWidth="1"/>
    <col min="76" max="76" width="13.85546875" style="1" bestFit="1" customWidth="1"/>
    <col min="77" max="77" width="16.140625" style="1" bestFit="1" customWidth="1"/>
  </cols>
  <sheetData>
    <row r="1" spans="1:77" x14ac:dyDescent="0.25">
      <c r="A1" s="72" t="s">
        <v>39</v>
      </c>
      <c r="B1" s="72" t="s">
        <v>334</v>
      </c>
      <c r="C1" s="106" t="s">
        <v>650</v>
      </c>
      <c r="D1" s="106" t="s">
        <v>651</v>
      </c>
      <c r="E1" s="106" t="s">
        <v>652</v>
      </c>
      <c r="F1" s="106" t="s">
        <v>653</v>
      </c>
      <c r="G1" s="106" t="s">
        <v>654</v>
      </c>
      <c r="H1" s="106" t="s">
        <v>655</v>
      </c>
      <c r="I1" s="106" t="s">
        <v>656</v>
      </c>
      <c r="J1" s="106" t="s">
        <v>657</v>
      </c>
      <c r="K1" s="106" t="s">
        <v>658</v>
      </c>
      <c r="L1" s="106" t="s">
        <v>659</v>
      </c>
      <c r="M1" s="106" t="s">
        <v>660</v>
      </c>
      <c r="N1" s="106" t="s">
        <v>661</v>
      </c>
      <c r="O1" s="106" t="s">
        <v>662</v>
      </c>
      <c r="P1" s="106" t="s">
        <v>663</v>
      </c>
      <c r="Q1" s="106" t="s">
        <v>664</v>
      </c>
      <c r="R1" s="106" t="s">
        <v>665</v>
      </c>
      <c r="S1" s="106" t="s">
        <v>666</v>
      </c>
      <c r="T1" s="201" t="s">
        <v>1282</v>
      </c>
      <c r="U1" s="106" t="s">
        <v>667</v>
      </c>
      <c r="V1" s="106" t="s">
        <v>668</v>
      </c>
      <c r="W1" s="106" t="s">
        <v>669</v>
      </c>
      <c r="X1" s="106" t="s">
        <v>670</v>
      </c>
      <c r="Y1" s="106" t="s">
        <v>671</v>
      </c>
      <c r="Z1" s="106" t="s">
        <v>672</v>
      </c>
      <c r="AA1" s="106" t="s">
        <v>720</v>
      </c>
      <c r="AB1" s="106" t="s">
        <v>673</v>
      </c>
      <c r="AC1" s="106" t="s">
        <v>674</v>
      </c>
      <c r="AD1" s="106" t="s">
        <v>675</v>
      </c>
      <c r="AE1" s="106" t="s">
        <v>676</v>
      </c>
      <c r="AF1" s="106" t="s">
        <v>677</v>
      </c>
      <c r="AG1" s="106" t="s">
        <v>678</v>
      </c>
      <c r="AH1" s="106" t="s">
        <v>679</v>
      </c>
      <c r="AI1" s="106" t="s">
        <v>680</v>
      </c>
      <c r="AJ1" s="106" t="s">
        <v>681</v>
      </c>
      <c r="AK1" s="106" t="s">
        <v>682</v>
      </c>
      <c r="AL1" s="106" t="s">
        <v>683</v>
      </c>
      <c r="AM1" s="106" t="s">
        <v>684</v>
      </c>
      <c r="AN1" s="106" t="s">
        <v>685</v>
      </c>
      <c r="AO1" s="106" t="s">
        <v>686</v>
      </c>
      <c r="AP1" s="106" t="s">
        <v>687</v>
      </c>
      <c r="AQ1" s="106" t="s">
        <v>688</v>
      </c>
      <c r="AR1" s="106" t="s">
        <v>689</v>
      </c>
      <c r="AS1" s="106" t="s">
        <v>1284</v>
      </c>
      <c r="AT1" s="106" t="s">
        <v>690</v>
      </c>
      <c r="AU1" s="106" t="s">
        <v>691</v>
      </c>
      <c r="AV1" s="106" t="s">
        <v>692</v>
      </c>
      <c r="AW1" s="106" t="s">
        <v>693</v>
      </c>
      <c r="AX1" s="106" t="s">
        <v>694</v>
      </c>
      <c r="AY1" s="106" t="s">
        <v>695</v>
      </c>
      <c r="AZ1" s="106" t="s">
        <v>721</v>
      </c>
      <c r="BA1" s="106" t="s">
        <v>696</v>
      </c>
      <c r="BB1" s="106" t="s">
        <v>697</v>
      </c>
      <c r="BC1" s="106" t="s">
        <v>698</v>
      </c>
      <c r="BD1" s="106" t="s">
        <v>699</v>
      </c>
      <c r="BE1" s="106" t="s">
        <v>700</v>
      </c>
      <c r="BF1" s="106" t="s">
        <v>701</v>
      </c>
      <c r="BG1" s="106" t="s">
        <v>702</v>
      </c>
      <c r="BH1" s="106" t="s">
        <v>703</v>
      </c>
      <c r="BI1" s="106" t="s">
        <v>704</v>
      </c>
      <c r="BJ1" s="106" t="s">
        <v>705</v>
      </c>
      <c r="BK1" s="106" t="s">
        <v>706</v>
      </c>
      <c r="BL1" s="106" t="s">
        <v>707</v>
      </c>
      <c r="BM1" s="106" t="s">
        <v>708</v>
      </c>
      <c r="BN1" s="106" t="s">
        <v>709</v>
      </c>
      <c r="BO1" s="106" t="s">
        <v>710</v>
      </c>
      <c r="BP1" s="106" t="s">
        <v>711</v>
      </c>
      <c r="BQ1" s="106" t="s">
        <v>712</v>
      </c>
      <c r="BR1" s="106" t="s">
        <v>1285</v>
      </c>
      <c r="BS1" s="106" t="s">
        <v>713</v>
      </c>
      <c r="BT1" s="106" t="s">
        <v>714</v>
      </c>
      <c r="BU1" s="106" t="s">
        <v>715</v>
      </c>
      <c r="BV1" s="106" t="s">
        <v>716</v>
      </c>
      <c r="BW1" s="106" t="s">
        <v>717</v>
      </c>
      <c r="BX1" s="106" t="s">
        <v>718</v>
      </c>
      <c r="BY1" s="106" t="s">
        <v>722</v>
      </c>
    </row>
    <row r="2" spans="1:77" x14ac:dyDescent="0.25">
      <c r="A2" s="44" t="s">
        <v>0</v>
      </c>
      <c r="B2" s="42" t="s">
        <v>1057</v>
      </c>
      <c r="C2" s="108">
        <f>IFERROR(IF(d_Bv!C2=0,".",((Ir*F*d_Bv!C2*(1-EXP(-RadSpec!AZ2*t_b)))/(P*RadSpec!AZ2))),".")</f>
        <v>3.5746410762351036E-2</v>
      </c>
      <c r="D2" s="108">
        <f>IFERROR(IF(d_Bv!D2=0,".",((Ir*F*d_Bv!D2*(1-EXP(-RadSpec!AZ2*t_b)))/(P*RadSpec!AZ2))),".")</f>
        <v>3.5746410762351036E-2</v>
      </c>
      <c r="E2" s="108">
        <f>IFERROR(IF(d_Bv!E2=0,".",((Ir*F*d_Bv!E2*(1-EXP(-RadSpec!AZ2*t_b)))/(P*RadSpec!AZ2))),".")</f>
        <v>3.5746410762351036E-2</v>
      </c>
      <c r="F2" s="108">
        <f>IFERROR(IF(d_Bv!F2=0,".",((Ir*F*d_Bv!F2*(1-EXP(-RadSpec!AZ2*t_b)))/(P*RadSpec!AZ2))),".")</f>
        <v>3.5746410762351036E-2</v>
      </c>
      <c r="G2" s="108">
        <f>IFERROR(IF(d_Bv!G2=0,".",((Ir*F*d_Bv!G2*(1-EXP(-RadSpec!AZ2*t_b)))/(P*RadSpec!AZ2))),".")</f>
        <v>3.5746410762351036E-2</v>
      </c>
      <c r="H2" s="108">
        <f>IFERROR(IF(d_Bv!H2=0,".",((Ir*F*d_Bv!H2*(1-EXP(-RadSpec!AZ2*t_b)))/(P*RadSpec!AZ2))),".")</f>
        <v>3.5746410762351036E-2</v>
      </c>
      <c r="I2" s="108">
        <f>IFERROR(IF(d_Bv!I2=0,".",((Ir*F*d_Bv!I2*(1-EXP(-RadSpec!AZ2*t_b)))/(P*RadSpec!AZ2))),".")</f>
        <v>3.5746410762351036E-2</v>
      </c>
      <c r="J2" s="108">
        <f>IFERROR(IF(d_Bv!J2=0,".",((Ir*F*d_Bv!J2*(1-EXP(-RadSpec!AZ2*t_b)))/(P*RadSpec!AZ2))),".")</f>
        <v>3.5746410762351036E-2</v>
      </c>
      <c r="K2" s="108">
        <f>IFERROR(IF(d_Bv!K2=0,".",((Ir*F*d_Bv!K2*(1-EXP(-RadSpec!AZ2*t_b)))/(P*RadSpec!AZ2))),".")</f>
        <v>3.5746410762351036E-2</v>
      </c>
      <c r="L2" s="108">
        <f>IFERROR(IF(d_Bv!L2=0,".",((Ir*F*d_Bv!L2*(1-EXP(-RadSpec!AZ2*t_b)))/(P*RadSpec!AZ2))),".")</f>
        <v>3.5746410762351036E-2</v>
      </c>
      <c r="M2" s="108">
        <f>IFERROR(IF(d_Bv!M2=0,".",((Ir*F*d_Bv!M2*(1-EXP(-RadSpec!AZ2*t_b)))/(P*RadSpec!AZ2))),".")</f>
        <v>3.5746410762351036E-2</v>
      </c>
      <c r="N2" s="108">
        <f>IFERROR(IF(d_Bv!N2=0,".",((Ir*F*d_Bv!N2*(1-EXP(-RadSpec!AZ2*t_b)))/(P*RadSpec!AZ2))),".")</f>
        <v>3.5746410762351036E-2</v>
      </c>
      <c r="O2" s="108">
        <f>IFERROR(IF(d_Bv!O2=0,".",((Ir*F*d_Bv!O2*(1-EXP(-RadSpec!AZ2*t_b)))/(P*RadSpec!AZ2))),".")</f>
        <v>3.5746410762351036E-2</v>
      </c>
      <c r="P2" s="108">
        <f>IFERROR(IF(d_Bv!I2=0,".",((Ir*F*d_Bv!I2*(1-EXP(-RadSpec!AZ2*t_b)))/(P*RadSpec!AZ2))),".")</f>
        <v>3.5746410762351036E-2</v>
      </c>
      <c r="Q2" s="108">
        <f>IFERROR(IF(d_Bv!Q2=0,".",((Ir*F*d_Bv!Q2*(1-EXP(-RadSpec!AZ2*t_b)))/(P*RadSpec!AZ2))),".")</f>
        <v>3.5746410762351036E-2</v>
      </c>
      <c r="R2" s="108">
        <f>IFERROR(IF(d_Bv!R2=0,".",((Ir*F*d_Bv!R2*(1-EXP(-RadSpec!AZ2*t_b)))/(P*RadSpec!AZ2))),".")</f>
        <v>3.5746410762351036E-2</v>
      </c>
      <c r="S2" s="108">
        <f>IFERROR(IF(d_Bv!S2=0,".",((Ir*F*d_Bv!S2*(1-EXP(-RadSpec!AZ2*t_b)))/(P*RadSpec!AZ2))),".")</f>
        <v>3.5746410762351036E-2</v>
      </c>
      <c r="T2" s="202">
        <f>IFERROR(IF(d_Bv!T2=0,".",((Ir*F*d_Bv!T2*(1-EXP(-RadSpec!AZ2*t_b)))/(P*RadSpec!AZ2))),".")</f>
        <v>3.5746410762351036E-2</v>
      </c>
      <c r="U2" s="108">
        <f>IFERROR(IF(d_Bv!U2=0,".",((Ir*F*d_Bv!U2*(1-EXP(-RadSpec!AZ2*t_b)))/(P*RadSpec!AZ2))),".")</f>
        <v>3.5746410762351036E-2</v>
      </c>
      <c r="V2" s="108">
        <f>IFERROR(IF(d_Bv!V2=0,".",((Ir*F*d_Bv!V2*(1-EXP(-RadSpec!AZ2*t_b)))/(P*RadSpec!AZ2))),".")</f>
        <v>3.5746410762351036E-2</v>
      </c>
      <c r="W2" s="108">
        <f>IFERROR(IF(d_Bv!W2=0,".",((Ir*F*d_Bv!W2*(1-EXP(-RadSpec!AZ2*t_b)))/(P*RadSpec!AZ2))),".")</f>
        <v>3.5746410762351036E-2</v>
      </c>
      <c r="X2" s="108">
        <f>IFERROR(IF(d_Bv!X2=0,".",((Ir*F*d_Bv!X2*(1-EXP(-RadSpec!AZ2*t_b)))/(P*RadSpec!AZ2))),".")</f>
        <v>3.5746410762351036E-2</v>
      </c>
      <c r="Y2" s="108">
        <f>IFERROR(IF(d_Bv!Y2=0,".",((Ir*F*d_Bv!Y2*(1-EXP(-RadSpec!AZ2*t_b)))/(P*RadSpec!AZ2))),".")</f>
        <v>3.5746410762351036E-2</v>
      </c>
      <c r="Z2" s="108">
        <f>IFERROR(IF(d_Bv!Z2=0,".",((Ir*F*d_Bv!Z2*(1-EXP(-RadSpec!AZ2*t_b)))/(P*RadSpec!AZ2))),".")</f>
        <v>3.5746410762351036E-2</v>
      </c>
      <c r="AA2" s="108">
        <f>IFERROR(IF(d_Bv!AA2=0,".",((Ir*F*d_Bv!AA2*(1-EXP(-RadSpec!AZ2*t_b)))/(P*RadSpec!AZ2))),".")</f>
        <v>3.5746410762351036E-2</v>
      </c>
      <c r="AB2" s="108">
        <f>IFERROR(IF(d_Bv!C2=0,".",((Ir*F*MLF_apple*(1-EXP(-RadSpec!AZ2*t_b)))/(P*RadSpec!AZ2))),".")</f>
        <v>5.7194257219761657E-3</v>
      </c>
      <c r="AC2" s="108">
        <f>IFERROR(IF(d_Bv!D2=0,".",((Ir*F*MLF_asparagus*(1-EXP(-RadSpec!AZ2*t_b)))/(P*RadSpec!AZ2))),".")</f>
        <v>2.8239664502257315E-3</v>
      </c>
      <c r="AD2" s="108">
        <f>IFERROR(IF(d_Bv!E2=0,".",((Ir*F*MLF_beet*(1-EXP(-RadSpec!AZ2*t_b)))/(P*RadSpec!AZ2))),".")</f>
        <v>4.9330046852044422E-3</v>
      </c>
      <c r="AE2" s="108">
        <f>IFERROR(IF(d_Bv!F2=0,".",((Ir*F*MLF_berries*(1-EXP(-RadSpec!AZ2*t_b)))/(P*RadSpec!AZ2))),".")</f>
        <v>5.9339041865502712E-3</v>
      </c>
      <c r="AF2" s="108">
        <f>IFERROR(IF(d_Bv!G2=0,".",((Ir*F*MLF_broccoli*(1-EXP(-RadSpec!AZ2*t_b)))/(P*RadSpec!AZ2))),".")</f>
        <v>3.6103874869974538E-2</v>
      </c>
      <c r="AG2" s="108">
        <f>IFERROR(IF(d_Bv!H2=0,".",((Ir*F*MLF_cabbage*(1-EXP(-RadSpec!AZ2*t_b)))/(P*RadSpec!AZ2))),".")</f>
        <v>3.7533731300468582E-3</v>
      </c>
      <c r="AH2" s="108">
        <f>IFERROR(IF(d_Bv!I2=0,".",((Ir*F*MLF_carrot*(1-EXP(-RadSpec!AZ2*t_b)))/(P*RadSpec!AZ2))),".")</f>
        <v>3.4674018439480501E-3</v>
      </c>
      <c r="AI2" s="108">
        <f>IFERROR(IF(d_Bv!J2=0,".",((Ir*F*MLF_citrus*(1-EXP(-RadSpec!AZ2*t_b)))/(P*RadSpec!AZ2))),".")</f>
        <v>5.6121864896891112E-3</v>
      </c>
      <c r="AJ2" s="108">
        <f>IFERROR(IF(d_Bv!K2=0,".",((Ir*F*MLF_corn*(1-EXP(-RadSpec!AZ2*t_b)))/(P*RadSpec!AZ2))),".")</f>
        <v>5.1832295605408994E-3</v>
      </c>
      <c r="AK2" s="108">
        <f>IFERROR(IF(d_Bv!L2=0,".",((Ir*F*MLF_cucumber*(1-EXP(-RadSpec!AZ2*t_b)))/(P*RadSpec!AZ2))),".")</f>
        <v>1.4298564304940414E-3</v>
      </c>
      <c r="AL2" s="108">
        <f>IFERROR(IF(d_Bv!M2=0,".",((Ir*F*MLF_lettuce*(1-EXP(-RadSpec!AZ2*t_b)))/(P*RadSpec!AZ2))),".")</f>
        <v>0.48257654529173893</v>
      </c>
      <c r="AM2" s="108">
        <f>IFERROR(IF(d_Bv!N2=0,".",((Ir*F*MLF_lima_bean*(1-EXP(-RadSpec!AZ2*t_b)))/(P*RadSpec!AZ2))),".")</f>
        <v>0.13690875321980447</v>
      </c>
      <c r="AN2" s="108">
        <f>IFERROR(IF(d_Bv!O2=0,".",((Ir*F*MLF_okra*(1-EXP(-RadSpec!AZ2*t_b)))/(P*RadSpec!AZ2))),".")</f>
        <v>2.8597128609880828E-3</v>
      </c>
      <c r="AO2" s="108">
        <f>IFERROR(IF(d_Bv!P2=0,".",((Ir*F*MLF_onion*(1-EXP(-RadSpec!AZ2*t_b)))/(P*RadSpec!AZ2))),".")</f>
        <v>3.4674018439480501E-3</v>
      </c>
      <c r="AP2" s="108">
        <f>IFERROR(IF(d_Bv!Q2=0,".",((Ir*F*MLF_peach*(1-EXP(-RadSpec!AZ2*t_b)))/(P*RadSpec!AZ2))),".")</f>
        <v>5.361961614352654E-3</v>
      </c>
      <c r="AQ2" s="108">
        <f>IFERROR(IF(d_Bv!R2=0,".",((Ir*F*MLF_pear*(1-EXP(-RadSpec!AZ2*t_b)))/(P*RadSpec!AZ2))),".")</f>
        <v>5.7194257219761657E-3</v>
      </c>
      <c r="AR2" s="108">
        <f>IFERROR(IF(d_Bv!S2=0,".",((Ir*F*MLF_peas*(1-EXP(-RadSpec!AZ2*t_b)))/(P*RadSpec!AZ2))),".")</f>
        <v>6.3628611156984829E-3</v>
      </c>
      <c r="AS2" s="108">
        <f>IFERROR(IF(d_Bv!T2=0,".",((Ir*F*MLF_peppers*(1-EXP(-RadSpec!AZ2*t_b)))/(P*RadSpec!AZ2))),".")</f>
        <v>7.93570318924193E-2</v>
      </c>
      <c r="AT2" s="108">
        <f>IFERROR(IF(d_Bv!U2=0,".",((Ir*F*MLF_potato*(1-EXP(-RadSpec!AZ2*t_b)))/(P*RadSpec!AZ2))),".")</f>
        <v>7.5067462600937164E-3</v>
      </c>
      <c r="AU2" s="108">
        <f>IFERROR(IF(d_Bv!V2=0,".",((Ir*F*MLF_pumpkin*(1-EXP(-RadSpec!AZ2*t_b)))/(P*RadSpec!AZ2))),".")</f>
        <v>2.0732918242163598E-3</v>
      </c>
      <c r="AV2" s="108">
        <f>IFERROR(IF(d_Bv!W2=0,".",((Ir*F*MLF_snap_bean*(1-EXP(-RadSpec!AZ2*t_b)))/(P*RadSpec!AZ2))),".")</f>
        <v>0.17873205381175516</v>
      </c>
      <c r="AW2" s="108">
        <f>IFERROR(IF(d_Bv!X2=0,".",((Ir*F*MLF_strawberry*(1-EXP(-RadSpec!AZ2*t_b)))/(P*RadSpec!AZ2))),".")</f>
        <v>2.8597128609880828E-3</v>
      </c>
      <c r="AX2" s="108">
        <f>IFERROR(IF(d_Bv!Y2=0,".",((Ir*F*MLF_tomato*(1-EXP(-RadSpec!AZ2*t_b)))/(P*RadSpec!AZ2))),".")</f>
        <v>6.327114704936132E-2</v>
      </c>
      <c r="AY2" s="108">
        <f>IFERROR(IF(d_Bv!Z2=0,".",((Ir*F*MLF_rice*(1-EXP(-RadSpec!AZ2*t_b)))/(P*RadSpec!AZ2))),".")</f>
        <v>8.9366026905877582</v>
      </c>
      <c r="AZ2" s="108">
        <f>IFERROR(IF(d_Bv!AA2=0,".",((Ir*F*MLF_cereal*(1-EXP(-RadSpec!AZ2*t_b)))/(P*RadSpec!AZ2))),".")</f>
        <v>8.9366026905877582</v>
      </c>
      <c r="BA2" s="108">
        <f>IFERROR(IF(d_Bv!C2=0,".",((Ir*F*I_f*T*(1-EXP(-RadSpec!BA2*t_v)))/(Y_v*RadSpec!BA2))),".")</f>
        <v>3.6424203206347228</v>
      </c>
      <c r="BB2" s="108">
        <f>IFERROR(IF(d_Bv!D2=0,".",((Ir*F*I_f*T*(1-EXP(-RadSpec!BA2*t_v)))/(Y_v*RadSpec!BA2))),".")</f>
        <v>3.6424203206347228</v>
      </c>
      <c r="BC2" s="108">
        <f>IFERROR(IF(d_Bv!E2=0,".",((Ir*F*I_f*T*(1-EXP(-RadSpec!BA2*t_v)))/(Y_v*RadSpec!BA2))),".")</f>
        <v>3.6424203206347228</v>
      </c>
      <c r="BD2" s="108">
        <f>IFERROR(IF(d_Bv!F2=0,".",((Ir*F*I_f*T*(1-EXP(-RadSpec!BA2*t_v)))/(Y_v*RadSpec!BA2))),".")</f>
        <v>3.6424203206347228</v>
      </c>
      <c r="BE2" s="108">
        <f>IFERROR(IF(d_Bv!G2=0,".",((Ir*F*I_f*T*(1-EXP(-RadSpec!BA2*t_v)))/(Y_v*RadSpec!BA2))),".")</f>
        <v>3.6424203206347228</v>
      </c>
      <c r="BF2" s="108">
        <f>IFERROR(IF(d_Bv!H2=0,".",((Ir*F*I_f*T*(1-EXP(-RadSpec!BA2*t_v)))/(Y_v*RadSpec!BA2))),".")</f>
        <v>3.6424203206347228</v>
      </c>
      <c r="BG2" s="108">
        <f>IFERROR(IF(d_Bv!I2=0,".",((Ir*F*I_f*T*(1-EXP(-RadSpec!BA2*t_v)))/(Y_v*RadSpec!BA2))),".")</f>
        <v>3.6424203206347228</v>
      </c>
      <c r="BH2" s="108">
        <f>IFERROR(IF(d_Bv!J2=0,".",((Ir*F*I_f*T*(1-EXP(-RadSpec!BA2*t_v)))/(Y_v*RadSpec!BA2))),".")</f>
        <v>3.6424203206347228</v>
      </c>
      <c r="BI2" s="108">
        <f>IFERROR(IF(d_Bv!K2=0,".",((Ir*F*I_f*T*(1-EXP(-RadSpec!BA2*t_v)))/(Y_v*RadSpec!BA2))),".")</f>
        <v>3.6424203206347228</v>
      </c>
      <c r="BJ2" s="108">
        <f>IFERROR(IF(d_Bv!L2=0,".",((Ir*F*I_f*T*(1-EXP(-RadSpec!BA2*t_v)))/(Y_v*RadSpec!BA2))),".")</f>
        <v>3.6424203206347228</v>
      </c>
      <c r="BK2" s="108">
        <f>IFERROR(IF(d_Bv!M2=0,".",((Ir*F*I_f*T*(1-EXP(-RadSpec!BA2*t_v)))/(Y_v*RadSpec!BA2))),".")</f>
        <v>3.6424203206347228</v>
      </c>
      <c r="BL2" s="108">
        <f>IFERROR(IF(d_Bv!N2=0,".",((Ir*F*I_f*T*(1-EXP(-RadSpec!BA2*t_v)))/(Y_v*RadSpec!BA2))),".")</f>
        <v>3.6424203206347228</v>
      </c>
      <c r="BM2" s="108">
        <f>IFERROR(IF(d_Bv!O2=0,".",((Ir*F*I_f*T*(1-EXP(-RadSpec!BA2*t_v)))/(Y_v*RadSpec!BA2))),".")</f>
        <v>3.6424203206347228</v>
      </c>
      <c r="BN2" s="108">
        <f>IFERROR(IF(d_Bv!P2=0,".",((Ir*F*I_f*T*(1-EXP(-RadSpec!BA2*t_v)))/(Y_v*RadSpec!BA2))),".")</f>
        <v>3.6424203206347228</v>
      </c>
      <c r="BO2" s="108">
        <f>IFERROR(IF(d_Bv!Q2=0,".",((Ir*F*I_f*T*(1-EXP(-RadSpec!BA2*t_v)))/(Y_v*RadSpec!BA2))),".")</f>
        <v>3.6424203206347228</v>
      </c>
      <c r="BP2" s="108">
        <f>IFERROR(IF(d_Bv!R2=0,".",((Ir*F*I_f*T*(1-EXP(-RadSpec!BA2*t_v)))/(Y_v*RadSpec!BA2))),".")</f>
        <v>3.6424203206347228</v>
      </c>
      <c r="BQ2" s="108">
        <f>IFERROR(IF(d_Bv!S2=0,".",((Ir*F*I_f*T*(1-EXP(-RadSpec!BA2*t_v)))/(Y_v*RadSpec!BA2))),".")</f>
        <v>3.6424203206347228</v>
      </c>
      <c r="BR2" s="108">
        <f>IFERROR(IF(d_Bv!T2=0,".",((Ir*F*I_f*T*(1-EXP(-RadSpec!BA2*t_v)))/(Y_v*RadSpec!BA2))),".")</f>
        <v>3.6424203206347228</v>
      </c>
      <c r="BS2" s="108">
        <f>IFERROR(IF(d_Bv!U2=0,".",((Ir*F*I_f*T*(1-EXP(-RadSpec!BA2*t_v)))/(Y_v*RadSpec!BA2))),".")</f>
        <v>3.6424203206347228</v>
      </c>
      <c r="BT2" s="108">
        <f>IFERROR(IF(d_Bv!V2=0,".",((Ir*F*I_f*T*(1-EXP(-RadSpec!BA2*t_v)))/(Y_v*RadSpec!BA2))),".")</f>
        <v>3.6424203206347228</v>
      </c>
      <c r="BU2" s="108">
        <f>IFERROR(IF(d_Bv!W2=0,".",((Ir*F*I_f*T*(1-EXP(-RadSpec!BA2*t_v)))/(Y_v*RadSpec!BA2))),".")</f>
        <v>3.6424203206347228</v>
      </c>
      <c r="BV2" s="108">
        <f>IFERROR(IF(d_Bv!X2=0,".",((Ir*F*I_f*T*(1-EXP(-RadSpec!BA2*t_v)))/(Y_v*RadSpec!BA2))),".")</f>
        <v>3.6424203206347228</v>
      </c>
      <c r="BW2" s="108">
        <f>IFERROR(IF(d_Bv!Y2=0,".",((Ir*F*I_f*T*(1-EXP(-RadSpec!BA2*t_v)))/(Y_v*RadSpec!BA2))),".")</f>
        <v>3.6424203206347228</v>
      </c>
      <c r="BX2" s="108">
        <f>IFERROR(IF(d_Bv!Z2=0,".",((Ir*F*I_f*T*(1-EXP(-RadSpec!BA2*t_v)))/(Y_v*RadSpec!BA2))),".")</f>
        <v>3.6424203206347228</v>
      </c>
      <c r="BY2" s="108">
        <f>IFERROR(IF(d_Bv!AA2=0,".",((Ir*F*I_f*T*(1-EXP(-RadSpec!BA2*t_v)))/(Y_v*RadSpec!BA2))),".")</f>
        <v>3.6424203206347228</v>
      </c>
    </row>
    <row r="3" spans="1:77" x14ac:dyDescent="0.25">
      <c r="A3" s="46" t="s">
        <v>1</v>
      </c>
      <c r="B3" s="42" t="s">
        <v>335</v>
      </c>
      <c r="C3" s="108">
        <f>IFERROR(IF(d_Bv!C3=0,".",((Ir*F*d_Bv!C3*(1-EXP(-RadSpec!AZ3*t_b)))/(P*RadSpec!AZ3))),".")</f>
        <v>1.1081387336328819E-3</v>
      </c>
      <c r="D3" s="108">
        <f>IFERROR(IF(d_Bv!D3=0,".",((Ir*F*d_Bv!D3*(1-EXP(-RadSpec!AZ3*t_b)))/(P*RadSpec!AZ3))),".")</f>
        <v>9.6515309058347772E-3</v>
      </c>
      <c r="E3" s="108">
        <f>IFERROR(IF(d_Bv!E3=0,".",((Ir*F*d_Bv!E3*(1-EXP(-RadSpec!AZ3*t_b)))/(P*RadSpec!AZ3))),".")</f>
        <v>2.395009521077519E-2</v>
      </c>
      <c r="F3" s="108">
        <f>IFERROR(IF(d_Bv!F3=0,".",((Ir*F*d_Bv!F3*(1-EXP(-RadSpec!AZ3*t_b)))/(P*RadSpec!AZ3))),".")</f>
        <v>2.8597128609880826E-2</v>
      </c>
      <c r="G3" s="108">
        <f>IFERROR(IF(d_Bv!G3=0,".",((Ir*F*d_Bv!G3*(1-EXP(-RadSpec!AZ3*t_b)))/(P*RadSpec!AZ3))),".")</f>
        <v>1.2868707874446371E-2</v>
      </c>
      <c r="H3" s="108">
        <f>IFERROR(IF(d_Bv!H3=0,".",((Ir*F*d_Bv!H3*(1-EXP(-RadSpec!AZ3*t_b)))/(P*RadSpec!AZ3))),".")</f>
        <v>9.6515309058347772E-3</v>
      </c>
      <c r="I3" s="108">
        <f>IFERROR(IF(d_Bv!I3=0,".",((Ir*F*d_Bv!I3*(1-EXP(-RadSpec!AZ3*t_b)))/(P*RadSpec!AZ3))),".")</f>
        <v>2.395009521077519E-2</v>
      </c>
      <c r="J3" s="108">
        <f>IFERROR(IF(d_Bv!J3=0,".",((Ir*F*d_Bv!J3*(1-EXP(-RadSpec!AZ3*t_b)))/(P*RadSpec!AZ3))),".")</f>
        <v>1.1081387336328819E-3</v>
      </c>
      <c r="K3" s="108">
        <f>IFERROR(IF(d_Bv!K3=0,".",((Ir*F*d_Bv!K3*(1-EXP(-RadSpec!AZ3*t_b)))/(P*RadSpec!AZ3))),".")</f>
        <v>1.7873205381175516E-3</v>
      </c>
      <c r="L3" s="108">
        <f>IFERROR(IF(d_Bv!L3=0,".",((Ir*F*d_Bv!L3*(1-EXP(-RadSpec!AZ3*t_b)))/(P*RadSpec!AZ3))),".")</f>
        <v>1.2868707874446371E-2</v>
      </c>
      <c r="M3" s="108">
        <f>IFERROR(IF(d_Bv!M3=0,".",((Ir*F*d_Bv!M3*(1-EXP(-RadSpec!AZ3*t_b)))/(P*RadSpec!AZ3))),".")</f>
        <v>9.6515309058347772E-3</v>
      </c>
      <c r="N3" s="108">
        <f>IFERROR(IF(d_Bv!N3=0,".",((Ir*F*d_Bv!N3*(1-EXP(-RadSpec!AZ3*t_b)))/(P*RadSpec!AZ3))),".")</f>
        <v>1.3583636089693391E-2</v>
      </c>
      <c r="O3" s="108">
        <f>IFERROR(IF(d_Bv!O3=0,".",((Ir*F*d_Bv!O3*(1-EXP(-RadSpec!AZ3*t_b)))/(P*RadSpec!AZ3))),".")</f>
        <v>1.2868707874446371E-2</v>
      </c>
      <c r="P3" s="108">
        <f>IFERROR(IF(d_Bv!P3=0,".",((Ir*F*d_Bv!P3*(1-EXP(-RadSpec!AZ3*t_b)))/(P*RadSpec!AZ3))),".")</f>
        <v>2.395009521077519E-2</v>
      </c>
      <c r="Q3" s="108">
        <f>IFERROR(IF(d_Bv!Q3=0,".",((Ir*F*d_Bv!Q3*(1-EXP(-RadSpec!AZ3*t_b)))/(P*RadSpec!AZ3))),".")</f>
        <v>1.1081387336328819E-3</v>
      </c>
      <c r="R3" s="108">
        <f>IFERROR(IF(d_Bv!R3=0,".",((Ir*F*d_Bv!R3*(1-EXP(-RadSpec!AZ3*t_b)))/(P*RadSpec!AZ3))),".")</f>
        <v>1.1081387336328819E-3</v>
      </c>
      <c r="S3" s="108">
        <f>IFERROR(IF(d_Bv!S3=0,".",((Ir*F*d_Bv!S3*(1-EXP(-RadSpec!AZ3*t_b)))/(P*RadSpec!AZ3))),".")</f>
        <v>1.3583636089693391E-2</v>
      </c>
      <c r="T3" s="202">
        <f>IFERROR(IF(d_Bv!T3=0,".",((Ir*F*d_Bv!T3*(1-EXP(-RadSpec!AZ3*t_b)))/(P*RadSpec!AZ3))),".")</f>
        <v>1.2868707874446371E-2</v>
      </c>
      <c r="U3" s="108">
        <f>IFERROR(IF(d_Bv!U3=0,".",((Ir*F*d_Bv!U3*(1-EXP(-RadSpec!AZ3*t_b)))/(P*RadSpec!AZ3))),".")</f>
        <v>7.5067462600937164E-3</v>
      </c>
      <c r="V3" s="108">
        <f>IFERROR(IF(d_Bv!V3=0,".",((Ir*F*d_Bv!V3*(1-EXP(-RadSpec!AZ3*t_b)))/(P*RadSpec!AZ3))),".")</f>
        <v>1.2868707874446371E-2</v>
      </c>
      <c r="W3" s="108">
        <f>IFERROR(IF(d_Bv!W3=0,".",((Ir*F*d_Bv!W3*(1-EXP(-RadSpec!AZ3*t_b)))/(P*RadSpec!AZ3))),".")</f>
        <v>1.3583636089693391E-2</v>
      </c>
      <c r="X3" s="108">
        <f>IFERROR(IF(d_Bv!X3=0,".",((Ir*F*d_Bv!X3*(1-EXP(-RadSpec!AZ3*t_b)))/(P*RadSpec!AZ3))),".")</f>
        <v>3.9321051838586132E-3</v>
      </c>
      <c r="Y3" s="108">
        <f>IFERROR(IF(d_Bv!Y3=0,".",((Ir*F*d_Bv!Y3*(1-EXP(-RadSpec!AZ3*t_b)))/(P*RadSpec!AZ3))),".")</f>
        <v>1.2868707874446371E-2</v>
      </c>
      <c r="Z3" s="108">
        <f>IFERROR(IF(d_Bv!Z3=0,".",((Ir*F*d_Bv!Z3*(1-EXP(-RadSpec!AZ3*t_b)))/(P*RadSpec!AZ3))),".")</f>
        <v>3.5746410762351036E-2</v>
      </c>
      <c r="AA3" s="108">
        <f>IFERROR(IF(d_Bv!AA3=0,".",((Ir*F*d_Bv!AA3*(1-EXP(-RadSpec!AZ3*t_b)))/(P*RadSpec!AZ3))),".")</f>
        <v>7.8642103677172264E-4</v>
      </c>
      <c r="AB3" s="108">
        <f>IFERROR(IF(d_Bv!C3=0,".",((Ir*F*MLF_apple*(1-EXP(-RadSpec!AZ3*t_b)))/(P*RadSpec!AZ3))),".")</f>
        <v>5.7194257219761657E-3</v>
      </c>
      <c r="AC3" s="108">
        <f>IFERROR(IF(d_Bv!D3=0,".",((Ir*F*MLF_asparagus*(1-EXP(-RadSpec!AZ3*t_b)))/(P*RadSpec!AZ3))),".")</f>
        <v>2.8239664502257315E-3</v>
      </c>
      <c r="AD3" s="108">
        <f>IFERROR(IF(d_Bv!E3=0,".",((Ir*F*MLF_beet*(1-EXP(-RadSpec!AZ3*t_b)))/(P*RadSpec!AZ3))),".")</f>
        <v>4.9330046852044422E-3</v>
      </c>
      <c r="AE3" s="108">
        <f>IFERROR(IF(d_Bv!F3=0,".",((Ir*F*MLF_berries*(1-EXP(-RadSpec!AZ3*t_b)))/(P*RadSpec!AZ3))),".")</f>
        <v>5.9339041865502712E-3</v>
      </c>
      <c r="AF3" s="108">
        <f>IFERROR(IF(d_Bv!G3=0,".",((Ir*F*MLF_broccoli*(1-EXP(-RadSpec!AZ3*t_b)))/(P*RadSpec!AZ3))),".")</f>
        <v>3.6103874869974538E-2</v>
      </c>
      <c r="AG3" s="108">
        <f>IFERROR(IF(d_Bv!H3=0,".",((Ir*F*MLF_cabbage*(1-EXP(-RadSpec!AZ3*t_b)))/(P*RadSpec!AZ3))),".")</f>
        <v>3.7533731300468582E-3</v>
      </c>
      <c r="AH3" s="108">
        <f>IFERROR(IF(d_Bv!I3=0,".",((Ir*F*MLF_carrot*(1-EXP(-RadSpec!AZ3*t_b)))/(P*RadSpec!AZ3))),".")</f>
        <v>3.4674018439480501E-3</v>
      </c>
      <c r="AI3" s="108">
        <f>IFERROR(IF(d_Bv!J3=0,".",((Ir*F*MLF_citrus*(1-EXP(-RadSpec!AZ3*t_b)))/(P*RadSpec!AZ3))),".")</f>
        <v>5.6121864896891112E-3</v>
      </c>
      <c r="AJ3" s="108">
        <f>IFERROR(IF(d_Bv!K3=0,".",((Ir*F*MLF_corn*(1-EXP(-RadSpec!AZ3*t_b)))/(P*RadSpec!AZ3))),".")</f>
        <v>5.1832295605408994E-3</v>
      </c>
      <c r="AK3" s="108">
        <f>IFERROR(IF(d_Bv!L3=0,".",((Ir*F*MLF_cucumber*(1-EXP(-RadSpec!AZ3*t_b)))/(P*RadSpec!AZ3))),".")</f>
        <v>1.4298564304940414E-3</v>
      </c>
      <c r="AL3" s="108">
        <f>IFERROR(IF(d_Bv!M3=0,".",((Ir*F*MLF_lettuce*(1-EXP(-RadSpec!AZ3*t_b)))/(P*RadSpec!AZ3))),".")</f>
        <v>0.48257654529173893</v>
      </c>
      <c r="AM3" s="108">
        <f>IFERROR(IF(d_Bv!N3=0,".",((Ir*F*MLF_lima_bean*(1-EXP(-RadSpec!AZ3*t_b)))/(P*RadSpec!AZ3))),".")</f>
        <v>0.13690875321980447</v>
      </c>
      <c r="AN3" s="108">
        <f>IFERROR(IF(d_Bv!O3=0,".",((Ir*F*MLF_okra*(1-EXP(-RadSpec!AZ3*t_b)))/(P*RadSpec!AZ3))),".")</f>
        <v>2.8597128609880828E-3</v>
      </c>
      <c r="AO3" s="108">
        <f>IFERROR(IF(d_Bv!P3=0,".",((Ir*F*MLF_onion*(1-EXP(-RadSpec!AZ3*t_b)))/(P*RadSpec!AZ3))),".")</f>
        <v>3.4674018439480501E-3</v>
      </c>
      <c r="AP3" s="108">
        <f>IFERROR(IF(d_Bv!Q3=0,".",((Ir*F*MLF_peach*(1-EXP(-RadSpec!AZ3*t_b)))/(P*RadSpec!AZ3))),".")</f>
        <v>5.361961614352654E-3</v>
      </c>
      <c r="AQ3" s="108">
        <f>IFERROR(IF(d_Bv!R3=0,".",((Ir*F*MLF_pear*(1-EXP(-RadSpec!AZ3*t_b)))/(P*RadSpec!AZ3))),".")</f>
        <v>5.7194257219761657E-3</v>
      </c>
      <c r="AR3" s="108">
        <f>IFERROR(IF(d_Bv!S3=0,".",((Ir*F*MLF_peas*(1-EXP(-RadSpec!AZ3*t_b)))/(P*RadSpec!AZ3))),".")</f>
        <v>6.3628611156984829E-3</v>
      </c>
      <c r="AS3" s="108">
        <f>IFERROR(IF(d_Bv!T3=0,".",((Ir*F*MLF_peppers*(1-EXP(-RadSpec!AZ3*t_b)))/(P*RadSpec!AZ3))),".")</f>
        <v>7.93570318924193E-2</v>
      </c>
      <c r="AT3" s="108">
        <f>IFERROR(IF(d_Bv!U3=0,".",((Ir*F*MLF_potato*(1-EXP(-RadSpec!AZ3*t_b)))/(P*RadSpec!AZ3))),".")</f>
        <v>7.5067462600937164E-3</v>
      </c>
      <c r="AU3" s="108">
        <f>IFERROR(IF(d_Bv!V3=0,".",((Ir*F*MLF_pumpkin*(1-EXP(-RadSpec!AZ3*t_b)))/(P*RadSpec!AZ3))),".")</f>
        <v>2.0732918242163598E-3</v>
      </c>
      <c r="AV3" s="108">
        <f>IFERROR(IF(d_Bv!W3=0,".",((Ir*F*MLF_snap_bean*(1-EXP(-RadSpec!AZ3*t_b)))/(P*RadSpec!AZ3))),".")</f>
        <v>0.17873205381175516</v>
      </c>
      <c r="AW3" s="108">
        <f>IFERROR(IF(d_Bv!X3=0,".",((Ir*F*MLF_strawberry*(1-EXP(-RadSpec!AZ3*t_b)))/(P*RadSpec!AZ3))),".")</f>
        <v>2.8597128609880828E-3</v>
      </c>
      <c r="AX3" s="108">
        <f>IFERROR(IF(d_Bv!Y3=0,".",((Ir*F*MLF_tomato*(1-EXP(-RadSpec!AZ3*t_b)))/(P*RadSpec!AZ3))),".")</f>
        <v>6.327114704936132E-2</v>
      </c>
      <c r="AY3" s="108">
        <f>IFERROR(IF(d_Bv!Z3=0,".",((Ir*F*MLF_rice*(1-EXP(-RadSpec!AZ3*t_b)))/(P*RadSpec!AZ3))),".")</f>
        <v>8.9366026905877582</v>
      </c>
      <c r="AZ3" s="108">
        <f>IFERROR(IF(d_Bv!AA3=0,".",((Ir*F*MLF_cereal*(1-EXP(-RadSpec!AZ3*t_b)))/(P*RadSpec!AZ3))),".")</f>
        <v>8.9366026905877582</v>
      </c>
      <c r="BA3" s="108">
        <f>IFERROR(IF(d_Bv!C3=0,".",((Ir*F*I_f*T*(1-EXP(-RadSpec!BA3*t_v)))/(Y_v*RadSpec!BA3))),".")</f>
        <v>3.6424203206347228</v>
      </c>
      <c r="BB3" s="108">
        <f>IFERROR(IF(d_Bv!D3=0,".",((Ir*F*I_f*T*(1-EXP(-RadSpec!BA3*t_v)))/(Y_v*RadSpec!BA3))),".")</f>
        <v>3.6424203206347228</v>
      </c>
      <c r="BC3" s="108">
        <f>IFERROR(IF(d_Bv!E3=0,".",((Ir*F*I_f*T*(1-EXP(-RadSpec!BA3*t_v)))/(Y_v*RadSpec!BA3))),".")</f>
        <v>3.6424203206347228</v>
      </c>
      <c r="BD3" s="108">
        <f>IFERROR(IF(d_Bv!F3=0,".",((Ir*F*I_f*T*(1-EXP(-RadSpec!BA3*t_v)))/(Y_v*RadSpec!BA3))),".")</f>
        <v>3.6424203206347228</v>
      </c>
      <c r="BE3" s="108">
        <f>IFERROR(IF(d_Bv!G3=0,".",((Ir*F*I_f*T*(1-EXP(-RadSpec!BA3*t_v)))/(Y_v*RadSpec!BA3))),".")</f>
        <v>3.6424203206347228</v>
      </c>
      <c r="BF3" s="108">
        <f>IFERROR(IF(d_Bv!H3=0,".",((Ir*F*I_f*T*(1-EXP(-RadSpec!BA3*t_v)))/(Y_v*RadSpec!BA3))),".")</f>
        <v>3.6424203206347228</v>
      </c>
      <c r="BG3" s="108">
        <f>IFERROR(IF(d_Bv!I3=0,".",((Ir*F*I_f*T*(1-EXP(-RadSpec!BA3*t_v)))/(Y_v*RadSpec!BA3))),".")</f>
        <v>3.6424203206347228</v>
      </c>
      <c r="BH3" s="108">
        <f>IFERROR(IF(d_Bv!J3=0,".",((Ir*F*I_f*T*(1-EXP(-RadSpec!BA3*t_v)))/(Y_v*RadSpec!BA3))),".")</f>
        <v>3.6424203206347228</v>
      </c>
      <c r="BI3" s="108">
        <f>IFERROR(IF(d_Bv!K3=0,".",((Ir*F*I_f*T*(1-EXP(-RadSpec!BA3*t_v)))/(Y_v*RadSpec!BA3))),".")</f>
        <v>3.6424203206347228</v>
      </c>
      <c r="BJ3" s="108">
        <f>IFERROR(IF(d_Bv!L3=0,".",((Ir*F*I_f*T*(1-EXP(-RadSpec!BA3*t_v)))/(Y_v*RadSpec!BA3))),".")</f>
        <v>3.6424203206347228</v>
      </c>
      <c r="BK3" s="108">
        <f>IFERROR(IF(d_Bv!M3=0,".",((Ir*F*I_f*T*(1-EXP(-RadSpec!BA3*t_v)))/(Y_v*RadSpec!BA3))),".")</f>
        <v>3.6424203206347228</v>
      </c>
      <c r="BL3" s="108">
        <f>IFERROR(IF(d_Bv!N3=0,".",((Ir*F*I_f*T*(1-EXP(-RadSpec!BA3*t_v)))/(Y_v*RadSpec!BA3))),".")</f>
        <v>3.6424203206347228</v>
      </c>
      <c r="BM3" s="108">
        <f>IFERROR(IF(d_Bv!O3=0,".",((Ir*F*I_f*T*(1-EXP(-RadSpec!BA3*t_v)))/(Y_v*RadSpec!BA3))),".")</f>
        <v>3.6424203206347228</v>
      </c>
      <c r="BN3" s="108">
        <f>IFERROR(IF(d_Bv!P3=0,".",((Ir*F*I_f*T*(1-EXP(-RadSpec!BA3*t_v)))/(Y_v*RadSpec!BA3))),".")</f>
        <v>3.6424203206347228</v>
      </c>
      <c r="BO3" s="108">
        <f>IFERROR(IF(d_Bv!Q3=0,".",((Ir*F*I_f*T*(1-EXP(-RadSpec!BA3*t_v)))/(Y_v*RadSpec!BA3))),".")</f>
        <v>3.6424203206347228</v>
      </c>
      <c r="BP3" s="108">
        <f>IFERROR(IF(d_Bv!R3=0,".",((Ir*F*I_f*T*(1-EXP(-RadSpec!BA3*t_v)))/(Y_v*RadSpec!BA3))),".")</f>
        <v>3.6424203206347228</v>
      </c>
      <c r="BQ3" s="108">
        <f>IFERROR(IF(d_Bv!S3=0,".",((Ir*F*I_f*T*(1-EXP(-RadSpec!BA3*t_v)))/(Y_v*RadSpec!BA3))),".")</f>
        <v>3.6424203206347228</v>
      </c>
      <c r="BR3" s="108">
        <f>IFERROR(IF(d_Bv!T3=0,".",((Ir*F*I_f*T*(1-EXP(-RadSpec!BA3*t_v)))/(Y_v*RadSpec!BA3))),".")</f>
        <v>3.6424203206347228</v>
      </c>
      <c r="BS3" s="108">
        <f>IFERROR(IF(d_Bv!U3=0,".",((Ir*F*I_f*T*(1-EXP(-RadSpec!BA3*t_v)))/(Y_v*RadSpec!BA3))),".")</f>
        <v>3.6424203206347228</v>
      </c>
      <c r="BT3" s="108">
        <f>IFERROR(IF(d_Bv!V3=0,".",((Ir*F*I_f*T*(1-EXP(-RadSpec!BA3*t_v)))/(Y_v*RadSpec!BA3))),".")</f>
        <v>3.6424203206347228</v>
      </c>
      <c r="BU3" s="108">
        <f>IFERROR(IF(d_Bv!W3=0,".",((Ir*F*I_f*T*(1-EXP(-RadSpec!BA3*t_v)))/(Y_v*RadSpec!BA3))),".")</f>
        <v>3.6424203206347228</v>
      </c>
      <c r="BV3" s="108">
        <f>IFERROR(IF(d_Bv!X3=0,".",((Ir*F*I_f*T*(1-EXP(-RadSpec!BA3*t_v)))/(Y_v*RadSpec!BA3))),".")</f>
        <v>3.6424203206347228</v>
      </c>
      <c r="BW3" s="108">
        <f>IFERROR(IF(d_Bv!Y3=0,".",((Ir*F*I_f*T*(1-EXP(-RadSpec!BA3*t_v)))/(Y_v*RadSpec!BA3))),".")</f>
        <v>3.6424203206347228</v>
      </c>
      <c r="BX3" s="108">
        <f>IFERROR(IF(d_Bv!Z3=0,".",((Ir*F*I_f*T*(1-EXP(-RadSpec!BA3*t_v)))/(Y_v*RadSpec!BA3))),".")</f>
        <v>3.6424203206347228</v>
      </c>
      <c r="BY3" s="108">
        <f>IFERROR(IF(d_Bv!AA3=0,".",((Ir*F*I_f*T*(1-EXP(-RadSpec!BA3*t_v)))/(Y_v*RadSpec!BA3))),".")</f>
        <v>3.6424203206347228</v>
      </c>
    </row>
    <row r="4" spans="1:77" x14ac:dyDescent="0.25">
      <c r="A4" s="44" t="s">
        <v>2</v>
      </c>
      <c r="B4" s="42" t="s">
        <v>1057</v>
      </c>
      <c r="C4" s="108">
        <f>IFERROR(IF(d_Bv!C4=0,".",((Ir*F*d_Bv!C4*(1-EXP(-RadSpec!AZ4*t_b)))/(P*RadSpec!AZ4))),".")</f>
        <v>7.1492821524702075</v>
      </c>
      <c r="D4" s="108">
        <f>IFERROR(IF(d_Bv!D4=0,".",((Ir*F*d_Bv!D4*(1-EXP(-RadSpec!AZ4*t_b)))/(P*RadSpec!AZ4))),".")</f>
        <v>7.1492821524702075</v>
      </c>
      <c r="E4" s="108">
        <f>IFERROR(IF(d_Bv!E4=0,".",((Ir*F*d_Bv!E4*(1-EXP(-RadSpec!AZ4*t_b)))/(P*RadSpec!AZ4))),".")</f>
        <v>7.1492821524702075</v>
      </c>
      <c r="F4" s="108">
        <f>IFERROR(IF(d_Bv!F4=0,".",((Ir*F*d_Bv!F4*(1-EXP(-RadSpec!AZ4*t_b)))/(P*RadSpec!AZ4))),".")</f>
        <v>7.1492821524702075</v>
      </c>
      <c r="G4" s="108">
        <f>IFERROR(IF(d_Bv!G4=0,".",((Ir*F*d_Bv!G4*(1-EXP(-RadSpec!AZ4*t_b)))/(P*RadSpec!AZ4))),".")</f>
        <v>7.1492821524702075</v>
      </c>
      <c r="H4" s="108">
        <f>IFERROR(IF(d_Bv!H4=0,".",((Ir*F*d_Bv!H4*(1-EXP(-RadSpec!AZ4*t_b)))/(P*RadSpec!AZ4))),".")</f>
        <v>7.1492821524702075</v>
      </c>
      <c r="I4" s="108">
        <f>IFERROR(IF(d_Bv!I4=0,".",((Ir*F*d_Bv!I4*(1-EXP(-RadSpec!AZ4*t_b)))/(P*RadSpec!AZ4))),".")</f>
        <v>7.1492821524702075</v>
      </c>
      <c r="J4" s="108">
        <f>IFERROR(IF(d_Bv!J4=0,".",((Ir*F*d_Bv!J4*(1-EXP(-RadSpec!AZ4*t_b)))/(P*RadSpec!AZ4))),".")</f>
        <v>7.1492821524702075</v>
      </c>
      <c r="K4" s="108">
        <f>IFERROR(IF(d_Bv!K4=0,".",((Ir*F*d_Bv!K4*(1-EXP(-RadSpec!AZ4*t_b)))/(P*RadSpec!AZ4))),".")</f>
        <v>7.1492821524702075</v>
      </c>
      <c r="L4" s="108">
        <f>IFERROR(IF(d_Bv!L4=0,".",((Ir*F*d_Bv!L4*(1-EXP(-RadSpec!AZ4*t_b)))/(P*RadSpec!AZ4))),".")</f>
        <v>7.1492821524702075</v>
      </c>
      <c r="M4" s="108">
        <f>IFERROR(IF(d_Bv!M4=0,".",((Ir*F*d_Bv!M4*(1-EXP(-RadSpec!AZ4*t_b)))/(P*RadSpec!AZ4))),".")</f>
        <v>7.1492821524702075</v>
      </c>
      <c r="N4" s="108">
        <f>IFERROR(IF(d_Bv!N4=0,".",((Ir*F*d_Bv!N4*(1-EXP(-RadSpec!AZ4*t_b)))/(P*RadSpec!AZ4))),".")</f>
        <v>7.1492821524702075</v>
      </c>
      <c r="O4" s="108">
        <f>IFERROR(IF(d_Bv!O4=0,".",((Ir*F*d_Bv!O4*(1-EXP(-RadSpec!AZ4*t_b)))/(P*RadSpec!AZ4))),".")</f>
        <v>7.1492821524702075</v>
      </c>
      <c r="P4" s="108">
        <f>IFERROR(IF(d_Bv!P4=0,".",((Ir*F*d_Bv!P4*(1-EXP(-RadSpec!AZ4*t_b)))/(P*RadSpec!AZ4))),".")</f>
        <v>7.1492821524702075</v>
      </c>
      <c r="Q4" s="108">
        <f>IFERROR(IF(d_Bv!Q4=0,".",((Ir*F*d_Bv!Q4*(1-EXP(-RadSpec!AZ4*t_b)))/(P*RadSpec!AZ4))),".")</f>
        <v>7.1492821524702075</v>
      </c>
      <c r="R4" s="108">
        <f>IFERROR(IF(d_Bv!R4=0,".",((Ir*F*d_Bv!R4*(1-EXP(-RadSpec!AZ4*t_b)))/(P*RadSpec!AZ4))),".")</f>
        <v>7.1492821524702075</v>
      </c>
      <c r="S4" s="108">
        <f>IFERROR(IF(d_Bv!S4=0,".",((Ir*F*d_Bv!S4*(1-EXP(-RadSpec!AZ4*t_b)))/(P*RadSpec!AZ4))),".")</f>
        <v>7.1492821524702075</v>
      </c>
      <c r="T4" s="202">
        <f>IFERROR(IF(d_Bv!T4=0,".",((Ir*F*d_Bv!T4*(1-EXP(-RadSpec!AZ4*t_b)))/(P*RadSpec!AZ4))),".")</f>
        <v>7.1492821524702075</v>
      </c>
      <c r="U4" s="108">
        <f>IFERROR(IF(d_Bv!U4=0,".",((Ir*F*d_Bv!U4*(1-EXP(-RadSpec!AZ4*t_b)))/(P*RadSpec!AZ4))),".")</f>
        <v>7.1492821524702075</v>
      </c>
      <c r="V4" s="108">
        <f>IFERROR(IF(d_Bv!V4=0,".",((Ir*F*d_Bv!V4*(1-EXP(-RadSpec!AZ4*t_b)))/(P*RadSpec!AZ4))),".")</f>
        <v>7.1492821524702075</v>
      </c>
      <c r="W4" s="108">
        <f>IFERROR(IF(d_Bv!W4=0,".",((Ir*F*d_Bv!W4*(1-EXP(-RadSpec!AZ4*t_b)))/(P*RadSpec!AZ4))),".")</f>
        <v>7.1492821524702075</v>
      </c>
      <c r="X4" s="108">
        <f>IFERROR(IF(d_Bv!X4=0,".",((Ir*F*d_Bv!X4*(1-EXP(-RadSpec!AZ4*t_b)))/(P*RadSpec!AZ4))),".")</f>
        <v>7.1492821524702075</v>
      </c>
      <c r="Y4" s="108">
        <f>IFERROR(IF(d_Bv!Y4=0,".",((Ir*F*d_Bv!Y4*(1-EXP(-RadSpec!AZ4*t_b)))/(P*RadSpec!AZ4))),".")</f>
        <v>7.1492821524702075</v>
      </c>
      <c r="Z4" s="108">
        <f>IFERROR(IF(d_Bv!Z4=0,".",((Ir*F*d_Bv!Z4*(1-EXP(-RadSpec!AZ4*t_b)))/(P*RadSpec!AZ4))),".")</f>
        <v>7.1492821524702075</v>
      </c>
      <c r="AA4" s="108">
        <f>IFERROR(IF(d_Bv!AA4=0,".",((Ir*F*d_Bv!AA4*(1-EXP(-RadSpec!AZ4*t_b)))/(P*RadSpec!AZ4))),".")</f>
        <v>7.1492821524702075</v>
      </c>
      <c r="AB4" s="108">
        <f>IFERROR(IF(d_Bv!C4=0,".",((Ir*F*MLF_apple*(1-EXP(-RadSpec!AZ4*t_b)))/(P*RadSpec!AZ4))),".")</f>
        <v>5.7194257219761657E-3</v>
      </c>
      <c r="AC4" s="108">
        <f>IFERROR(IF(d_Bv!D4=0,".",((Ir*F*MLF_asparagus*(1-EXP(-RadSpec!AZ4*t_b)))/(P*RadSpec!AZ4))),".")</f>
        <v>2.8239664502257315E-3</v>
      </c>
      <c r="AD4" s="108">
        <f>IFERROR(IF(d_Bv!E4=0,".",((Ir*F*MLF_beet*(1-EXP(-RadSpec!AZ4*t_b)))/(P*RadSpec!AZ4))),".")</f>
        <v>4.9330046852044422E-3</v>
      </c>
      <c r="AE4" s="108">
        <f>IFERROR(IF(d_Bv!F4=0,".",((Ir*F*MLF_berries*(1-EXP(-RadSpec!AZ4*t_b)))/(P*RadSpec!AZ4))),".")</f>
        <v>5.9339041865502712E-3</v>
      </c>
      <c r="AF4" s="108">
        <f>IFERROR(IF(d_Bv!G4=0,".",((Ir*F*MLF_broccoli*(1-EXP(-RadSpec!AZ4*t_b)))/(P*RadSpec!AZ4))),".")</f>
        <v>3.6103874869974538E-2</v>
      </c>
      <c r="AG4" s="108">
        <f>IFERROR(IF(d_Bv!H4=0,".",((Ir*F*MLF_cabbage*(1-EXP(-RadSpec!AZ4*t_b)))/(P*RadSpec!AZ4))),".")</f>
        <v>3.7533731300468582E-3</v>
      </c>
      <c r="AH4" s="108">
        <f>IFERROR(IF(d_Bv!I4=0,".",((Ir*F*MLF_carrot*(1-EXP(-RadSpec!AZ4*t_b)))/(P*RadSpec!AZ4))),".")</f>
        <v>3.4674018439480501E-3</v>
      </c>
      <c r="AI4" s="108">
        <f>IFERROR(IF(d_Bv!J4=0,".",((Ir*F*MLF_citrus*(1-EXP(-RadSpec!AZ4*t_b)))/(P*RadSpec!AZ4))),".")</f>
        <v>5.6121864896891112E-3</v>
      </c>
      <c r="AJ4" s="108">
        <f>IFERROR(IF(d_Bv!K4=0,".",((Ir*F*MLF_corn*(1-EXP(-RadSpec!AZ4*t_b)))/(P*RadSpec!AZ4))),".")</f>
        <v>5.1832295605408994E-3</v>
      </c>
      <c r="AK4" s="108">
        <f>IFERROR(IF(d_Bv!L4=0,".",((Ir*F*MLF_cucumber*(1-EXP(-RadSpec!AZ4*t_b)))/(P*RadSpec!AZ4))),".")</f>
        <v>1.4298564304940414E-3</v>
      </c>
      <c r="AL4" s="108">
        <f>IFERROR(IF(d_Bv!M4=0,".",((Ir*F*MLF_lettuce*(1-EXP(-RadSpec!AZ4*t_b)))/(P*RadSpec!AZ4))),".")</f>
        <v>0.48257654529173893</v>
      </c>
      <c r="AM4" s="108">
        <f>IFERROR(IF(d_Bv!N4=0,".",((Ir*F*MLF_lima_bean*(1-EXP(-RadSpec!AZ4*t_b)))/(P*RadSpec!AZ4))),".")</f>
        <v>0.13690875321980447</v>
      </c>
      <c r="AN4" s="108">
        <f>IFERROR(IF(d_Bv!O4=0,".",((Ir*F*MLF_okra*(1-EXP(-RadSpec!AZ4*t_b)))/(P*RadSpec!AZ4))),".")</f>
        <v>2.8597128609880828E-3</v>
      </c>
      <c r="AO4" s="108">
        <f>IFERROR(IF(d_Bv!P4=0,".",((Ir*F*MLF_onion*(1-EXP(-RadSpec!AZ4*t_b)))/(P*RadSpec!AZ4))),".")</f>
        <v>3.4674018439480501E-3</v>
      </c>
      <c r="AP4" s="108">
        <f>IFERROR(IF(d_Bv!Q4=0,".",((Ir*F*MLF_peach*(1-EXP(-RadSpec!AZ4*t_b)))/(P*RadSpec!AZ4))),".")</f>
        <v>5.361961614352654E-3</v>
      </c>
      <c r="AQ4" s="108">
        <f>IFERROR(IF(d_Bv!R4=0,".",((Ir*F*MLF_pear*(1-EXP(-RadSpec!AZ4*t_b)))/(P*RadSpec!AZ4))),".")</f>
        <v>5.7194257219761657E-3</v>
      </c>
      <c r="AR4" s="108">
        <f>IFERROR(IF(d_Bv!S4=0,".",((Ir*F*MLF_peas*(1-EXP(-RadSpec!AZ4*t_b)))/(P*RadSpec!AZ4))),".")</f>
        <v>6.3628611156984829E-3</v>
      </c>
      <c r="AS4" s="108">
        <f>IFERROR(IF(d_Bv!T4=0,".",((Ir*F*MLF_peppers*(1-EXP(-RadSpec!AZ4*t_b)))/(P*RadSpec!AZ4))),".")</f>
        <v>7.93570318924193E-2</v>
      </c>
      <c r="AT4" s="108">
        <f>IFERROR(IF(d_Bv!U4=0,".",((Ir*F*MLF_potato*(1-EXP(-RadSpec!AZ4*t_b)))/(P*RadSpec!AZ4))),".")</f>
        <v>7.5067462600937164E-3</v>
      </c>
      <c r="AU4" s="108">
        <f>IFERROR(IF(d_Bv!V4=0,".",((Ir*F*MLF_pumpkin*(1-EXP(-RadSpec!AZ4*t_b)))/(P*RadSpec!AZ4))),".")</f>
        <v>2.0732918242163598E-3</v>
      </c>
      <c r="AV4" s="108">
        <f>IFERROR(IF(d_Bv!W4=0,".",((Ir*F*MLF_snap_bean*(1-EXP(-RadSpec!AZ4*t_b)))/(P*RadSpec!AZ4))),".")</f>
        <v>0.17873205381175516</v>
      </c>
      <c r="AW4" s="108">
        <f>IFERROR(IF(d_Bv!X4=0,".",((Ir*F*MLF_strawberry*(1-EXP(-RadSpec!AZ4*t_b)))/(P*RadSpec!AZ4))),".")</f>
        <v>2.8597128609880828E-3</v>
      </c>
      <c r="AX4" s="108">
        <f>IFERROR(IF(d_Bv!Y4=0,".",((Ir*F*MLF_tomato*(1-EXP(-RadSpec!AZ4*t_b)))/(P*RadSpec!AZ4))),".")</f>
        <v>6.327114704936132E-2</v>
      </c>
      <c r="AY4" s="108">
        <f>IFERROR(IF(d_Bv!Z4=0,".",((Ir*F*MLF_rice*(1-EXP(-RadSpec!AZ4*t_b)))/(P*RadSpec!AZ4))),".")</f>
        <v>8.9366026905877582</v>
      </c>
      <c r="AZ4" s="108">
        <f>IFERROR(IF(d_Bv!AA4=0,".",((Ir*F*MLF_cereal*(1-EXP(-RadSpec!AZ4*t_b)))/(P*RadSpec!AZ4))),".")</f>
        <v>8.9366026905877582</v>
      </c>
      <c r="BA4" s="108">
        <f>IFERROR(IF(d_Bv!C4=0,".",((Ir*F*I_f*T*(1-EXP(-RadSpec!BA4*t_v)))/(Y_v*RadSpec!BA4))),".")</f>
        <v>3.6424203206347228</v>
      </c>
      <c r="BB4" s="108">
        <f>IFERROR(IF(d_Bv!D4=0,".",((Ir*F*I_f*T*(1-EXP(-RadSpec!BA4*t_v)))/(Y_v*RadSpec!BA4))),".")</f>
        <v>3.6424203206347228</v>
      </c>
      <c r="BC4" s="108">
        <f>IFERROR(IF(d_Bv!E4=0,".",((Ir*F*I_f*T*(1-EXP(-RadSpec!BA4*t_v)))/(Y_v*RadSpec!BA4))),".")</f>
        <v>3.6424203206347228</v>
      </c>
      <c r="BD4" s="108">
        <f>IFERROR(IF(d_Bv!F4=0,".",((Ir*F*I_f*T*(1-EXP(-RadSpec!BA4*t_v)))/(Y_v*RadSpec!BA4))),".")</f>
        <v>3.6424203206347228</v>
      </c>
      <c r="BE4" s="108">
        <f>IFERROR(IF(d_Bv!G4=0,".",((Ir*F*I_f*T*(1-EXP(-RadSpec!BA4*t_v)))/(Y_v*RadSpec!BA4))),".")</f>
        <v>3.6424203206347228</v>
      </c>
      <c r="BF4" s="108">
        <f>IFERROR(IF(d_Bv!H4=0,".",((Ir*F*I_f*T*(1-EXP(-RadSpec!BA4*t_v)))/(Y_v*RadSpec!BA4))),".")</f>
        <v>3.6424203206347228</v>
      </c>
      <c r="BG4" s="108">
        <f>IFERROR(IF(d_Bv!I4=0,".",((Ir*F*I_f*T*(1-EXP(-RadSpec!BA4*t_v)))/(Y_v*RadSpec!BA4))),".")</f>
        <v>3.6424203206347228</v>
      </c>
      <c r="BH4" s="108">
        <f>IFERROR(IF(d_Bv!J4=0,".",((Ir*F*I_f*T*(1-EXP(-RadSpec!BA4*t_v)))/(Y_v*RadSpec!BA4))),".")</f>
        <v>3.6424203206347228</v>
      </c>
      <c r="BI4" s="108">
        <f>IFERROR(IF(d_Bv!K4=0,".",((Ir*F*I_f*T*(1-EXP(-RadSpec!BA4*t_v)))/(Y_v*RadSpec!BA4))),".")</f>
        <v>3.6424203206347228</v>
      </c>
      <c r="BJ4" s="108">
        <f>IFERROR(IF(d_Bv!L4=0,".",((Ir*F*I_f*T*(1-EXP(-RadSpec!BA4*t_v)))/(Y_v*RadSpec!BA4))),".")</f>
        <v>3.6424203206347228</v>
      </c>
      <c r="BK4" s="108">
        <f>IFERROR(IF(d_Bv!M4=0,".",((Ir*F*I_f*T*(1-EXP(-RadSpec!BA4*t_v)))/(Y_v*RadSpec!BA4))),".")</f>
        <v>3.6424203206347228</v>
      </c>
      <c r="BL4" s="108">
        <f>IFERROR(IF(d_Bv!N4=0,".",((Ir*F*I_f*T*(1-EXP(-RadSpec!BA4*t_v)))/(Y_v*RadSpec!BA4))),".")</f>
        <v>3.6424203206347228</v>
      </c>
      <c r="BM4" s="108">
        <f>IFERROR(IF(d_Bv!O4=0,".",((Ir*F*I_f*T*(1-EXP(-RadSpec!BA4*t_v)))/(Y_v*RadSpec!BA4))),".")</f>
        <v>3.6424203206347228</v>
      </c>
      <c r="BN4" s="108">
        <f>IFERROR(IF(d_Bv!P4=0,".",((Ir*F*I_f*T*(1-EXP(-RadSpec!BA4*t_v)))/(Y_v*RadSpec!BA4))),".")</f>
        <v>3.6424203206347228</v>
      </c>
      <c r="BO4" s="108">
        <f>IFERROR(IF(d_Bv!Q4=0,".",((Ir*F*I_f*T*(1-EXP(-RadSpec!BA4*t_v)))/(Y_v*RadSpec!BA4))),".")</f>
        <v>3.6424203206347228</v>
      </c>
      <c r="BP4" s="108">
        <f>IFERROR(IF(d_Bv!R4=0,".",((Ir*F*I_f*T*(1-EXP(-RadSpec!BA4*t_v)))/(Y_v*RadSpec!BA4))),".")</f>
        <v>3.6424203206347228</v>
      </c>
      <c r="BQ4" s="108">
        <f>IFERROR(IF(d_Bv!S4=0,".",((Ir*F*I_f*T*(1-EXP(-RadSpec!BA4*t_v)))/(Y_v*RadSpec!BA4))),".")</f>
        <v>3.6424203206347228</v>
      </c>
      <c r="BR4" s="108">
        <f>IFERROR(IF(d_Bv!T4=0,".",((Ir*F*I_f*T*(1-EXP(-RadSpec!BA4*t_v)))/(Y_v*RadSpec!BA4))),".")</f>
        <v>3.6424203206347228</v>
      </c>
      <c r="BS4" s="108">
        <f>IFERROR(IF(d_Bv!U4=0,".",((Ir*F*I_f*T*(1-EXP(-RadSpec!BA4*t_v)))/(Y_v*RadSpec!BA4))),".")</f>
        <v>3.6424203206347228</v>
      </c>
      <c r="BT4" s="108">
        <f>IFERROR(IF(d_Bv!V4=0,".",((Ir*F*I_f*T*(1-EXP(-RadSpec!BA4*t_v)))/(Y_v*RadSpec!BA4))),".")</f>
        <v>3.6424203206347228</v>
      </c>
      <c r="BU4" s="108">
        <f>IFERROR(IF(d_Bv!W4=0,".",((Ir*F*I_f*T*(1-EXP(-RadSpec!BA4*t_v)))/(Y_v*RadSpec!BA4))),".")</f>
        <v>3.6424203206347228</v>
      </c>
      <c r="BV4" s="108">
        <f>IFERROR(IF(d_Bv!X4=0,".",((Ir*F*I_f*T*(1-EXP(-RadSpec!BA4*t_v)))/(Y_v*RadSpec!BA4))),".")</f>
        <v>3.6424203206347228</v>
      </c>
      <c r="BW4" s="108">
        <f>IFERROR(IF(d_Bv!Y4=0,".",((Ir*F*I_f*T*(1-EXP(-RadSpec!BA4*t_v)))/(Y_v*RadSpec!BA4))),".")</f>
        <v>3.6424203206347228</v>
      </c>
      <c r="BX4" s="108">
        <f>IFERROR(IF(d_Bv!Z4=0,".",((Ir*F*I_f*T*(1-EXP(-RadSpec!BA4*t_v)))/(Y_v*RadSpec!BA4))),".")</f>
        <v>3.6424203206347228</v>
      </c>
      <c r="BY4" s="108">
        <f>IFERROR(IF(d_Bv!AA4=0,".",((Ir*F*I_f*T*(1-EXP(-RadSpec!BA4*t_v)))/(Y_v*RadSpec!BA4))),".")</f>
        <v>3.6424203206347228</v>
      </c>
    </row>
    <row r="5" spans="1:77" x14ac:dyDescent="0.25">
      <c r="A5" s="44" t="s">
        <v>3</v>
      </c>
      <c r="B5" s="42" t="s">
        <v>1057</v>
      </c>
      <c r="C5" s="108">
        <f>IFERROR(IF(d_Bv!C5=0,".",((Ir*F*d_Bv!C5*(1-EXP(-RadSpec!AZ5*t_b)))/(P*RadSpec!AZ5))),".")</f>
        <v>7.1492821524702075</v>
      </c>
      <c r="D5" s="108">
        <f>IFERROR(IF(d_Bv!D5=0,".",((Ir*F*d_Bv!D5*(1-EXP(-RadSpec!AZ5*t_b)))/(P*RadSpec!AZ5))),".")</f>
        <v>7.1492821524702075</v>
      </c>
      <c r="E5" s="108">
        <f>IFERROR(IF(d_Bv!E5=0,".",((Ir*F*d_Bv!E5*(1-EXP(-RadSpec!AZ5*t_b)))/(P*RadSpec!AZ5))),".")</f>
        <v>7.1492821524702075</v>
      </c>
      <c r="F5" s="108">
        <f>IFERROR(IF(d_Bv!F5=0,".",((Ir*F*d_Bv!F5*(1-EXP(-RadSpec!AZ5*t_b)))/(P*RadSpec!AZ5))),".")</f>
        <v>7.1492821524702075</v>
      </c>
      <c r="G5" s="108">
        <f>IFERROR(IF(d_Bv!G5=0,".",((Ir*F*d_Bv!G5*(1-EXP(-RadSpec!AZ5*t_b)))/(P*RadSpec!AZ5))),".")</f>
        <v>7.1492821524702075</v>
      </c>
      <c r="H5" s="108">
        <f>IFERROR(IF(d_Bv!H5=0,".",((Ir*F*d_Bv!H5*(1-EXP(-RadSpec!AZ5*t_b)))/(P*RadSpec!AZ5))),".")</f>
        <v>7.1492821524702075</v>
      </c>
      <c r="I5" s="108">
        <f>IFERROR(IF(d_Bv!I5=0,".",((Ir*F*d_Bv!I5*(1-EXP(-RadSpec!AZ5*t_b)))/(P*RadSpec!AZ5))),".")</f>
        <v>7.1492821524702075</v>
      </c>
      <c r="J5" s="108">
        <f>IFERROR(IF(d_Bv!J5=0,".",((Ir*F*d_Bv!J5*(1-EXP(-RadSpec!AZ5*t_b)))/(P*RadSpec!AZ5))),".")</f>
        <v>7.1492821524702075</v>
      </c>
      <c r="K5" s="108">
        <f>IFERROR(IF(d_Bv!K5=0,".",((Ir*F*d_Bv!K5*(1-EXP(-RadSpec!AZ5*t_b)))/(P*RadSpec!AZ5))),".")</f>
        <v>7.1492821524702075</v>
      </c>
      <c r="L5" s="108">
        <f>IFERROR(IF(d_Bv!L5=0,".",((Ir*F*d_Bv!L5*(1-EXP(-RadSpec!AZ5*t_b)))/(P*RadSpec!AZ5))),".")</f>
        <v>7.1492821524702075</v>
      </c>
      <c r="M5" s="108">
        <f>IFERROR(IF(d_Bv!M5=0,".",((Ir*F*d_Bv!M5*(1-EXP(-RadSpec!AZ5*t_b)))/(P*RadSpec!AZ5))),".")</f>
        <v>7.1492821524702075</v>
      </c>
      <c r="N5" s="108">
        <f>IFERROR(IF(d_Bv!N5=0,".",((Ir*F*d_Bv!N5*(1-EXP(-RadSpec!AZ5*t_b)))/(P*RadSpec!AZ5))),".")</f>
        <v>7.1492821524702075</v>
      </c>
      <c r="O5" s="108">
        <f>IFERROR(IF(d_Bv!O5=0,".",((Ir*F*d_Bv!O5*(1-EXP(-RadSpec!AZ5*t_b)))/(P*RadSpec!AZ5))),".")</f>
        <v>7.1492821524702075</v>
      </c>
      <c r="P5" s="108">
        <f>IFERROR(IF(d_Bv!P5=0,".",((Ir*F*d_Bv!P5*(1-EXP(-RadSpec!AZ5*t_b)))/(P*RadSpec!AZ5))),".")</f>
        <v>7.1492821524702075</v>
      </c>
      <c r="Q5" s="108">
        <f>IFERROR(IF(d_Bv!Q5=0,".",((Ir*F*d_Bv!Q5*(1-EXP(-RadSpec!AZ5*t_b)))/(P*RadSpec!AZ5))),".")</f>
        <v>7.1492821524702075</v>
      </c>
      <c r="R5" s="108">
        <f>IFERROR(IF(d_Bv!R5=0,".",((Ir*F*d_Bv!R5*(1-EXP(-RadSpec!AZ5*t_b)))/(P*RadSpec!AZ5))),".")</f>
        <v>7.1492821524702075</v>
      </c>
      <c r="S5" s="108">
        <f>IFERROR(IF(d_Bv!S5=0,".",((Ir*F*d_Bv!S5*(1-EXP(-RadSpec!AZ5*t_b)))/(P*RadSpec!AZ5))),".")</f>
        <v>7.1492821524702075</v>
      </c>
      <c r="T5" s="202">
        <f>IFERROR(IF(d_Bv!T5=0,".",((Ir*F*d_Bv!T5*(1-EXP(-RadSpec!AZ5*t_b)))/(P*RadSpec!AZ5))),".")</f>
        <v>7.1492821524702075</v>
      </c>
      <c r="U5" s="108">
        <f>IFERROR(IF(d_Bv!U5=0,".",((Ir*F*d_Bv!U5*(1-EXP(-RadSpec!AZ5*t_b)))/(P*RadSpec!AZ5))),".")</f>
        <v>7.1492821524702075</v>
      </c>
      <c r="V5" s="108">
        <f>IFERROR(IF(d_Bv!V5=0,".",((Ir*F*d_Bv!V5*(1-EXP(-RadSpec!AZ5*t_b)))/(P*RadSpec!AZ5))),".")</f>
        <v>7.1492821524702075</v>
      </c>
      <c r="W5" s="108">
        <f>IFERROR(IF(d_Bv!W5=0,".",((Ir*F*d_Bv!W5*(1-EXP(-RadSpec!AZ5*t_b)))/(P*RadSpec!AZ5))),".")</f>
        <v>7.1492821524702075</v>
      </c>
      <c r="X5" s="108">
        <f>IFERROR(IF(d_Bv!X5=0,".",((Ir*F*d_Bv!X5*(1-EXP(-RadSpec!AZ5*t_b)))/(P*RadSpec!AZ5))),".")</f>
        <v>7.1492821524702075</v>
      </c>
      <c r="Y5" s="108">
        <f>IFERROR(IF(d_Bv!Y5=0,".",((Ir*F*d_Bv!Y5*(1-EXP(-RadSpec!AZ5*t_b)))/(P*RadSpec!AZ5))),".")</f>
        <v>7.1492821524702075</v>
      </c>
      <c r="Z5" s="108">
        <f>IFERROR(IF(d_Bv!Z5=0,".",((Ir*F*d_Bv!Z5*(1-EXP(-RadSpec!AZ5*t_b)))/(P*RadSpec!AZ5))),".")</f>
        <v>7.1492821524702075</v>
      </c>
      <c r="AA5" s="108">
        <f>IFERROR(IF(d_Bv!AA5=0,".",((Ir*F*d_Bv!AA5*(1-EXP(-RadSpec!AZ5*t_b)))/(P*RadSpec!AZ5))),".")</f>
        <v>7.1492821524702075</v>
      </c>
      <c r="AB5" s="108">
        <f>IFERROR(IF(d_Bv!C5=0,".",((Ir*F*MLF_apple*(1-EXP(-RadSpec!AZ5*t_b)))/(P*RadSpec!AZ5))),".")</f>
        <v>5.7194257219761657E-3</v>
      </c>
      <c r="AC5" s="108">
        <f>IFERROR(IF(d_Bv!D5=0,".",((Ir*F*MLF_asparagus*(1-EXP(-RadSpec!AZ5*t_b)))/(P*RadSpec!AZ5))),".")</f>
        <v>2.8239664502257315E-3</v>
      </c>
      <c r="AD5" s="108">
        <f>IFERROR(IF(d_Bv!E5=0,".",((Ir*F*MLF_beet*(1-EXP(-RadSpec!AZ5*t_b)))/(P*RadSpec!AZ5))),".")</f>
        <v>4.9330046852044422E-3</v>
      </c>
      <c r="AE5" s="108">
        <f>IFERROR(IF(d_Bv!F5=0,".",((Ir*F*MLF_berries*(1-EXP(-RadSpec!AZ5*t_b)))/(P*RadSpec!AZ5))),".")</f>
        <v>5.9339041865502712E-3</v>
      </c>
      <c r="AF5" s="108">
        <f>IFERROR(IF(d_Bv!G5=0,".",((Ir*F*MLF_broccoli*(1-EXP(-RadSpec!AZ5*t_b)))/(P*RadSpec!AZ5))),".")</f>
        <v>3.6103874869974538E-2</v>
      </c>
      <c r="AG5" s="108">
        <f>IFERROR(IF(d_Bv!H5=0,".",((Ir*F*MLF_cabbage*(1-EXP(-RadSpec!AZ5*t_b)))/(P*RadSpec!AZ5))),".")</f>
        <v>3.7533731300468582E-3</v>
      </c>
      <c r="AH5" s="108">
        <f>IFERROR(IF(d_Bv!I5=0,".",((Ir*F*MLF_carrot*(1-EXP(-RadSpec!AZ5*t_b)))/(P*RadSpec!AZ5))),".")</f>
        <v>3.4674018439480501E-3</v>
      </c>
      <c r="AI5" s="108">
        <f>IFERROR(IF(d_Bv!J5=0,".",((Ir*F*MLF_citrus*(1-EXP(-RadSpec!AZ5*t_b)))/(P*RadSpec!AZ5))),".")</f>
        <v>5.6121864896891112E-3</v>
      </c>
      <c r="AJ5" s="108">
        <f>IFERROR(IF(d_Bv!K5=0,".",((Ir*F*MLF_corn*(1-EXP(-RadSpec!AZ5*t_b)))/(P*RadSpec!AZ5))),".")</f>
        <v>5.1832295605408994E-3</v>
      </c>
      <c r="AK5" s="108">
        <f>IFERROR(IF(d_Bv!L5=0,".",((Ir*F*MLF_cucumber*(1-EXP(-RadSpec!AZ5*t_b)))/(P*RadSpec!AZ5))),".")</f>
        <v>1.4298564304940414E-3</v>
      </c>
      <c r="AL5" s="108">
        <f>IFERROR(IF(d_Bv!M5=0,".",((Ir*F*MLF_lettuce*(1-EXP(-RadSpec!AZ5*t_b)))/(P*RadSpec!AZ5))),".")</f>
        <v>0.48257654529173893</v>
      </c>
      <c r="AM5" s="108">
        <f>IFERROR(IF(d_Bv!N5=0,".",((Ir*F*MLF_lima_bean*(1-EXP(-RadSpec!AZ5*t_b)))/(P*RadSpec!AZ5))),".")</f>
        <v>0.13690875321980447</v>
      </c>
      <c r="AN5" s="108">
        <f>IFERROR(IF(d_Bv!O5=0,".",((Ir*F*MLF_okra*(1-EXP(-RadSpec!AZ5*t_b)))/(P*RadSpec!AZ5))),".")</f>
        <v>2.8597128609880828E-3</v>
      </c>
      <c r="AO5" s="108">
        <f>IFERROR(IF(d_Bv!P5=0,".",((Ir*F*MLF_onion*(1-EXP(-RadSpec!AZ5*t_b)))/(P*RadSpec!AZ5))),".")</f>
        <v>3.4674018439480501E-3</v>
      </c>
      <c r="AP5" s="108">
        <f>IFERROR(IF(d_Bv!Q5=0,".",((Ir*F*MLF_peach*(1-EXP(-RadSpec!AZ5*t_b)))/(P*RadSpec!AZ5))),".")</f>
        <v>5.361961614352654E-3</v>
      </c>
      <c r="AQ5" s="108">
        <f>IFERROR(IF(d_Bv!R5=0,".",((Ir*F*MLF_pear*(1-EXP(-RadSpec!AZ5*t_b)))/(P*RadSpec!AZ5))),".")</f>
        <v>5.7194257219761657E-3</v>
      </c>
      <c r="AR5" s="108">
        <f>IFERROR(IF(d_Bv!S5=0,".",((Ir*F*MLF_peas*(1-EXP(-RadSpec!AZ5*t_b)))/(P*RadSpec!AZ5))),".")</f>
        <v>6.3628611156984829E-3</v>
      </c>
      <c r="AS5" s="108">
        <f>IFERROR(IF(d_Bv!T5=0,".",((Ir*F*MLF_peppers*(1-EXP(-RadSpec!AZ5*t_b)))/(P*RadSpec!AZ5))),".")</f>
        <v>7.93570318924193E-2</v>
      </c>
      <c r="AT5" s="108">
        <f>IFERROR(IF(d_Bv!U5=0,".",((Ir*F*MLF_potato*(1-EXP(-RadSpec!AZ5*t_b)))/(P*RadSpec!AZ5))),".")</f>
        <v>7.5067462600937164E-3</v>
      </c>
      <c r="AU5" s="108">
        <f>IFERROR(IF(d_Bv!V5=0,".",((Ir*F*MLF_pumpkin*(1-EXP(-RadSpec!AZ5*t_b)))/(P*RadSpec!AZ5))),".")</f>
        <v>2.0732918242163598E-3</v>
      </c>
      <c r="AV5" s="108">
        <f>IFERROR(IF(d_Bv!W5=0,".",((Ir*F*MLF_snap_bean*(1-EXP(-RadSpec!AZ5*t_b)))/(P*RadSpec!AZ5))),".")</f>
        <v>0.17873205381175516</v>
      </c>
      <c r="AW5" s="108">
        <f>IFERROR(IF(d_Bv!X5=0,".",((Ir*F*MLF_strawberry*(1-EXP(-RadSpec!AZ5*t_b)))/(P*RadSpec!AZ5))),".")</f>
        <v>2.8597128609880828E-3</v>
      </c>
      <c r="AX5" s="108">
        <f>IFERROR(IF(d_Bv!Y5=0,".",((Ir*F*MLF_tomato*(1-EXP(-RadSpec!AZ5*t_b)))/(P*RadSpec!AZ5))),".")</f>
        <v>6.327114704936132E-2</v>
      </c>
      <c r="AY5" s="108">
        <f>IFERROR(IF(d_Bv!Z5=0,".",((Ir*F*MLF_rice*(1-EXP(-RadSpec!AZ5*t_b)))/(P*RadSpec!AZ5))),".")</f>
        <v>8.9366026905877582</v>
      </c>
      <c r="AZ5" s="108">
        <f>IFERROR(IF(d_Bv!AA5=0,".",((Ir*F*MLF_cereal*(1-EXP(-RadSpec!AZ5*t_b)))/(P*RadSpec!AZ5))),".")</f>
        <v>8.9366026905877582</v>
      </c>
      <c r="BA5" s="108">
        <f>IFERROR(IF(d_Bv!C5=0,".",((Ir*F*I_f*T*(1-EXP(-RadSpec!BA5*t_v)))/(Y_v*RadSpec!BA5))),".")</f>
        <v>3.6424203206347228</v>
      </c>
      <c r="BB5" s="108">
        <f>IFERROR(IF(d_Bv!D5=0,".",((Ir*F*I_f*T*(1-EXP(-RadSpec!BA5*t_v)))/(Y_v*RadSpec!BA5))),".")</f>
        <v>3.6424203206347228</v>
      </c>
      <c r="BC5" s="108">
        <f>IFERROR(IF(d_Bv!E5=0,".",((Ir*F*I_f*T*(1-EXP(-RadSpec!BA5*t_v)))/(Y_v*RadSpec!BA5))),".")</f>
        <v>3.6424203206347228</v>
      </c>
      <c r="BD5" s="108">
        <f>IFERROR(IF(d_Bv!F5=0,".",((Ir*F*I_f*T*(1-EXP(-RadSpec!BA5*t_v)))/(Y_v*RadSpec!BA5))),".")</f>
        <v>3.6424203206347228</v>
      </c>
      <c r="BE5" s="108">
        <f>IFERROR(IF(d_Bv!G5=0,".",((Ir*F*I_f*T*(1-EXP(-RadSpec!BA5*t_v)))/(Y_v*RadSpec!BA5))),".")</f>
        <v>3.6424203206347228</v>
      </c>
      <c r="BF5" s="108">
        <f>IFERROR(IF(d_Bv!H5=0,".",((Ir*F*I_f*T*(1-EXP(-RadSpec!BA5*t_v)))/(Y_v*RadSpec!BA5))),".")</f>
        <v>3.6424203206347228</v>
      </c>
      <c r="BG5" s="108">
        <f>IFERROR(IF(d_Bv!I5=0,".",((Ir*F*I_f*T*(1-EXP(-RadSpec!BA5*t_v)))/(Y_v*RadSpec!BA5))),".")</f>
        <v>3.6424203206347228</v>
      </c>
      <c r="BH5" s="108">
        <f>IFERROR(IF(d_Bv!J5=0,".",((Ir*F*I_f*T*(1-EXP(-RadSpec!BA5*t_v)))/(Y_v*RadSpec!BA5))),".")</f>
        <v>3.6424203206347228</v>
      </c>
      <c r="BI5" s="108">
        <f>IFERROR(IF(d_Bv!K5=0,".",((Ir*F*I_f*T*(1-EXP(-RadSpec!BA5*t_v)))/(Y_v*RadSpec!BA5))),".")</f>
        <v>3.6424203206347228</v>
      </c>
      <c r="BJ5" s="108">
        <f>IFERROR(IF(d_Bv!L5=0,".",((Ir*F*I_f*T*(1-EXP(-RadSpec!BA5*t_v)))/(Y_v*RadSpec!BA5))),".")</f>
        <v>3.6424203206347228</v>
      </c>
      <c r="BK5" s="108">
        <f>IFERROR(IF(d_Bv!M5=0,".",((Ir*F*I_f*T*(1-EXP(-RadSpec!BA5*t_v)))/(Y_v*RadSpec!BA5))),".")</f>
        <v>3.6424203206347228</v>
      </c>
      <c r="BL5" s="108">
        <f>IFERROR(IF(d_Bv!N5=0,".",((Ir*F*I_f*T*(1-EXP(-RadSpec!BA5*t_v)))/(Y_v*RadSpec!BA5))),".")</f>
        <v>3.6424203206347228</v>
      </c>
      <c r="BM5" s="108">
        <f>IFERROR(IF(d_Bv!O5=0,".",((Ir*F*I_f*T*(1-EXP(-RadSpec!BA5*t_v)))/(Y_v*RadSpec!BA5))),".")</f>
        <v>3.6424203206347228</v>
      </c>
      <c r="BN5" s="108">
        <f>IFERROR(IF(d_Bv!P5=0,".",((Ir*F*I_f*T*(1-EXP(-RadSpec!BA5*t_v)))/(Y_v*RadSpec!BA5))),".")</f>
        <v>3.6424203206347228</v>
      </c>
      <c r="BO5" s="108">
        <f>IFERROR(IF(d_Bv!Q5=0,".",((Ir*F*I_f*T*(1-EXP(-RadSpec!BA5*t_v)))/(Y_v*RadSpec!BA5))),".")</f>
        <v>3.6424203206347228</v>
      </c>
      <c r="BP5" s="108">
        <f>IFERROR(IF(d_Bv!R5=0,".",((Ir*F*I_f*T*(1-EXP(-RadSpec!BA5*t_v)))/(Y_v*RadSpec!BA5))),".")</f>
        <v>3.6424203206347228</v>
      </c>
      <c r="BQ5" s="108">
        <f>IFERROR(IF(d_Bv!S5=0,".",((Ir*F*I_f*T*(1-EXP(-RadSpec!BA5*t_v)))/(Y_v*RadSpec!BA5))),".")</f>
        <v>3.6424203206347228</v>
      </c>
      <c r="BR5" s="108">
        <f>IFERROR(IF(d_Bv!T5=0,".",((Ir*F*I_f*T*(1-EXP(-RadSpec!BA5*t_v)))/(Y_v*RadSpec!BA5))),".")</f>
        <v>3.6424203206347228</v>
      </c>
      <c r="BS5" s="108">
        <f>IFERROR(IF(d_Bv!U5=0,".",((Ir*F*I_f*T*(1-EXP(-RadSpec!BA5*t_v)))/(Y_v*RadSpec!BA5))),".")</f>
        <v>3.6424203206347228</v>
      </c>
      <c r="BT5" s="108">
        <f>IFERROR(IF(d_Bv!V5=0,".",((Ir*F*I_f*T*(1-EXP(-RadSpec!BA5*t_v)))/(Y_v*RadSpec!BA5))),".")</f>
        <v>3.6424203206347228</v>
      </c>
      <c r="BU5" s="108">
        <f>IFERROR(IF(d_Bv!W5=0,".",((Ir*F*I_f*T*(1-EXP(-RadSpec!BA5*t_v)))/(Y_v*RadSpec!BA5))),".")</f>
        <v>3.6424203206347228</v>
      </c>
      <c r="BV5" s="108">
        <f>IFERROR(IF(d_Bv!X5=0,".",((Ir*F*I_f*T*(1-EXP(-RadSpec!BA5*t_v)))/(Y_v*RadSpec!BA5))),".")</f>
        <v>3.6424203206347228</v>
      </c>
      <c r="BW5" s="108">
        <f>IFERROR(IF(d_Bv!Y5=0,".",((Ir*F*I_f*T*(1-EXP(-RadSpec!BA5*t_v)))/(Y_v*RadSpec!BA5))),".")</f>
        <v>3.6424203206347228</v>
      </c>
      <c r="BX5" s="108">
        <f>IFERROR(IF(d_Bv!Z5=0,".",((Ir*F*I_f*T*(1-EXP(-RadSpec!BA5*t_v)))/(Y_v*RadSpec!BA5))),".")</f>
        <v>3.6424203206347228</v>
      </c>
      <c r="BY5" s="108">
        <f>IFERROR(IF(d_Bv!AA5=0,".",((Ir*F*I_f*T*(1-EXP(-RadSpec!BA5*t_v)))/(Y_v*RadSpec!BA5))),".")</f>
        <v>3.6424203206347228</v>
      </c>
    </row>
    <row r="6" spans="1:77" x14ac:dyDescent="0.25">
      <c r="A6" s="44" t="s">
        <v>4</v>
      </c>
      <c r="B6" s="42" t="s">
        <v>1057</v>
      </c>
      <c r="C6" s="108">
        <f>IFERROR(IF(d_Bv!C6=0,".",((Ir*F*d_Bv!C6*(1-EXP(-RadSpec!AZ6*t_b)))/(P*RadSpec!AZ6))),".")</f>
        <v>0.35746410762351033</v>
      </c>
      <c r="D6" s="108">
        <f>IFERROR(IF(d_Bv!D6=0,".",((Ir*F*d_Bv!D6*(1-EXP(-RadSpec!AZ6*t_b)))/(P*RadSpec!AZ6))),".")</f>
        <v>0.17873205381175516</v>
      </c>
      <c r="E6" s="108">
        <f>IFERROR(IF(d_Bv!E6=0,".",((Ir*F*d_Bv!E6*(1-EXP(-RadSpec!AZ6*t_b)))/(P*RadSpec!AZ6))),".")</f>
        <v>0.17873205381175516</v>
      </c>
      <c r="F6" s="108">
        <f>IFERROR(IF(d_Bv!F6=0,".",((Ir*F*d_Bv!F6*(1-EXP(-RadSpec!AZ6*t_b)))/(P*RadSpec!AZ6))),".")</f>
        <v>0.35746410762351033</v>
      </c>
      <c r="G6" s="108">
        <f>IFERROR(IF(d_Bv!G6=0,".",((Ir*F*d_Bv!G6*(1-EXP(-RadSpec!AZ6*t_b)))/(P*RadSpec!AZ6))),".")</f>
        <v>0.35746410762351033</v>
      </c>
      <c r="H6" s="108">
        <f>IFERROR(IF(d_Bv!H6=0,".",((Ir*F*d_Bv!H6*(1-EXP(-RadSpec!AZ6*t_b)))/(P*RadSpec!AZ6))),".")</f>
        <v>0.17873205381175516</v>
      </c>
      <c r="I6" s="108">
        <f>IFERROR(IF(d_Bv!I6=0,".",((Ir*F*d_Bv!I6*(1-EXP(-RadSpec!AZ6*t_b)))/(P*RadSpec!AZ6))),".")</f>
        <v>0.17873205381175516</v>
      </c>
      <c r="J6" s="108">
        <f>IFERROR(IF(d_Bv!J6=0,".",((Ir*F*d_Bv!J6*(1-EXP(-RadSpec!AZ6*t_b)))/(P*RadSpec!AZ6))),".")</f>
        <v>0.35746410762351033</v>
      </c>
      <c r="K6" s="108">
        <f>IFERROR(IF(d_Bv!K6=0,".",((Ir*F*d_Bv!K6*(1-EXP(-RadSpec!AZ6*t_b)))/(P*RadSpec!AZ6))),".")</f>
        <v>0.35746410762351033</v>
      </c>
      <c r="L6" s="108">
        <f>IFERROR(IF(d_Bv!L6=0,".",((Ir*F*d_Bv!L6*(1-EXP(-RadSpec!AZ6*t_b)))/(P*RadSpec!AZ6))),".")</f>
        <v>0.35746410762351033</v>
      </c>
      <c r="M6" s="108">
        <f>IFERROR(IF(d_Bv!M6=0,".",((Ir*F*d_Bv!M6*(1-EXP(-RadSpec!AZ6*t_b)))/(P*RadSpec!AZ6))),".")</f>
        <v>0.17873205381175516</v>
      </c>
      <c r="N6" s="108">
        <f>IFERROR(IF(d_Bv!N6=0,".",((Ir*F*d_Bv!N6*(1-EXP(-RadSpec!AZ6*t_b)))/(P*RadSpec!AZ6))),".")</f>
        <v>0.35746410762351033</v>
      </c>
      <c r="O6" s="108">
        <f>IFERROR(IF(d_Bv!O6=0,".",((Ir*F*d_Bv!O6*(1-EXP(-RadSpec!AZ6*t_b)))/(P*RadSpec!AZ6))),".")</f>
        <v>0.35746410762351033</v>
      </c>
      <c r="P6" s="108">
        <f>IFERROR(IF(d_Bv!P6=0,".",((Ir*F*d_Bv!P6*(1-EXP(-RadSpec!AZ6*t_b)))/(P*RadSpec!AZ6))),".")</f>
        <v>0.17873205381175516</v>
      </c>
      <c r="Q6" s="108">
        <f>IFERROR(IF(d_Bv!Q6=0,".",((Ir*F*d_Bv!Q6*(1-EXP(-RadSpec!AZ6*t_b)))/(P*RadSpec!AZ6))),".")</f>
        <v>0.35746410762351033</v>
      </c>
      <c r="R6" s="108">
        <f>IFERROR(IF(d_Bv!R6=0,".",((Ir*F*d_Bv!R6*(1-EXP(-RadSpec!AZ6*t_b)))/(P*RadSpec!AZ6))),".")</f>
        <v>0.35746410762351033</v>
      </c>
      <c r="S6" s="108">
        <f>IFERROR(IF(d_Bv!S6=0,".",((Ir*F*d_Bv!S6*(1-EXP(-RadSpec!AZ6*t_b)))/(P*RadSpec!AZ6))),".")</f>
        <v>0.35746410762351033</v>
      </c>
      <c r="T6" s="202">
        <f>IFERROR(IF(d_Bv!T6=0,".",((Ir*F*d_Bv!T6*(1-EXP(-RadSpec!AZ6*t_b)))/(P*RadSpec!AZ6))),".")</f>
        <v>0.35746410762351033</v>
      </c>
      <c r="U6" s="108">
        <f>IFERROR(IF(d_Bv!U6=0,".",((Ir*F*d_Bv!U6*(1-EXP(-RadSpec!AZ6*t_b)))/(P*RadSpec!AZ6))),".")</f>
        <v>0.17873205381175516</v>
      </c>
      <c r="V6" s="108">
        <f>IFERROR(IF(d_Bv!V6=0,".",((Ir*F*d_Bv!V6*(1-EXP(-RadSpec!AZ6*t_b)))/(P*RadSpec!AZ6))),".")</f>
        <v>0.35746410762351033</v>
      </c>
      <c r="W6" s="108">
        <f>IFERROR(IF(d_Bv!W6=0,".",((Ir*F*d_Bv!W6*(1-EXP(-RadSpec!AZ6*t_b)))/(P*RadSpec!AZ6))),".")</f>
        <v>0.35746410762351033</v>
      </c>
      <c r="X6" s="108">
        <f>IFERROR(IF(d_Bv!X6=0,".",((Ir*F*d_Bv!X6*(1-EXP(-RadSpec!AZ6*t_b)))/(P*RadSpec!AZ6))),".")</f>
        <v>0.35746410762351033</v>
      </c>
      <c r="Y6" s="108">
        <f>IFERROR(IF(d_Bv!Y6=0,".",((Ir*F*d_Bv!Y6*(1-EXP(-RadSpec!AZ6*t_b)))/(P*RadSpec!AZ6))),".")</f>
        <v>0.35746410762351033</v>
      </c>
      <c r="Z6" s="108">
        <f>IFERROR(IF(d_Bv!Z6=0,".",((Ir*F*d_Bv!Z6*(1-EXP(-RadSpec!AZ6*t_b)))/(P*RadSpec!AZ6))),".")</f>
        <v>3.3601626116609967E-2</v>
      </c>
      <c r="AA6" s="108">
        <f>IFERROR(IF(d_Bv!AA6=0,".",((Ir*F*d_Bv!AA6*(1-EXP(-RadSpec!AZ6*t_b)))/(P*RadSpec!AZ6))),".")</f>
        <v>3.5746410762351036E-2</v>
      </c>
      <c r="AB6" s="108">
        <f>IFERROR(IF(d_Bv!C6=0,".",((Ir*F*MLF_apple*(1-EXP(-RadSpec!AZ6*t_b)))/(P*RadSpec!AZ6))),".")</f>
        <v>5.7194257219761657E-3</v>
      </c>
      <c r="AC6" s="108">
        <f>IFERROR(IF(d_Bv!D6=0,".",((Ir*F*MLF_asparagus*(1-EXP(-RadSpec!AZ6*t_b)))/(P*RadSpec!AZ6))),".")</f>
        <v>2.8239664502257315E-3</v>
      </c>
      <c r="AD6" s="108">
        <f>IFERROR(IF(d_Bv!E6=0,".",((Ir*F*MLF_beet*(1-EXP(-RadSpec!AZ6*t_b)))/(P*RadSpec!AZ6))),".")</f>
        <v>4.9330046852044422E-3</v>
      </c>
      <c r="AE6" s="108">
        <f>IFERROR(IF(d_Bv!F6=0,".",((Ir*F*MLF_berries*(1-EXP(-RadSpec!AZ6*t_b)))/(P*RadSpec!AZ6))),".")</f>
        <v>5.9339041865502712E-3</v>
      </c>
      <c r="AF6" s="108">
        <f>IFERROR(IF(d_Bv!G6=0,".",((Ir*F*MLF_broccoli*(1-EXP(-RadSpec!AZ6*t_b)))/(P*RadSpec!AZ6))),".")</f>
        <v>3.6103874869974538E-2</v>
      </c>
      <c r="AG6" s="108">
        <f>IFERROR(IF(d_Bv!H6=0,".",((Ir*F*MLF_cabbage*(1-EXP(-RadSpec!AZ6*t_b)))/(P*RadSpec!AZ6))),".")</f>
        <v>3.7533731300468582E-3</v>
      </c>
      <c r="AH6" s="108">
        <f>IFERROR(IF(d_Bv!I6=0,".",((Ir*F*MLF_carrot*(1-EXP(-RadSpec!AZ6*t_b)))/(P*RadSpec!AZ6))),".")</f>
        <v>3.4674018439480501E-3</v>
      </c>
      <c r="AI6" s="108">
        <f>IFERROR(IF(d_Bv!J6=0,".",((Ir*F*MLF_citrus*(1-EXP(-RadSpec!AZ6*t_b)))/(P*RadSpec!AZ6))),".")</f>
        <v>5.6121864896891112E-3</v>
      </c>
      <c r="AJ6" s="108">
        <f>IFERROR(IF(d_Bv!K6=0,".",((Ir*F*MLF_corn*(1-EXP(-RadSpec!AZ6*t_b)))/(P*RadSpec!AZ6))),".")</f>
        <v>5.1832295605408994E-3</v>
      </c>
      <c r="AK6" s="108">
        <f>IFERROR(IF(d_Bv!L6=0,".",((Ir*F*MLF_cucumber*(1-EXP(-RadSpec!AZ6*t_b)))/(P*RadSpec!AZ6))),".")</f>
        <v>1.4298564304940414E-3</v>
      </c>
      <c r="AL6" s="108">
        <f>IFERROR(IF(d_Bv!M6=0,".",((Ir*F*MLF_lettuce*(1-EXP(-RadSpec!AZ6*t_b)))/(P*RadSpec!AZ6))),".")</f>
        <v>0.48257654529173893</v>
      </c>
      <c r="AM6" s="108">
        <f>IFERROR(IF(d_Bv!N6=0,".",((Ir*F*MLF_lima_bean*(1-EXP(-RadSpec!AZ6*t_b)))/(P*RadSpec!AZ6))),".")</f>
        <v>0.13690875321980447</v>
      </c>
      <c r="AN6" s="108">
        <f>IFERROR(IF(d_Bv!O6=0,".",((Ir*F*MLF_okra*(1-EXP(-RadSpec!AZ6*t_b)))/(P*RadSpec!AZ6))),".")</f>
        <v>2.8597128609880828E-3</v>
      </c>
      <c r="AO6" s="108">
        <f>IFERROR(IF(d_Bv!P6=0,".",((Ir*F*MLF_onion*(1-EXP(-RadSpec!AZ6*t_b)))/(P*RadSpec!AZ6))),".")</f>
        <v>3.4674018439480501E-3</v>
      </c>
      <c r="AP6" s="108">
        <f>IFERROR(IF(d_Bv!Q6=0,".",((Ir*F*MLF_peach*(1-EXP(-RadSpec!AZ6*t_b)))/(P*RadSpec!AZ6))),".")</f>
        <v>5.361961614352654E-3</v>
      </c>
      <c r="AQ6" s="108">
        <f>IFERROR(IF(d_Bv!R6=0,".",((Ir*F*MLF_pear*(1-EXP(-RadSpec!AZ6*t_b)))/(P*RadSpec!AZ6))),".")</f>
        <v>5.7194257219761657E-3</v>
      </c>
      <c r="AR6" s="108">
        <f>IFERROR(IF(d_Bv!S6=0,".",((Ir*F*MLF_peas*(1-EXP(-RadSpec!AZ6*t_b)))/(P*RadSpec!AZ6))),".")</f>
        <v>6.3628611156984829E-3</v>
      </c>
      <c r="AS6" s="108">
        <f>IFERROR(IF(d_Bv!T6=0,".",((Ir*F*MLF_peppers*(1-EXP(-RadSpec!AZ6*t_b)))/(P*RadSpec!AZ6))),".")</f>
        <v>7.93570318924193E-2</v>
      </c>
      <c r="AT6" s="108">
        <f>IFERROR(IF(d_Bv!U6=0,".",((Ir*F*MLF_potato*(1-EXP(-RadSpec!AZ6*t_b)))/(P*RadSpec!AZ6))),".")</f>
        <v>7.5067462600937164E-3</v>
      </c>
      <c r="AU6" s="108">
        <f>IFERROR(IF(d_Bv!V6=0,".",((Ir*F*MLF_pumpkin*(1-EXP(-RadSpec!AZ6*t_b)))/(P*RadSpec!AZ6))),".")</f>
        <v>2.0732918242163598E-3</v>
      </c>
      <c r="AV6" s="108">
        <f>IFERROR(IF(d_Bv!W6=0,".",((Ir*F*MLF_snap_bean*(1-EXP(-RadSpec!AZ6*t_b)))/(P*RadSpec!AZ6))),".")</f>
        <v>0.17873205381175516</v>
      </c>
      <c r="AW6" s="108">
        <f>IFERROR(IF(d_Bv!X6=0,".",((Ir*F*MLF_strawberry*(1-EXP(-RadSpec!AZ6*t_b)))/(P*RadSpec!AZ6))),".")</f>
        <v>2.8597128609880828E-3</v>
      </c>
      <c r="AX6" s="108">
        <f>IFERROR(IF(d_Bv!Y6=0,".",((Ir*F*MLF_tomato*(1-EXP(-RadSpec!AZ6*t_b)))/(P*RadSpec!AZ6))),".")</f>
        <v>6.327114704936132E-2</v>
      </c>
      <c r="AY6" s="108">
        <f>IFERROR(IF(d_Bv!Z6=0,".",((Ir*F*MLF_rice*(1-EXP(-RadSpec!AZ6*t_b)))/(P*RadSpec!AZ6))),".")</f>
        <v>8.9366026905877582</v>
      </c>
      <c r="AZ6" s="108">
        <f>IFERROR(IF(d_Bv!AA6=0,".",((Ir*F*MLF_cereal*(1-EXP(-RadSpec!AZ6*t_b)))/(P*RadSpec!AZ6))),".")</f>
        <v>8.9366026905877582</v>
      </c>
      <c r="BA6" s="108">
        <f>IFERROR(IF(d_Bv!C6=0,".",((Ir*F*I_f*T*(1-EXP(-RadSpec!BA6*t_v)))/(Y_v*RadSpec!BA6))),".")</f>
        <v>3.6424203206347228</v>
      </c>
      <c r="BB6" s="108">
        <f>IFERROR(IF(d_Bv!D6=0,".",((Ir*F*I_f*T*(1-EXP(-RadSpec!BA6*t_v)))/(Y_v*RadSpec!BA6))),".")</f>
        <v>3.6424203206347228</v>
      </c>
      <c r="BC6" s="108">
        <f>IFERROR(IF(d_Bv!E6=0,".",((Ir*F*I_f*T*(1-EXP(-RadSpec!BA6*t_v)))/(Y_v*RadSpec!BA6))),".")</f>
        <v>3.6424203206347228</v>
      </c>
      <c r="BD6" s="108">
        <f>IFERROR(IF(d_Bv!F6=0,".",((Ir*F*I_f*T*(1-EXP(-RadSpec!BA6*t_v)))/(Y_v*RadSpec!BA6))),".")</f>
        <v>3.6424203206347228</v>
      </c>
      <c r="BE6" s="108">
        <f>IFERROR(IF(d_Bv!G6=0,".",((Ir*F*I_f*T*(1-EXP(-RadSpec!BA6*t_v)))/(Y_v*RadSpec!BA6))),".")</f>
        <v>3.6424203206347228</v>
      </c>
      <c r="BF6" s="108">
        <f>IFERROR(IF(d_Bv!H6=0,".",((Ir*F*I_f*T*(1-EXP(-RadSpec!BA6*t_v)))/(Y_v*RadSpec!BA6))),".")</f>
        <v>3.6424203206347228</v>
      </c>
      <c r="BG6" s="108">
        <f>IFERROR(IF(d_Bv!I6=0,".",((Ir*F*I_f*T*(1-EXP(-RadSpec!BA6*t_v)))/(Y_v*RadSpec!BA6))),".")</f>
        <v>3.6424203206347228</v>
      </c>
      <c r="BH6" s="108">
        <f>IFERROR(IF(d_Bv!J6=0,".",((Ir*F*I_f*T*(1-EXP(-RadSpec!BA6*t_v)))/(Y_v*RadSpec!BA6))),".")</f>
        <v>3.6424203206347228</v>
      </c>
      <c r="BI6" s="108">
        <f>IFERROR(IF(d_Bv!K6=0,".",((Ir*F*I_f*T*(1-EXP(-RadSpec!BA6*t_v)))/(Y_v*RadSpec!BA6))),".")</f>
        <v>3.6424203206347228</v>
      </c>
      <c r="BJ6" s="108">
        <f>IFERROR(IF(d_Bv!L6=0,".",((Ir*F*I_f*T*(1-EXP(-RadSpec!BA6*t_v)))/(Y_v*RadSpec!BA6))),".")</f>
        <v>3.6424203206347228</v>
      </c>
      <c r="BK6" s="108">
        <f>IFERROR(IF(d_Bv!M6=0,".",((Ir*F*I_f*T*(1-EXP(-RadSpec!BA6*t_v)))/(Y_v*RadSpec!BA6))),".")</f>
        <v>3.6424203206347228</v>
      </c>
      <c r="BL6" s="108">
        <f>IFERROR(IF(d_Bv!N6=0,".",((Ir*F*I_f*T*(1-EXP(-RadSpec!BA6*t_v)))/(Y_v*RadSpec!BA6))),".")</f>
        <v>3.6424203206347228</v>
      </c>
      <c r="BM6" s="108">
        <f>IFERROR(IF(d_Bv!O6=0,".",((Ir*F*I_f*T*(1-EXP(-RadSpec!BA6*t_v)))/(Y_v*RadSpec!BA6))),".")</f>
        <v>3.6424203206347228</v>
      </c>
      <c r="BN6" s="108">
        <f>IFERROR(IF(d_Bv!P6=0,".",((Ir*F*I_f*T*(1-EXP(-RadSpec!BA6*t_v)))/(Y_v*RadSpec!BA6))),".")</f>
        <v>3.6424203206347228</v>
      </c>
      <c r="BO6" s="108">
        <f>IFERROR(IF(d_Bv!Q6=0,".",((Ir*F*I_f*T*(1-EXP(-RadSpec!BA6*t_v)))/(Y_v*RadSpec!BA6))),".")</f>
        <v>3.6424203206347228</v>
      </c>
      <c r="BP6" s="108">
        <f>IFERROR(IF(d_Bv!R6=0,".",((Ir*F*I_f*T*(1-EXP(-RadSpec!BA6*t_v)))/(Y_v*RadSpec!BA6))),".")</f>
        <v>3.6424203206347228</v>
      </c>
      <c r="BQ6" s="108">
        <f>IFERROR(IF(d_Bv!S6=0,".",((Ir*F*I_f*T*(1-EXP(-RadSpec!BA6*t_v)))/(Y_v*RadSpec!BA6))),".")</f>
        <v>3.6424203206347228</v>
      </c>
      <c r="BR6" s="108">
        <f>IFERROR(IF(d_Bv!T6=0,".",((Ir*F*I_f*T*(1-EXP(-RadSpec!BA6*t_v)))/(Y_v*RadSpec!BA6))),".")</f>
        <v>3.6424203206347228</v>
      </c>
      <c r="BS6" s="108">
        <f>IFERROR(IF(d_Bv!U6=0,".",((Ir*F*I_f*T*(1-EXP(-RadSpec!BA6*t_v)))/(Y_v*RadSpec!BA6))),".")</f>
        <v>3.6424203206347228</v>
      </c>
      <c r="BT6" s="108">
        <f>IFERROR(IF(d_Bv!V6=0,".",((Ir*F*I_f*T*(1-EXP(-RadSpec!BA6*t_v)))/(Y_v*RadSpec!BA6))),".")</f>
        <v>3.6424203206347228</v>
      </c>
      <c r="BU6" s="108">
        <f>IFERROR(IF(d_Bv!W6=0,".",((Ir*F*I_f*T*(1-EXP(-RadSpec!BA6*t_v)))/(Y_v*RadSpec!BA6))),".")</f>
        <v>3.6424203206347228</v>
      </c>
      <c r="BV6" s="108">
        <f>IFERROR(IF(d_Bv!X6=0,".",((Ir*F*I_f*T*(1-EXP(-RadSpec!BA6*t_v)))/(Y_v*RadSpec!BA6))),".")</f>
        <v>3.6424203206347228</v>
      </c>
      <c r="BW6" s="108">
        <f>IFERROR(IF(d_Bv!Y6=0,".",((Ir*F*I_f*T*(1-EXP(-RadSpec!BA6*t_v)))/(Y_v*RadSpec!BA6))),".")</f>
        <v>3.6424203206347228</v>
      </c>
      <c r="BX6" s="108">
        <f>IFERROR(IF(d_Bv!Z6=0,".",((Ir*F*I_f*T*(1-EXP(-RadSpec!BA6*t_v)))/(Y_v*RadSpec!BA6))),".")</f>
        <v>3.6424203206347228</v>
      </c>
      <c r="BY6" s="108">
        <f>IFERROR(IF(d_Bv!AA6=0,".",((Ir*F*I_f*T*(1-EXP(-RadSpec!BA6*t_v)))/(Y_v*RadSpec!BA6))),".")</f>
        <v>3.6424203206347228</v>
      </c>
    </row>
    <row r="7" spans="1:77" x14ac:dyDescent="0.25">
      <c r="A7" s="44" t="s">
        <v>5</v>
      </c>
      <c r="B7" s="42" t="s">
        <v>1057</v>
      </c>
      <c r="C7" s="108">
        <f>IFERROR(IF(d_Bv!C7=0,".",((Ir*F*d_Bv!C7*(1-EXP(-RadSpec!AZ7*t_b)))/(P*RadSpec!AZ7))),".")</f>
        <v>3.5746410762351037</v>
      </c>
      <c r="D7" s="108">
        <f>IFERROR(IF(d_Bv!D7=0,".",((Ir*F*d_Bv!D7*(1-EXP(-RadSpec!AZ7*t_b)))/(P*RadSpec!AZ7))),".")</f>
        <v>3.5746410762351037</v>
      </c>
      <c r="E7" s="108">
        <f>IFERROR(IF(d_Bv!E7=0,".",((Ir*F*d_Bv!E7*(1-EXP(-RadSpec!AZ7*t_b)))/(P*RadSpec!AZ7))),".")</f>
        <v>3.5746410762351037</v>
      </c>
      <c r="F7" s="108">
        <f>IFERROR(IF(d_Bv!F7=0,".",((Ir*F*d_Bv!F7*(1-EXP(-RadSpec!AZ7*t_b)))/(P*RadSpec!AZ7))),".")</f>
        <v>3.5746410762351037</v>
      </c>
      <c r="G7" s="108">
        <f>IFERROR(IF(d_Bv!G7=0,".",((Ir*F*d_Bv!G7*(1-EXP(-RadSpec!AZ7*t_b)))/(P*RadSpec!AZ7))),".")</f>
        <v>3.5746410762351037</v>
      </c>
      <c r="H7" s="108">
        <f>IFERROR(IF(d_Bv!H7=0,".",((Ir*F*d_Bv!H7*(1-EXP(-RadSpec!AZ7*t_b)))/(P*RadSpec!AZ7))),".")</f>
        <v>3.5746410762351037</v>
      </c>
      <c r="I7" s="108">
        <f>IFERROR(IF(d_Bv!I7=0,".",((Ir*F*d_Bv!I7*(1-EXP(-RadSpec!AZ7*t_b)))/(P*RadSpec!AZ7))),".")</f>
        <v>3.5746410762351037</v>
      </c>
      <c r="J7" s="108">
        <f>IFERROR(IF(d_Bv!J7=0,".",((Ir*F*d_Bv!J7*(1-EXP(-RadSpec!AZ7*t_b)))/(P*RadSpec!AZ7))),".")</f>
        <v>3.5746410762351037</v>
      </c>
      <c r="K7" s="108">
        <f>IFERROR(IF(d_Bv!K7=0,".",((Ir*F*d_Bv!K7*(1-EXP(-RadSpec!AZ7*t_b)))/(P*RadSpec!AZ7))),".")</f>
        <v>3.5746410762351037</v>
      </c>
      <c r="L7" s="108">
        <f>IFERROR(IF(d_Bv!L7=0,".",((Ir*F*d_Bv!L7*(1-EXP(-RadSpec!AZ7*t_b)))/(P*RadSpec!AZ7))),".")</f>
        <v>3.5746410762351037</v>
      </c>
      <c r="M7" s="108">
        <f>IFERROR(IF(d_Bv!M7=0,".",((Ir*F*d_Bv!M7*(1-EXP(-RadSpec!AZ7*t_b)))/(P*RadSpec!AZ7))),".")</f>
        <v>3.5746410762351037</v>
      </c>
      <c r="N7" s="108">
        <f>IFERROR(IF(d_Bv!N7=0,".",((Ir*F*d_Bv!N7*(1-EXP(-RadSpec!AZ7*t_b)))/(P*RadSpec!AZ7))),".")</f>
        <v>3.5746410762351037</v>
      </c>
      <c r="O7" s="108">
        <f>IFERROR(IF(d_Bv!O7=0,".",((Ir*F*d_Bv!O7*(1-EXP(-RadSpec!AZ7*t_b)))/(P*RadSpec!AZ7))),".")</f>
        <v>3.5746410762351037</v>
      </c>
      <c r="P7" s="108">
        <f>IFERROR(IF(d_Bv!P7=0,".",((Ir*F*d_Bv!P7*(1-EXP(-RadSpec!AZ7*t_b)))/(P*RadSpec!AZ7))),".")</f>
        <v>3.5746410762351037</v>
      </c>
      <c r="Q7" s="108">
        <f>IFERROR(IF(d_Bv!Q7=0,".",((Ir*F*d_Bv!Q7*(1-EXP(-RadSpec!AZ7*t_b)))/(P*RadSpec!AZ7))),".")</f>
        <v>3.5746410762351037</v>
      </c>
      <c r="R7" s="108">
        <f>IFERROR(IF(d_Bv!R7=0,".",((Ir*F*d_Bv!R7*(1-EXP(-RadSpec!AZ7*t_b)))/(P*RadSpec!AZ7))),".")</f>
        <v>3.5746410762351037</v>
      </c>
      <c r="S7" s="108">
        <f>IFERROR(IF(d_Bv!S7=0,".",((Ir*F*d_Bv!S7*(1-EXP(-RadSpec!AZ7*t_b)))/(P*RadSpec!AZ7))),".")</f>
        <v>3.5746410762351037</v>
      </c>
      <c r="T7" s="202">
        <f>IFERROR(IF(d_Bv!T7=0,".",((Ir*F*d_Bv!T7*(1-EXP(-RadSpec!AZ7*t_b)))/(P*RadSpec!AZ7))),".")</f>
        <v>3.5746410762351037</v>
      </c>
      <c r="U7" s="108">
        <f>IFERROR(IF(d_Bv!U7=0,".",((Ir*F*d_Bv!U7*(1-EXP(-RadSpec!AZ7*t_b)))/(P*RadSpec!AZ7))),".")</f>
        <v>3.5746410762351037</v>
      </c>
      <c r="V7" s="108">
        <f>IFERROR(IF(d_Bv!V7=0,".",((Ir*F*d_Bv!V7*(1-EXP(-RadSpec!AZ7*t_b)))/(P*RadSpec!AZ7))),".")</f>
        <v>3.5746410762351037</v>
      </c>
      <c r="W7" s="108">
        <f>IFERROR(IF(d_Bv!W7=0,".",((Ir*F*d_Bv!W7*(1-EXP(-RadSpec!AZ7*t_b)))/(P*RadSpec!AZ7))),".")</f>
        <v>3.5746410762351037</v>
      </c>
      <c r="X7" s="108">
        <f>IFERROR(IF(d_Bv!X7=0,".",((Ir*F*d_Bv!X7*(1-EXP(-RadSpec!AZ7*t_b)))/(P*RadSpec!AZ7))),".")</f>
        <v>3.5746410762351037</v>
      </c>
      <c r="Y7" s="108">
        <f>IFERROR(IF(d_Bv!Y7=0,".",((Ir*F*d_Bv!Y7*(1-EXP(-RadSpec!AZ7*t_b)))/(P*RadSpec!AZ7))),".")</f>
        <v>3.5746410762351037</v>
      </c>
      <c r="Z7" s="108">
        <f>IFERROR(IF(d_Bv!Z7=0,".",((Ir*F*d_Bv!Z7*(1-EXP(-RadSpec!AZ7*t_b)))/(P*RadSpec!AZ7))),".")</f>
        <v>3.5746410762351037</v>
      </c>
      <c r="AA7" s="108">
        <f>IFERROR(IF(d_Bv!AA7=0,".",((Ir*F*d_Bv!AA7*(1-EXP(-RadSpec!AZ7*t_b)))/(P*RadSpec!AZ7))),".")</f>
        <v>3.5746410762351037</v>
      </c>
      <c r="AB7" s="108">
        <f>IFERROR(IF(d_Bv!C7=0,".",((Ir*F*MLF_apple*(1-EXP(-RadSpec!AZ7*t_b)))/(P*RadSpec!AZ7))),".")</f>
        <v>5.7194257219761657E-3</v>
      </c>
      <c r="AC7" s="108">
        <f>IFERROR(IF(d_Bv!D7=0,".",((Ir*F*MLF_asparagus*(1-EXP(-RadSpec!AZ7*t_b)))/(P*RadSpec!AZ7))),".")</f>
        <v>2.8239664502257315E-3</v>
      </c>
      <c r="AD7" s="108">
        <f>IFERROR(IF(d_Bv!E7=0,".",((Ir*F*MLF_beet*(1-EXP(-RadSpec!AZ7*t_b)))/(P*RadSpec!AZ7))),".")</f>
        <v>4.9330046852044422E-3</v>
      </c>
      <c r="AE7" s="108">
        <f>IFERROR(IF(d_Bv!F7=0,".",((Ir*F*MLF_berries*(1-EXP(-RadSpec!AZ7*t_b)))/(P*RadSpec!AZ7))),".")</f>
        <v>5.9339041865502712E-3</v>
      </c>
      <c r="AF7" s="108">
        <f>IFERROR(IF(d_Bv!G7=0,".",((Ir*F*MLF_broccoli*(1-EXP(-RadSpec!AZ7*t_b)))/(P*RadSpec!AZ7))),".")</f>
        <v>3.6103874869974538E-2</v>
      </c>
      <c r="AG7" s="108">
        <f>IFERROR(IF(d_Bv!H7=0,".",((Ir*F*MLF_cabbage*(1-EXP(-RadSpec!AZ7*t_b)))/(P*RadSpec!AZ7))),".")</f>
        <v>3.7533731300468582E-3</v>
      </c>
      <c r="AH7" s="108">
        <f>IFERROR(IF(d_Bv!I7=0,".",((Ir*F*MLF_carrot*(1-EXP(-RadSpec!AZ7*t_b)))/(P*RadSpec!AZ7))),".")</f>
        <v>3.4674018439480501E-3</v>
      </c>
      <c r="AI7" s="108">
        <f>IFERROR(IF(d_Bv!J7=0,".",((Ir*F*MLF_citrus*(1-EXP(-RadSpec!AZ7*t_b)))/(P*RadSpec!AZ7))),".")</f>
        <v>5.6121864896891112E-3</v>
      </c>
      <c r="AJ7" s="108">
        <f>IFERROR(IF(d_Bv!K7=0,".",((Ir*F*MLF_corn*(1-EXP(-RadSpec!AZ7*t_b)))/(P*RadSpec!AZ7))),".")</f>
        <v>5.1832295605408994E-3</v>
      </c>
      <c r="AK7" s="108">
        <f>IFERROR(IF(d_Bv!L7=0,".",((Ir*F*MLF_cucumber*(1-EXP(-RadSpec!AZ7*t_b)))/(P*RadSpec!AZ7))),".")</f>
        <v>1.4298564304940414E-3</v>
      </c>
      <c r="AL7" s="108">
        <f>IFERROR(IF(d_Bv!M7=0,".",((Ir*F*MLF_lettuce*(1-EXP(-RadSpec!AZ7*t_b)))/(P*RadSpec!AZ7))),".")</f>
        <v>0.48257654529173893</v>
      </c>
      <c r="AM7" s="108">
        <f>IFERROR(IF(d_Bv!N7=0,".",((Ir*F*MLF_lima_bean*(1-EXP(-RadSpec!AZ7*t_b)))/(P*RadSpec!AZ7))),".")</f>
        <v>0.13690875321980447</v>
      </c>
      <c r="AN7" s="108">
        <f>IFERROR(IF(d_Bv!O7=0,".",((Ir*F*MLF_okra*(1-EXP(-RadSpec!AZ7*t_b)))/(P*RadSpec!AZ7))),".")</f>
        <v>2.8597128609880828E-3</v>
      </c>
      <c r="AO7" s="108">
        <f>IFERROR(IF(d_Bv!P7=0,".",((Ir*F*MLF_onion*(1-EXP(-RadSpec!AZ7*t_b)))/(P*RadSpec!AZ7))),".")</f>
        <v>3.4674018439480501E-3</v>
      </c>
      <c r="AP7" s="108">
        <f>IFERROR(IF(d_Bv!Q7=0,".",((Ir*F*MLF_peach*(1-EXP(-RadSpec!AZ7*t_b)))/(P*RadSpec!AZ7))),".")</f>
        <v>5.361961614352654E-3</v>
      </c>
      <c r="AQ7" s="108">
        <f>IFERROR(IF(d_Bv!R7=0,".",((Ir*F*MLF_pear*(1-EXP(-RadSpec!AZ7*t_b)))/(P*RadSpec!AZ7))),".")</f>
        <v>5.7194257219761657E-3</v>
      </c>
      <c r="AR7" s="108">
        <f>IFERROR(IF(d_Bv!S7=0,".",((Ir*F*MLF_peas*(1-EXP(-RadSpec!AZ7*t_b)))/(P*RadSpec!AZ7))),".")</f>
        <v>6.3628611156984829E-3</v>
      </c>
      <c r="AS7" s="108">
        <f>IFERROR(IF(d_Bv!T7=0,".",((Ir*F*MLF_peppers*(1-EXP(-RadSpec!AZ7*t_b)))/(P*RadSpec!AZ7))),".")</f>
        <v>7.93570318924193E-2</v>
      </c>
      <c r="AT7" s="108">
        <f>IFERROR(IF(d_Bv!U7=0,".",((Ir*F*MLF_potato*(1-EXP(-RadSpec!AZ7*t_b)))/(P*RadSpec!AZ7))),".")</f>
        <v>7.5067462600937164E-3</v>
      </c>
      <c r="AU7" s="108">
        <f>IFERROR(IF(d_Bv!V7=0,".",((Ir*F*MLF_pumpkin*(1-EXP(-RadSpec!AZ7*t_b)))/(P*RadSpec!AZ7))),".")</f>
        <v>2.0732918242163598E-3</v>
      </c>
      <c r="AV7" s="108">
        <f>IFERROR(IF(d_Bv!W7=0,".",((Ir*F*MLF_snap_bean*(1-EXP(-RadSpec!AZ7*t_b)))/(P*RadSpec!AZ7))),".")</f>
        <v>0.17873205381175516</v>
      </c>
      <c r="AW7" s="108">
        <f>IFERROR(IF(d_Bv!X7=0,".",((Ir*F*MLF_strawberry*(1-EXP(-RadSpec!AZ7*t_b)))/(P*RadSpec!AZ7))),".")</f>
        <v>2.8597128609880828E-3</v>
      </c>
      <c r="AX7" s="108">
        <f>IFERROR(IF(d_Bv!Y7=0,".",((Ir*F*MLF_tomato*(1-EXP(-RadSpec!AZ7*t_b)))/(P*RadSpec!AZ7))),".")</f>
        <v>6.327114704936132E-2</v>
      </c>
      <c r="AY7" s="108">
        <f>IFERROR(IF(d_Bv!Z7=0,".",((Ir*F*MLF_rice*(1-EXP(-RadSpec!AZ7*t_b)))/(P*RadSpec!AZ7))),".")</f>
        <v>8.9366026905877582</v>
      </c>
      <c r="AZ7" s="108">
        <f>IFERROR(IF(d_Bv!AA7=0,".",((Ir*F*MLF_cereal*(1-EXP(-RadSpec!AZ7*t_b)))/(P*RadSpec!AZ7))),".")</f>
        <v>8.9366026905877582</v>
      </c>
      <c r="BA7" s="108">
        <f>IFERROR(IF(d_Bv!C7=0,".",((Ir*F*I_f*T*(1-EXP(-RadSpec!BA7*t_v)))/(Y_v*RadSpec!BA7))),".")</f>
        <v>3.6424203206347228</v>
      </c>
      <c r="BB7" s="108">
        <f>IFERROR(IF(d_Bv!D7=0,".",((Ir*F*I_f*T*(1-EXP(-RadSpec!BA7*t_v)))/(Y_v*RadSpec!BA7))),".")</f>
        <v>3.6424203206347228</v>
      </c>
      <c r="BC7" s="108">
        <f>IFERROR(IF(d_Bv!E7=0,".",((Ir*F*I_f*T*(1-EXP(-RadSpec!BA7*t_v)))/(Y_v*RadSpec!BA7))),".")</f>
        <v>3.6424203206347228</v>
      </c>
      <c r="BD7" s="108">
        <f>IFERROR(IF(d_Bv!F7=0,".",((Ir*F*I_f*T*(1-EXP(-RadSpec!BA7*t_v)))/(Y_v*RadSpec!BA7))),".")</f>
        <v>3.6424203206347228</v>
      </c>
      <c r="BE7" s="108">
        <f>IFERROR(IF(d_Bv!G7=0,".",((Ir*F*I_f*T*(1-EXP(-RadSpec!BA7*t_v)))/(Y_v*RadSpec!BA7))),".")</f>
        <v>3.6424203206347228</v>
      </c>
      <c r="BF7" s="108">
        <f>IFERROR(IF(d_Bv!H7=0,".",((Ir*F*I_f*T*(1-EXP(-RadSpec!BA7*t_v)))/(Y_v*RadSpec!BA7))),".")</f>
        <v>3.6424203206347228</v>
      </c>
      <c r="BG7" s="108">
        <f>IFERROR(IF(d_Bv!I7=0,".",((Ir*F*I_f*T*(1-EXP(-RadSpec!BA7*t_v)))/(Y_v*RadSpec!BA7))),".")</f>
        <v>3.6424203206347228</v>
      </c>
      <c r="BH7" s="108">
        <f>IFERROR(IF(d_Bv!J7=0,".",((Ir*F*I_f*T*(1-EXP(-RadSpec!BA7*t_v)))/(Y_v*RadSpec!BA7))),".")</f>
        <v>3.6424203206347228</v>
      </c>
      <c r="BI7" s="108">
        <f>IFERROR(IF(d_Bv!K7=0,".",((Ir*F*I_f*T*(1-EXP(-RadSpec!BA7*t_v)))/(Y_v*RadSpec!BA7))),".")</f>
        <v>3.6424203206347228</v>
      </c>
      <c r="BJ7" s="108">
        <f>IFERROR(IF(d_Bv!L7=0,".",((Ir*F*I_f*T*(1-EXP(-RadSpec!BA7*t_v)))/(Y_v*RadSpec!BA7))),".")</f>
        <v>3.6424203206347228</v>
      </c>
      <c r="BK7" s="108">
        <f>IFERROR(IF(d_Bv!M7=0,".",((Ir*F*I_f*T*(1-EXP(-RadSpec!BA7*t_v)))/(Y_v*RadSpec!BA7))),".")</f>
        <v>3.6424203206347228</v>
      </c>
      <c r="BL7" s="108">
        <f>IFERROR(IF(d_Bv!N7=0,".",((Ir*F*I_f*T*(1-EXP(-RadSpec!BA7*t_v)))/(Y_v*RadSpec!BA7))),".")</f>
        <v>3.6424203206347228</v>
      </c>
      <c r="BM7" s="108">
        <f>IFERROR(IF(d_Bv!O7=0,".",((Ir*F*I_f*T*(1-EXP(-RadSpec!BA7*t_v)))/(Y_v*RadSpec!BA7))),".")</f>
        <v>3.6424203206347228</v>
      </c>
      <c r="BN7" s="108">
        <f>IFERROR(IF(d_Bv!P7=0,".",((Ir*F*I_f*T*(1-EXP(-RadSpec!BA7*t_v)))/(Y_v*RadSpec!BA7))),".")</f>
        <v>3.6424203206347228</v>
      </c>
      <c r="BO7" s="108">
        <f>IFERROR(IF(d_Bv!Q7=0,".",((Ir*F*I_f*T*(1-EXP(-RadSpec!BA7*t_v)))/(Y_v*RadSpec!BA7))),".")</f>
        <v>3.6424203206347228</v>
      </c>
      <c r="BP7" s="108">
        <f>IFERROR(IF(d_Bv!R7=0,".",((Ir*F*I_f*T*(1-EXP(-RadSpec!BA7*t_v)))/(Y_v*RadSpec!BA7))),".")</f>
        <v>3.6424203206347228</v>
      </c>
      <c r="BQ7" s="108">
        <f>IFERROR(IF(d_Bv!S7=0,".",((Ir*F*I_f*T*(1-EXP(-RadSpec!BA7*t_v)))/(Y_v*RadSpec!BA7))),".")</f>
        <v>3.6424203206347228</v>
      </c>
      <c r="BR7" s="108">
        <f>IFERROR(IF(d_Bv!T7=0,".",((Ir*F*I_f*T*(1-EXP(-RadSpec!BA7*t_v)))/(Y_v*RadSpec!BA7))),".")</f>
        <v>3.6424203206347228</v>
      </c>
      <c r="BS7" s="108">
        <f>IFERROR(IF(d_Bv!U7=0,".",((Ir*F*I_f*T*(1-EXP(-RadSpec!BA7*t_v)))/(Y_v*RadSpec!BA7))),".")</f>
        <v>3.6424203206347228</v>
      </c>
      <c r="BT7" s="108">
        <f>IFERROR(IF(d_Bv!V7=0,".",((Ir*F*I_f*T*(1-EXP(-RadSpec!BA7*t_v)))/(Y_v*RadSpec!BA7))),".")</f>
        <v>3.6424203206347228</v>
      </c>
      <c r="BU7" s="108">
        <f>IFERROR(IF(d_Bv!W7=0,".",((Ir*F*I_f*T*(1-EXP(-RadSpec!BA7*t_v)))/(Y_v*RadSpec!BA7))),".")</f>
        <v>3.6424203206347228</v>
      </c>
      <c r="BV7" s="108">
        <f>IFERROR(IF(d_Bv!X7=0,".",((Ir*F*I_f*T*(1-EXP(-RadSpec!BA7*t_v)))/(Y_v*RadSpec!BA7))),".")</f>
        <v>3.6424203206347228</v>
      </c>
      <c r="BW7" s="108">
        <f>IFERROR(IF(d_Bv!Y7=0,".",((Ir*F*I_f*T*(1-EXP(-RadSpec!BA7*t_v)))/(Y_v*RadSpec!BA7))),".")</f>
        <v>3.6424203206347228</v>
      </c>
      <c r="BX7" s="108">
        <f>IFERROR(IF(d_Bv!Z7=0,".",((Ir*F*I_f*T*(1-EXP(-RadSpec!BA7*t_v)))/(Y_v*RadSpec!BA7))),".")</f>
        <v>3.6424203206347228</v>
      </c>
      <c r="BY7" s="108">
        <f>IFERROR(IF(d_Bv!AA7=0,".",((Ir*F*I_f*T*(1-EXP(-RadSpec!BA7*t_v)))/(Y_v*RadSpec!BA7))),".")</f>
        <v>3.6424203206347228</v>
      </c>
    </row>
    <row r="8" spans="1:77" x14ac:dyDescent="0.25">
      <c r="A8" s="44" t="s">
        <v>6</v>
      </c>
      <c r="B8" s="42" t="s">
        <v>1057</v>
      </c>
      <c r="C8" s="108">
        <f>IFERROR(IF(d_Bv!C8=0,".",((Ir*F*d_Bv!C8*(1-EXP(-RadSpec!AZ8*t_b)))/(P*RadSpec!AZ8))),".")</f>
        <v>3.5746410762351037</v>
      </c>
      <c r="D8" s="108">
        <f>IFERROR(IF(d_Bv!D8=0,".",((Ir*F*d_Bv!D8*(1-EXP(-RadSpec!AZ8*t_b)))/(P*RadSpec!AZ8))),".")</f>
        <v>3.5746410762351037</v>
      </c>
      <c r="E8" s="108">
        <f>IFERROR(IF(d_Bv!E8=0,".",((Ir*F*d_Bv!E8*(1-EXP(-RadSpec!AZ8*t_b)))/(P*RadSpec!AZ8))),".")</f>
        <v>3.5746410762351037</v>
      </c>
      <c r="F8" s="108">
        <f>IFERROR(IF(d_Bv!F8=0,".",((Ir*F*d_Bv!F8*(1-EXP(-RadSpec!AZ8*t_b)))/(P*RadSpec!AZ8))),".")</f>
        <v>3.5746410762351037</v>
      </c>
      <c r="G8" s="108">
        <f>IFERROR(IF(d_Bv!G8=0,".",((Ir*F*d_Bv!G8*(1-EXP(-RadSpec!AZ8*t_b)))/(P*RadSpec!AZ8))),".")</f>
        <v>3.5746410762351037</v>
      </c>
      <c r="H8" s="108">
        <f>IFERROR(IF(d_Bv!H8=0,".",((Ir*F*d_Bv!H8*(1-EXP(-RadSpec!AZ8*t_b)))/(P*RadSpec!AZ8))),".")</f>
        <v>3.5746410762351037</v>
      </c>
      <c r="I8" s="108">
        <f>IFERROR(IF(d_Bv!I8=0,".",((Ir*F*d_Bv!I8*(1-EXP(-RadSpec!AZ8*t_b)))/(P*RadSpec!AZ8))),".")</f>
        <v>3.5746410762351037</v>
      </c>
      <c r="J8" s="108">
        <f>IFERROR(IF(d_Bv!J8=0,".",((Ir*F*d_Bv!J8*(1-EXP(-RadSpec!AZ8*t_b)))/(P*RadSpec!AZ8))),".")</f>
        <v>3.5746410762351037</v>
      </c>
      <c r="K8" s="108">
        <f>IFERROR(IF(d_Bv!K8=0,".",((Ir*F*d_Bv!K8*(1-EXP(-RadSpec!AZ8*t_b)))/(P*RadSpec!AZ8))),".")</f>
        <v>3.5746410762351037</v>
      </c>
      <c r="L8" s="108">
        <f>IFERROR(IF(d_Bv!L8=0,".",((Ir*F*d_Bv!L8*(1-EXP(-RadSpec!AZ8*t_b)))/(P*RadSpec!AZ8))),".")</f>
        <v>3.5746410762351037</v>
      </c>
      <c r="M8" s="108">
        <f>IFERROR(IF(d_Bv!M8=0,".",((Ir*F*d_Bv!M8*(1-EXP(-RadSpec!AZ8*t_b)))/(P*RadSpec!AZ8))),".")</f>
        <v>3.5746410762351037</v>
      </c>
      <c r="N8" s="108">
        <f>IFERROR(IF(d_Bv!N8=0,".",((Ir*F*d_Bv!N8*(1-EXP(-RadSpec!AZ8*t_b)))/(P*RadSpec!AZ8))),".")</f>
        <v>3.5746410762351037</v>
      </c>
      <c r="O8" s="108">
        <f>IFERROR(IF(d_Bv!O8=0,".",((Ir*F*d_Bv!O8*(1-EXP(-RadSpec!AZ8*t_b)))/(P*RadSpec!AZ8))),".")</f>
        <v>3.5746410762351037</v>
      </c>
      <c r="P8" s="108">
        <f>IFERROR(IF(d_Bv!P8=0,".",((Ir*F*d_Bv!P8*(1-EXP(-RadSpec!AZ8*t_b)))/(P*RadSpec!AZ8))),".")</f>
        <v>3.5746410762351037</v>
      </c>
      <c r="Q8" s="108">
        <f>IFERROR(IF(d_Bv!Q8=0,".",((Ir*F*d_Bv!Q8*(1-EXP(-RadSpec!AZ8*t_b)))/(P*RadSpec!AZ8))),".")</f>
        <v>3.5746410762351037</v>
      </c>
      <c r="R8" s="108">
        <f>IFERROR(IF(d_Bv!R8=0,".",((Ir*F*d_Bv!R8*(1-EXP(-RadSpec!AZ8*t_b)))/(P*RadSpec!AZ8))),".")</f>
        <v>3.5746410762351037</v>
      </c>
      <c r="S8" s="108">
        <f>IFERROR(IF(d_Bv!S8=0,".",((Ir*F*d_Bv!S8*(1-EXP(-RadSpec!AZ8*t_b)))/(P*RadSpec!AZ8))),".")</f>
        <v>3.5746410762351037</v>
      </c>
      <c r="T8" s="202">
        <f>IFERROR(IF(d_Bv!T8=0,".",((Ir*F*d_Bv!T8*(1-EXP(-RadSpec!AZ8*t_b)))/(P*RadSpec!AZ8))),".")</f>
        <v>3.5746410762351037</v>
      </c>
      <c r="U8" s="108">
        <f>IFERROR(IF(d_Bv!U8=0,".",((Ir*F*d_Bv!U8*(1-EXP(-RadSpec!AZ8*t_b)))/(P*RadSpec!AZ8))),".")</f>
        <v>3.5746410762351037</v>
      </c>
      <c r="V8" s="108">
        <f>IFERROR(IF(d_Bv!V8=0,".",((Ir*F*d_Bv!V8*(1-EXP(-RadSpec!AZ8*t_b)))/(P*RadSpec!AZ8))),".")</f>
        <v>3.5746410762351037</v>
      </c>
      <c r="W8" s="108">
        <f>IFERROR(IF(d_Bv!W8=0,".",((Ir*F*d_Bv!W8*(1-EXP(-RadSpec!AZ8*t_b)))/(P*RadSpec!AZ8))),".")</f>
        <v>3.5746410762351037</v>
      </c>
      <c r="X8" s="108">
        <f>IFERROR(IF(d_Bv!X8=0,".",((Ir*F*d_Bv!X8*(1-EXP(-RadSpec!AZ8*t_b)))/(P*RadSpec!AZ8))),".")</f>
        <v>3.5746410762351037</v>
      </c>
      <c r="Y8" s="108">
        <f>IFERROR(IF(d_Bv!Y8=0,".",((Ir*F*d_Bv!Y8*(1-EXP(-RadSpec!AZ8*t_b)))/(P*RadSpec!AZ8))),".")</f>
        <v>3.5746410762351037</v>
      </c>
      <c r="Z8" s="108">
        <f>IFERROR(IF(d_Bv!Z8=0,".",((Ir*F*d_Bv!Z8*(1-EXP(-RadSpec!AZ8*t_b)))/(P*RadSpec!AZ8))),".")</f>
        <v>3.5746410762351037</v>
      </c>
      <c r="AA8" s="108">
        <f>IFERROR(IF(d_Bv!AA8=0,".",((Ir*F*d_Bv!AA8*(1-EXP(-RadSpec!AZ8*t_b)))/(P*RadSpec!AZ8))),".")</f>
        <v>3.5746410762351037</v>
      </c>
      <c r="AB8" s="108">
        <f>IFERROR(IF(d_Bv!C8=0,".",((Ir*F*MLF_apple*(1-EXP(-RadSpec!AZ8*t_b)))/(P*RadSpec!AZ8))),".")</f>
        <v>5.7194257219761657E-3</v>
      </c>
      <c r="AC8" s="108">
        <f>IFERROR(IF(d_Bv!D8=0,".",((Ir*F*MLF_asparagus*(1-EXP(-RadSpec!AZ8*t_b)))/(P*RadSpec!AZ8))),".")</f>
        <v>2.8239664502257315E-3</v>
      </c>
      <c r="AD8" s="108">
        <f>IFERROR(IF(d_Bv!E8=0,".",((Ir*F*MLF_beet*(1-EXP(-RadSpec!AZ8*t_b)))/(P*RadSpec!AZ8))),".")</f>
        <v>4.9330046852044422E-3</v>
      </c>
      <c r="AE8" s="108">
        <f>IFERROR(IF(d_Bv!F8=0,".",((Ir*F*MLF_berries*(1-EXP(-RadSpec!AZ8*t_b)))/(P*RadSpec!AZ8))),".")</f>
        <v>5.9339041865502712E-3</v>
      </c>
      <c r="AF8" s="108">
        <f>IFERROR(IF(d_Bv!G8=0,".",((Ir*F*MLF_broccoli*(1-EXP(-RadSpec!AZ8*t_b)))/(P*RadSpec!AZ8))),".")</f>
        <v>3.6103874869974538E-2</v>
      </c>
      <c r="AG8" s="108">
        <f>IFERROR(IF(d_Bv!H8=0,".",((Ir*F*MLF_cabbage*(1-EXP(-RadSpec!AZ8*t_b)))/(P*RadSpec!AZ8))),".")</f>
        <v>3.7533731300468582E-3</v>
      </c>
      <c r="AH8" s="108">
        <f>IFERROR(IF(d_Bv!I8=0,".",((Ir*F*MLF_carrot*(1-EXP(-RadSpec!AZ8*t_b)))/(P*RadSpec!AZ8))),".")</f>
        <v>3.4674018439480501E-3</v>
      </c>
      <c r="AI8" s="108">
        <f>IFERROR(IF(d_Bv!J8=0,".",((Ir*F*MLF_citrus*(1-EXP(-RadSpec!AZ8*t_b)))/(P*RadSpec!AZ8))),".")</f>
        <v>5.6121864896891112E-3</v>
      </c>
      <c r="AJ8" s="108">
        <f>IFERROR(IF(d_Bv!K8=0,".",((Ir*F*MLF_corn*(1-EXP(-RadSpec!AZ8*t_b)))/(P*RadSpec!AZ8))),".")</f>
        <v>5.1832295605408994E-3</v>
      </c>
      <c r="AK8" s="108">
        <f>IFERROR(IF(d_Bv!L8=0,".",((Ir*F*MLF_cucumber*(1-EXP(-RadSpec!AZ8*t_b)))/(P*RadSpec!AZ8))),".")</f>
        <v>1.4298564304940414E-3</v>
      </c>
      <c r="AL8" s="108">
        <f>IFERROR(IF(d_Bv!M8=0,".",((Ir*F*MLF_lettuce*(1-EXP(-RadSpec!AZ8*t_b)))/(P*RadSpec!AZ8))),".")</f>
        <v>0.48257654529173893</v>
      </c>
      <c r="AM8" s="108">
        <f>IFERROR(IF(d_Bv!N8=0,".",((Ir*F*MLF_lima_bean*(1-EXP(-RadSpec!AZ8*t_b)))/(P*RadSpec!AZ8))),".")</f>
        <v>0.13690875321980447</v>
      </c>
      <c r="AN8" s="108">
        <f>IFERROR(IF(d_Bv!O8=0,".",((Ir*F*MLF_okra*(1-EXP(-RadSpec!AZ8*t_b)))/(P*RadSpec!AZ8))),".")</f>
        <v>2.8597128609880828E-3</v>
      </c>
      <c r="AO8" s="108">
        <f>IFERROR(IF(d_Bv!P8=0,".",((Ir*F*MLF_onion*(1-EXP(-RadSpec!AZ8*t_b)))/(P*RadSpec!AZ8))),".")</f>
        <v>3.4674018439480501E-3</v>
      </c>
      <c r="AP8" s="108">
        <f>IFERROR(IF(d_Bv!Q8=0,".",((Ir*F*MLF_peach*(1-EXP(-RadSpec!AZ8*t_b)))/(P*RadSpec!AZ8))),".")</f>
        <v>5.361961614352654E-3</v>
      </c>
      <c r="AQ8" s="108">
        <f>IFERROR(IF(d_Bv!R8=0,".",((Ir*F*MLF_pear*(1-EXP(-RadSpec!AZ8*t_b)))/(P*RadSpec!AZ8))),".")</f>
        <v>5.7194257219761657E-3</v>
      </c>
      <c r="AR8" s="108">
        <f>IFERROR(IF(d_Bv!S8=0,".",((Ir*F*MLF_peas*(1-EXP(-RadSpec!AZ8*t_b)))/(P*RadSpec!AZ8))),".")</f>
        <v>6.3628611156984829E-3</v>
      </c>
      <c r="AS8" s="108">
        <f>IFERROR(IF(d_Bv!T8=0,".",((Ir*F*MLF_peppers*(1-EXP(-RadSpec!AZ8*t_b)))/(P*RadSpec!AZ8))),".")</f>
        <v>7.93570318924193E-2</v>
      </c>
      <c r="AT8" s="108">
        <f>IFERROR(IF(d_Bv!U8=0,".",((Ir*F*MLF_potato*(1-EXP(-RadSpec!AZ8*t_b)))/(P*RadSpec!AZ8))),".")</f>
        <v>7.5067462600937164E-3</v>
      </c>
      <c r="AU8" s="108">
        <f>IFERROR(IF(d_Bv!V8=0,".",((Ir*F*MLF_pumpkin*(1-EXP(-RadSpec!AZ8*t_b)))/(P*RadSpec!AZ8))),".")</f>
        <v>2.0732918242163598E-3</v>
      </c>
      <c r="AV8" s="108">
        <f>IFERROR(IF(d_Bv!W8=0,".",((Ir*F*MLF_snap_bean*(1-EXP(-RadSpec!AZ8*t_b)))/(P*RadSpec!AZ8))),".")</f>
        <v>0.17873205381175516</v>
      </c>
      <c r="AW8" s="108">
        <f>IFERROR(IF(d_Bv!X8=0,".",((Ir*F*MLF_strawberry*(1-EXP(-RadSpec!AZ8*t_b)))/(P*RadSpec!AZ8))),".")</f>
        <v>2.8597128609880828E-3</v>
      </c>
      <c r="AX8" s="108">
        <f>IFERROR(IF(d_Bv!Y8=0,".",((Ir*F*MLF_tomato*(1-EXP(-RadSpec!AZ8*t_b)))/(P*RadSpec!AZ8))),".")</f>
        <v>6.327114704936132E-2</v>
      </c>
      <c r="AY8" s="108">
        <f>IFERROR(IF(d_Bv!Z8=0,".",((Ir*F*MLF_rice*(1-EXP(-RadSpec!AZ8*t_b)))/(P*RadSpec!AZ8))),".")</f>
        <v>8.9366026905877582</v>
      </c>
      <c r="AZ8" s="108">
        <f>IFERROR(IF(d_Bv!AA8=0,".",((Ir*F*MLF_cereal*(1-EXP(-RadSpec!AZ8*t_b)))/(P*RadSpec!AZ8))),".")</f>
        <v>8.9366026905877582</v>
      </c>
      <c r="BA8" s="108">
        <f>IFERROR(IF(d_Bv!C8=0,".",((Ir*F*I_f*T*(1-EXP(-RadSpec!BA8*t_v)))/(Y_v*RadSpec!BA8))),".")</f>
        <v>3.6424203206347228</v>
      </c>
      <c r="BB8" s="108">
        <f>IFERROR(IF(d_Bv!D8=0,".",((Ir*F*I_f*T*(1-EXP(-RadSpec!BA8*t_v)))/(Y_v*RadSpec!BA8))),".")</f>
        <v>3.6424203206347228</v>
      </c>
      <c r="BC8" s="108">
        <f>IFERROR(IF(d_Bv!E8=0,".",((Ir*F*I_f*T*(1-EXP(-RadSpec!BA8*t_v)))/(Y_v*RadSpec!BA8))),".")</f>
        <v>3.6424203206347228</v>
      </c>
      <c r="BD8" s="108">
        <f>IFERROR(IF(d_Bv!F8=0,".",((Ir*F*I_f*T*(1-EXP(-RadSpec!BA8*t_v)))/(Y_v*RadSpec!BA8))),".")</f>
        <v>3.6424203206347228</v>
      </c>
      <c r="BE8" s="108">
        <f>IFERROR(IF(d_Bv!G8=0,".",((Ir*F*I_f*T*(1-EXP(-RadSpec!BA8*t_v)))/(Y_v*RadSpec!BA8))),".")</f>
        <v>3.6424203206347228</v>
      </c>
      <c r="BF8" s="108">
        <f>IFERROR(IF(d_Bv!H8=0,".",((Ir*F*I_f*T*(1-EXP(-RadSpec!BA8*t_v)))/(Y_v*RadSpec!BA8))),".")</f>
        <v>3.6424203206347228</v>
      </c>
      <c r="BG8" s="108">
        <f>IFERROR(IF(d_Bv!I8=0,".",((Ir*F*I_f*T*(1-EXP(-RadSpec!BA8*t_v)))/(Y_v*RadSpec!BA8))),".")</f>
        <v>3.6424203206347228</v>
      </c>
      <c r="BH8" s="108">
        <f>IFERROR(IF(d_Bv!J8=0,".",((Ir*F*I_f*T*(1-EXP(-RadSpec!BA8*t_v)))/(Y_v*RadSpec!BA8))),".")</f>
        <v>3.6424203206347228</v>
      </c>
      <c r="BI8" s="108">
        <f>IFERROR(IF(d_Bv!K8=0,".",((Ir*F*I_f*T*(1-EXP(-RadSpec!BA8*t_v)))/(Y_v*RadSpec!BA8))),".")</f>
        <v>3.6424203206347228</v>
      </c>
      <c r="BJ8" s="108">
        <f>IFERROR(IF(d_Bv!L8=0,".",((Ir*F*I_f*T*(1-EXP(-RadSpec!BA8*t_v)))/(Y_v*RadSpec!BA8))),".")</f>
        <v>3.6424203206347228</v>
      </c>
      <c r="BK8" s="108">
        <f>IFERROR(IF(d_Bv!M8=0,".",((Ir*F*I_f*T*(1-EXP(-RadSpec!BA8*t_v)))/(Y_v*RadSpec!BA8))),".")</f>
        <v>3.6424203206347228</v>
      </c>
      <c r="BL8" s="108">
        <f>IFERROR(IF(d_Bv!N8=0,".",((Ir*F*I_f*T*(1-EXP(-RadSpec!BA8*t_v)))/(Y_v*RadSpec!BA8))),".")</f>
        <v>3.6424203206347228</v>
      </c>
      <c r="BM8" s="108">
        <f>IFERROR(IF(d_Bv!O8=0,".",((Ir*F*I_f*T*(1-EXP(-RadSpec!BA8*t_v)))/(Y_v*RadSpec!BA8))),".")</f>
        <v>3.6424203206347228</v>
      </c>
      <c r="BN8" s="108">
        <f>IFERROR(IF(d_Bv!P8=0,".",((Ir*F*I_f*T*(1-EXP(-RadSpec!BA8*t_v)))/(Y_v*RadSpec!BA8))),".")</f>
        <v>3.6424203206347228</v>
      </c>
      <c r="BO8" s="108">
        <f>IFERROR(IF(d_Bv!Q8=0,".",((Ir*F*I_f*T*(1-EXP(-RadSpec!BA8*t_v)))/(Y_v*RadSpec!BA8))),".")</f>
        <v>3.6424203206347228</v>
      </c>
      <c r="BP8" s="108">
        <f>IFERROR(IF(d_Bv!R8=0,".",((Ir*F*I_f*T*(1-EXP(-RadSpec!BA8*t_v)))/(Y_v*RadSpec!BA8))),".")</f>
        <v>3.6424203206347228</v>
      </c>
      <c r="BQ8" s="108">
        <f>IFERROR(IF(d_Bv!S8=0,".",((Ir*F*I_f*T*(1-EXP(-RadSpec!BA8*t_v)))/(Y_v*RadSpec!BA8))),".")</f>
        <v>3.6424203206347228</v>
      </c>
      <c r="BR8" s="108">
        <f>IFERROR(IF(d_Bv!T8=0,".",((Ir*F*I_f*T*(1-EXP(-RadSpec!BA8*t_v)))/(Y_v*RadSpec!BA8))),".")</f>
        <v>3.6424203206347228</v>
      </c>
      <c r="BS8" s="108">
        <f>IFERROR(IF(d_Bv!U8=0,".",((Ir*F*I_f*T*(1-EXP(-RadSpec!BA8*t_v)))/(Y_v*RadSpec!BA8))),".")</f>
        <v>3.6424203206347228</v>
      </c>
      <c r="BT8" s="108">
        <f>IFERROR(IF(d_Bv!V8=0,".",((Ir*F*I_f*T*(1-EXP(-RadSpec!BA8*t_v)))/(Y_v*RadSpec!BA8))),".")</f>
        <v>3.6424203206347228</v>
      </c>
      <c r="BU8" s="108">
        <f>IFERROR(IF(d_Bv!W8=0,".",((Ir*F*I_f*T*(1-EXP(-RadSpec!BA8*t_v)))/(Y_v*RadSpec!BA8))),".")</f>
        <v>3.6424203206347228</v>
      </c>
      <c r="BV8" s="108">
        <f>IFERROR(IF(d_Bv!X8=0,".",((Ir*F*I_f*T*(1-EXP(-RadSpec!BA8*t_v)))/(Y_v*RadSpec!BA8))),".")</f>
        <v>3.6424203206347228</v>
      </c>
      <c r="BW8" s="108">
        <f>IFERROR(IF(d_Bv!Y8=0,".",((Ir*F*I_f*T*(1-EXP(-RadSpec!BA8*t_v)))/(Y_v*RadSpec!BA8))),".")</f>
        <v>3.6424203206347228</v>
      </c>
      <c r="BX8" s="108">
        <f>IFERROR(IF(d_Bv!Z8=0,".",((Ir*F*I_f*T*(1-EXP(-RadSpec!BA8*t_v)))/(Y_v*RadSpec!BA8))),".")</f>
        <v>3.6424203206347228</v>
      </c>
      <c r="BY8" s="108">
        <f>IFERROR(IF(d_Bv!AA8=0,".",((Ir*F*I_f*T*(1-EXP(-RadSpec!BA8*t_v)))/(Y_v*RadSpec!BA8))),".")</f>
        <v>3.6424203206347228</v>
      </c>
    </row>
    <row r="9" spans="1:77" x14ac:dyDescent="0.25">
      <c r="A9" s="44" t="s">
        <v>7</v>
      </c>
      <c r="B9" s="42" t="s">
        <v>1057</v>
      </c>
      <c r="C9" s="108">
        <f>IFERROR(IF(d_Bv!C9=0,".",((Ir*F*d_Bv!C9*(1-EXP(-RadSpec!AZ9*t_b)))/(P*RadSpec!AZ9))),".")</f>
        <v>3.5746410762351037</v>
      </c>
      <c r="D9" s="108">
        <f>IFERROR(IF(d_Bv!D9=0,".",((Ir*F*d_Bv!D9*(1-EXP(-RadSpec!AZ9*t_b)))/(P*RadSpec!AZ9))),".")</f>
        <v>3.5746410762351037</v>
      </c>
      <c r="E9" s="108">
        <f>IFERROR(IF(d_Bv!E9=0,".",((Ir*F*d_Bv!E9*(1-EXP(-RadSpec!AZ9*t_b)))/(P*RadSpec!AZ9))),".")</f>
        <v>3.5746410762351037</v>
      </c>
      <c r="F9" s="108">
        <f>IFERROR(IF(d_Bv!F9=0,".",((Ir*F*d_Bv!F9*(1-EXP(-RadSpec!AZ9*t_b)))/(P*RadSpec!AZ9))),".")</f>
        <v>3.5746410762351037</v>
      </c>
      <c r="G9" s="108">
        <f>IFERROR(IF(d_Bv!G9=0,".",((Ir*F*d_Bv!G9*(1-EXP(-RadSpec!AZ9*t_b)))/(P*RadSpec!AZ9))),".")</f>
        <v>3.5746410762351037</v>
      </c>
      <c r="H9" s="108">
        <f>IFERROR(IF(d_Bv!H9=0,".",((Ir*F*d_Bv!H9*(1-EXP(-RadSpec!AZ9*t_b)))/(P*RadSpec!AZ9))),".")</f>
        <v>3.5746410762351037</v>
      </c>
      <c r="I9" s="108">
        <f>IFERROR(IF(d_Bv!I9=0,".",((Ir*F*d_Bv!I9*(1-EXP(-RadSpec!AZ9*t_b)))/(P*RadSpec!AZ9))),".")</f>
        <v>3.5746410762351037</v>
      </c>
      <c r="J9" s="108">
        <f>IFERROR(IF(d_Bv!J9=0,".",((Ir*F*d_Bv!J9*(1-EXP(-RadSpec!AZ9*t_b)))/(P*RadSpec!AZ9))),".")</f>
        <v>3.5746410762351037</v>
      </c>
      <c r="K9" s="108">
        <f>IFERROR(IF(d_Bv!K9=0,".",((Ir*F*d_Bv!K9*(1-EXP(-RadSpec!AZ9*t_b)))/(P*RadSpec!AZ9))),".")</f>
        <v>3.5746410762351037</v>
      </c>
      <c r="L9" s="108">
        <f>IFERROR(IF(d_Bv!L9=0,".",((Ir*F*d_Bv!L9*(1-EXP(-RadSpec!AZ9*t_b)))/(P*RadSpec!AZ9))),".")</f>
        <v>3.5746410762351037</v>
      </c>
      <c r="M9" s="108">
        <f>IFERROR(IF(d_Bv!M9=0,".",((Ir*F*d_Bv!M9*(1-EXP(-RadSpec!AZ9*t_b)))/(P*RadSpec!AZ9))),".")</f>
        <v>3.5746410762351037</v>
      </c>
      <c r="N9" s="108">
        <f>IFERROR(IF(d_Bv!N9=0,".",((Ir*F*d_Bv!N9*(1-EXP(-RadSpec!AZ9*t_b)))/(P*RadSpec!AZ9))),".")</f>
        <v>3.5746410762351037</v>
      </c>
      <c r="O9" s="108">
        <f>IFERROR(IF(d_Bv!O9=0,".",((Ir*F*d_Bv!O9*(1-EXP(-RadSpec!AZ9*t_b)))/(P*RadSpec!AZ9))),".")</f>
        <v>3.5746410762351037</v>
      </c>
      <c r="P9" s="108">
        <f>IFERROR(IF(d_Bv!P9=0,".",((Ir*F*d_Bv!P9*(1-EXP(-RadSpec!AZ9*t_b)))/(P*RadSpec!AZ9))),".")</f>
        <v>3.5746410762351037</v>
      </c>
      <c r="Q9" s="108">
        <f>IFERROR(IF(d_Bv!Q9=0,".",((Ir*F*d_Bv!Q9*(1-EXP(-RadSpec!AZ9*t_b)))/(P*RadSpec!AZ9))),".")</f>
        <v>3.5746410762351037</v>
      </c>
      <c r="R9" s="108">
        <f>IFERROR(IF(d_Bv!R9=0,".",((Ir*F*d_Bv!R9*(1-EXP(-RadSpec!AZ9*t_b)))/(P*RadSpec!AZ9))),".")</f>
        <v>3.5746410762351037</v>
      </c>
      <c r="S9" s="108">
        <f>IFERROR(IF(d_Bv!S9=0,".",((Ir*F*d_Bv!S9*(1-EXP(-RadSpec!AZ9*t_b)))/(P*RadSpec!AZ9))),".")</f>
        <v>3.5746410762351037</v>
      </c>
      <c r="T9" s="202">
        <f>IFERROR(IF(d_Bv!T9=0,".",((Ir*F*d_Bv!T9*(1-EXP(-RadSpec!AZ9*t_b)))/(P*RadSpec!AZ9))),".")</f>
        <v>3.5746410762351037</v>
      </c>
      <c r="U9" s="108">
        <f>IFERROR(IF(d_Bv!U9=0,".",((Ir*F*d_Bv!U9*(1-EXP(-RadSpec!AZ9*t_b)))/(P*RadSpec!AZ9))),".")</f>
        <v>3.5746410762351037</v>
      </c>
      <c r="V9" s="108">
        <f>IFERROR(IF(d_Bv!V9=0,".",((Ir*F*d_Bv!V9*(1-EXP(-RadSpec!AZ9*t_b)))/(P*RadSpec!AZ9))),".")</f>
        <v>3.5746410762351037</v>
      </c>
      <c r="W9" s="108">
        <f>IFERROR(IF(d_Bv!W9=0,".",((Ir*F*d_Bv!W9*(1-EXP(-RadSpec!AZ9*t_b)))/(P*RadSpec!AZ9))),".")</f>
        <v>3.5746410762351037</v>
      </c>
      <c r="X9" s="108">
        <f>IFERROR(IF(d_Bv!X9=0,".",((Ir*F*d_Bv!X9*(1-EXP(-RadSpec!AZ9*t_b)))/(P*RadSpec!AZ9))),".")</f>
        <v>3.5746410762351037</v>
      </c>
      <c r="Y9" s="108">
        <f>IFERROR(IF(d_Bv!Y9=0,".",((Ir*F*d_Bv!Y9*(1-EXP(-RadSpec!AZ9*t_b)))/(P*RadSpec!AZ9))),".")</f>
        <v>3.5746410762351037</v>
      </c>
      <c r="Z9" s="108">
        <f>IFERROR(IF(d_Bv!Z9=0,".",((Ir*F*d_Bv!Z9*(1-EXP(-RadSpec!AZ9*t_b)))/(P*RadSpec!AZ9))),".")</f>
        <v>3.5746410762351037</v>
      </c>
      <c r="AA9" s="108">
        <f>IFERROR(IF(d_Bv!AA9=0,".",((Ir*F*d_Bv!AA9*(1-EXP(-RadSpec!AZ9*t_b)))/(P*RadSpec!AZ9))),".")</f>
        <v>3.5746410762351037</v>
      </c>
      <c r="AB9" s="108">
        <f>IFERROR(IF(d_Bv!C9=0,".",((Ir*F*MLF_apple*(1-EXP(-RadSpec!AZ9*t_b)))/(P*RadSpec!AZ9))),".")</f>
        <v>5.7194257219761657E-3</v>
      </c>
      <c r="AC9" s="108">
        <f>IFERROR(IF(d_Bv!D9=0,".",((Ir*F*MLF_asparagus*(1-EXP(-RadSpec!AZ9*t_b)))/(P*RadSpec!AZ9))),".")</f>
        <v>2.8239664502257315E-3</v>
      </c>
      <c r="AD9" s="108">
        <f>IFERROR(IF(d_Bv!E9=0,".",((Ir*F*MLF_beet*(1-EXP(-RadSpec!AZ9*t_b)))/(P*RadSpec!AZ9))),".")</f>
        <v>4.9330046852044422E-3</v>
      </c>
      <c r="AE9" s="108">
        <f>IFERROR(IF(d_Bv!F9=0,".",((Ir*F*MLF_berries*(1-EXP(-RadSpec!AZ9*t_b)))/(P*RadSpec!AZ9))),".")</f>
        <v>5.9339041865502712E-3</v>
      </c>
      <c r="AF9" s="108">
        <f>IFERROR(IF(d_Bv!G9=0,".",((Ir*F*MLF_broccoli*(1-EXP(-RadSpec!AZ9*t_b)))/(P*RadSpec!AZ9))),".")</f>
        <v>3.6103874869974538E-2</v>
      </c>
      <c r="AG9" s="108">
        <f>IFERROR(IF(d_Bv!H9=0,".",((Ir*F*MLF_cabbage*(1-EXP(-RadSpec!AZ9*t_b)))/(P*RadSpec!AZ9))),".")</f>
        <v>3.7533731300468582E-3</v>
      </c>
      <c r="AH9" s="108">
        <f>IFERROR(IF(d_Bv!I9=0,".",((Ir*F*MLF_carrot*(1-EXP(-RadSpec!AZ9*t_b)))/(P*RadSpec!AZ9))),".")</f>
        <v>3.4674018439480501E-3</v>
      </c>
      <c r="AI9" s="108">
        <f>IFERROR(IF(d_Bv!J9=0,".",((Ir*F*MLF_citrus*(1-EXP(-RadSpec!AZ9*t_b)))/(P*RadSpec!AZ9))),".")</f>
        <v>5.6121864896891112E-3</v>
      </c>
      <c r="AJ9" s="108">
        <f>IFERROR(IF(d_Bv!K9=0,".",((Ir*F*MLF_corn*(1-EXP(-RadSpec!AZ9*t_b)))/(P*RadSpec!AZ9))),".")</f>
        <v>5.1832295605408994E-3</v>
      </c>
      <c r="AK9" s="108">
        <f>IFERROR(IF(d_Bv!L9=0,".",((Ir*F*MLF_cucumber*(1-EXP(-RadSpec!AZ9*t_b)))/(P*RadSpec!AZ9))),".")</f>
        <v>1.4298564304940414E-3</v>
      </c>
      <c r="AL9" s="108">
        <f>IFERROR(IF(d_Bv!M9=0,".",((Ir*F*MLF_lettuce*(1-EXP(-RadSpec!AZ9*t_b)))/(P*RadSpec!AZ9))),".")</f>
        <v>0.48257654529173893</v>
      </c>
      <c r="AM9" s="108">
        <f>IFERROR(IF(d_Bv!N9=0,".",((Ir*F*MLF_lima_bean*(1-EXP(-RadSpec!AZ9*t_b)))/(P*RadSpec!AZ9))),".")</f>
        <v>0.13690875321980447</v>
      </c>
      <c r="AN9" s="108">
        <f>IFERROR(IF(d_Bv!O9=0,".",((Ir*F*MLF_okra*(1-EXP(-RadSpec!AZ9*t_b)))/(P*RadSpec!AZ9))),".")</f>
        <v>2.8597128609880828E-3</v>
      </c>
      <c r="AO9" s="108">
        <f>IFERROR(IF(d_Bv!P9=0,".",((Ir*F*MLF_onion*(1-EXP(-RadSpec!AZ9*t_b)))/(P*RadSpec!AZ9))),".")</f>
        <v>3.4674018439480501E-3</v>
      </c>
      <c r="AP9" s="108">
        <f>IFERROR(IF(d_Bv!Q9=0,".",((Ir*F*MLF_peach*(1-EXP(-RadSpec!AZ9*t_b)))/(P*RadSpec!AZ9))),".")</f>
        <v>5.361961614352654E-3</v>
      </c>
      <c r="AQ9" s="108">
        <f>IFERROR(IF(d_Bv!R9=0,".",((Ir*F*MLF_pear*(1-EXP(-RadSpec!AZ9*t_b)))/(P*RadSpec!AZ9))),".")</f>
        <v>5.7194257219761657E-3</v>
      </c>
      <c r="AR9" s="108">
        <f>IFERROR(IF(d_Bv!S9=0,".",((Ir*F*MLF_peas*(1-EXP(-RadSpec!AZ9*t_b)))/(P*RadSpec!AZ9))),".")</f>
        <v>6.3628611156984829E-3</v>
      </c>
      <c r="AS9" s="108">
        <f>IFERROR(IF(d_Bv!T9=0,".",((Ir*F*MLF_peppers*(1-EXP(-RadSpec!AZ9*t_b)))/(P*RadSpec!AZ9))),".")</f>
        <v>7.93570318924193E-2</v>
      </c>
      <c r="AT9" s="108">
        <f>IFERROR(IF(d_Bv!U9=0,".",((Ir*F*MLF_potato*(1-EXP(-RadSpec!AZ9*t_b)))/(P*RadSpec!AZ9))),".")</f>
        <v>7.5067462600937164E-3</v>
      </c>
      <c r="AU9" s="108">
        <f>IFERROR(IF(d_Bv!V9=0,".",((Ir*F*MLF_pumpkin*(1-EXP(-RadSpec!AZ9*t_b)))/(P*RadSpec!AZ9))),".")</f>
        <v>2.0732918242163598E-3</v>
      </c>
      <c r="AV9" s="108">
        <f>IFERROR(IF(d_Bv!W9=0,".",((Ir*F*MLF_snap_bean*(1-EXP(-RadSpec!AZ9*t_b)))/(P*RadSpec!AZ9))),".")</f>
        <v>0.17873205381175516</v>
      </c>
      <c r="AW9" s="108">
        <f>IFERROR(IF(d_Bv!X9=0,".",((Ir*F*MLF_strawberry*(1-EXP(-RadSpec!AZ9*t_b)))/(P*RadSpec!AZ9))),".")</f>
        <v>2.8597128609880828E-3</v>
      </c>
      <c r="AX9" s="108">
        <f>IFERROR(IF(d_Bv!Y9=0,".",((Ir*F*MLF_tomato*(1-EXP(-RadSpec!AZ9*t_b)))/(P*RadSpec!AZ9))),".")</f>
        <v>6.327114704936132E-2</v>
      </c>
      <c r="AY9" s="108">
        <f>IFERROR(IF(d_Bv!Z9=0,".",((Ir*F*MLF_rice*(1-EXP(-RadSpec!AZ9*t_b)))/(P*RadSpec!AZ9))),".")</f>
        <v>8.9366026905877582</v>
      </c>
      <c r="AZ9" s="108">
        <f>IFERROR(IF(d_Bv!AA9=0,".",((Ir*F*MLF_cereal*(1-EXP(-RadSpec!AZ9*t_b)))/(P*RadSpec!AZ9))),".")</f>
        <v>8.9366026905877582</v>
      </c>
      <c r="BA9" s="108">
        <f>IFERROR(IF(d_Bv!C9=0,".",((Ir*F*I_f*T*(1-EXP(-RadSpec!BA9*t_v)))/(Y_v*RadSpec!BA9))),".")</f>
        <v>3.6424203206347228</v>
      </c>
      <c r="BB9" s="108">
        <f>IFERROR(IF(d_Bv!D9=0,".",((Ir*F*I_f*T*(1-EXP(-RadSpec!BA9*t_v)))/(Y_v*RadSpec!BA9))),".")</f>
        <v>3.6424203206347228</v>
      </c>
      <c r="BC9" s="108">
        <f>IFERROR(IF(d_Bv!E9=0,".",((Ir*F*I_f*T*(1-EXP(-RadSpec!BA9*t_v)))/(Y_v*RadSpec!BA9))),".")</f>
        <v>3.6424203206347228</v>
      </c>
      <c r="BD9" s="108">
        <f>IFERROR(IF(d_Bv!F9=0,".",((Ir*F*I_f*T*(1-EXP(-RadSpec!BA9*t_v)))/(Y_v*RadSpec!BA9))),".")</f>
        <v>3.6424203206347228</v>
      </c>
      <c r="BE9" s="108">
        <f>IFERROR(IF(d_Bv!G9=0,".",((Ir*F*I_f*T*(1-EXP(-RadSpec!BA9*t_v)))/(Y_v*RadSpec!BA9))),".")</f>
        <v>3.6424203206347228</v>
      </c>
      <c r="BF9" s="108">
        <f>IFERROR(IF(d_Bv!H9=0,".",((Ir*F*I_f*T*(1-EXP(-RadSpec!BA9*t_v)))/(Y_v*RadSpec!BA9))),".")</f>
        <v>3.6424203206347228</v>
      </c>
      <c r="BG9" s="108">
        <f>IFERROR(IF(d_Bv!I9=0,".",((Ir*F*I_f*T*(1-EXP(-RadSpec!BA9*t_v)))/(Y_v*RadSpec!BA9))),".")</f>
        <v>3.6424203206347228</v>
      </c>
      <c r="BH9" s="108">
        <f>IFERROR(IF(d_Bv!J9=0,".",((Ir*F*I_f*T*(1-EXP(-RadSpec!BA9*t_v)))/(Y_v*RadSpec!BA9))),".")</f>
        <v>3.6424203206347228</v>
      </c>
      <c r="BI9" s="108">
        <f>IFERROR(IF(d_Bv!K9=0,".",((Ir*F*I_f*T*(1-EXP(-RadSpec!BA9*t_v)))/(Y_v*RadSpec!BA9))),".")</f>
        <v>3.6424203206347228</v>
      </c>
      <c r="BJ9" s="108">
        <f>IFERROR(IF(d_Bv!L9=0,".",((Ir*F*I_f*T*(1-EXP(-RadSpec!BA9*t_v)))/(Y_v*RadSpec!BA9))),".")</f>
        <v>3.6424203206347228</v>
      </c>
      <c r="BK9" s="108">
        <f>IFERROR(IF(d_Bv!M9=0,".",((Ir*F*I_f*T*(1-EXP(-RadSpec!BA9*t_v)))/(Y_v*RadSpec!BA9))),".")</f>
        <v>3.6424203206347228</v>
      </c>
      <c r="BL9" s="108">
        <f>IFERROR(IF(d_Bv!N9=0,".",((Ir*F*I_f*T*(1-EXP(-RadSpec!BA9*t_v)))/(Y_v*RadSpec!BA9))),".")</f>
        <v>3.6424203206347228</v>
      </c>
      <c r="BM9" s="108">
        <f>IFERROR(IF(d_Bv!O9=0,".",((Ir*F*I_f*T*(1-EXP(-RadSpec!BA9*t_v)))/(Y_v*RadSpec!BA9))),".")</f>
        <v>3.6424203206347228</v>
      </c>
      <c r="BN9" s="108">
        <f>IFERROR(IF(d_Bv!P9=0,".",((Ir*F*I_f*T*(1-EXP(-RadSpec!BA9*t_v)))/(Y_v*RadSpec!BA9))),".")</f>
        <v>3.6424203206347228</v>
      </c>
      <c r="BO9" s="108">
        <f>IFERROR(IF(d_Bv!Q9=0,".",((Ir*F*I_f*T*(1-EXP(-RadSpec!BA9*t_v)))/(Y_v*RadSpec!BA9))),".")</f>
        <v>3.6424203206347228</v>
      </c>
      <c r="BP9" s="108">
        <f>IFERROR(IF(d_Bv!R9=0,".",((Ir*F*I_f*T*(1-EXP(-RadSpec!BA9*t_v)))/(Y_v*RadSpec!BA9))),".")</f>
        <v>3.6424203206347228</v>
      </c>
      <c r="BQ9" s="108">
        <f>IFERROR(IF(d_Bv!S9=0,".",((Ir*F*I_f*T*(1-EXP(-RadSpec!BA9*t_v)))/(Y_v*RadSpec!BA9))),".")</f>
        <v>3.6424203206347228</v>
      </c>
      <c r="BR9" s="108">
        <f>IFERROR(IF(d_Bv!T9=0,".",((Ir*F*I_f*T*(1-EXP(-RadSpec!BA9*t_v)))/(Y_v*RadSpec!BA9))),".")</f>
        <v>3.6424203206347228</v>
      </c>
      <c r="BS9" s="108">
        <f>IFERROR(IF(d_Bv!U9=0,".",((Ir*F*I_f*T*(1-EXP(-RadSpec!BA9*t_v)))/(Y_v*RadSpec!BA9))),".")</f>
        <v>3.6424203206347228</v>
      </c>
      <c r="BT9" s="108">
        <f>IFERROR(IF(d_Bv!V9=0,".",((Ir*F*I_f*T*(1-EXP(-RadSpec!BA9*t_v)))/(Y_v*RadSpec!BA9))),".")</f>
        <v>3.6424203206347228</v>
      </c>
      <c r="BU9" s="108">
        <f>IFERROR(IF(d_Bv!W9=0,".",((Ir*F*I_f*T*(1-EXP(-RadSpec!BA9*t_v)))/(Y_v*RadSpec!BA9))),".")</f>
        <v>3.6424203206347228</v>
      </c>
      <c r="BV9" s="108">
        <f>IFERROR(IF(d_Bv!X9=0,".",((Ir*F*I_f*T*(1-EXP(-RadSpec!BA9*t_v)))/(Y_v*RadSpec!BA9))),".")</f>
        <v>3.6424203206347228</v>
      </c>
      <c r="BW9" s="108">
        <f>IFERROR(IF(d_Bv!Y9=0,".",((Ir*F*I_f*T*(1-EXP(-RadSpec!BA9*t_v)))/(Y_v*RadSpec!BA9))),".")</f>
        <v>3.6424203206347228</v>
      </c>
      <c r="BX9" s="108">
        <f>IFERROR(IF(d_Bv!Z9=0,".",((Ir*F*I_f*T*(1-EXP(-RadSpec!BA9*t_v)))/(Y_v*RadSpec!BA9))),".")</f>
        <v>3.6424203206347228</v>
      </c>
      <c r="BY9" s="108">
        <f>IFERROR(IF(d_Bv!AA9=0,".",((Ir*F*I_f*T*(1-EXP(-RadSpec!BA9*t_v)))/(Y_v*RadSpec!BA9))),".")</f>
        <v>3.6424203206347228</v>
      </c>
    </row>
    <row r="10" spans="1:77" x14ac:dyDescent="0.25">
      <c r="A10" s="46" t="s">
        <v>8</v>
      </c>
      <c r="B10" s="42" t="s">
        <v>335</v>
      </c>
      <c r="C10" s="108">
        <f>IFERROR(IF(d_Bv!C10=0,".",((Ir*F*d_Bv!C10*(1-EXP(-RadSpec!AZ10*t_b)))/(P*RadSpec!AZ10))),".")</f>
        <v>0.20732918242163598</v>
      </c>
      <c r="D10" s="108">
        <f>IFERROR(IF(d_Bv!D10=0,".",((Ir*F*d_Bv!D10*(1-EXP(-RadSpec!AZ10*t_b)))/(P*RadSpec!AZ10))),".")</f>
        <v>2.144784645741062</v>
      </c>
      <c r="E10" s="108">
        <f>IFERROR(IF(d_Bv!E10=0,".",((Ir*F*d_Bv!E10*(1-EXP(-RadSpec!AZ10*t_b)))/(P*RadSpec!AZ10))),".")</f>
        <v>1.5013492520187435</v>
      </c>
      <c r="F10" s="108">
        <f>IFERROR(IF(d_Bv!F10=0,".",((Ir*F*d_Bv!F10*(1-EXP(-RadSpec!AZ10*t_b)))/(P*RadSpec!AZ10))),".")</f>
        <v>7.5067462600937149E-2</v>
      </c>
      <c r="G10" s="108">
        <f>IFERROR(IF(d_Bv!G10=0,".",((Ir*F*d_Bv!G10*(1-EXP(-RadSpec!AZ10*t_b)))/(P*RadSpec!AZ10))),".")</f>
        <v>0.75067462600937174</v>
      </c>
      <c r="H10" s="108">
        <f>IFERROR(IF(d_Bv!H10=0,".",((Ir*F*d_Bv!H10*(1-EXP(-RadSpec!AZ10*t_b)))/(P*RadSpec!AZ10))),".")</f>
        <v>2.144784645741062</v>
      </c>
      <c r="I10" s="108">
        <f>IFERROR(IF(d_Bv!I10=0,".",((Ir*F*d_Bv!I10*(1-EXP(-RadSpec!AZ10*t_b)))/(P*RadSpec!AZ10))),".")</f>
        <v>1.5013492520187435</v>
      </c>
      <c r="J10" s="108">
        <f>IFERROR(IF(d_Bv!J10=0,".",((Ir*F*d_Bv!J10*(1-EXP(-RadSpec!AZ10*t_b)))/(P*RadSpec!AZ10))),".")</f>
        <v>0.20732918242163598</v>
      </c>
      <c r="K10" s="108">
        <f>IFERROR(IF(d_Bv!K10=0,".",((Ir*F*d_Bv!K10*(1-EXP(-RadSpec!AZ10*t_b)))/(P*RadSpec!AZ10))),".")</f>
        <v>1.1796315551575842</v>
      </c>
      <c r="L10" s="108">
        <f>IFERROR(IF(d_Bv!L10=0,".",((Ir*F*d_Bv!L10*(1-EXP(-RadSpec!AZ10*t_b)))/(P*RadSpec!AZ10))),".")</f>
        <v>0.75067462600937174</v>
      </c>
      <c r="M10" s="108">
        <f>IFERROR(IF(d_Bv!M10=0,".",((Ir*F*d_Bv!M10*(1-EXP(-RadSpec!AZ10*t_b)))/(P*RadSpec!AZ10))),".")</f>
        <v>2.144784645741062</v>
      </c>
      <c r="N10" s="108">
        <f>IFERROR(IF(d_Bv!N10=0,".",((Ir*F*d_Bv!N10*(1-EXP(-RadSpec!AZ10*t_b)))/(P*RadSpec!AZ10))),".")</f>
        <v>1.4298564304940413</v>
      </c>
      <c r="O10" s="108">
        <f>IFERROR(IF(d_Bv!O10=0,".",((Ir*F*d_Bv!O10*(1-EXP(-RadSpec!AZ10*t_b)))/(P*RadSpec!AZ10))),".")</f>
        <v>0.75067462600937174</v>
      </c>
      <c r="P10" s="108">
        <f>IFERROR(IF(d_Bv!P10=0,".",((Ir*F*d_Bv!P10*(1-EXP(-RadSpec!AZ10*t_b)))/(P*RadSpec!AZ10))),".")</f>
        <v>1.5013492520187435</v>
      </c>
      <c r="Q10" s="108">
        <f>IFERROR(IF(d_Bv!Q10=0,".",((Ir*F*d_Bv!Q10*(1-EXP(-RadSpec!AZ10*t_b)))/(P*RadSpec!AZ10))),".")</f>
        <v>0.20732918242163598</v>
      </c>
      <c r="R10" s="108">
        <f>IFERROR(IF(d_Bv!R10=0,".",((Ir*F*d_Bv!R10*(1-EXP(-RadSpec!AZ10*t_b)))/(P*RadSpec!AZ10))),".")</f>
        <v>0.20732918242163598</v>
      </c>
      <c r="S10" s="108">
        <f>IFERROR(IF(d_Bv!S10=0,".",((Ir*F*d_Bv!S10*(1-EXP(-RadSpec!AZ10*t_b)))/(P*RadSpec!AZ10))),".")</f>
        <v>1.4298564304940413</v>
      </c>
      <c r="T10" s="202">
        <f>IFERROR(IF(d_Bv!T10=0,".",((Ir*F*d_Bv!T10*(1-EXP(-RadSpec!AZ10*t_b)))/(P*RadSpec!AZ10))),".")</f>
        <v>0.75067462600937174</v>
      </c>
      <c r="U10" s="108">
        <f>IFERROR(IF(d_Bv!U10=0,".",((Ir*F*d_Bv!U10*(1-EXP(-RadSpec!AZ10*t_b)))/(P*RadSpec!AZ10))),".")</f>
        <v>2.0017990026916577</v>
      </c>
      <c r="V10" s="108">
        <f>IFERROR(IF(d_Bv!V10=0,".",((Ir*F*d_Bv!V10*(1-EXP(-RadSpec!AZ10*t_b)))/(P*RadSpec!AZ10))),".")</f>
        <v>0.75067462600937174</v>
      </c>
      <c r="W10" s="108">
        <f>IFERROR(IF(d_Bv!W10=0,".",((Ir*F*d_Bv!W10*(1-EXP(-RadSpec!AZ10*t_b)))/(P*RadSpec!AZ10))),".")</f>
        <v>1.4298564304940413</v>
      </c>
      <c r="X10" s="108">
        <f>IFERROR(IF(d_Bv!X10=0,".",((Ir*F*d_Bv!X10*(1-EXP(-RadSpec!AZ10*t_b)))/(P*RadSpec!AZ10))),".")</f>
        <v>0.10366459121081799</v>
      </c>
      <c r="Y10" s="108">
        <f>IFERROR(IF(d_Bv!Y10=0,".",((Ir*F*d_Bv!Y10*(1-EXP(-RadSpec!AZ10*t_b)))/(P*RadSpec!AZ10))),".")</f>
        <v>0.75067462600937174</v>
      </c>
      <c r="Z10" s="108">
        <f>IFERROR(IF(d_Bv!Z10=0,".",((Ir*F*d_Bv!Z10*(1-EXP(-RadSpec!AZ10*t_b)))/(P*RadSpec!AZ10))),".")</f>
        <v>2.6094879856516255E-2</v>
      </c>
      <c r="AA10" s="108">
        <f>IFERROR(IF(d_Bv!AA10=0,".",((Ir*F*d_Bv!AA10*(1-EXP(-RadSpec!AZ10*t_b)))/(P*RadSpec!AZ10))),".")</f>
        <v>1.0366459121081799</v>
      </c>
      <c r="AB10" s="108">
        <f>IFERROR(IF(d_Bv!C10=0,".",((Ir*F*MLF_apple*(1-EXP(-RadSpec!AZ10*t_b)))/(P*RadSpec!AZ10))),".")</f>
        <v>5.7194257219761657E-3</v>
      </c>
      <c r="AC10" s="108">
        <f>IFERROR(IF(d_Bv!D10=0,".",((Ir*F*MLF_asparagus*(1-EXP(-RadSpec!AZ10*t_b)))/(P*RadSpec!AZ10))),".")</f>
        <v>2.8239664502257315E-3</v>
      </c>
      <c r="AD10" s="108">
        <f>IFERROR(IF(d_Bv!E10=0,".",((Ir*F*MLF_beet*(1-EXP(-RadSpec!AZ10*t_b)))/(P*RadSpec!AZ10))),".")</f>
        <v>4.9330046852044422E-3</v>
      </c>
      <c r="AE10" s="108">
        <f>IFERROR(IF(d_Bv!F10=0,".",((Ir*F*MLF_berries*(1-EXP(-RadSpec!AZ10*t_b)))/(P*RadSpec!AZ10))),".")</f>
        <v>5.9339041865502712E-3</v>
      </c>
      <c r="AF10" s="108">
        <f>IFERROR(IF(d_Bv!G10=0,".",((Ir*F*MLF_broccoli*(1-EXP(-RadSpec!AZ10*t_b)))/(P*RadSpec!AZ10))),".")</f>
        <v>3.6103874869974538E-2</v>
      </c>
      <c r="AG10" s="108">
        <f>IFERROR(IF(d_Bv!H10=0,".",((Ir*F*MLF_cabbage*(1-EXP(-RadSpec!AZ10*t_b)))/(P*RadSpec!AZ10))),".")</f>
        <v>3.7533731300468582E-3</v>
      </c>
      <c r="AH10" s="108">
        <f>IFERROR(IF(d_Bv!I10=0,".",((Ir*F*MLF_carrot*(1-EXP(-RadSpec!AZ10*t_b)))/(P*RadSpec!AZ10))),".")</f>
        <v>3.4674018439480501E-3</v>
      </c>
      <c r="AI10" s="108">
        <f>IFERROR(IF(d_Bv!J10=0,".",((Ir*F*MLF_citrus*(1-EXP(-RadSpec!AZ10*t_b)))/(P*RadSpec!AZ10))),".")</f>
        <v>5.6121864896891112E-3</v>
      </c>
      <c r="AJ10" s="108">
        <f>IFERROR(IF(d_Bv!K10=0,".",((Ir*F*MLF_corn*(1-EXP(-RadSpec!AZ10*t_b)))/(P*RadSpec!AZ10))),".")</f>
        <v>5.1832295605408994E-3</v>
      </c>
      <c r="AK10" s="108">
        <f>IFERROR(IF(d_Bv!L10=0,".",((Ir*F*MLF_cucumber*(1-EXP(-RadSpec!AZ10*t_b)))/(P*RadSpec!AZ10))),".")</f>
        <v>1.4298564304940414E-3</v>
      </c>
      <c r="AL10" s="108">
        <f>IFERROR(IF(d_Bv!M10=0,".",((Ir*F*MLF_lettuce*(1-EXP(-RadSpec!AZ10*t_b)))/(P*RadSpec!AZ10))),".")</f>
        <v>0.48257654529173893</v>
      </c>
      <c r="AM10" s="108">
        <f>IFERROR(IF(d_Bv!N10=0,".",((Ir*F*MLF_lima_bean*(1-EXP(-RadSpec!AZ10*t_b)))/(P*RadSpec!AZ10))),".")</f>
        <v>0.13690875321980447</v>
      </c>
      <c r="AN10" s="108">
        <f>IFERROR(IF(d_Bv!O10=0,".",((Ir*F*MLF_okra*(1-EXP(-RadSpec!AZ10*t_b)))/(P*RadSpec!AZ10))),".")</f>
        <v>2.8597128609880828E-3</v>
      </c>
      <c r="AO10" s="108">
        <f>IFERROR(IF(d_Bv!P10=0,".",((Ir*F*MLF_onion*(1-EXP(-RadSpec!AZ10*t_b)))/(P*RadSpec!AZ10))),".")</f>
        <v>3.4674018439480501E-3</v>
      </c>
      <c r="AP10" s="108">
        <f>IFERROR(IF(d_Bv!Q10=0,".",((Ir*F*MLF_peach*(1-EXP(-RadSpec!AZ10*t_b)))/(P*RadSpec!AZ10))),".")</f>
        <v>5.361961614352654E-3</v>
      </c>
      <c r="AQ10" s="108">
        <f>IFERROR(IF(d_Bv!R10=0,".",((Ir*F*MLF_pear*(1-EXP(-RadSpec!AZ10*t_b)))/(P*RadSpec!AZ10))),".")</f>
        <v>5.7194257219761657E-3</v>
      </c>
      <c r="AR10" s="108">
        <f>IFERROR(IF(d_Bv!S10=0,".",((Ir*F*MLF_peas*(1-EXP(-RadSpec!AZ10*t_b)))/(P*RadSpec!AZ10))),".")</f>
        <v>6.3628611156984829E-3</v>
      </c>
      <c r="AS10" s="108">
        <f>IFERROR(IF(d_Bv!T10=0,".",((Ir*F*MLF_peppers*(1-EXP(-RadSpec!AZ10*t_b)))/(P*RadSpec!AZ10))),".")</f>
        <v>7.93570318924193E-2</v>
      </c>
      <c r="AT10" s="108">
        <f>IFERROR(IF(d_Bv!U10=0,".",((Ir*F*MLF_potato*(1-EXP(-RadSpec!AZ10*t_b)))/(P*RadSpec!AZ10))),".")</f>
        <v>7.5067462600937164E-3</v>
      </c>
      <c r="AU10" s="108">
        <f>IFERROR(IF(d_Bv!V10=0,".",((Ir*F*MLF_pumpkin*(1-EXP(-RadSpec!AZ10*t_b)))/(P*RadSpec!AZ10))),".")</f>
        <v>2.0732918242163598E-3</v>
      </c>
      <c r="AV10" s="108">
        <f>IFERROR(IF(d_Bv!W10=0,".",((Ir*F*MLF_snap_bean*(1-EXP(-RadSpec!AZ10*t_b)))/(P*RadSpec!AZ10))),".")</f>
        <v>0.17873205381175516</v>
      </c>
      <c r="AW10" s="108">
        <f>IFERROR(IF(d_Bv!X10=0,".",((Ir*F*MLF_strawberry*(1-EXP(-RadSpec!AZ10*t_b)))/(P*RadSpec!AZ10))),".")</f>
        <v>2.8597128609880828E-3</v>
      </c>
      <c r="AX10" s="108">
        <f>IFERROR(IF(d_Bv!Y10=0,".",((Ir*F*MLF_tomato*(1-EXP(-RadSpec!AZ10*t_b)))/(P*RadSpec!AZ10))),".")</f>
        <v>6.327114704936132E-2</v>
      </c>
      <c r="AY10" s="108">
        <f>IFERROR(IF(d_Bv!Z10=0,".",((Ir*F*MLF_rice*(1-EXP(-RadSpec!AZ10*t_b)))/(P*RadSpec!AZ10))),".")</f>
        <v>8.9366026905877582</v>
      </c>
      <c r="AZ10" s="108">
        <f>IFERROR(IF(d_Bv!AA10=0,".",((Ir*F*MLF_cereal*(1-EXP(-RadSpec!AZ10*t_b)))/(P*RadSpec!AZ10))),".")</f>
        <v>8.9366026905877582</v>
      </c>
      <c r="BA10" s="108">
        <f>IFERROR(IF(d_Bv!C10=0,".",((Ir*F*I_f*T*(1-EXP(-RadSpec!BA10*t_v)))/(Y_v*RadSpec!BA10))),".")</f>
        <v>3.6424203206347228</v>
      </c>
      <c r="BB10" s="108">
        <f>IFERROR(IF(d_Bv!D10=0,".",((Ir*F*I_f*T*(1-EXP(-RadSpec!BA10*t_v)))/(Y_v*RadSpec!BA10))),".")</f>
        <v>3.6424203206347228</v>
      </c>
      <c r="BC10" s="108">
        <f>IFERROR(IF(d_Bv!E10=0,".",((Ir*F*I_f*T*(1-EXP(-RadSpec!BA10*t_v)))/(Y_v*RadSpec!BA10))),".")</f>
        <v>3.6424203206347228</v>
      </c>
      <c r="BD10" s="108">
        <f>IFERROR(IF(d_Bv!F10=0,".",((Ir*F*I_f*T*(1-EXP(-RadSpec!BA10*t_v)))/(Y_v*RadSpec!BA10))),".")</f>
        <v>3.6424203206347228</v>
      </c>
      <c r="BE10" s="108">
        <f>IFERROR(IF(d_Bv!G10=0,".",((Ir*F*I_f*T*(1-EXP(-RadSpec!BA10*t_v)))/(Y_v*RadSpec!BA10))),".")</f>
        <v>3.6424203206347228</v>
      </c>
      <c r="BF10" s="108">
        <f>IFERROR(IF(d_Bv!H10=0,".",((Ir*F*I_f*T*(1-EXP(-RadSpec!BA10*t_v)))/(Y_v*RadSpec!BA10))),".")</f>
        <v>3.6424203206347228</v>
      </c>
      <c r="BG10" s="108">
        <f>IFERROR(IF(d_Bv!I10=0,".",((Ir*F*I_f*T*(1-EXP(-RadSpec!BA10*t_v)))/(Y_v*RadSpec!BA10))),".")</f>
        <v>3.6424203206347228</v>
      </c>
      <c r="BH10" s="108">
        <f>IFERROR(IF(d_Bv!J10=0,".",((Ir*F*I_f*T*(1-EXP(-RadSpec!BA10*t_v)))/(Y_v*RadSpec!BA10))),".")</f>
        <v>3.6424203206347228</v>
      </c>
      <c r="BI10" s="108">
        <f>IFERROR(IF(d_Bv!K10=0,".",((Ir*F*I_f*T*(1-EXP(-RadSpec!BA10*t_v)))/(Y_v*RadSpec!BA10))),".")</f>
        <v>3.6424203206347228</v>
      </c>
      <c r="BJ10" s="108">
        <f>IFERROR(IF(d_Bv!L10=0,".",((Ir*F*I_f*T*(1-EXP(-RadSpec!BA10*t_v)))/(Y_v*RadSpec!BA10))),".")</f>
        <v>3.6424203206347228</v>
      </c>
      <c r="BK10" s="108">
        <f>IFERROR(IF(d_Bv!M10=0,".",((Ir*F*I_f*T*(1-EXP(-RadSpec!BA10*t_v)))/(Y_v*RadSpec!BA10))),".")</f>
        <v>3.6424203206347228</v>
      </c>
      <c r="BL10" s="108">
        <f>IFERROR(IF(d_Bv!N10=0,".",((Ir*F*I_f*T*(1-EXP(-RadSpec!BA10*t_v)))/(Y_v*RadSpec!BA10))),".")</f>
        <v>3.6424203206347228</v>
      </c>
      <c r="BM10" s="108">
        <f>IFERROR(IF(d_Bv!O10=0,".",((Ir*F*I_f*T*(1-EXP(-RadSpec!BA10*t_v)))/(Y_v*RadSpec!BA10))),".")</f>
        <v>3.6424203206347228</v>
      </c>
      <c r="BN10" s="108">
        <f>IFERROR(IF(d_Bv!P10=0,".",((Ir*F*I_f*T*(1-EXP(-RadSpec!BA10*t_v)))/(Y_v*RadSpec!BA10))),".")</f>
        <v>3.6424203206347228</v>
      </c>
      <c r="BO10" s="108">
        <f>IFERROR(IF(d_Bv!Q10=0,".",((Ir*F*I_f*T*(1-EXP(-RadSpec!BA10*t_v)))/(Y_v*RadSpec!BA10))),".")</f>
        <v>3.6424203206347228</v>
      </c>
      <c r="BP10" s="108">
        <f>IFERROR(IF(d_Bv!R10=0,".",((Ir*F*I_f*T*(1-EXP(-RadSpec!BA10*t_v)))/(Y_v*RadSpec!BA10))),".")</f>
        <v>3.6424203206347228</v>
      </c>
      <c r="BQ10" s="108">
        <f>IFERROR(IF(d_Bv!S10=0,".",((Ir*F*I_f*T*(1-EXP(-RadSpec!BA10*t_v)))/(Y_v*RadSpec!BA10))),".")</f>
        <v>3.6424203206347228</v>
      </c>
      <c r="BR10" s="108">
        <f>IFERROR(IF(d_Bv!T10=0,".",((Ir*F*I_f*T*(1-EXP(-RadSpec!BA10*t_v)))/(Y_v*RadSpec!BA10))),".")</f>
        <v>3.6424203206347228</v>
      </c>
      <c r="BS10" s="108">
        <f>IFERROR(IF(d_Bv!U10=0,".",((Ir*F*I_f*T*(1-EXP(-RadSpec!BA10*t_v)))/(Y_v*RadSpec!BA10))),".")</f>
        <v>3.6424203206347228</v>
      </c>
      <c r="BT10" s="108">
        <f>IFERROR(IF(d_Bv!V10=0,".",((Ir*F*I_f*T*(1-EXP(-RadSpec!BA10*t_v)))/(Y_v*RadSpec!BA10))),".")</f>
        <v>3.6424203206347228</v>
      </c>
      <c r="BU10" s="108">
        <f>IFERROR(IF(d_Bv!W10=0,".",((Ir*F*I_f*T*(1-EXP(-RadSpec!BA10*t_v)))/(Y_v*RadSpec!BA10))),".")</f>
        <v>3.6424203206347228</v>
      </c>
      <c r="BV10" s="108">
        <f>IFERROR(IF(d_Bv!X10=0,".",((Ir*F*I_f*T*(1-EXP(-RadSpec!BA10*t_v)))/(Y_v*RadSpec!BA10))),".")</f>
        <v>3.6424203206347228</v>
      </c>
      <c r="BW10" s="108">
        <f>IFERROR(IF(d_Bv!Y10=0,".",((Ir*F*I_f*T*(1-EXP(-RadSpec!BA10*t_v)))/(Y_v*RadSpec!BA10))),".")</f>
        <v>3.6424203206347228</v>
      </c>
      <c r="BX10" s="108">
        <f>IFERROR(IF(d_Bv!Z10=0,".",((Ir*F*I_f*T*(1-EXP(-RadSpec!BA10*t_v)))/(Y_v*RadSpec!BA10))),".")</f>
        <v>3.6424203206347228</v>
      </c>
      <c r="BY10" s="108">
        <f>IFERROR(IF(d_Bv!AA10=0,".",((Ir*F*I_f*T*(1-EXP(-RadSpec!BA10*t_v)))/(Y_v*RadSpec!BA10))),".")</f>
        <v>3.6424203206347228</v>
      </c>
    </row>
    <row r="11" spans="1:77" x14ac:dyDescent="0.25">
      <c r="A11" s="44" t="s">
        <v>9</v>
      </c>
      <c r="B11" s="42" t="s">
        <v>1057</v>
      </c>
      <c r="C11" s="108">
        <f>IFERROR(IF(d_Bv!C11=0,".",((Ir*F*d_Bv!C11*(1-EXP(-RadSpec!AZ11*t_b)))/(P*RadSpec!AZ11))),".")</f>
        <v>1.072392322870531</v>
      </c>
      <c r="D11" s="108">
        <f>IFERROR(IF(d_Bv!D11=0,".",((Ir*F*d_Bv!D11*(1-EXP(-RadSpec!AZ11*t_b)))/(P*RadSpec!AZ11))),".")</f>
        <v>1.072392322870531</v>
      </c>
      <c r="E11" s="108">
        <f>IFERROR(IF(d_Bv!E11=0,".",((Ir*F*d_Bv!E11*(1-EXP(-RadSpec!AZ11*t_b)))/(P*RadSpec!AZ11))),".")</f>
        <v>1.072392322870531</v>
      </c>
      <c r="F11" s="108">
        <f>IFERROR(IF(d_Bv!F11=0,".",((Ir*F*d_Bv!F11*(1-EXP(-RadSpec!AZ11*t_b)))/(P*RadSpec!AZ11))),".")</f>
        <v>1.072392322870531</v>
      </c>
      <c r="G11" s="108">
        <f>IFERROR(IF(d_Bv!G11=0,".",((Ir*F*d_Bv!G11*(1-EXP(-RadSpec!AZ11*t_b)))/(P*RadSpec!AZ11))),".")</f>
        <v>1.072392322870531</v>
      </c>
      <c r="H11" s="108">
        <f>IFERROR(IF(d_Bv!H11=0,".",((Ir*F*d_Bv!H11*(1-EXP(-RadSpec!AZ11*t_b)))/(P*RadSpec!AZ11))),".")</f>
        <v>1.072392322870531</v>
      </c>
      <c r="I11" s="108">
        <f>IFERROR(IF(d_Bv!I11=0,".",((Ir*F*d_Bv!I11*(1-EXP(-RadSpec!AZ11*t_b)))/(P*RadSpec!AZ11))),".")</f>
        <v>1.072392322870531</v>
      </c>
      <c r="J11" s="108">
        <f>IFERROR(IF(d_Bv!J11=0,".",((Ir*F*d_Bv!J11*(1-EXP(-RadSpec!AZ11*t_b)))/(P*RadSpec!AZ11))),".")</f>
        <v>1.072392322870531</v>
      </c>
      <c r="K11" s="108">
        <f>IFERROR(IF(d_Bv!K11=0,".",((Ir*F*d_Bv!K11*(1-EXP(-RadSpec!AZ11*t_b)))/(P*RadSpec!AZ11))),".")</f>
        <v>1.072392322870531</v>
      </c>
      <c r="L11" s="108">
        <f>IFERROR(IF(d_Bv!L11=0,".",((Ir*F*d_Bv!L11*(1-EXP(-RadSpec!AZ11*t_b)))/(P*RadSpec!AZ11))),".")</f>
        <v>1.072392322870531</v>
      </c>
      <c r="M11" s="108">
        <f>IFERROR(IF(d_Bv!M11=0,".",((Ir*F*d_Bv!M11*(1-EXP(-RadSpec!AZ11*t_b)))/(P*RadSpec!AZ11))),".")</f>
        <v>1.072392322870531</v>
      </c>
      <c r="N11" s="108">
        <f>IFERROR(IF(d_Bv!N11=0,".",((Ir*F*d_Bv!N11*(1-EXP(-RadSpec!AZ11*t_b)))/(P*RadSpec!AZ11))),".")</f>
        <v>1.072392322870531</v>
      </c>
      <c r="O11" s="108">
        <f>IFERROR(IF(d_Bv!O11=0,".",((Ir*F*d_Bv!O11*(1-EXP(-RadSpec!AZ11*t_b)))/(P*RadSpec!AZ11))),".")</f>
        <v>1.072392322870531</v>
      </c>
      <c r="P11" s="108">
        <f>IFERROR(IF(d_Bv!P11=0,".",((Ir*F*d_Bv!P11*(1-EXP(-RadSpec!AZ11*t_b)))/(P*RadSpec!AZ11))),".")</f>
        <v>1.072392322870531</v>
      </c>
      <c r="Q11" s="108">
        <f>IFERROR(IF(d_Bv!Q11=0,".",((Ir*F*d_Bv!Q11*(1-EXP(-RadSpec!AZ11*t_b)))/(P*RadSpec!AZ11))),".")</f>
        <v>1.072392322870531</v>
      </c>
      <c r="R11" s="108">
        <f>IFERROR(IF(d_Bv!R11=0,".",((Ir*F*d_Bv!R11*(1-EXP(-RadSpec!AZ11*t_b)))/(P*RadSpec!AZ11))),".")</f>
        <v>1.072392322870531</v>
      </c>
      <c r="S11" s="108">
        <f>IFERROR(IF(d_Bv!S11=0,".",((Ir*F*d_Bv!S11*(1-EXP(-RadSpec!AZ11*t_b)))/(P*RadSpec!AZ11))),".")</f>
        <v>1.072392322870531</v>
      </c>
      <c r="T11" s="202">
        <f>IFERROR(IF(d_Bv!T11=0,".",((Ir*F*d_Bv!T11*(1-EXP(-RadSpec!AZ11*t_b)))/(P*RadSpec!AZ11))),".")</f>
        <v>1.072392322870531</v>
      </c>
      <c r="U11" s="108">
        <f>IFERROR(IF(d_Bv!U11=0,".",((Ir*F*d_Bv!U11*(1-EXP(-RadSpec!AZ11*t_b)))/(P*RadSpec!AZ11))),".")</f>
        <v>1.072392322870531</v>
      </c>
      <c r="V11" s="108">
        <f>IFERROR(IF(d_Bv!V11=0,".",((Ir*F*d_Bv!V11*(1-EXP(-RadSpec!AZ11*t_b)))/(P*RadSpec!AZ11))),".")</f>
        <v>1.072392322870531</v>
      </c>
      <c r="W11" s="108">
        <f>IFERROR(IF(d_Bv!W11=0,".",((Ir*F*d_Bv!W11*(1-EXP(-RadSpec!AZ11*t_b)))/(P*RadSpec!AZ11))),".")</f>
        <v>1.072392322870531</v>
      </c>
      <c r="X11" s="108">
        <f>IFERROR(IF(d_Bv!X11=0,".",((Ir*F*d_Bv!X11*(1-EXP(-RadSpec!AZ11*t_b)))/(P*RadSpec!AZ11))),".")</f>
        <v>1.072392322870531</v>
      </c>
      <c r="Y11" s="108">
        <f>IFERROR(IF(d_Bv!Y11=0,".",((Ir*F*d_Bv!Y11*(1-EXP(-RadSpec!AZ11*t_b)))/(P*RadSpec!AZ11))),".")</f>
        <v>1.072392322870531</v>
      </c>
      <c r="Z11" s="108">
        <f>IFERROR(IF(d_Bv!Z11=0,".",((Ir*F*d_Bv!Z11*(1-EXP(-RadSpec!AZ11*t_b)))/(P*RadSpec!AZ11))),".")</f>
        <v>1.072392322870531</v>
      </c>
      <c r="AA11" s="108">
        <f>IFERROR(IF(d_Bv!AA11=0,".",((Ir*F*d_Bv!AA11*(1-EXP(-RadSpec!AZ11*t_b)))/(P*RadSpec!AZ11))),".")</f>
        <v>1.072392322870531</v>
      </c>
      <c r="AB11" s="108">
        <f>IFERROR(IF(d_Bv!C11=0,".",((Ir*F*MLF_apple*(1-EXP(-RadSpec!AZ11*t_b)))/(P*RadSpec!AZ11))),".")</f>
        <v>5.7194257219761657E-3</v>
      </c>
      <c r="AC11" s="108">
        <f>IFERROR(IF(d_Bv!D11=0,".",((Ir*F*MLF_asparagus*(1-EXP(-RadSpec!AZ11*t_b)))/(P*RadSpec!AZ11))),".")</f>
        <v>2.8239664502257315E-3</v>
      </c>
      <c r="AD11" s="108">
        <f>IFERROR(IF(d_Bv!E11=0,".",((Ir*F*MLF_beet*(1-EXP(-RadSpec!AZ11*t_b)))/(P*RadSpec!AZ11))),".")</f>
        <v>4.9330046852044422E-3</v>
      </c>
      <c r="AE11" s="108">
        <f>IFERROR(IF(d_Bv!F11=0,".",((Ir*F*MLF_berries*(1-EXP(-RadSpec!AZ11*t_b)))/(P*RadSpec!AZ11))),".")</f>
        <v>5.9339041865502712E-3</v>
      </c>
      <c r="AF11" s="108">
        <f>IFERROR(IF(d_Bv!G11=0,".",((Ir*F*MLF_broccoli*(1-EXP(-RadSpec!AZ11*t_b)))/(P*RadSpec!AZ11))),".")</f>
        <v>3.6103874869974538E-2</v>
      </c>
      <c r="AG11" s="108">
        <f>IFERROR(IF(d_Bv!H11=0,".",((Ir*F*MLF_cabbage*(1-EXP(-RadSpec!AZ11*t_b)))/(P*RadSpec!AZ11))),".")</f>
        <v>3.7533731300468582E-3</v>
      </c>
      <c r="AH11" s="108">
        <f>IFERROR(IF(d_Bv!I11=0,".",((Ir*F*MLF_carrot*(1-EXP(-RadSpec!AZ11*t_b)))/(P*RadSpec!AZ11))),".")</f>
        <v>3.4674018439480501E-3</v>
      </c>
      <c r="AI11" s="108">
        <f>IFERROR(IF(d_Bv!J11=0,".",((Ir*F*MLF_citrus*(1-EXP(-RadSpec!AZ11*t_b)))/(P*RadSpec!AZ11))),".")</f>
        <v>5.6121864896891112E-3</v>
      </c>
      <c r="AJ11" s="108">
        <f>IFERROR(IF(d_Bv!K11=0,".",((Ir*F*MLF_corn*(1-EXP(-RadSpec!AZ11*t_b)))/(P*RadSpec!AZ11))),".")</f>
        <v>5.1832295605408994E-3</v>
      </c>
      <c r="AK11" s="108">
        <f>IFERROR(IF(d_Bv!L11=0,".",((Ir*F*MLF_cucumber*(1-EXP(-RadSpec!AZ11*t_b)))/(P*RadSpec!AZ11))),".")</f>
        <v>1.4298564304940414E-3</v>
      </c>
      <c r="AL11" s="108">
        <f>IFERROR(IF(d_Bv!M11=0,".",((Ir*F*MLF_lettuce*(1-EXP(-RadSpec!AZ11*t_b)))/(P*RadSpec!AZ11))),".")</f>
        <v>0.48257654529173893</v>
      </c>
      <c r="AM11" s="108">
        <f>IFERROR(IF(d_Bv!N11=0,".",((Ir*F*MLF_lima_bean*(1-EXP(-RadSpec!AZ11*t_b)))/(P*RadSpec!AZ11))),".")</f>
        <v>0.13690875321980447</v>
      </c>
      <c r="AN11" s="108">
        <f>IFERROR(IF(d_Bv!O11=0,".",((Ir*F*MLF_okra*(1-EXP(-RadSpec!AZ11*t_b)))/(P*RadSpec!AZ11))),".")</f>
        <v>2.8597128609880828E-3</v>
      </c>
      <c r="AO11" s="108">
        <f>IFERROR(IF(d_Bv!P11=0,".",((Ir*F*MLF_onion*(1-EXP(-RadSpec!AZ11*t_b)))/(P*RadSpec!AZ11))),".")</f>
        <v>3.4674018439480501E-3</v>
      </c>
      <c r="AP11" s="108">
        <f>IFERROR(IF(d_Bv!Q11=0,".",((Ir*F*MLF_peach*(1-EXP(-RadSpec!AZ11*t_b)))/(P*RadSpec!AZ11))),".")</f>
        <v>5.361961614352654E-3</v>
      </c>
      <c r="AQ11" s="108">
        <f>IFERROR(IF(d_Bv!R11=0,".",((Ir*F*MLF_pear*(1-EXP(-RadSpec!AZ11*t_b)))/(P*RadSpec!AZ11))),".")</f>
        <v>5.7194257219761657E-3</v>
      </c>
      <c r="AR11" s="108">
        <f>IFERROR(IF(d_Bv!S11=0,".",((Ir*F*MLF_peas*(1-EXP(-RadSpec!AZ11*t_b)))/(P*RadSpec!AZ11))),".")</f>
        <v>6.3628611156984829E-3</v>
      </c>
      <c r="AS11" s="108">
        <f>IFERROR(IF(d_Bv!T11=0,".",((Ir*F*MLF_peppers*(1-EXP(-RadSpec!AZ11*t_b)))/(P*RadSpec!AZ11))),".")</f>
        <v>7.93570318924193E-2</v>
      </c>
      <c r="AT11" s="108">
        <f>IFERROR(IF(d_Bv!U11=0,".",((Ir*F*MLF_potato*(1-EXP(-RadSpec!AZ11*t_b)))/(P*RadSpec!AZ11))),".")</f>
        <v>7.5067462600937164E-3</v>
      </c>
      <c r="AU11" s="108">
        <f>IFERROR(IF(d_Bv!V11=0,".",((Ir*F*MLF_pumpkin*(1-EXP(-RadSpec!AZ11*t_b)))/(P*RadSpec!AZ11))),".")</f>
        <v>2.0732918242163598E-3</v>
      </c>
      <c r="AV11" s="108">
        <f>IFERROR(IF(d_Bv!W11=0,".",((Ir*F*MLF_snap_bean*(1-EXP(-RadSpec!AZ11*t_b)))/(P*RadSpec!AZ11))),".")</f>
        <v>0.17873205381175516</v>
      </c>
      <c r="AW11" s="108">
        <f>IFERROR(IF(d_Bv!X11=0,".",((Ir*F*MLF_strawberry*(1-EXP(-RadSpec!AZ11*t_b)))/(P*RadSpec!AZ11))),".")</f>
        <v>2.8597128609880828E-3</v>
      </c>
      <c r="AX11" s="108">
        <f>IFERROR(IF(d_Bv!Y11=0,".",((Ir*F*MLF_tomato*(1-EXP(-RadSpec!AZ11*t_b)))/(P*RadSpec!AZ11))),".")</f>
        <v>6.327114704936132E-2</v>
      </c>
      <c r="AY11" s="108">
        <f>IFERROR(IF(d_Bv!Z11=0,".",((Ir*F*MLF_rice*(1-EXP(-RadSpec!AZ11*t_b)))/(P*RadSpec!AZ11))),".")</f>
        <v>8.9366026905877582</v>
      </c>
      <c r="AZ11" s="108">
        <f>IFERROR(IF(d_Bv!AA11=0,".",((Ir*F*MLF_cereal*(1-EXP(-RadSpec!AZ11*t_b)))/(P*RadSpec!AZ11))),".")</f>
        <v>8.9366026905877582</v>
      </c>
      <c r="BA11" s="108">
        <f>IFERROR(IF(d_Bv!C11=0,".",((Ir*F*I_f*T*(1-EXP(-RadSpec!BA11*t_v)))/(Y_v*RadSpec!BA11))),".")</f>
        <v>3.6424203206347228</v>
      </c>
      <c r="BB11" s="108">
        <f>IFERROR(IF(d_Bv!D11=0,".",((Ir*F*I_f*T*(1-EXP(-RadSpec!BA11*t_v)))/(Y_v*RadSpec!BA11))),".")</f>
        <v>3.6424203206347228</v>
      </c>
      <c r="BC11" s="108">
        <f>IFERROR(IF(d_Bv!E11=0,".",((Ir*F*I_f*T*(1-EXP(-RadSpec!BA11*t_v)))/(Y_v*RadSpec!BA11))),".")</f>
        <v>3.6424203206347228</v>
      </c>
      <c r="BD11" s="108">
        <f>IFERROR(IF(d_Bv!F11=0,".",((Ir*F*I_f*T*(1-EXP(-RadSpec!BA11*t_v)))/(Y_v*RadSpec!BA11))),".")</f>
        <v>3.6424203206347228</v>
      </c>
      <c r="BE11" s="108">
        <f>IFERROR(IF(d_Bv!G11=0,".",((Ir*F*I_f*T*(1-EXP(-RadSpec!BA11*t_v)))/(Y_v*RadSpec!BA11))),".")</f>
        <v>3.6424203206347228</v>
      </c>
      <c r="BF11" s="108">
        <f>IFERROR(IF(d_Bv!H11=0,".",((Ir*F*I_f*T*(1-EXP(-RadSpec!BA11*t_v)))/(Y_v*RadSpec!BA11))),".")</f>
        <v>3.6424203206347228</v>
      </c>
      <c r="BG11" s="108">
        <f>IFERROR(IF(d_Bv!I11=0,".",((Ir*F*I_f*T*(1-EXP(-RadSpec!BA11*t_v)))/(Y_v*RadSpec!BA11))),".")</f>
        <v>3.6424203206347228</v>
      </c>
      <c r="BH11" s="108">
        <f>IFERROR(IF(d_Bv!J11=0,".",((Ir*F*I_f*T*(1-EXP(-RadSpec!BA11*t_v)))/(Y_v*RadSpec!BA11))),".")</f>
        <v>3.6424203206347228</v>
      </c>
      <c r="BI11" s="108">
        <f>IFERROR(IF(d_Bv!K11=0,".",((Ir*F*I_f*T*(1-EXP(-RadSpec!BA11*t_v)))/(Y_v*RadSpec!BA11))),".")</f>
        <v>3.6424203206347228</v>
      </c>
      <c r="BJ11" s="108">
        <f>IFERROR(IF(d_Bv!L11=0,".",((Ir*F*I_f*T*(1-EXP(-RadSpec!BA11*t_v)))/(Y_v*RadSpec!BA11))),".")</f>
        <v>3.6424203206347228</v>
      </c>
      <c r="BK11" s="108">
        <f>IFERROR(IF(d_Bv!M11=0,".",((Ir*F*I_f*T*(1-EXP(-RadSpec!BA11*t_v)))/(Y_v*RadSpec!BA11))),".")</f>
        <v>3.6424203206347228</v>
      </c>
      <c r="BL11" s="108">
        <f>IFERROR(IF(d_Bv!N11=0,".",((Ir*F*I_f*T*(1-EXP(-RadSpec!BA11*t_v)))/(Y_v*RadSpec!BA11))),".")</f>
        <v>3.6424203206347228</v>
      </c>
      <c r="BM11" s="108">
        <f>IFERROR(IF(d_Bv!O11=0,".",((Ir*F*I_f*T*(1-EXP(-RadSpec!BA11*t_v)))/(Y_v*RadSpec!BA11))),".")</f>
        <v>3.6424203206347228</v>
      </c>
      <c r="BN11" s="108">
        <f>IFERROR(IF(d_Bv!P11=0,".",((Ir*F*I_f*T*(1-EXP(-RadSpec!BA11*t_v)))/(Y_v*RadSpec!BA11))),".")</f>
        <v>3.6424203206347228</v>
      </c>
      <c r="BO11" s="108">
        <f>IFERROR(IF(d_Bv!Q11=0,".",((Ir*F*I_f*T*(1-EXP(-RadSpec!BA11*t_v)))/(Y_v*RadSpec!BA11))),".")</f>
        <v>3.6424203206347228</v>
      </c>
      <c r="BP11" s="108">
        <f>IFERROR(IF(d_Bv!R11=0,".",((Ir*F*I_f*T*(1-EXP(-RadSpec!BA11*t_v)))/(Y_v*RadSpec!BA11))),".")</f>
        <v>3.6424203206347228</v>
      </c>
      <c r="BQ11" s="108">
        <f>IFERROR(IF(d_Bv!S11=0,".",((Ir*F*I_f*T*(1-EXP(-RadSpec!BA11*t_v)))/(Y_v*RadSpec!BA11))),".")</f>
        <v>3.6424203206347228</v>
      </c>
      <c r="BR11" s="108">
        <f>IFERROR(IF(d_Bv!T11=0,".",((Ir*F*I_f*T*(1-EXP(-RadSpec!BA11*t_v)))/(Y_v*RadSpec!BA11))),".")</f>
        <v>3.6424203206347228</v>
      </c>
      <c r="BS11" s="108">
        <f>IFERROR(IF(d_Bv!U11=0,".",((Ir*F*I_f*T*(1-EXP(-RadSpec!BA11*t_v)))/(Y_v*RadSpec!BA11))),".")</f>
        <v>3.6424203206347228</v>
      </c>
      <c r="BT11" s="108">
        <f>IFERROR(IF(d_Bv!V11=0,".",((Ir*F*I_f*T*(1-EXP(-RadSpec!BA11*t_v)))/(Y_v*RadSpec!BA11))),".")</f>
        <v>3.6424203206347228</v>
      </c>
      <c r="BU11" s="108">
        <f>IFERROR(IF(d_Bv!W11=0,".",((Ir*F*I_f*T*(1-EXP(-RadSpec!BA11*t_v)))/(Y_v*RadSpec!BA11))),".")</f>
        <v>3.6424203206347228</v>
      </c>
      <c r="BV11" s="108">
        <f>IFERROR(IF(d_Bv!X11=0,".",((Ir*F*I_f*T*(1-EXP(-RadSpec!BA11*t_v)))/(Y_v*RadSpec!BA11))),".")</f>
        <v>3.6424203206347228</v>
      </c>
      <c r="BW11" s="108">
        <f>IFERROR(IF(d_Bv!Y11=0,".",((Ir*F*I_f*T*(1-EXP(-RadSpec!BA11*t_v)))/(Y_v*RadSpec!BA11))),".")</f>
        <v>3.6424203206347228</v>
      </c>
      <c r="BX11" s="108">
        <f>IFERROR(IF(d_Bv!Z11=0,".",((Ir*F*I_f*T*(1-EXP(-RadSpec!BA11*t_v)))/(Y_v*RadSpec!BA11))),".")</f>
        <v>3.6424203206347228</v>
      </c>
      <c r="BY11" s="108">
        <f>IFERROR(IF(d_Bv!AA11=0,".",((Ir*F*I_f*T*(1-EXP(-RadSpec!BA11*t_v)))/(Y_v*RadSpec!BA11))),".")</f>
        <v>3.6424203206347228</v>
      </c>
    </row>
    <row r="12" spans="1:77" x14ac:dyDescent="0.25">
      <c r="A12" s="44" t="s">
        <v>10</v>
      </c>
      <c r="B12" s="42" t="s">
        <v>1057</v>
      </c>
      <c r="C12" s="108">
        <f>IFERROR(IF(d_Bv!C12=0,".",((Ir*F*d_Bv!C12*(1-EXP(-RadSpec!AZ12*t_b)))/(P*RadSpec!AZ12))),".")</f>
        <v>10.72392322870531</v>
      </c>
      <c r="D12" s="108">
        <f>IFERROR(IF(d_Bv!D12=0,".",((Ir*F*d_Bv!D12*(1-EXP(-RadSpec!AZ12*t_b)))/(P*RadSpec!AZ12))),".")</f>
        <v>10.72392322870531</v>
      </c>
      <c r="E12" s="108">
        <f>IFERROR(IF(d_Bv!E12=0,".",((Ir*F*d_Bv!E12*(1-EXP(-RadSpec!AZ12*t_b)))/(P*RadSpec!AZ12))),".")</f>
        <v>10.72392322870531</v>
      </c>
      <c r="F12" s="108">
        <f>IFERROR(IF(d_Bv!F12=0,".",((Ir*F*d_Bv!F12*(1-EXP(-RadSpec!AZ12*t_b)))/(P*RadSpec!AZ12))),".")</f>
        <v>10.72392322870531</v>
      </c>
      <c r="G12" s="108">
        <f>IFERROR(IF(d_Bv!G12=0,".",((Ir*F*d_Bv!G12*(1-EXP(-RadSpec!AZ12*t_b)))/(P*RadSpec!AZ12))),".")</f>
        <v>10.72392322870531</v>
      </c>
      <c r="H12" s="108">
        <f>IFERROR(IF(d_Bv!H12=0,".",((Ir*F*d_Bv!H12*(1-EXP(-RadSpec!AZ12*t_b)))/(P*RadSpec!AZ12))),".")</f>
        <v>10.72392322870531</v>
      </c>
      <c r="I12" s="108">
        <f>IFERROR(IF(d_Bv!I12=0,".",((Ir*F*d_Bv!I12*(1-EXP(-RadSpec!AZ12*t_b)))/(P*RadSpec!AZ12))),".")</f>
        <v>10.72392322870531</v>
      </c>
      <c r="J12" s="108">
        <f>IFERROR(IF(d_Bv!J12=0,".",((Ir*F*d_Bv!J12*(1-EXP(-RadSpec!AZ12*t_b)))/(P*RadSpec!AZ12))),".")</f>
        <v>10.72392322870531</v>
      </c>
      <c r="K12" s="108">
        <f>IFERROR(IF(d_Bv!K12=0,".",((Ir*F*d_Bv!K12*(1-EXP(-RadSpec!AZ12*t_b)))/(P*RadSpec!AZ12))),".")</f>
        <v>10.72392322870531</v>
      </c>
      <c r="L12" s="108">
        <f>IFERROR(IF(d_Bv!L12=0,".",((Ir*F*d_Bv!L12*(1-EXP(-RadSpec!AZ12*t_b)))/(P*RadSpec!AZ12))),".")</f>
        <v>10.72392322870531</v>
      </c>
      <c r="M12" s="108">
        <f>IFERROR(IF(d_Bv!M12=0,".",((Ir*F*d_Bv!M12*(1-EXP(-RadSpec!AZ12*t_b)))/(P*RadSpec!AZ12))),".")</f>
        <v>10.72392322870531</v>
      </c>
      <c r="N12" s="108">
        <f>IFERROR(IF(d_Bv!N12=0,".",((Ir*F*d_Bv!N12*(1-EXP(-RadSpec!AZ12*t_b)))/(P*RadSpec!AZ12))),".")</f>
        <v>10.72392322870531</v>
      </c>
      <c r="O12" s="108">
        <f>IFERROR(IF(d_Bv!O12=0,".",((Ir*F*d_Bv!O12*(1-EXP(-RadSpec!AZ12*t_b)))/(P*RadSpec!AZ12))),".")</f>
        <v>10.72392322870531</v>
      </c>
      <c r="P12" s="108">
        <f>IFERROR(IF(d_Bv!P12=0,".",((Ir*F*d_Bv!P12*(1-EXP(-RadSpec!AZ12*t_b)))/(P*RadSpec!AZ12))),".")</f>
        <v>10.72392322870531</v>
      </c>
      <c r="Q12" s="108">
        <f>IFERROR(IF(d_Bv!Q12=0,".",((Ir*F*d_Bv!Q12*(1-EXP(-RadSpec!AZ12*t_b)))/(P*RadSpec!AZ12))),".")</f>
        <v>10.72392322870531</v>
      </c>
      <c r="R12" s="108">
        <f>IFERROR(IF(d_Bv!R12=0,".",((Ir*F*d_Bv!R12*(1-EXP(-RadSpec!AZ12*t_b)))/(P*RadSpec!AZ12))),".")</f>
        <v>10.72392322870531</v>
      </c>
      <c r="S12" s="108">
        <f>IFERROR(IF(d_Bv!S12=0,".",((Ir*F*d_Bv!S12*(1-EXP(-RadSpec!AZ12*t_b)))/(P*RadSpec!AZ12))),".")</f>
        <v>10.72392322870531</v>
      </c>
      <c r="T12" s="202">
        <f>IFERROR(IF(d_Bv!T12=0,".",((Ir*F*d_Bv!T12*(1-EXP(-RadSpec!AZ12*t_b)))/(P*RadSpec!AZ12))),".")</f>
        <v>10.72392322870531</v>
      </c>
      <c r="U12" s="108">
        <f>IFERROR(IF(d_Bv!U12=0,".",((Ir*F*d_Bv!U12*(1-EXP(-RadSpec!AZ12*t_b)))/(P*RadSpec!AZ12))),".")</f>
        <v>10.72392322870531</v>
      </c>
      <c r="V12" s="108">
        <f>IFERROR(IF(d_Bv!V12=0,".",((Ir*F*d_Bv!V12*(1-EXP(-RadSpec!AZ12*t_b)))/(P*RadSpec!AZ12))),".")</f>
        <v>10.72392322870531</v>
      </c>
      <c r="W12" s="108">
        <f>IFERROR(IF(d_Bv!W12=0,".",((Ir*F*d_Bv!W12*(1-EXP(-RadSpec!AZ12*t_b)))/(P*RadSpec!AZ12))),".")</f>
        <v>10.72392322870531</v>
      </c>
      <c r="X12" s="108">
        <f>IFERROR(IF(d_Bv!X12=0,".",((Ir*F*d_Bv!X12*(1-EXP(-RadSpec!AZ12*t_b)))/(P*RadSpec!AZ12))),".")</f>
        <v>10.72392322870531</v>
      </c>
      <c r="Y12" s="108">
        <f>IFERROR(IF(d_Bv!Y12=0,".",((Ir*F*d_Bv!Y12*(1-EXP(-RadSpec!AZ12*t_b)))/(P*RadSpec!AZ12))),".")</f>
        <v>10.72392322870531</v>
      </c>
      <c r="Z12" s="108">
        <f>IFERROR(IF(d_Bv!Z12=0,".",((Ir*F*d_Bv!Z12*(1-EXP(-RadSpec!AZ12*t_b)))/(P*RadSpec!AZ12))),".")</f>
        <v>10.72392322870531</v>
      </c>
      <c r="AA12" s="108">
        <f>IFERROR(IF(d_Bv!AA12=0,".",((Ir*F*d_Bv!AA12*(1-EXP(-RadSpec!AZ12*t_b)))/(P*RadSpec!AZ12))),".")</f>
        <v>10.72392322870531</v>
      </c>
      <c r="AB12" s="108">
        <f>IFERROR(IF(d_Bv!C12=0,".",((Ir*F*MLF_apple*(1-EXP(-RadSpec!AZ12*t_b)))/(P*RadSpec!AZ12))),".")</f>
        <v>5.7194257219761657E-3</v>
      </c>
      <c r="AC12" s="108">
        <f>IFERROR(IF(d_Bv!D12=0,".",((Ir*F*MLF_asparagus*(1-EXP(-RadSpec!AZ12*t_b)))/(P*RadSpec!AZ12))),".")</f>
        <v>2.8239664502257315E-3</v>
      </c>
      <c r="AD12" s="108">
        <f>IFERROR(IF(d_Bv!E12=0,".",((Ir*F*MLF_beet*(1-EXP(-RadSpec!AZ12*t_b)))/(P*RadSpec!AZ12))),".")</f>
        <v>4.9330046852044422E-3</v>
      </c>
      <c r="AE12" s="108">
        <f>IFERROR(IF(d_Bv!F12=0,".",((Ir*F*MLF_berries*(1-EXP(-RadSpec!AZ12*t_b)))/(P*RadSpec!AZ12))),".")</f>
        <v>5.9339041865502712E-3</v>
      </c>
      <c r="AF12" s="108">
        <f>IFERROR(IF(d_Bv!G12=0,".",((Ir*F*MLF_broccoli*(1-EXP(-RadSpec!AZ12*t_b)))/(P*RadSpec!AZ12))),".")</f>
        <v>3.6103874869974538E-2</v>
      </c>
      <c r="AG12" s="108">
        <f>IFERROR(IF(d_Bv!H12=0,".",((Ir*F*MLF_cabbage*(1-EXP(-RadSpec!AZ12*t_b)))/(P*RadSpec!AZ12))),".")</f>
        <v>3.7533731300468582E-3</v>
      </c>
      <c r="AH12" s="108">
        <f>IFERROR(IF(d_Bv!I12=0,".",((Ir*F*MLF_carrot*(1-EXP(-RadSpec!AZ12*t_b)))/(P*RadSpec!AZ12))),".")</f>
        <v>3.4674018439480501E-3</v>
      </c>
      <c r="AI12" s="108">
        <f>IFERROR(IF(d_Bv!J12=0,".",((Ir*F*MLF_citrus*(1-EXP(-RadSpec!AZ12*t_b)))/(P*RadSpec!AZ12))),".")</f>
        <v>5.6121864896891112E-3</v>
      </c>
      <c r="AJ12" s="108">
        <f>IFERROR(IF(d_Bv!K12=0,".",((Ir*F*MLF_corn*(1-EXP(-RadSpec!AZ12*t_b)))/(P*RadSpec!AZ12))),".")</f>
        <v>5.1832295605408994E-3</v>
      </c>
      <c r="AK12" s="108">
        <f>IFERROR(IF(d_Bv!L12=0,".",((Ir*F*MLF_cucumber*(1-EXP(-RadSpec!AZ12*t_b)))/(P*RadSpec!AZ12))),".")</f>
        <v>1.4298564304940414E-3</v>
      </c>
      <c r="AL12" s="108">
        <f>IFERROR(IF(d_Bv!M12=0,".",((Ir*F*MLF_lettuce*(1-EXP(-RadSpec!AZ12*t_b)))/(P*RadSpec!AZ12))),".")</f>
        <v>0.48257654529173893</v>
      </c>
      <c r="AM12" s="108">
        <f>IFERROR(IF(d_Bv!N12=0,".",((Ir*F*MLF_lima_bean*(1-EXP(-RadSpec!AZ12*t_b)))/(P*RadSpec!AZ12))),".")</f>
        <v>0.13690875321980447</v>
      </c>
      <c r="AN12" s="108">
        <f>IFERROR(IF(d_Bv!O12=0,".",((Ir*F*MLF_okra*(1-EXP(-RadSpec!AZ12*t_b)))/(P*RadSpec!AZ12))),".")</f>
        <v>2.8597128609880828E-3</v>
      </c>
      <c r="AO12" s="108">
        <f>IFERROR(IF(d_Bv!P12=0,".",((Ir*F*MLF_onion*(1-EXP(-RadSpec!AZ12*t_b)))/(P*RadSpec!AZ12))),".")</f>
        <v>3.4674018439480501E-3</v>
      </c>
      <c r="AP12" s="108">
        <f>IFERROR(IF(d_Bv!Q12=0,".",((Ir*F*MLF_peach*(1-EXP(-RadSpec!AZ12*t_b)))/(P*RadSpec!AZ12))),".")</f>
        <v>5.361961614352654E-3</v>
      </c>
      <c r="AQ12" s="108">
        <f>IFERROR(IF(d_Bv!R12=0,".",((Ir*F*MLF_pear*(1-EXP(-RadSpec!AZ12*t_b)))/(P*RadSpec!AZ12))),".")</f>
        <v>5.7194257219761657E-3</v>
      </c>
      <c r="AR12" s="108">
        <f>IFERROR(IF(d_Bv!S12=0,".",((Ir*F*MLF_peas*(1-EXP(-RadSpec!AZ12*t_b)))/(P*RadSpec!AZ12))),".")</f>
        <v>6.3628611156984829E-3</v>
      </c>
      <c r="AS12" s="108">
        <f>IFERROR(IF(d_Bv!T12=0,".",((Ir*F*MLF_peppers*(1-EXP(-RadSpec!AZ12*t_b)))/(P*RadSpec!AZ12))),".")</f>
        <v>7.93570318924193E-2</v>
      </c>
      <c r="AT12" s="108">
        <f>IFERROR(IF(d_Bv!U12=0,".",((Ir*F*MLF_potato*(1-EXP(-RadSpec!AZ12*t_b)))/(P*RadSpec!AZ12))),".")</f>
        <v>7.5067462600937164E-3</v>
      </c>
      <c r="AU12" s="108">
        <f>IFERROR(IF(d_Bv!V12=0,".",((Ir*F*MLF_pumpkin*(1-EXP(-RadSpec!AZ12*t_b)))/(P*RadSpec!AZ12))),".")</f>
        <v>2.0732918242163598E-3</v>
      </c>
      <c r="AV12" s="108">
        <f>IFERROR(IF(d_Bv!W12=0,".",((Ir*F*MLF_snap_bean*(1-EXP(-RadSpec!AZ12*t_b)))/(P*RadSpec!AZ12))),".")</f>
        <v>0.17873205381175516</v>
      </c>
      <c r="AW12" s="108">
        <f>IFERROR(IF(d_Bv!X12=0,".",((Ir*F*MLF_strawberry*(1-EXP(-RadSpec!AZ12*t_b)))/(P*RadSpec!AZ12))),".")</f>
        <v>2.8597128609880828E-3</v>
      </c>
      <c r="AX12" s="108">
        <f>IFERROR(IF(d_Bv!Y12=0,".",((Ir*F*MLF_tomato*(1-EXP(-RadSpec!AZ12*t_b)))/(P*RadSpec!AZ12))),".")</f>
        <v>6.327114704936132E-2</v>
      </c>
      <c r="AY12" s="108">
        <f>IFERROR(IF(d_Bv!Z12=0,".",((Ir*F*MLF_rice*(1-EXP(-RadSpec!AZ12*t_b)))/(P*RadSpec!AZ12))),".")</f>
        <v>8.9366026905877582</v>
      </c>
      <c r="AZ12" s="108">
        <f>IFERROR(IF(d_Bv!AA12=0,".",((Ir*F*MLF_cereal*(1-EXP(-RadSpec!AZ12*t_b)))/(P*RadSpec!AZ12))),".")</f>
        <v>8.9366026905877582</v>
      </c>
      <c r="BA12" s="108">
        <f>IFERROR(IF(d_Bv!C12=0,".",((Ir*F*I_f*T*(1-EXP(-RadSpec!BA12*t_v)))/(Y_v*RadSpec!BA12))),".")</f>
        <v>3.6424203206347228</v>
      </c>
      <c r="BB12" s="108">
        <f>IFERROR(IF(d_Bv!D12=0,".",((Ir*F*I_f*T*(1-EXP(-RadSpec!BA12*t_v)))/(Y_v*RadSpec!BA12))),".")</f>
        <v>3.6424203206347228</v>
      </c>
      <c r="BC12" s="108">
        <f>IFERROR(IF(d_Bv!E12=0,".",((Ir*F*I_f*T*(1-EXP(-RadSpec!BA12*t_v)))/(Y_v*RadSpec!BA12))),".")</f>
        <v>3.6424203206347228</v>
      </c>
      <c r="BD12" s="108">
        <f>IFERROR(IF(d_Bv!F12=0,".",((Ir*F*I_f*T*(1-EXP(-RadSpec!BA12*t_v)))/(Y_v*RadSpec!BA12))),".")</f>
        <v>3.6424203206347228</v>
      </c>
      <c r="BE12" s="108">
        <f>IFERROR(IF(d_Bv!G12=0,".",((Ir*F*I_f*T*(1-EXP(-RadSpec!BA12*t_v)))/(Y_v*RadSpec!BA12))),".")</f>
        <v>3.6424203206347228</v>
      </c>
      <c r="BF12" s="108">
        <f>IFERROR(IF(d_Bv!H12=0,".",((Ir*F*I_f*T*(1-EXP(-RadSpec!BA12*t_v)))/(Y_v*RadSpec!BA12))),".")</f>
        <v>3.6424203206347228</v>
      </c>
      <c r="BG12" s="108">
        <f>IFERROR(IF(d_Bv!I12=0,".",((Ir*F*I_f*T*(1-EXP(-RadSpec!BA12*t_v)))/(Y_v*RadSpec!BA12))),".")</f>
        <v>3.6424203206347228</v>
      </c>
      <c r="BH12" s="108">
        <f>IFERROR(IF(d_Bv!J12=0,".",((Ir*F*I_f*T*(1-EXP(-RadSpec!BA12*t_v)))/(Y_v*RadSpec!BA12))),".")</f>
        <v>3.6424203206347228</v>
      </c>
      <c r="BI12" s="108">
        <f>IFERROR(IF(d_Bv!K12=0,".",((Ir*F*I_f*T*(1-EXP(-RadSpec!BA12*t_v)))/(Y_v*RadSpec!BA12))),".")</f>
        <v>3.6424203206347228</v>
      </c>
      <c r="BJ12" s="108">
        <f>IFERROR(IF(d_Bv!L12=0,".",((Ir*F*I_f*T*(1-EXP(-RadSpec!BA12*t_v)))/(Y_v*RadSpec!BA12))),".")</f>
        <v>3.6424203206347228</v>
      </c>
      <c r="BK12" s="108">
        <f>IFERROR(IF(d_Bv!M12=0,".",((Ir*F*I_f*T*(1-EXP(-RadSpec!BA12*t_v)))/(Y_v*RadSpec!BA12))),".")</f>
        <v>3.6424203206347228</v>
      </c>
      <c r="BL12" s="108">
        <f>IFERROR(IF(d_Bv!N12=0,".",((Ir*F*I_f*T*(1-EXP(-RadSpec!BA12*t_v)))/(Y_v*RadSpec!BA12))),".")</f>
        <v>3.6424203206347228</v>
      </c>
      <c r="BM12" s="108">
        <f>IFERROR(IF(d_Bv!O12=0,".",((Ir*F*I_f*T*(1-EXP(-RadSpec!BA12*t_v)))/(Y_v*RadSpec!BA12))),".")</f>
        <v>3.6424203206347228</v>
      </c>
      <c r="BN12" s="108">
        <f>IFERROR(IF(d_Bv!P12=0,".",((Ir*F*I_f*T*(1-EXP(-RadSpec!BA12*t_v)))/(Y_v*RadSpec!BA12))),".")</f>
        <v>3.6424203206347228</v>
      </c>
      <c r="BO12" s="108">
        <f>IFERROR(IF(d_Bv!Q12=0,".",((Ir*F*I_f*T*(1-EXP(-RadSpec!BA12*t_v)))/(Y_v*RadSpec!BA12))),".")</f>
        <v>3.6424203206347228</v>
      </c>
      <c r="BP12" s="108">
        <f>IFERROR(IF(d_Bv!R12=0,".",((Ir*F*I_f*T*(1-EXP(-RadSpec!BA12*t_v)))/(Y_v*RadSpec!BA12))),".")</f>
        <v>3.6424203206347228</v>
      </c>
      <c r="BQ12" s="108">
        <f>IFERROR(IF(d_Bv!S12=0,".",((Ir*F*I_f*T*(1-EXP(-RadSpec!BA12*t_v)))/(Y_v*RadSpec!BA12))),".")</f>
        <v>3.6424203206347228</v>
      </c>
      <c r="BR12" s="108">
        <f>IFERROR(IF(d_Bv!T12=0,".",((Ir*F*I_f*T*(1-EXP(-RadSpec!BA12*t_v)))/(Y_v*RadSpec!BA12))),".")</f>
        <v>3.6424203206347228</v>
      </c>
      <c r="BS12" s="108">
        <f>IFERROR(IF(d_Bv!U12=0,".",((Ir*F*I_f*T*(1-EXP(-RadSpec!BA12*t_v)))/(Y_v*RadSpec!BA12))),".")</f>
        <v>3.6424203206347228</v>
      </c>
      <c r="BT12" s="108">
        <f>IFERROR(IF(d_Bv!V12=0,".",((Ir*F*I_f*T*(1-EXP(-RadSpec!BA12*t_v)))/(Y_v*RadSpec!BA12))),".")</f>
        <v>3.6424203206347228</v>
      </c>
      <c r="BU12" s="108">
        <f>IFERROR(IF(d_Bv!W12=0,".",((Ir*F*I_f*T*(1-EXP(-RadSpec!BA12*t_v)))/(Y_v*RadSpec!BA12))),".")</f>
        <v>3.6424203206347228</v>
      </c>
      <c r="BV12" s="108">
        <f>IFERROR(IF(d_Bv!X12=0,".",((Ir*F*I_f*T*(1-EXP(-RadSpec!BA12*t_v)))/(Y_v*RadSpec!BA12))),".")</f>
        <v>3.6424203206347228</v>
      </c>
      <c r="BW12" s="108">
        <f>IFERROR(IF(d_Bv!Y12=0,".",((Ir*F*I_f*T*(1-EXP(-RadSpec!BA12*t_v)))/(Y_v*RadSpec!BA12))),".")</f>
        <v>3.6424203206347228</v>
      </c>
      <c r="BX12" s="108">
        <f>IFERROR(IF(d_Bv!Z12=0,".",((Ir*F*I_f*T*(1-EXP(-RadSpec!BA12*t_v)))/(Y_v*RadSpec!BA12))),".")</f>
        <v>3.6424203206347228</v>
      </c>
      <c r="BY12" s="108">
        <f>IFERROR(IF(d_Bv!AA12=0,".",((Ir*F*I_f*T*(1-EXP(-RadSpec!BA12*t_v)))/(Y_v*RadSpec!BA12))),".")</f>
        <v>3.6424203206347228</v>
      </c>
    </row>
    <row r="13" spans="1:77" x14ac:dyDescent="0.25">
      <c r="A13" s="44" t="s">
        <v>11</v>
      </c>
      <c r="B13" s="42" t="s">
        <v>1057</v>
      </c>
      <c r="C13" s="108">
        <f>IFERROR(IF(d_Bv!C13=0,".",((Ir*F*d_Bv!C13*(1-EXP(-RadSpec!AZ13*t_b)))/(P*RadSpec!AZ13))),".")</f>
        <v>1.0723923228705308E-2</v>
      </c>
      <c r="D13" s="108">
        <f>IFERROR(IF(d_Bv!D13=0,".",((Ir*F*d_Bv!D13*(1-EXP(-RadSpec!AZ13*t_b)))/(P*RadSpec!AZ13))),".")</f>
        <v>0.96515309058347787</v>
      </c>
      <c r="E13" s="108">
        <f>IFERROR(IF(d_Bv!E13=0,".",((Ir*F*d_Bv!E13*(1-EXP(-RadSpec!AZ13*t_b)))/(P*RadSpec!AZ13))),".")</f>
        <v>0.7864210367717227</v>
      </c>
      <c r="F13" s="108">
        <f>IFERROR(IF(d_Bv!F13=0,".",((Ir*F*d_Bv!F13*(1-EXP(-RadSpec!AZ13*t_b)))/(P*RadSpec!AZ13))),".")</f>
        <v>1.0723923228705308E-2</v>
      </c>
      <c r="G13" s="108">
        <f>IFERROR(IF(d_Bv!G13=0,".",((Ir*F*d_Bv!G13*(1-EXP(-RadSpec!AZ13*t_b)))/(P*RadSpec!AZ13))),".")</f>
        <v>0.6434353937223185</v>
      </c>
      <c r="H13" s="108">
        <f>IFERROR(IF(d_Bv!H13=0,".",((Ir*F*d_Bv!H13*(1-EXP(-RadSpec!AZ13*t_b)))/(P*RadSpec!AZ13))),".")</f>
        <v>0.96515309058347787</v>
      </c>
      <c r="I13" s="108">
        <f>IFERROR(IF(d_Bv!I13=0,".",((Ir*F*d_Bv!I13*(1-EXP(-RadSpec!AZ13*t_b)))/(P*RadSpec!AZ13))),".")</f>
        <v>0.7864210367717227</v>
      </c>
      <c r="J13" s="108">
        <f>IFERROR(IF(d_Bv!J13=0,".",((Ir*F*d_Bv!J13*(1-EXP(-RadSpec!AZ13*t_b)))/(P*RadSpec!AZ13))),".")</f>
        <v>1.0723923228705308E-2</v>
      </c>
      <c r="K13" s="108">
        <f>IFERROR(IF(d_Bv!K13=0,".",((Ir*F*d_Bv!K13*(1-EXP(-RadSpec!AZ13*t_b)))/(P*RadSpec!AZ13))),".")</f>
        <v>0.17158277165928493</v>
      </c>
      <c r="L13" s="108">
        <f>IFERROR(IF(d_Bv!L13=0,".",((Ir*F*d_Bv!L13*(1-EXP(-RadSpec!AZ13*t_b)))/(P*RadSpec!AZ13))),".")</f>
        <v>0.6434353937223185</v>
      </c>
      <c r="M13" s="108">
        <f>IFERROR(IF(d_Bv!M13=0,".",((Ir*F*d_Bv!M13*(1-EXP(-RadSpec!AZ13*t_b)))/(P*RadSpec!AZ13))),".")</f>
        <v>0.96515309058347787</v>
      </c>
      <c r="N13" s="108">
        <f>IFERROR(IF(d_Bv!N13=0,".",((Ir*F*d_Bv!N13*(1-EXP(-RadSpec!AZ13*t_b)))/(P*RadSpec!AZ13))),".")</f>
        <v>0.60768898295996754</v>
      </c>
      <c r="O13" s="108">
        <f>IFERROR(IF(d_Bv!O13=0,".",((Ir*F*d_Bv!O13*(1-EXP(-RadSpec!AZ13*t_b)))/(P*RadSpec!AZ13))),".")</f>
        <v>0.6434353937223185</v>
      </c>
      <c r="P13" s="108">
        <f>IFERROR(IF(d_Bv!P13=0,".",((Ir*F*d_Bv!P13*(1-EXP(-RadSpec!AZ13*t_b)))/(P*RadSpec!AZ13))),".")</f>
        <v>0.7864210367717227</v>
      </c>
      <c r="Q13" s="108">
        <f>IFERROR(IF(d_Bv!Q13=0,".",((Ir*F*d_Bv!Q13*(1-EXP(-RadSpec!AZ13*t_b)))/(P*RadSpec!AZ13))),".")</f>
        <v>1.0723923228705308E-2</v>
      </c>
      <c r="R13" s="108">
        <f>IFERROR(IF(d_Bv!R13=0,".",((Ir*F*d_Bv!R13*(1-EXP(-RadSpec!AZ13*t_b)))/(P*RadSpec!AZ13))),".")</f>
        <v>1.0723923228705308E-2</v>
      </c>
      <c r="S13" s="108">
        <f>IFERROR(IF(d_Bv!S13=0,".",((Ir*F*d_Bv!S13*(1-EXP(-RadSpec!AZ13*t_b)))/(P*RadSpec!AZ13))),".")</f>
        <v>0.60768898295996754</v>
      </c>
      <c r="T13" s="202">
        <f>IFERROR(IF(d_Bv!T13=0,".",((Ir*F*d_Bv!T13*(1-EXP(-RadSpec!AZ13*t_b)))/(P*RadSpec!AZ13))),".")</f>
        <v>0.6434353937223185</v>
      </c>
      <c r="U13" s="108">
        <f>IFERROR(IF(d_Bv!U13=0,".",((Ir*F*d_Bv!U13*(1-EXP(-RadSpec!AZ13*t_b)))/(P*RadSpec!AZ13))),".")</f>
        <v>0.20375454134540089</v>
      </c>
      <c r="V13" s="108">
        <f>IFERROR(IF(d_Bv!V13=0,".",((Ir*F*d_Bv!V13*(1-EXP(-RadSpec!AZ13*t_b)))/(P*RadSpec!AZ13))),".")</f>
        <v>0.6434353937223185</v>
      </c>
      <c r="W13" s="108">
        <f>IFERROR(IF(d_Bv!W13=0,".",((Ir*F*d_Bv!W13*(1-EXP(-RadSpec!AZ13*t_b)))/(P*RadSpec!AZ13))),".")</f>
        <v>0.60768898295996754</v>
      </c>
      <c r="X13" s="108">
        <f>IFERROR(IF(d_Bv!X13=0,".",((Ir*F*d_Bv!X13*(1-EXP(-RadSpec!AZ13*t_b)))/(P*RadSpec!AZ13))),".")</f>
        <v>1.0723923228705308E-2</v>
      </c>
      <c r="Y13" s="108">
        <f>IFERROR(IF(d_Bv!Y13=0,".",((Ir*F*d_Bv!Y13*(1-EXP(-RadSpec!AZ13*t_b)))/(P*RadSpec!AZ13))),".")</f>
        <v>0.6434353937223185</v>
      </c>
      <c r="Z13" s="108">
        <f>IFERROR(IF(d_Bv!Z13=0,".",((Ir*F*d_Bv!Z13*(1-EXP(-RadSpec!AZ13*t_b)))/(P*RadSpec!AZ13))),".")</f>
        <v>0.71492821524702066</v>
      </c>
      <c r="AA13" s="108">
        <f>IFERROR(IF(d_Bv!AA13=0,".",((Ir*F*d_Bv!AA13*(1-EXP(-RadSpec!AZ13*t_b)))/(P*RadSpec!AZ13))),".")</f>
        <v>0.10366459121081799</v>
      </c>
      <c r="AB13" s="108">
        <f>IFERROR(IF(d_Bv!C13=0,".",((Ir*F*MLF_apple*(1-EXP(-RadSpec!AZ13*t_b)))/(P*RadSpec!AZ13))),".")</f>
        <v>5.7194257219761657E-3</v>
      </c>
      <c r="AC13" s="108">
        <f>IFERROR(IF(d_Bv!D13=0,".",((Ir*F*MLF_asparagus*(1-EXP(-RadSpec!AZ13*t_b)))/(P*RadSpec!AZ13))),".")</f>
        <v>2.8239664502257315E-3</v>
      </c>
      <c r="AD13" s="108">
        <f>IFERROR(IF(d_Bv!E13=0,".",((Ir*F*MLF_beet*(1-EXP(-RadSpec!AZ13*t_b)))/(P*RadSpec!AZ13))),".")</f>
        <v>4.9330046852044422E-3</v>
      </c>
      <c r="AE13" s="108">
        <f>IFERROR(IF(d_Bv!F13=0,".",((Ir*F*MLF_berries*(1-EXP(-RadSpec!AZ13*t_b)))/(P*RadSpec!AZ13))),".")</f>
        <v>5.9339041865502712E-3</v>
      </c>
      <c r="AF13" s="108">
        <f>IFERROR(IF(d_Bv!G13=0,".",((Ir*F*MLF_broccoli*(1-EXP(-RadSpec!AZ13*t_b)))/(P*RadSpec!AZ13))),".")</f>
        <v>3.6103874869974538E-2</v>
      </c>
      <c r="AG13" s="108">
        <f>IFERROR(IF(d_Bv!H13=0,".",((Ir*F*MLF_cabbage*(1-EXP(-RadSpec!AZ13*t_b)))/(P*RadSpec!AZ13))),".")</f>
        <v>3.7533731300468582E-3</v>
      </c>
      <c r="AH13" s="108">
        <f>IFERROR(IF(d_Bv!I13=0,".",((Ir*F*MLF_carrot*(1-EXP(-RadSpec!AZ13*t_b)))/(P*RadSpec!AZ13))),".")</f>
        <v>3.4674018439480501E-3</v>
      </c>
      <c r="AI13" s="108">
        <f>IFERROR(IF(d_Bv!J13=0,".",((Ir*F*MLF_citrus*(1-EXP(-RadSpec!AZ13*t_b)))/(P*RadSpec!AZ13))),".")</f>
        <v>5.6121864896891112E-3</v>
      </c>
      <c r="AJ13" s="108">
        <f>IFERROR(IF(d_Bv!K13=0,".",((Ir*F*MLF_corn*(1-EXP(-RadSpec!AZ13*t_b)))/(P*RadSpec!AZ13))),".")</f>
        <v>5.1832295605408994E-3</v>
      </c>
      <c r="AK13" s="108">
        <f>IFERROR(IF(d_Bv!L13=0,".",((Ir*F*MLF_cucumber*(1-EXP(-RadSpec!AZ13*t_b)))/(P*RadSpec!AZ13))),".")</f>
        <v>1.4298564304940414E-3</v>
      </c>
      <c r="AL13" s="108">
        <f>IFERROR(IF(d_Bv!M13=0,".",((Ir*F*MLF_lettuce*(1-EXP(-RadSpec!AZ13*t_b)))/(P*RadSpec!AZ13))),".")</f>
        <v>0.48257654529173893</v>
      </c>
      <c r="AM13" s="108">
        <f>IFERROR(IF(d_Bv!N13=0,".",((Ir*F*MLF_lima_bean*(1-EXP(-RadSpec!AZ13*t_b)))/(P*RadSpec!AZ13))),".")</f>
        <v>0.13690875321980447</v>
      </c>
      <c r="AN13" s="108">
        <f>IFERROR(IF(d_Bv!O13=0,".",((Ir*F*MLF_okra*(1-EXP(-RadSpec!AZ13*t_b)))/(P*RadSpec!AZ13))),".")</f>
        <v>2.8597128609880828E-3</v>
      </c>
      <c r="AO13" s="108">
        <f>IFERROR(IF(d_Bv!P13=0,".",((Ir*F*MLF_onion*(1-EXP(-RadSpec!AZ13*t_b)))/(P*RadSpec!AZ13))),".")</f>
        <v>3.4674018439480501E-3</v>
      </c>
      <c r="AP13" s="108">
        <f>IFERROR(IF(d_Bv!Q13=0,".",((Ir*F*MLF_peach*(1-EXP(-RadSpec!AZ13*t_b)))/(P*RadSpec!AZ13))),".")</f>
        <v>5.361961614352654E-3</v>
      </c>
      <c r="AQ13" s="108">
        <f>IFERROR(IF(d_Bv!R13=0,".",((Ir*F*MLF_pear*(1-EXP(-RadSpec!AZ13*t_b)))/(P*RadSpec!AZ13))),".")</f>
        <v>5.7194257219761657E-3</v>
      </c>
      <c r="AR13" s="108">
        <f>IFERROR(IF(d_Bv!S13=0,".",((Ir*F*MLF_peas*(1-EXP(-RadSpec!AZ13*t_b)))/(P*RadSpec!AZ13))),".")</f>
        <v>6.3628611156984829E-3</v>
      </c>
      <c r="AS13" s="108">
        <f>IFERROR(IF(d_Bv!T13=0,".",((Ir*F*MLF_peppers*(1-EXP(-RadSpec!AZ13*t_b)))/(P*RadSpec!AZ13))),".")</f>
        <v>7.93570318924193E-2</v>
      </c>
      <c r="AT13" s="108">
        <f>IFERROR(IF(d_Bv!U13=0,".",((Ir*F*MLF_potato*(1-EXP(-RadSpec!AZ13*t_b)))/(P*RadSpec!AZ13))),".")</f>
        <v>7.5067462600937164E-3</v>
      </c>
      <c r="AU13" s="108">
        <f>IFERROR(IF(d_Bv!V13=0,".",((Ir*F*MLF_pumpkin*(1-EXP(-RadSpec!AZ13*t_b)))/(P*RadSpec!AZ13))),".")</f>
        <v>2.0732918242163598E-3</v>
      </c>
      <c r="AV13" s="108">
        <f>IFERROR(IF(d_Bv!W13=0,".",((Ir*F*MLF_snap_bean*(1-EXP(-RadSpec!AZ13*t_b)))/(P*RadSpec!AZ13))),".")</f>
        <v>0.17873205381175516</v>
      </c>
      <c r="AW13" s="108">
        <f>IFERROR(IF(d_Bv!X13=0,".",((Ir*F*MLF_strawberry*(1-EXP(-RadSpec!AZ13*t_b)))/(P*RadSpec!AZ13))),".")</f>
        <v>2.8597128609880828E-3</v>
      </c>
      <c r="AX13" s="108">
        <f>IFERROR(IF(d_Bv!Y13=0,".",((Ir*F*MLF_tomato*(1-EXP(-RadSpec!AZ13*t_b)))/(P*RadSpec!AZ13))),".")</f>
        <v>6.327114704936132E-2</v>
      </c>
      <c r="AY13" s="108">
        <f>IFERROR(IF(d_Bv!Z13=0,".",((Ir*F*MLF_rice*(1-EXP(-RadSpec!AZ13*t_b)))/(P*RadSpec!AZ13))),".")</f>
        <v>8.9366026905877582</v>
      </c>
      <c r="AZ13" s="108">
        <f>IFERROR(IF(d_Bv!AA13=0,".",((Ir*F*MLF_cereal*(1-EXP(-RadSpec!AZ13*t_b)))/(P*RadSpec!AZ13))),".")</f>
        <v>8.9366026905877582</v>
      </c>
      <c r="BA13" s="108">
        <f>IFERROR(IF(d_Bv!C13=0,".",((Ir*F*I_f*T*(1-EXP(-RadSpec!BA13*t_v)))/(Y_v*RadSpec!BA13))),".")</f>
        <v>3.6424203206347228</v>
      </c>
      <c r="BB13" s="108">
        <f>IFERROR(IF(d_Bv!D13=0,".",((Ir*F*I_f*T*(1-EXP(-RadSpec!BA13*t_v)))/(Y_v*RadSpec!BA13))),".")</f>
        <v>3.6424203206347228</v>
      </c>
      <c r="BC13" s="108">
        <f>IFERROR(IF(d_Bv!E13=0,".",((Ir*F*I_f*T*(1-EXP(-RadSpec!BA13*t_v)))/(Y_v*RadSpec!BA13))),".")</f>
        <v>3.6424203206347228</v>
      </c>
      <c r="BD13" s="108">
        <f>IFERROR(IF(d_Bv!F13=0,".",((Ir*F*I_f*T*(1-EXP(-RadSpec!BA13*t_v)))/(Y_v*RadSpec!BA13))),".")</f>
        <v>3.6424203206347228</v>
      </c>
      <c r="BE13" s="108">
        <f>IFERROR(IF(d_Bv!G13=0,".",((Ir*F*I_f*T*(1-EXP(-RadSpec!BA13*t_v)))/(Y_v*RadSpec!BA13))),".")</f>
        <v>3.6424203206347228</v>
      </c>
      <c r="BF13" s="108">
        <f>IFERROR(IF(d_Bv!H13=0,".",((Ir*F*I_f*T*(1-EXP(-RadSpec!BA13*t_v)))/(Y_v*RadSpec!BA13))),".")</f>
        <v>3.6424203206347228</v>
      </c>
      <c r="BG13" s="108">
        <f>IFERROR(IF(d_Bv!I13=0,".",((Ir*F*I_f*T*(1-EXP(-RadSpec!BA13*t_v)))/(Y_v*RadSpec!BA13))),".")</f>
        <v>3.6424203206347228</v>
      </c>
      <c r="BH13" s="108">
        <f>IFERROR(IF(d_Bv!J13=0,".",((Ir*F*I_f*T*(1-EXP(-RadSpec!BA13*t_v)))/(Y_v*RadSpec!BA13))),".")</f>
        <v>3.6424203206347228</v>
      </c>
      <c r="BI13" s="108">
        <f>IFERROR(IF(d_Bv!K13=0,".",((Ir*F*I_f*T*(1-EXP(-RadSpec!BA13*t_v)))/(Y_v*RadSpec!BA13))),".")</f>
        <v>3.6424203206347228</v>
      </c>
      <c r="BJ13" s="108">
        <f>IFERROR(IF(d_Bv!L13=0,".",((Ir*F*I_f*T*(1-EXP(-RadSpec!BA13*t_v)))/(Y_v*RadSpec!BA13))),".")</f>
        <v>3.6424203206347228</v>
      </c>
      <c r="BK13" s="108">
        <f>IFERROR(IF(d_Bv!M13=0,".",((Ir*F*I_f*T*(1-EXP(-RadSpec!BA13*t_v)))/(Y_v*RadSpec!BA13))),".")</f>
        <v>3.6424203206347228</v>
      </c>
      <c r="BL13" s="108">
        <f>IFERROR(IF(d_Bv!N13=0,".",((Ir*F*I_f*T*(1-EXP(-RadSpec!BA13*t_v)))/(Y_v*RadSpec!BA13))),".")</f>
        <v>3.6424203206347228</v>
      </c>
      <c r="BM13" s="108">
        <f>IFERROR(IF(d_Bv!O13=0,".",((Ir*F*I_f*T*(1-EXP(-RadSpec!BA13*t_v)))/(Y_v*RadSpec!BA13))),".")</f>
        <v>3.6424203206347228</v>
      </c>
      <c r="BN13" s="108">
        <f>IFERROR(IF(d_Bv!P13=0,".",((Ir*F*I_f*T*(1-EXP(-RadSpec!BA13*t_v)))/(Y_v*RadSpec!BA13))),".")</f>
        <v>3.6424203206347228</v>
      </c>
      <c r="BO13" s="108">
        <f>IFERROR(IF(d_Bv!Q13=0,".",((Ir*F*I_f*T*(1-EXP(-RadSpec!BA13*t_v)))/(Y_v*RadSpec!BA13))),".")</f>
        <v>3.6424203206347228</v>
      </c>
      <c r="BP13" s="108">
        <f>IFERROR(IF(d_Bv!R13=0,".",((Ir*F*I_f*T*(1-EXP(-RadSpec!BA13*t_v)))/(Y_v*RadSpec!BA13))),".")</f>
        <v>3.6424203206347228</v>
      </c>
      <c r="BQ13" s="108">
        <f>IFERROR(IF(d_Bv!S13=0,".",((Ir*F*I_f*T*(1-EXP(-RadSpec!BA13*t_v)))/(Y_v*RadSpec!BA13))),".")</f>
        <v>3.6424203206347228</v>
      </c>
      <c r="BR13" s="108">
        <f>IFERROR(IF(d_Bv!T13=0,".",((Ir*F*I_f*T*(1-EXP(-RadSpec!BA13*t_v)))/(Y_v*RadSpec!BA13))),".")</f>
        <v>3.6424203206347228</v>
      </c>
      <c r="BS13" s="108">
        <f>IFERROR(IF(d_Bv!U13=0,".",((Ir*F*I_f*T*(1-EXP(-RadSpec!BA13*t_v)))/(Y_v*RadSpec!BA13))),".")</f>
        <v>3.6424203206347228</v>
      </c>
      <c r="BT13" s="108">
        <f>IFERROR(IF(d_Bv!V13=0,".",((Ir*F*I_f*T*(1-EXP(-RadSpec!BA13*t_v)))/(Y_v*RadSpec!BA13))),".")</f>
        <v>3.6424203206347228</v>
      </c>
      <c r="BU13" s="108">
        <f>IFERROR(IF(d_Bv!W13=0,".",((Ir*F*I_f*T*(1-EXP(-RadSpec!BA13*t_v)))/(Y_v*RadSpec!BA13))),".")</f>
        <v>3.6424203206347228</v>
      </c>
      <c r="BV13" s="108">
        <f>IFERROR(IF(d_Bv!X13=0,".",((Ir*F*I_f*T*(1-EXP(-RadSpec!BA13*t_v)))/(Y_v*RadSpec!BA13))),".")</f>
        <v>3.6424203206347228</v>
      </c>
      <c r="BW13" s="108">
        <f>IFERROR(IF(d_Bv!Y13=0,".",((Ir*F*I_f*T*(1-EXP(-RadSpec!BA13*t_v)))/(Y_v*RadSpec!BA13))),".")</f>
        <v>3.6424203206347228</v>
      </c>
      <c r="BX13" s="108">
        <f>IFERROR(IF(d_Bv!Z13=0,".",((Ir*F*I_f*T*(1-EXP(-RadSpec!BA13*t_v)))/(Y_v*RadSpec!BA13))),".")</f>
        <v>3.6424203206347228</v>
      </c>
      <c r="BY13" s="108">
        <f>IFERROR(IF(d_Bv!AA13=0,".",((Ir*F*I_f*T*(1-EXP(-RadSpec!BA13*t_v)))/(Y_v*RadSpec!BA13))),".")</f>
        <v>3.6424203206347228</v>
      </c>
    </row>
    <row r="14" spans="1:77" x14ac:dyDescent="0.25">
      <c r="A14" s="44" t="s">
        <v>12</v>
      </c>
      <c r="B14" s="42" t="s">
        <v>1057</v>
      </c>
      <c r="C14" s="108">
        <f>IFERROR(IF(d_Bv!C14=0,".",((Ir*F*d_Bv!C14*(1-EXP(-RadSpec!AZ14*t_b)))/(P*RadSpec!AZ14))),".")</f>
        <v>0.35746410762351033</v>
      </c>
      <c r="D14" s="108">
        <f>IFERROR(IF(d_Bv!D14=0,".",((Ir*F*d_Bv!D14*(1-EXP(-RadSpec!AZ14*t_b)))/(P*RadSpec!AZ14))),".")</f>
        <v>0.35746410762351033</v>
      </c>
      <c r="E14" s="108">
        <f>IFERROR(IF(d_Bv!E14=0,".",((Ir*F*d_Bv!E14*(1-EXP(-RadSpec!AZ14*t_b)))/(P*RadSpec!AZ14))),".")</f>
        <v>0.35746410762351033</v>
      </c>
      <c r="F14" s="108">
        <f>IFERROR(IF(d_Bv!F14=0,".",((Ir*F*d_Bv!F14*(1-EXP(-RadSpec!AZ14*t_b)))/(P*RadSpec!AZ14))),".")</f>
        <v>0.35746410762351033</v>
      </c>
      <c r="G14" s="108">
        <f>IFERROR(IF(d_Bv!G14=0,".",((Ir*F*d_Bv!G14*(1-EXP(-RadSpec!AZ14*t_b)))/(P*RadSpec!AZ14))),".")</f>
        <v>0.35746410762351033</v>
      </c>
      <c r="H14" s="108">
        <f>IFERROR(IF(d_Bv!H14=0,".",((Ir*F*d_Bv!H14*(1-EXP(-RadSpec!AZ14*t_b)))/(P*RadSpec!AZ14))),".")</f>
        <v>0.35746410762351033</v>
      </c>
      <c r="I14" s="108">
        <f>IFERROR(IF(d_Bv!I14=0,".",((Ir*F*d_Bv!I14*(1-EXP(-RadSpec!AZ14*t_b)))/(P*RadSpec!AZ14))),".")</f>
        <v>0.35746410762351033</v>
      </c>
      <c r="J14" s="108">
        <f>IFERROR(IF(d_Bv!J14=0,".",((Ir*F*d_Bv!J14*(1-EXP(-RadSpec!AZ14*t_b)))/(P*RadSpec!AZ14))),".")</f>
        <v>0.35746410762351033</v>
      </c>
      <c r="K14" s="108">
        <f>IFERROR(IF(d_Bv!K14=0,".",((Ir*F*d_Bv!K14*(1-EXP(-RadSpec!AZ14*t_b)))/(P*RadSpec!AZ14))),".")</f>
        <v>0.35746410762351033</v>
      </c>
      <c r="L14" s="108">
        <f>IFERROR(IF(d_Bv!L14=0,".",((Ir*F*d_Bv!L14*(1-EXP(-RadSpec!AZ14*t_b)))/(P*RadSpec!AZ14))),".")</f>
        <v>0.35746410762351033</v>
      </c>
      <c r="M14" s="108">
        <f>IFERROR(IF(d_Bv!M14=0,".",((Ir*F*d_Bv!M14*(1-EXP(-RadSpec!AZ14*t_b)))/(P*RadSpec!AZ14))),".")</f>
        <v>0.35746410762351033</v>
      </c>
      <c r="N14" s="108">
        <f>IFERROR(IF(d_Bv!N14=0,".",((Ir*F*d_Bv!N14*(1-EXP(-RadSpec!AZ14*t_b)))/(P*RadSpec!AZ14))),".")</f>
        <v>0.35746410762351033</v>
      </c>
      <c r="O14" s="108">
        <f>IFERROR(IF(d_Bv!O14=0,".",((Ir*F*d_Bv!O14*(1-EXP(-RadSpec!AZ14*t_b)))/(P*RadSpec!AZ14))),".")</f>
        <v>0.35746410762351033</v>
      </c>
      <c r="P14" s="108">
        <f>IFERROR(IF(d_Bv!P14=0,".",((Ir*F*d_Bv!P14*(1-EXP(-RadSpec!AZ14*t_b)))/(P*RadSpec!AZ14))),".")</f>
        <v>0.35746410762351033</v>
      </c>
      <c r="Q14" s="108">
        <f>IFERROR(IF(d_Bv!Q14=0,".",((Ir*F*d_Bv!Q14*(1-EXP(-RadSpec!AZ14*t_b)))/(P*RadSpec!AZ14))),".")</f>
        <v>0.35746410762351033</v>
      </c>
      <c r="R14" s="108">
        <f>IFERROR(IF(d_Bv!R14=0,".",((Ir*F*d_Bv!R14*(1-EXP(-RadSpec!AZ14*t_b)))/(P*RadSpec!AZ14))),".")</f>
        <v>0.35746410762351033</v>
      </c>
      <c r="S14" s="108">
        <f>IFERROR(IF(d_Bv!S14=0,".",((Ir*F*d_Bv!S14*(1-EXP(-RadSpec!AZ14*t_b)))/(P*RadSpec!AZ14))),".")</f>
        <v>0.35746410762351033</v>
      </c>
      <c r="T14" s="202">
        <f>IFERROR(IF(d_Bv!T14=0,".",((Ir*F*d_Bv!T14*(1-EXP(-RadSpec!AZ14*t_b)))/(P*RadSpec!AZ14))),".")</f>
        <v>0.35746410762351033</v>
      </c>
      <c r="U14" s="108">
        <f>IFERROR(IF(d_Bv!U14=0,".",((Ir*F*d_Bv!U14*(1-EXP(-RadSpec!AZ14*t_b)))/(P*RadSpec!AZ14))),".")</f>
        <v>0.35746410762351033</v>
      </c>
      <c r="V14" s="108">
        <f>IFERROR(IF(d_Bv!V14=0,".",((Ir*F*d_Bv!V14*(1-EXP(-RadSpec!AZ14*t_b)))/(P*RadSpec!AZ14))),".")</f>
        <v>0.35746410762351033</v>
      </c>
      <c r="W14" s="108">
        <f>IFERROR(IF(d_Bv!W14=0,".",((Ir*F*d_Bv!W14*(1-EXP(-RadSpec!AZ14*t_b)))/(P*RadSpec!AZ14))),".")</f>
        <v>0.35746410762351033</v>
      </c>
      <c r="X14" s="108">
        <f>IFERROR(IF(d_Bv!X14=0,".",((Ir*F*d_Bv!X14*(1-EXP(-RadSpec!AZ14*t_b)))/(P*RadSpec!AZ14))),".")</f>
        <v>0.35746410762351033</v>
      </c>
      <c r="Y14" s="108">
        <f>IFERROR(IF(d_Bv!Y14=0,".",((Ir*F*d_Bv!Y14*(1-EXP(-RadSpec!AZ14*t_b)))/(P*RadSpec!AZ14))),".")</f>
        <v>0.35746410762351033</v>
      </c>
      <c r="Z14" s="108">
        <f>IFERROR(IF(d_Bv!Z14=0,".",((Ir*F*d_Bv!Z14*(1-EXP(-RadSpec!AZ14*t_b)))/(P*RadSpec!AZ14))),".")</f>
        <v>0.35746410762351033</v>
      </c>
      <c r="AA14" s="108">
        <f>IFERROR(IF(d_Bv!AA14=0,".",((Ir*F*d_Bv!AA14*(1-EXP(-RadSpec!AZ14*t_b)))/(P*RadSpec!AZ14))),".")</f>
        <v>0.35746410762351033</v>
      </c>
      <c r="AB14" s="108">
        <f>IFERROR(IF(d_Bv!C14=0,".",((Ir*F*MLF_apple*(1-EXP(-RadSpec!AZ14*t_b)))/(P*RadSpec!AZ14))),".")</f>
        <v>5.7194257219761657E-3</v>
      </c>
      <c r="AC14" s="108">
        <f>IFERROR(IF(d_Bv!D14=0,".",((Ir*F*MLF_asparagus*(1-EXP(-RadSpec!AZ14*t_b)))/(P*RadSpec!AZ14))),".")</f>
        <v>2.8239664502257315E-3</v>
      </c>
      <c r="AD14" s="108">
        <f>IFERROR(IF(d_Bv!E14=0,".",((Ir*F*MLF_beet*(1-EXP(-RadSpec!AZ14*t_b)))/(P*RadSpec!AZ14))),".")</f>
        <v>4.9330046852044422E-3</v>
      </c>
      <c r="AE14" s="108">
        <f>IFERROR(IF(d_Bv!F14=0,".",((Ir*F*MLF_berries*(1-EXP(-RadSpec!AZ14*t_b)))/(P*RadSpec!AZ14))),".")</f>
        <v>5.9339041865502712E-3</v>
      </c>
      <c r="AF14" s="108">
        <f>IFERROR(IF(d_Bv!G14=0,".",((Ir*F*MLF_broccoli*(1-EXP(-RadSpec!AZ14*t_b)))/(P*RadSpec!AZ14))),".")</f>
        <v>3.6103874869974538E-2</v>
      </c>
      <c r="AG14" s="108">
        <f>IFERROR(IF(d_Bv!H14=0,".",((Ir*F*MLF_cabbage*(1-EXP(-RadSpec!AZ14*t_b)))/(P*RadSpec!AZ14))),".")</f>
        <v>3.7533731300468582E-3</v>
      </c>
      <c r="AH14" s="108">
        <f>IFERROR(IF(d_Bv!I14=0,".",((Ir*F*MLF_carrot*(1-EXP(-RadSpec!AZ14*t_b)))/(P*RadSpec!AZ14))),".")</f>
        <v>3.4674018439480501E-3</v>
      </c>
      <c r="AI14" s="108">
        <f>IFERROR(IF(d_Bv!J14=0,".",((Ir*F*MLF_citrus*(1-EXP(-RadSpec!AZ14*t_b)))/(P*RadSpec!AZ14))),".")</f>
        <v>5.6121864896891112E-3</v>
      </c>
      <c r="AJ14" s="108">
        <f>IFERROR(IF(d_Bv!K14=0,".",((Ir*F*MLF_corn*(1-EXP(-RadSpec!AZ14*t_b)))/(P*RadSpec!AZ14))),".")</f>
        <v>5.1832295605408994E-3</v>
      </c>
      <c r="AK14" s="108">
        <f>IFERROR(IF(d_Bv!L14=0,".",((Ir*F*MLF_cucumber*(1-EXP(-RadSpec!AZ14*t_b)))/(P*RadSpec!AZ14))),".")</f>
        <v>1.4298564304940414E-3</v>
      </c>
      <c r="AL14" s="108">
        <f>IFERROR(IF(d_Bv!M14=0,".",((Ir*F*MLF_lettuce*(1-EXP(-RadSpec!AZ14*t_b)))/(P*RadSpec!AZ14))),".")</f>
        <v>0.48257654529173893</v>
      </c>
      <c r="AM14" s="108">
        <f>IFERROR(IF(d_Bv!N14=0,".",((Ir*F*MLF_lima_bean*(1-EXP(-RadSpec!AZ14*t_b)))/(P*RadSpec!AZ14))),".")</f>
        <v>0.13690875321980447</v>
      </c>
      <c r="AN14" s="108">
        <f>IFERROR(IF(d_Bv!O14=0,".",((Ir*F*MLF_okra*(1-EXP(-RadSpec!AZ14*t_b)))/(P*RadSpec!AZ14))),".")</f>
        <v>2.8597128609880828E-3</v>
      </c>
      <c r="AO14" s="108">
        <f>IFERROR(IF(d_Bv!P14=0,".",((Ir*F*MLF_onion*(1-EXP(-RadSpec!AZ14*t_b)))/(P*RadSpec!AZ14))),".")</f>
        <v>3.4674018439480501E-3</v>
      </c>
      <c r="AP14" s="108">
        <f>IFERROR(IF(d_Bv!Q14=0,".",((Ir*F*MLF_peach*(1-EXP(-RadSpec!AZ14*t_b)))/(P*RadSpec!AZ14))),".")</f>
        <v>5.361961614352654E-3</v>
      </c>
      <c r="AQ14" s="108">
        <f>IFERROR(IF(d_Bv!R14=0,".",((Ir*F*MLF_pear*(1-EXP(-RadSpec!AZ14*t_b)))/(P*RadSpec!AZ14))),".")</f>
        <v>5.7194257219761657E-3</v>
      </c>
      <c r="AR14" s="108">
        <f>IFERROR(IF(d_Bv!S14=0,".",((Ir*F*MLF_peas*(1-EXP(-RadSpec!AZ14*t_b)))/(P*RadSpec!AZ14))),".")</f>
        <v>6.3628611156984829E-3</v>
      </c>
      <c r="AS14" s="108">
        <f>IFERROR(IF(d_Bv!T14=0,".",((Ir*F*MLF_peppers*(1-EXP(-RadSpec!AZ14*t_b)))/(P*RadSpec!AZ14))),".")</f>
        <v>7.93570318924193E-2</v>
      </c>
      <c r="AT14" s="108">
        <f>IFERROR(IF(d_Bv!U14=0,".",((Ir*F*MLF_potato*(1-EXP(-RadSpec!AZ14*t_b)))/(P*RadSpec!AZ14))),".")</f>
        <v>7.5067462600937164E-3</v>
      </c>
      <c r="AU14" s="108">
        <f>IFERROR(IF(d_Bv!V14=0,".",((Ir*F*MLF_pumpkin*(1-EXP(-RadSpec!AZ14*t_b)))/(P*RadSpec!AZ14))),".")</f>
        <v>2.0732918242163598E-3</v>
      </c>
      <c r="AV14" s="108">
        <f>IFERROR(IF(d_Bv!W14=0,".",((Ir*F*MLF_snap_bean*(1-EXP(-RadSpec!AZ14*t_b)))/(P*RadSpec!AZ14))),".")</f>
        <v>0.17873205381175516</v>
      </c>
      <c r="AW14" s="108">
        <f>IFERROR(IF(d_Bv!X14=0,".",((Ir*F*MLF_strawberry*(1-EXP(-RadSpec!AZ14*t_b)))/(P*RadSpec!AZ14))),".")</f>
        <v>2.8597128609880828E-3</v>
      </c>
      <c r="AX14" s="108">
        <f>IFERROR(IF(d_Bv!Y14=0,".",((Ir*F*MLF_tomato*(1-EXP(-RadSpec!AZ14*t_b)))/(P*RadSpec!AZ14))),".")</f>
        <v>6.327114704936132E-2</v>
      </c>
      <c r="AY14" s="108">
        <f>IFERROR(IF(d_Bv!Z14=0,".",((Ir*F*MLF_rice*(1-EXP(-RadSpec!AZ14*t_b)))/(P*RadSpec!AZ14))),".")</f>
        <v>8.9366026905877582</v>
      </c>
      <c r="AZ14" s="108">
        <f>IFERROR(IF(d_Bv!AA14=0,".",((Ir*F*MLF_cereal*(1-EXP(-RadSpec!AZ14*t_b)))/(P*RadSpec!AZ14))),".")</f>
        <v>8.9366026905877582</v>
      </c>
      <c r="BA14" s="108">
        <f>IFERROR(IF(d_Bv!C14=0,".",((Ir*F*I_f*T*(1-EXP(-RadSpec!BA14*t_v)))/(Y_v*RadSpec!BA14))),".")</f>
        <v>3.6424203206347228</v>
      </c>
      <c r="BB14" s="108">
        <f>IFERROR(IF(d_Bv!D14=0,".",((Ir*F*I_f*T*(1-EXP(-RadSpec!BA14*t_v)))/(Y_v*RadSpec!BA14))),".")</f>
        <v>3.6424203206347228</v>
      </c>
      <c r="BC14" s="108">
        <f>IFERROR(IF(d_Bv!E14=0,".",((Ir*F*I_f*T*(1-EXP(-RadSpec!BA14*t_v)))/(Y_v*RadSpec!BA14))),".")</f>
        <v>3.6424203206347228</v>
      </c>
      <c r="BD14" s="108">
        <f>IFERROR(IF(d_Bv!F14=0,".",((Ir*F*I_f*T*(1-EXP(-RadSpec!BA14*t_v)))/(Y_v*RadSpec!BA14))),".")</f>
        <v>3.6424203206347228</v>
      </c>
      <c r="BE14" s="108">
        <f>IFERROR(IF(d_Bv!G14=0,".",((Ir*F*I_f*T*(1-EXP(-RadSpec!BA14*t_v)))/(Y_v*RadSpec!BA14))),".")</f>
        <v>3.6424203206347228</v>
      </c>
      <c r="BF14" s="108">
        <f>IFERROR(IF(d_Bv!H14=0,".",((Ir*F*I_f*T*(1-EXP(-RadSpec!BA14*t_v)))/(Y_v*RadSpec!BA14))),".")</f>
        <v>3.6424203206347228</v>
      </c>
      <c r="BG14" s="108">
        <f>IFERROR(IF(d_Bv!I14=0,".",((Ir*F*I_f*T*(1-EXP(-RadSpec!BA14*t_v)))/(Y_v*RadSpec!BA14))),".")</f>
        <v>3.6424203206347228</v>
      </c>
      <c r="BH14" s="108">
        <f>IFERROR(IF(d_Bv!J14=0,".",((Ir*F*I_f*T*(1-EXP(-RadSpec!BA14*t_v)))/(Y_v*RadSpec!BA14))),".")</f>
        <v>3.6424203206347228</v>
      </c>
      <c r="BI14" s="108">
        <f>IFERROR(IF(d_Bv!K14=0,".",((Ir*F*I_f*T*(1-EXP(-RadSpec!BA14*t_v)))/(Y_v*RadSpec!BA14))),".")</f>
        <v>3.6424203206347228</v>
      </c>
      <c r="BJ14" s="108">
        <f>IFERROR(IF(d_Bv!L14=0,".",((Ir*F*I_f*T*(1-EXP(-RadSpec!BA14*t_v)))/(Y_v*RadSpec!BA14))),".")</f>
        <v>3.6424203206347228</v>
      </c>
      <c r="BK14" s="108">
        <f>IFERROR(IF(d_Bv!M14=0,".",((Ir*F*I_f*T*(1-EXP(-RadSpec!BA14*t_v)))/(Y_v*RadSpec!BA14))),".")</f>
        <v>3.6424203206347228</v>
      </c>
      <c r="BL14" s="108">
        <f>IFERROR(IF(d_Bv!N14=0,".",((Ir*F*I_f*T*(1-EXP(-RadSpec!BA14*t_v)))/(Y_v*RadSpec!BA14))),".")</f>
        <v>3.6424203206347228</v>
      </c>
      <c r="BM14" s="108">
        <f>IFERROR(IF(d_Bv!O14=0,".",((Ir*F*I_f*T*(1-EXP(-RadSpec!BA14*t_v)))/(Y_v*RadSpec!BA14))),".")</f>
        <v>3.6424203206347228</v>
      </c>
      <c r="BN14" s="108">
        <f>IFERROR(IF(d_Bv!P14=0,".",((Ir*F*I_f*T*(1-EXP(-RadSpec!BA14*t_v)))/(Y_v*RadSpec!BA14))),".")</f>
        <v>3.6424203206347228</v>
      </c>
      <c r="BO14" s="108">
        <f>IFERROR(IF(d_Bv!Q14=0,".",((Ir*F*I_f*T*(1-EXP(-RadSpec!BA14*t_v)))/(Y_v*RadSpec!BA14))),".")</f>
        <v>3.6424203206347228</v>
      </c>
      <c r="BP14" s="108">
        <f>IFERROR(IF(d_Bv!R14=0,".",((Ir*F*I_f*T*(1-EXP(-RadSpec!BA14*t_v)))/(Y_v*RadSpec!BA14))),".")</f>
        <v>3.6424203206347228</v>
      </c>
      <c r="BQ14" s="108">
        <f>IFERROR(IF(d_Bv!S14=0,".",((Ir*F*I_f*T*(1-EXP(-RadSpec!BA14*t_v)))/(Y_v*RadSpec!BA14))),".")</f>
        <v>3.6424203206347228</v>
      </c>
      <c r="BR14" s="108">
        <f>IFERROR(IF(d_Bv!T14=0,".",((Ir*F*I_f*T*(1-EXP(-RadSpec!BA14*t_v)))/(Y_v*RadSpec!BA14))),".")</f>
        <v>3.6424203206347228</v>
      </c>
      <c r="BS14" s="108">
        <f>IFERROR(IF(d_Bv!U14=0,".",((Ir*F*I_f*T*(1-EXP(-RadSpec!BA14*t_v)))/(Y_v*RadSpec!BA14))),".")</f>
        <v>3.6424203206347228</v>
      </c>
      <c r="BT14" s="108">
        <f>IFERROR(IF(d_Bv!V14=0,".",((Ir*F*I_f*T*(1-EXP(-RadSpec!BA14*t_v)))/(Y_v*RadSpec!BA14))),".")</f>
        <v>3.6424203206347228</v>
      </c>
      <c r="BU14" s="108">
        <f>IFERROR(IF(d_Bv!W14=0,".",((Ir*F*I_f*T*(1-EXP(-RadSpec!BA14*t_v)))/(Y_v*RadSpec!BA14))),".")</f>
        <v>3.6424203206347228</v>
      </c>
      <c r="BV14" s="108">
        <f>IFERROR(IF(d_Bv!X14=0,".",((Ir*F*I_f*T*(1-EXP(-RadSpec!BA14*t_v)))/(Y_v*RadSpec!BA14))),".")</f>
        <v>3.6424203206347228</v>
      </c>
      <c r="BW14" s="108">
        <f>IFERROR(IF(d_Bv!Y14=0,".",((Ir*F*I_f*T*(1-EXP(-RadSpec!BA14*t_v)))/(Y_v*RadSpec!BA14))),".")</f>
        <v>3.6424203206347228</v>
      </c>
      <c r="BX14" s="108">
        <f>IFERROR(IF(d_Bv!Z14=0,".",((Ir*F*I_f*T*(1-EXP(-RadSpec!BA14*t_v)))/(Y_v*RadSpec!BA14))),".")</f>
        <v>3.6424203206347228</v>
      </c>
      <c r="BY14" s="108">
        <f>IFERROR(IF(d_Bv!AA14=0,".",((Ir*F*I_f*T*(1-EXP(-RadSpec!BA14*t_v)))/(Y_v*RadSpec!BA14))),".")</f>
        <v>3.6424203206347228</v>
      </c>
    </row>
    <row r="15" spans="1:77" x14ac:dyDescent="0.25">
      <c r="A15" s="44" t="s">
        <v>13</v>
      </c>
      <c r="B15" s="42" t="s">
        <v>1057</v>
      </c>
      <c r="C15" s="108">
        <f>IFERROR(IF(d_Bv!C15=0,".",((Ir*F*d_Bv!C15*(1-EXP(-RadSpec!AZ15*t_b)))/(P*RadSpec!AZ15))),".")</f>
        <v>0.35746410762351033</v>
      </c>
      <c r="D15" s="108">
        <f>IFERROR(IF(d_Bv!D15=0,".",((Ir*F*d_Bv!D15*(1-EXP(-RadSpec!AZ15*t_b)))/(P*RadSpec!AZ15))),".")</f>
        <v>2.8597128609880826</v>
      </c>
      <c r="E15" s="108">
        <f>IFERROR(IF(d_Bv!E15=0,".",((Ir*F*d_Bv!E15*(1-EXP(-RadSpec!AZ15*t_b)))/(P*RadSpec!AZ15))),".")</f>
        <v>0.53619616143526549</v>
      </c>
      <c r="F15" s="108">
        <f>IFERROR(IF(d_Bv!F15=0,".",((Ir*F*d_Bv!F15*(1-EXP(-RadSpec!AZ15*t_b)))/(P*RadSpec!AZ15))),".")</f>
        <v>0.35746410762351033</v>
      </c>
      <c r="G15" s="108">
        <f>IFERROR(IF(d_Bv!G15=0,".",((Ir*F*d_Bv!G15*(1-EXP(-RadSpec!AZ15*t_b)))/(P*RadSpec!AZ15))),".")</f>
        <v>0.53619616143526549</v>
      </c>
      <c r="H15" s="108">
        <f>IFERROR(IF(d_Bv!H15=0,".",((Ir*F*d_Bv!H15*(1-EXP(-RadSpec!AZ15*t_b)))/(P*RadSpec!AZ15))),".")</f>
        <v>2.8597128609880826</v>
      </c>
      <c r="I15" s="108">
        <f>IFERROR(IF(d_Bv!I15=0,".",((Ir*F*d_Bv!I15*(1-EXP(-RadSpec!AZ15*t_b)))/(P*RadSpec!AZ15))),".")</f>
        <v>0.53619616143526549</v>
      </c>
      <c r="J15" s="108">
        <f>IFERROR(IF(d_Bv!J15=0,".",((Ir*F*d_Bv!J15*(1-EXP(-RadSpec!AZ15*t_b)))/(P*RadSpec!AZ15))),".")</f>
        <v>0.35746410762351033</v>
      </c>
      <c r="K15" s="108">
        <f>IFERROR(IF(d_Bv!K15=0,".",((Ir*F*d_Bv!K15*(1-EXP(-RadSpec!AZ15*t_b)))/(P*RadSpec!AZ15))),".")</f>
        <v>4.2895692914821232E-2</v>
      </c>
      <c r="L15" s="108">
        <f>IFERROR(IF(d_Bv!L15=0,".",((Ir*F*d_Bv!L15*(1-EXP(-RadSpec!AZ15*t_b)))/(P*RadSpec!AZ15))),".")</f>
        <v>0.53619616143526549</v>
      </c>
      <c r="M15" s="108">
        <f>IFERROR(IF(d_Bv!M15=0,".",((Ir*F*d_Bv!M15*(1-EXP(-RadSpec!AZ15*t_b)))/(P*RadSpec!AZ15))),".")</f>
        <v>2.8597128609880826</v>
      </c>
      <c r="N15" s="108">
        <f>IFERROR(IF(d_Bv!N15=0,".",((Ir*F*d_Bv!N15*(1-EXP(-RadSpec!AZ15*t_b)))/(P*RadSpec!AZ15))),".")</f>
        <v>0.18945597704046047</v>
      </c>
      <c r="O15" s="108">
        <f>IFERROR(IF(d_Bv!O15=0,".",((Ir*F*d_Bv!O15*(1-EXP(-RadSpec!AZ15*t_b)))/(P*RadSpec!AZ15))),".")</f>
        <v>0.53619616143526549</v>
      </c>
      <c r="P15" s="108">
        <f>IFERROR(IF(d_Bv!P15=0,".",((Ir*F*d_Bv!P15*(1-EXP(-RadSpec!AZ15*t_b)))/(P*RadSpec!AZ15))),".")</f>
        <v>0.53619616143526549</v>
      </c>
      <c r="Q15" s="108">
        <f>IFERROR(IF(d_Bv!Q15=0,".",((Ir*F*d_Bv!Q15*(1-EXP(-RadSpec!AZ15*t_b)))/(P*RadSpec!AZ15))),".")</f>
        <v>0.35746410762351033</v>
      </c>
      <c r="R15" s="108">
        <f>IFERROR(IF(d_Bv!R15=0,".",((Ir*F*d_Bv!R15*(1-EXP(-RadSpec!AZ15*t_b)))/(P*RadSpec!AZ15))),".")</f>
        <v>0.35746410762351033</v>
      </c>
      <c r="S15" s="108">
        <f>IFERROR(IF(d_Bv!S15=0,".",((Ir*F*d_Bv!S15*(1-EXP(-RadSpec!AZ15*t_b)))/(P*RadSpec!AZ15))),".")</f>
        <v>0.18945597704046047</v>
      </c>
      <c r="T15" s="202">
        <f>IFERROR(IF(d_Bv!T15=0,".",((Ir*F*d_Bv!T15*(1-EXP(-RadSpec!AZ15*t_b)))/(P*RadSpec!AZ15))),".")</f>
        <v>0.53619616143526549</v>
      </c>
      <c r="U15" s="108">
        <f>IFERROR(IF(d_Bv!U15=0,".",((Ir*F*d_Bv!U15*(1-EXP(-RadSpec!AZ15*t_b)))/(P*RadSpec!AZ15))),".")</f>
        <v>5.361961614352654E-2</v>
      </c>
      <c r="V15" s="108">
        <f>IFERROR(IF(d_Bv!V15=0,".",((Ir*F*d_Bv!V15*(1-EXP(-RadSpec!AZ15*t_b)))/(P*RadSpec!AZ15))),".")</f>
        <v>0.53619616143526549</v>
      </c>
      <c r="W15" s="108">
        <f>IFERROR(IF(d_Bv!W15=0,".",((Ir*F*d_Bv!W15*(1-EXP(-RadSpec!AZ15*t_b)))/(P*RadSpec!AZ15))),".")</f>
        <v>0.18945597704046047</v>
      </c>
      <c r="X15" s="108">
        <f>IFERROR(IF(d_Bv!X15=0,".",((Ir*F*d_Bv!X15*(1-EXP(-RadSpec!AZ15*t_b)))/(P*RadSpec!AZ15))),".")</f>
        <v>0.35746410762351033</v>
      </c>
      <c r="Y15" s="108">
        <f>IFERROR(IF(d_Bv!Y15=0,".",((Ir*F*d_Bv!Y15*(1-EXP(-RadSpec!AZ15*t_b)))/(P*RadSpec!AZ15))),".")</f>
        <v>0.53619616143526549</v>
      </c>
      <c r="Z15" s="108">
        <f>IFERROR(IF(d_Bv!Z15=0,".",((Ir*F*d_Bv!Z15*(1-EXP(-RadSpec!AZ15*t_b)))/(P*RadSpec!AZ15))),".")</f>
        <v>1.0366459121081799E-2</v>
      </c>
      <c r="AA15" s="108">
        <f>IFERROR(IF(d_Bv!AA15=0,".",((Ir*F*d_Bv!AA15*(1-EXP(-RadSpec!AZ15*t_b)))/(P*RadSpec!AZ15))),".")</f>
        <v>0.39321051838586135</v>
      </c>
      <c r="AB15" s="108">
        <f>IFERROR(IF(d_Bv!C15=0,".",((Ir*F*MLF_apple*(1-EXP(-RadSpec!AZ15*t_b)))/(P*RadSpec!AZ15))),".")</f>
        <v>5.7194257219761657E-3</v>
      </c>
      <c r="AC15" s="108">
        <f>IFERROR(IF(d_Bv!D15=0,".",((Ir*F*MLF_asparagus*(1-EXP(-RadSpec!AZ15*t_b)))/(P*RadSpec!AZ15))),".")</f>
        <v>2.8239664502257315E-3</v>
      </c>
      <c r="AD15" s="108">
        <f>IFERROR(IF(d_Bv!E15=0,".",((Ir*F*MLF_beet*(1-EXP(-RadSpec!AZ15*t_b)))/(P*RadSpec!AZ15))),".")</f>
        <v>4.9330046852044422E-3</v>
      </c>
      <c r="AE15" s="108">
        <f>IFERROR(IF(d_Bv!F15=0,".",((Ir*F*MLF_berries*(1-EXP(-RadSpec!AZ15*t_b)))/(P*RadSpec!AZ15))),".")</f>
        <v>5.9339041865502712E-3</v>
      </c>
      <c r="AF15" s="108">
        <f>IFERROR(IF(d_Bv!G15=0,".",((Ir*F*MLF_broccoli*(1-EXP(-RadSpec!AZ15*t_b)))/(P*RadSpec!AZ15))),".")</f>
        <v>3.6103874869974538E-2</v>
      </c>
      <c r="AG15" s="108">
        <f>IFERROR(IF(d_Bv!H15=0,".",((Ir*F*MLF_cabbage*(1-EXP(-RadSpec!AZ15*t_b)))/(P*RadSpec!AZ15))),".")</f>
        <v>3.7533731300468582E-3</v>
      </c>
      <c r="AH15" s="108">
        <f>IFERROR(IF(d_Bv!I15=0,".",((Ir*F*MLF_carrot*(1-EXP(-RadSpec!AZ15*t_b)))/(P*RadSpec!AZ15))),".")</f>
        <v>3.4674018439480501E-3</v>
      </c>
      <c r="AI15" s="108">
        <f>IFERROR(IF(d_Bv!J15=0,".",((Ir*F*MLF_citrus*(1-EXP(-RadSpec!AZ15*t_b)))/(P*RadSpec!AZ15))),".")</f>
        <v>5.6121864896891112E-3</v>
      </c>
      <c r="AJ15" s="108">
        <f>IFERROR(IF(d_Bv!K15=0,".",((Ir*F*MLF_corn*(1-EXP(-RadSpec!AZ15*t_b)))/(P*RadSpec!AZ15))),".")</f>
        <v>5.1832295605408994E-3</v>
      </c>
      <c r="AK15" s="108">
        <f>IFERROR(IF(d_Bv!L15=0,".",((Ir*F*MLF_cucumber*(1-EXP(-RadSpec!AZ15*t_b)))/(P*RadSpec!AZ15))),".")</f>
        <v>1.4298564304940414E-3</v>
      </c>
      <c r="AL15" s="108">
        <f>IFERROR(IF(d_Bv!M15=0,".",((Ir*F*MLF_lettuce*(1-EXP(-RadSpec!AZ15*t_b)))/(P*RadSpec!AZ15))),".")</f>
        <v>0.48257654529173893</v>
      </c>
      <c r="AM15" s="108">
        <f>IFERROR(IF(d_Bv!N15=0,".",((Ir*F*MLF_lima_bean*(1-EXP(-RadSpec!AZ15*t_b)))/(P*RadSpec!AZ15))),".")</f>
        <v>0.13690875321980447</v>
      </c>
      <c r="AN15" s="108">
        <f>IFERROR(IF(d_Bv!O15=0,".",((Ir*F*MLF_okra*(1-EXP(-RadSpec!AZ15*t_b)))/(P*RadSpec!AZ15))),".")</f>
        <v>2.8597128609880828E-3</v>
      </c>
      <c r="AO15" s="108">
        <f>IFERROR(IF(d_Bv!P15=0,".",((Ir*F*MLF_onion*(1-EXP(-RadSpec!AZ15*t_b)))/(P*RadSpec!AZ15))),".")</f>
        <v>3.4674018439480501E-3</v>
      </c>
      <c r="AP15" s="108">
        <f>IFERROR(IF(d_Bv!Q15=0,".",((Ir*F*MLF_peach*(1-EXP(-RadSpec!AZ15*t_b)))/(P*RadSpec!AZ15))),".")</f>
        <v>5.361961614352654E-3</v>
      </c>
      <c r="AQ15" s="108">
        <f>IFERROR(IF(d_Bv!R15=0,".",((Ir*F*MLF_pear*(1-EXP(-RadSpec!AZ15*t_b)))/(P*RadSpec!AZ15))),".")</f>
        <v>5.7194257219761657E-3</v>
      </c>
      <c r="AR15" s="108">
        <f>IFERROR(IF(d_Bv!S15=0,".",((Ir*F*MLF_peas*(1-EXP(-RadSpec!AZ15*t_b)))/(P*RadSpec!AZ15))),".")</f>
        <v>6.3628611156984829E-3</v>
      </c>
      <c r="AS15" s="108">
        <f>IFERROR(IF(d_Bv!T15=0,".",((Ir*F*MLF_peppers*(1-EXP(-RadSpec!AZ15*t_b)))/(P*RadSpec!AZ15))),".")</f>
        <v>7.93570318924193E-2</v>
      </c>
      <c r="AT15" s="108">
        <f>IFERROR(IF(d_Bv!U15=0,".",((Ir*F*MLF_potato*(1-EXP(-RadSpec!AZ15*t_b)))/(P*RadSpec!AZ15))),".")</f>
        <v>7.5067462600937164E-3</v>
      </c>
      <c r="AU15" s="108">
        <f>IFERROR(IF(d_Bv!V15=0,".",((Ir*F*MLF_pumpkin*(1-EXP(-RadSpec!AZ15*t_b)))/(P*RadSpec!AZ15))),".")</f>
        <v>2.0732918242163598E-3</v>
      </c>
      <c r="AV15" s="108">
        <f>IFERROR(IF(d_Bv!W15=0,".",((Ir*F*MLF_snap_bean*(1-EXP(-RadSpec!AZ15*t_b)))/(P*RadSpec!AZ15))),".")</f>
        <v>0.17873205381175516</v>
      </c>
      <c r="AW15" s="108">
        <f>IFERROR(IF(d_Bv!X15=0,".",((Ir*F*MLF_strawberry*(1-EXP(-RadSpec!AZ15*t_b)))/(P*RadSpec!AZ15))),".")</f>
        <v>2.8597128609880828E-3</v>
      </c>
      <c r="AX15" s="108">
        <f>IFERROR(IF(d_Bv!Y15=0,".",((Ir*F*MLF_tomato*(1-EXP(-RadSpec!AZ15*t_b)))/(P*RadSpec!AZ15))),".")</f>
        <v>6.327114704936132E-2</v>
      </c>
      <c r="AY15" s="108">
        <f>IFERROR(IF(d_Bv!Z15=0,".",((Ir*F*MLF_rice*(1-EXP(-RadSpec!AZ15*t_b)))/(P*RadSpec!AZ15))),".")</f>
        <v>8.9366026905877582</v>
      </c>
      <c r="AZ15" s="108">
        <f>IFERROR(IF(d_Bv!AA15=0,".",((Ir*F*MLF_cereal*(1-EXP(-RadSpec!AZ15*t_b)))/(P*RadSpec!AZ15))),".")</f>
        <v>8.9366026905877582</v>
      </c>
      <c r="BA15" s="108">
        <f>IFERROR(IF(d_Bv!C15=0,".",((Ir*F*I_f*T*(1-EXP(-RadSpec!BA15*t_v)))/(Y_v*RadSpec!BA15))),".")</f>
        <v>3.6424203206347228</v>
      </c>
      <c r="BB15" s="108">
        <f>IFERROR(IF(d_Bv!D15=0,".",((Ir*F*I_f*T*(1-EXP(-RadSpec!BA15*t_v)))/(Y_v*RadSpec!BA15))),".")</f>
        <v>3.6424203206347228</v>
      </c>
      <c r="BC15" s="108">
        <f>IFERROR(IF(d_Bv!E15=0,".",((Ir*F*I_f*T*(1-EXP(-RadSpec!BA15*t_v)))/(Y_v*RadSpec!BA15))),".")</f>
        <v>3.6424203206347228</v>
      </c>
      <c r="BD15" s="108">
        <f>IFERROR(IF(d_Bv!F15=0,".",((Ir*F*I_f*T*(1-EXP(-RadSpec!BA15*t_v)))/(Y_v*RadSpec!BA15))),".")</f>
        <v>3.6424203206347228</v>
      </c>
      <c r="BE15" s="108">
        <f>IFERROR(IF(d_Bv!G15=0,".",((Ir*F*I_f*T*(1-EXP(-RadSpec!BA15*t_v)))/(Y_v*RadSpec!BA15))),".")</f>
        <v>3.6424203206347228</v>
      </c>
      <c r="BF15" s="108">
        <f>IFERROR(IF(d_Bv!H15=0,".",((Ir*F*I_f*T*(1-EXP(-RadSpec!BA15*t_v)))/(Y_v*RadSpec!BA15))),".")</f>
        <v>3.6424203206347228</v>
      </c>
      <c r="BG15" s="108">
        <f>IFERROR(IF(d_Bv!I15=0,".",((Ir*F*I_f*T*(1-EXP(-RadSpec!BA15*t_v)))/(Y_v*RadSpec!BA15))),".")</f>
        <v>3.6424203206347228</v>
      </c>
      <c r="BH15" s="108">
        <f>IFERROR(IF(d_Bv!J15=0,".",((Ir*F*I_f*T*(1-EXP(-RadSpec!BA15*t_v)))/(Y_v*RadSpec!BA15))),".")</f>
        <v>3.6424203206347228</v>
      </c>
      <c r="BI15" s="108">
        <f>IFERROR(IF(d_Bv!K15=0,".",((Ir*F*I_f*T*(1-EXP(-RadSpec!BA15*t_v)))/(Y_v*RadSpec!BA15))),".")</f>
        <v>3.6424203206347228</v>
      </c>
      <c r="BJ15" s="108">
        <f>IFERROR(IF(d_Bv!L15=0,".",((Ir*F*I_f*T*(1-EXP(-RadSpec!BA15*t_v)))/(Y_v*RadSpec!BA15))),".")</f>
        <v>3.6424203206347228</v>
      </c>
      <c r="BK15" s="108">
        <f>IFERROR(IF(d_Bv!M15=0,".",((Ir*F*I_f*T*(1-EXP(-RadSpec!BA15*t_v)))/(Y_v*RadSpec!BA15))),".")</f>
        <v>3.6424203206347228</v>
      </c>
      <c r="BL15" s="108">
        <f>IFERROR(IF(d_Bv!N15=0,".",((Ir*F*I_f*T*(1-EXP(-RadSpec!BA15*t_v)))/(Y_v*RadSpec!BA15))),".")</f>
        <v>3.6424203206347228</v>
      </c>
      <c r="BM15" s="108">
        <f>IFERROR(IF(d_Bv!O15=0,".",((Ir*F*I_f*T*(1-EXP(-RadSpec!BA15*t_v)))/(Y_v*RadSpec!BA15))),".")</f>
        <v>3.6424203206347228</v>
      </c>
      <c r="BN15" s="108">
        <f>IFERROR(IF(d_Bv!P15=0,".",((Ir*F*I_f*T*(1-EXP(-RadSpec!BA15*t_v)))/(Y_v*RadSpec!BA15))),".")</f>
        <v>3.6424203206347228</v>
      </c>
      <c r="BO15" s="108">
        <f>IFERROR(IF(d_Bv!Q15=0,".",((Ir*F*I_f*T*(1-EXP(-RadSpec!BA15*t_v)))/(Y_v*RadSpec!BA15))),".")</f>
        <v>3.6424203206347228</v>
      </c>
      <c r="BP15" s="108">
        <f>IFERROR(IF(d_Bv!R15=0,".",((Ir*F*I_f*T*(1-EXP(-RadSpec!BA15*t_v)))/(Y_v*RadSpec!BA15))),".")</f>
        <v>3.6424203206347228</v>
      </c>
      <c r="BQ15" s="108">
        <f>IFERROR(IF(d_Bv!S15=0,".",((Ir*F*I_f*T*(1-EXP(-RadSpec!BA15*t_v)))/(Y_v*RadSpec!BA15))),".")</f>
        <v>3.6424203206347228</v>
      </c>
      <c r="BR15" s="108">
        <f>IFERROR(IF(d_Bv!T15=0,".",((Ir*F*I_f*T*(1-EXP(-RadSpec!BA15*t_v)))/(Y_v*RadSpec!BA15))),".")</f>
        <v>3.6424203206347228</v>
      </c>
      <c r="BS15" s="108">
        <f>IFERROR(IF(d_Bv!U15=0,".",((Ir*F*I_f*T*(1-EXP(-RadSpec!BA15*t_v)))/(Y_v*RadSpec!BA15))),".")</f>
        <v>3.6424203206347228</v>
      </c>
      <c r="BT15" s="108">
        <f>IFERROR(IF(d_Bv!V15=0,".",((Ir*F*I_f*T*(1-EXP(-RadSpec!BA15*t_v)))/(Y_v*RadSpec!BA15))),".")</f>
        <v>3.6424203206347228</v>
      </c>
      <c r="BU15" s="108">
        <f>IFERROR(IF(d_Bv!W15=0,".",((Ir*F*I_f*T*(1-EXP(-RadSpec!BA15*t_v)))/(Y_v*RadSpec!BA15))),".")</f>
        <v>3.6424203206347228</v>
      </c>
      <c r="BV15" s="108">
        <f>IFERROR(IF(d_Bv!X15=0,".",((Ir*F*I_f*T*(1-EXP(-RadSpec!BA15*t_v)))/(Y_v*RadSpec!BA15))),".")</f>
        <v>3.6424203206347228</v>
      </c>
      <c r="BW15" s="108">
        <f>IFERROR(IF(d_Bv!Y15=0,".",((Ir*F*I_f*T*(1-EXP(-RadSpec!BA15*t_v)))/(Y_v*RadSpec!BA15))),".")</f>
        <v>3.6424203206347228</v>
      </c>
      <c r="BX15" s="108">
        <f>IFERROR(IF(d_Bv!Z15=0,".",((Ir*F*I_f*T*(1-EXP(-RadSpec!BA15*t_v)))/(Y_v*RadSpec!BA15))),".")</f>
        <v>3.6424203206347228</v>
      </c>
      <c r="BY15" s="108">
        <f>IFERROR(IF(d_Bv!AA15=0,".",((Ir*F*I_f*T*(1-EXP(-RadSpec!BA15*t_v)))/(Y_v*RadSpec!BA15))),".")</f>
        <v>3.6424203206347228</v>
      </c>
    </row>
    <row r="16" spans="1:77" x14ac:dyDescent="0.25">
      <c r="A16" s="44" t="s">
        <v>14</v>
      </c>
      <c r="B16" s="42" t="s">
        <v>1057</v>
      </c>
      <c r="C16" s="108">
        <f>IFERROR(IF(d_Bv!C16=0,".",((Ir*F*d_Bv!C16*(1-EXP(-RadSpec!AZ16*t_b)))/(P*RadSpec!AZ16))),".")</f>
        <v>0.35746410762351033</v>
      </c>
      <c r="D16" s="108">
        <f>IFERROR(IF(d_Bv!D16=0,".",((Ir*F*d_Bv!D16*(1-EXP(-RadSpec!AZ16*t_b)))/(P*RadSpec!AZ16))),".")</f>
        <v>2.8597128609880826</v>
      </c>
      <c r="E16" s="108">
        <f>IFERROR(IF(d_Bv!E16=0,".",((Ir*F*d_Bv!E16*(1-EXP(-RadSpec!AZ16*t_b)))/(P*RadSpec!AZ16))),".")</f>
        <v>0.53619616143526549</v>
      </c>
      <c r="F16" s="108">
        <f>IFERROR(IF(d_Bv!F16=0,".",((Ir*F*d_Bv!F16*(1-EXP(-RadSpec!AZ16*t_b)))/(P*RadSpec!AZ16))),".")</f>
        <v>0.35746410762351033</v>
      </c>
      <c r="G16" s="108">
        <f>IFERROR(IF(d_Bv!G16=0,".",((Ir*F*d_Bv!G16*(1-EXP(-RadSpec!AZ16*t_b)))/(P*RadSpec!AZ16))),".")</f>
        <v>0.53619616143526549</v>
      </c>
      <c r="H16" s="108">
        <f>IFERROR(IF(d_Bv!H16=0,".",((Ir*F*d_Bv!H16*(1-EXP(-RadSpec!AZ16*t_b)))/(P*RadSpec!AZ16))),".")</f>
        <v>2.8597128609880826</v>
      </c>
      <c r="I16" s="108">
        <f>IFERROR(IF(d_Bv!I16=0,".",((Ir*F*d_Bv!I16*(1-EXP(-RadSpec!AZ16*t_b)))/(P*RadSpec!AZ16))),".")</f>
        <v>0.53619616143526549</v>
      </c>
      <c r="J16" s="108">
        <f>IFERROR(IF(d_Bv!J16=0,".",((Ir*F*d_Bv!J16*(1-EXP(-RadSpec!AZ16*t_b)))/(P*RadSpec!AZ16))),".")</f>
        <v>0.35746410762351033</v>
      </c>
      <c r="K16" s="108">
        <f>IFERROR(IF(d_Bv!K16=0,".",((Ir*F*d_Bv!K16*(1-EXP(-RadSpec!AZ16*t_b)))/(P*RadSpec!AZ16))),".")</f>
        <v>4.2895692914821232E-2</v>
      </c>
      <c r="L16" s="108">
        <f>IFERROR(IF(d_Bv!L16=0,".",((Ir*F*d_Bv!L16*(1-EXP(-RadSpec!AZ16*t_b)))/(P*RadSpec!AZ16))),".")</f>
        <v>0.53619616143526549</v>
      </c>
      <c r="M16" s="108">
        <f>IFERROR(IF(d_Bv!M16=0,".",((Ir*F*d_Bv!M16*(1-EXP(-RadSpec!AZ16*t_b)))/(P*RadSpec!AZ16))),".")</f>
        <v>2.8597128609880826</v>
      </c>
      <c r="N16" s="108">
        <f>IFERROR(IF(d_Bv!N16=0,".",((Ir*F*d_Bv!N16*(1-EXP(-RadSpec!AZ16*t_b)))/(P*RadSpec!AZ16))),".")</f>
        <v>0.18945597704046047</v>
      </c>
      <c r="O16" s="108">
        <f>IFERROR(IF(d_Bv!O16=0,".",((Ir*F*d_Bv!O16*(1-EXP(-RadSpec!AZ16*t_b)))/(P*RadSpec!AZ16))),".")</f>
        <v>0.53619616143526549</v>
      </c>
      <c r="P16" s="108">
        <f>IFERROR(IF(d_Bv!P16=0,".",((Ir*F*d_Bv!P16*(1-EXP(-RadSpec!AZ16*t_b)))/(P*RadSpec!AZ16))),".")</f>
        <v>0.53619616143526549</v>
      </c>
      <c r="Q16" s="108">
        <f>IFERROR(IF(d_Bv!Q16=0,".",((Ir*F*d_Bv!Q16*(1-EXP(-RadSpec!AZ16*t_b)))/(P*RadSpec!AZ16))),".")</f>
        <v>0.35746410762351033</v>
      </c>
      <c r="R16" s="108">
        <f>IFERROR(IF(d_Bv!R16=0,".",((Ir*F*d_Bv!R16*(1-EXP(-RadSpec!AZ16*t_b)))/(P*RadSpec!AZ16))),".")</f>
        <v>0.35746410762351033</v>
      </c>
      <c r="S16" s="108">
        <f>IFERROR(IF(d_Bv!S16=0,".",((Ir*F*d_Bv!S16*(1-EXP(-RadSpec!AZ16*t_b)))/(P*RadSpec!AZ16))),".")</f>
        <v>0.18945597704046047</v>
      </c>
      <c r="T16" s="202">
        <f>IFERROR(IF(d_Bv!T16=0,".",((Ir*F*d_Bv!T16*(1-EXP(-RadSpec!AZ16*t_b)))/(P*RadSpec!AZ16))),".")</f>
        <v>0.53619616143526549</v>
      </c>
      <c r="U16" s="108">
        <f>IFERROR(IF(d_Bv!U16=0,".",((Ir*F*d_Bv!U16*(1-EXP(-RadSpec!AZ16*t_b)))/(P*RadSpec!AZ16))),".")</f>
        <v>5.361961614352654E-2</v>
      </c>
      <c r="V16" s="108">
        <f>IFERROR(IF(d_Bv!V16=0,".",((Ir*F*d_Bv!V16*(1-EXP(-RadSpec!AZ16*t_b)))/(P*RadSpec!AZ16))),".")</f>
        <v>0.53619616143526549</v>
      </c>
      <c r="W16" s="108">
        <f>IFERROR(IF(d_Bv!W16=0,".",((Ir*F*d_Bv!W16*(1-EXP(-RadSpec!AZ16*t_b)))/(P*RadSpec!AZ16))),".")</f>
        <v>0.18945597704046047</v>
      </c>
      <c r="X16" s="108">
        <f>IFERROR(IF(d_Bv!X16=0,".",((Ir*F*d_Bv!X16*(1-EXP(-RadSpec!AZ16*t_b)))/(P*RadSpec!AZ16))),".")</f>
        <v>0.35746410762351033</v>
      </c>
      <c r="Y16" s="108">
        <f>IFERROR(IF(d_Bv!Y16=0,".",((Ir*F*d_Bv!Y16*(1-EXP(-RadSpec!AZ16*t_b)))/(P*RadSpec!AZ16))),".")</f>
        <v>0.53619616143526549</v>
      </c>
      <c r="Z16" s="108">
        <f>IFERROR(IF(d_Bv!Z16=0,".",((Ir*F*d_Bv!Z16*(1-EXP(-RadSpec!AZ16*t_b)))/(P*RadSpec!AZ16))),".")</f>
        <v>1.0366459121081799E-2</v>
      </c>
      <c r="AA16" s="108">
        <f>IFERROR(IF(d_Bv!AA16=0,".",((Ir*F*d_Bv!AA16*(1-EXP(-RadSpec!AZ16*t_b)))/(P*RadSpec!AZ16))),".")</f>
        <v>0.39321051838586135</v>
      </c>
      <c r="AB16" s="108">
        <f>IFERROR(IF(d_Bv!C16=0,".",((Ir*F*MLF_apple*(1-EXP(-RadSpec!AZ16*t_b)))/(P*RadSpec!AZ16))),".")</f>
        <v>5.7194257219761657E-3</v>
      </c>
      <c r="AC16" s="108">
        <f>IFERROR(IF(d_Bv!D16=0,".",((Ir*F*MLF_asparagus*(1-EXP(-RadSpec!AZ16*t_b)))/(P*RadSpec!AZ16))),".")</f>
        <v>2.8239664502257315E-3</v>
      </c>
      <c r="AD16" s="108">
        <f>IFERROR(IF(d_Bv!E16=0,".",((Ir*F*MLF_beet*(1-EXP(-RadSpec!AZ16*t_b)))/(P*RadSpec!AZ16))),".")</f>
        <v>4.9330046852044422E-3</v>
      </c>
      <c r="AE16" s="108">
        <f>IFERROR(IF(d_Bv!F16=0,".",((Ir*F*MLF_berries*(1-EXP(-RadSpec!AZ16*t_b)))/(P*RadSpec!AZ16))),".")</f>
        <v>5.9339041865502712E-3</v>
      </c>
      <c r="AF16" s="108">
        <f>IFERROR(IF(d_Bv!G16=0,".",((Ir*F*MLF_broccoli*(1-EXP(-RadSpec!AZ16*t_b)))/(P*RadSpec!AZ16))),".")</f>
        <v>3.6103874869974538E-2</v>
      </c>
      <c r="AG16" s="108">
        <f>IFERROR(IF(d_Bv!H16=0,".",((Ir*F*MLF_cabbage*(1-EXP(-RadSpec!AZ16*t_b)))/(P*RadSpec!AZ16))),".")</f>
        <v>3.7533731300468582E-3</v>
      </c>
      <c r="AH16" s="108">
        <f>IFERROR(IF(d_Bv!I16=0,".",((Ir*F*MLF_carrot*(1-EXP(-RadSpec!AZ16*t_b)))/(P*RadSpec!AZ16))),".")</f>
        <v>3.4674018439480501E-3</v>
      </c>
      <c r="AI16" s="108">
        <f>IFERROR(IF(d_Bv!J16=0,".",((Ir*F*MLF_citrus*(1-EXP(-RadSpec!AZ16*t_b)))/(P*RadSpec!AZ16))),".")</f>
        <v>5.6121864896891112E-3</v>
      </c>
      <c r="AJ16" s="108">
        <f>IFERROR(IF(d_Bv!K16=0,".",((Ir*F*MLF_corn*(1-EXP(-RadSpec!AZ16*t_b)))/(P*RadSpec!AZ16))),".")</f>
        <v>5.1832295605408994E-3</v>
      </c>
      <c r="AK16" s="108">
        <f>IFERROR(IF(d_Bv!L16=0,".",((Ir*F*MLF_cucumber*(1-EXP(-RadSpec!AZ16*t_b)))/(P*RadSpec!AZ16))),".")</f>
        <v>1.4298564304940414E-3</v>
      </c>
      <c r="AL16" s="108">
        <f>IFERROR(IF(d_Bv!M16=0,".",((Ir*F*MLF_lettuce*(1-EXP(-RadSpec!AZ16*t_b)))/(P*RadSpec!AZ16))),".")</f>
        <v>0.48257654529173893</v>
      </c>
      <c r="AM16" s="108">
        <f>IFERROR(IF(d_Bv!N16=0,".",((Ir*F*MLF_lima_bean*(1-EXP(-RadSpec!AZ16*t_b)))/(P*RadSpec!AZ16))),".")</f>
        <v>0.13690875321980447</v>
      </c>
      <c r="AN16" s="108">
        <f>IFERROR(IF(d_Bv!O16=0,".",((Ir*F*MLF_okra*(1-EXP(-RadSpec!AZ16*t_b)))/(P*RadSpec!AZ16))),".")</f>
        <v>2.8597128609880828E-3</v>
      </c>
      <c r="AO16" s="108">
        <f>IFERROR(IF(d_Bv!P16=0,".",((Ir*F*MLF_onion*(1-EXP(-RadSpec!AZ16*t_b)))/(P*RadSpec!AZ16))),".")</f>
        <v>3.4674018439480501E-3</v>
      </c>
      <c r="AP16" s="108">
        <f>IFERROR(IF(d_Bv!Q16=0,".",((Ir*F*MLF_peach*(1-EXP(-RadSpec!AZ16*t_b)))/(P*RadSpec!AZ16))),".")</f>
        <v>5.361961614352654E-3</v>
      </c>
      <c r="AQ16" s="108">
        <f>IFERROR(IF(d_Bv!R16=0,".",((Ir*F*MLF_pear*(1-EXP(-RadSpec!AZ16*t_b)))/(P*RadSpec!AZ16))),".")</f>
        <v>5.7194257219761657E-3</v>
      </c>
      <c r="AR16" s="108">
        <f>IFERROR(IF(d_Bv!S16=0,".",((Ir*F*MLF_peas*(1-EXP(-RadSpec!AZ16*t_b)))/(P*RadSpec!AZ16))),".")</f>
        <v>6.3628611156984829E-3</v>
      </c>
      <c r="AS16" s="108">
        <f>IFERROR(IF(d_Bv!T16=0,".",((Ir*F*MLF_peppers*(1-EXP(-RadSpec!AZ16*t_b)))/(P*RadSpec!AZ16))),".")</f>
        <v>7.93570318924193E-2</v>
      </c>
      <c r="AT16" s="108">
        <f>IFERROR(IF(d_Bv!U16=0,".",((Ir*F*MLF_potato*(1-EXP(-RadSpec!AZ16*t_b)))/(P*RadSpec!AZ16))),".")</f>
        <v>7.5067462600937164E-3</v>
      </c>
      <c r="AU16" s="108">
        <f>IFERROR(IF(d_Bv!V16=0,".",((Ir*F*MLF_pumpkin*(1-EXP(-RadSpec!AZ16*t_b)))/(P*RadSpec!AZ16))),".")</f>
        <v>2.0732918242163598E-3</v>
      </c>
      <c r="AV16" s="108">
        <f>IFERROR(IF(d_Bv!W16=0,".",((Ir*F*MLF_snap_bean*(1-EXP(-RadSpec!AZ16*t_b)))/(P*RadSpec!AZ16))),".")</f>
        <v>0.17873205381175516</v>
      </c>
      <c r="AW16" s="108">
        <f>IFERROR(IF(d_Bv!X16=0,".",((Ir*F*MLF_strawberry*(1-EXP(-RadSpec!AZ16*t_b)))/(P*RadSpec!AZ16))),".")</f>
        <v>2.8597128609880828E-3</v>
      </c>
      <c r="AX16" s="108">
        <f>IFERROR(IF(d_Bv!Y16=0,".",((Ir*F*MLF_tomato*(1-EXP(-RadSpec!AZ16*t_b)))/(P*RadSpec!AZ16))),".")</f>
        <v>6.327114704936132E-2</v>
      </c>
      <c r="AY16" s="108">
        <f>IFERROR(IF(d_Bv!Z16=0,".",((Ir*F*MLF_rice*(1-EXP(-RadSpec!AZ16*t_b)))/(P*RadSpec!AZ16))),".")</f>
        <v>8.9366026905877582</v>
      </c>
      <c r="AZ16" s="108">
        <f>IFERROR(IF(d_Bv!AA16=0,".",((Ir*F*MLF_cereal*(1-EXP(-RadSpec!AZ16*t_b)))/(P*RadSpec!AZ16))),".")</f>
        <v>8.9366026905877582</v>
      </c>
      <c r="BA16" s="108">
        <f>IFERROR(IF(d_Bv!C16=0,".",((Ir*F*I_f*T*(1-EXP(-RadSpec!BA16*t_v)))/(Y_v*RadSpec!BA16))),".")</f>
        <v>3.6424203206347228</v>
      </c>
      <c r="BB16" s="108">
        <f>IFERROR(IF(d_Bv!D16=0,".",((Ir*F*I_f*T*(1-EXP(-RadSpec!BA16*t_v)))/(Y_v*RadSpec!BA16))),".")</f>
        <v>3.6424203206347228</v>
      </c>
      <c r="BC16" s="108">
        <f>IFERROR(IF(d_Bv!E16=0,".",((Ir*F*I_f*T*(1-EXP(-RadSpec!BA16*t_v)))/(Y_v*RadSpec!BA16))),".")</f>
        <v>3.6424203206347228</v>
      </c>
      <c r="BD16" s="108">
        <f>IFERROR(IF(d_Bv!F16=0,".",((Ir*F*I_f*T*(1-EXP(-RadSpec!BA16*t_v)))/(Y_v*RadSpec!BA16))),".")</f>
        <v>3.6424203206347228</v>
      </c>
      <c r="BE16" s="108">
        <f>IFERROR(IF(d_Bv!G16=0,".",((Ir*F*I_f*T*(1-EXP(-RadSpec!BA16*t_v)))/(Y_v*RadSpec!BA16))),".")</f>
        <v>3.6424203206347228</v>
      </c>
      <c r="BF16" s="108">
        <f>IFERROR(IF(d_Bv!H16=0,".",((Ir*F*I_f*T*(1-EXP(-RadSpec!BA16*t_v)))/(Y_v*RadSpec!BA16))),".")</f>
        <v>3.6424203206347228</v>
      </c>
      <c r="BG16" s="108">
        <f>IFERROR(IF(d_Bv!I16=0,".",((Ir*F*I_f*T*(1-EXP(-RadSpec!BA16*t_v)))/(Y_v*RadSpec!BA16))),".")</f>
        <v>3.6424203206347228</v>
      </c>
      <c r="BH16" s="108">
        <f>IFERROR(IF(d_Bv!J16=0,".",((Ir*F*I_f*T*(1-EXP(-RadSpec!BA16*t_v)))/(Y_v*RadSpec!BA16))),".")</f>
        <v>3.6424203206347228</v>
      </c>
      <c r="BI16" s="108">
        <f>IFERROR(IF(d_Bv!K16=0,".",((Ir*F*I_f*T*(1-EXP(-RadSpec!BA16*t_v)))/(Y_v*RadSpec!BA16))),".")</f>
        <v>3.6424203206347228</v>
      </c>
      <c r="BJ16" s="108">
        <f>IFERROR(IF(d_Bv!L16=0,".",((Ir*F*I_f*T*(1-EXP(-RadSpec!BA16*t_v)))/(Y_v*RadSpec!BA16))),".")</f>
        <v>3.6424203206347228</v>
      </c>
      <c r="BK16" s="108">
        <f>IFERROR(IF(d_Bv!M16=0,".",((Ir*F*I_f*T*(1-EXP(-RadSpec!BA16*t_v)))/(Y_v*RadSpec!BA16))),".")</f>
        <v>3.6424203206347228</v>
      </c>
      <c r="BL16" s="108">
        <f>IFERROR(IF(d_Bv!N16=0,".",((Ir*F*I_f*T*(1-EXP(-RadSpec!BA16*t_v)))/(Y_v*RadSpec!BA16))),".")</f>
        <v>3.6424203206347228</v>
      </c>
      <c r="BM16" s="108">
        <f>IFERROR(IF(d_Bv!O16=0,".",((Ir*F*I_f*T*(1-EXP(-RadSpec!BA16*t_v)))/(Y_v*RadSpec!BA16))),".")</f>
        <v>3.6424203206347228</v>
      </c>
      <c r="BN16" s="108">
        <f>IFERROR(IF(d_Bv!P16=0,".",((Ir*F*I_f*T*(1-EXP(-RadSpec!BA16*t_v)))/(Y_v*RadSpec!BA16))),".")</f>
        <v>3.6424203206347228</v>
      </c>
      <c r="BO16" s="108">
        <f>IFERROR(IF(d_Bv!Q16=0,".",((Ir*F*I_f*T*(1-EXP(-RadSpec!BA16*t_v)))/(Y_v*RadSpec!BA16))),".")</f>
        <v>3.6424203206347228</v>
      </c>
      <c r="BP16" s="108">
        <f>IFERROR(IF(d_Bv!R16=0,".",((Ir*F*I_f*T*(1-EXP(-RadSpec!BA16*t_v)))/(Y_v*RadSpec!BA16))),".")</f>
        <v>3.6424203206347228</v>
      </c>
      <c r="BQ16" s="108">
        <f>IFERROR(IF(d_Bv!S16=0,".",((Ir*F*I_f*T*(1-EXP(-RadSpec!BA16*t_v)))/(Y_v*RadSpec!BA16))),".")</f>
        <v>3.6424203206347228</v>
      </c>
      <c r="BR16" s="108">
        <f>IFERROR(IF(d_Bv!T16=0,".",((Ir*F*I_f*T*(1-EXP(-RadSpec!BA16*t_v)))/(Y_v*RadSpec!BA16))),".")</f>
        <v>3.6424203206347228</v>
      </c>
      <c r="BS16" s="108">
        <f>IFERROR(IF(d_Bv!U16=0,".",((Ir*F*I_f*T*(1-EXP(-RadSpec!BA16*t_v)))/(Y_v*RadSpec!BA16))),".")</f>
        <v>3.6424203206347228</v>
      </c>
      <c r="BT16" s="108">
        <f>IFERROR(IF(d_Bv!V16=0,".",((Ir*F*I_f*T*(1-EXP(-RadSpec!BA16*t_v)))/(Y_v*RadSpec!BA16))),".")</f>
        <v>3.6424203206347228</v>
      </c>
      <c r="BU16" s="108">
        <f>IFERROR(IF(d_Bv!W16=0,".",((Ir*F*I_f*T*(1-EXP(-RadSpec!BA16*t_v)))/(Y_v*RadSpec!BA16))),".")</f>
        <v>3.6424203206347228</v>
      </c>
      <c r="BV16" s="108">
        <f>IFERROR(IF(d_Bv!X16=0,".",((Ir*F*I_f*T*(1-EXP(-RadSpec!BA16*t_v)))/(Y_v*RadSpec!BA16))),".")</f>
        <v>3.6424203206347228</v>
      </c>
      <c r="BW16" s="108">
        <f>IFERROR(IF(d_Bv!Y16=0,".",((Ir*F*I_f*T*(1-EXP(-RadSpec!BA16*t_v)))/(Y_v*RadSpec!BA16))),".")</f>
        <v>3.6424203206347228</v>
      </c>
      <c r="BX16" s="108">
        <f>IFERROR(IF(d_Bv!Z16=0,".",((Ir*F*I_f*T*(1-EXP(-RadSpec!BA16*t_v)))/(Y_v*RadSpec!BA16))),".")</f>
        <v>3.6424203206347228</v>
      </c>
      <c r="BY16" s="108">
        <f>IFERROR(IF(d_Bv!AA16=0,".",((Ir*F*I_f*T*(1-EXP(-RadSpec!BA16*t_v)))/(Y_v*RadSpec!BA16))),".")</f>
        <v>3.6424203206347228</v>
      </c>
    </row>
    <row r="17" spans="1:77" x14ac:dyDescent="0.25">
      <c r="A17" s="44" t="s">
        <v>15</v>
      </c>
      <c r="B17" s="42" t="s">
        <v>1057</v>
      </c>
      <c r="C17" s="108">
        <f>IFERROR(IF(d_Bv!C17=0,".",((Ir*F*d_Bv!C17*(1-EXP(-RadSpec!AZ17*t_b)))/(P*RadSpec!AZ17))),".")</f>
        <v>0.35746410762351033</v>
      </c>
      <c r="D17" s="108">
        <f>IFERROR(IF(d_Bv!D17=0,".",((Ir*F*d_Bv!D17*(1-EXP(-RadSpec!AZ17*t_b)))/(P*RadSpec!AZ17))),".")</f>
        <v>2.8597128609880826</v>
      </c>
      <c r="E17" s="108">
        <f>IFERROR(IF(d_Bv!E17=0,".",((Ir*F*d_Bv!E17*(1-EXP(-RadSpec!AZ17*t_b)))/(P*RadSpec!AZ17))),".")</f>
        <v>0.53619616143526549</v>
      </c>
      <c r="F17" s="108">
        <f>IFERROR(IF(d_Bv!F17=0,".",((Ir*F*d_Bv!F17*(1-EXP(-RadSpec!AZ17*t_b)))/(P*RadSpec!AZ17))),".")</f>
        <v>0.35746410762351033</v>
      </c>
      <c r="G17" s="108">
        <f>IFERROR(IF(d_Bv!G17=0,".",((Ir*F*d_Bv!G17*(1-EXP(-RadSpec!AZ17*t_b)))/(P*RadSpec!AZ17))),".")</f>
        <v>0.53619616143526549</v>
      </c>
      <c r="H17" s="108">
        <f>IFERROR(IF(d_Bv!H17=0,".",((Ir*F*d_Bv!H17*(1-EXP(-RadSpec!AZ17*t_b)))/(P*RadSpec!AZ17))),".")</f>
        <v>2.8597128609880826</v>
      </c>
      <c r="I17" s="108">
        <f>IFERROR(IF(d_Bv!I17=0,".",((Ir*F*d_Bv!I17*(1-EXP(-RadSpec!AZ17*t_b)))/(P*RadSpec!AZ17))),".")</f>
        <v>0.53619616143526549</v>
      </c>
      <c r="J17" s="108">
        <f>IFERROR(IF(d_Bv!J17=0,".",((Ir*F*d_Bv!J17*(1-EXP(-RadSpec!AZ17*t_b)))/(P*RadSpec!AZ17))),".")</f>
        <v>0.35746410762351033</v>
      </c>
      <c r="K17" s="108">
        <f>IFERROR(IF(d_Bv!K17=0,".",((Ir*F*d_Bv!K17*(1-EXP(-RadSpec!AZ17*t_b)))/(P*RadSpec!AZ17))),".")</f>
        <v>4.2895692914821232E-2</v>
      </c>
      <c r="L17" s="108">
        <f>IFERROR(IF(d_Bv!L17=0,".",((Ir*F*d_Bv!L17*(1-EXP(-RadSpec!AZ17*t_b)))/(P*RadSpec!AZ17))),".")</f>
        <v>0.53619616143526549</v>
      </c>
      <c r="M17" s="108">
        <f>IFERROR(IF(d_Bv!M17=0,".",((Ir*F*d_Bv!M17*(1-EXP(-RadSpec!AZ17*t_b)))/(P*RadSpec!AZ17))),".")</f>
        <v>2.8597128609880826</v>
      </c>
      <c r="N17" s="108">
        <f>IFERROR(IF(d_Bv!N17=0,".",((Ir*F*d_Bv!N17*(1-EXP(-RadSpec!AZ17*t_b)))/(P*RadSpec!AZ17))),".")</f>
        <v>0.18945597704046047</v>
      </c>
      <c r="O17" s="108">
        <f>IFERROR(IF(d_Bv!O17=0,".",((Ir*F*d_Bv!O17*(1-EXP(-RadSpec!AZ17*t_b)))/(P*RadSpec!AZ17))),".")</f>
        <v>0.53619616143526549</v>
      </c>
      <c r="P17" s="108">
        <f>IFERROR(IF(d_Bv!P17=0,".",((Ir*F*d_Bv!P17*(1-EXP(-RadSpec!AZ17*t_b)))/(P*RadSpec!AZ17))),".")</f>
        <v>0.53619616143526549</v>
      </c>
      <c r="Q17" s="108">
        <f>IFERROR(IF(d_Bv!Q17=0,".",((Ir*F*d_Bv!Q17*(1-EXP(-RadSpec!AZ17*t_b)))/(P*RadSpec!AZ17))),".")</f>
        <v>0.35746410762351033</v>
      </c>
      <c r="R17" s="108">
        <f>IFERROR(IF(d_Bv!R17=0,".",((Ir*F*d_Bv!R17*(1-EXP(-RadSpec!AZ17*t_b)))/(P*RadSpec!AZ17))),".")</f>
        <v>0.35746410762351033</v>
      </c>
      <c r="S17" s="108">
        <f>IFERROR(IF(d_Bv!S17=0,".",((Ir*F*d_Bv!S17*(1-EXP(-RadSpec!AZ17*t_b)))/(P*RadSpec!AZ17))),".")</f>
        <v>0.18945597704046047</v>
      </c>
      <c r="T17" s="202">
        <f>IFERROR(IF(d_Bv!T17=0,".",((Ir*F*d_Bv!T17*(1-EXP(-RadSpec!AZ17*t_b)))/(P*RadSpec!AZ17))),".")</f>
        <v>0.53619616143526549</v>
      </c>
      <c r="U17" s="108">
        <f>IFERROR(IF(d_Bv!U17=0,".",((Ir*F*d_Bv!U17*(1-EXP(-RadSpec!AZ17*t_b)))/(P*RadSpec!AZ17))),".")</f>
        <v>5.361961614352654E-2</v>
      </c>
      <c r="V17" s="108">
        <f>IFERROR(IF(d_Bv!V17=0,".",((Ir*F*d_Bv!V17*(1-EXP(-RadSpec!AZ17*t_b)))/(P*RadSpec!AZ17))),".")</f>
        <v>0.53619616143526549</v>
      </c>
      <c r="W17" s="108">
        <f>IFERROR(IF(d_Bv!W17=0,".",((Ir*F*d_Bv!W17*(1-EXP(-RadSpec!AZ17*t_b)))/(P*RadSpec!AZ17))),".")</f>
        <v>0.18945597704046047</v>
      </c>
      <c r="X17" s="108">
        <f>IFERROR(IF(d_Bv!X17=0,".",((Ir*F*d_Bv!X17*(1-EXP(-RadSpec!AZ17*t_b)))/(P*RadSpec!AZ17))),".")</f>
        <v>0.35746410762351033</v>
      </c>
      <c r="Y17" s="108">
        <f>IFERROR(IF(d_Bv!Y17=0,".",((Ir*F*d_Bv!Y17*(1-EXP(-RadSpec!AZ17*t_b)))/(P*RadSpec!AZ17))),".")</f>
        <v>0.53619616143526549</v>
      </c>
      <c r="Z17" s="108">
        <f>IFERROR(IF(d_Bv!Z17=0,".",((Ir*F*d_Bv!Z17*(1-EXP(-RadSpec!AZ17*t_b)))/(P*RadSpec!AZ17))),".")</f>
        <v>1.0366459121081799E-2</v>
      </c>
      <c r="AA17" s="108">
        <f>IFERROR(IF(d_Bv!AA17=0,".",((Ir*F*d_Bv!AA17*(1-EXP(-RadSpec!AZ17*t_b)))/(P*RadSpec!AZ17))),".")</f>
        <v>0.39321051838586135</v>
      </c>
      <c r="AB17" s="108">
        <f>IFERROR(IF(d_Bv!C17=0,".",((Ir*F*MLF_apple*(1-EXP(-RadSpec!AZ17*t_b)))/(P*RadSpec!AZ17))),".")</f>
        <v>5.7194257219761657E-3</v>
      </c>
      <c r="AC17" s="108">
        <f>IFERROR(IF(d_Bv!D17=0,".",((Ir*F*MLF_asparagus*(1-EXP(-RadSpec!AZ17*t_b)))/(P*RadSpec!AZ17))),".")</f>
        <v>2.8239664502257315E-3</v>
      </c>
      <c r="AD17" s="108">
        <f>IFERROR(IF(d_Bv!E17=0,".",((Ir*F*MLF_beet*(1-EXP(-RadSpec!AZ17*t_b)))/(P*RadSpec!AZ17))),".")</f>
        <v>4.9330046852044422E-3</v>
      </c>
      <c r="AE17" s="108">
        <f>IFERROR(IF(d_Bv!F17=0,".",((Ir*F*MLF_berries*(1-EXP(-RadSpec!AZ17*t_b)))/(P*RadSpec!AZ17))),".")</f>
        <v>5.9339041865502712E-3</v>
      </c>
      <c r="AF17" s="108">
        <f>IFERROR(IF(d_Bv!G17=0,".",((Ir*F*MLF_broccoli*(1-EXP(-RadSpec!AZ17*t_b)))/(P*RadSpec!AZ17))),".")</f>
        <v>3.6103874869974538E-2</v>
      </c>
      <c r="AG17" s="108">
        <f>IFERROR(IF(d_Bv!H17=0,".",((Ir*F*MLF_cabbage*(1-EXP(-RadSpec!AZ17*t_b)))/(P*RadSpec!AZ17))),".")</f>
        <v>3.7533731300468582E-3</v>
      </c>
      <c r="AH17" s="108">
        <f>IFERROR(IF(d_Bv!I17=0,".",((Ir*F*MLF_carrot*(1-EXP(-RadSpec!AZ17*t_b)))/(P*RadSpec!AZ17))),".")</f>
        <v>3.4674018439480501E-3</v>
      </c>
      <c r="AI17" s="108">
        <f>IFERROR(IF(d_Bv!J17=0,".",((Ir*F*MLF_citrus*(1-EXP(-RadSpec!AZ17*t_b)))/(P*RadSpec!AZ17))),".")</f>
        <v>5.6121864896891112E-3</v>
      </c>
      <c r="AJ17" s="108">
        <f>IFERROR(IF(d_Bv!K17=0,".",((Ir*F*MLF_corn*(1-EXP(-RadSpec!AZ17*t_b)))/(P*RadSpec!AZ17))),".")</f>
        <v>5.1832295605408994E-3</v>
      </c>
      <c r="AK17" s="108">
        <f>IFERROR(IF(d_Bv!L17=0,".",((Ir*F*MLF_cucumber*(1-EXP(-RadSpec!AZ17*t_b)))/(P*RadSpec!AZ17))),".")</f>
        <v>1.4298564304940414E-3</v>
      </c>
      <c r="AL17" s="108">
        <f>IFERROR(IF(d_Bv!M17=0,".",((Ir*F*MLF_lettuce*(1-EXP(-RadSpec!AZ17*t_b)))/(P*RadSpec!AZ17))),".")</f>
        <v>0.48257654529173893</v>
      </c>
      <c r="AM17" s="108">
        <f>IFERROR(IF(d_Bv!N17=0,".",((Ir*F*MLF_lima_bean*(1-EXP(-RadSpec!AZ17*t_b)))/(P*RadSpec!AZ17))),".")</f>
        <v>0.13690875321980447</v>
      </c>
      <c r="AN17" s="108">
        <f>IFERROR(IF(d_Bv!O17=0,".",((Ir*F*MLF_okra*(1-EXP(-RadSpec!AZ17*t_b)))/(P*RadSpec!AZ17))),".")</f>
        <v>2.8597128609880828E-3</v>
      </c>
      <c r="AO17" s="108">
        <f>IFERROR(IF(d_Bv!P17=0,".",((Ir*F*MLF_onion*(1-EXP(-RadSpec!AZ17*t_b)))/(P*RadSpec!AZ17))),".")</f>
        <v>3.4674018439480501E-3</v>
      </c>
      <c r="AP17" s="108">
        <f>IFERROR(IF(d_Bv!Q17=0,".",((Ir*F*MLF_peach*(1-EXP(-RadSpec!AZ17*t_b)))/(P*RadSpec!AZ17))),".")</f>
        <v>5.361961614352654E-3</v>
      </c>
      <c r="AQ17" s="108">
        <f>IFERROR(IF(d_Bv!R17=0,".",((Ir*F*MLF_pear*(1-EXP(-RadSpec!AZ17*t_b)))/(P*RadSpec!AZ17))),".")</f>
        <v>5.7194257219761657E-3</v>
      </c>
      <c r="AR17" s="108">
        <f>IFERROR(IF(d_Bv!S17=0,".",((Ir*F*MLF_peas*(1-EXP(-RadSpec!AZ17*t_b)))/(P*RadSpec!AZ17))),".")</f>
        <v>6.3628611156984829E-3</v>
      </c>
      <c r="AS17" s="108">
        <f>IFERROR(IF(d_Bv!T17=0,".",((Ir*F*MLF_peppers*(1-EXP(-RadSpec!AZ17*t_b)))/(P*RadSpec!AZ17))),".")</f>
        <v>7.93570318924193E-2</v>
      </c>
      <c r="AT17" s="108">
        <f>IFERROR(IF(d_Bv!U17=0,".",((Ir*F*MLF_potato*(1-EXP(-RadSpec!AZ17*t_b)))/(P*RadSpec!AZ17))),".")</f>
        <v>7.5067462600937164E-3</v>
      </c>
      <c r="AU17" s="108">
        <f>IFERROR(IF(d_Bv!V17=0,".",((Ir*F*MLF_pumpkin*(1-EXP(-RadSpec!AZ17*t_b)))/(P*RadSpec!AZ17))),".")</f>
        <v>2.0732918242163598E-3</v>
      </c>
      <c r="AV17" s="108">
        <f>IFERROR(IF(d_Bv!W17=0,".",((Ir*F*MLF_snap_bean*(1-EXP(-RadSpec!AZ17*t_b)))/(P*RadSpec!AZ17))),".")</f>
        <v>0.17873205381175516</v>
      </c>
      <c r="AW17" s="108">
        <f>IFERROR(IF(d_Bv!X17=0,".",((Ir*F*MLF_strawberry*(1-EXP(-RadSpec!AZ17*t_b)))/(P*RadSpec!AZ17))),".")</f>
        <v>2.8597128609880828E-3</v>
      </c>
      <c r="AX17" s="108">
        <f>IFERROR(IF(d_Bv!Y17=0,".",((Ir*F*MLF_tomato*(1-EXP(-RadSpec!AZ17*t_b)))/(P*RadSpec!AZ17))),".")</f>
        <v>6.327114704936132E-2</v>
      </c>
      <c r="AY17" s="108">
        <f>IFERROR(IF(d_Bv!Z17=0,".",((Ir*F*MLF_rice*(1-EXP(-RadSpec!AZ17*t_b)))/(P*RadSpec!AZ17))),".")</f>
        <v>8.9366026905877582</v>
      </c>
      <c r="AZ17" s="108">
        <f>IFERROR(IF(d_Bv!AA17=0,".",((Ir*F*MLF_cereal*(1-EXP(-RadSpec!AZ17*t_b)))/(P*RadSpec!AZ17))),".")</f>
        <v>8.9366026905877582</v>
      </c>
      <c r="BA17" s="108">
        <f>IFERROR(IF(d_Bv!C17=0,".",((Ir*F*I_f*T*(1-EXP(-RadSpec!BA17*t_v)))/(Y_v*RadSpec!BA17))),".")</f>
        <v>3.6424203206347228</v>
      </c>
      <c r="BB17" s="108">
        <f>IFERROR(IF(d_Bv!D17=0,".",((Ir*F*I_f*T*(1-EXP(-RadSpec!BA17*t_v)))/(Y_v*RadSpec!BA17))),".")</f>
        <v>3.6424203206347228</v>
      </c>
      <c r="BC17" s="108">
        <f>IFERROR(IF(d_Bv!E17=0,".",((Ir*F*I_f*T*(1-EXP(-RadSpec!BA17*t_v)))/(Y_v*RadSpec!BA17))),".")</f>
        <v>3.6424203206347228</v>
      </c>
      <c r="BD17" s="108">
        <f>IFERROR(IF(d_Bv!F17=0,".",((Ir*F*I_f*T*(1-EXP(-RadSpec!BA17*t_v)))/(Y_v*RadSpec!BA17))),".")</f>
        <v>3.6424203206347228</v>
      </c>
      <c r="BE17" s="108">
        <f>IFERROR(IF(d_Bv!G17=0,".",((Ir*F*I_f*T*(1-EXP(-RadSpec!BA17*t_v)))/(Y_v*RadSpec!BA17))),".")</f>
        <v>3.6424203206347228</v>
      </c>
      <c r="BF17" s="108">
        <f>IFERROR(IF(d_Bv!H17=0,".",((Ir*F*I_f*T*(1-EXP(-RadSpec!BA17*t_v)))/(Y_v*RadSpec!BA17))),".")</f>
        <v>3.6424203206347228</v>
      </c>
      <c r="BG17" s="108">
        <f>IFERROR(IF(d_Bv!I17=0,".",((Ir*F*I_f*T*(1-EXP(-RadSpec!BA17*t_v)))/(Y_v*RadSpec!BA17))),".")</f>
        <v>3.6424203206347228</v>
      </c>
      <c r="BH17" s="108">
        <f>IFERROR(IF(d_Bv!J17=0,".",((Ir*F*I_f*T*(1-EXP(-RadSpec!BA17*t_v)))/(Y_v*RadSpec!BA17))),".")</f>
        <v>3.6424203206347228</v>
      </c>
      <c r="BI17" s="108">
        <f>IFERROR(IF(d_Bv!K17=0,".",((Ir*F*I_f*T*(1-EXP(-RadSpec!BA17*t_v)))/(Y_v*RadSpec!BA17))),".")</f>
        <v>3.6424203206347228</v>
      </c>
      <c r="BJ17" s="108">
        <f>IFERROR(IF(d_Bv!L17=0,".",((Ir*F*I_f*T*(1-EXP(-RadSpec!BA17*t_v)))/(Y_v*RadSpec!BA17))),".")</f>
        <v>3.6424203206347228</v>
      </c>
      <c r="BK17" s="108">
        <f>IFERROR(IF(d_Bv!M17=0,".",((Ir*F*I_f*T*(1-EXP(-RadSpec!BA17*t_v)))/(Y_v*RadSpec!BA17))),".")</f>
        <v>3.6424203206347228</v>
      </c>
      <c r="BL17" s="108">
        <f>IFERROR(IF(d_Bv!N17=0,".",((Ir*F*I_f*T*(1-EXP(-RadSpec!BA17*t_v)))/(Y_v*RadSpec!BA17))),".")</f>
        <v>3.6424203206347228</v>
      </c>
      <c r="BM17" s="108">
        <f>IFERROR(IF(d_Bv!O17=0,".",((Ir*F*I_f*T*(1-EXP(-RadSpec!BA17*t_v)))/(Y_v*RadSpec!BA17))),".")</f>
        <v>3.6424203206347228</v>
      </c>
      <c r="BN17" s="108">
        <f>IFERROR(IF(d_Bv!P17=0,".",((Ir*F*I_f*T*(1-EXP(-RadSpec!BA17*t_v)))/(Y_v*RadSpec!BA17))),".")</f>
        <v>3.6424203206347228</v>
      </c>
      <c r="BO17" s="108">
        <f>IFERROR(IF(d_Bv!Q17=0,".",((Ir*F*I_f*T*(1-EXP(-RadSpec!BA17*t_v)))/(Y_v*RadSpec!BA17))),".")</f>
        <v>3.6424203206347228</v>
      </c>
      <c r="BP17" s="108">
        <f>IFERROR(IF(d_Bv!R17=0,".",((Ir*F*I_f*T*(1-EXP(-RadSpec!BA17*t_v)))/(Y_v*RadSpec!BA17))),".")</f>
        <v>3.6424203206347228</v>
      </c>
      <c r="BQ17" s="108">
        <f>IFERROR(IF(d_Bv!S17=0,".",((Ir*F*I_f*T*(1-EXP(-RadSpec!BA17*t_v)))/(Y_v*RadSpec!BA17))),".")</f>
        <v>3.6424203206347228</v>
      </c>
      <c r="BR17" s="108">
        <f>IFERROR(IF(d_Bv!T17=0,".",((Ir*F*I_f*T*(1-EXP(-RadSpec!BA17*t_v)))/(Y_v*RadSpec!BA17))),".")</f>
        <v>3.6424203206347228</v>
      </c>
      <c r="BS17" s="108">
        <f>IFERROR(IF(d_Bv!U17=0,".",((Ir*F*I_f*T*(1-EXP(-RadSpec!BA17*t_v)))/(Y_v*RadSpec!BA17))),".")</f>
        <v>3.6424203206347228</v>
      </c>
      <c r="BT17" s="108">
        <f>IFERROR(IF(d_Bv!V17=0,".",((Ir*F*I_f*T*(1-EXP(-RadSpec!BA17*t_v)))/(Y_v*RadSpec!BA17))),".")</f>
        <v>3.6424203206347228</v>
      </c>
      <c r="BU17" s="108">
        <f>IFERROR(IF(d_Bv!W17=0,".",((Ir*F*I_f*T*(1-EXP(-RadSpec!BA17*t_v)))/(Y_v*RadSpec!BA17))),".")</f>
        <v>3.6424203206347228</v>
      </c>
      <c r="BV17" s="108">
        <f>IFERROR(IF(d_Bv!X17=0,".",((Ir*F*I_f*T*(1-EXP(-RadSpec!BA17*t_v)))/(Y_v*RadSpec!BA17))),".")</f>
        <v>3.6424203206347228</v>
      </c>
      <c r="BW17" s="108">
        <f>IFERROR(IF(d_Bv!Y17=0,".",((Ir*F*I_f*T*(1-EXP(-RadSpec!BA17*t_v)))/(Y_v*RadSpec!BA17))),".")</f>
        <v>3.6424203206347228</v>
      </c>
      <c r="BX17" s="108">
        <f>IFERROR(IF(d_Bv!Z17=0,".",((Ir*F*I_f*T*(1-EXP(-RadSpec!BA17*t_v)))/(Y_v*RadSpec!BA17))),".")</f>
        <v>3.6424203206347228</v>
      </c>
      <c r="BY17" s="108">
        <f>IFERROR(IF(d_Bv!AA17=0,".",((Ir*F*I_f*T*(1-EXP(-RadSpec!BA17*t_v)))/(Y_v*RadSpec!BA17))),".")</f>
        <v>3.6424203206347228</v>
      </c>
    </row>
    <row r="18" spans="1:77" x14ac:dyDescent="0.25">
      <c r="A18" s="44" t="s">
        <v>16</v>
      </c>
      <c r="B18" s="42" t="s">
        <v>1057</v>
      </c>
      <c r="C18" s="108">
        <f>IFERROR(IF(d_Bv!C18=0,".",((Ir*F*d_Bv!C18*(1-EXP(-RadSpec!AZ18*t_b)))/(P*RadSpec!AZ18))),".")</f>
        <v>7.1492821524702065E-3</v>
      </c>
      <c r="D18" s="108">
        <f>IFERROR(IF(d_Bv!D18=0,".",((Ir*F*d_Bv!D18*(1-EXP(-RadSpec!AZ18*t_b)))/(P*RadSpec!AZ18))),".")</f>
        <v>0.26452343964139763</v>
      </c>
      <c r="E18" s="108">
        <f>IFERROR(IF(d_Bv!E18=0,".",((Ir*F*d_Bv!E18*(1-EXP(-RadSpec!AZ18*t_b)))/(P*RadSpec!AZ18))),".")</f>
        <v>0.20732918242163598</v>
      </c>
      <c r="F18" s="108">
        <f>IFERROR(IF(d_Bv!F18=0,".",((Ir*F*d_Bv!F18*(1-EXP(-RadSpec!AZ18*t_b)))/(P*RadSpec!AZ18))),".")</f>
        <v>7.1492821524702065E-3</v>
      </c>
      <c r="G18" s="108">
        <f>IFERROR(IF(d_Bv!G18=0,".",((Ir*F*d_Bv!G18*(1-EXP(-RadSpec!AZ18*t_b)))/(P*RadSpec!AZ18))),".")</f>
        <v>7.1492821524702065E-3</v>
      </c>
      <c r="H18" s="108">
        <f>IFERROR(IF(d_Bv!H18=0,".",((Ir*F*d_Bv!H18*(1-EXP(-RadSpec!AZ18*t_b)))/(P*RadSpec!AZ18))),".")</f>
        <v>0.26452343964139763</v>
      </c>
      <c r="I18" s="108">
        <f>IFERROR(IF(d_Bv!I18=0,".",((Ir*F*d_Bv!I18*(1-EXP(-RadSpec!AZ18*t_b)))/(P*RadSpec!AZ18))),".")</f>
        <v>0.20732918242163598</v>
      </c>
      <c r="J18" s="108">
        <f>IFERROR(IF(d_Bv!J18=0,".",((Ir*F*d_Bv!J18*(1-EXP(-RadSpec!AZ18*t_b)))/(P*RadSpec!AZ18))),".")</f>
        <v>7.1492821524702065E-3</v>
      </c>
      <c r="K18" s="108">
        <f>IFERROR(IF(d_Bv!K18=0,".",((Ir*F*d_Bv!K18*(1-EXP(-RadSpec!AZ18*t_b)))/(P*RadSpec!AZ18))),".")</f>
        <v>8.5791385829642481E-3</v>
      </c>
      <c r="L18" s="108">
        <f>IFERROR(IF(d_Bv!L18=0,".",((Ir*F*d_Bv!L18*(1-EXP(-RadSpec!AZ18*t_b)))/(P*RadSpec!AZ18))),".")</f>
        <v>7.1492821524702065E-3</v>
      </c>
      <c r="M18" s="108">
        <f>IFERROR(IF(d_Bv!M18=0,".",((Ir*F*d_Bv!M18*(1-EXP(-RadSpec!AZ18*t_b)))/(P*RadSpec!AZ18))),".")</f>
        <v>0.26452343964139763</v>
      </c>
      <c r="N18" s="108">
        <f>IFERROR(IF(d_Bv!N18=0,".",((Ir*F*d_Bv!N18*(1-EXP(-RadSpec!AZ18*t_b)))/(P*RadSpec!AZ18))),".")</f>
        <v>9.6515309058347772E-3</v>
      </c>
      <c r="O18" s="108">
        <f>IFERROR(IF(d_Bv!O18=0,".",((Ir*F*d_Bv!O18*(1-EXP(-RadSpec!AZ18*t_b)))/(P*RadSpec!AZ18))),".")</f>
        <v>7.1492821524702065E-3</v>
      </c>
      <c r="P18" s="108">
        <f>IFERROR(IF(d_Bv!P18=0,".",((Ir*F*d_Bv!P18*(1-EXP(-RadSpec!AZ18*t_b)))/(P*RadSpec!AZ18))),".")</f>
        <v>0.20732918242163598</v>
      </c>
      <c r="Q18" s="108">
        <f>IFERROR(IF(d_Bv!Q18=0,".",((Ir*F*d_Bv!Q18*(1-EXP(-RadSpec!AZ18*t_b)))/(P*RadSpec!AZ18))),".")</f>
        <v>7.1492821524702065E-3</v>
      </c>
      <c r="R18" s="108">
        <f>IFERROR(IF(d_Bv!R18=0,".",((Ir*F*d_Bv!R18*(1-EXP(-RadSpec!AZ18*t_b)))/(P*RadSpec!AZ18))),".")</f>
        <v>7.1492821524702065E-3</v>
      </c>
      <c r="S18" s="108">
        <f>IFERROR(IF(d_Bv!S18=0,".",((Ir*F*d_Bv!S18*(1-EXP(-RadSpec!AZ18*t_b)))/(P*RadSpec!AZ18))),".")</f>
        <v>9.6515309058347772E-3</v>
      </c>
      <c r="T18" s="202">
        <f>IFERROR(IF(d_Bv!T18=0,".",((Ir*F*d_Bv!T18*(1-EXP(-RadSpec!AZ18*t_b)))/(P*RadSpec!AZ18))),".")</f>
        <v>7.1492821524702065E-3</v>
      </c>
      <c r="U18" s="108">
        <f>IFERROR(IF(d_Bv!U18=0,".",((Ir*F*d_Bv!U18*(1-EXP(-RadSpec!AZ18*t_b)))/(P*RadSpec!AZ18))),".")</f>
        <v>9.6515309058347792E-2</v>
      </c>
      <c r="V18" s="108">
        <f>IFERROR(IF(d_Bv!V18=0,".",((Ir*F*d_Bv!V18*(1-EXP(-RadSpec!AZ18*t_b)))/(P*RadSpec!AZ18))),".")</f>
        <v>7.1492821524702065E-3</v>
      </c>
      <c r="W18" s="108">
        <f>IFERROR(IF(d_Bv!W18=0,".",((Ir*F*d_Bv!W18*(1-EXP(-RadSpec!AZ18*t_b)))/(P*RadSpec!AZ18))),".")</f>
        <v>9.6515309058347772E-3</v>
      </c>
      <c r="X18" s="108">
        <f>IFERROR(IF(d_Bv!X18=0,".",((Ir*F*d_Bv!X18*(1-EXP(-RadSpec!AZ18*t_b)))/(P*RadSpec!AZ18))),".")</f>
        <v>7.1492821524702065E-3</v>
      </c>
      <c r="Y18" s="108">
        <f>IFERROR(IF(d_Bv!Y18=0,".",((Ir*F*d_Bv!Y18*(1-EXP(-RadSpec!AZ18*t_b)))/(P*RadSpec!AZ18))),".")</f>
        <v>7.1492821524702065E-3</v>
      </c>
      <c r="Z18" s="108">
        <f>IFERROR(IF(d_Bv!Z18=0,".",((Ir*F*d_Bv!Z18*(1-EXP(-RadSpec!AZ18*t_b)))/(P*RadSpec!AZ18))),".")</f>
        <v>0.4647033399105634</v>
      </c>
      <c r="AA18" s="108">
        <f>IFERROR(IF(d_Bv!AA18=0,".",((Ir*F*d_Bv!AA18*(1-EXP(-RadSpec!AZ18*t_b)))/(P*RadSpec!AZ18))),".")</f>
        <v>8.5791385829642481E-3</v>
      </c>
      <c r="AB18" s="108">
        <f>IFERROR(IF(d_Bv!C18=0,".",((Ir*F*MLF_apple*(1-EXP(-RadSpec!AZ18*t_b)))/(P*RadSpec!AZ18))),".")</f>
        <v>5.7194257219761657E-3</v>
      </c>
      <c r="AC18" s="108">
        <f>IFERROR(IF(d_Bv!D18=0,".",((Ir*F*MLF_asparagus*(1-EXP(-RadSpec!AZ18*t_b)))/(P*RadSpec!AZ18))),".")</f>
        <v>2.8239664502257315E-3</v>
      </c>
      <c r="AD18" s="108">
        <f>IFERROR(IF(d_Bv!E18=0,".",((Ir*F*MLF_beet*(1-EXP(-RadSpec!AZ18*t_b)))/(P*RadSpec!AZ18))),".")</f>
        <v>4.9330046852044422E-3</v>
      </c>
      <c r="AE18" s="108">
        <f>IFERROR(IF(d_Bv!F18=0,".",((Ir*F*MLF_berries*(1-EXP(-RadSpec!AZ18*t_b)))/(P*RadSpec!AZ18))),".")</f>
        <v>5.9339041865502712E-3</v>
      </c>
      <c r="AF18" s="108">
        <f>IFERROR(IF(d_Bv!G18=0,".",((Ir*F*MLF_broccoli*(1-EXP(-RadSpec!AZ18*t_b)))/(P*RadSpec!AZ18))),".")</f>
        <v>3.6103874869974538E-2</v>
      </c>
      <c r="AG18" s="108">
        <f>IFERROR(IF(d_Bv!H18=0,".",((Ir*F*MLF_cabbage*(1-EXP(-RadSpec!AZ18*t_b)))/(P*RadSpec!AZ18))),".")</f>
        <v>3.7533731300468582E-3</v>
      </c>
      <c r="AH18" s="108">
        <f>IFERROR(IF(d_Bv!I18=0,".",((Ir*F*MLF_carrot*(1-EXP(-RadSpec!AZ18*t_b)))/(P*RadSpec!AZ18))),".")</f>
        <v>3.4674018439480501E-3</v>
      </c>
      <c r="AI18" s="108">
        <f>IFERROR(IF(d_Bv!J18=0,".",((Ir*F*MLF_citrus*(1-EXP(-RadSpec!AZ18*t_b)))/(P*RadSpec!AZ18))),".")</f>
        <v>5.6121864896891112E-3</v>
      </c>
      <c r="AJ18" s="108">
        <f>IFERROR(IF(d_Bv!K18=0,".",((Ir*F*MLF_corn*(1-EXP(-RadSpec!AZ18*t_b)))/(P*RadSpec!AZ18))),".")</f>
        <v>5.1832295605408994E-3</v>
      </c>
      <c r="AK18" s="108">
        <f>IFERROR(IF(d_Bv!L18=0,".",((Ir*F*MLF_cucumber*(1-EXP(-RadSpec!AZ18*t_b)))/(P*RadSpec!AZ18))),".")</f>
        <v>1.4298564304940414E-3</v>
      </c>
      <c r="AL18" s="108">
        <f>IFERROR(IF(d_Bv!M18=0,".",((Ir*F*MLF_lettuce*(1-EXP(-RadSpec!AZ18*t_b)))/(P*RadSpec!AZ18))),".")</f>
        <v>0.48257654529173893</v>
      </c>
      <c r="AM18" s="108">
        <f>IFERROR(IF(d_Bv!N18=0,".",((Ir*F*MLF_lima_bean*(1-EXP(-RadSpec!AZ18*t_b)))/(P*RadSpec!AZ18))),".")</f>
        <v>0.13690875321980447</v>
      </c>
      <c r="AN18" s="108">
        <f>IFERROR(IF(d_Bv!O18=0,".",((Ir*F*MLF_okra*(1-EXP(-RadSpec!AZ18*t_b)))/(P*RadSpec!AZ18))),".")</f>
        <v>2.8597128609880828E-3</v>
      </c>
      <c r="AO18" s="108">
        <f>IFERROR(IF(d_Bv!P18=0,".",((Ir*F*MLF_onion*(1-EXP(-RadSpec!AZ18*t_b)))/(P*RadSpec!AZ18))),".")</f>
        <v>3.4674018439480501E-3</v>
      </c>
      <c r="AP18" s="108">
        <f>IFERROR(IF(d_Bv!Q18=0,".",((Ir*F*MLF_peach*(1-EXP(-RadSpec!AZ18*t_b)))/(P*RadSpec!AZ18))),".")</f>
        <v>5.361961614352654E-3</v>
      </c>
      <c r="AQ18" s="108">
        <f>IFERROR(IF(d_Bv!R18=0,".",((Ir*F*MLF_pear*(1-EXP(-RadSpec!AZ18*t_b)))/(P*RadSpec!AZ18))),".")</f>
        <v>5.7194257219761657E-3</v>
      </c>
      <c r="AR18" s="108">
        <f>IFERROR(IF(d_Bv!S18=0,".",((Ir*F*MLF_peas*(1-EXP(-RadSpec!AZ18*t_b)))/(P*RadSpec!AZ18))),".")</f>
        <v>6.3628611156984829E-3</v>
      </c>
      <c r="AS18" s="108">
        <f>IFERROR(IF(d_Bv!T18=0,".",((Ir*F*MLF_peppers*(1-EXP(-RadSpec!AZ18*t_b)))/(P*RadSpec!AZ18))),".")</f>
        <v>7.93570318924193E-2</v>
      </c>
      <c r="AT18" s="108">
        <f>IFERROR(IF(d_Bv!U18=0,".",((Ir*F*MLF_potato*(1-EXP(-RadSpec!AZ18*t_b)))/(P*RadSpec!AZ18))),".")</f>
        <v>7.5067462600937164E-3</v>
      </c>
      <c r="AU18" s="108">
        <f>IFERROR(IF(d_Bv!V18=0,".",((Ir*F*MLF_pumpkin*(1-EXP(-RadSpec!AZ18*t_b)))/(P*RadSpec!AZ18))),".")</f>
        <v>2.0732918242163598E-3</v>
      </c>
      <c r="AV18" s="108">
        <f>IFERROR(IF(d_Bv!W18=0,".",((Ir*F*MLF_snap_bean*(1-EXP(-RadSpec!AZ18*t_b)))/(P*RadSpec!AZ18))),".")</f>
        <v>0.17873205381175516</v>
      </c>
      <c r="AW18" s="108">
        <f>IFERROR(IF(d_Bv!X18=0,".",((Ir*F*MLF_strawberry*(1-EXP(-RadSpec!AZ18*t_b)))/(P*RadSpec!AZ18))),".")</f>
        <v>2.8597128609880828E-3</v>
      </c>
      <c r="AX18" s="108">
        <f>IFERROR(IF(d_Bv!Y18=0,".",((Ir*F*MLF_tomato*(1-EXP(-RadSpec!AZ18*t_b)))/(P*RadSpec!AZ18))),".")</f>
        <v>6.327114704936132E-2</v>
      </c>
      <c r="AY18" s="108">
        <f>IFERROR(IF(d_Bv!Z18=0,".",((Ir*F*MLF_rice*(1-EXP(-RadSpec!AZ18*t_b)))/(P*RadSpec!AZ18))),".")</f>
        <v>8.9366026905877582</v>
      </c>
      <c r="AZ18" s="108">
        <f>IFERROR(IF(d_Bv!AA18=0,".",((Ir*F*MLF_cereal*(1-EXP(-RadSpec!AZ18*t_b)))/(P*RadSpec!AZ18))),".")</f>
        <v>8.9366026905877582</v>
      </c>
      <c r="BA18" s="108">
        <f>IFERROR(IF(d_Bv!C18=0,".",((Ir*F*I_f*T*(1-EXP(-RadSpec!BA18*t_v)))/(Y_v*RadSpec!BA18))),".")</f>
        <v>3.6424203206347228</v>
      </c>
      <c r="BB18" s="108">
        <f>IFERROR(IF(d_Bv!D18=0,".",((Ir*F*I_f*T*(1-EXP(-RadSpec!BA18*t_v)))/(Y_v*RadSpec!BA18))),".")</f>
        <v>3.6424203206347228</v>
      </c>
      <c r="BC18" s="108">
        <f>IFERROR(IF(d_Bv!E18=0,".",((Ir*F*I_f*T*(1-EXP(-RadSpec!BA18*t_v)))/(Y_v*RadSpec!BA18))),".")</f>
        <v>3.6424203206347228</v>
      </c>
      <c r="BD18" s="108">
        <f>IFERROR(IF(d_Bv!F18=0,".",((Ir*F*I_f*T*(1-EXP(-RadSpec!BA18*t_v)))/(Y_v*RadSpec!BA18))),".")</f>
        <v>3.6424203206347228</v>
      </c>
      <c r="BE18" s="108">
        <f>IFERROR(IF(d_Bv!G18=0,".",((Ir*F*I_f*T*(1-EXP(-RadSpec!BA18*t_v)))/(Y_v*RadSpec!BA18))),".")</f>
        <v>3.6424203206347228</v>
      </c>
      <c r="BF18" s="108">
        <f>IFERROR(IF(d_Bv!H18=0,".",((Ir*F*I_f*T*(1-EXP(-RadSpec!BA18*t_v)))/(Y_v*RadSpec!BA18))),".")</f>
        <v>3.6424203206347228</v>
      </c>
      <c r="BG18" s="108">
        <f>IFERROR(IF(d_Bv!I18=0,".",((Ir*F*I_f*T*(1-EXP(-RadSpec!BA18*t_v)))/(Y_v*RadSpec!BA18))),".")</f>
        <v>3.6424203206347228</v>
      </c>
      <c r="BH18" s="108">
        <f>IFERROR(IF(d_Bv!J18=0,".",((Ir*F*I_f*T*(1-EXP(-RadSpec!BA18*t_v)))/(Y_v*RadSpec!BA18))),".")</f>
        <v>3.6424203206347228</v>
      </c>
      <c r="BI18" s="108">
        <f>IFERROR(IF(d_Bv!K18=0,".",((Ir*F*I_f*T*(1-EXP(-RadSpec!BA18*t_v)))/(Y_v*RadSpec!BA18))),".")</f>
        <v>3.6424203206347228</v>
      </c>
      <c r="BJ18" s="108">
        <f>IFERROR(IF(d_Bv!L18=0,".",((Ir*F*I_f*T*(1-EXP(-RadSpec!BA18*t_v)))/(Y_v*RadSpec!BA18))),".")</f>
        <v>3.6424203206347228</v>
      </c>
      <c r="BK18" s="108">
        <f>IFERROR(IF(d_Bv!M18=0,".",((Ir*F*I_f*T*(1-EXP(-RadSpec!BA18*t_v)))/(Y_v*RadSpec!BA18))),".")</f>
        <v>3.6424203206347228</v>
      </c>
      <c r="BL18" s="108">
        <f>IFERROR(IF(d_Bv!N18=0,".",((Ir*F*I_f*T*(1-EXP(-RadSpec!BA18*t_v)))/(Y_v*RadSpec!BA18))),".")</f>
        <v>3.6424203206347228</v>
      </c>
      <c r="BM18" s="108">
        <f>IFERROR(IF(d_Bv!O18=0,".",((Ir*F*I_f*T*(1-EXP(-RadSpec!BA18*t_v)))/(Y_v*RadSpec!BA18))),".")</f>
        <v>3.6424203206347228</v>
      </c>
      <c r="BN18" s="108">
        <f>IFERROR(IF(d_Bv!P18=0,".",((Ir*F*I_f*T*(1-EXP(-RadSpec!BA18*t_v)))/(Y_v*RadSpec!BA18))),".")</f>
        <v>3.6424203206347228</v>
      </c>
      <c r="BO18" s="108">
        <f>IFERROR(IF(d_Bv!Q18=0,".",((Ir*F*I_f*T*(1-EXP(-RadSpec!BA18*t_v)))/(Y_v*RadSpec!BA18))),".")</f>
        <v>3.6424203206347228</v>
      </c>
      <c r="BP18" s="108">
        <f>IFERROR(IF(d_Bv!R18=0,".",((Ir*F*I_f*T*(1-EXP(-RadSpec!BA18*t_v)))/(Y_v*RadSpec!BA18))),".")</f>
        <v>3.6424203206347228</v>
      </c>
      <c r="BQ18" s="108">
        <f>IFERROR(IF(d_Bv!S18=0,".",((Ir*F*I_f*T*(1-EXP(-RadSpec!BA18*t_v)))/(Y_v*RadSpec!BA18))),".")</f>
        <v>3.6424203206347228</v>
      </c>
      <c r="BR18" s="108">
        <f>IFERROR(IF(d_Bv!T18=0,".",((Ir*F*I_f*T*(1-EXP(-RadSpec!BA18*t_v)))/(Y_v*RadSpec!BA18))),".")</f>
        <v>3.6424203206347228</v>
      </c>
      <c r="BS18" s="108">
        <f>IFERROR(IF(d_Bv!U18=0,".",((Ir*F*I_f*T*(1-EXP(-RadSpec!BA18*t_v)))/(Y_v*RadSpec!BA18))),".")</f>
        <v>3.6424203206347228</v>
      </c>
      <c r="BT18" s="108">
        <f>IFERROR(IF(d_Bv!V18=0,".",((Ir*F*I_f*T*(1-EXP(-RadSpec!BA18*t_v)))/(Y_v*RadSpec!BA18))),".")</f>
        <v>3.6424203206347228</v>
      </c>
      <c r="BU18" s="108">
        <f>IFERROR(IF(d_Bv!W18=0,".",((Ir*F*I_f*T*(1-EXP(-RadSpec!BA18*t_v)))/(Y_v*RadSpec!BA18))),".")</f>
        <v>3.6424203206347228</v>
      </c>
      <c r="BV18" s="108">
        <f>IFERROR(IF(d_Bv!X18=0,".",((Ir*F*I_f*T*(1-EXP(-RadSpec!BA18*t_v)))/(Y_v*RadSpec!BA18))),".")</f>
        <v>3.6424203206347228</v>
      </c>
      <c r="BW18" s="108">
        <f>IFERROR(IF(d_Bv!Y18=0,".",((Ir*F*I_f*T*(1-EXP(-RadSpec!BA18*t_v)))/(Y_v*RadSpec!BA18))),".")</f>
        <v>3.6424203206347228</v>
      </c>
      <c r="BX18" s="108">
        <f>IFERROR(IF(d_Bv!Z18=0,".",((Ir*F*I_f*T*(1-EXP(-RadSpec!BA18*t_v)))/(Y_v*RadSpec!BA18))),".")</f>
        <v>3.6424203206347228</v>
      </c>
      <c r="BY18" s="108">
        <f>IFERROR(IF(d_Bv!AA18=0,".",((Ir*F*I_f*T*(1-EXP(-RadSpec!BA18*t_v)))/(Y_v*RadSpec!BA18))),".")</f>
        <v>3.6424203206347228</v>
      </c>
    </row>
    <row r="19" spans="1:77" x14ac:dyDescent="0.25">
      <c r="A19" s="44" t="s">
        <v>17</v>
      </c>
      <c r="B19" s="42" t="s">
        <v>1057</v>
      </c>
      <c r="C19" s="108">
        <f>IFERROR(IF(d_Bv!C19=0,".",((Ir*F*d_Bv!C19*(1-EXP(-RadSpec!AZ19*t_b)))/(P*RadSpec!AZ19))),".")</f>
        <v>7.1492821524702065E-3</v>
      </c>
      <c r="D19" s="108">
        <f>IFERROR(IF(d_Bv!D19=0,".",((Ir*F*d_Bv!D19*(1-EXP(-RadSpec!AZ19*t_b)))/(P*RadSpec!AZ19))),".")</f>
        <v>0.26452343964139763</v>
      </c>
      <c r="E19" s="108">
        <f>IFERROR(IF(d_Bv!E19=0,".",((Ir*F*d_Bv!E19*(1-EXP(-RadSpec!AZ19*t_b)))/(P*RadSpec!AZ19))),".")</f>
        <v>0.20732918242163598</v>
      </c>
      <c r="F19" s="108">
        <f>IFERROR(IF(d_Bv!F19=0,".",((Ir*F*d_Bv!F19*(1-EXP(-RadSpec!AZ19*t_b)))/(P*RadSpec!AZ19))),".")</f>
        <v>7.1492821524702065E-3</v>
      </c>
      <c r="G19" s="108">
        <f>IFERROR(IF(d_Bv!G19=0,".",((Ir*F*d_Bv!G19*(1-EXP(-RadSpec!AZ19*t_b)))/(P*RadSpec!AZ19))),".")</f>
        <v>7.1492821524702065E-3</v>
      </c>
      <c r="H19" s="108">
        <f>IFERROR(IF(d_Bv!H19=0,".",((Ir*F*d_Bv!H19*(1-EXP(-RadSpec!AZ19*t_b)))/(P*RadSpec!AZ19))),".")</f>
        <v>0.26452343964139763</v>
      </c>
      <c r="I19" s="108">
        <f>IFERROR(IF(d_Bv!I19=0,".",((Ir*F*d_Bv!I19*(1-EXP(-RadSpec!AZ19*t_b)))/(P*RadSpec!AZ19))),".")</f>
        <v>0.20732918242163598</v>
      </c>
      <c r="J19" s="108">
        <f>IFERROR(IF(d_Bv!J19=0,".",((Ir*F*d_Bv!J19*(1-EXP(-RadSpec!AZ19*t_b)))/(P*RadSpec!AZ19))),".")</f>
        <v>7.1492821524702065E-3</v>
      </c>
      <c r="K19" s="108">
        <f>IFERROR(IF(d_Bv!K19=0,".",((Ir*F*d_Bv!K19*(1-EXP(-RadSpec!AZ19*t_b)))/(P*RadSpec!AZ19))),".")</f>
        <v>8.5791385829642481E-3</v>
      </c>
      <c r="L19" s="108">
        <f>IFERROR(IF(d_Bv!L19=0,".",((Ir*F*d_Bv!L19*(1-EXP(-RadSpec!AZ19*t_b)))/(P*RadSpec!AZ19))),".")</f>
        <v>7.1492821524702065E-3</v>
      </c>
      <c r="M19" s="108">
        <f>IFERROR(IF(d_Bv!M19=0,".",((Ir*F*d_Bv!M19*(1-EXP(-RadSpec!AZ19*t_b)))/(P*RadSpec!AZ19))),".")</f>
        <v>0.26452343964139763</v>
      </c>
      <c r="N19" s="108">
        <f>IFERROR(IF(d_Bv!N19=0,".",((Ir*F*d_Bv!N19*(1-EXP(-RadSpec!AZ19*t_b)))/(P*RadSpec!AZ19))),".")</f>
        <v>9.6515309058347772E-3</v>
      </c>
      <c r="O19" s="108">
        <f>IFERROR(IF(d_Bv!O19=0,".",((Ir*F*d_Bv!O19*(1-EXP(-RadSpec!AZ19*t_b)))/(P*RadSpec!AZ19))),".")</f>
        <v>7.1492821524702065E-3</v>
      </c>
      <c r="P19" s="108">
        <f>IFERROR(IF(d_Bv!P19=0,".",((Ir*F*d_Bv!P19*(1-EXP(-RadSpec!AZ19*t_b)))/(P*RadSpec!AZ19))),".")</f>
        <v>0.20732918242163598</v>
      </c>
      <c r="Q19" s="108">
        <f>IFERROR(IF(d_Bv!Q19=0,".",((Ir*F*d_Bv!Q19*(1-EXP(-RadSpec!AZ19*t_b)))/(P*RadSpec!AZ19))),".")</f>
        <v>7.1492821524702065E-3</v>
      </c>
      <c r="R19" s="108">
        <f>IFERROR(IF(d_Bv!R19=0,".",((Ir*F*d_Bv!R19*(1-EXP(-RadSpec!AZ19*t_b)))/(P*RadSpec!AZ19))),".")</f>
        <v>7.1492821524702065E-3</v>
      </c>
      <c r="S19" s="108">
        <f>IFERROR(IF(d_Bv!S19=0,".",((Ir*F*d_Bv!S19*(1-EXP(-RadSpec!AZ19*t_b)))/(P*RadSpec!AZ19))),".")</f>
        <v>9.6515309058347772E-3</v>
      </c>
      <c r="T19" s="202">
        <f>IFERROR(IF(d_Bv!T19=0,".",((Ir*F*d_Bv!T19*(1-EXP(-RadSpec!AZ19*t_b)))/(P*RadSpec!AZ19))),".")</f>
        <v>7.1492821524702065E-3</v>
      </c>
      <c r="U19" s="108">
        <f>IFERROR(IF(d_Bv!U19=0,".",((Ir*F*d_Bv!U19*(1-EXP(-RadSpec!AZ19*t_b)))/(P*RadSpec!AZ19))),".")</f>
        <v>9.6515309058347792E-2</v>
      </c>
      <c r="V19" s="108">
        <f>IFERROR(IF(d_Bv!V19=0,".",((Ir*F*d_Bv!V19*(1-EXP(-RadSpec!AZ19*t_b)))/(P*RadSpec!AZ19))),".")</f>
        <v>7.1492821524702065E-3</v>
      </c>
      <c r="W19" s="108">
        <f>IFERROR(IF(d_Bv!W19=0,".",((Ir*F*d_Bv!W19*(1-EXP(-RadSpec!AZ19*t_b)))/(P*RadSpec!AZ19))),".")</f>
        <v>9.6515309058347772E-3</v>
      </c>
      <c r="X19" s="108">
        <f>IFERROR(IF(d_Bv!X19=0,".",((Ir*F*d_Bv!X19*(1-EXP(-RadSpec!AZ19*t_b)))/(P*RadSpec!AZ19))),".")</f>
        <v>7.1492821524702065E-3</v>
      </c>
      <c r="Y19" s="108">
        <f>IFERROR(IF(d_Bv!Y19=0,".",((Ir*F*d_Bv!Y19*(1-EXP(-RadSpec!AZ19*t_b)))/(P*RadSpec!AZ19))),".")</f>
        <v>7.1492821524702065E-3</v>
      </c>
      <c r="Z19" s="108">
        <f>IFERROR(IF(d_Bv!Z19=0,".",((Ir*F*d_Bv!Z19*(1-EXP(-RadSpec!AZ19*t_b)))/(P*RadSpec!AZ19))),".")</f>
        <v>0.4647033399105634</v>
      </c>
      <c r="AA19" s="108">
        <f>IFERROR(IF(d_Bv!AA19=0,".",((Ir*F*d_Bv!AA19*(1-EXP(-RadSpec!AZ19*t_b)))/(P*RadSpec!AZ19))),".")</f>
        <v>8.5791385829642481E-3</v>
      </c>
      <c r="AB19" s="108">
        <f>IFERROR(IF(d_Bv!C19=0,".",((Ir*F*MLF_apple*(1-EXP(-RadSpec!AZ19*t_b)))/(P*RadSpec!AZ19))),".")</f>
        <v>5.7194257219761657E-3</v>
      </c>
      <c r="AC19" s="108">
        <f>IFERROR(IF(d_Bv!D19=0,".",((Ir*F*MLF_asparagus*(1-EXP(-RadSpec!AZ19*t_b)))/(P*RadSpec!AZ19))),".")</f>
        <v>2.8239664502257315E-3</v>
      </c>
      <c r="AD19" s="108">
        <f>IFERROR(IF(d_Bv!E19=0,".",((Ir*F*MLF_beet*(1-EXP(-RadSpec!AZ19*t_b)))/(P*RadSpec!AZ19))),".")</f>
        <v>4.9330046852044422E-3</v>
      </c>
      <c r="AE19" s="108">
        <f>IFERROR(IF(d_Bv!F19=0,".",((Ir*F*MLF_berries*(1-EXP(-RadSpec!AZ19*t_b)))/(P*RadSpec!AZ19))),".")</f>
        <v>5.9339041865502712E-3</v>
      </c>
      <c r="AF19" s="108">
        <f>IFERROR(IF(d_Bv!G19=0,".",((Ir*F*MLF_broccoli*(1-EXP(-RadSpec!AZ19*t_b)))/(P*RadSpec!AZ19))),".")</f>
        <v>3.6103874869974538E-2</v>
      </c>
      <c r="AG19" s="108">
        <f>IFERROR(IF(d_Bv!H19=0,".",((Ir*F*MLF_cabbage*(1-EXP(-RadSpec!AZ19*t_b)))/(P*RadSpec!AZ19))),".")</f>
        <v>3.7533731300468582E-3</v>
      </c>
      <c r="AH19" s="108">
        <f>IFERROR(IF(d_Bv!I19=0,".",((Ir*F*MLF_carrot*(1-EXP(-RadSpec!AZ19*t_b)))/(P*RadSpec!AZ19))),".")</f>
        <v>3.4674018439480501E-3</v>
      </c>
      <c r="AI19" s="108">
        <f>IFERROR(IF(d_Bv!J19=0,".",((Ir*F*MLF_citrus*(1-EXP(-RadSpec!AZ19*t_b)))/(P*RadSpec!AZ19))),".")</f>
        <v>5.6121864896891112E-3</v>
      </c>
      <c r="AJ19" s="108">
        <f>IFERROR(IF(d_Bv!K19=0,".",((Ir*F*MLF_corn*(1-EXP(-RadSpec!AZ19*t_b)))/(P*RadSpec!AZ19))),".")</f>
        <v>5.1832295605408994E-3</v>
      </c>
      <c r="AK19" s="108">
        <f>IFERROR(IF(d_Bv!L19=0,".",((Ir*F*MLF_cucumber*(1-EXP(-RadSpec!AZ19*t_b)))/(P*RadSpec!AZ19))),".")</f>
        <v>1.4298564304940414E-3</v>
      </c>
      <c r="AL19" s="108">
        <f>IFERROR(IF(d_Bv!M19=0,".",((Ir*F*MLF_lettuce*(1-EXP(-RadSpec!AZ19*t_b)))/(P*RadSpec!AZ19))),".")</f>
        <v>0.48257654529173893</v>
      </c>
      <c r="AM19" s="108">
        <f>IFERROR(IF(d_Bv!N19=0,".",((Ir*F*MLF_lima_bean*(1-EXP(-RadSpec!AZ19*t_b)))/(P*RadSpec!AZ19))),".")</f>
        <v>0.13690875321980447</v>
      </c>
      <c r="AN19" s="108">
        <f>IFERROR(IF(d_Bv!O19=0,".",((Ir*F*MLF_okra*(1-EXP(-RadSpec!AZ19*t_b)))/(P*RadSpec!AZ19))),".")</f>
        <v>2.8597128609880828E-3</v>
      </c>
      <c r="AO19" s="108">
        <f>IFERROR(IF(d_Bv!P19=0,".",((Ir*F*MLF_onion*(1-EXP(-RadSpec!AZ19*t_b)))/(P*RadSpec!AZ19))),".")</f>
        <v>3.4674018439480501E-3</v>
      </c>
      <c r="AP19" s="108">
        <f>IFERROR(IF(d_Bv!Q19=0,".",((Ir*F*MLF_peach*(1-EXP(-RadSpec!AZ19*t_b)))/(P*RadSpec!AZ19))),".")</f>
        <v>5.361961614352654E-3</v>
      </c>
      <c r="AQ19" s="108">
        <f>IFERROR(IF(d_Bv!R19=0,".",((Ir*F*MLF_pear*(1-EXP(-RadSpec!AZ19*t_b)))/(P*RadSpec!AZ19))),".")</f>
        <v>5.7194257219761657E-3</v>
      </c>
      <c r="AR19" s="108">
        <f>IFERROR(IF(d_Bv!S19=0,".",((Ir*F*MLF_peas*(1-EXP(-RadSpec!AZ19*t_b)))/(P*RadSpec!AZ19))),".")</f>
        <v>6.3628611156984829E-3</v>
      </c>
      <c r="AS19" s="108">
        <f>IFERROR(IF(d_Bv!T19=0,".",((Ir*F*MLF_peppers*(1-EXP(-RadSpec!AZ19*t_b)))/(P*RadSpec!AZ19))),".")</f>
        <v>7.93570318924193E-2</v>
      </c>
      <c r="AT19" s="108">
        <f>IFERROR(IF(d_Bv!U19=0,".",((Ir*F*MLF_potato*(1-EXP(-RadSpec!AZ19*t_b)))/(P*RadSpec!AZ19))),".")</f>
        <v>7.5067462600937164E-3</v>
      </c>
      <c r="AU19" s="108">
        <f>IFERROR(IF(d_Bv!V19=0,".",((Ir*F*MLF_pumpkin*(1-EXP(-RadSpec!AZ19*t_b)))/(P*RadSpec!AZ19))),".")</f>
        <v>2.0732918242163598E-3</v>
      </c>
      <c r="AV19" s="108">
        <f>IFERROR(IF(d_Bv!W19=0,".",((Ir*F*MLF_snap_bean*(1-EXP(-RadSpec!AZ19*t_b)))/(P*RadSpec!AZ19))),".")</f>
        <v>0.17873205381175516</v>
      </c>
      <c r="AW19" s="108">
        <f>IFERROR(IF(d_Bv!X19=0,".",((Ir*F*MLF_strawberry*(1-EXP(-RadSpec!AZ19*t_b)))/(P*RadSpec!AZ19))),".")</f>
        <v>2.8597128609880828E-3</v>
      </c>
      <c r="AX19" s="108">
        <f>IFERROR(IF(d_Bv!Y19=0,".",((Ir*F*MLF_tomato*(1-EXP(-RadSpec!AZ19*t_b)))/(P*RadSpec!AZ19))),".")</f>
        <v>6.327114704936132E-2</v>
      </c>
      <c r="AY19" s="108">
        <f>IFERROR(IF(d_Bv!Z19=0,".",((Ir*F*MLF_rice*(1-EXP(-RadSpec!AZ19*t_b)))/(P*RadSpec!AZ19))),".")</f>
        <v>8.9366026905877582</v>
      </c>
      <c r="AZ19" s="108">
        <f>IFERROR(IF(d_Bv!AA19=0,".",((Ir*F*MLF_cereal*(1-EXP(-RadSpec!AZ19*t_b)))/(P*RadSpec!AZ19))),".")</f>
        <v>8.9366026905877582</v>
      </c>
      <c r="BA19" s="108">
        <f>IFERROR(IF(d_Bv!C19=0,".",((Ir*F*I_f*T*(1-EXP(-RadSpec!BA19*t_v)))/(Y_v*RadSpec!BA19))),".")</f>
        <v>3.6424203206347228</v>
      </c>
      <c r="BB19" s="108">
        <f>IFERROR(IF(d_Bv!D19=0,".",((Ir*F*I_f*T*(1-EXP(-RadSpec!BA19*t_v)))/(Y_v*RadSpec!BA19))),".")</f>
        <v>3.6424203206347228</v>
      </c>
      <c r="BC19" s="108">
        <f>IFERROR(IF(d_Bv!E19=0,".",((Ir*F*I_f*T*(1-EXP(-RadSpec!BA19*t_v)))/(Y_v*RadSpec!BA19))),".")</f>
        <v>3.6424203206347228</v>
      </c>
      <c r="BD19" s="108">
        <f>IFERROR(IF(d_Bv!F19=0,".",((Ir*F*I_f*T*(1-EXP(-RadSpec!BA19*t_v)))/(Y_v*RadSpec!BA19))),".")</f>
        <v>3.6424203206347228</v>
      </c>
      <c r="BE19" s="108">
        <f>IFERROR(IF(d_Bv!G19=0,".",((Ir*F*I_f*T*(1-EXP(-RadSpec!BA19*t_v)))/(Y_v*RadSpec!BA19))),".")</f>
        <v>3.6424203206347228</v>
      </c>
      <c r="BF19" s="108">
        <f>IFERROR(IF(d_Bv!H19=0,".",((Ir*F*I_f*T*(1-EXP(-RadSpec!BA19*t_v)))/(Y_v*RadSpec!BA19))),".")</f>
        <v>3.6424203206347228</v>
      </c>
      <c r="BG19" s="108">
        <f>IFERROR(IF(d_Bv!I19=0,".",((Ir*F*I_f*T*(1-EXP(-RadSpec!BA19*t_v)))/(Y_v*RadSpec!BA19))),".")</f>
        <v>3.6424203206347228</v>
      </c>
      <c r="BH19" s="108">
        <f>IFERROR(IF(d_Bv!J19=0,".",((Ir*F*I_f*T*(1-EXP(-RadSpec!BA19*t_v)))/(Y_v*RadSpec!BA19))),".")</f>
        <v>3.6424203206347228</v>
      </c>
      <c r="BI19" s="108">
        <f>IFERROR(IF(d_Bv!K19=0,".",((Ir*F*I_f*T*(1-EXP(-RadSpec!BA19*t_v)))/(Y_v*RadSpec!BA19))),".")</f>
        <v>3.6424203206347228</v>
      </c>
      <c r="BJ19" s="108">
        <f>IFERROR(IF(d_Bv!L19=0,".",((Ir*F*I_f*T*(1-EXP(-RadSpec!BA19*t_v)))/(Y_v*RadSpec!BA19))),".")</f>
        <v>3.6424203206347228</v>
      </c>
      <c r="BK19" s="108">
        <f>IFERROR(IF(d_Bv!M19=0,".",((Ir*F*I_f*T*(1-EXP(-RadSpec!BA19*t_v)))/(Y_v*RadSpec!BA19))),".")</f>
        <v>3.6424203206347228</v>
      </c>
      <c r="BL19" s="108">
        <f>IFERROR(IF(d_Bv!N19=0,".",((Ir*F*I_f*T*(1-EXP(-RadSpec!BA19*t_v)))/(Y_v*RadSpec!BA19))),".")</f>
        <v>3.6424203206347228</v>
      </c>
      <c r="BM19" s="108">
        <f>IFERROR(IF(d_Bv!O19=0,".",((Ir*F*I_f*T*(1-EXP(-RadSpec!BA19*t_v)))/(Y_v*RadSpec!BA19))),".")</f>
        <v>3.6424203206347228</v>
      </c>
      <c r="BN19" s="108">
        <f>IFERROR(IF(d_Bv!P19=0,".",((Ir*F*I_f*T*(1-EXP(-RadSpec!BA19*t_v)))/(Y_v*RadSpec!BA19))),".")</f>
        <v>3.6424203206347228</v>
      </c>
      <c r="BO19" s="108">
        <f>IFERROR(IF(d_Bv!Q19=0,".",((Ir*F*I_f*T*(1-EXP(-RadSpec!BA19*t_v)))/(Y_v*RadSpec!BA19))),".")</f>
        <v>3.6424203206347228</v>
      </c>
      <c r="BP19" s="108">
        <f>IFERROR(IF(d_Bv!R19=0,".",((Ir*F*I_f*T*(1-EXP(-RadSpec!BA19*t_v)))/(Y_v*RadSpec!BA19))),".")</f>
        <v>3.6424203206347228</v>
      </c>
      <c r="BQ19" s="108">
        <f>IFERROR(IF(d_Bv!S19=0,".",((Ir*F*I_f*T*(1-EXP(-RadSpec!BA19*t_v)))/(Y_v*RadSpec!BA19))),".")</f>
        <v>3.6424203206347228</v>
      </c>
      <c r="BR19" s="108">
        <f>IFERROR(IF(d_Bv!T19=0,".",((Ir*F*I_f*T*(1-EXP(-RadSpec!BA19*t_v)))/(Y_v*RadSpec!BA19))),".")</f>
        <v>3.6424203206347228</v>
      </c>
      <c r="BS19" s="108">
        <f>IFERROR(IF(d_Bv!U19=0,".",((Ir*F*I_f*T*(1-EXP(-RadSpec!BA19*t_v)))/(Y_v*RadSpec!BA19))),".")</f>
        <v>3.6424203206347228</v>
      </c>
      <c r="BT19" s="108">
        <f>IFERROR(IF(d_Bv!V19=0,".",((Ir*F*I_f*T*(1-EXP(-RadSpec!BA19*t_v)))/(Y_v*RadSpec!BA19))),".")</f>
        <v>3.6424203206347228</v>
      </c>
      <c r="BU19" s="108">
        <f>IFERROR(IF(d_Bv!W19=0,".",((Ir*F*I_f*T*(1-EXP(-RadSpec!BA19*t_v)))/(Y_v*RadSpec!BA19))),".")</f>
        <v>3.6424203206347228</v>
      </c>
      <c r="BV19" s="108">
        <f>IFERROR(IF(d_Bv!X19=0,".",((Ir*F*I_f*T*(1-EXP(-RadSpec!BA19*t_v)))/(Y_v*RadSpec!BA19))),".")</f>
        <v>3.6424203206347228</v>
      </c>
      <c r="BW19" s="108">
        <f>IFERROR(IF(d_Bv!Y19=0,".",((Ir*F*I_f*T*(1-EXP(-RadSpec!BA19*t_v)))/(Y_v*RadSpec!BA19))),".")</f>
        <v>3.6424203206347228</v>
      </c>
      <c r="BX19" s="108">
        <f>IFERROR(IF(d_Bv!Z19=0,".",((Ir*F*I_f*T*(1-EXP(-RadSpec!BA19*t_v)))/(Y_v*RadSpec!BA19))),".")</f>
        <v>3.6424203206347228</v>
      </c>
      <c r="BY19" s="108">
        <f>IFERROR(IF(d_Bv!AA19=0,".",((Ir*F*I_f*T*(1-EXP(-RadSpec!BA19*t_v)))/(Y_v*RadSpec!BA19))),".")</f>
        <v>3.6424203206347228</v>
      </c>
    </row>
    <row r="20" spans="1:77" x14ac:dyDescent="0.25">
      <c r="A20" s="44" t="s">
        <v>18</v>
      </c>
      <c r="B20" s="42" t="s">
        <v>1057</v>
      </c>
      <c r="C20" s="108">
        <f>IFERROR(IF(d_Bv!C20=0,".",((Ir*F*d_Bv!C20*(1-EXP(-RadSpec!AZ20*t_b)))/(P*RadSpec!AZ20))),".")</f>
        <v>7.1492821524702065E-3</v>
      </c>
      <c r="D20" s="108">
        <f>IFERROR(IF(d_Bv!D20=0,".",((Ir*F*d_Bv!D20*(1-EXP(-RadSpec!AZ20*t_b)))/(P*RadSpec!AZ20))),".")</f>
        <v>0.26452343964139763</v>
      </c>
      <c r="E20" s="108">
        <f>IFERROR(IF(d_Bv!E20=0,".",((Ir*F*d_Bv!E20*(1-EXP(-RadSpec!AZ20*t_b)))/(P*RadSpec!AZ20))),".")</f>
        <v>0.20732918242163598</v>
      </c>
      <c r="F20" s="108">
        <f>IFERROR(IF(d_Bv!F20=0,".",((Ir*F*d_Bv!F20*(1-EXP(-RadSpec!AZ20*t_b)))/(P*RadSpec!AZ20))),".")</f>
        <v>7.1492821524702065E-3</v>
      </c>
      <c r="G20" s="108">
        <f>IFERROR(IF(d_Bv!G20=0,".",((Ir*F*d_Bv!G20*(1-EXP(-RadSpec!AZ20*t_b)))/(P*RadSpec!AZ20))),".")</f>
        <v>7.1492821524702065E-3</v>
      </c>
      <c r="H20" s="108">
        <f>IFERROR(IF(d_Bv!H20=0,".",((Ir*F*d_Bv!H20*(1-EXP(-RadSpec!AZ20*t_b)))/(P*RadSpec!AZ20))),".")</f>
        <v>0.26452343964139763</v>
      </c>
      <c r="I20" s="108">
        <f>IFERROR(IF(d_Bv!I20=0,".",((Ir*F*d_Bv!I20*(1-EXP(-RadSpec!AZ20*t_b)))/(P*RadSpec!AZ20))),".")</f>
        <v>0.20732918242163598</v>
      </c>
      <c r="J20" s="108">
        <f>IFERROR(IF(d_Bv!J20=0,".",((Ir*F*d_Bv!J20*(1-EXP(-RadSpec!AZ20*t_b)))/(P*RadSpec!AZ20))),".")</f>
        <v>7.1492821524702065E-3</v>
      </c>
      <c r="K20" s="108">
        <f>IFERROR(IF(d_Bv!K20=0,".",((Ir*F*d_Bv!K20*(1-EXP(-RadSpec!AZ20*t_b)))/(P*RadSpec!AZ20))),".")</f>
        <v>8.5791385829642481E-3</v>
      </c>
      <c r="L20" s="108">
        <f>IFERROR(IF(d_Bv!L20=0,".",((Ir*F*d_Bv!L20*(1-EXP(-RadSpec!AZ20*t_b)))/(P*RadSpec!AZ20))),".")</f>
        <v>7.1492821524702065E-3</v>
      </c>
      <c r="M20" s="108">
        <f>IFERROR(IF(d_Bv!M20=0,".",((Ir*F*d_Bv!M20*(1-EXP(-RadSpec!AZ20*t_b)))/(P*RadSpec!AZ20))),".")</f>
        <v>0.26452343964139763</v>
      </c>
      <c r="N20" s="108">
        <f>IFERROR(IF(d_Bv!N20=0,".",((Ir*F*d_Bv!N20*(1-EXP(-RadSpec!AZ20*t_b)))/(P*RadSpec!AZ20))),".")</f>
        <v>9.6515309058347772E-3</v>
      </c>
      <c r="O20" s="108">
        <f>IFERROR(IF(d_Bv!O20=0,".",((Ir*F*d_Bv!O20*(1-EXP(-RadSpec!AZ20*t_b)))/(P*RadSpec!AZ20))),".")</f>
        <v>7.1492821524702065E-3</v>
      </c>
      <c r="P20" s="108">
        <f>IFERROR(IF(d_Bv!I20=0,".",((Ir*F*d_Bv!I20*(1-EXP(-RadSpec!AZ20*t_b)))/(P*RadSpec!AZ20))),".")</f>
        <v>0.20732918242163598</v>
      </c>
      <c r="Q20" s="108">
        <f>IFERROR(IF(d_Bv!Q20=0,".",((Ir*F*d_Bv!Q20*(1-EXP(-RadSpec!AZ20*t_b)))/(P*RadSpec!AZ20))),".")</f>
        <v>7.1492821524702065E-3</v>
      </c>
      <c r="R20" s="108">
        <f>IFERROR(IF(d_Bv!R20=0,".",((Ir*F*d_Bv!R20*(1-EXP(-RadSpec!AZ20*t_b)))/(P*RadSpec!AZ20))),".")</f>
        <v>7.1492821524702065E-3</v>
      </c>
      <c r="S20" s="108">
        <f>IFERROR(IF(d_Bv!S20=0,".",((Ir*F*d_Bv!S20*(1-EXP(-RadSpec!AZ20*t_b)))/(P*RadSpec!AZ20))),".")</f>
        <v>9.6515309058347772E-3</v>
      </c>
      <c r="T20" s="202">
        <f>IFERROR(IF(d_Bv!T20=0,".",((Ir*F*d_Bv!T20*(1-EXP(-RadSpec!AZ20*t_b)))/(P*RadSpec!AZ20))),".")</f>
        <v>7.1492821524702065E-3</v>
      </c>
      <c r="U20" s="108">
        <f>IFERROR(IF(d_Bv!U20=0,".",((Ir*F*d_Bv!U20*(1-EXP(-RadSpec!AZ20*t_b)))/(P*RadSpec!AZ20))),".")</f>
        <v>9.6515309058347792E-2</v>
      </c>
      <c r="V20" s="108">
        <f>IFERROR(IF(d_Bv!V20=0,".",((Ir*F*d_Bv!V20*(1-EXP(-RadSpec!AZ20*t_b)))/(P*RadSpec!AZ20))),".")</f>
        <v>7.1492821524702065E-3</v>
      </c>
      <c r="W20" s="108">
        <f>IFERROR(IF(d_Bv!W20=0,".",((Ir*F*d_Bv!W20*(1-EXP(-RadSpec!AZ20*t_b)))/(P*RadSpec!AZ20))),".")</f>
        <v>9.6515309058347772E-3</v>
      </c>
      <c r="X20" s="108">
        <f>IFERROR(IF(d_Bv!X20=0,".",((Ir*F*d_Bv!X20*(1-EXP(-RadSpec!AZ20*t_b)))/(P*RadSpec!AZ20))),".")</f>
        <v>7.1492821524702065E-3</v>
      </c>
      <c r="Y20" s="108">
        <f>IFERROR(IF(d_Bv!Y20=0,".",((Ir*F*d_Bv!Y20*(1-EXP(-RadSpec!AZ20*t_b)))/(P*RadSpec!AZ20))),".")</f>
        <v>7.1492821524702065E-3</v>
      </c>
      <c r="Z20" s="108">
        <f>IFERROR(IF(d_Bv!Z20=0,".",((Ir*F*d_Bv!Z20*(1-EXP(-RadSpec!AZ20*t_b)))/(P*RadSpec!AZ20))),".")</f>
        <v>0.4647033399105634</v>
      </c>
      <c r="AA20" s="108">
        <f>IFERROR(IF(d_Bv!AA20=0,".",((Ir*F*d_Bv!AA20*(1-EXP(-RadSpec!AZ20*t_b)))/(P*RadSpec!AZ20))),".")</f>
        <v>8.5791385829642481E-3</v>
      </c>
      <c r="AB20" s="108">
        <f>IFERROR(IF(d_Bv!C20=0,".",((Ir*F*MLF_apple*(1-EXP(-RadSpec!AZ20*t_b)))/(P*RadSpec!AZ20))),".")</f>
        <v>5.7194257219761657E-3</v>
      </c>
      <c r="AC20" s="108">
        <f>IFERROR(IF(d_Bv!D20=0,".",((Ir*F*MLF_asparagus*(1-EXP(-RadSpec!AZ20*t_b)))/(P*RadSpec!AZ20))),".")</f>
        <v>2.8239664502257315E-3</v>
      </c>
      <c r="AD20" s="108">
        <f>IFERROR(IF(d_Bv!E20=0,".",((Ir*F*MLF_beet*(1-EXP(-RadSpec!AZ20*t_b)))/(P*RadSpec!AZ20))),".")</f>
        <v>4.9330046852044422E-3</v>
      </c>
      <c r="AE20" s="108">
        <f>IFERROR(IF(d_Bv!F20=0,".",((Ir*F*MLF_berries*(1-EXP(-RadSpec!AZ20*t_b)))/(P*RadSpec!AZ20))),".")</f>
        <v>5.9339041865502712E-3</v>
      </c>
      <c r="AF20" s="108">
        <f>IFERROR(IF(d_Bv!G20=0,".",((Ir*F*MLF_broccoli*(1-EXP(-RadSpec!AZ20*t_b)))/(P*RadSpec!AZ20))),".")</f>
        <v>3.6103874869974538E-2</v>
      </c>
      <c r="AG20" s="108">
        <f>IFERROR(IF(d_Bv!H20=0,".",((Ir*F*MLF_cabbage*(1-EXP(-RadSpec!AZ20*t_b)))/(P*RadSpec!AZ20))),".")</f>
        <v>3.7533731300468582E-3</v>
      </c>
      <c r="AH20" s="108">
        <f>IFERROR(IF(d_Bv!I20=0,".",((Ir*F*MLF_carrot*(1-EXP(-RadSpec!AZ20*t_b)))/(P*RadSpec!AZ20))),".")</f>
        <v>3.4674018439480501E-3</v>
      </c>
      <c r="AI20" s="108">
        <f>IFERROR(IF(d_Bv!J20=0,".",((Ir*F*MLF_citrus*(1-EXP(-RadSpec!AZ20*t_b)))/(P*RadSpec!AZ20))),".")</f>
        <v>5.6121864896891112E-3</v>
      </c>
      <c r="AJ20" s="108">
        <f>IFERROR(IF(d_Bv!K20=0,".",((Ir*F*MLF_corn*(1-EXP(-RadSpec!AZ20*t_b)))/(P*RadSpec!AZ20))),".")</f>
        <v>5.1832295605408994E-3</v>
      </c>
      <c r="AK20" s="108">
        <f>IFERROR(IF(d_Bv!L20=0,".",((Ir*F*MLF_cucumber*(1-EXP(-RadSpec!AZ20*t_b)))/(P*RadSpec!AZ20))),".")</f>
        <v>1.4298564304940414E-3</v>
      </c>
      <c r="AL20" s="108">
        <f>IFERROR(IF(d_Bv!M20=0,".",((Ir*F*MLF_lettuce*(1-EXP(-RadSpec!AZ20*t_b)))/(P*RadSpec!AZ20))),".")</f>
        <v>0.48257654529173893</v>
      </c>
      <c r="AM20" s="108">
        <f>IFERROR(IF(d_Bv!N20=0,".",((Ir*F*MLF_lima_bean*(1-EXP(-RadSpec!AZ20*t_b)))/(P*RadSpec!AZ20))),".")</f>
        <v>0.13690875321980447</v>
      </c>
      <c r="AN20" s="108">
        <f>IFERROR(IF(d_Bv!O20=0,".",((Ir*F*MLF_okra*(1-EXP(-RadSpec!AZ20*t_b)))/(P*RadSpec!AZ20))),".")</f>
        <v>2.8597128609880828E-3</v>
      </c>
      <c r="AO20" s="108">
        <f>IFERROR(IF(d_Bv!P20=0,".",((Ir*F*MLF_onion*(1-EXP(-RadSpec!AZ20*t_b)))/(P*RadSpec!AZ20))),".")</f>
        <v>3.4674018439480501E-3</v>
      </c>
      <c r="AP20" s="108">
        <f>IFERROR(IF(d_Bv!Q20=0,".",((Ir*F*MLF_peach*(1-EXP(-RadSpec!AZ20*t_b)))/(P*RadSpec!AZ20))),".")</f>
        <v>5.361961614352654E-3</v>
      </c>
      <c r="AQ20" s="108">
        <f>IFERROR(IF(d_Bv!R20=0,".",((Ir*F*MLF_pear*(1-EXP(-RadSpec!AZ20*t_b)))/(P*RadSpec!AZ20))),".")</f>
        <v>5.7194257219761657E-3</v>
      </c>
      <c r="AR20" s="108">
        <f>IFERROR(IF(d_Bv!S20=0,".",((Ir*F*MLF_peas*(1-EXP(-RadSpec!AZ20*t_b)))/(P*RadSpec!AZ20))),".")</f>
        <v>6.3628611156984829E-3</v>
      </c>
      <c r="AS20" s="108">
        <f>IFERROR(IF(d_Bv!T20=0,".",((Ir*F*MLF_peppers*(1-EXP(-RadSpec!AZ20*t_b)))/(P*RadSpec!AZ20))),".")</f>
        <v>7.93570318924193E-2</v>
      </c>
      <c r="AT20" s="108">
        <f>IFERROR(IF(d_Bv!U20=0,".",((Ir*F*MLF_potato*(1-EXP(-RadSpec!AZ20*t_b)))/(P*RadSpec!AZ20))),".")</f>
        <v>7.5067462600937164E-3</v>
      </c>
      <c r="AU20" s="108">
        <f>IFERROR(IF(d_Bv!V20=0,".",((Ir*F*MLF_pumpkin*(1-EXP(-RadSpec!AZ20*t_b)))/(P*RadSpec!AZ20))),".")</f>
        <v>2.0732918242163598E-3</v>
      </c>
      <c r="AV20" s="108">
        <f>IFERROR(IF(d_Bv!W20=0,".",((Ir*F*MLF_snap_bean*(1-EXP(-RadSpec!AZ20*t_b)))/(P*RadSpec!AZ20))),".")</f>
        <v>0.17873205381175516</v>
      </c>
      <c r="AW20" s="108">
        <f>IFERROR(IF(d_Bv!X20=0,".",((Ir*F*MLF_strawberry*(1-EXP(-RadSpec!AZ20*t_b)))/(P*RadSpec!AZ20))),".")</f>
        <v>2.8597128609880828E-3</v>
      </c>
      <c r="AX20" s="108">
        <f>IFERROR(IF(d_Bv!Y20=0,".",((Ir*F*MLF_tomato*(1-EXP(-RadSpec!AZ20*t_b)))/(P*RadSpec!AZ20))),".")</f>
        <v>6.327114704936132E-2</v>
      </c>
      <c r="AY20" s="108">
        <f>IFERROR(IF(d_Bv!Z20=0,".",((Ir*F*MLF_rice*(1-EXP(-RadSpec!AZ20*t_b)))/(P*RadSpec!AZ20))),".")</f>
        <v>8.9366026905877582</v>
      </c>
      <c r="AZ20" s="108">
        <f>IFERROR(IF(d_Bv!AA20=0,".",((Ir*F*MLF_cereal*(1-EXP(-RadSpec!AZ20*t_b)))/(P*RadSpec!AZ20))),".")</f>
        <v>8.9366026905877582</v>
      </c>
      <c r="BA20" s="108">
        <f>IFERROR(IF(d_Bv!C20=0,".",((Ir*F*I_f*T*(1-EXP(-RadSpec!BA20*t_v)))/(Y_v*RadSpec!BA20))),".")</f>
        <v>3.6424203206347228</v>
      </c>
      <c r="BB20" s="108">
        <f>IFERROR(IF(d_Bv!D20=0,".",((Ir*F*I_f*T*(1-EXP(-RadSpec!BA20*t_v)))/(Y_v*RadSpec!BA20))),".")</f>
        <v>3.6424203206347228</v>
      </c>
      <c r="BC20" s="108">
        <f>IFERROR(IF(d_Bv!E20=0,".",((Ir*F*I_f*T*(1-EXP(-RadSpec!BA20*t_v)))/(Y_v*RadSpec!BA20))),".")</f>
        <v>3.6424203206347228</v>
      </c>
      <c r="BD20" s="108">
        <f>IFERROR(IF(d_Bv!F20=0,".",((Ir*F*I_f*T*(1-EXP(-RadSpec!BA20*t_v)))/(Y_v*RadSpec!BA20))),".")</f>
        <v>3.6424203206347228</v>
      </c>
      <c r="BE20" s="108">
        <f>IFERROR(IF(d_Bv!G20=0,".",((Ir*F*I_f*T*(1-EXP(-RadSpec!BA20*t_v)))/(Y_v*RadSpec!BA20))),".")</f>
        <v>3.6424203206347228</v>
      </c>
      <c r="BF20" s="108">
        <f>IFERROR(IF(d_Bv!H20=0,".",((Ir*F*I_f*T*(1-EXP(-RadSpec!BA20*t_v)))/(Y_v*RadSpec!BA20))),".")</f>
        <v>3.6424203206347228</v>
      </c>
      <c r="BG20" s="108">
        <f>IFERROR(IF(d_Bv!I20=0,".",((Ir*F*I_f*T*(1-EXP(-RadSpec!BA20*t_v)))/(Y_v*RadSpec!BA20))),".")</f>
        <v>3.6424203206347228</v>
      </c>
      <c r="BH20" s="108">
        <f>IFERROR(IF(d_Bv!J20=0,".",((Ir*F*I_f*T*(1-EXP(-RadSpec!BA20*t_v)))/(Y_v*RadSpec!BA20))),".")</f>
        <v>3.6424203206347228</v>
      </c>
      <c r="BI20" s="108">
        <f>IFERROR(IF(d_Bv!K20=0,".",((Ir*F*I_f*T*(1-EXP(-RadSpec!BA20*t_v)))/(Y_v*RadSpec!BA20))),".")</f>
        <v>3.6424203206347228</v>
      </c>
      <c r="BJ20" s="108">
        <f>IFERROR(IF(d_Bv!L20=0,".",((Ir*F*I_f*T*(1-EXP(-RadSpec!BA20*t_v)))/(Y_v*RadSpec!BA20))),".")</f>
        <v>3.6424203206347228</v>
      </c>
      <c r="BK20" s="108">
        <f>IFERROR(IF(d_Bv!M20=0,".",((Ir*F*I_f*T*(1-EXP(-RadSpec!BA20*t_v)))/(Y_v*RadSpec!BA20))),".")</f>
        <v>3.6424203206347228</v>
      </c>
      <c r="BL20" s="108">
        <f>IFERROR(IF(d_Bv!N20=0,".",((Ir*F*I_f*T*(1-EXP(-RadSpec!BA20*t_v)))/(Y_v*RadSpec!BA20))),".")</f>
        <v>3.6424203206347228</v>
      </c>
      <c r="BM20" s="108">
        <f>IFERROR(IF(d_Bv!O20=0,".",((Ir*F*I_f*T*(1-EXP(-RadSpec!BA20*t_v)))/(Y_v*RadSpec!BA20))),".")</f>
        <v>3.6424203206347228</v>
      </c>
      <c r="BN20" s="108">
        <f>IFERROR(IF(d_Bv!P20=0,".",((Ir*F*I_f*T*(1-EXP(-RadSpec!BA20*t_v)))/(Y_v*RadSpec!BA20))),".")</f>
        <v>3.6424203206347228</v>
      </c>
      <c r="BO20" s="108">
        <f>IFERROR(IF(d_Bv!Q20=0,".",((Ir*F*I_f*T*(1-EXP(-RadSpec!BA20*t_v)))/(Y_v*RadSpec!BA20))),".")</f>
        <v>3.6424203206347228</v>
      </c>
      <c r="BP20" s="108">
        <f>IFERROR(IF(d_Bv!R20=0,".",((Ir*F*I_f*T*(1-EXP(-RadSpec!BA20*t_v)))/(Y_v*RadSpec!BA20))),".")</f>
        <v>3.6424203206347228</v>
      </c>
      <c r="BQ20" s="108">
        <f>IFERROR(IF(d_Bv!S20=0,".",((Ir*F*I_f*T*(1-EXP(-RadSpec!BA20*t_v)))/(Y_v*RadSpec!BA20))),".")</f>
        <v>3.6424203206347228</v>
      </c>
      <c r="BR20" s="108">
        <f>IFERROR(IF(d_Bv!T20=0,".",((Ir*F*I_f*T*(1-EXP(-RadSpec!BA20*t_v)))/(Y_v*RadSpec!BA20))),".")</f>
        <v>3.6424203206347228</v>
      </c>
      <c r="BS20" s="108">
        <f>IFERROR(IF(d_Bv!U20=0,".",((Ir*F*I_f*T*(1-EXP(-RadSpec!BA20*t_v)))/(Y_v*RadSpec!BA20))),".")</f>
        <v>3.6424203206347228</v>
      </c>
      <c r="BT20" s="108">
        <f>IFERROR(IF(d_Bv!V20=0,".",((Ir*F*I_f*T*(1-EXP(-RadSpec!BA20*t_v)))/(Y_v*RadSpec!BA20))),".")</f>
        <v>3.6424203206347228</v>
      </c>
      <c r="BU20" s="108">
        <f>IFERROR(IF(d_Bv!W20=0,".",((Ir*F*I_f*T*(1-EXP(-RadSpec!BA20*t_v)))/(Y_v*RadSpec!BA20))),".")</f>
        <v>3.6424203206347228</v>
      </c>
      <c r="BV20" s="108">
        <f>IFERROR(IF(d_Bv!X20=0,".",((Ir*F*I_f*T*(1-EXP(-RadSpec!BA20*t_v)))/(Y_v*RadSpec!BA20))),".")</f>
        <v>3.6424203206347228</v>
      </c>
      <c r="BW20" s="108">
        <f>IFERROR(IF(d_Bv!Y20=0,".",((Ir*F*I_f*T*(1-EXP(-RadSpec!BA20*t_v)))/(Y_v*RadSpec!BA20))),".")</f>
        <v>3.6424203206347228</v>
      </c>
      <c r="BX20" s="108">
        <f>IFERROR(IF(d_Bv!Z20=0,".",((Ir*F*I_f*T*(1-EXP(-RadSpec!BA20*t_v)))/(Y_v*RadSpec!BA20))),".")</f>
        <v>3.6424203206347228</v>
      </c>
      <c r="BY20" s="108">
        <f>IFERROR(IF(d_Bv!AA20=0,".",((Ir*F*I_f*T*(1-EXP(-RadSpec!BA20*t_v)))/(Y_v*RadSpec!BA20))),".")</f>
        <v>3.6424203206347228</v>
      </c>
    </row>
    <row r="21" spans="1:77" x14ac:dyDescent="0.25">
      <c r="A21" s="44" t="s">
        <v>19</v>
      </c>
      <c r="B21" s="42" t="s">
        <v>1057</v>
      </c>
      <c r="C21" s="108">
        <f>IFERROR(IF(d_Bv!C21=0,".",((Ir*F*d_Bv!C21*(1-EXP(-RadSpec!AZ21*t_b)))/(P*RadSpec!AZ21))),".")</f>
        <v>7.1492821524702065E-3</v>
      </c>
      <c r="D21" s="108">
        <f>IFERROR(IF(d_Bv!D21=0,".",((Ir*F*d_Bv!D21*(1-EXP(-RadSpec!AZ21*t_b)))/(P*RadSpec!AZ21))),".")</f>
        <v>0.26452343964139763</v>
      </c>
      <c r="E21" s="108">
        <f>IFERROR(IF(d_Bv!E21=0,".",((Ir*F*d_Bv!E21*(1-EXP(-RadSpec!AZ21*t_b)))/(P*RadSpec!AZ21))),".")</f>
        <v>0.20732918242163598</v>
      </c>
      <c r="F21" s="108">
        <f>IFERROR(IF(d_Bv!F21=0,".",((Ir*F*d_Bv!F21*(1-EXP(-RadSpec!AZ21*t_b)))/(P*RadSpec!AZ21))),".")</f>
        <v>7.1492821524702065E-3</v>
      </c>
      <c r="G21" s="108">
        <f>IFERROR(IF(d_Bv!G21=0,".",((Ir*F*d_Bv!G21*(1-EXP(-RadSpec!AZ21*t_b)))/(P*RadSpec!AZ21))),".")</f>
        <v>7.1492821524702065E-3</v>
      </c>
      <c r="H21" s="108">
        <f>IFERROR(IF(d_Bv!H21=0,".",((Ir*F*d_Bv!H21*(1-EXP(-RadSpec!AZ21*t_b)))/(P*RadSpec!AZ21))),".")</f>
        <v>0.26452343964139763</v>
      </c>
      <c r="I21" s="108">
        <f>IFERROR(IF(d_Bv!I21=0,".",((Ir*F*d_Bv!I21*(1-EXP(-RadSpec!AZ21*t_b)))/(P*RadSpec!AZ21))),".")</f>
        <v>0.20732918242163598</v>
      </c>
      <c r="J21" s="108">
        <f>IFERROR(IF(d_Bv!J21=0,".",((Ir*F*d_Bv!J21*(1-EXP(-RadSpec!AZ21*t_b)))/(P*RadSpec!AZ21))),".")</f>
        <v>7.1492821524702065E-3</v>
      </c>
      <c r="K21" s="108">
        <f>IFERROR(IF(d_Bv!K21=0,".",((Ir*F*d_Bv!K21*(1-EXP(-RadSpec!AZ21*t_b)))/(P*RadSpec!AZ21))),".")</f>
        <v>8.5791385829642481E-3</v>
      </c>
      <c r="L21" s="108">
        <f>IFERROR(IF(d_Bv!L21=0,".",((Ir*F*d_Bv!L21*(1-EXP(-RadSpec!AZ21*t_b)))/(P*RadSpec!AZ21))),".")</f>
        <v>7.1492821524702065E-3</v>
      </c>
      <c r="M21" s="108">
        <f>IFERROR(IF(d_Bv!M21=0,".",((Ir*F*d_Bv!M21*(1-EXP(-RadSpec!AZ21*t_b)))/(P*RadSpec!AZ21))),".")</f>
        <v>0.26452343964139763</v>
      </c>
      <c r="N21" s="108">
        <f>IFERROR(IF(d_Bv!N21=0,".",((Ir*F*d_Bv!N21*(1-EXP(-RadSpec!AZ21*t_b)))/(P*RadSpec!AZ21))),".")</f>
        <v>9.6515309058347772E-3</v>
      </c>
      <c r="O21" s="108">
        <f>IFERROR(IF(d_Bv!O21=0,".",((Ir*F*d_Bv!O21*(1-EXP(-RadSpec!AZ21*t_b)))/(P*RadSpec!AZ21))),".")</f>
        <v>7.1492821524702065E-3</v>
      </c>
      <c r="P21" s="108">
        <f>IFERROR(IF(d_Bv!I21=0,".",((Ir*F*d_Bv!I21*(1-EXP(-RadSpec!AZ21*t_b)))/(P*RadSpec!AZ21))),".")</f>
        <v>0.20732918242163598</v>
      </c>
      <c r="Q21" s="108">
        <f>IFERROR(IF(d_Bv!Q21=0,".",((Ir*F*d_Bv!Q21*(1-EXP(-RadSpec!AZ21*t_b)))/(P*RadSpec!AZ21))),".")</f>
        <v>7.1492821524702065E-3</v>
      </c>
      <c r="R21" s="108">
        <f>IFERROR(IF(d_Bv!R21=0,".",((Ir*F*d_Bv!R21*(1-EXP(-RadSpec!AZ21*t_b)))/(P*RadSpec!AZ21))),".")</f>
        <v>7.1492821524702065E-3</v>
      </c>
      <c r="S21" s="108">
        <f>IFERROR(IF(d_Bv!S21=0,".",((Ir*F*d_Bv!S21*(1-EXP(-RadSpec!AZ21*t_b)))/(P*RadSpec!AZ21))),".")</f>
        <v>9.6515309058347772E-3</v>
      </c>
      <c r="T21" s="202">
        <f>IFERROR(IF(d_Bv!T21=0,".",((Ir*F*d_Bv!T21*(1-EXP(-RadSpec!AZ21*t_b)))/(P*RadSpec!AZ21))),".")</f>
        <v>7.1492821524702065E-3</v>
      </c>
      <c r="U21" s="108">
        <f>IFERROR(IF(d_Bv!U21=0,".",((Ir*F*d_Bv!U21*(1-EXP(-RadSpec!AZ21*t_b)))/(P*RadSpec!AZ21))),".")</f>
        <v>9.6515309058347792E-2</v>
      </c>
      <c r="V21" s="108">
        <f>IFERROR(IF(d_Bv!V21=0,".",((Ir*F*d_Bv!V21*(1-EXP(-RadSpec!AZ21*t_b)))/(P*RadSpec!AZ21))),".")</f>
        <v>7.1492821524702065E-3</v>
      </c>
      <c r="W21" s="108">
        <f>IFERROR(IF(d_Bv!W21=0,".",((Ir*F*d_Bv!W21*(1-EXP(-RadSpec!AZ21*t_b)))/(P*RadSpec!AZ21))),".")</f>
        <v>9.6515309058347772E-3</v>
      </c>
      <c r="X21" s="108">
        <f>IFERROR(IF(d_Bv!X21=0,".",((Ir*F*d_Bv!X21*(1-EXP(-RadSpec!AZ21*t_b)))/(P*RadSpec!AZ21))),".")</f>
        <v>7.1492821524702065E-3</v>
      </c>
      <c r="Y21" s="108">
        <f>IFERROR(IF(d_Bv!Y21=0,".",((Ir*F*d_Bv!Y21*(1-EXP(-RadSpec!AZ21*t_b)))/(P*RadSpec!AZ21))),".")</f>
        <v>7.1492821524702065E-3</v>
      </c>
      <c r="Z21" s="108">
        <f>IFERROR(IF(d_Bv!Z21=0,".",((Ir*F*d_Bv!Z21*(1-EXP(-RadSpec!AZ21*t_b)))/(P*RadSpec!AZ21))),".")</f>
        <v>0.4647033399105634</v>
      </c>
      <c r="AA21" s="108">
        <f>IFERROR(IF(d_Bv!AA21=0,".",((Ir*F*d_Bv!AA21*(1-EXP(-RadSpec!AZ21*t_b)))/(P*RadSpec!AZ21))),".")</f>
        <v>8.5791385829642481E-3</v>
      </c>
      <c r="AB21" s="108">
        <f>IFERROR(IF(d_Bv!C21=0,".",((Ir*F*MLF_apple*(1-EXP(-RadSpec!AZ21*t_b)))/(P*RadSpec!AZ21))),".")</f>
        <v>5.7194257219761657E-3</v>
      </c>
      <c r="AC21" s="108">
        <f>IFERROR(IF(d_Bv!D21=0,".",((Ir*F*MLF_asparagus*(1-EXP(-RadSpec!AZ21*t_b)))/(P*RadSpec!AZ21))),".")</f>
        <v>2.8239664502257315E-3</v>
      </c>
      <c r="AD21" s="108">
        <f>IFERROR(IF(d_Bv!E21=0,".",((Ir*F*MLF_beet*(1-EXP(-RadSpec!AZ21*t_b)))/(P*RadSpec!AZ21))),".")</f>
        <v>4.9330046852044422E-3</v>
      </c>
      <c r="AE21" s="108">
        <f>IFERROR(IF(d_Bv!F21=0,".",((Ir*F*MLF_berries*(1-EXP(-RadSpec!AZ21*t_b)))/(P*RadSpec!AZ21))),".")</f>
        <v>5.9339041865502712E-3</v>
      </c>
      <c r="AF21" s="108">
        <f>IFERROR(IF(d_Bv!G21=0,".",((Ir*F*MLF_broccoli*(1-EXP(-RadSpec!AZ21*t_b)))/(P*RadSpec!AZ21))),".")</f>
        <v>3.6103874869974538E-2</v>
      </c>
      <c r="AG21" s="108">
        <f>IFERROR(IF(d_Bv!H21=0,".",((Ir*F*MLF_cabbage*(1-EXP(-RadSpec!AZ21*t_b)))/(P*RadSpec!AZ21))),".")</f>
        <v>3.7533731300468582E-3</v>
      </c>
      <c r="AH21" s="108">
        <f>IFERROR(IF(d_Bv!I21=0,".",((Ir*F*MLF_carrot*(1-EXP(-RadSpec!AZ21*t_b)))/(P*RadSpec!AZ21))),".")</f>
        <v>3.4674018439480501E-3</v>
      </c>
      <c r="AI21" s="108">
        <f>IFERROR(IF(d_Bv!J21=0,".",((Ir*F*MLF_citrus*(1-EXP(-RadSpec!AZ21*t_b)))/(P*RadSpec!AZ21))),".")</f>
        <v>5.6121864896891112E-3</v>
      </c>
      <c r="AJ21" s="108">
        <f>IFERROR(IF(d_Bv!K21=0,".",((Ir*F*MLF_corn*(1-EXP(-RadSpec!AZ21*t_b)))/(P*RadSpec!AZ21))),".")</f>
        <v>5.1832295605408994E-3</v>
      </c>
      <c r="AK21" s="108">
        <f>IFERROR(IF(d_Bv!L21=0,".",((Ir*F*MLF_cucumber*(1-EXP(-RadSpec!AZ21*t_b)))/(P*RadSpec!AZ21))),".")</f>
        <v>1.4298564304940414E-3</v>
      </c>
      <c r="AL21" s="108">
        <f>IFERROR(IF(d_Bv!M21=0,".",((Ir*F*MLF_lettuce*(1-EXP(-RadSpec!AZ21*t_b)))/(P*RadSpec!AZ21))),".")</f>
        <v>0.48257654529173893</v>
      </c>
      <c r="AM21" s="108">
        <f>IFERROR(IF(d_Bv!N21=0,".",((Ir*F*MLF_lima_bean*(1-EXP(-RadSpec!AZ21*t_b)))/(P*RadSpec!AZ21))),".")</f>
        <v>0.13690875321980447</v>
      </c>
      <c r="AN21" s="108">
        <f>IFERROR(IF(d_Bv!O21=0,".",((Ir*F*MLF_okra*(1-EXP(-RadSpec!AZ21*t_b)))/(P*RadSpec!AZ21))),".")</f>
        <v>2.8597128609880828E-3</v>
      </c>
      <c r="AO21" s="108">
        <f>IFERROR(IF(d_Bv!P21=0,".",((Ir*F*MLF_onion*(1-EXP(-RadSpec!AZ21*t_b)))/(P*RadSpec!AZ21))),".")</f>
        <v>3.4674018439480501E-3</v>
      </c>
      <c r="AP21" s="108">
        <f>IFERROR(IF(d_Bv!Q21=0,".",((Ir*F*MLF_peach*(1-EXP(-RadSpec!AZ21*t_b)))/(P*RadSpec!AZ21))),".")</f>
        <v>5.361961614352654E-3</v>
      </c>
      <c r="AQ21" s="108">
        <f>IFERROR(IF(d_Bv!R21=0,".",((Ir*F*MLF_pear*(1-EXP(-RadSpec!AZ21*t_b)))/(P*RadSpec!AZ21))),".")</f>
        <v>5.7194257219761657E-3</v>
      </c>
      <c r="AR21" s="108">
        <f>IFERROR(IF(d_Bv!S21=0,".",((Ir*F*MLF_peas*(1-EXP(-RadSpec!AZ21*t_b)))/(P*RadSpec!AZ21))),".")</f>
        <v>6.3628611156984829E-3</v>
      </c>
      <c r="AS21" s="108">
        <f>IFERROR(IF(d_Bv!T21=0,".",((Ir*F*MLF_peppers*(1-EXP(-RadSpec!AZ21*t_b)))/(P*RadSpec!AZ21))),".")</f>
        <v>7.93570318924193E-2</v>
      </c>
      <c r="AT21" s="108">
        <f>IFERROR(IF(d_Bv!U21=0,".",((Ir*F*MLF_potato*(1-EXP(-RadSpec!AZ21*t_b)))/(P*RadSpec!AZ21))),".")</f>
        <v>7.5067462600937164E-3</v>
      </c>
      <c r="AU21" s="108">
        <f>IFERROR(IF(d_Bv!V21=0,".",((Ir*F*MLF_pumpkin*(1-EXP(-RadSpec!AZ21*t_b)))/(P*RadSpec!AZ21))),".")</f>
        <v>2.0732918242163598E-3</v>
      </c>
      <c r="AV21" s="108">
        <f>IFERROR(IF(d_Bv!W21=0,".",((Ir*F*MLF_snap_bean*(1-EXP(-RadSpec!AZ21*t_b)))/(P*RadSpec!AZ21))),".")</f>
        <v>0.17873205381175516</v>
      </c>
      <c r="AW21" s="108">
        <f>IFERROR(IF(d_Bv!X21=0,".",((Ir*F*MLF_strawberry*(1-EXP(-RadSpec!AZ21*t_b)))/(P*RadSpec!AZ21))),".")</f>
        <v>2.8597128609880828E-3</v>
      </c>
      <c r="AX21" s="108">
        <f>IFERROR(IF(d_Bv!Y21=0,".",((Ir*F*MLF_tomato*(1-EXP(-RadSpec!AZ21*t_b)))/(P*RadSpec!AZ21))),".")</f>
        <v>6.327114704936132E-2</v>
      </c>
      <c r="AY21" s="108">
        <f>IFERROR(IF(d_Bv!Z21=0,".",((Ir*F*MLF_rice*(1-EXP(-RadSpec!AZ21*t_b)))/(P*RadSpec!AZ21))),".")</f>
        <v>8.9366026905877582</v>
      </c>
      <c r="AZ21" s="108">
        <f>IFERROR(IF(d_Bv!AA21=0,".",((Ir*F*MLF_cereal*(1-EXP(-RadSpec!AZ21*t_b)))/(P*RadSpec!AZ21))),".")</f>
        <v>8.9366026905877582</v>
      </c>
      <c r="BA21" s="108">
        <f>IFERROR(IF(d_Bv!C21=0,".",((Ir*F*I_f*T*(1-EXP(-RadSpec!BA21*t_v)))/(Y_v*RadSpec!BA21))),".")</f>
        <v>3.6424203206347228</v>
      </c>
      <c r="BB21" s="108">
        <f>IFERROR(IF(d_Bv!D21=0,".",((Ir*F*I_f*T*(1-EXP(-RadSpec!BA21*t_v)))/(Y_v*RadSpec!BA21))),".")</f>
        <v>3.6424203206347228</v>
      </c>
      <c r="BC21" s="108">
        <f>IFERROR(IF(d_Bv!E21=0,".",((Ir*F*I_f*T*(1-EXP(-RadSpec!BA21*t_v)))/(Y_v*RadSpec!BA21))),".")</f>
        <v>3.6424203206347228</v>
      </c>
      <c r="BD21" s="108">
        <f>IFERROR(IF(d_Bv!F21=0,".",((Ir*F*I_f*T*(1-EXP(-RadSpec!BA21*t_v)))/(Y_v*RadSpec!BA21))),".")</f>
        <v>3.6424203206347228</v>
      </c>
      <c r="BE21" s="108">
        <f>IFERROR(IF(d_Bv!G21=0,".",((Ir*F*I_f*T*(1-EXP(-RadSpec!BA21*t_v)))/(Y_v*RadSpec!BA21))),".")</f>
        <v>3.6424203206347228</v>
      </c>
      <c r="BF21" s="108">
        <f>IFERROR(IF(d_Bv!H21=0,".",((Ir*F*I_f*T*(1-EXP(-RadSpec!BA21*t_v)))/(Y_v*RadSpec!BA21))),".")</f>
        <v>3.6424203206347228</v>
      </c>
      <c r="BG21" s="108">
        <f>IFERROR(IF(d_Bv!I21=0,".",((Ir*F*I_f*T*(1-EXP(-RadSpec!BA21*t_v)))/(Y_v*RadSpec!BA21))),".")</f>
        <v>3.6424203206347228</v>
      </c>
      <c r="BH21" s="108">
        <f>IFERROR(IF(d_Bv!J21=0,".",((Ir*F*I_f*T*(1-EXP(-RadSpec!BA21*t_v)))/(Y_v*RadSpec!BA21))),".")</f>
        <v>3.6424203206347228</v>
      </c>
      <c r="BI21" s="108">
        <f>IFERROR(IF(d_Bv!K21=0,".",((Ir*F*I_f*T*(1-EXP(-RadSpec!BA21*t_v)))/(Y_v*RadSpec!BA21))),".")</f>
        <v>3.6424203206347228</v>
      </c>
      <c r="BJ21" s="108">
        <f>IFERROR(IF(d_Bv!L21=0,".",((Ir*F*I_f*T*(1-EXP(-RadSpec!BA21*t_v)))/(Y_v*RadSpec!BA21))),".")</f>
        <v>3.6424203206347228</v>
      </c>
      <c r="BK21" s="108">
        <f>IFERROR(IF(d_Bv!M21=0,".",((Ir*F*I_f*T*(1-EXP(-RadSpec!BA21*t_v)))/(Y_v*RadSpec!BA21))),".")</f>
        <v>3.6424203206347228</v>
      </c>
      <c r="BL21" s="108">
        <f>IFERROR(IF(d_Bv!N21=0,".",((Ir*F*I_f*T*(1-EXP(-RadSpec!BA21*t_v)))/(Y_v*RadSpec!BA21))),".")</f>
        <v>3.6424203206347228</v>
      </c>
      <c r="BM21" s="108">
        <f>IFERROR(IF(d_Bv!O21=0,".",((Ir*F*I_f*T*(1-EXP(-RadSpec!BA21*t_v)))/(Y_v*RadSpec!BA21))),".")</f>
        <v>3.6424203206347228</v>
      </c>
      <c r="BN21" s="108">
        <f>IFERROR(IF(d_Bv!P21=0,".",((Ir*F*I_f*T*(1-EXP(-RadSpec!BA21*t_v)))/(Y_v*RadSpec!BA21))),".")</f>
        <v>3.6424203206347228</v>
      </c>
      <c r="BO21" s="108">
        <f>IFERROR(IF(d_Bv!Q21=0,".",((Ir*F*I_f*T*(1-EXP(-RadSpec!BA21*t_v)))/(Y_v*RadSpec!BA21))),".")</f>
        <v>3.6424203206347228</v>
      </c>
      <c r="BP21" s="108">
        <f>IFERROR(IF(d_Bv!R21=0,".",((Ir*F*I_f*T*(1-EXP(-RadSpec!BA21*t_v)))/(Y_v*RadSpec!BA21))),".")</f>
        <v>3.6424203206347228</v>
      </c>
      <c r="BQ21" s="108">
        <f>IFERROR(IF(d_Bv!S21=0,".",((Ir*F*I_f*T*(1-EXP(-RadSpec!BA21*t_v)))/(Y_v*RadSpec!BA21))),".")</f>
        <v>3.6424203206347228</v>
      </c>
      <c r="BR21" s="108">
        <f>IFERROR(IF(d_Bv!T21=0,".",((Ir*F*I_f*T*(1-EXP(-RadSpec!BA21*t_v)))/(Y_v*RadSpec!BA21))),".")</f>
        <v>3.6424203206347228</v>
      </c>
      <c r="BS21" s="108">
        <f>IFERROR(IF(d_Bv!U21=0,".",((Ir*F*I_f*T*(1-EXP(-RadSpec!BA21*t_v)))/(Y_v*RadSpec!BA21))),".")</f>
        <v>3.6424203206347228</v>
      </c>
      <c r="BT21" s="108">
        <f>IFERROR(IF(d_Bv!V21=0,".",((Ir*F*I_f*T*(1-EXP(-RadSpec!BA21*t_v)))/(Y_v*RadSpec!BA21))),".")</f>
        <v>3.6424203206347228</v>
      </c>
      <c r="BU21" s="108">
        <f>IFERROR(IF(d_Bv!W21=0,".",((Ir*F*I_f*T*(1-EXP(-RadSpec!BA21*t_v)))/(Y_v*RadSpec!BA21))),".")</f>
        <v>3.6424203206347228</v>
      </c>
      <c r="BV21" s="108">
        <f>IFERROR(IF(d_Bv!X21=0,".",((Ir*F*I_f*T*(1-EXP(-RadSpec!BA21*t_v)))/(Y_v*RadSpec!BA21))),".")</f>
        <v>3.6424203206347228</v>
      </c>
      <c r="BW21" s="108">
        <f>IFERROR(IF(d_Bv!Y21=0,".",((Ir*F*I_f*T*(1-EXP(-RadSpec!BA21*t_v)))/(Y_v*RadSpec!BA21))),".")</f>
        <v>3.6424203206347228</v>
      </c>
      <c r="BX21" s="108">
        <f>IFERROR(IF(d_Bv!Z21=0,".",((Ir*F*I_f*T*(1-EXP(-RadSpec!BA21*t_v)))/(Y_v*RadSpec!BA21))),".")</f>
        <v>3.6424203206347228</v>
      </c>
      <c r="BY21" s="108">
        <f>IFERROR(IF(d_Bv!AA21=0,".",((Ir*F*I_f*T*(1-EXP(-RadSpec!BA21*t_v)))/(Y_v*RadSpec!BA21))),".")</f>
        <v>3.6424203206347228</v>
      </c>
    </row>
    <row r="22" spans="1:77" x14ac:dyDescent="0.25">
      <c r="A22" s="44" t="s">
        <v>20</v>
      </c>
      <c r="B22" s="42" t="s">
        <v>1057</v>
      </c>
      <c r="C22" s="108">
        <f>IFERROR(IF(d_Bv!C22=0,".",((Ir*F*d_Bv!C22*(1-EXP(-RadSpec!AZ22*t_b)))/(P*RadSpec!AZ22))),".")</f>
        <v>0.35746410762351033</v>
      </c>
      <c r="D22" s="108">
        <f>IFERROR(IF(d_Bv!D22=0,".",((Ir*F*d_Bv!D22*(1-EXP(-RadSpec!AZ22*t_b)))/(P*RadSpec!AZ22))),".")</f>
        <v>3.2529233793739438</v>
      </c>
      <c r="E22" s="108">
        <f>IFERROR(IF(d_Bv!E22=0,".",((Ir*F*d_Bv!E22*(1-EXP(-RadSpec!AZ22*t_b)))/(P*RadSpec!AZ22))),".")</f>
        <v>2.5022487533645723</v>
      </c>
      <c r="F22" s="108">
        <f>IFERROR(IF(d_Bv!F22=0,".",((Ir*F*d_Bv!F22*(1-EXP(-RadSpec!AZ22*t_b)))/(P*RadSpec!AZ22))),".")</f>
        <v>0.35746410762351033</v>
      </c>
      <c r="G22" s="108">
        <f>IFERROR(IF(d_Bv!G22=0,".",((Ir*F*d_Bv!G22*(1-EXP(-RadSpec!AZ22*t_b)))/(P*RadSpec!AZ22))),".")</f>
        <v>0.60768898295996754</v>
      </c>
      <c r="H22" s="108">
        <f>IFERROR(IF(d_Bv!H22=0,".",((Ir*F*d_Bv!H22*(1-EXP(-RadSpec!AZ22*t_b)))/(P*RadSpec!AZ22))),".")</f>
        <v>3.2529233793739438</v>
      </c>
      <c r="I22" s="108">
        <f>IFERROR(IF(d_Bv!I22=0,".",((Ir*F*d_Bv!I22*(1-EXP(-RadSpec!AZ22*t_b)))/(P*RadSpec!AZ22))),".")</f>
        <v>2.5022487533645723</v>
      </c>
      <c r="J22" s="108">
        <f>IFERROR(IF(d_Bv!J22=0,".",((Ir*F*d_Bv!J22*(1-EXP(-RadSpec!AZ22*t_b)))/(P*RadSpec!AZ22))),".")</f>
        <v>0.35746410762351033</v>
      </c>
      <c r="K22" s="108">
        <f>IFERROR(IF(d_Bv!K22=0,".",((Ir*F*d_Bv!K22*(1-EXP(-RadSpec!AZ22*t_b)))/(P*RadSpec!AZ22))),".")</f>
        <v>8.5791385829642464E-2</v>
      </c>
      <c r="L22" s="108">
        <f>IFERROR(IF(d_Bv!L22=0,".",((Ir*F*d_Bv!L22*(1-EXP(-RadSpec!AZ22*t_b)))/(P*RadSpec!AZ22))),".")</f>
        <v>0.60768898295996754</v>
      </c>
      <c r="M22" s="108">
        <f>IFERROR(IF(d_Bv!M22=0,".",((Ir*F*d_Bv!M22*(1-EXP(-RadSpec!AZ22*t_b)))/(P*RadSpec!AZ22))),".")</f>
        <v>3.2529233793739438</v>
      </c>
      <c r="N22" s="108">
        <f>IFERROR(IF(d_Bv!N22=0,".",((Ir*F*d_Bv!N22*(1-EXP(-RadSpec!AZ22*t_b)))/(P*RadSpec!AZ22))),".")</f>
        <v>0.50044975067291442</v>
      </c>
      <c r="O22" s="108">
        <f>IFERROR(IF(d_Bv!O22=0,".",((Ir*F*d_Bv!O22*(1-EXP(-RadSpec!AZ22*t_b)))/(P*RadSpec!AZ22))),".")</f>
        <v>0.60768898295996754</v>
      </c>
      <c r="P22" s="108">
        <f>IFERROR(IF(d_Bv!I22=0,".",((Ir*F*d_Bv!I22*(1-EXP(-RadSpec!AZ22*t_b)))/(P*RadSpec!AZ22))),".")</f>
        <v>2.5022487533645723</v>
      </c>
      <c r="Q22" s="108">
        <f>IFERROR(IF(d_Bv!Q22=0,".",((Ir*F*d_Bv!Q22*(1-EXP(-RadSpec!AZ22*t_b)))/(P*RadSpec!AZ22))),".")</f>
        <v>0.35746410762351033</v>
      </c>
      <c r="R22" s="108">
        <f>IFERROR(IF(d_Bv!R22=0,".",((Ir*F*d_Bv!R22*(1-EXP(-RadSpec!AZ22*t_b)))/(P*RadSpec!AZ22))),".")</f>
        <v>0.35746410762351033</v>
      </c>
      <c r="S22" s="108">
        <f>IFERROR(IF(d_Bv!S22=0,".",((Ir*F*d_Bv!S22*(1-EXP(-RadSpec!AZ22*t_b)))/(P*RadSpec!AZ22))),".")</f>
        <v>0.50044975067291442</v>
      </c>
      <c r="T22" s="202">
        <f>IFERROR(IF(d_Bv!T22=0,".",((Ir*F*d_Bv!T22*(1-EXP(-RadSpec!AZ22*t_b)))/(P*RadSpec!AZ22))),".")</f>
        <v>0.60768898295996754</v>
      </c>
      <c r="U22" s="108">
        <f>IFERROR(IF(d_Bv!U22=0,".",((Ir*F*d_Bv!U22*(1-EXP(-RadSpec!AZ22*t_b)))/(P*RadSpec!AZ22))),".")</f>
        <v>0.39321051838586135</v>
      </c>
      <c r="V22" s="108">
        <f>IFERROR(IF(d_Bv!V22=0,".",((Ir*F*d_Bv!V22*(1-EXP(-RadSpec!AZ22*t_b)))/(P*RadSpec!AZ22))),".")</f>
        <v>0.60768898295996754</v>
      </c>
      <c r="W22" s="108">
        <f>IFERROR(IF(d_Bv!W22=0,".",((Ir*F*d_Bv!W22*(1-EXP(-RadSpec!AZ22*t_b)))/(P*RadSpec!AZ22))),".")</f>
        <v>0.50044975067291442</v>
      </c>
      <c r="X22" s="108">
        <f>IFERROR(IF(d_Bv!X22=0,".",((Ir*F*d_Bv!X22*(1-EXP(-RadSpec!AZ22*t_b)))/(P*RadSpec!AZ22))),".")</f>
        <v>0.35746410762351033</v>
      </c>
      <c r="Y22" s="108">
        <f>IFERROR(IF(d_Bv!Y22=0,".",((Ir*F*d_Bv!Y22*(1-EXP(-RadSpec!AZ22*t_b)))/(P*RadSpec!AZ22))),".")</f>
        <v>0.60768898295996754</v>
      </c>
      <c r="Z22" s="108">
        <f>IFERROR(IF(d_Bv!Z22=0,".",((Ir*F*d_Bv!Z22*(1-EXP(-RadSpec!AZ22*t_b)))/(P*RadSpec!AZ22))),".")</f>
        <v>3.10993773632454E-2</v>
      </c>
      <c r="AA22" s="108">
        <f>IFERROR(IF(d_Bv!AA22=0,".",((Ir*F*d_Bv!AA22*(1-EXP(-RadSpec!AZ22*t_b)))/(P*RadSpec!AZ22))),".")</f>
        <v>0.60768898295996754</v>
      </c>
      <c r="AB22" s="108">
        <f>IFERROR(IF(d_Bv!C22=0,".",((Ir*F*MLF_apple*(1-EXP(-RadSpec!AZ22*t_b)))/(P*RadSpec!AZ22))),".")</f>
        <v>5.7194257219761657E-3</v>
      </c>
      <c r="AC22" s="108">
        <f>IFERROR(IF(d_Bv!D22=0,".",((Ir*F*MLF_asparagus*(1-EXP(-RadSpec!AZ22*t_b)))/(P*RadSpec!AZ22))),".")</f>
        <v>2.8239664502257315E-3</v>
      </c>
      <c r="AD22" s="108">
        <f>IFERROR(IF(d_Bv!E22=0,".",((Ir*F*MLF_beet*(1-EXP(-RadSpec!AZ22*t_b)))/(P*RadSpec!AZ22))),".")</f>
        <v>4.9330046852044422E-3</v>
      </c>
      <c r="AE22" s="108">
        <f>IFERROR(IF(d_Bv!F22=0,".",((Ir*F*MLF_berries*(1-EXP(-RadSpec!AZ22*t_b)))/(P*RadSpec!AZ22))),".")</f>
        <v>5.9339041865502712E-3</v>
      </c>
      <c r="AF22" s="108">
        <f>IFERROR(IF(d_Bv!G22=0,".",((Ir*F*MLF_broccoli*(1-EXP(-RadSpec!AZ22*t_b)))/(P*RadSpec!AZ22))),".")</f>
        <v>3.6103874869974538E-2</v>
      </c>
      <c r="AG22" s="108">
        <f>IFERROR(IF(d_Bv!H22=0,".",((Ir*F*MLF_cabbage*(1-EXP(-RadSpec!AZ22*t_b)))/(P*RadSpec!AZ22))),".")</f>
        <v>3.7533731300468582E-3</v>
      </c>
      <c r="AH22" s="108">
        <f>IFERROR(IF(d_Bv!I22=0,".",((Ir*F*MLF_carrot*(1-EXP(-RadSpec!AZ22*t_b)))/(P*RadSpec!AZ22))),".")</f>
        <v>3.4674018439480501E-3</v>
      </c>
      <c r="AI22" s="108">
        <f>IFERROR(IF(d_Bv!J22=0,".",((Ir*F*MLF_citrus*(1-EXP(-RadSpec!AZ22*t_b)))/(P*RadSpec!AZ22))),".")</f>
        <v>5.6121864896891112E-3</v>
      </c>
      <c r="AJ22" s="108">
        <f>IFERROR(IF(d_Bv!K22=0,".",((Ir*F*MLF_corn*(1-EXP(-RadSpec!AZ22*t_b)))/(P*RadSpec!AZ22))),".")</f>
        <v>5.1832295605408994E-3</v>
      </c>
      <c r="AK22" s="108">
        <f>IFERROR(IF(d_Bv!L22=0,".",((Ir*F*MLF_cucumber*(1-EXP(-RadSpec!AZ22*t_b)))/(P*RadSpec!AZ22))),".")</f>
        <v>1.4298564304940414E-3</v>
      </c>
      <c r="AL22" s="108">
        <f>IFERROR(IF(d_Bv!M22=0,".",((Ir*F*MLF_lettuce*(1-EXP(-RadSpec!AZ22*t_b)))/(P*RadSpec!AZ22))),".")</f>
        <v>0.48257654529173893</v>
      </c>
      <c r="AM22" s="108">
        <f>IFERROR(IF(d_Bv!N22=0,".",((Ir*F*MLF_lima_bean*(1-EXP(-RadSpec!AZ22*t_b)))/(P*RadSpec!AZ22))),".")</f>
        <v>0.13690875321980447</v>
      </c>
      <c r="AN22" s="108">
        <f>IFERROR(IF(d_Bv!O22=0,".",((Ir*F*MLF_okra*(1-EXP(-RadSpec!AZ22*t_b)))/(P*RadSpec!AZ22))),".")</f>
        <v>2.8597128609880828E-3</v>
      </c>
      <c r="AO22" s="108">
        <f>IFERROR(IF(d_Bv!P22=0,".",((Ir*F*MLF_onion*(1-EXP(-RadSpec!AZ22*t_b)))/(P*RadSpec!AZ22))),".")</f>
        <v>3.4674018439480501E-3</v>
      </c>
      <c r="AP22" s="108">
        <f>IFERROR(IF(d_Bv!Q22=0,".",((Ir*F*MLF_peach*(1-EXP(-RadSpec!AZ22*t_b)))/(P*RadSpec!AZ22))),".")</f>
        <v>5.361961614352654E-3</v>
      </c>
      <c r="AQ22" s="108">
        <f>IFERROR(IF(d_Bv!R22=0,".",((Ir*F*MLF_pear*(1-EXP(-RadSpec!AZ22*t_b)))/(P*RadSpec!AZ22))),".")</f>
        <v>5.7194257219761657E-3</v>
      </c>
      <c r="AR22" s="108">
        <f>IFERROR(IF(d_Bv!S22=0,".",((Ir*F*MLF_peas*(1-EXP(-RadSpec!AZ22*t_b)))/(P*RadSpec!AZ22))),".")</f>
        <v>6.3628611156984829E-3</v>
      </c>
      <c r="AS22" s="108">
        <f>IFERROR(IF(d_Bv!T22=0,".",((Ir*F*MLF_peppers*(1-EXP(-RadSpec!AZ22*t_b)))/(P*RadSpec!AZ22))),".")</f>
        <v>7.93570318924193E-2</v>
      </c>
      <c r="AT22" s="108">
        <f>IFERROR(IF(d_Bv!U22=0,".",((Ir*F*MLF_potato*(1-EXP(-RadSpec!AZ22*t_b)))/(P*RadSpec!AZ22))),".")</f>
        <v>7.5067462600937164E-3</v>
      </c>
      <c r="AU22" s="108">
        <f>IFERROR(IF(d_Bv!V22=0,".",((Ir*F*MLF_pumpkin*(1-EXP(-RadSpec!AZ22*t_b)))/(P*RadSpec!AZ22))),".")</f>
        <v>2.0732918242163598E-3</v>
      </c>
      <c r="AV22" s="108">
        <f>IFERROR(IF(d_Bv!W22=0,".",((Ir*F*MLF_snap_bean*(1-EXP(-RadSpec!AZ22*t_b)))/(P*RadSpec!AZ22))),".")</f>
        <v>0.17873205381175516</v>
      </c>
      <c r="AW22" s="108">
        <f>IFERROR(IF(d_Bv!X22=0,".",((Ir*F*MLF_strawberry*(1-EXP(-RadSpec!AZ22*t_b)))/(P*RadSpec!AZ22))),".")</f>
        <v>2.8597128609880828E-3</v>
      </c>
      <c r="AX22" s="108">
        <f>IFERROR(IF(d_Bv!Y22=0,".",((Ir*F*MLF_tomato*(1-EXP(-RadSpec!AZ22*t_b)))/(P*RadSpec!AZ22))),".")</f>
        <v>6.327114704936132E-2</v>
      </c>
      <c r="AY22" s="108">
        <f>IFERROR(IF(d_Bv!Z22=0,".",((Ir*F*MLF_rice*(1-EXP(-RadSpec!AZ22*t_b)))/(P*RadSpec!AZ22))),".")</f>
        <v>8.9366026905877582</v>
      </c>
      <c r="AZ22" s="108">
        <f>IFERROR(IF(d_Bv!AA22=0,".",((Ir*F*MLF_cereal*(1-EXP(-RadSpec!AZ22*t_b)))/(P*RadSpec!AZ22))),".")</f>
        <v>8.9366026905877582</v>
      </c>
      <c r="BA22" s="108">
        <f>IFERROR(IF(d_Bv!C22=0,".",((Ir*F*I_f*T*(1-EXP(-RadSpec!BA22*t_v)))/(Y_v*RadSpec!BA22))),".")</f>
        <v>3.6424203206347228</v>
      </c>
      <c r="BB22" s="108">
        <f>IFERROR(IF(d_Bv!D22=0,".",((Ir*F*I_f*T*(1-EXP(-RadSpec!BA22*t_v)))/(Y_v*RadSpec!BA22))),".")</f>
        <v>3.6424203206347228</v>
      </c>
      <c r="BC22" s="108">
        <f>IFERROR(IF(d_Bv!E22=0,".",((Ir*F*I_f*T*(1-EXP(-RadSpec!BA22*t_v)))/(Y_v*RadSpec!BA22))),".")</f>
        <v>3.6424203206347228</v>
      </c>
      <c r="BD22" s="108">
        <f>IFERROR(IF(d_Bv!F22=0,".",((Ir*F*I_f*T*(1-EXP(-RadSpec!BA22*t_v)))/(Y_v*RadSpec!BA22))),".")</f>
        <v>3.6424203206347228</v>
      </c>
      <c r="BE22" s="108">
        <f>IFERROR(IF(d_Bv!G22=0,".",((Ir*F*I_f*T*(1-EXP(-RadSpec!BA22*t_v)))/(Y_v*RadSpec!BA22))),".")</f>
        <v>3.6424203206347228</v>
      </c>
      <c r="BF22" s="108">
        <f>IFERROR(IF(d_Bv!H22=0,".",((Ir*F*I_f*T*(1-EXP(-RadSpec!BA22*t_v)))/(Y_v*RadSpec!BA22))),".")</f>
        <v>3.6424203206347228</v>
      </c>
      <c r="BG22" s="108">
        <f>IFERROR(IF(d_Bv!I22=0,".",((Ir*F*I_f*T*(1-EXP(-RadSpec!BA22*t_v)))/(Y_v*RadSpec!BA22))),".")</f>
        <v>3.6424203206347228</v>
      </c>
      <c r="BH22" s="108">
        <f>IFERROR(IF(d_Bv!J22=0,".",((Ir*F*I_f*T*(1-EXP(-RadSpec!BA22*t_v)))/(Y_v*RadSpec!BA22))),".")</f>
        <v>3.6424203206347228</v>
      </c>
      <c r="BI22" s="108">
        <f>IFERROR(IF(d_Bv!K22=0,".",((Ir*F*I_f*T*(1-EXP(-RadSpec!BA22*t_v)))/(Y_v*RadSpec!BA22))),".")</f>
        <v>3.6424203206347228</v>
      </c>
      <c r="BJ22" s="108">
        <f>IFERROR(IF(d_Bv!L22=0,".",((Ir*F*I_f*T*(1-EXP(-RadSpec!BA22*t_v)))/(Y_v*RadSpec!BA22))),".")</f>
        <v>3.6424203206347228</v>
      </c>
      <c r="BK22" s="108">
        <f>IFERROR(IF(d_Bv!M22=0,".",((Ir*F*I_f*T*(1-EXP(-RadSpec!BA22*t_v)))/(Y_v*RadSpec!BA22))),".")</f>
        <v>3.6424203206347228</v>
      </c>
      <c r="BL22" s="108">
        <f>IFERROR(IF(d_Bv!N22=0,".",((Ir*F*I_f*T*(1-EXP(-RadSpec!BA22*t_v)))/(Y_v*RadSpec!BA22))),".")</f>
        <v>3.6424203206347228</v>
      </c>
      <c r="BM22" s="108">
        <f>IFERROR(IF(d_Bv!O22=0,".",((Ir*F*I_f*T*(1-EXP(-RadSpec!BA22*t_v)))/(Y_v*RadSpec!BA22))),".")</f>
        <v>3.6424203206347228</v>
      </c>
      <c r="BN22" s="108">
        <f>IFERROR(IF(d_Bv!P22=0,".",((Ir*F*I_f*T*(1-EXP(-RadSpec!BA22*t_v)))/(Y_v*RadSpec!BA22))),".")</f>
        <v>3.6424203206347228</v>
      </c>
      <c r="BO22" s="108">
        <f>IFERROR(IF(d_Bv!Q22=0,".",((Ir*F*I_f*T*(1-EXP(-RadSpec!BA22*t_v)))/(Y_v*RadSpec!BA22))),".")</f>
        <v>3.6424203206347228</v>
      </c>
      <c r="BP22" s="108">
        <f>IFERROR(IF(d_Bv!R22=0,".",((Ir*F*I_f*T*(1-EXP(-RadSpec!BA22*t_v)))/(Y_v*RadSpec!BA22))),".")</f>
        <v>3.6424203206347228</v>
      </c>
      <c r="BQ22" s="108">
        <f>IFERROR(IF(d_Bv!S22=0,".",((Ir*F*I_f*T*(1-EXP(-RadSpec!BA22*t_v)))/(Y_v*RadSpec!BA22))),".")</f>
        <v>3.6424203206347228</v>
      </c>
      <c r="BR22" s="108">
        <f>IFERROR(IF(d_Bv!T22=0,".",((Ir*F*I_f*T*(1-EXP(-RadSpec!BA22*t_v)))/(Y_v*RadSpec!BA22))),".")</f>
        <v>3.6424203206347228</v>
      </c>
      <c r="BS22" s="108">
        <f>IFERROR(IF(d_Bv!U22=0,".",((Ir*F*I_f*T*(1-EXP(-RadSpec!BA22*t_v)))/(Y_v*RadSpec!BA22))),".")</f>
        <v>3.6424203206347228</v>
      </c>
      <c r="BT22" s="108">
        <f>IFERROR(IF(d_Bv!V22=0,".",((Ir*F*I_f*T*(1-EXP(-RadSpec!BA22*t_v)))/(Y_v*RadSpec!BA22))),".")</f>
        <v>3.6424203206347228</v>
      </c>
      <c r="BU22" s="108">
        <f>IFERROR(IF(d_Bv!W22=0,".",((Ir*F*I_f*T*(1-EXP(-RadSpec!BA22*t_v)))/(Y_v*RadSpec!BA22))),".")</f>
        <v>3.6424203206347228</v>
      </c>
      <c r="BV22" s="108">
        <f>IFERROR(IF(d_Bv!X22=0,".",((Ir*F*I_f*T*(1-EXP(-RadSpec!BA22*t_v)))/(Y_v*RadSpec!BA22))),".")</f>
        <v>3.6424203206347228</v>
      </c>
      <c r="BW22" s="108">
        <f>IFERROR(IF(d_Bv!Y22=0,".",((Ir*F*I_f*T*(1-EXP(-RadSpec!BA22*t_v)))/(Y_v*RadSpec!BA22))),".")</f>
        <v>3.6424203206347228</v>
      </c>
      <c r="BX22" s="108">
        <f>IFERROR(IF(d_Bv!Z22=0,".",((Ir*F*I_f*T*(1-EXP(-RadSpec!BA22*t_v)))/(Y_v*RadSpec!BA22))),".")</f>
        <v>3.6424203206347228</v>
      </c>
      <c r="BY22" s="108">
        <f>IFERROR(IF(d_Bv!AA22=0,".",((Ir*F*I_f*T*(1-EXP(-RadSpec!BA22*t_v)))/(Y_v*RadSpec!BA22))),".")</f>
        <v>3.6424203206347228</v>
      </c>
    </row>
    <row r="23" spans="1:77" x14ac:dyDescent="0.25">
      <c r="A23" s="46" t="s">
        <v>21</v>
      </c>
      <c r="B23" s="42" t="s">
        <v>335</v>
      </c>
      <c r="C23" s="108">
        <f>IFERROR(IF(d_Bv!C23=0,".",((Ir*F*d_Bv!C23*(1-EXP(-RadSpec!AZ23*t_b)))/(P*RadSpec!AZ23))),".")</f>
        <v>0.35746410762351033</v>
      </c>
      <c r="D23" s="108">
        <f>IFERROR(IF(d_Bv!D23=0,".",((Ir*F*d_Bv!D23*(1-EXP(-RadSpec!AZ23*t_b)))/(P*RadSpec!AZ23))),".")</f>
        <v>3.2529233793739438</v>
      </c>
      <c r="E23" s="108">
        <f>IFERROR(IF(d_Bv!E23=0,".",((Ir*F*d_Bv!E23*(1-EXP(-RadSpec!AZ23*t_b)))/(P*RadSpec!AZ23))),".")</f>
        <v>2.5022487533645723</v>
      </c>
      <c r="F23" s="108">
        <f>IFERROR(IF(d_Bv!F23=0,".",((Ir*F*d_Bv!F23*(1-EXP(-RadSpec!AZ23*t_b)))/(P*RadSpec!AZ23))),".")</f>
        <v>0.35746410762351033</v>
      </c>
      <c r="G23" s="108">
        <f>IFERROR(IF(d_Bv!G23=0,".",((Ir*F*d_Bv!G23*(1-EXP(-RadSpec!AZ23*t_b)))/(P*RadSpec!AZ23))),".")</f>
        <v>0.60768898295996754</v>
      </c>
      <c r="H23" s="108">
        <f>IFERROR(IF(d_Bv!H23=0,".",((Ir*F*d_Bv!H23*(1-EXP(-RadSpec!AZ23*t_b)))/(P*RadSpec!AZ23))),".")</f>
        <v>3.2529233793739438</v>
      </c>
      <c r="I23" s="108">
        <f>IFERROR(IF(d_Bv!I23=0,".",((Ir*F*d_Bv!I23*(1-EXP(-RadSpec!AZ23*t_b)))/(P*RadSpec!AZ23))),".")</f>
        <v>2.5022487533645723</v>
      </c>
      <c r="J23" s="108">
        <f>IFERROR(IF(d_Bv!J23=0,".",((Ir*F*d_Bv!J23*(1-EXP(-RadSpec!AZ23*t_b)))/(P*RadSpec!AZ23))),".")</f>
        <v>0.35746410762351033</v>
      </c>
      <c r="K23" s="108">
        <f>IFERROR(IF(d_Bv!K23=0,".",((Ir*F*d_Bv!K23*(1-EXP(-RadSpec!AZ23*t_b)))/(P*RadSpec!AZ23))),".")</f>
        <v>8.5791385829642464E-2</v>
      </c>
      <c r="L23" s="108">
        <f>IFERROR(IF(d_Bv!L23=0,".",((Ir*F*d_Bv!L23*(1-EXP(-RadSpec!AZ23*t_b)))/(P*RadSpec!AZ23))),".")</f>
        <v>0.60768898295996754</v>
      </c>
      <c r="M23" s="108">
        <f>IFERROR(IF(d_Bv!M23=0,".",((Ir*F*d_Bv!M23*(1-EXP(-RadSpec!AZ23*t_b)))/(P*RadSpec!AZ23))),".")</f>
        <v>3.2529233793739438</v>
      </c>
      <c r="N23" s="108">
        <f>IFERROR(IF(d_Bv!N23=0,".",((Ir*F*d_Bv!N23*(1-EXP(-RadSpec!AZ23*t_b)))/(P*RadSpec!AZ23))),".")</f>
        <v>0.50044975067291442</v>
      </c>
      <c r="O23" s="108">
        <f>IFERROR(IF(d_Bv!O23=0,".",((Ir*F*d_Bv!O23*(1-EXP(-RadSpec!AZ23*t_b)))/(P*RadSpec!AZ23))),".")</f>
        <v>0.60768898295996754</v>
      </c>
      <c r="P23" s="108">
        <f>IFERROR(IF(d_Bv!I23=0,".",((Ir*F*d_Bv!I23*(1-EXP(-RadSpec!AZ23*t_b)))/(P*RadSpec!AZ23))),".")</f>
        <v>2.5022487533645723</v>
      </c>
      <c r="Q23" s="108">
        <f>IFERROR(IF(d_Bv!Q23=0,".",((Ir*F*d_Bv!Q23*(1-EXP(-RadSpec!AZ23*t_b)))/(P*RadSpec!AZ23))),".")</f>
        <v>0.35746410762351033</v>
      </c>
      <c r="R23" s="108">
        <f>IFERROR(IF(d_Bv!R23=0,".",((Ir*F*d_Bv!R23*(1-EXP(-RadSpec!AZ23*t_b)))/(P*RadSpec!AZ23))),".")</f>
        <v>0.35746410762351033</v>
      </c>
      <c r="S23" s="108">
        <f>IFERROR(IF(d_Bv!S23=0,".",((Ir*F*d_Bv!S23*(1-EXP(-RadSpec!AZ23*t_b)))/(P*RadSpec!AZ23))),".")</f>
        <v>0.50044975067291442</v>
      </c>
      <c r="T23" s="202">
        <f>IFERROR(IF(d_Bv!T23=0,".",((Ir*F*d_Bv!T23*(1-EXP(-RadSpec!AZ23*t_b)))/(P*RadSpec!AZ23))),".")</f>
        <v>0.60768898295996754</v>
      </c>
      <c r="U23" s="108">
        <f>IFERROR(IF(d_Bv!U23=0,".",((Ir*F*d_Bv!U23*(1-EXP(-RadSpec!AZ23*t_b)))/(P*RadSpec!AZ23))),".")</f>
        <v>0.39321051838586135</v>
      </c>
      <c r="V23" s="108">
        <f>IFERROR(IF(d_Bv!V23=0,".",((Ir*F*d_Bv!V23*(1-EXP(-RadSpec!AZ23*t_b)))/(P*RadSpec!AZ23))),".")</f>
        <v>0.60768898295996754</v>
      </c>
      <c r="W23" s="108">
        <f>IFERROR(IF(d_Bv!W23=0,".",((Ir*F*d_Bv!W23*(1-EXP(-RadSpec!AZ23*t_b)))/(P*RadSpec!AZ23))),".")</f>
        <v>0.50044975067291442</v>
      </c>
      <c r="X23" s="108">
        <f>IFERROR(IF(d_Bv!X23=0,".",((Ir*F*d_Bv!X23*(1-EXP(-RadSpec!AZ23*t_b)))/(P*RadSpec!AZ23))),".")</f>
        <v>0.35746410762351033</v>
      </c>
      <c r="Y23" s="108">
        <f>IFERROR(IF(d_Bv!Y23=0,".",((Ir*F*d_Bv!Y23*(1-EXP(-RadSpec!AZ23*t_b)))/(P*RadSpec!AZ23))),".")</f>
        <v>0.60768898295996754</v>
      </c>
      <c r="Z23" s="108">
        <f>IFERROR(IF(d_Bv!Z23=0,".",((Ir*F*d_Bv!Z23*(1-EXP(-RadSpec!AZ23*t_b)))/(P*RadSpec!AZ23))),".")</f>
        <v>3.10993773632454E-2</v>
      </c>
      <c r="AA23" s="108">
        <f>IFERROR(IF(d_Bv!AA23=0,".",((Ir*F*d_Bv!AA23*(1-EXP(-RadSpec!AZ23*t_b)))/(P*RadSpec!AZ23))),".")</f>
        <v>0.60768898295996754</v>
      </c>
      <c r="AB23" s="108">
        <f>IFERROR(IF(d_Bv!C23=0,".",((Ir*F*MLF_apple*(1-EXP(-RadSpec!AZ23*t_b)))/(P*RadSpec!AZ23))),".")</f>
        <v>5.7194257219761657E-3</v>
      </c>
      <c r="AC23" s="108">
        <f>IFERROR(IF(d_Bv!D23=0,".",((Ir*F*MLF_asparagus*(1-EXP(-RadSpec!AZ23*t_b)))/(P*RadSpec!AZ23))),".")</f>
        <v>2.8239664502257315E-3</v>
      </c>
      <c r="AD23" s="108">
        <f>IFERROR(IF(d_Bv!E23=0,".",((Ir*F*MLF_beet*(1-EXP(-RadSpec!AZ23*t_b)))/(P*RadSpec!AZ23))),".")</f>
        <v>4.9330046852044422E-3</v>
      </c>
      <c r="AE23" s="108">
        <f>IFERROR(IF(d_Bv!F23=0,".",((Ir*F*MLF_berries*(1-EXP(-RadSpec!AZ23*t_b)))/(P*RadSpec!AZ23))),".")</f>
        <v>5.9339041865502712E-3</v>
      </c>
      <c r="AF23" s="108">
        <f>IFERROR(IF(d_Bv!G23=0,".",((Ir*F*MLF_broccoli*(1-EXP(-RadSpec!AZ23*t_b)))/(P*RadSpec!AZ23))),".")</f>
        <v>3.6103874869974538E-2</v>
      </c>
      <c r="AG23" s="108">
        <f>IFERROR(IF(d_Bv!H23=0,".",((Ir*F*MLF_cabbage*(1-EXP(-RadSpec!AZ23*t_b)))/(P*RadSpec!AZ23))),".")</f>
        <v>3.7533731300468582E-3</v>
      </c>
      <c r="AH23" s="108">
        <f>IFERROR(IF(d_Bv!I23=0,".",((Ir*F*MLF_carrot*(1-EXP(-RadSpec!AZ23*t_b)))/(P*RadSpec!AZ23))),".")</f>
        <v>3.4674018439480501E-3</v>
      </c>
      <c r="AI23" s="108">
        <f>IFERROR(IF(d_Bv!J23=0,".",((Ir*F*MLF_citrus*(1-EXP(-RadSpec!AZ23*t_b)))/(P*RadSpec!AZ23))),".")</f>
        <v>5.6121864896891112E-3</v>
      </c>
      <c r="AJ23" s="108">
        <f>IFERROR(IF(d_Bv!K23=0,".",((Ir*F*MLF_corn*(1-EXP(-RadSpec!AZ23*t_b)))/(P*RadSpec!AZ23))),".")</f>
        <v>5.1832295605408994E-3</v>
      </c>
      <c r="AK23" s="108">
        <f>IFERROR(IF(d_Bv!L23=0,".",((Ir*F*MLF_cucumber*(1-EXP(-RadSpec!AZ23*t_b)))/(P*RadSpec!AZ23))),".")</f>
        <v>1.4298564304940414E-3</v>
      </c>
      <c r="AL23" s="108">
        <f>IFERROR(IF(d_Bv!M23=0,".",((Ir*F*MLF_lettuce*(1-EXP(-RadSpec!AZ23*t_b)))/(P*RadSpec!AZ23))),".")</f>
        <v>0.48257654529173893</v>
      </c>
      <c r="AM23" s="108">
        <f>IFERROR(IF(d_Bv!N23=0,".",((Ir*F*MLF_lima_bean*(1-EXP(-RadSpec!AZ23*t_b)))/(P*RadSpec!AZ23))),".")</f>
        <v>0.13690875321980447</v>
      </c>
      <c r="AN23" s="108">
        <f>IFERROR(IF(d_Bv!O23=0,".",((Ir*F*MLF_okra*(1-EXP(-RadSpec!AZ23*t_b)))/(P*RadSpec!AZ23))),".")</f>
        <v>2.8597128609880828E-3</v>
      </c>
      <c r="AO23" s="108">
        <f>IFERROR(IF(d_Bv!P23=0,".",((Ir*F*MLF_onion*(1-EXP(-RadSpec!AZ23*t_b)))/(P*RadSpec!AZ23))),".")</f>
        <v>3.4674018439480501E-3</v>
      </c>
      <c r="AP23" s="108">
        <f>IFERROR(IF(d_Bv!Q23=0,".",((Ir*F*MLF_peach*(1-EXP(-RadSpec!AZ23*t_b)))/(P*RadSpec!AZ23))),".")</f>
        <v>5.361961614352654E-3</v>
      </c>
      <c r="AQ23" s="108">
        <f>IFERROR(IF(d_Bv!R23=0,".",((Ir*F*MLF_pear*(1-EXP(-RadSpec!AZ23*t_b)))/(P*RadSpec!AZ23))),".")</f>
        <v>5.7194257219761657E-3</v>
      </c>
      <c r="AR23" s="108">
        <f>IFERROR(IF(d_Bv!S23=0,".",((Ir*F*MLF_peas*(1-EXP(-RadSpec!AZ23*t_b)))/(P*RadSpec!AZ23))),".")</f>
        <v>6.3628611156984829E-3</v>
      </c>
      <c r="AS23" s="108">
        <f>IFERROR(IF(d_Bv!T23=0,".",((Ir*F*MLF_peppers*(1-EXP(-RadSpec!AZ23*t_b)))/(P*RadSpec!AZ23))),".")</f>
        <v>7.93570318924193E-2</v>
      </c>
      <c r="AT23" s="108">
        <f>IFERROR(IF(d_Bv!U23=0,".",((Ir*F*MLF_potato*(1-EXP(-RadSpec!AZ23*t_b)))/(P*RadSpec!AZ23))),".")</f>
        <v>7.5067462600937164E-3</v>
      </c>
      <c r="AU23" s="108">
        <f>IFERROR(IF(d_Bv!V23=0,".",((Ir*F*MLF_pumpkin*(1-EXP(-RadSpec!AZ23*t_b)))/(P*RadSpec!AZ23))),".")</f>
        <v>2.0732918242163598E-3</v>
      </c>
      <c r="AV23" s="108">
        <f>IFERROR(IF(d_Bv!W23=0,".",((Ir*F*MLF_snap_bean*(1-EXP(-RadSpec!AZ23*t_b)))/(P*RadSpec!AZ23))),".")</f>
        <v>0.17873205381175516</v>
      </c>
      <c r="AW23" s="108">
        <f>IFERROR(IF(d_Bv!X23=0,".",((Ir*F*MLF_strawberry*(1-EXP(-RadSpec!AZ23*t_b)))/(P*RadSpec!AZ23))),".")</f>
        <v>2.8597128609880828E-3</v>
      </c>
      <c r="AX23" s="108">
        <f>IFERROR(IF(d_Bv!Y23=0,".",((Ir*F*MLF_tomato*(1-EXP(-RadSpec!AZ23*t_b)))/(P*RadSpec!AZ23))),".")</f>
        <v>6.327114704936132E-2</v>
      </c>
      <c r="AY23" s="108">
        <f>IFERROR(IF(d_Bv!Z23=0,".",((Ir*F*MLF_rice*(1-EXP(-RadSpec!AZ23*t_b)))/(P*RadSpec!AZ23))),".")</f>
        <v>8.9366026905877582</v>
      </c>
      <c r="AZ23" s="108">
        <f>IFERROR(IF(d_Bv!AA23=0,".",((Ir*F*MLF_cereal*(1-EXP(-RadSpec!AZ23*t_b)))/(P*RadSpec!AZ23))),".")</f>
        <v>8.9366026905877582</v>
      </c>
      <c r="BA23" s="108">
        <f>IFERROR(IF(d_Bv!C23=0,".",((Ir*F*I_f*T*(1-EXP(-RadSpec!BA23*t_v)))/(Y_v*RadSpec!BA23))),".")</f>
        <v>3.6424203206347228</v>
      </c>
      <c r="BB23" s="108">
        <f>IFERROR(IF(d_Bv!D23=0,".",((Ir*F*I_f*T*(1-EXP(-RadSpec!BA23*t_v)))/(Y_v*RadSpec!BA23))),".")</f>
        <v>3.6424203206347228</v>
      </c>
      <c r="BC23" s="108">
        <f>IFERROR(IF(d_Bv!E23=0,".",((Ir*F*I_f*T*(1-EXP(-RadSpec!BA23*t_v)))/(Y_v*RadSpec!BA23))),".")</f>
        <v>3.6424203206347228</v>
      </c>
      <c r="BD23" s="108">
        <f>IFERROR(IF(d_Bv!F23=0,".",((Ir*F*I_f*T*(1-EXP(-RadSpec!BA23*t_v)))/(Y_v*RadSpec!BA23))),".")</f>
        <v>3.6424203206347228</v>
      </c>
      <c r="BE23" s="108">
        <f>IFERROR(IF(d_Bv!G23=0,".",((Ir*F*I_f*T*(1-EXP(-RadSpec!BA23*t_v)))/(Y_v*RadSpec!BA23))),".")</f>
        <v>3.6424203206347228</v>
      </c>
      <c r="BF23" s="108">
        <f>IFERROR(IF(d_Bv!H23=0,".",((Ir*F*I_f*T*(1-EXP(-RadSpec!BA23*t_v)))/(Y_v*RadSpec!BA23))),".")</f>
        <v>3.6424203206347228</v>
      </c>
      <c r="BG23" s="108">
        <f>IFERROR(IF(d_Bv!I23=0,".",((Ir*F*I_f*T*(1-EXP(-RadSpec!BA23*t_v)))/(Y_v*RadSpec!BA23))),".")</f>
        <v>3.6424203206347228</v>
      </c>
      <c r="BH23" s="108">
        <f>IFERROR(IF(d_Bv!J23=0,".",((Ir*F*I_f*T*(1-EXP(-RadSpec!BA23*t_v)))/(Y_v*RadSpec!BA23))),".")</f>
        <v>3.6424203206347228</v>
      </c>
      <c r="BI23" s="108">
        <f>IFERROR(IF(d_Bv!K23=0,".",((Ir*F*I_f*T*(1-EXP(-RadSpec!BA23*t_v)))/(Y_v*RadSpec!BA23))),".")</f>
        <v>3.6424203206347228</v>
      </c>
      <c r="BJ23" s="108">
        <f>IFERROR(IF(d_Bv!L23=0,".",((Ir*F*I_f*T*(1-EXP(-RadSpec!BA23*t_v)))/(Y_v*RadSpec!BA23))),".")</f>
        <v>3.6424203206347228</v>
      </c>
      <c r="BK23" s="108">
        <f>IFERROR(IF(d_Bv!M23=0,".",((Ir*F*I_f*T*(1-EXP(-RadSpec!BA23*t_v)))/(Y_v*RadSpec!BA23))),".")</f>
        <v>3.6424203206347228</v>
      </c>
      <c r="BL23" s="108">
        <f>IFERROR(IF(d_Bv!N23=0,".",((Ir*F*I_f*T*(1-EXP(-RadSpec!BA23*t_v)))/(Y_v*RadSpec!BA23))),".")</f>
        <v>3.6424203206347228</v>
      </c>
      <c r="BM23" s="108">
        <f>IFERROR(IF(d_Bv!O23=0,".",((Ir*F*I_f*T*(1-EXP(-RadSpec!BA23*t_v)))/(Y_v*RadSpec!BA23))),".")</f>
        <v>3.6424203206347228</v>
      </c>
      <c r="BN23" s="108">
        <f>IFERROR(IF(d_Bv!P23=0,".",((Ir*F*I_f*T*(1-EXP(-RadSpec!BA23*t_v)))/(Y_v*RadSpec!BA23))),".")</f>
        <v>3.6424203206347228</v>
      </c>
      <c r="BO23" s="108">
        <f>IFERROR(IF(d_Bv!Q23=0,".",((Ir*F*I_f*T*(1-EXP(-RadSpec!BA23*t_v)))/(Y_v*RadSpec!BA23))),".")</f>
        <v>3.6424203206347228</v>
      </c>
      <c r="BP23" s="108">
        <f>IFERROR(IF(d_Bv!R23=0,".",((Ir*F*I_f*T*(1-EXP(-RadSpec!BA23*t_v)))/(Y_v*RadSpec!BA23))),".")</f>
        <v>3.6424203206347228</v>
      </c>
      <c r="BQ23" s="108">
        <f>IFERROR(IF(d_Bv!S23=0,".",((Ir*F*I_f*T*(1-EXP(-RadSpec!BA23*t_v)))/(Y_v*RadSpec!BA23))),".")</f>
        <v>3.6424203206347228</v>
      </c>
      <c r="BR23" s="108">
        <f>IFERROR(IF(d_Bv!T23=0,".",((Ir*F*I_f*T*(1-EXP(-RadSpec!BA23*t_v)))/(Y_v*RadSpec!BA23))),".")</f>
        <v>3.6424203206347228</v>
      </c>
      <c r="BS23" s="108">
        <f>IFERROR(IF(d_Bv!U23=0,".",((Ir*F*I_f*T*(1-EXP(-RadSpec!BA23*t_v)))/(Y_v*RadSpec!BA23))),".")</f>
        <v>3.6424203206347228</v>
      </c>
      <c r="BT23" s="108">
        <f>IFERROR(IF(d_Bv!V23=0,".",((Ir*F*I_f*T*(1-EXP(-RadSpec!BA23*t_v)))/(Y_v*RadSpec!BA23))),".")</f>
        <v>3.6424203206347228</v>
      </c>
      <c r="BU23" s="108">
        <f>IFERROR(IF(d_Bv!W23=0,".",((Ir*F*I_f*T*(1-EXP(-RadSpec!BA23*t_v)))/(Y_v*RadSpec!BA23))),".")</f>
        <v>3.6424203206347228</v>
      </c>
      <c r="BV23" s="108">
        <f>IFERROR(IF(d_Bv!X23=0,".",((Ir*F*I_f*T*(1-EXP(-RadSpec!BA23*t_v)))/(Y_v*RadSpec!BA23))),".")</f>
        <v>3.6424203206347228</v>
      </c>
      <c r="BW23" s="108">
        <f>IFERROR(IF(d_Bv!Y23=0,".",((Ir*F*I_f*T*(1-EXP(-RadSpec!BA23*t_v)))/(Y_v*RadSpec!BA23))),".")</f>
        <v>3.6424203206347228</v>
      </c>
      <c r="BX23" s="108">
        <f>IFERROR(IF(d_Bv!Z23=0,".",((Ir*F*I_f*T*(1-EXP(-RadSpec!BA23*t_v)))/(Y_v*RadSpec!BA23))),".")</f>
        <v>3.6424203206347228</v>
      </c>
      <c r="BY23" s="108">
        <f>IFERROR(IF(d_Bv!AA23=0,".",((Ir*F*I_f*T*(1-EXP(-RadSpec!BA23*t_v)))/(Y_v*RadSpec!BA23))),".")</f>
        <v>3.6424203206347228</v>
      </c>
    </row>
    <row r="24" spans="1:77" x14ac:dyDescent="0.25">
      <c r="A24" s="44" t="s">
        <v>22</v>
      </c>
      <c r="B24" s="42" t="s">
        <v>1057</v>
      </c>
      <c r="C24" s="108" t="str">
        <f>IFERROR(IF(d_Bv!C24=0,".",((Ir*F*d_Bv!C24*(1-EXP(-RadSpec!AZ24*t_b)))/(P*RadSpec!AZ24))),".")</f>
        <v>.</v>
      </c>
      <c r="D24" s="108" t="str">
        <f>IFERROR(IF(d_Bv!D24=0,".",((Ir*F*d_Bv!D24*(1-EXP(-RadSpec!AZ24*t_b)))/(P*RadSpec!AZ24))),".")</f>
        <v>.</v>
      </c>
      <c r="E24" s="108" t="str">
        <f>IFERROR(IF(d_Bv!E24=0,".",((Ir*F*d_Bv!E24*(1-EXP(-RadSpec!AZ24*t_b)))/(P*RadSpec!AZ24))),".")</f>
        <v>.</v>
      </c>
      <c r="F24" s="108" t="str">
        <f>IFERROR(IF(d_Bv!F24=0,".",((Ir*F*d_Bv!F24*(1-EXP(-RadSpec!AZ24*t_b)))/(P*RadSpec!AZ24))),".")</f>
        <v>.</v>
      </c>
      <c r="G24" s="108" t="str">
        <f>IFERROR(IF(d_Bv!G24=0,".",((Ir*F*d_Bv!G24*(1-EXP(-RadSpec!AZ24*t_b)))/(P*RadSpec!AZ24))),".")</f>
        <v>.</v>
      </c>
      <c r="H24" s="108" t="str">
        <f>IFERROR(IF(d_Bv!H24=0,".",((Ir*F*d_Bv!H24*(1-EXP(-RadSpec!AZ24*t_b)))/(P*RadSpec!AZ24))),".")</f>
        <v>.</v>
      </c>
      <c r="I24" s="108" t="str">
        <f>IFERROR(IF(d_Bv!I24=0,".",((Ir*F*d_Bv!I24*(1-EXP(-RadSpec!AZ24*t_b)))/(P*RadSpec!AZ24))),".")</f>
        <v>.</v>
      </c>
      <c r="J24" s="108" t="str">
        <f>IFERROR(IF(d_Bv!J24=0,".",((Ir*F*d_Bv!J24*(1-EXP(-RadSpec!AZ24*t_b)))/(P*RadSpec!AZ24))),".")</f>
        <v>.</v>
      </c>
      <c r="K24" s="108" t="str">
        <f>IFERROR(IF(d_Bv!K24=0,".",((Ir*F*d_Bv!K24*(1-EXP(-RadSpec!AZ24*t_b)))/(P*RadSpec!AZ24))),".")</f>
        <v>.</v>
      </c>
      <c r="L24" s="108" t="str">
        <f>IFERROR(IF(d_Bv!L24=0,".",((Ir*F*d_Bv!L24*(1-EXP(-RadSpec!AZ24*t_b)))/(P*RadSpec!AZ24))),".")</f>
        <v>.</v>
      </c>
      <c r="M24" s="108" t="str">
        <f>IFERROR(IF(d_Bv!M24=0,".",((Ir*F*d_Bv!M24*(1-EXP(-RadSpec!AZ24*t_b)))/(P*RadSpec!AZ24))),".")</f>
        <v>.</v>
      </c>
      <c r="N24" s="108" t="str">
        <f>IFERROR(IF(d_Bv!N24=0,".",((Ir*F*d_Bv!N24*(1-EXP(-RadSpec!AZ24*t_b)))/(P*RadSpec!AZ24))),".")</f>
        <v>.</v>
      </c>
      <c r="O24" s="108" t="str">
        <f>IFERROR(IF(d_Bv!O24=0,".",((Ir*F*d_Bv!O24*(1-EXP(-RadSpec!AZ24*t_b)))/(P*RadSpec!AZ24))),".")</f>
        <v>.</v>
      </c>
      <c r="P24" s="108" t="str">
        <f>IFERROR(IF(d_Bv!I24=0,".",((Ir*F*d_Bv!I24*(1-EXP(-RadSpec!AZ24*t_b)))/(P*RadSpec!AZ24))),".")</f>
        <v>.</v>
      </c>
      <c r="Q24" s="108" t="str">
        <f>IFERROR(IF(d_Bv!Q24=0,".",((Ir*F*d_Bv!Q24*(1-EXP(-RadSpec!AZ24*t_b)))/(P*RadSpec!AZ24))),".")</f>
        <v>.</v>
      </c>
      <c r="R24" s="108" t="str">
        <f>IFERROR(IF(d_Bv!R24=0,".",((Ir*F*d_Bv!R24*(1-EXP(-RadSpec!AZ24*t_b)))/(P*RadSpec!AZ24))),".")</f>
        <v>.</v>
      </c>
      <c r="S24" s="108" t="str">
        <f>IFERROR(IF(d_Bv!S24=0,".",((Ir*F*d_Bv!S24*(1-EXP(-RadSpec!AZ24*t_b)))/(P*RadSpec!AZ24))),".")</f>
        <v>.</v>
      </c>
      <c r="T24" s="202" t="str">
        <f>IFERROR(IF(d_Bv!T24=0,".",((Ir*F*d_Bv!T24*(1-EXP(-RadSpec!AZ24*t_b)))/(P*RadSpec!AZ24))),".")</f>
        <v>.</v>
      </c>
      <c r="U24" s="108" t="str">
        <f>IFERROR(IF(d_Bv!U24=0,".",((Ir*F*d_Bv!U24*(1-EXP(-RadSpec!AZ24*t_b)))/(P*RadSpec!AZ24))),".")</f>
        <v>.</v>
      </c>
      <c r="V24" s="108" t="str">
        <f>IFERROR(IF(d_Bv!V24=0,".",((Ir*F*d_Bv!V24*(1-EXP(-RadSpec!AZ24*t_b)))/(P*RadSpec!AZ24))),".")</f>
        <v>.</v>
      </c>
      <c r="W24" s="108" t="str">
        <f>IFERROR(IF(d_Bv!W24=0,".",((Ir*F*d_Bv!W24*(1-EXP(-RadSpec!AZ24*t_b)))/(P*RadSpec!AZ24))),".")</f>
        <v>.</v>
      </c>
      <c r="X24" s="108" t="str">
        <f>IFERROR(IF(d_Bv!X24=0,".",((Ir*F*d_Bv!X24*(1-EXP(-RadSpec!AZ24*t_b)))/(P*RadSpec!AZ24))),".")</f>
        <v>.</v>
      </c>
      <c r="Y24" s="108" t="str">
        <f>IFERROR(IF(d_Bv!Y24=0,".",((Ir*F*d_Bv!Y24*(1-EXP(-RadSpec!AZ24*t_b)))/(P*RadSpec!AZ24))),".")</f>
        <v>.</v>
      </c>
      <c r="Z24" s="108" t="str">
        <f>IFERROR(IF(d_Bv!Z24=0,".",((Ir*F*d_Bv!Z24*(1-EXP(-RadSpec!AZ24*t_b)))/(P*RadSpec!AZ24))),".")</f>
        <v>.</v>
      </c>
      <c r="AA24" s="108" t="str">
        <f>IFERROR(IF(d_Bv!AA24=0,".",((Ir*F*d_Bv!AA24*(1-EXP(-RadSpec!AZ24*t_b)))/(P*RadSpec!AZ24))),".")</f>
        <v>.</v>
      </c>
      <c r="AB24" s="108" t="str">
        <f>IFERROR(IF(d_Bv!C24=0,".",((Ir*F*MLF_apple*(1-EXP(-RadSpec!AZ24*t_b)))/(P*RadSpec!AZ24))),".")</f>
        <v>.</v>
      </c>
      <c r="AC24" s="108" t="str">
        <f>IFERROR(IF(d_Bv!D24=0,".",((Ir*F*MLF_asparagus*(1-EXP(-RadSpec!AZ24*t_b)))/(P*RadSpec!AZ24))),".")</f>
        <v>.</v>
      </c>
      <c r="AD24" s="108" t="str">
        <f>IFERROR(IF(d_Bv!E24=0,".",((Ir*F*MLF_beet*(1-EXP(-RadSpec!AZ24*t_b)))/(P*RadSpec!AZ24))),".")</f>
        <v>.</v>
      </c>
      <c r="AE24" s="108" t="str">
        <f>IFERROR(IF(d_Bv!F24=0,".",((Ir*F*MLF_berries*(1-EXP(-RadSpec!AZ24*t_b)))/(P*RadSpec!AZ24))),".")</f>
        <v>.</v>
      </c>
      <c r="AF24" s="108" t="str">
        <f>IFERROR(IF(d_Bv!G24=0,".",((Ir*F*MLF_broccoli*(1-EXP(-RadSpec!AZ24*t_b)))/(P*RadSpec!AZ24))),".")</f>
        <v>.</v>
      </c>
      <c r="AG24" s="108" t="str">
        <f>IFERROR(IF(d_Bv!H24=0,".",((Ir*F*MLF_cabbage*(1-EXP(-RadSpec!AZ24*t_b)))/(P*RadSpec!AZ24))),".")</f>
        <v>.</v>
      </c>
      <c r="AH24" s="108" t="str">
        <f>IFERROR(IF(d_Bv!I24=0,".",((Ir*F*MLF_carrot*(1-EXP(-RadSpec!AZ24*t_b)))/(P*RadSpec!AZ24))),".")</f>
        <v>.</v>
      </c>
      <c r="AI24" s="108" t="str">
        <f>IFERROR(IF(d_Bv!J24=0,".",((Ir*F*MLF_citrus*(1-EXP(-RadSpec!AZ24*t_b)))/(P*RadSpec!AZ24))),".")</f>
        <v>.</v>
      </c>
      <c r="AJ24" s="108" t="str">
        <f>IFERROR(IF(d_Bv!K24=0,".",((Ir*F*MLF_corn*(1-EXP(-RadSpec!AZ24*t_b)))/(P*RadSpec!AZ24))),".")</f>
        <v>.</v>
      </c>
      <c r="AK24" s="108" t="str">
        <f>IFERROR(IF(d_Bv!L24=0,".",((Ir*F*MLF_cucumber*(1-EXP(-RadSpec!AZ24*t_b)))/(P*RadSpec!AZ24))),".")</f>
        <v>.</v>
      </c>
      <c r="AL24" s="108" t="str">
        <f>IFERROR(IF(d_Bv!M24=0,".",((Ir*F*MLF_lettuce*(1-EXP(-RadSpec!AZ24*t_b)))/(P*RadSpec!AZ24))),".")</f>
        <v>.</v>
      </c>
      <c r="AM24" s="108" t="str">
        <f>IFERROR(IF(d_Bv!N24=0,".",((Ir*F*MLF_lima_bean*(1-EXP(-RadSpec!AZ24*t_b)))/(P*RadSpec!AZ24))),".")</f>
        <v>.</v>
      </c>
      <c r="AN24" s="108" t="str">
        <f>IFERROR(IF(d_Bv!O24=0,".",((Ir*F*MLF_okra*(1-EXP(-RadSpec!AZ24*t_b)))/(P*RadSpec!AZ24))),".")</f>
        <v>.</v>
      </c>
      <c r="AO24" s="108" t="str">
        <f>IFERROR(IF(d_Bv!P24=0,".",((Ir*F*MLF_onion*(1-EXP(-RadSpec!AZ24*t_b)))/(P*RadSpec!AZ24))),".")</f>
        <v>.</v>
      </c>
      <c r="AP24" s="108" t="str">
        <f>IFERROR(IF(d_Bv!Q24=0,".",((Ir*F*MLF_peach*(1-EXP(-RadSpec!AZ24*t_b)))/(P*RadSpec!AZ24))),".")</f>
        <v>.</v>
      </c>
      <c r="AQ24" s="108" t="str">
        <f>IFERROR(IF(d_Bv!R24=0,".",((Ir*F*MLF_pear*(1-EXP(-RadSpec!AZ24*t_b)))/(P*RadSpec!AZ24))),".")</f>
        <v>.</v>
      </c>
      <c r="AR24" s="108" t="str">
        <f>IFERROR(IF(d_Bv!S24=0,".",((Ir*F*MLF_peas*(1-EXP(-RadSpec!AZ24*t_b)))/(P*RadSpec!AZ24))),".")</f>
        <v>.</v>
      </c>
      <c r="AS24" s="108" t="str">
        <f>IFERROR(IF(d_Bv!T24=0,".",((Ir*F*MLF_peppers*(1-EXP(-RadSpec!AZ24*t_b)))/(P*RadSpec!AZ24))),".")</f>
        <v>.</v>
      </c>
      <c r="AT24" s="108" t="str">
        <f>IFERROR(IF(d_Bv!U24=0,".",((Ir*F*MLF_potato*(1-EXP(-RadSpec!AZ24*t_b)))/(P*RadSpec!AZ24))),".")</f>
        <v>.</v>
      </c>
      <c r="AU24" s="108" t="str">
        <f>IFERROR(IF(d_Bv!V24=0,".",((Ir*F*MLF_pumpkin*(1-EXP(-RadSpec!AZ24*t_b)))/(P*RadSpec!AZ24))),".")</f>
        <v>.</v>
      </c>
      <c r="AV24" s="108" t="str">
        <f>IFERROR(IF(d_Bv!W24=0,".",((Ir*F*MLF_snap_bean*(1-EXP(-RadSpec!AZ24*t_b)))/(P*RadSpec!AZ24))),".")</f>
        <v>.</v>
      </c>
      <c r="AW24" s="108" t="str">
        <f>IFERROR(IF(d_Bv!X24=0,".",((Ir*F*MLF_strawberry*(1-EXP(-RadSpec!AZ24*t_b)))/(P*RadSpec!AZ24))),".")</f>
        <v>.</v>
      </c>
      <c r="AX24" s="108" t="str">
        <f>IFERROR(IF(d_Bv!Y24=0,".",((Ir*F*MLF_tomato*(1-EXP(-RadSpec!AZ24*t_b)))/(P*RadSpec!AZ24))),".")</f>
        <v>.</v>
      </c>
      <c r="AY24" s="108" t="str">
        <f>IFERROR(IF(d_Bv!Z24=0,".",((Ir*F*MLF_rice*(1-EXP(-RadSpec!AZ24*t_b)))/(P*RadSpec!AZ24))),".")</f>
        <v>.</v>
      </c>
      <c r="AZ24" s="108" t="str">
        <f>IFERROR(IF(d_Bv!AA24=0,".",((Ir*F*MLF_cereal*(1-EXP(-RadSpec!AZ24*t_b)))/(P*RadSpec!AZ24))),".")</f>
        <v>.</v>
      </c>
      <c r="BA24" s="108" t="str">
        <f>IFERROR(IF(d_Bv!C24=0,".",((Ir*F*I_f*T*(1-EXP(-RadSpec!BA24*t_v)))/(Y_v*RadSpec!BA24))),".")</f>
        <v>.</v>
      </c>
      <c r="BB24" s="108" t="str">
        <f>IFERROR(IF(d_Bv!D24=0,".",((Ir*F*I_f*T*(1-EXP(-RadSpec!BA24*t_v)))/(Y_v*RadSpec!BA24))),".")</f>
        <v>.</v>
      </c>
      <c r="BC24" s="108" t="str">
        <f>IFERROR(IF(d_Bv!E24=0,".",((Ir*F*I_f*T*(1-EXP(-RadSpec!BA24*t_v)))/(Y_v*RadSpec!BA24))),".")</f>
        <v>.</v>
      </c>
      <c r="BD24" s="108" t="str">
        <f>IFERROR(IF(d_Bv!F24=0,".",((Ir*F*I_f*T*(1-EXP(-RadSpec!BA24*t_v)))/(Y_v*RadSpec!BA24))),".")</f>
        <v>.</v>
      </c>
      <c r="BE24" s="108" t="str">
        <f>IFERROR(IF(d_Bv!G24=0,".",((Ir*F*I_f*T*(1-EXP(-RadSpec!BA24*t_v)))/(Y_v*RadSpec!BA24))),".")</f>
        <v>.</v>
      </c>
      <c r="BF24" s="108" t="str">
        <f>IFERROR(IF(d_Bv!H24=0,".",((Ir*F*I_f*T*(1-EXP(-RadSpec!BA24*t_v)))/(Y_v*RadSpec!BA24))),".")</f>
        <v>.</v>
      </c>
      <c r="BG24" s="108" t="str">
        <f>IFERROR(IF(d_Bv!I24=0,".",((Ir*F*I_f*T*(1-EXP(-RadSpec!BA24*t_v)))/(Y_v*RadSpec!BA24))),".")</f>
        <v>.</v>
      </c>
      <c r="BH24" s="108" t="str">
        <f>IFERROR(IF(d_Bv!J24=0,".",((Ir*F*I_f*T*(1-EXP(-RadSpec!BA24*t_v)))/(Y_v*RadSpec!BA24))),".")</f>
        <v>.</v>
      </c>
      <c r="BI24" s="108" t="str">
        <f>IFERROR(IF(d_Bv!K24=0,".",((Ir*F*I_f*T*(1-EXP(-RadSpec!BA24*t_v)))/(Y_v*RadSpec!BA24))),".")</f>
        <v>.</v>
      </c>
      <c r="BJ24" s="108" t="str">
        <f>IFERROR(IF(d_Bv!L24=0,".",((Ir*F*I_f*T*(1-EXP(-RadSpec!BA24*t_v)))/(Y_v*RadSpec!BA24))),".")</f>
        <v>.</v>
      </c>
      <c r="BK24" s="108" t="str">
        <f>IFERROR(IF(d_Bv!M24=0,".",((Ir*F*I_f*T*(1-EXP(-RadSpec!BA24*t_v)))/(Y_v*RadSpec!BA24))),".")</f>
        <v>.</v>
      </c>
      <c r="BL24" s="108" t="str">
        <f>IFERROR(IF(d_Bv!N24=0,".",((Ir*F*I_f*T*(1-EXP(-RadSpec!BA24*t_v)))/(Y_v*RadSpec!BA24))),".")</f>
        <v>.</v>
      </c>
      <c r="BM24" s="108" t="str">
        <f>IFERROR(IF(d_Bv!O24=0,".",((Ir*F*I_f*T*(1-EXP(-RadSpec!BA24*t_v)))/(Y_v*RadSpec!BA24))),".")</f>
        <v>.</v>
      </c>
      <c r="BN24" s="108" t="str">
        <f>IFERROR(IF(d_Bv!P24=0,".",((Ir*F*I_f*T*(1-EXP(-RadSpec!BA24*t_v)))/(Y_v*RadSpec!BA24))),".")</f>
        <v>.</v>
      </c>
      <c r="BO24" s="108" t="str">
        <f>IFERROR(IF(d_Bv!Q24=0,".",((Ir*F*I_f*T*(1-EXP(-RadSpec!BA24*t_v)))/(Y_v*RadSpec!BA24))),".")</f>
        <v>.</v>
      </c>
      <c r="BP24" s="108" t="str">
        <f>IFERROR(IF(d_Bv!R24=0,".",((Ir*F*I_f*T*(1-EXP(-RadSpec!BA24*t_v)))/(Y_v*RadSpec!BA24))),".")</f>
        <v>.</v>
      </c>
      <c r="BQ24" s="108" t="str">
        <f>IFERROR(IF(d_Bv!S24=0,".",((Ir*F*I_f*T*(1-EXP(-RadSpec!BA24*t_v)))/(Y_v*RadSpec!BA24))),".")</f>
        <v>.</v>
      </c>
      <c r="BR24" s="108" t="str">
        <f>IFERROR(IF(d_Bv!T24=0,".",((Ir*F*I_f*T*(1-EXP(-RadSpec!BA24*t_v)))/(Y_v*RadSpec!BA24))),".")</f>
        <v>.</v>
      </c>
      <c r="BS24" s="108" t="str">
        <f>IFERROR(IF(d_Bv!U24=0,".",((Ir*F*I_f*T*(1-EXP(-RadSpec!BA24*t_v)))/(Y_v*RadSpec!BA24))),".")</f>
        <v>.</v>
      </c>
      <c r="BT24" s="108" t="str">
        <f>IFERROR(IF(d_Bv!V24=0,".",((Ir*F*I_f*T*(1-EXP(-RadSpec!BA24*t_v)))/(Y_v*RadSpec!BA24))),".")</f>
        <v>.</v>
      </c>
      <c r="BU24" s="108" t="str">
        <f>IFERROR(IF(d_Bv!W24=0,".",((Ir*F*I_f*T*(1-EXP(-RadSpec!BA24*t_v)))/(Y_v*RadSpec!BA24))),".")</f>
        <v>.</v>
      </c>
      <c r="BV24" s="108" t="str">
        <f>IFERROR(IF(d_Bv!X24=0,".",((Ir*F*I_f*T*(1-EXP(-RadSpec!BA24*t_v)))/(Y_v*RadSpec!BA24))),".")</f>
        <v>.</v>
      </c>
      <c r="BW24" s="108" t="str">
        <f>IFERROR(IF(d_Bv!Y24=0,".",((Ir*F*I_f*T*(1-EXP(-RadSpec!BA24*t_v)))/(Y_v*RadSpec!BA24))),".")</f>
        <v>.</v>
      </c>
      <c r="BX24" s="108" t="str">
        <f>IFERROR(IF(d_Bv!Z24=0,".",((Ir*F*I_f*T*(1-EXP(-RadSpec!BA24*t_v)))/(Y_v*RadSpec!BA24))),".")</f>
        <v>.</v>
      </c>
      <c r="BY24" s="108" t="str">
        <f>IFERROR(IF(d_Bv!AA24=0,".",((Ir*F*I_f*T*(1-EXP(-RadSpec!BA24*t_v)))/(Y_v*RadSpec!BA24))),".")</f>
        <v>.</v>
      </c>
    </row>
    <row r="25" spans="1:77" x14ac:dyDescent="0.25">
      <c r="A25" s="46" t="s">
        <v>23</v>
      </c>
      <c r="B25" s="42" t="s">
        <v>335</v>
      </c>
      <c r="C25" s="108" t="str">
        <f>IFERROR(IF(d_Bv!C25=0,".",((Ir*F*d_Bv!C25*(1-EXP(-RadSpec!AZ25*t_b)))/(P*RadSpec!AZ25))),".")</f>
        <v>.</v>
      </c>
      <c r="D25" s="108" t="str">
        <f>IFERROR(IF(d_Bv!D25=0,".",((Ir*F*d_Bv!D25*(1-EXP(-RadSpec!AZ25*t_b)))/(P*RadSpec!AZ25))),".")</f>
        <v>.</v>
      </c>
      <c r="E25" s="108" t="str">
        <f>IFERROR(IF(d_Bv!E25=0,".",((Ir*F*d_Bv!E25*(1-EXP(-RadSpec!AZ25*t_b)))/(P*RadSpec!AZ25))),".")</f>
        <v>.</v>
      </c>
      <c r="F25" s="108" t="str">
        <f>IFERROR(IF(d_Bv!F25=0,".",((Ir*F*d_Bv!F25*(1-EXP(-RadSpec!AZ25*t_b)))/(P*RadSpec!AZ25))),".")</f>
        <v>.</v>
      </c>
      <c r="G25" s="108" t="str">
        <f>IFERROR(IF(d_Bv!G25=0,".",((Ir*F*d_Bv!G25*(1-EXP(-RadSpec!AZ25*t_b)))/(P*RadSpec!AZ25))),".")</f>
        <v>.</v>
      </c>
      <c r="H25" s="108" t="str">
        <f>IFERROR(IF(d_Bv!H25=0,".",((Ir*F*d_Bv!H25*(1-EXP(-RadSpec!AZ25*t_b)))/(P*RadSpec!AZ25))),".")</f>
        <v>.</v>
      </c>
      <c r="I25" s="108" t="str">
        <f>IFERROR(IF(d_Bv!I25=0,".",((Ir*F*d_Bv!I25*(1-EXP(-RadSpec!AZ25*t_b)))/(P*RadSpec!AZ25))),".")</f>
        <v>.</v>
      </c>
      <c r="J25" s="108" t="str">
        <f>IFERROR(IF(d_Bv!J25=0,".",((Ir*F*d_Bv!J25*(1-EXP(-RadSpec!AZ25*t_b)))/(P*RadSpec!AZ25))),".")</f>
        <v>.</v>
      </c>
      <c r="K25" s="108" t="str">
        <f>IFERROR(IF(d_Bv!K25=0,".",((Ir*F*d_Bv!K25*(1-EXP(-RadSpec!AZ25*t_b)))/(P*RadSpec!AZ25))),".")</f>
        <v>.</v>
      </c>
      <c r="L25" s="108" t="str">
        <f>IFERROR(IF(d_Bv!L25=0,".",((Ir*F*d_Bv!L25*(1-EXP(-RadSpec!AZ25*t_b)))/(P*RadSpec!AZ25))),".")</f>
        <v>.</v>
      </c>
      <c r="M25" s="108" t="str">
        <f>IFERROR(IF(d_Bv!M25=0,".",((Ir*F*d_Bv!M25*(1-EXP(-RadSpec!AZ25*t_b)))/(P*RadSpec!AZ25))),".")</f>
        <v>.</v>
      </c>
      <c r="N25" s="108" t="str">
        <f>IFERROR(IF(d_Bv!N25=0,".",((Ir*F*d_Bv!N25*(1-EXP(-RadSpec!AZ25*t_b)))/(P*RadSpec!AZ25))),".")</f>
        <v>.</v>
      </c>
      <c r="O25" s="108" t="str">
        <f>IFERROR(IF(d_Bv!O25=0,".",((Ir*F*d_Bv!O25*(1-EXP(-RadSpec!AZ25*t_b)))/(P*RadSpec!AZ25))),".")</f>
        <v>.</v>
      </c>
      <c r="P25" s="108" t="str">
        <f>IFERROR(IF(d_Bv!I25=0,".",((Ir*F*d_Bv!I25*(1-EXP(-RadSpec!AZ25*t_b)))/(P*RadSpec!AZ25))),".")</f>
        <v>.</v>
      </c>
      <c r="Q25" s="108" t="str">
        <f>IFERROR(IF(d_Bv!Q25=0,".",((Ir*F*d_Bv!Q25*(1-EXP(-RadSpec!AZ25*t_b)))/(P*RadSpec!AZ25))),".")</f>
        <v>.</v>
      </c>
      <c r="R25" s="108" t="str">
        <f>IFERROR(IF(d_Bv!R25=0,".",((Ir*F*d_Bv!R25*(1-EXP(-RadSpec!AZ25*t_b)))/(P*RadSpec!AZ25))),".")</f>
        <v>.</v>
      </c>
      <c r="S25" s="108" t="str">
        <f>IFERROR(IF(d_Bv!S25=0,".",((Ir*F*d_Bv!S25*(1-EXP(-RadSpec!AZ25*t_b)))/(P*RadSpec!AZ25))),".")</f>
        <v>.</v>
      </c>
      <c r="T25" s="202" t="str">
        <f>IFERROR(IF(d_Bv!T25=0,".",((Ir*F*d_Bv!T25*(1-EXP(-RadSpec!AZ25*t_b)))/(P*RadSpec!AZ25))),".")</f>
        <v>.</v>
      </c>
      <c r="U25" s="108" t="str">
        <f>IFERROR(IF(d_Bv!U25=0,".",((Ir*F*d_Bv!U25*(1-EXP(-RadSpec!AZ25*t_b)))/(P*RadSpec!AZ25))),".")</f>
        <v>.</v>
      </c>
      <c r="V25" s="108" t="str">
        <f>IFERROR(IF(d_Bv!V25=0,".",((Ir*F*d_Bv!V25*(1-EXP(-RadSpec!AZ25*t_b)))/(P*RadSpec!AZ25))),".")</f>
        <v>.</v>
      </c>
      <c r="W25" s="108" t="str">
        <f>IFERROR(IF(d_Bv!W25=0,".",((Ir*F*d_Bv!W25*(1-EXP(-RadSpec!AZ25*t_b)))/(P*RadSpec!AZ25))),".")</f>
        <v>.</v>
      </c>
      <c r="X25" s="108" t="str">
        <f>IFERROR(IF(d_Bv!X25=0,".",((Ir*F*d_Bv!X25*(1-EXP(-RadSpec!AZ25*t_b)))/(P*RadSpec!AZ25))),".")</f>
        <v>.</v>
      </c>
      <c r="Y25" s="108" t="str">
        <f>IFERROR(IF(d_Bv!Y25=0,".",((Ir*F*d_Bv!Y25*(1-EXP(-RadSpec!AZ25*t_b)))/(P*RadSpec!AZ25))),".")</f>
        <v>.</v>
      </c>
      <c r="Z25" s="108" t="str">
        <f>IFERROR(IF(d_Bv!Z25=0,".",((Ir*F*d_Bv!Z25*(1-EXP(-RadSpec!AZ25*t_b)))/(P*RadSpec!AZ25))),".")</f>
        <v>.</v>
      </c>
      <c r="AA25" s="108" t="str">
        <f>IFERROR(IF(d_Bv!AA25=0,".",((Ir*F*d_Bv!AA25*(1-EXP(-RadSpec!AZ25*t_b)))/(P*RadSpec!AZ25))),".")</f>
        <v>.</v>
      </c>
      <c r="AB25" s="108" t="str">
        <f>IFERROR(IF(d_Bv!C25=0,".",((Ir*F*MLF_apple*(1-EXP(-RadSpec!AZ25*t_b)))/(P*RadSpec!AZ25))),".")</f>
        <v>.</v>
      </c>
      <c r="AC25" s="108" t="str">
        <f>IFERROR(IF(d_Bv!D25=0,".",((Ir*F*MLF_asparagus*(1-EXP(-RadSpec!AZ25*t_b)))/(P*RadSpec!AZ25))),".")</f>
        <v>.</v>
      </c>
      <c r="AD25" s="108" t="str">
        <f>IFERROR(IF(d_Bv!E25=0,".",((Ir*F*MLF_beet*(1-EXP(-RadSpec!AZ25*t_b)))/(P*RadSpec!AZ25))),".")</f>
        <v>.</v>
      </c>
      <c r="AE25" s="108" t="str">
        <f>IFERROR(IF(d_Bv!F25=0,".",((Ir*F*MLF_berries*(1-EXP(-RadSpec!AZ25*t_b)))/(P*RadSpec!AZ25))),".")</f>
        <v>.</v>
      </c>
      <c r="AF25" s="108" t="str">
        <f>IFERROR(IF(d_Bv!G25=0,".",((Ir*F*MLF_broccoli*(1-EXP(-RadSpec!AZ25*t_b)))/(P*RadSpec!AZ25))),".")</f>
        <v>.</v>
      </c>
      <c r="AG25" s="108" t="str">
        <f>IFERROR(IF(d_Bv!H25=0,".",((Ir*F*MLF_cabbage*(1-EXP(-RadSpec!AZ25*t_b)))/(P*RadSpec!AZ25))),".")</f>
        <v>.</v>
      </c>
      <c r="AH25" s="108" t="str">
        <f>IFERROR(IF(d_Bv!I25=0,".",((Ir*F*MLF_carrot*(1-EXP(-RadSpec!AZ25*t_b)))/(P*RadSpec!AZ25))),".")</f>
        <v>.</v>
      </c>
      <c r="AI25" s="108" t="str">
        <f>IFERROR(IF(d_Bv!J25=0,".",((Ir*F*MLF_citrus*(1-EXP(-RadSpec!AZ25*t_b)))/(P*RadSpec!AZ25))),".")</f>
        <v>.</v>
      </c>
      <c r="AJ25" s="108" t="str">
        <f>IFERROR(IF(d_Bv!K25=0,".",((Ir*F*MLF_corn*(1-EXP(-RadSpec!AZ25*t_b)))/(P*RadSpec!AZ25))),".")</f>
        <v>.</v>
      </c>
      <c r="AK25" s="108" t="str">
        <f>IFERROR(IF(d_Bv!L25=0,".",((Ir*F*MLF_cucumber*(1-EXP(-RadSpec!AZ25*t_b)))/(P*RadSpec!AZ25))),".")</f>
        <v>.</v>
      </c>
      <c r="AL25" s="108" t="str">
        <f>IFERROR(IF(d_Bv!M25=0,".",((Ir*F*MLF_lettuce*(1-EXP(-RadSpec!AZ25*t_b)))/(P*RadSpec!AZ25))),".")</f>
        <v>.</v>
      </c>
      <c r="AM25" s="108" t="str">
        <f>IFERROR(IF(d_Bv!N25=0,".",((Ir*F*MLF_lima_bean*(1-EXP(-RadSpec!AZ25*t_b)))/(P*RadSpec!AZ25))),".")</f>
        <v>.</v>
      </c>
      <c r="AN25" s="108" t="str">
        <f>IFERROR(IF(d_Bv!O25=0,".",((Ir*F*MLF_okra*(1-EXP(-RadSpec!AZ25*t_b)))/(P*RadSpec!AZ25))),".")</f>
        <v>.</v>
      </c>
      <c r="AO25" s="108" t="str">
        <f>IFERROR(IF(d_Bv!P25=0,".",((Ir*F*MLF_onion*(1-EXP(-RadSpec!AZ25*t_b)))/(P*RadSpec!AZ25))),".")</f>
        <v>.</v>
      </c>
      <c r="AP25" s="108" t="str">
        <f>IFERROR(IF(d_Bv!Q25=0,".",((Ir*F*MLF_peach*(1-EXP(-RadSpec!AZ25*t_b)))/(P*RadSpec!AZ25))),".")</f>
        <v>.</v>
      </c>
      <c r="AQ25" s="108" t="str">
        <f>IFERROR(IF(d_Bv!R25=0,".",((Ir*F*MLF_pear*(1-EXP(-RadSpec!AZ25*t_b)))/(P*RadSpec!AZ25))),".")</f>
        <v>.</v>
      </c>
      <c r="AR25" s="108" t="str">
        <f>IFERROR(IF(d_Bv!S25=0,".",((Ir*F*MLF_peas*(1-EXP(-RadSpec!AZ25*t_b)))/(P*RadSpec!AZ25))),".")</f>
        <v>.</v>
      </c>
      <c r="AS25" s="108" t="str">
        <f>IFERROR(IF(d_Bv!T25=0,".",((Ir*F*MLF_peppers*(1-EXP(-RadSpec!AZ25*t_b)))/(P*RadSpec!AZ25))),".")</f>
        <v>.</v>
      </c>
      <c r="AT25" s="108" t="str">
        <f>IFERROR(IF(d_Bv!U25=0,".",((Ir*F*MLF_potato*(1-EXP(-RadSpec!AZ25*t_b)))/(P*RadSpec!AZ25))),".")</f>
        <v>.</v>
      </c>
      <c r="AU25" s="108" t="str">
        <f>IFERROR(IF(d_Bv!V25=0,".",((Ir*F*MLF_pumpkin*(1-EXP(-RadSpec!AZ25*t_b)))/(P*RadSpec!AZ25))),".")</f>
        <v>.</v>
      </c>
      <c r="AV25" s="108" t="str">
        <f>IFERROR(IF(d_Bv!W25=0,".",((Ir*F*MLF_snap_bean*(1-EXP(-RadSpec!AZ25*t_b)))/(P*RadSpec!AZ25))),".")</f>
        <v>.</v>
      </c>
      <c r="AW25" s="108" t="str">
        <f>IFERROR(IF(d_Bv!X25=0,".",((Ir*F*MLF_strawberry*(1-EXP(-RadSpec!AZ25*t_b)))/(P*RadSpec!AZ25))),".")</f>
        <v>.</v>
      </c>
      <c r="AX25" s="108" t="str">
        <f>IFERROR(IF(d_Bv!Y25=0,".",((Ir*F*MLF_tomato*(1-EXP(-RadSpec!AZ25*t_b)))/(P*RadSpec!AZ25))),".")</f>
        <v>.</v>
      </c>
      <c r="AY25" s="108" t="str">
        <f>IFERROR(IF(d_Bv!Z25=0,".",((Ir*F*MLF_rice*(1-EXP(-RadSpec!AZ25*t_b)))/(P*RadSpec!AZ25))),".")</f>
        <v>.</v>
      </c>
      <c r="AZ25" s="108" t="str">
        <f>IFERROR(IF(d_Bv!AA25=0,".",((Ir*F*MLF_cereal*(1-EXP(-RadSpec!AZ25*t_b)))/(P*RadSpec!AZ25))),".")</f>
        <v>.</v>
      </c>
      <c r="BA25" s="108" t="str">
        <f>IFERROR(IF(d_Bv!C25=0,".",((Ir*F*I_f*T*(1-EXP(-RadSpec!BA25*t_v)))/(Y_v*RadSpec!BA25))),".")</f>
        <v>.</v>
      </c>
      <c r="BB25" s="108" t="str">
        <f>IFERROR(IF(d_Bv!D25=0,".",((Ir*F*I_f*T*(1-EXP(-RadSpec!BA25*t_v)))/(Y_v*RadSpec!BA25))),".")</f>
        <v>.</v>
      </c>
      <c r="BC25" s="108" t="str">
        <f>IFERROR(IF(d_Bv!E25=0,".",((Ir*F*I_f*T*(1-EXP(-RadSpec!BA25*t_v)))/(Y_v*RadSpec!BA25))),".")</f>
        <v>.</v>
      </c>
      <c r="BD25" s="108" t="str">
        <f>IFERROR(IF(d_Bv!F25=0,".",((Ir*F*I_f*T*(1-EXP(-RadSpec!BA25*t_v)))/(Y_v*RadSpec!BA25))),".")</f>
        <v>.</v>
      </c>
      <c r="BE25" s="108" t="str">
        <f>IFERROR(IF(d_Bv!G25=0,".",((Ir*F*I_f*T*(1-EXP(-RadSpec!BA25*t_v)))/(Y_v*RadSpec!BA25))),".")</f>
        <v>.</v>
      </c>
      <c r="BF25" s="108" t="str">
        <f>IFERROR(IF(d_Bv!H25=0,".",((Ir*F*I_f*T*(1-EXP(-RadSpec!BA25*t_v)))/(Y_v*RadSpec!BA25))),".")</f>
        <v>.</v>
      </c>
      <c r="BG25" s="108" t="str">
        <f>IFERROR(IF(d_Bv!I25=0,".",((Ir*F*I_f*T*(1-EXP(-RadSpec!BA25*t_v)))/(Y_v*RadSpec!BA25))),".")</f>
        <v>.</v>
      </c>
      <c r="BH25" s="108" t="str">
        <f>IFERROR(IF(d_Bv!J25=0,".",((Ir*F*I_f*T*(1-EXP(-RadSpec!BA25*t_v)))/(Y_v*RadSpec!BA25))),".")</f>
        <v>.</v>
      </c>
      <c r="BI25" s="108" t="str">
        <f>IFERROR(IF(d_Bv!K25=0,".",((Ir*F*I_f*T*(1-EXP(-RadSpec!BA25*t_v)))/(Y_v*RadSpec!BA25))),".")</f>
        <v>.</v>
      </c>
      <c r="BJ25" s="108" t="str">
        <f>IFERROR(IF(d_Bv!L25=0,".",((Ir*F*I_f*T*(1-EXP(-RadSpec!BA25*t_v)))/(Y_v*RadSpec!BA25))),".")</f>
        <v>.</v>
      </c>
      <c r="BK25" s="108" t="str">
        <f>IFERROR(IF(d_Bv!M25=0,".",((Ir*F*I_f*T*(1-EXP(-RadSpec!BA25*t_v)))/(Y_v*RadSpec!BA25))),".")</f>
        <v>.</v>
      </c>
      <c r="BL25" s="108" t="str">
        <f>IFERROR(IF(d_Bv!N25=0,".",((Ir*F*I_f*T*(1-EXP(-RadSpec!BA25*t_v)))/(Y_v*RadSpec!BA25))),".")</f>
        <v>.</v>
      </c>
      <c r="BM25" s="108" t="str">
        <f>IFERROR(IF(d_Bv!O25=0,".",((Ir*F*I_f*T*(1-EXP(-RadSpec!BA25*t_v)))/(Y_v*RadSpec!BA25))),".")</f>
        <v>.</v>
      </c>
      <c r="BN25" s="108" t="str">
        <f>IFERROR(IF(d_Bv!P25=0,".",((Ir*F*I_f*T*(1-EXP(-RadSpec!BA25*t_v)))/(Y_v*RadSpec!BA25))),".")</f>
        <v>.</v>
      </c>
      <c r="BO25" s="108" t="str">
        <f>IFERROR(IF(d_Bv!Q25=0,".",((Ir*F*I_f*T*(1-EXP(-RadSpec!BA25*t_v)))/(Y_v*RadSpec!BA25))),".")</f>
        <v>.</v>
      </c>
      <c r="BP25" s="108" t="str">
        <f>IFERROR(IF(d_Bv!R25=0,".",((Ir*F*I_f*T*(1-EXP(-RadSpec!BA25*t_v)))/(Y_v*RadSpec!BA25))),".")</f>
        <v>.</v>
      </c>
      <c r="BQ25" s="108" t="str">
        <f>IFERROR(IF(d_Bv!S25=0,".",((Ir*F*I_f*T*(1-EXP(-RadSpec!BA25*t_v)))/(Y_v*RadSpec!BA25))),".")</f>
        <v>.</v>
      </c>
      <c r="BR25" s="108" t="str">
        <f>IFERROR(IF(d_Bv!T25=0,".",((Ir*F*I_f*T*(1-EXP(-RadSpec!BA25*t_v)))/(Y_v*RadSpec!BA25))),".")</f>
        <v>.</v>
      </c>
      <c r="BS25" s="108" t="str">
        <f>IFERROR(IF(d_Bv!U25=0,".",((Ir*F*I_f*T*(1-EXP(-RadSpec!BA25*t_v)))/(Y_v*RadSpec!BA25))),".")</f>
        <v>.</v>
      </c>
      <c r="BT25" s="108" t="str">
        <f>IFERROR(IF(d_Bv!V25=0,".",((Ir*F*I_f*T*(1-EXP(-RadSpec!BA25*t_v)))/(Y_v*RadSpec!BA25))),".")</f>
        <v>.</v>
      </c>
      <c r="BU25" s="108" t="str">
        <f>IFERROR(IF(d_Bv!W25=0,".",((Ir*F*I_f*T*(1-EXP(-RadSpec!BA25*t_v)))/(Y_v*RadSpec!BA25))),".")</f>
        <v>.</v>
      </c>
      <c r="BV25" s="108" t="str">
        <f>IFERROR(IF(d_Bv!X25=0,".",((Ir*F*I_f*T*(1-EXP(-RadSpec!BA25*t_v)))/(Y_v*RadSpec!BA25))),".")</f>
        <v>.</v>
      </c>
      <c r="BW25" s="108" t="str">
        <f>IFERROR(IF(d_Bv!Y25=0,".",((Ir*F*I_f*T*(1-EXP(-RadSpec!BA25*t_v)))/(Y_v*RadSpec!BA25))),".")</f>
        <v>.</v>
      </c>
      <c r="BX25" s="108" t="str">
        <f>IFERROR(IF(d_Bv!Z25=0,".",((Ir*F*I_f*T*(1-EXP(-RadSpec!BA25*t_v)))/(Y_v*RadSpec!BA25))),".")</f>
        <v>.</v>
      </c>
      <c r="BY25" s="108" t="str">
        <f>IFERROR(IF(d_Bv!AA25=0,".",((Ir*F*I_f*T*(1-EXP(-RadSpec!BA25*t_v)))/(Y_v*RadSpec!BA25))),".")</f>
        <v>.</v>
      </c>
    </row>
    <row r="26" spans="1:77" x14ac:dyDescent="0.25">
      <c r="A26" s="44" t="s">
        <v>24</v>
      </c>
      <c r="B26" s="42" t="s">
        <v>1057</v>
      </c>
      <c r="C26" s="108">
        <f>IFERROR(IF(d_Bv!C26=0,".",((Ir*F*d_Bv!C26*(1-EXP(-RadSpec!AZ26*t_b)))/(P*RadSpec!AZ26))),".")</f>
        <v>1.7873205381175518E-2</v>
      </c>
      <c r="D26" s="108">
        <f>IFERROR(IF(d_Bv!D26=0,".",((Ir*F*d_Bv!D26*(1-EXP(-RadSpec!AZ26*t_b)))/(P*RadSpec!AZ26))),".")</f>
        <v>4.2895692914821232E-2</v>
      </c>
      <c r="E26" s="108">
        <f>IFERROR(IF(d_Bv!E26=0,".",((Ir*F*d_Bv!E26*(1-EXP(-RadSpec!AZ26*t_b)))/(P*RadSpec!AZ26))),".")</f>
        <v>2.8597128609880826E-2</v>
      </c>
      <c r="F26" s="108">
        <f>IFERROR(IF(d_Bv!F26=0,".",((Ir*F*d_Bv!F26*(1-EXP(-RadSpec!AZ26*t_b)))/(P*RadSpec!AZ26))),".")</f>
        <v>1.7873205381175518E-2</v>
      </c>
      <c r="G26" s="108">
        <f>IFERROR(IF(d_Bv!G26=0,".",((Ir*F*d_Bv!G26*(1-EXP(-RadSpec!AZ26*t_b)))/(P*RadSpec!AZ26))),".")</f>
        <v>2.7882200394633804E-2</v>
      </c>
      <c r="H26" s="108">
        <f>IFERROR(IF(d_Bv!H26=0,".",((Ir*F*d_Bv!H26*(1-EXP(-RadSpec!AZ26*t_b)))/(P*RadSpec!AZ26))),".")</f>
        <v>4.2895692914821232E-2</v>
      </c>
      <c r="I26" s="108">
        <f>IFERROR(IF(d_Bv!I26=0,".",((Ir*F*d_Bv!I26*(1-EXP(-RadSpec!AZ26*t_b)))/(P*RadSpec!AZ26))),".")</f>
        <v>2.8597128609880826E-2</v>
      </c>
      <c r="J26" s="108">
        <f>IFERROR(IF(d_Bv!J26=0,".",((Ir*F*d_Bv!J26*(1-EXP(-RadSpec!AZ26*t_b)))/(P*RadSpec!AZ26))),".")</f>
        <v>1.7873205381175518E-2</v>
      </c>
      <c r="K26" s="108">
        <f>IFERROR(IF(d_Bv!K26=0,".",((Ir*F*d_Bv!K26*(1-EXP(-RadSpec!AZ26*t_b)))/(P*RadSpec!AZ26))),".")</f>
        <v>2.2877702887904663E-2</v>
      </c>
      <c r="L26" s="108">
        <f>IFERROR(IF(d_Bv!L26=0,".",((Ir*F*d_Bv!L26*(1-EXP(-RadSpec!AZ26*t_b)))/(P*RadSpec!AZ26))),".")</f>
        <v>2.7882200394633804E-2</v>
      </c>
      <c r="M26" s="108">
        <f>IFERROR(IF(d_Bv!M26=0,".",((Ir*F*d_Bv!M26*(1-EXP(-RadSpec!AZ26*t_b)))/(P*RadSpec!AZ26))),".")</f>
        <v>4.2895692914821232E-2</v>
      </c>
      <c r="N26" s="108">
        <f>IFERROR(IF(d_Bv!N26=0,".",((Ir*F*d_Bv!N26*(1-EXP(-RadSpec!AZ26*t_b)))/(P*RadSpec!AZ26))),".")</f>
        <v>1.8945597704046045E-2</v>
      </c>
      <c r="O26" s="108">
        <f>IFERROR(IF(d_Bv!O26=0,".",((Ir*F*d_Bv!O26*(1-EXP(-RadSpec!AZ26*t_b)))/(P*RadSpec!AZ26))),".")</f>
        <v>2.7882200394633804E-2</v>
      </c>
      <c r="P26" s="108">
        <f>IFERROR(IF(d_Bv!I26=0,".",((Ir*F*d_Bv!I26*(1-EXP(-RadSpec!AZ26*t_b)))/(P*RadSpec!AZ26))),".")</f>
        <v>2.8597128609880826E-2</v>
      </c>
      <c r="Q26" s="108">
        <f>IFERROR(IF(d_Bv!Q26=0,".",((Ir*F*d_Bv!Q26*(1-EXP(-RadSpec!AZ26*t_b)))/(P*RadSpec!AZ26))),".")</f>
        <v>1.7873205381175518E-2</v>
      </c>
      <c r="R26" s="108">
        <f>IFERROR(IF(d_Bv!R26=0,".",((Ir*F*d_Bv!R26*(1-EXP(-RadSpec!AZ26*t_b)))/(P*RadSpec!AZ26))),".")</f>
        <v>1.7873205381175518E-2</v>
      </c>
      <c r="S26" s="108">
        <f>IFERROR(IF(d_Bv!S26=0,".",((Ir*F*d_Bv!S26*(1-EXP(-RadSpec!AZ26*t_b)))/(P*RadSpec!AZ26))),".")</f>
        <v>1.8945597704046045E-2</v>
      </c>
      <c r="T26" s="202">
        <f>IFERROR(IF(d_Bv!T26=0,".",((Ir*F*d_Bv!T26*(1-EXP(-RadSpec!AZ26*t_b)))/(P*RadSpec!AZ26))),".")</f>
        <v>2.7882200394633804E-2</v>
      </c>
      <c r="U26" s="108">
        <f>IFERROR(IF(d_Bv!U26=0,".",((Ir*F*d_Bv!U26*(1-EXP(-RadSpec!AZ26*t_b)))/(P*RadSpec!AZ26))),".")</f>
        <v>7.1492821524702065E-3</v>
      </c>
      <c r="V26" s="108">
        <f>IFERROR(IF(d_Bv!V26=0,".",((Ir*F*d_Bv!V26*(1-EXP(-RadSpec!AZ26*t_b)))/(P*RadSpec!AZ26))),".")</f>
        <v>2.7882200394633804E-2</v>
      </c>
      <c r="W26" s="108">
        <f>IFERROR(IF(d_Bv!W26=0,".",((Ir*F*d_Bv!W26*(1-EXP(-RadSpec!AZ26*t_b)))/(P*RadSpec!AZ26))),".")</f>
        <v>1.8945597704046045E-2</v>
      </c>
      <c r="X26" s="108">
        <f>IFERROR(IF(d_Bv!X26=0,".",((Ir*F*d_Bv!X26*(1-EXP(-RadSpec!AZ26*t_b)))/(P*RadSpec!AZ26))),".")</f>
        <v>1.7873205381175518E-2</v>
      </c>
      <c r="Y26" s="108">
        <f>IFERROR(IF(d_Bv!Y26=0,".",((Ir*F*d_Bv!Y26*(1-EXP(-RadSpec!AZ26*t_b)))/(P*RadSpec!AZ26))),".")</f>
        <v>2.7882200394633804E-2</v>
      </c>
      <c r="Z26" s="108">
        <f>IFERROR(IF(d_Bv!Z26=0,".",((Ir*F*d_Bv!Z26*(1-EXP(-RadSpec!AZ26*t_b)))/(P*RadSpec!AZ26))),".")</f>
        <v>5.7194257219761657E-3</v>
      </c>
      <c r="AA26" s="108">
        <f>IFERROR(IF(d_Bv!AA26=0,".",((Ir*F*d_Bv!AA26*(1-EXP(-RadSpec!AZ26*t_b)))/(P*RadSpec!AZ26))),".")</f>
        <v>7.5067462600937149E-2</v>
      </c>
      <c r="AB26" s="108">
        <f>IFERROR(IF(d_Bv!C26=0,".",((Ir*F*MLF_apple*(1-EXP(-RadSpec!AZ26*t_b)))/(P*RadSpec!AZ26))),".")</f>
        <v>5.7194257219761657E-3</v>
      </c>
      <c r="AC26" s="108">
        <f>IFERROR(IF(d_Bv!D26=0,".",((Ir*F*MLF_asparagus*(1-EXP(-RadSpec!AZ26*t_b)))/(P*RadSpec!AZ26))),".")</f>
        <v>2.8239664502257315E-3</v>
      </c>
      <c r="AD26" s="108">
        <f>IFERROR(IF(d_Bv!E26=0,".",((Ir*F*MLF_beet*(1-EXP(-RadSpec!AZ26*t_b)))/(P*RadSpec!AZ26))),".")</f>
        <v>4.9330046852044422E-3</v>
      </c>
      <c r="AE26" s="108">
        <f>IFERROR(IF(d_Bv!F26=0,".",((Ir*F*MLF_berries*(1-EXP(-RadSpec!AZ26*t_b)))/(P*RadSpec!AZ26))),".")</f>
        <v>5.9339041865502712E-3</v>
      </c>
      <c r="AF26" s="108">
        <f>IFERROR(IF(d_Bv!G26=0,".",((Ir*F*MLF_broccoli*(1-EXP(-RadSpec!AZ26*t_b)))/(P*RadSpec!AZ26))),".")</f>
        <v>3.6103874869974538E-2</v>
      </c>
      <c r="AG26" s="108">
        <f>IFERROR(IF(d_Bv!H26=0,".",((Ir*F*MLF_cabbage*(1-EXP(-RadSpec!AZ26*t_b)))/(P*RadSpec!AZ26))),".")</f>
        <v>3.7533731300468582E-3</v>
      </c>
      <c r="AH26" s="108">
        <f>IFERROR(IF(d_Bv!I26=0,".",((Ir*F*MLF_carrot*(1-EXP(-RadSpec!AZ26*t_b)))/(P*RadSpec!AZ26))),".")</f>
        <v>3.4674018439480501E-3</v>
      </c>
      <c r="AI26" s="108">
        <f>IFERROR(IF(d_Bv!J26=0,".",((Ir*F*MLF_citrus*(1-EXP(-RadSpec!AZ26*t_b)))/(P*RadSpec!AZ26))),".")</f>
        <v>5.6121864896891112E-3</v>
      </c>
      <c r="AJ26" s="108">
        <f>IFERROR(IF(d_Bv!K26=0,".",((Ir*F*MLF_corn*(1-EXP(-RadSpec!AZ26*t_b)))/(P*RadSpec!AZ26))),".")</f>
        <v>5.1832295605408994E-3</v>
      </c>
      <c r="AK26" s="108">
        <f>IFERROR(IF(d_Bv!L26=0,".",((Ir*F*MLF_cucumber*(1-EXP(-RadSpec!AZ26*t_b)))/(P*RadSpec!AZ26))),".")</f>
        <v>1.4298564304940414E-3</v>
      </c>
      <c r="AL26" s="108">
        <f>IFERROR(IF(d_Bv!M26=0,".",((Ir*F*MLF_lettuce*(1-EXP(-RadSpec!AZ26*t_b)))/(P*RadSpec!AZ26))),".")</f>
        <v>0.48257654529173893</v>
      </c>
      <c r="AM26" s="108">
        <f>IFERROR(IF(d_Bv!N26=0,".",((Ir*F*MLF_lima_bean*(1-EXP(-RadSpec!AZ26*t_b)))/(P*RadSpec!AZ26))),".")</f>
        <v>0.13690875321980447</v>
      </c>
      <c r="AN26" s="108">
        <f>IFERROR(IF(d_Bv!O26=0,".",((Ir*F*MLF_okra*(1-EXP(-RadSpec!AZ26*t_b)))/(P*RadSpec!AZ26))),".")</f>
        <v>2.8597128609880828E-3</v>
      </c>
      <c r="AO26" s="108">
        <f>IFERROR(IF(d_Bv!P26=0,".",((Ir*F*MLF_onion*(1-EXP(-RadSpec!AZ26*t_b)))/(P*RadSpec!AZ26))),".")</f>
        <v>3.4674018439480501E-3</v>
      </c>
      <c r="AP26" s="108">
        <f>IFERROR(IF(d_Bv!Q26=0,".",((Ir*F*MLF_peach*(1-EXP(-RadSpec!AZ26*t_b)))/(P*RadSpec!AZ26))),".")</f>
        <v>5.361961614352654E-3</v>
      </c>
      <c r="AQ26" s="108">
        <f>IFERROR(IF(d_Bv!R26=0,".",((Ir*F*MLF_pear*(1-EXP(-RadSpec!AZ26*t_b)))/(P*RadSpec!AZ26))),".")</f>
        <v>5.7194257219761657E-3</v>
      </c>
      <c r="AR26" s="108">
        <f>IFERROR(IF(d_Bv!S26=0,".",((Ir*F*MLF_peas*(1-EXP(-RadSpec!AZ26*t_b)))/(P*RadSpec!AZ26))),".")</f>
        <v>6.3628611156984829E-3</v>
      </c>
      <c r="AS26" s="108">
        <f>IFERROR(IF(d_Bv!T26=0,".",((Ir*F*MLF_peppers*(1-EXP(-RadSpec!AZ26*t_b)))/(P*RadSpec!AZ26))),".")</f>
        <v>7.93570318924193E-2</v>
      </c>
      <c r="AT26" s="108">
        <f>IFERROR(IF(d_Bv!U26=0,".",((Ir*F*MLF_potato*(1-EXP(-RadSpec!AZ26*t_b)))/(P*RadSpec!AZ26))),".")</f>
        <v>7.5067462600937164E-3</v>
      </c>
      <c r="AU26" s="108">
        <f>IFERROR(IF(d_Bv!V26=0,".",((Ir*F*MLF_pumpkin*(1-EXP(-RadSpec!AZ26*t_b)))/(P*RadSpec!AZ26))),".")</f>
        <v>2.0732918242163598E-3</v>
      </c>
      <c r="AV26" s="108">
        <f>IFERROR(IF(d_Bv!W26=0,".",((Ir*F*MLF_snap_bean*(1-EXP(-RadSpec!AZ26*t_b)))/(P*RadSpec!AZ26))),".")</f>
        <v>0.17873205381175516</v>
      </c>
      <c r="AW26" s="108">
        <f>IFERROR(IF(d_Bv!X26=0,".",((Ir*F*MLF_strawberry*(1-EXP(-RadSpec!AZ26*t_b)))/(P*RadSpec!AZ26))),".")</f>
        <v>2.8597128609880828E-3</v>
      </c>
      <c r="AX26" s="108">
        <f>IFERROR(IF(d_Bv!Y26=0,".",((Ir*F*MLF_tomato*(1-EXP(-RadSpec!AZ26*t_b)))/(P*RadSpec!AZ26))),".")</f>
        <v>6.327114704936132E-2</v>
      </c>
      <c r="AY26" s="108">
        <f>IFERROR(IF(d_Bv!Z26=0,".",((Ir*F*MLF_rice*(1-EXP(-RadSpec!AZ26*t_b)))/(P*RadSpec!AZ26))),".")</f>
        <v>8.9366026905877582</v>
      </c>
      <c r="AZ26" s="108">
        <f>IFERROR(IF(d_Bv!AA26=0,".",((Ir*F*MLF_cereal*(1-EXP(-RadSpec!AZ26*t_b)))/(P*RadSpec!AZ26))),".")</f>
        <v>8.9366026905877582</v>
      </c>
      <c r="BA26" s="108">
        <f>IFERROR(IF(d_Bv!C26=0,".",((Ir*F*I_f*T*(1-EXP(-RadSpec!BA26*t_v)))/(Y_v*RadSpec!BA26))),".")</f>
        <v>3.6424203206347228</v>
      </c>
      <c r="BB26" s="108">
        <f>IFERROR(IF(d_Bv!D26=0,".",((Ir*F*I_f*T*(1-EXP(-RadSpec!BA26*t_v)))/(Y_v*RadSpec!BA26))),".")</f>
        <v>3.6424203206347228</v>
      </c>
      <c r="BC26" s="108">
        <f>IFERROR(IF(d_Bv!E26=0,".",((Ir*F*I_f*T*(1-EXP(-RadSpec!BA26*t_v)))/(Y_v*RadSpec!BA26))),".")</f>
        <v>3.6424203206347228</v>
      </c>
      <c r="BD26" s="108">
        <f>IFERROR(IF(d_Bv!F26=0,".",((Ir*F*I_f*T*(1-EXP(-RadSpec!BA26*t_v)))/(Y_v*RadSpec!BA26))),".")</f>
        <v>3.6424203206347228</v>
      </c>
      <c r="BE26" s="108">
        <f>IFERROR(IF(d_Bv!G26=0,".",((Ir*F*I_f*T*(1-EXP(-RadSpec!BA26*t_v)))/(Y_v*RadSpec!BA26))),".")</f>
        <v>3.6424203206347228</v>
      </c>
      <c r="BF26" s="108">
        <f>IFERROR(IF(d_Bv!H26=0,".",((Ir*F*I_f*T*(1-EXP(-RadSpec!BA26*t_v)))/(Y_v*RadSpec!BA26))),".")</f>
        <v>3.6424203206347228</v>
      </c>
      <c r="BG26" s="108">
        <f>IFERROR(IF(d_Bv!I26=0,".",((Ir*F*I_f*T*(1-EXP(-RadSpec!BA26*t_v)))/(Y_v*RadSpec!BA26))),".")</f>
        <v>3.6424203206347228</v>
      </c>
      <c r="BH26" s="108">
        <f>IFERROR(IF(d_Bv!J26=0,".",((Ir*F*I_f*T*(1-EXP(-RadSpec!BA26*t_v)))/(Y_v*RadSpec!BA26))),".")</f>
        <v>3.6424203206347228</v>
      </c>
      <c r="BI26" s="108">
        <f>IFERROR(IF(d_Bv!K26=0,".",((Ir*F*I_f*T*(1-EXP(-RadSpec!BA26*t_v)))/(Y_v*RadSpec!BA26))),".")</f>
        <v>3.6424203206347228</v>
      </c>
      <c r="BJ26" s="108">
        <f>IFERROR(IF(d_Bv!L26=0,".",((Ir*F*I_f*T*(1-EXP(-RadSpec!BA26*t_v)))/(Y_v*RadSpec!BA26))),".")</f>
        <v>3.6424203206347228</v>
      </c>
      <c r="BK26" s="108">
        <f>IFERROR(IF(d_Bv!M26=0,".",((Ir*F*I_f*T*(1-EXP(-RadSpec!BA26*t_v)))/(Y_v*RadSpec!BA26))),".")</f>
        <v>3.6424203206347228</v>
      </c>
      <c r="BL26" s="108">
        <f>IFERROR(IF(d_Bv!N26=0,".",((Ir*F*I_f*T*(1-EXP(-RadSpec!BA26*t_v)))/(Y_v*RadSpec!BA26))),".")</f>
        <v>3.6424203206347228</v>
      </c>
      <c r="BM26" s="108">
        <f>IFERROR(IF(d_Bv!O26=0,".",((Ir*F*I_f*T*(1-EXP(-RadSpec!BA26*t_v)))/(Y_v*RadSpec!BA26))),".")</f>
        <v>3.6424203206347228</v>
      </c>
      <c r="BN26" s="108">
        <f>IFERROR(IF(d_Bv!P26=0,".",((Ir*F*I_f*T*(1-EXP(-RadSpec!BA26*t_v)))/(Y_v*RadSpec!BA26))),".")</f>
        <v>3.6424203206347228</v>
      </c>
      <c r="BO26" s="108">
        <f>IFERROR(IF(d_Bv!Q26=0,".",((Ir*F*I_f*T*(1-EXP(-RadSpec!BA26*t_v)))/(Y_v*RadSpec!BA26))),".")</f>
        <v>3.6424203206347228</v>
      </c>
      <c r="BP26" s="108">
        <f>IFERROR(IF(d_Bv!R26=0,".",((Ir*F*I_f*T*(1-EXP(-RadSpec!BA26*t_v)))/(Y_v*RadSpec!BA26))),".")</f>
        <v>3.6424203206347228</v>
      </c>
      <c r="BQ26" s="108">
        <f>IFERROR(IF(d_Bv!S26=0,".",((Ir*F*I_f*T*(1-EXP(-RadSpec!BA26*t_v)))/(Y_v*RadSpec!BA26))),".")</f>
        <v>3.6424203206347228</v>
      </c>
      <c r="BR26" s="108">
        <f>IFERROR(IF(d_Bv!T26=0,".",((Ir*F*I_f*T*(1-EXP(-RadSpec!BA26*t_v)))/(Y_v*RadSpec!BA26))),".")</f>
        <v>3.6424203206347228</v>
      </c>
      <c r="BS26" s="108">
        <f>IFERROR(IF(d_Bv!U26=0,".",((Ir*F*I_f*T*(1-EXP(-RadSpec!BA26*t_v)))/(Y_v*RadSpec!BA26))),".")</f>
        <v>3.6424203206347228</v>
      </c>
      <c r="BT26" s="108">
        <f>IFERROR(IF(d_Bv!V26=0,".",((Ir*F*I_f*T*(1-EXP(-RadSpec!BA26*t_v)))/(Y_v*RadSpec!BA26))),".")</f>
        <v>3.6424203206347228</v>
      </c>
      <c r="BU26" s="108">
        <f>IFERROR(IF(d_Bv!W26=0,".",((Ir*F*I_f*T*(1-EXP(-RadSpec!BA26*t_v)))/(Y_v*RadSpec!BA26))),".")</f>
        <v>3.6424203206347228</v>
      </c>
      <c r="BV26" s="108">
        <f>IFERROR(IF(d_Bv!X26=0,".",((Ir*F*I_f*T*(1-EXP(-RadSpec!BA26*t_v)))/(Y_v*RadSpec!BA26))),".")</f>
        <v>3.6424203206347228</v>
      </c>
      <c r="BW26" s="108">
        <f>IFERROR(IF(d_Bv!Y26=0,".",((Ir*F*I_f*T*(1-EXP(-RadSpec!BA26*t_v)))/(Y_v*RadSpec!BA26))),".")</f>
        <v>3.6424203206347228</v>
      </c>
      <c r="BX26" s="108">
        <f>IFERROR(IF(d_Bv!Z26=0,".",((Ir*F*I_f*T*(1-EXP(-RadSpec!BA26*t_v)))/(Y_v*RadSpec!BA26))),".")</f>
        <v>3.6424203206347228</v>
      </c>
      <c r="BY26" s="108">
        <f>IFERROR(IF(d_Bv!AA26=0,".",((Ir*F*I_f*T*(1-EXP(-RadSpec!BA26*t_v)))/(Y_v*RadSpec!BA26))),".")</f>
        <v>3.6424203206347228</v>
      </c>
    </row>
    <row r="27" spans="1:77" x14ac:dyDescent="0.25">
      <c r="A27" s="44" t="s">
        <v>25</v>
      </c>
      <c r="B27" s="42" t="s">
        <v>1057</v>
      </c>
      <c r="C27" s="108">
        <f>IFERROR(IF(d_Bv!C27=0,".",((Ir*F*d_Bv!C27*(1-EXP(-RadSpec!AZ27*t_b)))/(P*RadSpec!AZ27))),".")</f>
        <v>2.8597128609880828E-3</v>
      </c>
      <c r="D27" s="108">
        <f>IFERROR(IF(d_Bv!D27=0,".",((Ir*F*d_Bv!D27*(1-EXP(-RadSpec!AZ27*t_b)))/(P*RadSpec!AZ27))),".")</f>
        <v>2.8597128609880826E-2</v>
      </c>
      <c r="E27" s="108">
        <f>IFERROR(IF(d_Bv!E27=0,".",((Ir*F*d_Bv!E27*(1-EXP(-RadSpec!AZ27*t_b)))/(P*RadSpec!AZ27))),".")</f>
        <v>2.8597128609880828E-3</v>
      </c>
      <c r="F27" s="108">
        <f>IFERROR(IF(d_Bv!F27=0,".",((Ir*F*d_Bv!F27*(1-EXP(-RadSpec!AZ27*t_b)))/(P*RadSpec!AZ27))),".")</f>
        <v>2.8597128609880828E-3</v>
      </c>
      <c r="G27" s="108">
        <f>IFERROR(IF(d_Bv!G27=0,".",((Ir*F*d_Bv!G27*(1-EXP(-RadSpec!AZ27*t_b)))/(P*RadSpec!AZ27))),".")</f>
        <v>2.8597128609880826E-2</v>
      </c>
      <c r="H27" s="108">
        <f>IFERROR(IF(d_Bv!H27=0,".",((Ir*F*d_Bv!H27*(1-EXP(-RadSpec!AZ27*t_b)))/(P*RadSpec!AZ27))),".")</f>
        <v>2.8597128609880826E-2</v>
      </c>
      <c r="I27" s="108">
        <f>IFERROR(IF(d_Bv!I27=0,".",((Ir*F*d_Bv!I27*(1-EXP(-RadSpec!AZ27*t_b)))/(P*RadSpec!AZ27))),".")</f>
        <v>2.8597128609880828E-3</v>
      </c>
      <c r="J27" s="108">
        <f>IFERROR(IF(d_Bv!J27=0,".",((Ir*F*d_Bv!J27*(1-EXP(-RadSpec!AZ27*t_b)))/(P*RadSpec!AZ27))),".")</f>
        <v>2.8597128609880828E-3</v>
      </c>
      <c r="K27" s="108">
        <f>IFERROR(IF(d_Bv!K27=0,".",((Ir*F*d_Bv!K27*(1-EXP(-RadSpec!AZ27*t_b)))/(P*RadSpec!AZ27))),".")</f>
        <v>2.8597128609880826E-2</v>
      </c>
      <c r="L27" s="108">
        <f>IFERROR(IF(d_Bv!L27=0,".",((Ir*F*d_Bv!L27*(1-EXP(-RadSpec!AZ27*t_b)))/(P*RadSpec!AZ27))),".")</f>
        <v>2.8597128609880826E-2</v>
      </c>
      <c r="M27" s="108">
        <f>IFERROR(IF(d_Bv!M27=0,".",((Ir*F*d_Bv!M27*(1-EXP(-RadSpec!AZ27*t_b)))/(P*RadSpec!AZ27))),".")</f>
        <v>2.8597128609880826E-2</v>
      </c>
      <c r="N27" s="108">
        <f>IFERROR(IF(d_Bv!N27=0,".",((Ir*F*d_Bv!N27*(1-EXP(-RadSpec!AZ27*t_b)))/(P*RadSpec!AZ27))),".")</f>
        <v>2.8597128609880826E-2</v>
      </c>
      <c r="O27" s="108">
        <f>IFERROR(IF(d_Bv!O27=0,".",((Ir*F*d_Bv!O27*(1-EXP(-RadSpec!AZ27*t_b)))/(P*RadSpec!AZ27))),".")</f>
        <v>2.8597128609880826E-2</v>
      </c>
      <c r="P27" s="108">
        <f>IFERROR(IF(d_Bv!I27=0,".",((Ir*F*d_Bv!I27*(1-EXP(-RadSpec!AZ27*t_b)))/(P*RadSpec!AZ27))),".")</f>
        <v>2.8597128609880828E-3</v>
      </c>
      <c r="Q27" s="108">
        <f>IFERROR(IF(d_Bv!Q27=0,".",((Ir*F*d_Bv!Q27*(1-EXP(-RadSpec!AZ27*t_b)))/(P*RadSpec!AZ27))),".")</f>
        <v>2.8597128609880828E-3</v>
      </c>
      <c r="R27" s="108">
        <f>IFERROR(IF(d_Bv!R27=0,".",((Ir*F*d_Bv!R27*(1-EXP(-RadSpec!AZ27*t_b)))/(P*RadSpec!AZ27))),".")</f>
        <v>2.8597128609880828E-3</v>
      </c>
      <c r="S27" s="108">
        <f>IFERROR(IF(d_Bv!S27=0,".",((Ir*F*d_Bv!S27*(1-EXP(-RadSpec!AZ27*t_b)))/(P*RadSpec!AZ27))),".")</f>
        <v>2.8597128609880826E-2</v>
      </c>
      <c r="T27" s="202">
        <f>IFERROR(IF(d_Bv!T27=0,".",((Ir*F*d_Bv!T27*(1-EXP(-RadSpec!AZ27*t_b)))/(P*RadSpec!AZ27))),".")</f>
        <v>2.8597128609880826E-2</v>
      </c>
      <c r="U27" s="108">
        <f>IFERROR(IF(d_Bv!U27=0,".",((Ir*F*d_Bv!U27*(1-EXP(-RadSpec!AZ27*t_b)))/(P*RadSpec!AZ27))),".")</f>
        <v>2.8597128609880828E-3</v>
      </c>
      <c r="V27" s="108">
        <f>IFERROR(IF(d_Bv!V27=0,".",((Ir*F*d_Bv!V27*(1-EXP(-RadSpec!AZ27*t_b)))/(P*RadSpec!AZ27))),".")</f>
        <v>2.8597128609880826E-2</v>
      </c>
      <c r="W27" s="108">
        <f>IFERROR(IF(d_Bv!W27=0,".",((Ir*F*d_Bv!W27*(1-EXP(-RadSpec!AZ27*t_b)))/(P*RadSpec!AZ27))),".")</f>
        <v>2.8597128609880826E-2</v>
      </c>
      <c r="X27" s="108">
        <f>IFERROR(IF(d_Bv!X27=0,".",((Ir*F*d_Bv!X27*(1-EXP(-RadSpec!AZ27*t_b)))/(P*RadSpec!AZ27))),".")</f>
        <v>2.8597128609880828E-3</v>
      </c>
      <c r="Y27" s="108">
        <f>IFERROR(IF(d_Bv!Y27=0,".",((Ir*F*d_Bv!Y27*(1-EXP(-RadSpec!AZ27*t_b)))/(P*RadSpec!AZ27))),".")</f>
        <v>2.8597128609880826E-2</v>
      </c>
      <c r="Z27" s="108">
        <f>IFERROR(IF(d_Bv!Z27=0,".",((Ir*F*d_Bv!Z27*(1-EXP(-RadSpec!AZ27*t_b)))/(P*RadSpec!AZ27))),".")</f>
        <v>7.1492821524702075</v>
      </c>
      <c r="AA27" s="108">
        <f>IFERROR(IF(d_Bv!AA27=0,".",((Ir*F*d_Bv!AA27*(1-EXP(-RadSpec!AZ27*t_b)))/(P*RadSpec!AZ27))),".")</f>
        <v>2.8597128609880826E-2</v>
      </c>
      <c r="AB27" s="108">
        <f>IFERROR(IF(d_Bv!C27=0,".",((Ir*F*MLF_apple*(1-EXP(-RadSpec!AZ27*t_b)))/(P*RadSpec!AZ27))),".")</f>
        <v>5.7194257219761657E-3</v>
      </c>
      <c r="AC27" s="108">
        <f>IFERROR(IF(d_Bv!D27=0,".",((Ir*F*MLF_asparagus*(1-EXP(-RadSpec!AZ27*t_b)))/(P*RadSpec!AZ27))),".")</f>
        <v>2.8239664502257315E-3</v>
      </c>
      <c r="AD27" s="108">
        <f>IFERROR(IF(d_Bv!E27=0,".",((Ir*F*MLF_beet*(1-EXP(-RadSpec!AZ27*t_b)))/(P*RadSpec!AZ27))),".")</f>
        <v>4.9330046852044422E-3</v>
      </c>
      <c r="AE27" s="108">
        <f>IFERROR(IF(d_Bv!F27=0,".",((Ir*F*MLF_berries*(1-EXP(-RadSpec!AZ27*t_b)))/(P*RadSpec!AZ27))),".")</f>
        <v>5.9339041865502712E-3</v>
      </c>
      <c r="AF27" s="108">
        <f>IFERROR(IF(d_Bv!G27=0,".",((Ir*F*MLF_broccoli*(1-EXP(-RadSpec!AZ27*t_b)))/(P*RadSpec!AZ27))),".")</f>
        <v>3.6103874869974538E-2</v>
      </c>
      <c r="AG27" s="108">
        <f>IFERROR(IF(d_Bv!H27=0,".",((Ir*F*MLF_cabbage*(1-EXP(-RadSpec!AZ27*t_b)))/(P*RadSpec!AZ27))),".")</f>
        <v>3.7533731300468582E-3</v>
      </c>
      <c r="AH27" s="108">
        <f>IFERROR(IF(d_Bv!I27=0,".",((Ir*F*MLF_carrot*(1-EXP(-RadSpec!AZ27*t_b)))/(P*RadSpec!AZ27))),".")</f>
        <v>3.4674018439480501E-3</v>
      </c>
      <c r="AI27" s="108">
        <f>IFERROR(IF(d_Bv!J27=0,".",((Ir*F*MLF_citrus*(1-EXP(-RadSpec!AZ27*t_b)))/(P*RadSpec!AZ27))),".")</f>
        <v>5.6121864896891112E-3</v>
      </c>
      <c r="AJ27" s="108">
        <f>IFERROR(IF(d_Bv!K27=0,".",((Ir*F*MLF_corn*(1-EXP(-RadSpec!AZ27*t_b)))/(P*RadSpec!AZ27))),".")</f>
        <v>5.1832295605408994E-3</v>
      </c>
      <c r="AK27" s="108">
        <f>IFERROR(IF(d_Bv!L27=0,".",((Ir*F*MLF_cucumber*(1-EXP(-RadSpec!AZ27*t_b)))/(P*RadSpec!AZ27))),".")</f>
        <v>1.4298564304940414E-3</v>
      </c>
      <c r="AL27" s="108">
        <f>IFERROR(IF(d_Bv!M27=0,".",((Ir*F*MLF_lettuce*(1-EXP(-RadSpec!AZ27*t_b)))/(P*RadSpec!AZ27))),".")</f>
        <v>0.48257654529173893</v>
      </c>
      <c r="AM27" s="108">
        <f>IFERROR(IF(d_Bv!N27=0,".",((Ir*F*MLF_lima_bean*(1-EXP(-RadSpec!AZ27*t_b)))/(P*RadSpec!AZ27))),".")</f>
        <v>0.13690875321980447</v>
      </c>
      <c r="AN27" s="108">
        <f>IFERROR(IF(d_Bv!O27=0,".",((Ir*F*MLF_okra*(1-EXP(-RadSpec!AZ27*t_b)))/(P*RadSpec!AZ27))),".")</f>
        <v>2.8597128609880828E-3</v>
      </c>
      <c r="AO27" s="108">
        <f>IFERROR(IF(d_Bv!P27=0,".",((Ir*F*MLF_onion*(1-EXP(-RadSpec!AZ27*t_b)))/(P*RadSpec!AZ27))),".")</f>
        <v>3.4674018439480501E-3</v>
      </c>
      <c r="AP27" s="108">
        <f>IFERROR(IF(d_Bv!Q27=0,".",((Ir*F*MLF_peach*(1-EXP(-RadSpec!AZ27*t_b)))/(P*RadSpec!AZ27))),".")</f>
        <v>5.361961614352654E-3</v>
      </c>
      <c r="AQ27" s="108">
        <f>IFERROR(IF(d_Bv!R27=0,".",((Ir*F*MLF_pear*(1-EXP(-RadSpec!AZ27*t_b)))/(P*RadSpec!AZ27))),".")</f>
        <v>5.7194257219761657E-3</v>
      </c>
      <c r="AR27" s="108">
        <f>IFERROR(IF(d_Bv!S27=0,".",((Ir*F*MLF_peas*(1-EXP(-RadSpec!AZ27*t_b)))/(P*RadSpec!AZ27))),".")</f>
        <v>6.3628611156984829E-3</v>
      </c>
      <c r="AS27" s="108">
        <f>IFERROR(IF(d_Bv!T27=0,".",((Ir*F*MLF_peppers*(1-EXP(-RadSpec!AZ27*t_b)))/(P*RadSpec!AZ27))),".")</f>
        <v>7.93570318924193E-2</v>
      </c>
      <c r="AT27" s="108">
        <f>IFERROR(IF(d_Bv!U27=0,".",((Ir*F*MLF_potato*(1-EXP(-RadSpec!AZ27*t_b)))/(P*RadSpec!AZ27))),".")</f>
        <v>7.5067462600937164E-3</v>
      </c>
      <c r="AU27" s="108">
        <f>IFERROR(IF(d_Bv!V27=0,".",((Ir*F*MLF_pumpkin*(1-EXP(-RadSpec!AZ27*t_b)))/(P*RadSpec!AZ27))),".")</f>
        <v>2.0732918242163598E-3</v>
      </c>
      <c r="AV27" s="108">
        <f>IFERROR(IF(d_Bv!W27=0,".",((Ir*F*MLF_snap_bean*(1-EXP(-RadSpec!AZ27*t_b)))/(P*RadSpec!AZ27))),".")</f>
        <v>0.17873205381175516</v>
      </c>
      <c r="AW27" s="108">
        <f>IFERROR(IF(d_Bv!X27=0,".",((Ir*F*MLF_strawberry*(1-EXP(-RadSpec!AZ27*t_b)))/(P*RadSpec!AZ27))),".")</f>
        <v>2.8597128609880828E-3</v>
      </c>
      <c r="AX27" s="108">
        <f>IFERROR(IF(d_Bv!Y27=0,".",((Ir*F*MLF_tomato*(1-EXP(-RadSpec!AZ27*t_b)))/(P*RadSpec!AZ27))),".")</f>
        <v>6.327114704936132E-2</v>
      </c>
      <c r="AY27" s="108">
        <f>IFERROR(IF(d_Bv!Z27=0,".",((Ir*F*MLF_rice*(1-EXP(-RadSpec!AZ27*t_b)))/(P*RadSpec!AZ27))),".")</f>
        <v>8.9366026905877582</v>
      </c>
      <c r="AZ27" s="108">
        <f>IFERROR(IF(d_Bv!AA27=0,".",((Ir*F*MLF_cereal*(1-EXP(-RadSpec!AZ27*t_b)))/(P*RadSpec!AZ27))),".")</f>
        <v>8.9366026905877582</v>
      </c>
      <c r="BA27" s="108">
        <f>IFERROR(IF(d_Bv!C27=0,".",((Ir*F*I_f*T*(1-EXP(-RadSpec!BA27*t_v)))/(Y_v*RadSpec!BA27))),".")</f>
        <v>3.6424203206347228</v>
      </c>
      <c r="BB27" s="108">
        <f>IFERROR(IF(d_Bv!D27=0,".",((Ir*F*I_f*T*(1-EXP(-RadSpec!BA27*t_v)))/(Y_v*RadSpec!BA27))),".")</f>
        <v>3.6424203206347228</v>
      </c>
      <c r="BC27" s="108">
        <f>IFERROR(IF(d_Bv!E27=0,".",((Ir*F*I_f*T*(1-EXP(-RadSpec!BA27*t_v)))/(Y_v*RadSpec!BA27))),".")</f>
        <v>3.6424203206347228</v>
      </c>
      <c r="BD27" s="108">
        <f>IFERROR(IF(d_Bv!F27=0,".",((Ir*F*I_f*T*(1-EXP(-RadSpec!BA27*t_v)))/(Y_v*RadSpec!BA27))),".")</f>
        <v>3.6424203206347228</v>
      </c>
      <c r="BE27" s="108">
        <f>IFERROR(IF(d_Bv!G27=0,".",((Ir*F*I_f*T*(1-EXP(-RadSpec!BA27*t_v)))/(Y_v*RadSpec!BA27))),".")</f>
        <v>3.6424203206347228</v>
      </c>
      <c r="BF27" s="108">
        <f>IFERROR(IF(d_Bv!H27=0,".",((Ir*F*I_f*T*(1-EXP(-RadSpec!BA27*t_v)))/(Y_v*RadSpec!BA27))),".")</f>
        <v>3.6424203206347228</v>
      </c>
      <c r="BG27" s="108">
        <f>IFERROR(IF(d_Bv!I27=0,".",((Ir*F*I_f*T*(1-EXP(-RadSpec!BA27*t_v)))/(Y_v*RadSpec!BA27))),".")</f>
        <v>3.6424203206347228</v>
      </c>
      <c r="BH27" s="108">
        <f>IFERROR(IF(d_Bv!J27=0,".",((Ir*F*I_f*T*(1-EXP(-RadSpec!BA27*t_v)))/(Y_v*RadSpec!BA27))),".")</f>
        <v>3.6424203206347228</v>
      </c>
      <c r="BI27" s="108">
        <f>IFERROR(IF(d_Bv!K27=0,".",((Ir*F*I_f*T*(1-EXP(-RadSpec!BA27*t_v)))/(Y_v*RadSpec!BA27))),".")</f>
        <v>3.6424203206347228</v>
      </c>
      <c r="BJ27" s="108">
        <f>IFERROR(IF(d_Bv!L27=0,".",((Ir*F*I_f*T*(1-EXP(-RadSpec!BA27*t_v)))/(Y_v*RadSpec!BA27))),".")</f>
        <v>3.6424203206347228</v>
      </c>
      <c r="BK27" s="108">
        <f>IFERROR(IF(d_Bv!M27=0,".",((Ir*F*I_f*T*(1-EXP(-RadSpec!BA27*t_v)))/(Y_v*RadSpec!BA27))),".")</f>
        <v>3.6424203206347228</v>
      </c>
      <c r="BL27" s="108">
        <f>IFERROR(IF(d_Bv!N27=0,".",((Ir*F*I_f*T*(1-EXP(-RadSpec!BA27*t_v)))/(Y_v*RadSpec!BA27))),".")</f>
        <v>3.6424203206347228</v>
      </c>
      <c r="BM27" s="108">
        <f>IFERROR(IF(d_Bv!O27=0,".",((Ir*F*I_f*T*(1-EXP(-RadSpec!BA27*t_v)))/(Y_v*RadSpec!BA27))),".")</f>
        <v>3.6424203206347228</v>
      </c>
      <c r="BN27" s="108">
        <f>IFERROR(IF(d_Bv!P27=0,".",((Ir*F*I_f*T*(1-EXP(-RadSpec!BA27*t_v)))/(Y_v*RadSpec!BA27))),".")</f>
        <v>3.6424203206347228</v>
      </c>
      <c r="BO27" s="108">
        <f>IFERROR(IF(d_Bv!Q27=0,".",((Ir*F*I_f*T*(1-EXP(-RadSpec!BA27*t_v)))/(Y_v*RadSpec!BA27))),".")</f>
        <v>3.6424203206347228</v>
      </c>
      <c r="BP27" s="108">
        <f>IFERROR(IF(d_Bv!R27=0,".",((Ir*F*I_f*T*(1-EXP(-RadSpec!BA27*t_v)))/(Y_v*RadSpec!BA27))),".")</f>
        <v>3.6424203206347228</v>
      </c>
      <c r="BQ27" s="108">
        <f>IFERROR(IF(d_Bv!S27=0,".",((Ir*F*I_f*T*(1-EXP(-RadSpec!BA27*t_v)))/(Y_v*RadSpec!BA27))),".")</f>
        <v>3.6424203206347228</v>
      </c>
      <c r="BR27" s="108">
        <f>IFERROR(IF(d_Bv!T27=0,".",((Ir*F*I_f*T*(1-EXP(-RadSpec!BA27*t_v)))/(Y_v*RadSpec!BA27))),".")</f>
        <v>3.6424203206347228</v>
      </c>
      <c r="BS27" s="108">
        <f>IFERROR(IF(d_Bv!U27=0,".",((Ir*F*I_f*T*(1-EXP(-RadSpec!BA27*t_v)))/(Y_v*RadSpec!BA27))),".")</f>
        <v>3.6424203206347228</v>
      </c>
      <c r="BT27" s="108">
        <f>IFERROR(IF(d_Bv!V27=0,".",((Ir*F*I_f*T*(1-EXP(-RadSpec!BA27*t_v)))/(Y_v*RadSpec!BA27))),".")</f>
        <v>3.6424203206347228</v>
      </c>
      <c r="BU27" s="108">
        <f>IFERROR(IF(d_Bv!W27=0,".",((Ir*F*I_f*T*(1-EXP(-RadSpec!BA27*t_v)))/(Y_v*RadSpec!BA27))),".")</f>
        <v>3.6424203206347228</v>
      </c>
      <c r="BV27" s="108">
        <f>IFERROR(IF(d_Bv!X27=0,".",((Ir*F*I_f*T*(1-EXP(-RadSpec!BA27*t_v)))/(Y_v*RadSpec!BA27))),".")</f>
        <v>3.6424203206347228</v>
      </c>
      <c r="BW27" s="108">
        <f>IFERROR(IF(d_Bv!Y27=0,".",((Ir*F*I_f*T*(1-EXP(-RadSpec!BA27*t_v)))/(Y_v*RadSpec!BA27))),".")</f>
        <v>3.6424203206347228</v>
      </c>
      <c r="BX27" s="108">
        <f>IFERROR(IF(d_Bv!Z27=0,".",((Ir*F*I_f*T*(1-EXP(-RadSpec!BA27*t_v)))/(Y_v*RadSpec!BA27))),".")</f>
        <v>3.6424203206347228</v>
      </c>
      <c r="BY27" s="108">
        <f>IFERROR(IF(d_Bv!AA27=0,".",((Ir*F*I_f*T*(1-EXP(-RadSpec!BA27*t_v)))/(Y_v*RadSpec!BA27))),".")</f>
        <v>3.6424203206347228</v>
      </c>
    </row>
    <row r="28" spans="1:77" x14ac:dyDescent="0.25">
      <c r="A28" s="44" t="s">
        <v>26</v>
      </c>
      <c r="B28" s="42" t="s">
        <v>1057</v>
      </c>
      <c r="C28" s="108">
        <f>IFERROR(IF(d_Bv!C28=0,".",((Ir*F*d_Bv!C28*(1-EXP(-RadSpec!AZ28*t_b)))/(P*RadSpec!AZ28))),".")</f>
        <v>2.8597128609880828E-3</v>
      </c>
      <c r="D28" s="108">
        <f>IFERROR(IF(d_Bv!D28=0,".",((Ir*F*d_Bv!D28*(1-EXP(-RadSpec!AZ28*t_b)))/(P*RadSpec!AZ28))),".")</f>
        <v>2.8597128609880826E-2</v>
      </c>
      <c r="E28" s="108">
        <f>IFERROR(IF(d_Bv!E28=0,".",((Ir*F*d_Bv!E28*(1-EXP(-RadSpec!AZ28*t_b)))/(P*RadSpec!AZ28))),".")</f>
        <v>2.8597128609880828E-3</v>
      </c>
      <c r="F28" s="108">
        <f>IFERROR(IF(d_Bv!F28=0,".",((Ir*F*d_Bv!F28*(1-EXP(-RadSpec!AZ28*t_b)))/(P*RadSpec!AZ28))),".")</f>
        <v>2.8597128609880828E-3</v>
      </c>
      <c r="G28" s="108">
        <f>IFERROR(IF(d_Bv!G28=0,".",((Ir*F*d_Bv!G28*(1-EXP(-RadSpec!AZ28*t_b)))/(P*RadSpec!AZ28))),".")</f>
        <v>2.8597128609880826E-2</v>
      </c>
      <c r="H28" s="108">
        <f>IFERROR(IF(d_Bv!H28=0,".",((Ir*F*d_Bv!H28*(1-EXP(-RadSpec!AZ28*t_b)))/(P*RadSpec!AZ28))),".")</f>
        <v>2.8597128609880826E-2</v>
      </c>
      <c r="I28" s="108">
        <f>IFERROR(IF(d_Bv!I28=0,".",((Ir*F*d_Bv!I28*(1-EXP(-RadSpec!AZ28*t_b)))/(P*RadSpec!AZ28))),".")</f>
        <v>2.8597128609880828E-3</v>
      </c>
      <c r="J28" s="108">
        <f>IFERROR(IF(d_Bv!J28=0,".",((Ir*F*d_Bv!J28*(1-EXP(-RadSpec!AZ28*t_b)))/(P*RadSpec!AZ28))),".")</f>
        <v>2.8597128609880828E-3</v>
      </c>
      <c r="K28" s="108">
        <f>IFERROR(IF(d_Bv!K28=0,".",((Ir*F*d_Bv!K28*(1-EXP(-RadSpec!AZ28*t_b)))/(P*RadSpec!AZ28))),".")</f>
        <v>2.8597128609880826E-2</v>
      </c>
      <c r="L28" s="108">
        <f>IFERROR(IF(d_Bv!L28=0,".",((Ir*F*d_Bv!L28*(1-EXP(-RadSpec!AZ28*t_b)))/(P*RadSpec!AZ28))),".")</f>
        <v>2.8597128609880826E-2</v>
      </c>
      <c r="M28" s="108">
        <f>IFERROR(IF(d_Bv!M28=0,".",((Ir*F*d_Bv!M28*(1-EXP(-RadSpec!AZ28*t_b)))/(P*RadSpec!AZ28))),".")</f>
        <v>2.8597128609880826E-2</v>
      </c>
      <c r="N28" s="108">
        <f>IFERROR(IF(d_Bv!N28=0,".",((Ir*F*d_Bv!N28*(1-EXP(-RadSpec!AZ28*t_b)))/(P*RadSpec!AZ28))),".")</f>
        <v>2.8597128609880826E-2</v>
      </c>
      <c r="O28" s="108">
        <f>IFERROR(IF(d_Bv!O28=0,".",((Ir*F*d_Bv!O28*(1-EXP(-RadSpec!AZ28*t_b)))/(P*RadSpec!AZ28))),".")</f>
        <v>2.8597128609880826E-2</v>
      </c>
      <c r="P28" s="108">
        <f>IFERROR(IF(d_Bv!I28=0,".",((Ir*F*d_Bv!I28*(1-EXP(-RadSpec!AZ28*t_b)))/(P*RadSpec!AZ28))),".")</f>
        <v>2.8597128609880828E-3</v>
      </c>
      <c r="Q28" s="108">
        <f>IFERROR(IF(d_Bv!Q28=0,".",((Ir*F*d_Bv!Q28*(1-EXP(-RadSpec!AZ28*t_b)))/(P*RadSpec!AZ28))),".")</f>
        <v>2.8597128609880828E-3</v>
      </c>
      <c r="R28" s="108">
        <f>IFERROR(IF(d_Bv!R28=0,".",((Ir*F*d_Bv!R28*(1-EXP(-RadSpec!AZ28*t_b)))/(P*RadSpec!AZ28))),".")</f>
        <v>2.8597128609880828E-3</v>
      </c>
      <c r="S28" s="108">
        <f>IFERROR(IF(d_Bv!S28=0,".",((Ir*F*d_Bv!S28*(1-EXP(-RadSpec!AZ28*t_b)))/(P*RadSpec!AZ28))),".")</f>
        <v>2.8597128609880826E-2</v>
      </c>
      <c r="T28" s="202">
        <f>IFERROR(IF(d_Bv!T28=0,".",((Ir*F*d_Bv!T28*(1-EXP(-RadSpec!AZ28*t_b)))/(P*RadSpec!AZ28))),".")</f>
        <v>2.8597128609880826E-2</v>
      </c>
      <c r="U28" s="108">
        <f>IFERROR(IF(d_Bv!U28=0,".",((Ir*F*d_Bv!U28*(1-EXP(-RadSpec!AZ28*t_b)))/(P*RadSpec!AZ28))),".")</f>
        <v>2.8597128609880828E-3</v>
      </c>
      <c r="V28" s="108">
        <f>IFERROR(IF(d_Bv!V28=0,".",((Ir*F*d_Bv!V28*(1-EXP(-RadSpec!AZ28*t_b)))/(P*RadSpec!AZ28))),".")</f>
        <v>2.8597128609880826E-2</v>
      </c>
      <c r="W28" s="108">
        <f>IFERROR(IF(d_Bv!W28=0,".",((Ir*F*d_Bv!W28*(1-EXP(-RadSpec!AZ28*t_b)))/(P*RadSpec!AZ28))),".")</f>
        <v>2.8597128609880826E-2</v>
      </c>
      <c r="X28" s="108">
        <f>IFERROR(IF(d_Bv!X28=0,".",((Ir*F*d_Bv!X28*(1-EXP(-RadSpec!AZ28*t_b)))/(P*RadSpec!AZ28))),".")</f>
        <v>2.8597128609880828E-3</v>
      </c>
      <c r="Y28" s="108">
        <f>IFERROR(IF(d_Bv!Y28=0,".",((Ir*F*d_Bv!Y28*(1-EXP(-RadSpec!AZ28*t_b)))/(P*RadSpec!AZ28))),".")</f>
        <v>2.8597128609880826E-2</v>
      </c>
      <c r="Z28" s="108">
        <f>IFERROR(IF(d_Bv!Z28=0,".",((Ir*F*d_Bv!Z28*(1-EXP(-RadSpec!AZ28*t_b)))/(P*RadSpec!AZ28))),".")</f>
        <v>7.1492821524702075</v>
      </c>
      <c r="AA28" s="108">
        <f>IFERROR(IF(d_Bv!AA28=0,".",((Ir*F*d_Bv!AA28*(1-EXP(-RadSpec!AZ28*t_b)))/(P*RadSpec!AZ28))),".")</f>
        <v>2.8597128609880826E-2</v>
      </c>
      <c r="AB28" s="108">
        <f>IFERROR(IF(d_Bv!C28=0,".",((Ir*F*MLF_apple*(1-EXP(-RadSpec!AZ28*t_b)))/(P*RadSpec!AZ28))),".")</f>
        <v>5.7194257219761657E-3</v>
      </c>
      <c r="AC28" s="108">
        <f>IFERROR(IF(d_Bv!D28=0,".",((Ir*F*MLF_asparagus*(1-EXP(-RadSpec!AZ28*t_b)))/(P*RadSpec!AZ28))),".")</f>
        <v>2.8239664502257315E-3</v>
      </c>
      <c r="AD28" s="108">
        <f>IFERROR(IF(d_Bv!E28=0,".",((Ir*F*MLF_beet*(1-EXP(-RadSpec!AZ28*t_b)))/(P*RadSpec!AZ28))),".")</f>
        <v>4.9330046852044422E-3</v>
      </c>
      <c r="AE28" s="108">
        <f>IFERROR(IF(d_Bv!F28=0,".",((Ir*F*MLF_berries*(1-EXP(-RadSpec!AZ28*t_b)))/(P*RadSpec!AZ28))),".")</f>
        <v>5.9339041865502712E-3</v>
      </c>
      <c r="AF28" s="108">
        <f>IFERROR(IF(d_Bv!G28=0,".",((Ir*F*MLF_broccoli*(1-EXP(-RadSpec!AZ28*t_b)))/(P*RadSpec!AZ28))),".")</f>
        <v>3.6103874869974538E-2</v>
      </c>
      <c r="AG28" s="108">
        <f>IFERROR(IF(d_Bv!H28=0,".",((Ir*F*MLF_cabbage*(1-EXP(-RadSpec!AZ28*t_b)))/(P*RadSpec!AZ28))),".")</f>
        <v>3.7533731300468582E-3</v>
      </c>
      <c r="AH28" s="108">
        <f>IFERROR(IF(d_Bv!I28=0,".",((Ir*F*MLF_carrot*(1-EXP(-RadSpec!AZ28*t_b)))/(P*RadSpec!AZ28))),".")</f>
        <v>3.4674018439480501E-3</v>
      </c>
      <c r="AI28" s="108">
        <f>IFERROR(IF(d_Bv!J28=0,".",((Ir*F*MLF_citrus*(1-EXP(-RadSpec!AZ28*t_b)))/(P*RadSpec!AZ28))),".")</f>
        <v>5.6121864896891112E-3</v>
      </c>
      <c r="AJ28" s="108">
        <f>IFERROR(IF(d_Bv!K28=0,".",((Ir*F*MLF_corn*(1-EXP(-RadSpec!AZ28*t_b)))/(P*RadSpec!AZ28))),".")</f>
        <v>5.1832295605408994E-3</v>
      </c>
      <c r="AK28" s="108">
        <f>IFERROR(IF(d_Bv!L28=0,".",((Ir*F*MLF_cucumber*(1-EXP(-RadSpec!AZ28*t_b)))/(P*RadSpec!AZ28))),".")</f>
        <v>1.4298564304940414E-3</v>
      </c>
      <c r="AL28" s="108">
        <f>IFERROR(IF(d_Bv!M28=0,".",((Ir*F*MLF_lettuce*(1-EXP(-RadSpec!AZ28*t_b)))/(P*RadSpec!AZ28))),".")</f>
        <v>0.48257654529173893</v>
      </c>
      <c r="AM28" s="108">
        <f>IFERROR(IF(d_Bv!N28=0,".",((Ir*F*MLF_lima_bean*(1-EXP(-RadSpec!AZ28*t_b)))/(P*RadSpec!AZ28))),".")</f>
        <v>0.13690875321980447</v>
      </c>
      <c r="AN28" s="108">
        <f>IFERROR(IF(d_Bv!O28=0,".",((Ir*F*MLF_okra*(1-EXP(-RadSpec!AZ28*t_b)))/(P*RadSpec!AZ28))),".")</f>
        <v>2.8597128609880828E-3</v>
      </c>
      <c r="AO28" s="108">
        <f>IFERROR(IF(d_Bv!P28=0,".",((Ir*F*MLF_onion*(1-EXP(-RadSpec!AZ28*t_b)))/(P*RadSpec!AZ28))),".")</f>
        <v>3.4674018439480501E-3</v>
      </c>
      <c r="AP28" s="108">
        <f>IFERROR(IF(d_Bv!Q28=0,".",((Ir*F*MLF_peach*(1-EXP(-RadSpec!AZ28*t_b)))/(P*RadSpec!AZ28))),".")</f>
        <v>5.361961614352654E-3</v>
      </c>
      <c r="AQ28" s="108">
        <f>IFERROR(IF(d_Bv!R28=0,".",((Ir*F*MLF_pear*(1-EXP(-RadSpec!AZ28*t_b)))/(P*RadSpec!AZ28))),".")</f>
        <v>5.7194257219761657E-3</v>
      </c>
      <c r="AR28" s="108">
        <f>IFERROR(IF(d_Bv!S28=0,".",((Ir*F*MLF_peas*(1-EXP(-RadSpec!AZ28*t_b)))/(P*RadSpec!AZ28))),".")</f>
        <v>6.3628611156984829E-3</v>
      </c>
      <c r="AS28" s="108">
        <f>IFERROR(IF(d_Bv!T28=0,".",((Ir*F*MLF_peppers*(1-EXP(-RadSpec!AZ28*t_b)))/(P*RadSpec!AZ28))),".")</f>
        <v>7.93570318924193E-2</v>
      </c>
      <c r="AT28" s="108">
        <f>IFERROR(IF(d_Bv!U28=0,".",((Ir*F*MLF_potato*(1-EXP(-RadSpec!AZ28*t_b)))/(P*RadSpec!AZ28))),".")</f>
        <v>7.5067462600937164E-3</v>
      </c>
      <c r="AU28" s="108">
        <f>IFERROR(IF(d_Bv!V28=0,".",((Ir*F*MLF_pumpkin*(1-EXP(-RadSpec!AZ28*t_b)))/(P*RadSpec!AZ28))),".")</f>
        <v>2.0732918242163598E-3</v>
      </c>
      <c r="AV28" s="108">
        <f>IFERROR(IF(d_Bv!W28=0,".",((Ir*F*MLF_snap_bean*(1-EXP(-RadSpec!AZ28*t_b)))/(P*RadSpec!AZ28))),".")</f>
        <v>0.17873205381175516</v>
      </c>
      <c r="AW28" s="108">
        <f>IFERROR(IF(d_Bv!X28=0,".",((Ir*F*MLF_strawberry*(1-EXP(-RadSpec!AZ28*t_b)))/(P*RadSpec!AZ28))),".")</f>
        <v>2.8597128609880828E-3</v>
      </c>
      <c r="AX28" s="108">
        <f>IFERROR(IF(d_Bv!Y28=0,".",((Ir*F*MLF_tomato*(1-EXP(-RadSpec!AZ28*t_b)))/(P*RadSpec!AZ28))),".")</f>
        <v>6.327114704936132E-2</v>
      </c>
      <c r="AY28" s="108">
        <f>IFERROR(IF(d_Bv!Z28=0,".",((Ir*F*MLF_rice*(1-EXP(-RadSpec!AZ28*t_b)))/(P*RadSpec!AZ28))),".")</f>
        <v>8.9366026905877582</v>
      </c>
      <c r="AZ28" s="108">
        <f>IFERROR(IF(d_Bv!AA28=0,".",((Ir*F*MLF_cereal*(1-EXP(-RadSpec!AZ28*t_b)))/(P*RadSpec!AZ28))),".")</f>
        <v>8.9366026905877582</v>
      </c>
      <c r="BA28" s="108">
        <f>IFERROR(IF(d_Bv!C28=0,".",((Ir*F*I_f*T*(1-EXP(-RadSpec!BA28*t_v)))/(Y_v*RadSpec!BA28))),".")</f>
        <v>3.6424203206347228</v>
      </c>
      <c r="BB28" s="108">
        <f>IFERROR(IF(d_Bv!D28=0,".",((Ir*F*I_f*T*(1-EXP(-RadSpec!BA28*t_v)))/(Y_v*RadSpec!BA28))),".")</f>
        <v>3.6424203206347228</v>
      </c>
      <c r="BC28" s="108">
        <f>IFERROR(IF(d_Bv!E28=0,".",((Ir*F*I_f*T*(1-EXP(-RadSpec!BA28*t_v)))/(Y_v*RadSpec!BA28))),".")</f>
        <v>3.6424203206347228</v>
      </c>
      <c r="BD28" s="108">
        <f>IFERROR(IF(d_Bv!F28=0,".",((Ir*F*I_f*T*(1-EXP(-RadSpec!BA28*t_v)))/(Y_v*RadSpec!BA28))),".")</f>
        <v>3.6424203206347228</v>
      </c>
      <c r="BE28" s="108">
        <f>IFERROR(IF(d_Bv!G28=0,".",((Ir*F*I_f*T*(1-EXP(-RadSpec!BA28*t_v)))/(Y_v*RadSpec!BA28))),".")</f>
        <v>3.6424203206347228</v>
      </c>
      <c r="BF28" s="108">
        <f>IFERROR(IF(d_Bv!H28=0,".",((Ir*F*I_f*T*(1-EXP(-RadSpec!BA28*t_v)))/(Y_v*RadSpec!BA28))),".")</f>
        <v>3.6424203206347228</v>
      </c>
      <c r="BG28" s="108">
        <f>IFERROR(IF(d_Bv!I28=0,".",((Ir*F*I_f*T*(1-EXP(-RadSpec!BA28*t_v)))/(Y_v*RadSpec!BA28))),".")</f>
        <v>3.6424203206347228</v>
      </c>
      <c r="BH28" s="108">
        <f>IFERROR(IF(d_Bv!J28=0,".",((Ir*F*I_f*T*(1-EXP(-RadSpec!BA28*t_v)))/(Y_v*RadSpec!BA28))),".")</f>
        <v>3.6424203206347228</v>
      </c>
      <c r="BI28" s="108">
        <f>IFERROR(IF(d_Bv!K28=0,".",((Ir*F*I_f*T*(1-EXP(-RadSpec!BA28*t_v)))/(Y_v*RadSpec!BA28))),".")</f>
        <v>3.6424203206347228</v>
      </c>
      <c r="BJ28" s="108">
        <f>IFERROR(IF(d_Bv!L28=0,".",((Ir*F*I_f*T*(1-EXP(-RadSpec!BA28*t_v)))/(Y_v*RadSpec!BA28))),".")</f>
        <v>3.6424203206347228</v>
      </c>
      <c r="BK28" s="108">
        <f>IFERROR(IF(d_Bv!M28=0,".",((Ir*F*I_f*T*(1-EXP(-RadSpec!BA28*t_v)))/(Y_v*RadSpec!BA28))),".")</f>
        <v>3.6424203206347228</v>
      </c>
      <c r="BL28" s="108">
        <f>IFERROR(IF(d_Bv!N28=0,".",((Ir*F*I_f*T*(1-EXP(-RadSpec!BA28*t_v)))/(Y_v*RadSpec!BA28))),".")</f>
        <v>3.6424203206347228</v>
      </c>
      <c r="BM28" s="108">
        <f>IFERROR(IF(d_Bv!O28=0,".",((Ir*F*I_f*T*(1-EXP(-RadSpec!BA28*t_v)))/(Y_v*RadSpec!BA28))),".")</f>
        <v>3.6424203206347228</v>
      </c>
      <c r="BN28" s="108">
        <f>IFERROR(IF(d_Bv!P28=0,".",((Ir*F*I_f*T*(1-EXP(-RadSpec!BA28*t_v)))/(Y_v*RadSpec!BA28))),".")</f>
        <v>3.6424203206347228</v>
      </c>
      <c r="BO28" s="108">
        <f>IFERROR(IF(d_Bv!Q28=0,".",((Ir*F*I_f*T*(1-EXP(-RadSpec!BA28*t_v)))/(Y_v*RadSpec!BA28))),".")</f>
        <v>3.6424203206347228</v>
      </c>
      <c r="BP28" s="108">
        <f>IFERROR(IF(d_Bv!R28=0,".",((Ir*F*I_f*T*(1-EXP(-RadSpec!BA28*t_v)))/(Y_v*RadSpec!BA28))),".")</f>
        <v>3.6424203206347228</v>
      </c>
      <c r="BQ28" s="108">
        <f>IFERROR(IF(d_Bv!S28=0,".",((Ir*F*I_f*T*(1-EXP(-RadSpec!BA28*t_v)))/(Y_v*RadSpec!BA28))),".")</f>
        <v>3.6424203206347228</v>
      </c>
      <c r="BR28" s="108">
        <f>IFERROR(IF(d_Bv!T28=0,".",((Ir*F*I_f*T*(1-EXP(-RadSpec!BA28*t_v)))/(Y_v*RadSpec!BA28))),".")</f>
        <v>3.6424203206347228</v>
      </c>
      <c r="BS28" s="108">
        <f>IFERROR(IF(d_Bv!U28=0,".",((Ir*F*I_f*T*(1-EXP(-RadSpec!BA28*t_v)))/(Y_v*RadSpec!BA28))),".")</f>
        <v>3.6424203206347228</v>
      </c>
      <c r="BT28" s="108">
        <f>IFERROR(IF(d_Bv!V28=0,".",((Ir*F*I_f*T*(1-EXP(-RadSpec!BA28*t_v)))/(Y_v*RadSpec!BA28))),".")</f>
        <v>3.6424203206347228</v>
      </c>
      <c r="BU28" s="108">
        <f>IFERROR(IF(d_Bv!W28=0,".",((Ir*F*I_f*T*(1-EXP(-RadSpec!BA28*t_v)))/(Y_v*RadSpec!BA28))),".")</f>
        <v>3.6424203206347228</v>
      </c>
      <c r="BV28" s="108">
        <f>IFERROR(IF(d_Bv!X28=0,".",((Ir*F*I_f*T*(1-EXP(-RadSpec!BA28*t_v)))/(Y_v*RadSpec!BA28))),".")</f>
        <v>3.6424203206347228</v>
      </c>
      <c r="BW28" s="108">
        <f>IFERROR(IF(d_Bv!Y28=0,".",((Ir*F*I_f*T*(1-EXP(-RadSpec!BA28*t_v)))/(Y_v*RadSpec!BA28))),".")</f>
        <v>3.6424203206347228</v>
      </c>
      <c r="BX28" s="108">
        <f>IFERROR(IF(d_Bv!Z28=0,".",((Ir*F*I_f*T*(1-EXP(-RadSpec!BA28*t_v)))/(Y_v*RadSpec!BA28))),".")</f>
        <v>3.6424203206347228</v>
      </c>
      <c r="BY28" s="108">
        <f>IFERROR(IF(d_Bv!AA28=0,".",((Ir*F*I_f*T*(1-EXP(-RadSpec!BA28*t_v)))/(Y_v*RadSpec!BA28))),".")</f>
        <v>3.6424203206347228</v>
      </c>
    </row>
    <row r="29" spans="1:77" x14ac:dyDescent="0.25">
      <c r="A29" s="44" t="s">
        <v>27</v>
      </c>
      <c r="B29" s="42" t="s">
        <v>1057</v>
      </c>
      <c r="C29" s="108">
        <f>IFERROR(IF(d_Bv!C29=0,".",((Ir*F*d_Bv!C29*(1-EXP(-RadSpec!AZ29*t_b)))/(P*RadSpec!AZ29))),".")</f>
        <v>2.8597128609880828E-3</v>
      </c>
      <c r="D29" s="108">
        <f>IFERROR(IF(d_Bv!D29=0,".",((Ir*F*d_Bv!D29*(1-EXP(-RadSpec!AZ29*t_b)))/(P*RadSpec!AZ29))),".")</f>
        <v>2.8597128609880826E-2</v>
      </c>
      <c r="E29" s="108">
        <f>IFERROR(IF(d_Bv!E29=0,".",((Ir*F*d_Bv!E29*(1-EXP(-RadSpec!AZ29*t_b)))/(P*RadSpec!AZ29))),".")</f>
        <v>2.8597128609880828E-3</v>
      </c>
      <c r="F29" s="108">
        <f>IFERROR(IF(d_Bv!F29=0,".",((Ir*F*d_Bv!F29*(1-EXP(-RadSpec!AZ29*t_b)))/(P*RadSpec!AZ29))),".")</f>
        <v>2.8597128609880828E-3</v>
      </c>
      <c r="G29" s="108">
        <f>IFERROR(IF(d_Bv!G29=0,".",((Ir*F*d_Bv!G29*(1-EXP(-RadSpec!AZ29*t_b)))/(P*RadSpec!AZ29))),".")</f>
        <v>2.8597128609880826E-2</v>
      </c>
      <c r="H29" s="108">
        <f>IFERROR(IF(d_Bv!H29=0,".",((Ir*F*d_Bv!H29*(1-EXP(-RadSpec!AZ29*t_b)))/(P*RadSpec!AZ29))),".")</f>
        <v>2.8597128609880826E-2</v>
      </c>
      <c r="I29" s="108">
        <f>IFERROR(IF(d_Bv!I29=0,".",((Ir*F*d_Bv!I29*(1-EXP(-RadSpec!AZ29*t_b)))/(P*RadSpec!AZ29))),".")</f>
        <v>2.8597128609880828E-3</v>
      </c>
      <c r="J29" s="108">
        <f>IFERROR(IF(d_Bv!J29=0,".",((Ir*F*d_Bv!J29*(1-EXP(-RadSpec!AZ29*t_b)))/(P*RadSpec!AZ29))),".")</f>
        <v>2.8597128609880828E-3</v>
      </c>
      <c r="K29" s="108">
        <f>IFERROR(IF(d_Bv!K29=0,".",((Ir*F*d_Bv!K29*(1-EXP(-RadSpec!AZ29*t_b)))/(P*RadSpec!AZ29))),".")</f>
        <v>2.8597128609880826E-2</v>
      </c>
      <c r="L29" s="108">
        <f>IFERROR(IF(d_Bv!L29=0,".",((Ir*F*d_Bv!L29*(1-EXP(-RadSpec!AZ29*t_b)))/(P*RadSpec!AZ29))),".")</f>
        <v>2.8597128609880826E-2</v>
      </c>
      <c r="M29" s="108">
        <f>IFERROR(IF(d_Bv!M29=0,".",((Ir*F*d_Bv!M29*(1-EXP(-RadSpec!AZ29*t_b)))/(P*RadSpec!AZ29))),".")</f>
        <v>2.8597128609880826E-2</v>
      </c>
      <c r="N29" s="108">
        <f>IFERROR(IF(d_Bv!N29=0,".",((Ir*F*d_Bv!N29*(1-EXP(-RadSpec!AZ29*t_b)))/(P*RadSpec!AZ29))),".")</f>
        <v>2.8597128609880826E-2</v>
      </c>
      <c r="O29" s="108">
        <f>IFERROR(IF(d_Bv!O29=0,".",((Ir*F*d_Bv!O29*(1-EXP(-RadSpec!AZ29*t_b)))/(P*RadSpec!AZ29))),".")</f>
        <v>2.8597128609880826E-2</v>
      </c>
      <c r="P29" s="108">
        <f>IFERROR(IF(d_Bv!I29=0,".",((Ir*F*d_Bv!I29*(1-EXP(-RadSpec!AZ29*t_b)))/(P*RadSpec!AZ29))),".")</f>
        <v>2.8597128609880828E-3</v>
      </c>
      <c r="Q29" s="108">
        <f>IFERROR(IF(d_Bv!Q29=0,".",((Ir*F*d_Bv!Q29*(1-EXP(-RadSpec!AZ29*t_b)))/(P*RadSpec!AZ29))),".")</f>
        <v>2.8597128609880828E-3</v>
      </c>
      <c r="R29" s="108">
        <f>IFERROR(IF(d_Bv!R29=0,".",((Ir*F*d_Bv!R29*(1-EXP(-RadSpec!AZ29*t_b)))/(P*RadSpec!AZ29))),".")</f>
        <v>2.8597128609880828E-3</v>
      </c>
      <c r="S29" s="108">
        <f>IFERROR(IF(d_Bv!S29=0,".",((Ir*F*d_Bv!S29*(1-EXP(-RadSpec!AZ29*t_b)))/(P*RadSpec!AZ29))),".")</f>
        <v>2.8597128609880826E-2</v>
      </c>
      <c r="T29" s="202">
        <f>IFERROR(IF(d_Bv!T29=0,".",((Ir*F*d_Bv!T29*(1-EXP(-RadSpec!AZ29*t_b)))/(P*RadSpec!AZ29))),".")</f>
        <v>2.8597128609880826E-2</v>
      </c>
      <c r="U29" s="108">
        <f>IFERROR(IF(d_Bv!U29=0,".",((Ir*F*d_Bv!U29*(1-EXP(-RadSpec!AZ29*t_b)))/(P*RadSpec!AZ29))),".")</f>
        <v>2.8597128609880828E-3</v>
      </c>
      <c r="V29" s="108">
        <f>IFERROR(IF(d_Bv!V29=0,".",((Ir*F*d_Bv!V29*(1-EXP(-RadSpec!AZ29*t_b)))/(P*RadSpec!AZ29))),".")</f>
        <v>2.8597128609880826E-2</v>
      </c>
      <c r="W29" s="108">
        <f>IFERROR(IF(d_Bv!W29=0,".",((Ir*F*d_Bv!W29*(1-EXP(-RadSpec!AZ29*t_b)))/(P*RadSpec!AZ29))),".")</f>
        <v>2.8597128609880826E-2</v>
      </c>
      <c r="X29" s="108">
        <f>IFERROR(IF(d_Bv!X29=0,".",((Ir*F*d_Bv!X29*(1-EXP(-RadSpec!AZ29*t_b)))/(P*RadSpec!AZ29))),".")</f>
        <v>2.8597128609880828E-3</v>
      </c>
      <c r="Y29" s="108">
        <f>IFERROR(IF(d_Bv!Y29=0,".",((Ir*F*d_Bv!Y29*(1-EXP(-RadSpec!AZ29*t_b)))/(P*RadSpec!AZ29))),".")</f>
        <v>2.8597128609880826E-2</v>
      </c>
      <c r="Z29" s="108">
        <f>IFERROR(IF(d_Bv!Z29=0,".",((Ir*F*d_Bv!Z29*(1-EXP(-RadSpec!AZ29*t_b)))/(P*RadSpec!AZ29))),".")</f>
        <v>7.1492821524702075</v>
      </c>
      <c r="AA29" s="108">
        <f>IFERROR(IF(d_Bv!AA29=0,".",((Ir*F*d_Bv!AA29*(1-EXP(-RadSpec!AZ29*t_b)))/(P*RadSpec!AZ29))),".")</f>
        <v>2.8597128609880826E-2</v>
      </c>
      <c r="AB29" s="108">
        <f>IFERROR(IF(d_Bv!C29=0,".",((Ir*F*MLF_apple*(1-EXP(-RadSpec!AZ29*t_b)))/(P*RadSpec!AZ29))),".")</f>
        <v>5.7194257219761657E-3</v>
      </c>
      <c r="AC29" s="108">
        <f>IFERROR(IF(d_Bv!D29=0,".",((Ir*F*MLF_asparagus*(1-EXP(-RadSpec!AZ29*t_b)))/(P*RadSpec!AZ29))),".")</f>
        <v>2.8239664502257315E-3</v>
      </c>
      <c r="AD29" s="108">
        <f>IFERROR(IF(d_Bv!E29=0,".",((Ir*F*MLF_beet*(1-EXP(-RadSpec!AZ29*t_b)))/(P*RadSpec!AZ29))),".")</f>
        <v>4.9330046852044422E-3</v>
      </c>
      <c r="AE29" s="108">
        <f>IFERROR(IF(d_Bv!F29=0,".",((Ir*F*MLF_berries*(1-EXP(-RadSpec!AZ29*t_b)))/(P*RadSpec!AZ29))),".")</f>
        <v>5.9339041865502712E-3</v>
      </c>
      <c r="AF29" s="108">
        <f>IFERROR(IF(d_Bv!G29=0,".",((Ir*F*MLF_broccoli*(1-EXP(-RadSpec!AZ29*t_b)))/(P*RadSpec!AZ29))),".")</f>
        <v>3.6103874869974538E-2</v>
      </c>
      <c r="AG29" s="108">
        <f>IFERROR(IF(d_Bv!H29=0,".",((Ir*F*MLF_cabbage*(1-EXP(-RadSpec!AZ29*t_b)))/(P*RadSpec!AZ29))),".")</f>
        <v>3.7533731300468582E-3</v>
      </c>
      <c r="AH29" s="108">
        <f>IFERROR(IF(d_Bv!I29=0,".",((Ir*F*MLF_carrot*(1-EXP(-RadSpec!AZ29*t_b)))/(P*RadSpec!AZ29))),".")</f>
        <v>3.4674018439480501E-3</v>
      </c>
      <c r="AI29" s="108">
        <f>IFERROR(IF(d_Bv!J29=0,".",((Ir*F*MLF_citrus*(1-EXP(-RadSpec!AZ29*t_b)))/(P*RadSpec!AZ29))),".")</f>
        <v>5.6121864896891112E-3</v>
      </c>
      <c r="AJ29" s="108">
        <f>IFERROR(IF(d_Bv!K29=0,".",((Ir*F*MLF_corn*(1-EXP(-RadSpec!AZ29*t_b)))/(P*RadSpec!AZ29))),".")</f>
        <v>5.1832295605408994E-3</v>
      </c>
      <c r="AK29" s="108">
        <f>IFERROR(IF(d_Bv!L29=0,".",((Ir*F*MLF_cucumber*(1-EXP(-RadSpec!AZ29*t_b)))/(P*RadSpec!AZ29))),".")</f>
        <v>1.4298564304940414E-3</v>
      </c>
      <c r="AL29" s="108">
        <f>IFERROR(IF(d_Bv!M29=0,".",((Ir*F*MLF_lettuce*(1-EXP(-RadSpec!AZ29*t_b)))/(P*RadSpec!AZ29))),".")</f>
        <v>0.48257654529173893</v>
      </c>
      <c r="AM29" s="108">
        <f>IFERROR(IF(d_Bv!N29=0,".",((Ir*F*MLF_lima_bean*(1-EXP(-RadSpec!AZ29*t_b)))/(P*RadSpec!AZ29))),".")</f>
        <v>0.13690875321980447</v>
      </c>
      <c r="AN29" s="108">
        <f>IFERROR(IF(d_Bv!O29=0,".",((Ir*F*MLF_okra*(1-EXP(-RadSpec!AZ29*t_b)))/(P*RadSpec!AZ29))),".")</f>
        <v>2.8597128609880828E-3</v>
      </c>
      <c r="AO29" s="108">
        <f>IFERROR(IF(d_Bv!P29=0,".",((Ir*F*MLF_onion*(1-EXP(-RadSpec!AZ29*t_b)))/(P*RadSpec!AZ29))),".")</f>
        <v>3.4674018439480501E-3</v>
      </c>
      <c r="AP29" s="108">
        <f>IFERROR(IF(d_Bv!Q29=0,".",((Ir*F*MLF_peach*(1-EXP(-RadSpec!AZ29*t_b)))/(P*RadSpec!AZ29))),".")</f>
        <v>5.361961614352654E-3</v>
      </c>
      <c r="AQ29" s="108">
        <f>IFERROR(IF(d_Bv!R29=0,".",((Ir*F*MLF_pear*(1-EXP(-RadSpec!AZ29*t_b)))/(P*RadSpec!AZ29))),".")</f>
        <v>5.7194257219761657E-3</v>
      </c>
      <c r="AR29" s="108">
        <f>IFERROR(IF(d_Bv!S29=0,".",((Ir*F*MLF_peas*(1-EXP(-RadSpec!AZ29*t_b)))/(P*RadSpec!AZ29))),".")</f>
        <v>6.3628611156984829E-3</v>
      </c>
      <c r="AS29" s="108">
        <f>IFERROR(IF(d_Bv!T29=0,".",((Ir*F*MLF_peppers*(1-EXP(-RadSpec!AZ29*t_b)))/(P*RadSpec!AZ29))),".")</f>
        <v>7.93570318924193E-2</v>
      </c>
      <c r="AT29" s="108">
        <f>IFERROR(IF(d_Bv!U29=0,".",((Ir*F*MLF_potato*(1-EXP(-RadSpec!AZ29*t_b)))/(P*RadSpec!AZ29))),".")</f>
        <v>7.5067462600937164E-3</v>
      </c>
      <c r="AU29" s="108">
        <f>IFERROR(IF(d_Bv!V29=0,".",((Ir*F*MLF_pumpkin*(1-EXP(-RadSpec!AZ29*t_b)))/(P*RadSpec!AZ29))),".")</f>
        <v>2.0732918242163598E-3</v>
      </c>
      <c r="AV29" s="108">
        <f>IFERROR(IF(d_Bv!W29=0,".",((Ir*F*MLF_snap_bean*(1-EXP(-RadSpec!AZ29*t_b)))/(P*RadSpec!AZ29))),".")</f>
        <v>0.17873205381175516</v>
      </c>
      <c r="AW29" s="108">
        <f>IFERROR(IF(d_Bv!X29=0,".",((Ir*F*MLF_strawberry*(1-EXP(-RadSpec!AZ29*t_b)))/(P*RadSpec!AZ29))),".")</f>
        <v>2.8597128609880828E-3</v>
      </c>
      <c r="AX29" s="108">
        <f>IFERROR(IF(d_Bv!Y29=0,".",((Ir*F*MLF_tomato*(1-EXP(-RadSpec!AZ29*t_b)))/(P*RadSpec!AZ29))),".")</f>
        <v>6.327114704936132E-2</v>
      </c>
      <c r="AY29" s="108">
        <f>IFERROR(IF(d_Bv!Z29=0,".",((Ir*F*MLF_rice*(1-EXP(-RadSpec!AZ29*t_b)))/(P*RadSpec!AZ29))),".")</f>
        <v>8.9366026905877582</v>
      </c>
      <c r="AZ29" s="108">
        <f>IFERROR(IF(d_Bv!AA29=0,".",((Ir*F*MLF_cereal*(1-EXP(-RadSpec!AZ29*t_b)))/(P*RadSpec!AZ29))),".")</f>
        <v>8.9366026905877582</v>
      </c>
      <c r="BA29" s="108">
        <f>IFERROR(IF(d_Bv!C29=0,".",((Ir*F*I_f*T*(1-EXP(-RadSpec!BA29*t_v)))/(Y_v*RadSpec!BA29))),".")</f>
        <v>3.6424203206347228</v>
      </c>
      <c r="BB29" s="108">
        <f>IFERROR(IF(d_Bv!D29=0,".",((Ir*F*I_f*T*(1-EXP(-RadSpec!BA29*t_v)))/(Y_v*RadSpec!BA29))),".")</f>
        <v>3.6424203206347228</v>
      </c>
      <c r="BC29" s="108">
        <f>IFERROR(IF(d_Bv!E29=0,".",((Ir*F*I_f*T*(1-EXP(-RadSpec!BA29*t_v)))/(Y_v*RadSpec!BA29))),".")</f>
        <v>3.6424203206347228</v>
      </c>
      <c r="BD29" s="108">
        <f>IFERROR(IF(d_Bv!F29=0,".",((Ir*F*I_f*T*(1-EXP(-RadSpec!BA29*t_v)))/(Y_v*RadSpec!BA29))),".")</f>
        <v>3.6424203206347228</v>
      </c>
      <c r="BE29" s="108">
        <f>IFERROR(IF(d_Bv!G29=0,".",((Ir*F*I_f*T*(1-EXP(-RadSpec!BA29*t_v)))/(Y_v*RadSpec!BA29))),".")</f>
        <v>3.6424203206347228</v>
      </c>
      <c r="BF29" s="108">
        <f>IFERROR(IF(d_Bv!H29=0,".",((Ir*F*I_f*T*(1-EXP(-RadSpec!BA29*t_v)))/(Y_v*RadSpec!BA29))),".")</f>
        <v>3.6424203206347228</v>
      </c>
      <c r="BG29" s="108">
        <f>IFERROR(IF(d_Bv!I29=0,".",((Ir*F*I_f*T*(1-EXP(-RadSpec!BA29*t_v)))/(Y_v*RadSpec!BA29))),".")</f>
        <v>3.6424203206347228</v>
      </c>
      <c r="BH29" s="108">
        <f>IFERROR(IF(d_Bv!J29=0,".",((Ir*F*I_f*T*(1-EXP(-RadSpec!BA29*t_v)))/(Y_v*RadSpec!BA29))),".")</f>
        <v>3.6424203206347228</v>
      </c>
      <c r="BI29" s="108">
        <f>IFERROR(IF(d_Bv!K29=0,".",((Ir*F*I_f*T*(1-EXP(-RadSpec!BA29*t_v)))/(Y_v*RadSpec!BA29))),".")</f>
        <v>3.6424203206347228</v>
      </c>
      <c r="BJ29" s="108">
        <f>IFERROR(IF(d_Bv!L29=0,".",((Ir*F*I_f*T*(1-EXP(-RadSpec!BA29*t_v)))/(Y_v*RadSpec!BA29))),".")</f>
        <v>3.6424203206347228</v>
      </c>
      <c r="BK29" s="108">
        <f>IFERROR(IF(d_Bv!M29=0,".",((Ir*F*I_f*T*(1-EXP(-RadSpec!BA29*t_v)))/(Y_v*RadSpec!BA29))),".")</f>
        <v>3.6424203206347228</v>
      </c>
      <c r="BL29" s="108">
        <f>IFERROR(IF(d_Bv!N29=0,".",((Ir*F*I_f*T*(1-EXP(-RadSpec!BA29*t_v)))/(Y_v*RadSpec!BA29))),".")</f>
        <v>3.6424203206347228</v>
      </c>
      <c r="BM29" s="108">
        <f>IFERROR(IF(d_Bv!O29=0,".",((Ir*F*I_f*T*(1-EXP(-RadSpec!BA29*t_v)))/(Y_v*RadSpec!BA29))),".")</f>
        <v>3.6424203206347228</v>
      </c>
      <c r="BN29" s="108">
        <f>IFERROR(IF(d_Bv!P29=0,".",((Ir*F*I_f*T*(1-EXP(-RadSpec!BA29*t_v)))/(Y_v*RadSpec!BA29))),".")</f>
        <v>3.6424203206347228</v>
      </c>
      <c r="BO29" s="108">
        <f>IFERROR(IF(d_Bv!Q29=0,".",((Ir*F*I_f*T*(1-EXP(-RadSpec!BA29*t_v)))/(Y_v*RadSpec!BA29))),".")</f>
        <v>3.6424203206347228</v>
      </c>
      <c r="BP29" s="108">
        <f>IFERROR(IF(d_Bv!R29=0,".",((Ir*F*I_f*T*(1-EXP(-RadSpec!BA29*t_v)))/(Y_v*RadSpec!BA29))),".")</f>
        <v>3.6424203206347228</v>
      </c>
      <c r="BQ29" s="108">
        <f>IFERROR(IF(d_Bv!S29=0,".",((Ir*F*I_f*T*(1-EXP(-RadSpec!BA29*t_v)))/(Y_v*RadSpec!BA29))),".")</f>
        <v>3.6424203206347228</v>
      </c>
      <c r="BR29" s="108">
        <f>IFERROR(IF(d_Bv!T29=0,".",((Ir*F*I_f*T*(1-EXP(-RadSpec!BA29*t_v)))/(Y_v*RadSpec!BA29))),".")</f>
        <v>3.6424203206347228</v>
      </c>
      <c r="BS29" s="108">
        <f>IFERROR(IF(d_Bv!U29=0,".",((Ir*F*I_f*T*(1-EXP(-RadSpec!BA29*t_v)))/(Y_v*RadSpec!BA29))),".")</f>
        <v>3.6424203206347228</v>
      </c>
      <c r="BT29" s="108">
        <f>IFERROR(IF(d_Bv!V29=0,".",((Ir*F*I_f*T*(1-EXP(-RadSpec!BA29*t_v)))/(Y_v*RadSpec!BA29))),".")</f>
        <v>3.6424203206347228</v>
      </c>
      <c r="BU29" s="108">
        <f>IFERROR(IF(d_Bv!W29=0,".",((Ir*F*I_f*T*(1-EXP(-RadSpec!BA29*t_v)))/(Y_v*RadSpec!BA29))),".")</f>
        <v>3.6424203206347228</v>
      </c>
      <c r="BV29" s="108">
        <f>IFERROR(IF(d_Bv!X29=0,".",((Ir*F*I_f*T*(1-EXP(-RadSpec!BA29*t_v)))/(Y_v*RadSpec!BA29))),".")</f>
        <v>3.6424203206347228</v>
      </c>
      <c r="BW29" s="108">
        <f>IFERROR(IF(d_Bv!Y29=0,".",((Ir*F*I_f*T*(1-EXP(-RadSpec!BA29*t_v)))/(Y_v*RadSpec!BA29))),".")</f>
        <v>3.6424203206347228</v>
      </c>
      <c r="BX29" s="108">
        <f>IFERROR(IF(d_Bv!Z29=0,".",((Ir*F*I_f*T*(1-EXP(-RadSpec!BA29*t_v)))/(Y_v*RadSpec!BA29))),".")</f>
        <v>3.6424203206347228</v>
      </c>
      <c r="BY29" s="108">
        <f>IFERROR(IF(d_Bv!AA29=0,".",((Ir*F*I_f*T*(1-EXP(-RadSpec!BA29*t_v)))/(Y_v*RadSpec!BA29))),".")</f>
        <v>3.6424203206347228</v>
      </c>
    </row>
    <row r="30" spans="1:77" x14ac:dyDescent="0.25">
      <c r="A30" s="44" t="s">
        <v>28</v>
      </c>
      <c r="B30" s="42" t="s">
        <v>1057</v>
      </c>
      <c r="C30" s="108">
        <f>IFERROR(IF(d_Bv!C30=0,".",((Ir*F*d_Bv!C30*(1-EXP(-RadSpec!AZ30*t_b)))/(P*RadSpec!AZ30))),".")</f>
        <v>3.5746410762351036E-2</v>
      </c>
      <c r="D30" s="108">
        <f>IFERROR(IF(d_Bv!D30=0,".",((Ir*F*d_Bv!D30*(1-EXP(-RadSpec!AZ30*t_b)))/(P*RadSpec!AZ30))),".")</f>
        <v>0.71492821524702066</v>
      </c>
      <c r="E30" s="108">
        <f>IFERROR(IF(d_Bv!E30=0,".",((Ir*F*d_Bv!E30*(1-EXP(-RadSpec!AZ30*t_b)))/(P*RadSpec!AZ30))),".")</f>
        <v>0.30026985040374859</v>
      </c>
      <c r="F30" s="108">
        <f>IFERROR(IF(d_Bv!F30=0,".",((Ir*F*d_Bv!F30*(1-EXP(-RadSpec!AZ30*t_b)))/(P*RadSpec!AZ30))),".")</f>
        <v>3.5746410762351036E-2</v>
      </c>
      <c r="G30" s="108">
        <f>IFERROR(IF(d_Bv!G30=0,".",((Ir*F*d_Bv!G30*(1-EXP(-RadSpec!AZ30*t_b)))/(P*RadSpec!AZ30))),".")</f>
        <v>0.53619616143526549</v>
      </c>
      <c r="H30" s="108">
        <f>IFERROR(IF(d_Bv!H30=0,".",((Ir*F*d_Bv!H30*(1-EXP(-RadSpec!AZ30*t_b)))/(P*RadSpec!AZ30))),".")</f>
        <v>0.71492821524702066</v>
      </c>
      <c r="I30" s="108">
        <f>IFERROR(IF(d_Bv!I30=0,".",((Ir*F*d_Bv!I30*(1-EXP(-RadSpec!AZ30*t_b)))/(P*RadSpec!AZ30))),".")</f>
        <v>0.30026985040374859</v>
      </c>
      <c r="J30" s="108">
        <f>IFERROR(IF(d_Bv!J30=0,".",((Ir*F*d_Bv!J30*(1-EXP(-RadSpec!AZ30*t_b)))/(P*RadSpec!AZ30))),".")</f>
        <v>3.5746410762351036E-2</v>
      </c>
      <c r="K30" s="108">
        <f>IFERROR(IF(d_Bv!K30=0,".",((Ir*F*d_Bv!K30*(1-EXP(-RadSpec!AZ30*t_b)))/(P*RadSpec!AZ30))),".")</f>
        <v>0.53619616143526549</v>
      </c>
      <c r="L30" s="108">
        <f>IFERROR(IF(d_Bv!L30=0,".",((Ir*F*d_Bv!L30*(1-EXP(-RadSpec!AZ30*t_b)))/(P*RadSpec!AZ30))),".")</f>
        <v>0.53619616143526549</v>
      </c>
      <c r="M30" s="108">
        <f>IFERROR(IF(d_Bv!M30=0,".",((Ir*F*d_Bv!M30*(1-EXP(-RadSpec!AZ30*t_b)))/(P*RadSpec!AZ30))),".")</f>
        <v>0.71492821524702066</v>
      </c>
      <c r="N30" s="108">
        <f>IFERROR(IF(d_Bv!N30=0,".",((Ir*F*d_Bv!N30*(1-EXP(-RadSpec!AZ30*t_b)))/(P*RadSpec!AZ30))),".")</f>
        <v>7.8642103677172268E-2</v>
      </c>
      <c r="O30" s="108">
        <f>IFERROR(IF(d_Bv!O30=0,".",((Ir*F*d_Bv!O30*(1-EXP(-RadSpec!AZ30*t_b)))/(P*RadSpec!AZ30))),".")</f>
        <v>0.53619616143526549</v>
      </c>
      <c r="P30" s="108">
        <f>IFERROR(IF(d_Bv!P30=0,".",((Ir*F*d_Bv!P30*(1-EXP(-RadSpec!AZ30*t_b)))/(P*RadSpec!AZ30))),".")</f>
        <v>0.30026985040374859</v>
      </c>
      <c r="Q30" s="108">
        <f>IFERROR(IF(d_Bv!Q30=0,".",((Ir*F*d_Bv!Q30*(1-EXP(-RadSpec!AZ30*t_b)))/(P*RadSpec!AZ30))),".")</f>
        <v>3.5746410762351036E-2</v>
      </c>
      <c r="R30" s="108">
        <f>IFERROR(IF(d_Bv!R30=0,".",((Ir*F*d_Bv!R30*(1-EXP(-RadSpec!AZ30*t_b)))/(P*RadSpec!AZ30))),".")</f>
        <v>3.5746410762351036E-2</v>
      </c>
      <c r="S30" s="108">
        <f>IFERROR(IF(d_Bv!S30=0,".",((Ir*F*d_Bv!S30*(1-EXP(-RadSpec!AZ30*t_b)))/(P*RadSpec!AZ30))),".")</f>
        <v>7.8642103677172268E-2</v>
      </c>
      <c r="T30" s="202">
        <f>IFERROR(IF(d_Bv!T30=0,".",((Ir*F*d_Bv!T30*(1-EXP(-RadSpec!AZ30*t_b)))/(P*RadSpec!AZ30))),".")</f>
        <v>0.53619616143526549</v>
      </c>
      <c r="U30" s="108">
        <f>IFERROR(IF(d_Bv!U30=0,".",((Ir*F*d_Bv!U30*(1-EXP(-RadSpec!AZ30*t_b)))/(P*RadSpec!AZ30))),".")</f>
        <v>0.17873205381175516</v>
      </c>
      <c r="V30" s="108">
        <f>IFERROR(IF(d_Bv!V30=0,".",((Ir*F*d_Bv!V30*(1-EXP(-RadSpec!AZ30*t_b)))/(P*RadSpec!AZ30))),".")</f>
        <v>0.53619616143526549</v>
      </c>
      <c r="W30" s="108">
        <f>IFERROR(IF(d_Bv!W30=0,".",((Ir*F*d_Bv!W30*(1-EXP(-RadSpec!AZ30*t_b)))/(P*RadSpec!AZ30))),".")</f>
        <v>7.8642103677172268E-2</v>
      </c>
      <c r="X30" s="108">
        <f>IFERROR(IF(d_Bv!X30=0,".",((Ir*F*d_Bv!X30*(1-EXP(-RadSpec!AZ30*t_b)))/(P*RadSpec!AZ30))),".")</f>
        <v>3.5746410762351036E-2</v>
      </c>
      <c r="Y30" s="108">
        <f>IFERROR(IF(d_Bv!Y30=0,".",((Ir*F*d_Bv!Y30*(1-EXP(-RadSpec!AZ30*t_b)))/(P*RadSpec!AZ30))),".")</f>
        <v>0.53619616143526549</v>
      </c>
      <c r="Z30" s="108">
        <f>IFERROR(IF(d_Bv!Z30=0,".",((Ir*F*d_Bv!Z30*(1-EXP(-RadSpec!AZ30*t_b)))/(P*RadSpec!AZ30))),".")</f>
        <v>8.6863778152513008E-3</v>
      </c>
      <c r="AA30" s="108">
        <f>IFERROR(IF(d_Bv!AA30=0,".",((Ir*F*d_Bv!AA30*(1-EXP(-RadSpec!AZ30*t_b)))/(P*RadSpec!AZ30))),".")</f>
        <v>0.22162774672657637</v>
      </c>
      <c r="AB30" s="108">
        <f>IFERROR(IF(d_Bv!C30=0,".",((Ir*F*MLF_apple*(1-EXP(-RadSpec!AZ30*t_b)))/(P*RadSpec!AZ30))),".")</f>
        <v>5.7194257219761657E-3</v>
      </c>
      <c r="AC30" s="108">
        <f>IFERROR(IF(d_Bv!D30=0,".",((Ir*F*MLF_asparagus*(1-EXP(-RadSpec!AZ30*t_b)))/(P*RadSpec!AZ30))),".")</f>
        <v>2.8239664502257315E-3</v>
      </c>
      <c r="AD30" s="108">
        <f>IFERROR(IF(d_Bv!E30=0,".",((Ir*F*MLF_beet*(1-EXP(-RadSpec!AZ30*t_b)))/(P*RadSpec!AZ30))),".")</f>
        <v>4.9330046852044422E-3</v>
      </c>
      <c r="AE30" s="108">
        <f>IFERROR(IF(d_Bv!F30=0,".",((Ir*F*MLF_berries*(1-EXP(-RadSpec!AZ30*t_b)))/(P*RadSpec!AZ30))),".")</f>
        <v>5.9339041865502712E-3</v>
      </c>
      <c r="AF30" s="108">
        <f>IFERROR(IF(d_Bv!G30=0,".",((Ir*F*MLF_broccoli*(1-EXP(-RadSpec!AZ30*t_b)))/(P*RadSpec!AZ30))),".")</f>
        <v>3.6103874869974538E-2</v>
      </c>
      <c r="AG30" s="108">
        <f>IFERROR(IF(d_Bv!H30=0,".",((Ir*F*MLF_cabbage*(1-EXP(-RadSpec!AZ30*t_b)))/(P*RadSpec!AZ30))),".")</f>
        <v>3.7533731300468582E-3</v>
      </c>
      <c r="AH30" s="108">
        <f>IFERROR(IF(d_Bv!I30=0,".",((Ir*F*MLF_carrot*(1-EXP(-RadSpec!AZ30*t_b)))/(P*RadSpec!AZ30))),".")</f>
        <v>3.4674018439480501E-3</v>
      </c>
      <c r="AI30" s="108">
        <f>IFERROR(IF(d_Bv!J30=0,".",((Ir*F*MLF_citrus*(1-EXP(-RadSpec!AZ30*t_b)))/(P*RadSpec!AZ30))),".")</f>
        <v>5.6121864896891112E-3</v>
      </c>
      <c r="AJ30" s="108">
        <f>IFERROR(IF(d_Bv!K30=0,".",((Ir*F*MLF_corn*(1-EXP(-RadSpec!AZ30*t_b)))/(P*RadSpec!AZ30))),".")</f>
        <v>5.1832295605408994E-3</v>
      </c>
      <c r="AK30" s="108">
        <f>IFERROR(IF(d_Bv!L30=0,".",((Ir*F*MLF_cucumber*(1-EXP(-RadSpec!AZ30*t_b)))/(P*RadSpec!AZ30))),".")</f>
        <v>1.4298564304940414E-3</v>
      </c>
      <c r="AL30" s="108">
        <f>IFERROR(IF(d_Bv!M30=0,".",((Ir*F*MLF_lettuce*(1-EXP(-RadSpec!AZ30*t_b)))/(P*RadSpec!AZ30))),".")</f>
        <v>0.48257654529173893</v>
      </c>
      <c r="AM30" s="108">
        <f>IFERROR(IF(d_Bv!N30=0,".",((Ir*F*MLF_lima_bean*(1-EXP(-RadSpec!AZ30*t_b)))/(P*RadSpec!AZ30))),".")</f>
        <v>0.13690875321980447</v>
      </c>
      <c r="AN30" s="108">
        <f>IFERROR(IF(d_Bv!O30=0,".",((Ir*F*MLF_okra*(1-EXP(-RadSpec!AZ30*t_b)))/(P*RadSpec!AZ30))),".")</f>
        <v>2.8597128609880828E-3</v>
      </c>
      <c r="AO30" s="108">
        <f>IFERROR(IF(d_Bv!P30=0,".",((Ir*F*MLF_onion*(1-EXP(-RadSpec!AZ30*t_b)))/(P*RadSpec!AZ30))),".")</f>
        <v>3.4674018439480501E-3</v>
      </c>
      <c r="AP30" s="108">
        <f>IFERROR(IF(d_Bv!Q30=0,".",((Ir*F*MLF_peach*(1-EXP(-RadSpec!AZ30*t_b)))/(P*RadSpec!AZ30))),".")</f>
        <v>5.361961614352654E-3</v>
      </c>
      <c r="AQ30" s="108">
        <f>IFERROR(IF(d_Bv!R30=0,".",((Ir*F*MLF_pear*(1-EXP(-RadSpec!AZ30*t_b)))/(P*RadSpec!AZ30))),".")</f>
        <v>5.7194257219761657E-3</v>
      </c>
      <c r="AR30" s="108">
        <f>IFERROR(IF(d_Bv!S30=0,".",((Ir*F*MLF_peas*(1-EXP(-RadSpec!AZ30*t_b)))/(P*RadSpec!AZ30))),".")</f>
        <v>6.3628611156984829E-3</v>
      </c>
      <c r="AS30" s="108">
        <f>IFERROR(IF(d_Bv!T30=0,".",((Ir*F*MLF_peppers*(1-EXP(-RadSpec!AZ30*t_b)))/(P*RadSpec!AZ30))),".")</f>
        <v>7.93570318924193E-2</v>
      </c>
      <c r="AT30" s="108">
        <f>IFERROR(IF(d_Bv!U30=0,".",((Ir*F*MLF_potato*(1-EXP(-RadSpec!AZ30*t_b)))/(P*RadSpec!AZ30))),".")</f>
        <v>7.5067462600937164E-3</v>
      </c>
      <c r="AU30" s="108">
        <f>IFERROR(IF(d_Bv!V30=0,".",((Ir*F*MLF_pumpkin*(1-EXP(-RadSpec!AZ30*t_b)))/(P*RadSpec!AZ30))),".")</f>
        <v>2.0732918242163598E-3</v>
      </c>
      <c r="AV30" s="108">
        <f>IFERROR(IF(d_Bv!W30=0,".",((Ir*F*MLF_snap_bean*(1-EXP(-RadSpec!AZ30*t_b)))/(P*RadSpec!AZ30))),".")</f>
        <v>0.17873205381175516</v>
      </c>
      <c r="AW30" s="108">
        <f>IFERROR(IF(d_Bv!X30=0,".",((Ir*F*MLF_strawberry*(1-EXP(-RadSpec!AZ30*t_b)))/(P*RadSpec!AZ30))),".")</f>
        <v>2.8597128609880828E-3</v>
      </c>
      <c r="AX30" s="108">
        <f>IFERROR(IF(d_Bv!Y30=0,".",((Ir*F*MLF_tomato*(1-EXP(-RadSpec!AZ30*t_b)))/(P*RadSpec!AZ30))),".")</f>
        <v>6.327114704936132E-2</v>
      </c>
      <c r="AY30" s="108">
        <f>IFERROR(IF(d_Bv!Z30=0,".",((Ir*F*MLF_rice*(1-EXP(-RadSpec!AZ30*t_b)))/(P*RadSpec!AZ30))),".")</f>
        <v>8.9366026905877582</v>
      </c>
      <c r="AZ30" s="108">
        <f>IFERROR(IF(d_Bv!AA30=0,".",((Ir*F*MLF_cereal*(1-EXP(-RadSpec!AZ30*t_b)))/(P*RadSpec!AZ30))),".")</f>
        <v>8.9366026905877582</v>
      </c>
      <c r="BA30" s="108">
        <f>IFERROR(IF(d_Bv!C30=0,".",((Ir*F*I_f*T*(1-EXP(-RadSpec!BA30*t_v)))/(Y_v*RadSpec!BA30))),".")</f>
        <v>3.6424203206347228</v>
      </c>
      <c r="BB30" s="108">
        <f>IFERROR(IF(d_Bv!D30=0,".",((Ir*F*I_f*T*(1-EXP(-RadSpec!BA30*t_v)))/(Y_v*RadSpec!BA30))),".")</f>
        <v>3.6424203206347228</v>
      </c>
      <c r="BC30" s="108">
        <f>IFERROR(IF(d_Bv!E30=0,".",((Ir*F*I_f*T*(1-EXP(-RadSpec!BA30*t_v)))/(Y_v*RadSpec!BA30))),".")</f>
        <v>3.6424203206347228</v>
      </c>
      <c r="BD30" s="108">
        <f>IFERROR(IF(d_Bv!F30=0,".",((Ir*F*I_f*T*(1-EXP(-RadSpec!BA30*t_v)))/(Y_v*RadSpec!BA30))),".")</f>
        <v>3.6424203206347228</v>
      </c>
      <c r="BE30" s="108">
        <f>IFERROR(IF(d_Bv!G30=0,".",((Ir*F*I_f*T*(1-EXP(-RadSpec!BA30*t_v)))/(Y_v*RadSpec!BA30))),".")</f>
        <v>3.6424203206347228</v>
      </c>
      <c r="BF30" s="108">
        <f>IFERROR(IF(d_Bv!H30=0,".",((Ir*F*I_f*T*(1-EXP(-RadSpec!BA30*t_v)))/(Y_v*RadSpec!BA30))),".")</f>
        <v>3.6424203206347228</v>
      </c>
      <c r="BG30" s="108">
        <f>IFERROR(IF(d_Bv!I30=0,".",((Ir*F*I_f*T*(1-EXP(-RadSpec!BA30*t_v)))/(Y_v*RadSpec!BA30))),".")</f>
        <v>3.6424203206347228</v>
      </c>
      <c r="BH30" s="108">
        <f>IFERROR(IF(d_Bv!J30=0,".",((Ir*F*I_f*T*(1-EXP(-RadSpec!BA30*t_v)))/(Y_v*RadSpec!BA30))),".")</f>
        <v>3.6424203206347228</v>
      </c>
      <c r="BI30" s="108">
        <f>IFERROR(IF(d_Bv!K30=0,".",((Ir*F*I_f*T*(1-EXP(-RadSpec!BA30*t_v)))/(Y_v*RadSpec!BA30))),".")</f>
        <v>3.6424203206347228</v>
      </c>
      <c r="BJ30" s="108">
        <f>IFERROR(IF(d_Bv!L30=0,".",((Ir*F*I_f*T*(1-EXP(-RadSpec!BA30*t_v)))/(Y_v*RadSpec!BA30))),".")</f>
        <v>3.6424203206347228</v>
      </c>
      <c r="BK30" s="108">
        <f>IFERROR(IF(d_Bv!M30=0,".",((Ir*F*I_f*T*(1-EXP(-RadSpec!BA30*t_v)))/(Y_v*RadSpec!BA30))),".")</f>
        <v>3.6424203206347228</v>
      </c>
      <c r="BL30" s="108">
        <f>IFERROR(IF(d_Bv!N30=0,".",((Ir*F*I_f*T*(1-EXP(-RadSpec!BA30*t_v)))/(Y_v*RadSpec!BA30))),".")</f>
        <v>3.6424203206347228</v>
      </c>
      <c r="BM30" s="108">
        <f>IFERROR(IF(d_Bv!O30=0,".",((Ir*F*I_f*T*(1-EXP(-RadSpec!BA30*t_v)))/(Y_v*RadSpec!BA30))),".")</f>
        <v>3.6424203206347228</v>
      </c>
      <c r="BN30" s="108">
        <f>IFERROR(IF(d_Bv!P30=0,".",((Ir*F*I_f*T*(1-EXP(-RadSpec!BA30*t_v)))/(Y_v*RadSpec!BA30))),".")</f>
        <v>3.6424203206347228</v>
      </c>
      <c r="BO30" s="108">
        <f>IFERROR(IF(d_Bv!Q30=0,".",((Ir*F*I_f*T*(1-EXP(-RadSpec!BA30*t_v)))/(Y_v*RadSpec!BA30))),".")</f>
        <v>3.6424203206347228</v>
      </c>
      <c r="BP30" s="108">
        <f>IFERROR(IF(d_Bv!R30=0,".",((Ir*F*I_f*T*(1-EXP(-RadSpec!BA30*t_v)))/(Y_v*RadSpec!BA30))),".")</f>
        <v>3.6424203206347228</v>
      </c>
      <c r="BQ30" s="108">
        <f>IFERROR(IF(d_Bv!S30=0,".",((Ir*F*I_f*T*(1-EXP(-RadSpec!BA30*t_v)))/(Y_v*RadSpec!BA30))),".")</f>
        <v>3.6424203206347228</v>
      </c>
      <c r="BR30" s="108">
        <f>IFERROR(IF(d_Bv!T30=0,".",((Ir*F*I_f*T*(1-EXP(-RadSpec!BA30*t_v)))/(Y_v*RadSpec!BA30))),".")</f>
        <v>3.6424203206347228</v>
      </c>
      <c r="BS30" s="108">
        <f>IFERROR(IF(d_Bv!U30=0,".",((Ir*F*I_f*T*(1-EXP(-RadSpec!BA30*t_v)))/(Y_v*RadSpec!BA30))),".")</f>
        <v>3.6424203206347228</v>
      </c>
      <c r="BT30" s="108">
        <f>IFERROR(IF(d_Bv!V30=0,".",((Ir*F*I_f*T*(1-EXP(-RadSpec!BA30*t_v)))/(Y_v*RadSpec!BA30))),".")</f>
        <v>3.6424203206347228</v>
      </c>
      <c r="BU30" s="108">
        <f>IFERROR(IF(d_Bv!W30=0,".",((Ir*F*I_f*T*(1-EXP(-RadSpec!BA30*t_v)))/(Y_v*RadSpec!BA30))),".")</f>
        <v>3.6424203206347228</v>
      </c>
      <c r="BV30" s="108">
        <f>IFERROR(IF(d_Bv!X30=0,".",((Ir*F*I_f*T*(1-EXP(-RadSpec!BA30*t_v)))/(Y_v*RadSpec!BA30))),".")</f>
        <v>3.6424203206347228</v>
      </c>
      <c r="BW30" s="108">
        <f>IFERROR(IF(d_Bv!Y30=0,".",((Ir*F*I_f*T*(1-EXP(-RadSpec!BA30*t_v)))/(Y_v*RadSpec!BA30))),".")</f>
        <v>3.6424203206347228</v>
      </c>
      <c r="BX30" s="108">
        <f>IFERROR(IF(d_Bv!Z30=0,".",((Ir*F*I_f*T*(1-EXP(-RadSpec!BA30*t_v)))/(Y_v*RadSpec!BA30))),".")</f>
        <v>3.6424203206347228</v>
      </c>
      <c r="BY30" s="108">
        <f>IFERROR(IF(d_Bv!AA30=0,".",((Ir*F*I_f*T*(1-EXP(-RadSpec!BA30*t_v)))/(Y_v*RadSpec!BA30))),".")</f>
        <v>3.6424203206347228</v>
      </c>
    </row>
  </sheetData>
  <sheetProtection algorithmName="SHA-512" hashValue="EzoPihO39gBdGYZ47G92cn+mb8lg33bil8tIz36uh1kJrHMkRhJafTJcqrJpcVeFExy5lYVlbvqhy9tFDsr+7A==" saltValue="ppnBUgUAanS/SF8S0jcH3A==" spinCount="100000" sheet="1" formatColumns="0" formatRows="0" autoFilter="0"/>
  <autoFilter ref="A1:BY30" xr:uid="{BCB2813E-7C2A-4EA1-A4A1-27D0CB95114D}"/>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5.42578125" style="69" bestFit="1" customWidth="1"/>
    <col min="2" max="2" width="13.28515625" style="69" bestFit="1" customWidth="1"/>
    <col min="3" max="3" width="18.5703125" style="69" bestFit="1" customWidth="1"/>
    <col min="4" max="4" width="12.140625" style="71" bestFit="1" customWidth="1"/>
    <col min="5" max="5" width="12.42578125" style="71" bestFit="1" customWidth="1"/>
    <col min="6" max="6" width="11.140625" style="71" bestFit="1" customWidth="1"/>
    <col min="7" max="7" width="11.85546875" style="71" bestFit="1" customWidth="1"/>
    <col min="8" max="8" width="11.28515625" style="71" bestFit="1" customWidth="1"/>
    <col min="9" max="9" width="11.5703125" style="71" bestFit="1" customWidth="1"/>
    <col min="10" max="10" width="11" style="71" bestFit="1" customWidth="1"/>
    <col min="11" max="11" width="12.42578125" style="71" bestFit="1" customWidth="1"/>
    <col min="12" max="12" width="11.28515625" style="71" bestFit="1" customWidth="1"/>
    <col min="13" max="13" width="13" style="71" bestFit="1" customWidth="1"/>
    <col min="14" max="14" width="10.140625" style="71" bestFit="1" customWidth="1"/>
    <col min="15" max="16" width="11.28515625" style="71" bestFit="1" customWidth="1"/>
    <col min="17" max="17" width="12.42578125" style="71" bestFit="1" customWidth="1"/>
    <col min="18" max="18" width="12.5703125" style="71" bestFit="1" customWidth="1"/>
    <col min="19" max="19" width="11.28515625" style="71" bestFit="1" customWidth="1"/>
    <col min="20" max="20" width="10.42578125" style="71" bestFit="1" customWidth="1"/>
    <col min="21" max="21" width="10.42578125" style="71" customWidth="1"/>
    <col min="22" max="22" width="11.85546875" style="71" bestFit="1" customWidth="1"/>
    <col min="23" max="23" width="12.140625" style="71" bestFit="1" customWidth="1"/>
    <col min="24" max="24" width="11.5703125" style="71" bestFit="1" customWidth="1"/>
    <col min="25" max="25" width="12.140625" style="71" bestFit="1" customWidth="1"/>
    <col min="26" max="27" width="10.5703125" style="71" bestFit="1" customWidth="1"/>
    <col min="28" max="28" width="12.7109375" style="71" bestFit="1" customWidth="1"/>
    <col min="29" max="29" width="18.42578125" style="71" bestFit="1" customWidth="1"/>
    <col min="30" max="30" width="12" style="71" bestFit="1" customWidth="1"/>
    <col min="31" max="31" width="12.140625" style="71" bestFit="1" customWidth="1"/>
    <col min="32" max="32" width="10.85546875" style="71" bestFit="1" customWidth="1"/>
    <col min="33" max="33" width="11.7109375" style="71" bestFit="1" customWidth="1"/>
    <col min="34" max="34" width="11.140625" style="71" bestFit="1" customWidth="1"/>
    <col min="35" max="35" width="11.42578125" style="71" bestFit="1" customWidth="1"/>
    <col min="36" max="36" width="10.7109375" style="71" bestFit="1" customWidth="1"/>
    <col min="37" max="37" width="12.140625" style="71" bestFit="1" customWidth="1"/>
    <col min="38" max="38" width="11.140625" style="71" bestFit="1" customWidth="1"/>
    <col min="39" max="39" width="12.85546875" style="71" bestFit="1" customWidth="1"/>
    <col min="40" max="40" width="10" style="71" bestFit="1" customWidth="1"/>
    <col min="41" max="42" width="11.140625" style="71" bestFit="1" customWidth="1"/>
    <col min="43" max="43" width="12.140625" style="71" bestFit="1" customWidth="1"/>
    <col min="44" max="44" width="12.42578125" style="71" bestFit="1" customWidth="1"/>
    <col min="45" max="45" width="11.140625" style="71" bestFit="1" customWidth="1"/>
    <col min="46" max="46" width="10.28515625" style="71" bestFit="1" customWidth="1"/>
    <col min="47" max="47" width="10.28515625" style="71" customWidth="1"/>
    <col min="48" max="48" width="11.7109375" style="71" bestFit="1" customWidth="1"/>
    <col min="49" max="49" width="12" style="71" bestFit="1" customWidth="1"/>
    <col min="50" max="50" width="11.42578125" style="71" bestFit="1" customWidth="1"/>
    <col min="51" max="51" width="12" style="71" bestFit="1" customWidth="1"/>
    <col min="52" max="53" width="10.42578125" style="71" bestFit="1" customWidth="1"/>
    <col min="54" max="54" width="11.7109375" style="71" bestFit="1" customWidth="1"/>
    <col min="55" max="16384" width="9" style="71"/>
  </cols>
  <sheetData>
    <row r="1" spans="1:54" x14ac:dyDescent="0.25">
      <c r="A1" s="81" t="s">
        <v>39</v>
      </c>
      <c r="B1" s="82" t="s">
        <v>334</v>
      </c>
      <c r="C1" s="84" t="s">
        <v>552</v>
      </c>
      <c r="D1" s="84" t="s">
        <v>553</v>
      </c>
      <c r="E1" s="84" t="s">
        <v>557</v>
      </c>
      <c r="F1" s="84" t="s">
        <v>554</v>
      </c>
      <c r="G1" s="84" t="s">
        <v>555</v>
      </c>
      <c r="H1" s="84" t="s">
        <v>556</v>
      </c>
      <c r="I1" s="84" t="s">
        <v>558</v>
      </c>
      <c r="J1" s="84" t="s">
        <v>559</v>
      </c>
      <c r="K1" s="84" t="s">
        <v>560</v>
      </c>
      <c r="L1" s="84" t="s">
        <v>561</v>
      </c>
      <c r="M1" s="84" t="s">
        <v>562</v>
      </c>
      <c r="N1" s="84" t="s">
        <v>563</v>
      </c>
      <c r="O1" s="84" t="s">
        <v>564</v>
      </c>
      <c r="P1" s="84" t="s">
        <v>565</v>
      </c>
      <c r="Q1" s="84" t="s">
        <v>566</v>
      </c>
      <c r="R1" s="84" t="s">
        <v>567</v>
      </c>
      <c r="S1" s="84" t="s">
        <v>568</v>
      </c>
      <c r="T1" s="84" t="s">
        <v>569</v>
      </c>
      <c r="U1" s="84" t="s">
        <v>1270</v>
      </c>
      <c r="V1" s="84" t="s">
        <v>570</v>
      </c>
      <c r="W1" s="84" t="s">
        <v>571</v>
      </c>
      <c r="X1" s="84" t="s">
        <v>572</v>
      </c>
      <c r="Y1" s="84" t="s">
        <v>573</v>
      </c>
      <c r="Z1" s="84" t="s">
        <v>574</v>
      </c>
      <c r="AA1" s="84" t="s">
        <v>575</v>
      </c>
      <c r="AB1" s="84" t="s">
        <v>624</v>
      </c>
      <c r="AC1" s="84" t="s">
        <v>551</v>
      </c>
      <c r="AD1" s="84" t="s">
        <v>576</v>
      </c>
      <c r="AE1" s="84" t="s">
        <v>577</v>
      </c>
      <c r="AF1" s="84" t="s">
        <v>578</v>
      </c>
      <c r="AG1" s="84" t="s">
        <v>579</v>
      </c>
      <c r="AH1" s="84" t="s">
        <v>580</v>
      </c>
      <c r="AI1" s="84" t="s">
        <v>581</v>
      </c>
      <c r="AJ1" s="84" t="s">
        <v>582</v>
      </c>
      <c r="AK1" s="84" t="s">
        <v>583</v>
      </c>
      <c r="AL1" s="84" t="s">
        <v>584</v>
      </c>
      <c r="AM1" s="84" t="s">
        <v>585</v>
      </c>
      <c r="AN1" s="84" t="s">
        <v>586</v>
      </c>
      <c r="AO1" s="84" t="s">
        <v>587</v>
      </c>
      <c r="AP1" s="84" t="s">
        <v>588</v>
      </c>
      <c r="AQ1" s="84" t="s">
        <v>589</v>
      </c>
      <c r="AR1" s="84" t="s">
        <v>590</v>
      </c>
      <c r="AS1" s="84" t="s">
        <v>591</v>
      </c>
      <c r="AT1" s="84" t="s">
        <v>592</v>
      </c>
      <c r="AU1" s="84" t="s">
        <v>1286</v>
      </c>
      <c r="AV1" s="84" t="s">
        <v>593</v>
      </c>
      <c r="AW1" s="84" t="s">
        <v>594</v>
      </c>
      <c r="AX1" s="84" t="s">
        <v>595</v>
      </c>
      <c r="AY1" s="84" t="s">
        <v>596</v>
      </c>
      <c r="AZ1" s="84" t="s">
        <v>597</v>
      </c>
      <c r="BA1" s="84" t="s">
        <v>598</v>
      </c>
      <c r="BB1" s="84" t="s">
        <v>599</v>
      </c>
    </row>
    <row r="2" spans="1:54" x14ac:dyDescent="0.25">
      <c r="A2" s="86" t="s">
        <v>0</v>
      </c>
      <c r="B2" s="84" t="s">
        <v>1057</v>
      </c>
      <c r="C2" s="2">
        <f>IFERROR(1/SUM(1/D2,1/E2,1/F2,1/G2,1/H2,1/I2,1/J2,1/K2,1/L2,1/M2,1/N2,1/O2,1/P2,1/Q2,1/R2,1/S2,1/T2,1/U2,1/V2,1/W2,1/X2,1/Y2,1/Z2),".")</f>
        <v>1.1087981003759859E-2</v>
      </c>
      <c r="D2" s="70">
        <f>IFERROR(DL/(RadSpec!F2*IFAP_res_adj*CF_apple),".")</f>
        <v>0.20098325851753471</v>
      </c>
      <c r="E2" s="70">
        <f>IFERROR(DL/(RadSpec!F2*IFAS_res_adj*CF_asparagus),".")</f>
        <v>0.43924653776621803</v>
      </c>
      <c r="F2" s="70">
        <f>IFERROR(DL/(RadSpec!F2*IFBT_res_adj*CF_beet),".")</f>
        <v>0.52981315919598304</v>
      </c>
      <c r="G2" s="70">
        <f>IFERROR(DL/(RadSpec!F2*IFBE_res_adj*CF_berries),".")</f>
        <v>0.45193857118070563</v>
      </c>
      <c r="H2" s="70">
        <f>IFERROR(DL/(RadSpec!F2*IFBR_res_adj*CF_broccoli),".")</f>
        <v>0.55672233778792857</v>
      </c>
      <c r="I2" s="70">
        <f>IFERROR(DL/(RadSpec!F2*IFCB_res_adj*CF_cabbage),".")</f>
        <v>0.2163630826112404</v>
      </c>
      <c r="J2" s="70">
        <f>IFERROR(DL/(RadSpec!F2*IFCR_res_adj*CF_carrot),".")</f>
        <v>0.61006665236235236</v>
      </c>
      <c r="K2" s="70">
        <f>IFERROR(DL/(RadSpec!F2*IFCI_res_adj*CF_citrus),".")</f>
        <v>5.2101674825674106E-2</v>
      </c>
      <c r="L2" s="70">
        <f>IFERROR(DL/(RadSpec!F2*IFCO_res_adj*CF_corn),".")</f>
        <v>0.28564196402541409</v>
      </c>
      <c r="M2" s="70">
        <f>IFERROR(DL/(RadSpec!F2*IFCU_res_adj*CF_cucumber),".")</f>
        <v>0.21396448309529106</v>
      </c>
      <c r="N2" s="70">
        <f>IFERROR(DL/(RadSpec!F2*IFLE_res_adj*CF_lettuce),".")</f>
        <v>0.50841338523031754</v>
      </c>
      <c r="O2" s="70">
        <f>IFERROR(DL/(RadSpec!F2*IFLI_res_adj*CF_lima_bean),".")</f>
        <v>0.47379370152018924</v>
      </c>
      <c r="P2" s="70">
        <f>IFERROR(DL/(RadSpec!F2*IFOK_res_adj*CF_okra),".")</f>
        <v>0.57742796716752665</v>
      </c>
      <c r="Q2" s="70">
        <f>IFERROR(DL/(RadSpec!F2*IFON_res_adj*CF_onion),".")</f>
        <v>0.82429841003090976</v>
      </c>
      <c r="R2" s="70">
        <f>IFERROR(DL/(RadSpec!F2*IFPC_res_adj*CF_peach),".")</f>
        <v>0.12902375252740556</v>
      </c>
      <c r="S2" s="70">
        <f>IFERROR(DL/(RadSpec!F2*IFPR_res_adj*CF_pear),".")</f>
        <v>0.2632863125318507</v>
      </c>
      <c r="T2" s="70">
        <f>IFERROR(DL/(RadSpec!F2*IFPE_res_adj*CF_peas),".")</f>
        <v>0.45927687944735773</v>
      </c>
      <c r="U2" s="70">
        <f>IFERROR(DL/(RadSpec!F2*IFPP_res_adj*CF_peppers),".")</f>
        <v>0.91912556775856913</v>
      </c>
      <c r="V2" s="70">
        <f>IFERROR(DL/(RadSpec!F2*IFPT_res_adj*CF_potato),".")</f>
        <v>0.13510393119342687</v>
      </c>
      <c r="W2" s="70">
        <f>IFERROR(DL/(RadSpec!F2*IFPU_res_adj*CF_pumpkin),".")</f>
        <v>0.27458728906796709</v>
      </c>
      <c r="X2" s="70">
        <f>IFERROR(DL/(RadSpec!F2*IFSN_res_adj*CF_snap_bean),".")</f>
        <v>0.30801779744390645</v>
      </c>
      <c r="Y2" s="70">
        <f>IFERROR(DL/(RadSpec!F2*IFST_res_adj*CF_strawberry),".")</f>
        <v>0.39281754650473977</v>
      </c>
      <c r="Z2" s="70">
        <f>IFERROR(DL/(RadSpec!F2*IFTO_res_adj*CF_tomato),".")</f>
        <v>0.21105583602032188</v>
      </c>
      <c r="AA2" s="70">
        <f>IFERROR(DL/(RadSpec!F2*IFRI_res_adj*CF_rice),".")</f>
        <v>0.20367253556169082</v>
      </c>
      <c r="AB2" s="70">
        <f>IFERROR(DL/(RadSpec!F2*IFCG_res_adj*CF_cereal),".")</f>
        <v>0.2335912087152521</v>
      </c>
      <c r="AC2" s="70">
        <f t="shared" ref="AC2:AC30" si="0">IFERROR(1/SUM(1/AD2,1/AE2,1/AF2,1/AG2,1/AH2,1/AI2,1/AJ2,1/AK2,1/AL2,1/AM2,1/AN2,1/AO2,1/AP2,1/AQ2,1/AR2,1/AS2,1/AT2,1/AU2,1/AV2,1/AW2,1/AX2,1/AY2,1/AZ2),".")</f>
        <v>1.0433331298562462E-2</v>
      </c>
      <c r="AD2" s="70">
        <f>IFERROR(DL/(RadSpec!F2*IFAP_far_adj*CF_apple),".")</f>
        <v>0.17476277588298106</v>
      </c>
      <c r="AE2" s="70">
        <f>IFERROR(DL/(RadSpec!F2*IFAS_far_adj*CF_asparagus),".")</f>
        <v>0.41162066129003777</v>
      </c>
      <c r="AF2" s="70">
        <f>IFERROR(DL/(RadSpec!F2*IFBT_far_adj*CF_beet),".")</f>
        <v>0.48987502058638538</v>
      </c>
      <c r="AG2" s="70">
        <f>IFERROR(DL/(RadSpec!F2*IFBE_far_adj*CF_berries),".")</f>
        <v>0.44008444472350688</v>
      </c>
      <c r="AH2" s="70">
        <f>IFERROR(DL/(RadSpec!F2*IFBR_far_adj*CF_broccoli),".")</f>
        <v>0.47315600450163936</v>
      </c>
      <c r="AI2" s="70">
        <f>IFERROR(DL/(RadSpec!F2*IFCB_far_adj*CF_cabbage),".")</f>
        <v>0.21328758570565048</v>
      </c>
      <c r="AJ2" s="70">
        <f>IFERROR(DL/(RadSpec!F2*IFCR_far_adj*CF_carrot),".")</f>
        <v>0.65028994144345542</v>
      </c>
      <c r="AK2" s="70">
        <f>IFERROR(DL/(RadSpec!F2*IFCI_far_adj*CF_citrus),".")</f>
        <v>5.0664263946036389E-2</v>
      </c>
      <c r="AL2" s="70">
        <f>IFERROR(DL/(RadSpec!F2*IFCO_far_adj*CF_corn),".")</f>
        <v>0.19811919651759349</v>
      </c>
      <c r="AM2" s="70">
        <f>IFERROR(DL/(RadSpec!F2*IFCU_far_adj*CF_cucumber),".")</f>
        <v>0.30064820037616891</v>
      </c>
      <c r="AN2" s="70">
        <f>IFERROR(DL/(RadSpec!F2*IFLE_far_adj*CF_lettuce),".")</f>
        <v>0.46569415298765671</v>
      </c>
      <c r="AO2" s="70">
        <f>IFERROR(DL/(RadSpec!F2*IFLI_far_adj*CF_lima_bean),".")</f>
        <v>0.45974881271909251</v>
      </c>
      <c r="AP2" s="70">
        <f>IFERROR(DL/(RadSpec!F2*IFOK_far_adj*CF_okra),".")</f>
        <v>0.54182873836600576</v>
      </c>
      <c r="AQ2" s="70">
        <f>IFERROR(DL/(RadSpec!F2*IFON_far_adj*CF_onion),".")</f>
        <v>0.60685709496398088</v>
      </c>
      <c r="AR2" s="70">
        <f>IFERROR(DL/(RadSpec!F2*IFPC_far_adj*CF_peach),".")</f>
        <v>0.14423712324010801</v>
      </c>
      <c r="AS2" s="70">
        <f>IFERROR(DL/(RadSpec!F2*IFPR_far_adj*CF_pear),".")</f>
        <v>0.23522117445393748</v>
      </c>
      <c r="AT2" s="70">
        <f>IFERROR(DL/(RadSpec!F2*IFPE_far_adj*CF_peas),".")</f>
        <v>0.49347704279657939</v>
      </c>
      <c r="AU2" s="70">
        <f>IFERROR(DL/(RadSpec!F2*IFPP_far_adj*CF_peppers),".")</f>
        <v>0.68914040235582985</v>
      </c>
      <c r="AV2" s="70">
        <f>IFERROR(DL/(RadSpec!F2*IFPT_far_adj*CF_potato),".")</f>
        <v>0.11499986852927528</v>
      </c>
      <c r="AW2" s="70">
        <f>IFERROR(DL/(RadSpec!F2*IFPU_far_adj*CF_pumpkin),".")</f>
        <v>0.25832968455032201</v>
      </c>
      <c r="AX2" s="70">
        <f>IFERROR(DL/(RadSpec!F2*IFSN_far_adj*CF_snap_bean),".")</f>
        <v>0.29162222240714308</v>
      </c>
      <c r="AY2" s="70">
        <f>IFERROR(DL/(RadSpec!F2*IFST_far_adj*CF_strawberry),".")</f>
        <v>0.3821621100161422</v>
      </c>
      <c r="AZ2" s="70">
        <f>IFERROR(DL/(RadSpec!F2*IFTO_far_adj*CF_tomato),".")</f>
        <v>0.1712261755824383</v>
      </c>
      <c r="BA2" s="70">
        <f>IFERROR(DL/(RadSpec!F2*IFRI_far_adj*CF_rice),".")</f>
        <v>0.16135547915932086</v>
      </c>
      <c r="BB2" s="70">
        <f>IFERROR(DL/(RadSpec!F2*IFCG_far_adj*CF_cereal),".")</f>
        <v>0.18620131307741541</v>
      </c>
    </row>
    <row r="3" spans="1:54" x14ac:dyDescent="0.25">
      <c r="A3" s="88" t="s">
        <v>1</v>
      </c>
      <c r="B3" s="84" t="s">
        <v>335</v>
      </c>
      <c r="C3" s="2">
        <f t="shared" ref="C3:C30" si="1">IFERROR(1/SUM(1/D3,1/E3,1/F3,1/G3,1/H3,1/I3,1/J3,1/K3,1/L3,1/M3,1/N3,1/O3,1/P3,1/Q3,1/R3,1/S3,1/T3,1/U3,1/V3,1/W3,1/X3,1/Y3,1/Z3),".")</f>
        <v>2.4365605314984897E-3</v>
      </c>
      <c r="D3" s="70">
        <f>IFERROR(DL/(RadSpec!F3*IFAP_res_adj*CF_apple),".")</f>
        <v>4.4165648825491871E-2</v>
      </c>
      <c r="E3" s="70">
        <f>IFERROR(DL/(RadSpec!F3*IFAS_res_adj*CF_asparagus),".")</f>
        <v>9.6523503887282369E-2</v>
      </c>
      <c r="F3" s="70">
        <f>IFERROR(DL/(RadSpec!F3*IFBT_res_adj*CF_beet),".")</f>
        <v>0.11642532868046183</v>
      </c>
      <c r="G3" s="70">
        <f>IFERROR(DL/(RadSpec!F3*IFBE_res_adj*CF_berries),".")</f>
        <v>9.9312551566180268E-2</v>
      </c>
      <c r="H3" s="70">
        <f>IFERROR(DL/(RadSpec!F3*IFBR_res_adj*CF_broccoli),".")</f>
        <v>0.12233856414415406</v>
      </c>
      <c r="I3" s="70">
        <f>IFERROR(DL/(RadSpec!F3*IFCB_res_adj*CF_cabbage),".")</f>
        <v>4.7545332859528881E-2</v>
      </c>
      <c r="J3" s="70">
        <f>IFERROR(DL/(RadSpec!F3*IFCR_res_adj*CF_carrot),".")</f>
        <v>0.13406086520399593</v>
      </c>
      <c r="K3" s="70">
        <f>IFERROR(DL/(RadSpec!F3*IFCI_res_adj*CF_citrus),".")</f>
        <v>1.144923358564183E-2</v>
      </c>
      <c r="L3" s="70">
        <f>IFERROR(DL/(RadSpec!F3*IFCO_res_adj*CF_corn),".")</f>
        <v>6.2769221506425027E-2</v>
      </c>
      <c r="M3" s="70">
        <f>IFERROR(DL/(RadSpec!F3*IFCU_res_adj*CF_cucumber),".")</f>
        <v>4.7018245654973624E-2</v>
      </c>
      <c r="N3" s="70">
        <f>IFERROR(DL/(RadSpec!F3*IFLE_res_adj*CF_lettuce),".")</f>
        <v>0.11172277330901516</v>
      </c>
      <c r="O3" s="70">
        <f>IFERROR(DL/(RadSpec!F3*IFLI_res_adj*CF_lima_bean),".")</f>
        <v>0.10411517054414242</v>
      </c>
      <c r="P3" s="70">
        <f>IFERROR(DL/(RadSpec!F3*IFOK_res_adj*CF_okra),".")</f>
        <v>0.12688858270109935</v>
      </c>
      <c r="Q3" s="70">
        <f>IFERROR(DL/(RadSpec!F3*IFON_res_adj*CF_onion),".")</f>
        <v>0.18113784388494361</v>
      </c>
      <c r="R3" s="70">
        <f>IFERROR(DL/(RadSpec!F3*IFPC_res_adj*CF_peach),".")</f>
        <v>2.8352698559593742E-2</v>
      </c>
      <c r="S3" s="70">
        <f>IFERROR(DL/(RadSpec!F3*IFPR_res_adj*CF_pear),".")</f>
        <v>5.7856614056368869E-2</v>
      </c>
      <c r="T3" s="70">
        <f>IFERROR(DL/(RadSpec!F3*IFPE_res_adj*CF_peas),".")</f>
        <v>0.10092512939116306</v>
      </c>
      <c r="U3" s="70">
        <f>IFERROR(DL/(RadSpec!F3*IFPP_res_adj*CF_peppers),".")</f>
        <v>0.20197591257887884</v>
      </c>
      <c r="V3" s="70">
        <f>IFERROR(DL/(RadSpec!F3*IFPT_res_adj*CF_potato),".")</f>
        <v>2.9688805047967334E-2</v>
      </c>
      <c r="W3" s="70">
        <f>IFERROR(DL/(RadSpec!F3*IFPU_res_adj*CF_pumpkin),".")</f>
        <v>6.0339979908633101E-2</v>
      </c>
      <c r="X3" s="70">
        <f>IFERROR(DL/(RadSpec!F3*IFSN_res_adj*CF_snap_bean),".")</f>
        <v>6.7686263892085319E-2</v>
      </c>
      <c r="Y3" s="70">
        <f>IFERROR(DL/(RadSpec!F3*IFST_res_adj*CF_strawberry),".")</f>
        <v>8.632083059747013E-2</v>
      </c>
      <c r="Z3" s="70">
        <f>IFERROR(DL/(RadSpec!F3*IFTO_res_adj*CF_tomato),".")</f>
        <v>4.6379076570852239E-2</v>
      </c>
      <c r="AA3" s="70">
        <f>IFERROR(DL/(RadSpec!F3*IFRI_res_adj*CF_rice),".")</f>
        <v>4.4756611806203495E-2</v>
      </c>
      <c r="AB3" s="70">
        <f>IFERROR(DL/(RadSpec!F3*IFCG_res_adj*CF_cereal),".")</f>
        <v>5.1331177377343211E-2</v>
      </c>
      <c r="AC3" s="70">
        <f t="shared" si="0"/>
        <v>2.2927026340958689E-3</v>
      </c>
      <c r="AD3" s="70">
        <f>IFERROR(DL/(RadSpec!F3*IFAP_far_adj*CF_apple),".")</f>
        <v>3.8403752851596258E-2</v>
      </c>
      <c r="AE3" s="70">
        <f>IFERROR(DL/(RadSpec!F3*IFAS_far_adj*CF_asparagus),".")</f>
        <v>9.0452775569197383E-2</v>
      </c>
      <c r="AF3" s="70">
        <f>IFERROR(DL/(RadSpec!F3*IFBT_far_adj*CF_beet),".")</f>
        <v>0.10764900662465528</v>
      </c>
      <c r="AG3" s="70">
        <f>IFERROR(DL/(RadSpec!F3*IFBE_far_adj*CF_berries),".")</f>
        <v>9.6707632180837846E-2</v>
      </c>
      <c r="AH3" s="70">
        <f>IFERROR(DL/(RadSpec!F3*IFBR_far_adj*CF_broccoli),".")</f>
        <v>0.10397503796401571</v>
      </c>
      <c r="AI3" s="70">
        <f>IFERROR(DL/(RadSpec!F3*IFCB_far_adj*CF_cabbage),".")</f>
        <v>4.6869498875653448E-2</v>
      </c>
      <c r="AJ3" s="70">
        <f>IFERROR(DL/(RadSpec!F3*IFCR_far_adj*CF_carrot),".")</f>
        <v>0.14289984847686016</v>
      </c>
      <c r="AK3" s="70">
        <f>IFERROR(DL/(RadSpec!F3*IFCI_far_adj*CF_citrus),".")</f>
        <v>1.11333655646122E-2</v>
      </c>
      <c r="AL3" s="70">
        <f>IFERROR(DL/(RadSpec!F3*IFCO_far_adj*CF_corn),".")</f>
        <v>4.353627721794176E-2</v>
      </c>
      <c r="AM3" s="70">
        <f>IFERROR(DL/(RadSpec!F3*IFCU_far_adj*CF_cucumber),".")</f>
        <v>6.6066810418796779E-2</v>
      </c>
      <c r="AN3" s="70">
        <f>IFERROR(DL/(RadSpec!F3*IFLE_far_adj*CF_lettuce),".")</f>
        <v>0.10233531176997665</v>
      </c>
      <c r="AO3" s="70">
        <f>IFERROR(DL/(RadSpec!F3*IFLI_far_adj*CF_lima_bean),".")</f>
        <v>0.10102883573617032</v>
      </c>
      <c r="AP3" s="70">
        <f>IFERROR(DL/(RadSpec!F3*IFOK_far_adj*CF_okra),".")</f>
        <v>0.11906572696026092</v>
      </c>
      <c r="AQ3" s="70">
        <f>IFERROR(DL/(RadSpec!F3*IFON_far_adj*CF_onion),".")</f>
        <v>0.13335557170847143</v>
      </c>
      <c r="AR3" s="70">
        <f>IFERROR(DL/(RadSpec!F3*IFPC_far_adj*CF_peach),".")</f>
        <v>3.1695804812847263E-2</v>
      </c>
      <c r="AS3" s="70">
        <f>IFERROR(DL/(RadSpec!F3*IFPR_far_adj*CF_pear),".")</f>
        <v>5.1689358924121555E-2</v>
      </c>
      <c r="AT3" s="70">
        <f>IFERROR(DL/(RadSpec!F3*IFPE_far_adj*CF_peas),".")</f>
        <v>0.10844054343807186</v>
      </c>
      <c r="AU3" s="70">
        <f>IFERROR(DL/(RadSpec!F3*IFPP_far_adj*CF_peppers),".")</f>
        <v>0.15143715564373908</v>
      </c>
      <c r="AV3" s="70">
        <f>IFERROR(DL/(RadSpec!F3*IFPT_far_adj*CF_potato),".")</f>
        <v>2.5270979512945789E-2</v>
      </c>
      <c r="AW3" s="70">
        <f>IFERROR(DL/(RadSpec!F3*IFPU_far_adj*CF_pumpkin),".")</f>
        <v>5.6767405470511942E-2</v>
      </c>
      <c r="AX3" s="70">
        <f>IFERROR(DL/(RadSpec!F3*IFSN_far_adj*CF_snap_bean),".")</f>
        <v>6.4083370722241947E-2</v>
      </c>
      <c r="AY3" s="70">
        <f>IFERROR(DL/(RadSpec!F3*IFST_far_adj*CF_strawberry),".")</f>
        <v>8.3979320814471597E-2</v>
      </c>
      <c r="AZ3" s="70">
        <f>IFERROR(DL/(RadSpec!F3*IFTO_far_adj*CF_tomato),".")</f>
        <v>3.7626592365384549E-2</v>
      </c>
      <c r="BA3" s="70">
        <f>IFERROR(DL/(RadSpec!F3*IFRI_far_adj*CF_rice),".")</f>
        <v>3.5457527563161687E-2</v>
      </c>
      <c r="BB3" s="70">
        <f>IFERROR(DL/(RadSpec!F3*IFCG_far_adj*CF_cereal),".")</f>
        <v>4.0917347369532883E-2</v>
      </c>
    </row>
    <row r="4" spans="1:54" x14ac:dyDescent="0.25">
      <c r="A4" s="86" t="s">
        <v>2</v>
      </c>
      <c r="B4" s="84" t="s">
        <v>1057</v>
      </c>
      <c r="C4" s="2" t="str">
        <f t="shared" si="1"/>
        <v>.</v>
      </c>
      <c r="D4" s="70" t="str">
        <f>IFERROR(DL/(RadSpec!F4*IFAP_res_adj*CF_apple),".")</f>
        <v>.</v>
      </c>
      <c r="E4" s="70" t="str">
        <f>IFERROR(DL/(RadSpec!F4*IFAS_res_adj*CF_asparagus),".")</f>
        <v>.</v>
      </c>
      <c r="F4" s="70" t="str">
        <f>IFERROR(DL/(RadSpec!F4*IFBT_res_adj*CF_beet),".")</f>
        <v>.</v>
      </c>
      <c r="G4" s="70" t="str">
        <f>IFERROR(DL/(RadSpec!F4*IFBE_res_adj*CF_berries),".")</f>
        <v>.</v>
      </c>
      <c r="H4" s="70" t="str">
        <f>IFERROR(DL/(RadSpec!F4*IFBR_res_adj*CF_broccoli),".")</f>
        <v>.</v>
      </c>
      <c r="I4" s="70" t="str">
        <f>IFERROR(DL/(RadSpec!F4*IFCB_res_adj*CF_cabbage),".")</f>
        <v>.</v>
      </c>
      <c r="J4" s="70" t="str">
        <f>IFERROR(DL/(RadSpec!F4*IFCR_res_adj*CF_carrot),".")</f>
        <v>.</v>
      </c>
      <c r="K4" s="70" t="str">
        <f>IFERROR(DL/(RadSpec!F4*IFCI_res_adj*CF_citrus),".")</f>
        <v>.</v>
      </c>
      <c r="L4" s="70" t="str">
        <f>IFERROR(DL/(RadSpec!F4*IFCO_res_adj*CF_corn),".")</f>
        <v>.</v>
      </c>
      <c r="M4" s="70" t="str">
        <f>IFERROR(DL/(RadSpec!F4*IFCU_res_adj*CF_cucumber),".")</f>
        <v>.</v>
      </c>
      <c r="N4" s="70" t="str">
        <f>IFERROR(DL/(RadSpec!F4*IFLE_res_adj*CF_lettuce),".")</f>
        <v>.</v>
      </c>
      <c r="O4" s="70" t="str">
        <f>IFERROR(DL/(RadSpec!F4*IFLI_res_adj*CF_lima_bean),".")</f>
        <v>.</v>
      </c>
      <c r="P4" s="70" t="str">
        <f>IFERROR(DL/(RadSpec!F4*IFOK_res_adj*CF_okra),".")</f>
        <v>.</v>
      </c>
      <c r="Q4" s="70" t="str">
        <f>IFERROR(DL/(RadSpec!F4*IFON_res_adj*CF_onion),".")</f>
        <v>.</v>
      </c>
      <c r="R4" s="70" t="str">
        <f>IFERROR(DL/(RadSpec!F4*IFPC_res_adj*CF_peach),".")</f>
        <v>.</v>
      </c>
      <c r="S4" s="70" t="str">
        <f>IFERROR(DL/(RadSpec!F4*IFPR_res_adj*CF_pear),".")</f>
        <v>.</v>
      </c>
      <c r="T4" s="70" t="str">
        <f>IFERROR(DL/(RadSpec!F4*IFPE_res_adj*CF_peas),".")</f>
        <v>.</v>
      </c>
      <c r="U4" s="70" t="str">
        <f>IFERROR(DL/(RadSpec!F4*IFPP_res_adj*CF_peppers),".")</f>
        <v>.</v>
      </c>
      <c r="V4" s="70" t="str">
        <f>IFERROR(DL/(RadSpec!F4*IFPT_res_adj*CF_potato),".")</f>
        <v>.</v>
      </c>
      <c r="W4" s="70" t="str">
        <f>IFERROR(DL/(RadSpec!F4*IFPU_res_adj*CF_pumpkin),".")</f>
        <v>.</v>
      </c>
      <c r="X4" s="70" t="str">
        <f>IFERROR(DL/(RadSpec!F4*IFSN_res_adj*CF_snap_bean),".")</f>
        <v>.</v>
      </c>
      <c r="Y4" s="70" t="str">
        <f>IFERROR(DL/(RadSpec!F4*IFST_res_adj*CF_strawberry),".")</f>
        <v>.</v>
      </c>
      <c r="Z4" s="70" t="str">
        <f>IFERROR(DL/(RadSpec!F4*IFTO_res_adj*CF_tomato),".")</f>
        <v>.</v>
      </c>
      <c r="AA4" s="70" t="str">
        <f>IFERROR(DL/(RadSpec!F4*IFRI_res_adj*CF_rice),".")</f>
        <v>.</v>
      </c>
      <c r="AB4" s="70" t="str">
        <f>IFERROR(DL/(RadSpec!F4*IFCG_res_adj*CF_cereal),".")</f>
        <v>.</v>
      </c>
      <c r="AC4" s="70" t="str">
        <f t="shared" si="0"/>
        <v>.</v>
      </c>
      <c r="AD4" s="70" t="str">
        <f>IFERROR(DL/(RadSpec!F4*IFAP_far_adj*CF_apple),".")</f>
        <v>.</v>
      </c>
      <c r="AE4" s="70" t="str">
        <f>IFERROR(DL/(RadSpec!F4*IFAS_far_adj*CF_asparagus),".")</f>
        <v>.</v>
      </c>
      <c r="AF4" s="70" t="str">
        <f>IFERROR(DL/(RadSpec!F4*IFBT_far_adj*CF_beet),".")</f>
        <v>.</v>
      </c>
      <c r="AG4" s="70" t="str">
        <f>IFERROR(DL/(RadSpec!F4*IFBE_far_adj*CF_berries),".")</f>
        <v>.</v>
      </c>
      <c r="AH4" s="70" t="str">
        <f>IFERROR(DL/(RadSpec!F4*IFBR_far_adj*CF_broccoli),".")</f>
        <v>.</v>
      </c>
      <c r="AI4" s="70" t="str">
        <f>IFERROR(DL/(RadSpec!F4*IFCB_far_adj*CF_cabbage),".")</f>
        <v>.</v>
      </c>
      <c r="AJ4" s="70" t="str">
        <f>IFERROR(DL/(RadSpec!F4*IFCR_far_adj*CF_carrot),".")</f>
        <v>.</v>
      </c>
      <c r="AK4" s="70" t="str">
        <f>IFERROR(DL/(RadSpec!F4*IFCI_far_adj*CF_citrus),".")</f>
        <v>.</v>
      </c>
      <c r="AL4" s="70" t="str">
        <f>IFERROR(DL/(RadSpec!F4*IFCO_far_adj*CF_corn),".")</f>
        <v>.</v>
      </c>
      <c r="AM4" s="70" t="str">
        <f>IFERROR(DL/(RadSpec!F4*IFCU_far_adj*CF_cucumber),".")</f>
        <v>.</v>
      </c>
      <c r="AN4" s="70" t="str">
        <f>IFERROR(DL/(RadSpec!F4*IFLE_far_adj*CF_lettuce),".")</f>
        <v>.</v>
      </c>
      <c r="AO4" s="70" t="str">
        <f>IFERROR(DL/(RadSpec!F4*IFLI_far_adj*CF_lima_bean),".")</f>
        <v>.</v>
      </c>
      <c r="AP4" s="70" t="str">
        <f>IFERROR(DL/(RadSpec!F4*IFOK_far_adj*CF_okra),".")</f>
        <v>.</v>
      </c>
      <c r="AQ4" s="70" t="str">
        <f>IFERROR(DL/(RadSpec!F4*IFON_far_adj*CF_onion),".")</f>
        <v>.</v>
      </c>
      <c r="AR4" s="70" t="str">
        <f>IFERROR(DL/(RadSpec!F4*IFPC_far_adj*CF_peach),".")</f>
        <v>.</v>
      </c>
      <c r="AS4" s="70" t="str">
        <f>IFERROR(DL/(RadSpec!F4*IFPR_far_adj*CF_pear),".")</f>
        <v>.</v>
      </c>
      <c r="AT4" s="70" t="str">
        <f>IFERROR(DL/(RadSpec!F4*IFPE_far_adj*CF_peas),".")</f>
        <v>.</v>
      </c>
      <c r="AU4" s="70" t="str">
        <f>IFERROR(DL/(RadSpec!F4*IFPP_far_adj*CF_peppers),".")</f>
        <v>.</v>
      </c>
      <c r="AV4" s="70" t="str">
        <f>IFERROR(DL/(RadSpec!F4*IFPT_far_adj*CF_potato),".")</f>
        <v>.</v>
      </c>
      <c r="AW4" s="70" t="str">
        <f>IFERROR(DL/(RadSpec!F4*IFPU_far_adj*CF_pumpkin),".")</f>
        <v>.</v>
      </c>
      <c r="AX4" s="70" t="str">
        <f>IFERROR(DL/(RadSpec!F4*IFSN_far_adj*CF_snap_bean),".")</f>
        <v>.</v>
      </c>
      <c r="AY4" s="70" t="str">
        <f>IFERROR(DL/(RadSpec!F4*IFST_far_adj*CF_strawberry),".")</f>
        <v>.</v>
      </c>
      <c r="AZ4" s="70" t="str">
        <f>IFERROR(DL/(RadSpec!F4*IFTO_far_adj*CF_tomato),".")</f>
        <v>.</v>
      </c>
      <c r="BA4" s="70" t="str">
        <f>IFERROR(DL/(RadSpec!F4*IFRI_far_adj*CF_rice),".")</f>
        <v>.</v>
      </c>
      <c r="BB4" s="70" t="str">
        <f>IFERROR(DL/(RadSpec!F4*IFCG_far_adj*CF_cereal),".")</f>
        <v>.</v>
      </c>
    </row>
    <row r="5" spans="1:54" x14ac:dyDescent="0.25">
      <c r="A5" s="86" t="s">
        <v>3</v>
      </c>
      <c r="B5" s="84" t="s">
        <v>1057</v>
      </c>
      <c r="C5" s="2" t="str">
        <f t="shared" si="1"/>
        <v>.</v>
      </c>
      <c r="D5" s="70" t="str">
        <f>IFERROR(DL/(RadSpec!F5*IFAP_res_adj*CF_apple),".")</f>
        <v>.</v>
      </c>
      <c r="E5" s="70" t="str">
        <f>IFERROR(DL/(RadSpec!F5*IFAS_res_adj*CF_asparagus),".")</f>
        <v>.</v>
      </c>
      <c r="F5" s="70" t="str">
        <f>IFERROR(DL/(RadSpec!F5*IFBT_res_adj*CF_beet),".")</f>
        <v>.</v>
      </c>
      <c r="G5" s="70" t="str">
        <f>IFERROR(DL/(RadSpec!F5*IFBE_res_adj*CF_berries),".")</f>
        <v>.</v>
      </c>
      <c r="H5" s="70" t="str">
        <f>IFERROR(DL/(RadSpec!F5*IFBR_res_adj*CF_broccoli),".")</f>
        <v>.</v>
      </c>
      <c r="I5" s="70" t="str">
        <f>IFERROR(DL/(RadSpec!F5*IFCB_res_adj*CF_cabbage),".")</f>
        <v>.</v>
      </c>
      <c r="J5" s="70" t="str">
        <f>IFERROR(DL/(RadSpec!F5*IFCR_res_adj*CF_carrot),".")</f>
        <v>.</v>
      </c>
      <c r="K5" s="70" t="str">
        <f>IFERROR(DL/(RadSpec!F5*IFCI_res_adj*CF_citrus),".")</f>
        <v>.</v>
      </c>
      <c r="L5" s="70" t="str">
        <f>IFERROR(DL/(RadSpec!F5*IFCO_res_adj*CF_corn),".")</f>
        <v>.</v>
      </c>
      <c r="M5" s="70" t="str">
        <f>IFERROR(DL/(RadSpec!F5*IFCU_res_adj*CF_cucumber),".")</f>
        <v>.</v>
      </c>
      <c r="N5" s="70" t="str">
        <f>IFERROR(DL/(RadSpec!F5*IFLE_res_adj*CF_lettuce),".")</f>
        <v>.</v>
      </c>
      <c r="O5" s="70" t="str">
        <f>IFERROR(DL/(RadSpec!F5*IFLI_res_adj*CF_lima_bean),".")</f>
        <v>.</v>
      </c>
      <c r="P5" s="70" t="str">
        <f>IFERROR(DL/(RadSpec!F5*IFOK_res_adj*CF_okra),".")</f>
        <v>.</v>
      </c>
      <c r="Q5" s="70" t="str">
        <f>IFERROR(DL/(RadSpec!F5*IFON_res_adj*CF_onion),".")</f>
        <v>.</v>
      </c>
      <c r="R5" s="70" t="str">
        <f>IFERROR(DL/(RadSpec!F5*IFPC_res_adj*CF_peach),".")</f>
        <v>.</v>
      </c>
      <c r="S5" s="70" t="str">
        <f>IFERROR(DL/(RadSpec!F5*IFPR_res_adj*CF_pear),".")</f>
        <v>.</v>
      </c>
      <c r="T5" s="70" t="str">
        <f>IFERROR(DL/(RadSpec!F5*IFPE_res_adj*CF_peas),".")</f>
        <v>.</v>
      </c>
      <c r="U5" s="70" t="str">
        <f>IFERROR(DL/(RadSpec!F5*IFPP_res_adj*CF_peppers),".")</f>
        <v>.</v>
      </c>
      <c r="V5" s="70" t="str">
        <f>IFERROR(DL/(RadSpec!F5*IFPT_res_adj*CF_potato),".")</f>
        <v>.</v>
      </c>
      <c r="W5" s="70" t="str">
        <f>IFERROR(DL/(RadSpec!F5*IFPU_res_adj*CF_pumpkin),".")</f>
        <v>.</v>
      </c>
      <c r="X5" s="70" t="str">
        <f>IFERROR(DL/(RadSpec!F5*IFSN_res_adj*CF_snap_bean),".")</f>
        <v>.</v>
      </c>
      <c r="Y5" s="70" t="str">
        <f>IFERROR(DL/(RadSpec!F5*IFST_res_adj*CF_strawberry),".")</f>
        <v>.</v>
      </c>
      <c r="Z5" s="70" t="str">
        <f>IFERROR(DL/(RadSpec!F5*IFTO_res_adj*CF_tomato),".")</f>
        <v>.</v>
      </c>
      <c r="AA5" s="70" t="str">
        <f>IFERROR(DL/(RadSpec!F5*IFRI_res_adj*CF_rice),".")</f>
        <v>.</v>
      </c>
      <c r="AB5" s="70" t="str">
        <f>IFERROR(DL/(RadSpec!F5*IFCG_res_adj*CF_cereal),".")</f>
        <v>.</v>
      </c>
      <c r="AC5" s="70" t="str">
        <f t="shared" si="0"/>
        <v>.</v>
      </c>
      <c r="AD5" s="70" t="str">
        <f>IFERROR(DL/(RadSpec!F5*IFAP_far_adj*CF_apple),".")</f>
        <v>.</v>
      </c>
      <c r="AE5" s="70" t="str">
        <f>IFERROR(DL/(RadSpec!F5*IFAS_far_adj*CF_asparagus),".")</f>
        <v>.</v>
      </c>
      <c r="AF5" s="70" t="str">
        <f>IFERROR(DL/(RadSpec!F5*IFBT_far_adj*CF_beet),".")</f>
        <v>.</v>
      </c>
      <c r="AG5" s="70" t="str">
        <f>IFERROR(DL/(RadSpec!F5*IFBE_far_adj*CF_berries),".")</f>
        <v>.</v>
      </c>
      <c r="AH5" s="70" t="str">
        <f>IFERROR(DL/(RadSpec!F5*IFBR_far_adj*CF_broccoli),".")</f>
        <v>.</v>
      </c>
      <c r="AI5" s="70" t="str">
        <f>IFERROR(DL/(RadSpec!F5*IFCB_far_adj*CF_cabbage),".")</f>
        <v>.</v>
      </c>
      <c r="AJ5" s="70" t="str">
        <f>IFERROR(DL/(RadSpec!F5*IFCR_far_adj*CF_carrot),".")</f>
        <v>.</v>
      </c>
      <c r="AK5" s="70" t="str">
        <f>IFERROR(DL/(RadSpec!F5*IFCI_far_adj*CF_citrus),".")</f>
        <v>.</v>
      </c>
      <c r="AL5" s="70" t="str">
        <f>IFERROR(DL/(RadSpec!F5*IFCO_far_adj*CF_corn),".")</f>
        <v>.</v>
      </c>
      <c r="AM5" s="70" t="str">
        <f>IFERROR(DL/(RadSpec!F5*IFCU_far_adj*CF_cucumber),".")</f>
        <v>.</v>
      </c>
      <c r="AN5" s="70" t="str">
        <f>IFERROR(DL/(RadSpec!F5*IFLE_far_adj*CF_lettuce),".")</f>
        <v>.</v>
      </c>
      <c r="AO5" s="70" t="str">
        <f>IFERROR(DL/(RadSpec!F5*IFLI_far_adj*CF_lima_bean),".")</f>
        <v>.</v>
      </c>
      <c r="AP5" s="70" t="str">
        <f>IFERROR(DL/(RadSpec!F5*IFOK_far_adj*CF_okra),".")</f>
        <v>.</v>
      </c>
      <c r="AQ5" s="70" t="str">
        <f>IFERROR(DL/(RadSpec!F5*IFON_far_adj*CF_onion),".")</f>
        <v>.</v>
      </c>
      <c r="AR5" s="70" t="str">
        <f>IFERROR(DL/(RadSpec!F5*IFPC_far_adj*CF_peach),".")</f>
        <v>.</v>
      </c>
      <c r="AS5" s="70" t="str">
        <f>IFERROR(DL/(RadSpec!F5*IFPR_far_adj*CF_pear),".")</f>
        <v>.</v>
      </c>
      <c r="AT5" s="70" t="str">
        <f>IFERROR(DL/(RadSpec!F5*IFPE_far_adj*CF_peas),".")</f>
        <v>.</v>
      </c>
      <c r="AU5" s="70" t="str">
        <f>IFERROR(DL/(RadSpec!F5*IFPP_far_adj*CF_peppers),".")</f>
        <v>.</v>
      </c>
      <c r="AV5" s="70" t="str">
        <f>IFERROR(DL/(RadSpec!F5*IFPT_far_adj*CF_potato),".")</f>
        <v>.</v>
      </c>
      <c r="AW5" s="70" t="str">
        <f>IFERROR(DL/(RadSpec!F5*IFPU_far_adj*CF_pumpkin),".")</f>
        <v>.</v>
      </c>
      <c r="AX5" s="70" t="str">
        <f>IFERROR(DL/(RadSpec!F5*IFSN_far_adj*CF_snap_bean),".")</f>
        <v>.</v>
      </c>
      <c r="AY5" s="70" t="str">
        <f>IFERROR(DL/(RadSpec!F5*IFST_far_adj*CF_strawberry),".")</f>
        <v>.</v>
      </c>
      <c r="AZ5" s="70" t="str">
        <f>IFERROR(DL/(RadSpec!F5*IFTO_far_adj*CF_tomato),".")</f>
        <v>.</v>
      </c>
      <c r="BA5" s="70" t="str">
        <f>IFERROR(DL/(RadSpec!F5*IFRI_far_adj*CF_rice),".")</f>
        <v>.</v>
      </c>
      <c r="BB5" s="70" t="str">
        <f>IFERROR(DL/(RadSpec!F5*IFCG_far_adj*CF_cereal),".")</f>
        <v>.</v>
      </c>
    </row>
    <row r="6" spans="1:54" x14ac:dyDescent="0.25">
      <c r="A6" s="86" t="s">
        <v>4</v>
      </c>
      <c r="B6" s="84" t="s">
        <v>1057</v>
      </c>
      <c r="C6" s="2" t="str">
        <f t="shared" si="1"/>
        <v>.</v>
      </c>
      <c r="D6" s="70" t="str">
        <f>IFERROR(DL/(RadSpec!F6*IFAP_res_adj*CF_apple),".")</f>
        <v>.</v>
      </c>
      <c r="E6" s="70" t="str">
        <f>IFERROR(DL/(RadSpec!F6*IFAS_res_adj*CF_asparagus),".")</f>
        <v>.</v>
      </c>
      <c r="F6" s="70" t="str">
        <f>IFERROR(DL/(RadSpec!F6*IFBT_res_adj*CF_beet),".")</f>
        <v>.</v>
      </c>
      <c r="G6" s="70" t="str">
        <f>IFERROR(DL/(RadSpec!F6*IFBE_res_adj*CF_berries),".")</f>
        <v>.</v>
      </c>
      <c r="H6" s="70" t="str">
        <f>IFERROR(DL/(RadSpec!F6*IFBR_res_adj*CF_broccoli),".")</f>
        <v>.</v>
      </c>
      <c r="I6" s="70" t="str">
        <f>IFERROR(DL/(RadSpec!F6*IFCB_res_adj*CF_cabbage),".")</f>
        <v>.</v>
      </c>
      <c r="J6" s="70" t="str">
        <f>IFERROR(DL/(RadSpec!F6*IFCR_res_adj*CF_carrot),".")</f>
        <v>.</v>
      </c>
      <c r="K6" s="70" t="str">
        <f>IFERROR(DL/(RadSpec!F6*IFCI_res_adj*CF_citrus),".")</f>
        <v>.</v>
      </c>
      <c r="L6" s="70" t="str">
        <f>IFERROR(DL/(RadSpec!F6*IFCO_res_adj*CF_corn),".")</f>
        <v>.</v>
      </c>
      <c r="M6" s="70" t="str">
        <f>IFERROR(DL/(RadSpec!F6*IFCU_res_adj*CF_cucumber),".")</f>
        <v>.</v>
      </c>
      <c r="N6" s="70" t="str">
        <f>IFERROR(DL/(RadSpec!F6*IFLE_res_adj*CF_lettuce),".")</f>
        <v>.</v>
      </c>
      <c r="O6" s="70" t="str">
        <f>IFERROR(DL/(RadSpec!F6*IFLI_res_adj*CF_lima_bean),".")</f>
        <v>.</v>
      </c>
      <c r="P6" s="70" t="str">
        <f>IFERROR(DL/(RadSpec!F6*IFOK_res_adj*CF_okra),".")</f>
        <v>.</v>
      </c>
      <c r="Q6" s="70" t="str">
        <f>IFERROR(DL/(RadSpec!F6*IFON_res_adj*CF_onion),".")</f>
        <v>.</v>
      </c>
      <c r="R6" s="70" t="str">
        <f>IFERROR(DL/(RadSpec!F6*IFPC_res_adj*CF_peach),".")</f>
        <v>.</v>
      </c>
      <c r="S6" s="70" t="str">
        <f>IFERROR(DL/(RadSpec!F6*IFPR_res_adj*CF_pear),".")</f>
        <v>.</v>
      </c>
      <c r="T6" s="70" t="str">
        <f>IFERROR(DL/(RadSpec!F6*IFPE_res_adj*CF_peas),".")</f>
        <v>.</v>
      </c>
      <c r="U6" s="70" t="str">
        <f>IFERROR(DL/(RadSpec!F6*IFPP_res_adj*CF_peppers),".")</f>
        <v>.</v>
      </c>
      <c r="V6" s="70" t="str">
        <f>IFERROR(DL/(RadSpec!F6*IFPT_res_adj*CF_potato),".")</f>
        <v>.</v>
      </c>
      <c r="W6" s="70" t="str">
        <f>IFERROR(DL/(RadSpec!F6*IFPU_res_adj*CF_pumpkin),".")</f>
        <v>.</v>
      </c>
      <c r="X6" s="70" t="str">
        <f>IFERROR(DL/(RadSpec!F6*IFSN_res_adj*CF_snap_bean),".")</f>
        <v>.</v>
      </c>
      <c r="Y6" s="70" t="str">
        <f>IFERROR(DL/(RadSpec!F6*IFST_res_adj*CF_strawberry),".")</f>
        <v>.</v>
      </c>
      <c r="Z6" s="70" t="str">
        <f>IFERROR(DL/(RadSpec!F6*IFTO_res_adj*CF_tomato),".")</f>
        <v>.</v>
      </c>
      <c r="AA6" s="70" t="str">
        <f>IFERROR(DL/(RadSpec!F6*IFRI_res_adj*CF_rice),".")</f>
        <v>.</v>
      </c>
      <c r="AB6" s="70" t="str">
        <f>IFERROR(DL/(RadSpec!F6*IFCG_res_adj*CF_cereal),".")</f>
        <v>.</v>
      </c>
      <c r="AC6" s="70" t="str">
        <f t="shared" si="0"/>
        <v>.</v>
      </c>
      <c r="AD6" s="70" t="str">
        <f>IFERROR(DL/(RadSpec!F6*IFAP_far_adj*CF_apple),".")</f>
        <v>.</v>
      </c>
      <c r="AE6" s="70" t="str">
        <f>IFERROR(DL/(RadSpec!F6*IFAS_far_adj*CF_asparagus),".")</f>
        <v>.</v>
      </c>
      <c r="AF6" s="70" t="str">
        <f>IFERROR(DL/(RadSpec!F6*IFBT_far_adj*CF_beet),".")</f>
        <v>.</v>
      </c>
      <c r="AG6" s="70" t="str">
        <f>IFERROR(DL/(RadSpec!F6*IFBE_far_adj*CF_berries),".")</f>
        <v>.</v>
      </c>
      <c r="AH6" s="70" t="str">
        <f>IFERROR(DL/(RadSpec!F6*IFBR_far_adj*CF_broccoli),".")</f>
        <v>.</v>
      </c>
      <c r="AI6" s="70" t="str">
        <f>IFERROR(DL/(RadSpec!F6*IFCB_far_adj*CF_cabbage),".")</f>
        <v>.</v>
      </c>
      <c r="AJ6" s="70" t="str">
        <f>IFERROR(DL/(RadSpec!F6*IFCR_far_adj*CF_carrot),".")</f>
        <v>.</v>
      </c>
      <c r="AK6" s="70" t="str">
        <f>IFERROR(DL/(RadSpec!F6*IFCI_far_adj*CF_citrus),".")</f>
        <v>.</v>
      </c>
      <c r="AL6" s="70" t="str">
        <f>IFERROR(DL/(RadSpec!F6*IFCO_far_adj*CF_corn),".")</f>
        <v>.</v>
      </c>
      <c r="AM6" s="70" t="str">
        <f>IFERROR(DL/(RadSpec!F6*IFCU_far_adj*CF_cucumber),".")</f>
        <v>.</v>
      </c>
      <c r="AN6" s="70" t="str">
        <f>IFERROR(DL/(RadSpec!F6*IFLE_far_adj*CF_lettuce),".")</f>
        <v>.</v>
      </c>
      <c r="AO6" s="70" t="str">
        <f>IFERROR(DL/(RadSpec!F6*IFLI_far_adj*CF_lima_bean),".")</f>
        <v>.</v>
      </c>
      <c r="AP6" s="70" t="str">
        <f>IFERROR(DL/(RadSpec!F6*IFOK_far_adj*CF_okra),".")</f>
        <v>.</v>
      </c>
      <c r="AQ6" s="70" t="str">
        <f>IFERROR(DL/(RadSpec!F6*IFON_far_adj*CF_onion),".")</f>
        <v>.</v>
      </c>
      <c r="AR6" s="70" t="str">
        <f>IFERROR(DL/(RadSpec!F6*IFPC_far_adj*CF_peach),".")</f>
        <v>.</v>
      </c>
      <c r="AS6" s="70" t="str">
        <f>IFERROR(DL/(RadSpec!F6*IFPR_far_adj*CF_pear),".")</f>
        <v>.</v>
      </c>
      <c r="AT6" s="70" t="str">
        <f>IFERROR(DL/(RadSpec!F6*IFPE_far_adj*CF_peas),".")</f>
        <v>.</v>
      </c>
      <c r="AU6" s="70" t="str">
        <f>IFERROR(DL/(RadSpec!F6*IFPP_far_adj*CF_peppers),".")</f>
        <v>.</v>
      </c>
      <c r="AV6" s="70" t="str">
        <f>IFERROR(DL/(RadSpec!F6*IFPT_far_adj*CF_potato),".")</f>
        <v>.</v>
      </c>
      <c r="AW6" s="70" t="str">
        <f>IFERROR(DL/(RadSpec!F6*IFPU_far_adj*CF_pumpkin),".")</f>
        <v>.</v>
      </c>
      <c r="AX6" s="70" t="str">
        <f>IFERROR(DL/(RadSpec!F6*IFSN_far_adj*CF_snap_bean),".")</f>
        <v>.</v>
      </c>
      <c r="AY6" s="70" t="str">
        <f>IFERROR(DL/(RadSpec!F6*IFST_far_adj*CF_strawberry),".")</f>
        <v>.</v>
      </c>
      <c r="AZ6" s="70" t="str">
        <f>IFERROR(DL/(RadSpec!F6*IFTO_far_adj*CF_tomato),".")</f>
        <v>.</v>
      </c>
      <c r="BA6" s="70" t="str">
        <f>IFERROR(DL/(RadSpec!F6*IFRI_far_adj*CF_rice),".")</f>
        <v>.</v>
      </c>
      <c r="BB6" s="70" t="str">
        <f>IFERROR(DL/(RadSpec!F6*IFCG_far_adj*CF_cereal),".")</f>
        <v>.</v>
      </c>
    </row>
    <row r="7" spans="1:54" x14ac:dyDescent="0.25">
      <c r="A7" s="86" t="s">
        <v>5</v>
      </c>
      <c r="B7" s="84" t="s">
        <v>1057</v>
      </c>
      <c r="C7" s="2">
        <f t="shared" si="1"/>
        <v>0.32216744805368919</v>
      </c>
      <c r="D7" s="70">
        <f>IFERROR(DL/(RadSpec!F7*IFAP_res_adj*CF_apple),".")</f>
        <v>5.8396802335928149</v>
      </c>
      <c r="E7" s="70">
        <f>IFERROR(DL/(RadSpec!F7*IFAS_res_adj*CF_asparagus),".")</f>
        <v>12.762552180651781</v>
      </c>
      <c r="F7" s="70">
        <f>IFERROR(DL/(RadSpec!F7*IFBT_res_adj*CF_beet),".")</f>
        <v>15.394015681083287</v>
      </c>
      <c r="G7" s="70">
        <f>IFERROR(DL/(RadSpec!F7*IFBE_res_adj*CF_berries),".")</f>
        <v>13.131326262639393</v>
      </c>
      <c r="H7" s="70">
        <f>IFERROR(DL/(RadSpec!F7*IFBR_res_adj*CF_broccoli),".")</f>
        <v>16.175876814615929</v>
      </c>
      <c r="I7" s="70">
        <f>IFERROR(DL/(RadSpec!F7*IFCB_res_adj*CF_cabbage),".")</f>
        <v>6.2865495669821527</v>
      </c>
      <c r="J7" s="70">
        <f>IFERROR(DL/(RadSpec!F7*IFCR_res_adj*CF_carrot),".")</f>
        <v>17.72582551030613</v>
      </c>
      <c r="K7" s="70">
        <f>IFERROR(DL/(RadSpec!F7*IFCI_res_adj*CF_citrus),".")</f>
        <v>1.5138431074348642</v>
      </c>
      <c r="L7" s="70">
        <f>IFERROR(DL/(RadSpec!F7*IFCO_res_adj*CF_corn),".")</f>
        <v>8.2994859547384205</v>
      </c>
      <c r="M7" s="70">
        <f>IFERROR(DL/(RadSpec!F7*IFCU_res_adj*CF_cucumber),".")</f>
        <v>6.2168569254909585</v>
      </c>
      <c r="N7" s="70">
        <f>IFERROR(DL/(RadSpec!F7*IFLE_res_adj*CF_lettuce),".")</f>
        <v>14.772233359747561</v>
      </c>
      <c r="O7" s="70">
        <f>IFERROR(DL/(RadSpec!F7*IFLI_res_adj*CF_lima_bean),".")</f>
        <v>13.766339216392165</v>
      </c>
      <c r="P7" s="70">
        <f>IFERROR(DL/(RadSpec!F7*IFOK_res_adj*CF_okra),".")</f>
        <v>16.777490379367581</v>
      </c>
      <c r="Q7" s="70">
        <f>IFERROR(DL/(RadSpec!F7*IFON_res_adj*CF_onion),".")</f>
        <v>23.950448247009213</v>
      </c>
      <c r="R7" s="70">
        <f>IFERROR(DL/(RadSpec!F7*IFPC_res_adj*CF_peach),".")</f>
        <v>3.7488568095462842</v>
      </c>
      <c r="S7" s="70">
        <f>IFERROR(DL/(RadSpec!F7*IFPR_res_adj*CF_pear),".")</f>
        <v>7.6499300807865502</v>
      </c>
      <c r="T7" s="70">
        <f>IFERROR(DL/(RadSpec!F7*IFPE_res_adj*CF_peas),".")</f>
        <v>13.344544886164895</v>
      </c>
      <c r="U7" s="70">
        <f>IFERROR(DL/(RadSpec!F7*IFPP_res_adj*CF_peppers),".")</f>
        <v>26.705703996540649</v>
      </c>
      <c r="V7" s="70">
        <f>IFERROR(DL/(RadSpec!F7*IFPT_res_adj*CF_potato),".")</f>
        <v>3.9255197785645697</v>
      </c>
      <c r="W7" s="70">
        <f>IFERROR(DL/(RadSpec!F7*IFPU_res_adj*CF_pumpkin),".")</f>
        <v>7.9782862323637103</v>
      </c>
      <c r="X7" s="70">
        <f>IFERROR(DL/(RadSpec!F7*IFSN_res_adj*CF_snap_bean),".")</f>
        <v>8.9496282257312814</v>
      </c>
      <c r="Y7" s="70">
        <f>IFERROR(DL/(RadSpec!F7*IFST_res_adj*CF_strawberry),".")</f>
        <v>11.413532045665495</v>
      </c>
      <c r="Z7" s="70">
        <f>IFERROR(DL/(RadSpec!F7*IFTO_res_adj*CF_tomato),".")</f>
        <v>6.1323445688126856</v>
      </c>
      <c r="AA7" s="70">
        <f>IFERROR(DL/(RadSpec!F7*IFRI_res_adj*CF_rice),".")</f>
        <v>5.9178186721535733</v>
      </c>
      <c r="AB7" s="70">
        <f>IFERROR(DL/(RadSpec!F7*IFCG_res_adj*CF_cereal),".")</f>
        <v>6.7871223421153797</v>
      </c>
      <c r="AC7" s="70">
        <f t="shared" si="0"/>
        <v>0.30314623717489825</v>
      </c>
      <c r="AD7" s="70">
        <f>IFERROR(DL/(RadSpec!F7*IFAP_far_adj*CF_apple),".")</f>
        <v>5.0778295437110614</v>
      </c>
      <c r="AE7" s="70">
        <f>IFERROR(DL/(RadSpec!F7*IFAS_far_adj*CF_asparagus),".")</f>
        <v>11.95986699192721</v>
      </c>
      <c r="AF7" s="70">
        <f>IFERROR(DL/(RadSpec!F7*IFBT_far_adj*CF_beet),".")</f>
        <v>14.233590875926643</v>
      </c>
      <c r="AG7" s="70">
        <f>IFERROR(DL/(RadSpec!F7*IFBE_far_adj*CF_berries),".")</f>
        <v>12.786898032799673</v>
      </c>
      <c r="AH7" s="70">
        <f>IFERROR(DL/(RadSpec!F7*IFBR_far_adj*CF_broccoli),".")</f>
        <v>13.747810575242077</v>
      </c>
      <c r="AI7" s="70">
        <f>IFERROR(DL/(RadSpec!F7*IFCB_far_adj*CF_cabbage),".")</f>
        <v>6.197189295780845</v>
      </c>
      <c r="AJ7" s="70">
        <f>IFERROR(DL/(RadSpec!F7*IFCR_far_adj*CF_carrot),".")</f>
        <v>18.89453552082929</v>
      </c>
      <c r="AK7" s="70">
        <f>IFERROR(DL/(RadSpec!F7*IFCI_far_adj*CF_citrus),".")</f>
        <v>1.4720783357653908</v>
      </c>
      <c r="AL7" s="70">
        <f>IFERROR(DL/(RadSpec!F7*IFCO_far_adj*CF_corn),".")</f>
        <v>5.7564633210389671</v>
      </c>
      <c r="AM7" s="70">
        <f>IFERROR(DL/(RadSpec!F7*IFCU_far_adj*CF_cucumber),".")</f>
        <v>8.735500488707574</v>
      </c>
      <c r="AN7" s="70">
        <f>IFERROR(DL/(RadSpec!F7*IFLE_far_adj*CF_lettuce),".")</f>
        <v>13.53100233403025</v>
      </c>
      <c r="AO7" s="70">
        <f>IFERROR(DL/(RadSpec!F7*IFLI_far_adj*CF_lima_bean),".")</f>
        <v>13.358257169560298</v>
      </c>
      <c r="AP7" s="70">
        <f>IFERROR(DL/(RadSpec!F7*IFOK_far_adj*CF_okra),".")</f>
        <v>15.743135009190055</v>
      </c>
      <c r="AQ7" s="70">
        <f>IFERROR(DL/(RadSpec!F7*IFON_far_adj*CF_onion),".")</f>
        <v>17.632570037009003</v>
      </c>
      <c r="AR7" s="70">
        <f>IFERROR(DL/(RadSpec!F7*IFPC_far_adj*CF_peach),".")</f>
        <v>4.1908897474764721</v>
      </c>
      <c r="AS7" s="70">
        <f>IFERROR(DL/(RadSpec!F7*IFPR_far_adj*CF_pear),".")</f>
        <v>6.8344819021894061</v>
      </c>
      <c r="AT7" s="70">
        <f>IFERROR(DL/(RadSpec!F7*IFPE_far_adj*CF_peas),".")</f>
        <v>14.338249632367278</v>
      </c>
      <c r="AU7" s="70">
        <f>IFERROR(DL/(RadSpec!F7*IFPP_far_adj*CF_peppers),".")</f>
        <v>20.023357246227725</v>
      </c>
      <c r="AV7" s="70">
        <f>IFERROR(DL/(RadSpec!F7*IFPT_far_adj*CF_potato),".")</f>
        <v>3.3413850689339437</v>
      </c>
      <c r="AW7" s="70">
        <f>IFERROR(DL/(RadSpec!F7*IFPU_far_adj*CF_pumpkin),".")</f>
        <v>7.5059125011010241</v>
      </c>
      <c r="AX7" s="70">
        <f>IFERROR(DL/(RadSpec!F7*IFSN_far_adj*CF_snap_bean),".")</f>
        <v>8.4732456843853257</v>
      </c>
      <c r="AY7" s="70">
        <f>IFERROR(DL/(RadSpec!F7*IFST_far_adj*CF_strawberry),".")</f>
        <v>11.103932418802355</v>
      </c>
      <c r="AZ7" s="70">
        <f>IFERROR(DL/(RadSpec!F7*IFTO_far_adj*CF_tomato),".")</f>
        <v>4.9750716572008464</v>
      </c>
      <c r="BA7" s="70">
        <f>IFERROR(DL/(RadSpec!F7*IFRI_far_adj*CF_rice),".")</f>
        <v>4.6882730889069339</v>
      </c>
      <c r="BB7" s="70">
        <f>IFERROR(DL/(RadSpec!F7*IFCG_far_adj*CF_cereal),".")</f>
        <v>5.4101825966382373</v>
      </c>
    </row>
    <row r="8" spans="1:54" x14ac:dyDescent="0.25">
      <c r="A8" s="86" t="s">
        <v>6</v>
      </c>
      <c r="B8" s="84" t="s">
        <v>1057</v>
      </c>
      <c r="C8" s="2">
        <f t="shared" si="1"/>
        <v>2.1638112182710469</v>
      </c>
      <c r="D8" s="70">
        <f>IFERROR(DL/(RadSpec!F8*IFAP_res_adj*CF_apple),".")</f>
        <v>39.221732912190546</v>
      </c>
      <c r="E8" s="70">
        <f>IFERROR(DL/(RadSpec!F8*IFAS_res_adj*CF_asparagus),".")</f>
        <v>85.718634049153763</v>
      </c>
      <c r="F8" s="70">
        <f>IFERROR(DL/(RadSpec!F8*IFBT_res_adj*CF_beet),".")</f>
        <v>103.3926426341415</v>
      </c>
      <c r="G8" s="70">
        <f>IFERROR(DL/(RadSpec!F8*IFBE_res_adj*CF_berries),".")</f>
        <v>88.195474898324278</v>
      </c>
      <c r="H8" s="70">
        <f>IFERROR(DL/(RadSpec!F8*IFBR_res_adj*CF_broccoli),".")</f>
        <v>108.6439487548831</v>
      </c>
      <c r="I8" s="70">
        <f>IFERROR(DL/(RadSpec!F8*IFCB_res_adj*CF_cabbage),".")</f>
        <v>42.223094106596541</v>
      </c>
      <c r="J8" s="70">
        <f>IFERROR(DL/(RadSpec!F8*IFCR_res_adj*CF_carrot),".")</f>
        <v>119.05405193489193</v>
      </c>
      <c r="K8" s="70">
        <f>IFERROR(DL/(RadSpec!F8*IFCI_res_adj*CF_citrus),".")</f>
        <v>10.167602960383418</v>
      </c>
      <c r="L8" s="70">
        <f>IFERROR(DL/(RadSpec!F8*IFCO_res_adj*CF_corn),".")</f>
        <v>55.74281611391477</v>
      </c>
      <c r="M8" s="70">
        <f>IFERROR(DL/(RadSpec!F8*IFCU_res_adj*CF_cucumber),".")</f>
        <v>41.75500920105867</v>
      </c>
      <c r="N8" s="70">
        <f>IFERROR(DL/(RadSpec!F8*IFLE_res_adj*CF_lettuce),".")</f>
        <v>99.21649271472242</v>
      </c>
      <c r="O8" s="70">
        <f>IFERROR(DL/(RadSpec!F8*IFLI_res_adj*CF_lima_bean),".")</f>
        <v>92.460487274275735</v>
      </c>
      <c r="P8" s="70">
        <f>IFERROR(DL/(RadSpec!F8*IFOK_res_adj*CF_okra),".")</f>
        <v>112.6846368763494</v>
      </c>
      <c r="Q8" s="70">
        <f>IFERROR(DL/(RadSpec!F8*IFON_res_adj*CF_onion),".")</f>
        <v>160.86121956946488</v>
      </c>
      <c r="R8" s="70">
        <f>IFERROR(DL/(RadSpec!F8*IFPC_res_adj*CF_peach),".")</f>
        <v>25.178889019340716</v>
      </c>
      <c r="S8" s="70">
        <f>IFERROR(DL/(RadSpec!F8*IFPR_res_adj*CF_pear),".")</f>
        <v>51.380127408267882</v>
      </c>
      <c r="T8" s="70">
        <f>IFERROR(DL/(RadSpec!F8*IFPE_res_adj*CF_peas),".")</f>
        <v>89.627540280211988</v>
      </c>
      <c r="U8" s="70">
        <f>IFERROR(DL/(RadSpec!F8*IFPP_res_adj*CF_peppers),".")</f>
        <v>179.36666863348196</v>
      </c>
      <c r="V8" s="70">
        <f>IFERROR(DL/(RadSpec!F8*IFPT_res_adj*CF_potato),".")</f>
        <v>26.365431348568009</v>
      </c>
      <c r="W8" s="70">
        <f>IFERROR(DL/(RadSpec!F8*IFPU_res_adj*CF_pumpkin),".")</f>
        <v>53.585504545726408</v>
      </c>
      <c r="X8" s="70">
        <f>IFERROR(DL/(RadSpec!F8*IFSN_res_adj*CF_snap_bean),".")</f>
        <v>60.1094433071504</v>
      </c>
      <c r="Y8" s="70">
        <f>IFERROR(DL/(RadSpec!F8*IFST_res_adj*CF_strawberry),".")</f>
        <v>76.658051052977214</v>
      </c>
      <c r="Z8" s="70">
        <f>IFERROR(DL/(RadSpec!F8*IFTO_res_adj*CF_tomato),".")</f>
        <v>41.187388895010578</v>
      </c>
      <c r="AA8" s="70">
        <f>IFERROR(DL/(RadSpec!F8*IFRI_res_adj*CF_rice),".")</f>
        <v>39.746543320434448</v>
      </c>
      <c r="AB8" s="70">
        <f>IFERROR(DL/(RadSpec!F8*IFCG_res_adj*CF_cereal),".")</f>
        <v>45.585150058983899</v>
      </c>
      <c r="AC8" s="70">
        <f t="shared" si="0"/>
        <v>2.0360568168463318</v>
      </c>
      <c r="AD8" s="70">
        <f>IFERROR(DL/(RadSpec!F8*IFAP_far_adj*CF_apple),".")</f>
        <v>34.104825293581754</v>
      </c>
      <c r="AE8" s="70">
        <f>IFERROR(DL/(RadSpec!F8*IFAS_far_adj*CF_asparagus),".")</f>
        <v>80.327464871152898</v>
      </c>
      <c r="AF8" s="70">
        <f>IFERROR(DL/(RadSpec!F8*IFBT_far_adj*CF_beet),".")</f>
        <v>95.598744689059544</v>
      </c>
      <c r="AG8" s="70">
        <f>IFERROR(DL/(RadSpec!F8*IFBE_far_adj*CF_berries),".")</f>
        <v>85.882150966564964</v>
      </c>
      <c r="AH8" s="70">
        <f>IFERROR(DL/(RadSpec!F8*IFBR_far_adj*CF_broccoli),".")</f>
        <v>92.336041176999018</v>
      </c>
      <c r="AI8" s="70">
        <f>IFERROR(DL/(RadSpec!F8*IFCB_far_adj*CF_cabbage),".")</f>
        <v>41.622913180617616</v>
      </c>
      <c r="AJ8" s="70">
        <f>IFERROR(DL/(RadSpec!F8*IFCR_far_adj*CF_carrot),".")</f>
        <v>126.90359678168925</v>
      </c>
      <c r="AK8" s="70">
        <f>IFERROR(DL/(RadSpec!F8*IFCI_far_adj*CF_citrus),".")</f>
        <v>9.8870932999168026</v>
      </c>
      <c r="AL8" s="70">
        <f>IFERROR(DL/(RadSpec!F8*IFCO_far_adj*CF_corn),".")</f>
        <v>38.662813350261722</v>
      </c>
      <c r="AM8" s="70">
        <f>IFERROR(DL/(RadSpec!F8*IFCU_far_adj*CF_cucumber),".")</f>
        <v>58.671271939080732</v>
      </c>
      <c r="AN8" s="70">
        <f>IFERROR(DL/(RadSpec!F8*IFLE_far_adj*CF_lettuce),".")</f>
        <v>90.87986642259122</v>
      </c>
      <c r="AO8" s="70">
        <f>IFERROR(DL/(RadSpec!F8*IFLI_far_adj*CF_lima_bean),".")</f>
        <v>89.719637706002004</v>
      </c>
      <c r="AP8" s="70">
        <f>IFERROR(DL/(RadSpec!F8*IFOK_far_adj*CF_okra),".")</f>
        <v>105.73747394232126</v>
      </c>
      <c r="AQ8" s="70">
        <f>IFERROR(DL/(RadSpec!F8*IFON_far_adj*CF_onion),".")</f>
        <v>118.42770920379181</v>
      </c>
      <c r="AR8" s="70">
        <f>IFERROR(DL/(RadSpec!F8*IFPC_far_adj*CF_peach),".")</f>
        <v>28.147766960662871</v>
      </c>
      <c r="AS8" s="70">
        <f>IFERROR(DL/(RadSpec!F8*IFPR_far_adj*CF_pear),".")</f>
        <v>45.903236656496006</v>
      </c>
      <c r="AT8" s="70">
        <f>IFERROR(DL/(RadSpec!F8*IFPE_far_adj*CF_peas),".")</f>
        <v>96.301676635302627</v>
      </c>
      <c r="AU8" s="70">
        <f>IFERROR(DL/(RadSpec!F8*IFPP_far_adj*CF_peppers),".")</f>
        <v>134.48523523585786</v>
      </c>
      <c r="AV8" s="70">
        <f>IFERROR(DL/(RadSpec!F8*IFPT_far_adj*CF_potato),".")</f>
        <v>22.442138522690666</v>
      </c>
      <c r="AW8" s="70">
        <f>IFERROR(DL/(RadSpec!F8*IFPU_far_adj*CF_pumpkin),".")</f>
        <v>50.412845156648672</v>
      </c>
      <c r="AX8" s="70">
        <f>IFERROR(DL/(RadSpec!F8*IFSN_far_adj*CF_snap_bean),".")</f>
        <v>56.909859074229793</v>
      </c>
      <c r="AY8" s="70">
        <f>IFERROR(DL/(RadSpec!F8*IFST_far_adj*CF_strawberry),".")</f>
        <v>74.578650574045682</v>
      </c>
      <c r="AZ8" s="70">
        <f>IFERROR(DL/(RadSpec!F8*IFTO_far_adj*CF_tomato),".")</f>
        <v>33.414660384184792</v>
      </c>
      <c r="BA8" s="70">
        <f>IFERROR(DL/(RadSpec!F8*IFRI_far_adj*CF_rice),".")</f>
        <v>31.488401343404782</v>
      </c>
      <c r="BB8" s="70">
        <f>IFERROR(DL/(RadSpec!F8*IFCG_far_adj*CF_cereal),".")</f>
        <v>36.337047290853832</v>
      </c>
    </row>
    <row r="9" spans="1:54" x14ac:dyDescent="0.25">
      <c r="A9" s="86" t="s">
        <v>7</v>
      </c>
      <c r="B9" s="84" t="s">
        <v>1057</v>
      </c>
      <c r="C9" s="2">
        <f t="shared" si="1"/>
        <v>3.8919557482996012</v>
      </c>
      <c r="D9" s="70">
        <f>IFERROR(DL/(RadSpec!F9*IFAP_res_adj*CF_apple),".")</f>
        <v>70.546472620584339</v>
      </c>
      <c r="E9" s="70">
        <f>IFERROR(DL/(RadSpec!F9*IFAS_res_adj*CF_asparagus),".")</f>
        <v>154.17848271928324</v>
      </c>
      <c r="F9" s="70">
        <f>IFERROR(DL/(RadSpec!F9*IFBT_res_adj*CF_beet),".")</f>
        <v>185.96797467080478</v>
      </c>
      <c r="G9" s="70">
        <f>IFERROR(DL/(RadSpec!F9*IFBE_res_adj*CF_berries),".")</f>
        <v>158.6334716292007</v>
      </c>
      <c r="H9" s="70">
        <f>IFERROR(DL/(RadSpec!F9*IFBR_res_adj*CF_broccoli),".")</f>
        <v>195.41327695509173</v>
      </c>
      <c r="I9" s="70">
        <f>IFERROR(DL/(RadSpec!F9*IFCB_res_adj*CF_cabbage),".")</f>
        <v>75.944894097770955</v>
      </c>
      <c r="J9" s="70">
        <f>IFERROR(DL/(RadSpec!F9*IFCR_res_adj*CF_carrot),".")</f>
        <v>214.13748938624855</v>
      </c>
      <c r="K9" s="70">
        <f>IFERROR(DL/(RadSpec!F9*IFCI_res_adj*CF_citrus),".")</f>
        <v>18.288037539481582</v>
      </c>
      <c r="L9" s="70">
        <f>IFERROR(DL/(RadSpec!F9*IFCO_res_adj*CF_corn),".")</f>
        <v>100.2622464330816</v>
      </c>
      <c r="M9" s="70">
        <f>IFERROR(DL/(RadSpec!F9*IFCU_res_adj*CF_cucumber),".")</f>
        <v>75.102969569689421</v>
      </c>
      <c r="N9" s="70">
        <f>IFERROR(DL/(RadSpec!F9*IFLE_res_adj*CF_lettuce),".")</f>
        <v>178.45651038621213</v>
      </c>
      <c r="O9" s="70">
        <f>IFERROR(DL/(RadSpec!F9*IFLI_res_adj*CF_lima_bean),".")</f>
        <v>166.30476905708656</v>
      </c>
      <c r="P9" s="70">
        <f>IFERROR(DL/(RadSpec!F9*IFOK_res_adj*CF_okra),".")</f>
        <v>202.68109183128618</v>
      </c>
      <c r="Q9" s="70">
        <f>IFERROR(DL/(RadSpec!F9*IFON_res_adj*CF_onion),".")</f>
        <v>289.33427412494348</v>
      </c>
      <c r="R9" s="70">
        <f>IFERROR(DL/(RadSpec!F9*IFPC_res_adj*CF_peach),".")</f>
        <v>45.288203068344366</v>
      </c>
      <c r="S9" s="70">
        <f>IFERROR(DL/(RadSpec!F9*IFPR_res_adj*CF_pear),".")</f>
        <v>92.415262720911343</v>
      </c>
      <c r="T9" s="70">
        <f>IFERROR(DL/(RadSpec!F9*IFPE_res_adj*CF_peas),".")</f>
        <v>161.20926708118665</v>
      </c>
      <c r="U9" s="70">
        <f>IFERROR(DL/(RadSpec!F9*IFPP_res_adj*CF_peppers),".")</f>
        <v>322.61924291122926</v>
      </c>
      <c r="V9" s="70">
        <f>IFERROR(DL/(RadSpec!F9*IFPT_res_adj*CF_potato),".")</f>
        <v>47.422386586686073</v>
      </c>
      <c r="W9" s="70">
        <f>IFERROR(DL/(RadSpec!F9*IFPU_res_adj*CF_pumpkin),".")</f>
        <v>96.381981330568308</v>
      </c>
      <c r="X9" s="70">
        <f>IFERROR(DL/(RadSpec!F9*IFSN_res_adj*CF_snap_bean),".")</f>
        <v>108.11631413635105</v>
      </c>
      <c r="Y9" s="70">
        <f>IFERROR(DL/(RadSpec!F9*IFST_res_adj*CF_strawberry),".")</f>
        <v>137.88159518253619</v>
      </c>
      <c r="Z9" s="70">
        <f>IFERROR(DL/(RadSpec!F9*IFTO_res_adj*CF_tomato),".")</f>
        <v>74.08201492525393</v>
      </c>
      <c r="AA9" s="70">
        <f>IFERROR(DL/(RadSpec!F9*IFRI_res_adj*CF_rice),".")</f>
        <v>71.490426911922356</v>
      </c>
      <c r="AB9" s="70">
        <f>IFERROR(DL/(RadSpec!F9*IFCG_res_adj*CF_cereal),".")</f>
        <v>81.992081985286475</v>
      </c>
      <c r="AC9" s="70">
        <f t="shared" si="0"/>
        <v>3.6621693081531324</v>
      </c>
      <c r="AD9" s="70">
        <f>IFERROR(DL/(RadSpec!F9*IFAP_far_adj*CF_apple),".")</f>
        <v>61.342907239462484</v>
      </c>
      <c r="AE9" s="70">
        <f>IFERROR(DL/(RadSpec!F9*IFAS_far_adj*CF_asparagus),".")</f>
        <v>144.48161466757702</v>
      </c>
      <c r="AF9" s="70">
        <f>IFERROR(DL/(RadSpec!F9*IFBT_far_adj*CF_beet),".")</f>
        <v>171.94941997763729</v>
      </c>
      <c r="AG9" s="70">
        <f>IFERROR(DL/(RadSpec!F9*IFBE_far_adj*CF_berries),".")</f>
        <v>154.47259368482824</v>
      </c>
      <c r="AH9" s="70">
        <f>IFERROR(DL/(RadSpec!F9*IFBR_far_adj*CF_broccoli),".")</f>
        <v>166.08093312372978</v>
      </c>
      <c r="AI9" s="70">
        <f>IFERROR(DL/(RadSpec!F9*IFCB_far_adj*CF_cabbage),".")</f>
        <v>74.865374042990069</v>
      </c>
      <c r="AJ9" s="70">
        <f>IFERROR(DL/(RadSpec!F9*IFCR_far_adj*CF_carrot),".")</f>
        <v>228.25613380867594</v>
      </c>
      <c r="AK9" s="70">
        <f>IFERROR(DL/(RadSpec!F9*IFCI_far_adj*CF_citrus),".")</f>
        <v>17.783496673675863</v>
      </c>
      <c r="AL9" s="70">
        <f>IFERROR(DL/(RadSpec!F9*IFCO_far_adj*CF_corn),".")</f>
        <v>69.541167636712345</v>
      </c>
      <c r="AM9" s="70">
        <f>IFERROR(DL/(RadSpec!F9*IFCU_far_adj*CF_cucumber),".")</f>
        <v>105.52953610519218</v>
      </c>
      <c r="AN9" s="70">
        <f>IFERROR(DL/(RadSpec!F9*IFLE_far_adj*CF_lettuce),".")</f>
        <v>163.46177316278153</v>
      </c>
      <c r="AO9" s="70">
        <f>IFERROR(DL/(RadSpec!F9*IFLI_far_adj*CF_lima_bean),".")</f>
        <v>161.37491882690293</v>
      </c>
      <c r="AP9" s="70">
        <f>IFERROR(DL/(RadSpec!F9*IFOK_far_adj*CF_okra),".")</f>
        <v>190.18552360095367</v>
      </c>
      <c r="AQ9" s="70">
        <f>IFERROR(DL/(RadSpec!F9*IFON_far_adj*CF_onion),".")</f>
        <v>213.01091319876645</v>
      </c>
      <c r="AR9" s="70">
        <f>IFERROR(DL/(RadSpec!F9*IFPC_far_adj*CF_peach),".")</f>
        <v>50.628198291662073</v>
      </c>
      <c r="AS9" s="70">
        <f>IFERROR(DL/(RadSpec!F9*IFPR_far_adj*CF_pear),".")</f>
        <v>82.564210898932416</v>
      </c>
      <c r="AT9" s="70">
        <f>IFERROR(DL/(RadSpec!F9*IFPE_far_adj*CF_peas),".")</f>
        <v>173.21375394806108</v>
      </c>
      <c r="AU9" s="70">
        <f>IFERROR(DL/(RadSpec!F9*IFPP_far_adj*CF_peppers),".")</f>
        <v>241.89290633026778</v>
      </c>
      <c r="AV9" s="70">
        <f>IFERROR(DL/(RadSpec!F9*IFPT_far_adj*CF_potato),".")</f>
        <v>40.365725664973816</v>
      </c>
      <c r="AW9" s="70">
        <f>IFERROR(DL/(RadSpec!F9*IFPU_far_adj*CF_pumpkin),".")</f>
        <v>90.67545303343519</v>
      </c>
      <c r="AX9" s="70">
        <f>IFERROR(DL/(RadSpec!F9*IFSN_far_adj*CF_snap_bean),".")</f>
        <v>102.36135726103076</v>
      </c>
      <c r="AY9" s="70">
        <f>IFERROR(DL/(RadSpec!F9*IFST_far_adj*CF_strawberry),".")</f>
        <v>134.14146546204188</v>
      </c>
      <c r="AZ9" s="70">
        <f>IFERROR(DL/(RadSpec!F9*IFTO_far_adj*CF_tomato),".")</f>
        <v>60.101536798399486</v>
      </c>
      <c r="BA9" s="70">
        <f>IFERROR(DL/(RadSpec!F9*IFRI_far_adj*CF_rice),".")</f>
        <v>56.636856107600543</v>
      </c>
      <c r="BB9" s="70">
        <f>IFERROR(DL/(RadSpec!F9*IFCG_far_adj*CF_cereal),".")</f>
        <v>65.357910563414947</v>
      </c>
    </row>
    <row r="10" spans="1:54" x14ac:dyDescent="0.25">
      <c r="A10" s="88" t="s">
        <v>8</v>
      </c>
      <c r="B10" s="84" t="s">
        <v>335</v>
      </c>
      <c r="C10" s="2">
        <f t="shared" si="1"/>
        <v>4.3601609511025617E-2</v>
      </c>
      <c r="D10" s="70">
        <f>IFERROR(DL/(RadSpec!F10*IFAP_res_adj*CF_apple),".")</f>
        <v>0.79033266319301254</v>
      </c>
      <c r="E10" s="70">
        <f>IFERROR(DL/(RadSpec!F10*IFAS_res_adj*CF_asparagus),".")</f>
        <v>1.7272627011408428</v>
      </c>
      <c r="F10" s="70">
        <f>IFERROR(DL/(RadSpec!F10*IFBT_res_adj*CF_beet),".")</f>
        <v>2.0834006184924752</v>
      </c>
      <c r="G10" s="70">
        <f>IFERROR(DL/(RadSpec!F10*IFBE_res_adj*CF_berries),".")</f>
        <v>1.777171975394805</v>
      </c>
      <c r="H10" s="70">
        <f>IFERROR(DL/(RadSpec!F10*IFBR_res_adj*CF_broccoli),".")</f>
        <v>2.1892164110006518</v>
      </c>
      <c r="I10" s="70">
        <f>IFERROR(DL/(RadSpec!F10*IFCB_res_adj*CF_cabbage),".")</f>
        <v>0.85081121959156958</v>
      </c>
      <c r="J10" s="70">
        <f>IFERROR(DL/(RadSpec!F10*IFCR_res_adj*CF_carrot),".")</f>
        <v>2.3989839036504539</v>
      </c>
      <c r="K10" s="70">
        <f>IFERROR(DL/(RadSpec!F10*IFCI_res_adj*CF_citrus),".")</f>
        <v>0.20488102205885383</v>
      </c>
      <c r="L10" s="70">
        <f>IFERROR(DL/(RadSpec!F10*IFCO_res_adj*CF_corn),".")</f>
        <v>1.1232387006412901</v>
      </c>
      <c r="M10" s="70">
        <f>IFERROR(DL/(RadSpec!F10*IFCU_res_adj*CF_cucumber),".")</f>
        <v>0.84137913277321241</v>
      </c>
      <c r="N10" s="70">
        <f>IFERROR(DL/(RadSpec!F10*IFLE_res_adj*CF_lettuce),".")</f>
        <v>1.9992496276350082</v>
      </c>
      <c r="O10" s="70">
        <f>IFERROR(DL/(RadSpec!F10*IFLI_res_adj*CF_lima_bean),".")</f>
        <v>1.8631135781583383</v>
      </c>
      <c r="P10" s="70">
        <f>IFERROR(DL/(RadSpec!F10*IFOK_res_adj*CF_okra),".")</f>
        <v>2.270637795703883</v>
      </c>
      <c r="Q10" s="70">
        <f>IFERROR(DL/(RadSpec!F10*IFON_res_adj*CF_onion),".")</f>
        <v>3.2414140484674125</v>
      </c>
      <c r="R10" s="70">
        <f>IFERROR(DL/(RadSpec!F10*IFPC_res_adj*CF_peach),".")</f>
        <v>0.50736407948746698</v>
      </c>
      <c r="S10" s="70">
        <f>IFERROR(DL/(RadSpec!F10*IFPR_res_adj*CF_pear),".")</f>
        <v>1.0353288831139693</v>
      </c>
      <c r="T10" s="70">
        <f>IFERROR(DL/(RadSpec!F10*IFPE_res_adj*CF_peas),".")</f>
        <v>1.8060286312102867</v>
      </c>
      <c r="U10" s="70">
        <f>IFERROR(DL/(RadSpec!F10*IFPP_res_adj*CF_peppers),".")</f>
        <v>3.6143058040430951</v>
      </c>
      <c r="V10" s="70">
        <f>IFERROR(DL/(RadSpec!F10*IFPT_res_adj*CF_potato),".")</f>
        <v>0.53127335348994176</v>
      </c>
      <c r="W10" s="70">
        <f>IFERROR(DL/(RadSpec!F10*IFPU_res_adj*CF_pumpkin),".")</f>
        <v>1.0797680615229082</v>
      </c>
      <c r="X10" s="70">
        <f>IFERROR(DL/(RadSpec!F10*IFSN_res_adj*CF_snap_bean),".")</f>
        <v>1.2112278801741585</v>
      </c>
      <c r="Y10" s="70">
        <f>IFERROR(DL/(RadSpec!F10*IFST_res_adj*CF_strawberry),".")</f>
        <v>1.5446885475336762</v>
      </c>
      <c r="Z10" s="70">
        <f>IFERROR(DL/(RadSpec!F10*IFTO_res_adj*CF_tomato),".")</f>
        <v>0.82994137021525072</v>
      </c>
      <c r="AA10" s="70">
        <f>IFERROR(DL/(RadSpec!F10*IFRI_res_adj*CF_rice),".")</f>
        <v>0.80090779021627312</v>
      </c>
      <c r="AB10" s="70">
        <f>IFERROR(DL/(RadSpec!F10*IFCG_res_adj*CF_cereal),".")</f>
        <v>0.91855791096298389</v>
      </c>
      <c r="AC10" s="70">
        <f t="shared" si="0"/>
        <v>4.1027310294347134E-2</v>
      </c>
      <c r="AD10" s="70">
        <f>IFERROR(DL/(RadSpec!F10*IFAP_far_adj*CF_apple),".")</f>
        <v>0.68722505102856468</v>
      </c>
      <c r="AE10" s="70">
        <f>IFERROR(DL/(RadSpec!F10*IFAS_far_adj*CF_asparagus),".")</f>
        <v>1.6186286154487952</v>
      </c>
      <c r="AF10" s="70">
        <f>IFERROR(DL/(RadSpec!F10*IFBT_far_adj*CF_beet),".")</f>
        <v>1.9263506448622527</v>
      </c>
      <c r="AG10" s="70">
        <f>IFERROR(DL/(RadSpec!F10*IFBE_far_adj*CF_berries),".")</f>
        <v>1.7305576284992037</v>
      </c>
      <c r="AH10" s="70">
        <f>IFERROR(DL/(RadSpec!F10*IFBR_far_adj*CF_broccoli),".")</f>
        <v>1.8606059425139654</v>
      </c>
      <c r="AI10" s="70">
        <f>IFERROR(DL/(RadSpec!F10*IFCB_far_adj*CF_cabbage),".")</f>
        <v>0.83871734830116706</v>
      </c>
      <c r="AJ10" s="70">
        <f>IFERROR(DL/(RadSpec!F10*IFCR_far_adj*CF_carrot),".")</f>
        <v>2.5571551832701296</v>
      </c>
      <c r="AK10" s="70">
        <f>IFERROR(DL/(RadSpec!F10*IFCI_far_adj*CF_citrus),".")</f>
        <v>0.19922864694569198</v>
      </c>
      <c r="AL10" s="70">
        <f>IFERROR(DL/(RadSpec!F10*IFCO_far_adj*CF_corn),".")</f>
        <v>0.77907022390001057</v>
      </c>
      <c r="AM10" s="70">
        <f>IFERROR(DL/(RadSpec!F10*IFCU_far_adj*CF_cucumber),".")</f>
        <v>1.1822481864416268</v>
      </c>
      <c r="AN10" s="70">
        <f>IFERROR(DL/(RadSpec!F10*IFLE_far_adj*CF_lettuce),".")</f>
        <v>1.8312634737785298</v>
      </c>
      <c r="AO10" s="70">
        <f>IFERROR(DL/(RadSpec!F10*IFLI_far_adj*CF_lima_bean),".")</f>
        <v>1.807884428963048</v>
      </c>
      <c r="AP10" s="70">
        <f>IFERROR(DL/(RadSpec!F10*IFOK_far_adj*CF_okra),".")</f>
        <v>2.1306498508678273</v>
      </c>
      <c r="AQ10" s="70">
        <f>IFERROR(DL/(RadSpec!F10*IFON_far_adj*CF_onion),".")</f>
        <v>2.3863628621515942</v>
      </c>
      <c r="AR10" s="70">
        <f>IFERROR(DL/(RadSpec!F10*IFPC_far_adj*CF_peach),".")</f>
        <v>0.56718808612463523</v>
      </c>
      <c r="AS10" s="70">
        <f>IFERROR(DL/(RadSpec!F10*IFPR_far_adj*CF_pear),".")</f>
        <v>0.92496747548428049</v>
      </c>
      <c r="AT10" s="70">
        <f>IFERROR(DL/(RadSpec!F10*IFPE_far_adj*CF_peas),".")</f>
        <v>1.9405149878391805</v>
      </c>
      <c r="AU10" s="70">
        <f>IFERROR(DL/(RadSpec!F10*IFPP_far_adj*CF_peppers),".")</f>
        <v>2.7099280483616472</v>
      </c>
      <c r="AV10" s="70">
        <f>IFERROR(DL/(RadSpec!F10*IFPT_far_adj*CF_potato),".")</f>
        <v>0.45221752812639837</v>
      </c>
      <c r="AW10" s="70">
        <f>IFERROR(DL/(RadSpec!F10*IFPU_far_adj*CF_pumpkin),".")</f>
        <v>1.015837782103898</v>
      </c>
      <c r="AX10" s="70">
        <f>IFERROR(DL/(RadSpec!F10*IFSN_far_adj*CF_snap_bean),".")</f>
        <v>1.1467550550295929</v>
      </c>
      <c r="AY10" s="70">
        <f>IFERROR(DL/(RadSpec!F10*IFST_far_adj*CF_strawberry),".")</f>
        <v>1.5027878461537023</v>
      </c>
      <c r="AZ10" s="70">
        <f>IFERROR(DL/(RadSpec!F10*IFTO_far_adj*CF_tomato),".")</f>
        <v>0.67331796864372362</v>
      </c>
      <c r="BA10" s="70">
        <f>IFERROR(DL/(RadSpec!F10*IFRI_far_adj*CF_rice),".")</f>
        <v>0.63450312481447224</v>
      </c>
      <c r="BB10" s="70">
        <f>IFERROR(DL/(RadSpec!F10*IFCG_far_adj*CF_cereal),".")</f>
        <v>0.73220516345479902</v>
      </c>
    </row>
    <row r="11" spans="1:54" x14ac:dyDescent="0.25">
      <c r="A11" s="86" t="s">
        <v>9</v>
      </c>
      <c r="B11" s="84" t="s">
        <v>1057</v>
      </c>
      <c r="C11" s="2" t="str">
        <f t="shared" si="1"/>
        <v>.</v>
      </c>
      <c r="D11" s="70" t="str">
        <f>IFERROR(DL/(RadSpec!F11*IFAP_res_adj*CF_apple),".")</f>
        <v>.</v>
      </c>
      <c r="E11" s="70" t="str">
        <f>IFERROR(DL/(RadSpec!F11*IFAS_res_adj*CF_asparagus),".")</f>
        <v>.</v>
      </c>
      <c r="F11" s="70" t="str">
        <f>IFERROR(DL/(RadSpec!F11*IFBT_res_adj*CF_beet),".")</f>
        <v>.</v>
      </c>
      <c r="G11" s="70" t="str">
        <f>IFERROR(DL/(RadSpec!F11*IFBE_res_adj*CF_berries),".")</f>
        <v>.</v>
      </c>
      <c r="H11" s="70" t="str">
        <f>IFERROR(DL/(RadSpec!F11*IFBR_res_adj*CF_broccoli),".")</f>
        <v>.</v>
      </c>
      <c r="I11" s="70" t="str">
        <f>IFERROR(DL/(RadSpec!F11*IFCB_res_adj*CF_cabbage),".")</f>
        <v>.</v>
      </c>
      <c r="J11" s="70" t="str">
        <f>IFERROR(DL/(RadSpec!F11*IFCR_res_adj*CF_carrot),".")</f>
        <v>.</v>
      </c>
      <c r="K11" s="70" t="str">
        <f>IFERROR(DL/(RadSpec!F11*IFCI_res_adj*CF_citrus),".")</f>
        <v>.</v>
      </c>
      <c r="L11" s="70" t="str">
        <f>IFERROR(DL/(RadSpec!F11*IFCO_res_adj*CF_corn),".")</f>
        <v>.</v>
      </c>
      <c r="M11" s="70" t="str">
        <f>IFERROR(DL/(RadSpec!F11*IFCU_res_adj*CF_cucumber),".")</f>
        <v>.</v>
      </c>
      <c r="N11" s="70" t="str">
        <f>IFERROR(DL/(RadSpec!F11*IFLE_res_adj*CF_lettuce),".")</f>
        <v>.</v>
      </c>
      <c r="O11" s="70" t="str">
        <f>IFERROR(DL/(RadSpec!F11*IFLI_res_adj*CF_lima_bean),".")</f>
        <v>.</v>
      </c>
      <c r="P11" s="70" t="str">
        <f>IFERROR(DL/(RadSpec!F11*IFOK_res_adj*CF_okra),".")</f>
        <v>.</v>
      </c>
      <c r="Q11" s="70" t="str">
        <f>IFERROR(DL/(RadSpec!F11*IFON_res_adj*CF_onion),".")</f>
        <v>.</v>
      </c>
      <c r="R11" s="70" t="str">
        <f>IFERROR(DL/(RadSpec!F11*IFPC_res_adj*CF_peach),".")</f>
        <v>.</v>
      </c>
      <c r="S11" s="70" t="str">
        <f>IFERROR(DL/(RadSpec!F11*IFPR_res_adj*CF_pear),".")</f>
        <v>.</v>
      </c>
      <c r="T11" s="70" t="str">
        <f>IFERROR(DL/(RadSpec!F11*IFPE_res_adj*CF_peas),".")</f>
        <v>.</v>
      </c>
      <c r="U11" s="70" t="str">
        <f>IFERROR(DL/(RadSpec!F11*IFPP_res_adj*CF_peppers),".")</f>
        <v>.</v>
      </c>
      <c r="V11" s="70" t="str">
        <f>IFERROR(DL/(RadSpec!F11*IFPT_res_adj*CF_potato),".")</f>
        <v>.</v>
      </c>
      <c r="W11" s="70" t="str">
        <f>IFERROR(DL/(RadSpec!F11*IFPU_res_adj*CF_pumpkin),".")</f>
        <v>.</v>
      </c>
      <c r="X11" s="70" t="str">
        <f>IFERROR(DL/(RadSpec!F11*IFSN_res_adj*CF_snap_bean),".")</f>
        <v>.</v>
      </c>
      <c r="Y11" s="70" t="str">
        <f>IFERROR(DL/(RadSpec!F11*IFST_res_adj*CF_strawberry),".")</f>
        <v>.</v>
      </c>
      <c r="Z11" s="70" t="str">
        <f>IFERROR(DL/(RadSpec!F11*IFTO_res_adj*CF_tomato),".")</f>
        <v>.</v>
      </c>
      <c r="AA11" s="70" t="str">
        <f>IFERROR(DL/(RadSpec!F11*IFRI_res_adj*CF_rice),".")</f>
        <v>.</v>
      </c>
      <c r="AB11" s="70" t="str">
        <f>IFERROR(DL/(RadSpec!F11*IFCG_res_adj*CF_cereal),".")</f>
        <v>.</v>
      </c>
      <c r="AC11" s="70" t="str">
        <f t="shared" si="0"/>
        <v>.</v>
      </c>
      <c r="AD11" s="70" t="str">
        <f>IFERROR(DL/(RadSpec!F11*IFAP_far_adj*CF_apple),".")</f>
        <v>.</v>
      </c>
      <c r="AE11" s="70" t="str">
        <f>IFERROR(DL/(RadSpec!F11*IFAS_far_adj*CF_asparagus),".")</f>
        <v>.</v>
      </c>
      <c r="AF11" s="70" t="str">
        <f>IFERROR(DL/(RadSpec!F11*IFBT_far_adj*CF_beet),".")</f>
        <v>.</v>
      </c>
      <c r="AG11" s="70" t="str">
        <f>IFERROR(DL/(RadSpec!F11*IFBE_far_adj*CF_berries),".")</f>
        <v>.</v>
      </c>
      <c r="AH11" s="70" t="str">
        <f>IFERROR(DL/(RadSpec!F11*IFBR_far_adj*CF_broccoli),".")</f>
        <v>.</v>
      </c>
      <c r="AI11" s="70" t="str">
        <f>IFERROR(DL/(RadSpec!F11*IFCB_far_adj*CF_cabbage),".")</f>
        <v>.</v>
      </c>
      <c r="AJ11" s="70" t="str">
        <f>IFERROR(DL/(RadSpec!F11*IFCR_far_adj*CF_carrot),".")</f>
        <v>.</v>
      </c>
      <c r="AK11" s="70" t="str">
        <f>IFERROR(DL/(RadSpec!F11*IFCI_far_adj*CF_citrus),".")</f>
        <v>.</v>
      </c>
      <c r="AL11" s="70" t="str">
        <f>IFERROR(DL/(RadSpec!F11*IFCO_far_adj*CF_corn),".")</f>
        <v>.</v>
      </c>
      <c r="AM11" s="70" t="str">
        <f>IFERROR(DL/(RadSpec!F11*IFCU_far_adj*CF_cucumber),".")</f>
        <v>.</v>
      </c>
      <c r="AN11" s="70" t="str">
        <f>IFERROR(DL/(RadSpec!F11*IFLE_far_adj*CF_lettuce),".")</f>
        <v>.</v>
      </c>
      <c r="AO11" s="70" t="str">
        <f>IFERROR(DL/(RadSpec!F11*IFLI_far_adj*CF_lima_bean),".")</f>
        <v>.</v>
      </c>
      <c r="AP11" s="70" t="str">
        <f>IFERROR(DL/(RadSpec!F11*IFOK_far_adj*CF_okra),".")</f>
        <v>.</v>
      </c>
      <c r="AQ11" s="70" t="str">
        <f>IFERROR(DL/(RadSpec!F11*IFON_far_adj*CF_onion),".")</f>
        <v>.</v>
      </c>
      <c r="AR11" s="70" t="str">
        <f>IFERROR(DL/(RadSpec!F11*IFPC_far_adj*CF_peach),".")</f>
        <v>.</v>
      </c>
      <c r="AS11" s="70" t="str">
        <f>IFERROR(DL/(RadSpec!F11*IFPR_far_adj*CF_pear),".")</f>
        <v>.</v>
      </c>
      <c r="AT11" s="70" t="str">
        <f>IFERROR(DL/(RadSpec!F11*IFPE_far_adj*CF_peas),".")</f>
        <v>.</v>
      </c>
      <c r="AU11" s="70" t="str">
        <f>IFERROR(DL/(RadSpec!F11*IFPP_far_adj*CF_peppers),".")</f>
        <v>.</v>
      </c>
      <c r="AV11" s="70" t="str">
        <f>IFERROR(DL/(RadSpec!F11*IFPT_far_adj*CF_potato),".")</f>
        <v>.</v>
      </c>
      <c r="AW11" s="70" t="str">
        <f>IFERROR(DL/(RadSpec!F11*IFPU_far_adj*CF_pumpkin),".")</f>
        <v>.</v>
      </c>
      <c r="AX11" s="70" t="str">
        <f>IFERROR(DL/(RadSpec!F11*IFSN_far_adj*CF_snap_bean),".")</f>
        <v>.</v>
      </c>
      <c r="AY11" s="70" t="str">
        <f>IFERROR(DL/(RadSpec!F11*IFST_far_adj*CF_strawberry),".")</f>
        <v>.</v>
      </c>
      <c r="AZ11" s="70" t="str">
        <f>IFERROR(DL/(RadSpec!F11*IFTO_far_adj*CF_tomato),".")</f>
        <v>.</v>
      </c>
      <c r="BA11" s="70" t="str">
        <f>IFERROR(DL/(RadSpec!F11*IFRI_far_adj*CF_rice),".")</f>
        <v>.</v>
      </c>
      <c r="BB11" s="70" t="str">
        <f>IFERROR(DL/(RadSpec!F11*IFCG_far_adj*CF_cereal),".")</f>
        <v>.</v>
      </c>
    </row>
    <row r="12" spans="1:54" x14ac:dyDescent="0.25">
      <c r="A12" s="86" t="s">
        <v>10</v>
      </c>
      <c r="B12" s="84" t="s">
        <v>1057</v>
      </c>
      <c r="C12" s="2" t="str">
        <f t="shared" si="1"/>
        <v>.</v>
      </c>
      <c r="D12" s="70" t="str">
        <f>IFERROR(DL/(RadSpec!F12*IFAP_res_adj*CF_apple),".")</f>
        <v>.</v>
      </c>
      <c r="E12" s="70" t="str">
        <f>IFERROR(DL/(RadSpec!F12*IFAS_res_adj*CF_asparagus),".")</f>
        <v>.</v>
      </c>
      <c r="F12" s="70" t="str">
        <f>IFERROR(DL/(RadSpec!F12*IFBT_res_adj*CF_beet),".")</f>
        <v>.</v>
      </c>
      <c r="G12" s="70" t="str">
        <f>IFERROR(DL/(RadSpec!F12*IFBE_res_adj*CF_berries),".")</f>
        <v>.</v>
      </c>
      <c r="H12" s="70" t="str">
        <f>IFERROR(DL/(RadSpec!F12*IFBR_res_adj*CF_broccoli),".")</f>
        <v>.</v>
      </c>
      <c r="I12" s="70" t="str">
        <f>IFERROR(DL/(RadSpec!F12*IFCB_res_adj*CF_cabbage),".")</f>
        <v>.</v>
      </c>
      <c r="J12" s="70" t="str">
        <f>IFERROR(DL/(RadSpec!F12*IFCR_res_adj*CF_carrot),".")</f>
        <v>.</v>
      </c>
      <c r="K12" s="70" t="str">
        <f>IFERROR(DL/(RadSpec!F12*IFCI_res_adj*CF_citrus),".")</f>
        <v>.</v>
      </c>
      <c r="L12" s="70" t="str">
        <f>IFERROR(DL/(RadSpec!F12*IFCO_res_adj*CF_corn),".")</f>
        <v>.</v>
      </c>
      <c r="M12" s="70" t="str">
        <f>IFERROR(DL/(RadSpec!F12*IFCU_res_adj*CF_cucumber),".")</f>
        <v>.</v>
      </c>
      <c r="N12" s="70" t="str">
        <f>IFERROR(DL/(RadSpec!F12*IFLE_res_adj*CF_lettuce),".")</f>
        <v>.</v>
      </c>
      <c r="O12" s="70" t="str">
        <f>IFERROR(DL/(RadSpec!F12*IFLI_res_adj*CF_lima_bean),".")</f>
        <v>.</v>
      </c>
      <c r="P12" s="70" t="str">
        <f>IFERROR(DL/(RadSpec!F12*IFOK_res_adj*CF_okra),".")</f>
        <v>.</v>
      </c>
      <c r="Q12" s="70" t="str">
        <f>IFERROR(DL/(RadSpec!F12*IFON_res_adj*CF_onion),".")</f>
        <v>.</v>
      </c>
      <c r="R12" s="70" t="str">
        <f>IFERROR(DL/(RadSpec!F12*IFPC_res_adj*CF_peach),".")</f>
        <v>.</v>
      </c>
      <c r="S12" s="70" t="str">
        <f>IFERROR(DL/(RadSpec!F12*IFPR_res_adj*CF_pear),".")</f>
        <v>.</v>
      </c>
      <c r="T12" s="70" t="str">
        <f>IFERROR(DL/(RadSpec!F12*IFPE_res_adj*CF_peas),".")</f>
        <v>.</v>
      </c>
      <c r="U12" s="70" t="str">
        <f>IFERROR(DL/(RadSpec!F12*IFPP_res_adj*CF_peppers),".")</f>
        <v>.</v>
      </c>
      <c r="V12" s="70" t="str">
        <f>IFERROR(DL/(RadSpec!F12*IFPT_res_adj*CF_potato),".")</f>
        <v>.</v>
      </c>
      <c r="W12" s="70" t="str">
        <f>IFERROR(DL/(RadSpec!F12*IFPU_res_adj*CF_pumpkin),".")</f>
        <v>.</v>
      </c>
      <c r="X12" s="70" t="str">
        <f>IFERROR(DL/(RadSpec!F12*IFSN_res_adj*CF_snap_bean),".")</f>
        <v>.</v>
      </c>
      <c r="Y12" s="70" t="str">
        <f>IFERROR(DL/(RadSpec!F12*IFST_res_adj*CF_strawberry),".")</f>
        <v>.</v>
      </c>
      <c r="Z12" s="70" t="str">
        <f>IFERROR(DL/(RadSpec!F12*IFTO_res_adj*CF_tomato),".")</f>
        <v>.</v>
      </c>
      <c r="AA12" s="70" t="str">
        <f>IFERROR(DL/(RadSpec!F12*IFRI_res_adj*CF_rice),".")</f>
        <v>.</v>
      </c>
      <c r="AB12" s="70" t="str">
        <f>IFERROR(DL/(RadSpec!F12*IFCG_res_adj*CF_cereal),".")</f>
        <v>.</v>
      </c>
      <c r="AC12" s="70" t="str">
        <f t="shared" si="0"/>
        <v>.</v>
      </c>
      <c r="AD12" s="70" t="str">
        <f>IFERROR(DL/(RadSpec!F12*IFAP_far_adj*CF_apple),".")</f>
        <v>.</v>
      </c>
      <c r="AE12" s="70" t="str">
        <f>IFERROR(DL/(RadSpec!F12*IFAS_far_adj*CF_asparagus),".")</f>
        <v>.</v>
      </c>
      <c r="AF12" s="70" t="str">
        <f>IFERROR(DL/(RadSpec!F12*IFBT_far_adj*CF_beet),".")</f>
        <v>.</v>
      </c>
      <c r="AG12" s="70" t="str">
        <f>IFERROR(DL/(RadSpec!F12*IFBE_far_adj*CF_berries),".")</f>
        <v>.</v>
      </c>
      <c r="AH12" s="70" t="str">
        <f>IFERROR(DL/(RadSpec!F12*IFBR_far_adj*CF_broccoli),".")</f>
        <v>.</v>
      </c>
      <c r="AI12" s="70" t="str">
        <f>IFERROR(DL/(RadSpec!F12*IFCB_far_adj*CF_cabbage),".")</f>
        <v>.</v>
      </c>
      <c r="AJ12" s="70" t="str">
        <f>IFERROR(DL/(RadSpec!F12*IFCR_far_adj*CF_carrot),".")</f>
        <v>.</v>
      </c>
      <c r="AK12" s="70" t="str">
        <f>IFERROR(DL/(RadSpec!F12*IFCI_far_adj*CF_citrus),".")</f>
        <v>.</v>
      </c>
      <c r="AL12" s="70" t="str">
        <f>IFERROR(DL/(RadSpec!F12*IFCO_far_adj*CF_corn),".")</f>
        <v>.</v>
      </c>
      <c r="AM12" s="70" t="str">
        <f>IFERROR(DL/(RadSpec!F12*IFCU_far_adj*CF_cucumber),".")</f>
        <v>.</v>
      </c>
      <c r="AN12" s="70" t="str">
        <f>IFERROR(DL/(RadSpec!F12*IFLE_far_adj*CF_lettuce),".")</f>
        <v>.</v>
      </c>
      <c r="AO12" s="70" t="str">
        <f>IFERROR(DL/(RadSpec!F12*IFLI_far_adj*CF_lima_bean),".")</f>
        <v>.</v>
      </c>
      <c r="AP12" s="70" t="str">
        <f>IFERROR(DL/(RadSpec!F12*IFOK_far_adj*CF_okra),".")</f>
        <v>.</v>
      </c>
      <c r="AQ12" s="70" t="str">
        <f>IFERROR(DL/(RadSpec!F12*IFON_far_adj*CF_onion),".")</f>
        <v>.</v>
      </c>
      <c r="AR12" s="70" t="str">
        <f>IFERROR(DL/(RadSpec!F12*IFPC_far_adj*CF_peach),".")</f>
        <v>.</v>
      </c>
      <c r="AS12" s="70" t="str">
        <f>IFERROR(DL/(RadSpec!F12*IFPR_far_adj*CF_pear),".")</f>
        <v>.</v>
      </c>
      <c r="AT12" s="70" t="str">
        <f>IFERROR(DL/(RadSpec!F12*IFPE_far_adj*CF_peas),".")</f>
        <v>.</v>
      </c>
      <c r="AU12" s="70" t="str">
        <f>IFERROR(DL/(RadSpec!F12*IFPP_far_adj*CF_peppers),".")</f>
        <v>.</v>
      </c>
      <c r="AV12" s="70" t="str">
        <f>IFERROR(DL/(RadSpec!F12*IFPT_far_adj*CF_potato),".")</f>
        <v>.</v>
      </c>
      <c r="AW12" s="70" t="str">
        <f>IFERROR(DL/(RadSpec!F12*IFPU_far_adj*CF_pumpkin),".")</f>
        <v>.</v>
      </c>
      <c r="AX12" s="70" t="str">
        <f>IFERROR(DL/(RadSpec!F12*IFSN_far_adj*CF_snap_bean),".")</f>
        <v>.</v>
      </c>
      <c r="AY12" s="70" t="str">
        <f>IFERROR(DL/(RadSpec!F12*IFST_far_adj*CF_strawberry),".")</f>
        <v>.</v>
      </c>
      <c r="AZ12" s="70" t="str">
        <f>IFERROR(DL/(RadSpec!F12*IFTO_far_adj*CF_tomato),".")</f>
        <v>.</v>
      </c>
      <c r="BA12" s="70" t="str">
        <f>IFERROR(DL/(RadSpec!F12*IFRI_far_adj*CF_rice),".")</f>
        <v>.</v>
      </c>
      <c r="BB12" s="70" t="str">
        <f>IFERROR(DL/(RadSpec!F12*IFCG_far_adj*CF_cereal),".")</f>
        <v>.</v>
      </c>
    </row>
    <row r="13" spans="1:54" x14ac:dyDescent="0.25">
      <c r="A13" s="86" t="s">
        <v>11</v>
      </c>
      <c r="B13" s="84" t="s">
        <v>1057</v>
      </c>
      <c r="C13" s="2">
        <f t="shared" si="1"/>
        <v>4.6392112519731254E-3</v>
      </c>
      <c r="D13" s="70">
        <f>IFERROR(DL/(RadSpec!F13*IFAP_res_adj*CF_apple),".")</f>
        <v>8.4091395363736526E-2</v>
      </c>
      <c r="E13" s="70">
        <f>IFERROR(DL/(RadSpec!F13*IFAS_res_adj*CF_asparagus),".")</f>
        <v>0.18378075140138564</v>
      </c>
      <c r="F13" s="70">
        <f>IFERROR(DL/(RadSpec!F13*IFBT_res_adj*CF_beet),".")</f>
        <v>0.22167382580759934</v>
      </c>
      <c r="G13" s="70">
        <f>IFERROR(DL/(RadSpec!F13*IFBE_res_adj*CF_berries),".")</f>
        <v>0.18909109818200723</v>
      </c>
      <c r="H13" s="70">
        <f>IFERROR(DL/(RadSpec!F13*IFBR_res_adj*CF_broccoli),".")</f>
        <v>0.23293262613046933</v>
      </c>
      <c r="I13" s="70">
        <f>IFERROR(DL/(RadSpec!F13*IFCB_res_adj*CF_cabbage),".")</f>
        <v>9.0526313764542982E-2</v>
      </c>
      <c r="J13" s="70">
        <f>IFERROR(DL/(RadSpec!F13*IFCR_res_adj*CF_carrot),".")</f>
        <v>0.25525188734840826</v>
      </c>
      <c r="K13" s="70">
        <f>IFERROR(DL/(RadSpec!F13*IFCI_res_adj*CF_citrus),".")</f>
        <v>2.1799340747062045E-2</v>
      </c>
      <c r="L13" s="70">
        <f>IFERROR(DL/(RadSpec!F13*IFCO_res_adj*CF_corn),".")</f>
        <v>0.11951259774823325</v>
      </c>
      <c r="M13" s="70">
        <f>IFERROR(DL/(RadSpec!F13*IFCU_res_adj*CF_cucumber),".")</f>
        <v>8.9522739727069783E-2</v>
      </c>
      <c r="N13" s="70">
        <f>IFERROR(DL/(RadSpec!F13*IFLE_res_adj*CF_lettuce),".")</f>
        <v>0.21272016038036484</v>
      </c>
      <c r="O13" s="70">
        <f>IFERROR(DL/(RadSpec!F13*IFLI_res_adj*CF_lima_bean),".")</f>
        <v>0.19823528471604715</v>
      </c>
      <c r="P13" s="70">
        <f>IFERROR(DL/(RadSpec!F13*IFOK_res_adj*CF_okra),".")</f>
        <v>0.24159586146289311</v>
      </c>
      <c r="Q13" s="70">
        <f>IFERROR(DL/(RadSpec!F13*IFON_res_adj*CF_onion),".")</f>
        <v>0.34488645475693264</v>
      </c>
      <c r="R13" s="70">
        <f>IFERROR(DL/(RadSpec!F13*IFPC_res_adj*CF_peach),".")</f>
        <v>5.3983538057466481E-2</v>
      </c>
      <c r="S13" s="70">
        <f>IFERROR(DL/(RadSpec!F13*IFPR_res_adj*CF_pear),".")</f>
        <v>0.11015899316332632</v>
      </c>
      <c r="T13" s="70">
        <f>IFERROR(DL/(RadSpec!F13*IFPE_res_adj*CF_peas),".")</f>
        <v>0.19216144636077448</v>
      </c>
      <c r="U13" s="70">
        <f>IFERROR(DL/(RadSpec!F13*IFPP_res_adj*CF_peppers),".")</f>
        <v>0.38456213755018531</v>
      </c>
      <c r="V13" s="70">
        <f>IFERROR(DL/(RadSpec!F13*IFPT_res_adj*CF_potato),".")</f>
        <v>5.6527484811329798E-2</v>
      </c>
      <c r="W13" s="70">
        <f>IFERROR(DL/(RadSpec!F13*IFPU_res_adj*CF_pumpkin),".")</f>
        <v>0.11488732174603741</v>
      </c>
      <c r="X13" s="70">
        <f>IFERROR(DL/(RadSpec!F13*IFSN_res_adj*CF_snap_bean),".")</f>
        <v>0.12887464645053046</v>
      </c>
      <c r="Y13" s="70">
        <f>IFERROR(DL/(RadSpec!F13*IFST_res_adj*CF_strawberry),".")</f>
        <v>0.16435486145758313</v>
      </c>
      <c r="Z13" s="70">
        <f>IFERROR(DL/(RadSpec!F13*IFTO_res_adj*CF_tomato),".")</f>
        <v>8.8305761790902673E-2</v>
      </c>
      <c r="AA13" s="70">
        <f>IFERROR(DL/(RadSpec!F13*IFRI_res_adj*CF_rice),".")</f>
        <v>8.5216588879011443E-2</v>
      </c>
      <c r="AB13" s="70">
        <f>IFERROR(DL/(RadSpec!F13*IFCG_res_adj*CF_cereal),".")</f>
        <v>9.7734561726461472E-2</v>
      </c>
      <c r="AC13" s="70">
        <f t="shared" si="0"/>
        <v>4.3653058153185357E-3</v>
      </c>
      <c r="AD13" s="70">
        <f>IFERROR(DL/(RadSpec!F13*IFAP_far_adj*CF_apple),".")</f>
        <v>7.3120745429439277E-2</v>
      </c>
      <c r="AE13" s="70">
        <f>IFERROR(DL/(RadSpec!F13*IFAS_far_adj*CF_asparagus),".")</f>
        <v>0.1722220846837518</v>
      </c>
      <c r="AF13" s="70">
        <f>IFERROR(DL/(RadSpec!F13*IFBT_far_adj*CF_beet),".")</f>
        <v>0.20496370861334365</v>
      </c>
      <c r="AG13" s="70">
        <f>IFERROR(DL/(RadSpec!F13*IFBE_far_adj*CF_berries),".")</f>
        <v>0.18413133167231527</v>
      </c>
      <c r="AH13" s="70">
        <f>IFERROR(DL/(RadSpec!F13*IFBR_far_adj*CF_broccoli),".")</f>
        <v>0.19796847228348588</v>
      </c>
      <c r="AI13" s="70">
        <f>IFERROR(DL/(RadSpec!F13*IFCB_far_adj*CF_cabbage),".")</f>
        <v>8.9239525859244162E-2</v>
      </c>
      <c r="AJ13" s="70">
        <f>IFERROR(DL/(RadSpec!F13*IFCR_far_adj*CF_carrot),".")</f>
        <v>0.27208131149994175</v>
      </c>
      <c r="AK13" s="70">
        <f>IFERROR(DL/(RadSpec!F13*IFCI_far_adj*CF_citrus),".")</f>
        <v>2.1197928035021626E-2</v>
      </c>
      <c r="AL13" s="70">
        <f>IFERROR(DL/(RadSpec!F13*IFCO_far_adj*CF_corn),".")</f>
        <v>8.2893071822961115E-2</v>
      </c>
      <c r="AM13" s="70">
        <f>IFERROR(DL/(RadSpec!F13*IFCU_far_adj*CF_cucumber),".")</f>
        <v>0.12579120703738908</v>
      </c>
      <c r="AN13" s="70">
        <f>IFERROR(DL/(RadSpec!F13*IFLE_far_adj*CF_lettuce),".")</f>
        <v>0.19484643361003556</v>
      </c>
      <c r="AO13" s="70">
        <f>IFERROR(DL/(RadSpec!F13*IFLI_far_adj*CF_lima_bean),".")</f>
        <v>0.19235890324166829</v>
      </c>
      <c r="AP13" s="70">
        <f>IFERROR(DL/(RadSpec!F13*IFOK_far_adj*CF_okra),".")</f>
        <v>0.2267011441323368</v>
      </c>
      <c r="AQ13" s="70">
        <f>IFERROR(DL/(RadSpec!F13*IFON_far_adj*CF_onion),".")</f>
        <v>0.25390900853292958</v>
      </c>
      <c r="AR13" s="70">
        <f>IFERROR(DL/(RadSpec!F13*IFPC_far_adj*CF_peach),".")</f>
        <v>6.0348812363661186E-2</v>
      </c>
      <c r="AS13" s="70">
        <f>IFERROR(DL/(RadSpec!F13*IFPR_far_adj*CF_pear),".")</f>
        <v>9.8416539391527447E-2</v>
      </c>
      <c r="AT13" s="70">
        <f>IFERROR(DL/(RadSpec!F13*IFPE_far_adj*CF_peas),".")</f>
        <v>0.20647079470608881</v>
      </c>
      <c r="AU13" s="70">
        <f>IFERROR(DL/(RadSpec!F13*IFPP_far_adj*CF_peppers),".")</f>
        <v>0.28833634434567923</v>
      </c>
      <c r="AV13" s="70">
        <f>IFERROR(DL/(RadSpec!F13*IFPT_far_adj*CF_potato),".")</f>
        <v>4.8115944992648783E-2</v>
      </c>
      <c r="AW13" s="70">
        <f>IFERROR(DL/(RadSpec!F13*IFPU_far_adj*CF_pumpkin),".")</f>
        <v>0.10808514001585473</v>
      </c>
      <c r="AX13" s="70">
        <f>IFERROR(DL/(RadSpec!F13*IFSN_far_adj*CF_snap_bean),".")</f>
        <v>0.12201473785514869</v>
      </c>
      <c r="AY13" s="70">
        <f>IFERROR(DL/(RadSpec!F13*IFST_far_adj*CF_strawberry),".")</f>
        <v>0.15989662683075392</v>
      </c>
      <c r="AZ13" s="70">
        <f>IFERROR(DL/(RadSpec!F13*IFTO_far_adj*CF_tomato),".")</f>
        <v>7.1641031863692195E-2</v>
      </c>
      <c r="BA13" s="70">
        <f>IFERROR(DL/(RadSpec!F13*IFRI_far_adj*CF_rice),".")</f>
        <v>6.7511132480259847E-2</v>
      </c>
      <c r="BB13" s="70">
        <f>IFERROR(DL/(RadSpec!F13*IFCG_far_adj*CF_cereal),".")</f>
        <v>7.7906629391590612E-2</v>
      </c>
    </row>
    <row r="14" spans="1:54" x14ac:dyDescent="0.25">
      <c r="A14" s="86" t="s">
        <v>12</v>
      </c>
      <c r="B14" s="84" t="s">
        <v>1057</v>
      </c>
      <c r="C14" s="2">
        <f t="shared" si="1"/>
        <v>0.43931924734593991</v>
      </c>
      <c r="D14" s="70">
        <f>IFERROR(DL/(RadSpec!F14*IFAP_res_adj*CF_apple),".")</f>
        <v>7.9632003185356552</v>
      </c>
      <c r="E14" s="70">
        <f>IFERROR(DL/(RadSpec!F14*IFAS_res_adj*CF_asparagus),".")</f>
        <v>17.403480246343335</v>
      </c>
      <c r="F14" s="70">
        <f>IFERROR(DL/(RadSpec!F14*IFBT_res_adj*CF_beet),".")</f>
        <v>20.991839565113573</v>
      </c>
      <c r="G14" s="70">
        <f>IFERROR(DL/(RadSpec!F14*IFBE_res_adj*CF_berries),".")</f>
        <v>17.906353994508262</v>
      </c>
      <c r="H14" s="70">
        <f>IFERROR(DL/(RadSpec!F14*IFBR_res_adj*CF_broccoli),".")</f>
        <v>22.058013838112629</v>
      </c>
      <c r="I14" s="70">
        <f>IFERROR(DL/(RadSpec!F14*IFCB_res_adj*CF_cabbage),".")</f>
        <v>8.5725675913392987</v>
      </c>
      <c r="J14" s="70">
        <f>IFERROR(DL/(RadSpec!F14*IFCR_res_adj*CF_carrot),".")</f>
        <v>24.171580241326538</v>
      </c>
      <c r="K14" s="70">
        <f>IFERROR(DL/(RadSpec!F14*IFCI_res_adj*CF_citrus),".")</f>
        <v>2.0643315101384512</v>
      </c>
      <c r="L14" s="70">
        <f>IFERROR(DL/(RadSpec!F14*IFCO_res_adj*CF_corn),".")</f>
        <v>11.317480847370575</v>
      </c>
      <c r="M14" s="70">
        <f>IFERROR(DL/(RadSpec!F14*IFCU_res_adj*CF_cucumber),".")</f>
        <v>8.4775321711240341</v>
      </c>
      <c r="N14" s="70">
        <f>IFERROR(DL/(RadSpec!F14*IFLE_res_adj*CF_lettuce),".")</f>
        <v>20.143954581473945</v>
      </c>
      <c r="O14" s="70">
        <f>IFERROR(DL/(RadSpec!F14*IFLI_res_adj*CF_lima_bean),".")</f>
        <v>18.772280749625679</v>
      </c>
      <c r="P14" s="70">
        <f>IFERROR(DL/(RadSpec!F14*IFOK_res_adj*CF_okra),".")</f>
        <v>22.878395971864879</v>
      </c>
      <c r="Q14" s="70">
        <f>IFERROR(DL/(RadSpec!F14*IFON_res_adj*CF_onion),".")</f>
        <v>32.65970215501256</v>
      </c>
      <c r="R14" s="70">
        <f>IFERROR(DL/(RadSpec!F14*IFPC_res_adj*CF_peach),".")</f>
        <v>5.1120774675631147</v>
      </c>
      <c r="S14" s="70">
        <f>IFERROR(DL/(RadSpec!F14*IFPR_res_adj*CF_pear),".")</f>
        <v>10.431722837436205</v>
      </c>
      <c r="T14" s="70">
        <f>IFERROR(DL/(RadSpec!F14*IFPE_res_adj*CF_peas),".")</f>
        <v>18.197106662952127</v>
      </c>
      <c r="U14" s="70">
        <f>IFERROR(DL/(RadSpec!F14*IFPP_res_adj*CF_peppers),".")</f>
        <v>36.416869086191788</v>
      </c>
      <c r="V14" s="70">
        <f>IFERROR(DL/(RadSpec!F14*IFPT_res_adj*CF_potato),".")</f>
        <v>5.3529815162244132</v>
      </c>
      <c r="W14" s="70">
        <f>IFERROR(DL/(RadSpec!F14*IFPU_res_adj*CF_pumpkin),".")</f>
        <v>10.879481225950514</v>
      </c>
      <c r="X14" s="70">
        <f>IFERROR(DL/(RadSpec!F14*IFSN_res_adj*CF_snap_bean),".")</f>
        <v>12.204038489633565</v>
      </c>
      <c r="Y14" s="70">
        <f>IFERROR(DL/(RadSpec!F14*IFST_res_adj*CF_strawberry),".")</f>
        <v>15.563907334998401</v>
      </c>
      <c r="Z14" s="70">
        <f>IFERROR(DL/(RadSpec!F14*IFTO_res_adj*CF_tomato),".")</f>
        <v>8.3622880483809343</v>
      </c>
      <c r="AA14" s="70">
        <f>IFERROR(DL/(RadSpec!F14*IFRI_res_adj*CF_rice),".")</f>
        <v>8.0697527347548714</v>
      </c>
      <c r="AB14" s="70">
        <f>IFERROR(DL/(RadSpec!F14*IFCG_res_adj*CF_cereal),".")</f>
        <v>9.2551668301573375</v>
      </c>
      <c r="AC14" s="70">
        <f t="shared" si="0"/>
        <v>0.41338123251122477</v>
      </c>
      <c r="AD14" s="70">
        <f>IFERROR(DL/(RadSpec!F14*IFAP_far_adj*CF_apple),".")</f>
        <v>6.9243130141514468</v>
      </c>
      <c r="AE14" s="70">
        <f>IFERROR(DL/(RadSpec!F14*IFAS_far_adj*CF_asparagus),".")</f>
        <v>16.308909534446194</v>
      </c>
      <c r="AF14" s="70">
        <f>IFERROR(DL/(RadSpec!F14*IFBT_far_adj*CF_beet),".")</f>
        <v>19.409442103536328</v>
      </c>
      <c r="AG14" s="70">
        <f>IFERROR(DL/(RadSpec!F14*IFBE_far_adj*CF_berries),".")</f>
        <v>17.436679135635917</v>
      </c>
      <c r="AH14" s="70">
        <f>IFERROR(DL/(RadSpec!F14*IFBR_far_adj*CF_broccoli),".")</f>
        <v>18.747014420784648</v>
      </c>
      <c r="AI14" s="70">
        <f>IFERROR(DL/(RadSpec!F14*IFCB_far_adj*CF_cabbage),".")</f>
        <v>8.4507126760647875</v>
      </c>
      <c r="AJ14" s="70">
        <f>IFERROR(DL/(RadSpec!F14*IFCR_far_adj*CF_carrot),".")</f>
        <v>25.765275710221754</v>
      </c>
      <c r="AK14" s="70">
        <f>IFERROR(DL/(RadSpec!F14*IFCI_far_adj*CF_citrus),".")</f>
        <v>2.0073795487709871</v>
      </c>
      <c r="AL14" s="70">
        <f>IFERROR(DL/(RadSpec!F14*IFCO_far_adj*CF_corn),".")</f>
        <v>7.849722710507681</v>
      </c>
      <c r="AM14" s="70">
        <f>IFERROR(DL/(RadSpec!F14*IFCU_far_adj*CF_cucumber),".")</f>
        <v>11.912046120964874</v>
      </c>
      <c r="AN14" s="70">
        <f>IFERROR(DL/(RadSpec!F14*IFLE_far_adj*CF_lettuce),".")</f>
        <v>18.451366819132154</v>
      </c>
      <c r="AO14" s="70">
        <f>IFERROR(DL/(RadSpec!F14*IFLI_far_adj*CF_lima_bean),".")</f>
        <v>18.215805231218589</v>
      </c>
      <c r="AP14" s="70">
        <f>IFERROR(DL/(RadSpec!F14*IFOK_far_adj*CF_okra),".")</f>
        <v>21.467911376168257</v>
      </c>
      <c r="AQ14" s="70">
        <f>IFERROR(DL/(RadSpec!F14*IFON_far_adj*CF_onion),".")</f>
        <v>24.044413686830456</v>
      </c>
      <c r="AR14" s="70">
        <f>IFERROR(DL/(RadSpec!F14*IFPC_far_adj*CF_peach),".")</f>
        <v>5.7148496556497337</v>
      </c>
      <c r="AS14" s="70">
        <f>IFERROR(DL/(RadSpec!F14*IFPR_far_adj*CF_pear),".")</f>
        <v>9.3197480484400987</v>
      </c>
      <c r="AT14" s="70">
        <f>IFERROR(DL/(RadSpec!F14*IFPE_far_adj*CF_peas),".")</f>
        <v>19.552158589591745</v>
      </c>
      <c r="AU14" s="70">
        <f>IFERROR(DL/(RadSpec!F14*IFPP_far_adj*CF_peppers),".")</f>
        <v>27.304578063037805</v>
      </c>
      <c r="AV14" s="70">
        <f>IFERROR(DL/(RadSpec!F14*IFPT_far_adj*CF_potato),".")</f>
        <v>4.5564341849099224</v>
      </c>
      <c r="AW14" s="70">
        <f>IFERROR(DL/(RadSpec!F14*IFPU_far_adj*CF_pumpkin),".")</f>
        <v>10.235335228774122</v>
      </c>
      <c r="AX14" s="70">
        <f>IFERROR(DL/(RadSpec!F14*IFSN_far_adj*CF_snap_bean),".")</f>
        <v>11.554425933252716</v>
      </c>
      <c r="AY14" s="70">
        <f>IFERROR(DL/(RadSpec!F14*IFST_far_adj*CF_strawberry),".")</f>
        <v>15.141726025639576</v>
      </c>
      <c r="AZ14" s="70">
        <f>IFERROR(DL/(RadSpec!F14*IFTO_far_adj*CF_tomato),".")</f>
        <v>6.784188623455699</v>
      </c>
      <c r="BA14" s="70">
        <f>IFERROR(DL/(RadSpec!F14*IFRI_far_adj*CF_rice),".")</f>
        <v>6.3930996666912741</v>
      </c>
      <c r="BB14" s="70">
        <f>IFERROR(DL/(RadSpec!F14*IFCG_far_adj*CF_cereal),".")</f>
        <v>7.3775217226885044</v>
      </c>
    </row>
    <row r="15" spans="1:54" x14ac:dyDescent="0.25">
      <c r="A15" s="86" t="s">
        <v>13</v>
      </c>
      <c r="B15" s="84" t="s">
        <v>1057</v>
      </c>
      <c r="C15" s="2">
        <f t="shared" si="1"/>
        <v>7.7630710374382961</v>
      </c>
      <c r="D15" s="70">
        <f>IFERROR(DL/(RadSpec!F15*IFAP_res_adj*CF_apple),".")</f>
        <v>140.71518635163409</v>
      </c>
      <c r="E15" s="70">
        <f>IFERROR(DL/(RadSpec!F15*IFAS_res_adj*CF_asparagus),".")</f>
        <v>307.53137784703085</v>
      </c>
      <c r="F15" s="70">
        <f>IFERROR(DL/(RadSpec!F15*IFBT_res_adj*CF_beet),".")</f>
        <v>370.9401368935732</v>
      </c>
      <c r="G15" s="70">
        <f>IFERROR(DL/(RadSpec!F15*IFBE_res_adj*CF_berries),".")</f>
        <v>316.41750030456365</v>
      </c>
      <c r="H15" s="70">
        <f>IFERROR(DL/(RadSpec!F15*IFBR_res_adj*CF_broccoli),".")</f>
        <v>389.7801642076127</v>
      </c>
      <c r="I15" s="70">
        <f>IFERROR(DL/(RadSpec!F15*IFCB_res_adj*CF_cabbage),".")</f>
        <v>151.48312209595548</v>
      </c>
      <c r="J15" s="70">
        <f>IFERROR(DL/(RadSpec!F15*IFCR_res_adj*CF_carrot),".")</f>
        <v>427.12832554954531</v>
      </c>
      <c r="K15" s="70">
        <f>IFERROR(DL/(RadSpec!F15*IFCI_res_adj*CF_citrus),".")</f>
        <v>36.478147167105163</v>
      </c>
      <c r="L15" s="70">
        <f>IFERROR(DL/(RadSpec!F15*IFCO_res_adj*CF_corn),".")</f>
        <v>199.98761336719087</v>
      </c>
      <c r="M15" s="70">
        <f>IFERROR(DL/(RadSpec!F15*IFCU_res_adj*CF_cucumber),".")</f>
        <v>149.80378133713151</v>
      </c>
      <c r="N15" s="70">
        <f>IFERROR(DL/(RadSpec!F15*IFLE_res_adj*CF_lettuce),".")</f>
        <v>355.95743035536287</v>
      </c>
      <c r="O15" s="70">
        <f>IFERROR(DL/(RadSpec!F15*IFLI_res_adj*CF_lima_bean),".")</f>
        <v>331.71901726246176</v>
      </c>
      <c r="P15" s="70">
        <f>IFERROR(DL/(RadSpec!F15*IFOK_res_adj*CF_okra),".")</f>
        <v>404.27687661126697</v>
      </c>
      <c r="Q15" s="70">
        <f>IFERROR(DL/(RadSpec!F15*IFON_res_adj*CF_onion),".")</f>
        <v>577.11923486769183</v>
      </c>
      <c r="R15" s="70">
        <f>IFERROR(DL/(RadSpec!F15*IFPC_res_adj*CF_peach),".")</f>
        <v>90.333899025211664</v>
      </c>
      <c r="S15" s="70">
        <f>IFERROR(DL/(RadSpec!F15*IFPR_res_adj*CF_pear),".")</f>
        <v>184.33566459726629</v>
      </c>
      <c r="T15" s="70">
        <f>IFERROR(DL/(RadSpec!F15*IFPE_res_adj*CF_peas),".")</f>
        <v>321.55529846180468</v>
      </c>
      <c r="U15" s="70">
        <f>IFERROR(DL/(RadSpec!F15*IFPP_res_adj*CF_peppers),".")</f>
        <v>643.51093967567829</v>
      </c>
      <c r="V15" s="70">
        <f>IFERROR(DL/(RadSpec!F15*IFPT_res_adj*CF_potato),".")</f>
        <v>94.590838037700465</v>
      </c>
      <c r="W15" s="70">
        <f>IFERROR(DL/(RadSpec!F15*IFPU_res_adj*CF_pumpkin),".")</f>
        <v>192.24786102081225</v>
      </c>
      <c r="X15" s="70">
        <f>IFERROR(DL/(RadSpec!F15*IFSN_res_adj*CF_snap_bean),".")</f>
        <v>215.65369218629596</v>
      </c>
      <c r="Y15" s="70">
        <f>IFERROR(DL/(RadSpec!F15*IFST_res_adj*CF_strawberry),".")</f>
        <v>275.02486857025292</v>
      </c>
      <c r="Z15" s="70">
        <f>IFERROR(DL/(RadSpec!F15*IFTO_res_adj*CF_tomato),".")</f>
        <v>147.76733900753459</v>
      </c>
      <c r="AA15" s="70">
        <f>IFERROR(DL/(RadSpec!F15*IFRI_res_adj*CF_rice),".")</f>
        <v>142.59804029285718</v>
      </c>
      <c r="AB15" s="70">
        <f>IFERROR(DL/(RadSpec!F15*IFCG_res_adj*CF_cereal),".")</f>
        <v>163.54511667747903</v>
      </c>
      <c r="AC15" s="70">
        <f t="shared" si="0"/>
        <v>7.304728606624054</v>
      </c>
      <c r="AD15" s="70">
        <f>IFERROR(DL/(RadSpec!F15*IFAP_far_adj*CF_apple),".")</f>
        <v>122.35733840267616</v>
      </c>
      <c r="AE15" s="70">
        <f>IFERROR(DL/(RadSpec!F15*IFAS_far_adj*CF_asparagus),".")</f>
        <v>288.18956607053519</v>
      </c>
      <c r="AF15" s="70">
        <f>IFERROR(DL/(RadSpec!F15*IFBT_far_adj*CF_beet),".")</f>
        <v>342.97809339582273</v>
      </c>
      <c r="AG15" s="70">
        <f>IFERROR(DL/(RadSpec!F15*IFBE_far_adj*CF_berries),".")</f>
        <v>308.11802488673908</v>
      </c>
      <c r="AH15" s="70">
        <f>IFERROR(DL/(RadSpec!F15*IFBR_far_adj*CF_broccoli),".")</f>
        <v>331.27254398173676</v>
      </c>
      <c r="AI15" s="70">
        <f>IFERROR(DL/(RadSpec!F15*IFCB_far_adj*CF_cabbage),".")</f>
        <v>149.32986254893601</v>
      </c>
      <c r="AJ15" s="70">
        <f>IFERROR(DL/(RadSpec!F15*IFCR_far_adj*CF_carrot),".")</f>
        <v>455.29001255010331</v>
      </c>
      <c r="AK15" s="70">
        <f>IFERROR(DL/(RadSpec!F15*IFCI_far_adj*CF_citrus),".")</f>
        <v>35.471767126876884</v>
      </c>
      <c r="AL15" s="70">
        <f>IFERROR(DL/(RadSpec!F15*IFCO_far_adj*CF_corn),".")</f>
        <v>138.70995954310763</v>
      </c>
      <c r="AM15" s="70">
        <f>IFERROR(DL/(RadSpec!F15*IFCU_far_adj*CF_cucumber),".")</f>
        <v>210.49398767970061</v>
      </c>
      <c r="AN15" s="70">
        <f>IFERROR(DL/(RadSpec!F15*IFLE_far_adj*CF_lettuce),".")</f>
        <v>326.04824901277703</v>
      </c>
      <c r="AO15" s="70">
        <f>IFERROR(DL/(RadSpec!F15*IFLI_far_adj*CF_lima_bean),".")</f>
        <v>321.88571492916384</v>
      </c>
      <c r="AP15" s="70">
        <f>IFERROR(DL/(RadSpec!F15*IFOK_far_adj*CF_okra),".")</f>
        <v>379.35265082385672</v>
      </c>
      <c r="AQ15" s="70">
        <f>IFERROR(DL/(RadSpec!F15*IFON_far_adj*CF_onion),".")</f>
        <v>424.88120571106032</v>
      </c>
      <c r="AR15" s="70">
        <f>IFERROR(DL/(RadSpec!F15*IFPC_far_adj*CF_peach),".")</f>
        <v>100.98529511991498</v>
      </c>
      <c r="AS15" s="70">
        <f>IFERROR(DL/(RadSpec!F15*IFPR_far_adj*CF_pear),".")</f>
        <v>164.68631089613027</v>
      </c>
      <c r="AT15" s="70">
        <f>IFERROR(DL/(RadSpec!F15*IFPE_far_adj*CF_peas),".")</f>
        <v>345.49999114138024</v>
      </c>
      <c r="AU15" s="70">
        <f>IFERROR(DL/(RadSpec!F15*IFPP_far_adj*CF_peppers),".")</f>
        <v>482.4905360536801</v>
      </c>
      <c r="AV15" s="70">
        <f>IFERROR(DL/(RadSpec!F15*IFPT_far_adj*CF_potato),".")</f>
        <v>80.515302865878155</v>
      </c>
      <c r="AW15" s="70">
        <f>IFERROR(DL/(RadSpec!F15*IFPU_far_adj*CF_pumpkin),".")</f>
        <v>180.86536147231382</v>
      </c>
      <c r="AX15" s="70">
        <f>IFERROR(DL/(RadSpec!F15*IFSN_far_adj*CF_snap_bean),".")</f>
        <v>204.17459480446564</v>
      </c>
      <c r="AY15" s="70">
        <f>IFERROR(DL/(RadSpec!F15*IFST_far_adj*CF_strawberry),".")</f>
        <v>267.56463659764711</v>
      </c>
      <c r="AZ15" s="70">
        <f>IFERROR(DL/(RadSpec!F15*IFTO_far_adj*CF_tomato),".")</f>
        <v>119.88124475182762</v>
      </c>
      <c r="BA15" s="70">
        <f>IFERROR(DL/(RadSpec!F15*IFRI_far_adj*CF_rice),".")</f>
        <v>112.97043587727551</v>
      </c>
      <c r="BB15" s="70">
        <f>IFERROR(DL/(RadSpec!F15*IFCG_far_adj*CF_cereal),".")</f>
        <v>130.36584570212619</v>
      </c>
    </row>
    <row r="16" spans="1:54" x14ac:dyDescent="0.25">
      <c r="A16" s="86" t="s">
        <v>14</v>
      </c>
      <c r="B16" s="84" t="s">
        <v>1057</v>
      </c>
      <c r="C16" s="2">
        <f t="shared" si="1"/>
        <v>5.6853079068298115E-4</v>
      </c>
      <c r="D16" s="70">
        <f>IFERROR(DL/(RadSpec!F16*IFAP_res_adj*CF_apple),".")</f>
        <v>1.0305318059281438E-2</v>
      </c>
      <c r="E16" s="70">
        <f>IFERROR(DL/(RadSpec!F16*IFAS_res_adj*CF_asparagus),".")</f>
        <v>2.2522150907032554E-2</v>
      </c>
      <c r="F16" s="70">
        <f>IFERROR(DL/(RadSpec!F16*IFBT_res_adj*CF_beet),".")</f>
        <v>2.7165910025441092E-2</v>
      </c>
      <c r="G16" s="70">
        <f>IFERROR(DL/(RadSpec!F16*IFBE_res_adj*CF_berries),".")</f>
        <v>2.3172928698775398E-2</v>
      </c>
      <c r="H16" s="70">
        <f>IFERROR(DL/(RadSpec!F16*IFBR_res_adj*CF_broccoli),".")</f>
        <v>2.8545664966969281E-2</v>
      </c>
      <c r="I16" s="70">
        <f>IFERROR(DL/(RadSpec!F16*IFCB_res_adj*CF_cabbage),".")</f>
        <v>1.1093911000556738E-2</v>
      </c>
      <c r="J16" s="70">
        <f>IFERROR(DL/(RadSpec!F16*IFCR_res_adj*CF_carrot),".")</f>
        <v>3.1280868547599053E-2</v>
      </c>
      <c r="K16" s="70">
        <f>IFERROR(DL/(RadSpec!F16*IFCI_res_adj*CF_citrus),".")</f>
        <v>2.6714878366497605E-3</v>
      </c>
      <c r="L16" s="70">
        <f>IFERROR(DL/(RadSpec!F16*IFCO_res_adj*CF_corn),".")</f>
        <v>1.4646151684832508E-2</v>
      </c>
      <c r="M16" s="70">
        <f>IFERROR(DL/(RadSpec!F16*IFCU_res_adj*CF_cucumber),".")</f>
        <v>1.0970923986160515E-2</v>
      </c>
      <c r="N16" s="70">
        <f>IFERROR(DL/(RadSpec!F16*IFLE_res_adj*CF_lettuce),".")</f>
        <v>2.6068647105436871E-2</v>
      </c>
      <c r="O16" s="70">
        <f>IFERROR(DL/(RadSpec!F16*IFLI_res_adj*CF_lima_bean),".")</f>
        <v>2.4293539793633231E-2</v>
      </c>
      <c r="P16" s="70">
        <f>IFERROR(DL/(RadSpec!F16*IFOK_res_adj*CF_okra),".")</f>
        <v>2.9607335963589845E-2</v>
      </c>
      <c r="Q16" s="70">
        <f>IFERROR(DL/(RadSpec!F16*IFON_res_adj*CF_onion),".")</f>
        <v>4.2265496906486844E-2</v>
      </c>
      <c r="R16" s="70">
        <f>IFERROR(DL/(RadSpec!F16*IFPC_res_adj*CF_peach),".")</f>
        <v>6.6156296639052065E-3</v>
      </c>
      <c r="S16" s="70">
        <f>IFERROR(DL/(RadSpec!F16*IFPR_res_adj*CF_pear),".")</f>
        <v>1.3499876613152738E-2</v>
      </c>
      <c r="T16" s="70">
        <f>IFERROR(DL/(RadSpec!F16*IFPE_res_adj*CF_peas),".")</f>
        <v>2.3549196857938048E-2</v>
      </c>
      <c r="U16" s="70">
        <f>IFERROR(DL/(RadSpec!F16*IFPP_res_adj*CF_peppers),".")</f>
        <v>4.7127712935071724E-2</v>
      </c>
      <c r="V16" s="70">
        <f>IFERROR(DL/(RadSpec!F16*IFPT_res_adj*CF_potato),".")</f>
        <v>6.9273878445257108E-3</v>
      </c>
      <c r="W16" s="70">
        <f>IFERROR(DL/(RadSpec!F16*IFPU_res_adj*CF_pumpkin),".")</f>
        <v>1.4079328645347722E-2</v>
      </c>
      <c r="X16" s="70">
        <f>IFERROR(DL/(RadSpec!F16*IFSN_res_adj*CF_snap_bean),".")</f>
        <v>1.5793461574819909E-2</v>
      </c>
      <c r="Y16" s="70">
        <f>IFERROR(DL/(RadSpec!F16*IFST_res_adj*CF_strawberry),".")</f>
        <v>2.0141527139409698E-2</v>
      </c>
      <c r="Z16" s="70">
        <f>IFERROR(DL/(RadSpec!F16*IFTO_res_adj*CF_tomato),".")</f>
        <v>1.0821784533198858E-2</v>
      </c>
      <c r="AA16" s="70">
        <f>IFERROR(DL/(RadSpec!F16*IFRI_res_adj*CF_rice),".")</f>
        <v>1.0443209421447481E-2</v>
      </c>
      <c r="AB16" s="70">
        <f>IFERROR(DL/(RadSpec!F16*IFCG_res_adj*CF_cereal),".")</f>
        <v>1.1977274721380082E-2</v>
      </c>
      <c r="AC16" s="70">
        <f t="shared" si="0"/>
        <v>5.349639479557026E-4</v>
      </c>
      <c r="AD16" s="70">
        <f>IFERROR(DL/(RadSpec!F16*IFAP_far_adj*CF_apple),".")</f>
        <v>8.9608756653724603E-3</v>
      </c>
      <c r="AE16" s="70">
        <f>IFERROR(DL/(RadSpec!F16*IFAS_far_adj*CF_asparagus),".")</f>
        <v>2.1105647632812724E-2</v>
      </c>
      <c r="AF16" s="70">
        <f>IFERROR(DL/(RadSpec!F16*IFBT_far_adj*CF_beet),".")</f>
        <v>2.5118101545752898E-2</v>
      </c>
      <c r="AG16" s="70">
        <f>IFERROR(DL/(RadSpec!F16*IFBE_far_adj*CF_berries),".")</f>
        <v>2.2565114175528832E-2</v>
      </c>
      <c r="AH16" s="70">
        <f>IFERROR(DL/(RadSpec!F16*IFBR_far_adj*CF_broccoli),".")</f>
        <v>2.4260842191603665E-2</v>
      </c>
      <c r="AI16" s="70">
        <f>IFERROR(DL/(RadSpec!F16*IFCB_far_adj*CF_cabbage),".")</f>
        <v>1.0936216404319139E-2</v>
      </c>
      <c r="AJ16" s="70">
        <f>IFERROR(DL/(RadSpec!F16*IFCR_far_adj*CF_carrot),".")</f>
        <v>3.334329797793404E-2</v>
      </c>
      <c r="AK16" s="70">
        <f>IFERROR(DL/(RadSpec!F16*IFCI_far_adj*CF_citrus),".")</f>
        <v>2.5977852984095128E-3</v>
      </c>
      <c r="AL16" s="70">
        <f>IFERROR(DL/(RadSpec!F16*IFCO_far_adj*CF_corn),".")</f>
        <v>1.0158464684186411E-2</v>
      </c>
      <c r="AM16" s="70">
        <f>IFERROR(DL/(RadSpec!F16*IFCU_far_adj*CF_cucumber),".")</f>
        <v>1.541558909771925E-2</v>
      </c>
      <c r="AN16" s="70">
        <f>IFERROR(DL/(RadSpec!F16*IFLE_far_adj*CF_lettuce),".")</f>
        <v>2.3878239412994554E-2</v>
      </c>
      <c r="AO16" s="70">
        <f>IFERROR(DL/(RadSpec!F16*IFLI_far_adj*CF_lima_bean),".")</f>
        <v>2.3573395005106409E-2</v>
      </c>
      <c r="AP16" s="70">
        <f>IFERROR(DL/(RadSpec!F16*IFOK_far_adj*CF_okra),".")</f>
        <v>2.7782002957394213E-2</v>
      </c>
      <c r="AQ16" s="70">
        <f>IFERROR(DL/(RadSpec!F16*IFON_far_adj*CF_onion),".")</f>
        <v>3.111630006531E-2</v>
      </c>
      <c r="AR16" s="70">
        <f>IFERROR(DL/(RadSpec!F16*IFPC_far_adj*CF_peach),".")</f>
        <v>7.3956877896643606E-3</v>
      </c>
      <c r="AS16" s="70">
        <f>IFERROR(DL/(RadSpec!F16*IFPR_far_adj*CF_pear),".")</f>
        <v>1.2060850415628363E-2</v>
      </c>
      <c r="AT16" s="70">
        <f>IFERROR(DL/(RadSpec!F16*IFPE_far_adj*CF_peas),".")</f>
        <v>2.5302793468883436E-2</v>
      </c>
      <c r="AU16" s="70">
        <f>IFERROR(DL/(RadSpec!F16*IFPP_far_adj*CF_peppers),".")</f>
        <v>3.5335336316872454E-2</v>
      </c>
      <c r="AV16" s="70">
        <f>IFERROR(DL/(RadSpec!F16*IFPT_far_adj*CF_potato),".")</f>
        <v>5.8965618863540178E-3</v>
      </c>
      <c r="AW16" s="70">
        <f>IFERROR(DL/(RadSpec!F16*IFPU_far_adj*CF_pumpkin),".")</f>
        <v>1.3245727943119455E-2</v>
      </c>
      <c r="AX16" s="70">
        <f>IFERROR(DL/(RadSpec!F16*IFSN_far_adj*CF_snap_bean),".")</f>
        <v>1.4952786501856455E-2</v>
      </c>
      <c r="AY16" s="70">
        <f>IFERROR(DL/(RadSpec!F16*IFST_far_adj*CF_strawberry),".")</f>
        <v>1.959517485671004E-2</v>
      </c>
      <c r="AZ16" s="70">
        <f>IFERROR(DL/(RadSpec!F16*IFTO_far_adj*CF_tomato),".")</f>
        <v>8.7795382185897296E-3</v>
      </c>
      <c r="BA16" s="70">
        <f>IFERROR(DL/(RadSpec!F16*IFRI_far_adj*CF_rice),".")</f>
        <v>8.2734230980710602E-3</v>
      </c>
      <c r="BB16" s="70">
        <f>IFERROR(DL/(RadSpec!F16*IFCG_far_adj*CF_cereal),".")</f>
        <v>9.5473810528910064E-3</v>
      </c>
    </row>
    <row r="17" spans="1:54" x14ac:dyDescent="0.25">
      <c r="A17" s="86" t="s">
        <v>15</v>
      </c>
      <c r="B17" s="84" t="s">
        <v>1057</v>
      </c>
      <c r="C17" s="2">
        <f t="shared" si="1"/>
        <v>2.9140774195811092</v>
      </c>
      <c r="D17" s="70">
        <f>IFERROR(DL/(RadSpec!F17*IFAP_res_adj*CF_apple),".")</f>
        <v>52.821228243553094</v>
      </c>
      <c r="E17" s="70">
        <f>IFERROR(DL/(RadSpec!F17*IFAS_res_adj*CF_asparagus),".")</f>
        <v>115.4401704782573</v>
      </c>
      <c r="F17" s="70">
        <f>IFERROR(DL/(RadSpec!F17*IFBT_res_adj*CF_beet),".")</f>
        <v>139.24235289422066</v>
      </c>
      <c r="G17" s="70">
        <f>IFERROR(DL/(RadSpec!F17*IFBE_res_adj*CF_berries),".")</f>
        <v>118.77581544095932</v>
      </c>
      <c r="H17" s="70">
        <f>IFERROR(DL/(RadSpec!F17*IFBR_res_adj*CF_broccoli),".")</f>
        <v>146.31446364979229</v>
      </c>
      <c r="I17" s="70">
        <f>IFERROR(DL/(RadSpec!F17*IFCB_res_adj*CF_cabbage),".")</f>
        <v>56.863262414913933</v>
      </c>
      <c r="J17" s="70">
        <f>IFERROR(DL/(RadSpec!F17*IFCR_res_adj*CF_carrot),".")</f>
        <v>160.33410009322128</v>
      </c>
      <c r="K17" s="70">
        <f>IFERROR(DL/(RadSpec!F17*IFCI_res_adj*CF_citrus),".")</f>
        <v>13.693053233079173</v>
      </c>
      <c r="L17" s="70">
        <f>IFERROR(DL/(RadSpec!F17*IFCO_res_adj*CF_corn),".")</f>
        <v>75.070727228789735</v>
      </c>
      <c r="M17" s="70">
        <f>IFERROR(DL/(RadSpec!F17*IFCU_res_adj*CF_cucumber),".")</f>
        <v>56.23287671298354</v>
      </c>
      <c r="N17" s="70">
        <f>IFERROR(DL/(RadSpec!F17*IFLE_res_adj*CF_lettuce),".")</f>
        <v>133.61819119369653</v>
      </c>
      <c r="O17" s="70">
        <f>IFERROR(DL/(RadSpec!F17*IFLI_res_adj*CF_lima_bean),".")</f>
        <v>124.51965120354721</v>
      </c>
      <c r="P17" s="70">
        <f>IFERROR(DL/(RadSpec!F17*IFOK_res_adj*CF_okra),".")</f>
        <v>151.7561943862394</v>
      </c>
      <c r="Q17" s="70">
        <f>IFERROR(DL/(RadSpec!F17*IFON_res_adj*CF_onion),".")</f>
        <v>216.63722032470642</v>
      </c>
      <c r="R17" s="70">
        <f>IFERROR(DL/(RadSpec!F17*IFPC_res_adj*CF_peach),".")</f>
        <v>33.909257573785482</v>
      </c>
      <c r="S17" s="70">
        <f>IFERROR(DL/(RadSpec!F17*IFPR_res_adj*CF_pear),".")</f>
        <v>69.195347464400953</v>
      </c>
      <c r="T17" s="70">
        <f>IFERROR(DL/(RadSpec!F17*IFPE_res_adj*CF_peas),".")</f>
        <v>120.70442610601413</v>
      </c>
      <c r="U17" s="70">
        <f>IFERROR(DL/(RadSpec!F17*IFPP_res_adj*CF_peppers),".")</f>
        <v>241.55913162700082</v>
      </c>
      <c r="V17" s="70">
        <f>IFERROR(DL/(RadSpec!F17*IFPT_res_adj*CF_potato),".")</f>
        <v>35.507214077468468</v>
      </c>
      <c r="W17" s="70">
        <f>IFERROR(DL/(RadSpec!F17*IFPU_res_adj*CF_pumpkin),".")</f>
        <v>72.165403106807418</v>
      </c>
      <c r="X17" s="70">
        <f>IFERROR(DL/(RadSpec!F17*IFSN_res_adj*CF_snap_bean),".")</f>
        <v>80.951411087016623</v>
      </c>
      <c r="Y17" s="70">
        <f>IFERROR(DL/(RadSpec!F17*IFST_res_adj*CF_strawberry),".")</f>
        <v>103.23797830250196</v>
      </c>
      <c r="Z17" s="70">
        <f>IFERROR(DL/(RadSpec!F17*IFTO_res_adj*CF_tomato),".")</f>
        <v>55.468443335994145</v>
      </c>
      <c r="AA17" s="70">
        <f>IFERROR(DL/(RadSpec!F17*IFRI_res_adj*CF_rice),".")</f>
        <v>53.52800808983131</v>
      </c>
      <c r="AB17" s="70">
        <f>IFERROR(DL/(RadSpec!F17*IFCG_res_adj*CF_cereal),".")</f>
        <v>61.391056360842626</v>
      </c>
      <c r="AC17" s="70">
        <f t="shared" si="0"/>
        <v>2.7420262659036019</v>
      </c>
      <c r="AD17" s="70">
        <f>IFERROR(DL/(RadSpec!F17*IFAP_far_adj*CF_apple),".")</f>
        <v>45.930116475778441</v>
      </c>
      <c r="AE17" s="70">
        <f>IFERROR(DL/(RadSpec!F17*IFAS_far_adj*CF_asparagus),".")</f>
        <v>108.17970143451747</v>
      </c>
      <c r="AF17" s="70">
        <f>IFERROR(DL/(RadSpec!F17*IFBT_far_adj*CF_beet),".")</f>
        <v>128.74604812395955</v>
      </c>
      <c r="AG17" s="70">
        <f>IFERROR(DL/(RadSpec!F17*IFBE_far_adj*CF_berries),".")</f>
        <v>115.66038421627843</v>
      </c>
      <c r="AH17" s="70">
        <f>IFERROR(DL/(RadSpec!F17*IFBR_far_adj*CF_broccoli),".")</f>
        <v>124.35205545445093</v>
      </c>
      <c r="AI17" s="70">
        <f>IFERROR(DL/(RadSpec!F17*IFCB_far_adj*CF_cabbage),".")</f>
        <v>56.054978554801608</v>
      </c>
      <c r="AJ17" s="70">
        <f>IFERROR(DL/(RadSpec!F17*IFCR_far_adj*CF_carrot),".")</f>
        <v>170.9053464195614</v>
      </c>
      <c r="AK17" s="70">
        <f>IFERROR(DL/(RadSpec!F17*IFCI_far_adj*CF_citrus),".")</f>
        <v>13.315281429033686</v>
      </c>
      <c r="AL17" s="70">
        <f>IFERROR(DL/(RadSpec!F17*IFCO_far_adj*CF_corn),".")</f>
        <v>52.06851245160874</v>
      </c>
      <c r="AM17" s="70">
        <f>IFERROR(DL/(RadSpec!F17*IFCU_far_adj*CF_cucumber),".")</f>
        <v>79.014577284792125</v>
      </c>
      <c r="AN17" s="70">
        <f>IFERROR(DL/(RadSpec!F17*IFLE_far_adj*CF_lettuce),".")</f>
        <v>122.39097588570073</v>
      </c>
      <c r="AO17" s="70">
        <f>IFERROR(DL/(RadSpec!F17*IFLI_far_adj*CF_lima_bean),".")</f>
        <v>120.82845681009314</v>
      </c>
      <c r="AP17" s="70">
        <f>IFERROR(DL/(RadSpec!F17*IFOK_far_adj*CF_okra),".")</f>
        <v>142.40021616352811</v>
      </c>
      <c r="AQ17" s="70">
        <f>IFERROR(DL/(RadSpec!F17*IFON_far_adj*CF_onion),".")</f>
        <v>159.49058324932764</v>
      </c>
      <c r="AR17" s="70">
        <f>IFERROR(DL/(RadSpec!F17*IFPC_far_adj*CF_peach),".")</f>
        <v>37.907545454561046</v>
      </c>
      <c r="AS17" s="70">
        <f>IFERROR(DL/(RadSpec!F17*IFPR_far_adj*CF_pear),".")</f>
        <v>61.819434291160448</v>
      </c>
      <c r="AT17" s="70">
        <f>IFERROR(DL/(RadSpec!F17*IFPE_far_adj*CF_peas),".")</f>
        <v>129.6927102425181</v>
      </c>
      <c r="AU17" s="70">
        <f>IFERROR(DL/(RadSpec!F17*IFPP_far_adj*CF_peppers),".")</f>
        <v>181.11579418698443</v>
      </c>
      <c r="AV17" s="70">
        <f>IFERROR(DL/(RadSpec!F17*IFPT_far_adj*CF_potato),".")</f>
        <v>30.223583538095969</v>
      </c>
      <c r="AW17" s="70">
        <f>IFERROR(DL/(RadSpec!F17*IFPU_far_adj*CF_pumpkin),".")</f>
        <v>67.892675889355985</v>
      </c>
      <c r="AX17" s="70">
        <f>IFERROR(DL/(RadSpec!F17*IFSN_far_adj*CF_snap_bean),".")</f>
        <v>76.64242327584715</v>
      </c>
      <c r="AY17" s="70">
        <f>IFERROR(DL/(RadSpec!F17*IFST_far_adj*CF_strawberry),".")</f>
        <v>100.43757966755898</v>
      </c>
      <c r="AZ17" s="70">
        <f>IFERROR(DL/(RadSpec!F17*IFTO_far_adj*CF_tomato),".")</f>
        <v>45.000648155585544</v>
      </c>
      <c r="BA17" s="70">
        <f>IFERROR(DL/(RadSpec!F17*IFRI_far_adj*CF_rice),".")</f>
        <v>42.406490251419505</v>
      </c>
      <c r="BB17" s="70">
        <f>IFERROR(DL/(RadSpec!F17*IFCG_far_adj*CF_cereal),".")</f>
        <v>48.936324994717715</v>
      </c>
    </row>
    <row r="18" spans="1:54" x14ac:dyDescent="0.25">
      <c r="A18" s="86" t="s">
        <v>16</v>
      </c>
      <c r="B18" s="84" t="s">
        <v>1057</v>
      </c>
      <c r="C18" s="2">
        <f t="shared" si="1"/>
        <v>3.3137223228379476E-4</v>
      </c>
      <c r="D18" s="70">
        <f>IFERROR(DL/(RadSpec!F18*IFAP_res_adj*CF_apple),".")</f>
        <v>6.0065282402668946E-3</v>
      </c>
      <c r="E18" s="70">
        <f>IFERROR(DL/(RadSpec!F18*IFAS_res_adj*CF_asparagus),".")</f>
        <v>1.3127196528670403E-2</v>
      </c>
      <c r="F18" s="70">
        <f>IFERROR(DL/(RadSpec!F18*IFBT_res_adj*CF_beet),".")</f>
        <v>1.5833844700542807E-2</v>
      </c>
      <c r="G18" s="70">
        <f>IFERROR(DL/(RadSpec!F18*IFBE_res_adj*CF_berries),".")</f>
        <v>1.3506507013000517E-2</v>
      </c>
      <c r="H18" s="70">
        <f>IFERROR(DL/(RadSpec!F18*IFBR_res_adj*CF_broccoli),".")</f>
        <v>1.6638044723604951E-2</v>
      </c>
      <c r="I18" s="70">
        <f>IFERROR(DL/(RadSpec!F18*IFCB_res_adj*CF_cabbage),".")</f>
        <v>6.4661652688959275E-3</v>
      </c>
      <c r="J18" s="70">
        <f>IFERROR(DL/(RadSpec!F18*IFCR_res_adj*CF_carrot),".")</f>
        <v>1.8232277667743449E-2</v>
      </c>
      <c r="K18" s="70">
        <f>IFERROR(DL/(RadSpec!F18*IFCI_res_adj*CF_citrus),".")</f>
        <v>1.5570957676472889E-3</v>
      </c>
      <c r="L18" s="70">
        <f>IFERROR(DL/(RadSpec!F18*IFCO_res_adj*CF_corn),".")</f>
        <v>8.5366141248738054E-3</v>
      </c>
      <c r="M18" s="70">
        <f>IFERROR(DL/(RadSpec!F18*IFCU_res_adj*CF_cucumber),".")</f>
        <v>6.3944814090764138E-3</v>
      </c>
      <c r="N18" s="70">
        <f>IFERROR(DL/(RadSpec!F18*IFLE_res_adj*CF_lettuce),".")</f>
        <v>1.5194297170026062E-2</v>
      </c>
      <c r="O18" s="70">
        <f>IFERROR(DL/(RadSpec!F18*IFLI_res_adj*CF_lima_bean),".")</f>
        <v>1.4159663194003368E-2</v>
      </c>
      <c r="P18" s="70">
        <f>IFERROR(DL/(RadSpec!F18*IFOK_res_adj*CF_okra),".")</f>
        <v>1.7256847247349511E-2</v>
      </c>
      <c r="Q18" s="70">
        <f>IFERROR(DL/(RadSpec!F18*IFON_res_adj*CF_onion),".")</f>
        <v>2.4634746768352332E-2</v>
      </c>
      <c r="R18" s="70">
        <f>IFERROR(DL/(RadSpec!F18*IFPC_res_adj*CF_peach),".")</f>
        <v>3.8559670041047496E-3</v>
      </c>
      <c r="S18" s="70">
        <f>IFERROR(DL/(RadSpec!F18*IFPR_res_adj*CF_pear),".")</f>
        <v>7.8684995116661653E-3</v>
      </c>
      <c r="T18" s="70">
        <f>IFERROR(DL/(RadSpec!F18*IFPE_res_adj*CF_peas),".")</f>
        <v>1.3725817597198178E-2</v>
      </c>
      <c r="U18" s="70">
        <f>IFERROR(DL/(RadSpec!F18*IFPP_res_adj*CF_peppers),".")</f>
        <v>2.7468724110727524E-2</v>
      </c>
      <c r="V18" s="70">
        <f>IFERROR(DL/(RadSpec!F18*IFPT_res_adj*CF_potato),".")</f>
        <v>4.0376774865235575E-3</v>
      </c>
      <c r="W18" s="70">
        <f>IFERROR(DL/(RadSpec!F18*IFPU_res_adj*CF_pumpkin),".")</f>
        <v>8.2062372675741017E-3</v>
      </c>
      <c r="X18" s="70">
        <f>IFERROR(DL/(RadSpec!F18*IFSN_res_adj*CF_snap_bean),".")</f>
        <v>9.205331889323605E-3</v>
      </c>
      <c r="Y18" s="70">
        <f>IFERROR(DL/(RadSpec!F18*IFST_res_adj*CF_strawberry),".")</f>
        <v>1.1739632961255939E-2</v>
      </c>
      <c r="Z18" s="70">
        <f>IFERROR(DL/(RadSpec!F18*IFTO_res_adj*CF_tomato),".")</f>
        <v>6.3075544136359058E-3</v>
      </c>
      <c r="AA18" s="70">
        <f>IFERROR(DL/(RadSpec!F18*IFRI_res_adj*CF_rice),".")</f>
        <v>6.0868992056436746E-3</v>
      </c>
      <c r="AB18" s="70">
        <f>IFERROR(DL/(RadSpec!F18*IFCG_res_adj*CF_cereal),".")</f>
        <v>6.9810401233186764E-3</v>
      </c>
      <c r="AC18" s="70">
        <f t="shared" si="0"/>
        <v>3.1180755823703818E-4</v>
      </c>
      <c r="AD18" s="70">
        <f>IFERROR(DL/(RadSpec!F18*IFAP_far_adj*CF_apple),".")</f>
        <v>5.2229103878170908E-3</v>
      </c>
      <c r="AE18" s="70">
        <f>IFERROR(DL/(RadSpec!F18*IFAS_far_adj*CF_asparagus),".")</f>
        <v>1.2301577477410845E-2</v>
      </c>
      <c r="AF18" s="70">
        <f>IFERROR(DL/(RadSpec!F18*IFBT_far_adj*CF_beet),".")</f>
        <v>1.4640264900953119E-2</v>
      </c>
      <c r="AG18" s="70">
        <f>IFERROR(DL/(RadSpec!F18*IFBE_far_adj*CF_berries),".")</f>
        <v>1.3152237976593949E-2</v>
      </c>
      <c r="AH18" s="70">
        <f>IFERROR(DL/(RadSpec!F18*IFBR_far_adj*CF_broccoli),".")</f>
        <v>1.4140605163106139E-2</v>
      </c>
      <c r="AI18" s="70">
        <f>IFERROR(DL/(RadSpec!F18*IFCB_far_adj*CF_cabbage),".")</f>
        <v>6.3742518470888687E-3</v>
      </c>
      <c r="AJ18" s="70">
        <f>IFERROR(DL/(RadSpec!F18*IFCR_far_adj*CF_carrot),".")</f>
        <v>1.9434379392852984E-2</v>
      </c>
      <c r="AK18" s="70">
        <f>IFERROR(DL/(RadSpec!F18*IFCI_far_adj*CF_citrus),".")</f>
        <v>1.5141377167872591E-3</v>
      </c>
      <c r="AL18" s="70">
        <f>IFERROR(DL/(RadSpec!F18*IFCO_far_adj*CF_corn),".")</f>
        <v>5.92093370164008E-3</v>
      </c>
      <c r="AM18" s="70">
        <f>IFERROR(DL/(RadSpec!F18*IFCU_far_adj*CF_cucumber),".")</f>
        <v>8.9850862169563624E-3</v>
      </c>
      <c r="AN18" s="70">
        <f>IFERROR(DL/(RadSpec!F18*IFLE_far_adj*CF_lettuce),".")</f>
        <v>1.3917602400716827E-2</v>
      </c>
      <c r="AO18" s="70">
        <f>IFERROR(DL/(RadSpec!F18*IFLI_far_adj*CF_lima_bean),".")</f>
        <v>1.3739921660119165E-2</v>
      </c>
      <c r="AP18" s="70">
        <f>IFERROR(DL/(RadSpec!F18*IFOK_far_adj*CF_okra),".")</f>
        <v>1.6192938866595487E-2</v>
      </c>
      <c r="AQ18" s="70">
        <f>IFERROR(DL/(RadSpec!F18*IFON_far_adj*CF_onion),".")</f>
        <v>1.8136357752352117E-2</v>
      </c>
      <c r="AR18" s="70">
        <f>IFERROR(DL/(RadSpec!F18*IFPC_far_adj*CF_peach),".")</f>
        <v>4.3106294545472278E-3</v>
      </c>
      <c r="AS18" s="70">
        <f>IFERROR(DL/(RadSpec!F18*IFPR_far_adj*CF_pear),".")</f>
        <v>7.029752813680532E-3</v>
      </c>
      <c r="AT18" s="70">
        <f>IFERROR(DL/(RadSpec!F18*IFPE_far_adj*CF_peas),".")</f>
        <v>1.4747913907577773E-2</v>
      </c>
      <c r="AU18" s="70">
        <f>IFERROR(DL/(RadSpec!F18*IFPP_far_adj*CF_peppers),".")</f>
        <v>2.0595453167548516E-2</v>
      </c>
      <c r="AV18" s="70">
        <f>IFERROR(DL/(RadSpec!F18*IFPT_far_adj*CF_potato),".")</f>
        <v>3.4368532137606274E-3</v>
      </c>
      <c r="AW18" s="70">
        <f>IFERROR(DL/(RadSpec!F18*IFPU_far_adj*CF_pumpkin),".")</f>
        <v>7.7203671439896255E-3</v>
      </c>
      <c r="AX18" s="70">
        <f>IFERROR(DL/(RadSpec!F18*IFSN_far_adj*CF_snap_bean),".")</f>
        <v>8.7153384182249057E-3</v>
      </c>
      <c r="AY18" s="70">
        <f>IFERROR(DL/(RadSpec!F18*IFST_far_adj*CF_strawberry),".")</f>
        <v>1.1421187630768137E-2</v>
      </c>
      <c r="AZ18" s="70">
        <f>IFERROR(DL/(RadSpec!F18*IFTO_far_adj*CF_tomato),".")</f>
        <v>5.1172165616922994E-3</v>
      </c>
      <c r="BA18" s="70">
        <f>IFERROR(DL/(RadSpec!F18*IFRI_far_adj*CF_rice),".")</f>
        <v>4.82222374858999E-3</v>
      </c>
      <c r="BB18" s="70">
        <f>IFERROR(DL/(RadSpec!F18*IFCG_far_adj*CF_cereal),".")</f>
        <v>5.5647592422564725E-3</v>
      </c>
    </row>
    <row r="19" spans="1:54" x14ac:dyDescent="0.25">
      <c r="A19" s="86" t="s">
        <v>17</v>
      </c>
      <c r="B19" s="84" t="s">
        <v>1057</v>
      </c>
      <c r="C19" s="2" t="str">
        <f t="shared" si="1"/>
        <v>.</v>
      </c>
      <c r="D19" s="70" t="str">
        <f>IFERROR(DL/(RadSpec!F19*IFAP_res_adj*CF_apple),".")</f>
        <v>.</v>
      </c>
      <c r="E19" s="70" t="str">
        <f>IFERROR(DL/(RadSpec!F19*IFAS_res_adj*CF_asparagus),".")</f>
        <v>.</v>
      </c>
      <c r="F19" s="70" t="str">
        <f>IFERROR(DL/(RadSpec!F19*IFBT_res_adj*CF_beet),".")</f>
        <v>.</v>
      </c>
      <c r="G19" s="70" t="str">
        <f>IFERROR(DL/(RadSpec!F19*IFBE_res_adj*CF_berries),".")</f>
        <v>.</v>
      </c>
      <c r="H19" s="70" t="str">
        <f>IFERROR(DL/(RadSpec!F19*IFBR_res_adj*CF_broccoli),".")</f>
        <v>.</v>
      </c>
      <c r="I19" s="70" t="str">
        <f>IFERROR(DL/(RadSpec!F19*IFCB_res_adj*CF_cabbage),".")</f>
        <v>.</v>
      </c>
      <c r="J19" s="70" t="str">
        <f>IFERROR(DL/(RadSpec!F19*IFCR_res_adj*CF_carrot),".")</f>
        <v>.</v>
      </c>
      <c r="K19" s="70" t="str">
        <f>IFERROR(DL/(RadSpec!F19*IFCI_res_adj*CF_citrus),".")</f>
        <v>.</v>
      </c>
      <c r="L19" s="70" t="str">
        <f>IFERROR(DL/(RadSpec!F19*IFCO_res_adj*CF_corn),".")</f>
        <v>.</v>
      </c>
      <c r="M19" s="70" t="str">
        <f>IFERROR(DL/(RadSpec!F19*IFCU_res_adj*CF_cucumber),".")</f>
        <v>.</v>
      </c>
      <c r="N19" s="70" t="str">
        <f>IFERROR(DL/(RadSpec!F19*IFLE_res_adj*CF_lettuce),".")</f>
        <v>.</v>
      </c>
      <c r="O19" s="70" t="str">
        <f>IFERROR(DL/(RadSpec!F19*IFLI_res_adj*CF_lima_bean),".")</f>
        <v>.</v>
      </c>
      <c r="P19" s="70" t="str">
        <f>IFERROR(DL/(RadSpec!F19*IFOK_res_adj*CF_okra),".")</f>
        <v>.</v>
      </c>
      <c r="Q19" s="70" t="str">
        <f>IFERROR(DL/(RadSpec!F19*IFON_res_adj*CF_onion),".")</f>
        <v>.</v>
      </c>
      <c r="R19" s="70" t="str">
        <f>IFERROR(DL/(RadSpec!F19*IFPC_res_adj*CF_peach),".")</f>
        <v>.</v>
      </c>
      <c r="S19" s="70" t="str">
        <f>IFERROR(DL/(RadSpec!F19*IFPR_res_adj*CF_pear),".")</f>
        <v>.</v>
      </c>
      <c r="T19" s="70" t="str">
        <f>IFERROR(DL/(RadSpec!F19*IFPE_res_adj*CF_peas),".")</f>
        <v>.</v>
      </c>
      <c r="U19" s="70" t="str">
        <f>IFERROR(DL/(RadSpec!F19*IFPP_res_adj*CF_peppers),".")</f>
        <v>.</v>
      </c>
      <c r="V19" s="70" t="str">
        <f>IFERROR(DL/(RadSpec!F19*IFPT_res_adj*CF_potato),".")</f>
        <v>.</v>
      </c>
      <c r="W19" s="70" t="str">
        <f>IFERROR(DL/(RadSpec!F19*IFPU_res_adj*CF_pumpkin),".")</f>
        <v>.</v>
      </c>
      <c r="X19" s="70" t="str">
        <f>IFERROR(DL/(RadSpec!F19*IFSN_res_adj*CF_snap_bean),".")</f>
        <v>.</v>
      </c>
      <c r="Y19" s="70" t="str">
        <f>IFERROR(DL/(RadSpec!F19*IFST_res_adj*CF_strawberry),".")</f>
        <v>.</v>
      </c>
      <c r="Z19" s="70" t="str">
        <f>IFERROR(DL/(RadSpec!F19*IFTO_res_adj*CF_tomato),".")</f>
        <v>.</v>
      </c>
      <c r="AA19" s="70" t="str">
        <f>IFERROR(DL/(RadSpec!F19*IFRI_res_adj*CF_rice),".")</f>
        <v>.</v>
      </c>
      <c r="AB19" s="70" t="str">
        <f>IFERROR(DL/(RadSpec!F19*IFCG_res_adj*CF_cereal),".")</f>
        <v>.</v>
      </c>
      <c r="AC19" s="70" t="str">
        <f t="shared" si="0"/>
        <v>.</v>
      </c>
      <c r="AD19" s="70" t="str">
        <f>IFERROR(DL/(RadSpec!F19*IFAP_far_adj*CF_apple),".")</f>
        <v>.</v>
      </c>
      <c r="AE19" s="70" t="str">
        <f>IFERROR(DL/(RadSpec!F19*IFAS_far_adj*CF_asparagus),".")</f>
        <v>.</v>
      </c>
      <c r="AF19" s="70" t="str">
        <f>IFERROR(DL/(RadSpec!F19*IFBT_far_adj*CF_beet),".")</f>
        <v>.</v>
      </c>
      <c r="AG19" s="70" t="str">
        <f>IFERROR(DL/(RadSpec!F19*IFBE_far_adj*CF_berries),".")</f>
        <v>.</v>
      </c>
      <c r="AH19" s="70" t="str">
        <f>IFERROR(DL/(RadSpec!F19*IFBR_far_adj*CF_broccoli),".")</f>
        <v>.</v>
      </c>
      <c r="AI19" s="70" t="str">
        <f>IFERROR(DL/(RadSpec!F19*IFCB_far_adj*CF_cabbage),".")</f>
        <v>.</v>
      </c>
      <c r="AJ19" s="70" t="str">
        <f>IFERROR(DL/(RadSpec!F19*IFCR_far_adj*CF_carrot),".")</f>
        <v>.</v>
      </c>
      <c r="AK19" s="70" t="str">
        <f>IFERROR(DL/(RadSpec!F19*IFCI_far_adj*CF_citrus),".")</f>
        <v>.</v>
      </c>
      <c r="AL19" s="70" t="str">
        <f>IFERROR(DL/(RadSpec!F19*IFCO_far_adj*CF_corn),".")</f>
        <v>.</v>
      </c>
      <c r="AM19" s="70" t="str">
        <f>IFERROR(DL/(RadSpec!F19*IFCU_far_adj*CF_cucumber),".")</f>
        <v>.</v>
      </c>
      <c r="AN19" s="70" t="str">
        <f>IFERROR(DL/(RadSpec!F19*IFLE_far_adj*CF_lettuce),".")</f>
        <v>.</v>
      </c>
      <c r="AO19" s="70" t="str">
        <f>IFERROR(DL/(RadSpec!F19*IFLI_far_adj*CF_lima_bean),".")</f>
        <v>.</v>
      </c>
      <c r="AP19" s="70" t="str">
        <f>IFERROR(DL/(RadSpec!F19*IFOK_far_adj*CF_okra),".")</f>
        <v>.</v>
      </c>
      <c r="AQ19" s="70" t="str">
        <f>IFERROR(DL/(RadSpec!F19*IFON_far_adj*CF_onion),".")</f>
        <v>.</v>
      </c>
      <c r="AR19" s="70" t="str">
        <f>IFERROR(DL/(RadSpec!F19*IFPC_far_adj*CF_peach),".")</f>
        <v>.</v>
      </c>
      <c r="AS19" s="70" t="str">
        <f>IFERROR(DL/(RadSpec!F19*IFPR_far_adj*CF_pear),".")</f>
        <v>.</v>
      </c>
      <c r="AT19" s="70" t="str">
        <f>IFERROR(DL/(RadSpec!F19*IFPE_far_adj*CF_peas),".")</f>
        <v>.</v>
      </c>
      <c r="AU19" s="70" t="str">
        <f>IFERROR(DL/(RadSpec!F19*IFPP_far_adj*CF_peppers),".")</f>
        <v>.</v>
      </c>
      <c r="AV19" s="70" t="str">
        <f>IFERROR(DL/(RadSpec!F19*IFPT_far_adj*CF_potato),".")</f>
        <v>.</v>
      </c>
      <c r="AW19" s="70" t="str">
        <f>IFERROR(DL/(RadSpec!F19*IFPU_far_adj*CF_pumpkin),".")</f>
        <v>.</v>
      </c>
      <c r="AX19" s="70" t="str">
        <f>IFERROR(DL/(RadSpec!F19*IFSN_far_adj*CF_snap_bean),".")</f>
        <v>.</v>
      </c>
      <c r="AY19" s="70" t="str">
        <f>IFERROR(DL/(RadSpec!F19*IFST_far_adj*CF_strawberry),".")</f>
        <v>.</v>
      </c>
      <c r="AZ19" s="70" t="str">
        <f>IFERROR(DL/(RadSpec!F19*IFTO_far_adj*CF_tomato),".")</f>
        <v>.</v>
      </c>
      <c r="BA19" s="70" t="str">
        <f>IFERROR(DL/(RadSpec!F19*IFRI_far_adj*CF_rice),".")</f>
        <v>.</v>
      </c>
      <c r="BB19" s="70" t="str">
        <f>IFERROR(DL/(RadSpec!F19*IFCG_far_adj*CF_cereal),".")</f>
        <v>.</v>
      </c>
    </row>
    <row r="20" spans="1:54" x14ac:dyDescent="0.25">
      <c r="A20" s="86" t="s">
        <v>18</v>
      </c>
      <c r="B20" s="84" t="s">
        <v>1057</v>
      </c>
      <c r="C20" s="2" t="str">
        <f t="shared" si="1"/>
        <v>.</v>
      </c>
      <c r="D20" s="70" t="str">
        <f>IFERROR(DL/(RadSpec!F20*IFAP_res_adj*CF_apple),".")</f>
        <v>.</v>
      </c>
      <c r="E20" s="70" t="str">
        <f>IFERROR(DL/(RadSpec!F20*IFAS_res_adj*CF_asparagus),".")</f>
        <v>.</v>
      </c>
      <c r="F20" s="70" t="str">
        <f>IFERROR(DL/(RadSpec!F20*IFBT_res_adj*CF_beet),".")</f>
        <v>.</v>
      </c>
      <c r="G20" s="70" t="str">
        <f>IFERROR(DL/(RadSpec!F20*IFBE_res_adj*CF_berries),".")</f>
        <v>.</v>
      </c>
      <c r="H20" s="70" t="str">
        <f>IFERROR(DL/(RadSpec!F20*IFBR_res_adj*CF_broccoli),".")</f>
        <v>.</v>
      </c>
      <c r="I20" s="70" t="str">
        <f>IFERROR(DL/(RadSpec!F20*IFCB_res_adj*CF_cabbage),".")</f>
        <v>.</v>
      </c>
      <c r="J20" s="70" t="str">
        <f>IFERROR(DL/(RadSpec!F20*IFCR_res_adj*CF_carrot),".")</f>
        <v>.</v>
      </c>
      <c r="K20" s="70" t="str">
        <f>IFERROR(DL/(RadSpec!F20*IFCI_res_adj*CF_citrus),".")</f>
        <v>.</v>
      </c>
      <c r="L20" s="70" t="str">
        <f>IFERROR(DL/(RadSpec!F20*IFCO_res_adj*CF_corn),".")</f>
        <v>.</v>
      </c>
      <c r="M20" s="70" t="str">
        <f>IFERROR(DL/(RadSpec!F20*IFCU_res_adj*CF_cucumber),".")</f>
        <v>.</v>
      </c>
      <c r="N20" s="70" t="str">
        <f>IFERROR(DL/(RadSpec!F20*IFLE_res_adj*CF_lettuce),".")</f>
        <v>.</v>
      </c>
      <c r="O20" s="70" t="str">
        <f>IFERROR(DL/(RadSpec!F20*IFLI_res_adj*CF_lima_bean),".")</f>
        <v>.</v>
      </c>
      <c r="P20" s="70" t="str">
        <f>IFERROR(DL/(RadSpec!F20*IFOK_res_adj*CF_okra),".")</f>
        <v>.</v>
      </c>
      <c r="Q20" s="70" t="str">
        <f>IFERROR(DL/(RadSpec!F20*IFON_res_adj*CF_onion),".")</f>
        <v>.</v>
      </c>
      <c r="R20" s="70" t="str">
        <f>IFERROR(DL/(RadSpec!F20*IFPC_res_adj*CF_peach),".")</f>
        <v>.</v>
      </c>
      <c r="S20" s="70" t="str">
        <f>IFERROR(DL/(RadSpec!F20*IFPR_res_adj*CF_pear),".")</f>
        <v>.</v>
      </c>
      <c r="T20" s="70" t="str">
        <f>IFERROR(DL/(RadSpec!F20*IFPE_res_adj*CF_peas),".")</f>
        <v>.</v>
      </c>
      <c r="U20" s="70" t="str">
        <f>IFERROR(DL/(RadSpec!F20*IFPP_res_adj*CF_peppers),".")</f>
        <v>.</v>
      </c>
      <c r="V20" s="70" t="str">
        <f>IFERROR(DL/(RadSpec!F20*IFPT_res_adj*CF_potato),".")</f>
        <v>.</v>
      </c>
      <c r="W20" s="70" t="str">
        <f>IFERROR(DL/(RadSpec!F20*IFPU_res_adj*CF_pumpkin),".")</f>
        <v>.</v>
      </c>
      <c r="X20" s="70" t="str">
        <f>IFERROR(DL/(RadSpec!F20*IFSN_res_adj*CF_snap_bean),".")</f>
        <v>.</v>
      </c>
      <c r="Y20" s="70" t="str">
        <f>IFERROR(DL/(RadSpec!F20*IFST_res_adj*CF_strawberry),".")</f>
        <v>.</v>
      </c>
      <c r="Z20" s="70" t="str">
        <f>IFERROR(DL/(RadSpec!F20*IFTO_res_adj*CF_tomato),".")</f>
        <v>.</v>
      </c>
      <c r="AA20" s="70" t="str">
        <f>IFERROR(DL/(RadSpec!F20*IFRI_res_adj*CF_rice),".")</f>
        <v>.</v>
      </c>
      <c r="AB20" s="70" t="str">
        <f>IFERROR(DL/(RadSpec!F20*IFCG_res_adj*CF_cereal),".")</f>
        <v>.</v>
      </c>
      <c r="AC20" s="70" t="str">
        <f t="shared" si="0"/>
        <v>.</v>
      </c>
      <c r="AD20" s="70" t="str">
        <f>IFERROR(DL/(RadSpec!F20*IFAP_far_adj*CF_apple),".")</f>
        <v>.</v>
      </c>
      <c r="AE20" s="70" t="str">
        <f>IFERROR(DL/(RadSpec!F20*IFAS_far_adj*CF_asparagus),".")</f>
        <v>.</v>
      </c>
      <c r="AF20" s="70" t="str">
        <f>IFERROR(DL/(RadSpec!F20*IFBT_far_adj*CF_beet),".")</f>
        <v>.</v>
      </c>
      <c r="AG20" s="70" t="str">
        <f>IFERROR(DL/(RadSpec!F20*IFBE_far_adj*CF_berries),".")</f>
        <v>.</v>
      </c>
      <c r="AH20" s="70" t="str">
        <f>IFERROR(DL/(RadSpec!F20*IFBR_far_adj*CF_broccoli),".")</f>
        <v>.</v>
      </c>
      <c r="AI20" s="70" t="str">
        <f>IFERROR(DL/(RadSpec!F20*IFCB_far_adj*CF_cabbage),".")</f>
        <v>.</v>
      </c>
      <c r="AJ20" s="70" t="str">
        <f>IFERROR(DL/(RadSpec!F20*IFCR_far_adj*CF_carrot),".")</f>
        <v>.</v>
      </c>
      <c r="AK20" s="70" t="str">
        <f>IFERROR(DL/(RadSpec!F20*IFCI_far_adj*CF_citrus),".")</f>
        <v>.</v>
      </c>
      <c r="AL20" s="70" t="str">
        <f>IFERROR(DL/(RadSpec!F20*IFCO_far_adj*CF_corn),".")</f>
        <v>.</v>
      </c>
      <c r="AM20" s="70" t="str">
        <f>IFERROR(DL/(RadSpec!F20*IFCU_far_adj*CF_cucumber),".")</f>
        <v>.</v>
      </c>
      <c r="AN20" s="70" t="str">
        <f>IFERROR(DL/(RadSpec!F20*IFLE_far_adj*CF_lettuce),".")</f>
        <v>.</v>
      </c>
      <c r="AO20" s="70" t="str">
        <f>IFERROR(DL/(RadSpec!F20*IFLI_far_adj*CF_lima_bean),".")</f>
        <v>.</v>
      </c>
      <c r="AP20" s="70" t="str">
        <f>IFERROR(DL/(RadSpec!F20*IFOK_far_adj*CF_okra),".")</f>
        <v>.</v>
      </c>
      <c r="AQ20" s="70" t="str">
        <f>IFERROR(DL/(RadSpec!F20*IFON_far_adj*CF_onion),".")</f>
        <v>.</v>
      </c>
      <c r="AR20" s="70" t="str">
        <f>IFERROR(DL/(RadSpec!F20*IFPC_far_adj*CF_peach),".")</f>
        <v>.</v>
      </c>
      <c r="AS20" s="70" t="str">
        <f>IFERROR(DL/(RadSpec!F20*IFPR_far_adj*CF_pear),".")</f>
        <v>.</v>
      </c>
      <c r="AT20" s="70" t="str">
        <f>IFERROR(DL/(RadSpec!F20*IFPE_far_adj*CF_peas),".")</f>
        <v>.</v>
      </c>
      <c r="AU20" s="70" t="str">
        <f>IFERROR(DL/(RadSpec!F20*IFPP_far_adj*CF_peppers),".")</f>
        <v>.</v>
      </c>
      <c r="AV20" s="70" t="str">
        <f>IFERROR(DL/(RadSpec!F20*IFPT_far_adj*CF_potato),".")</f>
        <v>.</v>
      </c>
      <c r="AW20" s="70" t="str">
        <f>IFERROR(DL/(RadSpec!F20*IFPU_far_adj*CF_pumpkin),".")</f>
        <v>.</v>
      </c>
      <c r="AX20" s="70" t="str">
        <f>IFERROR(DL/(RadSpec!F20*IFSN_far_adj*CF_snap_bean),".")</f>
        <v>.</v>
      </c>
      <c r="AY20" s="70" t="str">
        <f>IFERROR(DL/(RadSpec!F20*IFST_far_adj*CF_strawberry),".")</f>
        <v>.</v>
      </c>
      <c r="AZ20" s="70" t="str">
        <f>IFERROR(DL/(RadSpec!F20*IFTO_far_adj*CF_tomato),".")</f>
        <v>.</v>
      </c>
      <c r="BA20" s="70" t="str">
        <f>IFERROR(DL/(RadSpec!F20*IFRI_far_adj*CF_rice),".")</f>
        <v>.</v>
      </c>
      <c r="BB20" s="70" t="str">
        <f>IFERROR(DL/(RadSpec!F20*IFCG_far_adj*CF_cereal),".")</f>
        <v>.</v>
      </c>
    </row>
    <row r="21" spans="1:54" x14ac:dyDescent="0.25">
      <c r="A21" s="86" t="s">
        <v>19</v>
      </c>
      <c r="B21" s="84" t="s">
        <v>1057</v>
      </c>
      <c r="C21" s="2" t="str">
        <f t="shared" si="1"/>
        <v>.</v>
      </c>
      <c r="D21" s="70" t="str">
        <f>IFERROR(DL/(RadSpec!F21*IFAP_res_adj*CF_apple),".")</f>
        <v>.</v>
      </c>
      <c r="E21" s="70" t="str">
        <f>IFERROR(DL/(RadSpec!F21*IFAS_res_adj*CF_asparagus),".")</f>
        <v>.</v>
      </c>
      <c r="F21" s="70" t="str">
        <f>IFERROR(DL/(RadSpec!F21*IFBT_res_adj*CF_beet),".")</f>
        <v>.</v>
      </c>
      <c r="G21" s="70" t="str">
        <f>IFERROR(DL/(RadSpec!F21*IFBE_res_adj*CF_berries),".")</f>
        <v>.</v>
      </c>
      <c r="H21" s="70" t="str">
        <f>IFERROR(DL/(RadSpec!F21*IFBR_res_adj*CF_broccoli),".")</f>
        <v>.</v>
      </c>
      <c r="I21" s="70" t="str">
        <f>IFERROR(DL/(RadSpec!F21*IFCB_res_adj*CF_cabbage),".")</f>
        <v>.</v>
      </c>
      <c r="J21" s="70" t="str">
        <f>IFERROR(DL/(RadSpec!F21*IFCR_res_adj*CF_carrot),".")</f>
        <v>.</v>
      </c>
      <c r="K21" s="70" t="str">
        <f>IFERROR(DL/(RadSpec!F21*IFCI_res_adj*CF_citrus),".")</f>
        <v>.</v>
      </c>
      <c r="L21" s="70" t="str">
        <f>IFERROR(DL/(RadSpec!F21*IFCO_res_adj*CF_corn),".")</f>
        <v>.</v>
      </c>
      <c r="M21" s="70" t="str">
        <f>IFERROR(DL/(RadSpec!F21*IFCU_res_adj*CF_cucumber),".")</f>
        <v>.</v>
      </c>
      <c r="N21" s="70" t="str">
        <f>IFERROR(DL/(RadSpec!F21*IFLE_res_adj*CF_lettuce),".")</f>
        <v>.</v>
      </c>
      <c r="O21" s="70" t="str">
        <f>IFERROR(DL/(RadSpec!F21*IFLI_res_adj*CF_lima_bean),".")</f>
        <v>.</v>
      </c>
      <c r="P21" s="70" t="str">
        <f>IFERROR(DL/(RadSpec!F21*IFOK_res_adj*CF_okra),".")</f>
        <v>.</v>
      </c>
      <c r="Q21" s="70" t="str">
        <f>IFERROR(DL/(RadSpec!F21*IFON_res_adj*CF_onion),".")</f>
        <v>.</v>
      </c>
      <c r="R21" s="70" t="str">
        <f>IFERROR(DL/(RadSpec!F21*IFPC_res_adj*CF_peach),".")</f>
        <v>.</v>
      </c>
      <c r="S21" s="70" t="str">
        <f>IFERROR(DL/(RadSpec!F21*IFPR_res_adj*CF_pear),".")</f>
        <v>.</v>
      </c>
      <c r="T21" s="70" t="str">
        <f>IFERROR(DL/(RadSpec!F21*IFPE_res_adj*CF_peas),".")</f>
        <v>.</v>
      </c>
      <c r="U21" s="70" t="str">
        <f>IFERROR(DL/(RadSpec!F21*IFPP_res_adj*CF_peppers),".")</f>
        <v>.</v>
      </c>
      <c r="V21" s="70" t="str">
        <f>IFERROR(DL/(RadSpec!F21*IFPT_res_adj*CF_potato),".")</f>
        <v>.</v>
      </c>
      <c r="W21" s="70" t="str">
        <f>IFERROR(DL/(RadSpec!F21*IFPU_res_adj*CF_pumpkin),".")</f>
        <v>.</v>
      </c>
      <c r="X21" s="70" t="str">
        <f>IFERROR(DL/(RadSpec!F21*IFSN_res_adj*CF_snap_bean),".")</f>
        <v>.</v>
      </c>
      <c r="Y21" s="70" t="str">
        <f>IFERROR(DL/(RadSpec!F21*IFST_res_adj*CF_strawberry),".")</f>
        <v>.</v>
      </c>
      <c r="Z21" s="70" t="str">
        <f>IFERROR(DL/(RadSpec!F21*IFTO_res_adj*CF_tomato),".")</f>
        <v>.</v>
      </c>
      <c r="AA21" s="70" t="str">
        <f>IFERROR(DL/(RadSpec!F21*IFRI_res_adj*CF_rice),".")</f>
        <v>.</v>
      </c>
      <c r="AB21" s="70" t="str">
        <f>IFERROR(DL/(RadSpec!F21*IFCG_res_adj*CF_cereal),".")</f>
        <v>.</v>
      </c>
      <c r="AC21" s="70" t="str">
        <f t="shared" si="0"/>
        <v>.</v>
      </c>
      <c r="AD21" s="70" t="str">
        <f>IFERROR(DL/(RadSpec!F21*IFAP_far_adj*CF_apple),".")</f>
        <v>.</v>
      </c>
      <c r="AE21" s="70" t="str">
        <f>IFERROR(DL/(RadSpec!F21*IFAS_far_adj*CF_asparagus),".")</f>
        <v>.</v>
      </c>
      <c r="AF21" s="70" t="str">
        <f>IFERROR(DL/(RadSpec!F21*IFBT_far_adj*CF_beet),".")</f>
        <v>.</v>
      </c>
      <c r="AG21" s="70" t="str">
        <f>IFERROR(DL/(RadSpec!F21*IFBE_far_adj*CF_berries),".")</f>
        <v>.</v>
      </c>
      <c r="AH21" s="70" t="str">
        <f>IFERROR(DL/(RadSpec!F21*IFBR_far_adj*CF_broccoli),".")</f>
        <v>.</v>
      </c>
      <c r="AI21" s="70" t="str">
        <f>IFERROR(DL/(RadSpec!F21*IFCB_far_adj*CF_cabbage),".")</f>
        <v>.</v>
      </c>
      <c r="AJ21" s="70" t="str">
        <f>IFERROR(DL/(RadSpec!F21*IFCR_far_adj*CF_carrot),".")</f>
        <v>.</v>
      </c>
      <c r="AK21" s="70" t="str">
        <f>IFERROR(DL/(RadSpec!F21*IFCI_far_adj*CF_citrus),".")</f>
        <v>.</v>
      </c>
      <c r="AL21" s="70" t="str">
        <f>IFERROR(DL/(RadSpec!F21*IFCO_far_adj*CF_corn),".")</f>
        <v>.</v>
      </c>
      <c r="AM21" s="70" t="str">
        <f>IFERROR(DL/(RadSpec!F21*IFCU_far_adj*CF_cucumber),".")</f>
        <v>.</v>
      </c>
      <c r="AN21" s="70" t="str">
        <f>IFERROR(DL/(RadSpec!F21*IFLE_far_adj*CF_lettuce),".")</f>
        <v>.</v>
      </c>
      <c r="AO21" s="70" t="str">
        <f>IFERROR(DL/(RadSpec!F21*IFLI_far_adj*CF_lima_bean),".")</f>
        <v>.</v>
      </c>
      <c r="AP21" s="70" t="str">
        <f>IFERROR(DL/(RadSpec!F21*IFOK_far_adj*CF_okra),".")</f>
        <v>.</v>
      </c>
      <c r="AQ21" s="70" t="str">
        <f>IFERROR(DL/(RadSpec!F21*IFON_far_adj*CF_onion),".")</f>
        <v>.</v>
      </c>
      <c r="AR21" s="70" t="str">
        <f>IFERROR(DL/(RadSpec!F21*IFPC_far_adj*CF_peach),".")</f>
        <v>.</v>
      </c>
      <c r="AS21" s="70" t="str">
        <f>IFERROR(DL/(RadSpec!F21*IFPR_far_adj*CF_pear),".")</f>
        <v>.</v>
      </c>
      <c r="AT21" s="70" t="str">
        <f>IFERROR(DL/(RadSpec!F21*IFPE_far_adj*CF_peas),".")</f>
        <v>.</v>
      </c>
      <c r="AU21" s="70" t="str">
        <f>IFERROR(DL/(RadSpec!F21*IFPP_far_adj*CF_peppers),".")</f>
        <v>.</v>
      </c>
      <c r="AV21" s="70" t="str">
        <f>IFERROR(DL/(RadSpec!F21*IFPT_far_adj*CF_potato),".")</f>
        <v>.</v>
      </c>
      <c r="AW21" s="70" t="str">
        <f>IFERROR(DL/(RadSpec!F21*IFPU_far_adj*CF_pumpkin),".")</f>
        <v>.</v>
      </c>
      <c r="AX21" s="70" t="str">
        <f>IFERROR(DL/(RadSpec!F21*IFSN_far_adj*CF_snap_bean),".")</f>
        <v>.</v>
      </c>
      <c r="AY21" s="70" t="str">
        <f>IFERROR(DL/(RadSpec!F21*IFST_far_adj*CF_strawberry),".")</f>
        <v>.</v>
      </c>
      <c r="AZ21" s="70" t="str">
        <f>IFERROR(DL/(RadSpec!F21*IFTO_far_adj*CF_tomato),".")</f>
        <v>.</v>
      </c>
      <c r="BA21" s="70" t="str">
        <f>IFERROR(DL/(RadSpec!F21*IFRI_far_adj*CF_rice),".")</f>
        <v>.</v>
      </c>
      <c r="BB21" s="70" t="str">
        <f>IFERROR(DL/(RadSpec!F21*IFCG_far_adj*CF_cereal),".")</f>
        <v>.</v>
      </c>
    </row>
    <row r="22" spans="1:54" x14ac:dyDescent="0.25">
      <c r="A22" s="86" t="s">
        <v>20</v>
      </c>
      <c r="B22" s="84" t="s">
        <v>1057</v>
      </c>
      <c r="C22" s="2">
        <f t="shared" si="1"/>
        <v>2.4365605314984897E-3</v>
      </c>
      <c r="D22" s="70">
        <f>IFERROR(DL/(RadSpec!F22*IFAP_res_adj*CF_apple),".")</f>
        <v>4.4165648825491871E-2</v>
      </c>
      <c r="E22" s="70">
        <f>IFERROR(DL/(RadSpec!F22*IFAS_res_adj*CF_asparagus),".")</f>
        <v>9.6523503887282369E-2</v>
      </c>
      <c r="F22" s="70">
        <f>IFERROR(DL/(RadSpec!F22*IFBT_res_adj*CF_beet),".")</f>
        <v>0.11642532868046183</v>
      </c>
      <c r="G22" s="70">
        <f>IFERROR(DL/(RadSpec!F22*IFBE_res_adj*CF_berries),".")</f>
        <v>9.9312551566180268E-2</v>
      </c>
      <c r="H22" s="70">
        <f>IFERROR(DL/(RadSpec!F22*IFBR_res_adj*CF_broccoli),".")</f>
        <v>0.12233856414415406</v>
      </c>
      <c r="I22" s="70">
        <f>IFERROR(DL/(RadSpec!F22*IFCB_res_adj*CF_cabbage),".")</f>
        <v>4.7545332859528881E-2</v>
      </c>
      <c r="J22" s="70">
        <f>IFERROR(DL/(RadSpec!F22*IFCR_res_adj*CF_carrot),".")</f>
        <v>0.13406086520399593</v>
      </c>
      <c r="K22" s="70">
        <f>IFERROR(DL/(RadSpec!F22*IFCI_res_adj*CF_citrus),".")</f>
        <v>1.144923358564183E-2</v>
      </c>
      <c r="L22" s="70">
        <f>IFERROR(DL/(RadSpec!F22*IFCO_res_adj*CF_corn),".")</f>
        <v>6.2769221506425027E-2</v>
      </c>
      <c r="M22" s="70">
        <f>IFERROR(DL/(RadSpec!F22*IFCU_res_adj*CF_cucumber),".")</f>
        <v>4.7018245654973624E-2</v>
      </c>
      <c r="N22" s="70">
        <f>IFERROR(DL/(RadSpec!F22*IFLE_res_adj*CF_lettuce),".")</f>
        <v>0.11172277330901516</v>
      </c>
      <c r="O22" s="70">
        <f>IFERROR(DL/(RadSpec!F22*IFLI_res_adj*CF_lima_bean),".")</f>
        <v>0.10411517054414242</v>
      </c>
      <c r="P22" s="70">
        <f>IFERROR(DL/(RadSpec!F22*IFOK_res_adj*CF_okra),".")</f>
        <v>0.12688858270109935</v>
      </c>
      <c r="Q22" s="70">
        <f>IFERROR(DL/(RadSpec!F22*IFON_res_adj*CF_onion),".")</f>
        <v>0.18113784388494361</v>
      </c>
      <c r="R22" s="70">
        <f>IFERROR(DL/(RadSpec!F22*IFPC_res_adj*CF_peach),".")</f>
        <v>2.8352698559593742E-2</v>
      </c>
      <c r="S22" s="70">
        <f>IFERROR(DL/(RadSpec!F22*IFPR_res_adj*CF_pear),".")</f>
        <v>5.7856614056368869E-2</v>
      </c>
      <c r="T22" s="70">
        <f>IFERROR(DL/(RadSpec!F22*IFPE_res_adj*CF_peas),".")</f>
        <v>0.10092512939116306</v>
      </c>
      <c r="U22" s="70">
        <f>IFERROR(DL/(RadSpec!F22*IFPP_res_adj*CF_peppers),".")</f>
        <v>0.20197591257887884</v>
      </c>
      <c r="V22" s="70">
        <f>IFERROR(DL/(RadSpec!F22*IFPT_res_adj*CF_potato),".")</f>
        <v>2.9688805047967334E-2</v>
      </c>
      <c r="W22" s="70">
        <f>IFERROR(DL/(RadSpec!F22*IFPU_res_adj*CF_pumpkin),".")</f>
        <v>6.0339979908633101E-2</v>
      </c>
      <c r="X22" s="70">
        <f>IFERROR(DL/(RadSpec!F22*IFSN_res_adj*CF_snap_bean),".")</f>
        <v>6.7686263892085319E-2</v>
      </c>
      <c r="Y22" s="70">
        <f>IFERROR(DL/(RadSpec!F22*IFST_res_adj*CF_strawberry),".")</f>
        <v>8.632083059747013E-2</v>
      </c>
      <c r="Z22" s="70">
        <f>IFERROR(DL/(RadSpec!F22*IFTO_res_adj*CF_tomato),".")</f>
        <v>4.6379076570852239E-2</v>
      </c>
      <c r="AA22" s="70">
        <f>IFERROR(DL/(RadSpec!F22*IFRI_res_adj*CF_rice),".")</f>
        <v>4.4756611806203495E-2</v>
      </c>
      <c r="AB22" s="70">
        <f>IFERROR(DL/(RadSpec!F22*IFCG_res_adj*CF_cereal),".")</f>
        <v>5.1331177377343211E-2</v>
      </c>
      <c r="AC22" s="70">
        <f t="shared" si="0"/>
        <v>2.2927026340958689E-3</v>
      </c>
      <c r="AD22" s="70">
        <f>IFERROR(DL/(RadSpec!F22*IFAP_far_adj*CF_apple),".")</f>
        <v>3.8403752851596258E-2</v>
      </c>
      <c r="AE22" s="70">
        <f>IFERROR(DL/(RadSpec!F22*IFAS_far_adj*CF_asparagus),".")</f>
        <v>9.0452775569197383E-2</v>
      </c>
      <c r="AF22" s="70">
        <f>IFERROR(DL/(RadSpec!F22*IFBT_far_adj*CF_beet),".")</f>
        <v>0.10764900662465528</v>
      </c>
      <c r="AG22" s="70">
        <f>IFERROR(DL/(RadSpec!F22*IFBE_far_adj*CF_berries),".")</f>
        <v>9.6707632180837846E-2</v>
      </c>
      <c r="AH22" s="70">
        <f>IFERROR(DL/(RadSpec!F22*IFBR_far_adj*CF_broccoli),".")</f>
        <v>0.10397503796401571</v>
      </c>
      <c r="AI22" s="70">
        <f>IFERROR(DL/(RadSpec!F22*IFCB_far_adj*CF_cabbage),".")</f>
        <v>4.6869498875653448E-2</v>
      </c>
      <c r="AJ22" s="70">
        <f>IFERROR(DL/(RadSpec!F22*IFCR_far_adj*CF_carrot),".")</f>
        <v>0.14289984847686016</v>
      </c>
      <c r="AK22" s="70">
        <f>IFERROR(DL/(RadSpec!F22*IFCI_far_adj*CF_citrus),".")</f>
        <v>1.11333655646122E-2</v>
      </c>
      <c r="AL22" s="70">
        <f>IFERROR(DL/(RadSpec!F22*IFCO_far_adj*CF_corn),".")</f>
        <v>4.353627721794176E-2</v>
      </c>
      <c r="AM22" s="70">
        <f>IFERROR(DL/(RadSpec!F22*IFCU_far_adj*CF_cucumber),".")</f>
        <v>6.6066810418796779E-2</v>
      </c>
      <c r="AN22" s="70">
        <f>IFERROR(DL/(RadSpec!F22*IFLE_far_adj*CF_lettuce),".")</f>
        <v>0.10233531176997665</v>
      </c>
      <c r="AO22" s="70">
        <f>IFERROR(DL/(RadSpec!F22*IFLI_far_adj*CF_lima_bean),".")</f>
        <v>0.10102883573617032</v>
      </c>
      <c r="AP22" s="70">
        <f>IFERROR(DL/(RadSpec!F22*IFOK_far_adj*CF_okra),".")</f>
        <v>0.11906572696026092</v>
      </c>
      <c r="AQ22" s="70">
        <f>IFERROR(DL/(RadSpec!F22*IFON_far_adj*CF_onion),".")</f>
        <v>0.13335557170847143</v>
      </c>
      <c r="AR22" s="70">
        <f>IFERROR(DL/(RadSpec!F22*IFPC_far_adj*CF_peach),".")</f>
        <v>3.1695804812847263E-2</v>
      </c>
      <c r="AS22" s="70">
        <f>IFERROR(DL/(RadSpec!F22*IFPR_far_adj*CF_pear),".")</f>
        <v>5.1689358924121555E-2</v>
      </c>
      <c r="AT22" s="70">
        <f>IFERROR(DL/(RadSpec!F22*IFPE_far_adj*CF_peas),".")</f>
        <v>0.10844054343807186</v>
      </c>
      <c r="AU22" s="70">
        <f>IFERROR(DL/(RadSpec!F22*IFPP_far_adj*CF_peppers),".")</f>
        <v>0.15143715564373908</v>
      </c>
      <c r="AV22" s="70">
        <f>IFERROR(DL/(RadSpec!F22*IFPT_far_adj*CF_potato),".")</f>
        <v>2.5270979512945789E-2</v>
      </c>
      <c r="AW22" s="70">
        <f>IFERROR(DL/(RadSpec!F22*IFPU_far_adj*CF_pumpkin),".")</f>
        <v>5.6767405470511942E-2</v>
      </c>
      <c r="AX22" s="70">
        <f>IFERROR(DL/(RadSpec!F22*IFSN_far_adj*CF_snap_bean),".")</f>
        <v>6.4083370722241947E-2</v>
      </c>
      <c r="AY22" s="70">
        <f>IFERROR(DL/(RadSpec!F22*IFST_far_adj*CF_strawberry),".")</f>
        <v>8.3979320814471597E-2</v>
      </c>
      <c r="AZ22" s="70">
        <f>IFERROR(DL/(RadSpec!F22*IFTO_far_adj*CF_tomato),".")</f>
        <v>3.7626592365384549E-2</v>
      </c>
      <c r="BA22" s="70">
        <f>IFERROR(DL/(RadSpec!F22*IFRI_far_adj*CF_rice),".")</f>
        <v>3.5457527563161687E-2</v>
      </c>
      <c r="BB22" s="70">
        <f>IFERROR(DL/(RadSpec!F22*IFCG_far_adj*CF_cereal),".")</f>
        <v>4.0917347369532883E-2</v>
      </c>
    </row>
    <row r="23" spans="1:54" x14ac:dyDescent="0.25">
      <c r="A23" s="88" t="s">
        <v>21</v>
      </c>
      <c r="B23" s="84" t="s">
        <v>335</v>
      </c>
      <c r="C23" s="2">
        <f t="shared" si="1"/>
        <v>1.2801355551802223E-3</v>
      </c>
      <c r="D23" s="70">
        <f>IFERROR(DL/(RadSpec!F23*IFAP_res_adj*CF_apple),".")</f>
        <v>2.3204027418249593E-2</v>
      </c>
      <c r="E23" s="70">
        <f>IFERROR(DL/(RadSpec!F23*IFAS_res_adj*CF_asparagus),".")</f>
        <v>5.0712127870139526E-2</v>
      </c>
      <c r="F23" s="70">
        <f>IFERROR(DL/(RadSpec!F23*IFBT_res_adj*CF_beet),".")</f>
        <v>6.1168274229470014E-2</v>
      </c>
      <c r="G23" s="70">
        <f>IFERROR(DL/(RadSpec!F23*IFBE_res_adj*CF_berries),".")</f>
        <v>5.2177455348235993E-2</v>
      </c>
      <c r="H23" s="70">
        <f>IFERROR(DL/(RadSpec!F23*IFBR_res_adj*CF_broccoli),".")</f>
        <v>6.4275007210394405E-2</v>
      </c>
      <c r="I23" s="70">
        <f>IFERROR(DL/(RadSpec!F23*IFCB_res_adj*CF_cabbage),".")</f>
        <v>2.4979667153571465E-2</v>
      </c>
      <c r="J23" s="70">
        <f>IFERROR(DL/(RadSpec!F23*IFCR_res_adj*CF_carrot),".")</f>
        <v>7.0433743749560782E-2</v>
      </c>
      <c r="K23" s="70">
        <f>IFERROR(DL/(RadSpec!F23*IFCI_res_adj*CF_citrus),".")</f>
        <v>6.0152706255689964E-3</v>
      </c>
      <c r="L23" s="70">
        <f>IFERROR(DL/(RadSpec!F23*IFCO_res_adj*CF_corn),".")</f>
        <v>3.2978089886377834E-2</v>
      </c>
      <c r="M23" s="70">
        <f>IFERROR(DL/(RadSpec!F23*IFCU_res_adj*CF_cucumber),".")</f>
        <v>2.4702742750295194E-2</v>
      </c>
      <c r="N23" s="70">
        <f>IFERROR(DL/(RadSpec!F23*IFLE_res_adj*CF_lettuce),".")</f>
        <v>5.8697615998996928E-2</v>
      </c>
      <c r="O23" s="70">
        <f>IFERROR(DL/(RadSpec!F23*IFLI_res_adj*CF_lima_bean),".")</f>
        <v>5.4700685628048334E-2</v>
      </c>
      <c r="P23" s="70">
        <f>IFERROR(DL/(RadSpec!F23*IFOK_res_adj*CF_okra),".")</f>
        <v>6.6665524686228786E-2</v>
      </c>
      <c r="Q23" s="70">
        <f>IFERROR(DL/(RadSpec!F23*IFON_res_adj*CF_onion),".")</f>
        <v>9.5167344027851181E-2</v>
      </c>
      <c r="R23" s="70">
        <f>IFERROR(DL/(RadSpec!F23*IFPC_res_adj*CF_peach),".")</f>
        <v>1.4896119773031591E-2</v>
      </c>
      <c r="S23" s="70">
        <f>IFERROR(DL/(RadSpec!F23*IFPR_res_adj*CF_pear),".")</f>
        <v>3.0397073168688282E-2</v>
      </c>
      <c r="T23" s="70">
        <f>IFERROR(DL/(RadSpec!F23*IFPE_res_adj*CF_peas),".")</f>
        <v>5.3024681666880367E-2</v>
      </c>
      <c r="U23" s="70">
        <f>IFERROR(DL/(RadSpec!F23*IFPP_res_adj*CF_peppers),".")</f>
        <v>0.10611538011870457</v>
      </c>
      <c r="V23" s="70">
        <f>IFERROR(DL/(RadSpec!F23*IFPT_res_adj*CF_potato),".")</f>
        <v>1.5598091835355904E-2</v>
      </c>
      <c r="W23" s="70">
        <f>IFERROR(DL/(RadSpec!F23*IFPU_res_adj*CF_pumpkin),".")</f>
        <v>3.1701799598796196E-2</v>
      </c>
      <c r="X23" s="70">
        <f>IFERROR(DL/(RadSpec!F23*IFSN_res_adj*CF_snap_bean),".")</f>
        <v>3.5561436658534895E-2</v>
      </c>
      <c r="Y23" s="70">
        <f>IFERROR(DL/(RadSpec!F23*IFST_res_adj*CF_strawberry),".")</f>
        <v>4.5351782962909253E-2</v>
      </c>
      <c r="Z23" s="70">
        <f>IFERROR(DL/(RadSpec!F23*IFTO_res_adj*CF_tomato),".")</f>
        <v>2.4366932061507359E-2</v>
      </c>
      <c r="AA23" s="70">
        <f>IFERROR(DL/(RadSpec!F23*IFRI_res_adj*CF_rice),".")</f>
        <v>2.3514511280080422E-2</v>
      </c>
      <c r="AB23" s="70">
        <f>IFERROR(DL/(RadSpec!F23*IFCG_res_adj*CF_cereal),".")</f>
        <v>2.6968698048140581E-2</v>
      </c>
      <c r="AC23" s="70">
        <f t="shared" si="0"/>
        <v>1.2045545848009206E-3</v>
      </c>
      <c r="AD23" s="70">
        <f>IFERROR(DL/(RadSpec!F23*IFAP_far_adj*CF_apple),".")</f>
        <v>2.0176806133951234E-2</v>
      </c>
      <c r="AE23" s="70">
        <f>IFERROR(DL/(RadSpec!F23*IFAS_far_adj*CF_asparagus),".")</f>
        <v>4.7522650299048515E-2</v>
      </c>
      <c r="AF23" s="70">
        <f>IFERROR(DL/(RadSpec!F23*IFBT_far_adj*CF_beet),".")</f>
        <v>5.6557314738781367E-2</v>
      </c>
      <c r="AG23" s="70">
        <f>IFERROR(DL/(RadSpec!F23*IFBE_far_adj*CF_berries),".")</f>
        <v>5.0808866355495384E-2</v>
      </c>
      <c r="AH23" s="70">
        <f>IFERROR(DL/(RadSpec!F23*IFBR_far_adj*CF_broccoli),".")</f>
        <v>5.4627061888379111E-2</v>
      </c>
      <c r="AI23" s="70">
        <f>IFERROR(DL/(RadSpec!F23*IFCB_far_adj*CF_cabbage),".")</f>
        <v>2.4624593228268259E-2</v>
      </c>
      <c r="AJ23" s="70">
        <f>IFERROR(DL/(RadSpec!F23*IFCR_far_adj*CF_carrot),".")</f>
        <v>7.5077624586076641E-2</v>
      </c>
      <c r="AK23" s="70">
        <f>IFERROR(DL/(RadSpec!F23*IFCI_far_adj*CF_citrus),".")</f>
        <v>5.8493178904585061E-3</v>
      </c>
      <c r="AL23" s="70">
        <f>IFERROR(DL/(RadSpec!F23*IFCO_far_adj*CF_corn),".")</f>
        <v>2.287336418955881E-2</v>
      </c>
      <c r="AM23" s="70">
        <f>IFERROR(DL/(RadSpec!F23*IFCU_far_adj*CF_cucumber),".")</f>
        <v>3.4710597968374467E-2</v>
      </c>
      <c r="AN23" s="70">
        <f>IFERROR(DL/(RadSpec!F23*IFLE_far_adj*CF_lettuce),".")</f>
        <v>5.3765572188199655E-2</v>
      </c>
      <c r="AO23" s="70">
        <f>IFERROR(DL/(RadSpec!F23*IFLI_far_adj*CF_lima_bean),".")</f>
        <v>5.3079167561166755E-2</v>
      </c>
      <c r="AP23" s="70">
        <f>IFERROR(DL/(RadSpec!F23*IFOK_far_adj*CF_okra),".")</f>
        <v>6.2555503347775057E-2</v>
      </c>
      <c r="AQ23" s="70">
        <f>IFERROR(DL/(RadSpec!F23*IFON_far_adj*CF_onion),".")</f>
        <v>7.0063192200035762E-2</v>
      </c>
      <c r="AR23" s="70">
        <f>IFERROR(DL/(RadSpec!F23*IFPC_far_adj*CF_peach),".")</f>
        <v>1.6652542042952866E-2</v>
      </c>
      <c r="AS23" s="70">
        <f>IFERROR(DL/(RadSpec!F23*IFPR_far_adj*CF_pear),".")</f>
        <v>2.7156881730553927E-2</v>
      </c>
      <c r="AT23" s="70">
        <f>IFERROR(DL/(RadSpec!F23*IFPE_far_adj*CF_peas),".")</f>
        <v>5.6973177347154756E-2</v>
      </c>
      <c r="AU23" s="70">
        <f>IFERROR(DL/(RadSpec!F23*IFPP_far_adj*CF_peppers),".")</f>
        <v>7.9563008925408171E-2</v>
      </c>
      <c r="AV23" s="70">
        <f>IFERROR(DL/(RadSpec!F23*IFPT_far_adj*CF_potato),".")</f>
        <v>1.3277026763975934E-2</v>
      </c>
      <c r="AW23" s="70">
        <f>IFERROR(DL/(RadSpec!F23*IFPU_far_adj*CF_pumpkin),".")</f>
        <v>2.9824817885169629E-2</v>
      </c>
      <c r="AX23" s="70">
        <f>IFERROR(DL/(RadSpec!F23*IFSN_far_adj*CF_snap_bean),".")</f>
        <v>3.3668525898219837E-2</v>
      </c>
      <c r="AY23" s="70">
        <f>IFERROR(DL/(RadSpec!F23*IFST_far_adj*CF_strawberry),".")</f>
        <v>4.4121585770075585E-2</v>
      </c>
      <c r="AZ23" s="70">
        <f>IFERROR(DL/(RadSpec!F23*IFTO_far_adj*CF_tomato),".")</f>
        <v>1.9768496651129192E-2</v>
      </c>
      <c r="BA23" s="70">
        <f>IFERROR(DL/(RadSpec!F23*IFRI_far_adj*CF_rice),".")</f>
        <v>1.8628899691020929E-2</v>
      </c>
      <c r="BB23" s="70">
        <f>IFERROR(DL/(RadSpec!F23*IFCG_far_adj*CF_cereal),".")</f>
        <v>2.1497414291277762E-2</v>
      </c>
    </row>
    <row r="24" spans="1:54" x14ac:dyDescent="0.25">
      <c r="A24" s="86" t="s">
        <v>22</v>
      </c>
      <c r="B24" s="84" t="s">
        <v>1057</v>
      </c>
      <c r="C24" s="2" t="str">
        <f t="shared" si="1"/>
        <v>.</v>
      </c>
      <c r="D24" s="70" t="str">
        <f>IFERROR(DL/(RadSpec!F24*IFAP_res_adj*CF_apple),".")</f>
        <v>.</v>
      </c>
      <c r="E24" s="70" t="str">
        <f>IFERROR(DL/(RadSpec!F24*IFAS_res_adj*CF_asparagus),".")</f>
        <v>.</v>
      </c>
      <c r="F24" s="70" t="str">
        <f>IFERROR(DL/(RadSpec!F24*IFBT_res_adj*CF_beet),".")</f>
        <v>.</v>
      </c>
      <c r="G24" s="70" t="str">
        <f>IFERROR(DL/(RadSpec!F24*IFBE_res_adj*CF_berries),".")</f>
        <v>.</v>
      </c>
      <c r="H24" s="70" t="str">
        <f>IFERROR(DL/(RadSpec!F24*IFBR_res_adj*CF_broccoli),".")</f>
        <v>.</v>
      </c>
      <c r="I24" s="70" t="str">
        <f>IFERROR(DL/(RadSpec!F24*IFCB_res_adj*CF_cabbage),".")</f>
        <v>.</v>
      </c>
      <c r="J24" s="70" t="str">
        <f>IFERROR(DL/(RadSpec!F24*IFCR_res_adj*CF_carrot),".")</f>
        <v>.</v>
      </c>
      <c r="K24" s="70" t="str">
        <f>IFERROR(DL/(RadSpec!F24*IFCI_res_adj*CF_citrus),".")</f>
        <v>.</v>
      </c>
      <c r="L24" s="70" t="str">
        <f>IFERROR(DL/(RadSpec!F24*IFCO_res_adj*CF_corn),".")</f>
        <v>.</v>
      </c>
      <c r="M24" s="70" t="str">
        <f>IFERROR(DL/(RadSpec!F24*IFCU_res_adj*CF_cucumber),".")</f>
        <v>.</v>
      </c>
      <c r="N24" s="70" t="str">
        <f>IFERROR(DL/(RadSpec!F24*IFLE_res_adj*CF_lettuce),".")</f>
        <v>.</v>
      </c>
      <c r="O24" s="70" t="str">
        <f>IFERROR(DL/(RadSpec!F24*IFLI_res_adj*CF_lima_bean),".")</f>
        <v>.</v>
      </c>
      <c r="P24" s="70" t="str">
        <f>IFERROR(DL/(RadSpec!F24*IFOK_res_adj*CF_okra),".")</f>
        <v>.</v>
      </c>
      <c r="Q24" s="70" t="str">
        <f>IFERROR(DL/(RadSpec!F24*IFON_res_adj*CF_onion),".")</f>
        <v>.</v>
      </c>
      <c r="R24" s="70" t="str">
        <f>IFERROR(DL/(RadSpec!F24*IFPC_res_adj*CF_peach),".")</f>
        <v>.</v>
      </c>
      <c r="S24" s="70" t="str">
        <f>IFERROR(DL/(RadSpec!F24*IFPR_res_adj*CF_pear),".")</f>
        <v>.</v>
      </c>
      <c r="T24" s="70" t="str">
        <f>IFERROR(DL/(RadSpec!F24*IFPE_res_adj*CF_peas),".")</f>
        <v>.</v>
      </c>
      <c r="U24" s="70" t="str">
        <f>IFERROR(DL/(RadSpec!F24*IFPP_res_adj*CF_peppers),".")</f>
        <v>.</v>
      </c>
      <c r="V24" s="70" t="str">
        <f>IFERROR(DL/(RadSpec!F24*IFPT_res_adj*CF_potato),".")</f>
        <v>.</v>
      </c>
      <c r="W24" s="70" t="str">
        <f>IFERROR(DL/(RadSpec!F24*IFPU_res_adj*CF_pumpkin),".")</f>
        <v>.</v>
      </c>
      <c r="X24" s="70" t="str">
        <f>IFERROR(DL/(RadSpec!F24*IFSN_res_adj*CF_snap_bean),".")</f>
        <v>.</v>
      </c>
      <c r="Y24" s="70" t="str">
        <f>IFERROR(DL/(RadSpec!F24*IFST_res_adj*CF_strawberry),".")</f>
        <v>.</v>
      </c>
      <c r="Z24" s="70" t="str">
        <f>IFERROR(DL/(RadSpec!F24*IFTO_res_adj*CF_tomato),".")</f>
        <v>.</v>
      </c>
      <c r="AA24" s="70" t="str">
        <f>IFERROR(DL/(RadSpec!F24*IFRI_res_adj*CF_rice),".")</f>
        <v>.</v>
      </c>
      <c r="AB24" s="70" t="str">
        <f>IFERROR(DL/(RadSpec!F24*IFCG_res_adj*CF_cereal),".")</f>
        <v>.</v>
      </c>
      <c r="AC24" s="70" t="str">
        <f t="shared" si="0"/>
        <v>.</v>
      </c>
      <c r="AD24" s="70" t="str">
        <f>IFERROR(DL/(RadSpec!F24*IFAP_far_adj*CF_apple),".")</f>
        <v>.</v>
      </c>
      <c r="AE24" s="70" t="str">
        <f>IFERROR(DL/(RadSpec!F24*IFAS_far_adj*CF_asparagus),".")</f>
        <v>.</v>
      </c>
      <c r="AF24" s="70" t="str">
        <f>IFERROR(DL/(RadSpec!F24*IFBT_far_adj*CF_beet),".")</f>
        <v>.</v>
      </c>
      <c r="AG24" s="70" t="str">
        <f>IFERROR(DL/(RadSpec!F24*IFBE_far_adj*CF_berries),".")</f>
        <v>.</v>
      </c>
      <c r="AH24" s="70" t="str">
        <f>IFERROR(DL/(RadSpec!F24*IFBR_far_adj*CF_broccoli),".")</f>
        <v>.</v>
      </c>
      <c r="AI24" s="70" t="str">
        <f>IFERROR(DL/(RadSpec!F24*IFCB_far_adj*CF_cabbage),".")</f>
        <v>.</v>
      </c>
      <c r="AJ24" s="70" t="str">
        <f>IFERROR(DL/(RadSpec!F24*IFCR_far_adj*CF_carrot),".")</f>
        <v>.</v>
      </c>
      <c r="AK24" s="70" t="str">
        <f>IFERROR(DL/(RadSpec!F24*IFCI_far_adj*CF_citrus),".")</f>
        <v>.</v>
      </c>
      <c r="AL24" s="70" t="str">
        <f>IFERROR(DL/(RadSpec!F24*IFCO_far_adj*CF_corn),".")</f>
        <v>.</v>
      </c>
      <c r="AM24" s="70" t="str">
        <f>IFERROR(DL/(RadSpec!F24*IFCU_far_adj*CF_cucumber),".")</f>
        <v>.</v>
      </c>
      <c r="AN24" s="70" t="str">
        <f>IFERROR(DL/(RadSpec!F24*IFLE_far_adj*CF_lettuce),".")</f>
        <v>.</v>
      </c>
      <c r="AO24" s="70" t="str">
        <f>IFERROR(DL/(RadSpec!F24*IFLI_far_adj*CF_lima_bean),".")</f>
        <v>.</v>
      </c>
      <c r="AP24" s="70" t="str">
        <f>IFERROR(DL/(RadSpec!F24*IFOK_far_adj*CF_okra),".")</f>
        <v>.</v>
      </c>
      <c r="AQ24" s="70" t="str">
        <f>IFERROR(DL/(RadSpec!F24*IFON_far_adj*CF_onion),".")</f>
        <v>.</v>
      </c>
      <c r="AR24" s="70" t="str">
        <f>IFERROR(DL/(RadSpec!F24*IFPC_far_adj*CF_peach),".")</f>
        <v>.</v>
      </c>
      <c r="AS24" s="70" t="str">
        <f>IFERROR(DL/(RadSpec!F24*IFPR_far_adj*CF_pear),".")</f>
        <v>.</v>
      </c>
      <c r="AT24" s="70" t="str">
        <f>IFERROR(DL/(RadSpec!F24*IFPE_far_adj*CF_peas),".")</f>
        <v>.</v>
      </c>
      <c r="AU24" s="70" t="str">
        <f>IFERROR(DL/(RadSpec!F24*IFPP_far_adj*CF_peppers),".")</f>
        <v>.</v>
      </c>
      <c r="AV24" s="70" t="str">
        <f>IFERROR(DL/(RadSpec!F24*IFPT_far_adj*CF_potato),".")</f>
        <v>.</v>
      </c>
      <c r="AW24" s="70" t="str">
        <f>IFERROR(DL/(RadSpec!F24*IFPU_far_adj*CF_pumpkin),".")</f>
        <v>.</v>
      </c>
      <c r="AX24" s="70" t="str">
        <f>IFERROR(DL/(RadSpec!F24*IFSN_far_adj*CF_snap_bean),".")</f>
        <v>.</v>
      </c>
      <c r="AY24" s="70" t="str">
        <f>IFERROR(DL/(RadSpec!F24*IFST_far_adj*CF_strawberry),".")</f>
        <v>.</v>
      </c>
      <c r="AZ24" s="70" t="str">
        <f>IFERROR(DL/(RadSpec!F24*IFTO_far_adj*CF_tomato),".")</f>
        <v>.</v>
      </c>
      <c r="BA24" s="70" t="str">
        <f>IFERROR(DL/(RadSpec!F24*IFRI_far_adj*CF_rice),".")</f>
        <v>.</v>
      </c>
      <c r="BB24" s="70" t="str">
        <f>IFERROR(DL/(RadSpec!F24*IFCG_far_adj*CF_cereal),".")</f>
        <v>.</v>
      </c>
    </row>
    <row r="25" spans="1:54" x14ac:dyDescent="0.25">
      <c r="A25" s="88" t="s">
        <v>23</v>
      </c>
      <c r="B25" s="84" t="s">
        <v>335</v>
      </c>
      <c r="C25" s="2" t="str">
        <f t="shared" si="1"/>
        <v>.</v>
      </c>
      <c r="D25" s="70" t="str">
        <f>IFERROR(DL/(RadSpec!F25*IFAP_res_adj*CF_apple),".")</f>
        <v>.</v>
      </c>
      <c r="E25" s="70" t="str">
        <f>IFERROR(DL/(RadSpec!F25*IFAS_res_adj*CF_asparagus),".")</f>
        <v>.</v>
      </c>
      <c r="F25" s="70" t="str">
        <f>IFERROR(DL/(RadSpec!F25*IFBT_res_adj*CF_beet),".")</f>
        <v>.</v>
      </c>
      <c r="G25" s="70" t="str">
        <f>IFERROR(DL/(RadSpec!F25*IFBE_res_adj*CF_berries),".")</f>
        <v>.</v>
      </c>
      <c r="H25" s="70" t="str">
        <f>IFERROR(DL/(RadSpec!F25*IFBR_res_adj*CF_broccoli),".")</f>
        <v>.</v>
      </c>
      <c r="I25" s="70" t="str">
        <f>IFERROR(DL/(RadSpec!F25*IFCB_res_adj*CF_cabbage),".")</f>
        <v>.</v>
      </c>
      <c r="J25" s="70" t="str">
        <f>IFERROR(DL/(RadSpec!F25*IFCR_res_adj*CF_carrot),".")</f>
        <v>.</v>
      </c>
      <c r="K25" s="70" t="str">
        <f>IFERROR(DL/(RadSpec!F25*IFCI_res_adj*CF_citrus),".")</f>
        <v>.</v>
      </c>
      <c r="L25" s="70" t="str">
        <f>IFERROR(DL/(RadSpec!F25*IFCO_res_adj*CF_corn),".")</f>
        <v>.</v>
      </c>
      <c r="M25" s="70" t="str">
        <f>IFERROR(DL/(RadSpec!F25*IFCU_res_adj*CF_cucumber),".")</f>
        <v>.</v>
      </c>
      <c r="N25" s="70" t="str">
        <f>IFERROR(DL/(RadSpec!F25*IFLE_res_adj*CF_lettuce),".")</f>
        <v>.</v>
      </c>
      <c r="O25" s="70" t="str">
        <f>IFERROR(DL/(RadSpec!F25*IFLI_res_adj*CF_lima_bean),".")</f>
        <v>.</v>
      </c>
      <c r="P25" s="70" t="str">
        <f>IFERROR(DL/(RadSpec!F25*IFOK_res_adj*CF_okra),".")</f>
        <v>.</v>
      </c>
      <c r="Q25" s="70" t="str">
        <f>IFERROR(DL/(RadSpec!F25*IFON_res_adj*CF_onion),".")</f>
        <v>.</v>
      </c>
      <c r="R25" s="70" t="str">
        <f>IFERROR(DL/(RadSpec!F25*IFPC_res_adj*CF_peach),".")</f>
        <v>.</v>
      </c>
      <c r="S25" s="70" t="str">
        <f>IFERROR(DL/(RadSpec!F25*IFPR_res_adj*CF_pear),".")</f>
        <v>.</v>
      </c>
      <c r="T25" s="70" t="str">
        <f>IFERROR(DL/(RadSpec!F25*IFPE_res_adj*CF_peas),".")</f>
        <v>.</v>
      </c>
      <c r="U25" s="70" t="str">
        <f>IFERROR(DL/(RadSpec!F25*IFPP_res_adj*CF_peppers),".")</f>
        <v>.</v>
      </c>
      <c r="V25" s="70" t="str">
        <f>IFERROR(DL/(RadSpec!F25*IFPT_res_adj*CF_potato),".")</f>
        <v>.</v>
      </c>
      <c r="W25" s="70" t="str">
        <f>IFERROR(DL/(RadSpec!F25*IFPU_res_adj*CF_pumpkin),".")</f>
        <v>.</v>
      </c>
      <c r="X25" s="70" t="str">
        <f>IFERROR(DL/(RadSpec!F25*IFSN_res_adj*CF_snap_bean),".")</f>
        <v>.</v>
      </c>
      <c r="Y25" s="70" t="str">
        <f>IFERROR(DL/(RadSpec!F25*IFST_res_adj*CF_strawberry),".")</f>
        <v>.</v>
      </c>
      <c r="Z25" s="70" t="str">
        <f>IFERROR(DL/(RadSpec!F25*IFTO_res_adj*CF_tomato),".")</f>
        <v>.</v>
      </c>
      <c r="AA25" s="70" t="str">
        <f>IFERROR(DL/(RadSpec!F25*IFRI_res_adj*CF_rice),".")</f>
        <v>.</v>
      </c>
      <c r="AB25" s="70" t="str">
        <f>IFERROR(DL/(RadSpec!F25*IFCG_res_adj*CF_cereal),".")</f>
        <v>.</v>
      </c>
      <c r="AC25" s="70" t="str">
        <f t="shared" si="0"/>
        <v>.</v>
      </c>
      <c r="AD25" s="70" t="str">
        <f>IFERROR(DL/(RadSpec!F25*IFAP_far_adj*CF_apple),".")</f>
        <v>.</v>
      </c>
      <c r="AE25" s="70" t="str">
        <f>IFERROR(DL/(RadSpec!F25*IFAS_far_adj*CF_asparagus),".")</f>
        <v>.</v>
      </c>
      <c r="AF25" s="70" t="str">
        <f>IFERROR(DL/(RadSpec!F25*IFBT_far_adj*CF_beet),".")</f>
        <v>.</v>
      </c>
      <c r="AG25" s="70" t="str">
        <f>IFERROR(DL/(RadSpec!F25*IFBE_far_adj*CF_berries),".")</f>
        <v>.</v>
      </c>
      <c r="AH25" s="70" t="str">
        <f>IFERROR(DL/(RadSpec!F25*IFBR_far_adj*CF_broccoli),".")</f>
        <v>.</v>
      </c>
      <c r="AI25" s="70" t="str">
        <f>IFERROR(DL/(RadSpec!F25*IFCB_far_adj*CF_cabbage),".")</f>
        <v>.</v>
      </c>
      <c r="AJ25" s="70" t="str">
        <f>IFERROR(DL/(RadSpec!F25*IFCR_far_adj*CF_carrot),".")</f>
        <v>.</v>
      </c>
      <c r="AK25" s="70" t="str">
        <f>IFERROR(DL/(RadSpec!F25*IFCI_far_adj*CF_citrus),".")</f>
        <v>.</v>
      </c>
      <c r="AL25" s="70" t="str">
        <f>IFERROR(DL/(RadSpec!F25*IFCO_far_adj*CF_corn),".")</f>
        <v>.</v>
      </c>
      <c r="AM25" s="70" t="str">
        <f>IFERROR(DL/(RadSpec!F25*IFCU_far_adj*CF_cucumber),".")</f>
        <v>.</v>
      </c>
      <c r="AN25" s="70" t="str">
        <f>IFERROR(DL/(RadSpec!F25*IFLE_far_adj*CF_lettuce),".")</f>
        <v>.</v>
      </c>
      <c r="AO25" s="70" t="str">
        <f>IFERROR(DL/(RadSpec!F25*IFLI_far_adj*CF_lima_bean),".")</f>
        <v>.</v>
      </c>
      <c r="AP25" s="70" t="str">
        <f>IFERROR(DL/(RadSpec!F25*IFOK_far_adj*CF_okra),".")</f>
        <v>.</v>
      </c>
      <c r="AQ25" s="70" t="str">
        <f>IFERROR(DL/(RadSpec!F25*IFON_far_adj*CF_onion),".")</f>
        <v>.</v>
      </c>
      <c r="AR25" s="70" t="str">
        <f>IFERROR(DL/(RadSpec!F25*IFPC_far_adj*CF_peach),".")</f>
        <v>.</v>
      </c>
      <c r="AS25" s="70" t="str">
        <f>IFERROR(DL/(RadSpec!F25*IFPR_far_adj*CF_pear),".")</f>
        <v>.</v>
      </c>
      <c r="AT25" s="70" t="str">
        <f>IFERROR(DL/(RadSpec!F25*IFPE_far_adj*CF_peas),".")</f>
        <v>.</v>
      </c>
      <c r="AU25" s="70" t="str">
        <f>IFERROR(DL/(RadSpec!F25*IFPP_far_adj*CF_peppers),".")</f>
        <v>.</v>
      </c>
      <c r="AV25" s="70" t="str">
        <f>IFERROR(DL/(RadSpec!F25*IFPT_far_adj*CF_potato),".")</f>
        <v>.</v>
      </c>
      <c r="AW25" s="70" t="str">
        <f>IFERROR(DL/(RadSpec!F25*IFPU_far_adj*CF_pumpkin),".")</f>
        <v>.</v>
      </c>
      <c r="AX25" s="70" t="str">
        <f>IFERROR(DL/(RadSpec!F25*IFSN_far_adj*CF_snap_bean),".")</f>
        <v>.</v>
      </c>
      <c r="AY25" s="70" t="str">
        <f>IFERROR(DL/(RadSpec!F25*IFST_far_adj*CF_strawberry),".")</f>
        <v>.</v>
      </c>
      <c r="AZ25" s="70" t="str">
        <f>IFERROR(DL/(RadSpec!F25*IFTO_far_adj*CF_tomato),".")</f>
        <v>.</v>
      </c>
      <c r="BA25" s="70" t="str">
        <f>IFERROR(DL/(RadSpec!F25*IFRI_far_adj*CF_rice),".")</f>
        <v>.</v>
      </c>
      <c r="BB25" s="70" t="str">
        <f>IFERROR(DL/(RadSpec!F25*IFCG_far_adj*CF_cereal),".")</f>
        <v>.</v>
      </c>
    </row>
    <row r="26" spans="1:54" x14ac:dyDescent="0.25">
      <c r="A26" s="86" t="s">
        <v>24</v>
      </c>
      <c r="B26" s="84" t="s">
        <v>1057</v>
      </c>
      <c r="C26" s="2">
        <f t="shared" si="1"/>
        <v>9.5221905828676639E-4</v>
      </c>
      <c r="D26" s="70">
        <f>IFERROR(DL/(RadSpec!F26*IFAP_res_adj*CF_apple),".")</f>
        <v>1.7260138621456592E-2</v>
      </c>
      <c r="E26" s="70">
        <f>IFERROR(DL/(RadSpec!F26*IFAS_res_adj*CF_asparagus),".")</f>
        <v>3.7721829105374714E-2</v>
      </c>
      <c r="F26" s="70">
        <f>IFERROR(DL/(RadSpec!F26*IFBT_res_adj*CF_beet),".")</f>
        <v>4.5499553737191979E-2</v>
      </c>
      <c r="G26" s="70">
        <f>IFERROR(DL/(RadSpec!F26*IFBE_res_adj*CF_berries),".")</f>
        <v>3.8811801761495734E-2</v>
      </c>
      <c r="H26" s="70">
        <f>IFERROR(DL/(RadSpec!F26*IFBR_res_adj*CF_broccoli),".")</f>
        <v>4.7810473343692393E-2</v>
      </c>
      <c r="I26" s="70">
        <f>IFERROR(DL/(RadSpec!F26*IFCB_res_adj*CF_cabbage),".")</f>
        <v>1.8580934680735423E-2</v>
      </c>
      <c r="J26" s="70">
        <f>IFERROR(DL/(RadSpec!F26*IFCR_res_adj*CF_carrot),".")</f>
        <v>5.2391602493515647E-2</v>
      </c>
      <c r="K26" s="70">
        <f>IFERROR(DL/(RadSpec!F26*IFCI_res_adj*CF_citrus),".")</f>
        <v>4.4744131254232438E-3</v>
      </c>
      <c r="L26" s="70">
        <f>IFERROR(DL/(RadSpec!F26*IFCO_res_adj*CF_corn),".")</f>
        <v>2.4530500358832769E-2</v>
      </c>
      <c r="M26" s="70">
        <f>IFERROR(DL/(RadSpec!F26*IFCU_res_adj*CF_cucumber),".")</f>
        <v>1.8374946577805785E-2</v>
      </c>
      <c r="N26" s="70">
        <f>IFERROR(DL/(RadSpec!F26*IFLE_res_adj*CF_lettuce),".")</f>
        <v>4.3661773477086385E-2</v>
      </c>
      <c r="O26" s="70">
        <f>IFERROR(DL/(RadSpec!F26*IFLI_res_adj*CF_lima_bean),".")</f>
        <v>4.0688687339090139E-2</v>
      </c>
      <c r="P26" s="70">
        <f>IFERROR(DL/(RadSpec!F26*IFOK_res_adj*CF_okra),".")</f>
        <v>4.958864151537215E-2</v>
      </c>
      <c r="Q26" s="70">
        <f>IFERROR(DL/(RadSpec!F26*IFON_res_adj*CF_onion),".")</f>
        <v>7.0789502207909E-2</v>
      </c>
      <c r="R26" s="70">
        <f>IFERROR(DL/(RadSpec!F26*IFPC_res_adj*CF_peach),".")</f>
        <v>1.108036495432399E-2</v>
      </c>
      <c r="S26" s="70">
        <f>IFERROR(DL/(RadSpec!F26*IFPR_res_adj*CF_pear),".")</f>
        <v>2.2610630780649902E-2</v>
      </c>
      <c r="T26" s="70">
        <f>IFERROR(DL/(RadSpec!F26*IFPE_res_adj*CF_peas),".")</f>
        <v>3.9442004589649929E-2</v>
      </c>
      <c r="U26" s="70">
        <f>IFERROR(DL/(RadSpec!F26*IFPP_res_adj*CF_peppers),".")</f>
        <v>7.893311526071127E-2</v>
      </c>
      <c r="V26" s="70">
        <f>IFERROR(DL/(RadSpec!F26*IFPT_res_adj*CF_potato),".")</f>
        <v>1.1602521512998728E-2</v>
      </c>
      <c r="W26" s="70">
        <f>IFERROR(DL/(RadSpec!F26*IFPU_res_adj*CF_pumpkin),".")</f>
        <v>2.3581141573488795E-2</v>
      </c>
      <c r="X26" s="70">
        <f>IFERROR(DL/(RadSpec!F26*IFSN_res_adj*CF_snap_bean),".")</f>
        <v>2.6452103130240236E-2</v>
      </c>
      <c r="Y26" s="70">
        <f>IFERROR(DL/(RadSpec!F26*IFST_res_adj*CF_strawberry),".")</f>
        <v>3.3734577474873385E-2</v>
      </c>
      <c r="Z26" s="70">
        <f>IFERROR(DL/(RadSpec!F26*IFTO_res_adj*CF_tomato),".")</f>
        <v>1.8125156361022715E-2</v>
      </c>
      <c r="AA26" s="70">
        <f>IFERROR(DL/(RadSpec!F26*IFRI_res_adj*CF_rice),".")</f>
        <v>1.7491089671389869E-2</v>
      </c>
      <c r="AB26" s="70">
        <f>IFERROR(DL/(RadSpec!F26*IFCG_res_adj*CF_cereal),".")</f>
        <v>2.0060460124478954E-2</v>
      </c>
      <c r="AC26" s="70">
        <f t="shared" si="0"/>
        <v>8.9599873056620146E-4</v>
      </c>
      <c r="AD26" s="70">
        <f>IFERROR(DL/(RadSpec!F26*IFAP_far_adj*CF_apple),".")</f>
        <v>1.5008363183382447E-2</v>
      </c>
      <c r="AE26" s="70">
        <f>IFERROR(DL/(RadSpec!F26*IFAS_far_adj*CF_asparagus),".")</f>
        <v>3.5349360567272538E-2</v>
      </c>
      <c r="AF26" s="70">
        <f>IFERROR(DL/(RadSpec!F26*IFBT_far_adj*CF_beet),".")</f>
        <v>4.2069726726876769E-2</v>
      </c>
      <c r="AG26" s="70">
        <f>IFERROR(DL/(RadSpec!F26*IFBE_far_adj*CF_berries),".")</f>
        <v>3.7793787289063067E-2</v>
      </c>
      <c r="AH26" s="70">
        <f>IFERROR(DL/(RadSpec!F26*IFBR_far_adj*CF_broccoli),".")</f>
        <v>4.0633922882488897E-2</v>
      </c>
      <c r="AI26" s="70">
        <f>IFERROR(DL/(RadSpec!F26*IFCB_far_adj*CF_cabbage),".")</f>
        <v>1.8316815652554219E-2</v>
      </c>
      <c r="AJ26" s="70">
        <f>IFERROR(DL/(RadSpec!F26*IFCR_far_adj*CF_carrot),".")</f>
        <v>5.5845917795554541E-2</v>
      </c>
      <c r="AK26" s="70">
        <f>IFERROR(DL/(RadSpec!F26*IFCI_far_adj*CF_citrus),".")</f>
        <v>4.3509704505380999E-3</v>
      </c>
      <c r="AL26" s="70">
        <f>IFERROR(DL/(RadSpec!F26*IFCO_far_adj*CF_corn),".")</f>
        <v>1.7014177303563447E-2</v>
      </c>
      <c r="AM26" s="70">
        <f>IFERROR(DL/(RadSpec!F26*IFCU_far_adj*CF_cucumber),".")</f>
        <v>2.5819213267115983E-2</v>
      </c>
      <c r="AN26" s="70">
        <f>IFERROR(DL/(RadSpec!F26*IFLE_far_adj*CF_lettuce),".")</f>
        <v>3.9993110346887427E-2</v>
      </c>
      <c r="AO26" s="70">
        <f>IFERROR(DL/(RadSpec!F26*IFLI_far_adj*CF_lima_bean),".")</f>
        <v>3.9482533506089552E-2</v>
      </c>
      <c r="AP26" s="70">
        <f>IFERROR(DL/(RadSpec!F26*IFOK_far_adj*CF_okra),".")</f>
        <v>4.653143352469967E-2</v>
      </c>
      <c r="AQ26" s="70">
        <f>IFERROR(DL/(RadSpec!F26*IFON_far_adj*CF_onion),".")</f>
        <v>5.2115970552735959E-2</v>
      </c>
      <c r="AR26" s="70">
        <f>IFERROR(DL/(RadSpec!F26*IFPC_far_adj*CF_peach),".")</f>
        <v>1.2386866248698929E-2</v>
      </c>
      <c r="AS26" s="70">
        <f>IFERROR(DL/(RadSpec!F26*IFPR_far_adj*CF_pear),".")</f>
        <v>2.0200439119771641E-2</v>
      </c>
      <c r="AT26" s="70">
        <f>IFERROR(DL/(RadSpec!F26*IFPE_far_adj*CF_peas),".")</f>
        <v>4.2379062952809694E-2</v>
      </c>
      <c r="AU26" s="70">
        <f>IFERROR(DL/(RadSpec!F26*IFPP_far_adj*CF_peppers),".")</f>
        <v>5.918233668835781E-2</v>
      </c>
      <c r="AV26" s="70">
        <f>IFERROR(DL/(RadSpec!F26*IFPT_far_adj*CF_potato),".")</f>
        <v>9.8760149820707674E-3</v>
      </c>
      <c r="AW26" s="70">
        <f>IFERROR(DL/(RadSpec!F26*IFPU_far_adj*CF_pumpkin),".")</f>
        <v>2.2184963057441446E-2</v>
      </c>
      <c r="AX26" s="70">
        <f>IFERROR(DL/(RadSpec!F26*IFSN_far_adj*CF_snap_bean),".")</f>
        <v>2.5044075914439381E-2</v>
      </c>
      <c r="AY26" s="70">
        <f>IFERROR(DL/(RadSpec!F26*IFST_far_adj*CF_strawberry),".")</f>
        <v>3.2819504686115331E-2</v>
      </c>
      <c r="AZ26" s="70">
        <f>IFERROR(DL/(RadSpec!F26*IFTO_far_adj*CF_tomato),".")</f>
        <v>1.4704645292219251E-2</v>
      </c>
      <c r="BA26" s="70">
        <f>IFERROR(DL/(RadSpec!F26*IFRI_far_adj*CF_rice),".")</f>
        <v>1.385696479479882E-2</v>
      </c>
      <c r="BB26" s="70">
        <f>IFERROR(DL/(RadSpec!F26*IFCG_far_adj*CF_cereal),".")</f>
        <v>1.5990687477748483E-2</v>
      </c>
    </row>
    <row r="27" spans="1:54" x14ac:dyDescent="0.25">
      <c r="A27" s="86" t="s">
        <v>25</v>
      </c>
      <c r="B27" s="84" t="s">
        <v>1057</v>
      </c>
      <c r="C27" s="2" t="str">
        <f t="shared" si="1"/>
        <v>.</v>
      </c>
      <c r="D27" s="70" t="str">
        <f>IFERROR(DL/(RadSpec!F27*IFAP_res_adj*CF_apple),".")</f>
        <v>.</v>
      </c>
      <c r="E27" s="70" t="str">
        <f>IFERROR(DL/(RadSpec!F27*IFAS_res_adj*CF_asparagus),".")</f>
        <v>.</v>
      </c>
      <c r="F27" s="70" t="str">
        <f>IFERROR(DL/(RadSpec!F27*IFBT_res_adj*CF_beet),".")</f>
        <v>.</v>
      </c>
      <c r="G27" s="70" t="str">
        <f>IFERROR(DL/(RadSpec!F27*IFBE_res_adj*CF_berries),".")</f>
        <v>.</v>
      </c>
      <c r="H27" s="70" t="str">
        <f>IFERROR(DL/(RadSpec!F27*IFBR_res_adj*CF_broccoli),".")</f>
        <v>.</v>
      </c>
      <c r="I27" s="70" t="str">
        <f>IFERROR(DL/(RadSpec!F27*IFCB_res_adj*CF_cabbage),".")</f>
        <v>.</v>
      </c>
      <c r="J27" s="70" t="str">
        <f>IFERROR(DL/(RadSpec!F27*IFCR_res_adj*CF_carrot),".")</f>
        <v>.</v>
      </c>
      <c r="K27" s="70" t="str">
        <f>IFERROR(DL/(RadSpec!F27*IFCI_res_adj*CF_citrus),".")</f>
        <v>.</v>
      </c>
      <c r="L27" s="70" t="str">
        <f>IFERROR(DL/(RadSpec!F27*IFCO_res_adj*CF_corn),".")</f>
        <v>.</v>
      </c>
      <c r="M27" s="70" t="str">
        <f>IFERROR(DL/(RadSpec!F27*IFCU_res_adj*CF_cucumber),".")</f>
        <v>.</v>
      </c>
      <c r="N27" s="70" t="str">
        <f>IFERROR(DL/(RadSpec!F27*IFLE_res_adj*CF_lettuce),".")</f>
        <v>.</v>
      </c>
      <c r="O27" s="70" t="str">
        <f>IFERROR(DL/(RadSpec!F27*IFLI_res_adj*CF_lima_bean),".")</f>
        <v>.</v>
      </c>
      <c r="P27" s="70" t="str">
        <f>IFERROR(DL/(RadSpec!F27*IFOK_res_adj*CF_okra),".")</f>
        <v>.</v>
      </c>
      <c r="Q27" s="70" t="str">
        <f>IFERROR(DL/(RadSpec!F27*IFON_res_adj*CF_onion),".")</f>
        <v>.</v>
      </c>
      <c r="R27" s="70" t="str">
        <f>IFERROR(DL/(RadSpec!F27*IFPC_res_adj*CF_peach),".")</f>
        <v>.</v>
      </c>
      <c r="S27" s="70" t="str">
        <f>IFERROR(DL/(RadSpec!F27*IFPR_res_adj*CF_pear),".")</f>
        <v>.</v>
      </c>
      <c r="T27" s="70" t="str">
        <f>IFERROR(DL/(RadSpec!F27*IFPE_res_adj*CF_peas),".")</f>
        <v>.</v>
      </c>
      <c r="U27" s="70" t="str">
        <f>IFERROR(DL/(RadSpec!F27*IFPP_res_adj*CF_peppers),".")</f>
        <v>.</v>
      </c>
      <c r="V27" s="70" t="str">
        <f>IFERROR(DL/(RadSpec!F27*IFPT_res_adj*CF_potato),".")</f>
        <v>.</v>
      </c>
      <c r="W27" s="70" t="str">
        <f>IFERROR(DL/(RadSpec!F27*IFPU_res_adj*CF_pumpkin),".")</f>
        <v>.</v>
      </c>
      <c r="X27" s="70" t="str">
        <f>IFERROR(DL/(RadSpec!F27*IFSN_res_adj*CF_snap_bean),".")</f>
        <v>.</v>
      </c>
      <c r="Y27" s="70" t="str">
        <f>IFERROR(DL/(RadSpec!F27*IFST_res_adj*CF_strawberry),".")</f>
        <v>.</v>
      </c>
      <c r="Z27" s="70" t="str">
        <f>IFERROR(DL/(RadSpec!F27*IFTO_res_adj*CF_tomato),".")</f>
        <v>.</v>
      </c>
      <c r="AA27" s="70" t="str">
        <f>IFERROR(DL/(RadSpec!F27*IFRI_res_adj*CF_rice),".")</f>
        <v>.</v>
      </c>
      <c r="AB27" s="70" t="str">
        <f>IFERROR(DL/(RadSpec!F27*IFCG_res_adj*CF_cereal),".")</f>
        <v>.</v>
      </c>
      <c r="AC27" s="70" t="str">
        <f t="shared" si="0"/>
        <v>.</v>
      </c>
      <c r="AD27" s="70" t="str">
        <f>IFERROR(DL/(RadSpec!F27*IFAP_far_adj*CF_apple),".")</f>
        <v>.</v>
      </c>
      <c r="AE27" s="70" t="str">
        <f>IFERROR(DL/(RadSpec!F27*IFAS_far_adj*CF_asparagus),".")</f>
        <v>.</v>
      </c>
      <c r="AF27" s="70" t="str">
        <f>IFERROR(DL/(RadSpec!F27*IFBT_far_adj*CF_beet),".")</f>
        <v>.</v>
      </c>
      <c r="AG27" s="70" t="str">
        <f>IFERROR(DL/(RadSpec!F27*IFBE_far_adj*CF_berries),".")</f>
        <v>.</v>
      </c>
      <c r="AH27" s="70" t="str">
        <f>IFERROR(DL/(RadSpec!F27*IFBR_far_adj*CF_broccoli),".")</f>
        <v>.</v>
      </c>
      <c r="AI27" s="70" t="str">
        <f>IFERROR(DL/(RadSpec!F27*IFCB_far_adj*CF_cabbage),".")</f>
        <v>.</v>
      </c>
      <c r="AJ27" s="70" t="str">
        <f>IFERROR(DL/(RadSpec!F27*IFCR_far_adj*CF_carrot),".")</f>
        <v>.</v>
      </c>
      <c r="AK27" s="70" t="str">
        <f>IFERROR(DL/(RadSpec!F27*IFCI_far_adj*CF_citrus),".")</f>
        <v>.</v>
      </c>
      <c r="AL27" s="70" t="str">
        <f>IFERROR(DL/(RadSpec!F27*IFCO_far_adj*CF_corn),".")</f>
        <v>.</v>
      </c>
      <c r="AM27" s="70" t="str">
        <f>IFERROR(DL/(RadSpec!F27*IFCU_far_adj*CF_cucumber),".")</f>
        <v>.</v>
      </c>
      <c r="AN27" s="70" t="str">
        <f>IFERROR(DL/(RadSpec!F27*IFLE_far_adj*CF_lettuce),".")</f>
        <v>.</v>
      </c>
      <c r="AO27" s="70" t="str">
        <f>IFERROR(DL/(RadSpec!F27*IFLI_far_adj*CF_lima_bean),".")</f>
        <v>.</v>
      </c>
      <c r="AP27" s="70" t="str">
        <f>IFERROR(DL/(RadSpec!F27*IFOK_far_adj*CF_okra),".")</f>
        <v>.</v>
      </c>
      <c r="AQ27" s="70" t="str">
        <f>IFERROR(DL/(RadSpec!F27*IFON_far_adj*CF_onion),".")</f>
        <v>.</v>
      </c>
      <c r="AR27" s="70" t="str">
        <f>IFERROR(DL/(RadSpec!F27*IFPC_far_adj*CF_peach),".")</f>
        <v>.</v>
      </c>
      <c r="AS27" s="70" t="str">
        <f>IFERROR(DL/(RadSpec!F27*IFPR_far_adj*CF_pear),".")</f>
        <v>.</v>
      </c>
      <c r="AT27" s="70" t="str">
        <f>IFERROR(DL/(RadSpec!F27*IFPE_far_adj*CF_peas),".")</f>
        <v>.</v>
      </c>
      <c r="AU27" s="70" t="str">
        <f>IFERROR(DL/(RadSpec!F27*IFPP_far_adj*CF_peppers),".")</f>
        <v>.</v>
      </c>
      <c r="AV27" s="70" t="str">
        <f>IFERROR(DL/(RadSpec!F27*IFPT_far_adj*CF_potato),".")</f>
        <v>.</v>
      </c>
      <c r="AW27" s="70" t="str">
        <f>IFERROR(DL/(RadSpec!F27*IFPU_far_adj*CF_pumpkin),".")</f>
        <v>.</v>
      </c>
      <c r="AX27" s="70" t="str">
        <f>IFERROR(DL/(RadSpec!F27*IFSN_far_adj*CF_snap_bean),".")</f>
        <v>.</v>
      </c>
      <c r="AY27" s="70" t="str">
        <f>IFERROR(DL/(RadSpec!F27*IFST_far_adj*CF_strawberry),".")</f>
        <v>.</v>
      </c>
      <c r="AZ27" s="70" t="str">
        <f>IFERROR(DL/(RadSpec!F27*IFTO_far_adj*CF_tomato),".")</f>
        <v>.</v>
      </c>
      <c r="BA27" s="70" t="str">
        <f>IFERROR(DL/(RadSpec!F27*IFRI_far_adj*CF_rice),".")</f>
        <v>.</v>
      </c>
      <c r="BB27" s="70" t="str">
        <f>IFERROR(DL/(RadSpec!F27*IFCG_far_adj*CF_cereal),".")</f>
        <v>.</v>
      </c>
    </row>
    <row r="28" spans="1:54" x14ac:dyDescent="0.25">
      <c r="A28" s="86" t="s">
        <v>26</v>
      </c>
      <c r="B28" s="84" t="s">
        <v>1057</v>
      </c>
      <c r="C28" s="2" t="str">
        <f t="shared" si="1"/>
        <v>.</v>
      </c>
      <c r="D28" s="70" t="str">
        <f>IFERROR(DL/(RadSpec!F28*IFAP_res_adj*CF_apple),".")</f>
        <v>.</v>
      </c>
      <c r="E28" s="70" t="str">
        <f>IFERROR(DL/(RadSpec!F28*IFAS_res_adj*CF_asparagus),".")</f>
        <v>.</v>
      </c>
      <c r="F28" s="70" t="str">
        <f>IFERROR(DL/(RadSpec!F28*IFBT_res_adj*CF_beet),".")</f>
        <v>.</v>
      </c>
      <c r="G28" s="70" t="str">
        <f>IFERROR(DL/(RadSpec!F28*IFBE_res_adj*CF_berries),".")</f>
        <v>.</v>
      </c>
      <c r="H28" s="70" t="str">
        <f>IFERROR(DL/(RadSpec!F28*IFBR_res_adj*CF_broccoli),".")</f>
        <v>.</v>
      </c>
      <c r="I28" s="70" t="str">
        <f>IFERROR(DL/(RadSpec!F28*IFCB_res_adj*CF_cabbage),".")</f>
        <v>.</v>
      </c>
      <c r="J28" s="70" t="str">
        <f>IFERROR(DL/(RadSpec!F28*IFCR_res_adj*CF_carrot),".")</f>
        <v>.</v>
      </c>
      <c r="K28" s="70" t="str">
        <f>IFERROR(DL/(RadSpec!F28*IFCI_res_adj*CF_citrus),".")</f>
        <v>.</v>
      </c>
      <c r="L28" s="70" t="str">
        <f>IFERROR(DL/(RadSpec!F28*IFCO_res_adj*CF_corn),".")</f>
        <v>.</v>
      </c>
      <c r="M28" s="70" t="str">
        <f>IFERROR(DL/(RadSpec!F28*IFCU_res_adj*CF_cucumber),".")</f>
        <v>.</v>
      </c>
      <c r="N28" s="70" t="str">
        <f>IFERROR(DL/(RadSpec!F28*IFLE_res_adj*CF_lettuce),".")</f>
        <v>.</v>
      </c>
      <c r="O28" s="70" t="str">
        <f>IFERROR(DL/(RadSpec!F28*IFLI_res_adj*CF_lima_bean),".")</f>
        <v>.</v>
      </c>
      <c r="P28" s="70" t="str">
        <f>IFERROR(DL/(RadSpec!F28*IFOK_res_adj*CF_okra),".")</f>
        <v>.</v>
      </c>
      <c r="Q28" s="70" t="str">
        <f>IFERROR(DL/(RadSpec!F28*IFON_res_adj*CF_onion),".")</f>
        <v>.</v>
      </c>
      <c r="R28" s="70" t="str">
        <f>IFERROR(DL/(RadSpec!F28*IFPC_res_adj*CF_peach),".")</f>
        <v>.</v>
      </c>
      <c r="S28" s="70" t="str">
        <f>IFERROR(DL/(RadSpec!F28*IFPR_res_adj*CF_pear),".")</f>
        <v>.</v>
      </c>
      <c r="T28" s="70" t="str">
        <f>IFERROR(DL/(RadSpec!F28*IFPE_res_adj*CF_peas),".")</f>
        <v>.</v>
      </c>
      <c r="U28" s="70" t="str">
        <f>IFERROR(DL/(RadSpec!F28*IFPP_res_adj*CF_peppers),".")</f>
        <v>.</v>
      </c>
      <c r="V28" s="70" t="str">
        <f>IFERROR(DL/(RadSpec!F28*IFPT_res_adj*CF_potato),".")</f>
        <v>.</v>
      </c>
      <c r="W28" s="70" t="str">
        <f>IFERROR(DL/(RadSpec!F28*IFPU_res_adj*CF_pumpkin),".")</f>
        <v>.</v>
      </c>
      <c r="X28" s="70" t="str">
        <f>IFERROR(DL/(RadSpec!F28*IFSN_res_adj*CF_snap_bean),".")</f>
        <v>.</v>
      </c>
      <c r="Y28" s="70" t="str">
        <f>IFERROR(DL/(RadSpec!F28*IFST_res_adj*CF_strawberry),".")</f>
        <v>.</v>
      </c>
      <c r="Z28" s="70" t="str">
        <f>IFERROR(DL/(RadSpec!F28*IFTO_res_adj*CF_tomato),".")</f>
        <v>.</v>
      </c>
      <c r="AA28" s="70" t="str">
        <f>IFERROR(DL/(RadSpec!F28*IFRI_res_adj*CF_rice),".")</f>
        <v>.</v>
      </c>
      <c r="AB28" s="70" t="str">
        <f>IFERROR(DL/(RadSpec!F28*IFCG_res_adj*CF_cereal),".")</f>
        <v>.</v>
      </c>
      <c r="AC28" s="70" t="str">
        <f t="shared" si="0"/>
        <v>.</v>
      </c>
      <c r="AD28" s="70" t="str">
        <f>IFERROR(DL/(RadSpec!F28*IFAP_far_adj*CF_apple),".")</f>
        <v>.</v>
      </c>
      <c r="AE28" s="70" t="str">
        <f>IFERROR(DL/(RadSpec!F28*IFAS_far_adj*CF_asparagus),".")</f>
        <v>.</v>
      </c>
      <c r="AF28" s="70" t="str">
        <f>IFERROR(DL/(RadSpec!F28*IFBT_far_adj*CF_beet),".")</f>
        <v>.</v>
      </c>
      <c r="AG28" s="70" t="str">
        <f>IFERROR(DL/(RadSpec!F28*IFBE_far_adj*CF_berries),".")</f>
        <v>.</v>
      </c>
      <c r="AH28" s="70" t="str">
        <f>IFERROR(DL/(RadSpec!F28*IFBR_far_adj*CF_broccoli),".")</f>
        <v>.</v>
      </c>
      <c r="AI28" s="70" t="str">
        <f>IFERROR(DL/(RadSpec!F28*IFCB_far_adj*CF_cabbage),".")</f>
        <v>.</v>
      </c>
      <c r="AJ28" s="70" t="str">
        <f>IFERROR(DL/(RadSpec!F28*IFCR_far_adj*CF_carrot),".")</f>
        <v>.</v>
      </c>
      <c r="AK28" s="70" t="str">
        <f>IFERROR(DL/(RadSpec!F28*IFCI_far_adj*CF_citrus),".")</f>
        <v>.</v>
      </c>
      <c r="AL28" s="70" t="str">
        <f>IFERROR(DL/(RadSpec!F28*IFCO_far_adj*CF_corn),".")</f>
        <v>.</v>
      </c>
      <c r="AM28" s="70" t="str">
        <f>IFERROR(DL/(RadSpec!F28*IFCU_far_adj*CF_cucumber),".")</f>
        <v>.</v>
      </c>
      <c r="AN28" s="70" t="str">
        <f>IFERROR(DL/(RadSpec!F28*IFLE_far_adj*CF_lettuce),".")</f>
        <v>.</v>
      </c>
      <c r="AO28" s="70" t="str">
        <f>IFERROR(DL/(RadSpec!F28*IFLI_far_adj*CF_lima_bean),".")</f>
        <v>.</v>
      </c>
      <c r="AP28" s="70" t="str">
        <f>IFERROR(DL/(RadSpec!F28*IFOK_far_adj*CF_okra),".")</f>
        <v>.</v>
      </c>
      <c r="AQ28" s="70" t="str">
        <f>IFERROR(DL/(RadSpec!F28*IFON_far_adj*CF_onion),".")</f>
        <v>.</v>
      </c>
      <c r="AR28" s="70" t="str">
        <f>IFERROR(DL/(RadSpec!F28*IFPC_far_adj*CF_peach),".")</f>
        <v>.</v>
      </c>
      <c r="AS28" s="70" t="str">
        <f>IFERROR(DL/(RadSpec!F28*IFPR_far_adj*CF_pear),".")</f>
        <v>.</v>
      </c>
      <c r="AT28" s="70" t="str">
        <f>IFERROR(DL/(RadSpec!F28*IFPE_far_adj*CF_peas),".")</f>
        <v>.</v>
      </c>
      <c r="AU28" s="70" t="str">
        <f>IFERROR(DL/(RadSpec!F28*IFPP_far_adj*CF_peppers),".")</f>
        <v>.</v>
      </c>
      <c r="AV28" s="70" t="str">
        <f>IFERROR(DL/(RadSpec!F28*IFPT_far_adj*CF_potato),".")</f>
        <v>.</v>
      </c>
      <c r="AW28" s="70" t="str">
        <f>IFERROR(DL/(RadSpec!F28*IFPU_far_adj*CF_pumpkin),".")</f>
        <v>.</v>
      </c>
      <c r="AX28" s="70" t="str">
        <f>IFERROR(DL/(RadSpec!F28*IFSN_far_adj*CF_snap_bean),".")</f>
        <v>.</v>
      </c>
      <c r="AY28" s="70" t="str">
        <f>IFERROR(DL/(RadSpec!F28*IFST_far_adj*CF_strawberry),".")</f>
        <v>.</v>
      </c>
      <c r="AZ28" s="70" t="str">
        <f>IFERROR(DL/(RadSpec!F28*IFTO_far_adj*CF_tomato),".")</f>
        <v>.</v>
      </c>
      <c r="BA28" s="70" t="str">
        <f>IFERROR(DL/(RadSpec!F28*IFRI_far_adj*CF_rice),".")</f>
        <v>.</v>
      </c>
      <c r="BB28" s="70" t="str">
        <f>IFERROR(DL/(RadSpec!F28*IFCG_far_adj*CF_cereal),".")</f>
        <v>.</v>
      </c>
    </row>
    <row r="29" spans="1:54" x14ac:dyDescent="0.25">
      <c r="A29" s="86" t="s">
        <v>27</v>
      </c>
      <c r="B29" s="84" t="s">
        <v>1057</v>
      </c>
      <c r="C29" s="2" t="str">
        <f t="shared" si="1"/>
        <v>.</v>
      </c>
      <c r="D29" s="70" t="str">
        <f>IFERROR(DL/(RadSpec!F29*IFAP_res_adj*CF_apple),".")</f>
        <v>.</v>
      </c>
      <c r="E29" s="70" t="str">
        <f>IFERROR(DL/(RadSpec!F29*IFAS_res_adj*CF_asparagus),".")</f>
        <v>.</v>
      </c>
      <c r="F29" s="70" t="str">
        <f>IFERROR(DL/(RadSpec!F29*IFBT_res_adj*CF_beet),".")</f>
        <v>.</v>
      </c>
      <c r="G29" s="70" t="str">
        <f>IFERROR(DL/(RadSpec!F29*IFBE_res_adj*CF_berries),".")</f>
        <v>.</v>
      </c>
      <c r="H29" s="70" t="str">
        <f>IFERROR(DL/(RadSpec!F29*IFBR_res_adj*CF_broccoli),".")</f>
        <v>.</v>
      </c>
      <c r="I29" s="70" t="str">
        <f>IFERROR(DL/(RadSpec!F29*IFCB_res_adj*CF_cabbage),".")</f>
        <v>.</v>
      </c>
      <c r="J29" s="70" t="str">
        <f>IFERROR(DL/(RadSpec!F29*IFCR_res_adj*CF_carrot),".")</f>
        <v>.</v>
      </c>
      <c r="K29" s="70" t="str">
        <f>IFERROR(DL/(RadSpec!F29*IFCI_res_adj*CF_citrus),".")</f>
        <v>.</v>
      </c>
      <c r="L29" s="70" t="str">
        <f>IFERROR(DL/(RadSpec!F29*IFCO_res_adj*CF_corn),".")</f>
        <v>.</v>
      </c>
      <c r="M29" s="70" t="str">
        <f>IFERROR(DL/(RadSpec!F29*IFCU_res_adj*CF_cucumber),".")</f>
        <v>.</v>
      </c>
      <c r="N29" s="70" t="str">
        <f>IFERROR(DL/(RadSpec!F29*IFLE_res_adj*CF_lettuce),".")</f>
        <v>.</v>
      </c>
      <c r="O29" s="70" t="str">
        <f>IFERROR(DL/(RadSpec!F29*IFLI_res_adj*CF_lima_bean),".")</f>
        <v>.</v>
      </c>
      <c r="P29" s="70" t="str">
        <f>IFERROR(DL/(RadSpec!F29*IFOK_res_adj*CF_okra),".")</f>
        <v>.</v>
      </c>
      <c r="Q29" s="70" t="str">
        <f>IFERROR(DL/(RadSpec!F29*IFON_res_adj*CF_onion),".")</f>
        <v>.</v>
      </c>
      <c r="R29" s="70" t="str">
        <f>IFERROR(DL/(RadSpec!F29*IFPC_res_adj*CF_peach),".")</f>
        <v>.</v>
      </c>
      <c r="S29" s="70" t="str">
        <f>IFERROR(DL/(RadSpec!F29*IFPR_res_adj*CF_pear),".")</f>
        <v>.</v>
      </c>
      <c r="T29" s="70" t="str">
        <f>IFERROR(DL/(RadSpec!F29*IFPE_res_adj*CF_peas),".")</f>
        <v>.</v>
      </c>
      <c r="U29" s="70" t="str">
        <f>IFERROR(DL/(RadSpec!F29*IFPP_res_adj*CF_peppers),".")</f>
        <v>.</v>
      </c>
      <c r="V29" s="70" t="str">
        <f>IFERROR(DL/(RadSpec!F29*IFPT_res_adj*CF_potato),".")</f>
        <v>.</v>
      </c>
      <c r="W29" s="70" t="str">
        <f>IFERROR(DL/(RadSpec!F29*IFPU_res_adj*CF_pumpkin),".")</f>
        <v>.</v>
      </c>
      <c r="X29" s="70" t="str">
        <f>IFERROR(DL/(RadSpec!F29*IFSN_res_adj*CF_snap_bean),".")</f>
        <v>.</v>
      </c>
      <c r="Y29" s="70" t="str">
        <f>IFERROR(DL/(RadSpec!F29*IFST_res_adj*CF_strawberry),".")</f>
        <v>.</v>
      </c>
      <c r="Z29" s="70" t="str">
        <f>IFERROR(DL/(RadSpec!F29*IFTO_res_adj*CF_tomato),".")</f>
        <v>.</v>
      </c>
      <c r="AA29" s="70" t="str">
        <f>IFERROR(DL/(RadSpec!F29*IFRI_res_adj*CF_rice),".")</f>
        <v>.</v>
      </c>
      <c r="AB29" s="70" t="str">
        <f>IFERROR(DL/(RadSpec!F29*IFCG_res_adj*CF_cereal),".")</f>
        <v>.</v>
      </c>
      <c r="AC29" s="70" t="str">
        <f t="shared" si="0"/>
        <v>.</v>
      </c>
      <c r="AD29" s="70" t="str">
        <f>IFERROR(DL/(RadSpec!F29*IFAP_far_adj*CF_apple),".")</f>
        <v>.</v>
      </c>
      <c r="AE29" s="70" t="str">
        <f>IFERROR(DL/(RadSpec!F29*IFAS_far_adj*CF_asparagus),".")</f>
        <v>.</v>
      </c>
      <c r="AF29" s="70" t="str">
        <f>IFERROR(DL/(RadSpec!F29*IFBT_far_adj*CF_beet),".")</f>
        <v>.</v>
      </c>
      <c r="AG29" s="70" t="str">
        <f>IFERROR(DL/(RadSpec!F29*IFBE_far_adj*CF_berries),".")</f>
        <v>.</v>
      </c>
      <c r="AH29" s="70" t="str">
        <f>IFERROR(DL/(RadSpec!F29*IFBR_far_adj*CF_broccoli),".")</f>
        <v>.</v>
      </c>
      <c r="AI29" s="70" t="str">
        <f>IFERROR(DL/(RadSpec!F29*IFCB_far_adj*CF_cabbage),".")</f>
        <v>.</v>
      </c>
      <c r="AJ29" s="70" t="str">
        <f>IFERROR(DL/(RadSpec!F29*IFCR_far_adj*CF_carrot),".")</f>
        <v>.</v>
      </c>
      <c r="AK29" s="70" t="str">
        <f>IFERROR(DL/(RadSpec!F29*IFCI_far_adj*CF_citrus),".")</f>
        <v>.</v>
      </c>
      <c r="AL29" s="70" t="str">
        <f>IFERROR(DL/(RadSpec!F29*IFCO_far_adj*CF_corn),".")</f>
        <v>.</v>
      </c>
      <c r="AM29" s="70" t="str">
        <f>IFERROR(DL/(RadSpec!F29*IFCU_far_adj*CF_cucumber),".")</f>
        <v>.</v>
      </c>
      <c r="AN29" s="70" t="str">
        <f>IFERROR(DL/(RadSpec!F29*IFLE_far_adj*CF_lettuce),".")</f>
        <v>.</v>
      </c>
      <c r="AO29" s="70" t="str">
        <f>IFERROR(DL/(RadSpec!F29*IFLI_far_adj*CF_lima_bean),".")</f>
        <v>.</v>
      </c>
      <c r="AP29" s="70" t="str">
        <f>IFERROR(DL/(RadSpec!F29*IFOK_far_adj*CF_okra),".")</f>
        <v>.</v>
      </c>
      <c r="AQ29" s="70" t="str">
        <f>IFERROR(DL/(RadSpec!F29*IFON_far_adj*CF_onion),".")</f>
        <v>.</v>
      </c>
      <c r="AR29" s="70" t="str">
        <f>IFERROR(DL/(RadSpec!F29*IFPC_far_adj*CF_peach),".")</f>
        <v>.</v>
      </c>
      <c r="AS29" s="70" t="str">
        <f>IFERROR(DL/(RadSpec!F29*IFPR_far_adj*CF_pear),".")</f>
        <v>.</v>
      </c>
      <c r="AT29" s="70" t="str">
        <f>IFERROR(DL/(RadSpec!F29*IFPE_far_adj*CF_peas),".")</f>
        <v>.</v>
      </c>
      <c r="AU29" s="70" t="str">
        <f>IFERROR(DL/(RadSpec!F29*IFPP_far_adj*CF_peppers),".")</f>
        <v>.</v>
      </c>
      <c r="AV29" s="70" t="str">
        <f>IFERROR(DL/(RadSpec!F29*IFPT_far_adj*CF_potato),".")</f>
        <v>.</v>
      </c>
      <c r="AW29" s="70" t="str">
        <f>IFERROR(DL/(RadSpec!F29*IFPU_far_adj*CF_pumpkin),".")</f>
        <v>.</v>
      </c>
      <c r="AX29" s="70" t="str">
        <f>IFERROR(DL/(RadSpec!F29*IFSN_far_adj*CF_snap_bean),".")</f>
        <v>.</v>
      </c>
      <c r="AY29" s="70" t="str">
        <f>IFERROR(DL/(RadSpec!F29*IFST_far_adj*CF_strawberry),".")</f>
        <v>.</v>
      </c>
      <c r="AZ29" s="70" t="str">
        <f>IFERROR(DL/(RadSpec!F29*IFTO_far_adj*CF_tomato),".")</f>
        <v>.</v>
      </c>
      <c r="BA29" s="70" t="str">
        <f>IFERROR(DL/(RadSpec!F29*IFRI_far_adj*CF_rice),".")</f>
        <v>.</v>
      </c>
      <c r="BB29" s="70" t="str">
        <f>IFERROR(DL/(RadSpec!F29*IFCG_far_adj*CF_cereal),".")</f>
        <v>.</v>
      </c>
    </row>
    <row r="30" spans="1:54" x14ac:dyDescent="0.25">
      <c r="A30" s="86" t="s">
        <v>28</v>
      </c>
      <c r="B30" s="84" t="s">
        <v>1057</v>
      </c>
      <c r="C30" s="2">
        <f t="shared" si="1"/>
        <v>9.6329137291800773E-3</v>
      </c>
      <c r="D30" s="70">
        <f>IFERROR(DL/(RadSpec!F30*IFAP_res_adj*CF_apple),".")</f>
        <v>0.17460837907752602</v>
      </c>
      <c r="E30" s="70">
        <f>IFERROR(DL/(RadSpec!F30*IFAS_res_adj*CF_asparagus),".")</f>
        <v>0.38160455025204659</v>
      </c>
      <c r="F30" s="70">
        <f>IFERROR(DL/(RadSpec!F30*IFBT_res_adj*CF_beet),".")</f>
        <v>0.46028618315531422</v>
      </c>
      <c r="G30" s="70">
        <f>IFERROR(DL/(RadSpec!F30*IFBE_res_adj*CF_berries),".")</f>
        <v>0.39263101781978249</v>
      </c>
      <c r="H30" s="70">
        <f>IFERROR(DL/(RadSpec!F30*IFBR_res_adj*CF_broccoli),".")</f>
        <v>0.48366409080246953</v>
      </c>
      <c r="I30" s="70">
        <f>IFERROR(DL/(RadSpec!F30*IFCB_res_adj*CF_cabbage),".")</f>
        <v>0.18796992060743978</v>
      </c>
      <c r="J30" s="70">
        <f>IFERROR(DL/(RadSpec!F30*IFCR_res_adj*CF_carrot),".")</f>
        <v>0.53000807173672815</v>
      </c>
      <c r="K30" s="70">
        <f>IFERROR(DL/(RadSpec!F30*IFCI_res_adj*CF_citrus),".")</f>
        <v>4.5264411850211891E-2</v>
      </c>
      <c r="L30" s="70">
        <f>IFERROR(DL/(RadSpec!F30*IFCO_res_adj*CF_corn),".")</f>
        <v>0.24815738735098269</v>
      </c>
      <c r="M30" s="70">
        <f>IFERROR(DL/(RadSpec!F30*IFCU_res_adj*CF_cucumber),".")</f>
        <v>0.18588608747315158</v>
      </c>
      <c r="N30" s="70">
        <f>IFERROR(DL/(RadSpec!F30*IFLE_res_adj*CF_lettuce),".")</f>
        <v>0.44169468517517624</v>
      </c>
      <c r="O30" s="70">
        <f>IFERROR(DL/(RadSpec!F30*IFLI_res_adj*CF_lima_bean),".")</f>
        <v>0.41161811610474908</v>
      </c>
      <c r="P30" s="70">
        <f>IFERROR(DL/(RadSpec!F30*IFOK_res_adj*CF_okra),".")</f>
        <v>0.50165253626016015</v>
      </c>
      <c r="Q30" s="70">
        <f>IFERROR(DL/(RadSpec!F30*IFON_res_adj*CF_onion),".")</f>
        <v>0.71612635954512593</v>
      </c>
      <c r="R30" s="70">
        <f>IFERROR(DL/(RadSpec!F30*IFPC_res_adj*CF_peach),".")</f>
        <v>0.11209206407281247</v>
      </c>
      <c r="S30" s="70">
        <f>IFERROR(DL/(RadSpec!F30*IFPR_res_adj*CF_pear),".")</f>
        <v>0.22873545092052811</v>
      </c>
      <c r="T30" s="70">
        <f>IFERROR(DL/(RadSpec!F30*IFPE_res_adj*CF_peas),".")</f>
        <v>0.39900632549994697</v>
      </c>
      <c r="U30" s="70">
        <f>IFERROR(DL/(RadSpec!F30*IFPP_res_adj*CF_peppers),".")</f>
        <v>0.79850942182347451</v>
      </c>
      <c r="V30" s="70">
        <f>IFERROR(DL/(RadSpec!F30*IFPT_res_adj*CF_potato),".")</f>
        <v>0.11737434553847551</v>
      </c>
      <c r="W30" s="70">
        <f>IFERROR(DL/(RadSpec!F30*IFPU_res_adj*CF_pumpkin),".")</f>
        <v>0.23855340894110758</v>
      </c>
      <c r="X30" s="70">
        <f>IFERROR(DL/(RadSpec!F30*IFSN_res_adj*CF_snap_bean),".")</f>
        <v>0.26759685724777921</v>
      </c>
      <c r="Y30" s="70">
        <f>IFERROR(DL/(RadSpec!F30*IFST_res_adj*CF_strawberry),".")</f>
        <v>0.34126840003650982</v>
      </c>
      <c r="Z30" s="70">
        <f>IFERROR(DL/(RadSpec!F30*IFTO_res_adj*CF_tomato),".")</f>
        <v>0.18335913993127631</v>
      </c>
      <c r="AA30" s="70">
        <f>IFERROR(DL/(RadSpec!F30*IFRI_res_adj*CF_rice),".")</f>
        <v>0.17694474435010682</v>
      </c>
      <c r="AB30" s="70">
        <f>IFERROR(DL/(RadSpec!F30*IFCG_res_adj*CF_cereal),".")</f>
        <v>0.20293721288717081</v>
      </c>
      <c r="AC30" s="70">
        <f t="shared" si="0"/>
        <v>9.0641732045650646E-3</v>
      </c>
      <c r="AD30" s="70">
        <f>IFERROR(DL/(RadSpec!F30*IFAP_far_adj*CF_apple),".")</f>
        <v>0.15182879034352012</v>
      </c>
      <c r="AE30" s="70">
        <f>IFERROR(DL/(RadSpec!F30*IFAS_far_adj*CF_asparagus),".")</f>
        <v>0.35760399643636176</v>
      </c>
      <c r="AF30" s="70">
        <f>IFERROR(DL/(RadSpec!F30*IFBT_far_adj*CF_beet),".")</f>
        <v>0.42558909595793948</v>
      </c>
      <c r="AG30" s="70">
        <f>IFERROR(DL/(RadSpec!F30*IFBE_far_adj*CF_berries),".")</f>
        <v>0.38233249931959151</v>
      </c>
      <c r="AH30" s="70">
        <f>IFERROR(DL/(RadSpec!F30*IFBR_far_adj*CF_broccoli),".")</f>
        <v>0.41106410357866674</v>
      </c>
      <c r="AI30" s="70">
        <f>IFERROR(DL/(RadSpec!F30*IFCB_far_adj*CF_cabbage),".")</f>
        <v>0.18529801881072294</v>
      </c>
      <c r="AJ30" s="70">
        <f>IFERROR(DL/(RadSpec!F30*IFCR_far_adj*CF_carrot),".")</f>
        <v>0.56495288932712162</v>
      </c>
      <c r="AK30" s="70">
        <f>IFERROR(DL/(RadSpec!F30*IFCI_far_adj*CF_citrus),".")</f>
        <v>4.4015631301955203E-2</v>
      </c>
      <c r="AL30" s="70">
        <f>IFERROR(DL/(RadSpec!F30*IFCO_far_adj*CF_corn),".")</f>
        <v>0.17212016574535116</v>
      </c>
      <c r="AM30" s="70">
        <f>IFERROR(DL/(RadSpec!F30*IFCU_far_adj*CF_cucumber),".")</f>
        <v>0.26119436677198726</v>
      </c>
      <c r="AN30" s="70">
        <f>IFERROR(DL/(RadSpec!F30*IFLE_far_adj*CF_lettuce),".")</f>
        <v>0.40458146513711701</v>
      </c>
      <c r="AO30" s="70">
        <f>IFERROR(DL/(RadSpec!F30*IFLI_far_adj*CF_lima_bean),".")</f>
        <v>0.39941632732904547</v>
      </c>
      <c r="AP30" s="70">
        <f>IFERROR(DL/(RadSpec!F30*IFOK_far_adj*CF_okra),".")</f>
        <v>0.4707249670521943</v>
      </c>
      <c r="AQ30" s="70">
        <f>IFERROR(DL/(RadSpec!F30*IFON_far_adj*CF_onion),".")</f>
        <v>0.52721970210325919</v>
      </c>
      <c r="AR30" s="70">
        <f>IFERROR(DL/(RadSpec!F30*IFPC_far_adj*CF_peach),".")</f>
        <v>0.12530899577172175</v>
      </c>
      <c r="AS30" s="70">
        <f>IFERROR(DL/(RadSpec!F30*IFPR_far_adj*CF_pear),".")</f>
        <v>0.20435327946745729</v>
      </c>
      <c r="AT30" s="70">
        <f>IFERROR(DL/(RadSpec!F30*IFPE_far_adj*CF_peas),".")</f>
        <v>0.42871842754586553</v>
      </c>
      <c r="AU30" s="70">
        <f>IFERROR(DL/(RadSpec!F30*IFPP_far_adj*CF_peppers),".")</f>
        <v>0.5987050339403639</v>
      </c>
      <c r="AV30" s="70">
        <f>IFERROR(DL/(RadSpec!F30*IFPT_far_adj*CF_potato),".")</f>
        <v>9.9908523655832193E-2</v>
      </c>
      <c r="AW30" s="70">
        <f>IFERROR(DL/(RadSpec!F30*IFPU_far_adj*CF_pumpkin),".")</f>
        <v>0.22442927744155886</v>
      </c>
      <c r="AX30" s="70">
        <f>IFERROR(DL/(RadSpec!F30*IFSN_far_adj*CF_snap_bean),".")</f>
        <v>0.25335286099491006</v>
      </c>
      <c r="AY30" s="70">
        <f>IFERROR(DL/(RadSpec!F30*IFST_far_adj*CF_strawberry),".")</f>
        <v>0.33201126833628308</v>
      </c>
      <c r="AZ30" s="70">
        <f>IFERROR(DL/(RadSpec!F30*IFTO_far_adj*CF_tomato),".")</f>
        <v>0.14875629539803195</v>
      </c>
      <c r="BA30" s="70">
        <f>IFERROR(DL/(RadSpec!F30*IFRI_far_adj*CF_rice),".")</f>
        <v>0.14018092292412759</v>
      </c>
      <c r="BB30" s="70">
        <f>IFERROR(DL/(RadSpec!F30*IFCG_far_adj*CF_cereal),".")</f>
        <v>0.16176625704233932</v>
      </c>
    </row>
    <row r="31" spans="1:54" x14ac:dyDescent="0.25">
      <c r="A31" s="89" t="s">
        <v>1</v>
      </c>
      <c r="B31" s="89" t="s">
        <v>1057</v>
      </c>
      <c r="C31" s="90">
        <f t="shared" ref="C31:AH31" si="2">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4.3793819634581989E-4</v>
      </c>
      <c r="D31" s="90">
        <f t="shared" si="2"/>
        <v>7.9381670748739919E-3</v>
      </c>
      <c r="E31" s="90">
        <f t="shared" si="2"/>
        <v>1.7348770387977275E-2</v>
      </c>
      <c r="F31" s="90">
        <f t="shared" si="2"/>
        <v>2.0925849283101344E-2</v>
      </c>
      <c r="G31" s="90">
        <f t="shared" si="2"/>
        <v>1.7850063294198595E-2</v>
      </c>
      <c r="H31" s="90">
        <f t="shared" si="2"/>
        <v>2.1988671913633278E-2</v>
      </c>
      <c r="I31" s="90">
        <f t="shared" si="2"/>
        <v>8.5456187309897024E-3</v>
      </c>
      <c r="J31" s="90">
        <f t="shared" si="2"/>
        <v>2.4095594075756881E-2</v>
      </c>
      <c r="K31" s="90">
        <f t="shared" si="2"/>
        <v>2.0578420446440999E-3</v>
      </c>
      <c r="L31" s="90">
        <f t="shared" si="2"/>
        <v>1.1281903033884082E-2</v>
      </c>
      <c r="M31" s="90">
        <f t="shared" si="2"/>
        <v>8.4508820656387599E-3</v>
      </c>
      <c r="N31" s="90">
        <f t="shared" si="2"/>
        <v>2.0080629724233603E-2</v>
      </c>
      <c r="O31" s="90">
        <f t="shared" si="2"/>
        <v>1.8713267908143257E-2</v>
      </c>
      <c r="P31" s="90">
        <f t="shared" si="2"/>
        <v>2.2806475081011662E-2</v>
      </c>
      <c r="Q31" s="90">
        <f t="shared" si="2"/>
        <v>3.2557032593873839E-2</v>
      </c>
      <c r="R31" s="90">
        <f t="shared" si="2"/>
        <v>5.0960070592167448E-3</v>
      </c>
      <c r="S31" s="90">
        <f t="shared" si="2"/>
        <v>1.039892950697174E-2</v>
      </c>
      <c r="T31" s="90">
        <f t="shared" si="2"/>
        <v>1.8139901947911787E-2</v>
      </c>
      <c r="U31" s="90">
        <f t="shared" si="2"/>
        <v>3.6302388435101363E-2</v>
      </c>
      <c r="V31" s="90">
        <f t="shared" si="2"/>
        <v>5.3361537980644025E-3</v>
      </c>
      <c r="W31" s="90">
        <f t="shared" si="2"/>
        <v>1.0845280315067011E-2</v>
      </c>
      <c r="X31" s="90">
        <f t="shared" si="2"/>
        <v>1.2165673679388091E-2</v>
      </c>
      <c r="Y31" s="90">
        <f t="shared" si="2"/>
        <v>1.5514980387407035E-2</v>
      </c>
      <c r="Z31" s="90">
        <f t="shared" si="2"/>
        <v>8.3360002261599047E-3</v>
      </c>
      <c r="AA31" s="90">
        <f t="shared" si="2"/>
        <v>8.0443845312163677E-3</v>
      </c>
      <c r="AB31" s="90">
        <f t="shared" si="2"/>
        <v>9.2260721399422263E-3</v>
      </c>
      <c r="AC31" s="90">
        <f t="shared" si="2"/>
        <v>4.1208172066866511E-4</v>
      </c>
      <c r="AD31" s="90">
        <f t="shared" si="2"/>
        <v>6.9025456332067019E-3</v>
      </c>
      <c r="AE31" s="90">
        <f t="shared" si="2"/>
        <v>1.6257640586045952E-2</v>
      </c>
      <c r="AF31" s="90">
        <f t="shared" si="2"/>
        <v>1.9348426271448848E-2</v>
      </c>
      <c r="AG31" s="90">
        <f t="shared" si="2"/>
        <v>1.7381864912711421E-2</v>
      </c>
      <c r="AH31" s="90">
        <f t="shared" si="2"/>
        <v>1.8688081006936974E-2</v>
      </c>
      <c r="AI31" s="90">
        <f t="shared" ref="AI31:BB31" si="3">IFERROR(1/SUM(IFERROR(1/SUMIF(AI32,"&lt;&gt;.",AI32),0),IFERROR(1/SUMIF(AI33,"&lt;&gt;.",AI33),0),IFERROR(1/SUMIF(AI34,"&lt;&gt;.",AI34),0),IFERROR(1/SUMIF(AI35,"&lt;&gt;.",AI35),0),IFERROR(1/SUMIF(AI36,"&lt;&gt;.",AI36),0),IFERROR(1/SUMIF(AI37,"&lt;&gt;.",AI37),0),IFERROR(1/SUMIF(AI38,"&lt;&gt;.",AI38),0),IFERROR(1/SUMIF(AI39,"&lt;&gt;.",AI39),0),IFERROR(1/SUMIF(AI40,"&lt;&gt;.",AI40),0),IFERROR(1/SUMIF(AI41,"&lt;&gt;.",AI41),0),IFERROR(1/SUMIF(AI42,"&lt;&gt;.",AI42),0),IFERROR(1/SUMIF(AI43,"&lt;&gt;.",AI43),0),IFERROR(1/SUMIF(AI44,"&lt;&gt;.",AI44),0)),".")</f>
        <v>8.4241468807723825E-3</v>
      </c>
      <c r="AJ31" s="90">
        <f t="shared" si="3"/>
        <v>2.5684279578131172E-2</v>
      </c>
      <c r="AK31" s="90">
        <f t="shared" si="3"/>
        <v>2.0010691183716843E-3</v>
      </c>
      <c r="AL31" s="90">
        <f t="shared" si="3"/>
        <v>7.8250461968663969E-3</v>
      </c>
      <c r="AM31" s="90">
        <f t="shared" si="3"/>
        <v>1.1874599222591493E-2</v>
      </c>
      <c r="AN31" s="90">
        <f t="shared" si="3"/>
        <v>1.8393362807805336E-2</v>
      </c>
      <c r="AO31" s="90">
        <f t="shared" si="3"/>
        <v>1.8158541735060509E-2</v>
      </c>
      <c r="AP31" s="90">
        <f t="shared" si="3"/>
        <v>2.1400424507209845E-2</v>
      </c>
      <c r="AQ31" s="90">
        <f t="shared" si="3"/>
        <v>2.3968827284071854E-2</v>
      </c>
      <c r="AR31" s="90">
        <f t="shared" si="3"/>
        <v>5.6968843630290453E-3</v>
      </c>
      <c r="AS31" s="90">
        <f t="shared" si="3"/>
        <v>9.2904503396760915E-3</v>
      </c>
      <c r="AT31" s="90">
        <f t="shared" si="3"/>
        <v>1.9490694111680085E-2</v>
      </c>
      <c r="AU31" s="90">
        <f t="shared" si="3"/>
        <v>2.7218742955494431E-2</v>
      </c>
      <c r="AV31" s="90">
        <f t="shared" si="3"/>
        <v>4.5421105056582924E-3</v>
      </c>
      <c r="AW31" s="90">
        <f t="shared" si="3"/>
        <v>1.0203159265531768E-2</v>
      </c>
      <c r="AX31" s="90">
        <f t="shared" si="3"/>
        <v>1.1518103255411182E-2</v>
      </c>
      <c r="AY31" s="90">
        <f t="shared" si="3"/>
        <v>1.5094126253952846E-2</v>
      </c>
      <c r="AZ31" s="90">
        <f t="shared" si="3"/>
        <v>6.7628617397827683E-3</v>
      </c>
      <c r="BA31" s="90">
        <f t="shared" si="3"/>
        <v>6.3730022165069487E-3</v>
      </c>
      <c r="BB31" s="90">
        <f t="shared" si="3"/>
        <v>7.3543296276116794E-3</v>
      </c>
    </row>
    <row r="32" spans="1:54" x14ac:dyDescent="0.25">
      <c r="A32" s="182" t="s">
        <v>1085</v>
      </c>
      <c r="B32" s="183">
        <v>1</v>
      </c>
      <c r="C32" s="93">
        <f>IFERROR(C3/$B32,".")</f>
        <v>2.4365605314984897E-3</v>
      </c>
      <c r="D32" s="93">
        <f t="shared" ref="D32:AH32" si="4">IFERROR(D3/$B32,".")</f>
        <v>4.4165648825491871E-2</v>
      </c>
      <c r="E32" s="93">
        <f t="shared" si="4"/>
        <v>9.6523503887282369E-2</v>
      </c>
      <c r="F32" s="93">
        <f t="shared" si="4"/>
        <v>0.11642532868046183</v>
      </c>
      <c r="G32" s="93">
        <f t="shared" si="4"/>
        <v>9.9312551566180268E-2</v>
      </c>
      <c r="H32" s="93">
        <f t="shared" si="4"/>
        <v>0.12233856414415406</v>
      </c>
      <c r="I32" s="93">
        <f t="shared" si="4"/>
        <v>4.7545332859528881E-2</v>
      </c>
      <c r="J32" s="93">
        <f t="shared" si="4"/>
        <v>0.13406086520399593</v>
      </c>
      <c r="K32" s="93">
        <f t="shared" si="4"/>
        <v>1.144923358564183E-2</v>
      </c>
      <c r="L32" s="93">
        <f t="shared" si="4"/>
        <v>6.2769221506425027E-2</v>
      </c>
      <c r="M32" s="93">
        <f t="shared" si="4"/>
        <v>4.7018245654973624E-2</v>
      </c>
      <c r="N32" s="93">
        <f t="shared" si="4"/>
        <v>0.11172277330901516</v>
      </c>
      <c r="O32" s="93">
        <f t="shared" si="4"/>
        <v>0.10411517054414242</v>
      </c>
      <c r="P32" s="93">
        <f t="shared" si="4"/>
        <v>0.12688858270109935</v>
      </c>
      <c r="Q32" s="93">
        <f t="shared" si="4"/>
        <v>0.18113784388494361</v>
      </c>
      <c r="R32" s="93">
        <f t="shared" si="4"/>
        <v>2.8352698559593742E-2</v>
      </c>
      <c r="S32" s="93">
        <f t="shared" si="4"/>
        <v>5.7856614056368869E-2</v>
      </c>
      <c r="T32" s="93">
        <f t="shared" si="4"/>
        <v>0.10092512939116306</v>
      </c>
      <c r="U32" s="93">
        <f t="shared" si="4"/>
        <v>0.20197591257887884</v>
      </c>
      <c r="V32" s="93">
        <f t="shared" si="4"/>
        <v>2.9688805047967334E-2</v>
      </c>
      <c r="W32" s="93">
        <f t="shared" si="4"/>
        <v>6.0339979908633101E-2</v>
      </c>
      <c r="X32" s="93">
        <f t="shared" si="4"/>
        <v>6.7686263892085319E-2</v>
      </c>
      <c r="Y32" s="93">
        <f t="shared" si="4"/>
        <v>8.632083059747013E-2</v>
      </c>
      <c r="Z32" s="93">
        <f t="shared" si="4"/>
        <v>4.6379076570852239E-2</v>
      </c>
      <c r="AA32" s="93">
        <f t="shared" si="4"/>
        <v>4.4756611806203495E-2</v>
      </c>
      <c r="AB32" s="93">
        <f t="shared" si="4"/>
        <v>5.1331177377343211E-2</v>
      </c>
      <c r="AC32" s="93">
        <f t="shared" si="4"/>
        <v>2.2927026340958689E-3</v>
      </c>
      <c r="AD32" s="93">
        <f t="shared" si="4"/>
        <v>3.8403752851596258E-2</v>
      </c>
      <c r="AE32" s="93">
        <f t="shared" si="4"/>
        <v>9.0452775569197383E-2</v>
      </c>
      <c r="AF32" s="93">
        <f t="shared" si="4"/>
        <v>0.10764900662465528</v>
      </c>
      <c r="AG32" s="93">
        <f t="shared" si="4"/>
        <v>9.6707632180837846E-2</v>
      </c>
      <c r="AH32" s="93">
        <f t="shared" si="4"/>
        <v>0.10397503796401571</v>
      </c>
      <c r="AI32" s="93">
        <f t="shared" ref="AI32:BB32" si="5">IFERROR(AI3/$B32,".")</f>
        <v>4.6869498875653448E-2</v>
      </c>
      <c r="AJ32" s="93">
        <f t="shared" si="5"/>
        <v>0.14289984847686016</v>
      </c>
      <c r="AK32" s="93">
        <f t="shared" si="5"/>
        <v>1.11333655646122E-2</v>
      </c>
      <c r="AL32" s="93">
        <f t="shared" si="5"/>
        <v>4.353627721794176E-2</v>
      </c>
      <c r="AM32" s="93">
        <f t="shared" si="5"/>
        <v>6.6066810418796779E-2</v>
      </c>
      <c r="AN32" s="93">
        <f t="shared" si="5"/>
        <v>0.10233531176997665</v>
      </c>
      <c r="AO32" s="93">
        <f t="shared" si="5"/>
        <v>0.10102883573617032</v>
      </c>
      <c r="AP32" s="93">
        <f t="shared" si="5"/>
        <v>0.11906572696026092</v>
      </c>
      <c r="AQ32" s="93">
        <f t="shared" si="5"/>
        <v>0.13335557170847143</v>
      </c>
      <c r="AR32" s="93">
        <f t="shared" si="5"/>
        <v>3.1695804812847263E-2</v>
      </c>
      <c r="AS32" s="93">
        <f t="shared" si="5"/>
        <v>5.1689358924121555E-2</v>
      </c>
      <c r="AT32" s="93">
        <f t="shared" si="5"/>
        <v>0.10844054343807186</v>
      </c>
      <c r="AU32" s="93">
        <f t="shared" si="5"/>
        <v>0.15143715564373908</v>
      </c>
      <c r="AV32" s="93">
        <f t="shared" si="5"/>
        <v>2.5270979512945789E-2</v>
      </c>
      <c r="AW32" s="93">
        <f t="shared" si="5"/>
        <v>5.6767405470511942E-2</v>
      </c>
      <c r="AX32" s="93">
        <f t="shared" si="5"/>
        <v>6.4083370722241947E-2</v>
      </c>
      <c r="AY32" s="93">
        <f t="shared" si="5"/>
        <v>8.3979320814471597E-2</v>
      </c>
      <c r="AZ32" s="93">
        <f t="shared" si="5"/>
        <v>3.7626592365384549E-2</v>
      </c>
      <c r="BA32" s="93">
        <f t="shared" si="5"/>
        <v>3.5457527563161687E-2</v>
      </c>
      <c r="BB32" s="93">
        <f t="shared" si="5"/>
        <v>4.0917347369532883E-2</v>
      </c>
    </row>
    <row r="33" spans="1:54" x14ac:dyDescent="0.25">
      <c r="A33" s="182" t="s">
        <v>1061</v>
      </c>
      <c r="B33" s="183">
        <v>1</v>
      </c>
      <c r="C33" s="93">
        <f t="shared" ref="C33:BB34" si="6">IFERROR(C13/$B33,".")</f>
        <v>4.6392112519731254E-3</v>
      </c>
      <c r="D33" s="93">
        <f t="shared" si="6"/>
        <v>8.4091395363736526E-2</v>
      </c>
      <c r="E33" s="93">
        <f t="shared" si="6"/>
        <v>0.18378075140138564</v>
      </c>
      <c r="F33" s="93">
        <f t="shared" si="6"/>
        <v>0.22167382580759934</v>
      </c>
      <c r="G33" s="93">
        <f t="shared" si="6"/>
        <v>0.18909109818200723</v>
      </c>
      <c r="H33" s="93">
        <f t="shared" si="6"/>
        <v>0.23293262613046933</v>
      </c>
      <c r="I33" s="93">
        <f t="shared" si="6"/>
        <v>9.0526313764542982E-2</v>
      </c>
      <c r="J33" s="93">
        <f t="shared" si="6"/>
        <v>0.25525188734840826</v>
      </c>
      <c r="K33" s="93">
        <f t="shared" si="6"/>
        <v>2.1799340747062045E-2</v>
      </c>
      <c r="L33" s="93">
        <f t="shared" si="6"/>
        <v>0.11951259774823325</v>
      </c>
      <c r="M33" s="93">
        <f t="shared" si="6"/>
        <v>8.9522739727069783E-2</v>
      </c>
      <c r="N33" s="93">
        <f t="shared" si="6"/>
        <v>0.21272016038036484</v>
      </c>
      <c r="O33" s="93">
        <f t="shared" si="6"/>
        <v>0.19823528471604715</v>
      </c>
      <c r="P33" s="93">
        <f t="shared" si="6"/>
        <v>0.24159586146289311</v>
      </c>
      <c r="Q33" s="93">
        <f t="shared" si="6"/>
        <v>0.34488645475693264</v>
      </c>
      <c r="R33" s="93">
        <f t="shared" si="6"/>
        <v>5.3983538057466481E-2</v>
      </c>
      <c r="S33" s="93">
        <f t="shared" si="6"/>
        <v>0.11015899316332632</v>
      </c>
      <c r="T33" s="93">
        <f t="shared" si="6"/>
        <v>0.19216144636077448</v>
      </c>
      <c r="U33" s="93">
        <f t="shared" si="6"/>
        <v>0.38456213755018531</v>
      </c>
      <c r="V33" s="93">
        <f t="shared" si="6"/>
        <v>5.6527484811329798E-2</v>
      </c>
      <c r="W33" s="93">
        <f t="shared" si="6"/>
        <v>0.11488732174603741</v>
      </c>
      <c r="X33" s="93">
        <f t="shared" si="6"/>
        <v>0.12887464645053046</v>
      </c>
      <c r="Y33" s="93">
        <f t="shared" si="6"/>
        <v>0.16435486145758313</v>
      </c>
      <c r="Z33" s="93">
        <f t="shared" si="6"/>
        <v>8.8305761790902673E-2</v>
      </c>
      <c r="AA33" s="93">
        <f t="shared" si="6"/>
        <v>8.5216588879011443E-2</v>
      </c>
      <c r="AB33" s="93">
        <f t="shared" si="6"/>
        <v>9.7734561726461472E-2</v>
      </c>
      <c r="AC33" s="93">
        <f t="shared" si="6"/>
        <v>4.3653058153185357E-3</v>
      </c>
      <c r="AD33" s="93">
        <f t="shared" si="6"/>
        <v>7.3120745429439277E-2</v>
      </c>
      <c r="AE33" s="93">
        <f t="shared" si="6"/>
        <v>0.1722220846837518</v>
      </c>
      <c r="AF33" s="93">
        <f t="shared" si="6"/>
        <v>0.20496370861334365</v>
      </c>
      <c r="AG33" s="93">
        <f t="shared" si="6"/>
        <v>0.18413133167231527</v>
      </c>
      <c r="AH33" s="93">
        <f t="shared" si="6"/>
        <v>0.19796847228348588</v>
      </c>
      <c r="AI33" s="93">
        <f t="shared" si="6"/>
        <v>8.9239525859244162E-2</v>
      </c>
      <c r="AJ33" s="93">
        <f t="shared" si="6"/>
        <v>0.27208131149994175</v>
      </c>
      <c r="AK33" s="93">
        <f t="shared" si="6"/>
        <v>2.1197928035021626E-2</v>
      </c>
      <c r="AL33" s="93">
        <f t="shared" si="6"/>
        <v>8.2893071822961115E-2</v>
      </c>
      <c r="AM33" s="93">
        <f t="shared" si="6"/>
        <v>0.12579120703738908</v>
      </c>
      <c r="AN33" s="93">
        <f t="shared" si="6"/>
        <v>0.19484643361003556</v>
      </c>
      <c r="AO33" s="93">
        <f t="shared" si="6"/>
        <v>0.19235890324166829</v>
      </c>
      <c r="AP33" s="93">
        <f t="shared" si="6"/>
        <v>0.2267011441323368</v>
      </c>
      <c r="AQ33" s="93">
        <f t="shared" si="6"/>
        <v>0.25390900853292958</v>
      </c>
      <c r="AR33" s="93">
        <f t="shared" si="6"/>
        <v>6.0348812363661186E-2</v>
      </c>
      <c r="AS33" s="93">
        <f t="shared" si="6"/>
        <v>9.8416539391527447E-2</v>
      </c>
      <c r="AT33" s="93">
        <f t="shared" si="6"/>
        <v>0.20647079470608881</v>
      </c>
      <c r="AU33" s="93">
        <f t="shared" si="6"/>
        <v>0.28833634434567923</v>
      </c>
      <c r="AV33" s="93">
        <f t="shared" si="6"/>
        <v>4.8115944992648783E-2</v>
      </c>
      <c r="AW33" s="93">
        <f t="shared" si="6"/>
        <v>0.10808514001585473</v>
      </c>
      <c r="AX33" s="93">
        <f t="shared" si="6"/>
        <v>0.12201473785514869</v>
      </c>
      <c r="AY33" s="93">
        <f t="shared" si="6"/>
        <v>0.15989662683075392</v>
      </c>
      <c r="AZ33" s="93">
        <f t="shared" si="6"/>
        <v>7.1641031863692195E-2</v>
      </c>
      <c r="BA33" s="93">
        <f t="shared" si="6"/>
        <v>6.7511132480259847E-2</v>
      </c>
      <c r="BB33" s="93">
        <f t="shared" si="6"/>
        <v>7.7906629391590612E-2</v>
      </c>
    </row>
    <row r="34" spans="1:54" x14ac:dyDescent="0.25">
      <c r="A34" s="182" t="s">
        <v>1062</v>
      </c>
      <c r="B34" s="183">
        <v>1</v>
      </c>
      <c r="C34" s="93">
        <f t="shared" si="6"/>
        <v>0.43931924734593991</v>
      </c>
      <c r="D34" s="93">
        <f t="shared" si="6"/>
        <v>7.9632003185356552</v>
      </c>
      <c r="E34" s="93">
        <f t="shared" si="6"/>
        <v>17.403480246343335</v>
      </c>
      <c r="F34" s="93">
        <f t="shared" si="6"/>
        <v>20.991839565113573</v>
      </c>
      <c r="G34" s="93">
        <f t="shared" si="6"/>
        <v>17.906353994508262</v>
      </c>
      <c r="H34" s="93">
        <f t="shared" si="6"/>
        <v>22.058013838112629</v>
      </c>
      <c r="I34" s="93">
        <f t="shared" si="6"/>
        <v>8.5725675913392987</v>
      </c>
      <c r="J34" s="93">
        <f t="shared" si="6"/>
        <v>24.171580241326538</v>
      </c>
      <c r="K34" s="93">
        <f t="shared" si="6"/>
        <v>2.0643315101384512</v>
      </c>
      <c r="L34" s="93">
        <f t="shared" si="6"/>
        <v>11.317480847370575</v>
      </c>
      <c r="M34" s="93">
        <f t="shared" si="6"/>
        <v>8.4775321711240341</v>
      </c>
      <c r="N34" s="93">
        <f t="shared" si="6"/>
        <v>20.143954581473945</v>
      </c>
      <c r="O34" s="93">
        <f t="shared" si="6"/>
        <v>18.772280749625679</v>
      </c>
      <c r="P34" s="93">
        <f t="shared" si="6"/>
        <v>22.878395971864879</v>
      </c>
      <c r="Q34" s="93">
        <f t="shared" si="6"/>
        <v>32.65970215501256</v>
      </c>
      <c r="R34" s="93">
        <f t="shared" si="6"/>
        <v>5.1120774675631147</v>
      </c>
      <c r="S34" s="93">
        <f t="shared" si="6"/>
        <v>10.431722837436205</v>
      </c>
      <c r="T34" s="93">
        <f t="shared" si="6"/>
        <v>18.197106662952127</v>
      </c>
      <c r="U34" s="93">
        <f t="shared" si="6"/>
        <v>36.416869086191788</v>
      </c>
      <c r="V34" s="93">
        <f t="shared" si="6"/>
        <v>5.3529815162244132</v>
      </c>
      <c r="W34" s="93">
        <f t="shared" si="6"/>
        <v>10.879481225950514</v>
      </c>
      <c r="X34" s="93">
        <f t="shared" si="6"/>
        <v>12.204038489633565</v>
      </c>
      <c r="Y34" s="93">
        <f t="shared" si="6"/>
        <v>15.563907334998401</v>
      </c>
      <c r="Z34" s="93">
        <f t="shared" si="6"/>
        <v>8.3622880483809343</v>
      </c>
      <c r="AA34" s="93">
        <f t="shared" si="6"/>
        <v>8.0697527347548714</v>
      </c>
      <c r="AB34" s="93">
        <f t="shared" si="6"/>
        <v>9.2551668301573375</v>
      </c>
      <c r="AC34" s="93">
        <f t="shared" si="6"/>
        <v>0.41338123251122477</v>
      </c>
      <c r="AD34" s="93">
        <f t="shared" si="6"/>
        <v>6.9243130141514468</v>
      </c>
      <c r="AE34" s="93">
        <f t="shared" si="6"/>
        <v>16.308909534446194</v>
      </c>
      <c r="AF34" s="93">
        <f t="shared" si="6"/>
        <v>19.409442103536328</v>
      </c>
      <c r="AG34" s="93">
        <f t="shared" si="6"/>
        <v>17.436679135635917</v>
      </c>
      <c r="AH34" s="93">
        <f t="shared" si="6"/>
        <v>18.747014420784648</v>
      </c>
      <c r="AI34" s="93">
        <f t="shared" si="6"/>
        <v>8.4507126760647875</v>
      </c>
      <c r="AJ34" s="93">
        <f t="shared" si="6"/>
        <v>25.765275710221754</v>
      </c>
      <c r="AK34" s="93">
        <f t="shared" si="6"/>
        <v>2.0073795487709871</v>
      </c>
      <c r="AL34" s="93">
        <f t="shared" si="6"/>
        <v>7.849722710507681</v>
      </c>
      <c r="AM34" s="93">
        <f t="shared" si="6"/>
        <v>11.912046120964874</v>
      </c>
      <c r="AN34" s="93">
        <f t="shared" si="6"/>
        <v>18.451366819132154</v>
      </c>
      <c r="AO34" s="93">
        <f t="shared" si="6"/>
        <v>18.215805231218589</v>
      </c>
      <c r="AP34" s="93">
        <f t="shared" si="6"/>
        <v>21.467911376168257</v>
      </c>
      <c r="AQ34" s="93">
        <f t="shared" si="6"/>
        <v>24.044413686830456</v>
      </c>
      <c r="AR34" s="93">
        <f t="shared" si="6"/>
        <v>5.7148496556497337</v>
      </c>
      <c r="AS34" s="93">
        <f t="shared" si="6"/>
        <v>9.3197480484400987</v>
      </c>
      <c r="AT34" s="93">
        <f t="shared" si="6"/>
        <v>19.552158589591745</v>
      </c>
      <c r="AU34" s="93">
        <f t="shared" si="6"/>
        <v>27.304578063037805</v>
      </c>
      <c r="AV34" s="93">
        <f t="shared" si="6"/>
        <v>4.5564341849099224</v>
      </c>
      <c r="AW34" s="93">
        <f t="shared" si="6"/>
        <v>10.235335228774122</v>
      </c>
      <c r="AX34" s="93">
        <f t="shared" si="6"/>
        <v>11.554425933252716</v>
      </c>
      <c r="AY34" s="93">
        <f t="shared" si="6"/>
        <v>15.141726025639576</v>
      </c>
      <c r="AZ34" s="93">
        <f t="shared" si="6"/>
        <v>6.784188623455699</v>
      </c>
      <c r="BA34" s="93">
        <f t="shared" si="6"/>
        <v>6.3930996666912741</v>
      </c>
      <c r="BB34" s="93">
        <f t="shared" si="6"/>
        <v>7.3775217226885044</v>
      </c>
    </row>
    <row r="35" spans="1:54" x14ac:dyDescent="0.25">
      <c r="A35" s="182" t="s">
        <v>1063</v>
      </c>
      <c r="B35" s="183">
        <v>1</v>
      </c>
      <c r="C35" s="93">
        <f t="shared" ref="C35:AH35" si="7">IFERROR(C30/$B35,".")</f>
        <v>9.6329137291800773E-3</v>
      </c>
      <c r="D35" s="93">
        <f t="shared" si="7"/>
        <v>0.17460837907752602</v>
      </c>
      <c r="E35" s="93">
        <f t="shared" si="7"/>
        <v>0.38160455025204659</v>
      </c>
      <c r="F35" s="93">
        <f t="shared" si="7"/>
        <v>0.46028618315531422</v>
      </c>
      <c r="G35" s="93">
        <f t="shared" si="7"/>
        <v>0.39263101781978249</v>
      </c>
      <c r="H35" s="93">
        <f t="shared" si="7"/>
        <v>0.48366409080246953</v>
      </c>
      <c r="I35" s="93">
        <f t="shared" si="7"/>
        <v>0.18796992060743978</v>
      </c>
      <c r="J35" s="93">
        <f t="shared" si="7"/>
        <v>0.53000807173672815</v>
      </c>
      <c r="K35" s="93">
        <f t="shared" si="7"/>
        <v>4.5264411850211891E-2</v>
      </c>
      <c r="L35" s="93">
        <f t="shared" si="7"/>
        <v>0.24815738735098269</v>
      </c>
      <c r="M35" s="93">
        <f t="shared" si="7"/>
        <v>0.18588608747315158</v>
      </c>
      <c r="N35" s="93">
        <f t="shared" si="7"/>
        <v>0.44169468517517624</v>
      </c>
      <c r="O35" s="93">
        <f t="shared" si="7"/>
        <v>0.41161811610474908</v>
      </c>
      <c r="P35" s="93">
        <f t="shared" si="7"/>
        <v>0.50165253626016015</v>
      </c>
      <c r="Q35" s="93">
        <f t="shared" si="7"/>
        <v>0.71612635954512593</v>
      </c>
      <c r="R35" s="93">
        <f t="shared" si="7"/>
        <v>0.11209206407281247</v>
      </c>
      <c r="S35" s="93">
        <f t="shared" si="7"/>
        <v>0.22873545092052811</v>
      </c>
      <c r="T35" s="93">
        <f t="shared" si="7"/>
        <v>0.39900632549994697</v>
      </c>
      <c r="U35" s="93">
        <f t="shared" si="7"/>
        <v>0.79850942182347451</v>
      </c>
      <c r="V35" s="93">
        <f t="shared" si="7"/>
        <v>0.11737434553847551</v>
      </c>
      <c r="W35" s="93">
        <f t="shared" si="7"/>
        <v>0.23855340894110758</v>
      </c>
      <c r="X35" s="93">
        <f t="shared" si="7"/>
        <v>0.26759685724777921</v>
      </c>
      <c r="Y35" s="93">
        <f t="shared" si="7"/>
        <v>0.34126840003650982</v>
      </c>
      <c r="Z35" s="93">
        <f t="shared" si="7"/>
        <v>0.18335913993127631</v>
      </c>
      <c r="AA35" s="93">
        <f t="shared" si="7"/>
        <v>0.17694474435010682</v>
      </c>
      <c r="AB35" s="93">
        <f t="shared" si="7"/>
        <v>0.20293721288717081</v>
      </c>
      <c r="AC35" s="93">
        <f t="shared" si="7"/>
        <v>9.0641732045650646E-3</v>
      </c>
      <c r="AD35" s="93">
        <f t="shared" si="7"/>
        <v>0.15182879034352012</v>
      </c>
      <c r="AE35" s="93">
        <f t="shared" si="7"/>
        <v>0.35760399643636176</v>
      </c>
      <c r="AF35" s="93">
        <f t="shared" si="7"/>
        <v>0.42558909595793948</v>
      </c>
      <c r="AG35" s="93">
        <f t="shared" si="7"/>
        <v>0.38233249931959151</v>
      </c>
      <c r="AH35" s="93">
        <f t="shared" si="7"/>
        <v>0.41106410357866674</v>
      </c>
      <c r="AI35" s="93">
        <f t="shared" ref="AI35:BB35" si="8">IFERROR(AI30/$B35,".")</f>
        <v>0.18529801881072294</v>
      </c>
      <c r="AJ35" s="93">
        <f t="shared" si="8"/>
        <v>0.56495288932712162</v>
      </c>
      <c r="AK35" s="93">
        <f t="shared" si="8"/>
        <v>4.4015631301955203E-2</v>
      </c>
      <c r="AL35" s="93">
        <f t="shared" si="8"/>
        <v>0.17212016574535116</v>
      </c>
      <c r="AM35" s="93">
        <f t="shared" si="8"/>
        <v>0.26119436677198726</v>
      </c>
      <c r="AN35" s="93">
        <f t="shared" si="8"/>
        <v>0.40458146513711701</v>
      </c>
      <c r="AO35" s="93">
        <f t="shared" si="8"/>
        <v>0.39941632732904547</v>
      </c>
      <c r="AP35" s="93">
        <f t="shared" si="8"/>
        <v>0.4707249670521943</v>
      </c>
      <c r="AQ35" s="93">
        <f t="shared" si="8"/>
        <v>0.52721970210325919</v>
      </c>
      <c r="AR35" s="93">
        <f t="shared" si="8"/>
        <v>0.12530899577172175</v>
      </c>
      <c r="AS35" s="93">
        <f t="shared" si="8"/>
        <v>0.20435327946745729</v>
      </c>
      <c r="AT35" s="93">
        <f t="shared" si="8"/>
        <v>0.42871842754586553</v>
      </c>
      <c r="AU35" s="93">
        <f t="shared" si="8"/>
        <v>0.5987050339403639</v>
      </c>
      <c r="AV35" s="93">
        <f t="shared" si="8"/>
        <v>9.9908523655832193E-2</v>
      </c>
      <c r="AW35" s="93">
        <f t="shared" si="8"/>
        <v>0.22442927744155886</v>
      </c>
      <c r="AX35" s="93">
        <f t="shared" si="8"/>
        <v>0.25335286099491006</v>
      </c>
      <c r="AY35" s="93">
        <f t="shared" si="8"/>
        <v>0.33201126833628308</v>
      </c>
      <c r="AZ35" s="93">
        <f t="shared" si="8"/>
        <v>0.14875629539803195</v>
      </c>
      <c r="BA35" s="93">
        <f t="shared" si="8"/>
        <v>0.14018092292412759</v>
      </c>
      <c r="BB35" s="93">
        <f t="shared" si="8"/>
        <v>0.16176625704233932</v>
      </c>
    </row>
    <row r="36" spans="1:54" x14ac:dyDescent="0.25">
      <c r="A36" s="182" t="s">
        <v>1064</v>
      </c>
      <c r="B36" s="183">
        <v>1</v>
      </c>
      <c r="C36" s="93">
        <f t="shared" ref="C36:AH36" si="9">IFERROR(C26/$B36,".")</f>
        <v>9.5221905828676639E-4</v>
      </c>
      <c r="D36" s="93">
        <f t="shared" si="9"/>
        <v>1.7260138621456592E-2</v>
      </c>
      <c r="E36" s="93">
        <f t="shared" si="9"/>
        <v>3.7721829105374714E-2</v>
      </c>
      <c r="F36" s="93">
        <f t="shared" si="9"/>
        <v>4.5499553737191979E-2</v>
      </c>
      <c r="G36" s="93">
        <f t="shared" si="9"/>
        <v>3.8811801761495734E-2</v>
      </c>
      <c r="H36" s="93">
        <f t="shared" si="9"/>
        <v>4.7810473343692393E-2</v>
      </c>
      <c r="I36" s="93">
        <f t="shared" si="9"/>
        <v>1.8580934680735423E-2</v>
      </c>
      <c r="J36" s="93">
        <f t="shared" si="9"/>
        <v>5.2391602493515647E-2</v>
      </c>
      <c r="K36" s="93">
        <f t="shared" si="9"/>
        <v>4.4744131254232438E-3</v>
      </c>
      <c r="L36" s="93">
        <f t="shared" si="9"/>
        <v>2.4530500358832769E-2</v>
      </c>
      <c r="M36" s="93">
        <f t="shared" si="9"/>
        <v>1.8374946577805785E-2</v>
      </c>
      <c r="N36" s="93">
        <f t="shared" si="9"/>
        <v>4.3661773477086385E-2</v>
      </c>
      <c r="O36" s="93">
        <f t="shared" si="9"/>
        <v>4.0688687339090139E-2</v>
      </c>
      <c r="P36" s="93">
        <f t="shared" si="9"/>
        <v>4.958864151537215E-2</v>
      </c>
      <c r="Q36" s="93">
        <f t="shared" si="9"/>
        <v>7.0789502207909E-2</v>
      </c>
      <c r="R36" s="93">
        <f t="shared" si="9"/>
        <v>1.108036495432399E-2</v>
      </c>
      <c r="S36" s="93">
        <f t="shared" si="9"/>
        <v>2.2610630780649902E-2</v>
      </c>
      <c r="T36" s="93">
        <f t="shared" si="9"/>
        <v>3.9442004589649929E-2</v>
      </c>
      <c r="U36" s="93">
        <f t="shared" si="9"/>
        <v>7.893311526071127E-2</v>
      </c>
      <c r="V36" s="93">
        <f t="shared" si="9"/>
        <v>1.1602521512998728E-2</v>
      </c>
      <c r="W36" s="93">
        <f t="shared" si="9"/>
        <v>2.3581141573488795E-2</v>
      </c>
      <c r="X36" s="93">
        <f t="shared" si="9"/>
        <v>2.6452103130240236E-2</v>
      </c>
      <c r="Y36" s="93">
        <f t="shared" si="9"/>
        <v>3.3734577474873385E-2</v>
      </c>
      <c r="Z36" s="93">
        <f t="shared" si="9"/>
        <v>1.8125156361022715E-2</v>
      </c>
      <c r="AA36" s="93">
        <f t="shared" si="9"/>
        <v>1.7491089671389869E-2</v>
      </c>
      <c r="AB36" s="93">
        <f t="shared" si="9"/>
        <v>2.0060460124478954E-2</v>
      </c>
      <c r="AC36" s="93">
        <f t="shared" si="9"/>
        <v>8.9599873056620146E-4</v>
      </c>
      <c r="AD36" s="93">
        <f t="shared" si="9"/>
        <v>1.5008363183382447E-2</v>
      </c>
      <c r="AE36" s="93">
        <f t="shared" si="9"/>
        <v>3.5349360567272538E-2</v>
      </c>
      <c r="AF36" s="93">
        <f t="shared" si="9"/>
        <v>4.2069726726876769E-2</v>
      </c>
      <c r="AG36" s="93">
        <f t="shared" si="9"/>
        <v>3.7793787289063067E-2</v>
      </c>
      <c r="AH36" s="93">
        <f t="shared" si="9"/>
        <v>4.0633922882488897E-2</v>
      </c>
      <c r="AI36" s="93">
        <f t="shared" ref="AI36:BB36" si="10">IFERROR(AI26/$B36,".")</f>
        <v>1.8316815652554219E-2</v>
      </c>
      <c r="AJ36" s="93">
        <f t="shared" si="10"/>
        <v>5.5845917795554541E-2</v>
      </c>
      <c r="AK36" s="93">
        <f t="shared" si="10"/>
        <v>4.3509704505380999E-3</v>
      </c>
      <c r="AL36" s="93">
        <f t="shared" si="10"/>
        <v>1.7014177303563447E-2</v>
      </c>
      <c r="AM36" s="93">
        <f t="shared" si="10"/>
        <v>2.5819213267115983E-2</v>
      </c>
      <c r="AN36" s="93">
        <f t="shared" si="10"/>
        <v>3.9993110346887427E-2</v>
      </c>
      <c r="AO36" s="93">
        <f t="shared" si="10"/>
        <v>3.9482533506089552E-2</v>
      </c>
      <c r="AP36" s="93">
        <f t="shared" si="10"/>
        <v>4.653143352469967E-2</v>
      </c>
      <c r="AQ36" s="93">
        <f t="shared" si="10"/>
        <v>5.2115970552735959E-2</v>
      </c>
      <c r="AR36" s="93">
        <f t="shared" si="10"/>
        <v>1.2386866248698929E-2</v>
      </c>
      <c r="AS36" s="93">
        <f t="shared" si="10"/>
        <v>2.0200439119771641E-2</v>
      </c>
      <c r="AT36" s="93">
        <f t="shared" si="10"/>
        <v>4.2379062952809694E-2</v>
      </c>
      <c r="AU36" s="93">
        <f t="shared" si="10"/>
        <v>5.918233668835781E-2</v>
      </c>
      <c r="AV36" s="93">
        <f t="shared" si="10"/>
        <v>9.8760149820707674E-3</v>
      </c>
      <c r="AW36" s="93">
        <f t="shared" si="10"/>
        <v>2.2184963057441446E-2</v>
      </c>
      <c r="AX36" s="93">
        <f t="shared" si="10"/>
        <v>2.5044075914439381E-2</v>
      </c>
      <c r="AY36" s="93">
        <f t="shared" si="10"/>
        <v>3.2819504686115331E-2</v>
      </c>
      <c r="AZ36" s="93">
        <f t="shared" si="10"/>
        <v>1.4704645292219251E-2</v>
      </c>
      <c r="BA36" s="93">
        <f t="shared" si="10"/>
        <v>1.385696479479882E-2</v>
      </c>
      <c r="BB36" s="93">
        <f t="shared" si="10"/>
        <v>1.5990687477748483E-2</v>
      </c>
    </row>
    <row r="37" spans="1:54" x14ac:dyDescent="0.25">
      <c r="A37" s="182" t="s">
        <v>1065</v>
      </c>
      <c r="B37" s="183">
        <v>1</v>
      </c>
      <c r="C37" s="93">
        <f t="shared" ref="C37:AH37" si="11">IFERROR(C22/$B37,".")</f>
        <v>2.4365605314984897E-3</v>
      </c>
      <c r="D37" s="93">
        <f t="shared" si="11"/>
        <v>4.4165648825491871E-2</v>
      </c>
      <c r="E37" s="93">
        <f t="shared" si="11"/>
        <v>9.6523503887282369E-2</v>
      </c>
      <c r="F37" s="93">
        <f t="shared" si="11"/>
        <v>0.11642532868046183</v>
      </c>
      <c r="G37" s="93">
        <f t="shared" si="11"/>
        <v>9.9312551566180268E-2</v>
      </c>
      <c r="H37" s="93">
        <f t="shared" si="11"/>
        <v>0.12233856414415406</v>
      </c>
      <c r="I37" s="93">
        <f t="shared" si="11"/>
        <v>4.7545332859528881E-2</v>
      </c>
      <c r="J37" s="93">
        <f t="shared" si="11"/>
        <v>0.13406086520399593</v>
      </c>
      <c r="K37" s="93">
        <f t="shared" si="11"/>
        <v>1.144923358564183E-2</v>
      </c>
      <c r="L37" s="93">
        <f t="shared" si="11"/>
        <v>6.2769221506425027E-2</v>
      </c>
      <c r="M37" s="93">
        <f t="shared" si="11"/>
        <v>4.7018245654973624E-2</v>
      </c>
      <c r="N37" s="93">
        <f t="shared" si="11"/>
        <v>0.11172277330901516</v>
      </c>
      <c r="O37" s="93">
        <f t="shared" si="11"/>
        <v>0.10411517054414242</v>
      </c>
      <c r="P37" s="93">
        <f t="shared" si="11"/>
        <v>0.12688858270109935</v>
      </c>
      <c r="Q37" s="93">
        <f t="shared" si="11"/>
        <v>0.18113784388494361</v>
      </c>
      <c r="R37" s="93">
        <f t="shared" si="11"/>
        <v>2.8352698559593742E-2</v>
      </c>
      <c r="S37" s="93">
        <f t="shared" si="11"/>
        <v>5.7856614056368869E-2</v>
      </c>
      <c r="T37" s="93">
        <f t="shared" si="11"/>
        <v>0.10092512939116306</v>
      </c>
      <c r="U37" s="93">
        <f t="shared" si="11"/>
        <v>0.20197591257887884</v>
      </c>
      <c r="V37" s="93">
        <f t="shared" si="11"/>
        <v>2.9688805047967334E-2</v>
      </c>
      <c r="W37" s="93">
        <f t="shared" si="11"/>
        <v>6.0339979908633101E-2</v>
      </c>
      <c r="X37" s="93">
        <f t="shared" si="11"/>
        <v>6.7686263892085319E-2</v>
      </c>
      <c r="Y37" s="93">
        <f t="shared" si="11"/>
        <v>8.632083059747013E-2</v>
      </c>
      <c r="Z37" s="93">
        <f t="shared" si="11"/>
        <v>4.6379076570852239E-2</v>
      </c>
      <c r="AA37" s="93">
        <f t="shared" si="11"/>
        <v>4.4756611806203495E-2</v>
      </c>
      <c r="AB37" s="93">
        <f t="shared" si="11"/>
        <v>5.1331177377343211E-2</v>
      </c>
      <c r="AC37" s="93">
        <f t="shared" si="11"/>
        <v>2.2927026340958689E-3</v>
      </c>
      <c r="AD37" s="93">
        <f t="shared" si="11"/>
        <v>3.8403752851596258E-2</v>
      </c>
      <c r="AE37" s="93">
        <f t="shared" si="11"/>
        <v>9.0452775569197383E-2</v>
      </c>
      <c r="AF37" s="93">
        <f t="shared" si="11"/>
        <v>0.10764900662465528</v>
      </c>
      <c r="AG37" s="93">
        <f t="shared" si="11"/>
        <v>9.6707632180837846E-2</v>
      </c>
      <c r="AH37" s="93">
        <f t="shared" si="11"/>
        <v>0.10397503796401571</v>
      </c>
      <c r="AI37" s="93">
        <f t="shared" ref="AI37:BB37" si="12">IFERROR(AI22/$B37,".")</f>
        <v>4.6869498875653448E-2</v>
      </c>
      <c r="AJ37" s="93">
        <f t="shared" si="12"/>
        <v>0.14289984847686016</v>
      </c>
      <c r="AK37" s="93">
        <f t="shared" si="12"/>
        <v>1.11333655646122E-2</v>
      </c>
      <c r="AL37" s="93">
        <f t="shared" si="12"/>
        <v>4.353627721794176E-2</v>
      </c>
      <c r="AM37" s="93">
        <f t="shared" si="12"/>
        <v>6.6066810418796779E-2</v>
      </c>
      <c r="AN37" s="93">
        <f t="shared" si="12"/>
        <v>0.10233531176997665</v>
      </c>
      <c r="AO37" s="93">
        <f t="shared" si="12"/>
        <v>0.10102883573617032</v>
      </c>
      <c r="AP37" s="93">
        <f t="shared" si="12"/>
        <v>0.11906572696026092</v>
      </c>
      <c r="AQ37" s="93">
        <f t="shared" si="12"/>
        <v>0.13335557170847143</v>
      </c>
      <c r="AR37" s="93">
        <f t="shared" si="12"/>
        <v>3.1695804812847263E-2</v>
      </c>
      <c r="AS37" s="93">
        <f t="shared" si="12"/>
        <v>5.1689358924121555E-2</v>
      </c>
      <c r="AT37" s="93">
        <f t="shared" si="12"/>
        <v>0.10844054343807186</v>
      </c>
      <c r="AU37" s="93">
        <f t="shared" si="12"/>
        <v>0.15143715564373908</v>
      </c>
      <c r="AV37" s="93">
        <f t="shared" si="12"/>
        <v>2.5270979512945789E-2</v>
      </c>
      <c r="AW37" s="93">
        <f t="shared" si="12"/>
        <v>5.6767405470511942E-2</v>
      </c>
      <c r="AX37" s="93">
        <f t="shared" si="12"/>
        <v>6.4083370722241947E-2</v>
      </c>
      <c r="AY37" s="93">
        <f t="shared" si="12"/>
        <v>8.3979320814471597E-2</v>
      </c>
      <c r="AZ37" s="93">
        <f t="shared" si="12"/>
        <v>3.7626592365384549E-2</v>
      </c>
      <c r="BA37" s="93">
        <f t="shared" si="12"/>
        <v>3.5457527563161687E-2</v>
      </c>
      <c r="BB37" s="93">
        <f t="shared" si="12"/>
        <v>4.0917347369532883E-2</v>
      </c>
    </row>
    <row r="38" spans="1:54" x14ac:dyDescent="0.25">
      <c r="A38" s="182" t="s">
        <v>1066</v>
      </c>
      <c r="B38" s="183">
        <v>1</v>
      </c>
      <c r="C38" s="93">
        <f t="shared" ref="C38:AH38" si="13">IFERROR(C2/$B38,".")</f>
        <v>1.1087981003759859E-2</v>
      </c>
      <c r="D38" s="93">
        <f t="shared" si="13"/>
        <v>0.20098325851753471</v>
      </c>
      <c r="E38" s="93">
        <f t="shared" si="13"/>
        <v>0.43924653776621803</v>
      </c>
      <c r="F38" s="93">
        <f t="shared" si="13"/>
        <v>0.52981315919598304</v>
      </c>
      <c r="G38" s="93">
        <f t="shared" si="13"/>
        <v>0.45193857118070563</v>
      </c>
      <c r="H38" s="93">
        <f t="shared" si="13"/>
        <v>0.55672233778792857</v>
      </c>
      <c r="I38" s="93">
        <f t="shared" si="13"/>
        <v>0.2163630826112404</v>
      </c>
      <c r="J38" s="93">
        <f t="shared" si="13"/>
        <v>0.61006665236235236</v>
      </c>
      <c r="K38" s="93">
        <f t="shared" si="13"/>
        <v>5.2101674825674106E-2</v>
      </c>
      <c r="L38" s="93">
        <f t="shared" si="13"/>
        <v>0.28564196402541409</v>
      </c>
      <c r="M38" s="93">
        <f t="shared" si="13"/>
        <v>0.21396448309529106</v>
      </c>
      <c r="N38" s="93">
        <f t="shared" si="13"/>
        <v>0.50841338523031754</v>
      </c>
      <c r="O38" s="93">
        <f t="shared" si="13"/>
        <v>0.47379370152018924</v>
      </c>
      <c r="P38" s="93">
        <f t="shared" si="13"/>
        <v>0.57742796716752665</v>
      </c>
      <c r="Q38" s="93">
        <f t="shared" si="13"/>
        <v>0.82429841003090976</v>
      </c>
      <c r="R38" s="93">
        <f t="shared" si="13"/>
        <v>0.12902375252740556</v>
      </c>
      <c r="S38" s="93">
        <f t="shared" si="13"/>
        <v>0.2632863125318507</v>
      </c>
      <c r="T38" s="93">
        <f t="shared" si="13"/>
        <v>0.45927687944735773</v>
      </c>
      <c r="U38" s="93">
        <f t="shared" si="13"/>
        <v>0.91912556775856913</v>
      </c>
      <c r="V38" s="93">
        <f t="shared" si="13"/>
        <v>0.13510393119342687</v>
      </c>
      <c r="W38" s="93">
        <f t="shared" si="13"/>
        <v>0.27458728906796709</v>
      </c>
      <c r="X38" s="93">
        <f t="shared" si="13"/>
        <v>0.30801779744390645</v>
      </c>
      <c r="Y38" s="93">
        <f t="shared" si="13"/>
        <v>0.39281754650473977</v>
      </c>
      <c r="Z38" s="93">
        <f t="shared" si="13"/>
        <v>0.21105583602032188</v>
      </c>
      <c r="AA38" s="93">
        <f t="shared" si="13"/>
        <v>0.20367253556169082</v>
      </c>
      <c r="AB38" s="93">
        <f t="shared" si="13"/>
        <v>0.2335912087152521</v>
      </c>
      <c r="AC38" s="93">
        <f t="shared" si="13"/>
        <v>1.0433331298562462E-2</v>
      </c>
      <c r="AD38" s="93">
        <f t="shared" si="13"/>
        <v>0.17476277588298106</v>
      </c>
      <c r="AE38" s="93">
        <f t="shared" si="13"/>
        <v>0.41162066129003777</v>
      </c>
      <c r="AF38" s="93">
        <f t="shared" si="13"/>
        <v>0.48987502058638538</v>
      </c>
      <c r="AG38" s="93">
        <f t="shared" si="13"/>
        <v>0.44008444472350688</v>
      </c>
      <c r="AH38" s="93">
        <f t="shared" si="13"/>
        <v>0.47315600450163936</v>
      </c>
      <c r="AI38" s="93">
        <f t="shared" ref="AI38:BB38" si="14">IFERROR(AI2/$B38,".")</f>
        <v>0.21328758570565048</v>
      </c>
      <c r="AJ38" s="93">
        <f t="shared" si="14"/>
        <v>0.65028994144345542</v>
      </c>
      <c r="AK38" s="93">
        <f t="shared" si="14"/>
        <v>5.0664263946036389E-2</v>
      </c>
      <c r="AL38" s="93">
        <f t="shared" si="14"/>
        <v>0.19811919651759349</v>
      </c>
      <c r="AM38" s="93">
        <f t="shared" si="14"/>
        <v>0.30064820037616891</v>
      </c>
      <c r="AN38" s="93">
        <f t="shared" si="14"/>
        <v>0.46569415298765671</v>
      </c>
      <c r="AO38" s="93">
        <f t="shared" si="14"/>
        <v>0.45974881271909251</v>
      </c>
      <c r="AP38" s="93">
        <f t="shared" si="14"/>
        <v>0.54182873836600576</v>
      </c>
      <c r="AQ38" s="93">
        <f t="shared" si="14"/>
        <v>0.60685709496398088</v>
      </c>
      <c r="AR38" s="93">
        <f t="shared" si="14"/>
        <v>0.14423712324010801</v>
      </c>
      <c r="AS38" s="93">
        <f t="shared" si="14"/>
        <v>0.23522117445393748</v>
      </c>
      <c r="AT38" s="93">
        <f t="shared" si="14"/>
        <v>0.49347704279657939</v>
      </c>
      <c r="AU38" s="93">
        <f t="shared" si="14"/>
        <v>0.68914040235582985</v>
      </c>
      <c r="AV38" s="93">
        <f t="shared" si="14"/>
        <v>0.11499986852927528</v>
      </c>
      <c r="AW38" s="93">
        <f t="shared" si="14"/>
        <v>0.25832968455032201</v>
      </c>
      <c r="AX38" s="93">
        <f t="shared" si="14"/>
        <v>0.29162222240714308</v>
      </c>
      <c r="AY38" s="93">
        <f t="shared" si="14"/>
        <v>0.3821621100161422</v>
      </c>
      <c r="AZ38" s="93">
        <f t="shared" si="14"/>
        <v>0.1712261755824383</v>
      </c>
      <c r="BA38" s="93">
        <f t="shared" si="14"/>
        <v>0.16135547915932086</v>
      </c>
      <c r="BB38" s="93">
        <f t="shared" si="14"/>
        <v>0.18620131307741541</v>
      </c>
    </row>
    <row r="39" spans="1:54" x14ac:dyDescent="0.25">
      <c r="A39" s="182" t="s">
        <v>1067</v>
      </c>
      <c r="B39" s="183">
        <v>1</v>
      </c>
      <c r="C39" s="93" t="str">
        <f t="shared" ref="C39:AH39" si="15">IFERROR(C11/$B39,".")</f>
        <v>.</v>
      </c>
      <c r="D39" s="93" t="str">
        <f t="shared" si="15"/>
        <v>.</v>
      </c>
      <c r="E39" s="93" t="str">
        <f t="shared" si="15"/>
        <v>.</v>
      </c>
      <c r="F39" s="93" t="str">
        <f t="shared" si="15"/>
        <v>.</v>
      </c>
      <c r="G39" s="93" t="str">
        <f t="shared" si="15"/>
        <v>.</v>
      </c>
      <c r="H39" s="93" t="str">
        <f t="shared" si="15"/>
        <v>.</v>
      </c>
      <c r="I39" s="93" t="str">
        <f t="shared" si="15"/>
        <v>.</v>
      </c>
      <c r="J39" s="93" t="str">
        <f t="shared" si="15"/>
        <v>.</v>
      </c>
      <c r="K39" s="93" t="str">
        <f t="shared" si="15"/>
        <v>.</v>
      </c>
      <c r="L39" s="93" t="str">
        <f t="shared" si="15"/>
        <v>.</v>
      </c>
      <c r="M39" s="93" t="str">
        <f t="shared" si="15"/>
        <v>.</v>
      </c>
      <c r="N39" s="93" t="str">
        <f t="shared" si="15"/>
        <v>.</v>
      </c>
      <c r="O39" s="93" t="str">
        <f t="shared" si="15"/>
        <v>.</v>
      </c>
      <c r="P39" s="93" t="str">
        <f t="shared" si="15"/>
        <v>.</v>
      </c>
      <c r="Q39" s="93" t="str">
        <f t="shared" si="15"/>
        <v>.</v>
      </c>
      <c r="R39" s="93" t="str">
        <f t="shared" si="15"/>
        <v>.</v>
      </c>
      <c r="S39" s="93" t="str">
        <f t="shared" si="15"/>
        <v>.</v>
      </c>
      <c r="T39" s="93" t="str">
        <f t="shared" si="15"/>
        <v>.</v>
      </c>
      <c r="U39" s="93" t="str">
        <f t="shared" si="15"/>
        <v>.</v>
      </c>
      <c r="V39" s="93" t="str">
        <f t="shared" si="15"/>
        <v>.</v>
      </c>
      <c r="W39" s="93" t="str">
        <f t="shared" si="15"/>
        <v>.</v>
      </c>
      <c r="X39" s="93" t="str">
        <f t="shared" si="15"/>
        <v>.</v>
      </c>
      <c r="Y39" s="93" t="str">
        <f t="shared" si="15"/>
        <v>.</v>
      </c>
      <c r="Z39" s="93" t="str">
        <f t="shared" si="15"/>
        <v>.</v>
      </c>
      <c r="AA39" s="93" t="str">
        <f t="shared" si="15"/>
        <v>.</v>
      </c>
      <c r="AB39" s="93" t="str">
        <f t="shared" si="15"/>
        <v>.</v>
      </c>
      <c r="AC39" s="93" t="str">
        <f t="shared" si="15"/>
        <v>.</v>
      </c>
      <c r="AD39" s="93" t="str">
        <f t="shared" si="15"/>
        <v>.</v>
      </c>
      <c r="AE39" s="93" t="str">
        <f t="shared" si="15"/>
        <v>.</v>
      </c>
      <c r="AF39" s="93" t="str">
        <f t="shared" si="15"/>
        <v>.</v>
      </c>
      <c r="AG39" s="93" t="str">
        <f t="shared" si="15"/>
        <v>.</v>
      </c>
      <c r="AH39" s="93" t="str">
        <f t="shared" si="15"/>
        <v>.</v>
      </c>
      <c r="AI39" s="93" t="str">
        <f t="shared" ref="AI39:BB39" si="16">IFERROR(AI11/$B39,".")</f>
        <v>.</v>
      </c>
      <c r="AJ39" s="93" t="str">
        <f t="shared" si="16"/>
        <v>.</v>
      </c>
      <c r="AK39" s="93" t="str">
        <f t="shared" si="16"/>
        <v>.</v>
      </c>
      <c r="AL39" s="93" t="str">
        <f t="shared" si="16"/>
        <v>.</v>
      </c>
      <c r="AM39" s="93" t="str">
        <f t="shared" si="16"/>
        <v>.</v>
      </c>
      <c r="AN39" s="93" t="str">
        <f t="shared" si="16"/>
        <v>.</v>
      </c>
      <c r="AO39" s="93" t="str">
        <f t="shared" si="16"/>
        <v>.</v>
      </c>
      <c r="AP39" s="93" t="str">
        <f t="shared" si="16"/>
        <v>.</v>
      </c>
      <c r="AQ39" s="93" t="str">
        <f t="shared" si="16"/>
        <v>.</v>
      </c>
      <c r="AR39" s="93" t="str">
        <f t="shared" si="16"/>
        <v>.</v>
      </c>
      <c r="AS39" s="93" t="str">
        <f t="shared" si="16"/>
        <v>.</v>
      </c>
      <c r="AT39" s="93" t="str">
        <f t="shared" si="16"/>
        <v>.</v>
      </c>
      <c r="AU39" s="93" t="str">
        <f t="shared" si="16"/>
        <v>.</v>
      </c>
      <c r="AV39" s="93" t="str">
        <f t="shared" si="16"/>
        <v>.</v>
      </c>
      <c r="AW39" s="93" t="str">
        <f t="shared" si="16"/>
        <v>.</v>
      </c>
      <c r="AX39" s="93" t="str">
        <f t="shared" si="16"/>
        <v>.</v>
      </c>
      <c r="AY39" s="93" t="str">
        <f t="shared" si="16"/>
        <v>.</v>
      </c>
      <c r="AZ39" s="93" t="str">
        <f t="shared" si="16"/>
        <v>.</v>
      </c>
      <c r="BA39" s="93" t="str">
        <f t="shared" si="16"/>
        <v>.</v>
      </c>
      <c r="BB39" s="93" t="str">
        <f t="shared" si="16"/>
        <v>.</v>
      </c>
    </row>
    <row r="40" spans="1:54" x14ac:dyDescent="0.25">
      <c r="A40" s="182" t="s">
        <v>1068</v>
      </c>
      <c r="B40" s="183">
        <v>1</v>
      </c>
      <c r="C40" s="93" t="str">
        <f t="shared" ref="C40:AH40" si="17">IFERROR(C4/$B40,".")</f>
        <v>.</v>
      </c>
      <c r="D40" s="93" t="str">
        <f t="shared" si="17"/>
        <v>.</v>
      </c>
      <c r="E40" s="93" t="str">
        <f t="shared" si="17"/>
        <v>.</v>
      </c>
      <c r="F40" s="93" t="str">
        <f t="shared" si="17"/>
        <v>.</v>
      </c>
      <c r="G40" s="93" t="str">
        <f t="shared" si="17"/>
        <v>.</v>
      </c>
      <c r="H40" s="93" t="str">
        <f t="shared" si="17"/>
        <v>.</v>
      </c>
      <c r="I40" s="93" t="str">
        <f t="shared" si="17"/>
        <v>.</v>
      </c>
      <c r="J40" s="93" t="str">
        <f t="shared" si="17"/>
        <v>.</v>
      </c>
      <c r="K40" s="93" t="str">
        <f t="shared" si="17"/>
        <v>.</v>
      </c>
      <c r="L40" s="93" t="str">
        <f t="shared" si="17"/>
        <v>.</v>
      </c>
      <c r="M40" s="93" t="str">
        <f t="shared" si="17"/>
        <v>.</v>
      </c>
      <c r="N40" s="93" t="str">
        <f t="shared" si="17"/>
        <v>.</v>
      </c>
      <c r="O40" s="93" t="str">
        <f t="shared" si="17"/>
        <v>.</v>
      </c>
      <c r="P40" s="93" t="str">
        <f t="shared" si="17"/>
        <v>.</v>
      </c>
      <c r="Q40" s="93" t="str">
        <f t="shared" si="17"/>
        <v>.</v>
      </c>
      <c r="R40" s="93" t="str">
        <f t="shared" si="17"/>
        <v>.</v>
      </c>
      <c r="S40" s="93" t="str">
        <f t="shared" si="17"/>
        <v>.</v>
      </c>
      <c r="T40" s="93" t="str">
        <f t="shared" si="17"/>
        <v>.</v>
      </c>
      <c r="U40" s="93" t="str">
        <f t="shared" si="17"/>
        <v>.</v>
      </c>
      <c r="V40" s="93" t="str">
        <f t="shared" si="17"/>
        <v>.</v>
      </c>
      <c r="W40" s="93" t="str">
        <f t="shared" si="17"/>
        <v>.</v>
      </c>
      <c r="X40" s="93" t="str">
        <f t="shared" si="17"/>
        <v>.</v>
      </c>
      <c r="Y40" s="93" t="str">
        <f t="shared" si="17"/>
        <v>.</v>
      </c>
      <c r="Z40" s="93" t="str">
        <f t="shared" si="17"/>
        <v>.</v>
      </c>
      <c r="AA40" s="93" t="str">
        <f t="shared" si="17"/>
        <v>.</v>
      </c>
      <c r="AB40" s="93" t="str">
        <f t="shared" si="17"/>
        <v>.</v>
      </c>
      <c r="AC40" s="93" t="str">
        <f t="shared" si="17"/>
        <v>.</v>
      </c>
      <c r="AD40" s="93" t="str">
        <f t="shared" si="17"/>
        <v>.</v>
      </c>
      <c r="AE40" s="93" t="str">
        <f t="shared" si="17"/>
        <v>.</v>
      </c>
      <c r="AF40" s="93" t="str">
        <f t="shared" si="17"/>
        <v>.</v>
      </c>
      <c r="AG40" s="93" t="str">
        <f t="shared" si="17"/>
        <v>.</v>
      </c>
      <c r="AH40" s="93" t="str">
        <f t="shared" si="17"/>
        <v>.</v>
      </c>
      <c r="AI40" s="93" t="str">
        <f t="shared" ref="AI40:BB40" si="18">IFERROR(AI4/$B40,".")</f>
        <v>.</v>
      </c>
      <c r="AJ40" s="93" t="str">
        <f t="shared" si="18"/>
        <v>.</v>
      </c>
      <c r="AK40" s="93" t="str">
        <f t="shared" si="18"/>
        <v>.</v>
      </c>
      <c r="AL40" s="93" t="str">
        <f t="shared" si="18"/>
        <v>.</v>
      </c>
      <c r="AM40" s="93" t="str">
        <f t="shared" si="18"/>
        <v>.</v>
      </c>
      <c r="AN40" s="93" t="str">
        <f t="shared" si="18"/>
        <v>.</v>
      </c>
      <c r="AO40" s="93" t="str">
        <f t="shared" si="18"/>
        <v>.</v>
      </c>
      <c r="AP40" s="93" t="str">
        <f t="shared" si="18"/>
        <v>.</v>
      </c>
      <c r="AQ40" s="93" t="str">
        <f t="shared" si="18"/>
        <v>.</v>
      </c>
      <c r="AR40" s="93" t="str">
        <f t="shared" si="18"/>
        <v>.</v>
      </c>
      <c r="AS40" s="93" t="str">
        <f t="shared" si="18"/>
        <v>.</v>
      </c>
      <c r="AT40" s="93" t="str">
        <f t="shared" si="18"/>
        <v>.</v>
      </c>
      <c r="AU40" s="93" t="str">
        <f t="shared" si="18"/>
        <v>.</v>
      </c>
      <c r="AV40" s="93" t="str">
        <f t="shared" si="18"/>
        <v>.</v>
      </c>
      <c r="AW40" s="93" t="str">
        <f t="shared" si="18"/>
        <v>.</v>
      </c>
      <c r="AX40" s="93" t="str">
        <f t="shared" si="18"/>
        <v>.</v>
      </c>
      <c r="AY40" s="93" t="str">
        <f t="shared" si="18"/>
        <v>.</v>
      </c>
      <c r="AZ40" s="93" t="str">
        <f t="shared" si="18"/>
        <v>.</v>
      </c>
      <c r="BA40" s="93" t="str">
        <f t="shared" si="18"/>
        <v>.</v>
      </c>
      <c r="BB40" s="93" t="str">
        <f t="shared" si="18"/>
        <v>.</v>
      </c>
    </row>
    <row r="41" spans="1:54" x14ac:dyDescent="0.25">
      <c r="A41" s="182" t="s">
        <v>1069</v>
      </c>
      <c r="B41" s="184">
        <v>0.99987999999999999</v>
      </c>
      <c r="C41" s="93">
        <f t="shared" ref="C41:AH41" si="19">IFERROR(C8/$B41,".")</f>
        <v>2.1640709067798607</v>
      </c>
      <c r="D41" s="93">
        <f t="shared" si="19"/>
        <v>39.226440085000746</v>
      </c>
      <c r="E41" s="93">
        <f t="shared" si="19"/>
        <v>85.728921519736133</v>
      </c>
      <c r="F41" s="93">
        <f t="shared" si="19"/>
        <v>103.40505124029033</v>
      </c>
      <c r="G41" s="93">
        <f t="shared" si="19"/>
        <v>88.206059625479341</v>
      </c>
      <c r="H41" s="93">
        <f t="shared" si="19"/>
        <v>108.65698759339431</v>
      </c>
      <c r="I41" s="93">
        <f t="shared" si="19"/>
        <v>42.228161485974859</v>
      </c>
      <c r="J41" s="93">
        <f t="shared" si="19"/>
        <v>119.06834013570821</v>
      </c>
      <c r="K41" s="93">
        <f t="shared" si="19"/>
        <v>10.168823219169719</v>
      </c>
      <c r="L41" s="93">
        <f t="shared" si="19"/>
        <v>55.74950605464133</v>
      </c>
      <c r="M41" s="93">
        <f t="shared" si="19"/>
        <v>41.760020403507092</v>
      </c>
      <c r="N41" s="93">
        <f t="shared" si="19"/>
        <v>99.228400122737156</v>
      </c>
      <c r="O41" s="93">
        <f t="shared" si="19"/>
        <v>92.471583864339451</v>
      </c>
      <c r="P41" s="93">
        <f t="shared" si="19"/>
        <v>112.69816065562807</v>
      </c>
      <c r="Q41" s="93">
        <f t="shared" si="19"/>
        <v>160.88052523249277</v>
      </c>
      <c r="R41" s="93">
        <f t="shared" si="19"/>
        <v>25.181910848642552</v>
      </c>
      <c r="S41" s="93">
        <f t="shared" si="19"/>
        <v>51.386293763519504</v>
      </c>
      <c r="T41" s="93">
        <f t="shared" si="19"/>
        <v>89.638296875837085</v>
      </c>
      <c r="U41" s="93">
        <f t="shared" si="19"/>
        <v>179.388195216908</v>
      </c>
      <c r="V41" s="93">
        <f t="shared" si="19"/>
        <v>26.368595580037614</v>
      </c>
      <c r="W41" s="93">
        <f t="shared" si="19"/>
        <v>53.59193557799577</v>
      </c>
      <c r="X41" s="93">
        <f t="shared" si="19"/>
        <v>60.116657306027122</v>
      </c>
      <c r="Y41" s="93">
        <f t="shared" si="19"/>
        <v>76.667251123111981</v>
      </c>
      <c r="Z41" s="93">
        <f t="shared" si="19"/>
        <v>41.192331974847562</v>
      </c>
      <c r="AA41" s="93">
        <f t="shared" si="19"/>
        <v>39.751313478051813</v>
      </c>
      <c r="AB41" s="93">
        <f t="shared" si="19"/>
        <v>45.59062093349592</v>
      </c>
      <c r="AC41" s="93">
        <f t="shared" si="19"/>
        <v>2.0363011729870903</v>
      </c>
      <c r="AD41" s="93">
        <f t="shared" si="19"/>
        <v>34.108918363785406</v>
      </c>
      <c r="AE41" s="93">
        <f t="shared" si="19"/>
        <v>80.337105323791761</v>
      </c>
      <c r="AF41" s="93">
        <f t="shared" si="19"/>
        <v>95.610217915209375</v>
      </c>
      <c r="AG41" s="93">
        <f t="shared" si="19"/>
        <v>85.892458061532352</v>
      </c>
      <c r="AH41" s="93">
        <f t="shared" si="19"/>
        <v>92.34712283173883</v>
      </c>
      <c r="AI41" s="93">
        <f t="shared" ref="AI41:BB41" si="20">IFERROR(AI8/$B41,".")</f>
        <v>41.627908529641175</v>
      </c>
      <c r="AJ41" s="93">
        <f t="shared" si="20"/>
        <v>126.91882704093416</v>
      </c>
      <c r="AK41" s="93">
        <f t="shared" si="20"/>
        <v>9.8882798935040235</v>
      </c>
      <c r="AL41" s="93">
        <f t="shared" si="20"/>
        <v>38.667453444675083</v>
      </c>
      <c r="AM41" s="93">
        <f t="shared" si="20"/>
        <v>58.678313336681136</v>
      </c>
      <c r="AN41" s="93">
        <f t="shared" si="20"/>
        <v>90.890773315389069</v>
      </c>
      <c r="AO41" s="93">
        <f t="shared" si="20"/>
        <v>89.73040535464456</v>
      </c>
      <c r="AP41" s="93">
        <f t="shared" si="20"/>
        <v>105.75016396199671</v>
      </c>
      <c r="AQ41" s="93">
        <f t="shared" si="20"/>
        <v>118.44192223445994</v>
      </c>
      <c r="AR41" s="93">
        <f t="shared" si="20"/>
        <v>28.15114509807464</v>
      </c>
      <c r="AS41" s="93">
        <f t="shared" si="20"/>
        <v>45.908745705980721</v>
      </c>
      <c r="AT41" s="93">
        <f t="shared" si="20"/>
        <v>96.313234223409438</v>
      </c>
      <c r="AU41" s="93">
        <f t="shared" si="20"/>
        <v>134.50137540090597</v>
      </c>
      <c r="AV41" s="93">
        <f t="shared" si="20"/>
        <v>22.444831902518967</v>
      </c>
      <c r="AW41" s="93">
        <f t="shared" si="20"/>
        <v>50.418895424099567</v>
      </c>
      <c r="AX41" s="93">
        <f t="shared" si="20"/>
        <v>56.91668907691902</v>
      </c>
      <c r="AY41" s="93">
        <f t="shared" si="20"/>
        <v>74.587601086176022</v>
      </c>
      <c r="AZ41" s="93">
        <f t="shared" si="20"/>
        <v>33.418670624659754</v>
      </c>
      <c r="BA41" s="93">
        <f t="shared" si="20"/>
        <v>31.492180405053389</v>
      </c>
      <c r="BB41" s="93">
        <f t="shared" si="20"/>
        <v>36.341408259845011</v>
      </c>
    </row>
    <row r="42" spans="1:54" x14ac:dyDescent="0.25">
      <c r="A42" s="182" t="s">
        <v>1070</v>
      </c>
      <c r="B42" s="183">
        <v>0.97898250799999997</v>
      </c>
      <c r="C42" s="93" t="str">
        <f t="shared" ref="C42:AH42" si="21">IFERROR(C19/$B42,".")</f>
        <v>.</v>
      </c>
      <c r="D42" s="93" t="str">
        <f t="shared" si="21"/>
        <v>.</v>
      </c>
      <c r="E42" s="93" t="str">
        <f t="shared" si="21"/>
        <v>.</v>
      </c>
      <c r="F42" s="93" t="str">
        <f t="shared" si="21"/>
        <v>.</v>
      </c>
      <c r="G42" s="93" t="str">
        <f t="shared" si="21"/>
        <v>.</v>
      </c>
      <c r="H42" s="93" t="str">
        <f t="shared" si="21"/>
        <v>.</v>
      </c>
      <c r="I42" s="93" t="str">
        <f t="shared" si="21"/>
        <v>.</v>
      </c>
      <c r="J42" s="93" t="str">
        <f t="shared" si="21"/>
        <v>.</v>
      </c>
      <c r="K42" s="93" t="str">
        <f t="shared" si="21"/>
        <v>.</v>
      </c>
      <c r="L42" s="93" t="str">
        <f t="shared" si="21"/>
        <v>.</v>
      </c>
      <c r="M42" s="93" t="str">
        <f t="shared" si="21"/>
        <v>.</v>
      </c>
      <c r="N42" s="93" t="str">
        <f t="shared" si="21"/>
        <v>.</v>
      </c>
      <c r="O42" s="93" t="str">
        <f t="shared" si="21"/>
        <v>.</v>
      </c>
      <c r="P42" s="93" t="str">
        <f t="shared" si="21"/>
        <v>.</v>
      </c>
      <c r="Q42" s="93" t="str">
        <f t="shared" si="21"/>
        <v>.</v>
      </c>
      <c r="R42" s="93" t="str">
        <f t="shared" si="21"/>
        <v>.</v>
      </c>
      <c r="S42" s="93" t="str">
        <f t="shared" si="21"/>
        <v>.</v>
      </c>
      <c r="T42" s="93" t="str">
        <f t="shared" si="21"/>
        <v>.</v>
      </c>
      <c r="U42" s="93" t="str">
        <f t="shared" si="21"/>
        <v>.</v>
      </c>
      <c r="V42" s="93" t="str">
        <f t="shared" si="21"/>
        <v>.</v>
      </c>
      <c r="W42" s="93" t="str">
        <f t="shared" si="21"/>
        <v>.</v>
      </c>
      <c r="X42" s="93" t="str">
        <f t="shared" si="21"/>
        <v>.</v>
      </c>
      <c r="Y42" s="93" t="str">
        <f t="shared" si="21"/>
        <v>.</v>
      </c>
      <c r="Z42" s="93" t="str">
        <f t="shared" si="21"/>
        <v>.</v>
      </c>
      <c r="AA42" s="93" t="str">
        <f t="shared" si="21"/>
        <v>.</v>
      </c>
      <c r="AB42" s="93" t="str">
        <f t="shared" si="21"/>
        <v>.</v>
      </c>
      <c r="AC42" s="93" t="str">
        <f t="shared" si="21"/>
        <v>.</v>
      </c>
      <c r="AD42" s="93" t="str">
        <f t="shared" si="21"/>
        <v>.</v>
      </c>
      <c r="AE42" s="93" t="str">
        <f t="shared" si="21"/>
        <v>.</v>
      </c>
      <c r="AF42" s="93" t="str">
        <f t="shared" si="21"/>
        <v>.</v>
      </c>
      <c r="AG42" s="93" t="str">
        <f t="shared" si="21"/>
        <v>.</v>
      </c>
      <c r="AH42" s="93" t="str">
        <f t="shared" si="21"/>
        <v>.</v>
      </c>
      <c r="AI42" s="93" t="str">
        <f t="shared" ref="AI42:BB42" si="22">IFERROR(AI19/$B42,".")</f>
        <v>.</v>
      </c>
      <c r="AJ42" s="93" t="str">
        <f t="shared" si="22"/>
        <v>.</v>
      </c>
      <c r="AK42" s="93" t="str">
        <f t="shared" si="22"/>
        <v>.</v>
      </c>
      <c r="AL42" s="93" t="str">
        <f t="shared" si="22"/>
        <v>.</v>
      </c>
      <c r="AM42" s="93" t="str">
        <f t="shared" si="22"/>
        <v>.</v>
      </c>
      <c r="AN42" s="93" t="str">
        <f t="shared" si="22"/>
        <v>.</v>
      </c>
      <c r="AO42" s="93" t="str">
        <f t="shared" si="22"/>
        <v>.</v>
      </c>
      <c r="AP42" s="93" t="str">
        <f t="shared" si="22"/>
        <v>.</v>
      </c>
      <c r="AQ42" s="93" t="str">
        <f t="shared" si="22"/>
        <v>.</v>
      </c>
      <c r="AR42" s="93" t="str">
        <f t="shared" si="22"/>
        <v>.</v>
      </c>
      <c r="AS42" s="93" t="str">
        <f t="shared" si="22"/>
        <v>.</v>
      </c>
      <c r="AT42" s="93" t="str">
        <f t="shared" si="22"/>
        <v>.</v>
      </c>
      <c r="AU42" s="93" t="str">
        <f t="shared" si="22"/>
        <v>.</v>
      </c>
      <c r="AV42" s="93" t="str">
        <f t="shared" si="22"/>
        <v>.</v>
      </c>
      <c r="AW42" s="93" t="str">
        <f t="shared" si="22"/>
        <v>.</v>
      </c>
      <c r="AX42" s="93" t="str">
        <f t="shared" si="22"/>
        <v>.</v>
      </c>
      <c r="AY42" s="93" t="str">
        <f t="shared" si="22"/>
        <v>.</v>
      </c>
      <c r="AZ42" s="93" t="str">
        <f t="shared" si="22"/>
        <v>.</v>
      </c>
      <c r="BA42" s="93" t="str">
        <f t="shared" si="22"/>
        <v>.</v>
      </c>
      <c r="BB42" s="93" t="str">
        <f t="shared" si="22"/>
        <v>.</v>
      </c>
    </row>
    <row r="43" spans="1:54" x14ac:dyDescent="0.25">
      <c r="A43" s="182" t="s">
        <v>1071</v>
      </c>
      <c r="B43" s="183">
        <v>2.0897492E-2</v>
      </c>
      <c r="C43" s="93" t="str">
        <f t="shared" ref="C43:AH43" si="23">IFERROR(C28/$B43,".")</f>
        <v>.</v>
      </c>
      <c r="D43" s="93" t="str">
        <f t="shared" si="23"/>
        <v>.</v>
      </c>
      <c r="E43" s="93" t="str">
        <f t="shared" si="23"/>
        <v>.</v>
      </c>
      <c r="F43" s="93" t="str">
        <f t="shared" si="23"/>
        <v>.</v>
      </c>
      <c r="G43" s="93" t="str">
        <f t="shared" si="23"/>
        <v>.</v>
      </c>
      <c r="H43" s="93" t="str">
        <f t="shared" si="23"/>
        <v>.</v>
      </c>
      <c r="I43" s="93" t="str">
        <f t="shared" si="23"/>
        <v>.</v>
      </c>
      <c r="J43" s="93" t="str">
        <f t="shared" si="23"/>
        <v>.</v>
      </c>
      <c r="K43" s="93" t="str">
        <f t="shared" si="23"/>
        <v>.</v>
      </c>
      <c r="L43" s="93" t="str">
        <f t="shared" si="23"/>
        <v>.</v>
      </c>
      <c r="M43" s="93" t="str">
        <f t="shared" si="23"/>
        <v>.</v>
      </c>
      <c r="N43" s="93" t="str">
        <f t="shared" si="23"/>
        <v>.</v>
      </c>
      <c r="O43" s="93" t="str">
        <f t="shared" si="23"/>
        <v>.</v>
      </c>
      <c r="P43" s="93" t="str">
        <f t="shared" si="23"/>
        <v>.</v>
      </c>
      <c r="Q43" s="93" t="str">
        <f t="shared" si="23"/>
        <v>.</v>
      </c>
      <c r="R43" s="93" t="str">
        <f t="shared" si="23"/>
        <v>.</v>
      </c>
      <c r="S43" s="93" t="str">
        <f t="shared" si="23"/>
        <v>.</v>
      </c>
      <c r="T43" s="93" t="str">
        <f t="shared" si="23"/>
        <v>.</v>
      </c>
      <c r="U43" s="93" t="str">
        <f t="shared" si="23"/>
        <v>.</v>
      </c>
      <c r="V43" s="93" t="str">
        <f t="shared" si="23"/>
        <v>.</v>
      </c>
      <c r="W43" s="93" t="str">
        <f t="shared" si="23"/>
        <v>.</v>
      </c>
      <c r="X43" s="93" t="str">
        <f t="shared" si="23"/>
        <v>.</v>
      </c>
      <c r="Y43" s="93" t="str">
        <f t="shared" si="23"/>
        <v>.</v>
      </c>
      <c r="Z43" s="93" t="str">
        <f t="shared" si="23"/>
        <v>.</v>
      </c>
      <c r="AA43" s="93" t="str">
        <f t="shared" si="23"/>
        <v>.</v>
      </c>
      <c r="AB43" s="93" t="str">
        <f t="shared" si="23"/>
        <v>.</v>
      </c>
      <c r="AC43" s="93" t="str">
        <f t="shared" si="23"/>
        <v>.</v>
      </c>
      <c r="AD43" s="93" t="str">
        <f t="shared" si="23"/>
        <v>.</v>
      </c>
      <c r="AE43" s="93" t="str">
        <f t="shared" si="23"/>
        <v>.</v>
      </c>
      <c r="AF43" s="93" t="str">
        <f t="shared" si="23"/>
        <v>.</v>
      </c>
      <c r="AG43" s="93" t="str">
        <f t="shared" si="23"/>
        <v>.</v>
      </c>
      <c r="AH43" s="93" t="str">
        <f t="shared" si="23"/>
        <v>.</v>
      </c>
      <c r="AI43" s="93" t="str">
        <f t="shared" ref="AI43:BB43" si="24">IFERROR(AI28/$B43,".")</f>
        <v>.</v>
      </c>
      <c r="AJ43" s="93" t="str">
        <f t="shared" si="24"/>
        <v>.</v>
      </c>
      <c r="AK43" s="93" t="str">
        <f t="shared" si="24"/>
        <v>.</v>
      </c>
      <c r="AL43" s="93" t="str">
        <f t="shared" si="24"/>
        <v>.</v>
      </c>
      <c r="AM43" s="93" t="str">
        <f t="shared" si="24"/>
        <v>.</v>
      </c>
      <c r="AN43" s="93" t="str">
        <f t="shared" si="24"/>
        <v>.</v>
      </c>
      <c r="AO43" s="93" t="str">
        <f t="shared" si="24"/>
        <v>.</v>
      </c>
      <c r="AP43" s="93" t="str">
        <f t="shared" si="24"/>
        <v>.</v>
      </c>
      <c r="AQ43" s="93" t="str">
        <f t="shared" si="24"/>
        <v>.</v>
      </c>
      <c r="AR43" s="93" t="str">
        <f t="shared" si="24"/>
        <v>.</v>
      </c>
      <c r="AS43" s="93" t="str">
        <f t="shared" si="24"/>
        <v>.</v>
      </c>
      <c r="AT43" s="93" t="str">
        <f t="shared" si="24"/>
        <v>.</v>
      </c>
      <c r="AU43" s="93" t="str">
        <f t="shared" si="24"/>
        <v>.</v>
      </c>
      <c r="AV43" s="93" t="str">
        <f t="shared" si="24"/>
        <v>.</v>
      </c>
      <c r="AW43" s="93" t="str">
        <f t="shared" si="24"/>
        <v>.</v>
      </c>
      <c r="AX43" s="93" t="str">
        <f t="shared" si="24"/>
        <v>.</v>
      </c>
      <c r="AY43" s="93" t="str">
        <f t="shared" si="24"/>
        <v>.</v>
      </c>
      <c r="AZ43" s="93" t="str">
        <f t="shared" si="24"/>
        <v>.</v>
      </c>
      <c r="BA43" s="93" t="str">
        <f t="shared" si="24"/>
        <v>.</v>
      </c>
      <c r="BB43" s="93" t="str">
        <f t="shared" si="24"/>
        <v>.</v>
      </c>
    </row>
    <row r="44" spans="1:54" x14ac:dyDescent="0.25">
      <c r="A44" s="182" t="s">
        <v>1072</v>
      </c>
      <c r="B44" s="183">
        <v>0.99987999999999999</v>
      </c>
      <c r="C44" s="93">
        <f t="shared" ref="C44:AH44" si="25">IFERROR(C15/$B44,".")</f>
        <v>7.764002717764428</v>
      </c>
      <c r="D44" s="93">
        <f t="shared" si="25"/>
        <v>140.73207420053816</v>
      </c>
      <c r="E44" s="93">
        <f t="shared" si="25"/>
        <v>307.5682860413558</v>
      </c>
      <c r="F44" s="93">
        <f t="shared" si="25"/>
        <v>370.98465505217945</v>
      </c>
      <c r="G44" s="93">
        <f t="shared" si="25"/>
        <v>316.45547496155905</v>
      </c>
      <c r="H44" s="93">
        <f t="shared" si="25"/>
        <v>389.82694344082563</v>
      </c>
      <c r="I44" s="93">
        <f t="shared" si="25"/>
        <v>151.50130225222574</v>
      </c>
      <c r="J44" s="93">
        <f t="shared" si="25"/>
        <v>427.17958709999732</v>
      </c>
      <c r="K44" s="93">
        <f t="shared" si="25"/>
        <v>36.482525070113574</v>
      </c>
      <c r="L44" s="93">
        <f t="shared" si="25"/>
        <v>200.0116147609622</v>
      </c>
      <c r="M44" s="93">
        <f t="shared" si="25"/>
        <v>149.82175994832531</v>
      </c>
      <c r="N44" s="93">
        <f t="shared" si="25"/>
        <v>356.00015037340768</v>
      </c>
      <c r="O44" s="93">
        <f t="shared" si="25"/>
        <v>331.75882832186039</v>
      </c>
      <c r="P44" s="93">
        <f t="shared" si="25"/>
        <v>404.325395658746</v>
      </c>
      <c r="Q44" s="93">
        <f t="shared" si="25"/>
        <v>577.18849748739035</v>
      </c>
      <c r="R44" s="93">
        <f t="shared" si="25"/>
        <v>90.344740394058945</v>
      </c>
      <c r="S44" s="93">
        <f t="shared" si="25"/>
        <v>184.3577875317701</v>
      </c>
      <c r="T44" s="93">
        <f t="shared" si="25"/>
        <v>321.59388972857209</v>
      </c>
      <c r="U44" s="93">
        <f t="shared" si="25"/>
        <v>643.58817025610904</v>
      </c>
      <c r="V44" s="93">
        <f t="shared" si="25"/>
        <v>94.602190300536535</v>
      </c>
      <c r="W44" s="93">
        <f t="shared" si="25"/>
        <v>192.27093353283618</v>
      </c>
      <c r="X44" s="93">
        <f t="shared" si="25"/>
        <v>215.67957373514417</v>
      </c>
      <c r="Y44" s="93">
        <f t="shared" si="25"/>
        <v>275.05787551531478</v>
      </c>
      <c r="Z44" s="93">
        <f t="shared" si="25"/>
        <v>147.78507321632054</v>
      </c>
      <c r="AA44" s="93">
        <f t="shared" si="25"/>
        <v>142.61515411135053</v>
      </c>
      <c r="AB44" s="93">
        <f t="shared" si="25"/>
        <v>163.56474444681265</v>
      </c>
      <c r="AC44" s="93">
        <f t="shared" si="25"/>
        <v>7.3056052792575645</v>
      </c>
      <c r="AD44" s="93">
        <f t="shared" si="25"/>
        <v>122.37202304544162</v>
      </c>
      <c r="AE44" s="93">
        <f t="shared" si="25"/>
        <v>288.22415296889147</v>
      </c>
      <c r="AF44" s="93">
        <f t="shared" si="25"/>
        <v>343.01925570650752</v>
      </c>
      <c r="AG44" s="93">
        <f t="shared" si="25"/>
        <v>308.15500348715756</v>
      </c>
      <c r="AH44" s="93">
        <f t="shared" si="25"/>
        <v>331.3123014579117</v>
      </c>
      <c r="AI44" s="93">
        <f t="shared" ref="AI44:BB44" si="26">IFERROR(AI15/$B44,".")</f>
        <v>149.34778428304998</v>
      </c>
      <c r="AJ44" s="93">
        <f t="shared" si="26"/>
        <v>455.34465390857235</v>
      </c>
      <c r="AK44" s="93">
        <f t="shared" si="26"/>
        <v>35.47602424978686</v>
      </c>
      <c r="AL44" s="93">
        <f t="shared" si="26"/>
        <v>138.72660673591594</v>
      </c>
      <c r="AM44" s="93">
        <f t="shared" si="26"/>
        <v>210.51924998969938</v>
      </c>
      <c r="AN44" s="93">
        <f t="shared" si="26"/>
        <v>326.08737949831686</v>
      </c>
      <c r="AO44" s="93">
        <f t="shared" si="26"/>
        <v>321.92434585066593</v>
      </c>
      <c r="AP44" s="93">
        <f t="shared" si="26"/>
        <v>379.39817860528933</v>
      </c>
      <c r="AQ44" s="93">
        <f t="shared" si="26"/>
        <v>424.9321975747693</v>
      </c>
      <c r="AR44" s="93">
        <f t="shared" si="26"/>
        <v>100.99741480969215</v>
      </c>
      <c r="AS44" s="93">
        <f t="shared" si="26"/>
        <v>164.7060756252053</v>
      </c>
      <c r="AT44" s="93">
        <f t="shared" si="26"/>
        <v>345.54145611611415</v>
      </c>
      <c r="AU44" s="93">
        <f t="shared" si="26"/>
        <v>482.54844186670414</v>
      </c>
      <c r="AV44" s="93">
        <f t="shared" si="26"/>
        <v>80.524965861781567</v>
      </c>
      <c r="AW44" s="93">
        <f t="shared" si="26"/>
        <v>180.88706792046429</v>
      </c>
      <c r="AX44" s="93">
        <f t="shared" si="26"/>
        <v>204.19909869630919</v>
      </c>
      <c r="AY44" s="93">
        <f t="shared" si="26"/>
        <v>267.59674820743203</v>
      </c>
      <c r="AZ44" s="93">
        <f t="shared" si="26"/>
        <v>119.89563222769495</v>
      </c>
      <c r="BA44" s="93">
        <f t="shared" si="26"/>
        <v>112.98399395655029</v>
      </c>
      <c r="BB44" s="93">
        <f t="shared" si="26"/>
        <v>130.38149148110392</v>
      </c>
    </row>
    <row r="45" spans="1:54" x14ac:dyDescent="0.25">
      <c r="A45" s="89" t="s">
        <v>8</v>
      </c>
      <c r="B45" s="89" t="s">
        <v>1057</v>
      </c>
      <c r="C45" s="90">
        <f t="shared" ref="C45:AH45" si="27">IFERROR(1/SUM(IFERROR(1/SUMIF(C46,"&lt;&gt;.",C46),0),IFERROR(1/SUMIF(C47,"&lt;&gt;.",C47),0)),".")</f>
        <v>4.3601609511025617E-2</v>
      </c>
      <c r="D45" s="90">
        <f t="shared" si="27"/>
        <v>0.79033266319301254</v>
      </c>
      <c r="E45" s="90">
        <f t="shared" si="27"/>
        <v>1.7272627011408428</v>
      </c>
      <c r="F45" s="90">
        <f t="shared" si="27"/>
        <v>2.0834006184924752</v>
      </c>
      <c r="G45" s="90">
        <f t="shared" si="27"/>
        <v>1.777171975394805</v>
      </c>
      <c r="H45" s="90">
        <f t="shared" si="27"/>
        <v>2.1892164110006518</v>
      </c>
      <c r="I45" s="90">
        <f t="shared" si="27"/>
        <v>0.85081121959156958</v>
      </c>
      <c r="J45" s="90">
        <f t="shared" si="27"/>
        <v>2.3989839036504539</v>
      </c>
      <c r="K45" s="90">
        <f t="shared" si="27"/>
        <v>0.20488102205885383</v>
      </c>
      <c r="L45" s="90">
        <f t="shared" si="27"/>
        <v>1.1232387006412901</v>
      </c>
      <c r="M45" s="90">
        <f t="shared" si="27"/>
        <v>0.84137913277321241</v>
      </c>
      <c r="N45" s="90">
        <f t="shared" si="27"/>
        <v>1.9992496276350082</v>
      </c>
      <c r="O45" s="90">
        <f t="shared" si="27"/>
        <v>1.8631135781583383</v>
      </c>
      <c r="P45" s="90">
        <f t="shared" si="27"/>
        <v>2.270637795703883</v>
      </c>
      <c r="Q45" s="90">
        <f t="shared" si="27"/>
        <v>3.2414140484674125</v>
      </c>
      <c r="R45" s="90">
        <f t="shared" si="27"/>
        <v>0.50736407948746698</v>
      </c>
      <c r="S45" s="90">
        <f t="shared" si="27"/>
        <v>1.0353288831139693</v>
      </c>
      <c r="T45" s="90">
        <f t="shared" si="27"/>
        <v>1.8060286312102867</v>
      </c>
      <c r="U45" s="90">
        <f t="shared" si="27"/>
        <v>3.6143058040430951</v>
      </c>
      <c r="V45" s="90">
        <f t="shared" si="27"/>
        <v>0.53127335348994176</v>
      </c>
      <c r="W45" s="90">
        <f t="shared" si="27"/>
        <v>1.0797680615229082</v>
      </c>
      <c r="X45" s="90">
        <f t="shared" si="27"/>
        <v>1.2112278801741585</v>
      </c>
      <c r="Y45" s="90">
        <f t="shared" si="27"/>
        <v>1.5446885475336762</v>
      </c>
      <c r="Z45" s="90">
        <f t="shared" si="27"/>
        <v>0.82994137021525072</v>
      </c>
      <c r="AA45" s="90">
        <f t="shared" si="27"/>
        <v>0.80090779021627312</v>
      </c>
      <c r="AB45" s="90">
        <f t="shared" si="27"/>
        <v>0.91855791096298389</v>
      </c>
      <c r="AC45" s="90">
        <f t="shared" si="27"/>
        <v>4.1027310294347134E-2</v>
      </c>
      <c r="AD45" s="90">
        <f t="shared" si="27"/>
        <v>0.68722505102856468</v>
      </c>
      <c r="AE45" s="90">
        <f t="shared" si="27"/>
        <v>1.6186286154487952</v>
      </c>
      <c r="AF45" s="90">
        <f t="shared" si="27"/>
        <v>1.9263506448622527</v>
      </c>
      <c r="AG45" s="90">
        <f t="shared" si="27"/>
        <v>1.7305576284992037</v>
      </c>
      <c r="AH45" s="90">
        <f t="shared" si="27"/>
        <v>1.8606059425139654</v>
      </c>
      <c r="AI45" s="90">
        <f t="shared" ref="AI45:BB45" si="28">IFERROR(1/SUM(IFERROR(1/SUMIF(AI46,"&lt;&gt;.",AI46),0),IFERROR(1/SUMIF(AI47,"&lt;&gt;.",AI47),0)),".")</f>
        <v>0.83871734830116706</v>
      </c>
      <c r="AJ45" s="90">
        <f t="shared" si="28"/>
        <v>2.5571551832701296</v>
      </c>
      <c r="AK45" s="90">
        <f t="shared" si="28"/>
        <v>0.19922864694569198</v>
      </c>
      <c r="AL45" s="90">
        <f t="shared" si="28"/>
        <v>0.77907022390001057</v>
      </c>
      <c r="AM45" s="90">
        <f t="shared" si="28"/>
        <v>1.1822481864416268</v>
      </c>
      <c r="AN45" s="90">
        <f t="shared" si="28"/>
        <v>1.8312634737785298</v>
      </c>
      <c r="AO45" s="90">
        <f t="shared" si="28"/>
        <v>1.807884428963048</v>
      </c>
      <c r="AP45" s="90">
        <f t="shared" si="28"/>
        <v>2.1306498508678273</v>
      </c>
      <c r="AQ45" s="90">
        <f t="shared" si="28"/>
        <v>2.3863628621515942</v>
      </c>
      <c r="AR45" s="90">
        <f t="shared" si="28"/>
        <v>0.56718808612463523</v>
      </c>
      <c r="AS45" s="90">
        <f t="shared" si="28"/>
        <v>0.92496747548428049</v>
      </c>
      <c r="AT45" s="90">
        <f t="shared" si="28"/>
        <v>1.9405149878391805</v>
      </c>
      <c r="AU45" s="90">
        <f t="shared" si="28"/>
        <v>2.7099280483616472</v>
      </c>
      <c r="AV45" s="90">
        <f t="shared" si="28"/>
        <v>0.45221752812639837</v>
      </c>
      <c r="AW45" s="90">
        <f t="shared" si="28"/>
        <v>1.015837782103898</v>
      </c>
      <c r="AX45" s="90">
        <f t="shared" si="28"/>
        <v>1.1467550550295929</v>
      </c>
      <c r="AY45" s="90">
        <f t="shared" si="28"/>
        <v>1.5027878461537023</v>
      </c>
      <c r="AZ45" s="90">
        <f t="shared" si="28"/>
        <v>0.67331796864372362</v>
      </c>
      <c r="BA45" s="90">
        <f t="shared" si="28"/>
        <v>0.63450312481447224</v>
      </c>
      <c r="BB45" s="90">
        <f t="shared" si="28"/>
        <v>0.73220516345479902</v>
      </c>
    </row>
    <row r="46" spans="1:54" x14ac:dyDescent="0.25">
      <c r="A46" s="182" t="s">
        <v>1084</v>
      </c>
      <c r="B46" s="183">
        <v>1</v>
      </c>
      <c r="C46" s="93">
        <f t="shared" ref="C46:AH46" si="29">IFERROR(C10/$B46,".")</f>
        <v>4.3601609511025617E-2</v>
      </c>
      <c r="D46" s="93">
        <f t="shared" si="29"/>
        <v>0.79033266319301254</v>
      </c>
      <c r="E46" s="93">
        <f t="shared" si="29"/>
        <v>1.7272627011408428</v>
      </c>
      <c r="F46" s="93">
        <f t="shared" si="29"/>
        <v>2.0834006184924752</v>
      </c>
      <c r="G46" s="93">
        <f t="shared" si="29"/>
        <v>1.777171975394805</v>
      </c>
      <c r="H46" s="93">
        <f t="shared" si="29"/>
        <v>2.1892164110006518</v>
      </c>
      <c r="I46" s="93">
        <f t="shared" si="29"/>
        <v>0.85081121959156958</v>
      </c>
      <c r="J46" s="93">
        <f t="shared" si="29"/>
        <v>2.3989839036504539</v>
      </c>
      <c r="K46" s="93">
        <f t="shared" si="29"/>
        <v>0.20488102205885383</v>
      </c>
      <c r="L46" s="93">
        <f t="shared" si="29"/>
        <v>1.1232387006412901</v>
      </c>
      <c r="M46" s="93">
        <f t="shared" si="29"/>
        <v>0.84137913277321241</v>
      </c>
      <c r="N46" s="93">
        <f t="shared" si="29"/>
        <v>1.9992496276350082</v>
      </c>
      <c r="O46" s="93">
        <f t="shared" si="29"/>
        <v>1.8631135781583383</v>
      </c>
      <c r="P46" s="93">
        <f t="shared" si="29"/>
        <v>2.270637795703883</v>
      </c>
      <c r="Q46" s="93">
        <f t="shared" si="29"/>
        <v>3.2414140484674125</v>
      </c>
      <c r="R46" s="93">
        <f t="shared" si="29"/>
        <v>0.50736407948746698</v>
      </c>
      <c r="S46" s="93">
        <f t="shared" si="29"/>
        <v>1.0353288831139693</v>
      </c>
      <c r="T46" s="93">
        <f t="shared" si="29"/>
        <v>1.8060286312102867</v>
      </c>
      <c r="U46" s="93">
        <f t="shared" si="29"/>
        <v>3.6143058040430951</v>
      </c>
      <c r="V46" s="93">
        <f t="shared" si="29"/>
        <v>0.53127335348994176</v>
      </c>
      <c r="W46" s="93">
        <f t="shared" si="29"/>
        <v>1.0797680615229082</v>
      </c>
      <c r="X46" s="93">
        <f t="shared" si="29"/>
        <v>1.2112278801741585</v>
      </c>
      <c r="Y46" s="93">
        <f t="shared" si="29"/>
        <v>1.5446885475336762</v>
      </c>
      <c r="Z46" s="93">
        <f t="shared" si="29"/>
        <v>0.82994137021525072</v>
      </c>
      <c r="AA46" s="93">
        <f t="shared" si="29"/>
        <v>0.80090779021627312</v>
      </c>
      <c r="AB46" s="93">
        <f t="shared" si="29"/>
        <v>0.91855791096298389</v>
      </c>
      <c r="AC46" s="93">
        <f t="shared" si="29"/>
        <v>4.1027310294347134E-2</v>
      </c>
      <c r="AD46" s="93">
        <f t="shared" si="29"/>
        <v>0.68722505102856468</v>
      </c>
      <c r="AE46" s="93">
        <f t="shared" si="29"/>
        <v>1.6186286154487952</v>
      </c>
      <c r="AF46" s="93">
        <f t="shared" si="29"/>
        <v>1.9263506448622527</v>
      </c>
      <c r="AG46" s="93">
        <f t="shared" si="29"/>
        <v>1.7305576284992037</v>
      </c>
      <c r="AH46" s="93">
        <f t="shared" si="29"/>
        <v>1.8606059425139654</v>
      </c>
      <c r="AI46" s="93">
        <f t="shared" ref="AI46:BB46" si="30">IFERROR(AI10/$B46,".")</f>
        <v>0.83871734830116706</v>
      </c>
      <c r="AJ46" s="93">
        <f t="shared" si="30"/>
        <v>2.5571551832701296</v>
      </c>
      <c r="AK46" s="93">
        <f t="shared" si="30"/>
        <v>0.19922864694569198</v>
      </c>
      <c r="AL46" s="93">
        <f t="shared" si="30"/>
        <v>0.77907022390001057</v>
      </c>
      <c r="AM46" s="93">
        <f t="shared" si="30"/>
        <v>1.1822481864416268</v>
      </c>
      <c r="AN46" s="93">
        <f t="shared" si="30"/>
        <v>1.8312634737785298</v>
      </c>
      <c r="AO46" s="93">
        <f t="shared" si="30"/>
        <v>1.807884428963048</v>
      </c>
      <c r="AP46" s="93">
        <f t="shared" si="30"/>
        <v>2.1306498508678273</v>
      </c>
      <c r="AQ46" s="93">
        <f t="shared" si="30"/>
        <v>2.3863628621515942</v>
      </c>
      <c r="AR46" s="93">
        <f t="shared" si="30"/>
        <v>0.56718808612463523</v>
      </c>
      <c r="AS46" s="93">
        <f t="shared" si="30"/>
        <v>0.92496747548428049</v>
      </c>
      <c r="AT46" s="93">
        <f t="shared" si="30"/>
        <v>1.9405149878391805</v>
      </c>
      <c r="AU46" s="93">
        <f t="shared" si="30"/>
        <v>2.7099280483616472</v>
      </c>
      <c r="AV46" s="93">
        <f t="shared" si="30"/>
        <v>0.45221752812639837</v>
      </c>
      <c r="AW46" s="93">
        <f t="shared" si="30"/>
        <v>1.015837782103898</v>
      </c>
      <c r="AX46" s="93">
        <f t="shared" si="30"/>
        <v>1.1467550550295929</v>
      </c>
      <c r="AY46" s="93">
        <f t="shared" si="30"/>
        <v>1.5027878461537023</v>
      </c>
      <c r="AZ46" s="93">
        <f t="shared" si="30"/>
        <v>0.67331796864372362</v>
      </c>
      <c r="BA46" s="93">
        <f t="shared" si="30"/>
        <v>0.63450312481447224</v>
      </c>
      <c r="BB46" s="93">
        <f t="shared" si="30"/>
        <v>0.73220516345479902</v>
      </c>
    </row>
    <row r="47" spans="1:54" x14ac:dyDescent="0.25">
      <c r="A47" s="182" t="s">
        <v>1058</v>
      </c>
      <c r="B47" s="185">
        <v>0.94399</v>
      </c>
      <c r="C47" s="93" t="str">
        <f t="shared" ref="C47:AH47" si="31">IFERROR(C6/$B$47,".")</f>
        <v>.</v>
      </c>
      <c r="D47" s="93" t="str">
        <f t="shared" si="31"/>
        <v>.</v>
      </c>
      <c r="E47" s="93" t="str">
        <f t="shared" si="31"/>
        <v>.</v>
      </c>
      <c r="F47" s="93" t="str">
        <f t="shared" si="31"/>
        <v>.</v>
      </c>
      <c r="G47" s="93" t="str">
        <f t="shared" si="31"/>
        <v>.</v>
      </c>
      <c r="H47" s="93" t="str">
        <f t="shared" si="31"/>
        <v>.</v>
      </c>
      <c r="I47" s="93" t="str">
        <f t="shared" si="31"/>
        <v>.</v>
      </c>
      <c r="J47" s="93" t="str">
        <f t="shared" si="31"/>
        <v>.</v>
      </c>
      <c r="K47" s="93" t="str">
        <f t="shared" si="31"/>
        <v>.</v>
      </c>
      <c r="L47" s="93" t="str">
        <f t="shared" si="31"/>
        <v>.</v>
      </c>
      <c r="M47" s="93" t="str">
        <f t="shared" si="31"/>
        <v>.</v>
      </c>
      <c r="N47" s="93" t="str">
        <f t="shared" si="31"/>
        <v>.</v>
      </c>
      <c r="O47" s="93" t="str">
        <f t="shared" si="31"/>
        <v>.</v>
      </c>
      <c r="P47" s="93" t="str">
        <f t="shared" si="31"/>
        <v>.</v>
      </c>
      <c r="Q47" s="93" t="str">
        <f t="shared" si="31"/>
        <v>.</v>
      </c>
      <c r="R47" s="93" t="str">
        <f t="shared" si="31"/>
        <v>.</v>
      </c>
      <c r="S47" s="93" t="str">
        <f t="shared" si="31"/>
        <v>.</v>
      </c>
      <c r="T47" s="93" t="str">
        <f t="shared" si="31"/>
        <v>.</v>
      </c>
      <c r="U47" s="93" t="str">
        <f t="shared" si="31"/>
        <v>.</v>
      </c>
      <c r="V47" s="93" t="str">
        <f t="shared" si="31"/>
        <v>.</v>
      </c>
      <c r="W47" s="93" t="str">
        <f t="shared" si="31"/>
        <v>.</v>
      </c>
      <c r="X47" s="93" t="str">
        <f t="shared" si="31"/>
        <v>.</v>
      </c>
      <c r="Y47" s="93" t="str">
        <f t="shared" si="31"/>
        <v>.</v>
      </c>
      <c r="Z47" s="93" t="str">
        <f t="shared" si="31"/>
        <v>.</v>
      </c>
      <c r="AA47" s="93" t="str">
        <f t="shared" si="31"/>
        <v>.</v>
      </c>
      <c r="AB47" s="93" t="str">
        <f t="shared" si="31"/>
        <v>.</v>
      </c>
      <c r="AC47" s="93" t="str">
        <f t="shared" si="31"/>
        <v>.</v>
      </c>
      <c r="AD47" s="93" t="str">
        <f t="shared" si="31"/>
        <v>.</v>
      </c>
      <c r="AE47" s="93" t="str">
        <f t="shared" si="31"/>
        <v>.</v>
      </c>
      <c r="AF47" s="93" t="str">
        <f t="shared" si="31"/>
        <v>.</v>
      </c>
      <c r="AG47" s="93" t="str">
        <f t="shared" si="31"/>
        <v>.</v>
      </c>
      <c r="AH47" s="93" t="str">
        <f t="shared" si="31"/>
        <v>.</v>
      </c>
      <c r="AI47" s="93" t="str">
        <f t="shared" ref="AI47:BB47" si="32">IFERROR(AI6/$B$47,".")</f>
        <v>.</v>
      </c>
      <c r="AJ47" s="93" t="str">
        <f t="shared" si="32"/>
        <v>.</v>
      </c>
      <c r="AK47" s="93" t="str">
        <f t="shared" si="32"/>
        <v>.</v>
      </c>
      <c r="AL47" s="93" t="str">
        <f t="shared" si="32"/>
        <v>.</v>
      </c>
      <c r="AM47" s="93" t="str">
        <f t="shared" si="32"/>
        <v>.</v>
      </c>
      <c r="AN47" s="93" t="str">
        <f t="shared" si="32"/>
        <v>.</v>
      </c>
      <c r="AO47" s="93" t="str">
        <f t="shared" si="32"/>
        <v>.</v>
      </c>
      <c r="AP47" s="93" t="str">
        <f t="shared" si="32"/>
        <v>.</v>
      </c>
      <c r="AQ47" s="93" t="str">
        <f t="shared" si="32"/>
        <v>.</v>
      </c>
      <c r="AR47" s="93" t="str">
        <f t="shared" si="32"/>
        <v>.</v>
      </c>
      <c r="AS47" s="93" t="str">
        <f t="shared" si="32"/>
        <v>.</v>
      </c>
      <c r="AT47" s="93" t="str">
        <f t="shared" si="32"/>
        <v>.</v>
      </c>
      <c r="AU47" s="93" t="str">
        <f t="shared" si="32"/>
        <v>.</v>
      </c>
      <c r="AV47" s="93" t="str">
        <f t="shared" si="32"/>
        <v>.</v>
      </c>
      <c r="AW47" s="93" t="str">
        <f t="shared" si="32"/>
        <v>.</v>
      </c>
      <c r="AX47" s="93" t="str">
        <f t="shared" si="32"/>
        <v>.</v>
      </c>
      <c r="AY47" s="93" t="str">
        <f t="shared" si="32"/>
        <v>.</v>
      </c>
      <c r="AZ47" s="93" t="str">
        <f t="shared" si="32"/>
        <v>.</v>
      </c>
      <c r="BA47" s="93" t="str">
        <f t="shared" si="32"/>
        <v>.</v>
      </c>
      <c r="BB47" s="93" t="str">
        <f t="shared" si="32"/>
        <v>.</v>
      </c>
    </row>
    <row r="48" spans="1:54" x14ac:dyDescent="0.25">
      <c r="A48" s="89" t="s">
        <v>21</v>
      </c>
      <c r="B48" s="89" t="s">
        <v>1057</v>
      </c>
      <c r="C48" s="90">
        <f t="shared" ref="C48:AH48" si="33">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1.7980614026341841E-4</v>
      </c>
      <c r="D48" s="90">
        <f t="shared" si="33"/>
        <v>3.2592068798953178E-3</v>
      </c>
      <c r="E48" s="90">
        <f t="shared" si="33"/>
        <v>7.1229581429686963E-3</v>
      </c>
      <c r="F48" s="90">
        <f t="shared" si="33"/>
        <v>8.591614576494537E-3</v>
      </c>
      <c r="G48" s="90">
        <f t="shared" si="33"/>
        <v>7.3287760948193975E-3</v>
      </c>
      <c r="H48" s="90">
        <f t="shared" si="33"/>
        <v>9.0279821657460024E-3</v>
      </c>
      <c r="I48" s="90">
        <f t="shared" si="33"/>
        <v>3.5086108793503878E-3</v>
      </c>
      <c r="J48" s="90">
        <f t="shared" si="33"/>
        <v>9.8930301222109659E-3</v>
      </c>
      <c r="K48" s="90">
        <f t="shared" si="33"/>
        <v>8.4489692474107574E-4</v>
      </c>
      <c r="L48" s="90">
        <f t="shared" si="33"/>
        <v>4.6320587157622321E-3</v>
      </c>
      <c r="M48" s="90">
        <f t="shared" si="33"/>
        <v>3.4697144453779355E-3</v>
      </c>
      <c r="N48" s="90">
        <f t="shared" si="33"/>
        <v>8.2445892020849738E-3</v>
      </c>
      <c r="O48" s="90">
        <f t="shared" si="33"/>
        <v>7.6831856694718021E-3</v>
      </c>
      <c r="P48" s="90">
        <f t="shared" si="33"/>
        <v>9.3637510761732413E-3</v>
      </c>
      <c r="Q48" s="90">
        <f t="shared" si="33"/>
        <v>1.3367078774997194E-2</v>
      </c>
      <c r="R48" s="90">
        <f t="shared" si="33"/>
        <v>2.0922892036330651E-3</v>
      </c>
      <c r="S48" s="90">
        <f t="shared" si="33"/>
        <v>4.2695325347768282E-3</v>
      </c>
      <c r="T48" s="90">
        <f t="shared" si="33"/>
        <v>7.4477763785538685E-3</v>
      </c>
      <c r="U48" s="90">
        <f t="shared" si="33"/>
        <v>1.4904825387061116E-2</v>
      </c>
      <c r="V48" s="90">
        <f t="shared" si="33"/>
        <v>2.1908872673994579E-3</v>
      </c>
      <c r="W48" s="90">
        <f t="shared" si="33"/>
        <v>4.4527926766798048E-3</v>
      </c>
      <c r="X48" s="90">
        <f t="shared" si="33"/>
        <v>4.9949121731041992E-3</v>
      </c>
      <c r="Y48" s="90">
        <f t="shared" si="33"/>
        <v>6.3700512149878876E-3</v>
      </c>
      <c r="Z48" s="90">
        <f t="shared" si="33"/>
        <v>3.4225469219341855E-3</v>
      </c>
      <c r="AA48" s="90">
        <f t="shared" si="33"/>
        <v>3.3028170308546999E-3</v>
      </c>
      <c r="AB48" s="90">
        <f t="shared" si="33"/>
        <v>3.787987517683675E-3</v>
      </c>
      <c r="AC48" s="90">
        <f t="shared" si="33"/>
        <v>1.6919013752349541E-4</v>
      </c>
      <c r="AD48" s="90">
        <f t="shared" si="33"/>
        <v>2.8340073979730099E-3</v>
      </c>
      <c r="AE48" s="90">
        <f t="shared" si="33"/>
        <v>6.6749683584541343E-3</v>
      </c>
      <c r="AF48" s="90">
        <f t="shared" si="33"/>
        <v>7.9439653290560644E-3</v>
      </c>
      <c r="AG48" s="90">
        <f t="shared" si="33"/>
        <v>7.1365459021683992E-3</v>
      </c>
      <c r="AH48" s="90">
        <f t="shared" si="33"/>
        <v>7.6728445767585245E-3</v>
      </c>
      <c r="AI48" s="90">
        <f t="shared" ref="AI48:BB48" si="34">IFERROR(1/SUM(IFERROR(1/SUMIF(AI49,"&lt;&gt;.",AI49),0),IFERROR(1/SUMIF(AI50,"&lt;&gt;.",AI50),0),IFERROR(1/SUMIF(AI51,"&lt;&gt;.",AI51),0),IFERROR(1/SUMIF(AI52,"&lt;&gt;.",AI52),0),IFERROR(1/SUMIF(AI53,"&lt;&gt;.",AI53),0),IFERROR(1/SUMIF(AI54,"&lt;&gt;.",AI54),0),IFERROR(1/SUMIF(AI55,"&lt;&gt;.",AI55),0),IFERROR(1/SUMIF(AI56,"&lt;&gt;.",AI56),0),IFERROR(1/SUMIF(AI57,"&lt;&gt;.",AI57),0),IFERROR(1/SUMIF(AI58,"&lt;&gt;.",AI58),0),IFERROR(1/SUMIF(AI59,"&lt;&gt;.",AI59),0),IFERROR(1/SUMIF(AI60,"&lt;&gt;.",AI60),0),IFERROR(1/SUMIF(AI61,"&lt;&gt;.",AI61),0),IFERROR(1/SUMIF(AI62,"&lt;&gt;.",AI62),0)),".")</f>
        <v>3.4587376672842152E-3</v>
      </c>
      <c r="AJ48" s="90">
        <f t="shared" si="34"/>
        <v>1.0545303458169997E-2</v>
      </c>
      <c r="AK48" s="90">
        <f t="shared" si="34"/>
        <v>8.2158742392639532E-4</v>
      </c>
      <c r="AL48" s="90">
        <f t="shared" si="34"/>
        <v>3.212762361861788E-3</v>
      </c>
      <c r="AM48" s="90">
        <f t="shared" si="34"/>
        <v>4.875404500463241E-3</v>
      </c>
      <c r="AN48" s="90">
        <f t="shared" si="34"/>
        <v>7.5518408773931492E-3</v>
      </c>
      <c r="AO48" s="90">
        <f t="shared" si="34"/>
        <v>7.4554293949166978E-3</v>
      </c>
      <c r="AP48" s="90">
        <f t="shared" si="34"/>
        <v>8.7864629364311844E-3</v>
      </c>
      <c r="AQ48" s="90">
        <f t="shared" si="34"/>
        <v>9.8409829435984284E-3</v>
      </c>
      <c r="AR48" s="90">
        <f t="shared" si="34"/>
        <v>2.3389939434157159E-3</v>
      </c>
      <c r="AS48" s="90">
        <f t="shared" si="34"/>
        <v>3.8144195478373387E-3</v>
      </c>
      <c r="AT48" s="90">
        <f t="shared" si="34"/>
        <v>8.0023768388285347E-3</v>
      </c>
      <c r="AU48" s="90">
        <f t="shared" si="34"/>
        <v>1.1175314586592754E-2</v>
      </c>
      <c r="AV48" s="90">
        <f t="shared" si="34"/>
        <v>1.8648735494800979E-3</v>
      </c>
      <c r="AW48" s="90">
        <f t="shared" si="34"/>
        <v>4.1891543175181485E-3</v>
      </c>
      <c r="AX48" s="90">
        <f t="shared" si="34"/>
        <v>4.7290364411959268E-3</v>
      </c>
      <c r="AY48" s="90">
        <f t="shared" si="34"/>
        <v>6.1972593507894332E-3</v>
      </c>
      <c r="AZ48" s="90">
        <f t="shared" si="34"/>
        <v>2.7766567901861272E-3</v>
      </c>
      <c r="BA48" s="90">
        <f t="shared" si="34"/>
        <v>2.6165905143735292E-3</v>
      </c>
      <c r="BB48" s="90">
        <f t="shared" si="34"/>
        <v>3.0194982661926953E-3</v>
      </c>
    </row>
    <row r="49" spans="1:54" x14ac:dyDescent="0.25">
      <c r="A49" s="182" t="s">
        <v>1086</v>
      </c>
      <c r="B49" s="183">
        <v>1</v>
      </c>
      <c r="C49" s="93">
        <f t="shared" ref="C49:AH49" si="35">IFERROR(C23/$B49,".")</f>
        <v>1.2801355551802223E-3</v>
      </c>
      <c r="D49" s="93">
        <f t="shared" si="35"/>
        <v>2.3204027418249593E-2</v>
      </c>
      <c r="E49" s="93">
        <f t="shared" si="35"/>
        <v>5.0712127870139526E-2</v>
      </c>
      <c r="F49" s="93">
        <f t="shared" si="35"/>
        <v>6.1168274229470014E-2</v>
      </c>
      <c r="G49" s="93">
        <f t="shared" si="35"/>
        <v>5.2177455348235993E-2</v>
      </c>
      <c r="H49" s="93">
        <f t="shared" si="35"/>
        <v>6.4275007210394405E-2</v>
      </c>
      <c r="I49" s="93">
        <f t="shared" si="35"/>
        <v>2.4979667153571465E-2</v>
      </c>
      <c r="J49" s="93">
        <f t="shared" si="35"/>
        <v>7.0433743749560782E-2</v>
      </c>
      <c r="K49" s="93">
        <f t="shared" si="35"/>
        <v>6.0152706255689964E-3</v>
      </c>
      <c r="L49" s="93">
        <f t="shared" si="35"/>
        <v>3.2978089886377834E-2</v>
      </c>
      <c r="M49" s="93">
        <f t="shared" si="35"/>
        <v>2.4702742750295194E-2</v>
      </c>
      <c r="N49" s="93">
        <f t="shared" si="35"/>
        <v>5.8697615998996928E-2</v>
      </c>
      <c r="O49" s="93">
        <f t="shared" si="35"/>
        <v>5.4700685628048334E-2</v>
      </c>
      <c r="P49" s="93">
        <f t="shared" si="35"/>
        <v>6.6665524686228786E-2</v>
      </c>
      <c r="Q49" s="93">
        <f t="shared" si="35"/>
        <v>9.5167344027851181E-2</v>
      </c>
      <c r="R49" s="93">
        <f t="shared" si="35"/>
        <v>1.4896119773031591E-2</v>
      </c>
      <c r="S49" s="93">
        <f t="shared" si="35"/>
        <v>3.0397073168688282E-2</v>
      </c>
      <c r="T49" s="93">
        <f t="shared" si="35"/>
        <v>5.3024681666880367E-2</v>
      </c>
      <c r="U49" s="93">
        <f t="shared" si="35"/>
        <v>0.10611538011870457</v>
      </c>
      <c r="V49" s="93">
        <f t="shared" si="35"/>
        <v>1.5598091835355904E-2</v>
      </c>
      <c r="W49" s="93">
        <f t="shared" si="35"/>
        <v>3.1701799598796196E-2</v>
      </c>
      <c r="X49" s="93">
        <f t="shared" si="35"/>
        <v>3.5561436658534895E-2</v>
      </c>
      <c r="Y49" s="93">
        <f t="shared" si="35"/>
        <v>4.5351782962909253E-2</v>
      </c>
      <c r="Z49" s="93">
        <f t="shared" si="35"/>
        <v>2.4366932061507359E-2</v>
      </c>
      <c r="AA49" s="93">
        <f t="shared" si="35"/>
        <v>2.3514511280080422E-2</v>
      </c>
      <c r="AB49" s="93">
        <f t="shared" si="35"/>
        <v>2.6968698048140581E-2</v>
      </c>
      <c r="AC49" s="93">
        <f t="shared" si="35"/>
        <v>1.2045545848009206E-3</v>
      </c>
      <c r="AD49" s="93">
        <f t="shared" si="35"/>
        <v>2.0176806133951234E-2</v>
      </c>
      <c r="AE49" s="93">
        <f t="shared" si="35"/>
        <v>4.7522650299048515E-2</v>
      </c>
      <c r="AF49" s="93">
        <f t="shared" si="35"/>
        <v>5.6557314738781367E-2</v>
      </c>
      <c r="AG49" s="93">
        <f t="shared" si="35"/>
        <v>5.0808866355495384E-2</v>
      </c>
      <c r="AH49" s="93">
        <f t="shared" si="35"/>
        <v>5.4627061888379111E-2</v>
      </c>
      <c r="AI49" s="93">
        <f t="shared" ref="AI49:BB49" si="36">IFERROR(AI23/$B49,".")</f>
        <v>2.4624593228268259E-2</v>
      </c>
      <c r="AJ49" s="93">
        <f t="shared" si="36"/>
        <v>7.5077624586076641E-2</v>
      </c>
      <c r="AK49" s="93">
        <f t="shared" si="36"/>
        <v>5.8493178904585061E-3</v>
      </c>
      <c r="AL49" s="93">
        <f t="shared" si="36"/>
        <v>2.287336418955881E-2</v>
      </c>
      <c r="AM49" s="93">
        <f t="shared" si="36"/>
        <v>3.4710597968374467E-2</v>
      </c>
      <c r="AN49" s="93">
        <f t="shared" si="36"/>
        <v>5.3765572188199655E-2</v>
      </c>
      <c r="AO49" s="93">
        <f t="shared" si="36"/>
        <v>5.3079167561166755E-2</v>
      </c>
      <c r="AP49" s="93">
        <f t="shared" si="36"/>
        <v>6.2555503347775057E-2</v>
      </c>
      <c r="AQ49" s="93">
        <f t="shared" si="36"/>
        <v>7.0063192200035762E-2</v>
      </c>
      <c r="AR49" s="93">
        <f t="shared" si="36"/>
        <v>1.6652542042952866E-2</v>
      </c>
      <c r="AS49" s="93">
        <f t="shared" si="36"/>
        <v>2.7156881730553927E-2</v>
      </c>
      <c r="AT49" s="93">
        <f t="shared" si="36"/>
        <v>5.6973177347154756E-2</v>
      </c>
      <c r="AU49" s="93">
        <f t="shared" si="36"/>
        <v>7.9563008925408171E-2</v>
      </c>
      <c r="AV49" s="93">
        <f t="shared" si="36"/>
        <v>1.3277026763975934E-2</v>
      </c>
      <c r="AW49" s="93">
        <f t="shared" si="36"/>
        <v>2.9824817885169629E-2</v>
      </c>
      <c r="AX49" s="93">
        <f t="shared" si="36"/>
        <v>3.3668525898219837E-2</v>
      </c>
      <c r="AY49" s="93">
        <f t="shared" si="36"/>
        <v>4.4121585770075585E-2</v>
      </c>
      <c r="AZ49" s="93">
        <f t="shared" si="36"/>
        <v>1.9768496651129192E-2</v>
      </c>
      <c r="BA49" s="93">
        <f t="shared" si="36"/>
        <v>1.8628899691020929E-2</v>
      </c>
      <c r="BB49" s="93">
        <f t="shared" si="36"/>
        <v>2.1497414291277762E-2</v>
      </c>
    </row>
    <row r="50" spans="1:54" x14ac:dyDescent="0.25">
      <c r="A50" s="182" t="s">
        <v>1073</v>
      </c>
      <c r="B50" s="183">
        <v>1</v>
      </c>
      <c r="C50" s="93" t="str">
        <f t="shared" ref="C50:AH50" si="37">IFERROR(C25/$B50,".")</f>
        <v>.</v>
      </c>
      <c r="D50" s="93" t="str">
        <f t="shared" si="37"/>
        <v>.</v>
      </c>
      <c r="E50" s="93" t="str">
        <f t="shared" si="37"/>
        <v>.</v>
      </c>
      <c r="F50" s="93" t="str">
        <f t="shared" si="37"/>
        <v>.</v>
      </c>
      <c r="G50" s="93" t="str">
        <f t="shared" si="37"/>
        <v>.</v>
      </c>
      <c r="H50" s="93" t="str">
        <f t="shared" si="37"/>
        <v>.</v>
      </c>
      <c r="I50" s="93" t="str">
        <f t="shared" si="37"/>
        <v>.</v>
      </c>
      <c r="J50" s="93" t="str">
        <f t="shared" si="37"/>
        <v>.</v>
      </c>
      <c r="K50" s="93" t="str">
        <f t="shared" si="37"/>
        <v>.</v>
      </c>
      <c r="L50" s="93" t="str">
        <f t="shared" si="37"/>
        <v>.</v>
      </c>
      <c r="M50" s="93" t="str">
        <f t="shared" si="37"/>
        <v>.</v>
      </c>
      <c r="N50" s="93" t="str">
        <f t="shared" si="37"/>
        <v>.</v>
      </c>
      <c r="O50" s="93" t="str">
        <f t="shared" si="37"/>
        <v>.</v>
      </c>
      <c r="P50" s="93" t="str">
        <f t="shared" si="37"/>
        <v>.</v>
      </c>
      <c r="Q50" s="93" t="str">
        <f t="shared" si="37"/>
        <v>.</v>
      </c>
      <c r="R50" s="93" t="str">
        <f t="shared" si="37"/>
        <v>.</v>
      </c>
      <c r="S50" s="93" t="str">
        <f t="shared" si="37"/>
        <v>.</v>
      </c>
      <c r="T50" s="93" t="str">
        <f t="shared" si="37"/>
        <v>.</v>
      </c>
      <c r="U50" s="93" t="str">
        <f t="shared" si="37"/>
        <v>.</v>
      </c>
      <c r="V50" s="93" t="str">
        <f t="shared" si="37"/>
        <v>.</v>
      </c>
      <c r="W50" s="93" t="str">
        <f t="shared" si="37"/>
        <v>.</v>
      </c>
      <c r="X50" s="93" t="str">
        <f t="shared" si="37"/>
        <v>.</v>
      </c>
      <c r="Y50" s="93" t="str">
        <f t="shared" si="37"/>
        <v>.</v>
      </c>
      <c r="Z50" s="93" t="str">
        <f t="shared" si="37"/>
        <v>.</v>
      </c>
      <c r="AA50" s="93" t="str">
        <f t="shared" si="37"/>
        <v>.</v>
      </c>
      <c r="AB50" s="93" t="str">
        <f t="shared" si="37"/>
        <v>.</v>
      </c>
      <c r="AC50" s="93" t="str">
        <f t="shared" si="37"/>
        <v>.</v>
      </c>
      <c r="AD50" s="93" t="str">
        <f t="shared" si="37"/>
        <v>.</v>
      </c>
      <c r="AE50" s="93" t="str">
        <f t="shared" si="37"/>
        <v>.</v>
      </c>
      <c r="AF50" s="93" t="str">
        <f t="shared" si="37"/>
        <v>.</v>
      </c>
      <c r="AG50" s="93" t="str">
        <f t="shared" si="37"/>
        <v>.</v>
      </c>
      <c r="AH50" s="93" t="str">
        <f t="shared" si="37"/>
        <v>.</v>
      </c>
      <c r="AI50" s="93" t="str">
        <f t="shared" ref="AI50:BB50" si="38">IFERROR(AI25/$B50,".")</f>
        <v>.</v>
      </c>
      <c r="AJ50" s="93" t="str">
        <f t="shared" si="38"/>
        <v>.</v>
      </c>
      <c r="AK50" s="93" t="str">
        <f t="shared" si="38"/>
        <v>.</v>
      </c>
      <c r="AL50" s="93" t="str">
        <f t="shared" si="38"/>
        <v>.</v>
      </c>
      <c r="AM50" s="93" t="str">
        <f t="shared" si="38"/>
        <v>.</v>
      </c>
      <c r="AN50" s="93" t="str">
        <f t="shared" si="38"/>
        <v>.</v>
      </c>
      <c r="AO50" s="93" t="str">
        <f t="shared" si="38"/>
        <v>.</v>
      </c>
      <c r="AP50" s="93" t="str">
        <f t="shared" si="38"/>
        <v>.</v>
      </c>
      <c r="AQ50" s="93" t="str">
        <f t="shared" si="38"/>
        <v>.</v>
      </c>
      <c r="AR50" s="93" t="str">
        <f t="shared" si="38"/>
        <v>.</v>
      </c>
      <c r="AS50" s="93" t="str">
        <f t="shared" si="38"/>
        <v>.</v>
      </c>
      <c r="AT50" s="93" t="str">
        <f t="shared" si="38"/>
        <v>.</v>
      </c>
      <c r="AU50" s="93" t="str">
        <f t="shared" si="38"/>
        <v>.</v>
      </c>
      <c r="AV50" s="93" t="str">
        <f t="shared" si="38"/>
        <v>.</v>
      </c>
      <c r="AW50" s="93" t="str">
        <f t="shared" si="38"/>
        <v>.</v>
      </c>
      <c r="AX50" s="93" t="str">
        <f t="shared" si="38"/>
        <v>.</v>
      </c>
      <c r="AY50" s="93" t="str">
        <f t="shared" si="38"/>
        <v>.</v>
      </c>
      <c r="AZ50" s="93" t="str">
        <f t="shared" si="38"/>
        <v>.</v>
      </c>
      <c r="BA50" s="93" t="str">
        <f t="shared" si="38"/>
        <v>.</v>
      </c>
      <c r="BB50" s="93" t="str">
        <f t="shared" si="38"/>
        <v>.</v>
      </c>
    </row>
    <row r="51" spans="1:54" x14ac:dyDescent="0.25">
      <c r="A51" s="182" t="s">
        <v>1059</v>
      </c>
      <c r="B51" s="183">
        <v>1</v>
      </c>
      <c r="C51" s="93" t="str">
        <f t="shared" ref="C51:AH51" si="39">IFERROR(C21/$B51,".")</f>
        <v>.</v>
      </c>
      <c r="D51" s="93" t="str">
        <f t="shared" si="39"/>
        <v>.</v>
      </c>
      <c r="E51" s="93" t="str">
        <f t="shared" si="39"/>
        <v>.</v>
      </c>
      <c r="F51" s="93" t="str">
        <f t="shared" si="39"/>
        <v>.</v>
      </c>
      <c r="G51" s="93" t="str">
        <f t="shared" si="39"/>
        <v>.</v>
      </c>
      <c r="H51" s="93" t="str">
        <f t="shared" si="39"/>
        <v>.</v>
      </c>
      <c r="I51" s="93" t="str">
        <f t="shared" si="39"/>
        <v>.</v>
      </c>
      <c r="J51" s="93" t="str">
        <f t="shared" si="39"/>
        <v>.</v>
      </c>
      <c r="K51" s="93" t="str">
        <f t="shared" si="39"/>
        <v>.</v>
      </c>
      <c r="L51" s="93" t="str">
        <f t="shared" si="39"/>
        <v>.</v>
      </c>
      <c r="M51" s="93" t="str">
        <f t="shared" si="39"/>
        <v>.</v>
      </c>
      <c r="N51" s="93" t="str">
        <f t="shared" si="39"/>
        <v>.</v>
      </c>
      <c r="O51" s="93" t="str">
        <f t="shared" si="39"/>
        <v>.</v>
      </c>
      <c r="P51" s="93" t="str">
        <f t="shared" si="39"/>
        <v>.</v>
      </c>
      <c r="Q51" s="93" t="str">
        <f t="shared" si="39"/>
        <v>.</v>
      </c>
      <c r="R51" s="93" t="str">
        <f t="shared" si="39"/>
        <v>.</v>
      </c>
      <c r="S51" s="93" t="str">
        <f t="shared" si="39"/>
        <v>.</v>
      </c>
      <c r="T51" s="93" t="str">
        <f t="shared" si="39"/>
        <v>.</v>
      </c>
      <c r="U51" s="93" t="str">
        <f t="shared" si="39"/>
        <v>.</v>
      </c>
      <c r="V51" s="93" t="str">
        <f t="shared" si="39"/>
        <v>.</v>
      </c>
      <c r="W51" s="93" t="str">
        <f t="shared" si="39"/>
        <v>.</v>
      </c>
      <c r="X51" s="93" t="str">
        <f t="shared" si="39"/>
        <v>.</v>
      </c>
      <c r="Y51" s="93" t="str">
        <f t="shared" si="39"/>
        <v>.</v>
      </c>
      <c r="Z51" s="93" t="str">
        <f t="shared" si="39"/>
        <v>.</v>
      </c>
      <c r="AA51" s="93" t="str">
        <f t="shared" si="39"/>
        <v>.</v>
      </c>
      <c r="AB51" s="93" t="str">
        <f t="shared" si="39"/>
        <v>.</v>
      </c>
      <c r="AC51" s="93" t="str">
        <f t="shared" si="39"/>
        <v>.</v>
      </c>
      <c r="AD51" s="93" t="str">
        <f t="shared" si="39"/>
        <v>.</v>
      </c>
      <c r="AE51" s="93" t="str">
        <f t="shared" si="39"/>
        <v>.</v>
      </c>
      <c r="AF51" s="93" t="str">
        <f t="shared" si="39"/>
        <v>.</v>
      </c>
      <c r="AG51" s="93" t="str">
        <f t="shared" si="39"/>
        <v>.</v>
      </c>
      <c r="AH51" s="93" t="str">
        <f t="shared" si="39"/>
        <v>.</v>
      </c>
      <c r="AI51" s="93" t="str">
        <f t="shared" ref="AI51:BB51" si="40">IFERROR(AI21/$B51,".")</f>
        <v>.</v>
      </c>
      <c r="AJ51" s="93" t="str">
        <f t="shared" si="40"/>
        <v>.</v>
      </c>
      <c r="AK51" s="93" t="str">
        <f t="shared" si="40"/>
        <v>.</v>
      </c>
      <c r="AL51" s="93" t="str">
        <f t="shared" si="40"/>
        <v>.</v>
      </c>
      <c r="AM51" s="93" t="str">
        <f t="shared" si="40"/>
        <v>.</v>
      </c>
      <c r="AN51" s="93" t="str">
        <f t="shared" si="40"/>
        <v>.</v>
      </c>
      <c r="AO51" s="93" t="str">
        <f t="shared" si="40"/>
        <v>.</v>
      </c>
      <c r="AP51" s="93" t="str">
        <f t="shared" si="40"/>
        <v>.</v>
      </c>
      <c r="AQ51" s="93" t="str">
        <f t="shared" si="40"/>
        <v>.</v>
      </c>
      <c r="AR51" s="93" t="str">
        <f t="shared" si="40"/>
        <v>.</v>
      </c>
      <c r="AS51" s="93" t="str">
        <f t="shared" si="40"/>
        <v>.</v>
      </c>
      <c r="AT51" s="93" t="str">
        <f t="shared" si="40"/>
        <v>.</v>
      </c>
      <c r="AU51" s="93" t="str">
        <f t="shared" si="40"/>
        <v>.</v>
      </c>
      <c r="AV51" s="93" t="str">
        <f t="shared" si="40"/>
        <v>.</v>
      </c>
      <c r="AW51" s="93" t="str">
        <f t="shared" si="40"/>
        <v>.</v>
      </c>
      <c r="AX51" s="93" t="str">
        <f t="shared" si="40"/>
        <v>.</v>
      </c>
      <c r="AY51" s="93" t="str">
        <f t="shared" si="40"/>
        <v>.</v>
      </c>
      <c r="AZ51" s="93" t="str">
        <f t="shared" si="40"/>
        <v>.</v>
      </c>
      <c r="BA51" s="93" t="str">
        <f t="shared" si="40"/>
        <v>.</v>
      </c>
      <c r="BB51" s="93" t="str">
        <f t="shared" si="40"/>
        <v>.</v>
      </c>
    </row>
    <row r="52" spans="1:54" x14ac:dyDescent="0.25">
      <c r="A52" s="182" t="s">
        <v>1060</v>
      </c>
      <c r="B52" s="185">
        <v>0.99980000000000002</v>
      </c>
      <c r="C52" s="93">
        <f t="shared" ref="C52:AH52" si="41">IFERROR(C17/$B52,".")</f>
        <v>2.9146603516514396</v>
      </c>
      <c r="D52" s="93">
        <f t="shared" si="41"/>
        <v>52.831794602473586</v>
      </c>
      <c r="E52" s="93">
        <f t="shared" si="41"/>
        <v>115.46326313088348</v>
      </c>
      <c r="F52" s="93">
        <f t="shared" si="41"/>
        <v>139.27020693560777</v>
      </c>
      <c r="G52" s="93">
        <f t="shared" si="41"/>
        <v>118.79957535603053</v>
      </c>
      <c r="H52" s="93">
        <f t="shared" si="41"/>
        <v>146.34373239627155</v>
      </c>
      <c r="I52" s="93">
        <f t="shared" si="41"/>
        <v>56.874637342382407</v>
      </c>
      <c r="J52" s="93">
        <f t="shared" si="41"/>
        <v>160.36617332788686</v>
      </c>
      <c r="K52" s="93">
        <f t="shared" si="41"/>
        <v>13.695792391557484</v>
      </c>
      <c r="L52" s="93">
        <f t="shared" si="41"/>
        <v>75.085744377665264</v>
      </c>
      <c r="M52" s="93">
        <f t="shared" si="41"/>
        <v>56.244125538091154</v>
      </c>
      <c r="N52" s="93">
        <f t="shared" si="41"/>
        <v>133.64492017773208</v>
      </c>
      <c r="O52" s="93">
        <f t="shared" si="41"/>
        <v>124.54456011557032</v>
      </c>
      <c r="P52" s="93">
        <f t="shared" si="41"/>
        <v>151.78655169657873</v>
      </c>
      <c r="Q52" s="93">
        <f t="shared" si="41"/>
        <v>216.68055643599362</v>
      </c>
      <c r="R52" s="93">
        <f t="shared" si="41"/>
        <v>33.916040781941867</v>
      </c>
      <c r="S52" s="93">
        <f t="shared" si="41"/>
        <v>69.209189302261407</v>
      </c>
      <c r="T52" s="93">
        <f t="shared" si="41"/>
        <v>120.72857182037819</v>
      </c>
      <c r="U52" s="93">
        <f t="shared" si="41"/>
        <v>241.60745311762435</v>
      </c>
      <c r="V52" s="93">
        <f t="shared" si="41"/>
        <v>35.514316940856638</v>
      </c>
      <c r="W52" s="93">
        <f t="shared" si="41"/>
        <v>72.179839074622336</v>
      </c>
      <c r="X52" s="93">
        <f t="shared" si="41"/>
        <v>80.967604607938213</v>
      </c>
      <c r="Y52" s="93">
        <f t="shared" si="41"/>
        <v>103.25863002850765</v>
      </c>
      <c r="Z52" s="93">
        <f t="shared" si="41"/>
        <v>55.479539243842915</v>
      </c>
      <c r="AA52" s="93">
        <f t="shared" si="41"/>
        <v>53.538715832997909</v>
      </c>
      <c r="AB52" s="93">
        <f t="shared" si="41"/>
        <v>61.403337028248274</v>
      </c>
      <c r="AC52" s="93">
        <f t="shared" si="41"/>
        <v>2.7425747808597736</v>
      </c>
      <c r="AD52" s="93">
        <f t="shared" si="41"/>
        <v>45.939304336645769</v>
      </c>
      <c r="AE52" s="93">
        <f t="shared" si="41"/>
        <v>108.20134170285804</v>
      </c>
      <c r="AF52" s="93">
        <f t="shared" si="41"/>
        <v>128.77180248445643</v>
      </c>
      <c r="AG52" s="93">
        <f t="shared" si="41"/>
        <v>115.68352092046253</v>
      </c>
      <c r="AH52" s="93">
        <f t="shared" si="41"/>
        <v>124.37693084061905</v>
      </c>
      <c r="AI52" s="93">
        <f t="shared" ref="AI52:BB52" si="42">IFERROR(AI17/$B52,".")</f>
        <v>56.066191793160236</v>
      </c>
      <c r="AJ52" s="93">
        <f t="shared" si="42"/>
        <v>170.93953432642667</v>
      </c>
      <c r="AK52" s="93">
        <f t="shared" si="42"/>
        <v>13.317945018037292</v>
      </c>
      <c r="AL52" s="93">
        <f t="shared" si="42"/>
        <v>52.078928237256193</v>
      </c>
      <c r="AM52" s="93">
        <f t="shared" si="42"/>
        <v>79.030383361464416</v>
      </c>
      <c r="AN52" s="93">
        <f t="shared" si="42"/>
        <v>122.41545897749623</v>
      </c>
      <c r="AO52" s="93">
        <f t="shared" si="42"/>
        <v>120.85262733556026</v>
      </c>
      <c r="AP52" s="93">
        <f t="shared" si="42"/>
        <v>142.42870190390889</v>
      </c>
      <c r="AQ52" s="93">
        <f t="shared" si="42"/>
        <v>159.522487746877</v>
      </c>
      <c r="AR52" s="93">
        <f t="shared" si="42"/>
        <v>37.915128480257096</v>
      </c>
      <c r="AS52" s="93">
        <f t="shared" si="42"/>
        <v>61.831800651290706</v>
      </c>
      <c r="AT52" s="93">
        <f t="shared" si="42"/>
        <v>129.71865397331277</v>
      </c>
      <c r="AU52" s="93">
        <f t="shared" si="42"/>
        <v>181.1520245919028</v>
      </c>
      <c r="AV52" s="93">
        <f t="shared" si="42"/>
        <v>30.229629463988765</v>
      </c>
      <c r="AW52" s="93">
        <f t="shared" si="42"/>
        <v>67.906257140784135</v>
      </c>
      <c r="AX52" s="93">
        <f t="shared" si="42"/>
        <v>76.657754826812507</v>
      </c>
      <c r="AY52" s="93">
        <f t="shared" si="42"/>
        <v>100.45767120179934</v>
      </c>
      <c r="AZ52" s="93">
        <f t="shared" si="42"/>
        <v>45.009650085602665</v>
      </c>
      <c r="BA52" s="93">
        <f t="shared" si="42"/>
        <v>42.414973246068719</v>
      </c>
      <c r="BB52" s="93">
        <f t="shared" si="42"/>
        <v>48.946114217561224</v>
      </c>
    </row>
    <row r="53" spans="1:54" x14ac:dyDescent="0.25">
      <c r="A53" s="182" t="s">
        <v>1074</v>
      </c>
      <c r="B53" s="183">
        <v>2.0000000000000001E-4</v>
      </c>
      <c r="C53" s="93" t="str">
        <f t="shared" ref="C53:AH53" si="43">IFERROR(C5/$B53,".")</f>
        <v>.</v>
      </c>
      <c r="D53" s="93" t="str">
        <f t="shared" si="43"/>
        <v>.</v>
      </c>
      <c r="E53" s="93" t="str">
        <f t="shared" si="43"/>
        <v>.</v>
      </c>
      <c r="F53" s="93" t="str">
        <f t="shared" si="43"/>
        <v>.</v>
      </c>
      <c r="G53" s="93" t="str">
        <f t="shared" si="43"/>
        <v>.</v>
      </c>
      <c r="H53" s="93" t="str">
        <f t="shared" si="43"/>
        <v>.</v>
      </c>
      <c r="I53" s="93" t="str">
        <f t="shared" si="43"/>
        <v>.</v>
      </c>
      <c r="J53" s="93" t="str">
        <f t="shared" si="43"/>
        <v>.</v>
      </c>
      <c r="K53" s="93" t="str">
        <f t="shared" si="43"/>
        <v>.</v>
      </c>
      <c r="L53" s="93" t="str">
        <f t="shared" si="43"/>
        <v>.</v>
      </c>
      <c r="M53" s="93" t="str">
        <f t="shared" si="43"/>
        <v>.</v>
      </c>
      <c r="N53" s="93" t="str">
        <f t="shared" si="43"/>
        <v>.</v>
      </c>
      <c r="O53" s="93" t="str">
        <f t="shared" si="43"/>
        <v>.</v>
      </c>
      <c r="P53" s="93" t="str">
        <f t="shared" si="43"/>
        <v>.</v>
      </c>
      <c r="Q53" s="93" t="str">
        <f t="shared" si="43"/>
        <v>.</v>
      </c>
      <c r="R53" s="93" t="str">
        <f t="shared" si="43"/>
        <v>.</v>
      </c>
      <c r="S53" s="93" t="str">
        <f t="shared" si="43"/>
        <v>.</v>
      </c>
      <c r="T53" s="93" t="str">
        <f t="shared" si="43"/>
        <v>.</v>
      </c>
      <c r="U53" s="93" t="str">
        <f t="shared" si="43"/>
        <v>.</v>
      </c>
      <c r="V53" s="93" t="str">
        <f t="shared" si="43"/>
        <v>.</v>
      </c>
      <c r="W53" s="93" t="str">
        <f t="shared" si="43"/>
        <v>.</v>
      </c>
      <c r="X53" s="93" t="str">
        <f t="shared" si="43"/>
        <v>.</v>
      </c>
      <c r="Y53" s="93" t="str">
        <f t="shared" si="43"/>
        <v>.</v>
      </c>
      <c r="Z53" s="93" t="str">
        <f t="shared" si="43"/>
        <v>.</v>
      </c>
      <c r="AA53" s="93" t="str">
        <f t="shared" si="43"/>
        <v>.</v>
      </c>
      <c r="AB53" s="93" t="str">
        <f t="shared" si="43"/>
        <v>.</v>
      </c>
      <c r="AC53" s="93" t="str">
        <f t="shared" si="43"/>
        <v>.</v>
      </c>
      <c r="AD53" s="93" t="str">
        <f t="shared" si="43"/>
        <v>.</v>
      </c>
      <c r="AE53" s="93" t="str">
        <f t="shared" si="43"/>
        <v>.</v>
      </c>
      <c r="AF53" s="93" t="str">
        <f t="shared" si="43"/>
        <v>.</v>
      </c>
      <c r="AG53" s="93" t="str">
        <f t="shared" si="43"/>
        <v>.</v>
      </c>
      <c r="AH53" s="93" t="str">
        <f t="shared" si="43"/>
        <v>.</v>
      </c>
      <c r="AI53" s="93" t="str">
        <f t="shared" ref="AI53:BB53" si="44">IFERROR(AI5/$B53,".")</f>
        <v>.</v>
      </c>
      <c r="AJ53" s="93" t="str">
        <f t="shared" si="44"/>
        <v>.</v>
      </c>
      <c r="AK53" s="93" t="str">
        <f t="shared" si="44"/>
        <v>.</v>
      </c>
      <c r="AL53" s="93" t="str">
        <f t="shared" si="44"/>
        <v>.</v>
      </c>
      <c r="AM53" s="93" t="str">
        <f t="shared" si="44"/>
        <v>.</v>
      </c>
      <c r="AN53" s="93" t="str">
        <f t="shared" si="44"/>
        <v>.</v>
      </c>
      <c r="AO53" s="93" t="str">
        <f t="shared" si="44"/>
        <v>.</v>
      </c>
      <c r="AP53" s="93" t="str">
        <f t="shared" si="44"/>
        <v>.</v>
      </c>
      <c r="AQ53" s="93" t="str">
        <f t="shared" si="44"/>
        <v>.</v>
      </c>
      <c r="AR53" s="93" t="str">
        <f t="shared" si="44"/>
        <v>.</v>
      </c>
      <c r="AS53" s="93" t="str">
        <f t="shared" si="44"/>
        <v>.</v>
      </c>
      <c r="AT53" s="93" t="str">
        <f t="shared" si="44"/>
        <v>.</v>
      </c>
      <c r="AU53" s="93" t="str">
        <f t="shared" si="44"/>
        <v>.</v>
      </c>
      <c r="AV53" s="93" t="str">
        <f t="shared" si="44"/>
        <v>.</v>
      </c>
      <c r="AW53" s="93" t="str">
        <f t="shared" si="44"/>
        <v>.</v>
      </c>
      <c r="AX53" s="93" t="str">
        <f t="shared" si="44"/>
        <v>.</v>
      </c>
      <c r="AY53" s="93" t="str">
        <f t="shared" si="44"/>
        <v>.</v>
      </c>
      <c r="AZ53" s="93" t="str">
        <f t="shared" si="44"/>
        <v>.</v>
      </c>
      <c r="BA53" s="93" t="str">
        <f t="shared" si="44"/>
        <v>.</v>
      </c>
      <c r="BB53" s="93" t="str">
        <f t="shared" si="44"/>
        <v>.</v>
      </c>
    </row>
    <row r="54" spans="1:54" x14ac:dyDescent="0.25">
      <c r="A54" s="182" t="s">
        <v>1075</v>
      </c>
      <c r="B54" s="183">
        <v>0.99999979999999999</v>
      </c>
      <c r="C54" s="93">
        <f t="shared" ref="C54:AH54" si="45">IFERROR(C9/$B54,".")</f>
        <v>3.8919565266909064</v>
      </c>
      <c r="D54" s="93">
        <f t="shared" si="45"/>
        <v>70.546486729881678</v>
      </c>
      <c r="E54" s="93">
        <f t="shared" si="45"/>
        <v>154.17851355498595</v>
      </c>
      <c r="F54" s="93">
        <f t="shared" si="45"/>
        <v>185.96801186440715</v>
      </c>
      <c r="G54" s="93">
        <f t="shared" si="45"/>
        <v>158.63350335590138</v>
      </c>
      <c r="H54" s="93">
        <f t="shared" si="45"/>
        <v>195.41331603775495</v>
      </c>
      <c r="I54" s="93">
        <f t="shared" si="45"/>
        <v>75.944909286752818</v>
      </c>
      <c r="J54" s="93">
        <f t="shared" si="45"/>
        <v>214.13753221375498</v>
      </c>
      <c r="K54" s="93">
        <f t="shared" si="45"/>
        <v>18.288041197089822</v>
      </c>
      <c r="L54" s="93">
        <f t="shared" si="45"/>
        <v>100.26226648553489</v>
      </c>
      <c r="M54" s="93">
        <f t="shared" si="45"/>
        <v>75.10298459028634</v>
      </c>
      <c r="N54" s="93">
        <f t="shared" si="45"/>
        <v>178.45654607752135</v>
      </c>
      <c r="O54" s="93">
        <f t="shared" si="45"/>
        <v>166.30480231804702</v>
      </c>
      <c r="P54" s="93">
        <f t="shared" si="45"/>
        <v>202.68113236751265</v>
      </c>
      <c r="Q54" s="93">
        <f t="shared" si="45"/>
        <v>289.3343319918099</v>
      </c>
      <c r="R54" s="93">
        <f t="shared" si="45"/>
        <v>45.288212125986789</v>
      </c>
      <c r="S54" s="93">
        <f t="shared" si="45"/>
        <v>92.415281203967581</v>
      </c>
      <c r="T54" s="93">
        <f t="shared" si="45"/>
        <v>161.20929932304651</v>
      </c>
      <c r="U54" s="93">
        <f t="shared" si="45"/>
        <v>322.61930743509078</v>
      </c>
      <c r="V54" s="93">
        <f t="shared" si="45"/>
        <v>47.422396071165288</v>
      </c>
      <c r="W54" s="93">
        <f t="shared" si="45"/>
        <v>96.382000606968433</v>
      </c>
      <c r="X54" s="93">
        <f t="shared" si="45"/>
        <v>108.11633575961821</v>
      </c>
      <c r="Y54" s="93">
        <f t="shared" si="45"/>
        <v>137.88162275886074</v>
      </c>
      <c r="Z54" s="93">
        <f t="shared" si="45"/>
        <v>74.082029741659881</v>
      </c>
      <c r="AA54" s="93">
        <f t="shared" si="45"/>
        <v>71.490441210010601</v>
      </c>
      <c r="AB54" s="93">
        <f t="shared" si="45"/>
        <v>81.99209838370615</v>
      </c>
      <c r="AC54" s="93">
        <f t="shared" si="45"/>
        <v>3.6621700405871405</v>
      </c>
      <c r="AD54" s="93">
        <f t="shared" si="45"/>
        <v>61.342919508046386</v>
      </c>
      <c r="AE54" s="93">
        <f t="shared" si="45"/>
        <v>144.48164356390572</v>
      </c>
      <c r="AF54" s="93">
        <f t="shared" si="45"/>
        <v>171.94945436752818</v>
      </c>
      <c r="AG54" s="93">
        <f t="shared" si="45"/>
        <v>154.47262457935315</v>
      </c>
      <c r="AH54" s="93">
        <f t="shared" si="45"/>
        <v>166.08096633992304</v>
      </c>
      <c r="AI54" s="93">
        <f t="shared" ref="AI54:BB54" si="46">IFERROR(AI9/$B54,".")</f>
        <v>74.86538901606788</v>
      </c>
      <c r="AJ54" s="93">
        <f t="shared" si="46"/>
        <v>228.25617945991183</v>
      </c>
      <c r="AK54" s="93">
        <f t="shared" si="46"/>
        <v>17.78350023037591</v>
      </c>
      <c r="AL54" s="93">
        <f t="shared" si="46"/>
        <v>69.541181544948657</v>
      </c>
      <c r="AM54" s="93">
        <f t="shared" si="46"/>
        <v>105.52955721110362</v>
      </c>
      <c r="AN54" s="93">
        <f t="shared" si="46"/>
        <v>163.4618058551427</v>
      </c>
      <c r="AO54" s="93">
        <f t="shared" si="46"/>
        <v>161.37495110189315</v>
      </c>
      <c r="AP54" s="93">
        <f t="shared" si="46"/>
        <v>190.18556163806599</v>
      </c>
      <c r="AQ54" s="93">
        <f t="shared" si="46"/>
        <v>213.01095580095762</v>
      </c>
      <c r="AR54" s="93">
        <f t="shared" si="46"/>
        <v>50.62820841730376</v>
      </c>
      <c r="AS54" s="93">
        <f t="shared" si="46"/>
        <v>82.564227411777892</v>
      </c>
      <c r="AT54" s="93">
        <f t="shared" si="46"/>
        <v>173.21378859081881</v>
      </c>
      <c r="AU54" s="93">
        <f t="shared" si="46"/>
        <v>241.89295470885872</v>
      </c>
      <c r="AV54" s="93">
        <f t="shared" si="46"/>
        <v>40.365733738120561</v>
      </c>
      <c r="AW54" s="93">
        <f t="shared" si="46"/>
        <v>90.675471168529427</v>
      </c>
      <c r="AX54" s="93">
        <f t="shared" si="46"/>
        <v>102.36137773330631</v>
      </c>
      <c r="AY54" s="93">
        <f t="shared" si="46"/>
        <v>134.14149229034032</v>
      </c>
      <c r="AZ54" s="93">
        <f t="shared" si="46"/>
        <v>60.101548818709247</v>
      </c>
      <c r="BA54" s="93">
        <f t="shared" si="46"/>
        <v>56.636867434974029</v>
      </c>
      <c r="BB54" s="93">
        <f t="shared" si="46"/>
        <v>65.357923634999679</v>
      </c>
    </row>
    <row r="55" spans="1:54" x14ac:dyDescent="0.25">
      <c r="A55" s="182" t="s">
        <v>1076</v>
      </c>
      <c r="B55" s="183">
        <v>1.9999999999999999E-7</v>
      </c>
      <c r="C55" s="93" t="str">
        <f t="shared" ref="C55:AH55" si="47">IFERROR(C24/$B55,".")</f>
        <v>.</v>
      </c>
      <c r="D55" s="93" t="str">
        <f t="shared" si="47"/>
        <v>.</v>
      </c>
      <c r="E55" s="93" t="str">
        <f t="shared" si="47"/>
        <v>.</v>
      </c>
      <c r="F55" s="93" t="str">
        <f t="shared" si="47"/>
        <v>.</v>
      </c>
      <c r="G55" s="93" t="str">
        <f t="shared" si="47"/>
        <v>.</v>
      </c>
      <c r="H55" s="93" t="str">
        <f t="shared" si="47"/>
        <v>.</v>
      </c>
      <c r="I55" s="93" t="str">
        <f t="shared" si="47"/>
        <v>.</v>
      </c>
      <c r="J55" s="93" t="str">
        <f t="shared" si="47"/>
        <v>.</v>
      </c>
      <c r="K55" s="93" t="str">
        <f t="shared" si="47"/>
        <v>.</v>
      </c>
      <c r="L55" s="93" t="str">
        <f t="shared" si="47"/>
        <v>.</v>
      </c>
      <c r="M55" s="93" t="str">
        <f t="shared" si="47"/>
        <v>.</v>
      </c>
      <c r="N55" s="93" t="str">
        <f t="shared" si="47"/>
        <v>.</v>
      </c>
      <c r="O55" s="93" t="str">
        <f t="shared" si="47"/>
        <v>.</v>
      </c>
      <c r="P55" s="93" t="str">
        <f t="shared" si="47"/>
        <v>.</v>
      </c>
      <c r="Q55" s="93" t="str">
        <f t="shared" si="47"/>
        <v>.</v>
      </c>
      <c r="R55" s="93" t="str">
        <f t="shared" si="47"/>
        <v>.</v>
      </c>
      <c r="S55" s="93" t="str">
        <f t="shared" si="47"/>
        <v>.</v>
      </c>
      <c r="T55" s="93" t="str">
        <f t="shared" si="47"/>
        <v>.</v>
      </c>
      <c r="U55" s="93" t="str">
        <f t="shared" si="47"/>
        <v>.</v>
      </c>
      <c r="V55" s="93" t="str">
        <f t="shared" si="47"/>
        <v>.</v>
      </c>
      <c r="W55" s="93" t="str">
        <f t="shared" si="47"/>
        <v>.</v>
      </c>
      <c r="X55" s="93" t="str">
        <f t="shared" si="47"/>
        <v>.</v>
      </c>
      <c r="Y55" s="93" t="str">
        <f t="shared" si="47"/>
        <v>.</v>
      </c>
      <c r="Z55" s="93" t="str">
        <f t="shared" si="47"/>
        <v>.</v>
      </c>
      <c r="AA55" s="93" t="str">
        <f t="shared" si="47"/>
        <v>.</v>
      </c>
      <c r="AB55" s="93" t="str">
        <f t="shared" si="47"/>
        <v>.</v>
      </c>
      <c r="AC55" s="93" t="str">
        <f t="shared" si="47"/>
        <v>.</v>
      </c>
      <c r="AD55" s="93" t="str">
        <f t="shared" si="47"/>
        <v>.</v>
      </c>
      <c r="AE55" s="93" t="str">
        <f t="shared" si="47"/>
        <v>.</v>
      </c>
      <c r="AF55" s="93" t="str">
        <f t="shared" si="47"/>
        <v>.</v>
      </c>
      <c r="AG55" s="93" t="str">
        <f t="shared" si="47"/>
        <v>.</v>
      </c>
      <c r="AH55" s="93" t="str">
        <f t="shared" si="47"/>
        <v>.</v>
      </c>
      <c r="AI55" s="93" t="str">
        <f t="shared" ref="AI55:BB55" si="48">IFERROR(AI24/$B55,".")</f>
        <v>.</v>
      </c>
      <c r="AJ55" s="93" t="str">
        <f t="shared" si="48"/>
        <v>.</v>
      </c>
      <c r="AK55" s="93" t="str">
        <f t="shared" si="48"/>
        <v>.</v>
      </c>
      <c r="AL55" s="93" t="str">
        <f t="shared" si="48"/>
        <v>.</v>
      </c>
      <c r="AM55" s="93" t="str">
        <f t="shared" si="48"/>
        <v>.</v>
      </c>
      <c r="AN55" s="93" t="str">
        <f t="shared" si="48"/>
        <v>.</v>
      </c>
      <c r="AO55" s="93" t="str">
        <f t="shared" si="48"/>
        <v>.</v>
      </c>
      <c r="AP55" s="93" t="str">
        <f t="shared" si="48"/>
        <v>.</v>
      </c>
      <c r="AQ55" s="93" t="str">
        <f t="shared" si="48"/>
        <v>.</v>
      </c>
      <c r="AR55" s="93" t="str">
        <f t="shared" si="48"/>
        <v>.</v>
      </c>
      <c r="AS55" s="93" t="str">
        <f t="shared" si="48"/>
        <v>.</v>
      </c>
      <c r="AT55" s="93" t="str">
        <f t="shared" si="48"/>
        <v>.</v>
      </c>
      <c r="AU55" s="93" t="str">
        <f t="shared" si="48"/>
        <v>.</v>
      </c>
      <c r="AV55" s="93" t="str">
        <f t="shared" si="48"/>
        <v>.</v>
      </c>
      <c r="AW55" s="93" t="str">
        <f t="shared" si="48"/>
        <v>.</v>
      </c>
      <c r="AX55" s="93" t="str">
        <f t="shared" si="48"/>
        <v>.</v>
      </c>
      <c r="AY55" s="93" t="str">
        <f t="shared" si="48"/>
        <v>.</v>
      </c>
      <c r="AZ55" s="93" t="str">
        <f t="shared" si="48"/>
        <v>.</v>
      </c>
      <c r="BA55" s="93" t="str">
        <f t="shared" si="48"/>
        <v>.</v>
      </c>
      <c r="BB55" s="93" t="str">
        <f t="shared" si="48"/>
        <v>.</v>
      </c>
    </row>
    <row r="56" spans="1:54" x14ac:dyDescent="0.25">
      <c r="A56" s="182" t="s">
        <v>1077</v>
      </c>
      <c r="B56" s="183">
        <v>0.99979000004200003</v>
      </c>
      <c r="C56" s="93" t="str">
        <f t="shared" ref="C56:AH56" si="49">IFERROR(C20/$B56,".")</f>
        <v>.</v>
      </c>
      <c r="D56" s="93" t="str">
        <f t="shared" si="49"/>
        <v>.</v>
      </c>
      <c r="E56" s="93" t="str">
        <f t="shared" si="49"/>
        <v>.</v>
      </c>
      <c r="F56" s="93" t="str">
        <f t="shared" si="49"/>
        <v>.</v>
      </c>
      <c r="G56" s="93" t="str">
        <f t="shared" si="49"/>
        <v>.</v>
      </c>
      <c r="H56" s="93" t="str">
        <f t="shared" si="49"/>
        <v>.</v>
      </c>
      <c r="I56" s="93" t="str">
        <f t="shared" si="49"/>
        <v>.</v>
      </c>
      <c r="J56" s="93" t="str">
        <f t="shared" si="49"/>
        <v>.</v>
      </c>
      <c r="K56" s="93" t="str">
        <f t="shared" si="49"/>
        <v>.</v>
      </c>
      <c r="L56" s="93" t="str">
        <f t="shared" si="49"/>
        <v>.</v>
      </c>
      <c r="M56" s="93" t="str">
        <f t="shared" si="49"/>
        <v>.</v>
      </c>
      <c r="N56" s="93" t="str">
        <f t="shared" si="49"/>
        <v>.</v>
      </c>
      <c r="O56" s="93" t="str">
        <f t="shared" si="49"/>
        <v>.</v>
      </c>
      <c r="P56" s="93" t="str">
        <f t="shared" si="49"/>
        <v>.</v>
      </c>
      <c r="Q56" s="93" t="str">
        <f t="shared" si="49"/>
        <v>.</v>
      </c>
      <c r="R56" s="93" t="str">
        <f t="shared" si="49"/>
        <v>.</v>
      </c>
      <c r="S56" s="93" t="str">
        <f t="shared" si="49"/>
        <v>.</v>
      </c>
      <c r="T56" s="93" t="str">
        <f t="shared" si="49"/>
        <v>.</v>
      </c>
      <c r="U56" s="93" t="str">
        <f t="shared" si="49"/>
        <v>.</v>
      </c>
      <c r="V56" s="93" t="str">
        <f t="shared" si="49"/>
        <v>.</v>
      </c>
      <c r="W56" s="93" t="str">
        <f t="shared" si="49"/>
        <v>.</v>
      </c>
      <c r="X56" s="93" t="str">
        <f t="shared" si="49"/>
        <v>.</v>
      </c>
      <c r="Y56" s="93" t="str">
        <f t="shared" si="49"/>
        <v>.</v>
      </c>
      <c r="Z56" s="93" t="str">
        <f t="shared" si="49"/>
        <v>.</v>
      </c>
      <c r="AA56" s="93" t="str">
        <f t="shared" si="49"/>
        <v>.</v>
      </c>
      <c r="AB56" s="93" t="str">
        <f t="shared" si="49"/>
        <v>.</v>
      </c>
      <c r="AC56" s="93" t="str">
        <f t="shared" si="49"/>
        <v>.</v>
      </c>
      <c r="AD56" s="93" t="str">
        <f t="shared" si="49"/>
        <v>.</v>
      </c>
      <c r="AE56" s="93" t="str">
        <f t="shared" si="49"/>
        <v>.</v>
      </c>
      <c r="AF56" s="93" t="str">
        <f t="shared" si="49"/>
        <v>.</v>
      </c>
      <c r="AG56" s="93" t="str">
        <f t="shared" si="49"/>
        <v>.</v>
      </c>
      <c r="AH56" s="93" t="str">
        <f t="shared" si="49"/>
        <v>.</v>
      </c>
      <c r="AI56" s="93" t="str">
        <f t="shared" ref="AI56:BB56" si="50">IFERROR(AI20/$B56,".")</f>
        <v>.</v>
      </c>
      <c r="AJ56" s="93" t="str">
        <f t="shared" si="50"/>
        <v>.</v>
      </c>
      <c r="AK56" s="93" t="str">
        <f t="shared" si="50"/>
        <v>.</v>
      </c>
      <c r="AL56" s="93" t="str">
        <f t="shared" si="50"/>
        <v>.</v>
      </c>
      <c r="AM56" s="93" t="str">
        <f t="shared" si="50"/>
        <v>.</v>
      </c>
      <c r="AN56" s="93" t="str">
        <f t="shared" si="50"/>
        <v>.</v>
      </c>
      <c r="AO56" s="93" t="str">
        <f t="shared" si="50"/>
        <v>.</v>
      </c>
      <c r="AP56" s="93" t="str">
        <f t="shared" si="50"/>
        <v>.</v>
      </c>
      <c r="AQ56" s="93" t="str">
        <f t="shared" si="50"/>
        <v>.</v>
      </c>
      <c r="AR56" s="93" t="str">
        <f t="shared" si="50"/>
        <v>.</v>
      </c>
      <c r="AS56" s="93" t="str">
        <f t="shared" si="50"/>
        <v>.</v>
      </c>
      <c r="AT56" s="93" t="str">
        <f t="shared" si="50"/>
        <v>.</v>
      </c>
      <c r="AU56" s="93" t="str">
        <f t="shared" si="50"/>
        <v>.</v>
      </c>
      <c r="AV56" s="93" t="str">
        <f t="shared" si="50"/>
        <v>.</v>
      </c>
      <c r="AW56" s="93" t="str">
        <f t="shared" si="50"/>
        <v>.</v>
      </c>
      <c r="AX56" s="93" t="str">
        <f t="shared" si="50"/>
        <v>.</v>
      </c>
      <c r="AY56" s="93" t="str">
        <f t="shared" si="50"/>
        <v>.</v>
      </c>
      <c r="AZ56" s="93" t="str">
        <f t="shared" si="50"/>
        <v>.</v>
      </c>
      <c r="BA56" s="93" t="str">
        <f t="shared" si="50"/>
        <v>.</v>
      </c>
      <c r="BB56" s="93" t="str">
        <f t="shared" si="50"/>
        <v>.</v>
      </c>
    </row>
    <row r="57" spans="1:54" x14ac:dyDescent="0.25">
      <c r="A57" s="182" t="s">
        <v>1078</v>
      </c>
      <c r="B57" s="183">
        <v>2.0999995799999999E-4</v>
      </c>
      <c r="C57" s="93" t="str">
        <f t="shared" ref="C57:AH57" si="51">IFERROR(C29/$B57,".")</f>
        <v>.</v>
      </c>
      <c r="D57" s="93" t="str">
        <f t="shared" si="51"/>
        <v>.</v>
      </c>
      <c r="E57" s="93" t="str">
        <f t="shared" si="51"/>
        <v>.</v>
      </c>
      <c r="F57" s="93" t="str">
        <f t="shared" si="51"/>
        <v>.</v>
      </c>
      <c r="G57" s="93" t="str">
        <f t="shared" si="51"/>
        <v>.</v>
      </c>
      <c r="H57" s="93" t="str">
        <f t="shared" si="51"/>
        <v>.</v>
      </c>
      <c r="I57" s="93" t="str">
        <f t="shared" si="51"/>
        <v>.</v>
      </c>
      <c r="J57" s="93" t="str">
        <f t="shared" si="51"/>
        <v>.</v>
      </c>
      <c r="K57" s="93" t="str">
        <f t="shared" si="51"/>
        <v>.</v>
      </c>
      <c r="L57" s="93" t="str">
        <f t="shared" si="51"/>
        <v>.</v>
      </c>
      <c r="M57" s="93" t="str">
        <f t="shared" si="51"/>
        <v>.</v>
      </c>
      <c r="N57" s="93" t="str">
        <f t="shared" si="51"/>
        <v>.</v>
      </c>
      <c r="O57" s="93" t="str">
        <f t="shared" si="51"/>
        <v>.</v>
      </c>
      <c r="P57" s="93" t="str">
        <f t="shared" si="51"/>
        <v>.</v>
      </c>
      <c r="Q57" s="93" t="str">
        <f t="shared" si="51"/>
        <v>.</v>
      </c>
      <c r="R57" s="93" t="str">
        <f t="shared" si="51"/>
        <v>.</v>
      </c>
      <c r="S57" s="93" t="str">
        <f t="shared" si="51"/>
        <v>.</v>
      </c>
      <c r="T57" s="93" t="str">
        <f t="shared" si="51"/>
        <v>.</v>
      </c>
      <c r="U57" s="93" t="str">
        <f t="shared" si="51"/>
        <v>.</v>
      </c>
      <c r="V57" s="93" t="str">
        <f t="shared" si="51"/>
        <v>.</v>
      </c>
      <c r="W57" s="93" t="str">
        <f t="shared" si="51"/>
        <v>.</v>
      </c>
      <c r="X57" s="93" t="str">
        <f t="shared" si="51"/>
        <v>.</v>
      </c>
      <c r="Y57" s="93" t="str">
        <f t="shared" si="51"/>
        <v>.</v>
      </c>
      <c r="Z57" s="93" t="str">
        <f t="shared" si="51"/>
        <v>.</v>
      </c>
      <c r="AA57" s="93" t="str">
        <f t="shared" si="51"/>
        <v>.</v>
      </c>
      <c r="AB57" s="93" t="str">
        <f t="shared" si="51"/>
        <v>.</v>
      </c>
      <c r="AC57" s="93" t="str">
        <f t="shared" si="51"/>
        <v>.</v>
      </c>
      <c r="AD57" s="93" t="str">
        <f t="shared" si="51"/>
        <v>.</v>
      </c>
      <c r="AE57" s="93" t="str">
        <f t="shared" si="51"/>
        <v>.</v>
      </c>
      <c r="AF57" s="93" t="str">
        <f t="shared" si="51"/>
        <v>.</v>
      </c>
      <c r="AG57" s="93" t="str">
        <f t="shared" si="51"/>
        <v>.</v>
      </c>
      <c r="AH57" s="93" t="str">
        <f t="shared" si="51"/>
        <v>.</v>
      </c>
      <c r="AI57" s="93" t="str">
        <f t="shared" ref="AI57:BB57" si="52">IFERROR(AI29/$B57,".")</f>
        <v>.</v>
      </c>
      <c r="AJ57" s="93" t="str">
        <f t="shared" si="52"/>
        <v>.</v>
      </c>
      <c r="AK57" s="93" t="str">
        <f t="shared" si="52"/>
        <v>.</v>
      </c>
      <c r="AL57" s="93" t="str">
        <f t="shared" si="52"/>
        <v>.</v>
      </c>
      <c r="AM57" s="93" t="str">
        <f t="shared" si="52"/>
        <v>.</v>
      </c>
      <c r="AN57" s="93" t="str">
        <f t="shared" si="52"/>
        <v>.</v>
      </c>
      <c r="AO57" s="93" t="str">
        <f t="shared" si="52"/>
        <v>.</v>
      </c>
      <c r="AP57" s="93" t="str">
        <f t="shared" si="52"/>
        <v>.</v>
      </c>
      <c r="AQ57" s="93" t="str">
        <f t="shared" si="52"/>
        <v>.</v>
      </c>
      <c r="AR57" s="93" t="str">
        <f t="shared" si="52"/>
        <v>.</v>
      </c>
      <c r="AS57" s="93" t="str">
        <f t="shared" si="52"/>
        <v>.</v>
      </c>
      <c r="AT57" s="93" t="str">
        <f t="shared" si="52"/>
        <v>.</v>
      </c>
      <c r="AU57" s="93" t="str">
        <f t="shared" si="52"/>
        <v>.</v>
      </c>
      <c r="AV57" s="93" t="str">
        <f t="shared" si="52"/>
        <v>.</v>
      </c>
      <c r="AW57" s="93" t="str">
        <f t="shared" si="52"/>
        <v>.</v>
      </c>
      <c r="AX57" s="93" t="str">
        <f t="shared" si="52"/>
        <v>.</v>
      </c>
      <c r="AY57" s="93" t="str">
        <f t="shared" si="52"/>
        <v>.</v>
      </c>
      <c r="AZ57" s="93" t="str">
        <f t="shared" si="52"/>
        <v>.</v>
      </c>
      <c r="BA57" s="93" t="str">
        <f t="shared" si="52"/>
        <v>.</v>
      </c>
      <c r="BB57" s="93" t="str">
        <f t="shared" si="52"/>
        <v>.</v>
      </c>
    </row>
    <row r="58" spans="1:54" x14ac:dyDescent="0.25">
      <c r="A58" s="182" t="s">
        <v>1079</v>
      </c>
      <c r="B58" s="183">
        <v>1</v>
      </c>
      <c r="C58" s="93">
        <f t="shared" ref="C58:AH58" si="53">IFERROR(C16/$B58,".")</f>
        <v>5.6853079068298115E-4</v>
      </c>
      <c r="D58" s="93">
        <f t="shared" si="53"/>
        <v>1.0305318059281438E-2</v>
      </c>
      <c r="E58" s="93">
        <f t="shared" si="53"/>
        <v>2.2522150907032554E-2</v>
      </c>
      <c r="F58" s="93">
        <f t="shared" si="53"/>
        <v>2.7165910025441092E-2</v>
      </c>
      <c r="G58" s="93">
        <f t="shared" si="53"/>
        <v>2.3172928698775398E-2</v>
      </c>
      <c r="H58" s="93">
        <f t="shared" si="53"/>
        <v>2.8545664966969281E-2</v>
      </c>
      <c r="I58" s="93">
        <f t="shared" si="53"/>
        <v>1.1093911000556738E-2</v>
      </c>
      <c r="J58" s="93">
        <f t="shared" si="53"/>
        <v>3.1280868547599053E-2</v>
      </c>
      <c r="K58" s="93">
        <f t="shared" si="53"/>
        <v>2.6714878366497605E-3</v>
      </c>
      <c r="L58" s="93">
        <f t="shared" si="53"/>
        <v>1.4646151684832508E-2</v>
      </c>
      <c r="M58" s="93">
        <f t="shared" si="53"/>
        <v>1.0970923986160515E-2</v>
      </c>
      <c r="N58" s="93">
        <f t="shared" si="53"/>
        <v>2.6068647105436871E-2</v>
      </c>
      <c r="O58" s="93">
        <f t="shared" si="53"/>
        <v>2.4293539793633231E-2</v>
      </c>
      <c r="P58" s="93">
        <f t="shared" si="53"/>
        <v>2.9607335963589845E-2</v>
      </c>
      <c r="Q58" s="93">
        <f t="shared" si="53"/>
        <v>4.2265496906486844E-2</v>
      </c>
      <c r="R58" s="93">
        <f t="shared" si="53"/>
        <v>6.6156296639052065E-3</v>
      </c>
      <c r="S58" s="93">
        <f t="shared" si="53"/>
        <v>1.3499876613152738E-2</v>
      </c>
      <c r="T58" s="93">
        <f t="shared" si="53"/>
        <v>2.3549196857938048E-2</v>
      </c>
      <c r="U58" s="93">
        <f t="shared" si="53"/>
        <v>4.7127712935071724E-2</v>
      </c>
      <c r="V58" s="93">
        <f t="shared" si="53"/>
        <v>6.9273878445257108E-3</v>
      </c>
      <c r="W58" s="93">
        <f t="shared" si="53"/>
        <v>1.4079328645347722E-2</v>
      </c>
      <c r="X58" s="93">
        <f t="shared" si="53"/>
        <v>1.5793461574819909E-2</v>
      </c>
      <c r="Y58" s="93">
        <f t="shared" si="53"/>
        <v>2.0141527139409698E-2</v>
      </c>
      <c r="Z58" s="93">
        <f t="shared" si="53"/>
        <v>1.0821784533198858E-2</v>
      </c>
      <c r="AA58" s="93">
        <f t="shared" si="53"/>
        <v>1.0443209421447481E-2</v>
      </c>
      <c r="AB58" s="93">
        <f t="shared" si="53"/>
        <v>1.1977274721380082E-2</v>
      </c>
      <c r="AC58" s="93">
        <f t="shared" si="53"/>
        <v>5.349639479557026E-4</v>
      </c>
      <c r="AD58" s="93">
        <f t="shared" si="53"/>
        <v>8.9608756653724603E-3</v>
      </c>
      <c r="AE58" s="93">
        <f t="shared" si="53"/>
        <v>2.1105647632812724E-2</v>
      </c>
      <c r="AF58" s="93">
        <f t="shared" si="53"/>
        <v>2.5118101545752898E-2</v>
      </c>
      <c r="AG58" s="93">
        <f t="shared" si="53"/>
        <v>2.2565114175528832E-2</v>
      </c>
      <c r="AH58" s="93">
        <f t="shared" si="53"/>
        <v>2.4260842191603665E-2</v>
      </c>
      <c r="AI58" s="93">
        <f t="shared" ref="AI58:BB58" si="54">IFERROR(AI16/$B58,".")</f>
        <v>1.0936216404319139E-2</v>
      </c>
      <c r="AJ58" s="93">
        <f t="shared" si="54"/>
        <v>3.334329797793404E-2</v>
      </c>
      <c r="AK58" s="93">
        <f t="shared" si="54"/>
        <v>2.5977852984095128E-3</v>
      </c>
      <c r="AL58" s="93">
        <f t="shared" si="54"/>
        <v>1.0158464684186411E-2</v>
      </c>
      <c r="AM58" s="93">
        <f t="shared" si="54"/>
        <v>1.541558909771925E-2</v>
      </c>
      <c r="AN58" s="93">
        <f t="shared" si="54"/>
        <v>2.3878239412994554E-2</v>
      </c>
      <c r="AO58" s="93">
        <f t="shared" si="54"/>
        <v>2.3573395005106409E-2</v>
      </c>
      <c r="AP58" s="93">
        <f t="shared" si="54"/>
        <v>2.7782002957394213E-2</v>
      </c>
      <c r="AQ58" s="93">
        <f t="shared" si="54"/>
        <v>3.111630006531E-2</v>
      </c>
      <c r="AR58" s="93">
        <f t="shared" si="54"/>
        <v>7.3956877896643606E-3</v>
      </c>
      <c r="AS58" s="93">
        <f t="shared" si="54"/>
        <v>1.2060850415628363E-2</v>
      </c>
      <c r="AT58" s="93">
        <f t="shared" si="54"/>
        <v>2.5302793468883436E-2</v>
      </c>
      <c r="AU58" s="93">
        <f t="shared" si="54"/>
        <v>3.5335336316872454E-2</v>
      </c>
      <c r="AV58" s="93">
        <f t="shared" si="54"/>
        <v>5.8965618863540178E-3</v>
      </c>
      <c r="AW58" s="93">
        <f t="shared" si="54"/>
        <v>1.3245727943119455E-2</v>
      </c>
      <c r="AX58" s="93">
        <f t="shared" si="54"/>
        <v>1.4952786501856455E-2</v>
      </c>
      <c r="AY58" s="93">
        <f t="shared" si="54"/>
        <v>1.959517485671004E-2</v>
      </c>
      <c r="AZ58" s="93">
        <f t="shared" si="54"/>
        <v>8.7795382185897296E-3</v>
      </c>
      <c r="BA58" s="93">
        <f t="shared" si="54"/>
        <v>8.2734230980710602E-3</v>
      </c>
      <c r="BB58" s="93">
        <f t="shared" si="54"/>
        <v>9.5473810528910064E-3</v>
      </c>
    </row>
    <row r="59" spans="1:54" x14ac:dyDescent="0.25">
      <c r="A59" s="182" t="s">
        <v>1080</v>
      </c>
      <c r="B59" s="183">
        <v>1</v>
      </c>
      <c r="C59" s="93">
        <f t="shared" ref="C59:AH59" si="55">IFERROR(C7/$B59,".")</f>
        <v>0.32216744805368919</v>
      </c>
      <c r="D59" s="93">
        <f t="shared" si="55"/>
        <v>5.8396802335928149</v>
      </c>
      <c r="E59" s="93">
        <f t="shared" si="55"/>
        <v>12.762552180651781</v>
      </c>
      <c r="F59" s="93">
        <f t="shared" si="55"/>
        <v>15.394015681083287</v>
      </c>
      <c r="G59" s="93">
        <f t="shared" si="55"/>
        <v>13.131326262639393</v>
      </c>
      <c r="H59" s="93">
        <f t="shared" si="55"/>
        <v>16.175876814615929</v>
      </c>
      <c r="I59" s="93">
        <f t="shared" si="55"/>
        <v>6.2865495669821527</v>
      </c>
      <c r="J59" s="93">
        <f t="shared" si="55"/>
        <v>17.72582551030613</v>
      </c>
      <c r="K59" s="93">
        <f t="shared" si="55"/>
        <v>1.5138431074348642</v>
      </c>
      <c r="L59" s="93">
        <f t="shared" si="55"/>
        <v>8.2994859547384205</v>
      </c>
      <c r="M59" s="93">
        <f t="shared" si="55"/>
        <v>6.2168569254909585</v>
      </c>
      <c r="N59" s="93">
        <f t="shared" si="55"/>
        <v>14.772233359747561</v>
      </c>
      <c r="O59" s="93">
        <f t="shared" si="55"/>
        <v>13.766339216392165</v>
      </c>
      <c r="P59" s="93">
        <f t="shared" si="55"/>
        <v>16.777490379367581</v>
      </c>
      <c r="Q59" s="93">
        <f t="shared" si="55"/>
        <v>23.950448247009213</v>
      </c>
      <c r="R59" s="93">
        <f t="shared" si="55"/>
        <v>3.7488568095462842</v>
      </c>
      <c r="S59" s="93">
        <f t="shared" si="55"/>
        <v>7.6499300807865502</v>
      </c>
      <c r="T59" s="93">
        <f t="shared" si="55"/>
        <v>13.344544886164895</v>
      </c>
      <c r="U59" s="93">
        <f t="shared" si="55"/>
        <v>26.705703996540649</v>
      </c>
      <c r="V59" s="93">
        <f t="shared" si="55"/>
        <v>3.9255197785645697</v>
      </c>
      <c r="W59" s="93">
        <f t="shared" si="55"/>
        <v>7.9782862323637103</v>
      </c>
      <c r="X59" s="93">
        <f t="shared" si="55"/>
        <v>8.9496282257312814</v>
      </c>
      <c r="Y59" s="93">
        <f t="shared" si="55"/>
        <v>11.413532045665495</v>
      </c>
      <c r="Z59" s="93">
        <f t="shared" si="55"/>
        <v>6.1323445688126856</v>
      </c>
      <c r="AA59" s="93">
        <f t="shared" si="55"/>
        <v>5.9178186721535733</v>
      </c>
      <c r="AB59" s="93">
        <f t="shared" si="55"/>
        <v>6.7871223421153797</v>
      </c>
      <c r="AC59" s="93">
        <f t="shared" si="55"/>
        <v>0.30314623717489825</v>
      </c>
      <c r="AD59" s="93">
        <f t="shared" si="55"/>
        <v>5.0778295437110614</v>
      </c>
      <c r="AE59" s="93">
        <f t="shared" si="55"/>
        <v>11.95986699192721</v>
      </c>
      <c r="AF59" s="93">
        <f t="shared" si="55"/>
        <v>14.233590875926643</v>
      </c>
      <c r="AG59" s="93">
        <f t="shared" si="55"/>
        <v>12.786898032799673</v>
      </c>
      <c r="AH59" s="93">
        <f t="shared" si="55"/>
        <v>13.747810575242077</v>
      </c>
      <c r="AI59" s="93">
        <f t="shared" ref="AI59:BB59" si="56">IFERROR(AI7/$B59,".")</f>
        <v>6.197189295780845</v>
      </c>
      <c r="AJ59" s="93">
        <f t="shared" si="56"/>
        <v>18.89453552082929</v>
      </c>
      <c r="AK59" s="93">
        <f t="shared" si="56"/>
        <v>1.4720783357653908</v>
      </c>
      <c r="AL59" s="93">
        <f t="shared" si="56"/>
        <v>5.7564633210389671</v>
      </c>
      <c r="AM59" s="93">
        <f t="shared" si="56"/>
        <v>8.735500488707574</v>
      </c>
      <c r="AN59" s="93">
        <f t="shared" si="56"/>
        <v>13.53100233403025</v>
      </c>
      <c r="AO59" s="93">
        <f t="shared" si="56"/>
        <v>13.358257169560298</v>
      </c>
      <c r="AP59" s="93">
        <f t="shared" si="56"/>
        <v>15.743135009190055</v>
      </c>
      <c r="AQ59" s="93">
        <f t="shared" si="56"/>
        <v>17.632570037009003</v>
      </c>
      <c r="AR59" s="93">
        <f t="shared" si="56"/>
        <v>4.1908897474764721</v>
      </c>
      <c r="AS59" s="93">
        <f t="shared" si="56"/>
        <v>6.8344819021894061</v>
      </c>
      <c r="AT59" s="93">
        <f t="shared" si="56"/>
        <v>14.338249632367278</v>
      </c>
      <c r="AU59" s="93">
        <f t="shared" si="56"/>
        <v>20.023357246227725</v>
      </c>
      <c r="AV59" s="93">
        <f t="shared" si="56"/>
        <v>3.3413850689339437</v>
      </c>
      <c r="AW59" s="93">
        <f t="shared" si="56"/>
        <v>7.5059125011010241</v>
      </c>
      <c r="AX59" s="93">
        <f t="shared" si="56"/>
        <v>8.4732456843853257</v>
      </c>
      <c r="AY59" s="93">
        <f t="shared" si="56"/>
        <v>11.103932418802355</v>
      </c>
      <c r="AZ59" s="93">
        <f t="shared" si="56"/>
        <v>4.9750716572008464</v>
      </c>
      <c r="BA59" s="93">
        <f t="shared" si="56"/>
        <v>4.6882730889069339</v>
      </c>
      <c r="BB59" s="93">
        <f t="shared" si="56"/>
        <v>5.4101825966382373</v>
      </c>
    </row>
    <row r="60" spans="1:54" x14ac:dyDescent="0.25">
      <c r="A60" s="182" t="s">
        <v>1081</v>
      </c>
      <c r="B60" s="186">
        <v>1.9000000000000001E-8</v>
      </c>
      <c r="C60" s="93" t="str">
        <f t="shared" ref="C60:AH60" si="57">IFERROR(C12/$B60,".")</f>
        <v>.</v>
      </c>
      <c r="D60" s="93" t="str">
        <f t="shared" si="57"/>
        <v>.</v>
      </c>
      <c r="E60" s="93" t="str">
        <f t="shared" si="57"/>
        <v>.</v>
      </c>
      <c r="F60" s="93" t="str">
        <f t="shared" si="57"/>
        <v>.</v>
      </c>
      <c r="G60" s="93" t="str">
        <f t="shared" si="57"/>
        <v>.</v>
      </c>
      <c r="H60" s="93" t="str">
        <f t="shared" si="57"/>
        <v>.</v>
      </c>
      <c r="I60" s="93" t="str">
        <f t="shared" si="57"/>
        <v>.</v>
      </c>
      <c r="J60" s="93" t="str">
        <f t="shared" si="57"/>
        <v>.</v>
      </c>
      <c r="K60" s="93" t="str">
        <f t="shared" si="57"/>
        <v>.</v>
      </c>
      <c r="L60" s="93" t="str">
        <f t="shared" si="57"/>
        <v>.</v>
      </c>
      <c r="M60" s="93" t="str">
        <f t="shared" si="57"/>
        <v>.</v>
      </c>
      <c r="N60" s="93" t="str">
        <f t="shared" si="57"/>
        <v>.</v>
      </c>
      <c r="O60" s="93" t="str">
        <f t="shared" si="57"/>
        <v>.</v>
      </c>
      <c r="P60" s="93" t="str">
        <f t="shared" si="57"/>
        <v>.</v>
      </c>
      <c r="Q60" s="93" t="str">
        <f t="shared" si="57"/>
        <v>.</v>
      </c>
      <c r="R60" s="93" t="str">
        <f t="shared" si="57"/>
        <v>.</v>
      </c>
      <c r="S60" s="93" t="str">
        <f t="shared" si="57"/>
        <v>.</v>
      </c>
      <c r="T60" s="93" t="str">
        <f t="shared" si="57"/>
        <v>.</v>
      </c>
      <c r="U60" s="93" t="str">
        <f t="shared" si="57"/>
        <v>.</v>
      </c>
      <c r="V60" s="93" t="str">
        <f t="shared" si="57"/>
        <v>.</v>
      </c>
      <c r="W60" s="93" t="str">
        <f t="shared" si="57"/>
        <v>.</v>
      </c>
      <c r="X60" s="93" t="str">
        <f t="shared" si="57"/>
        <v>.</v>
      </c>
      <c r="Y60" s="93" t="str">
        <f t="shared" si="57"/>
        <v>.</v>
      </c>
      <c r="Z60" s="93" t="str">
        <f t="shared" si="57"/>
        <v>.</v>
      </c>
      <c r="AA60" s="93" t="str">
        <f t="shared" si="57"/>
        <v>.</v>
      </c>
      <c r="AB60" s="93" t="str">
        <f t="shared" si="57"/>
        <v>.</v>
      </c>
      <c r="AC60" s="93" t="str">
        <f t="shared" si="57"/>
        <v>.</v>
      </c>
      <c r="AD60" s="93" t="str">
        <f t="shared" si="57"/>
        <v>.</v>
      </c>
      <c r="AE60" s="93" t="str">
        <f t="shared" si="57"/>
        <v>.</v>
      </c>
      <c r="AF60" s="93" t="str">
        <f t="shared" si="57"/>
        <v>.</v>
      </c>
      <c r="AG60" s="93" t="str">
        <f t="shared" si="57"/>
        <v>.</v>
      </c>
      <c r="AH60" s="93" t="str">
        <f t="shared" si="57"/>
        <v>.</v>
      </c>
      <c r="AI60" s="93" t="str">
        <f t="shared" ref="AI60:BB60" si="58">IFERROR(AI12/$B60,".")</f>
        <v>.</v>
      </c>
      <c r="AJ60" s="93" t="str">
        <f t="shared" si="58"/>
        <v>.</v>
      </c>
      <c r="AK60" s="93" t="str">
        <f t="shared" si="58"/>
        <v>.</v>
      </c>
      <c r="AL60" s="93" t="str">
        <f t="shared" si="58"/>
        <v>.</v>
      </c>
      <c r="AM60" s="93" t="str">
        <f t="shared" si="58"/>
        <v>.</v>
      </c>
      <c r="AN60" s="93" t="str">
        <f t="shared" si="58"/>
        <v>.</v>
      </c>
      <c r="AO60" s="93" t="str">
        <f t="shared" si="58"/>
        <v>.</v>
      </c>
      <c r="AP60" s="93" t="str">
        <f t="shared" si="58"/>
        <v>.</v>
      </c>
      <c r="AQ60" s="93" t="str">
        <f t="shared" si="58"/>
        <v>.</v>
      </c>
      <c r="AR60" s="93" t="str">
        <f t="shared" si="58"/>
        <v>.</v>
      </c>
      <c r="AS60" s="93" t="str">
        <f t="shared" si="58"/>
        <v>.</v>
      </c>
      <c r="AT60" s="93" t="str">
        <f t="shared" si="58"/>
        <v>.</v>
      </c>
      <c r="AU60" s="93" t="str">
        <f t="shared" si="58"/>
        <v>.</v>
      </c>
      <c r="AV60" s="93" t="str">
        <f t="shared" si="58"/>
        <v>.</v>
      </c>
      <c r="AW60" s="93" t="str">
        <f t="shared" si="58"/>
        <v>.</v>
      </c>
      <c r="AX60" s="93" t="str">
        <f t="shared" si="58"/>
        <v>.</v>
      </c>
      <c r="AY60" s="93" t="str">
        <f t="shared" si="58"/>
        <v>.</v>
      </c>
      <c r="AZ60" s="93" t="str">
        <f t="shared" si="58"/>
        <v>.</v>
      </c>
      <c r="BA60" s="93" t="str">
        <f t="shared" si="58"/>
        <v>.</v>
      </c>
      <c r="BB60" s="93" t="str">
        <f t="shared" si="58"/>
        <v>.</v>
      </c>
    </row>
    <row r="61" spans="1:54" x14ac:dyDescent="0.25">
      <c r="A61" s="182" t="s">
        <v>1082</v>
      </c>
      <c r="B61" s="183">
        <v>1</v>
      </c>
      <c r="C61" s="93">
        <f t="shared" ref="C61:AH61" si="59">IFERROR(C18/$B61,".")</f>
        <v>3.3137223228379476E-4</v>
      </c>
      <c r="D61" s="93">
        <f t="shared" si="59"/>
        <v>6.0065282402668946E-3</v>
      </c>
      <c r="E61" s="93">
        <f t="shared" si="59"/>
        <v>1.3127196528670403E-2</v>
      </c>
      <c r="F61" s="93">
        <f t="shared" si="59"/>
        <v>1.5833844700542807E-2</v>
      </c>
      <c r="G61" s="93">
        <f t="shared" si="59"/>
        <v>1.3506507013000517E-2</v>
      </c>
      <c r="H61" s="93">
        <f t="shared" si="59"/>
        <v>1.6638044723604951E-2</v>
      </c>
      <c r="I61" s="93">
        <f t="shared" si="59"/>
        <v>6.4661652688959275E-3</v>
      </c>
      <c r="J61" s="93">
        <f t="shared" si="59"/>
        <v>1.8232277667743449E-2</v>
      </c>
      <c r="K61" s="93">
        <f t="shared" si="59"/>
        <v>1.5570957676472889E-3</v>
      </c>
      <c r="L61" s="93">
        <f t="shared" si="59"/>
        <v>8.5366141248738054E-3</v>
      </c>
      <c r="M61" s="93">
        <f t="shared" si="59"/>
        <v>6.3944814090764138E-3</v>
      </c>
      <c r="N61" s="93">
        <f t="shared" si="59"/>
        <v>1.5194297170026062E-2</v>
      </c>
      <c r="O61" s="93">
        <f t="shared" si="59"/>
        <v>1.4159663194003368E-2</v>
      </c>
      <c r="P61" s="93">
        <f t="shared" si="59"/>
        <v>1.7256847247349511E-2</v>
      </c>
      <c r="Q61" s="93">
        <f t="shared" si="59"/>
        <v>2.4634746768352332E-2</v>
      </c>
      <c r="R61" s="93">
        <f t="shared" si="59"/>
        <v>3.8559670041047496E-3</v>
      </c>
      <c r="S61" s="93">
        <f t="shared" si="59"/>
        <v>7.8684995116661653E-3</v>
      </c>
      <c r="T61" s="93">
        <f t="shared" si="59"/>
        <v>1.3725817597198178E-2</v>
      </c>
      <c r="U61" s="93">
        <f t="shared" si="59"/>
        <v>2.7468724110727524E-2</v>
      </c>
      <c r="V61" s="93">
        <f t="shared" si="59"/>
        <v>4.0376774865235575E-3</v>
      </c>
      <c r="W61" s="93">
        <f t="shared" si="59"/>
        <v>8.2062372675741017E-3</v>
      </c>
      <c r="X61" s="93">
        <f t="shared" si="59"/>
        <v>9.205331889323605E-3</v>
      </c>
      <c r="Y61" s="93">
        <f t="shared" si="59"/>
        <v>1.1739632961255939E-2</v>
      </c>
      <c r="Z61" s="93">
        <f t="shared" si="59"/>
        <v>6.3075544136359058E-3</v>
      </c>
      <c r="AA61" s="93">
        <f t="shared" si="59"/>
        <v>6.0868992056436746E-3</v>
      </c>
      <c r="AB61" s="93">
        <f t="shared" si="59"/>
        <v>6.9810401233186764E-3</v>
      </c>
      <c r="AC61" s="93">
        <f t="shared" si="59"/>
        <v>3.1180755823703818E-4</v>
      </c>
      <c r="AD61" s="93">
        <f t="shared" si="59"/>
        <v>5.2229103878170908E-3</v>
      </c>
      <c r="AE61" s="93">
        <f t="shared" si="59"/>
        <v>1.2301577477410845E-2</v>
      </c>
      <c r="AF61" s="93">
        <f t="shared" si="59"/>
        <v>1.4640264900953119E-2</v>
      </c>
      <c r="AG61" s="93">
        <f t="shared" si="59"/>
        <v>1.3152237976593949E-2</v>
      </c>
      <c r="AH61" s="93">
        <f t="shared" si="59"/>
        <v>1.4140605163106139E-2</v>
      </c>
      <c r="AI61" s="93">
        <f t="shared" ref="AI61:BB61" si="60">IFERROR(AI18/$B61,".")</f>
        <v>6.3742518470888687E-3</v>
      </c>
      <c r="AJ61" s="93">
        <f t="shared" si="60"/>
        <v>1.9434379392852984E-2</v>
      </c>
      <c r="AK61" s="93">
        <f t="shared" si="60"/>
        <v>1.5141377167872591E-3</v>
      </c>
      <c r="AL61" s="93">
        <f t="shared" si="60"/>
        <v>5.92093370164008E-3</v>
      </c>
      <c r="AM61" s="93">
        <f t="shared" si="60"/>
        <v>8.9850862169563624E-3</v>
      </c>
      <c r="AN61" s="93">
        <f t="shared" si="60"/>
        <v>1.3917602400716827E-2</v>
      </c>
      <c r="AO61" s="93">
        <f t="shared" si="60"/>
        <v>1.3739921660119165E-2</v>
      </c>
      <c r="AP61" s="93">
        <f t="shared" si="60"/>
        <v>1.6192938866595487E-2</v>
      </c>
      <c r="AQ61" s="93">
        <f t="shared" si="60"/>
        <v>1.8136357752352117E-2</v>
      </c>
      <c r="AR61" s="93">
        <f t="shared" si="60"/>
        <v>4.3106294545472278E-3</v>
      </c>
      <c r="AS61" s="93">
        <f t="shared" si="60"/>
        <v>7.029752813680532E-3</v>
      </c>
      <c r="AT61" s="93">
        <f t="shared" si="60"/>
        <v>1.4747913907577773E-2</v>
      </c>
      <c r="AU61" s="93">
        <f t="shared" si="60"/>
        <v>2.0595453167548516E-2</v>
      </c>
      <c r="AV61" s="93">
        <f t="shared" si="60"/>
        <v>3.4368532137606274E-3</v>
      </c>
      <c r="AW61" s="93">
        <f t="shared" si="60"/>
        <v>7.7203671439896255E-3</v>
      </c>
      <c r="AX61" s="93">
        <f t="shared" si="60"/>
        <v>8.7153384182249057E-3</v>
      </c>
      <c r="AY61" s="93">
        <f t="shared" si="60"/>
        <v>1.1421187630768137E-2</v>
      </c>
      <c r="AZ61" s="93">
        <f t="shared" si="60"/>
        <v>5.1172165616922994E-3</v>
      </c>
      <c r="BA61" s="93">
        <f t="shared" si="60"/>
        <v>4.82222374858999E-3</v>
      </c>
      <c r="BB61" s="93">
        <f t="shared" si="60"/>
        <v>5.5647592422564725E-3</v>
      </c>
    </row>
    <row r="62" spans="1:54" x14ac:dyDescent="0.25">
      <c r="A62" s="182" t="s">
        <v>1083</v>
      </c>
      <c r="B62" s="183">
        <v>1.339E-6</v>
      </c>
      <c r="C62" s="93" t="str">
        <f t="shared" ref="C62:AH62" si="61">IFERROR(C27/$B62,".")</f>
        <v>.</v>
      </c>
      <c r="D62" s="93" t="str">
        <f t="shared" si="61"/>
        <v>.</v>
      </c>
      <c r="E62" s="93" t="str">
        <f t="shared" si="61"/>
        <v>.</v>
      </c>
      <c r="F62" s="93" t="str">
        <f t="shared" si="61"/>
        <v>.</v>
      </c>
      <c r="G62" s="93" t="str">
        <f t="shared" si="61"/>
        <v>.</v>
      </c>
      <c r="H62" s="93" t="str">
        <f t="shared" si="61"/>
        <v>.</v>
      </c>
      <c r="I62" s="93" t="str">
        <f t="shared" si="61"/>
        <v>.</v>
      </c>
      <c r="J62" s="93" t="str">
        <f t="shared" si="61"/>
        <v>.</v>
      </c>
      <c r="K62" s="93" t="str">
        <f t="shared" si="61"/>
        <v>.</v>
      </c>
      <c r="L62" s="93" t="str">
        <f t="shared" si="61"/>
        <v>.</v>
      </c>
      <c r="M62" s="93" t="str">
        <f t="shared" si="61"/>
        <v>.</v>
      </c>
      <c r="N62" s="93" t="str">
        <f t="shared" si="61"/>
        <v>.</v>
      </c>
      <c r="O62" s="93" t="str">
        <f t="shared" si="61"/>
        <v>.</v>
      </c>
      <c r="P62" s="93" t="str">
        <f t="shared" si="61"/>
        <v>.</v>
      </c>
      <c r="Q62" s="93" t="str">
        <f t="shared" si="61"/>
        <v>.</v>
      </c>
      <c r="R62" s="93" t="str">
        <f t="shared" si="61"/>
        <v>.</v>
      </c>
      <c r="S62" s="93" t="str">
        <f t="shared" si="61"/>
        <v>.</v>
      </c>
      <c r="T62" s="93" t="str">
        <f t="shared" si="61"/>
        <v>.</v>
      </c>
      <c r="U62" s="93" t="str">
        <f t="shared" si="61"/>
        <v>.</v>
      </c>
      <c r="V62" s="93" t="str">
        <f t="shared" si="61"/>
        <v>.</v>
      </c>
      <c r="W62" s="93" t="str">
        <f t="shared" si="61"/>
        <v>.</v>
      </c>
      <c r="X62" s="93" t="str">
        <f t="shared" si="61"/>
        <v>.</v>
      </c>
      <c r="Y62" s="93" t="str">
        <f t="shared" si="61"/>
        <v>.</v>
      </c>
      <c r="Z62" s="93" t="str">
        <f t="shared" si="61"/>
        <v>.</v>
      </c>
      <c r="AA62" s="93" t="str">
        <f t="shared" si="61"/>
        <v>.</v>
      </c>
      <c r="AB62" s="93" t="str">
        <f t="shared" si="61"/>
        <v>.</v>
      </c>
      <c r="AC62" s="93" t="str">
        <f t="shared" si="61"/>
        <v>.</v>
      </c>
      <c r="AD62" s="93" t="str">
        <f t="shared" si="61"/>
        <v>.</v>
      </c>
      <c r="AE62" s="93" t="str">
        <f t="shared" si="61"/>
        <v>.</v>
      </c>
      <c r="AF62" s="93" t="str">
        <f t="shared" si="61"/>
        <v>.</v>
      </c>
      <c r="AG62" s="93" t="str">
        <f t="shared" si="61"/>
        <v>.</v>
      </c>
      <c r="AH62" s="93" t="str">
        <f t="shared" si="61"/>
        <v>.</v>
      </c>
      <c r="AI62" s="93" t="str">
        <f t="shared" ref="AI62:BB62" si="62">IFERROR(AI27/$B62,".")</f>
        <v>.</v>
      </c>
      <c r="AJ62" s="93" t="str">
        <f t="shared" si="62"/>
        <v>.</v>
      </c>
      <c r="AK62" s="93" t="str">
        <f t="shared" si="62"/>
        <v>.</v>
      </c>
      <c r="AL62" s="93" t="str">
        <f t="shared" si="62"/>
        <v>.</v>
      </c>
      <c r="AM62" s="93" t="str">
        <f t="shared" si="62"/>
        <v>.</v>
      </c>
      <c r="AN62" s="93" t="str">
        <f t="shared" si="62"/>
        <v>.</v>
      </c>
      <c r="AO62" s="93" t="str">
        <f t="shared" si="62"/>
        <v>.</v>
      </c>
      <c r="AP62" s="93" t="str">
        <f t="shared" si="62"/>
        <v>.</v>
      </c>
      <c r="AQ62" s="93" t="str">
        <f t="shared" si="62"/>
        <v>.</v>
      </c>
      <c r="AR62" s="93" t="str">
        <f t="shared" si="62"/>
        <v>.</v>
      </c>
      <c r="AS62" s="93" t="str">
        <f t="shared" si="62"/>
        <v>.</v>
      </c>
      <c r="AT62" s="93" t="str">
        <f t="shared" si="62"/>
        <v>.</v>
      </c>
      <c r="AU62" s="93" t="str">
        <f t="shared" si="62"/>
        <v>.</v>
      </c>
      <c r="AV62" s="93" t="str">
        <f t="shared" si="62"/>
        <v>.</v>
      </c>
      <c r="AW62" s="93" t="str">
        <f t="shared" si="62"/>
        <v>.</v>
      </c>
      <c r="AX62" s="93" t="str">
        <f t="shared" si="62"/>
        <v>.</v>
      </c>
      <c r="AY62" s="93" t="str">
        <f t="shared" si="62"/>
        <v>.</v>
      </c>
      <c r="AZ62" s="93" t="str">
        <f t="shared" si="62"/>
        <v>.</v>
      </c>
      <c r="BA62" s="93" t="str">
        <f t="shared" si="62"/>
        <v>.</v>
      </c>
      <c r="BB62" s="93" t="str">
        <f t="shared" si="62"/>
        <v>.</v>
      </c>
    </row>
    <row r="63" spans="1:54" x14ac:dyDescent="0.25">
      <c r="A63" s="89" t="s">
        <v>23</v>
      </c>
      <c r="B63" s="89" t="s">
        <v>1057</v>
      </c>
      <c r="C63" s="90">
        <f t="shared" ref="C63:AH63" si="63">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2.0918847580597282E-4</v>
      </c>
      <c r="D63" s="90">
        <f t="shared" si="63"/>
        <v>3.7917977580899762E-3</v>
      </c>
      <c r="E63" s="90">
        <f t="shared" si="63"/>
        <v>8.2869292170691961E-3</v>
      </c>
      <c r="F63" s="90">
        <f t="shared" si="63"/>
        <v>9.9955805476734608E-3</v>
      </c>
      <c r="G63" s="90">
        <f t="shared" si="63"/>
        <v>8.5263801255758796E-3</v>
      </c>
      <c r="H63" s="90">
        <f t="shared" si="63"/>
        <v>1.0503255484429846E-2</v>
      </c>
      <c r="I63" s="90">
        <f t="shared" si="63"/>
        <v>4.0819571621541892E-3</v>
      </c>
      <c r="J63" s="90">
        <f t="shared" si="63"/>
        <v>1.1509661957795389E-2</v>
      </c>
      <c r="K63" s="90">
        <f t="shared" si="63"/>
        <v>9.8296253754632038E-4</v>
      </c>
      <c r="L63" s="90">
        <f t="shared" si="63"/>
        <v>5.3889889476216677E-3</v>
      </c>
      <c r="M63" s="90">
        <f t="shared" si="63"/>
        <v>4.0367046155778347E-3</v>
      </c>
      <c r="N63" s="90">
        <f t="shared" si="63"/>
        <v>9.5918473434993268E-3</v>
      </c>
      <c r="O63" s="90">
        <f t="shared" si="63"/>
        <v>8.9387041909496524E-3</v>
      </c>
      <c r="P63" s="90">
        <f t="shared" si="63"/>
        <v>1.0893892792435042E-2</v>
      </c>
      <c r="Q63" s="90">
        <f t="shared" si="63"/>
        <v>1.5551409038776463E-2</v>
      </c>
      <c r="R63" s="90">
        <f t="shared" si="63"/>
        <v>2.4341926744664137E-3</v>
      </c>
      <c r="S63" s="90">
        <f t="shared" si="63"/>
        <v>4.967221931606554E-3</v>
      </c>
      <c r="T63" s="90">
        <f t="shared" si="63"/>
        <v>8.6648263874133397E-3</v>
      </c>
      <c r="U63" s="90">
        <f t="shared" si="63"/>
        <v>1.7340440656285108E-2</v>
      </c>
      <c r="V63" s="90">
        <f t="shared" si="63"/>
        <v>2.5489027652702933E-3</v>
      </c>
      <c r="W63" s="90">
        <f t="shared" si="63"/>
        <v>5.1804288315739711E-3</v>
      </c>
      <c r="X63" s="90">
        <f t="shared" si="63"/>
        <v>5.8111367206125798E-3</v>
      </c>
      <c r="Y63" s="90">
        <f t="shared" si="63"/>
        <v>7.4109888712204754E-3</v>
      </c>
      <c r="Z63" s="90">
        <f t="shared" si="63"/>
        <v>3.9818293909482114E-3</v>
      </c>
      <c r="AA63" s="90">
        <f t="shared" si="63"/>
        <v>3.8425342957604729E-3</v>
      </c>
      <c r="AB63" s="90">
        <f t="shared" si="63"/>
        <v>4.4069870697152885E-3</v>
      </c>
      <c r="AC63" s="90">
        <f t="shared" si="63"/>
        <v>1.9683769941389239E-4</v>
      </c>
      <c r="AD63" s="90">
        <f t="shared" si="63"/>
        <v>3.297115922383429E-3</v>
      </c>
      <c r="AE63" s="90">
        <f t="shared" si="63"/>
        <v>7.7657328882788958E-3</v>
      </c>
      <c r="AF63" s="90">
        <f t="shared" si="63"/>
        <v>9.2420981653140027E-3</v>
      </c>
      <c r="AG63" s="90">
        <f t="shared" si="63"/>
        <v>8.3027373681837258E-3</v>
      </c>
      <c r="AH63" s="90">
        <f t="shared" si="63"/>
        <v>8.9266732479591094E-3</v>
      </c>
      <c r="AI63" s="90">
        <f t="shared" ref="AI63:BB63" si="64">IFERROR(1/SUM(IFERROR(1/SUMIF(AI64,"&lt;&gt;.",AI64),0),IFERROR(1/SUMIF(AI65,"&lt;&gt;.",AI65),0),IFERROR(1/SUMIF(AI66,"&lt;&gt;.",AI66),0),IFERROR(1/SUMIF(AI67,"&lt;&gt;.",AI67),0),IFERROR(1/SUMIF(AI68,"&lt;&gt;.",AI68),0),IFERROR(1/SUMIF(AI69,"&lt;&gt;.",AI69),0),IFERROR(1/SUMIF(AI70,"&lt;&gt;.",AI70),0),IFERROR(1/SUMIF(AI71,"&lt;&gt;.",AI71),0),IFERROR(1/SUMIF(AI72,"&lt;&gt;.",AI72),0),IFERROR(1/SUMIF(AI73,"&lt;&gt;.",AI73),0),IFERROR(1/SUMIF(AI74,"&lt;&gt;.",AI74),0),IFERROR(1/SUMIF(AI75,"&lt;&gt;.",AI75),0),IFERROR(1/SUMIF(AI76,"&lt;&gt;.",AI76),0)),".")</f>
        <v>4.0239341091016824E-3</v>
      </c>
      <c r="AJ63" s="90">
        <f t="shared" si="64"/>
        <v>1.2268524056488176E-2</v>
      </c>
      <c r="AK63" s="90">
        <f t="shared" si="64"/>
        <v>9.558440034402126E-4</v>
      </c>
      <c r="AL63" s="90">
        <f t="shared" si="64"/>
        <v>3.7377636860458103E-3</v>
      </c>
      <c r="AM63" s="90">
        <f t="shared" si="64"/>
        <v>5.6721001568430856E-3</v>
      </c>
      <c r="AN63" s="90">
        <f t="shared" si="64"/>
        <v>8.785896189956283E-3</v>
      </c>
      <c r="AO63" s="90">
        <f t="shared" si="64"/>
        <v>8.6737299922953134E-3</v>
      </c>
      <c r="AP63" s="90">
        <f t="shared" si="64"/>
        <v>1.0222269310185836E-2</v>
      </c>
      <c r="AQ63" s="90">
        <f t="shared" si="64"/>
        <v>1.1449109687733825E-2</v>
      </c>
      <c r="AR63" s="90">
        <f t="shared" si="64"/>
        <v>2.7212117296201237E-3</v>
      </c>
      <c r="AS63" s="90">
        <f t="shared" si="64"/>
        <v>4.4377383893988214E-3</v>
      </c>
      <c r="AT63" s="90">
        <f t="shared" si="64"/>
        <v>9.3100547694707214E-3</v>
      </c>
      <c r="AU63" s="90">
        <f t="shared" si="64"/>
        <v>1.3001486053795286E-2</v>
      </c>
      <c r="AV63" s="90">
        <f t="shared" si="64"/>
        <v>2.1696147573998284E-3</v>
      </c>
      <c r="AW63" s="90">
        <f t="shared" si="64"/>
        <v>4.8737090141293682E-3</v>
      </c>
      <c r="AX63" s="90">
        <f t="shared" si="64"/>
        <v>5.5018139186759629E-3</v>
      </c>
      <c r="AY63" s="90">
        <f t="shared" si="64"/>
        <v>7.2099608826857522E-3</v>
      </c>
      <c r="AZ63" s="90">
        <f t="shared" si="64"/>
        <v>3.2303935834693724E-3</v>
      </c>
      <c r="BA63" s="90">
        <f t="shared" si="64"/>
        <v>3.0441706868757339E-3</v>
      </c>
      <c r="BB63" s="90">
        <f t="shared" si="64"/>
        <v>3.5129180743119237E-3</v>
      </c>
    </row>
    <row r="64" spans="1:54" x14ac:dyDescent="0.25">
      <c r="A64" s="182" t="s">
        <v>1073</v>
      </c>
      <c r="B64" s="183">
        <v>1</v>
      </c>
      <c r="C64" s="93" t="str">
        <f t="shared" ref="C64:AH64" si="65">IFERROR(C25/$B50,".")</f>
        <v>.</v>
      </c>
      <c r="D64" s="93" t="str">
        <f t="shared" si="65"/>
        <v>.</v>
      </c>
      <c r="E64" s="93" t="str">
        <f t="shared" si="65"/>
        <v>.</v>
      </c>
      <c r="F64" s="93" t="str">
        <f t="shared" si="65"/>
        <v>.</v>
      </c>
      <c r="G64" s="93" t="str">
        <f t="shared" si="65"/>
        <v>.</v>
      </c>
      <c r="H64" s="93" t="str">
        <f t="shared" si="65"/>
        <v>.</v>
      </c>
      <c r="I64" s="93" t="str">
        <f t="shared" si="65"/>
        <v>.</v>
      </c>
      <c r="J64" s="93" t="str">
        <f t="shared" si="65"/>
        <v>.</v>
      </c>
      <c r="K64" s="93" t="str">
        <f t="shared" si="65"/>
        <v>.</v>
      </c>
      <c r="L64" s="93" t="str">
        <f t="shared" si="65"/>
        <v>.</v>
      </c>
      <c r="M64" s="93" t="str">
        <f t="shared" si="65"/>
        <v>.</v>
      </c>
      <c r="N64" s="93" t="str">
        <f t="shared" si="65"/>
        <v>.</v>
      </c>
      <c r="O64" s="93" t="str">
        <f t="shared" si="65"/>
        <v>.</v>
      </c>
      <c r="P64" s="93" t="str">
        <f t="shared" si="65"/>
        <v>.</v>
      </c>
      <c r="Q64" s="93" t="str">
        <f t="shared" si="65"/>
        <v>.</v>
      </c>
      <c r="R64" s="93" t="str">
        <f t="shared" si="65"/>
        <v>.</v>
      </c>
      <c r="S64" s="93" t="str">
        <f t="shared" si="65"/>
        <v>.</v>
      </c>
      <c r="T64" s="93" t="str">
        <f t="shared" si="65"/>
        <v>.</v>
      </c>
      <c r="U64" s="93" t="str">
        <f t="shared" si="65"/>
        <v>.</v>
      </c>
      <c r="V64" s="93" t="str">
        <f t="shared" si="65"/>
        <v>.</v>
      </c>
      <c r="W64" s="93" t="str">
        <f t="shared" si="65"/>
        <v>.</v>
      </c>
      <c r="X64" s="93" t="str">
        <f t="shared" si="65"/>
        <v>.</v>
      </c>
      <c r="Y64" s="93" t="str">
        <f t="shared" si="65"/>
        <v>.</v>
      </c>
      <c r="Z64" s="93" t="str">
        <f t="shared" si="65"/>
        <v>.</v>
      </c>
      <c r="AA64" s="93" t="str">
        <f t="shared" si="65"/>
        <v>.</v>
      </c>
      <c r="AB64" s="93" t="str">
        <f t="shared" si="65"/>
        <v>.</v>
      </c>
      <c r="AC64" s="93" t="str">
        <f t="shared" si="65"/>
        <v>.</v>
      </c>
      <c r="AD64" s="93" t="str">
        <f t="shared" si="65"/>
        <v>.</v>
      </c>
      <c r="AE64" s="93" t="str">
        <f t="shared" si="65"/>
        <v>.</v>
      </c>
      <c r="AF64" s="93" t="str">
        <f t="shared" si="65"/>
        <v>.</v>
      </c>
      <c r="AG64" s="93" t="str">
        <f t="shared" si="65"/>
        <v>.</v>
      </c>
      <c r="AH64" s="93" t="str">
        <f t="shared" si="65"/>
        <v>.</v>
      </c>
      <c r="AI64" s="93" t="str">
        <f t="shared" ref="AI64:BB64" si="66">IFERROR(AI25/$B50,".")</f>
        <v>.</v>
      </c>
      <c r="AJ64" s="93" t="str">
        <f t="shared" si="66"/>
        <v>.</v>
      </c>
      <c r="AK64" s="93" t="str">
        <f t="shared" si="66"/>
        <v>.</v>
      </c>
      <c r="AL64" s="93" t="str">
        <f t="shared" si="66"/>
        <v>.</v>
      </c>
      <c r="AM64" s="93" t="str">
        <f t="shared" si="66"/>
        <v>.</v>
      </c>
      <c r="AN64" s="93" t="str">
        <f t="shared" si="66"/>
        <v>.</v>
      </c>
      <c r="AO64" s="93" t="str">
        <f t="shared" si="66"/>
        <v>.</v>
      </c>
      <c r="AP64" s="93" t="str">
        <f t="shared" si="66"/>
        <v>.</v>
      </c>
      <c r="AQ64" s="93" t="str">
        <f t="shared" si="66"/>
        <v>.</v>
      </c>
      <c r="AR64" s="93" t="str">
        <f t="shared" si="66"/>
        <v>.</v>
      </c>
      <c r="AS64" s="93" t="str">
        <f t="shared" si="66"/>
        <v>.</v>
      </c>
      <c r="AT64" s="93" t="str">
        <f t="shared" si="66"/>
        <v>.</v>
      </c>
      <c r="AU64" s="93" t="str">
        <f t="shared" si="66"/>
        <v>.</v>
      </c>
      <c r="AV64" s="93" t="str">
        <f t="shared" si="66"/>
        <v>.</v>
      </c>
      <c r="AW64" s="93" t="str">
        <f t="shared" si="66"/>
        <v>.</v>
      </c>
      <c r="AX64" s="93" t="str">
        <f t="shared" si="66"/>
        <v>.</v>
      </c>
      <c r="AY64" s="93" t="str">
        <f t="shared" si="66"/>
        <v>.</v>
      </c>
      <c r="AZ64" s="93" t="str">
        <f t="shared" si="66"/>
        <v>.</v>
      </c>
      <c r="BA64" s="93" t="str">
        <f t="shared" si="66"/>
        <v>.</v>
      </c>
      <c r="BB64" s="93" t="str">
        <f t="shared" si="66"/>
        <v>.</v>
      </c>
    </row>
    <row r="65" spans="1:54" x14ac:dyDescent="0.25">
      <c r="A65" s="182" t="s">
        <v>1059</v>
      </c>
      <c r="B65" s="183">
        <v>1</v>
      </c>
      <c r="C65" s="93" t="str">
        <f t="shared" ref="C65:AH65" si="67">IFERROR(C21/$B51,".")</f>
        <v>.</v>
      </c>
      <c r="D65" s="93" t="str">
        <f t="shared" si="67"/>
        <v>.</v>
      </c>
      <c r="E65" s="93" t="str">
        <f t="shared" si="67"/>
        <v>.</v>
      </c>
      <c r="F65" s="93" t="str">
        <f t="shared" si="67"/>
        <v>.</v>
      </c>
      <c r="G65" s="93" t="str">
        <f t="shared" si="67"/>
        <v>.</v>
      </c>
      <c r="H65" s="93" t="str">
        <f t="shared" si="67"/>
        <v>.</v>
      </c>
      <c r="I65" s="93" t="str">
        <f t="shared" si="67"/>
        <v>.</v>
      </c>
      <c r="J65" s="93" t="str">
        <f t="shared" si="67"/>
        <v>.</v>
      </c>
      <c r="K65" s="93" t="str">
        <f t="shared" si="67"/>
        <v>.</v>
      </c>
      <c r="L65" s="93" t="str">
        <f t="shared" si="67"/>
        <v>.</v>
      </c>
      <c r="M65" s="93" t="str">
        <f t="shared" si="67"/>
        <v>.</v>
      </c>
      <c r="N65" s="93" t="str">
        <f t="shared" si="67"/>
        <v>.</v>
      </c>
      <c r="O65" s="93" t="str">
        <f t="shared" si="67"/>
        <v>.</v>
      </c>
      <c r="P65" s="93" t="str">
        <f t="shared" si="67"/>
        <v>.</v>
      </c>
      <c r="Q65" s="93" t="str">
        <f t="shared" si="67"/>
        <v>.</v>
      </c>
      <c r="R65" s="93" t="str">
        <f t="shared" si="67"/>
        <v>.</v>
      </c>
      <c r="S65" s="93" t="str">
        <f t="shared" si="67"/>
        <v>.</v>
      </c>
      <c r="T65" s="93" t="str">
        <f t="shared" si="67"/>
        <v>.</v>
      </c>
      <c r="U65" s="93" t="str">
        <f t="shared" si="67"/>
        <v>.</v>
      </c>
      <c r="V65" s="93" t="str">
        <f t="shared" si="67"/>
        <v>.</v>
      </c>
      <c r="W65" s="93" t="str">
        <f t="shared" si="67"/>
        <v>.</v>
      </c>
      <c r="X65" s="93" t="str">
        <f t="shared" si="67"/>
        <v>.</v>
      </c>
      <c r="Y65" s="93" t="str">
        <f t="shared" si="67"/>
        <v>.</v>
      </c>
      <c r="Z65" s="93" t="str">
        <f t="shared" si="67"/>
        <v>.</v>
      </c>
      <c r="AA65" s="93" t="str">
        <f t="shared" si="67"/>
        <v>.</v>
      </c>
      <c r="AB65" s="93" t="str">
        <f t="shared" si="67"/>
        <v>.</v>
      </c>
      <c r="AC65" s="93" t="str">
        <f t="shared" si="67"/>
        <v>.</v>
      </c>
      <c r="AD65" s="93" t="str">
        <f t="shared" si="67"/>
        <v>.</v>
      </c>
      <c r="AE65" s="93" t="str">
        <f t="shared" si="67"/>
        <v>.</v>
      </c>
      <c r="AF65" s="93" t="str">
        <f t="shared" si="67"/>
        <v>.</v>
      </c>
      <c r="AG65" s="93" t="str">
        <f t="shared" si="67"/>
        <v>.</v>
      </c>
      <c r="AH65" s="93" t="str">
        <f t="shared" si="67"/>
        <v>.</v>
      </c>
      <c r="AI65" s="93" t="str">
        <f t="shared" ref="AI65:BB65" si="68">IFERROR(AI21/$B51,".")</f>
        <v>.</v>
      </c>
      <c r="AJ65" s="93" t="str">
        <f t="shared" si="68"/>
        <v>.</v>
      </c>
      <c r="AK65" s="93" t="str">
        <f t="shared" si="68"/>
        <v>.</v>
      </c>
      <c r="AL65" s="93" t="str">
        <f t="shared" si="68"/>
        <v>.</v>
      </c>
      <c r="AM65" s="93" t="str">
        <f t="shared" si="68"/>
        <v>.</v>
      </c>
      <c r="AN65" s="93" t="str">
        <f t="shared" si="68"/>
        <v>.</v>
      </c>
      <c r="AO65" s="93" t="str">
        <f t="shared" si="68"/>
        <v>.</v>
      </c>
      <c r="AP65" s="93" t="str">
        <f t="shared" si="68"/>
        <v>.</v>
      </c>
      <c r="AQ65" s="93" t="str">
        <f t="shared" si="68"/>
        <v>.</v>
      </c>
      <c r="AR65" s="93" t="str">
        <f t="shared" si="68"/>
        <v>.</v>
      </c>
      <c r="AS65" s="93" t="str">
        <f t="shared" si="68"/>
        <v>.</v>
      </c>
      <c r="AT65" s="93" t="str">
        <f t="shared" si="68"/>
        <v>.</v>
      </c>
      <c r="AU65" s="93" t="str">
        <f t="shared" si="68"/>
        <v>.</v>
      </c>
      <c r="AV65" s="93" t="str">
        <f t="shared" si="68"/>
        <v>.</v>
      </c>
      <c r="AW65" s="93" t="str">
        <f t="shared" si="68"/>
        <v>.</v>
      </c>
      <c r="AX65" s="93" t="str">
        <f t="shared" si="68"/>
        <v>.</v>
      </c>
      <c r="AY65" s="93" t="str">
        <f t="shared" si="68"/>
        <v>.</v>
      </c>
      <c r="AZ65" s="93" t="str">
        <f t="shared" si="68"/>
        <v>.</v>
      </c>
      <c r="BA65" s="93" t="str">
        <f t="shared" si="68"/>
        <v>.</v>
      </c>
      <c r="BB65" s="93" t="str">
        <f t="shared" si="68"/>
        <v>.</v>
      </c>
    </row>
    <row r="66" spans="1:54" x14ac:dyDescent="0.25">
      <c r="A66" s="182" t="s">
        <v>1060</v>
      </c>
      <c r="B66" s="185">
        <v>0.99980000000000002</v>
      </c>
      <c r="C66" s="93">
        <f t="shared" ref="C66:AH66" si="69">IFERROR(C17/$B52,".")</f>
        <v>2.9146603516514396</v>
      </c>
      <c r="D66" s="93">
        <f t="shared" si="69"/>
        <v>52.831794602473586</v>
      </c>
      <c r="E66" s="93">
        <f t="shared" si="69"/>
        <v>115.46326313088348</v>
      </c>
      <c r="F66" s="93">
        <f t="shared" si="69"/>
        <v>139.27020693560777</v>
      </c>
      <c r="G66" s="93">
        <f t="shared" si="69"/>
        <v>118.79957535603053</v>
      </c>
      <c r="H66" s="93">
        <f t="shared" si="69"/>
        <v>146.34373239627155</v>
      </c>
      <c r="I66" s="93">
        <f t="shared" si="69"/>
        <v>56.874637342382407</v>
      </c>
      <c r="J66" s="93">
        <f t="shared" si="69"/>
        <v>160.36617332788686</v>
      </c>
      <c r="K66" s="93">
        <f t="shared" si="69"/>
        <v>13.695792391557484</v>
      </c>
      <c r="L66" s="93">
        <f t="shared" si="69"/>
        <v>75.085744377665264</v>
      </c>
      <c r="M66" s="93">
        <f t="shared" si="69"/>
        <v>56.244125538091154</v>
      </c>
      <c r="N66" s="93">
        <f t="shared" si="69"/>
        <v>133.64492017773208</v>
      </c>
      <c r="O66" s="93">
        <f t="shared" si="69"/>
        <v>124.54456011557032</v>
      </c>
      <c r="P66" s="93">
        <f t="shared" si="69"/>
        <v>151.78655169657873</v>
      </c>
      <c r="Q66" s="93">
        <f t="shared" si="69"/>
        <v>216.68055643599362</v>
      </c>
      <c r="R66" s="93">
        <f t="shared" si="69"/>
        <v>33.916040781941867</v>
      </c>
      <c r="S66" s="93">
        <f t="shared" si="69"/>
        <v>69.209189302261407</v>
      </c>
      <c r="T66" s="93">
        <f t="shared" si="69"/>
        <v>120.72857182037819</v>
      </c>
      <c r="U66" s="93">
        <f t="shared" si="69"/>
        <v>241.60745311762435</v>
      </c>
      <c r="V66" s="93">
        <f t="shared" si="69"/>
        <v>35.514316940856638</v>
      </c>
      <c r="W66" s="93">
        <f t="shared" si="69"/>
        <v>72.179839074622336</v>
      </c>
      <c r="X66" s="93">
        <f t="shared" si="69"/>
        <v>80.967604607938213</v>
      </c>
      <c r="Y66" s="93">
        <f t="shared" si="69"/>
        <v>103.25863002850765</v>
      </c>
      <c r="Z66" s="93">
        <f t="shared" si="69"/>
        <v>55.479539243842915</v>
      </c>
      <c r="AA66" s="93">
        <f t="shared" si="69"/>
        <v>53.538715832997909</v>
      </c>
      <c r="AB66" s="93">
        <f t="shared" si="69"/>
        <v>61.403337028248274</v>
      </c>
      <c r="AC66" s="93">
        <f t="shared" si="69"/>
        <v>2.7425747808597736</v>
      </c>
      <c r="AD66" s="93">
        <f t="shared" si="69"/>
        <v>45.939304336645769</v>
      </c>
      <c r="AE66" s="93">
        <f t="shared" si="69"/>
        <v>108.20134170285804</v>
      </c>
      <c r="AF66" s="93">
        <f t="shared" si="69"/>
        <v>128.77180248445643</v>
      </c>
      <c r="AG66" s="93">
        <f t="shared" si="69"/>
        <v>115.68352092046253</v>
      </c>
      <c r="AH66" s="93">
        <f t="shared" si="69"/>
        <v>124.37693084061905</v>
      </c>
      <c r="AI66" s="93">
        <f t="shared" ref="AI66:BB66" si="70">IFERROR(AI17/$B52,".")</f>
        <v>56.066191793160236</v>
      </c>
      <c r="AJ66" s="93">
        <f t="shared" si="70"/>
        <v>170.93953432642667</v>
      </c>
      <c r="AK66" s="93">
        <f t="shared" si="70"/>
        <v>13.317945018037292</v>
      </c>
      <c r="AL66" s="93">
        <f t="shared" si="70"/>
        <v>52.078928237256193</v>
      </c>
      <c r="AM66" s="93">
        <f t="shared" si="70"/>
        <v>79.030383361464416</v>
      </c>
      <c r="AN66" s="93">
        <f t="shared" si="70"/>
        <v>122.41545897749623</v>
      </c>
      <c r="AO66" s="93">
        <f t="shared" si="70"/>
        <v>120.85262733556026</v>
      </c>
      <c r="AP66" s="93">
        <f t="shared" si="70"/>
        <v>142.42870190390889</v>
      </c>
      <c r="AQ66" s="93">
        <f t="shared" si="70"/>
        <v>159.522487746877</v>
      </c>
      <c r="AR66" s="93">
        <f t="shared" si="70"/>
        <v>37.915128480257096</v>
      </c>
      <c r="AS66" s="93">
        <f t="shared" si="70"/>
        <v>61.831800651290706</v>
      </c>
      <c r="AT66" s="93">
        <f t="shared" si="70"/>
        <v>129.71865397331277</v>
      </c>
      <c r="AU66" s="93">
        <f t="shared" si="70"/>
        <v>181.1520245919028</v>
      </c>
      <c r="AV66" s="93">
        <f t="shared" si="70"/>
        <v>30.229629463988765</v>
      </c>
      <c r="AW66" s="93">
        <f t="shared" si="70"/>
        <v>67.906257140784135</v>
      </c>
      <c r="AX66" s="93">
        <f t="shared" si="70"/>
        <v>76.657754826812507</v>
      </c>
      <c r="AY66" s="93">
        <f t="shared" si="70"/>
        <v>100.45767120179934</v>
      </c>
      <c r="AZ66" s="93">
        <f t="shared" si="70"/>
        <v>45.009650085602665</v>
      </c>
      <c r="BA66" s="93">
        <f t="shared" si="70"/>
        <v>42.414973246068719</v>
      </c>
      <c r="BB66" s="93">
        <f t="shared" si="70"/>
        <v>48.946114217561224</v>
      </c>
    </row>
    <row r="67" spans="1:54" x14ac:dyDescent="0.25">
      <c r="A67" s="182" t="s">
        <v>1074</v>
      </c>
      <c r="B67" s="183">
        <v>2.0000000000000001E-4</v>
      </c>
      <c r="C67" s="93" t="str">
        <f t="shared" ref="C67:AH67" si="71">IFERROR(C5/$B53,".")</f>
        <v>.</v>
      </c>
      <c r="D67" s="93" t="str">
        <f t="shared" si="71"/>
        <v>.</v>
      </c>
      <c r="E67" s="93" t="str">
        <f t="shared" si="71"/>
        <v>.</v>
      </c>
      <c r="F67" s="93" t="str">
        <f t="shared" si="71"/>
        <v>.</v>
      </c>
      <c r="G67" s="93" t="str">
        <f t="shared" si="71"/>
        <v>.</v>
      </c>
      <c r="H67" s="93" t="str">
        <f t="shared" si="71"/>
        <v>.</v>
      </c>
      <c r="I67" s="93" t="str">
        <f t="shared" si="71"/>
        <v>.</v>
      </c>
      <c r="J67" s="93" t="str">
        <f t="shared" si="71"/>
        <v>.</v>
      </c>
      <c r="K67" s="93" t="str">
        <f t="shared" si="71"/>
        <v>.</v>
      </c>
      <c r="L67" s="93" t="str">
        <f t="shared" si="71"/>
        <v>.</v>
      </c>
      <c r="M67" s="93" t="str">
        <f t="shared" si="71"/>
        <v>.</v>
      </c>
      <c r="N67" s="93" t="str">
        <f t="shared" si="71"/>
        <v>.</v>
      </c>
      <c r="O67" s="93" t="str">
        <f t="shared" si="71"/>
        <v>.</v>
      </c>
      <c r="P67" s="93" t="str">
        <f t="shared" si="71"/>
        <v>.</v>
      </c>
      <c r="Q67" s="93" t="str">
        <f t="shared" si="71"/>
        <v>.</v>
      </c>
      <c r="R67" s="93" t="str">
        <f t="shared" si="71"/>
        <v>.</v>
      </c>
      <c r="S67" s="93" t="str">
        <f t="shared" si="71"/>
        <v>.</v>
      </c>
      <c r="T67" s="93" t="str">
        <f t="shared" si="71"/>
        <v>.</v>
      </c>
      <c r="U67" s="93" t="str">
        <f t="shared" si="71"/>
        <v>.</v>
      </c>
      <c r="V67" s="93" t="str">
        <f t="shared" si="71"/>
        <v>.</v>
      </c>
      <c r="W67" s="93" t="str">
        <f t="shared" si="71"/>
        <v>.</v>
      </c>
      <c r="X67" s="93" t="str">
        <f t="shared" si="71"/>
        <v>.</v>
      </c>
      <c r="Y67" s="93" t="str">
        <f t="shared" si="71"/>
        <v>.</v>
      </c>
      <c r="Z67" s="93" t="str">
        <f t="shared" si="71"/>
        <v>.</v>
      </c>
      <c r="AA67" s="93" t="str">
        <f t="shared" si="71"/>
        <v>.</v>
      </c>
      <c r="AB67" s="93" t="str">
        <f t="shared" si="71"/>
        <v>.</v>
      </c>
      <c r="AC67" s="93" t="str">
        <f t="shared" si="71"/>
        <v>.</v>
      </c>
      <c r="AD67" s="93" t="str">
        <f t="shared" si="71"/>
        <v>.</v>
      </c>
      <c r="AE67" s="93" t="str">
        <f t="shared" si="71"/>
        <v>.</v>
      </c>
      <c r="AF67" s="93" t="str">
        <f t="shared" si="71"/>
        <v>.</v>
      </c>
      <c r="AG67" s="93" t="str">
        <f t="shared" si="71"/>
        <v>.</v>
      </c>
      <c r="AH67" s="93" t="str">
        <f t="shared" si="71"/>
        <v>.</v>
      </c>
      <c r="AI67" s="93" t="str">
        <f t="shared" ref="AI67:BB67" si="72">IFERROR(AI5/$B53,".")</f>
        <v>.</v>
      </c>
      <c r="AJ67" s="93" t="str">
        <f t="shared" si="72"/>
        <v>.</v>
      </c>
      <c r="AK67" s="93" t="str">
        <f t="shared" si="72"/>
        <v>.</v>
      </c>
      <c r="AL67" s="93" t="str">
        <f t="shared" si="72"/>
        <v>.</v>
      </c>
      <c r="AM67" s="93" t="str">
        <f t="shared" si="72"/>
        <v>.</v>
      </c>
      <c r="AN67" s="93" t="str">
        <f t="shared" si="72"/>
        <v>.</v>
      </c>
      <c r="AO67" s="93" t="str">
        <f t="shared" si="72"/>
        <v>.</v>
      </c>
      <c r="AP67" s="93" t="str">
        <f t="shared" si="72"/>
        <v>.</v>
      </c>
      <c r="AQ67" s="93" t="str">
        <f t="shared" si="72"/>
        <v>.</v>
      </c>
      <c r="AR67" s="93" t="str">
        <f t="shared" si="72"/>
        <v>.</v>
      </c>
      <c r="AS67" s="93" t="str">
        <f t="shared" si="72"/>
        <v>.</v>
      </c>
      <c r="AT67" s="93" t="str">
        <f t="shared" si="72"/>
        <v>.</v>
      </c>
      <c r="AU67" s="93" t="str">
        <f t="shared" si="72"/>
        <v>.</v>
      </c>
      <c r="AV67" s="93" t="str">
        <f t="shared" si="72"/>
        <v>.</v>
      </c>
      <c r="AW67" s="93" t="str">
        <f t="shared" si="72"/>
        <v>.</v>
      </c>
      <c r="AX67" s="93" t="str">
        <f t="shared" si="72"/>
        <v>.</v>
      </c>
      <c r="AY67" s="93" t="str">
        <f t="shared" si="72"/>
        <v>.</v>
      </c>
      <c r="AZ67" s="93" t="str">
        <f t="shared" si="72"/>
        <v>.</v>
      </c>
      <c r="BA67" s="93" t="str">
        <f t="shared" si="72"/>
        <v>.</v>
      </c>
      <c r="BB67" s="93" t="str">
        <f t="shared" si="72"/>
        <v>.</v>
      </c>
    </row>
    <row r="68" spans="1:54" x14ac:dyDescent="0.25">
      <c r="A68" s="182" t="s">
        <v>1075</v>
      </c>
      <c r="B68" s="183">
        <v>0.99999979999999999</v>
      </c>
      <c r="C68" s="93">
        <f t="shared" ref="C68:AH68" si="73">IFERROR(C9/$B54,".")</f>
        <v>3.8919565266909064</v>
      </c>
      <c r="D68" s="93">
        <f t="shared" si="73"/>
        <v>70.546486729881678</v>
      </c>
      <c r="E68" s="93">
        <f t="shared" si="73"/>
        <v>154.17851355498595</v>
      </c>
      <c r="F68" s="93">
        <f t="shared" si="73"/>
        <v>185.96801186440715</v>
      </c>
      <c r="G68" s="93">
        <f t="shared" si="73"/>
        <v>158.63350335590138</v>
      </c>
      <c r="H68" s="93">
        <f t="shared" si="73"/>
        <v>195.41331603775495</v>
      </c>
      <c r="I68" s="93">
        <f t="shared" si="73"/>
        <v>75.944909286752818</v>
      </c>
      <c r="J68" s="93">
        <f t="shared" si="73"/>
        <v>214.13753221375498</v>
      </c>
      <c r="K68" s="93">
        <f t="shared" si="73"/>
        <v>18.288041197089822</v>
      </c>
      <c r="L68" s="93">
        <f t="shared" si="73"/>
        <v>100.26226648553489</v>
      </c>
      <c r="M68" s="93">
        <f t="shared" si="73"/>
        <v>75.10298459028634</v>
      </c>
      <c r="N68" s="93">
        <f t="shared" si="73"/>
        <v>178.45654607752135</v>
      </c>
      <c r="O68" s="93">
        <f t="shared" si="73"/>
        <v>166.30480231804702</v>
      </c>
      <c r="P68" s="93">
        <f t="shared" si="73"/>
        <v>202.68113236751265</v>
      </c>
      <c r="Q68" s="93">
        <f t="shared" si="73"/>
        <v>289.3343319918099</v>
      </c>
      <c r="R68" s="93">
        <f t="shared" si="73"/>
        <v>45.288212125986789</v>
      </c>
      <c r="S68" s="93">
        <f t="shared" si="73"/>
        <v>92.415281203967581</v>
      </c>
      <c r="T68" s="93">
        <f t="shared" si="73"/>
        <v>161.20929932304651</v>
      </c>
      <c r="U68" s="93">
        <f t="shared" si="73"/>
        <v>322.61930743509078</v>
      </c>
      <c r="V68" s="93">
        <f t="shared" si="73"/>
        <v>47.422396071165288</v>
      </c>
      <c r="W68" s="93">
        <f t="shared" si="73"/>
        <v>96.382000606968433</v>
      </c>
      <c r="X68" s="93">
        <f t="shared" si="73"/>
        <v>108.11633575961821</v>
      </c>
      <c r="Y68" s="93">
        <f t="shared" si="73"/>
        <v>137.88162275886074</v>
      </c>
      <c r="Z68" s="93">
        <f t="shared" si="73"/>
        <v>74.082029741659881</v>
      </c>
      <c r="AA68" s="93">
        <f t="shared" si="73"/>
        <v>71.490441210010601</v>
      </c>
      <c r="AB68" s="93">
        <f t="shared" si="73"/>
        <v>81.99209838370615</v>
      </c>
      <c r="AC68" s="93">
        <f t="shared" si="73"/>
        <v>3.6621700405871405</v>
      </c>
      <c r="AD68" s="93">
        <f t="shared" si="73"/>
        <v>61.342919508046386</v>
      </c>
      <c r="AE68" s="93">
        <f t="shared" si="73"/>
        <v>144.48164356390572</v>
      </c>
      <c r="AF68" s="93">
        <f t="shared" si="73"/>
        <v>171.94945436752818</v>
      </c>
      <c r="AG68" s="93">
        <f t="shared" si="73"/>
        <v>154.47262457935315</v>
      </c>
      <c r="AH68" s="93">
        <f t="shared" si="73"/>
        <v>166.08096633992304</v>
      </c>
      <c r="AI68" s="93">
        <f t="shared" ref="AI68:BB68" si="74">IFERROR(AI9/$B54,".")</f>
        <v>74.86538901606788</v>
      </c>
      <c r="AJ68" s="93">
        <f t="shared" si="74"/>
        <v>228.25617945991183</v>
      </c>
      <c r="AK68" s="93">
        <f t="shared" si="74"/>
        <v>17.78350023037591</v>
      </c>
      <c r="AL68" s="93">
        <f t="shared" si="74"/>
        <v>69.541181544948657</v>
      </c>
      <c r="AM68" s="93">
        <f t="shared" si="74"/>
        <v>105.52955721110362</v>
      </c>
      <c r="AN68" s="93">
        <f t="shared" si="74"/>
        <v>163.4618058551427</v>
      </c>
      <c r="AO68" s="93">
        <f t="shared" si="74"/>
        <v>161.37495110189315</v>
      </c>
      <c r="AP68" s="93">
        <f t="shared" si="74"/>
        <v>190.18556163806599</v>
      </c>
      <c r="AQ68" s="93">
        <f t="shared" si="74"/>
        <v>213.01095580095762</v>
      </c>
      <c r="AR68" s="93">
        <f t="shared" si="74"/>
        <v>50.62820841730376</v>
      </c>
      <c r="AS68" s="93">
        <f t="shared" si="74"/>
        <v>82.564227411777892</v>
      </c>
      <c r="AT68" s="93">
        <f t="shared" si="74"/>
        <v>173.21378859081881</v>
      </c>
      <c r="AU68" s="93">
        <f t="shared" si="74"/>
        <v>241.89295470885872</v>
      </c>
      <c r="AV68" s="93">
        <f t="shared" si="74"/>
        <v>40.365733738120561</v>
      </c>
      <c r="AW68" s="93">
        <f t="shared" si="74"/>
        <v>90.675471168529427</v>
      </c>
      <c r="AX68" s="93">
        <f t="shared" si="74"/>
        <v>102.36137773330631</v>
      </c>
      <c r="AY68" s="93">
        <f t="shared" si="74"/>
        <v>134.14149229034032</v>
      </c>
      <c r="AZ68" s="93">
        <f t="shared" si="74"/>
        <v>60.101548818709247</v>
      </c>
      <c r="BA68" s="93">
        <f t="shared" si="74"/>
        <v>56.636867434974029</v>
      </c>
      <c r="BB68" s="93">
        <f t="shared" si="74"/>
        <v>65.357923634999679</v>
      </c>
    </row>
    <row r="69" spans="1:54" x14ac:dyDescent="0.25">
      <c r="A69" s="182" t="s">
        <v>1076</v>
      </c>
      <c r="B69" s="183">
        <v>1.9999999999999999E-7</v>
      </c>
      <c r="C69" s="93" t="str">
        <f t="shared" ref="C69:AH69" si="75">IFERROR(C24/$B55,".")</f>
        <v>.</v>
      </c>
      <c r="D69" s="93" t="str">
        <f t="shared" si="75"/>
        <v>.</v>
      </c>
      <c r="E69" s="93" t="str">
        <f t="shared" si="75"/>
        <v>.</v>
      </c>
      <c r="F69" s="93" t="str">
        <f t="shared" si="75"/>
        <v>.</v>
      </c>
      <c r="G69" s="93" t="str">
        <f t="shared" si="75"/>
        <v>.</v>
      </c>
      <c r="H69" s="93" t="str">
        <f t="shared" si="75"/>
        <v>.</v>
      </c>
      <c r="I69" s="93" t="str">
        <f t="shared" si="75"/>
        <v>.</v>
      </c>
      <c r="J69" s="93" t="str">
        <f t="shared" si="75"/>
        <v>.</v>
      </c>
      <c r="K69" s="93" t="str">
        <f t="shared" si="75"/>
        <v>.</v>
      </c>
      <c r="L69" s="93" t="str">
        <f t="shared" si="75"/>
        <v>.</v>
      </c>
      <c r="M69" s="93" t="str">
        <f t="shared" si="75"/>
        <v>.</v>
      </c>
      <c r="N69" s="93" t="str">
        <f t="shared" si="75"/>
        <v>.</v>
      </c>
      <c r="O69" s="93" t="str">
        <f t="shared" si="75"/>
        <v>.</v>
      </c>
      <c r="P69" s="93" t="str">
        <f t="shared" si="75"/>
        <v>.</v>
      </c>
      <c r="Q69" s="93" t="str">
        <f t="shared" si="75"/>
        <v>.</v>
      </c>
      <c r="R69" s="93" t="str">
        <f t="shared" si="75"/>
        <v>.</v>
      </c>
      <c r="S69" s="93" t="str">
        <f t="shared" si="75"/>
        <v>.</v>
      </c>
      <c r="T69" s="93" t="str">
        <f t="shared" si="75"/>
        <v>.</v>
      </c>
      <c r="U69" s="93" t="str">
        <f t="shared" si="75"/>
        <v>.</v>
      </c>
      <c r="V69" s="93" t="str">
        <f t="shared" si="75"/>
        <v>.</v>
      </c>
      <c r="W69" s="93" t="str">
        <f t="shared" si="75"/>
        <v>.</v>
      </c>
      <c r="X69" s="93" t="str">
        <f t="shared" si="75"/>
        <v>.</v>
      </c>
      <c r="Y69" s="93" t="str">
        <f t="shared" si="75"/>
        <v>.</v>
      </c>
      <c r="Z69" s="93" t="str">
        <f t="shared" si="75"/>
        <v>.</v>
      </c>
      <c r="AA69" s="93" t="str">
        <f t="shared" si="75"/>
        <v>.</v>
      </c>
      <c r="AB69" s="93" t="str">
        <f t="shared" si="75"/>
        <v>.</v>
      </c>
      <c r="AC69" s="93" t="str">
        <f t="shared" si="75"/>
        <v>.</v>
      </c>
      <c r="AD69" s="93" t="str">
        <f t="shared" si="75"/>
        <v>.</v>
      </c>
      <c r="AE69" s="93" t="str">
        <f t="shared" si="75"/>
        <v>.</v>
      </c>
      <c r="AF69" s="93" t="str">
        <f t="shared" si="75"/>
        <v>.</v>
      </c>
      <c r="AG69" s="93" t="str">
        <f t="shared" si="75"/>
        <v>.</v>
      </c>
      <c r="AH69" s="93" t="str">
        <f t="shared" si="75"/>
        <v>.</v>
      </c>
      <c r="AI69" s="93" t="str">
        <f t="shared" ref="AI69:BB69" si="76">IFERROR(AI24/$B55,".")</f>
        <v>.</v>
      </c>
      <c r="AJ69" s="93" t="str">
        <f t="shared" si="76"/>
        <v>.</v>
      </c>
      <c r="AK69" s="93" t="str">
        <f t="shared" si="76"/>
        <v>.</v>
      </c>
      <c r="AL69" s="93" t="str">
        <f t="shared" si="76"/>
        <v>.</v>
      </c>
      <c r="AM69" s="93" t="str">
        <f t="shared" si="76"/>
        <v>.</v>
      </c>
      <c r="AN69" s="93" t="str">
        <f t="shared" si="76"/>
        <v>.</v>
      </c>
      <c r="AO69" s="93" t="str">
        <f t="shared" si="76"/>
        <v>.</v>
      </c>
      <c r="AP69" s="93" t="str">
        <f t="shared" si="76"/>
        <v>.</v>
      </c>
      <c r="AQ69" s="93" t="str">
        <f t="shared" si="76"/>
        <v>.</v>
      </c>
      <c r="AR69" s="93" t="str">
        <f t="shared" si="76"/>
        <v>.</v>
      </c>
      <c r="AS69" s="93" t="str">
        <f t="shared" si="76"/>
        <v>.</v>
      </c>
      <c r="AT69" s="93" t="str">
        <f t="shared" si="76"/>
        <v>.</v>
      </c>
      <c r="AU69" s="93" t="str">
        <f t="shared" si="76"/>
        <v>.</v>
      </c>
      <c r="AV69" s="93" t="str">
        <f t="shared" si="76"/>
        <v>.</v>
      </c>
      <c r="AW69" s="93" t="str">
        <f t="shared" si="76"/>
        <v>.</v>
      </c>
      <c r="AX69" s="93" t="str">
        <f t="shared" si="76"/>
        <v>.</v>
      </c>
      <c r="AY69" s="93" t="str">
        <f t="shared" si="76"/>
        <v>.</v>
      </c>
      <c r="AZ69" s="93" t="str">
        <f t="shared" si="76"/>
        <v>.</v>
      </c>
      <c r="BA69" s="93" t="str">
        <f t="shared" si="76"/>
        <v>.</v>
      </c>
      <c r="BB69" s="93" t="str">
        <f t="shared" si="76"/>
        <v>.</v>
      </c>
    </row>
    <row r="70" spans="1:54" x14ac:dyDescent="0.25">
      <c r="A70" s="182" t="s">
        <v>1077</v>
      </c>
      <c r="B70" s="183">
        <v>0.99979000004200003</v>
      </c>
      <c r="C70" s="93" t="str">
        <f t="shared" ref="C70:AH70" si="77">IFERROR(C20/$B56,".")</f>
        <v>.</v>
      </c>
      <c r="D70" s="93" t="str">
        <f t="shared" si="77"/>
        <v>.</v>
      </c>
      <c r="E70" s="93" t="str">
        <f t="shared" si="77"/>
        <v>.</v>
      </c>
      <c r="F70" s="93" t="str">
        <f t="shared" si="77"/>
        <v>.</v>
      </c>
      <c r="G70" s="93" t="str">
        <f t="shared" si="77"/>
        <v>.</v>
      </c>
      <c r="H70" s="93" t="str">
        <f t="shared" si="77"/>
        <v>.</v>
      </c>
      <c r="I70" s="93" t="str">
        <f t="shared" si="77"/>
        <v>.</v>
      </c>
      <c r="J70" s="93" t="str">
        <f t="shared" si="77"/>
        <v>.</v>
      </c>
      <c r="K70" s="93" t="str">
        <f t="shared" si="77"/>
        <v>.</v>
      </c>
      <c r="L70" s="93" t="str">
        <f t="shared" si="77"/>
        <v>.</v>
      </c>
      <c r="M70" s="93" t="str">
        <f t="shared" si="77"/>
        <v>.</v>
      </c>
      <c r="N70" s="93" t="str">
        <f t="shared" si="77"/>
        <v>.</v>
      </c>
      <c r="O70" s="93" t="str">
        <f t="shared" si="77"/>
        <v>.</v>
      </c>
      <c r="P70" s="93" t="str">
        <f t="shared" si="77"/>
        <v>.</v>
      </c>
      <c r="Q70" s="93" t="str">
        <f t="shared" si="77"/>
        <v>.</v>
      </c>
      <c r="R70" s="93" t="str">
        <f t="shared" si="77"/>
        <v>.</v>
      </c>
      <c r="S70" s="93" t="str">
        <f t="shared" si="77"/>
        <v>.</v>
      </c>
      <c r="T70" s="93" t="str">
        <f t="shared" si="77"/>
        <v>.</v>
      </c>
      <c r="U70" s="93" t="str">
        <f t="shared" si="77"/>
        <v>.</v>
      </c>
      <c r="V70" s="93" t="str">
        <f t="shared" si="77"/>
        <v>.</v>
      </c>
      <c r="W70" s="93" t="str">
        <f t="shared" si="77"/>
        <v>.</v>
      </c>
      <c r="X70" s="93" t="str">
        <f t="shared" si="77"/>
        <v>.</v>
      </c>
      <c r="Y70" s="93" t="str">
        <f t="shared" si="77"/>
        <v>.</v>
      </c>
      <c r="Z70" s="93" t="str">
        <f t="shared" si="77"/>
        <v>.</v>
      </c>
      <c r="AA70" s="93" t="str">
        <f t="shared" si="77"/>
        <v>.</v>
      </c>
      <c r="AB70" s="93" t="str">
        <f t="shared" si="77"/>
        <v>.</v>
      </c>
      <c r="AC70" s="93" t="str">
        <f t="shared" si="77"/>
        <v>.</v>
      </c>
      <c r="AD70" s="93" t="str">
        <f t="shared" si="77"/>
        <v>.</v>
      </c>
      <c r="AE70" s="93" t="str">
        <f t="shared" si="77"/>
        <v>.</v>
      </c>
      <c r="AF70" s="93" t="str">
        <f t="shared" si="77"/>
        <v>.</v>
      </c>
      <c r="AG70" s="93" t="str">
        <f t="shared" si="77"/>
        <v>.</v>
      </c>
      <c r="AH70" s="93" t="str">
        <f t="shared" si="77"/>
        <v>.</v>
      </c>
      <c r="AI70" s="93" t="str">
        <f t="shared" ref="AI70:BB70" si="78">IFERROR(AI20/$B56,".")</f>
        <v>.</v>
      </c>
      <c r="AJ70" s="93" t="str">
        <f t="shared" si="78"/>
        <v>.</v>
      </c>
      <c r="AK70" s="93" t="str">
        <f t="shared" si="78"/>
        <v>.</v>
      </c>
      <c r="AL70" s="93" t="str">
        <f t="shared" si="78"/>
        <v>.</v>
      </c>
      <c r="AM70" s="93" t="str">
        <f t="shared" si="78"/>
        <v>.</v>
      </c>
      <c r="AN70" s="93" t="str">
        <f t="shared" si="78"/>
        <v>.</v>
      </c>
      <c r="AO70" s="93" t="str">
        <f t="shared" si="78"/>
        <v>.</v>
      </c>
      <c r="AP70" s="93" t="str">
        <f t="shared" si="78"/>
        <v>.</v>
      </c>
      <c r="AQ70" s="93" t="str">
        <f t="shared" si="78"/>
        <v>.</v>
      </c>
      <c r="AR70" s="93" t="str">
        <f t="shared" si="78"/>
        <v>.</v>
      </c>
      <c r="AS70" s="93" t="str">
        <f t="shared" si="78"/>
        <v>.</v>
      </c>
      <c r="AT70" s="93" t="str">
        <f t="shared" si="78"/>
        <v>.</v>
      </c>
      <c r="AU70" s="93" t="str">
        <f t="shared" si="78"/>
        <v>.</v>
      </c>
      <c r="AV70" s="93" t="str">
        <f t="shared" si="78"/>
        <v>.</v>
      </c>
      <c r="AW70" s="93" t="str">
        <f t="shared" si="78"/>
        <v>.</v>
      </c>
      <c r="AX70" s="93" t="str">
        <f t="shared" si="78"/>
        <v>.</v>
      </c>
      <c r="AY70" s="93" t="str">
        <f t="shared" si="78"/>
        <v>.</v>
      </c>
      <c r="AZ70" s="93" t="str">
        <f t="shared" si="78"/>
        <v>.</v>
      </c>
      <c r="BA70" s="93" t="str">
        <f t="shared" si="78"/>
        <v>.</v>
      </c>
      <c r="BB70" s="93" t="str">
        <f t="shared" si="78"/>
        <v>.</v>
      </c>
    </row>
    <row r="71" spans="1:54" x14ac:dyDescent="0.25">
      <c r="A71" s="182" t="s">
        <v>1078</v>
      </c>
      <c r="B71" s="183">
        <v>2.0999995799999999E-4</v>
      </c>
      <c r="C71" s="93" t="str">
        <f t="shared" ref="C71:AH71" si="79">IFERROR(C29/$B57,".")</f>
        <v>.</v>
      </c>
      <c r="D71" s="93" t="str">
        <f t="shared" si="79"/>
        <v>.</v>
      </c>
      <c r="E71" s="93" t="str">
        <f t="shared" si="79"/>
        <v>.</v>
      </c>
      <c r="F71" s="93" t="str">
        <f t="shared" si="79"/>
        <v>.</v>
      </c>
      <c r="G71" s="93" t="str">
        <f t="shared" si="79"/>
        <v>.</v>
      </c>
      <c r="H71" s="93" t="str">
        <f t="shared" si="79"/>
        <v>.</v>
      </c>
      <c r="I71" s="93" t="str">
        <f t="shared" si="79"/>
        <v>.</v>
      </c>
      <c r="J71" s="93" t="str">
        <f t="shared" si="79"/>
        <v>.</v>
      </c>
      <c r="K71" s="93" t="str">
        <f t="shared" si="79"/>
        <v>.</v>
      </c>
      <c r="L71" s="93" t="str">
        <f t="shared" si="79"/>
        <v>.</v>
      </c>
      <c r="M71" s="93" t="str">
        <f t="shared" si="79"/>
        <v>.</v>
      </c>
      <c r="N71" s="93" t="str">
        <f t="shared" si="79"/>
        <v>.</v>
      </c>
      <c r="O71" s="93" t="str">
        <f t="shared" si="79"/>
        <v>.</v>
      </c>
      <c r="P71" s="93" t="str">
        <f t="shared" si="79"/>
        <v>.</v>
      </c>
      <c r="Q71" s="93" t="str">
        <f t="shared" si="79"/>
        <v>.</v>
      </c>
      <c r="R71" s="93" t="str">
        <f t="shared" si="79"/>
        <v>.</v>
      </c>
      <c r="S71" s="93" t="str">
        <f t="shared" si="79"/>
        <v>.</v>
      </c>
      <c r="T71" s="93" t="str">
        <f t="shared" si="79"/>
        <v>.</v>
      </c>
      <c r="U71" s="93" t="str">
        <f t="shared" si="79"/>
        <v>.</v>
      </c>
      <c r="V71" s="93" t="str">
        <f t="shared" si="79"/>
        <v>.</v>
      </c>
      <c r="W71" s="93" t="str">
        <f t="shared" si="79"/>
        <v>.</v>
      </c>
      <c r="X71" s="93" t="str">
        <f t="shared" si="79"/>
        <v>.</v>
      </c>
      <c r="Y71" s="93" t="str">
        <f t="shared" si="79"/>
        <v>.</v>
      </c>
      <c r="Z71" s="93" t="str">
        <f t="shared" si="79"/>
        <v>.</v>
      </c>
      <c r="AA71" s="93" t="str">
        <f t="shared" si="79"/>
        <v>.</v>
      </c>
      <c r="AB71" s="93" t="str">
        <f t="shared" si="79"/>
        <v>.</v>
      </c>
      <c r="AC71" s="93" t="str">
        <f t="shared" si="79"/>
        <v>.</v>
      </c>
      <c r="AD71" s="93" t="str">
        <f t="shared" si="79"/>
        <v>.</v>
      </c>
      <c r="AE71" s="93" t="str">
        <f t="shared" si="79"/>
        <v>.</v>
      </c>
      <c r="AF71" s="93" t="str">
        <f t="shared" si="79"/>
        <v>.</v>
      </c>
      <c r="AG71" s="93" t="str">
        <f t="shared" si="79"/>
        <v>.</v>
      </c>
      <c r="AH71" s="93" t="str">
        <f t="shared" si="79"/>
        <v>.</v>
      </c>
      <c r="AI71" s="93" t="str">
        <f t="shared" ref="AI71:BB71" si="80">IFERROR(AI29/$B57,".")</f>
        <v>.</v>
      </c>
      <c r="AJ71" s="93" t="str">
        <f t="shared" si="80"/>
        <v>.</v>
      </c>
      <c r="AK71" s="93" t="str">
        <f t="shared" si="80"/>
        <v>.</v>
      </c>
      <c r="AL71" s="93" t="str">
        <f t="shared" si="80"/>
        <v>.</v>
      </c>
      <c r="AM71" s="93" t="str">
        <f t="shared" si="80"/>
        <v>.</v>
      </c>
      <c r="AN71" s="93" t="str">
        <f t="shared" si="80"/>
        <v>.</v>
      </c>
      <c r="AO71" s="93" t="str">
        <f t="shared" si="80"/>
        <v>.</v>
      </c>
      <c r="AP71" s="93" t="str">
        <f t="shared" si="80"/>
        <v>.</v>
      </c>
      <c r="AQ71" s="93" t="str">
        <f t="shared" si="80"/>
        <v>.</v>
      </c>
      <c r="AR71" s="93" t="str">
        <f t="shared" si="80"/>
        <v>.</v>
      </c>
      <c r="AS71" s="93" t="str">
        <f t="shared" si="80"/>
        <v>.</v>
      </c>
      <c r="AT71" s="93" t="str">
        <f t="shared" si="80"/>
        <v>.</v>
      </c>
      <c r="AU71" s="93" t="str">
        <f t="shared" si="80"/>
        <v>.</v>
      </c>
      <c r="AV71" s="93" t="str">
        <f t="shared" si="80"/>
        <v>.</v>
      </c>
      <c r="AW71" s="93" t="str">
        <f t="shared" si="80"/>
        <v>.</v>
      </c>
      <c r="AX71" s="93" t="str">
        <f t="shared" si="80"/>
        <v>.</v>
      </c>
      <c r="AY71" s="93" t="str">
        <f t="shared" si="80"/>
        <v>.</v>
      </c>
      <c r="AZ71" s="93" t="str">
        <f t="shared" si="80"/>
        <v>.</v>
      </c>
      <c r="BA71" s="93" t="str">
        <f t="shared" si="80"/>
        <v>.</v>
      </c>
      <c r="BB71" s="93" t="str">
        <f t="shared" si="80"/>
        <v>.</v>
      </c>
    </row>
    <row r="72" spans="1:54" x14ac:dyDescent="0.25">
      <c r="A72" s="182" t="s">
        <v>1079</v>
      </c>
      <c r="B72" s="183">
        <v>1</v>
      </c>
      <c r="C72" s="93">
        <f t="shared" ref="C72:AH72" si="81">IFERROR(C16/$B58,".")</f>
        <v>5.6853079068298115E-4</v>
      </c>
      <c r="D72" s="93">
        <f t="shared" si="81"/>
        <v>1.0305318059281438E-2</v>
      </c>
      <c r="E72" s="93">
        <f t="shared" si="81"/>
        <v>2.2522150907032554E-2</v>
      </c>
      <c r="F72" s="93">
        <f t="shared" si="81"/>
        <v>2.7165910025441092E-2</v>
      </c>
      <c r="G72" s="93">
        <f t="shared" si="81"/>
        <v>2.3172928698775398E-2</v>
      </c>
      <c r="H72" s="93">
        <f t="shared" si="81"/>
        <v>2.8545664966969281E-2</v>
      </c>
      <c r="I72" s="93">
        <f t="shared" si="81"/>
        <v>1.1093911000556738E-2</v>
      </c>
      <c r="J72" s="93">
        <f t="shared" si="81"/>
        <v>3.1280868547599053E-2</v>
      </c>
      <c r="K72" s="93">
        <f t="shared" si="81"/>
        <v>2.6714878366497605E-3</v>
      </c>
      <c r="L72" s="93">
        <f t="shared" si="81"/>
        <v>1.4646151684832508E-2</v>
      </c>
      <c r="M72" s="93">
        <f t="shared" si="81"/>
        <v>1.0970923986160515E-2</v>
      </c>
      <c r="N72" s="93">
        <f t="shared" si="81"/>
        <v>2.6068647105436871E-2</v>
      </c>
      <c r="O72" s="93">
        <f t="shared" si="81"/>
        <v>2.4293539793633231E-2</v>
      </c>
      <c r="P72" s="93">
        <f t="shared" si="81"/>
        <v>2.9607335963589845E-2</v>
      </c>
      <c r="Q72" s="93">
        <f t="shared" si="81"/>
        <v>4.2265496906486844E-2</v>
      </c>
      <c r="R72" s="93">
        <f t="shared" si="81"/>
        <v>6.6156296639052065E-3</v>
      </c>
      <c r="S72" s="93">
        <f t="shared" si="81"/>
        <v>1.3499876613152738E-2</v>
      </c>
      <c r="T72" s="93">
        <f t="shared" si="81"/>
        <v>2.3549196857938048E-2</v>
      </c>
      <c r="U72" s="93">
        <f t="shared" si="81"/>
        <v>4.7127712935071724E-2</v>
      </c>
      <c r="V72" s="93">
        <f t="shared" si="81"/>
        <v>6.9273878445257108E-3</v>
      </c>
      <c r="W72" s="93">
        <f t="shared" si="81"/>
        <v>1.4079328645347722E-2</v>
      </c>
      <c r="X72" s="93">
        <f t="shared" si="81"/>
        <v>1.5793461574819909E-2</v>
      </c>
      <c r="Y72" s="93">
        <f t="shared" si="81"/>
        <v>2.0141527139409698E-2</v>
      </c>
      <c r="Z72" s="93">
        <f t="shared" si="81"/>
        <v>1.0821784533198858E-2</v>
      </c>
      <c r="AA72" s="93">
        <f t="shared" si="81"/>
        <v>1.0443209421447481E-2</v>
      </c>
      <c r="AB72" s="93">
        <f t="shared" si="81"/>
        <v>1.1977274721380082E-2</v>
      </c>
      <c r="AC72" s="93">
        <f t="shared" si="81"/>
        <v>5.349639479557026E-4</v>
      </c>
      <c r="AD72" s="93">
        <f t="shared" si="81"/>
        <v>8.9608756653724603E-3</v>
      </c>
      <c r="AE72" s="93">
        <f t="shared" si="81"/>
        <v>2.1105647632812724E-2</v>
      </c>
      <c r="AF72" s="93">
        <f t="shared" si="81"/>
        <v>2.5118101545752898E-2</v>
      </c>
      <c r="AG72" s="93">
        <f t="shared" si="81"/>
        <v>2.2565114175528832E-2</v>
      </c>
      <c r="AH72" s="93">
        <f t="shared" si="81"/>
        <v>2.4260842191603665E-2</v>
      </c>
      <c r="AI72" s="93">
        <f t="shared" ref="AI72:BB72" si="82">IFERROR(AI16/$B58,".")</f>
        <v>1.0936216404319139E-2</v>
      </c>
      <c r="AJ72" s="93">
        <f t="shared" si="82"/>
        <v>3.334329797793404E-2</v>
      </c>
      <c r="AK72" s="93">
        <f t="shared" si="82"/>
        <v>2.5977852984095128E-3</v>
      </c>
      <c r="AL72" s="93">
        <f t="shared" si="82"/>
        <v>1.0158464684186411E-2</v>
      </c>
      <c r="AM72" s="93">
        <f t="shared" si="82"/>
        <v>1.541558909771925E-2</v>
      </c>
      <c r="AN72" s="93">
        <f t="shared" si="82"/>
        <v>2.3878239412994554E-2</v>
      </c>
      <c r="AO72" s="93">
        <f t="shared" si="82"/>
        <v>2.3573395005106409E-2</v>
      </c>
      <c r="AP72" s="93">
        <f t="shared" si="82"/>
        <v>2.7782002957394213E-2</v>
      </c>
      <c r="AQ72" s="93">
        <f t="shared" si="82"/>
        <v>3.111630006531E-2</v>
      </c>
      <c r="AR72" s="93">
        <f t="shared" si="82"/>
        <v>7.3956877896643606E-3</v>
      </c>
      <c r="AS72" s="93">
        <f t="shared" si="82"/>
        <v>1.2060850415628363E-2</v>
      </c>
      <c r="AT72" s="93">
        <f t="shared" si="82"/>
        <v>2.5302793468883436E-2</v>
      </c>
      <c r="AU72" s="93">
        <f t="shared" si="82"/>
        <v>3.5335336316872454E-2</v>
      </c>
      <c r="AV72" s="93">
        <f t="shared" si="82"/>
        <v>5.8965618863540178E-3</v>
      </c>
      <c r="AW72" s="93">
        <f t="shared" si="82"/>
        <v>1.3245727943119455E-2</v>
      </c>
      <c r="AX72" s="93">
        <f t="shared" si="82"/>
        <v>1.4952786501856455E-2</v>
      </c>
      <c r="AY72" s="93">
        <f t="shared" si="82"/>
        <v>1.959517485671004E-2</v>
      </c>
      <c r="AZ72" s="93">
        <f t="shared" si="82"/>
        <v>8.7795382185897296E-3</v>
      </c>
      <c r="BA72" s="93">
        <f t="shared" si="82"/>
        <v>8.2734230980710602E-3</v>
      </c>
      <c r="BB72" s="93">
        <f t="shared" si="82"/>
        <v>9.5473810528910064E-3</v>
      </c>
    </row>
    <row r="73" spans="1:54" x14ac:dyDescent="0.25">
      <c r="A73" s="182" t="s">
        <v>1080</v>
      </c>
      <c r="B73" s="183">
        <v>1</v>
      </c>
      <c r="C73" s="93">
        <f t="shared" ref="C73:AH73" si="83">IFERROR(C7/$B59,".")</f>
        <v>0.32216744805368919</v>
      </c>
      <c r="D73" s="93">
        <f t="shared" si="83"/>
        <v>5.8396802335928149</v>
      </c>
      <c r="E73" s="93">
        <f t="shared" si="83"/>
        <v>12.762552180651781</v>
      </c>
      <c r="F73" s="93">
        <f t="shared" si="83"/>
        <v>15.394015681083287</v>
      </c>
      <c r="G73" s="93">
        <f t="shared" si="83"/>
        <v>13.131326262639393</v>
      </c>
      <c r="H73" s="93">
        <f t="shared" si="83"/>
        <v>16.175876814615929</v>
      </c>
      <c r="I73" s="93">
        <f t="shared" si="83"/>
        <v>6.2865495669821527</v>
      </c>
      <c r="J73" s="93">
        <f t="shared" si="83"/>
        <v>17.72582551030613</v>
      </c>
      <c r="K73" s="93">
        <f t="shared" si="83"/>
        <v>1.5138431074348642</v>
      </c>
      <c r="L73" s="93">
        <f t="shared" si="83"/>
        <v>8.2994859547384205</v>
      </c>
      <c r="M73" s="93">
        <f t="shared" si="83"/>
        <v>6.2168569254909585</v>
      </c>
      <c r="N73" s="93">
        <f t="shared" si="83"/>
        <v>14.772233359747561</v>
      </c>
      <c r="O73" s="93">
        <f t="shared" si="83"/>
        <v>13.766339216392165</v>
      </c>
      <c r="P73" s="93">
        <f t="shared" si="83"/>
        <v>16.777490379367581</v>
      </c>
      <c r="Q73" s="93">
        <f t="shared" si="83"/>
        <v>23.950448247009213</v>
      </c>
      <c r="R73" s="93">
        <f t="shared" si="83"/>
        <v>3.7488568095462842</v>
      </c>
      <c r="S73" s="93">
        <f t="shared" si="83"/>
        <v>7.6499300807865502</v>
      </c>
      <c r="T73" s="93">
        <f t="shared" si="83"/>
        <v>13.344544886164895</v>
      </c>
      <c r="U73" s="93">
        <f t="shared" si="83"/>
        <v>26.705703996540649</v>
      </c>
      <c r="V73" s="93">
        <f t="shared" si="83"/>
        <v>3.9255197785645697</v>
      </c>
      <c r="W73" s="93">
        <f t="shared" si="83"/>
        <v>7.9782862323637103</v>
      </c>
      <c r="X73" s="93">
        <f t="shared" si="83"/>
        <v>8.9496282257312814</v>
      </c>
      <c r="Y73" s="93">
        <f t="shared" si="83"/>
        <v>11.413532045665495</v>
      </c>
      <c r="Z73" s="93">
        <f t="shared" si="83"/>
        <v>6.1323445688126856</v>
      </c>
      <c r="AA73" s="93">
        <f t="shared" si="83"/>
        <v>5.9178186721535733</v>
      </c>
      <c r="AB73" s="93">
        <f t="shared" si="83"/>
        <v>6.7871223421153797</v>
      </c>
      <c r="AC73" s="93">
        <f t="shared" si="83"/>
        <v>0.30314623717489825</v>
      </c>
      <c r="AD73" s="93">
        <f t="shared" si="83"/>
        <v>5.0778295437110614</v>
      </c>
      <c r="AE73" s="93">
        <f t="shared" si="83"/>
        <v>11.95986699192721</v>
      </c>
      <c r="AF73" s="93">
        <f t="shared" si="83"/>
        <v>14.233590875926643</v>
      </c>
      <c r="AG73" s="93">
        <f t="shared" si="83"/>
        <v>12.786898032799673</v>
      </c>
      <c r="AH73" s="93">
        <f t="shared" si="83"/>
        <v>13.747810575242077</v>
      </c>
      <c r="AI73" s="93">
        <f t="shared" ref="AI73:BB73" si="84">IFERROR(AI7/$B59,".")</f>
        <v>6.197189295780845</v>
      </c>
      <c r="AJ73" s="93">
        <f t="shared" si="84"/>
        <v>18.89453552082929</v>
      </c>
      <c r="AK73" s="93">
        <f t="shared" si="84"/>
        <v>1.4720783357653908</v>
      </c>
      <c r="AL73" s="93">
        <f t="shared" si="84"/>
        <v>5.7564633210389671</v>
      </c>
      <c r="AM73" s="93">
        <f t="shared" si="84"/>
        <v>8.735500488707574</v>
      </c>
      <c r="AN73" s="93">
        <f t="shared" si="84"/>
        <v>13.53100233403025</v>
      </c>
      <c r="AO73" s="93">
        <f t="shared" si="84"/>
        <v>13.358257169560298</v>
      </c>
      <c r="AP73" s="93">
        <f t="shared" si="84"/>
        <v>15.743135009190055</v>
      </c>
      <c r="AQ73" s="93">
        <f t="shared" si="84"/>
        <v>17.632570037009003</v>
      </c>
      <c r="AR73" s="93">
        <f t="shared" si="84"/>
        <v>4.1908897474764721</v>
      </c>
      <c r="AS73" s="93">
        <f t="shared" si="84"/>
        <v>6.8344819021894061</v>
      </c>
      <c r="AT73" s="93">
        <f t="shared" si="84"/>
        <v>14.338249632367278</v>
      </c>
      <c r="AU73" s="93">
        <f t="shared" si="84"/>
        <v>20.023357246227725</v>
      </c>
      <c r="AV73" s="93">
        <f t="shared" si="84"/>
        <v>3.3413850689339437</v>
      </c>
      <c r="AW73" s="93">
        <f t="shared" si="84"/>
        <v>7.5059125011010241</v>
      </c>
      <c r="AX73" s="93">
        <f t="shared" si="84"/>
        <v>8.4732456843853257</v>
      </c>
      <c r="AY73" s="93">
        <f t="shared" si="84"/>
        <v>11.103932418802355</v>
      </c>
      <c r="AZ73" s="93">
        <f t="shared" si="84"/>
        <v>4.9750716572008464</v>
      </c>
      <c r="BA73" s="93">
        <f t="shared" si="84"/>
        <v>4.6882730889069339</v>
      </c>
      <c r="BB73" s="93">
        <f t="shared" si="84"/>
        <v>5.4101825966382373</v>
      </c>
    </row>
    <row r="74" spans="1:54" x14ac:dyDescent="0.25">
      <c r="A74" s="182" t="s">
        <v>1081</v>
      </c>
      <c r="B74" s="186">
        <v>1.9000000000000001E-8</v>
      </c>
      <c r="C74" s="93" t="str">
        <f t="shared" ref="C74:AH74" si="85">IFERROR(C12/$B60,".")</f>
        <v>.</v>
      </c>
      <c r="D74" s="93" t="str">
        <f t="shared" si="85"/>
        <v>.</v>
      </c>
      <c r="E74" s="93" t="str">
        <f t="shared" si="85"/>
        <v>.</v>
      </c>
      <c r="F74" s="93" t="str">
        <f t="shared" si="85"/>
        <v>.</v>
      </c>
      <c r="G74" s="93" t="str">
        <f t="shared" si="85"/>
        <v>.</v>
      </c>
      <c r="H74" s="93" t="str">
        <f t="shared" si="85"/>
        <v>.</v>
      </c>
      <c r="I74" s="93" t="str">
        <f t="shared" si="85"/>
        <v>.</v>
      </c>
      <c r="J74" s="93" t="str">
        <f t="shared" si="85"/>
        <v>.</v>
      </c>
      <c r="K74" s="93" t="str">
        <f t="shared" si="85"/>
        <v>.</v>
      </c>
      <c r="L74" s="93" t="str">
        <f t="shared" si="85"/>
        <v>.</v>
      </c>
      <c r="M74" s="93" t="str">
        <f t="shared" si="85"/>
        <v>.</v>
      </c>
      <c r="N74" s="93" t="str">
        <f t="shared" si="85"/>
        <v>.</v>
      </c>
      <c r="O74" s="93" t="str">
        <f t="shared" si="85"/>
        <v>.</v>
      </c>
      <c r="P74" s="93" t="str">
        <f t="shared" si="85"/>
        <v>.</v>
      </c>
      <c r="Q74" s="93" t="str">
        <f t="shared" si="85"/>
        <v>.</v>
      </c>
      <c r="R74" s="93" t="str">
        <f t="shared" si="85"/>
        <v>.</v>
      </c>
      <c r="S74" s="93" t="str">
        <f t="shared" si="85"/>
        <v>.</v>
      </c>
      <c r="T74" s="93" t="str">
        <f t="shared" si="85"/>
        <v>.</v>
      </c>
      <c r="U74" s="93" t="str">
        <f t="shared" si="85"/>
        <v>.</v>
      </c>
      <c r="V74" s="93" t="str">
        <f t="shared" si="85"/>
        <v>.</v>
      </c>
      <c r="W74" s="93" t="str">
        <f t="shared" si="85"/>
        <v>.</v>
      </c>
      <c r="X74" s="93" t="str">
        <f t="shared" si="85"/>
        <v>.</v>
      </c>
      <c r="Y74" s="93" t="str">
        <f t="shared" si="85"/>
        <v>.</v>
      </c>
      <c r="Z74" s="93" t="str">
        <f t="shared" si="85"/>
        <v>.</v>
      </c>
      <c r="AA74" s="93" t="str">
        <f t="shared" si="85"/>
        <v>.</v>
      </c>
      <c r="AB74" s="93" t="str">
        <f t="shared" si="85"/>
        <v>.</v>
      </c>
      <c r="AC74" s="93" t="str">
        <f t="shared" si="85"/>
        <v>.</v>
      </c>
      <c r="AD74" s="93" t="str">
        <f t="shared" si="85"/>
        <v>.</v>
      </c>
      <c r="AE74" s="93" t="str">
        <f t="shared" si="85"/>
        <v>.</v>
      </c>
      <c r="AF74" s="93" t="str">
        <f t="shared" si="85"/>
        <v>.</v>
      </c>
      <c r="AG74" s="93" t="str">
        <f t="shared" si="85"/>
        <v>.</v>
      </c>
      <c r="AH74" s="93" t="str">
        <f t="shared" si="85"/>
        <v>.</v>
      </c>
      <c r="AI74" s="93" t="str">
        <f t="shared" ref="AI74:BB74" si="86">IFERROR(AI12/$B60,".")</f>
        <v>.</v>
      </c>
      <c r="AJ74" s="93" t="str">
        <f t="shared" si="86"/>
        <v>.</v>
      </c>
      <c r="AK74" s="93" t="str">
        <f t="shared" si="86"/>
        <v>.</v>
      </c>
      <c r="AL74" s="93" t="str">
        <f t="shared" si="86"/>
        <v>.</v>
      </c>
      <c r="AM74" s="93" t="str">
        <f t="shared" si="86"/>
        <v>.</v>
      </c>
      <c r="AN74" s="93" t="str">
        <f t="shared" si="86"/>
        <v>.</v>
      </c>
      <c r="AO74" s="93" t="str">
        <f t="shared" si="86"/>
        <v>.</v>
      </c>
      <c r="AP74" s="93" t="str">
        <f t="shared" si="86"/>
        <v>.</v>
      </c>
      <c r="AQ74" s="93" t="str">
        <f t="shared" si="86"/>
        <v>.</v>
      </c>
      <c r="AR74" s="93" t="str">
        <f t="shared" si="86"/>
        <v>.</v>
      </c>
      <c r="AS74" s="93" t="str">
        <f t="shared" si="86"/>
        <v>.</v>
      </c>
      <c r="AT74" s="93" t="str">
        <f t="shared" si="86"/>
        <v>.</v>
      </c>
      <c r="AU74" s="93" t="str">
        <f t="shared" si="86"/>
        <v>.</v>
      </c>
      <c r="AV74" s="93" t="str">
        <f t="shared" si="86"/>
        <v>.</v>
      </c>
      <c r="AW74" s="93" t="str">
        <f t="shared" si="86"/>
        <v>.</v>
      </c>
      <c r="AX74" s="93" t="str">
        <f t="shared" si="86"/>
        <v>.</v>
      </c>
      <c r="AY74" s="93" t="str">
        <f t="shared" si="86"/>
        <v>.</v>
      </c>
      <c r="AZ74" s="93" t="str">
        <f t="shared" si="86"/>
        <v>.</v>
      </c>
      <c r="BA74" s="93" t="str">
        <f t="shared" si="86"/>
        <v>.</v>
      </c>
      <c r="BB74" s="93" t="str">
        <f t="shared" si="86"/>
        <v>.</v>
      </c>
    </row>
    <row r="75" spans="1:54" x14ac:dyDescent="0.25">
      <c r="A75" s="182" t="s">
        <v>1082</v>
      </c>
      <c r="B75" s="183">
        <v>1</v>
      </c>
      <c r="C75" s="93">
        <f t="shared" ref="C75:AH75" si="87">IFERROR(C18/$B61,".")</f>
        <v>3.3137223228379476E-4</v>
      </c>
      <c r="D75" s="93">
        <f t="shared" si="87"/>
        <v>6.0065282402668946E-3</v>
      </c>
      <c r="E75" s="93">
        <f t="shared" si="87"/>
        <v>1.3127196528670403E-2</v>
      </c>
      <c r="F75" s="93">
        <f t="shared" si="87"/>
        <v>1.5833844700542807E-2</v>
      </c>
      <c r="G75" s="93">
        <f t="shared" si="87"/>
        <v>1.3506507013000517E-2</v>
      </c>
      <c r="H75" s="93">
        <f t="shared" si="87"/>
        <v>1.6638044723604951E-2</v>
      </c>
      <c r="I75" s="93">
        <f t="shared" si="87"/>
        <v>6.4661652688959275E-3</v>
      </c>
      <c r="J75" s="93">
        <f t="shared" si="87"/>
        <v>1.8232277667743449E-2</v>
      </c>
      <c r="K75" s="93">
        <f t="shared" si="87"/>
        <v>1.5570957676472889E-3</v>
      </c>
      <c r="L75" s="93">
        <f t="shared" si="87"/>
        <v>8.5366141248738054E-3</v>
      </c>
      <c r="M75" s="93">
        <f t="shared" si="87"/>
        <v>6.3944814090764138E-3</v>
      </c>
      <c r="N75" s="93">
        <f t="shared" si="87"/>
        <v>1.5194297170026062E-2</v>
      </c>
      <c r="O75" s="93">
        <f t="shared" si="87"/>
        <v>1.4159663194003368E-2</v>
      </c>
      <c r="P75" s="93">
        <f t="shared" si="87"/>
        <v>1.7256847247349511E-2</v>
      </c>
      <c r="Q75" s="93">
        <f t="shared" si="87"/>
        <v>2.4634746768352332E-2</v>
      </c>
      <c r="R75" s="93">
        <f t="shared" si="87"/>
        <v>3.8559670041047496E-3</v>
      </c>
      <c r="S75" s="93">
        <f t="shared" si="87"/>
        <v>7.8684995116661653E-3</v>
      </c>
      <c r="T75" s="93">
        <f t="shared" si="87"/>
        <v>1.3725817597198178E-2</v>
      </c>
      <c r="U75" s="93">
        <f t="shared" si="87"/>
        <v>2.7468724110727524E-2</v>
      </c>
      <c r="V75" s="93">
        <f t="shared" si="87"/>
        <v>4.0376774865235575E-3</v>
      </c>
      <c r="W75" s="93">
        <f t="shared" si="87"/>
        <v>8.2062372675741017E-3</v>
      </c>
      <c r="X75" s="93">
        <f t="shared" si="87"/>
        <v>9.205331889323605E-3</v>
      </c>
      <c r="Y75" s="93">
        <f t="shared" si="87"/>
        <v>1.1739632961255939E-2</v>
      </c>
      <c r="Z75" s="93">
        <f t="shared" si="87"/>
        <v>6.3075544136359058E-3</v>
      </c>
      <c r="AA75" s="93">
        <f t="shared" si="87"/>
        <v>6.0868992056436746E-3</v>
      </c>
      <c r="AB75" s="93">
        <f t="shared" si="87"/>
        <v>6.9810401233186764E-3</v>
      </c>
      <c r="AC75" s="93">
        <f t="shared" si="87"/>
        <v>3.1180755823703818E-4</v>
      </c>
      <c r="AD75" s="93">
        <f t="shared" si="87"/>
        <v>5.2229103878170908E-3</v>
      </c>
      <c r="AE75" s="93">
        <f t="shared" si="87"/>
        <v>1.2301577477410845E-2</v>
      </c>
      <c r="AF75" s="93">
        <f t="shared" si="87"/>
        <v>1.4640264900953119E-2</v>
      </c>
      <c r="AG75" s="93">
        <f t="shared" si="87"/>
        <v>1.3152237976593949E-2</v>
      </c>
      <c r="AH75" s="93">
        <f t="shared" si="87"/>
        <v>1.4140605163106139E-2</v>
      </c>
      <c r="AI75" s="93">
        <f t="shared" ref="AI75:BB75" si="88">IFERROR(AI18/$B61,".")</f>
        <v>6.3742518470888687E-3</v>
      </c>
      <c r="AJ75" s="93">
        <f t="shared" si="88"/>
        <v>1.9434379392852984E-2</v>
      </c>
      <c r="AK75" s="93">
        <f t="shared" si="88"/>
        <v>1.5141377167872591E-3</v>
      </c>
      <c r="AL75" s="93">
        <f t="shared" si="88"/>
        <v>5.92093370164008E-3</v>
      </c>
      <c r="AM75" s="93">
        <f t="shared" si="88"/>
        <v>8.9850862169563624E-3</v>
      </c>
      <c r="AN75" s="93">
        <f t="shared" si="88"/>
        <v>1.3917602400716827E-2</v>
      </c>
      <c r="AO75" s="93">
        <f t="shared" si="88"/>
        <v>1.3739921660119165E-2</v>
      </c>
      <c r="AP75" s="93">
        <f t="shared" si="88"/>
        <v>1.6192938866595487E-2</v>
      </c>
      <c r="AQ75" s="93">
        <f t="shared" si="88"/>
        <v>1.8136357752352117E-2</v>
      </c>
      <c r="AR75" s="93">
        <f t="shared" si="88"/>
        <v>4.3106294545472278E-3</v>
      </c>
      <c r="AS75" s="93">
        <f t="shared" si="88"/>
        <v>7.029752813680532E-3</v>
      </c>
      <c r="AT75" s="93">
        <f t="shared" si="88"/>
        <v>1.4747913907577773E-2</v>
      </c>
      <c r="AU75" s="93">
        <f t="shared" si="88"/>
        <v>2.0595453167548516E-2</v>
      </c>
      <c r="AV75" s="93">
        <f t="shared" si="88"/>
        <v>3.4368532137606274E-3</v>
      </c>
      <c r="AW75" s="93">
        <f t="shared" si="88"/>
        <v>7.7203671439896255E-3</v>
      </c>
      <c r="AX75" s="93">
        <f t="shared" si="88"/>
        <v>8.7153384182249057E-3</v>
      </c>
      <c r="AY75" s="93">
        <f t="shared" si="88"/>
        <v>1.1421187630768137E-2</v>
      </c>
      <c r="AZ75" s="93">
        <f t="shared" si="88"/>
        <v>5.1172165616922994E-3</v>
      </c>
      <c r="BA75" s="93">
        <f t="shared" si="88"/>
        <v>4.82222374858999E-3</v>
      </c>
      <c r="BB75" s="93">
        <f t="shared" si="88"/>
        <v>5.5647592422564725E-3</v>
      </c>
    </row>
    <row r="76" spans="1:54" x14ac:dyDescent="0.25">
      <c r="A76" s="182" t="s">
        <v>1083</v>
      </c>
      <c r="B76" s="183">
        <v>1.339E-6</v>
      </c>
      <c r="C76" s="93" t="str">
        <f t="shared" ref="C76:AH76" si="89">IFERROR(C27/$B62,".")</f>
        <v>.</v>
      </c>
      <c r="D76" s="93" t="str">
        <f t="shared" si="89"/>
        <v>.</v>
      </c>
      <c r="E76" s="93" t="str">
        <f t="shared" si="89"/>
        <v>.</v>
      </c>
      <c r="F76" s="93" t="str">
        <f t="shared" si="89"/>
        <v>.</v>
      </c>
      <c r="G76" s="93" t="str">
        <f t="shared" si="89"/>
        <v>.</v>
      </c>
      <c r="H76" s="93" t="str">
        <f t="shared" si="89"/>
        <v>.</v>
      </c>
      <c r="I76" s="93" t="str">
        <f t="shared" si="89"/>
        <v>.</v>
      </c>
      <c r="J76" s="93" t="str">
        <f t="shared" si="89"/>
        <v>.</v>
      </c>
      <c r="K76" s="93" t="str">
        <f t="shared" si="89"/>
        <v>.</v>
      </c>
      <c r="L76" s="93" t="str">
        <f t="shared" si="89"/>
        <v>.</v>
      </c>
      <c r="M76" s="93" t="str">
        <f t="shared" si="89"/>
        <v>.</v>
      </c>
      <c r="N76" s="93" t="str">
        <f t="shared" si="89"/>
        <v>.</v>
      </c>
      <c r="O76" s="93" t="str">
        <f t="shared" si="89"/>
        <v>.</v>
      </c>
      <c r="P76" s="93" t="str">
        <f t="shared" si="89"/>
        <v>.</v>
      </c>
      <c r="Q76" s="93" t="str">
        <f t="shared" si="89"/>
        <v>.</v>
      </c>
      <c r="R76" s="93" t="str">
        <f t="shared" si="89"/>
        <v>.</v>
      </c>
      <c r="S76" s="93" t="str">
        <f t="shared" si="89"/>
        <v>.</v>
      </c>
      <c r="T76" s="93" t="str">
        <f t="shared" si="89"/>
        <v>.</v>
      </c>
      <c r="U76" s="93" t="str">
        <f t="shared" si="89"/>
        <v>.</v>
      </c>
      <c r="V76" s="93" t="str">
        <f t="shared" si="89"/>
        <v>.</v>
      </c>
      <c r="W76" s="93" t="str">
        <f t="shared" si="89"/>
        <v>.</v>
      </c>
      <c r="X76" s="93" t="str">
        <f t="shared" si="89"/>
        <v>.</v>
      </c>
      <c r="Y76" s="93" t="str">
        <f t="shared" si="89"/>
        <v>.</v>
      </c>
      <c r="Z76" s="93" t="str">
        <f t="shared" si="89"/>
        <v>.</v>
      </c>
      <c r="AA76" s="93" t="str">
        <f t="shared" si="89"/>
        <v>.</v>
      </c>
      <c r="AB76" s="93" t="str">
        <f t="shared" si="89"/>
        <v>.</v>
      </c>
      <c r="AC76" s="93" t="str">
        <f t="shared" si="89"/>
        <v>.</v>
      </c>
      <c r="AD76" s="93" t="str">
        <f t="shared" si="89"/>
        <v>.</v>
      </c>
      <c r="AE76" s="93" t="str">
        <f t="shared" si="89"/>
        <v>.</v>
      </c>
      <c r="AF76" s="93" t="str">
        <f t="shared" si="89"/>
        <v>.</v>
      </c>
      <c r="AG76" s="93" t="str">
        <f t="shared" si="89"/>
        <v>.</v>
      </c>
      <c r="AH76" s="93" t="str">
        <f t="shared" si="89"/>
        <v>.</v>
      </c>
      <c r="AI76" s="93" t="str">
        <f t="shared" ref="AI76:BB76" si="90">IFERROR(AI27/$B62,".")</f>
        <v>.</v>
      </c>
      <c r="AJ76" s="93" t="str">
        <f t="shared" si="90"/>
        <v>.</v>
      </c>
      <c r="AK76" s="93" t="str">
        <f t="shared" si="90"/>
        <v>.</v>
      </c>
      <c r="AL76" s="93" t="str">
        <f t="shared" si="90"/>
        <v>.</v>
      </c>
      <c r="AM76" s="93" t="str">
        <f t="shared" si="90"/>
        <v>.</v>
      </c>
      <c r="AN76" s="93" t="str">
        <f t="shared" si="90"/>
        <v>.</v>
      </c>
      <c r="AO76" s="93" t="str">
        <f t="shared" si="90"/>
        <v>.</v>
      </c>
      <c r="AP76" s="93" t="str">
        <f t="shared" si="90"/>
        <v>.</v>
      </c>
      <c r="AQ76" s="93" t="str">
        <f t="shared" si="90"/>
        <v>.</v>
      </c>
      <c r="AR76" s="93" t="str">
        <f t="shared" si="90"/>
        <v>.</v>
      </c>
      <c r="AS76" s="93" t="str">
        <f t="shared" si="90"/>
        <v>.</v>
      </c>
      <c r="AT76" s="93" t="str">
        <f t="shared" si="90"/>
        <v>.</v>
      </c>
      <c r="AU76" s="93" t="str">
        <f t="shared" si="90"/>
        <v>.</v>
      </c>
      <c r="AV76" s="93" t="str">
        <f t="shared" si="90"/>
        <v>.</v>
      </c>
      <c r="AW76" s="93" t="str">
        <f t="shared" si="90"/>
        <v>.</v>
      </c>
      <c r="AX76" s="93" t="str">
        <f t="shared" si="90"/>
        <v>.</v>
      </c>
      <c r="AY76" s="93" t="str">
        <f t="shared" si="90"/>
        <v>.</v>
      </c>
      <c r="AZ76" s="93" t="str">
        <f t="shared" si="90"/>
        <v>.</v>
      </c>
      <c r="BA76" s="93" t="str">
        <f t="shared" si="90"/>
        <v>.</v>
      </c>
      <c r="BB76" s="93" t="str">
        <f t="shared" si="90"/>
        <v>.</v>
      </c>
    </row>
  </sheetData>
  <sheetProtection algorithmName="SHA-512" hashValue="xVA4emKL38zWBLcK5fM3hPTBcic5qOq1FW48zNGgKb+Xcx39OfzXRbY8G5sinucbFCgdQsdkB3rcFTEb/LfkEA==" saltValue="L5e1zXxsgopFt4hDdph6Zw==" spinCount="100000" sheet="1" formatColumns="0" formatRows="0" autoFilter="0"/>
  <autoFilter ref="A1:BB76" xr:uid="{00000000-0009-0000-0000-000003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B76"/>
  <sheetViews>
    <sheetView zoomScale="90" zoomScaleNormal="90" workbookViewId="0">
      <pane xSplit="2" ySplit="1" topLeftCell="C2" activePane="bottomRight" state="frozen"/>
      <selection activeCell="AC53" sqref="AC53"/>
      <selection pane="topRight" activeCell="AC53" sqref="AC53"/>
      <selection pane="bottomLeft" activeCell="AC53" sqref="AC53"/>
      <selection pane="bottomRight" activeCell="C2" sqref="C2"/>
    </sheetView>
  </sheetViews>
  <sheetFormatPr defaultColWidth="9" defaultRowHeight="15" x14ac:dyDescent="0.25"/>
  <cols>
    <col min="1" max="1" width="15.42578125" style="69" bestFit="1" customWidth="1"/>
    <col min="2" max="2" width="13.28515625" style="69" bestFit="1" customWidth="1"/>
    <col min="3" max="3" width="23" style="71" bestFit="1" customWidth="1"/>
    <col min="4" max="4" width="12.140625" style="71" bestFit="1" customWidth="1"/>
    <col min="5" max="5" width="12.42578125" style="71" bestFit="1" customWidth="1"/>
    <col min="6" max="6" width="11.140625" style="71" bestFit="1" customWidth="1"/>
    <col min="7" max="7" width="11.85546875" style="71" bestFit="1" customWidth="1"/>
    <col min="8" max="8" width="11.28515625" style="71" bestFit="1" customWidth="1"/>
    <col min="9" max="9" width="11.5703125" style="71" bestFit="1" customWidth="1"/>
    <col min="10" max="10" width="11" style="71" bestFit="1" customWidth="1"/>
    <col min="11" max="11" width="12.42578125" style="71" bestFit="1" customWidth="1"/>
    <col min="12" max="12" width="11.28515625" style="71" bestFit="1" customWidth="1"/>
    <col min="13" max="13" width="13" style="71" bestFit="1" customWidth="1"/>
    <col min="14" max="14" width="10.140625" style="71" bestFit="1" customWidth="1"/>
    <col min="15" max="16" width="11.28515625" style="71" bestFit="1" customWidth="1"/>
    <col min="17" max="17" width="12.42578125" style="71" bestFit="1" customWidth="1"/>
    <col min="18" max="18" width="12.5703125" style="71" bestFit="1" customWidth="1"/>
    <col min="19" max="19" width="11.28515625" style="71" bestFit="1" customWidth="1"/>
    <col min="20" max="20" width="10.42578125" style="71" bestFit="1" customWidth="1"/>
    <col min="21" max="21" width="11.5703125" style="71" bestFit="1" customWidth="1"/>
    <col min="22" max="22" width="11.85546875" style="71" bestFit="1" customWidth="1"/>
    <col min="23" max="23" width="12.140625" style="71" bestFit="1" customWidth="1"/>
    <col min="24" max="24" width="11.5703125" style="71" bestFit="1" customWidth="1"/>
    <col min="25" max="25" width="12.140625" style="71" bestFit="1" customWidth="1"/>
    <col min="26" max="27" width="10.5703125" style="71" bestFit="1" customWidth="1"/>
    <col min="28" max="28" width="12.7109375" style="71" bestFit="1" customWidth="1"/>
    <col min="29" max="29" width="22.85546875" style="71" bestFit="1" customWidth="1"/>
    <col min="30" max="30" width="12" style="71" bestFit="1" customWidth="1"/>
    <col min="31" max="31" width="12.140625" style="71" bestFit="1" customWidth="1"/>
    <col min="32" max="32" width="10.85546875" style="71" bestFit="1" customWidth="1"/>
    <col min="33" max="33" width="11.7109375" style="71" bestFit="1" customWidth="1"/>
    <col min="34" max="34" width="11.140625" style="71" bestFit="1" customWidth="1"/>
    <col min="35" max="35" width="11.42578125" style="71" bestFit="1" customWidth="1"/>
    <col min="36" max="36" width="10.7109375" style="71" bestFit="1" customWidth="1"/>
    <col min="37" max="37" width="12.140625" style="71" bestFit="1" customWidth="1"/>
    <col min="38" max="38" width="11.140625" style="71" bestFit="1" customWidth="1"/>
    <col min="39" max="39" width="12.85546875" style="71" bestFit="1" customWidth="1"/>
    <col min="40" max="40" width="10" style="71" bestFit="1" customWidth="1"/>
    <col min="41" max="42" width="11.140625" style="71" bestFit="1" customWidth="1"/>
    <col min="43" max="43" width="12.140625" style="71" bestFit="1" customWidth="1"/>
    <col min="44" max="44" width="12.42578125" style="71" bestFit="1" customWidth="1"/>
    <col min="45" max="45" width="11.140625" style="71" bestFit="1" customWidth="1"/>
    <col min="46" max="46" width="10.28515625" style="71" bestFit="1" customWidth="1"/>
    <col min="47" max="47" width="11.42578125" style="71" bestFit="1" customWidth="1"/>
    <col min="48" max="48" width="11.7109375" style="71" bestFit="1" customWidth="1"/>
    <col min="49" max="49" width="12" style="71" bestFit="1" customWidth="1"/>
    <col min="50" max="50" width="11.42578125" style="71" bestFit="1" customWidth="1"/>
    <col min="51" max="51" width="12" style="71" bestFit="1" customWidth="1"/>
    <col min="52" max="53" width="10.42578125" style="71" bestFit="1" customWidth="1"/>
    <col min="54" max="54" width="11.7109375" style="71" bestFit="1" customWidth="1"/>
    <col min="55" max="16384" width="9" style="71"/>
  </cols>
  <sheetData>
    <row r="1" spans="1:54" x14ac:dyDescent="0.25">
      <c r="A1" s="81" t="s">
        <v>39</v>
      </c>
      <c r="B1" s="82" t="s">
        <v>334</v>
      </c>
      <c r="C1" s="83" t="s">
        <v>625</v>
      </c>
      <c r="D1" s="84" t="s">
        <v>553</v>
      </c>
      <c r="E1" s="84" t="s">
        <v>557</v>
      </c>
      <c r="F1" s="84" t="s">
        <v>554</v>
      </c>
      <c r="G1" s="84" t="s">
        <v>555</v>
      </c>
      <c r="H1" s="84" t="s">
        <v>556</v>
      </c>
      <c r="I1" s="84" t="s">
        <v>558</v>
      </c>
      <c r="J1" s="84" t="s">
        <v>559</v>
      </c>
      <c r="K1" s="84" t="s">
        <v>560</v>
      </c>
      <c r="L1" s="84" t="s">
        <v>561</v>
      </c>
      <c r="M1" s="84" t="s">
        <v>562</v>
      </c>
      <c r="N1" s="84" t="s">
        <v>563</v>
      </c>
      <c r="O1" s="84" t="s">
        <v>564</v>
      </c>
      <c r="P1" s="84" t="s">
        <v>565</v>
      </c>
      <c r="Q1" s="84" t="s">
        <v>566</v>
      </c>
      <c r="R1" s="84" t="s">
        <v>567</v>
      </c>
      <c r="S1" s="84" t="s">
        <v>568</v>
      </c>
      <c r="T1" s="84" t="s">
        <v>569</v>
      </c>
      <c r="U1" s="84" t="s">
        <v>1270</v>
      </c>
      <c r="V1" s="84" t="s">
        <v>570</v>
      </c>
      <c r="W1" s="84" t="s">
        <v>571</v>
      </c>
      <c r="X1" s="84" t="s">
        <v>572</v>
      </c>
      <c r="Y1" s="84" t="s">
        <v>573</v>
      </c>
      <c r="Z1" s="84" t="s">
        <v>574</v>
      </c>
      <c r="AA1" s="84" t="s">
        <v>575</v>
      </c>
      <c r="AB1" s="84" t="s">
        <v>624</v>
      </c>
      <c r="AC1" s="84" t="s">
        <v>626</v>
      </c>
      <c r="AD1" s="84" t="s">
        <v>576</v>
      </c>
      <c r="AE1" s="84" t="s">
        <v>577</v>
      </c>
      <c r="AF1" s="84" t="s">
        <v>578</v>
      </c>
      <c r="AG1" s="84" t="s">
        <v>579</v>
      </c>
      <c r="AH1" s="84" t="s">
        <v>580</v>
      </c>
      <c r="AI1" s="84" t="s">
        <v>581</v>
      </c>
      <c r="AJ1" s="84" t="s">
        <v>582</v>
      </c>
      <c r="AK1" s="84" t="s">
        <v>583</v>
      </c>
      <c r="AL1" s="84" t="s">
        <v>584</v>
      </c>
      <c r="AM1" s="84" t="s">
        <v>585</v>
      </c>
      <c r="AN1" s="84" t="s">
        <v>586</v>
      </c>
      <c r="AO1" s="84" t="s">
        <v>587</v>
      </c>
      <c r="AP1" s="84" t="s">
        <v>588</v>
      </c>
      <c r="AQ1" s="84" t="s">
        <v>589</v>
      </c>
      <c r="AR1" s="84" t="s">
        <v>590</v>
      </c>
      <c r="AS1" s="84" t="s">
        <v>591</v>
      </c>
      <c r="AT1" s="84" t="s">
        <v>592</v>
      </c>
      <c r="AU1" s="84" t="s">
        <v>1286</v>
      </c>
      <c r="AV1" s="84" t="s">
        <v>593</v>
      </c>
      <c r="AW1" s="84" t="s">
        <v>594</v>
      </c>
      <c r="AX1" s="84" t="s">
        <v>595</v>
      </c>
      <c r="AY1" s="84" t="s">
        <v>596</v>
      </c>
      <c r="AZ1" s="84" t="s">
        <v>597</v>
      </c>
      <c r="BA1" s="84" t="s">
        <v>598</v>
      </c>
      <c r="BB1" s="84" t="s">
        <v>599</v>
      </c>
    </row>
    <row r="2" spans="1:54" ht="15" customHeight="1" x14ac:dyDescent="0.25">
      <c r="A2" s="86" t="s">
        <v>0</v>
      </c>
      <c r="B2" s="84" t="s">
        <v>1057</v>
      </c>
      <c r="C2" s="2">
        <f>IFERROR(1/SUM(1/D2,1/E2,1/F2,1/G2,1/H2,1/I2,1/J2,1/K2,1/L2,1/M2,1/N2,1/O2,1/P2,1/Q2,1/R2,1/S2,1/T2,1/U2,1/V2,1/W2,1/X2,1/Y2,1/Z2),".")</f>
        <v>6.0970916558433919</v>
      </c>
      <c r="D2" s="70">
        <f>IFERROR((d_dir!D2/(d_Bv!C2+MLF_apple)),".")</f>
        <v>173.26142975649543</v>
      </c>
      <c r="E2" s="70">
        <f>IFERROR((d_dir!E2/(d_Bv!D2+MLF_asparagus)),".")</f>
        <v>407.08668931067467</v>
      </c>
      <c r="F2" s="70">
        <f>IFERROR((d_dir!F2/(d_Bv!E2+MLF_beet)),".")</f>
        <v>465.56516625306062</v>
      </c>
      <c r="G2" s="70">
        <f>IFERROR((d_dir!G2/(d_Bv!F2+MLF_berries)),".")</f>
        <v>387.59740238482476</v>
      </c>
      <c r="H2" s="70">
        <f>IFERROR((d_dir!H2/(d_Bv!G2+MLF_broccoli)),".")</f>
        <v>276.97628745668089</v>
      </c>
      <c r="I2" s="70">
        <f>IFERROR((d_dir!I2/(d_Bv!H2+MLF_cabbage)),".")</f>
        <v>195.80369467080578</v>
      </c>
      <c r="J2" s="70">
        <f>IFERROR((d_dir!J2/(d_Bv!I2+MLF_carrot)),".")</f>
        <v>556.12274600032117</v>
      </c>
      <c r="K2" s="70">
        <f>IFERROR((d_dir!K2/(d_Bv!J2+MLF_citrus)),".")</f>
        <v>45.031698207151344</v>
      </c>
      <c r="L2" s="70">
        <f>IFERROR((d_dir!L2/(d_Bv!K2+MLF_corn)),".")</f>
        <v>249.46896421433544</v>
      </c>
      <c r="M2" s="70">
        <f>IFERROR((d_dir!M2/(d_Bv!L2+MLF_cucumber)),".")</f>
        <v>205.73507989931829</v>
      </c>
      <c r="N2" s="70">
        <f>IFERROR((d_dir!N2/(d_Bv!M2+MLF_lettuce)),".")</f>
        <v>35.06299208484949</v>
      </c>
      <c r="O2" s="70">
        <f>IFERROR((d_dir!O2/(d_Bv!N2+MLF_lima_bean)),".")</f>
        <v>98.093934062150979</v>
      </c>
      <c r="P2" s="70">
        <f>IFERROR((d_dir!P2/(d_Bv!O2+MLF_okra)),".")</f>
        <v>534.65552515511729</v>
      </c>
      <c r="Q2" s="70">
        <f>IFERROR((d_dir!Q2/(d_Bv!P2+MLF_onion)),".")</f>
        <v>751.41149501450286</v>
      </c>
      <c r="R2" s="70">
        <f>IFERROR((d_dir!R2/(d_Bv!Q2+MLF_peach)),".")</f>
        <v>112.19456741513527</v>
      </c>
      <c r="S2" s="70">
        <f>IFERROR((d_dir!S2/(d_Bv!R2+MLF_pear)),".")</f>
        <v>226.97095907918163</v>
      </c>
      <c r="T2" s="70">
        <f>IFERROR((d_dir!T2/(d_Bv!S2+MLF_peas)),".")</f>
        <v>389.878505473139</v>
      </c>
      <c r="U2" s="70">
        <f>IFERROR((d_dir!U2/(d_Bv!T2+MLF_peppers)),".")</f>
        <v>285.44272290638793</v>
      </c>
      <c r="V2" s="70">
        <f>IFERROR((d_dir!V2/(d_Bv!U2+MLF_potato)),".")</f>
        <v>111.65614148217095</v>
      </c>
      <c r="W2" s="70">
        <f>IFERROR((d_dir!W2/(d_Bv!V2+MLF_pumpkin)),".")</f>
        <v>259.53429968616928</v>
      </c>
      <c r="X2" s="70">
        <f>IFERROR((d_dir!X2/(d_Bv!W2+MLF_snap_bean)),".")</f>
        <v>51.336299573984405</v>
      </c>
      <c r="Y2" s="70">
        <f>IFERROR((d_dir!Y2/(d_Bv!X2+MLF_strawberry)),".")</f>
        <v>363.71995046735162</v>
      </c>
      <c r="Z2" s="70">
        <f>IFERROR((d_dir!Z2/(d_Bv!Y2+MLF_tomato)),".")</f>
        <v>76.193442606614397</v>
      </c>
      <c r="AA2" s="70">
        <f>IFERROR((d_dir!AA2/(d_Bv!D2+MLF_rice)),".")</f>
        <v>0.81144436478761284</v>
      </c>
      <c r="AB2" s="70">
        <f>IFERROR((d_dir!AB2/(d_Bv!AA2+MLF_cereal)),".")</f>
        <v>0.93064226579781717</v>
      </c>
      <c r="AC2" s="70">
        <f>IFERROR(1/SUM(1/AD2,1/AE2,1/AF2,1/AG2,1/AH2,1/AI2,1/AJ2,1/AK2,1/AL2,1/AM2,1/AN2,1/AO2,1/AP2,1/AQ2,1/AR2,1/AS2,1/AT2,1/AU2,1/AV2,1/AW2,1/AX2,1/AY2,1/AZ2),".")</f>
        <v>5.6489247514522125</v>
      </c>
      <c r="AD2" s="70">
        <f>IFERROR((d_dir!AD2/(d_Bv!C2+MLF_apple))*1,".")</f>
        <v>150.65756541636298</v>
      </c>
      <c r="AE2" s="70">
        <f>IFERROR((d_dir!AE2/(d_Bv!D2+MLF_asparagus))*1,".")</f>
        <v>381.48346736796822</v>
      </c>
      <c r="AF2" s="70">
        <f>IFERROR((d_dir!AF2/(d_Bv!E2+MLF_beet))*1,".")</f>
        <v>430.47014111281663</v>
      </c>
      <c r="AG2" s="70">
        <f>IFERROR((d_dir!AG2/(d_Bv!F2+MLF_berries))*1,".")</f>
        <v>377.43091314194419</v>
      </c>
      <c r="AH2" s="70">
        <f>IFERROR((d_dir!AH2/(d_Bv!G2+MLF_broccoli))*1,".")</f>
        <v>235.40099726449719</v>
      </c>
      <c r="AI2" s="70">
        <f>IFERROR((d_dir!AI2/(d_Bv!H2+MLF_cabbage))*1,".")</f>
        <v>193.02043955262485</v>
      </c>
      <c r="AJ2" s="70">
        <f>IFERROR((d_dir!AJ2/(d_Bv!I2+MLF_carrot))*1,".")</f>
        <v>592.78937232767123</v>
      </c>
      <c r="AK2" s="70">
        <f>IFERROR((d_dir!AK2/(d_Bv!J2+MLF_citrus))*1,".")</f>
        <v>43.78933789631494</v>
      </c>
      <c r="AL2" s="70">
        <f>IFERROR((d_dir!AL2/(d_Bv!K2+MLF_corn))*1,".")</f>
        <v>173.02986595423013</v>
      </c>
      <c r="AM2" s="70">
        <f>IFERROR((d_dir!AM2/(d_Bv!L2+MLF_cucumber))*1,".")</f>
        <v>289.08480805400853</v>
      </c>
      <c r="AN2" s="70">
        <f>IFERROR((d_dir!AN2/(d_Bv!M2+MLF_lettuce))*1,".")</f>
        <v>32.116838137079775</v>
      </c>
      <c r="AO2" s="70">
        <f>IFERROR((d_dir!AO2/(d_Bv!N2+MLF_lima_bean))*1,".")</f>
        <v>95.186089589874229</v>
      </c>
      <c r="AP2" s="70">
        <f>IFERROR((d_dir!AP2/(d_Bv!O2+MLF_okra))*1,".")</f>
        <v>501.69327626482016</v>
      </c>
      <c r="AQ2" s="70">
        <f>IFERROR((d_dir!AQ2/(d_Bv!P2+MLF_onion))*1,".")</f>
        <v>553.19698720508734</v>
      </c>
      <c r="AR2" s="70">
        <f>IFERROR((d_dir!AR2/(d_Bv!Q2+MLF_peach))*1,".")</f>
        <v>125.42358542618088</v>
      </c>
      <c r="AS2" s="70">
        <f>IFERROR((d_dir!AS2/(d_Bv!R2+MLF_pear))*1,".")</f>
        <v>202.77687452925645</v>
      </c>
      <c r="AT2" s="70">
        <f>IFERROR((d_dir!AT2/(d_Bv!S2+MLF_peas))*1,".")</f>
        <v>418.910902204227</v>
      </c>
      <c r="AU2" s="70">
        <f>IFERROR((d_dir!AU2/(d_Bv!T2+MLF_peppers))*1,".")</f>
        <v>214.01875849559931</v>
      </c>
      <c r="AV2" s="70">
        <f>IFERROR((d_dir!AV2/(d_Bv!U2+MLF_potato))*1,".")</f>
        <v>95.041213660558071</v>
      </c>
      <c r="AW2" s="70">
        <f>IFERROR((d_dir!AW2/(d_Bv!V2+MLF_pumpkin))*1,".")</f>
        <v>244.1679438093781</v>
      </c>
      <c r="AX2" s="70">
        <f>IFERROR((d_dir!AX2/(d_Bv!W2+MLF_snap_bean))*1,".")</f>
        <v>48.603703734523847</v>
      </c>
      <c r="AY2" s="70">
        <f>IFERROR((d_dir!AY2/(d_Bv!X2+MLF_strawberry))*1,".")</f>
        <v>353.853805570502</v>
      </c>
      <c r="AZ2" s="70">
        <f>IFERROR((d_dir!AZ2/(d_Bv!Y2+MLF_tomato))*1,".")</f>
        <v>61.814503820374838</v>
      </c>
      <c r="BA2" s="70">
        <f>IFERROR((d_dir!BA2/(d_Bv!Z2+MLF_rice))*1,".")</f>
        <v>0.64285051457896758</v>
      </c>
      <c r="BB2" s="70">
        <f>IFERROR((d_dir!BB2/(d_Bv!AA2+MLF_cereal))*1,".")</f>
        <v>0.74183790070683431</v>
      </c>
    </row>
    <row r="3" spans="1:54" x14ac:dyDescent="0.25">
      <c r="A3" s="88" t="s">
        <v>1</v>
      </c>
      <c r="B3" s="84" t="s">
        <v>335</v>
      </c>
      <c r="C3" s="2">
        <f t="shared" ref="C3:C30" si="0">IFERROR(1/SUM(1/D3,1/E3,1/F3,1/G3,1/H3,1/I3,1/J3,1/K3,1/L3,1/M3,1/N3,1/O3,1/P3,1/Q3,1/R3,1/S3,1/T3,1/U3,1/V3,1/W3,1/X3,1/Y3,1/Z3),".")</f>
        <v>2.3501144337811763</v>
      </c>
      <c r="D3" s="70">
        <f>IFERROR((d_dir!D3/(d_Bv!C3+MLF_apple)),".")</f>
        <v>231.23376348425063</v>
      </c>
      <c r="E3" s="70">
        <f>IFERROR((d_dir!E3/(d_Bv!D3+MLF_asparagus)),".")</f>
        <v>276.57164437616723</v>
      </c>
      <c r="F3" s="70">
        <f>IFERROR((d_dir!F3/(d_Bv!E3+MLF_beet)),".")</f>
        <v>144.09075331740326</v>
      </c>
      <c r="G3" s="70">
        <f>IFERROR((d_dir!G3/(d_Bv!F3+MLF_berries)),".")</f>
        <v>102.80802439563175</v>
      </c>
      <c r="H3" s="70">
        <f>IFERROR((d_dir!H3/(d_Bv!G3+MLF_broccoli)),".")</f>
        <v>89.298222003032151</v>
      </c>
      <c r="I3" s="70">
        <f>IFERROR((d_dir!I3/(d_Bv!H3+MLF_cabbage)),".")</f>
        <v>126.78755429207702</v>
      </c>
      <c r="J3" s="70">
        <f>IFERROR((d_dir!J3/(d_Bv!I3+MLF_carrot)),".")</f>
        <v>174.78600417730891</v>
      </c>
      <c r="K3" s="70">
        <f>IFERROR((d_dir!K3/(d_Bv!J3+MLF_citrus)),".")</f>
        <v>60.900178647031012</v>
      </c>
      <c r="L3" s="70">
        <f>IFERROR((d_dir!L3/(d_Bv!K3+MLF_corn)),".")</f>
        <v>321.89344362269247</v>
      </c>
      <c r="M3" s="70">
        <f>IFERROR((d_dir!M3/(d_Bv!L3+MLF_cucumber)),".")</f>
        <v>117.54561413743406</v>
      </c>
      <c r="N3" s="70">
        <f>IFERROR((d_dir!N3/(d_Bv!M3+MLF_lettuce)),".")</f>
        <v>8.1134911626009565</v>
      </c>
      <c r="O3" s="70">
        <f>IFERROR((d_dir!O3/(d_Bv!N3+MLF_lima_bean)),".")</f>
        <v>24.730444309772544</v>
      </c>
      <c r="P3" s="70">
        <f>IFERROR((d_dir!P3/(d_Bv!O3+MLF_okra)),".")</f>
        <v>288.38314250249852</v>
      </c>
      <c r="Q3" s="70">
        <f>IFERROR((d_dir!Q3/(d_Bv!P3+MLF_onion)),".")</f>
        <v>236.16407286172571</v>
      </c>
      <c r="R3" s="70">
        <f>IFERROR((d_dir!R3/(d_Bv!Q3+MLF_peach)),".")</f>
        <v>156.64474342316987</v>
      </c>
      <c r="S3" s="70">
        <f>IFERROR((d_dir!S3/(d_Bv!R3+MLF_pear)),".")</f>
        <v>302.91420971920871</v>
      </c>
      <c r="T3" s="70">
        <f>IFERROR((d_dir!T3/(d_Bv!S3+MLF_peas)),".")</f>
        <v>180.8694075110449</v>
      </c>
      <c r="U3" s="70">
        <f>IFERROR((d_dir!U3/(d_Bv!T3+MLF_peppers)),".")</f>
        <v>78.285237433673956</v>
      </c>
      <c r="V3" s="70">
        <f>IFERROR((d_dir!V3/(d_Bv!U3+MLF_potato)),".")</f>
        <v>70.687631066588892</v>
      </c>
      <c r="W3" s="70">
        <f>IFERROR((d_dir!W3/(d_Bv!V3+MLF_pumpkin)),".")</f>
        <v>144.35401892017487</v>
      </c>
      <c r="X3" s="70">
        <f>IFERROR((d_dir!X3/(d_Bv!W3+MLF_snap_bean)),".")</f>
        <v>12.581089942766788</v>
      </c>
      <c r="Y3" s="70">
        <f>IFERROR((d_dir!Y3/(d_Bv!X3+MLF_strawberry)),".")</f>
        <v>454.32016103931647</v>
      </c>
      <c r="Z3" s="70">
        <f>IFERROR((d_dir!Z3/(d_Bv!Y3+MLF_tomato)),".")</f>
        <v>21.774214352512789</v>
      </c>
      <c r="AA3" s="70">
        <f>IFERROR((d_dir!AA3/(d_Bv!D3+MLF_rice)),".")</f>
        <v>0.17883330725298077</v>
      </c>
      <c r="AB3" s="70">
        <f>IFERROR((d_dir!AB3/(d_Bv!AA3+MLF_cereal)),".")</f>
        <v>0.20530664252483063</v>
      </c>
      <c r="AC3" s="70">
        <f t="shared" ref="AC3:AC30" si="1">IFERROR(1/SUM(1/AD3,1/AE3,1/AF3,1/AG3,1/AH3,1/AI3,1/AJ3,1/AK3,1/AL3,1/AM3,1/AN3,1/AO3,1/AP3,1/AQ3,1/AR3,1/AS3,1/AT3,1/AU3,1/AV3,1/AW3,1/AX3,1/AY3,1/AZ3),".")</f>
        <v>2.1534894749091564</v>
      </c>
      <c r="AD3" s="70">
        <f>IFERROR((d_dir!AD3/(d_Bv!C3+MLF_apple))*1,".")</f>
        <v>201.0667688565249</v>
      </c>
      <c r="AE3" s="70">
        <f>IFERROR((d_dir!AE3/(d_Bv!D3+MLF_asparagus))*1,".")</f>
        <v>259.17700736159708</v>
      </c>
      <c r="AF3" s="70">
        <f>IFERROR((d_dir!AF3/(d_Bv!E3+MLF_beet))*1,".")</f>
        <v>133.22896859487039</v>
      </c>
      <c r="AG3" s="70">
        <f>IFERROR((d_dir!AG3/(d_Bv!F3+MLF_berries))*1,".")</f>
        <v>100.11142047705781</v>
      </c>
      <c r="AH3" s="70">
        <f>IFERROR((d_dir!AH3/(d_Bv!G3+MLF_broccoli))*1,".")</f>
        <v>75.894188294901966</v>
      </c>
      <c r="AI3" s="70">
        <f>IFERROR((d_dir!AI3/(d_Bv!H3+MLF_cabbage))*1,".")</f>
        <v>124.98533033507586</v>
      </c>
      <c r="AJ3" s="70">
        <f>IFERROR((d_dir!AJ3/(d_Bv!I3+MLF_carrot))*1,".")</f>
        <v>186.31010231663646</v>
      </c>
      <c r="AK3" s="70">
        <f>IFERROR((d_dir!AK3/(d_Bv!J3+MLF_citrus))*1,".")</f>
        <v>59.220029599001066</v>
      </c>
      <c r="AL3" s="70">
        <f>IFERROR((d_dir!AL3/(d_Bv!K3+MLF_corn))*1,".")</f>
        <v>223.26296009200902</v>
      </c>
      <c r="AM3" s="70">
        <f>IFERROR((d_dir!AM3/(d_Bv!L3+MLF_cucumber))*1,".")</f>
        <v>165.16702604699194</v>
      </c>
      <c r="AN3" s="70">
        <f>IFERROR((d_dir!AN3/(d_Bv!M3+MLF_lettuce))*1,".")</f>
        <v>7.43175829847325</v>
      </c>
      <c r="AO3" s="70">
        <f>IFERROR((d_dir!AO3/(d_Bv!N3+MLF_lima_bean))*1,".")</f>
        <v>23.997348155859932</v>
      </c>
      <c r="AP3" s="70">
        <f>IFERROR((d_dir!AP3/(d_Bv!O3+MLF_okra))*1,".")</f>
        <v>270.60392490968388</v>
      </c>
      <c r="AQ3" s="70">
        <f>IFERROR((d_dir!AQ3/(d_Bv!P3+MLF_onion))*1,".")</f>
        <v>173.86645594324827</v>
      </c>
      <c r="AR3" s="70">
        <f>IFERROR((d_dir!AR3/(d_Bv!Q3+MLF_peach))*1,".")</f>
        <v>175.1149437173882</v>
      </c>
      <c r="AS3" s="70">
        <f>IFERROR((d_dir!AS3/(d_Bv!R3+MLF_pear))*1,".")</f>
        <v>270.62491583309713</v>
      </c>
      <c r="AT3" s="70">
        <f>IFERROR((d_dir!AT3/(d_Bv!S3+MLF_peas))*1,".")</f>
        <v>194.33789146607859</v>
      </c>
      <c r="AU3" s="70">
        <f>IFERROR((d_dir!AU3/(d_Bv!T3+MLF_peppers))*1,".")</f>
        <v>58.696571954937625</v>
      </c>
      <c r="AV3" s="70">
        <f>IFERROR((d_dir!AV3/(d_Bv!U3+MLF_potato))*1,".")</f>
        <v>60.168998840347115</v>
      </c>
      <c r="AW3" s="70">
        <f>IFERROR((d_dir!AW3/(d_Bv!V3+MLF_pumpkin))*1,".")</f>
        <v>135.80719012084197</v>
      </c>
      <c r="AX3" s="70">
        <f>IFERROR((d_dir!AX3/(d_Bv!W3+MLF_snap_bean))*1,".")</f>
        <v>11.91140719744274</v>
      </c>
      <c r="AY3" s="70">
        <f>IFERROR((d_dir!AY3/(d_Bv!X3+MLF_strawberry))*1,".")</f>
        <v>441.99642533932416</v>
      </c>
      <c r="AZ3" s="70">
        <f>IFERROR((d_dir!AZ3/(d_Bv!Y3+MLF_tomato))*1,".")</f>
        <v>17.665066838208709</v>
      </c>
      <c r="BA3" s="70">
        <f>IFERROR((d_dir!BA3/(d_Bv!Z3+MLF_rice))*1,".")</f>
        <v>0.141265050052437</v>
      </c>
      <c r="BB3" s="70">
        <f>IFERROR((d_dir!BB3/(d_Bv!AA3+MLF_cereal))*1,".")</f>
        <v>0.16365498783920168</v>
      </c>
    </row>
    <row r="4" spans="1:54" ht="15" customHeight="1" x14ac:dyDescent="0.25">
      <c r="A4" s="86" t="s">
        <v>2</v>
      </c>
      <c r="B4" s="84" t="s">
        <v>1057</v>
      </c>
      <c r="C4" s="2" t="str">
        <f t="shared" si="0"/>
        <v>.</v>
      </c>
      <c r="D4" s="70" t="str">
        <f>IFERROR((d_dir!D4/(d_Bv!C4+MLF_apple)),".")</f>
        <v>.</v>
      </c>
      <c r="E4" s="70" t="str">
        <f>IFERROR((d_dir!E4/(d_Bv!D4+MLF_asparagus)),".")</f>
        <v>.</v>
      </c>
      <c r="F4" s="70" t="str">
        <f>IFERROR((d_dir!F4/(d_Bv!E4+MLF_beet)),".")</f>
        <v>.</v>
      </c>
      <c r="G4" s="70" t="str">
        <f>IFERROR((d_dir!G4/(d_Bv!F4+MLF_berries)),".")</f>
        <v>.</v>
      </c>
      <c r="H4" s="70" t="str">
        <f>IFERROR((d_dir!H4/(d_Bv!G4+MLF_broccoli)),".")</f>
        <v>.</v>
      </c>
      <c r="I4" s="70" t="str">
        <f>IFERROR((d_dir!I4/(d_Bv!H4+MLF_cabbage)),".")</f>
        <v>.</v>
      </c>
      <c r="J4" s="70" t="str">
        <f>IFERROR((d_dir!J4/(d_Bv!I4+MLF_carrot)),".")</f>
        <v>.</v>
      </c>
      <c r="K4" s="70" t="str">
        <f>IFERROR((d_dir!K4/(d_Bv!J4+MLF_citrus)),".")</f>
        <v>.</v>
      </c>
      <c r="L4" s="70" t="str">
        <f>IFERROR((d_dir!L4/(d_Bv!K4+MLF_corn)),".")</f>
        <v>.</v>
      </c>
      <c r="M4" s="70" t="str">
        <f>IFERROR((d_dir!M4/(d_Bv!L4+MLF_cucumber)),".")</f>
        <v>.</v>
      </c>
      <c r="N4" s="70" t="str">
        <f>IFERROR((d_dir!N4/(d_Bv!M4+MLF_lettuce)),".")</f>
        <v>.</v>
      </c>
      <c r="O4" s="70" t="str">
        <f>IFERROR((d_dir!O4/(d_Bv!N4+MLF_lima_bean)),".")</f>
        <v>.</v>
      </c>
      <c r="P4" s="70" t="str">
        <f>IFERROR((d_dir!P4/(d_Bv!O4+MLF_okra)),".")</f>
        <v>.</v>
      </c>
      <c r="Q4" s="70" t="str">
        <f>IFERROR((d_dir!Q4/(d_Bv!P4+MLF_onion)),".")</f>
        <v>.</v>
      </c>
      <c r="R4" s="70" t="str">
        <f>IFERROR((d_dir!R4/(d_Bv!Q4+MLF_peach)),".")</f>
        <v>.</v>
      </c>
      <c r="S4" s="70" t="str">
        <f>IFERROR((d_dir!S4/(d_Bv!R4+MLF_pear)),".")</f>
        <v>.</v>
      </c>
      <c r="T4" s="70" t="str">
        <f>IFERROR((d_dir!T4/(d_Bv!S4+MLF_peas)),".")</f>
        <v>.</v>
      </c>
      <c r="U4" s="70" t="str">
        <f>IFERROR((d_dir!U4/(d_Bv!T4+MLF_peppers)),".")</f>
        <v>.</v>
      </c>
      <c r="V4" s="70" t="str">
        <f>IFERROR((d_dir!V4/(d_Bv!U4+MLF_potato)),".")</f>
        <v>.</v>
      </c>
      <c r="W4" s="70" t="str">
        <f>IFERROR((d_dir!W4/(d_Bv!V4+MLF_pumpkin)),".")</f>
        <v>.</v>
      </c>
      <c r="X4" s="70" t="str">
        <f>IFERROR((d_dir!X4/(d_Bv!W4+MLF_snap_bean)),".")</f>
        <v>.</v>
      </c>
      <c r="Y4" s="70" t="str">
        <f>IFERROR((d_dir!Y4/(d_Bv!X4+MLF_strawberry)),".")</f>
        <v>.</v>
      </c>
      <c r="Z4" s="70" t="str">
        <f>IFERROR((d_dir!Z4/(d_Bv!Y4+MLF_tomato)),".")</f>
        <v>.</v>
      </c>
      <c r="AA4" s="70" t="str">
        <f>IFERROR((d_dir!AA4/(d_Bv!D4+MLF_rice)),".")</f>
        <v>.</v>
      </c>
      <c r="AB4" s="70" t="str">
        <f>IFERROR((d_dir!AB4/(d_Bv!AA4+MLF_cereal)),".")</f>
        <v>.</v>
      </c>
      <c r="AC4" s="70" t="str">
        <f t="shared" si="1"/>
        <v>.</v>
      </c>
      <c r="AD4" s="70" t="str">
        <f>IFERROR((d_dir!AD4/(d_Bv!C4+MLF_apple))*1,".")</f>
        <v>.</v>
      </c>
      <c r="AE4" s="70" t="str">
        <f>IFERROR((d_dir!AE4/(d_Bv!D4+MLF_asparagus))*1,".")</f>
        <v>.</v>
      </c>
      <c r="AF4" s="70" t="str">
        <f>IFERROR((d_dir!AF4/(d_Bv!E4+MLF_beet))*1,".")</f>
        <v>.</v>
      </c>
      <c r="AG4" s="70" t="str">
        <f>IFERROR((d_dir!AG4/(d_Bv!F4+MLF_berries))*1,".")</f>
        <v>.</v>
      </c>
      <c r="AH4" s="70" t="str">
        <f>IFERROR((d_dir!AH4/(d_Bv!G4+MLF_broccoli))*1,".")</f>
        <v>.</v>
      </c>
      <c r="AI4" s="70" t="str">
        <f>IFERROR((d_dir!AI4/(d_Bv!H4+MLF_cabbage))*1,".")</f>
        <v>.</v>
      </c>
      <c r="AJ4" s="70" t="str">
        <f>IFERROR((d_dir!AJ4/(d_Bv!I4+MLF_carrot))*1,".")</f>
        <v>.</v>
      </c>
      <c r="AK4" s="70" t="str">
        <f>IFERROR((d_dir!AK4/(d_Bv!J4+MLF_citrus))*1,".")</f>
        <v>.</v>
      </c>
      <c r="AL4" s="70" t="str">
        <f>IFERROR((d_dir!AL4/(d_Bv!K4+MLF_corn))*1,".")</f>
        <v>.</v>
      </c>
      <c r="AM4" s="70" t="str">
        <f>IFERROR((d_dir!AM4/(d_Bv!L4+MLF_cucumber))*1,".")</f>
        <v>.</v>
      </c>
      <c r="AN4" s="70" t="str">
        <f>IFERROR((d_dir!AN4/(d_Bv!M4+MLF_lettuce))*1,".")</f>
        <v>.</v>
      </c>
      <c r="AO4" s="70" t="str">
        <f>IFERROR((d_dir!AO4/(d_Bv!N4+MLF_lima_bean))*1,".")</f>
        <v>.</v>
      </c>
      <c r="AP4" s="70" t="str">
        <f>IFERROR((d_dir!AP4/(d_Bv!O4+MLF_okra))*1,".")</f>
        <v>.</v>
      </c>
      <c r="AQ4" s="70" t="str">
        <f>IFERROR((d_dir!AQ4/(d_Bv!P4+MLF_onion))*1,".")</f>
        <v>.</v>
      </c>
      <c r="AR4" s="70" t="str">
        <f>IFERROR((d_dir!AR4/(d_Bv!Q4+MLF_peach))*1,".")</f>
        <v>.</v>
      </c>
      <c r="AS4" s="70" t="str">
        <f>IFERROR((d_dir!AS4/(d_Bv!R4+MLF_pear))*1,".")</f>
        <v>.</v>
      </c>
      <c r="AT4" s="70" t="str">
        <f>IFERROR((d_dir!AT4/(d_Bv!S4+MLF_peas))*1,".")</f>
        <v>.</v>
      </c>
      <c r="AU4" s="70" t="str">
        <f>IFERROR((d_dir!AU4/(d_Bv!T4+MLF_peppers))*1,".")</f>
        <v>.</v>
      </c>
      <c r="AV4" s="70" t="str">
        <f>IFERROR((d_dir!AV4/(d_Bv!U4+MLF_potato))*1,".")</f>
        <v>.</v>
      </c>
      <c r="AW4" s="70" t="str">
        <f>IFERROR((d_dir!AW4/(d_Bv!V4+MLF_pumpkin))*1,".")</f>
        <v>.</v>
      </c>
      <c r="AX4" s="70" t="str">
        <f>IFERROR((d_dir!AX4/(d_Bv!W4+MLF_snap_bean))*1,".")</f>
        <v>.</v>
      </c>
      <c r="AY4" s="70" t="str">
        <f>IFERROR((d_dir!AY4/(d_Bv!X4+MLF_strawberry))*1,".")</f>
        <v>.</v>
      </c>
      <c r="AZ4" s="70" t="str">
        <f>IFERROR((d_dir!AZ4/(d_Bv!Y4+MLF_tomato))*1,".")</f>
        <v>.</v>
      </c>
      <c r="BA4" s="70" t="str">
        <f>IFERROR((d_dir!BA4/(d_Bv!Z4+MLF_rice))*1,".")</f>
        <v>.</v>
      </c>
      <c r="BB4" s="70" t="str">
        <f>IFERROR((d_dir!BB4/(d_Bv!AA4+MLF_cereal))*1,".")</f>
        <v>.</v>
      </c>
    </row>
    <row r="5" spans="1:54" ht="15" customHeight="1" x14ac:dyDescent="0.25">
      <c r="A5" s="86" t="s">
        <v>3</v>
      </c>
      <c r="B5" s="84" t="s">
        <v>1057</v>
      </c>
      <c r="C5" s="2" t="str">
        <f t="shared" si="0"/>
        <v>.</v>
      </c>
      <c r="D5" s="70" t="str">
        <f>IFERROR((d_dir!D5/(d_Bv!C5+MLF_apple)),".")</f>
        <v>.</v>
      </c>
      <c r="E5" s="70" t="str">
        <f>IFERROR((d_dir!E5/(d_Bv!D5+MLF_asparagus)),".")</f>
        <v>.</v>
      </c>
      <c r="F5" s="70" t="str">
        <f>IFERROR((d_dir!F5/(d_Bv!E5+MLF_beet)),".")</f>
        <v>.</v>
      </c>
      <c r="G5" s="70" t="str">
        <f>IFERROR((d_dir!G5/(d_Bv!F5+MLF_berries)),".")</f>
        <v>.</v>
      </c>
      <c r="H5" s="70" t="str">
        <f>IFERROR((d_dir!H5/(d_Bv!G5+MLF_broccoli)),".")</f>
        <v>.</v>
      </c>
      <c r="I5" s="70" t="str">
        <f>IFERROR((d_dir!I5/(d_Bv!H5+MLF_cabbage)),".")</f>
        <v>.</v>
      </c>
      <c r="J5" s="70" t="str">
        <f>IFERROR((d_dir!J5/(d_Bv!I5+MLF_carrot)),".")</f>
        <v>.</v>
      </c>
      <c r="K5" s="70" t="str">
        <f>IFERROR((d_dir!K5/(d_Bv!J5+MLF_citrus)),".")</f>
        <v>.</v>
      </c>
      <c r="L5" s="70" t="str">
        <f>IFERROR((d_dir!L5/(d_Bv!K5+MLF_corn)),".")</f>
        <v>.</v>
      </c>
      <c r="M5" s="70" t="str">
        <f>IFERROR((d_dir!M5/(d_Bv!L5+MLF_cucumber)),".")</f>
        <v>.</v>
      </c>
      <c r="N5" s="70" t="str">
        <f>IFERROR((d_dir!N5/(d_Bv!M5+MLF_lettuce)),".")</f>
        <v>.</v>
      </c>
      <c r="O5" s="70" t="str">
        <f>IFERROR((d_dir!O5/(d_Bv!N5+MLF_lima_bean)),".")</f>
        <v>.</v>
      </c>
      <c r="P5" s="70" t="str">
        <f>IFERROR((d_dir!P5/(d_Bv!O5+MLF_okra)),".")</f>
        <v>.</v>
      </c>
      <c r="Q5" s="70" t="str">
        <f>IFERROR((d_dir!Q5/(d_Bv!P5+MLF_onion)),".")</f>
        <v>.</v>
      </c>
      <c r="R5" s="70" t="str">
        <f>IFERROR((d_dir!R5/(d_Bv!Q5+MLF_peach)),".")</f>
        <v>.</v>
      </c>
      <c r="S5" s="70" t="str">
        <f>IFERROR((d_dir!S5/(d_Bv!R5+MLF_pear)),".")</f>
        <v>.</v>
      </c>
      <c r="T5" s="70" t="str">
        <f>IFERROR((d_dir!T5/(d_Bv!S5+MLF_peas)),".")</f>
        <v>.</v>
      </c>
      <c r="U5" s="70" t="str">
        <f>IFERROR((d_dir!U5/(d_Bv!T5+MLF_peppers)),".")</f>
        <v>.</v>
      </c>
      <c r="V5" s="70" t="str">
        <f>IFERROR((d_dir!V5/(d_Bv!U5+MLF_potato)),".")</f>
        <v>.</v>
      </c>
      <c r="W5" s="70" t="str">
        <f>IFERROR((d_dir!W5/(d_Bv!V5+MLF_pumpkin)),".")</f>
        <v>.</v>
      </c>
      <c r="X5" s="70" t="str">
        <f>IFERROR((d_dir!X5/(d_Bv!W5+MLF_snap_bean)),".")</f>
        <v>.</v>
      </c>
      <c r="Y5" s="70" t="str">
        <f>IFERROR((d_dir!Y5/(d_Bv!X5+MLF_strawberry)),".")</f>
        <v>.</v>
      </c>
      <c r="Z5" s="70" t="str">
        <f>IFERROR((d_dir!Z5/(d_Bv!Y5+MLF_tomato)),".")</f>
        <v>.</v>
      </c>
      <c r="AA5" s="70" t="str">
        <f>IFERROR((d_dir!AA5/(d_Bv!D5+MLF_rice)),".")</f>
        <v>.</v>
      </c>
      <c r="AB5" s="70" t="str">
        <f>IFERROR((d_dir!AB5/(d_Bv!AA5+MLF_cereal)),".")</f>
        <v>.</v>
      </c>
      <c r="AC5" s="70" t="str">
        <f t="shared" si="1"/>
        <v>.</v>
      </c>
      <c r="AD5" s="70" t="str">
        <f>IFERROR((d_dir!AD5/(d_Bv!C5+MLF_apple))*1,".")</f>
        <v>.</v>
      </c>
      <c r="AE5" s="70" t="str">
        <f>IFERROR((d_dir!AE5/(d_Bv!D5+MLF_asparagus))*1,".")</f>
        <v>.</v>
      </c>
      <c r="AF5" s="70" t="str">
        <f>IFERROR((d_dir!AF5/(d_Bv!E5+MLF_beet))*1,".")</f>
        <v>.</v>
      </c>
      <c r="AG5" s="70" t="str">
        <f>IFERROR((d_dir!AG5/(d_Bv!F5+MLF_berries))*1,".")</f>
        <v>.</v>
      </c>
      <c r="AH5" s="70" t="str">
        <f>IFERROR((d_dir!AH5/(d_Bv!G5+MLF_broccoli))*1,".")</f>
        <v>.</v>
      </c>
      <c r="AI5" s="70" t="str">
        <f>IFERROR((d_dir!AI5/(d_Bv!H5+MLF_cabbage))*1,".")</f>
        <v>.</v>
      </c>
      <c r="AJ5" s="70" t="str">
        <f>IFERROR((d_dir!AJ5/(d_Bv!I5+MLF_carrot))*1,".")</f>
        <v>.</v>
      </c>
      <c r="AK5" s="70" t="str">
        <f>IFERROR((d_dir!AK5/(d_Bv!J5+MLF_citrus))*1,".")</f>
        <v>.</v>
      </c>
      <c r="AL5" s="70" t="str">
        <f>IFERROR((d_dir!AL5/(d_Bv!K5+MLF_corn))*1,".")</f>
        <v>.</v>
      </c>
      <c r="AM5" s="70" t="str">
        <f>IFERROR((d_dir!AM5/(d_Bv!L5+MLF_cucumber))*1,".")</f>
        <v>.</v>
      </c>
      <c r="AN5" s="70" t="str">
        <f>IFERROR((d_dir!AN5/(d_Bv!M5+MLF_lettuce))*1,".")</f>
        <v>.</v>
      </c>
      <c r="AO5" s="70" t="str">
        <f>IFERROR((d_dir!AO5/(d_Bv!N5+MLF_lima_bean))*1,".")</f>
        <v>.</v>
      </c>
      <c r="AP5" s="70" t="str">
        <f>IFERROR((d_dir!AP5/(d_Bv!O5+MLF_okra))*1,".")</f>
        <v>.</v>
      </c>
      <c r="AQ5" s="70" t="str">
        <f>IFERROR((d_dir!AQ5/(d_Bv!P5+MLF_onion))*1,".")</f>
        <v>.</v>
      </c>
      <c r="AR5" s="70" t="str">
        <f>IFERROR((d_dir!AR5/(d_Bv!Q5+MLF_peach))*1,".")</f>
        <v>.</v>
      </c>
      <c r="AS5" s="70" t="str">
        <f>IFERROR((d_dir!AS5/(d_Bv!R5+MLF_pear))*1,".")</f>
        <v>.</v>
      </c>
      <c r="AT5" s="70" t="str">
        <f>IFERROR((d_dir!AT5/(d_Bv!S5+MLF_peas))*1,".")</f>
        <v>.</v>
      </c>
      <c r="AU5" s="70" t="str">
        <f>IFERROR((d_dir!AU5/(d_Bv!T5+MLF_peppers))*1,".")</f>
        <v>.</v>
      </c>
      <c r="AV5" s="70" t="str">
        <f>IFERROR((d_dir!AV5/(d_Bv!U5+MLF_potato))*1,".")</f>
        <v>.</v>
      </c>
      <c r="AW5" s="70" t="str">
        <f>IFERROR((d_dir!AW5/(d_Bv!V5+MLF_pumpkin))*1,".")</f>
        <v>.</v>
      </c>
      <c r="AX5" s="70" t="str">
        <f>IFERROR((d_dir!AX5/(d_Bv!W5+MLF_snap_bean))*1,".")</f>
        <v>.</v>
      </c>
      <c r="AY5" s="70" t="str">
        <f>IFERROR((d_dir!AY5/(d_Bv!X5+MLF_strawberry))*1,".")</f>
        <v>.</v>
      </c>
      <c r="AZ5" s="70" t="str">
        <f>IFERROR((d_dir!AZ5/(d_Bv!Y5+MLF_tomato))*1,".")</f>
        <v>.</v>
      </c>
      <c r="BA5" s="70" t="str">
        <f>IFERROR((d_dir!BA5/(d_Bv!Z5+MLF_rice))*1,".")</f>
        <v>.</v>
      </c>
      <c r="BB5" s="70" t="str">
        <f>IFERROR((d_dir!BB5/(d_Bv!AA5+MLF_cereal))*1,".")</f>
        <v>.</v>
      </c>
    </row>
    <row r="6" spans="1:54" ht="15" customHeight="1" x14ac:dyDescent="0.25">
      <c r="A6" s="86" t="s">
        <v>4</v>
      </c>
      <c r="B6" s="84" t="s">
        <v>1057</v>
      </c>
      <c r="C6" s="2" t="str">
        <f t="shared" si="0"/>
        <v>.</v>
      </c>
      <c r="D6" s="70" t="str">
        <f>IFERROR((d_dir!D6/(d_Bv!C6+MLF_apple)),".")</f>
        <v>.</v>
      </c>
      <c r="E6" s="70" t="str">
        <f>IFERROR((d_dir!E6/(d_Bv!D6+MLF_asparagus)),".")</f>
        <v>.</v>
      </c>
      <c r="F6" s="70" t="str">
        <f>IFERROR((d_dir!F6/(d_Bv!E6+MLF_beet)),".")</f>
        <v>.</v>
      </c>
      <c r="G6" s="70" t="str">
        <f>IFERROR((d_dir!G6/(d_Bv!F6+MLF_berries)),".")</f>
        <v>.</v>
      </c>
      <c r="H6" s="70" t="str">
        <f>IFERROR((d_dir!H6/(d_Bv!G6+MLF_broccoli)),".")</f>
        <v>.</v>
      </c>
      <c r="I6" s="70" t="str">
        <f>IFERROR((d_dir!I6/(d_Bv!H6+MLF_cabbage)),".")</f>
        <v>.</v>
      </c>
      <c r="J6" s="70" t="str">
        <f>IFERROR((d_dir!J6/(d_Bv!I6+MLF_carrot)),".")</f>
        <v>.</v>
      </c>
      <c r="K6" s="70" t="str">
        <f>IFERROR((d_dir!K6/(d_Bv!J6+MLF_citrus)),".")</f>
        <v>.</v>
      </c>
      <c r="L6" s="70" t="str">
        <f>IFERROR((d_dir!L6/(d_Bv!K6+MLF_corn)),".")</f>
        <v>.</v>
      </c>
      <c r="M6" s="70" t="str">
        <f>IFERROR((d_dir!M6/(d_Bv!L6+MLF_cucumber)),".")</f>
        <v>.</v>
      </c>
      <c r="N6" s="70" t="str">
        <f>IFERROR((d_dir!N6/(d_Bv!M6+MLF_lettuce)),".")</f>
        <v>.</v>
      </c>
      <c r="O6" s="70" t="str">
        <f>IFERROR((d_dir!O6/(d_Bv!N6+MLF_lima_bean)),".")</f>
        <v>.</v>
      </c>
      <c r="P6" s="70" t="str">
        <f>IFERROR((d_dir!P6/(d_Bv!O6+MLF_okra)),".")</f>
        <v>.</v>
      </c>
      <c r="Q6" s="70" t="str">
        <f>IFERROR((d_dir!Q6/(d_Bv!P6+MLF_onion)),".")</f>
        <v>.</v>
      </c>
      <c r="R6" s="70" t="str">
        <f>IFERROR((d_dir!R6/(d_Bv!Q6+MLF_peach)),".")</f>
        <v>.</v>
      </c>
      <c r="S6" s="70" t="str">
        <f>IFERROR((d_dir!S6/(d_Bv!R6+MLF_pear)),".")</f>
        <v>.</v>
      </c>
      <c r="T6" s="70" t="str">
        <f>IFERROR((d_dir!T6/(d_Bv!S6+MLF_peas)),".")</f>
        <v>.</v>
      </c>
      <c r="U6" s="70" t="str">
        <f>IFERROR((d_dir!U6/(d_Bv!T6+MLF_peppers)),".")</f>
        <v>.</v>
      </c>
      <c r="V6" s="70" t="str">
        <f>IFERROR((d_dir!V6/(d_Bv!U6+MLF_potato)),".")</f>
        <v>.</v>
      </c>
      <c r="W6" s="70" t="str">
        <f>IFERROR((d_dir!W6/(d_Bv!V6+MLF_pumpkin)),".")</f>
        <v>.</v>
      </c>
      <c r="X6" s="70" t="str">
        <f>IFERROR((d_dir!X6/(d_Bv!W6+MLF_snap_bean)),".")</f>
        <v>.</v>
      </c>
      <c r="Y6" s="70" t="str">
        <f>IFERROR((d_dir!Y6/(d_Bv!X6+MLF_strawberry)),".")</f>
        <v>.</v>
      </c>
      <c r="Z6" s="70" t="str">
        <f>IFERROR((d_dir!Z6/(d_Bv!Y6+MLF_tomato)),".")</f>
        <v>.</v>
      </c>
      <c r="AA6" s="70" t="str">
        <f>IFERROR((d_dir!AA6/(d_Bv!D6+MLF_rice)),".")</f>
        <v>.</v>
      </c>
      <c r="AB6" s="70" t="str">
        <f>IFERROR((d_dir!AB6/(d_Bv!AA6+MLF_cereal)),".")</f>
        <v>.</v>
      </c>
      <c r="AC6" s="70" t="str">
        <f t="shared" si="1"/>
        <v>.</v>
      </c>
      <c r="AD6" s="70" t="str">
        <f>IFERROR((d_dir!AD6/(d_Bv!C6+MLF_apple))*1,".")</f>
        <v>.</v>
      </c>
      <c r="AE6" s="70" t="str">
        <f>IFERROR((d_dir!AE6/(d_Bv!D6+MLF_asparagus))*1,".")</f>
        <v>.</v>
      </c>
      <c r="AF6" s="70" t="str">
        <f>IFERROR((d_dir!AF6/(d_Bv!E6+MLF_beet))*1,".")</f>
        <v>.</v>
      </c>
      <c r="AG6" s="70" t="str">
        <f>IFERROR((d_dir!AG6/(d_Bv!F6+MLF_berries))*1,".")</f>
        <v>.</v>
      </c>
      <c r="AH6" s="70" t="str">
        <f>IFERROR((d_dir!AH6/(d_Bv!G6+MLF_broccoli))*1,".")</f>
        <v>.</v>
      </c>
      <c r="AI6" s="70" t="str">
        <f>IFERROR((d_dir!AI6/(d_Bv!H6+MLF_cabbage))*1,".")</f>
        <v>.</v>
      </c>
      <c r="AJ6" s="70" t="str">
        <f>IFERROR((d_dir!AJ6/(d_Bv!I6+MLF_carrot))*1,".")</f>
        <v>.</v>
      </c>
      <c r="AK6" s="70" t="str">
        <f>IFERROR((d_dir!AK6/(d_Bv!J6+MLF_citrus))*1,".")</f>
        <v>.</v>
      </c>
      <c r="AL6" s="70" t="str">
        <f>IFERROR((d_dir!AL6/(d_Bv!K6+MLF_corn))*1,".")</f>
        <v>.</v>
      </c>
      <c r="AM6" s="70" t="str">
        <f>IFERROR((d_dir!AM6/(d_Bv!L6+MLF_cucumber))*1,".")</f>
        <v>.</v>
      </c>
      <c r="AN6" s="70" t="str">
        <f>IFERROR((d_dir!AN6/(d_Bv!M6+MLF_lettuce))*1,".")</f>
        <v>.</v>
      </c>
      <c r="AO6" s="70" t="str">
        <f>IFERROR((d_dir!AO6/(d_Bv!N6+MLF_lima_bean))*1,".")</f>
        <v>.</v>
      </c>
      <c r="AP6" s="70" t="str">
        <f>IFERROR((d_dir!AP6/(d_Bv!O6+MLF_okra))*1,".")</f>
        <v>.</v>
      </c>
      <c r="AQ6" s="70" t="str">
        <f>IFERROR((d_dir!AQ6/(d_Bv!P6+MLF_onion))*1,".")</f>
        <v>.</v>
      </c>
      <c r="AR6" s="70" t="str">
        <f>IFERROR((d_dir!AR6/(d_Bv!Q6+MLF_peach))*1,".")</f>
        <v>.</v>
      </c>
      <c r="AS6" s="70" t="str">
        <f>IFERROR((d_dir!AS6/(d_Bv!R6+MLF_pear))*1,".")</f>
        <v>.</v>
      </c>
      <c r="AT6" s="70" t="str">
        <f>IFERROR((d_dir!AT6/(d_Bv!S6+MLF_peas))*1,".")</f>
        <v>.</v>
      </c>
      <c r="AU6" s="70" t="str">
        <f>IFERROR((d_dir!AU6/(d_Bv!T6+MLF_peppers))*1,".")</f>
        <v>.</v>
      </c>
      <c r="AV6" s="70" t="str">
        <f>IFERROR((d_dir!AV6/(d_Bv!U6+MLF_potato))*1,".")</f>
        <v>.</v>
      </c>
      <c r="AW6" s="70" t="str">
        <f>IFERROR((d_dir!AW6/(d_Bv!V6+MLF_pumpkin))*1,".")</f>
        <v>.</v>
      </c>
      <c r="AX6" s="70" t="str">
        <f>IFERROR((d_dir!AX6/(d_Bv!W6+MLF_snap_bean))*1,".")</f>
        <v>.</v>
      </c>
      <c r="AY6" s="70" t="str">
        <f>IFERROR((d_dir!AY6/(d_Bv!X6+MLF_strawberry))*1,".")</f>
        <v>.</v>
      </c>
      <c r="AZ6" s="70" t="str">
        <f>IFERROR((d_dir!AZ6/(d_Bv!Y6+MLF_tomato))*1,".")</f>
        <v>.</v>
      </c>
      <c r="BA6" s="70" t="str">
        <f>IFERROR((d_dir!BA6/(d_Bv!Z6+MLF_rice))*1,".")</f>
        <v>.</v>
      </c>
      <c r="BB6" s="70" t="str">
        <f>IFERROR((d_dir!BB6/(d_Bv!AA6+MLF_cereal))*1,".")</f>
        <v>.</v>
      </c>
    </row>
    <row r="7" spans="1:54" ht="15" customHeight="1" x14ac:dyDescent="0.25">
      <c r="A7" s="86" t="s">
        <v>5</v>
      </c>
      <c r="B7" s="84" t="s">
        <v>1057</v>
      </c>
      <c r="C7" s="2">
        <f t="shared" si="0"/>
        <v>3.195516973768592</v>
      </c>
      <c r="D7" s="70">
        <f>IFERROR((d_dir!D7/(d_Bv!C7+MLF_apple)),".")</f>
        <v>58.303516709193438</v>
      </c>
      <c r="E7" s="70">
        <f>IFERROR((d_dir!E7/(d_Bv!D7+MLF_asparagus)),".")</f>
        <v>127.52477723250414</v>
      </c>
      <c r="F7" s="70">
        <f>IFERROR((d_dir!F7/(d_Bv!E7+MLF_beet)),".")</f>
        <v>153.72801215406025</v>
      </c>
      <c r="G7" s="70">
        <f>IFERROR((d_dir!G7/(d_Bv!F7+MLF_berries)),".")</f>
        <v>131.09564385759032</v>
      </c>
      <c r="H7" s="70">
        <f>IFERROR((d_dir!H7/(d_Bv!G7+MLF_broccoli)),".")</f>
        <v>160.14134060603831</v>
      </c>
      <c r="I7" s="70">
        <f>IFERROR((d_dir!I7/(d_Bv!H7+MLF_cabbage)),".")</f>
        <v>62.799556135878852</v>
      </c>
      <c r="J7" s="70">
        <f>IFERROR((d_dir!J7/(d_Bv!I7+MLF_carrot)),".")</f>
        <v>177.0864812162815</v>
      </c>
      <c r="K7" s="70">
        <f>IFERROR((d_dir!K7/(d_Bv!J7+MLF_citrus)),".")</f>
        <v>15.114700993788393</v>
      </c>
      <c r="L7" s="70">
        <f>IFERROR((d_dir!L7/(d_Bv!K7+MLF_corn)),".")</f>
        <v>82.874691245078836</v>
      </c>
      <c r="M7" s="70">
        <f>IFERROR((d_dir!M7/(d_Bv!L7+MLF_cucumber)),".")</f>
        <v>62.143711770201499</v>
      </c>
      <c r="N7" s="70">
        <f>IFERROR((d_dir!N7/(d_Bv!M7+MLF_lettuce)),".")</f>
        <v>130.15183576870098</v>
      </c>
      <c r="O7" s="70">
        <f>IFERROR((d_dir!O7/(d_Bv!N7+MLF_lima_bean)),".")</f>
        <v>132.5853724009647</v>
      </c>
      <c r="P7" s="70">
        <f>IFERROR((d_dir!P7/(d_Bv!O7+MLF_okra)),".")</f>
        <v>167.6407911607472</v>
      </c>
      <c r="Q7" s="70">
        <f>IFERROR((d_dir!Q7/(d_Bv!P7+MLF_onion)),".")</f>
        <v>239.27238825348624</v>
      </c>
      <c r="R7" s="70">
        <f>IFERROR((d_dir!R7/(d_Bv!Q7+MLF_peach)),".")</f>
        <v>37.432419466263447</v>
      </c>
      <c r="S7" s="70">
        <f>IFERROR((d_dir!S7/(d_Bv!R7+MLF_pear)),".")</f>
        <v>76.37709745194239</v>
      </c>
      <c r="T7" s="70">
        <f>IFERROR((d_dir!T7/(d_Bv!S7+MLF_peas)),".")</f>
        <v>133.20833801997338</v>
      </c>
      <c r="U7" s="70">
        <f>IFERROR((d_dir!U7/(d_Bv!T7+MLF_peppers)),".")</f>
        <v>261.25713164293336</v>
      </c>
      <c r="V7" s="70">
        <f>IFERROR((d_dir!V7/(d_Bv!U7+MLF_potato)),".")</f>
        <v>39.172934622937525</v>
      </c>
      <c r="W7" s="70">
        <f>IFERROR((d_dir!W7/(d_Bv!V7+MLF_pumpkin)),".")</f>
        <v>79.736615086886701</v>
      </c>
      <c r="X7" s="70">
        <f>IFERROR((d_dir!X7/(d_Bv!W7+MLF_snap_bean)),".")</f>
        <v>85.234554530774105</v>
      </c>
      <c r="Y7" s="70">
        <f>IFERROR((d_dir!Y7/(d_Bv!X7+MLF_strawberry)),".")</f>
        <v>114.04408518850414</v>
      </c>
      <c r="Z7" s="70">
        <f>IFERROR((d_dir!Z7/(d_Bv!Y7+MLF_tomato)),".")</f>
        <v>60.256898583204141</v>
      </c>
      <c r="AA7" s="70">
        <f>IFERROR((d_dir!AA7/(d_Bv!D7+MLF_rice)),".")</f>
        <v>16.90805334901021</v>
      </c>
      <c r="AB7" s="70">
        <f>IFERROR((d_dir!AB7/(d_Bv!AA7+MLF_cereal)),".")</f>
        <v>19.391778120329658</v>
      </c>
      <c r="AC7" s="70">
        <f t="shared" si="1"/>
        <v>3.0060027666907105</v>
      </c>
      <c r="AD7" s="70">
        <f>IFERROR((d_dir!AD7/(d_Bv!C7+MLF_apple))*1,".")</f>
        <v>50.697179949191906</v>
      </c>
      <c r="AE7" s="70">
        <f>IFERROR((d_dir!AE7/(d_Bv!D7+MLF_asparagus))*1,".")</f>
        <v>119.50426155264552</v>
      </c>
      <c r="AF7" s="70">
        <f>IFERROR((d_dir!AF7/(d_Bv!E7+MLF_beet))*1,".")</f>
        <v>142.13975589612977</v>
      </c>
      <c r="AG7" s="70">
        <f>IFERROR((d_dir!AG7/(d_Bv!F7+MLF_berries))*1,".")</f>
        <v>127.65706959247322</v>
      </c>
      <c r="AH7" s="70">
        <f>IFERROR((d_dir!AH7/(d_Bv!G7+MLF_broccoli))*1,".")</f>
        <v>136.10346079835736</v>
      </c>
      <c r="AI7" s="70">
        <f>IFERROR((d_dir!AI7/(d_Bv!H7+MLF_cabbage))*1,".")</f>
        <v>61.906890722549775</v>
      </c>
      <c r="AJ7" s="70">
        <f>IFERROR((d_dir!AJ7/(d_Bv!I7+MLF_carrot))*1,".")</f>
        <v>188.76225582014735</v>
      </c>
      <c r="AK7" s="70">
        <f>IFERROR((d_dir!AK7/(d_Bv!J7+MLF_citrus))*1,".")</f>
        <v>14.697707956162731</v>
      </c>
      <c r="AL7" s="70">
        <f>IFERROR((d_dir!AL7/(d_Bv!K7+MLF_corn))*1,".")</f>
        <v>57.481285346637037</v>
      </c>
      <c r="AM7" s="70">
        <f>IFERROR((d_dir!AM7/(d_Bv!L7+MLF_cucumber))*1,".")</f>
        <v>87.320076856333202</v>
      </c>
      <c r="AN7" s="70">
        <f>IFERROR((d_dir!AN7/(d_Bv!M7+MLF_lettuce))*1,".")</f>
        <v>119.21587959498017</v>
      </c>
      <c r="AO7" s="70">
        <f>IFERROR((d_dir!AO7/(d_Bv!N7+MLF_lima_bean))*1,".")</f>
        <v>128.65508205297408</v>
      </c>
      <c r="AP7" s="70">
        <f>IFERROR((d_dir!AP7/(d_Bv!O7+MLF_okra))*1,".")</f>
        <v>157.30550568735066</v>
      </c>
      <c r="AQ7" s="70">
        <f>IFERROR((d_dir!AQ7/(d_Bv!P7+MLF_onion))*1,".")</f>
        <v>176.15483018481075</v>
      </c>
      <c r="AR7" s="70">
        <f>IFERROR((d_dir!AR7/(d_Bv!Q7+MLF_peach))*1,".")</f>
        <v>41.846128282341205</v>
      </c>
      <c r="AS7" s="70">
        <f>IFERROR((d_dir!AS7/(d_Bv!R7+MLF_pear))*1,".")</f>
        <v>68.235641994702533</v>
      </c>
      <c r="AT7" s="70">
        <f>IFERROR((d_dir!AT7/(d_Bv!S7+MLF_peas))*1,".")</f>
        <v>143.1277289661131</v>
      </c>
      <c r="AU7" s="70">
        <f>IFERROR((d_dir!AU7/(d_Bv!T7+MLF_peppers))*1,".")</f>
        <v>195.88492708107734</v>
      </c>
      <c r="AV7" s="70">
        <f>IFERROR((d_dir!AV7/(d_Bv!U7+MLF_potato))*1,".")</f>
        <v>33.343828649176167</v>
      </c>
      <c r="AW7" s="70">
        <f>IFERROR((d_dir!AW7/(d_Bv!V7+MLF_pumpkin))*1,".")</f>
        <v>75.015615953757063</v>
      </c>
      <c r="AX7" s="70">
        <f>IFERROR((d_dir!AX7/(d_Bv!W7+MLF_snap_bean))*1,".")</f>
        <v>80.697577946526906</v>
      </c>
      <c r="AY7" s="70">
        <f>IFERROR((d_dir!AY7/(d_Bv!X7+MLF_strawberry))*1,".")</f>
        <v>110.95056373703392</v>
      </c>
      <c r="AZ7" s="70">
        <f>IFERROR((d_dir!AZ7/(d_Bv!Y7+MLF_tomato))*1,".")</f>
        <v>48.885444209500307</v>
      </c>
      <c r="BA7" s="70">
        <f>IFERROR((d_dir!BA7/(d_Bv!Z7+MLF_rice))*1,".")</f>
        <v>13.395065968305527</v>
      </c>
      <c r="BB7" s="70">
        <f>IFERROR((d_dir!BB7/(d_Bv!AA7+MLF_cereal))*1,".")</f>
        <v>15.457664561823536</v>
      </c>
    </row>
    <row r="8" spans="1:54" ht="15" customHeight="1" x14ac:dyDescent="0.25">
      <c r="A8" s="86" t="s">
        <v>6</v>
      </c>
      <c r="B8" s="84" t="s">
        <v>1057</v>
      </c>
      <c r="C8" s="2">
        <f t="shared" si="0"/>
        <v>21.462427435759192</v>
      </c>
      <c r="D8" s="70">
        <f>IFERROR((d_dir!D8/(d_Bv!C8+MLF_apple)),".")</f>
        <v>391.59078386771711</v>
      </c>
      <c r="E8" s="70">
        <f>IFERROR((d_dir!E8/(d_Bv!D8+MLF_asparagus)),".")</f>
        <v>856.50969783025175</v>
      </c>
      <c r="F8" s="70">
        <f>IFERROR((d_dir!F8/(d_Bv!E8+MLF_beet)),".")</f>
        <v>1032.5015741690615</v>
      </c>
      <c r="G8" s="70">
        <f>IFERROR((d_dir!G8/(d_Bv!F8+MLF_berries)),".")</f>
        <v>880.49313038680066</v>
      </c>
      <c r="H8" s="70">
        <f>IFERROR((d_dir!H8/(d_Bv!G8+MLF_broccoli)),".")</f>
        <v>1075.5761682495108</v>
      </c>
      <c r="I8" s="70">
        <f>IFERROR((d_dir!I8/(d_Bv!H8+MLF_cabbage)),".")</f>
        <v>421.78806359918627</v>
      </c>
      <c r="J8" s="70">
        <f>IFERROR((d_dir!J8/(d_Bv!I8+MLF_carrot)),".")</f>
        <v>1189.3868141392043</v>
      </c>
      <c r="K8" s="70">
        <f>IFERROR((d_dir!K8/(d_Bv!J8+MLF_citrus)),".")</f>
        <v>101.51664846574295</v>
      </c>
      <c r="L8" s="70">
        <f>IFERROR((d_dir!L8/(d_Bv!K8+MLF_corn)),".")</f>
        <v>556.62106060127576</v>
      </c>
      <c r="M8" s="70">
        <f>IFERROR((d_dir!M8/(d_Bv!L8+MLF_cucumber)),".")</f>
        <v>417.38313875508464</v>
      </c>
      <c r="N8" s="70">
        <f>IFERROR((d_dir!N8/(d_Bv!M8+MLF_lettuce)),".")</f>
        <v>874.15412083455874</v>
      </c>
      <c r="O8" s="70">
        <f>IFERROR((d_dir!O8/(d_Bv!N8+MLF_lima_bean)),".")</f>
        <v>890.49876985722551</v>
      </c>
      <c r="P8" s="70">
        <f>IFERROR((d_dir!P8/(d_Bv!O8+MLF_okra)),".")</f>
        <v>1125.9456122736751</v>
      </c>
      <c r="Q8" s="70">
        <f>IFERROR((d_dir!Q8/(d_Bv!P8+MLF_onion)),".")</f>
        <v>1607.0533539413257</v>
      </c>
      <c r="R8" s="70">
        <f>IFERROR((d_dir!R8/(d_Bv!Q8+MLF_peach)),".")</f>
        <v>251.41177253460523</v>
      </c>
      <c r="S8" s="70">
        <f>IFERROR((d_dir!S8/(d_Bv!R8+MLF_pear)),".")</f>
        <v>512.98050527424004</v>
      </c>
      <c r="T8" s="70">
        <f>IFERROR((d_dir!T8/(d_Bv!S8+MLF_peas)),".")</f>
        <v>894.6828672983288</v>
      </c>
      <c r="U8" s="70">
        <f>IFERROR((d_dir!U8/(d_Bv!T8+MLF_peppers)),".")</f>
        <v>1754.712078198806</v>
      </c>
      <c r="V8" s="70">
        <f>IFERROR((d_dir!V8/(d_Bv!U8+MLF_potato)),".")</f>
        <v>263.10179970629684</v>
      </c>
      <c r="W8" s="70">
        <f>IFERROR((d_dir!W8/(d_Bv!V8+MLF_pumpkin)),".")</f>
        <v>535.54442968804494</v>
      </c>
      <c r="X8" s="70">
        <f>IFERROR((d_dir!X8/(d_Bv!W8+MLF_snap_bean)),".")</f>
        <v>572.47088863952752</v>
      </c>
      <c r="Y8" s="70">
        <f>IFERROR((d_dir!Y8/(d_Bv!X8+MLF_strawberry)),".")</f>
        <v>765.96773634069962</v>
      </c>
      <c r="Z8" s="70">
        <f>IFERROR((d_dir!Z8/(d_Bv!Y8+MLF_tomato)),".")</f>
        <v>404.71051287226669</v>
      </c>
      <c r="AA8" s="70">
        <f>IFERROR((d_dir!AA8/(d_Bv!D8+MLF_rice)),".")</f>
        <v>113.56155234409843</v>
      </c>
      <c r="AB8" s="70">
        <f>IFERROR((d_dir!AB8/(d_Bv!AA8+MLF_cereal)),".")</f>
        <v>130.24328588281114</v>
      </c>
      <c r="AC8" s="70">
        <f t="shared" si="1"/>
        <v>20.189570821057018</v>
      </c>
      <c r="AD8" s="70">
        <f>IFERROR((d_dir!AD8/(d_Bv!C8+MLF_apple))*1,".")</f>
        <v>340.50344741994564</v>
      </c>
      <c r="AE8" s="70">
        <f>IFERROR((d_dir!AE8/(d_Bv!D8+MLF_asparagus))*1,".")</f>
        <v>802.64056266702198</v>
      </c>
      <c r="AF8" s="70">
        <f>IFERROR((d_dir!AF8/(d_Bv!E8+MLF_beet))*1,".")</f>
        <v>954.67000228743871</v>
      </c>
      <c r="AG8" s="70">
        <f>IFERROR((d_dir!AG8/(d_Bv!F8+MLF_berries))*1,".")</f>
        <v>857.39822860616334</v>
      </c>
      <c r="AH8" s="70">
        <f>IFERROR((d_dir!AH8/(d_Bv!G8+MLF_broccoli))*1,".")</f>
        <v>914.12772178001205</v>
      </c>
      <c r="AI8" s="70">
        <f>IFERROR((d_dir!AI8/(d_Bv!H8+MLF_cabbage))*1,".")</f>
        <v>415.79254962906566</v>
      </c>
      <c r="AJ8" s="70">
        <f>IFERROR((d_dir!AJ8/(d_Bv!I8+MLF_carrot))*1,".")</f>
        <v>1267.8061958069595</v>
      </c>
      <c r="AK8" s="70">
        <f>IFERROR((d_dir!AK8/(d_Bv!J8+MLF_citrus))*1,".")</f>
        <v>98.715948959301912</v>
      </c>
      <c r="AL8" s="70">
        <f>IFERROR((d_dir!AL8/(d_Bv!K8+MLF_corn))*1,".")</f>
        <v>386.06833441771147</v>
      </c>
      <c r="AM8" s="70">
        <f>IFERROR((d_dir!AM8/(d_Bv!L8+MLF_cucumber))*1,".")</f>
        <v>586.47812813955147</v>
      </c>
      <c r="AN8" s="70">
        <f>IFERROR((d_dir!AN8/(d_Bv!M8+MLF_lettuce))*1,".")</f>
        <v>800.70366892150855</v>
      </c>
      <c r="AO8" s="70">
        <f>IFERROR((d_dir!AO8/(d_Bv!N8+MLF_lima_bean))*1,".")</f>
        <v>864.10129737072134</v>
      </c>
      <c r="AP8" s="70">
        <f>IFERROR((d_dir!AP8/(d_Bv!O8+MLF_okra))*1,".")</f>
        <v>1056.5295158105641</v>
      </c>
      <c r="AQ8" s="70">
        <f>IFERROR((d_dir!AQ8/(d_Bv!P8+MLF_onion))*1,".")</f>
        <v>1183.1294564651469</v>
      </c>
      <c r="AR8" s="70">
        <f>IFERROR((d_dir!AR8/(d_Bv!Q8+MLF_peach))*1,".")</f>
        <v>281.05608547841109</v>
      </c>
      <c r="AS8" s="70">
        <f>IFERROR((d_dir!AS8/(d_Bv!R8+MLF_pear))*1,".")</f>
        <v>458.29908802412149</v>
      </c>
      <c r="AT8" s="70">
        <f>IFERROR((d_dir!AT8/(d_Bv!S8+MLF_peas))*1,".")</f>
        <v>961.30564230971493</v>
      </c>
      <c r="AU8" s="70">
        <f>IFERROR((d_dir!AU8/(d_Bv!T8+MLF_peppers))*1,".")</f>
        <v>1315.6450326341014</v>
      </c>
      <c r="AV8" s="70">
        <f>IFERROR((d_dir!AV8/(d_Bv!U8+MLF_potato))*1,".")</f>
        <v>223.95108794222796</v>
      </c>
      <c r="AW8" s="70">
        <f>IFERROR((d_dir!AW8/(d_Bv!V8+MLF_pumpkin))*1,".")</f>
        <v>503.83622655508475</v>
      </c>
      <c r="AX8" s="70">
        <f>IFERROR((d_dir!AX8/(d_Bv!W8+MLF_snap_bean))*1,".")</f>
        <v>541.9986578498075</v>
      </c>
      <c r="AY8" s="70">
        <f>IFERROR((d_dir!AY8/(d_Bv!X8+MLF_strawberry))*1,".")</f>
        <v>745.19035345769066</v>
      </c>
      <c r="AZ8" s="70">
        <f>IFERROR((d_dir!AZ8/(d_Bv!Y8+MLF_tomato))*1,".")</f>
        <v>328.33507304888269</v>
      </c>
      <c r="BA8" s="70">
        <f>IFERROR((d_dir!BA8/(d_Bv!Z8+MLF_rice))*1,".")</f>
        <v>89.966860981156529</v>
      </c>
      <c r="BB8" s="70">
        <f>IFERROR((d_dir!BB8/(d_Bv!AA8+MLF_cereal))*1,".")</f>
        <v>103.82013511672524</v>
      </c>
    </row>
    <row r="9" spans="1:54" ht="15" customHeight="1" x14ac:dyDescent="0.25">
      <c r="A9" s="86" t="s">
        <v>7</v>
      </c>
      <c r="B9" s="84" t="s">
        <v>1057</v>
      </c>
      <c r="C9" s="2">
        <f t="shared" si="0"/>
        <v>38.603560756935998</v>
      </c>
      <c r="D9" s="70">
        <f>IFERROR((d_dir!D9/(d_Bv!C9+MLF_apple)),".")</f>
        <v>704.33778574864562</v>
      </c>
      <c r="E9" s="70">
        <f>IFERROR((d_dir!E9/(d_Bv!D9+MLF_asparagus)),".")</f>
        <v>1540.5677786477006</v>
      </c>
      <c r="F9" s="70">
        <f>IFERROR((d_dir!F9/(d_Bv!E9+MLF_beet)),".")</f>
        <v>1857.1169253510632</v>
      </c>
      <c r="G9" s="70">
        <f>IFERROR((d_dir!G9/(d_Bv!F9+MLF_berries)),".")</f>
        <v>1583.7057647225674</v>
      </c>
      <c r="H9" s="70">
        <f>IFERROR((d_dir!H9/(d_Bv!G9+MLF_broccoli)),".")</f>
        <v>1934.5933764487845</v>
      </c>
      <c r="I9" s="70">
        <f>IFERROR((d_dir!I9/(d_Bv!H9+MLF_cabbage)),".")</f>
        <v>758.65235600390542</v>
      </c>
      <c r="J9" s="70">
        <f>IFERROR((d_dir!J9/(d_Bv!I9+MLF_carrot)),".")</f>
        <v>2139.299773082595</v>
      </c>
      <c r="K9" s="70">
        <f>IFERROR((d_dir!K9/(d_Bv!J9+MLF_citrus)),".")</f>
        <v>182.59370328066515</v>
      </c>
      <c r="L9" s="70">
        <f>IFERROR((d_dir!L9/(d_Bv!K9+MLF_corn)),".")</f>
        <v>1001.1707667190732</v>
      </c>
      <c r="M9" s="70">
        <f>IFERROR((d_dir!M9/(d_Bv!L9+MLF_cucumber)),".")</f>
        <v>750.72940393532008</v>
      </c>
      <c r="N9" s="70">
        <f>IFERROR((d_dir!N9/(d_Bv!M9+MLF_lettuce)),".")</f>
        <v>1572.3040562661861</v>
      </c>
      <c r="O9" s="70">
        <f>IFERROR((d_dir!O9/(d_Bv!N9+MLF_lima_bean)),".")</f>
        <v>1601.7024853807816</v>
      </c>
      <c r="P9" s="70">
        <f>IFERROR((d_dir!P9/(d_Bv!O9+MLF_okra)),".")</f>
        <v>2025.1907657003014</v>
      </c>
      <c r="Q9" s="70">
        <f>IFERROR((d_dir!Q9/(d_Bv!P9+MLF_onion)),".")</f>
        <v>2890.5389184984911</v>
      </c>
      <c r="R9" s="70">
        <f>IFERROR((d_dir!R9/(d_Bv!Q9+MLF_peach)),".")</f>
        <v>452.20372509579994</v>
      </c>
      <c r="S9" s="70">
        <f>IFERROR((d_dir!S9/(d_Bv!R9+MLF_pear)),".")</f>
        <v>922.67634505702222</v>
      </c>
      <c r="T9" s="70">
        <f>IFERROR((d_dir!T9/(d_Bv!S9+MLF_peas)),".")</f>
        <v>1609.2282445365913</v>
      </c>
      <c r="U9" s="70">
        <f>IFERROR((d_dir!U9/(d_Bv!T9+MLF_peppers)),".")</f>
        <v>3156.1264225320801</v>
      </c>
      <c r="V9" s="70">
        <f>IFERROR((d_dir!V9/(d_Bv!U9+MLF_potato)),".")</f>
        <v>473.23008269320496</v>
      </c>
      <c r="W9" s="70">
        <f>IFERROR((d_dir!W9/(d_Bv!V9+MLF_pumpkin)),".")</f>
        <v>963.2611218550071</v>
      </c>
      <c r="X9" s="70">
        <f>IFERROR((d_dir!X9/(d_Bv!W9+MLF_snap_bean)),".")</f>
        <v>1029.6791822509622</v>
      </c>
      <c r="Y9" s="70">
        <f>IFERROR((d_dir!Y9/(d_Bv!X9+MLF_strawberry)),".")</f>
        <v>1377.7137808007212</v>
      </c>
      <c r="Z9" s="70">
        <f>IFERROR((d_dir!Z9/(d_Bv!Y9+MLF_tomato)),".")</f>
        <v>727.93568758233198</v>
      </c>
      <c r="AA9" s="70">
        <f>IFERROR((d_dir!AA9/(d_Bv!D9+MLF_rice)),".")</f>
        <v>204.25836260549247</v>
      </c>
      <c r="AB9" s="70">
        <f>IFERROR((d_dir!AB9/(d_Bv!AA9+MLF_cereal)),".")</f>
        <v>234.26309138653281</v>
      </c>
      <c r="AC9" s="70">
        <f t="shared" si="1"/>
        <v>36.314127382840809</v>
      </c>
      <c r="AD9" s="70">
        <f>IFERROR((d_dir!AD9/(d_Bv!C9+MLF_apple))*1,".")</f>
        <v>612.44915374862705</v>
      </c>
      <c r="AE9" s="70">
        <f>IFERROR((d_dir!AE9/(d_Bv!D9+MLF_asparagus))*1,".")</f>
        <v>1443.6756429178652</v>
      </c>
      <c r="AF9" s="70">
        <f>IFERROR((d_dir!AF9/(d_Bv!E9+MLF_beet))*1,".")</f>
        <v>1717.1245678727084</v>
      </c>
      <c r="AG9" s="70">
        <f>IFERROR((d_dir!AG9/(d_Bv!F9+MLF_berries))*1,".")</f>
        <v>1542.1659413855823</v>
      </c>
      <c r="AH9" s="70">
        <f>IFERROR((d_dir!AH9/(d_Bv!G9+MLF_broccoli))*1,".")</f>
        <v>1644.2028821278068</v>
      </c>
      <c r="AI9" s="70">
        <f>IFERROR((d_dir!AI9/(d_Bv!H9+MLF_cabbage))*1,".")</f>
        <v>747.86847852744688</v>
      </c>
      <c r="AJ9" s="70">
        <f>IFERROR((d_dir!AJ9/(d_Bv!I9+MLF_carrot))*1,".")</f>
        <v>2280.349399169565</v>
      </c>
      <c r="AK9" s="70">
        <f>IFERROR((d_dir!AK9/(d_Bv!J9+MLF_citrus))*1,".")</f>
        <v>177.55620349726792</v>
      </c>
      <c r="AL9" s="70">
        <f>IFERROR((d_dir!AL9/(d_Bv!K9+MLF_corn))*1,".")</f>
        <v>694.40478942246079</v>
      </c>
      <c r="AM9" s="70">
        <f>IFERROR((d_dir!AM9/(d_Bv!L9+MLF_cucumber))*1,".")</f>
        <v>1054.8734116872467</v>
      </c>
      <c r="AN9" s="70">
        <f>IFERROR((d_dir!AN9/(d_Bv!M9+MLF_lettuce))*1,".")</f>
        <v>1440.1918340333173</v>
      </c>
      <c r="AO9" s="70">
        <f>IFERROR((d_dir!AO9/(d_Bv!N9+MLF_lima_bean))*1,".")</f>
        <v>1554.2224677540491</v>
      </c>
      <c r="AP9" s="70">
        <f>IFERROR((d_dir!AP9/(d_Bv!O9+MLF_okra))*1,".")</f>
        <v>1900.3349680351087</v>
      </c>
      <c r="AQ9" s="70">
        <f>IFERROR((d_dir!AQ9/(d_Bv!P9+MLF_onion))*1,".")</f>
        <v>2128.0449284071096</v>
      </c>
      <c r="AR9" s="70">
        <f>IFERROR((d_dir!AR9/(d_Bv!Q9+MLF_peach))*1,".")</f>
        <v>505.52369737056489</v>
      </c>
      <c r="AS9" s="70">
        <f>IFERROR((d_dir!AS9/(d_Bv!R9+MLF_pear))*1,".")</f>
        <v>824.32319188231247</v>
      </c>
      <c r="AT9" s="70">
        <f>IFERROR((d_dir!AT9/(d_Bv!S9+MLF_peas))*1,".")</f>
        <v>1729.0598130134467</v>
      </c>
      <c r="AU9" s="70">
        <f>IFERROR((d_dir!AU9/(d_Bv!T9+MLF_peppers))*1,".")</f>
        <v>2366.3950922546251</v>
      </c>
      <c r="AV9" s="70">
        <f>IFERROR((d_dir!AV9/(d_Bv!U9+MLF_potato))*1,".")</f>
        <v>402.81135280883956</v>
      </c>
      <c r="AW9" s="70">
        <f>IFERROR((d_dir!AW9/(d_Bv!V9+MLF_pumpkin))*1,".")</f>
        <v>906.22891756216575</v>
      </c>
      <c r="AX9" s="70">
        <f>IFERROR((d_dir!AX9/(d_Bv!W9+MLF_snap_bean))*1,".")</f>
        <v>974.87006915267386</v>
      </c>
      <c r="AY9" s="70">
        <f>IFERROR((d_dir!AY9/(d_Bv!X9+MLF_strawberry))*1,".")</f>
        <v>1340.342380715846</v>
      </c>
      <c r="AZ9" s="70">
        <f>IFERROR((d_dir!AZ9/(d_Bv!Y9+MLF_tomato))*1,".")</f>
        <v>590.5624132691313</v>
      </c>
      <c r="BA9" s="70">
        <f>IFERROR((d_dir!BA9/(d_Bv!Z9+MLF_rice))*1,".")</f>
        <v>161.8195888788587</v>
      </c>
      <c r="BB9" s="70">
        <f>IFERROR((d_dir!BB9/(d_Bv!AA9+MLF_cereal))*1,".")</f>
        <v>186.73688732404273</v>
      </c>
    </row>
    <row r="10" spans="1:54" x14ac:dyDescent="0.25">
      <c r="A10" s="88" t="s">
        <v>8</v>
      </c>
      <c r="B10" s="84" t="s">
        <v>335</v>
      </c>
      <c r="C10" s="2">
        <f t="shared" si="0"/>
        <v>1.7661671420063139</v>
      </c>
      <c r="D10" s="70">
        <f>IFERROR((d_dir!D10/(d_Bv!C10+MLF_apple)),".")</f>
        <v>132.60615154245176</v>
      </c>
      <c r="E10" s="70">
        <f>IFERROR((d_dir!E10/(d_Bv!D10+MLF_asparagus)),".")</f>
        <v>28.74985770636733</v>
      </c>
      <c r="F10" s="70">
        <f>IFERROR((d_dir!F10/(d_Bv!E10+MLF_beet)),".")</f>
        <v>49.442323282843873</v>
      </c>
      <c r="G10" s="70">
        <f>IFERROR((d_dir!G10/(d_Bv!F10+MLF_berries)),".")</f>
        <v>784.27712947696614</v>
      </c>
      <c r="H10" s="70">
        <f>IFERROR((d_dir!H10/(d_Bv!G10+MLF_broccoli)),".")</f>
        <v>99.464625670179544</v>
      </c>
      <c r="I10" s="70">
        <f>IFERROR((d_dir!I10/(d_Bv!H10+MLF_cabbage)),".")</f>
        <v>14.155415016913228</v>
      </c>
      <c r="J10" s="70">
        <f>IFERROR((d_dir!J10/(d_Bv!I10+MLF_carrot)),".")</f>
        <v>56.987051420539558</v>
      </c>
      <c r="K10" s="70">
        <f>IFERROR((d_dir!K10/(d_Bv!J10+MLF_citrus)),".")</f>
        <v>34.393322487637043</v>
      </c>
      <c r="L10" s="70">
        <f>IFERROR((d_dir!L10/(d_Bv!K10+MLF_corn)),".")</f>
        <v>33.888631788845679</v>
      </c>
      <c r="M10" s="70">
        <f>IFERROR((d_dir!M10/(d_Bv!L10+MLF_cucumber)),".")</f>
        <v>39.989502508232533</v>
      </c>
      <c r="N10" s="70">
        <f>IFERROR((d_dir!N10/(d_Bv!M10+MLF_lettuce)),".")</f>
        <v>27.200675205918483</v>
      </c>
      <c r="O10" s="70">
        <f>IFERROR((d_dir!O10/(d_Bv!N10+MLF_lima_bean)),".")</f>
        <v>42.507724803977602</v>
      </c>
      <c r="P10" s="70">
        <f>IFERROR((d_dir!P10/(d_Bv!O10+MLF_okra)),".")</f>
        <v>107.71526545084834</v>
      </c>
      <c r="Q10" s="70">
        <f>IFERROR((d_dir!Q10/(d_Bv!P10+MLF_onion)),".")</f>
        <v>76.998694644925109</v>
      </c>
      <c r="R10" s="70">
        <f>IFERROR((d_dir!R10/(d_Bv!Q10+MLF_peach)),".")</f>
        <v>85.271273863439831</v>
      </c>
      <c r="S10" s="70">
        <f>IFERROR((d_dir!S10/(d_Bv!R10+MLF_pear)),".")</f>
        <v>173.71289985133714</v>
      </c>
      <c r="T10" s="70">
        <f>IFERROR((d_dir!T10/(d_Bv!S10+MLF_peas)),".")</f>
        <v>44.95068523097931</v>
      </c>
      <c r="U10" s="70">
        <f>IFERROR((d_dir!U10/(d_Bv!T10+MLF_peppers)),".")</f>
        <v>155.65485805525819</v>
      </c>
      <c r="V10" s="70">
        <f>IFERROR((d_dir!V10/(d_Bv!U10+MLF_potato)),".")</f>
        <v>9.4515807416819371</v>
      </c>
      <c r="W10" s="70">
        <f>IFERROR((d_dir!W10/(d_Bv!V10+MLF_pumpkin)),".")</f>
        <v>51.275907565908831</v>
      </c>
      <c r="X10" s="70">
        <f>IFERROR((d_dir!X10/(d_Bv!W10+MLF_snap_bean)),".")</f>
        <v>26.9161751149813</v>
      </c>
      <c r="Y10" s="70">
        <f>IFERROR((d_dir!Y10/(d_Bv!X10+MLF_strawberry)),".")</f>
        <v>518.35186158848194</v>
      </c>
      <c r="Z10" s="70">
        <f>IFERROR((d_dir!Z10/(d_Bv!Y10+MLF_tomato)),".")</f>
        <v>36.44889636430613</v>
      </c>
      <c r="AA10" s="70">
        <f>IFERROR((d_dir!AA10/(d_Bv!D10+MLF_rice)),".")</f>
        <v>2.5835735168266876</v>
      </c>
      <c r="AB10" s="70">
        <f>IFERROR((d_dir!AB10/(d_Bv!AA10+MLF_cereal)),".")</f>
        <v>3.292322261516071</v>
      </c>
      <c r="AC10" s="70">
        <f t="shared" si="1"/>
        <v>1.61979685068912</v>
      </c>
      <c r="AD10" s="70">
        <f>IFERROR((d_dir!AD10/(d_Bv!C10+MLF_apple))*1,".")</f>
        <v>115.30621661553099</v>
      </c>
      <c r="AE10" s="70">
        <f>IFERROR((d_dir!AE10/(d_Bv!D10+MLF_asparagus))*1,".")</f>
        <v>26.941670391464491</v>
      </c>
      <c r="AF10" s="70">
        <f>IFERROR((d_dir!AF10/(d_Bv!E10+MLF_beet))*1,".")</f>
        <v>45.715284182026977</v>
      </c>
      <c r="AG10" s="70">
        <f>IFERROR((d_dir!AG10/(d_Bv!F10+MLF_berries))*1,".")</f>
        <v>763.70592608084905</v>
      </c>
      <c r="AH10" s="70">
        <f>IFERROR((d_dir!AH10/(d_Bv!G10+MLF_broccoli))*1,".")</f>
        <v>84.534572581279662</v>
      </c>
      <c r="AI10" s="70">
        <f>IFERROR((d_dir!AI10/(d_Bv!H10+MLF_cabbage))*1,".")</f>
        <v>13.954202617106182</v>
      </c>
      <c r="AJ10" s="70">
        <f>IFERROR((d_dir!AJ10/(d_Bv!I10+MLF_carrot))*1,".")</f>
        <v>60.744356682664545</v>
      </c>
      <c r="AK10" s="70">
        <f>IFERROR((d_dir!AK10/(d_Bv!J10+MLF_citrus))*1,".")</f>
        <v>33.444459786082255</v>
      </c>
      <c r="AL10" s="70">
        <f>IFERROR((d_dir!AL10/(d_Bv!K10+MLF_corn))*1,".")</f>
        <v>23.504909455423459</v>
      </c>
      <c r="AM10" s="70">
        <f>IFERROR((d_dir!AM10/(d_Bv!L10+MLF_cucumber))*1,".")</f>
        <v>56.190503157871994</v>
      </c>
      <c r="AN10" s="70">
        <f>IFERROR((d_dir!AN10/(d_Bv!M10+MLF_lettuce))*1,".")</f>
        <v>24.915149303109249</v>
      </c>
      <c r="AO10" s="70">
        <f>IFERROR((d_dir!AO10/(d_Bv!N10+MLF_lima_bean))*1,".")</f>
        <v>41.247648390669589</v>
      </c>
      <c r="AP10" s="70">
        <f>IFERROR((d_dir!AP10/(d_Bv!O10+MLF_okra))*1,".")</f>
        <v>101.07447110378686</v>
      </c>
      <c r="AQ10" s="70">
        <f>IFERROR((d_dir!AQ10/(d_Bv!P10+MLF_onion))*1,".")</f>
        <v>56.687242847509182</v>
      </c>
      <c r="AR10" s="70">
        <f>IFERROR((d_dir!AR10/(d_Bv!Q10+MLF_peach))*1,".")</f>
        <v>95.3257287604429</v>
      </c>
      <c r="AS10" s="70">
        <f>IFERROR((d_dir!AS10/(d_Bv!R10+MLF_pear))*1,".")</f>
        <v>155.1958851483692</v>
      </c>
      <c r="AT10" s="70">
        <f>IFERROR((d_dir!AT10/(d_Bv!S10+MLF_peas))*1,".")</f>
        <v>48.297948823713988</v>
      </c>
      <c r="AU10" s="70">
        <f>IFERROR((d_dir!AU10/(d_Bv!T10+MLF_peppers))*1,".")</f>
        <v>116.70663429636723</v>
      </c>
      <c r="AV10" s="70">
        <f>IFERROR((d_dir!AV10/(d_Bv!U10+MLF_potato))*1,".")</f>
        <v>8.0451437133321182</v>
      </c>
      <c r="AW10" s="70">
        <f>IFERROR((d_dir!AW10/(d_Bv!V10+MLF_pumpkin))*1,".")</f>
        <v>48.239993451604995</v>
      </c>
      <c r="AX10" s="70">
        <f>IFERROR((d_dir!AX10/(d_Bv!W10+MLF_snap_bean))*1,".")</f>
        <v>25.483445667324286</v>
      </c>
      <c r="AY10" s="70">
        <f>IFERROR((d_dir!AY10/(d_Bv!X10+MLF_strawberry))*1,".")</f>
        <v>504.29122354151082</v>
      </c>
      <c r="AZ10" s="70">
        <f>IFERROR((d_dir!AZ10/(d_Bv!Y10+MLF_tomato))*1,".")</f>
        <v>29.570398271573278</v>
      </c>
      <c r="BA10" s="70">
        <f>IFERROR((d_dir!BA10/(d_Bv!Z10+MLF_rice))*1,".")</f>
        <v>2.530623079864684</v>
      </c>
      <c r="BB10" s="70">
        <f>IFERROR((d_dir!BB10/(d_Bv!AA10+MLF_cereal))*1,".")</f>
        <v>2.6243912668630789</v>
      </c>
    </row>
    <row r="11" spans="1:54" ht="15" customHeight="1" x14ac:dyDescent="0.25">
      <c r="A11" s="86" t="s">
        <v>9</v>
      </c>
      <c r="B11" s="84" t="s">
        <v>1057</v>
      </c>
      <c r="C11" s="2" t="str">
        <f t="shared" si="0"/>
        <v>.</v>
      </c>
      <c r="D11" s="70" t="str">
        <f>IFERROR((d_dir!D11/(d_Bv!C11+MLF_apple)),".")</f>
        <v>.</v>
      </c>
      <c r="E11" s="70" t="str">
        <f>IFERROR((d_dir!E11/(d_Bv!D11+MLF_asparagus)),".")</f>
        <v>.</v>
      </c>
      <c r="F11" s="70" t="str">
        <f>IFERROR((d_dir!F11/(d_Bv!E11+MLF_beet)),".")</f>
        <v>.</v>
      </c>
      <c r="G11" s="70" t="str">
        <f>IFERROR((d_dir!G11/(d_Bv!F11+MLF_berries)),".")</f>
        <v>.</v>
      </c>
      <c r="H11" s="70" t="str">
        <f>IFERROR((d_dir!H11/(d_Bv!G11+MLF_broccoli)),".")</f>
        <v>.</v>
      </c>
      <c r="I11" s="70" t="str">
        <f>IFERROR((d_dir!I11/(d_Bv!H11+MLF_cabbage)),".")</f>
        <v>.</v>
      </c>
      <c r="J11" s="70" t="str">
        <f>IFERROR((d_dir!J11/(d_Bv!I11+MLF_carrot)),".")</f>
        <v>.</v>
      </c>
      <c r="K11" s="70" t="str">
        <f>IFERROR((d_dir!K11/(d_Bv!J11+MLF_citrus)),".")</f>
        <v>.</v>
      </c>
      <c r="L11" s="70" t="str">
        <f>IFERROR((d_dir!L11/(d_Bv!K11+MLF_corn)),".")</f>
        <v>.</v>
      </c>
      <c r="M11" s="70" t="str">
        <f>IFERROR((d_dir!M11/(d_Bv!L11+MLF_cucumber)),".")</f>
        <v>.</v>
      </c>
      <c r="N11" s="70" t="str">
        <f>IFERROR((d_dir!N11/(d_Bv!M11+MLF_lettuce)),".")</f>
        <v>.</v>
      </c>
      <c r="O11" s="70" t="str">
        <f>IFERROR((d_dir!O11/(d_Bv!N11+MLF_lima_bean)),".")</f>
        <v>.</v>
      </c>
      <c r="P11" s="70" t="str">
        <f>IFERROR((d_dir!P11/(d_Bv!O11+MLF_okra)),".")</f>
        <v>.</v>
      </c>
      <c r="Q11" s="70" t="str">
        <f>IFERROR((d_dir!Q11/(d_Bv!P11+MLF_onion)),".")</f>
        <v>.</v>
      </c>
      <c r="R11" s="70" t="str">
        <f>IFERROR((d_dir!R11/(d_Bv!Q11+MLF_peach)),".")</f>
        <v>.</v>
      </c>
      <c r="S11" s="70" t="str">
        <f>IFERROR((d_dir!S11/(d_Bv!R11+MLF_pear)),".")</f>
        <v>.</v>
      </c>
      <c r="T11" s="70" t="str">
        <f>IFERROR((d_dir!T11/(d_Bv!S11+MLF_peas)),".")</f>
        <v>.</v>
      </c>
      <c r="U11" s="70" t="str">
        <f>IFERROR((d_dir!U11/(d_Bv!T11+MLF_peppers)),".")</f>
        <v>.</v>
      </c>
      <c r="V11" s="70" t="str">
        <f>IFERROR((d_dir!V11/(d_Bv!U11+MLF_potato)),".")</f>
        <v>.</v>
      </c>
      <c r="W11" s="70" t="str">
        <f>IFERROR((d_dir!W11/(d_Bv!V11+MLF_pumpkin)),".")</f>
        <v>.</v>
      </c>
      <c r="X11" s="70" t="str">
        <f>IFERROR((d_dir!X11/(d_Bv!W11+MLF_snap_bean)),".")</f>
        <v>.</v>
      </c>
      <c r="Y11" s="70" t="str">
        <f>IFERROR((d_dir!Y11/(d_Bv!X11+MLF_strawberry)),".")</f>
        <v>.</v>
      </c>
      <c r="Z11" s="70" t="str">
        <f>IFERROR((d_dir!Z11/(d_Bv!Y11+MLF_tomato)),".")</f>
        <v>.</v>
      </c>
      <c r="AA11" s="70" t="str">
        <f>IFERROR((d_dir!AA11/(d_Bv!D11+MLF_rice)),".")</f>
        <v>.</v>
      </c>
      <c r="AB11" s="70" t="str">
        <f>IFERROR((d_dir!AB11/(d_Bv!AA11+MLF_cereal)),".")</f>
        <v>.</v>
      </c>
      <c r="AC11" s="70" t="str">
        <f t="shared" si="1"/>
        <v>.</v>
      </c>
      <c r="AD11" s="70" t="str">
        <f>IFERROR((d_dir!AD11/(d_Bv!C11+MLF_apple))*1,".")</f>
        <v>.</v>
      </c>
      <c r="AE11" s="70" t="str">
        <f>IFERROR((d_dir!AE11/(d_Bv!D11+MLF_asparagus))*1,".")</f>
        <v>.</v>
      </c>
      <c r="AF11" s="70" t="str">
        <f>IFERROR((d_dir!AF11/(d_Bv!E11+MLF_beet))*1,".")</f>
        <v>.</v>
      </c>
      <c r="AG11" s="70" t="str">
        <f>IFERROR((d_dir!AG11/(d_Bv!F11+MLF_berries))*1,".")</f>
        <v>.</v>
      </c>
      <c r="AH11" s="70" t="str">
        <f>IFERROR((d_dir!AH11/(d_Bv!G11+MLF_broccoli))*1,".")</f>
        <v>.</v>
      </c>
      <c r="AI11" s="70" t="str">
        <f>IFERROR((d_dir!AI11/(d_Bv!H11+MLF_cabbage))*1,".")</f>
        <v>.</v>
      </c>
      <c r="AJ11" s="70" t="str">
        <f>IFERROR((d_dir!AJ11/(d_Bv!I11+MLF_carrot))*1,".")</f>
        <v>.</v>
      </c>
      <c r="AK11" s="70" t="str">
        <f>IFERROR((d_dir!AK11/(d_Bv!J11+MLF_citrus))*1,".")</f>
        <v>.</v>
      </c>
      <c r="AL11" s="70" t="str">
        <f>IFERROR((d_dir!AL11/(d_Bv!K11+MLF_corn))*1,".")</f>
        <v>.</v>
      </c>
      <c r="AM11" s="70" t="str">
        <f>IFERROR((d_dir!AM11/(d_Bv!L11+MLF_cucumber))*1,".")</f>
        <v>.</v>
      </c>
      <c r="AN11" s="70" t="str">
        <f>IFERROR((d_dir!AN11/(d_Bv!M11+MLF_lettuce))*1,".")</f>
        <v>.</v>
      </c>
      <c r="AO11" s="70" t="str">
        <f>IFERROR((d_dir!AO11/(d_Bv!N11+MLF_lima_bean))*1,".")</f>
        <v>.</v>
      </c>
      <c r="AP11" s="70" t="str">
        <f>IFERROR((d_dir!AP11/(d_Bv!O11+MLF_okra))*1,".")</f>
        <v>.</v>
      </c>
      <c r="AQ11" s="70" t="str">
        <f>IFERROR((d_dir!AQ11/(d_Bv!P11+MLF_onion))*1,".")</f>
        <v>.</v>
      </c>
      <c r="AR11" s="70" t="str">
        <f>IFERROR((d_dir!AR11/(d_Bv!Q11+MLF_peach))*1,".")</f>
        <v>.</v>
      </c>
      <c r="AS11" s="70" t="str">
        <f>IFERROR((d_dir!AS11/(d_Bv!R11+MLF_pear))*1,".")</f>
        <v>.</v>
      </c>
      <c r="AT11" s="70" t="str">
        <f>IFERROR((d_dir!AT11/(d_Bv!S11+MLF_peas))*1,".")</f>
        <v>.</v>
      </c>
      <c r="AU11" s="70" t="str">
        <f>IFERROR((d_dir!AU11/(d_Bv!T11+MLF_peppers))*1,".")</f>
        <v>.</v>
      </c>
      <c r="AV11" s="70" t="str">
        <f>IFERROR((d_dir!AV11/(d_Bv!U11+MLF_potato))*1,".")</f>
        <v>.</v>
      </c>
      <c r="AW11" s="70" t="str">
        <f>IFERROR((d_dir!AW11/(d_Bv!V11+MLF_pumpkin))*1,".")</f>
        <v>.</v>
      </c>
      <c r="AX11" s="70" t="str">
        <f>IFERROR((d_dir!AX11/(d_Bv!W11+MLF_snap_bean))*1,".")</f>
        <v>.</v>
      </c>
      <c r="AY11" s="70" t="str">
        <f>IFERROR((d_dir!AY11/(d_Bv!X11+MLF_strawberry))*1,".")</f>
        <v>.</v>
      </c>
      <c r="AZ11" s="70" t="str">
        <f>IFERROR((d_dir!AZ11/(d_Bv!Y11+MLF_tomato))*1,".")</f>
        <v>.</v>
      </c>
      <c r="BA11" s="70" t="str">
        <f>IFERROR((d_dir!BA11/(d_Bv!Z11+MLF_rice))*1,".")</f>
        <v>.</v>
      </c>
      <c r="BB11" s="70" t="str">
        <f>IFERROR((d_dir!BB11/(d_Bv!AA11+MLF_cereal))*1,".")</f>
        <v>.</v>
      </c>
    </row>
    <row r="12" spans="1:54" ht="15" customHeight="1" x14ac:dyDescent="0.25">
      <c r="A12" s="86" t="s">
        <v>10</v>
      </c>
      <c r="B12" s="84" t="s">
        <v>1057</v>
      </c>
      <c r="C12" s="2" t="str">
        <f t="shared" si="0"/>
        <v>.</v>
      </c>
      <c r="D12" s="70" t="str">
        <f>IFERROR((d_dir!D12/(d_Bv!C12+MLF_apple)),".")</f>
        <v>.</v>
      </c>
      <c r="E12" s="70" t="str">
        <f>IFERROR((d_dir!E12/(d_Bv!D12+MLF_asparagus)),".")</f>
        <v>.</v>
      </c>
      <c r="F12" s="70" t="str">
        <f>IFERROR((d_dir!F12/(d_Bv!E12+MLF_beet)),".")</f>
        <v>.</v>
      </c>
      <c r="G12" s="70" t="str">
        <f>IFERROR((d_dir!G12/(d_Bv!F12+MLF_berries)),".")</f>
        <v>.</v>
      </c>
      <c r="H12" s="70" t="str">
        <f>IFERROR((d_dir!H12/(d_Bv!G12+MLF_broccoli)),".")</f>
        <v>.</v>
      </c>
      <c r="I12" s="70" t="str">
        <f>IFERROR((d_dir!I12/(d_Bv!H12+MLF_cabbage)),".")</f>
        <v>.</v>
      </c>
      <c r="J12" s="70" t="str">
        <f>IFERROR((d_dir!J12/(d_Bv!I12+MLF_carrot)),".")</f>
        <v>.</v>
      </c>
      <c r="K12" s="70" t="str">
        <f>IFERROR((d_dir!K12/(d_Bv!J12+MLF_citrus)),".")</f>
        <v>.</v>
      </c>
      <c r="L12" s="70" t="str">
        <f>IFERROR((d_dir!L12/(d_Bv!K12+MLF_corn)),".")</f>
        <v>.</v>
      </c>
      <c r="M12" s="70" t="str">
        <f>IFERROR((d_dir!M12/(d_Bv!L12+MLF_cucumber)),".")</f>
        <v>.</v>
      </c>
      <c r="N12" s="70" t="str">
        <f>IFERROR((d_dir!N12/(d_Bv!M12+MLF_lettuce)),".")</f>
        <v>.</v>
      </c>
      <c r="O12" s="70" t="str">
        <f>IFERROR((d_dir!O12/(d_Bv!N12+MLF_lima_bean)),".")</f>
        <v>.</v>
      </c>
      <c r="P12" s="70" t="str">
        <f>IFERROR((d_dir!P12/(d_Bv!O12+MLF_okra)),".")</f>
        <v>.</v>
      </c>
      <c r="Q12" s="70" t="str">
        <f>IFERROR((d_dir!Q12/(d_Bv!P12+MLF_onion)),".")</f>
        <v>.</v>
      </c>
      <c r="R12" s="70" t="str">
        <f>IFERROR((d_dir!R12/(d_Bv!Q12+MLF_peach)),".")</f>
        <v>.</v>
      </c>
      <c r="S12" s="70" t="str">
        <f>IFERROR((d_dir!S12/(d_Bv!R12+MLF_pear)),".")</f>
        <v>.</v>
      </c>
      <c r="T12" s="70" t="str">
        <f>IFERROR((d_dir!T12/(d_Bv!S12+MLF_peas)),".")</f>
        <v>.</v>
      </c>
      <c r="U12" s="70" t="str">
        <f>IFERROR((d_dir!U12/(d_Bv!T12+MLF_peppers)),".")</f>
        <v>.</v>
      </c>
      <c r="V12" s="70" t="str">
        <f>IFERROR((d_dir!V12/(d_Bv!U12+MLF_potato)),".")</f>
        <v>.</v>
      </c>
      <c r="W12" s="70" t="str">
        <f>IFERROR((d_dir!W12/(d_Bv!V12+MLF_pumpkin)),".")</f>
        <v>.</v>
      </c>
      <c r="X12" s="70" t="str">
        <f>IFERROR((d_dir!X12/(d_Bv!W12+MLF_snap_bean)),".")</f>
        <v>.</v>
      </c>
      <c r="Y12" s="70" t="str">
        <f>IFERROR((d_dir!Y12/(d_Bv!X12+MLF_strawberry)),".")</f>
        <v>.</v>
      </c>
      <c r="Z12" s="70" t="str">
        <f>IFERROR((d_dir!Z12/(d_Bv!Y12+MLF_tomato)),".")</f>
        <v>.</v>
      </c>
      <c r="AA12" s="70" t="str">
        <f>IFERROR((d_dir!AA12/(d_Bv!D12+MLF_rice)),".")</f>
        <v>.</v>
      </c>
      <c r="AB12" s="70" t="str">
        <f>IFERROR((d_dir!AB12/(d_Bv!AA12+MLF_cereal)),".")</f>
        <v>.</v>
      </c>
      <c r="AC12" s="70" t="str">
        <f t="shared" si="1"/>
        <v>.</v>
      </c>
      <c r="AD12" s="70" t="str">
        <f>IFERROR((d_dir!AD12/(d_Bv!C12+MLF_apple))*1,".")</f>
        <v>.</v>
      </c>
      <c r="AE12" s="70" t="str">
        <f>IFERROR((d_dir!AE12/(d_Bv!D12+MLF_asparagus))*1,".")</f>
        <v>.</v>
      </c>
      <c r="AF12" s="70" t="str">
        <f>IFERROR((d_dir!AF12/(d_Bv!E12+MLF_beet))*1,".")</f>
        <v>.</v>
      </c>
      <c r="AG12" s="70" t="str">
        <f>IFERROR((d_dir!AG12/(d_Bv!F12+MLF_berries))*1,".")</f>
        <v>.</v>
      </c>
      <c r="AH12" s="70" t="str">
        <f>IFERROR((d_dir!AH12/(d_Bv!G12+MLF_broccoli))*1,".")</f>
        <v>.</v>
      </c>
      <c r="AI12" s="70" t="str">
        <f>IFERROR((d_dir!AI12/(d_Bv!H12+MLF_cabbage))*1,".")</f>
        <v>.</v>
      </c>
      <c r="AJ12" s="70" t="str">
        <f>IFERROR((d_dir!AJ12/(d_Bv!I12+MLF_carrot))*1,".")</f>
        <v>.</v>
      </c>
      <c r="AK12" s="70" t="str">
        <f>IFERROR((d_dir!AK12/(d_Bv!J12+MLF_citrus))*1,".")</f>
        <v>.</v>
      </c>
      <c r="AL12" s="70" t="str">
        <f>IFERROR((d_dir!AL12/(d_Bv!K12+MLF_corn))*1,".")</f>
        <v>.</v>
      </c>
      <c r="AM12" s="70" t="str">
        <f>IFERROR((d_dir!AM12/(d_Bv!L12+MLF_cucumber))*1,".")</f>
        <v>.</v>
      </c>
      <c r="AN12" s="70" t="str">
        <f>IFERROR((d_dir!AN12/(d_Bv!M12+MLF_lettuce))*1,".")</f>
        <v>.</v>
      </c>
      <c r="AO12" s="70" t="str">
        <f>IFERROR((d_dir!AO12/(d_Bv!N12+MLF_lima_bean))*1,".")</f>
        <v>.</v>
      </c>
      <c r="AP12" s="70" t="str">
        <f>IFERROR((d_dir!AP12/(d_Bv!O12+MLF_okra))*1,".")</f>
        <v>.</v>
      </c>
      <c r="AQ12" s="70" t="str">
        <f>IFERROR((d_dir!AQ12/(d_Bv!P12+MLF_onion))*1,".")</f>
        <v>.</v>
      </c>
      <c r="AR12" s="70" t="str">
        <f>IFERROR((d_dir!AR12/(d_Bv!Q12+MLF_peach))*1,".")</f>
        <v>.</v>
      </c>
      <c r="AS12" s="70" t="str">
        <f>IFERROR((d_dir!AS12/(d_Bv!R12+MLF_pear))*1,".")</f>
        <v>.</v>
      </c>
      <c r="AT12" s="70" t="str">
        <f>IFERROR((d_dir!AT12/(d_Bv!S12+MLF_peas))*1,".")</f>
        <v>.</v>
      </c>
      <c r="AU12" s="70" t="str">
        <f>IFERROR((d_dir!AU12/(d_Bv!T12+MLF_peppers))*1,".")</f>
        <v>.</v>
      </c>
      <c r="AV12" s="70" t="str">
        <f>IFERROR((d_dir!AV12/(d_Bv!U12+MLF_potato))*1,".")</f>
        <v>.</v>
      </c>
      <c r="AW12" s="70" t="str">
        <f>IFERROR((d_dir!AW12/(d_Bv!V12+MLF_pumpkin))*1,".")</f>
        <v>.</v>
      </c>
      <c r="AX12" s="70" t="str">
        <f>IFERROR((d_dir!AX12/(d_Bv!W12+MLF_snap_bean))*1,".")</f>
        <v>.</v>
      </c>
      <c r="AY12" s="70" t="str">
        <f>IFERROR((d_dir!AY12/(d_Bv!X12+MLF_strawberry))*1,".")</f>
        <v>.</v>
      </c>
      <c r="AZ12" s="70" t="str">
        <f>IFERROR((d_dir!AZ12/(d_Bv!Y12+MLF_tomato))*1,".")</f>
        <v>.</v>
      </c>
      <c r="BA12" s="70" t="str">
        <f>IFERROR((d_dir!BA12/(d_Bv!Z12+MLF_rice))*1,".")</f>
        <v>.</v>
      </c>
      <c r="BB12" s="70" t="str">
        <f>IFERROR((d_dir!BB12/(d_Bv!AA12+MLF_cereal))*1,".")</f>
        <v>.</v>
      </c>
    </row>
    <row r="13" spans="1:54" ht="15" customHeight="1" x14ac:dyDescent="0.25">
      <c r="A13" s="86" t="s">
        <v>11</v>
      </c>
      <c r="B13" s="84" t="s">
        <v>1057</v>
      </c>
      <c r="C13" s="2">
        <f t="shared" si="0"/>
        <v>0.44760999417388642</v>
      </c>
      <c r="D13" s="70">
        <f>IFERROR((d_dir!D13/(d_Bv!C13+MLF_apple)),".")</f>
        <v>182.80738122551418</v>
      </c>
      <c r="E13" s="70">
        <f>IFERROR((d_dir!E13/(d_Bv!D13+MLF_asparagus)),".")</f>
        <v>6.7868367148486151</v>
      </c>
      <c r="F13" s="70">
        <f>IFERROR((d_dir!F13/(d_Bv!E13+MLF_beet)),".")</f>
        <v>10.013272463980456</v>
      </c>
      <c r="G13" s="70">
        <f>IFERROR((d_dir!G13/(d_Bv!F13+MLF_berries)),".")</f>
        <v>405.77488880259068</v>
      </c>
      <c r="H13" s="70">
        <f>IFERROR((d_dir!H13/(d_Bv!G13+MLF_broccoli)),".")</f>
        <v>12.253162868514957</v>
      </c>
      <c r="I13" s="70">
        <f>IFERROR((d_dir!I13/(d_Bv!H13+MLF_cabbage)),".")</f>
        <v>3.3398381761498976</v>
      </c>
      <c r="J13" s="70">
        <f>IFERROR((d_dir!J13/(d_Bv!I13+MLF_carrot)),".")</f>
        <v>11.551427223080431</v>
      </c>
      <c r="K13" s="70">
        <f>IFERROR((d_dir!K13/(d_Bv!J13+MLF_citrus)),".")</f>
        <v>47.700964435584346</v>
      </c>
      <c r="L13" s="70">
        <f>IFERROR((d_dir!L13/(d_Bv!K13+MLF_corn)),".")</f>
        <v>24.168371637660922</v>
      </c>
      <c r="M13" s="70">
        <f>IFERROR((d_dir!M13/(d_Bv!L13+MLF_cucumber)),".")</f>
        <v>4.9624578562677275</v>
      </c>
      <c r="N13" s="70">
        <f>IFERROR((d_dir!N13/(d_Bv!M13+MLF_lettuce)),".")</f>
        <v>5.2523496390213538</v>
      </c>
      <c r="O13" s="70">
        <f>IFERROR((d_dir!O13/(d_Bv!N13+MLF_lima_bean)),".")</f>
        <v>9.5168163569873805</v>
      </c>
      <c r="P13" s="70">
        <f>IFERROR((d_dir!P13/(d_Bv!O13+MLF_okra)),".")</f>
        <v>13.362602957018424</v>
      </c>
      <c r="Q13" s="70">
        <f>IFERROR((d_dir!Q13/(d_Bv!P13+MLF_onion)),".")</f>
        <v>15.607840646102758</v>
      </c>
      <c r="R13" s="70">
        <f>IFERROR((d_dir!R13/(d_Bv!Q13+MLF_peach)),".")</f>
        <v>119.96341790548107</v>
      </c>
      <c r="S13" s="70">
        <f>IFERROR((d_dir!S13/(d_Bv!R13+MLF_pear)),".")</f>
        <v>239.47607209418766</v>
      </c>
      <c r="T13" s="70">
        <f>IFERROR((d_dir!T13/(d_Bv!S13+MLF_peas)),".")</f>
        <v>11.186485409289466</v>
      </c>
      <c r="U13" s="70">
        <f>IFERROR((d_dir!U13/(d_Bv!T13+MLF_peppers)),".")</f>
        <v>19.018898988634291</v>
      </c>
      <c r="V13" s="70">
        <f>IFERROR((d_dir!V13/(d_Bv!U13+MLF_potato)),".")</f>
        <v>9.5647182421877819</v>
      </c>
      <c r="W13" s="70">
        <f>IFERROR((d_dir!W13/(d_Bv!V13+MLF_pumpkin)),".")</f>
        <v>6.3621287931131594</v>
      </c>
      <c r="X13" s="70">
        <f>IFERROR((d_dir!X13/(d_Bv!W13+MLF_snap_bean)),".")</f>
        <v>5.8579384750241115</v>
      </c>
      <c r="Y13" s="70">
        <f>IFERROR((d_dir!Y13/(d_Bv!X13+MLF_strawberry)),".")</f>
        <v>432.5127933094293</v>
      </c>
      <c r="Z13" s="70">
        <f>IFERROR((d_dir!Z13/(d_Bv!Y13+MLF_tomato)),".")</f>
        <v>4.4666546176480866</v>
      </c>
      <c r="AA13" s="70">
        <f>IFERROR((d_dir!AA13/(d_Bv!D13+MLF_rice)),".")</f>
        <v>0.3076411150866839</v>
      </c>
      <c r="AB13" s="70">
        <f>IFERROR((d_dir!AB13/(d_Bv!AA13+MLF_cereal)),".")</f>
        <v>0.38645536467560881</v>
      </c>
      <c r="AC13" s="70">
        <f t="shared" si="1"/>
        <v>0.4207720211563013</v>
      </c>
      <c r="AD13" s="70">
        <f>IFERROR((d_dir!AD13/(d_Bv!C13+MLF_apple))*1,".")</f>
        <v>158.95814223791146</v>
      </c>
      <c r="AE13" s="70">
        <f>IFERROR((d_dir!AE13/(d_Bv!D13+MLF_asparagus))*1,".")</f>
        <v>6.3599868785314007</v>
      </c>
      <c r="AF13" s="70">
        <f>IFERROR((d_dir!AF13/(d_Bv!E13+MLF_beet))*1,".")</f>
        <v>9.2584564374985838</v>
      </c>
      <c r="AG13" s="70">
        <f>IFERROR((d_dir!AG13/(d_Bv!F13+MLF_berries))*1,".")</f>
        <v>395.13161303071951</v>
      </c>
      <c r="AH13" s="70">
        <f>IFERROR((d_dir!AH13/(d_Bv!G13+MLF_broccoli))*1,".")</f>
        <v>10.413912271619457</v>
      </c>
      <c r="AI13" s="70">
        <f>IFERROR((d_dir!AI13/(d_Bv!H13+MLF_cabbage))*1,".")</f>
        <v>3.292363986690432</v>
      </c>
      <c r="AJ13" s="70">
        <f>IFERROR((d_dir!AJ13/(d_Bv!I13+MLF_carrot))*1,".")</f>
        <v>12.313043014886263</v>
      </c>
      <c r="AK13" s="70">
        <f>IFERROR((d_dir!AK13/(d_Bv!J13+MLF_citrus))*1,".")</f>
        <v>46.384962877509032</v>
      </c>
      <c r="AL13" s="70">
        <f>IFERROR((d_dir!AL13/(d_Bv!K13+MLF_corn))*1,".")</f>
        <v>16.763007446503764</v>
      </c>
      <c r="AM13" s="70">
        <f>IFERROR((d_dir!AM13/(d_Bv!L13+MLF_cucumber))*1,".")</f>
        <v>6.9729050464184645</v>
      </c>
      <c r="AN13" s="70">
        <f>IFERROR((d_dir!AN13/(d_Bv!M13+MLF_lettuce))*1,".")</f>
        <v>4.8110230520996433</v>
      </c>
      <c r="AO13" s="70">
        <f>IFERROR((d_dir!AO13/(d_Bv!N13+MLF_lima_bean))*1,".")</f>
        <v>9.2347049083854191</v>
      </c>
      <c r="AP13" s="70">
        <f>IFERROR((d_dir!AP13/(d_Bv!O13+MLF_okra))*1,".")</f>
        <v>12.53878009581509</v>
      </c>
      <c r="AQ13" s="70">
        <f>IFERROR((d_dir!AQ13/(d_Bv!P13+MLF_onion))*1,".")</f>
        <v>11.490655226181364</v>
      </c>
      <c r="AR13" s="70">
        <f>IFERROR((d_dir!AR13/(d_Bv!Q13+MLF_peach))*1,".")</f>
        <v>134.10847191924708</v>
      </c>
      <c r="AS13" s="70">
        <f>IFERROR((d_dir!AS13/(d_Bv!R13+MLF_pear))*1,".")</f>
        <v>213.94899867723356</v>
      </c>
      <c r="AT13" s="70">
        <f>IFERROR((d_dir!AT13/(d_Bv!S13+MLF_peas))*1,".")</f>
        <v>12.019489737227197</v>
      </c>
      <c r="AU13" s="70">
        <f>IFERROR((d_dir!AU13/(d_Bv!T13+MLF_peppers))*1,".")</f>
        <v>14.259957682773454</v>
      </c>
      <c r="AV13" s="70">
        <f>IFERROR((d_dir!AV13/(d_Bv!U13+MLF_potato))*1,".")</f>
        <v>8.1414458532400644</v>
      </c>
      <c r="AW13" s="70">
        <f>IFERROR((d_dir!AW13/(d_Bv!V13+MLF_pumpkin))*1,".")</f>
        <v>5.98544357159457</v>
      </c>
      <c r="AX13" s="70">
        <f>IFERROR((d_dir!AX13/(d_Bv!W13+MLF_snap_bean))*1,".")</f>
        <v>5.5461244479613034</v>
      </c>
      <c r="AY13" s="70">
        <f>IFERROR((d_dir!AY13/(d_Bv!X13+MLF_strawberry))*1,".")</f>
        <v>420.78059692303668</v>
      </c>
      <c r="AZ13" s="70">
        <f>IFERROR((d_dir!AZ13/(d_Bv!Y13+MLF_tomato))*1,".")</f>
        <v>3.6237244240613151</v>
      </c>
      <c r="BA13" s="70">
        <f>IFERROR((d_dir!BA13/(d_Bv!Z13+MLF_rice))*1,".")</f>
        <v>0.25004123140836981</v>
      </c>
      <c r="BB13" s="70">
        <f>IFERROR((d_dir!BB13/(d_Bv!AA13+MLF_cereal))*1,".")</f>
        <v>0.3080531015879423</v>
      </c>
    </row>
    <row r="14" spans="1:54" ht="15" customHeight="1" x14ac:dyDescent="0.25">
      <c r="A14" s="86" t="s">
        <v>12</v>
      </c>
      <c r="B14" s="84" t="s">
        <v>1057</v>
      </c>
      <c r="C14" s="2">
        <f t="shared" si="0"/>
        <v>40.607889375364316</v>
      </c>
      <c r="D14" s="70">
        <f>IFERROR((d_dir!D14/(d_Bv!C14+MLF_apple)),".")</f>
        <v>783.77955891098964</v>
      </c>
      <c r="E14" s="70">
        <f>IFERROR((d_dir!E14/(d_Bv!D14+MLF_asparagus)),".")</f>
        <v>1726.707039026028</v>
      </c>
      <c r="F14" s="70">
        <f>IFERROR((d_dir!F14/(d_Bv!E14+MLF_beet)),".")</f>
        <v>2070.6095447932112</v>
      </c>
      <c r="G14" s="70">
        <f>IFERROR((d_dir!G14/(d_Bv!F14+MLF_berries)),".")</f>
        <v>1761.3962221629217</v>
      </c>
      <c r="H14" s="70">
        <f>IFERROR((d_dir!H14/(d_Bv!G14+MLF_broccoli)),".")</f>
        <v>2003.4526646787128</v>
      </c>
      <c r="I14" s="70">
        <f>IFERROR((d_dir!I14/(d_Bv!H14+MLF_cabbage)),".")</f>
        <v>848.34909365059866</v>
      </c>
      <c r="J14" s="70">
        <f>IFERROR((d_dir!J14/(d_Bv!I14+MLF_carrot)),".")</f>
        <v>2393.9368368155428</v>
      </c>
      <c r="K14" s="70">
        <f>IFERROR((d_dir!K14/(d_Bv!J14+MLF_citrus)),".")</f>
        <v>203.24224772456938</v>
      </c>
      <c r="L14" s="70">
        <f>IFERROR((d_dir!L14/(d_Bv!K14+MLF_corn)),".")</f>
        <v>1115.572286581624</v>
      </c>
      <c r="M14" s="70">
        <f>IFERROR((d_dir!M14/(d_Bv!L14+MLF_cucumber)),".")</f>
        <v>844.37571425538181</v>
      </c>
      <c r="N14" s="70">
        <f>IFERROR((d_dir!N14/(d_Bv!M14+MLF_lettuce)),".")</f>
        <v>857.18955665846579</v>
      </c>
      <c r="O14" s="70">
        <f>IFERROR((d_dir!O14/(d_Bv!N14+MLF_lima_bean)),".")</f>
        <v>1357.359417904966</v>
      </c>
      <c r="P14" s="70">
        <f>IFERROR((d_dir!P14/(d_Bv!O14+MLF_okra)),".")</f>
        <v>2269.6821400659601</v>
      </c>
      <c r="Q14" s="70">
        <f>IFERROR((d_dir!Q14/(d_Bv!P14+MLF_onion)),".")</f>
        <v>3234.5946474212697</v>
      </c>
      <c r="R14" s="70">
        <f>IFERROR((d_dir!R14/(d_Bv!Q14+MLF_peach)),".")</f>
        <v>503.65295246927235</v>
      </c>
      <c r="S14" s="70">
        <f>IFERROR((d_dir!S14/(d_Bv!R14+MLF_pear)),".")</f>
        <v>1026.744373763406</v>
      </c>
      <c r="T14" s="70">
        <f>IFERROR((d_dir!T14/(d_Bv!S14+MLF_peas)),".")</f>
        <v>1787.8862903273853</v>
      </c>
      <c r="U14" s="70">
        <f>IFERROR((d_dir!U14/(d_Bv!T14+MLF_peppers)),".")</f>
        <v>2980.1038532071839</v>
      </c>
      <c r="V14" s="70">
        <f>IFERROR((d_dir!V14/(d_Bv!U14+MLF_potato)),".")</f>
        <v>524.28810149112758</v>
      </c>
      <c r="W14" s="70">
        <f>IFERROR((d_dir!W14/(d_Bv!V14+MLF_pumpkin)),".")</f>
        <v>1081.6744110111863</v>
      </c>
      <c r="X14" s="70">
        <f>IFERROR((d_dir!X14/(d_Bv!W14+MLF_snap_bean)),".")</f>
        <v>813.602565975571</v>
      </c>
      <c r="Y14" s="70">
        <f>IFERROR((d_dir!Y14/(d_Bv!X14+MLF_strawberry)),".")</f>
        <v>1544.0384260911112</v>
      </c>
      <c r="Z14" s="70">
        <f>IFERROR((d_dir!Z14/(d_Bv!Y14+MLF_tomato)),".")</f>
        <v>710.47477046566985</v>
      </c>
      <c r="AA14" s="70">
        <f>IFERROR((d_dir!AA14/(d_Bv!D14+MLF_rice)),".")</f>
        <v>31.037510518287966</v>
      </c>
      <c r="AB14" s="70">
        <f>IFERROR((d_dir!AB14/(d_Bv!AA14+MLF_cereal)),".")</f>
        <v>35.59679550060514</v>
      </c>
      <c r="AC14" s="70">
        <f t="shared" si="1"/>
        <v>38.110334888297167</v>
      </c>
      <c r="AD14" s="70">
        <f>IFERROR((d_dir!AD14/(d_Bv!C14+MLF_apple))*1,".")</f>
        <v>681.52687147159907</v>
      </c>
      <c r="AE14" s="70">
        <f>IFERROR((d_dir!AE14/(d_Bv!D14+MLF_asparagus))*1,".")</f>
        <v>1618.10790102651</v>
      </c>
      <c r="AF14" s="70">
        <f>IFERROR((d_dir!AF14/(d_Bv!E14+MLF_beet))*1,".")</f>
        <v>1914.5237821598273</v>
      </c>
      <c r="AG14" s="70">
        <f>IFERROR((d_dir!AG14/(d_Bv!F14+MLF_berries))*1,".")</f>
        <v>1715.1956655160257</v>
      </c>
      <c r="AH14" s="70">
        <f>IFERROR((d_dir!AH14/(d_Bv!G14+MLF_broccoli))*1,".")</f>
        <v>1702.7261054300316</v>
      </c>
      <c r="AI14" s="70">
        <f>IFERROR((d_dir!AI14/(d_Bv!H14+MLF_cabbage))*1,".")</f>
        <v>836.29022029339808</v>
      </c>
      <c r="AJ14" s="70">
        <f>IFERROR((d_dir!AJ14/(d_Bv!I14+MLF_carrot))*1,".")</f>
        <v>2551.7753501259535</v>
      </c>
      <c r="AK14" s="70">
        <f>IFERROR((d_dir!AK14/(d_Bv!J14+MLF_citrus))*1,".")</f>
        <v>197.63508405739759</v>
      </c>
      <c r="AL14" s="70">
        <f>IFERROR((d_dir!AL14/(d_Bv!K14+MLF_corn))*1,".")</f>
        <v>773.7528546582239</v>
      </c>
      <c r="AM14" s="70">
        <f>IFERROR((d_dir!AM14/(d_Bv!L14+MLF_cucumber))*1,".")</f>
        <v>1186.4587769885331</v>
      </c>
      <c r="AN14" s="70">
        <f>IFERROR((d_dir!AN14/(d_Bv!M14+MLF_lettuce))*1,".")</f>
        <v>785.1645454949853</v>
      </c>
      <c r="AO14" s="70">
        <f>IFERROR((d_dir!AO14/(d_Bv!N14+MLF_lima_bean))*1,".")</f>
        <v>1317.1225763715538</v>
      </c>
      <c r="AP14" s="70">
        <f>IFERROR((d_dir!AP14/(d_Bv!O14+MLF_okra))*1,".")</f>
        <v>2129.7531127151046</v>
      </c>
      <c r="AQ14" s="70">
        <f>IFERROR((d_dir!AQ14/(d_Bv!P14+MLF_onion))*1,".")</f>
        <v>2381.3423479083349</v>
      </c>
      <c r="AR14" s="70">
        <f>IFERROR((d_dir!AR14/(d_Bv!Q14+MLF_peach))*1,".")</f>
        <v>563.0393749408604</v>
      </c>
      <c r="AS14" s="70">
        <f>IFERROR((d_dir!AS14/(d_Bv!R14+MLF_pear))*1,".")</f>
        <v>917.29803626378919</v>
      </c>
      <c r="AT14" s="70">
        <f>IFERROR((d_dir!AT14/(d_Bv!S14+MLF_peas))*1,".")</f>
        <v>1921.0216731766304</v>
      </c>
      <c r="AU14" s="70">
        <f>IFERROR((d_dir!AU14/(d_Bv!T14+MLF_peppers))*1,".")</f>
        <v>2234.4171901012933</v>
      </c>
      <c r="AV14" s="70">
        <f>IFERROR((d_dir!AV14/(d_Bv!U14+MLF_potato))*1,".")</f>
        <v>446.27171252790617</v>
      </c>
      <c r="AW14" s="70">
        <f>IFERROR((d_dir!AW14/(d_Bv!V14+MLF_pumpkin))*1,".")</f>
        <v>1017.6312615603621</v>
      </c>
      <c r="AX14" s="70">
        <f>IFERROR((d_dir!AX14/(d_Bv!W14+MLF_snap_bean))*1,".")</f>
        <v>770.29506221684778</v>
      </c>
      <c r="AY14" s="70">
        <f>IFERROR((d_dir!AY14/(d_Bv!X14+MLF_strawberry))*1,".")</f>
        <v>1502.1553596864658</v>
      </c>
      <c r="AZ14" s="70">
        <f>IFERROR((d_dir!AZ14/(d_Bv!Y14+MLF_tomato))*1,".")</f>
        <v>576.39665449920972</v>
      </c>
      <c r="BA14" s="70">
        <f>IFERROR((d_dir!BA14/(d_Bv!Z14+MLF_rice))*1,".")</f>
        <v>24.588844871889513</v>
      </c>
      <c r="BB14" s="70">
        <f>IFERROR((d_dir!BB14/(d_Bv!AA14+MLF_cereal))*1,".")</f>
        <v>28.375083548801939</v>
      </c>
    </row>
    <row r="15" spans="1:54" ht="15" customHeight="1" x14ac:dyDescent="0.25">
      <c r="A15" s="86" t="s">
        <v>13</v>
      </c>
      <c r="B15" s="84" t="s">
        <v>1057</v>
      </c>
      <c r="C15" s="2">
        <f t="shared" si="0"/>
        <v>443.34942778640499</v>
      </c>
      <c r="D15" s="70">
        <f>IFERROR((d_dir!D15/(d_Bv!C15+MLF_apple)),".")</f>
        <v>13849.919916499417</v>
      </c>
      <c r="E15" s="70">
        <f>IFERROR((d_dir!E15/(d_Bv!D15+MLF_asparagus)),".")</f>
        <v>3840.349877583772</v>
      </c>
      <c r="F15" s="70">
        <f>IFERROR((d_dir!F15/(d_Bv!E15+MLF_beet)),".")</f>
        <v>24503.90651959131</v>
      </c>
      <c r="G15" s="70">
        <f>IFERROR((d_dir!G15/(d_Bv!F15+MLF_berries)),".")</f>
        <v>31125.073805288575</v>
      </c>
      <c r="H15" s="70">
        <f>IFERROR((d_dir!H15/(d_Bv!G15+MLF_broccoli)),".")</f>
        <v>24346.043985484866</v>
      </c>
      <c r="I15" s="70">
        <f>IFERROR((d_dir!I15/(d_Bv!H15+MLF_cabbage)),".")</f>
        <v>1891.0570138687408</v>
      </c>
      <c r="J15" s="70">
        <f>IFERROR((d_dir!J15/(d_Bv!I15+MLF_carrot)),".")</f>
        <v>28292.265055941269</v>
      </c>
      <c r="K15" s="70">
        <f>IFERROR((d_dir!K15/(d_Bv!J15+MLF_citrus)),".")</f>
        <v>3591.4292770606639</v>
      </c>
      <c r="L15" s="70">
        <f>IFERROR((d_dir!L15/(d_Bv!K15+MLF_corn)),".")</f>
        <v>148689.67536594119</v>
      </c>
      <c r="M15" s="70">
        <f>IFERROR((d_dir!M15/(d_Bv!L15+MLF_cucumber)),".")</f>
        <v>9960.357801670978</v>
      </c>
      <c r="N15" s="70">
        <f>IFERROR((d_dir!N15/(d_Bv!M15+MLF_lettuce)),".")</f>
        <v>3807.0313406990681</v>
      </c>
      <c r="O15" s="70">
        <f>IFERROR((d_dir!O15/(d_Bv!N15+MLF_lima_bean)),".")</f>
        <v>36332.860598298117</v>
      </c>
      <c r="P15" s="70">
        <f>IFERROR((d_dir!P15/(d_Bv!O15+MLF_okra)),".")</f>
        <v>26808.811446370488</v>
      </c>
      <c r="Q15" s="70">
        <f>IFERROR((d_dir!Q15/(d_Bv!P15+MLF_onion)),".")</f>
        <v>38227.411728667408</v>
      </c>
      <c r="R15" s="70">
        <f>IFERROR((d_dir!R15/(d_Bv!Q15+MLF_peach)),".")</f>
        <v>8899.8915295775023</v>
      </c>
      <c r="S15" s="70">
        <f>IFERROR((d_dir!S15/(d_Bv!R15+MLF_pear)),".")</f>
        <v>18143.274074534082</v>
      </c>
      <c r="T15" s="70">
        <f>IFERROR((d_dir!T15/(d_Bv!S15+MLF_peas)),".")</f>
        <v>58699.39730956639</v>
      </c>
      <c r="U15" s="70">
        <f>IFERROR((d_dir!U15/(d_Bv!T15+MLF_peppers)),".")</f>
        <v>37369.973268041715</v>
      </c>
      <c r="V15" s="70">
        <f>IFERROR((d_dir!V15/(d_Bv!U15+MLF_potato)),".")</f>
        <v>55316.279554210792</v>
      </c>
      <c r="W15" s="70">
        <f>IFERROR((d_dir!W15/(d_Bv!V15+MLF_pumpkin)),".")</f>
        <v>12767.157724851391</v>
      </c>
      <c r="X15" s="70">
        <f>IFERROR((d_dir!X15/(d_Bv!W15+MLF_snap_bean)),".")</f>
        <v>20937.251668572422</v>
      </c>
      <c r="Y15" s="70">
        <f>IFERROR((d_dir!Y15/(d_Bv!X15+MLF_strawberry)),".")</f>
        <v>27284.213151810804</v>
      </c>
      <c r="Z15" s="70">
        <f>IFERROR((d_dir!Z15/(d_Bv!Y15+MLF_tomato)),".")</f>
        <v>8811.4096009263321</v>
      </c>
      <c r="AA15" s="70">
        <f>IFERROR((d_dir!AA15/(d_Bv!D15+MLF_rice)),".")</f>
        <v>432.11527361471872</v>
      </c>
      <c r="AB15" s="70">
        <f>IFERROR((d_dir!AB15/(d_Bv!AA15+MLF_cereal)),".")</f>
        <v>626.60964244244838</v>
      </c>
      <c r="AC15" s="70">
        <f t="shared" si="1"/>
        <v>423.70966121084354</v>
      </c>
      <c r="AD15" s="70">
        <f>IFERROR((d_dir!AD15/(d_Bv!C15+MLF_apple))*1,".")</f>
        <v>12043.045118373637</v>
      </c>
      <c r="AE15" s="70">
        <f>IFERROR((d_dir!AE15/(d_Bv!D15+MLF_asparagus))*1,".")</f>
        <v>3598.8157453331737</v>
      </c>
      <c r="AF15" s="70">
        <f>IFERROR((d_dir!AF15/(d_Bv!E15+MLF_beet))*1,".")</f>
        <v>22656.763997610171</v>
      </c>
      <c r="AG15" s="70">
        <f>IFERROR((d_dir!AG15/(d_Bv!F15+MLF_berries))*1,".")</f>
        <v>30308.678426789207</v>
      </c>
      <c r="AH15" s="70">
        <f>IFERROR((d_dir!AH15/(d_Bv!G15+MLF_broccoli))*1,".")</f>
        <v>20691.601747766195</v>
      </c>
      <c r="AI15" s="70">
        <f>IFERROR((d_dir!AI15/(d_Bv!H15+MLF_cabbage))*1,".")</f>
        <v>1864.1765501396419</v>
      </c>
      <c r="AJ15" s="70">
        <f>IFERROR((d_dir!AJ15/(d_Bv!I15+MLF_carrot))*1,".")</f>
        <v>30157.648045976242</v>
      </c>
      <c r="AK15" s="70">
        <f>IFERROR((d_dir!AK15/(d_Bv!J15+MLF_citrus))*1,".")</f>
        <v>3492.3468668777086</v>
      </c>
      <c r="AL15" s="70">
        <f>IFERROR((d_dir!AL15/(d_Bv!K15+MLF_corn))*1,".")</f>
        <v>103130.0814446897</v>
      </c>
      <c r="AM15" s="70">
        <f>IFERROR((d_dir!AM15/(d_Bv!L15+MLF_cucumber))*1,".")</f>
        <v>13995.610882958817</v>
      </c>
      <c r="AN15" s="70">
        <f>IFERROR((d_dir!AN15/(d_Bv!M15+MLF_lettuce))*1,".")</f>
        <v>3487.1470482649952</v>
      </c>
      <c r="AO15" s="70">
        <f>IFERROR((d_dir!AO15/(d_Bv!N15+MLF_lima_bean))*1,".")</f>
        <v>35255.828579316963</v>
      </c>
      <c r="AP15" s="70">
        <f>IFERROR((d_dir!AP15/(d_Bv!O15+MLF_okra))*1,".")</f>
        <v>25156.011327841959</v>
      </c>
      <c r="AQ15" s="70">
        <f>IFERROR((d_dir!AQ15/(d_Bv!P15+MLF_onion))*1,".")</f>
        <v>28143.419600653131</v>
      </c>
      <c r="AR15" s="70">
        <f>IFERROR((d_dir!AR15/(d_Bv!Q15+MLF_peach))*1,".")</f>
        <v>9949.2901595975345</v>
      </c>
      <c r="AS15" s="70">
        <f>IFERROR((d_dir!AS15/(d_Bv!R15+MLF_pear))*1,".")</f>
        <v>16209.282568516757</v>
      </c>
      <c r="AT15" s="70">
        <f>IFERROR((d_dir!AT15/(d_Bv!S15+MLF_peas))*1,".")</f>
        <v>63070.462055746662</v>
      </c>
      <c r="AU15" s="70">
        <f>IFERROR((d_dir!AU15/(d_Bv!T15+MLF_peppers))*1,".")</f>
        <v>28019.194892780495</v>
      </c>
      <c r="AV15" s="70">
        <f>IFERROR((d_dir!AV15/(d_Bv!U15+MLF_potato))*1,".")</f>
        <v>47084.97243618605</v>
      </c>
      <c r="AW15" s="70">
        <f>IFERROR((d_dir!AW15/(d_Bv!V15+MLF_pumpkin))*1,".")</f>
        <v>12011.247275356211</v>
      </c>
      <c r="AX15" s="70">
        <f>IFERROR((d_dir!AX15/(d_Bv!W15+MLF_snap_bean))*1,".")</f>
        <v>19822.776194608316</v>
      </c>
      <c r="AY15" s="70">
        <f>IFERROR((d_dir!AY15/(d_Bv!X15+MLF_strawberry))*1,".")</f>
        <v>26544.1107735761</v>
      </c>
      <c r="AZ15" s="70">
        <f>IFERROR((d_dir!AZ15/(d_Bv!Y15+MLF_tomato))*1,".")</f>
        <v>7148.5536524643785</v>
      </c>
      <c r="BA15" s="70">
        <f>IFERROR((d_dir!BA15/(d_Bv!Z15+MLF_rice))*1,".")</f>
        <v>451.35816803418237</v>
      </c>
      <c r="BB15" s="70">
        <f>IFERROR((d_dir!BB15/(d_Bv!AA15+MLF_cereal))*1,".")</f>
        <v>499.48599885872102</v>
      </c>
    </row>
    <row r="16" spans="1:54" ht="15" customHeight="1" x14ac:dyDescent="0.25">
      <c r="A16" s="86" t="s">
        <v>14</v>
      </c>
      <c r="B16" s="84" t="s">
        <v>1057</v>
      </c>
      <c r="C16" s="2">
        <f t="shared" si="0"/>
        <v>3.2468825740827906E-2</v>
      </c>
      <c r="D16" s="70">
        <f>IFERROR((d_dir!D16/(d_Bv!C16+MLF_apple)),".")</f>
        <v>1.0143029585906926</v>
      </c>
      <c r="E16" s="70">
        <f>IFERROR((d_dir!E16/(d_Bv!D16+MLF_asparagus)),".")</f>
        <v>0.2812491527995174</v>
      </c>
      <c r="F16" s="70">
        <f>IFERROR((d_dir!F16/(d_Bv!E16+MLF_beet)),".")</f>
        <v>1.7945508009935984</v>
      </c>
      <c r="G16" s="70">
        <f>IFERROR((d_dir!G16/(d_Bv!F16+MLF_berries)),".")</f>
        <v>2.2794539345637812</v>
      </c>
      <c r="H16" s="70">
        <f>IFERROR((d_dir!H16/(d_Bv!G16+MLF_broccoli)),".")</f>
        <v>1.7829896918781563</v>
      </c>
      <c r="I16" s="70">
        <f>IFERROR((d_dir!I16/(d_Bv!H16+MLF_cabbage)),".")</f>
        <v>0.13849211660391661</v>
      </c>
      <c r="J16" s="70">
        <f>IFERROR((d_dir!J16/(d_Bv!I16+MLF_carrot)),".")</f>
        <v>2.0719923526262871</v>
      </c>
      <c r="K16" s="70">
        <f>IFERROR((d_dir!K16/(d_Bv!J16+MLF_citrus)),".")</f>
        <v>0.26301937940826631</v>
      </c>
      <c r="L16" s="70">
        <f>IFERROR((d_dir!L16/(d_Bv!K16+MLF_corn)),".")</f>
        <v>10.889332107682163</v>
      </c>
      <c r="M16" s="70">
        <f>IFERROR((d_dir!M16/(d_Bv!L16+MLF_cucumber)),".")</f>
        <v>0.72944973312237471</v>
      </c>
      <c r="N16" s="70">
        <f>IFERROR((d_dir!N16/(d_Bv!M16+MLF_lettuce)),".")</f>
        <v>0.27880905995119648</v>
      </c>
      <c r="O16" s="70">
        <f>IFERROR((d_dir!O16/(d_Bv!N16+MLF_lima_bean)),".")</f>
        <v>2.6608477320518329</v>
      </c>
      <c r="P16" s="70">
        <f>IFERROR((d_dir!P16/(d_Bv!O16+MLF_okra)),".")</f>
        <v>1.9633511912194859</v>
      </c>
      <c r="Q16" s="70">
        <f>IFERROR((d_dir!Q16/(d_Bv!P16+MLF_onion)),".")</f>
        <v>2.7995957413053483</v>
      </c>
      <c r="R16" s="70">
        <f>IFERROR((d_dir!R16/(d_Bv!Q16+MLF_peach)),".")</f>
        <v>0.65178617378376413</v>
      </c>
      <c r="S16" s="70">
        <f>IFERROR((d_dir!S16/(d_Bv!R16+MLF_pear)),".")</f>
        <v>1.3287280131055843</v>
      </c>
      <c r="T16" s="70">
        <f>IFERROR((d_dir!T16/(d_Bv!S16+MLF_peas)),".")</f>
        <v>4.2988676264947143</v>
      </c>
      <c r="U16" s="70">
        <f>IFERROR((d_dir!U16/(d_Bv!T16+MLF_peppers)),".")</f>
        <v>2.7368009834536426</v>
      </c>
      <c r="V16" s="70">
        <f>IFERROR((d_dir!V16/(d_Bv!U16+MLF_potato)),".")</f>
        <v>4.0511040026466141</v>
      </c>
      <c r="W16" s="70">
        <f>IFERROR((d_dir!W16/(d_Bv!V16+MLF_pumpkin)),".")</f>
        <v>0.93500655102588137</v>
      </c>
      <c r="X16" s="70">
        <f>IFERROR((d_dir!X16/(d_Bv!W16+MLF_snap_bean)),".")</f>
        <v>1.533345783963098</v>
      </c>
      <c r="Y16" s="70">
        <f>IFERROR((d_dir!Y16/(d_Bv!X16+MLF_strawberry)),".")</f>
        <v>1.9981673749414381</v>
      </c>
      <c r="Z16" s="70">
        <f>IFERROR((d_dir!Z16/(d_Bv!Y16+MLF_tomato)),".")</f>
        <v>0.64530617371489907</v>
      </c>
      <c r="AA16" s="70">
        <f>IFERROR((d_dir!AA16/(d_Bv!D16+MLF_rice)),".")</f>
        <v>3.1646089155901454E-2</v>
      </c>
      <c r="AB16" s="70">
        <f>IFERROR((d_dir!AB16/(d_Bv!AA16+MLF_cereal)),".")</f>
        <v>4.5889941461226366E-2</v>
      </c>
      <c r="AC16" s="70">
        <f t="shared" si="1"/>
        <v>3.1030501659264728E-2</v>
      </c>
      <c r="AD16" s="70">
        <f>IFERROR((d_dir!AD16/(d_Bv!C16+MLF_apple))*1,".")</f>
        <v>0.881975951316187</v>
      </c>
      <c r="AE16" s="70">
        <f>IFERROR((d_dir!AE16/(d_Bv!D16+MLF_asparagus))*1,".")</f>
        <v>0.26356032958469416</v>
      </c>
      <c r="AF16" s="70">
        <f>IFERROR((d_dir!AF16/(d_Bv!E16+MLF_beet))*1,".")</f>
        <v>1.6592747751190977</v>
      </c>
      <c r="AG16" s="70">
        <f>IFERROR((d_dir!AG16/(d_Bv!F16+MLF_berries))*1,".")</f>
        <v>2.2196649789030918</v>
      </c>
      <c r="AH16" s="70">
        <f>IFERROR((d_dir!AH16/(d_Bv!G16+MLF_broccoli))*1,".")</f>
        <v>1.5153555397628773</v>
      </c>
      <c r="AI16" s="70">
        <f>IFERROR((d_dir!AI16/(d_Bv!H16+MLF_cabbage))*1,".")</f>
        <v>0.13652351793669734</v>
      </c>
      <c r="AJ16" s="70">
        <f>IFERROR((d_dir!AJ16/(d_Bv!I16+MLF_carrot))*1,".")</f>
        <v>2.2086042245435547</v>
      </c>
      <c r="AK16" s="70">
        <f>IFERROR((d_dir!AK16/(d_Bv!J16+MLF_citrus))*1,".")</f>
        <v>0.25576304995663218</v>
      </c>
      <c r="AL16" s="70">
        <f>IFERROR((d_dir!AL16/(d_Bv!K16+MLF_corn))*1,".")</f>
        <v>7.5527618469787452</v>
      </c>
      <c r="AM16" s="70">
        <f>IFERROR((d_dir!AM16/(d_Bv!L16+MLF_cucumber))*1,".")</f>
        <v>1.024972679369631</v>
      </c>
      <c r="AN16" s="70">
        <f>IFERROR((d_dir!AN16/(d_Bv!M16+MLF_lettuce))*1,".")</f>
        <v>0.25538223971117169</v>
      </c>
      <c r="AO16" s="70">
        <f>IFERROR((d_dir!AO16/(d_Bv!N16+MLF_lima_bean))*1,".")</f>
        <v>2.5819709753676245</v>
      </c>
      <c r="AP16" s="70">
        <f>IFERROR((d_dir!AP16/(d_Bv!O16+MLF_okra))*1,".")</f>
        <v>1.8423078884213668</v>
      </c>
      <c r="AQ16" s="70">
        <f>IFERROR((d_dir!AQ16/(d_Bv!P16+MLF_onion))*1,".")</f>
        <v>2.061091611930185</v>
      </c>
      <c r="AR16" s="70">
        <f>IFERROR((d_dir!AR16/(d_Bv!Q16+MLF_peach))*1,".")</f>
        <v>0.72863919109993691</v>
      </c>
      <c r="AS16" s="70">
        <f>IFERROR((d_dir!AS16/(d_Bv!R16+MLF_pear))*1,".")</f>
        <v>1.1870915763413743</v>
      </c>
      <c r="AT16" s="70">
        <f>IFERROR((d_dir!AT16/(d_Bv!S16+MLF_peas))*1,".")</f>
        <v>4.6189838387885063</v>
      </c>
      <c r="AU16" s="70">
        <f>IFERROR((d_dir!AU16/(d_Bv!T16+MLF_peppers))*1,".")</f>
        <v>2.0519939789124537</v>
      </c>
      <c r="AV16" s="70">
        <f>IFERROR((d_dir!AV16/(d_Bv!U16+MLF_potato))*1,".")</f>
        <v>3.44828180488539</v>
      </c>
      <c r="AW16" s="70">
        <f>IFERROR((d_dir!AW16/(d_Bv!V16+MLF_pumpkin))*1,".")</f>
        <v>0.87964722693049902</v>
      </c>
      <c r="AX16" s="70">
        <f>IFERROR((d_dir!AX16/(d_Bv!W16+MLF_snap_bean))*1,".")</f>
        <v>1.4517268448404326</v>
      </c>
      <c r="AY16" s="70">
        <f>IFERROR((d_dir!AY16/(d_Bv!X16+MLF_strawberry))*1,".")</f>
        <v>1.9439657595942499</v>
      </c>
      <c r="AZ16" s="70">
        <f>IFERROR((d_dir!AZ16/(d_Bv!Y16+MLF_tomato))*1,".")</f>
        <v>0.52352642925400894</v>
      </c>
      <c r="BA16" s="70">
        <f>IFERROR((d_dir!BA16/(d_Bv!Z16+MLF_rice))*1,".")</f>
        <v>3.3055348188385715E-2</v>
      </c>
      <c r="BB16" s="70">
        <f>IFERROR((d_dir!BB16/(d_Bv!AA16+MLF_cereal))*1,".")</f>
        <v>3.658000403406516E-2</v>
      </c>
    </row>
    <row r="17" spans="1:54" ht="15" customHeight="1" x14ac:dyDescent="0.25">
      <c r="A17" s="86" t="s">
        <v>15</v>
      </c>
      <c r="B17" s="84" t="s">
        <v>1057</v>
      </c>
      <c r="C17" s="2">
        <f t="shared" si="0"/>
        <v>166.42312691278616</v>
      </c>
      <c r="D17" s="70">
        <f>IFERROR((d_dir!D17/(d_Bv!C17+MLF_apple)),".")</f>
        <v>5198.9397877512883</v>
      </c>
      <c r="E17" s="70">
        <f>IFERROR((d_dir!E17/(d_Bv!D17+MLF_asparagus)),".")</f>
        <v>1441.5785721382299</v>
      </c>
      <c r="F17" s="70">
        <f>IFERROR((d_dir!F17/(d_Bv!E17+MLF_beet)),".")</f>
        <v>9198.2000854948255</v>
      </c>
      <c r="G17" s="70">
        <f>IFERROR((d_dir!G17/(d_Bv!F17+MLF_berries)),".")</f>
        <v>11683.633232437471</v>
      </c>
      <c r="H17" s="70">
        <f>IFERROR((d_dir!H17/(d_Bv!G17+MLF_broccoli)),".")</f>
        <v>9138.9421392749719</v>
      </c>
      <c r="I17" s="70">
        <f>IFERROR((d_dir!I17/(d_Bv!H17+MLF_cabbage)),".")</f>
        <v>709.85909013062781</v>
      </c>
      <c r="J17" s="70">
        <f>IFERROR((d_dir!J17/(d_Bv!I17+MLF_carrot)),".")</f>
        <v>10620.262309943782</v>
      </c>
      <c r="K17" s="70">
        <f>IFERROR((d_dir!K17/(d_Bv!J17+MLF_citrus)),".")</f>
        <v>1348.1395326453849</v>
      </c>
      <c r="L17" s="70">
        <f>IFERROR((d_dir!L17/(d_Bv!K17+MLF_corn)),".")</f>
        <v>55814.667084602042</v>
      </c>
      <c r="M17" s="70">
        <f>IFERROR((d_dir!M17/(d_Bv!L17+MLF_cucumber)),".")</f>
        <v>3738.888079320714</v>
      </c>
      <c r="N17" s="70">
        <f>IFERROR((d_dir!N17/(d_Bv!M17+MLF_lettuce)),".")</f>
        <v>1429.0715635689469</v>
      </c>
      <c r="O17" s="70">
        <f>IFERROR((d_dir!O17/(d_Bv!N17+MLF_lima_bean)),".")</f>
        <v>13638.516013532007</v>
      </c>
      <c r="P17" s="70">
        <f>IFERROR((d_dir!P17/(d_Bv!O17+MLF_okra)),".")</f>
        <v>10063.408115798369</v>
      </c>
      <c r="Q17" s="70">
        <f>IFERROR((d_dir!Q17/(d_Bv!P17+MLF_onion)),".")</f>
        <v>14349.686714228419</v>
      </c>
      <c r="R17" s="70">
        <f>IFERROR((d_dir!R17/(d_Bv!Q17+MLF_peach)),".")</f>
        <v>3340.8135540675348</v>
      </c>
      <c r="S17" s="70">
        <f>IFERROR((d_dir!S17/(d_Bv!R17+MLF_pear)),".")</f>
        <v>6810.5656953150537</v>
      </c>
      <c r="T17" s="70">
        <f>IFERROR((d_dir!T17/(d_Bv!S17+MLF_peas)),".")</f>
        <v>22034.396879520649</v>
      </c>
      <c r="U17" s="70">
        <f>IFERROR((d_dir!U17/(d_Bv!T17+MLF_peppers)),".")</f>
        <v>14027.824136295054</v>
      </c>
      <c r="V17" s="70">
        <f>IFERROR((d_dir!V17/(d_Bv!U17+MLF_potato)),".")</f>
        <v>20764.452676882145</v>
      </c>
      <c r="W17" s="70">
        <f>IFERROR((d_dir!W17/(d_Bv!V17+MLF_pumpkin)),".")</f>
        <v>4792.4958896803973</v>
      </c>
      <c r="X17" s="70">
        <f>IFERROR((d_dir!X17/(d_Bv!W17+MLF_snap_bean)),".")</f>
        <v>7859.3602997103517</v>
      </c>
      <c r="Y17" s="70">
        <f>IFERROR((d_dir!Y17/(d_Bv!X17+MLF_strawberry)),".")</f>
        <v>10241.862926835511</v>
      </c>
      <c r="Z17" s="70">
        <f>IFERROR((d_dir!Z17/(d_Bv!Y17+MLF_tomato)),".")</f>
        <v>3307.5994833627992</v>
      </c>
      <c r="AA17" s="70">
        <f>IFERROR((d_dir!AA17/(d_Bv!D17+MLF_rice)),".")</f>
        <v>162.20608512070092</v>
      </c>
      <c r="AB17" s="70">
        <f>IFERROR((d_dir!AB17/(d_Bv!AA17+MLF_cereal)),".")</f>
        <v>235.21477532889895</v>
      </c>
      <c r="AC17" s="70">
        <f t="shared" si="1"/>
        <v>159.0508125248744</v>
      </c>
      <c r="AD17" s="70">
        <f>IFERROR((d_dir!AD17/(d_Bv!C17+MLF_apple))*1,".")</f>
        <v>4520.6807554900033</v>
      </c>
      <c r="AE17" s="70">
        <f>IFERROR((d_dir!AE17/(d_Bv!D17+MLF_asparagus))*1,".")</f>
        <v>1350.9122420924023</v>
      </c>
      <c r="AF17" s="70">
        <f>IFERROR((d_dir!AF17/(d_Bv!E17+MLF_beet))*1,".")</f>
        <v>8504.8254805099459</v>
      </c>
      <c r="AG17" s="70">
        <f>IFERROR((d_dir!AG17/(d_Bv!F17+MLF_berries))*1,".")</f>
        <v>11377.177278799767</v>
      </c>
      <c r="AH17" s="70">
        <f>IFERROR((d_dir!AH17/(d_Bv!G17+MLF_broccoli))*1,".")</f>
        <v>7767.1489977795709</v>
      </c>
      <c r="AI17" s="70">
        <f>IFERROR((d_dir!AI17/(d_Bv!H17+MLF_cabbage))*1,".")</f>
        <v>699.76878540417715</v>
      </c>
      <c r="AJ17" s="70">
        <f>IFERROR((d_dir!AJ17/(d_Bv!I17+MLF_carrot))*1,".")</f>
        <v>11320.483964997113</v>
      </c>
      <c r="AK17" s="70">
        <f>IFERROR((d_dir!AK17/(d_Bv!J17+MLF_citrus))*1,".")</f>
        <v>1310.9462862098737</v>
      </c>
      <c r="AL17" s="70">
        <f>IFERROR((d_dir!AL17/(d_Bv!K17+MLF_corn))*1,".")</f>
        <v>38712.648662906133</v>
      </c>
      <c r="AM17" s="70">
        <f>IFERROR((d_dir!AM17/(d_Bv!L17+MLF_cucumber))*1,".")</f>
        <v>5253.628808829264</v>
      </c>
      <c r="AN17" s="70">
        <f>IFERROR((d_dir!AN17/(d_Bv!M17+MLF_lettuce))*1,".")</f>
        <v>1308.9943944994729</v>
      </c>
      <c r="AO17" s="70">
        <f>IFERROR((d_dir!AO17/(d_Bv!N17+MLF_lima_bean))*1,".")</f>
        <v>13234.223089824003</v>
      </c>
      <c r="AP17" s="70">
        <f>IFERROR((d_dir!AP17/(d_Bv!O17+MLF_okra))*1,".")</f>
        <v>9442.9851567326332</v>
      </c>
      <c r="AQ17" s="70">
        <f>IFERROR((d_dir!AQ17/(d_Bv!P17+MLF_onion))*1,".")</f>
        <v>10564.389166677331</v>
      </c>
      <c r="AR17" s="70">
        <f>IFERROR((d_dir!AR17/(d_Bv!Q17+MLF_peach))*1,".")</f>
        <v>3734.7335423212849</v>
      </c>
      <c r="AS17" s="70">
        <f>IFERROR((d_dir!AS17/(d_Bv!R17+MLF_pear))*1,".")</f>
        <v>6084.589989287445</v>
      </c>
      <c r="AT17" s="70">
        <f>IFERROR((d_dir!AT17/(d_Bv!S17+MLF_peas))*1,".")</f>
        <v>23675.193545549122</v>
      </c>
      <c r="AU17" s="70">
        <f>IFERROR((d_dir!AU17/(d_Bv!T17+MLF_peppers))*1,".")</f>
        <v>10517.758082867853</v>
      </c>
      <c r="AV17" s="70">
        <f>IFERROR((d_dir!AV17/(d_Bv!U17+MLF_potato))*1,".")</f>
        <v>17674.610256196473</v>
      </c>
      <c r="AW17" s="70">
        <f>IFERROR((d_dir!AW17/(d_Bv!V17+MLF_pumpkin))*1,".")</f>
        <v>4508.7445802467782</v>
      </c>
      <c r="AX17" s="70">
        <f>IFERROR((d_dir!AX17/(d_Bv!W17+MLF_snap_bean))*1,".")</f>
        <v>7441.0119685288491</v>
      </c>
      <c r="AY17" s="70">
        <f>IFERROR((d_dir!AY17/(d_Bv!X17+MLF_strawberry))*1,".")</f>
        <v>9964.0456019403737</v>
      </c>
      <c r="AZ17" s="70">
        <f>IFERROR((d_dir!AZ17/(d_Bv!Y17+MLF_tomato))*1,".")</f>
        <v>2683.4017981863772</v>
      </c>
      <c r="BA17" s="70">
        <f>IFERROR((d_dir!BA17/(d_Bv!Z17+MLF_rice))*1,".")</f>
        <v>169.42942287514285</v>
      </c>
      <c r="BB17" s="70">
        <f>IFERROR((d_dir!BB17/(d_Bv!AA17+MLF_cereal))*1,".")</f>
        <v>187.49549806405255</v>
      </c>
    </row>
    <row r="18" spans="1:54" ht="15" customHeight="1" x14ac:dyDescent="0.25">
      <c r="A18" s="86" t="s">
        <v>16</v>
      </c>
      <c r="B18" s="84" t="s">
        <v>1057</v>
      </c>
      <c r="C18" s="2">
        <f t="shared" si="0"/>
        <v>0.14838416644195954</v>
      </c>
      <c r="D18" s="70">
        <f>IFERROR((d_dir!D18/(d_Bv!C18+MLF_apple)),".")</f>
        <v>16.684800667408041</v>
      </c>
      <c r="E18" s="70">
        <f>IFERROR((d_dir!E18/(d_Bv!D18+MLF_asparagus)),".")</f>
        <v>1.7552074513531759</v>
      </c>
      <c r="F18" s="70">
        <f>IFERROR((d_dir!F18/(d_Bv!E18+MLF_beet)),".")</f>
        <v>2.6665282419236793</v>
      </c>
      <c r="G18" s="70">
        <f>IFERROR((d_dir!G18/(d_Bv!F18+MLF_berries)),".")</f>
        <v>36.903024625684473</v>
      </c>
      <c r="H18" s="70">
        <f>IFERROR((d_dir!H18/(d_Bv!G18+MLF_broccoli)),".")</f>
        <v>13.750450184797479</v>
      </c>
      <c r="I18" s="70">
        <f>IFERROR((d_dir!I18/(d_Bv!H18+MLF_cabbage)),".")</f>
        <v>0.86158098186488041</v>
      </c>
      <c r="J18" s="70">
        <f>IFERROR((d_dir!J18/(d_Bv!I18+MLF_carrot)),".")</f>
        <v>3.0917886497784384</v>
      </c>
      <c r="K18" s="70">
        <f>IFERROR((d_dir!K18/(d_Bv!J18+MLF_citrus)),".")</f>
        <v>4.3616127945302212</v>
      </c>
      <c r="L18" s="70">
        <f>IFERROR((d_dir!L18/(d_Bv!K18+MLF_corn)),".")</f>
        <v>22.173023700970923</v>
      </c>
      <c r="M18" s="70">
        <f>IFERROR((d_dir!M18/(d_Bv!L18+MLF_cucumber)),".")</f>
        <v>26.643672537818389</v>
      </c>
      <c r="N18" s="70">
        <f>IFERROR((d_dir!N18/(d_Bv!M18+MLF_lettuce)),".")</f>
        <v>0.72699986459454835</v>
      </c>
      <c r="O18" s="70">
        <f>IFERROR((d_dir!O18/(d_Bv!N18+MLF_lima_bean)),".")</f>
        <v>3.4535763887813089</v>
      </c>
      <c r="P18" s="70">
        <f>IFERROR((d_dir!P18/(d_Bv!O18+MLF_okra)),".")</f>
        <v>61.631597311962537</v>
      </c>
      <c r="Q18" s="70">
        <f>IFERROR((d_dir!Q18/(d_Bv!P18+MLF_onion)),".")</f>
        <v>4.1775049632613763</v>
      </c>
      <c r="R18" s="70">
        <f>IFERROR((d_dir!R18/(d_Bv!Q18+MLF_peach)),".")</f>
        <v>11.017048583156427</v>
      </c>
      <c r="S18" s="70">
        <f>IFERROR((d_dir!S18/(d_Bv!R18+MLF_pear)),".")</f>
        <v>21.856943087961568</v>
      </c>
      <c r="T18" s="70">
        <f>IFERROR((d_dir!T18/(d_Bv!S18+MLF_peas)),".")</f>
        <v>30.637985708031646</v>
      </c>
      <c r="U18" s="70">
        <f>IFERROR((d_dir!U18/(d_Bv!T18+MLF_peppers)),".")</f>
        <v>11.350712442449389</v>
      </c>
      <c r="V18" s="70">
        <f>IFERROR((d_dir!V18/(d_Bv!U18+MLF_potato)),".")</f>
        <v>1.3875180366060333</v>
      </c>
      <c r="W18" s="70">
        <f>IFERROR((d_dir!W18/(d_Bv!V18+MLF_pumpkin)),".")</f>
        <v>31.807121192147683</v>
      </c>
      <c r="X18" s="70">
        <f>IFERROR((d_dir!X18/(d_Bv!W18+MLF_snap_bean)),".")</f>
        <v>1.7467422939892987</v>
      </c>
      <c r="Y18" s="70">
        <f>IFERROR((d_dir!Y18/(d_Bv!X18+MLF_strawberry)),".")</f>
        <v>41.927260575914062</v>
      </c>
      <c r="Z18" s="70">
        <f>IFERROR((d_dir!Z18/(d_Bv!Y18+MLF_tomato)),".")</f>
        <v>3.2018042708811705</v>
      </c>
      <c r="AA18" s="70">
        <f>IFERROR((d_dir!AA18/(d_Bv!D18+MLF_rice)),".")</f>
        <v>2.3647627061552736E-2</v>
      </c>
      <c r="AB18" s="70">
        <f>IFERROR((d_dir!AB18/(d_Bv!AA18+MLF_cereal)),".")</f>
        <v>2.7897379009425655E-2</v>
      </c>
      <c r="AC18" s="70">
        <f t="shared" si="1"/>
        <v>0.13658701952912772</v>
      </c>
      <c r="AD18" s="70">
        <f>IFERROR((d_dir!AD18/(d_Bv!C18+MLF_apple))*1,".")</f>
        <v>14.508084410603029</v>
      </c>
      <c r="AE18" s="70">
        <f>IFERROR((d_dir!AE18/(d_Bv!D18+MLF_asparagus))*1,".")</f>
        <v>1.6448158146023324</v>
      </c>
      <c r="AF18" s="70">
        <f>IFERROR((d_dir!AF18/(d_Bv!E18+MLF_beet))*1,".")</f>
        <v>2.4655212025855708</v>
      </c>
      <c r="AG18" s="70">
        <f>IFERROR((d_dir!AG18/(d_Bv!F18+MLF_berries))*1,".")</f>
        <v>35.93507643878128</v>
      </c>
      <c r="AH18" s="70">
        <f>IFERROR((d_dir!AH18/(d_Bv!G18+MLF_broccoli))*1,".")</f>
        <v>11.6864505480216</v>
      </c>
      <c r="AI18" s="70">
        <f>IFERROR((d_dir!AI18/(d_Bv!H18+MLF_cabbage))*1,".")</f>
        <v>0.84933402359611843</v>
      </c>
      <c r="AJ18" s="70">
        <f>IFERROR((d_dir!AJ18/(d_Bv!I18+MLF_carrot))*1,".")</f>
        <v>3.2956383572753918</v>
      </c>
      <c r="AK18" s="70">
        <f>IFERROR((d_dir!AK18/(d_Bv!J18+MLF_citrus))*1,".")</f>
        <v>4.2412821198522668</v>
      </c>
      <c r="AL18" s="70">
        <f>IFERROR((d_dir!AL18/(d_Bv!K18+MLF_corn))*1,".")</f>
        <v>15.379048575688518</v>
      </c>
      <c r="AM18" s="70">
        <f>IFERROR((d_dir!AM18/(d_Bv!L18+MLF_cucumber))*1,".")</f>
        <v>37.437859237318179</v>
      </c>
      <c r="AN18" s="70">
        <f>IFERROR((d_dir!AN18/(d_Bv!M18+MLF_lettuce))*1,".")</f>
        <v>0.66591399046491995</v>
      </c>
      <c r="AO18" s="70">
        <f>IFERROR((d_dir!AO18/(d_Bv!N18+MLF_lima_bean))*1,".")</f>
        <v>3.3512004049071131</v>
      </c>
      <c r="AP18" s="70">
        <f>IFERROR((d_dir!AP18/(d_Bv!O18+MLF_okra))*1,".")</f>
        <v>57.831924523555301</v>
      </c>
      <c r="AQ18" s="70">
        <f>IFERROR((d_dir!AQ18/(d_Bv!P18+MLF_onion))*1,".")</f>
        <v>3.0755227662119924</v>
      </c>
      <c r="AR18" s="70">
        <f>IFERROR((d_dir!AR18/(d_Bv!Q18+MLF_peach))*1,".")</f>
        <v>12.316084155849223</v>
      </c>
      <c r="AS18" s="70">
        <f>IFERROR((d_dir!AS18/(d_Bv!R18+MLF_pear))*1,".")</f>
        <v>19.527091149112589</v>
      </c>
      <c r="AT18" s="70">
        <f>IFERROR((d_dir!AT18/(d_Bv!S18+MLF_peas))*1,".")</f>
        <v>32.919450686557532</v>
      </c>
      <c r="AU18" s="70">
        <f>IFERROR((d_dir!AU18/(d_Bv!T18+MLF_peppers))*1,".")</f>
        <v>8.5105178378299637</v>
      </c>
      <c r="AV18" s="70">
        <f>IFERROR((d_dir!AV18/(d_Bv!U18+MLF_potato))*1,".")</f>
        <v>1.181049214350731</v>
      </c>
      <c r="AW18" s="70">
        <f>IFERROR((d_dir!AW18/(d_Bv!V18+MLF_pumpkin))*1,".")</f>
        <v>29.923903658874519</v>
      </c>
      <c r="AX18" s="70">
        <f>IFERROR((d_dir!AX18/(d_Bv!W18+MLF_snap_bean))*1,".")</f>
        <v>1.6537644057352761</v>
      </c>
      <c r="AY18" s="70">
        <f>IFERROR((d_dir!AY18/(d_Bv!X18+MLF_strawberry))*1,".")</f>
        <v>40.789955824171912</v>
      </c>
      <c r="AZ18" s="70">
        <f>IFERROR((d_dir!AZ18/(d_Bv!Y18+MLF_tomato))*1,".")</f>
        <v>2.5975718587270555</v>
      </c>
      <c r="BA18" s="70">
        <f>IFERROR((d_dir!BA18/(d_Bv!Z18+MLF_rice))*1,".")</f>
        <v>1.8335451515551292E-2</v>
      </c>
      <c r="BB18" s="70">
        <f>IFERROR((d_dir!BB18/(d_Bv!AA18+MLF_cereal))*1,".")</f>
        <v>2.223768878778961E-2</v>
      </c>
    </row>
    <row r="19" spans="1:54" ht="15" customHeight="1" x14ac:dyDescent="0.25">
      <c r="A19" s="86" t="s">
        <v>17</v>
      </c>
      <c r="B19" s="84" t="s">
        <v>1057</v>
      </c>
      <c r="C19" s="2" t="str">
        <f t="shared" si="0"/>
        <v>.</v>
      </c>
      <c r="D19" s="70" t="str">
        <f>IFERROR((d_dir!D19/(d_Bv!C19+MLF_apple)),".")</f>
        <v>.</v>
      </c>
      <c r="E19" s="70" t="str">
        <f>IFERROR((d_dir!E19/(d_Bv!D19+MLF_asparagus)),".")</f>
        <v>.</v>
      </c>
      <c r="F19" s="70" t="str">
        <f>IFERROR((d_dir!F19/(d_Bv!E19+MLF_beet)),".")</f>
        <v>.</v>
      </c>
      <c r="G19" s="70" t="str">
        <f>IFERROR((d_dir!G19/(d_Bv!F19+MLF_berries)),".")</f>
        <v>.</v>
      </c>
      <c r="H19" s="70" t="str">
        <f>IFERROR((d_dir!H19/(d_Bv!G19+MLF_broccoli)),".")</f>
        <v>.</v>
      </c>
      <c r="I19" s="70" t="str">
        <f>IFERROR((d_dir!I19/(d_Bv!H19+MLF_cabbage)),".")</f>
        <v>.</v>
      </c>
      <c r="J19" s="70" t="str">
        <f>IFERROR((d_dir!J19/(d_Bv!I19+MLF_carrot)),".")</f>
        <v>.</v>
      </c>
      <c r="K19" s="70" t="str">
        <f>IFERROR((d_dir!K19/(d_Bv!J19+MLF_citrus)),".")</f>
        <v>.</v>
      </c>
      <c r="L19" s="70" t="str">
        <f>IFERROR((d_dir!L19/(d_Bv!K19+MLF_corn)),".")</f>
        <v>.</v>
      </c>
      <c r="M19" s="70" t="str">
        <f>IFERROR((d_dir!M19/(d_Bv!L19+MLF_cucumber)),".")</f>
        <v>.</v>
      </c>
      <c r="N19" s="70" t="str">
        <f>IFERROR((d_dir!N19/(d_Bv!M19+MLF_lettuce)),".")</f>
        <v>.</v>
      </c>
      <c r="O19" s="70" t="str">
        <f>IFERROR((d_dir!O19/(d_Bv!N19+MLF_lima_bean)),".")</f>
        <v>.</v>
      </c>
      <c r="P19" s="70" t="str">
        <f>IFERROR((d_dir!P19/(d_Bv!O19+MLF_okra)),".")</f>
        <v>.</v>
      </c>
      <c r="Q19" s="70" t="str">
        <f>IFERROR((d_dir!Q19/(d_Bv!P19+MLF_onion)),".")</f>
        <v>.</v>
      </c>
      <c r="R19" s="70" t="str">
        <f>IFERROR((d_dir!R19/(d_Bv!Q19+MLF_peach)),".")</f>
        <v>.</v>
      </c>
      <c r="S19" s="70" t="str">
        <f>IFERROR((d_dir!S19/(d_Bv!R19+MLF_pear)),".")</f>
        <v>.</v>
      </c>
      <c r="T19" s="70" t="str">
        <f>IFERROR((d_dir!T19/(d_Bv!S19+MLF_peas)),".")</f>
        <v>.</v>
      </c>
      <c r="U19" s="70" t="str">
        <f>IFERROR((d_dir!U19/(d_Bv!T19+MLF_peppers)),".")</f>
        <v>.</v>
      </c>
      <c r="V19" s="70" t="str">
        <f>IFERROR((d_dir!V19/(d_Bv!U19+MLF_potato)),".")</f>
        <v>.</v>
      </c>
      <c r="W19" s="70" t="str">
        <f>IFERROR((d_dir!W19/(d_Bv!V19+MLF_pumpkin)),".")</f>
        <v>.</v>
      </c>
      <c r="X19" s="70" t="str">
        <f>IFERROR((d_dir!X19/(d_Bv!W19+MLF_snap_bean)),".")</f>
        <v>.</v>
      </c>
      <c r="Y19" s="70" t="str">
        <f>IFERROR((d_dir!Y19/(d_Bv!X19+MLF_strawberry)),".")</f>
        <v>.</v>
      </c>
      <c r="Z19" s="70" t="str">
        <f>IFERROR((d_dir!Z19/(d_Bv!Y19+MLF_tomato)),".")</f>
        <v>.</v>
      </c>
      <c r="AA19" s="70" t="str">
        <f>IFERROR((d_dir!AA19/(d_Bv!D19+MLF_rice)),".")</f>
        <v>.</v>
      </c>
      <c r="AB19" s="70" t="str">
        <f>IFERROR((d_dir!AB19/(d_Bv!AA19+MLF_cereal)),".")</f>
        <v>.</v>
      </c>
      <c r="AC19" s="70" t="str">
        <f t="shared" si="1"/>
        <v>.</v>
      </c>
      <c r="AD19" s="70" t="str">
        <f>IFERROR((d_dir!AD19/(d_Bv!C19+MLF_apple))*1,".")</f>
        <v>.</v>
      </c>
      <c r="AE19" s="70" t="str">
        <f>IFERROR((d_dir!AE19/(d_Bv!D19+MLF_asparagus))*1,".")</f>
        <v>.</v>
      </c>
      <c r="AF19" s="70" t="str">
        <f>IFERROR((d_dir!AF19/(d_Bv!E19+MLF_beet))*1,".")</f>
        <v>.</v>
      </c>
      <c r="AG19" s="70" t="str">
        <f>IFERROR((d_dir!AG19/(d_Bv!F19+MLF_berries))*1,".")</f>
        <v>.</v>
      </c>
      <c r="AH19" s="70" t="str">
        <f>IFERROR((d_dir!AH19/(d_Bv!G19+MLF_broccoli))*1,".")</f>
        <v>.</v>
      </c>
      <c r="AI19" s="70" t="str">
        <f>IFERROR((d_dir!AI19/(d_Bv!H19+MLF_cabbage))*1,".")</f>
        <v>.</v>
      </c>
      <c r="AJ19" s="70" t="str">
        <f>IFERROR((d_dir!AJ19/(d_Bv!I19+MLF_carrot))*1,".")</f>
        <v>.</v>
      </c>
      <c r="AK19" s="70" t="str">
        <f>IFERROR((d_dir!AK19/(d_Bv!J19+MLF_citrus))*1,".")</f>
        <v>.</v>
      </c>
      <c r="AL19" s="70" t="str">
        <f>IFERROR((d_dir!AL19/(d_Bv!K19+MLF_corn))*1,".")</f>
        <v>.</v>
      </c>
      <c r="AM19" s="70" t="str">
        <f>IFERROR((d_dir!AM19/(d_Bv!L19+MLF_cucumber))*1,".")</f>
        <v>.</v>
      </c>
      <c r="AN19" s="70" t="str">
        <f>IFERROR((d_dir!AN19/(d_Bv!M19+MLF_lettuce))*1,".")</f>
        <v>.</v>
      </c>
      <c r="AO19" s="70" t="str">
        <f>IFERROR((d_dir!AO19/(d_Bv!N19+MLF_lima_bean))*1,".")</f>
        <v>.</v>
      </c>
      <c r="AP19" s="70" t="str">
        <f>IFERROR((d_dir!AP19/(d_Bv!O19+MLF_okra))*1,".")</f>
        <v>.</v>
      </c>
      <c r="AQ19" s="70" t="str">
        <f>IFERROR((d_dir!AQ19/(d_Bv!P19+MLF_onion))*1,".")</f>
        <v>.</v>
      </c>
      <c r="AR19" s="70" t="str">
        <f>IFERROR((d_dir!AR19/(d_Bv!Q19+MLF_peach))*1,".")</f>
        <v>.</v>
      </c>
      <c r="AS19" s="70" t="str">
        <f>IFERROR((d_dir!AS19/(d_Bv!R19+MLF_pear))*1,".")</f>
        <v>.</v>
      </c>
      <c r="AT19" s="70" t="str">
        <f>IFERROR((d_dir!AT19/(d_Bv!S19+MLF_peas))*1,".")</f>
        <v>.</v>
      </c>
      <c r="AU19" s="70" t="str">
        <f>IFERROR((d_dir!AU19/(d_Bv!T19+MLF_peppers))*1,".")</f>
        <v>.</v>
      </c>
      <c r="AV19" s="70" t="str">
        <f>IFERROR((d_dir!AV19/(d_Bv!U19+MLF_potato))*1,".")</f>
        <v>.</v>
      </c>
      <c r="AW19" s="70" t="str">
        <f>IFERROR((d_dir!AW19/(d_Bv!V19+MLF_pumpkin))*1,".")</f>
        <v>.</v>
      </c>
      <c r="AX19" s="70" t="str">
        <f>IFERROR((d_dir!AX19/(d_Bv!W19+MLF_snap_bean))*1,".")</f>
        <v>.</v>
      </c>
      <c r="AY19" s="70" t="str">
        <f>IFERROR((d_dir!AY19/(d_Bv!X19+MLF_strawberry))*1,".")</f>
        <v>.</v>
      </c>
      <c r="AZ19" s="70" t="str">
        <f>IFERROR((d_dir!AZ19/(d_Bv!Y19+MLF_tomato))*1,".")</f>
        <v>.</v>
      </c>
      <c r="BA19" s="70" t="str">
        <f>IFERROR((d_dir!BA19/(d_Bv!Z19+MLF_rice))*1,".")</f>
        <v>.</v>
      </c>
      <c r="BB19" s="70" t="str">
        <f>IFERROR((d_dir!BB19/(d_Bv!AA19+MLF_cereal))*1,".")</f>
        <v>.</v>
      </c>
    </row>
    <row r="20" spans="1:54" ht="15" customHeight="1" x14ac:dyDescent="0.25">
      <c r="A20" s="86" t="s">
        <v>18</v>
      </c>
      <c r="B20" s="84" t="s">
        <v>1057</v>
      </c>
      <c r="C20" s="2" t="str">
        <f t="shared" si="0"/>
        <v>.</v>
      </c>
      <c r="D20" s="70" t="str">
        <f>IFERROR((d_dir!D20/(d_Bv!C20+MLF_apple)),".")</f>
        <v>.</v>
      </c>
      <c r="E20" s="70" t="str">
        <f>IFERROR((d_dir!E20/(d_Bv!D20+MLF_asparagus)),".")</f>
        <v>.</v>
      </c>
      <c r="F20" s="70" t="str">
        <f>IFERROR((d_dir!F20/(d_Bv!E20+MLF_beet)),".")</f>
        <v>.</v>
      </c>
      <c r="G20" s="70" t="str">
        <f>IFERROR((d_dir!G20/(d_Bv!F20+MLF_berries)),".")</f>
        <v>.</v>
      </c>
      <c r="H20" s="70" t="str">
        <f>IFERROR((d_dir!H20/(d_Bv!G20+MLF_broccoli)),".")</f>
        <v>.</v>
      </c>
      <c r="I20" s="70" t="str">
        <f>IFERROR((d_dir!I20/(d_Bv!H20+MLF_cabbage)),".")</f>
        <v>.</v>
      </c>
      <c r="J20" s="70" t="str">
        <f>IFERROR((d_dir!J20/(d_Bv!I20+MLF_carrot)),".")</f>
        <v>.</v>
      </c>
      <c r="K20" s="70" t="str">
        <f>IFERROR((d_dir!K20/(d_Bv!J20+MLF_citrus)),".")</f>
        <v>.</v>
      </c>
      <c r="L20" s="70" t="str">
        <f>IFERROR((d_dir!L20/(d_Bv!K20+MLF_corn)),".")</f>
        <v>.</v>
      </c>
      <c r="M20" s="70" t="str">
        <f>IFERROR((d_dir!M20/(d_Bv!L20+MLF_cucumber)),".")</f>
        <v>.</v>
      </c>
      <c r="N20" s="70" t="str">
        <f>IFERROR((d_dir!N20/(d_Bv!M20+MLF_lettuce)),".")</f>
        <v>.</v>
      </c>
      <c r="O20" s="70" t="str">
        <f>IFERROR((d_dir!O20/(d_Bv!N20+MLF_lima_bean)),".")</f>
        <v>.</v>
      </c>
      <c r="P20" s="70" t="str">
        <f>IFERROR((d_dir!P20/(d_Bv!O20+MLF_okra)),".")</f>
        <v>.</v>
      </c>
      <c r="Q20" s="70" t="str">
        <f>IFERROR((d_dir!Q20/(d_Bv!P20+MLF_onion)),".")</f>
        <v>.</v>
      </c>
      <c r="R20" s="70" t="str">
        <f>IFERROR((d_dir!R20/(d_Bv!Q20+MLF_peach)),".")</f>
        <v>.</v>
      </c>
      <c r="S20" s="70" t="str">
        <f>IFERROR((d_dir!S20/(d_Bv!R20+MLF_pear)),".")</f>
        <v>.</v>
      </c>
      <c r="T20" s="70" t="str">
        <f>IFERROR((d_dir!T20/(d_Bv!S20+MLF_peas)),".")</f>
        <v>.</v>
      </c>
      <c r="U20" s="70" t="str">
        <f>IFERROR((d_dir!U20/(d_Bv!T20+MLF_peppers)),".")</f>
        <v>.</v>
      </c>
      <c r="V20" s="70" t="str">
        <f>IFERROR((d_dir!V20/(d_Bv!U20+MLF_potato)),".")</f>
        <v>.</v>
      </c>
      <c r="W20" s="70" t="str">
        <f>IFERROR((d_dir!W20/(d_Bv!V20+MLF_pumpkin)),".")</f>
        <v>.</v>
      </c>
      <c r="X20" s="70" t="str">
        <f>IFERROR((d_dir!X20/(d_Bv!W20+MLF_snap_bean)),".")</f>
        <v>.</v>
      </c>
      <c r="Y20" s="70" t="str">
        <f>IFERROR((d_dir!Y20/(d_Bv!X20+MLF_strawberry)),".")</f>
        <v>.</v>
      </c>
      <c r="Z20" s="70" t="str">
        <f>IFERROR((d_dir!Z20/(d_Bv!Y20+MLF_tomato)),".")</f>
        <v>.</v>
      </c>
      <c r="AA20" s="70" t="str">
        <f>IFERROR((d_dir!AA20/(d_Bv!D20+MLF_rice)),".")</f>
        <v>.</v>
      </c>
      <c r="AB20" s="70" t="str">
        <f>IFERROR((d_dir!AB20/(d_Bv!AA20+MLF_cereal)),".")</f>
        <v>.</v>
      </c>
      <c r="AC20" s="70" t="str">
        <f t="shared" si="1"/>
        <v>.</v>
      </c>
      <c r="AD20" s="70" t="str">
        <f>IFERROR((d_dir!AD20/(d_Bv!C20+MLF_apple))*1,".")</f>
        <v>.</v>
      </c>
      <c r="AE20" s="70" t="str">
        <f>IFERROR((d_dir!AE20/(d_Bv!D20+MLF_asparagus))*1,".")</f>
        <v>.</v>
      </c>
      <c r="AF20" s="70" t="str">
        <f>IFERROR((d_dir!AF20/(d_Bv!E20+MLF_beet))*1,".")</f>
        <v>.</v>
      </c>
      <c r="AG20" s="70" t="str">
        <f>IFERROR((d_dir!AG20/(d_Bv!F20+MLF_berries))*1,".")</f>
        <v>.</v>
      </c>
      <c r="AH20" s="70" t="str">
        <f>IFERROR((d_dir!AH20/(d_Bv!G20+MLF_broccoli))*1,".")</f>
        <v>.</v>
      </c>
      <c r="AI20" s="70" t="str">
        <f>IFERROR((d_dir!AI20/(d_Bv!H20+MLF_cabbage))*1,".")</f>
        <v>.</v>
      </c>
      <c r="AJ20" s="70" t="str">
        <f>IFERROR((d_dir!AJ20/(d_Bv!I20+MLF_carrot))*1,".")</f>
        <v>.</v>
      </c>
      <c r="AK20" s="70" t="str">
        <f>IFERROR((d_dir!AK20/(d_Bv!J20+MLF_citrus))*1,".")</f>
        <v>.</v>
      </c>
      <c r="AL20" s="70" t="str">
        <f>IFERROR((d_dir!AL20/(d_Bv!K20+MLF_corn))*1,".")</f>
        <v>.</v>
      </c>
      <c r="AM20" s="70" t="str">
        <f>IFERROR((d_dir!AM20/(d_Bv!L20+MLF_cucumber))*1,".")</f>
        <v>.</v>
      </c>
      <c r="AN20" s="70" t="str">
        <f>IFERROR((d_dir!AN20/(d_Bv!M20+MLF_lettuce))*1,".")</f>
        <v>.</v>
      </c>
      <c r="AO20" s="70" t="str">
        <f>IFERROR((d_dir!AO20/(d_Bv!N20+MLF_lima_bean))*1,".")</f>
        <v>.</v>
      </c>
      <c r="AP20" s="70" t="str">
        <f>IFERROR((d_dir!AP20/(d_Bv!O20+MLF_okra))*1,".")</f>
        <v>.</v>
      </c>
      <c r="AQ20" s="70" t="str">
        <f>IFERROR((d_dir!AQ20/(d_Bv!P20+MLF_onion))*1,".")</f>
        <v>.</v>
      </c>
      <c r="AR20" s="70" t="str">
        <f>IFERROR((d_dir!AR20/(d_Bv!Q20+MLF_peach))*1,".")</f>
        <v>.</v>
      </c>
      <c r="AS20" s="70" t="str">
        <f>IFERROR((d_dir!AS20/(d_Bv!R20+MLF_pear))*1,".")</f>
        <v>.</v>
      </c>
      <c r="AT20" s="70" t="str">
        <f>IFERROR((d_dir!AT20/(d_Bv!S20+MLF_peas))*1,".")</f>
        <v>.</v>
      </c>
      <c r="AU20" s="70" t="str">
        <f>IFERROR((d_dir!AU20/(d_Bv!T20+MLF_peppers))*1,".")</f>
        <v>.</v>
      </c>
      <c r="AV20" s="70" t="str">
        <f>IFERROR((d_dir!AV20/(d_Bv!U20+MLF_potato))*1,".")</f>
        <v>.</v>
      </c>
      <c r="AW20" s="70" t="str">
        <f>IFERROR((d_dir!AW20/(d_Bv!V20+MLF_pumpkin))*1,".")</f>
        <v>.</v>
      </c>
      <c r="AX20" s="70" t="str">
        <f>IFERROR((d_dir!AX20/(d_Bv!W20+MLF_snap_bean))*1,".")</f>
        <v>.</v>
      </c>
      <c r="AY20" s="70" t="str">
        <f>IFERROR((d_dir!AY20/(d_Bv!X20+MLF_strawberry))*1,".")</f>
        <v>.</v>
      </c>
      <c r="AZ20" s="70" t="str">
        <f>IFERROR((d_dir!AZ20/(d_Bv!Y20+MLF_tomato))*1,".")</f>
        <v>.</v>
      </c>
      <c r="BA20" s="70" t="str">
        <f>IFERROR((d_dir!BA20/(d_Bv!Z20+MLF_rice))*1,".")</f>
        <v>.</v>
      </c>
      <c r="BB20" s="70" t="str">
        <f>IFERROR((d_dir!BB20/(d_Bv!AA20+MLF_cereal))*1,".")</f>
        <v>.</v>
      </c>
    </row>
    <row r="21" spans="1:54" ht="15" customHeight="1" x14ac:dyDescent="0.25">
      <c r="A21" s="86" t="s">
        <v>19</v>
      </c>
      <c r="B21" s="84" t="s">
        <v>1057</v>
      </c>
      <c r="C21" s="2" t="str">
        <f t="shared" si="0"/>
        <v>.</v>
      </c>
      <c r="D21" s="70" t="str">
        <f>IFERROR((d_dir!D21/(d_Bv!C21+MLF_apple)),".")</f>
        <v>.</v>
      </c>
      <c r="E21" s="70" t="str">
        <f>IFERROR((d_dir!E21/(d_Bv!D21+MLF_asparagus)),".")</f>
        <v>.</v>
      </c>
      <c r="F21" s="70" t="str">
        <f>IFERROR((d_dir!F21/(d_Bv!E21+MLF_beet)),".")</f>
        <v>.</v>
      </c>
      <c r="G21" s="70" t="str">
        <f>IFERROR((d_dir!G21/(d_Bv!F21+MLF_berries)),".")</f>
        <v>.</v>
      </c>
      <c r="H21" s="70" t="str">
        <f>IFERROR((d_dir!H21/(d_Bv!G21+MLF_broccoli)),".")</f>
        <v>.</v>
      </c>
      <c r="I21" s="70" t="str">
        <f>IFERROR((d_dir!I21/(d_Bv!H21+MLF_cabbage)),".")</f>
        <v>.</v>
      </c>
      <c r="J21" s="70" t="str">
        <f>IFERROR((d_dir!J21/(d_Bv!I21+MLF_carrot)),".")</f>
        <v>.</v>
      </c>
      <c r="K21" s="70" t="str">
        <f>IFERROR((d_dir!K21/(d_Bv!J21+MLF_citrus)),".")</f>
        <v>.</v>
      </c>
      <c r="L21" s="70" t="str">
        <f>IFERROR((d_dir!L21/(d_Bv!K21+MLF_corn)),".")</f>
        <v>.</v>
      </c>
      <c r="M21" s="70" t="str">
        <f>IFERROR((d_dir!M21/(d_Bv!L21+MLF_cucumber)),".")</f>
        <v>.</v>
      </c>
      <c r="N21" s="70" t="str">
        <f>IFERROR((d_dir!N21/(d_Bv!M21+MLF_lettuce)),".")</f>
        <v>.</v>
      </c>
      <c r="O21" s="70" t="str">
        <f>IFERROR((d_dir!O21/(d_Bv!N21+MLF_lima_bean)),".")</f>
        <v>.</v>
      </c>
      <c r="P21" s="70" t="str">
        <f>IFERROR((d_dir!P21/(d_Bv!O21+MLF_okra)),".")</f>
        <v>.</v>
      </c>
      <c r="Q21" s="70" t="str">
        <f>IFERROR((d_dir!Q21/(d_Bv!P21+MLF_onion)),".")</f>
        <v>.</v>
      </c>
      <c r="R21" s="70" t="str">
        <f>IFERROR((d_dir!R21/(d_Bv!Q21+MLF_peach)),".")</f>
        <v>.</v>
      </c>
      <c r="S21" s="70" t="str">
        <f>IFERROR((d_dir!S21/(d_Bv!R21+MLF_pear)),".")</f>
        <v>.</v>
      </c>
      <c r="T21" s="70" t="str">
        <f>IFERROR((d_dir!T21/(d_Bv!S21+MLF_peas)),".")</f>
        <v>.</v>
      </c>
      <c r="U21" s="70" t="str">
        <f>IFERROR((d_dir!U21/(d_Bv!T21+MLF_peppers)),".")</f>
        <v>.</v>
      </c>
      <c r="V21" s="70" t="str">
        <f>IFERROR((d_dir!V21/(d_Bv!U21+MLF_potato)),".")</f>
        <v>.</v>
      </c>
      <c r="W21" s="70" t="str">
        <f>IFERROR((d_dir!W21/(d_Bv!V21+MLF_pumpkin)),".")</f>
        <v>.</v>
      </c>
      <c r="X21" s="70" t="str">
        <f>IFERROR((d_dir!X21/(d_Bv!W21+MLF_snap_bean)),".")</f>
        <v>.</v>
      </c>
      <c r="Y21" s="70" t="str">
        <f>IFERROR((d_dir!Y21/(d_Bv!X21+MLF_strawberry)),".")</f>
        <v>.</v>
      </c>
      <c r="Z21" s="70" t="str">
        <f>IFERROR((d_dir!Z21/(d_Bv!Y21+MLF_tomato)),".")</f>
        <v>.</v>
      </c>
      <c r="AA21" s="70" t="str">
        <f>IFERROR((d_dir!AA21/(d_Bv!D21+MLF_rice)),".")</f>
        <v>.</v>
      </c>
      <c r="AB21" s="70" t="str">
        <f>IFERROR((d_dir!AB21/(d_Bv!AA21+MLF_cereal)),".")</f>
        <v>.</v>
      </c>
      <c r="AC21" s="70" t="str">
        <f t="shared" si="1"/>
        <v>.</v>
      </c>
      <c r="AD21" s="70" t="str">
        <f>IFERROR((d_dir!AD21/(d_Bv!C21+MLF_apple))*1,".")</f>
        <v>.</v>
      </c>
      <c r="AE21" s="70" t="str">
        <f>IFERROR((d_dir!AE21/(d_Bv!D21+MLF_asparagus))*1,".")</f>
        <v>.</v>
      </c>
      <c r="AF21" s="70" t="str">
        <f>IFERROR((d_dir!AF21/(d_Bv!E21+MLF_beet))*1,".")</f>
        <v>.</v>
      </c>
      <c r="AG21" s="70" t="str">
        <f>IFERROR((d_dir!AG21/(d_Bv!F21+MLF_berries))*1,".")</f>
        <v>.</v>
      </c>
      <c r="AH21" s="70" t="str">
        <f>IFERROR((d_dir!AH21/(d_Bv!G21+MLF_broccoli))*1,".")</f>
        <v>.</v>
      </c>
      <c r="AI21" s="70" t="str">
        <f>IFERROR((d_dir!AI21/(d_Bv!H21+MLF_cabbage))*1,".")</f>
        <v>.</v>
      </c>
      <c r="AJ21" s="70" t="str">
        <f>IFERROR((d_dir!AJ21/(d_Bv!I21+MLF_carrot))*1,".")</f>
        <v>.</v>
      </c>
      <c r="AK21" s="70" t="str">
        <f>IFERROR((d_dir!AK21/(d_Bv!J21+MLF_citrus))*1,".")</f>
        <v>.</v>
      </c>
      <c r="AL21" s="70" t="str">
        <f>IFERROR((d_dir!AL21/(d_Bv!K21+MLF_corn))*1,".")</f>
        <v>.</v>
      </c>
      <c r="AM21" s="70" t="str">
        <f>IFERROR((d_dir!AM21/(d_Bv!L21+MLF_cucumber))*1,".")</f>
        <v>.</v>
      </c>
      <c r="AN21" s="70" t="str">
        <f>IFERROR((d_dir!AN21/(d_Bv!M21+MLF_lettuce))*1,".")</f>
        <v>.</v>
      </c>
      <c r="AO21" s="70" t="str">
        <f>IFERROR((d_dir!AO21/(d_Bv!N21+MLF_lima_bean))*1,".")</f>
        <v>.</v>
      </c>
      <c r="AP21" s="70" t="str">
        <f>IFERROR((d_dir!AP21/(d_Bv!O21+MLF_okra))*1,".")</f>
        <v>.</v>
      </c>
      <c r="AQ21" s="70" t="str">
        <f>IFERROR((d_dir!AQ21/(d_Bv!P21+MLF_onion))*1,".")</f>
        <v>.</v>
      </c>
      <c r="AR21" s="70" t="str">
        <f>IFERROR((d_dir!AR21/(d_Bv!Q21+MLF_peach))*1,".")</f>
        <v>.</v>
      </c>
      <c r="AS21" s="70" t="str">
        <f>IFERROR((d_dir!AS21/(d_Bv!R21+MLF_pear))*1,".")</f>
        <v>.</v>
      </c>
      <c r="AT21" s="70" t="str">
        <f>IFERROR((d_dir!AT21/(d_Bv!S21+MLF_peas))*1,".")</f>
        <v>.</v>
      </c>
      <c r="AU21" s="70" t="str">
        <f>IFERROR((d_dir!AU21/(d_Bv!T21+MLF_peppers))*1,".")</f>
        <v>.</v>
      </c>
      <c r="AV21" s="70" t="str">
        <f>IFERROR((d_dir!AV21/(d_Bv!U21+MLF_potato))*1,".")</f>
        <v>.</v>
      </c>
      <c r="AW21" s="70" t="str">
        <f>IFERROR((d_dir!AW21/(d_Bv!V21+MLF_pumpkin))*1,".")</f>
        <v>.</v>
      </c>
      <c r="AX21" s="70" t="str">
        <f>IFERROR((d_dir!AX21/(d_Bv!W21+MLF_snap_bean))*1,".")</f>
        <v>.</v>
      </c>
      <c r="AY21" s="70" t="str">
        <f>IFERROR((d_dir!AY21/(d_Bv!X21+MLF_strawberry))*1,".")</f>
        <v>.</v>
      </c>
      <c r="AZ21" s="70" t="str">
        <f>IFERROR((d_dir!AZ21/(d_Bv!Y21+MLF_tomato))*1,".")</f>
        <v>.</v>
      </c>
      <c r="BA21" s="70" t="str">
        <f>IFERROR((d_dir!BA21/(d_Bv!Z21+MLF_rice))*1,".")</f>
        <v>.</v>
      </c>
      <c r="BB21" s="70" t="str">
        <f>IFERROR((d_dir!BB21/(d_Bv!AA21+MLF_cereal))*1,".")</f>
        <v>.</v>
      </c>
    </row>
    <row r="22" spans="1:54" ht="15" customHeight="1" x14ac:dyDescent="0.25">
      <c r="A22" s="86" t="s">
        <v>20</v>
      </c>
      <c r="B22" s="84" t="s">
        <v>1057</v>
      </c>
      <c r="C22" s="2">
        <f t="shared" si="0"/>
        <v>0.10400761506222005</v>
      </c>
      <c r="D22" s="70">
        <f>IFERROR((d_dir!D22/(d_Bv!C22+MLF_apple)),".")</f>
        <v>4.3470126796743962</v>
      </c>
      <c r="E22" s="70">
        <f>IFERROR((d_dir!E22/(d_Bv!D22+MLF_asparagus)),".")</f>
        <v>1.05977781801823</v>
      </c>
      <c r="F22" s="70">
        <f>IFERROR((d_dir!F22/(d_Bv!E22+MLF_beet)),".")</f>
        <v>1.6599465151624202</v>
      </c>
      <c r="G22" s="70">
        <f>IFERROR((d_dir!G22/(d_Bv!F22+MLF_berries)),".")</f>
        <v>9.7690882909876322</v>
      </c>
      <c r="H22" s="70">
        <f>IFERROR((d_dir!H22/(d_Bv!G22+MLF_broccoli)),".")</f>
        <v>6.7928131118353168</v>
      </c>
      <c r="I22" s="70">
        <f>IFERROR((d_dir!I22/(d_Bv!H22+MLF_cabbage)),".")</f>
        <v>0.52187402293539198</v>
      </c>
      <c r="J22" s="70">
        <f>IFERROR((d_dir!J22/(d_Bv!I22+MLF_carrot)),".")</f>
        <v>1.9125050316560754</v>
      </c>
      <c r="K22" s="70">
        <f>IFERROR((d_dir!K22/(d_Bv!J22+MLF_citrus)),".")</f>
        <v>1.1272259117497125</v>
      </c>
      <c r="L22" s="70">
        <f>IFERROR((d_dir!L22/(d_Bv!K22+MLF_corn)),".")</f>
        <v>24.663741259891957</v>
      </c>
      <c r="M22" s="70">
        <f>IFERROR((d_dir!M22/(d_Bv!L22+MLF_cucumber)),".")</f>
        <v>2.7592867168411752</v>
      </c>
      <c r="N22" s="70">
        <f>IFERROR((d_dir!N22/(d_Bv!M22+MLF_lettuce)),".")</f>
        <v>1.0691174479331595</v>
      </c>
      <c r="O22" s="70">
        <f>IFERROR((d_dir!O22/(d_Bv!N22+MLF_lima_bean)),".")</f>
        <v>5.839325324965924</v>
      </c>
      <c r="P22" s="70">
        <f>IFERROR((d_dir!P22/(d_Bv!O22+MLF_okra)),".")</f>
        <v>7.4290739286357921</v>
      </c>
      <c r="Q22" s="70">
        <f>IFERROR((d_dir!Q22/(d_Bv!P22+MLF_onion)),".")</f>
        <v>2.584102656104307</v>
      </c>
      <c r="R22" s="70">
        <f>IFERROR((d_dir!R22/(d_Bv!Q22+MLF_peach)),".")</f>
        <v>2.7933693162161317</v>
      </c>
      <c r="S22" s="70">
        <f>IFERROR((d_dir!S22/(d_Bv!R22+MLF_pear)),".")</f>
        <v>5.6945486275953607</v>
      </c>
      <c r="T22" s="70">
        <f>IFERROR((d_dir!T22/(d_Bv!S22+MLF_peas)),".")</f>
        <v>7.118432034924747</v>
      </c>
      <c r="U22" s="70">
        <f>IFERROR((d_dir!U22/(d_Bv!T22+MLF_peppers)),".")</f>
        <v>10.508632288183081</v>
      </c>
      <c r="V22" s="70">
        <f>IFERROR((d_dir!V22/(d_Bv!U22+MLF_potato)),".")</f>
        <v>2.6484215029408862</v>
      </c>
      <c r="W22" s="70">
        <f>IFERROR((d_dir!W22/(d_Bv!V22+MLF_pumpkin)),".")</f>
        <v>3.5373420042580079</v>
      </c>
      <c r="X22" s="70">
        <f>IFERROR((d_dir!X22/(d_Bv!W22+MLF_snap_bean)),".")</f>
        <v>3.5624349416887009</v>
      </c>
      <c r="Y22" s="70">
        <f>IFERROR((d_dir!Y22/(d_Bv!X22+MLF_strawberry)),".")</f>
        <v>8.5635744640347351</v>
      </c>
      <c r="Z22" s="70">
        <f>IFERROR((d_dir!Z22/(d_Bv!Y22+MLF_tomato)),".")</f>
        <v>2.4709151076639442</v>
      </c>
      <c r="AA22" s="70">
        <f>IFERROR((d_dir!AA22/(d_Bv!D22+MLF_rice)),".")</f>
        <v>0.13125106101525952</v>
      </c>
      <c r="AB22" s="70">
        <f>IFERROR((d_dir!AB22/(d_Bv!AA22+MLF_cereal)),".")</f>
        <v>0.19225160066420677</v>
      </c>
      <c r="AC22" s="70">
        <f t="shared" si="1"/>
        <v>9.8376761159745682E-2</v>
      </c>
      <c r="AD22" s="70">
        <f>IFERROR((d_dir!AD22/(d_Bv!C22+MLF_apple))*1,".")</f>
        <v>3.7798969342122297</v>
      </c>
      <c r="AE22" s="70">
        <f>IFERROR((d_dir!AE22/(d_Bv!D22+MLF_asparagus))*1,".")</f>
        <v>0.99312438179160278</v>
      </c>
      <c r="AF22" s="70">
        <f>IFERROR((d_dir!AF22/(d_Bv!E22+MLF_beet))*1,".")</f>
        <v>1.5348171693611918</v>
      </c>
      <c r="AG22" s="70">
        <f>IFERROR((d_dir!AG22/(d_Bv!F22+MLF_berries))*1,".")</f>
        <v>9.5128499095846788</v>
      </c>
      <c r="AH22" s="70">
        <f>IFERROR((d_dir!AH22/(d_Bv!G22+MLF_broccoli))*1,".")</f>
        <v>5.7731836737376847</v>
      </c>
      <c r="AI22" s="70">
        <f>IFERROR((d_dir!AI22/(d_Bv!H22+MLF_cabbage))*1,".")</f>
        <v>0.51445583530710115</v>
      </c>
      <c r="AJ22" s="70">
        <f>IFERROR((d_dir!AJ22/(d_Bv!I22+MLF_carrot))*1,".")</f>
        <v>2.0386014876080307</v>
      </c>
      <c r="AK22" s="70">
        <f>IFERROR((d_dir!AK22/(d_Bv!J22+MLF_citrus))*1,".")</f>
        <v>1.0961273569569951</v>
      </c>
      <c r="AL22" s="70">
        <f>IFERROR((d_dir!AL22/(d_Bv!K22+MLF_corn))*1,".")</f>
        <v>17.106592227089102</v>
      </c>
      <c r="AM22" s="70">
        <f>IFERROR((d_dir!AM22/(d_Bv!L22+MLF_cucumber))*1,".")</f>
        <v>3.8771602358448813</v>
      </c>
      <c r="AN22" s="70">
        <f>IFERROR((d_dir!AN22/(d_Bv!M22+MLF_lettuce))*1,".")</f>
        <v>0.97928528009547033</v>
      </c>
      <c r="AO22" s="70">
        <f>IFERROR((d_dir!AO22/(d_Bv!N22+MLF_lima_bean))*1,".")</f>
        <v>5.6662274669753403</v>
      </c>
      <c r="AP22" s="70">
        <f>IFERROR((d_dir!AP22/(d_Bv!O22+MLF_okra))*1,".")</f>
        <v>6.9710612974391637</v>
      </c>
      <c r="AQ22" s="70">
        <f>IFERROR((d_dir!AQ22/(d_Bv!P22+MLF_onion))*1,".")</f>
        <v>1.9024433529034255</v>
      </c>
      <c r="AR22" s="70">
        <f>IFERROR((d_dir!AR22/(d_Bv!Q22+MLF_peach))*1,".")</f>
        <v>3.1227393904283014</v>
      </c>
      <c r="AS22" s="70">
        <f>IFERROR((d_dir!AS22/(d_Bv!R22+MLF_pear))*1,".")</f>
        <v>5.087535327177318</v>
      </c>
      <c r="AT22" s="70">
        <f>IFERROR((d_dir!AT22/(d_Bv!S22+MLF_peas))*1,".")</f>
        <v>7.6485077893970841</v>
      </c>
      <c r="AU22" s="70">
        <f>IFERROR((d_dir!AU22/(d_Bv!T22+MLF_peppers))*1,".")</f>
        <v>7.8791444143464657</v>
      </c>
      <c r="AV22" s="70">
        <f>IFERROR((d_dir!AV22/(d_Bv!U22+MLF_potato))*1,".")</f>
        <v>2.2543246666320953</v>
      </c>
      <c r="AW22" s="70">
        <f>IFERROR((d_dir!AW22/(d_Bv!V22+MLF_pumpkin))*1,".")</f>
        <v>3.327905116104581</v>
      </c>
      <c r="AX22" s="70">
        <f>IFERROR((d_dir!AX22/(d_Bv!W22+MLF_snap_bean))*1,".")</f>
        <v>3.3728089853811554</v>
      </c>
      <c r="AY22" s="70">
        <f>IFERROR((d_dir!AY22/(d_Bv!X22+MLF_strawberry))*1,".")</f>
        <v>8.3312818268325</v>
      </c>
      <c r="AZ22" s="70">
        <f>IFERROR((d_dir!AZ22/(d_Bv!Y22+MLF_tomato))*1,".")</f>
        <v>2.004613338592677</v>
      </c>
      <c r="BA22" s="70">
        <f>IFERROR((d_dir!BA22/(d_Bv!Z22+MLF_rice))*1,".")</f>
        <v>0.14133825313174828</v>
      </c>
      <c r="BB22" s="70">
        <f>IFERROR((d_dir!BB22/(d_Bv!AA22+MLF_cereal))*1,".")</f>
        <v>0.15324849202072241</v>
      </c>
    </row>
    <row r="23" spans="1:54" x14ac:dyDescent="0.25">
      <c r="A23" s="88" t="s">
        <v>21</v>
      </c>
      <c r="B23" s="84" t="s">
        <v>335</v>
      </c>
      <c r="C23" s="2">
        <f t="shared" si="0"/>
        <v>5.4644177449908092E-2</v>
      </c>
      <c r="D23" s="70">
        <f>IFERROR((d_dir!D23/(d_Bv!C23+MLF_apple)),".")</f>
        <v>2.2838609663631488</v>
      </c>
      <c r="E23" s="70">
        <f>IFERROR((d_dir!E23/(d_Bv!D23+MLF_asparagus)),".")</f>
        <v>0.55679276090141006</v>
      </c>
      <c r="F23" s="70">
        <f>IFERROR((d_dir!F23/(d_Bv!E23+MLF_beet)),".")</f>
        <v>0.87211318015155848</v>
      </c>
      <c r="G23" s="70">
        <f>IFERROR((d_dir!G23/(d_Bv!F23+MLF_berries)),".")</f>
        <v>5.1325452831237453</v>
      </c>
      <c r="H23" s="70">
        <f>IFERROR((d_dir!H23/(d_Bv!G23+MLF_broccoli)),".")</f>
        <v>3.568851038889195</v>
      </c>
      <c r="I23" s="70">
        <f>IFERROR((d_dir!I23/(d_Bv!H23+MLF_cabbage)),".")</f>
        <v>0.27418546900358343</v>
      </c>
      <c r="J23" s="70">
        <f>IFERROR((d_dir!J23/(d_Bv!I23+MLF_carrot)),".")</f>
        <v>1.0048039680665475</v>
      </c>
      <c r="K23" s="70">
        <f>IFERROR((d_dir!K23/(d_Bv!J23+MLF_citrus)),".")</f>
        <v>0.59222906621728821</v>
      </c>
      <c r="L23" s="70">
        <f>IFERROR((d_dir!L23/(d_Bv!K23+MLF_corn)),".")</f>
        <v>12.95799209680858</v>
      </c>
      <c r="M23" s="70">
        <f>IFERROR((d_dir!M23/(d_Bv!L23+MLF_cucumber)),".")</f>
        <v>1.4496914759562907</v>
      </c>
      <c r="N23" s="70">
        <f>IFERROR((d_dir!N23/(d_Bv!M23+MLF_lettuce)),".")</f>
        <v>0.56169967463154957</v>
      </c>
      <c r="O23" s="70">
        <f>IFERROR((d_dir!O23/(d_Bv!N23+MLF_lima_bean)),".")</f>
        <v>3.0679016056112363</v>
      </c>
      <c r="P23" s="70">
        <f>IFERROR((d_dir!P23/(d_Bv!O23+MLF_okra)),".")</f>
        <v>3.9031337638307249</v>
      </c>
      <c r="Q23" s="70">
        <f>IFERROR((d_dir!Q23/(d_Bv!P23+MLF_onion)),".")</f>
        <v>1.3576521681077818</v>
      </c>
      <c r="R23" s="70">
        <f>IFERROR((d_dir!R23/(d_Bv!Q23+MLF_peach)),".")</f>
        <v>1.4675980071952306</v>
      </c>
      <c r="S23" s="70">
        <f>IFERROR((d_dir!S23/(d_Bv!R23+MLF_pear)),".")</f>
        <v>2.9918379103039645</v>
      </c>
      <c r="T23" s="70">
        <f>IFERROR((d_dir!T23/(d_Bv!S23+MLF_peas)),".")</f>
        <v>3.7399267644858489</v>
      </c>
      <c r="U23" s="70">
        <f>IFERROR((d_dir!U23/(d_Bv!T23+MLF_peppers)),".")</f>
        <v>5.521091577456013</v>
      </c>
      <c r="V23" s="70">
        <f>IFERROR((d_dir!V23/(d_Bv!U23+MLF_potato)),".")</f>
        <v>1.3914444099336223</v>
      </c>
      <c r="W23" s="70">
        <f>IFERROR((d_dir!W23/(d_Bv!V23+MLF_pumpkin)),".")</f>
        <v>1.858471075084781</v>
      </c>
      <c r="X23" s="70">
        <f>IFERROR((d_dir!X23/(d_Bv!W23+MLF_snap_bean)),".")</f>
        <v>1.8716545609755209</v>
      </c>
      <c r="Y23" s="70">
        <f>IFERROR((d_dir!Y23/(d_Bv!X23+MLF_strawberry)),".")</f>
        <v>4.499184817748934</v>
      </c>
      <c r="Z23" s="70">
        <f>IFERROR((d_dir!Z23/(d_Bv!Y23+MLF_tomato)),".")</f>
        <v>1.2981849793024698</v>
      </c>
      <c r="AA23" s="70">
        <f>IFERROR((d_dir!AA23/(d_Bv!D23+MLF_rice)),".")</f>
        <v>6.8957511085279838E-2</v>
      </c>
      <c r="AB23" s="70">
        <f>IFERROR((d_dir!AB23/(d_Bv!AA23+MLF_cereal)),".")</f>
        <v>0.1010063597308636</v>
      </c>
      <c r="AC23" s="70">
        <f t="shared" si="1"/>
        <v>5.168580387642268E-2</v>
      </c>
      <c r="AD23" s="70">
        <f>IFERROR((d_dir!AD23/(d_Bv!C23+MLF_apple))*1,".")</f>
        <v>1.9859061155463811</v>
      </c>
      <c r="AE23" s="70">
        <f>IFERROR((d_dir!AE23/(d_Bv!D23+MLF_asparagus))*1,".")</f>
        <v>0.52177395776247559</v>
      </c>
      <c r="AF23" s="70">
        <f>IFERROR((d_dir!AF23/(d_Bv!E23+MLF_beet))*1,".")</f>
        <v>0.80637193445466593</v>
      </c>
      <c r="AG23" s="70">
        <f>IFERROR((d_dir!AG23/(d_Bv!F23+MLF_berries))*1,".")</f>
        <v>4.9979211445500082</v>
      </c>
      <c r="AH23" s="70">
        <f>IFERROR((d_dir!AH23/(d_Bv!G23+MLF_broccoli))*1,".")</f>
        <v>3.0331516873058915</v>
      </c>
      <c r="AI23" s="70">
        <f>IFERROR((d_dir!AI23/(d_Bv!H23+MLF_cabbage))*1,".")</f>
        <v>0.27028805475295825</v>
      </c>
      <c r="AJ23" s="70">
        <f>IFERROR((d_dir!AJ23/(d_Bv!I23+MLF_carrot))*1,".")</f>
        <v>1.0710533202002459</v>
      </c>
      <c r="AK23" s="70">
        <f>IFERROR((d_dir!AK23/(d_Bv!J23+MLF_citrus))*1,".")</f>
        <v>0.57589031116062883</v>
      </c>
      <c r="AL23" s="70">
        <f>IFERROR((d_dir!AL23/(d_Bv!K23+MLF_corn))*1,".")</f>
        <v>8.9875694261527741</v>
      </c>
      <c r="AM23" s="70">
        <f>IFERROR((d_dir!AM23/(d_Bv!L23+MLF_cucumber))*1,".")</f>
        <v>2.0370069230266705</v>
      </c>
      <c r="AN23" s="70">
        <f>IFERROR((d_dir!AN23/(d_Bv!M23+MLF_lettuce))*1,".")</f>
        <v>0.51450308314066662</v>
      </c>
      <c r="AO23" s="70">
        <f>IFERROR((d_dir!AO23/(d_Bv!N23+MLF_lima_bean))*1,".")</f>
        <v>2.9769583601327403</v>
      </c>
      <c r="AP23" s="70">
        <f>IFERROR((d_dir!AP23/(d_Bv!O23+MLF_okra))*1,".")</f>
        <v>3.6625001960055652</v>
      </c>
      <c r="AQ23" s="70">
        <f>IFERROR((d_dir!AQ23/(d_Bv!P23+MLF_onion))*1,".")</f>
        <v>0.99951769975941562</v>
      </c>
      <c r="AR23" s="70">
        <f>IFERROR((d_dir!AR23/(d_Bv!Q23+MLF_peach))*1,".")</f>
        <v>1.6406445362515139</v>
      </c>
      <c r="AS23" s="70">
        <f>IFERROR((d_dir!AS23/(d_Bv!R23+MLF_pear))*1,".")</f>
        <v>2.6729214301726305</v>
      </c>
      <c r="AT23" s="70">
        <f>IFERROR((d_dir!AT23/(d_Bv!S23+MLF_peas))*1,".")</f>
        <v>4.0184213109856648</v>
      </c>
      <c r="AU23" s="70">
        <f>IFERROR((d_dir!AU23/(d_Bv!T23+MLF_peppers))*1,".")</f>
        <v>4.1395946371180106</v>
      </c>
      <c r="AV23" s="70">
        <f>IFERROR((d_dir!AV23/(d_Bv!U23+MLF_potato))*1,".")</f>
        <v>1.1843913259568184</v>
      </c>
      <c r="AW23" s="70">
        <f>IFERROR((d_dir!AW23/(d_Bv!V23+MLF_pumpkin))*1,".")</f>
        <v>1.7484358005141065</v>
      </c>
      <c r="AX23" s="70">
        <f>IFERROR((d_dir!AX23/(d_Bv!W23+MLF_snap_bean))*1,".")</f>
        <v>1.7720276788536757</v>
      </c>
      <c r="AY23" s="70">
        <f>IFERROR((d_dir!AY23/(d_Bv!X23+MLF_strawberry))*1,".")</f>
        <v>4.3771414454440061</v>
      </c>
      <c r="AZ23" s="70">
        <f>IFERROR((d_dir!AZ23/(d_Bv!Y23+MLF_tomato))*1,".")</f>
        <v>1.0531964118875434</v>
      </c>
      <c r="BA23" s="70">
        <f>IFERROR((d_dir!BA23/(d_Bv!Z23+MLF_rice))*1,".")</f>
        <v>7.4257183764582971E-2</v>
      </c>
      <c r="BB23" s="70">
        <f>IFERROR((d_dir!BB23/(d_Bv!AA23+MLF_cereal))*1,".")</f>
        <v>8.0514660266957902E-2</v>
      </c>
    </row>
    <row r="24" spans="1:54" ht="15" customHeight="1" x14ac:dyDescent="0.25">
      <c r="A24" s="86" t="s">
        <v>22</v>
      </c>
      <c r="B24" s="84" t="s">
        <v>1057</v>
      </c>
      <c r="C24" s="2" t="str">
        <f t="shared" si="0"/>
        <v>.</v>
      </c>
      <c r="D24" s="70" t="str">
        <f>IFERROR((d_dir!D24/(d_Bv!C24+MLF_apple)),".")</f>
        <v>.</v>
      </c>
      <c r="E24" s="70" t="str">
        <f>IFERROR((d_dir!E24/(d_Bv!D24+MLF_asparagus)),".")</f>
        <v>.</v>
      </c>
      <c r="F24" s="70" t="str">
        <f>IFERROR((d_dir!F24/(d_Bv!E24+MLF_beet)),".")</f>
        <v>.</v>
      </c>
      <c r="G24" s="70" t="str">
        <f>IFERROR((d_dir!G24/(d_Bv!F24+MLF_berries)),".")</f>
        <v>.</v>
      </c>
      <c r="H24" s="70" t="str">
        <f>IFERROR((d_dir!H24/(d_Bv!G24+MLF_broccoli)),".")</f>
        <v>.</v>
      </c>
      <c r="I24" s="70" t="str">
        <f>IFERROR((d_dir!I24/(d_Bv!H24+MLF_cabbage)),".")</f>
        <v>.</v>
      </c>
      <c r="J24" s="70" t="str">
        <f>IFERROR((d_dir!J24/(d_Bv!I24+MLF_carrot)),".")</f>
        <v>.</v>
      </c>
      <c r="K24" s="70" t="str">
        <f>IFERROR((d_dir!K24/(d_Bv!J24+MLF_citrus)),".")</f>
        <v>.</v>
      </c>
      <c r="L24" s="70" t="str">
        <f>IFERROR((d_dir!L24/(d_Bv!K24+MLF_corn)),".")</f>
        <v>.</v>
      </c>
      <c r="M24" s="70" t="str">
        <f>IFERROR((d_dir!M24/(d_Bv!L24+MLF_cucumber)),".")</f>
        <v>.</v>
      </c>
      <c r="N24" s="70" t="str">
        <f>IFERROR((d_dir!N24/(d_Bv!M24+MLF_lettuce)),".")</f>
        <v>.</v>
      </c>
      <c r="O24" s="70" t="str">
        <f>IFERROR((d_dir!O24/(d_Bv!N24+MLF_lima_bean)),".")</f>
        <v>.</v>
      </c>
      <c r="P24" s="70" t="str">
        <f>IFERROR((d_dir!P24/(d_Bv!O24+MLF_okra)),".")</f>
        <v>.</v>
      </c>
      <c r="Q24" s="70" t="str">
        <f>IFERROR((d_dir!Q24/(d_Bv!P24+MLF_onion)),".")</f>
        <v>.</v>
      </c>
      <c r="R24" s="70" t="str">
        <f>IFERROR((d_dir!R24/(d_Bv!Q24+MLF_peach)),".")</f>
        <v>.</v>
      </c>
      <c r="S24" s="70" t="str">
        <f>IFERROR((d_dir!S24/(d_Bv!R24+MLF_pear)),".")</f>
        <v>.</v>
      </c>
      <c r="T24" s="70" t="str">
        <f>IFERROR((d_dir!T24/(d_Bv!S24+MLF_peas)),".")</f>
        <v>.</v>
      </c>
      <c r="U24" s="70" t="str">
        <f>IFERROR((d_dir!U24/(d_Bv!T24+MLF_peppers)),".")</f>
        <v>.</v>
      </c>
      <c r="V24" s="70" t="str">
        <f>IFERROR((d_dir!V24/(d_Bv!U24+MLF_potato)),".")</f>
        <v>.</v>
      </c>
      <c r="W24" s="70" t="str">
        <f>IFERROR((d_dir!W24/(d_Bv!V24+MLF_pumpkin)),".")</f>
        <v>.</v>
      </c>
      <c r="X24" s="70" t="str">
        <f>IFERROR((d_dir!X24/(d_Bv!W24+MLF_snap_bean)),".")</f>
        <v>.</v>
      </c>
      <c r="Y24" s="70" t="str">
        <f>IFERROR((d_dir!Y24/(d_Bv!X24+MLF_strawberry)),".")</f>
        <v>.</v>
      </c>
      <c r="Z24" s="70" t="str">
        <f>IFERROR((d_dir!Z24/(d_Bv!Y24+MLF_tomato)),".")</f>
        <v>.</v>
      </c>
      <c r="AA24" s="70" t="str">
        <f>IFERROR((d_dir!AA24/(d_Bv!D24+MLF_rice)),".")</f>
        <v>.</v>
      </c>
      <c r="AB24" s="70" t="str">
        <f>IFERROR((d_dir!AB24/(d_Bv!AA24+MLF_cereal)),".")</f>
        <v>.</v>
      </c>
      <c r="AC24" s="70" t="str">
        <f t="shared" si="1"/>
        <v>.</v>
      </c>
      <c r="AD24" s="70" t="str">
        <f>IFERROR((d_dir!AD24/(d_Bv!C24+MLF_apple))*1,".")</f>
        <v>.</v>
      </c>
      <c r="AE24" s="70" t="str">
        <f>IFERROR((d_dir!AE24/(d_Bv!D24+MLF_asparagus))*1,".")</f>
        <v>.</v>
      </c>
      <c r="AF24" s="70" t="str">
        <f>IFERROR((d_dir!AF24/(d_Bv!E24+MLF_beet))*1,".")</f>
        <v>.</v>
      </c>
      <c r="AG24" s="70" t="str">
        <f>IFERROR((d_dir!AG24/(d_Bv!F24+MLF_berries))*1,".")</f>
        <v>.</v>
      </c>
      <c r="AH24" s="70" t="str">
        <f>IFERROR((d_dir!AH24/(d_Bv!G24+MLF_broccoli))*1,".")</f>
        <v>.</v>
      </c>
      <c r="AI24" s="70" t="str">
        <f>IFERROR((d_dir!AI24/(d_Bv!H24+MLF_cabbage))*1,".")</f>
        <v>.</v>
      </c>
      <c r="AJ24" s="70" t="str">
        <f>IFERROR((d_dir!AJ24/(d_Bv!I24+MLF_carrot))*1,".")</f>
        <v>.</v>
      </c>
      <c r="AK24" s="70" t="str">
        <f>IFERROR((d_dir!AK24/(d_Bv!J24+MLF_citrus))*1,".")</f>
        <v>.</v>
      </c>
      <c r="AL24" s="70" t="str">
        <f>IFERROR((d_dir!AL24/(d_Bv!K24+MLF_corn))*1,".")</f>
        <v>.</v>
      </c>
      <c r="AM24" s="70" t="str">
        <f>IFERROR((d_dir!AM24/(d_Bv!L24+MLF_cucumber))*1,".")</f>
        <v>.</v>
      </c>
      <c r="AN24" s="70" t="str">
        <f>IFERROR((d_dir!AN24/(d_Bv!M24+MLF_lettuce))*1,".")</f>
        <v>.</v>
      </c>
      <c r="AO24" s="70" t="str">
        <f>IFERROR((d_dir!AO24/(d_Bv!N24+MLF_lima_bean))*1,".")</f>
        <v>.</v>
      </c>
      <c r="AP24" s="70" t="str">
        <f>IFERROR((d_dir!AP24/(d_Bv!O24+MLF_okra))*1,".")</f>
        <v>.</v>
      </c>
      <c r="AQ24" s="70" t="str">
        <f>IFERROR((d_dir!AQ24/(d_Bv!P24+MLF_onion))*1,".")</f>
        <v>.</v>
      </c>
      <c r="AR24" s="70" t="str">
        <f>IFERROR((d_dir!AR24/(d_Bv!Q24+MLF_peach))*1,".")</f>
        <v>.</v>
      </c>
      <c r="AS24" s="70" t="str">
        <f>IFERROR((d_dir!AS24/(d_Bv!R24+MLF_pear))*1,".")</f>
        <v>.</v>
      </c>
      <c r="AT24" s="70" t="str">
        <f>IFERROR((d_dir!AT24/(d_Bv!S24+MLF_peas))*1,".")</f>
        <v>.</v>
      </c>
      <c r="AU24" s="70" t="str">
        <f>IFERROR((d_dir!AU24/(d_Bv!T24+MLF_peppers))*1,".")</f>
        <v>.</v>
      </c>
      <c r="AV24" s="70" t="str">
        <f>IFERROR((d_dir!AV24/(d_Bv!U24+MLF_potato))*1,".")</f>
        <v>.</v>
      </c>
      <c r="AW24" s="70" t="str">
        <f>IFERROR((d_dir!AW24/(d_Bv!V24+MLF_pumpkin))*1,".")</f>
        <v>.</v>
      </c>
      <c r="AX24" s="70" t="str">
        <f>IFERROR((d_dir!AX24/(d_Bv!W24+MLF_snap_bean))*1,".")</f>
        <v>.</v>
      </c>
      <c r="AY24" s="70" t="str">
        <f>IFERROR((d_dir!AY24/(d_Bv!X24+MLF_strawberry))*1,".")</f>
        <v>.</v>
      </c>
      <c r="AZ24" s="70" t="str">
        <f>IFERROR((d_dir!AZ24/(d_Bv!Y24+MLF_tomato))*1,".")</f>
        <v>.</v>
      </c>
      <c r="BA24" s="70" t="str">
        <f>IFERROR((d_dir!BA24/(d_Bv!Z24+MLF_rice))*1,".")</f>
        <v>.</v>
      </c>
      <c r="BB24" s="70" t="str">
        <f>IFERROR((d_dir!BB24/(d_Bv!AA24+MLF_cereal))*1,".")</f>
        <v>.</v>
      </c>
    </row>
    <row r="25" spans="1:54" x14ac:dyDescent="0.25">
      <c r="A25" s="88" t="s">
        <v>23</v>
      </c>
      <c r="B25" s="84" t="s">
        <v>335</v>
      </c>
      <c r="C25" s="2" t="str">
        <f t="shared" si="0"/>
        <v>.</v>
      </c>
      <c r="D25" s="70" t="str">
        <f>IFERROR((d_dir!D25/(d_Bv!C25+MLF_apple)),".")</f>
        <v>.</v>
      </c>
      <c r="E25" s="70" t="str">
        <f>IFERROR((d_dir!E25/(d_Bv!D25+MLF_asparagus)),".")</f>
        <v>.</v>
      </c>
      <c r="F25" s="70" t="str">
        <f>IFERROR((d_dir!F25/(d_Bv!E25+MLF_beet)),".")</f>
        <v>.</v>
      </c>
      <c r="G25" s="70" t="str">
        <f>IFERROR((d_dir!G25/(d_Bv!F25+MLF_berries)),".")</f>
        <v>.</v>
      </c>
      <c r="H25" s="70" t="str">
        <f>IFERROR((d_dir!H25/(d_Bv!G25+MLF_broccoli)),".")</f>
        <v>.</v>
      </c>
      <c r="I25" s="70" t="str">
        <f>IFERROR((d_dir!I25/(d_Bv!H25+MLF_cabbage)),".")</f>
        <v>.</v>
      </c>
      <c r="J25" s="70" t="str">
        <f>IFERROR((d_dir!J25/(d_Bv!I25+MLF_carrot)),".")</f>
        <v>.</v>
      </c>
      <c r="K25" s="70" t="str">
        <f>IFERROR((d_dir!K25/(d_Bv!J25+MLF_citrus)),".")</f>
        <v>.</v>
      </c>
      <c r="L25" s="70" t="str">
        <f>IFERROR((d_dir!L25/(d_Bv!K25+MLF_corn)),".")</f>
        <v>.</v>
      </c>
      <c r="M25" s="70" t="str">
        <f>IFERROR((d_dir!M25/(d_Bv!L25+MLF_cucumber)),".")</f>
        <v>.</v>
      </c>
      <c r="N25" s="70" t="str">
        <f>IFERROR((d_dir!N25/(d_Bv!M25+MLF_lettuce)),".")</f>
        <v>.</v>
      </c>
      <c r="O25" s="70" t="str">
        <f>IFERROR((d_dir!O25/(d_Bv!N25+MLF_lima_bean)),".")</f>
        <v>.</v>
      </c>
      <c r="P25" s="70" t="str">
        <f>IFERROR((d_dir!P25/(d_Bv!O25+MLF_okra)),".")</f>
        <v>.</v>
      </c>
      <c r="Q25" s="70" t="str">
        <f>IFERROR((d_dir!Q25/(d_Bv!P25+MLF_onion)),".")</f>
        <v>.</v>
      </c>
      <c r="R25" s="70" t="str">
        <f>IFERROR((d_dir!R25/(d_Bv!Q25+MLF_peach)),".")</f>
        <v>.</v>
      </c>
      <c r="S25" s="70" t="str">
        <f>IFERROR((d_dir!S25/(d_Bv!R25+MLF_pear)),".")</f>
        <v>.</v>
      </c>
      <c r="T25" s="70" t="str">
        <f>IFERROR((d_dir!T25/(d_Bv!S25+MLF_peas)),".")</f>
        <v>.</v>
      </c>
      <c r="U25" s="70" t="str">
        <f>IFERROR((d_dir!U25/(d_Bv!T25+MLF_peppers)),".")</f>
        <v>.</v>
      </c>
      <c r="V25" s="70" t="str">
        <f>IFERROR((d_dir!V25/(d_Bv!U25+MLF_potato)),".")</f>
        <v>.</v>
      </c>
      <c r="W25" s="70" t="str">
        <f>IFERROR((d_dir!W25/(d_Bv!V25+MLF_pumpkin)),".")</f>
        <v>.</v>
      </c>
      <c r="X25" s="70" t="str">
        <f>IFERROR((d_dir!X25/(d_Bv!W25+MLF_snap_bean)),".")</f>
        <v>.</v>
      </c>
      <c r="Y25" s="70" t="str">
        <f>IFERROR((d_dir!Y25/(d_Bv!X25+MLF_strawberry)),".")</f>
        <v>.</v>
      </c>
      <c r="Z25" s="70" t="str">
        <f>IFERROR((d_dir!Z25/(d_Bv!Y25+MLF_tomato)),".")</f>
        <v>.</v>
      </c>
      <c r="AA25" s="70" t="str">
        <f>IFERROR((d_dir!AA25/(d_Bv!D25+MLF_rice)),".")</f>
        <v>.</v>
      </c>
      <c r="AB25" s="70" t="str">
        <f>IFERROR((d_dir!AB25/(d_Bv!AA25+MLF_cereal)),".")</f>
        <v>.</v>
      </c>
      <c r="AC25" s="70" t="str">
        <f t="shared" si="1"/>
        <v>.</v>
      </c>
      <c r="AD25" s="70" t="str">
        <f>IFERROR((d_dir!AD25/(d_Bv!C25+MLF_apple))*1,".")</f>
        <v>.</v>
      </c>
      <c r="AE25" s="70" t="str">
        <f>IFERROR((d_dir!AE25/(d_Bv!D25+MLF_asparagus))*1,".")</f>
        <v>.</v>
      </c>
      <c r="AF25" s="70" t="str">
        <f>IFERROR((d_dir!AF25/(d_Bv!E25+MLF_beet))*1,".")</f>
        <v>.</v>
      </c>
      <c r="AG25" s="70" t="str">
        <f>IFERROR((d_dir!AG25/(d_Bv!F25+MLF_berries))*1,".")</f>
        <v>.</v>
      </c>
      <c r="AH25" s="70" t="str">
        <f>IFERROR((d_dir!AH25/(d_Bv!G25+MLF_broccoli))*1,".")</f>
        <v>.</v>
      </c>
      <c r="AI25" s="70" t="str">
        <f>IFERROR((d_dir!AI25/(d_Bv!H25+MLF_cabbage))*1,".")</f>
        <v>.</v>
      </c>
      <c r="AJ25" s="70" t="str">
        <f>IFERROR((d_dir!AJ25/(d_Bv!I25+MLF_carrot))*1,".")</f>
        <v>.</v>
      </c>
      <c r="AK25" s="70" t="str">
        <f>IFERROR((d_dir!AK25/(d_Bv!J25+MLF_citrus))*1,".")</f>
        <v>.</v>
      </c>
      <c r="AL25" s="70" t="str">
        <f>IFERROR((d_dir!AL25/(d_Bv!K25+MLF_corn))*1,".")</f>
        <v>.</v>
      </c>
      <c r="AM25" s="70" t="str">
        <f>IFERROR((d_dir!AM25/(d_Bv!L25+MLF_cucumber))*1,".")</f>
        <v>.</v>
      </c>
      <c r="AN25" s="70" t="str">
        <f>IFERROR((d_dir!AN25/(d_Bv!M25+MLF_lettuce))*1,".")</f>
        <v>.</v>
      </c>
      <c r="AO25" s="70" t="str">
        <f>IFERROR((d_dir!AO25/(d_Bv!N25+MLF_lima_bean))*1,".")</f>
        <v>.</v>
      </c>
      <c r="AP25" s="70" t="str">
        <f>IFERROR((d_dir!AP25/(d_Bv!O25+MLF_okra))*1,".")</f>
        <v>.</v>
      </c>
      <c r="AQ25" s="70" t="str">
        <f>IFERROR((d_dir!AQ25/(d_Bv!P25+MLF_onion))*1,".")</f>
        <v>.</v>
      </c>
      <c r="AR25" s="70" t="str">
        <f>IFERROR((d_dir!AR25/(d_Bv!Q25+MLF_peach))*1,".")</f>
        <v>.</v>
      </c>
      <c r="AS25" s="70" t="str">
        <f>IFERROR((d_dir!AS25/(d_Bv!R25+MLF_pear))*1,".")</f>
        <v>.</v>
      </c>
      <c r="AT25" s="70" t="str">
        <f>IFERROR((d_dir!AT25/(d_Bv!S25+MLF_peas))*1,".")</f>
        <v>.</v>
      </c>
      <c r="AU25" s="70" t="str">
        <f>IFERROR((d_dir!AU25/(d_Bv!T25+MLF_peppers))*1,".")</f>
        <v>.</v>
      </c>
      <c r="AV25" s="70" t="str">
        <f>IFERROR((d_dir!AV25/(d_Bv!U25+MLF_potato))*1,".")</f>
        <v>.</v>
      </c>
      <c r="AW25" s="70" t="str">
        <f>IFERROR((d_dir!AW25/(d_Bv!V25+MLF_pumpkin))*1,".")</f>
        <v>.</v>
      </c>
      <c r="AX25" s="70" t="str">
        <f>IFERROR((d_dir!AX25/(d_Bv!W25+MLF_snap_bean))*1,".")</f>
        <v>.</v>
      </c>
      <c r="AY25" s="70" t="str">
        <f>IFERROR((d_dir!AY25/(d_Bv!X25+MLF_strawberry))*1,".")</f>
        <v>.</v>
      </c>
      <c r="AZ25" s="70" t="str">
        <f>IFERROR((d_dir!AZ25/(d_Bv!Y25+MLF_tomato))*1,".")</f>
        <v>.</v>
      </c>
      <c r="BA25" s="70" t="str">
        <f>IFERROR((d_dir!BA25/(d_Bv!Z25+MLF_rice))*1,".")</f>
        <v>.</v>
      </c>
      <c r="BB25" s="70" t="str">
        <f>IFERROR((d_dir!BB25/(d_Bv!AA25+MLF_cereal))*1,".")</f>
        <v>.</v>
      </c>
    </row>
    <row r="26" spans="1:54" ht="15" customHeight="1" x14ac:dyDescent="0.25">
      <c r="A26" s="86" t="s">
        <v>24</v>
      </c>
      <c r="B26" s="84" t="s">
        <v>1057</v>
      </c>
      <c r="C26" s="2">
        <f t="shared" si="0"/>
        <v>0.66065662738894715</v>
      </c>
      <c r="D26" s="70">
        <f>IFERROR((d_dir!D26/(d_Bv!C26+MLF_apple)),".")</f>
        <v>26.151725184025139</v>
      </c>
      <c r="E26" s="70">
        <f>IFERROR((d_dir!E26/(d_Bv!D26+MLF_asparagus)),".")</f>
        <v>29.493220567142075</v>
      </c>
      <c r="F26" s="70">
        <f>IFERROR((d_dir!F26/(d_Bv!E26+MLF_beet)),".")</f>
        <v>48.506986926643897</v>
      </c>
      <c r="G26" s="70">
        <f>IFERROR((d_dir!G26/(d_Bv!F26+MLF_berries)),".")</f>
        <v>58.275978620864464</v>
      </c>
      <c r="H26" s="70">
        <f>IFERROR((d_dir!H26/(d_Bv!G26+MLF_broccoli)),".")</f>
        <v>26.709761644520892</v>
      </c>
      <c r="I26" s="70">
        <f>IFERROR((d_dir!I26/(d_Bv!H26+MLF_cabbage)),".")</f>
        <v>14.238264123168907</v>
      </c>
      <c r="J26" s="70">
        <f>IFERROR((d_dir!J26/(d_Bv!I26+MLF_carrot)),".")</f>
        <v>58.407583604811201</v>
      </c>
      <c r="K26" s="70">
        <f>IFERROR((d_dir!K26/(d_Bv!J26+MLF_citrus)),".")</f>
        <v>6.8103700539166567</v>
      </c>
      <c r="L26" s="70">
        <f>IFERROR((d_dir!L26/(d_Bv!K26+MLF_corn)),".")</f>
        <v>31.249045043099066</v>
      </c>
      <c r="M26" s="70">
        <f>IFERROR((d_dir!M26/(d_Bv!L26+MLF_cucumber)),".")</f>
        <v>22.40847143634852</v>
      </c>
      <c r="N26" s="70">
        <f>IFERROR((d_dir!N26/(d_Bv!M26+MLF_lettuce)),".")</f>
        <v>2.9701886719106385</v>
      </c>
      <c r="O26" s="70">
        <f>IFERROR((d_dir!O26/(d_Bv!N26+MLF_lima_bean)),".")</f>
        <v>9.3322677383234254</v>
      </c>
      <c r="P26" s="70">
        <f>IFERROR((d_dir!P26/(d_Bv!O26+MLF_okra)),".")</f>
        <v>57.661211064386222</v>
      </c>
      <c r="Q26" s="70">
        <f>IFERROR((d_dir!Q26/(d_Bv!P26+MLF_onion)),".")</f>
        <v>78.91806266210591</v>
      </c>
      <c r="R26" s="70">
        <f>IFERROR((d_dir!R26/(d_Bv!Q26+MLF_peach)),".")</f>
        <v>17.046715314344603</v>
      </c>
      <c r="S26" s="70">
        <f>IFERROR((d_dir!S26/(d_Bv!R26+MLF_pear)),".")</f>
        <v>34.258531485833188</v>
      </c>
      <c r="T26" s="70">
        <f>IFERROR((d_dir!T26/(d_Bv!S26+MLF_peas)),".")</f>
        <v>55.709046030578996</v>
      </c>
      <c r="U26" s="70">
        <f>IFERROR((d_dir!U26/(d_Bv!T26+MLF_peppers)),".")</f>
        <v>26.311038420237089</v>
      </c>
      <c r="V26" s="70">
        <f>IFERROR((d_dir!V26/(d_Bv!U26+MLF_potato)),".")</f>
        <v>28.298832958533485</v>
      </c>
      <c r="W26" s="70">
        <f>IFERROR((d_dir!W26/(d_Bv!V26+MLF_pumpkin)),".")</f>
        <v>28.139787080535555</v>
      </c>
      <c r="X26" s="70">
        <f>IFERROR((d_dir!X26/(d_Bv!W26+MLF_snap_bean)),".")</f>
        <v>4.7833821212007663</v>
      </c>
      <c r="Y26" s="70">
        <f>IFERROR((d_dir!Y26/(d_Bv!X26+MLF_strawberry)),".")</f>
        <v>58.163064611850665</v>
      </c>
      <c r="Z26" s="70">
        <f>IFERROR((d_dir!Z26/(d_Bv!Y26+MLF_tomato)),".")</f>
        <v>7.1079044553030251</v>
      </c>
      <c r="AA26" s="70">
        <f>IFERROR((d_dir!AA26/(d_Bv!D26+MLF_rice)),".")</f>
        <v>6.9630134042157121E-2</v>
      </c>
      <c r="AB26" s="70">
        <f>IFERROR((d_dir!AB26/(d_Bv!AA26+MLF_cereal)),".")</f>
        <v>7.9573423738512311E-2</v>
      </c>
      <c r="AC26" s="70">
        <f t="shared" si="1"/>
        <v>0.610593989388168</v>
      </c>
      <c r="AD26" s="70">
        <f>IFERROR((d_dir!AD26/(d_Bv!C26+MLF_apple))*1,".")</f>
        <v>22.73994421724613</v>
      </c>
      <c r="AE26" s="70">
        <f>IFERROR((d_dir!AE26/(d_Bv!D26+MLF_asparagus))*1,".")</f>
        <v>27.638280349704878</v>
      </c>
      <c r="AF26" s="70">
        <f>IFERROR((d_dir!AF26/(d_Bv!E26+MLF_beet))*1,".")</f>
        <v>44.850454932704444</v>
      </c>
      <c r="AG26" s="70">
        <f>IFERROR((d_dir!AG26/(d_Bv!F26+MLF_berries))*1,".")</f>
        <v>56.747428361956558</v>
      </c>
      <c r="AH26" s="70">
        <f>IFERROR((d_dir!AH26/(d_Bv!G26+MLF_broccoli))*1,".")</f>
        <v>22.70051557680944</v>
      </c>
      <c r="AI26" s="70">
        <f>IFERROR((d_dir!AI26/(d_Bv!H26+MLF_cabbage))*1,".")</f>
        <v>14.035874063259939</v>
      </c>
      <c r="AJ26" s="70">
        <f>IFERROR((d_dir!AJ26/(d_Bv!I26+MLF_carrot))*1,".")</f>
        <v>62.258548267061919</v>
      </c>
      <c r="AK26" s="70">
        <f>IFERROR((d_dir!AK26/(d_Bv!J26+MLF_citrus))*1,".")</f>
        <v>6.6224816598753415</v>
      </c>
      <c r="AL26" s="70">
        <f>IFERROR((d_dir!AL26/(d_Bv!K26+MLF_corn))*1,".")</f>
        <v>21.674111214730502</v>
      </c>
      <c r="AM26" s="70">
        <f>IFERROR((d_dir!AM26/(d_Bv!L26+MLF_cucumber))*1,".")</f>
        <v>31.486845447702418</v>
      </c>
      <c r="AN26" s="70">
        <f>IFERROR((d_dir!AN26/(d_Bv!M26+MLF_lettuce))*1,".")</f>
        <v>2.7206197514889405</v>
      </c>
      <c r="AO26" s="70">
        <f>IFERROR((d_dir!AO26/(d_Bv!N26+MLF_lima_bean))*1,".")</f>
        <v>9.0556269509379703</v>
      </c>
      <c r="AP26" s="70">
        <f>IFERROR((d_dir!AP26/(d_Bv!O26+MLF_okra))*1,".")</f>
        <v>54.106318051976359</v>
      </c>
      <c r="AQ26" s="70">
        <f>IFERROR((d_dir!AQ26/(d_Bv!P26+MLF_onion))*1,".")</f>
        <v>58.100301619549562</v>
      </c>
      <c r="AR26" s="70">
        <f>IFERROR((d_dir!AR26/(d_Bv!Q26+MLF_peach))*1,".")</f>
        <v>19.056717305690661</v>
      </c>
      <c r="AS26" s="70">
        <f>IFERROR((d_dir!AS26/(d_Bv!R26+MLF_pear))*1,".")</f>
        <v>30.606725939047941</v>
      </c>
      <c r="AT26" s="70">
        <f>IFERROR((d_dir!AT26/(d_Bv!S26+MLF_peas))*1,".")</f>
        <v>59.857433549166238</v>
      </c>
      <c r="AU26" s="70">
        <f>IFERROR((d_dir!AU26/(d_Bv!T26+MLF_peppers))*1,".")</f>
        <v>19.727445562785935</v>
      </c>
      <c r="AV26" s="70">
        <f>IFERROR((d_dir!AV26/(d_Bv!U26+MLF_potato))*1,".")</f>
        <v>24.0878414196848</v>
      </c>
      <c r="AW26" s="70">
        <f>IFERROR((d_dir!AW26/(d_Bv!V26+MLF_pumpkin))*1,".")</f>
        <v>26.473702932507692</v>
      </c>
      <c r="AX26" s="70">
        <f>IFERROR((d_dir!AX26/(d_Bv!W26+MLF_snap_bean))*1,".")</f>
        <v>4.5287659881445537</v>
      </c>
      <c r="AY26" s="70">
        <f>IFERROR((d_dir!AY26/(d_Bv!X26+MLF_strawberry))*1,".")</f>
        <v>56.585352907095398</v>
      </c>
      <c r="AZ26" s="70">
        <f>IFERROR((d_dir!AZ26/(d_Bv!Y26+MLF_tomato))*1,".")</f>
        <v>5.7665275655761761</v>
      </c>
      <c r="BA26" s="70">
        <f>IFERROR((d_dir!BA26/(d_Bv!Z26+MLF_rice))*1,".")</f>
        <v>5.5392408038050928E-2</v>
      </c>
      <c r="BB26" s="70">
        <f>IFERROR((d_dir!BB26/(d_Bv!AA26+MLF_cereal))*1,".")</f>
        <v>6.342993842819708E-2</v>
      </c>
    </row>
    <row r="27" spans="1:54" ht="15" customHeight="1" x14ac:dyDescent="0.25">
      <c r="A27" s="86" t="s">
        <v>25</v>
      </c>
      <c r="B27" s="84" t="s">
        <v>1057</v>
      </c>
      <c r="C27" s="2" t="str">
        <f t="shared" si="0"/>
        <v>.</v>
      </c>
      <c r="D27" s="70" t="str">
        <f>IFERROR((d_dir!D27/(d_Bv!C27+MLF_apple)),".")</f>
        <v>.</v>
      </c>
      <c r="E27" s="70" t="str">
        <f>IFERROR((d_dir!E27/(d_Bv!D27+MLF_asparagus)),".")</f>
        <v>.</v>
      </c>
      <c r="F27" s="70" t="str">
        <f>IFERROR((d_dir!F27/(d_Bv!E27+MLF_beet)),".")</f>
        <v>.</v>
      </c>
      <c r="G27" s="70" t="str">
        <f>IFERROR((d_dir!G27/(d_Bv!F27+MLF_berries)),".")</f>
        <v>.</v>
      </c>
      <c r="H27" s="70" t="str">
        <f>IFERROR((d_dir!H27/(d_Bv!G27+MLF_broccoli)),".")</f>
        <v>.</v>
      </c>
      <c r="I27" s="70" t="str">
        <f>IFERROR((d_dir!I27/(d_Bv!H27+MLF_cabbage)),".")</f>
        <v>.</v>
      </c>
      <c r="J27" s="70" t="str">
        <f>IFERROR((d_dir!J27/(d_Bv!I27+MLF_carrot)),".")</f>
        <v>.</v>
      </c>
      <c r="K27" s="70" t="str">
        <f>IFERROR((d_dir!K27/(d_Bv!J27+MLF_citrus)),".")</f>
        <v>.</v>
      </c>
      <c r="L27" s="70" t="str">
        <f>IFERROR((d_dir!L27/(d_Bv!K27+MLF_corn)),".")</f>
        <v>.</v>
      </c>
      <c r="M27" s="70" t="str">
        <f>IFERROR((d_dir!M27/(d_Bv!L27+MLF_cucumber)),".")</f>
        <v>.</v>
      </c>
      <c r="N27" s="70" t="str">
        <f>IFERROR((d_dir!N27/(d_Bv!M27+MLF_lettuce)),".")</f>
        <v>.</v>
      </c>
      <c r="O27" s="70" t="str">
        <f>IFERROR((d_dir!O27/(d_Bv!N27+MLF_lima_bean)),".")</f>
        <v>.</v>
      </c>
      <c r="P27" s="70" t="str">
        <f>IFERROR((d_dir!P27/(d_Bv!O27+MLF_okra)),".")</f>
        <v>.</v>
      </c>
      <c r="Q27" s="70" t="str">
        <f>IFERROR((d_dir!Q27/(d_Bv!P27+MLF_onion)),".")</f>
        <v>.</v>
      </c>
      <c r="R27" s="70" t="str">
        <f>IFERROR((d_dir!R27/(d_Bv!Q27+MLF_peach)),".")</f>
        <v>.</v>
      </c>
      <c r="S27" s="70" t="str">
        <f>IFERROR((d_dir!S27/(d_Bv!R27+MLF_pear)),".")</f>
        <v>.</v>
      </c>
      <c r="T27" s="70" t="str">
        <f>IFERROR((d_dir!T27/(d_Bv!S27+MLF_peas)),".")</f>
        <v>.</v>
      </c>
      <c r="U27" s="70" t="str">
        <f>IFERROR((d_dir!U27/(d_Bv!T27+MLF_peppers)),".")</f>
        <v>.</v>
      </c>
      <c r="V27" s="70" t="str">
        <f>IFERROR((d_dir!V27/(d_Bv!U27+MLF_potato)),".")</f>
        <v>.</v>
      </c>
      <c r="W27" s="70" t="str">
        <f>IFERROR((d_dir!W27/(d_Bv!V27+MLF_pumpkin)),".")</f>
        <v>.</v>
      </c>
      <c r="X27" s="70" t="str">
        <f>IFERROR((d_dir!X27/(d_Bv!W27+MLF_snap_bean)),".")</f>
        <v>.</v>
      </c>
      <c r="Y27" s="70" t="str">
        <f>IFERROR((d_dir!Y27/(d_Bv!X27+MLF_strawberry)),".")</f>
        <v>.</v>
      </c>
      <c r="Z27" s="70" t="str">
        <f>IFERROR((d_dir!Z27/(d_Bv!Y27+MLF_tomato)),".")</f>
        <v>.</v>
      </c>
      <c r="AA27" s="70" t="str">
        <f>IFERROR((d_dir!AA27/(d_Bv!D27+MLF_rice)),".")</f>
        <v>.</v>
      </c>
      <c r="AB27" s="70" t="str">
        <f>IFERROR((d_dir!AB27/(d_Bv!AA27+MLF_cereal)),".")</f>
        <v>.</v>
      </c>
      <c r="AC27" s="70" t="str">
        <f t="shared" si="1"/>
        <v>.</v>
      </c>
      <c r="AD27" s="70" t="str">
        <f>IFERROR((d_dir!AD27/(d_Bv!C27+MLF_apple))*1,".")</f>
        <v>.</v>
      </c>
      <c r="AE27" s="70" t="str">
        <f>IFERROR((d_dir!AE27/(d_Bv!D27+MLF_asparagus))*1,".")</f>
        <v>.</v>
      </c>
      <c r="AF27" s="70" t="str">
        <f>IFERROR((d_dir!AF27/(d_Bv!E27+MLF_beet))*1,".")</f>
        <v>.</v>
      </c>
      <c r="AG27" s="70" t="str">
        <f>IFERROR((d_dir!AG27/(d_Bv!F27+MLF_berries))*1,".")</f>
        <v>.</v>
      </c>
      <c r="AH27" s="70" t="str">
        <f>IFERROR((d_dir!AH27/(d_Bv!G27+MLF_broccoli))*1,".")</f>
        <v>.</v>
      </c>
      <c r="AI27" s="70" t="str">
        <f>IFERROR((d_dir!AI27/(d_Bv!H27+MLF_cabbage))*1,".")</f>
        <v>.</v>
      </c>
      <c r="AJ27" s="70" t="str">
        <f>IFERROR((d_dir!AJ27/(d_Bv!I27+MLF_carrot))*1,".")</f>
        <v>.</v>
      </c>
      <c r="AK27" s="70" t="str">
        <f>IFERROR((d_dir!AK27/(d_Bv!J27+MLF_citrus))*1,".")</f>
        <v>.</v>
      </c>
      <c r="AL27" s="70" t="str">
        <f>IFERROR((d_dir!AL27/(d_Bv!K27+MLF_corn))*1,".")</f>
        <v>.</v>
      </c>
      <c r="AM27" s="70" t="str">
        <f>IFERROR((d_dir!AM27/(d_Bv!L27+MLF_cucumber))*1,".")</f>
        <v>.</v>
      </c>
      <c r="AN27" s="70" t="str">
        <f>IFERROR((d_dir!AN27/(d_Bv!M27+MLF_lettuce))*1,".")</f>
        <v>.</v>
      </c>
      <c r="AO27" s="70" t="str">
        <f>IFERROR((d_dir!AO27/(d_Bv!N27+MLF_lima_bean))*1,".")</f>
        <v>.</v>
      </c>
      <c r="AP27" s="70" t="str">
        <f>IFERROR((d_dir!AP27/(d_Bv!O27+MLF_okra))*1,".")</f>
        <v>.</v>
      </c>
      <c r="AQ27" s="70" t="str">
        <f>IFERROR((d_dir!AQ27/(d_Bv!P27+MLF_onion))*1,".")</f>
        <v>.</v>
      </c>
      <c r="AR27" s="70" t="str">
        <f>IFERROR((d_dir!AR27/(d_Bv!Q27+MLF_peach))*1,".")</f>
        <v>.</v>
      </c>
      <c r="AS27" s="70" t="str">
        <f>IFERROR((d_dir!AS27/(d_Bv!R27+MLF_pear))*1,".")</f>
        <v>.</v>
      </c>
      <c r="AT27" s="70" t="str">
        <f>IFERROR((d_dir!AT27/(d_Bv!S27+MLF_peas))*1,".")</f>
        <v>.</v>
      </c>
      <c r="AU27" s="70" t="str">
        <f>IFERROR((d_dir!AU27/(d_Bv!T27+MLF_peppers))*1,".")</f>
        <v>.</v>
      </c>
      <c r="AV27" s="70" t="str">
        <f>IFERROR((d_dir!AV27/(d_Bv!U27+MLF_potato))*1,".")</f>
        <v>.</v>
      </c>
      <c r="AW27" s="70" t="str">
        <f>IFERROR((d_dir!AW27/(d_Bv!V27+MLF_pumpkin))*1,".")</f>
        <v>.</v>
      </c>
      <c r="AX27" s="70" t="str">
        <f>IFERROR((d_dir!AX27/(d_Bv!W27+MLF_snap_bean))*1,".")</f>
        <v>.</v>
      </c>
      <c r="AY27" s="70" t="str">
        <f>IFERROR((d_dir!AY27/(d_Bv!X27+MLF_strawberry))*1,".")</f>
        <v>.</v>
      </c>
      <c r="AZ27" s="70" t="str">
        <f>IFERROR((d_dir!AZ27/(d_Bv!Y27+MLF_tomato))*1,".")</f>
        <v>.</v>
      </c>
      <c r="BA27" s="70" t="str">
        <f>IFERROR((d_dir!BA27/(d_Bv!Z27+MLF_rice))*1,".")</f>
        <v>.</v>
      </c>
      <c r="BB27" s="70" t="str">
        <f>IFERROR((d_dir!BB27/(d_Bv!AA27+MLF_cereal))*1,".")</f>
        <v>.</v>
      </c>
    </row>
    <row r="28" spans="1:54" ht="15" customHeight="1" x14ac:dyDescent="0.25">
      <c r="A28" s="86" t="s">
        <v>26</v>
      </c>
      <c r="B28" s="84" t="s">
        <v>1057</v>
      </c>
      <c r="C28" s="2" t="str">
        <f t="shared" si="0"/>
        <v>.</v>
      </c>
      <c r="D28" s="70" t="str">
        <f>IFERROR((d_dir!D28/(d_Bv!C28+MLF_apple)),".")</f>
        <v>.</v>
      </c>
      <c r="E28" s="70" t="str">
        <f>IFERROR((d_dir!E28/(d_Bv!D28+MLF_asparagus)),".")</f>
        <v>.</v>
      </c>
      <c r="F28" s="70" t="str">
        <f>IFERROR((d_dir!F28/(d_Bv!E28+MLF_beet)),".")</f>
        <v>.</v>
      </c>
      <c r="G28" s="70" t="str">
        <f>IFERROR((d_dir!G28/(d_Bv!F28+MLF_berries)),".")</f>
        <v>.</v>
      </c>
      <c r="H28" s="70" t="str">
        <f>IFERROR((d_dir!H28/(d_Bv!G28+MLF_broccoli)),".")</f>
        <v>.</v>
      </c>
      <c r="I28" s="70" t="str">
        <f>IFERROR((d_dir!I28/(d_Bv!H28+MLF_cabbage)),".")</f>
        <v>.</v>
      </c>
      <c r="J28" s="70" t="str">
        <f>IFERROR((d_dir!J28/(d_Bv!I28+MLF_carrot)),".")</f>
        <v>.</v>
      </c>
      <c r="K28" s="70" t="str">
        <f>IFERROR((d_dir!K28/(d_Bv!J28+MLF_citrus)),".")</f>
        <v>.</v>
      </c>
      <c r="L28" s="70" t="str">
        <f>IFERROR((d_dir!L28/(d_Bv!K28+MLF_corn)),".")</f>
        <v>.</v>
      </c>
      <c r="M28" s="70" t="str">
        <f>IFERROR((d_dir!M28/(d_Bv!L28+MLF_cucumber)),".")</f>
        <v>.</v>
      </c>
      <c r="N28" s="70" t="str">
        <f>IFERROR((d_dir!N28/(d_Bv!M28+MLF_lettuce)),".")</f>
        <v>.</v>
      </c>
      <c r="O28" s="70" t="str">
        <f>IFERROR((d_dir!O28/(d_Bv!N28+MLF_lima_bean)),".")</f>
        <v>.</v>
      </c>
      <c r="P28" s="70" t="str">
        <f>IFERROR((d_dir!P28/(d_Bv!O28+MLF_okra)),".")</f>
        <v>.</v>
      </c>
      <c r="Q28" s="70" t="str">
        <f>IFERROR((d_dir!Q28/(d_Bv!P28+MLF_onion)),".")</f>
        <v>.</v>
      </c>
      <c r="R28" s="70" t="str">
        <f>IFERROR((d_dir!R28/(d_Bv!Q28+MLF_peach)),".")</f>
        <v>.</v>
      </c>
      <c r="S28" s="70" t="str">
        <f>IFERROR((d_dir!S28/(d_Bv!R28+MLF_pear)),".")</f>
        <v>.</v>
      </c>
      <c r="T28" s="70" t="str">
        <f>IFERROR((d_dir!T28/(d_Bv!S28+MLF_peas)),".")</f>
        <v>.</v>
      </c>
      <c r="U28" s="70" t="str">
        <f>IFERROR((d_dir!U28/(d_Bv!T28+MLF_peppers)),".")</f>
        <v>.</v>
      </c>
      <c r="V28" s="70" t="str">
        <f>IFERROR((d_dir!V28/(d_Bv!U28+MLF_potato)),".")</f>
        <v>.</v>
      </c>
      <c r="W28" s="70" t="str">
        <f>IFERROR((d_dir!W28/(d_Bv!V28+MLF_pumpkin)),".")</f>
        <v>.</v>
      </c>
      <c r="X28" s="70" t="str">
        <f>IFERROR((d_dir!X28/(d_Bv!W28+MLF_snap_bean)),".")</f>
        <v>.</v>
      </c>
      <c r="Y28" s="70" t="str">
        <f>IFERROR((d_dir!Y28/(d_Bv!X28+MLF_strawberry)),".")</f>
        <v>.</v>
      </c>
      <c r="Z28" s="70" t="str">
        <f>IFERROR((d_dir!Z28/(d_Bv!Y28+MLF_tomato)),".")</f>
        <v>.</v>
      </c>
      <c r="AA28" s="70" t="str">
        <f>IFERROR((d_dir!AA28/(d_Bv!D28+MLF_rice)),".")</f>
        <v>.</v>
      </c>
      <c r="AB28" s="70" t="str">
        <f>IFERROR((d_dir!AB28/(d_Bv!AA28+MLF_cereal)),".")</f>
        <v>.</v>
      </c>
      <c r="AC28" s="70" t="str">
        <f t="shared" si="1"/>
        <v>.</v>
      </c>
      <c r="AD28" s="70" t="str">
        <f>IFERROR((d_dir!AD28/(d_Bv!C28+MLF_apple))*1,".")</f>
        <v>.</v>
      </c>
      <c r="AE28" s="70" t="str">
        <f>IFERROR((d_dir!AE28/(d_Bv!D28+MLF_asparagus))*1,".")</f>
        <v>.</v>
      </c>
      <c r="AF28" s="70" t="str">
        <f>IFERROR((d_dir!AF28/(d_Bv!E28+MLF_beet))*1,".")</f>
        <v>.</v>
      </c>
      <c r="AG28" s="70" t="str">
        <f>IFERROR((d_dir!AG28/(d_Bv!F28+MLF_berries))*1,".")</f>
        <v>.</v>
      </c>
      <c r="AH28" s="70" t="str">
        <f>IFERROR((d_dir!AH28/(d_Bv!G28+MLF_broccoli))*1,".")</f>
        <v>.</v>
      </c>
      <c r="AI28" s="70" t="str">
        <f>IFERROR((d_dir!AI28/(d_Bv!H28+MLF_cabbage))*1,".")</f>
        <v>.</v>
      </c>
      <c r="AJ28" s="70" t="str">
        <f>IFERROR((d_dir!AJ28/(d_Bv!I28+MLF_carrot))*1,".")</f>
        <v>.</v>
      </c>
      <c r="AK28" s="70" t="str">
        <f>IFERROR((d_dir!AK28/(d_Bv!J28+MLF_citrus))*1,".")</f>
        <v>.</v>
      </c>
      <c r="AL28" s="70" t="str">
        <f>IFERROR((d_dir!AL28/(d_Bv!K28+MLF_corn))*1,".")</f>
        <v>.</v>
      </c>
      <c r="AM28" s="70" t="str">
        <f>IFERROR((d_dir!AM28/(d_Bv!L28+MLF_cucumber))*1,".")</f>
        <v>.</v>
      </c>
      <c r="AN28" s="70" t="str">
        <f>IFERROR((d_dir!AN28/(d_Bv!M28+MLF_lettuce))*1,".")</f>
        <v>.</v>
      </c>
      <c r="AO28" s="70" t="str">
        <f>IFERROR((d_dir!AO28/(d_Bv!N28+MLF_lima_bean))*1,".")</f>
        <v>.</v>
      </c>
      <c r="AP28" s="70" t="str">
        <f>IFERROR((d_dir!AP28/(d_Bv!O28+MLF_okra))*1,".")</f>
        <v>.</v>
      </c>
      <c r="AQ28" s="70" t="str">
        <f>IFERROR((d_dir!AQ28/(d_Bv!P28+MLF_onion))*1,".")</f>
        <v>.</v>
      </c>
      <c r="AR28" s="70" t="str">
        <f>IFERROR((d_dir!AR28/(d_Bv!Q28+MLF_peach))*1,".")</f>
        <v>.</v>
      </c>
      <c r="AS28" s="70" t="str">
        <f>IFERROR((d_dir!AS28/(d_Bv!R28+MLF_pear))*1,".")</f>
        <v>.</v>
      </c>
      <c r="AT28" s="70" t="str">
        <f>IFERROR((d_dir!AT28/(d_Bv!S28+MLF_peas))*1,".")</f>
        <v>.</v>
      </c>
      <c r="AU28" s="70" t="str">
        <f>IFERROR((d_dir!AU28/(d_Bv!T28+MLF_peppers))*1,".")</f>
        <v>.</v>
      </c>
      <c r="AV28" s="70" t="str">
        <f>IFERROR((d_dir!AV28/(d_Bv!U28+MLF_potato))*1,".")</f>
        <v>.</v>
      </c>
      <c r="AW28" s="70" t="str">
        <f>IFERROR((d_dir!AW28/(d_Bv!V28+MLF_pumpkin))*1,".")</f>
        <v>.</v>
      </c>
      <c r="AX28" s="70" t="str">
        <f>IFERROR((d_dir!AX28/(d_Bv!W28+MLF_snap_bean))*1,".")</f>
        <v>.</v>
      </c>
      <c r="AY28" s="70" t="str">
        <f>IFERROR((d_dir!AY28/(d_Bv!X28+MLF_strawberry))*1,".")</f>
        <v>.</v>
      </c>
      <c r="AZ28" s="70" t="str">
        <f>IFERROR((d_dir!AZ28/(d_Bv!Y28+MLF_tomato))*1,".")</f>
        <v>.</v>
      </c>
      <c r="BA28" s="70" t="str">
        <f>IFERROR((d_dir!BA28/(d_Bv!Z28+MLF_rice))*1,".")</f>
        <v>.</v>
      </c>
      <c r="BB28" s="70" t="str">
        <f>IFERROR((d_dir!BB28/(d_Bv!AA28+MLF_cereal))*1,".")</f>
        <v>.</v>
      </c>
    </row>
    <row r="29" spans="1:54" ht="15" customHeight="1" x14ac:dyDescent="0.25">
      <c r="A29" s="86" t="s">
        <v>27</v>
      </c>
      <c r="B29" s="84" t="s">
        <v>1057</v>
      </c>
      <c r="C29" s="2" t="str">
        <f t="shared" si="0"/>
        <v>.</v>
      </c>
      <c r="D29" s="70" t="str">
        <f>IFERROR((d_dir!D29/(d_Bv!C29+MLF_apple)),".")</f>
        <v>.</v>
      </c>
      <c r="E29" s="70" t="str">
        <f>IFERROR((d_dir!E29/(d_Bv!D29+MLF_asparagus)),".")</f>
        <v>.</v>
      </c>
      <c r="F29" s="70" t="str">
        <f>IFERROR((d_dir!F29/(d_Bv!E29+MLF_beet)),".")</f>
        <v>.</v>
      </c>
      <c r="G29" s="70" t="str">
        <f>IFERROR((d_dir!G29/(d_Bv!F29+MLF_berries)),".")</f>
        <v>.</v>
      </c>
      <c r="H29" s="70" t="str">
        <f>IFERROR((d_dir!H29/(d_Bv!G29+MLF_broccoli)),".")</f>
        <v>.</v>
      </c>
      <c r="I29" s="70" t="str">
        <f>IFERROR((d_dir!I29/(d_Bv!H29+MLF_cabbage)),".")</f>
        <v>.</v>
      </c>
      <c r="J29" s="70" t="str">
        <f>IFERROR((d_dir!J29/(d_Bv!I29+MLF_carrot)),".")</f>
        <v>.</v>
      </c>
      <c r="K29" s="70" t="str">
        <f>IFERROR((d_dir!K29/(d_Bv!J29+MLF_citrus)),".")</f>
        <v>.</v>
      </c>
      <c r="L29" s="70" t="str">
        <f>IFERROR((d_dir!L29/(d_Bv!K29+MLF_corn)),".")</f>
        <v>.</v>
      </c>
      <c r="M29" s="70" t="str">
        <f>IFERROR((d_dir!M29/(d_Bv!L29+MLF_cucumber)),".")</f>
        <v>.</v>
      </c>
      <c r="N29" s="70" t="str">
        <f>IFERROR((d_dir!N29/(d_Bv!M29+MLF_lettuce)),".")</f>
        <v>.</v>
      </c>
      <c r="O29" s="70" t="str">
        <f>IFERROR((d_dir!O29/(d_Bv!N29+MLF_lima_bean)),".")</f>
        <v>.</v>
      </c>
      <c r="P29" s="70" t="str">
        <f>IFERROR((d_dir!P29/(d_Bv!O29+MLF_okra)),".")</f>
        <v>.</v>
      </c>
      <c r="Q29" s="70" t="str">
        <f>IFERROR((d_dir!Q29/(d_Bv!P29+MLF_onion)),".")</f>
        <v>.</v>
      </c>
      <c r="R29" s="70" t="str">
        <f>IFERROR((d_dir!R29/(d_Bv!Q29+MLF_peach)),".")</f>
        <v>.</v>
      </c>
      <c r="S29" s="70" t="str">
        <f>IFERROR((d_dir!S29/(d_Bv!R29+MLF_pear)),".")</f>
        <v>.</v>
      </c>
      <c r="T29" s="70" t="str">
        <f>IFERROR((d_dir!T29/(d_Bv!S29+MLF_peas)),".")</f>
        <v>.</v>
      </c>
      <c r="U29" s="70" t="str">
        <f>IFERROR((d_dir!U29/(d_Bv!T29+MLF_peppers)),".")</f>
        <v>.</v>
      </c>
      <c r="V29" s="70" t="str">
        <f>IFERROR((d_dir!V29/(d_Bv!U29+MLF_potato)),".")</f>
        <v>.</v>
      </c>
      <c r="W29" s="70" t="str">
        <f>IFERROR((d_dir!W29/(d_Bv!V29+MLF_pumpkin)),".")</f>
        <v>.</v>
      </c>
      <c r="X29" s="70" t="str">
        <f>IFERROR((d_dir!X29/(d_Bv!W29+MLF_snap_bean)),".")</f>
        <v>.</v>
      </c>
      <c r="Y29" s="70" t="str">
        <f>IFERROR((d_dir!Y29/(d_Bv!X29+MLF_strawberry)),".")</f>
        <v>.</v>
      </c>
      <c r="Z29" s="70" t="str">
        <f>IFERROR((d_dir!Z29/(d_Bv!Y29+MLF_tomato)),".")</f>
        <v>.</v>
      </c>
      <c r="AA29" s="70" t="str">
        <f>IFERROR((d_dir!AA29/(d_Bv!D29+MLF_rice)),".")</f>
        <v>.</v>
      </c>
      <c r="AB29" s="70" t="str">
        <f>IFERROR((d_dir!AB29/(d_Bv!AA29+MLF_cereal)),".")</f>
        <v>.</v>
      </c>
      <c r="AC29" s="70" t="str">
        <f t="shared" si="1"/>
        <v>.</v>
      </c>
      <c r="AD29" s="70" t="str">
        <f>IFERROR((d_dir!AD29/(d_Bv!C29+MLF_apple))*1,".")</f>
        <v>.</v>
      </c>
      <c r="AE29" s="70" t="str">
        <f>IFERROR((d_dir!AE29/(d_Bv!D29+MLF_asparagus))*1,".")</f>
        <v>.</v>
      </c>
      <c r="AF29" s="70" t="str">
        <f>IFERROR((d_dir!AF29/(d_Bv!E29+MLF_beet))*1,".")</f>
        <v>.</v>
      </c>
      <c r="AG29" s="70" t="str">
        <f>IFERROR((d_dir!AG29/(d_Bv!F29+MLF_berries))*1,".")</f>
        <v>.</v>
      </c>
      <c r="AH29" s="70" t="str">
        <f>IFERROR((d_dir!AH29/(d_Bv!G29+MLF_broccoli))*1,".")</f>
        <v>.</v>
      </c>
      <c r="AI29" s="70" t="str">
        <f>IFERROR((d_dir!AI29/(d_Bv!H29+MLF_cabbage))*1,".")</f>
        <v>.</v>
      </c>
      <c r="AJ29" s="70" t="str">
        <f>IFERROR((d_dir!AJ29/(d_Bv!I29+MLF_carrot))*1,".")</f>
        <v>.</v>
      </c>
      <c r="AK29" s="70" t="str">
        <f>IFERROR((d_dir!AK29/(d_Bv!J29+MLF_citrus))*1,".")</f>
        <v>.</v>
      </c>
      <c r="AL29" s="70" t="str">
        <f>IFERROR((d_dir!AL29/(d_Bv!K29+MLF_corn))*1,".")</f>
        <v>.</v>
      </c>
      <c r="AM29" s="70" t="str">
        <f>IFERROR((d_dir!AM29/(d_Bv!L29+MLF_cucumber))*1,".")</f>
        <v>.</v>
      </c>
      <c r="AN29" s="70" t="str">
        <f>IFERROR((d_dir!AN29/(d_Bv!M29+MLF_lettuce))*1,".")</f>
        <v>.</v>
      </c>
      <c r="AO29" s="70" t="str">
        <f>IFERROR((d_dir!AO29/(d_Bv!N29+MLF_lima_bean))*1,".")</f>
        <v>.</v>
      </c>
      <c r="AP29" s="70" t="str">
        <f>IFERROR((d_dir!AP29/(d_Bv!O29+MLF_okra))*1,".")</f>
        <v>.</v>
      </c>
      <c r="AQ29" s="70" t="str">
        <f>IFERROR((d_dir!AQ29/(d_Bv!P29+MLF_onion))*1,".")</f>
        <v>.</v>
      </c>
      <c r="AR29" s="70" t="str">
        <f>IFERROR((d_dir!AR29/(d_Bv!Q29+MLF_peach))*1,".")</f>
        <v>.</v>
      </c>
      <c r="AS29" s="70" t="str">
        <f>IFERROR((d_dir!AS29/(d_Bv!R29+MLF_pear))*1,".")</f>
        <v>.</v>
      </c>
      <c r="AT29" s="70" t="str">
        <f>IFERROR((d_dir!AT29/(d_Bv!S29+MLF_peas))*1,".")</f>
        <v>.</v>
      </c>
      <c r="AU29" s="70" t="str">
        <f>IFERROR((d_dir!AU29/(d_Bv!T29+MLF_peppers))*1,".")</f>
        <v>.</v>
      </c>
      <c r="AV29" s="70" t="str">
        <f>IFERROR((d_dir!AV29/(d_Bv!U29+MLF_potato))*1,".")</f>
        <v>.</v>
      </c>
      <c r="AW29" s="70" t="str">
        <f>IFERROR((d_dir!AW29/(d_Bv!V29+MLF_pumpkin))*1,".")</f>
        <v>.</v>
      </c>
      <c r="AX29" s="70" t="str">
        <f>IFERROR((d_dir!AX29/(d_Bv!W29+MLF_snap_bean))*1,".")</f>
        <v>.</v>
      </c>
      <c r="AY29" s="70" t="str">
        <f>IFERROR((d_dir!AY29/(d_Bv!X29+MLF_strawberry))*1,".")</f>
        <v>.</v>
      </c>
      <c r="AZ29" s="70" t="str">
        <f>IFERROR((d_dir!AZ29/(d_Bv!Y29+MLF_tomato))*1,".")</f>
        <v>.</v>
      </c>
      <c r="BA29" s="70" t="str">
        <f>IFERROR((d_dir!BA29/(d_Bv!Z29+MLF_rice))*1,".")</f>
        <v>.</v>
      </c>
      <c r="BB29" s="70" t="str">
        <f>IFERROR((d_dir!BB29/(d_Bv!AA29+MLF_cereal))*1,".")</f>
        <v>.</v>
      </c>
    </row>
    <row r="30" spans="1:54" ht="15" customHeight="1" x14ac:dyDescent="0.25">
      <c r="A30" s="86" t="s">
        <v>28</v>
      </c>
      <c r="B30" s="84" t="s">
        <v>1057</v>
      </c>
      <c r="C30" s="2">
        <f t="shared" si="0"/>
        <v>1.2365704182267343</v>
      </c>
      <c r="D30" s="70">
        <f>IFERROR((d_dir!D30/(d_Bv!C30+MLF_apple)),".")</f>
        <v>150.52446472200518</v>
      </c>
      <c r="E30" s="70">
        <f>IFERROR((d_dir!E30/(d_Bv!D30+MLF_asparagus)),".")</f>
        <v>19.005157141891857</v>
      </c>
      <c r="F30" s="70">
        <f>IFERROR((d_dir!F30/(d_Bv!E30+MLF_beet)),".")</f>
        <v>53.910304890526383</v>
      </c>
      <c r="G30" s="70">
        <f>IFERROR((d_dir!G30/(d_Bv!F30+MLF_berries)),".")</f>
        <v>336.73329144063678</v>
      </c>
      <c r="H30" s="70">
        <f>IFERROR((d_dir!H30/(d_Bv!G30+MLF_broccoli)),".")</f>
        <v>30.210124347437198</v>
      </c>
      <c r="I30" s="70">
        <f>IFERROR((d_dir!I30/(d_Bv!H30+MLF_cabbage)),".")</f>
        <v>9.3494116193702936</v>
      </c>
      <c r="J30" s="70">
        <f>IFERROR((d_dir!J30/(d_Bv!I30+MLF_carrot)),".")</f>
        <v>62.375905818139131</v>
      </c>
      <c r="K30" s="70">
        <f>IFERROR((d_dir!K30/(d_Bv!J30+MLF_citrus)),".")</f>
        <v>39.122222861030153</v>
      </c>
      <c r="L30" s="70">
        <f>IFERROR((d_dir!L30/(d_Bv!K30+MLF_corn)),".")</f>
        <v>16.385433301484497</v>
      </c>
      <c r="M30" s="70">
        <f>IFERROR((d_dir!M30/(d_Bv!L30+MLF_cucumber)),".")</f>
        <v>12.359447305395717</v>
      </c>
      <c r="N30" s="70">
        <f>IFERROR((d_dir!N30/(d_Bv!M30+MLF_lettuce)),".")</f>
        <v>13.184915975378395</v>
      </c>
      <c r="O30" s="70">
        <f>IFERROR((d_dir!O30/(d_Bv!N30+MLF_lima_bean)),".")</f>
        <v>68.261710796807463</v>
      </c>
      <c r="P30" s="70">
        <f>IFERROR((d_dir!P30/(d_Bv!O30+MLF_okra)),".")</f>
        <v>33.266083306376672</v>
      </c>
      <c r="Q30" s="70">
        <f>IFERROR((d_dir!Q30/(d_Bv!P30+MLF_onion)),".")</f>
        <v>84.279905795589741</v>
      </c>
      <c r="R30" s="70">
        <f>IFERROR((d_dir!R30/(d_Bv!Q30+MLF_peach)),".")</f>
        <v>97.471360063315188</v>
      </c>
      <c r="S30" s="70">
        <f>IFERROR((d_dir!S30/(d_Bv!R30+MLF_pear)),".")</f>
        <v>197.18573355217939</v>
      </c>
      <c r="T30" s="70">
        <f>IFERROR((d_dir!T30/(d_Bv!S30+MLF_peas)),".")</f>
        <v>167.79071719930488</v>
      </c>
      <c r="U30" s="70">
        <f>IFERROR((d_dir!U30/(d_Bv!T30+MLF_peppers)),".")</f>
        <v>46.371046563500265</v>
      </c>
      <c r="V30" s="70">
        <f>IFERROR((d_dir!V30/(d_Bv!U30+MLF_potato)),".")</f>
        <v>22.528665170532726</v>
      </c>
      <c r="W30" s="70">
        <f>IFERROR((d_dir!W30/(d_Bv!V30+MLF_pumpkin)),".")</f>
        <v>15.842303688478388</v>
      </c>
      <c r="X30" s="70">
        <f>IFERROR((d_dir!X30/(d_Bv!W30+MLF_snap_bean)),".")</f>
        <v>37.166230173302665</v>
      </c>
      <c r="Y30" s="70">
        <f>IFERROR((d_dir!Y30/(d_Bv!X30+MLF_strawberry)),".")</f>
        <v>315.98925929306466</v>
      </c>
      <c r="Z30" s="70">
        <f>IFERROR((d_dir!Z30/(d_Bv!Y30+MLF_tomato)),".")</f>
        <v>10.933759089521544</v>
      </c>
      <c r="AA30" s="70">
        <f>IFERROR((d_dir!AA30/(d_Bv!D30+MLF_rice)),".")</f>
        <v>0.65535090500039561</v>
      </c>
      <c r="AB30" s="70">
        <f>IFERROR((d_dir!AB30/(d_Bv!AA30+MLF_cereal)),".")</f>
        <v>0.79210465607795011</v>
      </c>
      <c r="AC30" s="70">
        <f t="shared" si="1"/>
        <v>1.1362216577773681</v>
      </c>
      <c r="AD30" s="70">
        <f>IFERROR((d_dir!AD30/(d_Bv!C30+MLF_apple))*1,".")</f>
        <v>130.88688822717251</v>
      </c>
      <c r="AE30" s="70">
        <f>IFERROR((d_dir!AE30/(d_Bv!D30+MLF_asparagus))*1,".")</f>
        <v>17.809850910720741</v>
      </c>
      <c r="AF30" s="70">
        <f>IFERROR((d_dir!AF30/(d_Bv!E30+MLF_beet))*1,".")</f>
        <v>49.846462398446889</v>
      </c>
      <c r="AG30" s="70">
        <f>IFERROR((d_dir!AG30/(d_Bv!F30+MLF_berries))*1,".")</f>
        <v>327.90094281268568</v>
      </c>
      <c r="AH30" s="70">
        <f>IFERROR((d_dir!AH30/(d_Bv!G30+MLF_broccoli))*1,".")</f>
        <v>25.675459311596924</v>
      </c>
      <c r="AI30" s="70">
        <f>IFERROR((d_dir!AI30/(d_Bv!H30+MLF_cabbage))*1,".")</f>
        <v>9.2165142407720921</v>
      </c>
      <c r="AJ30" s="70">
        <f>IFERROR((d_dir!AJ30/(d_Bv!I30+MLF_carrot))*1,".")</f>
        <v>66.488512336956774</v>
      </c>
      <c r="AK30" s="70">
        <f>IFERROR((d_dir!AK30/(d_Bv!J30+MLF_citrus))*1,".")</f>
        <v>38.042896544472946</v>
      </c>
      <c r="AL30" s="70">
        <f>IFERROR((d_dir!AL30/(d_Bv!K30+MLF_corn))*1,".")</f>
        <v>11.364817810851845</v>
      </c>
      <c r="AM30" s="70">
        <f>IFERROR((d_dir!AM30/(d_Bv!L30+MLF_cucumber))*1,".")</f>
        <v>17.366646726860857</v>
      </c>
      <c r="AN30" s="70">
        <f>IFERROR((d_dir!AN30/(d_Bv!M30+MLF_lettuce))*1,".")</f>
        <v>12.077058660809463</v>
      </c>
      <c r="AO30" s="70">
        <f>IFERROR((d_dir!AO30/(d_Bv!N30+MLF_lima_bean))*1,".")</f>
        <v>66.238196903655961</v>
      </c>
      <c r="AP30" s="70">
        <f>IFERROR((d_dir!AP30/(d_Bv!O30+MLF_okra))*1,".")</f>
        <v>31.215183491524822</v>
      </c>
      <c r="AQ30" s="70">
        <f>IFERROR((d_dir!AQ30/(d_Bv!P30+MLF_onion))*1,".")</f>
        <v>62.047746510916703</v>
      </c>
      <c r="AR30" s="70">
        <f>IFERROR((d_dir!AR30/(d_Bv!Q30+MLF_peach))*1,".")</f>
        <v>108.96434414932327</v>
      </c>
      <c r="AS30" s="70">
        <f>IFERROR((d_dir!AS30/(d_Bv!R30+MLF_pear))*1,".")</f>
        <v>176.16662023056662</v>
      </c>
      <c r="AT30" s="70">
        <f>IFERROR((d_dir!AT30/(d_Bv!S30+MLF_peas))*1,".")</f>
        <v>180.28529333299645</v>
      </c>
      <c r="AU30" s="70">
        <f>IFERROR((d_dir!AU30/(d_Bv!T30+MLF_peppers))*1,".")</f>
        <v>34.768004293865502</v>
      </c>
      <c r="AV30" s="70">
        <f>IFERROR((d_dir!AV30/(d_Bv!U30+MLF_potato))*1,".")</f>
        <v>19.1763001258795</v>
      </c>
      <c r="AW30" s="70">
        <f>IFERROR((d_dir!AW30/(d_Bv!V30+MLF_pumpkin))*1,".")</f>
        <v>14.904321785201146</v>
      </c>
      <c r="AX30" s="70">
        <f>IFERROR((d_dir!AX30/(d_Bv!W30+MLF_snap_bean))*1,".")</f>
        <v>35.187897360404179</v>
      </c>
      <c r="AY30" s="70">
        <f>IFERROR((d_dir!AY30/(d_Bv!X30+MLF_strawberry))*1,".")</f>
        <v>307.41784105211394</v>
      </c>
      <c r="AZ30" s="70">
        <f>IFERROR((d_dir!AZ30/(d_Bv!Y30+MLF_tomato))*1,".")</f>
        <v>8.8703813594533063</v>
      </c>
      <c r="BA30" s="70">
        <f>IFERROR((d_dir!BA30/(d_Bv!Z30+MLF_rice))*1,".")</f>
        <v>0.56017919751652434</v>
      </c>
      <c r="BB30" s="70">
        <f>IFERROR((d_dir!BB30/(d_Bv!AA30+MLF_cereal))*1,".")</f>
        <v>0.63140615551264379</v>
      </c>
    </row>
    <row r="31" spans="1:54" x14ac:dyDescent="0.25">
      <c r="A31" s="89" t="s">
        <v>1</v>
      </c>
      <c r="B31" s="89" t="s">
        <v>1057</v>
      </c>
      <c r="C31" s="90">
        <f t="shared" ref="C31:AH31" si="2">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6.7412270857583043E-2</v>
      </c>
      <c r="D31" s="58">
        <f t="shared" si="2"/>
        <v>3.3968221470963926</v>
      </c>
      <c r="E31" s="58">
        <f t="shared" si="2"/>
        <v>0.84349710892494645</v>
      </c>
      <c r="F31" s="58">
        <f t="shared" si="2"/>
        <v>1.3297137222086941</v>
      </c>
      <c r="G31" s="58">
        <f t="shared" si="2"/>
        <v>7.194251469498508</v>
      </c>
      <c r="H31" s="58">
        <f t="shared" si="2"/>
        <v>3.1681094997950554</v>
      </c>
      <c r="I31" s="58">
        <f>IFERROR(1/SUM(IFERROR(1/SUMIF(I32,"&lt;&gt;.",I32),0),IFERROR(1/SUMIF(I33,"&lt;&gt;.",I33),0),IFERROR(1/SUMIF(I34,"&lt;&gt;.",I34),0),IFERROR(1/SUMIF(I35,"&lt;&gt;.",I35),0),IFERROR(1/SUMIF(I36,"&lt;&gt;.",I36),0),IFERROR(1/SUMIF(I37,"&lt;&gt;.",I37),0),IFERROR(1/SUMIF(I38,"&lt;&gt;.",I38),0),IFERROR(1/SUMIF(I39,"&lt;&gt;.",I39),0),IFERROR(1/SUMIF(I40,"&lt;&gt;.",I40),0),IFERROR(1/SUMIF(I41,"&lt;&gt;.",I41),0),IFERROR(1/SUMIF(I42,"&lt;&gt;.",I42),0),IFERROR(1/SUMIF(I43,"&lt;&gt;.",I43),0),IFERROR(1/SUMIF(I44,"&lt;&gt;.",I44),0)),".")</f>
        <v>0.41496336640416959</v>
      </c>
      <c r="J31" s="58">
        <f t="shared" si="2"/>
        <v>1.5351317103757487</v>
      </c>
      <c r="K31" s="58">
        <f t="shared" si="2"/>
        <v>0.88170333714633575</v>
      </c>
      <c r="L31" s="58">
        <f t="shared" si="2"/>
        <v>5.4122179966056967</v>
      </c>
      <c r="M31" s="58">
        <f t="shared" si="2"/>
        <v>1.4154090638213563</v>
      </c>
      <c r="N31" s="58">
        <f t="shared" si="2"/>
        <v>0.59080362897955263</v>
      </c>
      <c r="O31" s="58">
        <f t="shared" si="2"/>
        <v>2.2190081828157151</v>
      </c>
      <c r="P31" s="58">
        <f t="shared" si="2"/>
        <v>3.7943576265040186</v>
      </c>
      <c r="Q31" s="58">
        <f t="shared" si="2"/>
        <v>2.074210454137666</v>
      </c>
      <c r="R31" s="58">
        <f t="shared" si="2"/>
        <v>2.1900043206851194</v>
      </c>
      <c r="S31" s="58">
        <f t="shared" si="2"/>
        <v>4.449807332372945</v>
      </c>
      <c r="T31" s="58">
        <f t="shared" si="2"/>
        <v>3.7940318079576452</v>
      </c>
      <c r="U31" s="58">
        <f t="shared" si="2"/>
        <v>4.4539371743803597</v>
      </c>
      <c r="V31" s="58">
        <f t="shared" si="2"/>
        <v>1.6929412707685796</v>
      </c>
      <c r="W31" s="58">
        <f t="shared" si="2"/>
        <v>1.810978898027324</v>
      </c>
      <c r="X31" s="58">
        <f t="shared" si="2"/>
        <v>1.2668396708269012</v>
      </c>
      <c r="Y31" s="58">
        <f t="shared" si="2"/>
        <v>6.831367105172319</v>
      </c>
      <c r="Z31" s="58">
        <f t="shared" si="2"/>
        <v>1.0825090371728614</v>
      </c>
      <c r="AA31" s="58">
        <f t="shared" si="2"/>
        <v>2.9740190315421872E-2</v>
      </c>
      <c r="AB31" s="58">
        <f t="shared" si="2"/>
        <v>3.6230227065637069E-2</v>
      </c>
      <c r="AC31" s="90">
        <f t="shared" si="2"/>
        <v>6.3375544810561679E-2</v>
      </c>
      <c r="AD31" s="58">
        <f t="shared" si="2"/>
        <v>2.9536692358660397</v>
      </c>
      <c r="AE31" s="58">
        <f t="shared" si="2"/>
        <v>0.7904463847059704</v>
      </c>
      <c r="AF31" s="58">
        <f t="shared" si="2"/>
        <v>1.2294778371105468</v>
      </c>
      <c r="AG31" s="58">
        <f t="shared" si="2"/>
        <v>7.0055497916100222</v>
      </c>
      <c r="AH31" s="58">
        <f t="shared" si="2"/>
        <v>2.6925631162975381</v>
      </c>
      <c r="AI31" s="58">
        <f t="shared" ref="AI31:BB31" si="3">IFERROR(1/SUM(IFERROR(1/SUMIF(AI32,"&lt;&gt;.",AI32),0),IFERROR(1/SUMIF(AI33,"&lt;&gt;.",AI33),0),IFERROR(1/SUMIF(AI34,"&lt;&gt;.",AI34),0),IFERROR(1/SUMIF(AI35,"&lt;&gt;.",AI35),0),IFERROR(1/SUMIF(AI36,"&lt;&gt;.",AI36),0),IFERROR(1/SUMIF(AI37,"&lt;&gt;.",AI37),0),IFERROR(1/SUMIF(AI38,"&lt;&gt;.",AI38),0),IFERROR(1/SUMIF(AI39,"&lt;&gt;.",AI39),0),IFERROR(1/SUMIF(AI40,"&lt;&gt;.",AI40),0),IFERROR(1/SUMIF(AI41,"&lt;&gt;.",AI41),0),IFERROR(1/SUMIF(AI42,"&lt;&gt;.",AI42),0),IFERROR(1/SUMIF(AI43,"&lt;&gt;.",AI43),0),IFERROR(1/SUMIF(AI44,"&lt;&gt;.",AI44),0)),".")</f>
        <v>0.40906486221432919</v>
      </c>
      <c r="AJ31" s="58">
        <f t="shared" si="3"/>
        <v>1.6363469568162901</v>
      </c>
      <c r="AK31" s="58">
        <f t="shared" si="3"/>
        <v>0.85737839992181286</v>
      </c>
      <c r="AL31" s="58">
        <f t="shared" si="3"/>
        <v>3.7538751861059843</v>
      </c>
      <c r="AM31" s="58">
        <f t="shared" si="3"/>
        <v>1.9888356314000506</v>
      </c>
      <c r="AN31" s="58">
        <f t="shared" si="3"/>
        <v>0.54116158931383651</v>
      </c>
      <c r="AO31" s="58">
        <f t="shared" si="3"/>
        <v>2.1532290830168499</v>
      </c>
      <c r="AP31" s="58">
        <f t="shared" si="3"/>
        <v>3.5604302572369826</v>
      </c>
      <c r="AQ31" s="58">
        <f t="shared" si="3"/>
        <v>1.5270553906499742</v>
      </c>
      <c r="AR31" s="58">
        <f t="shared" si="3"/>
        <v>2.4482307862804831</v>
      </c>
      <c r="AS31" s="58">
        <f t="shared" si="3"/>
        <v>3.9754778619108229</v>
      </c>
      <c r="AT31" s="58">
        <f t="shared" si="3"/>
        <v>4.0765552995395176</v>
      </c>
      <c r="AU31" s="58">
        <f t="shared" si="3"/>
        <v>3.3394654268026192</v>
      </c>
      <c r="AV31" s="58">
        <f t="shared" si="3"/>
        <v>1.4410241200712224</v>
      </c>
      <c r="AW31" s="58">
        <f t="shared" si="3"/>
        <v>1.703755512655537</v>
      </c>
      <c r="AX31" s="58">
        <f t="shared" si="3"/>
        <v>1.1994066683999112</v>
      </c>
      <c r="AY31" s="58">
        <f t="shared" si="3"/>
        <v>6.6460617414808336</v>
      </c>
      <c r="AZ31" s="58">
        <f t="shared" si="3"/>
        <v>0.87822201917548237</v>
      </c>
      <c r="BA31" s="58">
        <f t="shared" si="3"/>
        <v>2.5251769166668339E-2</v>
      </c>
      <c r="BB31" s="58">
        <f t="shared" si="3"/>
        <v>2.8880007470392693E-2</v>
      </c>
    </row>
    <row r="32" spans="1:54" x14ac:dyDescent="0.25">
      <c r="A32" s="182" t="s">
        <v>1085</v>
      </c>
      <c r="B32" s="183">
        <v>1</v>
      </c>
      <c r="C32" s="60">
        <f t="shared" ref="C32:AH32" si="4">IFERROR(C3/$B32,".")</f>
        <v>2.3501144337811763</v>
      </c>
      <c r="D32" s="60">
        <f t="shared" si="4"/>
        <v>231.23376348425063</v>
      </c>
      <c r="E32" s="60">
        <f t="shared" si="4"/>
        <v>276.57164437616723</v>
      </c>
      <c r="F32" s="60">
        <f t="shared" si="4"/>
        <v>144.09075331740326</v>
      </c>
      <c r="G32" s="60">
        <f t="shared" si="4"/>
        <v>102.80802439563175</v>
      </c>
      <c r="H32" s="60">
        <f t="shared" si="4"/>
        <v>89.298222003032151</v>
      </c>
      <c r="I32" s="60">
        <f>IFERROR(I3/$B32,".")</f>
        <v>126.78755429207702</v>
      </c>
      <c r="J32" s="60">
        <f t="shared" si="4"/>
        <v>174.78600417730891</v>
      </c>
      <c r="K32" s="60">
        <f t="shared" si="4"/>
        <v>60.900178647031012</v>
      </c>
      <c r="L32" s="60">
        <f t="shared" si="4"/>
        <v>321.89344362269247</v>
      </c>
      <c r="M32" s="60">
        <f t="shared" si="4"/>
        <v>117.54561413743406</v>
      </c>
      <c r="N32" s="60">
        <f t="shared" si="4"/>
        <v>8.1134911626009565</v>
      </c>
      <c r="O32" s="60">
        <f t="shared" si="4"/>
        <v>24.730444309772544</v>
      </c>
      <c r="P32" s="60">
        <f t="shared" si="4"/>
        <v>288.38314250249852</v>
      </c>
      <c r="Q32" s="60">
        <f t="shared" si="4"/>
        <v>236.16407286172571</v>
      </c>
      <c r="R32" s="60">
        <f t="shared" si="4"/>
        <v>156.64474342316987</v>
      </c>
      <c r="S32" s="60">
        <f t="shared" si="4"/>
        <v>302.91420971920871</v>
      </c>
      <c r="T32" s="60">
        <f t="shared" si="4"/>
        <v>180.8694075110449</v>
      </c>
      <c r="U32" s="60">
        <f t="shared" si="4"/>
        <v>78.285237433673956</v>
      </c>
      <c r="V32" s="60">
        <f t="shared" si="4"/>
        <v>70.687631066588892</v>
      </c>
      <c r="W32" s="60">
        <f t="shared" si="4"/>
        <v>144.35401892017487</v>
      </c>
      <c r="X32" s="60">
        <f t="shared" si="4"/>
        <v>12.581089942766788</v>
      </c>
      <c r="Y32" s="60">
        <f t="shared" si="4"/>
        <v>454.32016103931647</v>
      </c>
      <c r="Z32" s="60">
        <f t="shared" si="4"/>
        <v>21.774214352512789</v>
      </c>
      <c r="AA32" s="60">
        <f t="shared" si="4"/>
        <v>0.17883330725298077</v>
      </c>
      <c r="AB32" s="60">
        <f t="shared" si="4"/>
        <v>0.20530664252483063</v>
      </c>
      <c r="AC32" s="60">
        <f t="shared" si="4"/>
        <v>2.1534894749091564</v>
      </c>
      <c r="AD32" s="60">
        <f t="shared" si="4"/>
        <v>201.0667688565249</v>
      </c>
      <c r="AE32" s="60">
        <f t="shared" si="4"/>
        <v>259.17700736159708</v>
      </c>
      <c r="AF32" s="60">
        <f t="shared" si="4"/>
        <v>133.22896859487039</v>
      </c>
      <c r="AG32" s="60">
        <f t="shared" si="4"/>
        <v>100.11142047705781</v>
      </c>
      <c r="AH32" s="60">
        <f t="shared" si="4"/>
        <v>75.894188294901966</v>
      </c>
      <c r="AI32" s="60">
        <f t="shared" ref="AI32:BB32" si="5">IFERROR(AI3/$B32,".")</f>
        <v>124.98533033507586</v>
      </c>
      <c r="AJ32" s="60">
        <f t="shared" si="5"/>
        <v>186.31010231663646</v>
      </c>
      <c r="AK32" s="60">
        <f t="shared" si="5"/>
        <v>59.220029599001066</v>
      </c>
      <c r="AL32" s="60">
        <f t="shared" si="5"/>
        <v>223.26296009200902</v>
      </c>
      <c r="AM32" s="60">
        <f t="shared" si="5"/>
        <v>165.16702604699194</v>
      </c>
      <c r="AN32" s="60">
        <f t="shared" si="5"/>
        <v>7.43175829847325</v>
      </c>
      <c r="AO32" s="60">
        <f t="shared" si="5"/>
        <v>23.997348155859932</v>
      </c>
      <c r="AP32" s="60">
        <f t="shared" si="5"/>
        <v>270.60392490968388</v>
      </c>
      <c r="AQ32" s="60">
        <f t="shared" si="5"/>
        <v>173.86645594324827</v>
      </c>
      <c r="AR32" s="60">
        <f t="shared" si="5"/>
        <v>175.1149437173882</v>
      </c>
      <c r="AS32" s="60">
        <f t="shared" si="5"/>
        <v>270.62491583309713</v>
      </c>
      <c r="AT32" s="60">
        <f t="shared" si="5"/>
        <v>194.33789146607859</v>
      </c>
      <c r="AU32" s="60">
        <f t="shared" si="5"/>
        <v>58.696571954937625</v>
      </c>
      <c r="AV32" s="60">
        <f t="shared" si="5"/>
        <v>60.168998840347115</v>
      </c>
      <c r="AW32" s="60">
        <f t="shared" si="5"/>
        <v>135.80719012084197</v>
      </c>
      <c r="AX32" s="60">
        <f t="shared" si="5"/>
        <v>11.91140719744274</v>
      </c>
      <c r="AY32" s="60">
        <f t="shared" si="5"/>
        <v>441.99642533932416</v>
      </c>
      <c r="AZ32" s="60">
        <f t="shared" si="5"/>
        <v>17.665066838208709</v>
      </c>
      <c r="BA32" s="60">
        <f t="shared" si="5"/>
        <v>0.141265050052437</v>
      </c>
      <c r="BB32" s="60">
        <f t="shared" si="5"/>
        <v>0.16365498783920168</v>
      </c>
    </row>
    <row r="33" spans="1:54" x14ac:dyDescent="0.25">
      <c r="A33" s="182" t="s">
        <v>1061</v>
      </c>
      <c r="B33" s="183">
        <v>1</v>
      </c>
      <c r="C33" s="60">
        <f t="shared" ref="C33:BB34" si="6">IFERROR(C13/$B33,".")</f>
        <v>0.44760999417388642</v>
      </c>
      <c r="D33" s="60">
        <f t="shared" si="6"/>
        <v>182.80738122551418</v>
      </c>
      <c r="E33" s="60">
        <f t="shared" si="6"/>
        <v>6.7868367148486151</v>
      </c>
      <c r="F33" s="60">
        <f t="shared" si="6"/>
        <v>10.013272463980456</v>
      </c>
      <c r="G33" s="60">
        <f t="shared" si="6"/>
        <v>405.77488880259068</v>
      </c>
      <c r="H33" s="60">
        <f t="shared" si="6"/>
        <v>12.253162868514957</v>
      </c>
      <c r="I33" s="60">
        <f t="shared" si="6"/>
        <v>3.3398381761498976</v>
      </c>
      <c r="J33" s="60">
        <f t="shared" si="6"/>
        <v>11.551427223080431</v>
      </c>
      <c r="K33" s="60">
        <f t="shared" si="6"/>
        <v>47.700964435584346</v>
      </c>
      <c r="L33" s="60">
        <f t="shared" si="6"/>
        <v>24.168371637660922</v>
      </c>
      <c r="M33" s="60">
        <f t="shared" si="6"/>
        <v>4.9624578562677275</v>
      </c>
      <c r="N33" s="60">
        <f t="shared" si="6"/>
        <v>5.2523496390213538</v>
      </c>
      <c r="O33" s="60">
        <f t="shared" si="6"/>
        <v>9.5168163569873805</v>
      </c>
      <c r="P33" s="60">
        <f t="shared" si="6"/>
        <v>13.362602957018424</v>
      </c>
      <c r="Q33" s="60">
        <f t="shared" si="6"/>
        <v>15.607840646102758</v>
      </c>
      <c r="R33" s="60">
        <f t="shared" si="6"/>
        <v>119.96341790548107</v>
      </c>
      <c r="S33" s="60">
        <f t="shared" si="6"/>
        <v>239.47607209418766</v>
      </c>
      <c r="T33" s="60">
        <f t="shared" si="6"/>
        <v>11.186485409289466</v>
      </c>
      <c r="U33" s="60">
        <f t="shared" si="6"/>
        <v>19.018898988634291</v>
      </c>
      <c r="V33" s="60">
        <f t="shared" si="6"/>
        <v>9.5647182421877819</v>
      </c>
      <c r="W33" s="60">
        <f t="shared" si="6"/>
        <v>6.3621287931131594</v>
      </c>
      <c r="X33" s="60">
        <f t="shared" si="6"/>
        <v>5.8579384750241115</v>
      </c>
      <c r="Y33" s="60">
        <f t="shared" si="6"/>
        <v>432.5127933094293</v>
      </c>
      <c r="Z33" s="60">
        <f t="shared" si="6"/>
        <v>4.4666546176480866</v>
      </c>
      <c r="AA33" s="60">
        <f t="shared" si="6"/>
        <v>0.3076411150866839</v>
      </c>
      <c r="AB33" s="60">
        <f t="shared" si="6"/>
        <v>0.38645536467560881</v>
      </c>
      <c r="AC33" s="60">
        <f t="shared" si="6"/>
        <v>0.4207720211563013</v>
      </c>
      <c r="AD33" s="60">
        <f t="shared" si="6"/>
        <v>158.95814223791146</v>
      </c>
      <c r="AE33" s="60">
        <f t="shared" si="6"/>
        <v>6.3599868785314007</v>
      </c>
      <c r="AF33" s="60">
        <f t="shared" si="6"/>
        <v>9.2584564374985838</v>
      </c>
      <c r="AG33" s="60">
        <f t="shared" si="6"/>
        <v>395.13161303071951</v>
      </c>
      <c r="AH33" s="60">
        <f t="shared" si="6"/>
        <v>10.413912271619457</v>
      </c>
      <c r="AI33" s="60">
        <f t="shared" si="6"/>
        <v>3.292363986690432</v>
      </c>
      <c r="AJ33" s="60">
        <f t="shared" si="6"/>
        <v>12.313043014886263</v>
      </c>
      <c r="AK33" s="60">
        <f t="shared" si="6"/>
        <v>46.384962877509032</v>
      </c>
      <c r="AL33" s="60">
        <f t="shared" si="6"/>
        <v>16.763007446503764</v>
      </c>
      <c r="AM33" s="60">
        <f t="shared" si="6"/>
        <v>6.9729050464184645</v>
      </c>
      <c r="AN33" s="60">
        <f t="shared" si="6"/>
        <v>4.8110230520996433</v>
      </c>
      <c r="AO33" s="60">
        <f t="shared" si="6"/>
        <v>9.2347049083854191</v>
      </c>
      <c r="AP33" s="60">
        <f t="shared" si="6"/>
        <v>12.53878009581509</v>
      </c>
      <c r="AQ33" s="60">
        <f t="shared" si="6"/>
        <v>11.490655226181364</v>
      </c>
      <c r="AR33" s="60">
        <f t="shared" si="6"/>
        <v>134.10847191924708</v>
      </c>
      <c r="AS33" s="60">
        <f t="shared" si="6"/>
        <v>213.94899867723356</v>
      </c>
      <c r="AT33" s="60">
        <f t="shared" si="6"/>
        <v>12.019489737227197</v>
      </c>
      <c r="AU33" s="60">
        <f t="shared" si="6"/>
        <v>14.259957682773454</v>
      </c>
      <c r="AV33" s="60">
        <f t="shared" si="6"/>
        <v>8.1414458532400644</v>
      </c>
      <c r="AW33" s="60">
        <f t="shared" si="6"/>
        <v>5.98544357159457</v>
      </c>
      <c r="AX33" s="60">
        <f t="shared" si="6"/>
        <v>5.5461244479613034</v>
      </c>
      <c r="AY33" s="60">
        <f t="shared" si="6"/>
        <v>420.78059692303668</v>
      </c>
      <c r="AZ33" s="60">
        <f t="shared" si="6"/>
        <v>3.6237244240613151</v>
      </c>
      <c r="BA33" s="60">
        <f t="shared" si="6"/>
        <v>0.25004123140836981</v>
      </c>
      <c r="BB33" s="60">
        <f t="shared" si="6"/>
        <v>0.3080531015879423</v>
      </c>
    </row>
    <row r="34" spans="1:54" x14ac:dyDescent="0.25">
      <c r="A34" s="182" t="s">
        <v>1062</v>
      </c>
      <c r="B34" s="183">
        <v>1</v>
      </c>
      <c r="C34" s="60">
        <f t="shared" si="6"/>
        <v>40.607889375364316</v>
      </c>
      <c r="D34" s="60">
        <f t="shared" si="6"/>
        <v>783.77955891098964</v>
      </c>
      <c r="E34" s="60">
        <f t="shared" si="6"/>
        <v>1726.707039026028</v>
      </c>
      <c r="F34" s="60">
        <f t="shared" si="6"/>
        <v>2070.6095447932112</v>
      </c>
      <c r="G34" s="60">
        <f t="shared" si="6"/>
        <v>1761.3962221629217</v>
      </c>
      <c r="H34" s="60">
        <f t="shared" si="6"/>
        <v>2003.4526646787128</v>
      </c>
      <c r="I34" s="60">
        <f t="shared" si="6"/>
        <v>848.34909365059866</v>
      </c>
      <c r="J34" s="60">
        <f t="shared" si="6"/>
        <v>2393.9368368155428</v>
      </c>
      <c r="K34" s="60">
        <f t="shared" si="6"/>
        <v>203.24224772456938</v>
      </c>
      <c r="L34" s="60">
        <f t="shared" si="6"/>
        <v>1115.572286581624</v>
      </c>
      <c r="M34" s="60">
        <f t="shared" si="6"/>
        <v>844.37571425538181</v>
      </c>
      <c r="N34" s="60">
        <f t="shared" si="6"/>
        <v>857.18955665846579</v>
      </c>
      <c r="O34" s="60">
        <f t="shared" si="6"/>
        <v>1357.359417904966</v>
      </c>
      <c r="P34" s="60">
        <f t="shared" si="6"/>
        <v>2269.6821400659601</v>
      </c>
      <c r="Q34" s="60">
        <f t="shared" si="6"/>
        <v>3234.5946474212697</v>
      </c>
      <c r="R34" s="60">
        <f t="shared" si="6"/>
        <v>503.65295246927235</v>
      </c>
      <c r="S34" s="60">
        <f t="shared" si="6"/>
        <v>1026.744373763406</v>
      </c>
      <c r="T34" s="60">
        <f t="shared" si="6"/>
        <v>1787.8862903273853</v>
      </c>
      <c r="U34" s="60">
        <f t="shared" si="6"/>
        <v>2980.1038532071839</v>
      </c>
      <c r="V34" s="60">
        <f t="shared" si="6"/>
        <v>524.28810149112758</v>
      </c>
      <c r="W34" s="60">
        <f t="shared" si="6"/>
        <v>1081.6744110111863</v>
      </c>
      <c r="X34" s="60">
        <f t="shared" si="6"/>
        <v>813.602565975571</v>
      </c>
      <c r="Y34" s="60">
        <f t="shared" si="6"/>
        <v>1544.0384260911112</v>
      </c>
      <c r="Z34" s="60">
        <f t="shared" si="6"/>
        <v>710.47477046566985</v>
      </c>
      <c r="AA34" s="60">
        <f t="shared" si="6"/>
        <v>31.037510518287966</v>
      </c>
      <c r="AB34" s="60">
        <f t="shared" si="6"/>
        <v>35.59679550060514</v>
      </c>
      <c r="AC34" s="60">
        <f t="shared" si="6"/>
        <v>38.110334888297167</v>
      </c>
      <c r="AD34" s="60">
        <f t="shared" si="6"/>
        <v>681.52687147159907</v>
      </c>
      <c r="AE34" s="60">
        <f t="shared" si="6"/>
        <v>1618.10790102651</v>
      </c>
      <c r="AF34" s="60">
        <f t="shared" si="6"/>
        <v>1914.5237821598273</v>
      </c>
      <c r="AG34" s="60">
        <f t="shared" si="6"/>
        <v>1715.1956655160257</v>
      </c>
      <c r="AH34" s="60">
        <f t="shared" si="6"/>
        <v>1702.7261054300316</v>
      </c>
      <c r="AI34" s="60">
        <f t="shared" si="6"/>
        <v>836.29022029339808</v>
      </c>
      <c r="AJ34" s="60">
        <f t="shared" si="6"/>
        <v>2551.7753501259535</v>
      </c>
      <c r="AK34" s="60">
        <f t="shared" si="6"/>
        <v>197.63508405739759</v>
      </c>
      <c r="AL34" s="60">
        <f t="shared" si="6"/>
        <v>773.7528546582239</v>
      </c>
      <c r="AM34" s="60">
        <f t="shared" si="6"/>
        <v>1186.4587769885331</v>
      </c>
      <c r="AN34" s="60">
        <f t="shared" si="6"/>
        <v>785.1645454949853</v>
      </c>
      <c r="AO34" s="60">
        <f t="shared" si="6"/>
        <v>1317.1225763715538</v>
      </c>
      <c r="AP34" s="60">
        <f t="shared" si="6"/>
        <v>2129.7531127151046</v>
      </c>
      <c r="AQ34" s="60">
        <f t="shared" si="6"/>
        <v>2381.3423479083349</v>
      </c>
      <c r="AR34" s="60">
        <f t="shared" si="6"/>
        <v>563.0393749408604</v>
      </c>
      <c r="AS34" s="60">
        <f t="shared" si="6"/>
        <v>917.29803626378919</v>
      </c>
      <c r="AT34" s="60">
        <f t="shared" si="6"/>
        <v>1921.0216731766304</v>
      </c>
      <c r="AU34" s="60">
        <f t="shared" si="6"/>
        <v>2234.4171901012933</v>
      </c>
      <c r="AV34" s="60">
        <f t="shared" si="6"/>
        <v>446.27171252790617</v>
      </c>
      <c r="AW34" s="60">
        <f t="shared" si="6"/>
        <v>1017.6312615603621</v>
      </c>
      <c r="AX34" s="60">
        <f t="shared" si="6"/>
        <v>770.29506221684778</v>
      </c>
      <c r="AY34" s="60">
        <f t="shared" si="6"/>
        <v>1502.1553596864658</v>
      </c>
      <c r="AZ34" s="60">
        <f t="shared" si="6"/>
        <v>576.39665449920972</v>
      </c>
      <c r="BA34" s="60">
        <f t="shared" si="6"/>
        <v>24.588844871889513</v>
      </c>
      <c r="BB34" s="60">
        <f t="shared" si="6"/>
        <v>28.375083548801939</v>
      </c>
    </row>
    <row r="35" spans="1:54" x14ac:dyDescent="0.25">
      <c r="A35" s="182" t="s">
        <v>1063</v>
      </c>
      <c r="B35" s="183">
        <v>1</v>
      </c>
      <c r="C35" s="60">
        <f t="shared" ref="C35:AH35" si="7">IFERROR(C30/$B35,".")</f>
        <v>1.2365704182267343</v>
      </c>
      <c r="D35" s="60">
        <f t="shared" si="7"/>
        <v>150.52446472200518</v>
      </c>
      <c r="E35" s="60">
        <f t="shared" si="7"/>
        <v>19.005157141891857</v>
      </c>
      <c r="F35" s="60">
        <f t="shared" si="7"/>
        <v>53.910304890526383</v>
      </c>
      <c r="G35" s="60">
        <f t="shared" si="7"/>
        <v>336.73329144063678</v>
      </c>
      <c r="H35" s="60">
        <f t="shared" si="7"/>
        <v>30.210124347437198</v>
      </c>
      <c r="I35" s="60">
        <f t="shared" si="7"/>
        <v>9.3494116193702936</v>
      </c>
      <c r="J35" s="60">
        <f t="shared" si="7"/>
        <v>62.375905818139131</v>
      </c>
      <c r="K35" s="60">
        <f t="shared" si="7"/>
        <v>39.122222861030153</v>
      </c>
      <c r="L35" s="60">
        <f t="shared" si="7"/>
        <v>16.385433301484497</v>
      </c>
      <c r="M35" s="60">
        <f t="shared" si="7"/>
        <v>12.359447305395717</v>
      </c>
      <c r="N35" s="60">
        <f t="shared" si="7"/>
        <v>13.184915975378395</v>
      </c>
      <c r="O35" s="60">
        <f t="shared" si="7"/>
        <v>68.261710796807463</v>
      </c>
      <c r="P35" s="60">
        <f t="shared" si="7"/>
        <v>33.266083306376672</v>
      </c>
      <c r="Q35" s="60">
        <f t="shared" si="7"/>
        <v>84.279905795589741</v>
      </c>
      <c r="R35" s="60">
        <f t="shared" si="7"/>
        <v>97.471360063315188</v>
      </c>
      <c r="S35" s="60">
        <f t="shared" si="7"/>
        <v>197.18573355217939</v>
      </c>
      <c r="T35" s="60">
        <f t="shared" si="7"/>
        <v>167.79071719930488</v>
      </c>
      <c r="U35" s="60">
        <f t="shared" si="7"/>
        <v>46.371046563500265</v>
      </c>
      <c r="V35" s="60">
        <f t="shared" si="7"/>
        <v>22.528665170532726</v>
      </c>
      <c r="W35" s="60">
        <f t="shared" si="7"/>
        <v>15.842303688478388</v>
      </c>
      <c r="X35" s="60">
        <f t="shared" si="7"/>
        <v>37.166230173302665</v>
      </c>
      <c r="Y35" s="60">
        <f t="shared" si="7"/>
        <v>315.98925929306466</v>
      </c>
      <c r="Z35" s="60">
        <f t="shared" si="7"/>
        <v>10.933759089521544</v>
      </c>
      <c r="AA35" s="60">
        <f t="shared" si="7"/>
        <v>0.65535090500039561</v>
      </c>
      <c r="AB35" s="60">
        <f t="shared" si="7"/>
        <v>0.79210465607795011</v>
      </c>
      <c r="AC35" s="60">
        <f t="shared" si="7"/>
        <v>1.1362216577773681</v>
      </c>
      <c r="AD35" s="60">
        <f t="shared" si="7"/>
        <v>130.88688822717251</v>
      </c>
      <c r="AE35" s="60">
        <f t="shared" si="7"/>
        <v>17.809850910720741</v>
      </c>
      <c r="AF35" s="60">
        <f t="shared" si="7"/>
        <v>49.846462398446889</v>
      </c>
      <c r="AG35" s="60">
        <f t="shared" si="7"/>
        <v>327.90094281268568</v>
      </c>
      <c r="AH35" s="60">
        <f t="shared" si="7"/>
        <v>25.675459311596924</v>
      </c>
      <c r="AI35" s="60">
        <f t="shared" ref="AI35:BB35" si="8">IFERROR(AI30/$B35,".")</f>
        <v>9.2165142407720921</v>
      </c>
      <c r="AJ35" s="60">
        <f t="shared" si="8"/>
        <v>66.488512336956774</v>
      </c>
      <c r="AK35" s="60">
        <f t="shared" si="8"/>
        <v>38.042896544472946</v>
      </c>
      <c r="AL35" s="60">
        <f t="shared" si="8"/>
        <v>11.364817810851845</v>
      </c>
      <c r="AM35" s="60">
        <f t="shared" si="8"/>
        <v>17.366646726860857</v>
      </c>
      <c r="AN35" s="60">
        <f t="shared" si="8"/>
        <v>12.077058660809463</v>
      </c>
      <c r="AO35" s="60">
        <f t="shared" si="8"/>
        <v>66.238196903655961</v>
      </c>
      <c r="AP35" s="60">
        <f t="shared" si="8"/>
        <v>31.215183491524822</v>
      </c>
      <c r="AQ35" s="60">
        <f t="shared" si="8"/>
        <v>62.047746510916703</v>
      </c>
      <c r="AR35" s="60">
        <f t="shared" si="8"/>
        <v>108.96434414932327</v>
      </c>
      <c r="AS35" s="60">
        <f t="shared" si="8"/>
        <v>176.16662023056662</v>
      </c>
      <c r="AT35" s="60">
        <f t="shared" si="8"/>
        <v>180.28529333299645</v>
      </c>
      <c r="AU35" s="60">
        <f t="shared" si="8"/>
        <v>34.768004293865502</v>
      </c>
      <c r="AV35" s="60">
        <f t="shared" si="8"/>
        <v>19.1763001258795</v>
      </c>
      <c r="AW35" s="60">
        <f t="shared" si="8"/>
        <v>14.904321785201146</v>
      </c>
      <c r="AX35" s="60">
        <f t="shared" si="8"/>
        <v>35.187897360404179</v>
      </c>
      <c r="AY35" s="60">
        <f t="shared" si="8"/>
        <v>307.41784105211394</v>
      </c>
      <c r="AZ35" s="60">
        <f t="shared" si="8"/>
        <v>8.8703813594533063</v>
      </c>
      <c r="BA35" s="60">
        <f t="shared" si="8"/>
        <v>0.56017919751652434</v>
      </c>
      <c r="BB35" s="60">
        <f t="shared" si="8"/>
        <v>0.63140615551264379</v>
      </c>
    </row>
    <row r="36" spans="1:54" x14ac:dyDescent="0.25">
      <c r="A36" s="182" t="s">
        <v>1064</v>
      </c>
      <c r="B36" s="183">
        <v>1</v>
      </c>
      <c r="C36" s="60">
        <f t="shared" ref="C36:AH36" si="9">IFERROR(C26/$B36,".")</f>
        <v>0.66065662738894715</v>
      </c>
      <c r="D36" s="60">
        <f t="shared" si="9"/>
        <v>26.151725184025139</v>
      </c>
      <c r="E36" s="60">
        <f t="shared" si="9"/>
        <v>29.493220567142075</v>
      </c>
      <c r="F36" s="60">
        <f t="shared" si="9"/>
        <v>48.506986926643897</v>
      </c>
      <c r="G36" s="60">
        <f t="shared" si="9"/>
        <v>58.275978620864464</v>
      </c>
      <c r="H36" s="60">
        <f t="shared" si="9"/>
        <v>26.709761644520892</v>
      </c>
      <c r="I36" s="60">
        <f t="shared" si="9"/>
        <v>14.238264123168907</v>
      </c>
      <c r="J36" s="60">
        <f t="shared" si="9"/>
        <v>58.407583604811201</v>
      </c>
      <c r="K36" s="60">
        <f t="shared" si="9"/>
        <v>6.8103700539166567</v>
      </c>
      <c r="L36" s="60">
        <f t="shared" si="9"/>
        <v>31.249045043099066</v>
      </c>
      <c r="M36" s="60">
        <f t="shared" si="9"/>
        <v>22.40847143634852</v>
      </c>
      <c r="N36" s="60">
        <f t="shared" si="9"/>
        <v>2.9701886719106385</v>
      </c>
      <c r="O36" s="60">
        <f t="shared" si="9"/>
        <v>9.3322677383234254</v>
      </c>
      <c r="P36" s="60">
        <f t="shared" si="9"/>
        <v>57.661211064386222</v>
      </c>
      <c r="Q36" s="60">
        <f t="shared" si="9"/>
        <v>78.91806266210591</v>
      </c>
      <c r="R36" s="60">
        <f t="shared" si="9"/>
        <v>17.046715314344603</v>
      </c>
      <c r="S36" s="60">
        <f t="shared" si="9"/>
        <v>34.258531485833188</v>
      </c>
      <c r="T36" s="60">
        <f t="shared" si="9"/>
        <v>55.709046030578996</v>
      </c>
      <c r="U36" s="60">
        <f t="shared" si="9"/>
        <v>26.311038420237089</v>
      </c>
      <c r="V36" s="60">
        <f t="shared" si="9"/>
        <v>28.298832958533485</v>
      </c>
      <c r="W36" s="60">
        <f t="shared" si="9"/>
        <v>28.139787080535555</v>
      </c>
      <c r="X36" s="60">
        <f t="shared" si="9"/>
        <v>4.7833821212007663</v>
      </c>
      <c r="Y36" s="60">
        <f t="shared" si="9"/>
        <v>58.163064611850665</v>
      </c>
      <c r="Z36" s="60">
        <f t="shared" si="9"/>
        <v>7.1079044553030251</v>
      </c>
      <c r="AA36" s="60">
        <f t="shared" si="9"/>
        <v>6.9630134042157121E-2</v>
      </c>
      <c r="AB36" s="60">
        <f t="shared" si="9"/>
        <v>7.9573423738512311E-2</v>
      </c>
      <c r="AC36" s="60">
        <f t="shared" si="9"/>
        <v>0.610593989388168</v>
      </c>
      <c r="AD36" s="60">
        <f t="shared" si="9"/>
        <v>22.73994421724613</v>
      </c>
      <c r="AE36" s="60">
        <f t="shared" si="9"/>
        <v>27.638280349704878</v>
      </c>
      <c r="AF36" s="60">
        <f t="shared" si="9"/>
        <v>44.850454932704444</v>
      </c>
      <c r="AG36" s="60">
        <f t="shared" si="9"/>
        <v>56.747428361956558</v>
      </c>
      <c r="AH36" s="60">
        <f t="shared" si="9"/>
        <v>22.70051557680944</v>
      </c>
      <c r="AI36" s="60">
        <f t="shared" ref="AI36:BB36" si="10">IFERROR(AI26/$B36,".")</f>
        <v>14.035874063259939</v>
      </c>
      <c r="AJ36" s="60">
        <f t="shared" si="10"/>
        <v>62.258548267061919</v>
      </c>
      <c r="AK36" s="60">
        <f t="shared" si="10"/>
        <v>6.6224816598753415</v>
      </c>
      <c r="AL36" s="60">
        <f t="shared" si="10"/>
        <v>21.674111214730502</v>
      </c>
      <c r="AM36" s="60">
        <f t="shared" si="10"/>
        <v>31.486845447702418</v>
      </c>
      <c r="AN36" s="60">
        <f t="shared" si="10"/>
        <v>2.7206197514889405</v>
      </c>
      <c r="AO36" s="60">
        <f t="shared" si="10"/>
        <v>9.0556269509379703</v>
      </c>
      <c r="AP36" s="60">
        <f t="shared" si="10"/>
        <v>54.106318051976359</v>
      </c>
      <c r="AQ36" s="60">
        <f t="shared" si="10"/>
        <v>58.100301619549562</v>
      </c>
      <c r="AR36" s="60">
        <f t="shared" si="10"/>
        <v>19.056717305690661</v>
      </c>
      <c r="AS36" s="60">
        <f t="shared" si="10"/>
        <v>30.606725939047941</v>
      </c>
      <c r="AT36" s="60">
        <f t="shared" si="10"/>
        <v>59.857433549166238</v>
      </c>
      <c r="AU36" s="60">
        <f t="shared" si="10"/>
        <v>19.727445562785935</v>
      </c>
      <c r="AV36" s="60">
        <f t="shared" si="10"/>
        <v>24.0878414196848</v>
      </c>
      <c r="AW36" s="60">
        <f t="shared" si="10"/>
        <v>26.473702932507692</v>
      </c>
      <c r="AX36" s="60">
        <f t="shared" si="10"/>
        <v>4.5287659881445537</v>
      </c>
      <c r="AY36" s="60">
        <f t="shared" si="10"/>
        <v>56.585352907095398</v>
      </c>
      <c r="AZ36" s="60">
        <f t="shared" si="10"/>
        <v>5.7665275655761761</v>
      </c>
      <c r="BA36" s="60">
        <f t="shared" si="10"/>
        <v>5.5392408038050928E-2</v>
      </c>
      <c r="BB36" s="60">
        <f t="shared" si="10"/>
        <v>6.342993842819708E-2</v>
      </c>
    </row>
    <row r="37" spans="1:54" x14ac:dyDescent="0.25">
      <c r="A37" s="182" t="s">
        <v>1065</v>
      </c>
      <c r="B37" s="183">
        <v>1</v>
      </c>
      <c r="C37" s="60">
        <f t="shared" ref="C37:AH37" si="11">IFERROR(C22/$B37,".")</f>
        <v>0.10400761506222005</v>
      </c>
      <c r="D37" s="60">
        <f t="shared" si="11"/>
        <v>4.3470126796743962</v>
      </c>
      <c r="E37" s="60">
        <f t="shared" si="11"/>
        <v>1.05977781801823</v>
      </c>
      <c r="F37" s="60">
        <f t="shared" si="11"/>
        <v>1.6599465151624202</v>
      </c>
      <c r="G37" s="60">
        <f t="shared" si="11"/>
        <v>9.7690882909876322</v>
      </c>
      <c r="H37" s="60">
        <f t="shared" si="11"/>
        <v>6.7928131118353168</v>
      </c>
      <c r="I37" s="60">
        <f t="shared" si="11"/>
        <v>0.52187402293539198</v>
      </c>
      <c r="J37" s="60">
        <f t="shared" si="11"/>
        <v>1.9125050316560754</v>
      </c>
      <c r="K37" s="60">
        <f t="shared" si="11"/>
        <v>1.1272259117497125</v>
      </c>
      <c r="L37" s="60">
        <f t="shared" si="11"/>
        <v>24.663741259891957</v>
      </c>
      <c r="M37" s="60">
        <f t="shared" si="11"/>
        <v>2.7592867168411752</v>
      </c>
      <c r="N37" s="60">
        <f t="shared" si="11"/>
        <v>1.0691174479331595</v>
      </c>
      <c r="O37" s="60">
        <f t="shared" si="11"/>
        <v>5.839325324965924</v>
      </c>
      <c r="P37" s="60">
        <f t="shared" si="11"/>
        <v>7.4290739286357921</v>
      </c>
      <c r="Q37" s="60">
        <f t="shared" si="11"/>
        <v>2.584102656104307</v>
      </c>
      <c r="R37" s="60">
        <f t="shared" si="11"/>
        <v>2.7933693162161317</v>
      </c>
      <c r="S37" s="60">
        <f t="shared" si="11"/>
        <v>5.6945486275953607</v>
      </c>
      <c r="T37" s="60">
        <f t="shared" si="11"/>
        <v>7.118432034924747</v>
      </c>
      <c r="U37" s="60">
        <f t="shared" si="11"/>
        <v>10.508632288183081</v>
      </c>
      <c r="V37" s="60">
        <f t="shared" si="11"/>
        <v>2.6484215029408862</v>
      </c>
      <c r="W37" s="60">
        <f t="shared" si="11"/>
        <v>3.5373420042580079</v>
      </c>
      <c r="X37" s="60">
        <f t="shared" si="11"/>
        <v>3.5624349416887009</v>
      </c>
      <c r="Y37" s="60">
        <f t="shared" si="11"/>
        <v>8.5635744640347351</v>
      </c>
      <c r="Z37" s="60">
        <f t="shared" si="11"/>
        <v>2.4709151076639442</v>
      </c>
      <c r="AA37" s="60">
        <f t="shared" si="11"/>
        <v>0.13125106101525952</v>
      </c>
      <c r="AB37" s="60">
        <f t="shared" si="11"/>
        <v>0.19225160066420677</v>
      </c>
      <c r="AC37" s="60">
        <f t="shared" si="11"/>
        <v>9.8376761159745682E-2</v>
      </c>
      <c r="AD37" s="60">
        <f t="shared" si="11"/>
        <v>3.7798969342122297</v>
      </c>
      <c r="AE37" s="60">
        <f t="shared" si="11"/>
        <v>0.99312438179160278</v>
      </c>
      <c r="AF37" s="60">
        <f t="shared" si="11"/>
        <v>1.5348171693611918</v>
      </c>
      <c r="AG37" s="60">
        <f t="shared" si="11"/>
        <v>9.5128499095846788</v>
      </c>
      <c r="AH37" s="60">
        <f t="shared" si="11"/>
        <v>5.7731836737376847</v>
      </c>
      <c r="AI37" s="60">
        <f t="shared" ref="AI37:BB37" si="12">IFERROR(AI22/$B37,".")</f>
        <v>0.51445583530710115</v>
      </c>
      <c r="AJ37" s="60">
        <f t="shared" si="12"/>
        <v>2.0386014876080307</v>
      </c>
      <c r="AK37" s="60">
        <f t="shared" si="12"/>
        <v>1.0961273569569951</v>
      </c>
      <c r="AL37" s="60">
        <f t="shared" si="12"/>
        <v>17.106592227089102</v>
      </c>
      <c r="AM37" s="60">
        <f t="shared" si="12"/>
        <v>3.8771602358448813</v>
      </c>
      <c r="AN37" s="60">
        <f t="shared" si="12"/>
        <v>0.97928528009547033</v>
      </c>
      <c r="AO37" s="60">
        <f t="shared" si="12"/>
        <v>5.6662274669753403</v>
      </c>
      <c r="AP37" s="60">
        <f t="shared" si="12"/>
        <v>6.9710612974391637</v>
      </c>
      <c r="AQ37" s="60">
        <f t="shared" si="12"/>
        <v>1.9024433529034255</v>
      </c>
      <c r="AR37" s="60">
        <f t="shared" si="12"/>
        <v>3.1227393904283014</v>
      </c>
      <c r="AS37" s="60">
        <f t="shared" si="12"/>
        <v>5.087535327177318</v>
      </c>
      <c r="AT37" s="60">
        <f t="shared" si="12"/>
        <v>7.6485077893970841</v>
      </c>
      <c r="AU37" s="60">
        <f t="shared" si="12"/>
        <v>7.8791444143464657</v>
      </c>
      <c r="AV37" s="60">
        <f t="shared" si="12"/>
        <v>2.2543246666320953</v>
      </c>
      <c r="AW37" s="60">
        <f t="shared" si="12"/>
        <v>3.327905116104581</v>
      </c>
      <c r="AX37" s="60">
        <f t="shared" si="12"/>
        <v>3.3728089853811554</v>
      </c>
      <c r="AY37" s="60">
        <f t="shared" si="12"/>
        <v>8.3312818268325</v>
      </c>
      <c r="AZ37" s="60">
        <f t="shared" si="12"/>
        <v>2.004613338592677</v>
      </c>
      <c r="BA37" s="60">
        <f t="shared" si="12"/>
        <v>0.14133825313174828</v>
      </c>
      <c r="BB37" s="60">
        <f t="shared" si="12"/>
        <v>0.15324849202072241</v>
      </c>
    </row>
    <row r="38" spans="1:54" x14ac:dyDescent="0.25">
      <c r="A38" s="182" t="s">
        <v>1066</v>
      </c>
      <c r="B38" s="183">
        <v>1</v>
      </c>
      <c r="C38" s="60">
        <f t="shared" ref="C38:AH38" si="13">IFERROR(C2/$B38,".")</f>
        <v>6.0970916558433919</v>
      </c>
      <c r="D38" s="60">
        <f t="shared" si="13"/>
        <v>173.26142975649543</v>
      </c>
      <c r="E38" s="60">
        <f t="shared" si="13"/>
        <v>407.08668931067467</v>
      </c>
      <c r="F38" s="60">
        <f t="shared" si="13"/>
        <v>465.56516625306062</v>
      </c>
      <c r="G38" s="60">
        <f t="shared" si="13"/>
        <v>387.59740238482476</v>
      </c>
      <c r="H38" s="60">
        <f t="shared" si="13"/>
        <v>276.97628745668089</v>
      </c>
      <c r="I38" s="60">
        <f t="shared" si="13"/>
        <v>195.80369467080578</v>
      </c>
      <c r="J38" s="60">
        <f t="shared" si="13"/>
        <v>556.12274600032117</v>
      </c>
      <c r="K38" s="60">
        <f t="shared" si="13"/>
        <v>45.031698207151344</v>
      </c>
      <c r="L38" s="60">
        <f t="shared" si="13"/>
        <v>249.46896421433544</v>
      </c>
      <c r="M38" s="60">
        <f t="shared" si="13"/>
        <v>205.73507989931829</v>
      </c>
      <c r="N38" s="60">
        <f t="shared" si="13"/>
        <v>35.06299208484949</v>
      </c>
      <c r="O38" s="60">
        <f t="shared" si="13"/>
        <v>98.093934062150979</v>
      </c>
      <c r="P38" s="60">
        <f t="shared" si="13"/>
        <v>534.65552515511729</v>
      </c>
      <c r="Q38" s="60">
        <f t="shared" si="13"/>
        <v>751.41149501450286</v>
      </c>
      <c r="R38" s="60">
        <f t="shared" si="13"/>
        <v>112.19456741513527</v>
      </c>
      <c r="S38" s="60">
        <f t="shared" si="13"/>
        <v>226.97095907918163</v>
      </c>
      <c r="T38" s="60">
        <f t="shared" si="13"/>
        <v>389.878505473139</v>
      </c>
      <c r="U38" s="60">
        <f t="shared" si="13"/>
        <v>285.44272290638793</v>
      </c>
      <c r="V38" s="60">
        <f t="shared" si="13"/>
        <v>111.65614148217095</v>
      </c>
      <c r="W38" s="60">
        <f t="shared" si="13"/>
        <v>259.53429968616928</v>
      </c>
      <c r="X38" s="60">
        <f t="shared" si="13"/>
        <v>51.336299573984405</v>
      </c>
      <c r="Y38" s="60">
        <f t="shared" si="13"/>
        <v>363.71995046735162</v>
      </c>
      <c r="Z38" s="60">
        <f t="shared" si="13"/>
        <v>76.193442606614397</v>
      </c>
      <c r="AA38" s="60">
        <f t="shared" si="13"/>
        <v>0.81144436478761284</v>
      </c>
      <c r="AB38" s="60">
        <f t="shared" si="13"/>
        <v>0.93064226579781717</v>
      </c>
      <c r="AC38" s="60">
        <f t="shared" si="13"/>
        <v>5.6489247514522125</v>
      </c>
      <c r="AD38" s="60">
        <f t="shared" si="13"/>
        <v>150.65756541636298</v>
      </c>
      <c r="AE38" s="60">
        <f t="shared" si="13"/>
        <v>381.48346736796822</v>
      </c>
      <c r="AF38" s="60">
        <f t="shared" si="13"/>
        <v>430.47014111281663</v>
      </c>
      <c r="AG38" s="60">
        <f t="shared" si="13"/>
        <v>377.43091314194419</v>
      </c>
      <c r="AH38" s="60">
        <f t="shared" si="13"/>
        <v>235.40099726449719</v>
      </c>
      <c r="AI38" s="60">
        <f t="shared" ref="AI38:BB38" si="14">IFERROR(AI2/$B38,".")</f>
        <v>193.02043955262485</v>
      </c>
      <c r="AJ38" s="60">
        <f t="shared" si="14"/>
        <v>592.78937232767123</v>
      </c>
      <c r="AK38" s="60">
        <f t="shared" si="14"/>
        <v>43.78933789631494</v>
      </c>
      <c r="AL38" s="60">
        <f t="shared" si="14"/>
        <v>173.02986595423013</v>
      </c>
      <c r="AM38" s="60">
        <f t="shared" si="14"/>
        <v>289.08480805400853</v>
      </c>
      <c r="AN38" s="60">
        <f t="shared" si="14"/>
        <v>32.116838137079775</v>
      </c>
      <c r="AO38" s="60">
        <f t="shared" si="14"/>
        <v>95.186089589874229</v>
      </c>
      <c r="AP38" s="60">
        <f t="shared" si="14"/>
        <v>501.69327626482016</v>
      </c>
      <c r="AQ38" s="60">
        <f t="shared" si="14"/>
        <v>553.19698720508734</v>
      </c>
      <c r="AR38" s="60">
        <f t="shared" si="14"/>
        <v>125.42358542618088</v>
      </c>
      <c r="AS38" s="60">
        <f t="shared" si="14"/>
        <v>202.77687452925645</v>
      </c>
      <c r="AT38" s="60">
        <f t="shared" si="14"/>
        <v>418.910902204227</v>
      </c>
      <c r="AU38" s="60">
        <f t="shared" si="14"/>
        <v>214.01875849559931</v>
      </c>
      <c r="AV38" s="60">
        <f t="shared" si="14"/>
        <v>95.041213660558071</v>
      </c>
      <c r="AW38" s="60">
        <f t="shared" si="14"/>
        <v>244.1679438093781</v>
      </c>
      <c r="AX38" s="60">
        <f t="shared" si="14"/>
        <v>48.603703734523847</v>
      </c>
      <c r="AY38" s="60">
        <f t="shared" si="14"/>
        <v>353.853805570502</v>
      </c>
      <c r="AZ38" s="60">
        <f t="shared" si="14"/>
        <v>61.814503820374838</v>
      </c>
      <c r="BA38" s="60">
        <f t="shared" si="14"/>
        <v>0.64285051457896758</v>
      </c>
      <c r="BB38" s="60">
        <f t="shared" si="14"/>
        <v>0.74183790070683431</v>
      </c>
    </row>
    <row r="39" spans="1:54" x14ac:dyDescent="0.25">
      <c r="A39" s="182" t="s">
        <v>1067</v>
      </c>
      <c r="B39" s="183">
        <v>1</v>
      </c>
      <c r="C39" s="60" t="str">
        <f t="shared" ref="C39:AH39" si="15">IFERROR(C11/$B39,".")</f>
        <v>.</v>
      </c>
      <c r="D39" s="60" t="str">
        <f t="shared" si="15"/>
        <v>.</v>
      </c>
      <c r="E39" s="60" t="str">
        <f t="shared" si="15"/>
        <v>.</v>
      </c>
      <c r="F39" s="60" t="str">
        <f t="shared" si="15"/>
        <v>.</v>
      </c>
      <c r="G39" s="60" t="str">
        <f t="shared" si="15"/>
        <v>.</v>
      </c>
      <c r="H39" s="60" t="str">
        <f t="shared" si="15"/>
        <v>.</v>
      </c>
      <c r="I39" s="60" t="str">
        <f t="shared" si="15"/>
        <v>.</v>
      </c>
      <c r="J39" s="60" t="str">
        <f t="shared" si="15"/>
        <v>.</v>
      </c>
      <c r="K39" s="60" t="str">
        <f t="shared" si="15"/>
        <v>.</v>
      </c>
      <c r="L39" s="60" t="str">
        <f t="shared" si="15"/>
        <v>.</v>
      </c>
      <c r="M39" s="60" t="str">
        <f t="shared" si="15"/>
        <v>.</v>
      </c>
      <c r="N39" s="60" t="str">
        <f t="shared" si="15"/>
        <v>.</v>
      </c>
      <c r="O39" s="60" t="str">
        <f t="shared" si="15"/>
        <v>.</v>
      </c>
      <c r="P39" s="60" t="str">
        <f t="shared" si="15"/>
        <v>.</v>
      </c>
      <c r="Q39" s="60" t="str">
        <f t="shared" si="15"/>
        <v>.</v>
      </c>
      <c r="R39" s="60" t="str">
        <f t="shared" si="15"/>
        <v>.</v>
      </c>
      <c r="S39" s="60" t="str">
        <f t="shared" si="15"/>
        <v>.</v>
      </c>
      <c r="T39" s="60" t="str">
        <f t="shared" si="15"/>
        <v>.</v>
      </c>
      <c r="U39" s="60" t="str">
        <f t="shared" si="15"/>
        <v>.</v>
      </c>
      <c r="V39" s="60" t="str">
        <f t="shared" si="15"/>
        <v>.</v>
      </c>
      <c r="W39" s="60" t="str">
        <f t="shared" si="15"/>
        <v>.</v>
      </c>
      <c r="X39" s="60" t="str">
        <f t="shared" si="15"/>
        <v>.</v>
      </c>
      <c r="Y39" s="60" t="str">
        <f t="shared" si="15"/>
        <v>.</v>
      </c>
      <c r="Z39" s="60" t="str">
        <f t="shared" si="15"/>
        <v>.</v>
      </c>
      <c r="AA39" s="60" t="str">
        <f t="shared" si="15"/>
        <v>.</v>
      </c>
      <c r="AB39" s="60" t="str">
        <f t="shared" si="15"/>
        <v>.</v>
      </c>
      <c r="AC39" s="60" t="str">
        <f t="shared" si="15"/>
        <v>.</v>
      </c>
      <c r="AD39" s="60" t="str">
        <f t="shared" si="15"/>
        <v>.</v>
      </c>
      <c r="AE39" s="60" t="str">
        <f t="shared" si="15"/>
        <v>.</v>
      </c>
      <c r="AF39" s="60" t="str">
        <f t="shared" si="15"/>
        <v>.</v>
      </c>
      <c r="AG39" s="60" t="str">
        <f t="shared" si="15"/>
        <v>.</v>
      </c>
      <c r="AH39" s="60" t="str">
        <f t="shared" si="15"/>
        <v>.</v>
      </c>
      <c r="AI39" s="60" t="str">
        <f t="shared" ref="AI39:BB39" si="16">IFERROR(AI11/$B39,".")</f>
        <v>.</v>
      </c>
      <c r="AJ39" s="60" t="str">
        <f t="shared" si="16"/>
        <v>.</v>
      </c>
      <c r="AK39" s="60" t="str">
        <f t="shared" si="16"/>
        <v>.</v>
      </c>
      <c r="AL39" s="60" t="str">
        <f t="shared" si="16"/>
        <v>.</v>
      </c>
      <c r="AM39" s="60" t="str">
        <f t="shared" si="16"/>
        <v>.</v>
      </c>
      <c r="AN39" s="60" t="str">
        <f t="shared" si="16"/>
        <v>.</v>
      </c>
      <c r="AO39" s="60" t="str">
        <f t="shared" si="16"/>
        <v>.</v>
      </c>
      <c r="AP39" s="60" t="str">
        <f t="shared" si="16"/>
        <v>.</v>
      </c>
      <c r="AQ39" s="60" t="str">
        <f t="shared" si="16"/>
        <v>.</v>
      </c>
      <c r="AR39" s="60" t="str">
        <f t="shared" si="16"/>
        <v>.</v>
      </c>
      <c r="AS39" s="60" t="str">
        <f t="shared" si="16"/>
        <v>.</v>
      </c>
      <c r="AT39" s="60" t="str">
        <f t="shared" si="16"/>
        <v>.</v>
      </c>
      <c r="AU39" s="60" t="str">
        <f t="shared" si="16"/>
        <v>.</v>
      </c>
      <c r="AV39" s="60" t="str">
        <f t="shared" si="16"/>
        <v>.</v>
      </c>
      <c r="AW39" s="60" t="str">
        <f t="shared" si="16"/>
        <v>.</v>
      </c>
      <c r="AX39" s="60" t="str">
        <f t="shared" si="16"/>
        <v>.</v>
      </c>
      <c r="AY39" s="60" t="str">
        <f t="shared" si="16"/>
        <v>.</v>
      </c>
      <c r="AZ39" s="60" t="str">
        <f t="shared" si="16"/>
        <v>.</v>
      </c>
      <c r="BA39" s="60" t="str">
        <f t="shared" si="16"/>
        <v>.</v>
      </c>
      <c r="BB39" s="60" t="str">
        <f t="shared" si="16"/>
        <v>.</v>
      </c>
    </row>
    <row r="40" spans="1:54" x14ac:dyDescent="0.25">
      <c r="A40" s="182" t="s">
        <v>1068</v>
      </c>
      <c r="B40" s="183">
        <v>1</v>
      </c>
      <c r="C40" s="60" t="str">
        <f t="shared" ref="C40:AH40" si="17">IFERROR(C4/$B40,".")</f>
        <v>.</v>
      </c>
      <c r="D40" s="60" t="str">
        <f t="shared" si="17"/>
        <v>.</v>
      </c>
      <c r="E40" s="60" t="str">
        <f t="shared" si="17"/>
        <v>.</v>
      </c>
      <c r="F40" s="60" t="str">
        <f t="shared" si="17"/>
        <v>.</v>
      </c>
      <c r="G40" s="60" t="str">
        <f t="shared" si="17"/>
        <v>.</v>
      </c>
      <c r="H40" s="60" t="str">
        <f t="shared" si="17"/>
        <v>.</v>
      </c>
      <c r="I40" s="60" t="str">
        <f t="shared" si="17"/>
        <v>.</v>
      </c>
      <c r="J40" s="60" t="str">
        <f t="shared" si="17"/>
        <v>.</v>
      </c>
      <c r="K40" s="60" t="str">
        <f t="shared" si="17"/>
        <v>.</v>
      </c>
      <c r="L40" s="60" t="str">
        <f t="shared" si="17"/>
        <v>.</v>
      </c>
      <c r="M40" s="60" t="str">
        <f t="shared" si="17"/>
        <v>.</v>
      </c>
      <c r="N40" s="60" t="str">
        <f t="shared" si="17"/>
        <v>.</v>
      </c>
      <c r="O40" s="60" t="str">
        <f t="shared" si="17"/>
        <v>.</v>
      </c>
      <c r="P40" s="60" t="str">
        <f t="shared" si="17"/>
        <v>.</v>
      </c>
      <c r="Q40" s="60" t="str">
        <f t="shared" si="17"/>
        <v>.</v>
      </c>
      <c r="R40" s="60" t="str">
        <f t="shared" si="17"/>
        <v>.</v>
      </c>
      <c r="S40" s="60" t="str">
        <f t="shared" si="17"/>
        <v>.</v>
      </c>
      <c r="T40" s="60" t="str">
        <f t="shared" si="17"/>
        <v>.</v>
      </c>
      <c r="U40" s="60" t="str">
        <f t="shared" si="17"/>
        <v>.</v>
      </c>
      <c r="V40" s="60" t="str">
        <f t="shared" si="17"/>
        <v>.</v>
      </c>
      <c r="W40" s="60" t="str">
        <f t="shared" si="17"/>
        <v>.</v>
      </c>
      <c r="X40" s="60" t="str">
        <f t="shared" si="17"/>
        <v>.</v>
      </c>
      <c r="Y40" s="60" t="str">
        <f t="shared" si="17"/>
        <v>.</v>
      </c>
      <c r="Z40" s="60" t="str">
        <f t="shared" si="17"/>
        <v>.</v>
      </c>
      <c r="AA40" s="60" t="str">
        <f t="shared" si="17"/>
        <v>.</v>
      </c>
      <c r="AB40" s="60" t="str">
        <f t="shared" si="17"/>
        <v>.</v>
      </c>
      <c r="AC40" s="60" t="str">
        <f t="shared" si="17"/>
        <v>.</v>
      </c>
      <c r="AD40" s="60" t="str">
        <f t="shared" si="17"/>
        <v>.</v>
      </c>
      <c r="AE40" s="60" t="str">
        <f t="shared" si="17"/>
        <v>.</v>
      </c>
      <c r="AF40" s="60" t="str">
        <f t="shared" si="17"/>
        <v>.</v>
      </c>
      <c r="AG40" s="60" t="str">
        <f t="shared" si="17"/>
        <v>.</v>
      </c>
      <c r="AH40" s="60" t="str">
        <f t="shared" si="17"/>
        <v>.</v>
      </c>
      <c r="AI40" s="60" t="str">
        <f t="shared" ref="AI40:BB40" si="18">IFERROR(AI4/$B40,".")</f>
        <v>.</v>
      </c>
      <c r="AJ40" s="60" t="str">
        <f t="shared" si="18"/>
        <v>.</v>
      </c>
      <c r="AK40" s="60" t="str">
        <f t="shared" si="18"/>
        <v>.</v>
      </c>
      <c r="AL40" s="60" t="str">
        <f t="shared" si="18"/>
        <v>.</v>
      </c>
      <c r="AM40" s="60" t="str">
        <f t="shared" si="18"/>
        <v>.</v>
      </c>
      <c r="AN40" s="60" t="str">
        <f t="shared" si="18"/>
        <v>.</v>
      </c>
      <c r="AO40" s="60" t="str">
        <f t="shared" si="18"/>
        <v>.</v>
      </c>
      <c r="AP40" s="60" t="str">
        <f t="shared" si="18"/>
        <v>.</v>
      </c>
      <c r="AQ40" s="60" t="str">
        <f t="shared" si="18"/>
        <v>.</v>
      </c>
      <c r="AR40" s="60" t="str">
        <f t="shared" si="18"/>
        <v>.</v>
      </c>
      <c r="AS40" s="60" t="str">
        <f t="shared" si="18"/>
        <v>.</v>
      </c>
      <c r="AT40" s="60" t="str">
        <f t="shared" si="18"/>
        <v>.</v>
      </c>
      <c r="AU40" s="60" t="str">
        <f t="shared" si="18"/>
        <v>.</v>
      </c>
      <c r="AV40" s="60" t="str">
        <f t="shared" si="18"/>
        <v>.</v>
      </c>
      <c r="AW40" s="60" t="str">
        <f t="shared" si="18"/>
        <v>.</v>
      </c>
      <c r="AX40" s="60" t="str">
        <f t="shared" si="18"/>
        <v>.</v>
      </c>
      <c r="AY40" s="60" t="str">
        <f t="shared" si="18"/>
        <v>.</v>
      </c>
      <c r="AZ40" s="60" t="str">
        <f t="shared" si="18"/>
        <v>.</v>
      </c>
      <c r="BA40" s="60" t="str">
        <f t="shared" si="18"/>
        <v>.</v>
      </c>
      <c r="BB40" s="60" t="str">
        <f t="shared" si="18"/>
        <v>.</v>
      </c>
    </row>
    <row r="41" spans="1:54" x14ac:dyDescent="0.25">
      <c r="A41" s="182" t="s">
        <v>1069</v>
      </c>
      <c r="B41" s="184">
        <v>0.99987999999999999</v>
      </c>
      <c r="C41" s="60">
        <f t="shared" ref="C41:AH41" si="19">IFERROR(C8/$B41,".")</f>
        <v>21.465003236147531</v>
      </c>
      <c r="D41" s="60">
        <f t="shared" si="19"/>
        <v>391.63778040136526</v>
      </c>
      <c r="E41" s="60">
        <f t="shared" si="19"/>
        <v>856.61249132921125</v>
      </c>
      <c r="F41" s="60">
        <f t="shared" si="19"/>
        <v>1032.6254892277689</v>
      </c>
      <c r="G41" s="60">
        <f t="shared" si="19"/>
        <v>880.59880224306983</v>
      </c>
      <c r="H41" s="60">
        <f t="shared" si="19"/>
        <v>1075.7052528798565</v>
      </c>
      <c r="I41" s="60">
        <f t="shared" si="19"/>
        <v>421.83868424129525</v>
      </c>
      <c r="J41" s="60">
        <f t="shared" si="19"/>
        <v>1189.5295576861265</v>
      </c>
      <c r="K41" s="60">
        <f t="shared" si="19"/>
        <v>101.52883192557401</v>
      </c>
      <c r="L41" s="60">
        <f t="shared" si="19"/>
        <v>556.68786314485317</v>
      </c>
      <c r="M41" s="60">
        <f t="shared" si="19"/>
        <v>417.43323074277379</v>
      </c>
      <c r="N41" s="60">
        <f t="shared" si="19"/>
        <v>874.25903191838893</v>
      </c>
      <c r="O41" s="60">
        <f t="shared" si="19"/>
        <v>890.6056425343296</v>
      </c>
      <c r="P41" s="60">
        <f t="shared" si="19"/>
        <v>1126.0807419627106</v>
      </c>
      <c r="Q41" s="60">
        <f t="shared" si="19"/>
        <v>1607.2462234881443</v>
      </c>
      <c r="R41" s="60">
        <f t="shared" si="19"/>
        <v>251.44194556807341</v>
      </c>
      <c r="S41" s="60">
        <f t="shared" si="19"/>
        <v>513.0420703226788</v>
      </c>
      <c r="T41" s="60">
        <f t="shared" si="19"/>
        <v>894.79024212738409</v>
      </c>
      <c r="U41" s="60">
        <f t="shared" si="19"/>
        <v>1754.9226689190764</v>
      </c>
      <c r="V41" s="60">
        <f t="shared" si="19"/>
        <v>263.1333757113822</v>
      </c>
      <c r="W41" s="60">
        <f t="shared" si="19"/>
        <v>535.60870273237288</v>
      </c>
      <c r="X41" s="60">
        <f t="shared" si="19"/>
        <v>572.53959339073435</v>
      </c>
      <c r="Y41" s="60">
        <f t="shared" si="19"/>
        <v>766.05966350031963</v>
      </c>
      <c r="Z41" s="60">
        <f t="shared" si="19"/>
        <v>404.75908396234217</v>
      </c>
      <c r="AA41" s="60">
        <f t="shared" si="19"/>
        <v>113.57518136586233</v>
      </c>
      <c r="AB41" s="60">
        <f t="shared" si="19"/>
        <v>130.25891695284548</v>
      </c>
      <c r="AC41" s="60">
        <f t="shared" si="19"/>
        <v>20.191993860320256</v>
      </c>
      <c r="AD41" s="60">
        <f t="shared" si="19"/>
        <v>340.54431273747417</v>
      </c>
      <c r="AE41" s="60">
        <f t="shared" si="19"/>
        <v>802.73689109395332</v>
      </c>
      <c r="AF41" s="60">
        <f t="shared" si="19"/>
        <v>954.78457643661113</v>
      </c>
      <c r="AG41" s="60">
        <f t="shared" si="19"/>
        <v>857.50112874161232</v>
      </c>
      <c r="AH41" s="60">
        <f t="shared" si="19"/>
        <v>914.23743027164471</v>
      </c>
      <c r="AI41" s="60">
        <f t="shared" ref="AI41:BB41" si="20">IFERROR(AI8/$B41,".")</f>
        <v>415.84245072315247</v>
      </c>
      <c r="AJ41" s="60">
        <f t="shared" si="20"/>
        <v>1267.9583508090566</v>
      </c>
      <c r="AK41" s="60">
        <f t="shared" si="20"/>
        <v>98.727796294857299</v>
      </c>
      <c r="AL41" s="60">
        <f t="shared" si="20"/>
        <v>386.11466817789284</v>
      </c>
      <c r="AM41" s="60">
        <f t="shared" si="20"/>
        <v>586.54851396122683</v>
      </c>
      <c r="AN41" s="60">
        <f t="shared" si="20"/>
        <v>800.79976489329579</v>
      </c>
      <c r="AO41" s="60">
        <f t="shared" si="20"/>
        <v>864.20500197095782</v>
      </c>
      <c r="AP41" s="60">
        <f t="shared" si="20"/>
        <v>1056.6563145683124</v>
      </c>
      <c r="AQ41" s="60">
        <f t="shared" si="20"/>
        <v>1183.2714490390315</v>
      </c>
      <c r="AR41" s="60">
        <f t="shared" si="20"/>
        <v>281.08981625636187</v>
      </c>
      <c r="AS41" s="60">
        <f t="shared" si="20"/>
        <v>458.35409051498328</v>
      </c>
      <c r="AT41" s="60">
        <f t="shared" si="20"/>
        <v>961.42101283125464</v>
      </c>
      <c r="AU41" s="60">
        <f t="shared" si="20"/>
        <v>1315.8029289855797</v>
      </c>
      <c r="AV41" s="60">
        <f t="shared" si="20"/>
        <v>223.97796529806374</v>
      </c>
      <c r="AW41" s="60">
        <f t="shared" si="20"/>
        <v>503.89669415838375</v>
      </c>
      <c r="AX41" s="60">
        <f t="shared" si="20"/>
        <v>542.06370549446683</v>
      </c>
      <c r="AY41" s="60">
        <f t="shared" si="20"/>
        <v>745.27978703213455</v>
      </c>
      <c r="AZ41" s="60">
        <f t="shared" si="20"/>
        <v>328.37447798624106</v>
      </c>
      <c r="BA41" s="60">
        <f t="shared" si="20"/>
        <v>89.977658300152555</v>
      </c>
      <c r="BB41" s="60">
        <f t="shared" si="20"/>
        <v>103.83259502812862</v>
      </c>
    </row>
    <row r="42" spans="1:54" x14ac:dyDescent="0.25">
      <c r="A42" s="182" t="s">
        <v>1070</v>
      </c>
      <c r="B42" s="183">
        <v>0.97898250799999997</v>
      </c>
      <c r="C42" s="60" t="str">
        <f t="shared" ref="C42:AH42" si="21">IFERROR(C19/$B42,".")</f>
        <v>.</v>
      </c>
      <c r="D42" s="60" t="str">
        <f t="shared" si="21"/>
        <v>.</v>
      </c>
      <c r="E42" s="60" t="str">
        <f t="shared" si="21"/>
        <v>.</v>
      </c>
      <c r="F42" s="60" t="str">
        <f t="shared" si="21"/>
        <v>.</v>
      </c>
      <c r="G42" s="60" t="str">
        <f t="shared" si="21"/>
        <v>.</v>
      </c>
      <c r="H42" s="60" t="str">
        <f t="shared" si="21"/>
        <v>.</v>
      </c>
      <c r="I42" s="60" t="str">
        <f t="shared" si="21"/>
        <v>.</v>
      </c>
      <c r="J42" s="60" t="str">
        <f t="shared" si="21"/>
        <v>.</v>
      </c>
      <c r="K42" s="60" t="str">
        <f t="shared" si="21"/>
        <v>.</v>
      </c>
      <c r="L42" s="60" t="str">
        <f t="shared" si="21"/>
        <v>.</v>
      </c>
      <c r="M42" s="60" t="str">
        <f t="shared" si="21"/>
        <v>.</v>
      </c>
      <c r="N42" s="60" t="str">
        <f t="shared" si="21"/>
        <v>.</v>
      </c>
      <c r="O42" s="60" t="str">
        <f t="shared" si="21"/>
        <v>.</v>
      </c>
      <c r="P42" s="60" t="str">
        <f t="shared" si="21"/>
        <v>.</v>
      </c>
      <c r="Q42" s="60" t="str">
        <f t="shared" si="21"/>
        <v>.</v>
      </c>
      <c r="R42" s="60" t="str">
        <f t="shared" si="21"/>
        <v>.</v>
      </c>
      <c r="S42" s="60" t="str">
        <f t="shared" si="21"/>
        <v>.</v>
      </c>
      <c r="T42" s="60" t="str">
        <f t="shared" si="21"/>
        <v>.</v>
      </c>
      <c r="U42" s="60" t="str">
        <f t="shared" si="21"/>
        <v>.</v>
      </c>
      <c r="V42" s="60" t="str">
        <f t="shared" si="21"/>
        <v>.</v>
      </c>
      <c r="W42" s="60" t="str">
        <f t="shared" si="21"/>
        <v>.</v>
      </c>
      <c r="X42" s="60" t="str">
        <f t="shared" si="21"/>
        <v>.</v>
      </c>
      <c r="Y42" s="60" t="str">
        <f t="shared" si="21"/>
        <v>.</v>
      </c>
      <c r="Z42" s="60" t="str">
        <f t="shared" si="21"/>
        <v>.</v>
      </c>
      <c r="AA42" s="60" t="str">
        <f t="shared" si="21"/>
        <v>.</v>
      </c>
      <c r="AB42" s="60" t="str">
        <f t="shared" si="21"/>
        <v>.</v>
      </c>
      <c r="AC42" s="60" t="str">
        <f t="shared" si="21"/>
        <v>.</v>
      </c>
      <c r="AD42" s="60" t="str">
        <f t="shared" si="21"/>
        <v>.</v>
      </c>
      <c r="AE42" s="60" t="str">
        <f t="shared" si="21"/>
        <v>.</v>
      </c>
      <c r="AF42" s="60" t="str">
        <f t="shared" si="21"/>
        <v>.</v>
      </c>
      <c r="AG42" s="60" t="str">
        <f t="shared" si="21"/>
        <v>.</v>
      </c>
      <c r="AH42" s="60" t="str">
        <f t="shared" si="21"/>
        <v>.</v>
      </c>
      <c r="AI42" s="60" t="str">
        <f t="shared" ref="AI42:BB42" si="22">IFERROR(AI19/$B42,".")</f>
        <v>.</v>
      </c>
      <c r="AJ42" s="60" t="str">
        <f t="shared" si="22"/>
        <v>.</v>
      </c>
      <c r="AK42" s="60" t="str">
        <f t="shared" si="22"/>
        <v>.</v>
      </c>
      <c r="AL42" s="60" t="str">
        <f t="shared" si="22"/>
        <v>.</v>
      </c>
      <c r="AM42" s="60" t="str">
        <f t="shared" si="22"/>
        <v>.</v>
      </c>
      <c r="AN42" s="60" t="str">
        <f t="shared" si="22"/>
        <v>.</v>
      </c>
      <c r="AO42" s="60" t="str">
        <f t="shared" si="22"/>
        <v>.</v>
      </c>
      <c r="AP42" s="60" t="str">
        <f t="shared" si="22"/>
        <v>.</v>
      </c>
      <c r="AQ42" s="60" t="str">
        <f t="shared" si="22"/>
        <v>.</v>
      </c>
      <c r="AR42" s="60" t="str">
        <f t="shared" si="22"/>
        <v>.</v>
      </c>
      <c r="AS42" s="60" t="str">
        <f t="shared" si="22"/>
        <v>.</v>
      </c>
      <c r="AT42" s="60" t="str">
        <f t="shared" si="22"/>
        <v>.</v>
      </c>
      <c r="AU42" s="60" t="str">
        <f t="shared" si="22"/>
        <v>.</v>
      </c>
      <c r="AV42" s="60" t="str">
        <f t="shared" si="22"/>
        <v>.</v>
      </c>
      <c r="AW42" s="60" t="str">
        <f t="shared" si="22"/>
        <v>.</v>
      </c>
      <c r="AX42" s="60" t="str">
        <f t="shared" si="22"/>
        <v>.</v>
      </c>
      <c r="AY42" s="60" t="str">
        <f t="shared" si="22"/>
        <v>.</v>
      </c>
      <c r="AZ42" s="60" t="str">
        <f t="shared" si="22"/>
        <v>.</v>
      </c>
      <c r="BA42" s="60" t="str">
        <f t="shared" si="22"/>
        <v>.</v>
      </c>
      <c r="BB42" s="60" t="str">
        <f t="shared" si="22"/>
        <v>.</v>
      </c>
    </row>
    <row r="43" spans="1:54" x14ac:dyDescent="0.25">
      <c r="A43" s="182" t="s">
        <v>1071</v>
      </c>
      <c r="B43" s="183">
        <v>2.0897492E-2</v>
      </c>
      <c r="C43" s="60" t="str">
        <f t="shared" ref="C43:AH43" si="23">IFERROR(C28/$B43,".")</f>
        <v>.</v>
      </c>
      <c r="D43" s="60" t="str">
        <f t="shared" si="23"/>
        <v>.</v>
      </c>
      <c r="E43" s="60" t="str">
        <f t="shared" si="23"/>
        <v>.</v>
      </c>
      <c r="F43" s="60" t="str">
        <f t="shared" si="23"/>
        <v>.</v>
      </c>
      <c r="G43" s="60" t="str">
        <f t="shared" si="23"/>
        <v>.</v>
      </c>
      <c r="H43" s="60" t="str">
        <f t="shared" si="23"/>
        <v>.</v>
      </c>
      <c r="I43" s="60" t="str">
        <f t="shared" si="23"/>
        <v>.</v>
      </c>
      <c r="J43" s="60" t="str">
        <f t="shared" si="23"/>
        <v>.</v>
      </c>
      <c r="K43" s="60" t="str">
        <f t="shared" si="23"/>
        <v>.</v>
      </c>
      <c r="L43" s="60" t="str">
        <f t="shared" si="23"/>
        <v>.</v>
      </c>
      <c r="M43" s="60" t="str">
        <f t="shared" si="23"/>
        <v>.</v>
      </c>
      <c r="N43" s="60" t="str">
        <f t="shared" si="23"/>
        <v>.</v>
      </c>
      <c r="O43" s="60" t="str">
        <f t="shared" si="23"/>
        <v>.</v>
      </c>
      <c r="P43" s="60" t="str">
        <f t="shared" si="23"/>
        <v>.</v>
      </c>
      <c r="Q43" s="60" t="str">
        <f t="shared" si="23"/>
        <v>.</v>
      </c>
      <c r="R43" s="60" t="str">
        <f t="shared" si="23"/>
        <v>.</v>
      </c>
      <c r="S43" s="60" t="str">
        <f t="shared" si="23"/>
        <v>.</v>
      </c>
      <c r="T43" s="60" t="str">
        <f t="shared" si="23"/>
        <v>.</v>
      </c>
      <c r="U43" s="60" t="str">
        <f t="shared" si="23"/>
        <v>.</v>
      </c>
      <c r="V43" s="60" t="str">
        <f t="shared" si="23"/>
        <v>.</v>
      </c>
      <c r="W43" s="60" t="str">
        <f t="shared" si="23"/>
        <v>.</v>
      </c>
      <c r="X43" s="60" t="str">
        <f t="shared" si="23"/>
        <v>.</v>
      </c>
      <c r="Y43" s="60" t="str">
        <f t="shared" si="23"/>
        <v>.</v>
      </c>
      <c r="Z43" s="60" t="str">
        <f t="shared" si="23"/>
        <v>.</v>
      </c>
      <c r="AA43" s="60" t="str">
        <f t="shared" si="23"/>
        <v>.</v>
      </c>
      <c r="AB43" s="60" t="str">
        <f t="shared" si="23"/>
        <v>.</v>
      </c>
      <c r="AC43" s="60" t="str">
        <f t="shared" si="23"/>
        <v>.</v>
      </c>
      <c r="AD43" s="60" t="str">
        <f t="shared" si="23"/>
        <v>.</v>
      </c>
      <c r="AE43" s="60" t="str">
        <f t="shared" si="23"/>
        <v>.</v>
      </c>
      <c r="AF43" s="60" t="str">
        <f t="shared" si="23"/>
        <v>.</v>
      </c>
      <c r="AG43" s="60" t="str">
        <f t="shared" si="23"/>
        <v>.</v>
      </c>
      <c r="AH43" s="60" t="str">
        <f t="shared" si="23"/>
        <v>.</v>
      </c>
      <c r="AI43" s="60" t="str">
        <f t="shared" ref="AI43:BB43" si="24">IFERROR(AI28/$B43,".")</f>
        <v>.</v>
      </c>
      <c r="AJ43" s="60" t="str">
        <f t="shared" si="24"/>
        <v>.</v>
      </c>
      <c r="AK43" s="60" t="str">
        <f t="shared" si="24"/>
        <v>.</v>
      </c>
      <c r="AL43" s="60" t="str">
        <f t="shared" si="24"/>
        <v>.</v>
      </c>
      <c r="AM43" s="60" t="str">
        <f t="shared" si="24"/>
        <v>.</v>
      </c>
      <c r="AN43" s="60" t="str">
        <f t="shared" si="24"/>
        <v>.</v>
      </c>
      <c r="AO43" s="60" t="str">
        <f t="shared" si="24"/>
        <v>.</v>
      </c>
      <c r="AP43" s="60" t="str">
        <f t="shared" si="24"/>
        <v>.</v>
      </c>
      <c r="AQ43" s="60" t="str">
        <f t="shared" si="24"/>
        <v>.</v>
      </c>
      <c r="AR43" s="60" t="str">
        <f t="shared" si="24"/>
        <v>.</v>
      </c>
      <c r="AS43" s="60" t="str">
        <f t="shared" si="24"/>
        <v>.</v>
      </c>
      <c r="AT43" s="60" t="str">
        <f t="shared" si="24"/>
        <v>.</v>
      </c>
      <c r="AU43" s="60" t="str">
        <f t="shared" si="24"/>
        <v>.</v>
      </c>
      <c r="AV43" s="60" t="str">
        <f t="shared" si="24"/>
        <v>.</v>
      </c>
      <c r="AW43" s="60" t="str">
        <f t="shared" si="24"/>
        <v>.</v>
      </c>
      <c r="AX43" s="60" t="str">
        <f t="shared" si="24"/>
        <v>.</v>
      </c>
      <c r="AY43" s="60" t="str">
        <f t="shared" si="24"/>
        <v>.</v>
      </c>
      <c r="AZ43" s="60" t="str">
        <f t="shared" si="24"/>
        <v>.</v>
      </c>
      <c r="BA43" s="60" t="str">
        <f t="shared" si="24"/>
        <v>.</v>
      </c>
      <c r="BB43" s="60" t="str">
        <f t="shared" si="24"/>
        <v>.</v>
      </c>
    </row>
    <row r="44" spans="1:54" x14ac:dyDescent="0.25">
      <c r="A44" s="182" t="s">
        <v>1072</v>
      </c>
      <c r="B44" s="183">
        <v>0.99987999999999999</v>
      </c>
      <c r="C44" s="60">
        <f t="shared" ref="C44:AH44" si="25">IFERROR(C15/$B44,".")</f>
        <v>443.40263610273735</v>
      </c>
      <c r="D44" s="60">
        <f t="shared" si="25"/>
        <v>13851.58210635218</v>
      </c>
      <c r="E44" s="60">
        <f t="shared" si="25"/>
        <v>3840.8107748767575</v>
      </c>
      <c r="F44" s="60">
        <f t="shared" si="25"/>
        <v>24506.847341272263</v>
      </c>
      <c r="G44" s="60">
        <f t="shared" si="25"/>
        <v>31128.809262400064</v>
      </c>
      <c r="H44" s="60">
        <f t="shared" si="25"/>
        <v>24348.965861388235</v>
      </c>
      <c r="I44" s="60">
        <f t="shared" si="25"/>
        <v>1891.2839679448941</v>
      </c>
      <c r="J44" s="60">
        <f t="shared" si="25"/>
        <v>28295.660535205494</v>
      </c>
      <c r="K44" s="60">
        <f t="shared" si="25"/>
        <v>3591.8603002966997</v>
      </c>
      <c r="L44" s="60">
        <f t="shared" si="25"/>
        <v>148707.5202683734</v>
      </c>
      <c r="M44" s="60">
        <f t="shared" si="25"/>
        <v>9961.5531880535436</v>
      </c>
      <c r="N44" s="60">
        <f t="shared" si="25"/>
        <v>3807.4882392877826</v>
      </c>
      <c r="O44" s="60">
        <f t="shared" si="25"/>
        <v>36337.221064825899</v>
      </c>
      <c r="P44" s="60">
        <f t="shared" si="25"/>
        <v>26812.028889837267</v>
      </c>
      <c r="Q44" s="60">
        <f t="shared" si="25"/>
        <v>38231.99956861564</v>
      </c>
      <c r="R44" s="60">
        <f t="shared" si="25"/>
        <v>8900.9596447348704</v>
      </c>
      <c r="S44" s="60">
        <f t="shared" si="25"/>
        <v>18145.451528717527</v>
      </c>
      <c r="T44" s="60">
        <f t="shared" si="25"/>
        <v>58706.442082616304</v>
      </c>
      <c r="U44" s="60">
        <f t="shared" si="25"/>
        <v>37374.458203026079</v>
      </c>
      <c r="V44" s="60">
        <f t="shared" si="25"/>
        <v>55322.918304407322</v>
      </c>
      <c r="W44" s="60">
        <f t="shared" si="25"/>
        <v>12768.68996764751</v>
      </c>
      <c r="X44" s="60">
        <f t="shared" si="25"/>
        <v>20939.764440305258</v>
      </c>
      <c r="Y44" s="60">
        <f t="shared" si="25"/>
        <v>27287.487650328843</v>
      </c>
      <c r="Z44" s="60">
        <f t="shared" si="25"/>
        <v>8812.467096977969</v>
      </c>
      <c r="AA44" s="60">
        <f t="shared" si="25"/>
        <v>432.1671336707592</v>
      </c>
      <c r="AB44" s="60">
        <f t="shared" si="25"/>
        <v>626.6848446238032</v>
      </c>
      <c r="AC44" s="60">
        <f t="shared" si="25"/>
        <v>423.76051247234022</v>
      </c>
      <c r="AD44" s="60">
        <f t="shared" si="25"/>
        <v>12044.490457228505</v>
      </c>
      <c r="AE44" s="60">
        <f t="shared" si="25"/>
        <v>3599.2476550517799</v>
      </c>
      <c r="AF44" s="60">
        <f t="shared" si="25"/>
        <v>22659.483135586441</v>
      </c>
      <c r="AG44" s="60">
        <f t="shared" si="25"/>
        <v>30312.315904697771</v>
      </c>
      <c r="AH44" s="60">
        <f t="shared" si="25"/>
        <v>20694.085037970752</v>
      </c>
      <c r="AI44" s="60">
        <f t="shared" ref="AI44:BB44" si="26">IFERROR(AI15/$B44,".")</f>
        <v>1864.4002781730226</v>
      </c>
      <c r="AJ44" s="60">
        <f t="shared" si="26"/>
        <v>30161.26739806401</v>
      </c>
      <c r="AK44" s="60">
        <f t="shared" si="26"/>
        <v>3492.7659987975644</v>
      </c>
      <c r="AL44" s="60">
        <f t="shared" si="26"/>
        <v>103142.45853971447</v>
      </c>
      <c r="AM44" s="60">
        <f t="shared" si="26"/>
        <v>13997.290557825756</v>
      </c>
      <c r="AN44" s="60">
        <f t="shared" si="26"/>
        <v>3487.5655561317312</v>
      </c>
      <c r="AO44" s="60">
        <f t="shared" si="26"/>
        <v>35260.059786491343</v>
      </c>
      <c r="AP44" s="60">
        <f t="shared" si="26"/>
        <v>25159.030411491338</v>
      </c>
      <c r="AQ44" s="60">
        <f t="shared" si="26"/>
        <v>28146.79721631909</v>
      </c>
      <c r="AR44" s="60">
        <f t="shared" si="26"/>
        <v>9950.4842177036589</v>
      </c>
      <c r="AS44" s="60">
        <f t="shared" si="26"/>
        <v>16211.227915866661</v>
      </c>
      <c r="AT44" s="60">
        <f t="shared" si="26"/>
        <v>63078.031419517007</v>
      </c>
      <c r="AU44" s="60">
        <f t="shared" si="26"/>
        <v>28022.55759969246</v>
      </c>
      <c r="AV44" s="60">
        <f t="shared" si="26"/>
        <v>47090.62331098337</v>
      </c>
      <c r="AW44" s="60">
        <f t="shared" si="26"/>
        <v>12012.688798011972</v>
      </c>
      <c r="AX44" s="60">
        <f t="shared" si="26"/>
        <v>19825.155213233902</v>
      </c>
      <c r="AY44" s="60">
        <f t="shared" si="26"/>
        <v>26547.296449149999</v>
      </c>
      <c r="AZ44" s="60">
        <f t="shared" si="26"/>
        <v>7149.4115818542014</v>
      </c>
      <c r="BA44" s="60">
        <f t="shared" si="26"/>
        <v>451.41233751468411</v>
      </c>
      <c r="BB44" s="60">
        <f t="shared" si="26"/>
        <v>499.54594437204565</v>
      </c>
    </row>
    <row r="45" spans="1:54" x14ac:dyDescent="0.25">
      <c r="A45" s="89" t="s">
        <v>8</v>
      </c>
      <c r="B45" s="89" t="s">
        <v>1057</v>
      </c>
      <c r="C45" s="90">
        <f t="shared" ref="C45:AH45" si="27">IFERROR(1/SUM(IFERROR(1/SUMIF(C46,"&lt;&gt;.",C46),0),IFERROR(1/SUMIF(C47,"&lt;&gt;.",C47),0)),".")</f>
        <v>1.7661671420063139</v>
      </c>
      <c r="D45" s="58">
        <f t="shared" si="27"/>
        <v>132.60615154245176</v>
      </c>
      <c r="E45" s="58">
        <f t="shared" si="27"/>
        <v>28.74985770636733</v>
      </c>
      <c r="F45" s="58">
        <f t="shared" si="27"/>
        <v>49.442323282843866</v>
      </c>
      <c r="G45" s="58">
        <f t="shared" si="27"/>
        <v>784.27712947696614</v>
      </c>
      <c r="H45" s="58">
        <f t="shared" si="27"/>
        <v>99.464625670179544</v>
      </c>
      <c r="I45" s="58">
        <f t="shared" si="27"/>
        <v>14.155415016913228</v>
      </c>
      <c r="J45" s="58">
        <f t="shared" si="27"/>
        <v>56.987051420539558</v>
      </c>
      <c r="K45" s="58">
        <f t="shared" si="27"/>
        <v>34.393322487637043</v>
      </c>
      <c r="L45" s="58">
        <f t="shared" si="27"/>
        <v>33.888631788845679</v>
      </c>
      <c r="M45" s="58">
        <f t="shared" si="27"/>
        <v>39.989502508232533</v>
      </c>
      <c r="N45" s="58">
        <f t="shared" si="27"/>
        <v>27.200675205918483</v>
      </c>
      <c r="O45" s="58">
        <f t="shared" si="27"/>
        <v>42.507724803977602</v>
      </c>
      <c r="P45" s="58">
        <f t="shared" si="27"/>
        <v>107.71526545084832</v>
      </c>
      <c r="Q45" s="58">
        <f t="shared" si="27"/>
        <v>76.998694644925109</v>
      </c>
      <c r="R45" s="58">
        <f t="shared" si="27"/>
        <v>85.271273863439831</v>
      </c>
      <c r="S45" s="58">
        <f t="shared" si="27"/>
        <v>173.71289985133714</v>
      </c>
      <c r="T45" s="58">
        <f t="shared" si="27"/>
        <v>44.95068523097931</v>
      </c>
      <c r="U45" s="58">
        <f t="shared" si="27"/>
        <v>155.65485805525819</v>
      </c>
      <c r="V45" s="58">
        <f t="shared" si="27"/>
        <v>9.4515807416819371</v>
      </c>
      <c r="W45" s="58">
        <f t="shared" si="27"/>
        <v>51.275907565908831</v>
      </c>
      <c r="X45" s="58">
        <f t="shared" si="27"/>
        <v>26.9161751149813</v>
      </c>
      <c r="Y45" s="58">
        <f t="shared" si="27"/>
        <v>518.35186158848194</v>
      </c>
      <c r="Z45" s="58">
        <f t="shared" si="27"/>
        <v>36.44889636430613</v>
      </c>
      <c r="AA45" s="58">
        <f t="shared" si="27"/>
        <v>2.5835735168266876</v>
      </c>
      <c r="AB45" s="58">
        <f t="shared" si="27"/>
        <v>3.292322261516071</v>
      </c>
      <c r="AC45" s="90">
        <f t="shared" si="27"/>
        <v>1.61979685068912</v>
      </c>
      <c r="AD45" s="58">
        <f t="shared" si="27"/>
        <v>115.30621661553097</v>
      </c>
      <c r="AE45" s="58">
        <f t="shared" si="27"/>
        <v>26.941670391464491</v>
      </c>
      <c r="AF45" s="58">
        <f t="shared" si="27"/>
        <v>45.715284182026977</v>
      </c>
      <c r="AG45" s="58">
        <f t="shared" si="27"/>
        <v>763.70592608084905</v>
      </c>
      <c r="AH45" s="58">
        <f t="shared" si="27"/>
        <v>84.534572581279662</v>
      </c>
      <c r="AI45" s="58">
        <f t="shared" ref="AI45:BB45" si="28">IFERROR(1/SUM(IFERROR(1/SUMIF(AI46,"&lt;&gt;.",AI46),0),IFERROR(1/SUMIF(AI47,"&lt;&gt;.",AI47),0)),".")</f>
        <v>13.95420261710618</v>
      </c>
      <c r="AJ45" s="58">
        <f t="shared" si="28"/>
        <v>60.744356682664545</v>
      </c>
      <c r="AK45" s="58">
        <f t="shared" si="28"/>
        <v>33.444459786082255</v>
      </c>
      <c r="AL45" s="58">
        <f t="shared" si="28"/>
        <v>23.504909455423459</v>
      </c>
      <c r="AM45" s="58">
        <f t="shared" si="28"/>
        <v>56.190503157872001</v>
      </c>
      <c r="AN45" s="58">
        <f t="shared" si="28"/>
        <v>24.915149303109253</v>
      </c>
      <c r="AO45" s="58">
        <f t="shared" si="28"/>
        <v>41.247648390669589</v>
      </c>
      <c r="AP45" s="58">
        <f t="shared" si="28"/>
        <v>101.07447110378686</v>
      </c>
      <c r="AQ45" s="58">
        <f t="shared" si="28"/>
        <v>56.687242847509182</v>
      </c>
      <c r="AR45" s="58">
        <f t="shared" si="28"/>
        <v>95.3257287604429</v>
      </c>
      <c r="AS45" s="58">
        <f t="shared" si="28"/>
        <v>155.1958851483692</v>
      </c>
      <c r="AT45" s="58">
        <f t="shared" si="28"/>
        <v>48.297948823713988</v>
      </c>
      <c r="AU45" s="58">
        <f t="shared" si="28"/>
        <v>116.70663429636723</v>
      </c>
      <c r="AV45" s="58">
        <f t="shared" si="28"/>
        <v>8.0451437133321182</v>
      </c>
      <c r="AW45" s="58">
        <f t="shared" si="28"/>
        <v>48.239993451604995</v>
      </c>
      <c r="AX45" s="58">
        <f t="shared" si="28"/>
        <v>25.483445667324286</v>
      </c>
      <c r="AY45" s="58">
        <f t="shared" si="28"/>
        <v>504.29122354151082</v>
      </c>
      <c r="AZ45" s="58">
        <f t="shared" si="28"/>
        <v>29.570398271573278</v>
      </c>
      <c r="BA45" s="58">
        <f t="shared" si="28"/>
        <v>2.530623079864684</v>
      </c>
      <c r="BB45" s="58">
        <f t="shared" si="28"/>
        <v>2.6243912668630789</v>
      </c>
    </row>
    <row r="46" spans="1:54" x14ac:dyDescent="0.25">
      <c r="A46" s="182" t="s">
        <v>1084</v>
      </c>
      <c r="B46" s="183">
        <v>1</v>
      </c>
      <c r="C46" s="60">
        <f t="shared" ref="C46:AH46" si="29">IFERROR(C10/$B46,".")</f>
        <v>1.7661671420063139</v>
      </c>
      <c r="D46" s="60">
        <f t="shared" si="29"/>
        <v>132.60615154245176</v>
      </c>
      <c r="E46" s="60">
        <f t="shared" si="29"/>
        <v>28.74985770636733</v>
      </c>
      <c r="F46" s="60">
        <f t="shared" si="29"/>
        <v>49.442323282843873</v>
      </c>
      <c r="G46" s="60">
        <f t="shared" si="29"/>
        <v>784.27712947696614</v>
      </c>
      <c r="H46" s="60">
        <f t="shared" si="29"/>
        <v>99.464625670179544</v>
      </c>
      <c r="I46" s="60">
        <f t="shared" si="29"/>
        <v>14.155415016913228</v>
      </c>
      <c r="J46" s="60">
        <f t="shared" si="29"/>
        <v>56.987051420539558</v>
      </c>
      <c r="K46" s="60">
        <f t="shared" si="29"/>
        <v>34.393322487637043</v>
      </c>
      <c r="L46" s="60">
        <f t="shared" si="29"/>
        <v>33.888631788845679</v>
      </c>
      <c r="M46" s="60">
        <f t="shared" si="29"/>
        <v>39.989502508232533</v>
      </c>
      <c r="N46" s="60">
        <f t="shared" si="29"/>
        <v>27.200675205918483</v>
      </c>
      <c r="O46" s="60">
        <f t="shared" si="29"/>
        <v>42.507724803977602</v>
      </c>
      <c r="P46" s="60">
        <f t="shared" si="29"/>
        <v>107.71526545084834</v>
      </c>
      <c r="Q46" s="60">
        <f t="shared" si="29"/>
        <v>76.998694644925109</v>
      </c>
      <c r="R46" s="60">
        <f t="shared" si="29"/>
        <v>85.271273863439831</v>
      </c>
      <c r="S46" s="60">
        <f t="shared" si="29"/>
        <v>173.71289985133714</v>
      </c>
      <c r="T46" s="60">
        <f t="shared" si="29"/>
        <v>44.95068523097931</v>
      </c>
      <c r="U46" s="60">
        <f t="shared" si="29"/>
        <v>155.65485805525819</v>
      </c>
      <c r="V46" s="60">
        <f t="shared" si="29"/>
        <v>9.4515807416819371</v>
      </c>
      <c r="W46" s="60">
        <f t="shared" si="29"/>
        <v>51.275907565908831</v>
      </c>
      <c r="X46" s="60">
        <f t="shared" si="29"/>
        <v>26.9161751149813</v>
      </c>
      <c r="Y46" s="60">
        <f t="shared" si="29"/>
        <v>518.35186158848194</v>
      </c>
      <c r="Z46" s="60">
        <f t="shared" si="29"/>
        <v>36.44889636430613</v>
      </c>
      <c r="AA46" s="60">
        <f t="shared" si="29"/>
        <v>2.5835735168266876</v>
      </c>
      <c r="AB46" s="60">
        <f t="shared" si="29"/>
        <v>3.292322261516071</v>
      </c>
      <c r="AC46" s="60">
        <f t="shared" si="29"/>
        <v>1.61979685068912</v>
      </c>
      <c r="AD46" s="60">
        <f t="shared" si="29"/>
        <v>115.30621661553099</v>
      </c>
      <c r="AE46" s="60">
        <f t="shared" si="29"/>
        <v>26.941670391464491</v>
      </c>
      <c r="AF46" s="60">
        <f t="shared" si="29"/>
        <v>45.715284182026977</v>
      </c>
      <c r="AG46" s="60">
        <f t="shared" si="29"/>
        <v>763.70592608084905</v>
      </c>
      <c r="AH46" s="60">
        <f t="shared" si="29"/>
        <v>84.534572581279662</v>
      </c>
      <c r="AI46" s="60">
        <f t="shared" ref="AI46:BB46" si="30">IFERROR(AI10/$B46,".")</f>
        <v>13.954202617106182</v>
      </c>
      <c r="AJ46" s="60">
        <f t="shared" si="30"/>
        <v>60.744356682664545</v>
      </c>
      <c r="AK46" s="60">
        <f t="shared" si="30"/>
        <v>33.444459786082255</v>
      </c>
      <c r="AL46" s="60">
        <f t="shared" si="30"/>
        <v>23.504909455423459</v>
      </c>
      <c r="AM46" s="60">
        <f t="shared" si="30"/>
        <v>56.190503157871994</v>
      </c>
      <c r="AN46" s="60">
        <f t="shared" si="30"/>
        <v>24.915149303109249</v>
      </c>
      <c r="AO46" s="60">
        <f t="shared" si="30"/>
        <v>41.247648390669589</v>
      </c>
      <c r="AP46" s="60">
        <f t="shared" si="30"/>
        <v>101.07447110378686</v>
      </c>
      <c r="AQ46" s="60">
        <f t="shared" si="30"/>
        <v>56.687242847509182</v>
      </c>
      <c r="AR46" s="60">
        <f t="shared" si="30"/>
        <v>95.3257287604429</v>
      </c>
      <c r="AS46" s="60">
        <f t="shared" si="30"/>
        <v>155.1958851483692</v>
      </c>
      <c r="AT46" s="60">
        <f t="shared" si="30"/>
        <v>48.297948823713988</v>
      </c>
      <c r="AU46" s="60">
        <f t="shared" si="30"/>
        <v>116.70663429636723</v>
      </c>
      <c r="AV46" s="60">
        <f t="shared" si="30"/>
        <v>8.0451437133321182</v>
      </c>
      <c r="AW46" s="60">
        <f t="shared" si="30"/>
        <v>48.239993451604995</v>
      </c>
      <c r="AX46" s="60">
        <f t="shared" si="30"/>
        <v>25.483445667324286</v>
      </c>
      <c r="AY46" s="60">
        <f t="shared" si="30"/>
        <v>504.29122354151082</v>
      </c>
      <c r="AZ46" s="60">
        <f t="shared" si="30"/>
        <v>29.570398271573278</v>
      </c>
      <c r="BA46" s="60">
        <f t="shared" si="30"/>
        <v>2.530623079864684</v>
      </c>
      <c r="BB46" s="60">
        <f t="shared" si="30"/>
        <v>2.6243912668630789</v>
      </c>
    </row>
    <row r="47" spans="1:54" x14ac:dyDescent="0.25">
      <c r="A47" s="182" t="s">
        <v>1058</v>
      </c>
      <c r="B47" s="185">
        <v>0.94399</v>
      </c>
      <c r="C47" s="60" t="str">
        <f t="shared" ref="C47:AH47" si="31">IFERROR(C6/$B$47,".")</f>
        <v>.</v>
      </c>
      <c r="D47" s="60" t="str">
        <f t="shared" si="31"/>
        <v>.</v>
      </c>
      <c r="E47" s="60" t="str">
        <f t="shared" si="31"/>
        <v>.</v>
      </c>
      <c r="F47" s="60" t="str">
        <f t="shared" si="31"/>
        <v>.</v>
      </c>
      <c r="G47" s="60" t="str">
        <f t="shared" si="31"/>
        <v>.</v>
      </c>
      <c r="H47" s="60" t="str">
        <f t="shared" si="31"/>
        <v>.</v>
      </c>
      <c r="I47" s="60" t="str">
        <f t="shared" si="31"/>
        <v>.</v>
      </c>
      <c r="J47" s="60" t="str">
        <f t="shared" si="31"/>
        <v>.</v>
      </c>
      <c r="K47" s="60" t="str">
        <f t="shared" si="31"/>
        <v>.</v>
      </c>
      <c r="L47" s="60" t="str">
        <f t="shared" si="31"/>
        <v>.</v>
      </c>
      <c r="M47" s="60" t="str">
        <f t="shared" si="31"/>
        <v>.</v>
      </c>
      <c r="N47" s="60" t="str">
        <f t="shared" si="31"/>
        <v>.</v>
      </c>
      <c r="O47" s="60" t="str">
        <f t="shared" si="31"/>
        <v>.</v>
      </c>
      <c r="P47" s="60" t="str">
        <f t="shared" si="31"/>
        <v>.</v>
      </c>
      <c r="Q47" s="60" t="str">
        <f t="shared" si="31"/>
        <v>.</v>
      </c>
      <c r="R47" s="60" t="str">
        <f t="shared" si="31"/>
        <v>.</v>
      </c>
      <c r="S47" s="60" t="str">
        <f t="shared" si="31"/>
        <v>.</v>
      </c>
      <c r="T47" s="60" t="str">
        <f t="shared" si="31"/>
        <v>.</v>
      </c>
      <c r="U47" s="60" t="str">
        <f t="shared" si="31"/>
        <v>.</v>
      </c>
      <c r="V47" s="60" t="str">
        <f t="shared" si="31"/>
        <v>.</v>
      </c>
      <c r="W47" s="60" t="str">
        <f t="shared" si="31"/>
        <v>.</v>
      </c>
      <c r="X47" s="60" t="str">
        <f t="shared" si="31"/>
        <v>.</v>
      </c>
      <c r="Y47" s="60" t="str">
        <f t="shared" si="31"/>
        <v>.</v>
      </c>
      <c r="Z47" s="60" t="str">
        <f t="shared" si="31"/>
        <v>.</v>
      </c>
      <c r="AA47" s="60" t="str">
        <f t="shared" si="31"/>
        <v>.</v>
      </c>
      <c r="AB47" s="60" t="str">
        <f t="shared" si="31"/>
        <v>.</v>
      </c>
      <c r="AC47" s="60" t="str">
        <f t="shared" si="31"/>
        <v>.</v>
      </c>
      <c r="AD47" s="60" t="str">
        <f t="shared" si="31"/>
        <v>.</v>
      </c>
      <c r="AE47" s="60" t="str">
        <f t="shared" si="31"/>
        <v>.</v>
      </c>
      <c r="AF47" s="60" t="str">
        <f t="shared" si="31"/>
        <v>.</v>
      </c>
      <c r="AG47" s="60" t="str">
        <f t="shared" si="31"/>
        <v>.</v>
      </c>
      <c r="AH47" s="60" t="str">
        <f t="shared" si="31"/>
        <v>.</v>
      </c>
      <c r="AI47" s="60" t="str">
        <f t="shared" ref="AI47:BB47" si="32">IFERROR(AI6/$B$47,".")</f>
        <v>.</v>
      </c>
      <c r="AJ47" s="60" t="str">
        <f t="shared" si="32"/>
        <v>.</v>
      </c>
      <c r="AK47" s="60" t="str">
        <f t="shared" si="32"/>
        <v>.</v>
      </c>
      <c r="AL47" s="60" t="str">
        <f t="shared" si="32"/>
        <v>.</v>
      </c>
      <c r="AM47" s="60" t="str">
        <f t="shared" si="32"/>
        <v>.</v>
      </c>
      <c r="AN47" s="60" t="str">
        <f t="shared" si="32"/>
        <v>.</v>
      </c>
      <c r="AO47" s="60" t="str">
        <f t="shared" si="32"/>
        <v>.</v>
      </c>
      <c r="AP47" s="60" t="str">
        <f t="shared" si="32"/>
        <v>.</v>
      </c>
      <c r="AQ47" s="60" t="str">
        <f t="shared" si="32"/>
        <v>.</v>
      </c>
      <c r="AR47" s="60" t="str">
        <f t="shared" si="32"/>
        <v>.</v>
      </c>
      <c r="AS47" s="60" t="str">
        <f t="shared" si="32"/>
        <v>.</v>
      </c>
      <c r="AT47" s="60" t="str">
        <f t="shared" si="32"/>
        <v>.</v>
      </c>
      <c r="AU47" s="60" t="str">
        <f t="shared" si="32"/>
        <v>.</v>
      </c>
      <c r="AV47" s="60" t="str">
        <f t="shared" si="32"/>
        <v>.</v>
      </c>
      <c r="AW47" s="60" t="str">
        <f t="shared" si="32"/>
        <v>.</v>
      </c>
      <c r="AX47" s="60" t="str">
        <f t="shared" si="32"/>
        <v>.</v>
      </c>
      <c r="AY47" s="60" t="str">
        <f t="shared" si="32"/>
        <v>.</v>
      </c>
      <c r="AZ47" s="60" t="str">
        <f t="shared" si="32"/>
        <v>.</v>
      </c>
      <c r="BA47" s="60" t="str">
        <f t="shared" si="32"/>
        <v>.</v>
      </c>
      <c r="BB47" s="60" t="str">
        <f t="shared" si="32"/>
        <v>.</v>
      </c>
    </row>
    <row r="48" spans="1:54" x14ac:dyDescent="0.25">
      <c r="A48" s="89" t="s">
        <v>21</v>
      </c>
      <c r="B48" s="89" t="s">
        <v>1057</v>
      </c>
      <c r="C48" s="90">
        <f t="shared" ref="C48:AH48" si="33">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1.7798947144775482E-2</v>
      </c>
      <c r="D48" s="58">
        <f t="shared" si="33"/>
        <v>0.66557855659680476</v>
      </c>
      <c r="E48" s="58">
        <f t="shared" si="33"/>
        <v>0.16862029802630282</v>
      </c>
      <c r="F48" s="58">
        <f t="shared" si="33"/>
        <v>0.4793739059351726</v>
      </c>
      <c r="G48" s="58">
        <f t="shared" si="33"/>
        <v>1.4948135847574056</v>
      </c>
      <c r="H48" s="58">
        <f t="shared" si="33"/>
        <v>1.0861848080220395</v>
      </c>
      <c r="I48" s="58">
        <f t="shared" si="33"/>
        <v>8.3007520848980207E-2</v>
      </c>
      <c r="J48" s="58">
        <f t="shared" si="33"/>
        <v>0.55325273973794964</v>
      </c>
      <c r="K48" s="58">
        <f t="shared" si="33"/>
        <v>0.17264629874716125</v>
      </c>
      <c r="L48" s="58">
        <f t="shared" si="33"/>
        <v>4.4016322473035192</v>
      </c>
      <c r="M48" s="58">
        <f t="shared" si="33"/>
        <v>0.4726072431028655</v>
      </c>
      <c r="N48" s="58">
        <f t="shared" si="33"/>
        <v>0.14811457862663477</v>
      </c>
      <c r="O48" s="58">
        <f t="shared" si="33"/>
        <v>1.0004295496090416</v>
      </c>
      <c r="P48" s="58">
        <f t="shared" si="33"/>
        <v>1.2685182638859711</v>
      </c>
      <c r="Q48" s="58">
        <f t="shared" si="33"/>
        <v>0.74753365381519965</v>
      </c>
      <c r="R48" s="58">
        <f t="shared" si="33"/>
        <v>0.42815094605740944</v>
      </c>
      <c r="S48" s="58">
        <f t="shared" si="33"/>
        <v>0.87190209353360559</v>
      </c>
      <c r="T48" s="58">
        <f t="shared" si="33"/>
        <v>1.8490530619877776</v>
      </c>
      <c r="U48" s="58">
        <f t="shared" si="33"/>
        <v>1.5653624883194901</v>
      </c>
      <c r="V48" s="58">
        <f t="shared" si="33"/>
        <v>0.58345630296396944</v>
      </c>
      <c r="W48" s="58">
        <f t="shared" si="33"/>
        <v>0.60502821519754746</v>
      </c>
      <c r="X48" s="58">
        <f t="shared" si="33"/>
        <v>0.56440407644805735</v>
      </c>
      <c r="Y48" s="58">
        <f t="shared" si="33"/>
        <v>1.3224646301784189</v>
      </c>
      <c r="Z48" s="58">
        <f t="shared" si="33"/>
        <v>0.37727964972112887</v>
      </c>
      <c r="AA48" s="58">
        <f t="shared" si="33"/>
        <v>1.1304683889574396E-2</v>
      </c>
      <c r="AB48" s="58">
        <f t="shared" si="33"/>
        <v>1.4793472046758812E-2</v>
      </c>
      <c r="AC48" s="90">
        <f t="shared" si="33"/>
        <v>1.687425950429593E-2</v>
      </c>
      <c r="AD48" s="58">
        <f t="shared" si="33"/>
        <v>0.57874649349909535</v>
      </c>
      <c r="AE48" s="58">
        <f t="shared" si="33"/>
        <v>0.15801512957502492</v>
      </c>
      <c r="AF48" s="58">
        <f t="shared" si="33"/>
        <v>0.44323795655611786</v>
      </c>
      <c r="AG48" s="58">
        <f t="shared" si="33"/>
        <v>1.4556053595834408</v>
      </c>
      <c r="AH48" s="58">
        <f t="shared" si="33"/>
        <v>0.92314396069708415</v>
      </c>
      <c r="AI48" s="58">
        <f t="shared" ref="AI48:BB48" si="34">IFERROR(1/SUM(IFERROR(1/SUMIF(AI49,"&lt;&gt;.",AI49),0),IFERROR(1/SUMIF(AI50,"&lt;&gt;.",AI50),0),IFERROR(1/SUMIF(AI51,"&lt;&gt;.",AI51),0),IFERROR(1/SUMIF(AI52,"&lt;&gt;.",AI52),0),IFERROR(1/SUMIF(AI53,"&lt;&gt;.",AI53),0),IFERROR(1/SUMIF(AI54,"&lt;&gt;.",AI54),0),IFERROR(1/SUMIF(AI55,"&lt;&gt;.",AI55),0),IFERROR(1/SUMIF(AI56,"&lt;&gt;.",AI56),0),IFERROR(1/SUMIF(AI57,"&lt;&gt;.",AI57),0),IFERROR(1/SUMIF(AI58,"&lt;&gt;.",AI58),0),IFERROR(1/SUMIF(AI59,"&lt;&gt;.",AI59),0),IFERROR(1/SUMIF(AI60,"&lt;&gt;.",AI60),0),IFERROR(1/SUMIF(AI61,"&lt;&gt;.",AI61),0),IFERROR(1/SUMIF(AI62,"&lt;&gt;.",AI62),0)),".")</f>
        <v>8.1827608959989293E-2</v>
      </c>
      <c r="AJ48" s="58">
        <f t="shared" si="34"/>
        <v>0.58973013905033511</v>
      </c>
      <c r="AK48" s="58">
        <f t="shared" si="34"/>
        <v>0.16788323366377036</v>
      </c>
      <c r="AL48" s="58">
        <f t="shared" si="34"/>
        <v>3.0529402329838158</v>
      </c>
      <c r="AM48" s="58">
        <f t="shared" si="34"/>
        <v>0.66407524776127747</v>
      </c>
      <c r="AN48" s="58">
        <f t="shared" si="34"/>
        <v>0.13566931013707939</v>
      </c>
      <c r="AO48" s="58">
        <f t="shared" si="34"/>
        <v>0.97077334748455757</v>
      </c>
      <c r="AP48" s="58">
        <f t="shared" si="34"/>
        <v>1.1903123672500655</v>
      </c>
      <c r="AQ48" s="58">
        <f t="shared" si="34"/>
        <v>0.55034208003032703</v>
      </c>
      <c r="AR48" s="58">
        <f t="shared" si="34"/>
        <v>0.47863482159018844</v>
      </c>
      <c r="AS48" s="58">
        <f t="shared" si="34"/>
        <v>0.77896124746329587</v>
      </c>
      <c r="AT48" s="58">
        <f t="shared" si="34"/>
        <v>1.9867432432079906</v>
      </c>
      <c r="AU48" s="58">
        <f t="shared" si="34"/>
        <v>1.1736748197136193</v>
      </c>
      <c r="AV48" s="58">
        <f t="shared" si="34"/>
        <v>0.49663542386024923</v>
      </c>
      <c r="AW48" s="58">
        <f t="shared" si="34"/>
        <v>0.56920605650227141</v>
      </c>
      <c r="AX48" s="58">
        <f t="shared" si="34"/>
        <v>0.53436123651071754</v>
      </c>
      <c r="AY48" s="58">
        <f t="shared" si="34"/>
        <v>1.2865918999486536</v>
      </c>
      <c r="AZ48" s="58">
        <f t="shared" si="34"/>
        <v>0.30608085881411357</v>
      </c>
      <c r="BA48" s="58">
        <f t="shared" si="34"/>
        <v>1.0168296546656675E-2</v>
      </c>
      <c r="BB48" s="58">
        <f t="shared" si="34"/>
        <v>1.1792241391405904E-2</v>
      </c>
    </row>
    <row r="49" spans="1:54" x14ac:dyDescent="0.25">
      <c r="A49" s="182" t="s">
        <v>1086</v>
      </c>
      <c r="B49" s="183">
        <v>1</v>
      </c>
      <c r="C49" s="60">
        <f t="shared" ref="C49:AH49" si="35">IFERROR(C23/$B49,".")</f>
        <v>5.4644177449908092E-2</v>
      </c>
      <c r="D49" s="60">
        <f t="shared" si="35"/>
        <v>2.2838609663631488</v>
      </c>
      <c r="E49" s="60">
        <f t="shared" si="35"/>
        <v>0.55679276090141006</v>
      </c>
      <c r="F49" s="60">
        <f t="shared" si="35"/>
        <v>0.87211318015155848</v>
      </c>
      <c r="G49" s="60">
        <f t="shared" si="35"/>
        <v>5.1325452831237453</v>
      </c>
      <c r="H49" s="60">
        <f t="shared" si="35"/>
        <v>3.568851038889195</v>
      </c>
      <c r="I49" s="60">
        <f t="shared" si="35"/>
        <v>0.27418546900358343</v>
      </c>
      <c r="J49" s="60">
        <f t="shared" si="35"/>
        <v>1.0048039680665475</v>
      </c>
      <c r="K49" s="60">
        <f t="shared" si="35"/>
        <v>0.59222906621728821</v>
      </c>
      <c r="L49" s="60">
        <f t="shared" si="35"/>
        <v>12.95799209680858</v>
      </c>
      <c r="M49" s="60">
        <f t="shared" si="35"/>
        <v>1.4496914759562907</v>
      </c>
      <c r="N49" s="60">
        <f t="shared" si="35"/>
        <v>0.56169967463154957</v>
      </c>
      <c r="O49" s="60">
        <f t="shared" si="35"/>
        <v>3.0679016056112363</v>
      </c>
      <c r="P49" s="60">
        <f t="shared" si="35"/>
        <v>3.9031337638307249</v>
      </c>
      <c r="Q49" s="60">
        <f t="shared" si="35"/>
        <v>1.3576521681077818</v>
      </c>
      <c r="R49" s="60">
        <f t="shared" si="35"/>
        <v>1.4675980071952306</v>
      </c>
      <c r="S49" s="60">
        <f t="shared" si="35"/>
        <v>2.9918379103039645</v>
      </c>
      <c r="T49" s="60">
        <f t="shared" si="35"/>
        <v>3.7399267644858489</v>
      </c>
      <c r="U49" s="60">
        <f t="shared" si="35"/>
        <v>5.521091577456013</v>
      </c>
      <c r="V49" s="60">
        <f t="shared" si="35"/>
        <v>1.3914444099336223</v>
      </c>
      <c r="W49" s="60">
        <f t="shared" si="35"/>
        <v>1.858471075084781</v>
      </c>
      <c r="X49" s="60">
        <f t="shared" si="35"/>
        <v>1.8716545609755209</v>
      </c>
      <c r="Y49" s="60">
        <f t="shared" si="35"/>
        <v>4.499184817748934</v>
      </c>
      <c r="Z49" s="60">
        <f t="shared" si="35"/>
        <v>1.2981849793024698</v>
      </c>
      <c r="AA49" s="60">
        <f t="shared" si="35"/>
        <v>6.8957511085279838E-2</v>
      </c>
      <c r="AB49" s="60">
        <f t="shared" si="35"/>
        <v>0.1010063597308636</v>
      </c>
      <c r="AC49" s="60">
        <f t="shared" si="35"/>
        <v>5.168580387642268E-2</v>
      </c>
      <c r="AD49" s="60">
        <f t="shared" si="35"/>
        <v>1.9859061155463811</v>
      </c>
      <c r="AE49" s="60">
        <f t="shared" si="35"/>
        <v>0.52177395776247559</v>
      </c>
      <c r="AF49" s="60">
        <f t="shared" si="35"/>
        <v>0.80637193445466593</v>
      </c>
      <c r="AG49" s="60">
        <f t="shared" si="35"/>
        <v>4.9979211445500082</v>
      </c>
      <c r="AH49" s="60">
        <f t="shared" si="35"/>
        <v>3.0331516873058915</v>
      </c>
      <c r="AI49" s="60">
        <f t="shared" ref="AI49:BB49" si="36">IFERROR(AI23/$B49,".")</f>
        <v>0.27028805475295825</v>
      </c>
      <c r="AJ49" s="60">
        <f t="shared" si="36"/>
        <v>1.0710533202002459</v>
      </c>
      <c r="AK49" s="60">
        <f t="shared" si="36"/>
        <v>0.57589031116062883</v>
      </c>
      <c r="AL49" s="60">
        <f t="shared" si="36"/>
        <v>8.9875694261527741</v>
      </c>
      <c r="AM49" s="60">
        <f t="shared" si="36"/>
        <v>2.0370069230266705</v>
      </c>
      <c r="AN49" s="60">
        <f t="shared" si="36"/>
        <v>0.51450308314066662</v>
      </c>
      <c r="AO49" s="60">
        <f t="shared" si="36"/>
        <v>2.9769583601327403</v>
      </c>
      <c r="AP49" s="60">
        <f t="shared" si="36"/>
        <v>3.6625001960055652</v>
      </c>
      <c r="AQ49" s="60">
        <f t="shared" si="36"/>
        <v>0.99951769975941562</v>
      </c>
      <c r="AR49" s="60">
        <f t="shared" si="36"/>
        <v>1.6406445362515139</v>
      </c>
      <c r="AS49" s="60">
        <f t="shared" si="36"/>
        <v>2.6729214301726305</v>
      </c>
      <c r="AT49" s="60">
        <f t="shared" si="36"/>
        <v>4.0184213109856648</v>
      </c>
      <c r="AU49" s="60">
        <f t="shared" si="36"/>
        <v>4.1395946371180106</v>
      </c>
      <c r="AV49" s="60">
        <f t="shared" si="36"/>
        <v>1.1843913259568184</v>
      </c>
      <c r="AW49" s="60">
        <f t="shared" si="36"/>
        <v>1.7484358005141065</v>
      </c>
      <c r="AX49" s="60">
        <f t="shared" si="36"/>
        <v>1.7720276788536757</v>
      </c>
      <c r="AY49" s="60">
        <f t="shared" si="36"/>
        <v>4.3771414454440061</v>
      </c>
      <c r="AZ49" s="60">
        <f t="shared" si="36"/>
        <v>1.0531964118875434</v>
      </c>
      <c r="BA49" s="60">
        <f t="shared" si="36"/>
        <v>7.4257183764582971E-2</v>
      </c>
      <c r="BB49" s="60">
        <f t="shared" si="36"/>
        <v>8.0514660266957902E-2</v>
      </c>
    </row>
    <row r="50" spans="1:54" x14ac:dyDescent="0.25">
      <c r="A50" s="182" t="s">
        <v>1073</v>
      </c>
      <c r="B50" s="183">
        <v>1</v>
      </c>
      <c r="C50" s="60" t="str">
        <f t="shared" ref="C50:AH50" si="37">IFERROR(C25/$B50,".")</f>
        <v>.</v>
      </c>
      <c r="D50" s="60" t="str">
        <f t="shared" si="37"/>
        <v>.</v>
      </c>
      <c r="E50" s="60" t="str">
        <f t="shared" si="37"/>
        <v>.</v>
      </c>
      <c r="F50" s="60" t="str">
        <f t="shared" si="37"/>
        <v>.</v>
      </c>
      <c r="G50" s="60" t="str">
        <f t="shared" si="37"/>
        <v>.</v>
      </c>
      <c r="H50" s="60" t="str">
        <f t="shared" si="37"/>
        <v>.</v>
      </c>
      <c r="I50" s="60" t="str">
        <f t="shared" si="37"/>
        <v>.</v>
      </c>
      <c r="J50" s="60" t="str">
        <f t="shared" si="37"/>
        <v>.</v>
      </c>
      <c r="K50" s="60" t="str">
        <f t="shared" si="37"/>
        <v>.</v>
      </c>
      <c r="L50" s="60" t="str">
        <f t="shared" si="37"/>
        <v>.</v>
      </c>
      <c r="M50" s="60" t="str">
        <f t="shared" si="37"/>
        <v>.</v>
      </c>
      <c r="N50" s="60" t="str">
        <f t="shared" si="37"/>
        <v>.</v>
      </c>
      <c r="O50" s="60" t="str">
        <f t="shared" si="37"/>
        <v>.</v>
      </c>
      <c r="P50" s="60" t="str">
        <f t="shared" si="37"/>
        <v>.</v>
      </c>
      <c r="Q50" s="60" t="str">
        <f t="shared" si="37"/>
        <v>.</v>
      </c>
      <c r="R50" s="60" t="str">
        <f t="shared" si="37"/>
        <v>.</v>
      </c>
      <c r="S50" s="60" t="str">
        <f t="shared" si="37"/>
        <v>.</v>
      </c>
      <c r="T50" s="60" t="str">
        <f t="shared" si="37"/>
        <v>.</v>
      </c>
      <c r="U50" s="60" t="str">
        <f t="shared" si="37"/>
        <v>.</v>
      </c>
      <c r="V50" s="60" t="str">
        <f t="shared" si="37"/>
        <v>.</v>
      </c>
      <c r="W50" s="60" t="str">
        <f t="shared" si="37"/>
        <v>.</v>
      </c>
      <c r="X50" s="60" t="str">
        <f t="shared" si="37"/>
        <v>.</v>
      </c>
      <c r="Y50" s="60" t="str">
        <f t="shared" si="37"/>
        <v>.</v>
      </c>
      <c r="Z50" s="60" t="str">
        <f t="shared" si="37"/>
        <v>.</v>
      </c>
      <c r="AA50" s="60" t="str">
        <f t="shared" si="37"/>
        <v>.</v>
      </c>
      <c r="AB50" s="60" t="str">
        <f t="shared" si="37"/>
        <v>.</v>
      </c>
      <c r="AC50" s="60" t="str">
        <f t="shared" si="37"/>
        <v>.</v>
      </c>
      <c r="AD50" s="60" t="str">
        <f t="shared" si="37"/>
        <v>.</v>
      </c>
      <c r="AE50" s="60" t="str">
        <f t="shared" si="37"/>
        <v>.</v>
      </c>
      <c r="AF50" s="60" t="str">
        <f t="shared" si="37"/>
        <v>.</v>
      </c>
      <c r="AG50" s="60" t="str">
        <f t="shared" si="37"/>
        <v>.</v>
      </c>
      <c r="AH50" s="60" t="str">
        <f t="shared" si="37"/>
        <v>.</v>
      </c>
      <c r="AI50" s="60" t="str">
        <f t="shared" ref="AI50:BB50" si="38">IFERROR(AI25/$B50,".")</f>
        <v>.</v>
      </c>
      <c r="AJ50" s="60" t="str">
        <f t="shared" si="38"/>
        <v>.</v>
      </c>
      <c r="AK50" s="60" t="str">
        <f t="shared" si="38"/>
        <v>.</v>
      </c>
      <c r="AL50" s="60" t="str">
        <f t="shared" si="38"/>
        <v>.</v>
      </c>
      <c r="AM50" s="60" t="str">
        <f t="shared" si="38"/>
        <v>.</v>
      </c>
      <c r="AN50" s="60" t="str">
        <f t="shared" si="38"/>
        <v>.</v>
      </c>
      <c r="AO50" s="60" t="str">
        <f t="shared" si="38"/>
        <v>.</v>
      </c>
      <c r="AP50" s="60" t="str">
        <f t="shared" si="38"/>
        <v>.</v>
      </c>
      <c r="AQ50" s="60" t="str">
        <f t="shared" si="38"/>
        <v>.</v>
      </c>
      <c r="AR50" s="60" t="str">
        <f t="shared" si="38"/>
        <v>.</v>
      </c>
      <c r="AS50" s="60" t="str">
        <f t="shared" si="38"/>
        <v>.</v>
      </c>
      <c r="AT50" s="60" t="str">
        <f t="shared" si="38"/>
        <v>.</v>
      </c>
      <c r="AU50" s="60" t="str">
        <f t="shared" si="38"/>
        <v>.</v>
      </c>
      <c r="AV50" s="60" t="str">
        <f t="shared" si="38"/>
        <v>.</v>
      </c>
      <c r="AW50" s="60" t="str">
        <f t="shared" si="38"/>
        <v>.</v>
      </c>
      <c r="AX50" s="60" t="str">
        <f t="shared" si="38"/>
        <v>.</v>
      </c>
      <c r="AY50" s="60" t="str">
        <f t="shared" si="38"/>
        <v>.</v>
      </c>
      <c r="AZ50" s="60" t="str">
        <f t="shared" si="38"/>
        <v>.</v>
      </c>
      <c r="BA50" s="60" t="str">
        <f t="shared" si="38"/>
        <v>.</v>
      </c>
      <c r="BB50" s="60" t="str">
        <f t="shared" si="38"/>
        <v>.</v>
      </c>
    </row>
    <row r="51" spans="1:54" x14ac:dyDescent="0.25">
      <c r="A51" s="182" t="s">
        <v>1059</v>
      </c>
      <c r="B51" s="183">
        <v>1</v>
      </c>
      <c r="C51" s="60" t="str">
        <f t="shared" ref="C51:AH51" si="39">IFERROR(C21/$B51,".")</f>
        <v>.</v>
      </c>
      <c r="D51" s="60" t="str">
        <f t="shared" si="39"/>
        <v>.</v>
      </c>
      <c r="E51" s="60" t="str">
        <f t="shared" si="39"/>
        <v>.</v>
      </c>
      <c r="F51" s="60" t="str">
        <f t="shared" si="39"/>
        <v>.</v>
      </c>
      <c r="G51" s="60" t="str">
        <f t="shared" si="39"/>
        <v>.</v>
      </c>
      <c r="H51" s="60" t="str">
        <f t="shared" si="39"/>
        <v>.</v>
      </c>
      <c r="I51" s="60" t="str">
        <f t="shared" si="39"/>
        <v>.</v>
      </c>
      <c r="J51" s="60" t="str">
        <f t="shared" si="39"/>
        <v>.</v>
      </c>
      <c r="K51" s="60" t="str">
        <f t="shared" si="39"/>
        <v>.</v>
      </c>
      <c r="L51" s="60" t="str">
        <f t="shared" si="39"/>
        <v>.</v>
      </c>
      <c r="M51" s="60" t="str">
        <f t="shared" si="39"/>
        <v>.</v>
      </c>
      <c r="N51" s="60" t="str">
        <f t="shared" si="39"/>
        <v>.</v>
      </c>
      <c r="O51" s="60" t="str">
        <f t="shared" si="39"/>
        <v>.</v>
      </c>
      <c r="P51" s="60" t="str">
        <f t="shared" si="39"/>
        <v>.</v>
      </c>
      <c r="Q51" s="60" t="str">
        <f t="shared" si="39"/>
        <v>.</v>
      </c>
      <c r="R51" s="60" t="str">
        <f t="shared" si="39"/>
        <v>.</v>
      </c>
      <c r="S51" s="60" t="str">
        <f t="shared" si="39"/>
        <v>.</v>
      </c>
      <c r="T51" s="60" t="str">
        <f t="shared" si="39"/>
        <v>.</v>
      </c>
      <c r="U51" s="60" t="str">
        <f t="shared" si="39"/>
        <v>.</v>
      </c>
      <c r="V51" s="60" t="str">
        <f t="shared" si="39"/>
        <v>.</v>
      </c>
      <c r="W51" s="60" t="str">
        <f t="shared" si="39"/>
        <v>.</v>
      </c>
      <c r="X51" s="60" t="str">
        <f t="shared" si="39"/>
        <v>.</v>
      </c>
      <c r="Y51" s="60" t="str">
        <f t="shared" si="39"/>
        <v>.</v>
      </c>
      <c r="Z51" s="60" t="str">
        <f t="shared" si="39"/>
        <v>.</v>
      </c>
      <c r="AA51" s="60" t="str">
        <f t="shared" si="39"/>
        <v>.</v>
      </c>
      <c r="AB51" s="60" t="str">
        <f t="shared" si="39"/>
        <v>.</v>
      </c>
      <c r="AC51" s="60" t="str">
        <f t="shared" si="39"/>
        <v>.</v>
      </c>
      <c r="AD51" s="60" t="str">
        <f t="shared" si="39"/>
        <v>.</v>
      </c>
      <c r="AE51" s="60" t="str">
        <f t="shared" si="39"/>
        <v>.</v>
      </c>
      <c r="AF51" s="60" t="str">
        <f t="shared" si="39"/>
        <v>.</v>
      </c>
      <c r="AG51" s="60" t="str">
        <f t="shared" si="39"/>
        <v>.</v>
      </c>
      <c r="AH51" s="60" t="str">
        <f t="shared" si="39"/>
        <v>.</v>
      </c>
      <c r="AI51" s="60" t="str">
        <f t="shared" ref="AI51:BB51" si="40">IFERROR(AI21/$B51,".")</f>
        <v>.</v>
      </c>
      <c r="AJ51" s="60" t="str">
        <f t="shared" si="40"/>
        <v>.</v>
      </c>
      <c r="AK51" s="60" t="str">
        <f t="shared" si="40"/>
        <v>.</v>
      </c>
      <c r="AL51" s="60" t="str">
        <f t="shared" si="40"/>
        <v>.</v>
      </c>
      <c r="AM51" s="60" t="str">
        <f t="shared" si="40"/>
        <v>.</v>
      </c>
      <c r="AN51" s="60" t="str">
        <f t="shared" si="40"/>
        <v>.</v>
      </c>
      <c r="AO51" s="60" t="str">
        <f t="shared" si="40"/>
        <v>.</v>
      </c>
      <c r="AP51" s="60" t="str">
        <f t="shared" si="40"/>
        <v>.</v>
      </c>
      <c r="AQ51" s="60" t="str">
        <f t="shared" si="40"/>
        <v>.</v>
      </c>
      <c r="AR51" s="60" t="str">
        <f t="shared" si="40"/>
        <v>.</v>
      </c>
      <c r="AS51" s="60" t="str">
        <f t="shared" si="40"/>
        <v>.</v>
      </c>
      <c r="AT51" s="60" t="str">
        <f t="shared" si="40"/>
        <v>.</v>
      </c>
      <c r="AU51" s="60" t="str">
        <f t="shared" si="40"/>
        <v>.</v>
      </c>
      <c r="AV51" s="60" t="str">
        <f t="shared" si="40"/>
        <v>.</v>
      </c>
      <c r="AW51" s="60" t="str">
        <f t="shared" si="40"/>
        <v>.</v>
      </c>
      <c r="AX51" s="60" t="str">
        <f t="shared" si="40"/>
        <v>.</v>
      </c>
      <c r="AY51" s="60" t="str">
        <f t="shared" si="40"/>
        <v>.</v>
      </c>
      <c r="AZ51" s="60" t="str">
        <f t="shared" si="40"/>
        <v>.</v>
      </c>
      <c r="BA51" s="60" t="str">
        <f t="shared" si="40"/>
        <v>.</v>
      </c>
      <c r="BB51" s="60" t="str">
        <f t="shared" si="40"/>
        <v>.</v>
      </c>
    </row>
    <row r="52" spans="1:54" x14ac:dyDescent="0.25">
      <c r="A52" s="182" t="s">
        <v>1060</v>
      </c>
      <c r="B52" s="185">
        <v>0.99980000000000002</v>
      </c>
      <c r="C52" s="60">
        <f t="shared" ref="C52:AH52" si="41">IFERROR(C17/$B52,".")</f>
        <v>166.45641819642543</v>
      </c>
      <c r="D52" s="60">
        <f t="shared" si="41"/>
        <v>5199.9797837080296</v>
      </c>
      <c r="E52" s="60">
        <f t="shared" si="41"/>
        <v>1441.8669455273352</v>
      </c>
      <c r="F52" s="60">
        <f t="shared" si="41"/>
        <v>9200.0400935135276</v>
      </c>
      <c r="G52" s="60">
        <f t="shared" si="41"/>
        <v>11685.970426522776</v>
      </c>
      <c r="H52" s="60">
        <f t="shared" si="41"/>
        <v>9140.7702933336386</v>
      </c>
      <c r="I52" s="60">
        <f t="shared" si="41"/>
        <v>710.00109034869752</v>
      </c>
      <c r="J52" s="60">
        <f t="shared" si="41"/>
        <v>10622.386787301242</v>
      </c>
      <c r="K52" s="60">
        <f t="shared" si="41"/>
        <v>1348.4092144882825</v>
      </c>
      <c r="L52" s="60">
        <f t="shared" si="41"/>
        <v>55825.832251052248</v>
      </c>
      <c r="M52" s="60">
        <f t="shared" si="41"/>
        <v>3739.6360065220183</v>
      </c>
      <c r="N52" s="60">
        <f t="shared" si="41"/>
        <v>1429.3574350559581</v>
      </c>
      <c r="O52" s="60">
        <f t="shared" si="41"/>
        <v>13641.244262384484</v>
      </c>
      <c r="P52" s="60">
        <f t="shared" si="41"/>
        <v>10065.421200038376</v>
      </c>
      <c r="Q52" s="60">
        <f t="shared" si="41"/>
        <v>14352.557225673554</v>
      </c>
      <c r="R52" s="60">
        <f t="shared" si="41"/>
        <v>3341.4818504376221</v>
      </c>
      <c r="S52" s="60">
        <f t="shared" si="41"/>
        <v>6811.9280809312395</v>
      </c>
      <c r="T52" s="60">
        <f t="shared" si="41"/>
        <v>22038.80464044874</v>
      </c>
      <c r="U52" s="60">
        <f t="shared" si="41"/>
        <v>14030.630262347524</v>
      </c>
      <c r="V52" s="60">
        <f t="shared" si="41"/>
        <v>20768.606398161777</v>
      </c>
      <c r="W52" s="60">
        <f t="shared" si="41"/>
        <v>4793.4545805965163</v>
      </c>
      <c r="X52" s="60">
        <f t="shared" si="41"/>
        <v>7860.9324862075928</v>
      </c>
      <c r="Y52" s="60">
        <f t="shared" si="41"/>
        <v>10243.911709177346</v>
      </c>
      <c r="Z52" s="60">
        <f t="shared" si="41"/>
        <v>3308.2611355899171</v>
      </c>
      <c r="AA52" s="60">
        <f t="shared" si="41"/>
        <v>162.23853282726637</v>
      </c>
      <c r="AB52" s="60">
        <f t="shared" si="41"/>
        <v>235.26182769443784</v>
      </c>
      <c r="AC52" s="60">
        <f t="shared" si="41"/>
        <v>159.08262905068455</v>
      </c>
      <c r="AD52" s="60">
        <f t="shared" si="41"/>
        <v>4521.5850725045038</v>
      </c>
      <c r="AE52" s="60">
        <f t="shared" si="41"/>
        <v>1351.1824785881199</v>
      </c>
      <c r="AF52" s="60">
        <f t="shared" si="41"/>
        <v>8506.5267858671195</v>
      </c>
      <c r="AG52" s="60">
        <f t="shared" si="41"/>
        <v>11379.453169433653</v>
      </c>
      <c r="AH52" s="60">
        <f t="shared" si="41"/>
        <v>7768.7027383272361</v>
      </c>
      <c r="AI52" s="60">
        <f t="shared" ref="AI52:BB52" si="42">IFERROR(AI17/$B52,".")</f>
        <v>699.90876715760862</v>
      </c>
      <c r="AJ52" s="60">
        <f t="shared" si="42"/>
        <v>11322.748514700052</v>
      </c>
      <c r="AK52" s="60">
        <f t="shared" si="42"/>
        <v>1311.2085279154569</v>
      </c>
      <c r="AL52" s="60">
        <f t="shared" si="42"/>
        <v>38720.392741454423</v>
      </c>
      <c r="AM52" s="60">
        <f t="shared" si="42"/>
        <v>5254.6797447782192</v>
      </c>
      <c r="AN52" s="60">
        <f t="shared" si="42"/>
        <v>1309.2562457486226</v>
      </c>
      <c r="AO52" s="60">
        <f t="shared" si="42"/>
        <v>13236.870463916786</v>
      </c>
      <c r="AP52" s="60">
        <f t="shared" si="42"/>
        <v>9444.874131558945</v>
      </c>
      <c r="AQ52" s="60">
        <f t="shared" si="42"/>
        <v>10566.502467170765</v>
      </c>
      <c r="AR52" s="60">
        <f t="shared" si="42"/>
        <v>3735.4806384489748</v>
      </c>
      <c r="AS52" s="60">
        <f t="shared" si="42"/>
        <v>6085.8071507175882</v>
      </c>
      <c r="AT52" s="60">
        <f t="shared" si="42"/>
        <v>23679.929531455411</v>
      </c>
      <c r="AU52" s="60">
        <f t="shared" si="42"/>
        <v>10519.862055278909</v>
      </c>
      <c r="AV52" s="60">
        <f t="shared" si="42"/>
        <v>17678.145885373546</v>
      </c>
      <c r="AW52" s="60">
        <f t="shared" si="42"/>
        <v>4509.6465095486883</v>
      </c>
      <c r="AX52" s="60">
        <f t="shared" si="42"/>
        <v>7442.5004686225739</v>
      </c>
      <c r="AY52" s="60">
        <f t="shared" si="42"/>
        <v>9966.0388097023133</v>
      </c>
      <c r="AZ52" s="60">
        <f t="shared" si="42"/>
        <v>2683.9385859035579</v>
      </c>
      <c r="BA52" s="60">
        <f t="shared" si="42"/>
        <v>169.4633155382505</v>
      </c>
      <c r="BB52" s="60">
        <f t="shared" si="42"/>
        <v>187.53300466498555</v>
      </c>
    </row>
    <row r="53" spans="1:54" x14ac:dyDescent="0.25">
      <c r="A53" s="182" t="s">
        <v>1074</v>
      </c>
      <c r="B53" s="183">
        <v>2.0000000000000001E-4</v>
      </c>
      <c r="C53" s="60" t="str">
        <f t="shared" ref="C53:AH53" si="43">IFERROR(C5/$B53,".")</f>
        <v>.</v>
      </c>
      <c r="D53" s="60" t="str">
        <f t="shared" si="43"/>
        <v>.</v>
      </c>
      <c r="E53" s="60" t="str">
        <f t="shared" si="43"/>
        <v>.</v>
      </c>
      <c r="F53" s="60" t="str">
        <f t="shared" si="43"/>
        <v>.</v>
      </c>
      <c r="G53" s="60" t="str">
        <f t="shared" si="43"/>
        <v>.</v>
      </c>
      <c r="H53" s="60" t="str">
        <f t="shared" si="43"/>
        <v>.</v>
      </c>
      <c r="I53" s="60" t="str">
        <f t="shared" si="43"/>
        <v>.</v>
      </c>
      <c r="J53" s="60" t="str">
        <f t="shared" si="43"/>
        <v>.</v>
      </c>
      <c r="K53" s="60" t="str">
        <f t="shared" si="43"/>
        <v>.</v>
      </c>
      <c r="L53" s="60" t="str">
        <f t="shared" si="43"/>
        <v>.</v>
      </c>
      <c r="M53" s="60" t="str">
        <f t="shared" si="43"/>
        <v>.</v>
      </c>
      <c r="N53" s="60" t="str">
        <f t="shared" si="43"/>
        <v>.</v>
      </c>
      <c r="O53" s="60" t="str">
        <f t="shared" si="43"/>
        <v>.</v>
      </c>
      <c r="P53" s="60" t="str">
        <f t="shared" si="43"/>
        <v>.</v>
      </c>
      <c r="Q53" s="60" t="str">
        <f t="shared" si="43"/>
        <v>.</v>
      </c>
      <c r="R53" s="60" t="str">
        <f t="shared" si="43"/>
        <v>.</v>
      </c>
      <c r="S53" s="60" t="str">
        <f t="shared" si="43"/>
        <v>.</v>
      </c>
      <c r="T53" s="60" t="str">
        <f t="shared" si="43"/>
        <v>.</v>
      </c>
      <c r="U53" s="60" t="str">
        <f t="shared" si="43"/>
        <v>.</v>
      </c>
      <c r="V53" s="60" t="str">
        <f t="shared" si="43"/>
        <v>.</v>
      </c>
      <c r="W53" s="60" t="str">
        <f t="shared" si="43"/>
        <v>.</v>
      </c>
      <c r="X53" s="60" t="str">
        <f t="shared" si="43"/>
        <v>.</v>
      </c>
      <c r="Y53" s="60" t="str">
        <f t="shared" si="43"/>
        <v>.</v>
      </c>
      <c r="Z53" s="60" t="str">
        <f t="shared" si="43"/>
        <v>.</v>
      </c>
      <c r="AA53" s="60" t="str">
        <f t="shared" si="43"/>
        <v>.</v>
      </c>
      <c r="AB53" s="60" t="str">
        <f t="shared" si="43"/>
        <v>.</v>
      </c>
      <c r="AC53" s="60" t="str">
        <f t="shared" si="43"/>
        <v>.</v>
      </c>
      <c r="AD53" s="60" t="str">
        <f t="shared" si="43"/>
        <v>.</v>
      </c>
      <c r="AE53" s="60" t="str">
        <f t="shared" si="43"/>
        <v>.</v>
      </c>
      <c r="AF53" s="60" t="str">
        <f t="shared" si="43"/>
        <v>.</v>
      </c>
      <c r="AG53" s="60" t="str">
        <f t="shared" si="43"/>
        <v>.</v>
      </c>
      <c r="AH53" s="60" t="str">
        <f t="shared" si="43"/>
        <v>.</v>
      </c>
      <c r="AI53" s="60" t="str">
        <f t="shared" ref="AI53:BB53" si="44">IFERROR(AI5/$B53,".")</f>
        <v>.</v>
      </c>
      <c r="AJ53" s="60" t="str">
        <f t="shared" si="44"/>
        <v>.</v>
      </c>
      <c r="AK53" s="60" t="str">
        <f t="shared" si="44"/>
        <v>.</v>
      </c>
      <c r="AL53" s="60" t="str">
        <f t="shared" si="44"/>
        <v>.</v>
      </c>
      <c r="AM53" s="60" t="str">
        <f t="shared" si="44"/>
        <v>.</v>
      </c>
      <c r="AN53" s="60" t="str">
        <f t="shared" si="44"/>
        <v>.</v>
      </c>
      <c r="AO53" s="60" t="str">
        <f t="shared" si="44"/>
        <v>.</v>
      </c>
      <c r="AP53" s="60" t="str">
        <f t="shared" si="44"/>
        <v>.</v>
      </c>
      <c r="AQ53" s="60" t="str">
        <f t="shared" si="44"/>
        <v>.</v>
      </c>
      <c r="AR53" s="60" t="str">
        <f t="shared" si="44"/>
        <v>.</v>
      </c>
      <c r="AS53" s="60" t="str">
        <f t="shared" si="44"/>
        <v>.</v>
      </c>
      <c r="AT53" s="60" t="str">
        <f t="shared" si="44"/>
        <v>.</v>
      </c>
      <c r="AU53" s="60" t="str">
        <f t="shared" si="44"/>
        <v>.</v>
      </c>
      <c r="AV53" s="60" t="str">
        <f t="shared" si="44"/>
        <v>.</v>
      </c>
      <c r="AW53" s="60" t="str">
        <f t="shared" si="44"/>
        <v>.</v>
      </c>
      <c r="AX53" s="60" t="str">
        <f t="shared" si="44"/>
        <v>.</v>
      </c>
      <c r="AY53" s="60" t="str">
        <f t="shared" si="44"/>
        <v>.</v>
      </c>
      <c r="AZ53" s="60" t="str">
        <f t="shared" si="44"/>
        <v>.</v>
      </c>
      <c r="BA53" s="60" t="str">
        <f t="shared" si="44"/>
        <v>.</v>
      </c>
      <c r="BB53" s="60" t="str">
        <f t="shared" si="44"/>
        <v>.</v>
      </c>
    </row>
    <row r="54" spans="1:54" x14ac:dyDescent="0.25">
      <c r="A54" s="182" t="s">
        <v>1075</v>
      </c>
      <c r="B54" s="183">
        <v>0.99999979999999999</v>
      </c>
      <c r="C54" s="60">
        <f t="shared" ref="C54:AH54" si="45">IFERROR(C9/$B54,".")</f>
        <v>38.603568477649695</v>
      </c>
      <c r="D54" s="60">
        <f t="shared" si="45"/>
        <v>704.3379266162309</v>
      </c>
      <c r="E54" s="60">
        <f t="shared" si="45"/>
        <v>1540.568086761318</v>
      </c>
      <c r="F54" s="60">
        <f t="shared" si="45"/>
        <v>1857.1172967745226</v>
      </c>
      <c r="G54" s="60">
        <f t="shared" si="45"/>
        <v>1583.7060814637837</v>
      </c>
      <c r="H54" s="60">
        <f t="shared" si="45"/>
        <v>1934.5937633675371</v>
      </c>
      <c r="I54" s="60">
        <f t="shared" si="45"/>
        <v>758.65250773440698</v>
      </c>
      <c r="J54" s="60">
        <f t="shared" si="45"/>
        <v>2139.3002009426355</v>
      </c>
      <c r="K54" s="60">
        <f t="shared" si="45"/>
        <v>182.5937397994131</v>
      </c>
      <c r="L54" s="60">
        <f t="shared" si="45"/>
        <v>1001.1709669532665</v>
      </c>
      <c r="M54" s="60">
        <f t="shared" si="45"/>
        <v>750.72955408123084</v>
      </c>
      <c r="N54" s="60">
        <f t="shared" si="45"/>
        <v>1572.3043707270601</v>
      </c>
      <c r="O54" s="60">
        <f t="shared" si="45"/>
        <v>1601.7028057213427</v>
      </c>
      <c r="P54" s="60">
        <f t="shared" si="45"/>
        <v>2025.1911707385357</v>
      </c>
      <c r="Q54" s="60">
        <f t="shared" si="45"/>
        <v>2890.5394966063905</v>
      </c>
      <c r="R54" s="60">
        <f t="shared" si="45"/>
        <v>452.20381553656307</v>
      </c>
      <c r="S54" s="60">
        <f t="shared" si="45"/>
        <v>922.67652959232817</v>
      </c>
      <c r="T54" s="60">
        <f t="shared" si="45"/>
        <v>1609.2285663823045</v>
      </c>
      <c r="U54" s="60">
        <f t="shared" si="45"/>
        <v>3156.127053757491</v>
      </c>
      <c r="V54" s="60">
        <f t="shared" si="45"/>
        <v>473.23017733924041</v>
      </c>
      <c r="W54" s="60">
        <f t="shared" si="45"/>
        <v>963.26131450726996</v>
      </c>
      <c r="X54" s="60">
        <f t="shared" si="45"/>
        <v>1029.6793881868398</v>
      </c>
      <c r="Y54" s="60">
        <f t="shared" si="45"/>
        <v>1377.7140563435325</v>
      </c>
      <c r="Z54" s="60">
        <f t="shared" si="45"/>
        <v>727.93583316949866</v>
      </c>
      <c r="AA54" s="60">
        <f t="shared" si="45"/>
        <v>204.25840345717316</v>
      </c>
      <c r="AB54" s="60">
        <f t="shared" si="45"/>
        <v>234.26313823916047</v>
      </c>
      <c r="AC54" s="60">
        <f t="shared" si="45"/>
        <v>36.314134645667735</v>
      </c>
      <c r="AD54" s="60">
        <f t="shared" si="45"/>
        <v>612.4492762384823</v>
      </c>
      <c r="AE54" s="60">
        <f t="shared" si="45"/>
        <v>1443.6759316530515</v>
      </c>
      <c r="AF54" s="60">
        <f t="shared" si="45"/>
        <v>1717.1249112976907</v>
      </c>
      <c r="AG54" s="60">
        <f t="shared" si="45"/>
        <v>1542.1662498188323</v>
      </c>
      <c r="AH54" s="60">
        <f t="shared" si="45"/>
        <v>1644.203210968449</v>
      </c>
      <c r="AI54" s="60">
        <f t="shared" ref="AI54:BB54" si="46">IFERROR(AI9/$B54,".")</f>
        <v>747.86862810117248</v>
      </c>
      <c r="AJ54" s="60">
        <f t="shared" si="46"/>
        <v>2280.3498552395363</v>
      </c>
      <c r="AK54" s="60">
        <f t="shared" si="46"/>
        <v>177.55623900851572</v>
      </c>
      <c r="AL54" s="60">
        <f t="shared" si="46"/>
        <v>694.40492830344647</v>
      </c>
      <c r="AM54" s="60">
        <f t="shared" si="46"/>
        <v>1054.8736226619712</v>
      </c>
      <c r="AN54" s="60">
        <f t="shared" si="46"/>
        <v>1440.1921220717418</v>
      </c>
      <c r="AO54" s="60">
        <f t="shared" si="46"/>
        <v>1554.2227785986049</v>
      </c>
      <c r="AP54" s="60">
        <f t="shared" si="46"/>
        <v>1900.3353481021784</v>
      </c>
      <c r="AQ54" s="60">
        <f t="shared" si="46"/>
        <v>2128.0453540161802</v>
      </c>
      <c r="AR54" s="60">
        <f t="shared" si="46"/>
        <v>505.52379847532461</v>
      </c>
      <c r="AS54" s="60">
        <f t="shared" si="46"/>
        <v>824.32335674698379</v>
      </c>
      <c r="AT54" s="60">
        <f t="shared" si="46"/>
        <v>1729.0601588254785</v>
      </c>
      <c r="AU54" s="60">
        <f t="shared" si="46"/>
        <v>2366.3955655337381</v>
      </c>
      <c r="AV54" s="60">
        <f t="shared" si="46"/>
        <v>402.81143337112621</v>
      </c>
      <c r="AW54" s="60">
        <f t="shared" si="46"/>
        <v>906.22909880798557</v>
      </c>
      <c r="AX54" s="60">
        <f t="shared" si="46"/>
        <v>974.87026412672674</v>
      </c>
      <c r="AY54" s="60">
        <f t="shared" si="46"/>
        <v>1340.3426487843758</v>
      </c>
      <c r="AZ54" s="60">
        <f t="shared" si="46"/>
        <v>590.56253138163754</v>
      </c>
      <c r="BA54" s="60">
        <f t="shared" si="46"/>
        <v>161.81962124278294</v>
      </c>
      <c r="BB54" s="60">
        <f t="shared" si="46"/>
        <v>186.73692467142766</v>
      </c>
    </row>
    <row r="55" spans="1:54" x14ac:dyDescent="0.25">
      <c r="A55" s="182" t="s">
        <v>1076</v>
      </c>
      <c r="B55" s="183">
        <v>1.9999999999999999E-7</v>
      </c>
      <c r="C55" s="60" t="str">
        <f t="shared" ref="C55:AH55" si="47">IFERROR(C24/$B55,".")</f>
        <v>.</v>
      </c>
      <c r="D55" s="60" t="str">
        <f t="shared" si="47"/>
        <v>.</v>
      </c>
      <c r="E55" s="60" t="str">
        <f t="shared" si="47"/>
        <v>.</v>
      </c>
      <c r="F55" s="60" t="str">
        <f t="shared" si="47"/>
        <v>.</v>
      </c>
      <c r="G55" s="60" t="str">
        <f t="shared" si="47"/>
        <v>.</v>
      </c>
      <c r="H55" s="60" t="str">
        <f t="shared" si="47"/>
        <v>.</v>
      </c>
      <c r="I55" s="60" t="str">
        <f t="shared" si="47"/>
        <v>.</v>
      </c>
      <c r="J55" s="60" t="str">
        <f t="shared" si="47"/>
        <v>.</v>
      </c>
      <c r="K55" s="60" t="str">
        <f t="shared" si="47"/>
        <v>.</v>
      </c>
      <c r="L55" s="60" t="str">
        <f t="shared" si="47"/>
        <v>.</v>
      </c>
      <c r="M55" s="60" t="str">
        <f t="shared" si="47"/>
        <v>.</v>
      </c>
      <c r="N55" s="60" t="str">
        <f t="shared" si="47"/>
        <v>.</v>
      </c>
      <c r="O55" s="60" t="str">
        <f t="shared" si="47"/>
        <v>.</v>
      </c>
      <c r="P55" s="60" t="str">
        <f t="shared" si="47"/>
        <v>.</v>
      </c>
      <c r="Q55" s="60" t="str">
        <f t="shared" si="47"/>
        <v>.</v>
      </c>
      <c r="R55" s="60" t="str">
        <f t="shared" si="47"/>
        <v>.</v>
      </c>
      <c r="S55" s="60" t="str">
        <f t="shared" si="47"/>
        <v>.</v>
      </c>
      <c r="T55" s="60" t="str">
        <f t="shared" si="47"/>
        <v>.</v>
      </c>
      <c r="U55" s="60" t="str">
        <f t="shared" si="47"/>
        <v>.</v>
      </c>
      <c r="V55" s="60" t="str">
        <f t="shared" si="47"/>
        <v>.</v>
      </c>
      <c r="W55" s="60" t="str">
        <f t="shared" si="47"/>
        <v>.</v>
      </c>
      <c r="X55" s="60" t="str">
        <f t="shared" si="47"/>
        <v>.</v>
      </c>
      <c r="Y55" s="60" t="str">
        <f t="shared" si="47"/>
        <v>.</v>
      </c>
      <c r="Z55" s="60" t="str">
        <f t="shared" si="47"/>
        <v>.</v>
      </c>
      <c r="AA55" s="60" t="str">
        <f t="shared" si="47"/>
        <v>.</v>
      </c>
      <c r="AB55" s="60" t="str">
        <f t="shared" si="47"/>
        <v>.</v>
      </c>
      <c r="AC55" s="60" t="str">
        <f t="shared" si="47"/>
        <v>.</v>
      </c>
      <c r="AD55" s="60" t="str">
        <f t="shared" si="47"/>
        <v>.</v>
      </c>
      <c r="AE55" s="60" t="str">
        <f t="shared" si="47"/>
        <v>.</v>
      </c>
      <c r="AF55" s="60" t="str">
        <f t="shared" si="47"/>
        <v>.</v>
      </c>
      <c r="AG55" s="60" t="str">
        <f t="shared" si="47"/>
        <v>.</v>
      </c>
      <c r="AH55" s="60" t="str">
        <f t="shared" si="47"/>
        <v>.</v>
      </c>
      <c r="AI55" s="60" t="str">
        <f t="shared" ref="AI55:BB55" si="48">IFERROR(AI24/$B55,".")</f>
        <v>.</v>
      </c>
      <c r="AJ55" s="60" t="str">
        <f t="shared" si="48"/>
        <v>.</v>
      </c>
      <c r="AK55" s="60" t="str">
        <f t="shared" si="48"/>
        <v>.</v>
      </c>
      <c r="AL55" s="60" t="str">
        <f t="shared" si="48"/>
        <v>.</v>
      </c>
      <c r="AM55" s="60" t="str">
        <f t="shared" si="48"/>
        <v>.</v>
      </c>
      <c r="AN55" s="60" t="str">
        <f t="shared" si="48"/>
        <v>.</v>
      </c>
      <c r="AO55" s="60" t="str">
        <f t="shared" si="48"/>
        <v>.</v>
      </c>
      <c r="AP55" s="60" t="str">
        <f t="shared" si="48"/>
        <v>.</v>
      </c>
      <c r="AQ55" s="60" t="str">
        <f t="shared" si="48"/>
        <v>.</v>
      </c>
      <c r="AR55" s="60" t="str">
        <f t="shared" si="48"/>
        <v>.</v>
      </c>
      <c r="AS55" s="60" t="str">
        <f t="shared" si="48"/>
        <v>.</v>
      </c>
      <c r="AT55" s="60" t="str">
        <f t="shared" si="48"/>
        <v>.</v>
      </c>
      <c r="AU55" s="60" t="str">
        <f t="shared" si="48"/>
        <v>.</v>
      </c>
      <c r="AV55" s="60" t="str">
        <f t="shared" si="48"/>
        <v>.</v>
      </c>
      <c r="AW55" s="60" t="str">
        <f t="shared" si="48"/>
        <v>.</v>
      </c>
      <c r="AX55" s="60" t="str">
        <f t="shared" si="48"/>
        <v>.</v>
      </c>
      <c r="AY55" s="60" t="str">
        <f t="shared" si="48"/>
        <v>.</v>
      </c>
      <c r="AZ55" s="60" t="str">
        <f t="shared" si="48"/>
        <v>.</v>
      </c>
      <c r="BA55" s="60" t="str">
        <f t="shared" si="48"/>
        <v>.</v>
      </c>
      <c r="BB55" s="60" t="str">
        <f t="shared" si="48"/>
        <v>.</v>
      </c>
    </row>
    <row r="56" spans="1:54" x14ac:dyDescent="0.25">
      <c r="A56" s="182" t="s">
        <v>1077</v>
      </c>
      <c r="B56" s="183">
        <v>0.99979000004200003</v>
      </c>
      <c r="C56" s="60" t="str">
        <f t="shared" ref="C56:AH56" si="49">IFERROR(C20/$B56,".")</f>
        <v>.</v>
      </c>
      <c r="D56" s="60" t="str">
        <f t="shared" si="49"/>
        <v>.</v>
      </c>
      <c r="E56" s="60" t="str">
        <f t="shared" si="49"/>
        <v>.</v>
      </c>
      <c r="F56" s="60" t="str">
        <f t="shared" si="49"/>
        <v>.</v>
      </c>
      <c r="G56" s="60" t="str">
        <f t="shared" si="49"/>
        <v>.</v>
      </c>
      <c r="H56" s="60" t="str">
        <f t="shared" si="49"/>
        <v>.</v>
      </c>
      <c r="I56" s="60" t="str">
        <f t="shared" si="49"/>
        <v>.</v>
      </c>
      <c r="J56" s="60" t="str">
        <f t="shared" si="49"/>
        <v>.</v>
      </c>
      <c r="K56" s="60" t="str">
        <f t="shared" si="49"/>
        <v>.</v>
      </c>
      <c r="L56" s="60" t="str">
        <f t="shared" si="49"/>
        <v>.</v>
      </c>
      <c r="M56" s="60" t="str">
        <f t="shared" si="49"/>
        <v>.</v>
      </c>
      <c r="N56" s="60" t="str">
        <f t="shared" si="49"/>
        <v>.</v>
      </c>
      <c r="O56" s="60" t="str">
        <f t="shared" si="49"/>
        <v>.</v>
      </c>
      <c r="P56" s="60" t="str">
        <f t="shared" si="49"/>
        <v>.</v>
      </c>
      <c r="Q56" s="60" t="str">
        <f t="shared" si="49"/>
        <v>.</v>
      </c>
      <c r="R56" s="60" t="str">
        <f t="shared" si="49"/>
        <v>.</v>
      </c>
      <c r="S56" s="60" t="str">
        <f t="shared" si="49"/>
        <v>.</v>
      </c>
      <c r="T56" s="60" t="str">
        <f t="shared" si="49"/>
        <v>.</v>
      </c>
      <c r="U56" s="60" t="str">
        <f t="shared" si="49"/>
        <v>.</v>
      </c>
      <c r="V56" s="60" t="str">
        <f t="shared" si="49"/>
        <v>.</v>
      </c>
      <c r="W56" s="60" t="str">
        <f t="shared" si="49"/>
        <v>.</v>
      </c>
      <c r="X56" s="60" t="str">
        <f t="shared" si="49"/>
        <v>.</v>
      </c>
      <c r="Y56" s="60" t="str">
        <f t="shared" si="49"/>
        <v>.</v>
      </c>
      <c r="Z56" s="60" t="str">
        <f t="shared" si="49"/>
        <v>.</v>
      </c>
      <c r="AA56" s="60" t="str">
        <f t="shared" si="49"/>
        <v>.</v>
      </c>
      <c r="AB56" s="60" t="str">
        <f t="shared" si="49"/>
        <v>.</v>
      </c>
      <c r="AC56" s="60" t="str">
        <f t="shared" si="49"/>
        <v>.</v>
      </c>
      <c r="AD56" s="60" t="str">
        <f t="shared" si="49"/>
        <v>.</v>
      </c>
      <c r="AE56" s="60" t="str">
        <f t="shared" si="49"/>
        <v>.</v>
      </c>
      <c r="AF56" s="60" t="str">
        <f t="shared" si="49"/>
        <v>.</v>
      </c>
      <c r="AG56" s="60" t="str">
        <f t="shared" si="49"/>
        <v>.</v>
      </c>
      <c r="AH56" s="60" t="str">
        <f t="shared" si="49"/>
        <v>.</v>
      </c>
      <c r="AI56" s="60" t="str">
        <f t="shared" ref="AI56:BB56" si="50">IFERROR(AI20/$B56,".")</f>
        <v>.</v>
      </c>
      <c r="AJ56" s="60" t="str">
        <f t="shared" si="50"/>
        <v>.</v>
      </c>
      <c r="AK56" s="60" t="str">
        <f t="shared" si="50"/>
        <v>.</v>
      </c>
      <c r="AL56" s="60" t="str">
        <f t="shared" si="50"/>
        <v>.</v>
      </c>
      <c r="AM56" s="60" t="str">
        <f t="shared" si="50"/>
        <v>.</v>
      </c>
      <c r="AN56" s="60" t="str">
        <f t="shared" si="50"/>
        <v>.</v>
      </c>
      <c r="AO56" s="60" t="str">
        <f t="shared" si="50"/>
        <v>.</v>
      </c>
      <c r="AP56" s="60" t="str">
        <f t="shared" si="50"/>
        <v>.</v>
      </c>
      <c r="AQ56" s="60" t="str">
        <f t="shared" si="50"/>
        <v>.</v>
      </c>
      <c r="AR56" s="60" t="str">
        <f t="shared" si="50"/>
        <v>.</v>
      </c>
      <c r="AS56" s="60" t="str">
        <f t="shared" si="50"/>
        <v>.</v>
      </c>
      <c r="AT56" s="60" t="str">
        <f t="shared" si="50"/>
        <v>.</v>
      </c>
      <c r="AU56" s="60" t="str">
        <f t="shared" si="50"/>
        <v>.</v>
      </c>
      <c r="AV56" s="60" t="str">
        <f t="shared" si="50"/>
        <v>.</v>
      </c>
      <c r="AW56" s="60" t="str">
        <f t="shared" si="50"/>
        <v>.</v>
      </c>
      <c r="AX56" s="60" t="str">
        <f t="shared" si="50"/>
        <v>.</v>
      </c>
      <c r="AY56" s="60" t="str">
        <f t="shared" si="50"/>
        <v>.</v>
      </c>
      <c r="AZ56" s="60" t="str">
        <f t="shared" si="50"/>
        <v>.</v>
      </c>
      <c r="BA56" s="60" t="str">
        <f t="shared" si="50"/>
        <v>.</v>
      </c>
      <c r="BB56" s="60" t="str">
        <f t="shared" si="50"/>
        <v>.</v>
      </c>
    </row>
    <row r="57" spans="1:54" x14ac:dyDescent="0.25">
      <c r="A57" s="182" t="s">
        <v>1078</v>
      </c>
      <c r="B57" s="183">
        <v>2.0999995799999999E-4</v>
      </c>
      <c r="C57" s="60" t="str">
        <f t="shared" ref="C57:AH57" si="51">IFERROR(C29/$B57,".")</f>
        <v>.</v>
      </c>
      <c r="D57" s="60" t="str">
        <f t="shared" si="51"/>
        <v>.</v>
      </c>
      <c r="E57" s="60" t="str">
        <f t="shared" si="51"/>
        <v>.</v>
      </c>
      <c r="F57" s="60" t="str">
        <f t="shared" si="51"/>
        <v>.</v>
      </c>
      <c r="G57" s="60" t="str">
        <f t="shared" si="51"/>
        <v>.</v>
      </c>
      <c r="H57" s="60" t="str">
        <f t="shared" si="51"/>
        <v>.</v>
      </c>
      <c r="I57" s="60" t="str">
        <f t="shared" si="51"/>
        <v>.</v>
      </c>
      <c r="J57" s="60" t="str">
        <f t="shared" si="51"/>
        <v>.</v>
      </c>
      <c r="K57" s="60" t="str">
        <f t="shared" si="51"/>
        <v>.</v>
      </c>
      <c r="L57" s="60" t="str">
        <f t="shared" si="51"/>
        <v>.</v>
      </c>
      <c r="M57" s="60" t="str">
        <f t="shared" si="51"/>
        <v>.</v>
      </c>
      <c r="N57" s="60" t="str">
        <f t="shared" si="51"/>
        <v>.</v>
      </c>
      <c r="O57" s="60" t="str">
        <f t="shared" si="51"/>
        <v>.</v>
      </c>
      <c r="P57" s="60" t="str">
        <f t="shared" si="51"/>
        <v>.</v>
      </c>
      <c r="Q57" s="60" t="str">
        <f t="shared" si="51"/>
        <v>.</v>
      </c>
      <c r="R57" s="60" t="str">
        <f t="shared" si="51"/>
        <v>.</v>
      </c>
      <c r="S57" s="60" t="str">
        <f t="shared" si="51"/>
        <v>.</v>
      </c>
      <c r="T57" s="60" t="str">
        <f t="shared" si="51"/>
        <v>.</v>
      </c>
      <c r="U57" s="60" t="str">
        <f t="shared" si="51"/>
        <v>.</v>
      </c>
      <c r="V57" s="60" t="str">
        <f t="shared" si="51"/>
        <v>.</v>
      </c>
      <c r="W57" s="60" t="str">
        <f t="shared" si="51"/>
        <v>.</v>
      </c>
      <c r="X57" s="60" t="str">
        <f t="shared" si="51"/>
        <v>.</v>
      </c>
      <c r="Y57" s="60" t="str">
        <f t="shared" si="51"/>
        <v>.</v>
      </c>
      <c r="Z57" s="60" t="str">
        <f t="shared" si="51"/>
        <v>.</v>
      </c>
      <c r="AA57" s="60" t="str">
        <f t="shared" si="51"/>
        <v>.</v>
      </c>
      <c r="AB57" s="60" t="str">
        <f t="shared" si="51"/>
        <v>.</v>
      </c>
      <c r="AC57" s="60" t="str">
        <f t="shared" si="51"/>
        <v>.</v>
      </c>
      <c r="AD57" s="60" t="str">
        <f t="shared" si="51"/>
        <v>.</v>
      </c>
      <c r="AE57" s="60" t="str">
        <f t="shared" si="51"/>
        <v>.</v>
      </c>
      <c r="AF57" s="60" t="str">
        <f t="shared" si="51"/>
        <v>.</v>
      </c>
      <c r="AG57" s="60" t="str">
        <f t="shared" si="51"/>
        <v>.</v>
      </c>
      <c r="AH57" s="60" t="str">
        <f t="shared" si="51"/>
        <v>.</v>
      </c>
      <c r="AI57" s="60" t="str">
        <f t="shared" ref="AI57:BB57" si="52">IFERROR(AI29/$B57,".")</f>
        <v>.</v>
      </c>
      <c r="AJ57" s="60" t="str">
        <f t="shared" si="52"/>
        <v>.</v>
      </c>
      <c r="AK57" s="60" t="str">
        <f t="shared" si="52"/>
        <v>.</v>
      </c>
      <c r="AL57" s="60" t="str">
        <f t="shared" si="52"/>
        <v>.</v>
      </c>
      <c r="AM57" s="60" t="str">
        <f t="shared" si="52"/>
        <v>.</v>
      </c>
      <c r="AN57" s="60" t="str">
        <f t="shared" si="52"/>
        <v>.</v>
      </c>
      <c r="AO57" s="60" t="str">
        <f t="shared" si="52"/>
        <v>.</v>
      </c>
      <c r="AP57" s="60" t="str">
        <f t="shared" si="52"/>
        <v>.</v>
      </c>
      <c r="AQ57" s="60" t="str">
        <f t="shared" si="52"/>
        <v>.</v>
      </c>
      <c r="AR57" s="60" t="str">
        <f t="shared" si="52"/>
        <v>.</v>
      </c>
      <c r="AS57" s="60" t="str">
        <f t="shared" si="52"/>
        <v>.</v>
      </c>
      <c r="AT57" s="60" t="str">
        <f t="shared" si="52"/>
        <v>.</v>
      </c>
      <c r="AU57" s="60" t="str">
        <f t="shared" si="52"/>
        <v>.</v>
      </c>
      <c r="AV57" s="60" t="str">
        <f t="shared" si="52"/>
        <v>.</v>
      </c>
      <c r="AW57" s="60" t="str">
        <f t="shared" si="52"/>
        <v>.</v>
      </c>
      <c r="AX57" s="60" t="str">
        <f t="shared" si="52"/>
        <v>.</v>
      </c>
      <c r="AY57" s="60" t="str">
        <f t="shared" si="52"/>
        <v>.</v>
      </c>
      <c r="AZ57" s="60" t="str">
        <f t="shared" si="52"/>
        <v>.</v>
      </c>
      <c r="BA57" s="60" t="str">
        <f t="shared" si="52"/>
        <v>.</v>
      </c>
      <c r="BB57" s="60" t="str">
        <f t="shared" si="52"/>
        <v>.</v>
      </c>
    </row>
    <row r="58" spans="1:54" x14ac:dyDescent="0.25">
      <c r="A58" s="182" t="s">
        <v>1079</v>
      </c>
      <c r="B58" s="183">
        <v>1</v>
      </c>
      <c r="C58" s="60">
        <f t="shared" ref="C58:AH58" si="53">IFERROR(C16/$B58,".")</f>
        <v>3.2468825740827906E-2</v>
      </c>
      <c r="D58" s="60">
        <f t="shared" si="53"/>
        <v>1.0143029585906926</v>
      </c>
      <c r="E58" s="60">
        <f t="shared" si="53"/>
        <v>0.2812491527995174</v>
      </c>
      <c r="F58" s="60">
        <f t="shared" si="53"/>
        <v>1.7945508009935984</v>
      </c>
      <c r="G58" s="60">
        <f t="shared" si="53"/>
        <v>2.2794539345637812</v>
      </c>
      <c r="H58" s="60">
        <f t="shared" si="53"/>
        <v>1.7829896918781563</v>
      </c>
      <c r="I58" s="60">
        <f t="shared" si="53"/>
        <v>0.13849211660391661</v>
      </c>
      <c r="J58" s="60">
        <f t="shared" si="53"/>
        <v>2.0719923526262871</v>
      </c>
      <c r="K58" s="60">
        <f t="shared" si="53"/>
        <v>0.26301937940826631</v>
      </c>
      <c r="L58" s="60">
        <f t="shared" si="53"/>
        <v>10.889332107682163</v>
      </c>
      <c r="M58" s="60">
        <f t="shared" si="53"/>
        <v>0.72944973312237471</v>
      </c>
      <c r="N58" s="60">
        <f t="shared" si="53"/>
        <v>0.27880905995119648</v>
      </c>
      <c r="O58" s="60">
        <f t="shared" si="53"/>
        <v>2.6608477320518329</v>
      </c>
      <c r="P58" s="60">
        <f t="shared" si="53"/>
        <v>1.9633511912194859</v>
      </c>
      <c r="Q58" s="60">
        <f t="shared" si="53"/>
        <v>2.7995957413053483</v>
      </c>
      <c r="R58" s="60">
        <f t="shared" si="53"/>
        <v>0.65178617378376413</v>
      </c>
      <c r="S58" s="60">
        <f t="shared" si="53"/>
        <v>1.3287280131055843</v>
      </c>
      <c r="T58" s="60">
        <f t="shared" si="53"/>
        <v>4.2988676264947143</v>
      </c>
      <c r="U58" s="60">
        <f t="shared" si="53"/>
        <v>2.7368009834536426</v>
      </c>
      <c r="V58" s="60">
        <f t="shared" si="53"/>
        <v>4.0511040026466141</v>
      </c>
      <c r="W58" s="60">
        <f t="shared" si="53"/>
        <v>0.93500655102588137</v>
      </c>
      <c r="X58" s="60">
        <f t="shared" si="53"/>
        <v>1.533345783963098</v>
      </c>
      <c r="Y58" s="60">
        <f t="shared" si="53"/>
        <v>1.9981673749414381</v>
      </c>
      <c r="Z58" s="60">
        <f t="shared" si="53"/>
        <v>0.64530617371489907</v>
      </c>
      <c r="AA58" s="60">
        <f t="shared" si="53"/>
        <v>3.1646089155901454E-2</v>
      </c>
      <c r="AB58" s="60">
        <f t="shared" si="53"/>
        <v>4.5889941461226366E-2</v>
      </c>
      <c r="AC58" s="60">
        <f t="shared" si="53"/>
        <v>3.1030501659264728E-2</v>
      </c>
      <c r="AD58" s="60">
        <f t="shared" si="53"/>
        <v>0.881975951316187</v>
      </c>
      <c r="AE58" s="60">
        <f t="shared" si="53"/>
        <v>0.26356032958469416</v>
      </c>
      <c r="AF58" s="60">
        <f t="shared" si="53"/>
        <v>1.6592747751190977</v>
      </c>
      <c r="AG58" s="60">
        <f t="shared" si="53"/>
        <v>2.2196649789030918</v>
      </c>
      <c r="AH58" s="60">
        <f t="shared" si="53"/>
        <v>1.5153555397628773</v>
      </c>
      <c r="AI58" s="60">
        <f t="shared" ref="AI58:BB58" si="54">IFERROR(AI16/$B58,".")</f>
        <v>0.13652351793669734</v>
      </c>
      <c r="AJ58" s="60">
        <f t="shared" si="54"/>
        <v>2.2086042245435547</v>
      </c>
      <c r="AK58" s="60">
        <f t="shared" si="54"/>
        <v>0.25576304995663218</v>
      </c>
      <c r="AL58" s="60">
        <f t="shared" si="54"/>
        <v>7.5527618469787452</v>
      </c>
      <c r="AM58" s="60">
        <f t="shared" si="54"/>
        <v>1.024972679369631</v>
      </c>
      <c r="AN58" s="60">
        <f t="shared" si="54"/>
        <v>0.25538223971117169</v>
      </c>
      <c r="AO58" s="60">
        <f t="shared" si="54"/>
        <v>2.5819709753676245</v>
      </c>
      <c r="AP58" s="60">
        <f t="shared" si="54"/>
        <v>1.8423078884213668</v>
      </c>
      <c r="AQ58" s="60">
        <f t="shared" si="54"/>
        <v>2.061091611930185</v>
      </c>
      <c r="AR58" s="60">
        <f t="shared" si="54"/>
        <v>0.72863919109993691</v>
      </c>
      <c r="AS58" s="60">
        <f t="shared" si="54"/>
        <v>1.1870915763413743</v>
      </c>
      <c r="AT58" s="60">
        <f t="shared" si="54"/>
        <v>4.6189838387885063</v>
      </c>
      <c r="AU58" s="60">
        <f t="shared" si="54"/>
        <v>2.0519939789124537</v>
      </c>
      <c r="AV58" s="60">
        <f t="shared" si="54"/>
        <v>3.44828180488539</v>
      </c>
      <c r="AW58" s="60">
        <f t="shared" si="54"/>
        <v>0.87964722693049902</v>
      </c>
      <c r="AX58" s="60">
        <f t="shared" si="54"/>
        <v>1.4517268448404326</v>
      </c>
      <c r="AY58" s="60">
        <f t="shared" si="54"/>
        <v>1.9439657595942499</v>
      </c>
      <c r="AZ58" s="60">
        <f t="shared" si="54"/>
        <v>0.52352642925400894</v>
      </c>
      <c r="BA58" s="60">
        <f t="shared" si="54"/>
        <v>3.3055348188385715E-2</v>
      </c>
      <c r="BB58" s="60">
        <f t="shared" si="54"/>
        <v>3.658000403406516E-2</v>
      </c>
    </row>
    <row r="59" spans="1:54" x14ac:dyDescent="0.25">
      <c r="A59" s="182" t="s">
        <v>1080</v>
      </c>
      <c r="B59" s="183">
        <v>1</v>
      </c>
      <c r="C59" s="60">
        <f t="shared" ref="C59:AH59" si="55">IFERROR(C7/$B59,".")</f>
        <v>3.195516973768592</v>
      </c>
      <c r="D59" s="60">
        <f t="shared" si="55"/>
        <v>58.303516709193438</v>
      </c>
      <c r="E59" s="60">
        <f t="shared" si="55"/>
        <v>127.52477723250414</v>
      </c>
      <c r="F59" s="60">
        <f t="shared" si="55"/>
        <v>153.72801215406025</v>
      </c>
      <c r="G59" s="60">
        <f t="shared" si="55"/>
        <v>131.09564385759032</v>
      </c>
      <c r="H59" s="60">
        <f t="shared" si="55"/>
        <v>160.14134060603831</v>
      </c>
      <c r="I59" s="60">
        <f t="shared" si="55"/>
        <v>62.799556135878852</v>
      </c>
      <c r="J59" s="60">
        <f t="shared" si="55"/>
        <v>177.0864812162815</v>
      </c>
      <c r="K59" s="60">
        <f t="shared" si="55"/>
        <v>15.114700993788393</v>
      </c>
      <c r="L59" s="60">
        <f t="shared" si="55"/>
        <v>82.874691245078836</v>
      </c>
      <c r="M59" s="60">
        <f t="shared" si="55"/>
        <v>62.143711770201499</v>
      </c>
      <c r="N59" s="60">
        <f t="shared" si="55"/>
        <v>130.15183576870098</v>
      </c>
      <c r="O59" s="60">
        <f t="shared" si="55"/>
        <v>132.5853724009647</v>
      </c>
      <c r="P59" s="60">
        <f t="shared" si="55"/>
        <v>167.6407911607472</v>
      </c>
      <c r="Q59" s="60">
        <f t="shared" si="55"/>
        <v>239.27238825348624</v>
      </c>
      <c r="R59" s="60">
        <f t="shared" si="55"/>
        <v>37.432419466263447</v>
      </c>
      <c r="S59" s="60">
        <f t="shared" si="55"/>
        <v>76.37709745194239</v>
      </c>
      <c r="T59" s="60">
        <f t="shared" si="55"/>
        <v>133.20833801997338</v>
      </c>
      <c r="U59" s="60">
        <f t="shared" si="55"/>
        <v>261.25713164293336</v>
      </c>
      <c r="V59" s="60">
        <f t="shared" si="55"/>
        <v>39.172934622937525</v>
      </c>
      <c r="W59" s="60">
        <f t="shared" si="55"/>
        <v>79.736615086886701</v>
      </c>
      <c r="X59" s="60">
        <f t="shared" si="55"/>
        <v>85.234554530774105</v>
      </c>
      <c r="Y59" s="60">
        <f t="shared" si="55"/>
        <v>114.04408518850414</v>
      </c>
      <c r="Z59" s="60">
        <f t="shared" si="55"/>
        <v>60.256898583204141</v>
      </c>
      <c r="AA59" s="60">
        <f t="shared" si="55"/>
        <v>16.90805334901021</v>
      </c>
      <c r="AB59" s="60">
        <f t="shared" si="55"/>
        <v>19.391778120329658</v>
      </c>
      <c r="AC59" s="60">
        <f t="shared" si="55"/>
        <v>3.0060027666907105</v>
      </c>
      <c r="AD59" s="60">
        <f t="shared" si="55"/>
        <v>50.697179949191906</v>
      </c>
      <c r="AE59" s="60">
        <f t="shared" si="55"/>
        <v>119.50426155264552</v>
      </c>
      <c r="AF59" s="60">
        <f t="shared" si="55"/>
        <v>142.13975589612977</v>
      </c>
      <c r="AG59" s="60">
        <f t="shared" si="55"/>
        <v>127.65706959247322</v>
      </c>
      <c r="AH59" s="60">
        <f t="shared" si="55"/>
        <v>136.10346079835736</v>
      </c>
      <c r="AI59" s="60">
        <f t="shared" ref="AI59:BB59" si="56">IFERROR(AI7/$B59,".")</f>
        <v>61.906890722549775</v>
      </c>
      <c r="AJ59" s="60">
        <f t="shared" si="56"/>
        <v>188.76225582014735</v>
      </c>
      <c r="AK59" s="60">
        <f t="shared" si="56"/>
        <v>14.697707956162731</v>
      </c>
      <c r="AL59" s="60">
        <f t="shared" si="56"/>
        <v>57.481285346637037</v>
      </c>
      <c r="AM59" s="60">
        <f t="shared" si="56"/>
        <v>87.320076856333202</v>
      </c>
      <c r="AN59" s="60">
        <f t="shared" si="56"/>
        <v>119.21587959498017</v>
      </c>
      <c r="AO59" s="60">
        <f t="shared" si="56"/>
        <v>128.65508205297408</v>
      </c>
      <c r="AP59" s="60">
        <f t="shared" si="56"/>
        <v>157.30550568735066</v>
      </c>
      <c r="AQ59" s="60">
        <f t="shared" si="56"/>
        <v>176.15483018481075</v>
      </c>
      <c r="AR59" s="60">
        <f t="shared" si="56"/>
        <v>41.846128282341205</v>
      </c>
      <c r="AS59" s="60">
        <f t="shared" si="56"/>
        <v>68.235641994702533</v>
      </c>
      <c r="AT59" s="60">
        <f t="shared" si="56"/>
        <v>143.1277289661131</v>
      </c>
      <c r="AU59" s="60">
        <f t="shared" si="56"/>
        <v>195.88492708107734</v>
      </c>
      <c r="AV59" s="60">
        <f t="shared" si="56"/>
        <v>33.343828649176167</v>
      </c>
      <c r="AW59" s="60">
        <f t="shared" si="56"/>
        <v>75.015615953757063</v>
      </c>
      <c r="AX59" s="60">
        <f t="shared" si="56"/>
        <v>80.697577946526906</v>
      </c>
      <c r="AY59" s="60">
        <f t="shared" si="56"/>
        <v>110.95056373703392</v>
      </c>
      <c r="AZ59" s="60">
        <f t="shared" si="56"/>
        <v>48.885444209500307</v>
      </c>
      <c r="BA59" s="60">
        <f t="shared" si="56"/>
        <v>13.395065968305527</v>
      </c>
      <c r="BB59" s="60">
        <f t="shared" si="56"/>
        <v>15.457664561823536</v>
      </c>
    </row>
    <row r="60" spans="1:54" x14ac:dyDescent="0.25">
      <c r="A60" s="182" t="s">
        <v>1081</v>
      </c>
      <c r="B60" s="186">
        <v>1.9000000000000001E-8</v>
      </c>
      <c r="C60" s="60" t="str">
        <f t="shared" ref="C60:AH60" si="57">IFERROR(C12/$B60,".")</f>
        <v>.</v>
      </c>
      <c r="D60" s="60" t="str">
        <f t="shared" si="57"/>
        <v>.</v>
      </c>
      <c r="E60" s="60" t="str">
        <f t="shared" si="57"/>
        <v>.</v>
      </c>
      <c r="F60" s="60" t="str">
        <f t="shared" si="57"/>
        <v>.</v>
      </c>
      <c r="G60" s="60" t="str">
        <f t="shared" si="57"/>
        <v>.</v>
      </c>
      <c r="H60" s="60" t="str">
        <f t="shared" si="57"/>
        <v>.</v>
      </c>
      <c r="I60" s="60" t="str">
        <f t="shared" si="57"/>
        <v>.</v>
      </c>
      <c r="J60" s="60" t="str">
        <f t="shared" si="57"/>
        <v>.</v>
      </c>
      <c r="K60" s="60" t="str">
        <f t="shared" si="57"/>
        <v>.</v>
      </c>
      <c r="L60" s="60" t="str">
        <f t="shared" si="57"/>
        <v>.</v>
      </c>
      <c r="M60" s="60" t="str">
        <f t="shared" si="57"/>
        <v>.</v>
      </c>
      <c r="N60" s="60" t="str">
        <f t="shared" si="57"/>
        <v>.</v>
      </c>
      <c r="O60" s="60" t="str">
        <f t="shared" si="57"/>
        <v>.</v>
      </c>
      <c r="P60" s="60" t="str">
        <f t="shared" si="57"/>
        <v>.</v>
      </c>
      <c r="Q60" s="60" t="str">
        <f t="shared" si="57"/>
        <v>.</v>
      </c>
      <c r="R60" s="60" t="str">
        <f t="shared" si="57"/>
        <v>.</v>
      </c>
      <c r="S60" s="60" t="str">
        <f t="shared" si="57"/>
        <v>.</v>
      </c>
      <c r="T60" s="60" t="str">
        <f t="shared" si="57"/>
        <v>.</v>
      </c>
      <c r="U60" s="60" t="str">
        <f t="shared" si="57"/>
        <v>.</v>
      </c>
      <c r="V60" s="60" t="str">
        <f t="shared" si="57"/>
        <v>.</v>
      </c>
      <c r="W60" s="60" t="str">
        <f t="shared" si="57"/>
        <v>.</v>
      </c>
      <c r="X60" s="60" t="str">
        <f t="shared" si="57"/>
        <v>.</v>
      </c>
      <c r="Y60" s="60" t="str">
        <f t="shared" si="57"/>
        <v>.</v>
      </c>
      <c r="Z60" s="60" t="str">
        <f t="shared" si="57"/>
        <v>.</v>
      </c>
      <c r="AA60" s="60" t="str">
        <f t="shared" si="57"/>
        <v>.</v>
      </c>
      <c r="AB60" s="60" t="str">
        <f t="shared" si="57"/>
        <v>.</v>
      </c>
      <c r="AC60" s="60" t="str">
        <f t="shared" si="57"/>
        <v>.</v>
      </c>
      <c r="AD60" s="60" t="str">
        <f t="shared" si="57"/>
        <v>.</v>
      </c>
      <c r="AE60" s="60" t="str">
        <f t="shared" si="57"/>
        <v>.</v>
      </c>
      <c r="AF60" s="60" t="str">
        <f t="shared" si="57"/>
        <v>.</v>
      </c>
      <c r="AG60" s="60" t="str">
        <f t="shared" si="57"/>
        <v>.</v>
      </c>
      <c r="AH60" s="60" t="str">
        <f t="shared" si="57"/>
        <v>.</v>
      </c>
      <c r="AI60" s="60" t="str">
        <f t="shared" ref="AI60:BB60" si="58">IFERROR(AI12/$B60,".")</f>
        <v>.</v>
      </c>
      <c r="AJ60" s="60" t="str">
        <f t="shared" si="58"/>
        <v>.</v>
      </c>
      <c r="AK60" s="60" t="str">
        <f t="shared" si="58"/>
        <v>.</v>
      </c>
      <c r="AL60" s="60" t="str">
        <f t="shared" si="58"/>
        <v>.</v>
      </c>
      <c r="AM60" s="60" t="str">
        <f t="shared" si="58"/>
        <v>.</v>
      </c>
      <c r="AN60" s="60" t="str">
        <f t="shared" si="58"/>
        <v>.</v>
      </c>
      <c r="AO60" s="60" t="str">
        <f t="shared" si="58"/>
        <v>.</v>
      </c>
      <c r="AP60" s="60" t="str">
        <f t="shared" si="58"/>
        <v>.</v>
      </c>
      <c r="AQ60" s="60" t="str">
        <f t="shared" si="58"/>
        <v>.</v>
      </c>
      <c r="AR60" s="60" t="str">
        <f t="shared" si="58"/>
        <v>.</v>
      </c>
      <c r="AS60" s="60" t="str">
        <f t="shared" si="58"/>
        <v>.</v>
      </c>
      <c r="AT60" s="60" t="str">
        <f t="shared" si="58"/>
        <v>.</v>
      </c>
      <c r="AU60" s="60" t="str">
        <f t="shared" si="58"/>
        <v>.</v>
      </c>
      <c r="AV60" s="60" t="str">
        <f t="shared" si="58"/>
        <v>.</v>
      </c>
      <c r="AW60" s="60" t="str">
        <f t="shared" si="58"/>
        <v>.</v>
      </c>
      <c r="AX60" s="60" t="str">
        <f t="shared" si="58"/>
        <v>.</v>
      </c>
      <c r="AY60" s="60" t="str">
        <f t="shared" si="58"/>
        <v>.</v>
      </c>
      <c r="AZ60" s="60" t="str">
        <f t="shared" si="58"/>
        <v>.</v>
      </c>
      <c r="BA60" s="60" t="str">
        <f t="shared" si="58"/>
        <v>.</v>
      </c>
      <c r="BB60" s="60" t="str">
        <f t="shared" si="58"/>
        <v>.</v>
      </c>
    </row>
    <row r="61" spans="1:54" x14ac:dyDescent="0.25">
      <c r="A61" s="182" t="s">
        <v>1082</v>
      </c>
      <c r="B61" s="183">
        <v>1</v>
      </c>
      <c r="C61" s="60">
        <f t="shared" ref="C61:AH61" si="59">IFERROR(C18/$B61,".")</f>
        <v>0.14838416644195954</v>
      </c>
      <c r="D61" s="60">
        <f t="shared" si="59"/>
        <v>16.684800667408041</v>
      </c>
      <c r="E61" s="60">
        <f t="shared" si="59"/>
        <v>1.7552074513531759</v>
      </c>
      <c r="F61" s="60">
        <f t="shared" si="59"/>
        <v>2.6665282419236793</v>
      </c>
      <c r="G61" s="60">
        <f t="shared" si="59"/>
        <v>36.903024625684473</v>
      </c>
      <c r="H61" s="60">
        <f t="shared" si="59"/>
        <v>13.750450184797479</v>
      </c>
      <c r="I61" s="60">
        <f t="shared" si="59"/>
        <v>0.86158098186488041</v>
      </c>
      <c r="J61" s="60">
        <f t="shared" si="59"/>
        <v>3.0917886497784384</v>
      </c>
      <c r="K61" s="60">
        <f t="shared" si="59"/>
        <v>4.3616127945302212</v>
      </c>
      <c r="L61" s="60">
        <f t="shared" si="59"/>
        <v>22.173023700970923</v>
      </c>
      <c r="M61" s="60">
        <f t="shared" si="59"/>
        <v>26.643672537818389</v>
      </c>
      <c r="N61" s="60">
        <f t="shared" si="59"/>
        <v>0.72699986459454835</v>
      </c>
      <c r="O61" s="60">
        <f t="shared" si="59"/>
        <v>3.4535763887813089</v>
      </c>
      <c r="P61" s="60">
        <f t="shared" si="59"/>
        <v>61.631597311962537</v>
      </c>
      <c r="Q61" s="60">
        <f t="shared" si="59"/>
        <v>4.1775049632613763</v>
      </c>
      <c r="R61" s="60">
        <f t="shared" si="59"/>
        <v>11.017048583156427</v>
      </c>
      <c r="S61" s="60">
        <f t="shared" si="59"/>
        <v>21.856943087961568</v>
      </c>
      <c r="T61" s="60">
        <f t="shared" si="59"/>
        <v>30.637985708031646</v>
      </c>
      <c r="U61" s="60">
        <f t="shared" si="59"/>
        <v>11.350712442449389</v>
      </c>
      <c r="V61" s="60">
        <f t="shared" si="59"/>
        <v>1.3875180366060333</v>
      </c>
      <c r="W61" s="60">
        <f t="shared" si="59"/>
        <v>31.807121192147683</v>
      </c>
      <c r="X61" s="60">
        <f t="shared" si="59"/>
        <v>1.7467422939892987</v>
      </c>
      <c r="Y61" s="60">
        <f t="shared" si="59"/>
        <v>41.927260575914062</v>
      </c>
      <c r="Z61" s="60">
        <f t="shared" si="59"/>
        <v>3.2018042708811705</v>
      </c>
      <c r="AA61" s="60">
        <f t="shared" si="59"/>
        <v>2.3647627061552736E-2</v>
      </c>
      <c r="AB61" s="60">
        <f t="shared" si="59"/>
        <v>2.7897379009425655E-2</v>
      </c>
      <c r="AC61" s="60">
        <f t="shared" si="59"/>
        <v>0.13658701952912772</v>
      </c>
      <c r="AD61" s="60">
        <f t="shared" si="59"/>
        <v>14.508084410603029</v>
      </c>
      <c r="AE61" s="60">
        <f t="shared" si="59"/>
        <v>1.6448158146023324</v>
      </c>
      <c r="AF61" s="60">
        <f t="shared" si="59"/>
        <v>2.4655212025855708</v>
      </c>
      <c r="AG61" s="60">
        <f t="shared" si="59"/>
        <v>35.93507643878128</v>
      </c>
      <c r="AH61" s="60">
        <f t="shared" si="59"/>
        <v>11.6864505480216</v>
      </c>
      <c r="AI61" s="60">
        <f t="shared" ref="AI61:BB61" si="60">IFERROR(AI18/$B61,".")</f>
        <v>0.84933402359611843</v>
      </c>
      <c r="AJ61" s="60">
        <f t="shared" si="60"/>
        <v>3.2956383572753918</v>
      </c>
      <c r="AK61" s="60">
        <f t="shared" si="60"/>
        <v>4.2412821198522668</v>
      </c>
      <c r="AL61" s="60">
        <f t="shared" si="60"/>
        <v>15.379048575688518</v>
      </c>
      <c r="AM61" s="60">
        <f t="shared" si="60"/>
        <v>37.437859237318179</v>
      </c>
      <c r="AN61" s="60">
        <f t="shared" si="60"/>
        <v>0.66591399046491995</v>
      </c>
      <c r="AO61" s="60">
        <f t="shared" si="60"/>
        <v>3.3512004049071131</v>
      </c>
      <c r="AP61" s="60">
        <f t="shared" si="60"/>
        <v>57.831924523555301</v>
      </c>
      <c r="AQ61" s="60">
        <f t="shared" si="60"/>
        <v>3.0755227662119924</v>
      </c>
      <c r="AR61" s="60">
        <f t="shared" si="60"/>
        <v>12.316084155849223</v>
      </c>
      <c r="AS61" s="60">
        <f t="shared" si="60"/>
        <v>19.527091149112589</v>
      </c>
      <c r="AT61" s="60">
        <f t="shared" si="60"/>
        <v>32.919450686557532</v>
      </c>
      <c r="AU61" s="60">
        <f t="shared" si="60"/>
        <v>8.5105178378299637</v>
      </c>
      <c r="AV61" s="60">
        <f t="shared" si="60"/>
        <v>1.181049214350731</v>
      </c>
      <c r="AW61" s="60">
        <f t="shared" si="60"/>
        <v>29.923903658874519</v>
      </c>
      <c r="AX61" s="60">
        <f t="shared" si="60"/>
        <v>1.6537644057352761</v>
      </c>
      <c r="AY61" s="60">
        <f t="shared" si="60"/>
        <v>40.789955824171912</v>
      </c>
      <c r="AZ61" s="60">
        <f t="shared" si="60"/>
        <v>2.5975718587270555</v>
      </c>
      <c r="BA61" s="60">
        <f t="shared" si="60"/>
        <v>1.8335451515551292E-2</v>
      </c>
      <c r="BB61" s="60">
        <f t="shared" si="60"/>
        <v>2.223768878778961E-2</v>
      </c>
    </row>
    <row r="62" spans="1:54" x14ac:dyDescent="0.25">
      <c r="A62" s="182" t="s">
        <v>1083</v>
      </c>
      <c r="B62" s="183">
        <v>1.339E-6</v>
      </c>
      <c r="C62" s="60" t="str">
        <f t="shared" ref="C62:AH62" si="61">IFERROR(C27/$B62,".")</f>
        <v>.</v>
      </c>
      <c r="D62" s="60" t="str">
        <f t="shared" si="61"/>
        <v>.</v>
      </c>
      <c r="E62" s="60" t="str">
        <f t="shared" si="61"/>
        <v>.</v>
      </c>
      <c r="F62" s="60" t="str">
        <f t="shared" si="61"/>
        <v>.</v>
      </c>
      <c r="G62" s="60" t="str">
        <f t="shared" si="61"/>
        <v>.</v>
      </c>
      <c r="H62" s="60" t="str">
        <f t="shared" si="61"/>
        <v>.</v>
      </c>
      <c r="I62" s="60" t="str">
        <f t="shared" si="61"/>
        <v>.</v>
      </c>
      <c r="J62" s="60" t="str">
        <f t="shared" si="61"/>
        <v>.</v>
      </c>
      <c r="K62" s="60" t="str">
        <f t="shared" si="61"/>
        <v>.</v>
      </c>
      <c r="L62" s="60" t="str">
        <f t="shared" si="61"/>
        <v>.</v>
      </c>
      <c r="M62" s="60" t="str">
        <f t="shared" si="61"/>
        <v>.</v>
      </c>
      <c r="N62" s="60" t="str">
        <f t="shared" si="61"/>
        <v>.</v>
      </c>
      <c r="O62" s="60" t="str">
        <f t="shared" si="61"/>
        <v>.</v>
      </c>
      <c r="P62" s="60" t="str">
        <f t="shared" si="61"/>
        <v>.</v>
      </c>
      <c r="Q62" s="60" t="str">
        <f t="shared" si="61"/>
        <v>.</v>
      </c>
      <c r="R62" s="60" t="str">
        <f t="shared" si="61"/>
        <v>.</v>
      </c>
      <c r="S62" s="60" t="str">
        <f t="shared" si="61"/>
        <v>.</v>
      </c>
      <c r="T62" s="60" t="str">
        <f t="shared" si="61"/>
        <v>.</v>
      </c>
      <c r="U62" s="60" t="str">
        <f t="shared" si="61"/>
        <v>.</v>
      </c>
      <c r="V62" s="60" t="str">
        <f t="shared" si="61"/>
        <v>.</v>
      </c>
      <c r="W62" s="60" t="str">
        <f t="shared" si="61"/>
        <v>.</v>
      </c>
      <c r="X62" s="60" t="str">
        <f t="shared" si="61"/>
        <v>.</v>
      </c>
      <c r="Y62" s="60" t="str">
        <f t="shared" si="61"/>
        <v>.</v>
      </c>
      <c r="Z62" s="60" t="str">
        <f t="shared" si="61"/>
        <v>.</v>
      </c>
      <c r="AA62" s="60" t="str">
        <f t="shared" si="61"/>
        <v>.</v>
      </c>
      <c r="AB62" s="60" t="str">
        <f t="shared" si="61"/>
        <v>.</v>
      </c>
      <c r="AC62" s="60" t="str">
        <f t="shared" si="61"/>
        <v>.</v>
      </c>
      <c r="AD62" s="60" t="str">
        <f t="shared" si="61"/>
        <v>.</v>
      </c>
      <c r="AE62" s="60" t="str">
        <f t="shared" si="61"/>
        <v>.</v>
      </c>
      <c r="AF62" s="60" t="str">
        <f t="shared" si="61"/>
        <v>.</v>
      </c>
      <c r="AG62" s="60" t="str">
        <f t="shared" si="61"/>
        <v>.</v>
      </c>
      <c r="AH62" s="60" t="str">
        <f t="shared" si="61"/>
        <v>.</v>
      </c>
      <c r="AI62" s="60" t="str">
        <f t="shared" ref="AI62:BB62" si="62">IFERROR(AI27/$B62,".")</f>
        <v>.</v>
      </c>
      <c r="AJ62" s="60" t="str">
        <f t="shared" si="62"/>
        <v>.</v>
      </c>
      <c r="AK62" s="60" t="str">
        <f t="shared" si="62"/>
        <v>.</v>
      </c>
      <c r="AL62" s="60" t="str">
        <f t="shared" si="62"/>
        <v>.</v>
      </c>
      <c r="AM62" s="60" t="str">
        <f t="shared" si="62"/>
        <v>.</v>
      </c>
      <c r="AN62" s="60" t="str">
        <f t="shared" si="62"/>
        <v>.</v>
      </c>
      <c r="AO62" s="60" t="str">
        <f t="shared" si="62"/>
        <v>.</v>
      </c>
      <c r="AP62" s="60" t="str">
        <f t="shared" si="62"/>
        <v>.</v>
      </c>
      <c r="AQ62" s="60" t="str">
        <f t="shared" si="62"/>
        <v>.</v>
      </c>
      <c r="AR62" s="60" t="str">
        <f t="shared" si="62"/>
        <v>.</v>
      </c>
      <c r="AS62" s="60" t="str">
        <f t="shared" si="62"/>
        <v>.</v>
      </c>
      <c r="AT62" s="60" t="str">
        <f t="shared" si="62"/>
        <v>.</v>
      </c>
      <c r="AU62" s="60" t="str">
        <f t="shared" si="62"/>
        <v>.</v>
      </c>
      <c r="AV62" s="60" t="str">
        <f t="shared" si="62"/>
        <v>.</v>
      </c>
      <c r="AW62" s="60" t="str">
        <f t="shared" si="62"/>
        <v>.</v>
      </c>
      <c r="AX62" s="60" t="str">
        <f t="shared" si="62"/>
        <v>.</v>
      </c>
      <c r="AY62" s="60" t="str">
        <f t="shared" si="62"/>
        <v>.</v>
      </c>
      <c r="AZ62" s="60" t="str">
        <f t="shared" si="62"/>
        <v>.</v>
      </c>
      <c r="BA62" s="60" t="str">
        <f t="shared" si="62"/>
        <v>.</v>
      </c>
      <c r="BB62" s="60" t="str">
        <f t="shared" si="62"/>
        <v>.</v>
      </c>
    </row>
    <row r="63" spans="1:54" x14ac:dyDescent="0.25">
      <c r="A63" s="89" t="s">
        <v>23</v>
      </c>
      <c r="B63" s="89" t="s">
        <v>1057</v>
      </c>
      <c r="C63" s="90">
        <f t="shared" ref="C63:AH63" si="63">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2.6397143351962173E-2</v>
      </c>
      <c r="D63" s="58">
        <f t="shared" si="63"/>
        <v>0.93932238049800376</v>
      </c>
      <c r="E63" s="58">
        <f t="shared" si="63"/>
        <v>0.24186816495607863</v>
      </c>
      <c r="F63" s="58">
        <f t="shared" si="63"/>
        <v>1.0644932377108185</v>
      </c>
      <c r="G63" s="58">
        <f t="shared" si="63"/>
        <v>2.1090610989923766</v>
      </c>
      <c r="H63" s="58">
        <f t="shared" si="63"/>
        <v>1.5613986819247709</v>
      </c>
      <c r="I63" s="58">
        <f t="shared" si="63"/>
        <v>0.11904854223248112</v>
      </c>
      <c r="J63" s="58">
        <f t="shared" si="63"/>
        <v>1.2311129133455476</v>
      </c>
      <c r="K63" s="58">
        <f t="shared" si="63"/>
        <v>0.24368530888290568</v>
      </c>
      <c r="L63" s="58">
        <f t="shared" si="63"/>
        <v>6.6659557191153</v>
      </c>
      <c r="M63" s="58">
        <f t="shared" si="63"/>
        <v>0.70120330342512582</v>
      </c>
      <c r="N63" s="58">
        <f t="shared" si="63"/>
        <v>0.20115790299605277</v>
      </c>
      <c r="O63" s="58">
        <f t="shared" si="63"/>
        <v>1.4845276445870601</v>
      </c>
      <c r="P63" s="58">
        <f t="shared" si="63"/>
        <v>1.8792861675311223</v>
      </c>
      <c r="Q63" s="58">
        <f t="shared" si="63"/>
        <v>1.6634320415804456</v>
      </c>
      <c r="R63" s="58">
        <f t="shared" si="63"/>
        <v>0.60450743352411362</v>
      </c>
      <c r="S63" s="58">
        <f t="shared" si="63"/>
        <v>1.2305041109599826</v>
      </c>
      <c r="T63" s="58">
        <f t="shared" si="63"/>
        <v>3.657210434703611</v>
      </c>
      <c r="U63" s="58">
        <f t="shared" si="63"/>
        <v>2.1848082755871578</v>
      </c>
      <c r="V63" s="58">
        <f t="shared" si="63"/>
        <v>1.004775941869458</v>
      </c>
      <c r="W63" s="58">
        <f t="shared" si="63"/>
        <v>0.89707115779970348</v>
      </c>
      <c r="X63" s="58">
        <f t="shared" si="63"/>
        <v>0.80808496643933736</v>
      </c>
      <c r="Y63" s="58">
        <f t="shared" si="63"/>
        <v>1.8730049972261293</v>
      </c>
      <c r="Z63" s="58">
        <f t="shared" si="63"/>
        <v>0.53184486888259008</v>
      </c>
      <c r="AA63" s="58">
        <f t="shared" si="63"/>
        <v>1.3521329352760328E-2</v>
      </c>
      <c r="AB63" s="58">
        <f t="shared" si="63"/>
        <v>1.7331918688287831E-2</v>
      </c>
      <c r="AC63" s="90">
        <f t="shared" si="63"/>
        <v>2.5053748204208665E-2</v>
      </c>
      <c r="AD63" s="58">
        <f t="shared" si="63"/>
        <v>0.81677741656536496</v>
      </c>
      <c r="AE63" s="58">
        <f t="shared" si="63"/>
        <v>0.22665616104916722</v>
      </c>
      <c r="AF63" s="58">
        <f t="shared" si="63"/>
        <v>0.98425008455624063</v>
      </c>
      <c r="AG63" s="58">
        <f t="shared" si="63"/>
        <v>2.0537414636089699</v>
      </c>
      <c r="AH63" s="58">
        <f t="shared" si="63"/>
        <v>1.3270262600008609</v>
      </c>
      <c r="AI63" s="58">
        <f t="shared" ref="AI63:BB63" si="64">IFERROR(1/SUM(IFERROR(1/SUMIF(AI64,"&lt;&gt;.",AI64),0),IFERROR(1/SUMIF(AI65,"&lt;&gt;.",AI65),0),IFERROR(1/SUMIF(AI66,"&lt;&gt;.",AI66),0),IFERROR(1/SUMIF(AI67,"&lt;&gt;.",AI67),0),IFERROR(1/SUMIF(AI68,"&lt;&gt;.",AI68),0),IFERROR(1/SUMIF(AI69,"&lt;&gt;.",AI69),0),IFERROR(1/SUMIF(AI70,"&lt;&gt;.",AI70),0),IFERROR(1/SUMIF(AI71,"&lt;&gt;.",AI71),0),IFERROR(1/SUMIF(AI72,"&lt;&gt;.",AI72),0),IFERROR(1/SUMIF(AI73,"&lt;&gt;.",AI73),0),IFERROR(1/SUMIF(AI74,"&lt;&gt;.",AI74),0),IFERROR(1/SUMIF(AI75,"&lt;&gt;.",AI75),0),IFERROR(1/SUMIF(AI76,"&lt;&gt;.",AI76),0)),".")</f>
        <v>0.11735632460074746</v>
      </c>
      <c r="AJ63" s="58">
        <f t="shared" si="64"/>
        <v>1.3122834058044019</v>
      </c>
      <c r="AK63" s="58">
        <f t="shared" si="64"/>
        <v>0.23696237885487592</v>
      </c>
      <c r="AL63" s="58">
        <f t="shared" si="64"/>
        <v>4.623458585992215</v>
      </c>
      <c r="AM63" s="58">
        <f t="shared" si="64"/>
        <v>0.98528273582069281</v>
      </c>
      <c r="AN63" s="58">
        <f t="shared" si="64"/>
        <v>0.18425569029832423</v>
      </c>
      <c r="AO63" s="58">
        <f t="shared" si="64"/>
        <v>1.4405210956956735</v>
      </c>
      <c r="AP63" s="58">
        <f t="shared" si="64"/>
        <v>1.7634255891292037</v>
      </c>
      <c r="AQ63" s="58">
        <f t="shared" si="64"/>
        <v>1.2246360348865164</v>
      </c>
      <c r="AR63" s="58">
        <f t="shared" si="64"/>
        <v>0.67578574859895424</v>
      </c>
      <c r="AS63" s="58">
        <f t="shared" si="64"/>
        <v>1.0993379008845765</v>
      </c>
      <c r="AT63" s="58">
        <f t="shared" si="64"/>
        <v>3.9295454898011934</v>
      </c>
      <c r="AU63" s="58">
        <f t="shared" si="64"/>
        <v>1.6381218267926305</v>
      </c>
      <c r="AV63" s="58">
        <f t="shared" si="64"/>
        <v>0.85526083656985519</v>
      </c>
      <c r="AW63" s="58">
        <f t="shared" si="64"/>
        <v>0.84395789040412672</v>
      </c>
      <c r="AX63" s="58">
        <f t="shared" si="64"/>
        <v>0.76507116070056558</v>
      </c>
      <c r="AY63" s="58">
        <f t="shared" si="64"/>
        <v>1.8221984943895049</v>
      </c>
      <c r="AZ63" s="58">
        <f t="shared" si="64"/>
        <v>0.43147711344566114</v>
      </c>
      <c r="BA63" s="58">
        <f t="shared" si="64"/>
        <v>1.1781591130929463E-2</v>
      </c>
      <c r="BB63" s="58">
        <f t="shared" si="64"/>
        <v>1.381569981019355E-2</v>
      </c>
    </row>
    <row r="64" spans="1:54" x14ac:dyDescent="0.25">
      <c r="A64" s="182" t="s">
        <v>1073</v>
      </c>
      <c r="B64" s="183">
        <v>1</v>
      </c>
      <c r="C64" s="60" t="str">
        <f t="shared" ref="C64:AH64" si="65">IFERROR(C25/$B50,".")</f>
        <v>.</v>
      </c>
      <c r="D64" s="60" t="str">
        <f t="shared" si="65"/>
        <v>.</v>
      </c>
      <c r="E64" s="60" t="str">
        <f t="shared" si="65"/>
        <v>.</v>
      </c>
      <c r="F64" s="60" t="str">
        <f t="shared" si="65"/>
        <v>.</v>
      </c>
      <c r="G64" s="60" t="str">
        <f t="shared" si="65"/>
        <v>.</v>
      </c>
      <c r="H64" s="60" t="str">
        <f t="shared" si="65"/>
        <v>.</v>
      </c>
      <c r="I64" s="60" t="str">
        <f t="shared" si="65"/>
        <v>.</v>
      </c>
      <c r="J64" s="60" t="str">
        <f t="shared" si="65"/>
        <v>.</v>
      </c>
      <c r="K64" s="60" t="str">
        <f t="shared" si="65"/>
        <v>.</v>
      </c>
      <c r="L64" s="60" t="str">
        <f t="shared" si="65"/>
        <v>.</v>
      </c>
      <c r="M64" s="60" t="str">
        <f t="shared" si="65"/>
        <v>.</v>
      </c>
      <c r="N64" s="60" t="str">
        <f t="shared" si="65"/>
        <v>.</v>
      </c>
      <c r="O64" s="60" t="str">
        <f t="shared" si="65"/>
        <v>.</v>
      </c>
      <c r="P64" s="60" t="str">
        <f t="shared" si="65"/>
        <v>.</v>
      </c>
      <c r="Q64" s="60" t="str">
        <f t="shared" si="65"/>
        <v>.</v>
      </c>
      <c r="R64" s="60" t="str">
        <f t="shared" si="65"/>
        <v>.</v>
      </c>
      <c r="S64" s="60" t="str">
        <f t="shared" si="65"/>
        <v>.</v>
      </c>
      <c r="T64" s="60" t="str">
        <f t="shared" si="65"/>
        <v>.</v>
      </c>
      <c r="U64" s="60" t="str">
        <f t="shared" si="65"/>
        <v>.</v>
      </c>
      <c r="V64" s="60" t="str">
        <f t="shared" si="65"/>
        <v>.</v>
      </c>
      <c r="W64" s="60" t="str">
        <f t="shared" si="65"/>
        <v>.</v>
      </c>
      <c r="X64" s="60" t="str">
        <f t="shared" si="65"/>
        <v>.</v>
      </c>
      <c r="Y64" s="60" t="str">
        <f t="shared" si="65"/>
        <v>.</v>
      </c>
      <c r="Z64" s="60" t="str">
        <f t="shared" si="65"/>
        <v>.</v>
      </c>
      <c r="AA64" s="60" t="str">
        <f t="shared" si="65"/>
        <v>.</v>
      </c>
      <c r="AB64" s="60" t="str">
        <f t="shared" si="65"/>
        <v>.</v>
      </c>
      <c r="AC64" s="60" t="str">
        <f t="shared" si="65"/>
        <v>.</v>
      </c>
      <c r="AD64" s="60" t="str">
        <f t="shared" si="65"/>
        <v>.</v>
      </c>
      <c r="AE64" s="60" t="str">
        <f t="shared" si="65"/>
        <v>.</v>
      </c>
      <c r="AF64" s="60" t="str">
        <f t="shared" si="65"/>
        <v>.</v>
      </c>
      <c r="AG64" s="60" t="str">
        <f t="shared" si="65"/>
        <v>.</v>
      </c>
      <c r="AH64" s="60" t="str">
        <f t="shared" si="65"/>
        <v>.</v>
      </c>
      <c r="AI64" s="60" t="str">
        <f t="shared" ref="AI64:BB64" si="66">IFERROR(AI25/$B50,".")</f>
        <v>.</v>
      </c>
      <c r="AJ64" s="60" t="str">
        <f t="shared" si="66"/>
        <v>.</v>
      </c>
      <c r="AK64" s="60" t="str">
        <f t="shared" si="66"/>
        <v>.</v>
      </c>
      <c r="AL64" s="60" t="str">
        <f t="shared" si="66"/>
        <v>.</v>
      </c>
      <c r="AM64" s="60" t="str">
        <f t="shared" si="66"/>
        <v>.</v>
      </c>
      <c r="AN64" s="60" t="str">
        <f t="shared" si="66"/>
        <v>.</v>
      </c>
      <c r="AO64" s="60" t="str">
        <f t="shared" si="66"/>
        <v>.</v>
      </c>
      <c r="AP64" s="60" t="str">
        <f t="shared" si="66"/>
        <v>.</v>
      </c>
      <c r="AQ64" s="60" t="str">
        <f t="shared" si="66"/>
        <v>.</v>
      </c>
      <c r="AR64" s="60" t="str">
        <f t="shared" si="66"/>
        <v>.</v>
      </c>
      <c r="AS64" s="60" t="str">
        <f t="shared" si="66"/>
        <v>.</v>
      </c>
      <c r="AT64" s="60" t="str">
        <f t="shared" si="66"/>
        <v>.</v>
      </c>
      <c r="AU64" s="60" t="str">
        <f t="shared" si="66"/>
        <v>.</v>
      </c>
      <c r="AV64" s="60" t="str">
        <f t="shared" si="66"/>
        <v>.</v>
      </c>
      <c r="AW64" s="60" t="str">
        <f t="shared" si="66"/>
        <v>.</v>
      </c>
      <c r="AX64" s="60" t="str">
        <f t="shared" si="66"/>
        <v>.</v>
      </c>
      <c r="AY64" s="60" t="str">
        <f t="shared" si="66"/>
        <v>.</v>
      </c>
      <c r="AZ64" s="60" t="str">
        <f t="shared" si="66"/>
        <v>.</v>
      </c>
      <c r="BA64" s="60" t="str">
        <f t="shared" si="66"/>
        <v>.</v>
      </c>
      <c r="BB64" s="60" t="str">
        <f t="shared" si="66"/>
        <v>.</v>
      </c>
    </row>
    <row r="65" spans="1:54" x14ac:dyDescent="0.25">
      <c r="A65" s="182" t="s">
        <v>1059</v>
      </c>
      <c r="B65" s="183">
        <v>1</v>
      </c>
      <c r="C65" s="60" t="str">
        <f t="shared" ref="C65:AH65" si="67">IFERROR(C21/$B51,".")</f>
        <v>.</v>
      </c>
      <c r="D65" s="60" t="str">
        <f t="shared" si="67"/>
        <v>.</v>
      </c>
      <c r="E65" s="60" t="str">
        <f t="shared" si="67"/>
        <v>.</v>
      </c>
      <c r="F65" s="60" t="str">
        <f t="shared" si="67"/>
        <v>.</v>
      </c>
      <c r="G65" s="60" t="str">
        <f t="shared" si="67"/>
        <v>.</v>
      </c>
      <c r="H65" s="60" t="str">
        <f t="shared" si="67"/>
        <v>.</v>
      </c>
      <c r="I65" s="60" t="str">
        <f t="shared" si="67"/>
        <v>.</v>
      </c>
      <c r="J65" s="60" t="str">
        <f t="shared" si="67"/>
        <v>.</v>
      </c>
      <c r="K65" s="60" t="str">
        <f t="shared" si="67"/>
        <v>.</v>
      </c>
      <c r="L65" s="60" t="str">
        <f t="shared" si="67"/>
        <v>.</v>
      </c>
      <c r="M65" s="60" t="str">
        <f t="shared" si="67"/>
        <v>.</v>
      </c>
      <c r="N65" s="60" t="str">
        <f t="shared" si="67"/>
        <v>.</v>
      </c>
      <c r="O65" s="60" t="str">
        <f t="shared" si="67"/>
        <v>.</v>
      </c>
      <c r="P65" s="60" t="str">
        <f t="shared" si="67"/>
        <v>.</v>
      </c>
      <c r="Q65" s="60" t="str">
        <f t="shared" si="67"/>
        <v>.</v>
      </c>
      <c r="R65" s="60" t="str">
        <f t="shared" si="67"/>
        <v>.</v>
      </c>
      <c r="S65" s="60" t="str">
        <f t="shared" si="67"/>
        <v>.</v>
      </c>
      <c r="T65" s="60" t="str">
        <f t="shared" si="67"/>
        <v>.</v>
      </c>
      <c r="U65" s="60" t="str">
        <f t="shared" si="67"/>
        <v>.</v>
      </c>
      <c r="V65" s="60" t="str">
        <f t="shared" si="67"/>
        <v>.</v>
      </c>
      <c r="W65" s="60" t="str">
        <f t="shared" si="67"/>
        <v>.</v>
      </c>
      <c r="X65" s="60" t="str">
        <f t="shared" si="67"/>
        <v>.</v>
      </c>
      <c r="Y65" s="60" t="str">
        <f t="shared" si="67"/>
        <v>.</v>
      </c>
      <c r="Z65" s="60" t="str">
        <f t="shared" si="67"/>
        <v>.</v>
      </c>
      <c r="AA65" s="60" t="str">
        <f t="shared" si="67"/>
        <v>.</v>
      </c>
      <c r="AB65" s="60" t="str">
        <f t="shared" si="67"/>
        <v>.</v>
      </c>
      <c r="AC65" s="60" t="str">
        <f t="shared" si="67"/>
        <v>.</v>
      </c>
      <c r="AD65" s="60" t="str">
        <f t="shared" si="67"/>
        <v>.</v>
      </c>
      <c r="AE65" s="60" t="str">
        <f t="shared" si="67"/>
        <v>.</v>
      </c>
      <c r="AF65" s="60" t="str">
        <f t="shared" si="67"/>
        <v>.</v>
      </c>
      <c r="AG65" s="60" t="str">
        <f t="shared" si="67"/>
        <v>.</v>
      </c>
      <c r="AH65" s="60" t="str">
        <f t="shared" si="67"/>
        <v>.</v>
      </c>
      <c r="AI65" s="60" t="str">
        <f t="shared" ref="AI65:BB65" si="68">IFERROR(AI21/$B51,".")</f>
        <v>.</v>
      </c>
      <c r="AJ65" s="60" t="str">
        <f t="shared" si="68"/>
        <v>.</v>
      </c>
      <c r="AK65" s="60" t="str">
        <f t="shared" si="68"/>
        <v>.</v>
      </c>
      <c r="AL65" s="60" t="str">
        <f t="shared" si="68"/>
        <v>.</v>
      </c>
      <c r="AM65" s="60" t="str">
        <f t="shared" si="68"/>
        <v>.</v>
      </c>
      <c r="AN65" s="60" t="str">
        <f t="shared" si="68"/>
        <v>.</v>
      </c>
      <c r="AO65" s="60" t="str">
        <f t="shared" si="68"/>
        <v>.</v>
      </c>
      <c r="AP65" s="60" t="str">
        <f t="shared" si="68"/>
        <v>.</v>
      </c>
      <c r="AQ65" s="60" t="str">
        <f t="shared" si="68"/>
        <v>.</v>
      </c>
      <c r="AR65" s="60" t="str">
        <f t="shared" si="68"/>
        <v>.</v>
      </c>
      <c r="AS65" s="60" t="str">
        <f t="shared" si="68"/>
        <v>.</v>
      </c>
      <c r="AT65" s="60" t="str">
        <f t="shared" si="68"/>
        <v>.</v>
      </c>
      <c r="AU65" s="60" t="str">
        <f t="shared" si="68"/>
        <v>.</v>
      </c>
      <c r="AV65" s="60" t="str">
        <f t="shared" si="68"/>
        <v>.</v>
      </c>
      <c r="AW65" s="60" t="str">
        <f t="shared" si="68"/>
        <v>.</v>
      </c>
      <c r="AX65" s="60" t="str">
        <f t="shared" si="68"/>
        <v>.</v>
      </c>
      <c r="AY65" s="60" t="str">
        <f t="shared" si="68"/>
        <v>.</v>
      </c>
      <c r="AZ65" s="60" t="str">
        <f t="shared" si="68"/>
        <v>.</v>
      </c>
      <c r="BA65" s="60" t="str">
        <f t="shared" si="68"/>
        <v>.</v>
      </c>
      <c r="BB65" s="60" t="str">
        <f t="shared" si="68"/>
        <v>.</v>
      </c>
    </row>
    <row r="66" spans="1:54" x14ac:dyDescent="0.25">
      <c r="A66" s="182" t="s">
        <v>1060</v>
      </c>
      <c r="B66" s="185">
        <v>0.99980000000000002</v>
      </c>
      <c r="C66" s="60">
        <f t="shared" ref="C66:AH66" si="69">IFERROR(C17/$B52,".")</f>
        <v>166.45641819642543</v>
      </c>
      <c r="D66" s="60">
        <f t="shared" si="69"/>
        <v>5199.9797837080296</v>
      </c>
      <c r="E66" s="60">
        <f t="shared" si="69"/>
        <v>1441.8669455273352</v>
      </c>
      <c r="F66" s="60">
        <f t="shared" si="69"/>
        <v>9200.0400935135276</v>
      </c>
      <c r="G66" s="60">
        <f t="shared" si="69"/>
        <v>11685.970426522776</v>
      </c>
      <c r="H66" s="60">
        <f t="shared" si="69"/>
        <v>9140.7702933336386</v>
      </c>
      <c r="I66" s="60">
        <f t="shared" si="69"/>
        <v>710.00109034869752</v>
      </c>
      <c r="J66" s="60">
        <f t="shared" si="69"/>
        <v>10622.386787301242</v>
      </c>
      <c r="K66" s="60">
        <f t="shared" si="69"/>
        <v>1348.4092144882825</v>
      </c>
      <c r="L66" s="60">
        <f t="shared" si="69"/>
        <v>55825.832251052248</v>
      </c>
      <c r="M66" s="60">
        <f t="shared" si="69"/>
        <v>3739.6360065220183</v>
      </c>
      <c r="N66" s="60">
        <f t="shared" si="69"/>
        <v>1429.3574350559581</v>
      </c>
      <c r="O66" s="60">
        <f t="shared" si="69"/>
        <v>13641.244262384484</v>
      </c>
      <c r="P66" s="60">
        <f t="shared" si="69"/>
        <v>10065.421200038376</v>
      </c>
      <c r="Q66" s="60">
        <f t="shared" si="69"/>
        <v>14352.557225673554</v>
      </c>
      <c r="R66" s="60">
        <f t="shared" si="69"/>
        <v>3341.4818504376221</v>
      </c>
      <c r="S66" s="60">
        <f t="shared" si="69"/>
        <v>6811.9280809312395</v>
      </c>
      <c r="T66" s="60">
        <f t="shared" si="69"/>
        <v>22038.80464044874</v>
      </c>
      <c r="U66" s="60">
        <f t="shared" si="69"/>
        <v>14030.630262347524</v>
      </c>
      <c r="V66" s="60">
        <f t="shared" si="69"/>
        <v>20768.606398161777</v>
      </c>
      <c r="W66" s="60">
        <f t="shared" si="69"/>
        <v>4793.4545805965163</v>
      </c>
      <c r="X66" s="60">
        <f t="shared" si="69"/>
        <v>7860.9324862075928</v>
      </c>
      <c r="Y66" s="60">
        <f t="shared" si="69"/>
        <v>10243.911709177346</v>
      </c>
      <c r="Z66" s="60">
        <f t="shared" si="69"/>
        <v>3308.2611355899171</v>
      </c>
      <c r="AA66" s="60">
        <f t="shared" si="69"/>
        <v>162.23853282726637</v>
      </c>
      <c r="AB66" s="60">
        <f t="shared" si="69"/>
        <v>235.26182769443784</v>
      </c>
      <c r="AC66" s="60">
        <f t="shared" si="69"/>
        <v>159.08262905068455</v>
      </c>
      <c r="AD66" s="60">
        <f t="shared" si="69"/>
        <v>4521.5850725045038</v>
      </c>
      <c r="AE66" s="60">
        <f t="shared" si="69"/>
        <v>1351.1824785881199</v>
      </c>
      <c r="AF66" s="60">
        <f t="shared" si="69"/>
        <v>8506.5267858671195</v>
      </c>
      <c r="AG66" s="60">
        <f t="shared" si="69"/>
        <v>11379.453169433653</v>
      </c>
      <c r="AH66" s="60">
        <f t="shared" si="69"/>
        <v>7768.7027383272361</v>
      </c>
      <c r="AI66" s="60">
        <f t="shared" ref="AI66:BB66" si="70">IFERROR(AI17/$B52,".")</f>
        <v>699.90876715760862</v>
      </c>
      <c r="AJ66" s="60">
        <f t="shared" si="70"/>
        <v>11322.748514700052</v>
      </c>
      <c r="AK66" s="60">
        <f t="shared" si="70"/>
        <v>1311.2085279154569</v>
      </c>
      <c r="AL66" s="60">
        <f t="shared" si="70"/>
        <v>38720.392741454423</v>
      </c>
      <c r="AM66" s="60">
        <f t="shared" si="70"/>
        <v>5254.6797447782192</v>
      </c>
      <c r="AN66" s="60">
        <f t="shared" si="70"/>
        <v>1309.2562457486226</v>
      </c>
      <c r="AO66" s="60">
        <f t="shared" si="70"/>
        <v>13236.870463916786</v>
      </c>
      <c r="AP66" s="60">
        <f t="shared" si="70"/>
        <v>9444.874131558945</v>
      </c>
      <c r="AQ66" s="60">
        <f t="shared" si="70"/>
        <v>10566.502467170765</v>
      </c>
      <c r="AR66" s="60">
        <f t="shared" si="70"/>
        <v>3735.4806384489748</v>
      </c>
      <c r="AS66" s="60">
        <f t="shared" si="70"/>
        <v>6085.8071507175882</v>
      </c>
      <c r="AT66" s="60">
        <f t="shared" si="70"/>
        <v>23679.929531455411</v>
      </c>
      <c r="AU66" s="60">
        <f t="shared" si="70"/>
        <v>10519.862055278909</v>
      </c>
      <c r="AV66" s="60">
        <f t="shared" si="70"/>
        <v>17678.145885373546</v>
      </c>
      <c r="AW66" s="60">
        <f t="shared" si="70"/>
        <v>4509.6465095486883</v>
      </c>
      <c r="AX66" s="60">
        <f t="shared" si="70"/>
        <v>7442.5004686225739</v>
      </c>
      <c r="AY66" s="60">
        <f t="shared" si="70"/>
        <v>9966.0388097023133</v>
      </c>
      <c r="AZ66" s="60">
        <f t="shared" si="70"/>
        <v>2683.9385859035579</v>
      </c>
      <c r="BA66" s="60">
        <f t="shared" si="70"/>
        <v>169.4633155382505</v>
      </c>
      <c r="BB66" s="60">
        <f t="shared" si="70"/>
        <v>187.53300466498555</v>
      </c>
    </row>
    <row r="67" spans="1:54" x14ac:dyDescent="0.25">
      <c r="A67" s="182" t="s">
        <v>1074</v>
      </c>
      <c r="B67" s="183">
        <v>2.0000000000000001E-4</v>
      </c>
      <c r="C67" s="60" t="str">
        <f t="shared" ref="C67:AH67" si="71">IFERROR(C5/$B53,".")</f>
        <v>.</v>
      </c>
      <c r="D67" s="60" t="str">
        <f t="shared" si="71"/>
        <v>.</v>
      </c>
      <c r="E67" s="60" t="str">
        <f t="shared" si="71"/>
        <v>.</v>
      </c>
      <c r="F67" s="60" t="str">
        <f t="shared" si="71"/>
        <v>.</v>
      </c>
      <c r="G67" s="60" t="str">
        <f t="shared" si="71"/>
        <v>.</v>
      </c>
      <c r="H67" s="60" t="str">
        <f t="shared" si="71"/>
        <v>.</v>
      </c>
      <c r="I67" s="60" t="str">
        <f t="shared" si="71"/>
        <v>.</v>
      </c>
      <c r="J67" s="60" t="str">
        <f t="shared" si="71"/>
        <v>.</v>
      </c>
      <c r="K67" s="60" t="str">
        <f t="shared" si="71"/>
        <v>.</v>
      </c>
      <c r="L67" s="60" t="str">
        <f t="shared" si="71"/>
        <v>.</v>
      </c>
      <c r="M67" s="60" t="str">
        <f t="shared" si="71"/>
        <v>.</v>
      </c>
      <c r="N67" s="60" t="str">
        <f t="shared" si="71"/>
        <v>.</v>
      </c>
      <c r="O67" s="60" t="str">
        <f t="shared" si="71"/>
        <v>.</v>
      </c>
      <c r="P67" s="60" t="str">
        <f t="shared" si="71"/>
        <v>.</v>
      </c>
      <c r="Q67" s="60" t="str">
        <f t="shared" si="71"/>
        <v>.</v>
      </c>
      <c r="R67" s="60" t="str">
        <f t="shared" si="71"/>
        <v>.</v>
      </c>
      <c r="S67" s="60" t="str">
        <f t="shared" si="71"/>
        <v>.</v>
      </c>
      <c r="T67" s="60" t="str">
        <f t="shared" si="71"/>
        <v>.</v>
      </c>
      <c r="U67" s="60" t="str">
        <f t="shared" si="71"/>
        <v>.</v>
      </c>
      <c r="V67" s="60" t="str">
        <f t="shared" si="71"/>
        <v>.</v>
      </c>
      <c r="W67" s="60" t="str">
        <f t="shared" si="71"/>
        <v>.</v>
      </c>
      <c r="X67" s="60" t="str">
        <f t="shared" si="71"/>
        <v>.</v>
      </c>
      <c r="Y67" s="60" t="str">
        <f t="shared" si="71"/>
        <v>.</v>
      </c>
      <c r="Z67" s="60" t="str">
        <f t="shared" si="71"/>
        <v>.</v>
      </c>
      <c r="AA67" s="60" t="str">
        <f t="shared" si="71"/>
        <v>.</v>
      </c>
      <c r="AB67" s="60" t="str">
        <f t="shared" si="71"/>
        <v>.</v>
      </c>
      <c r="AC67" s="60" t="str">
        <f t="shared" si="71"/>
        <v>.</v>
      </c>
      <c r="AD67" s="60" t="str">
        <f t="shared" si="71"/>
        <v>.</v>
      </c>
      <c r="AE67" s="60" t="str">
        <f t="shared" si="71"/>
        <v>.</v>
      </c>
      <c r="AF67" s="60" t="str">
        <f t="shared" si="71"/>
        <v>.</v>
      </c>
      <c r="AG67" s="60" t="str">
        <f t="shared" si="71"/>
        <v>.</v>
      </c>
      <c r="AH67" s="60" t="str">
        <f t="shared" si="71"/>
        <v>.</v>
      </c>
      <c r="AI67" s="60" t="str">
        <f t="shared" ref="AI67:BB67" si="72">IFERROR(AI5/$B53,".")</f>
        <v>.</v>
      </c>
      <c r="AJ67" s="60" t="str">
        <f t="shared" si="72"/>
        <v>.</v>
      </c>
      <c r="AK67" s="60" t="str">
        <f t="shared" si="72"/>
        <v>.</v>
      </c>
      <c r="AL67" s="60" t="str">
        <f t="shared" si="72"/>
        <v>.</v>
      </c>
      <c r="AM67" s="60" t="str">
        <f t="shared" si="72"/>
        <v>.</v>
      </c>
      <c r="AN67" s="60" t="str">
        <f t="shared" si="72"/>
        <v>.</v>
      </c>
      <c r="AO67" s="60" t="str">
        <f t="shared" si="72"/>
        <v>.</v>
      </c>
      <c r="AP67" s="60" t="str">
        <f t="shared" si="72"/>
        <v>.</v>
      </c>
      <c r="AQ67" s="60" t="str">
        <f t="shared" si="72"/>
        <v>.</v>
      </c>
      <c r="AR67" s="60" t="str">
        <f t="shared" si="72"/>
        <v>.</v>
      </c>
      <c r="AS67" s="60" t="str">
        <f t="shared" si="72"/>
        <v>.</v>
      </c>
      <c r="AT67" s="60" t="str">
        <f t="shared" si="72"/>
        <v>.</v>
      </c>
      <c r="AU67" s="60" t="str">
        <f t="shared" si="72"/>
        <v>.</v>
      </c>
      <c r="AV67" s="60" t="str">
        <f t="shared" si="72"/>
        <v>.</v>
      </c>
      <c r="AW67" s="60" t="str">
        <f t="shared" si="72"/>
        <v>.</v>
      </c>
      <c r="AX67" s="60" t="str">
        <f t="shared" si="72"/>
        <v>.</v>
      </c>
      <c r="AY67" s="60" t="str">
        <f t="shared" si="72"/>
        <v>.</v>
      </c>
      <c r="AZ67" s="60" t="str">
        <f t="shared" si="72"/>
        <v>.</v>
      </c>
      <c r="BA67" s="60" t="str">
        <f t="shared" si="72"/>
        <v>.</v>
      </c>
      <c r="BB67" s="60" t="str">
        <f t="shared" si="72"/>
        <v>.</v>
      </c>
    </row>
    <row r="68" spans="1:54" x14ac:dyDescent="0.25">
      <c r="A68" s="182" t="s">
        <v>1075</v>
      </c>
      <c r="B68" s="183">
        <v>0.99999979999999999</v>
      </c>
      <c r="C68" s="60">
        <f t="shared" ref="C68:AH68" si="73">IFERROR(C9/$B54,".")</f>
        <v>38.603568477649695</v>
      </c>
      <c r="D68" s="60">
        <f t="shared" si="73"/>
        <v>704.3379266162309</v>
      </c>
      <c r="E68" s="60">
        <f t="shared" si="73"/>
        <v>1540.568086761318</v>
      </c>
      <c r="F68" s="60">
        <f t="shared" si="73"/>
        <v>1857.1172967745226</v>
      </c>
      <c r="G68" s="60">
        <f t="shared" si="73"/>
        <v>1583.7060814637837</v>
      </c>
      <c r="H68" s="60">
        <f t="shared" si="73"/>
        <v>1934.5937633675371</v>
      </c>
      <c r="I68" s="60">
        <f t="shared" si="73"/>
        <v>758.65250773440698</v>
      </c>
      <c r="J68" s="60">
        <f t="shared" si="73"/>
        <v>2139.3002009426355</v>
      </c>
      <c r="K68" s="60">
        <f t="shared" si="73"/>
        <v>182.5937397994131</v>
      </c>
      <c r="L68" s="60">
        <f t="shared" si="73"/>
        <v>1001.1709669532665</v>
      </c>
      <c r="M68" s="60">
        <f t="shared" si="73"/>
        <v>750.72955408123084</v>
      </c>
      <c r="N68" s="60">
        <f t="shared" si="73"/>
        <v>1572.3043707270601</v>
      </c>
      <c r="O68" s="60">
        <f t="shared" si="73"/>
        <v>1601.7028057213427</v>
      </c>
      <c r="P68" s="60">
        <f t="shared" si="73"/>
        <v>2025.1911707385357</v>
      </c>
      <c r="Q68" s="60">
        <f t="shared" si="73"/>
        <v>2890.5394966063905</v>
      </c>
      <c r="R68" s="60">
        <f t="shared" si="73"/>
        <v>452.20381553656307</v>
      </c>
      <c r="S68" s="60">
        <f t="shared" si="73"/>
        <v>922.67652959232817</v>
      </c>
      <c r="T68" s="60">
        <f t="shared" si="73"/>
        <v>1609.2285663823045</v>
      </c>
      <c r="U68" s="60">
        <f t="shared" si="73"/>
        <v>3156.127053757491</v>
      </c>
      <c r="V68" s="60">
        <f t="shared" si="73"/>
        <v>473.23017733924041</v>
      </c>
      <c r="W68" s="60">
        <f t="shared" si="73"/>
        <v>963.26131450726996</v>
      </c>
      <c r="X68" s="60">
        <f t="shared" si="73"/>
        <v>1029.6793881868398</v>
      </c>
      <c r="Y68" s="60">
        <f t="shared" si="73"/>
        <v>1377.7140563435325</v>
      </c>
      <c r="Z68" s="60">
        <f t="shared" si="73"/>
        <v>727.93583316949866</v>
      </c>
      <c r="AA68" s="60">
        <f t="shared" si="73"/>
        <v>204.25840345717316</v>
      </c>
      <c r="AB68" s="60">
        <f t="shared" si="73"/>
        <v>234.26313823916047</v>
      </c>
      <c r="AC68" s="60">
        <f t="shared" si="73"/>
        <v>36.314134645667735</v>
      </c>
      <c r="AD68" s="60">
        <f t="shared" si="73"/>
        <v>612.4492762384823</v>
      </c>
      <c r="AE68" s="60">
        <f t="shared" si="73"/>
        <v>1443.6759316530515</v>
      </c>
      <c r="AF68" s="60">
        <f t="shared" si="73"/>
        <v>1717.1249112976907</v>
      </c>
      <c r="AG68" s="60">
        <f t="shared" si="73"/>
        <v>1542.1662498188323</v>
      </c>
      <c r="AH68" s="60">
        <f t="shared" si="73"/>
        <v>1644.203210968449</v>
      </c>
      <c r="AI68" s="60">
        <f t="shared" ref="AI68:BB68" si="74">IFERROR(AI9/$B54,".")</f>
        <v>747.86862810117248</v>
      </c>
      <c r="AJ68" s="60">
        <f t="shared" si="74"/>
        <v>2280.3498552395363</v>
      </c>
      <c r="AK68" s="60">
        <f t="shared" si="74"/>
        <v>177.55623900851572</v>
      </c>
      <c r="AL68" s="60">
        <f t="shared" si="74"/>
        <v>694.40492830344647</v>
      </c>
      <c r="AM68" s="60">
        <f t="shared" si="74"/>
        <v>1054.8736226619712</v>
      </c>
      <c r="AN68" s="60">
        <f t="shared" si="74"/>
        <v>1440.1921220717418</v>
      </c>
      <c r="AO68" s="60">
        <f t="shared" si="74"/>
        <v>1554.2227785986049</v>
      </c>
      <c r="AP68" s="60">
        <f t="shared" si="74"/>
        <v>1900.3353481021784</v>
      </c>
      <c r="AQ68" s="60">
        <f t="shared" si="74"/>
        <v>2128.0453540161802</v>
      </c>
      <c r="AR68" s="60">
        <f t="shared" si="74"/>
        <v>505.52379847532461</v>
      </c>
      <c r="AS68" s="60">
        <f t="shared" si="74"/>
        <v>824.32335674698379</v>
      </c>
      <c r="AT68" s="60">
        <f t="shared" si="74"/>
        <v>1729.0601588254785</v>
      </c>
      <c r="AU68" s="60">
        <f t="shared" si="74"/>
        <v>2366.3955655337381</v>
      </c>
      <c r="AV68" s="60">
        <f t="shared" si="74"/>
        <v>402.81143337112621</v>
      </c>
      <c r="AW68" s="60">
        <f t="shared" si="74"/>
        <v>906.22909880798557</v>
      </c>
      <c r="AX68" s="60">
        <f t="shared" si="74"/>
        <v>974.87026412672674</v>
      </c>
      <c r="AY68" s="60">
        <f t="shared" si="74"/>
        <v>1340.3426487843758</v>
      </c>
      <c r="AZ68" s="60">
        <f t="shared" si="74"/>
        <v>590.56253138163754</v>
      </c>
      <c r="BA68" s="60">
        <f t="shared" si="74"/>
        <v>161.81962124278294</v>
      </c>
      <c r="BB68" s="60">
        <f t="shared" si="74"/>
        <v>186.73692467142766</v>
      </c>
    </row>
    <row r="69" spans="1:54" x14ac:dyDescent="0.25">
      <c r="A69" s="182" t="s">
        <v>1076</v>
      </c>
      <c r="B69" s="183">
        <v>1.9999999999999999E-7</v>
      </c>
      <c r="C69" s="60" t="str">
        <f t="shared" ref="C69:AH69" si="75">IFERROR(C24/$B55,".")</f>
        <v>.</v>
      </c>
      <c r="D69" s="60" t="str">
        <f t="shared" si="75"/>
        <v>.</v>
      </c>
      <c r="E69" s="60" t="str">
        <f t="shared" si="75"/>
        <v>.</v>
      </c>
      <c r="F69" s="60" t="str">
        <f t="shared" si="75"/>
        <v>.</v>
      </c>
      <c r="G69" s="60" t="str">
        <f t="shared" si="75"/>
        <v>.</v>
      </c>
      <c r="H69" s="60" t="str">
        <f t="shared" si="75"/>
        <v>.</v>
      </c>
      <c r="I69" s="60" t="str">
        <f t="shared" si="75"/>
        <v>.</v>
      </c>
      <c r="J69" s="60" t="str">
        <f t="shared" si="75"/>
        <v>.</v>
      </c>
      <c r="K69" s="60" t="str">
        <f t="shared" si="75"/>
        <v>.</v>
      </c>
      <c r="L69" s="60" t="str">
        <f t="shared" si="75"/>
        <v>.</v>
      </c>
      <c r="M69" s="60" t="str">
        <f t="shared" si="75"/>
        <v>.</v>
      </c>
      <c r="N69" s="60" t="str">
        <f t="shared" si="75"/>
        <v>.</v>
      </c>
      <c r="O69" s="60" t="str">
        <f t="shared" si="75"/>
        <v>.</v>
      </c>
      <c r="P69" s="60" t="str">
        <f t="shared" si="75"/>
        <v>.</v>
      </c>
      <c r="Q69" s="60" t="str">
        <f t="shared" si="75"/>
        <v>.</v>
      </c>
      <c r="R69" s="60" t="str">
        <f t="shared" si="75"/>
        <v>.</v>
      </c>
      <c r="S69" s="60" t="str">
        <f t="shared" si="75"/>
        <v>.</v>
      </c>
      <c r="T69" s="60" t="str">
        <f t="shared" si="75"/>
        <v>.</v>
      </c>
      <c r="U69" s="60" t="str">
        <f t="shared" si="75"/>
        <v>.</v>
      </c>
      <c r="V69" s="60" t="str">
        <f t="shared" si="75"/>
        <v>.</v>
      </c>
      <c r="W69" s="60" t="str">
        <f t="shared" si="75"/>
        <v>.</v>
      </c>
      <c r="X69" s="60" t="str">
        <f t="shared" si="75"/>
        <v>.</v>
      </c>
      <c r="Y69" s="60" t="str">
        <f t="shared" si="75"/>
        <v>.</v>
      </c>
      <c r="Z69" s="60" t="str">
        <f t="shared" si="75"/>
        <v>.</v>
      </c>
      <c r="AA69" s="60" t="str">
        <f t="shared" si="75"/>
        <v>.</v>
      </c>
      <c r="AB69" s="60" t="str">
        <f t="shared" si="75"/>
        <v>.</v>
      </c>
      <c r="AC69" s="60" t="str">
        <f t="shared" si="75"/>
        <v>.</v>
      </c>
      <c r="AD69" s="60" t="str">
        <f t="shared" si="75"/>
        <v>.</v>
      </c>
      <c r="AE69" s="60" t="str">
        <f t="shared" si="75"/>
        <v>.</v>
      </c>
      <c r="AF69" s="60" t="str">
        <f t="shared" si="75"/>
        <v>.</v>
      </c>
      <c r="AG69" s="60" t="str">
        <f t="shared" si="75"/>
        <v>.</v>
      </c>
      <c r="AH69" s="60" t="str">
        <f t="shared" si="75"/>
        <v>.</v>
      </c>
      <c r="AI69" s="60" t="str">
        <f t="shared" ref="AI69:BB69" si="76">IFERROR(AI24/$B55,".")</f>
        <v>.</v>
      </c>
      <c r="AJ69" s="60" t="str">
        <f t="shared" si="76"/>
        <v>.</v>
      </c>
      <c r="AK69" s="60" t="str">
        <f t="shared" si="76"/>
        <v>.</v>
      </c>
      <c r="AL69" s="60" t="str">
        <f t="shared" si="76"/>
        <v>.</v>
      </c>
      <c r="AM69" s="60" t="str">
        <f t="shared" si="76"/>
        <v>.</v>
      </c>
      <c r="AN69" s="60" t="str">
        <f t="shared" si="76"/>
        <v>.</v>
      </c>
      <c r="AO69" s="60" t="str">
        <f t="shared" si="76"/>
        <v>.</v>
      </c>
      <c r="AP69" s="60" t="str">
        <f t="shared" si="76"/>
        <v>.</v>
      </c>
      <c r="AQ69" s="60" t="str">
        <f t="shared" si="76"/>
        <v>.</v>
      </c>
      <c r="AR69" s="60" t="str">
        <f t="shared" si="76"/>
        <v>.</v>
      </c>
      <c r="AS69" s="60" t="str">
        <f t="shared" si="76"/>
        <v>.</v>
      </c>
      <c r="AT69" s="60" t="str">
        <f t="shared" si="76"/>
        <v>.</v>
      </c>
      <c r="AU69" s="60" t="str">
        <f t="shared" si="76"/>
        <v>.</v>
      </c>
      <c r="AV69" s="60" t="str">
        <f t="shared" si="76"/>
        <v>.</v>
      </c>
      <c r="AW69" s="60" t="str">
        <f t="shared" si="76"/>
        <v>.</v>
      </c>
      <c r="AX69" s="60" t="str">
        <f t="shared" si="76"/>
        <v>.</v>
      </c>
      <c r="AY69" s="60" t="str">
        <f t="shared" si="76"/>
        <v>.</v>
      </c>
      <c r="AZ69" s="60" t="str">
        <f t="shared" si="76"/>
        <v>.</v>
      </c>
      <c r="BA69" s="60" t="str">
        <f t="shared" si="76"/>
        <v>.</v>
      </c>
      <c r="BB69" s="60" t="str">
        <f t="shared" si="76"/>
        <v>.</v>
      </c>
    </row>
    <row r="70" spans="1:54" x14ac:dyDescent="0.25">
      <c r="A70" s="182" t="s">
        <v>1077</v>
      </c>
      <c r="B70" s="183">
        <v>0.99979000004200003</v>
      </c>
      <c r="C70" s="60" t="str">
        <f t="shared" ref="C70:AH70" si="77">IFERROR(C20/$B56,".")</f>
        <v>.</v>
      </c>
      <c r="D70" s="60" t="str">
        <f t="shared" si="77"/>
        <v>.</v>
      </c>
      <c r="E70" s="60" t="str">
        <f t="shared" si="77"/>
        <v>.</v>
      </c>
      <c r="F70" s="60" t="str">
        <f t="shared" si="77"/>
        <v>.</v>
      </c>
      <c r="G70" s="60" t="str">
        <f t="shared" si="77"/>
        <v>.</v>
      </c>
      <c r="H70" s="60" t="str">
        <f t="shared" si="77"/>
        <v>.</v>
      </c>
      <c r="I70" s="60" t="str">
        <f t="shared" si="77"/>
        <v>.</v>
      </c>
      <c r="J70" s="60" t="str">
        <f t="shared" si="77"/>
        <v>.</v>
      </c>
      <c r="K70" s="60" t="str">
        <f t="shared" si="77"/>
        <v>.</v>
      </c>
      <c r="L70" s="60" t="str">
        <f t="shared" si="77"/>
        <v>.</v>
      </c>
      <c r="M70" s="60" t="str">
        <f t="shared" si="77"/>
        <v>.</v>
      </c>
      <c r="N70" s="60" t="str">
        <f t="shared" si="77"/>
        <v>.</v>
      </c>
      <c r="O70" s="60" t="str">
        <f t="shared" si="77"/>
        <v>.</v>
      </c>
      <c r="P70" s="60" t="str">
        <f t="shared" si="77"/>
        <v>.</v>
      </c>
      <c r="Q70" s="60" t="str">
        <f t="shared" si="77"/>
        <v>.</v>
      </c>
      <c r="R70" s="60" t="str">
        <f t="shared" si="77"/>
        <v>.</v>
      </c>
      <c r="S70" s="60" t="str">
        <f t="shared" si="77"/>
        <v>.</v>
      </c>
      <c r="T70" s="60" t="str">
        <f t="shared" si="77"/>
        <v>.</v>
      </c>
      <c r="U70" s="60" t="str">
        <f t="shared" si="77"/>
        <v>.</v>
      </c>
      <c r="V70" s="60" t="str">
        <f t="shared" si="77"/>
        <v>.</v>
      </c>
      <c r="W70" s="60" t="str">
        <f t="shared" si="77"/>
        <v>.</v>
      </c>
      <c r="X70" s="60" t="str">
        <f t="shared" si="77"/>
        <v>.</v>
      </c>
      <c r="Y70" s="60" t="str">
        <f t="shared" si="77"/>
        <v>.</v>
      </c>
      <c r="Z70" s="60" t="str">
        <f t="shared" si="77"/>
        <v>.</v>
      </c>
      <c r="AA70" s="60" t="str">
        <f t="shared" si="77"/>
        <v>.</v>
      </c>
      <c r="AB70" s="60" t="str">
        <f t="shared" si="77"/>
        <v>.</v>
      </c>
      <c r="AC70" s="60" t="str">
        <f t="shared" si="77"/>
        <v>.</v>
      </c>
      <c r="AD70" s="60" t="str">
        <f t="shared" si="77"/>
        <v>.</v>
      </c>
      <c r="AE70" s="60" t="str">
        <f t="shared" si="77"/>
        <v>.</v>
      </c>
      <c r="AF70" s="60" t="str">
        <f t="shared" si="77"/>
        <v>.</v>
      </c>
      <c r="AG70" s="60" t="str">
        <f t="shared" si="77"/>
        <v>.</v>
      </c>
      <c r="AH70" s="60" t="str">
        <f t="shared" si="77"/>
        <v>.</v>
      </c>
      <c r="AI70" s="60" t="str">
        <f t="shared" ref="AI70:BB70" si="78">IFERROR(AI20/$B56,".")</f>
        <v>.</v>
      </c>
      <c r="AJ70" s="60" t="str">
        <f t="shared" si="78"/>
        <v>.</v>
      </c>
      <c r="AK70" s="60" t="str">
        <f t="shared" si="78"/>
        <v>.</v>
      </c>
      <c r="AL70" s="60" t="str">
        <f t="shared" si="78"/>
        <v>.</v>
      </c>
      <c r="AM70" s="60" t="str">
        <f t="shared" si="78"/>
        <v>.</v>
      </c>
      <c r="AN70" s="60" t="str">
        <f t="shared" si="78"/>
        <v>.</v>
      </c>
      <c r="AO70" s="60" t="str">
        <f t="shared" si="78"/>
        <v>.</v>
      </c>
      <c r="AP70" s="60" t="str">
        <f t="shared" si="78"/>
        <v>.</v>
      </c>
      <c r="AQ70" s="60" t="str">
        <f t="shared" si="78"/>
        <v>.</v>
      </c>
      <c r="AR70" s="60" t="str">
        <f t="shared" si="78"/>
        <v>.</v>
      </c>
      <c r="AS70" s="60" t="str">
        <f t="shared" si="78"/>
        <v>.</v>
      </c>
      <c r="AT70" s="60" t="str">
        <f t="shared" si="78"/>
        <v>.</v>
      </c>
      <c r="AU70" s="60" t="str">
        <f t="shared" si="78"/>
        <v>.</v>
      </c>
      <c r="AV70" s="60" t="str">
        <f t="shared" si="78"/>
        <v>.</v>
      </c>
      <c r="AW70" s="60" t="str">
        <f t="shared" si="78"/>
        <v>.</v>
      </c>
      <c r="AX70" s="60" t="str">
        <f t="shared" si="78"/>
        <v>.</v>
      </c>
      <c r="AY70" s="60" t="str">
        <f t="shared" si="78"/>
        <v>.</v>
      </c>
      <c r="AZ70" s="60" t="str">
        <f t="shared" si="78"/>
        <v>.</v>
      </c>
      <c r="BA70" s="60" t="str">
        <f t="shared" si="78"/>
        <v>.</v>
      </c>
      <c r="BB70" s="60" t="str">
        <f t="shared" si="78"/>
        <v>.</v>
      </c>
    </row>
    <row r="71" spans="1:54" x14ac:dyDescent="0.25">
      <c r="A71" s="182" t="s">
        <v>1078</v>
      </c>
      <c r="B71" s="183">
        <v>2.0999995799999999E-4</v>
      </c>
      <c r="C71" s="60" t="str">
        <f t="shared" ref="C71:AH71" si="79">IFERROR(C29/$B57,".")</f>
        <v>.</v>
      </c>
      <c r="D71" s="60" t="str">
        <f t="shared" si="79"/>
        <v>.</v>
      </c>
      <c r="E71" s="60" t="str">
        <f t="shared" si="79"/>
        <v>.</v>
      </c>
      <c r="F71" s="60" t="str">
        <f t="shared" si="79"/>
        <v>.</v>
      </c>
      <c r="G71" s="60" t="str">
        <f t="shared" si="79"/>
        <v>.</v>
      </c>
      <c r="H71" s="60" t="str">
        <f t="shared" si="79"/>
        <v>.</v>
      </c>
      <c r="I71" s="60" t="str">
        <f t="shared" si="79"/>
        <v>.</v>
      </c>
      <c r="J71" s="60" t="str">
        <f t="shared" si="79"/>
        <v>.</v>
      </c>
      <c r="K71" s="60" t="str">
        <f t="shared" si="79"/>
        <v>.</v>
      </c>
      <c r="L71" s="60" t="str">
        <f t="shared" si="79"/>
        <v>.</v>
      </c>
      <c r="M71" s="60" t="str">
        <f t="shared" si="79"/>
        <v>.</v>
      </c>
      <c r="N71" s="60" t="str">
        <f t="shared" si="79"/>
        <v>.</v>
      </c>
      <c r="O71" s="60" t="str">
        <f t="shared" si="79"/>
        <v>.</v>
      </c>
      <c r="P71" s="60" t="str">
        <f t="shared" si="79"/>
        <v>.</v>
      </c>
      <c r="Q71" s="60" t="str">
        <f t="shared" si="79"/>
        <v>.</v>
      </c>
      <c r="R71" s="60" t="str">
        <f t="shared" si="79"/>
        <v>.</v>
      </c>
      <c r="S71" s="60" t="str">
        <f t="shared" si="79"/>
        <v>.</v>
      </c>
      <c r="T71" s="60" t="str">
        <f t="shared" si="79"/>
        <v>.</v>
      </c>
      <c r="U71" s="60" t="str">
        <f t="shared" si="79"/>
        <v>.</v>
      </c>
      <c r="V71" s="60" t="str">
        <f t="shared" si="79"/>
        <v>.</v>
      </c>
      <c r="W71" s="60" t="str">
        <f t="shared" si="79"/>
        <v>.</v>
      </c>
      <c r="X71" s="60" t="str">
        <f t="shared" si="79"/>
        <v>.</v>
      </c>
      <c r="Y71" s="60" t="str">
        <f t="shared" si="79"/>
        <v>.</v>
      </c>
      <c r="Z71" s="60" t="str">
        <f t="shared" si="79"/>
        <v>.</v>
      </c>
      <c r="AA71" s="60" t="str">
        <f t="shared" si="79"/>
        <v>.</v>
      </c>
      <c r="AB71" s="60" t="str">
        <f t="shared" si="79"/>
        <v>.</v>
      </c>
      <c r="AC71" s="60" t="str">
        <f t="shared" si="79"/>
        <v>.</v>
      </c>
      <c r="AD71" s="60" t="str">
        <f t="shared" si="79"/>
        <v>.</v>
      </c>
      <c r="AE71" s="60" t="str">
        <f t="shared" si="79"/>
        <v>.</v>
      </c>
      <c r="AF71" s="60" t="str">
        <f t="shared" si="79"/>
        <v>.</v>
      </c>
      <c r="AG71" s="60" t="str">
        <f t="shared" si="79"/>
        <v>.</v>
      </c>
      <c r="AH71" s="60" t="str">
        <f t="shared" si="79"/>
        <v>.</v>
      </c>
      <c r="AI71" s="60" t="str">
        <f t="shared" ref="AI71:BB71" si="80">IFERROR(AI29/$B57,".")</f>
        <v>.</v>
      </c>
      <c r="AJ71" s="60" t="str">
        <f t="shared" si="80"/>
        <v>.</v>
      </c>
      <c r="AK71" s="60" t="str">
        <f t="shared" si="80"/>
        <v>.</v>
      </c>
      <c r="AL71" s="60" t="str">
        <f t="shared" si="80"/>
        <v>.</v>
      </c>
      <c r="AM71" s="60" t="str">
        <f t="shared" si="80"/>
        <v>.</v>
      </c>
      <c r="AN71" s="60" t="str">
        <f t="shared" si="80"/>
        <v>.</v>
      </c>
      <c r="AO71" s="60" t="str">
        <f t="shared" si="80"/>
        <v>.</v>
      </c>
      <c r="AP71" s="60" t="str">
        <f t="shared" si="80"/>
        <v>.</v>
      </c>
      <c r="AQ71" s="60" t="str">
        <f t="shared" si="80"/>
        <v>.</v>
      </c>
      <c r="AR71" s="60" t="str">
        <f t="shared" si="80"/>
        <v>.</v>
      </c>
      <c r="AS71" s="60" t="str">
        <f t="shared" si="80"/>
        <v>.</v>
      </c>
      <c r="AT71" s="60" t="str">
        <f t="shared" si="80"/>
        <v>.</v>
      </c>
      <c r="AU71" s="60" t="str">
        <f t="shared" si="80"/>
        <v>.</v>
      </c>
      <c r="AV71" s="60" t="str">
        <f t="shared" si="80"/>
        <v>.</v>
      </c>
      <c r="AW71" s="60" t="str">
        <f t="shared" si="80"/>
        <v>.</v>
      </c>
      <c r="AX71" s="60" t="str">
        <f t="shared" si="80"/>
        <v>.</v>
      </c>
      <c r="AY71" s="60" t="str">
        <f t="shared" si="80"/>
        <v>.</v>
      </c>
      <c r="AZ71" s="60" t="str">
        <f t="shared" si="80"/>
        <v>.</v>
      </c>
      <c r="BA71" s="60" t="str">
        <f t="shared" si="80"/>
        <v>.</v>
      </c>
      <c r="BB71" s="60" t="str">
        <f t="shared" si="80"/>
        <v>.</v>
      </c>
    </row>
    <row r="72" spans="1:54" x14ac:dyDescent="0.25">
      <c r="A72" s="182" t="s">
        <v>1079</v>
      </c>
      <c r="B72" s="183">
        <v>1</v>
      </c>
      <c r="C72" s="60">
        <f t="shared" ref="C72:AH72" si="81">IFERROR(C16/$B58,".")</f>
        <v>3.2468825740827906E-2</v>
      </c>
      <c r="D72" s="60">
        <f t="shared" si="81"/>
        <v>1.0143029585906926</v>
      </c>
      <c r="E72" s="60">
        <f t="shared" si="81"/>
        <v>0.2812491527995174</v>
      </c>
      <c r="F72" s="60">
        <f t="shared" si="81"/>
        <v>1.7945508009935984</v>
      </c>
      <c r="G72" s="60">
        <f t="shared" si="81"/>
        <v>2.2794539345637812</v>
      </c>
      <c r="H72" s="60">
        <f t="shared" si="81"/>
        <v>1.7829896918781563</v>
      </c>
      <c r="I72" s="60">
        <f t="shared" si="81"/>
        <v>0.13849211660391661</v>
      </c>
      <c r="J72" s="60">
        <f t="shared" si="81"/>
        <v>2.0719923526262871</v>
      </c>
      <c r="K72" s="60">
        <f t="shared" si="81"/>
        <v>0.26301937940826631</v>
      </c>
      <c r="L72" s="60">
        <f t="shared" si="81"/>
        <v>10.889332107682163</v>
      </c>
      <c r="M72" s="60">
        <f t="shared" si="81"/>
        <v>0.72944973312237471</v>
      </c>
      <c r="N72" s="60">
        <f t="shared" si="81"/>
        <v>0.27880905995119648</v>
      </c>
      <c r="O72" s="60">
        <f t="shared" si="81"/>
        <v>2.6608477320518329</v>
      </c>
      <c r="P72" s="60">
        <f t="shared" si="81"/>
        <v>1.9633511912194859</v>
      </c>
      <c r="Q72" s="60">
        <f t="shared" si="81"/>
        <v>2.7995957413053483</v>
      </c>
      <c r="R72" s="60">
        <f t="shared" si="81"/>
        <v>0.65178617378376413</v>
      </c>
      <c r="S72" s="60">
        <f t="shared" si="81"/>
        <v>1.3287280131055843</v>
      </c>
      <c r="T72" s="60">
        <f t="shared" si="81"/>
        <v>4.2988676264947143</v>
      </c>
      <c r="U72" s="60">
        <f t="shared" si="81"/>
        <v>2.7368009834536426</v>
      </c>
      <c r="V72" s="60">
        <f t="shared" si="81"/>
        <v>4.0511040026466141</v>
      </c>
      <c r="W72" s="60">
        <f t="shared" si="81"/>
        <v>0.93500655102588137</v>
      </c>
      <c r="X72" s="60">
        <f t="shared" si="81"/>
        <v>1.533345783963098</v>
      </c>
      <c r="Y72" s="60">
        <f t="shared" si="81"/>
        <v>1.9981673749414381</v>
      </c>
      <c r="Z72" s="60">
        <f t="shared" si="81"/>
        <v>0.64530617371489907</v>
      </c>
      <c r="AA72" s="60">
        <f t="shared" si="81"/>
        <v>3.1646089155901454E-2</v>
      </c>
      <c r="AB72" s="60">
        <f t="shared" si="81"/>
        <v>4.5889941461226366E-2</v>
      </c>
      <c r="AC72" s="60">
        <f t="shared" si="81"/>
        <v>3.1030501659264728E-2</v>
      </c>
      <c r="AD72" s="60">
        <f t="shared" si="81"/>
        <v>0.881975951316187</v>
      </c>
      <c r="AE72" s="60">
        <f t="shared" si="81"/>
        <v>0.26356032958469416</v>
      </c>
      <c r="AF72" s="60">
        <f t="shared" si="81"/>
        <v>1.6592747751190977</v>
      </c>
      <c r="AG72" s="60">
        <f t="shared" si="81"/>
        <v>2.2196649789030918</v>
      </c>
      <c r="AH72" s="60">
        <f t="shared" si="81"/>
        <v>1.5153555397628773</v>
      </c>
      <c r="AI72" s="60">
        <f t="shared" ref="AI72:BB72" si="82">IFERROR(AI16/$B58,".")</f>
        <v>0.13652351793669734</v>
      </c>
      <c r="AJ72" s="60">
        <f t="shared" si="82"/>
        <v>2.2086042245435547</v>
      </c>
      <c r="AK72" s="60">
        <f t="shared" si="82"/>
        <v>0.25576304995663218</v>
      </c>
      <c r="AL72" s="60">
        <f t="shared" si="82"/>
        <v>7.5527618469787452</v>
      </c>
      <c r="AM72" s="60">
        <f t="shared" si="82"/>
        <v>1.024972679369631</v>
      </c>
      <c r="AN72" s="60">
        <f t="shared" si="82"/>
        <v>0.25538223971117169</v>
      </c>
      <c r="AO72" s="60">
        <f t="shared" si="82"/>
        <v>2.5819709753676245</v>
      </c>
      <c r="AP72" s="60">
        <f t="shared" si="82"/>
        <v>1.8423078884213668</v>
      </c>
      <c r="AQ72" s="60">
        <f t="shared" si="82"/>
        <v>2.061091611930185</v>
      </c>
      <c r="AR72" s="60">
        <f t="shared" si="82"/>
        <v>0.72863919109993691</v>
      </c>
      <c r="AS72" s="60">
        <f t="shared" si="82"/>
        <v>1.1870915763413743</v>
      </c>
      <c r="AT72" s="60">
        <f t="shared" si="82"/>
        <v>4.6189838387885063</v>
      </c>
      <c r="AU72" s="60">
        <f t="shared" si="82"/>
        <v>2.0519939789124537</v>
      </c>
      <c r="AV72" s="60">
        <f t="shared" si="82"/>
        <v>3.44828180488539</v>
      </c>
      <c r="AW72" s="60">
        <f t="shared" si="82"/>
        <v>0.87964722693049902</v>
      </c>
      <c r="AX72" s="60">
        <f t="shared" si="82"/>
        <v>1.4517268448404326</v>
      </c>
      <c r="AY72" s="60">
        <f t="shared" si="82"/>
        <v>1.9439657595942499</v>
      </c>
      <c r="AZ72" s="60">
        <f t="shared" si="82"/>
        <v>0.52352642925400894</v>
      </c>
      <c r="BA72" s="60">
        <f t="shared" si="82"/>
        <v>3.3055348188385715E-2</v>
      </c>
      <c r="BB72" s="60">
        <f t="shared" si="82"/>
        <v>3.658000403406516E-2</v>
      </c>
    </row>
    <row r="73" spans="1:54" x14ac:dyDescent="0.25">
      <c r="A73" s="182" t="s">
        <v>1080</v>
      </c>
      <c r="B73" s="183">
        <v>1</v>
      </c>
      <c r="C73" s="60">
        <f t="shared" ref="C73:AH73" si="83">IFERROR(C7/$B59,".")</f>
        <v>3.195516973768592</v>
      </c>
      <c r="D73" s="60">
        <f t="shared" si="83"/>
        <v>58.303516709193438</v>
      </c>
      <c r="E73" s="60">
        <f t="shared" si="83"/>
        <v>127.52477723250414</v>
      </c>
      <c r="F73" s="60">
        <f t="shared" si="83"/>
        <v>153.72801215406025</v>
      </c>
      <c r="G73" s="60">
        <f t="shared" si="83"/>
        <v>131.09564385759032</v>
      </c>
      <c r="H73" s="60">
        <f t="shared" si="83"/>
        <v>160.14134060603831</v>
      </c>
      <c r="I73" s="60">
        <f t="shared" si="83"/>
        <v>62.799556135878852</v>
      </c>
      <c r="J73" s="60">
        <f t="shared" si="83"/>
        <v>177.0864812162815</v>
      </c>
      <c r="K73" s="60">
        <f t="shared" si="83"/>
        <v>15.114700993788393</v>
      </c>
      <c r="L73" s="60">
        <f t="shared" si="83"/>
        <v>82.874691245078836</v>
      </c>
      <c r="M73" s="60">
        <f t="shared" si="83"/>
        <v>62.143711770201499</v>
      </c>
      <c r="N73" s="60">
        <f t="shared" si="83"/>
        <v>130.15183576870098</v>
      </c>
      <c r="O73" s="60">
        <f t="shared" si="83"/>
        <v>132.5853724009647</v>
      </c>
      <c r="P73" s="60">
        <f t="shared" si="83"/>
        <v>167.6407911607472</v>
      </c>
      <c r="Q73" s="60">
        <f t="shared" si="83"/>
        <v>239.27238825348624</v>
      </c>
      <c r="R73" s="60">
        <f t="shared" si="83"/>
        <v>37.432419466263447</v>
      </c>
      <c r="S73" s="60">
        <f t="shared" si="83"/>
        <v>76.37709745194239</v>
      </c>
      <c r="T73" s="60">
        <f t="shared" si="83"/>
        <v>133.20833801997338</v>
      </c>
      <c r="U73" s="60">
        <f t="shared" si="83"/>
        <v>261.25713164293336</v>
      </c>
      <c r="V73" s="60">
        <f t="shared" si="83"/>
        <v>39.172934622937525</v>
      </c>
      <c r="W73" s="60">
        <f t="shared" si="83"/>
        <v>79.736615086886701</v>
      </c>
      <c r="X73" s="60">
        <f t="shared" si="83"/>
        <v>85.234554530774105</v>
      </c>
      <c r="Y73" s="60">
        <f t="shared" si="83"/>
        <v>114.04408518850414</v>
      </c>
      <c r="Z73" s="60">
        <f t="shared" si="83"/>
        <v>60.256898583204141</v>
      </c>
      <c r="AA73" s="60">
        <f t="shared" si="83"/>
        <v>16.90805334901021</v>
      </c>
      <c r="AB73" s="60">
        <f t="shared" si="83"/>
        <v>19.391778120329658</v>
      </c>
      <c r="AC73" s="60">
        <f t="shared" si="83"/>
        <v>3.0060027666907105</v>
      </c>
      <c r="AD73" s="60">
        <f t="shared" si="83"/>
        <v>50.697179949191906</v>
      </c>
      <c r="AE73" s="60">
        <f t="shared" si="83"/>
        <v>119.50426155264552</v>
      </c>
      <c r="AF73" s="60">
        <f t="shared" si="83"/>
        <v>142.13975589612977</v>
      </c>
      <c r="AG73" s="60">
        <f t="shared" si="83"/>
        <v>127.65706959247322</v>
      </c>
      <c r="AH73" s="60">
        <f t="shared" si="83"/>
        <v>136.10346079835736</v>
      </c>
      <c r="AI73" s="60">
        <f t="shared" ref="AI73:BB73" si="84">IFERROR(AI7/$B59,".")</f>
        <v>61.906890722549775</v>
      </c>
      <c r="AJ73" s="60">
        <f t="shared" si="84"/>
        <v>188.76225582014735</v>
      </c>
      <c r="AK73" s="60">
        <f t="shared" si="84"/>
        <v>14.697707956162731</v>
      </c>
      <c r="AL73" s="60">
        <f t="shared" si="84"/>
        <v>57.481285346637037</v>
      </c>
      <c r="AM73" s="60">
        <f t="shared" si="84"/>
        <v>87.320076856333202</v>
      </c>
      <c r="AN73" s="60">
        <f t="shared" si="84"/>
        <v>119.21587959498017</v>
      </c>
      <c r="AO73" s="60">
        <f t="shared" si="84"/>
        <v>128.65508205297408</v>
      </c>
      <c r="AP73" s="60">
        <f t="shared" si="84"/>
        <v>157.30550568735066</v>
      </c>
      <c r="AQ73" s="60">
        <f t="shared" si="84"/>
        <v>176.15483018481075</v>
      </c>
      <c r="AR73" s="60">
        <f t="shared" si="84"/>
        <v>41.846128282341205</v>
      </c>
      <c r="AS73" s="60">
        <f t="shared" si="84"/>
        <v>68.235641994702533</v>
      </c>
      <c r="AT73" s="60">
        <f t="shared" si="84"/>
        <v>143.1277289661131</v>
      </c>
      <c r="AU73" s="60">
        <f t="shared" si="84"/>
        <v>195.88492708107734</v>
      </c>
      <c r="AV73" s="60">
        <f t="shared" si="84"/>
        <v>33.343828649176167</v>
      </c>
      <c r="AW73" s="60">
        <f t="shared" si="84"/>
        <v>75.015615953757063</v>
      </c>
      <c r="AX73" s="60">
        <f t="shared" si="84"/>
        <v>80.697577946526906</v>
      </c>
      <c r="AY73" s="60">
        <f t="shared" si="84"/>
        <v>110.95056373703392</v>
      </c>
      <c r="AZ73" s="60">
        <f t="shared" si="84"/>
        <v>48.885444209500307</v>
      </c>
      <c r="BA73" s="60">
        <f t="shared" si="84"/>
        <v>13.395065968305527</v>
      </c>
      <c r="BB73" s="60">
        <f t="shared" si="84"/>
        <v>15.457664561823536</v>
      </c>
    </row>
    <row r="74" spans="1:54" x14ac:dyDescent="0.25">
      <c r="A74" s="182" t="s">
        <v>1081</v>
      </c>
      <c r="B74" s="186">
        <v>1.9000000000000001E-8</v>
      </c>
      <c r="C74" s="60" t="str">
        <f t="shared" ref="C74:AH74" si="85">IFERROR(C12/$B60,".")</f>
        <v>.</v>
      </c>
      <c r="D74" s="60" t="str">
        <f t="shared" si="85"/>
        <v>.</v>
      </c>
      <c r="E74" s="60" t="str">
        <f t="shared" si="85"/>
        <v>.</v>
      </c>
      <c r="F74" s="60" t="str">
        <f t="shared" si="85"/>
        <v>.</v>
      </c>
      <c r="G74" s="60" t="str">
        <f t="shared" si="85"/>
        <v>.</v>
      </c>
      <c r="H74" s="60" t="str">
        <f t="shared" si="85"/>
        <v>.</v>
      </c>
      <c r="I74" s="60" t="str">
        <f t="shared" si="85"/>
        <v>.</v>
      </c>
      <c r="J74" s="60" t="str">
        <f t="shared" si="85"/>
        <v>.</v>
      </c>
      <c r="K74" s="60" t="str">
        <f t="shared" si="85"/>
        <v>.</v>
      </c>
      <c r="L74" s="60" t="str">
        <f t="shared" si="85"/>
        <v>.</v>
      </c>
      <c r="M74" s="60" t="str">
        <f t="shared" si="85"/>
        <v>.</v>
      </c>
      <c r="N74" s="60" t="str">
        <f t="shared" si="85"/>
        <v>.</v>
      </c>
      <c r="O74" s="60" t="str">
        <f t="shared" si="85"/>
        <v>.</v>
      </c>
      <c r="P74" s="60" t="str">
        <f t="shared" si="85"/>
        <v>.</v>
      </c>
      <c r="Q74" s="60" t="str">
        <f t="shared" si="85"/>
        <v>.</v>
      </c>
      <c r="R74" s="60" t="str">
        <f t="shared" si="85"/>
        <v>.</v>
      </c>
      <c r="S74" s="60" t="str">
        <f t="shared" si="85"/>
        <v>.</v>
      </c>
      <c r="T74" s="60" t="str">
        <f t="shared" si="85"/>
        <v>.</v>
      </c>
      <c r="U74" s="60" t="str">
        <f t="shared" si="85"/>
        <v>.</v>
      </c>
      <c r="V74" s="60" t="str">
        <f t="shared" si="85"/>
        <v>.</v>
      </c>
      <c r="W74" s="60" t="str">
        <f t="shared" si="85"/>
        <v>.</v>
      </c>
      <c r="X74" s="60" t="str">
        <f t="shared" si="85"/>
        <v>.</v>
      </c>
      <c r="Y74" s="60" t="str">
        <f t="shared" si="85"/>
        <v>.</v>
      </c>
      <c r="Z74" s="60" t="str">
        <f t="shared" si="85"/>
        <v>.</v>
      </c>
      <c r="AA74" s="60" t="str">
        <f t="shared" si="85"/>
        <v>.</v>
      </c>
      <c r="AB74" s="60" t="str">
        <f t="shared" si="85"/>
        <v>.</v>
      </c>
      <c r="AC74" s="60" t="str">
        <f t="shared" si="85"/>
        <v>.</v>
      </c>
      <c r="AD74" s="60" t="str">
        <f t="shared" si="85"/>
        <v>.</v>
      </c>
      <c r="AE74" s="60" t="str">
        <f t="shared" si="85"/>
        <v>.</v>
      </c>
      <c r="AF74" s="60" t="str">
        <f t="shared" si="85"/>
        <v>.</v>
      </c>
      <c r="AG74" s="60" t="str">
        <f t="shared" si="85"/>
        <v>.</v>
      </c>
      <c r="AH74" s="60" t="str">
        <f t="shared" si="85"/>
        <v>.</v>
      </c>
      <c r="AI74" s="60" t="str">
        <f t="shared" ref="AI74:BB74" si="86">IFERROR(AI12/$B60,".")</f>
        <v>.</v>
      </c>
      <c r="AJ74" s="60" t="str">
        <f t="shared" si="86"/>
        <v>.</v>
      </c>
      <c r="AK74" s="60" t="str">
        <f t="shared" si="86"/>
        <v>.</v>
      </c>
      <c r="AL74" s="60" t="str">
        <f t="shared" si="86"/>
        <v>.</v>
      </c>
      <c r="AM74" s="60" t="str">
        <f t="shared" si="86"/>
        <v>.</v>
      </c>
      <c r="AN74" s="60" t="str">
        <f t="shared" si="86"/>
        <v>.</v>
      </c>
      <c r="AO74" s="60" t="str">
        <f t="shared" si="86"/>
        <v>.</v>
      </c>
      <c r="AP74" s="60" t="str">
        <f t="shared" si="86"/>
        <v>.</v>
      </c>
      <c r="AQ74" s="60" t="str">
        <f t="shared" si="86"/>
        <v>.</v>
      </c>
      <c r="AR74" s="60" t="str">
        <f t="shared" si="86"/>
        <v>.</v>
      </c>
      <c r="AS74" s="60" t="str">
        <f t="shared" si="86"/>
        <v>.</v>
      </c>
      <c r="AT74" s="60" t="str">
        <f t="shared" si="86"/>
        <v>.</v>
      </c>
      <c r="AU74" s="60" t="str">
        <f t="shared" si="86"/>
        <v>.</v>
      </c>
      <c r="AV74" s="60" t="str">
        <f t="shared" si="86"/>
        <v>.</v>
      </c>
      <c r="AW74" s="60" t="str">
        <f t="shared" si="86"/>
        <v>.</v>
      </c>
      <c r="AX74" s="60" t="str">
        <f t="shared" si="86"/>
        <v>.</v>
      </c>
      <c r="AY74" s="60" t="str">
        <f t="shared" si="86"/>
        <v>.</v>
      </c>
      <c r="AZ74" s="60" t="str">
        <f t="shared" si="86"/>
        <v>.</v>
      </c>
      <c r="BA74" s="60" t="str">
        <f t="shared" si="86"/>
        <v>.</v>
      </c>
      <c r="BB74" s="60" t="str">
        <f t="shared" si="86"/>
        <v>.</v>
      </c>
    </row>
    <row r="75" spans="1:54" x14ac:dyDescent="0.25">
      <c r="A75" s="182" t="s">
        <v>1082</v>
      </c>
      <c r="B75" s="183">
        <v>1</v>
      </c>
      <c r="C75" s="60">
        <f t="shared" ref="C75:AH75" si="87">IFERROR(C18/$B61,".")</f>
        <v>0.14838416644195954</v>
      </c>
      <c r="D75" s="60">
        <f t="shared" si="87"/>
        <v>16.684800667408041</v>
      </c>
      <c r="E75" s="60">
        <f t="shared" si="87"/>
        <v>1.7552074513531759</v>
      </c>
      <c r="F75" s="60">
        <f t="shared" si="87"/>
        <v>2.6665282419236793</v>
      </c>
      <c r="G75" s="60">
        <f t="shared" si="87"/>
        <v>36.903024625684473</v>
      </c>
      <c r="H75" s="60">
        <f t="shared" si="87"/>
        <v>13.750450184797479</v>
      </c>
      <c r="I75" s="60">
        <f t="shared" si="87"/>
        <v>0.86158098186488041</v>
      </c>
      <c r="J75" s="60">
        <f t="shared" si="87"/>
        <v>3.0917886497784384</v>
      </c>
      <c r="K75" s="60">
        <f t="shared" si="87"/>
        <v>4.3616127945302212</v>
      </c>
      <c r="L75" s="60">
        <f t="shared" si="87"/>
        <v>22.173023700970923</v>
      </c>
      <c r="M75" s="60">
        <f t="shared" si="87"/>
        <v>26.643672537818389</v>
      </c>
      <c r="N75" s="60">
        <f t="shared" si="87"/>
        <v>0.72699986459454835</v>
      </c>
      <c r="O75" s="60">
        <f t="shared" si="87"/>
        <v>3.4535763887813089</v>
      </c>
      <c r="P75" s="60">
        <f t="shared" si="87"/>
        <v>61.631597311962537</v>
      </c>
      <c r="Q75" s="60">
        <f t="shared" si="87"/>
        <v>4.1775049632613763</v>
      </c>
      <c r="R75" s="60">
        <f t="shared" si="87"/>
        <v>11.017048583156427</v>
      </c>
      <c r="S75" s="60">
        <f t="shared" si="87"/>
        <v>21.856943087961568</v>
      </c>
      <c r="T75" s="60">
        <f t="shared" si="87"/>
        <v>30.637985708031646</v>
      </c>
      <c r="U75" s="60">
        <f t="shared" si="87"/>
        <v>11.350712442449389</v>
      </c>
      <c r="V75" s="60">
        <f t="shared" si="87"/>
        <v>1.3875180366060333</v>
      </c>
      <c r="W75" s="60">
        <f t="shared" si="87"/>
        <v>31.807121192147683</v>
      </c>
      <c r="X75" s="60">
        <f t="shared" si="87"/>
        <v>1.7467422939892987</v>
      </c>
      <c r="Y75" s="60">
        <f t="shared" si="87"/>
        <v>41.927260575914062</v>
      </c>
      <c r="Z75" s="60">
        <f t="shared" si="87"/>
        <v>3.2018042708811705</v>
      </c>
      <c r="AA75" s="60">
        <f t="shared" si="87"/>
        <v>2.3647627061552736E-2</v>
      </c>
      <c r="AB75" s="60">
        <f t="shared" si="87"/>
        <v>2.7897379009425655E-2</v>
      </c>
      <c r="AC75" s="60">
        <f t="shared" si="87"/>
        <v>0.13658701952912772</v>
      </c>
      <c r="AD75" s="60">
        <f t="shared" si="87"/>
        <v>14.508084410603029</v>
      </c>
      <c r="AE75" s="60">
        <f t="shared" si="87"/>
        <v>1.6448158146023324</v>
      </c>
      <c r="AF75" s="60">
        <f t="shared" si="87"/>
        <v>2.4655212025855708</v>
      </c>
      <c r="AG75" s="60">
        <f t="shared" si="87"/>
        <v>35.93507643878128</v>
      </c>
      <c r="AH75" s="60">
        <f t="shared" si="87"/>
        <v>11.6864505480216</v>
      </c>
      <c r="AI75" s="60">
        <f t="shared" ref="AI75:BB75" si="88">IFERROR(AI18/$B61,".")</f>
        <v>0.84933402359611843</v>
      </c>
      <c r="AJ75" s="60">
        <f t="shared" si="88"/>
        <v>3.2956383572753918</v>
      </c>
      <c r="AK75" s="60">
        <f t="shared" si="88"/>
        <v>4.2412821198522668</v>
      </c>
      <c r="AL75" s="60">
        <f t="shared" si="88"/>
        <v>15.379048575688518</v>
      </c>
      <c r="AM75" s="60">
        <f t="shared" si="88"/>
        <v>37.437859237318179</v>
      </c>
      <c r="AN75" s="60">
        <f t="shared" si="88"/>
        <v>0.66591399046491995</v>
      </c>
      <c r="AO75" s="60">
        <f t="shared" si="88"/>
        <v>3.3512004049071131</v>
      </c>
      <c r="AP75" s="60">
        <f t="shared" si="88"/>
        <v>57.831924523555301</v>
      </c>
      <c r="AQ75" s="60">
        <f t="shared" si="88"/>
        <v>3.0755227662119924</v>
      </c>
      <c r="AR75" s="60">
        <f t="shared" si="88"/>
        <v>12.316084155849223</v>
      </c>
      <c r="AS75" s="60">
        <f t="shared" si="88"/>
        <v>19.527091149112589</v>
      </c>
      <c r="AT75" s="60">
        <f t="shared" si="88"/>
        <v>32.919450686557532</v>
      </c>
      <c r="AU75" s="60">
        <f t="shared" si="88"/>
        <v>8.5105178378299637</v>
      </c>
      <c r="AV75" s="60">
        <f t="shared" si="88"/>
        <v>1.181049214350731</v>
      </c>
      <c r="AW75" s="60">
        <f t="shared" si="88"/>
        <v>29.923903658874519</v>
      </c>
      <c r="AX75" s="60">
        <f t="shared" si="88"/>
        <v>1.6537644057352761</v>
      </c>
      <c r="AY75" s="60">
        <f t="shared" si="88"/>
        <v>40.789955824171912</v>
      </c>
      <c r="AZ75" s="60">
        <f t="shared" si="88"/>
        <v>2.5975718587270555</v>
      </c>
      <c r="BA75" s="60">
        <f t="shared" si="88"/>
        <v>1.8335451515551292E-2</v>
      </c>
      <c r="BB75" s="60">
        <f t="shared" si="88"/>
        <v>2.223768878778961E-2</v>
      </c>
    </row>
    <row r="76" spans="1:54" x14ac:dyDescent="0.25">
      <c r="A76" s="182" t="s">
        <v>1083</v>
      </c>
      <c r="B76" s="183">
        <v>1.339E-6</v>
      </c>
      <c r="C76" s="60" t="str">
        <f t="shared" ref="C76:AH76" si="89">IFERROR(C27/$B62,".")</f>
        <v>.</v>
      </c>
      <c r="D76" s="60" t="str">
        <f t="shared" si="89"/>
        <v>.</v>
      </c>
      <c r="E76" s="60" t="str">
        <f t="shared" si="89"/>
        <v>.</v>
      </c>
      <c r="F76" s="60" t="str">
        <f t="shared" si="89"/>
        <v>.</v>
      </c>
      <c r="G76" s="60" t="str">
        <f t="shared" si="89"/>
        <v>.</v>
      </c>
      <c r="H76" s="60" t="str">
        <f t="shared" si="89"/>
        <v>.</v>
      </c>
      <c r="I76" s="60" t="str">
        <f t="shared" si="89"/>
        <v>.</v>
      </c>
      <c r="J76" s="60" t="str">
        <f t="shared" si="89"/>
        <v>.</v>
      </c>
      <c r="K76" s="60" t="str">
        <f t="shared" si="89"/>
        <v>.</v>
      </c>
      <c r="L76" s="60" t="str">
        <f t="shared" si="89"/>
        <v>.</v>
      </c>
      <c r="M76" s="60" t="str">
        <f t="shared" si="89"/>
        <v>.</v>
      </c>
      <c r="N76" s="60" t="str">
        <f t="shared" si="89"/>
        <v>.</v>
      </c>
      <c r="O76" s="60" t="str">
        <f t="shared" si="89"/>
        <v>.</v>
      </c>
      <c r="P76" s="60" t="str">
        <f t="shared" si="89"/>
        <v>.</v>
      </c>
      <c r="Q76" s="60" t="str">
        <f t="shared" si="89"/>
        <v>.</v>
      </c>
      <c r="R76" s="60" t="str">
        <f t="shared" si="89"/>
        <v>.</v>
      </c>
      <c r="S76" s="60" t="str">
        <f t="shared" si="89"/>
        <v>.</v>
      </c>
      <c r="T76" s="60" t="str">
        <f t="shared" si="89"/>
        <v>.</v>
      </c>
      <c r="U76" s="60" t="str">
        <f t="shared" si="89"/>
        <v>.</v>
      </c>
      <c r="V76" s="60" t="str">
        <f t="shared" si="89"/>
        <v>.</v>
      </c>
      <c r="W76" s="60" t="str">
        <f t="shared" si="89"/>
        <v>.</v>
      </c>
      <c r="X76" s="60" t="str">
        <f t="shared" si="89"/>
        <v>.</v>
      </c>
      <c r="Y76" s="60" t="str">
        <f t="shared" si="89"/>
        <v>.</v>
      </c>
      <c r="Z76" s="60" t="str">
        <f t="shared" si="89"/>
        <v>.</v>
      </c>
      <c r="AA76" s="60" t="str">
        <f t="shared" si="89"/>
        <v>.</v>
      </c>
      <c r="AB76" s="60" t="str">
        <f t="shared" si="89"/>
        <v>.</v>
      </c>
      <c r="AC76" s="60" t="str">
        <f t="shared" si="89"/>
        <v>.</v>
      </c>
      <c r="AD76" s="60" t="str">
        <f t="shared" si="89"/>
        <v>.</v>
      </c>
      <c r="AE76" s="60" t="str">
        <f t="shared" si="89"/>
        <v>.</v>
      </c>
      <c r="AF76" s="60" t="str">
        <f t="shared" si="89"/>
        <v>.</v>
      </c>
      <c r="AG76" s="60" t="str">
        <f t="shared" si="89"/>
        <v>.</v>
      </c>
      <c r="AH76" s="60" t="str">
        <f t="shared" si="89"/>
        <v>.</v>
      </c>
      <c r="AI76" s="60" t="str">
        <f t="shared" ref="AI76:BB76" si="90">IFERROR(AI27/$B62,".")</f>
        <v>.</v>
      </c>
      <c r="AJ76" s="60" t="str">
        <f t="shared" si="90"/>
        <v>.</v>
      </c>
      <c r="AK76" s="60" t="str">
        <f t="shared" si="90"/>
        <v>.</v>
      </c>
      <c r="AL76" s="60" t="str">
        <f t="shared" si="90"/>
        <v>.</v>
      </c>
      <c r="AM76" s="60" t="str">
        <f t="shared" si="90"/>
        <v>.</v>
      </c>
      <c r="AN76" s="60" t="str">
        <f t="shared" si="90"/>
        <v>.</v>
      </c>
      <c r="AO76" s="60" t="str">
        <f t="shared" si="90"/>
        <v>.</v>
      </c>
      <c r="AP76" s="60" t="str">
        <f t="shared" si="90"/>
        <v>.</v>
      </c>
      <c r="AQ76" s="60" t="str">
        <f t="shared" si="90"/>
        <v>.</v>
      </c>
      <c r="AR76" s="60" t="str">
        <f t="shared" si="90"/>
        <v>.</v>
      </c>
      <c r="AS76" s="60" t="str">
        <f t="shared" si="90"/>
        <v>.</v>
      </c>
      <c r="AT76" s="60" t="str">
        <f t="shared" si="90"/>
        <v>.</v>
      </c>
      <c r="AU76" s="60" t="str">
        <f t="shared" si="90"/>
        <v>.</v>
      </c>
      <c r="AV76" s="60" t="str">
        <f t="shared" si="90"/>
        <v>.</v>
      </c>
      <c r="AW76" s="60" t="str">
        <f t="shared" si="90"/>
        <v>.</v>
      </c>
      <c r="AX76" s="60" t="str">
        <f t="shared" si="90"/>
        <v>.</v>
      </c>
      <c r="AY76" s="60" t="str">
        <f t="shared" si="90"/>
        <v>.</v>
      </c>
      <c r="AZ76" s="60" t="str">
        <f t="shared" si="90"/>
        <v>.</v>
      </c>
      <c r="BA76" s="60" t="str">
        <f t="shared" si="90"/>
        <v>.</v>
      </c>
      <c r="BB76" s="60" t="str">
        <f t="shared" si="90"/>
        <v>.</v>
      </c>
    </row>
  </sheetData>
  <sheetProtection algorithmName="SHA-512" hashValue="0gNIFCOZFtfx3dG9jxbygsx1pGRE4p9gNbBE9hpXNnZ3yWfdADJ7OJKgZbdqM0GAbkiakAnMNShEDozUYan5AQ==" saltValue="d8pfb8lnjd/ZJZmlFS/KVw==" spinCount="100000" sheet="1" formatColumns="0" formatRows="0" autoFilter="0"/>
  <autoFilter ref="A1:BB76" xr:uid="{00000000-0009-0000-0000-000004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5.42578125" style="69" bestFit="1" customWidth="1"/>
    <col min="2" max="2" width="13.28515625" style="69" bestFit="1" customWidth="1"/>
    <col min="3" max="3" width="23" style="71" bestFit="1" customWidth="1"/>
    <col min="4" max="4" width="12.140625" style="71" bestFit="1" customWidth="1"/>
    <col min="5" max="5" width="12.42578125" style="71" bestFit="1" customWidth="1"/>
    <col min="6" max="6" width="11.140625" style="71" bestFit="1" customWidth="1"/>
    <col min="7" max="7" width="11.85546875" style="71" bestFit="1" customWidth="1"/>
    <col min="8" max="8" width="11.28515625" style="71" bestFit="1" customWidth="1"/>
    <col min="9" max="9" width="11.5703125" style="71" bestFit="1" customWidth="1"/>
    <col min="10" max="10" width="11" style="71" bestFit="1" customWidth="1"/>
    <col min="11" max="11" width="12.42578125" style="71" bestFit="1" customWidth="1"/>
    <col min="12" max="12" width="11.28515625" style="71" bestFit="1" customWidth="1"/>
    <col min="13" max="13" width="13" style="71" bestFit="1" customWidth="1"/>
    <col min="14" max="14" width="10.140625" style="71" bestFit="1" customWidth="1"/>
    <col min="15" max="16" width="11.28515625" style="71" bestFit="1" customWidth="1"/>
    <col min="17" max="17" width="12.42578125" style="71" bestFit="1" customWidth="1"/>
    <col min="18" max="18" width="12.5703125" style="71" bestFit="1" customWidth="1"/>
    <col min="19" max="19" width="11.28515625" style="71" bestFit="1" customWidth="1"/>
    <col min="20" max="20" width="10.42578125" style="71" bestFit="1" customWidth="1"/>
    <col min="21" max="21" width="11.5703125" style="71" bestFit="1" customWidth="1"/>
    <col min="22" max="22" width="11.85546875" style="71" bestFit="1" customWidth="1"/>
    <col min="23" max="23" width="12.140625" style="71" bestFit="1" customWidth="1"/>
    <col min="24" max="24" width="11.5703125" style="71" bestFit="1" customWidth="1"/>
    <col min="25" max="25" width="12.140625" style="71" bestFit="1" customWidth="1"/>
    <col min="26" max="27" width="10.5703125" style="71" bestFit="1" customWidth="1"/>
    <col min="28" max="28" width="12.7109375" style="71" bestFit="1" customWidth="1"/>
    <col min="29" max="29" width="22.7109375" style="71" bestFit="1" customWidth="1"/>
    <col min="30" max="30" width="12" style="71" bestFit="1" customWidth="1"/>
    <col min="31" max="31" width="12.140625" style="71" bestFit="1" customWidth="1"/>
    <col min="32" max="32" width="10.85546875" style="71" bestFit="1" customWidth="1"/>
    <col min="33" max="33" width="11.7109375" style="71" bestFit="1" customWidth="1"/>
    <col min="34" max="34" width="11.140625" style="71" bestFit="1" customWidth="1"/>
    <col min="35" max="35" width="11.42578125" style="71" bestFit="1" customWidth="1"/>
    <col min="36" max="36" width="10.7109375" style="71" bestFit="1" customWidth="1"/>
    <col min="37" max="37" width="12.140625" style="71" bestFit="1" customWidth="1"/>
    <col min="38" max="38" width="11.140625" style="71" bestFit="1" customWidth="1"/>
    <col min="39" max="39" width="12.85546875" style="71" bestFit="1" customWidth="1"/>
    <col min="40" max="40" width="10" style="71" bestFit="1" customWidth="1"/>
    <col min="41" max="42" width="11.140625" style="71" bestFit="1" customWidth="1"/>
    <col min="43" max="43" width="12.140625" style="71" bestFit="1" customWidth="1"/>
    <col min="44" max="44" width="12.42578125" style="71" bestFit="1" customWidth="1"/>
    <col min="45" max="45" width="11.140625" style="71" bestFit="1" customWidth="1"/>
    <col min="46" max="46" width="10.28515625" style="71" bestFit="1" customWidth="1"/>
    <col min="47" max="47" width="11.42578125" style="71" bestFit="1" customWidth="1"/>
    <col min="48" max="48" width="11.7109375" style="71" bestFit="1" customWidth="1"/>
    <col min="49" max="49" width="12" style="71" bestFit="1" customWidth="1"/>
    <col min="50" max="50" width="11.42578125" style="71" bestFit="1" customWidth="1"/>
    <col min="51" max="51" width="12" style="71" bestFit="1" customWidth="1"/>
    <col min="52" max="53" width="10.42578125" style="71" bestFit="1" customWidth="1"/>
    <col min="54" max="54" width="11.7109375" style="71" bestFit="1" customWidth="1"/>
    <col min="55" max="16384" width="9" style="71"/>
  </cols>
  <sheetData>
    <row r="1" spans="1:54" x14ac:dyDescent="0.25">
      <c r="A1" s="81" t="s">
        <v>39</v>
      </c>
      <c r="B1" s="82" t="s">
        <v>334</v>
      </c>
      <c r="C1" s="83" t="s">
        <v>723</v>
      </c>
      <c r="D1" s="84" t="s">
        <v>553</v>
      </c>
      <c r="E1" s="84" t="s">
        <v>557</v>
      </c>
      <c r="F1" s="84" t="s">
        <v>554</v>
      </c>
      <c r="G1" s="84" t="s">
        <v>555</v>
      </c>
      <c r="H1" s="84" t="s">
        <v>556</v>
      </c>
      <c r="I1" s="84" t="s">
        <v>558</v>
      </c>
      <c r="J1" s="84" t="s">
        <v>559</v>
      </c>
      <c r="K1" s="84" t="s">
        <v>560</v>
      </c>
      <c r="L1" s="84" t="s">
        <v>561</v>
      </c>
      <c r="M1" s="84" t="s">
        <v>562</v>
      </c>
      <c r="N1" s="84" t="s">
        <v>563</v>
      </c>
      <c r="O1" s="84" t="s">
        <v>564</v>
      </c>
      <c r="P1" s="84" t="s">
        <v>565</v>
      </c>
      <c r="Q1" s="84" t="s">
        <v>566</v>
      </c>
      <c r="R1" s="84" t="s">
        <v>567</v>
      </c>
      <c r="S1" s="84" t="s">
        <v>568</v>
      </c>
      <c r="T1" s="84" t="s">
        <v>569</v>
      </c>
      <c r="U1" s="84" t="s">
        <v>1270</v>
      </c>
      <c r="V1" s="84" t="s">
        <v>570</v>
      </c>
      <c r="W1" s="84" t="s">
        <v>571</v>
      </c>
      <c r="X1" s="84" t="s">
        <v>572</v>
      </c>
      <c r="Y1" s="84" t="s">
        <v>573</v>
      </c>
      <c r="Z1" s="84" t="s">
        <v>574</v>
      </c>
      <c r="AA1" s="84" t="s">
        <v>575</v>
      </c>
      <c r="AB1" s="84" t="s">
        <v>624</v>
      </c>
      <c r="AC1" s="84" t="s">
        <v>724</v>
      </c>
      <c r="AD1" s="84" t="s">
        <v>576</v>
      </c>
      <c r="AE1" s="84" t="s">
        <v>577</v>
      </c>
      <c r="AF1" s="84" t="s">
        <v>578</v>
      </c>
      <c r="AG1" s="84" t="s">
        <v>579</v>
      </c>
      <c r="AH1" s="84" t="s">
        <v>580</v>
      </c>
      <c r="AI1" s="84" t="s">
        <v>581</v>
      </c>
      <c r="AJ1" s="84" t="s">
        <v>582</v>
      </c>
      <c r="AK1" s="84" t="s">
        <v>583</v>
      </c>
      <c r="AL1" s="84" t="s">
        <v>584</v>
      </c>
      <c r="AM1" s="84" t="s">
        <v>585</v>
      </c>
      <c r="AN1" s="84" t="s">
        <v>586</v>
      </c>
      <c r="AO1" s="84" t="s">
        <v>587</v>
      </c>
      <c r="AP1" s="84" t="s">
        <v>588</v>
      </c>
      <c r="AQ1" s="84" t="s">
        <v>589</v>
      </c>
      <c r="AR1" s="84" t="s">
        <v>590</v>
      </c>
      <c r="AS1" s="84" t="s">
        <v>591</v>
      </c>
      <c r="AT1" s="84" t="s">
        <v>592</v>
      </c>
      <c r="AU1" s="84" t="s">
        <v>1286</v>
      </c>
      <c r="AV1" s="84" t="s">
        <v>593</v>
      </c>
      <c r="AW1" s="84" t="s">
        <v>594</v>
      </c>
      <c r="AX1" s="84" t="s">
        <v>595</v>
      </c>
      <c r="AY1" s="84" t="s">
        <v>596</v>
      </c>
      <c r="AZ1" s="84" t="s">
        <v>597</v>
      </c>
      <c r="BA1" s="84" t="s">
        <v>598</v>
      </c>
      <c r="BB1" s="84" t="s">
        <v>599</v>
      </c>
    </row>
    <row r="2" spans="1:54" ht="15" customHeight="1" x14ac:dyDescent="0.25">
      <c r="A2" s="86" t="s">
        <v>0</v>
      </c>
      <c r="B2" s="84" t="s">
        <v>1057</v>
      </c>
      <c r="C2" s="2">
        <f>IFERROR(1/SUM(1/D2,1/E2,1/F2,1/G2,1/H2,1/I2,1/J2,1/K2,1/L2,1/M2,1/N2,1/O2,1/P2,1/Q2,1/R2,1/S2,1/T2,1/U2,1/V2,1/W2,1/X2,1/Y2,1/Z2),".")</f>
        <v>2.99074779344159</v>
      </c>
      <c r="D2" s="70">
        <f>IFERROR(IF(AND(d_Irr!C2&lt;&gt;".",d_Irr!AB2&lt;&gt;".",d_Irr!BA2&lt;&gt;"."),d_dir!D2/((1/1000)*(d_Irr!C2+d_Irr!AB2+d_Irr!BA2)),IF(AND(d_Irr!C2&lt;&gt;".",d_Irr!AB2&lt;&gt;".",d_Irr!BA2="."),d_dir!D2/((1/1000)*(d_Irr!C2+d_Irr!AB2)),IF(AND(d_Irr!C2&lt;&gt;".",d_Irr!AB2=".",d_Irr!BA2&lt;&gt;"."),d_dir!D2/((1/1000)*(d_Irr!C2+d_Irr!BA2)),IF(AND(d_Irr!C2=".",d_Irr!AB2&lt;&gt;".",d_Irr!BA2&lt;&gt;"."),d_dir!D2/((1/1000)*(d_Irr!AB2+d_Irr!BA2)),IF(AND(d_Irr!C2=".",d_Irr!AB2=".",d_Irr!BA2&lt;&gt;"."),d_dir!D2/((1/1000)*(d_Irr!BA2)),IF(AND(d_Irr!C2=".",d_Irr!AB2&lt;&gt;".",d_Irr!BA2="."),d_dir!D2/((1/1000)*(d_Irr!AB2)),IF(AND(d_Irr!C2&lt;&gt;".",d_Irr!AB2=".",d_Irr!BA2="."),d_dir!D2/((1/1000)*(d_Irr!C2)),IF(AND(d_Irr!C2=".",d_Irr!AB2=".",d_Irr!BA2="."),d_dir!D2*1000)))))))),".")</f>
        <v>54.557402141523248</v>
      </c>
      <c r="E2" s="70">
        <f>IFERROR(IF(AND(d_Irr!D2&lt;&gt;".",d_Irr!AC2&lt;&gt;".",d_Irr!BB2&lt;&gt;"."),d_dir!E2/((1/1000)*(d_Irr!D2+d_Irr!AC2+d_Irr!BB2)),IF(AND(d_Irr!D2&lt;&gt;".",d_Irr!AC2&lt;&gt;".",d_Irr!BB2="."),d_dir!E2/((1/1000)*(d_Irr!D2+d_Irr!AC2)),IF(AND(d_Irr!D2&lt;&gt;".",d_Irr!AC2=".",d_Irr!BB2&lt;&gt;"."),d_dir!E2/((1/1000)*(d_Irr!D2+d_Irr!BB2)),IF(AND(d_Irr!D2=".",d_Irr!AC2&lt;&gt;".",d_Irr!BB2&lt;&gt;"."),d_dir!E2/((1/1000)*(d_Irr!AC2+d_Irr!BB2)),IF(AND(d_Irr!D2=".",d_Irr!AC2=".",d_Irr!BB2&lt;&gt;"."),d_dir!E2/((1/1000)*(d_Irr!BB2)),IF(AND(d_Irr!D2=".",d_Irr!AC2&lt;&gt;".",d_Irr!BB2="."),d_dir!E2/((1/1000)*(d_Irr!AC2)),IF(AND(d_Irr!D2&lt;&gt;".",d_Irr!AC2=".",d_Irr!BB2="."),d_dir!E2/((1/1000)*(d_Irr!D2)),IF(AND(d_Irr!D2=".",d_Irr!AC2=".",d_Irr!BB2="."),d_dir!E2*1000)))))))),".")</f>
        <v>119.32834767093985</v>
      </c>
      <c r="F2" s="70">
        <f>IFERROR(IF(AND(d_Irr!E2&lt;&gt;".",d_Irr!AD2&lt;&gt;".",d_Irr!BC2&lt;&gt;"."),d_dir!F2/((1/1000)*(d_Irr!E2+d_Irr!AD2+d_Irr!BC2)),IF(AND(d_Irr!E2&lt;&gt;".",d_Irr!AD2&lt;&gt;".",d_Irr!BC2="."),d_dir!F2/((1/1000)*(d_Irr!E2+d_Irr!AD2)),IF(AND(d_Irr!E2&lt;&gt;".",d_Irr!AD2=".",d_Irr!BC2&lt;&gt;"."),d_dir!F2/((1/1000)*(d_Irr!E2+d_Irr!BC2)),IF(AND(d_Irr!E2=".",d_Irr!AD2&lt;&gt;".",d_Irr!BC2&lt;&gt;"."),d_dir!F2/((1/1000)*(d_Irr!AD2+d_Irr!BC2)),IF(AND(d_Irr!E2=".",d_Irr!AD2=".",d_Irr!BC2&lt;&gt;"."),d_dir!F2/((1/1000)*(d_Irr!BC2)),IF(AND(d_Irr!E2=".",d_Irr!AD2&lt;&gt;".",d_Irr!BC2="."),d_dir!F2/((1/1000)*(d_Irr!AD2)),IF(AND(d_Irr!E2&lt;&gt;".",d_Irr!AD2=".",d_Irr!BC2="."),d_dir!F2/((1/1000)*(d_Irr!E2)),IF(AND(d_Irr!E2=".",d_Irr!AD2=".",d_Irr!BC2="."),d_dir!F2*1000)))))))),".")</f>
        <v>143.84979966889156</v>
      </c>
      <c r="G2" s="70">
        <f>IFERROR(IF(AND(d_Irr!F2&lt;&gt;".",d_Irr!AE2&lt;&gt;".",d_Irr!BD2&lt;&gt;"."),d_dir!G2/((1/1000)*(d_Irr!F2+d_Irr!AE2+d_Irr!BD2)),IF(AND(d_Irr!F2&lt;&gt;".",d_Irr!AE2&lt;&gt;".",d_Irr!BD2="."),d_dir!G2/((1/1000)*(d_Irr!F2+d_Irr!AE2)),IF(AND(d_Irr!F2&lt;&gt;".",d_Irr!AE2=".",d_Irr!BD2&lt;&gt;"."),d_dir!G2/((1/1000)*(d_Irr!F2+d_Irr!BD2)),IF(AND(d_Irr!F2=".",d_Irr!AE2&lt;&gt;".",d_Irr!BD2&lt;&gt;"."),d_dir!G2/((1/1000)*(d_Irr!AE2+d_Irr!BD2)),IF(AND(d_Irr!F2=".",d_Irr!AE2=".",d_Irr!BD2&lt;&gt;"."),d_dir!G2/((1/1000)*(d_Irr!BD2)),IF(AND(d_Irr!F2=".",d_Irr!AE2&lt;&gt;".",d_Irr!BD2="."),d_dir!G2/((1/1000)*(d_Irr!AE2)),IF(AND(d_Irr!F2&lt;&gt;".",d_Irr!AE2=".",d_Irr!BD2="."),d_dir!G2/((1/1000)*(d_Irr!F2)),IF(AND(d_Irr!F2=".",d_Irr!AE2=".",d_Irr!BD2="."),d_dir!G2*1000)))))))),".")</f>
        <v>122.67269976709279</v>
      </c>
      <c r="H2" s="70">
        <f>IFERROR(IF(AND(d_Irr!G2&lt;&gt;".",d_Irr!AF2&lt;&gt;".",d_Irr!BE2&lt;&gt;"."),d_dir!H2/((1/1000)*(d_Irr!G2+d_Irr!AF2+d_Irr!BE2)),IF(AND(d_Irr!G2&lt;&gt;".",d_Irr!AF2&lt;&gt;".",d_Irr!BE2="."),d_dir!H2/((1/1000)*(d_Irr!G2+d_Irr!AF2)),IF(AND(d_Irr!G2&lt;&gt;".",d_Irr!AF2=".",d_Irr!BE2&lt;&gt;"."),d_dir!H2/((1/1000)*(d_Irr!G2+d_Irr!BE2)),IF(AND(d_Irr!G2=".",d_Irr!AF2&lt;&gt;".",d_Irr!BE2&lt;&gt;"."),d_dir!H2/((1/1000)*(d_Irr!AF2+d_Irr!BE2)),IF(AND(d_Irr!G2=".",d_Irr!AF2=".",d_Irr!BE2&lt;&gt;"."),d_dir!H2/((1/1000)*(d_Irr!BE2)),IF(AND(d_Irr!G2=".",d_Irr!AF2&lt;&gt;".",d_Irr!BE2="."),d_dir!H2/((1/1000)*(d_Irr!AF2)),IF(AND(d_Irr!G2&lt;&gt;".",d_Irr!AF2=".",d_Irr!BE2="."),d_dir!H2/((1/1000)*(d_Irr!G2)),IF(AND(d_Irr!G2=".",d_Irr!AF2=".",d_Irr!BE2="."),d_dir!H2*1000)))))))),".")</f>
        <v>149.88739292408502</v>
      </c>
      <c r="I2" s="70">
        <f>IFERROR(IF(AND(d_Irr!H2&lt;&gt;".",d_Irr!AG2&lt;&gt;".",d_Irr!BF2&lt;&gt;"."),d_dir!I2/((1/1000)*(d_Irr!H2+d_Irr!AG2+d_Irr!BF2)),IF(AND(d_Irr!H2&lt;&gt;".",d_Irr!AG2&lt;&gt;".",d_Irr!BF2="."),d_dir!I2/((1/1000)*(d_Irr!H2+d_Irr!AG2)),IF(AND(d_Irr!H2&lt;&gt;".",d_Irr!AG2=".",d_Irr!BF2&lt;&gt;"."),d_dir!I2/((1/1000)*(d_Irr!H2+d_Irr!BF2)),IF(AND(d_Irr!H2=".",d_Irr!AG2&lt;&gt;".",d_Irr!BF2&lt;&gt;"."),d_dir!I2/((1/1000)*(d_Irr!AG2+d_Irr!BF2)),IF(AND(d_Irr!H2=".",d_Irr!AG2=".",d_Irr!BF2&lt;&gt;"."),d_dir!I2/((1/1000)*(d_Irr!BF2)),IF(AND(d_Irr!H2=".",d_Irr!AG2&lt;&gt;".",d_Irr!BF2="."),d_dir!I2/((1/1000)*(d_Irr!AG2)),IF(AND(d_Irr!H2&lt;&gt;".",d_Irr!AG2=".",d_Irr!BF2="."),d_dir!I2/((1/1000)*(d_Irr!H2)),IF(AND(d_Irr!H2=".",d_Irr!AG2=".",d_Irr!BF2="."),d_dir!I2*1000)))))))),".")</f>
        <v>58.763654959598455</v>
      </c>
      <c r="J2" s="70">
        <f>IFERROR(IF(AND(d_Irr!I2&lt;&gt;".",d_Irr!AH2&lt;&gt;".",d_Irr!BG2&lt;&gt;"."),d_dir!J2/((1/1000)*(d_Irr!I2+d_Irr!AH2+d_Irr!BG2)),IF(AND(d_Irr!I2&lt;&gt;".",d_Irr!AH2&lt;&gt;".",d_Irr!BG2="."),d_dir!J2/((1/1000)*(d_Irr!I2+d_Irr!AH2)),IF(AND(d_Irr!I2&lt;&gt;".",d_Irr!AH2=".",d_Irr!BG2&lt;&gt;"."),d_dir!J2/((1/1000)*(d_Irr!I2+d_Irr!BG2)),IF(AND(d_Irr!I2=".",d_Irr!AH2&lt;&gt;".",d_Irr!BG2&lt;&gt;"."),d_dir!J2/((1/1000)*(d_Irr!AH2+d_Irr!BG2)),IF(AND(d_Irr!I2=".",d_Irr!AH2=".",d_Irr!BG2&lt;&gt;"."),d_dir!J2/((1/1000)*(d_Irr!BG2)),IF(AND(d_Irr!I2=".",d_Irr!AH2&lt;&gt;".",d_Irr!BG2="."),d_dir!J2/((1/1000)*(d_Irr!AH2)),IF(AND(d_Irr!I2&lt;&gt;".",d_Irr!AH2=".",d_Irr!BG2="."),d_dir!J2/((1/1000)*(d_Irr!I2)),IF(AND(d_Irr!I2=".",d_Irr!AH2=".",d_Irr!BG2="."),d_dir!J2*1000)))))))),".")</f>
        <v>165.70539882117441</v>
      </c>
      <c r="K2" s="70">
        <f>IFERROR(IF(AND(d_Irr!J2&lt;&gt;".",d_Irr!AI2&lt;&gt;".",d_Irr!BH2&lt;&gt;"."),d_dir!K2/((1/1000)*(d_Irr!J2+d_Irr!AI2+d_Irr!BH2)),IF(AND(d_Irr!J2&lt;&gt;".",d_Irr!AI2&lt;&gt;".",d_Irr!BH2="."),d_dir!K2/((1/1000)*(d_Irr!J2+d_Irr!AI2)),IF(AND(d_Irr!J2&lt;&gt;".",d_Irr!AI2=".",d_Irr!BH2&lt;&gt;"."),d_dir!K2/((1/1000)*(d_Irr!J2+d_Irr!BH2)),IF(AND(d_Irr!J2=".",d_Irr!AI2&lt;&gt;".",d_Irr!BH2&lt;&gt;"."),d_dir!K2/((1/1000)*(d_Irr!AI2+d_Irr!BH2)),IF(AND(d_Irr!J2=".",d_Irr!AI2=".",d_Irr!BH2&lt;&gt;"."),d_dir!K2/((1/1000)*(d_Irr!BH2)),IF(AND(d_Irr!J2=".",d_Irr!AI2&lt;&gt;".",d_Irr!BH2="."),d_dir!K2/((1/1000)*(d_Irr!AI2)),IF(AND(d_Irr!J2&lt;&gt;".",d_Irr!AI2=".",d_Irr!BH2="."),d_dir!K2/((1/1000)*(d_Irr!J2)),IF(AND(d_Irr!J2=".",d_Irr!AI2=".",d_Irr!BH2="."),d_dir!K2*1000)))))))),".")</f>
        <v>14.143540094844441</v>
      </c>
      <c r="L2" s="70">
        <f>IFERROR(IF(AND(d_Irr!K2&lt;&gt;".",d_Irr!AJ2&lt;&gt;".",d_Irr!BI2&lt;&gt;"."),d_dir!L2/((1/1000)*(d_Irr!K2+d_Irr!AJ2+d_Irr!BI2)),IF(AND(d_Irr!K2&lt;&gt;".",d_Irr!AJ2&lt;&gt;".",d_Irr!BI2="."),d_dir!L2/((1/1000)*(d_Irr!K2+d_Irr!AJ2)),IF(AND(d_Irr!K2&lt;&gt;".",d_Irr!AJ2=".",d_Irr!BI2&lt;&gt;"."),d_dir!L2/((1/1000)*(d_Irr!K2+d_Irr!BI2)),IF(AND(d_Irr!K2=".",d_Irr!AJ2&lt;&gt;".",d_Irr!BI2&lt;&gt;"."),d_dir!L2/((1/1000)*(d_Irr!AJ2+d_Irr!BI2)),IF(AND(d_Irr!K2=".",d_Irr!AJ2=".",d_Irr!BI2&lt;&gt;"."),d_dir!L2/((1/1000)*(d_Irr!BI2)),IF(AND(d_Irr!K2=".",d_Irr!AJ2&lt;&gt;".",d_Irr!BI2="."),d_dir!L2/((1/1000)*(d_Irr!AJ2)),IF(AND(d_Irr!K2&lt;&gt;".",d_Irr!AJ2=".",d_Irr!BI2="."),d_dir!L2/((1/1000)*(d_Irr!K2)),IF(AND(d_Irr!K2=".",d_Irr!AJ2=".",d_Irr!BI2="."),d_dir!L2*1000)))))))),".")</f>
        <v>77.549504405807681</v>
      </c>
      <c r="M2" s="70">
        <f>IFERROR(IF(AND(d_Irr!L2&lt;&gt;".",d_Irr!AK2&lt;&gt;".",d_Irr!BJ2&lt;&gt;"."),d_dir!M2/((1/1000)*(d_Irr!L2+d_Irr!AK2+d_Irr!BJ2)),IF(AND(d_Irr!L2&lt;&gt;".",d_Irr!AK2&lt;&gt;".",d_Irr!BJ2="."),d_dir!M2/((1/1000)*(d_Irr!L2+d_Irr!AK2)),IF(AND(d_Irr!L2&lt;&gt;".",d_Irr!AK2=".",d_Irr!BJ2&lt;&gt;"."),d_dir!M2/((1/1000)*(d_Irr!L2+d_Irr!BJ2)),IF(AND(d_Irr!L2=".",d_Irr!AK2&lt;&gt;".",d_Irr!BJ2&lt;&gt;"."),d_dir!M2/((1/1000)*(d_Irr!AK2+d_Irr!BJ2)),IF(AND(d_Irr!L2=".",d_Irr!AK2=".",d_Irr!BJ2&lt;&gt;"."),d_dir!M2/((1/1000)*(d_Irr!BJ2)),IF(AND(d_Irr!L2=".",d_Irr!AK2&lt;&gt;".",d_Irr!BJ2="."),d_dir!M2/((1/1000)*(d_Irr!AK2)),IF(AND(d_Irr!L2&lt;&gt;".",d_Irr!AK2=".",d_Irr!BJ2="."),d_dir!M2/((1/1000)*(d_Irr!L2)),IF(AND(d_Irr!L2=".",d_Irr!AK2=".",d_Irr!BJ2="."),d_dir!M2*1000)))))))),".")</f>
        <v>58.148897029392991</v>
      </c>
      <c r="N2" s="70">
        <f>IFERROR(IF(AND(d_Irr!M2&lt;&gt;".",d_Irr!AL2&lt;&gt;".",d_Irr!BK2&lt;&gt;"."),d_dir!N2/((1/1000)*(d_Irr!M2+d_Irr!AL2+d_Irr!BK2)),IF(AND(d_Irr!M2&lt;&gt;".",d_Irr!AL2&lt;&gt;".",d_Irr!BK2="."),d_dir!N2/((1/1000)*(d_Irr!M2+d_Irr!AL2)),IF(AND(d_Irr!M2&lt;&gt;".",d_Irr!AL2=".",d_Irr!BK2&lt;&gt;"."),d_dir!N2/((1/1000)*(d_Irr!M2+d_Irr!BK2)),IF(AND(d_Irr!M2=".",d_Irr!AL2&lt;&gt;".",d_Irr!BK2&lt;&gt;"."),d_dir!N2/((1/1000)*(d_Irr!AL2+d_Irr!BK2)),IF(AND(d_Irr!M2=".",d_Irr!AL2=".",d_Irr!BK2&lt;&gt;"."),d_dir!N2/((1/1000)*(d_Irr!BK2)),IF(AND(d_Irr!M2=".",d_Irr!AL2&lt;&gt;".",d_Irr!BK2="."),d_dir!N2/((1/1000)*(d_Irr!AL2)),IF(AND(d_Irr!M2&lt;&gt;".",d_Irr!AL2=".",d_Irr!BK2="."),d_dir!N2/((1/1000)*(d_Irr!M2)),IF(AND(d_Irr!M2=".",d_Irr!AL2=".",d_Irr!BK2="."),d_dir!N2*1000)))))))),".")</f>
        <v>122.19292357660703</v>
      </c>
      <c r="O2" s="70">
        <f>IFERROR(IF(AND(d_Irr!N2&lt;&gt;".",d_Irr!AM2&lt;&gt;".",d_Irr!BL2&lt;&gt;"."),d_dir!O2/((1/1000)*(d_Irr!N2+d_Irr!AM2+d_Irr!BL2)),IF(AND(d_Irr!N2&lt;&gt;".",d_Irr!AM2&lt;&gt;".",d_Irr!BL2="."),d_dir!O2/((1/1000)*(d_Irr!N2+d_Irr!AM2)),IF(AND(d_Irr!N2&lt;&gt;".",d_Irr!AM2=".",d_Irr!BL2&lt;&gt;"."),d_dir!O2/((1/1000)*(d_Irr!N2+d_Irr!BL2)),IF(AND(d_Irr!N2=".",d_Irr!AM2&lt;&gt;".",d_Irr!BL2&lt;&gt;"."),d_dir!O2/((1/1000)*(d_Irr!AM2+d_Irr!BL2)),IF(AND(d_Irr!N2=".",d_Irr!AM2=".",d_Irr!BL2&lt;&gt;"."),d_dir!O2/((1/1000)*(d_Irr!BL2)),IF(AND(d_Irr!N2=".",d_Irr!AM2&lt;&gt;".",d_Irr!BL2="."),d_dir!O2/((1/1000)*(d_Irr!AM2)),IF(AND(d_Irr!N2&lt;&gt;".",d_Irr!AM2=".",d_Irr!BL2="."),d_dir!O2/((1/1000)*(d_Irr!N2)),IF(AND(d_Irr!N2=".",d_Irr!AM2=".",d_Irr!BL2="."),d_dir!O2*1000)))))))),".")</f>
        <v>124.18986293472226</v>
      </c>
      <c r="P2" s="70">
        <f>IFERROR(IF(AND(d_Irr!O2&lt;&gt;".",d_Irr!AN2&lt;&gt;".",d_Irr!BM2&lt;&gt;"."),d_dir!P2/((1/1000)*(d_Irr!O2+d_Irr!AN2+d_Irr!BM2)),IF(AND(d_Irr!O2&lt;&gt;".",d_Irr!AN2&lt;&gt;".",d_Irr!BM2="."),d_dir!P2/((1/1000)*(d_Irr!O2+d_Irr!AN2)),IF(AND(d_Irr!O2&lt;&gt;".",d_Irr!AN2=".",d_Irr!BM2&lt;&gt;"."),d_dir!P2/((1/1000)*(d_Irr!O2+d_Irr!BM2)),IF(AND(d_Irr!O2=".",d_Irr!AN2&lt;&gt;".",d_Irr!BM2&lt;&gt;"."),d_dir!P2/((1/1000)*(d_Irr!AN2+d_Irr!BM2)),IF(AND(d_Irr!O2=".",d_Irr!AN2=".",d_Irr!BM2&lt;&gt;"."),d_dir!P2/((1/1000)*(d_Irr!BM2)),IF(AND(d_Irr!O2=".",d_Irr!AN2&lt;&gt;".",d_Irr!BM2="."),d_dir!P2/((1/1000)*(d_Irr!AN2)),IF(AND(d_Irr!O2&lt;&gt;".",d_Irr!AN2=".",d_Irr!BM2="."),d_dir!P2/((1/1000)*(d_Irr!O2)),IF(AND(d_Irr!O2=".",d_Irr!AN2=".",d_Irr!BM2="."),d_dir!P2*1000)))))))),".")</f>
        <v>156.86601982124893</v>
      </c>
      <c r="Q2" s="70">
        <f>IFERROR(IF(AND(d_Irr!P2&lt;&gt;".",d_Irr!AO2&lt;&gt;".",d_Irr!BN2&lt;&gt;"."),d_dir!Q2/((1/1000)*(d_Irr!P2+d_Irr!AO2+d_Irr!BN2)),IF(AND(d_Irr!P2&lt;&gt;".",d_Irr!AO2&lt;&gt;".",d_Irr!BN2="."),d_dir!Q2/((1/1000)*(d_Irr!P2+d_Irr!AO2)),IF(AND(d_Irr!P2&lt;&gt;".",d_Irr!AO2=".",d_Irr!BN2&lt;&gt;"."),d_dir!Q2/((1/1000)*(d_Irr!P2+d_Irr!BN2)),IF(AND(d_Irr!P2=".",d_Irr!AO2&lt;&gt;".",d_Irr!BN2&lt;&gt;"."),d_dir!Q2/((1/1000)*(d_Irr!AO2+d_Irr!BN2)),IF(AND(d_Irr!P2=".",d_Irr!AO2=".",d_Irr!BN2&lt;&gt;"."),d_dir!Q2/((1/1000)*(d_Irr!BN2)),IF(AND(d_Irr!P2=".",d_Irr!AO2&lt;&gt;".",d_Irr!BN2="."),d_dir!Q2/((1/1000)*(d_Irr!AO2)),IF(AND(d_Irr!P2&lt;&gt;".",d_Irr!AO2=".",d_Irr!BN2="."),d_dir!Q2/((1/1000)*(d_Irr!P2)),IF(AND(d_Irr!P2=".",d_Irr!AO2=".",d_Irr!BN2="."),d_dir!Q2*1000)))))))),".")</f>
        <v>223.89471093513089</v>
      </c>
      <c r="R2" s="70">
        <f>IFERROR(IF(AND(d_Irr!Q2&lt;&gt;".",d_Irr!AP2&lt;&gt;".",d_Irr!BO2&lt;&gt;"."),d_dir!R2/((1/1000)*(d_Irr!Q2+d_Irr!AP2+d_Irr!BO2)),IF(AND(d_Irr!Q2&lt;&gt;".",d_Irr!AP2&lt;&gt;".",d_Irr!BO2="."),d_dir!R2/((1/1000)*(d_Irr!Q2+d_Irr!AP2)),IF(AND(d_Irr!Q2&lt;&gt;".",d_Irr!AP2=".",d_Irr!BO2&lt;&gt;"."),d_dir!R2/((1/1000)*(d_Irr!Q2+d_Irr!BO2)),IF(AND(d_Irr!Q2=".",d_Irr!AP2&lt;&gt;".",d_Irr!BO2&lt;&gt;"."),d_dir!R2/((1/1000)*(d_Irr!AP2+d_Irr!BO2)),IF(AND(d_Irr!Q2=".",d_Irr!AP2=".",d_Irr!BO2&lt;&gt;"."),d_dir!R2/((1/1000)*(d_Irr!BO2)),IF(AND(d_Irr!Q2=".",d_Irr!AP2&lt;&gt;".",d_Irr!BO2="."),d_dir!R2/((1/1000)*(d_Irr!AP2)),IF(AND(d_Irr!Q2&lt;&gt;".",d_Irr!AP2=".",d_Irr!BO2="."),d_dir!R2/((1/1000)*(d_Irr!Q2)),IF(AND(d_Irr!Q2=".",d_Irr!AP2=".",d_Irr!BO2="."),d_dir!R2*1000)))))))),".")</f>
        <v>35.027215281964772</v>
      </c>
      <c r="S2" s="70">
        <f>IFERROR(IF(AND(d_Irr!R2&lt;&gt;".",d_Irr!AQ2&lt;&gt;".",d_Irr!BP2&lt;&gt;"."),d_dir!S2/((1/1000)*(d_Irr!R2+d_Irr!AQ2+d_Irr!BP2)),IF(AND(d_Irr!R2&lt;&gt;".",d_Irr!AQ2&lt;&gt;".",d_Irr!BP2="."),d_dir!S2/((1/1000)*(d_Irr!R2+d_Irr!AQ2)),IF(AND(d_Irr!R2&lt;&gt;".",d_Irr!AQ2=".",d_Irr!BP2&lt;&gt;"."),d_dir!S2/((1/1000)*(d_Irr!R2+d_Irr!BP2)),IF(AND(d_Irr!R2=".",d_Irr!AQ2&lt;&gt;".",d_Irr!BP2&lt;&gt;"."),d_dir!S2/((1/1000)*(d_Irr!AQ2+d_Irr!BP2)),IF(AND(d_Irr!R2=".",d_Irr!AQ2=".",d_Irr!BP2&lt;&gt;"."),d_dir!S2/((1/1000)*(d_Irr!BP2)),IF(AND(d_Irr!R2=".",d_Irr!AQ2&lt;&gt;".",d_Irr!BP2="."),d_dir!S2/((1/1000)*(d_Irr!AQ2)),IF(AND(d_Irr!R2&lt;&gt;".",d_Irr!AQ2=".",d_Irr!BP2="."),d_dir!S2/((1/1000)*(d_Irr!R2)),IF(AND(d_Irr!R2=".",d_Irr!AQ2=".",d_Irr!BP2="."),d_dir!S2*1000)))))))),".")</f>
        <v>71.469720100620975</v>
      </c>
      <c r="T2" s="70">
        <f>IFERROR(IF(AND(d_Irr!S2&lt;&gt;".",d_Irr!AR2&lt;&gt;".",d_Irr!BQ2&lt;&gt;"."),d_dir!T2/((1/1000)*(d_Irr!S2+d_Irr!AR2+d_Irr!BQ2)),IF(AND(d_Irr!S2&lt;&gt;".",d_Irr!AR2&lt;&gt;".",d_Irr!BQ2="."),d_dir!T2/((1/1000)*(d_Irr!S2+d_Irr!AR2)),IF(AND(d_Irr!S2&lt;&gt;".",d_Irr!AR2=".",d_Irr!BQ2&lt;&gt;"."),d_dir!T2/((1/1000)*(d_Irr!S2+d_Irr!BQ2)),IF(AND(d_Irr!S2=".",d_Irr!AR2&lt;&gt;".",d_Irr!BQ2&lt;&gt;"."),d_dir!T2/((1/1000)*(d_Irr!AR2+d_Irr!BQ2)),IF(AND(d_Irr!S2=".",d_Irr!AR2=".",d_Irr!BQ2&lt;&gt;"."),d_dir!T2/((1/1000)*(d_Irr!BQ2)),IF(AND(d_Irr!S2=".",d_Irr!AR2&lt;&gt;".",d_Irr!BQ2="."),d_dir!T2/((1/1000)*(d_Irr!AR2)),IF(AND(d_Irr!S2&lt;&gt;".",d_Irr!AR2=".",d_Irr!BQ2="."),d_dir!T2/((1/1000)*(d_Irr!S2)),IF(AND(d_Irr!S2=".",d_Irr!AR2=".",d_Irr!BQ2="."),d_dir!T2*1000)))))))),".")</f>
        <v>124.65007212335632</v>
      </c>
      <c r="U2" s="70">
        <f>IFERROR(IF(AND(d_Irr!T2&lt;&gt;".",d_Irr!AS2&lt;&gt;".",d_Irr!BR2&lt;&gt;"."),d_dir!U2/((1/1000)*(d_Irr!T2+d_Irr!AS2+d_Irr!BR2)),IF(AND(d_Irr!T2&lt;&gt;".",d_Irr!AS2&lt;&gt;".",d_Irr!BR2="."),d_dir!U2/((1/1000)*(d_Irr!T2+d_Irr!AS2)),IF(AND(d_Irr!T2&lt;&gt;".",d_Irr!AS2=".",d_Irr!BR2&lt;&gt;"."),d_dir!U2/((1/1000)*(d_Irr!T2+d_Irr!BR2)),IF(AND(d_Irr!T2=".",d_Irr!AS2&lt;&gt;".",d_Irr!BR2&lt;&gt;"."),d_dir!U2/((1/1000)*(d_Irr!AS2+d_Irr!BR2)),IF(AND(d_Irr!T2=".",d_Irr!AS2=".",d_Irr!BR2&lt;&gt;"."),d_dir!U2/((1/1000)*(d_Irr!BR2)),IF(AND(d_Irr!T2=".",d_Irr!AS2&lt;&gt;".",d_Irr!BR2="."),d_dir!U2/((1/1000)*(d_Irr!AS2)),IF(AND(d_Irr!T2&lt;&gt;".",d_Irr!AS2=".",d_Irr!BR2="."),d_dir!U2/((1/1000)*(d_Irr!T2)),IF(AND(d_Irr!T2=".",d_Irr!AS2=".",d_Irr!BR2="."),d_dir!U2*1000)))))))),".")</f>
        <v>244.60938257751118</v>
      </c>
      <c r="V2" s="70">
        <f>IFERROR(IF(AND(d_Irr!U2&lt;&gt;".",d_Irr!AT2&lt;&gt;".",d_Irr!BS2&lt;&gt;"."),d_dir!V2/((1/1000)*(d_Irr!U2+d_Irr!AT2+d_Irr!BS2)),IF(AND(d_Irr!U2&lt;&gt;".",d_Irr!AT2&lt;&gt;".",d_Irr!BS2="."),d_dir!V2/((1/1000)*(d_Irr!U2+d_Irr!AT2)),IF(AND(d_Irr!U2&lt;&gt;".",d_Irr!AT2=".",d_Irr!BS2&lt;&gt;"."),d_dir!V2/((1/1000)*(d_Irr!U2+d_Irr!BS2)),IF(AND(d_Irr!U2=".",d_Irr!AT2&lt;&gt;".",d_Irr!BS2&lt;&gt;"."),d_dir!V2/((1/1000)*(d_Irr!AT2+d_Irr!BS2)),IF(AND(d_Irr!U2=".",d_Irr!AT2=".",d_Irr!BS2&lt;&gt;"."),d_dir!V2/((1/1000)*(d_Irr!BS2)),IF(AND(d_Irr!U2=".",d_Irr!AT2&lt;&gt;".",d_Irr!BS2="."),d_dir!V2/((1/1000)*(d_Irr!AT2)),IF(AND(d_Irr!U2&lt;&gt;".",d_Irr!AT2=".",d_Irr!BS2="."),d_dir!V2/((1/1000)*(d_Irr!U2)),IF(AND(d_Irr!U2=".",d_Irr!AT2=".",d_Irr!BS2="."),d_dir!V2*1000)))))))),".")</f>
        <v>36.656511221744722</v>
      </c>
      <c r="W2" s="70">
        <f>IFERROR(IF(AND(d_Irr!V2&lt;&gt;".",d_Irr!AU2&lt;&gt;".",d_Irr!BT2&lt;&gt;"."),d_dir!W2/((1/1000)*(d_Irr!V2+d_Irr!AU2+d_Irr!BT2)),IF(AND(d_Irr!V2&lt;&gt;".",d_Irr!AU2&lt;&gt;".",d_Irr!BT2="."),d_dir!W2/((1/1000)*(d_Irr!V2+d_Irr!AU2)),IF(AND(d_Irr!V2&lt;&gt;".",d_Irr!AU2=".",d_Irr!BT2&lt;&gt;"."),d_dir!W2/((1/1000)*(d_Irr!V2+d_Irr!BT2)),IF(AND(d_Irr!V2=".",d_Irr!AU2&lt;&gt;".",d_Irr!BT2&lt;&gt;"."),d_dir!W2/((1/1000)*(d_Irr!AU2+d_Irr!BT2)),IF(AND(d_Irr!V2=".",d_Irr!AU2=".",d_Irr!BT2&lt;&gt;"."),d_dir!W2/((1/1000)*(d_Irr!BT2)),IF(AND(d_Irr!V2=".",d_Irr!AU2&lt;&gt;".",d_Irr!BT2="."),d_dir!W2/((1/1000)*(d_Irr!AU2)),IF(AND(d_Irr!V2&lt;&gt;".",d_Irr!AU2=".",d_Irr!BT2="."),d_dir!W2/((1/1000)*(d_Irr!V2)),IF(AND(d_Irr!V2=".",d_Irr!AU2=".",d_Irr!BT2="."),d_dir!W2*1000)))))))),".")</f>
        <v>74.611244738222979</v>
      </c>
      <c r="X2" s="70">
        <f>IFERROR(IF(AND(d_Irr!W2&lt;&gt;".",d_Irr!AV2&lt;&gt;".",d_Irr!BU2&lt;&gt;"."),d_dir!X2/((1/1000)*(d_Irr!W2+d_Irr!AV2+d_Irr!BU2)),IF(AND(d_Irr!W2&lt;&gt;".",d_Irr!AV2&lt;&gt;".",d_Irr!BU2="."),d_dir!X2/((1/1000)*(d_Irr!W2+d_Irr!AV2)),IF(AND(d_Irr!W2&lt;&gt;".",d_Irr!AV2=".",d_Irr!BU2&lt;&gt;"."),d_dir!X2/((1/1000)*(d_Irr!W2+d_Irr!BU2)),IF(AND(d_Irr!W2=".",d_Irr!AV2&lt;&gt;".",d_Irr!BU2&lt;&gt;"."),d_dir!X2/((1/1000)*(d_Irr!AV2+d_Irr!BU2)),IF(AND(d_Irr!W2=".",d_Irr!AV2=".",d_Irr!BU2&lt;&gt;"."),d_dir!X2/((1/1000)*(d_Irr!BU2)),IF(AND(d_Irr!W2=".",d_Irr!AV2&lt;&gt;".",d_Irr!BU2="."),d_dir!X2/((1/1000)*(d_Irr!AV2)),IF(AND(d_Irr!W2&lt;&gt;".",d_Irr!AV2=".",d_Irr!BU2="."),d_dir!X2/((1/1000)*(d_Irr!W2)),IF(AND(d_Irr!W2=".",d_Irr!AV2=".",d_Irr!BU2="."),d_dir!X2*1000)))))))),".")</f>
        <v>79.861519473923408</v>
      </c>
      <c r="Y2" s="70">
        <f>IFERROR(IF(AND(d_Irr!X2&lt;&gt;".",d_Irr!AW2&lt;&gt;".",d_Irr!BV2&lt;&gt;"."),d_dir!Y2/((1/1000)*(d_Irr!X2+d_Irr!AW2+d_Irr!BV2)),IF(AND(d_Irr!X2&lt;&gt;".",d_Irr!AW2&lt;&gt;".",d_Irr!BV2="."),d_dir!Y2/((1/1000)*(d_Irr!X2+d_Irr!AW2)),IF(AND(d_Irr!X2&lt;&gt;".",d_Irr!AW2=".",d_Irr!BV2&lt;&gt;"."),d_dir!Y2/((1/1000)*(d_Irr!X2+d_Irr!BV2)),IF(AND(d_Irr!X2=".",d_Irr!AW2&lt;&gt;".",d_Irr!BV2&lt;&gt;"."),d_dir!Y2/((1/1000)*(d_Irr!AW2+d_Irr!BV2)),IF(AND(d_Irr!X2=".",d_Irr!AW2=".",d_Irr!BV2&lt;&gt;"."),d_dir!Y2/((1/1000)*(d_Irr!BV2)),IF(AND(d_Irr!X2=".",d_Irr!AW2&lt;&gt;".",d_Irr!BV2="."),d_dir!Y2/((1/1000)*(d_Irr!AW2)),IF(AND(d_Irr!X2&lt;&gt;".",d_Irr!AW2=".",d_Irr!BV2="."),d_dir!Y2/((1/1000)*(d_Irr!X2)),IF(AND(d_Irr!X2=".",d_Irr!AW2=".",d_Irr!BV2="."),d_dir!Y2*1000)))))))),".")</f>
        <v>106.71413325961993</v>
      </c>
      <c r="Z2" s="70">
        <f>IFERROR(IF(AND(d_Irr!Y2&lt;&gt;".",d_Irr!AX2&lt;&gt;".",d_Irr!BW2&lt;&gt;"."),d_dir!Z2/((1/1000)*(d_Irr!Y2+d_Irr!AX2+d_Irr!BW2)),IF(AND(d_Irr!Y2&lt;&gt;".",d_Irr!AX2&lt;&gt;".",d_Irr!BW2="."),d_dir!Z2/((1/1000)*(d_Irr!Y2+d_Irr!AX2)),IF(AND(d_Irr!Y2&lt;&gt;".",d_Irr!AX2=".",d_Irr!BW2&lt;&gt;"."),d_dir!Z2/((1/1000)*(d_Irr!Y2+d_Irr!BW2)),IF(AND(d_Irr!Y2=".",d_Irr!AX2&lt;&gt;".",d_Irr!BW2&lt;&gt;"."),d_dir!Z2/((1/1000)*(d_Irr!AX2+d_Irr!BW2)),IF(AND(d_Irr!Y2=".",d_Irr!AX2=".",d_Irr!BW2&lt;&gt;"."),d_dir!Z2/((1/1000)*(d_Irr!BW2)),IF(AND(d_Irr!Y2=".",d_Irr!AX2&lt;&gt;".",d_Irr!BW2="."),d_dir!Z2/((1/1000)*(d_Irr!AX2)),IF(AND(d_Irr!Y2&lt;&gt;".",d_Irr!AX2=".",d_Irr!BW2="."),d_dir!Z2/((1/1000)*(d_Irr!Y2)),IF(AND(d_Irr!Y2=".",d_Irr!AX2=".",d_Irr!BW2="."),d_dir!Z2*1000)))))))),".")</f>
        <v>56.410354221345251</v>
      </c>
      <c r="AA2" s="70">
        <f>IFERROR(IF(AND(d_Irr!Z2&lt;&gt;".",d_Irr!AY2&lt;&gt;".",d_Irr!BX2&lt;&gt;"."),d_dir!AA2/((1/1000)*(d_Irr!Z2+d_Irr!AY2+d_Irr!BX2)),IF(AND(d_Irr!Z2&lt;&gt;".",d_Irr!AY2&lt;&gt;".",d_Irr!BX2="."),d_dir!AA2/((1/1000)*(d_Irr!Z2+d_Irr!AY2)),IF(AND(d_Irr!Z2&lt;&gt;".",d_Irr!AY2=".",d_Irr!BX2&lt;&gt;"."),d_dir!AA2/((1/1000)*(d_Irr!Z2+d_Irr!BX2)),IF(AND(d_Irr!Z2=".",d_Irr!AY2&lt;&gt;".",d_Irr!BX2&lt;&gt;"."),d_dir!AA2/((1/1000)*(d_Irr!AY2+d_Irr!BX2)),IF(AND(d_Irr!Z2=".",d_Irr!AY2=".",d_Irr!BX2&lt;&gt;"."),d_dir!AA2/((1/1000)*(d_Irr!BX2)),IF(AND(d_Irr!Z2=".",d_Irr!AY2&lt;&gt;".",d_Irr!BX2="."),d_dir!AA2/((1/1000)*(d_Irr!AY2)),IF(AND(d_Irr!Z2&lt;&gt;".",d_Irr!AY2=".",d_Irr!BX2="."),d_dir!AA2/((1/1000)*(d_Irr!Z2)),IF(AND(d_Irr!Z2=".",d_Irr!AY2=".",d_Irr!BX2="."),d_dir!AA2*1000)))))))),".")</f>
        <v>16.145561504020307</v>
      </c>
      <c r="AB2" s="70">
        <f>IFERROR(IF(AND(d_Irr!AA2&lt;&gt;".",d_Irr!AZ2&lt;&gt;".",d_Irr!BY2&lt;&gt;"."),d_dir!AB2/((1/1000)*(d_Irr!AA2+d_Irr!AZ2+d_Irr!BY2)),IF(AND(d_Irr!AA2&lt;&gt;".",d_Irr!AZ2&lt;&gt;".",d_Irr!BY2="."),d_dir!AB2/((1/1000)*(d_Irr!AA2+d_Irr!AZ2)),IF(AND(d_Irr!AA2&lt;&gt;".",d_Irr!AZ2=".",d_Irr!BY2&lt;&gt;"."),d_dir!AB2/((1/1000)*(d_Irr!AA2+d_Irr!BY2)),IF(AND(d_Irr!AA2=".",d_Irr!AZ2&lt;&gt;".",d_Irr!BY2&lt;&gt;"."),d_dir!AB2/((1/1000)*(d_Irr!AZ2+d_Irr!BY2)),IF(AND(d_Irr!AA2=".",d_Irr!AZ2=".",d_Irr!BY2&lt;&gt;"."),d_dir!AB2/((1/1000)*(d_Irr!BY2)),IF(AND(d_Irr!AA2=".",d_Irr!AZ2&lt;&gt;".",d_Irr!BY2="."),d_dir!AB2/((1/1000)*(d_Irr!AZ2)),IF(AND(d_Irr!AA2&lt;&gt;".",d_Irr!AZ2=".",d_Irr!BY2="."),d_dir!AB2/((1/1000)*(d_Irr!AA2)),IF(AND(d_Irr!AA2=".",d_Irr!AZ2=".",d_Irr!BY2="."),d_dir!AB2*1000)))))))),".")</f>
        <v>18.517279301843825</v>
      </c>
      <c r="AC2" s="70">
        <f t="shared" ref="AC2:AC30" si="0">IFERROR(1/SUM(1/AD2,1/AE2,1/AF2,1/AG2,1/AH2,1/AI2,1/AJ2,1/AK2,1/AL2,1/AM2,1/AN2,1/AO2,1/AP2,1/AQ2,1/AR2,1/AS2,1/AT2,1/AU2,1/AV2,1/AW2,1/AX2,1/AY2,1/AZ2),".")</f>
        <v>2.8133997996969233</v>
      </c>
      <c r="AD2" s="70">
        <f>IFERROR(IF(AND(d_Irr!C2&lt;&gt;".",d_Irr!AB2&lt;&gt;".",d_Irr!BA2&lt;&gt;"."),d_dir!AD2/((1/1000)*(d_Irr!C2+d_Irr!AB2+d_Irr!BA2)),IF(AND(d_Irr!C2&lt;&gt;".",d_Irr!AB2&lt;&gt;".",d_Irr!BA2="."),d_dir!AD2/((1/1000)*(d_Irr!C2+d_Irr!AB2)),IF(AND(d_Irr!C2&lt;&gt;".",d_Irr!AB2=".",d_Irr!BA2&lt;&gt;"."),d_dir!AD2/((1/1000)*(d_Irr!C2+d_Irr!BA2)),IF(AND(d_Irr!C2=".",d_Irr!AB2&lt;&gt;".",d_Irr!BA2&lt;&gt;"."),d_dir!AD2/((1/1000)*(d_Irr!AB2+d_Irr!BA2)),IF(AND(d_Irr!C2=".",d_Irr!AB2=".",d_Irr!BA2&lt;&gt;"."),d_dir!AD2/((1/1000)*(d_Irr!BA2)),IF(AND(d_Irr!C2=".",d_Irr!AB2&lt;&gt;".",d_Irr!BA2="."),d_dir!AD2/((1/1000)*(d_Irr!AB2)),IF(AND(d_Irr!C2&lt;&gt;".",d_Irr!AB2=".",d_Irr!BA2="."),d_dir!AD2/((1/1000)*(d_Irr!C2)),IF(AND(d_Irr!C2=".",d_Irr!AB2=".",d_Irr!BA2="."),d_dir!AD2*1000)))))))),".")</f>
        <v>47.439787341217055</v>
      </c>
      <c r="AE2" s="70">
        <f>IFERROR(IF(AND(d_Irr!D2&lt;&gt;".",d_Irr!AC2&lt;&gt;".",d_Irr!BB2&lt;&gt;"."),d_dir!AE2/((1/1000)*(d_Irr!D2+d_Irr!AC2+d_Irr!BB2)),IF(AND(d_Irr!D2&lt;&gt;".",d_Irr!AC2&lt;&gt;".",d_Irr!BB2="."),d_dir!AE2/((1/1000)*(d_Irr!D2+d_Irr!AC2)),IF(AND(d_Irr!D2&lt;&gt;".",d_Irr!AC2=".",d_Irr!BB2&lt;&gt;"."),d_dir!AE2/((1/1000)*(d_Irr!D2+d_Irr!BB2)),IF(AND(d_Irr!D2=".",d_Irr!AC2&lt;&gt;".",d_Irr!BB2&lt;&gt;"."),d_dir!AE2/((1/1000)*(d_Irr!AC2+d_Irr!BB2)),IF(AND(d_Irr!D2=".",d_Irr!AC2=".",d_Irr!BB2&lt;&gt;"."),d_dir!AE2/((1/1000)*(d_Irr!BB2)),IF(AND(d_Irr!D2=".",d_Irr!AC2&lt;&gt;".",d_Irr!BB2="."),d_dir!AE2/((1/1000)*(d_Irr!AC2)),IF(AND(d_Irr!D2&lt;&gt;".",d_Irr!AC2=".",d_Irr!BB2="."),d_dir!AE2/((1/1000)*(d_Irr!D2)),IF(AND(d_Irr!D2=".",d_Irr!AC2=".",d_Irr!BB2="."),d_dir!AE2*1000)))))))),".")</f>
        <v>111.82333645416706</v>
      </c>
      <c r="AF2" s="70">
        <f>IFERROR(IF(AND(d_Irr!E2&lt;&gt;".",d_Irr!AD2&lt;&gt;".",d_Irr!BC2&lt;&gt;"."),d_dir!AF2/((1/1000)*(d_Irr!E2+d_Irr!AD2+d_Irr!BC2)),IF(AND(d_Irr!E2&lt;&gt;".",d_Irr!AD2&lt;&gt;".",d_Irr!BC2="."),d_dir!AF2/((1/1000)*(d_Irr!E2+d_Irr!AD2)),IF(AND(d_Irr!E2&lt;&gt;".",d_Irr!AD2=".",d_Irr!BC2&lt;&gt;"."),d_dir!AF2/((1/1000)*(d_Irr!E2+d_Irr!BC2)),IF(AND(d_Irr!E2=".",d_Irr!AD2&lt;&gt;".",d_Irr!BC2&lt;&gt;"."),d_dir!AF2/((1/1000)*(d_Irr!AD2+d_Irr!BC2)),IF(AND(d_Irr!E2=".",d_Irr!AD2=".",d_Irr!BC2&lt;&gt;"."),d_dir!AF2/((1/1000)*(d_Irr!BC2)),IF(AND(d_Irr!E2=".",d_Irr!AD2&lt;&gt;".",d_Irr!BC2="."),d_dir!AF2/((1/1000)*(d_Irr!AD2)),IF(AND(d_Irr!E2&lt;&gt;".",d_Irr!AD2=".",d_Irr!BC2="."),d_dir!AF2/((1/1000)*(d_Irr!E2)),IF(AND(d_Irr!E2=".",d_Irr!AD2=".",d_Irr!BC2="."),d_dir!AF2*1000)))))))),".")</f>
        <v>133.00617840652521</v>
      </c>
      <c r="AG2" s="70">
        <f>IFERROR(IF(AND(d_Irr!F2&lt;&gt;".",d_Irr!AE2&lt;&gt;".",d_Irr!BD2&lt;&gt;"."),d_dir!AG2/((1/1000)*(d_Irr!F2+d_Irr!AE2+d_Irr!BD2)),IF(AND(d_Irr!F2&lt;&gt;".",d_Irr!AE2&lt;&gt;".",d_Irr!BD2="."),d_dir!AG2/((1/1000)*(d_Irr!F2+d_Irr!AE2)),IF(AND(d_Irr!F2&lt;&gt;".",d_Irr!AE2=".",d_Irr!BD2&lt;&gt;"."),d_dir!AG2/((1/1000)*(d_Irr!F2+d_Irr!BD2)),IF(AND(d_Irr!F2=".",d_Irr!AE2&lt;&gt;".",d_Irr!BD2&lt;&gt;"."),d_dir!AG2/((1/1000)*(d_Irr!AE2+d_Irr!BD2)),IF(AND(d_Irr!F2=".",d_Irr!AE2=".",d_Irr!BD2&lt;&gt;"."),d_dir!AG2/((1/1000)*(d_Irr!BD2)),IF(AND(d_Irr!F2=".",d_Irr!AE2&lt;&gt;".",d_Irr!BD2="."),d_dir!AG2/((1/1000)*(d_Irr!AE2)),IF(AND(d_Irr!F2&lt;&gt;".",d_Irr!AE2=".",d_Irr!BD2="."),d_dir!AG2/((1/1000)*(d_Irr!F2)),IF(AND(d_Irr!F2=".",d_Irr!AE2=".",d_Irr!BD2="."),d_dir!AG2*1000)))))))),".")</f>
        <v>119.45505518303793</v>
      </c>
      <c r="AH2" s="70">
        <f>IFERROR(IF(AND(d_Irr!G2&lt;&gt;".",d_Irr!AF2&lt;&gt;".",d_Irr!BE2&lt;&gt;"."),d_dir!AH2/((1/1000)*(d_Irr!G2+d_Irr!AF2+d_Irr!BE2)),IF(AND(d_Irr!G2&lt;&gt;".",d_Irr!AF2&lt;&gt;".",d_Irr!BE2="."),d_dir!AH2/((1/1000)*(d_Irr!G2+d_Irr!AF2)),IF(AND(d_Irr!G2&lt;&gt;".",d_Irr!AF2=".",d_Irr!BE2&lt;&gt;"."),d_dir!AH2/((1/1000)*(d_Irr!G2+d_Irr!BE2)),IF(AND(d_Irr!G2=".",d_Irr!AF2&lt;&gt;".",d_Irr!BE2&lt;&gt;"."),d_dir!AH2/((1/1000)*(d_Irr!AF2+d_Irr!BE2)),IF(AND(d_Irr!G2=".",d_Irr!AF2=".",d_Irr!BE2&lt;&gt;"."),d_dir!AH2/((1/1000)*(d_Irr!BE2)),IF(AND(d_Irr!G2=".",d_Irr!AF2&lt;&gt;".",d_Irr!BE2="."),d_dir!AH2/((1/1000)*(d_Irr!AF2)),IF(AND(d_Irr!G2&lt;&gt;".",d_Irr!AF2=".",d_Irr!BE2="."),d_dir!AH2/((1/1000)*(d_Irr!G2)),IF(AND(d_Irr!G2=".",d_Irr!AF2=".",d_Irr!BE2="."),d_dir!AH2*1000)))))))),".")</f>
        <v>127.38867321710173</v>
      </c>
      <c r="AI2" s="70">
        <f>IFERROR(IF(AND(d_Irr!H2&lt;&gt;".",d_Irr!AG2&lt;&gt;".",d_Irr!BF2&lt;&gt;"."),d_dir!AI2/((1/1000)*(d_Irr!H2+d_Irr!AG2+d_Irr!BF2)),IF(AND(d_Irr!H2&lt;&gt;".",d_Irr!AG2&lt;&gt;".",d_Irr!BF2="."),d_dir!AI2/((1/1000)*(d_Irr!H2+d_Irr!AG2)),IF(AND(d_Irr!H2&lt;&gt;".",d_Irr!AG2=".",d_Irr!BF2&lt;&gt;"."),d_dir!AI2/((1/1000)*(d_Irr!H2+d_Irr!BF2)),IF(AND(d_Irr!H2=".",d_Irr!AG2&lt;&gt;".",d_Irr!BF2&lt;&gt;"."),d_dir!AI2/((1/1000)*(d_Irr!AG2+d_Irr!BF2)),IF(AND(d_Irr!H2=".",d_Irr!AG2=".",d_Irr!BF2&lt;&gt;"."),d_dir!AI2/((1/1000)*(d_Irr!BF2)),IF(AND(d_Irr!H2=".",d_Irr!AG2&lt;&gt;".",d_Irr!BF2="."),d_dir!AI2/((1/1000)*(d_Irr!AG2)),IF(AND(d_Irr!H2&lt;&gt;".",d_Irr!AG2=".",d_Irr!BF2="."),d_dir!AI2/((1/1000)*(d_Irr!H2)),IF(AND(d_Irr!H2=".",d_Irr!AG2=".",d_Irr!BF2="."),d_dir!AI2*1000)))))))),".")</f>
        <v>57.928357935687359</v>
      </c>
      <c r="AJ2" s="70">
        <f>IFERROR(IF(AND(d_Irr!I2&lt;&gt;".",d_Irr!AH2&lt;&gt;".",d_Irr!BG2&lt;&gt;"."),d_dir!AJ2/((1/1000)*(d_Irr!I2+d_Irr!AH2+d_Irr!BG2)),IF(AND(d_Irr!I2&lt;&gt;".",d_Irr!AH2&lt;&gt;".",d_Irr!BG2="."),d_dir!AJ2/((1/1000)*(d_Irr!I2+d_Irr!AH2)),IF(AND(d_Irr!I2&lt;&gt;".",d_Irr!AH2=".",d_Irr!BG2&lt;&gt;"."),d_dir!AJ2/((1/1000)*(d_Irr!I2+d_Irr!BG2)),IF(AND(d_Irr!I2=".",d_Irr!AH2&lt;&gt;".",d_Irr!BG2&lt;&gt;"."),d_dir!AJ2/((1/1000)*(d_Irr!AH2+d_Irr!BG2)),IF(AND(d_Irr!I2=".",d_Irr!AH2=".",d_Irr!BG2&lt;&gt;"."),d_dir!AJ2/((1/1000)*(d_Irr!BG2)),IF(AND(d_Irr!I2=".",d_Irr!AH2&lt;&gt;".",d_Irr!BG2="."),d_dir!AJ2/((1/1000)*(d_Irr!AH2)),IF(AND(d_Irr!I2&lt;&gt;".",d_Irr!AH2=".",d_Irr!BG2="."),d_dir!AJ2/((1/1000)*(d_Irr!I2)),IF(AND(d_Irr!I2=".",d_Irr!AH2=".",d_Irr!BG2="."),d_dir!AJ2*1000)))))))),".")</f>
        <v>176.6307889130176</v>
      </c>
      <c r="AK2" s="70">
        <f>IFERROR(IF(AND(d_Irr!J2&lt;&gt;".",d_Irr!AI2&lt;&gt;".",d_Irr!BH2&lt;&gt;"."),d_dir!AK2/((1/1000)*(d_Irr!J2+d_Irr!AI2+d_Irr!BH2)),IF(AND(d_Irr!J2&lt;&gt;".",d_Irr!AI2&lt;&gt;".",d_Irr!BH2="."),d_dir!AK2/((1/1000)*(d_Irr!J2+d_Irr!AI2)),IF(AND(d_Irr!J2&lt;&gt;".",d_Irr!AI2=".",d_Irr!BH2&lt;&gt;"."),d_dir!AK2/((1/1000)*(d_Irr!J2+d_Irr!BH2)),IF(AND(d_Irr!J2=".",d_Irr!AI2&lt;&gt;".",d_Irr!BH2&lt;&gt;"."),d_dir!AK2/((1/1000)*(d_Irr!AI2+d_Irr!BH2)),IF(AND(d_Irr!J2=".",d_Irr!AI2=".",d_Irr!BH2&lt;&gt;"."),d_dir!AK2/((1/1000)*(d_Irr!BH2)),IF(AND(d_Irr!J2=".",d_Irr!AI2&lt;&gt;".",d_Irr!BH2="."),d_dir!AK2/((1/1000)*(d_Irr!AI2)),IF(AND(d_Irr!J2&lt;&gt;".",d_Irr!AI2=".",d_Irr!BH2="."),d_dir!AK2/((1/1000)*(d_Irr!J2)),IF(AND(d_Irr!J2=".",d_Irr!AI2=".",d_Irr!BH2="."),d_dir!AK2*1000)))))))),".")</f>
        <v>13.753340000952189</v>
      </c>
      <c r="AL2" s="70">
        <f>IFERROR(IF(AND(d_Irr!K2&lt;&gt;".",d_Irr!AJ2&lt;&gt;".",d_Irr!BI2&lt;&gt;"."),d_dir!AL2/((1/1000)*(d_Irr!K2+d_Irr!AJ2+d_Irr!BI2)),IF(AND(d_Irr!K2&lt;&gt;".",d_Irr!AJ2&lt;&gt;".",d_Irr!BI2="."),d_dir!AL2/((1/1000)*(d_Irr!K2+d_Irr!AJ2)),IF(AND(d_Irr!K2&lt;&gt;".",d_Irr!AJ2=".",d_Irr!BI2&lt;&gt;"."),d_dir!AL2/((1/1000)*(d_Irr!K2+d_Irr!BI2)),IF(AND(d_Irr!K2=".",d_Irr!AJ2&lt;&gt;".",d_Irr!BI2&lt;&gt;"."),d_dir!AL2/((1/1000)*(d_Irr!AJ2+d_Irr!BI2)),IF(AND(d_Irr!K2=".",d_Irr!AJ2=".",d_Irr!BI2&lt;&gt;"."),d_dir!AL2/((1/1000)*(d_Irr!BI2)),IF(AND(d_Irr!K2=".",d_Irr!AJ2&lt;&gt;".",d_Irr!BI2="."),d_dir!AL2/((1/1000)*(d_Irr!AJ2)),IF(AND(d_Irr!K2&lt;&gt;".",d_Irr!AJ2=".",d_Irr!BI2="."),d_dir!AL2/((1/1000)*(d_Irr!K2)),IF(AND(d_Irr!K2=".",d_Irr!AJ2=".",d_Irr!BI2="."),d_dir!AL2*1000)))))))),".")</f>
        <v>53.787774340640048</v>
      </c>
      <c r="AM2" s="70">
        <f>IFERROR(IF(AND(d_Irr!L2&lt;&gt;".",d_Irr!AK2&lt;&gt;".",d_Irr!BJ2&lt;&gt;"."),d_dir!AM2/((1/1000)*(d_Irr!L2+d_Irr!AK2+d_Irr!BJ2)),IF(AND(d_Irr!L2&lt;&gt;".",d_Irr!AK2&lt;&gt;".",d_Irr!BJ2="."),d_dir!AM2/((1/1000)*(d_Irr!L2+d_Irr!AK2)),IF(AND(d_Irr!L2&lt;&gt;".",d_Irr!AK2=".",d_Irr!BJ2&lt;&gt;"."),d_dir!AM2/((1/1000)*(d_Irr!L2+d_Irr!BJ2)),IF(AND(d_Irr!L2=".",d_Irr!AK2&lt;&gt;".",d_Irr!BJ2&lt;&gt;"."),d_dir!AM2/((1/1000)*(d_Irr!AK2+d_Irr!BJ2)),IF(AND(d_Irr!L2=".",d_Irr!AK2=".",d_Irr!BJ2&lt;&gt;"."),d_dir!AM2/((1/1000)*(d_Irr!BJ2)),IF(AND(d_Irr!L2=".",d_Irr!AK2&lt;&gt;".",d_Irr!BJ2="."),d_dir!AM2/((1/1000)*(d_Irr!AK2)),IF(AND(d_Irr!L2&lt;&gt;".",d_Irr!AK2=".",d_Irr!BJ2="."),d_dir!AM2/((1/1000)*(d_Irr!L2)),IF(AND(d_Irr!L2=".",d_Irr!AK2=".",d_Irr!BJ2="."),d_dir!AM2*1000)))))))),".")</f>
        <v>81.706837475265587</v>
      </c>
      <c r="AN2" s="70">
        <f>IFERROR(IF(AND(d_Irr!M2&lt;&gt;".",d_Irr!AL2&lt;&gt;".",d_Irr!BK2&lt;&gt;"."),d_dir!AN2/((1/1000)*(d_Irr!M2+d_Irr!AL2+d_Irr!BK2)),IF(AND(d_Irr!M2&lt;&gt;".",d_Irr!AL2&lt;&gt;".",d_Irr!BK2="."),d_dir!AN2/((1/1000)*(d_Irr!M2+d_Irr!AL2)),IF(AND(d_Irr!M2&lt;&gt;".",d_Irr!AL2=".",d_Irr!BK2&lt;&gt;"."),d_dir!AN2/((1/1000)*(d_Irr!M2+d_Irr!BK2)),IF(AND(d_Irr!M2=".",d_Irr!AL2&lt;&gt;".",d_Irr!BK2&lt;&gt;"."),d_dir!AN2/((1/1000)*(d_Irr!AL2+d_Irr!BK2)),IF(AND(d_Irr!M2=".",d_Irr!AL2=".",d_Irr!BK2&lt;&gt;"."),d_dir!AN2/((1/1000)*(d_Irr!BK2)),IF(AND(d_Irr!M2=".",d_Irr!AL2&lt;&gt;".",d_Irr!BK2="."),d_dir!AN2/((1/1000)*(d_Irr!AL2)),IF(AND(d_Irr!M2&lt;&gt;".",d_Irr!AL2=".",d_Irr!BK2="."),d_dir!AN2/((1/1000)*(d_Irr!M2)),IF(AND(d_Irr!M2=".",d_Irr!AL2=".",d_Irr!BK2="."),d_dir!AN2*1000)))))))),".")</f>
        <v>111.92571183057075</v>
      </c>
      <c r="AO2" s="70">
        <f>IFERROR(IF(AND(d_Irr!N2&lt;&gt;".",d_Irr!AM2&lt;&gt;".",d_Irr!BL2&lt;&gt;"."),d_dir!AO2/((1/1000)*(d_Irr!N2+d_Irr!AM2+d_Irr!BL2)),IF(AND(d_Irr!N2&lt;&gt;".",d_Irr!AM2&lt;&gt;".",d_Irr!BL2="."),d_dir!AO2/((1/1000)*(d_Irr!N2+d_Irr!AM2)),IF(AND(d_Irr!N2&lt;&gt;".",d_Irr!AM2=".",d_Irr!BL2&lt;&gt;"."),d_dir!AO2/((1/1000)*(d_Irr!N2+d_Irr!BL2)),IF(AND(d_Irr!N2=".",d_Irr!AM2&lt;&gt;".",d_Irr!BL2&lt;&gt;"."),d_dir!AO2/((1/1000)*(d_Irr!AM2+d_Irr!BL2)),IF(AND(d_Irr!N2=".",d_Irr!AM2=".",d_Irr!BL2&lt;&gt;"."),d_dir!AO2/((1/1000)*(d_Irr!BL2)),IF(AND(d_Irr!N2=".",d_Irr!AM2&lt;&gt;".",d_Irr!BL2="."),d_dir!AO2/((1/1000)*(d_Irr!AM2)),IF(AND(d_Irr!N2&lt;&gt;".",d_Irr!AM2=".",d_Irr!BL2="."),d_dir!AO2/((1/1000)*(d_Irr!N2)),IF(AND(d_Irr!N2=".",d_Irr!AM2=".",d_Irr!BL2="."),d_dir!AO2*1000)))))))),".")</f>
        <v>120.50844460952045</v>
      </c>
      <c r="AP2" s="70">
        <f>IFERROR(IF(AND(d_Irr!O2&lt;&gt;".",d_Irr!AN2&lt;&gt;".",d_Irr!BM2&lt;&gt;"."),d_dir!AP2/((1/1000)*(d_Irr!O2+d_Irr!AN2+d_Irr!BM2)),IF(AND(d_Irr!O2&lt;&gt;".",d_Irr!AN2&lt;&gt;".",d_Irr!BM2="."),d_dir!AP2/((1/1000)*(d_Irr!O2+d_Irr!AN2)),IF(AND(d_Irr!O2&lt;&gt;".",d_Irr!AN2=".",d_Irr!BM2&lt;&gt;"."),d_dir!AP2/((1/1000)*(d_Irr!O2+d_Irr!BM2)),IF(AND(d_Irr!O2=".",d_Irr!AN2&lt;&gt;".",d_Irr!BM2&lt;&gt;"."),d_dir!AP2/((1/1000)*(d_Irr!AN2+d_Irr!BM2)),IF(AND(d_Irr!O2=".",d_Irr!AN2=".",d_Irr!BM2&lt;&gt;"."),d_dir!AP2/((1/1000)*(d_Irr!BM2)),IF(AND(d_Irr!O2=".",d_Irr!AN2&lt;&gt;".",d_Irr!BM2="."),d_dir!AP2/((1/1000)*(d_Irr!AN2)),IF(AND(d_Irr!O2&lt;&gt;".",d_Irr!AN2=".",d_Irr!BM2="."),d_dir!AP2/((1/1000)*(d_Irr!O2)),IF(AND(d_Irr!O2=".",d_Irr!AN2=".",d_Irr!BM2="."),d_dir!AP2*1000)))))))),".")</f>
        <v>147.19501382859946</v>
      </c>
      <c r="AQ2" s="70">
        <f>IFERROR(IF(AND(d_Irr!P2&lt;&gt;".",d_Irr!AO2&lt;&gt;".",d_Irr!BN2&lt;&gt;"."),d_dir!AQ2/((1/1000)*(d_Irr!P2+d_Irr!AO2+d_Irr!BN2)),IF(AND(d_Irr!P2&lt;&gt;".",d_Irr!AO2&lt;&gt;".",d_Irr!BN2="."),d_dir!AQ2/((1/1000)*(d_Irr!P2+d_Irr!AO2)),IF(AND(d_Irr!P2&lt;&gt;".",d_Irr!AO2=".",d_Irr!BN2&lt;&gt;"."),d_dir!AQ2/((1/1000)*(d_Irr!P2+d_Irr!BN2)),IF(AND(d_Irr!P2=".",d_Irr!AO2&lt;&gt;".",d_Irr!BN2&lt;&gt;"."),d_dir!AQ2/((1/1000)*(d_Irr!AO2+d_Irr!BN2)),IF(AND(d_Irr!P2=".",d_Irr!AO2=".",d_Irr!BN2&lt;&gt;"."),d_dir!AQ2/((1/1000)*(d_Irr!BN2)),IF(AND(d_Irr!P2=".",d_Irr!AO2&lt;&gt;".",d_Irr!BN2="."),d_dir!AQ2/((1/1000)*(d_Irr!AO2)),IF(AND(d_Irr!P2&lt;&gt;".",d_Irr!AO2=".",d_Irr!BN2="."),d_dir!AQ2/((1/1000)*(d_Irr!P2)),IF(AND(d_Irr!P2=".",d_Irr!AO2=".",d_Irr!BN2="."),d_dir!AQ2*1000)))))))),".")</f>
        <v>164.83362360337296</v>
      </c>
      <c r="AR2" s="70">
        <f>IFERROR(IF(AND(d_Irr!Q2&lt;&gt;".",d_Irr!AP2&lt;&gt;".",d_Irr!BO2&lt;&gt;"."),d_dir!AR2/((1/1000)*(d_Irr!Q2+d_Irr!AP2+d_Irr!BO2)),IF(AND(d_Irr!Q2&lt;&gt;".",d_Irr!AP2&lt;&gt;".",d_Irr!BO2="."),d_dir!AR2/((1/1000)*(d_Irr!Q2+d_Irr!AP2)),IF(AND(d_Irr!Q2&lt;&gt;".",d_Irr!AP2=".",d_Irr!BO2&lt;&gt;"."),d_dir!AR2/((1/1000)*(d_Irr!Q2+d_Irr!BO2)),IF(AND(d_Irr!Q2=".",d_Irr!AP2&lt;&gt;".",d_Irr!BO2&lt;&gt;"."),d_dir!AR2/((1/1000)*(d_Irr!AP2+d_Irr!BO2)),IF(AND(d_Irr!Q2=".",d_Irr!AP2=".",d_Irr!BO2&lt;&gt;"."),d_dir!AR2/((1/1000)*(d_Irr!BO2)),IF(AND(d_Irr!Q2=".",d_Irr!AP2&lt;&gt;".",d_Irr!BO2="."),d_dir!AR2/((1/1000)*(d_Irr!AP2)),IF(AND(d_Irr!Q2&lt;&gt;".",d_Irr!AP2=".",d_Irr!BO2="."),d_dir!AR2/((1/1000)*(d_Irr!Q2)),IF(AND(d_Irr!Q2=".",d_Irr!AP2=".",d_Irr!BO2="."),d_dir!AR2*1000)))))))),".")</f>
        <v>39.157323116217839</v>
      </c>
      <c r="AS2" s="70">
        <f>IFERROR(IF(AND(d_Irr!R2&lt;&gt;".",d_Irr!AQ2&lt;&gt;".",d_Irr!BP2&lt;&gt;"."),d_dir!AS2/((1/1000)*(d_Irr!R2+d_Irr!AQ2+d_Irr!BP2)),IF(AND(d_Irr!R2&lt;&gt;".",d_Irr!AQ2&lt;&gt;".",d_Irr!BP2="."),d_dir!AS2/((1/1000)*(d_Irr!R2+d_Irr!AQ2)),IF(AND(d_Irr!R2&lt;&gt;".",d_Irr!AQ2=".",d_Irr!BP2&lt;&gt;"."),d_dir!AS2/((1/1000)*(d_Irr!R2+d_Irr!BP2)),IF(AND(d_Irr!R2=".",d_Irr!AQ2&lt;&gt;".",d_Irr!BP2&lt;&gt;"."),d_dir!AS2/((1/1000)*(d_Irr!AQ2+d_Irr!BP2)),IF(AND(d_Irr!R2=".",d_Irr!AQ2=".",d_Irr!BP2&lt;&gt;"."),d_dir!AS2/((1/1000)*(d_Irr!BP2)),IF(AND(d_Irr!R2=".",d_Irr!AQ2&lt;&gt;".",d_Irr!BP2="."),d_dir!AS2/((1/1000)*(d_Irr!AQ2)),IF(AND(d_Irr!R2&lt;&gt;".",d_Irr!AQ2=".",d_Irr!BP2="."),d_dir!AS2/((1/1000)*(d_Irr!R2)),IF(AND(d_Irr!R2=".",d_Irr!AQ2=".",d_Irr!BP2="."),d_dir!AS2*1000)))))))),".")</f>
        <v>63.851369022187725</v>
      </c>
      <c r="AT2" s="70">
        <f>IFERROR(IF(AND(d_Irr!S2&lt;&gt;".",d_Irr!AR2&lt;&gt;".",d_Irr!BQ2&lt;&gt;"."),d_dir!AT2/((1/1000)*(d_Irr!S2+d_Irr!AR2+d_Irr!BQ2)),IF(AND(d_Irr!S2&lt;&gt;".",d_Irr!AR2&lt;&gt;".",d_Irr!BQ2="."),d_dir!AT2/((1/1000)*(d_Irr!S2+d_Irr!AR2)),IF(AND(d_Irr!S2&lt;&gt;".",d_Irr!AR2=".",d_Irr!BQ2&lt;&gt;"."),d_dir!AT2/((1/1000)*(d_Irr!S2+d_Irr!BQ2)),IF(AND(d_Irr!S2=".",d_Irr!AR2&lt;&gt;".",d_Irr!BQ2&lt;&gt;"."),d_dir!AT2/((1/1000)*(d_Irr!AR2+d_Irr!BQ2)),IF(AND(d_Irr!S2=".",d_Irr!AR2=".",d_Irr!BQ2&lt;&gt;"."),d_dir!AT2/((1/1000)*(d_Irr!BQ2)),IF(AND(d_Irr!S2=".",d_Irr!AR2&lt;&gt;".",d_Irr!BQ2="."),d_dir!AT2/((1/1000)*(d_Irr!AR2)),IF(AND(d_Irr!S2&lt;&gt;".",d_Irr!AR2=".",d_Irr!BQ2="."),d_dir!AT2/((1/1000)*(d_Irr!S2)),IF(AND(d_Irr!S2=".",d_Irr!AR2=".",d_Irr!BQ2="."),d_dir!AT2*1000)))))))),".")</f>
        <v>133.93216974002871</v>
      </c>
      <c r="AU2" s="70">
        <f>IFERROR(IF(AND(d_Irr!T2&lt;&gt;".",d_Irr!AS2&lt;&gt;".",d_Irr!BR2&lt;&gt;"."),d_dir!AU2/((1/1000)*(d_Irr!T2+d_Irr!AS2+d_Irr!BR2)),IF(AND(d_Irr!T2&lt;&gt;".",d_Irr!AS2&lt;&gt;".",d_Irr!BR2="."),d_dir!AU2/((1/1000)*(d_Irr!T2+d_Irr!AS2)),IF(AND(d_Irr!T2&lt;&gt;".",d_Irr!AS2=".",d_Irr!BR2&lt;&gt;"."),d_dir!AU2/((1/1000)*(d_Irr!T2+d_Irr!BR2)),IF(AND(d_Irr!T2=".",d_Irr!AS2&lt;&gt;".",d_Irr!BR2&lt;&gt;"."),d_dir!AU2/((1/1000)*(d_Irr!AS2+d_Irr!BR2)),IF(AND(d_Irr!T2=".",d_Irr!AS2=".",d_Irr!BR2&lt;&gt;"."),d_dir!AU2/((1/1000)*(d_Irr!BR2)),IF(AND(d_Irr!T2=".",d_Irr!AS2&lt;&gt;".",d_Irr!BR2="."),d_dir!AU2/((1/1000)*(d_Irr!AS2)),IF(AND(d_Irr!T2&lt;&gt;".",d_Irr!AS2=".",d_Irr!BR2="."),d_dir!AU2/((1/1000)*(d_Irr!T2)),IF(AND(d_Irr!T2=".",d_Irr!AS2=".",d_Irr!BR2="."),d_dir!AU2*1000)))))))),".")</f>
        <v>183.4028061481979</v>
      </c>
      <c r="AV2" s="70">
        <f>IFERROR(IF(AND(d_Irr!U2&lt;&gt;".",d_Irr!AT2&lt;&gt;".",d_Irr!BS2&lt;&gt;"."),d_dir!AV2/((1/1000)*(d_Irr!U2+d_Irr!AT2+d_Irr!BS2)),IF(AND(d_Irr!U2&lt;&gt;".",d_Irr!AT2&lt;&gt;".",d_Irr!BS2="."),d_dir!AV2/((1/1000)*(d_Irr!U2+d_Irr!AT2)),IF(AND(d_Irr!U2&lt;&gt;".",d_Irr!AT2=".",d_Irr!BS2&lt;&gt;"."),d_dir!AV2/((1/1000)*(d_Irr!U2+d_Irr!BS2)),IF(AND(d_Irr!U2=".",d_Irr!AT2&lt;&gt;".",d_Irr!BS2&lt;&gt;"."),d_dir!AV2/((1/1000)*(d_Irr!AT2+d_Irr!BS2)),IF(AND(d_Irr!U2=".",d_Irr!AT2=".",d_Irr!BS2&lt;&gt;"."),d_dir!AV2/((1/1000)*(d_Irr!BS2)),IF(AND(d_Irr!U2=".",d_Irr!AT2&lt;&gt;".",d_Irr!BS2="."),d_dir!AV2/((1/1000)*(d_Irr!AT2)),IF(AND(d_Irr!U2&lt;&gt;".",d_Irr!AT2=".",d_Irr!BS2="."),d_dir!AV2/((1/1000)*(d_Irr!U2)),IF(AND(d_Irr!U2=".",d_Irr!AT2=".",d_Irr!BS2="."),d_dir!AV2*1000)))))))),".")</f>
        <v>31.201860182789716</v>
      </c>
      <c r="AW2" s="70">
        <f>IFERROR(IF(AND(d_Irr!V2&lt;&gt;".",d_Irr!AU2&lt;&gt;".",d_Irr!BT2&lt;&gt;"."),d_dir!AW2/((1/1000)*(d_Irr!V2+d_Irr!AU2+d_Irr!BT2)),IF(AND(d_Irr!V2&lt;&gt;".",d_Irr!AU2&lt;&gt;".",d_Irr!BT2="."),d_dir!AW2/((1/1000)*(d_Irr!V2+d_Irr!AU2)),IF(AND(d_Irr!V2&lt;&gt;".",d_Irr!AU2=".",d_Irr!BT2&lt;&gt;"."),d_dir!AW2/((1/1000)*(d_Irr!V2+d_Irr!BT2)),IF(AND(d_Irr!V2=".",d_Irr!AU2&lt;&gt;".",d_Irr!BT2&lt;&gt;"."),d_dir!AW2/((1/1000)*(d_Irr!AU2+d_Irr!BT2)),IF(AND(d_Irr!V2=".",d_Irr!AU2=".",d_Irr!BT2&lt;&gt;"."),d_dir!AW2/((1/1000)*(d_Irr!BT2)),IF(AND(d_Irr!V2=".",d_Irr!AU2&lt;&gt;".",d_Irr!BT2="."),d_dir!AW2/((1/1000)*(d_Irr!AU2)),IF(AND(d_Irr!V2&lt;&gt;".",d_Irr!AU2=".",d_Irr!BT2="."),d_dir!AW2/((1/1000)*(d_Irr!V2)),IF(AND(d_Irr!V2=".",d_Irr!AU2=".",d_Irr!BT2="."),d_dir!AW2*1000)))))))),".")</f>
        <v>70.193705551902482</v>
      </c>
      <c r="AX2" s="70">
        <f>IFERROR(IF(AND(d_Irr!W2&lt;&gt;".",d_Irr!AV2&lt;&gt;".",d_Irr!BU2&lt;&gt;"."),d_dir!AX2/((1/1000)*(d_Irr!W2+d_Irr!AV2+d_Irr!BU2)),IF(AND(d_Irr!W2&lt;&gt;".",d_Irr!AV2&lt;&gt;".",d_Irr!BU2="."),d_dir!AX2/((1/1000)*(d_Irr!W2+d_Irr!AV2)),IF(AND(d_Irr!W2&lt;&gt;".",d_Irr!AV2=".",d_Irr!BU2&lt;&gt;"."),d_dir!AX2/((1/1000)*(d_Irr!W2+d_Irr!BU2)),IF(AND(d_Irr!W2=".",d_Irr!AV2&lt;&gt;".",d_Irr!BU2&lt;&gt;"."),d_dir!AX2/((1/1000)*(d_Irr!AV2+d_Irr!BU2)),IF(AND(d_Irr!W2=".",d_Irr!AV2=".",d_Irr!BU2&lt;&gt;"."),d_dir!AX2/((1/1000)*(d_Irr!BU2)),IF(AND(d_Irr!W2=".",d_Irr!AV2&lt;&gt;".",d_Irr!BU2="."),d_dir!AX2/((1/1000)*(d_Irr!AV2)),IF(AND(d_Irr!W2&lt;&gt;".",d_Irr!AV2=".",d_Irr!BU2="."),d_dir!AX2/((1/1000)*(d_Irr!W2)),IF(AND(d_Irr!W2=".",d_Irr!AV2=".",d_Irr!BU2="."),d_dir!AX2*1000)))))))),".")</f>
        <v>75.610545842040651</v>
      </c>
      <c r="AY2" s="70">
        <f>IFERROR(IF(AND(d_Irr!X2&lt;&gt;".",d_Irr!AW2&lt;&gt;".",d_Irr!BV2&lt;&gt;"."),d_dir!AY2/((1/1000)*(d_Irr!X2+d_Irr!AW2+d_Irr!BV2)),IF(AND(d_Irr!X2&lt;&gt;".",d_Irr!AW2&lt;&gt;".",d_Irr!BV2="."),d_dir!AY2/((1/1000)*(d_Irr!X2+d_Irr!AW2)),IF(AND(d_Irr!X2&lt;&gt;".",d_Irr!AW2=".",d_Irr!BV2&lt;&gt;"."),d_dir!AY2/((1/1000)*(d_Irr!X2+d_Irr!BV2)),IF(AND(d_Irr!X2=".",d_Irr!AW2&lt;&gt;".",d_Irr!BV2&lt;&gt;"."),d_dir!AY2/((1/1000)*(d_Irr!AW2+d_Irr!BV2)),IF(AND(d_Irr!X2=".",d_Irr!AW2=".",d_Irr!BV2&lt;&gt;"."),d_dir!AY2/((1/1000)*(d_Irr!BV2)),IF(AND(d_Irr!X2=".",d_Irr!AW2&lt;&gt;".",d_Irr!BV2="."),d_dir!AY2/((1/1000)*(d_Irr!AW2)),IF(AND(d_Irr!X2&lt;&gt;".",d_Irr!AW2=".",d_Irr!BV2="."),d_dir!AY2/((1/1000)*(d_Irr!X2)),IF(AND(d_Irr!X2=".",d_Irr!AW2=".",d_Irr!BV2="."),d_dir!AY2*1000)))))))),".")</f>
        <v>103.81944161587509</v>
      </c>
      <c r="AZ2" s="70">
        <f>IFERROR(IF(AND(d_Irr!Y2&lt;&gt;".",d_Irr!AX2&lt;&gt;".",d_Irr!BW2&lt;&gt;"."),d_dir!AZ2/((1/1000)*(d_Irr!Y2+d_Irr!AX2+d_Irr!BW2)),IF(AND(d_Irr!Y2&lt;&gt;".",d_Irr!AX2&lt;&gt;".",d_Irr!BW2="."),d_dir!AZ2/((1/1000)*(d_Irr!Y2+d_Irr!AX2)),IF(AND(d_Irr!Y2&lt;&gt;".",d_Irr!AX2=".",d_Irr!BW2&lt;&gt;"."),d_dir!AZ2/((1/1000)*(d_Irr!Y2+d_Irr!BW2)),IF(AND(d_Irr!Y2=".",d_Irr!AX2&lt;&gt;".",d_Irr!BW2&lt;&gt;"."),d_dir!AZ2/((1/1000)*(d_Irr!AX2+d_Irr!BW2)),IF(AND(d_Irr!Y2=".",d_Irr!AX2=".",d_Irr!BW2&lt;&gt;"."),d_dir!AZ2/((1/1000)*(d_Irr!BW2)),IF(AND(d_Irr!Y2=".",d_Irr!AX2&lt;&gt;".",d_Irr!BW2="."),d_dir!AZ2/((1/1000)*(d_Irr!AX2)),IF(AND(d_Irr!Y2&lt;&gt;".",d_Irr!AX2=".",d_Irr!BW2="."),d_dir!AZ2/((1/1000)*(d_Irr!Y2)),IF(AND(d_Irr!Y2=".",d_Irr!AX2=".",d_Irr!BW2="."),d_dir!AZ2*1000)))))))),".")</f>
        <v>45.76480517525976</v>
      </c>
      <c r="BA2" s="70">
        <f>IFERROR(IF(AND(d_Irr!Z2&lt;&gt;".",d_Irr!AY2&lt;&gt;".",d_Irr!BX2&lt;&gt;"."),d_dir!BA2/((1/1000)*(d_Irr!Z2+d_Irr!AY2+d_Irr!BX2)),IF(AND(d_Irr!Z2&lt;&gt;".",d_Irr!AY2&lt;&gt;".",d_Irr!BX2="."),d_dir!BA2/((1/1000)*(d_Irr!Z2+d_Irr!AY2)),IF(AND(d_Irr!Z2&lt;&gt;".",d_Irr!AY2=".",d_Irr!BX2&lt;&gt;"."),d_dir!BA2/((1/1000)*(d_Irr!Z2+d_Irr!BX2)),IF(AND(d_Irr!Z2=".",d_Irr!AY2&lt;&gt;".",d_Irr!BX2&lt;&gt;"."),d_dir!BA2/((1/1000)*(d_Irr!AY2+d_Irr!BX2)),IF(AND(d_Irr!Z2=".",d_Irr!AY2=".",d_Irr!BX2&lt;&gt;"."),d_dir!BA2/((1/1000)*(d_Irr!BX2)),IF(AND(d_Irr!Z2=".",d_Irr!AY2&lt;&gt;".",d_Irr!BX2="."),d_dir!BA2/((1/1000)*(d_Irr!AY2)),IF(AND(d_Irr!Z2&lt;&gt;".",d_Irr!AY2=".",d_Irr!BX2="."),d_dir!BA2/((1/1000)*(d_Irr!Z2)),IF(AND(d_Irr!Z2=".",d_Irr!AY2=".",d_Irr!BX2="."),d_dir!BA2*1000)))))))),".")</f>
        <v>12.79099710519583</v>
      </c>
      <c r="BB2" s="70">
        <f>IFERROR(IF(AND(d_Irr!AA2&lt;&gt;".",d_Irr!AZ2&lt;&gt;".",d_Irr!BY2&lt;&gt;"."),d_dir!BB2/((1/1000)*(d_Irr!AA2+d_Irr!AZ2+d_Irr!BY2)),IF(AND(d_Irr!AA2&lt;&gt;".",d_Irr!AZ2&lt;&gt;".",d_Irr!BY2="."),d_dir!BB2/((1/1000)*(d_Irr!AA2+d_Irr!AZ2)),IF(AND(d_Irr!AA2&lt;&gt;".",d_Irr!AZ2=".",d_Irr!BY2&lt;&gt;"."),d_dir!BB2/((1/1000)*(d_Irr!AA2+d_Irr!BY2)),IF(AND(d_Irr!AA2=".",d_Irr!AZ2&lt;&gt;".",d_Irr!BY2&lt;&gt;"."),d_dir!BB2/((1/1000)*(d_Irr!AZ2+d_Irr!BY2)),IF(AND(d_Irr!AA2=".",d_Irr!AZ2=".",d_Irr!BY2&lt;&gt;"."),d_dir!BB2/((1/1000)*(d_Irr!BY2)),IF(AND(d_Irr!AA2=".",d_Irr!AZ2&lt;&gt;".",d_Irr!BY2="."),d_dir!BB2/((1/1000)*(d_Irr!AZ2)),IF(AND(d_Irr!AA2&lt;&gt;".",d_Irr!AZ2=".",d_Irr!BY2="."),d_dir!BB2/((1/1000)*(d_Irr!AA2)),IF(AND(d_Irr!AA2=".",d_Irr!AZ2=".",d_Irr!BY2="."),d_dir!BB2*1000)))))))),".")</f>
        <v>14.760579987526885</v>
      </c>
    </row>
    <row r="3" spans="1:54" x14ac:dyDescent="0.25">
      <c r="A3" s="88" t="s">
        <v>1</v>
      </c>
      <c r="B3" s="84" t="s">
        <v>335</v>
      </c>
      <c r="C3" s="2">
        <f t="shared" ref="C3:C30" si="1">IFERROR(1/SUM(1/D3,1/E3,1/F3,1/G3,1/H3,1/I3,1/J3,1/K3,1/L3,1/M3,1/N3,1/O3,1/P3,1/Q3,1/R3,1/S3,1/T3,1/U3,1/V3,1/W3,1/X3,1/Y3,1/Z3),".")</f>
        <v>0.66220212068103612</v>
      </c>
      <c r="D3" s="70">
        <f>IFERROR(IF(AND(d_Irr!C3&lt;&gt;".",d_Irr!AB3&lt;&gt;".",d_Irr!BA3&lt;&gt;"."),d_dir!D3/((1/1000)*(d_Irr!C3+d_Irr!AB3+d_Irr!BA3)),IF(AND(d_Irr!C3&lt;&gt;".",d_Irr!AB3&lt;&gt;".",d_Irr!BA3="."),d_dir!D3/((1/1000)*(d_Irr!C3+d_Irr!AB3)),IF(AND(d_Irr!C3&lt;&gt;".",d_Irr!AB3=".",d_Irr!BA3&lt;&gt;"."),d_dir!D3/((1/1000)*(d_Irr!C3+d_Irr!BA3)),IF(AND(d_Irr!C3=".",d_Irr!AB3&lt;&gt;".",d_Irr!BA3&lt;&gt;"."),d_dir!D3/((1/1000)*(d_Irr!AB3+d_Irr!BA3)),IF(AND(d_Irr!C3=".",d_Irr!AB3=".",d_Irr!BA3&lt;&gt;"."),d_dir!D3/((1/1000)*(d_Irr!BA3)),IF(AND(d_Irr!C3=".",d_Irr!AB3&lt;&gt;".",d_Irr!BA3="."),d_dir!D3/((1/1000)*(d_Irr!AB3)),IF(AND(d_Irr!C3&lt;&gt;".",d_Irr!AB3=".",d_Irr!BA3="."),d_dir!D3/((1/1000)*(d_Irr!C3)),IF(AND(d_Irr!C3=".",d_Irr!AB3=".",d_Irr!BA3="."),d_dir!D3*1000)))))))),".")</f>
        <v>12.102671623360719</v>
      </c>
      <c r="E3" s="70">
        <f>IFERROR(IF(AND(d_Irr!D3&lt;&gt;".",d_Irr!AC3&lt;&gt;".",d_Irr!BB3&lt;&gt;"."),d_dir!E3/((1/1000)*(d_Irr!D3+d_Irr!AC3+d_Irr!BB3)),IF(AND(d_Irr!D3&lt;&gt;".",d_Irr!AC3&lt;&gt;".",d_Irr!BB3="."),d_dir!E3/((1/1000)*(d_Irr!D3+d_Irr!AC3)),IF(AND(d_Irr!D3&lt;&gt;".",d_Irr!AC3=".",d_Irr!BB3&lt;&gt;"."),d_dir!E3/((1/1000)*(d_Irr!D3+d_Irr!BB3)),IF(AND(d_Irr!D3=".",d_Irr!AC3&lt;&gt;".",d_Irr!BB3&lt;&gt;"."),d_dir!E3/((1/1000)*(d_Irr!AC3+d_Irr!BB3)),IF(AND(d_Irr!D3=".",d_Irr!AC3=".",d_Irr!BB3&lt;&gt;"."),d_dir!E3/((1/1000)*(d_Irr!BB3)),IF(AND(d_Irr!D3=".",d_Irr!AC3&lt;&gt;".",d_Irr!BB3="."),d_dir!E3/((1/1000)*(d_Irr!AC3)),IF(AND(d_Irr!D3&lt;&gt;".",d_Irr!AC3=".",d_Irr!BB3="."),d_dir!E3/((1/1000)*(d_Irr!D3)),IF(AND(d_Irr!D3=".",d_Irr!AC3=".",d_Irr!BB3="."),d_dir!E3*1000)))))))),".")</f>
        <v>26.409372166549065</v>
      </c>
      <c r="F3" s="70">
        <f>IFERROR(IF(AND(d_Irr!E3&lt;&gt;".",d_Irr!AD3&lt;&gt;".",d_Irr!BC3&lt;&gt;"."),d_dir!F3/((1/1000)*(d_Irr!E3+d_Irr!AD3+d_Irr!BC3)),IF(AND(d_Irr!E3&lt;&gt;".",d_Irr!AD3&lt;&gt;".",d_Irr!BC3="."),d_dir!F3/((1/1000)*(d_Irr!E3+d_Irr!AD3)),IF(AND(d_Irr!E3&lt;&gt;".",d_Irr!AD3=".",d_Irr!BC3&lt;&gt;"."),d_dir!F3/((1/1000)*(d_Irr!E3+d_Irr!BC3)),IF(AND(d_Irr!E3=".",d_Irr!AD3&lt;&gt;".",d_Irr!BC3&lt;&gt;"."),d_dir!F3/((1/1000)*(d_Irr!AD3+d_Irr!BC3)),IF(AND(d_Irr!E3=".",d_Irr!AD3=".",d_Irr!BC3&lt;&gt;"."),d_dir!F3/((1/1000)*(d_Irr!BC3)),IF(AND(d_Irr!E3=".",d_Irr!AD3&lt;&gt;".",d_Irr!BC3="."),d_dir!F3/((1/1000)*(d_Irr!AD3)),IF(AND(d_Irr!E3&lt;&gt;".",d_Irr!AD3=".",d_Irr!BC3="."),d_dir!F3/((1/1000)*(d_Irr!E3)),IF(AND(d_Irr!E3=".",d_Irr!AD3=".",d_Irr!BC3="."),d_dir!F3*1000)))))))),".")</f>
        <v>31.712260018985866</v>
      </c>
      <c r="G3" s="70">
        <f>IFERROR(IF(AND(d_Irr!F3&lt;&gt;".",d_Irr!AE3&lt;&gt;".",d_Irr!BD3&lt;&gt;"."),d_dir!G3/((1/1000)*(d_Irr!F3+d_Irr!AE3+d_Irr!BD3)),IF(AND(d_Irr!F3&lt;&gt;".",d_Irr!AE3&lt;&gt;".",d_Irr!BD3="."),d_dir!G3/((1/1000)*(d_Irr!F3+d_Irr!AE3)),IF(AND(d_Irr!F3&lt;&gt;".",d_Irr!AE3=".",d_Irr!BD3&lt;&gt;"."),d_dir!G3/((1/1000)*(d_Irr!F3+d_Irr!BD3)),IF(AND(d_Irr!F3=".",d_Irr!AE3&lt;&gt;".",d_Irr!BD3&lt;&gt;"."),d_dir!G3/((1/1000)*(d_Irr!AE3+d_Irr!BD3)),IF(AND(d_Irr!F3=".",d_Irr!AE3=".",d_Irr!BD3&lt;&gt;"."),d_dir!G3/((1/1000)*(d_Irr!BD3)),IF(AND(d_Irr!F3=".",d_Irr!AE3&lt;&gt;".",d_Irr!BD3="."),d_dir!G3/((1/1000)*(d_Irr!AE3)),IF(AND(d_Irr!F3&lt;&gt;".",d_Irr!AE3=".",d_Irr!BD3="."),d_dir!G3/((1/1000)*(d_Irr!F3)),IF(AND(d_Irr!F3=".",d_Irr!AE3=".",d_Irr!BD3="."),d_dir!G3*1000)))))))),".")</f>
        <v>27.009482046453122</v>
      </c>
      <c r="H3" s="70">
        <f>IFERROR(IF(AND(d_Irr!G3&lt;&gt;".",d_Irr!AF3&lt;&gt;".",d_Irr!BE3&lt;&gt;"."),d_dir!H3/((1/1000)*(d_Irr!G3+d_Irr!AF3+d_Irr!BE3)),IF(AND(d_Irr!G3&lt;&gt;".",d_Irr!AF3&lt;&gt;".",d_Irr!BE3="."),d_dir!H3/((1/1000)*(d_Irr!G3+d_Irr!AF3)),IF(AND(d_Irr!G3&lt;&gt;".",d_Irr!AF3=".",d_Irr!BE3&lt;&gt;"."),d_dir!H3/((1/1000)*(d_Irr!G3+d_Irr!BE3)),IF(AND(d_Irr!G3=".",d_Irr!AF3&lt;&gt;".",d_Irr!BE3&lt;&gt;"."),d_dir!H3/((1/1000)*(d_Irr!AF3+d_Irr!BE3)),IF(AND(d_Irr!G3=".",d_Irr!AF3=".",d_Irr!BE3&lt;&gt;"."),d_dir!H3/((1/1000)*(d_Irr!BE3)),IF(AND(d_Irr!G3=".",d_Irr!AF3&lt;&gt;".",d_Irr!BE3="."),d_dir!H3/((1/1000)*(d_Irr!AF3)),IF(AND(d_Irr!G3&lt;&gt;".",d_Irr!AF3=".",d_Irr!BE3="."),d_dir!H3/((1/1000)*(d_Irr!G3)),IF(AND(d_Irr!G3=".",d_Irr!AF3=".",d_Irr!BE3="."),d_dir!H3*1000)))))))),".")</f>
        <v>33.141572123672866</v>
      </c>
      <c r="I3" s="70">
        <f>IFERROR(IF(AND(d_Irr!H3&lt;&gt;".",d_Irr!AG3&lt;&gt;".",d_Irr!BF3&lt;&gt;"."),d_dir!I3/((1/1000)*(d_Irr!H3+d_Irr!AG3+d_Irr!BF3)),IF(AND(d_Irr!H3&lt;&gt;".",d_Irr!AG3&lt;&gt;".",d_Irr!BF3="."),d_dir!I3/((1/1000)*(d_Irr!H3+d_Irr!AG3)),IF(AND(d_Irr!H3&lt;&gt;".",d_Irr!AG3=".",d_Irr!BF3&lt;&gt;"."),d_dir!I3/((1/1000)*(d_Irr!H3+d_Irr!BF3)),IF(AND(d_Irr!H3=".",d_Irr!AG3&lt;&gt;".",d_Irr!BF3&lt;&gt;"."),d_dir!I3/((1/1000)*(d_Irr!AG3+d_Irr!BF3)),IF(AND(d_Irr!H3=".",d_Irr!AG3=".",d_Irr!BF3&lt;&gt;"."),d_dir!I3/((1/1000)*(d_Irr!BF3)),IF(AND(d_Irr!H3=".",d_Irr!AG3&lt;&gt;".",d_Irr!BF3="."),d_dir!I3/((1/1000)*(d_Irr!AG3)),IF(AND(d_Irr!H3&lt;&gt;".",d_Irr!AG3=".",d_Irr!BF3="."),d_dir!I3/((1/1000)*(d_Irr!H3)),IF(AND(d_Irr!H3=".",d_Irr!AG3=".",d_Irr!BF3="."),d_dir!I3*1000)))))))),".")</f>
        <v>13.005362657568726</v>
      </c>
      <c r="J3" s="70">
        <f>IFERROR(IF(AND(d_Irr!I3&lt;&gt;".",d_Irr!AH3&lt;&gt;".",d_Irr!BG3&lt;&gt;"."),d_dir!J3/((1/1000)*(d_Irr!I3+d_Irr!AH3+d_Irr!BG3)),IF(AND(d_Irr!I3&lt;&gt;".",d_Irr!AH3&lt;&gt;".",d_Irr!BG3="."),d_dir!J3/((1/1000)*(d_Irr!I3+d_Irr!AH3)),IF(AND(d_Irr!I3&lt;&gt;".",d_Irr!AH3=".",d_Irr!BG3&lt;&gt;"."),d_dir!J3/((1/1000)*(d_Irr!I3+d_Irr!BG3)),IF(AND(d_Irr!I3=".",d_Irr!AH3&lt;&gt;".",d_Irr!BG3&lt;&gt;"."),d_dir!J3/((1/1000)*(d_Irr!AH3+d_Irr!BG3)),IF(AND(d_Irr!I3=".",d_Irr!AH3=".",d_Irr!BG3&lt;&gt;"."),d_dir!J3/((1/1000)*(d_Irr!BG3)),IF(AND(d_Irr!I3=".",d_Irr!AH3&lt;&gt;".",d_Irr!BG3="."),d_dir!J3/((1/1000)*(d_Irr!AH3)),IF(AND(d_Irr!I3&lt;&gt;".",d_Irr!AH3=".",d_Irr!BG3="."),d_dir!J3/((1/1000)*(d_Irr!I3)),IF(AND(d_Irr!I3=".",d_Irr!AH3=".",d_Irr!BG3="."),d_dir!J3*1000)))))))),".")</f>
        <v>36.53046043555176</v>
      </c>
      <c r="K3" s="70">
        <f>IFERROR(IF(AND(d_Irr!J3&lt;&gt;".",d_Irr!AI3&lt;&gt;".",d_Irr!BH3&lt;&gt;"."),d_dir!K3/((1/1000)*(d_Irr!J3+d_Irr!AI3+d_Irr!BH3)),IF(AND(d_Irr!J3&lt;&gt;".",d_Irr!AI3&lt;&gt;".",d_Irr!BH3="."),d_dir!K3/((1/1000)*(d_Irr!J3+d_Irr!AI3)),IF(AND(d_Irr!J3&lt;&gt;".",d_Irr!AI3=".",d_Irr!BH3&lt;&gt;"."),d_dir!K3/((1/1000)*(d_Irr!J3+d_Irr!BH3)),IF(AND(d_Irr!J3=".",d_Irr!AI3&lt;&gt;".",d_Irr!BH3&lt;&gt;"."),d_dir!K3/((1/1000)*(d_Irr!AI3+d_Irr!BH3)),IF(AND(d_Irr!J3=".",d_Irr!AI3=".",d_Irr!BH3&lt;&gt;"."),d_dir!K3/((1/1000)*(d_Irr!BH3)),IF(AND(d_Irr!J3=".",d_Irr!AI3&lt;&gt;".",d_Irr!BH3="."),d_dir!K3/((1/1000)*(d_Irr!AI3)),IF(AND(d_Irr!J3&lt;&gt;".",d_Irr!AI3=".",d_Irr!BH3="."),d_dir!K3/((1/1000)*(d_Irr!J3)),IF(AND(d_Irr!J3=".",d_Irr!AI3=".",d_Irr!BH3="."),d_dir!K3*1000)))))))),".")</f>
        <v>3.1375150197724704</v>
      </c>
      <c r="L3" s="70">
        <f>IFERROR(IF(AND(d_Irr!K3&lt;&gt;".",d_Irr!AJ3&lt;&gt;".",d_Irr!BI3&lt;&gt;"."),d_dir!L3/((1/1000)*(d_Irr!K3+d_Irr!AJ3+d_Irr!BI3)),IF(AND(d_Irr!K3&lt;&gt;".",d_Irr!AJ3&lt;&gt;".",d_Irr!BI3="."),d_dir!L3/((1/1000)*(d_Irr!K3+d_Irr!AJ3)),IF(AND(d_Irr!K3&lt;&gt;".",d_Irr!AJ3=".",d_Irr!BI3&lt;&gt;"."),d_dir!L3/((1/1000)*(d_Irr!K3+d_Irr!BI3)),IF(AND(d_Irr!K3=".",d_Irr!AJ3&lt;&gt;".",d_Irr!BI3&lt;&gt;"."),d_dir!L3/((1/1000)*(d_Irr!AJ3+d_Irr!BI3)),IF(AND(d_Irr!K3=".",d_Irr!AJ3=".",d_Irr!BI3&lt;&gt;"."),d_dir!L3/((1/1000)*(d_Irr!BI3)),IF(AND(d_Irr!K3=".",d_Irr!AJ3&lt;&gt;".",d_Irr!BI3="."),d_dir!L3/((1/1000)*(d_Irr!AJ3)),IF(AND(d_Irr!K3&lt;&gt;".",d_Irr!AJ3=".",d_Irr!BI3="."),d_dir!L3/((1/1000)*(d_Irr!K3)),IF(AND(d_Irr!K3=".",d_Irr!AJ3=".",d_Irr!BI3="."),d_dir!L3*1000)))))))),".")</f>
        <v>17.199917391641559</v>
      </c>
      <c r="M3" s="70">
        <f>IFERROR(IF(AND(d_Irr!L3&lt;&gt;".",d_Irr!AK3&lt;&gt;".",d_Irr!BJ3&lt;&gt;"."),d_dir!M3/((1/1000)*(d_Irr!L3+d_Irr!AK3+d_Irr!BJ3)),IF(AND(d_Irr!L3&lt;&gt;".",d_Irr!AK3&lt;&gt;".",d_Irr!BJ3="."),d_dir!M3/((1/1000)*(d_Irr!L3+d_Irr!AK3)),IF(AND(d_Irr!L3&lt;&gt;".",d_Irr!AK3=".",d_Irr!BJ3&lt;&gt;"."),d_dir!M3/((1/1000)*(d_Irr!L3+d_Irr!BJ3)),IF(AND(d_Irr!L3=".",d_Irr!AK3&lt;&gt;".",d_Irr!BJ3&lt;&gt;"."),d_dir!M3/((1/1000)*(d_Irr!AK3+d_Irr!BJ3)),IF(AND(d_Irr!L3=".",d_Irr!AK3=".",d_Irr!BJ3&lt;&gt;"."),d_dir!M3/((1/1000)*(d_Irr!BJ3)),IF(AND(d_Irr!L3=".",d_Irr!AK3&lt;&gt;".",d_Irr!BJ3="."),d_dir!M3/((1/1000)*(d_Irr!AK3)),IF(AND(d_Irr!L3&lt;&gt;".",d_Irr!AK3=".",d_Irr!BJ3="."),d_dir!M3/((1/1000)*(d_Irr!L3)),IF(AND(d_Irr!L3=".",d_Irr!AK3=".",d_Irr!BJ3="."),d_dir!M3*1000)))))))),".")</f>
        <v>12.858042177816859</v>
      </c>
      <c r="N3" s="70">
        <f>IFERROR(IF(AND(d_Irr!M3&lt;&gt;".",d_Irr!AL3&lt;&gt;".",d_Irr!BK3&lt;&gt;"."),d_dir!N3/((1/1000)*(d_Irr!M3+d_Irr!AL3+d_Irr!BK3)),IF(AND(d_Irr!M3&lt;&gt;".",d_Irr!AL3&lt;&gt;".",d_Irr!BK3="."),d_dir!N3/((1/1000)*(d_Irr!M3+d_Irr!AL3)),IF(AND(d_Irr!M3&lt;&gt;".",d_Irr!AL3=".",d_Irr!BK3&lt;&gt;"."),d_dir!N3/((1/1000)*(d_Irr!M3+d_Irr!BK3)),IF(AND(d_Irr!M3=".",d_Irr!AL3&lt;&gt;".",d_Irr!BK3&lt;&gt;"."),d_dir!N3/((1/1000)*(d_Irr!AL3+d_Irr!BK3)),IF(AND(d_Irr!M3=".",d_Irr!AL3=".",d_Irr!BK3&lt;&gt;"."),d_dir!N3/((1/1000)*(d_Irr!BK3)),IF(AND(d_Irr!M3=".",d_Irr!AL3&lt;&gt;".",d_Irr!BK3="."),d_dir!N3/((1/1000)*(d_Irr!AL3)),IF(AND(d_Irr!M3&lt;&gt;".",d_Irr!AL3=".",d_Irr!BK3="."),d_dir!N3/((1/1000)*(d_Irr!M3)),IF(AND(d_Irr!M3=".",d_Irr!AL3=".",d_Irr!BK3="."),d_dir!N3*1000)))))))),".")</f>
        <v>27.021106170626265</v>
      </c>
      <c r="O3" s="70">
        <f>IFERROR(IF(AND(d_Irr!N3&lt;&gt;".",d_Irr!AM3&lt;&gt;".",d_Irr!BL3&lt;&gt;"."),d_dir!O3/((1/1000)*(d_Irr!N3+d_Irr!AM3+d_Irr!BL3)),IF(AND(d_Irr!N3&lt;&gt;".",d_Irr!AM3&lt;&gt;".",d_Irr!BL3="."),d_dir!O3/((1/1000)*(d_Irr!N3+d_Irr!AM3)),IF(AND(d_Irr!N3&lt;&gt;".",d_Irr!AM3=".",d_Irr!BL3&lt;&gt;"."),d_dir!O3/((1/1000)*(d_Irr!N3+d_Irr!BL3)),IF(AND(d_Irr!N3=".",d_Irr!AM3&lt;&gt;".",d_Irr!BL3&lt;&gt;"."),d_dir!O3/((1/1000)*(d_Irr!AM3+d_Irr!BL3)),IF(AND(d_Irr!N3=".",d_Irr!AM3=".",d_Irr!BL3&lt;&gt;"."),d_dir!O3/((1/1000)*(d_Irr!BL3)),IF(AND(d_Irr!N3=".",d_Irr!AM3&lt;&gt;".",d_Irr!BL3="."),d_dir!O3/((1/1000)*(d_Irr!AM3)),IF(AND(d_Irr!N3&lt;&gt;".",d_Irr!AM3=".",d_Irr!BL3="."),d_dir!O3/((1/1000)*(d_Irr!N3)),IF(AND(d_Irr!N3=".",d_Irr!AM3=".",d_Irr!BL3="."),d_dir!O3*1000)))))))),".")</f>
        <v>27.449925296507431</v>
      </c>
      <c r="P3" s="70">
        <f>IFERROR(IF(AND(d_Irr!O3&lt;&gt;".",d_Irr!AN3&lt;&gt;".",d_Irr!BM3&lt;&gt;"."),d_dir!P3/((1/1000)*(d_Irr!O3+d_Irr!AN3+d_Irr!BM3)),IF(AND(d_Irr!O3&lt;&gt;".",d_Irr!AN3&lt;&gt;".",d_Irr!BM3="."),d_dir!P3/((1/1000)*(d_Irr!O3+d_Irr!AN3)),IF(AND(d_Irr!O3&lt;&gt;".",d_Irr!AN3=".",d_Irr!BM3&lt;&gt;"."),d_dir!P3/((1/1000)*(d_Irr!O3+d_Irr!BM3)),IF(AND(d_Irr!O3=".",d_Irr!AN3&lt;&gt;".",d_Irr!BM3&lt;&gt;"."),d_dir!P3/((1/1000)*(d_Irr!AN3+d_Irr!BM3)),IF(AND(d_Irr!O3=".",d_Irr!AN3=".",d_Irr!BM3&lt;&gt;"."),d_dir!P3/((1/1000)*(d_Irr!BM3)),IF(AND(d_Irr!O3=".",d_Irr!AN3&lt;&gt;".",d_Irr!BM3="."),d_dir!P3/((1/1000)*(d_Irr!AN3)),IF(AND(d_Irr!O3&lt;&gt;".",d_Irr!AN3=".",d_Irr!BM3="."),d_dir!P3/((1/1000)*(d_Irr!O3)),IF(AND(d_Irr!O3=".",d_Irr!AN3=".",d_Irr!BM3="."),d_dir!P3*1000)))))))),".")</f>
        <v>34.686556417488184</v>
      </c>
      <c r="Q3" s="70">
        <f>IFERROR(IF(AND(d_Irr!P3&lt;&gt;".",d_Irr!AO3&lt;&gt;".",d_Irr!BN3&lt;&gt;"."),d_dir!Q3/((1/1000)*(d_Irr!P3+d_Irr!AO3+d_Irr!BN3)),IF(AND(d_Irr!P3&lt;&gt;".",d_Irr!AO3&lt;&gt;".",d_Irr!BN3="."),d_dir!Q3/((1/1000)*(d_Irr!P3+d_Irr!AO3)),IF(AND(d_Irr!P3&lt;&gt;".",d_Irr!AO3=".",d_Irr!BN3&lt;&gt;"."),d_dir!Q3/((1/1000)*(d_Irr!P3+d_Irr!BN3)),IF(AND(d_Irr!P3=".",d_Irr!AO3&lt;&gt;".",d_Irr!BN3&lt;&gt;"."),d_dir!Q3/((1/1000)*(d_Irr!AO3+d_Irr!BN3)),IF(AND(d_Irr!P3=".",d_Irr!AO3=".",d_Irr!BN3&lt;&gt;"."),d_dir!Q3/((1/1000)*(d_Irr!BN3)),IF(AND(d_Irr!P3=".",d_Irr!AO3&lt;&gt;".",d_Irr!BN3="."),d_dir!Q3/((1/1000)*(d_Irr!AO3)),IF(AND(d_Irr!P3&lt;&gt;".",d_Irr!AO3=".",d_Irr!BN3="."),d_dir!Q3/((1/1000)*(d_Irr!P3)),IF(AND(d_Irr!P3=".",d_Irr!AO3=".",d_Irr!BN3="."),d_dir!Q3*1000)))))))),".")</f>
        <v>49.358541952949075</v>
      </c>
      <c r="R3" s="70">
        <f>IFERROR(IF(AND(d_Irr!Q3&lt;&gt;".",d_Irr!AP3&lt;&gt;".",d_Irr!BO3&lt;&gt;"."),d_dir!R3/((1/1000)*(d_Irr!Q3+d_Irr!AP3+d_Irr!BO3)),IF(AND(d_Irr!Q3&lt;&gt;".",d_Irr!AP3&lt;&gt;".",d_Irr!BO3="."),d_dir!R3/((1/1000)*(d_Irr!Q3+d_Irr!AP3)),IF(AND(d_Irr!Q3&lt;&gt;".",d_Irr!AP3=".",d_Irr!BO3&lt;&gt;"."),d_dir!R3/((1/1000)*(d_Irr!Q3+d_Irr!BO3)),IF(AND(d_Irr!Q3=".",d_Irr!AP3&lt;&gt;".",d_Irr!BO3&lt;&gt;"."),d_dir!R3/((1/1000)*(d_Irr!AP3+d_Irr!BO3)),IF(AND(d_Irr!Q3=".",d_Irr!AP3=".",d_Irr!BO3&lt;&gt;"."),d_dir!R3/((1/1000)*(d_Irr!BO3)),IF(AND(d_Irr!Q3=".",d_Irr!AP3&lt;&gt;".",d_Irr!BO3="."),d_dir!R3/((1/1000)*(d_Irr!AP3)),IF(AND(d_Irr!Q3&lt;&gt;".",d_Irr!AP3=".",d_Irr!BO3="."),d_dir!R3/((1/1000)*(d_Irr!Q3)),IF(AND(d_Irr!Q3=".",d_Irr!AP3=".",d_Irr!BO3="."),d_dir!R3*1000)))))))),".")</f>
        <v>7.7702247227138921</v>
      </c>
      <c r="S3" s="70">
        <f>IFERROR(IF(AND(d_Irr!R3&lt;&gt;".",d_Irr!AQ3&lt;&gt;".",d_Irr!BP3&lt;&gt;"."),d_dir!S3/((1/1000)*(d_Irr!R3+d_Irr!AQ3+d_Irr!BP3)),IF(AND(d_Irr!R3&lt;&gt;".",d_Irr!AQ3&lt;&gt;".",d_Irr!BP3="."),d_dir!S3/((1/1000)*(d_Irr!R3+d_Irr!AQ3)),IF(AND(d_Irr!R3&lt;&gt;".",d_Irr!AQ3=".",d_Irr!BP3&lt;&gt;"."),d_dir!S3/((1/1000)*(d_Irr!R3+d_Irr!BP3)),IF(AND(d_Irr!R3=".",d_Irr!AQ3&lt;&gt;".",d_Irr!BP3&lt;&gt;"."),d_dir!S3/((1/1000)*(d_Irr!AQ3+d_Irr!BP3)),IF(AND(d_Irr!R3=".",d_Irr!AQ3=".",d_Irr!BP3&lt;&gt;"."),d_dir!S3/((1/1000)*(d_Irr!BP3)),IF(AND(d_Irr!R3=".",d_Irr!AQ3&lt;&gt;".",d_Irr!BP3="."),d_dir!S3/((1/1000)*(d_Irr!AQ3)),IF(AND(d_Irr!R3&lt;&gt;".",d_Irr!AQ3=".",d_Irr!BP3="."),d_dir!S3/((1/1000)*(d_Irr!R3)),IF(AND(d_Irr!R3=".",d_Irr!AQ3=".",d_Irr!BP3="."),d_dir!S3*1000)))))))),".")</f>
        <v>15.854394077407738</v>
      </c>
      <c r="T3" s="70">
        <f>IFERROR(IF(AND(d_Irr!S3&lt;&gt;".",d_Irr!AR3&lt;&gt;".",d_Irr!BQ3&lt;&gt;"."),d_dir!T3/((1/1000)*(d_Irr!S3+d_Irr!AR3+d_Irr!BQ3)),IF(AND(d_Irr!S3&lt;&gt;".",d_Irr!AR3&lt;&gt;".",d_Irr!BQ3="."),d_dir!T3/((1/1000)*(d_Irr!S3+d_Irr!AR3)),IF(AND(d_Irr!S3&lt;&gt;".",d_Irr!AR3=".",d_Irr!BQ3&lt;&gt;"."),d_dir!T3/((1/1000)*(d_Irr!S3+d_Irr!BQ3)),IF(AND(d_Irr!S3=".",d_Irr!AR3&lt;&gt;".",d_Irr!BQ3&lt;&gt;"."),d_dir!T3/((1/1000)*(d_Irr!AR3+d_Irr!BQ3)),IF(AND(d_Irr!S3=".",d_Irr!AR3=".",d_Irr!BQ3&lt;&gt;"."),d_dir!T3/((1/1000)*(d_Irr!BQ3)),IF(AND(d_Irr!S3=".",d_Irr!AR3&lt;&gt;".",d_Irr!BQ3="."),d_dir!T3/((1/1000)*(d_Irr!AR3)),IF(AND(d_Irr!S3&lt;&gt;".",d_Irr!AR3=".",d_Irr!BQ3="."),d_dir!T3/((1/1000)*(d_Irr!S3)),IF(AND(d_Irr!S3=".",d_Irr!AR3=".",d_Irr!BQ3="."),d_dir!T3*1000)))))))),".")</f>
        <v>27.557351409896121</v>
      </c>
      <c r="U3" s="70">
        <f>IFERROR(IF(AND(d_Irr!T3&lt;&gt;".",d_Irr!AS3&lt;&gt;".",d_Irr!BR3&lt;&gt;"."),d_dir!U3/((1/1000)*(d_Irr!T3+d_Irr!AS3+d_Irr!BR3)),IF(AND(d_Irr!T3&lt;&gt;".",d_Irr!AS3&lt;&gt;".",d_Irr!BR3="."),d_dir!U3/((1/1000)*(d_Irr!T3+d_Irr!AS3)),IF(AND(d_Irr!T3&lt;&gt;".",d_Irr!AS3=".",d_Irr!BR3&lt;&gt;"."),d_dir!U3/((1/1000)*(d_Irr!T3+d_Irr!BR3)),IF(AND(d_Irr!T3=".",d_Irr!AS3&lt;&gt;".",d_Irr!BR3&lt;&gt;"."),d_dir!U3/((1/1000)*(d_Irr!AS3+d_Irr!BR3)),IF(AND(d_Irr!T3=".",d_Irr!AS3=".",d_Irr!BR3&lt;&gt;"."),d_dir!U3/((1/1000)*(d_Irr!BR3)),IF(AND(d_Irr!T3=".",d_Irr!AS3&lt;&gt;".",d_Irr!BR3="."),d_dir!U3/((1/1000)*(d_Irr!AS3)),IF(AND(d_Irr!T3&lt;&gt;".",d_Irr!AS3=".",d_Irr!BR3="."),d_dir!U3/((1/1000)*(d_Irr!T3)),IF(AND(d_Irr!T3=".",d_Irr!AS3=".",d_Irr!BR3="."),d_dir!U3*1000)))))))),".")</f>
        <v>54.08167449130648</v>
      </c>
      <c r="V3" s="70">
        <f>IFERROR(IF(AND(d_Irr!U3&lt;&gt;".",d_Irr!AT3&lt;&gt;".",d_Irr!BS3&lt;&gt;"."),d_dir!V3/((1/1000)*(d_Irr!U3+d_Irr!AT3+d_Irr!BS3)),IF(AND(d_Irr!U3&lt;&gt;".",d_Irr!AT3&lt;&gt;".",d_Irr!BS3="."),d_dir!V3/((1/1000)*(d_Irr!U3+d_Irr!AT3)),IF(AND(d_Irr!U3&lt;&gt;".",d_Irr!AT3=".",d_Irr!BS3&lt;&gt;"."),d_dir!V3/((1/1000)*(d_Irr!U3+d_Irr!BS3)),IF(AND(d_Irr!U3=".",d_Irr!AT3&lt;&gt;".",d_Irr!BS3&lt;&gt;"."),d_dir!V3/((1/1000)*(d_Irr!AT3+d_Irr!BS3)),IF(AND(d_Irr!U3=".",d_Irr!AT3=".",d_Irr!BS3&lt;&gt;"."),d_dir!V3/((1/1000)*(d_Irr!BS3)),IF(AND(d_Irr!U3=".",d_Irr!AT3&lt;&gt;".",d_Irr!BS3="."),d_dir!V3/((1/1000)*(d_Irr!AT3)),IF(AND(d_Irr!U3&lt;&gt;".",d_Irr!AT3=".",d_Irr!BS3="."),d_dir!V3/((1/1000)*(d_Irr!U3)),IF(AND(d_Irr!U3=".",d_Irr!AT3=".",d_Irr!BS3="."),d_dir!V3*1000)))))))),".")</f>
        <v>8.1173868249327814</v>
      </c>
      <c r="W3" s="70">
        <f>IFERROR(IF(AND(d_Irr!V3&lt;&gt;".",d_Irr!AU3&lt;&gt;".",d_Irr!BT3&lt;&gt;"."),d_dir!W3/((1/1000)*(d_Irr!V3+d_Irr!AU3+d_Irr!BT3)),IF(AND(d_Irr!V3&lt;&gt;".",d_Irr!AU3&lt;&gt;".",d_Irr!BT3="."),d_dir!W3/((1/1000)*(d_Irr!V3+d_Irr!AU3)),IF(AND(d_Irr!V3&lt;&gt;".",d_Irr!AU3=".",d_Irr!BT3&lt;&gt;"."),d_dir!W3/((1/1000)*(d_Irr!V3+d_Irr!BT3)),IF(AND(d_Irr!V3=".",d_Irr!AU3&lt;&gt;".",d_Irr!BT3&lt;&gt;"."),d_dir!W3/((1/1000)*(d_Irr!AU3+d_Irr!BT3)),IF(AND(d_Irr!V3=".",d_Irr!AU3=".",d_Irr!BT3&lt;&gt;"."),d_dir!W3/((1/1000)*(d_Irr!BT3)),IF(AND(d_Irr!V3=".",d_Irr!AU3&lt;&gt;".",d_Irr!BT3="."),d_dir!W3/((1/1000)*(d_Irr!AU3)),IF(AND(d_Irr!V3&lt;&gt;".",d_Irr!AU3=".",d_Irr!BT3="."),d_dir!W3/((1/1000)*(d_Irr!V3)),IF(AND(d_Irr!V3=".",d_Irr!AU3=".",d_Irr!BT3="."),d_dir!W3*1000)))))))),".")</f>
        <v>16.498223206699638</v>
      </c>
      <c r="X3" s="70">
        <f>IFERROR(IF(AND(d_Irr!W3&lt;&gt;".",d_Irr!AV3&lt;&gt;".",d_Irr!BU3&lt;&gt;"."),d_dir!X3/((1/1000)*(d_Irr!W3+d_Irr!AV3+d_Irr!BU3)),IF(AND(d_Irr!W3&lt;&gt;".",d_Irr!AV3&lt;&gt;".",d_Irr!BU3="."),d_dir!X3/((1/1000)*(d_Irr!W3+d_Irr!AV3)),IF(AND(d_Irr!W3&lt;&gt;".",d_Irr!AV3=".",d_Irr!BU3&lt;&gt;"."),d_dir!X3/((1/1000)*(d_Irr!W3+d_Irr!BU3)),IF(AND(d_Irr!W3=".",d_Irr!AV3&lt;&gt;".",d_Irr!BU3&lt;&gt;"."),d_dir!X3/((1/1000)*(d_Irr!AV3+d_Irr!BU3)),IF(AND(d_Irr!W3=".",d_Irr!AV3=".",d_Irr!BU3&lt;&gt;"."),d_dir!X3/((1/1000)*(d_Irr!BU3)),IF(AND(d_Irr!W3=".",d_Irr!AV3&lt;&gt;".",d_Irr!BU3="."),d_dir!X3/((1/1000)*(d_Irr!AV3)),IF(AND(d_Irr!W3&lt;&gt;".",d_Irr!AV3=".",d_Irr!BU3="."),d_dir!X3/((1/1000)*(d_Irr!W3)),IF(AND(d_Irr!W3=".",d_Irr!AV3=".",d_Irr!BU3="."),d_dir!X3*1000)))))))),".")</f>
        <v>17.650827516187078</v>
      </c>
      <c r="Y3" s="70">
        <f>IFERROR(IF(AND(d_Irr!X3&lt;&gt;".",d_Irr!AW3&lt;&gt;".",d_Irr!BV3&lt;&gt;"."),d_dir!Y3/((1/1000)*(d_Irr!X3+d_Irr!AW3+d_Irr!BV3)),IF(AND(d_Irr!X3&lt;&gt;".",d_Irr!AW3&lt;&gt;".",d_Irr!BV3="."),d_dir!Y3/((1/1000)*(d_Irr!X3+d_Irr!AW3)),IF(AND(d_Irr!X3&lt;&gt;".",d_Irr!AW3=".",d_Irr!BV3&lt;&gt;"."),d_dir!Y3/((1/1000)*(d_Irr!X3+d_Irr!BV3)),IF(AND(d_Irr!X3=".",d_Irr!AW3&lt;&gt;".",d_Irr!BV3&lt;&gt;"."),d_dir!Y3/((1/1000)*(d_Irr!AW3+d_Irr!BV3)),IF(AND(d_Irr!X3=".",d_Irr!AW3=".",d_Irr!BV3&lt;&gt;"."),d_dir!Y3/((1/1000)*(d_Irr!BV3)),IF(AND(d_Irr!X3=".",d_Irr!AW3&lt;&gt;".",d_Irr!BV3="."),d_dir!Y3/((1/1000)*(d_Irr!AW3)),IF(AND(d_Irr!X3&lt;&gt;".",d_Irr!AW3=".",d_Irr!BV3="."),d_dir!Y3/((1/1000)*(d_Irr!X3)),IF(AND(d_Irr!X3=".",d_Irr!AW3=".",d_Irr!BV3="."),d_dir!Y3*1000)))))))),".")</f>
        <v>23.654648542494556</v>
      </c>
      <c r="Z3" s="70">
        <f>IFERROR(IF(AND(d_Irr!Y3&lt;&gt;".",d_Irr!AX3&lt;&gt;".",d_Irr!BW3&lt;&gt;"."),d_dir!Z3/((1/1000)*(d_Irr!Y3+d_Irr!AX3+d_Irr!BW3)),IF(AND(d_Irr!Y3&lt;&gt;".",d_Irr!AX3&lt;&gt;".",d_Irr!BW3="."),d_dir!Z3/((1/1000)*(d_Irr!Y3+d_Irr!AX3)),IF(AND(d_Irr!Y3&lt;&gt;".",d_Irr!AX3=".",d_Irr!BW3&lt;&gt;"."),d_dir!Z3/((1/1000)*(d_Irr!Y3+d_Irr!BW3)),IF(AND(d_Irr!Y3=".",d_Irr!AX3&lt;&gt;".",d_Irr!BW3&lt;&gt;"."),d_dir!Z3/((1/1000)*(d_Irr!AX3+d_Irr!BW3)),IF(AND(d_Irr!Y3=".",d_Irr!AX3=".",d_Irr!BW3&lt;&gt;"."),d_dir!Z3/((1/1000)*(d_Irr!BW3)),IF(AND(d_Irr!Y3=".",d_Irr!AX3&lt;&gt;".",d_Irr!BW3="."),d_dir!Z3/((1/1000)*(d_Irr!AX3)),IF(AND(d_Irr!Y3&lt;&gt;".",d_Irr!AX3=".",d_Irr!BW3="."),d_dir!Z3/((1/1000)*(d_Irr!Y3)),IF(AND(d_Irr!Y3=".",d_Irr!AX3=".",d_Irr!BW3="."),d_dir!Z3*1000)))))))),".")</f>
        <v>12.472321108501644</v>
      </c>
      <c r="AA3" s="70">
        <f>IFERROR(IF(AND(d_Irr!Z3&lt;&gt;".",d_Irr!AY3&lt;&gt;".",d_Irr!BX3&lt;&gt;"."),d_dir!AA3/((1/1000)*(d_Irr!Z3+d_Irr!AY3+d_Irr!BX3)),IF(AND(d_Irr!Z3&lt;&gt;".",d_Irr!AY3&lt;&gt;".",d_Irr!BX3="."),d_dir!AA3/((1/1000)*(d_Irr!Z3+d_Irr!AY3)),IF(AND(d_Irr!Z3&lt;&gt;".",d_Irr!AY3=".",d_Irr!BX3&lt;&gt;"."),d_dir!AA3/((1/1000)*(d_Irr!Z3+d_Irr!BX3)),IF(AND(d_Irr!Z3=".",d_Irr!AY3&lt;&gt;".",d_Irr!BX3&lt;&gt;"."),d_dir!AA3/((1/1000)*(d_Irr!AY3+d_Irr!BX3)),IF(AND(d_Irr!Z3=".",d_Irr!AY3=".",d_Irr!BX3&lt;&gt;"."),d_dir!AA3/((1/1000)*(d_Irr!BX3)),IF(AND(d_Irr!Z3=".",d_Irr!AY3&lt;&gt;".",d_Irr!BX3="."),d_dir!AA3/((1/1000)*(d_Irr!AY3)),IF(AND(d_Irr!Z3&lt;&gt;".",d_Irr!AY3=".",d_Irr!BX3="."),d_dir!AA3/((1/1000)*(d_Irr!Z3)),IF(AND(d_Irr!Z3=".",d_Irr!AY3=".",d_Irr!BX3="."),d_dir!AA3*1000)))))))),".")</f>
        <v>3.5479532212616061</v>
      </c>
      <c r="AB3" s="70">
        <f>IFERROR(IF(AND(d_Irr!AA3&lt;&gt;".",d_Irr!AZ3&lt;&gt;".",d_Irr!BY3&lt;&gt;"."),d_dir!AB3/((1/1000)*(d_Irr!AA3+d_Irr!AZ3+d_Irr!BY3)),IF(AND(d_Irr!AA3&lt;&gt;".",d_Irr!AZ3&lt;&gt;".",d_Irr!BY3="."),d_dir!AB3/((1/1000)*(d_Irr!AA3+d_Irr!AZ3)),IF(AND(d_Irr!AA3&lt;&gt;".",d_Irr!AZ3=".",d_Irr!BY3&lt;&gt;"."),d_dir!AB3/((1/1000)*(d_Irr!AA3+d_Irr!BY3)),IF(AND(d_Irr!AA3=".",d_Irr!AZ3&lt;&gt;".",d_Irr!BY3&lt;&gt;"."),d_dir!AB3/((1/1000)*(d_Irr!AZ3+d_Irr!BY3)),IF(AND(d_Irr!AA3=".",d_Irr!AZ3=".",d_Irr!BY3&lt;&gt;"."),d_dir!AB3/((1/1000)*(d_Irr!BY3)),IF(AND(d_Irr!AA3=".",d_Irr!AZ3&lt;&gt;".",d_Irr!BY3="."),d_dir!AB3/((1/1000)*(d_Irr!AZ3)),IF(AND(d_Irr!AA3&lt;&gt;".",d_Irr!AZ3=".",d_Irr!BY3="."),d_dir!AB3/((1/1000)*(d_Irr!AA3)),IF(AND(d_Irr!AA3=".",d_Irr!AZ3=".",d_Irr!BY3="."),d_dir!AB3*1000)))))))),".")</f>
        <v>4.0804415721681133</v>
      </c>
      <c r="AC3" s="70">
        <f t="shared" si="0"/>
        <v>0.62293617860354933</v>
      </c>
      <c r="AD3" s="70">
        <f>IFERROR(IF(AND(d_Irr!C3&lt;&gt;".",d_Irr!AB3&lt;&gt;".",d_Irr!BA3&lt;&gt;"."),d_dir!AD3/((1/1000)*(d_Irr!C3+d_Irr!AB3+d_Irr!BA3)),IF(AND(d_Irr!C3&lt;&gt;".",d_Irr!AB3&lt;&gt;".",d_Irr!BA3="."),d_dir!AD3/((1/1000)*(d_Irr!C3+d_Irr!AB3)),IF(AND(d_Irr!C3&lt;&gt;".",d_Irr!AB3=".",d_Irr!BA3&lt;&gt;"."),d_dir!AD3/((1/1000)*(d_Irr!C3+d_Irr!BA3)),IF(AND(d_Irr!C3=".",d_Irr!AB3&lt;&gt;".",d_Irr!BA3&lt;&gt;"."),d_dir!AD3/((1/1000)*(d_Irr!AB3+d_Irr!BA3)),IF(AND(d_Irr!C3=".",d_Irr!AB3=".",d_Irr!BA3&lt;&gt;"."),d_dir!AD3/((1/1000)*(d_Irr!BA3)),IF(AND(d_Irr!C3=".",d_Irr!AB3&lt;&gt;".",d_Irr!BA3="."),d_dir!AD3/((1/1000)*(d_Irr!AB3)),IF(AND(d_Irr!C3&lt;&gt;".",d_Irr!AB3=".",d_Irr!BA3="."),d_dir!AD3/((1/1000)*(d_Irr!C3)),IF(AND(d_Irr!C3=".",d_Irr!AB3=".",d_Irr!BA3="."),d_dir!AD3*1000)))))))),".")</f>
        <v>10.523744634751122</v>
      </c>
      <c r="AE3" s="70">
        <f>IFERROR(IF(AND(d_Irr!D3&lt;&gt;".",d_Irr!AC3&lt;&gt;".",d_Irr!BB3&lt;&gt;"."),d_dir!AE3/((1/1000)*(d_Irr!D3+d_Irr!AC3+d_Irr!BB3)),IF(AND(d_Irr!D3&lt;&gt;".",d_Irr!AC3&lt;&gt;".",d_Irr!BB3="."),d_dir!AE3/((1/1000)*(d_Irr!D3+d_Irr!AC3)),IF(AND(d_Irr!D3&lt;&gt;".",d_Irr!AC3=".",d_Irr!BB3&lt;&gt;"."),d_dir!AE3/((1/1000)*(d_Irr!D3+d_Irr!BB3)),IF(AND(d_Irr!D3=".",d_Irr!AC3&lt;&gt;".",d_Irr!BB3&lt;&gt;"."),d_dir!AE3/((1/1000)*(d_Irr!AC3+d_Irr!BB3)),IF(AND(d_Irr!D3=".",d_Irr!AC3=".",d_Irr!BB3&lt;&gt;"."),d_dir!AE3/((1/1000)*(d_Irr!BB3)),IF(AND(d_Irr!D3=".",d_Irr!AC3&lt;&gt;".",d_Irr!BB3="."),d_dir!AE3/((1/1000)*(d_Irr!AC3)),IF(AND(d_Irr!D3&lt;&gt;".",d_Irr!AC3=".",d_Irr!BB3="."),d_dir!AE3/((1/1000)*(d_Irr!D3)),IF(AND(d_Irr!D3=".",d_Irr!AC3=".",d_Irr!BB3="."),d_dir!AE3*1000)))))))),".")</f>
        <v>24.748386841549497</v>
      </c>
      <c r="AF3" s="70">
        <f>IFERROR(IF(AND(d_Irr!E3&lt;&gt;".",d_Irr!AD3&lt;&gt;".",d_Irr!BC3&lt;&gt;"."),d_dir!AF3/((1/1000)*(d_Irr!E3+d_Irr!AD3+d_Irr!BC3)),IF(AND(d_Irr!E3&lt;&gt;".",d_Irr!AD3&lt;&gt;".",d_Irr!BC3="."),d_dir!AF3/((1/1000)*(d_Irr!E3+d_Irr!AD3)),IF(AND(d_Irr!E3&lt;&gt;".",d_Irr!AD3=".",d_Irr!BC3&lt;&gt;"."),d_dir!AF3/((1/1000)*(d_Irr!E3+d_Irr!BC3)),IF(AND(d_Irr!E3=".",d_Irr!AD3&lt;&gt;".",d_Irr!BC3&lt;&gt;"."),d_dir!AF3/((1/1000)*(d_Irr!AD3+d_Irr!BC3)),IF(AND(d_Irr!E3=".",d_Irr!AD3=".",d_Irr!BC3&lt;&gt;"."),d_dir!AF3/((1/1000)*(d_Irr!BC3)),IF(AND(d_Irr!E3=".",d_Irr!AD3&lt;&gt;".",d_Irr!BC3="."),d_dir!AF3/((1/1000)*(d_Irr!AD3)),IF(AND(d_Irr!E3&lt;&gt;".",d_Irr!AD3=".",d_Irr!BC3="."),d_dir!AF3/((1/1000)*(d_Irr!E3)),IF(AND(d_Irr!E3=".",d_Irr!AD3=".",d_Irr!BC3="."),d_dir!AF3*1000)))))))),".")</f>
        <v>29.321740617421963</v>
      </c>
      <c r="AG3" s="70">
        <f>IFERROR(IF(AND(d_Irr!F3&lt;&gt;".",d_Irr!AE3&lt;&gt;".",d_Irr!BD3&lt;&gt;"."),d_dir!AG3/((1/1000)*(d_Irr!F3+d_Irr!AE3+d_Irr!BD3)),IF(AND(d_Irr!F3&lt;&gt;".",d_Irr!AE3&lt;&gt;".",d_Irr!BD3="."),d_dir!AG3/((1/1000)*(d_Irr!F3+d_Irr!AE3)),IF(AND(d_Irr!F3&lt;&gt;".",d_Irr!AE3=".",d_Irr!BD3&lt;&gt;"."),d_dir!AG3/((1/1000)*(d_Irr!F3+d_Irr!BD3)),IF(AND(d_Irr!F3=".",d_Irr!AE3&lt;&gt;".",d_Irr!BD3&lt;&gt;"."),d_dir!AG3/((1/1000)*(d_Irr!AE3+d_Irr!BD3)),IF(AND(d_Irr!F3=".",d_Irr!AE3=".",d_Irr!BD3&lt;&gt;"."),d_dir!AG3/((1/1000)*(d_Irr!BD3)),IF(AND(d_Irr!F3=".",d_Irr!AE3&lt;&gt;".",d_Irr!BD3="."),d_dir!AG3/((1/1000)*(d_Irr!AE3)),IF(AND(d_Irr!F3&lt;&gt;".",d_Irr!AE3=".",d_Irr!BD3="."),d_dir!AG3/((1/1000)*(d_Irr!F3)),IF(AND(d_Irr!F3=".",d_Irr!AE3=".",d_Irr!BD3="."),d_dir!AG3*1000)))))))),".")</f>
        <v>26.301036615726488</v>
      </c>
      <c r="AH3" s="70">
        <f>IFERROR(IF(AND(d_Irr!G3&lt;&gt;".",d_Irr!AF3&lt;&gt;".",d_Irr!BE3&lt;&gt;"."),d_dir!AH3/((1/1000)*(d_Irr!G3+d_Irr!AF3+d_Irr!BE3)),IF(AND(d_Irr!G3&lt;&gt;".",d_Irr!AF3&lt;&gt;".",d_Irr!BE3="."),d_dir!AH3/((1/1000)*(d_Irr!G3+d_Irr!AF3)),IF(AND(d_Irr!G3&lt;&gt;".",d_Irr!AF3=".",d_Irr!BE3&lt;&gt;"."),d_dir!AH3/((1/1000)*(d_Irr!G3+d_Irr!BE3)),IF(AND(d_Irr!G3=".",d_Irr!AF3&lt;&gt;".",d_Irr!BE3&lt;&gt;"."),d_dir!AH3/((1/1000)*(d_Irr!AF3+d_Irr!BE3)),IF(AND(d_Irr!G3=".",d_Irr!AF3=".",d_Irr!BE3&lt;&gt;"."),d_dir!AH3/((1/1000)*(d_Irr!BE3)),IF(AND(d_Irr!G3=".",d_Irr!AF3&lt;&gt;".",d_Irr!BE3="."),d_dir!AH3/((1/1000)*(d_Irr!AF3)),IF(AND(d_Irr!G3&lt;&gt;".",d_Irr!AF3=".",d_Irr!BE3="."),d_dir!AH3/((1/1000)*(d_Irr!G3)),IF(AND(d_Irr!G3=".",d_Irr!AF3=".",d_Irr!BE3="."),d_dir!AH3*1000)))))))),".")</f>
        <v>28.1668846111818</v>
      </c>
      <c r="AI3" s="70">
        <f>IFERROR(IF(AND(d_Irr!H3&lt;&gt;".",d_Irr!AG3&lt;&gt;".",d_Irr!BF3&lt;&gt;"."),d_dir!AI3/((1/1000)*(d_Irr!H3+d_Irr!AG3+d_Irr!BF3)),IF(AND(d_Irr!H3&lt;&gt;".",d_Irr!AG3&lt;&gt;".",d_Irr!BF3="."),d_dir!AI3/((1/1000)*(d_Irr!H3+d_Irr!AG3)),IF(AND(d_Irr!H3&lt;&gt;".",d_Irr!AG3=".",d_Irr!BF3&lt;&gt;"."),d_dir!AI3/((1/1000)*(d_Irr!H3+d_Irr!BF3)),IF(AND(d_Irr!H3=".",d_Irr!AG3&lt;&gt;".",d_Irr!BF3&lt;&gt;"."),d_dir!AI3/((1/1000)*(d_Irr!AG3+d_Irr!BF3)),IF(AND(d_Irr!H3=".",d_Irr!AG3=".",d_Irr!BF3&lt;&gt;"."),d_dir!AI3/((1/1000)*(d_Irr!BF3)),IF(AND(d_Irr!H3=".",d_Irr!AG3&lt;&gt;".",d_Irr!BF3="."),d_dir!AI3/((1/1000)*(d_Irr!AG3)),IF(AND(d_Irr!H3&lt;&gt;".",d_Irr!AG3=".",d_Irr!BF3="."),d_dir!AI3/((1/1000)*(d_Irr!H3)),IF(AND(d_Irr!H3=".",d_Irr!AG3=".",d_Irr!BF3="."),d_dir!AI3*1000)))))))),".")</f>
        <v>12.820497697582482</v>
      </c>
      <c r="AJ3" s="70">
        <f>IFERROR(IF(AND(d_Irr!I3&lt;&gt;".",d_Irr!AH3&lt;&gt;".",d_Irr!BG3&lt;&gt;"."),d_dir!AJ3/((1/1000)*(d_Irr!I3+d_Irr!AH3+d_Irr!BG3)),IF(AND(d_Irr!I3&lt;&gt;".",d_Irr!AH3&lt;&gt;".",d_Irr!BG3="."),d_dir!AJ3/((1/1000)*(d_Irr!I3+d_Irr!AH3)),IF(AND(d_Irr!I3&lt;&gt;".",d_Irr!AH3=".",d_Irr!BG3&lt;&gt;"."),d_dir!AJ3/((1/1000)*(d_Irr!I3+d_Irr!BG3)),IF(AND(d_Irr!I3=".",d_Irr!AH3&lt;&gt;".",d_Irr!BG3&lt;&gt;"."),d_dir!AJ3/((1/1000)*(d_Irr!AH3+d_Irr!BG3)),IF(AND(d_Irr!I3=".",d_Irr!AH3=".",d_Irr!BG3&lt;&gt;"."),d_dir!AJ3/((1/1000)*(d_Irr!BG3)),IF(AND(d_Irr!I3=".",d_Irr!AH3&lt;&gt;".",d_Irr!BG3="."),d_dir!AJ3/((1/1000)*(d_Irr!AH3)),IF(AND(d_Irr!I3&lt;&gt;".",d_Irr!AH3=".",d_Irr!BG3="."),d_dir!AJ3/((1/1000)*(d_Irr!I3)),IF(AND(d_Irr!I3=".",d_Irr!AH3=".",d_Irr!BG3="."),d_dir!AJ3*1000)))))))),".")</f>
        <v>38.939009181291517</v>
      </c>
      <c r="AK3" s="70">
        <f>IFERROR(IF(AND(d_Irr!J3&lt;&gt;".",d_Irr!AI3&lt;&gt;".",d_Irr!BH3&lt;&gt;"."),d_dir!AK3/((1/1000)*(d_Irr!J3+d_Irr!AI3+d_Irr!BH3)),IF(AND(d_Irr!J3&lt;&gt;".",d_Irr!AI3&lt;&gt;".",d_Irr!BH3="."),d_dir!AK3/((1/1000)*(d_Irr!J3+d_Irr!AI3)),IF(AND(d_Irr!J3&lt;&gt;".",d_Irr!AI3=".",d_Irr!BH3&lt;&gt;"."),d_dir!AK3/((1/1000)*(d_Irr!J3+d_Irr!BH3)),IF(AND(d_Irr!J3=".",d_Irr!AI3&lt;&gt;".",d_Irr!BH3&lt;&gt;"."),d_dir!AK3/((1/1000)*(d_Irr!AI3+d_Irr!BH3)),IF(AND(d_Irr!J3=".",d_Irr!AI3=".",d_Irr!BH3&lt;&gt;"."),d_dir!AK3/((1/1000)*(d_Irr!BH3)),IF(AND(d_Irr!J3=".",d_Irr!AI3&lt;&gt;".",d_Irr!BH3="."),d_dir!AK3/((1/1000)*(d_Irr!AI3)),IF(AND(d_Irr!J3&lt;&gt;".",d_Irr!AI3=".",d_Irr!BH3="."),d_dir!AK3/((1/1000)*(d_Irr!J3)),IF(AND(d_Irr!J3=".",d_Irr!AI3=".",d_Irr!BH3="."),d_dir!AK3*1000)))))))),".")</f>
        <v>3.0509554563891967</v>
      </c>
      <c r="AL3" s="70">
        <f>IFERROR(IF(AND(d_Irr!K3&lt;&gt;".",d_Irr!AJ3&lt;&gt;".",d_Irr!BI3&lt;&gt;"."),d_dir!AL3/((1/1000)*(d_Irr!K3+d_Irr!AJ3+d_Irr!BI3)),IF(AND(d_Irr!K3&lt;&gt;".",d_Irr!AJ3&lt;&gt;".",d_Irr!BI3="."),d_dir!AL3/((1/1000)*(d_Irr!K3+d_Irr!AJ3)),IF(AND(d_Irr!K3&lt;&gt;".",d_Irr!AJ3=".",d_Irr!BI3&lt;&gt;"."),d_dir!AL3/((1/1000)*(d_Irr!K3+d_Irr!BI3)),IF(AND(d_Irr!K3=".",d_Irr!AJ3&lt;&gt;".",d_Irr!BI3&lt;&gt;"."),d_dir!AL3/((1/1000)*(d_Irr!AJ3+d_Irr!BI3)),IF(AND(d_Irr!K3=".",d_Irr!AJ3=".",d_Irr!BI3&lt;&gt;"."),d_dir!AL3/((1/1000)*(d_Irr!BI3)),IF(AND(d_Irr!K3=".",d_Irr!AJ3&lt;&gt;".",d_Irr!BI3="."),d_dir!AL3/((1/1000)*(d_Irr!AJ3)),IF(AND(d_Irr!K3&lt;&gt;".",d_Irr!AJ3=".",d_Irr!BI3="."),d_dir!AL3/((1/1000)*(d_Irr!K3)),IF(AND(d_Irr!K3=".",d_Irr!AJ3=".",d_Irr!BI3="."),d_dir!AL3*1000)))))))),".")</f>
        <v>11.929738074122138</v>
      </c>
      <c r="AM3" s="70">
        <f>IFERROR(IF(AND(d_Irr!L3&lt;&gt;".",d_Irr!AK3&lt;&gt;".",d_Irr!BJ3&lt;&gt;"."),d_dir!AM3/((1/1000)*(d_Irr!L3+d_Irr!AK3+d_Irr!BJ3)),IF(AND(d_Irr!L3&lt;&gt;".",d_Irr!AK3&lt;&gt;".",d_Irr!BJ3="."),d_dir!AM3/((1/1000)*(d_Irr!L3+d_Irr!AK3)),IF(AND(d_Irr!L3&lt;&gt;".",d_Irr!AK3=".",d_Irr!BJ3&lt;&gt;"."),d_dir!AM3/((1/1000)*(d_Irr!L3+d_Irr!BJ3)),IF(AND(d_Irr!L3=".",d_Irr!AK3&lt;&gt;".",d_Irr!BJ3&lt;&gt;"."),d_dir!AM3/((1/1000)*(d_Irr!AK3+d_Irr!BJ3)),IF(AND(d_Irr!L3=".",d_Irr!AK3=".",d_Irr!BJ3&lt;&gt;"."),d_dir!AM3/((1/1000)*(d_Irr!BJ3)),IF(AND(d_Irr!L3=".",d_Irr!AK3&lt;&gt;".",d_Irr!BJ3="."),d_dir!AM3/((1/1000)*(d_Irr!AK3)),IF(AND(d_Irr!L3&lt;&gt;".",d_Irr!AK3=".",d_Irr!BJ3="."),d_dir!AM3/((1/1000)*(d_Irr!L3)),IF(AND(d_Irr!L3=".",d_Irr!AK3=".",d_Irr!BJ3="."),d_dir!AM3*1000)))))))),".")</f>
        <v>18.067238006972719</v>
      </c>
      <c r="AN3" s="70">
        <f>IFERROR(IF(AND(d_Irr!M3&lt;&gt;".",d_Irr!AL3&lt;&gt;".",d_Irr!BK3&lt;&gt;"."),d_dir!AN3/((1/1000)*(d_Irr!M3+d_Irr!AL3+d_Irr!BK3)),IF(AND(d_Irr!M3&lt;&gt;".",d_Irr!AL3&lt;&gt;".",d_Irr!BK3="."),d_dir!AN3/((1/1000)*(d_Irr!M3+d_Irr!AL3)),IF(AND(d_Irr!M3&lt;&gt;".",d_Irr!AL3=".",d_Irr!BK3&lt;&gt;"."),d_dir!AN3/((1/1000)*(d_Irr!M3+d_Irr!BK3)),IF(AND(d_Irr!M3=".",d_Irr!AL3&lt;&gt;".",d_Irr!BK3&lt;&gt;"."),d_dir!AN3/((1/1000)*(d_Irr!AL3+d_Irr!BK3)),IF(AND(d_Irr!M3=".",d_Irr!AL3=".",d_Irr!BK3&lt;&gt;"."),d_dir!AN3/((1/1000)*(d_Irr!BK3)),IF(AND(d_Irr!M3=".",d_Irr!AL3&lt;&gt;".",d_Irr!BK3="."),d_dir!AN3/((1/1000)*(d_Irr!AL3)),IF(AND(d_Irr!M3&lt;&gt;".",d_Irr!AL3=".",d_Irr!BK3="."),d_dir!AN3/((1/1000)*(d_Irr!M3)),IF(AND(d_Irr!M3=".",d_Irr!AL3=".",d_Irr!BK3="."),d_dir!AN3*1000)))))))),".")</f>
        <v>24.750668484502679</v>
      </c>
      <c r="AO3" s="70">
        <f>IFERROR(IF(AND(d_Irr!N3&lt;&gt;".",d_Irr!AM3&lt;&gt;".",d_Irr!BL3&lt;&gt;"."),d_dir!AO3/((1/1000)*(d_Irr!N3+d_Irr!AM3+d_Irr!BL3)),IF(AND(d_Irr!N3&lt;&gt;".",d_Irr!AM3&lt;&gt;".",d_Irr!BL3="."),d_dir!AO3/((1/1000)*(d_Irr!N3+d_Irr!AM3)),IF(AND(d_Irr!N3&lt;&gt;".",d_Irr!AM3=".",d_Irr!BL3&lt;&gt;"."),d_dir!AO3/((1/1000)*(d_Irr!N3+d_Irr!BL3)),IF(AND(d_Irr!N3=".",d_Irr!AM3&lt;&gt;".",d_Irr!BL3&lt;&gt;"."),d_dir!AO3/((1/1000)*(d_Irr!AM3+d_Irr!BL3)),IF(AND(d_Irr!N3=".",d_Irr!AM3=".",d_Irr!BL3&lt;&gt;"."),d_dir!AO3/((1/1000)*(d_Irr!BL3)),IF(AND(d_Irr!N3=".",d_Irr!AM3&lt;&gt;".",d_Irr!BL3="."),d_dir!AO3/((1/1000)*(d_Irr!AM3)),IF(AND(d_Irr!N3&lt;&gt;".",d_Irr!AM3=".",d_Irr!BL3="."),d_dir!AO3/((1/1000)*(d_Irr!N3)),IF(AND(d_Irr!N3=".",d_Irr!AM3=".",d_Irr!BL3="."),d_dir!AO3*1000)))))))),".")</f>
        <v>26.636214292855705</v>
      </c>
      <c r="AP3" s="70">
        <f>IFERROR(IF(AND(d_Irr!O3&lt;&gt;".",d_Irr!AN3&lt;&gt;".",d_Irr!BM3&lt;&gt;"."),d_dir!AP3/((1/1000)*(d_Irr!O3+d_Irr!AN3+d_Irr!BM3)),IF(AND(d_Irr!O3&lt;&gt;".",d_Irr!AN3&lt;&gt;".",d_Irr!BM3="."),d_dir!AP3/((1/1000)*(d_Irr!O3+d_Irr!AN3)),IF(AND(d_Irr!O3&lt;&gt;".",d_Irr!AN3=".",d_Irr!BM3&lt;&gt;"."),d_dir!AP3/((1/1000)*(d_Irr!O3+d_Irr!BM3)),IF(AND(d_Irr!O3=".",d_Irr!AN3&lt;&gt;".",d_Irr!BM3&lt;&gt;"."),d_dir!AP3/((1/1000)*(d_Irr!AN3+d_Irr!BM3)),IF(AND(d_Irr!O3=".",d_Irr!AN3=".",d_Irr!BM3&lt;&gt;"."),d_dir!AP3/((1/1000)*(d_Irr!BM3)),IF(AND(d_Irr!O3=".",d_Irr!AN3&lt;&gt;".",d_Irr!BM3="."),d_dir!AP3/((1/1000)*(d_Irr!AN3)),IF(AND(d_Irr!O3&lt;&gt;".",d_Irr!AN3=".",d_Irr!BM3="."),d_dir!AP3/((1/1000)*(d_Irr!O3)),IF(AND(d_Irr!O3=".",d_Irr!AN3=".",d_Irr!BM3="."),d_dir!AP3*1000)))))))),".")</f>
        <v>32.548082480556801</v>
      </c>
      <c r="AQ3" s="70">
        <f>IFERROR(IF(AND(d_Irr!P3&lt;&gt;".",d_Irr!AO3&lt;&gt;".",d_Irr!BN3&lt;&gt;"."),d_dir!AQ3/((1/1000)*(d_Irr!P3+d_Irr!AO3+d_Irr!BN3)),IF(AND(d_Irr!P3&lt;&gt;".",d_Irr!AO3&lt;&gt;".",d_Irr!BN3="."),d_dir!AQ3/((1/1000)*(d_Irr!P3+d_Irr!AO3)),IF(AND(d_Irr!P3&lt;&gt;".",d_Irr!AO3=".",d_Irr!BN3&lt;&gt;"."),d_dir!AQ3/((1/1000)*(d_Irr!P3+d_Irr!BN3)),IF(AND(d_Irr!P3=".",d_Irr!AO3&lt;&gt;".",d_Irr!BN3&lt;&gt;"."),d_dir!AQ3/((1/1000)*(d_Irr!AO3+d_Irr!BN3)),IF(AND(d_Irr!P3=".",d_Irr!AO3=".",d_Irr!BN3&lt;&gt;"."),d_dir!AQ3/((1/1000)*(d_Irr!BN3)),IF(AND(d_Irr!P3=".",d_Irr!AO3&lt;&gt;".",d_Irr!BN3="."),d_dir!AQ3/((1/1000)*(d_Irr!AO3)),IF(AND(d_Irr!P3&lt;&gt;".",d_Irr!AO3=".",d_Irr!BN3="."),d_dir!AQ3/((1/1000)*(d_Irr!P3)),IF(AND(d_Irr!P3=".",d_Irr!AO3=".",d_Irr!BN3="."),d_dir!AQ3*1000)))))))),".")</f>
        <v>36.338273878389799</v>
      </c>
      <c r="AR3" s="70">
        <f>IFERROR(IF(AND(d_Irr!Q3&lt;&gt;".",d_Irr!AP3&lt;&gt;".",d_Irr!BO3&lt;&gt;"."),d_dir!AR3/((1/1000)*(d_Irr!Q3+d_Irr!AP3+d_Irr!BO3)),IF(AND(d_Irr!Q3&lt;&gt;".",d_Irr!AP3&lt;&gt;".",d_Irr!BO3="."),d_dir!AR3/((1/1000)*(d_Irr!Q3+d_Irr!AP3)),IF(AND(d_Irr!Q3&lt;&gt;".",d_Irr!AP3=".",d_Irr!BO3&lt;&gt;"."),d_dir!AR3/((1/1000)*(d_Irr!Q3+d_Irr!BO3)),IF(AND(d_Irr!Q3=".",d_Irr!AP3&lt;&gt;".",d_Irr!BO3&lt;&gt;"."),d_dir!AR3/((1/1000)*(d_Irr!AP3+d_Irr!BO3)),IF(AND(d_Irr!Q3=".",d_Irr!AP3=".",d_Irr!BO3&lt;&gt;"."),d_dir!AR3/((1/1000)*(d_Irr!BO3)),IF(AND(d_Irr!Q3=".",d_Irr!AP3&lt;&gt;".",d_Irr!BO3="."),d_dir!AR3/((1/1000)*(d_Irr!AP3)),IF(AND(d_Irr!Q3&lt;&gt;".",d_Irr!AP3=".",d_Irr!BO3="."),d_dir!AR3/((1/1000)*(d_Irr!Q3)),IF(AND(d_Irr!Q3=".",d_Irr!AP3=".",d_Irr!BO3="."),d_dir!AR3*1000)))))))),".")</f>
        <v>8.6864227630905511</v>
      </c>
      <c r="AS3" s="70">
        <f>IFERROR(IF(AND(d_Irr!R3&lt;&gt;".",d_Irr!AQ3&lt;&gt;".",d_Irr!BP3&lt;&gt;"."),d_dir!AS3/((1/1000)*(d_Irr!R3+d_Irr!AQ3+d_Irr!BP3)),IF(AND(d_Irr!R3&lt;&gt;".",d_Irr!AQ3&lt;&gt;".",d_Irr!BP3="."),d_dir!AS3/((1/1000)*(d_Irr!R3+d_Irr!AQ3)),IF(AND(d_Irr!R3&lt;&gt;".",d_Irr!AQ3=".",d_Irr!BP3&lt;&gt;"."),d_dir!AS3/((1/1000)*(d_Irr!R3+d_Irr!BP3)),IF(AND(d_Irr!R3=".",d_Irr!AQ3&lt;&gt;".",d_Irr!BP3&lt;&gt;"."),d_dir!AS3/((1/1000)*(d_Irr!AQ3+d_Irr!BP3)),IF(AND(d_Irr!R3=".",d_Irr!AQ3=".",d_Irr!BP3&lt;&gt;"."),d_dir!AS3/((1/1000)*(d_Irr!BP3)),IF(AND(d_Irr!R3=".",d_Irr!AQ3&lt;&gt;".",d_Irr!BP3="."),d_dir!AS3/((1/1000)*(d_Irr!AQ3)),IF(AND(d_Irr!R3&lt;&gt;".",d_Irr!AQ3=".",d_Irr!BP3="."),d_dir!AS3/((1/1000)*(d_Irr!R3)),IF(AND(d_Irr!R3=".",d_Irr!AQ3=".",d_Irr!BP3="."),d_dir!AS3*1000)))))))),".")</f>
        <v>14.164386896080112</v>
      </c>
      <c r="AT3" s="70">
        <f>IFERROR(IF(AND(d_Irr!S3&lt;&gt;".",d_Irr!AR3&lt;&gt;".",d_Irr!BQ3&lt;&gt;"."),d_dir!AT3/((1/1000)*(d_Irr!S3+d_Irr!AR3+d_Irr!BQ3)),IF(AND(d_Irr!S3&lt;&gt;".",d_Irr!AR3&lt;&gt;".",d_Irr!BQ3="."),d_dir!AT3/((1/1000)*(d_Irr!S3+d_Irr!AR3)),IF(AND(d_Irr!S3&lt;&gt;".",d_Irr!AR3=".",d_Irr!BQ3&lt;&gt;"."),d_dir!AT3/((1/1000)*(d_Irr!S3+d_Irr!BQ3)),IF(AND(d_Irr!S3=".",d_Irr!AR3&lt;&gt;".",d_Irr!BQ3&lt;&gt;"."),d_dir!AT3/((1/1000)*(d_Irr!AR3+d_Irr!BQ3)),IF(AND(d_Irr!S3=".",d_Irr!AR3=".",d_Irr!BQ3&lt;&gt;"."),d_dir!AT3/((1/1000)*(d_Irr!BQ3)),IF(AND(d_Irr!S3=".",d_Irr!AR3&lt;&gt;".",d_Irr!BQ3="."),d_dir!AT3/((1/1000)*(d_Irr!AR3)),IF(AND(d_Irr!S3&lt;&gt;".",d_Irr!AR3=".",d_Irr!BQ3="."),d_dir!AT3/((1/1000)*(d_Irr!S3)),IF(AND(d_Irr!S3=".",d_Irr!AR3=".",d_Irr!BQ3="."),d_dir!AT3*1000)))))))),".")</f>
        <v>29.609416214082234</v>
      </c>
      <c r="AU3" s="70">
        <f>IFERROR(IF(AND(d_Irr!T3&lt;&gt;".",d_Irr!AS3&lt;&gt;".",d_Irr!BR3&lt;&gt;"."),d_dir!AU3/((1/1000)*(d_Irr!T3+d_Irr!AS3+d_Irr!BR3)),IF(AND(d_Irr!T3&lt;&gt;".",d_Irr!AS3&lt;&gt;".",d_Irr!BR3="."),d_dir!AU3/((1/1000)*(d_Irr!T3+d_Irr!AS3)),IF(AND(d_Irr!T3&lt;&gt;".",d_Irr!AS3=".",d_Irr!BR3&lt;&gt;"."),d_dir!AU3/((1/1000)*(d_Irr!T3+d_Irr!BR3)),IF(AND(d_Irr!T3=".",d_Irr!AS3&lt;&gt;".",d_Irr!BR3&lt;&gt;"."),d_dir!AU3/((1/1000)*(d_Irr!AS3+d_Irr!BR3)),IF(AND(d_Irr!T3=".",d_Irr!AS3=".",d_Irr!BR3&lt;&gt;"."),d_dir!AU3/((1/1000)*(d_Irr!BR3)),IF(AND(d_Irr!T3=".",d_Irr!AS3&lt;&gt;".",d_Irr!BR3="."),d_dir!AU3/((1/1000)*(d_Irr!AS3)),IF(AND(d_Irr!T3&lt;&gt;".",d_Irr!AS3=".",d_Irr!BR3="."),d_dir!AU3/((1/1000)*(d_Irr!T3)),IF(AND(d_Irr!T3=".",d_Irr!AS3=".",d_Irr!BR3="."),d_dir!AU3*1000)))))))),".")</f>
        <v>40.549265765617143</v>
      </c>
      <c r="AV3" s="70">
        <f>IFERROR(IF(AND(d_Irr!U3&lt;&gt;".",d_Irr!AT3&lt;&gt;".",d_Irr!BS3&lt;&gt;"."),d_dir!AV3/((1/1000)*(d_Irr!U3+d_Irr!AT3+d_Irr!BS3)),IF(AND(d_Irr!U3&lt;&gt;".",d_Irr!AT3&lt;&gt;".",d_Irr!BS3="."),d_dir!AV3/((1/1000)*(d_Irr!U3+d_Irr!AT3)),IF(AND(d_Irr!U3&lt;&gt;".",d_Irr!AT3=".",d_Irr!BS3&lt;&gt;"."),d_dir!AV3/((1/1000)*(d_Irr!U3+d_Irr!BS3)),IF(AND(d_Irr!U3=".",d_Irr!AT3&lt;&gt;".",d_Irr!BS3&lt;&gt;"."),d_dir!AV3/((1/1000)*(d_Irr!AT3+d_Irr!BS3)),IF(AND(d_Irr!U3=".",d_Irr!AT3=".",d_Irr!BS3&lt;&gt;"."),d_dir!AV3/((1/1000)*(d_Irr!BS3)),IF(AND(d_Irr!U3=".",d_Irr!AT3&lt;&gt;".",d_Irr!BS3="."),d_dir!AV3/((1/1000)*(d_Irr!AT3)),IF(AND(d_Irr!U3&lt;&gt;".",d_Irr!AT3=".",d_Irr!BS3="."),d_dir!AV3/((1/1000)*(d_Irr!U3)),IF(AND(d_Irr!U3=".",d_Irr!AT3=".",d_Irr!BS3="."),d_dir!AV3*1000)))))))),".")</f>
        <v>6.9094837538965566</v>
      </c>
      <c r="AW3" s="70">
        <f>IFERROR(IF(AND(d_Irr!V3&lt;&gt;".",d_Irr!AU3&lt;&gt;".",d_Irr!BT3&lt;&gt;"."),d_dir!AW3/((1/1000)*(d_Irr!V3+d_Irr!AU3+d_Irr!BT3)),IF(AND(d_Irr!V3&lt;&gt;".",d_Irr!AU3&lt;&gt;".",d_Irr!BT3="."),d_dir!AW3/((1/1000)*(d_Irr!V3+d_Irr!AU3)),IF(AND(d_Irr!V3&lt;&gt;".",d_Irr!AU3=".",d_Irr!BT3&lt;&gt;"."),d_dir!AW3/((1/1000)*(d_Irr!V3+d_Irr!BT3)),IF(AND(d_Irr!V3=".",d_Irr!AU3&lt;&gt;".",d_Irr!BT3&lt;&gt;"."),d_dir!AW3/((1/1000)*(d_Irr!AU3+d_Irr!BT3)),IF(AND(d_Irr!V3=".",d_Irr!AU3=".",d_Irr!BT3&lt;&gt;"."),d_dir!AW3/((1/1000)*(d_Irr!BT3)),IF(AND(d_Irr!V3=".",d_Irr!AU3&lt;&gt;".",d_Irr!BT3="."),d_dir!AW3/((1/1000)*(d_Irr!AU3)),IF(AND(d_Irr!V3&lt;&gt;".",d_Irr!AU3=".",d_Irr!BT3="."),d_dir!AW3/((1/1000)*(d_Irr!V3)),IF(AND(d_Irr!V3=".",d_Irr!AU3=".",d_Irr!BT3="."),d_dir!AW3*1000)))))))),".")</f>
        <v>15.521406002054871</v>
      </c>
      <c r="AX3" s="70">
        <f>IFERROR(IF(AND(d_Irr!W3&lt;&gt;".",d_Irr!AV3&lt;&gt;".",d_Irr!BU3&lt;&gt;"."),d_dir!AX3/((1/1000)*(d_Irr!W3+d_Irr!AV3+d_Irr!BU3)),IF(AND(d_Irr!W3&lt;&gt;".",d_Irr!AV3&lt;&gt;".",d_Irr!BU3="."),d_dir!AX3/((1/1000)*(d_Irr!W3+d_Irr!AV3)),IF(AND(d_Irr!W3&lt;&gt;".",d_Irr!AV3=".",d_Irr!BU3&lt;&gt;"."),d_dir!AX3/((1/1000)*(d_Irr!W3+d_Irr!BU3)),IF(AND(d_Irr!W3=".",d_Irr!AV3&lt;&gt;".",d_Irr!BU3&lt;&gt;"."),d_dir!AX3/((1/1000)*(d_Irr!AV3+d_Irr!BU3)),IF(AND(d_Irr!W3=".",d_Irr!AV3=".",d_Irr!BU3&lt;&gt;"."),d_dir!AX3/((1/1000)*(d_Irr!BU3)),IF(AND(d_Irr!W3=".",d_Irr!AV3&lt;&gt;".",d_Irr!BU3="."),d_dir!AX3/((1/1000)*(d_Irr!AV3)),IF(AND(d_Irr!W3&lt;&gt;".",d_Irr!AV3=".",d_Irr!BU3="."),d_dir!AX3/((1/1000)*(d_Irr!W3)),IF(AND(d_Irr!W3=".",d_Irr!AV3=".",d_Irr!BU3="."),d_dir!AX3*1000)))))))),".")</f>
        <v>16.711286134474179</v>
      </c>
      <c r="AY3" s="70">
        <f>IFERROR(IF(AND(d_Irr!X3&lt;&gt;".",d_Irr!AW3&lt;&gt;".",d_Irr!BV3&lt;&gt;"."),d_dir!AY3/((1/1000)*(d_Irr!X3+d_Irr!AW3+d_Irr!BV3)),IF(AND(d_Irr!X3&lt;&gt;".",d_Irr!AW3&lt;&gt;".",d_Irr!BV3="."),d_dir!AY3/((1/1000)*(d_Irr!X3+d_Irr!AW3)),IF(AND(d_Irr!X3&lt;&gt;".",d_Irr!AW3=".",d_Irr!BV3&lt;&gt;"."),d_dir!AY3/((1/1000)*(d_Irr!X3+d_Irr!BV3)),IF(AND(d_Irr!X3=".",d_Irr!AW3&lt;&gt;".",d_Irr!BV3&lt;&gt;"."),d_dir!AY3/((1/1000)*(d_Irr!AW3+d_Irr!BV3)),IF(AND(d_Irr!X3=".",d_Irr!AW3=".",d_Irr!BV3&lt;&gt;"."),d_dir!AY3/((1/1000)*(d_Irr!BV3)),IF(AND(d_Irr!X3=".",d_Irr!AW3&lt;&gt;".",d_Irr!BV3="."),d_dir!AY3/((1/1000)*(d_Irr!AW3)),IF(AND(d_Irr!X3&lt;&gt;".",d_Irr!AW3=".",d_Irr!BV3="."),d_dir!AY3/((1/1000)*(d_Irr!X3)),IF(AND(d_Irr!X3=".",d_Irr!AW3=".",d_Irr!BV3="."),d_dir!AY3*1000)))))))),".")</f>
        <v>23.013000511627876</v>
      </c>
      <c r="AZ3" s="70">
        <f>IFERROR(IF(AND(d_Irr!Y3&lt;&gt;".",d_Irr!AX3&lt;&gt;".",d_Irr!BW3&lt;&gt;"."),d_dir!AZ3/((1/1000)*(d_Irr!Y3+d_Irr!AX3+d_Irr!BW3)),IF(AND(d_Irr!Y3&lt;&gt;".",d_Irr!AX3&lt;&gt;".",d_Irr!BW3="."),d_dir!AZ3/((1/1000)*(d_Irr!Y3+d_Irr!AX3)),IF(AND(d_Irr!Y3&lt;&gt;".",d_Irr!AX3=".",d_Irr!BW3&lt;&gt;"."),d_dir!AZ3/((1/1000)*(d_Irr!Y3+d_Irr!BW3)),IF(AND(d_Irr!Y3=".",d_Irr!AX3&lt;&gt;".",d_Irr!BW3&lt;&gt;"."),d_dir!AZ3/((1/1000)*(d_Irr!AX3+d_Irr!BW3)),IF(AND(d_Irr!Y3=".",d_Irr!AX3=".",d_Irr!BW3&lt;&gt;"."),d_dir!AZ3/((1/1000)*(d_Irr!BW3)),IF(AND(d_Irr!Y3=".",d_Irr!AX3&lt;&gt;".",d_Irr!BW3="."),d_dir!AZ3/((1/1000)*(d_Irr!AX3)),IF(AND(d_Irr!Y3&lt;&gt;".",d_Irr!AX3=".",d_Irr!BW3="."),d_dir!AZ3/((1/1000)*(d_Irr!Y3)),IF(AND(d_Irr!Y3=".",d_Irr!AX3=".",d_Irr!BW3="."),d_dir!AZ3*1000)))))))),".")</f>
        <v>10.11859176374173</v>
      </c>
      <c r="BA3" s="70">
        <f>IFERROR(IF(AND(d_Irr!Z3&lt;&gt;".",d_Irr!AY3&lt;&gt;".",d_Irr!BX3&lt;&gt;"."),d_dir!BA3/((1/1000)*(d_Irr!Z3+d_Irr!AY3+d_Irr!BX3)),IF(AND(d_Irr!Z3&lt;&gt;".",d_Irr!AY3&lt;&gt;".",d_Irr!BX3="."),d_dir!BA3/((1/1000)*(d_Irr!Z3+d_Irr!AY3)),IF(AND(d_Irr!Z3&lt;&gt;".",d_Irr!AY3=".",d_Irr!BX3&lt;&gt;"."),d_dir!BA3/((1/1000)*(d_Irr!Z3+d_Irr!BX3)),IF(AND(d_Irr!Z3=".",d_Irr!AY3&lt;&gt;".",d_Irr!BX3&lt;&gt;"."),d_dir!BA3/((1/1000)*(d_Irr!AY3+d_Irr!BX3)),IF(AND(d_Irr!Z3=".",d_Irr!AY3=".",d_Irr!BX3&lt;&gt;"."),d_dir!BA3/((1/1000)*(d_Irr!BX3)),IF(AND(d_Irr!Z3=".",d_Irr!AY3&lt;&gt;".",d_Irr!BX3="."),d_dir!BA3/((1/1000)*(d_Irr!AY3)),IF(AND(d_Irr!Z3&lt;&gt;".",d_Irr!AY3=".",d_Irr!BX3="."),d_dir!BA3/((1/1000)*(d_Irr!Z3)),IF(AND(d_Irr!Z3=".",d_Irr!AY3=".",d_Irr!BX3="."),d_dir!BA3*1000)))))))),".")</f>
        <v>2.8107947420241257</v>
      </c>
      <c r="BB3" s="70">
        <f>IFERROR(IF(AND(d_Irr!AA3&lt;&gt;".",d_Irr!AZ3&lt;&gt;".",d_Irr!BY3&lt;&gt;"."),d_dir!BB3/((1/1000)*(d_Irr!AA3+d_Irr!AZ3+d_Irr!BY3)),IF(AND(d_Irr!AA3&lt;&gt;".",d_Irr!AZ3&lt;&gt;".",d_Irr!BY3="."),d_dir!BB3/((1/1000)*(d_Irr!AA3+d_Irr!AZ3)),IF(AND(d_Irr!AA3&lt;&gt;".",d_Irr!AZ3=".",d_Irr!BY3&lt;&gt;"."),d_dir!BB3/((1/1000)*(d_Irr!AA3+d_Irr!BY3)),IF(AND(d_Irr!AA3=".",d_Irr!AZ3&lt;&gt;".",d_Irr!BY3&lt;&gt;"."),d_dir!BB3/((1/1000)*(d_Irr!AZ3+d_Irr!BY3)),IF(AND(d_Irr!AA3=".",d_Irr!AZ3=".",d_Irr!BY3&lt;&gt;"."),d_dir!BB3/((1/1000)*(d_Irr!BY3)),IF(AND(d_Irr!AA3=".",d_Irr!AZ3&lt;&gt;".",d_Irr!BY3="."),d_dir!BB3/((1/1000)*(d_Irr!AZ3)),IF(AND(d_Irr!AA3&lt;&gt;".",d_Irr!AZ3=".",d_Irr!BY3="."),d_dir!BB3/((1/1000)*(d_Irr!AA3)),IF(AND(d_Irr!AA3=".",d_Irr!AZ3=".",d_Irr!BY3="."),d_dir!BB3*1000)))))))),".")</f>
        <v>3.252620605253826</v>
      </c>
    </row>
    <row r="4" spans="1:54" ht="15" customHeight="1" x14ac:dyDescent="0.25">
      <c r="A4" s="86" t="s">
        <v>2</v>
      </c>
      <c r="B4" s="84" t="s">
        <v>1057</v>
      </c>
      <c r="C4" s="2" t="str">
        <f t="shared" si="1"/>
        <v>.</v>
      </c>
      <c r="D4" s="70" t="str">
        <f>IFERROR(IF(AND(d_Irr!C4&lt;&gt;".",d_Irr!AB4&lt;&gt;".",d_Irr!BA4&lt;&gt;"."),d_dir!D4/((1/1000)*(d_Irr!C4+d_Irr!AB4+d_Irr!BA4)),IF(AND(d_Irr!C4&lt;&gt;".",d_Irr!AB4&lt;&gt;".",d_Irr!BA4="."),d_dir!D4/((1/1000)*(d_Irr!C4+d_Irr!AB4)),IF(AND(d_Irr!C4&lt;&gt;".",d_Irr!AB4=".",d_Irr!BA4&lt;&gt;"."),d_dir!D4/((1/1000)*(d_Irr!C4+d_Irr!BA4)),IF(AND(d_Irr!C4=".",d_Irr!AB4&lt;&gt;".",d_Irr!BA4&lt;&gt;"."),d_dir!D4/((1/1000)*(d_Irr!AB4+d_Irr!BA4)),IF(AND(d_Irr!C4=".",d_Irr!AB4=".",d_Irr!BA4&lt;&gt;"."),d_dir!D4/((1/1000)*(d_Irr!BA4)),IF(AND(d_Irr!C4=".",d_Irr!AB4&lt;&gt;".",d_Irr!BA4="."),d_dir!D4/((1/1000)*(d_Irr!AB4)),IF(AND(d_Irr!C4&lt;&gt;".",d_Irr!AB4=".",d_Irr!BA4="."),d_dir!D4/((1/1000)*(d_Irr!C4)),IF(AND(d_Irr!C4=".",d_Irr!AB4=".",d_Irr!BA4="."),d_dir!D4*1000)))))))),".")</f>
        <v>.</v>
      </c>
      <c r="E4" s="70" t="str">
        <f>IFERROR(IF(AND(d_Irr!D4&lt;&gt;".",d_Irr!AC4&lt;&gt;".",d_Irr!BB4&lt;&gt;"."),d_dir!E4/((1/1000)*(d_Irr!D4+d_Irr!AC4+d_Irr!BB4)),IF(AND(d_Irr!D4&lt;&gt;".",d_Irr!AC4&lt;&gt;".",d_Irr!BB4="."),d_dir!E4/((1/1000)*(d_Irr!D4+d_Irr!AC4)),IF(AND(d_Irr!D4&lt;&gt;".",d_Irr!AC4=".",d_Irr!BB4&lt;&gt;"."),d_dir!E4/((1/1000)*(d_Irr!D4+d_Irr!BB4)),IF(AND(d_Irr!D4=".",d_Irr!AC4&lt;&gt;".",d_Irr!BB4&lt;&gt;"."),d_dir!E4/((1/1000)*(d_Irr!AC4+d_Irr!BB4)),IF(AND(d_Irr!D4=".",d_Irr!AC4=".",d_Irr!BB4&lt;&gt;"."),d_dir!E4/((1/1000)*(d_Irr!BB4)),IF(AND(d_Irr!D4=".",d_Irr!AC4&lt;&gt;".",d_Irr!BB4="."),d_dir!E4/((1/1000)*(d_Irr!AC4)),IF(AND(d_Irr!D4&lt;&gt;".",d_Irr!AC4=".",d_Irr!BB4="."),d_dir!E4/((1/1000)*(d_Irr!D4)),IF(AND(d_Irr!D4=".",d_Irr!AC4=".",d_Irr!BB4="."),d_dir!E4*1000)))))))),".")</f>
        <v>.</v>
      </c>
      <c r="F4" s="70" t="str">
        <f>IFERROR(IF(AND(d_Irr!E4&lt;&gt;".",d_Irr!AD4&lt;&gt;".",d_Irr!BC4&lt;&gt;"."),d_dir!F4/((1/1000)*(d_Irr!E4+d_Irr!AD4+d_Irr!BC4)),IF(AND(d_Irr!E4&lt;&gt;".",d_Irr!AD4&lt;&gt;".",d_Irr!BC4="."),d_dir!F4/((1/1000)*(d_Irr!E4+d_Irr!AD4)),IF(AND(d_Irr!E4&lt;&gt;".",d_Irr!AD4=".",d_Irr!BC4&lt;&gt;"."),d_dir!F4/((1/1000)*(d_Irr!E4+d_Irr!BC4)),IF(AND(d_Irr!E4=".",d_Irr!AD4&lt;&gt;".",d_Irr!BC4&lt;&gt;"."),d_dir!F4/((1/1000)*(d_Irr!AD4+d_Irr!BC4)),IF(AND(d_Irr!E4=".",d_Irr!AD4=".",d_Irr!BC4&lt;&gt;"."),d_dir!F4/((1/1000)*(d_Irr!BC4)),IF(AND(d_Irr!E4=".",d_Irr!AD4&lt;&gt;".",d_Irr!BC4="."),d_dir!F4/((1/1000)*(d_Irr!AD4)),IF(AND(d_Irr!E4&lt;&gt;".",d_Irr!AD4=".",d_Irr!BC4="."),d_dir!F4/((1/1000)*(d_Irr!E4)),IF(AND(d_Irr!E4=".",d_Irr!AD4=".",d_Irr!BC4="."),d_dir!F4*1000)))))))),".")</f>
        <v>.</v>
      </c>
      <c r="G4" s="70" t="str">
        <f>IFERROR(IF(AND(d_Irr!F4&lt;&gt;".",d_Irr!AE4&lt;&gt;".",d_Irr!BD4&lt;&gt;"."),d_dir!G4/((1/1000)*(d_Irr!F4+d_Irr!AE4+d_Irr!BD4)),IF(AND(d_Irr!F4&lt;&gt;".",d_Irr!AE4&lt;&gt;".",d_Irr!BD4="."),d_dir!G4/((1/1000)*(d_Irr!F4+d_Irr!AE4)),IF(AND(d_Irr!F4&lt;&gt;".",d_Irr!AE4=".",d_Irr!BD4&lt;&gt;"."),d_dir!G4/((1/1000)*(d_Irr!F4+d_Irr!BD4)),IF(AND(d_Irr!F4=".",d_Irr!AE4&lt;&gt;".",d_Irr!BD4&lt;&gt;"."),d_dir!G4/((1/1000)*(d_Irr!AE4+d_Irr!BD4)),IF(AND(d_Irr!F4=".",d_Irr!AE4=".",d_Irr!BD4&lt;&gt;"."),d_dir!G4/((1/1000)*(d_Irr!BD4)),IF(AND(d_Irr!F4=".",d_Irr!AE4&lt;&gt;".",d_Irr!BD4="."),d_dir!G4/((1/1000)*(d_Irr!AE4)),IF(AND(d_Irr!F4&lt;&gt;".",d_Irr!AE4=".",d_Irr!BD4="."),d_dir!G4/((1/1000)*(d_Irr!F4)),IF(AND(d_Irr!F4=".",d_Irr!AE4=".",d_Irr!BD4="."),d_dir!G4*1000)))))))),".")</f>
        <v>.</v>
      </c>
      <c r="H4" s="70" t="str">
        <f>IFERROR(IF(AND(d_Irr!G4&lt;&gt;".",d_Irr!AF4&lt;&gt;".",d_Irr!BE4&lt;&gt;"."),d_dir!H4/((1/1000)*(d_Irr!G4+d_Irr!AF4+d_Irr!BE4)),IF(AND(d_Irr!G4&lt;&gt;".",d_Irr!AF4&lt;&gt;".",d_Irr!BE4="."),d_dir!H4/((1/1000)*(d_Irr!G4+d_Irr!AF4)),IF(AND(d_Irr!G4&lt;&gt;".",d_Irr!AF4=".",d_Irr!BE4&lt;&gt;"."),d_dir!H4/((1/1000)*(d_Irr!G4+d_Irr!BE4)),IF(AND(d_Irr!G4=".",d_Irr!AF4&lt;&gt;".",d_Irr!BE4&lt;&gt;"."),d_dir!H4/((1/1000)*(d_Irr!AF4+d_Irr!BE4)),IF(AND(d_Irr!G4=".",d_Irr!AF4=".",d_Irr!BE4&lt;&gt;"."),d_dir!H4/((1/1000)*(d_Irr!BE4)),IF(AND(d_Irr!G4=".",d_Irr!AF4&lt;&gt;".",d_Irr!BE4="."),d_dir!H4/((1/1000)*(d_Irr!AF4)),IF(AND(d_Irr!G4&lt;&gt;".",d_Irr!AF4=".",d_Irr!BE4="."),d_dir!H4/((1/1000)*(d_Irr!G4)),IF(AND(d_Irr!G4=".",d_Irr!AF4=".",d_Irr!BE4="."),d_dir!H4*1000)))))))),".")</f>
        <v>.</v>
      </c>
      <c r="I4" s="70" t="str">
        <f>IFERROR(IF(AND(d_Irr!H4&lt;&gt;".",d_Irr!AG4&lt;&gt;".",d_Irr!BF4&lt;&gt;"."),d_dir!I4/((1/1000)*(d_Irr!H4+d_Irr!AG4+d_Irr!BF4)),IF(AND(d_Irr!H4&lt;&gt;".",d_Irr!AG4&lt;&gt;".",d_Irr!BF4="."),d_dir!I4/((1/1000)*(d_Irr!H4+d_Irr!AG4)),IF(AND(d_Irr!H4&lt;&gt;".",d_Irr!AG4=".",d_Irr!BF4&lt;&gt;"."),d_dir!I4/((1/1000)*(d_Irr!H4+d_Irr!BF4)),IF(AND(d_Irr!H4=".",d_Irr!AG4&lt;&gt;".",d_Irr!BF4&lt;&gt;"."),d_dir!I4/((1/1000)*(d_Irr!AG4+d_Irr!BF4)),IF(AND(d_Irr!H4=".",d_Irr!AG4=".",d_Irr!BF4&lt;&gt;"."),d_dir!I4/((1/1000)*(d_Irr!BF4)),IF(AND(d_Irr!H4=".",d_Irr!AG4&lt;&gt;".",d_Irr!BF4="."),d_dir!I4/((1/1000)*(d_Irr!AG4)),IF(AND(d_Irr!H4&lt;&gt;".",d_Irr!AG4=".",d_Irr!BF4="."),d_dir!I4/((1/1000)*(d_Irr!H4)),IF(AND(d_Irr!H4=".",d_Irr!AG4=".",d_Irr!BF4="."),d_dir!I4*1000)))))))),".")</f>
        <v>.</v>
      </c>
      <c r="J4" s="70" t="str">
        <f>IFERROR(IF(AND(d_Irr!I4&lt;&gt;".",d_Irr!AH4&lt;&gt;".",d_Irr!BG4&lt;&gt;"."),d_dir!J4/((1/1000)*(d_Irr!I4+d_Irr!AH4+d_Irr!BG4)),IF(AND(d_Irr!I4&lt;&gt;".",d_Irr!AH4&lt;&gt;".",d_Irr!BG4="."),d_dir!J4/((1/1000)*(d_Irr!I4+d_Irr!AH4)),IF(AND(d_Irr!I4&lt;&gt;".",d_Irr!AH4=".",d_Irr!BG4&lt;&gt;"."),d_dir!J4/((1/1000)*(d_Irr!I4+d_Irr!BG4)),IF(AND(d_Irr!I4=".",d_Irr!AH4&lt;&gt;".",d_Irr!BG4&lt;&gt;"."),d_dir!J4/((1/1000)*(d_Irr!AH4+d_Irr!BG4)),IF(AND(d_Irr!I4=".",d_Irr!AH4=".",d_Irr!BG4&lt;&gt;"."),d_dir!J4/((1/1000)*(d_Irr!BG4)),IF(AND(d_Irr!I4=".",d_Irr!AH4&lt;&gt;".",d_Irr!BG4="."),d_dir!J4/((1/1000)*(d_Irr!AH4)),IF(AND(d_Irr!I4&lt;&gt;".",d_Irr!AH4=".",d_Irr!BG4="."),d_dir!J4/((1/1000)*(d_Irr!I4)),IF(AND(d_Irr!I4=".",d_Irr!AH4=".",d_Irr!BG4="."),d_dir!J4*1000)))))))),".")</f>
        <v>.</v>
      </c>
      <c r="K4" s="70" t="str">
        <f>IFERROR(IF(AND(d_Irr!J4&lt;&gt;".",d_Irr!AI4&lt;&gt;".",d_Irr!BH4&lt;&gt;"."),d_dir!K4/((1/1000)*(d_Irr!J4+d_Irr!AI4+d_Irr!BH4)),IF(AND(d_Irr!J4&lt;&gt;".",d_Irr!AI4&lt;&gt;".",d_Irr!BH4="."),d_dir!K4/((1/1000)*(d_Irr!J4+d_Irr!AI4)),IF(AND(d_Irr!J4&lt;&gt;".",d_Irr!AI4=".",d_Irr!BH4&lt;&gt;"."),d_dir!K4/((1/1000)*(d_Irr!J4+d_Irr!BH4)),IF(AND(d_Irr!J4=".",d_Irr!AI4&lt;&gt;".",d_Irr!BH4&lt;&gt;"."),d_dir!K4/((1/1000)*(d_Irr!AI4+d_Irr!BH4)),IF(AND(d_Irr!J4=".",d_Irr!AI4=".",d_Irr!BH4&lt;&gt;"."),d_dir!K4/((1/1000)*(d_Irr!BH4)),IF(AND(d_Irr!J4=".",d_Irr!AI4&lt;&gt;".",d_Irr!BH4="."),d_dir!K4/((1/1000)*(d_Irr!AI4)),IF(AND(d_Irr!J4&lt;&gt;".",d_Irr!AI4=".",d_Irr!BH4="."),d_dir!K4/((1/1000)*(d_Irr!J4)),IF(AND(d_Irr!J4=".",d_Irr!AI4=".",d_Irr!BH4="."),d_dir!K4*1000)))))))),".")</f>
        <v>.</v>
      </c>
      <c r="L4" s="70" t="str">
        <f>IFERROR(IF(AND(d_Irr!K4&lt;&gt;".",d_Irr!AJ4&lt;&gt;".",d_Irr!BI4&lt;&gt;"."),d_dir!L4/((1/1000)*(d_Irr!K4+d_Irr!AJ4+d_Irr!BI4)),IF(AND(d_Irr!K4&lt;&gt;".",d_Irr!AJ4&lt;&gt;".",d_Irr!BI4="."),d_dir!L4/((1/1000)*(d_Irr!K4+d_Irr!AJ4)),IF(AND(d_Irr!K4&lt;&gt;".",d_Irr!AJ4=".",d_Irr!BI4&lt;&gt;"."),d_dir!L4/((1/1000)*(d_Irr!K4+d_Irr!BI4)),IF(AND(d_Irr!K4=".",d_Irr!AJ4&lt;&gt;".",d_Irr!BI4&lt;&gt;"."),d_dir!L4/((1/1000)*(d_Irr!AJ4+d_Irr!BI4)),IF(AND(d_Irr!K4=".",d_Irr!AJ4=".",d_Irr!BI4&lt;&gt;"."),d_dir!L4/((1/1000)*(d_Irr!BI4)),IF(AND(d_Irr!K4=".",d_Irr!AJ4&lt;&gt;".",d_Irr!BI4="."),d_dir!L4/((1/1000)*(d_Irr!AJ4)),IF(AND(d_Irr!K4&lt;&gt;".",d_Irr!AJ4=".",d_Irr!BI4="."),d_dir!L4/((1/1000)*(d_Irr!K4)),IF(AND(d_Irr!K4=".",d_Irr!AJ4=".",d_Irr!BI4="."),d_dir!L4*1000)))))))),".")</f>
        <v>.</v>
      </c>
      <c r="M4" s="70" t="str">
        <f>IFERROR(IF(AND(d_Irr!L4&lt;&gt;".",d_Irr!AK4&lt;&gt;".",d_Irr!BJ4&lt;&gt;"."),d_dir!M4/((1/1000)*(d_Irr!L4+d_Irr!AK4+d_Irr!BJ4)),IF(AND(d_Irr!L4&lt;&gt;".",d_Irr!AK4&lt;&gt;".",d_Irr!BJ4="."),d_dir!M4/((1/1000)*(d_Irr!L4+d_Irr!AK4)),IF(AND(d_Irr!L4&lt;&gt;".",d_Irr!AK4=".",d_Irr!BJ4&lt;&gt;"."),d_dir!M4/((1/1000)*(d_Irr!L4+d_Irr!BJ4)),IF(AND(d_Irr!L4=".",d_Irr!AK4&lt;&gt;".",d_Irr!BJ4&lt;&gt;"."),d_dir!M4/((1/1000)*(d_Irr!AK4+d_Irr!BJ4)),IF(AND(d_Irr!L4=".",d_Irr!AK4=".",d_Irr!BJ4&lt;&gt;"."),d_dir!M4/((1/1000)*(d_Irr!BJ4)),IF(AND(d_Irr!L4=".",d_Irr!AK4&lt;&gt;".",d_Irr!BJ4="."),d_dir!M4/((1/1000)*(d_Irr!AK4)),IF(AND(d_Irr!L4&lt;&gt;".",d_Irr!AK4=".",d_Irr!BJ4="."),d_dir!M4/((1/1000)*(d_Irr!L4)),IF(AND(d_Irr!L4=".",d_Irr!AK4=".",d_Irr!BJ4="."),d_dir!M4*1000)))))))),".")</f>
        <v>.</v>
      </c>
      <c r="N4" s="70" t="str">
        <f>IFERROR(IF(AND(d_Irr!M4&lt;&gt;".",d_Irr!AL4&lt;&gt;".",d_Irr!BK4&lt;&gt;"."),d_dir!N4/((1/1000)*(d_Irr!M4+d_Irr!AL4+d_Irr!BK4)),IF(AND(d_Irr!M4&lt;&gt;".",d_Irr!AL4&lt;&gt;".",d_Irr!BK4="."),d_dir!N4/((1/1000)*(d_Irr!M4+d_Irr!AL4)),IF(AND(d_Irr!M4&lt;&gt;".",d_Irr!AL4=".",d_Irr!BK4&lt;&gt;"."),d_dir!N4/((1/1000)*(d_Irr!M4+d_Irr!BK4)),IF(AND(d_Irr!M4=".",d_Irr!AL4&lt;&gt;".",d_Irr!BK4&lt;&gt;"."),d_dir!N4/((1/1000)*(d_Irr!AL4+d_Irr!BK4)),IF(AND(d_Irr!M4=".",d_Irr!AL4=".",d_Irr!BK4&lt;&gt;"."),d_dir!N4/((1/1000)*(d_Irr!BK4)),IF(AND(d_Irr!M4=".",d_Irr!AL4&lt;&gt;".",d_Irr!BK4="."),d_dir!N4/((1/1000)*(d_Irr!AL4)),IF(AND(d_Irr!M4&lt;&gt;".",d_Irr!AL4=".",d_Irr!BK4="."),d_dir!N4/((1/1000)*(d_Irr!M4)),IF(AND(d_Irr!M4=".",d_Irr!AL4=".",d_Irr!BK4="."),d_dir!N4*1000)))))))),".")</f>
        <v>.</v>
      </c>
      <c r="O4" s="70" t="str">
        <f>IFERROR(IF(AND(d_Irr!N4&lt;&gt;".",d_Irr!AM4&lt;&gt;".",d_Irr!BL4&lt;&gt;"."),d_dir!O4/((1/1000)*(d_Irr!N4+d_Irr!AM4+d_Irr!BL4)),IF(AND(d_Irr!N4&lt;&gt;".",d_Irr!AM4&lt;&gt;".",d_Irr!BL4="."),d_dir!O4/((1/1000)*(d_Irr!N4+d_Irr!AM4)),IF(AND(d_Irr!N4&lt;&gt;".",d_Irr!AM4=".",d_Irr!BL4&lt;&gt;"."),d_dir!O4/((1/1000)*(d_Irr!N4+d_Irr!BL4)),IF(AND(d_Irr!N4=".",d_Irr!AM4&lt;&gt;".",d_Irr!BL4&lt;&gt;"."),d_dir!O4/((1/1000)*(d_Irr!AM4+d_Irr!BL4)),IF(AND(d_Irr!N4=".",d_Irr!AM4=".",d_Irr!BL4&lt;&gt;"."),d_dir!O4/((1/1000)*(d_Irr!BL4)),IF(AND(d_Irr!N4=".",d_Irr!AM4&lt;&gt;".",d_Irr!BL4="."),d_dir!O4/((1/1000)*(d_Irr!AM4)),IF(AND(d_Irr!N4&lt;&gt;".",d_Irr!AM4=".",d_Irr!BL4="."),d_dir!O4/((1/1000)*(d_Irr!N4)),IF(AND(d_Irr!N4=".",d_Irr!AM4=".",d_Irr!BL4="."),d_dir!O4*1000)))))))),".")</f>
        <v>.</v>
      </c>
      <c r="P4" s="70" t="str">
        <f>IFERROR(IF(AND(d_Irr!O4&lt;&gt;".",d_Irr!AN4&lt;&gt;".",d_Irr!BM4&lt;&gt;"."),d_dir!P4/((1/1000)*(d_Irr!O4+d_Irr!AN4+d_Irr!BM4)),IF(AND(d_Irr!O4&lt;&gt;".",d_Irr!AN4&lt;&gt;".",d_Irr!BM4="."),d_dir!P4/((1/1000)*(d_Irr!O4+d_Irr!AN4)),IF(AND(d_Irr!O4&lt;&gt;".",d_Irr!AN4=".",d_Irr!BM4&lt;&gt;"."),d_dir!P4/((1/1000)*(d_Irr!O4+d_Irr!BM4)),IF(AND(d_Irr!O4=".",d_Irr!AN4&lt;&gt;".",d_Irr!BM4&lt;&gt;"."),d_dir!P4/((1/1000)*(d_Irr!AN4+d_Irr!BM4)),IF(AND(d_Irr!O4=".",d_Irr!AN4=".",d_Irr!BM4&lt;&gt;"."),d_dir!P4/((1/1000)*(d_Irr!BM4)),IF(AND(d_Irr!O4=".",d_Irr!AN4&lt;&gt;".",d_Irr!BM4="."),d_dir!P4/((1/1000)*(d_Irr!AN4)),IF(AND(d_Irr!O4&lt;&gt;".",d_Irr!AN4=".",d_Irr!BM4="."),d_dir!P4/((1/1000)*(d_Irr!O4)),IF(AND(d_Irr!O4=".",d_Irr!AN4=".",d_Irr!BM4="."),d_dir!P4*1000)))))))),".")</f>
        <v>.</v>
      </c>
      <c r="Q4" s="70" t="str">
        <f>IFERROR(IF(AND(d_Irr!P4&lt;&gt;".",d_Irr!AO4&lt;&gt;".",d_Irr!BN4&lt;&gt;"."),d_dir!Q4/((1/1000)*(d_Irr!P4+d_Irr!AO4+d_Irr!BN4)),IF(AND(d_Irr!P4&lt;&gt;".",d_Irr!AO4&lt;&gt;".",d_Irr!BN4="."),d_dir!Q4/((1/1000)*(d_Irr!P4+d_Irr!AO4)),IF(AND(d_Irr!P4&lt;&gt;".",d_Irr!AO4=".",d_Irr!BN4&lt;&gt;"."),d_dir!Q4/((1/1000)*(d_Irr!P4+d_Irr!BN4)),IF(AND(d_Irr!P4=".",d_Irr!AO4&lt;&gt;".",d_Irr!BN4&lt;&gt;"."),d_dir!Q4/((1/1000)*(d_Irr!AO4+d_Irr!BN4)),IF(AND(d_Irr!P4=".",d_Irr!AO4=".",d_Irr!BN4&lt;&gt;"."),d_dir!Q4/((1/1000)*(d_Irr!BN4)),IF(AND(d_Irr!P4=".",d_Irr!AO4&lt;&gt;".",d_Irr!BN4="."),d_dir!Q4/((1/1000)*(d_Irr!AO4)),IF(AND(d_Irr!P4&lt;&gt;".",d_Irr!AO4=".",d_Irr!BN4="."),d_dir!Q4/((1/1000)*(d_Irr!P4)),IF(AND(d_Irr!P4=".",d_Irr!AO4=".",d_Irr!BN4="."),d_dir!Q4*1000)))))))),".")</f>
        <v>.</v>
      </c>
      <c r="R4" s="70" t="str">
        <f>IFERROR(IF(AND(d_Irr!Q4&lt;&gt;".",d_Irr!AP4&lt;&gt;".",d_Irr!BO4&lt;&gt;"."),d_dir!R4/((1/1000)*(d_Irr!Q4+d_Irr!AP4+d_Irr!BO4)),IF(AND(d_Irr!Q4&lt;&gt;".",d_Irr!AP4&lt;&gt;".",d_Irr!BO4="."),d_dir!R4/((1/1000)*(d_Irr!Q4+d_Irr!AP4)),IF(AND(d_Irr!Q4&lt;&gt;".",d_Irr!AP4=".",d_Irr!BO4&lt;&gt;"."),d_dir!R4/((1/1000)*(d_Irr!Q4+d_Irr!BO4)),IF(AND(d_Irr!Q4=".",d_Irr!AP4&lt;&gt;".",d_Irr!BO4&lt;&gt;"."),d_dir!R4/((1/1000)*(d_Irr!AP4+d_Irr!BO4)),IF(AND(d_Irr!Q4=".",d_Irr!AP4=".",d_Irr!BO4&lt;&gt;"."),d_dir!R4/((1/1000)*(d_Irr!BO4)),IF(AND(d_Irr!Q4=".",d_Irr!AP4&lt;&gt;".",d_Irr!BO4="."),d_dir!R4/((1/1000)*(d_Irr!AP4)),IF(AND(d_Irr!Q4&lt;&gt;".",d_Irr!AP4=".",d_Irr!BO4="."),d_dir!R4/((1/1000)*(d_Irr!Q4)),IF(AND(d_Irr!Q4=".",d_Irr!AP4=".",d_Irr!BO4="."),d_dir!R4*1000)))))))),".")</f>
        <v>.</v>
      </c>
      <c r="S4" s="70" t="str">
        <f>IFERROR(IF(AND(d_Irr!R4&lt;&gt;".",d_Irr!AQ4&lt;&gt;".",d_Irr!BP4&lt;&gt;"."),d_dir!S4/((1/1000)*(d_Irr!R4+d_Irr!AQ4+d_Irr!BP4)),IF(AND(d_Irr!R4&lt;&gt;".",d_Irr!AQ4&lt;&gt;".",d_Irr!BP4="."),d_dir!S4/((1/1000)*(d_Irr!R4+d_Irr!AQ4)),IF(AND(d_Irr!R4&lt;&gt;".",d_Irr!AQ4=".",d_Irr!BP4&lt;&gt;"."),d_dir!S4/((1/1000)*(d_Irr!R4+d_Irr!BP4)),IF(AND(d_Irr!R4=".",d_Irr!AQ4&lt;&gt;".",d_Irr!BP4&lt;&gt;"."),d_dir!S4/((1/1000)*(d_Irr!AQ4+d_Irr!BP4)),IF(AND(d_Irr!R4=".",d_Irr!AQ4=".",d_Irr!BP4&lt;&gt;"."),d_dir!S4/((1/1000)*(d_Irr!BP4)),IF(AND(d_Irr!R4=".",d_Irr!AQ4&lt;&gt;".",d_Irr!BP4="."),d_dir!S4/((1/1000)*(d_Irr!AQ4)),IF(AND(d_Irr!R4&lt;&gt;".",d_Irr!AQ4=".",d_Irr!BP4="."),d_dir!S4/((1/1000)*(d_Irr!R4)),IF(AND(d_Irr!R4=".",d_Irr!AQ4=".",d_Irr!BP4="."),d_dir!S4*1000)))))))),".")</f>
        <v>.</v>
      </c>
      <c r="T4" s="70" t="str">
        <f>IFERROR(IF(AND(d_Irr!S4&lt;&gt;".",d_Irr!AR4&lt;&gt;".",d_Irr!BQ4&lt;&gt;"."),d_dir!T4/((1/1000)*(d_Irr!S4+d_Irr!AR4+d_Irr!BQ4)),IF(AND(d_Irr!S4&lt;&gt;".",d_Irr!AR4&lt;&gt;".",d_Irr!BQ4="."),d_dir!T4/((1/1000)*(d_Irr!S4+d_Irr!AR4)),IF(AND(d_Irr!S4&lt;&gt;".",d_Irr!AR4=".",d_Irr!BQ4&lt;&gt;"."),d_dir!T4/((1/1000)*(d_Irr!S4+d_Irr!BQ4)),IF(AND(d_Irr!S4=".",d_Irr!AR4&lt;&gt;".",d_Irr!BQ4&lt;&gt;"."),d_dir!T4/((1/1000)*(d_Irr!AR4+d_Irr!BQ4)),IF(AND(d_Irr!S4=".",d_Irr!AR4=".",d_Irr!BQ4&lt;&gt;"."),d_dir!T4/((1/1000)*(d_Irr!BQ4)),IF(AND(d_Irr!S4=".",d_Irr!AR4&lt;&gt;".",d_Irr!BQ4="."),d_dir!T4/((1/1000)*(d_Irr!AR4)),IF(AND(d_Irr!S4&lt;&gt;".",d_Irr!AR4=".",d_Irr!BQ4="."),d_dir!T4/((1/1000)*(d_Irr!S4)),IF(AND(d_Irr!S4=".",d_Irr!AR4=".",d_Irr!BQ4="."),d_dir!T4*1000)))))))),".")</f>
        <v>.</v>
      </c>
      <c r="U4" s="70" t="str">
        <f>IFERROR(IF(AND(d_Irr!T4&lt;&gt;".",d_Irr!AS4&lt;&gt;".",d_Irr!BR4&lt;&gt;"."),d_dir!U4/((1/1000)*(d_Irr!T4+d_Irr!AS4+d_Irr!BR4)),IF(AND(d_Irr!T4&lt;&gt;".",d_Irr!AS4&lt;&gt;".",d_Irr!BR4="."),d_dir!U4/((1/1000)*(d_Irr!T4+d_Irr!AS4)),IF(AND(d_Irr!T4&lt;&gt;".",d_Irr!AS4=".",d_Irr!BR4&lt;&gt;"."),d_dir!U4/((1/1000)*(d_Irr!T4+d_Irr!BR4)),IF(AND(d_Irr!T4=".",d_Irr!AS4&lt;&gt;".",d_Irr!BR4&lt;&gt;"."),d_dir!U4/((1/1000)*(d_Irr!AS4+d_Irr!BR4)),IF(AND(d_Irr!T4=".",d_Irr!AS4=".",d_Irr!BR4&lt;&gt;"."),d_dir!U4/((1/1000)*(d_Irr!BR4)),IF(AND(d_Irr!T4=".",d_Irr!AS4&lt;&gt;".",d_Irr!BR4="."),d_dir!U4/((1/1000)*(d_Irr!AS4)),IF(AND(d_Irr!T4&lt;&gt;".",d_Irr!AS4=".",d_Irr!BR4="."),d_dir!U4/((1/1000)*(d_Irr!T4)),IF(AND(d_Irr!T4=".",d_Irr!AS4=".",d_Irr!BR4="."),d_dir!U4*1000)))))))),".")</f>
        <v>.</v>
      </c>
      <c r="V4" s="70" t="str">
        <f>IFERROR(IF(AND(d_Irr!U4&lt;&gt;".",d_Irr!AT4&lt;&gt;".",d_Irr!BS4&lt;&gt;"."),d_dir!V4/((1/1000)*(d_Irr!U4+d_Irr!AT4+d_Irr!BS4)),IF(AND(d_Irr!U4&lt;&gt;".",d_Irr!AT4&lt;&gt;".",d_Irr!BS4="."),d_dir!V4/((1/1000)*(d_Irr!U4+d_Irr!AT4)),IF(AND(d_Irr!U4&lt;&gt;".",d_Irr!AT4=".",d_Irr!BS4&lt;&gt;"."),d_dir!V4/((1/1000)*(d_Irr!U4+d_Irr!BS4)),IF(AND(d_Irr!U4=".",d_Irr!AT4&lt;&gt;".",d_Irr!BS4&lt;&gt;"."),d_dir!V4/((1/1000)*(d_Irr!AT4+d_Irr!BS4)),IF(AND(d_Irr!U4=".",d_Irr!AT4=".",d_Irr!BS4&lt;&gt;"."),d_dir!V4/((1/1000)*(d_Irr!BS4)),IF(AND(d_Irr!U4=".",d_Irr!AT4&lt;&gt;".",d_Irr!BS4="."),d_dir!V4/((1/1000)*(d_Irr!AT4)),IF(AND(d_Irr!U4&lt;&gt;".",d_Irr!AT4=".",d_Irr!BS4="."),d_dir!V4/((1/1000)*(d_Irr!U4)),IF(AND(d_Irr!U4=".",d_Irr!AT4=".",d_Irr!BS4="."),d_dir!V4*1000)))))))),".")</f>
        <v>.</v>
      </c>
      <c r="W4" s="70" t="str">
        <f>IFERROR(IF(AND(d_Irr!V4&lt;&gt;".",d_Irr!AU4&lt;&gt;".",d_Irr!BT4&lt;&gt;"."),d_dir!W4/((1/1000)*(d_Irr!V4+d_Irr!AU4+d_Irr!BT4)),IF(AND(d_Irr!V4&lt;&gt;".",d_Irr!AU4&lt;&gt;".",d_Irr!BT4="."),d_dir!W4/((1/1000)*(d_Irr!V4+d_Irr!AU4)),IF(AND(d_Irr!V4&lt;&gt;".",d_Irr!AU4=".",d_Irr!BT4&lt;&gt;"."),d_dir!W4/((1/1000)*(d_Irr!V4+d_Irr!BT4)),IF(AND(d_Irr!V4=".",d_Irr!AU4&lt;&gt;".",d_Irr!BT4&lt;&gt;"."),d_dir!W4/((1/1000)*(d_Irr!AU4+d_Irr!BT4)),IF(AND(d_Irr!V4=".",d_Irr!AU4=".",d_Irr!BT4&lt;&gt;"."),d_dir!W4/((1/1000)*(d_Irr!BT4)),IF(AND(d_Irr!V4=".",d_Irr!AU4&lt;&gt;".",d_Irr!BT4="."),d_dir!W4/((1/1000)*(d_Irr!AU4)),IF(AND(d_Irr!V4&lt;&gt;".",d_Irr!AU4=".",d_Irr!BT4="."),d_dir!W4/((1/1000)*(d_Irr!V4)),IF(AND(d_Irr!V4=".",d_Irr!AU4=".",d_Irr!BT4="."),d_dir!W4*1000)))))))),".")</f>
        <v>.</v>
      </c>
      <c r="X4" s="70" t="str">
        <f>IFERROR(IF(AND(d_Irr!W4&lt;&gt;".",d_Irr!AV4&lt;&gt;".",d_Irr!BU4&lt;&gt;"."),d_dir!X4/((1/1000)*(d_Irr!W4+d_Irr!AV4+d_Irr!BU4)),IF(AND(d_Irr!W4&lt;&gt;".",d_Irr!AV4&lt;&gt;".",d_Irr!BU4="."),d_dir!X4/((1/1000)*(d_Irr!W4+d_Irr!AV4)),IF(AND(d_Irr!W4&lt;&gt;".",d_Irr!AV4=".",d_Irr!BU4&lt;&gt;"."),d_dir!X4/((1/1000)*(d_Irr!W4+d_Irr!BU4)),IF(AND(d_Irr!W4=".",d_Irr!AV4&lt;&gt;".",d_Irr!BU4&lt;&gt;"."),d_dir!X4/((1/1000)*(d_Irr!AV4+d_Irr!BU4)),IF(AND(d_Irr!W4=".",d_Irr!AV4=".",d_Irr!BU4&lt;&gt;"."),d_dir!X4/((1/1000)*(d_Irr!BU4)),IF(AND(d_Irr!W4=".",d_Irr!AV4&lt;&gt;".",d_Irr!BU4="."),d_dir!X4/((1/1000)*(d_Irr!AV4)),IF(AND(d_Irr!W4&lt;&gt;".",d_Irr!AV4=".",d_Irr!BU4="."),d_dir!X4/((1/1000)*(d_Irr!W4)),IF(AND(d_Irr!W4=".",d_Irr!AV4=".",d_Irr!BU4="."),d_dir!X4*1000)))))))),".")</f>
        <v>.</v>
      </c>
      <c r="Y4" s="70" t="str">
        <f>IFERROR(IF(AND(d_Irr!X4&lt;&gt;".",d_Irr!AW4&lt;&gt;".",d_Irr!BV4&lt;&gt;"."),d_dir!Y4/((1/1000)*(d_Irr!X4+d_Irr!AW4+d_Irr!BV4)),IF(AND(d_Irr!X4&lt;&gt;".",d_Irr!AW4&lt;&gt;".",d_Irr!BV4="."),d_dir!Y4/((1/1000)*(d_Irr!X4+d_Irr!AW4)),IF(AND(d_Irr!X4&lt;&gt;".",d_Irr!AW4=".",d_Irr!BV4&lt;&gt;"."),d_dir!Y4/((1/1000)*(d_Irr!X4+d_Irr!BV4)),IF(AND(d_Irr!X4=".",d_Irr!AW4&lt;&gt;".",d_Irr!BV4&lt;&gt;"."),d_dir!Y4/((1/1000)*(d_Irr!AW4+d_Irr!BV4)),IF(AND(d_Irr!X4=".",d_Irr!AW4=".",d_Irr!BV4&lt;&gt;"."),d_dir!Y4/((1/1000)*(d_Irr!BV4)),IF(AND(d_Irr!X4=".",d_Irr!AW4&lt;&gt;".",d_Irr!BV4="."),d_dir!Y4/((1/1000)*(d_Irr!AW4)),IF(AND(d_Irr!X4&lt;&gt;".",d_Irr!AW4=".",d_Irr!BV4="."),d_dir!Y4/((1/1000)*(d_Irr!X4)),IF(AND(d_Irr!X4=".",d_Irr!AW4=".",d_Irr!BV4="."),d_dir!Y4*1000)))))))),".")</f>
        <v>.</v>
      </c>
      <c r="Z4" s="70" t="str">
        <f>IFERROR(IF(AND(d_Irr!Y4&lt;&gt;".",d_Irr!AX4&lt;&gt;".",d_Irr!BW4&lt;&gt;"."),d_dir!Z4/((1/1000)*(d_Irr!Y4+d_Irr!AX4+d_Irr!BW4)),IF(AND(d_Irr!Y4&lt;&gt;".",d_Irr!AX4&lt;&gt;".",d_Irr!BW4="."),d_dir!Z4/((1/1000)*(d_Irr!Y4+d_Irr!AX4)),IF(AND(d_Irr!Y4&lt;&gt;".",d_Irr!AX4=".",d_Irr!BW4&lt;&gt;"."),d_dir!Z4/((1/1000)*(d_Irr!Y4+d_Irr!BW4)),IF(AND(d_Irr!Y4=".",d_Irr!AX4&lt;&gt;".",d_Irr!BW4&lt;&gt;"."),d_dir!Z4/((1/1000)*(d_Irr!AX4+d_Irr!BW4)),IF(AND(d_Irr!Y4=".",d_Irr!AX4=".",d_Irr!BW4&lt;&gt;"."),d_dir!Z4/((1/1000)*(d_Irr!BW4)),IF(AND(d_Irr!Y4=".",d_Irr!AX4&lt;&gt;".",d_Irr!BW4="."),d_dir!Z4/((1/1000)*(d_Irr!AX4)),IF(AND(d_Irr!Y4&lt;&gt;".",d_Irr!AX4=".",d_Irr!BW4="."),d_dir!Z4/((1/1000)*(d_Irr!Y4)),IF(AND(d_Irr!Y4=".",d_Irr!AX4=".",d_Irr!BW4="."),d_dir!Z4*1000)))))))),".")</f>
        <v>.</v>
      </c>
      <c r="AA4" s="70" t="str">
        <f>IFERROR(IF(AND(d_Irr!Z4&lt;&gt;".",d_Irr!AY4&lt;&gt;".",d_Irr!BX4&lt;&gt;"."),d_dir!AA4/((1/1000)*(d_Irr!Z4+d_Irr!AY4+d_Irr!BX4)),IF(AND(d_Irr!Z4&lt;&gt;".",d_Irr!AY4&lt;&gt;".",d_Irr!BX4="."),d_dir!AA4/((1/1000)*(d_Irr!Z4+d_Irr!AY4)),IF(AND(d_Irr!Z4&lt;&gt;".",d_Irr!AY4=".",d_Irr!BX4&lt;&gt;"."),d_dir!AA4/((1/1000)*(d_Irr!Z4+d_Irr!BX4)),IF(AND(d_Irr!Z4=".",d_Irr!AY4&lt;&gt;".",d_Irr!BX4&lt;&gt;"."),d_dir!AA4/((1/1000)*(d_Irr!AY4+d_Irr!BX4)),IF(AND(d_Irr!Z4=".",d_Irr!AY4=".",d_Irr!BX4&lt;&gt;"."),d_dir!AA4/((1/1000)*(d_Irr!BX4)),IF(AND(d_Irr!Z4=".",d_Irr!AY4&lt;&gt;".",d_Irr!BX4="."),d_dir!AA4/((1/1000)*(d_Irr!AY4)),IF(AND(d_Irr!Z4&lt;&gt;".",d_Irr!AY4=".",d_Irr!BX4="."),d_dir!AA4/((1/1000)*(d_Irr!Z4)),IF(AND(d_Irr!Z4=".",d_Irr!AY4=".",d_Irr!BX4="."),d_dir!AA4*1000)))))))),".")</f>
        <v>.</v>
      </c>
      <c r="AB4" s="70" t="str">
        <f>IFERROR(IF(AND(d_Irr!AA4&lt;&gt;".",d_Irr!AZ4&lt;&gt;".",d_Irr!BY4&lt;&gt;"."),d_dir!AB4/((1/1000)*(d_Irr!AA4+d_Irr!AZ4+d_Irr!BY4)),IF(AND(d_Irr!AA4&lt;&gt;".",d_Irr!AZ4&lt;&gt;".",d_Irr!BY4="."),d_dir!AB4/((1/1000)*(d_Irr!AA4+d_Irr!AZ4)),IF(AND(d_Irr!AA4&lt;&gt;".",d_Irr!AZ4=".",d_Irr!BY4&lt;&gt;"."),d_dir!AB4/((1/1000)*(d_Irr!AA4+d_Irr!BY4)),IF(AND(d_Irr!AA4=".",d_Irr!AZ4&lt;&gt;".",d_Irr!BY4&lt;&gt;"."),d_dir!AB4/((1/1000)*(d_Irr!AZ4+d_Irr!BY4)),IF(AND(d_Irr!AA4=".",d_Irr!AZ4=".",d_Irr!BY4&lt;&gt;"."),d_dir!AB4/((1/1000)*(d_Irr!BY4)),IF(AND(d_Irr!AA4=".",d_Irr!AZ4&lt;&gt;".",d_Irr!BY4="."),d_dir!AB4/((1/1000)*(d_Irr!AZ4)),IF(AND(d_Irr!AA4&lt;&gt;".",d_Irr!AZ4=".",d_Irr!BY4="."),d_dir!AB4/((1/1000)*(d_Irr!AA4)),IF(AND(d_Irr!AA4=".",d_Irr!AZ4=".",d_Irr!BY4="."),d_dir!AB4*1000)))))))),".")</f>
        <v>.</v>
      </c>
      <c r="AC4" s="70" t="str">
        <f t="shared" si="0"/>
        <v>.</v>
      </c>
      <c r="AD4" s="70" t="str">
        <f>IFERROR(IF(AND(d_Irr!C4&lt;&gt;".",d_Irr!AB4&lt;&gt;".",d_Irr!BA4&lt;&gt;"."),d_dir!AD4/((1/1000)*(d_Irr!C4+d_Irr!AB4+d_Irr!BA4)),IF(AND(d_Irr!C4&lt;&gt;".",d_Irr!AB4&lt;&gt;".",d_Irr!BA4="."),d_dir!AD4/((1/1000)*(d_Irr!C4+d_Irr!AB4)),IF(AND(d_Irr!C4&lt;&gt;".",d_Irr!AB4=".",d_Irr!BA4&lt;&gt;"."),d_dir!AD4/((1/1000)*(d_Irr!C4+d_Irr!BA4)),IF(AND(d_Irr!C4=".",d_Irr!AB4&lt;&gt;".",d_Irr!BA4&lt;&gt;"."),d_dir!AD4/((1/1000)*(d_Irr!AB4+d_Irr!BA4)),IF(AND(d_Irr!C4=".",d_Irr!AB4=".",d_Irr!BA4&lt;&gt;"."),d_dir!AD4/((1/1000)*(d_Irr!BA4)),IF(AND(d_Irr!C4=".",d_Irr!AB4&lt;&gt;".",d_Irr!BA4="."),d_dir!AD4/((1/1000)*(d_Irr!AB4)),IF(AND(d_Irr!C4&lt;&gt;".",d_Irr!AB4=".",d_Irr!BA4="."),d_dir!AD4/((1/1000)*(d_Irr!C4)),IF(AND(d_Irr!C4=".",d_Irr!AB4=".",d_Irr!BA4="."),d_dir!AD4*1000)))))))),".")</f>
        <v>.</v>
      </c>
      <c r="AE4" s="70" t="str">
        <f>IFERROR(IF(AND(d_Irr!D4&lt;&gt;".",d_Irr!AC4&lt;&gt;".",d_Irr!BB4&lt;&gt;"."),d_dir!AE4/((1/1000)*(d_Irr!D4+d_Irr!AC4+d_Irr!BB4)),IF(AND(d_Irr!D4&lt;&gt;".",d_Irr!AC4&lt;&gt;".",d_Irr!BB4="."),d_dir!AE4/((1/1000)*(d_Irr!D4+d_Irr!AC4)),IF(AND(d_Irr!D4&lt;&gt;".",d_Irr!AC4=".",d_Irr!BB4&lt;&gt;"."),d_dir!AE4/((1/1000)*(d_Irr!D4+d_Irr!BB4)),IF(AND(d_Irr!D4=".",d_Irr!AC4&lt;&gt;".",d_Irr!BB4&lt;&gt;"."),d_dir!AE4/((1/1000)*(d_Irr!AC4+d_Irr!BB4)),IF(AND(d_Irr!D4=".",d_Irr!AC4=".",d_Irr!BB4&lt;&gt;"."),d_dir!AE4/((1/1000)*(d_Irr!BB4)),IF(AND(d_Irr!D4=".",d_Irr!AC4&lt;&gt;".",d_Irr!BB4="."),d_dir!AE4/((1/1000)*(d_Irr!AC4)),IF(AND(d_Irr!D4&lt;&gt;".",d_Irr!AC4=".",d_Irr!BB4="."),d_dir!AE4/((1/1000)*(d_Irr!D4)),IF(AND(d_Irr!D4=".",d_Irr!AC4=".",d_Irr!BB4="."),d_dir!AE4*1000)))))))),".")</f>
        <v>.</v>
      </c>
      <c r="AF4" s="70" t="str">
        <f>IFERROR(IF(AND(d_Irr!E4&lt;&gt;".",d_Irr!AD4&lt;&gt;".",d_Irr!BC4&lt;&gt;"."),d_dir!AF4/((1/1000)*(d_Irr!E4+d_Irr!AD4+d_Irr!BC4)),IF(AND(d_Irr!E4&lt;&gt;".",d_Irr!AD4&lt;&gt;".",d_Irr!BC4="."),d_dir!AF4/((1/1000)*(d_Irr!E4+d_Irr!AD4)),IF(AND(d_Irr!E4&lt;&gt;".",d_Irr!AD4=".",d_Irr!BC4&lt;&gt;"."),d_dir!AF4/((1/1000)*(d_Irr!E4+d_Irr!BC4)),IF(AND(d_Irr!E4=".",d_Irr!AD4&lt;&gt;".",d_Irr!BC4&lt;&gt;"."),d_dir!AF4/((1/1000)*(d_Irr!AD4+d_Irr!BC4)),IF(AND(d_Irr!E4=".",d_Irr!AD4=".",d_Irr!BC4&lt;&gt;"."),d_dir!AF4/((1/1000)*(d_Irr!BC4)),IF(AND(d_Irr!E4=".",d_Irr!AD4&lt;&gt;".",d_Irr!BC4="."),d_dir!AF4/((1/1000)*(d_Irr!AD4)),IF(AND(d_Irr!E4&lt;&gt;".",d_Irr!AD4=".",d_Irr!BC4="."),d_dir!AF4/((1/1000)*(d_Irr!E4)),IF(AND(d_Irr!E4=".",d_Irr!AD4=".",d_Irr!BC4="."),d_dir!AF4*1000)))))))),".")</f>
        <v>.</v>
      </c>
      <c r="AG4" s="70" t="str">
        <f>IFERROR(IF(AND(d_Irr!F4&lt;&gt;".",d_Irr!AE4&lt;&gt;".",d_Irr!BD4&lt;&gt;"."),d_dir!AG4/((1/1000)*(d_Irr!F4+d_Irr!AE4+d_Irr!BD4)),IF(AND(d_Irr!F4&lt;&gt;".",d_Irr!AE4&lt;&gt;".",d_Irr!BD4="."),d_dir!AG4/((1/1000)*(d_Irr!F4+d_Irr!AE4)),IF(AND(d_Irr!F4&lt;&gt;".",d_Irr!AE4=".",d_Irr!BD4&lt;&gt;"."),d_dir!AG4/((1/1000)*(d_Irr!F4+d_Irr!BD4)),IF(AND(d_Irr!F4=".",d_Irr!AE4&lt;&gt;".",d_Irr!BD4&lt;&gt;"."),d_dir!AG4/((1/1000)*(d_Irr!AE4+d_Irr!BD4)),IF(AND(d_Irr!F4=".",d_Irr!AE4=".",d_Irr!BD4&lt;&gt;"."),d_dir!AG4/((1/1000)*(d_Irr!BD4)),IF(AND(d_Irr!F4=".",d_Irr!AE4&lt;&gt;".",d_Irr!BD4="."),d_dir!AG4/((1/1000)*(d_Irr!AE4)),IF(AND(d_Irr!F4&lt;&gt;".",d_Irr!AE4=".",d_Irr!BD4="."),d_dir!AG4/((1/1000)*(d_Irr!F4)),IF(AND(d_Irr!F4=".",d_Irr!AE4=".",d_Irr!BD4="."),d_dir!AG4*1000)))))))),".")</f>
        <v>.</v>
      </c>
      <c r="AH4" s="70" t="str">
        <f>IFERROR(IF(AND(d_Irr!G4&lt;&gt;".",d_Irr!AF4&lt;&gt;".",d_Irr!BE4&lt;&gt;"."),d_dir!AH4/((1/1000)*(d_Irr!G4+d_Irr!AF4+d_Irr!BE4)),IF(AND(d_Irr!G4&lt;&gt;".",d_Irr!AF4&lt;&gt;".",d_Irr!BE4="."),d_dir!AH4/((1/1000)*(d_Irr!G4+d_Irr!AF4)),IF(AND(d_Irr!G4&lt;&gt;".",d_Irr!AF4=".",d_Irr!BE4&lt;&gt;"."),d_dir!AH4/((1/1000)*(d_Irr!G4+d_Irr!BE4)),IF(AND(d_Irr!G4=".",d_Irr!AF4&lt;&gt;".",d_Irr!BE4&lt;&gt;"."),d_dir!AH4/((1/1000)*(d_Irr!AF4+d_Irr!BE4)),IF(AND(d_Irr!G4=".",d_Irr!AF4=".",d_Irr!BE4&lt;&gt;"."),d_dir!AH4/((1/1000)*(d_Irr!BE4)),IF(AND(d_Irr!G4=".",d_Irr!AF4&lt;&gt;".",d_Irr!BE4="."),d_dir!AH4/((1/1000)*(d_Irr!AF4)),IF(AND(d_Irr!G4&lt;&gt;".",d_Irr!AF4=".",d_Irr!BE4="."),d_dir!AH4/((1/1000)*(d_Irr!G4)),IF(AND(d_Irr!G4=".",d_Irr!AF4=".",d_Irr!BE4="."),d_dir!AH4*1000)))))))),".")</f>
        <v>.</v>
      </c>
      <c r="AI4" s="70" t="str">
        <f>IFERROR(IF(AND(d_Irr!H4&lt;&gt;".",d_Irr!AG4&lt;&gt;".",d_Irr!BF4&lt;&gt;"."),d_dir!AI4/((1/1000)*(d_Irr!H4+d_Irr!AG4+d_Irr!BF4)),IF(AND(d_Irr!H4&lt;&gt;".",d_Irr!AG4&lt;&gt;".",d_Irr!BF4="."),d_dir!AI4/((1/1000)*(d_Irr!H4+d_Irr!AG4)),IF(AND(d_Irr!H4&lt;&gt;".",d_Irr!AG4=".",d_Irr!BF4&lt;&gt;"."),d_dir!AI4/((1/1000)*(d_Irr!H4+d_Irr!BF4)),IF(AND(d_Irr!H4=".",d_Irr!AG4&lt;&gt;".",d_Irr!BF4&lt;&gt;"."),d_dir!AI4/((1/1000)*(d_Irr!AG4+d_Irr!BF4)),IF(AND(d_Irr!H4=".",d_Irr!AG4=".",d_Irr!BF4&lt;&gt;"."),d_dir!AI4/((1/1000)*(d_Irr!BF4)),IF(AND(d_Irr!H4=".",d_Irr!AG4&lt;&gt;".",d_Irr!BF4="."),d_dir!AI4/((1/1000)*(d_Irr!AG4)),IF(AND(d_Irr!H4&lt;&gt;".",d_Irr!AG4=".",d_Irr!BF4="."),d_dir!AI4/((1/1000)*(d_Irr!H4)),IF(AND(d_Irr!H4=".",d_Irr!AG4=".",d_Irr!BF4="."),d_dir!AI4*1000)))))))),".")</f>
        <v>.</v>
      </c>
      <c r="AJ4" s="70" t="str">
        <f>IFERROR(IF(AND(d_Irr!I4&lt;&gt;".",d_Irr!AH4&lt;&gt;".",d_Irr!BG4&lt;&gt;"."),d_dir!AJ4/((1/1000)*(d_Irr!I4+d_Irr!AH4+d_Irr!BG4)),IF(AND(d_Irr!I4&lt;&gt;".",d_Irr!AH4&lt;&gt;".",d_Irr!BG4="."),d_dir!AJ4/((1/1000)*(d_Irr!I4+d_Irr!AH4)),IF(AND(d_Irr!I4&lt;&gt;".",d_Irr!AH4=".",d_Irr!BG4&lt;&gt;"."),d_dir!AJ4/((1/1000)*(d_Irr!I4+d_Irr!BG4)),IF(AND(d_Irr!I4=".",d_Irr!AH4&lt;&gt;".",d_Irr!BG4&lt;&gt;"."),d_dir!AJ4/((1/1000)*(d_Irr!AH4+d_Irr!BG4)),IF(AND(d_Irr!I4=".",d_Irr!AH4=".",d_Irr!BG4&lt;&gt;"."),d_dir!AJ4/((1/1000)*(d_Irr!BG4)),IF(AND(d_Irr!I4=".",d_Irr!AH4&lt;&gt;".",d_Irr!BG4="."),d_dir!AJ4/((1/1000)*(d_Irr!AH4)),IF(AND(d_Irr!I4&lt;&gt;".",d_Irr!AH4=".",d_Irr!BG4="."),d_dir!AJ4/((1/1000)*(d_Irr!I4)),IF(AND(d_Irr!I4=".",d_Irr!AH4=".",d_Irr!BG4="."),d_dir!AJ4*1000)))))))),".")</f>
        <v>.</v>
      </c>
      <c r="AK4" s="70" t="str">
        <f>IFERROR(IF(AND(d_Irr!J4&lt;&gt;".",d_Irr!AI4&lt;&gt;".",d_Irr!BH4&lt;&gt;"."),d_dir!AK4/((1/1000)*(d_Irr!J4+d_Irr!AI4+d_Irr!BH4)),IF(AND(d_Irr!J4&lt;&gt;".",d_Irr!AI4&lt;&gt;".",d_Irr!BH4="."),d_dir!AK4/((1/1000)*(d_Irr!J4+d_Irr!AI4)),IF(AND(d_Irr!J4&lt;&gt;".",d_Irr!AI4=".",d_Irr!BH4&lt;&gt;"."),d_dir!AK4/((1/1000)*(d_Irr!J4+d_Irr!BH4)),IF(AND(d_Irr!J4=".",d_Irr!AI4&lt;&gt;".",d_Irr!BH4&lt;&gt;"."),d_dir!AK4/((1/1000)*(d_Irr!AI4+d_Irr!BH4)),IF(AND(d_Irr!J4=".",d_Irr!AI4=".",d_Irr!BH4&lt;&gt;"."),d_dir!AK4/((1/1000)*(d_Irr!BH4)),IF(AND(d_Irr!J4=".",d_Irr!AI4&lt;&gt;".",d_Irr!BH4="."),d_dir!AK4/((1/1000)*(d_Irr!AI4)),IF(AND(d_Irr!J4&lt;&gt;".",d_Irr!AI4=".",d_Irr!BH4="."),d_dir!AK4/((1/1000)*(d_Irr!J4)),IF(AND(d_Irr!J4=".",d_Irr!AI4=".",d_Irr!BH4="."),d_dir!AK4*1000)))))))),".")</f>
        <v>.</v>
      </c>
      <c r="AL4" s="70" t="str">
        <f>IFERROR(IF(AND(d_Irr!K4&lt;&gt;".",d_Irr!AJ4&lt;&gt;".",d_Irr!BI4&lt;&gt;"."),d_dir!AL4/((1/1000)*(d_Irr!K4+d_Irr!AJ4+d_Irr!BI4)),IF(AND(d_Irr!K4&lt;&gt;".",d_Irr!AJ4&lt;&gt;".",d_Irr!BI4="."),d_dir!AL4/((1/1000)*(d_Irr!K4+d_Irr!AJ4)),IF(AND(d_Irr!K4&lt;&gt;".",d_Irr!AJ4=".",d_Irr!BI4&lt;&gt;"."),d_dir!AL4/((1/1000)*(d_Irr!K4+d_Irr!BI4)),IF(AND(d_Irr!K4=".",d_Irr!AJ4&lt;&gt;".",d_Irr!BI4&lt;&gt;"."),d_dir!AL4/((1/1000)*(d_Irr!AJ4+d_Irr!BI4)),IF(AND(d_Irr!K4=".",d_Irr!AJ4=".",d_Irr!BI4&lt;&gt;"."),d_dir!AL4/((1/1000)*(d_Irr!BI4)),IF(AND(d_Irr!K4=".",d_Irr!AJ4&lt;&gt;".",d_Irr!BI4="."),d_dir!AL4/((1/1000)*(d_Irr!AJ4)),IF(AND(d_Irr!K4&lt;&gt;".",d_Irr!AJ4=".",d_Irr!BI4="."),d_dir!AL4/((1/1000)*(d_Irr!K4)),IF(AND(d_Irr!K4=".",d_Irr!AJ4=".",d_Irr!BI4="."),d_dir!AL4*1000)))))))),".")</f>
        <v>.</v>
      </c>
      <c r="AM4" s="70" t="str">
        <f>IFERROR(IF(AND(d_Irr!L4&lt;&gt;".",d_Irr!AK4&lt;&gt;".",d_Irr!BJ4&lt;&gt;"."),d_dir!AM4/((1/1000)*(d_Irr!L4+d_Irr!AK4+d_Irr!BJ4)),IF(AND(d_Irr!L4&lt;&gt;".",d_Irr!AK4&lt;&gt;".",d_Irr!BJ4="."),d_dir!AM4/((1/1000)*(d_Irr!L4+d_Irr!AK4)),IF(AND(d_Irr!L4&lt;&gt;".",d_Irr!AK4=".",d_Irr!BJ4&lt;&gt;"."),d_dir!AM4/((1/1000)*(d_Irr!L4+d_Irr!BJ4)),IF(AND(d_Irr!L4=".",d_Irr!AK4&lt;&gt;".",d_Irr!BJ4&lt;&gt;"."),d_dir!AM4/((1/1000)*(d_Irr!AK4+d_Irr!BJ4)),IF(AND(d_Irr!L4=".",d_Irr!AK4=".",d_Irr!BJ4&lt;&gt;"."),d_dir!AM4/((1/1000)*(d_Irr!BJ4)),IF(AND(d_Irr!L4=".",d_Irr!AK4&lt;&gt;".",d_Irr!BJ4="."),d_dir!AM4/((1/1000)*(d_Irr!AK4)),IF(AND(d_Irr!L4&lt;&gt;".",d_Irr!AK4=".",d_Irr!BJ4="."),d_dir!AM4/((1/1000)*(d_Irr!L4)),IF(AND(d_Irr!L4=".",d_Irr!AK4=".",d_Irr!BJ4="."),d_dir!AM4*1000)))))))),".")</f>
        <v>.</v>
      </c>
      <c r="AN4" s="70" t="str">
        <f>IFERROR(IF(AND(d_Irr!M4&lt;&gt;".",d_Irr!AL4&lt;&gt;".",d_Irr!BK4&lt;&gt;"."),d_dir!AN4/((1/1000)*(d_Irr!M4+d_Irr!AL4+d_Irr!BK4)),IF(AND(d_Irr!M4&lt;&gt;".",d_Irr!AL4&lt;&gt;".",d_Irr!BK4="."),d_dir!AN4/((1/1000)*(d_Irr!M4+d_Irr!AL4)),IF(AND(d_Irr!M4&lt;&gt;".",d_Irr!AL4=".",d_Irr!BK4&lt;&gt;"."),d_dir!AN4/((1/1000)*(d_Irr!M4+d_Irr!BK4)),IF(AND(d_Irr!M4=".",d_Irr!AL4&lt;&gt;".",d_Irr!BK4&lt;&gt;"."),d_dir!AN4/((1/1000)*(d_Irr!AL4+d_Irr!BK4)),IF(AND(d_Irr!M4=".",d_Irr!AL4=".",d_Irr!BK4&lt;&gt;"."),d_dir!AN4/((1/1000)*(d_Irr!BK4)),IF(AND(d_Irr!M4=".",d_Irr!AL4&lt;&gt;".",d_Irr!BK4="."),d_dir!AN4/((1/1000)*(d_Irr!AL4)),IF(AND(d_Irr!M4&lt;&gt;".",d_Irr!AL4=".",d_Irr!BK4="."),d_dir!AN4/((1/1000)*(d_Irr!M4)),IF(AND(d_Irr!M4=".",d_Irr!AL4=".",d_Irr!BK4="."),d_dir!AN4*1000)))))))),".")</f>
        <v>.</v>
      </c>
      <c r="AO4" s="70" t="str">
        <f>IFERROR(IF(AND(d_Irr!N4&lt;&gt;".",d_Irr!AM4&lt;&gt;".",d_Irr!BL4&lt;&gt;"."),d_dir!AO4/((1/1000)*(d_Irr!N4+d_Irr!AM4+d_Irr!BL4)),IF(AND(d_Irr!N4&lt;&gt;".",d_Irr!AM4&lt;&gt;".",d_Irr!BL4="."),d_dir!AO4/((1/1000)*(d_Irr!N4+d_Irr!AM4)),IF(AND(d_Irr!N4&lt;&gt;".",d_Irr!AM4=".",d_Irr!BL4&lt;&gt;"."),d_dir!AO4/((1/1000)*(d_Irr!N4+d_Irr!BL4)),IF(AND(d_Irr!N4=".",d_Irr!AM4&lt;&gt;".",d_Irr!BL4&lt;&gt;"."),d_dir!AO4/((1/1000)*(d_Irr!AM4+d_Irr!BL4)),IF(AND(d_Irr!N4=".",d_Irr!AM4=".",d_Irr!BL4&lt;&gt;"."),d_dir!AO4/((1/1000)*(d_Irr!BL4)),IF(AND(d_Irr!N4=".",d_Irr!AM4&lt;&gt;".",d_Irr!BL4="."),d_dir!AO4/((1/1000)*(d_Irr!AM4)),IF(AND(d_Irr!N4&lt;&gt;".",d_Irr!AM4=".",d_Irr!BL4="."),d_dir!AO4/((1/1000)*(d_Irr!N4)),IF(AND(d_Irr!N4=".",d_Irr!AM4=".",d_Irr!BL4="."),d_dir!AO4*1000)))))))),".")</f>
        <v>.</v>
      </c>
      <c r="AP4" s="70" t="str">
        <f>IFERROR(IF(AND(d_Irr!O4&lt;&gt;".",d_Irr!AN4&lt;&gt;".",d_Irr!BM4&lt;&gt;"."),d_dir!AP4/((1/1000)*(d_Irr!O4+d_Irr!AN4+d_Irr!BM4)),IF(AND(d_Irr!O4&lt;&gt;".",d_Irr!AN4&lt;&gt;".",d_Irr!BM4="."),d_dir!AP4/((1/1000)*(d_Irr!O4+d_Irr!AN4)),IF(AND(d_Irr!O4&lt;&gt;".",d_Irr!AN4=".",d_Irr!BM4&lt;&gt;"."),d_dir!AP4/((1/1000)*(d_Irr!O4+d_Irr!BM4)),IF(AND(d_Irr!O4=".",d_Irr!AN4&lt;&gt;".",d_Irr!BM4&lt;&gt;"."),d_dir!AP4/((1/1000)*(d_Irr!AN4+d_Irr!BM4)),IF(AND(d_Irr!O4=".",d_Irr!AN4=".",d_Irr!BM4&lt;&gt;"."),d_dir!AP4/((1/1000)*(d_Irr!BM4)),IF(AND(d_Irr!O4=".",d_Irr!AN4&lt;&gt;".",d_Irr!BM4="."),d_dir!AP4/((1/1000)*(d_Irr!AN4)),IF(AND(d_Irr!O4&lt;&gt;".",d_Irr!AN4=".",d_Irr!BM4="."),d_dir!AP4/((1/1000)*(d_Irr!O4)),IF(AND(d_Irr!O4=".",d_Irr!AN4=".",d_Irr!BM4="."),d_dir!AP4*1000)))))))),".")</f>
        <v>.</v>
      </c>
      <c r="AQ4" s="70" t="str">
        <f>IFERROR(IF(AND(d_Irr!P4&lt;&gt;".",d_Irr!AO4&lt;&gt;".",d_Irr!BN4&lt;&gt;"."),d_dir!AQ4/((1/1000)*(d_Irr!P4+d_Irr!AO4+d_Irr!BN4)),IF(AND(d_Irr!P4&lt;&gt;".",d_Irr!AO4&lt;&gt;".",d_Irr!BN4="."),d_dir!AQ4/((1/1000)*(d_Irr!P4+d_Irr!AO4)),IF(AND(d_Irr!P4&lt;&gt;".",d_Irr!AO4=".",d_Irr!BN4&lt;&gt;"."),d_dir!AQ4/((1/1000)*(d_Irr!P4+d_Irr!BN4)),IF(AND(d_Irr!P4=".",d_Irr!AO4&lt;&gt;".",d_Irr!BN4&lt;&gt;"."),d_dir!AQ4/((1/1000)*(d_Irr!AO4+d_Irr!BN4)),IF(AND(d_Irr!P4=".",d_Irr!AO4=".",d_Irr!BN4&lt;&gt;"."),d_dir!AQ4/((1/1000)*(d_Irr!BN4)),IF(AND(d_Irr!P4=".",d_Irr!AO4&lt;&gt;".",d_Irr!BN4="."),d_dir!AQ4/((1/1000)*(d_Irr!AO4)),IF(AND(d_Irr!P4&lt;&gt;".",d_Irr!AO4=".",d_Irr!BN4="."),d_dir!AQ4/((1/1000)*(d_Irr!P4)),IF(AND(d_Irr!P4=".",d_Irr!AO4=".",d_Irr!BN4="."),d_dir!AQ4*1000)))))))),".")</f>
        <v>.</v>
      </c>
      <c r="AR4" s="70" t="str">
        <f>IFERROR(IF(AND(d_Irr!Q4&lt;&gt;".",d_Irr!AP4&lt;&gt;".",d_Irr!BO4&lt;&gt;"."),d_dir!AR4/((1/1000)*(d_Irr!Q4+d_Irr!AP4+d_Irr!BO4)),IF(AND(d_Irr!Q4&lt;&gt;".",d_Irr!AP4&lt;&gt;".",d_Irr!BO4="."),d_dir!AR4/((1/1000)*(d_Irr!Q4+d_Irr!AP4)),IF(AND(d_Irr!Q4&lt;&gt;".",d_Irr!AP4=".",d_Irr!BO4&lt;&gt;"."),d_dir!AR4/((1/1000)*(d_Irr!Q4+d_Irr!BO4)),IF(AND(d_Irr!Q4=".",d_Irr!AP4&lt;&gt;".",d_Irr!BO4&lt;&gt;"."),d_dir!AR4/((1/1000)*(d_Irr!AP4+d_Irr!BO4)),IF(AND(d_Irr!Q4=".",d_Irr!AP4=".",d_Irr!BO4&lt;&gt;"."),d_dir!AR4/((1/1000)*(d_Irr!BO4)),IF(AND(d_Irr!Q4=".",d_Irr!AP4&lt;&gt;".",d_Irr!BO4="."),d_dir!AR4/((1/1000)*(d_Irr!AP4)),IF(AND(d_Irr!Q4&lt;&gt;".",d_Irr!AP4=".",d_Irr!BO4="."),d_dir!AR4/((1/1000)*(d_Irr!Q4)),IF(AND(d_Irr!Q4=".",d_Irr!AP4=".",d_Irr!BO4="."),d_dir!AR4*1000)))))))),".")</f>
        <v>.</v>
      </c>
      <c r="AS4" s="70" t="str">
        <f>IFERROR(IF(AND(d_Irr!R4&lt;&gt;".",d_Irr!AQ4&lt;&gt;".",d_Irr!BP4&lt;&gt;"."),d_dir!AS4/((1/1000)*(d_Irr!R4+d_Irr!AQ4+d_Irr!BP4)),IF(AND(d_Irr!R4&lt;&gt;".",d_Irr!AQ4&lt;&gt;".",d_Irr!BP4="."),d_dir!AS4/((1/1000)*(d_Irr!R4+d_Irr!AQ4)),IF(AND(d_Irr!R4&lt;&gt;".",d_Irr!AQ4=".",d_Irr!BP4&lt;&gt;"."),d_dir!AS4/((1/1000)*(d_Irr!R4+d_Irr!BP4)),IF(AND(d_Irr!R4=".",d_Irr!AQ4&lt;&gt;".",d_Irr!BP4&lt;&gt;"."),d_dir!AS4/((1/1000)*(d_Irr!AQ4+d_Irr!BP4)),IF(AND(d_Irr!R4=".",d_Irr!AQ4=".",d_Irr!BP4&lt;&gt;"."),d_dir!AS4/((1/1000)*(d_Irr!BP4)),IF(AND(d_Irr!R4=".",d_Irr!AQ4&lt;&gt;".",d_Irr!BP4="."),d_dir!AS4/((1/1000)*(d_Irr!AQ4)),IF(AND(d_Irr!R4&lt;&gt;".",d_Irr!AQ4=".",d_Irr!BP4="."),d_dir!AS4/((1/1000)*(d_Irr!R4)),IF(AND(d_Irr!R4=".",d_Irr!AQ4=".",d_Irr!BP4="."),d_dir!AS4*1000)))))))),".")</f>
        <v>.</v>
      </c>
      <c r="AT4" s="70" t="str">
        <f>IFERROR(IF(AND(d_Irr!S4&lt;&gt;".",d_Irr!AR4&lt;&gt;".",d_Irr!BQ4&lt;&gt;"."),d_dir!AT4/((1/1000)*(d_Irr!S4+d_Irr!AR4+d_Irr!BQ4)),IF(AND(d_Irr!S4&lt;&gt;".",d_Irr!AR4&lt;&gt;".",d_Irr!BQ4="."),d_dir!AT4/((1/1000)*(d_Irr!S4+d_Irr!AR4)),IF(AND(d_Irr!S4&lt;&gt;".",d_Irr!AR4=".",d_Irr!BQ4&lt;&gt;"."),d_dir!AT4/((1/1000)*(d_Irr!S4+d_Irr!BQ4)),IF(AND(d_Irr!S4=".",d_Irr!AR4&lt;&gt;".",d_Irr!BQ4&lt;&gt;"."),d_dir!AT4/((1/1000)*(d_Irr!AR4+d_Irr!BQ4)),IF(AND(d_Irr!S4=".",d_Irr!AR4=".",d_Irr!BQ4&lt;&gt;"."),d_dir!AT4/((1/1000)*(d_Irr!BQ4)),IF(AND(d_Irr!S4=".",d_Irr!AR4&lt;&gt;".",d_Irr!BQ4="."),d_dir!AT4/((1/1000)*(d_Irr!AR4)),IF(AND(d_Irr!S4&lt;&gt;".",d_Irr!AR4=".",d_Irr!BQ4="."),d_dir!AT4/((1/1000)*(d_Irr!S4)),IF(AND(d_Irr!S4=".",d_Irr!AR4=".",d_Irr!BQ4="."),d_dir!AT4*1000)))))))),".")</f>
        <v>.</v>
      </c>
      <c r="AU4" s="70" t="str">
        <f>IFERROR(IF(AND(d_Irr!T4&lt;&gt;".",d_Irr!AS4&lt;&gt;".",d_Irr!BR4&lt;&gt;"."),d_dir!AU4/((1/1000)*(d_Irr!T4+d_Irr!AS4+d_Irr!BR4)),IF(AND(d_Irr!T4&lt;&gt;".",d_Irr!AS4&lt;&gt;".",d_Irr!BR4="."),d_dir!AU4/((1/1000)*(d_Irr!T4+d_Irr!AS4)),IF(AND(d_Irr!T4&lt;&gt;".",d_Irr!AS4=".",d_Irr!BR4&lt;&gt;"."),d_dir!AU4/((1/1000)*(d_Irr!T4+d_Irr!BR4)),IF(AND(d_Irr!T4=".",d_Irr!AS4&lt;&gt;".",d_Irr!BR4&lt;&gt;"."),d_dir!AU4/((1/1000)*(d_Irr!AS4+d_Irr!BR4)),IF(AND(d_Irr!T4=".",d_Irr!AS4=".",d_Irr!BR4&lt;&gt;"."),d_dir!AU4/((1/1000)*(d_Irr!BR4)),IF(AND(d_Irr!T4=".",d_Irr!AS4&lt;&gt;".",d_Irr!BR4="."),d_dir!AU4/((1/1000)*(d_Irr!AS4)),IF(AND(d_Irr!T4&lt;&gt;".",d_Irr!AS4=".",d_Irr!BR4="."),d_dir!AU4/((1/1000)*(d_Irr!T4)),IF(AND(d_Irr!T4=".",d_Irr!AS4=".",d_Irr!BR4="."),d_dir!AU4*1000)))))))),".")</f>
        <v>.</v>
      </c>
      <c r="AV4" s="70" t="str">
        <f>IFERROR(IF(AND(d_Irr!U4&lt;&gt;".",d_Irr!AT4&lt;&gt;".",d_Irr!BS4&lt;&gt;"."),d_dir!AV4/((1/1000)*(d_Irr!U4+d_Irr!AT4+d_Irr!BS4)),IF(AND(d_Irr!U4&lt;&gt;".",d_Irr!AT4&lt;&gt;".",d_Irr!BS4="."),d_dir!AV4/((1/1000)*(d_Irr!U4+d_Irr!AT4)),IF(AND(d_Irr!U4&lt;&gt;".",d_Irr!AT4=".",d_Irr!BS4&lt;&gt;"."),d_dir!AV4/((1/1000)*(d_Irr!U4+d_Irr!BS4)),IF(AND(d_Irr!U4=".",d_Irr!AT4&lt;&gt;".",d_Irr!BS4&lt;&gt;"."),d_dir!AV4/((1/1000)*(d_Irr!AT4+d_Irr!BS4)),IF(AND(d_Irr!U4=".",d_Irr!AT4=".",d_Irr!BS4&lt;&gt;"."),d_dir!AV4/((1/1000)*(d_Irr!BS4)),IF(AND(d_Irr!U4=".",d_Irr!AT4&lt;&gt;".",d_Irr!BS4="."),d_dir!AV4/((1/1000)*(d_Irr!AT4)),IF(AND(d_Irr!U4&lt;&gt;".",d_Irr!AT4=".",d_Irr!BS4="."),d_dir!AV4/((1/1000)*(d_Irr!U4)),IF(AND(d_Irr!U4=".",d_Irr!AT4=".",d_Irr!BS4="."),d_dir!AV4*1000)))))))),".")</f>
        <v>.</v>
      </c>
      <c r="AW4" s="70" t="str">
        <f>IFERROR(IF(AND(d_Irr!V4&lt;&gt;".",d_Irr!AU4&lt;&gt;".",d_Irr!BT4&lt;&gt;"."),d_dir!AW4/((1/1000)*(d_Irr!V4+d_Irr!AU4+d_Irr!BT4)),IF(AND(d_Irr!V4&lt;&gt;".",d_Irr!AU4&lt;&gt;".",d_Irr!BT4="."),d_dir!AW4/((1/1000)*(d_Irr!V4+d_Irr!AU4)),IF(AND(d_Irr!V4&lt;&gt;".",d_Irr!AU4=".",d_Irr!BT4&lt;&gt;"."),d_dir!AW4/((1/1000)*(d_Irr!V4+d_Irr!BT4)),IF(AND(d_Irr!V4=".",d_Irr!AU4&lt;&gt;".",d_Irr!BT4&lt;&gt;"."),d_dir!AW4/((1/1000)*(d_Irr!AU4+d_Irr!BT4)),IF(AND(d_Irr!V4=".",d_Irr!AU4=".",d_Irr!BT4&lt;&gt;"."),d_dir!AW4/((1/1000)*(d_Irr!BT4)),IF(AND(d_Irr!V4=".",d_Irr!AU4&lt;&gt;".",d_Irr!BT4="."),d_dir!AW4/((1/1000)*(d_Irr!AU4)),IF(AND(d_Irr!V4&lt;&gt;".",d_Irr!AU4=".",d_Irr!BT4="."),d_dir!AW4/((1/1000)*(d_Irr!V4)),IF(AND(d_Irr!V4=".",d_Irr!AU4=".",d_Irr!BT4="."),d_dir!AW4*1000)))))))),".")</f>
        <v>.</v>
      </c>
      <c r="AX4" s="70" t="str">
        <f>IFERROR(IF(AND(d_Irr!W4&lt;&gt;".",d_Irr!AV4&lt;&gt;".",d_Irr!BU4&lt;&gt;"."),d_dir!AX4/((1/1000)*(d_Irr!W4+d_Irr!AV4+d_Irr!BU4)),IF(AND(d_Irr!W4&lt;&gt;".",d_Irr!AV4&lt;&gt;".",d_Irr!BU4="."),d_dir!AX4/((1/1000)*(d_Irr!W4+d_Irr!AV4)),IF(AND(d_Irr!W4&lt;&gt;".",d_Irr!AV4=".",d_Irr!BU4&lt;&gt;"."),d_dir!AX4/((1/1000)*(d_Irr!W4+d_Irr!BU4)),IF(AND(d_Irr!W4=".",d_Irr!AV4&lt;&gt;".",d_Irr!BU4&lt;&gt;"."),d_dir!AX4/((1/1000)*(d_Irr!AV4+d_Irr!BU4)),IF(AND(d_Irr!W4=".",d_Irr!AV4=".",d_Irr!BU4&lt;&gt;"."),d_dir!AX4/((1/1000)*(d_Irr!BU4)),IF(AND(d_Irr!W4=".",d_Irr!AV4&lt;&gt;".",d_Irr!BU4="."),d_dir!AX4/((1/1000)*(d_Irr!AV4)),IF(AND(d_Irr!W4&lt;&gt;".",d_Irr!AV4=".",d_Irr!BU4="."),d_dir!AX4/((1/1000)*(d_Irr!W4)),IF(AND(d_Irr!W4=".",d_Irr!AV4=".",d_Irr!BU4="."),d_dir!AX4*1000)))))))),".")</f>
        <v>.</v>
      </c>
      <c r="AY4" s="70" t="str">
        <f>IFERROR(IF(AND(d_Irr!X4&lt;&gt;".",d_Irr!AW4&lt;&gt;".",d_Irr!BV4&lt;&gt;"."),d_dir!AY4/((1/1000)*(d_Irr!X4+d_Irr!AW4+d_Irr!BV4)),IF(AND(d_Irr!X4&lt;&gt;".",d_Irr!AW4&lt;&gt;".",d_Irr!BV4="."),d_dir!AY4/((1/1000)*(d_Irr!X4+d_Irr!AW4)),IF(AND(d_Irr!X4&lt;&gt;".",d_Irr!AW4=".",d_Irr!BV4&lt;&gt;"."),d_dir!AY4/((1/1000)*(d_Irr!X4+d_Irr!BV4)),IF(AND(d_Irr!X4=".",d_Irr!AW4&lt;&gt;".",d_Irr!BV4&lt;&gt;"."),d_dir!AY4/((1/1000)*(d_Irr!AW4+d_Irr!BV4)),IF(AND(d_Irr!X4=".",d_Irr!AW4=".",d_Irr!BV4&lt;&gt;"."),d_dir!AY4/((1/1000)*(d_Irr!BV4)),IF(AND(d_Irr!X4=".",d_Irr!AW4&lt;&gt;".",d_Irr!BV4="."),d_dir!AY4/((1/1000)*(d_Irr!AW4)),IF(AND(d_Irr!X4&lt;&gt;".",d_Irr!AW4=".",d_Irr!BV4="."),d_dir!AY4/((1/1000)*(d_Irr!X4)),IF(AND(d_Irr!X4=".",d_Irr!AW4=".",d_Irr!BV4="."),d_dir!AY4*1000)))))))),".")</f>
        <v>.</v>
      </c>
      <c r="AZ4" s="70" t="str">
        <f>IFERROR(IF(AND(d_Irr!Y4&lt;&gt;".",d_Irr!AX4&lt;&gt;".",d_Irr!BW4&lt;&gt;"."),d_dir!AZ4/((1/1000)*(d_Irr!Y4+d_Irr!AX4+d_Irr!BW4)),IF(AND(d_Irr!Y4&lt;&gt;".",d_Irr!AX4&lt;&gt;".",d_Irr!BW4="."),d_dir!AZ4/((1/1000)*(d_Irr!Y4+d_Irr!AX4)),IF(AND(d_Irr!Y4&lt;&gt;".",d_Irr!AX4=".",d_Irr!BW4&lt;&gt;"."),d_dir!AZ4/((1/1000)*(d_Irr!Y4+d_Irr!BW4)),IF(AND(d_Irr!Y4=".",d_Irr!AX4&lt;&gt;".",d_Irr!BW4&lt;&gt;"."),d_dir!AZ4/((1/1000)*(d_Irr!AX4+d_Irr!BW4)),IF(AND(d_Irr!Y4=".",d_Irr!AX4=".",d_Irr!BW4&lt;&gt;"."),d_dir!AZ4/((1/1000)*(d_Irr!BW4)),IF(AND(d_Irr!Y4=".",d_Irr!AX4&lt;&gt;".",d_Irr!BW4="."),d_dir!AZ4/((1/1000)*(d_Irr!AX4)),IF(AND(d_Irr!Y4&lt;&gt;".",d_Irr!AX4=".",d_Irr!BW4="."),d_dir!AZ4/((1/1000)*(d_Irr!Y4)),IF(AND(d_Irr!Y4=".",d_Irr!AX4=".",d_Irr!BW4="."),d_dir!AZ4*1000)))))))),".")</f>
        <v>.</v>
      </c>
      <c r="BA4" s="70" t="str">
        <f>IFERROR(IF(AND(d_Irr!Z4&lt;&gt;".",d_Irr!AY4&lt;&gt;".",d_Irr!BX4&lt;&gt;"."),d_dir!BA4/((1/1000)*(d_Irr!Z4+d_Irr!AY4+d_Irr!BX4)),IF(AND(d_Irr!Z4&lt;&gt;".",d_Irr!AY4&lt;&gt;".",d_Irr!BX4="."),d_dir!BA4/((1/1000)*(d_Irr!Z4+d_Irr!AY4)),IF(AND(d_Irr!Z4&lt;&gt;".",d_Irr!AY4=".",d_Irr!BX4&lt;&gt;"."),d_dir!BA4/((1/1000)*(d_Irr!Z4+d_Irr!BX4)),IF(AND(d_Irr!Z4=".",d_Irr!AY4&lt;&gt;".",d_Irr!BX4&lt;&gt;"."),d_dir!BA4/((1/1000)*(d_Irr!AY4+d_Irr!BX4)),IF(AND(d_Irr!Z4=".",d_Irr!AY4=".",d_Irr!BX4&lt;&gt;"."),d_dir!BA4/((1/1000)*(d_Irr!BX4)),IF(AND(d_Irr!Z4=".",d_Irr!AY4&lt;&gt;".",d_Irr!BX4="."),d_dir!BA4/((1/1000)*(d_Irr!AY4)),IF(AND(d_Irr!Z4&lt;&gt;".",d_Irr!AY4=".",d_Irr!BX4="."),d_dir!BA4/((1/1000)*(d_Irr!Z4)),IF(AND(d_Irr!Z4=".",d_Irr!AY4=".",d_Irr!BX4="."),d_dir!BA4*1000)))))))),".")</f>
        <v>.</v>
      </c>
      <c r="BB4" s="70" t="str">
        <f>IFERROR(IF(AND(d_Irr!AA4&lt;&gt;".",d_Irr!AZ4&lt;&gt;".",d_Irr!BY4&lt;&gt;"."),d_dir!BB4/((1/1000)*(d_Irr!AA4+d_Irr!AZ4+d_Irr!BY4)),IF(AND(d_Irr!AA4&lt;&gt;".",d_Irr!AZ4&lt;&gt;".",d_Irr!BY4="."),d_dir!BB4/((1/1000)*(d_Irr!AA4+d_Irr!AZ4)),IF(AND(d_Irr!AA4&lt;&gt;".",d_Irr!AZ4=".",d_Irr!BY4&lt;&gt;"."),d_dir!BB4/((1/1000)*(d_Irr!AA4+d_Irr!BY4)),IF(AND(d_Irr!AA4=".",d_Irr!AZ4&lt;&gt;".",d_Irr!BY4&lt;&gt;"."),d_dir!BB4/((1/1000)*(d_Irr!AZ4+d_Irr!BY4)),IF(AND(d_Irr!AA4=".",d_Irr!AZ4=".",d_Irr!BY4&lt;&gt;"."),d_dir!BB4/((1/1000)*(d_Irr!BY4)),IF(AND(d_Irr!AA4=".",d_Irr!AZ4&lt;&gt;".",d_Irr!BY4="."),d_dir!BB4/((1/1000)*(d_Irr!AZ4)),IF(AND(d_Irr!AA4&lt;&gt;".",d_Irr!AZ4=".",d_Irr!BY4="."),d_dir!BB4/((1/1000)*(d_Irr!AA4)),IF(AND(d_Irr!AA4=".",d_Irr!AZ4=".",d_Irr!BY4="."),d_dir!BB4*1000)))))))),".")</f>
        <v>.</v>
      </c>
    </row>
    <row r="5" spans="1:54" ht="15" customHeight="1" x14ac:dyDescent="0.25">
      <c r="A5" s="86" t="s">
        <v>3</v>
      </c>
      <c r="B5" s="84" t="s">
        <v>1057</v>
      </c>
      <c r="C5" s="2" t="str">
        <f t="shared" si="1"/>
        <v>.</v>
      </c>
      <c r="D5" s="70" t="str">
        <f>IFERROR(IF(AND(d_Irr!C5&lt;&gt;".",d_Irr!AB5&lt;&gt;".",d_Irr!BA5&lt;&gt;"."),d_dir!D5/((1/1000)*(d_Irr!C5+d_Irr!AB5+d_Irr!BA5)),IF(AND(d_Irr!C5&lt;&gt;".",d_Irr!AB5&lt;&gt;".",d_Irr!BA5="."),d_dir!D5/((1/1000)*(d_Irr!C5+d_Irr!AB5)),IF(AND(d_Irr!C5&lt;&gt;".",d_Irr!AB5=".",d_Irr!BA5&lt;&gt;"."),d_dir!D5/((1/1000)*(d_Irr!C5+d_Irr!BA5)),IF(AND(d_Irr!C5=".",d_Irr!AB5&lt;&gt;".",d_Irr!BA5&lt;&gt;"."),d_dir!D5/((1/1000)*(d_Irr!AB5+d_Irr!BA5)),IF(AND(d_Irr!C5=".",d_Irr!AB5=".",d_Irr!BA5&lt;&gt;"."),d_dir!D5/((1/1000)*(d_Irr!BA5)),IF(AND(d_Irr!C5=".",d_Irr!AB5&lt;&gt;".",d_Irr!BA5="."),d_dir!D5/((1/1000)*(d_Irr!AB5)),IF(AND(d_Irr!C5&lt;&gt;".",d_Irr!AB5=".",d_Irr!BA5="."),d_dir!D5/((1/1000)*(d_Irr!C5)),IF(AND(d_Irr!C5=".",d_Irr!AB5=".",d_Irr!BA5="."),d_dir!D5*1000)))))))),".")</f>
        <v>.</v>
      </c>
      <c r="E5" s="70" t="str">
        <f>IFERROR(IF(AND(d_Irr!D5&lt;&gt;".",d_Irr!AC5&lt;&gt;".",d_Irr!BB5&lt;&gt;"."),d_dir!E5/((1/1000)*(d_Irr!D5+d_Irr!AC5+d_Irr!BB5)),IF(AND(d_Irr!D5&lt;&gt;".",d_Irr!AC5&lt;&gt;".",d_Irr!BB5="."),d_dir!E5/((1/1000)*(d_Irr!D5+d_Irr!AC5)),IF(AND(d_Irr!D5&lt;&gt;".",d_Irr!AC5=".",d_Irr!BB5&lt;&gt;"."),d_dir!E5/((1/1000)*(d_Irr!D5+d_Irr!BB5)),IF(AND(d_Irr!D5=".",d_Irr!AC5&lt;&gt;".",d_Irr!BB5&lt;&gt;"."),d_dir!E5/((1/1000)*(d_Irr!AC5+d_Irr!BB5)),IF(AND(d_Irr!D5=".",d_Irr!AC5=".",d_Irr!BB5&lt;&gt;"."),d_dir!E5/((1/1000)*(d_Irr!BB5)),IF(AND(d_Irr!D5=".",d_Irr!AC5&lt;&gt;".",d_Irr!BB5="."),d_dir!E5/((1/1000)*(d_Irr!AC5)),IF(AND(d_Irr!D5&lt;&gt;".",d_Irr!AC5=".",d_Irr!BB5="."),d_dir!E5/((1/1000)*(d_Irr!D5)),IF(AND(d_Irr!D5=".",d_Irr!AC5=".",d_Irr!BB5="."),d_dir!E5*1000)))))))),".")</f>
        <v>.</v>
      </c>
      <c r="F5" s="70" t="str">
        <f>IFERROR(IF(AND(d_Irr!E5&lt;&gt;".",d_Irr!AD5&lt;&gt;".",d_Irr!BC5&lt;&gt;"."),d_dir!F5/((1/1000)*(d_Irr!E5+d_Irr!AD5+d_Irr!BC5)),IF(AND(d_Irr!E5&lt;&gt;".",d_Irr!AD5&lt;&gt;".",d_Irr!BC5="."),d_dir!F5/((1/1000)*(d_Irr!E5+d_Irr!AD5)),IF(AND(d_Irr!E5&lt;&gt;".",d_Irr!AD5=".",d_Irr!BC5&lt;&gt;"."),d_dir!F5/((1/1000)*(d_Irr!E5+d_Irr!BC5)),IF(AND(d_Irr!E5=".",d_Irr!AD5&lt;&gt;".",d_Irr!BC5&lt;&gt;"."),d_dir!F5/((1/1000)*(d_Irr!AD5+d_Irr!BC5)),IF(AND(d_Irr!E5=".",d_Irr!AD5=".",d_Irr!BC5&lt;&gt;"."),d_dir!F5/((1/1000)*(d_Irr!BC5)),IF(AND(d_Irr!E5=".",d_Irr!AD5&lt;&gt;".",d_Irr!BC5="."),d_dir!F5/((1/1000)*(d_Irr!AD5)),IF(AND(d_Irr!E5&lt;&gt;".",d_Irr!AD5=".",d_Irr!BC5="."),d_dir!F5/((1/1000)*(d_Irr!E5)),IF(AND(d_Irr!E5=".",d_Irr!AD5=".",d_Irr!BC5="."),d_dir!F5*1000)))))))),".")</f>
        <v>.</v>
      </c>
      <c r="G5" s="70" t="str">
        <f>IFERROR(IF(AND(d_Irr!F5&lt;&gt;".",d_Irr!AE5&lt;&gt;".",d_Irr!BD5&lt;&gt;"."),d_dir!G5/((1/1000)*(d_Irr!F5+d_Irr!AE5+d_Irr!BD5)),IF(AND(d_Irr!F5&lt;&gt;".",d_Irr!AE5&lt;&gt;".",d_Irr!BD5="."),d_dir!G5/((1/1000)*(d_Irr!F5+d_Irr!AE5)),IF(AND(d_Irr!F5&lt;&gt;".",d_Irr!AE5=".",d_Irr!BD5&lt;&gt;"."),d_dir!G5/((1/1000)*(d_Irr!F5+d_Irr!BD5)),IF(AND(d_Irr!F5=".",d_Irr!AE5&lt;&gt;".",d_Irr!BD5&lt;&gt;"."),d_dir!G5/((1/1000)*(d_Irr!AE5+d_Irr!BD5)),IF(AND(d_Irr!F5=".",d_Irr!AE5=".",d_Irr!BD5&lt;&gt;"."),d_dir!G5/((1/1000)*(d_Irr!BD5)),IF(AND(d_Irr!F5=".",d_Irr!AE5&lt;&gt;".",d_Irr!BD5="."),d_dir!G5/((1/1000)*(d_Irr!AE5)),IF(AND(d_Irr!F5&lt;&gt;".",d_Irr!AE5=".",d_Irr!BD5="."),d_dir!G5/((1/1000)*(d_Irr!F5)),IF(AND(d_Irr!F5=".",d_Irr!AE5=".",d_Irr!BD5="."),d_dir!G5*1000)))))))),".")</f>
        <v>.</v>
      </c>
      <c r="H5" s="70" t="str">
        <f>IFERROR(IF(AND(d_Irr!G5&lt;&gt;".",d_Irr!AF5&lt;&gt;".",d_Irr!BE5&lt;&gt;"."),d_dir!H5/((1/1000)*(d_Irr!G5+d_Irr!AF5+d_Irr!BE5)),IF(AND(d_Irr!G5&lt;&gt;".",d_Irr!AF5&lt;&gt;".",d_Irr!BE5="."),d_dir!H5/((1/1000)*(d_Irr!G5+d_Irr!AF5)),IF(AND(d_Irr!G5&lt;&gt;".",d_Irr!AF5=".",d_Irr!BE5&lt;&gt;"."),d_dir!H5/((1/1000)*(d_Irr!G5+d_Irr!BE5)),IF(AND(d_Irr!G5=".",d_Irr!AF5&lt;&gt;".",d_Irr!BE5&lt;&gt;"."),d_dir!H5/((1/1000)*(d_Irr!AF5+d_Irr!BE5)),IF(AND(d_Irr!G5=".",d_Irr!AF5=".",d_Irr!BE5&lt;&gt;"."),d_dir!H5/((1/1000)*(d_Irr!BE5)),IF(AND(d_Irr!G5=".",d_Irr!AF5&lt;&gt;".",d_Irr!BE5="."),d_dir!H5/((1/1000)*(d_Irr!AF5)),IF(AND(d_Irr!G5&lt;&gt;".",d_Irr!AF5=".",d_Irr!BE5="."),d_dir!H5/((1/1000)*(d_Irr!G5)),IF(AND(d_Irr!G5=".",d_Irr!AF5=".",d_Irr!BE5="."),d_dir!H5*1000)))))))),".")</f>
        <v>.</v>
      </c>
      <c r="I5" s="70" t="str">
        <f>IFERROR(IF(AND(d_Irr!H5&lt;&gt;".",d_Irr!AG5&lt;&gt;".",d_Irr!BF5&lt;&gt;"."),d_dir!I5/((1/1000)*(d_Irr!H5+d_Irr!AG5+d_Irr!BF5)),IF(AND(d_Irr!H5&lt;&gt;".",d_Irr!AG5&lt;&gt;".",d_Irr!BF5="."),d_dir!I5/((1/1000)*(d_Irr!H5+d_Irr!AG5)),IF(AND(d_Irr!H5&lt;&gt;".",d_Irr!AG5=".",d_Irr!BF5&lt;&gt;"."),d_dir!I5/((1/1000)*(d_Irr!H5+d_Irr!BF5)),IF(AND(d_Irr!H5=".",d_Irr!AG5&lt;&gt;".",d_Irr!BF5&lt;&gt;"."),d_dir!I5/((1/1000)*(d_Irr!AG5+d_Irr!BF5)),IF(AND(d_Irr!H5=".",d_Irr!AG5=".",d_Irr!BF5&lt;&gt;"."),d_dir!I5/((1/1000)*(d_Irr!BF5)),IF(AND(d_Irr!H5=".",d_Irr!AG5&lt;&gt;".",d_Irr!BF5="."),d_dir!I5/((1/1000)*(d_Irr!AG5)),IF(AND(d_Irr!H5&lt;&gt;".",d_Irr!AG5=".",d_Irr!BF5="."),d_dir!I5/((1/1000)*(d_Irr!H5)),IF(AND(d_Irr!H5=".",d_Irr!AG5=".",d_Irr!BF5="."),d_dir!I5*1000)))))))),".")</f>
        <v>.</v>
      </c>
      <c r="J5" s="70" t="str">
        <f>IFERROR(IF(AND(d_Irr!I5&lt;&gt;".",d_Irr!AH5&lt;&gt;".",d_Irr!BG5&lt;&gt;"."),d_dir!J5/((1/1000)*(d_Irr!I5+d_Irr!AH5+d_Irr!BG5)),IF(AND(d_Irr!I5&lt;&gt;".",d_Irr!AH5&lt;&gt;".",d_Irr!BG5="."),d_dir!J5/((1/1000)*(d_Irr!I5+d_Irr!AH5)),IF(AND(d_Irr!I5&lt;&gt;".",d_Irr!AH5=".",d_Irr!BG5&lt;&gt;"."),d_dir!J5/((1/1000)*(d_Irr!I5+d_Irr!BG5)),IF(AND(d_Irr!I5=".",d_Irr!AH5&lt;&gt;".",d_Irr!BG5&lt;&gt;"."),d_dir!J5/((1/1000)*(d_Irr!AH5+d_Irr!BG5)),IF(AND(d_Irr!I5=".",d_Irr!AH5=".",d_Irr!BG5&lt;&gt;"."),d_dir!J5/((1/1000)*(d_Irr!BG5)),IF(AND(d_Irr!I5=".",d_Irr!AH5&lt;&gt;".",d_Irr!BG5="."),d_dir!J5/((1/1000)*(d_Irr!AH5)),IF(AND(d_Irr!I5&lt;&gt;".",d_Irr!AH5=".",d_Irr!BG5="."),d_dir!J5/((1/1000)*(d_Irr!I5)),IF(AND(d_Irr!I5=".",d_Irr!AH5=".",d_Irr!BG5="."),d_dir!J5*1000)))))))),".")</f>
        <v>.</v>
      </c>
      <c r="K5" s="70" t="str">
        <f>IFERROR(IF(AND(d_Irr!J5&lt;&gt;".",d_Irr!AI5&lt;&gt;".",d_Irr!BH5&lt;&gt;"."),d_dir!K5/((1/1000)*(d_Irr!J5+d_Irr!AI5+d_Irr!BH5)),IF(AND(d_Irr!J5&lt;&gt;".",d_Irr!AI5&lt;&gt;".",d_Irr!BH5="."),d_dir!K5/((1/1000)*(d_Irr!J5+d_Irr!AI5)),IF(AND(d_Irr!J5&lt;&gt;".",d_Irr!AI5=".",d_Irr!BH5&lt;&gt;"."),d_dir!K5/((1/1000)*(d_Irr!J5+d_Irr!BH5)),IF(AND(d_Irr!J5=".",d_Irr!AI5&lt;&gt;".",d_Irr!BH5&lt;&gt;"."),d_dir!K5/((1/1000)*(d_Irr!AI5+d_Irr!BH5)),IF(AND(d_Irr!J5=".",d_Irr!AI5=".",d_Irr!BH5&lt;&gt;"."),d_dir!K5/((1/1000)*(d_Irr!BH5)),IF(AND(d_Irr!J5=".",d_Irr!AI5&lt;&gt;".",d_Irr!BH5="."),d_dir!K5/((1/1000)*(d_Irr!AI5)),IF(AND(d_Irr!J5&lt;&gt;".",d_Irr!AI5=".",d_Irr!BH5="."),d_dir!K5/((1/1000)*(d_Irr!J5)),IF(AND(d_Irr!J5=".",d_Irr!AI5=".",d_Irr!BH5="."),d_dir!K5*1000)))))))),".")</f>
        <v>.</v>
      </c>
      <c r="L5" s="70" t="str">
        <f>IFERROR(IF(AND(d_Irr!K5&lt;&gt;".",d_Irr!AJ5&lt;&gt;".",d_Irr!BI5&lt;&gt;"."),d_dir!L5/((1/1000)*(d_Irr!K5+d_Irr!AJ5+d_Irr!BI5)),IF(AND(d_Irr!K5&lt;&gt;".",d_Irr!AJ5&lt;&gt;".",d_Irr!BI5="."),d_dir!L5/((1/1000)*(d_Irr!K5+d_Irr!AJ5)),IF(AND(d_Irr!K5&lt;&gt;".",d_Irr!AJ5=".",d_Irr!BI5&lt;&gt;"."),d_dir!L5/((1/1000)*(d_Irr!K5+d_Irr!BI5)),IF(AND(d_Irr!K5=".",d_Irr!AJ5&lt;&gt;".",d_Irr!BI5&lt;&gt;"."),d_dir!L5/((1/1000)*(d_Irr!AJ5+d_Irr!BI5)),IF(AND(d_Irr!K5=".",d_Irr!AJ5=".",d_Irr!BI5&lt;&gt;"."),d_dir!L5/((1/1000)*(d_Irr!BI5)),IF(AND(d_Irr!K5=".",d_Irr!AJ5&lt;&gt;".",d_Irr!BI5="."),d_dir!L5/((1/1000)*(d_Irr!AJ5)),IF(AND(d_Irr!K5&lt;&gt;".",d_Irr!AJ5=".",d_Irr!BI5="."),d_dir!L5/((1/1000)*(d_Irr!K5)),IF(AND(d_Irr!K5=".",d_Irr!AJ5=".",d_Irr!BI5="."),d_dir!L5*1000)))))))),".")</f>
        <v>.</v>
      </c>
      <c r="M5" s="70" t="str">
        <f>IFERROR(IF(AND(d_Irr!L5&lt;&gt;".",d_Irr!AK5&lt;&gt;".",d_Irr!BJ5&lt;&gt;"."),d_dir!M5/((1/1000)*(d_Irr!L5+d_Irr!AK5+d_Irr!BJ5)),IF(AND(d_Irr!L5&lt;&gt;".",d_Irr!AK5&lt;&gt;".",d_Irr!BJ5="."),d_dir!M5/((1/1000)*(d_Irr!L5+d_Irr!AK5)),IF(AND(d_Irr!L5&lt;&gt;".",d_Irr!AK5=".",d_Irr!BJ5&lt;&gt;"."),d_dir!M5/((1/1000)*(d_Irr!L5+d_Irr!BJ5)),IF(AND(d_Irr!L5=".",d_Irr!AK5&lt;&gt;".",d_Irr!BJ5&lt;&gt;"."),d_dir!M5/((1/1000)*(d_Irr!AK5+d_Irr!BJ5)),IF(AND(d_Irr!L5=".",d_Irr!AK5=".",d_Irr!BJ5&lt;&gt;"."),d_dir!M5/((1/1000)*(d_Irr!BJ5)),IF(AND(d_Irr!L5=".",d_Irr!AK5&lt;&gt;".",d_Irr!BJ5="."),d_dir!M5/((1/1000)*(d_Irr!AK5)),IF(AND(d_Irr!L5&lt;&gt;".",d_Irr!AK5=".",d_Irr!BJ5="."),d_dir!M5/((1/1000)*(d_Irr!L5)),IF(AND(d_Irr!L5=".",d_Irr!AK5=".",d_Irr!BJ5="."),d_dir!M5*1000)))))))),".")</f>
        <v>.</v>
      </c>
      <c r="N5" s="70" t="str">
        <f>IFERROR(IF(AND(d_Irr!M5&lt;&gt;".",d_Irr!AL5&lt;&gt;".",d_Irr!BK5&lt;&gt;"."),d_dir!N5/((1/1000)*(d_Irr!M5+d_Irr!AL5+d_Irr!BK5)),IF(AND(d_Irr!M5&lt;&gt;".",d_Irr!AL5&lt;&gt;".",d_Irr!BK5="."),d_dir!N5/((1/1000)*(d_Irr!M5+d_Irr!AL5)),IF(AND(d_Irr!M5&lt;&gt;".",d_Irr!AL5=".",d_Irr!BK5&lt;&gt;"."),d_dir!N5/((1/1000)*(d_Irr!M5+d_Irr!BK5)),IF(AND(d_Irr!M5=".",d_Irr!AL5&lt;&gt;".",d_Irr!BK5&lt;&gt;"."),d_dir!N5/((1/1000)*(d_Irr!AL5+d_Irr!BK5)),IF(AND(d_Irr!M5=".",d_Irr!AL5=".",d_Irr!BK5&lt;&gt;"."),d_dir!N5/((1/1000)*(d_Irr!BK5)),IF(AND(d_Irr!M5=".",d_Irr!AL5&lt;&gt;".",d_Irr!BK5="."),d_dir!N5/((1/1000)*(d_Irr!AL5)),IF(AND(d_Irr!M5&lt;&gt;".",d_Irr!AL5=".",d_Irr!BK5="."),d_dir!N5/((1/1000)*(d_Irr!M5)),IF(AND(d_Irr!M5=".",d_Irr!AL5=".",d_Irr!BK5="."),d_dir!N5*1000)))))))),".")</f>
        <v>.</v>
      </c>
      <c r="O5" s="70" t="str">
        <f>IFERROR(IF(AND(d_Irr!N5&lt;&gt;".",d_Irr!AM5&lt;&gt;".",d_Irr!BL5&lt;&gt;"."),d_dir!O5/((1/1000)*(d_Irr!N5+d_Irr!AM5+d_Irr!BL5)),IF(AND(d_Irr!N5&lt;&gt;".",d_Irr!AM5&lt;&gt;".",d_Irr!BL5="."),d_dir!O5/((1/1000)*(d_Irr!N5+d_Irr!AM5)),IF(AND(d_Irr!N5&lt;&gt;".",d_Irr!AM5=".",d_Irr!BL5&lt;&gt;"."),d_dir!O5/((1/1000)*(d_Irr!N5+d_Irr!BL5)),IF(AND(d_Irr!N5=".",d_Irr!AM5&lt;&gt;".",d_Irr!BL5&lt;&gt;"."),d_dir!O5/((1/1000)*(d_Irr!AM5+d_Irr!BL5)),IF(AND(d_Irr!N5=".",d_Irr!AM5=".",d_Irr!BL5&lt;&gt;"."),d_dir!O5/((1/1000)*(d_Irr!BL5)),IF(AND(d_Irr!N5=".",d_Irr!AM5&lt;&gt;".",d_Irr!BL5="."),d_dir!O5/((1/1000)*(d_Irr!AM5)),IF(AND(d_Irr!N5&lt;&gt;".",d_Irr!AM5=".",d_Irr!BL5="."),d_dir!O5/((1/1000)*(d_Irr!N5)),IF(AND(d_Irr!N5=".",d_Irr!AM5=".",d_Irr!BL5="."),d_dir!O5*1000)))))))),".")</f>
        <v>.</v>
      </c>
      <c r="P5" s="70" t="str">
        <f>IFERROR(IF(AND(d_Irr!O5&lt;&gt;".",d_Irr!AN5&lt;&gt;".",d_Irr!BM5&lt;&gt;"."),d_dir!P5/((1/1000)*(d_Irr!O5+d_Irr!AN5+d_Irr!BM5)),IF(AND(d_Irr!O5&lt;&gt;".",d_Irr!AN5&lt;&gt;".",d_Irr!BM5="."),d_dir!P5/((1/1000)*(d_Irr!O5+d_Irr!AN5)),IF(AND(d_Irr!O5&lt;&gt;".",d_Irr!AN5=".",d_Irr!BM5&lt;&gt;"."),d_dir!P5/((1/1000)*(d_Irr!O5+d_Irr!BM5)),IF(AND(d_Irr!O5=".",d_Irr!AN5&lt;&gt;".",d_Irr!BM5&lt;&gt;"."),d_dir!P5/((1/1000)*(d_Irr!AN5+d_Irr!BM5)),IF(AND(d_Irr!O5=".",d_Irr!AN5=".",d_Irr!BM5&lt;&gt;"."),d_dir!P5/((1/1000)*(d_Irr!BM5)),IF(AND(d_Irr!O5=".",d_Irr!AN5&lt;&gt;".",d_Irr!BM5="."),d_dir!P5/((1/1000)*(d_Irr!AN5)),IF(AND(d_Irr!O5&lt;&gt;".",d_Irr!AN5=".",d_Irr!BM5="."),d_dir!P5/((1/1000)*(d_Irr!O5)),IF(AND(d_Irr!O5=".",d_Irr!AN5=".",d_Irr!BM5="."),d_dir!P5*1000)))))))),".")</f>
        <v>.</v>
      </c>
      <c r="Q5" s="70" t="str">
        <f>IFERROR(IF(AND(d_Irr!P5&lt;&gt;".",d_Irr!AO5&lt;&gt;".",d_Irr!BN5&lt;&gt;"."),d_dir!Q5/((1/1000)*(d_Irr!P5+d_Irr!AO5+d_Irr!BN5)),IF(AND(d_Irr!P5&lt;&gt;".",d_Irr!AO5&lt;&gt;".",d_Irr!BN5="."),d_dir!Q5/((1/1000)*(d_Irr!P5+d_Irr!AO5)),IF(AND(d_Irr!P5&lt;&gt;".",d_Irr!AO5=".",d_Irr!BN5&lt;&gt;"."),d_dir!Q5/((1/1000)*(d_Irr!P5+d_Irr!BN5)),IF(AND(d_Irr!P5=".",d_Irr!AO5&lt;&gt;".",d_Irr!BN5&lt;&gt;"."),d_dir!Q5/((1/1000)*(d_Irr!AO5+d_Irr!BN5)),IF(AND(d_Irr!P5=".",d_Irr!AO5=".",d_Irr!BN5&lt;&gt;"."),d_dir!Q5/((1/1000)*(d_Irr!BN5)),IF(AND(d_Irr!P5=".",d_Irr!AO5&lt;&gt;".",d_Irr!BN5="."),d_dir!Q5/((1/1000)*(d_Irr!AO5)),IF(AND(d_Irr!P5&lt;&gt;".",d_Irr!AO5=".",d_Irr!BN5="."),d_dir!Q5/((1/1000)*(d_Irr!P5)),IF(AND(d_Irr!P5=".",d_Irr!AO5=".",d_Irr!BN5="."),d_dir!Q5*1000)))))))),".")</f>
        <v>.</v>
      </c>
      <c r="R5" s="70" t="str">
        <f>IFERROR(IF(AND(d_Irr!Q5&lt;&gt;".",d_Irr!AP5&lt;&gt;".",d_Irr!BO5&lt;&gt;"."),d_dir!R5/((1/1000)*(d_Irr!Q5+d_Irr!AP5+d_Irr!BO5)),IF(AND(d_Irr!Q5&lt;&gt;".",d_Irr!AP5&lt;&gt;".",d_Irr!BO5="."),d_dir!R5/((1/1000)*(d_Irr!Q5+d_Irr!AP5)),IF(AND(d_Irr!Q5&lt;&gt;".",d_Irr!AP5=".",d_Irr!BO5&lt;&gt;"."),d_dir!R5/((1/1000)*(d_Irr!Q5+d_Irr!BO5)),IF(AND(d_Irr!Q5=".",d_Irr!AP5&lt;&gt;".",d_Irr!BO5&lt;&gt;"."),d_dir!R5/((1/1000)*(d_Irr!AP5+d_Irr!BO5)),IF(AND(d_Irr!Q5=".",d_Irr!AP5=".",d_Irr!BO5&lt;&gt;"."),d_dir!R5/((1/1000)*(d_Irr!BO5)),IF(AND(d_Irr!Q5=".",d_Irr!AP5&lt;&gt;".",d_Irr!BO5="."),d_dir!R5/((1/1000)*(d_Irr!AP5)),IF(AND(d_Irr!Q5&lt;&gt;".",d_Irr!AP5=".",d_Irr!BO5="."),d_dir!R5/((1/1000)*(d_Irr!Q5)),IF(AND(d_Irr!Q5=".",d_Irr!AP5=".",d_Irr!BO5="."),d_dir!R5*1000)))))))),".")</f>
        <v>.</v>
      </c>
      <c r="S5" s="70" t="str">
        <f>IFERROR(IF(AND(d_Irr!R5&lt;&gt;".",d_Irr!AQ5&lt;&gt;".",d_Irr!BP5&lt;&gt;"."),d_dir!S5/((1/1000)*(d_Irr!R5+d_Irr!AQ5+d_Irr!BP5)),IF(AND(d_Irr!R5&lt;&gt;".",d_Irr!AQ5&lt;&gt;".",d_Irr!BP5="."),d_dir!S5/((1/1000)*(d_Irr!R5+d_Irr!AQ5)),IF(AND(d_Irr!R5&lt;&gt;".",d_Irr!AQ5=".",d_Irr!BP5&lt;&gt;"."),d_dir!S5/((1/1000)*(d_Irr!R5+d_Irr!BP5)),IF(AND(d_Irr!R5=".",d_Irr!AQ5&lt;&gt;".",d_Irr!BP5&lt;&gt;"."),d_dir!S5/((1/1000)*(d_Irr!AQ5+d_Irr!BP5)),IF(AND(d_Irr!R5=".",d_Irr!AQ5=".",d_Irr!BP5&lt;&gt;"."),d_dir!S5/((1/1000)*(d_Irr!BP5)),IF(AND(d_Irr!R5=".",d_Irr!AQ5&lt;&gt;".",d_Irr!BP5="."),d_dir!S5/((1/1000)*(d_Irr!AQ5)),IF(AND(d_Irr!R5&lt;&gt;".",d_Irr!AQ5=".",d_Irr!BP5="."),d_dir!S5/((1/1000)*(d_Irr!R5)),IF(AND(d_Irr!R5=".",d_Irr!AQ5=".",d_Irr!BP5="."),d_dir!S5*1000)))))))),".")</f>
        <v>.</v>
      </c>
      <c r="T5" s="70" t="str">
        <f>IFERROR(IF(AND(d_Irr!S5&lt;&gt;".",d_Irr!AR5&lt;&gt;".",d_Irr!BQ5&lt;&gt;"."),d_dir!T5/((1/1000)*(d_Irr!S5+d_Irr!AR5+d_Irr!BQ5)),IF(AND(d_Irr!S5&lt;&gt;".",d_Irr!AR5&lt;&gt;".",d_Irr!BQ5="."),d_dir!T5/((1/1000)*(d_Irr!S5+d_Irr!AR5)),IF(AND(d_Irr!S5&lt;&gt;".",d_Irr!AR5=".",d_Irr!BQ5&lt;&gt;"."),d_dir!T5/((1/1000)*(d_Irr!S5+d_Irr!BQ5)),IF(AND(d_Irr!S5=".",d_Irr!AR5&lt;&gt;".",d_Irr!BQ5&lt;&gt;"."),d_dir!T5/((1/1000)*(d_Irr!AR5+d_Irr!BQ5)),IF(AND(d_Irr!S5=".",d_Irr!AR5=".",d_Irr!BQ5&lt;&gt;"."),d_dir!T5/((1/1000)*(d_Irr!BQ5)),IF(AND(d_Irr!S5=".",d_Irr!AR5&lt;&gt;".",d_Irr!BQ5="."),d_dir!T5/((1/1000)*(d_Irr!AR5)),IF(AND(d_Irr!S5&lt;&gt;".",d_Irr!AR5=".",d_Irr!BQ5="."),d_dir!T5/((1/1000)*(d_Irr!S5)),IF(AND(d_Irr!S5=".",d_Irr!AR5=".",d_Irr!BQ5="."),d_dir!T5*1000)))))))),".")</f>
        <v>.</v>
      </c>
      <c r="U5" s="70" t="str">
        <f>IFERROR(IF(AND(d_Irr!T5&lt;&gt;".",d_Irr!AS5&lt;&gt;".",d_Irr!BR5&lt;&gt;"."),d_dir!U5/((1/1000)*(d_Irr!T5+d_Irr!AS5+d_Irr!BR5)),IF(AND(d_Irr!T5&lt;&gt;".",d_Irr!AS5&lt;&gt;".",d_Irr!BR5="."),d_dir!U5/((1/1000)*(d_Irr!T5+d_Irr!AS5)),IF(AND(d_Irr!T5&lt;&gt;".",d_Irr!AS5=".",d_Irr!BR5&lt;&gt;"."),d_dir!U5/((1/1000)*(d_Irr!T5+d_Irr!BR5)),IF(AND(d_Irr!T5=".",d_Irr!AS5&lt;&gt;".",d_Irr!BR5&lt;&gt;"."),d_dir!U5/((1/1000)*(d_Irr!AS5+d_Irr!BR5)),IF(AND(d_Irr!T5=".",d_Irr!AS5=".",d_Irr!BR5&lt;&gt;"."),d_dir!U5/((1/1000)*(d_Irr!BR5)),IF(AND(d_Irr!T5=".",d_Irr!AS5&lt;&gt;".",d_Irr!BR5="."),d_dir!U5/((1/1000)*(d_Irr!AS5)),IF(AND(d_Irr!T5&lt;&gt;".",d_Irr!AS5=".",d_Irr!BR5="."),d_dir!U5/((1/1000)*(d_Irr!T5)),IF(AND(d_Irr!T5=".",d_Irr!AS5=".",d_Irr!BR5="."),d_dir!U5*1000)))))))),".")</f>
        <v>.</v>
      </c>
      <c r="V5" s="70" t="str">
        <f>IFERROR(IF(AND(d_Irr!U5&lt;&gt;".",d_Irr!AT5&lt;&gt;".",d_Irr!BS5&lt;&gt;"."),d_dir!V5/((1/1000)*(d_Irr!U5+d_Irr!AT5+d_Irr!BS5)),IF(AND(d_Irr!U5&lt;&gt;".",d_Irr!AT5&lt;&gt;".",d_Irr!BS5="."),d_dir!V5/((1/1000)*(d_Irr!U5+d_Irr!AT5)),IF(AND(d_Irr!U5&lt;&gt;".",d_Irr!AT5=".",d_Irr!BS5&lt;&gt;"."),d_dir!V5/((1/1000)*(d_Irr!U5+d_Irr!BS5)),IF(AND(d_Irr!U5=".",d_Irr!AT5&lt;&gt;".",d_Irr!BS5&lt;&gt;"."),d_dir!V5/((1/1000)*(d_Irr!AT5+d_Irr!BS5)),IF(AND(d_Irr!U5=".",d_Irr!AT5=".",d_Irr!BS5&lt;&gt;"."),d_dir!V5/((1/1000)*(d_Irr!BS5)),IF(AND(d_Irr!U5=".",d_Irr!AT5&lt;&gt;".",d_Irr!BS5="."),d_dir!V5/((1/1000)*(d_Irr!AT5)),IF(AND(d_Irr!U5&lt;&gt;".",d_Irr!AT5=".",d_Irr!BS5="."),d_dir!V5/((1/1000)*(d_Irr!U5)),IF(AND(d_Irr!U5=".",d_Irr!AT5=".",d_Irr!BS5="."),d_dir!V5*1000)))))))),".")</f>
        <v>.</v>
      </c>
      <c r="W5" s="70" t="str">
        <f>IFERROR(IF(AND(d_Irr!V5&lt;&gt;".",d_Irr!AU5&lt;&gt;".",d_Irr!BT5&lt;&gt;"."),d_dir!W5/((1/1000)*(d_Irr!V5+d_Irr!AU5+d_Irr!BT5)),IF(AND(d_Irr!V5&lt;&gt;".",d_Irr!AU5&lt;&gt;".",d_Irr!BT5="."),d_dir!W5/((1/1000)*(d_Irr!V5+d_Irr!AU5)),IF(AND(d_Irr!V5&lt;&gt;".",d_Irr!AU5=".",d_Irr!BT5&lt;&gt;"."),d_dir!W5/((1/1000)*(d_Irr!V5+d_Irr!BT5)),IF(AND(d_Irr!V5=".",d_Irr!AU5&lt;&gt;".",d_Irr!BT5&lt;&gt;"."),d_dir!W5/((1/1000)*(d_Irr!AU5+d_Irr!BT5)),IF(AND(d_Irr!V5=".",d_Irr!AU5=".",d_Irr!BT5&lt;&gt;"."),d_dir!W5/((1/1000)*(d_Irr!BT5)),IF(AND(d_Irr!V5=".",d_Irr!AU5&lt;&gt;".",d_Irr!BT5="."),d_dir!W5/((1/1000)*(d_Irr!AU5)),IF(AND(d_Irr!V5&lt;&gt;".",d_Irr!AU5=".",d_Irr!BT5="."),d_dir!W5/((1/1000)*(d_Irr!V5)),IF(AND(d_Irr!V5=".",d_Irr!AU5=".",d_Irr!BT5="."),d_dir!W5*1000)))))))),".")</f>
        <v>.</v>
      </c>
      <c r="X5" s="70" t="str">
        <f>IFERROR(IF(AND(d_Irr!W5&lt;&gt;".",d_Irr!AV5&lt;&gt;".",d_Irr!BU5&lt;&gt;"."),d_dir!X5/((1/1000)*(d_Irr!W5+d_Irr!AV5+d_Irr!BU5)),IF(AND(d_Irr!W5&lt;&gt;".",d_Irr!AV5&lt;&gt;".",d_Irr!BU5="."),d_dir!X5/((1/1000)*(d_Irr!W5+d_Irr!AV5)),IF(AND(d_Irr!W5&lt;&gt;".",d_Irr!AV5=".",d_Irr!BU5&lt;&gt;"."),d_dir!X5/((1/1000)*(d_Irr!W5+d_Irr!BU5)),IF(AND(d_Irr!W5=".",d_Irr!AV5&lt;&gt;".",d_Irr!BU5&lt;&gt;"."),d_dir!X5/((1/1000)*(d_Irr!AV5+d_Irr!BU5)),IF(AND(d_Irr!W5=".",d_Irr!AV5=".",d_Irr!BU5&lt;&gt;"."),d_dir!X5/((1/1000)*(d_Irr!BU5)),IF(AND(d_Irr!W5=".",d_Irr!AV5&lt;&gt;".",d_Irr!BU5="."),d_dir!X5/((1/1000)*(d_Irr!AV5)),IF(AND(d_Irr!W5&lt;&gt;".",d_Irr!AV5=".",d_Irr!BU5="."),d_dir!X5/((1/1000)*(d_Irr!W5)),IF(AND(d_Irr!W5=".",d_Irr!AV5=".",d_Irr!BU5="."),d_dir!X5*1000)))))))),".")</f>
        <v>.</v>
      </c>
      <c r="Y5" s="70" t="str">
        <f>IFERROR(IF(AND(d_Irr!X5&lt;&gt;".",d_Irr!AW5&lt;&gt;".",d_Irr!BV5&lt;&gt;"."),d_dir!Y5/((1/1000)*(d_Irr!X5+d_Irr!AW5+d_Irr!BV5)),IF(AND(d_Irr!X5&lt;&gt;".",d_Irr!AW5&lt;&gt;".",d_Irr!BV5="."),d_dir!Y5/((1/1000)*(d_Irr!X5+d_Irr!AW5)),IF(AND(d_Irr!X5&lt;&gt;".",d_Irr!AW5=".",d_Irr!BV5&lt;&gt;"."),d_dir!Y5/((1/1000)*(d_Irr!X5+d_Irr!BV5)),IF(AND(d_Irr!X5=".",d_Irr!AW5&lt;&gt;".",d_Irr!BV5&lt;&gt;"."),d_dir!Y5/((1/1000)*(d_Irr!AW5+d_Irr!BV5)),IF(AND(d_Irr!X5=".",d_Irr!AW5=".",d_Irr!BV5&lt;&gt;"."),d_dir!Y5/((1/1000)*(d_Irr!BV5)),IF(AND(d_Irr!X5=".",d_Irr!AW5&lt;&gt;".",d_Irr!BV5="."),d_dir!Y5/((1/1000)*(d_Irr!AW5)),IF(AND(d_Irr!X5&lt;&gt;".",d_Irr!AW5=".",d_Irr!BV5="."),d_dir!Y5/((1/1000)*(d_Irr!X5)),IF(AND(d_Irr!X5=".",d_Irr!AW5=".",d_Irr!BV5="."),d_dir!Y5*1000)))))))),".")</f>
        <v>.</v>
      </c>
      <c r="Z5" s="70" t="str">
        <f>IFERROR(IF(AND(d_Irr!Y5&lt;&gt;".",d_Irr!AX5&lt;&gt;".",d_Irr!BW5&lt;&gt;"."),d_dir!Z5/((1/1000)*(d_Irr!Y5+d_Irr!AX5+d_Irr!BW5)),IF(AND(d_Irr!Y5&lt;&gt;".",d_Irr!AX5&lt;&gt;".",d_Irr!BW5="."),d_dir!Z5/((1/1000)*(d_Irr!Y5+d_Irr!AX5)),IF(AND(d_Irr!Y5&lt;&gt;".",d_Irr!AX5=".",d_Irr!BW5&lt;&gt;"."),d_dir!Z5/((1/1000)*(d_Irr!Y5+d_Irr!BW5)),IF(AND(d_Irr!Y5=".",d_Irr!AX5&lt;&gt;".",d_Irr!BW5&lt;&gt;"."),d_dir!Z5/((1/1000)*(d_Irr!AX5+d_Irr!BW5)),IF(AND(d_Irr!Y5=".",d_Irr!AX5=".",d_Irr!BW5&lt;&gt;"."),d_dir!Z5/((1/1000)*(d_Irr!BW5)),IF(AND(d_Irr!Y5=".",d_Irr!AX5&lt;&gt;".",d_Irr!BW5="."),d_dir!Z5/((1/1000)*(d_Irr!AX5)),IF(AND(d_Irr!Y5&lt;&gt;".",d_Irr!AX5=".",d_Irr!BW5="."),d_dir!Z5/((1/1000)*(d_Irr!Y5)),IF(AND(d_Irr!Y5=".",d_Irr!AX5=".",d_Irr!BW5="."),d_dir!Z5*1000)))))))),".")</f>
        <v>.</v>
      </c>
      <c r="AA5" s="70" t="str">
        <f>IFERROR(IF(AND(d_Irr!Z5&lt;&gt;".",d_Irr!AY5&lt;&gt;".",d_Irr!BX5&lt;&gt;"."),d_dir!AA5/((1/1000)*(d_Irr!Z5+d_Irr!AY5+d_Irr!BX5)),IF(AND(d_Irr!Z5&lt;&gt;".",d_Irr!AY5&lt;&gt;".",d_Irr!BX5="."),d_dir!AA5/((1/1000)*(d_Irr!Z5+d_Irr!AY5)),IF(AND(d_Irr!Z5&lt;&gt;".",d_Irr!AY5=".",d_Irr!BX5&lt;&gt;"."),d_dir!AA5/((1/1000)*(d_Irr!Z5+d_Irr!BX5)),IF(AND(d_Irr!Z5=".",d_Irr!AY5&lt;&gt;".",d_Irr!BX5&lt;&gt;"."),d_dir!AA5/((1/1000)*(d_Irr!AY5+d_Irr!BX5)),IF(AND(d_Irr!Z5=".",d_Irr!AY5=".",d_Irr!BX5&lt;&gt;"."),d_dir!AA5/((1/1000)*(d_Irr!BX5)),IF(AND(d_Irr!Z5=".",d_Irr!AY5&lt;&gt;".",d_Irr!BX5="."),d_dir!AA5/((1/1000)*(d_Irr!AY5)),IF(AND(d_Irr!Z5&lt;&gt;".",d_Irr!AY5=".",d_Irr!BX5="."),d_dir!AA5/((1/1000)*(d_Irr!Z5)),IF(AND(d_Irr!Z5=".",d_Irr!AY5=".",d_Irr!BX5="."),d_dir!AA5*1000)))))))),".")</f>
        <v>.</v>
      </c>
      <c r="AB5" s="70" t="str">
        <f>IFERROR(IF(AND(d_Irr!AA5&lt;&gt;".",d_Irr!AZ5&lt;&gt;".",d_Irr!BY5&lt;&gt;"."),d_dir!AB5/((1/1000)*(d_Irr!AA5+d_Irr!AZ5+d_Irr!BY5)),IF(AND(d_Irr!AA5&lt;&gt;".",d_Irr!AZ5&lt;&gt;".",d_Irr!BY5="."),d_dir!AB5/((1/1000)*(d_Irr!AA5+d_Irr!AZ5)),IF(AND(d_Irr!AA5&lt;&gt;".",d_Irr!AZ5=".",d_Irr!BY5&lt;&gt;"."),d_dir!AB5/((1/1000)*(d_Irr!AA5+d_Irr!BY5)),IF(AND(d_Irr!AA5=".",d_Irr!AZ5&lt;&gt;".",d_Irr!BY5&lt;&gt;"."),d_dir!AB5/((1/1000)*(d_Irr!AZ5+d_Irr!BY5)),IF(AND(d_Irr!AA5=".",d_Irr!AZ5=".",d_Irr!BY5&lt;&gt;"."),d_dir!AB5/((1/1000)*(d_Irr!BY5)),IF(AND(d_Irr!AA5=".",d_Irr!AZ5&lt;&gt;".",d_Irr!BY5="."),d_dir!AB5/((1/1000)*(d_Irr!AZ5)),IF(AND(d_Irr!AA5&lt;&gt;".",d_Irr!AZ5=".",d_Irr!BY5="."),d_dir!AB5/((1/1000)*(d_Irr!AA5)),IF(AND(d_Irr!AA5=".",d_Irr!AZ5=".",d_Irr!BY5="."),d_dir!AB5*1000)))))))),".")</f>
        <v>.</v>
      </c>
      <c r="AC5" s="70" t="str">
        <f t="shared" si="0"/>
        <v>.</v>
      </c>
      <c r="AD5" s="70" t="str">
        <f>IFERROR(IF(AND(d_Irr!C5&lt;&gt;".",d_Irr!AB5&lt;&gt;".",d_Irr!BA5&lt;&gt;"."),d_dir!AD5/((1/1000)*(d_Irr!C5+d_Irr!AB5+d_Irr!BA5)),IF(AND(d_Irr!C5&lt;&gt;".",d_Irr!AB5&lt;&gt;".",d_Irr!BA5="."),d_dir!AD5/((1/1000)*(d_Irr!C5+d_Irr!AB5)),IF(AND(d_Irr!C5&lt;&gt;".",d_Irr!AB5=".",d_Irr!BA5&lt;&gt;"."),d_dir!AD5/((1/1000)*(d_Irr!C5+d_Irr!BA5)),IF(AND(d_Irr!C5=".",d_Irr!AB5&lt;&gt;".",d_Irr!BA5&lt;&gt;"."),d_dir!AD5/((1/1000)*(d_Irr!AB5+d_Irr!BA5)),IF(AND(d_Irr!C5=".",d_Irr!AB5=".",d_Irr!BA5&lt;&gt;"."),d_dir!AD5/((1/1000)*(d_Irr!BA5)),IF(AND(d_Irr!C5=".",d_Irr!AB5&lt;&gt;".",d_Irr!BA5="."),d_dir!AD5/((1/1000)*(d_Irr!AB5)),IF(AND(d_Irr!C5&lt;&gt;".",d_Irr!AB5=".",d_Irr!BA5="."),d_dir!AD5/((1/1000)*(d_Irr!C5)),IF(AND(d_Irr!C5=".",d_Irr!AB5=".",d_Irr!BA5="."),d_dir!AD5*1000)))))))),".")</f>
        <v>.</v>
      </c>
      <c r="AE5" s="70" t="str">
        <f>IFERROR(IF(AND(d_Irr!D5&lt;&gt;".",d_Irr!AC5&lt;&gt;".",d_Irr!BB5&lt;&gt;"."),d_dir!AE5/((1/1000)*(d_Irr!D5+d_Irr!AC5+d_Irr!BB5)),IF(AND(d_Irr!D5&lt;&gt;".",d_Irr!AC5&lt;&gt;".",d_Irr!BB5="."),d_dir!AE5/((1/1000)*(d_Irr!D5+d_Irr!AC5)),IF(AND(d_Irr!D5&lt;&gt;".",d_Irr!AC5=".",d_Irr!BB5&lt;&gt;"."),d_dir!AE5/((1/1000)*(d_Irr!D5+d_Irr!BB5)),IF(AND(d_Irr!D5=".",d_Irr!AC5&lt;&gt;".",d_Irr!BB5&lt;&gt;"."),d_dir!AE5/((1/1000)*(d_Irr!AC5+d_Irr!BB5)),IF(AND(d_Irr!D5=".",d_Irr!AC5=".",d_Irr!BB5&lt;&gt;"."),d_dir!AE5/((1/1000)*(d_Irr!BB5)),IF(AND(d_Irr!D5=".",d_Irr!AC5&lt;&gt;".",d_Irr!BB5="."),d_dir!AE5/((1/1000)*(d_Irr!AC5)),IF(AND(d_Irr!D5&lt;&gt;".",d_Irr!AC5=".",d_Irr!BB5="."),d_dir!AE5/((1/1000)*(d_Irr!D5)),IF(AND(d_Irr!D5=".",d_Irr!AC5=".",d_Irr!BB5="."),d_dir!AE5*1000)))))))),".")</f>
        <v>.</v>
      </c>
      <c r="AF5" s="70" t="str">
        <f>IFERROR(IF(AND(d_Irr!E5&lt;&gt;".",d_Irr!AD5&lt;&gt;".",d_Irr!BC5&lt;&gt;"."),d_dir!AF5/((1/1000)*(d_Irr!E5+d_Irr!AD5+d_Irr!BC5)),IF(AND(d_Irr!E5&lt;&gt;".",d_Irr!AD5&lt;&gt;".",d_Irr!BC5="."),d_dir!AF5/((1/1000)*(d_Irr!E5+d_Irr!AD5)),IF(AND(d_Irr!E5&lt;&gt;".",d_Irr!AD5=".",d_Irr!BC5&lt;&gt;"."),d_dir!AF5/((1/1000)*(d_Irr!E5+d_Irr!BC5)),IF(AND(d_Irr!E5=".",d_Irr!AD5&lt;&gt;".",d_Irr!BC5&lt;&gt;"."),d_dir!AF5/((1/1000)*(d_Irr!AD5+d_Irr!BC5)),IF(AND(d_Irr!E5=".",d_Irr!AD5=".",d_Irr!BC5&lt;&gt;"."),d_dir!AF5/((1/1000)*(d_Irr!BC5)),IF(AND(d_Irr!E5=".",d_Irr!AD5&lt;&gt;".",d_Irr!BC5="."),d_dir!AF5/((1/1000)*(d_Irr!AD5)),IF(AND(d_Irr!E5&lt;&gt;".",d_Irr!AD5=".",d_Irr!BC5="."),d_dir!AF5/((1/1000)*(d_Irr!E5)),IF(AND(d_Irr!E5=".",d_Irr!AD5=".",d_Irr!BC5="."),d_dir!AF5*1000)))))))),".")</f>
        <v>.</v>
      </c>
      <c r="AG5" s="70" t="str">
        <f>IFERROR(IF(AND(d_Irr!F5&lt;&gt;".",d_Irr!AE5&lt;&gt;".",d_Irr!BD5&lt;&gt;"."),d_dir!AG5/((1/1000)*(d_Irr!F5+d_Irr!AE5+d_Irr!BD5)),IF(AND(d_Irr!F5&lt;&gt;".",d_Irr!AE5&lt;&gt;".",d_Irr!BD5="."),d_dir!AG5/((1/1000)*(d_Irr!F5+d_Irr!AE5)),IF(AND(d_Irr!F5&lt;&gt;".",d_Irr!AE5=".",d_Irr!BD5&lt;&gt;"."),d_dir!AG5/((1/1000)*(d_Irr!F5+d_Irr!BD5)),IF(AND(d_Irr!F5=".",d_Irr!AE5&lt;&gt;".",d_Irr!BD5&lt;&gt;"."),d_dir!AG5/((1/1000)*(d_Irr!AE5+d_Irr!BD5)),IF(AND(d_Irr!F5=".",d_Irr!AE5=".",d_Irr!BD5&lt;&gt;"."),d_dir!AG5/((1/1000)*(d_Irr!BD5)),IF(AND(d_Irr!F5=".",d_Irr!AE5&lt;&gt;".",d_Irr!BD5="."),d_dir!AG5/((1/1000)*(d_Irr!AE5)),IF(AND(d_Irr!F5&lt;&gt;".",d_Irr!AE5=".",d_Irr!BD5="."),d_dir!AG5/((1/1000)*(d_Irr!F5)),IF(AND(d_Irr!F5=".",d_Irr!AE5=".",d_Irr!BD5="."),d_dir!AG5*1000)))))))),".")</f>
        <v>.</v>
      </c>
      <c r="AH5" s="70" t="str">
        <f>IFERROR(IF(AND(d_Irr!G5&lt;&gt;".",d_Irr!AF5&lt;&gt;".",d_Irr!BE5&lt;&gt;"."),d_dir!AH5/((1/1000)*(d_Irr!G5+d_Irr!AF5+d_Irr!BE5)),IF(AND(d_Irr!G5&lt;&gt;".",d_Irr!AF5&lt;&gt;".",d_Irr!BE5="."),d_dir!AH5/((1/1000)*(d_Irr!G5+d_Irr!AF5)),IF(AND(d_Irr!G5&lt;&gt;".",d_Irr!AF5=".",d_Irr!BE5&lt;&gt;"."),d_dir!AH5/((1/1000)*(d_Irr!G5+d_Irr!BE5)),IF(AND(d_Irr!G5=".",d_Irr!AF5&lt;&gt;".",d_Irr!BE5&lt;&gt;"."),d_dir!AH5/((1/1000)*(d_Irr!AF5+d_Irr!BE5)),IF(AND(d_Irr!G5=".",d_Irr!AF5=".",d_Irr!BE5&lt;&gt;"."),d_dir!AH5/((1/1000)*(d_Irr!BE5)),IF(AND(d_Irr!G5=".",d_Irr!AF5&lt;&gt;".",d_Irr!BE5="."),d_dir!AH5/((1/1000)*(d_Irr!AF5)),IF(AND(d_Irr!G5&lt;&gt;".",d_Irr!AF5=".",d_Irr!BE5="."),d_dir!AH5/((1/1000)*(d_Irr!G5)),IF(AND(d_Irr!G5=".",d_Irr!AF5=".",d_Irr!BE5="."),d_dir!AH5*1000)))))))),".")</f>
        <v>.</v>
      </c>
      <c r="AI5" s="70" t="str">
        <f>IFERROR(IF(AND(d_Irr!H5&lt;&gt;".",d_Irr!AG5&lt;&gt;".",d_Irr!BF5&lt;&gt;"."),d_dir!AI5/((1/1000)*(d_Irr!H5+d_Irr!AG5+d_Irr!BF5)),IF(AND(d_Irr!H5&lt;&gt;".",d_Irr!AG5&lt;&gt;".",d_Irr!BF5="."),d_dir!AI5/((1/1000)*(d_Irr!H5+d_Irr!AG5)),IF(AND(d_Irr!H5&lt;&gt;".",d_Irr!AG5=".",d_Irr!BF5&lt;&gt;"."),d_dir!AI5/((1/1000)*(d_Irr!H5+d_Irr!BF5)),IF(AND(d_Irr!H5=".",d_Irr!AG5&lt;&gt;".",d_Irr!BF5&lt;&gt;"."),d_dir!AI5/((1/1000)*(d_Irr!AG5+d_Irr!BF5)),IF(AND(d_Irr!H5=".",d_Irr!AG5=".",d_Irr!BF5&lt;&gt;"."),d_dir!AI5/((1/1000)*(d_Irr!BF5)),IF(AND(d_Irr!H5=".",d_Irr!AG5&lt;&gt;".",d_Irr!BF5="."),d_dir!AI5/((1/1000)*(d_Irr!AG5)),IF(AND(d_Irr!H5&lt;&gt;".",d_Irr!AG5=".",d_Irr!BF5="."),d_dir!AI5/((1/1000)*(d_Irr!H5)),IF(AND(d_Irr!H5=".",d_Irr!AG5=".",d_Irr!BF5="."),d_dir!AI5*1000)))))))),".")</f>
        <v>.</v>
      </c>
      <c r="AJ5" s="70" t="str">
        <f>IFERROR(IF(AND(d_Irr!I5&lt;&gt;".",d_Irr!AH5&lt;&gt;".",d_Irr!BG5&lt;&gt;"."),d_dir!AJ5/((1/1000)*(d_Irr!I5+d_Irr!AH5+d_Irr!BG5)),IF(AND(d_Irr!I5&lt;&gt;".",d_Irr!AH5&lt;&gt;".",d_Irr!BG5="."),d_dir!AJ5/((1/1000)*(d_Irr!I5+d_Irr!AH5)),IF(AND(d_Irr!I5&lt;&gt;".",d_Irr!AH5=".",d_Irr!BG5&lt;&gt;"."),d_dir!AJ5/((1/1000)*(d_Irr!I5+d_Irr!BG5)),IF(AND(d_Irr!I5=".",d_Irr!AH5&lt;&gt;".",d_Irr!BG5&lt;&gt;"."),d_dir!AJ5/((1/1000)*(d_Irr!AH5+d_Irr!BG5)),IF(AND(d_Irr!I5=".",d_Irr!AH5=".",d_Irr!BG5&lt;&gt;"."),d_dir!AJ5/((1/1000)*(d_Irr!BG5)),IF(AND(d_Irr!I5=".",d_Irr!AH5&lt;&gt;".",d_Irr!BG5="."),d_dir!AJ5/((1/1000)*(d_Irr!AH5)),IF(AND(d_Irr!I5&lt;&gt;".",d_Irr!AH5=".",d_Irr!BG5="."),d_dir!AJ5/((1/1000)*(d_Irr!I5)),IF(AND(d_Irr!I5=".",d_Irr!AH5=".",d_Irr!BG5="."),d_dir!AJ5*1000)))))))),".")</f>
        <v>.</v>
      </c>
      <c r="AK5" s="70" t="str">
        <f>IFERROR(IF(AND(d_Irr!J5&lt;&gt;".",d_Irr!AI5&lt;&gt;".",d_Irr!BH5&lt;&gt;"."),d_dir!AK5/((1/1000)*(d_Irr!J5+d_Irr!AI5+d_Irr!BH5)),IF(AND(d_Irr!J5&lt;&gt;".",d_Irr!AI5&lt;&gt;".",d_Irr!BH5="."),d_dir!AK5/((1/1000)*(d_Irr!J5+d_Irr!AI5)),IF(AND(d_Irr!J5&lt;&gt;".",d_Irr!AI5=".",d_Irr!BH5&lt;&gt;"."),d_dir!AK5/((1/1000)*(d_Irr!J5+d_Irr!BH5)),IF(AND(d_Irr!J5=".",d_Irr!AI5&lt;&gt;".",d_Irr!BH5&lt;&gt;"."),d_dir!AK5/((1/1000)*(d_Irr!AI5+d_Irr!BH5)),IF(AND(d_Irr!J5=".",d_Irr!AI5=".",d_Irr!BH5&lt;&gt;"."),d_dir!AK5/((1/1000)*(d_Irr!BH5)),IF(AND(d_Irr!J5=".",d_Irr!AI5&lt;&gt;".",d_Irr!BH5="."),d_dir!AK5/((1/1000)*(d_Irr!AI5)),IF(AND(d_Irr!J5&lt;&gt;".",d_Irr!AI5=".",d_Irr!BH5="."),d_dir!AK5/((1/1000)*(d_Irr!J5)),IF(AND(d_Irr!J5=".",d_Irr!AI5=".",d_Irr!BH5="."),d_dir!AK5*1000)))))))),".")</f>
        <v>.</v>
      </c>
      <c r="AL5" s="70" t="str">
        <f>IFERROR(IF(AND(d_Irr!K5&lt;&gt;".",d_Irr!AJ5&lt;&gt;".",d_Irr!BI5&lt;&gt;"."),d_dir!AL5/((1/1000)*(d_Irr!K5+d_Irr!AJ5+d_Irr!BI5)),IF(AND(d_Irr!K5&lt;&gt;".",d_Irr!AJ5&lt;&gt;".",d_Irr!BI5="."),d_dir!AL5/((1/1000)*(d_Irr!K5+d_Irr!AJ5)),IF(AND(d_Irr!K5&lt;&gt;".",d_Irr!AJ5=".",d_Irr!BI5&lt;&gt;"."),d_dir!AL5/((1/1000)*(d_Irr!K5+d_Irr!BI5)),IF(AND(d_Irr!K5=".",d_Irr!AJ5&lt;&gt;".",d_Irr!BI5&lt;&gt;"."),d_dir!AL5/((1/1000)*(d_Irr!AJ5+d_Irr!BI5)),IF(AND(d_Irr!K5=".",d_Irr!AJ5=".",d_Irr!BI5&lt;&gt;"."),d_dir!AL5/((1/1000)*(d_Irr!BI5)),IF(AND(d_Irr!K5=".",d_Irr!AJ5&lt;&gt;".",d_Irr!BI5="."),d_dir!AL5/((1/1000)*(d_Irr!AJ5)),IF(AND(d_Irr!K5&lt;&gt;".",d_Irr!AJ5=".",d_Irr!BI5="."),d_dir!AL5/((1/1000)*(d_Irr!K5)),IF(AND(d_Irr!K5=".",d_Irr!AJ5=".",d_Irr!BI5="."),d_dir!AL5*1000)))))))),".")</f>
        <v>.</v>
      </c>
      <c r="AM5" s="70" t="str">
        <f>IFERROR(IF(AND(d_Irr!L5&lt;&gt;".",d_Irr!AK5&lt;&gt;".",d_Irr!BJ5&lt;&gt;"."),d_dir!AM5/((1/1000)*(d_Irr!L5+d_Irr!AK5+d_Irr!BJ5)),IF(AND(d_Irr!L5&lt;&gt;".",d_Irr!AK5&lt;&gt;".",d_Irr!BJ5="."),d_dir!AM5/((1/1000)*(d_Irr!L5+d_Irr!AK5)),IF(AND(d_Irr!L5&lt;&gt;".",d_Irr!AK5=".",d_Irr!BJ5&lt;&gt;"."),d_dir!AM5/((1/1000)*(d_Irr!L5+d_Irr!BJ5)),IF(AND(d_Irr!L5=".",d_Irr!AK5&lt;&gt;".",d_Irr!BJ5&lt;&gt;"."),d_dir!AM5/((1/1000)*(d_Irr!AK5+d_Irr!BJ5)),IF(AND(d_Irr!L5=".",d_Irr!AK5=".",d_Irr!BJ5&lt;&gt;"."),d_dir!AM5/((1/1000)*(d_Irr!BJ5)),IF(AND(d_Irr!L5=".",d_Irr!AK5&lt;&gt;".",d_Irr!BJ5="."),d_dir!AM5/((1/1000)*(d_Irr!AK5)),IF(AND(d_Irr!L5&lt;&gt;".",d_Irr!AK5=".",d_Irr!BJ5="."),d_dir!AM5/((1/1000)*(d_Irr!L5)),IF(AND(d_Irr!L5=".",d_Irr!AK5=".",d_Irr!BJ5="."),d_dir!AM5*1000)))))))),".")</f>
        <v>.</v>
      </c>
      <c r="AN5" s="70" t="str">
        <f>IFERROR(IF(AND(d_Irr!M5&lt;&gt;".",d_Irr!AL5&lt;&gt;".",d_Irr!BK5&lt;&gt;"."),d_dir!AN5/((1/1000)*(d_Irr!M5+d_Irr!AL5+d_Irr!BK5)),IF(AND(d_Irr!M5&lt;&gt;".",d_Irr!AL5&lt;&gt;".",d_Irr!BK5="."),d_dir!AN5/((1/1000)*(d_Irr!M5+d_Irr!AL5)),IF(AND(d_Irr!M5&lt;&gt;".",d_Irr!AL5=".",d_Irr!BK5&lt;&gt;"."),d_dir!AN5/((1/1000)*(d_Irr!M5+d_Irr!BK5)),IF(AND(d_Irr!M5=".",d_Irr!AL5&lt;&gt;".",d_Irr!BK5&lt;&gt;"."),d_dir!AN5/((1/1000)*(d_Irr!AL5+d_Irr!BK5)),IF(AND(d_Irr!M5=".",d_Irr!AL5=".",d_Irr!BK5&lt;&gt;"."),d_dir!AN5/((1/1000)*(d_Irr!BK5)),IF(AND(d_Irr!M5=".",d_Irr!AL5&lt;&gt;".",d_Irr!BK5="."),d_dir!AN5/((1/1000)*(d_Irr!AL5)),IF(AND(d_Irr!M5&lt;&gt;".",d_Irr!AL5=".",d_Irr!BK5="."),d_dir!AN5/((1/1000)*(d_Irr!M5)),IF(AND(d_Irr!M5=".",d_Irr!AL5=".",d_Irr!BK5="."),d_dir!AN5*1000)))))))),".")</f>
        <v>.</v>
      </c>
      <c r="AO5" s="70" t="str">
        <f>IFERROR(IF(AND(d_Irr!N5&lt;&gt;".",d_Irr!AM5&lt;&gt;".",d_Irr!BL5&lt;&gt;"."),d_dir!AO5/((1/1000)*(d_Irr!N5+d_Irr!AM5+d_Irr!BL5)),IF(AND(d_Irr!N5&lt;&gt;".",d_Irr!AM5&lt;&gt;".",d_Irr!BL5="."),d_dir!AO5/((1/1000)*(d_Irr!N5+d_Irr!AM5)),IF(AND(d_Irr!N5&lt;&gt;".",d_Irr!AM5=".",d_Irr!BL5&lt;&gt;"."),d_dir!AO5/((1/1000)*(d_Irr!N5+d_Irr!BL5)),IF(AND(d_Irr!N5=".",d_Irr!AM5&lt;&gt;".",d_Irr!BL5&lt;&gt;"."),d_dir!AO5/((1/1000)*(d_Irr!AM5+d_Irr!BL5)),IF(AND(d_Irr!N5=".",d_Irr!AM5=".",d_Irr!BL5&lt;&gt;"."),d_dir!AO5/((1/1000)*(d_Irr!BL5)),IF(AND(d_Irr!N5=".",d_Irr!AM5&lt;&gt;".",d_Irr!BL5="."),d_dir!AO5/((1/1000)*(d_Irr!AM5)),IF(AND(d_Irr!N5&lt;&gt;".",d_Irr!AM5=".",d_Irr!BL5="."),d_dir!AO5/((1/1000)*(d_Irr!N5)),IF(AND(d_Irr!N5=".",d_Irr!AM5=".",d_Irr!BL5="."),d_dir!AO5*1000)))))))),".")</f>
        <v>.</v>
      </c>
      <c r="AP5" s="70" t="str">
        <f>IFERROR(IF(AND(d_Irr!O5&lt;&gt;".",d_Irr!AN5&lt;&gt;".",d_Irr!BM5&lt;&gt;"."),d_dir!AP5/((1/1000)*(d_Irr!O5+d_Irr!AN5+d_Irr!BM5)),IF(AND(d_Irr!O5&lt;&gt;".",d_Irr!AN5&lt;&gt;".",d_Irr!BM5="."),d_dir!AP5/((1/1000)*(d_Irr!O5+d_Irr!AN5)),IF(AND(d_Irr!O5&lt;&gt;".",d_Irr!AN5=".",d_Irr!BM5&lt;&gt;"."),d_dir!AP5/((1/1000)*(d_Irr!O5+d_Irr!BM5)),IF(AND(d_Irr!O5=".",d_Irr!AN5&lt;&gt;".",d_Irr!BM5&lt;&gt;"."),d_dir!AP5/((1/1000)*(d_Irr!AN5+d_Irr!BM5)),IF(AND(d_Irr!O5=".",d_Irr!AN5=".",d_Irr!BM5&lt;&gt;"."),d_dir!AP5/((1/1000)*(d_Irr!BM5)),IF(AND(d_Irr!O5=".",d_Irr!AN5&lt;&gt;".",d_Irr!BM5="."),d_dir!AP5/((1/1000)*(d_Irr!AN5)),IF(AND(d_Irr!O5&lt;&gt;".",d_Irr!AN5=".",d_Irr!BM5="."),d_dir!AP5/((1/1000)*(d_Irr!O5)),IF(AND(d_Irr!O5=".",d_Irr!AN5=".",d_Irr!BM5="."),d_dir!AP5*1000)))))))),".")</f>
        <v>.</v>
      </c>
      <c r="AQ5" s="70" t="str">
        <f>IFERROR(IF(AND(d_Irr!P5&lt;&gt;".",d_Irr!AO5&lt;&gt;".",d_Irr!BN5&lt;&gt;"."),d_dir!AQ5/((1/1000)*(d_Irr!P5+d_Irr!AO5+d_Irr!BN5)),IF(AND(d_Irr!P5&lt;&gt;".",d_Irr!AO5&lt;&gt;".",d_Irr!BN5="."),d_dir!AQ5/((1/1000)*(d_Irr!P5+d_Irr!AO5)),IF(AND(d_Irr!P5&lt;&gt;".",d_Irr!AO5=".",d_Irr!BN5&lt;&gt;"."),d_dir!AQ5/((1/1000)*(d_Irr!P5+d_Irr!BN5)),IF(AND(d_Irr!P5=".",d_Irr!AO5&lt;&gt;".",d_Irr!BN5&lt;&gt;"."),d_dir!AQ5/((1/1000)*(d_Irr!AO5+d_Irr!BN5)),IF(AND(d_Irr!P5=".",d_Irr!AO5=".",d_Irr!BN5&lt;&gt;"."),d_dir!AQ5/((1/1000)*(d_Irr!BN5)),IF(AND(d_Irr!P5=".",d_Irr!AO5&lt;&gt;".",d_Irr!BN5="."),d_dir!AQ5/((1/1000)*(d_Irr!AO5)),IF(AND(d_Irr!P5&lt;&gt;".",d_Irr!AO5=".",d_Irr!BN5="."),d_dir!AQ5/((1/1000)*(d_Irr!P5)),IF(AND(d_Irr!P5=".",d_Irr!AO5=".",d_Irr!BN5="."),d_dir!AQ5*1000)))))))),".")</f>
        <v>.</v>
      </c>
      <c r="AR5" s="70" t="str">
        <f>IFERROR(IF(AND(d_Irr!Q5&lt;&gt;".",d_Irr!AP5&lt;&gt;".",d_Irr!BO5&lt;&gt;"."),d_dir!AR5/((1/1000)*(d_Irr!Q5+d_Irr!AP5+d_Irr!BO5)),IF(AND(d_Irr!Q5&lt;&gt;".",d_Irr!AP5&lt;&gt;".",d_Irr!BO5="."),d_dir!AR5/((1/1000)*(d_Irr!Q5+d_Irr!AP5)),IF(AND(d_Irr!Q5&lt;&gt;".",d_Irr!AP5=".",d_Irr!BO5&lt;&gt;"."),d_dir!AR5/((1/1000)*(d_Irr!Q5+d_Irr!BO5)),IF(AND(d_Irr!Q5=".",d_Irr!AP5&lt;&gt;".",d_Irr!BO5&lt;&gt;"."),d_dir!AR5/((1/1000)*(d_Irr!AP5+d_Irr!BO5)),IF(AND(d_Irr!Q5=".",d_Irr!AP5=".",d_Irr!BO5&lt;&gt;"."),d_dir!AR5/((1/1000)*(d_Irr!BO5)),IF(AND(d_Irr!Q5=".",d_Irr!AP5&lt;&gt;".",d_Irr!BO5="."),d_dir!AR5/((1/1000)*(d_Irr!AP5)),IF(AND(d_Irr!Q5&lt;&gt;".",d_Irr!AP5=".",d_Irr!BO5="."),d_dir!AR5/((1/1000)*(d_Irr!Q5)),IF(AND(d_Irr!Q5=".",d_Irr!AP5=".",d_Irr!BO5="."),d_dir!AR5*1000)))))))),".")</f>
        <v>.</v>
      </c>
      <c r="AS5" s="70" t="str">
        <f>IFERROR(IF(AND(d_Irr!R5&lt;&gt;".",d_Irr!AQ5&lt;&gt;".",d_Irr!BP5&lt;&gt;"."),d_dir!AS5/((1/1000)*(d_Irr!R5+d_Irr!AQ5+d_Irr!BP5)),IF(AND(d_Irr!R5&lt;&gt;".",d_Irr!AQ5&lt;&gt;".",d_Irr!BP5="."),d_dir!AS5/((1/1000)*(d_Irr!R5+d_Irr!AQ5)),IF(AND(d_Irr!R5&lt;&gt;".",d_Irr!AQ5=".",d_Irr!BP5&lt;&gt;"."),d_dir!AS5/((1/1000)*(d_Irr!R5+d_Irr!BP5)),IF(AND(d_Irr!R5=".",d_Irr!AQ5&lt;&gt;".",d_Irr!BP5&lt;&gt;"."),d_dir!AS5/((1/1000)*(d_Irr!AQ5+d_Irr!BP5)),IF(AND(d_Irr!R5=".",d_Irr!AQ5=".",d_Irr!BP5&lt;&gt;"."),d_dir!AS5/((1/1000)*(d_Irr!BP5)),IF(AND(d_Irr!R5=".",d_Irr!AQ5&lt;&gt;".",d_Irr!BP5="."),d_dir!AS5/((1/1000)*(d_Irr!AQ5)),IF(AND(d_Irr!R5&lt;&gt;".",d_Irr!AQ5=".",d_Irr!BP5="."),d_dir!AS5/((1/1000)*(d_Irr!R5)),IF(AND(d_Irr!R5=".",d_Irr!AQ5=".",d_Irr!BP5="."),d_dir!AS5*1000)))))))),".")</f>
        <v>.</v>
      </c>
      <c r="AT5" s="70" t="str">
        <f>IFERROR(IF(AND(d_Irr!S5&lt;&gt;".",d_Irr!AR5&lt;&gt;".",d_Irr!BQ5&lt;&gt;"."),d_dir!AT5/((1/1000)*(d_Irr!S5+d_Irr!AR5+d_Irr!BQ5)),IF(AND(d_Irr!S5&lt;&gt;".",d_Irr!AR5&lt;&gt;".",d_Irr!BQ5="."),d_dir!AT5/((1/1000)*(d_Irr!S5+d_Irr!AR5)),IF(AND(d_Irr!S5&lt;&gt;".",d_Irr!AR5=".",d_Irr!BQ5&lt;&gt;"."),d_dir!AT5/((1/1000)*(d_Irr!S5+d_Irr!BQ5)),IF(AND(d_Irr!S5=".",d_Irr!AR5&lt;&gt;".",d_Irr!BQ5&lt;&gt;"."),d_dir!AT5/((1/1000)*(d_Irr!AR5+d_Irr!BQ5)),IF(AND(d_Irr!S5=".",d_Irr!AR5=".",d_Irr!BQ5&lt;&gt;"."),d_dir!AT5/((1/1000)*(d_Irr!BQ5)),IF(AND(d_Irr!S5=".",d_Irr!AR5&lt;&gt;".",d_Irr!BQ5="."),d_dir!AT5/((1/1000)*(d_Irr!AR5)),IF(AND(d_Irr!S5&lt;&gt;".",d_Irr!AR5=".",d_Irr!BQ5="."),d_dir!AT5/((1/1000)*(d_Irr!S5)),IF(AND(d_Irr!S5=".",d_Irr!AR5=".",d_Irr!BQ5="."),d_dir!AT5*1000)))))))),".")</f>
        <v>.</v>
      </c>
      <c r="AU5" s="70" t="str">
        <f>IFERROR(IF(AND(d_Irr!T5&lt;&gt;".",d_Irr!AS5&lt;&gt;".",d_Irr!BR5&lt;&gt;"."),d_dir!AU5/((1/1000)*(d_Irr!T5+d_Irr!AS5+d_Irr!BR5)),IF(AND(d_Irr!T5&lt;&gt;".",d_Irr!AS5&lt;&gt;".",d_Irr!BR5="."),d_dir!AU5/((1/1000)*(d_Irr!T5+d_Irr!AS5)),IF(AND(d_Irr!T5&lt;&gt;".",d_Irr!AS5=".",d_Irr!BR5&lt;&gt;"."),d_dir!AU5/((1/1000)*(d_Irr!T5+d_Irr!BR5)),IF(AND(d_Irr!T5=".",d_Irr!AS5&lt;&gt;".",d_Irr!BR5&lt;&gt;"."),d_dir!AU5/((1/1000)*(d_Irr!AS5+d_Irr!BR5)),IF(AND(d_Irr!T5=".",d_Irr!AS5=".",d_Irr!BR5&lt;&gt;"."),d_dir!AU5/((1/1000)*(d_Irr!BR5)),IF(AND(d_Irr!T5=".",d_Irr!AS5&lt;&gt;".",d_Irr!BR5="."),d_dir!AU5/((1/1000)*(d_Irr!AS5)),IF(AND(d_Irr!T5&lt;&gt;".",d_Irr!AS5=".",d_Irr!BR5="."),d_dir!AU5/((1/1000)*(d_Irr!T5)),IF(AND(d_Irr!T5=".",d_Irr!AS5=".",d_Irr!BR5="."),d_dir!AU5*1000)))))))),".")</f>
        <v>.</v>
      </c>
      <c r="AV5" s="70" t="str">
        <f>IFERROR(IF(AND(d_Irr!U5&lt;&gt;".",d_Irr!AT5&lt;&gt;".",d_Irr!BS5&lt;&gt;"."),d_dir!AV5/((1/1000)*(d_Irr!U5+d_Irr!AT5+d_Irr!BS5)),IF(AND(d_Irr!U5&lt;&gt;".",d_Irr!AT5&lt;&gt;".",d_Irr!BS5="."),d_dir!AV5/((1/1000)*(d_Irr!U5+d_Irr!AT5)),IF(AND(d_Irr!U5&lt;&gt;".",d_Irr!AT5=".",d_Irr!BS5&lt;&gt;"."),d_dir!AV5/((1/1000)*(d_Irr!U5+d_Irr!BS5)),IF(AND(d_Irr!U5=".",d_Irr!AT5&lt;&gt;".",d_Irr!BS5&lt;&gt;"."),d_dir!AV5/((1/1000)*(d_Irr!AT5+d_Irr!BS5)),IF(AND(d_Irr!U5=".",d_Irr!AT5=".",d_Irr!BS5&lt;&gt;"."),d_dir!AV5/((1/1000)*(d_Irr!BS5)),IF(AND(d_Irr!U5=".",d_Irr!AT5&lt;&gt;".",d_Irr!BS5="."),d_dir!AV5/((1/1000)*(d_Irr!AT5)),IF(AND(d_Irr!U5&lt;&gt;".",d_Irr!AT5=".",d_Irr!BS5="."),d_dir!AV5/((1/1000)*(d_Irr!U5)),IF(AND(d_Irr!U5=".",d_Irr!AT5=".",d_Irr!BS5="."),d_dir!AV5*1000)))))))),".")</f>
        <v>.</v>
      </c>
      <c r="AW5" s="70" t="str">
        <f>IFERROR(IF(AND(d_Irr!V5&lt;&gt;".",d_Irr!AU5&lt;&gt;".",d_Irr!BT5&lt;&gt;"."),d_dir!AW5/((1/1000)*(d_Irr!V5+d_Irr!AU5+d_Irr!BT5)),IF(AND(d_Irr!V5&lt;&gt;".",d_Irr!AU5&lt;&gt;".",d_Irr!BT5="."),d_dir!AW5/((1/1000)*(d_Irr!V5+d_Irr!AU5)),IF(AND(d_Irr!V5&lt;&gt;".",d_Irr!AU5=".",d_Irr!BT5&lt;&gt;"."),d_dir!AW5/((1/1000)*(d_Irr!V5+d_Irr!BT5)),IF(AND(d_Irr!V5=".",d_Irr!AU5&lt;&gt;".",d_Irr!BT5&lt;&gt;"."),d_dir!AW5/((1/1000)*(d_Irr!AU5+d_Irr!BT5)),IF(AND(d_Irr!V5=".",d_Irr!AU5=".",d_Irr!BT5&lt;&gt;"."),d_dir!AW5/((1/1000)*(d_Irr!BT5)),IF(AND(d_Irr!V5=".",d_Irr!AU5&lt;&gt;".",d_Irr!BT5="."),d_dir!AW5/((1/1000)*(d_Irr!AU5)),IF(AND(d_Irr!V5&lt;&gt;".",d_Irr!AU5=".",d_Irr!BT5="."),d_dir!AW5/((1/1000)*(d_Irr!V5)),IF(AND(d_Irr!V5=".",d_Irr!AU5=".",d_Irr!BT5="."),d_dir!AW5*1000)))))))),".")</f>
        <v>.</v>
      </c>
      <c r="AX5" s="70" t="str">
        <f>IFERROR(IF(AND(d_Irr!W5&lt;&gt;".",d_Irr!AV5&lt;&gt;".",d_Irr!BU5&lt;&gt;"."),d_dir!AX5/((1/1000)*(d_Irr!W5+d_Irr!AV5+d_Irr!BU5)),IF(AND(d_Irr!W5&lt;&gt;".",d_Irr!AV5&lt;&gt;".",d_Irr!BU5="."),d_dir!AX5/((1/1000)*(d_Irr!W5+d_Irr!AV5)),IF(AND(d_Irr!W5&lt;&gt;".",d_Irr!AV5=".",d_Irr!BU5&lt;&gt;"."),d_dir!AX5/((1/1000)*(d_Irr!W5+d_Irr!BU5)),IF(AND(d_Irr!W5=".",d_Irr!AV5&lt;&gt;".",d_Irr!BU5&lt;&gt;"."),d_dir!AX5/((1/1000)*(d_Irr!AV5+d_Irr!BU5)),IF(AND(d_Irr!W5=".",d_Irr!AV5=".",d_Irr!BU5&lt;&gt;"."),d_dir!AX5/((1/1000)*(d_Irr!BU5)),IF(AND(d_Irr!W5=".",d_Irr!AV5&lt;&gt;".",d_Irr!BU5="."),d_dir!AX5/((1/1000)*(d_Irr!AV5)),IF(AND(d_Irr!W5&lt;&gt;".",d_Irr!AV5=".",d_Irr!BU5="."),d_dir!AX5/((1/1000)*(d_Irr!W5)),IF(AND(d_Irr!W5=".",d_Irr!AV5=".",d_Irr!BU5="."),d_dir!AX5*1000)))))))),".")</f>
        <v>.</v>
      </c>
      <c r="AY5" s="70" t="str">
        <f>IFERROR(IF(AND(d_Irr!X5&lt;&gt;".",d_Irr!AW5&lt;&gt;".",d_Irr!BV5&lt;&gt;"."),d_dir!AY5/((1/1000)*(d_Irr!X5+d_Irr!AW5+d_Irr!BV5)),IF(AND(d_Irr!X5&lt;&gt;".",d_Irr!AW5&lt;&gt;".",d_Irr!BV5="."),d_dir!AY5/((1/1000)*(d_Irr!X5+d_Irr!AW5)),IF(AND(d_Irr!X5&lt;&gt;".",d_Irr!AW5=".",d_Irr!BV5&lt;&gt;"."),d_dir!AY5/((1/1000)*(d_Irr!X5+d_Irr!BV5)),IF(AND(d_Irr!X5=".",d_Irr!AW5&lt;&gt;".",d_Irr!BV5&lt;&gt;"."),d_dir!AY5/((1/1000)*(d_Irr!AW5+d_Irr!BV5)),IF(AND(d_Irr!X5=".",d_Irr!AW5=".",d_Irr!BV5&lt;&gt;"."),d_dir!AY5/((1/1000)*(d_Irr!BV5)),IF(AND(d_Irr!X5=".",d_Irr!AW5&lt;&gt;".",d_Irr!BV5="."),d_dir!AY5/((1/1000)*(d_Irr!AW5)),IF(AND(d_Irr!X5&lt;&gt;".",d_Irr!AW5=".",d_Irr!BV5="."),d_dir!AY5/((1/1000)*(d_Irr!X5)),IF(AND(d_Irr!X5=".",d_Irr!AW5=".",d_Irr!BV5="."),d_dir!AY5*1000)))))))),".")</f>
        <v>.</v>
      </c>
      <c r="AZ5" s="70" t="str">
        <f>IFERROR(IF(AND(d_Irr!Y5&lt;&gt;".",d_Irr!AX5&lt;&gt;".",d_Irr!BW5&lt;&gt;"."),d_dir!AZ5/((1/1000)*(d_Irr!Y5+d_Irr!AX5+d_Irr!BW5)),IF(AND(d_Irr!Y5&lt;&gt;".",d_Irr!AX5&lt;&gt;".",d_Irr!BW5="."),d_dir!AZ5/((1/1000)*(d_Irr!Y5+d_Irr!AX5)),IF(AND(d_Irr!Y5&lt;&gt;".",d_Irr!AX5=".",d_Irr!BW5&lt;&gt;"."),d_dir!AZ5/((1/1000)*(d_Irr!Y5+d_Irr!BW5)),IF(AND(d_Irr!Y5=".",d_Irr!AX5&lt;&gt;".",d_Irr!BW5&lt;&gt;"."),d_dir!AZ5/((1/1000)*(d_Irr!AX5+d_Irr!BW5)),IF(AND(d_Irr!Y5=".",d_Irr!AX5=".",d_Irr!BW5&lt;&gt;"."),d_dir!AZ5/((1/1000)*(d_Irr!BW5)),IF(AND(d_Irr!Y5=".",d_Irr!AX5&lt;&gt;".",d_Irr!BW5="."),d_dir!AZ5/((1/1000)*(d_Irr!AX5)),IF(AND(d_Irr!Y5&lt;&gt;".",d_Irr!AX5=".",d_Irr!BW5="."),d_dir!AZ5/((1/1000)*(d_Irr!Y5)),IF(AND(d_Irr!Y5=".",d_Irr!AX5=".",d_Irr!BW5="."),d_dir!AZ5*1000)))))))),".")</f>
        <v>.</v>
      </c>
      <c r="BA5" s="70" t="str">
        <f>IFERROR(IF(AND(d_Irr!Z5&lt;&gt;".",d_Irr!AY5&lt;&gt;".",d_Irr!BX5&lt;&gt;"."),d_dir!BA5/((1/1000)*(d_Irr!Z5+d_Irr!AY5+d_Irr!BX5)),IF(AND(d_Irr!Z5&lt;&gt;".",d_Irr!AY5&lt;&gt;".",d_Irr!BX5="."),d_dir!BA5/((1/1000)*(d_Irr!Z5+d_Irr!AY5)),IF(AND(d_Irr!Z5&lt;&gt;".",d_Irr!AY5=".",d_Irr!BX5&lt;&gt;"."),d_dir!BA5/((1/1000)*(d_Irr!Z5+d_Irr!BX5)),IF(AND(d_Irr!Z5=".",d_Irr!AY5&lt;&gt;".",d_Irr!BX5&lt;&gt;"."),d_dir!BA5/((1/1000)*(d_Irr!AY5+d_Irr!BX5)),IF(AND(d_Irr!Z5=".",d_Irr!AY5=".",d_Irr!BX5&lt;&gt;"."),d_dir!BA5/((1/1000)*(d_Irr!BX5)),IF(AND(d_Irr!Z5=".",d_Irr!AY5&lt;&gt;".",d_Irr!BX5="."),d_dir!BA5/((1/1000)*(d_Irr!AY5)),IF(AND(d_Irr!Z5&lt;&gt;".",d_Irr!AY5=".",d_Irr!BX5="."),d_dir!BA5/((1/1000)*(d_Irr!Z5)),IF(AND(d_Irr!Z5=".",d_Irr!AY5=".",d_Irr!BX5="."),d_dir!BA5*1000)))))))),".")</f>
        <v>.</v>
      </c>
      <c r="BB5" s="70" t="str">
        <f>IFERROR(IF(AND(d_Irr!AA5&lt;&gt;".",d_Irr!AZ5&lt;&gt;".",d_Irr!BY5&lt;&gt;"."),d_dir!BB5/((1/1000)*(d_Irr!AA5+d_Irr!AZ5+d_Irr!BY5)),IF(AND(d_Irr!AA5&lt;&gt;".",d_Irr!AZ5&lt;&gt;".",d_Irr!BY5="."),d_dir!BB5/((1/1000)*(d_Irr!AA5+d_Irr!AZ5)),IF(AND(d_Irr!AA5&lt;&gt;".",d_Irr!AZ5=".",d_Irr!BY5&lt;&gt;"."),d_dir!BB5/((1/1000)*(d_Irr!AA5+d_Irr!BY5)),IF(AND(d_Irr!AA5=".",d_Irr!AZ5&lt;&gt;".",d_Irr!BY5&lt;&gt;"."),d_dir!BB5/((1/1000)*(d_Irr!AZ5+d_Irr!BY5)),IF(AND(d_Irr!AA5=".",d_Irr!AZ5=".",d_Irr!BY5&lt;&gt;"."),d_dir!BB5/((1/1000)*(d_Irr!BY5)),IF(AND(d_Irr!AA5=".",d_Irr!AZ5&lt;&gt;".",d_Irr!BY5="."),d_dir!BB5/((1/1000)*(d_Irr!AZ5)),IF(AND(d_Irr!AA5&lt;&gt;".",d_Irr!AZ5=".",d_Irr!BY5="."),d_dir!BB5/((1/1000)*(d_Irr!AA5)),IF(AND(d_Irr!AA5=".",d_Irr!AZ5=".",d_Irr!BY5="."),d_dir!BB5*1000)))))))),".")</f>
        <v>.</v>
      </c>
    </row>
    <row r="6" spans="1:54" ht="15" customHeight="1" x14ac:dyDescent="0.25">
      <c r="A6" s="86" t="s">
        <v>4</v>
      </c>
      <c r="B6" s="84" t="s">
        <v>1057</v>
      </c>
      <c r="C6" s="2" t="str">
        <f t="shared" si="1"/>
        <v>.</v>
      </c>
      <c r="D6" s="70" t="str">
        <f>IFERROR(IF(AND(d_Irr!C6&lt;&gt;".",d_Irr!AB6&lt;&gt;".",d_Irr!BA6&lt;&gt;"."),d_dir!D6/((1/1000)*(d_Irr!C6+d_Irr!AB6+d_Irr!BA6)),IF(AND(d_Irr!C6&lt;&gt;".",d_Irr!AB6&lt;&gt;".",d_Irr!BA6="."),d_dir!D6/((1/1000)*(d_Irr!C6+d_Irr!AB6)),IF(AND(d_Irr!C6&lt;&gt;".",d_Irr!AB6=".",d_Irr!BA6&lt;&gt;"."),d_dir!D6/((1/1000)*(d_Irr!C6+d_Irr!BA6)),IF(AND(d_Irr!C6=".",d_Irr!AB6&lt;&gt;".",d_Irr!BA6&lt;&gt;"."),d_dir!D6/((1/1000)*(d_Irr!AB6+d_Irr!BA6)),IF(AND(d_Irr!C6=".",d_Irr!AB6=".",d_Irr!BA6&lt;&gt;"."),d_dir!D6/((1/1000)*(d_Irr!BA6)),IF(AND(d_Irr!C6=".",d_Irr!AB6&lt;&gt;".",d_Irr!BA6="."),d_dir!D6/((1/1000)*(d_Irr!AB6)),IF(AND(d_Irr!C6&lt;&gt;".",d_Irr!AB6=".",d_Irr!BA6="."),d_dir!D6/((1/1000)*(d_Irr!C6)),IF(AND(d_Irr!C6=".",d_Irr!AB6=".",d_Irr!BA6="."),d_dir!D6*1000)))))))),".")</f>
        <v>.</v>
      </c>
      <c r="E6" s="70" t="str">
        <f>IFERROR(IF(AND(d_Irr!D6&lt;&gt;".",d_Irr!AC6&lt;&gt;".",d_Irr!BB6&lt;&gt;"."),d_dir!E6/((1/1000)*(d_Irr!D6+d_Irr!AC6+d_Irr!BB6)),IF(AND(d_Irr!D6&lt;&gt;".",d_Irr!AC6&lt;&gt;".",d_Irr!BB6="."),d_dir!E6/((1/1000)*(d_Irr!D6+d_Irr!AC6)),IF(AND(d_Irr!D6&lt;&gt;".",d_Irr!AC6=".",d_Irr!BB6&lt;&gt;"."),d_dir!E6/((1/1000)*(d_Irr!D6+d_Irr!BB6)),IF(AND(d_Irr!D6=".",d_Irr!AC6&lt;&gt;".",d_Irr!BB6&lt;&gt;"."),d_dir!E6/((1/1000)*(d_Irr!AC6+d_Irr!BB6)),IF(AND(d_Irr!D6=".",d_Irr!AC6=".",d_Irr!BB6&lt;&gt;"."),d_dir!E6/((1/1000)*(d_Irr!BB6)),IF(AND(d_Irr!D6=".",d_Irr!AC6&lt;&gt;".",d_Irr!BB6="."),d_dir!E6/((1/1000)*(d_Irr!AC6)),IF(AND(d_Irr!D6&lt;&gt;".",d_Irr!AC6=".",d_Irr!BB6="."),d_dir!E6/((1/1000)*(d_Irr!D6)),IF(AND(d_Irr!D6=".",d_Irr!AC6=".",d_Irr!BB6="."),d_dir!E6*1000)))))))),".")</f>
        <v>.</v>
      </c>
      <c r="F6" s="70" t="str">
        <f>IFERROR(IF(AND(d_Irr!E6&lt;&gt;".",d_Irr!AD6&lt;&gt;".",d_Irr!BC6&lt;&gt;"."),d_dir!F6/((1/1000)*(d_Irr!E6+d_Irr!AD6+d_Irr!BC6)),IF(AND(d_Irr!E6&lt;&gt;".",d_Irr!AD6&lt;&gt;".",d_Irr!BC6="."),d_dir!F6/((1/1000)*(d_Irr!E6+d_Irr!AD6)),IF(AND(d_Irr!E6&lt;&gt;".",d_Irr!AD6=".",d_Irr!BC6&lt;&gt;"."),d_dir!F6/((1/1000)*(d_Irr!E6+d_Irr!BC6)),IF(AND(d_Irr!E6=".",d_Irr!AD6&lt;&gt;".",d_Irr!BC6&lt;&gt;"."),d_dir!F6/((1/1000)*(d_Irr!AD6+d_Irr!BC6)),IF(AND(d_Irr!E6=".",d_Irr!AD6=".",d_Irr!BC6&lt;&gt;"."),d_dir!F6/((1/1000)*(d_Irr!BC6)),IF(AND(d_Irr!E6=".",d_Irr!AD6&lt;&gt;".",d_Irr!BC6="."),d_dir!F6/((1/1000)*(d_Irr!AD6)),IF(AND(d_Irr!E6&lt;&gt;".",d_Irr!AD6=".",d_Irr!BC6="."),d_dir!F6/((1/1000)*(d_Irr!E6)),IF(AND(d_Irr!E6=".",d_Irr!AD6=".",d_Irr!BC6="."),d_dir!F6*1000)))))))),".")</f>
        <v>.</v>
      </c>
      <c r="G6" s="70" t="str">
        <f>IFERROR(IF(AND(d_Irr!F6&lt;&gt;".",d_Irr!AE6&lt;&gt;".",d_Irr!BD6&lt;&gt;"."),d_dir!G6/((1/1000)*(d_Irr!F6+d_Irr!AE6+d_Irr!BD6)),IF(AND(d_Irr!F6&lt;&gt;".",d_Irr!AE6&lt;&gt;".",d_Irr!BD6="."),d_dir!G6/((1/1000)*(d_Irr!F6+d_Irr!AE6)),IF(AND(d_Irr!F6&lt;&gt;".",d_Irr!AE6=".",d_Irr!BD6&lt;&gt;"."),d_dir!G6/((1/1000)*(d_Irr!F6+d_Irr!BD6)),IF(AND(d_Irr!F6=".",d_Irr!AE6&lt;&gt;".",d_Irr!BD6&lt;&gt;"."),d_dir!G6/((1/1000)*(d_Irr!AE6+d_Irr!BD6)),IF(AND(d_Irr!F6=".",d_Irr!AE6=".",d_Irr!BD6&lt;&gt;"."),d_dir!G6/((1/1000)*(d_Irr!BD6)),IF(AND(d_Irr!F6=".",d_Irr!AE6&lt;&gt;".",d_Irr!BD6="."),d_dir!G6/((1/1000)*(d_Irr!AE6)),IF(AND(d_Irr!F6&lt;&gt;".",d_Irr!AE6=".",d_Irr!BD6="."),d_dir!G6/((1/1000)*(d_Irr!F6)),IF(AND(d_Irr!F6=".",d_Irr!AE6=".",d_Irr!BD6="."),d_dir!G6*1000)))))))),".")</f>
        <v>.</v>
      </c>
      <c r="H6" s="70" t="str">
        <f>IFERROR(IF(AND(d_Irr!G6&lt;&gt;".",d_Irr!AF6&lt;&gt;".",d_Irr!BE6&lt;&gt;"."),d_dir!H6/((1/1000)*(d_Irr!G6+d_Irr!AF6+d_Irr!BE6)),IF(AND(d_Irr!G6&lt;&gt;".",d_Irr!AF6&lt;&gt;".",d_Irr!BE6="."),d_dir!H6/((1/1000)*(d_Irr!G6+d_Irr!AF6)),IF(AND(d_Irr!G6&lt;&gt;".",d_Irr!AF6=".",d_Irr!BE6&lt;&gt;"."),d_dir!H6/((1/1000)*(d_Irr!G6+d_Irr!BE6)),IF(AND(d_Irr!G6=".",d_Irr!AF6&lt;&gt;".",d_Irr!BE6&lt;&gt;"."),d_dir!H6/((1/1000)*(d_Irr!AF6+d_Irr!BE6)),IF(AND(d_Irr!G6=".",d_Irr!AF6=".",d_Irr!BE6&lt;&gt;"."),d_dir!H6/((1/1000)*(d_Irr!BE6)),IF(AND(d_Irr!G6=".",d_Irr!AF6&lt;&gt;".",d_Irr!BE6="."),d_dir!H6/((1/1000)*(d_Irr!AF6)),IF(AND(d_Irr!G6&lt;&gt;".",d_Irr!AF6=".",d_Irr!BE6="."),d_dir!H6/((1/1000)*(d_Irr!G6)),IF(AND(d_Irr!G6=".",d_Irr!AF6=".",d_Irr!BE6="."),d_dir!H6*1000)))))))),".")</f>
        <v>.</v>
      </c>
      <c r="I6" s="70" t="str">
        <f>IFERROR(IF(AND(d_Irr!H6&lt;&gt;".",d_Irr!AG6&lt;&gt;".",d_Irr!BF6&lt;&gt;"."),d_dir!I6/((1/1000)*(d_Irr!H6+d_Irr!AG6+d_Irr!BF6)),IF(AND(d_Irr!H6&lt;&gt;".",d_Irr!AG6&lt;&gt;".",d_Irr!BF6="."),d_dir!I6/((1/1000)*(d_Irr!H6+d_Irr!AG6)),IF(AND(d_Irr!H6&lt;&gt;".",d_Irr!AG6=".",d_Irr!BF6&lt;&gt;"."),d_dir!I6/((1/1000)*(d_Irr!H6+d_Irr!BF6)),IF(AND(d_Irr!H6=".",d_Irr!AG6&lt;&gt;".",d_Irr!BF6&lt;&gt;"."),d_dir!I6/((1/1000)*(d_Irr!AG6+d_Irr!BF6)),IF(AND(d_Irr!H6=".",d_Irr!AG6=".",d_Irr!BF6&lt;&gt;"."),d_dir!I6/((1/1000)*(d_Irr!BF6)),IF(AND(d_Irr!H6=".",d_Irr!AG6&lt;&gt;".",d_Irr!BF6="."),d_dir!I6/((1/1000)*(d_Irr!AG6)),IF(AND(d_Irr!H6&lt;&gt;".",d_Irr!AG6=".",d_Irr!BF6="."),d_dir!I6/((1/1000)*(d_Irr!H6)),IF(AND(d_Irr!H6=".",d_Irr!AG6=".",d_Irr!BF6="."),d_dir!I6*1000)))))))),".")</f>
        <v>.</v>
      </c>
      <c r="J6" s="70" t="str">
        <f>IFERROR(IF(AND(d_Irr!I6&lt;&gt;".",d_Irr!AH6&lt;&gt;".",d_Irr!BG6&lt;&gt;"."),d_dir!J6/((1/1000)*(d_Irr!I6+d_Irr!AH6+d_Irr!BG6)),IF(AND(d_Irr!I6&lt;&gt;".",d_Irr!AH6&lt;&gt;".",d_Irr!BG6="."),d_dir!J6/((1/1000)*(d_Irr!I6+d_Irr!AH6)),IF(AND(d_Irr!I6&lt;&gt;".",d_Irr!AH6=".",d_Irr!BG6&lt;&gt;"."),d_dir!J6/((1/1000)*(d_Irr!I6+d_Irr!BG6)),IF(AND(d_Irr!I6=".",d_Irr!AH6&lt;&gt;".",d_Irr!BG6&lt;&gt;"."),d_dir!J6/((1/1000)*(d_Irr!AH6+d_Irr!BG6)),IF(AND(d_Irr!I6=".",d_Irr!AH6=".",d_Irr!BG6&lt;&gt;"."),d_dir!J6/((1/1000)*(d_Irr!BG6)),IF(AND(d_Irr!I6=".",d_Irr!AH6&lt;&gt;".",d_Irr!BG6="."),d_dir!J6/((1/1000)*(d_Irr!AH6)),IF(AND(d_Irr!I6&lt;&gt;".",d_Irr!AH6=".",d_Irr!BG6="."),d_dir!J6/((1/1000)*(d_Irr!I6)),IF(AND(d_Irr!I6=".",d_Irr!AH6=".",d_Irr!BG6="."),d_dir!J6*1000)))))))),".")</f>
        <v>.</v>
      </c>
      <c r="K6" s="70" t="str">
        <f>IFERROR(IF(AND(d_Irr!J6&lt;&gt;".",d_Irr!AI6&lt;&gt;".",d_Irr!BH6&lt;&gt;"."),d_dir!K6/((1/1000)*(d_Irr!J6+d_Irr!AI6+d_Irr!BH6)),IF(AND(d_Irr!J6&lt;&gt;".",d_Irr!AI6&lt;&gt;".",d_Irr!BH6="."),d_dir!K6/((1/1000)*(d_Irr!J6+d_Irr!AI6)),IF(AND(d_Irr!J6&lt;&gt;".",d_Irr!AI6=".",d_Irr!BH6&lt;&gt;"."),d_dir!K6/((1/1000)*(d_Irr!J6+d_Irr!BH6)),IF(AND(d_Irr!J6=".",d_Irr!AI6&lt;&gt;".",d_Irr!BH6&lt;&gt;"."),d_dir!K6/((1/1000)*(d_Irr!AI6+d_Irr!BH6)),IF(AND(d_Irr!J6=".",d_Irr!AI6=".",d_Irr!BH6&lt;&gt;"."),d_dir!K6/((1/1000)*(d_Irr!BH6)),IF(AND(d_Irr!J6=".",d_Irr!AI6&lt;&gt;".",d_Irr!BH6="."),d_dir!K6/((1/1000)*(d_Irr!AI6)),IF(AND(d_Irr!J6&lt;&gt;".",d_Irr!AI6=".",d_Irr!BH6="."),d_dir!K6/((1/1000)*(d_Irr!J6)),IF(AND(d_Irr!J6=".",d_Irr!AI6=".",d_Irr!BH6="."),d_dir!K6*1000)))))))),".")</f>
        <v>.</v>
      </c>
      <c r="L6" s="70" t="str">
        <f>IFERROR(IF(AND(d_Irr!K6&lt;&gt;".",d_Irr!AJ6&lt;&gt;".",d_Irr!BI6&lt;&gt;"."),d_dir!L6/((1/1000)*(d_Irr!K6+d_Irr!AJ6+d_Irr!BI6)),IF(AND(d_Irr!K6&lt;&gt;".",d_Irr!AJ6&lt;&gt;".",d_Irr!BI6="."),d_dir!L6/((1/1000)*(d_Irr!K6+d_Irr!AJ6)),IF(AND(d_Irr!K6&lt;&gt;".",d_Irr!AJ6=".",d_Irr!BI6&lt;&gt;"."),d_dir!L6/((1/1000)*(d_Irr!K6+d_Irr!BI6)),IF(AND(d_Irr!K6=".",d_Irr!AJ6&lt;&gt;".",d_Irr!BI6&lt;&gt;"."),d_dir!L6/((1/1000)*(d_Irr!AJ6+d_Irr!BI6)),IF(AND(d_Irr!K6=".",d_Irr!AJ6=".",d_Irr!BI6&lt;&gt;"."),d_dir!L6/((1/1000)*(d_Irr!BI6)),IF(AND(d_Irr!K6=".",d_Irr!AJ6&lt;&gt;".",d_Irr!BI6="."),d_dir!L6/((1/1000)*(d_Irr!AJ6)),IF(AND(d_Irr!K6&lt;&gt;".",d_Irr!AJ6=".",d_Irr!BI6="."),d_dir!L6/((1/1000)*(d_Irr!K6)),IF(AND(d_Irr!K6=".",d_Irr!AJ6=".",d_Irr!BI6="."),d_dir!L6*1000)))))))),".")</f>
        <v>.</v>
      </c>
      <c r="M6" s="70" t="str">
        <f>IFERROR(IF(AND(d_Irr!L6&lt;&gt;".",d_Irr!AK6&lt;&gt;".",d_Irr!BJ6&lt;&gt;"."),d_dir!M6/((1/1000)*(d_Irr!L6+d_Irr!AK6+d_Irr!BJ6)),IF(AND(d_Irr!L6&lt;&gt;".",d_Irr!AK6&lt;&gt;".",d_Irr!BJ6="."),d_dir!M6/((1/1000)*(d_Irr!L6+d_Irr!AK6)),IF(AND(d_Irr!L6&lt;&gt;".",d_Irr!AK6=".",d_Irr!BJ6&lt;&gt;"."),d_dir!M6/((1/1000)*(d_Irr!L6+d_Irr!BJ6)),IF(AND(d_Irr!L6=".",d_Irr!AK6&lt;&gt;".",d_Irr!BJ6&lt;&gt;"."),d_dir!M6/((1/1000)*(d_Irr!AK6+d_Irr!BJ6)),IF(AND(d_Irr!L6=".",d_Irr!AK6=".",d_Irr!BJ6&lt;&gt;"."),d_dir!M6/((1/1000)*(d_Irr!BJ6)),IF(AND(d_Irr!L6=".",d_Irr!AK6&lt;&gt;".",d_Irr!BJ6="."),d_dir!M6/((1/1000)*(d_Irr!AK6)),IF(AND(d_Irr!L6&lt;&gt;".",d_Irr!AK6=".",d_Irr!BJ6="."),d_dir!M6/((1/1000)*(d_Irr!L6)),IF(AND(d_Irr!L6=".",d_Irr!AK6=".",d_Irr!BJ6="."),d_dir!M6*1000)))))))),".")</f>
        <v>.</v>
      </c>
      <c r="N6" s="70" t="str">
        <f>IFERROR(IF(AND(d_Irr!M6&lt;&gt;".",d_Irr!AL6&lt;&gt;".",d_Irr!BK6&lt;&gt;"."),d_dir!N6/((1/1000)*(d_Irr!M6+d_Irr!AL6+d_Irr!BK6)),IF(AND(d_Irr!M6&lt;&gt;".",d_Irr!AL6&lt;&gt;".",d_Irr!BK6="."),d_dir!N6/((1/1000)*(d_Irr!M6+d_Irr!AL6)),IF(AND(d_Irr!M6&lt;&gt;".",d_Irr!AL6=".",d_Irr!BK6&lt;&gt;"."),d_dir!N6/((1/1000)*(d_Irr!M6+d_Irr!BK6)),IF(AND(d_Irr!M6=".",d_Irr!AL6&lt;&gt;".",d_Irr!BK6&lt;&gt;"."),d_dir!N6/((1/1000)*(d_Irr!AL6+d_Irr!BK6)),IF(AND(d_Irr!M6=".",d_Irr!AL6=".",d_Irr!BK6&lt;&gt;"."),d_dir!N6/((1/1000)*(d_Irr!BK6)),IF(AND(d_Irr!M6=".",d_Irr!AL6&lt;&gt;".",d_Irr!BK6="."),d_dir!N6/((1/1000)*(d_Irr!AL6)),IF(AND(d_Irr!M6&lt;&gt;".",d_Irr!AL6=".",d_Irr!BK6="."),d_dir!N6/((1/1000)*(d_Irr!M6)),IF(AND(d_Irr!M6=".",d_Irr!AL6=".",d_Irr!BK6="."),d_dir!N6*1000)))))))),".")</f>
        <v>.</v>
      </c>
      <c r="O6" s="70" t="str">
        <f>IFERROR(IF(AND(d_Irr!N6&lt;&gt;".",d_Irr!AM6&lt;&gt;".",d_Irr!BL6&lt;&gt;"."),d_dir!O6/((1/1000)*(d_Irr!N6+d_Irr!AM6+d_Irr!BL6)),IF(AND(d_Irr!N6&lt;&gt;".",d_Irr!AM6&lt;&gt;".",d_Irr!BL6="."),d_dir!O6/((1/1000)*(d_Irr!N6+d_Irr!AM6)),IF(AND(d_Irr!N6&lt;&gt;".",d_Irr!AM6=".",d_Irr!BL6&lt;&gt;"."),d_dir!O6/((1/1000)*(d_Irr!N6+d_Irr!BL6)),IF(AND(d_Irr!N6=".",d_Irr!AM6&lt;&gt;".",d_Irr!BL6&lt;&gt;"."),d_dir!O6/((1/1000)*(d_Irr!AM6+d_Irr!BL6)),IF(AND(d_Irr!N6=".",d_Irr!AM6=".",d_Irr!BL6&lt;&gt;"."),d_dir!O6/((1/1000)*(d_Irr!BL6)),IF(AND(d_Irr!N6=".",d_Irr!AM6&lt;&gt;".",d_Irr!BL6="."),d_dir!O6/((1/1000)*(d_Irr!AM6)),IF(AND(d_Irr!N6&lt;&gt;".",d_Irr!AM6=".",d_Irr!BL6="."),d_dir!O6/((1/1000)*(d_Irr!N6)),IF(AND(d_Irr!N6=".",d_Irr!AM6=".",d_Irr!BL6="."),d_dir!O6*1000)))))))),".")</f>
        <v>.</v>
      </c>
      <c r="P6" s="70" t="str">
        <f>IFERROR(IF(AND(d_Irr!O6&lt;&gt;".",d_Irr!AN6&lt;&gt;".",d_Irr!BM6&lt;&gt;"."),d_dir!P6/((1/1000)*(d_Irr!O6+d_Irr!AN6+d_Irr!BM6)),IF(AND(d_Irr!O6&lt;&gt;".",d_Irr!AN6&lt;&gt;".",d_Irr!BM6="."),d_dir!P6/((1/1000)*(d_Irr!O6+d_Irr!AN6)),IF(AND(d_Irr!O6&lt;&gt;".",d_Irr!AN6=".",d_Irr!BM6&lt;&gt;"."),d_dir!P6/((1/1000)*(d_Irr!O6+d_Irr!BM6)),IF(AND(d_Irr!O6=".",d_Irr!AN6&lt;&gt;".",d_Irr!BM6&lt;&gt;"."),d_dir!P6/((1/1000)*(d_Irr!AN6+d_Irr!BM6)),IF(AND(d_Irr!O6=".",d_Irr!AN6=".",d_Irr!BM6&lt;&gt;"."),d_dir!P6/((1/1000)*(d_Irr!BM6)),IF(AND(d_Irr!O6=".",d_Irr!AN6&lt;&gt;".",d_Irr!BM6="."),d_dir!P6/((1/1000)*(d_Irr!AN6)),IF(AND(d_Irr!O6&lt;&gt;".",d_Irr!AN6=".",d_Irr!BM6="."),d_dir!P6/((1/1000)*(d_Irr!O6)),IF(AND(d_Irr!O6=".",d_Irr!AN6=".",d_Irr!BM6="."),d_dir!P6*1000)))))))),".")</f>
        <v>.</v>
      </c>
      <c r="Q6" s="70" t="str">
        <f>IFERROR(IF(AND(d_Irr!P6&lt;&gt;".",d_Irr!AO6&lt;&gt;".",d_Irr!BN6&lt;&gt;"."),d_dir!Q6/((1/1000)*(d_Irr!P6+d_Irr!AO6+d_Irr!BN6)),IF(AND(d_Irr!P6&lt;&gt;".",d_Irr!AO6&lt;&gt;".",d_Irr!BN6="."),d_dir!Q6/((1/1000)*(d_Irr!P6+d_Irr!AO6)),IF(AND(d_Irr!P6&lt;&gt;".",d_Irr!AO6=".",d_Irr!BN6&lt;&gt;"."),d_dir!Q6/((1/1000)*(d_Irr!P6+d_Irr!BN6)),IF(AND(d_Irr!P6=".",d_Irr!AO6&lt;&gt;".",d_Irr!BN6&lt;&gt;"."),d_dir!Q6/((1/1000)*(d_Irr!AO6+d_Irr!BN6)),IF(AND(d_Irr!P6=".",d_Irr!AO6=".",d_Irr!BN6&lt;&gt;"."),d_dir!Q6/((1/1000)*(d_Irr!BN6)),IF(AND(d_Irr!P6=".",d_Irr!AO6&lt;&gt;".",d_Irr!BN6="."),d_dir!Q6/((1/1000)*(d_Irr!AO6)),IF(AND(d_Irr!P6&lt;&gt;".",d_Irr!AO6=".",d_Irr!BN6="."),d_dir!Q6/((1/1000)*(d_Irr!P6)),IF(AND(d_Irr!P6=".",d_Irr!AO6=".",d_Irr!BN6="."),d_dir!Q6*1000)))))))),".")</f>
        <v>.</v>
      </c>
      <c r="R6" s="70" t="str">
        <f>IFERROR(IF(AND(d_Irr!Q6&lt;&gt;".",d_Irr!AP6&lt;&gt;".",d_Irr!BO6&lt;&gt;"."),d_dir!R6/((1/1000)*(d_Irr!Q6+d_Irr!AP6+d_Irr!BO6)),IF(AND(d_Irr!Q6&lt;&gt;".",d_Irr!AP6&lt;&gt;".",d_Irr!BO6="."),d_dir!R6/((1/1000)*(d_Irr!Q6+d_Irr!AP6)),IF(AND(d_Irr!Q6&lt;&gt;".",d_Irr!AP6=".",d_Irr!BO6&lt;&gt;"."),d_dir!R6/((1/1000)*(d_Irr!Q6+d_Irr!BO6)),IF(AND(d_Irr!Q6=".",d_Irr!AP6&lt;&gt;".",d_Irr!BO6&lt;&gt;"."),d_dir!R6/((1/1000)*(d_Irr!AP6+d_Irr!BO6)),IF(AND(d_Irr!Q6=".",d_Irr!AP6=".",d_Irr!BO6&lt;&gt;"."),d_dir!R6/((1/1000)*(d_Irr!BO6)),IF(AND(d_Irr!Q6=".",d_Irr!AP6&lt;&gt;".",d_Irr!BO6="."),d_dir!R6/((1/1000)*(d_Irr!AP6)),IF(AND(d_Irr!Q6&lt;&gt;".",d_Irr!AP6=".",d_Irr!BO6="."),d_dir!R6/((1/1000)*(d_Irr!Q6)),IF(AND(d_Irr!Q6=".",d_Irr!AP6=".",d_Irr!BO6="."),d_dir!R6*1000)))))))),".")</f>
        <v>.</v>
      </c>
      <c r="S6" s="70" t="str">
        <f>IFERROR(IF(AND(d_Irr!R6&lt;&gt;".",d_Irr!AQ6&lt;&gt;".",d_Irr!BP6&lt;&gt;"."),d_dir!S6/((1/1000)*(d_Irr!R6+d_Irr!AQ6+d_Irr!BP6)),IF(AND(d_Irr!R6&lt;&gt;".",d_Irr!AQ6&lt;&gt;".",d_Irr!BP6="."),d_dir!S6/((1/1000)*(d_Irr!R6+d_Irr!AQ6)),IF(AND(d_Irr!R6&lt;&gt;".",d_Irr!AQ6=".",d_Irr!BP6&lt;&gt;"."),d_dir!S6/((1/1000)*(d_Irr!R6+d_Irr!BP6)),IF(AND(d_Irr!R6=".",d_Irr!AQ6&lt;&gt;".",d_Irr!BP6&lt;&gt;"."),d_dir!S6/((1/1000)*(d_Irr!AQ6+d_Irr!BP6)),IF(AND(d_Irr!R6=".",d_Irr!AQ6=".",d_Irr!BP6&lt;&gt;"."),d_dir!S6/((1/1000)*(d_Irr!BP6)),IF(AND(d_Irr!R6=".",d_Irr!AQ6&lt;&gt;".",d_Irr!BP6="."),d_dir!S6/((1/1000)*(d_Irr!AQ6)),IF(AND(d_Irr!R6&lt;&gt;".",d_Irr!AQ6=".",d_Irr!BP6="."),d_dir!S6/((1/1000)*(d_Irr!R6)),IF(AND(d_Irr!R6=".",d_Irr!AQ6=".",d_Irr!BP6="."),d_dir!S6*1000)))))))),".")</f>
        <v>.</v>
      </c>
      <c r="T6" s="70" t="str">
        <f>IFERROR(IF(AND(d_Irr!S6&lt;&gt;".",d_Irr!AR6&lt;&gt;".",d_Irr!BQ6&lt;&gt;"."),d_dir!T6/((1/1000)*(d_Irr!S6+d_Irr!AR6+d_Irr!BQ6)),IF(AND(d_Irr!S6&lt;&gt;".",d_Irr!AR6&lt;&gt;".",d_Irr!BQ6="."),d_dir!T6/((1/1000)*(d_Irr!S6+d_Irr!AR6)),IF(AND(d_Irr!S6&lt;&gt;".",d_Irr!AR6=".",d_Irr!BQ6&lt;&gt;"."),d_dir!T6/((1/1000)*(d_Irr!S6+d_Irr!BQ6)),IF(AND(d_Irr!S6=".",d_Irr!AR6&lt;&gt;".",d_Irr!BQ6&lt;&gt;"."),d_dir!T6/((1/1000)*(d_Irr!AR6+d_Irr!BQ6)),IF(AND(d_Irr!S6=".",d_Irr!AR6=".",d_Irr!BQ6&lt;&gt;"."),d_dir!T6/((1/1000)*(d_Irr!BQ6)),IF(AND(d_Irr!S6=".",d_Irr!AR6&lt;&gt;".",d_Irr!BQ6="."),d_dir!T6/((1/1000)*(d_Irr!AR6)),IF(AND(d_Irr!S6&lt;&gt;".",d_Irr!AR6=".",d_Irr!BQ6="."),d_dir!T6/((1/1000)*(d_Irr!S6)),IF(AND(d_Irr!S6=".",d_Irr!AR6=".",d_Irr!BQ6="."),d_dir!T6*1000)))))))),".")</f>
        <v>.</v>
      </c>
      <c r="U6" s="70" t="str">
        <f>IFERROR(IF(AND(d_Irr!T6&lt;&gt;".",d_Irr!AS6&lt;&gt;".",d_Irr!BR6&lt;&gt;"."),d_dir!U6/((1/1000)*(d_Irr!T6+d_Irr!AS6+d_Irr!BR6)),IF(AND(d_Irr!T6&lt;&gt;".",d_Irr!AS6&lt;&gt;".",d_Irr!BR6="."),d_dir!U6/((1/1000)*(d_Irr!T6+d_Irr!AS6)),IF(AND(d_Irr!T6&lt;&gt;".",d_Irr!AS6=".",d_Irr!BR6&lt;&gt;"."),d_dir!U6/((1/1000)*(d_Irr!T6+d_Irr!BR6)),IF(AND(d_Irr!T6=".",d_Irr!AS6&lt;&gt;".",d_Irr!BR6&lt;&gt;"."),d_dir!U6/((1/1000)*(d_Irr!AS6+d_Irr!BR6)),IF(AND(d_Irr!T6=".",d_Irr!AS6=".",d_Irr!BR6&lt;&gt;"."),d_dir!U6/((1/1000)*(d_Irr!BR6)),IF(AND(d_Irr!T6=".",d_Irr!AS6&lt;&gt;".",d_Irr!BR6="."),d_dir!U6/((1/1000)*(d_Irr!AS6)),IF(AND(d_Irr!T6&lt;&gt;".",d_Irr!AS6=".",d_Irr!BR6="."),d_dir!U6/((1/1000)*(d_Irr!T6)),IF(AND(d_Irr!T6=".",d_Irr!AS6=".",d_Irr!BR6="."),d_dir!U6*1000)))))))),".")</f>
        <v>.</v>
      </c>
      <c r="V6" s="70" t="str">
        <f>IFERROR(IF(AND(d_Irr!U6&lt;&gt;".",d_Irr!AT6&lt;&gt;".",d_Irr!BS6&lt;&gt;"."),d_dir!V6/((1/1000)*(d_Irr!U6+d_Irr!AT6+d_Irr!BS6)),IF(AND(d_Irr!U6&lt;&gt;".",d_Irr!AT6&lt;&gt;".",d_Irr!BS6="."),d_dir!V6/((1/1000)*(d_Irr!U6+d_Irr!AT6)),IF(AND(d_Irr!U6&lt;&gt;".",d_Irr!AT6=".",d_Irr!BS6&lt;&gt;"."),d_dir!V6/((1/1000)*(d_Irr!U6+d_Irr!BS6)),IF(AND(d_Irr!U6=".",d_Irr!AT6&lt;&gt;".",d_Irr!BS6&lt;&gt;"."),d_dir!V6/((1/1000)*(d_Irr!AT6+d_Irr!BS6)),IF(AND(d_Irr!U6=".",d_Irr!AT6=".",d_Irr!BS6&lt;&gt;"."),d_dir!V6/((1/1000)*(d_Irr!BS6)),IF(AND(d_Irr!U6=".",d_Irr!AT6&lt;&gt;".",d_Irr!BS6="."),d_dir!V6/((1/1000)*(d_Irr!AT6)),IF(AND(d_Irr!U6&lt;&gt;".",d_Irr!AT6=".",d_Irr!BS6="."),d_dir!V6/((1/1000)*(d_Irr!U6)),IF(AND(d_Irr!U6=".",d_Irr!AT6=".",d_Irr!BS6="."),d_dir!V6*1000)))))))),".")</f>
        <v>.</v>
      </c>
      <c r="W6" s="70" t="str">
        <f>IFERROR(IF(AND(d_Irr!V6&lt;&gt;".",d_Irr!AU6&lt;&gt;".",d_Irr!BT6&lt;&gt;"."),d_dir!W6/((1/1000)*(d_Irr!V6+d_Irr!AU6+d_Irr!BT6)),IF(AND(d_Irr!V6&lt;&gt;".",d_Irr!AU6&lt;&gt;".",d_Irr!BT6="."),d_dir!W6/((1/1000)*(d_Irr!V6+d_Irr!AU6)),IF(AND(d_Irr!V6&lt;&gt;".",d_Irr!AU6=".",d_Irr!BT6&lt;&gt;"."),d_dir!W6/((1/1000)*(d_Irr!V6+d_Irr!BT6)),IF(AND(d_Irr!V6=".",d_Irr!AU6&lt;&gt;".",d_Irr!BT6&lt;&gt;"."),d_dir!W6/((1/1000)*(d_Irr!AU6+d_Irr!BT6)),IF(AND(d_Irr!V6=".",d_Irr!AU6=".",d_Irr!BT6&lt;&gt;"."),d_dir!W6/((1/1000)*(d_Irr!BT6)),IF(AND(d_Irr!V6=".",d_Irr!AU6&lt;&gt;".",d_Irr!BT6="."),d_dir!W6/((1/1000)*(d_Irr!AU6)),IF(AND(d_Irr!V6&lt;&gt;".",d_Irr!AU6=".",d_Irr!BT6="."),d_dir!W6/((1/1000)*(d_Irr!V6)),IF(AND(d_Irr!V6=".",d_Irr!AU6=".",d_Irr!BT6="."),d_dir!W6*1000)))))))),".")</f>
        <v>.</v>
      </c>
      <c r="X6" s="70" t="str">
        <f>IFERROR(IF(AND(d_Irr!W6&lt;&gt;".",d_Irr!AV6&lt;&gt;".",d_Irr!BU6&lt;&gt;"."),d_dir!X6/((1/1000)*(d_Irr!W6+d_Irr!AV6+d_Irr!BU6)),IF(AND(d_Irr!W6&lt;&gt;".",d_Irr!AV6&lt;&gt;".",d_Irr!BU6="."),d_dir!X6/((1/1000)*(d_Irr!W6+d_Irr!AV6)),IF(AND(d_Irr!W6&lt;&gt;".",d_Irr!AV6=".",d_Irr!BU6&lt;&gt;"."),d_dir!X6/((1/1000)*(d_Irr!W6+d_Irr!BU6)),IF(AND(d_Irr!W6=".",d_Irr!AV6&lt;&gt;".",d_Irr!BU6&lt;&gt;"."),d_dir!X6/((1/1000)*(d_Irr!AV6+d_Irr!BU6)),IF(AND(d_Irr!W6=".",d_Irr!AV6=".",d_Irr!BU6&lt;&gt;"."),d_dir!X6/((1/1000)*(d_Irr!BU6)),IF(AND(d_Irr!W6=".",d_Irr!AV6&lt;&gt;".",d_Irr!BU6="."),d_dir!X6/((1/1000)*(d_Irr!AV6)),IF(AND(d_Irr!W6&lt;&gt;".",d_Irr!AV6=".",d_Irr!BU6="."),d_dir!X6/((1/1000)*(d_Irr!W6)),IF(AND(d_Irr!W6=".",d_Irr!AV6=".",d_Irr!BU6="."),d_dir!X6*1000)))))))),".")</f>
        <v>.</v>
      </c>
      <c r="Y6" s="70" t="str">
        <f>IFERROR(IF(AND(d_Irr!X6&lt;&gt;".",d_Irr!AW6&lt;&gt;".",d_Irr!BV6&lt;&gt;"."),d_dir!Y6/((1/1000)*(d_Irr!X6+d_Irr!AW6+d_Irr!BV6)),IF(AND(d_Irr!X6&lt;&gt;".",d_Irr!AW6&lt;&gt;".",d_Irr!BV6="."),d_dir!Y6/((1/1000)*(d_Irr!X6+d_Irr!AW6)),IF(AND(d_Irr!X6&lt;&gt;".",d_Irr!AW6=".",d_Irr!BV6&lt;&gt;"."),d_dir!Y6/((1/1000)*(d_Irr!X6+d_Irr!BV6)),IF(AND(d_Irr!X6=".",d_Irr!AW6&lt;&gt;".",d_Irr!BV6&lt;&gt;"."),d_dir!Y6/((1/1000)*(d_Irr!AW6+d_Irr!BV6)),IF(AND(d_Irr!X6=".",d_Irr!AW6=".",d_Irr!BV6&lt;&gt;"."),d_dir!Y6/((1/1000)*(d_Irr!BV6)),IF(AND(d_Irr!X6=".",d_Irr!AW6&lt;&gt;".",d_Irr!BV6="."),d_dir!Y6/((1/1000)*(d_Irr!AW6)),IF(AND(d_Irr!X6&lt;&gt;".",d_Irr!AW6=".",d_Irr!BV6="."),d_dir!Y6/((1/1000)*(d_Irr!X6)),IF(AND(d_Irr!X6=".",d_Irr!AW6=".",d_Irr!BV6="."),d_dir!Y6*1000)))))))),".")</f>
        <v>.</v>
      </c>
      <c r="Z6" s="70" t="str">
        <f>IFERROR(IF(AND(d_Irr!Y6&lt;&gt;".",d_Irr!AX6&lt;&gt;".",d_Irr!BW6&lt;&gt;"."),d_dir!Z6/((1/1000)*(d_Irr!Y6+d_Irr!AX6+d_Irr!BW6)),IF(AND(d_Irr!Y6&lt;&gt;".",d_Irr!AX6&lt;&gt;".",d_Irr!BW6="."),d_dir!Z6/((1/1000)*(d_Irr!Y6+d_Irr!AX6)),IF(AND(d_Irr!Y6&lt;&gt;".",d_Irr!AX6=".",d_Irr!BW6&lt;&gt;"."),d_dir!Z6/((1/1000)*(d_Irr!Y6+d_Irr!BW6)),IF(AND(d_Irr!Y6=".",d_Irr!AX6&lt;&gt;".",d_Irr!BW6&lt;&gt;"."),d_dir!Z6/((1/1000)*(d_Irr!AX6+d_Irr!BW6)),IF(AND(d_Irr!Y6=".",d_Irr!AX6=".",d_Irr!BW6&lt;&gt;"."),d_dir!Z6/((1/1000)*(d_Irr!BW6)),IF(AND(d_Irr!Y6=".",d_Irr!AX6&lt;&gt;".",d_Irr!BW6="."),d_dir!Z6/((1/1000)*(d_Irr!AX6)),IF(AND(d_Irr!Y6&lt;&gt;".",d_Irr!AX6=".",d_Irr!BW6="."),d_dir!Z6/((1/1000)*(d_Irr!Y6)),IF(AND(d_Irr!Y6=".",d_Irr!AX6=".",d_Irr!BW6="."),d_dir!Z6*1000)))))))),".")</f>
        <v>.</v>
      </c>
      <c r="AA6" s="70" t="str">
        <f>IFERROR(IF(AND(d_Irr!Z6&lt;&gt;".",d_Irr!AY6&lt;&gt;".",d_Irr!BX6&lt;&gt;"."),d_dir!AA6/((1/1000)*(d_Irr!Z6+d_Irr!AY6+d_Irr!BX6)),IF(AND(d_Irr!Z6&lt;&gt;".",d_Irr!AY6&lt;&gt;".",d_Irr!BX6="."),d_dir!AA6/((1/1000)*(d_Irr!Z6+d_Irr!AY6)),IF(AND(d_Irr!Z6&lt;&gt;".",d_Irr!AY6=".",d_Irr!BX6&lt;&gt;"."),d_dir!AA6/((1/1000)*(d_Irr!Z6+d_Irr!BX6)),IF(AND(d_Irr!Z6=".",d_Irr!AY6&lt;&gt;".",d_Irr!BX6&lt;&gt;"."),d_dir!AA6/((1/1000)*(d_Irr!AY6+d_Irr!BX6)),IF(AND(d_Irr!Z6=".",d_Irr!AY6=".",d_Irr!BX6&lt;&gt;"."),d_dir!AA6/((1/1000)*(d_Irr!BX6)),IF(AND(d_Irr!Z6=".",d_Irr!AY6&lt;&gt;".",d_Irr!BX6="."),d_dir!AA6/((1/1000)*(d_Irr!AY6)),IF(AND(d_Irr!Z6&lt;&gt;".",d_Irr!AY6=".",d_Irr!BX6="."),d_dir!AA6/((1/1000)*(d_Irr!Z6)),IF(AND(d_Irr!Z6=".",d_Irr!AY6=".",d_Irr!BX6="."),d_dir!AA6*1000)))))))),".")</f>
        <v>.</v>
      </c>
      <c r="AB6" s="70" t="str">
        <f>IFERROR(IF(AND(d_Irr!AA6&lt;&gt;".",d_Irr!AZ6&lt;&gt;".",d_Irr!BY6&lt;&gt;"."),d_dir!AB6/((1/1000)*(d_Irr!AA6+d_Irr!AZ6+d_Irr!BY6)),IF(AND(d_Irr!AA6&lt;&gt;".",d_Irr!AZ6&lt;&gt;".",d_Irr!BY6="."),d_dir!AB6/((1/1000)*(d_Irr!AA6+d_Irr!AZ6)),IF(AND(d_Irr!AA6&lt;&gt;".",d_Irr!AZ6=".",d_Irr!BY6&lt;&gt;"."),d_dir!AB6/((1/1000)*(d_Irr!AA6+d_Irr!BY6)),IF(AND(d_Irr!AA6=".",d_Irr!AZ6&lt;&gt;".",d_Irr!BY6&lt;&gt;"."),d_dir!AB6/((1/1000)*(d_Irr!AZ6+d_Irr!BY6)),IF(AND(d_Irr!AA6=".",d_Irr!AZ6=".",d_Irr!BY6&lt;&gt;"."),d_dir!AB6/((1/1000)*(d_Irr!BY6)),IF(AND(d_Irr!AA6=".",d_Irr!AZ6&lt;&gt;".",d_Irr!BY6="."),d_dir!AB6/((1/1000)*(d_Irr!AZ6)),IF(AND(d_Irr!AA6&lt;&gt;".",d_Irr!AZ6=".",d_Irr!BY6="."),d_dir!AB6/((1/1000)*(d_Irr!AA6)),IF(AND(d_Irr!AA6=".",d_Irr!AZ6=".",d_Irr!BY6="."),d_dir!AB6*1000)))))))),".")</f>
        <v>.</v>
      </c>
      <c r="AC6" s="70" t="str">
        <f t="shared" si="0"/>
        <v>.</v>
      </c>
      <c r="AD6" s="70" t="str">
        <f>IFERROR(IF(AND(d_Irr!C6&lt;&gt;".",d_Irr!AB6&lt;&gt;".",d_Irr!BA6&lt;&gt;"."),d_dir!AD6/((1/1000)*(d_Irr!C6+d_Irr!AB6+d_Irr!BA6)),IF(AND(d_Irr!C6&lt;&gt;".",d_Irr!AB6&lt;&gt;".",d_Irr!BA6="."),d_dir!AD6/((1/1000)*(d_Irr!C6+d_Irr!AB6)),IF(AND(d_Irr!C6&lt;&gt;".",d_Irr!AB6=".",d_Irr!BA6&lt;&gt;"."),d_dir!AD6/((1/1000)*(d_Irr!C6+d_Irr!BA6)),IF(AND(d_Irr!C6=".",d_Irr!AB6&lt;&gt;".",d_Irr!BA6&lt;&gt;"."),d_dir!AD6/((1/1000)*(d_Irr!AB6+d_Irr!BA6)),IF(AND(d_Irr!C6=".",d_Irr!AB6=".",d_Irr!BA6&lt;&gt;"."),d_dir!AD6/((1/1000)*(d_Irr!BA6)),IF(AND(d_Irr!C6=".",d_Irr!AB6&lt;&gt;".",d_Irr!BA6="."),d_dir!AD6/((1/1000)*(d_Irr!AB6)),IF(AND(d_Irr!C6&lt;&gt;".",d_Irr!AB6=".",d_Irr!BA6="."),d_dir!AD6/((1/1000)*(d_Irr!C6)),IF(AND(d_Irr!C6=".",d_Irr!AB6=".",d_Irr!BA6="."),d_dir!AD6*1000)))))))),".")</f>
        <v>.</v>
      </c>
      <c r="AE6" s="70" t="str">
        <f>IFERROR(IF(AND(d_Irr!D6&lt;&gt;".",d_Irr!AC6&lt;&gt;".",d_Irr!BB6&lt;&gt;"."),d_dir!AE6/((1/1000)*(d_Irr!D6+d_Irr!AC6+d_Irr!BB6)),IF(AND(d_Irr!D6&lt;&gt;".",d_Irr!AC6&lt;&gt;".",d_Irr!BB6="."),d_dir!AE6/((1/1000)*(d_Irr!D6+d_Irr!AC6)),IF(AND(d_Irr!D6&lt;&gt;".",d_Irr!AC6=".",d_Irr!BB6&lt;&gt;"."),d_dir!AE6/((1/1000)*(d_Irr!D6+d_Irr!BB6)),IF(AND(d_Irr!D6=".",d_Irr!AC6&lt;&gt;".",d_Irr!BB6&lt;&gt;"."),d_dir!AE6/((1/1000)*(d_Irr!AC6+d_Irr!BB6)),IF(AND(d_Irr!D6=".",d_Irr!AC6=".",d_Irr!BB6&lt;&gt;"."),d_dir!AE6/((1/1000)*(d_Irr!BB6)),IF(AND(d_Irr!D6=".",d_Irr!AC6&lt;&gt;".",d_Irr!BB6="."),d_dir!AE6/((1/1000)*(d_Irr!AC6)),IF(AND(d_Irr!D6&lt;&gt;".",d_Irr!AC6=".",d_Irr!BB6="."),d_dir!AE6/((1/1000)*(d_Irr!D6)),IF(AND(d_Irr!D6=".",d_Irr!AC6=".",d_Irr!BB6="."),d_dir!AE6*1000)))))))),".")</f>
        <v>.</v>
      </c>
      <c r="AF6" s="70" t="str">
        <f>IFERROR(IF(AND(d_Irr!E6&lt;&gt;".",d_Irr!AD6&lt;&gt;".",d_Irr!BC6&lt;&gt;"."),d_dir!AF6/((1/1000)*(d_Irr!E6+d_Irr!AD6+d_Irr!BC6)),IF(AND(d_Irr!E6&lt;&gt;".",d_Irr!AD6&lt;&gt;".",d_Irr!BC6="."),d_dir!AF6/((1/1000)*(d_Irr!E6+d_Irr!AD6)),IF(AND(d_Irr!E6&lt;&gt;".",d_Irr!AD6=".",d_Irr!BC6&lt;&gt;"."),d_dir!AF6/((1/1000)*(d_Irr!E6+d_Irr!BC6)),IF(AND(d_Irr!E6=".",d_Irr!AD6&lt;&gt;".",d_Irr!BC6&lt;&gt;"."),d_dir!AF6/((1/1000)*(d_Irr!AD6+d_Irr!BC6)),IF(AND(d_Irr!E6=".",d_Irr!AD6=".",d_Irr!BC6&lt;&gt;"."),d_dir!AF6/((1/1000)*(d_Irr!BC6)),IF(AND(d_Irr!E6=".",d_Irr!AD6&lt;&gt;".",d_Irr!BC6="."),d_dir!AF6/((1/1000)*(d_Irr!AD6)),IF(AND(d_Irr!E6&lt;&gt;".",d_Irr!AD6=".",d_Irr!BC6="."),d_dir!AF6/((1/1000)*(d_Irr!E6)),IF(AND(d_Irr!E6=".",d_Irr!AD6=".",d_Irr!BC6="."),d_dir!AF6*1000)))))))),".")</f>
        <v>.</v>
      </c>
      <c r="AG6" s="70" t="str">
        <f>IFERROR(IF(AND(d_Irr!F6&lt;&gt;".",d_Irr!AE6&lt;&gt;".",d_Irr!BD6&lt;&gt;"."),d_dir!AG6/((1/1000)*(d_Irr!F6+d_Irr!AE6+d_Irr!BD6)),IF(AND(d_Irr!F6&lt;&gt;".",d_Irr!AE6&lt;&gt;".",d_Irr!BD6="."),d_dir!AG6/((1/1000)*(d_Irr!F6+d_Irr!AE6)),IF(AND(d_Irr!F6&lt;&gt;".",d_Irr!AE6=".",d_Irr!BD6&lt;&gt;"."),d_dir!AG6/((1/1000)*(d_Irr!F6+d_Irr!BD6)),IF(AND(d_Irr!F6=".",d_Irr!AE6&lt;&gt;".",d_Irr!BD6&lt;&gt;"."),d_dir!AG6/((1/1000)*(d_Irr!AE6+d_Irr!BD6)),IF(AND(d_Irr!F6=".",d_Irr!AE6=".",d_Irr!BD6&lt;&gt;"."),d_dir!AG6/((1/1000)*(d_Irr!BD6)),IF(AND(d_Irr!F6=".",d_Irr!AE6&lt;&gt;".",d_Irr!BD6="."),d_dir!AG6/((1/1000)*(d_Irr!AE6)),IF(AND(d_Irr!F6&lt;&gt;".",d_Irr!AE6=".",d_Irr!BD6="."),d_dir!AG6/((1/1000)*(d_Irr!F6)),IF(AND(d_Irr!F6=".",d_Irr!AE6=".",d_Irr!BD6="."),d_dir!AG6*1000)))))))),".")</f>
        <v>.</v>
      </c>
      <c r="AH6" s="70" t="str">
        <f>IFERROR(IF(AND(d_Irr!G6&lt;&gt;".",d_Irr!AF6&lt;&gt;".",d_Irr!BE6&lt;&gt;"."),d_dir!AH6/((1/1000)*(d_Irr!G6+d_Irr!AF6+d_Irr!BE6)),IF(AND(d_Irr!G6&lt;&gt;".",d_Irr!AF6&lt;&gt;".",d_Irr!BE6="."),d_dir!AH6/((1/1000)*(d_Irr!G6+d_Irr!AF6)),IF(AND(d_Irr!G6&lt;&gt;".",d_Irr!AF6=".",d_Irr!BE6&lt;&gt;"."),d_dir!AH6/((1/1000)*(d_Irr!G6+d_Irr!BE6)),IF(AND(d_Irr!G6=".",d_Irr!AF6&lt;&gt;".",d_Irr!BE6&lt;&gt;"."),d_dir!AH6/((1/1000)*(d_Irr!AF6+d_Irr!BE6)),IF(AND(d_Irr!G6=".",d_Irr!AF6=".",d_Irr!BE6&lt;&gt;"."),d_dir!AH6/((1/1000)*(d_Irr!BE6)),IF(AND(d_Irr!G6=".",d_Irr!AF6&lt;&gt;".",d_Irr!BE6="."),d_dir!AH6/((1/1000)*(d_Irr!AF6)),IF(AND(d_Irr!G6&lt;&gt;".",d_Irr!AF6=".",d_Irr!BE6="."),d_dir!AH6/((1/1000)*(d_Irr!G6)),IF(AND(d_Irr!G6=".",d_Irr!AF6=".",d_Irr!BE6="."),d_dir!AH6*1000)))))))),".")</f>
        <v>.</v>
      </c>
      <c r="AI6" s="70" t="str">
        <f>IFERROR(IF(AND(d_Irr!H6&lt;&gt;".",d_Irr!AG6&lt;&gt;".",d_Irr!BF6&lt;&gt;"."),d_dir!AI6/((1/1000)*(d_Irr!H6+d_Irr!AG6+d_Irr!BF6)),IF(AND(d_Irr!H6&lt;&gt;".",d_Irr!AG6&lt;&gt;".",d_Irr!BF6="."),d_dir!AI6/((1/1000)*(d_Irr!H6+d_Irr!AG6)),IF(AND(d_Irr!H6&lt;&gt;".",d_Irr!AG6=".",d_Irr!BF6&lt;&gt;"."),d_dir!AI6/((1/1000)*(d_Irr!H6+d_Irr!BF6)),IF(AND(d_Irr!H6=".",d_Irr!AG6&lt;&gt;".",d_Irr!BF6&lt;&gt;"."),d_dir!AI6/((1/1000)*(d_Irr!AG6+d_Irr!BF6)),IF(AND(d_Irr!H6=".",d_Irr!AG6=".",d_Irr!BF6&lt;&gt;"."),d_dir!AI6/((1/1000)*(d_Irr!BF6)),IF(AND(d_Irr!H6=".",d_Irr!AG6&lt;&gt;".",d_Irr!BF6="."),d_dir!AI6/((1/1000)*(d_Irr!AG6)),IF(AND(d_Irr!H6&lt;&gt;".",d_Irr!AG6=".",d_Irr!BF6="."),d_dir!AI6/((1/1000)*(d_Irr!H6)),IF(AND(d_Irr!H6=".",d_Irr!AG6=".",d_Irr!BF6="."),d_dir!AI6*1000)))))))),".")</f>
        <v>.</v>
      </c>
      <c r="AJ6" s="70" t="str">
        <f>IFERROR(IF(AND(d_Irr!I6&lt;&gt;".",d_Irr!AH6&lt;&gt;".",d_Irr!BG6&lt;&gt;"."),d_dir!AJ6/((1/1000)*(d_Irr!I6+d_Irr!AH6+d_Irr!BG6)),IF(AND(d_Irr!I6&lt;&gt;".",d_Irr!AH6&lt;&gt;".",d_Irr!BG6="."),d_dir!AJ6/((1/1000)*(d_Irr!I6+d_Irr!AH6)),IF(AND(d_Irr!I6&lt;&gt;".",d_Irr!AH6=".",d_Irr!BG6&lt;&gt;"."),d_dir!AJ6/((1/1000)*(d_Irr!I6+d_Irr!BG6)),IF(AND(d_Irr!I6=".",d_Irr!AH6&lt;&gt;".",d_Irr!BG6&lt;&gt;"."),d_dir!AJ6/((1/1000)*(d_Irr!AH6+d_Irr!BG6)),IF(AND(d_Irr!I6=".",d_Irr!AH6=".",d_Irr!BG6&lt;&gt;"."),d_dir!AJ6/((1/1000)*(d_Irr!BG6)),IF(AND(d_Irr!I6=".",d_Irr!AH6&lt;&gt;".",d_Irr!BG6="."),d_dir!AJ6/((1/1000)*(d_Irr!AH6)),IF(AND(d_Irr!I6&lt;&gt;".",d_Irr!AH6=".",d_Irr!BG6="."),d_dir!AJ6/((1/1000)*(d_Irr!I6)),IF(AND(d_Irr!I6=".",d_Irr!AH6=".",d_Irr!BG6="."),d_dir!AJ6*1000)))))))),".")</f>
        <v>.</v>
      </c>
      <c r="AK6" s="70" t="str">
        <f>IFERROR(IF(AND(d_Irr!J6&lt;&gt;".",d_Irr!AI6&lt;&gt;".",d_Irr!BH6&lt;&gt;"."),d_dir!AK6/((1/1000)*(d_Irr!J6+d_Irr!AI6+d_Irr!BH6)),IF(AND(d_Irr!J6&lt;&gt;".",d_Irr!AI6&lt;&gt;".",d_Irr!BH6="."),d_dir!AK6/((1/1000)*(d_Irr!J6+d_Irr!AI6)),IF(AND(d_Irr!J6&lt;&gt;".",d_Irr!AI6=".",d_Irr!BH6&lt;&gt;"."),d_dir!AK6/((1/1000)*(d_Irr!J6+d_Irr!BH6)),IF(AND(d_Irr!J6=".",d_Irr!AI6&lt;&gt;".",d_Irr!BH6&lt;&gt;"."),d_dir!AK6/((1/1000)*(d_Irr!AI6+d_Irr!BH6)),IF(AND(d_Irr!J6=".",d_Irr!AI6=".",d_Irr!BH6&lt;&gt;"."),d_dir!AK6/((1/1000)*(d_Irr!BH6)),IF(AND(d_Irr!J6=".",d_Irr!AI6&lt;&gt;".",d_Irr!BH6="."),d_dir!AK6/((1/1000)*(d_Irr!AI6)),IF(AND(d_Irr!J6&lt;&gt;".",d_Irr!AI6=".",d_Irr!BH6="."),d_dir!AK6/((1/1000)*(d_Irr!J6)),IF(AND(d_Irr!J6=".",d_Irr!AI6=".",d_Irr!BH6="."),d_dir!AK6*1000)))))))),".")</f>
        <v>.</v>
      </c>
      <c r="AL6" s="70" t="str">
        <f>IFERROR(IF(AND(d_Irr!K6&lt;&gt;".",d_Irr!AJ6&lt;&gt;".",d_Irr!BI6&lt;&gt;"."),d_dir!AL6/((1/1000)*(d_Irr!K6+d_Irr!AJ6+d_Irr!BI6)),IF(AND(d_Irr!K6&lt;&gt;".",d_Irr!AJ6&lt;&gt;".",d_Irr!BI6="."),d_dir!AL6/((1/1000)*(d_Irr!K6+d_Irr!AJ6)),IF(AND(d_Irr!K6&lt;&gt;".",d_Irr!AJ6=".",d_Irr!BI6&lt;&gt;"."),d_dir!AL6/((1/1000)*(d_Irr!K6+d_Irr!BI6)),IF(AND(d_Irr!K6=".",d_Irr!AJ6&lt;&gt;".",d_Irr!BI6&lt;&gt;"."),d_dir!AL6/((1/1000)*(d_Irr!AJ6+d_Irr!BI6)),IF(AND(d_Irr!K6=".",d_Irr!AJ6=".",d_Irr!BI6&lt;&gt;"."),d_dir!AL6/((1/1000)*(d_Irr!BI6)),IF(AND(d_Irr!K6=".",d_Irr!AJ6&lt;&gt;".",d_Irr!BI6="."),d_dir!AL6/((1/1000)*(d_Irr!AJ6)),IF(AND(d_Irr!K6&lt;&gt;".",d_Irr!AJ6=".",d_Irr!BI6="."),d_dir!AL6/((1/1000)*(d_Irr!K6)),IF(AND(d_Irr!K6=".",d_Irr!AJ6=".",d_Irr!BI6="."),d_dir!AL6*1000)))))))),".")</f>
        <v>.</v>
      </c>
      <c r="AM6" s="70" t="str">
        <f>IFERROR(IF(AND(d_Irr!L6&lt;&gt;".",d_Irr!AK6&lt;&gt;".",d_Irr!BJ6&lt;&gt;"."),d_dir!AM6/((1/1000)*(d_Irr!L6+d_Irr!AK6+d_Irr!BJ6)),IF(AND(d_Irr!L6&lt;&gt;".",d_Irr!AK6&lt;&gt;".",d_Irr!BJ6="."),d_dir!AM6/((1/1000)*(d_Irr!L6+d_Irr!AK6)),IF(AND(d_Irr!L6&lt;&gt;".",d_Irr!AK6=".",d_Irr!BJ6&lt;&gt;"."),d_dir!AM6/((1/1000)*(d_Irr!L6+d_Irr!BJ6)),IF(AND(d_Irr!L6=".",d_Irr!AK6&lt;&gt;".",d_Irr!BJ6&lt;&gt;"."),d_dir!AM6/((1/1000)*(d_Irr!AK6+d_Irr!BJ6)),IF(AND(d_Irr!L6=".",d_Irr!AK6=".",d_Irr!BJ6&lt;&gt;"."),d_dir!AM6/((1/1000)*(d_Irr!BJ6)),IF(AND(d_Irr!L6=".",d_Irr!AK6&lt;&gt;".",d_Irr!BJ6="."),d_dir!AM6/((1/1000)*(d_Irr!AK6)),IF(AND(d_Irr!L6&lt;&gt;".",d_Irr!AK6=".",d_Irr!BJ6="."),d_dir!AM6/((1/1000)*(d_Irr!L6)),IF(AND(d_Irr!L6=".",d_Irr!AK6=".",d_Irr!BJ6="."),d_dir!AM6*1000)))))))),".")</f>
        <v>.</v>
      </c>
      <c r="AN6" s="70" t="str">
        <f>IFERROR(IF(AND(d_Irr!M6&lt;&gt;".",d_Irr!AL6&lt;&gt;".",d_Irr!BK6&lt;&gt;"."),d_dir!AN6/((1/1000)*(d_Irr!M6+d_Irr!AL6+d_Irr!BK6)),IF(AND(d_Irr!M6&lt;&gt;".",d_Irr!AL6&lt;&gt;".",d_Irr!BK6="."),d_dir!AN6/((1/1000)*(d_Irr!M6+d_Irr!AL6)),IF(AND(d_Irr!M6&lt;&gt;".",d_Irr!AL6=".",d_Irr!BK6&lt;&gt;"."),d_dir!AN6/((1/1000)*(d_Irr!M6+d_Irr!BK6)),IF(AND(d_Irr!M6=".",d_Irr!AL6&lt;&gt;".",d_Irr!BK6&lt;&gt;"."),d_dir!AN6/((1/1000)*(d_Irr!AL6+d_Irr!BK6)),IF(AND(d_Irr!M6=".",d_Irr!AL6=".",d_Irr!BK6&lt;&gt;"."),d_dir!AN6/((1/1000)*(d_Irr!BK6)),IF(AND(d_Irr!M6=".",d_Irr!AL6&lt;&gt;".",d_Irr!BK6="."),d_dir!AN6/((1/1000)*(d_Irr!AL6)),IF(AND(d_Irr!M6&lt;&gt;".",d_Irr!AL6=".",d_Irr!BK6="."),d_dir!AN6/((1/1000)*(d_Irr!M6)),IF(AND(d_Irr!M6=".",d_Irr!AL6=".",d_Irr!BK6="."),d_dir!AN6*1000)))))))),".")</f>
        <v>.</v>
      </c>
      <c r="AO6" s="70" t="str">
        <f>IFERROR(IF(AND(d_Irr!N6&lt;&gt;".",d_Irr!AM6&lt;&gt;".",d_Irr!BL6&lt;&gt;"."),d_dir!AO6/((1/1000)*(d_Irr!N6+d_Irr!AM6+d_Irr!BL6)),IF(AND(d_Irr!N6&lt;&gt;".",d_Irr!AM6&lt;&gt;".",d_Irr!BL6="."),d_dir!AO6/((1/1000)*(d_Irr!N6+d_Irr!AM6)),IF(AND(d_Irr!N6&lt;&gt;".",d_Irr!AM6=".",d_Irr!BL6&lt;&gt;"."),d_dir!AO6/((1/1000)*(d_Irr!N6+d_Irr!BL6)),IF(AND(d_Irr!N6=".",d_Irr!AM6&lt;&gt;".",d_Irr!BL6&lt;&gt;"."),d_dir!AO6/((1/1000)*(d_Irr!AM6+d_Irr!BL6)),IF(AND(d_Irr!N6=".",d_Irr!AM6=".",d_Irr!BL6&lt;&gt;"."),d_dir!AO6/((1/1000)*(d_Irr!BL6)),IF(AND(d_Irr!N6=".",d_Irr!AM6&lt;&gt;".",d_Irr!BL6="."),d_dir!AO6/((1/1000)*(d_Irr!AM6)),IF(AND(d_Irr!N6&lt;&gt;".",d_Irr!AM6=".",d_Irr!BL6="."),d_dir!AO6/((1/1000)*(d_Irr!N6)),IF(AND(d_Irr!N6=".",d_Irr!AM6=".",d_Irr!BL6="."),d_dir!AO6*1000)))))))),".")</f>
        <v>.</v>
      </c>
      <c r="AP6" s="70" t="str">
        <f>IFERROR(IF(AND(d_Irr!O6&lt;&gt;".",d_Irr!AN6&lt;&gt;".",d_Irr!BM6&lt;&gt;"."),d_dir!AP6/((1/1000)*(d_Irr!O6+d_Irr!AN6+d_Irr!BM6)),IF(AND(d_Irr!O6&lt;&gt;".",d_Irr!AN6&lt;&gt;".",d_Irr!BM6="."),d_dir!AP6/((1/1000)*(d_Irr!O6+d_Irr!AN6)),IF(AND(d_Irr!O6&lt;&gt;".",d_Irr!AN6=".",d_Irr!BM6&lt;&gt;"."),d_dir!AP6/((1/1000)*(d_Irr!O6+d_Irr!BM6)),IF(AND(d_Irr!O6=".",d_Irr!AN6&lt;&gt;".",d_Irr!BM6&lt;&gt;"."),d_dir!AP6/((1/1000)*(d_Irr!AN6+d_Irr!BM6)),IF(AND(d_Irr!O6=".",d_Irr!AN6=".",d_Irr!BM6&lt;&gt;"."),d_dir!AP6/((1/1000)*(d_Irr!BM6)),IF(AND(d_Irr!O6=".",d_Irr!AN6&lt;&gt;".",d_Irr!BM6="."),d_dir!AP6/((1/1000)*(d_Irr!AN6)),IF(AND(d_Irr!O6&lt;&gt;".",d_Irr!AN6=".",d_Irr!BM6="."),d_dir!AP6/((1/1000)*(d_Irr!O6)),IF(AND(d_Irr!O6=".",d_Irr!AN6=".",d_Irr!BM6="."),d_dir!AP6*1000)))))))),".")</f>
        <v>.</v>
      </c>
      <c r="AQ6" s="70" t="str">
        <f>IFERROR(IF(AND(d_Irr!P6&lt;&gt;".",d_Irr!AO6&lt;&gt;".",d_Irr!BN6&lt;&gt;"."),d_dir!AQ6/((1/1000)*(d_Irr!P6+d_Irr!AO6+d_Irr!BN6)),IF(AND(d_Irr!P6&lt;&gt;".",d_Irr!AO6&lt;&gt;".",d_Irr!BN6="."),d_dir!AQ6/((1/1000)*(d_Irr!P6+d_Irr!AO6)),IF(AND(d_Irr!P6&lt;&gt;".",d_Irr!AO6=".",d_Irr!BN6&lt;&gt;"."),d_dir!AQ6/((1/1000)*(d_Irr!P6+d_Irr!BN6)),IF(AND(d_Irr!P6=".",d_Irr!AO6&lt;&gt;".",d_Irr!BN6&lt;&gt;"."),d_dir!AQ6/((1/1000)*(d_Irr!AO6+d_Irr!BN6)),IF(AND(d_Irr!P6=".",d_Irr!AO6=".",d_Irr!BN6&lt;&gt;"."),d_dir!AQ6/((1/1000)*(d_Irr!BN6)),IF(AND(d_Irr!P6=".",d_Irr!AO6&lt;&gt;".",d_Irr!BN6="."),d_dir!AQ6/((1/1000)*(d_Irr!AO6)),IF(AND(d_Irr!P6&lt;&gt;".",d_Irr!AO6=".",d_Irr!BN6="."),d_dir!AQ6/((1/1000)*(d_Irr!P6)),IF(AND(d_Irr!P6=".",d_Irr!AO6=".",d_Irr!BN6="."),d_dir!AQ6*1000)))))))),".")</f>
        <v>.</v>
      </c>
      <c r="AR6" s="70" t="str">
        <f>IFERROR(IF(AND(d_Irr!Q6&lt;&gt;".",d_Irr!AP6&lt;&gt;".",d_Irr!BO6&lt;&gt;"."),d_dir!AR6/((1/1000)*(d_Irr!Q6+d_Irr!AP6+d_Irr!BO6)),IF(AND(d_Irr!Q6&lt;&gt;".",d_Irr!AP6&lt;&gt;".",d_Irr!BO6="."),d_dir!AR6/((1/1000)*(d_Irr!Q6+d_Irr!AP6)),IF(AND(d_Irr!Q6&lt;&gt;".",d_Irr!AP6=".",d_Irr!BO6&lt;&gt;"."),d_dir!AR6/((1/1000)*(d_Irr!Q6+d_Irr!BO6)),IF(AND(d_Irr!Q6=".",d_Irr!AP6&lt;&gt;".",d_Irr!BO6&lt;&gt;"."),d_dir!AR6/((1/1000)*(d_Irr!AP6+d_Irr!BO6)),IF(AND(d_Irr!Q6=".",d_Irr!AP6=".",d_Irr!BO6&lt;&gt;"."),d_dir!AR6/((1/1000)*(d_Irr!BO6)),IF(AND(d_Irr!Q6=".",d_Irr!AP6&lt;&gt;".",d_Irr!BO6="."),d_dir!AR6/((1/1000)*(d_Irr!AP6)),IF(AND(d_Irr!Q6&lt;&gt;".",d_Irr!AP6=".",d_Irr!BO6="."),d_dir!AR6/((1/1000)*(d_Irr!Q6)),IF(AND(d_Irr!Q6=".",d_Irr!AP6=".",d_Irr!BO6="."),d_dir!AR6*1000)))))))),".")</f>
        <v>.</v>
      </c>
      <c r="AS6" s="70" t="str">
        <f>IFERROR(IF(AND(d_Irr!R6&lt;&gt;".",d_Irr!AQ6&lt;&gt;".",d_Irr!BP6&lt;&gt;"."),d_dir!AS6/((1/1000)*(d_Irr!R6+d_Irr!AQ6+d_Irr!BP6)),IF(AND(d_Irr!R6&lt;&gt;".",d_Irr!AQ6&lt;&gt;".",d_Irr!BP6="."),d_dir!AS6/((1/1000)*(d_Irr!R6+d_Irr!AQ6)),IF(AND(d_Irr!R6&lt;&gt;".",d_Irr!AQ6=".",d_Irr!BP6&lt;&gt;"."),d_dir!AS6/((1/1000)*(d_Irr!R6+d_Irr!BP6)),IF(AND(d_Irr!R6=".",d_Irr!AQ6&lt;&gt;".",d_Irr!BP6&lt;&gt;"."),d_dir!AS6/((1/1000)*(d_Irr!AQ6+d_Irr!BP6)),IF(AND(d_Irr!R6=".",d_Irr!AQ6=".",d_Irr!BP6&lt;&gt;"."),d_dir!AS6/((1/1000)*(d_Irr!BP6)),IF(AND(d_Irr!R6=".",d_Irr!AQ6&lt;&gt;".",d_Irr!BP6="."),d_dir!AS6/((1/1000)*(d_Irr!AQ6)),IF(AND(d_Irr!R6&lt;&gt;".",d_Irr!AQ6=".",d_Irr!BP6="."),d_dir!AS6/((1/1000)*(d_Irr!R6)),IF(AND(d_Irr!R6=".",d_Irr!AQ6=".",d_Irr!BP6="."),d_dir!AS6*1000)))))))),".")</f>
        <v>.</v>
      </c>
      <c r="AT6" s="70" t="str">
        <f>IFERROR(IF(AND(d_Irr!S6&lt;&gt;".",d_Irr!AR6&lt;&gt;".",d_Irr!BQ6&lt;&gt;"."),d_dir!AT6/((1/1000)*(d_Irr!S6+d_Irr!AR6+d_Irr!BQ6)),IF(AND(d_Irr!S6&lt;&gt;".",d_Irr!AR6&lt;&gt;".",d_Irr!BQ6="."),d_dir!AT6/((1/1000)*(d_Irr!S6+d_Irr!AR6)),IF(AND(d_Irr!S6&lt;&gt;".",d_Irr!AR6=".",d_Irr!BQ6&lt;&gt;"."),d_dir!AT6/((1/1000)*(d_Irr!S6+d_Irr!BQ6)),IF(AND(d_Irr!S6=".",d_Irr!AR6&lt;&gt;".",d_Irr!BQ6&lt;&gt;"."),d_dir!AT6/((1/1000)*(d_Irr!AR6+d_Irr!BQ6)),IF(AND(d_Irr!S6=".",d_Irr!AR6=".",d_Irr!BQ6&lt;&gt;"."),d_dir!AT6/((1/1000)*(d_Irr!BQ6)),IF(AND(d_Irr!S6=".",d_Irr!AR6&lt;&gt;".",d_Irr!BQ6="."),d_dir!AT6/((1/1000)*(d_Irr!AR6)),IF(AND(d_Irr!S6&lt;&gt;".",d_Irr!AR6=".",d_Irr!BQ6="."),d_dir!AT6/((1/1000)*(d_Irr!S6)),IF(AND(d_Irr!S6=".",d_Irr!AR6=".",d_Irr!BQ6="."),d_dir!AT6*1000)))))))),".")</f>
        <v>.</v>
      </c>
      <c r="AU6" s="70" t="str">
        <f>IFERROR(IF(AND(d_Irr!T6&lt;&gt;".",d_Irr!AS6&lt;&gt;".",d_Irr!BR6&lt;&gt;"."),d_dir!AU6/((1/1000)*(d_Irr!T6+d_Irr!AS6+d_Irr!BR6)),IF(AND(d_Irr!T6&lt;&gt;".",d_Irr!AS6&lt;&gt;".",d_Irr!BR6="."),d_dir!AU6/((1/1000)*(d_Irr!T6+d_Irr!AS6)),IF(AND(d_Irr!T6&lt;&gt;".",d_Irr!AS6=".",d_Irr!BR6&lt;&gt;"."),d_dir!AU6/((1/1000)*(d_Irr!T6+d_Irr!BR6)),IF(AND(d_Irr!T6=".",d_Irr!AS6&lt;&gt;".",d_Irr!BR6&lt;&gt;"."),d_dir!AU6/((1/1000)*(d_Irr!AS6+d_Irr!BR6)),IF(AND(d_Irr!T6=".",d_Irr!AS6=".",d_Irr!BR6&lt;&gt;"."),d_dir!AU6/((1/1000)*(d_Irr!BR6)),IF(AND(d_Irr!T6=".",d_Irr!AS6&lt;&gt;".",d_Irr!BR6="."),d_dir!AU6/((1/1000)*(d_Irr!AS6)),IF(AND(d_Irr!T6&lt;&gt;".",d_Irr!AS6=".",d_Irr!BR6="."),d_dir!AU6/((1/1000)*(d_Irr!T6)),IF(AND(d_Irr!T6=".",d_Irr!AS6=".",d_Irr!BR6="."),d_dir!AU6*1000)))))))),".")</f>
        <v>.</v>
      </c>
      <c r="AV6" s="70" t="str">
        <f>IFERROR(IF(AND(d_Irr!U6&lt;&gt;".",d_Irr!AT6&lt;&gt;".",d_Irr!BS6&lt;&gt;"."),d_dir!AV6/((1/1000)*(d_Irr!U6+d_Irr!AT6+d_Irr!BS6)),IF(AND(d_Irr!U6&lt;&gt;".",d_Irr!AT6&lt;&gt;".",d_Irr!BS6="."),d_dir!AV6/((1/1000)*(d_Irr!U6+d_Irr!AT6)),IF(AND(d_Irr!U6&lt;&gt;".",d_Irr!AT6=".",d_Irr!BS6&lt;&gt;"."),d_dir!AV6/((1/1000)*(d_Irr!U6+d_Irr!BS6)),IF(AND(d_Irr!U6=".",d_Irr!AT6&lt;&gt;".",d_Irr!BS6&lt;&gt;"."),d_dir!AV6/((1/1000)*(d_Irr!AT6+d_Irr!BS6)),IF(AND(d_Irr!U6=".",d_Irr!AT6=".",d_Irr!BS6&lt;&gt;"."),d_dir!AV6/((1/1000)*(d_Irr!BS6)),IF(AND(d_Irr!U6=".",d_Irr!AT6&lt;&gt;".",d_Irr!BS6="."),d_dir!AV6/((1/1000)*(d_Irr!AT6)),IF(AND(d_Irr!U6&lt;&gt;".",d_Irr!AT6=".",d_Irr!BS6="."),d_dir!AV6/((1/1000)*(d_Irr!U6)),IF(AND(d_Irr!U6=".",d_Irr!AT6=".",d_Irr!BS6="."),d_dir!AV6*1000)))))))),".")</f>
        <v>.</v>
      </c>
      <c r="AW6" s="70" t="str">
        <f>IFERROR(IF(AND(d_Irr!V6&lt;&gt;".",d_Irr!AU6&lt;&gt;".",d_Irr!BT6&lt;&gt;"."),d_dir!AW6/((1/1000)*(d_Irr!V6+d_Irr!AU6+d_Irr!BT6)),IF(AND(d_Irr!V6&lt;&gt;".",d_Irr!AU6&lt;&gt;".",d_Irr!BT6="."),d_dir!AW6/((1/1000)*(d_Irr!V6+d_Irr!AU6)),IF(AND(d_Irr!V6&lt;&gt;".",d_Irr!AU6=".",d_Irr!BT6&lt;&gt;"."),d_dir!AW6/((1/1000)*(d_Irr!V6+d_Irr!BT6)),IF(AND(d_Irr!V6=".",d_Irr!AU6&lt;&gt;".",d_Irr!BT6&lt;&gt;"."),d_dir!AW6/((1/1000)*(d_Irr!AU6+d_Irr!BT6)),IF(AND(d_Irr!V6=".",d_Irr!AU6=".",d_Irr!BT6&lt;&gt;"."),d_dir!AW6/((1/1000)*(d_Irr!BT6)),IF(AND(d_Irr!V6=".",d_Irr!AU6&lt;&gt;".",d_Irr!BT6="."),d_dir!AW6/((1/1000)*(d_Irr!AU6)),IF(AND(d_Irr!V6&lt;&gt;".",d_Irr!AU6=".",d_Irr!BT6="."),d_dir!AW6/((1/1000)*(d_Irr!V6)),IF(AND(d_Irr!V6=".",d_Irr!AU6=".",d_Irr!BT6="."),d_dir!AW6*1000)))))))),".")</f>
        <v>.</v>
      </c>
      <c r="AX6" s="70" t="str">
        <f>IFERROR(IF(AND(d_Irr!W6&lt;&gt;".",d_Irr!AV6&lt;&gt;".",d_Irr!BU6&lt;&gt;"."),d_dir!AX6/((1/1000)*(d_Irr!W6+d_Irr!AV6+d_Irr!BU6)),IF(AND(d_Irr!W6&lt;&gt;".",d_Irr!AV6&lt;&gt;".",d_Irr!BU6="."),d_dir!AX6/((1/1000)*(d_Irr!W6+d_Irr!AV6)),IF(AND(d_Irr!W6&lt;&gt;".",d_Irr!AV6=".",d_Irr!BU6&lt;&gt;"."),d_dir!AX6/((1/1000)*(d_Irr!W6+d_Irr!BU6)),IF(AND(d_Irr!W6=".",d_Irr!AV6&lt;&gt;".",d_Irr!BU6&lt;&gt;"."),d_dir!AX6/((1/1000)*(d_Irr!AV6+d_Irr!BU6)),IF(AND(d_Irr!W6=".",d_Irr!AV6=".",d_Irr!BU6&lt;&gt;"."),d_dir!AX6/((1/1000)*(d_Irr!BU6)),IF(AND(d_Irr!W6=".",d_Irr!AV6&lt;&gt;".",d_Irr!BU6="."),d_dir!AX6/((1/1000)*(d_Irr!AV6)),IF(AND(d_Irr!W6&lt;&gt;".",d_Irr!AV6=".",d_Irr!BU6="."),d_dir!AX6/((1/1000)*(d_Irr!W6)),IF(AND(d_Irr!W6=".",d_Irr!AV6=".",d_Irr!BU6="."),d_dir!AX6*1000)))))))),".")</f>
        <v>.</v>
      </c>
      <c r="AY6" s="70" t="str">
        <f>IFERROR(IF(AND(d_Irr!X6&lt;&gt;".",d_Irr!AW6&lt;&gt;".",d_Irr!BV6&lt;&gt;"."),d_dir!AY6/((1/1000)*(d_Irr!X6+d_Irr!AW6+d_Irr!BV6)),IF(AND(d_Irr!X6&lt;&gt;".",d_Irr!AW6&lt;&gt;".",d_Irr!BV6="."),d_dir!AY6/((1/1000)*(d_Irr!X6+d_Irr!AW6)),IF(AND(d_Irr!X6&lt;&gt;".",d_Irr!AW6=".",d_Irr!BV6&lt;&gt;"."),d_dir!AY6/((1/1000)*(d_Irr!X6+d_Irr!BV6)),IF(AND(d_Irr!X6=".",d_Irr!AW6&lt;&gt;".",d_Irr!BV6&lt;&gt;"."),d_dir!AY6/((1/1000)*(d_Irr!AW6+d_Irr!BV6)),IF(AND(d_Irr!X6=".",d_Irr!AW6=".",d_Irr!BV6&lt;&gt;"."),d_dir!AY6/((1/1000)*(d_Irr!BV6)),IF(AND(d_Irr!X6=".",d_Irr!AW6&lt;&gt;".",d_Irr!BV6="."),d_dir!AY6/((1/1000)*(d_Irr!AW6)),IF(AND(d_Irr!X6&lt;&gt;".",d_Irr!AW6=".",d_Irr!BV6="."),d_dir!AY6/((1/1000)*(d_Irr!X6)),IF(AND(d_Irr!X6=".",d_Irr!AW6=".",d_Irr!BV6="."),d_dir!AY6*1000)))))))),".")</f>
        <v>.</v>
      </c>
      <c r="AZ6" s="70" t="str">
        <f>IFERROR(IF(AND(d_Irr!Y6&lt;&gt;".",d_Irr!AX6&lt;&gt;".",d_Irr!BW6&lt;&gt;"."),d_dir!AZ6/((1/1000)*(d_Irr!Y6+d_Irr!AX6+d_Irr!BW6)),IF(AND(d_Irr!Y6&lt;&gt;".",d_Irr!AX6&lt;&gt;".",d_Irr!BW6="."),d_dir!AZ6/((1/1000)*(d_Irr!Y6+d_Irr!AX6)),IF(AND(d_Irr!Y6&lt;&gt;".",d_Irr!AX6=".",d_Irr!BW6&lt;&gt;"."),d_dir!AZ6/((1/1000)*(d_Irr!Y6+d_Irr!BW6)),IF(AND(d_Irr!Y6=".",d_Irr!AX6&lt;&gt;".",d_Irr!BW6&lt;&gt;"."),d_dir!AZ6/((1/1000)*(d_Irr!AX6+d_Irr!BW6)),IF(AND(d_Irr!Y6=".",d_Irr!AX6=".",d_Irr!BW6&lt;&gt;"."),d_dir!AZ6/((1/1000)*(d_Irr!BW6)),IF(AND(d_Irr!Y6=".",d_Irr!AX6&lt;&gt;".",d_Irr!BW6="."),d_dir!AZ6/((1/1000)*(d_Irr!AX6)),IF(AND(d_Irr!Y6&lt;&gt;".",d_Irr!AX6=".",d_Irr!BW6="."),d_dir!AZ6/((1/1000)*(d_Irr!Y6)),IF(AND(d_Irr!Y6=".",d_Irr!AX6=".",d_Irr!BW6="."),d_dir!AZ6*1000)))))))),".")</f>
        <v>.</v>
      </c>
      <c r="BA6" s="70" t="str">
        <f>IFERROR(IF(AND(d_Irr!Z6&lt;&gt;".",d_Irr!AY6&lt;&gt;".",d_Irr!BX6&lt;&gt;"."),d_dir!BA6/((1/1000)*(d_Irr!Z6+d_Irr!AY6+d_Irr!BX6)),IF(AND(d_Irr!Z6&lt;&gt;".",d_Irr!AY6&lt;&gt;".",d_Irr!BX6="."),d_dir!BA6/((1/1000)*(d_Irr!Z6+d_Irr!AY6)),IF(AND(d_Irr!Z6&lt;&gt;".",d_Irr!AY6=".",d_Irr!BX6&lt;&gt;"."),d_dir!BA6/((1/1000)*(d_Irr!Z6+d_Irr!BX6)),IF(AND(d_Irr!Z6=".",d_Irr!AY6&lt;&gt;".",d_Irr!BX6&lt;&gt;"."),d_dir!BA6/((1/1000)*(d_Irr!AY6+d_Irr!BX6)),IF(AND(d_Irr!Z6=".",d_Irr!AY6=".",d_Irr!BX6&lt;&gt;"."),d_dir!BA6/((1/1000)*(d_Irr!BX6)),IF(AND(d_Irr!Z6=".",d_Irr!AY6&lt;&gt;".",d_Irr!BX6="."),d_dir!BA6/((1/1000)*(d_Irr!AY6)),IF(AND(d_Irr!Z6&lt;&gt;".",d_Irr!AY6=".",d_Irr!BX6="."),d_dir!BA6/((1/1000)*(d_Irr!Z6)),IF(AND(d_Irr!Z6=".",d_Irr!AY6=".",d_Irr!BX6="."),d_dir!BA6*1000)))))))),".")</f>
        <v>.</v>
      </c>
      <c r="BB6" s="70" t="str">
        <f>IFERROR(IF(AND(d_Irr!AA6&lt;&gt;".",d_Irr!AZ6&lt;&gt;".",d_Irr!BY6&lt;&gt;"."),d_dir!BB6/((1/1000)*(d_Irr!AA6+d_Irr!AZ6+d_Irr!BY6)),IF(AND(d_Irr!AA6&lt;&gt;".",d_Irr!AZ6&lt;&gt;".",d_Irr!BY6="."),d_dir!BB6/((1/1000)*(d_Irr!AA6+d_Irr!AZ6)),IF(AND(d_Irr!AA6&lt;&gt;".",d_Irr!AZ6=".",d_Irr!BY6&lt;&gt;"."),d_dir!BB6/((1/1000)*(d_Irr!AA6+d_Irr!BY6)),IF(AND(d_Irr!AA6=".",d_Irr!AZ6&lt;&gt;".",d_Irr!BY6&lt;&gt;"."),d_dir!BB6/((1/1000)*(d_Irr!AZ6+d_Irr!BY6)),IF(AND(d_Irr!AA6=".",d_Irr!AZ6=".",d_Irr!BY6&lt;&gt;"."),d_dir!BB6/((1/1000)*(d_Irr!BY6)),IF(AND(d_Irr!AA6=".",d_Irr!AZ6&lt;&gt;".",d_Irr!BY6="."),d_dir!BB6/((1/1000)*(d_Irr!AZ6)),IF(AND(d_Irr!AA6&lt;&gt;".",d_Irr!AZ6=".",d_Irr!BY6="."),d_dir!BB6/((1/1000)*(d_Irr!AA6)),IF(AND(d_Irr!AA6=".",d_Irr!AZ6=".",d_Irr!BY6="."),d_dir!BB6*1000)))))))),".")</f>
        <v>.</v>
      </c>
    </row>
    <row r="7" spans="1:54" ht="15" customHeight="1" x14ac:dyDescent="0.25">
      <c r="A7" s="86" t="s">
        <v>5</v>
      </c>
      <c r="B7" s="84" t="s">
        <v>1057</v>
      </c>
      <c r="C7" s="2">
        <f t="shared" si="1"/>
        <v>44.459442309800728</v>
      </c>
      <c r="D7" s="70">
        <f>IFERROR(IF(AND(d_Irr!C7&lt;&gt;".",d_Irr!AB7&lt;&gt;".",d_Irr!BA7&lt;&gt;"."),d_dir!D7/((1/1000)*(d_Irr!C7+d_Irr!AB7+d_Irr!BA7)),IF(AND(d_Irr!C7&lt;&gt;".",d_Irr!AB7&lt;&gt;".",d_Irr!BA7="."),d_dir!D7/((1/1000)*(d_Irr!C7+d_Irr!AB7)),IF(AND(d_Irr!C7&lt;&gt;".",d_Irr!AB7=".",d_Irr!BA7&lt;&gt;"."),d_dir!D7/((1/1000)*(d_Irr!C7+d_Irr!BA7)),IF(AND(d_Irr!C7=".",d_Irr!AB7&lt;&gt;".",d_Irr!BA7&lt;&gt;"."),d_dir!D7/((1/1000)*(d_Irr!AB7+d_Irr!BA7)),IF(AND(d_Irr!C7=".",d_Irr!AB7=".",d_Irr!BA7&lt;&gt;"."),d_dir!D7/((1/1000)*(d_Irr!BA7)),IF(AND(d_Irr!C7=".",d_Irr!AB7&lt;&gt;".",d_Irr!BA7="."),d_dir!D7/((1/1000)*(d_Irr!AB7)),IF(AND(d_Irr!C7&lt;&gt;".",d_Irr!AB7=".",d_Irr!BA7="."),d_dir!D7/((1/1000)*(d_Irr!C7)),IF(AND(d_Irr!C7=".",d_Irr!AB7=".",d_Irr!BA7="."),d_dir!D7*1000)))))))),".")</f>
        <v>808.50857544052133</v>
      </c>
      <c r="E7" s="70">
        <f>IFERROR(IF(AND(d_Irr!D7&lt;&gt;".",d_Irr!AC7&lt;&gt;".",d_Irr!BB7&lt;&gt;"."),d_dir!E7/((1/1000)*(d_Irr!D7+d_Irr!AC7+d_Irr!BB7)),IF(AND(d_Irr!D7&lt;&gt;".",d_Irr!AC7&lt;&gt;".",d_Irr!BB7="."),d_dir!E7/((1/1000)*(d_Irr!D7+d_Irr!AC7)),IF(AND(d_Irr!D7&lt;&gt;".",d_Irr!AC7=".",d_Irr!BB7&lt;&gt;"."),d_dir!E7/((1/1000)*(d_Irr!D7+d_Irr!BB7)),IF(AND(d_Irr!D7=".",d_Irr!AC7&lt;&gt;".",d_Irr!BB7&lt;&gt;"."),d_dir!E7/((1/1000)*(d_Irr!AC7+d_Irr!BB7)),IF(AND(d_Irr!D7=".",d_Irr!AC7=".",d_Irr!BB7&lt;&gt;"."),d_dir!E7/((1/1000)*(d_Irr!BB7)),IF(AND(d_Irr!D7=".",d_Irr!AC7&lt;&gt;".",d_Irr!BB7="."),d_dir!E7/((1/1000)*(d_Irr!AC7)),IF(AND(d_Irr!D7&lt;&gt;".",d_Irr!AC7=".",d_Irr!BB7="."),d_dir!E7/((1/1000)*(d_Irr!D7)),IF(AND(d_Irr!D7=".",d_Irr!AC7=".",d_Irr!BB7="."),d_dir!E7*1000)))))))),".")</f>
        <v>1767.6945738627269</v>
      </c>
      <c r="F7" s="70">
        <f>IFERROR(IF(AND(d_Irr!E7&lt;&gt;".",d_Irr!AD7&lt;&gt;".",d_Irr!BC7&lt;&gt;"."),d_dir!F7/((1/1000)*(d_Irr!E7+d_Irr!AD7+d_Irr!BC7)),IF(AND(d_Irr!E7&lt;&gt;".",d_Irr!AD7&lt;&gt;".",d_Irr!BC7="."),d_dir!F7/((1/1000)*(d_Irr!E7+d_Irr!AD7)),IF(AND(d_Irr!E7&lt;&gt;".",d_Irr!AD7=".",d_Irr!BC7&lt;&gt;"."),d_dir!F7/((1/1000)*(d_Irr!E7+d_Irr!BC7)),IF(AND(d_Irr!E7=".",d_Irr!AD7&lt;&gt;".",d_Irr!BC7&lt;&gt;"."),d_dir!F7/((1/1000)*(d_Irr!AD7+d_Irr!BC7)),IF(AND(d_Irr!E7=".",d_Irr!AD7=".",d_Irr!BC7&lt;&gt;"."),d_dir!F7/((1/1000)*(d_Irr!BC7)),IF(AND(d_Irr!E7=".",d_Irr!AD7&lt;&gt;".",d_Irr!BC7="."),d_dir!F7/((1/1000)*(d_Irr!AD7)),IF(AND(d_Irr!E7&lt;&gt;".",d_Irr!AD7=".",d_Irr!BC7="."),d_dir!F7/((1/1000)*(d_Irr!E7)),IF(AND(d_Irr!E7=".",d_Irr!AD7=".",d_Irr!BC7="."),d_dir!F7*1000)))))))),".")</f>
        <v>2131.5463326541303</v>
      </c>
      <c r="G7" s="70">
        <f>IFERROR(IF(AND(d_Irr!F7&lt;&gt;".",d_Irr!AE7&lt;&gt;".",d_Irr!BD7&lt;&gt;"."),d_dir!G7/((1/1000)*(d_Irr!F7+d_Irr!AE7+d_Irr!BD7)),IF(AND(d_Irr!F7&lt;&gt;".",d_Irr!AE7&lt;&gt;".",d_Irr!BD7="."),d_dir!G7/((1/1000)*(d_Irr!F7+d_Irr!AE7)),IF(AND(d_Irr!F7&lt;&gt;".",d_Irr!AE7=".",d_Irr!BD7&lt;&gt;"."),d_dir!G7/((1/1000)*(d_Irr!F7+d_Irr!BD7)),IF(AND(d_Irr!F7=".",d_Irr!AE7&lt;&gt;".",d_Irr!BD7&lt;&gt;"."),d_dir!G7/((1/1000)*(d_Irr!AE7+d_Irr!BD7)),IF(AND(d_Irr!F7=".",d_Irr!AE7=".",d_Irr!BD7&lt;&gt;"."),d_dir!G7/((1/1000)*(d_Irr!BD7)),IF(AND(d_Irr!F7=".",d_Irr!AE7&lt;&gt;".",d_Irr!BD7="."),d_dir!G7/((1/1000)*(d_Irr!AE7)),IF(AND(d_Irr!F7&lt;&gt;".",d_Irr!AE7=".",d_Irr!BD7="."),d_dir!G7/((1/1000)*(d_Irr!F7)),IF(AND(d_Irr!F7=".",d_Irr!AE7=".",d_Irr!BD7="."),d_dir!G7*1000)))))))),".")</f>
        <v>1817.9890357562479</v>
      </c>
      <c r="H7" s="70">
        <f>IFERROR(IF(AND(d_Irr!G7&lt;&gt;".",d_Irr!AF7&lt;&gt;".",d_Irr!BE7&lt;&gt;"."),d_dir!H7/((1/1000)*(d_Irr!G7+d_Irr!AF7+d_Irr!BE7)),IF(AND(d_Irr!G7&lt;&gt;".",d_Irr!AF7&lt;&gt;".",d_Irr!BE7="."),d_dir!H7/((1/1000)*(d_Irr!G7+d_Irr!AF7)),IF(AND(d_Irr!G7&lt;&gt;".",d_Irr!AF7=".",d_Irr!BE7&lt;&gt;"."),d_dir!H7/((1/1000)*(d_Irr!G7+d_Irr!BE7)),IF(AND(d_Irr!G7=".",d_Irr!AF7&lt;&gt;".",d_Irr!BE7&lt;&gt;"."),d_dir!H7/((1/1000)*(d_Irr!AF7+d_Irr!BE7)),IF(AND(d_Irr!G7=".",d_Irr!AF7=".",d_Irr!BE7&lt;&gt;"."),d_dir!H7/((1/1000)*(d_Irr!BE7)),IF(AND(d_Irr!G7=".",d_Irr!AF7&lt;&gt;".",d_Irr!BE7="."),d_dir!H7/((1/1000)*(d_Irr!AF7)),IF(AND(d_Irr!G7&lt;&gt;".",d_Irr!AF7=".",d_Irr!BE7="."),d_dir!H7/((1/1000)*(d_Irr!G7)),IF(AND(d_Irr!G7=".",d_Irr!AF7=".",d_Irr!BE7="."),d_dir!H7*1000)))))))),".")</f>
        <v>2230.1817494275647</v>
      </c>
      <c r="I7" s="70">
        <f>IFERROR(IF(AND(d_Irr!H7&lt;&gt;".",d_Irr!AG7&lt;&gt;".",d_Irr!BF7&lt;&gt;"."),d_dir!I7/((1/1000)*(d_Irr!H7+d_Irr!AG7+d_Irr!BF7)),IF(AND(d_Irr!H7&lt;&gt;".",d_Irr!AG7&lt;&gt;".",d_Irr!BF7="."),d_dir!I7/((1/1000)*(d_Irr!H7+d_Irr!AG7)),IF(AND(d_Irr!H7&lt;&gt;".",d_Irr!AG7=".",d_Irr!BF7&lt;&gt;"."),d_dir!I7/((1/1000)*(d_Irr!H7+d_Irr!BF7)),IF(AND(d_Irr!H7=".",d_Irr!AG7&lt;&gt;".",d_Irr!BF7&lt;&gt;"."),d_dir!I7/((1/1000)*(d_Irr!AG7+d_Irr!BF7)),IF(AND(d_Irr!H7=".",d_Irr!AG7=".",d_Irr!BF7&lt;&gt;"."),d_dir!I7/((1/1000)*(d_Irr!BF7)),IF(AND(d_Irr!H7=".",d_Irr!AG7&lt;&gt;".",d_Irr!BF7="."),d_dir!I7/((1/1000)*(d_Irr!AG7)),IF(AND(d_Irr!H7&lt;&gt;".",d_Irr!AG7=".",d_Irr!BF7="."),d_dir!I7/((1/1000)*(d_Irr!H7)),IF(AND(d_Irr!H7=".",d_Irr!AG7=".",d_Irr!BF7="."),d_dir!I7*1000)))))))),".")</f>
        <v>870.6149883667855</v>
      </c>
      <c r="J7" s="70">
        <f>IFERROR(IF(AND(d_Irr!I7&lt;&gt;".",d_Irr!AH7&lt;&gt;".",d_Irr!BG7&lt;&gt;"."),d_dir!J7/((1/1000)*(d_Irr!I7+d_Irr!AH7+d_Irr!BG7)),IF(AND(d_Irr!I7&lt;&gt;".",d_Irr!AH7&lt;&gt;".",d_Irr!BG7="."),d_dir!J7/((1/1000)*(d_Irr!I7+d_Irr!AH7)),IF(AND(d_Irr!I7&lt;&gt;".",d_Irr!AH7=".",d_Irr!BG7&lt;&gt;"."),d_dir!J7/((1/1000)*(d_Irr!I7+d_Irr!BG7)),IF(AND(d_Irr!I7=".",d_Irr!AH7&lt;&gt;".",d_Irr!BG7&lt;&gt;"."),d_dir!J7/((1/1000)*(d_Irr!AH7+d_Irr!BG7)),IF(AND(d_Irr!I7=".",d_Irr!AH7=".",d_Irr!BG7&lt;&gt;"."),d_dir!J7/((1/1000)*(d_Irr!BG7)),IF(AND(d_Irr!I7=".",d_Irr!AH7&lt;&gt;".",d_Irr!BG7="."),d_dir!J7/((1/1000)*(d_Irr!AH7)),IF(AND(d_Irr!I7&lt;&gt;".",d_Irr!AH7=".",d_Irr!BG7="."),d_dir!J7/((1/1000)*(d_Irr!I7)),IF(AND(d_Irr!I7=".",d_Irr!AH7=".",d_Irr!BG7="."),d_dir!J7*1000)))))))),".")</f>
        <v>2454.9206857901754</v>
      </c>
      <c r="K7" s="70">
        <f>IFERROR(IF(AND(d_Irr!J7&lt;&gt;".",d_Irr!AI7&lt;&gt;".",d_Irr!BH7&lt;&gt;"."),d_dir!K7/((1/1000)*(d_Irr!J7+d_Irr!AI7+d_Irr!BH7)),IF(AND(d_Irr!J7&lt;&gt;".",d_Irr!AI7&lt;&gt;".",d_Irr!BH7="."),d_dir!K7/((1/1000)*(d_Irr!J7+d_Irr!AI7)),IF(AND(d_Irr!J7&lt;&gt;".",d_Irr!AI7=".",d_Irr!BH7&lt;&gt;"."),d_dir!K7/((1/1000)*(d_Irr!J7+d_Irr!BH7)),IF(AND(d_Irr!J7=".",d_Irr!AI7&lt;&gt;".",d_Irr!BH7&lt;&gt;"."),d_dir!K7/((1/1000)*(d_Irr!AI7+d_Irr!BH7)),IF(AND(d_Irr!J7=".",d_Irr!AI7=".",d_Irr!BH7&lt;&gt;"."),d_dir!K7/((1/1000)*(d_Irr!BH7)),IF(AND(d_Irr!J7=".",d_Irr!AI7&lt;&gt;".",d_Irr!BH7="."),d_dir!K7/((1/1000)*(d_Irr!AI7)),IF(AND(d_Irr!J7&lt;&gt;".",d_Irr!AI7=".",d_Irr!BH7="."),d_dir!K7/((1/1000)*(d_Irr!J7)),IF(AND(d_Irr!J7=".",d_Irr!AI7=".",d_Irr!BH7="."),d_dir!K7*1000)))))))),".")</f>
        <v>209.59594670353678</v>
      </c>
      <c r="L7" s="70">
        <f>IFERROR(IF(AND(d_Irr!K7&lt;&gt;".",d_Irr!AJ7&lt;&gt;".",d_Irr!BI7&lt;&gt;"."),d_dir!L7/((1/1000)*(d_Irr!K7+d_Irr!AJ7+d_Irr!BI7)),IF(AND(d_Irr!K7&lt;&gt;".",d_Irr!AJ7&lt;&gt;".",d_Irr!BI7="."),d_dir!L7/((1/1000)*(d_Irr!K7+d_Irr!AJ7)),IF(AND(d_Irr!K7&lt;&gt;".",d_Irr!AJ7=".",d_Irr!BI7&lt;&gt;"."),d_dir!L7/((1/1000)*(d_Irr!K7+d_Irr!BI7)),IF(AND(d_Irr!K7=".",d_Irr!AJ7&lt;&gt;".",d_Irr!BI7&lt;&gt;"."),d_dir!L7/((1/1000)*(d_Irr!AJ7+d_Irr!BI7)),IF(AND(d_Irr!K7=".",d_Irr!AJ7=".",d_Irr!BI7&lt;&gt;"."),d_dir!L7/((1/1000)*(d_Irr!BI7)),IF(AND(d_Irr!K7=".",d_Irr!AJ7&lt;&gt;".",d_Irr!BI7="."),d_dir!L7/((1/1000)*(d_Irr!AJ7)),IF(AND(d_Irr!K7&lt;&gt;".",d_Irr!AJ7=".",d_Irr!BI7="."),d_dir!L7/((1/1000)*(d_Irr!K7)),IF(AND(d_Irr!K7=".",d_Irr!AJ7=".",d_Irr!BI7="."),d_dir!L7*1000)))))))),".")</f>
        <v>1149.1560289118158</v>
      </c>
      <c r="M7" s="70">
        <f>IFERROR(IF(AND(d_Irr!L7&lt;&gt;".",d_Irr!AK7&lt;&gt;".",d_Irr!BJ7&lt;&gt;"."),d_dir!M7/((1/1000)*(d_Irr!L7+d_Irr!AK7+d_Irr!BJ7)),IF(AND(d_Irr!L7&lt;&gt;".",d_Irr!AK7&lt;&gt;".",d_Irr!BJ7="."),d_dir!M7/((1/1000)*(d_Irr!L7+d_Irr!AK7)),IF(AND(d_Irr!L7&lt;&gt;".",d_Irr!AK7=".",d_Irr!BJ7&lt;&gt;"."),d_dir!M7/((1/1000)*(d_Irr!L7+d_Irr!BJ7)),IF(AND(d_Irr!L7=".",d_Irr!AK7&lt;&gt;".",d_Irr!BJ7&lt;&gt;"."),d_dir!M7/((1/1000)*(d_Irr!AK7+d_Irr!BJ7)),IF(AND(d_Irr!L7=".",d_Irr!AK7=".",d_Irr!BJ7&lt;&gt;"."),d_dir!M7/((1/1000)*(d_Irr!BJ7)),IF(AND(d_Irr!L7=".",d_Irr!AK7&lt;&gt;".",d_Irr!BJ7="."),d_dir!M7/((1/1000)*(d_Irr!AK7)),IF(AND(d_Irr!L7&lt;&gt;".",d_Irr!AK7=".",d_Irr!BJ7="."),d_dir!M7/((1/1000)*(d_Irr!L7)),IF(AND(d_Irr!L7=".",d_Irr!AK7=".",d_Irr!BJ7="."),d_dir!M7*1000)))))))),".")</f>
        <v>861.24048742853142</v>
      </c>
      <c r="N7" s="70">
        <f>IFERROR(IF(AND(d_Irr!M7&lt;&gt;".",d_Irr!AL7&lt;&gt;".",d_Irr!BK7&lt;&gt;"."),d_dir!N7/((1/1000)*(d_Irr!M7+d_Irr!AL7+d_Irr!BK7)),IF(AND(d_Irr!M7&lt;&gt;".",d_Irr!AL7&lt;&gt;".",d_Irr!BK7="."),d_dir!N7/((1/1000)*(d_Irr!M7+d_Irr!AL7)),IF(AND(d_Irr!M7&lt;&gt;".",d_Irr!AL7=".",d_Irr!BK7&lt;&gt;"."),d_dir!N7/((1/1000)*(d_Irr!M7+d_Irr!BK7)),IF(AND(d_Irr!M7=".",d_Irr!AL7&lt;&gt;".",d_Irr!BK7&lt;&gt;"."),d_dir!N7/((1/1000)*(d_Irr!AL7+d_Irr!BK7)),IF(AND(d_Irr!M7=".",d_Irr!AL7=".",d_Irr!BK7&lt;&gt;"."),d_dir!N7/((1/1000)*(d_Irr!BK7)),IF(AND(d_Irr!M7=".",d_Irr!AL7&lt;&gt;".",d_Irr!BK7="."),d_dir!N7/((1/1000)*(d_Irr!AL7)),IF(AND(d_Irr!M7&lt;&gt;".",d_Irr!AL7=".",d_Irr!BK7="."),d_dir!N7/((1/1000)*(d_Irr!M7)),IF(AND(d_Irr!M7=".",d_Irr!AL7=".",d_Irr!BK7="."),d_dir!N7*1000)))))))),".")</f>
        <v>1918.5620766475238</v>
      </c>
      <c r="O7" s="70">
        <f>IFERROR(IF(AND(d_Irr!N7&lt;&gt;".",d_Irr!AM7&lt;&gt;".",d_Irr!BL7&lt;&gt;"."),d_dir!O7/((1/1000)*(d_Irr!N7+d_Irr!AM7+d_Irr!BL7)),IF(AND(d_Irr!N7&lt;&gt;".",d_Irr!AM7&lt;&gt;".",d_Irr!BL7="."),d_dir!O7/((1/1000)*(d_Irr!N7+d_Irr!AM7)),IF(AND(d_Irr!N7&lt;&gt;".",d_Irr!AM7=".",d_Irr!BL7&lt;&gt;"."),d_dir!O7/((1/1000)*(d_Irr!N7+d_Irr!BL7)),IF(AND(d_Irr!N7=".",d_Irr!AM7&lt;&gt;".",d_Irr!BL7&lt;&gt;"."),d_dir!O7/((1/1000)*(d_Irr!AM7+d_Irr!BL7)),IF(AND(d_Irr!N7=".",d_Irr!AM7=".",d_Irr!BL7&lt;&gt;"."),d_dir!O7/((1/1000)*(d_Irr!BL7)),IF(AND(d_Irr!N7=".",d_Irr!AM7&lt;&gt;".",d_Irr!BL7="."),d_dir!O7/((1/1000)*(d_Irr!AM7)),IF(AND(d_Irr!N7&lt;&gt;".",d_Irr!AM7=".",d_Irr!BL7="."),d_dir!O7/((1/1000)*(d_Irr!N7)),IF(AND(d_Irr!N7=".",d_Irr!AM7=".",d_Irr!BL7="."),d_dir!O7*1000)))))))),".")</f>
        <v>1871.9601705514644</v>
      </c>
      <c r="P7" s="70">
        <f>IFERROR(IF(AND(d_Irr!O7&lt;&gt;".",d_Irr!AN7&lt;&gt;".",d_Irr!BM7&lt;&gt;"."),d_dir!P7/((1/1000)*(d_Irr!O7+d_Irr!AN7+d_Irr!BM7)),IF(AND(d_Irr!O7&lt;&gt;".",d_Irr!AN7&lt;&gt;".",d_Irr!BM7="."),d_dir!P7/((1/1000)*(d_Irr!O7+d_Irr!AN7)),IF(AND(d_Irr!O7&lt;&gt;".",d_Irr!AN7=".",d_Irr!BM7&lt;&gt;"."),d_dir!P7/((1/1000)*(d_Irr!O7+d_Irr!BM7)),IF(AND(d_Irr!O7=".",d_Irr!AN7&lt;&gt;".",d_Irr!BM7&lt;&gt;"."),d_dir!P7/((1/1000)*(d_Irr!AN7+d_Irr!BM7)),IF(AND(d_Irr!O7=".",d_Irr!AN7=".",d_Irr!BM7&lt;&gt;"."),d_dir!P7/((1/1000)*(d_Irr!BM7)),IF(AND(d_Irr!O7=".",d_Irr!AN7&lt;&gt;".",d_Irr!BM7="."),d_dir!P7/((1/1000)*(d_Irr!AN7)),IF(AND(d_Irr!O7&lt;&gt;".",d_Irr!AN7=".",d_Irr!BM7="."),d_dir!P7/((1/1000)*(d_Irr!O7)),IF(AND(d_Irr!O7=".",d_Irr!AN7=".",d_Irr!BM7="."),d_dir!P7*1000)))))))),".")</f>
        <v>2323.7775211636776</v>
      </c>
      <c r="Q7" s="70">
        <f>IFERROR(IF(AND(d_Irr!P7&lt;&gt;".",d_Irr!AO7&lt;&gt;".",d_Irr!BN7&lt;&gt;"."),d_dir!Q7/((1/1000)*(d_Irr!P7+d_Irr!AO7+d_Irr!BN7)),IF(AND(d_Irr!P7&lt;&gt;".",d_Irr!AO7&lt;&gt;".",d_Irr!BN7="."),d_dir!Q7/((1/1000)*(d_Irr!P7+d_Irr!AO7)),IF(AND(d_Irr!P7&lt;&gt;".",d_Irr!AO7=".",d_Irr!BN7&lt;&gt;"."),d_dir!Q7/((1/1000)*(d_Irr!P7+d_Irr!BN7)),IF(AND(d_Irr!P7=".",d_Irr!AO7&lt;&gt;".",d_Irr!BN7&lt;&gt;"."),d_dir!Q7/((1/1000)*(d_Irr!AO7+d_Irr!BN7)),IF(AND(d_Irr!P7=".",d_Irr!AO7=".",d_Irr!BN7&lt;&gt;"."),d_dir!Q7/((1/1000)*(d_Irr!BN7)),IF(AND(d_Irr!P7=".",d_Irr!AO7&lt;&gt;".",d_Irr!BN7="."),d_dir!Q7/((1/1000)*(d_Irr!AO7)),IF(AND(d_Irr!P7&lt;&gt;".",d_Irr!AO7=".",d_Irr!BN7="."),d_dir!Q7/((1/1000)*(d_Irr!P7)),IF(AND(d_Irr!P7=".",d_Irr!AO7=".",d_Irr!BN7="."),d_dir!Q7*1000)))))))),".")</f>
        <v>3316.9936599762077</v>
      </c>
      <c r="R7" s="70">
        <f>IFERROR(IF(AND(d_Irr!Q7&lt;&gt;".",d_Irr!AP7&lt;&gt;".",d_Irr!BO7&lt;&gt;"."),d_dir!R7/((1/1000)*(d_Irr!Q7+d_Irr!AP7+d_Irr!BO7)),IF(AND(d_Irr!Q7&lt;&gt;".",d_Irr!AP7&lt;&gt;".",d_Irr!BO7="."),d_dir!R7/((1/1000)*(d_Irr!Q7+d_Irr!AP7)),IF(AND(d_Irr!Q7&lt;&gt;".",d_Irr!AP7=".",d_Irr!BO7&lt;&gt;"."),d_dir!R7/((1/1000)*(d_Irr!Q7+d_Irr!BO7)),IF(AND(d_Irr!Q7=".",d_Irr!AP7&lt;&gt;".",d_Irr!BO7&lt;&gt;"."),d_dir!R7/((1/1000)*(d_Irr!AP7+d_Irr!BO7)),IF(AND(d_Irr!Q7=".",d_Irr!AP7=".",d_Irr!BO7&lt;&gt;"."),d_dir!R7/((1/1000)*(d_Irr!BO7)),IF(AND(d_Irr!Q7=".",d_Irr!AP7&lt;&gt;".",d_Irr!BO7="."),d_dir!R7/((1/1000)*(d_Irr!AP7)),IF(AND(d_Irr!Q7&lt;&gt;".",d_Irr!AP7=".",d_Irr!BO7="."),d_dir!R7/((1/1000)*(d_Irr!Q7)),IF(AND(d_Irr!Q7=".",d_Irr!AP7=".",d_Irr!BO7="."),d_dir!R7*1000)))))))),".")</f>
        <v>519.05802574457266</v>
      </c>
      <c r="S7" s="70">
        <f>IFERROR(IF(AND(d_Irr!R7&lt;&gt;".",d_Irr!AQ7&lt;&gt;".",d_Irr!BP7&lt;&gt;"."),d_dir!S7/((1/1000)*(d_Irr!R7+d_Irr!AQ7+d_Irr!BP7)),IF(AND(d_Irr!R7&lt;&gt;".",d_Irr!AQ7&lt;&gt;".",d_Irr!BP7="."),d_dir!S7/((1/1000)*(d_Irr!R7+d_Irr!AQ7)),IF(AND(d_Irr!R7&lt;&gt;".",d_Irr!AQ7=".",d_Irr!BP7&lt;&gt;"."),d_dir!S7/((1/1000)*(d_Irr!R7+d_Irr!BP7)),IF(AND(d_Irr!R7=".",d_Irr!AQ7&lt;&gt;".",d_Irr!BP7&lt;&gt;"."),d_dir!S7/((1/1000)*(d_Irr!AQ7+d_Irr!BP7)),IF(AND(d_Irr!R7=".",d_Irr!AQ7=".",d_Irr!BP7&lt;&gt;"."),d_dir!S7/((1/1000)*(d_Irr!BP7)),IF(AND(d_Irr!R7=".",d_Irr!AQ7&lt;&gt;".",d_Irr!BP7="."),d_dir!S7/((1/1000)*(d_Irr!AQ7)),IF(AND(d_Irr!R7&lt;&gt;".",d_Irr!AQ7=".",d_Irr!BP7="."),d_dir!S7/((1/1000)*(d_Irr!R7)),IF(AND(d_Irr!R7=".",d_Irr!AQ7=".",d_Irr!BP7="."),d_dir!S7*1000)))))))),".")</f>
        <v>1059.1391693430164</v>
      </c>
      <c r="T7" s="70">
        <f>IFERROR(IF(AND(d_Irr!S7&lt;&gt;".",d_Irr!AR7&lt;&gt;".",d_Irr!BQ7&lt;&gt;"."),d_dir!T7/((1/1000)*(d_Irr!S7+d_Irr!AR7+d_Irr!BQ7)),IF(AND(d_Irr!S7&lt;&gt;".",d_Irr!AR7&lt;&gt;".",d_Irr!BQ7="."),d_dir!T7/((1/1000)*(d_Irr!S7+d_Irr!AR7)),IF(AND(d_Irr!S7&lt;&gt;".",d_Irr!AR7=".",d_Irr!BQ7&lt;&gt;"."),d_dir!T7/((1/1000)*(d_Irr!S7+d_Irr!BQ7)),IF(AND(d_Irr!S7=".",d_Irr!AR7&lt;&gt;".",d_Irr!BQ7&lt;&gt;"."),d_dir!T7/((1/1000)*(d_Irr!AR7+d_Irr!BQ7)),IF(AND(d_Irr!S7=".",d_Irr!AR7=".",d_Irr!BQ7&lt;&gt;"."),d_dir!T7/((1/1000)*(d_Irr!BQ7)),IF(AND(d_Irr!S7=".",d_Irr!AR7&lt;&gt;".",d_Irr!BQ7="."),d_dir!T7/((1/1000)*(d_Irr!AR7)),IF(AND(d_Irr!S7&lt;&gt;".",d_Irr!AR7=".",d_Irr!BQ7="."),d_dir!T7/((1/1000)*(d_Irr!S7)),IF(AND(d_Irr!S7=".",d_Irr!AR7=".",d_Irr!BQ7="."),d_dir!T7*1000)))))))),".")</f>
        <v>1847.3987418657357</v>
      </c>
      <c r="U7" s="70">
        <f>IFERROR(IF(AND(d_Irr!T7&lt;&gt;".",d_Irr!AS7&lt;&gt;".",d_Irr!BR7&lt;&gt;"."),d_dir!U7/((1/1000)*(d_Irr!T7+d_Irr!AS7+d_Irr!BR7)),IF(AND(d_Irr!T7&lt;&gt;".",d_Irr!AS7&lt;&gt;".",d_Irr!BR7="."),d_dir!U7/((1/1000)*(d_Irr!T7+d_Irr!AS7)),IF(AND(d_Irr!T7&lt;&gt;".",d_Irr!AS7=".",d_Irr!BR7&lt;&gt;"."),d_dir!U7/((1/1000)*(d_Irr!T7+d_Irr!BR7)),IF(AND(d_Irr!T7=".",d_Irr!AS7&lt;&gt;".",d_Irr!BR7&lt;&gt;"."),d_dir!U7/((1/1000)*(d_Irr!AS7+d_Irr!BR7)),IF(AND(d_Irr!T7=".",d_Irr!AS7=".",d_Irr!BR7&lt;&gt;"."),d_dir!U7/((1/1000)*(d_Irr!BR7)),IF(AND(d_Irr!T7=".",d_Irr!AS7&lt;&gt;".",d_Irr!BR7="."),d_dir!U7/((1/1000)*(d_Irr!AS7)),IF(AND(d_Irr!T7&lt;&gt;".",d_Irr!AS7=".",d_Irr!BR7="."),d_dir!U7/((1/1000)*(d_Irr!T7)),IF(AND(d_Irr!T7=".",d_Irr!AS7=".",d_Irr!BR7="."),d_dir!U7*1000)))))))),".")</f>
        <v>3660.1113624826703</v>
      </c>
      <c r="V7" s="70">
        <f>IFERROR(IF(AND(d_Irr!U7&lt;&gt;".",d_Irr!AT7&lt;&gt;".",d_Irr!BS7&lt;&gt;"."),d_dir!V7/((1/1000)*(d_Irr!U7+d_Irr!AT7+d_Irr!BS7)),IF(AND(d_Irr!U7&lt;&gt;".",d_Irr!AT7&lt;&gt;".",d_Irr!BS7="."),d_dir!V7/((1/1000)*(d_Irr!U7+d_Irr!AT7)),IF(AND(d_Irr!U7&lt;&gt;".",d_Irr!AT7=".",d_Irr!BS7&lt;&gt;"."),d_dir!V7/((1/1000)*(d_Irr!U7+d_Irr!BS7)),IF(AND(d_Irr!U7=".",d_Irr!AT7&lt;&gt;".",d_Irr!BS7&lt;&gt;"."),d_dir!V7/((1/1000)*(d_Irr!AT7+d_Irr!BS7)),IF(AND(d_Irr!U7=".",d_Irr!AT7=".",d_Irr!BS7&lt;&gt;"."),d_dir!V7/((1/1000)*(d_Irr!BS7)),IF(AND(d_Irr!U7=".",d_Irr!AT7&lt;&gt;".",d_Irr!BS7="."),d_dir!V7/((1/1000)*(d_Irr!AT7)),IF(AND(d_Irr!U7&lt;&gt;".",d_Irr!AT7=".",d_Irr!BS7="."),d_dir!V7/((1/1000)*(d_Irr!U7)),IF(AND(d_Irr!U7=".",d_Irr!AT7=".",d_Irr!BS7="."),d_dir!V7*1000)))))))),".")</f>
        <v>543.35701467463844</v>
      </c>
      <c r="W7" s="70">
        <f>IFERROR(IF(AND(d_Irr!V7&lt;&gt;".",d_Irr!AU7&lt;&gt;".",d_Irr!BT7&lt;&gt;"."),d_dir!W7/((1/1000)*(d_Irr!V7+d_Irr!AU7+d_Irr!BT7)),IF(AND(d_Irr!V7&lt;&gt;".",d_Irr!AU7&lt;&gt;".",d_Irr!BT7="."),d_dir!W7/((1/1000)*(d_Irr!V7+d_Irr!AU7)),IF(AND(d_Irr!V7&lt;&gt;".",d_Irr!AU7=".",d_Irr!BT7&lt;&gt;"."),d_dir!W7/((1/1000)*(d_Irr!V7+d_Irr!BT7)),IF(AND(d_Irr!V7=".",d_Irr!AU7&lt;&gt;".",d_Irr!BT7&lt;&gt;"."),d_dir!W7/((1/1000)*(d_Irr!AU7+d_Irr!BT7)),IF(AND(d_Irr!V7=".",d_Irr!AU7=".",d_Irr!BT7&lt;&gt;"."),d_dir!W7/((1/1000)*(d_Irr!BT7)),IF(AND(d_Irr!V7=".",d_Irr!AU7&lt;&gt;".",d_Irr!BT7="."),d_dir!W7/((1/1000)*(d_Irr!AU7)),IF(AND(d_Irr!V7&lt;&gt;".",d_Irr!AU7=".",d_Irr!BT7="."),d_dir!W7/((1/1000)*(d_Irr!V7)),IF(AND(d_Irr!V7=".",d_Irr!AU7=".",d_Irr!BT7="."),d_dir!W7*1000)))))))),".")</f>
        <v>1105.1582463004302</v>
      </c>
      <c r="X7" s="70">
        <f>IFERROR(IF(AND(d_Irr!W7&lt;&gt;".",d_Irr!AV7&lt;&gt;".",d_Irr!BU7&lt;&gt;"."),d_dir!X7/((1/1000)*(d_Irr!W7+d_Irr!AV7+d_Irr!BU7)),IF(AND(d_Irr!W7&lt;&gt;".",d_Irr!AV7&lt;&gt;".",d_Irr!BU7="."),d_dir!X7/((1/1000)*(d_Irr!W7+d_Irr!AV7)),IF(AND(d_Irr!W7&lt;&gt;".",d_Irr!AV7=".",d_Irr!BU7&lt;&gt;"."),d_dir!X7/((1/1000)*(d_Irr!W7+d_Irr!BU7)),IF(AND(d_Irr!W7=".",d_Irr!AV7&lt;&gt;".",d_Irr!BU7&lt;&gt;"."),d_dir!X7/((1/1000)*(d_Irr!AV7+d_Irr!BU7)),IF(AND(d_Irr!W7=".",d_Irr!AV7=".",d_Irr!BU7&lt;&gt;"."),d_dir!X7/((1/1000)*(d_Irr!BU7)),IF(AND(d_Irr!W7=".",d_Irr!AV7&lt;&gt;".",d_Irr!BU7="."),d_dir!X7/((1/1000)*(d_Irr!AV7)),IF(AND(d_Irr!W7&lt;&gt;".",d_Irr!AV7=".",d_Irr!BU7="."),d_dir!X7/((1/1000)*(d_Irr!W7)),IF(AND(d_Irr!W7=".",d_Irr!AV7=".",d_Irr!BU7="."),d_dir!X7*1000)))))))),".")</f>
        <v>1210.0971025504371</v>
      </c>
      <c r="Y7" s="70">
        <f>IFERROR(IF(AND(d_Irr!X7&lt;&gt;".",d_Irr!AW7&lt;&gt;".",d_Irr!BV7&lt;&gt;"."),d_dir!Y7/((1/1000)*(d_Irr!X7+d_Irr!AW7+d_Irr!BV7)),IF(AND(d_Irr!X7&lt;&gt;".",d_Irr!AW7&lt;&gt;".",d_Irr!BV7="."),d_dir!Y7/((1/1000)*(d_Irr!X7+d_Irr!AW7)),IF(AND(d_Irr!X7&lt;&gt;".",d_Irr!AW7=".",d_Irr!BV7&lt;&gt;"."),d_dir!Y7/((1/1000)*(d_Irr!X7+d_Irr!BV7)),IF(AND(d_Irr!X7=".",d_Irr!AW7&lt;&gt;".",d_Irr!BV7&lt;&gt;"."),d_dir!Y7/((1/1000)*(d_Irr!AW7+d_Irr!BV7)),IF(AND(d_Irr!X7=".",d_Irr!AW7=".",d_Irr!BV7&lt;&gt;"."),d_dir!Y7/((1/1000)*(d_Irr!BV7)),IF(AND(d_Irr!X7=".",d_Irr!AW7&lt;&gt;".",d_Irr!BV7="."),d_dir!Y7/((1/1000)*(d_Irr!AW7)),IF(AND(d_Irr!X7&lt;&gt;".",d_Irr!AW7=".",d_Irr!BV7="."),d_dir!Y7/((1/1000)*(d_Irr!X7)),IF(AND(d_Irr!X7=".",d_Irr!AW7=".",d_Irr!BV7="."),d_dir!Y7*1000)))))))),".")</f>
        <v>1580.8388862147876</v>
      </c>
      <c r="Z7" s="70">
        <f>IFERROR(IF(AND(d_Irr!Y7&lt;&gt;".",d_Irr!AX7&lt;&gt;".",d_Irr!BW7&lt;&gt;"."),d_dir!Z7/((1/1000)*(d_Irr!Y7+d_Irr!AX7+d_Irr!BW7)),IF(AND(d_Irr!Y7&lt;&gt;".",d_Irr!AX7&lt;&gt;".",d_Irr!BW7="."),d_dir!Z7/((1/1000)*(d_Irr!Y7+d_Irr!AX7)),IF(AND(d_Irr!Y7&lt;&gt;".",d_Irr!AX7=".",d_Irr!BW7&lt;&gt;"."),d_dir!Z7/((1/1000)*(d_Irr!Y7+d_Irr!BW7)),IF(AND(d_Irr!Y7=".",d_Irr!AX7&lt;&gt;".",d_Irr!BW7&lt;&gt;"."),d_dir!Z7/((1/1000)*(d_Irr!AX7+d_Irr!BW7)),IF(AND(d_Irr!Y7=".",d_Irr!AX7=".",d_Irr!BW7&lt;&gt;"."),d_dir!Z7/((1/1000)*(d_Irr!BW7)),IF(AND(d_Irr!Y7=".",d_Irr!AX7&lt;&gt;".",d_Irr!BW7="."),d_dir!Z7/((1/1000)*(d_Irr!AX7)),IF(AND(d_Irr!Y7&lt;&gt;".",d_Irr!AX7=".",d_Irr!BW7="."),d_dir!Z7/((1/1000)*(d_Irr!Y7)),IF(AND(d_Irr!Y7=".",d_Irr!AX7=".",d_Irr!BW7="."),d_dir!Z7*1000)))))))),".")</f>
        <v>842.31654691854067</v>
      </c>
      <c r="AA7" s="70">
        <f>IFERROR(IF(AND(d_Irr!Z7&lt;&gt;".",d_Irr!AY7&lt;&gt;".",d_Irr!BX7&lt;&gt;"."),d_dir!AA7/((1/1000)*(d_Irr!Z7+d_Irr!AY7+d_Irr!BX7)),IF(AND(d_Irr!Z7&lt;&gt;".",d_Irr!AY7&lt;&gt;".",d_Irr!BX7="."),d_dir!AA7/((1/1000)*(d_Irr!Z7+d_Irr!AY7)),IF(AND(d_Irr!Z7&lt;&gt;".",d_Irr!AY7=".",d_Irr!BX7&lt;&gt;"."),d_dir!AA7/((1/1000)*(d_Irr!Z7+d_Irr!BX7)),IF(AND(d_Irr!Z7=".",d_Irr!AY7&lt;&gt;".",d_Irr!BX7&lt;&gt;"."),d_dir!AA7/((1/1000)*(d_Irr!AY7+d_Irr!BX7)),IF(AND(d_Irr!Z7=".",d_Irr!AY7=".",d_Irr!BX7&lt;&gt;"."),d_dir!AA7/((1/1000)*(d_Irr!BX7)),IF(AND(d_Irr!Z7=".",d_Irr!AY7&lt;&gt;".",d_Irr!BX7="."),d_dir!AA7/((1/1000)*(d_Irr!AY7)),IF(AND(d_Irr!Z7&lt;&gt;".",d_Irr!AY7=".",d_Irr!BX7="."),d_dir!AA7/((1/1000)*(d_Irr!Z7)),IF(AND(d_Irr!Z7=".",d_Irr!AY7=".",d_Irr!BX7="."),d_dir!AA7*1000)))))))),".")</f>
        <v>366.3452848910253</v>
      </c>
      <c r="AB7" s="70">
        <f>IFERROR(IF(AND(d_Irr!AA7&lt;&gt;".",d_Irr!AZ7&lt;&gt;".",d_Irr!BY7&lt;&gt;"."),d_dir!AB7/((1/1000)*(d_Irr!AA7+d_Irr!AZ7+d_Irr!BY7)),IF(AND(d_Irr!AA7&lt;&gt;".",d_Irr!AZ7&lt;&gt;".",d_Irr!BY7="."),d_dir!AB7/((1/1000)*(d_Irr!AA7+d_Irr!AZ7)),IF(AND(d_Irr!AA7&lt;&gt;".",d_Irr!AZ7=".",d_Irr!BY7&lt;&gt;"."),d_dir!AB7/((1/1000)*(d_Irr!AA7+d_Irr!BY7)),IF(AND(d_Irr!AA7=".",d_Irr!AZ7&lt;&gt;".",d_Irr!BY7&lt;&gt;"."),d_dir!AB7/((1/1000)*(d_Irr!AZ7+d_Irr!BY7)),IF(AND(d_Irr!AA7=".",d_Irr!AZ7=".",d_Irr!BY7&lt;&gt;"."),d_dir!AB7/((1/1000)*(d_Irr!BY7)),IF(AND(d_Irr!AA7=".",d_Irr!AZ7&lt;&gt;".",d_Irr!BY7="."),d_dir!AB7/((1/1000)*(d_Irr!AZ7)),IF(AND(d_Irr!AA7&lt;&gt;".",d_Irr!AZ7=".",d_Irr!BY7="."),d_dir!AB7/((1/1000)*(d_Irr!AA7)),IF(AND(d_Irr!AA7=".",d_Irr!AZ7=".",d_Irr!BY7="."),d_dir!AB7*1000)))))))),".")</f>
        <v>420.15992813575963</v>
      </c>
      <c r="AC7" s="70">
        <f t="shared" si="0"/>
        <v>41.828637410349664</v>
      </c>
      <c r="AD7" s="70">
        <f>IFERROR(IF(AND(d_Irr!C7&lt;&gt;".",d_Irr!AB7&lt;&gt;".",d_Irr!BA7&lt;&gt;"."),d_dir!AD7/((1/1000)*(d_Irr!C7+d_Irr!AB7+d_Irr!BA7)),IF(AND(d_Irr!C7&lt;&gt;".",d_Irr!AB7&lt;&gt;".",d_Irr!BA7="."),d_dir!AD7/((1/1000)*(d_Irr!C7+d_Irr!AB7)),IF(AND(d_Irr!C7&lt;&gt;".",d_Irr!AB7=".",d_Irr!BA7&lt;&gt;"."),d_dir!AD7/((1/1000)*(d_Irr!C7+d_Irr!BA7)),IF(AND(d_Irr!C7=".",d_Irr!AB7&lt;&gt;".",d_Irr!BA7&lt;&gt;"."),d_dir!AD7/((1/1000)*(d_Irr!AB7+d_Irr!BA7)),IF(AND(d_Irr!C7=".",d_Irr!AB7=".",d_Irr!BA7&lt;&gt;"."),d_dir!AD7/((1/1000)*(d_Irr!BA7)),IF(AND(d_Irr!C7=".",d_Irr!AB7&lt;&gt;".",d_Irr!BA7="."),d_dir!AD7/((1/1000)*(d_Irr!AB7)),IF(AND(d_Irr!C7&lt;&gt;".",d_Irr!AB7=".",d_Irr!BA7="."),d_dir!AD7/((1/1000)*(d_Irr!C7)),IF(AND(d_Irr!C7=".",d_Irr!AB7=".",d_Irr!BA7="."),d_dir!AD7*1000)))))))),".")</f>
        <v>703.02971506879362</v>
      </c>
      <c r="AE7" s="70">
        <f>IFERROR(IF(AND(d_Irr!D7&lt;&gt;".",d_Irr!AC7&lt;&gt;".",d_Irr!BB7&lt;&gt;"."),d_dir!AE7/((1/1000)*(d_Irr!D7+d_Irr!AC7+d_Irr!BB7)),IF(AND(d_Irr!D7&lt;&gt;".",d_Irr!AC7&lt;&gt;".",d_Irr!BB7="."),d_dir!AE7/((1/1000)*(d_Irr!D7+d_Irr!AC7)),IF(AND(d_Irr!D7&lt;&gt;".",d_Irr!AC7=".",d_Irr!BB7&lt;&gt;"."),d_dir!AE7/((1/1000)*(d_Irr!D7+d_Irr!BB7)),IF(AND(d_Irr!D7=".",d_Irr!AC7&lt;&gt;".",d_Irr!BB7&lt;&gt;"."),d_dir!AE7/((1/1000)*(d_Irr!AC7+d_Irr!BB7)),IF(AND(d_Irr!D7=".",d_Irr!AC7=".",d_Irr!BB7&lt;&gt;"."),d_dir!AE7/((1/1000)*(d_Irr!BB7)),IF(AND(d_Irr!D7=".",d_Irr!AC7&lt;&gt;".",d_Irr!BB7="."),d_dir!AE7/((1/1000)*(d_Irr!AC7)),IF(AND(d_Irr!D7&lt;&gt;".",d_Irr!AC7=".",d_Irr!BB7="."),d_dir!AE7/((1/1000)*(d_Irr!D7)),IF(AND(d_Irr!D7=".",d_Irr!AC7=".",d_Irr!BB7="."),d_dir!AE7*1000)))))))),".")</f>
        <v>1656.5175747371541</v>
      </c>
      <c r="AF7" s="70">
        <f>IFERROR(IF(AND(d_Irr!E7&lt;&gt;".",d_Irr!AD7&lt;&gt;".",d_Irr!BC7&lt;&gt;"."),d_dir!AF7/((1/1000)*(d_Irr!E7+d_Irr!AD7+d_Irr!BC7)),IF(AND(d_Irr!E7&lt;&gt;".",d_Irr!AD7&lt;&gt;".",d_Irr!BC7="."),d_dir!AF7/((1/1000)*(d_Irr!E7+d_Irr!AD7)),IF(AND(d_Irr!E7&lt;&gt;".",d_Irr!AD7=".",d_Irr!BC7&lt;&gt;"."),d_dir!AF7/((1/1000)*(d_Irr!E7+d_Irr!BC7)),IF(AND(d_Irr!E7=".",d_Irr!AD7&lt;&gt;".",d_Irr!BC7&lt;&gt;"."),d_dir!AF7/((1/1000)*(d_Irr!AD7+d_Irr!BC7)),IF(AND(d_Irr!E7=".",d_Irr!AD7=".",d_Irr!BC7&lt;&gt;"."),d_dir!AF7/((1/1000)*(d_Irr!BC7)),IF(AND(d_Irr!E7=".",d_Irr!AD7&lt;&gt;".",d_Irr!BC7="."),d_dir!AF7/((1/1000)*(d_Irr!AD7)),IF(AND(d_Irr!E7&lt;&gt;".",d_Irr!AD7=".",d_Irr!BC7="."),d_dir!AF7/((1/1000)*(d_Irr!E7)),IF(AND(d_Irr!E7=".",d_Irr!AD7=".",d_Irr!BC7="."),d_dir!AF7*1000)))))))),".")</f>
        <v>1970.8670603319608</v>
      </c>
      <c r="AG7" s="70">
        <f>IFERROR(IF(AND(d_Irr!F7&lt;&gt;".",d_Irr!AE7&lt;&gt;".",d_Irr!BD7&lt;&gt;"."),d_dir!AG7/((1/1000)*(d_Irr!F7+d_Irr!AE7+d_Irr!BD7)),IF(AND(d_Irr!F7&lt;&gt;".",d_Irr!AE7&lt;&gt;".",d_Irr!BD7="."),d_dir!AG7/((1/1000)*(d_Irr!F7+d_Irr!AE7)),IF(AND(d_Irr!F7&lt;&gt;".",d_Irr!AE7=".",d_Irr!BD7&lt;&gt;"."),d_dir!AG7/((1/1000)*(d_Irr!F7+d_Irr!BD7)),IF(AND(d_Irr!F7=".",d_Irr!AE7&lt;&gt;".",d_Irr!BD7&lt;&gt;"."),d_dir!AG7/((1/1000)*(d_Irr!AE7+d_Irr!BD7)),IF(AND(d_Irr!F7=".",d_Irr!AE7=".",d_Irr!BD7&lt;&gt;"."),d_dir!AG7/((1/1000)*(d_Irr!BD7)),IF(AND(d_Irr!F7=".",d_Irr!AE7&lt;&gt;".",d_Irr!BD7="."),d_dir!AG7/((1/1000)*(d_Irr!AE7)),IF(AND(d_Irr!F7&lt;&gt;".",d_Irr!AE7=".",d_Irr!BD7="."),d_dir!AG7/((1/1000)*(d_Irr!F7)),IF(AND(d_Irr!F7=".",d_Irr!AE7=".",d_Irr!BD7="."),d_dir!AG7*1000)))))))),".")</f>
        <v>1770.3040774413303</v>
      </c>
      <c r="AH7" s="70">
        <f>IFERROR(IF(AND(d_Irr!G7&lt;&gt;".",d_Irr!AF7&lt;&gt;".",d_Irr!BE7&lt;&gt;"."),d_dir!AH7/((1/1000)*(d_Irr!G7+d_Irr!AF7+d_Irr!BE7)),IF(AND(d_Irr!G7&lt;&gt;".",d_Irr!AF7&lt;&gt;".",d_Irr!BE7="."),d_dir!AH7/((1/1000)*(d_Irr!G7+d_Irr!AF7)),IF(AND(d_Irr!G7&lt;&gt;".",d_Irr!AF7=".",d_Irr!BE7&lt;&gt;"."),d_dir!AH7/((1/1000)*(d_Irr!G7+d_Irr!BE7)),IF(AND(d_Irr!G7=".",d_Irr!AF7&lt;&gt;".",d_Irr!BE7&lt;&gt;"."),d_dir!AH7/((1/1000)*(d_Irr!AF7+d_Irr!BE7)),IF(AND(d_Irr!G7=".",d_Irr!AF7=".",d_Irr!BE7&lt;&gt;"."),d_dir!AH7/((1/1000)*(d_Irr!BE7)),IF(AND(d_Irr!G7=".",d_Irr!AF7&lt;&gt;".",d_Irr!BE7="."),d_dir!AH7/((1/1000)*(d_Irr!AF7)),IF(AND(d_Irr!G7&lt;&gt;".",d_Irr!AF7=".",d_Irr!BE7="."),d_dir!AH7/((1/1000)*(d_Irr!G7)),IF(AND(d_Irr!G7=".",d_Irr!AF7=".",d_Irr!BE7="."),d_dir!AH7*1000)))))))),".")</f>
        <v>1895.4222136378287</v>
      </c>
      <c r="AI7" s="70">
        <f>IFERROR(IF(AND(d_Irr!H7&lt;&gt;".",d_Irr!AG7&lt;&gt;".",d_Irr!BF7&lt;&gt;"."),d_dir!AI7/((1/1000)*(d_Irr!H7+d_Irr!AG7+d_Irr!BF7)),IF(AND(d_Irr!H7&lt;&gt;".",d_Irr!AG7&lt;&gt;".",d_Irr!BF7="."),d_dir!AI7/((1/1000)*(d_Irr!H7+d_Irr!AG7)),IF(AND(d_Irr!H7&lt;&gt;".",d_Irr!AG7=".",d_Irr!BF7&lt;&gt;"."),d_dir!AI7/((1/1000)*(d_Irr!H7+d_Irr!BF7)),IF(AND(d_Irr!H7=".",d_Irr!AG7&lt;&gt;".",d_Irr!BF7&lt;&gt;"."),d_dir!AI7/((1/1000)*(d_Irr!AG7+d_Irr!BF7)),IF(AND(d_Irr!H7=".",d_Irr!AG7=".",d_Irr!BF7&lt;&gt;"."),d_dir!AI7/((1/1000)*(d_Irr!BF7)),IF(AND(d_Irr!H7=".",d_Irr!AG7&lt;&gt;".",d_Irr!BF7="."),d_dir!AI7/((1/1000)*(d_Irr!AG7)),IF(AND(d_Irr!H7&lt;&gt;".",d_Irr!AG7=".",d_Irr!BF7="."),d_dir!AI7/((1/1000)*(d_Irr!H7)),IF(AND(d_Irr!H7=".",d_Irr!AG7=".",d_Irr!BF7="."),d_dir!AI7*1000)))))))),".")</f>
        <v>858.23961605110571</v>
      </c>
      <c r="AJ7" s="70">
        <f>IFERROR(IF(AND(d_Irr!I7&lt;&gt;".",d_Irr!AH7&lt;&gt;".",d_Irr!BG7&lt;&gt;"."),d_dir!AJ7/((1/1000)*(d_Irr!I7+d_Irr!AH7+d_Irr!BG7)),IF(AND(d_Irr!I7&lt;&gt;".",d_Irr!AH7&lt;&gt;".",d_Irr!BG7="."),d_dir!AJ7/((1/1000)*(d_Irr!I7+d_Irr!AH7)),IF(AND(d_Irr!I7&lt;&gt;".",d_Irr!AH7=".",d_Irr!BG7&lt;&gt;"."),d_dir!AJ7/((1/1000)*(d_Irr!I7+d_Irr!BG7)),IF(AND(d_Irr!I7=".",d_Irr!AH7&lt;&gt;".",d_Irr!BG7&lt;&gt;"."),d_dir!AJ7/((1/1000)*(d_Irr!AH7+d_Irr!BG7)),IF(AND(d_Irr!I7=".",d_Irr!AH7=".",d_Irr!BG7&lt;&gt;"."),d_dir!AJ7/((1/1000)*(d_Irr!BG7)),IF(AND(d_Irr!I7=".",d_Irr!AH7&lt;&gt;".",d_Irr!BG7="."),d_dir!AJ7/((1/1000)*(d_Irr!AH7)),IF(AND(d_Irr!I7&lt;&gt;".",d_Irr!AH7=".",d_Irr!BG7="."),d_dir!AJ7/((1/1000)*(d_Irr!I7)),IF(AND(d_Irr!I7=".",d_Irr!AH7=".",d_Irr!BG7="."),d_dir!AJ7*1000)))))))),".")</f>
        <v>2616.7800236729281</v>
      </c>
      <c r="AK7" s="70">
        <f>IFERROR(IF(AND(d_Irr!J7&lt;&gt;".",d_Irr!AI7&lt;&gt;".",d_Irr!BH7&lt;&gt;"."),d_dir!AK7/((1/1000)*(d_Irr!J7+d_Irr!AI7+d_Irr!BH7)),IF(AND(d_Irr!J7&lt;&gt;".",d_Irr!AI7&lt;&gt;".",d_Irr!BH7="."),d_dir!AK7/((1/1000)*(d_Irr!J7+d_Irr!AI7)),IF(AND(d_Irr!J7&lt;&gt;".",d_Irr!AI7=".",d_Irr!BH7&lt;&gt;"."),d_dir!AK7/((1/1000)*(d_Irr!J7+d_Irr!BH7)),IF(AND(d_Irr!J7=".",d_Irr!AI7&lt;&gt;".",d_Irr!BH7&lt;&gt;"."),d_dir!AK7/((1/1000)*(d_Irr!AI7+d_Irr!BH7)),IF(AND(d_Irr!J7=".",d_Irr!AI7=".",d_Irr!BH7&lt;&gt;"."),d_dir!AK7/((1/1000)*(d_Irr!BH7)),IF(AND(d_Irr!J7=".",d_Irr!AI7&lt;&gt;".",d_Irr!BH7="."),d_dir!AK7/((1/1000)*(d_Irr!AI7)),IF(AND(d_Irr!J7&lt;&gt;".",d_Irr!AI7=".",d_Irr!BH7="."),d_dir!AK7/((1/1000)*(d_Irr!J7)),IF(AND(d_Irr!J7=".",d_Irr!AI7=".",d_Irr!BH7="."),d_dir!AK7*1000)))))))),".")</f>
        <v>203.81349354578975</v>
      </c>
      <c r="AL7" s="70">
        <f>IFERROR(IF(AND(d_Irr!K7&lt;&gt;".",d_Irr!AJ7&lt;&gt;".",d_Irr!BI7&lt;&gt;"."),d_dir!AL7/((1/1000)*(d_Irr!K7+d_Irr!AJ7+d_Irr!BI7)),IF(AND(d_Irr!K7&lt;&gt;".",d_Irr!AJ7&lt;&gt;".",d_Irr!BI7="."),d_dir!AL7/((1/1000)*(d_Irr!K7+d_Irr!AJ7)),IF(AND(d_Irr!K7&lt;&gt;".",d_Irr!AJ7=".",d_Irr!BI7&lt;&gt;"."),d_dir!AL7/((1/1000)*(d_Irr!K7+d_Irr!BI7)),IF(AND(d_Irr!K7=".",d_Irr!AJ7&lt;&gt;".",d_Irr!BI7&lt;&gt;"."),d_dir!AL7/((1/1000)*(d_Irr!AJ7+d_Irr!BI7)),IF(AND(d_Irr!K7=".",d_Irr!AJ7=".",d_Irr!BI7&lt;&gt;"."),d_dir!AL7/((1/1000)*(d_Irr!BI7)),IF(AND(d_Irr!K7=".",d_Irr!AJ7&lt;&gt;".",d_Irr!BI7="."),d_dir!AL7/((1/1000)*(d_Irr!AJ7)),IF(AND(d_Irr!K7&lt;&gt;".",d_Irr!AJ7=".",d_Irr!BI7="."),d_dir!AL7/((1/1000)*(d_Irr!K7)),IF(AND(d_Irr!K7=".",d_Irr!AJ7=".",d_Irr!BI7="."),d_dir!AL7*1000)))))))),".")</f>
        <v>797.04629499432087</v>
      </c>
      <c r="AM7" s="70">
        <f>IFERROR(IF(AND(d_Irr!L7&lt;&gt;".",d_Irr!AK7&lt;&gt;".",d_Irr!BJ7&lt;&gt;"."),d_dir!AM7/((1/1000)*(d_Irr!L7+d_Irr!AK7+d_Irr!BJ7)),IF(AND(d_Irr!L7&lt;&gt;".",d_Irr!AK7&lt;&gt;".",d_Irr!BJ7="."),d_dir!AM7/((1/1000)*(d_Irr!L7+d_Irr!AK7)),IF(AND(d_Irr!L7&lt;&gt;".",d_Irr!AK7=".",d_Irr!BJ7&lt;&gt;"."),d_dir!AM7/((1/1000)*(d_Irr!L7+d_Irr!BJ7)),IF(AND(d_Irr!L7=".",d_Irr!AK7&lt;&gt;".",d_Irr!BJ7&lt;&gt;"."),d_dir!AM7/((1/1000)*(d_Irr!AK7+d_Irr!BJ7)),IF(AND(d_Irr!L7=".",d_Irr!AK7=".",d_Irr!BJ7&lt;&gt;"."),d_dir!AM7/((1/1000)*(d_Irr!BJ7)),IF(AND(d_Irr!L7=".",d_Irr!AK7&lt;&gt;".",d_Irr!BJ7="."),d_dir!AM7/((1/1000)*(d_Irr!AK7)),IF(AND(d_Irr!L7&lt;&gt;".",d_Irr!AK7=".",d_Irr!BJ7="."),d_dir!AM7/((1/1000)*(d_Irr!L7)),IF(AND(d_Irr!L7=".",d_Irr!AK7=".",d_Irr!BJ7="."),d_dir!AM7*1000)))))))),".")</f>
        <v>1210.1559982792348</v>
      </c>
      <c r="AN7" s="70">
        <f>IFERROR(IF(AND(d_Irr!M7&lt;&gt;".",d_Irr!AL7&lt;&gt;".",d_Irr!BK7&lt;&gt;"."),d_dir!AN7/((1/1000)*(d_Irr!M7+d_Irr!AL7+d_Irr!BK7)),IF(AND(d_Irr!M7&lt;&gt;".",d_Irr!AL7&lt;&gt;".",d_Irr!BK7="."),d_dir!AN7/((1/1000)*(d_Irr!M7+d_Irr!AL7)),IF(AND(d_Irr!M7&lt;&gt;".",d_Irr!AL7=".",d_Irr!BK7&lt;&gt;"."),d_dir!AN7/((1/1000)*(d_Irr!M7+d_Irr!BK7)),IF(AND(d_Irr!M7=".",d_Irr!AL7&lt;&gt;".",d_Irr!BK7&lt;&gt;"."),d_dir!AN7/((1/1000)*(d_Irr!AL7+d_Irr!BK7)),IF(AND(d_Irr!M7=".",d_Irr!AL7=".",d_Irr!BK7&lt;&gt;"."),d_dir!AN7/((1/1000)*(d_Irr!BK7)),IF(AND(d_Irr!M7=".",d_Irr!AL7&lt;&gt;".",d_Irr!BK7="."),d_dir!AN7/((1/1000)*(d_Irr!AL7)),IF(AND(d_Irr!M7&lt;&gt;".",d_Irr!AL7=".",d_Irr!BK7="."),d_dir!AN7/((1/1000)*(d_Irr!M7)),IF(AND(d_Irr!M7=".",d_Irr!AL7=".",d_Irr!BK7="."),d_dir!AN7*1000)))))))),".")</f>
        <v>1757.3556621328105</v>
      </c>
      <c r="AO7" s="70">
        <f>IFERROR(IF(AND(d_Irr!N7&lt;&gt;".",d_Irr!AM7&lt;&gt;".",d_Irr!BL7&lt;&gt;"."),d_dir!AO7/((1/1000)*(d_Irr!N7+d_Irr!AM7+d_Irr!BL7)),IF(AND(d_Irr!N7&lt;&gt;".",d_Irr!AM7&lt;&gt;".",d_Irr!BL7="."),d_dir!AO7/((1/1000)*(d_Irr!N7+d_Irr!AM7)),IF(AND(d_Irr!N7&lt;&gt;".",d_Irr!AM7=".",d_Irr!BL7&lt;&gt;"."),d_dir!AO7/((1/1000)*(d_Irr!N7+d_Irr!BL7)),IF(AND(d_Irr!N7=".",d_Irr!AM7&lt;&gt;".",d_Irr!BL7&lt;&gt;"."),d_dir!AO7/((1/1000)*(d_Irr!AM7+d_Irr!BL7)),IF(AND(d_Irr!N7=".",d_Irr!AM7=".",d_Irr!BL7&lt;&gt;"."),d_dir!AO7/((1/1000)*(d_Irr!BL7)),IF(AND(d_Irr!N7=".",d_Irr!AM7&lt;&gt;".",d_Irr!BL7="."),d_dir!AO7/((1/1000)*(d_Irr!AM7)),IF(AND(d_Irr!N7&lt;&gt;".",d_Irr!AM7=".",d_Irr!BL7="."),d_dir!AO7/((1/1000)*(d_Irr!N7)),IF(AND(d_Irr!N7=".",d_Irr!AM7=".",d_Irr!BL7="."),d_dir!AO7*1000)))))))),".")</f>
        <v>1816.4687776707233</v>
      </c>
      <c r="AP7" s="70">
        <f>IFERROR(IF(AND(d_Irr!O7&lt;&gt;".",d_Irr!AN7&lt;&gt;".",d_Irr!BM7&lt;&gt;"."),d_dir!AP7/((1/1000)*(d_Irr!O7+d_Irr!AN7+d_Irr!BM7)),IF(AND(d_Irr!O7&lt;&gt;".",d_Irr!AN7&lt;&gt;".",d_Irr!BM7="."),d_dir!AP7/((1/1000)*(d_Irr!O7+d_Irr!AN7)),IF(AND(d_Irr!O7&lt;&gt;".",d_Irr!AN7=".",d_Irr!BM7&lt;&gt;"."),d_dir!AP7/((1/1000)*(d_Irr!O7+d_Irr!BM7)),IF(AND(d_Irr!O7=".",d_Irr!AN7&lt;&gt;".",d_Irr!BM7&lt;&gt;"."),d_dir!AP7/((1/1000)*(d_Irr!AN7+d_Irr!BM7)),IF(AND(d_Irr!O7=".",d_Irr!AN7=".",d_Irr!BM7&lt;&gt;"."),d_dir!AP7/((1/1000)*(d_Irr!BM7)),IF(AND(d_Irr!O7=".",d_Irr!AN7&lt;&gt;".",d_Irr!BM7="."),d_dir!AP7/((1/1000)*(d_Irr!AN7)),IF(AND(d_Irr!O7&lt;&gt;".",d_Irr!AN7=".",d_Irr!BM7="."),d_dir!AP7/((1/1000)*(d_Irr!O7)),IF(AND(d_Irr!O7=".",d_Irr!AN7=".",d_Irr!BM7="."),d_dir!AP7*1000)))))))),".")</f>
        <v>2180.5134391249626</v>
      </c>
      <c r="AQ7" s="70">
        <f>IFERROR(IF(AND(d_Irr!P7&lt;&gt;".",d_Irr!AO7&lt;&gt;".",d_Irr!BN7&lt;&gt;"."),d_dir!AQ7/((1/1000)*(d_Irr!P7+d_Irr!AO7+d_Irr!BN7)),IF(AND(d_Irr!P7&lt;&gt;".",d_Irr!AO7&lt;&gt;".",d_Irr!BN7="."),d_dir!AQ7/((1/1000)*(d_Irr!P7+d_Irr!AO7)),IF(AND(d_Irr!P7&lt;&gt;".",d_Irr!AO7=".",d_Irr!BN7&lt;&gt;"."),d_dir!AQ7/((1/1000)*(d_Irr!P7+d_Irr!BN7)),IF(AND(d_Irr!P7=".",d_Irr!AO7&lt;&gt;".",d_Irr!BN7&lt;&gt;"."),d_dir!AQ7/((1/1000)*(d_Irr!AO7+d_Irr!BN7)),IF(AND(d_Irr!P7=".",d_Irr!AO7=".",d_Irr!BN7&lt;&gt;"."),d_dir!AQ7/((1/1000)*(d_Irr!BN7)),IF(AND(d_Irr!P7=".",d_Irr!AO7&lt;&gt;".",d_Irr!BN7="."),d_dir!AQ7/((1/1000)*(d_Irr!AO7)),IF(AND(d_Irr!P7&lt;&gt;".",d_Irr!AO7=".",d_Irr!BN7="."),d_dir!AQ7/((1/1000)*(d_Irr!P7)),IF(AND(d_Irr!P7=".",d_Irr!AO7=".",d_Irr!BN7="."),d_dir!AQ7*1000)))))))),".")</f>
        <v>2442.0053611793605</v>
      </c>
      <c r="AR7" s="70">
        <f>IFERROR(IF(AND(d_Irr!Q7&lt;&gt;".",d_Irr!AP7&lt;&gt;".",d_Irr!BO7&lt;&gt;"."),d_dir!AR7/((1/1000)*(d_Irr!Q7+d_Irr!AP7+d_Irr!BO7)),IF(AND(d_Irr!Q7&lt;&gt;".",d_Irr!AP7&lt;&gt;".",d_Irr!BO7="."),d_dir!AR7/((1/1000)*(d_Irr!Q7+d_Irr!AP7)),IF(AND(d_Irr!Q7&lt;&gt;".",d_Irr!AP7=".",d_Irr!BO7&lt;&gt;"."),d_dir!AR7/((1/1000)*(d_Irr!Q7+d_Irr!BO7)),IF(AND(d_Irr!Q7=".",d_Irr!AP7&lt;&gt;".",d_Irr!BO7&lt;&gt;"."),d_dir!AR7/((1/1000)*(d_Irr!AP7+d_Irr!BO7)),IF(AND(d_Irr!Q7=".",d_Irr!AP7=".",d_Irr!BO7&lt;&gt;"."),d_dir!AR7/((1/1000)*(d_Irr!BO7)),IF(AND(d_Irr!Q7=".",d_Irr!AP7&lt;&gt;".",d_Irr!BO7="."),d_dir!AR7/((1/1000)*(d_Irr!AP7)),IF(AND(d_Irr!Q7&lt;&gt;".",d_Irr!AP7=".",d_Irr!BO7="."),d_dir!AR7/((1/1000)*(d_Irr!Q7)),IF(AND(d_Irr!Q7=".",d_Irr!AP7=".",d_Irr!BO7="."),d_dir!AR7*1000)))))))),".")</f>
        <v>580.26088190377743</v>
      </c>
      <c r="AS7" s="70">
        <f>IFERROR(IF(AND(d_Irr!R7&lt;&gt;".",d_Irr!AQ7&lt;&gt;".",d_Irr!BP7&lt;&gt;"."),d_dir!AS7/((1/1000)*(d_Irr!R7+d_Irr!AQ7+d_Irr!BP7)),IF(AND(d_Irr!R7&lt;&gt;".",d_Irr!AQ7&lt;&gt;".",d_Irr!BP7="."),d_dir!AS7/((1/1000)*(d_Irr!R7+d_Irr!AQ7)),IF(AND(d_Irr!R7&lt;&gt;".",d_Irr!AQ7=".",d_Irr!BP7&lt;&gt;"."),d_dir!AS7/((1/1000)*(d_Irr!R7+d_Irr!BP7)),IF(AND(d_Irr!R7=".",d_Irr!AQ7&lt;&gt;".",d_Irr!BP7&lt;&gt;"."),d_dir!AS7/((1/1000)*(d_Irr!AQ7+d_Irr!BP7)),IF(AND(d_Irr!R7=".",d_Irr!AQ7=".",d_Irr!BP7&lt;&gt;"."),d_dir!AS7/((1/1000)*(d_Irr!BP7)),IF(AND(d_Irr!R7=".",d_Irr!AQ7&lt;&gt;".",d_Irr!BP7="."),d_dir!AS7/((1/1000)*(d_Irr!AQ7)),IF(AND(d_Irr!R7&lt;&gt;".",d_Irr!AQ7=".",d_Irr!BP7="."),d_dir!AS7/((1/1000)*(d_Irr!R7)),IF(AND(d_Irr!R7=".",d_Irr!AQ7=".",d_Irr!BP7="."),d_dir!AS7*1000)))))))),".")</f>
        <v>946.23969217121271</v>
      </c>
      <c r="AT7" s="70">
        <f>IFERROR(IF(AND(d_Irr!S7&lt;&gt;".",d_Irr!AR7&lt;&gt;".",d_Irr!BQ7&lt;&gt;"."),d_dir!AT7/((1/1000)*(d_Irr!S7+d_Irr!AR7+d_Irr!BQ7)),IF(AND(d_Irr!S7&lt;&gt;".",d_Irr!AR7&lt;&gt;".",d_Irr!BQ7="."),d_dir!AT7/((1/1000)*(d_Irr!S7+d_Irr!AR7)),IF(AND(d_Irr!S7&lt;&gt;".",d_Irr!AR7=".",d_Irr!BQ7&lt;&gt;"."),d_dir!AT7/((1/1000)*(d_Irr!S7+d_Irr!BQ7)),IF(AND(d_Irr!S7=".",d_Irr!AR7&lt;&gt;".",d_Irr!BQ7&lt;&gt;"."),d_dir!AT7/((1/1000)*(d_Irr!AR7+d_Irr!BQ7)),IF(AND(d_Irr!S7=".",d_Irr!AR7=".",d_Irr!BQ7&lt;&gt;"."),d_dir!AT7/((1/1000)*(d_Irr!BQ7)),IF(AND(d_Irr!S7=".",d_Irr!AR7&lt;&gt;".",d_Irr!BQ7="."),d_dir!AT7/((1/1000)*(d_Irr!AR7)),IF(AND(d_Irr!S7&lt;&gt;".",d_Irr!AR7=".",d_Irr!BQ7="."),d_dir!AT7/((1/1000)*(d_Irr!S7)),IF(AND(d_Irr!S7=".",d_Irr!AR7=".",d_Irr!BQ7="."),d_dir!AT7*1000)))))))),".")</f>
        <v>1984.9657337399619</v>
      </c>
      <c r="AU7" s="70">
        <f>IFERROR(IF(AND(d_Irr!T7&lt;&gt;".",d_Irr!AS7&lt;&gt;".",d_Irr!BR7&lt;&gt;"."),d_dir!AU7/((1/1000)*(d_Irr!T7+d_Irr!AS7+d_Irr!BR7)),IF(AND(d_Irr!T7&lt;&gt;".",d_Irr!AS7&lt;&gt;".",d_Irr!BR7="."),d_dir!AU7/((1/1000)*(d_Irr!T7+d_Irr!AS7)),IF(AND(d_Irr!T7&lt;&gt;".",d_Irr!AS7=".",d_Irr!BR7&lt;&gt;"."),d_dir!AU7/((1/1000)*(d_Irr!T7+d_Irr!BR7)),IF(AND(d_Irr!T7=".",d_Irr!AS7&lt;&gt;".",d_Irr!BR7&lt;&gt;"."),d_dir!AU7/((1/1000)*(d_Irr!AS7+d_Irr!BR7)),IF(AND(d_Irr!T7=".",d_Irr!AS7=".",d_Irr!BR7&lt;&gt;"."),d_dir!AU7/((1/1000)*(d_Irr!BR7)),IF(AND(d_Irr!T7=".",d_Irr!AS7&lt;&gt;".",d_Irr!BR7="."),d_dir!AU7/((1/1000)*(d_Irr!AS7)),IF(AND(d_Irr!T7&lt;&gt;".",d_Irr!AS7=".",d_Irr!BR7="."),d_dir!AU7/((1/1000)*(d_Irr!T7)),IF(AND(d_Irr!T7=".",d_Irr!AS7=".",d_Irr!BR7="."),d_dir!AU7*1000)))))))),".")</f>
        <v>2744.2720619333313</v>
      </c>
      <c r="AV7" s="70">
        <f>IFERROR(IF(AND(d_Irr!U7&lt;&gt;".",d_Irr!AT7&lt;&gt;".",d_Irr!BS7&lt;&gt;"."),d_dir!AV7/((1/1000)*(d_Irr!U7+d_Irr!AT7+d_Irr!BS7)),IF(AND(d_Irr!U7&lt;&gt;".",d_Irr!AT7&lt;&gt;".",d_Irr!BS7="."),d_dir!AV7/((1/1000)*(d_Irr!U7+d_Irr!AT7)),IF(AND(d_Irr!U7&lt;&gt;".",d_Irr!AT7=".",d_Irr!BS7&lt;&gt;"."),d_dir!AV7/((1/1000)*(d_Irr!U7+d_Irr!BS7)),IF(AND(d_Irr!U7=".",d_Irr!AT7&lt;&gt;".",d_Irr!BS7&lt;&gt;"."),d_dir!AV7/((1/1000)*(d_Irr!AT7+d_Irr!BS7)),IF(AND(d_Irr!U7=".",d_Irr!AT7=".",d_Irr!BS7&lt;&gt;"."),d_dir!AV7/((1/1000)*(d_Irr!BS7)),IF(AND(d_Irr!U7=".",d_Irr!AT7&lt;&gt;".",d_Irr!BS7="."),d_dir!AV7/((1/1000)*(d_Irr!AT7)),IF(AND(d_Irr!U7&lt;&gt;".",d_Irr!AT7=".",d_Irr!BS7="."),d_dir!AV7/((1/1000)*(d_Irr!U7)),IF(AND(d_Irr!U7=".",d_Irr!AT7=".",d_Irr!BS7="."),d_dir!AV7*1000)))))))),".")</f>
        <v>462.50308706844669</v>
      </c>
      <c r="AW7" s="70">
        <f>IFERROR(IF(AND(d_Irr!V7&lt;&gt;".",d_Irr!AU7&lt;&gt;".",d_Irr!BT7&lt;&gt;"."),d_dir!AW7/((1/1000)*(d_Irr!V7+d_Irr!AU7+d_Irr!BT7)),IF(AND(d_Irr!V7&lt;&gt;".",d_Irr!AU7&lt;&gt;".",d_Irr!BT7="."),d_dir!AW7/((1/1000)*(d_Irr!V7+d_Irr!AU7)),IF(AND(d_Irr!V7&lt;&gt;".",d_Irr!AU7=".",d_Irr!BT7&lt;&gt;"."),d_dir!AW7/((1/1000)*(d_Irr!V7+d_Irr!BT7)),IF(AND(d_Irr!V7=".",d_Irr!AU7&lt;&gt;".",d_Irr!BT7&lt;&gt;"."),d_dir!AW7/((1/1000)*(d_Irr!AU7+d_Irr!BT7)),IF(AND(d_Irr!V7=".",d_Irr!AU7=".",d_Irr!BT7&lt;&gt;"."),d_dir!AW7/((1/1000)*(d_Irr!BT7)),IF(AND(d_Irr!V7=".",d_Irr!AU7&lt;&gt;".",d_Irr!BT7="."),d_dir!AW7/((1/1000)*(d_Irr!AU7)),IF(AND(d_Irr!V7&lt;&gt;".",d_Irr!AU7=".",d_Irr!BT7="."),d_dir!AW7/((1/1000)*(d_Irr!V7)),IF(AND(d_Irr!V7=".",d_Irr!AU7=".",d_Irr!BT7="."),d_dir!AW7*1000)))))))),".")</f>
        <v>1039.7246795874451</v>
      </c>
      <c r="AX7" s="70">
        <f>IFERROR(IF(AND(d_Irr!W7&lt;&gt;".",d_Irr!AV7&lt;&gt;".",d_Irr!BU7&lt;&gt;"."),d_dir!AX7/((1/1000)*(d_Irr!W7+d_Irr!AV7+d_Irr!BU7)),IF(AND(d_Irr!W7&lt;&gt;".",d_Irr!AV7&lt;&gt;".",d_Irr!BU7="."),d_dir!AX7/((1/1000)*(d_Irr!W7+d_Irr!AV7)),IF(AND(d_Irr!W7&lt;&gt;".",d_Irr!AV7=".",d_Irr!BU7&lt;&gt;"."),d_dir!AX7/((1/1000)*(d_Irr!W7+d_Irr!BU7)),IF(AND(d_Irr!W7=".",d_Irr!AV7&lt;&gt;".",d_Irr!BU7&lt;&gt;"."),d_dir!AX7/((1/1000)*(d_Irr!AV7+d_Irr!BU7)),IF(AND(d_Irr!W7=".",d_Irr!AV7=".",d_Irr!BU7&lt;&gt;"."),d_dir!AX7/((1/1000)*(d_Irr!BU7)),IF(AND(d_Irr!W7=".",d_Irr!AV7&lt;&gt;".",d_Irr!BU7="."),d_dir!AX7/((1/1000)*(d_Irr!AV7)),IF(AND(d_Irr!W7&lt;&gt;".",d_Irr!AV7=".",d_Irr!BU7="."),d_dir!AX7/((1/1000)*(d_Irr!W7)),IF(AND(d_Irr!W7=".",d_Irr!AV7=".",d_Irr!BU7="."),d_dir!AX7*1000)))))))),".")</f>
        <v>1145.6844679193207</v>
      </c>
      <c r="AY7" s="70">
        <f>IFERROR(IF(AND(d_Irr!X7&lt;&gt;".",d_Irr!AW7&lt;&gt;".",d_Irr!BV7&lt;&gt;"."),d_dir!AY7/((1/1000)*(d_Irr!X7+d_Irr!AW7+d_Irr!BV7)),IF(AND(d_Irr!X7&lt;&gt;".",d_Irr!AW7&lt;&gt;".",d_Irr!BV7="."),d_dir!AY7/((1/1000)*(d_Irr!X7+d_Irr!AW7)),IF(AND(d_Irr!X7&lt;&gt;".",d_Irr!AW7=".",d_Irr!BV7&lt;&gt;"."),d_dir!AY7/((1/1000)*(d_Irr!X7+d_Irr!BV7)),IF(AND(d_Irr!X7=".",d_Irr!AW7&lt;&gt;".",d_Irr!BV7&lt;&gt;"."),d_dir!AY7/((1/1000)*(d_Irr!AW7+d_Irr!BV7)),IF(AND(d_Irr!X7=".",d_Irr!AW7=".",d_Irr!BV7&lt;&gt;"."),d_dir!AY7/((1/1000)*(d_Irr!BV7)),IF(AND(d_Irr!X7=".",d_Irr!AW7&lt;&gt;".",d_Irr!BV7="."),d_dir!AY7/((1/1000)*(d_Irr!AW7)),IF(AND(d_Irr!X7&lt;&gt;".",d_Irr!AW7=".",d_Irr!BV7="."),d_dir!AY7/((1/1000)*(d_Irr!X7)),IF(AND(d_Irr!X7=".",d_Irr!AW7=".",d_Irr!BV7="."),d_dir!AY7*1000)))))))),".")</f>
        <v>1537.9575829210619</v>
      </c>
      <c r="AZ7" s="70">
        <f>IFERROR(IF(AND(d_Irr!Y7&lt;&gt;".",d_Irr!AX7&lt;&gt;".",d_Irr!BW7&lt;&gt;"."),d_dir!AZ7/((1/1000)*(d_Irr!Y7+d_Irr!AX7+d_Irr!BW7)),IF(AND(d_Irr!Y7&lt;&gt;".",d_Irr!AX7&lt;&gt;".",d_Irr!BW7="."),d_dir!AZ7/((1/1000)*(d_Irr!Y7+d_Irr!AX7)),IF(AND(d_Irr!Y7&lt;&gt;".",d_Irr!AX7=".",d_Irr!BW7&lt;&gt;"."),d_dir!AZ7/((1/1000)*(d_Irr!Y7+d_Irr!BW7)),IF(AND(d_Irr!Y7=".",d_Irr!AX7&lt;&gt;".",d_Irr!BW7&lt;&gt;"."),d_dir!AZ7/((1/1000)*(d_Irr!AX7+d_Irr!BW7)),IF(AND(d_Irr!Y7=".",d_Irr!AX7=".",d_Irr!BW7&lt;&gt;"."),d_dir!AZ7/((1/1000)*(d_Irr!BW7)),IF(AND(d_Irr!Y7=".",d_Irr!AX7&lt;&gt;".",d_Irr!BW7="."),d_dir!AZ7/((1/1000)*(d_Irr!AX7)),IF(AND(d_Irr!Y7&lt;&gt;".",d_Irr!AX7=".",d_Irr!BW7="."),d_dir!AZ7/((1/1000)*(d_Irr!Y7)),IF(AND(d_Irr!Y7=".",d_Irr!AX7=".",d_Irr!BW7="."),d_dir!AZ7*1000)))))))),".")</f>
        <v>683.35774872759293</v>
      </c>
      <c r="BA7" s="70">
        <f>IFERROR(IF(AND(d_Irr!Z7&lt;&gt;".",d_Irr!AY7&lt;&gt;".",d_Irr!BX7&lt;&gt;"."),d_dir!BA7/((1/1000)*(d_Irr!Z7+d_Irr!AY7+d_Irr!BX7)),IF(AND(d_Irr!Z7&lt;&gt;".",d_Irr!AY7&lt;&gt;".",d_Irr!BX7="."),d_dir!BA7/((1/1000)*(d_Irr!Z7+d_Irr!AY7)),IF(AND(d_Irr!Z7&lt;&gt;".",d_Irr!AY7=".",d_Irr!BX7&lt;&gt;"."),d_dir!BA7/((1/1000)*(d_Irr!Z7+d_Irr!BX7)),IF(AND(d_Irr!Z7=".",d_Irr!AY7&lt;&gt;".",d_Irr!BX7&lt;&gt;"."),d_dir!BA7/((1/1000)*(d_Irr!AY7+d_Irr!BX7)),IF(AND(d_Irr!Z7=".",d_Irr!AY7=".",d_Irr!BX7&lt;&gt;"."),d_dir!BA7/((1/1000)*(d_Irr!BX7)),IF(AND(d_Irr!Z7=".",d_Irr!AY7&lt;&gt;".",d_Irr!BX7="."),d_dir!BA7/((1/1000)*(d_Irr!AY7)),IF(AND(d_Irr!Z7&lt;&gt;".",d_Irr!AY7=".",d_Irr!BX7="."),d_dir!BA7/((1/1000)*(d_Irr!Z7)),IF(AND(d_Irr!Z7=".",d_Irr!AY7=".",d_Irr!BX7="."),d_dir!BA7*1000)))))))),".")</f>
        <v>290.22970042735477</v>
      </c>
      <c r="BB7" s="70">
        <f>IFERROR(IF(AND(d_Irr!AA7&lt;&gt;".",d_Irr!AZ7&lt;&gt;".",d_Irr!BY7&lt;&gt;"."),d_dir!BB7/((1/1000)*(d_Irr!AA7+d_Irr!AZ7+d_Irr!BY7)),IF(AND(d_Irr!AA7&lt;&gt;".",d_Irr!AZ7&lt;&gt;".",d_Irr!BY7="."),d_dir!BB7/((1/1000)*(d_Irr!AA7+d_Irr!AZ7)),IF(AND(d_Irr!AA7&lt;&gt;".",d_Irr!AZ7=".",d_Irr!BY7&lt;&gt;"."),d_dir!BB7/((1/1000)*(d_Irr!AA7+d_Irr!BY7)),IF(AND(d_Irr!AA7=".",d_Irr!AZ7&lt;&gt;".",d_Irr!BY7&lt;&gt;"."),d_dir!BB7/((1/1000)*(d_Irr!AZ7+d_Irr!BY7)),IF(AND(d_Irr!AA7=".",d_Irr!AZ7=".",d_Irr!BY7&lt;&gt;"."),d_dir!BB7/((1/1000)*(d_Irr!BY7)),IF(AND(d_Irr!AA7=".",d_Irr!AZ7&lt;&gt;".",d_Irr!BY7="."),d_dir!BB7/((1/1000)*(d_Irr!AZ7)),IF(AND(d_Irr!AA7&lt;&gt;".",d_Irr!AZ7=".",d_Irr!BY7="."),d_dir!BB7/((1/1000)*(d_Irr!AA7)),IF(AND(d_Irr!AA7=".",d_Irr!AZ7=".",d_Irr!BY7="."),d_dir!BB7*1000)))))))),".")</f>
        <v>334.9198403128205</v>
      </c>
    </row>
    <row r="8" spans="1:54" ht="15" customHeight="1" x14ac:dyDescent="0.25">
      <c r="A8" s="86" t="s">
        <v>6</v>
      </c>
      <c r="B8" s="84" t="s">
        <v>1057</v>
      </c>
      <c r="C8" s="2">
        <f t="shared" si="1"/>
        <v>298.60819461806466</v>
      </c>
      <c r="D8" s="70">
        <f>IFERROR(IF(AND(d_Irr!C8&lt;&gt;".",d_Irr!AB8&lt;&gt;".",d_Irr!BA8&lt;&gt;"."),d_dir!D8/((1/1000)*(d_Irr!C8+d_Irr!AB8+d_Irr!BA8)),IF(AND(d_Irr!C8&lt;&gt;".",d_Irr!AB8&lt;&gt;".",d_Irr!BA8="."),d_dir!D8/((1/1000)*(d_Irr!C8+d_Irr!AB8)),IF(AND(d_Irr!C8&lt;&gt;".",d_Irr!AB8=".",d_Irr!BA8&lt;&gt;"."),d_dir!D8/((1/1000)*(d_Irr!C8+d_Irr!BA8)),IF(AND(d_Irr!C8=".",d_Irr!AB8&lt;&gt;".",d_Irr!BA8&lt;&gt;"."),d_dir!D8/((1/1000)*(d_Irr!AB8+d_Irr!BA8)),IF(AND(d_Irr!C8=".",d_Irr!AB8=".",d_Irr!BA8&lt;&gt;"."),d_dir!D8/((1/1000)*(d_Irr!BA8)),IF(AND(d_Irr!C8=".",d_Irr!AB8&lt;&gt;".",d_Irr!BA8="."),d_dir!D8/((1/1000)*(d_Irr!AB8)),IF(AND(d_Irr!C8&lt;&gt;".",d_Irr!AB8=".",d_Irr!BA8="."),d_dir!D8/((1/1000)*(d_Irr!C8)),IF(AND(d_Irr!C8=".",d_Irr!AB8=".",d_Irr!BA8="."),d_dir!D8*1000)))))))),".")</f>
        <v>5430.2814768393218</v>
      </c>
      <c r="E8" s="70">
        <f>IFERROR(IF(AND(d_Irr!D8&lt;&gt;".",d_Irr!AC8&lt;&gt;".",d_Irr!BB8&lt;&gt;"."),d_dir!E8/((1/1000)*(d_Irr!D8+d_Irr!AC8+d_Irr!BB8)),IF(AND(d_Irr!D8&lt;&gt;".",d_Irr!AC8&lt;&gt;".",d_Irr!BB8="."),d_dir!E8/((1/1000)*(d_Irr!D8+d_Irr!AC8)),IF(AND(d_Irr!D8&lt;&gt;".",d_Irr!AC8=".",d_Irr!BB8&lt;&gt;"."),d_dir!E8/((1/1000)*(d_Irr!D8+d_Irr!BB8)),IF(AND(d_Irr!D8=".",d_Irr!AC8&lt;&gt;".",d_Irr!BB8&lt;&gt;"."),d_dir!E8/((1/1000)*(d_Irr!AC8+d_Irr!BB8)),IF(AND(d_Irr!D8=".",d_Irr!AC8=".",d_Irr!BB8&lt;&gt;"."),d_dir!E8/((1/1000)*(d_Irr!BB8)),IF(AND(d_Irr!D8=".",d_Irr!AC8&lt;&gt;".",d_Irr!BB8="."),d_dir!E8/((1/1000)*(d_Irr!AC8)),IF(AND(d_Irr!D8&lt;&gt;".",d_Irr!AC8=".",d_Irr!BB8="."),d_dir!E8/((1/1000)*(d_Irr!D8)),IF(AND(d_Irr!D8=".",d_Irr!AC8=".",d_Irr!BB8="."),d_dir!E8*1000)))))))),".")</f>
        <v>11872.575496092943</v>
      </c>
      <c r="F8" s="70">
        <f>IFERROR(IF(AND(d_Irr!E8&lt;&gt;".",d_Irr!AD8&lt;&gt;".",d_Irr!BC8&lt;&gt;"."),d_dir!F8/((1/1000)*(d_Irr!E8+d_Irr!AD8+d_Irr!BC8)),IF(AND(d_Irr!E8&lt;&gt;".",d_Irr!AD8&lt;&gt;".",d_Irr!BC8="."),d_dir!F8/((1/1000)*(d_Irr!E8+d_Irr!AD8)),IF(AND(d_Irr!E8&lt;&gt;".",d_Irr!AD8=".",d_Irr!BC8&lt;&gt;"."),d_dir!F8/((1/1000)*(d_Irr!E8+d_Irr!BC8)),IF(AND(d_Irr!E8=".",d_Irr!AD8&lt;&gt;".",d_Irr!BC8&lt;&gt;"."),d_dir!F8/((1/1000)*(d_Irr!AD8+d_Irr!BC8)),IF(AND(d_Irr!E8=".",d_Irr!AD8=".",d_Irr!BC8&lt;&gt;"."),d_dir!F8/((1/1000)*(d_Irr!BC8)),IF(AND(d_Irr!E8=".",d_Irr!AD8&lt;&gt;".",d_Irr!BC8="."),d_dir!F8/((1/1000)*(d_Irr!AD8)),IF(AND(d_Irr!E8&lt;&gt;".",d_Irr!AD8=".",d_Irr!BC8="."),d_dir!F8/((1/1000)*(d_Irr!E8)),IF(AND(d_Irr!E8=".",d_Irr!AD8=".",d_Irr!BC8="."),d_dir!F8*1000)))))))),".")</f>
        <v>14316.355965587445</v>
      </c>
      <c r="G8" s="70">
        <f>IFERROR(IF(AND(d_Irr!F8&lt;&gt;".",d_Irr!AE8&lt;&gt;".",d_Irr!BD8&lt;&gt;"."),d_dir!G8/((1/1000)*(d_Irr!F8+d_Irr!AE8+d_Irr!BD8)),IF(AND(d_Irr!F8&lt;&gt;".",d_Irr!AE8&lt;&gt;".",d_Irr!BD8="."),d_dir!G8/((1/1000)*(d_Irr!F8+d_Irr!AE8)),IF(AND(d_Irr!F8&lt;&gt;".",d_Irr!AE8=".",d_Irr!BD8&lt;&gt;"."),d_dir!G8/((1/1000)*(d_Irr!F8+d_Irr!BD8)),IF(AND(d_Irr!F8=".",d_Irr!AE8&lt;&gt;".",d_Irr!BD8&lt;&gt;"."),d_dir!G8/((1/1000)*(d_Irr!AE8+d_Irr!BD8)),IF(AND(d_Irr!F8=".",d_Irr!AE8=".",d_Irr!BD8&lt;&gt;"."),d_dir!G8/((1/1000)*(d_Irr!BD8)),IF(AND(d_Irr!F8=".",d_Irr!AE8&lt;&gt;".",d_Irr!BD8="."),d_dir!G8/((1/1000)*(d_Irr!AE8)),IF(AND(d_Irr!F8&lt;&gt;".",d_Irr!AE8=".",d_Irr!BD8="."),d_dir!G8/((1/1000)*(d_Irr!F8)),IF(AND(d_Irr!F8=".",d_Irr!AE8=".",d_Irr!BD8="."),d_dir!G8*1000)))))))),".")</f>
        <v>12210.374120750919</v>
      </c>
      <c r="H8" s="70">
        <f>IFERROR(IF(AND(d_Irr!G8&lt;&gt;".",d_Irr!AF8&lt;&gt;".",d_Irr!BE8&lt;&gt;"."),d_dir!H8/((1/1000)*(d_Irr!G8+d_Irr!AF8+d_Irr!BE8)),IF(AND(d_Irr!G8&lt;&gt;".",d_Irr!AF8&lt;&gt;".",d_Irr!BE8="."),d_dir!H8/((1/1000)*(d_Irr!G8+d_Irr!AF8)),IF(AND(d_Irr!G8&lt;&gt;".",d_Irr!AF8=".",d_Irr!BE8&lt;&gt;"."),d_dir!H8/((1/1000)*(d_Irr!G8+d_Irr!BE8)),IF(AND(d_Irr!G8=".",d_Irr!AF8&lt;&gt;".",d_Irr!BE8&lt;&gt;"."),d_dir!H8/((1/1000)*(d_Irr!AF8+d_Irr!BE8)),IF(AND(d_Irr!G8=".",d_Irr!AF8=".",d_Irr!BE8&lt;&gt;"."),d_dir!H8/((1/1000)*(d_Irr!BE8)),IF(AND(d_Irr!G8=".",d_Irr!AF8&lt;&gt;".",d_Irr!BE8="."),d_dir!H8/((1/1000)*(d_Irr!AF8)),IF(AND(d_Irr!G8&lt;&gt;".",d_Irr!AF8=".",d_Irr!BE8="."),d_dir!H8/((1/1000)*(d_Irr!G8)),IF(AND(d_Irr!G8=".",d_Irr!AF8=".",d_Irr!BE8="."),d_dir!H8*1000)))))))),".")</f>
        <v>14978.832645409017</v>
      </c>
      <c r="I8" s="70">
        <f>IFERROR(IF(AND(d_Irr!H8&lt;&gt;".",d_Irr!AG8&lt;&gt;".",d_Irr!BF8&lt;&gt;"."),d_dir!I8/((1/1000)*(d_Irr!H8+d_Irr!AG8+d_Irr!BF8)),IF(AND(d_Irr!H8&lt;&gt;".",d_Irr!AG8&lt;&gt;".",d_Irr!BF8="."),d_dir!I8/((1/1000)*(d_Irr!H8+d_Irr!AG8)),IF(AND(d_Irr!H8&lt;&gt;".",d_Irr!AG8=".",d_Irr!BF8&lt;&gt;"."),d_dir!I8/((1/1000)*(d_Irr!H8+d_Irr!BF8)),IF(AND(d_Irr!H8=".",d_Irr!AG8&lt;&gt;".",d_Irr!BF8&lt;&gt;"."),d_dir!I8/((1/1000)*(d_Irr!AG8+d_Irr!BF8)),IF(AND(d_Irr!H8=".",d_Irr!AG8=".",d_Irr!BF8&lt;&gt;"."),d_dir!I8/((1/1000)*(d_Irr!BF8)),IF(AND(d_Irr!H8=".",d_Irr!AG8&lt;&gt;".",d_Irr!BF8="."),d_dir!I8/((1/1000)*(d_Irr!AG8)),IF(AND(d_Irr!H8&lt;&gt;".",d_Irr!AG8=".",d_Irr!BF8="."),d_dir!I8/((1/1000)*(d_Irr!H8)),IF(AND(d_Irr!H8=".",d_Irr!AG8=".",d_Irr!BF8="."),d_dir!I8*1000)))))))),".")</f>
        <v>5847.4141009709465</v>
      </c>
      <c r="J8" s="70">
        <f>IFERROR(IF(AND(d_Irr!I8&lt;&gt;".",d_Irr!AH8&lt;&gt;".",d_Irr!BG8&lt;&gt;"."),d_dir!J8/((1/1000)*(d_Irr!I8+d_Irr!AH8+d_Irr!BG8)),IF(AND(d_Irr!I8&lt;&gt;".",d_Irr!AH8&lt;&gt;".",d_Irr!BG8="."),d_dir!J8/((1/1000)*(d_Irr!I8+d_Irr!AH8)),IF(AND(d_Irr!I8&lt;&gt;".",d_Irr!AH8=".",d_Irr!BG8&lt;&gt;"."),d_dir!J8/((1/1000)*(d_Irr!I8+d_Irr!BG8)),IF(AND(d_Irr!I8=".",d_Irr!AH8&lt;&gt;".",d_Irr!BG8&lt;&gt;"."),d_dir!J8/((1/1000)*(d_Irr!AH8+d_Irr!BG8)),IF(AND(d_Irr!I8=".",d_Irr!AH8=".",d_Irr!BG8&lt;&gt;"."),d_dir!J8/((1/1000)*(d_Irr!BG8)),IF(AND(d_Irr!I8=".",d_Irr!AH8&lt;&gt;".",d_Irr!BG8="."),d_dir!J8/((1/1000)*(d_Irr!AH8)),IF(AND(d_Irr!I8&lt;&gt;".",d_Irr!AH8=".",d_Irr!BG8="."),d_dir!J8/((1/1000)*(d_Irr!I8)),IF(AND(d_Irr!I8=".",d_Irr!AH8=".",d_Irr!BG8="."),d_dir!J8*1000)))))))),".")</f>
        <v>16488.273262769835</v>
      </c>
      <c r="K8" s="70">
        <f>IFERROR(IF(AND(d_Irr!J8&lt;&gt;".",d_Irr!AI8&lt;&gt;".",d_Irr!BH8&lt;&gt;"."),d_dir!K8/((1/1000)*(d_Irr!J8+d_Irr!AI8+d_Irr!BH8)),IF(AND(d_Irr!J8&lt;&gt;".",d_Irr!AI8&lt;&gt;".",d_Irr!BH8="."),d_dir!K8/((1/1000)*(d_Irr!J8+d_Irr!AI8)),IF(AND(d_Irr!J8&lt;&gt;".",d_Irr!AI8=".",d_Irr!BH8&lt;&gt;"."),d_dir!K8/((1/1000)*(d_Irr!J8+d_Irr!BH8)),IF(AND(d_Irr!J8=".",d_Irr!AI8&lt;&gt;".",d_Irr!BH8&lt;&gt;"."),d_dir!K8/((1/1000)*(d_Irr!AI8+d_Irr!BH8)),IF(AND(d_Irr!J8=".",d_Irr!AI8=".",d_Irr!BH8&lt;&gt;"."),d_dir!K8/((1/1000)*(d_Irr!BH8)),IF(AND(d_Irr!J8=".",d_Irr!AI8&lt;&gt;".",d_Irr!BH8="."),d_dir!K8/((1/1000)*(d_Irr!AI8)),IF(AND(d_Irr!J8&lt;&gt;".",d_Irr!AI8=".",d_Irr!BH8="."),d_dir!K8/((1/1000)*(d_Irr!J8)),IF(AND(d_Irr!J8=".",d_Irr!AI8=".",d_Irr!BH8="."),d_dir!K8*1000)))))))),".")</f>
        <v>1407.7339703968892</v>
      </c>
      <c r="L8" s="70">
        <f>IFERROR(IF(AND(d_Irr!K8&lt;&gt;".",d_Irr!AJ8&lt;&gt;".",d_Irr!BI8&lt;&gt;"."),d_dir!L8/((1/1000)*(d_Irr!K8+d_Irr!AJ8+d_Irr!BI8)),IF(AND(d_Irr!K8&lt;&gt;".",d_Irr!AJ8&lt;&gt;".",d_Irr!BI8="."),d_dir!L8/((1/1000)*(d_Irr!K8+d_Irr!AJ8)),IF(AND(d_Irr!K8&lt;&gt;".",d_Irr!AJ8=".",d_Irr!BI8&lt;&gt;"."),d_dir!L8/((1/1000)*(d_Irr!K8+d_Irr!BI8)),IF(AND(d_Irr!K8=".",d_Irr!AJ8&lt;&gt;".",d_Irr!BI8&lt;&gt;"."),d_dir!L8/((1/1000)*(d_Irr!AJ8+d_Irr!BI8)),IF(AND(d_Irr!K8=".",d_Irr!AJ8=".",d_Irr!BI8&lt;&gt;"."),d_dir!L8/((1/1000)*(d_Irr!BI8)),IF(AND(d_Irr!K8=".",d_Irr!AJ8&lt;&gt;".",d_Irr!BI8="."),d_dir!L8/((1/1000)*(d_Irr!AJ8)),IF(AND(d_Irr!K8&lt;&gt;".",d_Irr!AJ8=".",d_Irr!BI8="."),d_dir!L8/((1/1000)*(d_Irr!K8)),IF(AND(d_Irr!K8=".",d_Irr!AJ8=".",d_Irr!BI8="."),d_dir!L8*1000)))))))),".")</f>
        <v>7718.2121344823454</v>
      </c>
      <c r="M8" s="70">
        <f>IFERROR(IF(AND(d_Irr!L8&lt;&gt;".",d_Irr!AK8&lt;&gt;".",d_Irr!BJ8&lt;&gt;"."),d_dir!M8/((1/1000)*(d_Irr!L8+d_Irr!AK8+d_Irr!BJ8)),IF(AND(d_Irr!L8&lt;&gt;".",d_Irr!AK8&lt;&gt;".",d_Irr!BJ8="."),d_dir!M8/((1/1000)*(d_Irr!L8+d_Irr!AK8)),IF(AND(d_Irr!L8&lt;&gt;".",d_Irr!AK8=".",d_Irr!BJ8&lt;&gt;"."),d_dir!M8/((1/1000)*(d_Irr!L8+d_Irr!BJ8)),IF(AND(d_Irr!L8=".",d_Irr!AK8&lt;&gt;".",d_Irr!BJ8&lt;&gt;"."),d_dir!M8/((1/1000)*(d_Irr!AK8+d_Irr!BJ8)),IF(AND(d_Irr!L8=".",d_Irr!AK8=".",d_Irr!BJ8&lt;&gt;"."),d_dir!M8/((1/1000)*(d_Irr!BJ8)),IF(AND(d_Irr!L8=".",d_Irr!AK8&lt;&gt;".",d_Irr!BJ8="."),d_dir!M8/((1/1000)*(d_Irr!AK8)),IF(AND(d_Irr!L8&lt;&gt;".",d_Irr!AK8=".",d_Irr!BJ8="."),d_dir!M8/((1/1000)*(d_Irr!L8)),IF(AND(d_Irr!L8=".",d_Irr!AK8=".",d_Irr!BJ8="."),d_dir!M8*1000)))))))),".")</f>
        <v>5784.4510349677475</v>
      </c>
      <c r="N8" s="70">
        <f>IFERROR(IF(AND(d_Irr!M8&lt;&gt;".",d_Irr!AL8&lt;&gt;".",d_Irr!BK8&lt;&gt;"."),d_dir!N8/((1/1000)*(d_Irr!M8+d_Irr!AL8+d_Irr!BK8)),IF(AND(d_Irr!M8&lt;&gt;".",d_Irr!AL8&lt;&gt;".",d_Irr!BK8="."),d_dir!N8/((1/1000)*(d_Irr!M8+d_Irr!AL8)),IF(AND(d_Irr!M8&lt;&gt;".",d_Irr!AL8=".",d_Irr!BK8&lt;&gt;"."),d_dir!N8/((1/1000)*(d_Irr!M8+d_Irr!BK8)),IF(AND(d_Irr!M8=".",d_Irr!AL8&lt;&gt;".",d_Irr!BK8&lt;&gt;"."),d_dir!N8/((1/1000)*(d_Irr!AL8+d_Irr!BK8)),IF(AND(d_Irr!M8=".",d_Irr!AL8=".",d_Irr!BK8&lt;&gt;"."),d_dir!N8/((1/1000)*(d_Irr!BK8)),IF(AND(d_Irr!M8=".",d_Irr!AL8&lt;&gt;".",d_Irr!BK8="."),d_dir!N8/((1/1000)*(d_Irr!AL8)),IF(AND(d_Irr!M8&lt;&gt;".",d_Irr!AL8=".",d_Irr!BK8="."),d_dir!N8/((1/1000)*(d_Irr!M8)),IF(AND(d_Irr!M8=".",d_Irr!AL8=".",d_Irr!BK8="."),d_dir!N8*1000)))))))),".")</f>
        <v>12885.864693901278</v>
      </c>
      <c r="O8" s="70">
        <f>IFERROR(IF(AND(d_Irr!N8&lt;&gt;".",d_Irr!AM8&lt;&gt;".",d_Irr!BL8&lt;&gt;"."),d_dir!O8/((1/1000)*(d_Irr!N8+d_Irr!AM8+d_Irr!BL8)),IF(AND(d_Irr!N8&lt;&gt;".",d_Irr!AM8&lt;&gt;".",d_Irr!BL8="."),d_dir!O8/((1/1000)*(d_Irr!N8+d_Irr!AM8)),IF(AND(d_Irr!N8&lt;&gt;".",d_Irr!AM8=".",d_Irr!BL8&lt;&gt;"."),d_dir!O8/((1/1000)*(d_Irr!N8+d_Irr!BL8)),IF(AND(d_Irr!N8=".",d_Irr!AM8&lt;&gt;".",d_Irr!BL8&lt;&gt;"."),d_dir!O8/((1/1000)*(d_Irr!AM8+d_Irr!BL8)),IF(AND(d_Irr!N8=".",d_Irr!AM8=".",d_Irr!BL8&lt;&gt;"."),d_dir!O8/((1/1000)*(d_Irr!BL8)),IF(AND(d_Irr!N8=".",d_Irr!AM8&lt;&gt;".",d_Irr!BL8="."),d_dir!O8/((1/1000)*(d_Irr!AM8)),IF(AND(d_Irr!N8&lt;&gt;".",d_Irr!AM8=".",d_Irr!BL8="."),d_dir!O8/((1/1000)*(d_Irr!N8)),IF(AND(d_Irr!N8=".",d_Irr!AM8=".",d_Irr!BL8="."),d_dir!O8*1000)))))))),".")</f>
        <v>12572.866817136703</v>
      </c>
      <c r="P8" s="70">
        <f>IFERROR(IF(AND(d_Irr!O8&lt;&gt;".",d_Irr!AN8&lt;&gt;".",d_Irr!BM8&lt;&gt;"."),d_dir!P8/((1/1000)*(d_Irr!O8+d_Irr!AN8+d_Irr!BM8)),IF(AND(d_Irr!O8&lt;&gt;".",d_Irr!AN8&lt;&gt;".",d_Irr!BM8="."),d_dir!P8/((1/1000)*(d_Irr!O8+d_Irr!AN8)),IF(AND(d_Irr!O8&lt;&gt;".",d_Irr!AN8=".",d_Irr!BM8&lt;&gt;"."),d_dir!P8/((1/1000)*(d_Irr!O8+d_Irr!BM8)),IF(AND(d_Irr!O8=".",d_Irr!AN8&lt;&gt;".",d_Irr!BM8&lt;&gt;"."),d_dir!P8/((1/1000)*(d_Irr!AN8+d_Irr!BM8)),IF(AND(d_Irr!O8=".",d_Irr!AN8=".",d_Irr!BM8&lt;&gt;"."),d_dir!P8/((1/1000)*(d_Irr!BM8)),IF(AND(d_Irr!O8=".",d_Irr!AN8&lt;&gt;".",d_Irr!BM8="."),d_dir!P8/((1/1000)*(d_Irr!AN8)),IF(AND(d_Irr!O8&lt;&gt;".",d_Irr!AN8=".",d_Irr!BM8="."),d_dir!P8/((1/1000)*(d_Irr!O8)),IF(AND(d_Irr!O8=".",d_Irr!AN8=".",d_Irr!BM8="."),d_dir!P8*1000)))))))),".")</f>
        <v>15607.460963039623</v>
      </c>
      <c r="Q8" s="70">
        <f>IFERROR(IF(AND(d_Irr!P8&lt;&gt;".",d_Irr!AO8&lt;&gt;".",d_Irr!BN8&lt;&gt;"."),d_dir!Q8/((1/1000)*(d_Irr!P8+d_Irr!AO8+d_Irr!BN8)),IF(AND(d_Irr!P8&lt;&gt;".",d_Irr!AO8&lt;&gt;".",d_Irr!BN8="."),d_dir!Q8/((1/1000)*(d_Irr!P8+d_Irr!AO8)),IF(AND(d_Irr!P8&lt;&gt;".",d_Irr!AO8=".",d_Irr!BN8&lt;&gt;"."),d_dir!Q8/((1/1000)*(d_Irr!P8+d_Irr!BN8)),IF(AND(d_Irr!P8=".",d_Irr!AO8&lt;&gt;".",d_Irr!BN8&lt;&gt;"."),d_dir!Q8/((1/1000)*(d_Irr!AO8+d_Irr!BN8)),IF(AND(d_Irr!P8=".",d_Irr!AO8=".",d_Irr!BN8&lt;&gt;"."),d_dir!Q8/((1/1000)*(d_Irr!BN8)),IF(AND(d_Irr!P8=".",d_Irr!AO8&lt;&gt;".",d_Irr!BN8="."),d_dir!Q8/((1/1000)*(d_Irr!AO8)),IF(AND(d_Irr!P8&lt;&gt;".",d_Irr!AO8=".",d_Irr!BN8="."),d_dir!Q8/((1/1000)*(d_Irr!P8)),IF(AND(d_Irr!P8=".",d_Irr!AO8=".",d_Irr!BN8="."),d_dir!Q8*1000)))))))),".")</f>
        <v>22278.315626705877</v>
      </c>
      <c r="R8" s="70">
        <f>IFERROR(IF(AND(d_Irr!Q8&lt;&gt;".",d_Irr!AP8&lt;&gt;".",d_Irr!BO8&lt;&gt;"."),d_dir!R8/((1/1000)*(d_Irr!Q8+d_Irr!AP8+d_Irr!BO8)),IF(AND(d_Irr!Q8&lt;&gt;".",d_Irr!AP8&lt;&gt;".",d_Irr!BO8="."),d_dir!R8/((1/1000)*(d_Irr!Q8+d_Irr!AP8)),IF(AND(d_Irr!Q8&lt;&gt;".",d_Irr!AP8=".",d_Irr!BO8&lt;&gt;"."),d_dir!R8/((1/1000)*(d_Irr!Q8+d_Irr!BO8)),IF(AND(d_Irr!Q8=".",d_Irr!AP8&lt;&gt;".",d_Irr!BO8&lt;&gt;"."),d_dir!R8/((1/1000)*(d_Irr!AP8+d_Irr!BO8)),IF(AND(d_Irr!Q8=".",d_Irr!AP8=".",d_Irr!BO8&lt;&gt;"."),d_dir!R8/((1/1000)*(d_Irr!BO8)),IF(AND(d_Irr!Q8=".",d_Irr!AP8&lt;&gt;".",d_Irr!BO8="."),d_dir!R8/((1/1000)*(d_Irr!AP8)),IF(AND(d_Irr!Q8&lt;&gt;".",d_Irr!AP8=".",d_Irr!BO8="."),d_dir!R8/((1/1000)*(d_Irr!Q8)),IF(AND(d_Irr!Q8=".",d_Irr!AP8=".",d_Irr!BO8="."),d_dir!R8*1000)))))))),".")</f>
        <v>3486.210620672503</v>
      </c>
      <c r="S8" s="70">
        <f>IFERROR(IF(AND(d_Irr!R8&lt;&gt;".",d_Irr!AQ8&lt;&gt;".",d_Irr!BP8&lt;&gt;"."),d_dir!S8/((1/1000)*(d_Irr!R8+d_Irr!AQ8+d_Irr!BP8)),IF(AND(d_Irr!R8&lt;&gt;".",d_Irr!AQ8&lt;&gt;".",d_Irr!BP8="."),d_dir!S8/((1/1000)*(d_Irr!R8+d_Irr!AQ8)),IF(AND(d_Irr!R8&lt;&gt;".",d_Irr!AQ8=".",d_Irr!BP8&lt;&gt;"."),d_dir!S8/((1/1000)*(d_Irr!R8+d_Irr!BP8)),IF(AND(d_Irr!R8=".",d_Irr!AQ8&lt;&gt;".",d_Irr!BP8&lt;&gt;"."),d_dir!S8/((1/1000)*(d_Irr!AQ8+d_Irr!BP8)),IF(AND(d_Irr!R8=".",d_Irr!AQ8=".",d_Irr!BP8&lt;&gt;"."),d_dir!S8/((1/1000)*(d_Irr!BP8)),IF(AND(d_Irr!R8=".",d_Irr!AQ8&lt;&gt;".",d_Irr!BP8="."),d_dir!S8/((1/1000)*(d_Irr!AQ8)),IF(AND(d_Irr!R8&lt;&gt;".",d_Irr!AQ8=".",d_Irr!BP8="."),d_dir!S8/((1/1000)*(d_Irr!R8)),IF(AND(d_Irr!R8=".",d_Irr!AQ8=".",d_Irr!BP8="."),d_dir!S8*1000)))))))),".")</f>
        <v>7113.6212866322003</v>
      </c>
      <c r="T8" s="70">
        <f>IFERROR(IF(AND(d_Irr!S8&lt;&gt;".",d_Irr!AR8&lt;&gt;".",d_Irr!BQ8&lt;&gt;"."),d_dir!T8/((1/1000)*(d_Irr!S8+d_Irr!AR8+d_Irr!BQ8)),IF(AND(d_Irr!S8&lt;&gt;".",d_Irr!AR8&lt;&gt;".",d_Irr!BQ8="."),d_dir!T8/((1/1000)*(d_Irr!S8+d_Irr!AR8)),IF(AND(d_Irr!S8&lt;&gt;".",d_Irr!AR8=".",d_Irr!BQ8&lt;&gt;"."),d_dir!T8/((1/1000)*(d_Irr!S8+d_Irr!BQ8)),IF(AND(d_Irr!S8=".",d_Irr!AR8&lt;&gt;".",d_Irr!BQ8&lt;&gt;"."),d_dir!T8/((1/1000)*(d_Irr!AR8+d_Irr!BQ8)),IF(AND(d_Irr!S8=".",d_Irr!AR8=".",d_Irr!BQ8&lt;&gt;"."),d_dir!T8/((1/1000)*(d_Irr!BQ8)),IF(AND(d_Irr!S8=".",d_Irr!AR8&lt;&gt;".",d_Irr!BQ8="."),d_dir!T8/((1/1000)*(d_Irr!AR8)),IF(AND(d_Irr!S8&lt;&gt;".",d_Irr!AR8=".",d_Irr!BQ8="."),d_dir!T8/((1/1000)*(d_Irr!S8)),IF(AND(d_Irr!S8=".",d_Irr!AR8=".",d_Irr!BQ8="."),d_dir!T8*1000)))))))),".")</f>
        <v>12407.901997605688</v>
      </c>
      <c r="U8" s="70">
        <f>IFERROR(IF(AND(d_Irr!T8&lt;&gt;".",d_Irr!AS8&lt;&gt;".",d_Irr!BR8&lt;&gt;"."),d_dir!U8/((1/1000)*(d_Irr!T8+d_Irr!AS8+d_Irr!BR8)),IF(AND(d_Irr!T8&lt;&gt;".",d_Irr!AS8&lt;&gt;".",d_Irr!BR8="."),d_dir!U8/((1/1000)*(d_Irr!T8+d_Irr!AS8)),IF(AND(d_Irr!T8&lt;&gt;".",d_Irr!AS8=".",d_Irr!BR8&lt;&gt;"."),d_dir!U8/((1/1000)*(d_Irr!T8+d_Irr!BR8)),IF(AND(d_Irr!T8=".",d_Irr!AS8&lt;&gt;".",d_Irr!BR8&lt;&gt;"."),d_dir!U8/((1/1000)*(d_Irr!AS8+d_Irr!BR8)),IF(AND(d_Irr!T8=".",d_Irr!AS8=".",d_Irr!BR8&lt;&gt;"."),d_dir!U8/((1/1000)*(d_Irr!BR8)),IF(AND(d_Irr!T8=".",d_Irr!AS8&lt;&gt;".",d_Irr!BR8="."),d_dir!U8/((1/1000)*(d_Irr!AS8)),IF(AND(d_Irr!T8&lt;&gt;".",d_Irr!AS8=".",d_Irr!BR8="."),d_dir!U8/((1/1000)*(d_Irr!T8)),IF(AND(d_Irr!T8=".",d_Irr!AS8=".",d_Irr!BR8="."),d_dir!U8*1000)))))))),".")</f>
        <v>24582.837509211964</v>
      </c>
      <c r="V8" s="70">
        <f>IFERROR(IF(AND(d_Irr!U8&lt;&gt;".",d_Irr!AT8&lt;&gt;".",d_Irr!BS8&lt;&gt;"."),d_dir!V8/((1/1000)*(d_Irr!U8+d_Irr!AT8+d_Irr!BS8)),IF(AND(d_Irr!U8&lt;&gt;".",d_Irr!AT8&lt;&gt;".",d_Irr!BS8="."),d_dir!V8/((1/1000)*(d_Irr!U8+d_Irr!AT8)),IF(AND(d_Irr!U8&lt;&gt;".",d_Irr!AT8=".",d_Irr!BS8&lt;&gt;"."),d_dir!V8/((1/1000)*(d_Irr!U8+d_Irr!BS8)),IF(AND(d_Irr!U8=".",d_Irr!AT8&lt;&gt;".",d_Irr!BS8&lt;&gt;"."),d_dir!V8/((1/1000)*(d_Irr!AT8+d_Irr!BS8)),IF(AND(d_Irr!U8=".",d_Irr!AT8=".",d_Irr!BS8&lt;&gt;"."),d_dir!V8/((1/1000)*(d_Irr!BS8)),IF(AND(d_Irr!U8=".",d_Irr!AT8&lt;&gt;".",d_Irr!BS8="."),d_dir!V8/((1/1000)*(d_Irr!AT8)),IF(AND(d_Irr!U8&lt;&gt;".",d_Irr!AT8=".",d_Irr!BS8="."),d_dir!V8/((1/1000)*(d_Irr!U8)),IF(AND(d_Irr!U8=".",d_Irr!AT8=".",d_Irr!BS8="."),d_dir!V8*1000)))))))),".")</f>
        <v>3649.4127851281696</v>
      </c>
      <c r="W8" s="70">
        <f>IFERROR(IF(AND(d_Irr!V8&lt;&gt;".",d_Irr!AU8&lt;&gt;".",d_Irr!BT8&lt;&gt;"."),d_dir!W8/((1/1000)*(d_Irr!V8+d_Irr!AU8+d_Irr!BT8)),IF(AND(d_Irr!V8&lt;&gt;".",d_Irr!AU8&lt;&gt;".",d_Irr!BT8="."),d_dir!W8/((1/1000)*(d_Irr!V8+d_Irr!AU8)),IF(AND(d_Irr!V8&lt;&gt;".",d_Irr!AU8=".",d_Irr!BT8&lt;&gt;"."),d_dir!W8/((1/1000)*(d_Irr!V8+d_Irr!BT8)),IF(AND(d_Irr!V8=".",d_Irr!AU8&lt;&gt;".",d_Irr!BT8&lt;&gt;"."),d_dir!W8/((1/1000)*(d_Irr!AU8+d_Irr!BT8)),IF(AND(d_Irr!V8=".",d_Irr!AU8=".",d_Irr!BT8&lt;&gt;"."),d_dir!W8/((1/1000)*(d_Irr!BT8)),IF(AND(d_Irr!V8=".",d_Irr!AU8&lt;&gt;".",d_Irr!BT8="."),d_dir!W8/((1/1000)*(d_Irr!AU8)),IF(AND(d_Irr!V8&lt;&gt;".",d_Irr!AU8=".",d_Irr!BT8="."),d_dir!W8/((1/1000)*(d_Irr!V8)),IF(AND(d_Irr!V8=".",d_Irr!AU8=".",d_Irr!BT8="."),d_dir!W8*1000)))))))),".")</f>
        <v>7422.7046393312467</v>
      </c>
      <c r="X8" s="70">
        <f>IFERROR(IF(AND(d_Irr!W8&lt;&gt;".",d_Irr!AV8&lt;&gt;".",d_Irr!BU8&lt;&gt;"."),d_dir!X8/((1/1000)*(d_Irr!W8+d_Irr!AV8+d_Irr!BU8)),IF(AND(d_Irr!W8&lt;&gt;".",d_Irr!AV8&lt;&gt;".",d_Irr!BU8="."),d_dir!X8/((1/1000)*(d_Irr!W8+d_Irr!AV8)),IF(AND(d_Irr!W8&lt;&gt;".",d_Irr!AV8=".",d_Irr!BU8&lt;&gt;"."),d_dir!X8/((1/1000)*(d_Irr!W8+d_Irr!BU8)),IF(AND(d_Irr!W8=".",d_Irr!AV8&lt;&gt;".",d_Irr!BU8&lt;&gt;"."),d_dir!X8/((1/1000)*(d_Irr!AV8+d_Irr!BU8)),IF(AND(d_Irr!W8=".",d_Irr!AV8=".",d_Irr!BU8&lt;&gt;"."),d_dir!X8/((1/1000)*(d_Irr!BU8)),IF(AND(d_Irr!W8=".",d_Irr!AV8&lt;&gt;".",d_Irr!BU8="."),d_dir!X8/((1/1000)*(d_Irr!AV8)),IF(AND(d_Irr!W8&lt;&gt;".",d_Irr!AV8=".",d_Irr!BU8="."),d_dir!X8/((1/1000)*(d_Irr!W8)),IF(AND(d_Irr!W8=".",d_Irr!AV8=".",d_Irr!BU8="."),d_dir!X8*1000)))))))),".")</f>
        <v>8127.5178529506966</v>
      </c>
      <c r="Y8" s="70">
        <f>IFERROR(IF(AND(d_Irr!X8&lt;&gt;".",d_Irr!AW8&lt;&gt;".",d_Irr!BV8&lt;&gt;"."),d_dir!Y8/((1/1000)*(d_Irr!X8+d_Irr!AW8+d_Irr!BV8)),IF(AND(d_Irr!X8&lt;&gt;".",d_Irr!AW8&lt;&gt;".",d_Irr!BV8="."),d_dir!Y8/((1/1000)*(d_Irr!X8+d_Irr!AW8)),IF(AND(d_Irr!X8&lt;&gt;".",d_Irr!AW8=".",d_Irr!BV8&lt;&gt;"."),d_dir!Y8/((1/1000)*(d_Irr!X8+d_Irr!BV8)),IF(AND(d_Irr!X8=".",d_Irr!AW8&lt;&gt;".",d_Irr!BV8&lt;&gt;"."),d_dir!Y8/((1/1000)*(d_Irr!AW8+d_Irr!BV8)),IF(AND(d_Irr!X8=".",d_Irr!AW8=".",d_Irr!BV8&lt;&gt;"."),d_dir!Y8/((1/1000)*(d_Irr!BV8)),IF(AND(d_Irr!X8=".",d_Irr!AW8&lt;&gt;".",d_Irr!BV8="."),d_dir!Y8/((1/1000)*(d_Irr!AW8)),IF(AND(d_Irr!X8&lt;&gt;".",d_Irr!AW8=".",d_Irr!BV8="."),d_dir!Y8/((1/1000)*(d_Irr!X8)),IF(AND(d_Irr!X8=".",d_Irr!AW8=".",d_Irr!BV8="."),d_dir!Y8*1000)))))))),".")</f>
        <v>10617.574608905292</v>
      </c>
      <c r="Z8" s="70">
        <f>IFERROR(IF(AND(d_Irr!Y8&lt;&gt;".",d_Irr!AX8&lt;&gt;".",d_Irr!BW8&lt;&gt;"."),d_dir!Z8/((1/1000)*(d_Irr!Y8+d_Irr!AX8+d_Irr!BW8)),IF(AND(d_Irr!Y8&lt;&gt;".",d_Irr!AX8&lt;&gt;".",d_Irr!BW8="."),d_dir!Z8/((1/1000)*(d_Irr!Y8+d_Irr!AX8)),IF(AND(d_Irr!Y8&lt;&gt;".",d_Irr!AX8=".",d_Irr!BW8&lt;&gt;"."),d_dir!Z8/((1/1000)*(d_Irr!Y8+d_Irr!BW8)),IF(AND(d_Irr!Y8=".",d_Irr!AX8&lt;&gt;".",d_Irr!BW8&lt;&gt;"."),d_dir!Z8/((1/1000)*(d_Irr!AX8+d_Irr!BW8)),IF(AND(d_Irr!Y8=".",d_Irr!AX8=".",d_Irr!BW8&lt;&gt;"."),d_dir!Z8/((1/1000)*(d_Irr!BW8)),IF(AND(d_Irr!Y8=".",d_Irr!AX8&lt;&gt;".",d_Irr!BW8="."),d_dir!Z8/((1/1000)*(d_Irr!AX8)),IF(AND(d_Irr!Y8&lt;&gt;".",d_Irr!AX8=".",d_Irr!BW8="."),d_dir!Z8/((1/1000)*(d_Irr!Y8)),IF(AND(d_Irr!Y8=".",d_Irr!AX8=".",d_Irr!BW8="."),d_dir!Z8*1000)))))))),".")</f>
        <v>5657.3499419901982</v>
      </c>
      <c r="AA8" s="70">
        <f>IFERROR(IF(AND(d_Irr!Z8&lt;&gt;".",d_Irr!AY8&lt;&gt;".",d_Irr!BX8&lt;&gt;"."),d_dir!AA8/((1/1000)*(d_Irr!Z8+d_Irr!AY8+d_Irr!BX8)),IF(AND(d_Irr!Z8&lt;&gt;".",d_Irr!AY8&lt;&gt;".",d_Irr!BX8="."),d_dir!AA8/((1/1000)*(d_Irr!Z8+d_Irr!AY8)),IF(AND(d_Irr!Z8&lt;&gt;".",d_Irr!AY8=".",d_Irr!BX8&lt;&gt;"."),d_dir!AA8/((1/1000)*(d_Irr!Z8+d_Irr!BX8)),IF(AND(d_Irr!Z8=".",d_Irr!AY8&lt;&gt;".",d_Irr!BX8&lt;&gt;"."),d_dir!AA8/((1/1000)*(d_Irr!AY8+d_Irr!BX8)),IF(AND(d_Irr!Z8=".",d_Irr!AY8=".",d_Irr!BX8&lt;&gt;"."),d_dir!AA8/((1/1000)*(d_Irr!BX8)),IF(AND(d_Irr!Z8=".",d_Irr!AY8&lt;&gt;".",d_Irr!BX8="."),d_dir!AA8/((1/1000)*(d_Irr!AY8)),IF(AND(d_Irr!Z8&lt;&gt;".",d_Irr!AY8=".",d_Irr!BX8="."),d_dir!AA8/((1/1000)*(d_Irr!Z8)),IF(AND(d_Irr!Z8=".",d_Irr!AY8=".",d_Irr!BX8="."),d_dir!AA8*1000)))))))),".")</f>
        <v>2460.5280328501699</v>
      </c>
      <c r="AB8" s="70">
        <f>IFERROR(IF(AND(d_Irr!AA8&lt;&gt;".",d_Irr!AZ8&lt;&gt;".",d_Irr!BY8&lt;&gt;"."),d_dir!AB8/((1/1000)*(d_Irr!AA8+d_Irr!AZ8+d_Irr!BY8)),IF(AND(d_Irr!AA8&lt;&gt;".",d_Irr!AZ8&lt;&gt;".",d_Irr!BY8="."),d_dir!AB8/((1/1000)*(d_Irr!AA8+d_Irr!AZ8)),IF(AND(d_Irr!AA8&lt;&gt;".",d_Irr!AZ8=".",d_Irr!BY8&lt;&gt;"."),d_dir!AB8/((1/1000)*(d_Irr!AA8+d_Irr!BY8)),IF(AND(d_Irr!AA8=".",d_Irr!AZ8&lt;&gt;".",d_Irr!BY8&lt;&gt;"."),d_dir!AB8/((1/1000)*(d_Irr!AZ8+d_Irr!BY8)),IF(AND(d_Irr!AA8=".",d_Irr!AZ8=".",d_Irr!BY8&lt;&gt;"."),d_dir!AB8/((1/1000)*(d_Irr!BY8)),IF(AND(d_Irr!AA8=".",d_Irr!AZ8&lt;&gt;".",d_Irr!BY8="."),d_dir!AB8/((1/1000)*(d_Irr!AZ8)),IF(AND(d_Irr!AA8&lt;&gt;".",d_Irr!AZ8=".",d_Irr!BY8="."),d_dir!AB8/((1/1000)*(d_Irr!AA8)),IF(AND(d_Irr!AA8=".",d_Irr!AZ8=".",d_Irr!BY8="."),d_dir!AB8*1000)))))))),".")</f>
        <v>2821.9696665834604</v>
      </c>
      <c r="AC8" s="70">
        <f t="shared" si="0"/>
        <v>280.93860947249777</v>
      </c>
      <c r="AD8" s="70">
        <f>IFERROR(IF(AND(d_Irr!C8&lt;&gt;".",d_Irr!AB8&lt;&gt;".",d_Irr!BA8&lt;&gt;"."),d_dir!AD8/((1/1000)*(d_Irr!C8+d_Irr!AB8+d_Irr!BA8)),IF(AND(d_Irr!C8&lt;&gt;".",d_Irr!AB8&lt;&gt;".",d_Irr!BA8="."),d_dir!AD8/((1/1000)*(d_Irr!C8+d_Irr!AB8)),IF(AND(d_Irr!C8&lt;&gt;".",d_Irr!AB8=".",d_Irr!BA8&lt;&gt;"."),d_dir!AD8/((1/1000)*(d_Irr!C8+d_Irr!BA8)),IF(AND(d_Irr!C8=".",d_Irr!AB8&lt;&gt;".",d_Irr!BA8&lt;&gt;"."),d_dir!AD8/((1/1000)*(d_Irr!AB8+d_Irr!BA8)),IF(AND(d_Irr!C8=".",d_Irr!AB8=".",d_Irr!BA8&lt;&gt;"."),d_dir!AD8/((1/1000)*(d_Irr!BA8)),IF(AND(d_Irr!C8=".",d_Irr!AB8&lt;&gt;".",d_Irr!BA8="."),d_dir!AD8/((1/1000)*(d_Irr!AB8)),IF(AND(d_Irr!C8&lt;&gt;".",d_Irr!AB8=".",d_Irr!BA8="."),d_dir!AD8/((1/1000)*(d_Irr!C8)),IF(AND(d_Irr!C8=".",d_Irr!AB8=".",d_Irr!BA8="."),d_dir!AD8*1000)))))))),".")</f>
        <v>4721.8413698650311</v>
      </c>
      <c r="AE8" s="70">
        <f>IFERROR(IF(AND(d_Irr!D8&lt;&gt;".",d_Irr!AC8&lt;&gt;".",d_Irr!BB8&lt;&gt;"."),d_dir!AE8/((1/1000)*(d_Irr!D8+d_Irr!AC8+d_Irr!BB8)),IF(AND(d_Irr!D8&lt;&gt;".",d_Irr!AC8&lt;&gt;".",d_Irr!BB8="."),d_dir!AE8/((1/1000)*(d_Irr!D8+d_Irr!AC8)),IF(AND(d_Irr!D8&lt;&gt;".",d_Irr!AC8=".",d_Irr!BB8&lt;&gt;"."),d_dir!AE8/((1/1000)*(d_Irr!D8+d_Irr!BB8)),IF(AND(d_Irr!D8=".",d_Irr!AC8&lt;&gt;".",d_Irr!BB8&lt;&gt;"."),d_dir!AE8/((1/1000)*(d_Irr!AC8+d_Irr!BB8)),IF(AND(d_Irr!D8=".",d_Irr!AC8=".",d_Irr!BB8&lt;&gt;"."),d_dir!AE8/((1/1000)*(d_Irr!BB8)),IF(AND(d_Irr!D8=".",d_Irr!AC8&lt;&gt;".",d_Irr!BB8="."),d_dir!AE8/((1/1000)*(d_Irr!AC8)),IF(AND(d_Irr!D8&lt;&gt;".",d_Irr!AC8=".",d_Irr!BB8="."),d_dir!AE8/((1/1000)*(d_Irr!D8)),IF(AND(d_Irr!D8=".",d_Irr!AC8=".",d_Irr!BB8="."),d_dir!AE8*1000)))))))),".")</f>
        <v>11125.864307936108</v>
      </c>
      <c r="AF8" s="70">
        <f>IFERROR(IF(AND(d_Irr!E8&lt;&gt;".",d_Irr!AD8&lt;&gt;".",d_Irr!BC8&lt;&gt;"."),d_dir!AF8/((1/1000)*(d_Irr!E8+d_Irr!AD8+d_Irr!BC8)),IF(AND(d_Irr!E8&lt;&gt;".",d_Irr!AD8&lt;&gt;".",d_Irr!BC8="."),d_dir!AF8/((1/1000)*(d_Irr!E8+d_Irr!AD8)),IF(AND(d_Irr!E8&lt;&gt;".",d_Irr!AD8=".",d_Irr!BC8&lt;&gt;"."),d_dir!AF8/((1/1000)*(d_Irr!E8+d_Irr!BC8)),IF(AND(d_Irr!E8=".",d_Irr!AD8&lt;&gt;".",d_Irr!BC8&lt;&gt;"."),d_dir!AF8/((1/1000)*(d_Irr!AD8+d_Irr!BC8)),IF(AND(d_Irr!E8=".",d_Irr!AD8=".",d_Irr!BC8&lt;&gt;"."),d_dir!AF8/((1/1000)*(d_Irr!BC8)),IF(AND(d_Irr!E8=".",d_Irr!AD8&lt;&gt;".",d_Irr!BC8="."),d_dir!AF8/((1/1000)*(d_Irr!AD8)),IF(AND(d_Irr!E8&lt;&gt;".",d_Irr!AD8=".",d_Irr!BC8="."),d_dir!AF8/((1/1000)*(d_Irr!E8)),IF(AND(d_Irr!E8=".",d_Irr!AD8=".",d_Irr!BC8="."),d_dir!AF8*1000)))))))),".")</f>
        <v>13237.16682312511</v>
      </c>
      <c r="AG8" s="70">
        <f>IFERROR(IF(AND(d_Irr!F8&lt;&gt;".",d_Irr!AE8&lt;&gt;".",d_Irr!BD8&lt;&gt;"."),d_dir!AG8/((1/1000)*(d_Irr!F8+d_Irr!AE8+d_Irr!BD8)),IF(AND(d_Irr!F8&lt;&gt;".",d_Irr!AE8&lt;&gt;".",d_Irr!BD8="."),d_dir!AG8/((1/1000)*(d_Irr!F8+d_Irr!AE8)),IF(AND(d_Irr!F8&lt;&gt;".",d_Irr!AE8=".",d_Irr!BD8&lt;&gt;"."),d_dir!AG8/((1/1000)*(d_Irr!F8+d_Irr!BD8)),IF(AND(d_Irr!F8=".",d_Irr!AE8&lt;&gt;".",d_Irr!BD8&lt;&gt;"."),d_dir!AG8/((1/1000)*(d_Irr!AE8+d_Irr!BD8)),IF(AND(d_Irr!F8=".",d_Irr!AE8=".",d_Irr!BD8&lt;&gt;"."),d_dir!AG8/((1/1000)*(d_Irr!BD8)),IF(AND(d_Irr!F8=".",d_Irr!AE8&lt;&gt;".",d_Irr!BD8="."),d_dir!AG8/((1/1000)*(d_Irr!AE8)),IF(AND(d_Irr!F8&lt;&gt;".",d_Irr!AE8=".",d_Irr!BD8="."),d_dir!AG8/((1/1000)*(d_Irr!F8)),IF(AND(d_Irr!F8=".",d_Irr!AE8=".",d_Irr!BD8="."),d_dir!AG8*1000)))))))),".")</f>
        <v>11890.102012665649</v>
      </c>
      <c r="AH8" s="70">
        <f>IFERROR(IF(AND(d_Irr!G8&lt;&gt;".",d_Irr!AF8&lt;&gt;".",d_Irr!BE8&lt;&gt;"."),d_dir!AH8/((1/1000)*(d_Irr!G8+d_Irr!AF8+d_Irr!BE8)),IF(AND(d_Irr!G8&lt;&gt;".",d_Irr!AF8&lt;&gt;".",d_Irr!BE8="."),d_dir!AH8/((1/1000)*(d_Irr!G8+d_Irr!AF8)),IF(AND(d_Irr!G8&lt;&gt;".",d_Irr!AF8=".",d_Irr!BE8&lt;&gt;"."),d_dir!AH8/((1/1000)*(d_Irr!G8+d_Irr!BE8)),IF(AND(d_Irr!G8=".",d_Irr!AF8&lt;&gt;".",d_Irr!BE8&lt;&gt;"."),d_dir!AH8/((1/1000)*(d_Irr!AF8+d_Irr!BE8)),IF(AND(d_Irr!G8=".",d_Irr!AF8=".",d_Irr!BE8&lt;&gt;"."),d_dir!AH8/((1/1000)*(d_Irr!BE8)),IF(AND(d_Irr!G8=".",d_Irr!AF8&lt;&gt;".",d_Irr!BE8="."),d_dir!AH8/((1/1000)*(d_Irr!AF8)),IF(AND(d_Irr!G8&lt;&gt;".",d_Irr!AF8=".",d_Irr!BE8="."),d_dir!AH8/((1/1000)*(d_Irr!G8)),IF(AND(d_Irr!G8=".",d_Irr!AF8=".",d_Irr!BE8="."),d_dir!AH8*1000)))))))),".")</f>
        <v>12730.447703537653</v>
      </c>
      <c r="AI8" s="70">
        <f>IFERROR(IF(AND(d_Irr!H8&lt;&gt;".",d_Irr!AG8&lt;&gt;".",d_Irr!BF8&lt;&gt;"."),d_dir!AI8/((1/1000)*(d_Irr!H8+d_Irr!AG8+d_Irr!BF8)),IF(AND(d_Irr!H8&lt;&gt;".",d_Irr!AG8&lt;&gt;".",d_Irr!BF8="."),d_dir!AI8/((1/1000)*(d_Irr!H8+d_Irr!AG8)),IF(AND(d_Irr!H8&lt;&gt;".",d_Irr!AG8=".",d_Irr!BF8&lt;&gt;"."),d_dir!AI8/((1/1000)*(d_Irr!H8+d_Irr!BF8)),IF(AND(d_Irr!H8=".",d_Irr!AG8&lt;&gt;".",d_Irr!BF8&lt;&gt;"."),d_dir!AI8/((1/1000)*(d_Irr!AG8+d_Irr!BF8)),IF(AND(d_Irr!H8=".",d_Irr!AG8=".",d_Irr!BF8&lt;&gt;"."),d_dir!AI8/((1/1000)*(d_Irr!BF8)),IF(AND(d_Irr!H8=".",d_Irr!AG8&lt;&gt;".",d_Irr!BF8="."),d_dir!AI8/((1/1000)*(d_Irr!AG8)),IF(AND(d_Irr!H8&lt;&gt;".",d_Irr!AG8=".",d_Irr!BF8="."),d_dir!AI8/((1/1000)*(d_Irr!H8)),IF(AND(d_Irr!H8=".",d_Irr!AG8=".",d_Irr!BF8="."),d_dir!AI8*1000)))))))),".")</f>
        <v>5764.2959287014564</v>
      </c>
      <c r="AJ8" s="70">
        <f>IFERROR(IF(AND(d_Irr!I8&lt;&gt;".",d_Irr!AH8&lt;&gt;".",d_Irr!BG8&lt;&gt;"."),d_dir!AJ8/((1/1000)*(d_Irr!I8+d_Irr!AH8+d_Irr!BG8)),IF(AND(d_Irr!I8&lt;&gt;".",d_Irr!AH8&lt;&gt;".",d_Irr!BG8="."),d_dir!AJ8/((1/1000)*(d_Irr!I8+d_Irr!AH8)),IF(AND(d_Irr!I8&lt;&gt;".",d_Irr!AH8=".",d_Irr!BG8&lt;&gt;"."),d_dir!AJ8/((1/1000)*(d_Irr!I8+d_Irr!BG8)),IF(AND(d_Irr!I8=".",d_Irr!AH8&lt;&gt;".",d_Irr!BG8&lt;&gt;"."),d_dir!AJ8/((1/1000)*(d_Irr!AH8+d_Irr!BG8)),IF(AND(d_Irr!I8=".",d_Irr!AH8=".",d_Irr!BG8&lt;&gt;"."),d_dir!AJ8/((1/1000)*(d_Irr!BG8)),IF(AND(d_Irr!I8=".",d_Irr!AH8&lt;&gt;".",d_Irr!BG8="."),d_dir!AJ8/((1/1000)*(d_Irr!AH8)),IF(AND(d_Irr!I8&lt;&gt;".",d_Irr!AH8=".",d_Irr!BG8="."),d_dir!AJ8/((1/1000)*(d_Irr!I8)),IF(AND(d_Irr!I8=".",d_Irr!AH8=".",d_Irr!BG8="."),d_dir!AJ8*1000)))))))),".")</f>
        <v>17575.388218698768</v>
      </c>
      <c r="AK8" s="70">
        <f>IFERROR(IF(AND(d_Irr!J8&lt;&gt;".",d_Irr!AI8&lt;&gt;".",d_Irr!BH8&lt;&gt;"."),d_dir!AK8/((1/1000)*(d_Irr!J8+d_Irr!AI8+d_Irr!BH8)),IF(AND(d_Irr!J8&lt;&gt;".",d_Irr!AI8&lt;&gt;".",d_Irr!BH8="."),d_dir!AK8/((1/1000)*(d_Irr!J8+d_Irr!AI8)),IF(AND(d_Irr!J8&lt;&gt;".",d_Irr!AI8=".",d_Irr!BH8&lt;&gt;"."),d_dir!AK8/((1/1000)*(d_Irr!J8+d_Irr!BH8)),IF(AND(d_Irr!J8=".",d_Irr!AI8&lt;&gt;".",d_Irr!BH8&lt;&gt;"."),d_dir!AK8/((1/1000)*(d_Irr!AI8+d_Irr!BH8)),IF(AND(d_Irr!J8=".",d_Irr!AI8=".",d_Irr!BH8&lt;&gt;"."),d_dir!AK8/((1/1000)*(d_Irr!BH8)),IF(AND(d_Irr!J8=".",d_Irr!AI8&lt;&gt;".",d_Irr!BH8="."),d_dir!AK8/((1/1000)*(d_Irr!AI8)),IF(AND(d_Irr!J8&lt;&gt;".",d_Irr!AI8=".",d_Irr!BH8="."),d_dir!AK8/((1/1000)*(d_Irr!J8)),IF(AND(d_Irr!J8=".",d_Irr!AI8=".",d_Irr!BH8="."),d_dir!AK8*1000)))))))),".")</f>
        <v>1368.8965984418712</v>
      </c>
      <c r="AL8" s="70">
        <f>IFERROR(IF(AND(d_Irr!K8&lt;&gt;".",d_Irr!AJ8&lt;&gt;".",d_Irr!BI8&lt;&gt;"."),d_dir!AL8/((1/1000)*(d_Irr!K8+d_Irr!AJ8+d_Irr!BI8)),IF(AND(d_Irr!K8&lt;&gt;".",d_Irr!AJ8&lt;&gt;".",d_Irr!BI8="."),d_dir!AL8/((1/1000)*(d_Irr!K8+d_Irr!AJ8)),IF(AND(d_Irr!K8&lt;&gt;".",d_Irr!AJ8=".",d_Irr!BI8&lt;&gt;"."),d_dir!AL8/((1/1000)*(d_Irr!K8+d_Irr!BI8)),IF(AND(d_Irr!K8=".",d_Irr!AJ8&lt;&gt;".",d_Irr!BI8&lt;&gt;"."),d_dir!AL8/((1/1000)*(d_Irr!AJ8+d_Irr!BI8)),IF(AND(d_Irr!K8=".",d_Irr!AJ8=".",d_Irr!BI8&lt;&gt;"."),d_dir!AL8/((1/1000)*(d_Irr!BI8)),IF(AND(d_Irr!K8=".",d_Irr!AJ8&lt;&gt;".",d_Irr!BI8="."),d_dir!AL8/((1/1000)*(d_Irr!AJ8)),IF(AND(d_Irr!K8&lt;&gt;".",d_Irr!AJ8=".",d_Irr!BI8="."),d_dir!AL8/((1/1000)*(d_Irr!K8)),IF(AND(d_Irr!K8=".",d_Irr!AJ8=".",d_Irr!BI8="."),d_dir!AL8*1000)))))))),".")</f>
        <v>5353.2960111558868</v>
      </c>
      <c r="AM8" s="70">
        <f>IFERROR(IF(AND(d_Irr!L8&lt;&gt;".",d_Irr!AK8&lt;&gt;".",d_Irr!BJ8&lt;&gt;"."),d_dir!AM8/((1/1000)*(d_Irr!L8+d_Irr!AK8+d_Irr!BJ8)),IF(AND(d_Irr!L8&lt;&gt;".",d_Irr!AK8&lt;&gt;".",d_Irr!BJ8="."),d_dir!AM8/((1/1000)*(d_Irr!L8+d_Irr!AK8)),IF(AND(d_Irr!L8&lt;&gt;".",d_Irr!AK8=".",d_Irr!BJ8&lt;&gt;"."),d_dir!AM8/((1/1000)*(d_Irr!L8+d_Irr!BJ8)),IF(AND(d_Irr!L8=".",d_Irr!AK8&lt;&gt;".",d_Irr!BJ8&lt;&gt;"."),d_dir!AM8/((1/1000)*(d_Irr!AK8+d_Irr!BJ8)),IF(AND(d_Irr!L8=".",d_Irr!AK8=".",d_Irr!BJ8&lt;&gt;"."),d_dir!AM8/((1/1000)*(d_Irr!BJ8)),IF(AND(d_Irr!L8=".",d_Irr!AK8&lt;&gt;".",d_Irr!BJ8="."),d_dir!AM8/((1/1000)*(d_Irr!AK8)),IF(AND(d_Irr!L8&lt;&gt;".",d_Irr!AK8=".",d_Irr!BJ8="."),d_dir!AM8/((1/1000)*(d_Irr!L8)),IF(AND(d_Irr!L8=".",d_Irr!AK8=".",d_Irr!BJ8="."),d_dir!AM8*1000)))))))),".")</f>
        <v>8127.9134212784438</v>
      </c>
      <c r="AN8" s="70">
        <f>IFERROR(IF(AND(d_Irr!M8&lt;&gt;".",d_Irr!AL8&lt;&gt;".",d_Irr!BK8&lt;&gt;"."),d_dir!AN8/((1/1000)*(d_Irr!M8+d_Irr!AL8+d_Irr!BK8)),IF(AND(d_Irr!M8&lt;&gt;".",d_Irr!AL8&lt;&gt;".",d_Irr!BK8="."),d_dir!AN8/((1/1000)*(d_Irr!M8+d_Irr!AL8)),IF(AND(d_Irr!M8&lt;&gt;".",d_Irr!AL8=".",d_Irr!BK8&lt;&gt;"."),d_dir!AN8/((1/1000)*(d_Irr!M8+d_Irr!BK8)),IF(AND(d_Irr!M8=".",d_Irr!AL8&lt;&gt;".",d_Irr!BK8&lt;&gt;"."),d_dir!AN8/((1/1000)*(d_Irr!AL8+d_Irr!BK8)),IF(AND(d_Irr!M8=".",d_Irr!AL8=".",d_Irr!BK8&lt;&gt;"."),d_dir!AN8/((1/1000)*(d_Irr!BK8)),IF(AND(d_Irr!M8=".",d_Irr!AL8&lt;&gt;".",d_Irr!BK8="."),d_dir!AN8/((1/1000)*(d_Irr!AL8)),IF(AND(d_Irr!M8&lt;&gt;".",d_Irr!AL8=".",d_Irr!BK8="."),d_dir!AN8/((1/1000)*(d_Irr!M8)),IF(AND(d_Irr!M8=".",d_Irr!AL8=".",d_Irr!BK8="."),d_dir!AN8*1000)))))))),".")</f>
        <v>11803.135044175591</v>
      </c>
      <c r="AO8" s="70">
        <f>IFERROR(IF(AND(d_Irr!N8&lt;&gt;".",d_Irr!AM8&lt;&gt;".",d_Irr!BL8&lt;&gt;"."),d_dir!AO8/((1/1000)*(d_Irr!N8+d_Irr!AM8+d_Irr!BL8)),IF(AND(d_Irr!N8&lt;&gt;".",d_Irr!AM8&lt;&gt;".",d_Irr!BL8="."),d_dir!AO8/((1/1000)*(d_Irr!N8+d_Irr!AM8)),IF(AND(d_Irr!N8&lt;&gt;".",d_Irr!AM8=".",d_Irr!BL8&lt;&gt;"."),d_dir!AO8/((1/1000)*(d_Irr!N8+d_Irr!BL8)),IF(AND(d_Irr!N8=".",d_Irr!AM8&lt;&gt;".",d_Irr!BL8&lt;&gt;"."),d_dir!AO8/((1/1000)*(d_Irr!AM8+d_Irr!BL8)),IF(AND(d_Irr!N8=".",d_Irr!AM8=".",d_Irr!BL8&lt;&gt;"."),d_dir!AO8/((1/1000)*(d_Irr!BL8)),IF(AND(d_Irr!N8=".",d_Irr!AM8&lt;&gt;".",d_Irr!BL8="."),d_dir!AO8/((1/1000)*(d_Irr!AM8)),IF(AND(d_Irr!N8&lt;&gt;".",d_Irr!AM8=".",d_Irr!BL8="."),d_dir!AO8/((1/1000)*(d_Irr!N8)),IF(AND(d_Irr!N8=".",d_Irr!AM8=".",d_Irr!BL8="."),d_dir!AO8*1000)))))))),".")</f>
        <v>12200.163432116799</v>
      </c>
      <c r="AP8" s="70">
        <f>IFERROR(IF(AND(d_Irr!O8&lt;&gt;".",d_Irr!AN8&lt;&gt;".",d_Irr!BM8&lt;&gt;"."),d_dir!AP8/((1/1000)*(d_Irr!O8+d_Irr!AN8+d_Irr!BM8)),IF(AND(d_Irr!O8&lt;&gt;".",d_Irr!AN8&lt;&gt;".",d_Irr!BM8="."),d_dir!AP8/((1/1000)*(d_Irr!O8+d_Irr!AN8)),IF(AND(d_Irr!O8&lt;&gt;".",d_Irr!AN8=".",d_Irr!BM8&lt;&gt;"."),d_dir!AP8/((1/1000)*(d_Irr!O8+d_Irr!BM8)),IF(AND(d_Irr!O8=".",d_Irr!AN8&lt;&gt;".",d_Irr!BM8&lt;&gt;"."),d_dir!AP8/((1/1000)*(d_Irr!AN8+d_Irr!BM8)),IF(AND(d_Irr!O8=".",d_Irr!AN8=".",d_Irr!BM8&lt;&gt;"."),d_dir!AP8/((1/1000)*(d_Irr!BM8)),IF(AND(d_Irr!O8=".",d_Irr!AN8&lt;&gt;".",d_Irr!BM8="."),d_dir!AP8/((1/1000)*(d_Irr!AN8)),IF(AND(d_Irr!O8&lt;&gt;".",d_Irr!AN8=".",d_Irr!BM8="."),d_dir!AP8/((1/1000)*(d_Irr!O8)),IF(AND(d_Irr!O8=".",d_Irr!AN8=".",d_Irr!BM8="."),d_dir!AP8*1000)))))))),".")</f>
        <v>14645.239516510943</v>
      </c>
      <c r="AQ8" s="70">
        <f>IFERROR(IF(AND(d_Irr!P8&lt;&gt;".",d_Irr!AO8&lt;&gt;".",d_Irr!BN8&lt;&gt;"."),d_dir!AQ8/((1/1000)*(d_Irr!P8+d_Irr!AO8+d_Irr!BN8)),IF(AND(d_Irr!P8&lt;&gt;".",d_Irr!AO8&lt;&gt;".",d_Irr!BN8="."),d_dir!AQ8/((1/1000)*(d_Irr!P8+d_Irr!AO8)),IF(AND(d_Irr!P8&lt;&gt;".",d_Irr!AO8=".",d_Irr!BN8&lt;&gt;"."),d_dir!AQ8/((1/1000)*(d_Irr!P8+d_Irr!BN8)),IF(AND(d_Irr!P8=".",d_Irr!AO8&lt;&gt;".",d_Irr!BN8&lt;&gt;"."),d_dir!AQ8/((1/1000)*(d_Irr!AO8+d_Irr!BN8)),IF(AND(d_Irr!P8=".",d_Irr!AO8=".",d_Irr!BN8&lt;&gt;"."),d_dir!AQ8/((1/1000)*(d_Irr!BN8)),IF(AND(d_Irr!P8=".",d_Irr!AO8&lt;&gt;".",d_Irr!BN8="."),d_dir!AQ8/((1/1000)*(d_Irr!AO8)),IF(AND(d_Irr!P8&lt;&gt;".",d_Irr!AO8=".",d_Irr!BN8="."),d_dir!AQ8/((1/1000)*(d_Irr!P8)),IF(AND(d_Irr!P8=".",d_Irr!AO8=".",d_Irr!BN8="."),d_dir!AQ8*1000)))))))),".")</f>
        <v>16401.528545234509</v>
      </c>
      <c r="AR8" s="70">
        <f>IFERROR(IF(AND(d_Irr!Q8&lt;&gt;".",d_Irr!AP8&lt;&gt;".",d_Irr!BO8&lt;&gt;"."),d_dir!AR8/((1/1000)*(d_Irr!Q8+d_Irr!AP8+d_Irr!BO8)),IF(AND(d_Irr!Q8&lt;&gt;".",d_Irr!AP8&lt;&gt;".",d_Irr!BO8="."),d_dir!AR8/((1/1000)*(d_Irr!Q8+d_Irr!AP8)),IF(AND(d_Irr!Q8&lt;&gt;".",d_Irr!AP8=".",d_Irr!BO8&lt;&gt;"."),d_dir!AR8/((1/1000)*(d_Irr!Q8+d_Irr!BO8)),IF(AND(d_Irr!Q8=".",d_Irr!AP8&lt;&gt;".",d_Irr!BO8&lt;&gt;"."),d_dir!AR8/((1/1000)*(d_Irr!AP8+d_Irr!BO8)),IF(AND(d_Irr!Q8=".",d_Irr!AP8=".",d_Irr!BO8&lt;&gt;"."),d_dir!AR8/((1/1000)*(d_Irr!BO8)),IF(AND(d_Irr!Q8=".",d_Irr!AP8&lt;&gt;".",d_Irr!BO8="."),d_dir!AR8/((1/1000)*(d_Irr!AP8)),IF(AND(d_Irr!Q8&lt;&gt;".",d_Irr!AP8=".",d_Irr!BO8="."),d_dir!AR8/((1/1000)*(d_Irr!Q8)),IF(AND(d_Irr!Q8=".",d_Irr!AP8=".",d_Irr!BO8="."),d_dir!AR8*1000)))))))),".")</f>
        <v>3897.2745799507438</v>
      </c>
      <c r="AS8" s="70">
        <f>IFERROR(IF(AND(d_Irr!R8&lt;&gt;".",d_Irr!AQ8&lt;&gt;".",d_Irr!BP8&lt;&gt;"."),d_dir!AS8/((1/1000)*(d_Irr!R8+d_Irr!AQ8+d_Irr!BP8)),IF(AND(d_Irr!R8&lt;&gt;".",d_Irr!AQ8&lt;&gt;".",d_Irr!BP8="."),d_dir!AS8/((1/1000)*(d_Irr!R8+d_Irr!AQ8)),IF(AND(d_Irr!R8&lt;&gt;".",d_Irr!AQ8=".",d_Irr!BP8&lt;&gt;"."),d_dir!AS8/((1/1000)*(d_Irr!R8+d_Irr!BP8)),IF(AND(d_Irr!R8=".",d_Irr!AQ8&lt;&gt;".",d_Irr!BP8&lt;&gt;"."),d_dir!AS8/((1/1000)*(d_Irr!AQ8+d_Irr!BP8)),IF(AND(d_Irr!R8=".",d_Irr!AQ8=".",d_Irr!BP8&lt;&gt;"."),d_dir!AS8/((1/1000)*(d_Irr!BP8)),IF(AND(d_Irr!R8=".",d_Irr!AQ8&lt;&gt;".",d_Irr!BP8="."),d_dir!AS8/((1/1000)*(d_Irr!AQ8)),IF(AND(d_Irr!R8&lt;&gt;".",d_Irr!AQ8=".",d_Irr!BP8="."),d_dir!AS8/((1/1000)*(d_Irr!R8)),IF(AND(d_Irr!R8=".",d_Irr!AQ8=".",d_Irr!BP8="."),d_dir!AS8*1000)))))))),".")</f>
        <v>6355.3412160753087</v>
      </c>
      <c r="AT8" s="70">
        <f>IFERROR(IF(AND(d_Irr!S8&lt;&gt;".",d_Irr!AR8&lt;&gt;".",d_Irr!BQ8&lt;&gt;"."),d_dir!AT8/((1/1000)*(d_Irr!S8+d_Irr!AR8+d_Irr!BQ8)),IF(AND(d_Irr!S8&lt;&gt;".",d_Irr!AR8&lt;&gt;".",d_Irr!BQ8="."),d_dir!AT8/((1/1000)*(d_Irr!S8+d_Irr!AR8)),IF(AND(d_Irr!S8&lt;&gt;".",d_Irr!AR8=".",d_Irr!BQ8&lt;&gt;"."),d_dir!AT8/((1/1000)*(d_Irr!S8+d_Irr!BQ8)),IF(AND(d_Irr!S8=".",d_Irr!AR8&lt;&gt;".",d_Irr!BQ8&lt;&gt;"."),d_dir!AT8/((1/1000)*(d_Irr!AR8+d_Irr!BQ8)),IF(AND(d_Irr!S8=".",d_Irr!AR8=".",d_Irr!BQ8&lt;&gt;"."),d_dir!AT8/((1/1000)*(d_Irr!BQ8)),IF(AND(d_Irr!S8=".",d_Irr!AR8&lt;&gt;".",d_Irr!BQ8="."),d_dir!AT8/((1/1000)*(d_Irr!AR8)),IF(AND(d_Irr!S8&lt;&gt;".",d_Irr!AR8=".",d_Irr!BQ8="."),d_dir!AT8/((1/1000)*(d_Irr!S8)),IF(AND(d_Irr!S8=".",d_Irr!AR8=".",d_Irr!BQ8="."),d_dir!AT8*1000)))))))),".")</f>
        <v>13331.859405716164</v>
      </c>
      <c r="AU8" s="70">
        <f>IFERROR(IF(AND(d_Irr!T8&lt;&gt;".",d_Irr!AS8&lt;&gt;".",d_Irr!BR8&lt;&gt;"."),d_dir!AU8/((1/1000)*(d_Irr!T8+d_Irr!AS8+d_Irr!BR8)),IF(AND(d_Irr!T8&lt;&gt;".",d_Irr!AS8&lt;&gt;".",d_Irr!BR8="."),d_dir!AU8/((1/1000)*(d_Irr!T8+d_Irr!AS8)),IF(AND(d_Irr!T8&lt;&gt;".",d_Irr!AS8=".",d_Irr!BR8&lt;&gt;"."),d_dir!AU8/((1/1000)*(d_Irr!T8+d_Irr!BR8)),IF(AND(d_Irr!T8=".",d_Irr!AS8&lt;&gt;".",d_Irr!BR8&lt;&gt;"."),d_dir!AU8/((1/1000)*(d_Irr!AS8+d_Irr!BR8)),IF(AND(d_Irr!T8=".",d_Irr!AS8=".",d_Irr!BR8&lt;&gt;"."),d_dir!AU8/((1/1000)*(d_Irr!BR8)),IF(AND(d_Irr!T8=".",d_Irr!AS8&lt;&gt;".",d_Irr!BR8="."),d_dir!AU8/((1/1000)*(d_Irr!AS8)),IF(AND(d_Irr!T8&lt;&gt;".",d_Irr!AS8=".",d_Irr!BR8="."),d_dir!AU8/((1/1000)*(d_Irr!T8)),IF(AND(d_Irr!T8=".",d_Irr!AS8=".",d_Irr!BR8="."),d_dir!AU8*1000)))))))),".")</f>
        <v>18431.678027910435</v>
      </c>
      <c r="AV8" s="70">
        <f>IFERROR(IF(AND(d_Irr!U8&lt;&gt;".",d_Irr!AT8&lt;&gt;".",d_Irr!BS8&lt;&gt;"."),d_dir!AV8/((1/1000)*(d_Irr!U8+d_Irr!AT8+d_Irr!BS8)),IF(AND(d_Irr!U8&lt;&gt;".",d_Irr!AT8&lt;&gt;".",d_Irr!BS8="."),d_dir!AV8/((1/1000)*(d_Irr!U8+d_Irr!AT8)),IF(AND(d_Irr!U8&lt;&gt;".",d_Irr!AT8=".",d_Irr!BS8&lt;&gt;"."),d_dir!AV8/((1/1000)*(d_Irr!U8+d_Irr!BS8)),IF(AND(d_Irr!U8=".",d_Irr!AT8&lt;&gt;".",d_Irr!BS8&lt;&gt;"."),d_dir!AV8/((1/1000)*(d_Irr!AT8+d_Irr!BS8)),IF(AND(d_Irr!U8=".",d_Irr!AT8=".",d_Irr!BS8&lt;&gt;"."),d_dir!AV8/((1/1000)*(d_Irr!BS8)),IF(AND(d_Irr!U8=".",d_Irr!AT8&lt;&gt;".",d_Irr!BS8="."),d_dir!AV8/((1/1000)*(d_Irr!AT8)),IF(AND(d_Irr!U8&lt;&gt;".",d_Irr!AT8=".",d_Irr!BS8="."),d_dir!AV8/((1/1000)*(d_Irr!U8)),IF(AND(d_Irr!U8=".",d_Irr!AT8=".",d_Irr!BS8="."),d_dir!AV8*1000)))))))),".")</f>
        <v>3106.3640176238955</v>
      </c>
      <c r="AW8" s="70">
        <f>IFERROR(IF(AND(d_Irr!V8&lt;&gt;".",d_Irr!AU8&lt;&gt;".",d_Irr!BT8&lt;&gt;"."),d_dir!AW8/((1/1000)*(d_Irr!V8+d_Irr!AU8+d_Irr!BT8)),IF(AND(d_Irr!V8&lt;&gt;".",d_Irr!AU8&lt;&gt;".",d_Irr!BT8="."),d_dir!AW8/((1/1000)*(d_Irr!V8+d_Irr!AU8)),IF(AND(d_Irr!V8&lt;&gt;".",d_Irr!AU8=".",d_Irr!BT8&lt;&gt;"."),d_dir!AW8/((1/1000)*(d_Irr!V8+d_Irr!BT8)),IF(AND(d_Irr!V8=".",d_Irr!AU8&lt;&gt;".",d_Irr!BT8&lt;&gt;"."),d_dir!AW8/((1/1000)*(d_Irr!AU8+d_Irr!BT8)),IF(AND(d_Irr!V8=".",d_Irr!AU8=".",d_Irr!BT8&lt;&gt;"."),d_dir!AW8/((1/1000)*(d_Irr!BT8)),IF(AND(d_Irr!V8=".",d_Irr!AU8&lt;&gt;".",d_Irr!BT8="."),d_dir!AW8/((1/1000)*(d_Irr!AU8)),IF(AND(d_Irr!V8&lt;&gt;".",d_Irr!AU8=".",d_Irr!BT8="."),d_dir!AW8/((1/1000)*(d_Irr!V8)),IF(AND(d_Irr!V8=".",d_Irr!AU8=".",d_Irr!BT8="."),d_dir!AW8*1000)))))))),".")</f>
        <v>6983.2254599156759</v>
      </c>
      <c r="AX8" s="70">
        <f>IFERROR(IF(AND(d_Irr!W8&lt;&gt;".",d_Irr!AV8&lt;&gt;".",d_Irr!BU8&lt;&gt;"."),d_dir!AX8/((1/1000)*(d_Irr!W8+d_Irr!AV8+d_Irr!BU8)),IF(AND(d_Irr!W8&lt;&gt;".",d_Irr!AV8&lt;&gt;".",d_Irr!BU8="."),d_dir!AX8/((1/1000)*(d_Irr!W8+d_Irr!AV8)),IF(AND(d_Irr!W8&lt;&gt;".",d_Irr!AV8=".",d_Irr!BU8&lt;&gt;"."),d_dir!AX8/((1/1000)*(d_Irr!W8+d_Irr!BU8)),IF(AND(d_Irr!W8=".",d_Irr!AV8&lt;&gt;".",d_Irr!BU8&lt;&gt;"."),d_dir!AX8/((1/1000)*(d_Irr!AV8+d_Irr!BU8)),IF(AND(d_Irr!W8=".",d_Irr!AV8=".",d_Irr!BU8&lt;&gt;"."),d_dir!AX8/((1/1000)*(d_Irr!BU8)),IF(AND(d_Irr!W8=".",d_Irr!AV8&lt;&gt;".",d_Irr!BU8="."),d_dir!AX8/((1/1000)*(d_Irr!AV8)),IF(AND(d_Irr!W8&lt;&gt;".",d_Irr!AV8=".",d_Irr!BU8="."),d_dir!AX8/((1/1000)*(d_Irr!W8)),IF(AND(d_Irr!W8=".",d_Irr!AV8=".",d_Irr!BU8="."),d_dir!AX8*1000)))))))),".")</f>
        <v>7694.8956800551377</v>
      </c>
      <c r="AY8" s="70">
        <f>IFERROR(IF(AND(d_Irr!X8&lt;&gt;".",d_Irr!AW8&lt;&gt;".",d_Irr!BV8&lt;&gt;"."),d_dir!AY8/((1/1000)*(d_Irr!X8+d_Irr!AW8+d_Irr!BV8)),IF(AND(d_Irr!X8&lt;&gt;".",d_Irr!AW8&lt;&gt;".",d_Irr!BV8="."),d_dir!AY8/((1/1000)*(d_Irr!X8+d_Irr!AW8)),IF(AND(d_Irr!X8&lt;&gt;".",d_Irr!AW8=".",d_Irr!BV8&lt;&gt;"."),d_dir!AY8/((1/1000)*(d_Irr!X8+d_Irr!BV8)),IF(AND(d_Irr!X8=".",d_Irr!AW8&lt;&gt;".",d_Irr!BV8&lt;&gt;"."),d_dir!AY8/((1/1000)*(d_Irr!AW8+d_Irr!BV8)),IF(AND(d_Irr!X8=".",d_Irr!AW8=".",d_Irr!BV8&lt;&gt;"."),d_dir!AY8/((1/1000)*(d_Irr!BV8)),IF(AND(d_Irr!X8=".",d_Irr!AW8&lt;&gt;".",d_Irr!BV8="."),d_dir!AY8/((1/1000)*(d_Irr!AW8)),IF(AND(d_Irr!X8&lt;&gt;".",d_Irr!AW8=".",d_Irr!BV8="."),d_dir!AY8/((1/1000)*(d_Irr!X8)),IF(AND(d_Irr!X8=".",d_Irr!AW8=".",d_Irr!BV8="."),d_dir!AY8*1000)))))))),".")</f>
        <v>10329.565855439971</v>
      </c>
      <c r="AZ8" s="70">
        <f>IFERROR(IF(AND(d_Irr!Y8&lt;&gt;".",d_Irr!AX8&lt;&gt;".",d_Irr!BW8&lt;&gt;"."),d_dir!AZ8/((1/1000)*(d_Irr!Y8+d_Irr!AX8+d_Irr!BW8)),IF(AND(d_Irr!Y8&lt;&gt;".",d_Irr!AX8&lt;&gt;".",d_Irr!BW8="."),d_dir!AZ8/((1/1000)*(d_Irr!Y8+d_Irr!AX8)),IF(AND(d_Irr!Y8&lt;&gt;".",d_Irr!AX8=".",d_Irr!BW8&lt;&gt;"."),d_dir!AZ8/((1/1000)*(d_Irr!Y8+d_Irr!BW8)),IF(AND(d_Irr!Y8=".",d_Irr!AX8&lt;&gt;".",d_Irr!BW8&lt;&gt;"."),d_dir!AZ8/((1/1000)*(d_Irr!AX8+d_Irr!BW8)),IF(AND(d_Irr!Y8=".",d_Irr!AX8=".",d_Irr!BW8&lt;&gt;"."),d_dir!AZ8/((1/1000)*(d_Irr!BW8)),IF(AND(d_Irr!Y8=".",d_Irr!AX8&lt;&gt;".",d_Irr!BW8="."),d_dir!AZ8/((1/1000)*(d_Irr!AX8)),IF(AND(d_Irr!Y8&lt;&gt;".",d_Irr!AX8=".",d_Irr!BW8="."),d_dir!AZ8/((1/1000)*(d_Irr!Y8)),IF(AND(d_Irr!Y8=".",d_Irr!AX8=".",d_Irr!BW8="."),d_dir!AZ8*1000)))))))),".")</f>
        <v>4589.7162227972667</v>
      </c>
      <c r="BA8" s="70">
        <f>IFERROR(IF(AND(d_Irr!Z8&lt;&gt;".",d_Irr!AY8&lt;&gt;".",d_Irr!BX8&lt;&gt;"."),d_dir!BA8/((1/1000)*(d_Irr!Z8+d_Irr!AY8+d_Irr!BX8)),IF(AND(d_Irr!Z8&lt;&gt;".",d_Irr!AY8&lt;&gt;".",d_Irr!BX8="."),d_dir!BA8/((1/1000)*(d_Irr!Z8+d_Irr!AY8)),IF(AND(d_Irr!Z8&lt;&gt;".",d_Irr!AY8=".",d_Irr!BX8&lt;&gt;"."),d_dir!BA8/((1/1000)*(d_Irr!Z8+d_Irr!BX8)),IF(AND(d_Irr!Z8=".",d_Irr!AY8&lt;&gt;".",d_Irr!BX8&lt;&gt;"."),d_dir!BA8/((1/1000)*(d_Irr!AY8+d_Irr!BX8)),IF(AND(d_Irr!Z8=".",d_Irr!AY8=".",d_Irr!BX8&lt;&gt;"."),d_dir!BA8/((1/1000)*(d_Irr!BX8)),IF(AND(d_Irr!Z8=".",d_Irr!AY8&lt;&gt;".",d_Irr!BX8="."),d_dir!BA8/((1/1000)*(d_Irr!AY8)),IF(AND(d_Irr!Z8&lt;&gt;".",d_Irr!AY8=".",d_Irr!BX8="."),d_dir!BA8/((1/1000)*(d_Irr!Z8)),IF(AND(d_Irr!Z8=".",d_Irr!AY8=".",d_Irr!BX8="."),d_dir!BA8*1000)))))))),".")</f>
        <v>1949.3039580941738</v>
      </c>
      <c r="BB8" s="70">
        <f>IFERROR(IF(AND(d_Irr!AA8&lt;&gt;".",d_Irr!AZ8&lt;&gt;".",d_Irr!BY8&lt;&gt;"."),d_dir!BB8/((1/1000)*(d_Irr!AA8+d_Irr!AZ8+d_Irr!BY8)),IF(AND(d_Irr!AA8&lt;&gt;".",d_Irr!AZ8&lt;&gt;".",d_Irr!BY8="."),d_dir!BB8/((1/1000)*(d_Irr!AA8+d_Irr!AZ8)),IF(AND(d_Irr!AA8&lt;&gt;".",d_Irr!AZ8=".",d_Irr!BY8&lt;&gt;"."),d_dir!BB8/((1/1000)*(d_Irr!AA8+d_Irr!BY8)),IF(AND(d_Irr!AA8=".",d_Irr!AZ8&lt;&gt;".",d_Irr!BY8&lt;&gt;"."),d_dir!BB8/((1/1000)*(d_Irr!AZ8+d_Irr!BY8)),IF(AND(d_Irr!AA8=".",d_Irr!AZ8=".",d_Irr!BY8&lt;&gt;"."),d_dir!BB8/((1/1000)*(d_Irr!BY8)),IF(AND(d_Irr!AA8=".",d_Irr!AZ8&lt;&gt;".",d_Irr!BY8="."),d_dir!BB8/((1/1000)*(d_Irr!AZ8)),IF(AND(d_Irr!AA8&lt;&gt;".",d_Irr!AZ8=".",d_Irr!BY8="."),d_dir!BB8/((1/1000)*(d_Irr!AA8)),IF(AND(d_Irr!AA8=".",d_Irr!AZ8=".",d_Irr!BY8="."),d_dir!BB8*1000)))))))),".")</f>
        <v>2249.4616140413318</v>
      </c>
    </row>
    <row r="9" spans="1:54" ht="15" customHeight="1" x14ac:dyDescent="0.25">
      <c r="A9" s="86" t="s">
        <v>7</v>
      </c>
      <c r="B9" s="84" t="s">
        <v>1057</v>
      </c>
      <c r="C9" s="2">
        <f t="shared" si="1"/>
        <v>537.09393394390145</v>
      </c>
      <c r="D9" s="70">
        <f>IFERROR(IF(AND(d_Irr!C9&lt;&gt;".",d_Irr!AB9&lt;&gt;".",d_Irr!BA9&lt;&gt;"."),d_dir!D9/((1/1000)*(d_Irr!C9+d_Irr!AB9+d_Irr!BA9)),IF(AND(d_Irr!C9&lt;&gt;".",d_Irr!AB9&lt;&gt;".",d_Irr!BA9="."),d_dir!D9/((1/1000)*(d_Irr!C9+d_Irr!AB9)),IF(AND(d_Irr!C9&lt;&gt;".",d_Irr!AB9=".",d_Irr!BA9&lt;&gt;"."),d_dir!D9/((1/1000)*(d_Irr!C9+d_Irr!BA9)),IF(AND(d_Irr!C9=".",d_Irr!AB9&lt;&gt;".",d_Irr!BA9&lt;&gt;"."),d_dir!D9/((1/1000)*(d_Irr!AB9+d_Irr!BA9)),IF(AND(d_Irr!C9=".",d_Irr!AB9=".",d_Irr!BA9&lt;&gt;"."),d_dir!D9/((1/1000)*(d_Irr!BA9)),IF(AND(d_Irr!C9=".",d_Irr!AB9&lt;&gt;".",d_Irr!BA9="."),d_dir!D9/((1/1000)*(d_Irr!AB9)),IF(AND(d_Irr!C9&lt;&gt;".",d_Irr!AB9=".",d_Irr!BA9="."),d_dir!D9/((1/1000)*(d_Irr!C9)),IF(AND(d_Irr!C9=".",d_Irr!AB9=".",d_Irr!BA9="."),d_dir!D9*1000)))))))),".")</f>
        <v>9767.2176898854923</v>
      </c>
      <c r="E9" s="70">
        <f>IFERROR(IF(AND(d_Irr!D9&lt;&gt;".",d_Irr!AC9&lt;&gt;".",d_Irr!BB9&lt;&gt;"."),d_dir!E9/((1/1000)*(d_Irr!D9+d_Irr!AC9+d_Irr!BB9)),IF(AND(d_Irr!D9&lt;&gt;".",d_Irr!AC9&lt;&gt;".",d_Irr!BB9="."),d_dir!E9/((1/1000)*(d_Irr!D9+d_Irr!AC9)),IF(AND(d_Irr!D9&lt;&gt;".",d_Irr!AC9=".",d_Irr!BB9&lt;&gt;"."),d_dir!E9/((1/1000)*(d_Irr!D9+d_Irr!BB9)),IF(AND(d_Irr!D9=".",d_Irr!AC9&lt;&gt;".",d_Irr!BB9&lt;&gt;"."),d_dir!E9/((1/1000)*(d_Irr!AC9+d_Irr!BB9)),IF(AND(d_Irr!D9=".",d_Irr!AC9=".",d_Irr!BB9&lt;&gt;"."),d_dir!E9/((1/1000)*(d_Irr!BB9)),IF(AND(d_Irr!D9=".",d_Irr!AC9&lt;&gt;".",d_Irr!BB9="."),d_dir!E9/((1/1000)*(d_Irr!AC9)),IF(AND(d_Irr!D9&lt;&gt;".",d_Irr!AC9=".",d_Irr!BB9="."),d_dir!E9/((1/1000)*(d_Irr!D9)),IF(AND(d_Irr!D9=".",d_Irr!AC9=".",d_Irr!BB9="."),d_dir!E9*1000)))))))),".")</f>
        <v>21354.699550019515</v>
      </c>
      <c r="F9" s="70">
        <f>IFERROR(IF(AND(d_Irr!E9&lt;&gt;".",d_Irr!AD9&lt;&gt;".",d_Irr!BC9&lt;&gt;"."),d_dir!F9/((1/1000)*(d_Irr!E9+d_Irr!AD9+d_Irr!BC9)),IF(AND(d_Irr!E9&lt;&gt;".",d_Irr!AD9&lt;&gt;".",d_Irr!BC9="."),d_dir!F9/((1/1000)*(d_Irr!E9+d_Irr!AD9)),IF(AND(d_Irr!E9&lt;&gt;".",d_Irr!AD9=".",d_Irr!BC9&lt;&gt;"."),d_dir!F9/((1/1000)*(d_Irr!E9+d_Irr!BC9)),IF(AND(d_Irr!E9=".",d_Irr!AD9&lt;&gt;".",d_Irr!BC9&lt;&gt;"."),d_dir!F9/((1/1000)*(d_Irr!AD9+d_Irr!BC9)),IF(AND(d_Irr!E9=".",d_Irr!AD9=".",d_Irr!BC9&lt;&gt;"."),d_dir!F9/((1/1000)*(d_Irr!BC9)),IF(AND(d_Irr!E9=".",d_Irr!AD9&lt;&gt;".",d_Irr!BC9="."),d_dir!F9/((1/1000)*(d_Irr!AD9)),IF(AND(d_Irr!E9&lt;&gt;".",d_Irr!AD9=".",d_Irr!BC9="."),d_dir!F9/((1/1000)*(d_Irr!E9)),IF(AND(d_Irr!E9=".",d_Irr!AD9=".",d_Irr!BC9="."),d_dir!F9*1000)))))))),".")</f>
        <v>25750.224152868683</v>
      </c>
      <c r="G9" s="70">
        <f>IFERROR(IF(AND(d_Irr!F9&lt;&gt;".",d_Irr!AE9&lt;&gt;".",d_Irr!BD9&lt;&gt;"."),d_dir!G9/((1/1000)*(d_Irr!F9+d_Irr!AE9+d_Irr!BD9)),IF(AND(d_Irr!F9&lt;&gt;".",d_Irr!AE9&lt;&gt;".",d_Irr!BD9="."),d_dir!G9/((1/1000)*(d_Irr!F9+d_Irr!AE9)),IF(AND(d_Irr!F9&lt;&gt;".",d_Irr!AE9=".",d_Irr!BD9&lt;&gt;"."),d_dir!G9/((1/1000)*(d_Irr!F9+d_Irr!BD9)),IF(AND(d_Irr!F9=".",d_Irr!AE9&lt;&gt;".",d_Irr!BD9&lt;&gt;"."),d_dir!G9/((1/1000)*(d_Irr!AE9+d_Irr!BD9)),IF(AND(d_Irr!F9=".",d_Irr!AE9=".",d_Irr!BD9&lt;&gt;"."),d_dir!G9/((1/1000)*(d_Irr!BD9)),IF(AND(d_Irr!F9=".",d_Irr!AE9&lt;&gt;".",d_Irr!BD9="."),d_dir!G9/((1/1000)*(d_Irr!AE9)),IF(AND(d_Irr!F9&lt;&gt;".",d_Irr!AE9=".",d_Irr!BD9="."),d_dir!G9/((1/1000)*(d_Irr!F9)),IF(AND(d_Irr!F9=".",d_Irr!AE9=".",d_Irr!BD9="."),d_dir!G9*1000)))))))),".")</f>
        <v>21962.283653431179</v>
      </c>
      <c r="H9" s="70">
        <f>IFERROR(IF(AND(d_Irr!G9&lt;&gt;".",d_Irr!AF9&lt;&gt;".",d_Irr!BE9&lt;&gt;"."),d_dir!H9/((1/1000)*(d_Irr!G9+d_Irr!AF9+d_Irr!BE9)),IF(AND(d_Irr!G9&lt;&gt;".",d_Irr!AF9&lt;&gt;".",d_Irr!BE9="."),d_dir!H9/((1/1000)*(d_Irr!G9+d_Irr!AF9)),IF(AND(d_Irr!G9&lt;&gt;".",d_Irr!AF9=".",d_Irr!BE9&lt;&gt;"."),d_dir!H9/((1/1000)*(d_Irr!G9+d_Irr!BE9)),IF(AND(d_Irr!G9=".",d_Irr!AF9&lt;&gt;".",d_Irr!BE9&lt;&gt;"."),d_dir!H9/((1/1000)*(d_Irr!AF9+d_Irr!BE9)),IF(AND(d_Irr!G9=".",d_Irr!AF9=".",d_Irr!BE9&lt;&gt;"."),d_dir!H9/((1/1000)*(d_Irr!BE9)),IF(AND(d_Irr!G9=".",d_Irr!AF9&lt;&gt;".",d_Irr!BE9="."),d_dir!H9/((1/1000)*(d_Irr!AF9)),IF(AND(d_Irr!G9&lt;&gt;".",d_Irr!AF9=".",d_Irr!BE9="."),d_dir!H9/((1/1000)*(d_Irr!G9)),IF(AND(d_Irr!G9=".",d_Irr!AF9=".",d_Irr!BE9="."),d_dir!H9*1000)))))))),".")</f>
        <v>26941.792946104804</v>
      </c>
      <c r="I9" s="70">
        <f>IFERROR(IF(AND(d_Irr!H9&lt;&gt;".",d_Irr!AG9&lt;&gt;".",d_Irr!BF9&lt;&gt;"."),d_dir!I9/((1/1000)*(d_Irr!H9+d_Irr!AG9+d_Irr!BF9)),IF(AND(d_Irr!H9&lt;&gt;".",d_Irr!AG9&lt;&gt;".",d_Irr!BF9="."),d_dir!I9/((1/1000)*(d_Irr!H9+d_Irr!AG9)),IF(AND(d_Irr!H9&lt;&gt;".",d_Irr!AG9=".",d_Irr!BF9&lt;&gt;"."),d_dir!I9/((1/1000)*(d_Irr!H9+d_Irr!BF9)),IF(AND(d_Irr!H9=".",d_Irr!AG9&lt;&gt;".",d_Irr!BF9&lt;&gt;"."),d_dir!I9/((1/1000)*(d_Irr!AG9+d_Irr!BF9)),IF(AND(d_Irr!H9=".",d_Irr!AG9=".",d_Irr!BF9&lt;&gt;"."),d_dir!I9/((1/1000)*(d_Irr!BF9)),IF(AND(d_Irr!H9=".",d_Irr!AG9&lt;&gt;".",d_Irr!BF9="."),d_dir!I9/((1/1000)*(d_Irr!AG9)),IF(AND(d_Irr!H9&lt;&gt;".",d_Irr!AG9=".",d_Irr!BF9="."),d_dir!I9/((1/1000)*(d_Irr!H9)),IF(AND(d_Irr!H9=".",d_Irr!AG9=".",d_Irr!BF9="."),d_dir!I9*1000)))))))),".")</f>
        <v>10517.496503759821</v>
      </c>
      <c r="J9" s="70">
        <f>IFERROR(IF(AND(d_Irr!I9&lt;&gt;".",d_Irr!AH9&lt;&gt;".",d_Irr!BG9&lt;&gt;"."),d_dir!J9/((1/1000)*(d_Irr!I9+d_Irr!AH9+d_Irr!BG9)),IF(AND(d_Irr!I9&lt;&gt;".",d_Irr!AH9&lt;&gt;".",d_Irr!BG9="."),d_dir!J9/((1/1000)*(d_Irr!I9+d_Irr!AH9)),IF(AND(d_Irr!I9&lt;&gt;".",d_Irr!AH9=".",d_Irr!BG9&lt;&gt;"."),d_dir!J9/((1/1000)*(d_Irr!I9+d_Irr!BG9)),IF(AND(d_Irr!I9=".",d_Irr!AH9&lt;&gt;".",d_Irr!BG9&lt;&gt;"."),d_dir!J9/((1/1000)*(d_Irr!AH9+d_Irr!BG9)),IF(AND(d_Irr!I9=".",d_Irr!AH9=".",d_Irr!BG9&lt;&gt;"."),d_dir!J9/((1/1000)*(d_Irr!BG9)),IF(AND(d_Irr!I9=".",d_Irr!AH9&lt;&gt;".",d_Irr!BG9="."),d_dir!J9/((1/1000)*(d_Irr!AH9)),IF(AND(d_Irr!I9&lt;&gt;".",d_Irr!AH9=".",d_Irr!BG9="."),d_dir!J9/((1/1000)*(d_Irr!I9)),IF(AND(d_Irr!I9=".",d_Irr!AH9=".",d_Irr!BG9="."),d_dir!J9*1000)))))))),".")</f>
        <v>29656.759962565877</v>
      </c>
      <c r="K9" s="70">
        <f>IFERROR(IF(AND(d_Irr!J9&lt;&gt;".",d_Irr!AI9&lt;&gt;".",d_Irr!BH9&lt;&gt;"."),d_dir!K9/((1/1000)*(d_Irr!J9+d_Irr!AI9+d_Irr!BH9)),IF(AND(d_Irr!J9&lt;&gt;".",d_Irr!AI9&lt;&gt;".",d_Irr!BH9="."),d_dir!K9/((1/1000)*(d_Irr!J9+d_Irr!AI9)),IF(AND(d_Irr!J9&lt;&gt;".",d_Irr!AI9=".",d_Irr!BH9&lt;&gt;"."),d_dir!K9/((1/1000)*(d_Irr!J9+d_Irr!BH9)),IF(AND(d_Irr!J9=".",d_Irr!AI9&lt;&gt;".",d_Irr!BH9&lt;&gt;"."),d_dir!K9/((1/1000)*(d_Irr!AI9+d_Irr!BH9)),IF(AND(d_Irr!J9=".",d_Irr!AI9=".",d_Irr!BH9&lt;&gt;"."),d_dir!K9/((1/1000)*(d_Irr!BH9)),IF(AND(d_Irr!J9=".",d_Irr!AI9&lt;&gt;".",d_Irr!BH9="."),d_dir!K9/((1/1000)*(d_Irr!AI9)),IF(AND(d_Irr!J9&lt;&gt;".",d_Irr!AI9=".",d_Irr!BH9="."),d_dir!K9/((1/1000)*(d_Irr!J9)),IF(AND(d_Irr!J9=".",d_Irr!AI9=".",d_Irr!BH9="."),d_dir!K9*1000)))))))),".")</f>
        <v>2532.0315709152096</v>
      </c>
      <c r="L9" s="70">
        <f>IFERROR(IF(AND(d_Irr!K9&lt;&gt;".",d_Irr!AJ9&lt;&gt;".",d_Irr!BI9&lt;&gt;"."),d_dir!L9/((1/1000)*(d_Irr!K9+d_Irr!AJ9+d_Irr!BI9)),IF(AND(d_Irr!K9&lt;&gt;".",d_Irr!AJ9&lt;&gt;".",d_Irr!BI9="."),d_dir!L9/((1/1000)*(d_Irr!K9+d_Irr!AJ9)),IF(AND(d_Irr!K9&lt;&gt;".",d_Irr!AJ9=".",d_Irr!BI9&lt;&gt;"."),d_dir!L9/((1/1000)*(d_Irr!K9+d_Irr!BI9)),IF(AND(d_Irr!K9=".",d_Irr!AJ9&lt;&gt;".",d_Irr!BI9&lt;&gt;"."),d_dir!L9/((1/1000)*(d_Irr!AJ9+d_Irr!BI9)),IF(AND(d_Irr!K9=".",d_Irr!AJ9=".",d_Irr!BI9&lt;&gt;"."),d_dir!L9/((1/1000)*(d_Irr!BI9)),IF(AND(d_Irr!K9=".",d_Irr!AJ9&lt;&gt;".",d_Irr!BI9="."),d_dir!L9/((1/1000)*(d_Irr!AJ9)),IF(AND(d_Irr!K9&lt;&gt;".",d_Irr!AJ9=".",d_Irr!BI9="."),d_dir!L9/((1/1000)*(d_Irr!K9)),IF(AND(d_Irr!K9=".",d_Irr!AJ9=".",d_Irr!BI9="."),d_dir!L9*1000)))))))),".")</f>
        <v>13882.421825780326</v>
      </c>
      <c r="M9" s="70">
        <f>IFERROR(IF(AND(d_Irr!L9&lt;&gt;".",d_Irr!AK9&lt;&gt;".",d_Irr!BJ9&lt;&gt;"."),d_dir!M9/((1/1000)*(d_Irr!L9+d_Irr!AK9+d_Irr!BJ9)),IF(AND(d_Irr!L9&lt;&gt;".",d_Irr!AK9&lt;&gt;".",d_Irr!BJ9="."),d_dir!M9/((1/1000)*(d_Irr!L9+d_Irr!AK9)),IF(AND(d_Irr!L9&lt;&gt;".",d_Irr!AK9=".",d_Irr!BJ9&lt;&gt;"."),d_dir!M9/((1/1000)*(d_Irr!L9+d_Irr!BJ9)),IF(AND(d_Irr!L9=".",d_Irr!AK9&lt;&gt;".",d_Irr!BJ9&lt;&gt;"."),d_dir!M9/((1/1000)*(d_Irr!AK9+d_Irr!BJ9)),IF(AND(d_Irr!L9=".",d_Irr!AK9=".",d_Irr!BJ9&lt;&gt;"."),d_dir!M9/((1/1000)*(d_Irr!BJ9)),IF(AND(d_Irr!L9=".",d_Irr!AK9&lt;&gt;".",d_Irr!BJ9="."),d_dir!M9/((1/1000)*(d_Irr!AK9)),IF(AND(d_Irr!L9&lt;&gt;".",d_Irr!AK9=".",d_Irr!BJ9="."),d_dir!M9/((1/1000)*(d_Irr!L9)),IF(AND(d_Irr!L9=".",d_Irr!AK9=".",d_Irr!BJ9="."),d_dir!M9*1000)))))))),".")</f>
        <v>10404.24749913662</v>
      </c>
      <c r="N9" s="70">
        <f>IFERROR(IF(AND(d_Irr!M9&lt;&gt;".",d_Irr!AL9&lt;&gt;".",d_Irr!BK9&lt;&gt;"."),d_dir!N9/((1/1000)*(d_Irr!M9+d_Irr!AL9+d_Irr!BK9)),IF(AND(d_Irr!M9&lt;&gt;".",d_Irr!AL9&lt;&gt;".",d_Irr!BK9="."),d_dir!N9/((1/1000)*(d_Irr!M9+d_Irr!AL9)),IF(AND(d_Irr!M9&lt;&gt;".",d_Irr!AL9=".",d_Irr!BK9&lt;&gt;"."),d_dir!N9/((1/1000)*(d_Irr!M9+d_Irr!BK9)),IF(AND(d_Irr!M9=".",d_Irr!AL9&lt;&gt;".",d_Irr!BK9&lt;&gt;"."),d_dir!N9/((1/1000)*(d_Irr!AL9+d_Irr!BK9)),IF(AND(d_Irr!M9=".",d_Irr!AL9=".",d_Irr!BK9&lt;&gt;"."),d_dir!N9/((1/1000)*(d_Irr!BK9)),IF(AND(d_Irr!M9=".",d_Irr!AL9&lt;&gt;".",d_Irr!BK9="."),d_dir!N9/((1/1000)*(d_Irr!AL9)),IF(AND(d_Irr!M9&lt;&gt;".",d_Irr!AL9=".",d_Irr!BK9="."),d_dir!N9/((1/1000)*(d_Irr!M9)),IF(AND(d_Irr!M9=".",d_Irr!AL9=".",d_Irr!BK9="."),d_dir!N9*1000)))))))),".")</f>
        <v>23177.259986345922</v>
      </c>
      <c r="O9" s="70">
        <f>IFERROR(IF(AND(d_Irr!N9&lt;&gt;".",d_Irr!AM9&lt;&gt;".",d_Irr!BL9&lt;&gt;"."),d_dir!O9/((1/1000)*(d_Irr!N9+d_Irr!AM9+d_Irr!BL9)),IF(AND(d_Irr!N9&lt;&gt;".",d_Irr!AM9&lt;&gt;".",d_Irr!BL9="."),d_dir!O9/((1/1000)*(d_Irr!N9+d_Irr!AM9)),IF(AND(d_Irr!N9&lt;&gt;".",d_Irr!AM9=".",d_Irr!BL9&lt;&gt;"."),d_dir!O9/((1/1000)*(d_Irr!N9+d_Irr!BL9)),IF(AND(d_Irr!N9=".",d_Irr!AM9&lt;&gt;".",d_Irr!BL9&lt;&gt;"."),d_dir!O9/((1/1000)*(d_Irr!AM9+d_Irr!BL9)),IF(AND(d_Irr!N9=".",d_Irr!AM9=".",d_Irr!BL9&lt;&gt;"."),d_dir!O9/((1/1000)*(d_Irr!BL9)),IF(AND(d_Irr!N9=".",d_Irr!AM9&lt;&gt;".",d_Irr!BL9="."),d_dir!O9/((1/1000)*(d_Irr!AM9)),IF(AND(d_Irr!N9&lt;&gt;".",d_Irr!AM9=".",d_Irr!BL9="."),d_dir!O9/((1/1000)*(d_Irr!N9)),IF(AND(d_Irr!N9=".",d_Irr!AM9=".",d_Irr!BL9="."),d_dir!O9*1000)))))))),".")</f>
        <v>22614.283939547895</v>
      </c>
      <c r="P9" s="70">
        <f>IFERROR(IF(AND(d_Irr!O9&lt;&gt;".",d_Irr!AN9&lt;&gt;".",d_Irr!BM9&lt;&gt;"."),d_dir!P9/((1/1000)*(d_Irr!O9+d_Irr!AN9+d_Irr!BM9)),IF(AND(d_Irr!O9&lt;&gt;".",d_Irr!AN9&lt;&gt;".",d_Irr!BM9="."),d_dir!P9/((1/1000)*(d_Irr!O9+d_Irr!AN9)),IF(AND(d_Irr!O9&lt;&gt;".",d_Irr!AN9=".",d_Irr!BM9&lt;&gt;"."),d_dir!P9/((1/1000)*(d_Irr!O9+d_Irr!BM9)),IF(AND(d_Irr!O9=".",d_Irr!AN9&lt;&gt;".",d_Irr!BM9&lt;&gt;"."),d_dir!P9/((1/1000)*(d_Irr!AN9+d_Irr!BM9)),IF(AND(d_Irr!O9=".",d_Irr!AN9=".",d_Irr!BM9&lt;&gt;"."),d_dir!P9/((1/1000)*(d_Irr!BM9)),IF(AND(d_Irr!O9=".",d_Irr!AN9&lt;&gt;".",d_Irr!BM9="."),d_dir!P9/((1/1000)*(d_Irr!AN9)),IF(AND(d_Irr!O9&lt;&gt;".",d_Irr!AN9=".",d_Irr!BM9="."),d_dir!P9/((1/1000)*(d_Irr!O9)),IF(AND(d_Irr!O9=".",d_Irr!AN9=".",d_Irr!BM9="."),d_dir!P9*1000)))))))),".")</f>
        <v>28072.480121440396</v>
      </c>
      <c r="Q9" s="70">
        <f>IFERROR(IF(AND(d_Irr!P9&lt;&gt;".",d_Irr!AO9&lt;&gt;".",d_Irr!BN9&lt;&gt;"."),d_dir!Q9/((1/1000)*(d_Irr!P9+d_Irr!AO9+d_Irr!BN9)),IF(AND(d_Irr!P9&lt;&gt;".",d_Irr!AO9&lt;&gt;".",d_Irr!BN9="."),d_dir!Q9/((1/1000)*(d_Irr!P9+d_Irr!AO9)),IF(AND(d_Irr!P9&lt;&gt;".",d_Irr!AO9=".",d_Irr!BN9&lt;&gt;"."),d_dir!Q9/((1/1000)*(d_Irr!P9+d_Irr!BN9)),IF(AND(d_Irr!P9=".",d_Irr!AO9&lt;&gt;".",d_Irr!BN9&lt;&gt;"."),d_dir!Q9/((1/1000)*(d_Irr!AO9+d_Irr!BN9)),IF(AND(d_Irr!P9=".",d_Irr!AO9=".",d_Irr!BN9&lt;&gt;"."),d_dir!Q9/((1/1000)*(d_Irr!BN9)),IF(AND(d_Irr!P9=".",d_Irr!AO9&lt;&gt;".",d_Irr!BN9="."),d_dir!Q9/((1/1000)*(d_Irr!AO9)),IF(AND(d_Irr!P9&lt;&gt;".",d_Irr!AO9=".",d_Irr!BN9="."),d_dir!Q9/((1/1000)*(d_Irr!P9)),IF(AND(d_Irr!P9=".",d_Irr!AO9=".",d_Irr!BN9="."),d_dir!Q9*1000)))))))),".")</f>
        <v>40071.064348705862</v>
      </c>
      <c r="R9" s="70">
        <f>IFERROR(IF(AND(d_Irr!Q9&lt;&gt;".",d_Irr!AP9&lt;&gt;".",d_Irr!BO9&lt;&gt;"."),d_dir!R9/((1/1000)*(d_Irr!Q9+d_Irr!AP9+d_Irr!BO9)),IF(AND(d_Irr!Q9&lt;&gt;".",d_Irr!AP9&lt;&gt;".",d_Irr!BO9="."),d_dir!R9/((1/1000)*(d_Irr!Q9+d_Irr!AP9)),IF(AND(d_Irr!Q9&lt;&gt;".",d_Irr!AP9=".",d_Irr!BO9&lt;&gt;"."),d_dir!R9/((1/1000)*(d_Irr!Q9+d_Irr!BO9)),IF(AND(d_Irr!Q9=".",d_Irr!AP9&lt;&gt;".",d_Irr!BO9&lt;&gt;"."),d_dir!R9/((1/1000)*(d_Irr!AP9+d_Irr!BO9)),IF(AND(d_Irr!Q9=".",d_Irr!AP9=".",d_Irr!BO9&lt;&gt;"."),d_dir!R9/((1/1000)*(d_Irr!BO9)),IF(AND(d_Irr!Q9=".",d_Irr!AP9&lt;&gt;".",d_Irr!BO9="."),d_dir!R9/((1/1000)*(d_Irr!AP9)),IF(AND(d_Irr!Q9&lt;&gt;".",d_Irr!AP9=".",d_Irr!BO9="."),d_dir!R9/((1/1000)*(d_Irr!Q9)),IF(AND(d_Irr!Q9=".",d_Irr!AP9=".",d_Irr!BO9="."),d_dir!R9*1000)))))))),".")</f>
        <v>6270.4996398673202</v>
      </c>
      <c r="S9" s="70">
        <f>IFERROR(IF(AND(d_Irr!R9&lt;&gt;".",d_Irr!AQ9&lt;&gt;".",d_Irr!BP9&lt;&gt;"."),d_dir!S9/((1/1000)*(d_Irr!R9+d_Irr!AQ9+d_Irr!BP9)),IF(AND(d_Irr!R9&lt;&gt;".",d_Irr!AQ9&lt;&gt;".",d_Irr!BP9="."),d_dir!S9/((1/1000)*(d_Irr!R9+d_Irr!AQ9)),IF(AND(d_Irr!R9&lt;&gt;".",d_Irr!AQ9=".",d_Irr!BP9&lt;&gt;"."),d_dir!S9/((1/1000)*(d_Irr!R9+d_Irr!BP9)),IF(AND(d_Irr!R9=".",d_Irr!AQ9&lt;&gt;".",d_Irr!BP9&lt;&gt;"."),d_dir!S9/((1/1000)*(d_Irr!AQ9+d_Irr!BP9)),IF(AND(d_Irr!R9=".",d_Irr!AQ9=".",d_Irr!BP9&lt;&gt;"."),d_dir!S9/((1/1000)*(d_Irr!BP9)),IF(AND(d_Irr!R9=".",d_Irr!AQ9&lt;&gt;".",d_Irr!BP9="."),d_dir!S9/((1/1000)*(d_Irr!AQ9)),IF(AND(d_Irr!R9&lt;&gt;".",d_Irr!AQ9=".",d_Irr!BP9="."),d_dir!S9/((1/1000)*(d_Irr!R9)),IF(AND(d_Irr!R9=".",d_Irr!AQ9=".",d_Irr!BP9="."),d_dir!S9*1000)))))))),".")</f>
        <v>12794.969830989459</v>
      </c>
      <c r="T9" s="70">
        <f>IFERROR(IF(AND(d_Irr!S9&lt;&gt;".",d_Irr!AR9&lt;&gt;".",d_Irr!BQ9&lt;&gt;"."),d_dir!T9/((1/1000)*(d_Irr!S9+d_Irr!AR9+d_Irr!BQ9)),IF(AND(d_Irr!S9&lt;&gt;".",d_Irr!AR9&lt;&gt;".",d_Irr!BQ9="."),d_dir!T9/((1/1000)*(d_Irr!S9+d_Irr!AR9)),IF(AND(d_Irr!S9&lt;&gt;".",d_Irr!AR9=".",d_Irr!BQ9&lt;&gt;"."),d_dir!T9/((1/1000)*(d_Irr!S9+d_Irr!BQ9)),IF(AND(d_Irr!S9=".",d_Irr!AR9&lt;&gt;".",d_Irr!BQ9&lt;&gt;"."),d_dir!T9/((1/1000)*(d_Irr!AR9+d_Irr!BQ9)),IF(AND(d_Irr!S9=".",d_Irr!AR9=".",d_Irr!BQ9&lt;&gt;"."),d_dir!T9/((1/1000)*(d_Irr!BQ9)),IF(AND(d_Irr!S9=".",d_Irr!AR9&lt;&gt;".",d_Irr!BQ9="."),d_dir!T9/((1/1000)*(d_Irr!AR9)),IF(AND(d_Irr!S9&lt;&gt;".",d_Irr!AR9=".",d_Irr!BQ9="."),d_dir!T9/((1/1000)*(d_Irr!S9)),IF(AND(d_Irr!S9=".",d_Irr!AR9=".",d_Irr!BQ9="."),d_dir!T9*1000)))))))),".")</f>
        <v>22317.56869368003</v>
      </c>
      <c r="U9" s="70">
        <f>IFERROR(IF(AND(d_Irr!T9&lt;&gt;".",d_Irr!AS9&lt;&gt;".",d_Irr!BR9&lt;&gt;"."),d_dir!U9/((1/1000)*(d_Irr!T9+d_Irr!AS9+d_Irr!BR9)),IF(AND(d_Irr!T9&lt;&gt;".",d_Irr!AS9&lt;&gt;".",d_Irr!BR9="."),d_dir!U9/((1/1000)*(d_Irr!T9+d_Irr!AS9)),IF(AND(d_Irr!T9&lt;&gt;".",d_Irr!AS9=".",d_Irr!BR9&lt;&gt;"."),d_dir!U9/((1/1000)*(d_Irr!T9+d_Irr!BR9)),IF(AND(d_Irr!T9=".",d_Irr!AS9&lt;&gt;".",d_Irr!BR9&lt;&gt;"."),d_dir!U9/((1/1000)*(d_Irr!AS9+d_Irr!BR9)),IF(AND(d_Irr!T9=".",d_Irr!AS9=".",d_Irr!BR9&lt;&gt;"."),d_dir!U9/((1/1000)*(d_Irr!BR9)),IF(AND(d_Irr!T9=".",d_Irr!AS9&lt;&gt;".",d_Irr!BR9="."),d_dir!U9/((1/1000)*(d_Irr!AS9)),IF(AND(d_Irr!T9&lt;&gt;".",d_Irr!AS9=".",d_Irr!BR9="."),d_dir!U9/((1/1000)*(d_Irr!T9)),IF(AND(d_Irr!T9=".",d_Irr!AS9=".",d_Irr!BR9="."),d_dir!U9*1000)))))))),".")</f>
        <v>44216.110419253731</v>
      </c>
      <c r="V9" s="70">
        <f>IFERROR(IF(AND(d_Irr!U9&lt;&gt;".",d_Irr!AT9&lt;&gt;".",d_Irr!BS9&lt;&gt;"."),d_dir!V9/((1/1000)*(d_Irr!U9+d_Irr!AT9+d_Irr!BS9)),IF(AND(d_Irr!U9&lt;&gt;".",d_Irr!AT9&lt;&gt;".",d_Irr!BS9="."),d_dir!V9/((1/1000)*(d_Irr!U9+d_Irr!AT9)),IF(AND(d_Irr!U9&lt;&gt;".",d_Irr!AT9=".",d_Irr!BS9&lt;&gt;"."),d_dir!V9/((1/1000)*(d_Irr!U9+d_Irr!BS9)),IF(AND(d_Irr!U9=".",d_Irr!AT9&lt;&gt;".",d_Irr!BS9&lt;&gt;"."),d_dir!V9/((1/1000)*(d_Irr!AT9+d_Irr!BS9)),IF(AND(d_Irr!U9=".",d_Irr!AT9=".",d_Irr!BS9&lt;&gt;"."),d_dir!V9/((1/1000)*(d_Irr!BS9)),IF(AND(d_Irr!U9=".",d_Irr!AT9&lt;&gt;".",d_Irr!BS9="."),d_dir!V9/((1/1000)*(d_Irr!AT9)),IF(AND(d_Irr!U9&lt;&gt;".",d_Irr!AT9=".",d_Irr!BS9="."),d_dir!V9/((1/1000)*(d_Irr!U9)),IF(AND(d_Irr!U9=".",d_Irr!AT9=".",d_Irr!BS9="."),d_dir!V9*1000)))))))),".")</f>
        <v>6564.0444725795251</v>
      </c>
      <c r="W9" s="70">
        <f>IFERROR(IF(AND(d_Irr!V9&lt;&gt;".",d_Irr!AU9&lt;&gt;".",d_Irr!BT9&lt;&gt;"."),d_dir!W9/((1/1000)*(d_Irr!V9+d_Irr!AU9+d_Irr!BT9)),IF(AND(d_Irr!V9&lt;&gt;".",d_Irr!AU9&lt;&gt;".",d_Irr!BT9="."),d_dir!W9/((1/1000)*(d_Irr!V9+d_Irr!AU9)),IF(AND(d_Irr!V9&lt;&gt;".",d_Irr!AU9=".",d_Irr!BT9&lt;&gt;"."),d_dir!W9/((1/1000)*(d_Irr!V9+d_Irr!BT9)),IF(AND(d_Irr!V9=".",d_Irr!AU9&lt;&gt;".",d_Irr!BT9&lt;&gt;"."),d_dir!W9/((1/1000)*(d_Irr!AU9+d_Irr!BT9)),IF(AND(d_Irr!V9=".",d_Irr!AU9=".",d_Irr!BT9&lt;&gt;"."),d_dir!W9/((1/1000)*(d_Irr!BT9)),IF(AND(d_Irr!V9=".",d_Irr!AU9&lt;&gt;".",d_Irr!BT9="."),d_dir!W9/((1/1000)*(d_Irr!AU9)),IF(AND(d_Irr!V9&lt;&gt;".",d_Irr!AU9=".",d_Irr!BT9="."),d_dir!W9/((1/1000)*(d_Irr!V9)),IF(AND(d_Irr!V9=".",d_Irr!AU9=".",d_Irr!BT9="."),d_dir!W9*1000)))))))),".")</f>
        <v>13350.904988864257</v>
      </c>
      <c r="X9" s="70">
        <f>IFERROR(IF(AND(d_Irr!W9&lt;&gt;".",d_Irr!AV9&lt;&gt;".",d_Irr!BU9&lt;&gt;"."),d_dir!X9/((1/1000)*(d_Irr!W9+d_Irr!AV9+d_Irr!BU9)),IF(AND(d_Irr!W9&lt;&gt;".",d_Irr!AV9&lt;&gt;".",d_Irr!BU9="."),d_dir!X9/((1/1000)*(d_Irr!W9+d_Irr!AV9)),IF(AND(d_Irr!W9&lt;&gt;".",d_Irr!AV9=".",d_Irr!BU9&lt;&gt;"."),d_dir!X9/((1/1000)*(d_Irr!W9+d_Irr!BU9)),IF(AND(d_Irr!W9=".",d_Irr!AV9&lt;&gt;".",d_Irr!BU9&lt;&gt;"."),d_dir!X9/((1/1000)*(d_Irr!AV9+d_Irr!BU9)),IF(AND(d_Irr!W9=".",d_Irr!AV9=".",d_Irr!BU9&lt;&gt;"."),d_dir!X9/((1/1000)*(d_Irr!BU9)),IF(AND(d_Irr!W9=".",d_Irr!AV9&lt;&gt;".",d_Irr!BU9="."),d_dir!X9/((1/1000)*(d_Irr!AV9)),IF(AND(d_Irr!W9&lt;&gt;".",d_Irr!AV9=".",d_Irr!BU9="."),d_dir!X9/((1/1000)*(d_Irr!W9)),IF(AND(d_Irr!W9=".",d_Irr!AV9=".",d_Irr!BU9="."),d_dir!X9*1000)))))))),".")</f>
        <v>14618.622715374406</v>
      </c>
      <c r="Y9" s="70">
        <f>IFERROR(IF(AND(d_Irr!X9&lt;&gt;".",d_Irr!AW9&lt;&gt;".",d_Irr!BV9&lt;&gt;"."),d_dir!Y9/((1/1000)*(d_Irr!X9+d_Irr!AW9+d_Irr!BV9)),IF(AND(d_Irr!X9&lt;&gt;".",d_Irr!AW9&lt;&gt;".",d_Irr!BV9="."),d_dir!Y9/((1/1000)*(d_Irr!X9+d_Irr!AW9)),IF(AND(d_Irr!X9&lt;&gt;".",d_Irr!AW9=".",d_Irr!BV9&lt;&gt;"."),d_dir!Y9/((1/1000)*(d_Irr!X9+d_Irr!BV9)),IF(AND(d_Irr!X9=".",d_Irr!AW9&lt;&gt;".",d_Irr!BV9&lt;&gt;"."),d_dir!Y9/((1/1000)*(d_Irr!AW9+d_Irr!BV9)),IF(AND(d_Irr!X9=".",d_Irr!AW9=".",d_Irr!BV9&lt;&gt;"."),d_dir!Y9/((1/1000)*(d_Irr!BV9)),IF(AND(d_Irr!X9=".",d_Irr!AW9&lt;&gt;".",d_Irr!BV9="."),d_dir!Y9/((1/1000)*(d_Irr!AW9)),IF(AND(d_Irr!X9&lt;&gt;".",d_Irr!AW9=".",d_Irr!BV9="."),d_dir!Y9/((1/1000)*(d_Irr!X9)),IF(AND(d_Irr!X9=".",d_Irr!AW9=".",d_Irr!BV9="."),d_dir!Y9*1000)))))))),".")</f>
        <v>19097.382518030994</v>
      </c>
      <c r="Z9" s="70">
        <f>IFERROR(IF(AND(d_Irr!Y9&lt;&gt;".",d_Irr!AX9&lt;&gt;".",d_Irr!BW9&lt;&gt;"."),d_dir!Z9/((1/1000)*(d_Irr!Y9+d_Irr!AX9+d_Irr!BW9)),IF(AND(d_Irr!Y9&lt;&gt;".",d_Irr!AX9&lt;&gt;".",d_Irr!BW9="."),d_dir!Z9/((1/1000)*(d_Irr!Y9+d_Irr!AX9)),IF(AND(d_Irr!Y9&lt;&gt;".",d_Irr!AX9=".",d_Irr!BW9&lt;&gt;"."),d_dir!Z9/((1/1000)*(d_Irr!Y9+d_Irr!BW9)),IF(AND(d_Irr!Y9=".",d_Irr!AX9&lt;&gt;".",d_Irr!BW9&lt;&gt;"."),d_dir!Z9/((1/1000)*(d_Irr!AX9+d_Irr!BW9)),IF(AND(d_Irr!Y9=".",d_Irr!AX9=".",d_Irr!BW9&lt;&gt;"."),d_dir!Z9/((1/1000)*(d_Irr!BW9)),IF(AND(d_Irr!Y9=".",d_Irr!AX9&lt;&gt;".",d_Irr!BW9="."),d_dir!Z9/((1/1000)*(d_Irr!AX9)),IF(AND(d_Irr!Y9&lt;&gt;".",d_Irr!AX9=".",d_Irr!BW9="."),d_dir!Z9/((1/1000)*(d_Irr!Y9)),IF(AND(d_Irr!Y9=".",d_Irr!AX9=".",d_Irr!BW9="."),d_dir!Z9*1000)))))))),".")</f>
        <v>10175.636137270962</v>
      </c>
      <c r="AA9" s="70">
        <f>IFERROR(IF(AND(d_Irr!Z9&lt;&gt;".",d_Irr!AY9&lt;&gt;".",d_Irr!BX9&lt;&gt;"."),d_dir!AA9/((1/1000)*(d_Irr!Z9+d_Irr!AY9+d_Irr!BX9)),IF(AND(d_Irr!Z9&lt;&gt;".",d_Irr!AY9&lt;&gt;".",d_Irr!BX9="."),d_dir!AA9/((1/1000)*(d_Irr!Z9+d_Irr!AY9)),IF(AND(d_Irr!Z9&lt;&gt;".",d_Irr!AY9=".",d_Irr!BX9&lt;&gt;"."),d_dir!AA9/((1/1000)*(d_Irr!Z9+d_Irr!BX9)),IF(AND(d_Irr!Z9=".",d_Irr!AY9&lt;&gt;".",d_Irr!BX9&lt;&gt;"."),d_dir!AA9/((1/1000)*(d_Irr!AY9+d_Irr!BX9)),IF(AND(d_Irr!Z9=".",d_Irr!AY9=".",d_Irr!BX9&lt;&gt;"."),d_dir!AA9/((1/1000)*(d_Irr!BX9)),IF(AND(d_Irr!Z9=".",d_Irr!AY9&lt;&gt;".",d_Irr!BX9="."),d_dir!AA9/((1/1000)*(d_Irr!AY9)),IF(AND(d_Irr!Z9&lt;&gt;".",d_Irr!AY9=".",d_Irr!BX9="."),d_dir!AA9/((1/1000)*(d_Irr!Z9)),IF(AND(d_Irr!Z9=".",d_Irr!AY9=".",d_Irr!BX9="."),d_dir!AA9*1000)))))))),".")</f>
        <v>4425.6477369385602</v>
      </c>
      <c r="AB9" s="70">
        <f>IFERROR(IF(AND(d_Irr!AA9&lt;&gt;".",d_Irr!AZ9&lt;&gt;".",d_Irr!BY9&lt;&gt;"."),d_dir!AB9/((1/1000)*(d_Irr!AA9+d_Irr!AZ9+d_Irr!BY9)),IF(AND(d_Irr!AA9&lt;&gt;".",d_Irr!AZ9&lt;&gt;".",d_Irr!BY9="."),d_dir!AB9/((1/1000)*(d_Irr!AA9+d_Irr!AZ9)),IF(AND(d_Irr!AA9&lt;&gt;".",d_Irr!AZ9=".",d_Irr!BY9&lt;&gt;"."),d_dir!AB9/((1/1000)*(d_Irr!AA9+d_Irr!BY9)),IF(AND(d_Irr!AA9=".",d_Irr!AZ9&lt;&gt;".",d_Irr!BY9&lt;&gt;"."),d_dir!AB9/((1/1000)*(d_Irr!AZ9+d_Irr!BY9)),IF(AND(d_Irr!AA9=".",d_Irr!AZ9=".",d_Irr!BY9&lt;&gt;"."),d_dir!AB9/((1/1000)*(d_Irr!BY9)),IF(AND(d_Irr!AA9=".",d_Irr!AZ9&lt;&gt;".",d_Irr!BY9="."),d_dir!AB9/((1/1000)*(d_Irr!AZ9)),IF(AND(d_Irr!AA9&lt;&gt;".",d_Irr!AZ9=".",d_Irr!BY9="."),d_dir!AB9/((1/1000)*(d_Irr!AA9)),IF(AND(d_Irr!AA9=".",d_Irr!AZ9=".",d_Irr!BY9="."),d_dir!AB9*1000)))))))),".")</f>
        <v>5075.7575211031372</v>
      </c>
      <c r="AC9" s="70">
        <f t="shared" si="0"/>
        <v>505.31239824583491</v>
      </c>
      <c r="AD9" s="70">
        <f>IFERROR(IF(AND(d_Irr!C9&lt;&gt;".",d_Irr!AB9&lt;&gt;".",d_Irr!BA9&lt;&gt;"."),d_dir!AD9/((1/1000)*(d_Irr!C9+d_Irr!AB9+d_Irr!BA9)),IF(AND(d_Irr!C9&lt;&gt;".",d_Irr!AB9&lt;&gt;".",d_Irr!BA9="."),d_dir!AD9/((1/1000)*(d_Irr!C9+d_Irr!AB9)),IF(AND(d_Irr!C9&lt;&gt;".",d_Irr!AB9=".",d_Irr!BA9&lt;&gt;"."),d_dir!AD9/((1/1000)*(d_Irr!C9+d_Irr!BA9)),IF(AND(d_Irr!C9=".",d_Irr!AB9&lt;&gt;".",d_Irr!BA9&lt;&gt;"."),d_dir!AD9/((1/1000)*(d_Irr!AB9+d_Irr!BA9)),IF(AND(d_Irr!C9=".",d_Irr!AB9=".",d_Irr!BA9&lt;&gt;"."),d_dir!AD9/((1/1000)*(d_Irr!BA9)),IF(AND(d_Irr!C9=".",d_Irr!AB9&lt;&gt;".",d_Irr!BA9="."),d_dir!AD9/((1/1000)*(d_Irr!AB9)),IF(AND(d_Irr!C9&lt;&gt;".",d_Irr!AB9=".",d_Irr!BA9="."),d_dir!AD9/((1/1000)*(d_Irr!C9)),IF(AND(d_Irr!C9=".",d_Irr!AB9=".",d_Irr!BA9="."),d_dir!AD9*1000)))))))),".")</f>
        <v>8492.976423649854</v>
      </c>
      <c r="AE9" s="70">
        <f>IFERROR(IF(AND(d_Irr!D9&lt;&gt;".",d_Irr!AC9&lt;&gt;".",d_Irr!BB9&lt;&gt;"."),d_dir!AE9/((1/1000)*(d_Irr!D9+d_Irr!AC9+d_Irr!BB9)),IF(AND(d_Irr!D9&lt;&gt;".",d_Irr!AC9&lt;&gt;".",d_Irr!BB9="."),d_dir!AE9/((1/1000)*(d_Irr!D9+d_Irr!AC9)),IF(AND(d_Irr!D9&lt;&gt;".",d_Irr!AC9=".",d_Irr!BB9&lt;&gt;"."),d_dir!AE9/((1/1000)*(d_Irr!D9+d_Irr!BB9)),IF(AND(d_Irr!D9=".",d_Irr!AC9&lt;&gt;".",d_Irr!BB9&lt;&gt;"."),d_dir!AE9/((1/1000)*(d_Irr!AC9+d_Irr!BB9)),IF(AND(d_Irr!D9=".",d_Irr!AC9=".",d_Irr!BB9&lt;&gt;"."),d_dir!AE9/((1/1000)*(d_Irr!BB9)),IF(AND(d_Irr!D9=".",d_Irr!AC9&lt;&gt;".",d_Irr!BB9="."),d_dir!AE9/((1/1000)*(d_Irr!AC9)),IF(AND(d_Irr!D9&lt;&gt;".",d_Irr!AC9=".",d_Irr!BB9="."),d_dir!AE9/((1/1000)*(d_Irr!D9)),IF(AND(d_Irr!D9=".",d_Irr!AC9=".",d_Irr!BB9="."),d_dir!AE9*1000)))))))),".")</f>
        <v>20011.621708234074</v>
      </c>
      <c r="AF9" s="70">
        <f>IFERROR(IF(AND(d_Irr!E9&lt;&gt;".",d_Irr!AD9&lt;&gt;".",d_Irr!BC9&lt;&gt;"."),d_dir!AF9/((1/1000)*(d_Irr!E9+d_Irr!AD9+d_Irr!BC9)),IF(AND(d_Irr!E9&lt;&gt;".",d_Irr!AD9&lt;&gt;".",d_Irr!BC9="."),d_dir!AF9/((1/1000)*(d_Irr!E9+d_Irr!AD9)),IF(AND(d_Irr!E9&lt;&gt;".",d_Irr!AD9=".",d_Irr!BC9&lt;&gt;"."),d_dir!AF9/((1/1000)*(d_Irr!E9+d_Irr!BC9)),IF(AND(d_Irr!E9=".",d_Irr!AD9&lt;&gt;".",d_Irr!BC9&lt;&gt;"."),d_dir!AF9/((1/1000)*(d_Irr!AD9+d_Irr!BC9)),IF(AND(d_Irr!E9=".",d_Irr!AD9=".",d_Irr!BC9&lt;&gt;"."),d_dir!AF9/((1/1000)*(d_Irr!BC9)),IF(AND(d_Irr!E9=".",d_Irr!AD9&lt;&gt;".",d_Irr!BC9="."),d_dir!AF9/((1/1000)*(d_Irr!AD9)),IF(AND(d_Irr!E9&lt;&gt;".",d_Irr!AD9=".",d_Irr!BC9="."),d_dir!AF9/((1/1000)*(d_Irr!E9)),IF(AND(d_Irr!E9=".",d_Irr!AD9=".",d_Irr!BC9="."),d_dir!AF9*1000)))))))),".")</f>
        <v>23809.132272466639</v>
      </c>
      <c r="AG9" s="70">
        <f>IFERROR(IF(AND(d_Irr!F9&lt;&gt;".",d_Irr!AE9&lt;&gt;".",d_Irr!BD9&lt;&gt;"."),d_dir!AG9/((1/1000)*(d_Irr!F9+d_Irr!AE9+d_Irr!BD9)),IF(AND(d_Irr!F9&lt;&gt;".",d_Irr!AE9&lt;&gt;".",d_Irr!BD9="."),d_dir!AG9/((1/1000)*(d_Irr!F9+d_Irr!AE9)),IF(AND(d_Irr!F9&lt;&gt;".",d_Irr!AE9=".",d_Irr!BD9&lt;&gt;"."),d_dir!AG9/((1/1000)*(d_Irr!F9+d_Irr!BD9)),IF(AND(d_Irr!F9=".",d_Irr!AE9&lt;&gt;".",d_Irr!BD9&lt;&gt;"."),d_dir!AG9/((1/1000)*(d_Irr!AE9+d_Irr!BD9)),IF(AND(d_Irr!F9=".",d_Irr!AE9=".",d_Irr!BD9&lt;&gt;"."),d_dir!AG9/((1/1000)*(d_Irr!BD9)),IF(AND(d_Irr!F9=".",d_Irr!AE9&lt;&gt;".",d_Irr!BD9="."),d_dir!AG9/((1/1000)*(d_Irr!AE9)),IF(AND(d_Irr!F9&lt;&gt;".",d_Irr!AE9=".",d_Irr!BD9="."),d_dir!AG9/((1/1000)*(d_Irr!F9)),IF(AND(d_Irr!F9=".",d_Irr!AE9=".",d_Irr!BD9="."),d_dir!AG9*1000)))))))),".")</f>
        <v>21386.22375432479</v>
      </c>
      <c r="AH9" s="70">
        <f>IFERROR(IF(AND(d_Irr!G9&lt;&gt;".",d_Irr!AF9&lt;&gt;".",d_Irr!BE9&lt;&gt;"."),d_dir!AH9/((1/1000)*(d_Irr!G9+d_Irr!AF9+d_Irr!BE9)),IF(AND(d_Irr!G9&lt;&gt;".",d_Irr!AF9&lt;&gt;".",d_Irr!BE9="."),d_dir!AH9/((1/1000)*(d_Irr!G9+d_Irr!AF9)),IF(AND(d_Irr!G9&lt;&gt;".",d_Irr!AF9=".",d_Irr!BE9&lt;&gt;"."),d_dir!AH9/((1/1000)*(d_Irr!G9+d_Irr!BE9)),IF(AND(d_Irr!G9=".",d_Irr!AF9&lt;&gt;".",d_Irr!BE9&lt;&gt;"."),d_dir!AH9/((1/1000)*(d_Irr!AF9+d_Irr!BE9)),IF(AND(d_Irr!G9=".",d_Irr!AF9=".",d_Irr!BE9&lt;&gt;"."),d_dir!AH9/((1/1000)*(d_Irr!BE9)),IF(AND(d_Irr!G9=".",d_Irr!AF9&lt;&gt;".",d_Irr!BE9="."),d_dir!AH9/((1/1000)*(d_Irr!AF9)),IF(AND(d_Irr!G9&lt;&gt;".",d_Irr!AF9=".",d_Irr!BE9="."),d_dir!AH9/((1/1000)*(d_Irr!G9)),IF(AND(d_Irr!G9=".",d_Irr!AF9=".",d_Irr!BE9="."),d_dir!AH9*1000)))))))),".")</f>
        <v>22897.718017101284</v>
      </c>
      <c r="AI9" s="70">
        <f>IFERROR(IF(AND(d_Irr!H9&lt;&gt;".",d_Irr!AG9&lt;&gt;".",d_Irr!BF9&lt;&gt;"."),d_dir!AI9/((1/1000)*(d_Irr!H9+d_Irr!AG9+d_Irr!BF9)),IF(AND(d_Irr!H9&lt;&gt;".",d_Irr!AG9&lt;&gt;".",d_Irr!BF9="."),d_dir!AI9/((1/1000)*(d_Irr!H9+d_Irr!AG9)),IF(AND(d_Irr!H9&lt;&gt;".",d_Irr!AG9=".",d_Irr!BF9&lt;&gt;"."),d_dir!AI9/((1/1000)*(d_Irr!H9+d_Irr!BF9)),IF(AND(d_Irr!H9=".",d_Irr!AG9&lt;&gt;".",d_Irr!BF9&lt;&gt;"."),d_dir!AI9/((1/1000)*(d_Irr!AG9+d_Irr!BF9)),IF(AND(d_Irr!H9=".",d_Irr!AG9=".",d_Irr!BF9&lt;&gt;"."),d_dir!AI9/((1/1000)*(d_Irr!BF9)),IF(AND(d_Irr!H9=".",d_Irr!AG9&lt;&gt;".",d_Irr!BF9="."),d_dir!AI9/((1/1000)*(d_Irr!AG9)),IF(AND(d_Irr!H9&lt;&gt;".",d_Irr!AG9=".",d_Irr!BF9="."),d_dir!AI9/((1/1000)*(d_Irr!H9)),IF(AND(d_Irr!H9=".",d_Irr!AG9=".",d_Irr!BF9="."),d_dir!AI9*1000)))))))),".")</f>
        <v>10367.99536169121</v>
      </c>
      <c r="AJ9" s="70">
        <f>IFERROR(IF(AND(d_Irr!I9&lt;&gt;".",d_Irr!AH9&lt;&gt;".",d_Irr!BG9&lt;&gt;"."),d_dir!AJ9/((1/1000)*(d_Irr!I9+d_Irr!AH9+d_Irr!BG9)),IF(AND(d_Irr!I9&lt;&gt;".",d_Irr!AH9&lt;&gt;".",d_Irr!BG9="."),d_dir!AJ9/((1/1000)*(d_Irr!I9+d_Irr!AH9)),IF(AND(d_Irr!I9&lt;&gt;".",d_Irr!AH9=".",d_Irr!BG9&lt;&gt;"."),d_dir!AJ9/((1/1000)*(d_Irr!I9+d_Irr!BG9)),IF(AND(d_Irr!I9=".",d_Irr!AH9&lt;&gt;".",d_Irr!BG9&lt;&gt;"."),d_dir!AJ9/((1/1000)*(d_Irr!AH9+d_Irr!BG9)),IF(AND(d_Irr!I9=".",d_Irr!AH9=".",d_Irr!BG9&lt;&gt;"."),d_dir!AJ9/((1/1000)*(d_Irr!BG9)),IF(AND(d_Irr!I9=".",d_Irr!AH9&lt;&gt;".",d_Irr!BG9="."),d_dir!AJ9/((1/1000)*(d_Irr!AH9)),IF(AND(d_Irr!I9&lt;&gt;".",d_Irr!AH9=".",d_Irr!BG9="."),d_dir!AJ9/((1/1000)*(d_Irr!I9)),IF(AND(d_Irr!I9=".",d_Irr!AH9=".",d_Irr!BG9="."),d_dir!AJ9*1000)))))))),".")</f>
        <v>31612.107668532011</v>
      </c>
      <c r="AK9" s="70">
        <f>IFERROR(IF(AND(d_Irr!J9&lt;&gt;".",d_Irr!AI9&lt;&gt;".",d_Irr!BH9&lt;&gt;"."),d_dir!AK9/((1/1000)*(d_Irr!J9+d_Irr!AI9+d_Irr!BH9)),IF(AND(d_Irr!J9&lt;&gt;".",d_Irr!AI9&lt;&gt;".",d_Irr!BH9="."),d_dir!AK9/((1/1000)*(d_Irr!J9+d_Irr!AI9)),IF(AND(d_Irr!J9&lt;&gt;".",d_Irr!AI9=".",d_Irr!BH9&lt;&gt;"."),d_dir!AK9/((1/1000)*(d_Irr!J9+d_Irr!BH9)),IF(AND(d_Irr!J9=".",d_Irr!AI9&lt;&gt;".",d_Irr!BH9&lt;&gt;"."),d_dir!AK9/((1/1000)*(d_Irr!AI9+d_Irr!BH9)),IF(AND(d_Irr!J9=".",d_Irr!AI9=".",d_Irr!BH9&lt;&gt;"."),d_dir!AK9/((1/1000)*(d_Irr!BH9)),IF(AND(d_Irr!J9=".",d_Irr!AI9&lt;&gt;".",d_Irr!BH9="."),d_dir!AK9/((1/1000)*(d_Irr!AI9)),IF(AND(d_Irr!J9&lt;&gt;".",d_Irr!AI9=".",d_Irr!BH9="."),d_dir!AK9/((1/1000)*(d_Irr!J9)),IF(AND(d_Irr!J9=".",d_Irr!AI9=".",d_Irr!BH9="."),d_dir!AK9*1000)))))))),".")</f>
        <v>2462.1764320967891</v>
      </c>
      <c r="AL9" s="70">
        <f>IFERROR(IF(AND(d_Irr!K9&lt;&gt;".",d_Irr!AJ9&lt;&gt;".",d_Irr!BI9&lt;&gt;"."),d_dir!AL9/((1/1000)*(d_Irr!K9+d_Irr!AJ9+d_Irr!BI9)),IF(AND(d_Irr!K9&lt;&gt;".",d_Irr!AJ9&lt;&gt;".",d_Irr!BI9="."),d_dir!AL9/((1/1000)*(d_Irr!K9+d_Irr!AJ9)),IF(AND(d_Irr!K9&lt;&gt;".",d_Irr!AJ9=".",d_Irr!BI9&lt;&gt;"."),d_dir!AL9/((1/1000)*(d_Irr!K9+d_Irr!BI9)),IF(AND(d_Irr!K9=".",d_Irr!AJ9&lt;&gt;".",d_Irr!BI9&lt;&gt;"."),d_dir!AL9/((1/1000)*(d_Irr!AJ9+d_Irr!BI9)),IF(AND(d_Irr!K9=".",d_Irr!AJ9=".",d_Irr!BI9&lt;&gt;"."),d_dir!AL9/((1/1000)*(d_Irr!BI9)),IF(AND(d_Irr!K9=".",d_Irr!AJ9&lt;&gt;".",d_Irr!BI9="."),d_dir!AL9/((1/1000)*(d_Irr!AJ9)),IF(AND(d_Irr!K9&lt;&gt;".",d_Irr!AJ9=".",d_Irr!BI9="."),d_dir!AL9/((1/1000)*(d_Irr!K9)),IF(AND(d_Irr!K9=".",d_Irr!AJ9=".",d_Irr!BI9="."),d_dir!AL9*1000)))))))),".")</f>
        <v>9628.747187850855</v>
      </c>
      <c r="AM9" s="70">
        <f>IFERROR(IF(AND(d_Irr!L9&lt;&gt;".",d_Irr!AK9&lt;&gt;".",d_Irr!BJ9&lt;&gt;"."),d_dir!AM9/((1/1000)*(d_Irr!L9+d_Irr!AK9+d_Irr!BJ9)),IF(AND(d_Irr!L9&lt;&gt;".",d_Irr!AK9&lt;&gt;".",d_Irr!BJ9="."),d_dir!AM9/((1/1000)*(d_Irr!L9+d_Irr!AK9)),IF(AND(d_Irr!L9&lt;&gt;".",d_Irr!AK9=".",d_Irr!BJ9&lt;&gt;"."),d_dir!AM9/((1/1000)*(d_Irr!L9+d_Irr!BJ9)),IF(AND(d_Irr!L9=".",d_Irr!AK9&lt;&gt;".",d_Irr!BJ9&lt;&gt;"."),d_dir!AM9/((1/1000)*(d_Irr!AK9+d_Irr!BJ9)),IF(AND(d_Irr!L9=".",d_Irr!AK9=".",d_Irr!BJ9&lt;&gt;"."),d_dir!AM9/((1/1000)*(d_Irr!BJ9)),IF(AND(d_Irr!L9=".",d_Irr!AK9&lt;&gt;".",d_Irr!BJ9="."),d_dir!AM9/((1/1000)*(d_Irr!AK9)),IF(AND(d_Irr!L9&lt;&gt;".",d_Irr!AK9=".",d_Irr!BJ9="."),d_dir!AM9/((1/1000)*(d_Irr!L9)),IF(AND(d_Irr!L9=".",d_Irr!AK9=".",d_Irr!BJ9="."),d_dir!AM9*1000)))))))),".")</f>
        <v>14619.334207400154</v>
      </c>
      <c r="AN9" s="70">
        <f>IFERROR(IF(AND(d_Irr!M9&lt;&gt;".",d_Irr!AL9&lt;&gt;".",d_Irr!BK9&lt;&gt;"."),d_dir!AN9/((1/1000)*(d_Irr!M9+d_Irr!AL9+d_Irr!BK9)),IF(AND(d_Irr!M9&lt;&gt;".",d_Irr!AL9&lt;&gt;".",d_Irr!BK9="."),d_dir!AN9/((1/1000)*(d_Irr!M9+d_Irr!AL9)),IF(AND(d_Irr!M9&lt;&gt;".",d_Irr!AL9=".",d_Irr!BK9&lt;&gt;"."),d_dir!AN9/((1/1000)*(d_Irr!M9+d_Irr!BK9)),IF(AND(d_Irr!M9=".",d_Irr!AL9&lt;&gt;".",d_Irr!BK9&lt;&gt;"."),d_dir!AN9/((1/1000)*(d_Irr!AL9+d_Irr!BK9)),IF(AND(d_Irr!M9=".",d_Irr!AL9=".",d_Irr!BK9&lt;&gt;"."),d_dir!AN9/((1/1000)*(d_Irr!BK9)),IF(AND(d_Irr!M9=".",d_Irr!AL9&lt;&gt;".",d_Irr!BK9="."),d_dir!AN9/((1/1000)*(d_Irr!AL9)),IF(AND(d_Irr!M9&lt;&gt;".",d_Irr!AL9=".",d_Irr!BK9="."),d_dir!AN9/((1/1000)*(d_Irr!M9)),IF(AND(d_Irr!M9=".",d_Irr!AL9=".",d_Irr!BK9="."),d_dir!AN9*1000)))))))),".")</f>
        <v>21229.79994522858</v>
      </c>
      <c r="AO9" s="70">
        <f>IFERROR(IF(AND(d_Irr!N9&lt;&gt;".",d_Irr!AM9&lt;&gt;".",d_Irr!BL9&lt;&gt;"."),d_dir!AO9/((1/1000)*(d_Irr!N9+d_Irr!AM9+d_Irr!BL9)),IF(AND(d_Irr!N9&lt;&gt;".",d_Irr!AM9&lt;&gt;".",d_Irr!BL9="."),d_dir!AO9/((1/1000)*(d_Irr!N9+d_Irr!AM9)),IF(AND(d_Irr!N9&lt;&gt;".",d_Irr!AM9=".",d_Irr!BL9&lt;&gt;"."),d_dir!AO9/((1/1000)*(d_Irr!N9+d_Irr!BL9)),IF(AND(d_Irr!N9=".",d_Irr!AM9&lt;&gt;".",d_Irr!BL9&lt;&gt;"."),d_dir!AO9/((1/1000)*(d_Irr!AM9+d_Irr!BL9)),IF(AND(d_Irr!N9=".",d_Irr!AM9=".",d_Irr!BL9&lt;&gt;"."),d_dir!AO9/((1/1000)*(d_Irr!BL9)),IF(AND(d_Irr!N9=".",d_Irr!AM9&lt;&gt;".",d_Irr!BL9="."),d_dir!AO9/((1/1000)*(d_Irr!AM9)),IF(AND(d_Irr!N9&lt;&gt;".",d_Irr!AM9=".",d_Irr!BL9="."),d_dir!AO9/((1/1000)*(d_Irr!N9)),IF(AND(d_Irr!N9=".",d_Irr!AM9=".",d_Irr!BL9="."),d_dir!AO9*1000)))))))),".")</f>
        <v>21943.918119512095</v>
      </c>
      <c r="AP9" s="70">
        <f>IFERROR(IF(AND(d_Irr!O9&lt;&gt;".",d_Irr!AN9&lt;&gt;".",d_Irr!BM9&lt;&gt;"."),d_dir!AP9/((1/1000)*(d_Irr!O9+d_Irr!AN9+d_Irr!BM9)),IF(AND(d_Irr!O9&lt;&gt;".",d_Irr!AN9&lt;&gt;".",d_Irr!BM9="."),d_dir!AP9/((1/1000)*(d_Irr!O9+d_Irr!AN9)),IF(AND(d_Irr!O9&lt;&gt;".",d_Irr!AN9=".",d_Irr!BM9&lt;&gt;"."),d_dir!AP9/((1/1000)*(d_Irr!O9+d_Irr!BM9)),IF(AND(d_Irr!O9=".",d_Irr!AN9&lt;&gt;".",d_Irr!BM9&lt;&gt;"."),d_dir!AP9/((1/1000)*(d_Irr!AN9+d_Irr!BM9)),IF(AND(d_Irr!O9=".",d_Irr!AN9=".",d_Irr!BM9&lt;&gt;"."),d_dir!AP9/((1/1000)*(d_Irr!BM9)),IF(AND(d_Irr!O9=".",d_Irr!AN9&lt;&gt;".",d_Irr!BM9="."),d_dir!AP9/((1/1000)*(d_Irr!AN9)),IF(AND(d_Irr!O9&lt;&gt;".",d_Irr!AN9=".",d_Irr!BM9="."),d_dir!AP9/((1/1000)*(d_Irr!O9)),IF(AND(d_Irr!O9=".",d_Irr!AN9=".",d_Irr!BM9="."),d_dir!AP9*1000)))))))),".")</f>
        <v>26341.773090100218</v>
      </c>
      <c r="AQ9" s="70">
        <f>IFERROR(IF(AND(d_Irr!P9&lt;&gt;".",d_Irr!AO9&lt;&gt;".",d_Irr!BN9&lt;&gt;"."),d_dir!AQ9/((1/1000)*(d_Irr!P9+d_Irr!AO9+d_Irr!BN9)),IF(AND(d_Irr!P9&lt;&gt;".",d_Irr!AO9&lt;&gt;".",d_Irr!BN9="."),d_dir!AQ9/((1/1000)*(d_Irr!P9+d_Irr!AO9)),IF(AND(d_Irr!P9&lt;&gt;".",d_Irr!AO9=".",d_Irr!BN9&lt;&gt;"."),d_dir!AQ9/((1/1000)*(d_Irr!P9+d_Irr!BN9)),IF(AND(d_Irr!P9=".",d_Irr!AO9&lt;&gt;".",d_Irr!BN9&lt;&gt;"."),d_dir!AQ9/((1/1000)*(d_Irr!AO9+d_Irr!BN9)),IF(AND(d_Irr!P9=".",d_Irr!AO9=".",d_Irr!BN9&lt;&gt;"."),d_dir!AQ9/((1/1000)*(d_Irr!BN9)),IF(AND(d_Irr!P9=".",d_Irr!AO9&lt;&gt;".",d_Irr!BN9="."),d_dir!AQ9/((1/1000)*(d_Irr!AO9)),IF(AND(d_Irr!P9&lt;&gt;".",d_Irr!AO9=".",d_Irr!BN9="."),d_dir!AQ9/((1/1000)*(d_Irr!P9)),IF(AND(d_Irr!P9=".",d_Irr!AO9=".",d_Irr!BN9="."),d_dir!AQ9*1000)))))))),".")</f>
        <v>29500.735906864749</v>
      </c>
      <c r="AR9" s="70">
        <f>IFERROR(IF(AND(d_Irr!Q9&lt;&gt;".",d_Irr!AP9&lt;&gt;".",d_Irr!BO9&lt;&gt;"."),d_dir!AR9/((1/1000)*(d_Irr!Q9+d_Irr!AP9+d_Irr!BO9)),IF(AND(d_Irr!Q9&lt;&gt;".",d_Irr!AP9&lt;&gt;".",d_Irr!BO9="."),d_dir!AR9/((1/1000)*(d_Irr!Q9+d_Irr!AP9)),IF(AND(d_Irr!Q9&lt;&gt;".",d_Irr!AP9=".",d_Irr!BO9&lt;&gt;"."),d_dir!AR9/((1/1000)*(d_Irr!Q9+d_Irr!BO9)),IF(AND(d_Irr!Q9=".",d_Irr!AP9&lt;&gt;".",d_Irr!BO9&lt;&gt;"."),d_dir!AR9/((1/1000)*(d_Irr!AP9+d_Irr!BO9)),IF(AND(d_Irr!Q9=".",d_Irr!AP9=".",d_Irr!BO9&lt;&gt;"."),d_dir!AR9/((1/1000)*(d_Irr!BO9)),IF(AND(d_Irr!Q9=".",d_Irr!AP9&lt;&gt;".",d_Irr!BO9="."),d_dir!AR9/((1/1000)*(d_Irr!AP9)),IF(AND(d_Irr!Q9&lt;&gt;".",d_Irr!AP9=".",d_Irr!BO9="."),d_dir!AR9/((1/1000)*(d_Irr!Q9)),IF(AND(d_Irr!Q9=".",d_Irr!AP9=".",d_Irr!BO9="."),d_dir!AR9*1000)))))))),".")</f>
        <v>7009.8630028644247</v>
      </c>
      <c r="AS9" s="70">
        <f>IFERROR(IF(AND(d_Irr!R9&lt;&gt;".",d_Irr!AQ9&lt;&gt;".",d_Irr!BP9&lt;&gt;"."),d_dir!AS9/((1/1000)*(d_Irr!R9+d_Irr!AQ9+d_Irr!BP9)),IF(AND(d_Irr!R9&lt;&gt;".",d_Irr!AQ9&lt;&gt;".",d_Irr!BP9="."),d_dir!AS9/((1/1000)*(d_Irr!R9+d_Irr!AQ9)),IF(AND(d_Irr!R9&lt;&gt;".",d_Irr!AQ9=".",d_Irr!BP9&lt;&gt;"."),d_dir!AS9/((1/1000)*(d_Irr!R9+d_Irr!BP9)),IF(AND(d_Irr!R9=".",d_Irr!AQ9&lt;&gt;".",d_Irr!BP9&lt;&gt;"."),d_dir!AS9/((1/1000)*(d_Irr!AQ9+d_Irr!BP9)),IF(AND(d_Irr!R9=".",d_Irr!AQ9=".",d_Irr!BP9&lt;&gt;"."),d_dir!AS9/((1/1000)*(d_Irr!BP9)),IF(AND(d_Irr!R9=".",d_Irr!AQ9&lt;&gt;".",d_Irr!BP9="."),d_dir!AS9/((1/1000)*(d_Irr!AQ9)),IF(AND(d_Irr!R9&lt;&gt;".",d_Irr!AQ9=".",d_Irr!BP9="."),d_dir!AS9/((1/1000)*(d_Irr!R9)),IF(AND(d_Irr!R9=".",d_Irr!AQ9=".",d_Irr!BP9="."),d_dir!AS9*1000)))))))),".")</f>
        <v>11431.083529585119</v>
      </c>
      <c r="AT9" s="70">
        <f>IFERROR(IF(AND(d_Irr!S9&lt;&gt;".",d_Irr!AR9&lt;&gt;".",d_Irr!BQ9&lt;&gt;"."),d_dir!AT9/((1/1000)*(d_Irr!S9+d_Irr!AR9+d_Irr!BQ9)),IF(AND(d_Irr!S9&lt;&gt;".",d_Irr!AR9&lt;&gt;".",d_Irr!BQ9="."),d_dir!AT9/((1/1000)*(d_Irr!S9+d_Irr!AR9)),IF(AND(d_Irr!S9&lt;&gt;".",d_Irr!AR9=".",d_Irr!BQ9&lt;&gt;"."),d_dir!AT9/((1/1000)*(d_Irr!S9+d_Irr!BQ9)),IF(AND(d_Irr!S9=".",d_Irr!AR9&lt;&gt;".",d_Irr!BQ9&lt;&gt;"."),d_dir!AT9/((1/1000)*(d_Irr!AR9+d_Irr!BQ9)),IF(AND(d_Irr!S9=".",d_Irr!AR9=".",d_Irr!BQ9&lt;&gt;"."),d_dir!AT9/((1/1000)*(d_Irr!BQ9)),IF(AND(d_Irr!S9=".",d_Irr!AR9&lt;&gt;".",d_Irr!BQ9="."),d_dir!AT9/((1/1000)*(d_Irr!AR9)),IF(AND(d_Irr!S9&lt;&gt;".",d_Irr!AR9=".",d_Irr!BQ9="."),d_dir!AT9/((1/1000)*(d_Irr!S9)),IF(AND(d_Irr!S9=".",d_Irr!AR9=".",d_Irr!BQ9="."),d_dir!AT9*1000)))))))),".")</f>
        <v>23979.451816992831</v>
      </c>
      <c r="AU9" s="70">
        <f>IFERROR(IF(AND(d_Irr!T9&lt;&gt;".",d_Irr!AS9&lt;&gt;".",d_Irr!BR9&lt;&gt;"."),d_dir!AU9/((1/1000)*(d_Irr!T9+d_Irr!AS9+d_Irr!BR9)),IF(AND(d_Irr!T9&lt;&gt;".",d_Irr!AS9&lt;&gt;".",d_Irr!BR9="."),d_dir!AU9/((1/1000)*(d_Irr!T9+d_Irr!AS9)),IF(AND(d_Irr!T9&lt;&gt;".",d_Irr!AS9=".",d_Irr!BR9&lt;&gt;"."),d_dir!AU9/((1/1000)*(d_Irr!T9+d_Irr!BR9)),IF(AND(d_Irr!T9=".",d_Irr!AS9&lt;&gt;".",d_Irr!BR9&lt;&gt;"."),d_dir!AU9/((1/1000)*(d_Irr!AS9+d_Irr!BR9)),IF(AND(d_Irr!T9=".",d_Irr!AS9=".",d_Irr!BR9&lt;&gt;"."),d_dir!AU9/((1/1000)*(d_Irr!BR9)),IF(AND(d_Irr!T9=".",d_Irr!AS9&lt;&gt;".",d_Irr!BR9="."),d_dir!AU9/((1/1000)*(d_Irr!AS9)),IF(AND(d_Irr!T9&lt;&gt;".",d_Irr!AS9=".",d_Irr!BR9="."),d_dir!AU9/((1/1000)*(d_Irr!T9)),IF(AND(d_Irr!T9=".",d_Irr!AS9=".",d_Irr!BR9="."),d_dir!AU9*1000)))))))),".")</f>
        <v>33152.279942818757</v>
      </c>
      <c r="AV9" s="70">
        <f>IFERROR(IF(AND(d_Irr!U9&lt;&gt;".",d_Irr!AT9&lt;&gt;".",d_Irr!BS9&lt;&gt;"."),d_dir!AV9/((1/1000)*(d_Irr!U9+d_Irr!AT9+d_Irr!BS9)),IF(AND(d_Irr!U9&lt;&gt;".",d_Irr!AT9&lt;&gt;".",d_Irr!BS9="."),d_dir!AV9/((1/1000)*(d_Irr!U9+d_Irr!AT9)),IF(AND(d_Irr!U9&lt;&gt;".",d_Irr!AT9=".",d_Irr!BS9&lt;&gt;"."),d_dir!AV9/((1/1000)*(d_Irr!U9+d_Irr!BS9)),IF(AND(d_Irr!U9=".",d_Irr!AT9&lt;&gt;".",d_Irr!BS9&lt;&gt;"."),d_dir!AV9/((1/1000)*(d_Irr!AT9+d_Irr!BS9)),IF(AND(d_Irr!U9=".",d_Irr!AT9=".",d_Irr!BS9&lt;&gt;"."),d_dir!AV9/((1/1000)*(d_Irr!BS9)),IF(AND(d_Irr!U9=".",d_Irr!AT9&lt;&gt;".",d_Irr!BS9="."),d_dir!AV9/((1/1000)*(d_Irr!AT9)),IF(AND(d_Irr!U9&lt;&gt;".",d_Irr!AT9=".",d_Irr!BS9="."),d_dir!AV9/((1/1000)*(d_Irr!U9)),IF(AND(d_Irr!U9=".",d_Irr!AT9=".",d_Irr!BS9="."),d_dir!AV9*1000)))))))),".")</f>
        <v>5587.2856155919735</v>
      </c>
      <c r="AW9" s="70">
        <f>IFERROR(IF(AND(d_Irr!V9&lt;&gt;".",d_Irr!AU9&lt;&gt;".",d_Irr!BT9&lt;&gt;"."),d_dir!AW9/((1/1000)*(d_Irr!V9+d_Irr!AU9+d_Irr!BT9)),IF(AND(d_Irr!V9&lt;&gt;".",d_Irr!AU9&lt;&gt;".",d_Irr!BT9="."),d_dir!AW9/((1/1000)*(d_Irr!V9+d_Irr!AU9)),IF(AND(d_Irr!V9&lt;&gt;".",d_Irr!AU9=".",d_Irr!BT9&lt;&gt;"."),d_dir!AW9/((1/1000)*(d_Irr!V9+d_Irr!BT9)),IF(AND(d_Irr!V9=".",d_Irr!AU9&lt;&gt;".",d_Irr!BT9&lt;&gt;"."),d_dir!AW9/((1/1000)*(d_Irr!AU9+d_Irr!BT9)),IF(AND(d_Irr!V9=".",d_Irr!AU9=".",d_Irr!BT9&lt;&gt;"."),d_dir!AW9/((1/1000)*(d_Irr!BT9)),IF(AND(d_Irr!V9=".",d_Irr!AU9&lt;&gt;".",d_Irr!BT9="."),d_dir!AW9/((1/1000)*(d_Irr!AU9)),IF(AND(d_Irr!V9&lt;&gt;".",d_Irr!AU9=".",d_Irr!BT9="."),d_dir!AW9/((1/1000)*(d_Irr!V9)),IF(AND(d_Irr!V9=".",d_Irr!AU9=".",d_Irr!BT9="."),d_dir!AW9*1000)))))))),".")</f>
        <v>12560.432370855042</v>
      </c>
      <c r="AX9" s="70">
        <f>IFERROR(IF(AND(d_Irr!W9&lt;&gt;".",d_Irr!AV9&lt;&gt;".",d_Irr!BU9&lt;&gt;"."),d_dir!AX9/((1/1000)*(d_Irr!W9+d_Irr!AV9+d_Irr!BU9)),IF(AND(d_Irr!W9&lt;&gt;".",d_Irr!AV9&lt;&gt;".",d_Irr!BU9="."),d_dir!AX9/((1/1000)*(d_Irr!W9+d_Irr!AV9)),IF(AND(d_Irr!W9&lt;&gt;".",d_Irr!AV9=".",d_Irr!BU9&lt;&gt;"."),d_dir!AX9/((1/1000)*(d_Irr!W9+d_Irr!BU9)),IF(AND(d_Irr!W9=".",d_Irr!AV9&lt;&gt;".",d_Irr!BU9&lt;&gt;"."),d_dir!AX9/((1/1000)*(d_Irr!AV9+d_Irr!BU9)),IF(AND(d_Irr!W9=".",d_Irr!AV9=".",d_Irr!BU9&lt;&gt;"."),d_dir!AX9/((1/1000)*(d_Irr!BU9)),IF(AND(d_Irr!W9=".",d_Irr!AV9&lt;&gt;".",d_Irr!BU9="."),d_dir!AX9/((1/1000)*(d_Irr!AV9)),IF(AND(d_Irr!W9&lt;&gt;".",d_Irr!AV9=".",d_Irr!BU9="."),d_dir!AX9/((1/1000)*(d_Irr!W9)),IF(AND(d_Irr!W9=".",d_Irr!AV9=".",d_Irr!BU9="."),d_dir!AX9*1000)))))))),".")</f>
        <v>13840.483505065617</v>
      </c>
      <c r="AY9" s="70">
        <f>IFERROR(IF(AND(d_Irr!X9&lt;&gt;".",d_Irr!AW9&lt;&gt;".",d_Irr!BV9&lt;&gt;"."),d_dir!AY9/((1/1000)*(d_Irr!X9+d_Irr!AW9+d_Irr!BV9)),IF(AND(d_Irr!X9&lt;&gt;".",d_Irr!AW9&lt;&gt;".",d_Irr!BV9="."),d_dir!AY9/((1/1000)*(d_Irr!X9+d_Irr!AW9)),IF(AND(d_Irr!X9&lt;&gt;".",d_Irr!AW9=".",d_Irr!BV9&lt;&gt;"."),d_dir!AY9/((1/1000)*(d_Irr!X9+d_Irr!BV9)),IF(AND(d_Irr!X9=".",d_Irr!AW9&lt;&gt;".",d_Irr!BV9&lt;&gt;"."),d_dir!AY9/((1/1000)*(d_Irr!AW9+d_Irr!BV9)),IF(AND(d_Irr!X9=".",d_Irr!AW9=".",d_Irr!BV9&lt;&gt;"."),d_dir!AY9/((1/1000)*(d_Irr!BV9)),IF(AND(d_Irr!X9=".",d_Irr!AW9&lt;&gt;".",d_Irr!BV9="."),d_dir!AY9/((1/1000)*(d_Irr!AW9)),IF(AND(d_Irr!X9&lt;&gt;".",d_Irr!AW9=".",d_Irr!BV9="."),d_dir!AY9/((1/1000)*(d_Irr!X9)),IF(AND(d_Irr!X9=".",d_Irr!AW9=".",d_Irr!BV9="."),d_dir!AY9*1000)))))))),".")</f>
        <v>18579.353350724239</v>
      </c>
      <c r="AZ9" s="70">
        <f>IFERROR(IF(AND(d_Irr!Y9&lt;&gt;".",d_Irr!AX9&lt;&gt;".",d_Irr!BW9&lt;&gt;"."),d_dir!AZ9/((1/1000)*(d_Irr!Y9+d_Irr!AX9+d_Irr!BW9)),IF(AND(d_Irr!Y9&lt;&gt;".",d_Irr!AX9&lt;&gt;".",d_Irr!BW9="."),d_dir!AZ9/((1/1000)*(d_Irr!Y9+d_Irr!AX9)),IF(AND(d_Irr!Y9&lt;&gt;".",d_Irr!AX9=".",d_Irr!BW9&lt;&gt;"."),d_dir!AZ9/((1/1000)*(d_Irr!Y9+d_Irr!BW9)),IF(AND(d_Irr!Y9=".",d_Irr!AX9&lt;&gt;".",d_Irr!BW9&lt;&gt;"."),d_dir!AZ9/((1/1000)*(d_Irr!AX9+d_Irr!BW9)),IF(AND(d_Irr!Y9=".",d_Irr!AX9=".",d_Irr!BW9&lt;&gt;"."),d_dir!AZ9/((1/1000)*(d_Irr!BW9)),IF(AND(d_Irr!Y9=".",d_Irr!AX9&lt;&gt;".",d_Irr!BW9="."),d_dir!AZ9/((1/1000)*(d_Irr!AX9)),IF(AND(d_Irr!Y9&lt;&gt;".",d_Irr!AX9=".",d_Irr!BW9="."),d_dir!AZ9/((1/1000)*(d_Irr!Y9)),IF(AND(d_Irr!Y9=".",d_Irr!AX9=".",d_Irr!BW9="."),d_dir!AZ9*1000)))))))),".")</f>
        <v>8255.3285081185713</v>
      </c>
      <c r="BA9" s="70">
        <f>IFERROR(IF(AND(d_Irr!Z9&lt;&gt;".",d_Irr!AY9&lt;&gt;".",d_Irr!BX9&lt;&gt;"."),d_dir!BA9/((1/1000)*(d_Irr!Z9+d_Irr!AY9+d_Irr!BX9)),IF(AND(d_Irr!Z9&lt;&gt;".",d_Irr!AY9&lt;&gt;".",d_Irr!BX9="."),d_dir!BA9/((1/1000)*(d_Irr!Z9+d_Irr!AY9)),IF(AND(d_Irr!Z9&lt;&gt;".",d_Irr!AY9=".",d_Irr!BX9&lt;&gt;"."),d_dir!BA9/((1/1000)*(d_Irr!Z9+d_Irr!BX9)),IF(AND(d_Irr!Z9=".",d_Irr!AY9&lt;&gt;".",d_Irr!BX9&lt;&gt;"."),d_dir!BA9/((1/1000)*(d_Irr!AY9+d_Irr!BX9)),IF(AND(d_Irr!Z9=".",d_Irr!AY9=".",d_Irr!BX9&lt;&gt;"."),d_dir!BA9/((1/1000)*(d_Irr!BX9)),IF(AND(d_Irr!Z9=".",d_Irr!AY9&lt;&gt;".",d_Irr!BX9="."),d_dir!BA9/((1/1000)*(d_Irr!AY9)),IF(AND(d_Irr!Z9&lt;&gt;".",d_Irr!AY9=".",d_Irr!BX9="."),d_dir!BA9/((1/1000)*(d_Irr!Z9)),IF(AND(d_Irr!Z9=".",d_Irr!AY9=".",d_Irr!BX9="."),d_dir!BA9*1000)))))))),".")</f>
        <v>3506.1306091895208</v>
      </c>
      <c r="BB9" s="70">
        <f>IFERROR(IF(AND(d_Irr!AA9&lt;&gt;".",d_Irr!AZ9&lt;&gt;".",d_Irr!BY9&lt;&gt;"."),d_dir!BB9/((1/1000)*(d_Irr!AA9+d_Irr!AZ9+d_Irr!BY9)),IF(AND(d_Irr!AA9&lt;&gt;".",d_Irr!AZ9&lt;&gt;".",d_Irr!BY9="."),d_dir!BB9/((1/1000)*(d_Irr!AA9+d_Irr!AZ9)),IF(AND(d_Irr!AA9&lt;&gt;".",d_Irr!AZ9=".",d_Irr!BY9&lt;&gt;"."),d_dir!BB9/((1/1000)*(d_Irr!AA9+d_Irr!BY9)),IF(AND(d_Irr!AA9=".",d_Irr!AZ9&lt;&gt;".",d_Irr!BY9&lt;&gt;"."),d_dir!BB9/((1/1000)*(d_Irr!AZ9+d_Irr!BY9)),IF(AND(d_Irr!AA9=".",d_Irr!AZ9=".",d_Irr!BY9&lt;&gt;"."),d_dir!BB9/((1/1000)*(d_Irr!BY9)),IF(AND(d_Irr!AA9=".",d_Irr!AZ9&lt;&gt;".",d_Irr!BY9="."),d_dir!BB9/((1/1000)*(d_Irr!AZ9)),IF(AND(d_Irr!AA9&lt;&gt;".",d_Irr!AZ9=".",d_Irr!BY9="."),d_dir!BB9/((1/1000)*(d_Irr!AA9)),IF(AND(d_Irr!AA9=".",d_Irr!AZ9=".",d_Irr!BY9="."),d_dir!BB9*1000)))))))),".")</f>
        <v>4046.0114937119256</v>
      </c>
    </row>
    <row r="10" spans="1:54" x14ac:dyDescent="0.25">
      <c r="A10" s="88" t="s">
        <v>8</v>
      </c>
      <c r="B10" s="84" t="s">
        <v>335</v>
      </c>
      <c r="C10" s="2">
        <f>IFERROR(1/SUM(1/D10,1/E10,1/F10,1/G10,1/H10,1/I10,1/J10,1/K10,1/L10,1/M10,1/N10,1/O10,1/P10,1/Q10,1/R10,1/S10,1/T10,1/U10,1/V10,1/W10,1/X10,1/Y10,1/Z10),".")</f>
        <v>9.6359344733496712</v>
      </c>
      <c r="D10" s="70">
        <f>IFERROR(IF(AND(d_Irr!C10&lt;&gt;".",d_Irr!AB10&lt;&gt;".",d_Irr!BA10&lt;&gt;"."),d_dir!D10/((1/1000)*(d_Irr!C10+d_Irr!AB10+d_Irr!BA10)),IF(AND(d_Irr!C10&lt;&gt;".",d_Irr!AB10&lt;&gt;".",d_Irr!BA10="."),d_dir!D10/((1/1000)*(d_Irr!C10+d_Irr!AB10)),IF(AND(d_Irr!C10&lt;&gt;".",d_Irr!AB10=".",d_Irr!BA10&lt;&gt;"."),d_dir!D10/((1/1000)*(d_Irr!C10+d_Irr!BA10)),IF(AND(d_Irr!C10=".",d_Irr!AB10&lt;&gt;".",d_Irr!BA10&lt;&gt;"."),d_dir!D10/((1/1000)*(d_Irr!AB10+d_Irr!BA10)),IF(AND(d_Irr!C10=".",d_Irr!AB10=".",d_Irr!BA10&lt;&gt;"."),d_dir!D10/((1/1000)*(d_Irr!BA10)),IF(AND(d_Irr!C10=".",d_Irr!AB10&lt;&gt;".",d_Irr!BA10="."),d_dir!D10/((1/1000)*(d_Irr!AB10)),IF(AND(d_Irr!C10&lt;&gt;".",d_Irr!AB10=".",d_Irr!BA10="."),d_dir!D10/((1/1000)*(d_Irr!C10)),IF(AND(d_Irr!C10=".",d_Irr!AB10=".",d_Irr!BA10="."),d_dir!D10*1000)))))))),".")</f>
        <v>204.99002269055808</v>
      </c>
      <c r="E10" s="70">
        <f>IFERROR(IF(AND(d_Irr!D10&lt;&gt;".",d_Irr!AC10&lt;&gt;".",d_Irr!BB10&lt;&gt;"."),d_dir!E10/((1/1000)*(d_Irr!D10+d_Irr!AC10+d_Irr!BB10)),IF(AND(d_Irr!D10&lt;&gt;".",d_Irr!AC10&lt;&gt;".",d_Irr!BB10="."),d_dir!E10/((1/1000)*(d_Irr!D10+d_Irr!AC10)),IF(AND(d_Irr!D10&lt;&gt;".",d_Irr!AC10=".",d_Irr!BB10&lt;&gt;"."),d_dir!E10/((1/1000)*(d_Irr!D10+d_Irr!BB10)),IF(AND(d_Irr!D10=".",d_Irr!AC10&lt;&gt;".",d_Irr!BB10&lt;&gt;"."),d_dir!E10/((1/1000)*(d_Irr!AC10+d_Irr!BB10)),IF(AND(d_Irr!D10=".",d_Irr!AC10=".",d_Irr!BB10&lt;&gt;"."),d_dir!E10/((1/1000)*(d_Irr!BB10)),IF(AND(d_Irr!D10=".",d_Irr!AC10&lt;&gt;".",d_Irr!BB10="."),d_dir!E10/((1/1000)*(d_Irr!AC10)),IF(AND(d_Irr!D10&lt;&gt;".",d_Irr!AC10=".",d_Irr!BB10="."),d_dir!E10/((1/1000)*(d_Irr!D10)),IF(AND(d_Irr!D10=".",d_Irr!AC10=".",d_Irr!BB10="."),d_dir!E10*1000)))))))),".")</f>
        <v>298.31676511118854</v>
      </c>
      <c r="F10" s="70">
        <f>IFERROR(IF(AND(d_Irr!E10&lt;&gt;".",d_Irr!AD10&lt;&gt;".",d_Irr!BC10&lt;&gt;"."),d_dir!F10/((1/1000)*(d_Irr!E10+d_Irr!AD10+d_Irr!BC10)),IF(AND(d_Irr!E10&lt;&gt;".",d_Irr!AD10&lt;&gt;".",d_Irr!BC10="."),d_dir!F10/((1/1000)*(d_Irr!E10+d_Irr!AD10)),IF(AND(d_Irr!E10&lt;&gt;".",d_Irr!AD10=".",d_Irr!BC10&lt;&gt;"."),d_dir!F10/((1/1000)*(d_Irr!E10+d_Irr!BC10)),IF(AND(d_Irr!E10=".",d_Irr!AD10&lt;&gt;".",d_Irr!BC10&lt;&gt;"."),d_dir!F10/((1/1000)*(d_Irr!AD10+d_Irr!BC10)),IF(AND(d_Irr!E10=".",d_Irr!AD10=".",d_Irr!BC10&lt;&gt;"."),d_dir!F10/((1/1000)*(d_Irr!BC10)),IF(AND(d_Irr!E10=".",d_Irr!AD10&lt;&gt;".",d_Irr!BC10="."),d_dir!F10/((1/1000)*(d_Irr!AD10)),IF(AND(d_Irr!E10&lt;&gt;".",d_Irr!AD10=".",d_Irr!BC10="."),d_dir!F10/((1/1000)*(d_Irr!E10)),IF(AND(d_Irr!E10=".",d_Irr!AD10=".",d_Irr!BC10="."),d_dir!F10*1000)))))))),".")</f>
        <v>404.64575049688932</v>
      </c>
      <c r="G10" s="70">
        <f>IFERROR(IF(AND(d_Irr!F10&lt;&gt;".",d_Irr!AE10&lt;&gt;".",d_Irr!BD10&lt;&gt;"."),d_dir!G10/((1/1000)*(d_Irr!F10+d_Irr!AE10+d_Irr!BD10)),IF(AND(d_Irr!F10&lt;&gt;".",d_Irr!AE10&lt;&gt;".",d_Irr!BD10="."),d_dir!G10/((1/1000)*(d_Irr!F10+d_Irr!AE10)),IF(AND(d_Irr!F10&lt;&gt;".",d_Irr!AE10=".",d_Irr!BD10&lt;&gt;"."),d_dir!G10/((1/1000)*(d_Irr!F10+d_Irr!BD10)),IF(AND(d_Irr!F10=".",d_Irr!AE10&lt;&gt;".",d_Irr!BD10&lt;&gt;"."),d_dir!G10/((1/1000)*(d_Irr!AE10+d_Irr!BD10)),IF(AND(d_Irr!F10=".",d_Irr!AE10=".",d_Irr!BD10&lt;&gt;"."),d_dir!G10/((1/1000)*(d_Irr!BD10)),IF(AND(d_Irr!F10=".",d_Irr!AE10&lt;&gt;".",d_Irr!BD10="."),d_dir!G10/((1/1000)*(d_Irr!AE10)),IF(AND(d_Irr!F10&lt;&gt;".",d_Irr!AE10=".",d_Irr!BD10="."),d_dir!G10/((1/1000)*(d_Irr!F10)),IF(AND(d_Irr!F10=".",d_Irr!AE10=".",d_Irr!BD10="."),d_dir!G10*1000)))))))),".")</f>
        <v>477.29538166416279</v>
      </c>
      <c r="H10" s="70">
        <f>IFERROR(IF(AND(d_Irr!G10&lt;&gt;".",d_Irr!AF10&lt;&gt;".",d_Irr!BE10&lt;&gt;"."),d_dir!H10/((1/1000)*(d_Irr!G10+d_Irr!AF10+d_Irr!BE10)),IF(AND(d_Irr!G10&lt;&gt;".",d_Irr!AF10&lt;&gt;".",d_Irr!BE10="."),d_dir!H10/((1/1000)*(d_Irr!G10+d_Irr!AF10)),IF(AND(d_Irr!G10&lt;&gt;".",d_Irr!AF10=".",d_Irr!BE10&lt;&gt;"."),d_dir!H10/((1/1000)*(d_Irr!G10+d_Irr!BE10)),IF(AND(d_Irr!G10=".",d_Irr!AF10&lt;&gt;".",d_Irr!BE10&lt;&gt;"."),d_dir!H10/((1/1000)*(d_Irr!AF10+d_Irr!BE10)),IF(AND(d_Irr!G10=".",d_Irr!AF10=".",d_Irr!BE10&lt;&gt;"."),d_dir!H10/((1/1000)*(d_Irr!BE10)),IF(AND(d_Irr!G10=".",d_Irr!AF10&lt;&gt;".",d_Irr!BE10="."),d_dir!H10/((1/1000)*(d_Irr!AF10)),IF(AND(d_Irr!G10&lt;&gt;".",d_Irr!AF10=".",d_Irr!BE10="."),d_dir!H10/((1/1000)*(d_Irr!G10)),IF(AND(d_Irr!G10=".",d_Irr!AF10=".",d_Irr!BE10="."),d_dir!H10*1000)))))))),".")</f>
        <v>494.26916677727604</v>
      </c>
      <c r="I10" s="70">
        <f>IFERROR(IF(AND(d_Irr!H10&lt;&gt;".",d_Irr!AG10&lt;&gt;".",d_Irr!BF10&lt;&gt;"."),d_dir!I10/((1/1000)*(d_Irr!H10+d_Irr!AG10+d_Irr!BF10)),IF(AND(d_Irr!H10&lt;&gt;".",d_Irr!AG10&lt;&gt;".",d_Irr!BF10="."),d_dir!I10/((1/1000)*(d_Irr!H10+d_Irr!AG10)),IF(AND(d_Irr!H10&lt;&gt;".",d_Irr!AG10=".",d_Irr!BF10&lt;&gt;"."),d_dir!I10/((1/1000)*(d_Irr!H10+d_Irr!BF10)),IF(AND(d_Irr!H10=".",d_Irr!AG10&lt;&gt;".",d_Irr!BF10&lt;&gt;"."),d_dir!I10/((1/1000)*(d_Irr!AG10+d_Irr!BF10)),IF(AND(d_Irr!H10=".",d_Irr!AG10=".",d_Irr!BF10&lt;&gt;"."),d_dir!I10/((1/1000)*(d_Irr!BF10)),IF(AND(d_Irr!H10=".",d_Irr!AG10&lt;&gt;".",d_Irr!BF10="."),d_dir!I10/((1/1000)*(d_Irr!AG10)),IF(AND(d_Irr!H10&lt;&gt;".",d_Irr!AG10=".",d_Irr!BF10="."),d_dir!I10/((1/1000)*(d_Irr!H10)),IF(AND(d_Irr!H10=".",d_Irr!AG10=".",d_Irr!BF10="."),d_dir!I10*1000)))))))),".")</f>
        <v>146.92062517309927</v>
      </c>
      <c r="J10" s="70">
        <f>IFERROR(IF(AND(d_Irr!I10&lt;&gt;".",d_Irr!AH10&lt;&gt;".",d_Irr!BG10&lt;&gt;"."),d_dir!J10/((1/1000)*(d_Irr!I10+d_Irr!AH10+d_Irr!BG10)),IF(AND(d_Irr!I10&lt;&gt;".",d_Irr!AH10&lt;&gt;".",d_Irr!BG10="."),d_dir!J10/((1/1000)*(d_Irr!I10+d_Irr!AH10)),IF(AND(d_Irr!I10&lt;&gt;".",d_Irr!AH10=".",d_Irr!BG10&lt;&gt;"."),d_dir!J10/((1/1000)*(d_Irr!I10+d_Irr!BG10)),IF(AND(d_Irr!I10=".",d_Irr!AH10&lt;&gt;".",d_Irr!BG10&lt;&gt;"."),d_dir!J10/((1/1000)*(d_Irr!AH10+d_Irr!BG10)),IF(AND(d_Irr!I10=".",d_Irr!AH10=".",d_Irr!BG10&lt;&gt;"."),d_dir!J10/((1/1000)*(d_Irr!BG10)),IF(AND(d_Irr!I10=".",d_Irr!AH10&lt;&gt;".",d_Irr!BG10="."),d_dir!J10/((1/1000)*(d_Irr!AH10)),IF(AND(d_Irr!I10&lt;&gt;".",d_Irr!AH10=".",d_Irr!BG10="."),d_dir!J10/((1/1000)*(d_Irr!I10)),IF(AND(d_Irr!I10=".",d_Irr!AH10=".",d_Irr!BG10="."),d_dir!J10*1000)))))))),".")</f>
        <v>466.07216950307509</v>
      </c>
      <c r="K10" s="70">
        <f>IFERROR(IF(AND(d_Irr!J10&lt;&gt;".",d_Irr!AI10&lt;&gt;".",d_Irr!BH10&lt;&gt;"."),d_dir!K10/((1/1000)*(d_Irr!J10+d_Irr!AI10+d_Irr!BH10)),IF(AND(d_Irr!J10&lt;&gt;".",d_Irr!AI10&lt;&gt;".",d_Irr!BH10="."),d_dir!K10/((1/1000)*(d_Irr!J10+d_Irr!AI10)),IF(AND(d_Irr!J10&lt;&gt;".",d_Irr!AI10=".",d_Irr!BH10&lt;&gt;"."),d_dir!K10/((1/1000)*(d_Irr!J10+d_Irr!BH10)),IF(AND(d_Irr!J10=".",d_Irr!AI10&lt;&gt;".",d_Irr!BH10&lt;&gt;"."),d_dir!K10/((1/1000)*(d_Irr!AI10+d_Irr!BH10)),IF(AND(d_Irr!J10=".",d_Irr!AI10=".",d_Irr!BH10&lt;&gt;"."),d_dir!K10/((1/1000)*(d_Irr!BH10)),IF(AND(d_Irr!J10=".",d_Irr!AI10&lt;&gt;".",d_Irr!BH10="."),d_dir!K10/((1/1000)*(d_Irr!AI10)),IF(AND(d_Irr!J10&lt;&gt;".",d_Irr!AI10=".",d_Irr!BH10="."),d_dir!K10/((1/1000)*(d_Irr!J10)),IF(AND(d_Irr!J10=".",d_Irr!AI10=".",d_Irr!BH10="."),d_dir!K10*1000)))))))),".")</f>
        <v>53.141842077851244</v>
      </c>
      <c r="L10" s="70">
        <f>IFERROR(IF(AND(d_Irr!K10&lt;&gt;".",d_Irr!AJ10&lt;&gt;".",d_Irr!BI10&lt;&gt;"."),d_dir!L10/((1/1000)*(d_Irr!K10+d_Irr!AJ10+d_Irr!BI10)),IF(AND(d_Irr!K10&lt;&gt;".",d_Irr!AJ10&lt;&gt;".",d_Irr!BI10="."),d_dir!L10/((1/1000)*(d_Irr!K10+d_Irr!AJ10)),IF(AND(d_Irr!K10&lt;&gt;".",d_Irr!AJ10=".",d_Irr!BI10&lt;&gt;"."),d_dir!L10/((1/1000)*(d_Irr!K10+d_Irr!BI10)),IF(AND(d_Irr!K10=".",d_Irr!AJ10&lt;&gt;".",d_Irr!BI10&lt;&gt;"."),d_dir!L10/((1/1000)*(d_Irr!AJ10+d_Irr!BI10)),IF(AND(d_Irr!K10=".",d_Irr!AJ10=".",d_Irr!BI10&lt;&gt;"."),d_dir!L10/((1/1000)*(d_Irr!BI10)),IF(AND(d_Irr!K10=".",d_Irr!AJ10&lt;&gt;".",d_Irr!BI10="."),d_dir!L10/((1/1000)*(d_Irr!AJ10)),IF(AND(d_Irr!K10&lt;&gt;".",d_Irr!AJ10=".",d_Irr!BI10="."),d_dir!L10/((1/1000)*(d_Irr!K10)),IF(AND(d_Irr!K10=".",d_Irr!AJ10=".",d_Irr!BI10="."),d_dir!L10*1000)))))))),".")</f>
        <v>232.68779666350778</v>
      </c>
      <c r="M10" s="70">
        <f>IFERROR(IF(AND(d_Irr!L10&lt;&gt;".",d_Irr!AK10&lt;&gt;".",d_Irr!BJ10&lt;&gt;"."),d_dir!M10/((1/1000)*(d_Irr!L10+d_Irr!AK10+d_Irr!BJ10)),IF(AND(d_Irr!L10&lt;&gt;".",d_Irr!AK10&lt;&gt;".",d_Irr!BJ10="."),d_dir!M10/((1/1000)*(d_Irr!L10+d_Irr!AK10)),IF(AND(d_Irr!L10&lt;&gt;".",d_Irr!AK10=".",d_Irr!BJ10&lt;&gt;"."),d_dir!M10/((1/1000)*(d_Irr!L10+d_Irr!BJ10)),IF(AND(d_Irr!L10=".",d_Irr!AK10&lt;&gt;".",d_Irr!BJ10&lt;&gt;"."),d_dir!M10/((1/1000)*(d_Irr!AK10+d_Irr!BJ10)),IF(AND(d_Irr!L10=".",d_Irr!AK10=".",d_Irr!BJ10&lt;&gt;"."),d_dir!M10/((1/1000)*(d_Irr!BJ10)),IF(AND(d_Irr!L10=".",d_Irr!AK10&lt;&gt;".",d_Irr!BJ10="."),d_dir!M10/((1/1000)*(d_Irr!AK10)),IF(AND(d_Irr!L10&lt;&gt;".",d_Irr!AK10=".",d_Irr!BJ10="."),d_dir!M10/((1/1000)*(d_Irr!L10)),IF(AND(d_Irr!L10=".",d_Irr!AK10=".",d_Irr!BJ10="."),d_dir!M10*1000)))))))),".")</f>
        <v>191.46077687047054</v>
      </c>
      <c r="N10" s="70">
        <f>IFERROR(IF(AND(d_Irr!M10&lt;&gt;".",d_Irr!AL10&lt;&gt;".",d_Irr!BK10&lt;&gt;"."),d_dir!N10/((1/1000)*(d_Irr!M10+d_Irr!AL10+d_Irr!BK10)),IF(AND(d_Irr!M10&lt;&gt;".",d_Irr!AL10&lt;&gt;".",d_Irr!BK10="."),d_dir!N10/((1/1000)*(d_Irr!M10+d_Irr!AL10)),IF(AND(d_Irr!M10&lt;&gt;".",d_Irr!AL10=".",d_Irr!BK10&lt;&gt;"."),d_dir!N10/((1/1000)*(d_Irr!M10+d_Irr!BK10)),IF(AND(d_Irr!M10=".",d_Irr!AL10&lt;&gt;".",d_Irr!BK10&lt;&gt;"."),d_dir!N10/((1/1000)*(d_Irr!AL10+d_Irr!BK10)),IF(AND(d_Irr!M10=".",d_Irr!AL10=".",d_Irr!BK10&lt;&gt;"."),d_dir!N10/((1/1000)*(d_Irr!BK10)),IF(AND(d_Irr!M10=".",d_Irr!AL10&lt;&gt;".",d_Irr!BK10="."),d_dir!N10/((1/1000)*(d_Irr!AL10)),IF(AND(d_Irr!M10&lt;&gt;".",d_Irr!AL10=".",d_Irr!BK10="."),d_dir!N10/((1/1000)*(d_Irr!M10)),IF(AND(d_Irr!M10=".",d_Irr!AL10=".",d_Irr!BK10="."),d_dir!N10*1000)))))))),".")</f>
        <v>318.87070130188374</v>
      </c>
      <c r="O10" s="70">
        <f>IFERROR(IF(AND(d_Irr!N10&lt;&gt;".",d_Irr!AM10&lt;&gt;".",d_Irr!BL10&lt;&gt;"."),d_dir!O10/((1/1000)*(d_Irr!N10+d_Irr!AM10+d_Irr!BL10)),IF(AND(d_Irr!N10&lt;&gt;".",d_Irr!AM10&lt;&gt;".",d_Irr!BL10="."),d_dir!O10/((1/1000)*(d_Irr!N10+d_Irr!AM10)),IF(AND(d_Irr!N10&lt;&gt;".",d_Irr!AM10=".",d_Irr!BL10&lt;&gt;"."),d_dir!O10/((1/1000)*(d_Irr!N10+d_Irr!BL10)),IF(AND(d_Irr!N10=".",d_Irr!AM10&lt;&gt;".",d_Irr!BL10&lt;&gt;"."),d_dir!O10/((1/1000)*(d_Irr!AM10+d_Irr!BL10)),IF(AND(d_Irr!N10=".",d_Irr!AM10=".",d_Irr!BL10&lt;&gt;"."),d_dir!O10/((1/1000)*(d_Irr!BL10)),IF(AND(d_Irr!N10=".",d_Irr!AM10&lt;&gt;".",d_Irr!BL10="."),d_dir!O10/((1/1000)*(d_Irr!AM10)),IF(AND(d_Irr!N10&lt;&gt;".",d_Irr!AM10=".",d_Irr!BL10="."),d_dir!O10/((1/1000)*(d_Irr!N10)),IF(AND(d_Irr!N10=".",d_Irr!AM10=".",d_Irr!BL10="."),d_dir!O10*1000)))))))),".")</f>
        <v>357.65928792572896</v>
      </c>
      <c r="P10" s="70">
        <f>IFERROR(IF(AND(d_Irr!O10&lt;&gt;".",d_Irr!AN10&lt;&gt;".",d_Irr!BM10&lt;&gt;"."),d_dir!P10/((1/1000)*(d_Irr!O10+d_Irr!AN10+d_Irr!BM10)),IF(AND(d_Irr!O10&lt;&gt;".",d_Irr!AN10&lt;&gt;".",d_Irr!BM10="."),d_dir!P10/((1/1000)*(d_Irr!O10+d_Irr!AN10)),IF(AND(d_Irr!O10&lt;&gt;".",d_Irr!AN10=".",d_Irr!BM10&lt;&gt;"."),d_dir!P10/((1/1000)*(d_Irr!O10+d_Irr!BM10)),IF(AND(d_Irr!O10=".",d_Irr!AN10&lt;&gt;".",d_Irr!BM10&lt;&gt;"."),d_dir!P10/((1/1000)*(d_Irr!AN10+d_Irr!BM10)),IF(AND(d_Irr!O10=".",d_Irr!AN10=".",d_Irr!BM10&lt;&gt;"."),d_dir!P10/((1/1000)*(d_Irr!BM10)),IF(AND(d_Irr!O10=".",d_Irr!AN10&lt;&gt;".",d_Irr!BM10="."),d_dir!P10/((1/1000)*(d_Irr!AN10)),IF(AND(d_Irr!O10&lt;&gt;".",d_Irr!AN10=".",d_Irr!BM10="."),d_dir!P10/((1/1000)*(d_Irr!O10)),IF(AND(d_Irr!O10=".",d_Irr!AN10=".",d_Irr!BM10="."),d_dir!P10*1000)))))))),".")</f>
        <v>516.52893889481618</v>
      </c>
      <c r="Q10" s="70">
        <f>IFERROR(IF(AND(d_Irr!P10&lt;&gt;".",d_Irr!AO10&lt;&gt;".",d_Irr!BN10&lt;&gt;"."),d_dir!Q10/((1/1000)*(d_Irr!P10+d_Irr!AO10+d_Irr!BN10)),IF(AND(d_Irr!P10&lt;&gt;".",d_Irr!AO10&lt;&gt;".",d_Irr!BN10="."),d_dir!Q10/((1/1000)*(d_Irr!P10+d_Irr!AO10)),IF(AND(d_Irr!P10&lt;&gt;".",d_Irr!AO10=".",d_Irr!BN10&lt;&gt;"."),d_dir!Q10/((1/1000)*(d_Irr!P10+d_Irr!BN10)),IF(AND(d_Irr!P10=".",d_Irr!AO10&lt;&gt;".",d_Irr!BN10&lt;&gt;"."),d_dir!Q10/((1/1000)*(d_Irr!AO10+d_Irr!BN10)),IF(AND(d_Irr!P10=".",d_Irr!AO10=".",d_Irr!BN10&lt;&gt;"."),d_dir!Q10/((1/1000)*(d_Irr!BN10)),IF(AND(d_Irr!P10=".",d_Irr!AO10&lt;&gt;".",d_Irr!BN10="."),d_dir!Q10/((1/1000)*(d_Irr!AO10)),IF(AND(d_Irr!P10&lt;&gt;".",d_Irr!AO10=".",d_Irr!BN10="."),d_dir!Q10/((1/1000)*(d_Irr!P10)),IF(AND(d_Irr!P10=".",d_Irr!AO10=".",d_Irr!BN10="."),d_dir!Q10*1000)))))))),".")</f>
        <v>629.73864706975348</v>
      </c>
      <c r="R10" s="70">
        <f>IFERROR(IF(AND(d_Irr!Q10&lt;&gt;".",d_Irr!AP10&lt;&gt;".",d_Irr!BO10&lt;&gt;"."),d_dir!R10/((1/1000)*(d_Irr!Q10+d_Irr!AP10+d_Irr!BO10)),IF(AND(d_Irr!Q10&lt;&gt;".",d_Irr!AP10&lt;&gt;".",d_Irr!BO10="."),d_dir!R10/((1/1000)*(d_Irr!Q10+d_Irr!AP10)),IF(AND(d_Irr!Q10&lt;&gt;".",d_Irr!AP10=".",d_Irr!BO10&lt;&gt;"."),d_dir!R10/((1/1000)*(d_Irr!Q10+d_Irr!BO10)),IF(AND(d_Irr!Q10=".",d_Irr!AP10&lt;&gt;".",d_Irr!BO10&lt;&gt;"."),d_dir!R10/((1/1000)*(d_Irr!AP10+d_Irr!BO10)),IF(AND(d_Irr!Q10=".",d_Irr!AP10=".",d_Irr!BO10&lt;&gt;"."),d_dir!R10/((1/1000)*(d_Irr!BO10)),IF(AND(d_Irr!Q10=".",d_Irr!AP10&lt;&gt;".",d_Irr!BO10="."),d_dir!R10/((1/1000)*(d_Irr!AP10)),IF(AND(d_Irr!Q10&lt;&gt;".",d_Irr!AP10=".",d_Irr!BO10="."),d_dir!R10/((1/1000)*(d_Irr!Q10)),IF(AND(d_Irr!Q10=".",d_Irr!AP10=".",d_Irr!BO10="."),d_dir!R10*1000)))))))),".")</f>
        <v>131.60814781546247</v>
      </c>
      <c r="S10" s="70">
        <f>IFERROR(IF(AND(d_Irr!R10&lt;&gt;".",d_Irr!AQ10&lt;&gt;".",d_Irr!BP10&lt;&gt;"."),d_dir!S10/((1/1000)*(d_Irr!R10+d_Irr!AQ10+d_Irr!BP10)),IF(AND(d_Irr!R10&lt;&gt;".",d_Irr!AQ10&lt;&gt;".",d_Irr!BP10="."),d_dir!S10/((1/1000)*(d_Irr!R10+d_Irr!AQ10)),IF(AND(d_Irr!R10&lt;&gt;".",d_Irr!AQ10=".",d_Irr!BP10&lt;&gt;"."),d_dir!S10/((1/1000)*(d_Irr!R10+d_Irr!BP10)),IF(AND(d_Irr!R10=".",d_Irr!AQ10&lt;&gt;".",d_Irr!BP10&lt;&gt;"."),d_dir!S10/((1/1000)*(d_Irr!AQ10+d_Irr!BP10)),IF(AND(d_Irr!R10=".",d_Irr!AQ10=".",d_Irr!BP10&lt;&gt;"."),d_dir!S10/((1/1000)*(d_Irr!BP10)),IF(AND(d_Irr!R10=".",d_Irr!AQ10&lt;&gt;".",d_Irr!BP10="."),d_dir!S10/((1/1000)*(d_Irr!AQ10)),IF(AND(d_Irr!R10&lt;&gt;".",d_Irr!AQ10=".",d_Irr!BP10="."),d_dir!S10/((1/1000)*(d_Irr!R10)),IF(AND(d_Irr!R10=".",d_Irr!AQ10=".",d_Irr!BP10="."),d_dir!S10*1000)))))))),".")</f>
        <v>268.53513858871361</v>
      </c>
      <c r="T10" s="70">
        <f>IFERROR(IF(AND(d_Irr!S10&lt;&gt;".",d_Irr!AR10&lt;&gt;".",d_Irr!BQ10&lt;&gt;"."),d_dir!T10/((1/1000)*(d_Irr!S10+d_Irr!AR10+d_Irr!BQ10)),IF(AND(d_Irr!S10&lt;&gt;".",d_Irr!AR10&lt;&gt;".",d_Irr!BQ10="."),d_dir!T10/((1/1000)*(d_Irr!S10+d_Irr!AR10)),IF(AND(d_Irr!S10&lt;&gt;".",d_Irr!AR10=".",d_Irr!BQ10&lt;&gt;"."),d_dir!T10/((1/1000)*(d_Irr!S10+d_Irr!BQ10)),IF(AND(d_Irr!S10=".",d_Irr!AR10&lt;&gt;".",d_Irr!BQ10&lt;&gt;"."),d_dir!T10/((1/1000)*(d_Irr!AR10+d_Irr!BQ10)),IF(AND(d_Irr!S10=".",d_Irr!AR10=".",d_Irr!BQ10&lt;&gt;"."),d_dir!T10/((1/1000)*(d_Irr!BQ10)),IF(AND(d_Irr!S10=".",d_Irr!AR10&lt;&gt;".",d_Irr!BQ10="."),d_dir!T10/((1/1000)*(d_Irr!AR10)),IF(AND(d_Irr!S10&lt;&gt;".",d_Irr!AR10=".",d_Irr!BQ10="."),d_dir!T10/((1/1000)*(d_Irr!S10)),IF(AND(d_Irr!S10=".",d_Irr!AR10=".",d_Irr!BQ10="."),d_dir!T10*1000)))))))),".")</f>
        <v>355.61267762650471</v>
      </c>
      <c r="U10" s="70">
        <f>IFERROR(IF(AND(d_Irr!T10&lt;&gt;".",d_Irr!AS10&lt;&gt;".",d_Irr!BR10&lt;&gt;"."),d_dir!U10/((1/1000)*(d_Irr!T10+d_Irr!AS10+d_Irr!BR10)),IF(AND(d_Irr!T10&lt;&gt;".",d_Irr!AS10&lt;&gt;".",d_Irr!BR10="."),d_dir!U10/((1/1000)*(d_Irr!T10+d_Irr!AS10)),IF(AND(d_Irr!T10&lt;&gt;".",d_Irr!AS10=".",d_Irr!BR10&lt;&gt;"."),d_dir!U10/((1/1000)*(d_Irr!T10+d_Irr!BR10)),IF(AND(d_Irr!T10=".",d_Irr!AS10&lt;&gt;".",d_Irr!BR10&lt;&gt;"."),d_dir!U10/((1/1000)*(d_Irr!AS10+d_Irr!BR10)),IF(AND(d_Irr!T10=".",d_Irr!AS10=".",d_Irr!BR10&lt;&gt;"."),d_dir!U10/((1/1000)*(d_Irr!BR10)),IF(AND(d_Irr!T10=".",d_Irr!AS10&lt;&gt;".",d_Irr!BR10="."),d_dir!U10/((1/1000)*(d_Irr!AS10)),IF(AND(d_Irr!T10&lt;&gt;".",d_Irr!AS10=".",d_Irr!BR10="."),d_dir!U10/((1/1000)*(d_Irr!T10)),IF(AND(d_Irr!T10=".",d_Irr!AS10=".",d_Irr!BR10="."),d_dir!U10*1000)))))))),".")</f>
        <v>808.12624068146545</v>
      </c>
      <c r="V10" s="70">
        <f>IFERROR(IF(AND(d_Irr!U10&lt;&gt;".",d_Irr!AT10&lt;&gt;".",d_Irr!BS10&lt;&gt;"."),d_dir!V10/((1/1000)*(d_Irr!U10+d_Irr!AT10+d_Irr!BS10)),IF(AND(d_Irr!U10&lt;&gt;".",d_Irr!AT10&lt;&gt;".",d_Irr!BS10="."),d_dir!V10/((1/1000)*(d_Irr!U10+d_Irr!AT10)),IF(AND(d_Irr!U10&lt;&gt;".",d_Irr!AT10=".",d_Irr!BS10&lt;&gt;"."),d_dir!V10/((1/1000)*(d_Irr!U10+d_Irr!BS10)),IF(AND(d_Irr!U10=".",d_Irr!AT10&lt;&gt;".",d_Irr!BS10&lt;&gt;"."),d_dir!V10/((1/1000)*(d_Irr!AT10+d_Irr!BS10)),IF(AND(d_Irr!U10=".",d_Irr!AT10=".",d_Irr!BS10&lt;&gt;"."),d_dir!V10/((1/1000)*(d_Irr!BS10)),IF(AND(d_Irr!U10=".",d_Irr!AT10&lt;&gt;".",d_Irr!BS10="."),d_dir!V10/((1/1000)*(d_Irr!AT10)),IF(AND(d_Irr!U10&lt;&gt;".",d_Irr!AT10=".",d_Irr!BS10="."),d_dir!V10/((1/1000)*(d_Irr!U10)),IF(AND(d_Irr!U10=".",d_Irr!AT10=".",d_Irr!BS10="."),d_dir!V10*1000)))))))),".")</f>
        <v>94.001964523523696</v>
      </c>
      <c r="W10" s="70">
        <f>IFERROR(IF(AND(d_Irr!V10&lt;&gt;".",d_Irr!AU10&lt;&gt;".",d_Irr!BT10&lt;&gt;"."),d_dir!W10/((1/1000)*(d_Irr!V10+d_Irr!AU10+d_Irr!BT10)),IF(AND(d_Irr!V10&lt;&gt;".",d_Irr!AU10&lt;&gt;".",d_Irr!BT10="."),d_dir!W10/((1/1000)*(d_Irr!V10+d_Irr!AU10)),IF(AND(d_Irr!V10&lt;&gt;".",d_Irr!AU10=".",d_Irr!BT10&lt;&gt;"."),d_dir!W10/((1/1000)*(d_Irr!V10+d_Irr!BT10)),IF(AND(d_Irr!V10=".",d_Irr!AU10&lt;&gt;".",d_Irr!BT10&lt;&gt;"."),d_dir!W10/((1/1000)*(d_Irr!AU10+d_Irr!BT10)),IF(AND(d_Irr!V10=".",d_Irr!AU10=".",d_Irr!BT10&lt;&gt;"."),d_dir!W10/((1/1000)*(d_Irr!BT10)),IF(AND(d_Irr!V10=".",d_Irr!AU10&lt;&gt;".",d_Irr!BT10="."),d_dir!W10/((1/1000)*(d_Irr!AU10)),IF(AND(d_Irr!V10&lt;&gt;".",d_Irr!AU10=".",d_Irr!BT10="."),d_dir!W10/((1/1000)*(d_Irr!V10)),IF(AND(d_Irr!V10=".",d_Irr!AU10=".",d_Irr!BT10="."),d_dir!W10*1000)))))))),".")</f>
        <v>245.67161094593291</v>
      </c>
      <c r="X10" s="70">
        <f>IFERROR(IF(AND(d_Irr!W10&lt;&gt;".",d_Irr!AV10&lt;&gt;".",d_Irr!BU10&lt;&gt;"."),d_dir!X10/((1/1000)*(d_Irr!W10+d_Irr!AV10+d_Irr!BU10)),IF(AND(d_Irr!W10&lt;&gt;".",d_Irr!AV10&lt;&gt;".",d_Irr!BU10="."),d_dir!X10/((1/1000)*(d_Irr!W10+d_Irr!AV10)),IF(AND(d_Irr!W10&lt;&gt;".",d_Irr!AV10=".",d_Irr!BU10&lt;&gt;"."),d_dir!X10/((1/1000)*(d_Irr!W10+d_Irr!BU10)),IF(AND(d_Irr!W10=".",d_Irr!AV10&lt;&gt;".",d_Irr!BU10&lt;&gt;"."),d_dir!X10/((1/1000)*(d_Irr!AV10+d_Irr!BU10)),IF(AND(d_Irr!W10=".",d_Irr!AV10=".",d_Irr!BU10&lt;&gt;"."),d_dir!X10/((1/1000)*(d_Irr!BU10)),IF(AND(d_Irr!W10=".",d_Irr!AV10&lt;&gt;".",d_Irr!BU10="."),d_dir!X10/((1/1000)*(d_Irr!AV10)),IF(AND(d_Irr!W10&lt;&gt;".",d_Irr!AV10=".",d_Irr!BU10="."),d_dir!X10/((1/1000)*(d_Irr!W10)),IF(AND(d_Irr!W10=".",d_Irr!AV10=".",d_Irr!BU10="."),d_dir!X10*1000)))))))),".")</f>
        <v>230.66574922413955</v>
      </c>
      <c r="Y10" s="70">
        <f>IFERROR(IF(AND(d_Irr!X10&lt;&gt;".",d_Irr!AW10&lt;&gt;".",d_Irr!BV10&lt;&gt;"."),d_dir!Y10/((1/1000)*(d_Irr!X10+d_Irr!AW10+d_Irr!BV10)),IF(AND(d_Irr!X10&lt;&gt;".",d_Irr!AW10&lt;&gt;".",d_Irr!BV10="."),d_dir!Y10/((1/1000)*(d_Irr!X10+d_Irr!AW10)),IF(AND(d_Irr!X10&lt;&gt;".",d_Irr!AW10=".",d_Irr!BV10&lt;&gt;"."),d_dir!Y10/((1/1000)*(d_Irr!X10+d_Irr!BV10)),IF(AND(d_Irr!X10=".",d_Irr!AW10&lt;&gt;".",d_Irr!BV10&lt;&gt;"."),d_dir!Y10/((1/1000)*(d_Irr!AW10+d_Irr!BV10)),IF(AND(d_Irr!X10=".",d_Irr!AW10=".",d_Irr!BV10&lt;&gt;"."),d_dir!Y10/((1/1000)*(d_Irr!BV10)),IF(AND(d_Irr!X10=".",d_Irr!AW10&lt;&gt;".",d_Irr!BV10="."),d_dir!Y10/((1/1000)*(d_Irr!AW10)),IF(AND(d_Irr!X10&lt;&gt;".",d_Irr!AW10=".",d_Irr!BV10="."),d_dir!Y10/((1/1000)*(d_Irr!X10)),IF(AND(d_Irr!X10=".",d_Irr!AW10=".",d_Irr!BV10="."),d_dir!Y10*1000)))))))),".")</f>
        <v>412.03290583535784</v>
      </c>
      <c r="Z10" s="70">
        <f>IFERROR(IF(AND(d_Irr!Y10&lt;&gt;".",d_Irr!AX10&lt;&gt;".",d_Irr!BW10&lt;&gt;"."),d_dir!Z10/((1/1000)*(d_Irr!Y10+d_Irr!AX10+d_Irr!BW10)),IF(AND(d_Irr!Y10&lt;&gt;".",d_Irr!AX10&lt;&gt;".",d_Irr!BW10="."),d_dir!Z10/((1/1000)*(d_Irr!Y10+d_Irr!AX10)),IF(AND(d_Irr!Y10&lt;&gt;".",d_Irr!AX10=".",d_Irr!BW10&lt;&gt;"."),d_dir!Z10/((1/1000)*(d_Irr!Y10+d_Irr!BW10)),IF(AND(d_Irr!Y10=".",d_Irr!AX10&lt;&gt;".",d_Irr!BW10&lt;&gt;"."),d_dir!Z10/((1/1000)*(d_Irr!AX10+d_Irr!BW10)),IF(AND(d_Irr!Y10=".",d_Irr!AX10=".",d_Irr!BW10&lt;&gt;"."),d_dir!Z10/((1/1000)*(d_Irr!BW10)),IF(AND(d_Irr!Y10=".",d_Irr!AX10&lt;&gt;".",d_Irr!BW10="."),d_dir!Z10/((1/1000)*(d_Irr!AX10)),IF(AND(d_Irr!Y10&lt;&gt;".",d_Irr!AX10=".",d_Irr!BW10="."),d_dir!Z10/((1/1000)*(d_Irr!Y10)),IF(AND(d_Irr!Y10=".",d_Irr!AX10=".",d_Irr!BW10="."),d_dir!Z10*1000)))))))),".")</f>
        <v>186.23725088245425</v>
      </c>
      <c r="AA10" s="70">
        <f>IFERROR(IF(AND(d_Irr!Z10&lt;&gt;".",d_Irr!AY10&lt;&gt;".",d_Irr!BX10&lt;&gt;"."),d_dir!AA10/((1/1000)*(d_Irr!Z10+d_Irr!AY10+d_Irr!BX10)),IF(AND(d_Irr!Z10&lt;&gt;".",d_Irr!AY10&lt;&gt;".",d_Irr!BX10="."),d_dir!AA10/((1/1000)*(d_Irr!Z10+d_Irr!AY10)),IF(AND(d_Irr!Z10&lt;&gt;".",d_Irr!AY10=".",d_Irr!BX10&lt;&gt;"."),d_dir!AA10/((1/1000)*(d_Irr!Z10+d_Irr!BX10)),IF(AND(d_Irr!Z10=".",d_Irr!AY10&lt;&gt;".",d_Irr!BX10&lt;&gt;"."),d_dir!AA10/((1/1000)*(d_Irr!AY10+d_Irr!BX10)),IF(AND(d_Irr!Z10=".",d_Irr!AY10=".",d_Irr!BX10&lt;&gt;"."),d_dir!AA10/((1/1000)*(d_Irr!BX10)),IF(AND(d_Irr!Z10=".",d_Irr!AY10&lt;&gt;".",d_Irr!BX10="."),d_dir!AA10/((1/1000)*(d_Irr!AY10)),IF(AND(d_Irr!Z10&lt;&gt;".",d_Irr!AY10=".",d_Irr!BX10="."),d_dir!AA10/((1/1000)*(d_Irr!Z10)),IF(AND(d_Irr!Z10=".",d_Irr!AY10=".",d_Irr!BX10="."),d_dir!AA10*1000)))))))),".")</f>
        <v>63.538302230643829</v>
      </c>
      <c r="AB10" s="70">
        <f>IFERROR(IF(AND(d_Irr!AA10&lt;&gt;".",d_Irr!AZ10&lt;&gt;".",d_Irr!BY10&lt;&gt;"."),d_dir!AB10/((1/1000)*(d_Irr!AA10+d_Irr!AZ10+d_Irr!BY10)),IF(AND(d_Irr!AA10&lt;&gt;".",d_Irr!AZ10&lt;&gt;".",d_Irr!BY10="."),d_dir!AB10/((1/1000)*(d_Irr!AA10+d_Irr!AZ10)),IF(AND(d_Irr!AA10&lt;&gt;".",d_Irr!AZ10=".",d_Irr!BY10&lt;&gt;"."),d_dir!AB10/((1/1000)*(d_Irr!AA10+d_Irr!BY10)),IF(AND(d_Irr!AA10=".",d_Irr!AZ10&lt;&gt;".",d_Irr!BY10&lt;&gt;"."),d_dir!AB10/((1/1000)*(d_Irr!AZ10+d_Irr!BY10)),IF(AND(d_Irr!AA10=".",d_Irr!AZ10=".",d_Irr!BY10&lt;&gt;"."),d_dir!AB10/((1/1000)*(d_Irr!BY10)),IF(AND(d_Irr!AA10=".",d_Irr!AZ10&lt;&gt;".",d_Irr!BY10="."),d_dir!AB10/((1/1000)*(d_Irr!AZ10)),IF(AND(d_Irr!AA10&lt;&gt;".",d_Irr!AZ10=".",d_Irr!BY10="."),d_dir!AB10/((1/1000)*(d_Irr!AA10)),IF(AND(d_Irr!AA10=".",d_Irr!AZ10=".",d_Irr!BY10="."),d_dir!AB10*1000)))))))),".")</f>
        <v>67.463296598599044</v>
      </c>
      <c r="AC10" s="70">
        <f t="shared" si="0"/>
        <v>9.0212945460834106</v>
      </c>
      <c r="AD10" s="70">
        <f>IFERROR(IF(AND(d_Irr!C10&lt;&gt;".",d_Irr!AB10&lt;&gt;".",d_Irr!BA10&lt;&gt;"."),d_dir!AD10/((1/1000)*(d_Irr!C10+d_Irr!AB10+d_Irr!BA10)),IF(AND(d_Irr!C10&lt;&gt;".",d_Irr!AB10&lt;&gt;".",d_Irr!BA10="."),d_dir!AD10/((1/1000)*(d_Irr!C10+d_Irr!AB10)),IF(AND(d_Irr!C10&lt;&gt;".",d_Irr!AB10=".",d_Irr!BA10&lt;&gt;"."),d_dir!AD10/((1/1000)*(d_Irr!C10+d_Irr!BA10)),IF(AND(d_Irr!C10=".",d_Irr!AB10&lt;&gt;".",d_Irr!BA10&lt;&gt;"."),d_dir!AD10/((1/1000)*(d_Irr!AB10+d_Irr!BA10)),IF(AND(d_Irr!C10=".",d_Irr!AB10=".",d_Irr!BA10&lt;&gt;"."),d_dir!AD10/((1/1000)*(d_Irr!BA10)),IF(AND(d_Irr!C10=".",d_Irr!AB10&lt;&gt;".",d_Irr!BA10="."),d_dir!AD10/((1/1000)*(d_Irr!AB10)),IF(AND(d_Irr!C10&lt;&gt;".",d_Irr!AB10=".",d_Irr!BA10="."),d_dir!AD10/((1/1000)*(d_Irr!C10)),IF(AND(d_Irr!C10=".",d_Irr!AB10=".",d_Irr!BA10="."),d_dir!AD10*1000)))))))),".")</f>
        <v>178.24681348069444</v>
      </c>
      <c r="AE10" s="70">
        <f>IFERROR(IF(AND(d_Irr!D10&lt;&gt;".",d_Irr!AC10&lt;&gt;".",d_Irr!BB10&lt;&gt;"."),d_dir!AE10/((1/1000)*(d_Irr!D10+d_Irr!AC10+d_Irr!BB10)),IF(AND(d_Irr!D10&lt;&gt;".",d_Irr!AC10&lt;&gt;".",d_Irr!BB10="."),d_dir!AE10/((1/1000)*(d_Irr!D10+d_Irr!AC10)),IF(AND(d_Irr!D10&lt;&gt;".",d_Irr!AC10=".",d_Irr!BB10&lt;&gt;"."),d_dir!AE10/((1/1000)*(d_Irr!D10+d_Irr!BB10)),IF(AND(d_Irr!D10=".",d_Irr!AC10&lt;&gt;".",d_Irr!BB10&lt;&gt;"."),d_dir!AE10/((1/1000)*(d_Irr!AC10+d_Irr!BB10)),IF(AND(d_Irr!D10=".",d_Irr!AC10=".",d_Irr!BB10&lt;&gt;"."),d_dir!AE10/((1/1000)*(d_Irr!BB10)),IF(AND(d_Irr!D10=".",d_Irr!AC10&lt;&gt;".",d_Irr!BB10="."),d_dir!AE10/((1/1000)*(d_Irr!AC10)),IF(AND(d_Irr!D10&lt;&gt;".",d_Irr!AC10=".",d_Irr!BB10="."),d_dir!AE10/((1/1000)*(d_Irr!D10)),IF(AND(d_Irr!D10=".",d_Irr!AC10=".",d_Irr!BB10="."),d_dir!AE10*1000)))))))),".")</f>
        <v>279.55449518950348</v>
      </c>
      <c r="AF10" s="70">
        <f>IFERROR(IF(AND(d_Irr!E10&lt;&gt;".",d_Irr!AD10&lt;&gt;".",d_Irr!BC10&lt;&gt;"."),d_dir!AF10/((1/1000)*(d_Irr!E10+d_Irr!AD10+d_Irr!BC10)),IF(AND(d_Irr!E10&lt;&gt;".",d_Irr!AD10&lt;&gt;".",d_Irr!BC10="."),d_dir!AF10/((1/1000)*(d_Irr!E10+d_Irr!AD10)),IF(AND(d_Irr!E10&lt;&gt;".",d_Irr!AD10=".",d_Irr!BC10&lt;&gt;"."),d_dir!AF10/((1/1000)*(d_Irr!E10+d_Irr!BC10)),IF(AND(d_Irr!E10=".",d_Irr!AD10&lt;&gt;".",d_Irr!BC10&lt;&gt;"."),d_dir!AF10/((1/1000)*(d_Irr!AD10+d_Irr!BC10)),IF(AND(d_Irr!E10=".",d_Irr!AD10=".",d_Irr!BC10&lt;&gt;"."),d_dir!AF10/((1/1000)*(d_Irr!BC10)),IF(AND(d_Irr!E10=".",d_Irr!AD10&lt;&gt;".",d_Irr!BC10="."),d_dir!AF10/((1/1000)*(d_Irr!AD10)),IF(AND(d_Irr!E10&lt;&gt;".",d_Irr!AD10=".",d_Irr!BC10="."),d_dir!AF10/((1/1000)*(d_Irr!E10)),IF(AND(d_Irr!E10=".",d_Irr!AD10=".",d_Irr!BC10="."),d_dir!AF10*1000)))))))),".")</f>
        <v>374.14292550920078</v>
      </c>
      <c r="AG10" s="70">
        <f>IFERROR(IF(AND(d_Irr!F10&lt;&gt;".",d_Irr!AE10&lt;&gt;".",d_Irr!BD10&lt;&gt;"."),d_dir!AG10/((1/1000)*(d_Irr!F10+d_Irr!AE10+d_Irr!BD10)),IF(AND(d_Irr!F10&lt;&gt;".",d_Irr!AE10&lt;&gt;".",d_Irr!BD10="."),d_dir!AG10/((1/1000)*(d_Irr!F10+d_Irr!AE10)),IF(AND(d_Irr!F10&lt;&gt;".",d_Irr!AE10=".",d_Irr!BD10&lt;&gt;"."),d_dir!AG10/((1/1000)*(d_Irr!F10+d_Irr!BD10)),IF(AND(d_Irr!F10=".",d_Irr!AE10&lt;&gt;".",d_Irr!BD10&lt;&gt;"."),d_dir!AG10/((1/1000)*(d_Irr!AE10+d_Irr!BD10)),IF(AND(d_Irr!F10=".",d_Irr!AE10=".",d_Irr!BD10&lt;&gt;"."),d_dir!AG10/((1/1000)*(d_Irr!BD10)),IF(AND(d_Irr!F10=".",d_Irr!AE10&lt;&gt;".",d_Irr!BD10="."),d_dir!AG10/((1/1000)*(d_Irr!AE10)),IF(AND(d_Irr!F10&lt;&gt;".",d_Irr!AE10=".",d_Irr!BD10="."),d_dir!AG10/((1/1000)*(d_Irr!F10)),IF(AND(d_Irr!F10=".",d_Irr!AE10=".",d_Irr!BD10="."),d_dir!AG10*1000)))))))),".")</f>
        <v>464.77615853854542</v>
      </c>
      <c r="AH10" s="70">
        <f>IFERROR(IF(AND(d_Irr!G10&lt;&gt;".",d_Irr!AF10&lt;&gt;".",d_Irr!BE10&lt;&gt;"."),d_dir!AH10/((1/1000)*(d_Irr!G10+d_Irr!AF10+d_Irr!BE10)),IF(AND(d_Irr!G10&lt;&gt;".",d_Irr!AF10&lt;&gt;".",d_Irr!BE10="."),d_dir!AH10/((1/1000)*(d_Irr!G10+d_Irr!AF10)),IF(AND(d_Irr!G10&lt;&gt;".",d_Irr!AF10=".",d_Irr!BE10&lt;&gt;"."),d_dir!AH10/((1/1000)*(d_Irr!G10+d_Irr!BE10)),IF(AND(d_Irr!G10=".",d_Irr!AF10&lt;&gt;".",d_Irr!BE10&lt;&gt;"."),d_dir!AH10/((1/1000)*(d_Irr!AF10+d_Irr!BE10)),IF(AND(d_Irr!G10=".",d_Irr!AF10=".",d_Irr!BE10&lt;&gt;"."),d_dir!AH10/((1/1000)*(d_Irr!BE10)),IF(AND(d_Irr!G10=".",d_Irr!AF10&lt;&gt;".",d_Irr!BE10="."),d_dir!AH10/((1/1000)*(d_Irr!AF10)),IF(AND(d_Irr!G10&lt;&gt;".",d_Irr!AF10=".",d_Irr!BE10="."),d_dir!AH10/((1/1000)*(d_Irr!G10)),IF(AND(d_Irr!G10=".",d_Irr!AF10=".",d_Irr!BE10="."),d_dir!AH10*1000)))))))),".")</f>
        <v>420.07731363884437</v>
      </c>
      <c r="AI10" s="70">
        <f>IFERROR(IF(AND(d_Irr!H10&lt;&gt;".",d_Irr!AG10&lt;&gt;".",d_Irr!BF10&lt;&gt;"."),d_dir!AI10/((1/1000)*(d_Irr!H10+d_Irr!AG10+d_Irr!BF10)),IF(AND(d_Irr!H10&lt;&gt;".",d_Irr!AG10&lt;&gt;".",d_Irr!BF10="."),d_dir!AI10/((1/1000)*(d_Irr!H10+d_Irr!AG10)),IF(AND(d_Irr!H10&lt;&gt;".",d_Irr!AG10=".",d_Irr!BF10&lt;&gt;"."),d_dir!AI10/((1/1000)*(d_Irr!H10+d_Irr!BF10)),IF(AND(d_Irr!H10=".",d_Irr!AG10&lt;&gt;".",d_Irr!BF10&lt;&gt;"."),d_dir!AI10/((1/1000)*(d_Irr!AG10+d_Irr!BF10)),IF(AND(d_Irr!H10=".",d_Irr!AG10=".",d_Irr!BF10&lt;&gt;"."),d_dir!AI10/((1/1000)*(d_Irr!BF10)),IF(AND(d_Irr!H10=".",d_Irr!AG10&lt;&gt;".",d_Irr!BF10="."),d_dir!AI10/((1/1000)*(d_Irr!AG10)),IF(AND(d_Irr!H10&lt;&gt;".",d_Irr!AG10=".",d_Irr!BF10="."),d_dir!AI10/((1/1000)*(d_Irr!H10)),IF(AND(d_Irr!H10=".",d_Irr!AG10=".",d_Irr!BF10="."),d_dir!AI10*1000)))))))),".")</f>
        <v>144.83221932015118</v>
      </c>
      <c r="AJ10" s="70">
        <f>IFERROR(IF(AND(d_Irr!I10&lt;&gt;".",d_Irr!AH10&lt;&gt;".",d_Irr!BG10&lt;&gt;"."),d_dir!AJ10/((1/1000)*(d_Irr!I10+d_Irr!AH10+d_Irr!BG10)),IF(AND(d_Irr!I10&lt;&gt;".",d_Irr!AH10&lt;&gt;".",d_Irr!BG10="."),d_dir!AJ10/((1/1000)*(d_Irr!I10+d_Irr!AH10)),IF(AND(d_Irr!I10&lt;&gt;".",d_Irr!AH10=".",d_Irr!BG10&lt;&gt;"."),d_dir!AJ10/((1/1000)*(d_Irr!I10+d_Irr!BG10)),IF(AND(d_Irr!I10=".",d_Irr!AH10&lt;&gt;".",d_Irr!BG10&lt;&gt;"."),d_dir!AJ10/((1/1000)*(d_Irr!AH10+d_Irr!BG10)),IF(AND(d_Irr!I10=".",d_Irr!AH10=".",d_Irr!BG10&lt;&gt;"."),d_dir!AJ10/((1/1000)*(d_Irr!BG10)),IF(AND(d_Irr!I10=".",d_Irr!AH10&lt;&gt;".",d_Irr!BG10="."),d_dir!AJ10/((1/1000)*(d_Irr!AH10)),IF(AND(d_Irr!I10&lt;&gt;".",d_Irr!AH10=".",d_Irr!BG10="."),d_dir!AJ10/((1/1000)*(d_Irr!I10)),IF(AND(d_Irr!I10=".",d_Irr!AH10=".",d_Irr!BG10="."),d_dir!AJ10*1000)))))))),".")</f>
        <v>496.8015259332052</v>
      </c>
      <c r="AK10" s="70">
        <f>IFERROR(IF(AND(d_Irr!J10&lt;&gt;".",d_Irr!AI10&lt;&gt;".",d_Irr!BH10&lt;&gt;"."),d_dir!AK10/((1/1000)*(d_Irr!J10+d_Irr!AI10+d_Irr!BH10)),IF(AND(d_Irr!J10&lt;&gt;".",d_Irr!AI10&lt;&gt;".",d_Irr!BH10="."),d_dir!AK10/((1/1000)*(d_Irr!J10+d_Irr!AI10)),IF(AND(d_Irr!J10&lt;&gt;".",d_Irr!AI10=".",d_Irr!BH10&lt;&gt;"."),d_dir!AK10/((1/1000)*(d_Irr!J10+d_Irr!BH10)),IF(AND(d_Irr!J10=".",d_Irr!AI10&lt;&gt;".",d_Irr!BH10&lt;&gt;"."),d_dir!AK10/((1/1000)*(d_Irr!AI10+d_Irr!BH10)),IF(AND(d_Irr!J10=".",d_Irr!AI10=".",d_Irr!BH10&lt;&gt;"."),d_dir!AK10/((1/1000)*(d_Irr!BH10)),IF(AND(d_Irr!J10=".",d_Irr!AI10&lt;&gt;".",d_Irr!BH10="."),d_dir!AK10/((1/1000)*(d_Irr!AI10)),IF(AND(d_Irr!J10&lt;&gt;".",d_Irr!AI10=".",d_Irr!BH10="."),d_dir!AK10/((1/1000)*(d_Irr!J10)),IF(AND(d_Irr!J10=".",d_Irr!AI10=".",d_Irr!BH10="."),d_dir!AK10*1000)))))))),".")</f>
        <v>51.675734467639607</v>
      </c>
      <c r="AL10" s="70">
        <f>IFERROR(IF(AND(d_Irr!K10&lt;&gt;".",d_Irr!AJ10&lt;&gt;".",d_Irr!BI10&lt;&gt;"."),d_dir!AL10/((1/1000)*(d_Irr!K10+d_Irr!AJ10+d_Irr!BI10)),IF(AND(d_Irr!K10&lt;&gt;".",d_Irr!AJ10&lt;&gt;".",d_Irr!BI10="."),d_dir!AL10/((1/1000)*(d_Irr!K10+d_Irr!AJ10)),IF(AND(d_Irr!K10&lt;&gt;".",d_Irr!AJ10=".",d_Irr!BI10&lt;&gt;"."),d_dir!AL10/((1/1000)*(d_Irr!K10+d_Irr!BI10)),IF(AND(d_Irr!K10=".",d_Irr!AJ10&lt;&gt;".",d_Irr!BI10&lt;&gt;"."),d_dir!AL10/((1/1000)*(d_Irr!AJ10+d_Irr!BI10)),IF(AND(d_Irr!K10=".",d_Irr!AJ10=".",d_Irr!BI10&lt;&gt;"."),d_dir!AL10/((1/1000)*(d_Irr!BI10)),IF(AND(d_Irr!K10=".",d_Irr!AJ10&lt;&gt;".",d_Irr!BI10="."),d_dir!AL10/((1/1000)*(d_Irr!AJ10)),IF(AND(d_Irr!K10&lt;&gt;".",d_Irr!AJ10=".",d_Irr!BI10="."),d_dir!AL10/((1/1000)*(d_Irr!K10)),IF(AND(d_Irr!K10=".",d_Irr!AJ10=".",d_Irr!BI10="."),d_dir!AL10*1000)))))))),".")</f>
        <v>161.39056973548097</v>
      </c>
      <c r="AM10" s="70">
        <f>IFERROR(IF(AND(d_Irr!L10&lt;&gt;".",d_Irr!AK10&lt;&gt;".",d_Irr!BJ10&lt;&gt;"."),d_dir!AM10/((1/1000)*(d_Irr!L10+d_Irr!AK10+d_Irr!BJ10)),IF(AND(d_Irr!L10&lt;&gt;".",d_Irr!AK10&lt;&gt;".",d_Irr!BJ10="."),d_dir!AM10/((1/1000)*(d_Irr!L10+d_Irr!AK10)),IF(AND(d_Irr!L10&lt;&gt;".",d_Irr!AK10=".",d_Irr!BJ10&lt;&gt;"."),d_dir!AM10/((1/1000)*(d_Irr!L10+d_Irr!BJ10)),IF(AND(d_Irr!L10=".",d_Irr!AK10&lt;&gt;".",d_Irr!BJ10&lt;&gt;"."),d_dir!AM10/((1/1000)*(d_Irr!AK10+d_Irr!BJ10)),IF(AND(d_Irr!L10=".",d_Irr!AK10=".",d_Irr!BJ10&lt;&gt;"."),d_dir!AM10/((1/1000)*(d_Irr!BJ10)),IF(AND(d_Irr!L10=".",d_Irr!AK10&lt;&gt;".",d_Irr!BJ10="."),d_dir!AM10/((1/1000)*(d_Irr!AK10)),IF(AND(d_Irr!L10&lt;&gt;".",d_Irr!AK10=".",d_Irr!BJ10="."),d_dir!AM10/((1/1000)*(d_Irr!L10)),IF(AND(d_Irr!L10=".",d_Irr!AK10=".",d_Irr!BJ10="."),d_dir!AM10*1000)))))))),".")</f>
        <v>269.02753754273448</v>
      </c>
      <c r="AN10" s="70">
        <f>IFERROR(IF(AND(d_Irr!M10&lt;&gt;".",d_Irr!AL10&lt;&gt;".",d_Irr!BK10&lt;&gt;"."),d_dir!AN10/((1/1000)*(d_Irr!M10+d_Irr!AL10+d_Irr!BK10)),IF(AND(d_Irr!M10&lt;&gt;".",d_Irr!AL10&lt;&gt;".",d_Irr!BK10="."),d_dir!AN10/((1/1000)*(d_Irr!M10+d_Irr!AL10)),IF(AND(d_Irr!M10&lt;&gt;".",d_Irr!AL10=".",d_Irr!BK10&lt;&gt;"."),d_dir!AN10/((1/1000)*(d_Irr!M10+d_Irr!BK10)),IF(AND(d_Irr!M10=".",d_Irr!AL10&lt;&gt;".",d_Irr!BK10&lt;&gt;"."),d_dir!AN10/((1/1000)*(d_Irr!AL10+d_Irr!BK10)),IF(AND(d_Irr!M10=".",d_Irr!AL10=".",d_Irr!BK10&lt;&gt;"."),d_dir!AN10/((1/1000)*(d_Irr!BK10)),IF(AND(d_Irr!M10=".",d_Irr!AL10&lt;&gt;".",d_Irr!BK10="."),d_dir!AN10/((1/1000)*(d_Irr!AL10)),IF(AND(d_Irr!M10&lt;&gt;".",d_Irr!AL10=".",d_Irr!BK10="."),d_dir!AN10/((1/1000)*(d_Irr!M10)),IF(AND(d_Irr!M10=".",d_Irr!AL10=".",d_Irr!BK10="."),d_dir!AN10*1000)))))))),".")</f>
        <v>292.07771760000026</v>
      </c>
      <c r="AO10" s="70">
        <f>IFERROR(IF(AND(d_Irr!N10&lt;&gt;".",d_Irr!AM10&lt;&gt;".",d_Irr!BL10&lt;&gt;"."),d_dir!AO10/((1/1000)*(d_Irr!N10+d_Irr!AM10+d_Irr!BL10)),IF(AND(d_Irr!N10&lt;&gt;".",d_Irr!AM10&lt;&gt;".",d_Irr!BL10="."),d_dir!AO10/((1/1000)*(d_Irr!N10+d_Irr!AM10)),IF(AND(d_Irr!N10&lt;&gt;".",d_Irr!AM10=".",d_Irr!BL10&lt;&gt;"."),d_dir!AO10/((1/1000)*(d_Irr!N10+d_Irr!BL10)),IF(AND(d_Irr!N10=".",d_Irr!AM10&lt;&gt;".",d_Irr!BL10&lt;&gt;"."),d_dir!AO10/((1/1000)*(d_Irr!AM10+d_Irr!BL10)),IF(AND(d_Irr!N10=".",d_Irr!AM10=".",d_Irr!BL10&lt;&gt;"."),d_dir!AO10/((1/1000)*(d_Irr!BL10)),IF(AND(d_Irr!N10=".",d_Irr!AM10&lt;&gt;".",d_Irr!BL10="."),d_dir!AO10/((1/1000)*(d_Irr!AM10)),IF(AND(d_Irr!N10&lt;&gt;".",d_Irr!AM10=".",d_Irr!BL10="."),d_dir!AO10/((1/1000)*(d_Irr!N10)),IF(AND(d_Irr!N10=".",d_Irr!AM10=".",d_Irr!BL10="."),d_dir!AO10*1000)))))))),".")</f>
        <v>347.0570259887744</v>
      </c>
      <c r="AP10" s="70">
        <f>IFERROR(IF(AND(d_Irr!O10&lt;&gt;".",d_Irr!AN10&lt;&gt;".",d_Irr!BM10&lt;&gt;"."),d_dir!AP10/((1/1000)*(d_Irr!O10+d_Irr!AN10+d_Irr!BM10)),IF(AND(d_Irr!O10&lt;&gt;".",d_Irr!AN10&lt;&gt;".",d_Irr!BM10="."),d_dir!AP10/((1/1000)*(d_Irr!O10+d_Irr!AN10)),IF(AND(d_Irr!O10&lt;&gt;".",d_Irr!AN10=".",d_Irr!BM10&lt;&gt;"."),d_dir!AP10/((1/1000)*(d_Irr!O10+d_Irr!BM10)),IF(AND(d_Irr!O10=".",d_Irr!AN10&lt;&gt;".",d_Irr!BM10&lt;&gt;"."),d_dir!AP10/((1/1000)*(d_Irr!AN10+d_Irr!BM10)),IF(AND(d_Irr!O10=".",d_Irr!AN10=".",d_Irr!BM10&lt;&gt;"."),d_dir!AP10/((1/1000)*(d_Irr!BM10)),IF(AND(d_Irr!O10=".",d_Irr!AN10&lt;&gt;".",d_Irr!BM10="."),d_dir!AP10/((1/1000)*(d_Irr!AN10)),IF(AND(d_Irr!O10&lt;&gt;".",d_Irr!AN10=".",d_Irr!BM10="."),d_dir!AP10/((1/1000)*(d_Irr!O10)),IF(AND(d_Irr!O10=".",d_Irr!AN10=".",d_Irr!BM10="."),d_dir!AP10*1000)))))))),".")</f>
        <v>484.68421899231015</v>
      </c>
      <c r="AQ10" s="70">
        <f>IFERROR(IF(AND(d_Irr!P10&lt;&gt;".",d_Irr!AO10&lt;&gt;".",d_Irr!BN10&lt;&gt;"."),d_dir!AQ10/((1/1000)*(d_Irr!P10+d_Irr!AO10+d_Irr!BN10)),IF(AND(d_Irr!P10&lt;&gt;".",d_Irr!AO10&lt;&gt;".",d_Irr!BN10="."),d_dir!AQ10/((1/1000)*(d_Irr!P10+d_Irr!AO10)),IF(AND(d_Irr!P10&lt;&gt;".",d_Irr!AO10=".",d_Irr!BN10&lt;&gt;"."),d_dir!AQ10/((1/1000)*(d_Irr!P10+d_Irr!BN10)),IF(AND(d_Irr!P10=".",d_Irr!AO10&lt;&gt;".",d_Irr!BN10&lt;&gt;"."),d_dir!AQ10/((1/1000)*(d_Irr!AO10+d_Irr!BN10)),IF(AND(d_Irr!P10=".",d_Irr!AO10=".",d_Irr!BN10&lt;&gt;"."),d_dir!AQ10/((1/1000)*(d_Irr!BN10)),IF(AND(d_Irr!P10=".",d_Irr!AO10&lt;&gt;".",d_Irr!BN10="."),d_dir!AQ10/((1/1000)*(d_Irr!AO10)),IF(AND(d_Irr!P10&lt;&gt;".",d_Irr!AO10=".",d_Irr!BN10="."),d_dir!AQ10/((1/1000)*(d_Irr!P10)),IF(AND(d_Irr!P10=".",d_Irr!AO10=".",d_Irr!BN10="."),d_dir!AQ10*1000)))))))),".")</f>
        <v>463.62016630963518</v>
      </c>
      <c r="AR10" s="70">
        <f>IFERROR(IF(AND(d_Irr!Q10&lt;&gt;".",d_Irr!AP10&lt;&gt;".",d_Irr!BO10&lt;&gt;"."),d_dir!AR10/((1/1000)*(d_Irr!Q10+d_Irr!AP10+d_Irr!BO10)),IF(AND(d_Irr!Q10&lt;&gt;".",d_Irr!AP10&lt;&gt;".",d_Irr!BO10="."),d_dir!AR10/((1/1000)*(d_Irr!Q10+d_Irr!AP10)),IF(AND(d_Irr!Q10&lt;&gt;".",d_Irr!AP10=".",d_Irr!BO10&lt;&gt;"."),d_dir!AR10/((1/1000)*(d_Irr!Q10+d_Irr!BO10)),IF(AND(d_Irr!Q10=".",d_Irr!AP10&lt;&gt;".",d_Irr!BO10&lt;&gt;"."),d_dir!AR10/((1/1000)*(d_Irr!AP10+d_Irr!BO10)),IF(AND(d_Irr!Q10=".",d_Irr!AP10=".",d_Irr!BO10&lt;&gt;"."),d_dir!AR10/((1/1000)*(d_Irr!BO10)),IF(AND(d_Irr!Q10=".",d_Irr!AP10&lt;&gt;".",d_Irr!BO10="."),d_dir!AR10/((1/1000)*(d_Irr!AP10)),IF(AND(d_Irr!Q10&lt;&gt;".",d_Irr!AP10=".",d_Irr!BO10="."),d_dir!AR10/((1/1000)*(d_Irr!Q10)),IF(AND(d_Irr!Q10=".",d_Irr!AP10=".",d_Irr!BO10="."),d_dir!AR10*1000)))))))),".")</f>
        <v>147.1262481830943</v>
      </c>
      <c r="AS10" s="70">
        <f>IFERROR(IF(AND(d_Irr!R10&lt;&gt;".",d_Irr!AQ10&lt;&gt;".",d_Irr!BP10&lt;&gt;"."),d_dir!AS10/((1/1000)*(d_Irr!R10+d_Irr!AQ10+d_Irr!BP10)),IF(AND(d_Irr!R10&lt;&gt;".",d_Irr!AQ10&lt;&gt;".",d_Irr!BP10="."),d_dir!AS10/((1/1000)*(d_Irr!R10+d_Irr!AQ10)),IF(AND(d_Irr!R10&lt;&gt;".",d_Irr!AQ10=".",d_Irr!BP10&lt;&gt;"."),d_dir!AS10/((1/1000)*(d_Irr!R10+d_Irr!BP10)),IF(AND(d_Irr!R10=".",d_Irr!AQ10&lt;&gt;".",d_Irr!BP10&lt;&gt;"."),d_dir!AS10/((1/1000)*(d_Irr!AQ10+d_Irr!BP10)),IF(AND(d_Irr!R10=".",d_Irr!AQ10=".",d_Irr!BP10&lt;&gt;"."),d_dir!AS10/((1/1000)*(d_Irr!BP10)),IF(AND(d_Irr!R10=".",d_Irr!AQ10&lt;&gt;".",d_Irr!BP10="."),d_dir!AS10/((1/1000)*(d_Irr!AQ10)),IF(AND(d_Irr!R10&lt;&gt;".",d_Irr!AQ10=".",d_Irr!BP10="."),d_dir!AS10/((1/1000)*(d_Irr!R10)),IF(AND(d_Irr!R10=".",d_Irr!AQ10=".",d_Irr!BP10="."),d_dir!AS10*1000)))))))),".")</f>
        <v>239.91049923397276</v>
      </c>
      <c r="AT10" s="70">
        <f>IFERROR(IF(AND(d_Irr!S10&lt;&gt;".",d_Irr!AR10&lt;&gt;".",d_Irr!BQ10&lt;&gt;"."),d_dir!AT10/((1/1000)*(d_Irr!S10+d_Irr!AR10+d_Irr!BQ10)),IF(AND(d_Irr!S10&lt;&gt;".",d_Irr!AR10&lt;&gt;".",d_Irr!BQ10="."),d_dir!AT10/((1/1000)*(d_Irr!S10+d_Irr!AR10)),IF(AND(d_Irr!S10&lt;&gt;".",d_Irr!AR10=".",d_Irr!BQ10&lt;&gt;"."),d_dir!AT10/((1/1000)*(d_Irr!S10+d_Irr!BQ10)),IF(AND(d_Irr!S10=".",d_Irr!AR10&lt;&gt;".",d_Irr!BQ10&lt;&gt;"."),d_dir!AT10/((1/1000)*(d_Irr!AR10+d_Irr!BQ10)),IF(AND(d_Irr!S10=".",d_Irr!AR10=".",d_Irr!BQ10&lt;&gt;"."),d_dir!AT10/((1/1000)*(d_Irr!BQ10)),IF(AND(d_Irr!S10=".",d_Irr!AR10&lt;&gt;".",d_Irr!BQ10="."),d_dir!AT10/((1/1000)*(d_Irr!AR10)),IF(AND(d_Irr!S10&lt;&gt;".",d_Irr!AR10=".",d_Irr!BQ10="."),d_dir!AT10/((1/1000)*(d_Irr!S10)),IF(AND(d_Irr!S10=".",d_Irr!AR10=".",d_Irr!BQ10="."),d_dir!AT10*1000)))))))),".")</f>
        <v>382.09346124120555</v>
      </c>
      <c r="AU10" s="70">
        <f>IFERROR(IF(AND(d_Irr!T10&lt;&gt;".",d_Irr!AS10&lt;&gt;".",d_Irr!BR10&lt;&gt;"."),d_dir!AU10/((1/1000)*(d_Irr!T10+d_Irr!AS10+d_Irr!BR10)),IF(AND(d_Irr!T10&lt;&gt;".",d_Irr!AS10&lt;&gt;".",d_Irr!BR10="."),d_dir!AU10/((1/1000)*(d_Irr!T10+d_Irr!AS10)),IF(AND(d_Irr!T10&lt;&gt;".",d_Irr!AS10=".",d_Irr!BR10&lt;&gt;"."),d_dir!AU10/((1/1000)*(d_Irr!T10+d_Irr!BR10)),IF(AND(d_Irr!T10=".",d_Irr!AS10&lt;&gt;".",d_Irr!BR10&lt;&gt;"."),d_dir!AU10/((1/1000)*(d_Irr!AS10+d_Irr!BR10)),IF(AND(d_Irr!T10=".",d_Irr!AS10=".",d_Irr!BR10&lt;&gt;"."),d_dir!AU10/((1/1000)*(d_Irr!BR10)),IF(AND(d_Irr!T10=".",d_Irr!AS10&lt;&gt;".",d_Irr!BR10="."),d_dir!AU10/((1/1000)*(d_Irr!AS10)),IF(AND(d_Irr!T10&lt;&gt;".",d_Irr!AS10=".",d_Irr!BR10="."),d_dir!AU10/((1/1000)*(d_Irr!T10)),IF(AND(d_Irr!T10=".",d_Irr!AS10=".",d_Irr!BR10="."),d_dir!AU10*1000)))))))),".")</f>
        <v>605.91551600032972</v>
      </c>
      <c r="AV10" s="70">
        <f>IFERROR(IF(AND(d_Irr!U10&lt;&gt;".",d_Irr!AT10&lt;&gt;".",d_Irr!BS10&lt;&gt;"."),d_dir!AV10/((1/1000)*(d_Irr!U10+d_Irr!AT10+d_Irr!BS10)),IF(AND(d_Irr!U10&lt;&gt;".",d_Irr!AT10&lt;&gt;".",d_Irr!BS10="."),d_dir!AV10/((1/1000)*(d_Irr!U10+d_Irr!AT10)),IF(AND(d_Irr!U10&lt;&gt;".",d_Irr!AT10=".",d_Irr!BS10&lt;&gt;"."),d_dir!AV10/((1/1000)*(d_Irr!U10+d_Irr!BS10)),IF(AND(d_Irr!U10=".",d_Irr!AT10&lt;&gt;".",d_Irr!BS10&lt;&gt;"."),d_dir!AV10/((1/1000)*(d_Irr!AT10+d_Irr!BS10)),IF(AND(d_Irr!U10=".",d_Irr!AT10=".",d_Irr!BS10&lt;&gt;"."),d_dir!AV10/((1/1000)*(d_Irr!BS10)),IF(AND(d_Irr!U10=".",d_Irr!AT10&lt;&gt;".",d_Irr!BS10="."),d_dir!AV10/((1/1000)*(d_Irr!AT10)),IF(AND(d_Irr!U10&lt;&gt;".",d_Irr!AT10=".",d_Irr!BS10="."),d_dir!AV10/((1/1000)*(d_Irr!U10)),IF(AND(d_Irr!U10=".",d_Irr!AT10=".",d_Irr!BS10="."),d_dir!AV10*1000)))))))),".")</f>
        <v>80.014056335799424</v>
      </c>
      <c r="AW10" s="70">
        <f>IFERROR(IF(AND(d_Irr!V10&lt;&gt;".",d_Irr!AU10&lt;&gt;".",d_Irr!BT10&lt;&gt;"."),d_dir!AW10/((1/1000)*(d_Irr!V10+d_Irr!AU10+d_Irr!BT10)),IF(AND(d_Irr!V10&lt;&gt;".",d_Irr!AU10&lt;&gt;".",d_Irr!BT10="."),d_dir!AW10/((1/1000)*(d_Irr!V10+d_Irr!AU10)),IF(AND(d_Irr!V10&lt;&gt;".",d_Irr!AU10=".",d_Irr!BT10&lt;&gt;"."),d_dir!AW10/((1/1000)*(d_Irr!V10+d_Irr!BT10)),IF(AND(d_Irr!V10=".",d_Irr!AU10&lt;&gt;".",d_Irr!BT10&lt;&gt;"."),d_dir!AW10/((1/1000)*(d_Irr!AU10+d_Irr!BT10)),IF(AND(d_Irr!V10=".",d_Irr!AU10=".",d_Irr!BT10&lt;&gt;"."),d_dir!AW10/((1/1000)*(d_Irr!BT10)),IF(AND(d_Irr!V10=".",d_Irr!AU10&lt;&gt;".",d_Irr!BT10="."),d_dir!AW10/((1/1000)*(d_Irr!AU10)),IF(AND(d_Irr!V10&lt;&gt;".",d_Irr!AU10=".",d_Irr!BT10="."),d_dir!AW10/((1/1000)*(d_Irr!V10)),IF(AND(d_Irr!V10=".",d_Irr!AU10=".",d_Irr!BT10="."),d_dir!AW10*1000)))))))),".")</f>
        <v>231.12602908186088</v>
      </c>
      <c r="AX10" s="70">
        <f>IFERROR(IF(AND(d_Irr!W10&lt;&gt;".",d_Irr!AV10&lt;&gt;".",d_Irr!BU10&lt;&gt;"."),d_dir!AX10/((1/1000)*(d_Irr!W10+d_Irr!AV10+d_Irr!BU10)),IF(AND(d_Irr!W10&lt;&gt;".",d_Irr!AV10&lt;&gt;".",d_Irr!BU10="."),d_dir!AX10/((1/1000)*(d_Irr!W10+d_Irr!AV10)),IF(AND(d_Irr!W10&lt;&gt;".",d_Irr!AV10=".",d_Irr!BU10&lt;&gt;"."),d_dir!AX10/((1/1000)*(d_Irr!W10+d_Irr!BU10)),IF(AND(d_Irr!W10=".",d_Irr!AV10&lt;&gt;".",d_Irr!BU10&lt;&gt;"."),d_dir!AX10/((1/1000)*(d_Irr!AV10+d_Irr!BU10)),IF(AND(d_Irr!W10=".",d_Irr!AV10=".",d_Irr!BU10&lt;&gt;"."),d_dir!AX10/((1/1000)*(d_Irr!BU10)),IF(AND(d_Irr!W10=".",d_Irr!AV10&lt;&gt;".",d_Irr!BU10="."),d_dir!AX10/((1/1000)*(d_Irr!AV10)),IF(AND(d_Irr!W10&lt;&gt;".",d_Irr!AV10=".",d_Irr!BU10="."),d_dir!AX10/((1/1000)*(d_Irr!W10)),IF(AND(d_Irr!W10=".",d_Irr!AV10=".",d_Irr!BU10="."),d_dir!AX10*1000)))))))),".")</f>
        <v>218.38757039421546</v>
      </c>
      <c r="AY10" s="70">
        <f>IFERROR(IF(AND(d_Irr!X10&lt;&gt;".",d_Irr!AW10&lt;&gt;".",d_Irr!BV10&lt;&gt;"."),d_dir!AY10/((1/1000)*(d_Irr!X10+d_Irr!AW10+d_Irr!BV10)),IF(AND(d_Irr!X10&lt;&gt;".",d_Irr!AW10&lt;&gt;".",d_Irr!BV10="."),d_dir!AY10/((1/1000)*(d_Irr!X10+d_Irr!AW10)),IF(AND(d_Irr!X10&lt;&gt;".",d_Irr!AW10=".",d_Irr!BV10&lt;&gt;"."),d_dir!AY10/((1/1000)*(d_Irr!X10+d_Irr!BV10)),IF(AND(d_Irr!X10=".",d_Irr!AW10&lt;&gt;".",d_Irr!BV10&lt;&gt;"."),d_dir!AY10/((1/1000)*(d_Irr!AW10+d_Irr!BV10)),IF(AND(d_Irr!X10=".",d_Irr!AW10=".",d_Irr!BV10&lt;&gt;"."),d_dir!AY10/((1/1000)*(d_Irr!BV10)),IF(AND(d_Irr!X10=".",d_Irr!AW10&lt;&gt;".",d_Irr!BV10="."),d_dir!AY10/((1/1000)*(d_Irr!AW10)),IF(AND(d_Irr!X10&lt;&gt;".",d_Irr!AW10=".",d_Irr!BV10="."),d_dir!AY10/((1/1000)*(d_Irr!X10)),IF(AND(d_Irr!X10=".",d_Irr!AW10=".",d_Irr!BV10="."),d_dir!AY10*1000)))))))),".")</f>
        <v>400.85623998016291</v>
      </c>
      <c r="AZ10" s="70">
        <f>IFERROR(IF(AND(d_Irr!Y10&lt;&gt;".",d_Irr!AX10&lt;&gt;".",d_Irr!BW10&lt;&gt;"."),d_dir!AZ10/((1/1000)*(d_Irr!Y10+d_Irr!AX10+d_Irr!BW10)),IF(AND(d_Irr!Y10&lt;&gt;".",d_Irr!AX10&lt;&gt;".",d_Irr!BW10="."),d_dir!AZ10/((1/1000)*(d_Irr!Y10+d_Irr!AX10)),IF(AND(d_Irr!Y10&lt;&gt;".",d_Irr!AX10=".",d_Irr!BW10&lt;&gt;"."),d_dir!AZ10/((1/1000)*(d_Irr!Y10+d_Irr!BW10)),IF(AND(d_Irr!Y10=".",d_Irr!AX10&lt;&gt;".",d_Irr!BW10&lt;&gt;"."),d_dir!AZ10/((1/1000)*(d_Irr!AX10+d_Irr!BW10)),IF(AND(d_Irr!Y10=".",d_Irr!AX10=".",d_Irr!BW10&lt;&gt;"."),d_dir!AZ10/((1/1000)*(d_Irr!BW10)),IF(AND(d_Irr!Y10=".",d_Irr!AX10&lt;&gt;".",d_Irr!BW10="."),d_dir!AZ10/((1/1000)*(d_Irr!AX10)),IF(AND(d_Irr!Y10&lt;&gt;".",d_Irr!AX10=".",d_Irr!BW10="."),d_dir!AZ10/((1/1000)*(d_Irr!Y10)),IF(AND(d_Irr!Y10=".",d_Irr!AX10=".",d_Irr!BW10="."),d_dir!AZ10*1000)))))))),".")</f>
        <v>151.09126011810102</v>
      </c>
      <c r="BA10" s="70">
        <f>IFERROR(IF(AND(d_Irr!Z10&lt;&gt;".",d_Irr!AY10&lt;&gt;".",d_Irr!BX10&lt;&gt;"."),d_dir!BA10/((1/1000)*(d_Irr!Z10+d_Irr!AY10+d_Irr!BX10)),IF(AND(d_Irr!Z10&lt;&gt;".",d_Irr!AY10&lt;&gt;".",d_Irr!BX10="."),d_dir!BA10/((1/1000)*(d_Irr!Z10+d_Irr!AY10)),IF(AND(d_Irr!Z10&lt;&gt;".",d_Irr!AY10=".",d_Irr!BX10&lt;&gt;"."),d_dir!BA10/((1/1000)*(d_Irr!Z10+d_Irr!BX10)),IF(AND(d_Irr!Z10=".",d_Irr!AY10&lt;&gt;".",d_Irr!BX10&lt;&gt;"."),d_dir!BA10/((1/1000)*(d_Irr!AY10+d_Irr!BX10)),IF(AND(d_Irr!Z10=".",d_Irr!AY10=".",d_Irr!BX10&lt;&gt;"."),d_dir!BA10/((1/1000)*(d_Irr!BX10)),IF(AND(d_Irr!Z10=".",d_Irr!AY10&lt;&gt;".",d_Irr!BX10="."),d_dir!BA10/((1/1000)*(d_Irr!AY10)),IF(AND(d_Irr!Z10&lt;&gt;".",d_Irr!AY10=".",d_Irr!BX10="."),d_dir!BA10/((1/1000)*(d_Irr!Z10)),IF(AND(d_Irr!Z10=".",d_Irr!AY10=".",d_Irr!BX10="."),d_dir!BA10*1000)))))))),".")</f>
        <v>50.336944905809112</v>
      </c>
      <c r="BB10" s="70">
        <f>IFERROR(IF(AND(d_Irr!AA10&lt;&gt;".",d_Irr!AZ10&lt;&gt;".",d_Irr!BY10&lt;&gt;"."),d_dir!BB10/((1/1000)*(d_Irr!AA10+d_Irr!AZ10+d_Irr!BY10)),IF(AND(d_Irr!AA10&lt;&gt;".",d_Irr!AZ10&lt;&gt;".",d_Irr!BY10="."),d_dir!BB10/((1/1000)*(d_Irr!AA10+d_Irr!AZ10)),IF(AND(d_Irr!AA10&lt;&gt;".",d_Irr!AZ10=".",d_Irr!BY10&lt;&gt;"."),d_dir!BB10/((1/1000)*(d_Irr!AA10+d_Irr!BY10)),IF(AND(d_Irr!AA10=".",d_Irr!AZ10&lt;&gt;".",d_Irr!BY10&lt;&gt;"."),d_dir!BB10/((1/1000)*(d_Irr!AZ10+d_Irr!BY10)),IF(AND(d_Irr!AA10=".",d_Irr!AZ10=".",d_Irr!BY10&lt;&gt;"."),d_dir!BB10/((1/1000)*(d_Irr!BY10)),IF(AND(d_Irr!AA10=".",d_Irr!AZ10&lt;&gt;".",d_Irr!BY10="."),d_dir!BB10/((1/1000)*(d_Irr!AZ10)),IF(AND(d_Irr!AA10&lt;&gt;".",d_Irr!AZ10=".",d_Irr!BY10="."),d_dir!BB10/((1/1000)*(d_Irr!AA10)),IF(AND(d_Irr!AA10=".",d_Irr!AZ10=".",d_Irr!BY10="."),d_dir!BB10*1000)))))))),".")</f>
        <v>53.776657436209703</v>
      </c>
    </row>
    <row r="11" spans="1:54" ht="15" customHeight="1" x14ac:dyDescent="0.25">
      <c r="A11" s="86" t="s">
        <v>9</v>
      </c>
      <c r="B11" s="84" t="s">
        <v>1057</v>
      </c>
      <c r="C11" s="2" t="str">
        <f t="shared" si="1"/>
        <v>.</v>
      </c>
      <c r="D11" s="70" t="str">
        <f>IFERROR(IF(AND(d_Irr!C11&lt;&gt;".",d_Irr!AB11&lt;&gt;".",d_Irr!BA11&lt;&gt;"."),d_dir!D11/((1/1000)*(d_Irr!C11+d_Irr!AB11+d_Irr!BA11)),IF(AND(d_Irr!C11&lt;&gt;".",d_Irr!AB11&lt;&gt;".",d_Irr!BA11="."),d_dir!D11/((1/1000)*(d_Irr!C11+d_Irr!AB11)),IF(AND(d_Irr!C11&lt;&gt;".",d_Irr!AB11=".",d_Irr!BA11&lt;&gt;"."),d_dir!D11/((1/1000)*(d_Irr!C11+d_Irr!BA11)),IF(AND(d_Irr!C11=".",d_Irr!AB11&lt;&gt;".",d_Irr!BA11&lt;&gt;"."),d_dir!D11/((1/1000)*(d_Irr!AB11+d_Irr!BA11)),IF(AND(d_Irr!C11=".",d_Irr!AB11=".",d_Irr!BA11&lt;&gt;"."),d_dir!D11/((1/1000)*(d_Irr!BA11)),IF(AND(d_Irr!C11=".",d_Irr!AB11&lt;&gt;".",d_Irr!BA11="."),d_dir!D11/((1/1000)*(d_Irr!AB11)),IF(AND(d_Irr!C11&lt;&gt;".",d_Irr!AB11=".",d_Irr!BA11="."),d_dir!D11/((1/1000)*(d_Irr!C11)),IF(AND(d_Irr!C11=".",d_Irr!AB11=".",d_Irr!BA11="."),d_dir!D11*1000)))))))),".")</f>
        <v>.</v>
      </c>
      <c r="E11" s="70" t="str">
        <f>IFERROR(IF(AND(d_Irr!D11&lt;&gt;".",d_Irr!AC11&lt;&gt;".",d_Irr!BB11&lt;&gt;"."),d_dir!E11/((1/1000)*(d_Irr!D11+d_Irr!AC11+d_Irr!BB11)),IF(AND(d_Irr!D11&lt;&gt;".",d_Irr!AC11&lt;&gt;".",d_Irr!BB11="."),d_dir!E11/((1/1000)*(d_Irr!D11+d_Irr!AC11)),IF(AND(d_Irr!D11&lt;&gt;".",d_Irr!AC11=".",d_Irr!BB11&lt;&gt;"."),d_dir!E11/((1/1000)*(d_Irr!D11+d_Irr!BB11)),IF(AND(d_Irr!D11=".",d_Irr!AC11&lt;&gt;".",d_Irr!BB11&lt;&gt;"."),d_dir!E11/((1/1000)*(d_Irr!AC11+d_Irr!BB11)),IF(AND(d_Irr!D11=".",d_Irr!AC11=".",d_Irr!BB11&lt;&gt;"."),d_dir!E11/((1/1000)*(d_Irr!BB11)),IF(AND(d_Irr!D11=".",d_Irr!AC11&lt;&gt;".",d_Irr!BB11="."),d_dir!E11/((1/1000)*(d_Irr!AC11)),IF(AND(d_Irr!D11&lt;&gt;".",d_Irr!AC11=".",d_Irr!BB11="."),d_dir!E11/((1/1000)*(d_Irr!D11)),IF(AND(d_Irr!D11=".",d_Irr!AC11=".",d_Irr!BB11="."),d_dir!E11*1000)))))))),".")</f>
        <v>.</v>
      </c>
      <c r="F11" s="70" t="str">
        <f>IFERROR(IF(AND(d_Irr!E11&lt;&gt;".",d_Irr!AD11&lt;&gt;".",d_Irr!BC11&lt;&gt;"."),d_dir!F11/((1/1000)*(d_Irr!E11+d_Irr!AD11+d_Irr!BC11)),IF(AND(d_Irr!E11&lt;&gt;".",d_Irr!AD11&lt;&gt;".",d_Irr!BC11="."),d_dir!F11/((1/1000)*(d_Irr!E11+d_Irr!AD11)),IF(AND(d_Irr!E11&lt;&gt;".",d_Irr!AD11=".",d_Irr!BC11&lt;&gt;"."),d_dir!F11/((1/1000)*(d_Irr!E11+d_Irr!BC11)),IF(AND(d_Irr!E11=".",d_Irr!AD11&lt;&gt;".",d_Irr!BC11&lt;&gt;"."),d_dir!F11/((1/1000)*(d_Irr!AD11+d_Irr!BC11)),IF(AND(d_Irr!E11=".",d_Irr!AD11=".",d_Irr!BC11&lt;&gt;"."),d_dir!F11/((1/1000)*(d_Irr!BC11)),IF(AND(d_Irr!E11=".",d_Irr!AD11&lt;&gt;".",d_Irr!BC11="."),d_dir!F11/((1/1000)*(d_Irr!AD11)),IF(AND(d_Irr!E11&lt;&gt;".",d_Irr!AD11=".",d_Irr!BC11="."),d_dir!F11/((1/1000)*(d_Irr!E11)),IF(AND(d_Irr!E11=".",d_Irr!AD11=".",d_Irr!BC11="."),d_dir!F11*1000)))))))),".")</f>
        <v>.</v>
      </c>
      <c r="G11" s="70" t="str">
        <f>IFERROR(IF(AND(d_Irr!F11&lt;&gt;".",d_Irr!AE11&lt;&gt;".",d_Irr!BD11&lt;&gt;"."),d_dir!G11/((1/1000)*(d_Irr!F11+d_Irr!AE11+d_Irr!BD11)),IF(AND(d_Irr!F11&lt;&gt;".",d_Irr!AE11&lt;&gt;".",d_Irr!BD11="."),d_dir!G11/((1/1000)*(d_Irr!F11+d_Irr!AE11)),IF(AND(d_Irr!F11&lt;&gt;".",d_Irr!AE11=".",d_Irr!BD11&lt;&gt;"."),d_dir!G11/((1/1000)*(d_Irr!F11+d_Irr!BD11)),IF(AND(d_Irr!F11=".",d_Irr!AE11&lt;&gt;".",d_Irr!BD11&lt;&gt;"."),d_dir!G11/((1/1000)*(d_Irr!AE11+d_Irr!BD11)),IF(AND(d_Irr!F11=".",d_Irr!AE11=".",d_Irr!BD11&lt;&gt;"."),d_dir!G11/((1/1000)*(d_Irr!BD11)),IF(AND(d_Irr!F11=".",d_Irr!AE11&lt;&gt;".",d_Irr!BD11="."),d_dir!G11/((1/1000)*(d_Irr!AE11)),IF(AND(d_Irr!F11&lt;&gt;".",d_Irr!AE11=".",d_Irr!BD11="."),d_dir!G11/((1/1000)*(d_Irr!F11)),IF(AND(d_Irr!F11=".",d_Irr!AE11=".",d_Irr!BD11="."),d_dir!G11*1000)))))))),".")</f>
        <v>.</v>
      </c>
      <c r="H11" s="70" t="str">
        <f>IFERROR(IF(AND(d_Irr!G11&lt;&gt;".",d_Irr!AF11&lt;&gt;".",d_Irr!BE11&lt;&gt;"."),d_dir!H11/((1/1000)*(d_Irr!G11+d_Irr!AF11+d_Irr!BE11)),IF(AND(d_Irr!G11&lt;&gt;".",d_Irr!AF11&lt;&gt;".",d_Irr!BE11="."),d_dir!H11/((1/1000)*(d_Irr!G11+d_Irr!AF11)),IF(AND(d_Irr!G11&lt;&gt;".",d_Irr!AF11=".",d_Irr!BE11&lt;&gt;"."),d_dir!H11/((1/1000)*(d_Irr!G11+d_Irr!BE11)),IF(AND(d_Irr!G11=".",d_Irr!AF11&lt;&gt;".",d_Irr!BE11&lt;&gt;"."),d_dir!H11/((1/1000)*(d_Irr!AF11+d_Irr!BE11)),IF(AND(d_Irr!G11=".",d_Irr!AF11=".",d_Irr!BE11&lt;&gt;"."),d_dir!H11/((1/1000)*(d_Irr!BE11)),IF(AND(d_Irr!G11=".",d_Irr!AF11&lt;&gt;".",d_Irr!BE11="."),d_dir!H11/((1/1000)*(d_Irr!AF11)),IF(AND(d_Irr!G11&lt;&gt;".",d_Irr!AF11=".",d_Irr!BE11="."),d_dir!H11/((1/1000)*(d_Irr!G11)),IF(AND(d_Irr!G11=".",d_Irr!AF11=".",d_Irr!BE11="."),d_dir!H11*1000)))))))),".")</f>
        <v>.</v>
      </c>
      <c r="I11" s="70" t="str">
        <f>IFERROR(IF(AND(d_Irr!H11&lt;&gt;".",d_Irr!AG11&lt;&gt;".",d_Irr!BF11&lt;&gt;"."),d_dir!I11/((1/1000)*(d_Irr!H11+d_Irr!AG11+d_Irr!BF11)),IF(AND(d_Irr!H11&lt;&gt;".",d_Irr!AG11&lt;&gt;".",d_Irr!BF11="."),d_dir!I11/((1/1000)*(d_Irr!H11+d_Irr!AG11)),IF(AND(d_Irr!H11&lt;&gt;".",d_Irr!AG11=".",d_Irr!BF11&lt;&gt;"."),d_dir!I11/((1/1000)*(d_Irr!H11+d_Irr!BF11)),IF(AND(d_Irr!H11=".",d_Irr!AG11&lt;&gt;".",d_Irr!BF11&lt;&gt;"."),d_dir!I11/((1/1000)*(d_Irr!AG11+d_Irr!BF11)),IF(AND(d_Irr!H11=".",d_Irr!AG11=".",d_Irr!BF11&lt;&gt;"."),d_dir!I11/((1/1000)*(d_Irr!BF11)),IF(AND(d_Irr!H11=".",d_Irr!AG11&lt;&gt;".",d_Irr!BF11="."),d_dir!I11/((1/1000)*(d_Irr!AG11)),IF(AND(d_Irr!H11&lt;&gt;".",d_Irr!AG11=".",d_Irr!BF11="."),d_dir!I11/((1/1000)*(d_Irr!H11)),IF(AND(d_Irr!H11=".",d_Irr!AG11=".",d_Irr!BF11="."),d_dir!I11*1000)))))))),".")</f>
        <v>.</v>
      </c>
      <c r="J11" s="70" t="str">
        <f>IFERROR(IF(AND(d_Irr!I11&lt;&gt;".",d_Irr!AH11&lt;&gt;".",d_Irr!BG11&lt;&gt;"."),d_dir!J11/((1/1000)*(d_Irr!I11+d_Irr!AH11+d_Irr!BG11)),IF(AND(d_Irr!I11&lt;&gt;".",d_Irr!AH11&lt;&gt;".",d_Irr!BG11="."),d_dir!J11/((1/1000)*(d_Irr!I11+d_Irr!AH11)),IF(AND(d_Irr!I11&lt;&gt;".",d_Irr!AH11=".",d_Irr!BG11&lt;&gt;"."),d_dir!J11/((1/1000)*(d_Irr!I11+d_Irr!BG11)),IF(AND(d_Irr!I11=".",d_Irr!AH11&lt;&gt;".",d_Irr!BG11&lt;&gt;"."),d_dir!J11/((1/1000)*(d_Irr!AH11+d_Irr!BG11)),IF(AND(d_Irr!I11=".",d_Irr!AH11=".",d_Irr!BG11&lt;&gt;"."),d_dir!J11/((1/1000)*(d_Irr!BG11)),IF(AND(d_Irr!I11=".",d_Irr!AH11&lt;&gt;".",d_Irr!BG11="."),d_dir!J11/((1/1000)*(d_Irr!AH11)),IF(AND(d_Irr!I11&lt;&gt;".",d_Irr!AH11=".",d_Irr!BG11="."),d_dir!J11/((1/1000)*(d_Irr!I11)),IF(AND(d_Irr!I11=".",d_Irr!AH11=".",d_Irr!BG11="."),d_dir!J11*1000)))))))),".")</f>
        <v>.</v>
      </c>
      <c r="K11" s="70" t="str">
        <f>IFERROR(IF(AND(d_Irr!J11&lt;&gt;".",d_Irr!AI11&lt;&gt;".",d_Irr!BH11&lt;&gt;"."),d_dir!K11/((1/1000)*(d_Irr!J11+d_Irr!AI11+d_Irr!BH11)),IF(AND(d_Irr!J11&lt;&gt;".",d_Irr!AI11&lt;&gt;".",d_Irr!BH11="."),d_dir!K11/((1/1000)*(d_Irr!J11+d_Irr!AI11)),IF(AND(d_Irr!J11&lt;&gt;".",d_Irr!AI11=".",d_Irr!BH11&lt;&gt;"."),d_dir!K11/((1/1000)*(d_Irr!J11+d_Irr!BH11)),IF(AND(d_Irr!J11=".",d_Irr!AI11&lt;&gt;".",d_Irr!BH11&lt;&gt;"."),d_dir!K11/((1/1000)*(d_Irr!AI11+d_Irr!BH11)),IF(AND(d_Irr!J11=".",d_Irr!AI11=".",d_Irr!BH11&lt;&gt;"."),d_dir!K11/((1/1000)*(d_Irr!BH11)),IF(AND(d_Irr!J11=".",d_Irr!AI11&lt;&gt;".",d_Irr!BH11="."),d_dir!K11/((1/1000)*(d_Irr!AI11)),IF(AND(d_Irr!J11&lt;&gt;".",d_Irr!AI11=".",d_Irr!BH11="."),d_dir!K11/((1/1000)*(d_Irr!J11)),IF(AND(d_Irr!J11=".",d_Irr!AI11=".",d_Irr!BH11="."),d_dir!K11*1000)))))))),".")</f>
        <v>.</v>
      </c>
      <c r="L11" s="70" t="str">
        <f>IFERROR(IF(AND(d_Irr!K11&lt;&gt;".",d_Irr!AJ11&lt;&gt;".",d_Irr!BI11&lt;&gt;"."),d_dir!L11/((1/1000)*(d_Irr!K11+d_Irr!AJ11+d_Irr!BI11)),IF(AND(d_Irr!K11&lt;&gt;".",d_Irr!AJ11&lt;&gt;".",d_Irr!BI11="."),d_dir!L11/((1/1000)*(d_Irr!K11+d_Irr!AJ11)),IF(AND(d_Irr!K11&lt;&gt;".",d_Irr!AJ11=".",d_Irr!BI11&lt;&gt;"."),d_dir!L11/((1/1000)*(d_Irr!K11+d_Irr!BI11)),IF(AND(d_Irr!K11=".",d_Irr!AJ11&lt;&gt;".",d_Irr!BI11&lt;&gt;"."),d_dir!L11/((1/1000)*(d_Irr!AJ11+d_Irr!BI11)),IF(AND(d_Irr!K11=".",d_Irr!AJ11=".",d_Irr!BI11&lt;&gt;"."),d_dir!L11/((1/1000)*(d_Irr!BI11)),IF(AND(d_Irr!K11=".",d_Irr!AJ11&lt;&gt;".",d_Irr!BI11="."),d_dir!L11/((1/1000)*(d_Irr!AJ11)),IF(AND(d_Irr!K11&lt;&gt;".",d_Irr!AJ11=".",d_Irr!BI11="."),d_dir!L11/((1/1000)*(d_Irr!K11)),IF(AND(d_Irr!K11=".",d_Irr!AJ11=".",d_Irr!BI11="."),d_dir!L11*1000)))))))),".")</f>
        <v>.</v>
      </c>
      <c r="M11" s="70" t="str">
        <f>IFERROR(IF(AND(d_Irr!L11&lt;&gt;".",d_Irr!AK11&lt;&gt;".",d_Irr!BJ11&lt;&gt;"."),d_dir!M11/((1/1000)*(d_Irr!L11+d_Irr!AK11+d_Irr!BJ11)),IF(AND(d_Irr!L11&lt;&gt;".",d_Irr!AK11&lt;&gt;".",d_Irr!BJ11="."),d_dir!M11/((1/1000)*(d_Irr!L11+d_Irr!AK11)),IF(AND(d_Irr!L11&lt;&gt;".",d_Irr!AK11=".",d_Irr!BJ11&lt;&gt;"."),d_dir!M11/((1/1000)*(d_Irr!L11+d_Irr!BJ11)),IF(AND(d_Irr!L11=".",d_Irr!AK11&lt;&gt;".",d_Irr!BJ11&lt;&gt;"."),d_dir!M11/((1/1000)*(d_Irr!AK11+d_Irr!BJ11)),IF(AND(d_Irr!L11=".",d_Irr!AK11=".",d_Irr!BJ11&lt;&gt;"."),d_dir!M11/((1/1000)*(d_Irr!BJ11)),IF(AND(d_Irr!L11=".",d_Irr!AK11&lt;&gt;".",d_Irr!BJ11="."),d_dir!M11/((1/1000)*(d_Irr!AK11)),IF(AND(d_Irr!L11&lt;&gt;".",d_Irr!AK11=".",d_Irr!BJ11="."),d_dir!M11/((1/1000)*(d_Irr!L11)),IF(AND(d_Irr!L11=".",d_Irr!AK11=".",d_Irr!BJ11="."),d_dir!M11*1000)))))))),".")</f>
        <v>.</v>
      </c>
      <c r="N11" s="70" t="str">
        <f>IFERROR(IF(AND(d_Irr!M11&lt;&gt;".",d_Irr!AL11&lt;&gt;".",d_Irr!BK11&lt;&gt;"."),d_dir!N11/((1/1000)*(d_Irr!M11+d_Irr!AL11+d_Irr!BK11)),IF(AND(d_Irr!M11&lt;&gt;".",d_Irr!AL11&lt;&gt;".",d_Irr!BK11="."),d_dir!N11/((1/1000)*(d_Irr!M11+d_Irr!AL11)),IF(AND(d_Irr!M11&lt;&gt;".",d_Irr!AL11=".",d_Irr!BK11&lt;&gt;"."),d_dir!N11/((1/1000)*(d_Irr!M11+d_Irr!BK11)),IF(AND(d_Irr!M11=".",d_Irr!AL11&lt;&gt;".",d_Irr!BK11&lt;&gt;"."),d_dir!N11/((1/1000)*(d_Irr!AL11+d_Irr!BK11)),IF(AND(d_Irr!M11=".",d_Irr!AL11=".",d_Irr!BK11&lt;&gt;"."),d_dir!N11/((1/1000)*(d_Irr!BK11)),IF(AND(d_Irr!M11=".",d_Irr!AL11&lt;&gt;".",d_Irr!BK11="."),d_dir!N11/((1/1000)*(d_Irr!AL11)),IF(AND(d_Irr!M11&lt;&gt;".",d_Irr!AL11=".",d_Irr!BK11="."),d_dir!N11/((1/1000)*(d_Irr!M11)),IF(AND(d_Irr!M11=".",d_Irr!AL11=".",d_Irr!BK11="."),d_dir!N11*1000)))))))),".")</f>
        <v>.</v>
      </c>
      <c r="O11" s="70" t="str">
        <f>IFERROR(IF(AND(d_Irr!N11&lt;&gt;".",d_Irr!AM11&lt;&gt;".",d_Irr!BL11&lt;&gt;"."),d_dir!O11/((1/1000)*(d_Irr!N11+d_Irr!AM11+d_Irr!BL11)),IF(AND(d_Irr!N11&lt;&gt;".",d_Irr!AM11&lt;&gt;".",d_Irr!BL11="."),d_dir!O11/((1/1000)*(d_Irr!N11+d_Irr!AM11)),IF(AND(d_Irr!N11&lt;&gt;".",d_Irr!AM11=".",d_Irr!BL11&lt;&gt;"."),d_dir!O11/((1/1000)*(d_Irr!N11+d_Irr!BL11)),IF(AND(d_Irr!N11=".",d_Irr!AM11&lt;&gt;".",d_Irr!BL11&lt;&gt;"."),d_dir!O11/((1/1000)*(d_Irr!AM11+d_Irr!BL11)),IF(AND(d_Irr!N11=".",d_Irr!AM11=".",d_Irr!BL11&lt;&gt;"."),d_dir!O11/((1/1000)*(d_Irr!BL11)),IF(AND(d_Irr!N11=".",d_Irr!AM11&lt;&gt;".",d_Irr!BL11="."),d_dir!O11/((1/1000)*(d_Irr!AM11)),IF(AND(d_Irr!N11&lt;&gt;".",d_Irr!AM11=".",d_Irr!BL11="."),d_dir!O11/((1/1000)*(d_Irr!N11)),IF(AND(d_Irr!N11=".",d_Irr!AM11=".",d_Irr!BL11="."),d_dir!O11*1000)))))))),".")</f>
        <v>.</v>
      </c>
      <c r="P11" s="70" t="str">
        <f>IFERROR(IF(AND(d_Irr!O11&lt;&gt;".",d_Irr!AN11&lt;&gt;".",d_Irr!BM11&lt;&gt;"."),d_dir!P11/((1/1000)*(d_Irr!O11+d_Irr!AN11+d_Irr!BM11)),IF(AND(d_Irr!O11&lt;&gt;".",d_Irr!AN11&lt;&gt;".",d_Irr!BM11="."),d_dir!P11/((1/1000)*(d_Irr!O11+d_Irr!AN11)),IF(AND(d_Irr!O11&lt;&gt;".",d_Irr!AN11=".",d_Irr!BM11&lt;&gt;"."),d_dir!P11/((1/1000)*(d_Irr!O11+d_Irr!BM11)),IF(AND(d_Irr!O11=".",d_Irr!AN11&lt;&gt;".",d_Irr!BM11&lt;&gt;"."),d_dir!P11/((1/1000)*(d_Irr!AN11+d_Irr!BM11)),IF(AND(d_Irr!O11=".",d_Irr!AN11=".",d_Irr!BM11&lt;&gt;"."),d_dir!P11/((1/1000)*(d_Irr!BM11)),IF(AND(d_Irr!O11=".",d_Irr!AN11&lt;&gt;".",d_Irr!BM11="."),d_dir!P11/((1/1000)*(d_Irr!AN11)),IF(AND(d_Irr!O11&lt;&gt;".",d_Irr!AN11=".",d_Irr!BM11="."),d_dir!P11/((1/1000)*(d_Irr!O11)),IF(AND(d_Irr!O11=".",d_Irr!AN11=".",d_Irr!BM11="."),d_dir!P11*1000)))))))),".")</f>
        <v>.</v>
      </c>
      <c r="Q11" s="70" t="str">
        <f>IFERROR(IF(AND(d_Irr!P11&lt;&gt;".",d_Irr!AO11&lt;&gt;".",d_Irr!BN11&lt;&gt;"."),d_dir!Q11/((1/1000)*(d_Irr!P11+d_Irr!AO11+d_Irr!BN11)),IF(AND(d_Irr!P11&lt;&gt;".",d_Irr!AO11&lt;&gt;".",d_Irr!BN11="."),d_dir!Q11/((1/1000)*(d_Irr!P11+d_Irr!AO11)),IF(AND(d_Irr!P11&lt;&gt;".",d_Irr!AO11=".",d_Irr!BN11&lt;&gt;"."),d_dir!Q11/((1/1000)*(d_Irr!P11+d_Irr!BN11)),IF(AND(d_Irr!P11=".",d_Irr!AO11&lt;&gt;".",d_Irr!BN11&lt;&gt;"."),d_dir!Q11/((1/1000)*(d_Irr!AO11+d_Irr!BN11)),IF(AND(d_Irr!P11=".",d_Irr!AO11=".",d_Irr!BN11&lt;&gt;"."),d_dir!Q11/((1/1000)*(d_Irr!BN11)),IF(AND(d_Irr!P11=".",d_Irr!AO11&lt;&gt;".",d_Irr!BN11="."),d_dir!Q11/((1/1000)*(d_Irr!AO11)),IF(AND(d_Irr!P11&lt;&gt;".",d_Irr!AO11=".",d_Irr!BN11="."),d_dir!Q11/((1/1000)*(d_Irr!P11)),IF(AND(d_Irr!P11=".",d_Irr!AO11=".",d_Irr!BN11="."),d_dir!Q11*1000)))))))),".")</f>
        <v>.</v>
      </c>
      <c r="R11" s="70" t="str">
        <f>IFERROR(IF(AND(d_Irr!Q11&lt;&gt;".",d_Irr!AP11&lt;&gt;".",d_Irr!BO11&lt;&gt;"."),d_dir!R11/((1/1000)*(d_Irr!Q11+d_Irr!AP11+d_Irr!BO11)),IF(AND(d_Irr!Q11&lt;&gt;".",d_Irr!AP11&lt;&gt;".",d_Irr!BO11="."),d_dir!R11/((1/1000)*(d_Irr!Q11+d_Irr!AP11)),IF(AND(d_Irr!Q11&lt;&gt;".",d_Irr!AP11=".",d_Irr!BO11&lt;&gt;"."),d_dir!R11/((1/1000)*(d_Irr!Q11+d_Irr!BO11)),IF(AND(d_Irr!Q11=".",d_Irr!AP11&lt;&gt;".",d_Irr!BO11&lt;&gt;"."),d_dir!R11/((1/1000)*(d_Irr!AP11+d_Irr!BO11)),IF(AND(d_Irr!Q11=".",d_Irr!AP11=".",d_Irr!BO11&lt;&gt;"."),d_dir!R11/((1/1000)*(d_Irr!BO11)),IF(AND(d_Irr!Q11=".",d_Irr!AP11&lt;&gt;".",d_Irr!BO11="."),d_dir!R11/((1/1000)*(d_Irr!AP11)),IF(AND(d_Irr!Q11&lt;&gt;".",d_Irr!AP11=".",d_Irr!BO11="."),d_dir!R11/((1/1000)*(d_Irr!Q11)),IF(AND(d_Irr!Q11=".",d_Irr!AP11=".",d_Irr!BO11="."),d_dir!R11*1000)))))))),".")</f>
        <v>.</v>
      </c>
      <c r="S11" s="70" t="str">
        <f>IFERROR(IF(AND(d_Irr!R11&lt;&gt;".",d_Irr!AQ11&lt;&gt;".",d_Irr!BP11&lt;&gt;"."),d_dir!S11/((1/1000)*(d_Irr!R11+d_Irr!AQ11+d_Irr!BP11)),IF(AND(d_Irr!R11&lt;&gt;".",d_Irr!AQ11&lt;&gt;".",d_Irr!BP11="."),d_dir!S11/((1/1000)*(d_Irr!R11+d_Irr!AQ11)),IF(AND(d_Irr!R11&lt;&gt;".",d_Irr!AQ11=".",d_Irr!BP11&lt;&gt;"."),d_dir!S11/((1/1000)*(d_Irr!R11+d_Irr!BP11)),IF(AND(d_Irr!R11=".",d_Irr!AQ11&lt;&gt;".",d_Irr!BP11&lt;&gt;"."),d_dir!S11/((1/1000)*(d_Irr!AQ11+d_Irr!BP11)),IF(AND(d_Irr!R11=".",d_Irr!AQ11=".",d_Irr!BP11&lt;&gt;"."),d_dir!S11/((1/1000)*(d_Irr!BP11)),IF(AND(d_Irr!R11=".",d_Irr!AQ11&lt;&gt;".",d_Irr!BP11="."),d_dir!S11/((1/1000)*(d_Irr!AQ11)),IF(AND(d_Irr!R11&lt;&gt;".",d_Irr!AQ11=".",d_Irr!BP11="."),d_dir!S11/((1/1000)*(d_Irr!R11)),IF(AND(d_Irr!R11=".",d_Irr!AQ11=".",d_Irr!BP11="."),d_dir!S11*1000)))))))),".")</f>
        <v>.</v>
      </c>
      <c r="T11" s="70" t="str">
        <f>IFERROR(IF(AND(d_Irr!S11&lt;&gt;".",d_Irr!AR11&lt;&gt;".",d_Irr!BQ11&lt;&gt;"."),d_dir!T11/((1/1000)*(d_Irr!S11+d_Irr!AR11+d_Irr!BQ11)),IF(AND(d_Irr!S11&lt;&gt;".",d_Irr!AR11&lt;&gt;".",d_Irr!BQ11="."),d_dir!T11/((1/1000)*(d_Irr!S11+d_Irr!AR11)),IF(AND(d_Irr!S11&lt;&gt;".",d_Irr!AR11=".",d_Irr!BQ11&lt;&gt;"."),d_dir!T11/((1/1000)*(d_Irr!S11+d_Irr!BQ11)),IF(AND(d_Irr!S11=".",d_Irr!AR11&lt;&gt;".",d_Irr!BQ11&lt;&gt;"."),d_dir!T11/((1/1000)*(d_Irr!AR11+d_Irr!BQ11)),IF(AND(d_Irr!S11=".",d_Irr!AR11=".",d_Irr!BQ11&lt;&gt;"."),d_dir!T11/((1/1000)*(d_Irr!BQ11)),IF(AND(d_Irr!S11=".",d_Irr!AR11&lt;&gt;".",d_Irr!BQ11="."),d_dir!T11/((1/1000)*(d_Irr!AR11)),IF(AND(d_Irr!S11&lt;&gt;".",d_Irr!AR11=".",d_Irr!BQ11="."),d_dir!T11/((1/1000)*(d_Irr!S11)),IF(AND(d_Irr!S11=".",d_Irr!AR11=".",d_Irr!BQ11="."),d_dir!T11*1000)))))))),".")</f>
        <v>.</v>
      </c>
      <c r="U11" s="70" t="str">
        <f>IFERROR(IF(AND(d_Irr!T11&lt;&gt;".",d_Irr!AS11&lt;&gt;".",d_Irr!BR11&lt;&gt;"."),d_dir!U11/((1/1000)*(d_Irr!T11+d_Irr!AS11+d_Irr!BR11)),IF(AND(d_Irr!T11&lt;&gt;".",d_Irr!AS11&lt;&gt;".",d_Irr!BR11="."),d_dir!U11/((1/1000)*(d_Irr!T11+d_Irr!AS11)),IF(AND(d_Irr!T11&lt;&gt;".",d_Irr!AS11=".",d_Irr!BR11&lt;&gt;"."),d_dir!U11/((1/1000)*(d_Irr!T11+d_Irr!BR11)),IF(AND(d_Irr!T11=".",d_Irr!AS11&lt;&gt;".",d_Irr!BR11&lt;&gt;"."),d_dir!U11/((1/1000)*(d_Irr!AS11+d_Irr!BR11)),IF(AND(d_Irr!T11=".",d_Irr!AS11=".",d_Irr!BR11&lt;&gt;"."),d_dir!U11/((1/1000)*(d_Irr!BR11)),IF(AND(d_Irr!T11=".",d_Irr!AS11&lt;&gt;".",d_Irr!BR11="."),d_dir!U11/((1/1000)*(d_Irr!AS11)),IF(AND(d_Irr!T11&lt;&gt;".",d_Irr!AS11=".",d_Irr!BR11="."),d_dir!U11/((1/1000)*(d_Irr!T11)),IF(AND(d_Irr!T11=".",d_Irr!AS11=".",d_Irr!BR11="."),d_dir!U11*1000)))))))),".")</f>
        <v>.</v>
      </c>
      <c r="V11" s="70" t="str">
        <f>IFERROR(IF(AND(d_Irr!U11&lt;&gt;".",d_Irr!AT11&lt;&gt;".",d_Irr!BS11&lt;&gt;"."),d_dir!V11/((1/1000)*(d_Irr!U11+d_Irr!AT11+d_Irr!BS11)),IF(AND(d_Irr!U11&lt;&gt;".",d_Irr!AT11&lt;&gt;".",d_Irr!BS11="."),d_dir!V11/((1/1000)*(d_Irr!U11+d_Irr!AT11)),IF(AND(d_Irr!U11&lt;&gt;".",d_Irr!AT11=".",d_Irr!BS11&lt;&gt;"."),d_dir!V11/((1/1000)*(d_Irr!U11+d_Irr!BS11)),IF(AND(d_Irr!U11=".",d_Irr!AT11&lt;&gt;".",d_Irr!BS11&lt;&gt;"."),d_dir!V11/((1/1000)*(d_Irr!AT11+d_Irr!BS11)),IF(AND(d_Irr!U11=".",d_Irr!AT11=".",d_Irr!BS11&lt;&gt;"."),d_dir!V11/((1/1000)*(d_Irr!BS11)),IF(AND(d_Irr!U11=".",d_Irr!AT11&lt;&gt;".",d_Irr!BS11="."),d_dir!V11/((1/1000)*(d_Irr!AT11)),IF(AND(d_Irr!U11&lt;&gt;".",d_Irr!AT11=".",d_Irr!BS11="."),d_dir!V11/((1/1000)*(d_Irr!U11)),IF(AND(d_Irr!U11=".",d_Irr!AT11=".",d_Irr!BS11="."),d_dir!V11*1000)))))))),".")</f>
        <v>.</v>
      </c>
      <c r="W11" s="70" t="str">
        <f>IFERROR(IF(AND(d_Irr!V11&lt;&gt;".",d_Irr!AU11&lt;&gt;".",d_Irr!BT11&lt;&gt;"."),d_dir!W11/((1/1000)*(d_Irr!V11+d_Irr!AU11+d_Irr!BT11)),IF(AND(d_Irr!V11&lt;&gt;".",d_Irr!AU11&lt;&gt;".",d_Irr!BT11="."),d_dir!W11/((1/1000)*(d_Irr!V11+d_Irr!AU11)),IF(AND(d_Irr!V11&lt;&gt;".",d_Irr!AU11=".",d_Irr!BT11&lt;&gt;"."),d_dir!W11/((1/1000)*(d_Irr!V11+d_Irr!BT11)),IF(AND(d_Irr!V11=".",d_Irr!AU11&lt;&gt;".",d_Irr!BT11&lt;&gt;"."),d_dir!W11/((1/1000)*(d_Irr!AU11+d_Irr!BT11)),IF(AND(d_Irr!V11=".",d_Irr!AU11=".",d_Irr!BT11&lt;&gt;"."),d_dir!W11/((1/1000)*(d_Irr!BT11)),IF(AND(d_Irr!V11=".",d_Irr!AU11&lt;&gt;".",d_Irr!BT11="."),d_dir!W11/((1/1000)*(d_Irr!AU11)),IF(AND(d_Irr!V11&lt;&gt;".",d_Irr!AU11=".",d_Irr!BT11="."),d_dir!W11/((1/1000)*(d_Irr!V11)),IF(AND(d_Irr!V11=".",d_Irr!AU11=".",d_Irr!BT11="."),d_dir!W11*1000)))))))),".")</f>
        <v>.</v>
      </c>
      <c r="X11" s="70" t="str">
        <f>IFERROR(IF(AND(d_Irr!W11&lt;&gt;".",d_Irr!AV11&lt;&gt;".",d_Irr!BU11&lt;&gt;"."),d_dir!X11/((1/1000)*(d_Irr!W11+d_Irr!AV11+d_Irr!BU11)),IF(AND(d_Irr!W11&lt;&gt;".",d_Irr!AV11&lt;&gt;".",d_Irr!BU11="."),d_dir!X11/((1/1000)*(d_Irr!W11+d_Irr!AV11)),IF(AND(d_Irr!W11&lt;&gt;".",d_Irr!AV11=".",d_Irr!BU11&lt;&gt;"."),d_dir!X11/((1/1000)*(d_Irr!W11+d_Irr!BU11)),IF(AND(d_Irr!W11=".",d_Irr!AV11&lt;&gt;".",d_Irr!BU11&lt;&gt;"."),d_dir!X11/((1/1000)*(d_Irr!AV11+d_Irr!BU11)),IF(AND(d_Irr!W11=".",d_Irr!AV11=".",d_Irr!BU11&lt;&gt;"."),d_dir!X11/((1/1000)*(d_Irr!BU11)),IF(AND(d_Irr!W11=".",d_Irr!AV11&lt;&gt;".",d_Irr!BU11="."),d_dir!X11/((1/1000)*(d_Irr!AV11)),IF(AND(d_Irr!W11&lt;&gt;".",d_Irr!AV11=".",d_Irr!BU11="."),d_dir!X11/((1/1000)*(d_Irr!W11)),IF(AND(d_Irr!W11=".",d_Irr!AV11=".",d_Irr!BU11="."),d_dir!X11*1000)))))))),".")</f>
        <v>.</v>
      </c>
      <c r="Y11" s="70" t="str">
        <f>IFERROR(IF(AND(d_Irr!X11&lt;&gt;".",d_Irr!AW11&lt;&gt;".",d_Irr!BV11&lt;&gt;"."),d_dir!Y11/((1/1000)*(d_Irr!X11+d_Irr!AW11+d_Irr!BV11)),IF(AND(d_Irr!X11&lt;&gt;".",d_Irr!AW11&lt;&gt;".",d_Irr!BV11="."),d_dir!Y11/((1/1000)*(d_Irr!X11+d_Irr!AW11)),IF(AND(d_Irr!X11&lt;&gt;".",d_Irr!AW11=".",d_Irr!BV11&lt;&gt;"."),d_dir!Y11/((1/1000)*(d_Irr!X11+d_Irr!BV11)),IF(AND(d_Irr!X11=".",d_Irr!AW11&lt;&gt;".",d_Irr!BV11&lt;&gt;"."),d_dir!Y11/((1/1000)*(d_Irr!AW11+d_Irr!BV11)),IF(AND(d_Irr!X11=".",d_Irr!AW11=".",d_Irr!BV11&lt;&gt;"."),d_dir!Y11/((1/1000)*(d_Irr!BV11)),IF(AND(d_Irr!X11=".",d_Irr!AW11&lt;&gt;".",d_Irr!BV11="."),d_dir!Y11/((1/1000)*(d_Irr!AW11)),IF(AND(d_Irr!X11&lt;&gt;".",d_Irr!AW11=".",d_Irr!BV11="."),d_dir!Y11/((1/1000)*(d_Irr!X11)),IF(AND(d_Irr!X11=".",d_Irr!AW11=".",d_Irr!BV11="."),d_dir!Y11*1000)))))))),".")</f>
        <v>.</v>
      </c>
      <c r="Z11" s="70" t="str">
        <f>IFERROR(IF(AND(d_Irr!Y11&lt;&gt;".",d_Irr!AX11&lt;&gt;".",d_Irr!BW11&lt;&gt;"."),d_dir!Z11/((1/1000)*(d_Irr!Y11+d_Irr!AX11+d_Irr!BW11)),IF(AND(d_Irr!Y11&lt;&gt;".",d_Irr!AX11&lt;&gt;".",d_Irr!BW11="."),d_dir!Z11/((1/1000)*(d_Irr!Y11+d_Irr!AX11)),IF(AND(d_Irr!Y11&lt;&gt;".",d_Irr!AX11=".",d_Irr!BW11&lt;&gt;"."),d_dir!Z11/((1/1000)*(d_Irr!Y11+d_Irr!BW11)),IF(AND(d_Irr!Y11=".",d_Irr!AX11&lt;&gt;".",d_Irr!BW11&lt;&gt;"."),d_dir!Z11/((1/1000)*(d_Irr!AX11+d_Irr!BW11)),IF(AND(d_Irr!Y11=".",d_Irr!AX11=".",d_Irr!BW11&lt;&gt;"."),d_dir!Z11/((1/1000)*(d_Irr!BW11)),IF(AND(d_Irr!Y11=".",d_Irr!AX11&lt;&gt;".",d_Irr!BW11="."),d_dir!Z11/((1/1000)*(d_Irr!AX11)),IF(AND(d_Irr!Y11&lt;&gt;".",d_Irr!AX11=".",d_Irr!BW11="."),d_dir!Z11/((1/1000)*(d_Irr!Y11)),IF(AND(d_Irr!Y11=".",d_Irr!AX11=".",d_Irr!BW11="."),d_dir!Z11*1000)))))))),".")</f>
        <v>.</v>
      </c>
      <c r="AA11" s="70" t="str">
        <f>IFERROR(IF(AND(d_Irr!Z11&lt;&gt;".",d_Irr!AY11&lt;&gt;".",d_Irr!BX11&lt;&gt;"."),d_dir!AA11/((1/1000)*(d_Irr!Z11+d_Irr!AY11+d_Irr!BX11)),IF(AND(d_Irr!Z11&lt;&gt;".",d_Irr!AY11&lt;&gt;".",d_Irr!BX11="."),d_dir!AA11/((1/1000)*(d_Irr!Z11+d_Irr!AY11)),IF(AND(d_Irr!Z11&lt;&gt;".",d_Irr!AY11=".",d_Irr!BX11&lt;&gt;"."),d_dir!AA11/((1/1000)*(d_Irr!Z11+d_Irr!BX11)),IF(AND(d_Irr!Z11=".",d_Irr!AY11&lt;&gt;".",d_Irr!BX11&lt;&gt;"."),d_dir!AA11/((1/1000)*(d_Irr!AY11+d_Irr!BX11)),IF(AND(d_Irr!Z11=".",d_Irr!AY11=".",d_Irr!BX11&lt;&gt;"."),d_dir!AA11/((1/1000)*(d_Irr!BX11)),IF(AND(d_Irr!Z11=".",d_Irr!AY11&lt;&gt;".",d_Irr!BX11="."),d_dir!AA11/((1/1000)*(d_Irr!AY11)),IF(AND(d_Irr!Z11&lt;&gt;".",d_Irr!AY11=".",d_Irr!BX11="."),d_dir!AA11/((1/1000)*(d_Irr!Z11)),IF(AND(d_Irr!Z11=".",d_Irr!AY11=".",d_Irr!BX11="."),d_dir!AA11*1000)))))))),".")</f>
        <v>.</v>
      </c>
      <c r="AB11" s="70" t="str">
        <f>IFERROR(IF(AND(d_Irr!AA11&lt;&gt;".",d_Irr!AZ11&lt;&gt;".",d_Irr!BY11&lt;&gt;"."),d_dir!AB11/((1/1000)*(d_Irr!AA11+d_Irr!AZ11+d_Irr!BY11)),IF(AND(d_Irr!AA11&lt;&gt;".",d_Irr!AZ11&lt;&gt;".",d_Irr!BY11="."),d_dir!AB11/((1/1000)*(d_Irr!AA11+d_Irr!AZ11)),IF(AND(d_Irr!AA11&lt;&gt;".",d_Irr!AZ11=".",d_Irr!BY11&lt;&gt;"."),d_dir!AB11/((1/1000)*(d_Irr!AA11+d_Irr!BY11)),IF(AND(d_Irr!AA11=".",d_Irr!AZ11&lt;&gt;".",d_Irr!BY11&lt;&gt;"."),d_dir!AB11/((1/1000)*(d_Irr!AZ11+d_Irr!BY11)),IF(AND(d_Irr!AA11=".",d_Irr!AZ11=".",d_Irr!BY11&lt;&gt;"."),d_dir!AB11/((1/1000)*(d_Irr!BY11)),IF(AND(d_Irr!AA11=".",d_Irr!AZ11&lt;&gt;".",d_Irr!BY11="."),d_dir!AB11/((1/1000)*(d_Irr!AZ11)),IF(AND(d_Irr!AA11&lt;&gt;".",d_Irr!AZ11=".",d_Irr!BY11="."),d_dir!AB11/((1/1000)*(d_Irr!AA11)),IF(AND(d_Irr!AA11=".",d_Irr!AZ11=".",d_Irr!BY11="."),d_dir!AB11*1000)))))))),".")</f>
        <v>.</v>
      </c>
      <c r="AC11" s="70" t="str">
        <f t="shared" si="0"/>
        <v>.</v>
      </c>
      <c r="AD11" s="70" t="str">
        <f>IFERROR(IF(AND(d_Irr!C11&lt;&gt;".",d_Irr!AB11&lt;&gt;".",d_Irr!BA11&lt;&gt;"."),d_dir!AD11/((1/1000)*(d_Irr!C11+d_Irr!AB11+d_Irr!BA11)),IF(AND(d_Irr!C11&lt;&gt;".",d_Irr!AB11&lt;&gt;".",d_Irr!BA11="."),d_dir!AD11/((1/1000)*(d_Irr!C11+d_Irr!AB11)),IF(AND(d_Irr!C11&lt;&gt;".",d_Irr!AB11=".",d_Irr!BA11&lt;&gt;"."),d_dir!AD11/((1/1000)*(d_Irr!C11+d_Irr!BA11)),IF(AND(d_Irr!C11=".",d_Irr!AB11&lt;&gt;".",d_Irr!BA11&lt;&gt;"."),d_dir!AD11/((1/1000)*(d_Irr!AB11+d_Irr!BA11)),IF(AND(d_Irr!C11=".",d_Irr!AB11=".",d_Irr!BA11&lt;&gt;"."),d_dir!AD11/((1/1000)*(d_Irr!BA11)),IF(AND(d_Irr!C11=".",d_Irr!AB11&lt;&gt;".",d_Irr!BA11="."),d_dir!AD11/((1/1000)*(d_Irr!AB11)),IF(AND(d_Irr!C11&lt;&gt;".",d_Irr!AB11=".",d_Irr!BA11="."),d_dir!AD11/((1/1000)*(d_Irr!C11)),IF(AND(d_Irr!C11=".",d_Irr!AB11=".",d_Irr!BA11="."),d_dir!AD11*1000)))))))),".")</f>
        <v>.</v>
      </c>
      <c r="AE11" s="70" t="str">
        <f>IFERROR(IF(AND(d_Irr!D11&lt;&gt;".",d_Irr!AC11&lt;&gt;".",d_Irr!BB11&lt;&gt;"."),d_dir!AE11/((1/1000)*(d_Irr!D11+d_Irr!AC11+d_Irr!BB11)),IF(AND(d_Irr!D11&lt;&gt;".",d_Irr!AC11&lt;&gt;".",d_Irr!BB11="."),d_dir!AE11/((1/1000)*(d_Irr!D11+d_Irr!AC11)),IF(AND(d_Irr!D11&lt;&gt;".",d_Irr!AC11=".",d_Irr!BB11&lt;&gt;"."),d_dir!AE11/((1/1000)*(d_Irr!D11+d_Irr!BB11)),IF(AND(d_Irr!D11=".",d_Irr!AC11&lt;&gt;".",d_Irr!BB11&lt;&gt;"."),d_dir!AE11/((1/1000)*(d_Irr!AC11+d_Irr!BB11)),IF(AND(d_Irr!D11=".",d_Irr!AC11=".",d_Irr!BB11&lt;&gt;"."),d_dir!AE11/((1/1000)*(d_Irr!BB11)),IF(AND(d_Irr!D11=".",d_Irr!AC11&lt;&gt;".",d_Irr!BB11="."),d_dir!AE11/((1/1000)*(d_Irr!AC11)),IF(AND(d_Irr!D11&lt;&gt;".",d_Irr!AC11=".",d_Irr!BB11="."),d_dir!AE11/((1/1000)*(d_Irr!D11)),IF(AND(d_Irr!D11=".",d_Irr!AC11=".",d_Irr!BB11="."),d_dir!AE11*1000)))))))),".")</f>
        <v>.</v>
      </c>
      <c r="AF11" s="70" t="str">
        <f>IFERROR(IF(AND(d_Irr!E11&lt;&gt;".",d_Irr!AD11&lt;&gt;".",d_Irr!BC11&lt;&gt;"."),d_dir!AF11/((1/1000)*(d_Irr!E11+d_Irr!AD11+d_Irr!BC11)),IF(AND(d_Irr!E11&lt;&gt;".",d_Irr!AD11&lt;&gt;".",d_Irr!BC11="."),d_dir!AF11/((1/1000)*(d_Irr!E11+d_Irr!AD11)),IF(AND(d_Irr!E11&lt;&gt;".",d_Irr!AD11=".",d_Irr!BC11&lt;&gt;"."),d_dir!AF11/((1/1000)*(d_Irr!E11+d_Irr!BC11)),IF(AND(d_Irr!E11=".",d_Irr!AD11&lt;&gt;".",d_Irr!BC11&lt;&gt;"."),d_dir!AF11/((1/1000)*(d_Irr!AD11+d_Irr!BC11)),IF(AND(d_Irr!E11=".",d_Irr!AD11=".",d_Irr!BC11&lt;&gt;"."),d_dir!AF11/((1/1000)*(d_Irr!BC11)),IF(AND(d_Irr!E11=".",d_Irr!AD11&lt;&gt;".",d_Irr!BC11="."),d_dir!AF11/((1/1000)*(d_Irr!AD11)),IF(AND(d_Irr!E11&lt;&gt;".",d_Irr!AD11=".",d_Irr!BC11="."),d_dir!AF11/((1/1000)*(d_Irr!E11)),IF(AND(d_Irr!E11=".",d_Irr!AD11=".",d_Irr!BC11="."),d_dir!AF11*1000)))))))),".")</f>
        <v>.</v>
      </c>
      <c r="AG11" s="70" t="str">
        <f>IFERROR(IF(AND(d_Irr!F11&lt;&gt;".",d_Irr!AE11&lt;&gt;".",d_Irr!BD11&lt;&gt;"."),d_dir!AG11/((1/1000)*(d_Irr!F11+d_Irr!AE11+d_Irr!BD11)),IF(AND(d_Irr!F11&lt;&gt;".",d_Irr!AE11&lt;&gt;".",d_Irr!BD11="."),d_dir!AG11/((1/1000)*(d_Irr!F11+d_Irr!AE11)),IF(AND(d_Irr!F11&lt;&gt;".",d_Irr!AE11=".",d_Irr!BD11&lt;&gt;"."),d_dir!AG11/((1/1000)*(d_Irr!F11+d_Irr!BD11)),IF(AND(d_Irr!F11=".",d_Irr!AE11&lt;&gt;".",d_Irr!BD11&lt;&gt;"."),d_dir!AG11/((1/1000)*(d_Irr!AE11+d_Irr!BD11)),IF(AND(d_Irr!F11=".",d_Irr!AE11=".",d_Irr!BD11&lt;&gt;"."),d_dir!AG11/((1/1000)*(d_Irr!BD11)),IF(AND(d_Irr!F11=".",d_Irr!AE11&lt;&gt;".",d_Irr!BD11="."),d_dir!AG11/((1/1000)*(d_Irr!AE11)),IF(AND(d_Irr!F11&lt;&gt;".",d_Irr!AE11=".",d_Irr!BD11="."),d_dir!AG11/((1/1000)*(d_Irr!F11)),IF(AND(d_Irr!F11=".",d_Irr!AE11=".",d_Irr!BD11="."),d_dir!AG11*1000)))))))),".")</f>
        <v>.</v>
      </c>
      <c r="AH11" s="70" t="str">
        <f>IFERROR(IF(AND(d_Irr!G11&lt;&gt;".",d_Irr!AF11&lt;&gt;".",d_Irr!BE11&lt;&gt;"."),d_dir!AH11/((1/1000)*(d_Irr!G11+d_Irr!AF11+d_Irr!BE11)),IF(AND(d_Irr!G11&lt;&gt;".",d_Irr!AF11&lt;&gt;".",d_Irr!BE11="."),d_dir!AH11/((1/1000)*(d_Irr!G11+d_Irr!AF11)),IF(AND(d_Irr!G11&lt;&gt;".",d_Irr!AF11=".",d_Irr!BE11&lt;&gt;"."),d_dir!AH11/((1/1000)*(d_Irr!G11+d_Irr!BE11)),IF(AND(d_Irr!G11=".",d_Irr!AF11&lt;&gt;".",d_Irr!BE11&lt;&gt;"."),d_dir!AH11/((1/1000)*(d_Irr!AF11+d_Irr!BE11)),IF(AND(d_Irr!G11=".",d_Irr!AF11=".",d_Irr!BE11&lt;&gt;"."),d_dir!AH11/((1/1000)*(d_Irr!BE11)),IF(AND(d_Irr!G11=".",d_Irr!AF11&lt;&gt;".",d_Irr!BE11="."),d_dir!AH11/((1/1000)*(d_Irr!AF11)),IF(AND(d_Irr!G11&lt;&gt;".",d_Irr!AF11=".",d_Irr!BE11="."),d_dir!AH11/((1/1000)*(d_Irr!G11)),IF(AND(d_Irr!G11=".",d_Irr!AF11=".",d_Irr!BE11="."),d_dir!AH11*1000)))))))),".")</f>
        <v>.</v>
      </c>
      <c r="AI11" s="70" t="str">
        <f>IFERROR(IF(AND(d_Irr!H11&lt;&gt;".",d_Irr!AG11&lt;&gt;".",d_Irr!BF11&lt;&gt;"."),d_dir!AI11/((1/1000)*(d_Irr!H11+d_Irr!AG11+d_Irr!BF11)),IF(AND(d_Irr!H11&lt;&gt;".",d_Irr!AG11&lt;&gt;".",d_Irr!BF11="."),d_dir!AI11/((1/1000)*(d_Irr!H11+d_Irr!AG11)),IF(AND(d_Irr!H11&lt;&gt;".",d_Irr!AG11=".",d_Irr!BF11&lt;&gt;"."),d_dir!AI11/((1/1000)*(d_Irr!H11+d_Irr!BF11)),IF(AND(d_Irr!H11=".",d_Irr!AG11&lt;&gt;".",d_Irr!BF11&lt;&gt;"."),d_dir!AI11/((1/1000)*(d_Irr!AG11+d_Irr!BF11)),IF(AND(d_Irr!H11=".",d_Irr!AG11=".",d_Irr!BF11&lt;&gt;"."),d_dir!AI11/((1/1000)*(d_Irr!BF11)),IF(AND(d_Irr!H11=".",d_Irr!AG11&lt;&gt;".",d_Irr!BF11="."),d_dir!AI11/((1/1000)*(d_Irr!AG11)),IF(AND(d_Irr!H11&lt;&gt;".",d_Irr!AG11=".",d_Irr!BF11="."),d_dir!AI11/((1/1000)*(d_Irr!H11)),IF(AND(d_Irr!H11=".",d_Irr!AG11=".",d_Irr!BF11="."),d_dir!AI11*1000)))))))),".")</f>
        <v>.</v>
      </c>
      <c r="AJ11" s="70" t="str">
        <f>IFERROR(IF(AND(d_Irr!I11&lt;&gt;".",d_Irr!AH11&lt;&gt;".",d_Irr!BG11&lt;&gt;"."),d_dir!AJ11/((1/1000)*(d_Irr!I11+d_Irr!AH11+d_Irr!BG11)),IF(AND(d_Irr!I11&lt;&gt;".",d_Irr!AH11&lt;&gt;".",d_Irr!BG11="."),d_dir!AJ11/((1/1000)*(d_Irr!I11+d_Irr!AH11)),IF(AND(d_Irr!I11&lt;&gt;".",d_Irr!AH11=".",d_Irr!BG11&lt;&gt;"."),d_dir!AJ11/((1/1000)*(d_Irr!I11+d_Irr!BG11)),IF(AND(d_Irr!I11=".",d_Irr!AH11&lt;&gt;".",d_Irr!BG11&lt;&gt;"."),d_dir!AJ11/((1/1000)*(d_Irr!AH11+d_Irr!BG11)),IF(AND(d_Irr!I11=".",d_Irr!AH11=".",d_Irr!BG11&lt;&gt;"."),d_dir!AJ11/((1/1000)*(d_Irr!BG11)),IF(AND(d_Irr!I11=".",d_Irr!AH11&lt;&gt;".",d_Irr!BG11="."),d_dir!AJ11/((1/1000)*(d_Irr!AH11)),IF(AND(d_Irr!I11&lt;&gt;".",d_Irr!AH11=".",d_Irr!BG11="."),d_dir!AJ11/((1/1000)*(d_Irr!I11)),IF(AND(d_Irr!I11=".",d_Irr!AH11=".",d_Irr!BG11="."),d_dir!AJ11*1000)))))))),".")</f>
        <v>.</v>
      </c>
      <c r="AK11" s="70" t="str">
        <f>IFERROR(IF(AND(d_Irr!J11&lt;&gt;".",d_Irr!AI11&lt;&gt;".",d_Irr!BH11&lt;&gt;"."),d_dir!AK11/((1/1000)*(d_Irr!J11+d_Irr!AI11+d_Irr!BH11)),IF(AND(d_Irr!J11&lt;&gt;".",d_Irr!AI11&lt;&gt;".",d_Irr!BH11="."),d_dir!AK11/((1/1000)*(d_Irr!J11+d_Irr!AI11)),IF(AND(d_Irr!J11&lt;&gt;".",d_Irr!AI11=".",d_Irr!BH11&lt;&gt;"."),d_dir!AK11/((1/1000)*(d_Irr!J11+d_Irr!BH11)),IF(AND(d_Irr!J11=".",d_Irr!AI11&lt;&gt;".",d_Irr!BH11&lt;&gt;"."),d_dir!AK11/((1/1000)*(d_Irr!AI11+d_Irr!BH11)),IF(AND(d_Irr!J11=".",d_Irr!AI11=".",d_Irr!BH11&lt;&gt;"."),d_dir!AK11/((1/1000)*(d_Irr!BH11)),IF(AND(d_Irr!J11=".",d_Irr!AI11&lt;&gt;".",d_Irr!BH11="."),d_dir!AK11/((1/1000)*(d_Irr!AI11)),IF(AND(d_Irr!J11&lt;&gt;".",d_Irr!AI11=".",d_Irr!BH11="."),d_dir!AK11/((1/1000)*(d_Irr!J11)),IF(AND(d_Irr!J11=".",d_Irr!AI11=".",d_Irr!BH11="."),d_dir!AK11*1000)))))))),".")</f>
        <v>.</v>
      </c>
      <c r="AL11" s="70" t="str">
        <f>IFERROR(IF(AND(d_Irr!K11&lt;&gt;".",d_Irr!AJ11&lt;&gt;".",d_Irr!BI11&lt;&gt;"."),d_dir!AL11/((1/1000)*(d_Irr!K11+d_Irr!AJ11+d_Irr!BI11)),IF(AND(d_Irr!K11&lt;&gt;".",d_Irr!AJ11&lt;&gt;".",d_Irr!BI11="."),d_dir!AL11/((1/1000)*(d_Irr!K11+d_Irr!AJ11)),IF(AND(d_Irr!K11&lt;&gt;".",d_Irr!AJ11=".",d_Irr!BI11&lt;&gt;"."),d_dir!AL11/((1/1000)*(d_Irr!K11+d_Irr!BI11)),IF(AND(d_Irr!K11=".",d_Irr!AJ11&lt;&gt;".",d_Irr!BI11&lt;&gt;"."),d_dir!AL11/((1/1000)*(d_Irr!AJ11+d_Irr!BI11)),IF(AND(d_Irr!K11=".",d_Irr!AJ11=".",d_Irr!BI11&lt;&gt;"."),d_dir!AL11/((1/1000)*(d_Irr!BI11)),IF(AND(d_Irr!K11=".",d_Irr!AJ11&lt;&gt;".",d_Irr!BI11="."),d_dir!AL11/((1/1000)*(d_Irr!AJ11)),IF(AND(d_Irr!K11&lt;&gt;".",d_Irr!AJ11=".",d_Irr!BI11="."),d_dir!AL11/((1/1000)*(d_Irr!K11)),IF(AND(d_Irr!K11=".",d_Irr!AJ11=".",d_Irr!BI11="."),d_dir!AL11*1000)))))))),".")</f>
        <v>.</v>
      </c>
      <c r="AM11" s="70" t="str">
        <f>IFERROR(IF(AND(d_Irr!L11&lt;&gt;".",d_Irr!AK11&lt;&gt;".",d_Irr!BJ11&lt;&gt;"."),d_dir!AM11/((1/1000)*(d_Irr!L11+d_Irr!AK11+d_Irr!BJ11)),IF(AND(d_Irr!L11&lt;&gt;".",d_Irr!AK11&lt;&gt;".",d_Irr!BJ11="."),d_dir!AM11/((1/1000)*(d_Irr!L11+d_Irr!AK11)),IF(AND(d_Irr!L11&lt;&gt;".",d_Irr!AK11=".",d_Irr!BJ11&lt;&gt;"."),d_dir!AM11/((1/1000)*(d_Irr!L11+d_Irr!BJ11)),IF(AND(d_Irr!L11=".",d_Irr!AK11&lt;&gt;".",d_Irr!BJ11&lt;&gt;"."),d_dir!AM11/((1/1000)*(d_Irr!AK11+d_Irr!BJ11)),IF(AND(d_Irr!L11=".",d_Irr!AK11=".",d_Irr!BJ11&lt;&gt;"."),d_dir!AM11/((1/1000)*(d_Irr!BJ11)),IF(AND(d_Irr!L11=".",d_Irr!AK11&lt;&gt;".",d_Irr!BJ11="."),d_dir!AM11/((1/1000)*(d_Irr!AK11)),IF(AND(d_Irr!L11&lt;&gt;".",d_Irr!AK11=".",d_Irr!BJ11="."),d_dir!AM11/((1/1000)*(d_Irr!L11)),IF(AND(d_Irr!L11=".",d_Irr!AK11=".",d_Irr!BJ11="."),d_dir!AM11*1000)))))))),".")</f>
        <v>.</v>
      </c>
      <c r="AN11" s="70" t="str">
        <f>IFERROR(IF(AND(d_Irr!M11&lt;&gt;".",d_Irr!AL11&lt;&gt;".",d_Irr!BK11&lt;&gt;"."),d_dir!AN11/((1/1000)*(d_Irr!M11+d_Irr!AL11+d_Irr!BK11)),IF(AND(d_Irr!M11&lt;&gt;".",d_Irr!AL11&lt;&gt;".",d_Irr!BK11="."),d_dir!AN11/((1/1000)*(d_Irr!M11+d_Irr!AL11)),IF(AND(d_Irr!M11&lt;&gt;".",d_Irr!AL11=".",d_Irr!BK11&lt;&gt;"."),d_dir!AN11/((1/1000)*(d_Irr!M11+d_Irr!BK11)),IF(AND(d_Irr!M11=".",d_Irr!AL11&lt;&gt;".",d_Irr!BK11&lt;&gt;"."),d_dir!AN11/((1/1000)*(d_Irr!AL11+d_Irr!BK11)),IF(AND(d_Irr!M11=".",d_Irr!AL11=".",d_Irr!BK11&lt;&gt;"."),d_dir!AN11/((1/1000)*(d_Irr!BK11)),IF(AND(d_Irr!M11=".",d_Irr!AL11&lt;&gt;".",d_Irr!BK11="."),d_dir!AN11/((1/1000)*(d_Irr!AL11)),IF(AND(d_Irr!M11&lt;&gt;".",d_Irr!AL11=".",d_Irr!BK11="."),d_dir!AN11/((1/1000)*(d_Irr!M11)),IF(AND(d_Irr!M11=".",d_Irr!AL11=".",d_Irr!BK11="."),d_dir!AN11*1000)))))))),".")</f>
        <v>.</v>
      </c>
      <c r="AO11" s="70" t="str">
        <f>IFERROR(IF(AND(d_Irr!N11&lt;&gt;".",d_Irr!AM11&lt;&gt;".",d_Irr!BL11&lt;&gt;"."),d_dir!AO11/((1/1000)*(d_Irr!N11+d_Irr!AM11+d_Irr!BL11)),IF(AND(d_Irr!N11&lt;&gt;".",d_Irr!AM11&lt;&gt;".",d_Irr!BL11="."),d_dir!AO11/((1/1000)*(d_Irr!N11+d_Irr!AM11)),IF(AND(d_Irr!N11&lt;&gt;".",d_Irr!AM11=".",d_Irr!BL11&lt;&gt;"."),d_dir!AO11/((1/1000)*(d_Irr!N11+d_Irr!BL11)),IF(AND(d_Irr!N11=".",d_Irr!AM11&lt;&gt;".",d_Irr!BL11&lt;&gt;"."),d_dir!AO11/((1/1000)*(d_Irr!AM11+d_Irr!BL11)),IF(AND(d_Irr!N11=".",d_Irr!AM11=".",d_Irr!BL11&lt;&gt;"."),d_dir!AO11/((1/1000)*(d_Irr!BL11)),IF(AND(d_Irr!N11=".",d_Irr!AM11&lt;&gt;".",d_Irr!BL11="."),d_dir!AO11/((1/1000)*(d_Irr!AM11)),IF(AND(d_Irr!N11&lt;&gt;".",d_Irr!AM11=".",d_Irr!BL11="."),d_dir!AO11/((1/1000)*(d_Irr!N11)),IF(AND(d_Irr!N11=".",d_Irr!AM11=".",d_Irr!BL11="."),d_dir!AO11*1000)))))))),".")</f>
        <v>.</v>
      </c>
      <c r="AP11" s="70" t="str">
        <f>IFERROR(IF(AND(d_Irr!O11&lt;&gt;".",d_Irr!AN11&lt;&gt;".",d_Irr!BM11&lt;&gt;"."),d_dir!AP11/((1/1000)*(d_Irr!O11+d_Irr!AN11+d_Irr!BM11)),IF(AND(d_Irr!O11&lt;&gt;".",d_Irr!AN11&lt;&gt;".",d_Irr!BM11="."),d_dir!AP11/((1/1000)*(d_Irr!O11+d_Irr!AN11)),IF(AND(d_Irr!O11&lt;&gt;".",d_Irr!AN11=".",d_Irr!BM11&lt;&gt;"."),d_dir!AP11/((1/1000)*(d_Irr!O11+d_Irr!BM11)),IF(AND(d_Irr!O11=".",d_Irr!AN11&lt;&gt;".",d_Irr!BM11&lt;&gt;"."),d_dir!AP11/((1/1000)*(d_Irr!AN11+d_Irr!BM11)),IF(AND(d_Irr!O11=".",d_Irr!AN11=".",d_Irr!BM11&lt;&gt;"."),d_dir!AP11/((1/1000)*(d_Irr!BM11)),IF(AND(d_Irr!O11=".",d_Irr!AN11&lt;&gt;".",d_Irr!BM11="."),d_dir!AP11/((1/1000)*(d_Irr!AN11)),IF(AND(d_Irr!O11&lt;&gt;".",d_Irr!AN11=".",d_Irr!BM11="."),d_dir!AP11/((1/1000)*(d_Irr!O11)),IF(AND(d_Irr!O11=".",d_Irr!AN11=".",d_Irr!BM11="."),d_dir!AP11*1000)))))))),".")</f>
        <v>.</v>
      </c>
      <c r="AQ11" s="70" t="str">
        <f>IFERROR(IF(AND(d_Irr!P11&lt;&gt;".",d_Irr!AO11&lt;&gt;".",d_Irr!BN11&lt;&gt;"."),d_dir!AQ11/((1/1000)*(d_Irr!P11+d_Irr!AO11+d_Irr!BN11)),IF(AND(d_Irr!P11&lt;&gt;".",d_Irr!AO11&lt;&gt;".",d_Irr!BN11="."),d_dir!AQ11/((1/1000)*(d_Irr!P11+d_Irr!AO11)),IF(AND(d_Irr!P11&lt;&gt;".",d_Irr!AO11=".",d_Irr!BN11&lt;&gt;"."),d_dir!AQ11/((1/1000)*(d_Irr!P11+d_Irr!BN11)),IF(AND(d_Irr!P11=".",d_Irr!AO11&lt;&gt;".",d_Irr!BN11&lt;&gt;"."),d_dir!AQ11/((1/1000)*(d_Irr!AO11+d_Irr!BN11)),IF(AND(d_Irr!P11=".",d_Irr!AO11=".",d_Irr!BN11&lt;&gt;"."),d_dir!AQ11/((1/1000)*(d_Irr!BN11)),IF(AND(d_Irr!P11=".",d_Irr!AO11&lt;&gt;".",d_Irr!BN11="."),d_dir!AQ11/((1/1000)*(d_Irr!AO11)),IF(AND(d_Irr!P11&lt;&gt;".",d_Irr!AO11=".",d_Irr!BN11="."),d_dir!AQ11/((1/1000)*(d_Irr!P11)),IF(AND(d_Irr!P11=".",d_Irr!AO11=".",d_Irr!BN11="."),d_dir!AQ11*1000)))))))),".")</f>
        <v>.</v>
      </c>
      <c r="AR11" s="70" t="str">
        <f>IFERROR(IF(AND(d_Irr!Q11&lt;&gt;".",d_Irr!AP11&lt;&gt;".",d_Irr!BO11&lt;&gt;"."),d_dir!AR11/((1/1000)*(d_Irr!Q11+d_Irr!AP11+d_Irr!BO11)),IF(AND(d_Irr!Q11&lt;&gt;".",d_Irr!AP11&lt;&gt;".",d_Irr!BO11="."),d_dir!AR11/((1/1000)*(d_Irr!Q11+d_Irr!AP11)),IF(AND(d_Irr!Q11&lt;&gt;".",d_Irr!AP11=".",d_Irr!BO11&lt;&gt;"."),d_dir!AR11/((1/1000)*(d_Irr!Q11+d_Irr!BO11)),IF(AND(d_Irr!Q11=".",d_Irr!AP11&lt;&gt;".",d_Irr!BO11&lt;&gt;"."),d_dir!AR11/((1/1000)*(d_Irr!AP11+d_Irr!BO11)),IF(AND(d_Irr!Q11=".",d_Irr!AP11=".",d_Irr!BO11&lt;&gt;"."),d_dir!AR11/((1/1000)*(d_Irr!BO11)),IF(AND(d_Irr!Q11=".",d_Irr!AP11&lt;&gt;".",d_Irr!BO11="."),d_dir!AR11/((1/1000)*(d_Irr!AP11)),IF(AND(d_Irr!Q11&lt;&gt;".",d_Irr!AP11=".",d_Irr!BO11="."),d_dir!AR11/((1/1000)*(d_Irr!Q11)),IF(AND(d_Irr!Q11=".",d_Irr!AP11=".",d_Irr!BO11="."),d_dir!AR11*1000)))))))),".")</f>
        <v>.</v>
      </c>
      <c r="AS11" s="70" t="str">
        <f>IFERROR(IF(AND(d_Irr!R11&lt;&gt;".",d_Irr!AQ11&lt;&gt;".",d_Irr!BP11&lt;&gt;"."),d_dir!AS11/((1/1000)*(d_Irr!R11+d_Irr!AQ11+d_Irr!BP11)),IF(AND(d_Irr!R11&lt;&gt;".",d_Irr!AQ11&lt;&gt;".",d_Irr!BP11="."),d_dir!AS11/((1/1000)*(d_Irr!R11+d_Irr!AQ11)),IF(AND(d_Irr!R11&lt;&gt;".",d_Irr!AQ11=".",d_Irr!BP11&lt;&gt;"."),d_dir!AS11/((1/1000)*(d_Irr!R11+d_Irr!BP11)),IF(AND(d_Irr!R11=".",d_Irr!AQ11&lt;&gt;".",d_Irr!BP11&lt;&gt;"."),d_dir!AS11/((1/1000)*(d_Irr!AQ11+d_Irr!BP11)),IF(AND(d_Irr!R11=".",d_Irr!AQ11=".",d_Irr!BP11&lt;&gt;"."),d_dir!AS11/((1/1000)*(d_Irr!BP11)),IF(AND(d_Irr!R11=".",d_Irr!AQ11&lt;&gt;".",d_Irr!BP11="."),d_dir!AS11/((1/1000)*(d_Irr!AQ11)),IF(AND(d_Irr!R11&lt;&gt;".",d_Irr!AQ11=".",d_Irr!BP11="."),d_dir!AS11/((1/1000)*(d_Irr!R11)),IF(AND(d_Irr!R11=".",d_Irr!AQ11=".",d_Irr!BP11="."),d_dir!AS11*1000)))))))),".")</f>
        <v>.</v>
      </c>
      <c r="AT11" s="70" t="str">
        <f>IFERROR(IF(AND(d_Irr!S11&lt;&gt;".",d_Irr!AR11&lt;&gt;".",d_Irr!BQ11&lt;&gt;"."),d_dir!AT11/((1/1000)*(d_Irr!S11+d_Irr!AR11+d_Irr!BQ11)),IF(AND(d_Irr!S11&lt;&gt;".",d_Irr!AR11&lt;&gt;".",d_Irr!BQ11="."),d_dir!AT11/((1/1000)*(d_Irr!S11+d_Irr!AR11)),IF(AND(d_Irr!S11&lt;&gt;".",d_Irr!AR11=".",d_Irr!BQ11&lt;&gt;"."),d_dir!AT11/((1/1000)*(d_Irr!S11+d_Irr!BQ11)),IF(AND(d_Irr!S11=".",d_Irr!AR11&lt;&gt;".",d_Irr!BQ11&lt;&gt;"."),d_dir!AT11/((1/1000)*(d_Irr!AR11+d_Irr!BQ11)),IF(AND(d_Irr!S11=".",d_Irr!AR11=".",d_Irr!BQ11&lt;&gt;"."),d_dir!AT11/((1/1000)*(d_Irr!BQ11)),IF(AND(d_Irr!S11=".",d_Irr!AR11&lt;&gt;".",d_Irr!BQ11="."),d_dir!AT11/((1/1000)*(d_Irr!AR11)),IF(AND(d_Irr!S11&lt;&gt;".",d_Irr!AR11=".",d_Irr!BQ11="."),d_dir!AT11/((1/1000)*(d_Irr!S11)),IF(AND(d_Irr!S11=".",d_Irr!AR11=".",d_Irr!BQ11="."),d_dir!AT11*1000)))))))),".")</f>
        <v>.</v>
      </c>
      <c r="AU11" s="70" t="str">
        <f>IFERROR(IF(AND(d_Irr!T11&lt;&gt;".",d_Irr!AS11&lt;&gt;".",d_Irr!BR11&lt;&gt;"."),d_dir!AU11/((1/1000)*(d_Irr!T11+d_Irr!AS11+d_Irr!BR11)),IF(AND(d_Irr!T11&lt;&gt;".",d_Irr!AS11&lt;&gt;".",d_Irr!BR11="."),d_dir!AU11/((1/1000)*(d_Irr!T11+d_Irr!AS11)),IF(AND(d_Irr!T11&lt;&gt;".",d_Irr!AS11=".",d_Irr!BR11&lt;&gt;"."),d_dir!AU11/((1/1000)*(d_Irr!T11+d_Irr!BR11)),IF(AND(d_Irr!T11=".",d_Irr!AS11&lt;&gt;".",d_Irr!BR11&lt;&gt;"."),d_dir!AU11/((1/1000)*(d_Irr!AS11+d_Irr!BR11)),IF(AND(d_Irr!T11=".",d_Irr!AS11=".",d_Irr!BR11&lt;&gt;"."),d_dir!AU11/((1/1000)*(d_Irr!BR11)),IF(AND(d_Irr!T11=".",d_Irr!AS11&lt;&gt;".",d_Irr!BR11="."),d_dir!AU11/((1/1000)*(d_Irr!AS11)),IF(AND(d_Irr!T11&lt;&gt;".",d_Irr!AS11=".",d_Irr!BR11="."),d_dir!AU11/((1/1000)*(d_Irr!T11)),IF(AND(d_Irr!T11=".",d_Irr!AS11=".",d_Irr!BR11="."),d_dir!AU11*1000)))))))),".")</f>
        <v>.</v>
      </c>
      <c r="AV11" s="70" t="str">
        <f>IFERROR(IF(AND(d_Irr!U11&lt;&gt;".",d_Irr!AT11&lt;&gt;".",d_Irr!BS11&lt;&gt;"."),d_dir!AV11/((1/1000)*(d_Irr!U11+d_Irr!AT11+d_Irr!BS11)),IF(AND(d_Irr!U11&lt;&gt;".",d_Irr!AT11&lt;&gt;".",d_Irr!BS11="."),d_dir!AV11/((1/1000)*(d_Irr!U11+d_Irr!AT11)),IF(AND(d_Irr!U11&lt;&gt;".",d_Irr!AT11=".",d_Irr!BS11&lt;&gt;"."),d_dir!AV11/((1/1000)*(d_Irr!U11+d_Irr!BS11)),IF(AND(d_Irr!U11=".",d_Irr!AT11&lt;&gt;".",d_Irr!BS11&lt;&gt;"."),d_dir!AV11/((1/1000)*(d_Irr!AT11+d_Irr!BS11)),IF(AND(d_Irr!U11=".",d_Irr!AT11=".",d_Irr!BS11&lt;&gt;"."),d_dir!AV11/((1/1000)*(d_Irr!BS11)),IF(AND(d_Irr!U11=".",d_Irr!AT11&lt;&gt;".",d_Irr!BS11="."),d_dir!AV11/((1/1000)*(d_Irr!AT11)),IF(AND(d_Irr!U11&lt;&gt;".",d_Irr!AT11=".",d_Irr!BS11="."),d_dir!AV11/((1/1000)*(d_Irr!U11)),IF(AND(d_Irr!U11=".",d_Irr!AT11=".",d_Irr!BS11="."),d_dir!AV11*1000)))))))),".")</f>
        <v>.</v>
      </c>
      <c r="AW11" s="70" t="str">
        <f>IFERROR(IF(AND(d_Irr!V11&lt;&gt;".",d_Irr!AU11&lt;&gt;".",d_Irr!BT11&lt;&gt;"."),d_dir!AW11/((1/1000)*(d_Irr!V11+d_Irr!AU11+d_Irr!BT11)),IF(AND(d_Irr!V11&lt;&gt;".",d_Irr!AU11&lt;&gt;".",d_Irr!BT11="."),d_dir!AW11/((1/1000)*(d_Irr!V11+d_Irr!AU11)),IF(AND(d_Irr!V11&lt;&gt;".",d_Irr!AU11=".",d_Irr!BT11&lt;&gt;"."),d_dir!AW11/((1/1000)*(d_Irr!V11+d_Irr!BT11)),IF(AND(d_Irr!V11=".",d_Irr!AU11&lt;&gt;".",d_Irr!BT11&lt;&gt;"."),d_dir!AW11/((1/1000)*(d_Irr!AU11+d_Irr!BT11)),IF(AND(d_Irr!V11=".",d_Irr!AU11=".",d_Irr!BT11&lt;&gt;"."),d_dir!AW11/((1/1000)*(d_Irr!BT11)),IF(AND(d_Irr!V11=".",d_Irr!AU11&lt;&gt;".",d_Irr!BT11="."),d_dir!AW11/((1/1000)*(d_Irr!AU11)),IF(AND(d_Irr!V11&lt;&gt;".",d_Irr!AU11=".",d_Irr!BT11="."),d_dir!AW11/((1/1000)*(d_Irr!V11)),IF(AND(d_Irr!V11=".",d_Irr!AU11=".",d_Irr!BT11="."),d_dir!AW11*1000)))))))),".")</f>
        <v>.</v>
      </c>
      <c r="AX11" s="70" t="str">
        <f>IFERROR(IF(AND(d_Irr!W11&lt;&gt;".",d_Irr!AV11&lt;&gt;".",d_Irr!BU11&lt;&gt;"."),d_dir!AX11/((1/1000)*(d_Irr!W11+d_Irr!AV11+d_Irr!BU11)),IF(AND(d_Irr!W11&lt;&gt;".",d_Irr!AV11&lt;&gt;".",d_Irr!BU11="."),d_dir!AX11/((1/1000)*(d_Irr!W11+d_Irr!AV11)),IF(AND(d_Irr!W11&lt;&gt;".",d_Irr!AV11=".",d_Irr!BU11&lt;&gt;"."),d_dir!AX11/((1/1000)*(d_Irr!W11+d_Irr!BU11)),IF(AND(d_Irr!W11=".",d_Irr!AV11&lt;&gt;".",d_Irr!BU11&lt;&gt;"."),d_dir!AX11/((1/1000)*(d_Irr!AV11+d_Irr!BU11)),IF(AND(d_Irr!W11=".",d_Irr!AV11=".",d_Irr!BU11&lt;&gt;"."),d_dir!AX11/((1/1000)*(d_Irr!BU11)),IF(AND(d_Irr!W11=".",d_Irr!AV11&lt;&gt;".",d_Irr!BU11="."),d_dir!AX11/((1/1000)*(d_Irr!AV11)),IF(AND(d_Irr!W11&lt;&gt;".",d_Irr!AV11=".",d_Irr!BU11="."),d_dir!AX11/((1/1000)*(d_Irr!W11)),IF(AND(d_Irr!W11=".",d_Irr!AV11=".",d_Irr!BU11="."),d_dir!AX11*1000)))))))),".")</f>
        <v>.</v>
      </c>
      <c r="AY11" s="70" t="str">
        <f>IFERROR(IF(AND(d_Irr!X11&lt;&gt;".",d_Irr!AW11&lt;&gt;".",d_Irr!BV11&lt;&gt;"."),d_dir!AY11/((1/1000)*(d_Irr!X11+d_Irr!AW11+d_Irr!BV11)),IF(AND(d_Irr!X11&lt;&gt;".",d_Irr!AW11&lt;&gt;".",d_Irr!BV11="."),d_dir!AY11/((1/1000)*(d_Irr!X11+d_Irr!AW11)),IF(AND(d_Irr!X11&lt;&gt;".",d_Irr!AW11=".",d_Irr!BV11&lt;&gt;"."),d_dir!AY11/((1/1000)*(d_Irr!X11+d_Irr!BV11)),IF(AND(d_Irr!X11=".",d_Irr!AW11&lt;&gt;".",d_Irr!BV11&lt;&gt;"."),d_dir!AY11/((1/1000)*(d_Irr!AW11+d_Irr!BV11)),IF(AND(d_Irr!X11=".",d_Irr!AW11=".",d_Irr!BV11&lt;&gt;"."),d_dir!AY11/((1/1000)*(d_Irr!BV11)),IF(AND(d_Irr!X11=".",d_Irr!AW11&lt;&gt;".",d_Irr!BV11="."),d_dir!AY11/((1/1000)*(d_Irr!AW11)),IF(AND(d_Irr!X11&lt;&gt;".",d_Irr!AW11=".",d_Irr!BV11="."),d_dir!AY11/((1/1000)*(d_Irr!X11)),IF(AND(d_Irr!X11=".",d_Irr!AW11=".",d_Irr!BV11="."),d_dir!AY11*1000)))))))),".")</f>
        <v>.</v>
      </c>
      <c r="AZ11" s="70" t="str">
        <f>IFERROR(IF(AND(d_Irr!Y11&lt;&gt;".",d_Irr!AX11&lt;&gt;".",d_Irr!BW11&lt;&gt;"."),d_dir!AZ11/((1/1000)*(d_Irr!Y11+d_Irr!AX11+d_Irr!BW11)),IF(AND(d_Irr!Y11&lt;&gt;".",d_Irr!AX11&lt;&gt;".",d_Irr!BW11="."),d_dir!AZ11/((1/1000)*(d_Irr!Y11+d_Irr!AX11)),IF(AND(d_Irr!Y11&lt;&gt;".",d_Irr!AX11=".",d_Irr!BW11&lt;&gt;"."),d_dir!AZ11/((1/1000)*(d_Irr!Y11+d_Irr!BW11)),IF(AND(d_Irr!Y11=".",d_Irr!AX11&lt;&gt;".",d_Irr!BW11&lt;&gt;"."),d_dir!AZ11/((1/1000)*(d_Irr!AX11+d_Irr!BW11)),IF(AND(d_Irr!Y11=".",d_Irr!AX11=".",d_Irr!BW11&lt;&gt;"."),d_dir!AZ11/((1/1000)*(d_Irr!BW11)),IF(AND(d_Irr!Y11=".",d_Irr!AX11&lt;&gt;".",d_Irr!BW11="."),d_dir!AZ11/((1/1000)*(d_Irr!AX11)),IF(AND(d_Irr!Y11&lt;&gt;".",d_Irr!AX11=".",d_Irr!BW11="."),d_dir!AZ11/((1/1000)*(d_Irr!Y11)),IF(AND(d_Irr!Y11=".",d_Irr!AX11=".",d_Irr!BW11="."),d_dir!AZ11*1000)))))))),".")</f>
        <v>.</v>
      </c>
      <c r="BA11" s="70" t="str">
        <f>IFERROR(IF(AND(d_Irr!Z11&lt;&gt;".",d_Irr!AY11&lt;&gt;".",d_Irr!BX11&lt;&gt;"."),d_dir!BA11/((1/1000)*(d_Irr!Z11+d_Irr!AY11+d_Irr!BX11)),IF(AND(d_Irr!Z11&lt;&gt;".",d_Irr!AY11&lt;&gt;".",d_Irr!BX11="."),d_dir!BA11/((1/1000)*(d_Irr!Z11+d_Irr!AY11)),IF(AND(d_Irr!Z11&lt;&gt;".",d_Irr!AY11=".",d_Irr!BX11&lt;&gt;"."),d_dir!BA11/((1/1000)*(d_Irr!Z11+d_Irr!BX11)),IF(AND(d_Irr!Z11=".",d_Irr!AY11&lt;&gt;".",d_Irr!BX11&lt;&gt;"."),d_dir!BA11/((1/1000)*(d_Irr!AY11+d_Irr!BX11)),IF(AND(d_Irr!Z11=".",d_Irr!AY11=".",d_Irr!BX11&lt;&gt;"."),d_dir!BA11/((1/1000)*(d_Irr!BX11)),IF(AND(d_Irr!Z11=".",d_Irr!AY11&lt;&gt;".",d_Irr!BX11="."),d_dir!BA11/((1/1000)*(d_Irr!AY11)),IF(AND(d_Irr!Z11&lt;&gt;".",d_Irr!AY11=".",d_Irr!BX11="."),d_dir!BA11/((1/1000)*(d_Irr!Z11)),IF(AND(d_Irr!Z11=".",d_Irr!AY11=".",d_Irr!BX11="."),d_dir!BA11*1000)))))))),".")</f>
        <v>.</v>
      </c>
      <c r="BB11" s="70" t="str">
        <f>IFERROR(IF(AND(d_Irr!AA11&lt;&gt;".",d_Irr!AZ11&lt;&gt;".",d_Irr!BY11&lt;&gt;"."),d_dir!BB11/((1/1000)*(d_Irr!AA11+d_Irr!AZ11+d_Irr!BY11)),IF(AND(d_Irr!AA11&lt;&gt;".",d_Irr!AZ11&lt;&gt;".",d_Irr!BY11="."),d_dir!BB11/((1/1000)*(d_Irr!AA11+d_Irr!AZ11)),IF(AND(d_Irr!AA11&lt;&gt;".",d_Irr!AZ11=".",d_Irr!BY11&lt;&gt;"."),d_dir!BB11/((1/1000)*(d_Irr!AA11+d_Irr!BY11)),IF(AND(d_Irr!AA11=".",d_Irr!AZ11&lt;&gt;".",d_Irr!BY11&lt;&gt;"."),d_dir!BB11/((1/1000)*(d_Irr!AZ11+d_Irr!BY11)),IF(AND(d_Irr!AA11=".",d_Irr!AZ11=".",d_Irr!BY11&lt;&gt;"."),d_dir!BB11/((1/1000)*(d_Irr!BY11)),IF(AND(d_Irr!AA11=".",d_Irr!AZ11&lt;&gt;".",d_Irr!BY11="."),d_dir!BB11/((1/1000)*(d_Irr!AZ11)),IF(AND(d_Irr!AA11&lt;&gt;".",d_Irr!AZ11=".",d_Irr!BY11="."),d_dir!BB11/((1/1000)*(d_Irr!AA11)),IF(AND(d_Irr!AA11=".",d_Irr!AZ11=".",d_Irr!BY11="."),d_dir!BB11*1000)))))))),".")</f>
        <v>.</v>
      </c>
    </row>
    <row r="12" spans="1:54" ht="15" customHeight="1" x14ac:dyDescent="0.25">
      <c r="A12" s="86" t="s">
        <v>10</v>
      </c>
      <c r="B12" s="84" t="s">
        <v>1057</v>
      </c>
      <c r="C12" s="2" t="str">
        <f t="shared" si="1"/>
        <v>.</v>
      </c>
      <c r="D12" s="70" t="str">
        <f>IFERROR(IF(AND(d_Irr!C12&lt;&gt;".",d_Irr!AB12&lt;&gt;".",d_Irr!BA12&lt;&gt;"."),d_dir!D12/((1/1000)*(d_Irr!C12+d_Irr!AB12+d_Irr!BA12)),IF(AND(d_Irr!C12&lt;&gt;".",d_Irr!AB12&lt;&gt;".",d_Irr!BA12="."),d_dir!D12/((1/1000)*(d_Irr!C12+d_Irr!AB12)),IF(AND(d_Irr!C12&lt;&gt;".",d_Irr!AB12=".",d_Irr!BA12&lt;&gt;"."),d_dir!D12/((1/1000)*(d_Irr!C12+d_Irr!BA12)),IF(AND(d_Irr!C12=".",d_Irr!AB12&lt;&gt;".",d_Irr!BA12&lt;&gt;"."),d_dir!D12/((1/1000)*(d_Irr!AB12+d_Irr!BA12)),IF(AND(d_Irr!C12=".",d_Irr!AB12=".",d_Irr!BA12&lt;&gt;"."),d_dir!D12/((1/1000)*(d_Irr!BA12)),IF(AND(d_Irr!C12=".",d_Irr!AB12&lt;&gt;".",d_Irr!BA12="."),d_dir!D12/((1/1000)*(d_Irr!AB12)),IF(AND(d_Irr!C12&lt;&gt;".",d_Irr!AB12=".",d_Irr!BA12="."),d_dir!D12/((1/1000)*(d_Irr!C12)),IF(AND(d_Irr!C12=".",d_Irr!AB12=".",d_Irr!BA12="."),d_dir!D12*1000)))))))),".")</f>
        <v>.</v>
      </c>
      <c r="E12" s="70" t="str">
        <f>IFERROR(IF(AND(d_Irr!D12&lt;&gt;".",d_Irr!AC12&lt;&gt;".",d_Irr!BB12&lt;&gt;"."),d_dir!E12/((1/1000)*(d_Irr!D12+d_Irr!AC12+d_Irr!BB12)),IF(AND(d_Irr!D12&lt;&gt;".",d_Irr!AC12&lt;&gt;".",d_Irr!BB12="."),d_dir!E12/((1/1000)*(d_Irr!D12+d_Irr!AC12)),IF(AND(d_Irr!D12&lt;&gt;".",d_Irr!AC12=".",d_Irr!BB12&lt;&gt;"."),d_dir!E12/((1/1000)*(d_Irr!D12+d_Irr!BB12)),IF(AND(d_Irr!D12=".",d_Irr!AC12&lt;&gt;".",d_Irr!BB12&lt;&gt;"."),d_dir!E12/((1/1000)*(d_Irr!AC12+d_Irr!BB12)),IF(AND(d_Irr!D12=".",d_Irr!AC12=".",d_Irr!BB12&lt;&gt;"."),d_dir!E12/((1/1000)*(d_Irr!BB12)),IF(AND(d_Irr!D12=".",d_Irr!AC12&lt;&gt;".",d_Irr!BB12="."),d_dir!E12/((1/1000)*(d_Irr!AC12)),IF(AND(d_Irr!D12&lt;&gt;".",d_Irr!AC12=".",d_Irr!BB12="."),d_dir!E12/((1/1000)*(d_Irr!D12)),IF(AND(d_Irr!D12=".",d_Irr!AC12=".",d_Irr!BB12="."),d_dir!E12*1000)))))))),".")</f>
        <v>.</v>
      </c>
      <c r="F12" s="70" t="str">
        <f>IFERROR(IF(AND(d_Irr!E12&lt;&gt;".",d_Irr!AD12&lt;&gt;".",d_Irr!BC12&lt;&gt;"."),d_dir!F12/((1/1000)*(d_Irr!E12+d_Irr!AD12+d_Irr!BC12)),IF(AND(d_Irr!E12&lt;&gt;".",d_Irr!AD12&lt;&gt;".",d_Irr!BC12="."),d_dir!F12/((1/1000)*(d_Irr!E12+d_Irr!AD12)),IF(AND(d_Irr!E12&lt;&gt;".",d_Irr!AD12=".",d_Irr!BC12&lt;&gt;"."),d_dir!F12/((1/1000)*(d_Irr!E12+d_Irr!BC12)),IF(AND(d_Irr!E12=".",d_Irr!AD12&lt;&gt;".",d_Irr!BC12&lt;&gt;"."),d_dir!F12/((1/1000)*(d_Irr!AD12+d_Irr!BC12)),IF(AND(d_Irr!E12=".",d_Irr!AD12=".",d_Irr!BC12&lt;&gt;"."),d_dir!F12/((1/1000)*(d_Irr!BC12)),IF(AND(d_Irr!E12=".",d_Irr!AD12&lt;&gt;".",d_Irr!BC12="."),d_dir!F12/((1/1000)*(d_Irr!AD12)),IF(AND(d_Irr!E12&lt;&gt;".",d_Irr!AD12=".",d_Irr!BC12="."),d_dir!F12/((1/1000)*(d_Irr!E12)),IF(AND(d_Irr!E12=".",d_Irr!AD12=".",d_Irr!BC12="."),d_dir!F12*1000)))))))),".")</f>
        <v>.</v>
      </c>
      <c r="G12" s="70" t="str">
        <f>IFERROR(IF(AND(d_Irr!F12&lt;&gt;".",d_Irr!AE12&lt;&gt;".",d_Irr!BD12&lt;&gt;"."),d_dir!G12/((1/1000)*(d_Irr!F12+d_Irr!AE12+d_Irr!BD12)),IF(AND(d_Irr!F12&lt;&gt;".",d_Irr!AE12&lt;&gt;".",d_Irr!BD12="."),d_dir!G12/((1/1000)*(d_Irr!F12+d_Irr!AE12)),IF(AND(d_Irr!F12&lt;&gt;".",d_Irr!AE12=".",d_Irr!BD12&lt;&gt;"."),d_dir!G12/((1/1000)*(d_Irr!F12+d_Irr!BD12)),IF(AND(d_Irr!F12=".",d_Irr!AE12&lt;&gt;".",d_Irr!BD12&lt;&gt;"."),d_dir!G12/((1/1000)*(d_Irr!AE12+d_Irr!BD12)),IF(AND(d_Irr!F12=".",d_Irr!AE12=".",d_Irr!BD12&lt;&gt;"."),d_dir!G12/((1/1000)*(d_Irr!BD12)),IF(AND(d_Irr!F12=".",d_Irr!AE12&lt;&gt;".",d_Irr!BD12="."),d_dir!G12/((1/1000)*(d_Irr!AE12)),IF(AND(d_Irr!F12&lt;&gt;".",d_Irr!AE12=".",d_Irr!BD12="."),d_dir!G12/((1/1000)*(d_Irr!F12)),IF(AND(d_Irr!F12=".",d_Irr!AE12=".",d_Irr!BD12="."),d_dir!G12*1000)))))))),".")</f>
        <v>.</v>
      </c>
      <c r="H12" s="70" t="str">
        <f>IFERROR(IF(AND(d_Irr!G12&lt;&gt;".",d_Irr!AF12&lt;&gt;".",d_Irr!BE12&lt;&gt;"."),d_dir!H12/((1/1000)*(d_Irr!G12+d_Irr!AF12+d_Irr!BE12)),IF(AND(d_Irr!G12&lt;&gt;".",d_Irr!AF12&lt;&gt;".",d_Irr!BE12="."),d_dir!H12/((1/1000)*(d_Irr!G12+d_Irr!AF12)),IF(AND(d_Irr!G12&lt;&gt;".",d_Irr!AF12=".",d_Irr!BE12&lt;&gt;"."),d_dir!H12/((1/1000)*(d_Irr!G12+d_Irr!BE12)),IF(AND(d_Irr!G12=".",d_Irr!AF12&lt;&gt;".",d_Irr!BE12&lt;&gt;"."),d_dir!H12/((1/1000)*(d_Irr!AF12+d_Irr!BE12)),IF(AND(d_Irr!G12=".",d_Irr!AF12=".",d_Irr!BE12&lt;&gt;"."),d_dir!H12/((1/1000)*(d_Irr!BE12)),IF(AND(d_Irr!G12=".",d_Irr!AF12&lt;&gt;".",d_Irr!BE12="."),d_dir!H12/((1/1000)*(d_Irr!AF12)),IF(AND(d_Irr!G12&lt;&gt;".",d_Irr!AF12=".",d_Irr!BE12="."),d_dir!H12/((1/1000)*(d_Irr!G12)),IF(AND(d_Irr!G12=".",d_Irr!AF12=".",d_Irr!BE12="."),d_dir!H12*1000)))))))),".")</f>
        <v>.</v>
      </c>
      <c r="I12" s="70" t="str">
        <f>IFERROR(IF(AND(d_Irr!H12&lt;&gt;".",d_Irr!AG12&lt;&gt;".",d_Irr!BF12&lt;&gt;"."),d_dir!I12/((1/1000)*(d_Irr!H12+d_Irr!AG12+d_Irr!BF12)),IF(AND(d_Irr!H12&lt;&gt;".",d_Irr!AG12&lt;&gt;".",d_Irr!BF12="."),d_dir!I12/((1/1000)*(d_Irr!H12+d_Irr!AG12)),IF(AND(d_Irr!H12&lt;&gt;".",d_Irr!AG12=".",d_Irr!BF12&lt;&gt;"."),d_dir!I12/((1/1000)*(d_Irr!H12+d_Irr!BF12)),IF(AND(d_Irr!H12=".",d_Irr!AG12&lt;&gt;".",d_Irr!BF12&lt;&gt;"."),d_dir!I12/((1/1000)*(d_Irr!AG12+d_Irr!BF12)),IF(AND(d_Irr!H12=".",d_Irr!AG12=".",d_Irr!BF12&lt;&gt;"."),d_dir!I12/((1/1000)*(d_Irr!BF12)),IF(AND(d_Irr!H12=".",d_Irr!AG12&lt;&gt;".",d_Irr!BF12="."),d_dir!I12/((1/1000)*(d_Irr!AG12)),IF(AND(d_Irr!H12&lt;&gt;".",d_Irr!AG12=".",d_Irr!BF12="."),d_dir!I12/((1/1000)*(d_Irr!H12)),IF(AND(d_Irr!H12=".",d_Irr!AG12=".",d_Irr!BF12="."),d_dir!I12*1000)))))))),".")</f>
        <v>.</v>
      </c>
      <c r="J12" s="70" t="str">
        <f>IFERROR(IF(AND(d_Irr!I12&lt;&gt;".",d_Irr!AH12&lt;&gt;".",d_Irr!BG12&lt;&gt;"."),d_dir!J12/((1/1000)*(d_Irr!I12+d_Irr!AH12+d_Irr!BG12)),IF(AND(d_Irr!I12&lt;&gt;".",d_Irr!AH12&lt;&gt;".",d_Irr!BG12="."),d_dir!J12/((1/1000)*(d_Irr!I12+d_Irr!AH12)),IF(AND(d_Irr!I12&lt;&gt;".",d_Irr!AH12=".",d_Irr!BG12&lt;&gt;"."),d_dir!J12/((1/1000)*(d_Irr!I12+d_Irr!BG12)),IF(AND(d_Irr!I12=".",d_Irr!AH12&lt;&gt;".",d_Irr!BG12&lt;&gt;"."),d_dir!J12/((1/1000)*(d_Irr!AH12+d_Irr!BG12)),IF(AND(d_Irr!I12=".",d_Irr!AH12=".",d_Irr!BG12&lt;&gt;"."),d_dir!J12/((1/1000)*(d_Irr!BG12)),IF(AND(d_Irr!I12=".",d_Irr!AH12&lt;&gt;".",d_Irr!BG12="."),d_dir!J12/((1/1000)*(d_Irr!AH12)),IF(AND(d_Irr!I12&lt;&gt;".",d_Irr!AH12=".",d_Irr!BG12="."),d_dir!J12/((1/1000)*(d_Irr!I12)),IF(AND(d_Irr!I12=".",d_Irr!AH12=".",d_Irr!BG12="."),d_dir!J12*1000)))))))),".")</f>
        <v>.</v>
      </c>
      <c r="K12" s="70" t="str">
        <f>IFERROR(IF(AND(d_Irr!J12&lt;&gt;".",d_Irr!AI12&lt;&gt;".",d_Irr!BH12&lt;&gt;"."),d_dir!K12/((1/1000)*(d_Irr!J12+d_Irr!AI12+d_Irr!BH12)),IF(AND(d_Irr!J12&lt;&gt;".",d_Irr!AI12&lt;&gt;".",d_Irr!BH12="."),d_dir!K12/((1/1000)*(d_Irr!J12+d_Irr!AI12)),IF(AND(d_Irr!J12&lt;&gt;".",d_Irr!AI12=".",d_Irr!BH12&lt;&gt;"."),d_dir!K12/((1/1000)*(d_Irr!J12+d_Irr!BH12)),IF(AND(d_Irr!J12=".",d_Irr!AI12&lt;&gt;".",d_Irr!BH12&lt;&gt;"."),d_dir!K12/((1/1000)*(d_Irr!AI12+d_Irr!BH12)),IF(AND(d_Irr!J12=".",d_Irr!AI12=".",d_Irr!BH12&lt;&gt;"."),d_dir!K12/((1/1000)*(d_Irr!BH12)),IF(AND(d_Irr!J12=".",d_Irr!AI12&lt;&gt;".",d_Irr!BH12="."),d_dir!K12/((1/1000)*(d_Irr!AI12)),IF(AND(d_Irr!J12&lt;&gt;".",d_Irr!AI12=".",d_Irr!BH12="."),d_dir!K12/((1/1000)*(d_Irr!J12)),IF(AND(d_Irr!J12=".",d_Irr!AI12=".",d_Irr!BH12="."),d_dir!K12*1000)))))))),".")</f>
        <v>.</v>
      </c>
      <c r="L12" s="70" t="str">
        <f>IFERROR(IF(AND(d_Irr!K12&lt;&gt;".",d_Irr!AJ12&lt;&gt;".",d_Irr!BI12&lt;&gt;"."),d_dir!L12/((1/1000)*(d_Irr!K12+d_Irr!AJ12+d_Irr!BI12)),IF(AND(d_Irr!K12&lt;&gt;".",d_Irr!AJ12&lt;&gt;".",d_Irr!BI12="."),d_dir!L12/((1/1000)*(d_Irr!K12+d_Irr!AJ12)),IF(AND(d_Irr!K12&lt;&gt;".",d_Irr!AJ12=".",d_Irr!BI12&lt;&gt;"."),d_dir!L12/((1/1000)*(d_Irr!K12+d_Irr!BI12)),IF(AND(d_Irr!K12=".",d_Irr!AJ12&lt;&gt;".",d_Irr!BI12&lt;&gt;"."),d_dir!L12/((1/1000)*(d_Irr!AJ12+d_Irr!BI12)),IF(AND(d_Irr!K12=".",d_Irr!AJ12=".",d_Irr!BI12&lt;&gt;"."),d_dir!L12/((1/1000)*(d_Irr!BI12)),IF(AND(d_Irr!K12=".",d_Irr!AJ12&lt;&gt;".",d_Irr!BI12="."),d_dir!L12/((1/1000)*(d_Irr!AJ12)),IF(AND(d_Irr!K12&lt;&gt;".",d_Irr!AJ12=".",d_Irr!BI12="."),d_dir!L12/((1/1000)*(d_Irr!K12)),IF(AND(d_Irr!K12=".",d_Irr!AJ12=".",d_Irr!BI12="."),d_dir!L12*1000)))))))),".")</f>
        <v>.</v>
      </c>
      <c r="M12" s="70" t="str">
        <f>IFERROR(IF(AND(d_Irr!L12&lt;&gt;".",d_Irr!AK12&lt;&gt;".",d_Irr!BJ12&lt;&gt;"."),d_dir!M12/((1/1000)*(d_Irr!L12+d_Irr!AK12+d_Irr!BJ12)),IF(AND(d_Irr!L12&lt;&gt;".",d_Irr!AK12&lt;&gt;".",d_Irr!BJ12="."),d_dir!M12/((1/1000)*(d_Irr!L12+d_Irr!AK12)),IF(AND(d_Irr!L12&lt;&gt;".",d_Irr!AK12=".",d_Irr!BJ12&lt;&gt;"."),d_dir!M12/((1/1000)*(d_Irr!L12+d_Irr!BJ12)),IF(AND(d_Irr!L12=".",d_Irr!AK12&lt;&gt;".",d_Irr!BJ12&lt;&gt;"."),d_dir!M12/((1/1000)*(d_Irr!AK12+d_Irr!BJ12)),IF(AND(d_Irr!L12=".",d_Irr!AK12=".",d_Irr!BJ12&lt;&gt;"."),d_dir!M12/((1/1000)*(d_Irr!BJ12)),IF(AND(d_Irr!L12=".",d_Irr!AK12&lt;&gt;".",d_Irr!BJ12="."),d_dir!M12/((1/1000)*(d_Irr!AK12)),IF(AND(d_Irr!L12&lt;&gt;".",d_Irr!AK12=".",d_Irr!BJ12="."),d_dir!M12/((1/1000)*(d_Irr!L12)),IF(AND(d_Irr!L12=".",d_Irr!AK12=".",d_Irr!BJ12="."),d_dir!M12*1000)))))))),".")</f>
        <v>.</v>
      </c>
      <c r="N12" s="70" t="str">
        <f>IFERROR(IF(AND(d_Irr!M12&lt;&gt;".",d_Irr!AL12&lt;&gt;".",d_Irr!BK12&lt;&gt;"."),d_dir!N12/((1/1000)*(d_Irr!M12+d_Irr!AL12+d_Irr!BK12)),IF(AND(d_Irr!M12&lt;&gt;".",d_Irr!AL12&lt;&gt;".",d_Irr!BK12="."),d_dir!N12/((1/1000)*(d_Irr!M12+d_Irr!AL12)),IF(AND(d_Irr!M12&lt;&gt;".",d_Irr!AL12=".",d_Irr!BK12&lt;&gt;"."),d_dir!N12/((1/1000)*(d_Irr!M12+d_Irr!BK12)),IF(AND(d_Irr!M12=".",d_Irr!AL12&lt;&gt;".",d_Irr!BK12&lt;&gt;"."),d_dir!N12/((1/1000)*(d_Irr!AL12+d_Irr!BK12)),IF(AND(d_Irr!M12=".",d_Irr!AL12=".",d_Irr!BK12&lt;&gt;"."),d_dir!N12/((1/1000)*(d_Irr!BK12)),IF(AND(d_Irr!M12=".",d_Irr!AL12&lt;&gt;".",d_Irr!BK12="."),d_dir!N12/((1/1000)*(d_Irr!AL12)),IF(AND(d_Irr!M12&lt;&gt;".",d_Irr!AL12=".",d_Irr!BK12="."),d_dir!N12/((1/1000)*(d_Irr!M12)),IF(AND(d_Irr!M12=".",d_Irr!AL12=".",d_Irr!BK12="."),d_dir!N12*1000)))))))),".")</f>
        <v>.</v>
      </c>
      <c r="O12" s="70" t="str">
        <f>IFERROR(IF(AND(d_Irr!N12&lt;&gt;".",d_Irr!AM12&lt;&gt;".",d_Irr!BL12&lt;&gt;"."),d_dir!O12/((1/1000)*(d_Irr!N12+d_Irr!AM12+d_Irr!BL12)),IF(AND(d_Irr!N12&lt;&gt;".",d_Irr!AM12&lt;&gt;".",d_Irr!BL12="."),d_dir!O12/((1/1000)*(d_Irr!N12+d_Irr!AM12)),IF(AND(d_Irr!N12&lt;&gt;".",d_Irr!AM12=".",d_Irr!BL12&lt;&gt;"."),d_dir!O12/((1/1000)*(d_Irr!N12+d_Irr!BL12)),IF(AND(d_Irr!N12=".",d_Irr!AM12&lt;&gt;".",d_Irr!BL12&lt;&gt;"."),d_dir!O12/((1/1000)*(d_Irr!AM12+d_Irr!BL12)),IF(AND(d_Irr!N12=".",d_Irr!AM12=".",d_Irr!BL12&lt;&gt;"."),d_dir!O12/((1/1000)*(d_Irr!BL12)),IF(AND(d_Irr!N12=".",d_Irr!AM12&lt;&gt;".",d_Irr!BL12="."),d_dir!O12/((1/1000)*(d_Irr!AM12)),IF(AND(d_Irr!N12&lt;&gt;".",d_Irr!AM12=".",d_Irr!BL12="."),d_dir!O12/((1/1000)*(d_Irr!N12)),IF(AND(d_Irr!N12=".",d_Irr!AM12=".",d_Irr!BL12="."),d_dir!O12*1000)))))))),".")</f>
        <v>.</v>
      </c>
      <c r="P12" s="70" t="str">
        <f>IFERROR(IF(AND(d_Irr!O12&lt;&gt;".",d_Irr!AN12&lt;&gt;".",d_Irr!BM12&lt;&gt;"."),d_dir!P12/((1/1000)*(d_Irr!O12+d_Irr!AN12+d_Irr!BM12)),IF(AND(d_Irr!O12&lt;&gt;".",d_Irr!AN12&lt;&gt;".",d_Irr!BM12="."),d_dir!P12/((1/1000)*(d_Irr!O12+d_Irr!AN12)),IF(AND(d_Irr!O12&lt;&gt;".",d_Irr!AN12=".",d_Irr!BM12&lt;&gt;"."),d_dir!P12/((1/1000)*(d_Irr!O12+d_Irr!BM12)),IF(AND(d_Irr!O12=".",d_Irr!AN12&lt;&gt;".",d_Irr!BM12&lt;&gt;"."),d_dir!P12/((1/1000)*(d_Irr!AN12+d_Irr!BM12)),IF(AND(d_Irr!O12=".",d_Irr!AN12=".",d_Irr!BM12&lt;&gt;"."),d_dir!P12/((1/1000)*(d_Irr!BM12)),IF(AND(d_Irr!O12=".",d_Irr!AN12&lt;&gt;".",d_Irr!BM12="."),d_dir!P12/((1/1000)*(d_Irr!AN12)),IF(AND(d_Irr!O12&lt;&gt;".",d_Irr!AN12=".",d_Irr!BM12="."),d_dir!P12/((1/1000)*(d_Irr!O12)),IF(AND(d_Irr!O12=".",d_Irr!AN12=".",d_Irr!BM12="."),d_dir!P12*1000)))))))),".")</f>
        <v>.</v>
      </c>
      <c r="Q12" s="70" t="str">
        <f>IFERROR(IF(AND(d_Irr!P12&lt;&gt;".",d_Irr!AO12&lt;&gt;".",d_Irr!BN12&lt;&gt;"."),d_dir!Q12/((1/1000)*(d_Irr!P12+d_Irr!AO12+d_Irr!BN12)),IF(AND(d_Irr!P12&lt;&gt;".",d_Irr!AO12&lt;&gt;".",d_Irr!BN12="."),d_dir!Q12/((1/1000)*(d_Irr!P12+d_Irr!AO12)),IF(AND(d_Irr!P12&lt;&gt;".",d_Irr!AO12=".",d_Irr!BN12&lt;&gt;"."),d_dir!Q12/((1/1000)*(d_Irr!P12+d_Irr!BN12)),IF(AND(d_Irr!P12=".",d_Irr!AO12&lt;&gt;".",d_Irr!BN12&lt;&gt;"."),d_dir!Q12/((1/1000)*(d_Irr!AO12+d_Irr!BN12)),IF(AND(d_Irr!P12=".",d_Irr!AO12=".",d_Irr!BN12&lt;&gt;"."),d_dir!Q12/((1/1000)*(d_Irr!BN12)),IF(AND(d_Irr!P12=".",d_Irr!AO12&lt;&gt;".",d_Irr!BN12="."),d_dir!Q12/((1/1000)*(d_Irr!AO12)),IF(AND(d_Irr!P12&lt;&gt;".",d_Irr!AO12=".",d_Irr!BN12="."),d_dir!Q12/((1/1000)*(d_Irr!P12)),IF(AND(d_Irr!P12=".",d_Irr!AO12=".",d_Irr!BN12="."),d_dir!Q12*1000)))))))),".")</f>
        <v>.</v>
      </c>
      <c r="R12" s="70" t="str">
        <f>IFERROR(IF(AND(d_Irr!Q12&lt;&gt;".",d_Irr!AP12&lt;&gt;".",d_Irr!BO12&lt;&gt;"."),d_dir!R12/((1/1000)*(d_Irr!Q12+d_Irr!AP12+d_Irr!BO12)),IF(AND(d_Irr!Q12&lt;&gt;".",d_Irr!AP12&lt;&gt;".",d_Irr!BO12="."),d_dir!R12/((1/1000)*(d_Irr!Q12+d_Irr!AP12)),IF(AND(d_Irr!Q12&lt;&gt;".",d_Irr!AP12=".",d_Irr!BO12&lt;&gt;"."),d_dir!R12/((1/1000)*(d_Irr!Q12+d_Irr!BO12)),IF(AND(d_Irr!Q12=".",d_Irr!AP12&lt;&gt;".",d_Irr!BO12&lt;&gt;"."),d_dir!R12/((1/1000)*(d_Irr!AP12+d_Irr!BO12)),IF(AND(d_Irr!Q12=".",d_Irr!AP12=".",d_Irr!BO12&lt;&gt;"."),d_dir!R12/((1/1000)*(d_Irr!BO12)),IF(AND(d_Irr!Q12=".",d_Irr!AP12&lt;&gt;".",d_Irr!BO12="."),d_dir!R12/((1/1000)*(d_Irr!AP12)),IF(AND(d_Irr!Q12&lt;&gt;".",d_Irr!AP12=".",d_Irr!BO12="."),d_dir!R12/((1/1000)*(d_Irr!Q12)),IF(AND(d_Irr!Q12=".",d_Irr!AP12=".",d_Irr!BO12="."),d_dir!R12*1000)))))))),".")</f>
        <v>.</v>
      </c>
      <c r="S12" s="70" t="str">
        <f>IFERROR(IF(AND(d_Irr!R12&lt;&gt;".",d_Irr!AQ12&lt;&gt;".",d_Irr!BP12&lt;&gt;"."),d_dir!S12/((1/1000)*(d_Irr!R12+d_Irr!AQ12+d_Irr!BP12)),IF(AND(d_Irr!R12&lt;&gt;".",d_Irr!AQ12&lt;&gt;".",d_Irr!BP12="."),d_dir!S12/((1/1000)*(d_Irr!R12+d_Irr!AQ12)),IF(AND(d_Irr!R12&lt;&gt;".",d_Irr!AQ12=".",d_Irr!BP12&lt;&gt;"."),d_dir!S12/((1/1000)*(d_Irr!R12+d_Irr!BP12)),IF(AND(d_Irr!R12=".",d_Irr!AQ12&lt;&gt;".",d_Irr!BP12&lt;&gt;"."),d_dir!S12/((1/1000)*(d_Irr!AQ12+d_Irr!BP12)),IF(AND(d_Irr!R12=".",d_Irr!AQ12=".",d_Irr!BP12&lt;&gt;"."),d_dir!S12/((1/1000)*(d_Irr!BP12)),IF(AND(d_Irr!R12=".",d_Irr!AQ12&lt;&gt;".",d_Irr!BP12="."),d_dir!S12/((1/1000)*(d_Irr!AQ12)),IF(AND(d_Irr!R12&lt;&gt;".",d_Irr!AQ12=".",d_Irr!BP12="."),d_dir!S12/((1/1000)*(d_Irr!R12)),IF(AND(d_Irr!R12=".",d_Irr!AQ12=".",d_Irr!BP12="."),d_dir!S12*1000)))))))),".")</f>
        <v>.</v>
      </c>
      <c r="T12" s="70" t="str">
        <f>IFERROR(IF(AND(d_Irr!S12&lt;&gt;".",d_Irr!AR12&lt;&gt;".",d_Irr!BQ12&lt;&gt;"."),d_dir!T12/((1/1000)*(d_Irr!S12+d_Irr!AR12+d_Irr!BQ12)),IF(AND(d_Irr!S12&lt;&gt;".",d_Irr!AR12&lt;&gt;".",d_Irr!BQ12="."),d_dir!T12/((1/1000)*(d_Irr!S12+d_Irr!AR12)),IF(AND(d_Irr!S12&lt;&gt;".",d_Irr!AR12=".",d_Irr!BQ12&lt;&gt;"."),d_dir!T12/((1/1000)*(d_Irr!S12+d_Irr!BQ12)),IF(AND(d_Irr!S12=".",d_Irr!AR12&lt;&gt;".",d_Irr!BQ12&lt;&gt;"."),d_dir!T12/((1/1000)*(d_Irr!AR12+d_Irr!BQ12)),IF(AND(d_Irr!S12=".",d_Irr!AR12=".",d_Irr!BQ12&lt;&gt;"."),d_dir!T12/((1/1000)*(d_Irr!BQ12)),IF(AND(d_Irr!S12=".",d_Irr!AR12&lt;&gt;".",d_Irr!BQ12="."),d_dir!T12/((1/1000)*(d_Irr!AR12)),IF(AND(d_Irr!S12&lt;&gt;".",d_Irr!AR12=".",d_Irr!BQ12="."),d_dir!T12/((1/1000)*(d_Irr!S12)),IF(AND(d_Irr!S12=".",d_Irr!AR12=".",d_Irr!BQ12="."),d_dir!T12*1000)))))))),".")</f>
        <v>.</v>
      </c>
      <c r="U12" s="70" t="str">
        <f>IFERROR(IF(AND(d_Irr!T12&lt;&gt;".",d_Irr!AS12&lt;&gt;".",d_Irr!BR12&lt;&gt;"."),d_dir!U12/((1/1000)*(d_Irr!T12+d_Irr!AS12+d_Irr!BR12)),IF(AND(d_Irr!T12&lt;&gt;".",d_Irr!AS12&lt;&gt;".",d_Irr!BR12="."),d_dir!U12/((1/1000)*(d_Irr!T12+d_Irr!AS12)),IF(AND(d_Irr!T12&lt;&gt;".",d_Irr!AS12=".",d_Irr!BR12&lt;&gt;"."),d_dir!U12/((1/1000)*(d_Irr!T12+d_Irr!BR12)),IF(AND(d_Irr!T12=".",d_Irr!AS12&lt;&gt;".",d_Irr!BR12&lt;&gt;"."),d_dir!U12/((1/1000)*(d_Irr!AS12+d_Irr!BR12)),IF(AND(d_Irr!T12=".",d_Irr!AS12=".",d_Irr!BR12&lt;&gt;"."),d_dir!U12/((1/1000)*(d_Irr!BR12)),IF(AND(d_Irr!T12=".",d_Irr!AS12&lt;&gt;".",d_Irr!BR12="."),d_dir!U12/((1/1000)*(d_Irr!AS12)),IF(AND(d_Irr!T12&lt;&gt;".",d_Irr!AS12=".",d_Irr!BR12="."),d_dir!U12/((1/1000)*(d_Irr!T12)),IF(AND(d_Irr!T12=".",d_Irr!AS12=".",d_Irr!BR12="."),d_dir!U12*1000)))))))),".")</f>
        <v>.</v>
      </c>
      <c r="V12" s="70" t="str">
        <f>IFERROR(IF(AND(d_Irr!U12&lt;&gt;".",d_Irr!AT12&lt;&gt;".",d_Irr!BS12&lt;&gt;"."),d_dir!V12/((1/1000)*(d_Irr!U12+d_Irr!AT12+d_Irr!BS12)),IF(AND(d_Irr!U12&lt;&gt;".",d_Irr!AT12&lt;&gt;".",d_Irr!BS12="."),d_dir!V12/((1/1000)*(d_Irr!U12+d_Irr!AT12)),IF(AND(d_Irr!U12&lt;&gt;".",d_Irr!AT12=".",d_Irr!BS12&lt;&gt;"."),d_dir!V12/((1/1000)*(d_Irr!U12+d_Irr!BS12)),IF(AND(d_Irr!U12=".",d_Irr!AT12&lt;&gt;".",d_Irr!BS12&lt;&gt;"."),d_dir!V12/((1/1000)*(d_Irr!AT12+d_Irr!BS12)),IF(AND(d_Irr!U12=".",d_Irr!AT12=".",d_Irr!BS12&lt;&gt;"."),d_dir!V12/((1/1000)*(d_Irr!BS12)),IF(AND(d_Irr!U12=".",d_Irr!AT12&lt;&gt;".",d_Irr!BS12="."),d_dir!V12/((1/1000)*(d_Irr!AT12)),IF(AND(d_Irr!U12&lt;&gt;".",d_Irr!AT12=".",d_Irr!BS12="."),d_dir!V12/((1/1000)*(d_Irr!U12)),IF(AND(d_Irr!U12=".",d_Irr!AT12=".",d_Irr!BS12="."),d_dir!V12*1000)))))))),".")</f>
        <v>.</v>
      </c>
      <c r="W12" s="70" t="str">
        <f>IFERROR(IF(AND(d_Irr!V12&lt;&gt;".",d_Irr!AU12&lt;&gt;".",d_Irr!BT12&lt;&gt;"."),d_dir!W12/((1/1000)*(d_Irr!V12+d_Irr!AU12+d_Irr!BT12)),IF(AND(d_Irr!V12&lt;&gt;".",d_Irr!AU12&lt;&gt;".",d_Irr!BT12="."),d_dir!W12/((1/1000)*(d_Irr!V12+d_Irr!AU12)),IF(AND(d_Irr!V12&lt;&gt;".",d_Irr!AU12=".",d_Irr!BT12&lt;&gt;"."),d_dir!W12/((1/1000)*(d_Irr!V12+d_Irr!BT12)),IF(AND(d_Irr!V12=".",d_Irr!AU12&lt;&gt;".",d_Irr!BT12&lt;&gt;"."),d_dir!W12/((1/1000)*(d_Irr!AU12+d_Irr!BT12)),IF(AND(d_Irr!V12=".",d_Irr!AU12=".",d_Irr!BT12&lt;&gt;"."),d_dir!W12/((1/1000)*(d_Irr!BT12)),IF(AND(d_Irr!V12=".",d_Irr!AU12&lt;&gt;".",d_Irr!BT12="."),d_dir!W12/((1/1000)*(d_Irr!AU12)),IF(AND(d_Irr!V12&lt;&gt;".",d_Irr!AU12=".",d_Irr!BT12="."),d_dir!W12/((1/1000)*(d_Irr!V12)),IF(AND(d_Irr!V12=".",d_Irr!AU12=".",d_Irr!BT12="."),d_dir!W12*1000)))))))),".")</f>
        <v>.</v>
      </c>
      <c r="X12" s="70" t="str">
        <f>IFERROR(IF(AND(d_Irr!W12&lt;&gt;".",d_Irr!AV12&lt;&gt;".",d_Irr!BU12&lt;&gt;"."),d_dir!X12/((1/1000)*(d_Irr!W12+d_Irr!AV12+d_Irr!BU12)),IF(AND(d_Irr!W12&lt;&gt;".",d_Irr!AV12&lt;&gt;".",d_Irr!BU12="."),d_dir!X12/((1/1000)*(d_Irr!W12+d_Irr!AV12)),IF(AND(d_Irr!W12&lt;&gt;".",d_Irr!AV12=".",d_Irr!BU12&lt;&gt;"."),d_dir!X12/((1/1000)*(d_Irr!W12+d_Irr!BU12)),IF(AND(d_Irr!W12=".",d_Irr!AV12&lt;&gt;".",d_Irr!BU12&lt;&gt;"."),d_dir!X12/((1/1000)*(d_Irr!AV12+d_Irr!BU12)),IF(AND(d_Irr!W12=".",d_Irr!AV12=".",d_Irr!BU12&lt;&gt;"."),d_dir!X12/((1/1000)*(d_Irr!BU12)),IF(AND(d_Irr!W12=".",d_Irr!AV12&lt;&gt;".",d_Irr!BU12="."),d_dir!X12/((1/1000)*(d_Irr!AV12)),IF(AND(d_Irr!W12&lt;&gt;".",d_Irr!AV12=".",d_Irr!BU12="."),d_dir!X12/((1/1000)*(d_Irr!W12)),IF(AND(d_Irr!W12=".",d_Irr!AV12=".",d_Irr!BU12="."),d_dir!X12*1000)))))))),".")</f>
        <v>.</v>
      </c>
      <c r="Y12" s="70" t="str">
        <f>IFERROR(IF(AND(d_Irr!X12&lt;&gt;".",d_Irr!AW12&lt;&gt;".",d_Irr!BV12&lt;&gt;"."),d_dir!Y12/((1/1000)*(d_Irr!X12+d_Irr!AW12+d_Irr!BV12)),IF(AND(d_Irr!X12&lt;&gt;".",d_Irr!AW12&lt;&gt;".",d_Irr!BV12="."),d_dir!Y12/((1/1000)*(d_Irr!X12+d_Irr!AW12)),IF(AND(d_Irr!X12&lt;&gt;".",d_Irr!AW12=".",d_Irr!BV12&lt;&gt;"."),d_dir!Y12/((1/1000)*(d_Irr!X12+d_Irr!BV12)),IF(AND(d_Irr!X12=".",d_Irr!AW12&lt;&gt;".",d_Irr!BV12&lt;&gt;"."),d_dir!Y12/((1/1000)*(d_Irr!AW12+d_Irr!BV12)),IF(AND(d_Irr!X12=".",d_Irr!AW12=".",d_Irr!BV12&lt;&gt;"."),d_dir!Y12/((1/1000)*(d_Irr!BV12)),IF(AND(d_Irr!X12=".",d_Irr!AW12&lt;&gt;".",d_Irr!BV12="."),d_dir!Y12/((1/1000)*(d_Irr!AW12)),IF(AND(d_Irr!X12&lt;&gt;".",d_Irr!AW12=".",d_Irr!BV12="."),d_dir!Y12/((1/1000)*(d_Irr!X12)),IF(AND(d_Irr!X12=".",d_Irr!AW12=".",d_Irr!BV12="."),d_dir!Y12*1000)))))))),".")</f>
        <v>.</v>
      </c>
      <c r="Z12" s="70" t="str">
        <f>IFERROR(IF(AND(d_Irr!Y12&lt;&gt;".",d_Irr!AX12&lt;&gt;".",d_Irr!BW12&lt;&gt;"."),d_dir!Z12/((1/1000)*(d_Irr!Y12+d_Irr!AX12+d_Irr!BW12)),IF(AND(d_Irr!Y12&lt;&gt;".",d_Irr!AX12&lt;&gt;".",d_Irr!BW12="."),d_dir!Z12/((1/1000)*(d_Irr!Y12+d_Irr!AX12)),IF(AND(d_Irr!Y12&lt;&gt;".",d_Irr!AX12=".",d_Irr!BW12&lt;&gt;"."),d_dir!Z12/((1/1000)*(d_Irr!Y12+d_Irr!BW12)),IF(AND(d_Irr!Y12=".",d_Irr!AX12&lt;&gt;".",d_Irr!BW12&lt;&gt;"."),d_dir!Z12/((1/1000)*(d_Irr!AX12+d_Irr!BW12)),IF(AND(d_Irr!Y12=".",d_Irr!AX12=".",d_Irr!BW12&lt;&gt;"."),d_dir!Z12/((1/1000)*(d_Irr!BW12)),IF(AND(d_Irr!Y12=".",d_Irr!AX12&lt;&gt;".",d_Irr!BW12="."),d_dir!Z12/((1/1000)*(d_Irr!AX12)),IF(AND(d_Irr!Y12&lt;&gt;".",d_Irr!AX12=".",d_Irr!BW12="."),d_dir!Z12/((1/1000)*(d_Irr!Y12)),IF(AND(d_Irr!Y12=".",d_Irr!AX12=".",d_Irr!BW12="."),d_dir!Z12*1000)))))))),".")</f>
        <v>.</v>
      </c>
      <c r="AA12" s="70" t="str">
        <f>IFERROR(IF(AND(d_Irr!Z12&lt;&gt;".",d_Irr!AY12&lt;&gt;".",d_Irr!BX12&lt;&gt;"."),d_dir!AA12/((1/1000)*(d_Irr!Z12+d_Irr!AY12+d_Irr!BX12)),IF(AND(d_Irr!Z12&lt;&gt;".",d_Irr!AY12&lt;&gt;".",d_Irr!BX12="."),d_dir!AA12/((1/1000)*(d_Irr!Z12+d_Irr!AY12)),IF(AND(d_Irr!Z12&lt;&gt;".",d_Irr!AY12=".",d_Irr!BX12&lt;&gt;"."),d_dir!AA12/((1/1000)*(d_Irr!Z12+d_Irr!BX12)),IF(AND(d_Irr!Z12=".",d_Irr!AY12&lt;&gt;".",d_Irr!BX12&lt;&gt;"."),d_dir!AA12/((1/1000)*(d_Irr!AY12+d_Irr!BX12)),IF(AND(d_Irr!Z12=".",d_Irr!AY12=".",d_Irr!BX12&lt;&gt;"."),d_dir!AA12/((1/1000)*(d_Irr!BX12)),IF(AND(d_Irr!Z12=".",d_Irr!AY12&lt;&gt;".",d_Irr!BX12="."),d_dir!AA12/((1/1000)*(d_Irr!AY12)),IF(AND(d_Irr!Z12&lt;&gt;".",d_Irr!AY12=".",d_Irr!BX12="."),d_dir!AA12/((1/1000)*(d_Irr!Z12)),IF(AND(d_Irr!Z12=".",d_Irr!AY12=".",d_Irr!BX12="."),d_dir!AA12*1000)))))))),".")</f>
        <v>.</v>
      </c>
      <c r="AB12" s="70" t="str">
        <f>IFERROR(IF(AND(d_Irr!AA12&lt;&gt;".",d_Irr!AZ12&lt;&gt;".",d_Irr!BY12&lt;&gt;"."),d_dir!AB12/((1/1000)*(d_Irr!AA12+d_Irr!AZ12+d_Irr!BY12)),IF(AND(d_Irr!AA12&lt;&gt;".",d_Irr!AZ12&lt;&gt;".",d_Irr!BY12="."),d_dir!AB12/((1/1000)*(d_Irr!AA12+d_Irr!AZ12)),IF(AND(d_Irr!AA12&lt;&gt;".",d_Irr!AZ12=".",d_Irr!BY12&lt;&gt;"."),d_dir!AB12/((1/1000)*(d_Irr!AA12+d_Irr!BY12)),IF(AND(d_Irr!AA12=".",d_Irr!AZ12&lt;&gt;".",d_Irr!BY12&lt;&gt;"."),d_dir!AB12/((1/1000)*(d_Irr!AZ12+d_Irr!BY12)),IF(AND(d_Irr!AA12=".",d_Irr!AZ12=".",d_Irr!BY12&lt;&gt;"."),d_dir!AB12/((1/1000)*(d_Irr!BY12)),IF(AND(d_Irr!AA12=".",d_Irr!AZ12&lt;&gt;".",d_Irr!BY12="."),d_dir!AB12/((1/1000)*(d_Irr!AZ12)),IF(AND(d_Irr!AA12&lt;&gt;".",d_Irr!AZ12=".",d_Irr!BY12="."),d_dir!AB12/((1/1000)*(d_Irr!AA12)),IF(AND(d_Irr!AA12=".",d_Irr!AZ12=".",d_Irr!BY12="."),d_dir!AB12*1000)))))))),".")</f>
        <v>.</v>
      </c>
      <c r="AC12" s="70" t="str">
        <f t="shared" si="0"/>
        <v>.</v>
      </c>
      <c r="AD12" s="70" t="str">
        <f>IFERROR(IF(AND(d_Irr!C12&lt;&gt;".",d_Irr!AB12&lt;&gt;".",d_Irr!BA12&lt;&gt;"."),d_dir!AD12/((1/1000)*(d_Irr!C12+d_Irr!AB12+d_Irr!BA12)),IF(AND(d_Irr!C12&lt;&gt;".",d_Irr!AB12&lt;&gt;".",d_Irr!BA12="."),d_dir!AD12/((1/1000)*(d_Irr!C12+d_Irr!AB12)),IF(AND(d_Irr!C12&lt;&gt;".",d_Irr!AB12=".",d_Irr!BA12&lt;&gt;"."),d_dir!AD12/((1/1000)*(d_Irr!C12+d_Irr!BA12)),IF(AND(d_Irr!C12=".",d_Irr!AB12&lt;&gt;".",d_Irr!BA12&lt;&gt;"."),d_dir!AD12/((1/1000)*(d_Irr!AB12+d_Irr!BA12)),IF(AND(d_Irr!C12=".",d_Irr!AB12=".",d_Irr!BA12&lt;&gt;"."),d_dir!AD12/((1/1000)*(d_Irr!BA12)),IF(AND(d_Irr!C12=".",d_Irr!AB12&lt;&gt;".",d_Irr!BA12="."),d_dir!AD12/((1/1000)*(d_Irr!AB12)),IF(AND(d_Irr!C12&lt;&gt;".",d_Irr!AB12=".",d_Irr!BA12="."),d_dir!AD12/((1/1000)*(d_Irr!C12)),IF(AND(d_Irr!C12=".",d_Irr!AB12=".",d_Irr!BA12="."),d_dir!AD12*1000)))))))),".")</f>
        <v>.</v>
      </c>
      <c r="AE12" s="70" t="str">
        <f>IFERROR(IF(AND(d_Irr!D12&lt;&gt;".",d_Irr!AC12&lt;&gt;".",d_Irr!BB12&lt;&gt;"."),d_dir!AE12/((1/1000)*(d_Irr!D12+d_Irr!AC12+d_Irr!BB12)),IF(AND(d_Irr!D12&lt;&gt;".",d_Irr!AC12&lt;&gt;".",d_Irr!BB12="."),d_dir!AE12/((1/1000)*(d_Irr!D12+d_Irr!AC12)),IF(AND(d_Irr!D12&lt;&gt;".",d_Irr!AC12=".",d_Irr!BB12&lt;&gt;"."),d_dir!AE12/((1/1000)*(d_Irr!D12+d_Irr!BB12)),IF(AND(d_Irr!D12=".",d_Irr!AC12&lt;&gt;".",d_Irr!BB12&lt;&gt;"."),d_dir!AE12/((1/1000)*(d_Irr!AC12+d_Irr!BB12)),IF(AND(d_Irr!D12=".",d_Irr!AC12=".",d_Irr!BB12&lt;&gt;"."),d_dir!AE12/((1/1000)*(d_Irr!BB12)),IF(AND(d_Irr!D12=".",d_Irr!AC12&lt;&gt;".",d_Irr!BB12="."),d_dir!AE12/((1/1000)*(d_Irr!AC12)),IF(AND(d_Irr!D12&lt;&gt;".",d_Irr!AC12=".",d_Irr!BB12="."),d_dir!AE12/((1/1000)*(d_Irr!D12)),IF(AND(d_Irr!D12=".",d_Irr!AC12=".",d_Irr!BB12="."),d_dir!AE12*1000)))))))),".")</f>
        <v>.</v>
      </c>
      <c r="AF12" s="70" t="str">
        <f>IFERROR(IF(AND(d_Irr!E12&lt;&gt;".",d_Irr!AD12&lt;&gt;".",d_Irr!BC12&lt;&gt;"."),d_dir!AF12/((1/1000)*(d_Irr!E12+d_Irr!AD12+d_Irr!BC12)),IF(AND(d_Irr!E12&lt;&gt;".",d_Irr!AD12&lt;&gt;".",d_Irr!BC12="."),d_dir!AF12/((1/1000)*(d_Irr!E12+d_Irr!AD12)),IF(AND(d_Irr!E12&lt;&gt;".",d_Irr!AD12=".",d_Irr!BC12&lt;&gt;"."),d_dir!AF12/((1/1000)*(d_Irr!E12+d_Irr!BC12)),IF(AND(d_Irr!E12=".",d_Irr!AD12&lt;&gt;".",d_Irr!BC12&lt;&gt;"."),d_dir!AF12/((1/1000)*(d_Irr!AD12+d_Irr!BC12)),IF(AND(d_Irr!E12=".",d_Irr!AD12=".",d_Irr!BC12&lt;&gt;"."),d_dir!AF12/((1/1000)*(d_Irr!BC12)),IF(AND(d_Irr!E12=".",d_Irr!AD12&lt;&gt;".",d_Irr!BC12="."),d_dir!AF12/((1/1000)*(d_Irr!AD12)),IF(AND(d_Irr!E12&lt;&gt;".",d_Irr!AD12=".",d_Irr!BC12="."),d_dir!AF12/((1/1000)*(d_Irr!E12)),IF(AND(d_Irr!E12=".",d_Irr!AD12=".",d_Irr!BC12="."),d_dir!AF12*1000)))))))),".")</f>
        <v>.</v>
      </c>
      <c r="AG12" s="70" t="str">
        <f>IFERROR(IF(AND(d_Irr!F12&lt;&gt;".",d_Irr!AE12&lt;&gt;".",d_Irr!BD12&lt;&gt;"."),d_dir!AG12/((1/1000)*(d_Irr!F12+d_Irr!AE12+d_Irr!BD12)),IF(AND(d_Irr!F12&lt;&gt;".",d_Irr!AE12&lt;&gt;".",d_Irr!BD12="."),d_dir!AG12/((1/1000)*(d_Irr!F12+d_Irr!AE12)),IF(AND(d_Irr!F12&lt;&gt;".",d_Irr!AE12=".",d_Irr!BD12&lt;&gt;"."),d_dir!AG12/((1/1000)*(d_Irr!F12+d_Irr!BD12)),IF(AND(d_Irr!F12=".",d_Irr!AE12&lt;&gt;".",d_Irr!BD12&lt;&gt;"."),d_dir!AG12/((1/1000)*(d_Irr!AE12+d_Irr!BD12)),IF(AND(d_Irr!F12=".",d_Irr!AE12=".",d_Irr!BD12&lt;&gt;"."),d_dir!AG12/((1/1000)*(d_Irr!BD12)),IF(AND(d_Irr!F12=".",d_Irr!AE12&lt;&gt;".",d_Irr!BD12="."),d_dir!AG12/((1/1000)*(d_Irr!AE12)),IF(AND(d_Irr!F12&lt;&gt;".",d_Irr!AE12=".",d_Irr!BD12="."),d_dir!AG12/((1/1000)*(d_Irr!F12)),IF(AND(d_Irr!F12=".",d_Irr!AE12=".",d_Irr!BD12="."),d_dir!AG12*1000)))))))),".")</f>
        <v>.</v>
      </c>
      <c r="AH12" s="70" t="str">
        <f>IFERROR(IF(AND(d_Irr!G12&lt;&gt;".",d_Irr!AF12&lt;&gt;".",d_Irr!BE12&lt;&gt;"."),d_dir!AH12/((1/1000)*(d_Irr!G12+d_Irr!AF12+d_Irr!BE12)),IF(AND(d_Irr!G12&lt;&gt;".",d_Irr!AF12&lt;&gt;".",d_Irr!BE12="."),d_dir!AH12/((1/1000)*(d_Irr!G12+d_Irr!AF12)),IF(AND(d_Irr!G12&lt;&gt;".",d_Irr!AF12=".",d_Irr!BE12&lt;&gt;"."),d_dir!AH12/((1/1000)*(d_Irr!G12+d_Irr!BE12)),IF(AND(d_Irr!G12=".",d_Irr!AF12&lt;&gt;".",d_Irr!BE12&lt;&gt;"."),d_dir!AH12/((1/1000)*(d_Irr!AF12+d_Irr!BE12)),IF(AND(d_Irr!G12=".",d_Irr!AF12=".",d_Irr!BE12&lt;&gt;"."),d_dir!AH12/((1/1000)*(d_Irr!BE12)),IF(AND(d_Irr!G12=".",d_Irr!AF12&lt;&gt;".",d_Irr!BE12="."),d_dir!AH12/((1/1000)*(d_Irr!AF12)),IF(AND(d_Irr!G12&lt;&gt;".",d_Irr!AF12=".",d_Irr!BE12="."),d_dir!AH12/((1/1000)*(d_Irr!G12)),IF(AND(d_Irr!G12=".",d_Irr!AF12=".",d_Irr!BE12="."),d_dir!AH12*1000)))))))),".")</f>
        <v>.</v>
      </c>
      <c r="AI12" s="70" t="str">
        <f>IFERROR(IF(AND(d_Irr!H12&lt;&gt;".",d_Irr!AG12&lt;&gt;".",d_Irr!BF12&lt;&gt;"."),d_dir!AI12/((1/1000)*(d_Irr!H12+d_Irr!AG12+d_Irr!BF12)),IF(AND(d_Irr!H12&lt;&gt;".",d_Irr!AG12&lt;&gt;".",d_Irr!BF12="."),d_dir!AI12/((1/1000)*(d_Irr!H12+d_Irr!AG12)),IF(AND(d_Irr!H12&lt;&gt;".",d_Irr!AG12=".",d_Irr!BF12&lt;&gt;"."),d_dir!AI12/((1/1000)*(d_Irr!H12+d_Irr!BF12)),IF(AND(d_Irr!H12=".",d_Irr!AG12&lt;&gt;".",d_Irr!BF12&lt;&gt;"."),d_dir!AI12/((1/1000)*(d_Irr!AG12+d_Irr!BF12)),IF(AND(d_Irr!H12=".",d_Irr!AG12=".",d_Irr!BF12&lt;&gt;"."),d_dir!AI12/((1/1000)*(d_Irr!BF12)),IF(AND(d_Irr!H12=".",d_Irr!AG12&lt;&gt;".",d_Irr!BF12="."),d_dir!AI12/((1/1000)*(d_Irr!AG12)),IF(AND(d_Irr!H12&lt;&gt;".",d_Irr!AG12=".",d_Irr!BF12="."),d_dir!AI12/((1/1000)*(d_Irr!H12)),IF(AND(d_Irr!H12=".",d_Irr!AG12=".",d_Irr!BF12="."),d_dir!AI12*1000)))))))),".")</f>
        <v>.</v>
      </c>
      <c r="AJ12" s="70" t="str">
        <f>IFERROR(IF(AND(d_Irr!I12&lt;&gt;".",d_Irr!AH12&lt;&gt;".",d_Irr!BG12&lt;&gt;"."),d_dir!AJ12/((1/1000)*(d_Irr!I12+d_Irr!AH12+d_Irr!BG12)),IF(AND(d_Irr!I12&lt;&gt;".",d_Irr!AH12&lt;&gt;".",d_Irr!BG12="."),d_dir!AJ12/((1/1000)*(d_Irr!I12+d_Irr!AH12)),IF(AND(d_Irr!I12&lt;&gt;".",d_Irr!AH12=".",d_Irr!BG12&lt;&gt;"."),d_dir!AJ12/((1/1000)*(d_Irr!I12+d_Irr!BG12)),IF(AND(d_Irr!I12=".",d_Irr!AH12&lt;&gt;".",d_Irr!BG12&lt;&gt;"."),d_dir!AJ12/((1/1000)*(d_Irr!AH12+d_Irr!BG12)),IF(AND(d_Irr!I12=".",d_Irr!AH12=".",d_Irr!BG12&lt;&gt;"."),d_dir!AJ12/((1/1000)*(d_Irr!BG12)),IF(AND(d_Irr!I12=".",d_Irr!AH12&lt;&gt;".",d_Irr!BG12="."),d_dir!AJ12/((1/1000)*(d_Irr!AH12)),IF(AND(d_Irr!I12&lt;&gt;".",d_Irr!AH12=".",d_Irr!BG12="."),d_dir!AJ12/((1/1000)*(d_Irr!I12)),IF(AND(d_Irr!I12=".",d_Irr!AH12=".",d_Irr!BG12="."),d_dir!AJ12*1000)))))))),".")</f>
        <v>.</v>
      </c>
      <c r="AK12" s="70" t="str">
        <f>IFERROR(IF(AND(d_Irr!J12&lt;&gt;".",d_Irr!AI12&lt;&gt;".",d_Irr!BH12&lt;&gt;"."),d_dir!AK12/((1/1000)*(d_Irr!J12+d_Irr!AI12+d_Irr!BH12)),IF(AND(d_Irr!J12&lt;&gt;".",d_Irr!AI12&lt;&gt;".",d_Irr!BH12="."),d_dir!AK12/((1/1000)*(d_Irr!J12+d_Irr!AI12)),IF(AND(d_Irr!J12&lt;&gt;".",d_Irr!AI12=".",d_Irr!BH12&lt;&gt;"."),d_dir!AK12/((1/1000)*(d_Irr!J12+d_Irr!BH12)),IF(AND(d_Irr!J12=".",d_Irr!AI12&lt;&gt;".",d_Irr!BH12&lt;&gt;"."),d_dir!AK12/((1/1000)*(d_Irr!AI12+d_Irr!BH12)),IF(AND(d_Irr!J12=".",d_Irr!AI12=".",d_Irr!BH12&lt;&gt;"."),d_dir!AK12/((1/1000)*(d_Irr!BH12)),IF(AND(d_Irr!J12=".",d_Irr!AI12&lt;&gt;".",d_Irr!BH12="."),d_dir!AK12/((1/1000)*(d_Irr!AI12)),IF(AND(d_Irr!J12&lt;&gt;".",d_Irr!AI12=".",d_Irr!BH12="."),d_dir!AK12/((1/1000)*(d_Irr!J12)),IF(AND(d_Irr!J12=".",d_Irr!AI12=".",d_Irr!BH12="."),d_dir!AK12*1000)))))))),".")</f>
        <v>.</v>
      </c>
      <c r="AL12" s="70" t="str">
        <f>IFERROR(IF(AND(d_Irr!K12&lt;&gt;".",d_Irr!AJ12&lt;&gt;".",d_Irr!BI12&lt;&gt;"."),d_dir!AL12/((1/1000)*(d_Irr!K12+d_Irr!AJ12+d_Irr!BI12)),IF(AND(d_Irr!K12&lt;&gt;".",d_Irr!AJ12&lt;&gt;".",d_Irr!BI12="."),d_dir!AL12/((1/1000)*(d_Irr!K12+d_Irr!AJ12)),IF(AND(d_Irr!K12&lt;&gt;".",d_Irr!AJ12=".",d_Irr!BI12&lt;&gt;"."),d_dir!AL12/((1/1000)*(d_Irr!K12+d_Irr!BI12)),IF(AND(d_Irr!K12=".",d_Irr!AJ12&lt;&gt;".",d_Irr!BI12&lt;&gt;"."),d_dir!AL12/((1/1000)*(d_Irr!AJ12+d_Irr!BI12)),IF(AND(d_Irr!K12=".",d_Irr!AJ12=".",d_Irr!BI12&lt;&gt;"."),d_dir!AL12/((1/1000)*(d_Irr!BI12)),IF(AND(d_Irr!K12=".",d_Irr!AJ12&lt;&gt;".",d_Irr!BI12="."),d_dir!AL12/((1/1000)*(d_Irr!AJ12)),IF(AND(d_Irr!K12&lt;&gt;".",d_Irr!AJ12=".",d_Irr!BI12="."),d_dir!AL12/((1/1000)*(d_Irr!K12)),IF(AND(d_Irr!K12=".",d_Irr!AJ12=".",d_Irr!BI12="."),d_dir!AL12*1000)))))))),".")</f>
        <v>.</v>
      </c>
      <c r="AM12" s="70" t="str">
        <f>IFERROR(IF(AND(d_Irr!L12&lt;&gt;".",d_Irr!AK12&lt;&gt;".",d_Irr!BJ12&lt;&gt;"."),d_dir!AM12/((1/1000)*(d_Irr!L12+d_Irr!AK12+d_Irr!BJ12)),IF(AND(d_Irr!L12&lt;&gt;".",d_Irr!AK12&lt;&gt;".",d_Irr!BJ12="."),d_dir!AM12/((1/1000)*(d_Irr!L12+d_Irr!AK12)),IF(AND(d_Irr!L12&lt;&gt;".",d_Irr!AK12=".",d_Irr!BJ12&lt;&gt;"."),d_dir!AM12/((1/1000)*(d_Irr!L12+d_Irr!BJ12)),IF(AND(d_Irr!L12=".",d_Irr!AK12&lt;&gt;".",d_Irr!BJ12&lt;&gt;"."),d_dir!AM12/((1/1000)*(d_Irr!AK12+d_Irr!BJ12)),IF(AND(d_Irr!L12=".",d_Irr!AK12=".",d_Irr!BJ12&lt;&gt;"."),d_dir!AM12/((1/1000)*(d_Irr!BJ12)),IF(AND(d_Irr!L12=".",d_Irr!AK12&lt;&gt;".",d_Irr!BJ12="."),d_dir!AM12/((1/1000)*(d_Irr!AK12)),IF(AND(d_Irr!L12&lt;&gt;".",d_Irr!AK12=".",d_Irr!BJ12="."),d_dir!AM12/((1/1000)*(d_Irr!L12)),IF(AND(d_Irr!L12=".",d_Irr!AK12=".",d_Irr!BJ12="."),d_dir!AM12*1000)))))))),".")</f>
        <v>.</v>
      </c>
      <c r="AN12" s="70" t="str">
        <f>IFERROR(IF(AND(d_Irr!M12&lt;&gt;".",d_Irr!AL12&lt;&gt;".",d_Irr!BK12&lt;&gt;"."),d_dir!AN12/((1/1000)*(d_Irr!M12+d_Irr!AL12+d_Irr!BK12)),IF(AND(d_Irr!M12&lt;&gt;".",d_Irr!AL12&lt;&gt;".",d_Irr!BK12="."),d_dir!AN12/((1/1000)*(d_Irr!M12+d_Irr!AL12)),IF(AND(d_Irr!M12&lt;&gt;".",d_Irr!AL12=".",d_Irr!BK12&lt;&gt;"."),d_dir!AN12/((1/1000)*(d_Irr!M12+d_Irr!BK12)),IF(AND(d_Irr!M12=".",d_Irr!AL12&lt;&gt;".",d_Irr!BK12&lt;&gt;"."),d_dir!AN12/((1/1000)*(d_Irr!AL12+d_Irr!BK12)),IF(AND(d_Irr!M12=".",d_Irr!AL12=".",d_Irr!BK12&lt;&gt;"."),d_dir!AN12/((1/1000)*(d_Irr!BK12)),IF(AND(d_Irr!M12=".",d_Irr!AL12&lt;&gt;".",d_Irr!BK12="."),d_dir!AN12/((1/1000)*(d_Irr!AL12)),IF(AND(d_Irr!M12&lt;&gt;".",d_Irr!AL12=".",d_Irr!BK12="."),d_dir!AN12/((1/1000)*(d_Irr!M12)),IF(AND(d_Irr!M12=".",d_Irr!AL12=".",d_Irr!BK12="."),d_dir!AN12*1000)))))))),".")</f>
        <v>.</v>
      </c>
      <c r="AO12" s="70" t="str">
        <f>IFERROR(IF(AND(d_Irr!N12&lt;&gt;".",d_Irr!AM12&lt;&gt;".",d_Irr!BL12&lt;&gt;"."),d_dir!AO12/((1/1000)*(d_Irr!N12+d_Irr!AM12+d_Irr!BL12)),IF(AND(d_Irr!N12&lt;&gt;".",d_Irr!AM12&lt;&gt;".",d_Irr!BL12="."),d_dir!AO12/((1/1000)*(d_Irr!N12+d_Irr!AM12)),IF(AND(d_Irr!N12&lt;&gt;".",d_Irr!AM12=".",d_Irr!BL12&lt;&gt;"."),d_dir!AO12/((1/1000)*(d_Irr!N12+d_Irr!BL12)),IF(AND(d_Irr!N12=".",d_Irr!AM12&lt;&gt;".",d_Irr!BL12&lt;&gt;"."),d_dir!AO12/((1/1000)*(d_Irr!AM12+d_Irr!BL12)),IF(AND(d_Irr!N12=".",d_Irr!AM12=".",d_Irr!BL12&lt;&gt;"."),d_dir!AO12/((1/1000)*(d_Irr!BL12)),IF(AND(d_Irr!N12=".",d_Irr!AM12&lt;&gt;".",d_Irr!BL12="."),d_dir!AO12/((1/1000)*(d_Irr!AM12)),IF(AND(d_Irr!N12&lt;&gt;".",d_Irr!AM12=".",d_Irr!BL12="."),d_dir!AO12/((1/1000)*(d_Irr!N12)),IF(AND(d_Irr!N12=".",d_Irr!AM12=".",d_Irr!BL12="."),d_dir!AO12*1000)))))))),".")</f>
        <v>.</v>
      </c>
      <c r="AP12" s="70" t="str">
        <f>IFERROR(IF(AND(d_Irr!O12&lt;&gt;".",d_Irr!AN12&lt;&gt;".",d_Irr!BM12&lt;&gt;"."),d_dir!AP12/((1/1000)*(d_Irr!O12+d_Irr!AN12+d_Irr!BM12)),IF(AND(d_Irr!O12&lt;&gt;".",d_Irr!AN12&lt;&gt;".",d_Irr!BM12="."),d_dir!AP12/((1/1000)*(d_Irr!O12+d_Irr!AN12)),IF(AND(d_Irr!O12&lt;&gt;".",d_Irr!AN12=".",d_Irr!BM12&lt;&gt;"."),d_dir!AP12/((1/1000)*(d_Irr!O12+d_Irr!BM12)),IF(AND(d_Irr!O12=".",d_Irr!AN12&lt;&gt;".",d_Irr!BM12&lt;&gt;"."),d_dir!AP12/((1/1000)*(d_Irr!AN12+d_Irr!BM12)),IF(AND(d_Irr!O12=".",d_Irr!AN12=".",d_Irr!BM12&lt;&gt;"."),d_dir!AP12/((1/1000)*(d_Irr!BM12)),IF(AND(d_Irr!O12=".",d_Irr!AN12&lt;&gt;".",d_Irr!BM12="."),d_dir!AP12/((1/1000)*(d_Irr!AN12)),IF(AND(d_Irr!O12&lt;&gt;".",d_Irr!AN12=".",d_Irr!BM12="."),d_dir!AP12/((1/1000)*(d_Irr!O12)),IF(AND(d_Irr!O12=".",d_Irr!AN12=".",d_Irr!BM12="."),d_dir!AP12*1000)))))))),".")</f>
        <v>.</v>
      </c>
      <c r="AQ12" s="70" t="str">
        <f>IFERROR(IF(AND(d_Irr!P12&lt;&gt;".",d_Irr!AO12&lt;&gt;".",d_Irr!BN12&lt;&gt;"."),d_dir!AQ12/((1/1000)*(d_Irr!P12+d_Irr!AO12+d_Irr!BN12)),IF(AND(d_Irr!P12&lt;&gt;".",d_Irr!AO12&lt;&gt;".",d_Irr!BN12="."),d_dir!AQ12/((1/1000)*(d_Irr!P12+d_Irr!AO12)),IF(AND(d_Irr!P12&lt;&gt;".",d_Irr!AO12=".",d_Irr!BN12&lt;&gt;"."),d_dir!AQ12/((1/1000)*(d_Irr!P12+d_Irr!BN12)),IF(AND(d_Irr!P12=".",d_Irr!AO12&lt;&gt;".",d_Irr!BN12&lt;&gt;"."),d_dir!AQ12/((1/1000)*(d_Irr!AO12+d_Irr!BN12)),IF(AND(d_Irr!P12=".",d_Irr!AO12=".",d_Irr!BN12&lt;&gt;"."),d_dir!AQ12/((1/1000)*(d_Irr!BN12)),IF(AND(d_Irr!P12=".",d_Irr!AO12&lt;&gt;".",d_Irr!BN12="."),d_dir!AQ12/((1/1000)*(d_Irr!AO12)),IF(AND(d_Irr!P12&lt;&gt;".",d_Irr!AO12=".",d_Irr!BN12="."),d_dir!AQ12/((1/1000)*(d_Irr!P12)),IF(AND(d_Irr!P12=".",d_Irr!AO12=".",d_Irr!BN12="."),d_dir!AQ12*1000)))))))),".")</f>
        <v>.</v>
      </c>
      <c r="AR12" s="70" t="str">
        <f>IFERROR(IF(AND(d_Irr!Q12&lt;&gt;".",d_Irr!AP12&lt;&gt;".",d_Irr!BO12&lt;&gt;"."),d_dir!AR12/((1/1000)*(d_Irr!Q12+d_Irr!AP12+d_Irr!BO12)),IF(AND(d_Irr!Q12&lt;&gt;".",d_Irr!AP12&lt;&gt;".",d_Irr!BO12="."),d_dir!AR12/((1/1000)*(d_Irr!Q12+d_Irr!AP12)),IF(AND(d_Irr!Q12&lt;&gt;".",d_Irr!AP12=".",d_Irr!BO12&lt;&gt;"."),d_dir!AR12/((1/1000)*(d_Irr!Q12+d_Irr!BO12)),IF(AND(d_Irr!Q12=".",d_Irr!AP12&lt;&gt;".",d_Irr!BO12&lt;&gt;"."),d_dir!AR12/((1/1000)*(d_Irr!AP12+d_Irr!BO12)),IF(AND(d_Irr!Q12=".",d_Irr!AP12=".",d_Irr!BO12&lt;&gt;"."),d_dir!AR12/((1/1000)*(d_Irr!BO12)),IF(AND(d_Irr!Q12=".",d_Irr!AP12&lt;&gt;".",d_Irr!BO12="."),d_dir!AR12/((1/1000)*(d_Irr!AP12)),IF(AND(d_Irr!Q12&lt;&gt;".",d_Irr!AP12=".",d_Irr!BO12="."),d_dir!AR12/((1/1000)*(d_Irr!Q12)),IF(AND(d_Irr!Q12=".",d_Irr!AP12=".",d_Irr!BO12="."),d_dir!AR12*1000)))))))),".")</f>
        <v>.</v>
      </c>
      <c r="AS12" s="70" t="str">
        <f>IFERROR(IF(AND(d_Irr!R12&lt;&gt;".",d_Irr!AQ12&lt;&gt;".",d_Irr!BP12&lt;&gt;"."),d_dir!AS12/((1/1000)*(d_Irr!R12+d_Irr!AQ12+d_Irr!BP12)),IF(AND(d_Irr!R12&lt;&gt;".",d_Irr!AQ12&lt;&gt;".",d_Irr!BP12="."),d_dir!AS12/((1/1000)*(d_Irr!R12+d_Irr!AQ12)),IF(AND(d_Irr!R12&lt;&gt;".",d_Irr!AQ12=".",d_Irr!BP12&lt;&gt;"."),d_dir!AS12/((1/1000)*(d_Irr!R12+d_Irr!BP12)),IF(AND(d_Irr!R12=".",d_Irr!AQ12&lt;&gt;".",d_Irr!BP12&lt;&gt;"."),d_dir!AS12/((1/1000)*(d_Irr!AQ12+d_Irr!BP12)),IF(AND(d_Irr!R12=".",d_Irr!AQ12=".",d_Irr!BP12&lt;&gt;"."),d_dir!AS12/((1/1000)*(d_Irr!BP12)),IF(AND(d_Irr!R12=".",d_Irr!AQ12&lt;&gt;".",d_Irr!BP12="."),d_dir!AS12/((1/1000)*(d_Irr!AQ12)),IF(AND(d_Irr!R12&lt;&gt;".",d_Irr!AQ12=".",d_Irr!BP12="."),d_dir!AS12/((1/1000)*(d_Irr!R12)),IF(AND(d_Irr!R12=".",d_Irr!AQ12=".",d_Irr!BP12="."),d_dir!AS12*1000)))))))),".")</f>
        <v>.</v>
      </c>
      <c r="AT12" s="70" t="str">
        <f>IFERROR(IF(AND(d_Irr!S12&lt;&gt;".",d_Irr!AR12&lt;&gt;".",d_Irr!BQ12&lt;&gt;"."),d_dir!AT12/((1/1000)*(d_Irr!S12+d_Irr!AR12+d_Irr!BQ12)),IF(AND(d_Irr!S12&lt;&gt;".",d_Irr!AR12&lt;&gt;".",d_Irr!BQ12="."),d_dir!AT12/((1/1000)*(d_Irr!S12+d_Irr!AR12)),IF(AND(d_Irr!S12&lt;&gt;".",d_Irr!AR12=".",d_Irr!BQ12&lt;&gt;"."),d_dir!AT12/((1/1000)*(d_Irr!S12+d_Irr!BQ12)),IF(AND(d_Irr!S12=".",d_Irr!AR12&lt;&gt;".",d_Irr!BQ12&lt;&gt;"."),d_dir!AT12/((1/1000)*(d_Irr!AR12+d_Irr!BQ12)),IF(AND(d_Irr!S12=".",d_Irr!AR12=".",d_Irr!BQ12&lt;&gt;"."),d_dir!AT12/((1/1000)*(d_Irr!BQ12)),IF(AND(d_Irr!S12=".",d_Irr!AR12&lt;&gt;".",d_Irr!BQ12="."),d_dir!AT12/((1/1000)*(d_Irr!AR12)),IF(AND(d_Irr!S12&lt;&gt;".",d_Irr!AR12=".",d_Irr!BQ12="."),d_dir!AT12/((1/1000)*(d_Irr!S12)),IF(AND(d_Irr!S12=".",d_Irr!AR12=".",d_Irr!BQ12="."),d_dir!AT12*1000)))))))),".")</f>
        <v>.</v>
      </c>
      <c r="AU12" s="70" t="str">
        <f>IFERROR(IF(AND(d_Irr!T12&lt;&gt;".",d_Irr!AS12&lt;&gt;".",d_Irr!BR12&lt;&gt;"."),d_dir!AU12/((1/1000)*(d_Irr!T12+d_Irr!AS12+d_Irr!BR12)),IF(AND(d_Irr!T12&lt;&gt;".",d_Irr!AS12&lt;&gt;".",d_Irr!BR12="."),d_dir!AU12/((1/1000)*(d_Irr!T12+d_Irr!AS12)),IF(AND(d_Irr!T12&lt;&gt;".",d_Irr!AS12=".",d_Irr!BR12&lt;&gt;"."),d_dir!AU12/((1/1000)*(d_Irr!T12+d_Irr!BR12)),IF(AND(d_Irr!T12=".",d_Irr!AS12&lt;&gt;".",d_Irr!BR12&lt;&gt;"."),d_dir!AU12/((1/1000)*(d_Irr!AS12+d_Irr!BR12)),IF(AND(d_Irr!T12=".",d_Irr!AS12=".",d_Irr!BR12&lt;&gt;"."),d_dir!AU12/((1/1000)*(d_Irr!BR12)),IF(AND(d_Irr!T12=".",d_Irr!AS12&lt;&gt;".",d_Irr!BR12="."),d_dir!AU12/((1/1000)*(d_Irr!AS12)),IF(AND(d_Irr!T12&lt;&gt;".",d_Irr!AS12=".",d_Irr!BR12="."),d_dir!AU12/((1/1000)*(d_Irr!T12)),IF(AND(d_Irr!T12=".",d_Irr!AS12=".",d_Irr!BR12="."),d_dir!AU12*1000)))))))),".")</f>
        <v>.</v>
      </c>
      <c r="AV12" s="70" t="str">
        <f>IFERROR(IF(AND(d_Irr!U12&lt;&gt;".",d_Irr!AT12&lt;&gt;".",d_Irr!BS12&lt;&gt;"."),d_dir!AV12/((1/1000)*(d_Irr!U12+d_Irr!AT12+d_Irr!BS12)),IF(AND(d_Irr!U12&lt;&gt;".",d_Irr!AT12&lt;&gt;".",d_Irr!BS12="."),d_dir!AV12/((1/1000)*(d_Irr!U12+d_Irr!AT12)),IF(AND(d_Irr!U12&lt;&gt;".",d_Irr!AT12=".",d_Irr!BS12&lt;&gt;"."),d_dir!AV12/((1/1000)*(d_Irr!U12+d_Irr!BS12)),IF(AND(d_Irr!U12=".",d_Irr!AT12&lt;&gt;".",d_Irr!BS12&lt;&gt;"."),d_dir!AV12/((1/1000)*(d_Irr!AT12+d_Irr!BS12)),IF(AND(d_Irr!U12=".",d_Irr!AT12=".",d_Irr!BS12&lt;&gt;"."),d_dir!AV12/((1/1000)*(d_Irr!BS12)),IF(AND(d_Irr!U12=".",d_Irr!AT12&lt;&gt;".",d_Irr!BS12="."),d_dir!AV12/((1/1000)*(d_Irr!AT12)),IF(AND(d_Irr!U12&lt;&gt;".",d_Irr!AT12=".",d_Irr!BS12="."),d_dir!AV12/((1/1000)*(d_Irr!U12)),IF(AND(d_Irr!U12=".",d_Irr!AT12=".",d_Irr!BS12="."),d_dir!AV12*1000)))))))),".")</f>
        <v>.</v>
      </c>
      <c r="AW12" s="70" t="str">
        <f>IFERROR(IF(AND(d_Irr!V12&lt;&gt;".",d_Irr!AU12&lt;&gt;".",d_Irr!BT12&lt;&gt;"."),d_dir!AW12/((1/1000)*(d_Irr!V12+d_Irr!AU12+d_Irr!BT12)),IF(AND(d_Irr!V12&lt;&gt;".",d_Irr!AU12&lt;&gt;".",d_Irr!BT12="."),d_dir!AW12/((1/1000)*(d_Irr!V12+d_Irr!AU12)),IF(AND(d_Irr!V12&lt;&gt;".",d_Irr!AU12=".",d_Irr!BT12&lt;&gt;"."),d_dir!AW12/((1/1000)*(d_Irr!V12+d_Irr!BT12)),IF(AND(d_Irr!V12=".",d_Irr!AU12&lt;&gt;".",d_Irr!BT12&lt;&gt;"."),d_dir!AW12/((1/1000)*(d_Irr!AU12+d_Irr!BT12)),IF(AND(d_Irr!V12=".",d_Irr!AU12=".",d_Irr!BT12&lt;&gt;"."),d_dir!AW12/((1/1000)*(d_Irr!BT12)),IF(AND(d_Irr!V12=".",d_Irr!AU12&lt;&gt;".",d_Irr!BT12="."),d_dir!AW12/((1/1000)*(d_Irr!AU12)),IF(AND(d_Irr!V12&lt;&gt;".",d_Irr!AU12=".",d_Irr!BT12="."),d_dir!AW12/((1/1000)*(d_Irr!V12)),IF(AND(d_Irr!V12=".",d_Irr!AU12=".",d_Irr!BT12="."),d_dir!AW12*1000)))))))),".")</f>
        <v>.</v>
      </c>
      <c r="AX12" s="70" t="str">
        <f>IFERROR(IF(AND(d_Irr!W12&lt;&gt;".",d_Irr!AV12&lt;&gt;".",d_Irr!BU12&lt;&gt;"."),d_dir!AX12/((1/1000)*(d_Irr!W12+d_Irr!AV12+d_Irr!BU12)),IF(AND(d_Irr!W12&lt;&gt;".",d_Irr!AV12&lt;&gt;".",d_Irr!BU12="."),d_dir!AX12/((1/1000)*(d_Irr!W12+d_Irr!AV12)),IF(AND(d_Irr!W12&lt;&gt;".",d_Irr!AV12=".",d_Irr!BU12&lt;&gt;"."),d_dir!AX12/((1/1000)*(d_Irr!W12+d_Irr!BU12)),IF(AND(d_Irr!W12=".",d_Irr!AV12&lt;&gt;".",d_Irr!BU12&lt;&gt;"."),d_dir!AX12/((1/1000)*(d_Irr!AV12+d_Irr!BU12)),IF(AND(d_Irr!W12=".",d_Irr!AV12=".",d_Irr!BU12&lt;&gt;"."),d_dir!AX12/((1/1000)*(d_Irr!BU12)),IF(AND(d_Irr!W12=".",d_Irr!AV12&lt;&gt;".",d_Irr!BU12="."),d_dir!AX12/((1/1000)*(d_Irr!AV12)),IF(AND(d_Irr!W12&lt;&gt;".",d_Irr!AV12=".",d_Irr!BU12="."),d_dir!AX12/((1/1000)*(d_Irr!W12)),IF(AND(d_Irr!W12=".",d_Irr!AV12=".",d_Irr!BU12="."),d_dir!AX12*1000)))))))),".")</f>
        <v>.</v>
      </c>
      <c r="AY12" s="70" t="str">
        <f>IFERROR(IF(AND(d_Irr!X12&lt;&gt;".",d_Irr!AW12&lt;&gt;".",d_Irr!BV12&lt;&gt;"."),d_dir!AY12/((1/1000)*(d_Irr!X12+d_Irr!AW12+d_Irr!BV12)),IF(AND(d_Irr!X12&lt;&gt;".",d_Irr!AW12&lt;&gt;".",d_Irr!BV12="."),d_dir!AY12/((1/1000)*(d_Irr!X12+d_Irr!AW12)),IF(AND(d_Irr!X12&lt;&gt;".",d_Irr!AW12=".",d_Irr!BV12&lt;&gt;"."),d_dir!AY12/((1/1000)*(d_Irr!X12+d_Irr!BV12)),IF(AND(d_Irr!X12=".",d_Irr!AW12&lt;&gt;".",d_Irr!BV12&lt;&gt;"."),d_dir!AY12/((1/1000)*(d_Irr!AW12+d_Irr!BV12)),IF(AND(d_Irr!X12=".",d_Irr!AW12=".",d_Irr!BV12&lt;&gt;"."),d_dir!AY12/((1/1000)*(d_Irr!BV12)),IF(AND(d_Irr!X12=".",d_Irr!AW12&lt;&gt;".",d_Irr!BV12="."),d_dir!AY12/((1/1000)*(d_Irr!AW12)),IF(AND(d_Irr!X12&lt;&gt;".",d_Irr!AW12=".",d_Irr!BV12="."),d_dir!AY12/((1/1000)*(d_Irr!X12)),IF(AND(d_Irr!X12=".",d_Irr!AW12=".",d_Irr!BV12="."),d_dir!AY12*1000)))))))),".")</f>
        <v>.</v>
      </c>
      <c r="AZ12" s="70" t="str">
        <f>IFERROR(IF(AND(d_Irr!Y12&lt;&gt;".",d_Irr!AX12&lt;&gt;".",d_Irr!BW12&lt;&gt;"."),d_dir!AZ12/((1/1000)*(d_Irr!Y12+d_Irr!AX12+d_Irr!BW12)),IF(AND(d_Irr!Y12&lt;&gt;".",d_Irr!AX12&lt;&gt;".",d_Irr!BW12="."),d_dir!AZ12/((1/1000)*(d_Irr!Y12+d_Irr!AX12)),IF(AND(d_Irr!Y12&lt;&gt;".",d_Irr!AX12=".",d_Irr!BW12&lt;&gt;"."),d_dir!AZ12/((1/1000)*(d_Irr!Y12+d_Irr!BW12)),IF(AND(d_Irr!Y12=".",d_Irr!AX12&lt;&gt;".",d_Irr!BW12&lt;&gt;"."),d_dir!AZ12/((1/1000)*(d_Irr!AX12+d_Irr!BW12)),IF(AND(d_Irr!Y12=".",d_Irr!AX12=".",d_Irr!BW12&lt;&gt;"."),d_dir!AZ12/((1/1000)*(d_Irr!BW12)),IF(AND(d_Irr!Y12=".",d_Irr!AX12&lt;&gt;".",d_Irr!BW12="."),d_dir!AZ12/((1/1000)*(d_Irr!AX12)),IF(AND(d_Irr!Y12&lt;&gt;".",d_Irr!AX12=".",d_Irr!BW12="."),d_dir!AZ12/((1/1000)*(d_Irr!Y12)),IF(AND(d_Irr!Y12=".",d_Irr!AX12=".",d_Irr!BW12="."),d_dir!AZ12*1000)))))))),".")</f>
        <v>.</v>
      </c>
      <c r="BA12" s="70" t="str">
        <f>IFERROR(IF(AND(d_Irr!Z12&lt;&gt;".",d_Irr!AY12&lt;&gt;".",d_Irr!BX12&lt;&gt;"."),d_dir!BA12/((1/1000)*(d_Irr!Z12+d_Irr!AY12+d_Irr!BX12)),IF(AND(d_Irr!Z12&lt;&gt;".",d_Irr!AY12&lt;&gt;".",d_Irr!BX12="."),d_dir!BA12/((1/1000)*(d_Irr!Z12+d_Irr!AY12)),IF(AND(d_Irr!Z12&lt;&gt;".",d_Irr!AY12=".",d_Irr!BX12&lt;&gt;"."),d_dir!BA12/((1/1000)*(d_Irr!Z12+d_Irr!BX12)),IF(AND(d_Irr!Z12=".",d_Irr!AY12&lt;&gt;".",d_Irr!BX12&lt;&gt;"."),d_dir!BA12/((1/1000)*(d_Irr!AY12+d_Irr!BX12)),IF(AND(d_Irr!Z12=".",d_Irr!AY12=".",d_Irr!BX12&lt;&gt;"."),d_dir!BA12/((1/1000)*(d_Irr!BX12)),IF(AND(d_Irr!Z12=".",d_Irr!AY12&lt;&gt;".",d_Irr!BX12="."),d_dir!BA12/((1/1000)*(d_Irr!AY12)),IF(AND(d_Irr!Z12&lt;&gt;".",d_Irr!AY12=".",d_Irr!BX12="."),d_dir!BA12/((1/1000)*(d_Irr!Z12)),IF(AND(d_Irr!Z12=".",d_Irr!AY12=".",d_Irr!BX12="."),d_dir!BA12*1000)))))))),".")</f>
        <v>.</v>
      </c>
      <c r="BB12" s="70" t="str">
        <f>IFERROR(IF(AND(d_Irr!AA12&lt;&gt;".",d_Irr!AZ12&lt;&gt;".",d_Irr!BY12&lt;&gt;"."),d_dir!BB12/((1/1000)*(d_Irr!AA12+d_Irr!AZ12+d_Irr!BY12)),IF(AND(d_Irr!AA12&lt;&gt;".",d_Irr!AZ12&lt;&gt;".",d_Irr!BY12="."),d_dir!BB12/((1/1000)*(d_Irr!AA12+d_Irr!AZ12)),IF(AND(d_Irr!AA12&lt;&gt;".",d_Irr!AZ12=".",d_Irr!BY12&lt;&gt;"."),d_dir!BB12/((1/1000)*(d_Irr!AA12+d_Irr!BY12)),IF(AND(d_Irr!AA12=".",d_Irr!AZ12&lt;&gt;".",d_Irr!BY12&lt;&gt;"."),d_dir!BB12/((1/1000)*(d_Irr!AZ12+d_Irr!BY12)),IF(AND(d_Irr!AA12=".",d_Irr!AZ12=".",d_Irr!BY12&lt;&gt;"."),d_dir!BB12/((1/1000)*(d_Irr!BY12)),IF(AND(d_Irr!AA12=".",d_Irr!AZ12&lt;&gt;".",d_Irr!BY12="."),d_dir!BB12/((1/1000)*(d_Irr!AZ12)),IF(AND(d_Irr!AA12&lt;&gt;".",d_Irr!AZ12=".",d_Irr!BY12="."),d_dir!BB12/((1/1000)*(d_Irr!AA12)),IF(AND(d_Irr!AA12=".",d_Irr!AZ12=".",d_Irr!BY12="."),d_dir!BB12*1000)))))))),".")</f>
        <v>.</v>
      </c>
    </row>
    <row r="13" spans="1:54" ht="15" customHeight="1" x14ac:dyDescent="0.25">
      <c r="A13" s="86" t="s">
        <v>11</v>
      </c>
      <c r="B13" s="84" t="s">
        <v>1057</v>
      </c>
      <c r="C13" s="2">
        <f t="shared" si="1"/>
        <v>1.1560714195678143</v>
      </c>
      <c r="D13" s="70">
        <f>IFERROR(IF(AND(d_Irr!C13&lt;&gt;".",d_Irr!AB13&lt;&gt;".",d_Irr!BA13&lt;&gt;"."),d_dir!D13/((1/1000)*(d_Irr!C13+d_Irr!AB13+d_Irr!BA13)),IF(AND(d_Irr!C13&lt;&gt;".",d_Irr!AB13&lt;&gt;".",d_Irr!BA13="."),d_dir!D13/((1/1000)*(d_Irr!C13+d_Irr!AB13)),IF(AND(d_Irr!C13&lt;&gt;".",d_Irr!AB13=".",d_Irr!BA13&lt;&gt;"."),d_dir!D13/((1/1000)*(d_Irr!C13+d_Irr!BA13)),IF(AND(d_Irr!C13=".",d_Irr!AB13&lt;&gt;".",d_Irr!BA13&lt;&gt;"."),d_dir!D13/((1/1000)*(d_Irr!AB13+d_Irr!BA13)),IF(AND(d_Irr!C13=".",d_Irr!AB13=".",d_Irr!BA13&lt;&gt;"."),d_dir!D13/((1/1000)*(d_Irr!BA13)),IF(AND(d_Irr!C13=".",d_Irr!AB13&lt;&gt;".",d_Irr!BA13="."),d_dir!D13/((1/1000)*(d_Irr!AB13)),IF(AND(d_Irr!C13&lt;&gt;".",d_Irr!AB13=".",d_Irr!BA13="."),d_dir!D13/((1/1000)*(d_Irr!C13)),IF(AND(d_Irr!C13=".",d_Irr!AB13=".",d_Irr!BA13="."),d_dir!D13*1000)))))))),".")</f>
        <v>22.98292665636956</v>
      </c>
      <c r="E13" s="70">
        <f>IFERROR(IF(AND(d_Irr!D13&lt;&gt;".",d_Irr!AC13&lt;&gt;".",d_Irr!BB13&lt;&gt;"."),d_dir!E13/((1/1000)*(d_Irr!D13+d_Irr!AC13+d_Irr!BB13)),IF(AND(d_Irr!D13&lt;&gt;".",d_Irr!AC13&lt;&gt;".",d_Irr!BB13="."),d_dir!E13/((1/1000)*(d_Irr!D13+d_Irr!AC13)),IF(AND(d_Irr!D13&lt;&gt;".",d_Irr!AC13=".",d_Irr!BB13&lt;&gt;"."),d_dir!E13/((1/1000)*(d_Irr!D13+d_Irr!BB13)),IF(AND(d_Irr!D13=".",d_Irr!AC13&lt;&gt;".",d_Irr!BB13&lt;&gt;"."),d_dir!E13/((1/1000)*(d_Irr!AC13+d_Irr!BB13)),IF(AND(d_Irr!D13=".",d_Irr!AC13=".",d_Irr!BB13&lt;&gt;"."),d_dir!E13/((1/1000)*(d_Irr!BB13)),IF(AND(d_Irr!D13=".",d_Irr!AC13&lt;&gt;".",d_Irr!BB13="."),d_dir!E13/((1/1000)*(d_Irr!AC13)),IF(AND(d_Irr!D13&lt;&gt;".",d_Irr!AC13=".",d_Irr!BB13="."),d_dir!E13/((1/1000)*(d_Irr!D13)),IF(AND(d_Irr!D13=".",d_Irr!AC13=".",d_Irr!BB13="."),d_dir!E13*1000)))))))),".")</f>
        <v>39.862236667835205</v>
      </c>
      <c r="F13" s="70">
        <f>IFERROR(IF(AND(d_Irr!E13&lt;&gt;".",d_Irr!AD13&lt;&gt;".",d_Irr!BC13&lt;&gt;"."),d_dir!F13/((1/1000)*(d_Irr!E13+d_Irr!AD13+d_Irr!BC13)),IF(AND(d_Irr!E13&lt;&gt;".",d_Irr!AD13&lt;&gt;".",d_Irr!BC13="."),d_dir!F13/((1/1000)*(d_Irr!E13+d_Irr!AD13)),IF(AND(d_Irr!E13&lt;&gt;".",d_Irr!AD13=".",d_Irr!BC13&lt;&gt;"."),d_dir!F13/((1/1000)*(d_Irr!E13+d_Irr!BC13)),IF(AND(d_Irr!E13=".",d_Irr!AD13&lt;&gt;".",d_Irr!BC13&lt;&gt;"."),d_dir!F13/((1/1000)*(d_Irr!AD13+d_Irr!BC13)),IF(AND(d_Irr!E13=".",d_Irr!AD13=".",d_Irr!BC13&lt;&gt;"."),d_dir!F13/((1/1000)*(d_Irr!BC13)),IF(AND(d_Irr!E13=".",d_Irr!AD13&lt;&gt;".",d_Irr!BC13="."),d_dir!F13/((1/1000)*(d_Irr!AD13)),IF(AND(d_Irr!E13&lt;&gt;".",d_Irr!AD13=".",d_Irr!BC13="."),d_dir!F13/((1/1000)*(d_Irr!E13)),IF(AND(d_Irr!E13=".",d_Irr!AD13=".",d_Irr!BC13="."),d_dir!F13*1000)))))))),".")</f>
        <v>49.996641169404</v>
      </c>
      <c r="G13" s="70">
        <f>IFERROR(IF(AND(d_Irr!F13&lt;&gt;".",d_Irr!AE13&lt;&gt;".",d_Irr!BD13&lt;&gt;"."),d_dir!G13/((1/1000)*(d_Irr!F13+d_Irr!AE13+d_Irr!BD13)),IF(AND(d_Irr!F13&lt;&gt;".",d_Irr!AE13&lt;&gt;".",d_Irr!BD13="."),d_dir!G13/((1/1000)*(d_Irr!F13+d_Irr!AE13)),IF(AND(d_Irr!F13&lt;&gt;".",d_Irr!AE13=".",d_Irr!BD13&lt;&gt;"."),d_dir!G13/((1/1000)*(d_Irr!F13+d_Irr!BD13)),IF(AND(d_Irr!F13=".",d_Irr!AE13&lt;&gt;".",d_Irr!BD13&lt;&gt;"."),d_dir!G13/((1/1000)*(d_Irr!AE13+d_Irr!BD13)),IF(AND(d_Irr!F13=".",d_Irr!AE13=".",d_Irr!BD13&lt;&gt;"."),d_dir!G13/((1/1000)*(d_Irr!BD13)),IF(AND(d_Irr!F13=".",d_Irr!AE13&lt;&gt;".",d_Irr!BD13="."),d_dir!G13/((1/1000)*(d_Irr!AE13)),IF(AND(d_Irr!F13&lt;&gt;".",d_Irr!AE13=".",d_Irr!BD13="."),d_dir!G13/((1/1000)*(d_Irr!F13)),IF(AND(d_Irr!F13=".",d_Irr!AE13=".",d_Irr!BD13="."),d_dir!G13*1000)))))))),".")</f>
        <v>51.677250534476549</v>
      </c>
      <c r="H13" s="70">
        <f>IFERROR(IF(AND(d_Irr!G13&lt;&gt;".",d_Irr!AF13&lt;&gt;".",d_Irr!BE13&lt;&gt;"."),d_dir!H13/((1/1000)*(d_Irr!G13+d_Irr!AF13+d_Irr!BE13)),IF(AND(d_Irr!G13&lt;&gt;".",d_Irr!AF13&lt;&gt;".",d_Irr!BE13="."),d_dir!H13/((1/1000)*(d_Irr!G13+d_Irr!AF13)),IF(AND(d_Irr!G13&lt;&gt;".",d_Irr!AF13=".",d_Irr!BE13&lt;&gt;"."),d_dir!H13/((1/1000)*(d_Irr!G13+d_Irr!BE13)),IF(AND(d_Irr!G13=".",d_Irr!AF13&lt;&gt;".",d_Irr!BE13&lt;&gt;"."),d_dir!H13/((1/1000)*(d_Irr!AF13+d_Irr!BE13)),IF(AND(d_Irr!G13=".",d_Irr!AF13=".",d_Irr!BE13&lt;&gt;"."),d_dir!H13/((1/1000)*(d_Irr!BE13)),IF(AND(d_Irr!G13=".",d_Irr!AF13&lt;&gt;".",d_Irr!BE13="."),d_dir!H13/((1/1000)*(d_Irr!AF13)),IF(AND(d_Irr!G13&lt;&gt;".",d_Irr!AF13=".",d_Irr!BE13="."),d_dir!H13/((1/1000)*(d_Irr!G13)),IF(AND(d_Irr!G13=".",d_Irr!AF13=".",d_Irr!BE13="."),d_dir!H13*1000)))))))),".")</f>
        <v>53.89514208117096</v>
      </c>
      <c r="I13" s="70">
        <f>IFERROR(IF(AND(d_Irr!H13&lt;&gt;".",d_Irr!AG13&lt;&gt;".",d_Irr!BF13&lt;&gt;"."),d_dir!I13/((1/1000)*(d_Irr!H13+d_Irr!AG13+d_Irr!BF13)),IF(AND(d_Irr!H13&lt;&gt;".",d_Irr!AG13&lt;&gt;".",d_Irr!BF13="."),d_dir!I13/((1/1000)*(d_Irr!H13+d_Irr!AG13)),IF(AND(d_Irr!H13&lt;&gt;".",d_Irr!AG13=".",d_Irr!BF13&lt;&gt;"."),d_dir!I13/((1/1000)*(d_Irr!H13+d_Irr!BF13)),IF(AND(d_Irr!H13=".",d_Irr!AG13&lt;&gt;".",d_Irr!BF13&lt;&gt;"."),d_dir!I13/((1/1000)*(d_Irr!AG13+d_Irr!BF13)),IF(AND(d_Irr!H13=".",d_Irr!AG13=".",d_Irr!BF13&lt;&gt;"."),d_dir!I13/((1/1000)*(d_Irr!BF13)),IF(AND(d_Irr!H13=".",d_Irr!AG13&lt;&gt;".",d_Irr!BF13="."),d_dir!I13/((1/1000)*(d_Irr!AG13)),IF(AND(d_Irr!H13&lt;&gt;".",d_Irr!AG13=".",d_Irr!BF13="."),d_dir!I13/((1/1000)*(d_Irr!H13)),IF(AND(d_Irr!H13=".",d_Irr!AG13=".",d_Irr!BF13="."),d_dir!I13*1000)))))))),".")</f>
        <v>19.63129441873587</v>
      </c>
      <c r="J13" s="70">
        <f>IFERROR(IF(AND(d_Irr!I13&lt;&gt;".",d_Irr!AH13&lt;&gt;".",d_Irr!BG13&lt;&gt;"."),d_dir!J13/((1/1000)*(d_Irr!I13+d_Irr!AH13+d_Irr!BG13)),IF(AND(d_Irr!I13&lt;&gt;".",d_Irr!AH13&lt;&gt;".",d_Irr!BG13="."),d_dir!J13/((1/1000)*(d_Irr!I13+d_Irr!AH13)),IF(AND(d_Irr!I13&lt;&gt;".",d_Irr!AH13=".",d_Irr!BG13&lt;&gt;"."),d_dir!J13/((1/1000)*(d_Irr!I13+d_Irr!BG13)),IF(AND(d_Irr!I13=".",d_Irr!AH13&lt;&gt;".",d_Irr!BG13&lt;&gt;"."),d_dir!J13/((1/1000)*(d_Irr!AH13+d_Irr!BG13)),IF(AND(d_Irr!I13=".",d_Irr!AH13=".",d_Irr!BG13&lt;&gt;"."),d_dir!J13/((1/1000)*(d_Irr!BG13)),IF(AND(d_Irr!I13=".",d_Irr!AH13&lt;&gt;".",d_Irr!BG13="."),d_dir!J13/((1/1000)*(d_Irr!AH13)),IF(AND(d_Irr!I13&lt;&gt;".",d_Irr!AH13=".",d_Irr!BG13="."),d_dir!J13/((1/1000)*(d_Irr!I13)),IF(AND(d_Irr!I13=".",d_Irr!AH13=".",d_Irr!BG13="."),d_dir!J13*1000)))))))),".")</f>
        <v>57.588922887126962</v>
      </c>
      <c r="K13" s="70">
        <f>IFERROR(IF(AND(d_Irr!J13&lt;&gt;".",d_Irr!AI13&lt;&gt;".",d_Irr!BH13&lt;&gt;"."),d_dir!K13/((1/1000)*(d_Irr!J13+d_Irr!AI13+d_Irr!BH13)),IF(AND(d_Irr!J13&lt;&gt;".",d_Irr!AI13&lt;&gt;".",d_Irr!BH13="."),d_dir!K13/((1/1000)*(d_Irr!J13+d_Irr!AI13)),IF(AND(d_Irr!J13&lt;&gt;".",d_Irr!AI13=".",d_Irr!BH13&lt;&gt;"."),d_dir!K13/((1/1000)*(d_Irr!J13+d_Irr!BH13)),IF(AND(d_Irr!J13=".",d_Irr!AI13&lt;&gt;".",d_Irr!BH13&lt;&gt;"."),d_dir!K13/((1/1000)*(d_Irr!AI13+d_Irr!BH13)),IF(AND(d_Irr!J13=".",d_Irr!AI13=".",d_Irr!BH13&lt;&gt;"."),d_dir!K13/((1/1000)*(d_Irr!BH13)),IF(AND(d_Irr!J13=".",d_Irr!AI13&lt;&gt;".",d_Irr!BH13="."),d_dir!K13/((1/1000)*(d_Irr!AI13)),IF(AND(d_Irr!J13&lt;&gt;".",d_Irr!AI13=".",d_Irr!BH13="."),d_dir!K13/((1/1000)*(d_Irr!J13)),IF(AND(d_Irr!J13=".",d_Irr!AI13=".",d_Irr!BH13="."),d_dir!K13*1000)))))))),".")</f>
        <v>5.9581284411868127</v>
      </c>
      <c r="L13" s="70">
        <f>IFERROR(IF(AND(d_Irr!K13&lt;&gt;".",d_Irr!AJ13&lt;&gt;".",d_Irr!BI13&lt;&gt;"."),d_dir!L13/((1/1000)*(d_Irr!K13+d_Irr!AJ13+d_Irr!BI13)),IF(AND(d_Irr!K13&lt;&gt;".",d_Irr!AJ13&lt;&gt;".",d_Irr!BI13="."),d_dir!L13/((1/1000)*(d_Irr!K13+d_Irr!AJ13)),IF(AND(d_Irr!K13&lt;&gt;".",d_Irr!AJ13=".",d_Irr!BI13&lt;&gt;"."),d_dir!L13/((1/1000)*(d_Irr!K13+d_Irr!BI13)),IF(AND(d_Irr!K13=".",d_Irr!AJ13&lt;&gt;".",d_Irr!BI13&lt;&gt;"."),d_dir!L13/((1/1000)*(d_Irr!AJ13+d_Irr!BI13)),IF(AND(d_Irr!K13=".",d_Irr!AJ13=".",d_Irr!BI13&lt;&gt;"."),d_dir!L13/((1/1000)*(d_Irr!BI13)),IF(AND(d_Irr!K13=".",d_Irr!AJ13&lt;&gt;".",d_Irr!BI13="."),d_dir!L13/((1/1000)*(d_Irr!AJ13)),IF(AND(d_Irr!K13&lt;&gt;".",d_Irr!AJ13=".",d_Irr!BI13="."),d_dir!L13/((1/1000)*(d_Irr!K13)),IF(AND(d_Irr!K13=".",d_Irr!AJ13=".",d_Irr!BI13="."),d_dir!L13*1000)))))))),".")</f>
        <v>31.292685843669297</v>
      </c>
      <c r="M13" s="70">
        <f>IFERROR(IF(AND(d_Irr!L13&lt;&gt;".",d_Irr!AK13&lt;&gt;".",d_Irr!BJ13&lt;&gt;"."),d_dir!M13/((1/1000)*(d_Irr!L13+d_Irr!AK13+d_Irr!BJ13)),IF(AND(d_Irr!L13&lt;&gt;".",d_Irr!AK13&lt;&gt;".",d_Irr!BJ13="."),d_dir!M13/((1/1000)*(d_Irr!L13+d_Irr!AK13)),IF(AND(d_Irr!L13&lt;&gt;".",d_Irr!AK13=".",d_Irr!BJ13&lt;&gt;"."),d_dir!M13/((1/1000)*(d_Irr!L13+d_Irr!BJ13)),IF(AND(d_Irr!L13=".",d_Irr!AK13&lt;&gt;".",d_Irr!BJ13&lt;&gt;"."),d_dir!M13/((1/1000)*(d_Irr!AK13+d_Irr!BJ13)),IF(AND(d_Irr!L13=".",d_Irr!AK13=".",d_Irr!BJ13&lt;&gt;"."),d_dir!M13/((1/1000)*(d_Irr!BJ13)),IF(AND(d_Irr!L13=".",d_Irr!AK13&lt;&gt;".",d_Irr!BJ13="."),d_dir!M13/((1/1000)*(d_Irr!AK13)),IF(AND(d_Irr!L13&lt;&gt;".",d_Irr!AK13=".",d_Irr!BJ13="."),d_dir!M13/((1/1000)*(d_Irr!L13)),IF(AND(d_Irr!L13=".",d_Irr!AK13=".",d_Irr!BJ13="."),d_dir!M13*1000)))))))),".")</f>
        <v>20.880983608149357</v>
      </c>
      <c r="N13" s="70">
        <f>IFERROR(IF(AND(d_Irr!M13&lt;&gt;".",d_Irr!AL13&lt;&gt;".",d_Irr!BK13&lt;&gt;"."),d_dir!N13/((1/1000)*(d_Irr!M13+d_Irr!AL13+d_Irr!BK13)),IF(AND(d_Irr!M13&lt;&gt;".",d_Irr!AL13&lt;&gt;".",d_Irr!BK13="."),d_dir!N13/((1/1000)*(d_Irr!M13+d_Irr!AL13)),IF(AND(d_Irr!M13&lt;&gt;".",d_Irr!AL13=".",d_Irr!BK13&lt;&gt;"."),d_dir!N13/((1/1000)*(d_Irr!M13+d_Irr!BK13)),IF(AND(d_Irr!M13=".",d_Irr!AL13&lt;&gt;".",d_Irr!BK13&lt;&gt;"."),d_dir!N13/((1/1000)*(d_Irr!AL13+d_Irr!BK13)),IF(AND(d_Irr!M13=".",d_Irr!AL13=".",d_Irr!BK13&lt;&gt;"."),d_dir!N13/((1/1000)*(d_Irr!BK13)),IF(AND(d_Irr!M13=".",d_Irr!AL13&lt;&gt;".",d_Irr!BK13="."),d_dir!N13/((1/1000)*(d_Irr!AL13)),IF(AND(d_Irr!M13&lt;&gt;".",d_Irr!AL13=".",d_Irr!BK13="."),d_dir!N13/((1/1000)*(d_Irr!M13)),IF(AND(d_Irr!M13=".",d_Irr!AL13=".",d_Irr!BK13="."),d_dir!N13*1000)))))))),".")</f>
        <v>41.790548843911928</v>
      </c>
      <c r="O13" s="70">
        <f>IFERROR(IF(AND(d_Irr!N13&lt;&gt;".",d_Irr!AM13&lt;&gt;".",d_Irr!BL13&lt;&gt;"."),d_dir!O13/((1/1000)*(d_Irr!N13+d_Irr!AM13+d_Irr!BL13)),IF(AND(d_Irr!N13&lt;&gt;".",d_Irr!AM13&lt;&gt;".",d_Irr!BL13="."),d_dir!O13/((1/1000)*(d_Irr!N13+d_Irr!AM13)),IF(AND(d_Irr!N13&lt;&gt;".",d_Irr!AM13=".",d_Irr!BL13&lt;&gt;"."),d_dir!O13/((1/1000)*(d_Irr!N13+d_Irr!BL13)),IF(AND(d_Irr!N13=".",d_Irr!AM13&lt;&gt;".",d_Irr!BL13&lt;&gt;"."),d_dir!O13/((1/1000)*(d_Irr!AM13+d_Irr!BL13)),IF(AND(d_Irr!N13=".",d_Irr!AM13=".",d_Irr!BL13&lt;&gt;"."),d_dir!O13/((1/1000)*(d_Irr!BL13)),IF(AND(d_Irr!N13=".",d_Irr!AM13&lt;&gt;".",d_Irr!BL13="."),d_dir!O13/((1/1000)*(d_Irr!AM13)),IF(AND(d_Irr!N13&lt;&gt;".",d_Irr!AM13=".",d_Irr!BL13="."),d_dir!O13/((1/1000)*(d_Irr!N13)),IF(AND(d_Irr!N13=".",d_Irr!AM13=".",d_Irr!BL13="."),d_dir!O13*1000)))))))),".")</f>
        <v>45.186794799743758</v>
      </c>
      <c r="P13" s="70">
        <f>IFERROR(IF(AND(d_Irr!O13&lt;&gt;".",d_Irr!AN13&lt;&gt;".",d_Irr!BM13&lt;&gt;"."),d_dir!P13/((1/1000)*(d_Irr!O13+d_Irr!AN13+d_Irr!BM13)),IF(AND(d_Irr!O13&lt;&gt;".",d_Irr!AN13&lt;&gt;".",d_Irr!BM13="."),d_dir!P13/((1/1000)*(d_Irr!O13+d_Irr!AN13)),IF(AND(d_Irr!O13&lt;&gt;".",d_Irr!AN13=".",d_Irr!BM13&lt;&gt;"."),d_dir!P13/((1/1000)*(d_Irr!O13+d_Irr!BM13)),IF(AND(d_Irr!O13=".",d_Irr!AN13&lt;&gt;".",d_Irr!BM13&lt;&gt;"."),d_dir!P13/((1/1000)*(d_Irr!AN13+d_Irr!BM13)),IF(AND(d_Irr!O13=".",d_Irr!AN13=".",d_Irr!BM13&lt;&gt;"."),d_dir!P13/((1/1000)*(d_Irr!BM13)),IF(AND(d_Irr!O13=".",d_Irr!AN13&lt;&gt;".",d_Irr!BM13="."),d_dir!P13/((1/1000)*(d_Irr!AN13)),IF(AND(d_Irr!O13&lt;&gt;".",d_Irr!AN13=".",d_Irr!BM13="."),d_dir!P13/((1/1000)*(d_Irr!O13)),IF(AND(d_Irr!O13=".",d_Irr!AN13=".",d_Irr!BM13="."),d_dir!P13*1000)))))))),".")</f>
        <v>56.332919626614078</v>
      </c>
      <c r="Q13" s="70">
        <f>IFERROR(IF(AND(d_Irr!P13&lt;&gt;".",d_Irr!AO13&lt;&gt;".",d_Irr!BN13&lt;&gt;"."),d_dir!Q13/((1/1000)*(d_Irr!P13+d_Irr!AO13+d_Irr!BN13)),IF(AND(d_Irr!P13&lt;&gt;".",d_Irr!AO13&lt;&gt;".",d_Irr!BN13="."),d_dir!Q13/((1/1000)*(d_Irr!P13+d_Irr!AO13)),IF(AND(d_Irr!P13&lt;&gt;".",d_Irr!AO13=".",d_Irr!BN13&lt;&gt;"."),d_dir!Q13/((1/1000)*(d_Irr!P13+d_Irr!BN13)),IF(AND(d_Irr!P13=".",d_Irr!AO13&lt;&gt;".",d_Irr!BN13&lt;&gt;"."),d_dir!Q13/((1/1000)*(d_Irr!AO13+d_Irr!BN13)),IF(AND(d_Irr!P13=".",d_Irr!AO13=".",d_Irr!BN13&lt;&gt;"."),d_dir!Q13/((1/1000)*(d_Irr!BN13)),IF(AND(d_Irr!P13=".",d_Irr!AO13&lt;&gt;".",d_Irr!BN13="."),d_dir!Q13/((1/1000)*(d_Irr!AO13)),IF(AND(d_Irr!P13&lt;&gt;".",d_Irr!AO13=".",d_Irr!BN13="."),d_dir!Q13/((1/1000)*(d_Irr!P13)),IF(AND(d_Irr!P13=".",d_Irr!AO13=".",d_Irr!BN13="."),d_dir!Q13*1000)))))))),".")</f>
        <v>77.811920037642196</v>
      </c>
      <c r="R13" s="70">
        <f>IFERROR(IF(AND(d_Irr!Q13&lt;&gt;".",d_Irr!AP13&lt;&gt;".",d_Irr!BO13&lt;&gt;"."),d_dir!R13/((1/1000)*(d_Irr!Q13+d_Irr!AP13+d_Irr!BO13)),IF(AND(d_Irr!Q13&lt;&gt;".",d_Irr!AP13&lt;&gt;".",d_Irr!BO13="."),d_dir!R13/((1/1000)*(d_Irr!Q13+d_Irr!AP13)),IF(AND(d_Irr!Q13&lt;&gt;".",d_Irr!AP13=".",d_Irr!BO13&lt;&gt;"."),d_dir!R13/((1/1000)*(d_Irr!Q13+d_Irr!BO13)),IF(AND(d_Irr!Q13=".",d_Irr!AP13&lt;&gt;".",d_Irr!BO13&lt;&gt;"."),d_dir!R13/((1/1000)*(d_Irr!AP13+d_Irr!BO13)),IF(AND(d_Irr!Q13=".",d_Irr!AP13=".",d_Irr!BO13&lt;&gt;"."),d_dir!R13/((1/1000)*(d_Irr!BO13)),IF(AND(d_Irr!Q13=".",d_Irr!AP13&lt;&gt;".",d_Irr!BO13="."),d_dir!R13/((1/1000)*(d_Irr!AP13)),IF(AND(d_Irr!Q13&lt;&gt;".",d_Irr!AP13=".",d_Irr!BO13="."),d_dir!R13/((1/1000)*(d_Irr!Q13)),IF(AND(d_Irr!Q13=".",d_Irr!AP13=".",d_Irr!BO13="."),d_dir!R13*1000)))))))),".")</f>
        <v>14.755622930648146</v>
      </c>
      <c r="S13" s="70">
        <f>IFERROR(IF(AND(d_Irr!R13&lt;&gt;".",d_Irr!AQ13&lt;&gt;".",d_Irr!BP13&lt;&gt;"."),d_dir!S13/((1/1000)*(d_Irr!R13+d_Irr!AQ13+d_Irr!BP13)),IF(AND(d_Irr!R13&lt;&gt;".",d_Irr!AQ13&lt;&gt;".",d_Irr!BP13="."),d_dir!S13/((1/1000)*(d_Irr!R13+d_Irr!AQ13)),IF(AND(d_Irr!R13&lt;&gt;".",d_Irr!AQ13=".",d_Irr!BP13&lt;&gt;"."),d_dir!S13/((1/1000)*(d_Irr!R13+d_Irr!BP13)),IF(AND(d_Irr!R13=".",d_Irr!AQ13&lt;&gt;".",d_Irr!BP13&lt;&gt;"."),d_dir!S13/((1/1000)*(d_Irr!AQ13+d_Irr!BP13)),IF(AND(d_Irr!R13=".",d_Irr!AQ13=".",d_Irr!BP13&lt;&gt;"."),d_dir!S13/((1/1000)*(d_Irr!BP13)),IF(AND(d_Irr!R13=".",d_Irr!AQ13&lt;&gt;".",d_Irr!BP13="."),d_dir!S13/((1/1000)*(d_Irr!AQ13)),IF(AND(d_Irr!R13&lt;&gt;".",d_Irr!AQ13=".",d_Irr!BP13="."),d_dir!S13/((1/1000)*(d_Irr!R13)),IF(AND(d_Irr!R13=".",d_Irr!AQ13=".",d_Irr!BP13="."),d_dir!S13*1000)))))))),".")</f>
        <v>30.107433102531733</v>
      </c>
      <c r="T13" s="70">
        <f>IFERROR(IF(AND(d_Irr!S13&lt;&gt;".",d_Irr!AR13&lt;&gt;".",d_Irr!BQ13&lt;&gt;"."),d_dir!T13/((1/1000)*(d_Irr!S13+d_Irr!AR13+d_Irr!BQ13)),IF(AND(d_Irr!S13&lt;&gt;".",d_Irr!AR13&lt;&gt;".",d_Irr!BQ13="."),d_dir!T13/((1/1000)*(d_Irr!S13+d_Irr!AR13)),IF(AND(d_Irr!S13&lt;&gt;".",d_Irr!AR13=".",d_Irr!BQ13&lt;&gt;"."),d_dir!T13/((1/1000)*(d_Irr!S13+d_Irr!BQ13)),IF(AND(d_Irr!S13=".",d_Irr!AR13&lt;&gt;".",d_Irr!BQ13&lt;&gt;"."),d_dir!T13/((1/1000)*(d_Irr!AR13+d_Irr!BQ13)),IF(AND(d_Irr!S13=".",d_Irr!AR13=".",d_Irr!BQ13&lt;&gt;"."),d_dir!T13/((1/1000)*(d_Irr!BQ13)),IF(AND(d_Irr!S13=".",d_Irr!AR13&lt;&gt;".",d_Irr!BQ13="."),d_dir!T13/((1/1000)*(d_Irr!AR13)),IF(AND(d_Irr!S13&lt;&gt;".",d_Irr!AR13=".",d_Irr!BQ13="."),d_dir!T13/((1/1000)*(d_Irr!S13)),IF(AND(d_Irr!S13=".",d_Irr!AR13=".",d_Irr!BQ13="."),d_dir!T13*1000)))))))),".")</f>
        <v>45.145707272315541</v>
      </c>
      <c r="U13" s="70">
        <f>IFERROR(IF(AND(d_Irr!T13&lt;&gt;".",d_Irr!AS13&lt;&gt;".",d_Irr!BR13&lt;&gt;"."),d_dir!U13/((1/1000)*(d_Irr!T13+d_Irr!AS13+d_Irr!BR13)),IF(AND(d_Irr!T13&lt;&gt;".",d_Irr!AS13&lt;&gt;".",d_Irr!BR13="."),d_dir!U13/((1/1000)*(d_Irr!T13+d_Irr!AS13)),IF(AND(d_Irr!T13&lt;&gt;".",d_Irr!AS13=".",d_Irr!BR13&lt;&gt;"."),d_dir!U13/((1/1000)*(d_Irr!T13+d_Irr!BR13)),IF(AND(d_Irr!T13=".",d_Irr!AS13&lt;&gt;".",d_Irr!BR13&lt;&gt;"."),d_dir!U13/((1/1000)*(d_Irr!AS13+d_Irr!BR13)),IF(AND(d_Irr!T13=".",d_Irr!AS13=".",d_Irr!BR13&lt;&gt;"."),d_dir!U13/((1/1000)*(d_Irr!BR13)),IF(AND(d_Irr!T13=".",d_Irr!AS13&lt;&gt;".",d_Irr!BR13="."),d_dir!U13/((1/1000)*(d_Irr!AS13)),IF(AND(d_Irr!T13&lt;&gt;".",d_Irr!AS13=".",d_Irr!BR13="."),d_dir!U13/((1/1000)*(d_Irr!T13)),IF(AND(d_Irr!T13=".",d_Irr!AS13=".",d_Irr!BR13="."),d_dir!U13*1000)))))))),".")</f>
        <v>88.096997765022252</v>
      </c>
      <c r="V13" s="70">
        <f>IFERROR(IF(AND(d_Irr!U13&lt;&gt;".",d_Irr!AT13&lt;&gt;".",d_Irr!BS13&lt;&gt;"."),d_dir!V13/((1/1000)*(d_Irr!U13+d_Irr!AT13+d_Irr!BS13)),IF(AND(d_Irr!U13&lt;&gt;".",d_Irr!AT13&lt;&gt;".",d_Irr!BS13="."),d_dir!V13/((1/1000)*(d_Irr!U13+d_Irr!AT13)),IF(AND(d_Irr!U13&lt;&gt;".",d_Irr!AT13=".",d_Irr!BS13&lt;&gt;"."),d_dir!V13/((1/1000)*(d_Irr!U13+d_Irr!BS13)),IF(AND(d_Irr!U13=".",d_Irr!AT13&lt;&gt;".",d_Irr!BS13&lt;&gt;"."),d_dir!V13/((1/1000)*(d_Irr!AT13+d_Irr!BS13)),IF(AND(d_Irr!U13=".",d_Irr!AT13=".",d_Irr!BS13&lt;&gt;"."),d_dir!V13/((1/1000)*(d_Irr!BS13)),IF(AND(d_Irr!U13=".",d_Irr!AT13&lt;&gt;".",d_Irr!BS13="."),d_dir!V13/((1/1000)*(d_Irr!AT13)),IF(AND(d_Irr!U13&lt;&gt;".",d_Irr!AT13=".",d_Irr!BS13="."),d_dir!V13/((1/1000)*(d_Irr!U13)),IF(AND(d_Irr!U13=".",d_Irr!AT13=".",d_Irr!BS13="."),d_dir!V13*1000)))))))),".")</f>
        <v>14.66843672047496</v>
      </c>
      <c r="W13" s="70">
        <f>IFERROR(IF(AND(d_Irr!V13&lt;&gt;".",d_Irr!AU13&lt;&gt;".",d_Irr!BT13&lt;&gt;"."),d_dir!W13/((1/1000)*(d_Irr!V13+d_Irr!AU13+d_Irr!BT13)),IF(AND(d_Irr!V13&lt;&gt;".",d_Irr!AU13&lt;&gt;".",d_Irr!BT13="."),d_dir!W13/((1/1000)*(d_Irr!V13+d_Irr!AU13)),IF(AND(d_Irr!V13&lt;&gt;".",d_Irr!AU13=".",d_Irr!BT13&lt;&gt;"."),d_dir!W13/((1/1000)*(d_Irr!V13+d_Irr!BT13)),IF(AND(d_Irr!V13=".",d_Irr!AU13&lt;&gt;".",d_Irr!BT13&lt;&gt;"."),d_dir!W13/((1/1000)*(d_Irr!AU13+d_Irr!BT13)),IF(AND(d_Irr!V13=".",d_Irr!AU13=".",d_Irr!BT13&lt;&gt;"."),d_dir!W13/((1/1000)*(d_Irr!BT13)),IF(AND(d_Irr!V13=".",d_Irr!AU13&lt;&gt;".",d_Irr!BT13="."),d_dir!W13/((1/1000)*(d_Irr!AU13)),IF(AND(d_Irr!V13&lt;&gt;".",d_Irr!AU13=".",d_Irr!BT13="."),d_dir!W13/((1/1000)*(d_Irr!V13)),IF(AND(d_Irr!V13=".",d_Irr!AU13=".",d_Irr!BT13="."),d_dir!W13*1000)))))))),".")</f>
        <v>26.793195871578511</v>
      </c>
      <c r="X13" s="70">
        <f>IFERROR(IF(AND(d_Irr!W13&lt;&gt;".",d_Irr!AV13&lt;&gt;".",d_Irr!BU13&lt;&gt;"."),d_dir!X13/((1/1000)*(d_Irr!W13+d_Irr!AV13+d_Irr!BU13)),IF(AND(d_Irr!W13&lt;&gt;".",d_Irr!AV13&lt;&gt;".",d_Irr!BU13="."),d_dir!X13/((1/1000)*(d_Irr!W13+d_Irr!AV13)),IF(AND(d_Irr!W13&lt;&gt;".",d_Irr!AV13=".",d_Irr!BU13&lt;&gt;"."),d_dir!X13/((1/1000)*(d_Irr!W13+d_Irr!BU13)),IF(AND(d_Irr!W13=".",d_Irr!AV13&lt;&gt;".",d_Irr!BU13&lt;&gt;"."),d_dir!X13/((1/1000)*(d_Irr!AV13+d_Irr!BU13)),IF(AND(d_Irr!W13=".",d_Irr!AV13=".",d_Irr!BU13&lt;&gt;"."),d_dir!X13/((1/1000)*(d_Irr!BU13)),IF(AND(d_Irr!W13=".",d_Irr!AV13&lt;&gt;".",d_Irr!BU13="."),d_dir!X13/((1/1000)*(d_Irr!AV13)),IF(AND(d_Irr!W13&lt;&gt;".",d_Irr!AV13=".",d_Irr!BU13="."),d_dir!X13/((1/1000)*(d_Irr!W13)),IF(AND(d_Irr!W13=".",d_Irr!AV13=".",d_Irr!BU13="."),d_dir!X13*1000)))))))),".")</f>
        <v>29.098952988011337</v>
      </c>
      <c r="Y13" s="70">
        <f>IFERROR(IF(AND(d_Irr!X13&lt;&gt;".",d_Irr!AW13&lt;&gt;".",d_Irr!BV13&lt;&gt;"."),d_dir!Y13/((1/1000)*(d_Irr!X13+d_Irr!AW13+d_Irr!BV13)),IF(AND(d_Irr!X13&lt;&gt;".",d_Irr!AW13&lt;&gt;".",d_Irr!BV13="."),d_dir!Y13/((1/1000)*(d_Irr!X13+d_Irr!AW13)),IF(AND(d_Irr!X13&lt;&gt;".",d_Irr!AW13=".",d_Irr!BV13&lt;&gt;"."),d_dir!Y13/((1/1000)*(d_Irr!X13+d_Irr!BV13)),IF(AND(d_Irr!X13=".",d_Irr!AW13&lt;&gt;".",d_Irr!BV13&lt;&gt;"."),d_dir!Y13/((1/1000)*(d_Irr!AW13+d_Irr!BV13)),IF(AND(d_Irr!X13=".",d_Irr!AW13=".",d_Irr!BV13&lt;&gt;"."),d_dir!Y13/((1/1000)*(d_Irr!BV13)),IF(AND(d_Irr!X13=".",d_Irr!AW13&lt;&gt;".",d_Irr!BV13="."),d_dir!Y13/((1/1000)*(d_Irr!AW13)),IF(AND(d_Irr!X13&lt;&gt;".",d_Irr!AW13=".",d_Irr!BV13="."),d_dir!Y13/((1/1000)*(d_Irr!X13)),IF(AND(d_Irr!X13=".",d_Irr!AW13=".",d_Irr!BV13="."),d_dir!Y13*1000)))))))),".")</f>
        <v>44.954782161897953</v>
      </c>
      <c r="Z13" s="70">
        <f>IFERROR(IF(AND(d_Irr!Y13&lt;&gt;".",d_Irr!AX13&lt;&gt;".",d_Irr!BW13&lt;&gt;"."),d_dir!Z13/((1/1000)*(d_Irr!Y13+d_Irr!AX13+d_Irr!BW13)),IF(AND(d_Irr!Y13&lt;&gt;".",d_Irr!AX13&lt;&gt;".",d_Irr!BW13="."),d_dir!Z13/((1/1000)*(d_Irr!Y13+d_Irr!AX13)),IF(AND(d_Irr!Y13&lt;&gt;".",d_Irr!AX13=".",d_Irr!BW13&lt;&gt;"."),d_dir!Z13/((1/1000)*(d_Irr!Y13+d_Irr!BW13)),IF(AND(d_Irr!Y13=".",d_Irr!AX13&lt;&gt;".",d_Irr!BW13&lt;&gt;"."),d_dir!Z13/((1/1000)*(d_Irr!AX13+d_Irr!BW13)),IF(AND(d_Irr!Y13=".",d_Irr!AX13=".",d_Irr!BW13&lt;&gt;"."),d_dir!Z13/((1/1000)*(d_Irr!BW13)),IF(AND(d_Irr!Y13=".",d_Irr!AX13&lt;&gt;".",d_Irr!BW13="."),d_dir!Z13/((1/1000)*(d_Irr!AX13)),IF(AND(d_Irr!Y13&lt;&gt;".",d_Irr!AX13=".",d_Irr!BW13="."),d_dir!Z13/((1/1000)*(d_Irr!Y13)),IF(AND(d_Irr!Y13=".",d_Irr!AX13=".",d_Irr!BW13="."),d_dir!Z13*1000)))))))),".")</f>
        <v>20.304250624307318</v>
      </c>
      <c r="AA13" s="70">
        <f>IFERROR(IF(AND(d_Irr!Z13&lt;&gt;".",d_Irr!AY13&lt;&gt;".",d_Irr!BX13&lt;&gt;"."),d_dir!AA13/((1/1000)*(d_Irr!Z13+d_Irr!AY13+d_Irr!BX13)),IF(AND(d_Irr!Z13&lt;&gt;".",d_Irr!AY13&lt;&gt;".",d_Irr!BX13="."),d_dir!AA13/((1/1000)*(d_Irr!Z13+d_Irr!AY13)),IF(AND(d_Irr!Z13&lt;&gt;".",d_Irr!AY13=".",d_Irr!BX13&lt;&gt;"."),d_dir!AA13/((1/1000)*(d_Irr!Z13+d_Irr!BX13)),IF(AND(d_Irr!Z13=".",d_Irr!AY13&lt;&gt;".",d_Irr!BX13&lt;&gt;"."),d_dir!AA13/((1/1000)*(d_Irr!AY13+d_Irr!BX13)),IF(AND(d_Irr!Z13=".",d_Irr!AY13=".",d_Irr!BX13&lt;&gt;"."),d_dir!AA13/((1/1000)*(d_Irr!BX13)),IF(AND(d_Irr!Z13=".",d_Irr!AY13&lt;&gt;".",d_Irr!BX13="."),d_dir!AA13/((1/1000)*(d_Irr!AY13)),IF(AND(d_Irr!Z13&lt;&gt;".",d_Irr!AY13=".",d_Irr!BX13="."),d_dir!AA13/((1/1000)*(d_Irr!Z13)),IF(AND(d_Irr!Z13=".",d_Irr!AY13=".",d_Irr!BX13="."),d_dir!AA13*1000)))))))),".")</f>
        <v>6.4101776384839768</v>
      </c>
      <c r="AB13" s="70">
        <f>IFERROR(IF(AND(d_Irr!AA13&lt;&gt;".",d_Irr!AZ13&lt;&gt;".",d_Irr!BY13&lt;&gt;"."),d_dir!AB13/((1/1000)*(d_Irr!AA13+d_Irr!AZ13+d_Irr!BY13)),IF(AND(d_Irr!AA13&lt;&gt;".",d_Irr!AZ13&lt;&gt;".",d_Irr!BY13="."),d_dir!AB13/((1/1000)*(d_Irr!AA13+d_Irr!AZ13)),IF(AND(d_Irr!AA13&lt;&gt;".",d_Irr!AZ13=".",d_Irr!BY13&lt;&gt;"."),d_dir!AB13/((1/1000)*(d_Irr!AA13+d_Irr!BY13)),IF(AND(d_Irr!AA13=".",d_Irr!AZ13&lt;&gt;".",d_Irr!BY13&lt;&gt;"."),d_dir!AB13/((1/1000)*(d_Irr!AZ13+d_Irr!BY13)),IF(AND(d_Irr!AA13=".",d_Irr!AZ13=".",d_Irr!BY13&lt;&gt;"."),d_dir!AB13/((1/1000)*(d_Irr!BY13)),IF(AND(d_Irr!AA13=".",d_Irr!AZ13&lt;&gt;".",d_Irr!BY13="."),d_dir!AB13/((1/1000)*(d_Irr!AZ13)),IF(AND(d_Irr!AA13&lt;&gt;".",d_Irr!AZ13=".",d_Irr!BY13="."),d_dir!AB13/((1/1000)*(d_Irr!AA13)),IF(AND(d_Irr!AA13=".",d_Irr!AZ13=".",d_Irr!BY13="."),d_dir!AB13*1000)))))))),".")</f>
        <v>7.7061396440696166</v>
      </c>
      <c r="AC13" s="70">
        <f t="shared" si="0"/>
        <v>1.0877174048294909</v>
      </c>
      <c r="AD13" s="70">
        <f>IFERROR(IF(AND(d_Irr!C13&lt;&gt;".",d_Irr!AB13&lt;&gt;".",d_Irr!BA13&lt;&gt;"."),d_dir!AD13/((1/1000)*(d_Irr!C13+d_Irr!AB13+d_Irr!BA13)),IF(AND(d_Irr!C13&lt;&gt;".",d_Irr!AB13&lt;&gt;".",d_Irr!BA13="."),d_dir!AD13/((1/1000)*(d_Irr!C13+d_Irr!AB13)),IF(AND(d_Irr!C13&lt;&gt;".",d_Irr!AB13=".",d_Irr!BA13&lt;&gt;"."),d_dir!AD13/((1/1000)*(d_Irr!C13+d_Irr!BA13)),IF(AND(d_Irr!C13=".",d_Irr!AB13&lt;&gt;".",d_Irr!BA13&lt;&gt;"."),d_dir!AD13/((1/1000)*(d_Irr!AB13+d_Irr!BA13)),IF(AND(d_Irr!C13=".",d_Irr!AB13=".",d_Irr!BA13&lt;&gt;"."),d_dir!AD13/((1/1000)*(d_Irr!BA13)),IF(AND(d_Irr!C13=".",d_Irr!AB13&lt;&gt;".",d_Irr!BA13="."),d_dir!AD13/((1/1000)*(d_Irr!AB13)),IF(AND(d_Irr!C13&lt;&gt;".",d_Irr!AB13=".",d_Irr!BA13="."),d_dir!AD13/((1/1000)*(d_Irr!C13)),IF(AND(d_Irr!C13=".",d_Irr!AB13=".",d_Irr!BA13="."),d_dir!AD13*1000)))))))),".")</f>
        <v>19.984550404886988</v>
      </c>
      <c r="AE13" s="70">
        <f>IFERROR(IF(AND(d_Irr!D13&lt;&gt;".",d_Irr!AC13&lt;&gt;".",d_Irr!BB13&lt;&gt;"."),d_dir!AE13/((1/1000)*(d_Irr!D13+d_Irr!AC13+d_Irr!BB13)),IF(AND(d_Irr!D13&lt;&gt;".",d_Irr!AC13&lt;&gt;".",d_Irr!BB13="."),d_dir!AE13/((1/1000)*(d_Irr!D13+d_Irr!AC13)),IF(AND(d_Irr!D13&lt;&gt;".",d_Irr!AC13=".",d_Irr!BB13&lt;&gt;"."),d_dir!AE13/((1/1000)*(d_Irr!D13+d_Irr!BB13)),IF(AND(d_Irr!D13=".",d_Irr!AC13&lt;&gt;".",d_Irr!BB13&lt;&gt;"."),d_dir!AE13/((1/1000)*(d_Irr!AC13+d_Irr!BB13)),IF(AND(d_Irr!D13=".",d_Irr!AC13=".",d_Irr!BB13&lt;&gt;"."),d_dir!AE13/((1/1000)*(d_Irr!BB13)),IF(AND(d_Irr!D13=".",d_Irr!AC13&lt;&gt;".",d_Irr!BB13="."),d_dir!AE13/((1/1000)*(d_Irr!AC13)),IF(AND(d_Irr!D13&lt;&gt;".",d_Irr!AC13=".",d_Irr!BB13="."),d_dir!AE13/((1/1000)*(d_Irr!D13)),IF(AND(d_Irr!D13=".",d_Irr!AC13=".",d_Irr!BB13="."),d_dir!AE13*1000)))))))),".")</f>
        <v>37.35514980074192</v>
      </c>
      <c r="AF13" s="70">
        <f>IFERROR(IF(AND(d_Irr!E13&lt;&gt;".",d_Irr!AD13&lt;&gt;".",d_Irr!BC13&lt;&gt;"."),d_dir!AF13/((1/1000)*(d_Irr!E13+d_Irr!AD13+d_Irr!BC13)),IF(AND(d_Irr!E13&lt;&gt;".",d_Irr!AD13&lt;&gt;".",d_Irr!BC13="."),d_dir!AF13/((1/1000)*(d_Irr!E13+d_Irr!AD13)),IF(AND(d_Irr!E13&lt;&gt;".",d_Irr!AD13=".",d_Irr!BC13&lt;&gt;"."),d_dir!AF13/((1/1000)*(d_Irr!E13+d_Irr!BC13)),IF(AND(d_Irr!E13=".",d_Irr!AD13&lt;&gt;".",d_Irr!BC13&lt;&gt;"."),d_dir!AF13/((1/1000)*(d_Irr!AD13+d_Irr!BC13)),IF(AND(d_Irr!E13=".",d_Irr!AD13=".",d_Irr!BC13&lt;&gt;"."),d_dir!AF13/((1/1000)*(d_Irr!BC13)),IF(AND(d_Irr!E13=".",d_Irr!AD13&lt;&gt;".",d_Irr!BC13="."),d_dir!AF13/((1/1000)*(d_Irr!AD13)),IF(AND(d_Irr!E13&lt;&gt;".",d_Irr!AD13=".",d_Irr!BC13="."),d_dir!AF13/((1/1000)*(d_Irr!E13)),IF(AND(d_Irr!E13=".",d_Irr!AD13=".",d_Irr!BC13="."),d_dir!AF13*1000)))))))),".")</f>
        <v>46.227816725578982</v>
      </c>
      <c r="AG13" s="70">
        <f>IFERROR(IF(AND(d_Irr!F13&lt;&gt;".",d_Irr!AE13&lt;&gt;".",d_Irr!BD13&lt;&gt;"."),d_dir!AG13/((1/1000)*(d_Irr!F13+d_Irr!AE13+d_Irr!BD13)),IF(AND(d_Irr!F13&lt;&gt;".",d_Irr!AE13&lt;&gt;".",d_Irr!BD13="."),d_dir!AG13/((1/1000)*(d_Irr!F13+d_Irr!AE13)),IF(AND(d_Irr!F13&lt;&gt;".",d_Irr!AE13=".",d_Irr!BD13&lt;&gt;"."),d_dir!AG13/((1/1000)*(d_Irr!F13+d_Irr!BD13)),IF(AND(d_Irr!F13=".",d_Irr!AE13&lt;&gt;".",d_Irr!BD13&lt;&gt;"."),d_dir!AG13/((1/1000)*(d_Irr!AE13+d_Irr!BD13)),IF(AND(d_Irr!F13=".",d_Irr!AE13=".",d_Irr!BD13&lt;&gt;"."),d_dir!AG13/((1/1000)*(d_Irr!BD13)),IF(AND(d_Irr!F13=".",d_Irr!AE13&lt;&gt;".",d_Irr!BD13="."),d_dir!AG13/((1/1000)*(d_Irr!AE13)),IF(AND(d_Irr!F13&lt;&gt;".",d_Irr!AE13=".",d_Irr!BD13="."),d_dir!AG13/((1/1000)*(d_Irr!F13)),IF(AND(d_Irr!F13=".",d_Irr!AE13=".",d_Irr!BD13="."),d_dir!AG13*1000)))))))),".")</f>
        <v>50.321781667998486</v>
      </c>
      <c r="AH13" s="70">
        <f>IFERROR(IF(AND(d_Irr!G13&lt;&gt;".",d_Irr!AF13&lt;&gt;".",d_Irr!BE13&lt;&gt;"."),d_dir!AH13/((1/1000)*(d_Irr!G13+d_Irr!AF13+d_Irr!BE13)),IF(AND(d_Irr!G13&lt;&gt;".",d_Irr!AF13&lt;&gt;".",d_Irr!BE13="."),d_dir!AH13/((1/1000)*(d_Irr!G13+d_Irr!AF13)),IF(AND(d_Irr!G13&lt;&gt;".",d_Irr!AF13=".",d_Irr!BE13&lt;&gt;"."),d_dir!AH13/((1/1000)*(d_Irr!G13+d_Irr!BE13)),IF(AND(d_Irr!G13=".",d_Irr!AF13&lt;&gt;".",d_Irr!BE13&lt;&gt;"."),d_dir!AH13/((1/1000)*(d_Irr!AF13+d_Irr!BE13)),IF(AND(d_Irr!G13=".",d_Irr!AF13=".",d_Irr!BE13&lt;&gt;"."),d_dir!AH13/((1/1000)*(d_Irr!BE13)),IF(AND(d_Irr!G13=".",d_Irr!AF13&lt;&gt;".",d_Irr!BE13="."),d_dir!AH13/((1/1000)*(d_Irr!AF13)),IF(AND(d_Irr!G13&lt;&gt;".",d_Irr!AF13=".",d_Irr!BE13="."),d_dir!AH13/((1/1000)*(d_Irr!G13)),IF(AND(d_Irr!G13=".",d_Irr!AF13=".",d_Irr!BE13="."),d_dir!AH13*1000)))))))),".")</f>
        <v>45.805257591242913</v>
      </c>
      <c r="AI13" s="70">
        <f>IFERROR(IF(AND(d_Irr!H13&lt;&gt;".",d_Irr!AG13&lt;&gt;".",d_Irr!BF13&lt;&gt;"."),d_dir!AI13/((1/1000)*(d_Irr!H13+d_Irr!AG13+d_Irr!BF13)),IF(AND(d_Irr!H13&lt;&gt;".",d_Irr!AG13&lt;&gt;".",d_Irr!BF13="."),d_dir!AI13/((1/1000)*(d_Irr!H13+d_Irr!AG13)),IF(AND(d_Irr!H13&lt;&gt;".",d_Irr!AG13=".",d_Irr!BF13&lt;&gt;"."),d_dir!AI13/((1/1000)*(d_Irr!H13+d_Irr!BF13)),IF(AND(d_Irr!H13=".",d_Irr!AG13&lt;&gt;".",d_Irr!BF13&lt;&gt;"."),d_dir!AI13/((1/1000)*(d_Irr!AG13+d_Irr!BF13)),IF(AND(d_Irr!H13=".",d_Irr!AG13=".",d_Irr!BF13&lt;&gt;"."),d_dir!AI13/((1/1000)*(d_Irr!BF13)),IF(AND(d_Irr!H13=".",d_Irr!AG13&lt;&gt;".",d_Irr!BF13="."),d_dir!AI13/((1/1000)*(d_Irr!AG13)),IF(AND(d_Irr!H13&lt;&gt;".",d_Irr!AG13=".",d_Irr!BF13="."),d_dir!AI13/((1/1000)*(d_Irr!H13)),IF(AND(d_Irr!H13=".",d_Irr!AG13=".",d_Irr!BF13="."),d_dir!AI13*1000)))))))),".")</f>
        <v>19.352245033282117</v>
      </c>
      <c r="AJ13" s="70">
        <f>IFERROR(IF(AND(d_Irr!I13&lt;&gt;".",d_Irr!AH13&lt;&gt;".",d_Irr!BG13&lt;&gt;"."),d_dir!AJ13/((1/1000)*(d_Irr!I13+d_Irr!AH13+d_Irr!BG13)),IF(AND(d_Irr!I13&lt;&gt;".",d_Irr!AH13&lt;&gt;".",d_Irr!BG13="."),d_dir!AJ13/((1/1000)*(d_Irr!I13+d_Irr!AH13)),IF(AND(d_Irr!I13&lt;&gt;".",d_Irr!AH13=".",d_Irr!BG13&lt;&gt;"."),d_dir!AJ13/((1/1000)*(d_Irr!I13+d_Irr!BG13)),IF(AND(d_Irr!I13=".",d_Irr!AH13&lt;&gt;".",d_Irr!BG13&lt;&gt;"."),d_dir!AJ13/((1/1000)*(d_Irr!AH13+d_Irr!BG13)),IF(AND(d_Irr!I13=".",d_Irr!AH13=".",d_Irr!BG13&lt;&gt;"."),d_dir!AJ13/((1/1000)*(d_Irr!BG13)),IF(AND(d_Irr!I13=".",d_Irr!AH13&lt;&gt;".",d_Irr!BG13="."),d_dir!AJ13/((1/1000)*(d_Irr!AH13)),IF(AND(d_Irr!I13&lt;&gt;".",d_Irr!AH13=".",d_Irr!BG13="."),d_dir!AJ13/((1/1000)*(d_Irr!I13)),IF(AND(d_Irr!I13=".",d_Irr!AH13=".",d_Irr!BG13="."),d_dir!AJ13*1000)))))))),".")</f>
        <v>61.38591110831301</v>
      </c>
      <c r="AK13" s="70">
        <f>IFERROR(IF(AND(d_Irr!J13&lt;&gt;".",d_Irr!AI13&lt;&gt;".",d_Irr!BH13&lt;&gt;"."),d_dir!AK13/((1/1000)*(d_Irr!J13+d_Irr!AI13+d_Irr!BH13)),IF(AND(d_Irr!J13&lt;&gt;".",d_Irr!AI13&lt;&gt;".",d_Irr!BH13="."),d_dir!AK13/((1/1000)*(d_Irr!J13+d_Irr!AI13)),IF(AND(d_Irr!J13&lt;&gt;".",d_Irr!AI13=".",d_Irr!BH13&lt;&gt;"."),d_dir!AK13/((1/1000)*(d_Irr!J13+d_Irr!BH13)),IF(AND(d_Irr!J13=".",d_Irr!AI13&lt;&gt;".",d_Irr!BH13&lt;&gt;"."),d_dir!AK13/((1/1000)*(d_Irr!AI13+d_Irr!BH13)),IF(AND(d_Irr!J13=".",d_Irr!AI13=".",d_Irr!BH13&lt;&gt;"."),d_dir!AK13/((1/1000)*(d_Irr!BH13)),IF(AND(d_Irr!J13=".",d_Irr!AI13&lt;&gt;".",d_Irr!BH13="."),d_dir!AK13/((1/1000)*(d_Irr!AI13)),IF(AND(d_Irr!J13&lt;&gt;".",d_Irr!AI13=".",d_Irr!BH13="."),d_dir!AK13/((1/1000)*(d_Irr!J13)),IF(AND(d_Irr!J13=".",d_Irr!AI13=".",d_Irr!BH13="."),d_dir!AK13*1000)))))))),".")</f>
        <v>5.7937521774237792</v>
      </c>
      <c r="AL13" s="70">
        <f>IFERROR(IF(AND(d_Irr!K13&lt;&gt;".",d_Irr!AJ13&lt;&gt;".",d_Irr!BI13&lt;&gt;"."),d_dir!AL13/((1/1000)*(d_Irr!K13+d_Irr!AJ13+d_Irr!BI13)),IF(AND(d_Irr!K13&lt;&gt;".",d_Irr!AJ13&lt;&gt;".",d_Irr!BI13="."),d_dir!AL13/((1/1000)*(d_Irr!K13+d_Irr!AJ13)),IF(AND(d_Irr!K13&lt;&gt;".",d_Irr!AJ13=".",d_Irr!BI13&lt;&gt;"."),d_dir!AL13/((1/1000)*(d_Irr!K13+d_Irr!BI13)),IF(AND(d_Irr!K13=".",d_Irr!AJ13&lt;&gt;".",d_Irr!BI13&lt;&gt;"."),d_dir!AL13/((1/1000)*(d_Irr!AJ13+d_Irr!BI13)),IF(AND(d_Irr!K13=".",d_Irr!AJ13=".",d_Irr!BI13&lt;&gt;"."),d_dir!AL13/((1/1000)*(d_Irr!BI13)),IF(AND(d_Irr!K13=".",d_Irr!AJ13&lt;&gt;".",d_Irr!BI13="."),d_dir!AL13/((1/1000)*(d_Irr!AJ13)),IF(AND(d_Irr!K13&lt;&gt;".",d_Irr!AJ13=".",d_Irr!BI13="."),d_dir!AL13/((1/1000)*(d_Irr!K13)),IF(AND(d_Irr!K13=".",d_Irr!AJ13=".",d_Irr!BI13="."),d_dir!AL13*1000)))))))),".")</f>
        <v>21.704380157789547</v>
      </c>
      <c r="AM13" s="70">
        <f>IFERROR(IF(AND(d_Irr!L13&lt;&gt;".",d_Irr!AK13&lt;&gt;".",d_Irr!BJ13&lt;&gt;"."),d_dir!AM13/((1/1000)*(d_Irr!L13+d_Irr!AK13+d_Irr!BJ13)),IF(AND(d_Irr!L13&lt;&gt;".",d_Irr!AK13&lt;&gt;".",d_Irr!BJ13="."),d_dir!AM13/((1/1000)*(d_Irr!L13+d_Irr!AK13)),IF(AND(d_Irr!L13&lt;&gt;".",d_Irr!AK13=".",d_Irr!BJ13&lt;&gt;"."),d_dir!AM13/((1/1000)*(d_Irr!L13+d_Irr!BJ13)),IF(AND(d_Irr!L13=".",d_Irr!AK13&lt;&gt;".",d_Irr!BJ13&lt;&gt;"."),d_dir!AM13/((1/1000)*(d_Irr!AK13+d_Irr!BJ13)),IF(AND(d_Irr!L13=".",d_Irr!AK13=".",d_Irr!BJ13&lt;&gt;"."),d_dir!AM13/((1/1000)*(d_Irr!BJ13)),IF(AND(d_Irr!L13=".",d_Irr!AK13&lt;&gt;".",d_Irr!BJ13="."),d_dir!AM13/((1/1000)*(d_Irr!AK13)),IF(AND(d_Irr!L13&lt;&gt;".",d_Irr!AK13=".",d_Irr!BJ13="."),d_dir!AM13/((1/1000)*(d_Irr!L13)),IF(AND(d_Irr!L13=".",d_Irr!AK13=".",d_Irr!BJ13="."),d_dir!AM13*1000)))))))),".")</f>
        <v>29.340524432171748</v>
      </c>
      <c r="AN13" s="70">
        <f>IFERROR(IF(AND(d_Irr!M13&lt;&gt;".",d_Irr!AL13&lt;&gt;".",d_Irr!BK13&lt;&gt;"."),d_dir!AN13/((1/1000)*(d_Irr!M13+d_Irr!AL13+d_Irr!BK13)),IF(AND(d_Irr!M13&lt;&gt;".",d_Irr!AL13&lt;&gt;".",d_Irr!BK13="."),d_dir!AN13/((1/1000)*(d_Irr!M13+d_Irr!AL13)),IF(AND(d_Irr!M13&lt;&gt;".",d_Irr!AL13=".",d_Irr!BK13&lt;&gt;"."),d_dir!AN13/((1/1000)*(d_Irr!M13+d_Irr!BK13)),IF(AND(d_Irr!M13=".",d_Irr!AL13&lt;&gt;".",d_Irr!BK13&lt;&gt;"."),d_dir!AN13/((1/1000)*(d_Irr!AL13+d_Irr!BK13)),IF(AND(d_Irr!M13=".",d_Irr!AL13=".",d_Irr!BK13&lt;&gt;"."),d_dir!AN13/((1/1000)*(d_Irr!BK13)),IF(AND(d_Irr!M13=".",d_Irr!AL13&lt;&gt;".",d_Irr!BK13="."),d_dir!AN13/((1/1000)*(d_Irr!AL13)),IF(AND(d_Irr!M13&lt;&gt;".",d_Irr!AL13=".",d_Irr!BK13="."),d_dir!AN13/((1/1000)*(d_Irr!M13)),IF(AND(d_Irr!M13=".",d_Irr!AL13=".",d_Irr!BK13="."),d_dir!AN13*1000)))))))),".")</f>
        <v>38.279114618389741</v>
      </c>
      <c r="AO13" s="70">
        <f>IFERROR(IF(AND(d_Irr!N13&lt;&gt;".",d_Irr!AM13&lt;&gt;".",d_Irr!BL13&lt;&gt;"."),d_dir!AO13/((1/1000)*(d_Irr!N13+d_Irr!AM13+d_Irr!BL13)),IF(AND(d_Irr!N13&lt;&gt;".",d_Irr!AM13&lt;&gt;".",d_Irr!BL13="."),d_dir!AO13/((1/1000)*(d_Irr!N13+d_Irr!AM13)),IF(AND(d_Irr!N13&lt;&gt;".",d_Irr!AM13=".",d_Irr!BL13&lt;&gt;"."),d_dir!AO13/((1/1000)*(d_Irr!N13+d_Irr!BL13)),IF(AND(d_Irr!N13=".",d_Irr!AM13&lt;&gt;".",d_Irr!BL13&lt;&gt;"."),d_dir!AO13/((1/1000)*(d_Irr!AM13+d_Irr!BL13)),IF(AND(d_Irr!N13=".",d_Irr!AM13=".",d_Irr!BL13&lt;&gt;"."),d_dir!AO13/((1/1000)*(d_Irr!BL13)),IF(AND(d_Irr!N13=".",d_Irr!AM13&lt;&gt;".",d_Irr!BL13="."),d_dir!AO13/((1/1000)*(d_Irr!AM13)),IF(AND(d_Irr!N13&lt;&gt;".",d_Irr!AM13=".",d_Irr!BL13="."),d_dir!AO13/((1/1000)*(d_Irr!N13)),IF(AND(d_Irr!N13=".",d_Irr!AM13=".",d_Irr!BL13="."),d_dir!AO13*1000)))))))),".")</f>
        <v>43.847301458645951</v>
      </c>
      <c r="AP13" s="70">
        <f>IFERROR(IF(AND(d_Irr!O13&lt;&gt;".",d_Irr!AN13&lt;&gt;".",d_Irr!BM13&lt;&gt;"."),d_dir!AP13/((1/1000)*(d_Irr!O13+d_Irr!AN13+d_Irr!BM13)),IF(AND(d_Irr!O13&lt;&gt;".",d_Irr!AN13&lt;&gt;".",d_Irr!BM13="."),d_dir!AP13/((1/1000)*(d_Irr!O13+d_Irr!AN13)),IF(AND(d_Irr!O13&lt;&gt;".",d_Irr!AN13=".",d_Irr!BM13&lt;&gt;"."),d_dir!AP13/((1/1000)*(d_Irr!O13+d_Irr!BM13)),IF(AND(d_Irr!O13=".",d_Irr!AN13&lt;&gt;".",d_Irr!BM13&lt;&gt;"."),d_dir!AP13/((1/1000)*(d_Irr!AN13+d_Irr!BM13)),IF(AND(d_Irr!O13=".",d_Irr!AN13=".",d_Irr!BM13&lt;&gt;"."),d_dir!AP13/((1/1000)*(d_Irr!BM13)),IF(AND(d_Irr!O13=".",d_Irr!AN13&lt;&gt;".",d_Irr!BM13="."),d_dir!AP13/((1/1000)*(d_Irr!AN13)),IF(AND(d_Irr!O13&lt;&gt;".",d_Irr!AN13=".",d_Irr!BM13="."),d_dir!AP13/((1/1000)*(d_Irr!O13)),IF(AND(d_Irr!O13=".",d_Irr!AN13=".",d_Irr!BM13="."),d_dir!AP13*1000)))))))),".")</f>
        <v>52.859917609266873</v>
      </c>
      <c r="AQ13" s="70">
        <f>IFERROR(IF(AND(d_Irr!P13&lt;&gt;".",d_Irr!AO13&lt;&gt;".",d_Irr!BN13&lt;&gt;"."),d_dir!AQ13/((1/1000)*(d_Irr!P13+d_Irr!AO13+d_Irr!BN13)),IF(AND(d_Irr!P13&lt;&gt;".",d_Irr!AO13&lt;&gt;".",d_Irr!BN13="."),d_dir!AQ13/((1/1000)*(d_Irr!P13+d_Irr!AO13)),IF(AND(d_Irr!P13&lt;&gt;".",d_Irr!AO13=".",d_Irr!BN13&lt;&gt;"."),d_dir!AQ13/((1/1000)*(d_Irr!P13+d_Irr!BN13)),IF(AND(d_Irr!P13=".",d_Irr!AO13&lt;&gt;".",d_Irr!BN13&lt;&gt;"."),d_dir!AQ13/((1/1000)*(d_Irr!AO13+d_Irr!BN13)),IF(AND(d_Irr!P13=".",d_Irr!AO13=".",d_Irr!BN13&lt;&gt;"."),d_dir!AQ13/((1/1000)*(d_Irr!BN13)),IF(AND(d_Irr!P13=".",d_Irr!AO13&lt;&gt;".",d_Irr!BN13="."),d_dir!AQ13/((1/1000)*(d_Irr!AO13)),IF(AND(d_Irr!P13&lt;&gt;".",d_Irr!AO13=".",d_Irr!BN13="."),d_dir!AQ13/((1/1000)*(d_Irr!P13)),IF(AND(d_Irr!P13=".",d_Irr!AO13=".",d_Irr!BN13="."),d_dir!AQ13*1000)))))))),".")</f>
        <v>57.285947871526787</v>
      </c>
      <c r="AR13" s="70">
        <f>IFERROR(IF(AND(d_Irr!Q13&lt;&gt;".",d_Irr!AP13&lt;&gt;".",d_Irr!BO13&lt;&gt;"."),d_dir!AR13/((1/1000)*(d_Irr!Q13+d_Irr!AP13+d_Irr!BO13)),IF(AND(d_Irr!Q13&lt;&gt;".",d_Irr!AP13&lt;&gt;".",d_Irr!BO13="."),d_dir!AR13/((1/1000)*(d_Irr!Q13+d_Irr!AP13)),IF(AND(d_Irr!Q13&lt;&gt;".",d_Irr!AP13=".",d_Irr!BO13&lt;&gt;"."),d_dir!AR13/((1/1000)*(d_Irr!Q13+d_Irr!BO13)),IF(AND(d_Irr!Q13=".",d_Irr!AP13&lt;&gt;".",d_Irr!BO13&lt;&gt;"."),d_dir!AR13/((1/1000)*(d_Irr!AP13+d_Irr!BO13)),IF(AND(d_Irr!Q13=".",d_Irr!AP13=".",d_Irr!BO13&lt;&gt;"."),d_dir!AR13/((1/1000)*(d_Irr!BO13)),IF(AND(d_Irr!Q13=".",d_Irr!AP13&lt;&gt;".",d_Irr!BO13="."),d_dir!AR13/((1/1000)*(d_Irr!AP13)),IF(AND(d_Irr!Q13&lt;&gt;".",d_Irr!AP13=".",d_Irr!BO13="."),d_dir!AR13/((1/1000)*(d_Irr!Q13)),IF(AND(d_Irr!Q13=".",d_Irr!AP13=".",d_Irr!BO13="."),d_dir!AR13*1000)))))))),".")</f>
        <v>16.495479021821136</v>
      </c>
      <c r="AS13" s="70">
        <f>IFERROR(IF(AND(d_Irr!R13&lt;&gt;".",d_Irr!AQ13&lt;&gt;".",d_Irr!BP13&lt;&gt;"."),d_dir!AS13/((1/1000)*(d_Irr!R13+d_Irr!AQ13+d_Irr!BP13)),IF(AND(d_Irr!R13&lt;&gt;".",d_Irr!AQ13&lt;&gt;".",d_Irr!BP13="."),d_dir!AS13/((1/1000)*(d_Irr!R13+d_Irr!AQ13)),IF(AND(d_Irr!R13&lt;&gt;".",d_Irr!AQ13=".",d_Irr!BP13&lt;&gt;"."),d_dir!AS13/((1/1000)*(d_Irr!R13+d_Irr!BP13)),IF(AND(d_Irr!R13=".",d_Irr!AQ13&lt;&gt;".",d_Irr!BP13&lt;&gt;"."),d_dir!AS13/((1/1000)*(d_Irr!AQ13+d_Irr!BP13)),IF(AND(d_Irr!R13=".",d_Irr!AQ13=".",d_Irr!BP13&lt;&gt;"."),d_dir!AS13/((1/1000)*(d_Irr!BP13)),IF(AND(d_Irr!R13=".",d_Irr!AQ13&lt;&gt;".",d_Irr!BP13="."),d_dir!AS13/((1/1000)*(d_Irr!AQ13)),IF(AND(d_Irr!R13&lt;&gt;".",d_Irr!AQ13=".",d_Irr!BP13="."),d_dir!AS13/((1/1000)*(d_Irr!R13)),IF(AND(d_Irr!R13=".",d_Irr!AQ13=".",d_Irr!BP13="."),d_dir!AS13*1000)))))))),".")</f>
        <v>26.898115994215029</v>
      </c>
      <c r="AT13" s="70">
        <f>IFERROR(IF(AND(d_Irr!S13&lt;&gt;".",d_Irr!AR13&lt;&gt;".",d_Irr!BQ13&lt;&gt;"."),d_dir!AT13/((1/1000)*(d_Irr!S13+d_Irr!AR13+d_Irr!BQ13)),IF(AND(d_Irr!S13&lt;&gt;".",d_Irr!AR13&lt;&gt;".",d_Irr!BQ13="."),d_dir!AT13/((1/1000)*(d_Irr!S13+d_Irr!AR13)),IF(AND(d_Irr!S13&lt;&gt;".",d_Irr!AR13=".",d_Irr!BQ13&lt;&gt;"."),d_dir!AT13/((1/1000)*(d_Irr!S13+d_Irr!BQ13)),IF(AND(d_Irr!S13=".",d_Irr!AR13&lt;&gt;".",d_Irr!BQ13&lt;&gt;"."),d_dir!AT13/((1/1000)*(d_Irr!AR13+d_Irr!BQ13)),IF(AND(d_Irr!S13=".",d_Irr!AR13=".",d_Irr!BQ13&lt;&gt;"."),d_dir!AT13/((1/1000)*(d_Irr!BQ13)),IF(AND(d_Irr!S13=".",d_Irr!AR13&lt;&gt;".",d_Irr!BQ13="."),d_dir!AT13/((1/1000)*(d_Irr!AR13)),IF(AND(d_Irr!S13&lt;&gt;".",d_Irr!AR13=".",d_Irr!BQ13="."),d_dir!AT13/((1/1000)*(d_Irr!S13)),IF(AND(d_Irr!S13=".",d_Irr!AR13=".",d_Irr!BQ13="."),d_dir!AT13*1000)))))))),".")</f>
        <v>48.507493228288759</v>
      </c>
      <c r="AU13" s="70">
        <f>IFERROR(IF(AND(d_Irr!T13&lt;&gt;".",d_Irr!AS13&lt;&gt;".",d_Irr!BR13&lt;&gt;"."),d_dir!AU13/((1/1000)*(d_Irr!T13+d_Irr!AS13+d_Irr!BR13)),IF(AND(d_Irr!T13&lt;&gt;".",d_Irr!AS13&lt;&gt;".",d_Irr!BR13="."),d_dir!AU13/((1/1000)*(d_Irr!T13+d_Irr!AS13)),IF(AND(d_Irr!T13&lt;&gt;".",d_Irr!AS13=".",d_Irr!BR13&lt;&gt;"."),d_dir!AU13/((1/1000)*(d_Irr!T13+d_Irr!BR13)),IF(AND(d_Irr!T13=".",d_Irr!AS13&lt;&gt;".",d_Irr!BR13&lt;&gt;"."),d_dir!AU13/((1/1000)*(d_Irr!AS13+d_Irr!BR13)),IF(AND(d_Irr!T13=".",d_Irr!AS13=".",d_Irr!BR13&lt;&gt;"."),d_dir!AU13/((1/1000)*(d_Irr!BR13)),IF(AND(d_Irr!T13=".",d_Irr!AS13&lt;&gt;".",d_Irr!BR13="."),d_dir!AU13/((1/1000)*(d_Irr!AS13)),IF(AND(d_Irr!T13&lt;&gt;".",d_Irr!AS13=".",d_Irr!BR13="."),d_dir!AU13/((1/1000)*(d_Irr!T13)),IF(AND(d_Irr!T13=".",d_Irr!AS13=".",d_Irr!BR13="."),d_dir!AU13*1000)))))))),".")</f>
        <v>66.053216900691595</v>
      </c>
      <c r="AV13" s="70">
        <f>IFERROR(IF(AND(d_Irr!U13&lt;&gt;".",d_Irr!AT13&lt;&gt;".",d_Irr!BS13&lt;&gt;"."),d_dir!AV13/((1/1000)*(d_Irr!U13+d_Irr!AT13+d_Irr!BS13)),IF(AND(d_Irr!U13&lt;&gt;".",d_Irr!AT13&lt;&gt;".",d_Irr!BS13="."),d_dir!AV13/((1/1000)*(d_Irr!U13+d_Irr!AT13)),IF(AND(d_Irr!U13&lt;&gt;".",d_Irr!AT13=".",d_Irr!BS13&lt;&gt;"."),d_dir!AV13/((1/1000)*(d_Irr!U13+d_Irr!BS13)),IF(AND(d_Irr!U13=".",d_Irr!AT13&lt;&gt;".",d_Irr!BS13&lt;&gt;"."),d_dir!AV13/((1/1000)*(d_Irr!AT13+d_Irr!BS13)),IF(AND(d_Irr!U13=".",d_Irr!AT13=".",d_Irr!BS13&lt;&gt;"."),d_dir!AV13/((1/1000)*(d_Irr!BS13)),IF(AND(d_Irr!U13=".",d_Irr!AT13&lt;&gt;".",d_Irr!BS13="."),d_dir!AV13/((1/1000)*(d_Irr!AT13)),IF(AND(d_Irr!U13&lt;&gt;".",d_Irr!AT13=".",d_Irr!BS13="."),d_dir!AV13/((1/1000)*(d_Irr!U13)),IF(AND(d_Irr!U13=".",d_Irr!AT13=".",d_Irr!BS13="."),d_dir!AV13*1000)))))))),".")</f>
        <v>12.485708443002617</v>
      </c>
      <c r="AW13" s="70">
        <f>IFERROR(IF(AND(d_Irr!V13&lt;&gt;".",d_Irr!AU13&lt;&gt;".",d_Irr!BT13&lt;&gt;"."),d_dir!AW13/((1/1000)*(d_Irr!V13+d_Irr!AU13+d_Irr!BT13)),IF(AND(d_Irr!V13&lt;&gt;".",d_Irr!AU13&lt;&gt;".",d_Irr!BT13="."),d_dir!AW13/((1/1000)*(d_Irr!V13+d_Irr!AU13)),IF(AND(d_Irr!V13&lt;&gt;".",d_Irr!AU13=".",d_Irr!BT13&lt;&gt;"."),d_dir!AW13/((1/1000)*(d_Irr!V13+d_Irr!BT13)),IF(AND(d_Irr!V13=".",d_Irr!AU13&lt;&gt;".",d_Irr!BT13&lt;&gt;"."),d_dir!AW13/((1/1000)*(d_Irr!AU13+d_Irr!BT13)),IF(AND(d_Irr!V13=".",d_Irr!AU13=".",d_Irr!BT13&lt;&gt;"."),d_dir!AW13/((1/1000)*(d_Irr!BT13)),IF(AND(d_Irr!V13=".",d_Irr!AU13&lt;&gt;".",d_Irr!BT13="."),d_dir!AW13/((1/1000)*(d_Irr!AU13)),IF(AND(d_Irr!V13&lt;&gt;".",d_Irr!AU13=".",d_Irr!BT13="."),d_dir!AW13/((1/1000)*(d_Irr!V13)),IF(AND(d_Irr!V13=".",d_Irr!AU13=".",d_Irr!BT13="."),d_dir!AW13*1000)))))))),".")</f>
        <v>25.20683991270489</v>
      </c>
      <c r="AX13" s="70">
        <f>IFERROR(IF(AND(d_Irr!W13&lt;&gt;".",d_Irr!AV13&lt;&gt;".",d_Irr!BU13&lt;&gt;"."),d_dir!AX13/((1/1000)*(d_Irr!W13+d_Irr!AV13+d_Irr!BU13)),IF(AND(d_Irr!W13&lt;&gt;".",d_Irr!AV13&lt;&gt;".",d_Irr!BU13="."),d_dir!AX13/((1/1000)*(d_Irr!W13+d_Irr!AV13)),IF(AND(d_Irr!W13&lt;&gt;".",d_Irr!AV13=".",d_Irr!BU13&lt;&gt;"."),d_dir!AX13/((1/1000)*(d_Irr!W13+d_Irr!BU13)),IF(AND(d_Irr!W13=".",d_Irr!AV13&lt;&gt;".",d_Irr!BU13&lt;&gt;"."),d_dir!AX13/((1/1000)*(d_Irr!AV13+d_Irr!BU13)),IF(AND(d_Irr!W13=".",d_Irr!AV13=".",d_Irr!BU13&lt;&gt;"."),d_dir!AX13/((1/1000)*(d_Irr!BU13)),IF(AND(d_Irr!W13=".",d_Irr!AV13&lt;&gt;".",d_Irr!BU13="."),d_dir!AX13/((1/1000)*(d_Irr!AV13)),IF(AND(d_Irr!W13&lt;&gt;".",d_Irr!AV13=".",d_Irr!BU13="."),d_dir!AX13/((1/1000)*(d_Irr!W13)),IF(AND(d_Irr!W13=".",d_Irr!AV13=".",d_Irr!BU13="."),d_dir!AX13*1000)))))))),".")</f>
        <v>27.550035778793671</v>
      </c>
      <c r="AY13" s="70">
        <f>IFERROR(IF(AND(d_Irr!X13&lt;&gt;".",d_Irr!AW13&lt;&gt;".",d_Irr!BV13&lt;&gt;"."),d_dir!AY13/((1/1000)*(d_Irr!X13+d_Irr!AW13+d_Irr!BV13)),IF(AND(d_Irr!X13&lt;&gt;".",d_Irr!AW13&lt;&gt;".",d_Irr!BV13="."),d_dir!AY13/((1/1000)*(d_Irr!X13+d_Irr!AW13)),IF(AND(d_Irr!X13&lt;&gt;".",d_Irr!AW13=".",d_Irr!BV13&lt;&gt;"."),d_dir!AY13/((1/1000)*(d_Irr!X13+d_Irr!BV13)),IF(AND(d_Irr!X13=".",d_Irr!AW13&lt;&gt;".",d_Irr!BV13&lt;&gt;"."),d_dir!AY13/((1/1000)*(d_Irr!AW13+d_Irr!BV13)),IF(AND(d_Irr!X13=".",d_Irr!AW13=".",d_Irr!BV13&lt;&gt;"."),d_dir!AY13/((1/1000)*(d_Irr!BV13)),IF(AND(d_Irr!X13=".",d_Irr!AW13&lt;&gt;".",d_Irr!BV13="."),d_dir!AY13/((1/1000)*(d_Irr!AW13)),IF(AND(d_Irr!X13&lt;&gt;".",d_Irr!AW13=".",d_Irr!BV13="."),d_dir!AY13/((1/1000)*(d_Irr!X13)),IF(AND(d_Irr!X13=".",d_Irr!AW13=".",d_Irr!BV13="."),d_dir!AY13*1000)))))))),".")</f>
        <v>43.735353879105958</v>
      </c>
      <c r="AZ13" s="70">
        <f>IFERROR(IF(AND(d_Irr!Y13&lt;&gt;".",d_Irr!AX13&lt;&gt;".",d_Irr!BW13&lt;&gt;"."),d_dir!AZ13/((1/1000)*(d_Irr!Y13+d_Irr!AX13+d_Irr!BW13)),IF(AND(d_Irr!Y13&lt;&gt;".",d_Irr!AX13&lt;&gt;".",d_Irr!BW13="."),d_dir!AZ13/((1/1000)*(d_Irr!Y13+d_Irr!AX13)),IF(AND(d_Irr!Y13&lt;&gt;".",d_Irr!AX13=".",d_Irr!BW13&lt;&gt;"."),d_dir!AZ13/((1/1000)*(d_Irr!Y13+d_Irr!BW13)),IF(AND(d_Irr!Y13=".",d_Irr!AX13&lt;&gt;".",d_Irr!BW13&lt;&gt;"."),d_dir!AZ13/((1/1000)*(d_Irr!AX13+d_Irr!BW13)),IF(AND(d_Irr!Y13=".",d_Irr!AX13=".",d_Irr!BW13&lt;&gt;"."),d_dir!AZ13/((1/1000)*(d_Irr!BW13)),IF(AND(d_Irr!Y13=".",d_Irr!AX13&lt;&gt;".",d_Irr!BW13="."),d_dir!AZ13/((1/1000)*(d_Irr!AX13)),IF(AND(d_Irr!Y13&lt;&gt;".",d_Irr!AX13=".",d_Irr!BW13="."),d_dir!AZ13/((1/1000)*(d_Irr!Y13)),IF(AND(d_Irr!Y13=".",d_Irr!AX13=".",d_Irr!BW13="."),d_dir!AZ13*1000)))))))),".")</f>
        <v>16.472509114283511</v>
      </c>
      <c r="BA13" s="70">
        <f>IFERROR(IF(AND(d_Irr!Z13&lt;&gt;".",d_Irr!AY13&lt;&gt;".",d_Irr!BX13&lt;&gt;"."),d_dir!BA13/((1/1000)*(d_Irr!Z13+d_Irr!AY13+d_Irr!BX13)),IF(AND(d_Irr!Z13&lt;&gt;".",d_Irr!AY13&lt;&gt;".",d_Irr!BX13="."),d_dir!BA13/((1/1000)*(d_Irr!Z13+d_Irr!AY13)),IF(AND(d_Irr!Z13&lt;&gt;".",d_Irr!AY13=".",d_Irr!BX13&lt;&gt;"."),d_dir!BA13/((1/1000)*(d_Irr!Z13+d_Irr!BX13)),IF(AND(d_Irr!Z13=".",d_Irr!AY13&lt;&gt;".",d_Irr!BX13&lt;&gt;"."),d_dir!BA13/((1/1000)*(d_Irr!AY13+d_Irr!BX13)),IF(AND(d_Irr!Z13=".",d_Irr!AY13=".",d_Irr!BX13&lt;&gt;"."),d_dir!BA13/((1/1000)*(d_Irr!BX13)),IF(AND(d_Irr!Z13=".",d_Irr!AY13&lt;&gt;".",d_Irr!BX13="."),d_dir!BA13/((1/1000)*(d_Irr!AY13)),IF(AND(d_Irr!Z13&lt;&gt;".",d_Irr!AY13=".",d_Irr!BX13="."),d_dir!BA13/((1/1000)*(d_Irr!Z13)),IF(AND(d_Irr!Z13=".",d_Irr!AY13=".",d_Irr!BX13="."),d_dir!BA13*1000)))))))),".")</f>
        <v>5.0783345997116989</v>
      </c>
      <c r="BB13" s="70">
        <f>IFERROR(IF(AND(d_Irr!AA13&lt;&gt;".",d_Irr!AZ13&lt;&gt;".",d_Irr!BY13&lt;&gt;"."),d_dir!BB13/((1/1000)*(d_Irr!AA13+d_Irr!AZ13+d_Irr!BY13)),IF(AND(d_Irr!AA13&lt;&gt;".",d_Irr!AZ13&lt;&gt;".",d_Irr!BY13="."),d_dir!BB13/((1/1000)*(d_Irr!AA13+d_Irr!AZ13)),IF(AND(d_Irr!AA13&lt;&gt;".",d_Irr!AZ13=".",d_Irr!BY13&lt;&gt;"."),d_dir!BB13/((1/1000)*(d_Irr!AA13+d_Irr!BY13)),IF(AND(d_Irr!AA13=".",d_Irr!AZ13&lt;&gt;".",d_Irr!BY13&lt;&gt;"."),d_dir!BB13/((1/1000)*(d_Irr!AZ13+d_Irr!BY13)),IF(AND(d_Irr!AA13=".",d_Irr!AZ13=".",d_Irr!BY13&lt;&gt;"."),d_dir!BB13/((1/1000)*(d_Irr!BY13)),IF(AND(d_Irr!AA13=".",d_Irr!AZ13&lt;&gt;".",d_Irr!BY13="."),d_dir!BB13/((1/1000)*(d_Irr!AZ13)),IF(AND(d_Irr!AA13&lt;&gt;".",d_Irr!AZ13=".",d_Irr!BY13="."),d_dir!BB13/((1/1000)*(d_Irr!AA13)),IF(AND(d_Irr!AA13=".",d_Irr!AZ13=".",d_Irr!BY13="."),d_dir!BB13*1000)))))))),".")</f>
        <v>6.1427539519812395</v>
      </c>
    </row>
    <row r="14" spans="1:54" ht="15" customHeight="1" x14ac:dyDescent="0.25">
      <c r="A14" s="86" t="s">
        <v>12</v>
      </c>
      <c r="B14" s="84" t="s">
        <v>1057</v>
      </c>
      <c r="C14" s="2">
        <f t="shared" si="1"/>
        <v>109.03534415037855</v>
      </c>
      <c r="D14" s="70">
        <f>IFERROR(IF(AND(d_Irr!C14&lt;&gt;".",d_Irr!AB14&lt;&gt;".",d_Irr!BA14&lt;&gt;"."),d_dir!D14/((1/1000)*(d_Irr!C14+d_Irr!AB14+d_Irr!BA14)),IF(AND(d_Irr!C14&lt;&gt;".",d_Irr!AB14&lt;&gt;".",d_Irr!BA14="."),d_dir!D14/((1/1000)*(d_Irr!C14+d_Irr!AB14)),IF(AND(d_Irr!C14&lt;&gt;".",d_Irr!AB14=".",d_Irr!BA14&lt;&gt;"."),d_dir!D14/((1/1000)*(d_Irr!C14+d_Irr!BA14)),IF(AND(d_Irr!C14=".",d_Irr!AB14&lt;&gt;".",d_Irr!BA14&lt;&gt;"."),d_dir!D14/((1/1000)*(d_Irr!AB14+d_Irr!BA14)),IF(AND(d_Irr!C14=".",d_Irr!AB14=".",d_Irr!BA14&lt;&gt;"."),d_dir!D14/((1/1000)*(d_Irr!BA14)),IF(AND(d_Irr!C14=".",d_Irr!AB14&lt;&gt;".",d_Irr!BA14="."),d_dir!D14/((1/1000)*(d_Irr!AB14)),IF(AND(d_Irr!C14&lt;&gt;".",d_Irr!AB14=".",d_Irr!BA14="."),d_dir!D14/((1/1000)*(d_Irr!C14)),IF(AND(d_Irr!C14=".",d_Irr!AB14=".",d_Irr!BA14="."),d_dir!D14*1000)))))))),".")</f>
        <v>1988.0149432707728</v>
      </c>
      <c r="E14" s="70">
        <f>IFERROR(IF(AND(d_Irr!D14&lt;&gt;".",d_Irr!AC14&lt;&gt;".",d_Irr!BB14&lt;&gt;"."),d_dir!E14/((1/1000)*(d_Irr!D14+d_Irr!AC14+d_Irr!BB14)),IF(AND(d_Irr!D14&lt;&gt;".",d_Irr!AC14&lt;&gt;".",d_Irr!BB14="."),d_dir!E14/((1/1000)*(d_Irr!D14+d_Irr!AC14)),IF(AND(d_Irr!D14&lt;&gt;".",d_Irr!AC14=".",d_Irr!BB14&lt;&gt;"."),d_dir!E14/((1/1000)*(d_Irr!D14+d_Irr!BB14)),IF(AND(d_Irr!D14=".",d_Irr!AC14&lt;&gt;".",d_Irr!BB14&lt;&gt;"."),d_dir!E14/((1/1000)*(d_Irr!AC14+d_Irr!BB14)),IF(AND(d_Irr!D14=".",d_Irr!AC14=".",d_Irr!BB14&lt;&gt;"."),d_dir!E14/((1/1000)*(d_Irr!BB14)),IF(AND(d_Irr!D14=".",d_Irr!AC14&lt;&gt;".",d_Irr!BB14="."),d_dir!E14/((1/1000)*(d_Irr!AC14)),IF(AND(d_Irr!D14&lt;&gt;".",d_Irr!AC14=".",d_Irr!BB14="."),d_dir!E14/((1/1000)*(d_Irr!D14)),IF(AND(d_Irr!D14=".",d_Irr!AC14=".",d_Irr!BB14="."),d_dir!E14*1000)))))))),".")</f>
        <v>4347.9260865844144</v>
      </c>
      <c r="F14" s="70">
        <f>IFERROR(IF(AND(d_Irr!E14&lt;&gt;".",d_Irr!AD14&lt;&gt;".",d_Irr!BC14&lt;&gt;"."),d_dir!F14/((1/1000)*(d_Irr!E14+d_Irr!AD14+d_Irr!BC14)),IF(AND(d_Irr!E14&lt;&gt;".",d_Irr!AD14&lt;&gt;".",d_Irr!BC14="."),d_dir!F14/((1/1000)*(d_Irr!E14+d_Irr!AD14)),IF(AND(d_Irr!E14&lt;&gt;".",d_Irr!AD14=".",d_Irr!BC14&lt;&gt;"."),d_dir!F14/((1/1000)*(d_Irr!E14+d_Irr!BC14)),IF(AND(d_Irr!E14=".",d_Irr!AD14&lt;&gt;".",d_Irr!BC14&lt;&gt;"."),d_dir!F14/((1/1000)*(d_Irr!AD14+d_Irr!BC14)),IF(AND(d_Irr!E14=".",d_Irr!AD14=".",d_Irr!BC14&lt;&gt;"."),d_dir!F14/((1/1000)*(d_Irr!BC14)),IF(AND(d_Irr!E14=".",d_Irr!AD14&lt;&gt;".",d_Irr!BC14="."),d_dir!F14/((1/1000)*(d_Irr!AD14)),IF(AND(d_Irr!E14&lt;&gt;".",d_Irr!AD14=".",d_Irr!BC14="."),d_dir!F14/((1/1000)*(d_Irr!E14)),IF(AND(d_Irr!E14=".",d_Irr!AD14=".",d_Irr!BC14="."),d_dir!F14*1000)))))))),".")</f>
        <v>5241.6470704596159</v>
      </c>
      <c r="G14" s="70">
        <f>IFERROR(IF(AND(d_Irr!F14&lt;&gt;".",d_Irr!AE14&lt;&gt;".",d_Irr!BD14&lt;&gt;"."),d_dir!G14/((1/1000)*(d_Irr!F14+d_Irr!AE14+d_Irr!BD14)),IF(AND(d_Irr!F14&lt;&gt;".",d_Irr!AE14&lt;&gt;".",d_Irr!BD14="."),d_dir!G14/((1/1000)*(d_Irr!F14+d_Irr!AE14)),IF(AND(d_Irr!F14&lt;&gt;".",d_Irr!AE14=".",d_Irr!BD14&lt;&gt;"."),d_dir!G14/((1/1000)*(d_Irr!F14+d_Irr!BD14)),IF(AND(d_Irr!F14=".",d_Irr!AE14&lt;&gt;".",d_Irr!BD14&lt;&gt;"."),d_dir!G14/((1/1000)*(d_Irr!AE14+d_Irr!BD14)),IF(AND(d_Irr!F14=".",d_Irr!AE14=".",d_Irr!BD14&lt;&gt;"."),d_dir!G14/((1/1000)*(d_Irr!BD14)),IF(AND(d_Irr!F14=".",d_Irr!AE14&lt;&gt;".",d_Irr!BD14="."),d_dir!G14/((1/1000)*(d_Irr!AE14)),IF(AND(d_Irr!F14&lt;&gt;".",d_Irr!AE14=".",d_Irr!BD14="."),d_dir!G14/((1/1000)*(d_Irr!F14)),IF(AND(d_Irr!F14=".",d_Irr!AE14=".",d_Irr!BD14="."),d_dir!G14*1000)))))))),".")</f>
        <v>4470.0863864637295</v>
      </c>
      <c r="H14" s="70">
        <f>IFERROR(IF(AND(d_Irr!G14&lt;&gt;".",d_Irr!AF14&lt;&gt;".",d_Irr!BE14&lt;&gt;"."),d_dir!H14/((1/1000)*(d_Irr!G14+d_Irr!AF14+d_Irr!BE14)),IF(AND(d_Irr!G14&lt;&gt;".",d_Irr!AF14&lt;&gt;".",d_Irr!BE14="."),d_dir!H14/((1/1000)*(d_Irr!G14+d_Irr!AF14)),IF(AND(d_Irr!G14&lt;&gt;".",d_Irr!AF14=".",d_Irr!BE14&lt;&gt;"."),d_dir!H14/((1/1000)*(d_Irr!G14+d_Irr!BE14)),IF(AND(d_Irr!G14=".",d_Irr!AF14&lt;&gt;".",d_Irr!BE14&lt;&gt;"."),d_dir!H14/((1/1000)*(d_Irr!AF14+d_Irr!BE14)),IF(AND(d_Irr!G14=".",d_Irr!AF14=".",d_Irr!BE14&lt;&gt;"."),d_dir!H14/((1/1000)*(d_Irr!BE14)),IF(AND(d_Irr!G14=".",d_Irr!AF14&lt;&gt;".",d_Irr!BE14="."),d_dir!H14/((1/1000)*(d_Irr!AF14)),IF(AND(d_Irr!G14&lt;&gt;".",d_Irr!AF14=".",d_Irr!BE14="."),d_dir!H14/((1/1000)*(d_Irr!G14)),IF(AND(d_Irr!G14=".",d_Irr!AF14=".",d_Irr!BE14="."),d_dir!H14*1000)))))))),".")</f>
        <v>5465.3314582244793</v>
      </c>
      <c r="I14" s="70">
        <f>IFERROR(IF(AND(d_Irr!H14&lt;&gt;".",d_Irr!AG14&lt;&gt;".",d_Irr!BF14&lt;&gt;"."),d_dir!I14/((1/1000)*(d_Irr!H14+d_Irr!AG14+d_Irr!BF14)),IF(AND(d_Irr!H14&lt;&gt;".",d_Irr!AG14&lt;&gt;".",d_Irr!BF14="."),d_dir!I14/((1/1000)*(d_Irr!H14+d_Irr!AG14)),IF(AND(d_Irr!H14&lt;&gt;".",d_Irr!AG14=".",d_Irr!BF14&lt;&gt;"."),d_dir!I14/((1/1000)*(d_Irr!H14+d_Irr!BF14)),IF(AND(d_Irr!H14=".",d_Irr!AG14&lt;&gt;".",d_Irr!BF14&lt;&gt;"."),d_dir!I14/((1/1000)*(d_Irr!AG14+d_Irr!BF14)),IF(AND(d_Irr!H14=".",d_Irr!AG14=".",d_Irr!BF14&lt;&gt;"."),d_dir!I14/((1/1000)*(d_Irr!BF14)),IF(AND(d_Irr!H14=".",d_Irr!AG14&lt;&gt;".",d_Irr!BF14="."),d_dir!I14/((1/1000)*(d_Irr!AG14)),IF(AND(d_Irr!H14&lt;&gt;".",d_Irr!AG14=".",d_Irr!BF14="."),d_dir!I14/((1/1000)*(d_Irr!H14)),IF(AND(d_Irr!H14=".",d_Irr!AG14=".",d_Irr!BF14="."),d_dir!I14*1000)))))))),".")</f>
        <v>2141.1945876739205</v>
      </c>
      <c r="J14" s="70">
        <f>IFERROR(IF(AND(d_Irr!I14&lt;&gt;".",d_Irr!AH14&lt;&gt;".",d_Irr!BG14&lt;&gt;"."),d_dir!J14/((1/1000)*(d_Irr!I14+d_Irr!AH14+d_Irr!BG14)),IF(AND(d_Irr!I14&lt;&gt;".",d_Irr!AH14&lt;&gt;".",d_Irr!BG14="."),d_dir!J14/((1/1000)*(d_Irr!I14+d_Irr!AH14)),IF(AND(d_Irr!I14&lt;&gt;".",d_Irr!AH14=".",d_Irr!BG14&lt;&gt;"."),d_dir!J14/((1/1000)*(d_Irr!I14+d_Irr!BG14)),IF(AND(d_Irr!I14=".",d_Irr!AH14&lt;&gt;".",d_Irr!BG14&lt;&gt;"."),d_dir!J14/((1/1000)*(d_Irr!AH14+d_Irr!BG14)),IF(AND(d_Irr!I14=".",d_Irr!AH14=".",d_Irr!BG14&lt;&gt;"."),d_dir!J14/((1/1000)*(d_Irr!BG14)),IF(AND(d_Irr!I14=".",d_Irr!AH14&lt;&gt;".",d_Irr!BG14="."),d_dir!J14/((1/1000)*(d_Irr!AH14)),IF(AND(d_Irr!I14&lt;&gt;".",d_Irr!AH14=".",d_Irr!BG14="."),d_dir!J14/((1/1000)*(d_Irr!I14)),IF(AND(d_Irr!I14=".",d_Irr!AH14=".",d_Irr!BG14="."),d_dir!J14*1000)))))))),".")</f>
        <v>6037.8356105437742</v>
      </c>
      <c r="K14" s="70">
        <f>IFERROR(IF(AND(d_Irr!J14&lt;&gt;".",d_Irr!AI14&lt;&gt;".",d_Irr!BH14&lt;&gt;"."),d_dir!K14/((1/1000)*(d_Irr!J14+d_Irr!AI14+d_Irr!BH14)),IF(AND(d_Irr!J14&lt;&gt;".",d_Irr!AI14&lt;&gt;".",d_Irr!BH14="."),d_dir!K14/((1/1000)*(d_Irr!J14+d_Irr!AI14)),IF(AND(d_Irr!J14&lt;&gt;".",d_Irr!AI14=".",d_Irr!BH14&lt;&gt;"."),d_dir!K14/((1/1000)*(d_Irr!J14+d_Irr!BH14)),IF(AND(d_Irr!J14=".",d_Irr!AI14&lt;&gt;".",d_Irr!BH14&lt;&gt;"."),d_dir!K14/((1/1000)*(d_Irr!AI14+d_Irr!BH14)),IF(AND(d_Irr!J14=".",d_Irr!AI14=".",d_Irr!BH14&lt;&gt;"."),d_dir!K14/((1/1000)*(d_Irr!BH14)),IF(AND(d_Irr!J14=".",d_Irr!AI14&lt;&gt;".",d_Irr!BH14="."),d_dir!K14/((1/1000)*(d_Irr!AI14)),IF(AND(d_Irr!J14&lt;&gt;".",d_Irr!AI14=".",d_Irr!BH14="."),d_dir!K14/((1/1000)*(d_Irr!J14)),IF(AND(d_Irr!J14=".",d_Irr!AI14=".",d_Irr!BH14="."),d_dir!K14*1000)))))))),".")</f>
        <v>515.3746735268096</v>
      </c>
      <c r="L14" s="70">
        <f>IFERROR(IF(AND(d_Irr!K14&lt;&gt;".",d_Irr!AJ14&lt;&gt;".",d_Irr!BI14&lt;&gt;"."),d_dir!L14/((1/1000)*(d_Irr!K14+d_Irr!AJ14+d_Irr!BI14)),IF(AND(d_Irr!K14&lt;&gt;".",d_Irr!AJ14&lt;&gt;".",d_Irr!BI14="."),d_dir!L14/((1/1000)*(d_Irr!K14+d_Irr!AJ14)),IF(AND(d_Irr!K14&lt;&gt;".",d_Irr!AJ14=".",d_Irr!BI14&lt;&gt;"."),d_dir!L14/((1/1000)*(d_Irr!K14+d_Irr!BI14)),IF(AND(d_Irr!K14=".",d_Irr!AJ14&lt;&gt;".",d_Irr!BI14&lt;&gt;"."),d_dir!L14/((1/1000)*(d_Irr!AJ14+d_Irr!BI14)),IF(AND(d_Irr!K14=".",d_Irr!AJ14=".",d_Irr!BI14&lt;&gt;"."),d_dir!L14/((1/1000)*(d_Irr!BI14)),IF(AND(d_Irr!K14=".",d_Irr!AJ14&lt;&gt;".",d_Irr!BI14="."),d_dir!L14/((1/1000)*(d_Irr!AJ14)),IF(AND(d_Irr!K14&lt;&gt;".",d_Irr!AJ14=".",d_Irr!BI14="."),d_dir!L14/((1/1000)*(d_Irr!K14)),IF(AND(d_Irr!K14=".",d_Irr!AJ14=".",d_Irr!BI14="."),d_dir!L14*1000)))))))),".")</f>
        <v>2825.7901774209381</v>
      </c>
      <c r="M14" s="70">
        <f>IFERROR(IF(AND(d_Irr!L14&lt;&gt;".",d_Irr!AK14&lt;&gt;".",d_Irr!BJ14&lt;&gt;"."),d_dir!M14/((1/1000)*(d_Irr!L14+d_Irr!AK14+d_Irr!BJ14)),IF(AND(d_Irr!L14&lt;&gt;".",d_Irr!AK14&lt;&gt;".",d_Irr!BJ14="."),d_dir!M14/((1/1000)*(d_Irr!L14+d_Irr!AK14)),IF(AND(d_Irr!L14&lt;&gt;".",d_Irr!AK14=".",d_Irr!BJ14&lt;&gt;"."),d_dir!M14/((1/1000)*(d_Irr!L14+d_Irr!BJ14)),IF(AND(d_Irr!L14=".",d_Irr!AK14&lt;&gt;".",d_Irr!BJ14&lt;&gt;"."),d_dir!M14/((1/1000)*(d_Irr!AK14+d_Irr!BJ14)),IF(AND(d_Irr!L14=".",d_Irr!AK14=".",d_Irr!BJ14&lt;&gt;"."),d_dir!M14/((1/1000)*(d_Irr!BJ14)),IF(AND(d_Irr!L14=".",d_Irr!AK14&lt;&gt;".",d_Irr!BJ14="."),d_dir!M14/((1/1000)*(d_Irr!AK14)),IF(AND(d_Irr!L14&lt;&gt;".",d_Irr!AK14=".",d_Irr!BJ14="."),d_dir!M14/((1/1000)*(d_Irr!L14)),IF(AND(d_Irr!L14=".",d_Irr!AK14=".",d_Irr!BJ14="."),d_dir!M14*1000)))))))),".")</f>
        <v>2118.6869033416915</v>
      </c>
      <c r="N14" s="70">
        <f>IFERROR(IF(AND(d_Irr!M14&lt;&gt;".",d_Irr!AL14&lt;&gt;".",d_Irr!BK14&lt;&gt;"."),d_dir!N14/((1/1000)*(d_Irr!M14+d_Irr!AL14+d_Irr!BK14)),IF(AND(d_Irr!M14&lt;&gt;".",d_Irr!AL14&lt;&gt;".",d_Irr!BK14="."),d_dir!N14/((1/1000)*(d_Irr!M14+d_Irr!AL14)),IF(AND(d_Irr!M14&lt;&gt;".",d_Irr!AL14=".",d_Irr!BK14&lt;&gt;"."),d_dir!N14/((1/1000)*(d_Irr!M14+d_Irr!BK14)),IF(AND(d_Irr!M14=".",d_Irr!AL14&lt;&gt;".",d_Irr!BK14&lt;&gt;"."),d_dir!N14/((1/1000)*(d_Irr!AL14+d_Irr!BK14)),IF(AND(d_Irr!M14=".",d_Irr!AL14=".",d_Irr!BK14&lt;&gt;"."),d_dir!N14/((1/1000)*(d_Irr!BK14)),IF(AND(d_Irr!M14=".",d_Irr!AL14&lt;&gt;".",d_Irr!BK14="."),d_dir!N14/((1/1000)*(d_Irr!AL14)),IF(AND(d_Irr!M14&lt;&gt;".",d_Irr!AL14=".",d_Irr!BK14="."),d_dir!N14/((1/1000)*(d_Irr!M14)),IF(AND(d_Irr!M14=".",d_Irr!AL14=".",d_Irr!BK14="."),d_dir!N14*1000)))))))),".")</f>
        <v>4493.9497968502219</v>
      </c>
      <c r="O14" s="70">
        <f>IFERROR(IF(AND(d_Irr!N14&lt;&gt;".",d_Irr!AM14&lt;&gt;".",d_Irr!BL14&lt;&gt;"."),d_dir!O14/((1/1000)*(d_Irr!N14+d_Irr!AM14+d_Irr!BL14)),IF(AND(d_Irr!N14&lt;&gt;".",d_Irr!AM14&lt;&gt;".",d_Irr!BL14="."),d_dir!O14/((1/1000)*(d_Irr!N14+d_Irr!AM14)),IF(AND(d_Irr!N14&lt;&gt;".",d_Irr!AM14=".",d_Irr!BL14&lt;&gt;"."),d_dir!O14/((1/1000)*(d_Irr!N14+d_Irr!BL14)),IF(AND(d_Irr!N14=".",d_Irr!AM14&lt;&gt;".",d_Irr!BL14&lt;&gt;"."),d_dir!O14/((1/1000)*(d_Irr!AM14+d_Irr!BL14)),IF(AND(d_Irr!N14=".",d_Irr!AM14=".",d_Irr!BL14&lt;&gt;"."),d_dir!O14/((1/1000)*(d_Irr!BL14)),IF(AND(d_Irr!N14=".",d_Irr!AM14&lt;&gt;".",d_Irr!BL14="."),d_dir!O14/((1/1000)*(d_Irr!AM14)),IF(AND(d_Irr!N14&lt;&gt;".",d_Irr!AM14=".",d_Irr!BL14="."),d_dir!O14/((1/1000)*(d_Irr!N14)),IF(AND(d_Irr!N14=".",d_Irr!AM14=".",d_Irr!BL14="."),d_dir!O14*1000)))))))),".")</f>
        <v>4537.8823465664573</v>
      </c>
      <c r="P14" s="70">
        <f>IFERROR(IF(AND(d_Irr!O14&lt;&gt;".",d_Irr!AN14&lt;&gt;".",d_Irr!BM14&lt;&gt;"."),d_dir!P14/((1/1000)*(d_Irr!O14+d_Irr!AN14+d_Irr!BM14)),IF(AND(d_Irr!O14&lt;&gt;".",d_Irr!AN14&lt;&gt;".",d_Irr!BM14="."),d_dir!P14/((1/1000)*(d_Irr!O14+d_Irr!AN14)),IF(AND(d_Irr!O14&lt;&gt;".",d_Irr!AN14=".",d_Irr!BM14&lt;&gt;"."),d_dir!P14/((1/1000)*(d_Irr!O14+d_Irr!BM14)),IF(AND(d_Irr!O14=".",d_Irr!AN14&lt;&gt;".",d_Irr!BM14&lt;&gt;"."),d_dir!P14/((1/1000)*(d_Irr!AN14+d_Irr!BM14)),IF(AND(d_Irr!O14=".",d_Irr!AN14=".",d_Irr!BM14&lt;&gt;"."),d_dir!P14/((1/1000)*(d_Irr!BM14)),IF(AND(d_Irr!O14=".",d_Irr!AN14&lt;&gt;".",d_Irr!BM14="."),d_dir!P14/((1/1000)*(d_Irr!AN14)),IF(AND(d_Irr!O14&lt;&gt;".",d_Irr!AN14=".",d_Irr!BM14="."),d_dir!P14/((1/1000)*(d_Irr!O14)),IF(AND(d_Irr!O14=".",d_Irr!AN14=".",d_Irr!BM14="."),d_dir!P14*1000)))))))),".")</f>
        <v>5715.6778363225012</v>
      </c>
      <c r="Q14" s="70">
        <f>IFERROR(IF(AND(d_Irr!P14&lt;&gt;".",d_Irr!AO14&lt;&gt;".",d_Irr!BN14&lt;&gt;"."),d_dir!Q14/((1/1000)*(d_Irr!P14+d_Irr!AO14+d_Irr!BN14)),IF(AND(d_Irr!P14&lt;&gt;".",d_Irr!AO14&lt;&gt;".",d_Irr!BN14="."),d_dir!Q14/((1/1000)*(d_Irr!P14+d_Irr!AO14)),IF(AND(d_Irr!P14&lt;&gt;".",d_Irr!AO14=".",d_Irr!BN14&lt;&gt;"."),d_dir!Q14/((1/1000)*(d_Irr!P14+d_Irr!BN14)),IF(AND(d_Irr!P14=".",d_Irr!AO14&lt;&gt;".",d_Irr!BN14&lt;&gt;"."),d_dir!Q14/((1/1000)*(d_Irr!AO14+d_Irr!BN14)),IF(AND(d_Irr!P14=".",d_Irr!AO14=".",d_Irr!BN14&lt;&gt;"."),d_dir!Q14/((1/1000)*(d_Irr!BN14)),IF(AND(d_Irr!P14=".",d_Irr!AO14&lt;&gt;".",d_Irr!BN14="."),d_dir!Q14/((1/1000)*(d_Irr!AO14)),IF(AND(d_Irr!P14&lt;&gt;".",d_Irr!AO14=".",d_Irr!BN14="."),d_dir!Q14/((1/1000)*(d_Irr!P14)),IF(AND(d_Irr!P14=".",d_Irr!AO14=".",d_Irr!BN14="."),d_dir!Q14*1000)))))))),".")</f>
        <v>8158.0894063410251</v>
      </c>
      <c r="R14" s="70">
        <f>IFERROR(IF(AND(d_Irr!Q14&lt;&gt;".",d_Irr!AP14&lt;&gt;".",d_Irr!BO14&lt;&gt;"."),d_dir!R14/((1/1000)*(d_Irr!Q14+d_Irr!AP14+d_Irr!BO14)),IF(AND(d_Irr!Q14&lt;&gt;".",d_Irr!AP14&lt;&gt;".",d_Irr!BO14="."),d_dir!R14/((1/1000)*(d_Irr!Q14+d_Irr!AP14)),IF(AND(d_Irr!Q14&lt;&gt;".",d_Irr!AP14=".",d_Irr!BO14&lt;&gt;"."),d_dir!R14/((1/1000)*(d_Irr!Q14+d_Irr!BO14)),IF(AND(d_Irr!Q14=".",d_Irr!AP14&lt;&gt;".",d_Irr!BO14&lt;&gt;"."),d_dir!R14/((1/1000)*(d_Irr!AP14+d_Irr!BO14)),IF(AND(d_Irr!Q14=".",d_Irr!AP14=".",d_Irr!BO14&lt;&gt;"."),d_dir!R14/((1/1000)*(d_Irr!BO14)),IF(AND(d_Irr!Q14=".",d_Irr!AP14&lt;&gt;".",d_Irr!BO14="."),d_dir!R14/((1/1000)*(d_Irr!AP14)),IF(AND(d_Irr!Q14&lt;&gt;".",d_Irr!AP14=".",d_Irr!BO14="."),d_dir!R14/((1/1000)*(d_Irr!Q14)),IF(AND(d_Irr!Q14=".",d_Irr!AP14=".",d_Irr!BO14="."),d_dir!R14*1000)))))))),".")</f>
        <v>1276.345315606349</v>
      </c>
      <c r="S14" s="70">
        <f>IFERROR(IF(AND(d_Irr!R14&lt;&gt;".",d_Irr!AQ14&lt;&gt;".",d_Irr!BP14&lt;&gt;"."),d_dir!S14/((1/1000)*(d_Irr!R14+d_Irr!AQ14+d_Irr!BP14)),IF(AND(d_Irr!R14&lt;&gt;".",d_Irr!AQ14&lt;&gt;".",d_Irr!BP14="."),d_dir!S14/((1/1000)*(d_Irr!R14+d_Irr!AQ14)),IF(AND(d_Irr!R14&lt;&gt;".",d_Irr!AQ14=".",d_Irr!BP14&lt;&gt;"."),d_dir!S14/((1/1000)*(d_Irr!R14+d_Irr!BP14)),IF(AND(d_Irr!R14=".",d_Irr!AQ14&lt;&gt;".",d_Irr!BP14&lt;&gt;"."),d_dir!S14/((1/1000)*(d_Irr!AQ14+d_Irr!BP14)),IF(AND(d_Irr!R14=".",d_Irr!AQ14=".",d_Irr!BP14&lt;&gt;"."),d_dir!S14/((1/1000)*(d_Irr!BP14)),IF(AND(d_Irr!R14=".",d_Irr!AQ14&lt;&gt;".",d_Irr!BP14="."),d_dir!S14/((1/1000)*(d_Irr!AQ14)),IF(AND(d_Irr!R14&lt;&gt;".",d_Irr!AQ14=".",d_Irr!BP14="."),d_dir!S14/((1/1000)*(d_Irr!R14)),IF(AND(d_Irr!R14=".",d_Irr!AQ14=".",d_Irr!BP14="."),d_dir!S14*1000)))))))),".")</f>
        <v>2604.2822050589493</v>
      </c>
      <c r="T14" s="70">
        <f>IFERROR(IF(AND(d_Irr!S14&lt;&gt;".",d_Irr!AR14&lt;&gt;".",d_Irr!BQ14&lt;&gt;"."),d_dir!T14/((1/1000)*(d_Irr!S14+d_Irr!AR14+d_Irr!BQ14)),IF(AND(d_Irr!S14&lt;&gt;".",d_Irr!AR14&lt;&gt;".",d_Irr!BQ14="."),d_dir!T14/((1/1000)*(d_Irr!S14+d_Irr!AR14)),IF(AND(d_Irr!S14&lt;&gt;".",d_Irr!AR14=".",d_Irr!BQ14&lt;&gt;"."),d_dir!T14/((1/1000)*(d_Irr!S14+d_Irr!BQ14)),IF(AND(d_Irr!S14=".",d_Irr!AR14&lt;&gt;".",d_Irr!BQ14&lt;&gt;"."),d_dir!T14/((1/1000)*(d_Irr!AR14+d_Irr!BQ14)),IF(AND(d_Irr!S14=".",d_Irr!AR14=".",d_Irr!BQ14&lt;&gt;"."),d_dir!T14/((1/1000)*(d_Irr!BQ14)),IF(AND(d_Irr!S14=".",d_Irr!AR14&lt;&gt;".",d_Irr!BQ14="."),d_dir!T14/((1/1000)*(d_Irr!AR14)),IF(AND(d_Irr!S14&lt;&gt;".",d_Irr!AR14=".",d_Irr!BQ14="."),d_dir!T14/((1/1000)*(d_Irr!S14)),IF(AND(d_Irr!S14=".",d_Irr!AR14=".",d_Irr!BQ14="."),d_dir!T14*1000)))))))),".")</f>
        <v>4542.1825834909569</v>
      </c>
      <c r="U14" s="70">
        <f>IFERROR(IF(AND(d_Irr!T14&lt;&gt;".",d_Irr!AS14&lt;&gt;".",d_Irr!BR14&lt;&gt;"."),d_dir!U14/((1/1000)*(d_Irr!T14+d_Irr!AS14+d_Irr!BR14)),IF(AND(d_Irr!T14&lt;&gt;".",d_Irr!AS14&lt;&gt;".",d_Irr!BR14="."),d_dir!U14/((1/1000)*(d_Irr!T14+d_Irr!AS14)),IF(AND(d_Irr!T14&lt;&gt;".",d_Irr!AS14=".",d_Irr!BR14&lt;&gt;"."),d_dir!U14/((1/1000)*(d_Irr!T14+d_Irr!BR14)),IF(AND(d_Irr!T14=".",d_Irr!AS14&lt;&gt;".",d_Irr!BR14&lt;&gt;"."),d_dir!U14/((1/1000)*(d_Irr!AS14+d_Irr!BR14)),IF(AND(d_Irr!T14=".",d_Irr!AS14=".",d_Irr!BR14&lt;&gt;"."),d_dir!U14/((1/1000)*(d_Irr!BR14)),IF(AND(d_Irr!T14=".",d_Irr!AS14&lt;&gt;".",d_Irr!BR14="."),d_dir!U14/((1/1000)*(d_Irr!AS14)),IF(AND(d_Irr!T14&lt;&gt;".",d_Irr!AS14=".",d_Irr!BR14="."),d_dir!U14/((1/1000)*(d_Irr!T14)),IF(AND(d_Irr!T14=".",d_Irr!AS14=".",d_Irr!BR14="."),d_dir!U14*1000)))))))),".")</f>
        <v>8927.362952632584</v>
      </c>
      <c r="V14" s="70">
        <f>IFERROR(IF(AND(d_Irr!U14&lt;&gt;".",d_Irr!AT14&lt;&gt;".",d_Irr!BS14&lt;&gt;"."),d_dir!V14/((1/1000)*(d_Irr!U14+d_Irr!AT14+d_Irr!BS14)),IF(AND(d_Irr!U14&lt;&gt;".",d_Irr!AT14&lt;&gt;".",d_Irr!BS14="."),d_dir!V14/((1/1000)*(d_Irr!U14+d_Irr!AT14)),IF(AND(d_Irr!U14&lt;&gt;".",d_Irr!AT14=".",d_Irr!BS14&lt;&gt;"."),d_dir!V14/((1/1000)*(d_Irr!U14+d_Irr!BS14)),IF(AND(d_Irr!U14=".",d_Irr!AT14&lt;&gt;".",d_Irr!BS14&lt;&gt;"."),d_dir!V14/((1/1000)*(d_Irr!AT14+d_Irr!BS14)),IF(AND(d_Irr!U14=".",d_Irr!AT14=".",d_Irr!BS14&lt;&gt;"."),d_dir!V14/((1/1000)*(d_Irr!BS14)),IF(AND(d_Irr!U14=".",d_Irr!AT14&lt;&gt;".",d_Irr!BS14="."),d_dir!V14/((1/1000)*(d_Irr!AT14)),IF(AND(d_Irr!U14&lt;&gt;".",d_Irr!AT14=".",d_Irr!BS14="."),d_dir!V14/((1/1000)*(d_Irr!U14)),IF(AND(d_Irr!U14=".",d_Irr!AT14=".",d_Irr!BS14="."),d_dir!V14*1000)))))))),".")</f>
        <v>1335.7771385689148</v>
      </c>
      <c r="W14" s="70">
        <f>IFERROR(IF(AND(d_Irr!V14&lt;&gt;".",d_Irr!AU14&lt;&gt;".",d_Irr!BT14&lt;&gt;"."),d_dir!W14/((1/1000)*(d_Irr!V14+d_Irr!AU14+d_Irr!BT14)),IF(AND(d_Irr!V14&lt;&gt;".",d_Irr!AU14&lt;&gt;".",d_Irr!BT14="."),d_dir!W14/((1/1000)*(d_Irr!V14+d_Irr!AU14)),IF(AND(d_Irr!V14&lt;&gt;".",d_Irr!AU14=".",d_Irr!BT14&lt;&gt;"."),d_dir!W14/((1/1000)*(d_Irr!V14+d_Irr!BT14)),IF(AND(d_Irr!V14=".",d_Irr!AU14&lt;&gt;".",d_Irr!BT14&lt;&gt;"."),d_dir!W14/((1/1000)*(d_Irr!AU14+d_Irr!BT14)),IF(AND(d_Irr!V14=".",d_Irr!AU14=".",d_Irr!BT14&lt;&gt;"."),d_dir!W14/((1/1000)*(d_Irr!BT14)),IF(AND(d_Irr!V14=".",d_Irr!AU14&lt;&gt;".",d_Irr!BT14="."),d_dir!W14/((1/1000)*(d_Irr!AU14)),IF(AND(d_Irr!V14&lt;&gt;".",d_Irr!AU14=".",d_Irr!BT14="."),d_dir!W14/((1/1000)*(d_Irr!V14)),IF(AND(d_Irr!V14=".",d_Irr!AU14=".",d_Irr!BT14="."),d_dir!W14*1000)))))))),".")</f>
        <v>2718.5397715112217</v>
      </c>
      <c r="X14" s="70">
        <f>IFERROR(IF(AND(d_Irr!W14&lt;&gt;".",d_Irr!AV14&lt;&gt;".",d_Irr!BU14&lt;&gt;"."),d_dir!X14/((1/1000)*(d_Irr!W14+d_Irr!AV14+d_Irr!BU14)),IF(AND(d_Irr!W14&lt;&gt;".",d_Irr!AV14&lt;&gt;".",d_Irr!BU14="."),d_dir!X14/((1/1000)*(d_Irr!W14+d_Irr!AV14)),IF(AND(d_Irr!W14&lt;&gt;".",d_Irr!AV14=".",d_Irr!BU14&lt;&gt;"."),d_dir!X14/((1/1000)*(d_Irr!W14+d_Irr!BU14)),IF(AND(d_Irr!W14=".",d_Irr!AV14&lt;&gt;".",d_Irr!BU14&lt;&gt;"."),d_dir!X14/((1/1000)*(d_Irr!AV14+d_Irr!BU14)),IF(AND(d_Irr!W14=".",d_Irr!AV14=".",d_Irr!BU14&lt;&gt;"."),d_dir!X14/((1/1000)*(d_Irr!BU14)),IF(AND(d_Irr!W14=".",d_Irr!AV14&lt;&gt;".",d_Irr!BU14="."),d_dir!X14/((1/1000)*(d_Irr!AV14)),IF(AND(d_Irr!W14&lt;&gt;".",d_Irr!AV14=".",d_Irr!BU14="."),d_dir!X14/((1/1000)*(d_Irr!W14)),IF(AND(d_Irr!W14=".",d_Irr!AV14=".",d_Irr!BU14="."),d_dir!X14*1000)))))))),".")</f>
        <v>2920.5931058760316</v>
      </c>
      <c r="Y14" s="70">
        <f>IFERROR(IF(AND(d_Irr!X14&lt;&gt;".",d_Irr!AW14&lt;&gt;".",d_Irr!BV14&lt;&gt;"."),d_dir!Y14/((1/1000)*(d_Irr!X14+d_Irr!AW14+d_Irr!BV14)),IF(AND(d_Irr!X14&lt;&gt;".",d_Irr!AW14&lt;&gt;".",d_Irr!BV14="."),d_dir!Y14/((1/1000)*(d_Irr!X14+d_Irr!AW14)),IF(AND(d_Irr!X14&lt;&gt;".",d_Irr!AW14=".",d_Irr!BV14&lt;&gt;"."),d_dir!Y14/((1/1000)*(d_Irr!X14+d_Irr!BV14)),IF(AND(d_Irr!X14=".",d_Irr!AW14&lt;&gt;".",d_Irr!BV14&lt;&gt;"."),d_dir!Y14/((1/1000)*(d_Irr!AW14+d_Irr!BV14)),IF(AND(d_Irr!X14=".",d_Irr!AW14=".",d_Irr!BV14&lt;&gt;"."),d_dir!Y14/((1/1000)*(d_Irr!BV14)),IF(AND(d_Irr!X14=".",d_Irr!AW14&lt;&gt;".",d_Irr!BV14="."),d_dir!Y14/((1/1000)*(d_Irr!AW14)),IF(AND(d_Irr!X14&lt;&gt;".",d_Irr!AW14=".",d_Irr!BV14="."),d_dir!Y14/((1/1000)*(d_Irr!X14)),IF(AND(d_Irr!X14=".",d_Irr!AW14=".",d_Irr!BV14="."),d_dir!Y14*1000)))))))),".")</f>
        <v>3888.309316379768</v>
      </c>
      <c r="Z14" s="70">
        <f>IFERROR(IF(AND(d_Irr!Y14&lt;&gt;".",d_Irr!AX14&lt;&gt;".",d_Irr!BW14&lt;&gt;"."),d_dir!Z14/((1/1000)*(d_Irr!Y14+d_Irr!AX14+d_Irr!BW14)),IF(AND(d_Irr!Y14&lt;&gt;".",d_Irr!AX14&lt;&gt;".",d_Irr!BW14="."),d_dir!Z14/((1/1000)*(d_Irr!Y14+d_Irr!AX14)),IF(AND(d_Irr!Y14&lt;&gt;".",d_Irr!AX14=".",d_Irr!BW14&lt;&gt;"."),d_dir!Z14/((1/1000)*(d_Irr!Y14+d_Irr!BW14)),IF(AND(d_Irr!Y14=".",d_Irr!AX14&lt;&gt;".",d_Irr!BW14&lt;&gt;"."),d_dir!Z14/((1/1000)*(d_Irr!AX14+d_Irr!BW14)),IF(AND(d_Irr!Y14=".",d_Irr!AX14=".",d_Irr!BW14&lt;&gt;"."),d_dir!Z14/((1/1000)*(d_Irr!BW14)),IF(AND(d_Irr!Y14=".",d_Irr!AX14&lt;&gt;".",d_Irr!BW14="."),d_dir!Z14/((1/1000)*(d_Irr!AX14)),IF(AND(d_Irr!Y14&lt;&gt;".",d_Irr!AX14=".",d_Irr!BW14="."),d_dir!Z14/((1/1000)*(d_Irr!Y14)),IF(AND(d_Irr!Y14=".",d_Irr!AX14=".",d_Irr!BW14="."),d_dir!Z14*1000)))))))),".")</f>
        <v>2058.0772489244105</v>
      </c>
      <c r="AA14" s="70">
        <f>IFERROR(IF(AND(d_Irr!Z14&lt;&gt;".",d_Irr!AY14&lt;&gt;".",d_Irr!BX14&lt;&gt;"."),d_dir!AA14/((1/1000)*(d_Irr!Z14+d_Irr!AY14+d_Irr!BX14)),IF(AND(d_Irr!Z14&lt;&gt;".",d_Irr!AY14&lt;&gt;".",d_Irr!BX14="."),d_dir!AA14/((1/1000)*(d_Irr!Z14+d_Irr!AY14)),IF(AND(d_Irr!Z14&lt;&gt;".",d_Irr!AY14=".",d_Irr!BX14&lt;&gt;"."),d_dir!AA14/((1/1000)*(d_Irr!Z14+d_Irr!BX14)),IF(AND(d_Irr!Z14=".",d_Irr!AY14&lt;&gt;".",d_Irr!BX14&lt;&gt;"."),d_dir!AA14/((1/1000)*(d_Irr!AY14+d_Irr!BX14)),IF(AND(d_Irr!Z14=".",d_Irr!AY14=".",d_Irr!BX14&lt;&gt;"."),d_dir!AA14/((1/1000)*(d_Irr!BX14)),IF(AND(d_Irr!Z14=".",d_Irr!AY14&lt;&gt;".",d_Irr!BX14="."),d_dir!AA14/((1/1000)*(d_Irr!AY14)),IF(AND(d_Irr!Z14&lt;&gt;".",d_Irr!AY14=".",d_Irr!BX14="."),d_dir!AA14/((1/1000)*(d_Irr!Z14)),IF(AND(d_Irr!Z14=".",d_Irr!AY14=".",d_Irr!BX14="."),d_dir!AA14*1000)))))))),".")</f>
        <v>623.79784099183951</v>
      </c>
      <c r="AB14" s="70">
        <f>IFERROR(IF(AND(d_Irr!AA14&lt;&gt;".",d_Irr!AZ14&lt;&gt;".",d_Irr!BY14&lt;&gt;"."),d_dir!AB14/((1/1000)*(d_Irr!AA14+d_Irr!AZ14+d_Irr!BY14)),IF(AND(d_Irr!AA14&lt;&gt;".",d_Irr!AZ14&lt;&gt;".",d_Irr!BY14="."),d_dir!AB14/((1/1000)*(d_Irr!AA14+d_Irr!AZ14)),IF(AND(d_Irr!AA14&lt;&gt;".",d_Irr!AZ14=".",d_Irr!BY14&lt;&gt;"."),d_dir!AB14/((1/1000)*(d_Irr!AA14+d_Irr!BY14)),IF(AND(d_Irr!AA14=".",d_Irr!AZ14&lt;&gt;".",d_Irr!BY14&lt;&gt;"."),d_dir!AB14/((1/1000)*(d_Irr!AZ14+d_Irr!BY14)),IF(AND(d_Irr!AA14=".",d_Irr!AZ14=".",d_Irr!BY14&lt;&gt;"."),d_dir!AB14/((1/1000)*(d_Irr!BY14)),IF(AND(d_Irr!AA14=".",d_Irr!AZ14&lt;&gt;".",d_Irr!BY14="."),d_dir!AB14/((1/1000)*(d_Irr!AZ14)),IF(AND(d_Irr!AA14&lt;&gt;".",d_Irr!AZ14=".",d_Irr!BY14="."),d_dir!AB14/((1/1000)*(d_Irr!AA14)),IF(AND(d_Irr!AA14=".",d_Irr!AZ14=".",d_Irr!BY14="."),d_dir!AB14*1000)))))))),".")</f>
        <v>715.43122527245646</v>
      </c>
      <c r="AC14" s="70">
        <f t="shared" si="0"/>
        <v>102.57191166893995</v>
      </c>
      <c r="AD14" s="70">
        <f>IFERROR(IF(AND(d_Irr!C14&lt;&gt;".",d_Irr!AB14&lt;&gt;".",d_Irr!BA14&lt;&gt;"."),d_dir!AD14/((1/1000)*(d_Irr!C14+d_Irr!AB14+d_Irr!BA14)),IF(AND(d_Irr!C14&lt;&gt;".",d_Irr!AB14&lt;&gt;".",d_Irr!BA14="."),d_dir!AD14/((1/1000)*(d_Irr!C14+d_Irr!AB14)),IF(AND(d_Irr!C14&lt;&gt;".",d_Irr!AB14=".",d_Irr!BA14&lt;&gt;"."),d_dir!AD14/((1/1000)*(d_Irr!C14+d_Irr!BA14)),IF(AND(d_Irr!C14=".",d_Irr!AB14&lt;&gt;".",d_Irr!BA14&lt;&gt;"."),d_dir!AD14/((1/1000)*(d_Irr!AB14+d_Irr!BA14)),IF(AND(d_Irr!C14=".",d_Irr!AB14=".",d_Irr!BA14&lt;&gt;"."),d_dir!AD14/((1/1000)*(d_Irr!BA14)),IF(AND(d_Irr!C14=".",d_Irr!AB14&lt;&gt;".",d_Irr!BA14="."),d_dir!AD14/((1/1000)*(d_Irr!AB14)),IF(AND(d_Irr!C14&lt;&gt;".",d_Irr!AB14=".",d_Irr!BA14="."),d_dir!AD14/((1/1000)*(d_Irr!C14)),IF(AND(d_Irr!C14=".",d_Irr!AB14=".",d_Irr!BA14="."),d_dir!AD14*1000)))))))),".")</f>
        <v>1728.6564689294055</v>
      </c>
      <c r="AE14" s="70">
        <f>IFERROR(IF(AND(d_Irr!D14&lt;&gt;".",d_Irr!AC14&lt;&gt;".",d_Irr!BB14&lt;&gt;"."),d_dir!AE14/((1/1000)*(d_Irr!D14+d_Irr!AC14+d_Irr!BB14)),IF(AND(d_Irr!D14&lt;&gt;".",d_Irr!AC14&lt;&gt;".",d_Irr!BB14="."),d_dir!AE14/((1/1000)*(d_Irr!D14+d_Irr!AC14)),IF(AND(d_Irr!D14&lt;&gt;".",d_Irr!AC14=".",d_Irr!BB14&lt;&gt;"."),d_dir!AE14/((1/1000)*(d_Irr!D14+d_Irr!BB14)),IF(AND(d_Irr!D14=".",d_Irr!AC14&lt;&gt;".",d_Irr!BB14&lt;&gt;"."),d_dir!AE14/((1/1000)*(d_Irr!AC14+d_Irr!BB14)),IF(AND(d_Irr!D14=".",d_Irr!AC14=".",d_Irr!BB14&lt;&gt;"."),d_dir!AE14/((1/1000)*(d_Irr!BB14)),IF(AND(d_Irr!D14=".",d_Irr!AC14&lt;&gt;".",d_Irr!BB14="."),d_dir!AE14/((1/1000)*(d_Irr!AC14)),IF(AND(d_Irr!D14&lt;&gt;".",d_Irr!AC14=".",d_Irr!BB14="."),d_dir!AE14/((1/1000)*(d_Irr!D14)),IF(AND(d_Irr!D14=".",d_Irr!AC14=".",d_Irr!BB14="."),d_dir!AE14*1000)))))))),".")</f>
        <v>4074.4685663353371</v>
      </c>
      <c r="AF14" s="70">
        <f>IFERROR(IF(AND(d_Irr!E14&lt;&gt;".",d_Irr!AD14&lt;&gt;".",d_Irr!BC14&lt;&gt;"."),d_dir!AF14/((1/1000)*(d_Irr!E14+d_Irr!AD14+d_Irr!BC14)),IF(AND(d_Irr!E14&lt;&gt;".",d_Irr!AD14&lt;&gt;".",d_Irr!BC14="."),d_dir!AF14/((1/1000)*(d_Irr!E14+d_Irr!AD14)),IF(AND(d_Irr!E14&lt;&gt;".",d_Irr!AD14=".",d_Irr!BC14&lt;&gt;"."),d_dir!AF14/((1/1000)*(d_Irr!E14+d_Irr!BC14)),IF(AND(d_Irr!E14=".",d_Irr!AD14&lt;&gt;".",d_Irr!BC14&lt;&gt;"."),d_dir!AF14/((1/1000)*(d_Irr!AD14+d_Irr!BC14)),IF(AND(d_Irr!E14=".",d_Irr!AD14=".",d_Irr!BC14&lt;&gt;"."),d_dir!AF14/((1/1000)*(d_Irr!BC14)),IF(AND(d_Irr!E14=".",d_Irr!AD14&lt;&gt;".",d_Irr!BC14="."),d_dir!AF14/((1/1000)*(d_Irr!AD14)),IF(AND(d_Irr!E14&lt;&gt;".",d_Irr!AD14=".",d_Irr!BC14="."),d_dir!AF14/((1/1000)*(d_Irr!E14)),IF(AND(d_Irr!E14=".",d_Irr!AD14=".",d_Irr!BC14="."),d_dir!AF14*1000)))))))),".")</f>
        <v>4846.523575300881</v>
      </c>
      <c r="AG14" s="70">
        <f>IFERROR(IF(AND(d_Irr!F14&lt;&gt;".",d_Irr!AE14&lt;&gt;".",d_Irr!BD14&lt;&gt;"."),d_dir!AG14/((1/1000)*(d_Irr!F14+d_Irr!AE14+d_Irr!BD14)),IF(AND(d_Irr!F14&lt;&gt;".",d_Irr!AE14&lt;&gt;".",d_Irr!BD14="."),d_dir!AG14/((1/1000)*(d_Irr!F14+d_Irr!AE14)),IF(AND(d_Irr!F14&lt;&gt;".",d_Irr!AE14=".",d_Irr!BD14&lt;&gt;"."),d_dir!AG14/((1/1000)*(d_Irr!F14+d_Irr!BD14)),IF(AND(d_Irr!F14=".",d_Irr!AE14&lt;&gt;".",d_Irr!BD14&lt;&gt;"."),d_dir!AG14/((1/1000)*(d_Irr!AE14+d_Irr!BD14)),IF(AND(d_Irr!F14=".",d_Irr!AE14=".",d_Irr!BD14&lt;&gt;"."),d_dir!AG14/((1/1000)*(d_Irr!BD14)),IF(AND(d_Irr!F14=".",d_Irr!AE14&lt;&gt;".",d_Irr!BD14="."),d_dir!AG14/((1/1000)*(d_Irr!AE14)),IF(AND(d_Irr!F14&lt;&gt;".",d_Irr!AE14=".",d_Irr!BD14="."),d_dir!AG14/((1/1000)*(d_Irr!F14)),IF(AND(d_Irr!F14=".",d_Irr!AE14=".",d_Irr!BD14="."),d_dir!AG14*1000)))))))),".")</f>
        <v>4352.8382189499271</v>
      </c>
      <c r="AH14" s="70">
        <f>IFERROR(IF(AND(d_Irr!G14&lt;&gt;".",d_Irr!AF14&lt;&gt;".",d_Irr!BE14&lt;&gt;"."),d_dir!AH14/((1/1000)*(d_Irr!G14+d_Irr!AF14+d_Irr!BE14)),IF(AND(d_Irr!G14&lt;&gt;".",d_Irr!AF14&lt;&gt;".",d_Irr!BE14="."),d_dir!AH14/((1/1000)*(d_Irr!G14+d_Irr!AF14)),IF(AND(d_Irr!G14&lt;&gt;".",d_Irr!AF14=".",d_Irr!BE14&lt;&gt;"."),d_dir!AH14/((1/1000)*(d_Irr!G14+d_Irr!BE14)),IF(AND(d_Irr!G14=".",d_Irr!AF14&lt;&gt;".",d_Irr!BE14&lt;&gt;"."),d_dir!AH14/((1/1000)*(d_Irr!AF14+d_Irr!BE14)),IF(AND(d_Irr!G14=".",d_Irr!AF14=".",d_Irr!BE14&lt;&gt;"."),d_dir!AH14/((1/1000)*(d_Irr!BE14)),IF(AND(d_Irr!G14=".",d_Irr!AF14&lt;&gt;".",d_Irr!BE14="."),d_dir!AH14/((1/1000)*(d_Irr!AF14)),IF(AND(d_Irr!G14&lt;&gt;".",d_Irr!AF14=".",d_Irr!BE14="."),d_dir!AH14/((1/1000)*(d_Irr!G14)),IF(AND(d_Irr!G14=".",d_Irr!AF14=".",d_Irr!BE14="."),d_dir!AH14*1000)))))))),".")</f>
        <v>4644.9625253507902</v>
      </c>
      <c r="AI14" s="70">
        <f>IFERROR(IF(AND(d_Irr!H14&lt;&gt;".",d_Irr!AG14&lt;&gt;".",d_Irr!BF14&lt;&gt;"."),d_dir!AI14/((1/1000)*(d_Irr!H14+d_Irr!AG14+d_Irr!BF14)),IF(AND(d_Irr!H14&lt;&gt;".",d_Irr!AG14&lt;&gt;".",d_Irr!BF14="."),d_dir!AI14/((1/1000)*(d_Irr!H14+d_Irr!AG14)),IF(AND(d_Irr!H14&lt;&gt;".",d_Irr!AG14=".",d_Irr!BF14&lt;&gt;"."),d_dir!AI14/((1/1000)*(d_Irr!H14+d_Irr!BF14)),IF(AND(d_Irr!H14=".",d_Irr!AG14&lt;&gt;".",d_Irr!BF14&lt;&gt;"."),d_dir!AI14/((1/1000)*(d_Irr!AG14+d_Irr!BF14)),IF(AND(d_Irr!H14=".",d_Irr!AG14=".",d_Irr!BF14&lt;&gt;"."),d_dir!AI14/((1/1000)*(d_Irr!BF14)),IF(AND(d_Irr!H14=".",d_Irr!AG14&lt;&gt;".",d_Irr!BF14="."),d_dir!AI14/((1/1000)*(d_Irr!AG14)),IF(AND(d_Irr!H14&lt;&gt;".",d_Irr!AG14=".",d_Irr!BF14="."),d_dir!AI14/((1/1000)*(d_Irr!H14)),IF(AND(d_Irr!H14=".",d_Irr!AG14=".",d_Irr!BF14="."),d_dir!AI14*1000)))))))),".")</f>
        <v>2110.7585389303858</v>
      </c>
      <c r="AJ14" s="70">
        <f>IFERROR(IF(AND(d_Irr!I14&lt;&gt;".",d_Irr!AH14&lt;&gt;".",d_Irr!BG14&lt;&gt;"."),d_dir!AJ14/((1/1000)*(d_Irr!I14+d_Irr!AH14+d_Irr!BG14)),IF(AND(d_Irr!I14&lt;&gt;".",d_Irr!AH14&lt;&gt;".",d_Irr!BG14="."),d_dir!AJ14/((1/1000)*(d_Irr!I14+d_Irr!AH14)),IF(AND(d_Irr!I14&lt;&gt;".",d_Irr!AH14=".",d_Irr!BG14&lt;&gt;"."),d_dir!AJ14/((1/1000)*(d_Irr!I14+d_Irr!BG14)),IF(AND(d_Irr!I14=".",d_Irr!AH14&lt;&gt;".",d_Irr!BG14&lt;&gt;"."),d_dir!AJ14/((1/1000)*(d_Irr!AH14+d_Irr!BG14)),IF(AND(d_Irr!I14=".",d_Irr!AH14=".",d_Irr!BG14&lt;&gt;"."),d_dir!AJ14/((1/1000)*(d_Irr!BG14)),IF(AND(d_Irr!I14=".",d_Irr!AH14&lt;&gt;".",d_Irr!BG14="."),d_dir!AJ14/((1/1000)*(d_Irr!AH14)),IF(AND(d_Irr!I14&lt;&gt;".",d_Irr!AH14=".",d_Irr!BG14="."),d_dir!AJ14/((1/1000)*(d_Irr!I14)),IF(AND(d_Irr!I14=".",d_Irr!AH14=".",d_Irr!BG14="."),d_dir!AJ14*1000)))))))),".")</f>
        <v>6435.9258950178564</v>
      </c>
      <c r="AK14" s="70">
        <f>IFERROR(IF(AND(d_Irr!J14&lt;&gt;".",d_Irr!AI14&lt;&gt;".",d_Irr!BH14&lt;&gt;"."),d_dir!AK14/((1/1000)*(d_Irr!J14+d_Irr!AI14+d_Irr!BH14)),IF(AND(d_Irr!J14&lt;&gt;".",d_Irr!AI14&lt;&gt;".",d_Irr!BH14="."),d_dir!AK14/((1/1000)*(d_Irr!J14+d_Irr!AI14)),IF(AND(d_Irr!J14&lt;&gt;".",d_Irr!AI14=".",d_Irr!BH14&lt;&gt;"."),d_dir!AK14/((1/1000)*(d_Irr!J14+d_Irr!BH14)),IF(AND(d_Irr!J14=".",d_Irr!AI14&lt;&gt;".",d_Irr!BH14&lt;&gt;"."),d_dir!AK14/((1/1000)*(d_Irr!AI14+d_Irr!BH14)),IF(AND(d_Irr!J14=".",d_Irr!AI14=".",d_Irr!BH14&lt;&gt;"."),d_dir!AK14/((1/1000)*(d_Irr!BH14)),IF(AND(d_Irr!J14=".",d_Irr!AI14&lt;&gt;".",d_Irr!BH14="."),d_dir!AK14/((1/1000)*(d_Irr!AI14)),IF(AND(d_Irr!J14&lt;&gt;".",d_Irr!AI14=".",d_Irr!BH14="."),d_dir!AK14/((1/1000)*(d_Irr!J14)),IF(AND(d_Irr!J14=".",d_Irr!AI14=".",d_Irr!BH14="."),d_dir!AK14*1000)))))))),".")</f>
        <v>501.15622152318753</v>
      </c>
      <c r="AL14" s="70">
        <f>IFERROR(IF(AND(d_Irr!K14&lt;&gt;".",d_Irr!AJ14&lt;&gt;".",d_Irr!BI14&lt;&gt;"."),d_dir!AL14/((1/1000)*(d_Irr!K14+d_Irr!AJ14+d_Irr!BI14)),IF(AND(d_Irr!K14&lt;&gt;".",d_Irr!AJ14&lt;&gt;".",d_Irr!BI14="."),d_dir!AL14/((1/1000)*(d_Irr!K14+d_Irr!AJ14)),IF(AND(d_Irr!K14&lt;&gt;".",d_Irr!AJ14=".",d_Irr!BI14&lt;&gt;"."),d_dir!AL14/((1/1000)*(d_Irr!K14+d_Irr!BI14)),IF(AND(d_Irr!K14=".",d_Irr!AJ14&lt;&gt;".",d_Irr!BI14&lt;&gt;"."),d_dir!AL14/((1/1000)*(d_Irr!AJ14+d_Irr!BI14)),IF(AND(d_Irr!K14=".",d_Irr!AJ14=".",d_Irr!BI14&lt;&gt;"."),d_dir!AL14/((1/1000)*(d_Irr!BI14)),IF(AND(d_Irr!K14=".",d_Irr!AJ14&lt;&gt;".",d_Irr!BI14="."),d_dir!AL14/((1/1000)*(d_Irr!AJ14)),IF(AND(d_Irr!K14&lt;&gt;".",d_Irr!AJ14=".",d_Irr!BI14="."),d_dir!AL14/((1/1000)*(d_Irr!K14)),IF(AND(d_Irr!K14=".",d_Irr!AJ14=".",d_Irr!BI14="."),d_dir!AL14*1000)))))))),".")</f>
        <v>1959.947591692563</v>
      </c>
      <c r="AM14" s="70">
        <f>IFERROR(IF(AND(d_Irr!L14&lt;&gt;".",d_Irr!AK14&lt;&gt;".",d_Irr!BJ14&lt;&gt;"."),d_dir!AM14/((1/1000)*(d_Irr!L14+d_Irr!AK14+d_Irr!BJ14)),IF(AND(d_Irr!L14&lt;&gt;".",d_Irr!AK14&lt;&gt;".",d_Irr!BJ14="."),d_dir!AM14/((1/1000)*(d_Irr!L14+d_Irr!AK14)),IF(AND(d_Irr!L14&lt;&gt;".",d_Irr!AK14=".",d_Irr!BJ14&lt;&gt;"."),d_dir!AM14/((1/1000)*(d_Irr!L14+d_Irr!BJ14)),IF(AND(d_Irr!L14=".",d_Irr!AK14&lt;&gt;".",d_Irr!BJ14&lt;&gt;"."),d_dir!AM14/((1/1000)*(d_Irr!AK14+d_Irr!BJ14)),IF(AND(d_Irr!L14=".",d_Irr!AK14=".",d_Irr!BJ14&lt;&gt;"."),d_dir!AM14/((1/1000)*(d_Irr!BJ14)),IF(AND(d_Irr!L14=".",d_Irr!AK14&lt;&gt;".",d_Irr!BJ14="."),d_dir!AM14/((1/1000)*(d_Irr!AK14)),IF(AND(d_Irr!L14&lt;&gt;".",d_Irr!AK14=".",d_Irr!BJ14="."),d_dir!AM14/((1/1000)*(d_Irr!L14)),IF(AND(d_Irr!L14=".",d_Irr!AK14=".",d_Irr!BJ14="."),d_dir!AM14*1000)))))))),".")</f>
        <v>2977.0333628995463</v>
      </c>
      <c r="AN14" s="70">
        <f>IFERROR(IF(AND(d_Irr!M14&lt;&gt;".",d_Irr!AL14&lt;&gt;".",d_Irr!BK14&lt;&gt;"."),d_dir!AN14/((1/1000)*(d_Irr!M14+d_Irr!AL14+d_Irr!BK14)),IF(AND(d_Irr!M14&lt;&gt;".",d_Irr!AL14&lt;&gt;".",d_Irr!BK14="."),d_dir!AN14/((1/1000)*(d_Irr!M14+d_Irr!AL14)),IF(AND(d_Irr!M14&lt;&gt;".",d_Irr!AL14=".",d_Irr!BK14&lt;&gt;"."),d_dir!AN14/((1/1000)*(d_Irr!M14+d_Irr!BK14)),IF(AND(d_Irr!M14=".",d_Irr!AL14&lt;&gt;".",d_Irr!BK14&lt;&gt;"."),d_dir!AN14/((1/1000)*(d_Irr!AL14+d_Irr!BK14)),IF(AND(d_Irr!M14=".",d_Irr!AL14=".",d_Irr!BK14&lt;&gt;"."),d_dir!AN14/((1/1000)*(d_Irr!BK14)),IF(AND(d_Irr!M14=".",d_Irr!AL14&lt;&gt;".",d_Irr!BK14="."),d_dir!AN14/((1/1000)*(d_Irr!AL14)),IF(AND(d_Irr!M14&lt;&gt;".",d_Irr!AL14=".",d_Irr!BK14="."),d_dir!AN14/((1/1000)*(d_Irr!M14)),IF(AND(d_Irr!M14=".",d_Irr!AL14=".",d_Irr!BK14="."),d_dir!AN14*1000)))))))),".")</f>
        <v>4116.347454670472</v>
      </c>
      <c r="AO14" s="70">
        <f>IFERROR(IF(AND(d_Irr!N14&lt;&gt;".",d_Irr!AM14&lt;&gt;".",d_Irr!BL14&lt;&gt;"."),d_dir!AO14/((1/1000)*(d_Irr!N14+d_Irr!AM14+d_Irr!BL14)),IF(AND(d_Irr!N14&lt;&gt;".",d_Irr!AM14&lt;&gt;".",d_Irr!BL14="."),d_dir!AO14/((1/1000)*(d_Irr!N14+d_Irr!AM14)),IF(AND(d_Irr!N14&lt;&gt;".",d_Irr!AM14=".",d_Irr!BL14&lt;&gt;"."),d_dir!AO14/((1/1000)*(d_Irr!N14+d_Irr!BL14)),IF(AND(d_Irr!N14=".",d_Irr!AM14&lt;&gt;".",d_Irr!BL14&lt;&gt;"."),d_dir!AO14/((1/1000)*(d_Irr!AM14+d_Irr!BL14)),IF(AND(d_Irr!N14=".",d_Irr!AM14=".",d_Irr!BL14&lt;&gt;"."),d_dir!AO14/((1/1000)*(d_Irr!BL14)),IF(AND(d_Irr!N14=".",d_Irr!AM14&lt;&gt;".",d_Irr!BL14="."),d_dir!AO14/((1/1000)*(d_Irr!AM14)),IF(AND(d_Irr!N14&lt;&gt;".",d_Irr!AM14=".",d_Irr!BL14="."),d_dir!AO14/((1/1000)*(d_Irr!N14)),IF(AND(d_Irr!N14=".",d_Irr!AM14=".",d_Irr!BL14="."),d_dir!AO14*1000)))))))),".")</f>
        <v>4403.3637728802896</v>
      </c>
      <c r="AP14" s="70">
        <f>IFERROR(IF(AND(d_Irr!O14&lt;&gt;".",d_Irr!AN14&lt;&gt;".",d_Irr!BM14&lt;&gt;"."),d_dir!AP14/((1/1000)*(d_Irr!O14+d_Irr!AN14+d_Irr!BM14)),IF(AND(d_Irr!O14&lt;&gt;".",d_Irr!AN14&lt;&gt;".",d_Irr!BM14="."),d_dir!AP14/((1/1000)*(d_Irr!O14+d_Irr!AN14)),IF(AND(d_Irr!O14&lt;&gt;".",d_Irr!AN14=".",d_Irr!BM14&lt;&gt;"."),d_dir!AP14/((1/1000)*(d_Irr!O14+d_Irr!BM14)),IF(AND(d_Irr!O14=".",d_Irr!AN14&lt;&gt;".",d_Irr!BM14&lt;&gt;"."),d_dir!AP14/((1/1000)*(d_Irr!AN14+d_Irr!BM14)),IF(AND(d_Irr!O14=".",d_Irr!AN14=".",d_Irr!BM14&lt;&gt;"."),d_dir!AP14/((1/1000)*(d_Irr!BM14)),IF(AND(d_Irr!O14=".",d_Irr!AN14&lt;&gt;".",d_Irr!BM14="."),d_dir!AP14/((1/1000)*(d_Irr!AN14)),IF(AND(d_Irr!O14&lt;&gt;".",d_Irr!AN14=".",d_Irr!BM14="."),d_dir!AP14/((1/1000)*(d_Irr!O14)),IF(AND(d_Irr!O14=".",d_Irr!AN14=".",d_Irr!BM14="."),d_dir!AP14*1000)))))))),".")</f>
        <v>5363.2984321015183</v>
      </c>
      <c r="AQ14" s="70">
        <f>IFERROR(IF(AND(d_Irr!P14&lt;&gt;".",d_Irr!AO14&lt;&gt;".",d_Irr!BN14&lt;&gt;"."),d_dir!AQ14/((1/1000)*(d_Irr!P14+d_Irr!AO14+d_Irr!BN14)),IF(AND(d_Irr!P14&lt;&gt;".",d_Irr!AO14&lt;&gt;".",d_Irr!BN14="."),d_dir!AQ14/((1/1000)*(d_Irr!P14+d_Irr!AO14)),IF(AND(d_Irr!P14&lt;&gt;".",d_Irr!AO14=".",d_Irr!BN14&lt;&gt;"."),d_dir!AQ14/((1/1000)*(d_Irr!P14+d_Irr!BN14)),IF(AND(d_Irr!P14=".",d_Irr!AO14&lt;&gt;".",d_Irr!BN14&lt;&gt;"."),d_dir!AQ14/((1/1000)*(d_Irr!AO14+d_Irr!BN14)),IF(AND(d_Irr!P14=".",d_Irr!AO14=".",d_Irr!BN14&lt;&gt;"."),d_dir!AQ14/((1/1000)*(d_Irr!BN14)),IF(AND(d_Irr!P14=".",d_Irr!AO14&lt;&gt;".",d_Irr!BN14="."),d_dir!AQ14/((1/1000)*(d_Irr!AO14)),IF(AND(d_Irr!P14&lt;&gt;".",d_Irr!AO14=".",d_Irr!BN14="."),d_dir!AQ14/((1/1000)*(d_Irr!P14)),IF(AND(d_Irr!P14=".",d_Irr!AO14=".",d_Irr!BN14="."),d_dir!AQ14*1000)))))))),".")</f>
        <v>6006.0705896580539</v>
      </c>
      <c r="AR14" s="70">
        <f>IFERROR(IF(AND(d_Irr!Q14&lt;&gt;".",d_Irr!AP14&lt;&gt;".",d_Irr!BO14&lt;&gt;"."),d_dir!AR14/((1/1000)*(d_Irr!Q14+d_Irr!AP14+d_Irr!BO14)),IF(AND(d_Irr!Q14&lt;&gt;".",d_Irr!AP14&lt;&gt;".",d_Irr!BO14="."),d_dir!AR14/((1/1000)*(d_Irr!Q14+d_Irr!AP14)),IF(AND(d_Irr!Q14&lt;&gt;".",d_Irr!AP14=".",d_Irr!BO14&lt;&gt;"."),d_dir!AR14/((1/1000)*(d_Irr!Q14+d_Irr!BO14)),IF(AND(d_Irr!Q14=".",d_Irr!AP14&lt;&gt;".",d_Irr!BO14&lt;&gt;"."),d_dir!AR14/((1/1000)*(d_Irr!AP14+d_Irr!BO14)),IF(AND(d_Irr!Q14=".",d_Irr!AP14=".",d_Irr!BO14&lt;&gt;"."),d_dir!AR14/((1/1000)*(d_Irr!BO14)),IF(AND(d_Irr!Q14=".",d_Irr!AP14&lt;&gt;".",d_Irr!BO14="."),d_dir!AR14/((1/1000)*(d_Irr!AP14)),IF(AND(d_Irr!Q14&lt;&gt;".",d_Irr!AP14=".",d_Irr!BO14="."),d_dir!AR14/((1/1000)*(d_Irr!Q14)),IF(AND(d_Irr!Q14=".",d_Irr!AP14=".",d_Irr!BO14="."),d_dir!AR14*1000)))))))),".")</f>
        <v>1426.840972904924</v>
      </c>
      <c r="AS14" s="70">
        <f>IFERROR(IF(AND(d_Irr!R14&lt;&gt;".",d_Irr!AQ14&lt;&gt;".",d_Irr!BP14&lt;&gt;"."),d_dir!AS14/((1/1000)*(d_Irr!R14+d_Irr!AQ14+d_Irr!BP14)),IF(AND(d_Irr!R14&lt;&gt;".",d_Irr!AQ14&lt;&gt;".",d_Irr!BP14="."),d_dir!AS14/((1/1000)*(d_Irr!R14+d_Irr!AQ14)),IF(AND(d_Irr!R14&lt;&gt;".",d_Irr!AQ14=".",d_Irr!BP14&lt;&gt;"."),d_dir!AS14/((1/1000)*(d_Irr!R14+d_Irr!BP14)),IF(AND(d_Irr!R14=".",d_Irr!AQ14&lt;&gt;".",d_Irr!BP14&lt;&gt;"."),d_dir!AS14/((1/1000)*(d_Irr!AQ14+d_Irr!BP14)),IF(AND(d_Irr!R14=".",d_Irr!AQ14=".",d_Irr!BP14&lt;&gt;"."),d_dir!AS14/((1/1000)*(d_Irr!BP14)),IF(AND(d_Irr!R14=".",d_Irr!AQ14&lt;&gt;".",d_Irr!BP14="."),d_dir!AS14/((1/1000)*(d_Irr!AQ14)),IF(AND(d_Irr!R14&lt;&gt;".",d_Irr!AQ14=".",d_Irr!BP14="."),d_dir!AS14/((1/1000)*(d_Irr!R14)),IF(AND(d_Irr!R14=".",d_Irr!AQ14=".",d_Irr!BP14="."),d_dir!AS14*1000)))))))),".")</f>
        <v>2326.6774219770723</v>
      </c>
      <c r="AT14" s="70">
        <f>IFERROR(IF(AND(d_Irr!S14&lt;&gt;".",d_Irr!AR14&lt;&gt;".",d_Irr!BQ14&lt;&gt;"."),d_dir!AT14/((1/1000)*(d_Irr!S14+d_Irr!AR14+d_Irr!BQ14)),IF(AND(d_Irr!S14&lt;&gt;".",d_Irr!AR14&lt;&gt;".",d_Irr!BQ14="."),d_dir!AT14/((1/1000)*(d_Irr!S14+d_Irr!AR14)),IF(AND(d_Irr!S14&lt;&gt;".",d_Irr!AR14=".",d_Irr!BQ14&lt;&gt;"."),d_dir!AT14/((1/1000)*(d_Irr!S14+d_Irr!BQ14)),IF(AND(d_Irr!S14=".",d_Irr!AR14&lt;&gt;".",d_Irr!BQ14&lt;&gt;"."),d_dir!AT14/((1/1000)*(d_Irr!AR14+d_Irr!BQ14)),IF(AND(d_Irr!S14=".",d_Irr!AR14=".",d_Irr!BQ14&lt;&gt;"."),d_dir!AT14/((1/1000)*(d_Irr!BQ14)),IF(AND(d_Irr!S14=".",d_Irr!AR14&lt;&gt;".",d_Irr!BQ14="."),d_dir!AT14/((1/1000)*(d_Irr!AR14)),IF(AND(d_Irr!S14&lt;&gt;".",d_Irr!AR14=".",d_Irr!BQ14="."),d_dir!AT14/((1/1000)*(d_Irr!S14)),IF(AND(d_Irr!S14=".",d_Irr!AR14=".",d_Irr!BQ14="."),d_dir!AT14*1000)))))))),".")</f>
        <v>4880.4173026092012</v>
      </c>
      <c r="AU14" s="70">
        <f>IFERROR(IF(AND(d_Irr!T14&lt;&gt;".",d_Irr!AS14&lt;&gt;".",d_Irr!BR14&lt;&gt;"."),d_dir!AU14/((1/1000)*(d_Irr!T14+d_Irr!AS14+d_Irr!BR14)),IF(AND(d_Irr!T14&lt;&gt;".",d_Irr!AS14&lt;&gt;".",d_Irr!BR14="."),d_dir!AU14/((1/1000)*(d_Irr!T14+d_Irr!AS14)),IF(AND(d_Irr!T14&lt;&gt;".",d_Irr!AS14=".",d_Irr!BR14&lt;&gt;"."),d_dir!AU14/((1/1000)*(d_Irr!T14+d_Irr!BR14)),IF(AND(d_Irr!T14=".",d_Irr!AS14&lt;&gt;".",d_Irr!BR14&lt;&gt;"."),d_dir!AU14/((1/1000)*(d_Irr!AS14+d_Irr!BR14)),IF(AND(d_Irr!T14=".",d_Irr!AS14=".",d_Irr!BR14&lt;&gt;"."),d_dir!AU14/((1/1000)*(d_Irr!BR14)),IF(AND(d_Irr!T14=".",d_Irr!AS14&lt;&gt;".",d_Irr!BR14="."),d_dir!AU14/((1/1000)*(d_Irr!AS14)),IF(AND(d_Irr!T14&lt;&gt;".",d_Irr!AS14=".",d_Irr!BR14="."),d_dir!AU14/((1/1000)*(d_Irr!T14)),IF(AND(d_Irr!T14=".",d_Irr!AS14=".",d_Irr!BR14="."),d_dir!AU14*1000)))))))),".")</f>
        <v>6693.5429858151629</v>
      </c>
      <c r="AV14" s="70">
        <f>IFERROR(IF(AND(d_Irr!U14&lt;&gt;".",d_Irr!AT14&lt;&gt;".",d_Irr!BS14&lt;&gt;"."),d_dir!AV14/((1/1000)*(d_Irr!U14+d_Irr!AT14+d_Irr!BS14)),IF(AND(d_Irr!U14&lt;&gt;".",d_Irr!AT14&lt;&gt;".",d_Irr!BS14="."),d_dir!AV14/((1/1000)*(d_Irr!U14+d_Irr!AT14)),IF(AND(d_Irr!U14&lt;&gt;".",d_Irr!AT14=".",d_Irr!BS14&lt;&gt;"."),d_dir!AV14/((1/1000)*(d_Irr!U14+d_Irr!BS14)),IF(AND(d_Irr!U14=".",d_Irr!AT14&lt;&gt;".",d_Irr!BS14&lt;&gt;"."),d_dir!AV14/((1/1000)*(d_Irr!AT14+d_Irr!BS14)),IF(AND(d_Irr!U14=".",d_Irr!AT14=".",d_Irr!BS14&lt;&gt;"."),d_dir!AV14/((1/1000)*(d_Irr!BS14)),IF(AND(d_Irr!U14=".",d_Irr!AT14&lt;&gt;".",d_Irr!BS14="."),d_dir!AV14/((1/1000)*(d_Irr!AT14)),IF(AND(d_Irr!U14&lt;&gt;".",d_Irr!AT14=".",d_Irr!BS14="."),d_dir!AV14/((1/1000)*(d_Irr!U14)),IF(AND(d_Irr!U14=".",d_Irr!AT14=".",d_Irr!BS14="."),d_dir!AV14*1000)))))))),".")</f>
        <v>1137.0075908443323</v>
      </c>
      <c r="AW14" s="70">
        <f>IFERROR(IF(AND(d_Irr!V14&lt;&gt;".",d_Irr!AU14&lt;&gt;".",d_Irr!BT14&lt;&gt;"."),d_dir!AW14/((1/1000)*(d_Irr!V14+d_Irr!AU14+d_Irr!BT14)),IF(AND(d_Irr!V14&lt;&gt;".",d_Irr!AU14&lt;&gt;".",d_Irr!BT14="."),d_dir!AW14/((1/1000)*(d_Irr!V14+d_Irr!AU14)),IF(AND(d_Irr!V14&lt;&gt;".",d_Irr!AU14=".",d_Irr!BT14&lt;&gt;"."),d_dir!AW14/((1/1000)*(d_Irr!V14+d_Irr!BT14)),IF(AND(d_Irr!V14=".",d_Irr!AU14&lt;&gt;".",d_Irr!BT14&lt;&gt;"."),d_dir!AW14/((1/1000)*(d_Irr!AU14+d_Irr!BT14)),IF(AND(d_Irr!V14=".",d_Irr!AU14=".",d_Irr!BT14&lt;&gt;"."),d_dir!AW14/((1/1000)*(d_Irr!BT14)),IF(AND(d_Irr!V14=".",d_Irr!AU14&lt;&gt;".",d_Irr!BT14="."),d_dir!AW14/((1/1000)*(d_Irr!AU14)),IF(AND(d_Irr!V14&lt;&gt;".",d_Irr!AU14=".",d_Irr!BT14="."),d_dir!AW14/((1/1000)*(d_Irr!V14)),IF(AND(d_Irr!V14=".",d_Irr!AU14=".",d_Irr!BT14="."),d_dir!AW14*1000)))))))),".")</f>
        <v>2557.5820497581994</v>
      </c>
      <c r="AX14" s="70">
        <f>IFERROR(IF(AND(d_Irr!W14&lt;&gt;".",d_Irr!AV14&lt;&gt;".",d_Irr!BU14&lt;&gt;"."),d_dir!AX14/((1/1000)*(d_Irr!W14+d_Irr!AV14+d_Irr!BU14)),IF(AND(d_Irr!W14&lt;&gt;".",d_Irr!AV14&lt;&gt;".",d_Irr!BU14="."),d_dir!AX14/((1/1000)*(d_Irr!W14+d_Irr!AV14)),IF(AND(d_Irr!W14&lt;&gt;".",d_Irr!AV14=".",d_Irr!BU14&lt;&gt;"."),d_dir!AX14/((1/1000)*(d_Irr!W14+d_Irr!BU14)),IF(AND(d_Irr!W14=".",d_Irr!AV14&lt;&gt;".",d_Irr!BU14&lt;&gt;"."),d_dir!AX14/((1/1000)*(d_Irr!AV14+d_Irr!BU14)),IF(AND(d_Irr!W14=".",d_Irr!AV14=".",d_Irr!BU14&lt;&gt;"."),d_dir!AX14/((1/1000)*(d_Irr!BU14)),IF(AND(d_Irr!W14=".",d_Irr!AV14&lt;&gt;".",d_Irr!BU14="."),d_dir!AX14/((1/1000)*(d_Irr!AV14)),IF(AND(d_Irr!W14&lt;&gt;".",d_Irr!AV14=".",d_Irr!BU14="."),d_dir!AX14/((1/1000)*(d_Irr!W14)),IF(AND(d_Irr!W14=".",d_Irr!AV14=".",d_Irr!BU14="."),d_dir!AX14*1000)))))))),".")</f>
        <v>2765.1319480578236</v>
      </c>
      <c r="AY14" s="70">
        <f>IFERROR(IF(AND(d_Irr!X14&lt;&gt;".",d_Irr!AW14&lt;&gt;".",d_Irr!BV14&lt;&gt;"."),d_dir!AY14/((1/1000)*(d_Irr!X14+d_Irr!AW14+d_Irr!BV14)),IF(AND(d_Irr!X14&lt;&gt;".",d_Irr!AW14&lt;&gt;".",d_Irr!BV14="."),d_dir!AY14/((1/1000)*(d_Irr!X14+d_Irr!AW14)),IF(AND(d_Irr!X14&lt;&gt;".",d_Irr!AW14=".",d_Irr!BV14&lt;&gt;"."),d_dir!AY14/((1/1000)*(d_Irr!X14+d_Irr!BV14)),IF(AND(d_Irr!X14=".",d_Irr!AW14&lt;&gt;".",d_Irr!BV14&lt;&gt;"."),d_dir!AY14/((1/1000)*(d_Irr!AW14+d_Irr!BV14)),IF(AND(d_Irr!X14=".",d_Irr!AW14=".",d_Irr!BV14&lt;&gt;"."),d_dir!AY14/((1/1000)*(d_Irr!BV14)),IF(AND(d_Irr!X14=".",d_Irr!AW14&lt;&gt;".",d_Irr!BV14="."),d_dir!AY14/((1/1000)*(d_Irr!AW14)),IF(AND(d_Irr!X14&lt;&gt;".",d_Irr!AW14=".",d_Irr!BV14="."),d_dir!AY14/((1/1000)*(d_Irr!X14)),IF(AND(d_Irr!X14=".",d_Irr!AW14=".",d_Irr!BV14="."),d_dir!AY14*1000)))))))),".")</f>
        <v>3782.8363472179726</v>
      </c>
      <c r="AZ14" s="70">
        <f>IFERROR(IF(AND(d_Irr!Y14&lt;&gt;".",d_Irr!AX14&lt;&gt;".",d_Irr!BW14&lt;&gt;"."),d_dir!AZ14/((1/1000)*(d_Irr!Y14+d_Irr!AX14+d_Irr!BW14)),IF(AND(d_Irr!Y14&lt;&gt;".",d_Irr!AX14&lt;&gt;".",d_Irr!BW14="."),d_dir!AZ14/((1/1000)*(d_Irr!Y14+d_Irr!AX14)),IF(AND(d_Irr!Y14&lt;&gt;".",d_Irr!AX14=".",d_Irr!BW14&lt;&gt;"."),d_dir!AZ14/((1/1000)*(d_Irr!Y14+d_Irr!BW14)),IF(AND(d_Irr!Y14=".",d_Irr!AX14&lt;&gt;".",d_Irr!BW14&lt;&gt;"."),d_dir!AZ14/((1/1000)*(d_Irr!AX14+d_Irr!BW14)),IF(AND(d_Irr!Y14=".",d_Irr!AX14=".",d_Irr!BW14&lt;&gt;"."),d_dir!AZ14/((1/1000)*(d_Irr!BW14)),IF(AND(d_Irr!Y14=".",d_Irr!AX14&lt;&gt;".",d_Irr!BW14="."),d_dir!AZ14/((1/1000)*(d_Irr!AX14)),IF(AND(d_Irr!Y14&lt;&gt;".",d_Irr!AX14=".",d_Irr!BW14="."),d_dir!AZ14/((1/1000)*(d_Irr!Y14)),IF(AND(d_Irr!Y14=".",d_Irr!AX14=".",d_Irr!BW14="."),d_dir!AZ14*1000)))))))),".")</f>
        <v>1669.6846817001617</v>
      </c>
      <c r="BA14" s="70">
        <f>IFERROR(IF(AND(d_Irr!Z14&lt;&gt;".",d_Irr!AY14&lt;&gt;".",d_Irr!BX14&lt;&gt;"."),d_dir!BA14/((1/1000)*(d_Irr!Z14+d_Irr!AY14+d_Irr!BX14)),IF(AND(d_Irr!Z14&lt;&gt;".",d_Irr!AY14&lt;&gt;".",d_Irr!BX14="."),d_dir!BA14/((1/1000)*(d_Irr!Z14+d_Irr!AY14)),IF(AND(d_Irr!Z14&lt;&gt;".",d_Irr!AY14=".",d_Irr!BX14&lt;&gt;"."),d_dir!BA14/((1/1000)*(d_Irr!Z14+d_Irr!BX14)),IF(AND(d_Irr!Z14=".",d_Irr!AY14&lt;&gt;".",d_Irr!BX14&lt;&gt;"."),d_dir!BA14/((1/1000)*(d_Irr!AY14+d_Irr!BX14)),IF(AND(d_Irr!Z14=".",d_Irr!AY14=".",d_Irr!BX14&lt;&gt;"."),d_dir!BA14/((1/1000)*(d_Irr!BX14)),IF(AND(d_Irr!Z14=".",d_Irr!AY14&lt;&gt;".",d_Irr!BX14="."),d_dir!BA14/((1/1000)*(d_Irr!AY14)),IF(AND(d_Irr!Z14&lt;&gt;".",d_Irr!AY14=".",d_Irr!BX14="."),d_dir!BA14/((1/1000)*(d_Irr!Z14)),IF(AND(d_Irr!Z14=".",d_Irr!AY14=".",d_Irr!BX14="."),d_dir!BA14*1000)))))))),".")</f>
        <v>494.19132164386019</v>
      </c>
      <c r="BB14" s="70">
        <f>IFERROR(IF(AND(d_Irr!AA14&lt;&gt;".",d_Irr!AZ14&lt;&gt;".",d_Irr!BY14&lt;&gt;"."),d_dir!BB14/((1/1000)*(d_Irr!AA14+d_Irr!AZ14+d_Irr!BY14)),IF(AND(d_Irr!AA14&lt;&gt;".",d_Irr!AZ14&lt;&gt;".",d_Irr!BY14="."),d_dir!BB14/((1/1000)*(d_Irr!AA14+d_Irr!AZ14)),IF(AND(d_Irr!AA14&lt;&gt;".",d_Irr!AZ14=".",d_Irr!BY14&lt;&gt;"."),d_dir!BB14/((1/1000)*(d_Irr!AA14+d_Irr!BY14)),IF(AND(d_Irr!AA14=".",d_Irr!AZ14&lt;&gt;".",d_Irr!BY14&lt;&gt;"."),d_dir!BB14/((1/1000)*(d_Irr!AZ14+d_Irr!BY14)),IF(AND(d_Irr!AA14=".",d_Irr!AZ14=".",d_Irr!BY14&lt;&gt;"."),d_dir!BB14/((1/1000)*(d_Irr!BY14)),IF(AND(d_Irr!AA14=".",d_Irr!AZ14&lt;&gt;".",d_Irr!BY14="."),d_dir!BB14/((1/1000)*(d_Irr!AZ14)),IF(AND(d_Irr!AA14&lt;&gt;".",d_Irr!AZ14=".",d_Irr!BY14="."),d_dir!BB14/((1/1000)*(d_Irr!AA14)),IF(AND(d_Irr!AA14=".",d_Irr!AZ14=".",d_Irr!BY14="."),d_dir!BB14*1000)))))))),".")</f>
        <v>570.28787296830092</v>
      </c>
    </row>
    <row r="15" spans="1:54" ht="15" customHeight="1" x14ac:dyDescent="0.25">
      <c r="A15" s="86" t="s">
        <v>13</v>
      </c>
      <c r="B15" s="84" t="s">
        <v>1057</v>
      </c>
      <c r="C15" s="2">
        <f t="shared" si="1"/>
        <v>1818.7557173483738</v>
      </c>
      <c r="D15" s="70">
        <f>IFERROR(IF(AND(d_Irr!C15&lt;&gt;".",d_Irr!AB15&lt;&gt;".",d_Irr!BA15&lt;&gt;"."),d_dir!D15/((1/1000)*(d_Irr!C15+d_Irr!AB15+d_Irr!BA15)),IF(AND(d_Irr!C15&lt;&gt;".",d_Irr!AB15&lt;&gt;".",d_Irr!BA15="."),d_dir!D15/((1/1000)*(d_Irr!C15+d_Irr!AB15)),IF(AND(d_Irr!C15&lt;&gt;".",d_Irr!AB15=".",d_Irr!BA15&lt;&gt;"."),d_dir!D15/((1/1000)*(d_Irr!C15+d_Irr!BA15)),IF(AND(d_Irr!C15=".",d_Irr!AB15&lt;&gt;".",d_Irr!BA15&lt;&gt;"."),d_dir!D15/((1/1000)*(d_Irr!AB15+d_Irr!BA15)),IF(AND(d_Irr!C15=".",d_Irr!AB15=".",d_Irr!BA15&lt;&gt;"."),d_dir!D15/((1/1000)*(d_Irr!BA15)),IF(AND(d_Irr!C15=".",d_Irr!AB15&lt;&gt;".",d_Irr!BA15="."),d_dir!D15/((1/1000)*(d_Irr!AB15)),IF(AND(d_Irr!C15&lt;&gt;".",d_Irr!AB15=".",d_Irr!BA15="."),d_dir!D15/((1/1000)*(d_Irr!C15)),IF(AND(d_Irr!C15=".",d_Irr!AB15=".",d_Irr!BA15="."),d_dir!D15*1000)))))))),".")</f>
        <v>35129.5813268731</v>
      </c>
      <c r="E15" s="70">
        <f>IFERROR(IF(AND(d_Irr!D15&lt;&gt;".",d_Irr!AC15&lt;&gt;".",d_Irr!BB15&lt;&gt;"."),d_dir!E15/((1/1000)*(d_Irr!D15+d_Irr!AC15+d_Irr!BB15)),IF(AND(d_Irr!D15&lt;&gt;".",d_Irr!AC15&lt;&gt;".",d_Irr!BB15="."),d_dir!E15/((1/1000)*(d_Irr!D15+d_Irr!AC15)),IF(AND(d_Irr!D15&lt;&gt;".",d_Irr!AC15=".",d_Irr!BB15&lt;&gt;"."),d_dir!E15/((1/1000)*(d_Irr!D15+d_Irr!BB15)),IF(AND(d_Irr!D15=".",d_Irr!AC15&lt;&gt;".",d_Irr!BB15&lt;&gt;"."),d_dir!E15/((1/1000)*(d_Irr!AC15+d_Irr!BB15)),IF(AND(d_Irr!D15=".",d_Irr!AC15=".",d_Irr!BB15&lt;&gt;"."),d_dir!E15/((1/1000)*(d_Irr!BB15)),IF(AND(d_Irr!D15=".",d_Irr!AC15&lt;&gt;".",d_Irr!BB15="."),d_dir!E15/((1/1000)*(d_Irr!AC15)),IF(AND(d_Irr!D15&lt;&gt;".",d_Irr!AC15=".",d_Irr!BB15="."),d_dir!E15/((1/1000)*(d_Irr!D15)),IF(AND(d_Irr!D15=".",d_Irr!AC15=".",d_Irr!BB15="."),d_dir!E15*1000)))))))),".")</f>
        <v>47276.464832382655</v>
      </c>
      <c r="F15" s="70">
        <f>IFERROR(IF(AND(d_Irr!E15&lt;&gt;".",d_Irr!AD15&lt;&gt;".",d_Irr!BC15&lt;&gt;"."),d_dir!F15/((1/1000)*(d_Irr!E15+d_Irr!AD15+d_Irr!BC15)),IF(AND(d_Irr!E15&lt;&gt;".",d_Irr!AD15&lt;&gt;".",d_Irr!BC15="."),d_dir!F15/((1/1000)*(d_Irr!E15+d_Irr!AD15)),IF(AND(d_Irr!E15&lt;&gt;".",d_Irr!AD15=".",d_Irr!BC15&lt;&gt;"."),d_dir!F15/((1/1000)*(d_Irr!E15+d_Irr!BC15)),IF(AND(d_Irr!E15=".",d_Irr!AD15&lt;&gt;".",d_Irr!BC15&lt;&gt;"."),d_dir!F15/((1/1000)*(d_Irr!AD15+d_Irr!BC15)),IF(AND(d_Irr!E15=".",d_Irr!AD15=".",d_Irr!BC15&lt;&gt;"."),d_dir!F15/((1/1000)*(d_Irr!BC15)),IF(AND(d_Irr!E15=".",d_Irr!AD15&lt;&gt;".",d_Irr!BC15="."),d_dir!F15/((1/1000)*(d_Irr!AD15)),IF(AND(d_Irr!E15&lt;&gt;".",d_Irr!AD15=".",d_Irr!BC15="."),d_dir!F15/((1/1000)*(d_Irr!E15)),IF(AND(d_Irr!E15=".",d_Irr!AD15=".",d_Irr!BC15="."),d_dir!F15*1000)))))))),".")</f>
        <v>88666.367654534071</v>
      </c>
      <c r="G15" s="70">
        <f>IFERROR(IF(AND(d_Irr!F15&lt;&gt;".",d_Irr!AE15&lt;&gt;".",d_Irr!BD15&lt;&gt;"."),d_dir!G15/((1/1000)*(d_Irr!F15+d_Irr!AE15+d_Irr!BD15)),IF(AND(d_Irr!F15&lt;&gt;".",d_Irr!AE15&lt;&gt;".",d_Irr!BD15="."),d_dir!G15/((1/1000)*(d_Irr!F15+d_Irr!AE15)),IF(AND(d_Irr!F15&lt;&gt;".",d_Irr!AE15=".",d_Irr!BD15&lt;&gt;"."),d_dir!G15/((1/1000)*(d_Irr!F15+d_Irr!BD15)),IF(AND(d_Irr!F15=".",d_Irr!AE15&lt;&gt;".",d_Irr!BD15&lt;&gt;"."),d_dir!G15/((1/1000)*(d_Irr!AE15+d_Irr!BD15)),IF(AND(d_Irr!F15=".",d_Irr!AE15=".",d_Irr!BD15&lt;&gt;"."),d_dir!G15/((1/1000)*(d_Irr!BD15)),IF(AND(d_Irr!F15=".",d_Irr!AE15&lt;&gt;".",d_Irr!BD15="."),d_dir!G15/((1/1000)*(d_Irr!AE15)),IF(AND(d_Irr!F15&lt;&gt;".",d_Irr!AE15=".",d_Irr!BD15="."),d_dir!G15/((1/1000)*(d_Irr!F15)),IF(AND(d_Irr!F15=".",d_Irr!AE15=".",d_Irr!BD15="."),d_dir!G15*1000)))))))),".")</f>
        <v>78989.478315021712</v>
      </c>
      <c r="H15" s="70">
        <f>IFERROR(IF(AND(d_Irr!G15&lt;&gt;".",d_Irr!AF15&lt;&gt;".",d_Irr!BE15&lt;&gt;"."),d_dir!H15/((1/1000)*(d_Irr!G15+d_Irr!AF15+d_Irr!BE15)),IF(AND(d_Irr!G15&lt;&gt;".",d_Irr!AF15&lt;&gt;".",d_Irr!BE15="."),d_dir!H15/((1/1000)*(d_Irr!G15+d_Irr!AF15)),IF(AND(d_Irr!G15&lt;&gt;".",d_Irr!AF15=".",d_Irr!BE15&lt;&gt;"."),d_dir!H15/((1/1000)*(d_Irr!G15+d_Irr!BE15)),IF(AND(d_Irr!G15=".",d_Irr!AF15&lt;&gt;".",d_Irr!BE15&lt;&gt;"."),d_dir!H15/((1/1000)*(d_Irr!AF15+d_Irr!BE15)),IF(AND(d_Irr!G15=".",d_Irr!AF15=".",d_Irr!BE15&lt;&gt;"."),d_dir!H15/((1/1000)*(d_Irr!BE15)),IF(AND(d_Irr!G15=".",d_Irr!AF15&lt;&gt;".",d_Irr!BE15="."),d_dir!H15/((1/1000)*(d_Irr!AF15)),IF(AND(d_Irr!G15&lt;&gt;".",d_Irr!AF15=".",d_Irr!BE15="."),d_dir!H15/((1/1000)*(d_Irr!G15)),IF(AND(d_Irr!G15=".",d_Irr!AF15=".",d_Irr!BE15="."),d_dir!H15*1000)))))))),".")</f>
        <v>92480.670411691797</v>
      </c>
      <c r="I15" s="70">
        <f>IFERROR(IF(AND(d_Irr!H15&lt;&gt;".",d_Irr!AG15&lt;&gt;".",d_Irr!BF15&lt;&gt;"."),d_dir!I15/((1/1000)*(d_Irr!H15+d_Irr!AG15+d_Irr!BF15)),IF(AND(d_Irr!H15&lt;&gt;".",d_Irr!AG15&lt;&gt;".",d_Irr!BF15="."),d_dir!I15/((1/1000)*(d_Irr!H15+d_Irr!AG15)),IF(AND(d_Irr!H15&lt;&gt;".",d_Irr!AG15=".",d_Irr!BF15&lt;&gt;"."),d_dir!I15/((1/1000)*(d_Irr!H15+d_Irr!BF15)),IF(AND(d_Irr!H15=".",d_Irr!AG15&lt;&gt;".",d_Irr!BF15&lt;&gt;"."),d_dir!I15/((1/1000)*(d_Irr!AG15+d_Irr!BF15)),IF(AND(d_Irr!H15=".",d_Irr!AG15=".",d_Irr!BF15&lt;&gt;"."),d_dir!I15/((1/1000)*(d_Irr!BF15)),IF(AND(d_Irr!H15=".",d_Irr!AG15&lt;&gt;".",d_Irr!BF15="."),d_dir!I15/((1/1000)*(d_Irr!AG15)),IF(AND(d_Irr!H15&lt;&gt;".",d_Irr!AG15=".",d_Irr!BF15="."),d_dir!I15/((1/1000)*(d_Irr!H15)),IF(AND(d_Irr!H15=".",d_Irr!AG15=".",d_Irr!BF15="."),d_dir!I15*1000)))))))),".")</f>
        <v>23284.009154031442</v>
      </c>
      <c r="J15" s="70">
        <f>IFERROR(IF(AND(d_Irr!I15&lt;&gt;".",d_Irr!AH15&lt;&gt;".",d_Irr!BG15&lt;&gt;"."),d_dir!J15/((1/1000)*(d_Irr!I15+d_Irr!AH15+d_Irr!BG15)),IF(AND(d_Irr!I15&lt;&gt;".",d_Irr!AH15&lt;&gt;".",d_Irr!BG15="."),d_dir!J15/((1/1000)*(d_Irr!I15+d_Irr!AH15)),IF(AND(d_Irr!I15&lt;&gt;".",d_Irr!AH15=".",d_Irr!BG15&lt;&gt;"."),d_dir!J15/((1/1000)*(d_Irr!I15+d_Irr!BG15)),IF(AND(d_Irr!I15=".",d_Irr!AH15&lt;&gt;".",d_Irr!BG15&lt;&gt;"."),d_dir!J15/((1/1000)*(d_Irr!AH15+d_Irr!BG15)),IF(AND(d_Irr!I15=".",d_Irr!AH15=".",d_Irr!BG15&lt;&gt;"."),d_dir!J15/((1/1000)*(d_Irr!BG15)),IF(AND(d_Irr!I15=".",d_Irr!AH15&lt;&gt;".",d_Irr!BG15="."),d_dir!J15/((1/1000)*(d_Irr!AH15)),IF(AND(d_Irr!I15&lt;&gt;".",d_Irr!AH15=".",d_Irr!BG15="."),d_dir!J15/((1/1000)*(d_Irr!I15)),IF(AND(d_Irr!I15=".",d_Irr!AH15=".",d_Irr!BG15="."),d_dir!J15*1000)))))))),".")</f>
        <v>102132.89293226793</v>
      </c>
      <c r="K15" s="70">
        <f>IFERROR(IF(AND(d_Irr!J15&lt;&gt;".",d_Irr!AI15&lt;&gt;".",d_Irr!BH15&lt;&gt;"."),d_dir!K15/((1/1000)*(d_Irr!J15+d_Irr!AI15+d_Irr!BH15)),IF(AND(d_Irr!J15&lt;&gt;".",d_Irr!AI15&lt;&gt;".",d_Irr!BH15="."),d_dir!K15/((1/1000)*(d_Irr!J15+d_Irr!AI15)),IF(AND(d_Irr!J15&lt;&gt;".",d_Irr!AI15=".",d_Irr!BH15&lt;&gt;"."),d_dir!K15/((1/1000)*(d_Irr!J15+d_Irr!BH15)),IF(AND(d_Irr!J15=".",d_Irr!AI15&lt;&gt;".",d_Irr!BH15&lt;&gt;"."),d_dir!K15/((1/1000)*(d_Irr!AI15+d_Irr!BH15)),IF(AND(d_Irr!J15=".",d_Irr!AI15=".",d_Irr!BH15&lt;&gt;"."),d_dir!K15/((1/1000)*(d_Irr!BH15)),IF(AND(d_Irr!J15=".",d_Irr!AI15&lt;&gt;".",d_Irr!BH15="."),d_dir!K15/((1/1000)*(d_Irr!AI15)),IF(AND(d_Irr!J15&lt;&gt;".",d_Irr!AI15=".",d_Irr!BH15="."),d_dir!K15/((1/1000)*(d_Irr!J15)),IF(AND(d_Irr!J15=".",d_Irr!AI15=".",d_Irr!BH15="."),d_dir!K15*1000)))))))),".")</f>
        <v>9107.0223434456311</v>
      </c>
      <c r="L15" s="70">
        <f>IFERROR(IF(AND(d_Irr!K15&lt;&gt;".",d_Irr!AJ15&lt;&gt;".",d_Irr!BI15&lt;&gt;"."),d_dir!L15/((1/1000)*(d_Irr!K15+d_Irr!AJ15+d_Irr!BI15)),IF(AND(d_Irr!K15&lt;&gt;".",d_Irr!AJ15&lt;&gt;".",d_Irr!BI15="."),d_dir!L15/((1/1000)*(d_Irr!K15+d_Irr!AJ15)),IF(AND(d_Irr!K15&lt;&gt;".",d_Irr!AJ15=".",d_Irr!BI15&lt;&gt;"."),d_dir!L15/((1/1000)*(d_Irr!K15+d_Irr!BI15)),IF(AND(d_Irr!K15=".",d_Irr!AJ15&lt;&gt;".",d_Irr!BI15&lt;&gt;"."),d_dir!L15/((1/1000)*(d_Irr!AJ15+d_Irr!BI15)),IF(AND(d_Irr!K15=".",d_Irr!AJ15=".",d_Irr!BI15&lt;&gt;"."),d_dir!L15/((1/1000)*(d_Irr!BI15)),IF(AND(d_Irr!K15=".",d_Irr!AJ15&lt;&gt;".",d_Irr!BI15="."),d_dir!L15/((1/1000)*(d_Irr!AJ15)),IF(AND(d_Irr!K15&lt;&gt;".",d_Irr!AJ15=".",d_Irr!BI15="."),d_dir!L15/((1/1000)*(d_Irr!K15)),IF(AND(d_Irr!K15=".",d_Irr!AJ15=".",d_Irr!BI15="."),d_dir!L15*1000)))))))),".")</f>
        <v>54189.853511162306</v>
      </c>
      <c r="M15" s="70">
        <f>IFERROR(IF(AND(d_Irr!L15&lt;&gt;".",d_Irr!AK15&lt;&gt;".",d_Irr!BJ15&lt;&gt;"."),d_dir!M15/((1/1000)*(d_Irr!L15+d_Irr!AK15+d_Irr!BJ15)),IF(AND(d_Irr!L15&lt;&gt;".",d_Irr!AK15&lt;&gt;".",d_Irr!BJ15="."),d_dir!M15/((1/1000)*(d_Irr!L15+d_Irr!AK15)),IF(AND(d_Irr!L15&lt;&gt;".",d_Irr!AK15=".",d_Irr!BJ15&lt;&gt;"."),d_dir!M15/((1/1000)*(d_Irr!L15+d_Irr!BJ15)),IF(AND(d_Irr!L15=".",d_Irr!AK15&lt;&gt;".",d_Irr!BJ15&lt;&gt;"."),d_dir!M15/((1/1000)*(d_Irr!AK15+d_Irr!BJ15)),IF(AND(d_Irr!L15=".",d_Irr!AK15=".",d_Irr!BJ15&lt;&gt;"."),d_dir!M15/((1/1000)*(d_Irr!BJ15)),IF(AND(d_Irr!L15=".",d_Irr!AK15&lt;&gt;".",d_Irr!BJ15="."),d_dir!M15/((1/1000)*(d_Irr!AK15)),IF(AND(d_Irr!L15&lt;&gt;".",d_Irr!AK15=".",d_Irr!BJ15="."),d_dir!M15/((1/1000)*(d_Irr!L15)),IF(AND(d_Irr!L15=".",d_Irr!AK15=".",d_Irr!BJ15="."),d_dir!M15*1000)))))))),".")</f>
        <v>35837.827910508509</v>
      </c>
      <c r="N15" s="70">
        <f>IFERROR(IF(AND(d_Irr!M15&lt;&gt;".",d_Irr!AL15&lt;&gt;".",d_Irr!BK15&lt;&gt;"."),d_dir!N15/((1/1000)*(d_Irr!M15+d_Irr!AL15+d_Irr!BK15)),IF(AND(d_Irr!M15&lt;&gt;".",d_Irr!AL15&lt;&gt;".",d_Irr!BK15="."),d_dir!N15/((1/1000)*(d_Irr!M15+d_Irr!AL15)),IF(AND(d_Irr!M15&lt;&gt;".",d_Irr!AL15=".",d_Irr!BK15&lt;&gt;"."),d_dir!N15/((1/1000)*(d_Irr!M15+d_Irr!BK15)),IF(AND(d_Irr!M15=".",d_Irr!AL15&lt;&gt;".",d_Irr!BK15&lt;&gt;"."),d_dir!N15/((1/1000)*(d_Irr!AL15+d_Irr!BK15)),IF(AND(d_Irr!M15=".",d_Irr!AL15=".",d_Irr!BK15&lt;&gt;"."),d_dir!N15/((1/1000)*(d_Irr!BK15)),IF(AND(d_Irr!M15=".",d_Irr!AL15&lt;&gt;".",d_Irr!BK15="."),d_dir!N15/((1/1000)*(d_Irr!AL15)),IF(AND(d_Irr!M15&lt;&gt;".",d_Irr!AL15=".",d_Irr!BK15="."),d_dir!N15/((1/1000)*(d_Irr!M15)),IF(AND(d_Irr!M15=".",d_Irr!AL15=".",d_Irr!BK15="."),d_dir!N15*1000)))))))),".")</f>
        <v>50962.379865799383</v>
      </c>
      <c r="O15" s="70">
        <f>IFERROR(IF(AND(d_Irr!N15&lt;&gt;".",d_Irr!AM15&lt;&gt;".",d_Irr!BL15&lt;&gt;"."),d_dir!O15/((1/1000)*(d_Irr!N15+d_Irr!AM15+d_Irr!BL15)),IF(AND(d_Irr!N15&lt;&gt;".",d_Irr!AM15&lt;&gt;".",d_Irr!BL15="."),d_dir!O15/((1/1000)*(d_Irr!N15+d_Irr!AM15)),IF(AND(d_Irr!N15&lt;&gt;".",d_Irr!AM15=".",d_Irr!BL15&lt;&gt;"."),d_dir!O15/((1/1000)*(d_Irr!N15+d_Irr!BL15)),IF(AND(d_Irr!N15=".",d_Irr!AM15&lt;&gt;".",d_Irr!BL15&lt;&gt;"."),d_dir!O15/((1/1000)*(d_Irr!AM15+d_Irr!BL15)),IF(AND(d_Irr!N15=".",d_Irr!AM15=".",d_Irr!BL15&lt;&gt;"."),d_dir!O15/((1/1000)*(d_Irr!BL15)),IF(AND(d_Irr!N15=".",d_Irr!AM15&lt;&gt;".",d_Irr!BL15="."),d_dir!O15/((1/1000)*(d_Irr!AM15)),IF(AND(d_Irr!N15&lt;&gt;".",d_Irr!AM15=".",d_Irr!BL15="."),d_dir!O15/((1/1000)*(d_Irr!N15)),IF(AND(d_Irr!N15=".",d_Irr!AM15=".",d_Irr!BL15="."),d_dir!O15*1000)))))))),".")</f>
        <v>83582.006334068632</v>
      </c>
      <c r="P15" s="70">
        <f>IFERROR(IF(AND(d_Irr!O15&lt;&gt;".",d_Irr!AN15&lt;&gt;".",d_Irr!BM15&lt;&gt;"."),d_dir!P15/((1/1000)*(d_Irr!O15+d_Irr!AN15+d_Irr!BM15)),IF(AND(d_Irr!O15&lt;&gt;".",d_Irr!AN15&lt;&gt;".",d_Irr!BM15="."),d_dir!P15/((1/1000)*(d_Irr!O15+d_Irr!AN15)),IF(AND(d_Irr!O15&lt;&gt;".",d_Irr!AN15=".",d_Irr!BM15&lt;&gt;"."),d_dir!P15/((1/1000)*(d_Irr!O15+d_Irr!BM15)),IF(AND(d_Irr!O15=".",d_Irr!AN15&lt;&gt;".",d_Irr!BM15&lt;&gt;"."),d_dir!P15/((1/1000)*(d_Irr!AN15+d_Irr!BM15)),IF(AND(d_Irr!O15=".",d_Irr!AN15=".",d_Irr!BM15&lt;&gt;"."),d_dir!P15/((1/1000)*(d_Irr!BM15)),IF(AND(d_Irr!O15=".",d_Irr!AN15&lt;&gt;".",d_Irr!BM15="."),d_dir!P15/((1/1000)*(d_Irr!AN15)),IF(AND(d_Irr!O15&lt;&gt;".",d_Irr!AN15=".",d_Irr!BM15="."),d_dir!P15/((1/1000)*(d_Irr!O15)),IF(AND(d_Irr!O15=".",d_Irr!AN15=".",d_Irr!BM15="."),d_dir!P15*1000)))))))),".")</f>
        <v>96682.811946019065</v>
      </c>
      <c r="Q15" s="70">
        <f>IFERROR(IF(AND(d_Irr!P15&lt;&gt;".",d_Irr!AO15&lt;&gt;".",d_Irr!BN15&lt;&gt;"."),d_dir!Q15/((1/1000)*(d_Irr!P15+d_Irr!AO15+d_Irr!BN15)),IF(AND(d_Irr!P15&lt;&gt;".",d_Irr!AO15&lt;&gt;".",d_Irr!BN15="."),d_dir!Q15/((1/1000)*(d_Irr!P15+d_Irr!AO15)),IF(AND(d_Irr!P15&lt;&gt;".",d_Irr!AO15=".",d_Irr!BN15&lt;&gt;"."),d_dir!Q15/((1/1000)*(d_Irr!P15+d_Irr!BN15)),IF(AND(d_Irr!P15=".",d_Irr!AO15&lt;&gt;".",d_Irr!BN15&lt;&gt;"."),d_dir!Q15/((1/1000)*(d_Irr!AO15+d_Irr!BN15)),IF(AND(d_Irr!P15=".",d_Irr!AO15=".",d_Irr!BN15&lt;&gt;"."),d_dir!Q15/((1/1000)*(d_Irr!BN15)),IF(AND(d_Irr!P15=".",d_Irr!AO15&lt;&gt;".",d_Irr!BN15="."),d_dir!Q15/((1/1000)*(d_Irr!AO15)),IF(AND(d_Irr!P15&lt;&gt;".",d_Irr!AO15=".",d_Irr!BN15="."),d_dir!Q15/((1/1000)*(d_Irr!P15)),IF(AND(d_Irr!P15=".",d_Irr!AO15=".",d_Irr!BN15="."),d_dir!Q15*1000)))))))),".")</f>
        <v>137998.00551288234</v>
      </c>
      <c r="R15" s="70">
        <f>IFERROR(IF(AND(d_Irr!Q15&lt;&gt;".",d_Irr!AP15&lt;&gt;".",d_Irr!BO15&lt;&gt;"."),d_dir!R15/((1/1000)*(d_Irr!Q15+d_Irr!AP15+d_Irr!BO15)),IF(AND(d_Irr!Q15&lt;&gt;".",d_Irr!AP15&lt;&gt;".",d_Irr!BO15="."),d_dir!R15/((1/1000)*(d_Irr!Q15+d_Irr!AP15)),IF(AND(d_Irr!Q15&lt;&gt;".",d_Irr!AP15=".",d_Irr!BO15&lt;&gt;"."),d_dir!R15/((1/1000)*(d_Irr!Q15+d_Irr!BO15)),IF(AND(d_Irr!Q15=".",d_Irr!AP15&lt;&gt;".",d_Irr!BO15&lt;&gt;"."),d_dir!R15/((1/1000)*(d_Irr!AP15+d_Irr!BO15)),IF(AND(d_Irr!Q15=".",d_Irr!AP15=".",d_Irr!BO15&lt;&gt;"."),d_dir!R15/((1/1000)*(d_Irr!BO15)),IF(AND(d_Irr!Q15=".",d_Irr!AP15&lt;&gt;".",d_Irr!BO15="."),d_dir!R15/((1/1000)*(d_Irr!AP15)),IF(AND(d_Irr!Q15&lt;&gt;".",d_Irr!AP15=".",d_Irr!BO15="."),d_dir!R15/((1/1000)*(d_Irr!Q15)),IF(AND(d_Irr!Q15=".",d_Irr!AP15=".",d_Irr!BO15="."),d_dir!R15*1000)))))))),".")</f>
        <v>22553.893127180465</v>
      </c>
      <c r="S15" s="70">
        <f>IFERROR(IF(AND(d_Irr!R15&lt;&gt;".",d_Irr!AQ15&lt;&gt;".",d_Irr!BP15&lt;&gt;"."),d_dir!S15/((1/1000)*(d_Irr!R15+d_Irr!AQ15+d_Irr!BP15)),IF(AND(d_Irr!R15&lt;&gt;".",d_Irr!AQ15&lt;&gt;".",d_Irr!BP15="."),d_dir!S15/((1/1000)*(d_Irr!R15+d_Irr!AQ15)),IF(AND(d_Irr!R15&lt;&gt;".",d_Irr!AQ15=".",d_Irr!BP15&lt;&gt;"."),d_dir!S15/((1/1000)*(d_Irr!R15+d_Irr!BP15)),IF(AND(d_Irr!R15=".",d_Irr!AQ15&lt;&gt;".",d_Irr!BP15&lt;&gt;"."),d_dir!S15/((1/1000)*(d_Irr!AQ15+d_Irr!BP15)),IF(AND(d_Irr!R15=".",d_Irr!AQ15=".",d_Irr!BP15&lt;&gt;"."),d_dir!S15/((1/1000)*(d_Irr!BP15)),IF(AND(d_Irr!R15=".",d_Irr!AQ15&lt;&gt;".",d_Irr!BP15="."),d_dir!S15/((1/1000)*(d_Irr!AQ15)),IF(AND(d_Irr!R15&lt;&gt;".",d_Irr!AQ15=".",d_Irr!BP15="."),d_dir!S15/((1/1000)*(d_Irr!R15)),IF(AND(d_Irr!R15=".",d_Irr!AQ15=".",d_Irr!BP15="."),d_dir!S15*1000)))))))),".")</f>
        <v>46019.444587387057</v>
      </c>
      <c r="T15" s="70">
        <f>IFERROR(IF(AND(d_Irr!S15&lt;&gt;".",d_Irr!AR15&lt;&gt;".",d_Irr!BQ15&lt;&gt;"."),d_dir!T15/((1/1000)*(d_Irr!S15+d_Irr!AR15+d_Irr!BQ15)),IF(AND(d_Irr!S15&lt;&gt;".",d_Irr!AR15&lt;&gt;".",d_Irr!BQ15="."),d_dir!T15/((1/1000)*(d_Irr!S15+d_Irr!AR15)),IF(AND(d_Irr!S15&lt;&gt;".",d_Irr!AR15=".",d_Irr!BQ15&lt;&gt;"."),d_dir!T15/((1/1000)*(d_Irr!S15+d_Irr!BQ15)),IF(AND(d_Irr!S15=".",d_Irr!AR15&lt;&gt;".",d_Irr!BQ15&lt;&gt;"."),d_dir!T15/((1/1000)*(d_Irr!AR15+d_Irr!BQ15)),IF(AND(d_Irr!S15=".",d_Irr!AR15=".",d_Irr!BQ15&lt;&gt;"."),d_dir!T15/((1/1000)*(d_Irr!BQ15)),IF(AND(d_Irr!S15=".",d_Irr!AR15&lt;&gt;".",d_Irr!BQ15="."),d_dir!T15/((1/1000)*(d_Irr!AR15)),IF(AND(d_Irr!S15&lt;&gt;".",d_Irr!AR15=".",d_Irr!BQ15="."),d_dir!T15/((1/1000)*(d_Irr!S15)),IF(AND(d_Irr!S15=".",d_Irr!AR15=".",d_Irr!BQ15="."),d_dir!T15*1000)))))))),".")</f>
        <v>83776.775015525796</v>
      </c>
      <c r="U15" s="70">
        <f>IFERROR(IF(AND(d_Irr!T15&lt;&gt;".",d_Irr!AS15&lt;&gt;".",d_Irr!BR15&lt;&gt;"."),d_dir!U15/((1/1000)*(d_Irr!T15+d_Irr!AS15+d_Irr!BR15)),IF(AND(d_Irr!T15&lt;&gt;".",d_Irr!AS15&lt;&gt;".",d_Irr!BR15="."),d_dir!U15/((1/1000)*(d_Irr!T15+d_Irr!AS15)),IF(AND(d_Irr!T15&lt;&gt;".",d_Irr!AS15=".",d_Irr!BR15&lt;&gt;"."),d_dir!U15/((1/1000)*(d_Irr!T15+d_Irr!BR15)),IF(AND(d_Irr!T15=".",d_Irr!AS15&lt;&gt;".",d_Irr!BR15&lt;&gt;"."),d_dir!U15/((1/1000)*(d_Irr!AS15+d_Irr!BR15)),IF(AND(d_Irr!T15=".",d_Irr!AS15=".",d_Irr!BR15&lt;&gt;"."),d_dir!U15/((1/1000)*(d_Irr!BR15)),IF(AND(d_Irr!T15=".",d_Irr!AS15&lt;&gt;".",d_Irr!BR15="."),d_dir!U15/((1/1000)*(d_Irr!AS15)),IF(AND(d_Irr!T15&lt;&gt;".",d_Irr!AS15=".",d_Irr!BR15="."),d_dir!U15/((1/1000)*(d_Irr!T15)),IF(AND(d_Irr!T15=".",d_Irr!AS15=".",d_Irr!BR15="."),d_dir!U15*1000)))))))),".")</f>
        <v>151130.79909152287</v>
      </c>
      <c r="V15" s="70">
        <f>IFERROR(IF(AND(d_Irr!U15&lt;&gt;".",d_Irr!AT15&lt;&gt;".",d_Irr!BS15&lt;&gt;"."),d_dir!V15/((1/1000)*(d_Irr!U15+d_Irr!AT15+d_Irr!BS15)),IF(AND(d_Irr!U15&lt;&gt;".",d_Irr!AT15&lt;&gt;".",d_Irr!BS15="."),d_dir!V15/((1/1000)*(d_Irr!U15+d_Irr!AT15)),IF(AND(d_Irr!U15&lt;&gt;".",d_Irr!AT15=".",d_Irr!BS15&lt;&gt;"."),d_dir!V15/((1/1000)*(d_Irr!U15+d_Irr!BS15)),IF(AND(d_Irr!U15=".",d_Irr!AT15&lt;&gt;".",d_Irr!BS15&lt;&gt;"."),d_dir!V15/((1/1000)*(d_Irr!AT15+d_Irr!BS15)),IF(AND(d_Irr!U15=".",d_Irr!AT15=".",d_Irr!BS15&lt;&gt;"."),d_dir!V15/((1/1000)*(d_Irr!BS15)),IF(AND(d_Irr!U15=".",d_Irr!AT15&lt;&gt;".",d_Irr!BS15="."),d_dir!V15/((1/1000)*(d_Irr!AT15)),IF(AND(d_Irr!U15&lt;&gt;".",d_Irr!AT15=".",d_Irr!BS15="."),d_dir!V15/((1/1000)*(d_Irr!U15)),IF(AND(d_Irr!U15=".",d_Irr!AT15=".",d_Irr!BS15="."),d_dir!V15*1000)))))))),".")</f>
        <v>25540.609079105579</v>
      </c>
      <c r="W15" s="70">
        <f>IFERROR(IF(AND(d_Irr!V15&lt;&gt;".",d_Irr!AU15&lt;&gt;".",d_Irr!BT15&lt;&gt;"."),d_dir!W15/((1/1000)*(d_Irr!V15+d_Irr!AU15+d_Irr!BT15)),IF(AND(d_Irr!V15&lt;&gt;".",d_Irr!AU15&lt;&gt;".",d_Irr!BT15="."),d_dir!W15/((1/1000)*(d_Irr!V15+d_Irr!AU15)),IF(AND(d_Irr!V15&lt;&gt;".",d_Irr!AU15=".",d_Irr!BT15&lt;&gt;"."),d_dir!W15/((1/1000)*(d_Irr!V15+d_Irr!BT15)),IF(AND(d_Irr!V15=".",d_Irr!AU15&lt;&gt;".",d_Irr!BT15&lt;&gt;"."),d_dir!W15/((1/1000)*(d_Irr!AU15+d_Irr!BT15)),IF(AND(d_Irr!V15=".",d_Irr!AU15=".",d_Irr!BT15&lt;&gt;"."),d_dir!W15/((1/1000)*(d_Irr!BT15)),IF(AND(d_Irr!V15=".",d_Irr!AU15&lt;&gt;".",d_Irr!BT15="."),d_dir!W15/((1/1000)*(d_Irr!AU15)),IF(AND(d_Irr!V15&lt;&gt;".",d_Irr!AU15=".",d_Irr!BT15="."),d_dir!W15/((1/1000)*(d_Irr!V15)),IF(AND(d_Irr!V15=".",d_Irr!AU15=".",d_Irr!BT15="."),d_dir!W15*1000)))))))),".")</f>
        <v>45984.722956790523</v>
      </c>
      <c r="X15" s="70">
        <f>IFERROR(IF(AND(d_Irr!W15&lt;&gt;".",d_Irr!AV15&lt;&gt;".",d_Irr!BU15&lt;&gt;"."),d_dir!X15/((1/1000)*(d_Irr!W15+d_Irr!AV15+d_Irr!BU15)),IF(AND(d_Irr!W15&lt;&gt;".",d_Irr!AV15&lt;&gt;".",d_Irr!BU15="."),d_dir!X15/((1/1000)*(d_Irr!W15+d_Irr!AV15)),IF(AND(d_Irr!W15&lt;&gt;".",d_Irr!AV15=".",d_Irr!BU15&lt;&gt;"."),d_dir!X15/((1/1000)*(d_Irr!W15+d_Irr!BU15)),IF(AND(d_Irr!W15=".",d_Irr!AV15&lt;&gt;".",d_Irr!BU15&lt;&gt;"."),d_dir!X15/((1/1000)*(d_Irr!AV15+d_Irr!BU15)),IF(AND(d_Irr!W15=".",d_Irr!AV15=".",d_Irr!BU15&lt;&gt;"."),d_dir!X15/((1/1000)*(d_Irr!BU15)),IF(AND(d_Irr!W15=".",d_Irr!AV15&lt;&gt;".",d_Irr!BU15="."),d_dir!X15/((1/1000)*(d_Irr!AV15)),IF(AND(d_Irr!W15&lt;&gt;".",d_Irr!AV15=".",d_Irr!BU15="."),d_dir!X15/((1/1000)*(d_Irr!W15)),IF(AND(d_Irr!W15=".",d_Irr!AV15=".",d_Irr!BU15="."),d_dir!X15*1000)))))))),".")</f>
        <v>53770.81811200588</v>
      </c>
      <c r="Y15" s="70">
        <f>IFERROR(IF(AND(d_Irr!X15&lt;&gt;".",d_Irr!AW15&lt;&gt;".",d_Irr!BV15&lt;&gt;"."),d_dir!Y15/((1/1000)*(d_Irr!X15+d_Irr!AW15+d_Irr!BV15)),IF(AND(d_Irr!X15&lt;&gt;".",d_Irr!AW15&lt;&gt;".",d_Irr!BV15="."),d_dir!Y15/((1/1000)*(d_Irr!X15+d_Irr!AW15)),IF(AND(d_Irr!X15&lt;&gt;".",d_Irr!AW15=".",d_Irr!BV15&lt;&gt;"."),d_dir!Y15/((1/1000)*(d_Irr!X15+d_Irr!BV15)),IF(AND(d_Irr!X15=".",d_Irr!AW15&lt;&gt;".",d_Irr!BV15&lt;&gt;"."),d_dir!Y15/((1/1000)*(d_Irr!AW15+d_Irr!BV15)),IF(AND(d_Irr!X15=".",d_Irr!AW15=".",d_Irr!BV15&lt;&gt;"."),d_dir!Y15/((1/1000)*(d_Irr!BV15)),IF(AND(d_Irr!X15=".",d_Irr!AW15&lt;&gt;".",d_Irr!BV15="."),d_dir!Y15/((1/1000)*(d_Irr!AW15)),IF(AND(d_Irr!X15&lt;&gt;".",d_Irr!AW15=".",d_Irr!BV15="."),d_dir!Y15/((1/1000)*(d_Irr!X15)),IF(AND(d_Irr!X15=".",d_Irr!AW15=".",d_Irr!BV15="."),d_dir!Y15*1000)))))))),".")</f>
        <v>68709.080289441699</v>
      </c>
      <c r="Z15" s="70">
        <f>IFERROR(IF(AND(d_Irr!Y15&lt;&gt;".",d_Irr!AX15&lt;&gt;".",d_Irr!BW15&lt;&gt;"."),d_dir!Z15/((1/1000)*(d_Irr!Y15+d_Irr!AX15+d_Irr!BW15)),IF(AND(d_Irr!Y15&lt;&gt;".",d_Irr!AX15&lt;&gt;".",d_Irr!BW15="."),d_dir!Z15/((1/1000)*(d_Irr!Y15+d_Irr!AX15)),IF(AND(d_Irr!Y15&lt;&gt;".",d_Irr!AX15=".",d_Irr!BW15&lt;&gt;"."),d_dir!Z15/((1/1000)*(d_Irr!Y15+d_Irr!BW15)),IF(AND(d_Irr!Y15=".",d_Irr!AX15&lt;&gt;".",d_Irr!BW15&lt;&gt;"."),d_dir!Z15/((1/1000)*(d_Irr!AX15+d_Irr!BW15)),IF(AND(d_Irr!Y15=".",d_Irr!AX15=".",d_Irr!BW15&lt;&gt;"."),d_dir!Z15/((1/1000)*(d_Irr!BW15)),IF(AND(d_Irr!Y15=".",d_Irr!AX15&lt;&gt;".",d_Irr!BW15="."),d_dir!Z15/((1/1000)*(d_Irr!AX15)),IF(AND(d_Irr!Y15&lt;&gt;".",d_Irr!AX15=".",d_Irr!BW15="."),d_dir!Z15/((1/1000)*(d_Irr!Y15)),IF(AND(d_Irr!Y15=".",d_Irr!AX15=".",d_Irr!BW15="."),d_dir!Z15*1000)))))))),".")</f>
        <v>34835.278990691288</v>
      </c>
      <c r="AA15" s="70">
        <f>IFERROR(IF(AND(d_Irr!Z15&lt;&gt;".",d_Irr!AY15&lt;&gt;".",d_Irr!BX15&lt;&gt;"."),d_dir!AA15/((1/1000)*(d_Irr!Z15+d_Irr!AY15+d_Irr!BX15)),IF(AND(d_Irr!Z15&lt;&gt;".",d_Irr!AY15&lt;&gt;".",d_Irr!BX15="."),d_dir!AA15/((1/1000)*(d_Irr!Z15+d_Irr!AY15)),IF(AND(d_Irr!Z15&lt;&gt;".",d_Irr!AY15=".",d_Irr!BX15&lt;&gt;"."),d_dir!AA15/((1/1000)*(d_Irr!Z15+d_Irr!BX15)),IF(AND(d_Irr!Z15=".",d_Irr!AY15&lt;&gt;".",d_Irr!BX15&lt;&gt;"."),d_dir!AA15/((1/1000)*(d_Irr!AY15+d_Irr!BX15)),IF(AND(d_Irr!Z15=".",d_Irr!AY15=".",d_Irr!BX15&lt;&gt;"."),d_dir!AA15/((1/1000)*(d_Irr!BX15)),IF(AND(d_Irr!Z15=".",d_Irr!AY15&lt;&gt;".",d_Irr!BX15="."),d_dir!AA15/((1/1000)*(d_Irr!AY15)),IF(AND(d_Irr!Z15&lt;&gt;".",d_Irr!AY15=".",d_Irr!BX15="."),d_dir!AA15/((1/1000)*(d_Irr!Z15)),IF(AND(d_Irr!Z15=".",d_Irr!AY15=".",d_Irr!BX15="."),d_dir!AA15*1000)))))))),".")</f>
        <v>11326.843182409362</v>
      </c>
      <c r="AB15" s="70">
        <f>IFERROR(IF(AND(d_Irr!AA15&lt;&gt;".",d_Irr!AZ15&lt;&gt;".",d_Irr!BY15&lt;&gt;"."),d_dir!AB15/((1/1000)*(d_Irr!AA15+d_Irr!AZ15+d_Irr!BY15)),IF(AND(d_Irr!AA15&lt;&gt;".",d_Irr!AZ15&lt;&gt;".",d_Irr!BY15="."),d_dir!AB15/((1/1000)*(d_Irr!AA15+d_Irr!AZ15)),IF(AND(d_Irr!AA15&lt;&gt;".",d_Irr!AZ15=".",d_Irr!BY15&lt;&gt;"."),d_dir!AB15/((1/1000)*(d_Irr!AA15+d_Irr!BY15)),IF(AND(d_Irr!AA15=".",d_Irr!AZ15&lt;&gt;".",d_Irr!BY15&lt;&gt;"."),d_dir!AB15/((1/1000)*(d_Irr!AZ15+d_Irr!BY15)),IF(AND(d_Irr!AA15=".",d_Irr!AZ15=".",d_Irr!BY15&lt;&gt;"."),d_dir!AB15/((1/1000)*(d_Irr!BY15)),IF(AND(d_Irr!AA15=".",d_Irr!AZ15&lt;&gt;".",d_Irr!BY15="."),d_dir!AB15/((1/1000)*(d_Irr!AZ15)),IF(AND(d_Irr!AA15&lt;&gt;".",d_Irr!AZ15=".",d_Irr!BY15="."),d_dir!AB15/((1/1000)*(d_Irr!AA15)),IF(AND(d_Irr!AA15=".",d_Irr!AZ15=".",d_Irr!BY15="."),d_dir!AB15*1000)))))))),".")</f>
        <v>12607.32134556452</v>
      </c>
      <c r="AC15" s="70">
        <f t="shared" si="0"/>
        <v>1715.2539945948231</v>
      </c>
      <c r="AD15" s="70">
        <f>IFERROR(IF(AND(d_Irr!C15&lt;&gt;".",d_Irr!AB15&lt;&gt;".",d_Irr!BA15&lt;&gt;"."),d_dir!AD15/((1/1000)*(d_Irr!C15+d_Irr!AB15+d_Irr!BA15)),IF(AND(d_Irr!C15&lt;&gt;".",d_Irr!AB15&lt;&gt;".",d_Irr!BA15="."),d_dir!AD15/((1/1000)*(d_Irr!C15+d_Irr!AB15)),IF(AND(d_Irr!C15&lt;&gt;".",d_Irr!AB15=".",d_Irr!BA15&lt;&gt;"."),d_dir!AD15/((1/1000)*(d_Irr!C15+d_Irr!BA15)),IF(AND(d_Irr!C15=".",d_Irr!AB15&lt;&gt;".",d_Irr!BA15&lt;&gt;"."),d_dir!AD15/((1/1000)*(d_Irr!AB15+d_Irr!BA15)),IF(AND(d_Irr!C15=".",d_Irr!AB15=".",d_Irr!BA15&lt;&gt;"."),d_dir!AD15/((1/1000)*(d_Irr!BA15)),IF(AND(d_Irr!C15=".",d_Irr!AB15&lt;&gt;".",d_Irr!BA15="."),d_dir!AD15/((1/1000)*(d_Irr!AB15)),IF(AND(d_Irr!C15&lt;&gt;".",d_Irr!AB15=".",d_Irr!BA15="."),d_dir!AD15/((1/1000)*(d_Irr!C15)),IF(AND(d_Irr!C15=".",d_Irr!AB15=".",d_Irr!BA15="."),d_dir!AD15*1000)))))))),".")</f>
        <v>30546.540013210379</v>
      </c>
      <c r="AE15" s="70">
        <f>IFERROR(IF(AND(d_Irr!D15&lt;&gt;".",d_Irr!AC15&lt;&gt;".",d_Irr!BB15&lt;&gt;"."),d_dir!AE15/((1/1000)*(d_Irr!D15+d_Irr!AC15+d_Irr!BB15)),IF(AND(d_Irr!D15&lt;&gt;".",d_Irr!AC15&lt;&gt;".",d_Irr!BB15="."),d_dir!AE15/((1/1000)*(d_Irr!D15+d_Irr!AC15)),IF(AND(d_Irr!D15&lt;&gt;".",d_Irr!AC15=".",d_Irr!BB15&lt;&gt;"."),d_dir!AE15/((1/1000)*(d_Irr!D15+d_Irr!BB15)),IF(AND(d_Irr!D15=".",d_Irr!AC15&lt;&gt;".",d_Irr!BB15&lt;&gt;"."),d_dir!AE15/((1/1000)*(d_Irr!AC15+d_Irr!BB15)),IF(AND(d_Irr!D15=".",d_Irr!AC15=".",d_Irr!BB15&lt;&gt;"."),d_dir!AE15/((1/1000)*(d_Irr!BB15)),IF(AND(d_Irr!D15=".",d_Irr!AC15&lt;&gt;".",d_Irr!BB15="."),d_dir!AE15/((1/1000)*(d_Irr!AC15)),IF(AND(d_Irr!D15&lt;&gt;".",d_Irr!AC15=".",d_Irr!BB15="."),d_dir!AE15/((1/1000)*(d_Irr!D15)),IF(AND(d_Irr!D15=".",d_Irr!AC15=".",d_Irr!BB15="."),d_dir!AE15*1000)))))))),".")</f>
        <v>44303.069107212461</v>
      </c>
      <c r="AF15" s="70">
        <f>IFERROR(IF(AND(d_Irr!E15&lt;&gt;".",d_Irr!AD15&lt;&gt;".",d_Irr!BC15&lt;&gt;"."),d_dir!AF15/((1/1000)*(d_Irr!E15+d_Irr!AD15+d_Irr!BC15)),IF(AND(d_Irr!E15&lt;&gt;".",d_Irr!AD15&lt;&gt;".",d_Irr!BC15="."),d_dir!AF15/((1/1000)*(d_Irr!E15+d_Irr!AD15)),IF(AND(d_Irr!E15&lt;&gt;".",d_Irr!AD15=".",d_Irr!BC15&lt;&gt;"."),d_dir!AF15/((1/1000)*(d_Irr!E15+d_Irr!BC15)),IF(AND(d_Irr!E15=".",d_Irr!AD15&lt;&gt;".",d_Irr!BC15&lt;&gt;"."),d_dir!AF15/((1/1000)*(d_Irr!AD15+d_Irr!BC15)),IF(AND(d_Irr!E15=".",d_Irr!AD15=".",d_Irr!BC15&lt;&gt;"."),d_dir!AF15/((1/1000)*(d_Irr!BC15)),IF(AND(d_Irr!E15=".",d_Irr!AD15&lt;&gt;".",d_Irr!BC15="."),d_dir!AF15/((1/1000)*(d_Irr!AD15)),IF(AND(d_Irr!E15&lt;&gt;".",d_Irr!AD15=".",d_Irr!BC15="."),d_dir!AF15/((1/1000)*(d_Irr!E15)),IF(AND(d_Irr!E15=".",d_Irr!AD15=".",d_Irr!BC15="."),d_dir!AF15*1000)))))))),".")</f>
        <v>81982.559183694597</v>
      </c>
      <c r="AG15" s="70">
        <f>IFERROR(IF(AND(d_Irr!F15&lt;&gt;".",d_Irr!AE15&lt;&gt;".",d_Irr!BD15&lt;&gt;"."),d_dir!AG15/((1/1000)*(d_Irr!F15+d_Irr!AE15+d_Irr!BD15)),IF(AND(d_Irr!F15&lt;&gt;".",d_Irr!AE15&lt;&gt;".",d_Irr!BD15="."),d_dir!AG15/((1/1000)*(d_Irr!F15+d_Irr!AE15)),IF(AND(d_Irr!F15&lt;&gt;".",d_Irr!AE15=".",d_Irr!BD15&lt;&gt;"."),d_dir!AG15/((1/1000)*(d_Irr!F15+d_Irr!BD15)),IF(AND(d_Irr!F15=".",d_Irr!AE15&lt;&gt;".",d_Irr!BD15&lt;&gt;"."),d_dir!AG15/((1/1000)*(d_Irr!AE15+d_Irr!BD15)),IF(AND(d_Irr!F15=".",d_Irr!AE15=".",d_Irr!BD15&lt;&gt;"."),d_dir!AG15/((1/1000)*(d_Irr!BD15)),IF(AND(d_Irr!F15=".",d_Irr!AE15&lt;&gt;".",d_Irr!BD15="."),d_dir!AG15/((1/1000)*(d_Irr!AE15)),IF(AND(d_Irr!F15&lt;&gt;".",d_Irr!AE15=".",d_Irr!BD15="."),d_dir!AG15/((1/1000)*(d_Irr!F15)),IF(AND(d_Irr!F15=".",d_Irr!AE15=".",d_Irr!BD15="."),d_dir!AG15*1000)))))))),".")</f>
        <v>76917.623146103128</v>
      </c>
      <c r="AH15" s="70">
        <f>IFERROR(IF(AND(d_Irr!G15&lt;&gt;".",d_Irr!AF15&lt;&gt;".",d_Irr!BE15&lt;&gt;"."),d_dir!AH15/((1/1000)*(d_Irr!G15+d_Irr!AF15+d_Irr!BE15)),IF(AND(d_Irr!G15&lt;&gt;".",d_Irr!AF15&lt;&gt;".",d_Irr!BE15="."),d_dir!AH15/((1/1000)*(d_Irr!G15+d_Irr!AF15)),IF(AND(d_Irr!G15&lt;&gt;".",d_Irr!AF15=".",d_Irr!BE15&lt;&gt;"."),d_dir!AH15/((1/1000)*(d_Irr!G15+d_Irr!BE15)),IF(AND(d_Irr!G15=".",d_Irr!AF15&lt;&gt;".",d_Irr!BE15&lt;&gt;"."),d_dir!AH15/((1/1000)*(d_Irr!AF15+d_Irr!BE15)),IF(AND(d_Irr!G15=".",d_Irr!AF15=".",d_Irr!BE15&lt;&gt;"."),d_dir!AH15/((1/1000)*(d_Irr!BE15)),IF(AND(d_Irr!G15=".",d_Irr!AF15&lt;&gt;".",d_Irr!BE15="."),d_dir!AH15/((1/1000)*(d_Irr!AF15)),IF(AND(d_Irr!G15&lt;&gt;".",d_Irr!AF15=".",d_Irr!BE15="."),d_dir!AH15/((1/1000)*(d_Irr!G15)),IF(AND(d_Irr!G15=".",d_Irr!AF15=".",d_Irr!BE15="."),d_dir!AH15*1000)))))))),".")</f>
        <v>78598.937990337377</v>
      </c>
      <c r="AI15" s="70">
        <f>IFERROR(IF(AND(d_Irr!H15&lt;&gt;".",d_Irr!AG15&lt;&gt;".",d_Irr!BF15&lt;&gt;"."),d_dir!AI15/((1/1000)*(d_Irr!H15+d_Irr!AG15+d_Irr!BF15)),IF(AND(d_Irr!H15&lt;&gt;".",d_Irr!AG15&lt;&gt;".",d_Irr!BF15="."),d_dir!AI15/((1/1000)*(d_Irr!H15+d_Irr!AG15)),IF(AND(d_Irr!H15&lt;&gt;".",d_Irr!AG15=".",d_Irr!BF15&lt;&gt;"."),d_dir!AI15/((1/1000)*(d_Irr!H15+d_Irr!BF15)),IF(AND(d_Irr!H15=".",d_Irr!AG15&lt;&gt;".",d_Irr!BF15&lt;&gt;"."),d_dir!AI15/((1/1000)*(d_Irr!AG15+d_Irr!BF15)),IF(AND(d_Irr!H15=".",d_Irr!AG15=".",d_Irr!BF15&lt;&gt;"."),d_dir!AI15/((1/1000)*(d_Irr!BF15)),IF(AND(d_Irr!H15=".",d_Irr!AG15&lt;&gt;".",d_Irr!BF15="."),d_dir!AI15/((1/1000)*(d_Irr!AG15)),IF(AND(d_Irr!H15&lt;&gt;".",d_Irr!AG15=".",d_Irr!BF15="."),d_dir!AI15/((1/1000)*(d_Irr!H15)),IF(AND(d_Irr!H15=".",d_Irr!AG15=".",d_Irr!BF15="."),d_dir!AI15*1000)))))))),".")</f>
        <v>22953.038189675106</v>
      </c>
      <c r="AJ15" s="70">
        <f>IFERROR(IF(AND(d_Irr!I15&lt;&gt;".",d_Irr!AH15&lt;&gt;".",d_Irr!BG15&lt;&gt;"."),d_dir!AJ15/((1/1000)*(d_Irr!I15+d_Irr!AH15+d_Irr!BG15)),IF(AND(d_Irr!I15&lt;&gt;".",d_Irr!AH15&lt;&gt;".",d_Irr!BG15="."),d_dir!AJ15/((1/1000)*(d_Irr!I15+d_Irr!AH15)),IF(AND(d_Irr!I15&lt;&gt;".",d_Irr!AH15=".",d_Irr!BG15&lt;&gt;"."),d_dir!AJ15/((1/1000)*(d_Irr!I15+d_Irr!BG15)),IF(AND(d_Irr!I15=".",d_Irr!AH15&lt;&gt;".",d_Irr!BG15&lt;&gt;"."),d_dir!AJ15/((1/1000)*(d_Irr!AH15+d_Irr!BG15)),IF(AND(d_Irr!I15=".",d_Irr!AH15=".",d_Irr!BG15&lt;&gt;"."),d_dir!AJ15/((1/1000)*(d_Irr!BG15)),IF(AND(d_Irr!I15=".",d_Irr!AH15&lt;&gt;".",d_Irr!BG15="."),d_dir!AJ15/((1/1000)*(d_Irr!AH15)),IF(AND(d_Irr!I15&lt;&gt;".",d_Irr!AH15=".",d_Irr!BG15="."),d_dir!AJ15/((1/1000)*(d_Irr!I15)),IF(AND(d_Irr!I15=".",d_Irr!AH15=".",d_Irr!BG15="."),d_dir!AJ15*1000)))))))),".")</f>
        <v>108866.781534761</v>
      </c>
      <c r="AK15" s="70">
        <f>IFERROR(IF(AND(d_Irr!J15&lt;&gt;".",d_Irr!AI15&lt;&gt;".",d_Irr!BH15&lt;&gt;"."),d_dir!AK15/((1/1000)*(d_Irr!J15+d_Irr!AI15+d_Irr!BH15)),IF(AND(d_Irr!J15&lt;&gt;".",d_Irr!AI15&lt;&gt;".",d_Irr!BH15="."),d_dir!AK15/((1/1000)*(d_Irr!J15+d_Irr!AI15)),IF(AND(d_Irr!J15&lt;&gt;".",d_Irr!AI15=".",d_Irr!BH15&lt;&gt;"."),d_dir!AK15/((1/1000)*(d_Irr!J15+d_Irr!BH15)),IF(AND(d_Irr!J15=".",d_Irr!AI15&lt;&gt;".",d_Irr!BH15&lt;&gt;"."),d_dir!AK15/((1/1000)*(d_Irr!AI15+d_Irr!BH15)),IF(AND(d_Irr!J15=".",d_Irr!AI15=".",d_Irr!BH15&lt;&gt;"."),d_dir!AK15/((1/1000)*(d_Irr!BH15)),IF(AND(d_Irr!J15=".",d_Irr!AI15&lt;&gt;".",d_Irr!BH15="."),d_dir!AK15/((1/1000)*(d_Irr!AI15)),IF(AND(d_Irr!J15&lt;&gt;".",d_Irr!AI15=".",d_Irr!BH15="."),d_dir!AK15/((1/1000)*(d_Irr!J15)),IF(AND(d_Irr!J15=".",d_Irr!AI15=".",d_Irr!BH15="."),d_dir!AK15*1000)))))))),".")</f>
        <v>8855.7725891647606</v>
      </c>
      <c r="AL15" s="70">
        <f>IFERROR(IF(AND(d_Irr!K15&lt;&gt;".",d_Irr!AJ15&lt;&gt;".",d_Irr!BI15&lt;&gt;"."),d_dir!AL15/((1/1000)*(d_Irr!K15+d_Irr!AJ15+d_Irr!BI15)),IF(AND(d_Irr!K15&lt;&gt;".",d_Irr!AJ15&lt;&gt;".",d_Irr!BI15="."),d_dir!AL15/((1/1000)*(d_Irr!K15+d_Irr!AJ15)),IF(AND(d_Irr!K15&lt;&gt;".",d_Irr!AJ15=".",d_Irr!BI15&lt;&gt;"."),d_dir!AL15/((1/1000)*(d_Irr!K15+d_Irr!BI15)),IF(AND(d_Irr!K15=".",d_Irr!AJ15&lt;&gt;".",d_Irr!BI15&lt;&gt;"."),d_dir!AL15/((1/1000)*(d_Irr!AJ15+d_Irr!BI15)),IF(AND(d_Irr!K15=".",d_Irr!AJ15=".",d_Irr!BI15&lt;&gt;"."),d_dir!AL15/((1/1000)*(d_Irr!BI15)),IF(AND(d_Irr!K15=".",d_Irr!AJ15&lt;&gt;".",d_Irr!BI15="."),d_dir!AL15/((1/1000)*(d_Irr!AJ15)),IF(AND(d_Irr!K15&lt;&gt;".",d_Irr!AJ15=".",d_Irr!BI15="."),d_dir!AL15/((1/1000)*(d_Irr!K15)),IF(AND(d_Irr!K15=".",d_Irr!AJ15=".",d_Irr!BI15="."),d_dir!AL15*1000)))))))),".")</f>
        <v>37585.689741589798</v>
      </c>
      <c r="AM15" s="70">
        <f>IFERROR(IF(AND(d_Irr!L15&lt;&gt;".",d_Irr!AK15&lt;&gt;".",d_Irr!BJ15&lt;&gt;"."),d_dir!AM15/((1/1000)*(d_Irr!L15+d_Irr!AK15+d_Irr!BJ15)),IF(AND(d_Irr!L15&lt;&gt;".",d_Irr!AK15&lt;&gt;".",d_Irr!BJ15="."),d_dir!AM15/((1/1000)*(d_Irr!L15+d_Irr!AK15)),IF(AND(d_Irr!L15&lt;&gt;".",d_Irr!AK15=".",d_Irr!BJ15&lt;&gt;"."),d_dir!AM15/((1/1000)*(d_Irr!L15+d_Irr!BJ15)),IF(AND(d_Irr!L15=".",d_Irr!AK15&lt;&gt;".",d_Irr!BJ15&lt;&gt;"."),d_dir!AM15/((1/1000)*(d_Irr!AK15+d_Irr!BJ15)),IF(AND(d_Irr!L15=".",d_Irr!AK15=".",d_Irr!BJ15&lt;&gt;"."),d_dir!AM15/((1/1000)*(d_Irr!BJ15)),IF(AND(d_Irr!L15=".",d_Irr!AK15&lt;&gt;".",d_Irr!BJ15="."),d_dir!AM15/((1/1000)*(d_Irr!AK15)),IF(AND(d_Irr!L15&lt;&gt;".",d_Irr!AK15=".",d_Irr!BJ15="."),d_dir!AM15/((1/1000)*(d_Irr!L15)),IF(AND(d_Irr!L15=".",d_Irr!AK15=".",d_Irr!BJ15="."),d_dir!AM15*1000)))))))),".")</f>
        <v>50356.855076207503</v>
      </c>
      <c r="AN15" s="70">
        <f>IFERROR(IF(AND(d_Irr!M15&lt;&gt;".",d_Irr!AL15&lt;&gt;".",d_Irr!BK15&lt;&gt;"."),d_dir!AN15/((1/1000)*(d_Irr!M15+d_Irr!AL15+d_Irr!BK15)),IF(AND(d_Irr!M15&lt;&gt;".",d_Irr!AL15&lt;&gt;".",d_Irr!BK15="."),d_dir!AN15/((1/1000)*(d_Irr!M15+d_Irr!AL15)),IF(AND(d_Irr!M15&lt;&gt;".",d_Irr!AL15=".",d_Irr!BK15&lt;&gt;"."),d_dir!AN15/((1/1000)*(d_Irr!M15+d_Irr!BK15)),IF(AND(d_Irr!M15=".",d_Irr!AL15&lt;&gt;".",d_Irr!BK15&lt;&gt;"."),d_dir!AN15/((1/1000)*(d_Irr!AL15+d_Irr!BK15)),IF(AND(d_Irr!M15=".",d_Irr!AL15=".",d_Irr!BK15&lt;&gt;"."),d_dir!AN15/((1/1000)*(d_Irr!BK15)),IF(AND(d_Irr!M15=".",d_Irr!AL15&lt;&gt;".",d_Irr!BK15="."),d_dir!AN15/((1/1000)*(d_Irr!AL15)),IF(AND(d_Irr!M15&lt;&gt;".",d_Irr!AL15=".",d_Irr!BK15="."),d_dir!AN15/((1/1000)*(d_Irr!M15)),IF(AND(d_Irr!M15=".",d_Irr!AL15=".",d_Irr!BK15="."),d_dir!AN15*1000)))))))),".")</f>
        <v>46680.286190906168</v>
      </c>
      <c r="AO15" s="70">
        <f>IFERROR(IF(AND(d_Irr!N15&lt;&gt;".",d_Irr!AM15&lt;&gt;".",d_Irr!BL15&lt;&gt;"."),d_dir!AO15/((1/1000)*(d_Irr!N15+d_Irr!AM15+d_Irr!BL15)),IF(AND(d_Irr!N15&lt;&gt;".",d_Irr!AM15&lt;&gt;".",d_Irr!BL15="."),d_dir!AO15/((1/1000)*(d_Irr!N15+d_Irr!AM15)),IF(AND(d_Irr!N15&lt;&gt;".",d_Irr!AM15=".",d_Irr!BL15&lt;&gt;"."),d_dir!AO15/((1/1000)*(d_Irr!N15+d_Irr!BL15)),IF(AND(d_Irr!N15=".",d_Irr!AM15&lt;&gt;".",d_Irr!BL15&lt;&gt;"."),d_dir!AO15/((1/1000)*(d_Irr!AM15+d_Irr!BL15)),IF(AND(d_Irr!N15=".",d_Irr!AM15=".",d_Irr!BL15&lt;&gt;"."),d_dir!AO15/((1/1000)*(d_Irr!BL15)),IF(AND(d_Irr!N15=".",d_Irr!AM15&lt;&gt;".",d_Irr!BL15="."),d_dir!AO15/((1/1000)*(d_Irr!AM15)),IF(AND(d_Irr!N15&lt;&gt;".",d_Irr!AM15=".",d_Irr!BL15="."),d_dir!AO15/((1/1000)*(d_Irr!N15)),IF(AND(d_Irr!N15=".",d_Irr!AM15=".",d_Irr!BL15="."),d_dir!AO15*1000)))))))),".")</f>
        <v>81104.345738395801</v>
      </c>
      <c r="AP15" s="70">
        <f>IFERROR(IF(AND(d_Irr!O15&lt;&gt;".",d_Irr!AN15&lt;&gt;".",d_Irr!BM15&lt;&gt;"."),d_dir!AP15/((1/1000)*(d_Irr!O15+d_Irr!AN15+d_Irr!BM15)),IF(AND(d_Irr!O15&lt;&gt;".",d_Irr!AN15&lt;&gt;".",d_Irr!BM15="."),d_dir!AP15/((1/1000)*(d_Irr!O15+d_Irr!AN15)),IF(AND(d_Irr!O15&lt;&gt;".",d_Irr!AN15=".",d_Irr!BM15&lt;&gt;"."),d_dir!AP15/((1/1000)*(d_Irr!O15+d_Irr!BM15)),IF(AND(d_Irr!O15=".",d_Irr!AN15&lt;&gt;".",d_Irr!BM15&lt;&gt;"."),d_dir!AP15/((1/1000)*(d_Irr!AN15+d_Irr!BM15)),IF(AND(d_Irr!O15=".",d_Irr!AN15=".",d_Irr!BM15&lt;&gt;"."),d_dir!AP15/((1/1000)*(d_Irr!BM15)),IF(AND(d_Irr!O15=".",d_Irr!AN15&lt;&gt;".",d_Irr!BM15="."),d_dir!AP15/((1/1000)*(d_Irr!AN15)),IF(AND(d_Irr!O15&lt;&gt;".",d_Irr!AN15=".",d_Irr!BM15="."),d_dir!AP15/((1/1000)*(d_Irr!O15)),IF(AND(d_Irr!O15=".",d_Irr!AN15=".",d_Irr!BM15="."),d_dir!AP15*1000)))))))),".")</f>
        <v>90722.183539805774</v>
      </c>
      <c r="AQ15" s="70">
        <f>IFERROR(IF(AND(d_Irr!P15&lt;&gt;".",d_Irr!AO15&lt;&gt;".",d_Irr!BN15&lt;&gt;"."),d_dir!AQ15/((1/1000)*(d_Irr!P15+d_Irr!AO15+d_Irr!BN15)),IF(AND(d_Irr!P15&lt;&gt;".",d_Irr!AO15&lt;&gt;".",d_Irr!BN15="."),d_dir!AQ15/((1/1000)*(d_Irr!P15+d_Irr!AO15)),IF(AND(d_Irr!P15&lt;&gt;".",d_Irr!AO15=".",d_Irr!BN15&lt;&gt;"."),d_dir!AQ15/((1/1000)*(d_Irr!P15+d_Irr!BN15)),IF(AND(d_Irr!P15=".",d_Irr!AO15&lt;&gt;".",d_Irr!BN15&lt;&gt;"."),d_dir!AQ15/((1/1000)*(d_Irr!AO15+d_Irr!BN15)),IF(AND(d_Irr!P15=".",d_Irr!AO15=".",d_Irr!BN15&lt;&gt;"."),d_dir!AQ15/((1/1000)*(d_Irr!BN15)),IF(AND(d_Irr!P15=".",d_Irr!AO15&lt;&gt;".",d_Irr!BN15="."),d_dir!AQ15/((1/1000)*(d_Irr!AO15)),IF(AND(d_Irr!P15&lt;&gt;".",d_Irr!AO15=".",d_Irr!BN15="."),d_dir!AQ15/((1/1000)*(d_Irr!P15)),IF(AND(d_Irr!P15=".",d_Irr!AO15=".",d_Irr!BN15="."),d_dir!AQ15*1000)))))))),".")</f>
        <v>101595.57232826753</v>
      </c>
      <c r="AR15" s="70">
        <f>IFERROR(IF(AND(d_Irr!Q15&lt;&gt;".",d_Irr!AP15&lt;&gt;".",d_Irr!BO15&lt;&gt;"."),d_dir!AR15/((1/1000)*(d_Irr!Q15+d_Irr!AP15+d_Irr!BO15)),IF(AND(d_Irr!Q15&lt;&gt;".",d_Irr!AP15&lt;&gt;".",d_Irr!BO15="."),d_dir!AR15/((1/1000)*(d_Irr!Q15+d_Irr!AP15)),IF(AND(d_Irr!Q15&lt;&gt;".",d_Irr!AP15=".",d_Irr!BO15&lt;&gt;"."),d_dir!AR15/((1/1000)*(d_Irr!Q15+d_Irr!BO15)),IF(AND(d_Irr!Q15=".",d_Irr!AP15&lt;&gt;".",d_Irr!BO15&lt;&gt;"."),d_dir!AR15/((1/1000)*(d_Irr!AP15+d_Irr!BO15)),IF(AND(d_Irr!Q15=".",d_Irr!AP15=".",d_Irr!BO15&lt;&gt;"."),d_dir!AR15/((1/1000)*(d_Irr!BO15)),IF(AND(d_Irr!Q15=".",d_Irr!AP15&lt;&gt;".",d_Irr!BO15="."),d_dir!AR15/((1/1000)*(d_Irr!AP15)),IF(AND(d_Irr!Q15&lt;&gt;".",d_Irr!AP15=".",d_Irr!BO15="."),d_dir!AR15/((1/1000)*(d_Irr!Q15)),IF(AND(d_Irr!Q15=".",d_Irr!AP15=".",d_Irr!BO15="."),d_dir!AR15*1000)))))))),".")</f>
        <v>25213.254139685403</v>
      </c>
      <c r="AS15" s="70">
        <f>IFERROR(IF(AND(d_Irr!R15&lt;&gt;".",d_Irr!AQ15&lt;&gt;".",d_Irr!BP15&lt;&gt;"."),d_dir!AS15/((1/1000)*(d_Irr!R15+d_Irr!AQ15+d_Irr!BP15)),IF(AND(d_Irr!R15&lt;&gt;".",d_Irr!AQ15&lt;&gt;".",d_Irr!BP15="."),d_dir!AS15/((1/1000)*(d_Irr!R15+d_Irr!AQ15)),IF(AND(d_Irr!R15&lt;&gt;".",d_Irr!AQ15=".",d_Irr!BP15&lt;&gt;"."),d_dir!AS15/((1/1000)*(d_Irr!R15+d_Irr!BP15)),IF(AND(d_Irr!R15=".",d_Irr!AQ15&lt;&gt;".",d_Irr!BP15&lt;&gt;"."),d_dir!AS15/((1/1000)*(d_Irr!AQ15+d_Irr!BP15)),IF(AND(d_Irr!R15=".",d_Irr!AQ15=".",d_Irr!BP15&lt;&gt;"."),d_dir!AS15/((1/1000)*(d_Irr!BP15)),IF(AND(d_Irr!R15=".",d_Irr!AQ15&lt;&gt;".",d_Irr!BP15="."),d_dir!AS15/((1/1000)*(d_Irr!AQ15)),IF(AND(d_Irr!R15&lt;&gt;".",d_Irr!AQ15=".",d_Irr!BP15="."),d_dir!AS15/((1/1000)*(d_Irr!R15)),IF(AND(d_Irr!R15=".",d_Irr!AQ15=".",d_Irr!BP15="."),d_dir!AS15*1000)))))))),".")</f>
        <v>41113.978540960314</v>
      </c>
      <c r="AT15" s="70">
        <f>IFERROR(IF(AND(d_Irr!S15&lt;&gt;".",d_Irr!AR15&lt;&gt;".",d_Irr!BQ15&lt;&gt;"."),d_dir!AT15/((1/1000)*(d_Irr!S15+d_Irr!AR15+d_Irr!BQ15)),IF(AND(d_Irr!S15&lt;&gt;".",d_Irr!AR15&lt;&gt;".",d_Irr!BQ15="."),d_dir!AT15/((1/1000)*(d_Irr!S15+d_Irr!AR15)),IF(AND(d_Irr!S15&lt;&gt;".",d_Irr!AR15=".",d_Irr!BQ15&lt;&gt;"."),d_dir!AT15/((1/1000)*(d_Irr!S15+d_Irr!BQ15)),IF(AND(d_Irr!S15=".",d_Irr!AR15&lt;&gt;".",d_Irr!BQ15&lt;&gt;"."),d_dir!AT15/((1/1000)*(d_Irr!AR15+d_Irr!BQ15)),IF(AND(d_Irr!S15=".",d_Irr!AR15=".",d_Irr!BQ15&lt;&gt;"."),d_dir!AT15/((1/1000)*(d_Irr!BQ15)),IF(AND(d_Irr!S15=".",d_Irr!AR15&lt;&gt;".",d_Irr!BQ15="."),d_dir!AT15/((1/1000)*(d_Irr!AR15)),IF(AND(d_Irr!S15&lt;&gt;".",d_Irr!AR15=".",d_Irr!BQ15="."),d_dir!AT15/((1/1000)*(d_Irr!S15)),IF(AND(d_Irr!S15=".",d_Irr!AR15=".",d_Irr!BQ15="."),d_dir!AT15*1000)))))))),".")</f>
        <v>90015.23272724342</v>
      </c>
      <c r="AU15" s="70">
        <f>IFERROR(IF(AND(d_Irr!T15&lt;&gt;".",d_Irr!AS15&lt;&gt;".",d_Irr!BR15&lt;&gt;"."),d_dir!AU15/((1/1000)*(d_Irr!T15+d_Irr!AS15+d_Irr!BR15)),IF(AND(d_Irr!T15&lt;&gt;".",d_Irr!AS15&lt;&gt;".",d_Irr!BR15="."),d_dir!AU15/((1/1000)*(d_Irr!T15+d_Irr!AS15)),IF(AND(d_Irr!T15&lt;&gt;".",d_Irr!AS15=".",d_Irr!BR15&lt;&gt;"."),d_dir!AU15/((1/1000)*(d_Irr!T15+d_Irr!BR15)),IF(AND(d_Irr!T15=".",d_Irr!AS15&lt;&gt;".",d_Irr!BR15&lt;&gt;"."),d_dir!AU15/((1/1000)*(d_Irr!AS15+d_Irr!BR15)),IF(AND(d_Irr!T15=".",d_Irr!AS15=".",d_Irr!BR15&lt;&gt;"."),d_dir!AU15/((1/1000)*(d_Irr!BR15)),IF(AND(d_Irr!T15=".",d_Irr!AS15&lt;&gt;".",d_Irr!BR15="."),d_dir!AU15/((1/1000)*(d_Irr!AS15)),IF(AND(d_Irr!T15&lt;&gt;".",d_Irr!AS15=".",d_Irr!BR15="."),d_dir!AU15/((1/1000)*(d_Irr!T15)),IF(AND(d_Irr!T15=".",d_Irr!AS15=".",d_Irr!BR15="."),d_dir!AU15*1000)))))))),".")</f>
        <v>113314.59307380274</v>
      </c>
      <c r="AV15" s="70">
        <f>IFERROR(IF(AND(d_Irr!U15&lt;&gt;".",d_Irr!AT15&lt;&gt;".",d_Irr!BS15&lt;&gt;"."),d_dir!AV15/((1/1000)*(d_Irr!U15+d_Irr!AT15+d_Irr!BS15)),IF(AND(d_Irr!U15&lt;&gt;".",d_Irr!AT15&lt;&gt;".",d_Irr!BS15="."),d_dir!AV15/((1/1000)*(d_Irr!U15+d_Irr!AT15)),IF(AND(d_Irr!U15&lt;&gt;".",d_Irr!AT15=".",d_Irr!BS15&lt;&gt;"."),d_dir!AV15/((1/1000)*(d_Irr!U15+d_Irr!BS15)),IF(AND(d_Irr!U15=".",d_Irr!AT15&lt;&gt;".",d_Irr!BS15&lt;&gt;"."),d_dir!AV15/((1/1000)*(d_Irr!AT15+d_Irr!BS15)),IF(AND(d_Irr!U15=".",d_Irr!AT15=".",d_Irr!BS15&lt;&gt;"."),d_dir!AV15/((1/1000)*(d_Irr!BS15)),IF(AND(d_Irr!U15=".",d_Irr!AT15&lt;&gt;".",d_Irr!BS15="."),d_dir!AV15/((1/1000)*(d_Irr!AT15)),IF(AND(d_Irr!U15&lt;&gt;".",d_Irr!AT15=".",d_Irr!BS15="."),d_dir!AV15/((1/1000)*(d_Irr!U15)),IF(AND(d_Irr!U15=".",d_Irr!AT15=".",d_Irr!BS15="."),d_dir!AV15*1000)))))))),".")</f>
        <v>21740.053455954931</v>
      </c>
      <c r="AW15" s="70">
        <f>IFERROR(IF(AND(d_Irr!V15&lt;&gt;".",d_Irr!AU15&lt;&gt;".",d_Irr!BT15&lt;&gt;"."),d_dir!AW15/((1/1000)*(d_Irr!V15+d_Irr!AU15+d_Irr!BT15)),IF(AND(d_Irr!V15&lt;&gt;".",d_Irr!AU15&lt;&gt;".",d_Irr!BT15="."),d_dir!AW15/((1/1000)*(d_Irr!V15+d_Irr!AU15)),IF(AND(d_Irr!V15&lt;&gt;".",d_Irr!AU15=".",d_Irr!BT15&lt;&gt;"."),d_dir!AW15/((1/1000)*(d_Irr!V15+d_Irr!BT15)),IF(AND(d_Irr!V15=".",d_Irr!AU15&lt;&gt;".",d_Irr!BT15&lt;&gt;"."),d_dir!AW15/((1/1000)*(d_Irr!AU15+d_Irr!BT15)),IF(AND(d_Irr!V15=".",d_Irr!AU15=".",d_Irr!BT15&lt;&gt;"."),d_dir!AW15/((1/1000)*(d_Irr!BT15)),IF(AND(d_Irr!V15=".",d_Irr!AU15&lt;&gt;".",d_Irr!BT15="."),d_dir!AW15/((1/1000)*(d_Irr!AU15)),IF(AND(d_Irr!V15&lt;&gt;".",d_Irr!AU15=".",d_Irr!BT15="."),d_dir!AW15/((1/1000)*(d_Irr!V15)),IF(AND(d_Irr!V15=".",d_Irr!AU15=".",d_Irr!BT15="."),d_dir!AW15*1000)))))))),".")</f>
        <v>43262.086223595201</v>
      </c>
      <c r="AX15" s="70">
        <f>IFERROR(IF(AND(d_Irr!W15&lt;&gt;".",d_Irr!AV15&lt;&gt;".",d_Irr!BU15&lt;&gt;"."),d_dir!AX15/((1/1000)*(d_Irr!W15+d_Irr!AV15+d_Irr!BU15)),IF(AND(d_Irr!W15&lt;&gt;".",d_Irr!AV15&lt;&gt;".",d_Irr!BU15="."),d_dir!AX15/((1/1000)*(d_Irr!W15+d_Irr!AV15)),IF(AND(d_Irr!W15&lt;&gt;".",d_Irr!AV15=".",d_Irr!BU15&lt;&gt;"."),d_dir!AX15/((1/1000)*(d_Irr!W15+d_Irr!BU15)),IF(AND(d_Irr!W15=".",d_Irr!AV15&lt;&gt;".",d_Irr!BU15&lt;&gt;"."),d_dir!AX15/((1/1000)*(d_Irr!AV15+d_Irr!BU15)),IF(AND(d_Irr!W15=".",d_Irr!AV15=".",d_Irr!BU15&lt;&gt;"."),d_dir!AX15/((1/1000)*(d_Irr!BU15)),IF(AND(d_Irr!W15=".",d_Irr!AV15&lt;&gt;".",d_Irr!BU15="."),d_dir!AX15/((1/1000)*(d_Irr!AV15)),IF(AND(d_Irr!W15&lt;&gt;".",d_Irr!AV15=".",d_Irr!BU15="."),d_dir!AX15/((1/1000)*(d_Irr!W15)),IF(AND(d_Irr!W15=".",d_Irr!AV15=".",d_Irr!BU15="."),d_dir!AX15*1000)))))))),".")</f>
        <v>50908.634528915696</v>
      </c>
      <c r="AY15" s="70">
        <f>IFERROR(IF(AND(d_Irr!X15&lt;&gt;".",d_Irr!AW15&lt;&gt;".",d_Irr!BV15&lt;&gt;"."),d_dir!AY15/((1/1000)*(d_Irr!X15+d_Irr!AW15+d_Irr!BV15)),IF(AND(d_Irr!X15&lt;&gt;".",d_Irr!AW15&lt;&gt;".",d_Irr!BV15="."),d_dir!AY15/((1/1000)*(d_Irr!X15+d_Irr!AW15)),IF(AND(d_Irr!X15&lt;&gt;".",d_Irr!AW15=".",d_Irr!BV15&lt;&gt;"."),d_dir!AY15/((1/1000)*(d_Irr!X15+d_Irr!BV15)),IF(AND(d_Irr!X15=".",d_Irr!AW15&lt;&gt;".",d_Irr!BV15&lt;&gt;"."),d_dir!AY15/((1/1000)*(d_Irr!AW15+d_Irr!BV15)),IF(AND(d_Irr!X15=".",d_Irr!AW15=".",d_Irr!BV15&lt;&gt;"."),d_dir!AY15/((1/1000)*(d_Irr!BV15)),IF(AND(d_Irr!X15=".",d_Irr!AW15&lt;&gt;".",d_Irr!BV15="."),d_dir!AY15/((1/1000)*(d_Irr!AW15)),IF(AND(d_Irr!X15&lt;&gt;".",d_Irr!AW15=".",d_Irr!BV15="."),d_dir!AY15/((1/1000)*(d_Irr!X15)),IF(AND(d_Irr!X15=".",d_Irr!AW15=".",d_Irr!BV15="."),d_dir!AY15*1000)))))))),".")</f>
        <v>66845.300914695094</v>
      </c>
      <c r="AZ15" s="70">
        <f>IFERROR(IF(AND(d_Irr!Y15&lt;&gt;".",d_Irr!AX15&lt;&gt;".",d_Irr!BW15&lt;&gt;"."),d_dir!AZ15/((1/1000)*(d_Irr!Y15+d_Irr!AX15+d_Irr!BW15)),IF(AND(d_Irr!Y15&lt;&gt;".",d_Irr!AX15&lt;&gt;".",d_Irr!BW15="."),d_dir!AZ15/((1/1000)*(d_Irr!Y15+d_Irr!AX15)),IF(AND(d_Irr!Y15&lt;&gt;".",d_Irr!AX15=".",d_Irr!BW15&lt;&gt;"."),d_dir!AZ15/((1/1000)*(d_Irr!Y15+d_Irr!BW15)),IF(AND(d_Irr!Y15=".",d_Irr!AX15&lt;&gt;".",d_Irr!BW15&lt;&gt;"."),d_dir!AZ15/((1/1000)*(d_Irr!AX15+d_Irr!BW15)),IF(AND(d_Irr!Y15=".",d_Irr!AX15=".",d_Irr!BW15&lt;&gt;"."),d_dir!AZ15/((1/1000)*(d_Irr!BW15)),IF(AND(d_Irr!Y15=".",d_Irr!AX15&lt;&gt;".",d_Irr!BW15="."),d_dir!AZ15/((1/1000)*(d_Irr!AX15)),IF(AND(d_Irr!Y15&lt;&gt;".",d_Irr!AX15=".",d_Irr!BW15="."),d_dir!AZ15/((1/1000)*(d_Irr!Y15)),IF(AND(d_Irr!Y15=".",d_Irr!AX15=".",d_Irr!BW15="."),d_dir!AZ15*1000)))))))),".")</f>
        <v>28261.29667577166</v>
      </c>
      <c r="BA15" s="70">
        <f>IFERROR(IF(AND(d_Irr!Z15&lt;&gt;".",d_Irr!AY15&lt;&gt;".",d_Irr!BX15&lt;&gt;"."),d_dir!BA15/((1/1000)*(d_Irr!Z15+d_Irr!AY15+d_Irr!BX15)),IF(AND(d_Irr!Z15&lt;&gt;".",d_Irr!AY15&lt;&gt;".",d_Irr!BX15="."),d_dir!BA15/((1/1000)*(d_Irr!Z15+d_Irr!AY15)),IF(AND(d_Irr!Z15&lt;&gt;".",d_Irr!AY15=".",d_Irr!BX15&lt;&gt;"."),d_dir!BA15/((1/1000)*(d_Irr!Z15+d_Irr!BX15)),IF(AND(d_Irr!Z15=".",d_Irr!AY15&lt;&gt;".",d_Irr!BX15&lt;&gt;"."),d_dir!BA15/((1/1000)*(d_Irr!AY15+d_Irr!BX15)),IF(AND(d_Irr!Z15=".",d_Irr!AY15=".",d_Irr!BX15&lt;&gt;"."),d_dir!BA15/((1/1000)*(d_Irr!BX15)),IF(AND(d_Irr!Z15=".",d_Irr!AY15&lt;&gt;".",d_Irr!BX15="."),d_dir!BA15/((1/1000)*(d_Irr!AY15)),IF(AND(d_Irr!Z15&lt;&gt;".",d_Irr!AY15=".",d_Irr!BX15="."),d_dir!BA15/((1/1000)*(d_Irr!Z15)),IF(AND(d_Irr!Z15=".",d_Irr!AY15=".",d_Irr!BX15="."),d_dir!BA15*1000)))))))),".")</f>
        <v>8973.4642131293567</v>
      </c>
      <c r="BB15" s="70">
        <f>IFERROR(IF(AND(d_Irr!AA15&lt;&gt;".",d_Irr!AZ15&lt;&gt;".",d_Irr!BY15&lt;&gt;"."),d_dir!BB15/((1/1000)*(d_Irr!AA15+d_Irr!AZ15+d_Irr!BY15)),IF(AND(d_Irr!AA15&lt;&gt;".",d_Irr!AZ15&lt;&gt;".",d_Irr!BY15="."),d_dir!BB15/((1/1000)*(d_Irr!AA15+d_Irr!AZ15)),IF(AND(d_Irr!AA15&lt;&gt;".",d_Irr!AZ15=".",d_Irr!BY15&lt;&gt;"."),d_dir!BB15/((1/1000)*(d_Irr!AA15+d_Irr!BY15)),IF(AND(d_Irr!AA15=".",d_Irr!AZ15&lt;&gt;".",d_Irr!BY15&lt;&gt;"."),d_dir!BB15/((1/1000)*(d_Irr!AZ15+d_Irr!BY15)),IF(AND(d_Irr!AA15=".",d_Irr!AZ15=".",d_Irr!BY15&lt;&gt;"."),d_dir!BB15/((1/1000)*(d_Irr!BY15)),IF(AND(d_Irr!AA15=".",d_Irr!AZ15&lt;&gt;".",d_Irr!BY15="."),d_dir!BB15/((1/1000)*(d_Irr!AZ15)),IF(AND(d_Irr!AA15&lt;&gt;".",d_Irr!AZ15=".",d_Irr!BY15="."),d_dir!BB15/((1/1000)*(d_Irr!AA15)),IF(AND(d_Irr!AA15=".",d_Irr!AZ15=".",d_Irr!BY15="."),d_dir!BB15*1000)))))))),".")</f>
        <v>10049.606754655933</v>
      </c>
    </row>
    <row r="16" spans="1:54" ht="15" customHeight="1" x14ac:dyDescent="0.25">
      <c r="A16" s="86" t="s">
        <v>14</v>
      </c>
      <c r="B16" s="84" t="s">
        <v>1057</v>
      </c>
      <c r="C16" s="2">
        <f t="shared" si="1"/>
        <v>0.13319710988816033</v>
      </c>
      <c r="D16" s="70">
        <f>IFERROR(IF(AND(d_Irr!C16&lt;&gt;".",d_Irr!AB16&lt;&gt;".",d_Irr!BA16&lt;&gt;"."),d_dir!D16/((1/1000)*(d_Irr!C16+d_Irr!AB16+d_Irr!BA16)),IF(AND(d_Irr!C16&lt;&gt;".",d_Irr!AB16&lt;&gt;".",d_Irr!BA16="."),d_dir!D16/((1/1000)*(d_Irr!C16+d_Irr!AB16)),IF(AND(d_Irr!C16&lt;&gt;".",d_Irr!AB16=".",d_Irr!BA16&lt;&gt;"."),d_dir!D16/((1/1000)*(d_Irr!C16+d_Irr!BA16)),IF(AND(d_Irr!C16=".",d_Irr!AB16&lt;&gt;".",d_Irr!BA16&lt;&gt;"."),d_dir!D16/((1/1000)*(d_Irr!AB16+d_Irr!BA16)),IF(AND(d_Irr!C16=".",d_Irr!AB16=".",d_Irr!BA16&lt;&gt;"."),d_dir!D16/((1/1000)*(d_Irr!BA16)),IF(AND(d_Irr!C16=".",d_Irr!AB16&lt;&gt;".",d_Irr!BA16="."),d_dir!D16/((1/1000)*(d_Irr!AB16)),IF(AND(d_Irr!C16&lt;&gt;".",d_Irr!AB16=".",d_Irr!BA16="."),d_dir!D16/((1/1000)*(d_Irr!C16)),IF(AND(d_Irr!C16=".",d_Irr!AB16=".",d_Irr!BA16="."),d_dir!D16*1000)))))))),".")</f>
        <v>2.5727252207033535</v>
      </c>
      <c r="E16" s="70">
        <f>IFERROR(IF(AND(d_Irr!D16&lt;&gt;".",d_Irr!AC16&lt;&gt;".",d_Irr!BB16&lt;&gt;"."),d_dir!E16/((1/1000)*(d_Irr!D16+d_Irr!AC16+d_Irr!BB16)),IF(AND(d_Irr!D16&lt;&gt;".",d_Irr!AC16&lt;&gt;".",d_Irr!BB16="."),d_dir!E16/((1/1000)*(d_Irr!D16+d_Irr!AC16)),IF(AND(d_Irr!D16&lt;&gt;".",d_Irr!AC16=".",d_Irr!BB16&lt;&gt;"."),d_dir!E16/((1/1000)*(d_Irr!D16+d_Irr!BB16)),IF(AND(d_Irr!D16=".",d_Irr!AC16&lt;&gt;".",d_Irr!BB16&lt;&gt;"."),d_dir!E16/((1/1000)*(d_Irr!AC16+d_Irr!BB16)),IF(AND(d_Irr!D16=".",d_Irr!AC16=".",d_Irr!BB16&lt;&gt;"."),d_dir!E16/((1/1000)*(d_Irr!BB16)),IF(AND(d_Irr!D16=".",d_Irr!AC16&lt;&gt;".",d_Irr!BB16="."),d_dir!E16/((1/1000)*(d_Irr!AC16)),IF(AND(d_Irr!D16&lt;&gt;".",d_Irr!AC16=".",d_Irr!BB16="."),d_dir!E16/((1/1000)*(d_Irr!D16)),IF(AND(d_Irr!D16=".",d_Irr!AC16=".",d_Irr!BB16="."),d_dir!E16*1000)))))))),".")</f>
        <v>3.4623058068421417</v>
      </c>
      <c r="F16" s="70">
        <f>IFERROR(IF(AND(d_Irr!E16&lt;&gt;".",d_Irr!AD16&lt;&gt;".",d_Irr!BC16&lt;&gt;"."),d_dir!F16/((1/1000)*(d_Irr!E16+d_Irr!AD16+d_Irr!BC16)),IF(AND(d_Irr!E16&lt;&gt;".",d_Irr!AD16&lt;&gt;".",d_Irr!BC16="."),d_dir!F16/((1/1000)*(d_Irr!E16+d_Irr!AD16)),IF(AND(d_Irr!E16&lt;&gt;".",d_Irr!AD16=".",d_Irr!BC16&lt;&gt;"."),d_dir!F16/((1/1000)*(d_Irr!E16+d_Irr!BC16)),IF(AND(d_Irr!E16=".",d_Irr!AD16&lt;&gt;".",d_Irr!BC16&lt;&gt;"."),d_dir!F16/((1/1000)*(d_Irr!AD16+d_Irr!BC16)),IF(AND(d_Irr!E16=".",d_Irr!AD16=".",d_Irr!BC16&lt;&gt;"."),d_dir!F16/((1/1000)*(d_Irr!BC16)),IF(AND(d_Irr!E16=".",d_Irr!AD16&lt;&gt;".",d_Irr!BC16="."),d_dir!F16/((1/1000)*(d_Irr!AD16)),IF(AND(d_Irr!E16&lt;&gt;".",d_Irr!AD16=".",d_Irr!BC16="."),d_dir!F16/((1/1000)*(d_Irr!E16)),IF(AND(d_Irr!E16=".",d_Irr!AD16=".",d_Irr!BC16="."),d_dir!F16*1000)))))))),".")</f>
        <v>6.4935075135232294</v>
      </c>
      <c r="G16" s="70">
        <f>IFERROR(IF(AND(d_Irr!F16&lt;&gt;".",d_Irr!AE16&lt;&gt;".",d_Irr!BD16&lt;&gt;"."),d_dir!G16/((1/1000)*(d_Irr!F16+d_Irr!AE16+d_Irr!BD16)),IF(AND(d_Irr!F16&lt;&gt;".",d_Irr!AE16&lt;&gt;".",d_Irr!BD16="."),d_dir!G16/((1/1000)*(d_Irr!F16+d_Irr!AE16)),IF(AND(d_Irr!F16&lt;&gt;".",d_Irr!AE16=".",d_Irr!BD16&lt;&gt;"."),d_dir!G16/((1/1000)*(d_Irr!F16+d_Irr!BD16)),IF(AND(d_Irr!F16=".",d_Irr!AE16&lt;&gt;".",d_Irr!BD16&lt;&gt;"."),d_dir!G16/((1/1000)*(d_Irr!AE16+d_Irr!BD16)),IF(AND(d_Irr!F16=".",d_Irr!AE16=".",d_Irr!BD16&lt;&gt;"."),d_dir!G16/((1/1000)*(d_Irr!BD16)),IF(AND(d_Irr!F16=".",d_Irr!AE16&lt;&gt;".",d_Irr!BD16="."),d_dir!G16/((1/1000)*(d_Irr!AE16)),IF(AND(d_Irr!F16&lt;&gt;".",d_Irr!AE16=".",d_Irr!BD16="."),d_dir!G16/((1/1000)*(d_Irr!F16)),IF(AND(d_Irr!F16=".",d_Irr!AE16=".",d_Irr!BD16="."),d_dir!G16*1000)))))))),".")</f>
        <v>5.7848176766001203</v>
      </c>
      <c r="H16" s="70">
        <f>IFERROR(IF(AND(d_Irr!G16&lt;&gt;".",d_Irr!AF16&lt;&gt;".",d_Irr!BE16&lt;&gt;"."),d_dir!H16/((1/1000)*(d_Irr!G16+d_Irr!AF16+d_Irr!BE16)),IF(AND(d_Irr!G16&lt;&gt;".",d_Irr!AF16&lt;&gt;".",d_Irr!BE16="."),d_dir!H16/((1/1000)*(d_Irr!G16+d_Irr!AF16)),IF(AND(d_Irr!G16&lt;&gt;".",d_Irr!AF16=".",d_Irr!BE16&lt;&gt;"."),d_dir!H16/((1/1000)*(d_Irr!G16+d_Irr!BE16)),IF(AND(d_Irr!G16=".",d_Irr!AF16&lt;&gt;".",d_Irr!BE16&lt;&gt;"."),d_dir!H16/((1/1000)*(d_Irr!AF16+d_Irr!BE16)),IF(AND(d_Irr!G16=".",d_Irr!AF16=".",d_Irr!BE16&lt;&gt;"."),d_dir!H16/((1/1000)*(d_Irr!BE16)),IF(AND(d_Irr!G16=".",d_Irr!AF16&lt;&gt;".",d_Irr!BE16="."),d_dir!H16/((1/1000)*(d_Irr!AF16)),IF(AND(d_Irr!G16&lt;&gt;".",d_Irr!AF16=".",d_Irr!BE16="."),d_dir!H16/((1/1000)*(d_Irr!G16)),IF(AND(d_Irr!G16=".",d_Irr!AF16=".",d_Irr!BE16="."),d_dir!H16*1000)))))))),".")</f>
        <v>6.7728490977974278</v>
      </c>
      <c r="I16" s="70">
        <f>IFERROR(IF(AND(d_Irr!H16&lt;&gt;".",d_Irr!AG16&lt;&gt;".",d_Irr!BF16&lt;&gt;"."),d_dir!I16/((1/1000)*(d_Irr!H16+d_Irr!AG16+d_Irr!BF16)),IF(AND(d_Irr!H16&lt;&gt;".",d_Irr!AG16&lt;&gt;".",d_Irr!BF16="."),d_dir!I16/((1/1000)*(d_Irr!H16+d_Irr!AG16)),IF(AND(d_Irr!H16&lt;&gt;".",d_Irr!AG16=".",d_Irr!BF16&lt;&gt;"."),d_dir!I16/((1/1000)*(d_Irr!H16+d_Irr!BF16)),IF(AND(d_Irr!H16=".",d_Irr!AG16&lt;&gt;".",d_Irr!BF16&lt;&gt;"."),d_dir!I16/((1/1000)*(d_Irr!AG16+d_Irr!BF16)),IF(AND(d_Irr!H16=".",d_Irr!AG16=".",d_Irr!BF16&lt;&gt;"."),d_dir!I16/((1/1000)*(d_Irr!BF16)),IF(AND(d_Irr!H16=".",d_Irr!AG16&lt;&gt;".",d_Irr!BF16="."),d_dir!I16/((1/1000)*(d_Irr!AG16)),IF(AND(d_Irr!H16&lt;&gt;".",d_Irr!AG16=".",d_Irr!BF16="."),d_dir!I16/((1/1000)*(d_Irr!H16)),IF(AND(d_Irr!H16=".",d_Irr!AG16=".",d_Irr!BF16="."),d_dir!I16*1000)))))))),".")</f>
        <v>1.7052112586334789</v>
      </c>
      <c r="J16" s="70">
        <f>IFERROR(IF(AND(d_Irr!I16&lt;&gt;".",d_Irr!AH16&lt;&gt;".",d_Irr!BG16&lt;&gt;"."),d_dir!J16/((1/1000)*(d_Irr!I16+d_Irr!AH16+d_Irr!BG16)),IF(AND(d_Irr!I16&lt;&gt;".",d_Irr!AH16&lt;&gt;".",d_Irr!BG16="."),d_dir!J16/((1/1000)*(d_Irr!I16+d_Irr!AH16)),IF(AND(d_Irr!I16&lt;&gt;".",d_Irr!AH16=".",d_Irr!BG16&lt;&gt;"."),d_dir!J16/((1/1000)*(d_Irr!I16+d_Irr!BG16)),IF(AND(d_Irr!I16=".",d_Irr!AH16&lt;&gt;".",d_Irr!BG16&lt;&gt;"."),d_dir!J16/((1/1000)*(d_Irr!AH16+d_Irr!BG16)),IF(AND(d_Irr!I16=".",d_Irr!AH16=".",d_Irr!BG16&lt;&gt;"."),d_dir!J16/((1/1000)*(d_Irr!BG16)),IF(AND(d_Irr!I16=".",d_Irr!AH16&lt;&gt;".",d_Irr!BG16="."),d_dir!J16/((1/1000)*(d_Irr!AH16)),IF(AND(d_Irr!I16&lt;&gt;".",d_Irr!AH16=".",d_Irr!BG16="."),d_dir!J16/((1/1000)*(d_Irr!I16)),IF(AND(d_Irr!I16=".",d_Irr!AH16=".",d_Irr!BG16="."),d_dir!J16*1000)))))))),".")</f>
        <v>7.479732452980798</v>
      </c>
      <c r="K16" s="70">
        <f>IFERROR(IF(AND(d_Irr!J16&lt;&gt;".",d_Irr!AI16&lt;&gt;".",d_Irr!BH16&lt;&gt;"."),d_dir!K16/((1/1000)*(d_Irr!J16+d_Irr!AI16+d_Irr!BH16)),IF(AND(d_Irr!J16&lt;&gt;".",d_Irr!AI16&lt;&gt;".",d_Irr!BH16="."),d_dir!K16/((1/1000)*(d_Irr!J16+d_Irr!AI16)),IF(AND(d_Irr!J16&lt;&gt;".",d_Irr!AI16=".",d_Irr!BH16&lt;&gt;"."),d_dir!K16/((1/1000)*(d_Irr!J16+d_Irr!BH16)),IF(AND(d_Irr!J16=".",d_Irr!AI16&lt;&gt;".",d_Irr!BH16&lt;&gt;"."),d_dir!K16/((1/1000)*(d_Irr!AI16+d_Irr!BH16)),IF(AND(d_Irr!J16=".",d_Irr!AI16=".",d_Irr!BH16&lt;&gt;"."),d_dir!K16/((1/1000)*(d_Irr!BH16)),IF(AND(d_Irr!J16=".",d_Irr!AI16&lt;&gt;".",d_Irr!BH16="."),d_dir!K16/((1/1000)*(d_Irr!AI16)),IF(AND(d_Irr!J16&lt;&gt;".",d_Irr!AI16=".",d_Irr!BH16="."),d_dir!K16/((1/1000)*(d_Irr!J16)),IF(AND(d_Irr!J16=".",d_Irr!AI16=".",d_Irr!BH16="."),d_dir!K16*1000)))))))),".")</f>
        <v>0.66695545985822424</v>
      </c>
      <c r="L16" s="70">
        <f>IFERROR(IF(AND(d_Irr!K16&lt;&gt;".",d_Irr!AJ16&lt;&gt;".",d_Irr!BI16&lt;&gt;"."),d_dir!L16/((1/1000)*(d_Irr!K16+d_Irr!AJ16+d_Irr!BI16)),IF(AND(d_Irr!K16&lt;&gt;".",d_Irr!AJ16&lt;&gt;".",d_Irr!BI16="."),d_dir!L16/((1/1000)*(d_Irr!K16+d_Irr!AJ16)),IF(AND(d_Irr!K16&lt;&gt;".",d_Irr!AJ16=".",d_Irr!BI16&lt;&gt;"."),d_dir!L16/((1/1000)*(d_Irr!K16+d_Irr!BI16)),IF(AND(d_Irr!K16=".",d_Irr!AJ16&lt;&gt;".",d_Irr!BI16&lt;&gt;"."),d_dir!L16/((1/1000)*(d_Irr!AJ16+d_Irr!BI16)),IF(AND(d_Irr!K16=".",d_Irr!AJ16=".",d_Irr!BI16&lt;&gt;"."),d_dir!L16/((1/1000)*(d_Irr!BI16)),IF(AND(d_Irr!K16=".",d_Irr!AJ16&lt;&gt;".",d_Irr!BI16="."),d_dir!L16/((1/1000)*(d_Irr!AJ16)),IF(AND(d_Irr!K16&lt;&gt;".",d_Irr!AJ16=".",d_Irr!BI16="."),d_dir!L16/((1/1000)*(d_Irr!K16)),IF(AND(d_Irr!K16=".",d_Irr!AJ16=".",d_Irr!BI16="."),d_dir!L16*1000)))))))),".")</f>
        <v>3.9686098600821809</v>
      </c>
      <c r="M16" s="70">
        <f>IFERROR(IF(AND(d_Irr!L16&lt;&gt;".",d_Irr!AK16&lt;&gt;".",d_Irr!BJ16&lt;&gt;"."),d_dir!M16/((1/1000)*(d_Irr!L16+d_Irr!AK16+d_Irr!BJ16)),IF(AND(d_Irr!L16&lt;&gt;".",d_Irr!AK16&lt;&gt;".",d_Irr!BJ16="."),d_dir!M16/((1/1000)*(d_Irr!L16+d_Irr!AK16)),IF(AND(d_Irr!L16&lt;&gt;".",d_Irr!AK16=".",d_Irr!BJ16&lt;&gt;"."),d_dir!M16/((1/1000)*(d_Irr!L16+d_Irr!BJ16)),IF(AND(d_Irr!L16=".",d_Irr!AK16&lt;&gt;".",d_Irr!BJ16&lt;&gt;"."),d_dir!M16/((1/1000)*(d_Irr!AK16+d_Irr!BJ16)),IF(AND(d_Irr!L16=".",d_Irr!AK16=".",d_Irr!BJ16&lt;&gt;"."),d_dir!M16/((1/1000)*(d_Irr!BJ16)),IF(AND(d_Irr!L16=".",d_Irr!AK16&lt;&gt;".",d_Irr!BJ16="."),d_dir!M16/((1/1000)*(d_Irr!AK16)),IF(AND(d_Irr!L16&lt;&gt;".",d_Irr!AK16=".",d_Irr!BJ16="."),d_dir!M16/((1/1000)*(d_Irr!L16)),IF(AND(d_Irr!L16=".",d_Irr!AK16=".",d_Irr!BJ16="."),d_dir!M16*1000)))))))),".")</f>
        <v>2.6245938675637119</v>
      </c>
      <c r="N16" s="70">
        <f>IFERROR(IF(AND(d_Irr!M16&lt;&gt;".",d_Irr!AL16&lt;&gt;".",d_Irr!BK16&lt;&gt;"."),d_dir!N16/((1/1000)*(d_Irr!M16+d_Irr!AL16+d_Irr!BK16)),IF(AND(d_Irr!M16&lt;&gt;".",d_Irr!AL16&lt;&gt;".",d_Irr!BK16="."),d_dir!N16/((1/1000)*(d_Irr!M16+d_Irr!AL16)),IF(AND(d_Irr!M16&lt;&gt;".",d_Irr!AL16=".",d_Irr!BK16&lt;&gt;"."),d_dir!N16/((1/1000)*(d_Irr!M16+d_Irr!BK16)),IF(AND(d_Irr!M16=".",d_Irr!AL16&lt;&gt;".",d_Irr!BK16&lt;&gt;"."),d_dir!N16/((1/1000)*(d_Irr!AL16+d_Irr!BK16)),IF(AND(d_Irr!M16=".",d_Irr!AL16=".",d_Irr!BK16&lt;&gt;"."),d_dir!N16/((1/1000)*(d_Irr!BK16)),IF(AND(d_Irr!M16=".",d_Irr!AL16&lt;&gt;".",d_Irr!BK16="."),d_dir!N16/((1/1000)*(d_Irr!AL16)),IF(AND(d_Irr!M16&lt;&gt;".",d_Irr!AL16=".",d_Irr!BK16="."),d_dir!N16/((1/1000)*(d_Irr!M16)),IF(AND(d_Irr!M16=".",d_Irr!AL16=".",d_Irr!BK16="."),d_dir!N16*1000)))))))),".")</f>
        <v>3.7322448784070725</v>
      </c>
      <c r="O16" s="70">
        <f>IFERROR(IF(AND(d_Irr!N16&lt;&gt;".",d_Irr!AM16&lt;&gt;".",d_Irr!BL16&lt;&gt;"."),d_dir!O16/((1/1000)*(d_Irr!N16+d_Irr!AM16+d_Irr!BL16)),IF(AND(d_Irr!N16&lt;&gt;".",d_Irr!AM16&lt;&gt;".",d_Irr!BL16="."),d_dir!O16/((1/1000)*(d_Irr!N16+d_Irr!AM16)),IF(AND(d_Irr!N16&lt;&gt;".",d_Irr!AM16=".",d_Irr!BL16&lt;&gt;"."),d_dir!O16/((1/1000)*(d_Irr!N16+d_Irr!BL16)),IF(AND(d_Irr!N16=".",d_Irr!AM16&lt;&gt;".",d_Irr!BL16&lt;&gt;"."),d_dir!O16/((1/1000)*(d_Irr!AM16+d_Irr!BL16)),IF(AND(d_Irr!N16=".",d_Irr!AM16=".",d_Irr!BL16&lt;&gt;"."),d_dir!O16/((1/1000)*(d_Irr!BL16)),IF(AND(d_Irr!N16=".",d_Irr!AM16&lt;&gt;".",d_Irr!BL16="."),d_dir!O16/((1/1000)*(d_Irr!AM16)),IF(AND(d_Irr!N16&lt;&gt;".",d_Irr!AM16=".",d_Irr!BL16="."),d_dir!O16/((1/1000)*(d_Irr!N16)),IF(AND(d_Irr!N16=".",d_Irr!AM16=".",d_Irr!BL16="."),d_dir!O16*1000)))))))),".")</f>
        <v>6.1211528168185563</v>
      </c>
      <c r="P16" s="70">
        <f>IFERROR(IF(AND(d_Irr!O16&lt;&gt;".",d_Irr!AN16&lt;&gt;".",d_Irr!BM16&lt;&gt;"."),d_dir!P16/((1/1000)*(d_Irr!O16+d_Irr!AN16+d_Irr!BM16)),IF(AND(d_Irr!O16&lt;&gt;".",d_Irr!AN16&lt;&gt;".",d_Irr!BM16="."),d_dir!P16/((1/1000)*(d_Irr!O16+d_Irr!AN16)),IF(AND(d_Irr!O16&lt;&gt;".",d_Irr!AN16=".",d_Irr!BM16&lt;&gt;"."),d_dir!P16/((1/1000)*(d_Irr!O16+d_Irr!BM16)),IF(AND(d_Irr!O16=".",d_Irr!AN16&lt;&gt;".",d_Irr!BM16&lt;&gt;"."),d_dir!P16/((1/1000)*(d_Irr!AN16+d_Irr!BM16)),IF(AND(d_Irr!O16=".",d_Irr!AN16=".",d_Irr!BM16&lt;&gt;"."),d_dir!P16/((1/1000)*(d_Irr!BM16)),IF(AND(d_Irr!O16=".",d_Irr!AN16&lt;&gt;".",d_Irr!BM16="."),d_dir!P16/((1/1000)*(d_Irr!AN16)),IF(AND(d_Irr!O16&lt;&gt;".",d_Irr!AN16=".",d_Irr!BM16="."),d_dir!P16/((1/1000)*(d_Irr!O16)),IF(AND(d_Irr!O16=".",d_Irr!AN16=".",d_Irr!BM16="."),d_dir!P16*1000)))))))),".")</f>
        <v>7.0805941689878669</v>
      </c>
      <c r="Q16" s="70">
        <f>IFERROR(IF(AND(d_Irr!P16&lt;&gt;".",d_Irr!AO16&lt;&gt;".",d_Irr!BN16&lt;&gt;"."),d_dir!Q16/((1/1000)*(d_Irr!P16+d_Irr!AO16+d_Irr!BN16)),IF(AND(d_Irr!P16&lt;&gt;".",d_Irr!AO16&lt;&gt;".",d_Irr!BN16="."),d_dir!Q16/((1/1000)*(d_Irr!P16+d_Irr!AO16)),IF(AND(d_Irr!P16&lt;&gt;".",d_Irr!AO16=".",d_Irr!BN16&lt;&gt;"."),d_dir!Q16/((1/1000)*(d_Irr!P16+d_Irr!BN16)),IF(AND(d_Irr!P16=".",d_Irr!AO16&lt;&gt;".",d_Irr!BN16&lt;&gt;"."),d_dir!Q16/((1/1000)*(d_Irr!AO16+d_Irr!BN16)),IF(AND(d_Irr!P16=".",d_Irr!AO16=".",d_Irr!BN16&lt;&gt;"."),d_dir!Q16/((1/1000)*(d_Irr!BN16)),IF(AND(d_Irr!P16=".",d_Irr!AO16&lt;&gt;".",d_Irr!BN16="."),d_dir!Q16/((1/1000)*(d_Irr!AO16)),IF(AND(d_Irr!P16&lt;&gt;".",d_Irr!AO16=".",d_Irr!BN16="."),d_dir!Q16/((1/1000)*(d_Irr!P16)),IF(AND(d_Irr!P16=".",d_Irr!AO16=".",d_Irr!BN16="."),d_dir!Q16*1000)))))))),".")</f>
        <v>10.10632452138462</v>
      </c>
      <c r="R16" s="70">
        <f>IFERROR(IF(AND(d_Irr!Q16&lt;&gt;".",d_Irr!AP16&lt;&gt;".",d_Irr!BO16&lt;&gt;"."),d_dir!R16/((1/1000)*(d_Irr!Q16+d_Irr!AP16+d_Irr!BO16)),IF(AND(d_Irr!Q16&lt;&gt;".",d_Irr!AP16&lt;&gt;".",d_Irr!BO16="."),d_dir!R16/((1/1000)*(d_Irr!Q16+d_Irr!AP16)),IF(AND(d_Irr!Q16&lt;&gt;".",d_Irr!AP16=".",d_Irr!BO16&lt;&gt;"."),d_dir!R16/((1/1000)*(d_Irr!Q16+d_Irr!BO16)),IF(AND(d_Irr!Q16=".",d_Irr!AP16&lt;&gt;".",d_Irr!BO16&lt;&gt;"."),d_dir!R16/((1/1000)*(d_Irr!AP16+d_Irr!BO16)),IF(AND(d_Irr!Q16=".",d_Irr!AP16=".",d_Irr!BO16&lt;&gt;"."),d_dir!R16/((1/1000)*(d_Irr!BO16)),IF(AND(d_Irr!Q16=".",d_Irr!AP16&lt;&gt;".",d_Irr!BO16="."),d_dir!R16/((1/1000)*(d_Irr!AP16)),IF(AND(d_Irr!Q16&lt;&gt;".",d_Irr!AP16=".",d_Irr!BO16="."),d_dir!R16/((1/1000)*(d_Irr!Q16)),IF(AND(d_Irr!Q16=".",d_Irr!AP16=".",d_Irr!BO16="."),d_dir!R16*1000)))))))),".")</f>
        <v>1.6517409966670398</v>
      </c>
      <c r="S16" s="70">
        <f>IFERROR(IF(AND(d_Irr!R16&lt;&gt;".",d_Irr!AQ16&lt;&gt;".",d_Irr!BP16&lt;&gt;"."),d_dir!S16/((1/1000)*(d_Irr!R16+d_Irr!AQ16+d_Irr!BP16)),IF(AND(d_Irr!R16&lt;&gt;".",d_Irr!AQ16&lt;&gt;".",d_Irr!BP16="."),d_dir!S16/((1/1000)*(d_Irr!R16+d_Irr!AQ16)),IF(AND(d_Irr!R16&lt;&gt;".",d_Irr!AQ16=".",d_Irr!BP16&lt;&gt;"."),d_dir!S16/((1/1000)*(d_Irr!R16+d_Irr!BP16)),IF(AND(d_Irr!R16=".",d_Irr!AQ16&lt;&gt;".",d_Irr!BP16&lt;&gt;"."),d_dir!S16/((1/1000)*(d_Irr!AQ16+d_Irr!BP16)),IF(AND(d_Irr!R16=".",d_Irr!AQ16=".",d_Irr!BP16&lt;&gt;"."),d_dir!S16/((1/1000)*(d_Irr!BP16)),IF(AND(d_Irr!R16=".",d_Irr!AQ16&lt;&gt;".",d_Irr!BP16="."),d_dir!S16/((1/1000)*(d_Irr!AQ16)),IF(AND(d_Irr!R16&lt;&gt;".",d_Irr!AQ16=".",d_Irr!BP16="."),d_dir!S16/((1/1000)*(d_Irr!R16)),IF(AND(d_Irr!R16=".",d_Irr!AQ16=".",d_Irr!BP16="."),d_dir!S16*1000)))))))),".")</f>
        <v>3.3702475594880523</v>
      </c>
      <c r="T16" s="70">
        <f>IFERROR(IF(AND(d_Irr!S16&lt;&gt;".",d_Irr!AR16&lt;&gt;".",d_Irr!BQ16&lt;&gt;"."),d_dir!T16/((1/1000)*(d_Irr!S16+d_Irr!AR16+d_Irr!BQ16)),IF(AND(d_Irr!S16&lt;&gt;".",d_Irr!AR16&lt;&gt;".",d_Irr!BQ16="."),d_dir!T16/((1/1000)*(d_Irr!S16+d_Irr!AR16)),IF(AND(d_Irr!S16&lt;&gt;".",d_Irr!AR16=".",d_Irr!BQ16&lt;&gt;"."),d_dir!T16/((1/1000)*(d_Irr!S16+d_Irr!BQ16)),IF(AND(d_Irr!S16=".",d_Irr!AR16&lt;&gt;".",d_Irr!BQ16&lt;&gt;"."),d_dir!T16/((1/1000)*(d_Irr!AR16+d_Irr!BQ16)),IF(AND(d_Irr!S16=".",d_Irr!AR16=".",d_Irr!BQ16&lt;&gt;"."),d_dir!T16/((1/1000)*(d_Irr!BQ16)),IF(AND(d_Irr!S16=".",d_Irr!AR16&lt;&gt;".",d_Irr!BQ16="."),d_dir!T16/((1/1000)*(d_Irr!AR16)),IF(AND(d_Irr!S16&lt;&gt;".",d_Irr!AR16=".",d_Irr!BQ16="."),d_dir!T16/((1/1000)*(d_Irr!S16)),IF(AND(d_Irr!S16=".",d_Irr!AR16=".",d_Irr!BQ16="."),d_dir!T16*1000)))))))),".")</f>
        <v>6.1354167584899768</v>
      </c>
      <c r="U16" s="70">
        <f>IFERROR(IF(AND(d_Irr!T16&lt;&gt;".",d_Irr!AS16&lt;&gt;".",d_Irr!BR16&lt;&gt;"."),d_dir!U16/((1/1000)*(d_Irr!T16+d_Irr!AS16+d_Irr!BR16)),IF(AND(d_Irr!T16&lt;&gt;".",d_Irr!AS16&lt;&gt;".",d_Irr!BR16="."),d_dir!U16/((1/1000)*(d_Irr!T16+d_Irr!AS16)),IF(AND(d_Irr!T16&lt;&gt;".",d_Irr!AS16=".",d_Irr!BR16&lt;&gt;"."),d_dir!U16/((1/1000)*(d_Irr!T16+d_Irr!BR16)),IF(AND(d_Irr!T16=".",d_Irr!AS16&lt;&gt;".",d_Irr!BR16&lt;&gt;"."),d_dir!U16/((1/1000)*(d_Irr!AS16+d_Irr!BR16)),IF(AND(d_Irr!T16=".",d_Irr!AS16=".",d_Irr!BR16&lt;&gt;"."),d_dir!U16/((1/1000)*(d_Irr!BR16)),IF(AND(d_Irr!T16=".",d_Irr!AS16&lt;&gt;".",d_Irr!BR16="."),d_dir!U16/((1/1000)*(d_Irr!AS16)),IF(AND(d_Irr!T16&lt;&gt;".",d_Irr!AS16=".",d_Irr!BR16="."),d_dir!U16/((1/1000)*(d_Irr!T16)),IF(AND(d_Irr!T16=".",d_Irr!AS16=".",d_Irr!BR16="."),d_dir!U16*1000)))))))),".")</f>
        <v>11.068108521702703</v>
      </c>
      <c r="V16" s="70">
        <f>IFERROR(IF(AND(d_Irr!U16&lt;&gt;".",d_Irr!AT16&lt;&gt;".",d_Irr!BS16&lt;&gt;"."),d_dir!V16/((1/1000)*(d_Irr!U16+d_Irr!AT16+d_Irr!BS16)),IF(AND(d_Irr!U16&lt;&gt;".",d_Irr!AT16&lt;&gt;".",d_Irr!BS16="."),d_dir!V16/((1/1000)*(d_Irr!U16+d_Irr!AT16)),IF(AND(d_Irr!U16&lt;&gt;".",d_Irr!AT16=".",d_Irr!BS16&lt;&gt;"."),d_dir!V16/((1/1000)*(d_Irr!U16+d_Irr!BS16)),IF(AND(d_Irr!U16=".",d_Irr!AT16&lt;&gt;".",d_Irr!BS16&lt;&gt;"."),d_dir!V16/((1/1000)*(d_Irr!AT16+d_Irr!BS16)),IF(AND(d_Irr!U16=".",d_Irr!AT16=".",d_Irr!BS16&lt;&gt;"."),d_dir!V16/((1/1000)*(d_Irr!BS16)),IF(AND(d_Irr!U16=".",d_Irr!AT16&lt;&gt;".",d_Irr!BS16="."),d_dir!V16/((1/1000)*(d_Irr!AT16)),IF(AND(d_Irr!U16&lt;&gt;".",d_Irr!AT16=".",d_Irr!BS16="."),d_dir!V16/((1/1000)*(d_Irr!U16)),IF(AND(d_Irr!U16=".",d_Irr!AT16=".",d_Irr!BS16="."),d_dir!V16*1000)))))))),".")</f>
        <v>1.870474017852144</v>
      </c>
      <c r="W16" s="70">
        <f>IFERROR(IF(AND(d_Irr!V16&lt;&gt;".",d_Irr!AU16&lt;&gt;".",d_Irr!BT16&lt;&gt;"."),d_dir!W16/((1/1000)*(d_Irr!V16+d_Irr!AU16+d_Irr!BT16)),IF(AND(d_Irr!V16&lt;&gt;".",d_Irr!AU16&lt;&gt;".",d_Irr!BT16="."),d_dir!W16/((1/1000)*(d_Irr!V16+d_Irr!AU16)),IF(AND(d_Irr!V16&lt;&gt;".",d_Irr!AU16=".",d_Irr!BT16&lt;&gt;"."),d_dir!W16/((1/1000)*(d_Irr!V16+d_Irr!BT16)),IF(AND(d_Irr!V16=".",d_Irr!AU16&lt;&gt;".",d_Irr!BT16&lt;&gt;"."),d_dir!W16/((1/1000)*(d_Irr!AU16+d_Irr!BT16)),IF(AND(d_Irr!V16=".",d_Irr!AU16=".",d_Irr!BT16&lt;&gt;"."),d_dir!W16/((1/1000)*(d_Irr!BT16)),IF(AND(d_Irr!V16=".",d_Irr!AU16&lt;&gt;".",d_Irr!BT16="."),d_dir!W16/((1/1000)*(d_Irr!AU16)),IF(AND(d_Irr!V16&lt;&gt;".",d_Irr!AU16=".",d_Irr!BT16="."),d_dir!W16/((1/1000)*(d_Irr!V16)),IF(AND(d_Irr!V16=".",d_Irr!AU16=".",d_Irr!BT16="."),d_dir!W16*1000)))))))),".")</f>
        <v>3.367704710659071</v>
      </c>
      <c r="X16" s="70">
        <f>IFERROR(IF(AND(d_Irr!W16&lt;&gt;".",d_Irr!AV16&lt;&gt;".",d_Irr!BU16&lt;&gt;"."),d_dir!X16/((1/1000)*(d_Irr!W16+d_Irr!AV16+d_Irr!BU16)),IF(AND(d_Irr!W16&lt;&gt;".",d_Irr!AV16&lt;&gt;".",d_Irr!BU16="."),d_dir!X16/((1/1000)*(d_Irr!W16+d_Irr!AV16)),IF(AND(d_Irr!W16&lt;&gt;".",d_Irr!AV16=".",d_Irr!BU16&lt;&gt;"."),d_dir!X16/((1/1000)*(d_Irr!W16+d_Irr!BU16)),IF(AND(d_Irr!W16=".",d_Irr!AV16&lt;&gt;".",d_Irr!BU16&lt;&gt;"."),d_dir!X16/((1/1000)*(d_Irr!AV16+d_Irr!BU16)),IF(AND(d_Irr!W16=".",d_Irr!AV16=".",d_Irr!BU16&lt;&gt;"."),d_dir!X16/((1/1000)*(d_Irr!BU16)),IF(AND(d_Irr!W16=".",d_Irr!AV16&lt;&gt;".",d_Irr!BU16="."),d_dir!X16/((1/1000)*(d_Irr!AV16)),IF(AND(d_Irr!W16&lt;&gt;".",d_Irr!AV16=".",d_Irr!BU16="."),d_dir!X16/((1/1000)*(d_Irr!W16)),IF(AND(d_Irr!W16=".",d_Irr!AV16=".",d_Irr!BU16="."),d_dir!X16*1000)))))))),".")</f>
        <v>3.937921679379254</v>
      </c>
      <c r="Y16" s="70">
        <f>IFERROR(IF(AND(d_Irr!X16&lt;&gt;".",d_Irr!AW16&lt;&gt;".",d_Irr!BV16&lt;&gt;"."),d_dir!Y16/((1/1000)*(d_Irr!X16+d_Irr!AW16+d_Irr!BV16)),IF(AND(d_Irr!X16&lt;&gt;".",d_Irr!AW16&lt;&gt;".",d_Irr!BV16="."),d_dir!Y16/((1/1000)*(d_Irr!X16+d_Irr!AW16)),IF(AND(d_Irr!X16&lt;&gt;".",d_Irr!AW16=".",d_Irr!BV16&lt;&gt;"."),d_dir!Y16/((1/1000)*(d_Irr!X16+d_Irr!BV16)),IF(AND(d_Irr!X16=".",d_Irr!AW16&lt;&gt;".",d_Irr!BV16&lt;&gt;"."),d_dir!Y16/((1/1000)*(d_Irr!AW16+d_Irr!BV16)),IF(AND(d_Irr!X16=".",d_Irr!AW16=".",d_Irr!BV16&lt;&gt;"."),d_dir!Y16/((1/1000)*(d_Irr!BV16)),IF(AND(d_Irr!X16=".",d_Irr!AW16&lt;&gt;".",d_Irr!BV16="."),d_dir!Y16/((1/1000)*(d_Irr!AW16)),IF(AND(d_Irr!X16&lt;&gt;".",d_Irr!AW16=".",d_Irr!BV16="."),d_dir!Y16/((1/1000)*(d_Irr!X16)),IF(AND(d_Irr!X16=".",d_Irr!AW16=".",d_Irr!BV16="."),d_dir!Y16*1000)))))))),".")</f>
        <v>5.031929703550289</v>
      </c>
      <c r="Z16" s="70">
        <f>IFERROR(IF(AND(d_Irr!Y16&lt;&gt;".",d_Irr!AX16&lt;&gt;".",d_Irr!BW16&lt;&gt;"."),d_dir!Z16/((1/1000)*(d_Irr!Y16+d_Irr!AX16+d_Irr!BW16)),IF(AND(d_Irr!Y16&lt;&gt;".",d_Irr!AX16&lt;&gt;".",d_Irr!BW16="."),d_dir!Z16/((1/1000)*(d_Irr!Y16+d_Irr!AX16)),IF(AND(d_Irr!Y16&lt;&gt;".",d_Irr!AX16=".",d_Irr!BW16&lt;&gt;"."),d_dir!Z16/((1/1000)*(d_Irr!Y16+d_Irr!BW16)),IF(AND(d_Irr!Y16=".",d_Irr!AX16&lt;&gt;".",d_Irr!BW16&lt;&gt;"."),d_dir!Z16/((1/1000)*(d_Irr!AX16+d_Irr!BW16)),IF(AND(d_Irr!Y16=".",d_Irr!AX16=".",d_Irr!BW16&lt;&gt;"."),d_dir!Z16/((1/1000)*(d_Irr!BW16)),IF(AND(d_Irr!Y16=".",d_Irr!AX16&lt;&gt;".",d_Irr!BW16="."),d_dir!Z16/((1/1000)*(d_Irr!AX16)),IF(AND(d_Irr!Y16&lt;&gt;".",d_Irr!AX16=".",d_Irr!BW16="."),d_dir!Z16/((1/1000)*(d_Irr!Y16)),IF(AND(d_Irr!Y16=".",d_Irr!AX16=".",d_Irr!BW16="."),d_dir!Z16*1000)))))))),".")</f>
        <v>2.5511719025535684</v>
      </c>
      <c r="AA16" s="70">
        <f>IFERROR(IF(AND(d_Irr!Z16&lt;&gt;".",d_Irr!AY16&lt;&gt;".",d_Irr!BX16&lt;&gt;"."),d_dir!AA16/((1/1000)*(d_Irr!Z16+d_Irr!AY16+d_Irr!BX16)),IF(AND(d_Irr!Z16&lt;&gt;".",d_Irr!AY16&lt;&gt;".",d_Irr!BX16="."),d_dir!AA16/((1/1000)*(d_Irr!Z16+d_Irr!AY16)),IF(AND(d_Irr!Z16&lt;&gt;".",d_Irr!AY16=".",d_Irr!BX16&lt;&gt;"."),d_dir!AA16/((1/1000)*(d_Irr!Z16+d_Irr!BX16)),IF(AND(d_Irr!Z16=".",d_Irr!AY16&lt;&gt;".",d_Irr!BX16&lt;&gt;"."),d_dir!AA16/((1/1000)*(d_Irr!AY16+d_Irr!BX16)),IF(AND(d_Irr!Z16=".",d_Irr!AY16=".",d_Irr!BX16&lt;&gt;"."),d_dir!AA16/((1/1000)*(d_Irr!BX16)),IF(AND(d_Irr!Z16=".",d_Irr!AY16&lt;&gt;".",d_Irr!BX16="."),d_dir!AA16/((1/1000)*(d_Irr!AY16)),IF(AND(d_Irr!Z16&lt;&gt;".",d_Irr!AY16=".",d_Irr!BX16="."),d_dir!AA16/((1/1000)*(d_Irr!Z16)),IF(AND(d_Irr!Z16=".",d_Irr!AY16=".",d_Irr!BX16="."),d_dir!AA16*1000)))))))),".")</f>
        <v>0.82952469188821498</v>
      </c>
      <c r="AB16" s="70">
        <f>IFERROR(IF(AND(d_Irr!AA16&lt;&gt;".",d_Irr!AZ16&lt;&gt;".",d_Irr!BY16&lt;&gt;"."),d_dir!AB16/((1/1000)*(d_Irr!AA16+d_Irr!AZ16+d_Irr!BY16)),IF(AND(d_Irr!AA16&lt;&gt;".",d_Irr!AZ16&lt;&gt;".",d_Irr!BY16="."),d_dir!AB16/((1/1000)*(d_Irr!AA16+d_Irr!AZ16)),IF(AND(d_Irr!AA16&lt;&gt;".",d_Irr!AZ16=".",d_Irr!BY16&lt;&gt;"."),d_dir!AB16/((1/1000)*(d_Irr!AA16+d_Irr!BY16)),IF(AND(d_Irr!AA16=".",d_Irr!AZ16&lt;&gt;".",d_Irr!BY16&lt;&gt;"."),d_dir!AB16/((1/1000)*(d_Irr!AZ16+d_Irr!BY16)),IF(AND(d_Irr!AA16=".",d_Irr!AZ16=".",d_Irr!BY16&lt;&gt;"."),d_dir!AB16/((1/1000)*(d_Irr!BY16)),IF(AND(d_Irr!AA16=".",d_Irr!AZ16&lt;&gt;".",d_Irr!BY16="."),d_dir!AB16/((1/1000)*(d_Irr!AZ16)),IF(AND(d_Irr!AA16&lt;&gt;".",d_Irr!AZ16=".",d_Irr!BY16="."),d_dir!AB16/((1/1000)*(d_Irr!AA16)),IF(AND(d_Irr!AA16=".",d_Irr!AZ16=".",d_Irr!BY16="."),d_dir!AB16*1000)))))))),".")</f>
        <v>0.92330088677810751</v>
      </c>
      <c r="AC16" s="70">
        <f t="shared" si="0"/>
        <v>0.12561713078062087</v>
      </c>
      <c r="AD16" s="70">
        <f>IFERROR(IF(AND(d_Irr!C16&lt;&gt;".",d_Irr!AB16&lt;&gt;".",d_Irr!BA16&lt;&gt;"."),d_dir!AD16/((1/1000)*(d_Irr!C16+d_Irr!AB16+d_Irr!BA16)),IF(AND(d_Irr!C16&lt;&gt;".",d_Irr!AB16&lt;&gt;".",d_Irr!BA16="."),d_dir!AD16/((1/1000)*(d_Irr!C16+d_Irr!AB16)),IF(AND(d_Irr!C16&lt;&gt;".",d_Irr!AB16=".",d_Irr!BA16&lt;&gt;"."),d_dir!AD16/((1/1000)*(d_Irr!C16+d_Irr!BA16)),IF(AND(d_Irr!C16=".",d_Irr!AB16&lt;&gt;".",d_Irr!BA16&lt;&gt;"."),d_dir!AD16/((1/1000)*(d_Irr!AB16+d_Irr!BA16)),IF(AND(d_Irr!C16=".",d_Irr!AB16=".",d_Irr!BA16&lt;&gt;"."),d_dir!AD16/((1/1000)*(d_Irr!BA16)),IF(AND(d_Irr!C16=".",d_Irr!AB16&lt;&gt;".",d_Irr!BA16="."),d_dir!AD16/((1/1000)*(d_Irr!AB16)),IF(AND(d_Irr!C16&lt;&gt;".",d_Irr!AB16=".",d_Irr!BA16="."),d_dir!AD16/((1/1000)*(d_Irr!C16)),IF(AND(d_Irr!C16=".",d_Irr!AB16=".",d_Irr!BA16="."),d_dir!AD16*1000)))))))),".")</f>
        <v>2.2370848421439367</v>
      </c>
      <c r="AE16" s="70">
        <f>IFERROR(IF(AND(d_Irr!D16&lt;&gt;".",d_Irr!AC16&lt;&gt;".",d_Irr!BB16&lt;&gt;"."),d_dir!AE16/((1/1000)*(d_Irr!D16+d_Irr!AC16+d_Irr!BB16)),IF(AND(d_Irr!D16&lt;&gt;".",d_Irr!AC16&lt;&gt;".",d_Irr!BB16="."),d_dir!AE16/((1/1000)*(d_Irr!D16+d_Irr!AC16)),IF(AND(d_Irr!D16&lt;&gt;".",d_Irr!AC16=".",d_Irr!BB16&lt;&gt;"."),d_dir!AE16/((1/1000)*(d_Irr!D16+d_Irr!BB16)),IF(AND(d_Irr!D16=".",d_Irr!AC16&lt;&gt;".",d_Irr!BB16&lt;&gt;"."),d_dir!AE16/((1/1000)*(d_Irr!AC16+d_Irr!BB16)),IF(AND(d_Irr!D16=".",d_Irr!AC16=".",d_Irr!BB16&lt;&gt;"."),d_dir!AE16/((1/1000)*(d_Irr!BB16)),IF(AND(d_Irr!D16=".",d_Irr!AC16&lt;&gt;".",d_Irr!BB16="."),d_dir!AE16/((1/1000)*(d_Irr!AC16)),IF(AND(d_Irr!D16&lt;&gt;".",d_Irr!AC16=".",d_Irr!BB16="."),d_dir!AE16/((1/1000)*(d_Irr!D16)),IF(AND(d_Irr!D16=".",d_Irr!AC16=".",d_Irr!BB16="."),d_dir!AE16*1000)))))))),".")</f>
        <v>3.2445482963811476</v>
      </c>
      <c r="AF16" s="70">
        <f>IFERROR(IF(AND(d_Irr!E16&lt;&gt;".",d_Irr!AD16&lt;&gt;".",d_Irr!BC16&lt;&gt;"."),d_dir!AF16/((1/1000)*(d_Irr!E16+d_Irr!AD16+d_Irr!BC16)),IF(AND(d_Irr!E16&lt;&gt;".",d_Irr!AD16&lt;&gt;".",d_Irr!BC16="."),d_dir!AF16/((1/1000)*(d_Irr!E16+d_Irr!AD16)),IF(AND(d_Irr!E16&lt;&gt;".",d_Irr!AD16=".",d_Irr!BC16&lt;&gt;"."),d_dir!AF16/((1/1000)*(d_Irr!E16+d_Irr!BC16)),IF(AND(d_Irr!E16=".",d_Irr!AD16&lt;&gt;".",d_Irr!BC16&lt;&gt;"."),d_dir!AF16/((1/1000)*(d_Irr!AD16+d_Irr!BC16)),IF(AND(d_Irr!E16=".",d_Irr!AD16=".",d_Irr!BC16&lt;&gt;"."),d_dir!AF16/((1/1000)*(d_Irr!BC16)),IF(AND(d_Irr!E16=".",d_Irr!AD16&lt;&gt;".",d_Irr!BC16="."),d_dir!AF16/((1/1000)*(d_Irr!AD16)),IF(AND(d_Irr!E16&lt;&gt;".",d_Irr!AD16=".",d_Irr!BC16="."),d_dir!AF16/((1/1000)*(d_Irr!E16)),IF(AND(d_Irr!E16=".",d_Irr!AD16=".",d_Irr!BC16="."),d_dir!AF16*1000)))))))),".")</f>
        <v>6.00401683433528</v>
      </c>
      <c r="AG16" s="70">
        <f>IFERROR(IF(AND(d_Irr!F16&lt;&gt;".",d_Irr!AE16&lt;&gt;".",d_Irr!BD16&lt;&gt;"."),d_dir!AG16/((1/1000)*(d_Irr!F16+d_Irr!AE16+d_Irr!BD16)),IF(AND(d_Irr!F16&lt;&gt;".",d_Irr!AE16&lt;&gt;".",d_Irr!BD16="."),d_dir!AG16/((1/1000)*(d_Irr!F16+d_Irr!AE16)),IF(AND(d_Irr!F16&lt;&gt;".",d_Irr!AE16=".",d_Irr!BD16&lt;&gt;"."),d_dir!AG16/((1/1000)*(d_Irr!F16+d_Irr!BD16)),IF(AND(d_Irr!F16=".",d_Irr!AE16&lt;&gt;".",d_Irr!BD16&lt;&gt;"."),d_dir!AG16/((1/1000)*(d_Irr!AE16+d_Irr!BD16)),IF(AND(d_Irr!F16=".",d_Irr!AE16=".",d_Irr!BD16&lt;&gt;"."),d_dir!AG16/((1/1000)*(d_Irr!BD16)),IF(AND(d_Irr!F16=".",d_Irr!AE16&lt;&gt;".",d_Irr!BD16="."),d_dir!AG16/((1/1000)*(d_Irr!AE16)),IF(AND(d_Irr!F16&lt;&gt;".",d_Irr!AE16=".",d_Irr!BD16="."),d_dir!AG16/((1/1000)*(d_Irr!F16)),IF(AND(d_Irr!F16=".",d_Irr!AE16=".",d_Irr!BD16="."),d_dir!AG16*1000)))))))),".")</f>
        <v>5.6330847539351998</v>
      </c>
      <c r="AH16" s="70">
        <f>IFERROR(IF(AND(d_Irr!G16&lt;&gt;".",d_Irr!AF16&lt;&gt;".",d_Irr!BE16&lt;&gt;"."),d_dir!AH16/((1/1000)*(d_Irr!G16+d_Irr!AF16+d_Irr!BE16)),IF(AND(d_Irr!G16&lt;&gt;".",d_Irr!AF16&lt;&gt;".",d_Irr!BE16="."),d_dir!AH16/((1/1000)*(d_Irr!G16+d_Irr!AF16)),IF(AND(d_Irr!G16&lt;&gt;".",d_Irr!AF16=".",d_Irr!BE16&lt;&gt;"."),d_dir!AH16/((1/1000)*(d_Irr!G16+d_Irr!BE16)),IF(AND(d_Irr!G16=".",d_Irr!AF16&lt;&gt;".",d_Irr!BE16&lt;&gt;"."),d_dir!AH16/((1/1000)*(d_Irr!AF16+d_Irr!BE16)),IF(AND(d_Irr!G16=".",d_Irr!AF16=".",d_Irr!BE16&lt;&gt;"."),d_dir!AH16/((1/1000)*(d_Irr!BE16)),IF(AND(d_Irr!G16=".",d_Irr!AF16&lt;&gt;".",d_Irr!BE16="."),d_dir!AH16/((1/1000)*(d_Irr!AF16)),IF(AND(d_Irr!G16&lt;&gt;".",d_Irr!AF16=".",d_Irr!BE16="."),d_dir!AH16/((1/1000)*(d_Irr!G16)),IF(AND(d_Irr!G16=".",d_Irr!AF16=".",d_Irr!BE16="."),d_dir!AH16*1000)))))))),".")</f>
        <v>5.7562163410570619</v>
      </c>
      <c r="AI16" s="70">
        <f>IFERROR(IF(AND(d_Irr!H16&lt;&gt;".",d_Irr!AG16&lt;&gt;".",d_Irr!BF16&lt;&gt;"."),d_dir!AI16/((1/1000)*(d_Irr!H16+d_Irr!AG16+d_Irr!BF16)),IF(AND(d_Irr!H16&lt;&gt;".",d_Irr!AG16&lt;&gt;".",d_Irr!BF16="."),d_dir!AI16/((1/1000)*(d_Irr!H16+d_Irr!AG16)),IF(AND(d_Irr!H16&lt;&gt;".",d_Irr!AG16=".",d_Irr!BF16&lt;&gt;"."),d_dir!AI16/((1/1000)*(d_Irr!H16+d_Irr!BF16)),IF(AND(d_Irr!H16=".",d_Irr!AG16&lt;&gt;".",d_Irr!BF16&lt;&gt;"."),d_dir!AI16/((1/1000)*(d_Irr!AG16+d_Irr!BF16)),IF(AND(d_Irr!H16=".",d_Irr!AG16=".",d_Irr!BF16&lt;&gt;"."),d_dir!AI16/((1/1000)*(d_Irr!BF16)),IF(AND(d_Irr!H16=".",d_Irr!AG16&lt;&gt;".",d_Irr!BF16="."),d_dir!AI16/((1/1000)*(d_Irr!AG16)),IF(AND(d_Irr!H16&lt;&gt;".",d_Irr!AG16=".",d_Irr!BF16="."),d_dir!AI16/((1/1000)*(d_Irr!H16)),IF(AND(d_Irr!H16=".",d_Irr!AG16=".",d_Irr!BF16="."),d_dir!AI16*1000)))))))),".")</f>
        <v>1.6809725027144418</v>
      </c>
      <c r="AJ16" s="70">
        <f>IFERROR(IF(AND(d_Irr!I16&lt;&gt;".",d_Irr!AH16&lt;&gt;".",d_Irr!BG16&lt;&gt;"."),d_dir!AJ16/((1/1000)*(d_Irr!I16+d_Irr!AH16+d_Irr!BG16)),IF(AND(d_Irr!I16&lt;&gt;".",d_Irr!AH16&lt;&gt;".",d_Irr!BG16="."),d_dir!AJ16/((1/1000)*(d_Irr!I16+d_Irr!AH16)),IF(AND(d_Irr!I16&lt;&gt;".",d_Irr!AH16=".",d_Irr!BG16&lt;&gt;"."),d_dir!AJ16/((1/1000)*(d_Irr!I16+d_Irr!BG16)),IF(AND(d_Irr!I16=".",d_Irr!AH16&lt;&gt;".",d_Irr!BG16&lt;&gt;"."),d_dir!AJ16/((1/1000)*(d_Irr!AH16+d_Irr!BG16)),IF(AND(d_Irr!I16=".",d_Irr!AH16=".",d_Irr!BG16&lt;&gt;"."),d_dir!AJ16/((1/1000)*(d_Irr!BG16)),IF(AND(d_Irr!I16=".",d_Irr!AH16&lt;&gt;".",d_Irr!BG16="."),d_dir!AJ16/((1/1000)*(d_Irr!AH16)),IF(AND(d_Irr!I16&lt;&gt;".",d_Irr!AH16=".",d_Irr!BG16="."),d_dir!AJ16/((1/1000)*(d_Irr!I16)),IF(AND(d_Irr!I16=".",d_Irr!AH16=".",d_Irr!BG16="."),d_dir!AJ16*1000)))))))),".")</f>
        <v>7.9728907653398506</v>
      </c>
      <c r="AK16" s="70">
        <f>IFERROR(IF(AND(d_Irr!J16&lt;&gt;".",d_Irr!AI16&lt;&gt;".",d_Irr!BH16&lt;&gt;"."),d_dir!AK16/((1/1000)*(d_Irr!J16+d_Irr!AI16+d_Irr!BH16)),IF(AND(d_Irr!J16&lt;&gt;".",d_Irr!AI16&lt;&gt;".",d_Irr!BH16="."),d_dir!AK16/((1/1000)*(d_Irr!J16+d_Irr!AI16)),IF(AND(d_Irr!J16&lt;&gt;".",d_Irr!AI16=".",d_Irr!BH16&lt;&gt;"."),d_dir!AK16/((1/1000)*(d_Irr!J16+d_Irr!BH16)),IF(AND(d_Irr!J16=".",d_Irr!AI16&lt;&gt;".",d_Irr!BH16&lt;&gt;"."),d_dir!AK16/((1/1000)*(d_Irr!AI16+d_Irr!BH16)),IF(AND(d_Irr!J16=".",d_Irr!AI16=".",d_Irr!BH16&lt;&gt;"."),d_dir!AK16/((1/1000)*(d_Irr!BH16)),IF(AND(d_Irr!J16=".",d_Irr!AI16&lt;&gt;".",d_Irr!BH16="."),d_dir!AK16/((1/1000)*(d_Irr!AI16)),IF(AND(d_Irr!J16&lt;&gt;".",d_Irr!AI16=".",d_Irr!BH16="."),d_dir!AK16/((1/1000)*(d_Irr!J16)),IF(AND(d_Irr!J16=".",d_Irr!AI16=".",d_Irr!BH16="."),d_dir!AK16*1000)))))))),".")</f>
        <v>0.64855511020647794</v>
      </c>
      <c r="AL16" s="70">
        <f>IFERROR(IF(AND(d_Irr!K16&lt;&gt;".",d_Irr!AJ16&lt;&gt;".",d_Irr!BI16&lt;&gt;"."),d_dir!AL16/((1/1000)*(d_Irr!K16+d_Irr!AJ16+d_Irr!BI16)),IF(AND(d_Irr!K16&lt;&gt;".",d_Irr!AJ16&lt;&gt;".",d_Irr!BI16="."),d_dir!AL16/((1/1000)*(d_Irr!K16+d_Irr!AJ16)),IF(AND(d_Irr!K16&lt;&gt;".",d_Irr!AJ16=".",d_Irr!BI16&lt;&gt;"."),d_dir!AL16/((1/1000)*(d_Irr!K16+d_Irr!BI16)),IF(AND(d_Irr!K16=".",d_Irr!AJ16&lt;&gt;".",d_Irr!BI16&lt;&gt;"."),d_dir!AL16/((1/1000)*(d_Irr!AJ16+d_Irr!BI16)),IF(AND(d_Irr!K16=".",d_Irr!AJ16=".",d_Irr!BI16&lt;&gt;"."),d_dir!AL16/((1/1000)*(d_Irr!BI16)),IF(AND(d_Irr!K16=".",d_Irr!AJ16&lt;&gt;".",d_Irr!BI16="."),d_dir!AL16/((1/1000)*(d_Irr!AJ16)),IF(AND(d_Irr!K16&lt;&gt;".",d_Irr!AJ16=".",d_Irr!BI16="."),d_dir!AL16/((1/1000)*(d_Irr!K16)),IF(AND(d_Irr!K16=".",d_Irr!AJ16=".",d_Irr!BI16="."),d_dir!AL16*1000)))))))),".")</f>
        <v>2.7525990428399587</v>
      </c>
      <c r="AM16" s="70">
        <f>IFERROR(IF(AND(d_Irr!L16&lt;&gt;".",d_Irr!AK16&lt;&gt;".",d_Irr!BJ16&lt;&gt;"."),d_dir!AM16/((1/1000)*(d_Irr!L16+d_Irr!AK16+d_Irr!BJ16)),IF(AND(d_Irr!L16&lt;&gt;".",d_Irr!AK16&lt;&gt;".",d_Irr!BJ16="."),d_dir!AM16/((1/1000)*(d_Irr!L16+d_Irr!AK16)),IF(AND(d_Irr!L16&lt;&gt;".",d_Irr!AK16=".",d_Irr!BJ16&lt;&gt;"."),d_dir!AM16/((1/1000)*(d_Irr!L16+d_Irr!BJ16)),IF(AND(d_Irr!L16=".",d_Irr!AK16&lt;&gt;".",d_Irr!BJ16&lt;&gt;"."),d_dir!AM16/((1/1000)*(d_Irr!AK16+d_Irr!BJ16)),IF(AND(d_Irr!L16=".",d_Irr!AK16=".",d_Irr!BJ16&lt;&gt;"."),d_dir!AM16/((1/1000)*(d_Irr!BJ16)),IF(AND(d_Irr!L16=".",d_Irr!AK16&lt;&gt;".",d_Irr!BJ16="."),d_dir!AM16/((1/1000)*(d_Irr!AK16)),IF(AND(d_Irr!L16&lt;&gt;".",d_Irr!AK16=".",d_Irr!BJ16="."),d_dir!AM16/((1/1000)*(d_Irr!L16)),IF(AND(d_Irr!L16=".",d_Irr!AK16=".",d_Irr!BJ16="."),d_dir!AM16*1000)))))))),".")</f>
        <v>3.6878990923457846</v>
      </c>
      <c r="AN16" s="70">
        <f>IFERROR(IF(AND(d_Irr!M16&lt;&gt;".",d_Irr!AL16&lt;&gt;".",d_Irr!BK16&lt;&gt;"."),d_dir!AN16/((1/1000)*(d_Irr!M16+d_Irr!AL16+d_Irr!BK16)),IF(AND(d_Irr!M16&lt;&gt;".",d_Irr!AL16&lt;&gt;".",d_Irr!BK16="."),d_dir!AN16/((1/1000)*(d_Irr!M16+d_Irr!AL16)),IF(AND(d_Irr!M16&lt;&gt;".",d_Irr!AL16=".",d_Irr!BK16&lt;&gt;"."),d_dir!AN16/((1/1000)*(d_Irr!M16+d_Irr!BK16)),IF(AND(d_Irr!M16=".",d_Irr!AL16&lt;&gt;".",d_Irr!BK16&lt;&gt;"."),d_dir!AN16/((1/1000)*(d_Irr!AL16+d_Irr!BK16)),IF(AND(d_Irr!M16=".",d_Irr!AL16=".",d_Irr!BK16&lt;&gt;"."),d_dir!AN16/((1/1000)*(d_Irr!BK16)),IF(AND(d_Irr!M16=".",d_Irr!AL16&lt;&gt;".",d_Irr!BK16="."),d_dir!AN16/((1/1000)*(d_Irr!AL16)),IF(AND(d_Irr!M16&lt;&gt;".",d_Irr!AL16=".",d_Irr!BK16="."),d_dir!AN16/((1/1000)*(d_Irr!M16)),IF(AND(d_Irr!M16=".",d_Irr!AL16=".",d_Irr!BK16="."),d_dir!AN16*1000)))))))),".")</f>
        <v>3.4186444886869523</v>
      </c>
      <c r="AO16" s="70">
        <f>IFERROR(IF(AND(d_Irr!N16&lt;&gt;".",d_Irr!AM16&lt;&gt;".",d_Irr!BL16&lt;&gt;"."),d_dir!AO16/((1/1000)*(d_Irr!N16+d_Irr!AM16+d_Irr!BL16)),IF(AND(d_Irr!N16&lt;&gt;".",d_Irr!AM16&lt;&gt;".",d_Irr!BL16="."),d_dir!AO16/((1/1000)*(d_Irr!N16+d_Irr!AM16)),IF(AND(d_Irr!N16&lt;&gt;".",d_Irr!AM16=".",d_Irr!BL16&lt;&gt;"."),d_dir!AO16/((1/1000)*(d_Irr!N16+d_Irr!BL16)),IF(AND(d_Irr!N16=".",d_Irr!AM16&lt;&gt;".",d_Irr!BL16&lt;&gt;"."),d_dir!AO16/((1/1000)*(d_Irr!AM16+d_Irr!BL16)),IF(AND(d_Irr!N16=".",d_Irr!AM16=".",d_Irr!BL16&lt;&gt;"."),d_dir!AO16/((1/1000)*(d_Irr!BL16)),IF(AND(d_Irr!N16=".",d_Irr!AM16&lt;&gt;".",d_Irr!BL16="."),d_dir!AO16/((1/1000)*(d_Irr!AM16)),IF(AND(d_Irr!N16&lt;&gt;".",d_Irr!AM16=".",d_Irr!BL16="."),d_dir!AO16/((1/1000)*(d_Irr!N16)),IF(AND(d_Irr!N16=".",d_Irr!AM16=".",d_Irr!BL16="."),d_dir!AO16*1000)))))))),".")</f>
        <v>5.9397006143707509</v>
      </c>
      <c r="AP16" s="70">
        <f>IFERROR(IF(AND(d_Irr!O16&lt;&gt;".",d_Irr!AN16&lt;&gt;".",d_Irr!BM16&lt;&gt;"."),d_dir!AP16/((1/1000)*(d_Irr!O16+d_Irr!AN16+d_Irr!BM16)),IF(AND(d_Irr!O16&lt;&gt;".",d_Irr!AN16&lt;&gt;".",d_Irr!BM16="."),d_dir!AP16/((1/1000)*(d_Irr!O16+d_Irr!AN16)),IF(AND(d_Irr!O16&lt;&gt;".",d_Irr!AN16=".",d_Irr!BM16&lt;&gt;"."),d_dir!AP16/((1/1000)*(d_Irr!O16+d_Irr!BM16)),IF(AND(d_Irr!O16=".",d_Irr!AN16&lt;&gt;".",d_Irr!BM16&lt;&gt;"."),d_dir!AP16/((1/1000)*(d_Irr!AN16+d_Irr!BM16)),IF(AND(d_Irr!O16=".",d_Irr!AN16=".",d_Irr!BM16&lt;&gt;"."),d_dir!AP16/((1/1000)*(d_Irr!BM16)),IF(AND(d_Irr!O16=".",d_Irr!AN16&lt;&gt;".",d_Irr!BM16="."),d_dir!AP16/((1/1000)*(d_Irr!AN16)),IF(AND(d_Irr!O16&lt;&gt;".",d_Irr!AN16=".",d_Irr!BM16="."),d_dir!AP16/((1/1000)*(d_Irr!O16)),IF(AND(d_Irr!O16=".",d_Irr!AN16=".",d_Irr!BM16="."),d_dir!AP16*1000)))))))),".")</f>
        <v>6.6440657945328345</v>
      </c>
      <c r="AQ16" s="70">
        <f>IFERROR(IF(AND(d_Irr!P16&lt;&gt;".",d_Irr!AO16&lt;&gt;".",d_Irr!BN16&lt;&gt;"."),d_dir!AQ16/((1/1000)*(d_Irr!P16+d_Irr!AO16+d_Irr!BN16)),IF(AND(d_Irr!P16&lt;&gt;".",d_Irr!AO16&lt;&gt;".",d_Irr!BN16="."),d_dir!AQ16/((1/1000)*(d_Irr!P16+d_Irr!AO16)),IF(AND(d_Irr!P16&lt;&gt;".",d_Irr!AO16=".",d_Irr!BN16&lt;&gt;"."),d_dir!AQ16/((1/1000)*(d_Irr!P16+d_Irr!BN16)),IF(AND(d_Irr!P16=".",d_Irr!AO16&lt;&gt;".",d_Irr!BN16&lt;&gt;"."),d_dir!AQ16/((1/1000)*(d_Irr!AO16+d_Irr!BN16)),IF(AND(d_Irr!P16=".",d_Irr!AO16=".",d_Irr!BN16&lt;&gt;"."),d_dir!AQ16/((1/1000)*(d_Irr!BN16)),IF(AND(d_Irr!P16=".",d_Irr!AO16&lt;&gt;".",d_Irr!BN16="."),d_dir!AQ16/((1/1000)*(d_Irr!AO16)),IF(AND(d_Irr!P16&lt;&gt;".",d_Irr!AO16=".",d_Irr!BN16="."),d_dir!AQ16/((1/1000)*(d_Irr!P16)),IF(AND(d_Irr!P16=".",d_Irr!AO16=".",d_Irr!BN16="."),d_dir!AQ16*1000)))))))),".")</f>
        <v>7.4403816205113555</v>
      </c>
      <c r="AR16" s="70">
        <f>IFERROR(IF(AND(d_Irr!Q16&lt;&gt;".",d_Irr!AP16&lt;&gt;".",d_Irr!BO16&lt;&gt;"."),d_dir!AR16/((1/1000)*(d_Irr!Q16+d_Irr!AP16+d_Irr!BO16)),IF(AND(d_Irr!Q16&lt;&gt;".",d_Irr!AP16&lt;&gt;".",d_Irr!BO16="."),d_dir!AR16/((1/1000)*(d_Irr!Q16+d_Irr!AP16)),IF(AND(d_Irr!Q16&lt;&gt;".",d_Irr!AP16=".",d_Irr!BO16&lt;&gt;"."),d_dir!AR16/((1/1000)*(d_Irr!Q16+d_Irr!BO16)),IF(AND(d_Irr!Q16=".",d_Irr!AP16&lt;&gt;".",d_Irr!BO16&lt;&gt;"."),d_dir!AR16/((1/1000)*(d_Irr!AP16+d_Irr!BO16)),IF(AND(d_Irr!Q16=".",d_Irr!AP16=".",d_Irr!BO16&lt;&gt;"."),d_dir!AR16/((1/1000)*(d_Irr!BO16)),IF(AND(d_Irr!Q16=".",d_Irr!AP16&lt;&gt;".",d_Irr!BO16="."),d_dir!AR16/((1/1000)*(d_Irr!AP16)),IF(AND(d_Irr!Q16&lt;&gt;".",d_Irr!AP16=".",d_Irr!BO16="."),d_dir!AR16/((1/1000)*(d_Irr!Q16)),IF(AND(d_Irr!Q16=".",d_Irr!AP16=".",d_Irr!BO16="."),d_dir!AR16*1000)))))))),".")</f>
        <v>1.8465000825828426</v>
      </c>
      <c r="AS16" s="70">
        <f>IFERROR(IF(AND(d_Irr!R16&lt;&gt;".",d_Irr!AQ16&lt;&gt;".",d_Irr!BP16&lt;&gt;"."),d_dir!AS16/((1/1000)*(d_Irr!R16+d_Irr!AQ16+d_Irr!BP16)),IF(AND(d_Irr!R16&lt;&gt;".",d_Irr!AQ16&lt;&gt;".",d_Irr!BP16="."),d_dir!AS16/((1/1000)*(d_Irr!R16+d_Irr!AQ16)),IF(AND(d_Irr!R16&lt;&gt;".",d_Irr!AQ16=".",d_Irr!BP16&lt;&gt;"."),d_dir!AS16/((1/1000)*(d_Irr!R16+d_Irr!BP16)),IF(AND(d_Irr!R16=".",d_Irr!AQ16&lt;&gt;".",d_Irr!BP16&lt;&gt;"."),d_dir!AS16/((1/1000)*(d_Irr!AQ16+d_Irr!BP16)),IF(AND(d_Irr!R16=".",d_Irr!AQ16=".",d_Irr!BP16&lt;&gt;"."),d_dir!AS16/((1/1000)*(d_Irr!BP16)),IF(AND(d_Irr!R16=".",d_Irr!AQ16&lt;&gt;".",d_Irr!BP16="."),d_dir!AS16/((1/1000)*(d_Irr!AQ16)),IF(AND(d_Irr!R16&lt;&gt;".",d_Irr!AQ16=".",d_Irr!BP16="."),d_dir!AS16/((1/1000)*(d_Irr!R16)),IF(AND(d_Irr!R16=".",d_Irr!AQ16=".",d_Irr!BP16="."),d_dir!AS16*1000)))))))),".")</f>
        <v>3.0109943107938584</v>
      </c>
      <c r="AT16" s="70">
        <f>IFERROR(IF(AND(d_Irr!S16&lt;&gt;".",d_Irr!AR16&lt;&gt;".",d_Irr!BQ16&lt;&gt;"."),d_dir!AT16/((1/1000)*(d_Irr!S16+d_Irr!AR16+d_Irr!BQ16)),IF(AND(d_Irr!S16&lt;&gt;".",d_Irr!AR16&lt;&gt;".",d_Irr!BQ16="."),d_dir!AT16/((1/1000)*(d_Irr!S16+d_Irr!AR16)),IF(AND(d_Irr!S16&lt;&gt;".",d_Irr!AR16=".",d_Irr!BQ16&lt;&gt;"."),d_dir!AT16/((1/1000)*(d_Irr!S16+d_Irr!BQ16)),IF(AND(d_Irr!S16=".",d_Irr!AR16&lt;&gt;".",d_Irr!BQ16&lt;&gt;"."),d_dir!AT16/((1/1000)*(d_Irr!AR16+d_Irr!BQ16)),IF(AND(d_Irr!S16=".",d_Irr!AR16=".",d_Irr!BQ16&lt;&gt;"."),d_dir!AT16/((1/1000)*(d_Irr!BQ16)),IF(AND(d_Irr!S16=".",d_Irr!AR16&lt;&gt;".",d_Irr!BQ16="."),d_dir!AT16/((1/1000)*(d_Irr!AR16)),IF(AND(d_Irr!S16&lt;&gt;".",d_Irr!AR16=".",d_Irr!BQ16="."),d_dir!AT16/((1/1000)*(d_Irr!S16)),IF(AND(d_Irr!S16=".",d_Irr!AR16=".",d_Irr!BQ16="."),d_dir!AT16*1000)))))))),".")</f>
        <v>6.5922920438481212</v>
      </c>
      <c r="AU16" s="70">
        <f>IFERROR(IF(AND(d_Irr!T16&lt;&gt;".",d_Irr!AS16&lt;&gt;".",d_Irr!BR16&lt;&gt;"."),d_dir!AU16/((1/1000)*(d_Irr!T16+d_Irr!AS16+d_Irr!BR16)),IF(AND(d_Irr!T16&lt;&gt;".",d_Irr!AS16&lt;&gt;".",d_Irr!BR16="."),d_dir!AU16/((1/1000)*(d_Irr!T16+d_Irr!AS16)),IF(AND(d_Irr!T16&lt;&gt;".",d_Irr!AS16=".",d_Irr!BR16&lt;&gt;"."),d_dir!AU16/((1/1000)*(d_Irr!T16+d_Irr!BR16)),IF(AND(d_Irr!T16=".",d_Irr!AS16&lt;&gt;".",d_Irr!BR16&lt;&gt;"."),d_dir!AU16/((1/1000)*(d_Irr!AS16+d_Irr!BR16)),IF(AND(d_Irr!T16=".",d_Irr!AS16=".",d_Irr!BR16&lt;&gt;"."),d_dir!AU16/((1/1000)*(d_Irr!BR16)),IF(AND(d_Irr!T16=".",d_Irr!AS16&lt;&gt;".",d_Irr!BR16="."),d_dir!AU16/((1/1000)*(d_Irr!AS16)),IF(AND(d_Irr!T16&lt;&gt;".",d_Irr!AS16=".",d_Irr!BR16="."),d_dir!AU16/((1/1000)*(d_Irr!T16)),IF(AND(d_Irr!T16=".",d_Irr!AS16=".",d_Irr!BR16="."),d_dir!AU16*1000)))))))),".")</f>
        <v>8.2986275515814363</v>
      </c>
      <c r="AV16" s="70">
        <f>IFERROR(IF(AND(d_Irr!U16&lt;&gt;".",d_Irr!AT16&lt;&gt;".",d_Irr!BS16&lt;&gt;"."),d_dir!AV16/((1/1000)*(d_Irr!U16+d_Irr!AT16+d_Irr!BS16)),IF(AND(d_Irr!U16&lt;&gt;".",d_Irr!AT16&lt;&gt;".",d_Irr!BS16="."),d_dir!AV16/((1/1000)*(d_Irr!U16+d_Irr!AT16)),IF(AND(d_Irr!U16&lt;&gt;".",d_Irr!AT16=".",d_Irr!BS16&lt;&gt;"."),d_dir!AV16/((1/1000)*(d_Irr!U16+d_Irr!BS16)),IF(AND(d_Irr!U16=".",d_Irr!AT16&lt;&gt;".",d_Irr!BS16&lt;&gt;"."),d_dir!AV16/((1/1000)*(d_Irr!AT16+d_Irr!BS16)),IF(AND(d_Irr!U16=".",d_Irr!AT16=".",d_Irr!BS16&lt;&gt;"."),d_dir!AV16/((1/1000)*(d_Irr!BS16)),IF(AND(d_Irr!U16=".",d_Irr!AT16&lt;&gt;".",d_Irr!BS16="."),d_dir!AV16/((1/1000)*(d_Irr!AT16)),IF(AND(d_Irr!U16&lt;&gt;".",d_Irr!AT16=".",d_Irr!BS16="."),d_dir!AV16/((1/1000)*(d_Irr!U16)),IF(AND(d_Irr!U16=".",d_Irr!AT16=".",d_Irr!BS16="."),d_dir!AV16*1000)))))))),".")</f>
        <v>1.5921392089802289</v>
      </c>
      <c r="AW16" s="70">
        <f>IFERROR(IF(AND(d_Irr!V16&lt;&gt;".",d_Irr!AU16&lt;&gt;".",d_Irr!BT16&lt;&gt;"."),d_dir!AW16/((1/1000)*(d_Irr!V16+d_Irr!AU16+d_Irr!BT16)),IF(AND(d_Irr!V16&lt;&gt;".",d_Irr!AU16&lt;&gt;".",d_Irr!BT16="."),d_dir!AW16/((1/1000)*(d_Irr!V16+d_Irr!AU16)),IF(AND(d_Irr!V16&lt;&gt;".",d_Irr!AU16=".",d_Irr!BT16&lt;&gt;"."),d_dir!AW16/((1/1000)*(d_Irr!V16+d_Irr!BT16)),IF(AND(d_Irr!V16=".",d_Irr!AU16&lt;&gt;".",d_Irr!BT16&lt;&gt;"."),d_dir!AW16/((1/1000)*(d_Irr!AU16+d_Irr!BT16)),IF(AND(d_Irr!V16=".",d_Irr!AU16=".",d_Irr!BT16&lt;&gt;"."),d_dir!AW16/((1/1000)*(d_Irr!BT16)),IF(AND(d_Irr!V16=".",d_Irr!AU16&lt;&gt;".",d_Irr!BT16="."),d_dir!AW16/((1/1000)*(d_Irr!AU16)),IF(AND(d_Irr!V16&lt;&gt;".",d_Irr!AU16=".",d_Irr!BT16="."),d_dir!AW16/((1/1000)*(d_Irr!V16)),IF(AND(d_Irr!V16=".",d_Irr!AU16=".",d_Irr!BT16="."),d_dir!AW16*1000)))))))),".")</f>
        <v>3.1683116087280014</v>
      </c>
      <c r="AX16" s="70">
        <f>IFERROR(IF(AND(d_Irr!W16&lt;&gt;".",d_Irr!AV16&lt;&gt;".",d_Irr!BU16&lt;&gt;"."),d_dir!AX16/((1/1000)*(d_Irr!W16+d_Irr!AV16+d_Irr!BU16)),IF(AND(d_Irr!W16&lt;&gt;".",d_Irr!AV16&lt;&gt;".",d_Irr!BU16="."),d_dir!AX16/((1/1000)*(d_Irr!W16+d_Irr!AV16)),IF(AND(d_Irr!W16&lt;&gt;".",d_Irr!AV16=".",d_Irr!BU16&lt;&gt;"."),d_dir!AX16/((1/1000)*(d_Irr!W16+d_Irr!BU16)),IF(AND(d_Irr!W16=".",d_Irr!AV16&lt;&gt;".",d_Irr!BU16&lt;&gt;"."),d_dir!AX16/((1/1000)*(d_Irr!AV16+d_Irr!BU16)),IF(AND(d_Irr!W16=".",d_Irr!AV16=".",d_Irr!BU16&lt;&gt;"."),d_dir!AX16/((1/1000)*(d_Irr!BU16)),IF(AND(d_Irr!W16=".",d_Irr!AV16&lt;&gt;".",d_Irr!BU16="."),d_dir!AX16/((1/1000)*(d_Irr!AV16)),IF(AND(d_Irr!W16&lt;&gt;".",d_Irr!AV16=".",d_Irr!BU16="."),d_dir!AX16/((1/1000)*(d_Irr!W16)),IF(AND(d_Irr!W16=".",d_Irr!AV16=".",d_Irr!BU16="."),d_dir!AX16*1000)))))))),".")</f>
        <v>3.7283088228529437</v>
      </c>
      <c r="AY16" s="70">
        <f>IFERROR(IF(AND(d_Irr!X16&lt;&gt;".",d_Irr!AW16&lt;&gt;".",d_Irr!BV16&lt;&gt;"."),d_dir!AY16/((1/1000)*(d_Irr!X16+d_Irr!AW16+d_Irr!BV16)),IF(AND(d_Irr!X16&lt;&gt;".",d_Irr!AW16&lt;&gt;".",d_Irr!BV16="."),d_dir!AY16/((1/1000)*(d_Irr!X16+d_Irr!AW16)),IF(AND(d_Irr!X16&lt;&gt;".",d_Irr!AW16=".",d_Irr!BV16&lt;&gt;"."),d_dir!AY16/((1/1000)*(d_Irr!X16+d_Irr!BV16)),IF(AND(d_Irr!X16=".",d_Irr!AW16&lt;&gt;".",d_Irr!BV16&lt;&gt;"."),d_dir!AY16/((1/1000)*(d_Irr!AW16+d_Irr!BV16)),IF(AND(d_Irr!X16=".",d_Irr!AW16=".",d_Irr!BV16&lt;&gt;"."),d_dir!AY16/((1/1000)*(d_Irr!BV16)),IF(AND(d_Irr!X16=".",d_Irr!AW16&lt;&gt;".",d_Irr!BV16="."),d_dir!AY16/((1/1000)*(d_Irr!AW16)),IF(AND(d_Irr!X16&lt;&gt;".",d_Irr!AW16=".",d_Irr!BV16="."),d_dir!AY16/((1/1000)*(d_Irr!X16)),IF(AND(d_Irr!X16=".",d_Irr!AW16=".",d_Irr!BV16="."),d_dir!AY16*1000)))))))),".")</f>
        <v>4.8954352728703174</v>
      </c>
      <c r="AZ16" s="70">
        <f>IFERROR(IF(AND(d_Irr!Y16&lt;&gt;".",d_Irr!AX16&lt;&gt;".",d_Irr!BW16&lt;&gt;"."),d_dir!AZ16/((1/1000)*(d_Irr!Y16+d_Irr!AX16+d_Irr!BW16)),IF(AND(d_Irr!Y16&lt;&gt;".",d_Irr!AX16&lt;&gt;".",d_Irr!BW16="."),d_dir!AZ16/((1/1000)*(d_Irr!Y16+d_Irr!AX16)),IF(AND(d_Irr!Y16&lt;&gt;".",d_Irr!AX16=".",d_Irr!BW16&lt;&gt;"."),d_dir!AZ16/((1/1000)*(d_Irr!Y16+d_Irr!BW16)),IF(AND(d_Irr!Y16=".",d_Irr!AX16&lt;&gt;".",d_Irr!BW16&lt;&gt;"."),d_dir!AZ16/((1/1000)*(d_Irr!AX16+d_Irr!BW16)),IF(AND(d_Irr!Y16=".",d_Irr!AX16=".",d_Irr!BW16&lt;&gt;"."),d_dir!AZ16/((1/1000)*(d_Irr!BW16)),IF(AND(d_Irr!Y16=".",d_Irr!AX16&lt;&gt;".",d_Irr!BW16="."),d_dir!AZ16/((1/1000)*(d_Irr!AX16)),IF(AND(d_Irr!Y16&lt;&gt;".",d_Irr!AX16=".",d_Irr!BW16="."),d_dir!AZ16/((1/1000)*(d_Irr!Y16)),IF(AND(d_Irr!Y16=".",d_Irr!AX16=".",d_Irr!BW16="."),d_dir!AZ16*1000)))))))),".")</f>
        <v>2.0697243741962188</v>
      </c>
      <c r="BA16" s="70">
        <f>IFERROR(IF(AND(d_Irr!Z16&lt;&gt;".",d_Irr!AY16&lt;&gt;".",d_Irr!BX16&lt;&gt;"."),d_dir!BA16/((1/1000)*(d_Irr!Z16+d_Irr!AY16+d_Irr!BX16)),IF(AND(d_Irr!Z16&lt;&gt;".",d_Irr!AY16&lt;&gt;".",d_Irr!BX16="."),d_dir!BA16/((1/1000)*(d_Irr!Z16+d_Irr!AY16)),IF(AND(d_Irr!Z16&lt;&gt;".",d_Irr!AY16=".",d_Irr!BX16&lt;&gt;"."),d_dir!BA16/((1/1000)*(d_Irr!Z16+d_Irr!BX16)),IF(AND(d_Irr!Z16=".",d_Irr!AY16&lt;&gt;".",d_Irr!BX16&lt;&gt;"."),d_dir!BA16/((1/1000)*(d_Irr!AY16+d_Irr!BX16)),IF(AND(d_Irr!Z16=".",d_Irr!AY16=".",d_Irr!BX16&lt;&gt;"."),d_dir!BA16/((1/1000)*(d_Irr!BX16)),IF(AND(d_Irr!Z16=".",d_Irr!AY16&lt;&gt;".",d_Irr!BX16="."),d_dir!BA16/((1/1000)*(d_Irr!AY16)),IF(AND(d_Irr!Z16&lt;&gt;".",d_Irr!AY16=".",d_Irr!BX16="."),d_dir!BA16/((1/1000)*(d_Irr!Z16)),IF(AND(d_Irr!Z16=".",d_Irr!AY16=".",d_Irr!BX16="."),d_dir!BA16*1000)))))))),".")</f>
        <v>0.65717429090270885</v>
      </c>
      <c r="BB16" s="70">
        <f>IFERROR(IF(AND(d_Irr!AA16&lt;&gt;".",d_Irr!AZ16&lt;&gt;".",d_Irr!BY16&lt;&gt;"."),d_dir!BB16/((1/1000)*(d_Irr!AA16+d_Irr!AZ16+d_Irr!BY16)),IF(AND(d_Irr!AA16&lt;&gt;".",d_Irr!AZ16&lt;&gt;".",d_Irr!BY16="."),d_dir!BB16/((1/1000)*(d_Irr!AA16+d_Irr!AZ16)),IF(AND(d_Irr!AA16&lt;&gt;".",d_Irr!AZ16=".",d_Irr!BY16&lt;&gt;"."),d_dir!BB16/((1/1000)*(d_Irr!AA16+d_Irr!BY16)),IF(AND(d_Irr!AA16=".",d_Irr!AZ16&lt;&gt;".",d_Irr!BY16&lt;&gt;"."),d_dir!BB16/((1/1000)*(d_Irr!AZ16+d_Irr!BY16)),IF(AND(d_Irr!AA16=".",d_Irr!AZ16=".",d_Irr!BY16&lt;&gt;"."),d_dir!BB16/((1/1000)*(d_Irr!BY16)),IF(AND(d_Irr!AA16=".",d_Irr!AZ16&lt;&gt;".",d_Irr!BY16="."),d_dir!BB16/((1/1000)*(d_Irr!AZ16)),IF(AND(d_Irr!AA16&lt;&gt;".",d_Irr!AZ16=".",d_Irr!BY16="."),d_dir!BB16/((1/1000)*(d_Irr!AA16)),IF(AND(d_Irr!AA16=".",d_Irr!AZ16=".",d_Irr!BY16="."),d_dir!BB16*1000)))))))),".")</f>
        <v>0.73598590644391992</v>
      </c>
    </row>
    <row r="17" spans="1:54" ht="15" customHeight="1" x14ac:dyDescent="0.25">
      <c r="A17" s="86" t="s">
        <v>15</v>
      </c>
      <c r="B17" s="84" t="s">
        <v>1057</v>
      </c>
      <c r="C17" s="2">
        <f t="shared" si="1"/>
        <v>682.71885470313327</v>
      </c>
      <c r="D17" s="70">
        <f>IFERROR(IF(AND(d_Irr!C17&lt;&gt;".",d_Irr!AB17&lt;&gt;".",d_Irr!BA17&lt;&gt;"."),d_dir!D17/((1/1000)*(d_Irr!C17+d_Irr!AB17+d_Irr!BA17)),IF(AND(d_Irr!C17&lt;&gt;".",d_Irr!AB17&lt;&gt;".",d_Irr!BA17="."),d_dir!D17/((1/1000)*(d_Irr!C17+d_Irr!AB17)),IF(AND(d_Irr!C17&lt;&gt;".",d_Irr!AB17=".",d_Irr!BA17&lt;&gt;"."),d_dir!D17/((1/1000)*(d_Irr!C17+d_Irr!BA17)),IF(AND(d_Irr!C17=".",d_Irr!AB17&lt;&gt;".",d_Irr!BA17&lt;&gt;"."),d_dir!D17/((1/1000)*(d_Irr!AB17+d_Irr!BA17)),IF(AND(d_Irr!C17=".",d_Irr!AB17=".",d_Irr!BA17&lt;&gt;"."),d_dir!D17/((1/1000)*(d_Irr!BA17)),IF(AND(d_Irr!C17=".",d_Irr!AB17&lt;&gt;".",d_Irr!BA17="."),d_dir!D17/((1/1000)*(d_Irr!AB17)),IF(AND(d_Irr!C17&lt;&gt;".",d_Irr!AB17=".",d_Irr!BA17="."),d_dir!D17/((1/1000)*(d_Irr!C17)),IF(AND(d_Irr!C17=".",d_Irr!AB17=".",d_Irr!BA17="."),d_dir!D17*1000)))))))),".")</f>
        <v>13186.832789534776</v>
      </c>
      <c r="E17" s="70">
        <f>IFERROR(IF(AND(d_Irr!D17&lt;&gt;".",d_Irr!AC17&lt;&gt;".",d_Irr!BB17&lt;&gt;"."),d_dir!E17/((1/1000)*(d_Irr!D17+d_Irr!AC17+d_Irr!BB17)),IF(AND(d_Irr!D17&lt;&gt;".",d_Irr!AC17&lt;&gt;".",d_Irr!BB17="."),d_dir!E17/((1/1000)*(d_Irr!D17+d_Irr!AC17)),IF(AND(d_Irr!D17&lt;&gt;".",d_Irr!AC17=".",d_Irr!BB17&lt;&gt;"."),d_dir!E17/((1/1000)*(d_Irr!D17+d_Irr!BB17)),IF(AND(d_Irr!D17=".",d_Irr!AC17&lt;&gt;".",d_Irr!BB17&lt;&gt;"."),d_dir!E17/((1/1000)*(d_Irr!AC17+d_Irr!BB17)),IF(AND(d_Irr!D17=".",d_Irr!AC17=".",d_Irr!BB17&lt;&gt;"."),d_dir!E17/((1/1000)*(d_Irr!BB17)),IF(AND(d_Irr!D17=".",d_Irr!AC17&lt;&gt;".",d_Irr!BB17="."),d_dir!E17/((1/1000)*(d_Irr!AC17)),IF(AND(d_Irr!D17&lt;&gt;".",d_Irr!AC17=".",d_Irr!BB17="."),d_dir!E17/((1/1000)*(d_Irr!D17)),IF(AND(d_Irr!D17=".",d_Irr!AC17=".",d_Irr!BB17="."),d_dir!E17*1000)))))))),".")</f>
        <v>17746.492075271275</v>
      </c>
      <c r="F17" s="70">
        <f>IFERROR(IF(AND(d_Irr!E17&lt;&gt;".",d_Irr!AD17&lt;&gt;".",d_Irr!BC17&lt;&gt;"."),d_dir!F17/((1/1000)*(d_Irr!E17+d_Irr!AD17+d_Irr!BC17)),IF(AND(d_Irr!E17&lt;&gt;".",d_Irr!AD17&lt;&gt;".",d_Irr!BC17="."),d_dir!F17/((1/1000)*(d_Irr!E17+d_Irr!AD17)),IF(AND(d_Irr!E17&lt;&gt;".",d_Irr!AD17=".",d_Irr!BC17&lt;&gt;"."),d_dir!F17/((1/1000)*(d_Irr!E17+d_Irr!BC17)),IF(AND(d_Irr!E17=".",d_Irr!AD17&lt;&gt;".",d_Irr!BC17&lt;&gt;"."),d_dir!F17/((1/1000)*(d_Irr!AD17+d_Irr!BC17)),IF(AND(d_Irr!E17=".",d_Irr!AD17=".",d_Irr!BC17&lt;&gt;"."),d_dir!F17/((1/1000)*(d_Irr!BC17)),IF(AND(d_Irr!E17=".",d_Irr!AD17&lt;&gt;".",d_Irr!BC17="."),d_dir!F17/((1/1000)*(d_Irr!AD17)),IF(AND(d_Irr!E17&lt;&gt;".",d_Irr!AD17=".",d_Irr!BC17="."),d_dir!F17/((1/1000)*(d_Irr!E17)),IF(AND(d_Irr!E17=".",d_Irr!AD17=".",d_Irr!BC17="."),d_dir!F17*1000)))))))),".")</f>
        <v>33283.304843184385</v>
      </c>
      <c r="G17" s="70">
        <f>IFERROR(IF(AND(d_Irr!F17&lt;&gt;".",d_Irr!AE17&lt;&gt;".",d_Irr!BD17&lt;&gt;"."),d_dir!G17/((1/1000)*(d_Irr!F17+d_Irr!AE17+d_Irr!BD17)),IF(AND(d_Irr!F17&lt;&gt;".",d_Irr!AE17&lt;&gt;".",d_Irr!BD17="."),d_dir!G17/((1/1000)*(d_Irr!F17+d_Irr!AE17)),IF(AND(d_Irr!F17&lt;&gt;".",d_Irr!AE17=".",d_Irr!BD17&lt;&gt;"."),d_dir!G17/((1/1000)*(d_Irr!F17+d_Irr!BD17)),IF(AND(d_Irr!F17=".",d_Irr!AE17&lt;&gt;".",d_Irr!BD17&lt;&gt;"."),d_dir!G17/((1/1000)*(d_Irr!AE17+d_Irr!BD17)),IF(AND(d_Irr!F17=".",d_Irr!AE17=".",d_Irr!BD17&lt;&gt;"."),d_dir!G17/((1/1000)*(d_Irr!BD17)),IF(AND(d_Irr!F17=".",d_Irr!AE17&lt;&gt;".",d_Irr!BD17="."),d_dir!G17/((1/1000)*(d_Irr!AE17)),IF(AND(d_Irr!F17&lt;&gt;".",d_Irr!AE17=".",d_Irr!BD17="."),d_dir!G17/((1/1000)*(d_Irr!F17)),IF(AND(d_Irr!F17=".",d_Irr!AE17=".",d_Irr!BD17="."),d_dir!G17*1000)))))))),".")</f>
        <v>29650.824272020716</v>
      </c>
      <c r="H17" s="70">
        <f>IFERROR(IF(AND(d_Irr!G17&lt;&gt;".",d_Irr!AF17&lt;&gt;".",d_Irr!BE17&lt;&gt;"."),d_dir!H17/((1/1000)*(d_Irr!G17+d_Irr!AF17+d_Irr!BE17)),IF(AND(d_Irr!G17&lt;&gt;".",d_Irr!AF17&lt;&gt;".",d_Irr!BE17="."),d_dir!H17/((1/1000)*(d_Irr!G17+d_Irr!AF17)),IF(AND(d_Irr!G17&lt;&gt;".",d_Irr!AF17=".",d_Irr!BE17&lt;&gt;"."),d_dir!H17/((1/1000)*(d_Irr!G17+d_Irr!BE17)),IF(AND(d_Irr!G17=".",d_Irr!AF17&lt;&gt;".",d_Irr!BE17&lt;&gt;"."),d_dir!H17/((1/1000)*(d_Irr!AF17+d_Irr!BE17)),IF(AND(d_Irr!G17=".",d_Irr!AF17=".",d_Irr!BE17&lt;&gt;"."),d_dir!H17/((1/1000)*(d_Irr!BE17)),IF(AND(d_Irr!G17=".",d_Irr!AF17&lt;&gt;".",d_Irr!BE17="."),d_dir!H17/((1/1000)*(d_Irr!AF17)),IF(AND(d_Irr!G17&lt;&gt;".",d_Irr!AF17=".",d_Irr!BE17="."),d_dir!H17/((1/1000)*(d_Irr!G17)),IF(AND(d_Irr!G17=".",d_Irr!AF17=".",d_Irr!BE17="."),d_dir!H17*1000)))))))),".")</f>
        <v>34715.105928408928</v>
      </c>
      <c r="I17" s="70">
        <f>IFERROR(IF(AND(d_Irr!H17&lt;&gt;".",d_Irr!AG17&lt;&gt;".",d_Irr!BF17&lt;&gt;"."),d_dir!I17/((1/1000)*(d_Irr!H17+d_Irr!AG17+d_Irr!BF17)),IF(AND(d_Irr!H17&lt;&gt;".",d_Irr!AG17&lt;&gt;".",d_Irr!BF17="."),d_dir!I17/((1/1000)*(d_Irr!H17+d_Irr!AG17)),IF(AND(d_Irr!H17&lt;&gt;".",d_Irr!AG17=".",d_Irr!BF17&lt;&gt;"."),d_dir!I17/((1/1000)*(d_Irr!H17+d_Irr!BF17)),IF(AND(d_Irr!H17=".",d_Irr!AG17&lt;&gt;".",d_Irr!BF17&lt;&gt;"."),d_dir!I17/((1/1000)*(d_Irr!AG17+d_Irr!BF17)),IF(AND(d_Irr!H17=".",d_Irr!AG17=".",d_Irr!BF17&lt;&gt;"."),d_dir!I17/((1/1000)*(d_Irr!BF17)),IF(AND(d_Irr!H17=".",d_Irr!AG17&lt;&gt;".",d_Irr!BF17="."),d_dir!I17/((1/1000)*(d_Irr!AG17)),IF(AND(d_Irr!H17&lt;&gt;".",d_Irr!AG17=".",d_Irr!BF17="."),d_dir!I17/((1/1000)*(d_Irr!H17)),IF(AND(d_Irr!H17=".",d_Irr!AG17=".",d_Irr!BF17="."),d_dir!I17*1000)))))))),".")</f>
        <v>8740.2788130962235</v>
      </c>
      <c r="J17" s="70">
        <f>IFERROR(IF(AND(d_Irr!I17&lt;&gt;".",d_Irr!AH17&lt;&gt;".",d_Irr!BG17&lt;&gt;"."),d_dir!J17/((1/1000)*(d_Irr!I17+d_Irr!AH17+d_Irr!BG17)),IF(AND(d_Irr!I17&lt;&gt;".",d_Irr!AH17&lt;&gt;".",d_Irr!BG17="."),d_dir!J17/((1/1000)*(d_Irr!I17+d_Irr!AH17)),IF(AND(d_Irr!I17&lt;&gt;".",d_Irr!AH17=".",d_Irr!BG17&lt;&gt;"."),d_dir!J17/((1/1000)*(d_Irr!I17+d_Irr!BG17)),IF(AND(d_Irr!I17=".",d_Irr!AH17&lt;&gt;".",d_Irr!BG17&lt;&gt;"."),d_dir!J17/((1/1000)*(d_Irr!AH17+d_Irr!BG17)),IF(AND(d_Irr!I17=".",d_Irr!AH17=".",d_Irr!BG17&lt;&gt;"."),d_dir!J17/((1/1000)*(d_Irr!BG17)),IF(AND(d_Irr!I17=".",d_Irr!AH17&lt;&gt;".",d_Irr!BG17="."),d_dir!J17/((1/1000)*(d_Irr!AH17)),IF(AND(d_Irr!I17&lt;&gt;".",d_Irr!AH17=".",d_Irr!BG17="."),d_dir!J17/((1/1000)*(d_Irr!I17)),IF(AND(d_Irr!I17=".",d_Irr!AH17=".",d_Irr!BG17="."),d_dir!J17*1000)))))))),".")</f>
        <v>38338.327145931733</v>
      </c>
      <c r="K17" s="70">
        <f>IFERROR(IF(AND(d_Irr!J17&lt;&gt;".",d_Irr!AI17&lt;&gt;".",d_Irr!BH17&lt;&gt;"."),d_dir!K17/((1/1000)*(d_Irr!J17+d_Irr!AI17+d_Irr!BH17)),IF(AND(d_Irr!J17&lt;&gt;".",d_Irr!AI17&lt;&gt;".",d_Irr!BH17="."),d_dir!K17/((1/1000)*(d_Irr!J17+d_Irr!AI17)),IF(AND(d_Irr!J17&lt;&gt;".",d_Irr!AI17=".",d_Irr!BH17&lt;&gt;"."),d_dir!K17/((1/1000)*(d_Irr!J17+d_Irr!BH17)),IF(AND(d_Irr!J17=".",d_Irr!AI17&lt;&gt;".",d_Irr!BH17&lt;&gt;"."),d_dir!K17/((1/1000)*(d_Irr!AI17+d_Irr!BH17)),IF(AND(d_Irr!J17=".",d_Irr!AI17=".",d_Irr!BH17&lt;&gt;"."),d_dir!K17/((1/1000)*(d_Irr!BH17)),IF(AND(d_Irr!J17=".",d_Irr!AI17&lt;&gt;".",d_Irr!BH17="."),d_dir!K17/((1/1000)*(d_Irr!AI17)),IF(AND(d_Irr!J17&lt;&gt;".",d_Irr!AI17=".",d_Irr!BH17="."),d_dir!K17/((1/1000)*(d_Irr!J17)),IF(AND(d_Irr!J17=".",d_Irr!AI17=".",d_Irr!BH17="."),d_dir!K17*1000)))))))),".")</f>
        <v>3418.5656736451688</v>
      </c>
      <c r="L17" s="70">
        <f>IFERROR(IF(AND(d_Irr!K17&lt;&gt;".",d_Irr!AJ17&lt;&gt;".",d_Irr!BI17&lt;&gt;"."),d_dir!L17/((1/1000)*(d_Irr!K17+d_Irr!AJ17+d_Irr!BI17)),IF(AND(d_Irr!K17&lt;&gt;".",d_Irr!AJ17&lt;&gt;".",d_Irr!BI17="."),d_dir!L17/((1/1000)*(d_Irr!K17+d_Irr!AJ17)),IF(AND(d_Irr!K17&lt;&gt;".",d_Irr!AJ17=".",d_Irr!BI17&lt;&gt;"."),d_dir!L17/((1/1000)*(d_Irr!K17+d_Irr!BI17)),IF(AND(d_Irr!K17=".",d_Irr!AJ17&lt;&gt;".",d_Irr!BI17&lt;&gt;"."),d_dir!L17/((1/1000)*(d_Irr!AJ17+d_Irr!BI17)),IF(AND(d_Irr!K17=".",d_Irr!AJ17=".",d_Irr!BI17&lt;&gt;"."),d_dir!L17/((1/1000)*(d_Irr!BI17)),IF(AND(d_Irr!K17=".",d_Irr!AJ17&lt;&gt;".",d_Irr!BI17="."),d_dir!L17/((1/1000)*(d_Irr!AJ17)),IF(AND(d_Irr!K17&lt;&gt;".",d_Irr!AJ17=".",d_Irr!BI17="."),d_dir!L17/((1/1000)*(d_Irr!K17)),IF(AND(d_Irr!K17=".",d_Irr!AJ17=".",d_Irr!BI17="."),d_dir!L17*1000)))))))),".")</f>
        <v>20341.618378310675</v>
      </c>
      <c r="M17" s="70">
        <f>IFERROR(IF(AND(d_Irr!L17&lt;&gt;".",d_Irr!AK17&lt;&gt;".",d_Irr!BJ17&lt;&gt;"."),d_dir!M17/((1/1000)*(d_Irr!L17+d_Irr!AK17+d_Irr!BJ17)),IF(AND(d_Irr!L17&lt;&gt;".",d_Irr!AK17&lt;&gt;".",d_Irr!BJ17="."),d_dir!M17/((1/1000)*(d_Irr!L17+d_Irr!AK17)),IF(AND(d_Irr!L17&lt;&gt;".",d_Irr!AK17=".",d_Irr!BJ17&lt;&gt;"."),d_dir!M17/((1/1000)*(d_Irr!L17+d_Irr!BJ17)),IF(AND(d_Irr!L17=".",d_Irr!AK17&lt;&gt;".",d_Irr!BJ17&lt;&gt;"."),d_dir!M17/((1/1000)*(d_Irr!AK17+d_Irr!BJ17)),IF(AND(d_Irr!L17=".",d_Irr!AK17=".",d_Irr!BJ17&lt;&gt;"."),d_dir!M17/((1/1000)*(d_Irr!BJ17)),IF(AND(d_Irr!L17=".",d_Irr!AK17&lt;&gt;".",d_Irr!BJ17="."),d_dir!M17/((1/1000)*(d_Irr!AK17)),IF(AND(d_Irr!L17&lt;&gt;".",d_Irr!AK17=".",d_Irr!BJ17="."),d_dir!M17/((1/1000)*(d_Irr!L17)),IF(AND(d_Irr!L17=".",d_Irr!AK17=".",d_Irr!BJ17="."),d_dir!M17*1000)))))))),".")</f>
        <v>13452.692185502443</v>
      </c>
      <c r="N17" s="70">
        <f>IFERROR(IF(AND(d_Irr!M17&lt;&gt;".",d_Irr!AL17&lt;&gt;".",d_Irr!BK17&lt;&gt;"."),d_dir!N17/((1/1000)*(d_Irr!M17+d_Irr!AL17+d_Irr!BK17)),IF(AND(d_Irr!M17&lt;&gt;".",d_Irr!AL17&lt;&gt;".",d_Irr!BK17="."),d_dir!N17/((1/1000)*(d_Irr!M17+d_Irr!AL17)),IF(AND(d_Irr!M17&lt;&gt;".",d_Irr!AL17=".",d_Irr!BK17&lt;&gt;"."),d_dir!N17/((1/1000)*(d_Irr!M17+d_Irr!BK17)),IF(AND(d_Irr!M17=".",d_Irr!AL17&lt;&gt;".",d_Irr!BK17&lt;&gt;"."),d_dir!N17/((1/1000)*(d_Irr!AL17+d_Irr!BK17)),IF(AND(d_Irr!M17=".",d_Irr!AL17=".",d_Irr!BK17&lt;&gt;"."),d_dir!N17/((1/1000)*(d_Irr!BK17)),IF(AND(d_Irr!M17=".",d_Irr!AL17&lt;&gt;".",d_Irr!BK17="."),d_dir!N17/((1/1000)*(d_Irr!AL17)),IF(AND(d_Irr!M17&lt;&gt;".",d_Irr!AL17=".",d_Irr!BK17="."),d_dir!N17/((1/1000)*(d_Irr!M17)),IF(AND(d_Irr!M17=".",d_Irr!AL17=".",d_Irr!BK17="."),d_dir!N17*1000)))))))),".")</f>
        <v>19130.09937675987</v>
      </c>
      <c r="O17" s="70">
        <f>IFERROR(IF(AND(d_Irr!N17&lt;&gt;".",d_Irr!AM17&lt;&gt;".",d_Irr!BL17&lt;&gt;"."),d_dir!O17/((1/1000)*(d_Irr!N17+d_Irr!AM17+d_Irr!BL17)),IF(AND(d_Irr!N17&lt;&gt;".",d_Irr!AM17&lt;&gt;".",d_Irr!BL17="."),d_dir!O17/((1/1000)*(d_Irr!N17+d_Irr!AM17)),IF(AND(d_Irr!N17&lt;&gt;".",d_Irr!AM17=".",d_Irr!BL17&lt;&gt;"."),d_dir!O17/((1/1000)*(d_Irr!N17+d_Irr!BL17)),IF(AND(d_Irr!N17=".",d_Irr!AM17&lt;&gt;".",d_Irr!BL17&lt;&gt;"."),d_dir!O17/((1/1000)*(d_Irr!AM17+d_Irr!BL17)),IF(AND(d_Irr!N17=".",d_Irr!AM17=".",d_Irr!BL17&lt;&gt;"."),d_dir!O17/((1/1000)*(d_Irr!BL17)),IF(AND(d_Irr!N17=".",d_Irr!AM17&lt;&gt;".",d_Irr!BL17="."),d_dir!O17/((1/1000)*(d_Irr!AM17)),IF(AND(d_Irr!N17&lt;&gt;".",d_Irr!AM17=".",d_Irr!BL17="."),d_dir!O17/((1/1000)*(d_Irr!N17)),IF(AND(d_Irr!N17=".",d_Irr!AM17=".",d_Irr!BL17="."),d_dir!O17*1000)))))))),".")</f>
        <v>31374.753131431797</v>
      </c>
      <c r="P17" s="70">
        <f>IFERROR(IF(AND(d_Irr!O17&lt;&gt;".",d_Irr!AN17&lt;&gt;".",d_Irr!BM17&lt;&gt;"."),d_dir!P17/((1/1000)*(d_Irr!O17+d_Irr!AN17+d_Irr!BM17)),IF(AND(d_Irr!O17&lt;&gt;".",d_Irr!AN17&lt;&gt;".",d_Irr!BM17="."),d_dir!P17/((1/1000)*(d_Irr!O17+d_Irr!AN17)),IF(AND(d_Irr!O17&lt;&gt;".",d_Irr!AN17=".",d_Irr!BM17&lt;&gt;"."),d_dir!P17/((1/1000)*(d_Irr!O17+d_Irr!BM17)),IF(AND(d_Irr!O17=".",d_Irr!AN17&lt;&gt;".",d_Irr!BM17&lt;&gt;"."),d_dir!P17/((1/1000)*(d_Irr!AN17+d_Irr!BM17)),IF(AND(d_Irr!O17=".",d_Irr!AN17=".",d_Irr!BM17&lt;&gt;"."),d_dir!P17/((1/1000)*(d_Irr!BM17)),IF(AND(d_Irr!O17=".",d_Irr!AN17&lt;&gt;".",d_Irr!BM17="."),d_dir!P17/((1/1000)*(d_Irr!AN17)),IF(AND(d_Irr!O17&lt;&gt;".",d_Irr!AN17=".",d_Irr!BM17="."),d_dir!P17/((1/1000)*(d_Irr!O17)),IF(AND(d_Irr!O17=".",d_Irr!AN17=".",d_Irr!BM17="."),d_dir!P17*1000)))))))),".")</f>
        <v>36292.492725465447</v>
      </c>
      <c r="Q17" s="70">
        <f>IFERROR(IF(AND(d_Irr!P17&lt;&gt;".",d_Irr!AO17&lt;&gt;".",d_Irr!BN17&lt;&gt;"."),d_dir!Q17/((1/1000)*(d_Irr!P17+d_Irr!AO17+d_Irr!BN17)),IF(AND(d_Irr!P17&lt;&gt;".",d_Irr!AO17&lt;&gt;".",d_Irr!BN17="."),d_dir!Q17/((1/1000)*(d_Irr!P17+d_Irr!AO17)),IF(AND(d_Irr!P17&lt;&gt;".",d_Irr!AO17=".",d_Irr!BN17&lt;&gt;"."),d_dir!Q17/((1/1000)*(d_Irr!P17+d_Irr!BN17)),IF(AND(d_Irr!P17=".",d_Irr!AO17&lt;&gt;".",d_Irr!BN17&lt;&gt;"."),d_dir!Q17/((1/1000)*(d_Irr!AO17+d_Irr!BN17)),IF(AND(d_Irr!P17=".",d_Irr!AO17=".",d_Irr!BN17&lt;&gt;"."),d_dir!Q17/((1/1000)*(d_Irr!BN17)),IF(AND(d_Irr!P17=".",d_Irr!AO17&lt;&gt;".",d_Irr!BN17="."),d_dir!Q17/((1/1000)*(d_Irr!AO17)),IF(AND(d_Irr!P17&lt;&gt;".",d_Irr!AO17=".",d_Irr!BN17="."),d_dir!Q17/((1/1000)*(d_Irr!P17)),IF(AND(d_Irr!P17=".",d_Irr!AO17=".",d_Irr!BN17="."),d_dir!Q17*1000)))))))),".")</f>
        <v>51801.261365891012</v>
      </c>
      <c r="R17" s="70">
        <f>IFERROR(IF(AND(d_Irr!Q17&lt;&gt;".",d_Irr!AP17&lt;&gt;".",d_Irr!BO17&lt;&gt;"."),d_dir!R17/((1/1000)*(d_Irr!Q17+d_Irr!AP17+d_Irr!BO17)),IF(AND(d_Irr!Q17&lt;&gt;".",d_Irr!AP17&lt;&gt;".",d_Irr!BO17="."),d_dir!R17/((1/1000)*(d_Irr!Q17+d_Irr!AP17)),IF(AND(d_Irr!Q17&lt;&gt;".",d_Irr!AP17=".",d_Irr!BO17&lt;&gt;"."),d_dir!R17/((1/1000)*(d_Irr!Q17+d_Irr!BO17)),IF(AND(d_Irr!Q17=".",d_Irr!AP17&lt;&gt;".",d_Irr!BO17&lt;&gt;"."),d_dir!R17/((1/1000)*(d_Irr!AP17+d_Irr!BO17)),IF(AND(d_Irr!Q17=".",d_Irr!AP17=".",d_Irr!BO17&lt;&gt;"."),d_dir!R17/((1/1000)*(d_Irr!BO17)),IF(AND(d_Irr!Q17=".",d_Irr!AP17&lt;&gt;".",d_Irr!BO17="."),d_dir!R17/((1/1000)*(d_Irr!AP17)),IF(AND(d_Irr!Q17&lt;&gt;".",d_Irr!AP17=".",d_Irr!BO17="."),d_dir!R17/((1/1000)*(d_Irr!Q17)),IF(AND(d_Irr!Q17=".",d_Irr!AP17=".",d_Irr!BO17="."),d_dir!R17*1000)))))))),".")</f>
        <v>8466.2101336702544</v>
      </c>
      <c r="S17" s="70">
        <f>IFERROR(IF(AND(d_Irr!R17&lt;&gt;".",d_Irr!AQ17&lt;&gt;".",d_Irr!BP17&lt;&gt;"."),d_dir!S17/((1/1000)*(d_Irr!R17+d_Irr!AQ17+d_Irr!BP17)),IF(AND(d_Irr!R17&lt;&gt;".",d_Irr!AQ17&lt;&gt;".",d_Irr!BP17="."),d_dir!S17/((1/1000)*(d_Irr!R17+d_Irr!AQ17)),IF(AND(d_Irr!R17&lt;&gt;".",d_Irr!AQ17=".",d_Irr!BP17&lt;&gt;"."),d_dir!S17/((1/1000)*(d_Irr!R17+d_Irr!BP17)),IF(AND(d_Irr!R17=".",d_Irr!AQ17&lt;&gt;".",d_Irr!BP17&lt;&gt;"."),d_dir!S17/((1/1000)*(d_Irr!AQ17+d_Irr!BP17)),IF(AND(d_Irr!R17=".",d_Irr!AQ17=".",d_Irr!BP17&lt;&gt;"."),d_dir!S17/((1/1000)*(d_Irr!BP17)),IF(AND(d_Irr!R17=".",d_Irr!AQ17&lt;&gt;".",d_Irr!BP17="."),d_dir!S17/((1/1000)*(d_Irr!AQ17)),IF(AND(d_Irr!R17&lt;&gt;".",d_Irr!AQ17=".",d_Irr!BP17="."),d_dir!S17/((1/1000)*(d_Irr!R17)),IF(AND(d_Irr!R17=".",d_Irr!AQ17=".",d_Irr!BP17="."),d_dir!S17*1000)))))))),".")</f>
        <v>17274.635732049312</v>
      </c>
      <c r="T17" s="70">
        <f>IFERROR(IF(AND(d_Irr!S17&lt;&gt;".",d_Irr!AR17&lt;&gt;".",d_Irr!BQ17&lt;&gt;"."),d_dir!T17/((1/1000)*(d_Irr!S17+d_Irr!AR17+d_Irr!BQ17)),IF(AND(d_Irr!S17&lt;&gt;".",d_Irr!AR17&lt;&gt;".",d_Irr!BQ17="."),d_dir!T17/((1/1000)*(d_Irr!S17+d_Irr!AR17)),IF(AND(d_Irr!S17&lt;&gt;".",d_Irr!AR17=".",d_Irr!BQ17&lt;&gt;"."),d_dir!T17/((1/1000)*(d_Irr!S17+d_Irr!BQ17)),IF(AND(d_Irr!S17=".",d_Irr!AR17&lt;&gt;".",d_Irr!BQ17&lt;&gt;"."),d_dir!T17/((1/1000)*(d_Irr!AR17+d_Irr!BQ17)),IF(AND(d_Irr!S17=".",d_Irr!AR17=".",d_Irr!BQ17&lt;&gt;"."),d_dir!T17/((1/1000)*(d_Irr!BQ17)),IF(AND(d_Irr!S17=".",d_Irr!AR17&lt;&gt;".",d_Irr!BQ17="."),d_dir!T17/((1/1000)*(d_Irr!AR17)),IF(AND(d_Irr!S17&lt;&gt;".",d_Irr!AR17=".",d_Irr!BQ17="."),d_dir!T17/((1/1000)*(d_Irr!S17)),IF(AND(d_Irr!S17=".",d_Irr!AR17=".",d_Irr!BQ17="."),d_dir!T17*1000)))))))),".")</f>
        <v>31447.864792260185</v>
      </c>
      <c r="U17" s="70">
        <f>IFERROR(IF(AND(d_Irr!T17&lt;&gt;".",d_Irr!AS17&lt;&gt;".",d_Irr!BR17&lt;&gt;"."),d_dir!U17/((1/1000)*(d_Irr!T17+d_Irr!AS17+d_Irr!BR17)),IF(AND(d_Irr!T17&lt;&gt;".",d_Irr!AS17&lt;&gt;".",d_Irr!BR17="."),d_dir!U17/((1/1000)*(d_Irr!T17+d_Irr!AS17)),IF(AND(d_Irr!T17&lt;&gt;".",d_Irr!AS17=".",d_Irr!BR17&lt;&gt;"."),d_dir!U17/((1/1000)*(d_Irr!T17+d_Irr!BR17)),IF(AND(d_Irr!T17=".",d_Irr!AS17&lt;&gt;".",d_Irr!BR17&lt;&gt;"."),d_dir!U17/((1/1000)*(d_Irr!AS17+d_Irr!BR17)),IF(AND(d_Irr!T17=".",d_Irr!AS17=".",d_Irr!BR17&lt;&gt;"."),d_dir!U17/((1/1000)*(d_Irr!BR17)),IF(AND(d_Irr!T17=".",d_Irr!AS17&lt;&gt;".",d_Irr!BR17="."),d_dir!U17/((1/1000)*(d_Irr!AS17)),IF(AND(d_Irr!T17&lt;&gt;".",d_Irr!AS17=".",d_Irr!BR17="."),d_dir!U17/((1/1000)*(d_Irr!T17)),IF(AND(d_Irr!T17=".",d_Irr!AS17=".",d_Irr!BR17="."),d_dir!U17*1000)))))))),".")</f>
        <v>56731.008503199788</v>
      </c>
      <c r="V17" s="70">
        <f>IFERROR(IF(AND(d_Irr!U17&lt;&gt;".",d_Irr!AT17&lt;&gt;".",d_Irr!BS17&lt;&gt;"."),d_dir!V17/((1/1000)*(d_Irr!U17+d_Irr!AT17+d_Irr!BS17)),IF(AND(d_Irr!U17&lt;&gt;".",d_Irr!AT17&lt;&gt;".",d_Irr!BS17="."),d_dir!V17/((1/1000)*(d_Irr!U17+d_Irr!AT17)),IF(AND(d_Irr!U17&lt;&gt;".",d_Irr!AT17=".",d_Irr!BS17&lt;&gt;"."),d_dir!V17/((1/1000)*(d_Irr!U17+d_Irr!BS17)),IF(AND(d_Irr!U17=".",d_Irr!AT17&lt;&gt;".",d_Irr!BS17&lt;&gt;"."),d_dir!V17/((1/1000)*(d_Irr!AT17+d_Irr!BS17)),IF(AND(d_Irr!U17=".",d_Irr!AT17=".",d_Irr!BS17&lt;&gt;"."),d_dir!V17/((1/1000)*(d_Irr!BS17)),IF(AND(d_Irr!U17=".",d_Irr!AT17&lt;&gt;".",d_Irr!BS17="."),d_dir!V17/((1/1000)*(d_Irr!AT17)),IF(AND(d_Irr!U17&lt;&gt;".",d_Irr!AT17=".",d_Irr!BS17="."),d_dir!V17/((1/1000)*(d_Irr!U17)),IF(AND(d_Irr!U17=".",d_Irr!AT17=".",d_Irr!BS17="."),d_dir!V17*1000)))))))),".")</f>
        <v>9587.3542623577232</v>
      </c>
      <c r="W17" s="70">
        <f>IFERROR(IF(AND(d_Irr!V17&lt;&gt;".",d_Irr!AU17&lt;&gt;".",d_Irr!BT17&lt;&gt;"."),d_dir!W17/((1/1000)*(d_Irr!V17+d_Irr!AU17+d_Irr!BT17)),IF(AND(d_Irr!V17&lt;&gt;".",d_Irr!AU17&lt;&gt;".",d_Irr!BT17="."),d_dir!W17/((1/1000)*(d_Irr!V17+d_Irr!AU17)),IF(AND(d_Irr!V17&lt;&gt;".",d_Irr!AU17=".",d_Irr!BT17&lt;&gt;"."),d_dir!W17/((1/1000)*(d_Irr!V17+d_Irr!BT17)),IF(AND(d_Irr!V17=".",d_Irr!AU17&lt;&gt;".",d_Irr!BT17&lt;&gt;"."),d_dir!W17/((1/1000)*(d_Irr!AU17+d_Irr!BT17)),IF(AND(d_Irr!V17=".",d_Irr!AU17=".",d_Irr!BT17&lt;&gt;"."),d_dir!W17/((1/1000)*(d_Irr!BT17)),IF(AND(d_Irr!V17=".",d_Irr!AU17&lt;&gt;".",d_Irr!BT17="."),d_dir!W17/((1/1000)*(d_Irr!AU17)),IF(AND(d_Irr!V17&lt;&gt;".",d_Irr!AU17=".",d_Irr!BT17="."),d_dir!W17/((1/1000)*(d_Irr!V17)),IF(AND(d_Irr!V17=".",d_Irr!AU17=".",d_Irr!BT17="."),d_dir!W17*1000)))))))),".")</f>
        <v>17261.602034533931</v>
      </c>
      <c r="X17" s="70">
        <f>IFERROR(IF(AND(d_Irr!W17&lt;&gt;".",d_Irr!AV17&lt;&gt;".",d_Irr!BU17&lt;&gt;"."),d_dir!X17/((1/1000)*(d_Irr!W17+d_Irr!AV17+d_Irr!BU17)),IF(AND(d_Irr!W17&lt;&gt;".",d_Irr!AV17&lt;&gt;".",d_Irr!BU17="."),d_dir!X17/((1/1000)*(d_Irr!W17+d_Irr!AV17)),IF(AND(d_Irr!W17&lt;&gt;".",d_Irr!AV17=".",d_Irr!BU17&lt;&gt;"."),d_dir!X17/((1/1000)*(d_Irr!W17+d_Irr!BU17)),IF(AND(d_Irr!W17=".",d_Irr!AV17&lt;&gt;".",d_Irr!BU17&lt;&gt;"."),d_dir!X17/((1/1000)*(d_Irr!AV17+d_Irr!BU17)),IF(AND(d_Irr!W17=".",d_Irr!AV17=".",d_Irr!BU17&lt;&gt;"."),d_dir!X17/((1/1000)*(d_Irr!BU17)),IF(AND(d_Irr!W17=".",d_Irr!AV17&lt;&gt;".",d_Irr!BU17="."),d_dir!X17/((1/1000)*(d_Irr!AV17)),IF(AND(d_Irr!W17&lt;&gt;".",d_Irr!AV17=".",d_Irr!BU17="."),d_dir!X17/((1/1000)*(d_Irr!W17)),IF(AND(d_Irr!W17=".",d_Irr!AV17=".",d_Irr!BU17="."),d_dir!X17*1000)))))))),".")</f>
        <v>20184.322175712761</v>
      </c>
      <c r="Y17" s="70">
        <f>IFERROR(IF(AND(d_Irr!X17&lt;&gt;".",d_Irr!AW17&lt;&gt;".",d_Irr!BV17&lt;&gt;"."),d_dir!Y17/((1/1000)*(d_Irr!X17+d_Irr!AW17+d_Irr!BV17)),IF(AND(d_Irr!X17&lt;&gt;".",d_Irr!AW17&lt;&gt;".",d_Irr!BV17="."),d_dir!Y17/((1/1000)*(d_Irr!X17+d_Irr!AW17)),IF(AND(d_Irr!X17&lt;&gt;".",d_Irr!AW17=".",d_Irr!BV17&lt;&gt;"."),d_dir!Y17/((1/1000)*(d_Irr!X17+d_Irr!BV17)),IF(AND(d_Irr!X17=".",d_Irr!AW17&lt;&gt;".",d_Irr!BV17&lt;&gt;"."),d_dir!Y17/((1/1000)*(d_Irr!AW17+d_Irr!BV17)),IF(AND(d_Irr!X17=".",d_Irr!AW17=".",d_Irr!BV17&lt;&gt;"."),d_dir!Y17/((1/1000)*(d_Irr!BV17)),IF(AND(d_Irr!X17=".",d_Irr!AW17&lt;&gt;".",d_Irr!BV17="."),d_dir!Y17/((1/1000)*(d_Irr!AW17)),IF(AND(d_Irr!X17&lt;&gt;".",d_Irr!AW17=".",d_Irr!BV17="."),d_dir!Y17/((1/1000)*(d_Irr!X17)),IF(AND(d_Irr!X17=".",d_Irr!AW17=".",d_Irr!BV17="."),d_dir!Y17*1000)))))))),".")</f>
        <v>25791.800490559264</v>
      </c>
      <c r="Z17" s="70">
        <f>IFERROR(IF(AND(d_Irr!Y17&lt;&gt;".",d_Irr!AX17&lt;&gt;".",d_Irr!BW17&lt;&gt;"."),d_dir!Z17/((1/1000)*(d_Irr!Y17+d_Irr!AX17+d_Irr!BW17)),IF(AND(d_Irr!Y17&lt;&gt;".",d_Irr!AX17&lt;&gt;".",d_Irr!BW17="."),d_dir!Z17/((1/1000)*(d_Irr!Y17+d_Irr!AX17)),IF(AND(d_Irr!Y17&lt;&gt;".",d_Irr!AX17=".",d_Irr!BW17&lt;&gt;"."),d_dir!Z17/((1/1000)*(d_Irr!Y17+d_Irr!BW17)),IF(AND(d_Irr!Y17=".",d_Irr!AX17&lt;&gt;".",d_Irr!BW17&lt;&gt;"."),d_dir!Z17/((1/1000)*(d_Irr!AX17+d_Irr!BW17)),IF(AND(d_Irr!Y17=".",d_Irr!AX17=".",d_Irr!BW17&lt;&gt;"."),d_dir!Z17/((1/1000)*(d_Irr!BW17)),IF(AND(d_Irr!Y17=".",d_Irr!AX17&lt;&gt;".",d_Irr!BW17="."),d_dir!Z17/((1/1000)*(d_Irr!AX17)),IF(AND(d_Irr!Y17&lt;&gt;".",d_Irr!AX17=".",d_Irr!BW17="."),d_dir!Z17/((1/1000)*(d_Irr!Y17)),IF(AND(d_Irr!Y17=".",d_Irr!AX17=".",d_Irr!BW17="."),d_dir!Z17*1000)))))))),".")</f>
        <v>13076.358495500703</v>
      </c>
      <c r="AA17" s="70">
        <f>IFERROR(IF(AND(d_Irr!Z17&lt;&gt;".",d_Irr!AY17&lt;&gt;".",d_Irr!BX17&lt;&gt;"."),d_dir!AA17/((1/1000)*(d_Irr!Z17+d_Irr!AY17+d_Irr!BX17)),IF(AND(d_Irr!Z17&lt;&gt;".",d_Irr!AY17&lt;&gt;".",d_Irr!BX17="."),d_dir!AA17/((1/1000)*(d_Irr!Z17+d_Irr!AY17)),IF(AND(d_Irr!Z17&lt;&gt;".",d_Irr!AY17=".",d_Irr!BX17&lt;&gt;"."),d_dir!AA17/((1/1000)*(d_Irr!Z17+d_Irr!BX17)),IF(AND(d_Irr!Z17=".",d_Irr!AY17&lt;&gt;".",d_Irr!BX17&lt;&gt;"."),d_dir!AA17/((1/1000)*(d_Irr!AY17+d_Irr!BX17)),IF(AND(d_Irr!Z17=".",d_Irr!AY17=".",d_Irr!BX17&lt;&gt;"."),d_dir!AA17/((1/1000)*(d_Irr!BX17)),IF(AND(d_Irr!Z17=".",d_Irr!AY17&lt;&gt;".",d_Irr!BX17="."),d_dir!AA17/((1/1000)*(d_Irr!AY17)),IF(AND(d_Irr!Z17&lt;&gt;".",d_Irr!AY17=".",d_Irr!BX17="."),d_dir!AA17/((1/1000)*(d_Irr!Z17)),IF(AND(d_Irr!Z17=".",d_Irr!AY17=".",d_Irr!BX17="."),d_dir!AA17*1000)))))))),".")</f>
        <v>4251.8351041506494</v>
      </c>
      <c r="AB17" s="70">
        <f>IFERROR(IF(AND(d_Irr!AA17&lt;&gt;".",d_Irr!AZ17&lt;&gt;".",d_Irr!BY17&lt;&gt;"."),d_dir!AB17/((1/1000)*(d_Irr!AA17+d_Irr!AZ17+d_Irr!BY17)),IF(AND(d_Irr!AA17&lt;&gt;".",d_Irr!AZ17&lt;&gt;".",d_Irr!BY17="."),d_dir!AB17/((1/1000)*(d_Irr!AA17+d_Irr!AZ17)),IF(AND(d_Irr!AA17&lt;&gt;".",d_Irr!AZ17=".",d_Irr!BY17&lt;&gt;"."),d_dir!AB17/((1/1000)*(d_Irr!AA17+d_Irr!BY17)),IF(AND(d_Irr!AA17=".",d_Irr!AZ17&lt;&gt;".",d_Irr!BY17&lt;&gt;"."),d_dir!AB17/((1/1000)*(d_Irr!AZ17+d_Irr!BY17)),IF(AND(d_Irr!AA17=".",d_Irr!AZ17=".",d_Irr!BY17&lt;&gt;"."),d_dir!AB17/((1/1000)*(d_Irr!BY17)),IF(AND(d_Irr!AA17=".",d_Irr!AZ17&lt;&gt;".",d_Irr!BY17="."),d_dir!AB17/((1/1000)*(d_Irr!AZ17)),IF(AND(d_Irr!AA17&lt;&gt;".",d_Irr!AZ17=".",d_Irr!BY17="."),d_dir!AB17/((1/1000)*(d_Irr!AA17)),IF(AND(d_Irr!AA17=".",d_Irr!AZ17=".",d_Irr!BY17="."),d_dir!AB17*1000)))))))),".")</f>
        <v>4732.4970076063792</v>
      </c>
      <c r="AC17" s="70">
        <f t="shared" si="0"/>
        <v>643.86670048358428</v>
      </c>
      <c r="AD17" s="70">
        <f>IFERROR(IF(AND(d_Irr!C17&lt;&gt;".",d_Irr!AB17&lt;&gt;".",d_Irr!BA17&lt;&gt;"."),d_dir!AD17/((1/1000)*(d_Irr!C17+d_Irr!AB17+d_Irr!BA17)),IF(AND(d_Irr!C17&lt;&gt;".",d_Irr!AB17&lt;&gt;".",d_Irr!BA17="."),d_dir!AD17/((1/1000)*(d_Irr!C17+d_Irr!AB17)),IF(AND(d_Irr!C17&lt;&gt;".",d_Irr!AB17=".",d_Irr!BA17&lt;&gt;"."),d_dir!AD17/((1/1000)*(d_Irr!C17+d_Irr!BA17)),IF(AND(d_Irr!C17=".",d_Irr!AB17&lt;&gt;".",d_Irr!BA17&lt;&gt;"."),d_dir!AD17/((1/1000)*(d_Irr!AB17+d_Irr!BA17)),IF(AND(d_Irr!C17=".",d_Irr!AB17=".",d_Irr!BA17&lt;&gt;"."),d_dir!AD17/((1/1000)*(d_Irr!BA17)),IF(AND(d_Irr!C17=".",d_Irr!AB17&lt;&gt;".",d_Irr!BA17="."),d_dir!AD17/((1/1000)*(d_Irr!AB17)),IF(AND(d_Irr!C17&lt;&gt;".",d_Irr!AB17=".",d_Irr!BA17="."),d_dir!AD17/((1/1000)*(d_Irr!C17)),IF(AND(d_Irr!C17=".",d_Irr!AB17=".",d_Irr!BA17="."),d_dir!AD17*1000)))))))),".")</f>
        <v>11466.465020034248</v>
      </c>
      <c r="AE17" s="70">
        <f>IFERROR(IF(AND(d_Irr!D17&lt;&gt;".",d_Irr!AC17&lt;&gt;".",d_Irr!BB17&lt;&gt;"."),d_dir!AE17/((1/1000)*(d_Irr!D17+d_Irr!AC17+d_Irr!BB17)),IF(AND(d_Irr!D17&lt;&gt;".",d_Irr!AC17&lt;&gt;".",d_Irr!BB17="."),d_dir!AE17/((1/1000)*(d_Irr!D17+d_Irr!AC17)),IF(AND(d_Irr!D17&lt;&gt;".",d_Irr!AC17=".",d_Irr!BB17&lt;&gt;"."),d_dir!AE17/((1/1000)*(d_Irr!D17+d_Irr!BB17)),IF(AND(d_Irr!D17=".",d_Irr!AC17&lt;&gt;".",d_Irr!BB17&lt;&gt;"."),d_dir!AE17/((1/1000)*(d_Irr!AC17+d_Irr!BB17)),IF(AND(d_Irr!D17=".",d_Irr!AC17=".",d_Irr!BB17&lt;&gt;"."),d_dir!AE17/((1/1000)*(d_Irr!BB17)),IF(AND(d_Irr!D17=".",d_Irr!AC17&lt;&gt;".",d_Irr!BB17="."),d_dir!AE17/((1/1000)*(d_Irr!AC17)),IF(AND(d_Irr!D17&lt;&gt;".",d_Irr!AC17=".",d_Irr!BB17="."),d_dir!AE17/((1/1000)*(d_Irr!D17)),IF(AND(d_Irr!D17=".",d_Irr!AC17=".",d_Irr!BB17="."),d_dir!AE17*1000)))))))),".")</f>
        <v>16630.348051802866</v>
      </c>
      <c r="AF17" s="70">
        <f>IFERROR(IF(AND(d_Irr!E17&lt;&gt;".",d_Irr!AD17&lt;&gt;".",d_Irr!BC17&lt;&gt;"."),d_dir!AF17/((1/1000)*(d_Irr!E17+d_Irr!AD17+d_Irr!BC17)),IF(AND(d_Irr!E17&lt;&gt;".",d_Irr!AD17&lt;&gt;".",d_Irr!BC17="."),d_dir!AF17/((1/1000)*(d_Irr!E17+d_Irr!AD17)),IF(AND(d_Irr!E17&lt;&gt;".",d_Irr!AD17=".",d_Irr!BC17&lt;&gt;"."),d_dir!AF17/((1/1000)*(d_Irr!E17+d_Irr!BC17)),IF(AND(d_Irr!E17=".",d_Irr!AD17&lt;&gt;".",d_Irr!BC17&lt;&gt;"."),d_dir!AF17/((1/1000)*(d_Irr!AD17+d_Irr!BC17)),IF(AND(d_Irr!E17=".",d_Irr!AD17=".",d_Irr!BC17&lt;&gt;"."),d_dir!AF17/((1/1000)*(d_Irr!BC17)),IF(AND(d_Irr!E17=".",d_Irr!AD17&lt;&gt;".",d_Irr!BC17="."),d_dir!AF17/((1/1000)*(d_Irr!AD17)),IF(AND(d_Irr!E17&lt;&gt;".",d_Irr!AD17=".",d_Irr!BC17="."),d_dir!AF17/((1/1000)*(d_Irr!E17)),IF(AND(d_Irr!E17=".",d_Irr!AD17=".",d_Irr!BC17="."),d_dir!AF17*1000)))))))),".")</f>
        <v>30774.357643326555</v>
      </c>
      <c r="AG17" s="70">
        <f>IFERROR(IF(AND(d_Irr!F17&lt;&gt;".",d_Irr!AE17&lt;&gt;".",d_Irr!BD17&lt;&gt;"."),d_dir!AG17/((1/1000)*(d_Irr!F17+d_Irr!AE17+d_Irr!BD17)),IF(AND(d_Irr!F17&lt;&gt;".",d_Irr!AE17&lt;&gt;".",d_Irr!BD17="."),d_dir!AG17/((1/1000)*(d_Irr!F17+d_Irr!AE17)),IF(AND(d_Irr!F17&lt;&gt;".",d_Irr!AE17=".",d_Irr!BD17&lt;&gt;"."),d_dir!AG17/((1/1000)*(d_Irr!F17+d_Irr!BD17)),IF(AND(d_Irr!F17=".",d_Irr!AE17&lt;&gt;".",d_Irr!BD17&lt;&gt;"."),d_dir!AG17/((1/1000)*(d_Irr!AE17+d_Irr!BD17)),IF(AND(d_Irr!F17=".",d_Irr!AE17=".",d_Irr!BD17&lt;&gt;"."),d_dir!AG17/((1/1000)*(d_Irr!BD17)),IF(AND(d_Irr!F17=".",d_Irr!AE17&lt;&gt;".",d_Irr!BD17="."),d_dir!AG17/((1/1000)*(d_Irr!AE17)),IF(AND(d_Irr!F17&lt;&gt;".",d_Irr!AE17=".",d_Irr!BD17="."),d_dir!AG17/((1/1000)*(d_Irr!F17)),IF(AND(d_Irr!F17=".",d_Irr!AE17=".",d_Irr!BD17="."),d_dir!AG17*1000)))))))),".")</f>
        <v>28873.097733738206</v>
      </c>
      <c r="AH17" s="70">
        <f>IFERROR(IF(AND(d_Irr!G17&lt;&gt;".",d_Irr!AF17&lt;&gt;".",d_Irr!BE17&lt;&gt;"."),d_dir!AH17/((1/1000)*(d_Irr!G17+d_Irr!AF17+d_Irr!BE17)),IF(AND(d_Irr!G17&lt;&gt;".",d_Irr!AF17&lt;&gt;".",d_Irr!BE17="."),d_dir!AH17/((1/1000)*(d_Irr!G17+d_Irr!AF17)),IF(AND(d_Irr!G17&lt;&gt;".",d_Irr!AF17=".",d_Irr!BE17&lt;&gt;"."),d_dir!AH17/((1/1000)*(d_Irr!G17+d_Irr!BE17)),IF(AND(d_Irr!G17=".",d_Irr!AF17&lt;&gt;".",d_Irr!BE17&lt;&gt;"."),d_dir!AH17/((1/1000)*(d_Irr!AF17+d_Irr!BE17)),IF(AND(d_Irr!G17=".",d_Irr!AF17=".",d_Irr!BE17&lt;&gt;"."),d_dir!AH17/((1/1000)*(d_Irr!BE17)),IF(AND(d_Irr!G17=".",d_Irr!AF17&lt;&gt;".",d_Irr!BE17="."),d_dir!AH17/((1/1000)*(d_Irr!AF17)),IF(AND(d_Irr!G17&lt;&gt;".",d_Irr!AF17=".",d_Irr!BE17="."),d_dir!AH17/((1/1000)*(d_Irr!G17)),IF(AND(d_Irr!G17=".",d_Irr!AF17=".",d_Irr!BE17="."),d_dir!AH17*1000)))))))),".")</f>
        <v>29504.224461699509</v>
      </c>
      <c r="AI17" s="70">
        <f>IFERROR(IF(AND(d_Irr!H17&lt;&gt;".",d_Irr!AG17&lt;&gt;".",d_Irr!BF17&lt;&gt;"."),d_dir!AI17/((1/1000)*(d_Irr!H17+d_Irr!AG17+d_Irr!BF17)),IF(AND(d_Irr!H17&lt;&gt;".",d_Irr!AG17&lt;&gt;".",d_Irr!BF17="."),d_dir!AI17/((1/1000)*(d_Irr!H17+d_Irr!AG17)),IF(AND(d_Irr!H17&lt;&gt;".",d_Irr!AG17=".",d_Irr!BF17&lt;&gt;"."),d_dir!AI17/((1/1000)*(d_Irr!H17+d_Irr!BF17)),IF(AND(d_Irr!H17=".",d_Irr!AG17&lt;&gt;".",d_Irr!BF17&lt;&gt;"."),d_dir!AI17/((1/1000)*(d_Irr!AG17+d_Irr!BF17)),IF(AND(d_Irr!H17=".",d_Irr!AG17=".",d_Irr!BF17&lt;&gt;"."),d_dir!AI17/((1/1000)*(d_Irr!BF17)),IF(AND(d_Irr!H17=".",d_Irr!AG17&lt;&gt;".",d_Irr!BF17="."),d_dir!AI17/((1/1000)*(d_Irr!AG17)),IF(AND(d_Irr!H17&lt;&gt;".",d_Irr!AG17=".",d_Irr!BF17="."),d_dir!AI17/((1/1000)*(d_Irr!H17)),IF(AND(d_Irr!H17=".",d_Irr!AG17=".",d_Irr!BF17="."),d_dir!AI17*1000)))))))),".")</f>
        <v>8616.0399636619622</v>
      </c>
      <c r="AJ17" s="70">
        <f>IFERROR(IF(AND(d_Irr!I17&lt;&gt;".",d_Irr!AH17&lt;&gt;".",d_Irr!BG17&lt;&gt;"."),d_dir!AJ17/((1/1000)*(d_Irr!I17+d_Irr!AH17+d_Irr!BG17)),IF(AND(d_Irr!I17&lt;&gt;".",d_Irr!AH17&lt;&gt;".",d_Irr!BG17="."),d_dir!AJ17/((1/1000)*(d_Irr!I17+d_Irr!AH17)),IF(AND(d_Irr!I17&lt;&gt;".",d_Irr!AH17=".",d_Irr!BG17&lt;&gt;"."),d_dir!AJ17/((1/1000)*(d_Irr!I17+d_Irr!BG17)),IF(AND(d_Irr!I17=".",d_Irr!AH17&lt;&gt;".",d_Irr!BG17&lt;&gt;"."),d_dir!AJ17/((1/1000)*(d_Irr!AH17+d_Irr!BG17)),IF(AND(d_Irr!I17=".",d_Irr!AH17=".",d_Irr!BG17&lt;&gt;"."),d_dir!AJ17/((1/1000)*(d_Irr!BG17)),IF(AND(d_Irr!I17=".",d_Irr!AH17&lt;&gt;".",d_Irr!BG17="."),d_dir!AJ17/((1/1000)*(d_Irr!AH17)),IF(AND(d_Irr!I17&lt;&gt;".",d_Irr!AH17=".",d_Irr!BG17="."),d_dir!AJ17/((1/1000)*(d_Irr!I17)),IF(AND(d_Irr!I17=".",d_Irr!AH17=".",d_Irr!BG17="."),d_dir!AJ17*1000)))))))),".")</f>
        <v>40866.073269581138</v>
      </c>
      <c r="AK17" s="70">
        <f>IFERROR(IF(AND(d_Irr!J17&lt;&gt;".",d_Irr!AI17&lt;&gt;".",d_Irr!BH17&lt;&gt;"."),d_dir!AK17/((1/1000)*(d_Irr!J17+d_Irr!AI17+d_Irr!BH17)),IF(AND(d_Irr!J17&lt;&gt;".",d_Irr!AI17&lt;&gt;".",d_Irr!BH17="."),d_dir!AK17/((1/1000)*(d_Irr!J17+d_Irr!AI17)),IF(AND(d_Irr!J17&lt;&gt;".",d_Irr!AI17=".",d_Irr!BH17&lt;&gt;"."),d_dir!AK17/((1/1000)*(d_Irr!J17+d_Irr!BH17)),IF(AND(d_Irr!J17=".",d_Irr!AI17&lt;&gt;".",d_Irr!BH17&lt;&gt;"."),d_dir!AK17/((1/1000)*(d_Irr!AI17+d_Irr!BH17)),IF(AND(d_Irr!J17=".",d_Irr!AI17=".",d_Irr!BH17&lt;&gt;"."),d_dir!AK17/((1/1000)*(d_Irr!BH17)),IF(AND(d_Irr!J17=".",d_Irr!AI17&lt;&gt;".",d_Irr!BH17="."),d_dir!AK17/((1/1000)*(d_Irr!AI17)),IF(AND(d_Irr!J17&lt;&gt;".",d_Irr!AI17=".",d_Irr!BH17="."),d_dir!AK17/((1/1000)*(d_Irr!J17)),IF(AND(d_Irr!J17=".",d_Irr!AI17=".",d_Irr!BH17="."),d_dir!AK17*1000)))))))),".")</f>
        <v>3324.2523236713951</v>
      </c>
      <c r="AL17" s="70">
        <f>IFERROR(IF(AND(d_Irr!K17&lt;&gt;".",d_Irr!AJ17&lt;&gt;".",d_Irr!BI17&lt;&gt;"."),d_dir!AL17/((1/1000)*(d_Irr!K17+d_Irr!AJ17+d_Irr!BI17)),IF(AND(d_Irr!K17&lt;&gt;".",d_Irr!AJ17&lt;&gt;".",d_Irr!BI17="."),d_dir!AL17/((1/1000)*(d_Irr!K17+d_Irr!AJ17)),IF(AND(d_Irr!K17&lt;&gt;".",d_Irr!AJ17=".",d_Irr!BI17&lt;&gt;"."),d_dir!AL17/((1/1000)*(d_Irr!K17+d_Irr!BI17)),IF(AND(d_Irr!K17=".",d_Irr!AJ17&lt;&gt;".",d_Irr!BI17&lt;&gt;"."),d_dir!AL17/((1/1000)*(d_Irr!AJ17+d_Irr!BI17)),IF(AND(d_Irr!K17=".",d_Irr!AJ17=".",d_Irr!BI17&lt;&gt;"."),d_dir!AL17/((1/1000)*(d_Irr!BI17)),IF(AND(d_Irr!K17=".",d_Irr!AJ17&lt;&gt;".",d_Irr!BI17="."),d_dir!AL17/((1/1000)*(d_Irr!AJ17)),IF(AND(d_Irr!K17&lt;&gt;".",d_Irr!AJ17=".",d_Irr!BI17="."),d_dir!AL17/((1/1000)*(d_Irr!K17)),IF(AND(d_Irr!K17=".",d_Irr!AJ17=".",d_Irr!BI17="."),d_dir!AL17*1000)))))))),".")</f>
        <v>14108.799114054058</v>
      </c>
      <c r="AM17" s="70">
        <f>IFERROR(IF(AND(d_Irr!L17&lt;&gt;".",d_Irr!AK17&lt;&gt;".",d_Irr!BJ17&lt;&gt;"."),d_dir!AM17/((1/1000)*(d_Irr!L17+d_Irr!AK17+d_Irr!BJ17)),IF(AND(d_Irr!L17&lt;&gt;".",d_Irr!AK17&lt;&gt;".",d_Irr!BJ17="."),d_dir!AM17/((1/1000)*(d_Irr!L17+d_Irr!AK17)),IF(AND(d_Irr!L17&lt;&gt;".",d_Irr!AK17=".",d_Irr!BJ17&lt;&gt;"."),d_dir!AM17/((1/1000)*(d_Irr!L17+d_Irr!BJ17)),IF(AND(d_Irr!L17=".",d_Irr!AK17&lt;&gt;".",d_Irr!BJ17&lt;&gt;"."),d_dir!AM17/((1/1000)*(d_Irr!AK17+d_Irr!BJ17)),IF(AND(d_Irr!L17=".",d_Irr!AK17=".",d_Irr!BJ17&lt;&gt;"."),d_dir!AM17/((1/1000)*(d_Irr!BJ17)),IF(AND(d_Irr!L17=".",d_Irr!AK17&lt;&gt;".",d_Irr!BJ17="."),d_dir!AM17/((1/1000)*(d_Irr!AK17)),IF(AND(d_Irr!L17&lt;&gt;".",d_Irr!AK17=".",d_Irr!BJ17="."),d_dir!AM17/((1/1000)*(d_Irr!L17)),IF(AND(d_Irr!L17=".",d_Irr!AK17=".",d_Irr!BJ17="."),d_dir!AM17*1000)))))))),".")</f>
        <v>18902.799367802512</v>
      </c>
      <c r="AN17" s="70">
        <f>IFERROR(IF(AND(d_Irr!M17&lt;&gt;".",d_Irr!AL17&lt;&gt;".",d_Irr!BK17&lt;&gt;"."),d_dir!AN17/((1/1000)*(d_Irr!M17+d_Irr!AL17+d_Irr!BK17)),IF(AND(d_Irr!M17&lt;&gt;".",d_Irr!AL17&lt;&gt;".",d_Irr!BK17="."),d_dir!AN17/((1/1000)*(d_Irr!M17+d_Irr!AL17)),IF(AND(d_Irr!M17&lt;&gt;".",d_Irr!AL17=".",d_Irr!BK17&lt;&gt;"."),d_dir!AN17/((1/1000)*(d_Irr!M17+d_Irr!BK17)),IF(AND(d_Irr!M17=".",d_Irr!AL17&lt;&gt;".",d_Irr!BK17&lt;&gt;"."),d_dir!AN17/((1/1000)*(d_Irr!AL17+d_Irr!BK17)),IF(AND(d_Irr!M17=".",d_Irr!AL17=".",d_Irr!BK17&lt;&gt;"."),d_dir!AN17/((1/1000)*(d_Irr!BK17)),IF(AND(d_Irr!M17=".",d_Irr!AL17&lt;&gt;".",d_Irr!BK17="."),d_dir!AN17/((1/1000)*(d_Irr!AL17)),IF(AND(d_Irr!M17&lt;&gt;".",d_Irr!AL17=".",d_Irr!BK17="."),d_dir!AN17/((1/1000)*(d_Irr!M17)),IF(AND(d_Irr!M17=".",d_Irr!AL17=".",d_Irr!BK17="."),d_dir!AN17*1000)))))))),".")</f>
        <v>17522.700394274831</v>
      </c>
      <c r="AO17" s="70">
        <f>IFERROR(IF(AND(d_Irr!N17&lt;&gt;".",d_Irr!AM17&lt;&gt;".",d_Irr!BL17&lt;&gt;"."),d_dir!AO17/((1/1000)*(d_Irr!N17+d_Irr!AM17+d_Irr!BL17)),IF(AND(d_Irr!N17&lt;&gt;".",d_Irr!AM17&lt;&gt;".",d_Irr!BL17="."),d_dir!AO17/((1/1000)*(d_Irr!N17+d_Irr!AM17)),IF(AND(d_Irr!N17&lt;&gt;".",d_Irr!AM17=".",d_Irr!BL17&lt;&gt;"."),d_dir!AO17/((1/1000)*(d_Irr!N17+d_Irr!BL17)),IF(AND(d_Irr!N17=".",d_Irr!AM17&lt;&gt;".",d_Irr!BL17&lt;&gt;"."),d_dir!AO17/((1/1000)*(d_Irr!AM17+d_Irr!BL17)),IF(AND(d_Irr!N17=".",d_Irr!AM17=".",d_Irr!BL17&lt;&gt;"."),d_dir!AO17/((1/1000)*(d_Irr!BL17)),IF(AND(d_Irr!N17=".",d_Irr!AM17&lt;&gt;".",d_Irr!BL17="."),d_dir!AO17/((1/1000)*(d_Irr!AM17)),IF(AND(d_Irr!N17&lt;&gt;".",d_Irr!AM17=".",d_Irr!BL17="."),d_dir!AO17/((1/1000)*(d_Irr!N17)),IF(AND(d_Irr!N17=".",d_Irr!AM17=".",d_Irr!BL17="."),d_dir!AO17*1000)))))))),".")</f>
        <v>30444.69661637269</v>
      </c>
      <c r="AP17" s="70">
        <f>IFERROR(IF(AND(d_Irr!O17&lt;&gt;".",d_Irr!AN17&lt;&gt;".",d_Irr!BM17&lt;&gt;"."),d_dir!AP17/((1/1000)*(d_Irr!O17+d_Irr!AN17+d_Irr!BM17)),IF(AND(d_Irr!O17&lt;&gt;".",d_Irr!AN17&lt;&gt;".",d_Irr!BM17="."),d_dir!AP17/((1/1000)*(d_Irr!O17+d_Irr!AN17)),IF(AND(d_Irr!O17&lt;&gt;".",d_Irr!AN17=".",d_Irr!BM17&lt;&gt;"."),d_dir!AP17/((1/1000)*(d_Irr!O17+d_Irr!BM17)),IF(AND(d_Irr!O17=".",d_Irr!AN17&lt;&gt;".",d_Irr!BM17&lt;&gt;"."),d_dir!AP17/((1/1000)*(d_Irr!AN17+d_Irr!BM17)),IF(AND(d_Irr!O17=".",d_Irr!AN17=".",d_Irr!BM17&lt;&gt;"."),d_dir!AP17/((1/1000)*(d_Irr!BM17)),IF(AND(d_Irr!O17=".",d_Irr!AN17&lt;&gt;".",d_Irr!BM17="."),d_dir!AP17/((1/1000)*(d_Irr!AN17)),IF(AND(d_Irr!O17&lt;&gt;".",d_Irr!AN17=".",d_Irr!BM17="."),d_dir!AP17/((1/1000)*(d_Irr!O17)),IF(AND(d_Irr!O17=".",d_Irr!AN17=".",d_Irr!BM17="."),d_dir!AP17*1000)))))))),".")</f>
        <v>34055.010605143172</v>
      </c>
      <c r="AQ17" s="70">
        <f>IFERROR(IF(AND(d_Irr!P17&lt;&gt;".",d_Irr!AO17&lt;&gt;".",d_Irr!BN17&lt;&gt;"."),d_dir!AQ17/((1/1000)*(d_Irr!P17+d_Irr!AO17+d_Irr!BN17)),IF(AND(d_Irr!P17&lt;&gt;".",d_Irr!AO17&lt;&gt;".",d_Irr!BN17="."),d_dir!AQ17/((1/1000)*(d_Irr!P17+d_Irr!AO17)),IF(AND(d_Irr!P17&lt;&gt;".",d_Irr!AO17=".",d_Irr!BN17&lt;&gt;"."),d_dir!AQ17/((1/1000)*(d_Irr!P17+d_Irr!BN17)),IF(AND(d_Irr!P17=".",d_Irr!AO17&lt;&gt;".",d_Irr!BN17&lt;&gt;"."),d_dir!AQ17/((1/1000)*(d_Irr!AO17+d_Irr!BN17)),IF(AND(d_Irr!P17=".",d_Irr!AO17=".",d_Irr!BN17&lt;&gt;"."),d_dir!AQ17/((1/1000)*(d_Irr!BN17)),IF(AND(d_Irr!P17=".",d_Irr!AO17&lt;&gt;".",d_Irr!BN17="."),d_dir!AQ17/((1/1000)*(d_Irr!AO17)),IF(AND(d_Irr!P17&lt;&gt;".",d_Irr!AO17=".",d_Irr!BN17="."),d_dir!AQ17/((1/1000)*(d_Irr!P17)),IF(AND(d_Irr!P17=".",d_Irr!AO17=".",d_Irr!BN17="."),d_dir!AQ17*1000)))))))),".")</f>
        <v>38136.629411666247</v>
      </c>
      <c r="AR17" s="70">
        <f>IFERROR(IF(AND(d_Irr!Q17&lt;&gt;".",d_Irr!AP17&lt;&gt;".",d_Irr!BO17&lt;&gt;"."),d_dir!AR17/((1/1000)*(d_Irr!Q17+d_Irr!AP17+d_Irr!BO17)),IF(AND(d_Irr!Q17&lt;&gt;".",d_Irr!AP17&lt;&gt;".",d_Irr!BO17="."),d_dir!AR17/((1/1000)*(d_Irr!Q17+d_Irr!AP17)),IF(AND(d_Irr!Q17&lt;&gt;".",d_Irr!AP17=".",d_Irr!BO17&lt;&gt;"."),d_dir!AR17/((1/1000)*(d_Irr!Q17+d_Irr!BO17)),IF(AND(d_Irr!Q17=".",d_Irr!AP17&lt;&gt;".",d_Irr!BO17&lt;&gt;"."),d_dir!AR17/((1/1000)*(d_Irr!AP17+d_Irr!BO17)),IF(AND(d_Irr!Q17=".",d_Irr!AP17=".",d_Irr!BO17&lt;&gt;"."),d_dir!AR17/((1/1000)*(d_Irr!BO17)),IF(AND(d_Irr!Q17=".",d_Irr!AP17&lt;&gt;".",d_Irr!BO17="."),d_dir!AR17/((1/1000)*(d_Irr!AP17)),IF(AND(d_Irr!Q17&lt;&gt;".",d_Irr!AP17=".",d_Irr!BO17="."),d_dir!AR17/((1/1000)*(d_Irr!Q17)),IF(AND(d_Irr!Q17=".",d_Irr!AP17=".",d_Irr!BO17="."),d_dir!AR17*1000)))))))),".")</f>
        <v>9464.4727850979871</v>
      </c>
      <c r="AS17" s="70">
        <f>IFERROR(IF(AND(d_Irr!R17&lt;&gt;".",d_Irr!AQ17&lt;&gt;".",d_Irr!BP17&lt;&gt;"."),d_dir!AS17/((1/1000)*(d_Irr!R17+d_Irr!AQ17+d_Irr!BP17)),IF(AND(d_Irr!R17&lt;&gt;".",d_Irr!AQ17&lt;&gt;".",d_Irr!BP17="."),d_dir!AS17/((1/1000)*(d_Irr!R17+d_Irr!AQ17)),IF(AND(d_Irr!R17&lt;&gt;".",d_Irr!AQ17=".",d_Irr!BP17&lt;&gt;"."),d_dir!AS17/((1/1000)*(d_Irr!R17+d_Irr!BP17)),IF(AND(d_Irr!R17=".",d_Irr!AQ17&lt;&gt;".",d_Irr!BP17&lt;&gt;"."),d_dir!AS17/((1/1000)*(d_Irr!AQ17+d_Irr!BP17)),IF(AND(d_Irr!R17=".",d_Irr!AQ17=".",d_Irr!BP17&lt;&gt;"."),d_dir!AS17/((1/1000)*(d_Irr!BP17)),IF(AND(d_Irr!R17=".",d_Irr!AQ17&lt;&gt;".",d_Irr!BP17="."),d_dir!AS17/((1/1000)*(d_Irr!AQ17)),IF(AND(d_Irr!R17&lt;&gt;".",d_Irr!AQ17=".",d_Irr!BP17="."),d_dir!AS17/((1/1000)*(d_Irr!R17)),IF(AND(d_Irr!R17=".",d_Irr!AQ17=".",d_Irr!BP17="."),d_dir!AS17*1000)))))))),".")</f>
        <v>15433.237170903192</v>
      </c>
      <c r="AT17" s="70">
        <f>IFERROR(IF(AND(d_Irr!S17&lt;&gt;".",d_Irr!AR17&lt;&gt;".",d_Irr!BQ17&lt;&gt;"."),d_dir!AT17/((1/1000)*(d_Irr!S17+d_Irr!AR17+d_Irr!BQ17)),IF(AND(d_Irr!S17&lt;&gt;".",d_Irr!AR17&lt;&gt;".",d_Irr!BQ17="."),d_dir!AT17/((1/1000)*(d_Irr!S17+d_Irr!AR17)),IF(AND(d_Irr!S17&lt;&gt;".",d_Irr!AR17=".",d_Irr!BQ17&lt;&gt;"."),d_dir!AT17/((1/1000)*(d_Irr!S17+d_Irr!BQ17)),IF(AND(d_Irr!S17=".",d_Irr!AR17&lt;&gt;".",d_Irr!BQ17&lt;&gt;"."),d_dir!AT17/((1/1000)*(d_Irr!AR17+d_Irr!BQ17)),IF(AND(d_Irr!S17=".",d_Irr!AR17=".",d_Irr!BQ17&lt;&gt;"."),d_dir!AT17/((1/1000)*(d_Irr!BQ17)),IF(AND(d_Irr!S17=".",d_Irr!AR17&lt;&gt;".",d_Irr!BQ17="."),d_dir!AT17/((1/1000)*(d_Irr!AR17)),IF(AND(d_Irr!S17&lt;&gt;".",d_Irr!AR17=".",d_Irr!BQ17="."),d_dir!AT17/((1/1000)*(d_Irr!S17)),IF(AND(d_Irr!S17=".",d_Irr!AR17=".",d_Irr!BQ17="."),d_dir!AT17*1000)))))))),".")</f>
        <v>33789.637611683836</v>
      </c>
      <c r="AU17" s="70">
        <f>IFERROR(IF(AND(d_Irr!T17&lt;&gt;".",d_Irr!AS17&lt;&gt;".",d_Irr!BR17&lt;&gt;"."),d_dir!AU17/((1/1000)*(d_Irr!T17+d_Irr!AS17+d_Irr!BR17)),IF(AND(d_Irr!T17&lt;&gt;".",d_Irr!AS17&lt;&gt;".",d_Irr!BR17="."),d_dir!AU17/((1/1000)*(d_Irr!T17+d_Irr!AS17)),IF(AND(d_Irr!T17&lt;&gt;".",d_Irr!AS17=".",d_Irr!BR17&lt;&gt;"."),d_dir!AU17/((1/1000)*(d_Irr!T17+d_Irr!BR17)),IF(AND(d_Irr!T17=".",d_Irr!AS17&lt;&gt;".",d_Irr!BR17&lt;&gt;"."),d_dir!AU17/((1/1000)*(d_Irr!AS17+d_Irr!BR17)),IF(AND(d_Irr!T17=".",d_Irr!AS17=".",d_Irr!BR17&lt;&gt;"."),d_dir!AU17/((1/1000)*(d_Irr!BR17)),IF(AND(d_Irr!T17=".",d_Irr!AS17&lt;&gt;".",d_Irr!BR17="."),d_dir!AU17/((1/1000)*(d_Irr!AS17)),IF(AND(d_Irr!T17&lt;&gt;".",d_Irr!AS17=".",d_Irr!BR17="."),d_dir!AU17/((1/1000)*(d_Irr!T17)),IF(AND(d_Irr!T17=".",d_Irr!AS17=".",d_Irr!BR17="."),d_dir!AU17*1000)))))))),".")</f>
        <v>42535.678907603338</v>
      </c>
      <c r="AV17" s="70">
        <f>IFERROR(IF(AND(d_Irr!U17&lt;&gt;".",d_Irr!AT17&lt;&gt;".",d_Irr!BS17&lt;&gt;"."),d_dir!AV17/((1/1000)*(d_Irr!U17+d_Irr!AT17+d_Irr!BS17)),IF(AND(d_Irr!U17&lt;&gt;".",d_Irr!AT17&lt;&gt;".",d_Irr!BS17="."),d_dir!AV17/((1/1000)*(d_Irr!U17+d_Irr!AT17)),IF(AND(d_Irr!U17&lt;&gt;".",d_Irr!AT17=".",d_Irr!BS17&lt;&gt;"."),d_dir!AV17/((1/1000)*(d_Irr!U17+d_Irr!BS17)),IF(AND(d_Irr!U17=".",d_Irr!AT17&lt;&gt;".",d_Irr!BS17&lt;&gt;"."),d_dir!AV17/((1/1000)*(d_Irr!AT17+d_Irr!BS17)),IF(AND(d_Irr!U17=".",d_Irr!AT17=".",d_Irr!BS17&lt;&gt;"."),d_dir!AV17/((1/1000)*(d_Irr!BS17)),IF(AND(d_Irr!U17=".",d_Irr!AT17&lt;&gt;".",d_Irr!BS17="."),d_dir!AV17/((1/1000)*(d_Irr!AT17)),IF(AND(d_Irr!U17&lt;&gt;".",d_Irr!AT17=".",d_Irr!BS17="."),d_dir!AV17/((1/1000)*(d_Irr!U17)),IF(AND(d_Irr!U17=".",d_Irr!AT17=".",d_Irr!BS17="."),d_dir!AV17*1000)))))))),".")</f>
        <v>8160.713533466499</v>
      </c>
      <c r="AW17" s="70">
        <f>IFERROR(IF(AND(d_Irr!V17&lt;&gt;".",d_Irr!AU17&lt;&gt;".",d_Irr!BT17&lt;&gt;"."),d_dir!AW17/((1/1000)*(d_Irr!V17+d_Irr!AU17+d_Irr!BT17)),IF(AND(d_Irr!V17&lt;&gt;".",d_Irr!AU17&lt;&gt;".",d_Irr!BT17="."),d_dir!AW17/((1/1000)*(d_Irr!V17+d_Irr!AU17)),IF(AND(d_Irr!V17&lt;&gt;".",d_Irr!AU17=".",d_Irr!BT17&lt;&gt;"."),d_dir!AW17/((1/1000)*(d_Irr!V17+d_Irr!BT17)),IF(AND(d_Irr!V17=".",d_Irr!AU17&lt;&gt;".",d_Irr!BT17&lt;&gt;"."),d_dir!AW17/((1/1000)*(d_Irr!AU17+d_Irr!BT17)),IF(AND(d_Irr!V17=".",d_Irr!AU17=".",d_Irr!BT17&lt;&gt;"."),d_dir!AW17/((1/1000)*(d_Irr!BT17)),IF(AND(d_Irr!V17=".",d_Irr!AU17&lt;&gt;".",d_Irr!BT17="."),d_dir!AW17/((1/1000)*(d_Irr!AU17)),IF(AND(d_Irr!V17&lt;&gt;".",d_Irr!AU17=".",d_Irr!BT17="."),d_dir!AW17/((1/1000)*(d_Irr!V17)),IF(AND(d_Irr!V17=".",d_Irr!AU17=".",d_Irr!BT17="."),d_dir!AW17*1000)))))))),".")</f>
        <v>16239.587140213875</v>
      </c>
      <c r="AX17" s="70">
        <f>IFERROR(IF(AND(d_Irr!W17&lt;&gt;".",d_Irr!AV17&lt;&gt;".",d_Irr!BU17&lt;&gt;"."),d_dir!AX17/((1/1000)*(d_Irr!W17+d_Irr!AV17+d_Irr!BU17)),IF(AND(d_Irr!W17&lt;&gt;".",d_Irr!AV17&lt;&gt;".",d_Irr!BU17="."),d_dir!AX17/((1/1000)*(d_Irr!W17+d_Irr!AV17)),IF(AND(d_Irr!W17&lt;&gt;".",d_Irr!AV17=".",d_Irr!BU17&lt;&gt;"."),d_dir!AX17/((1/1000)*(d_Irr!W17+d_Irr!BU17)),IF(AND(d_Irr!W17=".",d_Irr!AV17&lt;&gt;".",d_Irr!BU17&lt;&gt;"."),d_dir!AX17/((1/1000)*(d_Irr!AV17+d_Irr!BU17)),IF(AND(d_Irr!W17=".",d_Irr!AV17=".",d_Irr!BU17&lt;&gt;"."),d_dir!AX17/((1/1000)*(d_Irr!BU17)),IF(AND(d_Irr!W17=".",d_Irr!AV17&lt;&gt;".",d_Irr!BU17="."),d_dir!AX17/((1/1000)*(d_Irr!AV17)),IF(AND(d_Irr!W17&lt;&gt;".",d_Irr!AV17=".",d_Irr!BU17="."),d_dir!AX17/((1/1000)*(d_Irr!W17)),IF(AND(d_Irr!W17=".",d_Irr!AV17=".",d_Irr!BU17="."),d_dir!AX17*1000)))))))),".")</f>
        <v>19109.924619648253</v>
      </c>
      <c r="AY17" s="70">
        <f>IFERROR(IF(AND(d_Irr!X17&lt;&gt;".",d_Irr!AW17&lt;&gt;".",d_Irr!BV17&lt;&gt;"."),d_dir!AY17/((1/1000)*(d_Irr!X17+d_Irr!AW17+d_Irr!BV17)),IF(AND(d_Irr!X17&lt;&gt;".",d_Irr!AW17&lt;&gt;".",d_Irr!BV17="."),d_dir!AY17/((1/1000)*(d_Irr!X17+d_Irr!AW17)),IF(AND(d_Irr!X17&lt;&gt;".",d_Irr!AW17=".",d_Irr!BV17&lt;&gt;"."),d_dir!AY17/((1/1000)*(d_Irr!X17+d_Irr!BV17)),IF(AND(d_Irr!X17=".",d_Irr!AW17&lt;&gt;".",d_Irr!BV17&lt;&gt;"."),d_dir!AY17/((1/1000)*(d_Irr!AW17+d_Irr!BV17)),IF(AND(d_Irr!X17=".",d_Irr!AW17=".",d_Irr!BV17&lt;&gt;"."),d_dir!AY17/((1/1000)*(d_Irr!BV17)),IF(AND(d_Irr!X17=".",d_Irr!AW17&lt;&gt;".",d_Irr!BV17="."),d_dir!AY17/((1/1000)*(d_Irr!AW17)),IF(AND(d_Irr!X17&lt;&gt;".",d_Irr!AW17=".",d_Irr!BV17="."),d_dir!AY17/((1/1000)*(d_Irr!X17)),IF(AND(d_Irr!X17=".",d_Irr!AW17=".",d_Irr!BV17="."),d_dir!AY17*1000)))))))),".")</f>
        <v>25092.180795616699</v>
      </c>
      <c r="AZ17" s="70">
        <f>IFERROR(IF(AND(d_Irr!Y17&lt;&gt;".",d_Irr!AX17&lt;&gt;".",d_Irr!BW17&lt;&gt;"."),d_dir!AZ17/((1/1000)*(d_Irr!Y17+d_Irr!AX17+d_Irr!BW17)),IF(AND(d_Irr!Y17&lt;&gt;".",d_Irr!AX17&lt;&gt;".",d_Irr!BW17="."),d_dir!AZ17/((1/1000)*(d_Irr!Y17+d_Irr!AX17)),IF(AND(d_Irr!Y17&lt;&gt;".",d_Irr!AX17=".",d_Irr!BW17&lt;&gt;"."),d_dir!AZ17/((1/1000)*(d_Irr!Y17+d_Irr!BW17)),IF(AND(d_Irr!Y17=".",d_Irr!AX17&lt;&gt;".",d_Irr!BW17&lt;&gt;"."),d_dir!AZ17/((1/1000)*(d_Irr!AX17+d_Irr!BW17)),IF(AND(d_Irr!Y17=".",d_Irr!AX17=".",d_Irr!BW17&lt;&gt;"."),d_dir!AZ17/((1/1000)*(d_Irr!BW17)),IF(AND(d_Irr!Y17=".",d_Irr!AX17&lt;&gt;".",d_Irr!BW17="."),d_dir!AZ17/((1/1000)*(d_Irr!AX17)),IF(AND(d_Irr!Y17&lt;&gt;".",d_Irr!AX17=".",d_Irr!BW17="."),d_dir!AZ17/((1/1000)*(d_Irr!Y17)),IF(AND(d_Irr!Y17=".",d_Irr!AX17=".",d_Irr!BW17="."),d_dir!AZ17*1000)))))))),".")</f>
        <v>10608.637495880115</v>
      </c>
      <c r="BA17" s="70">
        <f>IFERROR(IF(AND(d_Irr!Z17&lt;&gt;".",d_Irr!AY17&lt;&gt;".",d_Irr!BX17&lt;&gt;"."),d_dir!BA17/((1/1000)*(d_Irr!Z17+d_Irr!AY17+d_Irr!BX17)),IF(AND(d_Irr!Z17&lt;&gt;".",d_Irr!AY17&lt;&gt;".",d_Irr!BX17="."),d_dir!BA17/((1/1000)*(d_Irr!Z17+d_Irr!AY17)),IF(AND(d_Irr!Z17&lt;&gt;".",d_Irr!AY17=".",d_Irr!BX17&lt;&gt;"."),d_dir!BA17/((1/1000)*(d_Irr!Z17+d_Irr!BX17)),IF(AND(d_Irr!Z17=".",d_Irr!AY17&lt;&gt;".",d_Irr!BX17&lt;&gt;"."),d_dir!BA17/((1/1000)*(d_Irr!AY17+d_Irr!BX17)),IF(AND(d_Irr!Z17=".",d_Irr!AY17=".",d_Irr!BX17&lt;&gt;"."),d_dir!BA17/((1/1000)*(d_Irr!BX17)),IF(AND(d_Irr!Z17=".",d_Irr!AY17&lt;&gt;".",d_Irr!BX17="."),d_dir!BA17/((1/1000)*(d_Irr!AY17)),IF(AND(d_Irr!Z17&lt;&gt;".",d_Irr!AY17=".",d_Irr!BX17="."),d_dir!BA17/((1/1000)*(d_Irr!Z17)),IF(AND(d_Irr!Z17=".",d_Irr!AY17=".",d_Irr!BX17="."),d_dir!BA17*1000)))))))),".")</f>
        <v>3368.4310387978044</v>
      </c>
      <c r="BB17" s="70">
        <f>IFERROR(IF(AND(d_Irr!AA17&lt;&gt;".",d_Irr!AZ17&lt;&gt;".",d_Irr!BY17&lt;&gt;"."),d_dir!BB17/((1/1000)*(d_Irr!AA17+d_Irr!AZ17+d_Irr!BY17)),IF(AND(d_Irr!AA17&lt;&gt;".",d_Irr!AZ17&lt;&gt;".",d_Irr!BY17="."),d_dir!BB17/((1/1000)*(d_Irr!AA17+d_Irr!AZ17)),IF(AND(d_Irr!AA17&lt;&gt;".",d_Irr!AZ17=".",d_Irr!BY17&lt;&gt;"."),d_dir!BB17/((1/1000)*(d_Irr!AA17+d_Irr!BY17)),IF(AND(d_Irr!AA17=".",d_Irr!AZ17&lt;&gt;".",d_Irr!BY17&lt;&gt;"."),d_dir!BB17/((1/1000)*(d_Irr!AZ17+d_Irr!BY17)),IF(AND(d_Irr!AA17=".",d_Irr!AZ17=".",d_Irr!BY17&lt;&gt;"."),d_dir!BB17/((1/1000)*(d_Irr!BY17)),IF(AND(d_Irr!AA17=".",d_Irr!AZ17&lt;&gt;".",d_Irr!BY17="."),d_dir!BB17/((1/1000)*(d_Irr!AZ17)),IF(AND(d_Irr!AA17&lt;&gt;".",d_Irr!AZ17=".",d_Irr!BY17="."),d_dir!BB17/((1/1000)*(d_Irr!AA17)),IF(AND(d_Irr!AA17=".",d_Irr!AZ17=".",d_Irr!BY17="."),d_dir!BB17*1000)))))))),".")</f>
        <v>3772.3900732301418</v>
      </c>
    </row>
    <row r="18" spans="1:54" ht="15" customHeight="1" x14ac:dyDescent="0.25">
      <c r="A18" s="86" t="s">
        <v>16</v>
      </c>
      <c r="B18" s="84" t="s">
        <v>1057</v>
      </c>
      <c r="C18" s="2">
        <f t="shared" si="1"/>
        <v>8.9024726383206576E-2</v>
      </c>
      <c r="D18" s="70">
        <f>IFERROR(IF(AND(d_Irr!C18&lt;&gt;".",d_Irr!AB18&lt;&gt;".",d_Irr!BA18&lt;&gt;"."),d_dir!D18/((1/1000)*(d_Irr!C18+d_Irr!AB18+d_Irr!BA18)),IF(AND(d_Irr!C18&lt;&gt;".",d_Irr!AB18&lt;&gt;".",d_Irr!BA18="."),d_dir!D18/((1/1000)*(d_Irr!C18+d_Irr!AB18)),IF(AND(d_Irr!C18&lt;&gt;".",d_Irr!AB18=".",d_Irr!BA18&lt;&gt;"."),d_dir!D18/((1/1000)*(d_Irr!C18+d_Irr!BA18)),IF(AND(d_Irr!C18=".",d_Irr!AB18&lt;&gt;".",d_Irr!BA18&lt;&gt;"."),d_dir!D18/((1/1000)*(d_Irr!AB18+d_Irr!BA18)),IF(AND(d_Irr!C18=".",d_Irr!AB18=".",d_Irr!BA18&lt;&gt;"."),d_dir!D18/((1/1000)*(d_Irr!BA18)),IF(AND(d_Irr!C18=".",d_Irr!AB18&lt;&gt;".",d_Irr!BA18="."),d_dir!D18/((1/1000)*(d_Irr!AB18)),IF(AND(d_Irr!C18&lt;&gt;".",d_Irr!AB18=".",d_Irr!BA18="."),d_dir!D18/((1/1000)*(d_Irr!C18)),IF(AND(d_Irr!C18=".",d_Irr!AB18=".",d_Irr!BA18="."),d_dir!D18*1000)))))))),".")</f>
        <v>1.6432430358911159</v>
      </c>
      <c r="E18" s="70">
        <f>IFERROR(IF(AND(d_Irr!D18&lt;&gt;".",d_Irr!AC18&lt;&gt;".",d_Irr!BB18&lt;&gt;"."),d_dir!E18/((1/1000)*(d_Irr!D18+d_Irr!AC18+d_Irr!BB18)),IF(AND(d_Irr!D18&lt;&gt;".",d_Irr!AC18&lt;&gt;".",d_Irr!BB18="."),d_dir!E18/((1/1000)*(d_Irr!D18+d_Irr!AC18)),IF(AND(d_Irr!D18&lt;&gt;".",d_Irr!AC18=".",d_Irr!BB18&lt;&gt;"."),d_dir!E18/((1/1000)*(d_Irr!D18+d_Irr!BB18)),IF(AND(d_Irr!D18=".",d_Irr!AC18&lt;&gt;".",d_Irr!BB18&lt;&gt;"."),d_dir!E18/((1/1000)*(d_Irr!AC18+d_Irr!BB18)),IF(AND(d_Irr!D18=".",d_Irr!AC18=".",d_Irr!BB18&lt;&gt;"."),d_dir!E18/((1/1000)*(d_Irr!BB18)),IF(AND(d_Irr!D18=".",d_Irr!AC18&lt;&gt;".",d_Irr!BB18="."),d_dir!E18/((1/1000)*(d_Irr!AC18)),IF(AND(d_Irr!D18&lt;&gt;".",d_Irr!AC18=".",d_Irr!BB18="."),d_dir!E18/((1/1000)*(d_Irr!D18)),IF(AND(d_Irr!D18=".",d_Irr!AC18=".",d_Irr!BB18="."),d_dir!E18*1000)))))))),".")</f>
        <v>3.3575387199949653</v>
      </c>
      <c r="F18" s="70">
        <f>IFERROR(IF(AND(d_Irr!E18&lt;&gt;".",d_Irr!AD18&lt;&gt;".",d_Irr!BC18&lt;&gt;"."),d_dir!F18/((1/1000)*(d_Irr!E18+d_Irr!AD18+d_Irr!BC18)),IF(AND(d_Irr!E18&lt;&gt;".",d_Irr!AD18&lt;&gt;".",d_Irr!BC18="."),d_dir!F18/((1/1000)*(d_Irr!E18+d_Irr!AD18)),IF(AND(d_Irr!E18&lt;&gt;".",d_Irr!AD18=".",d_Irr!BC18&lt;&gt;"."),d_dir!F18/((1/1000)*(d_Irr!E18+d_Irr!BC18)),IF(AND(d_Irr!E18=".",d_Irr!AD18&lt;&gt;".",d_Irr!BC18&lt;&gt;"."),d_dir!F18/((1/1000)*(d_Irr!AD18+d_Irr!BC18)),IF(AND(d_Irr!E18=".",d_Irr!AD18=".",d_Irr!BC18&lt;&gt;"."),d_dir!F18/((1/1000)*(d_Irr!BC18)),IF(AND(d_Irr!E18=".",d_Irr!AD18&lt;&gt;".",d_Irr!BC18="."),d_dir!F18/((1/1000)*(d_Irr!AD18)),IF(AND(d_Irr!E18&lt;&gt;".",d_Irr!AD18=".",d_Irr!BC18="."),d_dir!F18/((1/1000)*(d_Irr!E18)),IF(AND(d_Irr!E18=".",d_Irr!AD18=".",d_Irr!BC18="."),d_dir!F18*1000)))))))),".")</f>
        <v>4.107691014433188</v>
      </c>
      <c r="G18" s="70">
        <f>IFERROR(IF(AND(d_Irr!F18&lt;&gt;".",d_Irr!AE18&lt;&gt;".",d_Irr!BD18&lt;&gt;"."),d_dir!G18/((1/1000)*(d_Irr!F18+d_Irr!AE18+d_Irr!BD18)),IF(AND(d_Irr!F18&lt;&gt;".",d_Irr!AE18&lt;&gt;".",d_Irr!BD18="."),d_dir!G18/((1/1000)*(d_Irr!F18+d_Irr!AE18)),IF(AND(d_Irr!F18&lt;&gt;".",d_Irr!AE18=".",d_Irr!BD18&lt;&gt;"."),d_dir!G18/((1/1000)*(d_Irr!F18+d_Irr!BD18)),IF(AND(d_Irr!F18=".",d_Irr!AE18&lt;&gt;".",d_Irr!BD18&lt;&gt;"."),d_dir!G18/((1/1000)*(d_Irr!AE18+d_Irr!BD18)),IF(AND(d_Irr!F18=".",d_Irr!AE18=".",d_Irr!BD18&lt;&gt;"."),d_dir!G18/((1/1000)*(d_Irr!BD18)),IF(AND(d_Irr!F18=".",d_Irr!AE18&lt;&gt;".",d_Irr!BD18="."),d_dir!G18/((1/1000)*(d_Irr!AE18)),IF(AND(d_Irr!F18&lt;&gt;".",d_Irr!AE18=".",d_Irr!BD18="."),d_dir!G18/((1/1000)*(d_Irr!F18)),IF(AND(d_Irr!F18=".",d_Irr!AE18=".",d_Irr!BD18="."),d_dir!G18*1000)))))))),".")</f>
        <v>3.6948417604397421</v>
      </c>
      <c r="H18" s="70">
        <f>IFERROR(IF(AND(d_Irr!G18&lt;&gt;".",d_Irr!AF18&lt;&gt;".",d_Irr!BE18&lt;&gt;"."),d_dir!H18/((1/1000)*(d_Irr!G18+d_Irr!AF18+d_Irr!BE18)),IF(AND(d_Irr!G18&lt;&gt;".",d_Irr!AF18&lt;&gt;".",d_Irr!BE18="."),d_dir!H18/((1/1000)*(d_Irr!G18+d_Irr!AF18)),IF(AND(d_Irr!G18&lt;&gt;".",d_Irr!AF18=".",d_Irr!BE18&lt;&gt;"."),d_dir!H18/((1/1000)*(d_Irr!G18+d_Irr!BE18)),IF(AND(d_Irr!G18=".",d_Irr!AF18&lt;&gt;".",d_Irr!BE18&lt;&gt;"."),d_dir!H18/((1/1000)*(d_Irr!AF18+d_Irr!BE18)),IF(AND(d_Irr!G18=".",d_Irr!AF18=".",d_Irr!BE18&lt;&gt;"."),d_dir!H18/((1/1000)*(d_Irr!BE18)),IF(AND(d_Irr!G18=".",d_Irr!AF18&lt;&gt;".",d_Irr!BE18="."),d_dir!H18/((1/1000)*(d_Irr!AF18)),IF(AND(d_Irr!G18&lt;&gt;".",d_Irr!AF18=".",d_Irr!BE18="."),d_dir!H18/((1/1000)*(d_Irr!G18)),IF(AND(d_Irr!G18=".",d_Irr!AF18=".",d_Irr!BE18="."),d_dir!H18*1000)))))))),".")</f>
        <v>4.5142481623687072</v>
      </c>
      <c r="I18" s="70">
        <f>IFERROR(IF(AND(d_Irr!H18&lt;&gt;".",d_Irr!AG18&lt;&gt;".",d_Irr!BF18&lt;&gt;"."),d_dir!I18/((1/1000)*(d_Irr!H18+d_Irr!AG18+d_Irr!BF18)),IF(AND(d_Irr!H18&lt;&gt;".",d_Irr!AG18&lt;&gt;".",d_Irr!BF18="."),d_dir!I18/((1/1000)*(d_Irr!H18+d_Irr!AG18)),IF(AND(d_Irr!H18&lt;&gt;".",d_Irr!AG18=".",d_Irr!BF18&lt;&gt;"."),d_dir!I18/((1/1000)*(d_Irr!H18+d_Irr!BF18)),IF(AND(d_Irr!H18=".",d_Irr!AG18&lt;&gt;".",d_Irr!BF18&lt;&gt;"."),d_dir!I18/((1/1000)*(d_Irr!AG18+d_Irr!BF18)),IF(AND(d_Irr!H18=".",d_Irr!AG18=".",d_Irr!BF18&lt;&gt;"."),d_dir!I18/((1/1000)*(d_Irr!BF18)),IF(AND(d_Irr!H18=".",d_Irr!AG18&lt;&gt;".",d_Irr!BF18="."),d_dir!I18/((1/1000)*(d_Irr!AG18)),IF(AND(d_Irr!H18&lt;&gt;".",d_Irr!AG18=".",d_Irr!BF18="."),d_dir!I18/((1/1000)*(d_Irr!H18)),IF(AND(d_Irr!H18=".",d_Irr!AG18=".",d_Irr!BF18="."),d_dir!I18*1000)))))))),".")</f>
        <v>1.6534559052554345</v>
      </c>
      <c r="J18" s="70">
        <f>IFERROR(IF(AND(d_Irr!I18&lt;&gt;".",d_Irr!AH18&lt;&gt;".",d_Irr!BG18&lt;&gt;"."),d_dir!J18/((1/1000)*(d_Irr!I18+d_Irr!AH18+d_Irr!BG18)),IF(AND(d_Irr!I18&lt;&gt;".",d_Irr!AH18&lt;&gt;".",d_Irr!BG18="."),d_dir!J18/((1/1000)*(d_Irr!I18+d_Irr!AH18)),IF(AND(d_Irr!I18&lt;&gt;".",d_Irr!AH18=".",d_Irr!BG18&lt;&gt;"."),d_dir!J18/((1/1000)*(d_Irr!I18+d_Irr!BG18)),IF(AND(d_Irr!I18=".",d_Irr!AH18&lt;&gt;".",d_Irr!BG18&lt;&gt;"."),d_dir!J18/((1/1000)*(d_Irr!AH18+d_Irr!BG18)),IF(AND(d_Irr!I18=".",d_Irr!AH18=".",d_Irr!BG18&lt;&gt;"."),d_dir!J18/((1/1000)*(d_Irr!BG18)),IF(AND(d_Irr!I18=".",d_Irr!AH18&lt;&gt;".",d_Irr!BG18="."),d_dir!J18/((1/1000)*(d_Irr!AH18)),IF(AND(d_Irr!I18&lt;&gt;".",d_Irr!AH18=".",d_Irr!BG18="."),d_dir!J18/((1/1000)*(d_Irr!I18)),IF(AND(d_Irr!I18=".",d_Irr!AH18=".",d_Irr!BG18="."),d_dir!J18*1000)))))))),".")</f>
        <v>4.731702916738648</v>
      </c>
      <c r="K18" s="70">
        <f>IFERROR(IF(AND(d_Irr!J18&lt;&gt;".",d_Irr!AI18&lt;&gt;".",d_Irr!BH18&lt;&gt;"."),d_dir!K18/((1/1000)*(d_Irr!J18+d_Irr!AI18+d_Irr!BH18)),IF(AND(d_Irr!J18&lt;&gt;".",d_Irr!AI18&lt;&gt;".",d_Irr!BH18="."),d_dir!K18/((1/1000)*(d_Irr!J18+d_Irr!AI18)),IF(AND(d_Irr!J18&lt;&gt;".",d_Irr!AI18=".",d_Irr!BH18&lt;&gt;"."),d_dir!K18/((1/1000)*(d_Irr!J18+d_Irr!BH18)),IF(AND(d_Irr!J18=".",d_Irr!AI18&lt;&gt;".",d_Irr!BH18&lt;&gt;"."),d_dir!K18/((1/1000)*(d_Irr!AI18+d_Irr!BH18)),IF(AND(d_Irr!J18=".",d_Irr!AI18=".",d_Irr!BH18&lt;&gt;"."),d_dir!K18/((1/1000)*(d_Irr!BH18)),IF(AND(d_Irr!J18=".",d_Irr!AI18&lt;&gt;".",d_Irr!BH18="."),d_dir!K18/((1/1000)*(d_Irr!AI18)),IF(AND(d_Irr!J18&lt;&gt;".",d_Irr!AI18=".",d_Irr!BH18="."),d_dir!K18/((1/1000)*(d_Irr!J18)),IF(AND(d_Irr!J18=".",d_Irr!AI18=".",d_Irr!BH18="."),d_dir!K18*1000)))))))),".")</f>
        <v>0.4259968060180489</v>
      </c>
      <c r="L18" s="70">
        <f>IFERROR(IF(AND(d_Irr!K18&lt;&gt;".",d_Irr!AJ18&lt;&gt;".",d_Irr!BI18&lt;&gt;"."),d_dir!L18/((1/1000)*(d_Irr!K18+d_Irr!AJ18+d_Irr!BI18)),IF(AND(d_Irr!K18&lt;&gt;".",d_Irr!AJ18&lt;&gt;".",d_Irr!BI18="."),d_dir!L18/((1/1000)*(d_Irr!K18+d_Irr!AJ18)),IF(AND(d_Irr!K18&lt;&gt;".",d_Irr!AJ18=".",d_Irr!BI18&lt;&gt;"."),d_dir!L18/((1/1000)*(d_Irr!K18+d_Irr!BI18)),IF(AND(d_Irr!K18=".",d_Irr!AJ18&lt;&gt;".",d_Irr!BI18&lt;&gt;"."),d_dir!L18/((1/1000)*(d_Irr!AJ18+d_Irr!BI18)),IF(AND(d_Irr!K18=".",d_Irr!AJ18=".",d_Irr!BI18&lt;&gt;"."),d_dir!L18/((1/1000)*(d_Irr!BI18)),IF(AND(d_Irr!K18=".",d_Irr!AJ18&lt;&gt;".",d_Irr!BI18="."),d_dir!L18/((1/1000)*(d_Irr!AJ18)),IF(AND(d_Irr!K18&lt;&gt;".",d_Irr!AJ18=".",d_Irr!BI18="."),d_dir!L18/((1/1000)*(d_Irr!K18)),IF(AND(d_Irr!K18=".",d_Irr!AJ18=".",d_Irr!BI18="."),d_dir!L18*1000)))))))),".")</f>
        <v>2.334843428659866</v>
      </c>
      <c r="M18" s="70">
        <f>IFERROR(IF(AND(d_Irr!L18&lt;&gt;".",d_Irr!AK18&lt;&gt;".",d_Irr!BJ18&lt;&gt;"."),d_dir!M18/((1/1000)*(d_Irr!L18+d_Irr!AK18+d_Irr!BJ18)),IF(AND(d_Irr!L18&lt;&gt;".",d_Irr!AK18&lt;&gt;".",d_Irr!BJ18="."),d_dir!M18/((1/1000)*(d_Irr!L18+d_Irr!AK18)),IF(AND(d_Irr!L18&lt;&gt;".",d_Irr!AK18=".",d_Irr!BJ18&lt;&gt;"."),d_dir!M18/((1/1000)*(d_Irr!L18+d_Irr!BJ18)),IF(AND(d_Irr!L18=".",d_Irr!AK18&lt;&gt;".",d_Irr!BJ18&lt;&gt;"."),d_dir!M18/((1/1000)*(d_Irr!AK18+d_Irr!BJ18)),IF(AND(d_Irr!L18=".",d_Irr!AK18=".",d_Irr!BJ18&lt;&gt;"."),d_dir!M18/((1/1000)*(d_Irr!BJ18)),IF(AND(d_Irr!L18=".",d_Irr!AK18&lt;&gt;".",d_Irr!BJ18="."),d_dir!M18/((1/1000)*(d_Irr!AK18)),IF(AND(d_Irr!L18&lt;&gt;".",d_Irr!AK18=".",d_Irr!BJ18="."),d_dir!M18/((1/1000)*(d_Irr!L18)),IF(AND(d_Irr!L18=".",d_Irr!AK18=".",d_Irr!BJ18="."),d_dir!M18*1000)))))))),".")</f>
        <v>1.7514331296139338</v>
      </c>
      <c r="N18" s="70">
        <f>IFERROR(IF(AND(d_Irr!M18&lt;&gt;".",d_Irr!AL18&lt;&gt;".",d_Irr!BK18&lt;&gt;"."),d_dir!N18/((1/1000)*(d_Irr!M18+d_Irr!AL18+d_Irr!BK18)),IF(AND(d_Irr!M18&lt;&gt;".",d_Irr!AL18&lt;&gt;".",d_Irr!BK18="."),d_dir!N18/((1/1000)*(d_Irr!M18+d_Irr!AL18)),IF(AND(d_Irr!M18&lt;&gt;".",d_Irr!AL18=".",d_Irr!BK18&lt;&gt;"."),d_dir!N18/((1/1000)*(d_Irr!M18+d_Irr!BK18)),IF(AND(d_Irr!M18=".",d_Irr!AL18&lt;&gt;".",d_Irr!BK18&lt;&gt;"."),d_dir!N18/((1/1000)*(d_Irr!AL18+d_Irr!BK18)),IF(AND(d_Irr!M18=".",d_Irr!AL18=".",d_Irr!BK18&lt;&gt;"."),d_dir!N18/((1/1000)*(d_Irr!BK18)),IF(AND(d_Irr!M18=".",d_Irr!AL18&lt;&gt;".",d_Irr!BK18="."),d_dir!N18/((1/1000)*(d_Irr!AL18)),IF(AND(d_Irr!M18&lt;&gt;".",d_Irr!AL18=".",d_Irr!BK18="."),d_dir!N18/((1/1000)*(d_Irr!M18)),IF(AND(d_Irr!M18=".",d_Irr!AL18=".",d_Irr!BK18="."),d_dir!N18*1000)))))))),".")</f>
        <v>3.4614937652191635</v>
      </c>
      <c r="O18" s="70">
        <f>IFERROR(IF(AND(d_Irr!N18&lt;&gt;".",d_Irr!AM18&lt;&gt;".",d_Irr!BL18&lt;&gt;"."),d_dir!O18/((1/1000)*(d_Irr!N18+d_Irr!AM18+d_Irr!BL18)),IF(AND(d_Irr!N18&lt;&gt;".",d_Irr!AM18&lt;&gt;".",d_Irr!BL18="."),d_dir!O18/((1/1000)*(d_Irr!N18+d_Irr!AM18)),IF(AND(d_Irr!N18&lt;&gt;".",d_Irr!AM18=".",d_Irr!BL18&lt;&gt;"."),d_dir!O18/((1/1000)*(d_Irr!N18+d_Irr!BL18)),IF(AND(d_Irr!N18=".",d_Irr!AM18&lt;&gt;".",d_Irr!BL18&lt;&gt;"."),d_dir!O18/((1/1000)*(d_Irr!AM18+d_Irr!BL18)),IF(AND(d_Irr!N18=".",d_Irr!AM18=".",d_Irr!BL18&lt;&gt;"."),d_dir!O18/((1/1000)*(d_Irr!BL18)),IF(AND(d_Irr!N18=".",d_Irr!AM18&lt;&gt;".",d_Irr!BL18="."),d_dir!O18/((1/1000)*(d_Irr!AM18)),IF(AND(d_Irr!N18&lt;&gt;".",d_Irr!AM18=".",d_Irr!BL18="."),d_dir!O18/((1/1000)*(d_Irr!N18)),IF(AND(d_Irr!N18=".",d_Irr!AM18=".",d_Irr!BL18="."),d_dir!O18*1000)))))))),".")</f>
        <v>3.7370640473096084</v>
      </c>
      <c r="P18" s="70">
        <f>IFERROR(IF(AND(d_Irr!O18&lt;&gt;".",d_Irr!AN18&lt;&gt;".",d_Irr!BM18&lt;&gt;"."),d_dir!P18/((1/1000)*(d_Irr!O18+d_Irr!AN18+d_Irr!BM18)),IF(AND(d_Irr!O18&lt;&gt;".",d_Irr!AN18&lt;&gt;".",d_Irr!BM18="."),d_dir!P18/((1/1000)*(d_Irr!O18+d_Irr!AN18)),IF(AND(d_Irr!O18&lt;&gt;".",d_Irr!AN18=".",d_Irr!BM18&lt;&gt;"."),d_dir!P18/((1/1000)*(d_Irr!O18+d_Irr!BM18)),IF(AND(d_Irr!O18=".",d_Irr!AN18&lt;&gt;".",d_Irr!BM18&lt;&gt;"."),d_dir!P18/((1/1000)*(d_Irr!AN18+d_Irr!BM18)),IF(AND(d_Irr!O18=".",d_Irr!AN18=".",d_Irr!BM18&lt;&gt;"."),d_dir!P18/((1/1000)*(d_Irr!BM18)),IF(AND(d_Irr!O18=".",d_Irr!AN18&lt;&gt;".",d_Irr!BM18="."),d_dir!P18/((1/1000)*(d_Irr!AN18)),IF(AND(d_Irr!O18&lt;&gt;".",d_Irr!AN18=".",d_Irr!BM18="."),d_dir!P18/((1/1000)*(d_Irr!O18)),IF(AND(d_Irr!O18=".",d_Irr!AN18=".",d_Irr!BM18="."),d_dir!P18*1000)))))))),".")</f>
        <v>4.7247587170039491</v>
      </c>
      <c r="Q18" s="70">
        <f>IFERROR(IF(AND(d_Irr!P18&lt;&gt;".",d_Irr!AO18&lt;&gt;".",d_Irr!BN18&lt;&gt;"."),d_dir!Q18/((1/1000)*(d_Irr!P18+d_Irr!AO18+d_Irr!BN18)),IF(AND(d_Irr!P18&lt;&gt;".",d_Irr!AO18&lt;&gt;".",d_Irr!BN18="."),d_dir!Q18/((1/1000)*(d_Irr!P18+d_Irr!AO18)),IF(AND(d_Irr!P18&lt;&gt;".",d_Irr!AO18=".",d_Irr!BN18&lt;&gt;"."),d_dir!Q18/((1/1000)*(d_Irr!P18+d_Irr!BN18)),IF(AND(d_Irr!P18=".",d_Irr!AO18&lt;&gt;".",d_Irr!BN18&lt;&gt;"."),d_dir!Q18/((1/1000)*(d_Irr!AO18+d_Irr!BN18)),IF(AND(d_Irr!P18=".",d_Irr!AO18=".",d_Irr!BN18&lt;&gt;"."),d_dir!Q18/((1/1000)*(d_Irr!BN18)),IF(AND(d_Irr!P18=".",d_Irr!AO18&lt;&gt;".",d_Irr!BN18="."),d_dir!Q18/((1/1000)*(d_Irr!AO18)),IF(AND(d_Irr!P18&lt;&gt;".",d_Irr!AO18=".",d_Irr!BN18="."),d_dir!Q18/((1/1000)*(d_Irr!P18)),IF(AND(d_Irr!P18=".",d_Irr!AO18=".",d_Irr!BN18="."),d_dir!Q18*1000)))))))),".")</f>
        <v>6.3932935457184437</v>
      </c>
      <c r="R18" s="70">
        <f>IFERROR(IF(AND(d_Irr!Q18&lt;&gt;".",d_Irr!AP18&lt;&gt;".",d_Irr!BO18&lt;&gt;"."),d_dir!R18/((1/1000)*(d_Irr!Q18+d_Irr!AP18+d_Irr!BO18)),IF(AND(d_Irr!Q18&lt;&gt;".",d_Irr!AP18&lt;&gt;".",d_Irr!BO18="."),d_dir!R18/((1/1000)*(d_Irr!Q18+d_Irr!AP18)),IF(AND(d_Irr!Q18&lt;&gt;".",d_Irr!AP18=".",d_Irr!BO18&lt;&gt;"."),d_dir!R18/((1/1000)*(d_Irr!Q18+d_Irr!BO18)),IF(AND(d_Irr!Q18=".",d_Irr!AP18&lt;&gt;".",d_Irr!BO18&lt;&gt;"."),d_dir!R18/((1/1000)*(d_Irr!AP18+d_Irr!BO18)),IF(AND(d_Irr!Q18=".",d_Irr!AP18=".",d_Irr!BO18&lt;&gt;"."),d_dir!R18/((1/1000)*(d_Irr!BO18)),IF(AND(d_Irr!Q18=".",d_Irr!AP18&lt;&gt;".",d_Irr!BO18="."),d_dir!R18/((1/1000)*(d_Irr!AP18)),IF(AND(d_Irr!Q18&lt;&gt;".",d_Irr!AP18=".",d_Irr!BO18="."),d_dir!R18/((1/1000)*(d_Irr!Q18)),IF(AND(d_Irr!Q18=".",d_Irr!AP18=".",d_Irr!BO18="."),d_dir!R18*1000)))))))),".")</f>
        <v>1.0550038861633573</v>
      </c>
      <c r="S18" s="70">
        <f>IFERROR(IF(AND(d_Irr!R18&lt;&gt;".",d_Irr!AQ18&lt;&gt;".",d_Irr!BP18&lt;&gt;"."),d_dir!S18/((1/1000)*(d_Irr!R18+d_Irr!AQ18+d_Irr!BP18)),IF(AND(d_Irr!R18&lt;&gt;".",d_Irr!AQ18&lt;&gt;".",d_Irr!BP18="."),d_dir!S18/((1/1000)*(d_Irr!R18+d_Irr!AQ18)),IF(AND(d_Irr!R18&lt;&gt;".",d_Irr!AQ18=".",d_Irr!BP18&lt;&gt;"."),d_dir!S18/((1/1000)*(d_Irr!R18+d_Irr!BP18)),IF(AND(d_Irr!R18=".",d_Irr!AQ18&lt;&gt;".",d_Irr!BP18&lt;&gt;"."),d_dir!S18/((1/1000)*(d_Irr!AQ18+d_Irr!BP18)),IF(AND(d_Irr!R18=".",d_Irr!AQ18=".",d_Irr!BP18&lt;&gt;"."),d_dir!S18/((1/1000)*(d_Irr!BP18)),IF(AND(d_Irr!R18=".",d_Irr!AQ18&lt;&gt;".",d_Irr!BP18="."),d_dir!S18/((1/1000)*(d_Irr!AQ18)),IF(AND(d_Irr!R18&lt;&gt;".",d_Irr!AQ18=".",d_Irr!BP18="."),d_dir!S18/((1/1000)*(d_Irr!R18)),IF(AND(d_Irr!R18=".",d_Irr!AQ18=".",d_Irr!BP18="."),d_dir!S18*1000)))))))),".")</f>
        <v>2.1526340188960047</v>
      </c>
      <c r="T18" s="70">
        <f>IFERROR(IF(AND(d_Irr!S18&lt;&gt;".",d_Irr!AR18&lt;&gt;".",d_Irr!BQ18&lt;&gt;"."),d_dir!T18/((1/1000)*(d_Irr!S18+d_Irr!AR18+d_Irr!BQ18)),IF(AND(d_Irr!S18&lt;&gt;".",d_Irr!AR18&lt;&gt;".",d_Irr!BQ18="."),d_dir!T18/((1/1000)*(d_Irr!S18+d_Irr!AR18)),IF(AND(d_Irr!S18&lt;&gt;".",d_Irr!AR18=".",d_Irr!BQ18&lt;&gt;"."),d_dir!T18/((1/1000)*(d_Irr!S18+d_Irr!BQ18)),IF(AND(d_Irr!S18=".",d_Irr!AR18&lt;&gt;".",d_Irr!BQ18&lt;&gt;"."),d_dir!T18/((1/1000)*(d_Irr!AR18+d_Irr!BQ18)),IF(AND(d_Irr!S18=".",d_Irr!AR18=".",d_Irr!BQ18&lt;&gt;"."),d_dir!T18/((1/1000)*(d_Irr!BQ18)),IF(AND(d_Irr!S18=".",d_Irr!AR18&lt;&gt;".",d_Irr!BQ18="."),d_dir!T18/((1/1000)*(d_Irr!AR18)),IF(AND(d_Irr!S18&lt;&gt;".",d_Irr!AR18=".",d_Irr!BQ18="."),d_dir!T18/((1/1000)*(d_Irr!S18)),IF(AND(d_Irr!S18=".",d_Irr!AR18=".",d_Irr!BQ18="."),d_dir!T18*1000)))))))),".")</f>
        <v>3.7518279469944025</v>
      </c>
      <c r="U18" s="70">
        <f>IFERROR(IF(AND(d_Irr!T18&lt;&gt;".",d_Irr!AS18&lt;&gt;".",d_Irr!BR18&lt;&gt;"."),d_dir!U18/((1/1000)*(d_Irr!T18+d_Irr!AS18+d_Irr!BR18)),IF(AND(d_Irr!T18&lt;&gt;".",d_Irr!AS18&lt;&gt;".",d_Irr!BR18="."),d_dir!U18/((1/1000)*(d_Irr!T18+d_Irr!AS18)),IF(AND(d_Irr!T18&lt;&gt;".",d_Irr!AS18=".",d_Irr!BR18&lt;&gt;"."),d_dir!U18/((1/1000)*(d_Irr!T18+d_Irr!BR18)),IF(AND(d_Irr!T18=".",d_Irr!AS18&lt;&gt;".",d_Irr!BR18&lt;&gt;"."),d_dir!U18/((1/1000)*(d_Irr!AS18+d_Irr!BR18)),IF(AND(d_Irr!T18=".",d_Irr!AS18=".",d_Irr!BR18&lt;&gt;"."),d_dir!U18/((1/1000)*(d_Irr!BR18)),IF(AND(d_Irr!T18=".",d_Irr!AS18&lt;&gt;".",d_Irr!BR18="."),d_dir!U18/((1/1000)*(d_Irr!AS18)),IF(AND(d_Irr!T18&lt;&gt;".",d_Irr!AS18=".",d_Irr!BR18="."),d_dir!U18/((1/1000)*(d_Irr!T18)),IF(AND(d_Irr!T18=".",d_Irr!AS18=".",d_Irr!BR18="."),d_dir!U18*1000)))))))),".")</f>
        <v>7.3663889912083578</v>
      </c>
      <c r="V18" s="70">
        <f>IFERROR(IF(AND(d_Irr!U18&lt;&gt;".",d_Irr!AT18&lt;&gt;".",d_Irr!BS18&lt;&gt;"."),d_dir!V18/((1/1000)*(d_Irr!U18+d_Irr!AT18+d_Irr!BS18)),IF(AND(d_Irr!U18&lt;&gt;".",d_Irr!AT18&lt;&gt;".",d_Irr!BS18="."),d_dir!V18/((1/1000)*(d_Irr!U18+d_Irr!AT18)),IF(AND(d_Irr!U18&lt;&gt;".",d_Irr!AT18=".",d_Irr!BS18&lt;&gt;"."),d_dir!V18/((1/1000)*(d_Irr!U18+d_Irr!BS18)),IF(AND(d_Irr!U18=".",d_Irr!AT18&lt;&gt;".",d_Irr!BS18&lt;&gt;"."),d_dir!V18/((1/1000)*(d_Irr!AT18+d_Irr!BS18)),IF(AND(d_Irr!U18=".",d_Irr!AT18=".",d_Irr!BS18&lt;&gt;"."),d_dir!V18/((1/1000)*(d_Irr!BS18)),IF(AND(d_Irr!U18=".",d_Irr!AT18&lt;&gt;".",d_Irr!BS18="."),d_dir!V18/((1/1000)*(d_Irr!AT18)),IF(AND(d_Irr!U18&lt;&gt;".",d_Irr!AT18=".",d_Irr!BS18="."),d_dir!V18/((1/1000)*(d_Irr!U18)),IF(AND(d_Irr!U18=".",d_Irr!AT18=".",d_Irr!BS18="."),d_dir!V18*1000)))))))),".")</f>
        <v>1.0777364446974305</v>
      </c>
      <c r="W18" s="70">
        <f>IFERROR(IF(AND(d_Irr!V18&lt;&gt;".",d_Irr!AU18&lt;&gt;".",d_Irr!BT18&lt;&gt;"."),d_dir!W18/((1/1000)*(d_Irr!V18+d_Irr!AU18+d_Irr!BT18)),IF(AND(d_Irr!V18&lt;&gt;".",d_Irr!AU18&lt;&gt;".",d_Irr!BT18="."),d_dir!W18/((1/1000)*(d_Irr!V18+d_Irr!AU18)),IF(AND(d_Irr!V18&lt;&gt;".",d_Irr!AU18=".",d_Irr!BT18&lt;&gt;"."),d_dir!W18/((1/1000)*(d_Irr!V18+d_Irr!BT18)),IF(AND(d_Irr!V18=".",d_Irr!AU18&lt;&gt;".",d_Irr!BT18&lt;&gt;"."),d_dir!W18/((1/1000)*(d_Irr!AU18+d_Irr!BT18)),IF(AND(d_Irr!V18=".",d_Irr!AU18=".",d_Irr!BT18&lt;&gt;"."),d_dir!W18/((1/1000)*(d_Irr!BT18)),IF(AND(d_Irr!V18=".",d_Irr!AU18&lt;&gt;".",d_Irr!BT18="."),d_dir!W18/((1/1000)*(d_Irr!AU18)),IF(AND(d_Irr!V18&lt;&gt;".",d_Irr!AU18=".",d_Irr!BT18="."),d_dir!W18/((1/1000)*(d_Irr!V18)),IF(AND(d_Irr!V18=".",d_Irr!AU18=".",d_Irr!BT18="."),d_dir!W18*1000)))))))),".")</f>
        <v>2.2472726672380081</v>
      </c>
      <c r="X18" s="70">
        <f>IFERROR(IF(AND(d_Irr!W18&lt;&gt;".",d_Irr!AV18&lt;&gt;".",d_Irr!BU18&lt;&gt;"."),d_dir!X18/((1/1000)*(d_Irr!W18+d_Irr!AV18+d_Irr!BU18)),IF(AND(d_Irr!W18&lt;&gt;".",d_Irr!AV18&lt;&gt;".",d_Irr!BU18="."),d_dir!X18/((1/1000)*(d_Irr!W18+d_Irr!AV18)),IF(AND(d_Irr!W18&lt;&gt;".",d_Irr!AV18=".",d_Irr!BU18&lt;&gt;"."),d_dir!X18/((1/1000)*(d_Irr!W18+d_Irr!BU18)),IF(AND(d_Irr!W18=".",d_Irr!AV18&lt;&gt;".",d_Irr!BU18&lt;&gt;"."),d_dir!X18/((1/1000)*(d_Irr!AV18+d_Irr!BU18)),IF(AND(d_Irr!W18=".",d_Irr!AV18=".",d_Irr!BU18&lt;&gt;"."),d_dir!X18/((1/1000)*(d_Irr!BU18)),IF(AND(d_Irr!W18=".",d_Irr!AV18&lt;&gt;".",d_Irr!BU18="."),d_dir!X18/((1/1000)*(d_Irr!AV18)),IF(AND(d_Irr!W18&lt;&gt;".",d_Irr!AV18=".",d_Irr!BU18="."),d_dir!X18/((1/1000)*(d_Irr!W18)),IF(AND(d_Irr!W18=".",d_Irr!AV18=".",d_Irr!BU18="."),d_dir!X18*1000)))))))),".")</f>
        <v>2.4029765335840141</v>
      </c>
      <c r="Y18" s="70">
        <f>IFERROR(IF(AND(d_Irr!X18&lt;&gt;".",d_Irr!AW18&lt;&gt;".",d_Irr!BV18&lt;&gt;"."),d_dir!Y18/((1/1000)*(d_Irr!X18+d_Irr!AW18+d_Irr!BV18)),IF(AND(d_Irr!X18&lt;&gt;".",d_Irr!AW18&lt;&gt;".",d_Irr!BV18="."),d_dir!Y18/((1/1000)*(d_Irr!X18+d_Irr!AW18)),IF(AND(d_Irr!X18&lt;&gt;".",d_Irr!AW18=".",d_Irr!BV18&lt;&gt;"."),d_dir!Y18/((1/1000)*(d_Irr!X18+d_Irr!BV18)),IF(AND(d_Irr!X18=".",d_Irr!AW18&lt;&gt;".",d_Irr!BV18&lt;&gt;"."),d_dir!Y18/((1/1000)*(d_Irr!AW18+d_Irr!BV18)),IF(AND(d_Irr!X18=".",d_Irr!AW18=".",d_Irr!BV18&lt;&gt;"."),d_dir!Y18/((1/1000)*(d_Irr!BV18)),IF(AND(d_Irr!X18=".",d_Irr!AW18&lt;&gt;".",d_Irr!BV18="."),d_dir!Y18/((1/1000)*(d_Irr!AW18)),IF(AND(d_Irr!X18&lt;&gt;".",d_Irr!AW18=".",d_Irr!BV18="."),d_dir!Y18/((1/1000)*(d_Irr!X18)),IF(AND(d_Irr!X18=".",d_Irr!AW18=".",d_Irr!BV18="."),d_dir!Y18*1000)))))))),".")</f>
        <v>3.2141985365629333</v>
      </c>
      <c r="Z18" s="70">
        <f>IFERROR(IF(AND(d_Irr!Y18&lt;&gt;".",d_Irr!AX18&lt;&gt;".",d_Irr!BW18&lt;&gt;"."),d_dir!Z18/((1/1000)*(d_Irr!Y18+d_Irr!AX18+d_Irr!BW18)),IF(AND(d_Irr!Y18&lt;&gt;".",d_Irr!AX18&lt;&gt;".",d_Irr!BW18="."),d_dir!Z18/((1/1000)*(d_Irr!Y18+d_Irr!AX18)),IF(AND(d_Irr!Y18&lt;&gt;".",d_Irr!AX18=".",d_Irr!BW18&lt;&gt;"."),d_dir!Z18/((1/1000)*(d_Irr!Y18+d_Irr!BW18)),IF(AND(d_Irr!Y18=".",d_Irr!AX18&lt;&gt;".",d_Irr!BW18&lt;&gt;"."),d_dir!Z18/((1/1000)*(d_Irr!AX18+d_Irr!BW18)),IF(AND(d_Irr!Y18=".",d_Irr!AX18=".",d_Irr!BW18&lt;&gt;"."),d_dir!Z18/((1/1000)*(d_Irr!BW18)),IF(AND(d_Irr!Y18=".",d_Irr!AX18&lt;&gt;".",d_Irr!BW18="."),d_dir!Z18/((1/1000)*(d_Irr!AX18)),IF(AND(d_Irr!Y18&lt;&gt;".",d_Irr!AX18=".",d_Irr!BW18="."),d_dir!Z18/((1/1000)*(d_Irr!Y18)),IF(AND(d_Irr!Y18=".",d_Irr!AX18=".",d_Irr!BW18="."),d_dir!Z18*1000)))))))),".")</f>
        <v>1.6988486279444051</v>
      </c>
      <c r="AA18" s="70">
        <f>IFERROR(IF(AND(d_Irr!Z18&lt;&gt;".",d_Irr!AY18&lt;&gt;".",d_Irr!BX18&lt;&gt;"."),d_dir!AA18/((1/1000)*(d_Irr!Z18+d_Irr!AY18+d_Irr!BX18)),IF(AND(d_Irr!Z18&lt;&gt;".",d_Irr!AY18&lt;&gt;".",d_Irr!BX18="."),d_dir!AA18/((1/1000)*(d_Irr!Z18+d_Irr!AY18)),IF(AND(d_Irr!Z18&lt;&gt;".",d_Irr!AY18=".",d_Irr!BX18&lt;&gt;"."),d_dir!AA18/((1/1000)*(d_Irr!Z18+d_Irr!BX18)),IF(AND(d_Irr!Z18=".",d_Irr!AY18&lt;&gt;".",d_Irr!BX18&lt;&gt;"."),d_dir!AA18/((1/1000)*(d_Irr!AY18+d_Irr!BX18)),IF(AND(d_Irr!Z18=".",d_Irr!AY18=".",d_Irr!BX18&lt;&gt;"."),d_dir!AA18/((1/1000)*(d_Irr!BX18)),IF(AND(d_Irr!Z18=".",d_Irr!AY18&lt;&gt;".",d_Irr!BX18="."),d_dir!AA18/((1/1000)*(d_Irr!AY18)),IF(AND(d_Irr!Z18&lt;&gt;".",d_Irr!AY18=".",d_Irr!BX18="."),d_dir!AA18/((1/1000)*(d_Irr!Z18)),IF(AND(d_Irr!Z18=".",d_Irr!AY18=".",d_Irr!BX18="."),d_dir!AA18*1000)))))))),".")</f>
        <v>0.46665339656676674</v>
      </c>
      <c r="AB18" s="70">
        <f>IFERROR(IF(AND(d_Irr!AA18&lt;&gt;".",d_Irr!AZ18&lt;&gt;".",d_Irr!BY18&lt;&gt;"."),d_dir!AB18/((1/1000)*(d_Irr!AA18+d_Irr!AZ18+d_Irr!BY18)),IF(AND(d_Irr!AA18&lt;&gt;".",d_Irr!AZ18&lt;&gt;".",d_Irr!BY18="."),d_dir!AB18/((1/1000)*(d_Irr!AA18+d_Irr!AZ18)),IF(AND(d_Irr!AA18&lt;&gt;".",d_Irr!AZ18=".",d_Irr!BY18&lt;&gt;"."),d_dir!AB18/((1/1000)*(d_Irr!AA18+d_Irr!BY18)),IF(AND(d_Irr!AA18=".",d_Irr!AZ18&lt;&gt;".",d_Irr!BY18&lt;&gt;"."),d_dir!AB18/((1/1000)*(d_Irr!AZ18+d_Irr!BY18)),IF(AND(d_Irr!AA18=".",d_Irr!AZ18=".",d_Irr!BY18&lt;&gt;"."),d_dir!AB18/((1/1000)*(d_Irr!BY18)),IF(AND(d_Irr!AA18=".",d_Irr!AZ18&lt;&gt;".",d_Irr!BY18="."),d_dir!AB18/((1/1000)*(d_Irr!AZ18)),IF(AND(d_Irr!AA18&lt;&gt;".",d_Irr!AZ18=".",d_Irr!BY18="."),d_dir!AB18/((1/1000)*(d_Irr!AA18)),IF(AND(d_Irr!AA18=".",d_Irr!AZ18=".",d_Irr!BY18="."),d_dir!AB18*1000)))))))),".")</f>
        <v>0.5545965021961371</v>
      </c>
      <c r="AC18" s="70">
        <f t="shared" si="0"/>
        <v>8.372866545483662E-2</v>
      </c>
      <c r="AD18" s="70">
        <f>IFERROR(IF(AND(d_Irr!C18&lt;&gt;".",d_Irr!AB18&lt;&gt;".",d_Irr!BA18&lt;&gt;"."),d_dir!AD18/((1/1000)*(d_Irr!C18+d_Irr!AB18+d_Irr!BA18)),IF(AND(d_Irr!C18&lt;&gt;".",d_Irr!AB18&lt;&gt;".",d_Irr!BA18="."),d_dir!AD18/((1/1000)*(d_Irr!C18+d_Irr!AB18)),IF(AND(d_Irr!C18&lt;&gt;".",d_Irr!AB18=".",d_Irr!BA18&lt;&gt;"."),d_dir!AD18/((1/1000)*(d_Irr!C18+d_Irr!BA18)),IF(AND(d_Irr!C18=".",d_Irr!AB18&lt;&gt;".",d_Irr!BA18&lt;&gt;"."),d_dir!AD18/((1/1000)*(d_Irr!AB18+d_Irr!BA18)),IF(AND(d_Irr!C18=".",d_Irr!AB18=".",d_Irr!BA18&lt;&gt;"."),d_dir!AD18/((1/1000)*(d_Irr!BA18)),IF(AND(d_Irr!C18=".",d_Irr!AB18&lt;&gt;".",d_Irr!BA18="."),d_dir!AD18/((1/1000)*(d_Irr!AB18)),IF(AND(d_Irr!C18&lt;&gt;".",d_Irr!AB18=".",d_Irr!BA18="."),d_dir!AD18/((1/1000)*(d_Irr!C18)),IF(AND(d_Irr!C18=".",d_Irr!AB18=".",d_Irr!BA18="."),d_dir!AD18*1000)))))))),".")</f>
        <v>1.4288638592136955</v>
      </c>
      <c r="AE18" s="70">
        <f>IFERROR(IF(AND(d_Irr!D18&lt;&gt;".",d_Irr!AC18&lt;&gt;".",d_Irr!BB18&lt;&gt;"."),d_dir!AE18/((1/1000)*(d_Irr!D18+d_Irr!AC18+d_Irr!BB18)),IF(AND(d_Irr!D18&lt;&gt;".",d_Irr!AC18&lt;&gt;".",d_Irr!BB18="."),d_dir!AE18/((1/1000)*(d_Irr!D18+d_Irr!AC18)),IF(AND(d_Irr!D18&lt;&gt;".",d_Irr!AC18=".",d_Irr!BB18&lt;&gt;"."),d_dir!AE18/((1/1000)*(d_Irr!D18+d_Irr!BB18)),IF(AND(d_Irr!D18=".",d_Irr!AC18&lt;&gt;".",d_Irr!BB18&lt;&gt;"."),d_dir!AE18/((1/1000)*(d_Irr!AC18+d_Irr!BB18)),IF(AND(d_Irr!D18=".",d_Irr!AC18=".",d_Irr!BB18&lt;&gt;"."),d_dir!AE18/((1/1000)*(d_Irr!BB18)),IF(AND(d_Irr!D18=".",d_Irr!AC18&lt;&gt;".",d_Irr!BB18="."),d_dir!AE18/((1/1000)*(d_Irr!AC18)),IF(AND(d_Irr!D18&lt;&gt;".",d_Irr!AC18=".",d_Irr!BB18="."),d_dir!AE18/((1/1000)*(d_Irr!D18)),IF(AND(d_Irr!D18=".",d_Irr!AC18=".",d_Irr!BB18="."),d_dir!AE18*1000)))))))),".")</f>
        <v>3.1463704079707497</v>
      </c>
      <c r="AF18" s="70">
        <f>IFERROR(IF(AND(d_Irr!E18&lt;&gt;".",d_Irr!AD18&lt;&gt;".",d_Irr!BC18&lt;&gt;"."),d_dir!AF18/((1/1000)*(d_Irr!E18+d_Irr!AD18+d_Irr!BC18)),IF(AND(d_Irr!E18&lt;&gt;".",d_Irr!AD18&lt;&gt;".",d_Irr!BC18="."),d_dir!AF18/((1/1000)*(d_Irr!E18+d_Irr!AD18)),IF(AND(d_Irr!E18&lt;&gt;".",d_Irr!AD18=".",d_Irr!BC18&lt;&gt;"."),d_dir!AF18/((1/1000)*(d_Irr!E18+d_Irr!BC18)),IF(AND(d_Irr!E18=".",d_Irr!AD18&lt;&gt;".",d_Irr!BC18&lt;&gt;"."),d_dir!AF18/((1/1000)*(d_Irr!AD18+d_Irr!BC18)),IF(AND(d_Irr!E18=".",d_Irr!AD18=".",d_Irr!BC18&lt;&gt;"."),d_dir!AF18/((1/1000)*(d_Irr!BC18)),IF(AND(d_Irr!E18=".",d_Irr!AD18&lt;&gt;".",d_Irr!BC18="."),d_dir!AF18/((1/1000)*(d_Irr!AD18)),IF(AND(d_Irr!E18&lt;&gt;".",d_Irr!AD18=".",d_Irr!BC18="."),d_dir!AF18/((1/1000)*(d_Irr!E18)),IF(AND(d_Irr!E18=".",d_Irr!AD18=".",d_Irr!BC18="."),d_dir!AF18*1000)))))))),".")</f>
        <v>3.7980468875323194</v>
      </c>
      <c r="AG18" s="70">
        <f>IFERROR(IF(AND(d_Irr!F18&lt;&gt;".",d_Irr!AE18&lt;&gt;".",d_Irr!BD18&lt;&gt;"."),d_dir!AG18/((1/1000)*(d_Irr!F18+d_Irr!AE18+d_Irr!BD18)),IF(AND(d_Irr!F18&lt;&gt;".",d_Irr!AE18&lt;&gt;".",d_Irr!BD18="."),d_dir!AG18/((1/1000)*(d_Irr!F18+d_Irr!AE18)),IF(AND(d_Irr!F18&lt;&gt;".",d_Irr!AE18=".",d_Irr!BD18&lt;&gt;"."),d_dir!AG18/((1/1000)*(d_Irr!F18+d_Irr!BD18)),IF(AND(d_Irr!F18=".",d_Irr!AE18&lt;&gt;".",d_Irr!BD18&lt;&gt;"."),d_dir!AG18/((1/1000)*(d_Irr!AE18+d_Irr!BD18)),IF(AND(d_Irr!F18=".",d_Irr!AE18=".",d_Irr!BD18&lt;&gt;"."),d_dir!AG18/((1/1000)*(d_Irr!BD18)),IF(AND(d_Irr!F18=".",d_Irr!AE18&lt;&gt;".",d_Irr!BD18="."),d_dir!AG18/((1/1000)*(d_Irr!AE18)),IF(AND(d_Irr!F18&lt;&gt;".",d_Irr!AE18=".",d_Irr!BD18="."),d_dir!AG18/((1/1000)*(d_Irr!F18)),IF(AND(d_Irr!F18=".",d_Irr!AE18=".",d_Irr!BD18="."),d_dir!AG18*1000)))))))),".")</f>
        <v>3.5979278781987003</v>
      </c>
      <c r="AH18" s="70">
        <f>IFERROR(IF(AND(d_Irr!G18&lt;&gt;".",d_Irr!AF18&lt;&gt;".",d_Irr!BE18&lt;&gt;"."),d_dir!AH18/((1/1000)*(d_Irr!G18+d_Irr!AF18+d_Irr!BE18)),IF(AND(d_Irr!G18&lt;&gt;".",d_Irr!AF18&lt;&gt;".",d_Irr!BE18="."),d_dir!AH18/((1/1000)*(d_Irr!G18+d_Irr!AF18)),IF(AND(d_Irr!G18&lt;&gt;".",d_Irr!AF18=".",d_Irr!BE18&lt;&gt;"."),d_dir!AH18/((1/1000)*(d_Irr!G18+d_Irr!BE18)),IF(AND(d_Irr!G18=".",d_Irr!AF18&lt;&gt;".",d_Irr!BE18&lt;&gt;"."),d_dir!AH18/((1/1000)*(d_Irr!AF18+d_Irr!BE18)),IF(AND(d_Irr!G18=".",d_Irr!AF18=".",d_Irr!BE18&lt;&gt;"."),d_dir!AH18/((1/1000)*(d_Irr!BE18)),IF(AND(d_Irr!G18=".",d_Irr!AF18&lt;&gt;".",d_Irr!BE18="."),d_dir!AH18/((1/1000)*(d_Irr!AF18)),IF(AND(d_Irr!G18&lt;&gt;".",d_Irr!AF18=".",d_Irr!BE18="."),d_dir!AH18/((1/1000)*(d_Irr!G18)),IF(AND(d_Irr!G18=".",d_Irr!AF18=".",d_Irr!BE18="."),d_dir!AH18*1000)))))))),".")</f>
        <v>3.8366407791757897</v>
      </c>
      <c r="AI18" s="70">
        <f>IFERROR(IF(AND(d_Irr!H18&lt;&gt;".",d_Irr!AG18&lt;&gt;".",d_Irr!BF18&lt;&gt;"."),d_dir!AI18/((1/1000)*(d_Irr!H18+d_Irr!AG18+d_Irr!BF18)),IF(AND(d_Irr!H18&lt;&gt;".",d_Irr!AG18&lt;&gt;".",d_Irr!BF18="."),d_dir!AI18/((1/1000)*(d_Irr!H18+d_Irr!AG18)),IF(AND(d_Irr!H18&lt;&gt;".",d_Irr!AG18=".",d_Irr!BF18&lt;&gt;"."),d_dir!AI18/((1/1000)*(d_Irr!H18+d_Irr!BF18)),IF(AND(d_Irr!H18=".",d_Irr!AG18&lt;&gt;".",d_Irr!BF18&lt;&gt;"."),d_dir!AI18/((1/1000)*(d_Irr!AG18+d_Irr!BF18)),IF(AND(d_Irr!H18=".",d_Irr!AG18=".",d_Irr!BF18&lt;&gt;"."),d_dir!AI18/((1/1000)*(d_Irr!BF18)),IF(AND(d_Irr!H18=".",d_Irr!AG18&lt;&gt;".",d_Irr!BF18="."),d_dir!AI18/((1/1000)*(d_Irr!AG18)),IF(AND(d_Irr!H18&lt;&gt;".",d_Irr!AG18=".",d_Irr!BF18="."),d_dir!AI18/((1/1000)*(d_Irr!H18)),IF(AND(d_Irr!H18=".",d_Irr!AG18=".",d_Irr!BF18="."),d_dir!AI18*1000)))))))),".")</f>
        <v>1.6299528267321934</v>
      </c>
      <c r="AJ18" s="70">
        <f>IFERROR(IF(AND(d_Irr!I18&lt;&gt;".",d_Irr!AH18&lt;&gt;".",d_Irr!BG18&lt;&gt;"."),d_dir!AJ18/((1/1000)*(d_Irr!I18+d_Irr!AH18+d_Irr!BG18)),IF(AND(d_Irr!I18&lt;&gt;".",d_Irr!AH18&lt;&gt;".",d_Irr!BG18="."),d_dir!AJ18/((1/1000)*(d_Irr!I18+d_Irr!AH18)),IF(AND(d_Irr!I18&lt;&gt;".",d_Irr!AH18=".",d_Irr!BG18&lt;&gt;"."),d_dir!AJ18/((1/1000)*(d_Irr!I18+d_Irr!BG18)),IF(AND(d_Irr!I18=".",d_Irr!AH18&lt;&gt;".",d_Irr!BG18&lt;&gt;"."),d_dir!AJ18/((1/1000)*(d_Irr!AH18+d_Irr!BG18)),IF(AND(d_Irr!I18=".",d_Irr!AH18=".",d_Irr!BG18&lt;&gt;"."),d_dir!AJ18/((1/1000)*(d_Irr!BG18)),IF(AND(d_Irr!I18=".",d_Irr!AH18&lt;&gt;".",d_Irr!BG18="."),d_dir!AJ18/((1/1000)*(d_Irr!AH18)),IF(AND(d_Irr!I18&lt;&gt;".",d_Irr!AH18=".",d_Irr!BG18="."),d_dir!AJ18/((1/1000)*(d_Irr!I18)),IF(AND(d_Irr!I18=".",d_Irr!AH18=".",d_Irr!BG18="."),d_dir!AJ18*1000)))))))),".")</f>
        <v>5.0436764585293448</v>
      </c>
      <c r="AK18" s="70">
        <f>IFERROR(IF(AND(d_Irr!J18&lt;&gt;".",d_Irr!AI18&lt;&gt;".",d_Irr!BH18&lt;&gt;"."),d_dir!AK18/((1/1000)*(d_Irr!J18+d_Irr!AI18+d_Irr!BH18)),IF(AND(d_Irr!J18&lt;&gt;".",d_Irr!AI18&lt;&gt;".",d_Irr!BH18="."),d_dir!AK18/((1/1000)*(d_Irr!J18+d_Irr!AI18)),IF(AND(d_Irr!J18&lt;&gt;".",d_Irr!AI18=".",d_Irr!BH18&lt;&gt;"."),d_dir!AK18/((1/1000)*(d_Irr!J18+d_Irr!BH18)),IF(AND(d_Irr!J18=".",d_Irr!AI18&lt;&gt;".",d_Irr!BH18&lt;&gt;"."),d_dir!AK18/((1/1000)*(d_Irr!AI18+d_Irr!BH18)),IF(AND(d_Irr!J18=".",d_Irr!AI18=".",d_Irr!BH18&lt;&gt;"."),d_dir!AK18/((1/1000)*(d_Irr!BH18)),IF(AND(d_Irr!J18=".",d_Irr!AI18&lt;&gt;".",d_Irr!BH18="."),d_dir!AK18/((1/1000)*(d_Irr!AI18)),IF(AND(d_Irr!J18&lt;&gt;".",d_Irr!AI18=".",d_Irr!BH18="."),d_dir!AK18/((1/1000)*(d_Irr!J18)),IF(AND(d_Irr!J18=".",d_Irr!AI18=".",d_Irr!BH18="."),d_dir!AK18*1000)))))))),".")</f>
        <v>0.41424416187157864</v>
      </c>
      <c r="AL18" s="70">
        <f>IFERROR(IF(AND(d_Irr!K18&lt;&gt;".",d_Irr!AJ18&lt;&gt;".",d_Irr!BI18&lt;&gt;"."),d_dir!AL18/((1/1000)*(d_Irr!K18+d_Irr!AJ18+d_Irr!BI18)),IF(AND(d_Irr!K18&lt;&gt;".",d_Irr!AJ18&lt;&gt;".",d_Irr!BI18="."),d_dir!AL18/((1/1000)*(d_Irr!K18+d_Irr!AJ18)),IF(AND(d_Irr!K18&lt;&gt;".",d_Irr!AJ18=".",d_Irr!BI18&lt;&gt;"."),d_dir!AL18/((1/1000)*(d_Irr!K18+d_Irr!BI18)),IF(AND(d_Irr!K18=".",d_Irr!AJ18&lt;&gt;".",d_Irr!BI18&lt;&gt;"."),d_dir!AL18/((1/1000)*(d_Irr!AJ18+d_Irr!BI18)),IF(AND(d_Irr!K18=".",d_Irr!AJ18=".",d_Irr!BI18&lt;&gt;"."),d_dir!AL18/((1/1000)*(d_Irr!BI18)),IF(AND(d_Irr!K18=".",d_Irr!AJ18&lt;&gt;".",d_Irr!BI18="."),d_dir!AL18/((1/1000)*(d_Irr!AJ18)),IF(AND(d_Irr!K18&lt;&gt;".",d_Irr!AJ18=".",d_Irr!BI18="."),d_dir!AL18/((1/1000)*(d_Irr!K18)),IF(AND(d_Irr!K18=".",d_Irr!AJ18=".",d_Irr!BI18="."),d_dir!AL18*1000)))))))),".")</f>
        <v>1.6194304840983356</v>
      </c>
      <c r="AM18" s="70">
        <f>IFERROR(IF(AND(d_Irr!L18&lt;&gt;".",d_Irr!AK18&lt;&gt;".",d_Irr!BJ18&lt;&gt;"."),d_dir!AM18/((1/1000)*(d_Irr!L18+d_Irr!AK18+d_Irr!BJ18)),IF(AND(d_Irr!L18&lt;&gt;".",d_Irr!AK18&lt;&gt;".",d_Irr!BJ18="."),d_dir!AM18/((1/1000)*(d_Irr!L18+d_Irr!AK18)),IF(AND(d_Irr!L18&lt;&gt;".",d_Irr!AK18=".",d_Irr!BJ18&lt;&gt;"."),d_dir!AM18/((1/1000)*(d_Irr!L18+d_Irr!BJ18)),IF(AND(d_Irr!L18=".",d_Irr!AK18&lt;&gt;".",d_Irr!BJ18&lt;&gt;"."),d_dir!AM18/((1/1000)*(d_Irr!AK18+d_Irr!BJ18)),IF(AND(d_Irr!L18=".",d_Irr!AK18=".",d_Irr!BJ18&lt;&gt;"."),d_dir!AM18/((1/1000)*(d_Irr!BJ18)),IF(AND(d_Irr!L18=".",d_Irr!AK18&lt;&gt;".",d_Irr!BJ18="."),d_dir!AM18/((1/1000)*(d_Irr!AK18)),IF(AND(d_Irr!L18&lt;&gt;".",d_Irr!AK18=".",d_Irr!BJ18="."),d_dir!AM18/((1/1000)*(d_Irr!L18)),IF(AND(d_Irr!L18=".",d_Irr!AK18=".",d_Irr!BJ18="."),d_dir!AM18*1000)))))))),".")</f>
        <v>2.4609935765045634</v>
      </c>
      <c r="AN18" s="70">
        <f>IFERROR(IF(AND(d_Irr!M18&lt;&gt;".",d_Irr!AL18&lt;&gt;".",d_Irr!BK18&lt;&gt;"."),d_dir!AN18/((1/1000)*(d_Irr!M18+d_Irr!AL18+d_Irr!BK18)),IF(AND(d_Irr!M18&lt;&gt;".",d_Irr!AL18&lt;&gt;".",d_Irr!BK18="."),d_dir!AN18/((1/1000)*(d_Irr!M18+d_Irr!AL18)),IF(AND(d_Irr!M18&lt;&gt;".",d_Irr!AL18=".",d_Irr!BK18&lt;&gt;"."),d_dir!AN18/((1/1000)*(d_Irr!M18+d_Irr!BK18)),IF(AND(d_Irr!M18=".",d_Irr!AL18&lt;&gt;".",d_Irr!BK18&lt;&gt;"."),d_dir!AN18/((1/1000)*(d_Irr!AL18+d_Irr!BK18)),IF(AND(d_Irr!M18=".",d_Irr!AL18=".",d_Irr!BK18&lt;&gt;"."),d_dir!AN18/((1/1000)*(d_Irr!BK18)),IF(AND(d_Irr!M18=".",d_Irr!AL18&lt;&gt;".",d_Irr!BK18="."),d_dir!AN18/((1/1000)*(d_Irr!AL18)),IF(AND(d_Irr!M18&lt;&gt;".",d_Irr!AL18=".",d_Irr!BK18="."),d_dir!AN18/((1/1000)*(d_Irr!M18)),IF(AND(d_Irr!M18=".",d_Irr!AL18=".",d_Irr!BK18="."),d_dir!AN18*1000)))))))),".")</f>
        <v>3.170643129970975</v>
      </c>
      <c r="AO18" s="70">
        <f>IFERROR(IF(AND(d_Irr!N18&lt;&gt;".",d_Irr!AM18&lt;&gt;".",d_Irr!BL18&lt;&gt;"."),d_dir!AO18/((1/1000)*(d_Irr!N18+d_Irr!AM18+d_Irr!BL18)),IF(AND(d_Irr!N18&lt;&gt;".",d_Irr!AM18&lt;&gt;".",d_Irr!BL18="."),d_dir!AO18/((1/1000)*(d_Irr!N18+d_Irr!AM18)),IF(AND(d_Irr!N18&lt;&gt;".",d_Irr!AM18=".",d_Irr!BL18&lt;&gt;"."),d_dir!AO18/((1/1000)*(d_Irr!N18+d_Irr!BL18)),IF(AND(d_Irr!N18=".",d_Irr!AM18&lt;&gt;".",d_Irr!BL18&lt;&gt;"."),d_dir!AO18/((1/1000)*(d_Irr!AM18+d_Irr!BL18)),IF(AND(d_Irr!N18=".",d_Irr!AM18=".",d_Irr!BL18&lt;&gt;"."),d_dir!AO18/((1/1000)*(d_Irr!BL18)),IF(AND(d_Irr!N18=".",d_Irr!AM18&lt;&gt;".",d_Irr!BL18="."),d_dir!AO18/((1/1000)*(d_Irr!AM18)),IF(AND(d_Irr!N18&lt;&gt;".",d_Irr!AM18=".",d_Irr!BL18="."),d_dir!AO18/((1/1000)*(d_Irr!N18)),IF(AND(d_Irr!N18=".",d_Irr!AM18=".",d_Irr!BL18="."),d_dir!AO18*1000)))))))),".")</f>
        <v>3.6262845058791635</v>
      </c>
      <c r="AP18" s="70">
        <f>IFERROR(IF(AND(d_Irr!O18&lt;&gt;".",d_Irr!AN18&lt;&gt;".",d_Irr!BM18&lt;&gt;"."),d_dir!AP18/((1/1000)*(d_Irr!O18+d_Irr!AN18+d_Irr!BM18)),IF(AND(d_Irr!O18&lt;&gt;".",d_Irr!AN18&lt;&gt;".",d_Irr!BM18="."),d_dir!AP18/((1/1000)*(d_Irr!O18+d_Irr!AN18)),IF(AND(d_Irr!O18&lt;&gt;".",d_Irr!AN18=".",d_Irr!BM18&lt;&gt;"."),d_dir!AP18/((1/1000)*(d_Irr!O18+d_Irr!BM18)),IF(AND(d_Irr!O18=".",d_Irr!AN18&lt;&gt;".",d_Irr!BM18&lt;&gt;"."),d_dir!AP18/((1/1000)*(d_Irr!AN18+d_Irr!BM18)),IF(AND(d_Irr!O18=".",d_Irr!AN18=".",d_Irr!BM18&lt;&gt;"."),d_dir!AP18/((1/1000)*(d_Irr!BM18)),IF(AND(d_Irr!O18=".",d_Irr!AN18&lt;&gt;".",d_Irr!BM18="."),d_dir!AP18/((1/1000)*(d_Irr!AN18)),IF(AND(d_Irr!O18&lt;&gt;".",d_Irr!AN18=".",d_Irr!BM18="."),d_dir!AP18/((1/1000)*(d_Irr!O18)),IF(AND(d_Irr!O18=".",d_Irr!AN18=".",d_Irr!BM18="."),d_dir!AP18*1000)))))))),".")</f>
        <v>4.4334708401391181</v>
      </c>
      <c r="AQ18" s="70">
        <f>IFERROR(IF(AND(d_Irr!P18&lt;&gt;".",d_Irr!AO18&lt;&gt;".",d_Irr!BN18&lt;&gt;"."),d_dir!AQ18/((1/1000)*(d_Irr!P18+d_Irr!AO18+d_Irr!BN18)),IF(AND(d_Irr!P18&lt;&gt;".",d_Irr!AO18&lt;&gt;".",d_Irr!BN18="."),d_dir!AQ18/((1/1000)*(d_Irr!P18+d_Irr!AO18)),IF(AND(d_Irr!P18&lt;&gt;".",d_Irr!AO18=".",d_Irr!BN18&lt;&gt;"."),d_dir!AQ18/((1/1000)*(d_Irr!P18+d_Irr!BN18)),IF(AND(d_Irr!P18=".",d_Irr!AO18&lt;&gt;".",d_Irr!BN18&lt;&gt;"."),d_dir!AQ18/((1/1000)*(d_Irr!AO18+d_Irr!BN18)),IF(AND(d_Irr!P18=".",d_Irr!AO18=".",d_Irr!BN18&lt;&gt;"."),d_dir!AQ18/((1/1000)*(d_Irr!BN18)),IF(AND(d_Irr!P18=".",d_Irr!AO18&lt;&gt;".",d_Irr!BN18="."),d_dir!AQ18/((1/1000)*(d_Irr!AO18)),IF(AND(d_Irr!P18&lt;&gt;".",d_Irr!AO18=".",d_Irr!BN18="."),d_dir!AQ18/((1/1000)*(d_Irr!P18)),IF(AND(d_Irr!P18=".",d_Irr!AO18=".",d_Irr!BN18="."),d_dir!AQ18*1000)))))))),".")</f>
        <v>4.7068094529761106</v>
      </c>
      <c r="AR18" s="70">
        <f>IFERROR(IF(AND(d_Irr!Q18&lt;&gt;".",d_Irr!AP18&lt;&gt;".",d_Irr!BO18&lt;&gt;"."),d_dir!AR18/((1/1000)*(d_Irr!Q18+d_Irr!AP18+d_Irr!BO18)),IF(AND(d_Irr!Q18&lt;&gt;".",d_Irr!AP18&lt;&gt;".",d_Irr!BO18="."),d_dir!AR18/((1/1000)*(d_Irr!Q18+d_Irr!AP18)),IF(AND(d_Irr!Q18&lt;&gt;".",d_Irr!AP18=".",d_Irr!BO18&lt;&gt;"."),d_dir!AR18/((1/1000)*(d_Irr!Q18+d_Irr!BO18)),IF(AND(d_Irr!Q18=".",d_Irr!AP18&lt;&gt;".",d_Irr!BO18&lt;&gt;"."),d_dir!AR18/((1/1000)*(d_Irr!AP18+d_Irr!BO18)),IF(AND(d_Irr!Q18=".",d_Irr!AP18=".",d_Irr!BO18&lt;&gt;"."),d_dir!AR18/((1/1000)*(d_Irr!BO18)),IF(AND(d_Irr!Q18=".",d_Irr!AP18&lt;&gt;".",d_Irr!BO18="."),d_dir!AR18/((1/1000)*(d_Irr!AP18)),IF(AND(d_Irr!Q18&lt;&gt;".",d_Irr!AP18=".",d_Irr!BO18="."),d_dir!AR18/((1/1000)*(d_Irr!Q18)),IF(AND(d_Irr!Q18=".",d_Irr!AP18=".",d_Irr!BO18="."),d_dir!AR18*1000)))))))),".")</f>
        <v>1.1794008666351172</v>
      </c>
      <c r="AS18" s="70">
        <f>IFERROR(IF(AND(d_Irr!R18&lt;&gt;".",d_Irr!AQ18&lt;&gt;".",d_Irr!BP18&lt;&gt;"."),d_dir!AS18/((1/1000)*(d_Irr!R18+d_Irr!AQ18+d_Irr!BP18)),IF(AND(d_Irr!R18&lt;&gt;".",d_Irr!AQ18&lt;&gt;".",d_Irr!BP18="."),d_dir!AS18/((1/1000)*(d_Irr!R18+d_Irr!AQ18)),IF(AND(d_Irr!R18&lt;&gt;".",d_Irr!AQ18=".",d_Irr!BP18&lt;&gt;"."),d_dir!AS18/((1/1000)*(d_Irr!R18+d_Irr!BP18)),IF(AND(d_Irr!R18=".",d_Irr!AQ18&lt;&gt;".",d_Irr!BP18&lt;&gt;"."),d_dir!AS18/((1/1000)*(d_Irr!AQ18+d_Irr!BP18)),IF(AND(d_Irr!R18=".",d_Irr!AQ18=".",d_Irr!BP18&lt;&gt;"."),d_dir!AS18/((1/1000)*(d_Irr!BP18)),IF(AND(d_Irr!R18=".",d_Irr!AQ18&lt;&gt;".",d_Irr!BP18="."),d_dir!AS18/((1/1000)*(d_Irr!AQ18)),IF(AND(d_Irr!R18&lt;&gt;".",d_Irr!AQ18=".",d_Irr!BP18="."),d_dir!AS18/((1/1000)*(d_Irr!R18)),IF(AND(d_Irr!R18=".",d_Irr!AQ18=".",d_Irr!BP18="."),d_dir!AS18*1000)))))))),".")</f>
        <v>1.9231729033880689</v>
      </c>
      <c r="AT18" s="70">
        <f>IFERROR(IF(AND(d_Irr!S18&lt;&gt;".",d_Irr!AR18&lt;&gt;".",d_Irr!BQ18&lt;&gt;"."),d_dir!AT18/((1/1000)*(d_Irr!S18+d_Irr!AR18+d_Irr!BQ18)),IF(AND(d_Irr!S18&lt;&gt;".",d_Irr!AR18&lt;&gt;".",d_Irr!BQ18="."),d_dir!AT18/((1/1000)*(d_Irr!S18+d_Irr!AR18)),IF(AND(d_Irr!S18&lt;&gt;".",d_Irr!AR18=".",d_Irr!BQ18&lt;&gt;"."),d_dir!AT18/((1/1000)*(d_Irr!S18+d_Irr!BQ18)),IF(AND(d_Irr!S18=".",d_Irr!AR18&lt;&gt;".",d_Irr!BQ18&lt;&gt;"."),d_dir!AT18/((1/1000)*(d_Irr!AR18+d_Irr!BQ18)),IF(AND(d_Irr!S18=".",d_Irr!AR18=".",d_Irr!BQ18&lt;&gt;"."),d_dir!AT18/((1/1000)*(d_Irr!BQ18)),IF(AND(d_Irr!S18=".",d_Irr!AR18&lt;&gt;".",d_Irr!BQ18="."),d_dir!AT18/((1/1000)*(d_Irr!AR18)),IF(AND(d_Irr!S18&lt;&gt;".",d_Irr!AR18=".",d_Irr!BQ18="."),d_dir!AT18/((1/1000)*(d_Irr!S18)),IF(AND(d_Irr!S18=".",d_Irr!AR18=".",d_Irr!BQ18="."),d_dir!AT18*1000)))))))),".")</f>
        <v>4.0312087179136373</v>
      </c>
      <c r="AU18" s="70">
        <f>IFERROR(IF(AND(d_Irr!T18&lt;&gt;".",d_Irr!AS18&lt;&gt;".",d_Irr!BR18&lt;&gt;"."),d_dir!AU18/((1/1000)*(d_Irr!T18+d_Irr!AS18+d_Irr!BR18)),IF(AND(d_Irr!T18&lt;&gt;".",d_Irr!AS18&lt;&gt;".",d_Irr!BR18="."),d_dir!AU18/((1/1000)*(d_Irr!T18+d_Irr!AS18)),IF(AND(d_Irr!T18&lt;&gt;".",d_Irr!AS18=".",d_Irr!BR18&lt;&gt;"."),d_dir!AU18/((1/1000)*(d_Irr!T18+d_Irr!BR18)),IF(AND(d_Irr!T18=".",d_Irr!AS18&lt;&gt;".",d_Irr!BR18&lt;&gt;"."),d_dir!AU18/((1/1000)*(d_Irr!AS18+d_Irr!BR18)),IF(AND(d_Irr!T18=".",d_Irr!AS18=".",d_Irr!BR18&lt;&gt;"."),d_dir!AU18/((1/1000)*(d_Irr!BR18)),IF(AND(d_Irr!T18=".",d_Irr!AS18&lt;&gt;".",d_Irr!BR18="."),d_dir!AU18/((1/1000)*(d_Irr!AS18)),IF(AND(d_Irr!T18&lt;&gt;".",d_Irr!AS18=".",d_Irr!BR18="."),d_dir!AU18/((1/1000)*(d_Irr!T18)),IF(AND(d_Irr!T18=".",d_Irr!AS18=".",d_Irr!BR18="."),d_dir!AU18*1000)))))))),".")</f>
        <v>5.5231585883207028</v>
      </c>
      <c r="AV18" s="70">
        <f>IFERROR(IF(AND(d_Irr!U18&lt;&gt;".",d_Irr!AT18&lt;&gt;".",d_Irr!BS18&lt;&gt;"."),d_dir!AV18/((1/1000)*(d_Irr!U18+d_Irr!AT18+d_Irr!BS18)),IF(AND(d_Irr!U18&lt;&gt;".",d_Irr!AT18&lt;&gt;".",d_Irr!BS18="."),d_dir!AV18/((1/1000)*(d_Irr!U18+d_Irr!AT18)),IF(AND(d_Irr!U18&lt;&gt;".",d_Irr!AT18=".",d_Irr!BS18&lt;&gt;"."),d_dir!AV18/((1/1000)*(d_Irr!U18+d_Irr!BS18)),IF(AND(d_Irr!U18=".",d_Irr!AT18&lt;&gt;".",d_Irr!BS18&lt;&gt;"."),d_dir!AV18/((1/1000)*(d_Irr!AT18+d_Irr!BS18)),IF(AND(d_Irr!U18=".",d_Irr!AT18=".",d_Irr!BS18&lt;&gt;"."),d_dir!AV18/((1/1000)*(d_Irr!BS18)),IF(AND(d_Irr!U18=".",d_Irr!AT18&lt;&gt;".",d_Irr!BS18="."),d_dir!AV18/((1/1000)*(d_Irr!AT18)),IF(AND(d_Irr!U18&lt;&gt;".",d_Irr!AT18=".",d_Irr!BS18="."),d_dir!AV18/((1/1000)*(d_Irr!U18)),IF(AND(d_Irr!U18=".",d_Irr!AT18=".",d_Irr!BS18="."),d_dir!AV18*1000)))))))),".")</f>
        <v>0.91736449379826057</v>
      </c>
      <c r="AW18" s="70">
        <f>IFERROR(IF(AND(d_Irr!V18&lt;&gt;".",d_Irr!AU18&lt;&gt;".",d_Irr!BT18&lt;&gt;"."),d_dir!AW18/((1/1000)*(d_Irr!V18+d_Irr!AU18+d_Irr!BT18)),IF(AND(d_Irr!V18&lt;&gt;".",d_Irr!AU18&lt;&gt;".",d_Irr!BT18="."),d_dir!AW18/((1/1000)*(d_Irr!V18+d_Irr!AU18)),IF(AND(d_Irr!V18&lt;&gt;".",d_Irr!AU18=".",d_Irr!BT18&lt;&gt;"."),d_dir!AW18/((1/1000)*(d_Irr!V18+d_Irr!BT18)),IF(AND(d_Irr!V18=".",d_Irr!AU18&lt;&gt;".",d_Irr!BT18&lt;&gt;"."),d_dir!AW18/((1/1000)*(d_Irr!AU18+d_Irr!BT18)),IF(AND(d_Irr!V18=".",d_Irr!AU18=".",d_Irr!BT18&lt;&gt;"."),d_dir!AW18/((1/1000)*(d_Irr!BT18)),IF(AND(d_Irr!V18=".",d_Irr!AU18&lt;&gt;".",d_Irr!BT18="."),d_dir!AW18/((1/1000)*(d_Irr!AU18)),IF(AND(d_Irr!V18&lt;&gt;".",d_Irr!AU18=".",d_Irr!BT18="."),d_dir!AW18/((1/1000)*(d_Irr!V18)),IF(AND(d_Irr!V18=".",d_Irr!AU18=".",d_Irr!BT18="."),d_dir!AW18*1000)))))))),".")</f>
        <v>2.1142174541169614</v>
      </c>
      <c r="AX18" s="70">
        <f>IFERROR(IF(AND(d_Irr!W18&lt;&gt;".",d_Irr!AV18&lt;&gt;".",d_Irr!BU18&lt;&gt;"."),d_dir!AX18/((1/1000)*(d_Irr!W18+d_Irr!AV18+d_Irr!BU18)),IF(AND(d_Irr!W18&lt;&gt;".",d_Irr!AV18&lt;&gt;".",d_Irr!BU18="."),d_dir!AX18/((1/1000)*(d_Irr!W18+d_Irr!AV18)),IF(AND(d_Irr!W18&lt;&gt;".",d_Irr!AV18=".",d_Irr!BU18&lt;&gt;"."),d_dir!AX18/((1/1000)*(d_Irr!W18+d_Irr!BU18)),IF(AND(d_Irr!W18=".",d_Irr!AV18&lt;&gt;".",d_Irr!BU18&lt;&gt;"."),d_dir!AX18/((1/1000)*(d_Irr!AV18+d_Irr!BU18)),IF(AND(d_Irr!W18=".",d_Irr!AV18=".",d_Irr!BU18&lt;&gt;"."),d_dir!AX18/((1/1000)*(d_Irr!BU18)),IF(AND(d_Irr!W18=".",d_Irr!AV18&lt;&gt;".",d_Irr!BU18="."),d_dir!AX18/((1/1000)*(d_Irr!AV18)),IF(AND(d_Irr!W18&lt;&gt;".",d_Irr!AV18=".",d_Irr!BU18="."),d_dir!AX18/((1/1000)*(d_Irr!W18)),IF(AND(d_Irr!W18=".",d_Irr!AV18=".",d_Irr!BU18="."),d_dir!AX18*1000)))))))),".")</f>
        <v>2.2750677491082305</v>
      </c>
      <c r="AY18" s="70">
        <f>IFERROR(IF(AND(d_Irr!X18&lt;&gt;".",d_Irr!AW18&lt;&gt;".",d_Irr!BV18&lt;&gt;"."),d_dir!AY18/((1/1000)*(d_Irr!X18+d_Irr!AW18+d_Irr!BV18)),IF(AND(d_Irr!X18&lt;&gt;".",d_Irr!AW18&lt;&gt;".",d_Irr!BV18="."),d_dir!AY18/((1/1000)*(d_Irr!X18+d_Irr!AW18)),IF(AND(d_Irr!X18&lt;&gt;".",d_Irr!AW18=".",d_Irr!BV18&lt;&gt;"."),d_dir!AY18/((1/1000)*(d_Irr!X18+d_Irr!BV18)),IF(AND(d_Irr!X18=".",d_Irr!AW18&lt;&gt;".",d_Irr!BV18&lt;&gt;"."),d_dir!AY18/((1/1000)*(d_Irr!AW18+d_Irr!BV18)),IF(AND(d_Irr!X18=".",d_Irr!AW18=".",d_Irr!BV18&lt;&gt;"."),d_dir!AY18/((1/1000)*(d_Irr!BV18)),IF(AND(d_Irr!X18=".",d_Irr!AW18&lt;&gt;".",d_Irr!BV18="."),d_dir!AY18/((1/1000)*(d_Irr!AW18)),IF(AND(d_Irr!X18&lt;&gt;".",d_Irr!AW18=".",d_Irr!BV18="."),d_dir!AY18/((1/1000)*(d_Irr!X18)),IF(AND(d_Irr!X18=".",d_Irr!AW18=".",d_Irr!BV18="."),d_dir!AY18*1000)))))))),".")</f>
        <v>3.1270112694135102</v>
      </c>
      <c r="AZ18" s="70">
        <f>IFERROR(IF(AND(d_Irr!Y18&lt;&gt;".",d_Irr!AX18&lt;&gt;".",d_Irr!BW18&lt;&gt;"."),d_dir!AZ18/((1/1000)*(d_Irr!Y18+d_Irr!AX18+d_Irr!BW18)),IF(AND(d_Irr!Y18&lt;&gt;".",d_Irr!AX18&lt;&gt;".",d_Irr!BW18="."),d_dir!AZ18/((1/1000)*(d_Irr!Y18+d_Irr!AX18)),IF(AND(d_Irr!Y18&lt;&gt;".",d_Irr!AX18=".",d_Irr!BW18&lt;&gt;"."),d_dir!AZ18/((1/1000)*(d_Irr!Y18+d_Irr!BW18)),IF(AND(d_Irr!Y18=".",d_Irr!AX18&lt;&gt;".",d_Irr!BW18&lt;&gt;"."),d_dir!AZ18/((1/1000)*(d_Irr!AX18+d_Irr!BW18)),IF(AND(d_Irr!Y18=".",d_Irr!AX18=".",d_Irr!BW18&lt;&gt;"."),d_dir!AZ18/((1/1000)*(d_Irr!BW18)),IF(AND(d_Irr!Y18=".",d_Irr!AX18&lt;&gt;".",d_Irr!BW18="."),d_dir!AZ18/((1/1000)*(d_Irr!AX18)),IF(AND(d_Irr!Y18&lt;&gt;".",d_Irr!AX18=".",d_Irr!BW18="."),d_dir!AZ18/((1/1000)*(d_Irr!Y18)),IF(AND(d_Irr!Y18=".",d_Irr!AX18=".",d_Irr!BW18="."),d_dir!AZ18*1000)))))))),".")</f>
        <v>1.3782483296428936</v>
      </c>
      <c r="BA18" s="70">
        <f>IFERROR(IF(AND(d_Irr!Z18&lt;&gt;".",d_Irr!AY18&lt;&gt;".",d_Irr!BX18&lt;&gt;"."),d_dir!BA18/((1/1000)*(d_Irr!Z18+d_Irr!AY18+d_Irr!BX18)),IF(AND(d_Irr!Z18&lt;&gt;".",d_Irr!AY18&lt;&gt;".",d_Irr!BX18="."),d_dir!BA18/((1/1000)*(d_Irr!Z18+d_Irr!AY18)),IF(AND(d_Irr!Z18&lt;&gt;".",d_Irr!AY18=".",d_Irr!BX18&lt;&gt;"."),d_dir!BA18/((1/1000)*(d_Irr!Z18+d_Irr!BX18)),IF(AND(d_Irr!Z18=".",d_Irr!AY18&lt;&gt;".",d_Irr!BX18&lt;&gt;"."),d_dir!BA18/((1/1000)*(d_Irr!AY18+d_Irr!BX18)),IF(AND(d_Irr!Z18=".",d_Irr!AY18=".",d_Irr!BX18&lt;&gt;"."),d_dir!BA18/((1/1000)*(d_Irr!BX18)),IF(AND(d_Irr!Z18=".",d_Irr!AY18&lt;&gt;".",d_Irr!BX18="."),d_dir!BA18/((1/1000)*(d_Irr!AY18)),IF(AND(d_Irr!Z18&lt;&gt;".",d_Irr!AY18=".",d_Irr!BX18="."),d_dir!BA18/((1/1000)*(d_Irr!Z18)),IF(AND(d_Irr!Z18=".",d_Irr!AY18=".",d_Irr!BX18="."),d_dir!BA18*1000)))))))),".")</f>
        <v>0.36969678899857528</v>
      </c>
      <c r="BB18" s="70">
        <f>IFERROR(IF(AND(d_Irr!AA18&lt;&gt;".",d_Irr!AZ18&lt;&gt;".",d_Irr!BY18&lt;&gt;"."),d_dir!BB18/((1/1000)*(d_Irr!AA18+d_Irr!AZ18+d_Irr!BY18)),IF(AND(d_Irr!AA18&lt;&gt;".",d_Irr!AZ18&lt;&gt;".",d_Irr!BY18="."),d_dir!BB18/((1/1000)*(d_Irr!AA18+d_Irr!AZ18)),IF(AND(d_Irr!AA18&lt;&gt;".",d_Irr!AZ18=".",d_Irr!BY18&lt;&gt;"."),d_dir!BB18/((1/1000)*(d_Irr!AA18+d_Irr!BY18)),IF(AND(d_Irr!AA18=".",d_Irr!AZ18&lt;&gt;".",d_Irr!BY18&lt;&gt;"."),d_dir!BB18/((1/1000)*(d_Irr!AZ18+d_Irr!BY18)),IF(AND(d_Irr!AA18=".",d_Irr!AZ18=".",d_Irr!BY18&lt;&gt;"."),d_dir!BB18/((1/1000)*(d_Irr!BY18)),IF(AND(d_Irr!AA18=".",d_Irr!AZ18&lt;&gt;".",d_Irr!BY18="."),d_dir!BB18/((1/1000)*(d_Irr!AZ18)),IF(AND(d_Irr!AA18&lt;&gt;".",d_Irr!AZ18=".",d_Irr!BY18="."),d_dir!BB18/((1/1000)*(d_Irr!AA18)),IF(AND(d_Irr!AA18=".",d_Irr!AZ18=".",d_Irr!BY18="."),d_dir!BB18*1000)))))))),".")</f>
        <v>0.4420825488468812</v>
      </c>
    </row>
    <row r="19" spans="1:54" ht="15" customHeight="1" x14ac:dyDescent="0.25">
      <c r="A19" s="86" t="s">
        <v>17</v>
      </c>
      <c r="B19" s="84" t="s">
        <v>1057</v>
      </c>
      <c r="C19" s="2" t="str">
        <f t="shared" si="1"/>
        <v>.</v>
      </c>
      <c r="D19" s="70" t="str">
        <f>IFERROR(IF(AND(d_Irr!C19&lt;&gt;".",d_Irr!AB19&lt;&gt;".",d_Irr!BA19&lt;&gt;"."),d_dir!D19/((1/1000)*(d_Irr!C19+d_Irr!AB19+d_Irr!BA19)),IF(AND(d_Irr!C19&lt;&gt;".",d_Irr!AB19&lt;&gt;".",d_Irr!BA19="."),d_dir!D19/((1/1000)*(d_Irr!C19+d_Irr!AB19)),IF(AND(d_Irr!C19&lt;&gt;".",d_Irr!AB19=".",d_Irr!BA19&lt;&gt;"."),d_dir!D19/((1/1000)*(d_Irr!C19+d_Irr!BA19)),IF(AND(d_Irr!C19=".",d_Irr!AB19&lt;&gt;".",d_Irr!BA19&lt;&gt;"."),d_dir!D19/((1/1000)*(d_Irr!AB19+d_Irr!BA19)),IF(AND(d_Irr!C19=".",d_Irr!AB19=".",d_Irr!BA19&lt;&gt;"."),d_dir!D19/((1/1000)*(d_Irr!BA19)),IF(AND(d_Irr!C19=".",d_Irr!AB19&lt;&gt;".",d_Irr!BA19="."),d_dir!D19/((1/1000)*(d_Irr!AB19)),IF(AND(d_Irr!C19&lt;&gt;".",d_Irr!AB19=".",d_Irr!BA19="."),d_dir!D19/((1/1000)*(d_Irr!C19)),IF(AND(d_Irr!C19=".",d_Irr!AB19=".",d_Irr!BA19="."),d_dir!D19*1000)))))))),".")</f>
        <v>.</v>
      </c>
      <c r="E19" s="70" t="str">
        <f>IFERROR(IF(AND(d_Irr!D19&lt;&gt;".",d_Irr!AC19&lt;&gt;".",d_Irr!BB19&lt;&gt;"."),d_dir!E19/((1/1000)*(d_Irr!D19+d_Irr!AC19+d_Irr!BB19)),IF(AND(d_Irr!D19&lt;&gt;".",d_Irr!AC19&lt;&gt;".",d_Irr!BB19="."),d_dir!E19/((1/1000)*(d_Irr!D19+d_Irr!AC19)),IF(AND(d_Irr!D19&lt;&gt;".",d_Irr!AC19=".",d_Irr!BB19&lt;&gt;"."),d_dir!E19/((1/1000)*(d_Irr!D19+d_Irr!BB19)),IF(AND(d_Irr!D19=".",d_Irr!AC19&lt;&gt;".",d_Irr!BB19&lt;&gt;"."),d_dir!E19/((1/1000)*(d_Irr!AC19+d_Irr!BB19)),IF(AND(d_Irr!D19=".",d_Irr!AC19=".",d_Irr!BB19&lt;&gt;"."),d_dir!E19/((1/1000)*(d_Irr!BB19)),IF(AND(d_Irr!D19=".",d_Irr!AC19&lt;&gt;".",d_Irr!BB19="."),d_dir!E19/((1/1000)*(d_Irr!AC19)),IF(AND(d_Irr!D19&lt;&gt;".",d_Irr!AC19=".",d_Irr!BB19="."),d_dir!E19/((1/1000)*(d_Irr!D19)),IF(AND(d_Irr!D19=".",d_Irr!AC19=".",d_Irr!BB19="."),d_dir!E19*1000)))))))),".")</f>
        <v>.</v>
      </c>
      <c r="F19" s="70" t="str">
        <f>IFERROR(IF(AND(d_Irr!E19&lt;&gt;".",d_Irr!AD19&lt;&gt;".",d_Irr!BC19&lt;&gt;"."),d_dir!F19/((1/1000)*(d_Irr!E19+d_Irr!AD19+d_Irr!BC19)),IF(AND(d_Irr!E19&lt;&gt;".",d_Irr!AD19&lt;&gt;".",d_Irr!BC19="."),d_dir!F19/((1/1000)*(d_Irr!E19+d_Irr!AD19)),IF(AND(d_Irr!E19&lt;&gt;".",d_Irr!AD19=".",d_Irr!BC19&lt;&gt;"."),d_dir!F19/((1/1000)*(d_Irr!E19+d_Irr!BC19)),IF(AND(d_Irr!E19=".",d_Irr!AD19&lt;&gt;".",d_Irr!BC19&lt;&gt;"."),d_dir!F19/((1/1000)*(d_Irr!AD19+d_Irr!BC19)),IF(AND(d_Irr!E19=".",d_Irr!AD19=".",d_Irr!BC19&lt;&gt;"."),d_dir!F19/((1/1000)*(d_Irr!BC19)),IF(AND(d_Irr!E19=".",d_Irr!AD19&lt;&gt;".",d_Irr!BC19="."),d_dir!F19/((1/1000)*(d_Irr!AD19)),IF(AND(d_Irr!E19&lt;&gt;".",d_Irr!AD19=".",d_Irr!BC19="."),d_dir!F19/((1/1000)*(d_Irr!E19)),IF(AND(d_Irr!E19=".",d_Irr!AD19=".",d_Irr!BC19="."),d_dir!F19*1000)))))))),".")</f>
        <v>.</v>
      </c>
      <c r="G19" s="70" t="str">
        <f>IFERROR(IF(AND(d_Irr!F19&lt;&gt;".",d_Irr!AE19&lt;&gt;".",d_Irr!BD19&lt;&gt;"."),d_dir!G19/((1/1000)*(d_Irr!F19+d_Irr!AE19+d_Irr!BD19)),IF(AND(d_Irr!F19&lt;&gt;".",d_Irr!AE19&lt;&gt;".",d_Irr!BD19="."),d_dir!G19/((1/1000)*(d_Irr!F19+d_Irr!AE19)),IF(AND(d_Irr!F19&lt;&gt;".",d_Irr!AE19=".",d_Irr!BD19&lt;&gt;"."),d_dir!G19/((1/1000)*(d_Irr!F19+d_Irr!BD19)),IF(AND(d_Irr!F19=".",d_Irr!AE19&lt;&gt;".",d_Irr!BD19&lt;&gt;"."),d_dir!G19/((1/1000)*(d_Irr!AE19+d_Irr!BD19)),IF(AND(d_Irr!F19=".",d_Irr!AE19=".",d_Irr!BD19&lt;&gt;"."),d_dir!G19/((1/1000)*(d_Irr!BD19)),IF(AND(d_Irr!F19=".",d_Irr!AE19&lt;&gt;".",d_Irr!BD19="."),d_dir!G19/((1/1000)*(d_Irr!AE19)),IF(AND(d_Irr!F19&lt;&gt;".",d_Irr!AE19=".",d_Irr!BD19="."),d_dir!G19/((1/1000)*(d_Irr!F19)),IF(AND(d_Irr!F19=".",d_Irr!AE19=".",d_Irr!BD19="."),d_dir!G19*1000)))))))),".")</f>
        <v>.</v>
      </c>
      <c r="H19" s="70" t="str">
        <f>IFERROR(IF(AND(d_Irr!G19&lt;&gt;".",d_Irr!AF19&lt;&gt;".",d_Irr!BE19&lt;&gt;"."),d_dir!H19/((1/1000)*(d_Irr!G19+d_Irr!AF19+d_Irr!BE19)),IF(AND(d_Irr!G19&lt;&gt;".",d_Irr!AF19&lt;&gt;".",d_Irr!BE19="."),d_dir!H19/((1/1000)*(d_Irr!G19+d_Irr!AF19)),IF(AND(d_Irr!G19&lt;&gt;".",d_Irr!AF19=".",d_Irr!BE19&lt;&gt;"."),d_dir!H19/((1/1000)*(d_Irr!G19+d_Irr!BE19)),IF(AND(d_Irr!G19=".",d_Irr!AF19&lt;&gt;".",d_Irr!BE19&lt;&gt;"."),d_dir!H19/((1/1000)*(d_Irr!AF19+d_Irr!BE19)),IF(AND(d_Irr!G19=".",d_Irr!AF19=".",d_Irr!BE19&lt;&gt;"."),d_dir!H19/((1/1000)*(d_Irr!BE19)),IF(AND(d_Irr!G19=".",d_Irr!AF19&lt;&gt;".",d_Irr!BE19="."),d_dir!H19/((1/1000)*(d_Irr!AF19)),IF(AND(d_Irr!G19&lt;&gt;".",d_Irr!AF19=".",d_Irr!BE19="."),d_dir!H19/((1/1000)*(d_Irr!G19)),IF(AND(d_Irr!G19=".",d_Irr!AF19=".",d_Irr!BE19="."),d_dir!H19*1000)))))))),".")</f>
        <v>.</v>
      </c>
      <c r="I19" s="70" t="str">
        <f>IFERROR(IF(AND(d_Irr!H19&lt;&gt;".",d_Irr!AG19&lt;&gt;".",d_Irr!BF19&lt;&gt;"."),d_dir!I19/((1/1000)*(d_Irr!H19+d_Irr!AG19+d_Irr!BF19)),IF(AND(d_Irr!H19&lt;&gt;".",d_Irr!AG19&lt;&gt;".",d_Irr!BF19="."),d_dir!I19/((1/1000)*(d_Irr!H19+d_Irr!AG19)),IF(AND(d_Irr!H19&lt;&gt;".",d_Irr!AG19=".",d_Irr!BF19&lt;&gt;"."),d_dir!I19/((1/1000)*(d_Irr!H19+d_Irr!BF19)),IF(AND(d_Irr!H19=".",d_Irr!AG19&lt;&gt;".",d_Irr!BF19&lt;&gt;"."),d_dir!I19/((1/1000)*(d_Irr!AG19+d_Irr!BF19)),IF(AND(d_Irr!H19=".",d_Irr!AG19=".",d_Irr!BF19&lt;&gt;"."),d_dir!I19/((1/1000)*(d_Irr!BF19)),IF(AND(d_Irr!H19=".",d_Irr!AG19&lt;&gt;".",d_Irr!BF19="."),d_dir!I19/((1/1000)*(d_Irr!AG19)),IF(AND(d_Irr!H19&lt;&gt;".",d_Irr!AG19=".",d_Irr!BF19="."),d_dir!I19/((1/1000)*(d_Irr!H19)),IF(AND(d_Irr!H19=".",d_Irr!AG19=".",d_Irr!BF19="."),d_dir!I19*1000)))))))),".")</f>
        <v>.</v>
      </c>
      <c r="J19" s="70" t="str">
        <f>IFERROR(IF(AND(d_Irr!I19&lt;&gt;".",d_Irr!AH19&lt;&gt;".",d_Irr!BG19&lt;&gt;"."),d_dir!J19/((1/1000)*(d_Irr!I19+d_Irr!AH19+d_Irr!BG19)),IF(AND(d_Irr!I19&lt;&gt;".",d_Irr!AH19&lt;&gt;".",d_Irr!BG19="."),d_dir!J19/((1/1000)*(d_Irr!I19+d_Irr!AH19)),IF(AND(d_Irr!I19&lt;&gt;".",d_Irr!AH19=".",d_Irr!BG19&lt;&gt;"."),d_dir!J19/((1/1000)*(d_Irr!I19+d_Irr!BG19)),IF(AND(d_Irr!I19=".",d_Irr!AH19&lt;&gt;".",d_Irr!BG19&lt;&gt;"."),d_dir!J19/((1/1000)*(d_Irr!AH19+d_Irr!BG19)),IF(AND(d_Irr!I19=".",d_Irr!AH19=".",d_Irr!BG19&lt;&gt;"."),d_dir!J19/((1/1000)*(d_Irr!BG19)),IF(AND(d_Irr!I19=".",d_Irr!AH19&lt;&gt;".",d_Irr!BG19="."),d_dir!J19/((1/1000)*(d_Irr!AH19)),IF(AND(d_Irr!I19&lt;&gt;".",d_Irr!AH19=".",d_Irr!BG19="."),d_dir!J19/((1/1000)*(d_Irr!I19)),IF(AND(d_Irr!I19=".",d_Irr!AH19=".",d_Irr!BG19="."),d_dir!J19*1000)))))))),".")</f>
        <v>.</v>
      </c>
      <c r="K19" s="70" t="str">
        <f>IFERROR(IF(AND(d_Irr!J19&lt;&gt;".",d_Irr!AI19&lt;&gt;".",d_Irr!BH19&lt;&gt;"."),d_dir!K19/((1/1000)*(d_Irr!J19+d_Irr!AI19+d_Irr!BH19)),IF(AND(d_Irr!J19&lt;&gt;".",d_Irr!AI19&lt;&gt;".",d_Irr!BH19="."),d_dir!K19/((1/1000)*(d_Irr!J19+d_Irr!AI19)),IF(AND(d_Irr!J19&lt;&gt;".",d_Irr!AI19=".",d_Irr!BH19&lt;&gt;"."),d_dir!K19/((1/1000)*(d_Irr!J19+d_Irr!BH19)),IF(AND(d_Irr!J19=".",d_Irr!AI19&lt;&gt;".",d_Irr!BH19&lt;&gt;"."),d_dir!K19/((1/1000)*(d_Irr!AI19+d_Irr!BH19)),IF(AND(d_Irr!J19=".",d_Irr!AI19=".",d_Irr!BH19&lt;&gt;"."),d_dir!K19/((1/1000)*(d_Irr!BH19)),IF(AND(d_Irr!J19=".",d_Irr!AI19&lt;&gt;".",d_Irr!BH19="."),d_dir!K19/((1/1000)*(d_Irr!AI19)),IF(AND(d_Irr!J19&lt;&gt;".",d_Irr!AI19=".",d_Irr!BH19="."),d_dir!K19/((1/1000)*(d_Irr!J19)),IF(AND(d_Irr!J19=".",d_Irr!AI19=".",d_Irr!BH19="."),d_dir!K19*1000)))))))),".")</f>
        <v>.</v>
      </c>
      <c r="L19" s="70" t="str">
        <f>IFERROR(IF(AND(d_Irr!K19&lt;&gt;".",d_Irr!AJ19&lt;&gt;".",d_Irr!BI19&lt;&gt;"."),d_dir!L19/((1/1000)*(d_Irr!K19+d_Irr!AJ19+d_Irr!BI19)),IF(AND(d_Irr!K19&lt;&gt;".",d_Irr!AJ19&lt;&gt;".",d_Irr!BI19="."),d_dir!L19/((1/1000)*(d_Irr!K19+d_Irr!AJ19)),IF(AND(d_Irr!K19&lt;&gt;".",d_Irr!AJ19=".",d_Irr!BI19&lt;&gt;"."),d_dir!L19/((1/1000)*(d_Irr!K19+d_Irr!BI19)),IF(AND(d_Irr!K19=".",d_Irr!AJ19&lt;&gt;".",d_Irr!BI19&lt;&gt;"."),d_dir!L19/((1/1000)*(d_Irr!AJ19+d_Irr!BI19)),IF(AND(d_Irr!K19=".",d_Irr!AJ19=".",d_Irr!BI19&lt;&gt;"."),d_dir!L19/((1/1000)*(d_Irr!BI19)),IF(AND(d_Irr!K19=".",d_Irr!AJ19&lt;&gt;".",d_Irr!BI19="."),d_dir!L19/((1/1000)*(d_Irr!AJ19)),IF(AND(d_Irr!K19&lt;&gt;".",d_Irr!AJ19=".",d_Irr!BI19="."),d_dir!L19/((1/1000)*(d_Irr!K19)),IF(AND(d_Irr!K19=".",d_Irr!AJ19=".",d_Irr!BI19="."),d_dir!L19*1000)))))))),".")</f>
        <v>.</v>
      </c>
      <c r="M19" s="70" t="str">
        <f>IFERROR(IF(AND(d_Irr!L19&lt;&gt;".",d_Irr!AK19&lt;&gt;".",d_Irr!BJ19&lt;&gt;"."),d_dir!M19/((1/1000)*(d_Irr!L19+d_Irr!AK19+d_Irr!BJ19)),IF(AND(d_Irr!L19&lt;&gt;".",d_Irr!AK19&lt;&gt;".",d_Irr!BJ19="."),d_dir!M19/((1/1000)*(d_Irr!L19+d_Irr!AK19)),IF(AND(d_Irr!L19&lt;&gt;".",d_Irr!AK19=".",d_Irr!BJ19&lt;&gt;"."),d_dir!M19/((1/1000)*(d_Irr!L19+d_Irr!BJ19)),IF(AND(d_Irr!L19=".",d_Irr!AK19&lt;&gt;".",d_Irr!BJ19&lt;&gt;"."),d_dir!M19/((1/1000)*(d_Irr!AK19+d_Irr!BJ19)),IF(AND(d_Irr!L19=".",d_Irr!AK19=".",d_Irr!BJ19&lt;&gt;"."),d_dir!M19/((1/1000)*(d_Irr!BJ19)),IF(AND(d_Irr!L19=".",d_Irr!AK19&lt;&gt;".",d_Irr!BJ19="."),d_dir!M19/((1/1000)*(d_Irr!AK19)),IF(AND(d_Irr!L19&lt;&gt;".",d_Irr!AK19=".",d_Irr!BJ19="."),d_dir!M19/((1/1000)*(d_Irr!L19)),IF(AND(d_Irr!L19=".",d_Irr!AK19=".",d_Irr!BJ19="."),d_dir!M19*1000)))))))),".")</f>
        <v>.</v>
      </c>
      <c r="N19" s="70" t="str">
        <f>IFERROR(IF(AND(d_Irr!M19&lt;&gt;".",d_Irr!AL19&lt;&gt;".",d_Irr!BK19&lt;&gt;"."),d_dir!N19/((1/1000)*(d_Irr!M19+d_Irr!AL19+d_Irr!BK19)),IF(AND(d_Irr!M19&lt;&gt;".",d_Irr!AL19&lt;&gt;".",d_Irr!BK19="."),d_dir!N19/((1/1000)*(d_Irr!M19+d_Irr!AL19)),IF(AND(d_Irr!M19&lt;&gt;".",d_Irr!AL19=".",d_Irr!BK19&lt;&gt;"."),d_dir!N19/((1/1000)*(d_Irr!M19+d_Irr!BK19)),IF(AND(d_Irr!M19=".",d_Irr!AL19&lt;&gt;".",d_Irr!BK19&lt;&gt;"."),d_dir!N19/((1/1000)*(d_Irr!AL19+d_Irr!BK19)),IF(AND(d_Irr!M19=".",d_Irr!AL19=".",d_Irr!BK19&lt;&gt;"."),d_dir!N19/((1/1000)*(d_Irr!BK19)),IF(AND(d_Irr!M19=".",d_Irr!AL19&lt;&gt;".",d_Irr!BK19="."),d_dir!N19/((1/1000)*(d_Irr!AL19)),IF(AND(d_Irr!M19&lt;&gt;".",d_Irr!AL19=".",d_Irr!BK19="."),d_dir!N19/((1/1000)*(d_Irr!M19)),IF(AND(d_Irr!M19=".",d_Irr!AL19=".",d_Irr!BK19="."),d_dir!N19*1000)))))))),".")</f>
        <v>.</v>
      </c>
      <c r="O19" s="70" t="str">
        <f>IFERROR(IF(AND(d_Irr!N19&lt;&gt;".",d_Irr!AM19&lt;&gt;".",d_Irr!BL19&lt;&gt;"."),d_dir!O19/((1/1000)*(d_Irr!N19+d_Irr!AM19+d_Irr!BL19)),IF(AND(d_Irr!N19&lt;&gt;".",d_Irr!AM19&lt;&gt;".",d_Irr!BL19="."),d_dir!O19/((1/1000)*(d_Irr!N19+d_Irr!AM19)),IF(AND(d_Irr!N19&lt;&gt;".",d_Irr!AM19=".",d_Irr!BL19&lt;&gt;"."),d_dir!O19/((1/1000)*(d_Irr!N19+d_Irr!BL19)),IF(AND(d_Irr!N19=".",d_Irr!AM19&lt;&gt;".",d_Irr!BL19&lt;&gt;"."),d_dir!O19/((1/1000)*(d_Irr!AM19+d_Irr!BL19)),IF(AND(d_Irr!N19=".",d_Irr!AM19=".",d_Irr!BL19&lt;&gt;"."),d_dir!O19/((1/1000)*(d_Irr!BL19)),IF(AND(d_Irr!N19=".",d_Irr!AM19&lt;&gt;".",d_Irr!BL19="."),d_dir!O19/((1/1000)*(d_Irr!AM19)),IF(AND(d_Irr!N19&lt;&gt;".",d_Irr!AM19=".",d_Irr!BL19="."),d_dir!O19/((1/1000)*(d_Irr!N19)),IF(AND(d_Irr!N19=".",d_Irr!AM19=".",d_Irr!BL19="."),d_dir!O19*1000)))))))),".")</f>
        <v>.</v>
      </c>
      <c r="P19" s="70" t="str">
        <f>IFERROR(IF(AND(d_Irr!O19&lt;&gt;".",d_Irr!AN19&lt;&gt;".",d_Irr!BM19&lt;&gt;"."),d_dir!P19/((1/1000)*(d_Irr!O19+d_Irr!AN19+d_Irr!BM19)),IF(AND(d_Irr!O19&lt;&gt;".",d_Irr!AN19&lt;&gt;".",d_Irr!BM19="."),d_dir!P19/((1/1000)*(d_Irr!O19+d_Irr!AN19)),IF(AND(d_Irr!O19&lt;&gt;".",d_Irr!AN19=".",d_Irr!BM19&lt;&gt;"."),d_dir!P19/((1/1000)*(d_Irr!O19+d_Irr!BM19)),IF(AND(d_Irr!O19=".",d_Irr!AN19&lt;&gt;".",d_Irr!BM19&lt;&gt;"."),d_dir!P19/((1/1000)*(d_Irr!AN19+d_Irr!BM19)),IF(AND(d_Irr!O19=".",d_Irr!AN19=".",d_Irr!BM19&lt;&gt;"."),d_dir!P19/((1/1000)*(d_Irr!BM19)),IF(AND(d_Irr!O19=".",d_Irr!AN19&lt;&gt;".",d_Irr!BM19="."),d_dir!P19/((1/1000)*(d_Irr!AN19)),IF(AND(d_Irr!O19&lt;&gt;".",d_Irr!AN19=".",d_Irr!BM19="."),d_dir!P19/((1/1000)*(d_Irr!O19)),IF(AND(d_Irr!O19=".",d_Irr!AN19=".",d_Irr!BM19="."),d_dir!P19*1000)))))))),".")</f>
        <v>.</v>
      </c>
      <c r="Q19" s="70" t="str">
        <f>IFERROR(IF(AND(d_Irr!P19&lt;&gt;".",d_Irr!AO19&lt;&gt;".",d_Irr!BN19&lt;&gt;"."),d_dir!Q19/((1/1000)*(d_Irr!P19+d_Irr!AO19+d_Irr!BN19)),IF(AND(d_Irr!P19&lt;&gt;".",d_Irr!AO19&lt;&gt;".",d_Irr!BN19="."),d_dir!Q19/((1/1000)*(d_Irr!P19+d_Irr!AO19)),IF(AND(d_Irr!P19&lt;&gt;".",d_Irr!AO19=".",d_Irr!BN19&lt;&gt;"."),d_dir!Q19/((1/1000)*(d_Irr!P19+d_Irr!BN19)),IF(AND(d_Irr!P19=".",d_Irr!AO19&lt;&gt;".",d_Irr!BN19&lt;&gt;"."),d_dir!Q19/((1/1000)*(d_Irr!AO19+d_Irr!BN19)),IF(AND(d_Irr!P19=".",d_Irr!AO19=".",d_Irr!BN19&lt;&gt;"."),d_dir!Q19/((1/1000)*(d_Irr!BN19)),IF(AND(d_Irr!P19=".",d_Irr!AO19&lt;&gt;".",d_Irr!BN19="."),d_dir!Q19/((1/1000)*(d_Irr!AO19)),IF(AND(d_Irr!P19&lt;&gt;".",d_Irr!AO19=".",d_Irr!BN19="."),d_dir!Q19/((1/1000)*(d_Irr!P19)),IF(AND(d_Irr!P19=".",d_Irr!AO19=".",d_Irr!BN19="."),d_dir!Q19*1000)))))))),".")</f>
        <v>.</v>
      </c>
      <c r="R19" s="70" t="str">
        <f>IFERROR(IF(AND(d_Irr!Q19&lt;&gt;".",d_Irr!AP19&lt;&gt;".",d_Irr!BO19&lt;&gt;"."),d_dir!R19/((1/1000)*(d_Irr!Q19+d_Irr!AP19+d_Irr!BO19)),IF(AND(d_Irr!Q19&lt;&gt;".",d_Irr!AP19&lt;&gt;".",d_Irr!BO19="."),d_dir!R19/((1/1000)*(d_Irr!Q19+d_Irr!AP19)),IF(AND(d_Irr!Q19&lt;&gt;".",d_Irr!AP19=".",d_Irr!BO19&lt;&gt;"."),d_dir!R19/((1/1000)*(d_Irr!Q19+d_Irr!BO19)),IF(AND(d_Irr!Q19=".",d_Irr!AP19&lt;&gt;".",d_Irr!BO19&lt;&gt;"."),d_dir!R19/((1/1000)*(d_Irr!AP19+d_Irr!BO19)),IF(AND(d_Irr!Q19=".",d_Irr!AP19=".",d_Irr!BO19&lt;&gt;"."),d_dir!R19/((1/1000)*(d_Irr!BO19)),IF(AND(d_Irr!Q19=".",d_Irr!AP19&lt;&gt;".",d_Irr!BO19="."),d_dir!R19/((1/1000)*(d_Irr!AP19)),IF(AND(d_Irr!Q19&lt;&gt;".",d_Irr!AP19=".",d_Irr!BO19="."),d_dir!R19/((1/1000)*(d_Irr!Q19)),IF(AND(d_Irr!Q19=".",d_Irr!AP19=".",d_Irr!BO19="."),d_dir!R19*1000)))))))),".")</f>
        <v>.</v>
      </c>
      <c r="S19" s="70" t="str">
        <f>IFERROR(IF(AND(d_Irr!R19&lt;&gt;".",d_Irr!AQ19&lt;&gt;".",d_Irr!BP19&lt;&gt;"."),d_dir!S19/((1/1000)*(d_Irr!R19+d_Irr!AQ19+d_Irr!BP19)),IF(AND(d_Irr!R19&lt;&gt;".",d_Irr!AQ19&lt;&gt;".",d_Irr!BP19="."),d_dir!S19/((1/1000)*(d_Irr!R19+d_Irr!AQ19)),IF(AND(d_Irr!R19&lt;&gt;".",d_Irr!AQ19=".",d_Irr!BP19&lt;&gt;"."),d_dir!S19/((1/1000)*(d_Irr!R19+d_Irr!BP19)),IF(AND(d_Irr!R19=".",d_Irr!AQ19&lt;&gt;".",d_Irr!BP19&lt;&gt;"."),d_dir!S19/((1/1000)*(d_Irr!AQ19+d_Irr!BP19)),IF(AND(d_Irr!R19=".",d_Irr!AQ19=".",d_Irr!BP19&lt;&gt;"."),d_dir!S19/((1/1000)*(d_Irr!BP19)),IF(AND(d_Irr!R19=".",d_Irr!AQ19&lt;&gt;".",d_Irr!BP19="."),d_dir!S19/((1/1000)*(d_Irr!AQ19)),IF(AND(d_Irr!R19&lt;&gt;".",d_Irr!AQ19=".",d_Irr!BP19="."),d_dir!S19/((1/1000)*(d_Irr!R19)),IF(AND(d_Irr!R19=".",d_Irr!AQ19=".",d_Irr!BP19="."),d_dir!S19*1000)))))))),".")</f>
        <v>.</v>
      </c>
      <c r="T19" s="70" t="str">
        <f>IFERROR(IF(AND(d_Irr!S19&lt;&gt;".",d_Irr!AR19&lt;&gt;".",d_Irr!BQ19&lt;&gt;"."),d_dir!T19/((1/1000)*(d_Irr!S19+d_Irr!AR19+d_Irr!BQ19)),IF(AND(d_Irr!S19&lt;&gt;".",d_Irr!AR19&lt;&gt;".",d_Irr!BQ19="."),d_dir!T19/((1/1000)*(d_Irr!S19+d_Irr!AR19)),IF(AND(d_Irr!S19&lt;&gt;".",d_Irr!AR19=".",d_Irr!BQ19&lt;&gt;"."),d_dir!T19/((1/1000)*(d_Irr!S19+d_Irr!BQ19)),IF(AND(d_Irr!S19=".",d_Irr!AR19&lt;&gt;".",d_Irr!BQ19&lt;&gt;"."),d_dir!T19/((1/1000)*(d_Irr!AR19+d_Irr!BQ19)),IF(AND(d_Irr!S19=".",d_Irr!AR19=".",d_Irr!BQ19&lt;&gt;"."),d_dir!T19/((1/1000)*(d_Irr!BQ19)),IF(AND(d_Irr!S19=".",d_Irr!AR19&lt;&gt;".",d_Irr!BQ19="."),d_dir!T19/((1/1000)*(d_Irr!AR19)),IF(AND(d_Irr!S19&lt;&gt;".",d_Irr!AR19=".",d_Irr!BQ19="."),d_dir!T19/((1/1000)*(d_Irr!S19)),IF(AND(d_Irr!S19=".",d_Irr!AR19=".",d_Irr!BQ19="."),d_dir!T19*1000)))))))),".")</f>
        <v>.</v>
      </c>
      <c r="U19" s="70" t="str">
        <f>IFERROR(IF(AND(d_Irr!T19&lt;&gt;".",d_Irr!AS19&lt;&gt;".",d_Irr!BR19&lt;&gt;"."),d_dir!U19/((1/1000)*(d_Irr!T19+d_Irr!AS19+d_Irr!BR19)),IF(AND(d_Irr!T19&lt;&gt;".",d_Irr!AS19&lt;&gt;".",d_Irr!BR19="."),d_dir!U19/((1/1000)*(d_Irr!T19+d_Irr!AS19)),IF(AND(d_Irr!T19&lt;&gt;".",d_Irr!AS19=".",d_Irr!BR19&lt;&gt;"."),d_dir!U19/((1/1000)*(d_Irr!T19+d_Irr!BR19)),IF(AND(d_Irr!T19=".",d_Irr!AS19&lt;&gt;".",d_Irr!BR19&lt;&gt;"."),d_dir!U19/((1/1000)*(d_Irr!AS19+d_Irr!BR19)),IF(AND(d_Irr!T19=".",d_Irr!AS19=".",d_Irr!BR19&lt;&gt;"."),d_dir!U19/((1/1000)*(d_Irr!BR19)),IF(AND(d_Irr!T19=".",d_Irr!AS19&lt;&gt;".",d_Irr!BR19="."),d_dir!U19/((1/1000)*(d_Irr!AS19)),IF(AND(d_Irr!T19&lt;&gt;".",d_Irr!AS19=".",d_Irr!BR19="."),d_dir!U19/((1/1000)*(d_Irr!T19)),IF(AND(d_Irr!T19=".",d_Irr!AS19=".",d_Irr!BR19="."),d_dir!U19*1000)))))))),".")</f>
        <v>.</v>
      </c>
      <c r="V19" s="70" t="str">
        <f>IFERROR(IF(AND(d_Irr!U19&lt;&gt;".",d_Irr!AT19&lt;&gt;".",d_Irr!BS19&lt;&gt;"."),d_dir!V19/((1/1000)*(d_Irr!U19+d_Irr!AT19+d_Irr!BS19)),IF(AND(d_Irr!U19&lt;&gt;".",d_Irr!AT19&lt;&gt;".",d_Irr!BS19="."),d_dir!V19/((1/1000)*(d_Irr!U19+d_Irr!AT19)),IF(AND(d_Irr!U19&lt;&gt;".",d_Irr!AT19=".",d_Irr!BS19&lt;&gt;"."),d_dir!V19/((1/1000)*(d_Irr!U19+d_Irr!BS19)),IF(AND(d_Irr!U19=".",d_Irr!AT19&lt;&gt;".",d_Irr!BS19&lt;&gt;"."),d_dir!V19/((1/1000)*(d_Irr!AT19+d_Irr!BS19)),IF(AND(d_Irr!U19=".",d_Irr!AT19=".",d_Irr!BS19&lt;&gt;"."),d_dir!V19/((1/1000)*(d_Irr!BS19)),IF(AND(d_Irr!U19=".",d_Irr!AT19&lt;&gt;".",d_Irr!BS19="."),d_dir!V19/((1/1000)*(d_Irr!AT19)),IF(AND(d_Irr!U19&lt;&gt;".",d_Irr!AT19=".",d_Irr!BS19="."),d_dir!V19/((1/1000)*(d_Irr!U19)),IF(AND(d_Irr!U19=".",d_Irr!AT19=".",d_Irr!BS19="."),d_dir!V19*1000)))))))),".")</f>
        <v>.</v>
      </c>
      <c r="W19" s="70" t="str">
        <f>IFERROR(IF(AND(d_Irr!V19&lt;&gt;".",d_Irr!AU19&lt;&gt;".",d_Irr!BT19&lt;&gt;"."),d_dir!W19/((1/1000)*(d_Irr!V19+d_Irr!AU19+d_Irr!BT19)),IF(AND(d_Irr!V19&lt;&gt;".",d_Irr!AU19&lt;&gt;".",d_Irr!BT19="."),d_dir!W19/((1/1000)*(d_Irr!V19+d_Irr!AU19)),IF(AND(d_Irr!V19&lt;&gt;".",d_Irr!AU19=".",d_Irr!BT19&lt;&gt;"."),d_dir!W19/((1/1000)*(d_Irr!V19+d_Irr!BT19)),IF(AND(d_Irr!V19=".",d_Irr!AU19&lt;&gt;".",d_Irr!BT19&lt;&gt;"."),d_dir!W19/((1/1000)*(d_Irr!AU19+d_Irr!BT19)),IF(AND(d_Irr!V19=".",d_Irr!AU19=".",d_Irr!BT19&lt;&gt;"."),d_dir!W19/((1/1000)*(d_Irr!BT19)),IF(AND(d_Irr!V19=".",d_Irr!AU19&lt;&gt;".",d_Irr!BT19="."),d_dir!W19/((1/1000)*(d_Irr!AU19)),IF(AND(d_Irr!V19&lt;&gt;".",d_Irr!AU19=".",d_Irr!BT19="."),d_dir!W19/((1/1000)*(d_Irr!V19)),IF(AND(d_Irr!V19=".",d_Irr!AU19=".",d_Irr!BT19="."),d_dir!W19*1000)))))))),".")</f>
        <v>.</v>
      </c>
      <c r="X19" s="70" t="str">
        <f>IFERROR(IF(AND(d_Irr!W19&lt;&gt;".",d_Irr!AV19&lt;&gt;".",d_Irr!BU19&lt;&gt;"."),d_dir!X19/((1/1000)*(d_Irr!W19+d_Irr!AV19+d_Irr!BU19)),IF(AND(d_Irr!W19&lt;&gt;".",d_Irr!AV19&lt;&gt;".",d_Irr!BU19="."),d_dir!X19/((1/1000)*(d_Irr!W19+d_Irr!AV19)),IF(AND(d_Irr!W19&lt;&gt;".",d_Irr!AV19=".",d_Irr!BU19&lt;&gt;"."),d_dir!X19/((1/1000)*(d_Irr!W19+d_Irr!BU19)),IF(AND(d_Irr!W19=".",d_Irr!AV19&lt;&gt;".",d_Irr!BU19&lt;&gt;"."),d_dir!X19/((1/1000)*(d_Irr!AV19+d_Irr!BU19)),IF(AND(d_Irr!W19=".",d_Irr!AV19=".",d_Irr!BU19&lt;&gt;"."),d_dir!X19/((1/1000)*(d_Irr!BU19)),IF(AND(d_Irr!W19=".",d_Irr!AV19&lt;&gt;".",d_Irr!BU19="."),d_dir!X19/((1/1000)*(d_Irr!AV19)),IF(AND(d_Irr!W19&lt;&gt;".",d_Irr!AV19=".",d_Irr!BU19="."),d_dir!X19/((1/1000)*(d_Irr!W19)),IF(AND(d_Irr!W19=".",d_Irr!AV19=".",d_Irr!BU19="."),d_dir!X19*1000)))))))),".")</f>
        <v>.</v>
      </c>
      <c r="Y19" s="70" t="str">
        <f>IFERROR(IF(AND(d_Irr!X19&lt;&gt;".",d_Irr!AW19&lt;&gt;".",d_Irr!BV19&lt;&gt;"."),d_dir!Y19/((1/1000)*(d_Irr!X19+d_Irr!AW19+d_Irr!BV19)),IF(AND(d_Irr!X19&lt;&gt;".",d_Irr!AW19&lt;&gt;".",d_Irr!BV19="."),d_dir!Y19/((1/1000)*(d_Irr!X19+d_Irr!AW19)),IF(AND(d_Irr!X19&lt;&gt;".",d_Irr!AW19=".",d_Irr!BV19&lt;&gt;"."),d_dir!Y19/((1/1000)*(d_Irr!X19+d_Irr!BV19)),IF(AND(d_Irr!X19=".",d_Irr!AW19&lt;&gt;".",d_Irr!BV19&lt;&gt;"."),d_dir!Y19/((1/1000)*(d_Irr!AW19+d_Irr!BV19)),IF(AND(d_Irr!X19=".",d_Irr!AW19=".",d_Irr!BV19&lt;&gt;"."),d_dir!Y19/((1/1000)*(d_Irr!BV19)),IF(AND(d_Irr!X19=".",d_Irr!AW19&lt;&gt;".",d_Irr!BV19="."),d_dir!Y19/((1/1000)*(d_Irr!AW19)),IF(AND(d_Irr!X19&lt;&gt;".",d_Irr!AW19=".",d_Irr!BV19="."),d_dir!Y19/((1/1000)*(d_Irr!X19)),IF(AND(d_Irr!X19=".",d_Irr!AW19=".",d_Irr!BV19="."),d_dir!Y19*1000)))))))),".")</f>
        <v>.</v>
      </c>
      <c r="Z19" s="70" t="str">
        <f>IFERROR(IF(AND(d_Irr!Y19&lt;&gt;".",d_Irr!AX19&lt;&gt;".",d_Irr!BW19&lt;&gt;"."),d_dir!Z19/((1/1000)*(d_Irr!Y19+d_Irr!AX19+d_Irr!BW19)),IF(AND(d_Irr!Y19&lt;&gt;".",d_Irr!AX19&lt;&gt;".",d_Irr!BW19="."),d_dir!Z19/((1/1000)*(d_Irr!Y19+d_Irr!AX19)),IF(AND(d_Irr!Y19&lt;&gt;".",d_Irr!AX19=".",d_Irr!BW19&lt;&gt;"."),d_dir!Z19/((1/1000)*(d_Irr!Y19+d_Irr!BW19)),IF(AND(d_Irr!Y19=".",d_Irr!AX19&lt;&gt;".",d_Irr!BW19&lt;&gt;"."),d_dir!Z19/((1/1000)*(d_Irr!AX19+d_Irr!BW19)),IF(AND(d_Irr!Y19=".",d_Irr!AX19=".",d_Irr!BW19&lt;&gt;"."),d_dir!Z19/((1/1000)*(d_Irr!BW19)),IF(AND(d_Irr!Y19=".",d_Irr!AX19&lt;&gt;".",d_Irr!BW19="."),d_dir!Z19/((1/1000)*(d_Irr!AX19)),IF(AND(d_Irr!Y19&lt;&gt;".",d_Irr!AX19=".",d_Irr!BW19="."),d_dir!Z19/((1/1000)*(d_Irr!Y19)),IF(AND(d_Irr!Y19=".",d_Irr!AX19=".",d_Irr!BW19="."),d_dir!Z19*1000)))))))),".")</f>
        <v>.</v>
      </c>
      <c r="AA19" s="70" t="str">
        <f>IFERROR(IF(AND(d_Irr!Z19&lt;&gt;".",d_Irr!AY19&lt;&gt;".",d_Irr!BX19&lt;&gt;"."),d_dir!AA19/((1/1000)*(d_Irr!Z19+d_Irr!AY19+d_Irr!BX19)),IF(AND(d_Irr!Z19&lt;&gt;".",d_Irr!AY19&lt;&gt;".",d_Irr!BX19="."),d_dir!AA19/((1/1000)*(d_Irr!Z19+d_Irr!AY19)),IF(AND(d_Irr!Z19&lt;&gt;".",d_Irr!AY19=".",d_Irr!BX19&lt;&gt;"."),d_dir!AA19/((1/1000)*(d_Irr!Z19+d_Irr!BX19)),IF(AND(d_Irr!Z19=".",d_Irr!AY19&lt;&gt;".",d_Irr!BX19&lt;&gt;"."),d_dir!AA19/((1/1000)*(d_Irr!AY19+d_Irr!BX19)),IF(AND(d_Irr!Z19=".",d_Irr!AY19=".",d_Irr!BX19&lt;&gt;"."),d_dir!AA19/((1/1000)*(d_Irr!BX19)),IF(AND(d_Irr!Z19=".",d_Irr!AY19&lt;&gt;".",d_Irr!BX19="."),d_dir!AA19/((1/1000)*(d_Irr!AY19)),IF(AND(d_Irr!Z19&lt;&gt;".",d_Irr!AY19=".",d_Irr!BX19="."),d_dir!AA19/((1/1000)*(d_Irr!Z19)),IF(AND(d_Irr!Z19=".",d_Irr!AY19=".",d_Irr!BX19="."),d_dir!AA19*1000)))))))),".")</f>
        <v>.</v>
      </c>
      <c r="AB19" s="70" t="str">
        <f>IFERROR(IF(AND(d_Irr!AA19&lt;&gt;".",d_Irr!AZ19&lt;&gt;".",d_Irr!BY19&lt;&gt;"."),d_dir!AB19/((1/1000)*(d_Irr!AA19+d_Irr!AZ19+d_Irr!BY19)),IF(AND(d_Irr!AA19&lt;&gt;".",d_Irr!AZ19&lt;&gt;".",d_Irr!BY19="."),d_dir!AB19/((1/1000)*(d_Irr!AA19+d_Irr!AZ19)),IF(AND(d_Irr!AA19&lt;&gt;".",d_Irr!AZ19=".",d_Irr!BY19&lt;&gt;"."),d_dir!AB19/((1/1000)*(d_Irr!AA19+d_Irr!BY19)),IF(AND(d_Irr!AA19=".",d_Irr!AZ19&lt;&gt;".",d_Irr!BY19&lt;&gt;"."),d_dir!AB19/((1/1000)*(d_Irr!AZ19+d_Irr!BY19)),IF(AND(d_Irr!AA19=".",d_Irr!AZ19=".",d_Irr!BY19&lt;&gt;"."),d_dir!AB19/((1/1000)*(d_Irr!BY19)),IF(AND(d_Irr!AA19=".",d_Irr!AZ19&lt;&gt;".",d_Irr!BY19="."),d_dir!AB19/((1/1000)*(d_Irr!AZ19)),IF(AND(d_Irr!AA19&lt;&gt;".",d_Irr!AZ19=".",d_Irr!BY19="."),d_dir!AB19/((1/1000)*(d_Irr!AA19)),IF(AND(d_Irr!AA19=".",d_Irr!AZ19=".",d_Irr!BY19="."),d_dir!AB19*1000)))))))),".")</f>
        <v>.</v>
      </c>
      <c r="AC19" s="70" t="str">
        <f t="shared" si="0"/>
        <v>.</v>
      </c>
      <c r="AD19" s="70" t="str">
        <f>IFERROR(IF(AND(d_Irr!C19&lt;&gt;".",d_Irr!AB19&lt;&gt;".",d_Irr!BA19&lt;&gt;"."),d_dir!AD19/((1/1000)*(d_Irr!C19+d_Irr!AB19+d_Irr!BA19)),IF(AND(d_Irr!C19&lt;&gt;".",d_Irr!AB19&lt;&gt;".",d_Irr!BA19="."),d_dir!AD19/((1/1000)*(d_Irr!C19+d_Irr!AB19)),IF(AND(d_Irr!C19&lt;&gt;".",d_Irr!AB19=".",d_Irr!BA19&lt;&gt;"."),d_dir!AD19/((1/1000)*(d_Irr!C19+d_Irr!BA19)),IF(AND(d_Irr!C19=".",d_Irr!AB19&lt;&gt;".",d_Irr!BA19&lt;&gt;"."),d_dir!AD19/((1/1000)*(d_Irr!AB19+d_Irr!BA19)),IF(AND(d_Irr!C19=".",d_Irr!AB19=".",d_Irr!BA19&lt;&gt;"."),d_dir!AD19/((1/1000)*(d_Irr!BA19)),IF(AND(d_Irr!C19=".",d_Irr!AB19&lt;&gt;".",d_Irr!BA19="."),d_dir!AD19/((1/1000)*(d_Irr!AB19)),IF(AND(d_Irr!C19&lt;&gt;".",d_Irr!AB19=".",d_Irr!BA19="."),d_dir!AD19/((1/1000)*(d_Irr!C19)),IF(AND(d_Irr!C19=".",d_Irr!AB19=".",d_Irr!BA19="."),d_dir!AD19*1000)))))))),".")</f>
        <v>.</v>
      </c>
      <c r="AE19" s="70" t="str">
        <f>IFERROR(IF(AND(d_Irr!D19&lt;&gt;".",d_Irr!AC19&lt;&gt;".",d_Irr!BB19&lt;&gt;"."),d_dir!AE19/((1/1000)*(d_Irr!D19+d_Irr!AC19+d_Irr!BB19)),IF(AND(d_Irr!D19&lt;&gt;".",d_Irr!AC19&lt;&gt;".",d_Irr!BB19="."),d_dir!AE19/((1/1000)*(d_Irr!D19+d_Irr!AC19)),IF(AND(d_Irr!D19&lt;&gt;".",d_Irr!AC19=".",d_Irr!BB19&lt;&gt;"."),d_dir!AE19/((1/1000)*(d_Irr!D19+d_Irr!BB19)),IF(AND(d_Irr!D19=".",d_Irr!AC19&lt;&gt;".",d_Irr!BB19&lt;&gt;"."),d_dir!AE19/((1/1000)*(d_Irr!AC19+d_Irr!BB19)),IF(AND(d_Irr!D19=".",d_Irr!AC19=".",d_Irr!BB19&lt;&gt;"."),d_dir!AE19/((1/1000)*(d_Irr!BB19)),IF(AND(d_Irr!D19=".",d_Irr!AC19&lt;&gt;".",d_Irr!BB19="."),d_dir!AE19/((1/1000)*(d_Irr!AC19)),IF(AND(d_Irr!D19&lt;&gt;".",d_Irr!AC19=".",d_Irr!BB19="."),d_dir!AE19/((1/1000)*(d_Irr!D19)),IF(AND(d_Irr!D19=".",d_Irr!AC19=".",d_Irr!BB19="."),d_dir!AE19*1000)))))))),".")</f>
        <v>.</v>
      </c>
      <c r="AF19" s="70" t="str">
        <f>IFERROR(IF(AND(d_Irr!E19&lt;&gt;".",d_Irr!AD19&lt;&gt;".",d_Irr!BC19&lt;&gt;"."),d_dir!AF19/((1/1000)*(d_Irr!E19+d_Irr!AD19+d_Irr!BC19)),IF(AND(d_Irr!E19&lt;&gt;".",d_Irr!AD19&lt;&gt;".",d_Irr!BC19="."),d_dir!AF19/((1/1000)*(d_Irr!E19+d_Irr!AD19)),IF(AND(d_Irr!E19&lt;&gt;".",d_Irr!AD19=".",d_Irr!BC19&lt;&gt;"."),d_dir!AF19/((1/1000)*(d_Irr!E19+d_Irr!BC19)),IF(AND(d_Irr!E19=".",d_Irr!AD19&lt;&gt;".",d_Irr!BC19&lt;&gt;"."),d_dir!AF19/((1/1000)*(d_Irr!AD19+d_Irr!BC19)),IF(AND(d_Irr!E19=".",d_Irr!AD19=".",d_Irr!BC19&lt;&gt;"."),d_dir!AF19/((1/1000)*(d_Irr!BC19)),IF(AND(d_Irr!E19=".",d_Irr!AD19&lt;&gt;".",d_Irr!BC19="."),d_dir!AF19/((1/1000)*(d_Irr!AD19)),IF(AND(d_Irr!E19&lt;&gt;".",d_Irr!AD19=".",d_Irr!BC19="."),d_dir!AF19/((1/1000)*(d_Irr!E19)),IF(AND(d_Irr!E19=".",d_Irr!AD19=".",d_Irr!BC19="."),d_dir!AF19*1000)))))))),".")</f>
        <v>.</v>
      </c>
      <c r="AG19" s="70" t="str">
        <f>IFERROR(IF(AND(d_Irr!F19&lt;&gt;".",d_Irr!AE19&lt;&gt;".",d_Irr!BD19&lt;&gt;"."),d_dir!AG19/((1/1000)*(d_Irr!F19+d_Irr!AE19+d_Irr!BD19)),IF(AND(d_Irr!F19&lt;&gt;".",d_Irr!AE19&lt;&gt;".",d_Irr!BD19="."),d_dir!AG19/((1/1000)*(d_Irr!F19+d_Irr!AE19)),IF(AND(d_Irr!F19&lt;&gt;".",d_Irr!AE19=".",d_Irr!BD19&lt;&gt;"."),d_dir!AG19/((1/1000)*(d_Irr!F19+d_Irr!BD19)),IF(AND(d_Irr!F19=".",d_Irr!AE19&lt;&gt;".",d_Irr!BD19&lt;&gt;"."),d_dir!AG19/((1/1000)*(d_Irr!AE19+d_Irr!BD19)),IF(AND(d_Irr!F19=".",d_Irr!AE19=".",d_Irr!BD19&lt;&gt;"."),d_dir!AG19/((1/1000)*(d_Irr!BD19)),IF(AND(d_Irr!F19=".",d_Irr!AE19&lt;&gt;".",d_Irr!BD19="."),d_dir!AG19/((1/1000)*(d_Irr!AE19)),IF(AND(d_Irr!F19&lt;&gt;".",d_Irr!AE19=".",d_Irr!BD19="."),d_dir!AG19/((1/1000)*(d_Irr!F19)),IF(AND(d_Irr!F19=".",d_Irr!AE19=".",d_Irr!BD19="."),d_dir!AG19*1000)))))))),".")</f>
        <v>.</v>
      </c>
      <c r="AH19" s="70" t="str">
        <f>IFERROR(IF(AND(d_Irr!G19&lt;&gt;".",d_Irr!AF19&lt;&gt;".",d_Irr!BE19&lt;&gt;"."),d_dir!AH19/((1/1000)*(d_Irr!G19+d_Irr!AF19+d_Irr!BE19)),IF(AND(d_Irr!G19&lt;&gt;".",d_Irr!AF19&lt;&gt;".",d_Irr!BE19="."),d_dir!AH19/((1/1000)*(d_Irr!G19+d_Irr!AF19)),IF(AND(d_Irr!G19&lt;&gt;".",d_Irr!AF19=".",d_Irr!BE19&lt;&gt;"."),d_dir!AH19/((1/1000)*(d_Irr!G19+d_Irr!BE19)),IF(AND(d_Irr!G19=".",d_Irr!AF19&lt;&gt;".",d_Irr!BE19&lt;&gt;"."),d_dir!AH19/((1/1000)*(d_Irr!AF19+d_Irr!BE19)),IF(AND(d_Irr!G19=".",d_Irr!AF19=".",d_Irr!BE19&lt;&gt;"."),d_dir!AH19/((1/1000)*(d_Irr!BE19)),IF(AND(d_Irr!G19=".",d_Irr!AF19&lt;&gt;".",d_Irr!BE19="."),d_dir!AH19/((1/1000)*(d_Irr!AF19)),IF(AND(d_Irr!G19&lt;&gt;".",d_Irr!AF19=".",d_Irr!BE19="."),d_dir!AH19/((1/1000)*(d_Irr!G19)),IF(AND(d_Irr!G19=".",d_Irr!AF19=".",d_Irr!BE19="."),d_dir!AH19*1000)))))))),".")</f>
        <v>.</v>
      </c>
      <c r="AI19" s="70" t="str">
        <f>IFERROR(IF(AND(d_Irr!H19&lt;&gt;".",d_Irr!AG19&lt;&gt;".",d_Irr!BF19&lt;&gt;"."),d_dir!AI19/((1/1000)*(d_Irr!H19+d_Irr!AG19+d_Irr!BF19)),IF(AND(d_Irr!H19&lt;&gt;".",d_Irr!AG19&lt;&gt;".",d_Irr!BF19="."),d_dir!AI19/((1/1000)*(d_Irr!H19+d_Irr!AG19)),IF(AND(d_Irr!H19&lt;&gt;".",d_Irr!AG19=".",d_Irr!BF19&lt;&gt;"."),d_dir!AI19/((1/1000)*(d_Irr!H19+d_Irr!BF19)),IF(AND(d_Irr!H19=".",d_Irr!AG19&lt;&gt;".",d_Irr!BF19&lt;&gt;"."),d_dir!AI19/((1/1000)*(d_Irr!AG19+d_Irr!BF19)),IF(AND(d_Irr!H19=".",d_Irr!AG19=".",d_Irr!BF19&lt;&gt;"."),d_dir!AI19/((1/1000)*(d_Irr!BF19)),IF(AND(d_Irr!H19=".",d_Irr!AG19&lt;&gt;".",d_Irr!BF19="."),d_dir!AI19/((1/1000)*(d_Irr!AG19)),IF(AND(d_Irr!H19&lt;&gt;".",d_Irr!AG19=".",d_Irr!BF19="."),d_dir!AI19/((1/1000)*(d_Irr!H19)),IF(AND(d_Irr!H19=".",d_Irr!AG19=".",d_Irr!BF19="."),d_dir!AI19*1000)))))))),".")</f>
        <v>.</v>
      </c>
      <c r="AJ19" s="70" t="str">
        <f>IFERROR(IF(AND(d_Irr!I19&lt;&gt;".",d_Irr!AH19&lt;&gt;".",d_Irr!BG19&lt;&gt;"."),d_dir!AJ19/((1/1000)*(d_Irr!I19+d_Irr!AH19+d_Irr!BG19)),IF(AND(d_Irr!I19&lt;&gt;".",d_Irr!AH19&lt;&gt;".",d_Irr!BG19="."),d_dir!AJ19/((1/1000)*(d_Irr!I19+d_Irr!AH19)),IF(AND(d_Irr!I19&lt;&gt;".",d_Irr!AH19=".",d_Irr!BG19&lt;&gt;"."),d_dir!AJ19/((1/1000)*(d_Irr!I19+d_Irr!BG19)),IF(AND(d_Irr!I19=".",d_Irr!AH19&lt;&gt;".",d_Irr!BG19&lt;&gt;"."),d_dir!AJ19/((1/1000)*(d_Irr!AH19+d_Irr!BG19)),IF(AND(d_Irr!I19=".",d_Irr!AH19=".",d_Irr!BG19&lt;&gt;"."),d_dir!AJ19/((1/1000)*(d_Irr!BG19)),IF(AND(d_Irr!I19=".",d_Irr!AH19&lt;&gt;".",d_Irr!BG19="."),d_dir!AJ19/((1/1000)*(d_Irr!AH19)),IF(AND(d_Irr!I19&lt;&gt;".",d_Irr!AH19=".",d_Irr!BG19="."),d_dir!AJ19/((1/1000)*(d_Irr!I19)),IF(AND(d_Irr!I19=".",d_Irr!AH19=".",d_Irr!BG19="."),d_dir!AJ19*1000)))))))),".")</f>
        <v>.</v>
      </c>
      <c r="AK19" s="70" t="str">
        <f>IFERROR(IF(AND(d_Irr!J19&lt;&gt;".",d_Irr!AI19&lt;&gt;".",d_Irr!BH19&lt;&gt;"."),d_dir!AK19/((1/1000)*(d_Irr!J19+d_Irr!AI19+d_Irr!BH19)),IF(AND(d_Irr!J19&lt;&gt;".",d_Irr!AI19&lt;&gt;".",d_Irr!BH19="."),d_dir!AK19/((1/1000)*(d_Irr!J19+d_Irr!AI19)),IF(AND(d_Irr!J19&lt;&gt;".",d_Irr!AI19=".",d_Irr!BH19&lt;&gt;"."),d_dir!AK19/((1/1000)*(d_Irr!J19+d_Irr!BH19)),IF(AND(d_Irr!J19=".",d_Irr!AI19&lt;&gt;".",d_Irr!BH19&lt;&gt;"."),d_dir!AK19/((1/1000)*(d_Irr!AI19+d_Irr!BH19)),IF(AND(d_Irr!J19=".",d_Irr!AI19=".",d_Irr!BH19&lt;&gt;"."),d_dir!AK19/((1/1000)*(d_Irr!BH19)),IF(AND(d_Irr!J19=".",d_Irr!AI19&lt;&gt;".",d_Irr!BH19="."),d_dir!AK19/((1/1000)*(d_Irr!AI19)),IF(AND(d_Irr!J19&lt;&gt;".",d_Irr!AI19=".",d_Irr!BH19="."),d_dir!AK19/((1/1000)*(d_Irr!J19)),IF(AND(d_Irr!J19=".",d_Irr!AI19=".",d_Irr!BH19="."),d_dir!AK19*1000)))))))),".")</f>
        <v>.</v>
      </c>
      <c r="AL19" s="70" t="str">
        <f>IFERROR(IF(AND(d_Irr!K19&lt;&gt;".",d_Irr!AJ19&lt;&gt;".",d_Irr!BI19&lt;&gt;"."),d_dir!AL19/((1/1000)*(d_Irr!K19+d_Irr!AJ19+d_Irr!BI19)),IF(AND(d_Irr!K19&lt;&gt;".",d_Irr!AJ19&lt;&gt;".",d_Irr!BI19="."),d_dir!AL19/((1/1000)*(d_Irr!K19+d_Irr!AJ19)),IF(AND(d_Irr!K19&lt;&gt;".",d_Irr!AJ19=".",d_Irr!BI19&lt;&gt;"."),d_dir!AL19/((1/1000)*(d_Irr!K19+d_Irr!BI19)),IF(AND(d_Irr!K19=".",d_Irr!AJ19&lt;&gt;".",d_Irr!BI19&lt;&gt;"."),d_dir!AL19/((1/1000)*(d_Irr!AJ19+d_Irr!BI19)),IF(AND(d_Irr!K19=".",d_Irr!AJ19=".",d_Irr!BI19&lt;&gt;"."),d_dir!AL19/((1/1000)*(d_Irr!BI19)),IF(AND(d_Irr!K19=".",d_Irr!AJ19&lt;&gt;".",d_Irr!BI19="."),d_dir!AL19/((1/1000)*(d_Irr!AJ19)),IF(AND(d_Irr!K19&lt;&gt;".",d_Irr!AJ19=".",d_Irr!BI19="."),d_dir!AL19/((1/1000)*(d_Irr!K19)),IF(AND(d_Irr!K19=".",d_Irr!AJ19=".",d_Irr!BI19="."),d_dir!AL19*1000)))))))),".")</f>
        <v>.</v>
      </c>
      <c r="AM19" s="70" t="str">
        <f>IFERROR(IF(AND(d_Irr!L19&lt;&gt;".",d_Irr!AK19&lt;&gt;".",d_Irr!BJ19&lt;&gt;"."),d_dir!AM19/((1/1000)*(d_Irr!L19+d_Irr!AK19+d_Irr!BJ19)),IF(AND(d_Irr!L19&lt;&gt;".",d_Irr!AK19&lt;&gt;".",d_Irr!BJ19="."),d_dir!AM19/((1/1000)*(d_Irr!L19+d_Irr!AK19)),IF(AND(d_Irr!L19&lt;&gt;".",d_Irr!AK19=".",d_Irr!BJ19&lt;&gt;"."),d_dir!AM19/((1/1000)*(d_Irr!L19+d_Irr!BJ19)),IF(AND(d_Irr!L19=".",d_Irr!AK19&lt;&gt;".",d_Irr!BJ19&lt;&gt;"."),d_dir!AM19/((1/1000)*(d_Irr!AK19+d_Irr!BJ19)),IF(AND(d_Irr!L19=".",d_Irr!AK19=".",d_Irr!BJ19&lt;&gt;"."),d_dir!AM19/((1/1000)*(d_Irr!BJ19)),IF(AND(d_Irr!L19=".",d_Irr!AK19&lt;&gt;".",d_Irr!BJ19="."),d_dir!AM19/((1/1000)*(d_Irr!AK19)),IF(AND(d_Irr!L19&lt;&gt;".",d_Irr!AK19=".",d_Irr!BJ19="."),d_dir!AM19/((1/1000)*(d_Irr!L19)),IF(AND(d_Irr!L19=".",d_Irr!AK19=".",d_Irr!BJ19="."),d_dir!AM19*1000)))))))),".")</f>
        <v>.</v>
      </c>
      <c r="AN19" s="70" t="str">
        <f>IFERROR(IF(AND(d_Irr!M19&lt;&gt;".",d_Irr!AL19&lt;&gt;".",d_Irr!BK19&lt;&gt;"."),d_dir!AN19/((1/1000)*(d_Irr!M19+d_Irr!AL19+d_Irr!BK19)),IF(AND(d_Irr!M19&lt;&gt;".",d_Irr!AL19&lt;&gt;".",d_Irr!BK19="."),d_dir!AN19/((1/1000)*(d_Irr!M19+d_Irr!AL19)),IF(AND(d_Irr!M19&lt;&gt;".",d_Irr!AL19=".",d_Irr!BK19&lt;&gt;"."),d_dir!AN19/((1/1000)*(d_Irr!M19+d_Irr!BK19)),IF(AND(d_Irr!M19=".",d_Irr!AL19&lt;&gt;".",d_Irr!BK19&lt;&gt;"."),d_dir!AN19/((1/1000)*(d_Irr!AL19+d_Irr!BK19)),IF(AND(d_Irr!M19=".",d_Irr!AL19=".",d_Irr!BK19&lt;&gt;"."),d_dir!AN19/((1/1000)*(d_Irr!BK19)),IF(AND(d_Irr!M19=".",d_Irr!AL19&lt;&gt;".",d_Irr!BK19="."),d_dir!AN19/((1/1000)*(d_Irr!AL19)),IF(AND(d_Irr!M19&lt;&gt;".",d_Irr!AL19=".",d_Irr!BK19="."),d_dir!AN19/((1/1000)*(d_Irr!M19)),IF(AND(d_Irr!M19=".",d_Irr!AL19=".",d_Irr!BK19="."),d_dir!AN19*1000)))))))),".")</f>
        <v>.</v>
      </c>
      <c r="AO19" s="70" t="str">
        <f>IFERROR(IF(AND(d_Irr!N19&lt;&gt;".",d_Irr!AM19&lt;&gt;".",d_Irr!BL19&lt;&gt;"."),d_dir!AO19/((1/1000)*(d_Irr!N19+d_Irr!AM19+d_Irr!BL19)),IF(AND(d_Irr!N19&lt;&gt;".",d_Irr!AM19&lt;&gt;".",d_Irr!BL19="."),d_dir!AO19/((1/1000)*(d_Irr!N19+d_Irr!AM19)),IF(AND(d_Irr!N19&lt;&gt;".",d_Irr!AM19=".",d_Irr!BL19&lt;&gt;"."),d_dir!AO19/((1/1000)*(d_Irr!N19+d_Irr!BL19)),IF(AND(d_Irr!N19=".",d_Irr!AM19&lt;&gt;".",d_Irr!BL19&lt;&gt;"."),d_dir!AO19/((1/1000)*(d_Irr!AM19+d_Irr!BL19)),IF(AND(d_Irr!N19=".",d_Irr!AM19=".",d_Irr!BL19&lt;&gt;"."),d_dir!AO19/((1/1000)*(d_Irr!BL19)),IF(AND(d_Irr!N19=".",d_Irr!AM19&lt;&gt;".",d_Irr!BL19="."),d_dir!AO19/((1/1000)*(d_Irr!AM19)),IF(AND(d_Irr!N19&lt;&gt;".",d_Irr!AM19=".",d_Irr!BL19="."),d_dir!AO19/((1/1000)*(d_Irr!N19)),IF(AND(d_Irr!N19=".",d_Irr!AM19=".",d_Irr!BL19="."),d_dir!AO19*1000)))))))),".")</f>
        <v>.</v>
      </c>
      <c r="AP19" s="70" t="str">
        <f>IFERROR(IF(AND(d_Irr!O19&lt;&gt;".",d_Irr!AN19&lt;&gt;".",d_Irr!BM19&lt;&gt;"."),d_dir!AP19/((1/1000)*(d_Irr!O19+d_Irr!AN19+d_Irr!BM19)),IF(AND(d_Irr!O19&lt;&gt;".",d_Irr!AN19&lt;&gt;".",d_Irr!BM19="."),d_dir!AP19/((1/1000)*(d_Irr!O19+d_Irr!AN19)),IF(AND(d_Irr!O19&lt;&gt;".",d_Irr!AN19=".",d_Irr!BM19&lt;&gt;"."),d_dir!AP19/((1/1000)*(d_Irr!O19+d_Irr!BM19)),IF(AND(d_Irr!O19=".",d_Irr!AN19&lt;&gt;".",d_Irr!BM19&lt;&gt;"."),d_dir!AP19/((1/1000)*(d_Irr!AN19+d_Irr!BM19)),IF(AND(d_Irr!O19=".",d_Irr!AN19=".",d_Irr!BM19&lt;&gt;"."),d_dir!AP19/((1/1000)*(d_Irr!BM19)),IF(AND(d_Irr!O19=".",d_Irr!AN19&lt;&gt;".",d_Irr!BM19="."),d_dir!AP19/((1/1000)*(d_Irr!AN19)),IF(AND(d_Irr!O19&lt;&gt;".",d_Irr!AN19=".",d_Irr!BM19="."),d_dir!AP19/((1/1000)*(d_Irr!O19)),IF(AND(d_Irr!O19=".",d_Irr!AN19=".",d_Irr!BM19="."),d_dir!AP19*1000)))))))),".")</f>
        <v>.</v>
      </c>
      <c r="AQ19" s="70" t="str">
        <f>IFERROR(IF(AND(d_Irr!P19&lt;&gt;".",d_Irr!AO19&lt;&gt;".",d_Irr!BN19&lt;&gt;"."),d_dir!AQ19/((1/1000)*(d_Irr!P19+d_Irr!AO19+d_Irr!BN19)),IF(AND(d_Irr!P19&lt;&gt;".",d_Irr!AO19&lt;&gt;".",d_Irr!BN19="."),d_dir!AQ19/((1/1000)*(d_Irr!P19+d_Irr!AO19)),IF(AND(d_Irr!P19&lt;&gt;".",d_Irr!AO19=".",d_Irr!BN19&lt;&gt;"."),d_dir!AQ19/((1/1000)*(d_Irr!P19+d_Irr!BN19)),IF(AND(d_Irr!P19=".",d_Irr!AO19&lt;&gt;".",d_Irr!BN19&lt;&gt;"."),d_dir!AQ19/((1/1000)*(d_Irr!AO19+d_Irr!BN19)),IF(AND(d_Irr!P19=".",d_Irr!AO19=".",d_Irr!BN19&lt;&gt;"."),d_dir!AQ19/((1/1000)*(d_Irr!BN19)),IF(AND(d_Irr!P19=".",d_Irr!AO19&lt;&gt;".",d_Irr!BN19="."),d_dir!AQ19/((1/1000)*(d_Irr!AO19)),IF(AND(d_Irr!P19&lt;&gt;".",d_Irr!AO19=".",d_Irr!BN19="."),d_dir!AQ19/((1/1000)*(d_Irr!P19)),IF(AND(d_Irr!P19=".",d_Irr!AO19=".",d_Irr!BN19="."),d_dir!AQ19*1000)))))))),".")</f>
        <v>.</v>
      </c>
      <c r="AR19" s="70" t="str">
        <f>IFERROR(IF(AND(d_Irr!Q19&lt;&gt;".",d_Irr!AP19&lt;&gt;".",d_Irr!BO19&lt;&gt;"."),d_dir!AR19/((1/1000)*(d_Irr!Q19+d_Irr!AP19+d_Irr!BO19)),IF(AND(d_Irr!Q19&lt;&gt;".",d_Irr!AP19&lt;&gt;".",d_Irr!BO19="."),d_dir!AR19/((1/1000)*(d_Irr!Q19+d_Irr!AP19)),IF(AND(d_Irr!Q19&lt;&gt;".",d_Irr!AP19=".",d_Irr!BO19&lt;&gt;"."),d_dir!AR19/((1/1000)*(d_Irr!Q19+d_Irr!BO19)),IF(AND(d_Irr!Q19=".",d_Irr!AP19&lt;&gt;".",d_Irr!BO19&lt;&gt;"."),d_dir!AR19/((1/1000)*(d_Irr!AP19+d_Irr!BO19)),IF(AND(d_Irr!Q19=".",d_Irr!AP19=".",d_Irr!BO19&lt;&gt;"."),d_dir!AR19/((1/1000)*(d_Irr!BO19)),IF(AND(d_Irr!Q19=".",d_Irr!AP19&lt;&gt;".",d_Irr!BO19="."),d_dir!AR19/((1/1000)*(d_Irr!AP19)),IF(AND(d_Irr!Q19&lt;&gt;".",d_Irr!AP19=".",d_Irr!BO19="."),d_dir!AR19/((1/1000)*(d_Irr!Q19)),IF(AND(d_Irr!Q19=".",d_Irr!AP19=".",d_Irr!BO19="."),d_dir!AR19*1000)))))))),".")</f>
        <v>.</v>
      </c>
      <c r="AS19" s="70" t="str">
        <f>IFERROR(IF(AND(d_Irr!R19&lt;&gt;".",d_Irr!AQ19&lt;&gt;".",d_Irr!BP19&lt;&gt;"."),d_dir!AS19/((1/1000)*(d_Irr!R19+d_Irr!AQ19+d_Irr!BP19)),IF(AND(d_Irr!R19&lt;&gt;".",d_Irr!AQ19&lt;&gt;".",d_Irr!BP19="."),d_dir!AS19/((1/1000)*(d_Irr!R19+d_Irr!AQ19)),IF(AND(d_Irr!R19&lt;&gt;".",d_Irr!AQ19=".",d_Irr!BP19&lt;&gt;"."),d_dir!AS19/((1/1000)*(d_Irr!R19+d_Irr!BP19)),IF(AND(d_Irr!R19=".",d_Irr!AQ19&lt;&gt;".",d_Irr!BP19&lt;&gt;"."),d_dir!AS19/((1/1000)*(d_Irr!AQ19+d_Irr!BP19)),IF(AND(d_Irr!R19=".",d_Irr!AQ19=".",d_Irr!BP19&lt;&gt;"."),d_dir!AS19/((1/1000)*(d_Irr!BP19)),IF(AND(d_Irr!R19=".",d_Irr!AQ19&lt;&gt;".",d_Irr!BP19="."),d_dir!AS19/((1/1000)*(d_Irr!AQ19)),IF(AND(d_Irr!R19&lt;&gt;".",d_Irr!AQ19=".",d_Irr!BP19="."),d_dir!AS19/((1/1000)*(d_Irr!R19)),IF(AND(d_Irr!R19=".",d_Irr!AQ19=".",d_Irr!BP19="."),d_dir!AS19*1000)))))))),".")</f>
        <v>.</v>
      </c>
      <c r="AT19" s="70" t="str">
        <f>IFERROR(IF(AND(d_Irr!S19&lt;&gt;".",d_Irr!AR19&lt;&gt;".",d_Irr!BQ19&lt;&gt;"."),d_dir!AT19/((1/1000)*(d_Irr!S19+d_Irr!AR19+d_Irr!BQ19)),IF(AND(d_Irr!S19&lt;&gt;".",d_Irr!AR19&lt;&gt;".",d_Irr!BQ19="."),d_dir!AT19/((1/1000)*(d_Irr!S19+d_Irr!AR19)),IF(AND(d_Irr!S19&lt;&gt;".",d_Irr!AR19=".",d_Irr!BQ19&lt;&gt;"."),d_dir!AT19/((1/1000)*(d_Irr!S19+d_Irr!BQ19)),IF(AND(d_Irr!S19=".",d_Irr!AR19&lt;&gt;".",d_Irr!BQ19&lt;&gt;"."),d_dir!AT19/((1/1000)*(d_Irr!AR19+d_Irr!BQ19)),IF(AND(d_Irr!S19=".",d_Irr!AR19=".",d_Irr!BQ19&lt;&gt;"."),d_dir!AT19/((1/1000)*(d_Irr!BQ19)),IF(AND(d_Irr!S19=".",d_Irr!AR19&lt;&gt;".",d_Irr!BQ19="."),d_dir!AT19/((1/1000)*(d_Irr!AR19)),IF(AND(d_Irr!S19&lt;&gt;".",d_Irr!AR19=".",d_Irr!BQ19="."),d_dir!AT19/((1/1000)*(d_Irr!S19)),IF(AND(d_Irr!S19=".",d_Irr!AR19=".",d_Irr!BQ19="."),d_dir!AT19*1000)))))))),".")</f>
        <v>.</v>
      </c>
      <c r="AU19" s="70" t="str">
        <f>IFERROR(IF(AND(d_Irr!T19&lt;&gt;".",d_Irr!AS19&lt;&gt;".",d_Irr!BR19&lt;&gt;"."),d_dir!AU19/((1/1000)*(d_Irr!T19+d_Irr!AS19+d_Irr!BR19)),IF(AND(d_Irr!T19&lt;&gt;".",d_Irr!AS19&lt;&gt;".",d_Irr!BR19="."),d_dir!AU19/((1/1000)*(d_Irr!T19+d_Irr!AS19)),IF(AND(d_Irr!T19&lt;&gt;".",d_Irr!AS19=".",d_Irr!BR19&lt;&gt;"."),d_dir!AU19/((1/1000)*(d_Irr!T19+d_Irr!BR19)),IF(AND(d_Irr!T19=".",d_Irr!AS19&lt;&gt;".",d_Irr!BR19&lt;&gt;"."),d_dir!AU19/((1/1000)*(d_Irr!AS19+d_Irr!BR19)),IF(AND(d_Irr!T19=".",d_Irr!AS19=".",d_Irr!BR19&lt;&gt;"."),d_dir!AU19/((1/1000)*(d_Irr!BR19)),IF(AND(d_Irr!T19=".",d_Irr!AS19&lt;&gt;".",d_Irr!BR19="."),d_dir!AU19/((1/1000)*(d_Irr!AS19)),IF(AND(d_Irr!T19&lt;&gt;".",d_Irr!AS19=".",d_Irr!BR19="."),d_dir!AU19/((1/1000)*(d_Irr!T19)),IF(AND(d_Irr!T19=".",d_Irr!AS19=".",d_Irr!BR19="."),d_dir!AU19*1000)))))))),".")</f>
        <v>.</v>
      </c>
      <c r="AV19" s="70" t="str">
        <f>IFERROR(IF(AND(d_Irr!U19&lt;&gt;".",d_Irr!AT19&lt;&gt;".",d_Irr!BS19&lt;&gt;"."),d_dir!AV19/((1/1000)*(d_Irr!U19+d_Irr!AT19+d_Irr!BS19)),IF(AND(d_Irr!U19&lt;&gt;".",d_Irr!AT19&lt;&gt;".",d_Irr!BS19="."),d_dir!AV19/((1/1000)*(d_Irr!U19+d_Irr!AT19)),IF(AND(d_Irr!U19&lt;&gt;".",d_Irr!AT19=".",d_Irr!BS19&lt;&gt;"."),d_dir!AV19/((1/1000)*(d_Irr!U19+d_Irr!BS19)),IF(AND(d_Irr!U19=".",d_Irr!AT19&lt;&gt;".",d_Irr!BS19&lt;&gt;"."),d_dir!AV19/((1/1000)*(d_Irr!AT19+d_Irr!BS19)),IF(AND(d_Irr!U19=".",d_Irr!AT19=".",d_Irr!BS19&lt;&gt;"."),d_dir!AV19/((1/1000)*(d_Irr!BS19)),IF(AND(d_Irr!U19=".",d_Irr!AT19&lt;&gt;".",d_Irr!BS19="."),d_dir!AV19/((1/1000)*(d_Irr!AT19)),IF(AND(d_Irr!U19&lt;&gt;".",d_Irr!AT19=".",d_Irr!BS19="."),d_dir!AV19/((1/1000)*(d_Irr!U19)),IF(AND(d_Irr!U19=".",d_Irr!AT19=".",d_Irr!BS19="."),d_dir!AV19*1000)))))))),".")</f>
        <v>.</v>
      </c>
      <c r="AW19" s="70" t="str">
        <f>IFERROR(IF(AND(d_Irr!V19&lt;&gt;".",d_Irr!AU19&lt;&gt;".",d_Irr!BT19&lt;&gt;"."),d_dir!AW19/((1/1000)*(d_Irr!V19+d_Irr!AU19+d_Irr!BT19)),IF(AND(d_Irr!V19&lt;&gt;".",d_Irr!AU19&lt;&gt;".",d_Irr!BT19="."),d_dir!AW19/((1/1000)*(d_Irr!V19+d_Irr!AU19)),IF(AND(d_Irr!V19&lt;&gt;".",d_Irr!AU19=".",d_Irr!BT19&lt;&gt;"."),d_dir!AW19/((1/1000)*(d_Irr!V19+d_Irr!BT19)),IF(AND(d_Irr!V19=".",d_Irr!AU19&lt;&gt;".",d_Irr!BT19&lt;&gt;"."),d_dir!AW19/((1/1000)*(d_Irr!AU19+d_Irr!BT19)),IF(AND(d_Irr!V19=".",d_Irr!AU19=".",d_Irr!BT19&lt;&gt;"."),d_dir!AW19/((1/1000)*(d_Irr!BT19)),IF(AND(d_Irr!V19=".",d_Irr!AU19&lt;&gt;".",d_Irr!BT19="."),d_dir!AW19/((1/1000)*(d_Irr!AU19)),IF(AND(d_Irr!V19&lt;&gt;".",d_Irr!AU19=".",d_Irr!BT19="."),d_dir!AW19/((1/1000)*(d_Irr!V19)),IF(AND(d_Irr!V19=".",d_Irr!AU19=".",d_Irr!BT19="."),d_dir!AW19*1000)))))))),".")</f>
        <v>.</v>
      </c>
      <c r="AX19" s="70" t="str">
        <f>IFERROR(IF(AND(d_Irr!W19&lt;&gt;".",d_Irr!AV19&lt;&gt;".",d_Irr!BU19&lt;&gt;"."),d_dir!AX19/((1/1000)*(d_Irr!W19+d_Irr!AV19+d_Irr!BU19)),IF(AND(d_Irr!W19&lt;&gt;".",d_Irr!AV19&lt;&gt;".",d_Irr!BU19="."),d_dir!AX19/((1/1000)*(d_Irr!W19+d_Irr!AV19)),IF(AND(d_Irr!W19&lt;&gt;".",d_Irr!AV19=".",d_Irr!BU19&lt;&gt;"."),d_dir!AX19/((1/1000)*(d_Irr!W19+d_Irr!BU19)),IF(AND(d_Irr!W19=".",d_Irr!AV19&lt;&gt;".",d_Irr!BU19&lt;&gt;"."),d_dir!AX19/((1/1000)*(d_Irr!AV19+d_Irr!BU19)),IF(AND(d_Irr!W19=".",d_Irr!AV19=".",d_Irr!BU19&lt;&gt;"."),d_dir!AX19/((1/1000)*(d_Irr!BU19)),IF(AND(d_Irr!W19=".",d_Irr!AV19&lt;&gt;".",d_Irr!BU19="."),d_dir!AX19/((1/1000)*(d_Irr!AV19)),IF(AND(d_Irr!W19&lt;&gt;".",d_Irr!AV19=".",d_Irr!BU19="."),d_dir!AX19/((1/1000)*(d_Irr!W19)),IF(AND(d_Irr!W19=".",d_Irr!AV19=".",d_Irr!BU19="."),d_dir!AX19*1000)))))))),".")</f>
        <v>.</v>
      </c>
      <c r="AY19" s="70" t="str">
        <f>IFERROR(IF(AND(d_Irr!X19&lt;&gt;".",d_Irr!AW19&lt;&gt;".",d_Irr!BV19&lt;&gt;"."),d_dir!AY19/((1/1000)*(d_Irr!X19+d_Irr!AW19+d_Irr!BV19)),IF(AND(d_Irr!X19&lt;&gt;".",d_Irr!AW19&lt;&gt;".",d_Irr!BV19="."),d_dir!AY19/((1/1000)*(d_Irr!X19+d_Irr!AW19)),IF(AND(d_Irr!X19&lt;&gt;".",d_Irr!AW19=".",d_Irr!BV19&lt;&gt;"."),d_dir!AY19/((1/1000)*(d_Irr!X19+d_Irr!BV19)),IF(AND(d_Irr!X19=".",d_Irr!AW19&lt;&gt;".",d_Irr!BV19&lt;&gt;"."),d_dir!AY19/((1/1000)*(d_Irr!AW19+d_Irr!BV19)),IF(AND(d_Irr!X19=".",d_Irr!AW19=".",d_Irr!BV19&lt;&gt;"."),d_dir!AY19/((1/1000)*(d_Irr!BV19)),IF(AND(d_Irr!X19=".",d_Irr!AW19&lt;&gt;".",d_Irr!BV19="."),d_dir!AY19/((1/1000)*(d_Irr!AW19)),IF(AND(d_Irr!X19&lt;&gt;".",d_Irr!AW19=".",d_Irr!BV19="."),d_dir!AY19/((1/1000)*(d_Irr!X19)),IF(AND(d_Irr!X19=".",d_Irr!AW19=".",d_Irr!BV19="."),d_dir!AY19*1000)))))))),".")</f>
        <v>.</v>
      </c>
      <c r="AZ19" s="70" t="str">
        <f>IFERROR(IF(AND(d_Irr!Y19&lt;&gt;".",d_Irr!AX19&lt;&gt;".",d_Irr!BW19&lt;&gt;"."),d_dir!AZ19/((1/1000)*(d_Irr!Y19+d_Irr!AX19+d_Irr!BW19)),IF(AND(d_Irr!Y19&lt;&gt;".",d_Irr!AX19&lt;&gt;".",d_Irr!BW19="."),d_dir!AZ19/((1/1000)*(d_Irr!Y19+d_Irr!AX19)),IF(AND(d_Irr!Y19&lt;&gt;".",d_Irr!AX19=".",d_Irr!BW19&lt;&gt;"."),d_dir!AZ19/((1/1000)*(d_Irr!Y19+d_Irr!BW19)),IF(AND(d_Irr!Y19=".",d_Irr!AX19&lt;&gt;".",d_Irr!BW19&lt;&gt;"."),d_dir!AZ19/((1/1000)*(d_Irr!AX19+d_Irr!BW19)),IF(AND(d_Irr!Y19=".",d_Irr!AX19=".",d_Irr!BW19&lt;&gt;"."),d_dir!AZ19/((1/1000)*(d_Irr!BW19)),IF(AND(d_Irr!Y19=".",d_Irr!AX19&lt;&gt;".",d_Irr!BW19="."),d_dir!AZ19/((1/1000)*(d_Irr!AX19)),IF(AND(d_Irr!Y19&lt;&gt;".",d_Irr!AX19=".",d_Irr!BW19="."),d_dir!AZ19/((1/1000)*(d_Irr!Y19)),IF(AND(d_Irr!Y19=".",d_Irr!AX19=".",d_Irr!BW19="."),d_dir!AZ19*1000)))))))),".")</f>
        <v>.</v>
      </c>
      <c r="BA19" s="70" t="str">
        <f>IFERROR(IF(AND(d_Irr!Z19&lt;&gt;".",d_Irr!AY19&lt;&gt;".",d_Irr!BX19&lt;&gt;"."),d_dir!BA19/((1/1000)*(d_Irr!Z19+d_Irr!AY19+d_Irr!BX19)),IF(AND(d_Irr!Z19&lt;&gt;".",d_Irr!AY19&lt;&gt;".",d_Irr!BX19="."),d_dir!BA19/((1/1000)*(d_Irr!Z19+d_Irr!AY19)),IF(AND(d_Irr!Z19&lt;&gt;".",d_Irr!AY19=".",d_Irr!BX19&lt;&gt;"."),d_dir!BA19/((1/1000)*(d_Irr!Z19+d_Irr!BX19)),IF(AND(d_Irr!Z19=".",d_Irr!AY19&lt;&gt;".",d_Irr!BX19&lt;&gt;"."),d_dir!BA19/((1/1000)*(d_Irr!AY19+d_Irr!BX19)),IF(AND(d_Irr!Z19=".",d_Irr!AY19=".",d_Irr!BX19&lt;&gt;"."),d_dir!BA19/((1/1000)*(d_Irr!BX19)),IF(AND(d_Irr!Z19=".",d_Irr!AY19&lt;&gt;".",d_Irr!BX19="."),d_dir!BA19/((1/1000)*(d_Irr!AY19)),IF(AND(d_Irr!Z19&lt;&gt;".",d_Irr!AY19=".",d_Irr!BX19="."),d_dir!BA19/((1/1000)*(d_Irr!Z19)),IF(AND(d_Irr!Z19=".",d_Irr!AY19=".",d_Irr!BX19="."),d_dir!BA19*1000)))))))),".")</f>
        <v>.</v>
      </c>
      <c r="BB19" s="70" t="str">
        <f>IFERROR(IF(AND(d_Irr!AA19&lt;&gt;".",d_Irr!AZ19&lt;&gt;".",d_Irr!BY19&lt;&gt;"."),d_dir!BB19/((1/1000)*(d_Irr!AA19+d_Irr!AZ19+d_Irr!BY19)),IF(AND(d_Irr!AA19&lt;&gt;".",d_Irr!AZ19&lt;&gt;".",d_Irr!BY19="."),d_dir!BB19/((1/1000)*(d_Irr!AA19+d_Irr!AZ19)),IF(AND(d_Irr!AA19&lt;&gt;".",d_Irr!AZ19=".",d_Irr!BY19&lt;&gt;"."),d_dir!BB19/((1/1000)*(d_Irr!AA19+d_Irr!BY19)),IF(AND(d_Irr!AA19=".",d_Irr!AZ19&lt;&gt;".",d_Irr!BY19&lt;&gt;"."),d_dir!BB19/((1/1000)*(d_Irr!AZ19+d_Irr!BY19)),IF(AND(d_Irr!AA19=".",d_Irr!AZ19=".",d_Irr!BY19&lt;&gt;"."),d_dir!BB19/((1/1000)*(d_Irr!BY19)),IF(AND(d_Irr!AA19=".",d_Irr!AZ19&lt;&gt;".",d_Irr!BY19="."),d_dir!BB19/((1/1000)*(d_Irr!AZ19)),IF(AND(d_Irr!AA19&lt;&gt;".",d_Irr!AZ19=".",d_Irr!BY19="."),d_dir!BB19/((1/1000)*(d_Irr!AA19)),IF(AND(d_Irr!AA19=".",d_Irr!AZ19=".",d_Irr!BY19="."),d_dir!BB19*1000)))))))),".")</f>
        <v>.</v>
      </c>
    </row>
    <row r="20" spans="1:54" ht="15" customHeight="1" x14ac:dyDescent="0.25">
      <c r="A20" s="86" t="s">
        <v>18</v>
      </c>
      <c r="B20" s="84" t="s">
        <v>1057</v>
      </c>
      <c r="C20" s="2" t="str">
        <f t="shared" si="1"/>
        <v>.</v>
      </c>
      <c r="D20" s="70" t="str">
        <f>IFERROR(IF(AND(d_Irr!C20&lt;&gt;".",d_Irr!AB20&lt;&gt;".",d_Irr!BA20&lt;&gt;"."),d_dir!D20/((1/1000)*(d_Irr!C20+d_Irr!AB20+d_Irr!BA20)),IF(AND(d_Irr!C20&lt;&gt;".",d_Irr!AB20&lt;&gt;".",d_Irr!BA20="."),d_dir!D20/((1/1000)*(d_Irr!C20+d_Irr!AB20)),IF(AND(d_Irr!C20&lt;&gt;".",d_Irr!AB20=".",d_Irr!BA20&lt;&gt;"."),d_dir!D20/((1/1000)*(d_Irr!C20+d_Irr!BA20)),IF(AND(d_Irr!C20=".",d_Irr!AB20&lt;&gt;".",d_Irr!BA20&lt;&gt;"."),d_dir!D20/((1/1000)*(d_Irr!AB20+d_Irr!BA20)),IF(AND(d_Irr!C20=".",d_Irr!AB20=".",d_Irr!BA20&lt;&gt;"."),d_dir!D20/((1/1000)*(d_Irr!BA20)),IF(AND(d_Irr!C20=".",d_Irr!AB20&lt;&gt;".",d_Irr!BA20="."),d_dir!D20/((1/1000)*(d_Irr!AB20)),IF(AND(d_Irr!C20&lt;&gt;".",d_Irr!AB20=".",d_Irr!BA20="."),d_dir!D20/((1/1000)*(d_Irr!C20)),IF(AND(d_Irr!C20=".",d_Irr!AB20=".",d_Irr!BA20="."),d_dir!D20*1000)))))))),".")</f>
        <v>.</v>
      </c>
      <c r="E20" s="70" t="str">
        <f>IFERROR(IF(AND(d_Irr!D20&lt;&gt;".",d_Irr!AC20&lt;&gt;".",d_Irr!BB20&lt;&gt;"."),d_dir!E20/((1/1000)*(d_Irr!D20+d_Irr!AC20+d_Irr!BB20)),IF(AND(d_Irr!D20&lt;&gt;".",d_Irr!AC20&lt;&gt;".",d_Irr!BB20="."),d_dir!E20/((1/1000)*(d_Irr!D20+d_Irr!AC20)),IF(AND(d_Irr!D20&lt;&gt;".",d_Irr!AC20=".",d_Irr!BB20&lt;&gt;"."),d_dir!E20/((1/1000)*(d_Irr!D20+d_Irr!BB20)),IF(AND(d_Irr!D20=".",d_Irr!AC20&lt;&gt;".",d_Irr!BB20&lt;&gt;"."),d_dir!E20/((1/1000)*(d_Irr!AC20+d_Irr!BB20)),IF(AND(d_Irr!D20=".",d_Irr!AC20=".",d_Irr!BB20&lt;&gt;"."),d_dir!E20/((1/1000)*(d_Irr!BB20)),IF(AND(d_Irr!D20=".",d_Irr!AC20&lt;&gt;".",d_Irr!BB20="."),d_dir!E20/((1/1000)*(d_Irr!AC20)),IF(AND(d_Irr!D20&lt;&gt;".",d_Irr!AC20=".",d_Irr!BB20="."),d_dir!E20/((1/1000)*(d_Irr!D20)),IF(AND(d_Irr!D20=".",d_Irr!AC20=".",d_Irr!BB20="."),d_dir!E20*1000)))))))),".")</f>
        <v>.</v>
      </c>
      <c r="F20" s="70" t="str">
        <f>IFERROR(IF(AND(d_Irr!E20&lt;&gt;".",d_Irr!AD20&lt;&gt;".",d_Irr!BC20&lt;&gt;"."),d_dir!F20/((1/1000)*(d_Irr!E20+d_Irr!AD20+d_Irr!BC20)),IF(AND(d_Irr!E20&lt;&gt;".",d_Irr!AD20&lt;&gt;".",d_Irr!BC20="."),d_dir!F20/((1/1000)*(d_Irr!E20+d_Irr!AD20)),IF(AND(d_Irr!E20&lt;&gt;".",d_Irr!AD20=".",d_Irr!BC20&lt;&gt;"."),d_dir!F20/((1/1000)*(d_Irr!E20+d_Irr!BC20)),IF(AND(d_Irr!E20=".",d_Irr!AD20&lt;&gt;".",d_Irr!BC20&lt;&gt;"."),d_dir!F20/((1/1000)*(d_Irr!AD20+d_Irr!BC20)),IF(AND(d_Irr!E20=".",d_Irr!AD20=".",d_Irr!BC20&lt;&gt;"."),d_dir!F20/((1/1000)*(d_Irr!BC20)),IF(AND(d_Irr!E20=".",d_Irr!AD20&lt;&gt;".",d_Irr!BC20="."),d_dir!F20/((1/1000)*(d_Irr!AD20)),IF(AND(d_Irr!E20&lt;&gt;".",d_Irr!AD20=".",d_Irr!BC20="."),d_dir!F20/((1/1000)*(d_Irr!E20)),IF(AND(d_Irr!E20=".",d_Irr!AD20=".",d_Irr!BC20="."),d_dir!F20*1000)))))))),".")</f>
        <v>.</v>
      </c>
      <c r="G20" s="70" t="str">
        <f>IFERROR(IF(AND(d_Irr!F20&lt;&gt;".",d_Irr!AE20&lt;&gt;".",d_Irr!BD20&lt;&gt;"."),d_dir!G20/((1/1000)*(d_Irr!F20+d_Irr!AE20+d_Irr!BD20)),IF(AND(d_Irr!F20&lt;&gt;".",d_Irr!AE20&lt;&gt;".",d_Irr!BD20="."),d_dir!G20/((1/1000)*(d_Irr!F20+d_Irr!AE20)),IF(AND(d_Irr!F20&lt;&gt;".",d_Irr!AE20=".",d_Irr!BD20&lt;&gt;"."),d_dir!G20/((1/1000)*(d_Irr!F20+d_Irr!BD20)),IF(AND(d_Irr!F20=".",d_Irr!AE20&lt;&gt;".",d_Irr!BD20&lt;&gt;"."),d_dir!G20/((1/1000)*(d_Irr!AE20+d_Irr!BD20)),IF(AND(d_Irr!F20=".",d_Irr!AE20=".",d_Irr!BD20&lt;&gt;"."),d_dir!G20/((1/1000)*(d_Irr!BD20)),IF(AND(d_Irr!F20=".",d_Irr!AE20&lt;&gt;".",d_Irr!BD20="."),d_dir!G20/((1/1000)*(d_Irr!AE20)),IF(AND(d_Irr!F20&lt;&gt;".",d_Irr!AE20=".",d_Irr!BD20="."),d_dir!G20/((1/1000)*(d_Irr!F20)),IF(AND(d_Irr!F20=".",d_Irr!AE20=".",d_Irr!BD20="."),d_dir!G20*1000)))))))),".")</f>
        <v>.</v>
      </c>
      <c r="H20" s="70" t="str">
        <f>IFERROR(IF(AND(d_Irr!G20&lt;&gt;".",d_Irr!AF20&lt;&gt;".",d_Irr!BE20&lt;&gt;"."),d_dir!H20/((1/1000)*(d_Irr!G20+d_Irr!AF20+d_Irr!BE20)),IF(AND(d_Irr!G20&lt;&gt;".",d_Irr!AF20&lt;&gt;".",d_Irr!BE20="."),d_dir!H20/((1/1000)*(d_Irr!G20+d_Irr!AF20)),IF(AND(d_Irr!G20&lt;&gt;".",d_Irr!AF20=".",d_Irr!BE20&lt;&gt;"."),d_dir!H20/((1/1000)*(d_Irr!G20+d_Irr!BE20)),IF(AND(d_Irr!G20=".",d_Irr!AF20&lt;&gt;".",d_Irr!BE20&lt;&gt;"."),d_dir!H20/((1/1000)*(d_Irr!AF20+d_Irr!BE20)),IF(AND(d_Irr!G20=".",d_Irr!AF20=".",d_Irr!BE20&lt;&gt;"."),d_dir!H20/((1/1000)*(d_Irr!BE20)),IF(AND(d_Irr!G20=".",d_Irr!AF20&lt;&gt;".",d_Irr!BE20="."),d_dir!H20/((1/1000)*(d_Irr!AF20)),IF(AND(d_Irr!G20&lt;&gt;".",d_Irr!AF20=".",d_Irr!BE20="."),d_dir!H20/((1/1000)*(d_Irr!G20)),IF(AND(d_Irr!G20=".",d_Irr!AF20=".",d_Irr!BE20="."),d_dir!H20*1000)))))))),".")</f>
        <v>.</v>
      </c>
      <c r="I20" s="70" t="str">
        <f>IFERROR(IF(AND(d_Irr!H20&lt;&gt;".",d_Irr!AG20&lt;&gt;".",d_Irr!BF20&lt;&gt;"."),d_dir!I20/((1/1000)*(d_Irr!H20+d_Irr!AG20+d_Irr!BF20)),IF(AND(d_Irr!H20&lt;&gt;".",d_Irr!AG20&lt;&gt;".",d_Irr!BF20="."),d_dir!I20/((1/1000)*(d_Irr!H20+d_Irr!AG20)),IF(AND(d_Irr!H20&lt;&gt;".",d_Irr!AG20=".",d_Irr!BF20&lt;&gt;"."),d_dir!I20/((1/1000)*(d_Irr!H20+d_Irr!BF20)),IF(AND(d_Irr!H20=".",d_Irr!AG20&lt;&gt;".",d_Irr!BF20&lt;&gt;"."),d_dir!I20/((1/1000)*(d_Irr!AG20+d_Irr!BF20)),IF(AND(d_Irr!H20=".",d_Irr!AG20=".",d_Irr!BF20&lt;&gt;"."),d_dir!I20/((1/1000)*(d_Irr!BF20)),IF(AND(d_Irr!H20=".",d_Irr!AG20&lt;&gt;".",d_Irr!BF20="."),d_dir!I20/((1/1000)*(d_Irr!AG20)),IF(AND(d_Irr!H20&lt;&gt;".",d_Irr!AG20=".",d_Irr!BF20="."),d_dir!I20/((1/1000)*(d_Irr!H20)),IF(AND(d_Irr!H20=".",d_Irr!AG20=".",d_Irr!BF20="."),d_dir!I20*1000)))))))),".")</f>
        <v>.</v>
      </c>
      <c r="J20" s="70" t="str">
        <f>IFERROR(IF(AND(d_Irr!I20&lt;&gt;".",d_Irr!AH20&lt;&gt;".",d_Irr!BG20&lt;&gt;"."),d_dir!J20/((1/1000)*(d_Irr!I20+d_Irr!AH20+d_Irr!BG20)),IF(AND(d_Irr!I20&lt;&gt;".",d_Irr!AH20&lt;&gt;".",d_Irr!BG20="."),d_dir!J20/((1/1000)*(d_Irr!I20+d_Irr!AH20)),IF(AND(d_Irr!I20&lt;&gt;".",d_Irr!AH20=".",d_Irr!BG20&lt;&gt;"."),d_dir!J20/((1/1000)*(d_Irr!I20+d_Irr!BG20)),IF(AND(d_Irr!I20=".",d_Irr!AH20&lt;&gt;".",d_Irr!BG20&lt;&gt;"."),d_dir!J20/((1/1000)*(d_Irr!AH20+d_Irr!BG20)),IF(AND(d_Irr!I20=".",d_Irr!AH20=".",d_Irr!BG20&lt;&gt;"."),d_dir!J20/((1/1000)*(d_Irr!BG20)),IF(AND(d_Irr!I20=".",d_Irr!AH20&lt;&gt;".",d_Irr!BG20="."),d_dir!J20/((1/1000)*(d_Irr!AH20)),IF(AND(d_Irr!I20&lt;&gt;".",d_Irr!AH20=".",d_Irr!BG20="."),d_dir!J20/((1/1000)*(d_Irr!I20)),IF(AND(d_Irr!I20=".",d_Irr!AH20=".",d_Irr!BG20="."),d_dir!J20*1000)))))))),".")</f>
        <v>.</v>
      </c>
      <c r="K20" s="70" t="str">
        <f>IFERROR(IF(AND(d_Irr!J20&lt;&gt;".",d_Irr!AI20&lt;&gt;".",d_Irr!BH20&lt;&gt;"."),d_dir!K20/((1/1000)*(d_Irr!J20+d_Irr!AI20+d_Irr!BH20)),IF(AND(d_Irr!J20&lt;&gt;".",d_Irr!AI20&lt;&gt;".",d_Irr!BH20="."),d_dir!K20/((1/1000)*(d_Irr!J20+d_Irr!AI20)),IF(AND(d_Irr!J20&lt;&gt;".",d_Irr!AI20=".",d_Irr!BH20&lt;&gt;"."),d_dir!K20/((1/1000)*(d_Irr!J20+d_Irr!BH20)),IF(AND(d_Irr!J20=".",d_Irr!AI20&lt;&gt;".",d_Irr!BH20&lt;&gt;"."),d_dir!K20/((1/1000)*(d_Irr!AI20+d_Irr!BH20)),IF(AND(d_Irr!J20=".",d_Irr!AI20=".",d_Irr!BH20&lt;&gt;"."),d_dir!K20/((1/1000)*(d_Irr!BH20)),IF(AND(d_Irr!J20=".",d_Irr!AI20&lt;&gt;".",d_Irr!BH20="."),d_dir!K20/((1/1000)*(d_Irr!AI20)),IF(AND(d_Irr!J20&lt;&gt;".",d_Irr!AI20=".",d_Irr!BH20="."),d_dir!K20/((1/1000)*(d_Irr!J20)),IF(AND(d_Irr!J20=".",d_Irr!AI20=".",d_Irr!BH20="."),d_dir!K20*1000)))))))),".")</f>
        <v>.</v>
      </c>
      <c r="L20" s="70" t="str">
        <f>IFERROR(IF(AND(d_Irr!K20&lt;&gt;".",d_Irr!AJ20&lt;&gt;".",d_Irr!BI20&lt;&gt;"."),d_dir!L20/((1/1000)*(d_Irr!K20+d_Irr!AJ20+d_Irr!BI20)),IF(AND(d_Irr!K20&lt;&gt;".",d_Irr!AJ20&lt;&gt;".",d_Irr!BI20="."),d_dir!L20/((1/1000)*(d_Irr!K20+d_Irr!AJ20)),IF(AND(d_Irr!K20&lt;&gt;".",d_Irr!AJ20=".",d_Irr!BI20&lt;&gt;"."),d_dir!L20/((1/1000)*(d_Irr!K20+d_Irr!BI20)),IF(AND(d_Irr!K20=".",d_Irr!AJ20&lt;&gt;".",d_Irr!BI20&lt;&gt;"."),d_dir!L20/((1/1000)*(d_Irr!AJ20+d_Irr!BI20)),IF(AND(d_Irr!K20=".",d_Irr!AJ20=".",d_Irr!BI20&lt;&gt;"."),d_dir!L20/((1/1000)*(d_Irr!BI20)),IF(AND(d_Irr!K20=".",d_Irr!AJ20&lt;&gt;".",d_Irr!BI20="."),d_dir!L20/((1/1000)*(d_Irr!AJ20)),IF(AND(d_Irr!K20&lt;&gt;".",d_Irr!AJ20=".",d_Irr!BI20="."),d_dir!L20/((1/1000)*(d_Irr!K20)),IF(AND(d_Irr!K20=".",d_Irr!AJ20=".",d_Irr!BI20="."),d_dir!L20*1000)))))))),".")</f>
        <v>.</v>
      </c>
      <c r="M20" s="70" t="str">
        <f>IFERROR(IF(AND(d_Irr!L20&lt;&gt;".",d_Irr!AK20&lt;&gt;".",d_Irr!BJ20&lt;&gt;"."),d_dir!M20/((1/1000)*(d_Irr!L20+d_Irr!AK20+d_Irr!BJ20)),IF(AND(d_Irr!L20&lt;&gt;".",d_Irr!AK20&lt;&gt;".",d_Irr!BJ20="."),d_dir!M20/((1/1000)*(d_Irr!L20+d_Irr!AK20)),IF(AND(d_Irr!L20&lt;&gt;".",d_Irr!AK20=".",d_Irr!BJ20&lt;&gt;"."),d_dir!M20/((1/1000)*(d_Irr!L20+d_Irr!BJ20)),IF(AND(d_Irr!L20=".",d_Irr!AK20&lt;&gt;".",d_Irr!BJ20&lt;&gt;"."),d_dir!M20/((1/1000)*(d_Irr!AK20+d_Irr!BJ20)),IF(AND(d_Irr!L20=".",d_Irr!AK20=".",d_Irr!BJ20&lt;&gt;"."),d_dir!M20/((1/1000)*(d_Irr!BJ20)),IF(AND(d_Irr!L20=".",d_Irr!AK20&lt;&gt;".",d_Irr!BJ20="."),d_dir!M20/((1/1000)*(d_Irr!AK20)),IF(AND(d_Irr!L20&lt;&gt;".",d_Irr!AK20=".",d_Irr!BJ20="."),d_dir!M20/((1/1000)*(d_Irr!L20)),IF(AND(d_Irr!L20=".",d_Irr!AK20=".",d_Irr!BJ20="."),d_dir!M20*1000)))))))),".")</f>
        <v>.</v>
      </c>
      <c r="N20" s="70" t="str">
        <f>IFERROR(IF(AND(d_Irr!M20&lt;&gt;".",d_Irr!AL20&lt;&gt;".",d_Irr!BK20&lt;&gt;"."),d_dir!N20/((1/1000)*(d_Irr!M20+d_Irr!AL20+d_Irr!BK20)),IF(AND(d_Irr!M20&lt;&gt;".",d_Irr!AL20&lt;&gt;".",d_Irr!BK20="."),d_dir!N20/((1/1000)*(d_Irr!M20+d_Irr!AL20)),IF(AND(d_Irr!M20&lt;&gt;".",d_Irr!AL20=".",d_Irr!BK20&lt;&gt;"."),d_dir!N20/((1/1000)*(d_Irr!M20+d_Irr!BK20)),IF(AND(d_Irr!M20=".",d_Irr!AL20&lt;&gt;".",d_Irr!BK20&lt;&gt;"."),d_dir!N20/((1/1000)*(d_Irr!AL20+d_Irr!BK20)),IF(AND(d_Irr!M20=".",d_Irr!AL20=".",d_Irr!BK20&lt;&gt;"."),d_dir!N20/((1/1000)*(d_Irr!BK20)),IF(AND(d_Irr!M20=".",d_Irr!AL20&lt;&gt;".",d_Irr!BK20="."),d_dir!N20/((1/1000)*(d_Irr!AL20)),IF(AND(d_Irr!M20&lt;&gt;".",d_Irr!AL20=".",d_Irr!BK20="."),d_dir!N20/((1/1000)*(d_Irr!M20)),IF(AND(d_Irr!M20=".",d_Irr!AL20=".",d_Irr!BK20="."),d_dir!N20*1000)))))))),".")</f>
        <v>.</v>
      </c>
      <c r="O20" s="70" t="str">
        <f>IFERROR(IF(AND(d_Irr!N20&lt;&gt;".",d_Irr!AM20&lt;&gt;".",d_Irr!BL20&lt;&gt;"."),d_dir!O20/((1/1000)*(d_Irr!N20+d_Irr!AM20+d_Irr!BL20)),IF(AND(d_Irr!N20&lt;&gt;".",d_Irr!AM20&lt;&gt;".",d_Irr!BL20="."),d_dir!O20/((1/1000)*(d_Irr!N20+d_Irr!AM20)),IF(AND(d_Irr!N20&lt;&gt;".",d_Irr!AM20=".",d_Irr!BL20&lt;&gt;"."),d_dir!O20/((1/1000)*(d_Irr!N20+d_Irr!BL20)),IF(AND(d_Irr!N20=".",d_Irr!AM20&lt;&gt;".",d_Irr!BL20&lt;&gt;"."),d_dir!O20/((1/1000)*(d_Irr!AM20+d_Irr!BL20)),IF(AND(d_Irr!N20=".",d_Irr!AM20=".",d_Irr!BL20&lt;&gt;"."),d_dir!O20/((1/1000)*(d_Irr!BL20)),IF(AND(d_Irr!N20=".",d_Irr!AM20&lt;&gt;".",d_Irr!BL20="."),d_dir!O20/((1/1000)*(d_Irr!AM20)),IF(AND(d_Irr!N20&lt;&gt;".",d_Irr!AM20=".",d_Irr!BL20="."),d_dir!O20/((1/1000)*(d_Irr!N20)),IF(AND(d_Irr!N20=".",d_Irr!AM20=".",d_Irr!BL20="."),d_dir!O20*1000)))))))),".")</f>
        <v>.</v>
      </c>
      <c r="P20" s="70" t="str">
        <f>IFERROR(IF(AND(d_Irr!O20&lt;&gt;".",d_Irr!AN20&lt;&gt;".",d_Irr!BM20&lt;&gt;"."),d_dir!P20/((1/1000)*(d_Irr!O20+d_Irr!AN20+d_Irr!BM20)),IF(AND(d_Irr!O20&lt;&gt;".",d_Irr!AN20&lt;&gt;".",d_Irr!BM20="."),d_dir!P20/((1/1000)*(d_Irr!O20+d_Irr!AN20)),IF(AND(d_Irr!O20&lt;&gt;".",d_Irr!AN20=".",d_Irr!BM20&lt;&gt;"."),d_dir!P20/((1/1000)*(d_Irr!O20+d_Irr!BM20)),IF(AND(d_Irr!O20=".",d_Irr!AN20&lt;&gt;".",d_Irr!BM20&lt;&gt;"."),d_dir!P20/((1/1000)*(d_Irr!AN20+d_Irr!BM20)),IF(AND(d_Irr!O20=".",d_Irr!AN20=".",d_Irr!BM20&lt;&gt;"."),d_dir!P20/((1/1000)*(d_Irr!BM20)),IF(AND(d_Irr!O20=".",d_Irr!AN20&lt;&gt;".",d_Irr!BM20="."),d_dir!P20/((1/1000)*(d_Irr!AN20)),IF(AND(d_Irr!O20&lt;&gt;".",d_Irr!AN20=".",d_Irr!BM20="."),d_dir!P20/((1/1000)*(d_Irr!O20)),IF(AND(d_Irr!O20=".",d_Irr!AN20=".",d_Irr!BM20="."),d_dir!P20*1000)))))))),".")</f>
        <v>.</v>
      </c>
      <c r="Q20" s="70" t="str">
        <f>IFERROR(IF(AND(d_Irr!P20&lt;&gt;".",d_Irr!AO20&lt;&gt;".",d_Irr!BN20&lt;&gt;"."),d_dir!Q20/((1/1000)*(d_Irr!P20+d_Irr!AO20+d_Irr!BN20)),IF(AND(d_Irr!P20&lt;&gt;".",d_Irr!AO20&lt;&gt;".",d_Irr!BN20="."),d_dir!Q20/((1/1000)*(d_Irr!P20+d_Irr!AO20)),IF(AND(d_Irr!P20&lt;&gt;".",d_Irr!AO20=".",d_Irr!BN20&lt;&gt;"."),d_dir!Q20/((1/1000)*(d_Irr!P20+d_Irr!BN20)),IF(AND(d_Irr!P20=".",d_Irr!AO20&lt;&gt;".",d_Irr!BN20&lt;&gt;"."),d_dir!Q20/((1/1000)*(d_Irr!AO20+d_Irr!BN20)),IF(AND(d_Irr!P20=".",d_Irr!AO20=".",d_Irr!BN20&lt;&gt;"."),d_dir!Q20/((1/1000)*(d_Irr!BN20)),IF(AND(d_Irr!P20=".",d_Irr!AO20&lt;&gt;".",d_Irr!BN20="."),d_dir!Q20/((1/1000)*(d_Irr!AO20)),IF(AND(d_Irr!P20&lt;&gt;".",d_Irr!AO20=".",d_Irr!BN20="."),d_dir!Q20/((1/1000)*(d_Irr!P20)),IF(AND(d_Irr!P20=".",d_Irr!AO20=".",d_Irr!BN20="."),d_dir!Q20*1000)))))))),".")</f>
        <v>.</v>
      </c>
      <c r="R20" s="70" t="str">
        <f>IFERROR(IF(AND(d_Irr!Q20&lt;&gt;".",d_Irr!AP20&lt;&gt;".",d_Irr!BO20&lt;&gt;"."),d_dir!R20/((1/1000)*(d_Irr!Q20+d_Irr!AP20+d_Irr!BO20)),IF(AND(d_Irr!Q20&lt;&gt;".",d_Irr!AP20&lt;&gt;".",d_Irr!BO20="."),d_dir!R20/((1/1000)*(d_Irr!Q20+d_Irr!AP20)),IF(AND(d_Irr!Q20&lt;&gt;".",d_Irr!AP20=".",d_Irr!BO20&lt;&gt;"."),d_dir!R20/((1/1000)*(d_Irr!Q20+d_Irr!BO20)),IF(AND(d_Irr!Q20=".",d_Irr!AP20&lt;&gt;".",d_Irr!BO20&lt;&gt;"."),d_dir!R20/((1/1000)*(d_Irr!AP20+d_Irr!BO20)),IF(AND(d_Irr!Q20=".",d_Irr!AP20=".",d_Irr!BO20&lt;&gt;"."),d_dir!R20/((1/1000)*(d_Irr!BO20)),IF(AND(d_Irr!Q20=".",d_Irr!AP20&lt;&gt;".",d_Irr!BO20="."),d_dir!R20/((1/1000)*(d_Irr!AP20)),IF(AND(d_Irr!Q20&lt;&gt;".",d_Irr!AP20=".",d_Irr!BO20="."),d_dir!R20/((1/1000)*(d_Irr!Q20)),IF(AND(d_Irr!Q20=".",d_Irr!AP20=".",d_Irr!BO20="."),d_dir!R20*1000)))))))),".")</f>
        <v>.</v>
      </c>
      <c r="S20" s="70" t="str">
        <f>IFERROR(IF(AND(d_Irr!R20&lt;&gt;".",d_Irr!AQ20&lt;&gt;".",d_Irr!BP20&lt;&gt;"."),d_dir!S20/((1/1000)*(d_Irr!R20+d_Irr!AQ20+d_Irr!BP20)),IF(AND(d_Irr!R20&lt;&gt;".",d_Irr!AQ20&lt;&gt;".",d_Irr!BP20="."),d_dir!S20/((1/1000)*(d_Irr!R20+d_Irr!AQ20)),IF(AND(d_Irr!R20&lt;&gt;".",d_Irr!AQ20=".",d_Irr!BP20&lt;&gt;"."),d_dir!S20/((1/1000)*(d_Irr!R20+d_Irr!BP20)),IF(AND(d_Irr!R20=".",d_Irr!AQ20&lt;&gt;".",d_Irr!BP20&lt;&gt;"."),d_dir!S20/((1/1000)*(d_Irr!AQ20+d_Irr!BP20)),IF(AND(d_Irr!R20=".",d_Irr!AQ20=".",d_Irr!BP20&lt;&gt;"."),d_dir!S20/((1/1000)*(d_Irr!BP20)),IF(AND(d_Irr!R20=".",d_Irr!AQ20&lt;&gt;".",d_Irr!BP20="."),d_dir!S20/((1/1000)*(d_Irr!AQ20)),IF(AND(d_Irr!R20&lt;&gt;".",d_Irr!AQ20=".",d_Irr!BP20="."),d_dir!S20/((1/1000)*(d_Irr!R20)),IF(AND(d_Irr!R20=".",d_Irr!AQ20=".",d_Irr!BP20="."),d_dir!S20*1000)))))))),".")</f>
        <v>.</v>
      </c>
      <c r="T20" s="70" t="str">
        <f>IFERROR(IF(AND(d_Irr!S20&lt;&gt;".",d_Irr!AR20&lt;&gt;".",d_Irr!BQ20&lt;&gt;"."),d_dir!T20/((1/1000)*(d_Irr!S20+d_Irr!AR20+d_Irr!BQ20)),IF(AND(d_Irr!S20&lt;&gt;".",d_Irr!AR20&lt;&gt;".",d_Irr!BQ20="."),d_dir!T20/((1/1000)*(d_Irr!S20+d_Irr!AR20)),IF(AND(d_Irr!S20&lt;&gt;".",d_Irr!AR20=".",d_Irr!BQ20&lt;&gt;"."),d_dir!T20/((1/1000)*(d_Irr!S20+d_Irr!BQ20)),IF(AND(d_Irr!S20=".",d_Irr!AR20&lt;&gt;".",d_Irr!BQ20&lt;&gt;"."),d_dir!T20/((1/1000)*(d_Irr!AR20+d_Irr!BQ20)),IF(AND(d_Irr!S20=".",d_Irr!AR20=".",d_Irr!BQ20&lt;&gt;"."),d_dir!T20/((1/1000)*(d_Irr!BQ20)),IF(AND(d_Irr!S20=".",d_Irr!AR20&lt;&gt;".",d_Irr!BQ20="."),d_dir!T20/((1/1000)*(d_Irr!AR20)),IF(AND(d_Irr!S20&lt;&gt;".",d_Irr!AR20=".",d_Irr!BQ20="."),d_dir!T20/((1/1000)*(d_Irr!S20)),IF(AND(d_Irr!S20=".",d_Irr!AR20=".",d_Irr!BQ20="."),d_dir!T20*1000)))))))),".")</f>
        <v>.</v>
      </c>
      <c r="U20" s="70" t="str">
        <f>IFERROR(IF(AND(d_Irr!T20&lt;&gt;".",d_Irr!AS20&lt;&gt;".",d_Irr!BR20&lt;&gt;"."),d_dir!U20/((1/1000)*(d_Irr!T20+d_Irr!AS20+d_Irr!BR20)),IF(AND(d_Irr!T20&lt;&gt;".",d_Irr!AS20&lt;&gt;".",d_Irr!BR20="."),d_dir!U20/((1/1000)*(d_Irr!T20+d_Irr!AS20)),IF(AND(d_Irr!T20&lt;&gt;".",d_Irr!AS20=".",d_Irr!BR20&lt;&gt;"."),d_dir!U20/((1/1000)*(d_Irr!T20+d_Irr!BR20)),IF(AND(d_Irr!T20=".",d_Irr!AS20&lt;&gt;".",d_Irr!BR20&lt;&gt;"."),d_dir!U20/((1/1000)*(d_Irr!AS20+d_Irr!BR20)),IF(AND(d_Irr!T20=".",d_Irr!AS20=".",d_Irr!BR20&lt;&gt;"."),d_dir!U20/((1/1000)*(d_Irr!BR20)),IF(AND(d_Irr!T20=".",d_Irr!AS20&lt;&gt;".",d_Irr!BR20="."),d_dir!U20/((1/1000)*(d_Irr!AS20)),IF(AND(d_Irr!T20&lt;&gt;".",d_Irr!AS20=".",d_Irr!BR20="."),d_dir!U20/((1/1000)*(d_Irr!T20)),IF(AND(d_Irr!T20=".",d_Irr!AS20=".",d_Irr!BR20="."),d_dir!U20*1000)))))))),".")</f>
        <v>.</v>
      </c>
      <c r="V20" s="70" t="str">
        <f>IFERROR(IF(AND(d_Irr!U20&lt;&gt;".",d_Irr!AT20&lt;&gt;".",d_Irr!BS20&lt;&gt;"."),d_dir!V20/((1/1000)*(d_Irr!U20+d_Irr!AT20+d_Irr!BS20)),IF(AND(d_Irr!U20&lt;&gt;".",d_Irr!AT20&lt;&gt;".",d_Irr!BS20="."),d_dir!V20/((1/1000)*(d_Irr!U20+d_Irr!AT20)),IF(AND(d_Irr!U20&lt;&gt;".",d_Irr!AT20=".",d_Irr!BS20&lt;&gt;"."),d_dir!V20/((1/1000)*(d_Irr!U20+d_Irr!BS20)),IF(AND(d_Irr!U20=".",d_Irr!AT20&lt;&gt;".",d_Irr!BS20&lt;&gt;"."),d_dir!V20/((1/1000)*(d_Irr!AT20+d_Irr!BS20)),IF(AND(d_Irr!U20=".",d_Irr!AT20=".",d_Irr!BS20&lt;&gt;"."),d_dir!V20/((1/1000)*(d_Irr!BS20)),IF(AND(d_Irr!U20=".",d_Irr!AT20&lt;&gt;".",d_Irr!BS20="."),d_dir!V20/((1/1000)*(d_Irr!AT20)),IF(AND(d_Irr!U20&lt;&gt;".",d_Irr!AT20=".",d_Irr!BS20="."),d_dir!V20/((1/1000)*(d_Irr!U20)),IF(AND(d_Irr!U20=".",d_Irr!AT20=".",d_Irr!BS20="."),d_dir!V20*1000)))))))),".")</f>
        <v>.</v>
      </c>
      <c r="W20" s="70" t="str">
        <f>IFERROR(IF(AND(d_Irr!V20&lt;&gt;".",d_Irr!AU20&lt;&gt;".",d_Irr!BT20&lt;&gt;"."),d_dir!W20/((1/1000)*(d_Irr!V20+d_Irr!AU20+d_Irr!BT20)),IF(AND(d_Irr!V20&lt;&gt;".",d_Irr!AU20&lt;&gt;".",d_Irr!BT20="."),d_dir!W20/((1/1000)*(d_Irr!V20+d_Irr!AU20)),IF(AND(d_Irr!V20&lt;&gt;".",d_Irr!AU20=".",d_Irr!BT20&lt;&gt;"."),d_dir!W20/((1/1000)*(d_Irr!V20+d_Irr!BT20)),IF(AND(d_Irr!V20=".",d_Irr!AU20&lt;&gt;".",d_Irr!BT20&lt;&gt;"."),d_dir!W20/((1/1000)*(d_Irr!AU20+d_Irr!BT20)),IF(AND(d_Irr!V20=".",d_Irr!AU20=".",d_Irr!BT20&lt;&gt;"."),d_dir!W20/((1/1000)*(d_Irr!BT20)),IF(AND(d_Irr!V20=".",d_Irr!AU20&lt;&gt;".",d_Irr!BT20="."),d_dir!W20/((1/1000)*(d_Irr!AU20)),IF(AND(d_Irr!V20&lt;&gt;".",d_Irr!AU20=".",d_Irr!BT20="."),d_dir!W20/((1/1000)*(d_Irr!V20)),IF(AND(d_Irr!V20=".",d_Irr!AU20=".",d_Irr!BT20="."),d_dir!W20*1000)))))))),".")</f>
        <v>.</v>
      </c>
      <c r="X20" s="70" t="str">
        <f>IFERROR(IF(AND(d_Irr!W20&lt;&gt;".",d_Irr!AV20&lt;&gt;".",d_Irr!BU20&lt;&gt;"."),d_dir!X20/((1/1000)*(d_Irr!W20+d_Irr!AV20+d_Irr!BU20)),IF(AND(d_Irr!W20&lt;&gt;".",d_Irr!AV20&lt;&gt;".",d_Irr!BU20="."),d_dir!X20/((1/1000)*(d_Irr!W20+d_Irr!AV20)),IF(AND(d_Irr!W20&lt;&gt;".",d_Irr!AV20=".",d_Irr!BU20&lt;&gt;"."),d_dir!X20/((1/1000)*(d_Irr!W20+d_Irr!BU20)),IF(AND(d_Irr!W20=".",d_Irr!AV20&lt;&gt;".",d_Irr!BU20&lt;&gt;"."),d_dir!X20/((1/1000)*(d_Irr!AV20+d_Irr!BU20)),IF(AND(d_Irr!W20=".",d_Irr!AV20=".",d_Irr!BU20&lt;&gt;"."),d_dir!X20/((1/1000)*(d_Irr!BU20)),IF(AND(d_Irr!W20=".",d_Irr!AV20&lt;&gt;".",d_Irr!BU20="."),d_dir!X20/((1/1000)*(d_Irr!AV20)),IF(AND(d_Irr!W20&lt;&gt;".",d_Irr!AV20=".",d_Irr!BU20="."),d_dir!X20/((1/1000)*(d_Irr!W20)),IF(AND(d_Irr!W20=".",d_Irr!AV20=".",d_Irr!BU20="."),d_dir!X20*1000)))))))),".")</f>
        <v>.</v>
      </c>
      <c r="Y20" s="70" t="str">
        <f>IFERROR(IF(AND(d_Irr!X20&lt;&gt;".",d_Irr!AW20&lt;&gt;".",d_Irr!BV20&lt;&gt;"."),d_dir!Y20/((1/1000)*(d_Irr!X20+d_Irr!AW20+d_Irr!BV20)),IF(AND(d_Irr!X20&lt;&gt;".",d_Irr!AW20&lt;&gt;".",d_Irr!BV20="."),d_dir!Y20/((1/1000)*(d_Irr!X20+d_Irr!AW20)),IF(AND(d_Irr!X20&lt;&gt;".",d_Irr!AW20=".",d_Irr!BV20&lt;&gt;"."),d_dir!Y20/((1/1000)*(d_Irr!X20+d_Irr!BV20)),IF(AND(d_Irr!X20=".",d_Irr!AW20&lt;&gt;".",d_Irr!BV20&lt;&gt;"."),d_dir!Y20/((1/1000)*(d_Irr!AW20+d_Irr!BV20)),IF(AND(d_Irr!X20=".",d_Irr!AW20=".",d_Irr!BV20&lt;&gt;"."),d_dir!Y20/((1/1000)*(d_Irr!BV20)),IF(AND(d_Irr!X20=".",d_Irr!AW20&lt;&gt;".",d_Irr!BV20="."),d_dir!Y20/((1/1000)*(d_Irr!AW20)),IF(AND(d_Irr!X20&lt;&gt;".",d_Irr!AW20=".",d_Irr!BV20="."),d_dir!Y20/((1/1000)*(d_Irr!X20)),IF(AND(d_Irr!X20=".",d_Irr!AW20=".",d_Irr!BV20="."),d_dir!Y20*1000)))))))),".")</f>
        <v>.</v>
      </c>
      <c r="Z20" s="70" t="str">
        <f>IFERROR(IF(AND(d_Irr!Y20&lt;&gt;".",d_Irr!AX20&lt;&gt;".",d_Irr!BW20&lt;&gt;"."),d_dir!Z20/((1/1000)*(d_Irr!Y20+d_Irr!AX20+d_Irr!BW20)),IF(AND(d_Irr!Y20&lt;&gt;".",d_Irr!AX20&lt;&gt;".",d_Irr!BW20="."),d_dir!Z20/((1/1000)*(d_Irr!Y20+d_Irr!AX20)),IF(AND(d_Irr!Y20&lt;&gt;".",d_Irr!AX20=".",d_Irr!BW20&lt;&gt;"."),d_dir!Z20/((1/1000)*(d_Irr!Y20+d_Irr!BW20)),IF(AND(d_Irr!Y20=".",d_Irr!AX20&lt;&gt;".",d_Irr!BW20&lt;&gt;"."),d_dir!Z20/((1/1000)*(d_Irr!AX20+d_Irr!BW20)),IF(AND(d_Irr!Y20=".",d_Irr!AX20=".",d_Irr!BW20&lt;&gt;"."),d_dir!Z20/((1/1000)*(d_Irr!BW20)),IF(AND(d_Irr!Y20=".",d_Irr!AX20&lt;&gt;".",d_Irr!BW20="."),d_dir!Z20/((1/1000)*(d_Irr!AX20)),IF(AND(d_Irr!Y20&lt;&gt;".",d_Irr!AX20=".",d_Irr!BW20="."),d_dir!Z20/((1/1000)*(d_Irr!Y20)),IF(AND(d_Irr!Y20=".",d_Irr!AX20=".",d_Irr!BW20="."),d_dir!Z20*1000)))))))),".")</f>
        <v>.</v>
      </c>
      <c r="AA20" s="70" t="str">
        <f>IFERROR(IF(AND(d_Irr!Z20&lt;&gt;".",d_Irr!AY20&lt;&gt;".",d_Irr!BX20&lt;&gt;"."),d_dir!AA20/((1/1000)*(d_Irr!Z20+d_Irr!AY20+d_Irr!BX20)),IF(AND(d_Irr!Z20&lt;&gt;".",d_Irr!AY20&lt;&gt;".",d_Irr!BX20="."),d_dir!AA20/((1/1000)*(d_Irr!Z20+d_Irr!AY20)),IF(AND(d_Irr!Z20&lt;&gt;".",d_Irr!AY20=".",d_Irr!BX20&lt;&gt;"."),d_dir!AA20/((1/1000)*(d_Irr!Z20+d_Irr!BX20)),IF(AND(d_Irr!Z20=".",d_Irr!AY20&lt;&gt;".",d_Irr!BX20&lt;&gt;"."),d_dir!AA20/((1/1000)*(d_Irr!AY20+d_Irr!BX20)),IF(AND(d_Irr!Z20=".",d_Irr!AY20=".",d_Irr!BX20&lt;&gt;"."),d_dir!AA20/((1/1000)*(d_Irr!BX20)),IF(AND(d_Irr!Z20=".",d_Irr!AY20&lt;&gt;".",d_Irr!BX20="."),d_dir!AA20/((1/1000)*(d_Irr!AY20)),IF(AND(d_Irr!Z20&lt;&gt;".",d_Irr!AY20=".",d_Irr!BX20="."),d_dir!AA20/((1/1000)*(d_Irr!Z20)),IF(AND(d_Irr!Z20=".",d_Irr!AY20=".",d_Irr!BX20="."),d_dir!AA20*1000)))))))),".")</f>
        <v>.</v>
      </c>
      <c r="AB20" s="70" t="str">
        <f>IFERROR(IF(AND(d_Irr!AA20&lt;&gt;".",d_Irr!AZ20&lt;&gt;".",d_Irr!BY20&lt;&gt;"."),d_dir!AB20/((1/1000)*(d_Irr!AA20+d_Irr!AZ20+d_Irr!BY20)),IF(AND(d_Irr!AA20&lt;&gt;".",d_Irr!AZ20&lt;&gt;".",d_Irr!BY20="."),d_dir!AB20/((1/1000)*(d_Irr!AA20+d_Irr!AZ20)),IF(AND(d_Irr!AA20&lt;&gt;".",d_Irr!AZ20=".",d_Irr!BY20&lt;&gt;"."),d_dir!AB20/((1/1000)*(d_Irr!AA20+d_Irr!BY20)),IF(AND(d_Irr!AA20=".",d_Irr!AZ20&lt;&gt;".",d_Irr!BY20&lt;&gt;"."),d_dir!AB20/((1/1000)*(d_Irr!AZ20+d_Irr!BY20)),IF(AND(d_Irr!AA20=".",d_Irr!AZ20=".",d_Irr!BY20&lt;&gt;"."),d_dir!AB20/((1/1000)*(d_Irr!BY20)),IF(AND(d_Irr!AA20=".",d_Irr!AZ20&lt;&gt;".",d_Irr!BY20="."),d_dir!AB20/((1/1000)*(d_Irr!AZ20)),IF(AND(d_Irr!AA20&lt;&gt;".",d_Irr!AZ20=".",d_Irr!BY20="."),d_dir!AB20/((1/1000)*(d_Irr!AA20)),IF(AND(d_Irr!AA20=".",d_Irr!AZ20=".",d_Irr!BY20="."),d_dir!AB20*1000)))))))),".")</f>
        <v>.</v>
      </c>
      <c r="AC20" s="70" t="str">
        <f t="shared" si="0"/>
        <v>.</v>
      </c>
      <c r="AD20" s="70" t="str">
        <f>IFERROR(IF(AND(d_Irr!C20&lt;&gt;".",d_Irr!AB20&lt;&gt;".",d_Irr!BA20&lt;&gt;"."),d_dir!AD20/((1/1000)*(d_Irr!C20+d_Irr!AB20+d_Irr!BA20)),IF(AND(d_Irr!C20&lt;&gt;".",d_Irr!AB20&lt;&gt;".",d_Irr!BA20="."),d_dir!AD20/((1/1000)*(d_Irr!C20+d_Irr!AB20)),IF(AND(d_Irr!C20&lt;&gt;".",d_Irr!AB20=".",d_Irr!BA20&lt;&gt;"."),d_dir!AD20/((1/1000)*(d_Irr!C20+d_Irr!BA20)),IF(AND(d_Irr!C20=".",d_Irr!AB20&lt;&gt;".",d_Irr!BA20&lt;&gt;"."),d_dir!AD20/((1/1000)*(d_Irr!AB20+d_Irr!BA20)),IF(AND(d_Irr!C20=".",d_Irr!AB20=".",d_Irr!BA20&lt;&gt;"."),d_dir!AD20/((1/1000)*(d_Irr!BA20)),IF(AND(d_Irr!C20=".",d_Irr!AB20&lt;&gt;".",d_Irr!BA20="."),d_dir!AD20/((1/1000)*(d_Irr!AB20)),IF(AND(d_Irr!C20&lt;&gt;".",d_Irr!AB20=".",d_Irr!BA20="."),d_dir!AD20/((1/1000)*(d_Irr!C20)),IF(AND(d_Irr!C20=".",d_Irr!AB20=".",d_Irr!BA20="."),d_dir!AD20*1000)))))))),".")</f>
        <v>.</v>
      </c>
      <c r="AE20" s="70" t="str">
        <f>IFERROR(IF(AND(d_Irr!D20&lt;&gt;".",d_Irr!AC20&lt;&gt;".",d_Irr!BB20&lt;&gt;"."),d_dir!AE20/((1/1000)*(d_Irr!D20+d_Irr!AC20+d_Irr!BB20)),IF(AND(d_Irr!D20&lt;&gt;".",d_Irr!AC20&lt;&gt;".",d_Irr!BB20="."),d_dir!AE20/((1/1000)*(d_Irr!D20+d_Irr!AC20)),IF(AND(d_Irr!D20&lt;&gt;".",d_Irr!AC20=".",d_Irr!BB20&lt;&gt;"."),d_dir!AE20/((1/1000)*(d_Irr!D20+d_Irr!BB20)),IF(AND(d_Irr!D20=".",d_Irr!AC20&lt;&gt;".",d_Irr!BB20&lt;&gt;"."),d_dir!AE20/((1/1000)*(d_Irr!AC20+d_Irr!BB20)),IF(AND(d_Irr!D20=".",d_Irr!AC20=".",d_Irr!BB20&lt;&gt;"."),d_dir!AE20/((1/1000)*(d_Irr!BB20)),IF(AND(d_Irr!D20=".",d_Irr!AC20&lt;&gt;".",d_Irr!BB20="."),d_dir!AE20/((1/1000)*(d_Irr!AC20)),IF(AND(d_Irr!D20&lt;&gt;".",d_Irr!AC20=".",d_Irr!BB20="."),d_dir!AE20/((1/1000)*(d_Irr!D20)),IF(AND(d_Irr!D20=".",d_Irr!AC20=".",d_Irr!BB20="."),d_dir!AE20*1000)))))))),".")</f>
        <v>.</v>
      </c>
      <c r="AF20" s="70" t="str">
        <f>IFERROR(IF(AND(d_Irr!E20&lt;&gt;".",d_Irr!AD20&lt;&gt;".",d_Irr!BC20&lt;&gt;"."),d_dir!AF20/((1/1000)*(d_Irr!E20+d_Irr!AD20+d_Irr!BC20)),IF(AND(d_Irr!E20&lt;&gt;".",d_Irr!AD20&lt;&gt;".",d_Irr!BC20="."),d_dir!AF20/((1/1000)*(d_Irr!E20+d_Irr!AD20)),IF(AND(d_Irr!E20&lt;&gt;".",d_Irr!AD20=".",d_Irr!BC20&lt;&gt;"."),d_dir!AF20/((1/1000)*(d_Irr!E20+d_Irr!BC20)),IF(AND(d_Irr!E20=".",d_Irr!AD20&lt;&gt;".",d_Irr!BC20&lt;&gt;"."),d_dir!AF20/((1/1000)*(d_Irr!AD20+d_Irr!BC20)),IF(AND(d_Irr!E20=".",d_Irr!AD20=".",d_Irr!BC20&lt;&gt;"."),d_dir!AF20/((1/1000)*(d_Irr!BC20)),IF(AND(d_Irr!E20=".",d_Irr!AD20&lt;&gt;".",d_Irr!BC20="."),d_dir!AF20/((1/1000)*(d_Irr!AD20)),IF(AND(d_Irr!E20&lt;&gt;".",d_Irr!AD20=".",d_Irr!BC20="."),d_dir!AF20/((1/1000)*(d_Irr!E20)),IF(AND(d_Irr!E20=".",d_Irr!AD20=".",d_Irr!BC20="."),d_dir!AF20*1000)))))))),".")</f>
        <v>.</v>
      </c>
      <c r="AG20" s="70" t="str">
        <f>IFERROR(IF(AND(d_Irr!F20&lt;&gt;".",d_Irr!AE20&lt;&gt;".",d_Irr!BD20&lt;&gt;"."),d_dir!AG20/((1/1000)*(d_Irr!F20+d_Irr!AE20+d_Irr!BD20)),IF(AND(d_Irr!F20&lt;&gt;".",d_Irr!AE20&lt;&gt;".",d_Irr!BD20="."),d_dir!AG20/((1/1000)*(d_Irr!F20+d_Irr!AE20)),IF(AND(d_Irr!F20&lt;&gt;".",d_Irr!AE20=".",d_Irr!BD20&lt;&gt;"."),d_dir!AG20/((1/1000)*(d_Irr!F20+d_Irr!BD20)),IF(AND(d_Irr!F20=".",d_Irr!AE20&lt;&gt;".",d_Irr!BD20&lt;&gt;"."),d_dir!AG20/((1/1000)*(d_Irr!AE20+d_Irr!BD20)),IF(AND(d_Irr!F20=".",d_Irr!AE20=".",d_Irr!BD20&lt;&gt;"."),d_dir!AG20/((1/1000)*(d_Irr!BD20)),IF(AND(d_Irr!F20=".",d_Irr!AE20&lt;&gt;".",d_Irr!BD20="."),d_dir!AG20/((1/1000)*(d_Irr!AE20)),IF(AND(d_Irr!F20&lt;&gt;".",d_Irr!AE20=".",d_Irr!BD20="."),d_dir!AG20/((1/1000)*(d_Irr!F20)),IF(AND(d_Irr!F20=".",d_Irr!AE20=".",d_Irr!BD20="."),d_dir!AG20*1000)))))))),".")</f>
        <v>.</v>
      </c>
      <c r="AH20" s="70" t="str">
        <f>IFERROR(IF(AND(d_Irr!G20&lt;&gt;".",d_Irr!AF20&lt;&gt;".",d_Irr!BE20&lt;&gt;"."),d_dir!AH20/((1/1000)*(d_Irr!G20+d_Irr!AF20+d_Irr!BE20)),IF(AND(d_Irr!G20&lt;&gt;".",d_Irr!AF20&lt;&gt;".",d_Irr!BE20="."),d_dir!AH20/((1/1000)*(d_Irr!G20+d_Irr!AF20)),IF(AND(d_Irr!G20&lt;&gt;".",d_Irr!AF20=".",d_Irr!BE20&lt;&gt;"."),d_dir!AH20/((1/1000)*(d_Irr!G20+d_Irr!BE20)),IF(AND(d_Irr!G20=".",d_Irr!AF20&lt;&gt;".",d_Irr!BE20&lt;&gt;"."),d_dir!AH20/((1/1000)*(d_Irr!AF20+d_Irr!BE20)),IF(AND(d_Irr!G20=".",d_Irr!AF20=".",d_Irr!BE20&lt;&gt;"."),d_dir!AH20/((1/1000)*(d_Irr!BE20)),IF(AND(d_Irr!G20=".",d_Irr!AF20&lt;&gt;".",d_Irr!BE20="."),d_dir!AH20/((1/1000)*(d_Irr!AF20)),IF(AND(d_Irr!G20&lt;&gt;".",d_Irr!AF20=".",d_Irr!BE20="."),d_dir!AH20/((1/1000)*(d_Irr!G20)),IF(AND(d_Irr!G20=".",d_Irr!AF20=".",d_Irr!BE20="."),d_dir!AH20*1000)))))))),".")</f>
        <v>.</v>
      </c>
      <c r="AI20" s="70" t="str">
        <f>IFERROR(IF(AND(d_Irr!H20&lt;&gt;".",d_Irr!AG20&lt;&gt;".",d_Irr!BF20&lt;&gt;"."),d_dir!AI20/((1/1000)*(d_Irr!H20+d_Irr!AG20+d_Irr!BF20)),IF(AND(d_Irr!H20&lt;&gt;".",d_Irr!AG20&lt;&gt;".",d_Irr!BF20="."),d_dir!AI20/((1/1000)*(d_Irr!H20+d_Irr!AG20)),IF(AND(d_Irr!H20&lt;&gt;".",d_Irr!AG20=".",d_Irr!BF20&lt;&gt;"."),d_dir!AI20/((1/1000)*(d_Irr!H20+d_Irr!BF20)),IF(AND(d_Irr!H20=".",d_Irr!AG20&lt;&gt;".",d_Irr!BF20&lt;&gt;"."),d_dir!AI20/((1/1000)*(d_Irr!AG20+d_Irr!BF20)),IF(AND(d_Irr!H20=".",d_Irr!AG20=".",d_Irr!BF20&lt;&gt;"."),d_dir!AI20/((1/1000)*(d_Irr!BF20)),IF(AND(d_Irr!H20=".",d_Irr!AG20&lt;&gt;".",d_Irr!BF20="."),d_dir!AI20/((1/1000)*(d_Irr!AG20)),IF(AND(d_Irr!H20&lt;&gt;".",d_Irr!AG20=".",d_Irr!BF20="."),d_dir!AI20/((1/1000)*(d_Irr!H20)),IF(AND(d_Irr!H20=".",d_Irr!AG20=".",d_Irr!BF20="."),d_dir!AI20*1000)))))))),".")</f>
        <v>.</v>
      </c>
      <c r="AJ20" s="70" t="str">
        <f>IFERROR(IF(AND(d_Irr!I20&lt;&gt;".",d_Irr!AH20&lt;&gt;".",d_Irr!BG20&lt;&gt;"."),d_dir!AJ20/((1/1000)*(d_Irr!I20+d_Irr!AH20+d_Irr!BG20)),IF(AND(d_Irr!I20&lt;&gt;".",d_Irr!AH20&lt;&gt;".",d_Irr!BG20="."),d_dir!AJ20/((1/1000)*(d_Irr!I20+d_Irr!AH20)),IF(AND(d_Irr!I20&lt;&gt;".",d_Irr!AH20=".",d_Irr!BG20&lt;&gt;"."),d_dir!AJ20/((1/1000)*(d_Irr!I20+d_Irr!BG20)),IF(AND(d_Irr!I20=".",d_Irr!AH20&lt;&gt;".",d_Irr!BG20&lt;&gt;"."),d_dir!AJ20/((1/1000)*(d_Irr!AH20+d_Irr!BG20)),IF(AND(d_Irr!I20=".",d_Irr!AH20=".",d_Irr!BG20&lt;&gt;"."),d_dir!AJ20/((1/1000)*(d_Irr!BG20)),IF(AND(d_Irr!I20=".",d_Irr!AH20&lt;&gt;".",d_Irr!BG20="."),d_dir!AJ20/((1/1000)*(d_Irr!AH20)),IF(AND(d_Irr!I20&lt;&gt;".",d_Irr!AH20=".",d_Irr!BG20="."),d_dir!AJ20/((1/1000)*(d_Irr!I20)),IF(AND(d_Irr!I20=".",d_Irr!AH20=".",d_Irr!BG20="."),d_dir!AJ20*1000)))))))),".")</f>
        <v>.</v>
      </c>
      <c r="AK20" s="70" t="str">
        <f>IFERROR(IF(AND(d_Irr!J20&lt;&gt;".",d_Irr!AI20&lt;&gt;".",d_Irr!BH20&lt;&gt;"."),d_dir!AK20/((1/1000)*(d_Irr!J20+d_Irr!AI20+d_Irr!BH20)),IF(AND(d_Irr!J20&lt;&gt;".",d_Irr!AI20&lt;&gt;".",d_Irr!BH20="."),d_dir!AK20/((1/1000)*(d_Irr!J20+d_Irr!AI20)),IF(AND(d_Irr!J20&lt;&gt;".",d_Irr!AI20=".",d_Irr!BH20&lt;&gt;"."),d_dir!AK20/((1/1000)*(d_Irr!J20+d_Irr!BH20)),IF(AND(d_Irr!J20=".",d_Irr!AI20&lt;&gt;".",d_Irr!BH20&lt;&gt;"."),d_dir!AK20/((1/1000)*(d_Irr!AI20+d_Irr!BH20)),IF(AND(d_Irr!J20=".",d_Irr!AI20=".",d_Irr!BH20&lt;&gt;"."),d_dir!AK20/((1/1000)*(d_Irr!BH20)),IF(AND(d_Irr!J20=".",d_Irr!AI20&lt;&gt;".",d_Irr!BH20="."),d_dir!AK20/((1/1000)*(d_Irr!AI20)),IF(AND(d_Irr!J20&lt;&gt;".",d_Irr!AI20=".",d_Irr!BH20="."),d_dir!AK20/((1/1000)*(d_Irr!J20)),IF(AND(d_Irr!J20=".",d_Irr!AI20=".",d_Irr!BH20="."),d_dir!AK20*1000)))))))),".")</f>
        <v>.</v>
      </c>
      <c r="AL20" s="70" t="str">
        <f>IFERROR(IF(AND(d_Irr!K20&lt;&gt;".",d_Irr!AJ20&lt;&gt;".",d_Irr!BI20&lt;&gt;"."),d_dir!AL20/((1/1000)*(d_Irr!K20+d_Irr!AJ20+d_Irr!BI20)),IF(AND(d_Irr!K20&lt;&gt;".",d_Irr!AJ20&lt;&gt;".",d_Irr!BI20="."),d_dir!AL20/((1/1000)*(d_Irr!K20+d_Irr!AJ20)),IF(AND(d_Irr!K20&lt;&gt;".",d_Irr!AJ20=".",d_Irr!BI20&lt;&gt;"."),d_dir!AL20/((1/1000)*(d_Irr!K20+d_Irr!BI20)),IF(AND(d_Irr!K20=".",d_Irr!AJ20&lt;&gt;".",d_Irr!BI20&lt;&gt;"."),d_dir!AL20/((1/1000)*(d_Irr!AJ20+d_Irr!BI20)),IF(AND(d_Irr!K20=".",d_Irr!AJ20=".",d_Irr!BI20&lt;&gt;"."),d_dir!AL20/((1/1000)*(d_Irr!BI20)),IF(AND(d_Irr!K20=".",d_Irr!AJ20&lt;&gt;".",d_Irr!BI20="."),d_dir!AL20/((1/1000)*(d_Irr!AJ20)),IF(AND(d_Irr!K20&lt;&gt;".",d_Irr!AJ20=".",d_Irr!BI20="."),d_dir!AL20/((1/1000)*(d_Irr!K20)),IF(AND(d_Irr!K20=".",d_Irr!AJ20=".",d_Irr!BI20="."),d_dir!AL20*1000)))))))),".")</f>
        <v>.</v>
      </c>
      <c r="AM20" s="70" t="str">
        <f>IFERROR(IF(AND(d_Irr!L20&lt;&gt;".",d_Irr!AK20&lt;&gt;".",d_Irr!BJ20&lt;&gt;"."),d_dir!AM20/((1/1000)*(d_Irr!L20+d_Irr!AK20+d_Irr!BJ20)),IF(AND(d_Irr!L20&lt;&gt;".",d_Irr!AK20&lt;&gt;".",d_Irr!BJ20="."),d_dir!AM20/((1/1000)*(d_Irr!L20+d_Irr!AK20)),IF(AND(d_Irr!L20&lt;&gt;".",d_Irr!AK20=".",d_Irr!BJ20&lt;&gt;"."),d_dir!AM20/((1/1000)*(d_Irr!L20+d_Irr!BJ20)),IF(AND(d_Irr!L20=".",d_Irr!AK20&lt;&gt;".",d_Irr!BJ20&lt;&gt;"."),d_dir!AM20/((1/1000)*(d_Irr!AK20+d_Irr!BJ20)),IF(AND(d_Irr!L20=".",d_Irr!AK20=".",d_Irr!BJ20&lt;&gt;"."),d_dir!AM20/((1/1000)*(d_Irr!BJ20)),IF(AND(d_Irr!L20=".",d_Irr!AK20&lt;&gt;".",d_Irr!BJ20="."),d_dir!AM20/((1/1000)*(d_Irr!AK20)),IF(AND(d_Irr!L20&lt;&gt;".",d_Irr!AK20=".",d_Irr!BJ20="."),d_dir!AM20/((1/1000)*(d_Irr!L20)),IF(AND(d_Irr!L20=".",d_Irr!AK20=".",d_Irr!BJ20="."),d_dir!AM20*1000)))))))),".")</f>
        <v>.</v>
      </c>
      <c r="AN20" s="70" t="str">
        <f>IFERROR(IF(AND(d_Irr!M20&lt;&gt;".",d_Irr!AL20&lt;&gt;".",d_Irr!BK20&lt;&gt;"."),d_dir!AN20/((1/1000)*(d_Irr!M20+d_Irr!AL20+d_Irr!BK20)),IF(AND(d_Irr!M20&lt;&gt;".",d_Irr!AL20&lt;&gt;".",d_Irr!BK20="."),d_dir!AN20/((1/1000)*(d_Irr!M20+d_Irr!AL20)),IF(AND(d_Irr!M20&lt;&gt;".",d_Irr!AL20=".",d_Irr!BK20&lt;&gt;"."),d_dir!AN20/((1/1000)*(d_Irr!M20+d_Irr!BK20)),IF(AND(d_Irr!M20=".",d_Irr!AL20&lt;&gt;".",d_Irr!BK20&lt;&gt;"."),d_dir!AN20/((1/1000)*(d_Irr!AL20+d_Irr!BK20)),IF(AND(d_Irr!M20=".",d_Irr!AL20=".",d_Irr!BK20&lt;&gt;"."),d_dir!AN20/((1/1000)*(d_Irr!BK20)),IF(AND(d_Irr!M20=".",d_Irr!AL20&lt;&gt;".",d_Irr!BK20="."),d_dir!AN20/((1/1000)*(d_Irr!AL20)),IF(AND(d_Irr!M20&lt;&gt;".",d_Irr!AL20=".",d_Irr!BK20="."),d_dir!AN20/((1/1000)*(d_Irr!M20)),IF(AND(d_Irr!M20=".",d_Irr!AL20=".",d_Irr!BK20="."),d_dir!AN20*1000)))))))),".")</f>
        <v>.</v>
      </c>
      <c r="AO20" s="70" t="str">
        <f>IFERROR(IF(AND(d_Irr!N20&lt;&gt;".",d_Irr!AM20&lt;&gt;".",d_Irr!BL20&lt;&gt;"."),d_dir!AO20/((1/1000)*(d_Irr!N20+d_Irr!AM20+d_Irr!BL20)),IF(AND(d_Irr!N20&lt;&gt;".",d_Irr!AM20&lt;&gt;".",d_Irr!BL20="."),d_dir!AO20/((1/1000)*(d_Irr!N20+d_Irr!AM20)),IF(AND(d_Irr!N20&lt;&gt;".",d_Irr!AM20=".",d_Irr!BL20&lt;&gt;"."),d_dir!AO20/((1/1000)*(d_Irr!N20+d_Irr!BL20)),IF(AND(d_Irr!N20=".",d_Irr!AM20&lt;&gt;".",d_Irr!BL20&lt;&gt;"."),d_dir!AO20/((1/1000)*(d_Irr!AM20+d_Irr!BL20)),IF(AND(d_Irr!N20=".",d_Irr!AM20=".",d_Irr!BL20&lt;&gt;"."),d_dir!AO20/((1/1000)*(d_Irr!BL20)),IF(AND(d_Irr!N20=".",d_Irr!AM20&lt;&gt;".",d_Irr!BL20="."),d_dir!AO20/((1/1000)*(d_Irr!AM20)),IF(AND(d_Irr!N20&lt;&gt;".",d_Irr!AM20=".",d_Irr!BL20="."),d_dir!AO20/((1/1000)*(d_Irr!N20)),IF(AND(d_Irr!N20=".",d_Irr!AM20=".",d_Irr!BL20="."),d_dir!AO20*1000)))))))),".")</f>
        <v>.</v>
      </c>
      <c r="AP20" s="70" t="str">
        <f>IFERROR(IF(AND(d_Irr!O20&lt;&gt;".",d_Irr!AN20&lt;&gt;".",d_Irr!BM20&lt;&gt;"."),d_dir!AP20/((1/1000)*(d_Irr!O20+d_Irr!AN20+d_Irr!BM20)),IF(AND(d_Irr!O20&lt;&gt;".",d_Irr!AN20&lt;&gt;".",d_Irr!BM20="."),d_dir!AP20/((1/1000)*(d_Irr!O20+d_Irr!AN20)),IF(AND(d_Irr!O20&lt;&gt;".",d_Irr!AN20=".",d_Irr!BM20&lt;&gt;"."),d_dir!AP20/((1/1000)*(d_Irr!O20+d_Irr!BM20)),IF(AND(d_Irr!O20=".",d_Irr!AN20&lt;&gt;".",d_Irr!BM20&lt;&gt;"."),d_dir!AP20/((1/1000)*(d_Irr!AN20+d_Irr!BM20)),IF(AND(d_Irr!O20=".",d_Irr!AN20=".",d_Irr!BM20&lt;&gt;"."),d_dir!AP20/((1/1000)*(d_Irr!BM20)),IF(AND(d_Irr!O20=".",d_Irr!AN20&lt;&gt;".",d_Irr!BM20="."),d_dir!AP20/((1/1000)*(d_Irr!AN20)),IF(AND(d_Irr!O20&lt;&gt;".",d_Irr!AN20=".",d_Irr!BM20="."),d_dir!AP20/((1/1000)*(d_Irr!O20)),IF(AND(d_Irr!O20=".",d_Irr!AN20=".",d_Irr!BM20="."),d_dir!AP20*1000)))))))),".")</f>
        <v>.</v>
      </c>
      <c r="AQ20" s="70" t="str">
        <f>IFERROR(IF(AND(d_Irr!P20&lt;&gt;".",d_Irr!AO20&lt;&gt;".",d_Irr!BN20&lt;&gt;"."),d_dir!AQ20/((1/1000)*(d_Irr!P20+d_Irr!AO20+d_Irr!BN20)),IF(AND(d_Irr!P20&lt;&gt;".",d_Irr!AO20&lt;&gt;".",d_Irr!BN20="."),d_dir!AQ20/((1/1000)*(d_Irr!P20+d_Irr!AO20)),IF(AND(d_Irr!P20&lt;&gt;".",d_Irr!AO20=".",d_Irr!BN20&lt;&gt;"."),d_dir!AQ20/((1/1000)*(d_Irr!P20+d_Irr!BN20)),IF(AND(d_Irr!P20=".",d_Irr!AO20&lt;&gt;".",d_Irr!BN20&lt;&gt;"."),d_dir!AQ20/((1/1000)*(d_Irr!AO20+d_Irr!BN20)),IF(AND(d_Irr!P20=".",d_Irr!AO20=".",d_Irr!BN20&lt;&gt;"."),d_dir!AQ20/((1/1000)*(d_Irr!BN20)),IF(AND(d_Irr!P20=".",d_Irr!AO20&lt;&gt;".",d_Irr!BN20="."),d_dir!AQ20/((1/1000)*(d_Irr!AO20)),IF(AND(d_Irr!P20&lt;&gt;".",d_Irr!AO20=".",d_Irr!BN20="."),d_dir!AQ20/((1/1000)*(d_Irr!P20)),IF(AND(d_Irr!P20=".",d_Irr!AO20=".",d_Irr!BN20="."),d_dir!AQ20*1000)))))))),".")</f>
        <v>.</v>
      </c>
      <c r="AR20" s="70" t="str">
        <f>IFERROR(IF(AND(d_Irr!Q20&lt;&gt;".",d_Irr!AP20&lt;&gt;".",d_Irr!BO20&lt;&gt;"."),d_dir!AR20/((1/1000)*(d_Irr!Q20+d_Irr!AP20+d_Irr!BO20)),IF(AND(d_Irr!Q20&lt;&gt;".",d_Irr!AP20&lt;&gt;".",d_Irr!BO20="."),d_dir!AR20/((1/1000)*(d_Irr!Q20+d_Irr!AP20)),IF(AND(d_Irr!Q20&lt;&gt;".",d_Irr!AP20=".",d_Irr!BO20&lt;&gt;"."),d_dir!AR20/((1/1000)*(d_Irr!Q20+d_Irr!BO20)),IF(AND(d_Irr!Q20=".",d_Irr!AP20&lt;&gt;".",d_Irr!BO20&lt;&gt;"."),d_dir!AR20/((1/1000)*(d_Irr!AP20+d_Irr!BO20)),IF(AND(d_Irr!Q20=".",d_Irr!AP20=".",d_Irr!BO20&lt;&gt;"."),d_dir!AR20/((1/1000)*(d_Irr!BO20)),IF(AND(d_Irr!Q20=".",d_Irr!AP20&lt;&gt;".",d_Irr!BO20="."),d_dir!AR20/((1/1000)*(d_Irr!AP20)),IF(AND(d_Irr!Q20&lt;&gt;".",d_Irr!AP20=".",d_Irr!BO20="."),d_dir!AR20/((1/1000)*(d_Irr!Q20)),IF(AND(d_Irr!Q20=".",d_Irr!AP20=".",d_Irr!BO20="."),d_dir!AR20*1000)))))))),".")</f>
        <v>.</v>
      </c>
      <c r="AS20" s="70" t="str">
        <f>IFERROR(IF(AND(d_Irr!R20&lt;&gt;".",d_Irr!AQ20&lt;&gt;".",d_Irr!BP20&lt;&gt;"."),d_dir!AS20/((1/1000)*(d_Irr!R20+d_Irr!AQ20+d_Irr!BP20)),IF(AND(d_Irr!R20&lt;&gt;".",d_Irr!AQ20&lt;&gt;".",d_Irr!BP20="."),d_dir!AS20/((1/1000)*(d_Irr!R20+d_Irr!AQ20)),IF(AND(d_Irr!R20&lt;&gt;".",d_Irr!AQ20=".",d_Irr!BP20&lt;&gt;"."),d_dir!AS20/((1/1000)*(d_Irr!R20+d_Irr!BP20)),IF(AND(d_Irr!R20=".",d_Irr!AQ20&lt;&gt;".",d_Irr!BP20&lt;&gt;"."),d_dir!AS20/((1/1000)*(d_Irr!AQ20+d_Irr!BP20)),IF(AND(d_Irr!R20=".",d_Irr!AQ20=".",d_Irr!BP20&lt;&gt;"."),d_dir!AS20/((1/1000)*(d_Irr!BP20)),IF(AND(d_Irr!R20=".",d_Irr!AQ20&lt;&gt;".",d_Irr!BP20="."),d_dir!AS20/((1/1000)*(d_Irr!AQ20)),IF(AND(d_Irr!R20&lt;&gt;".",d_Irr!AQ20=".",d_Irr!BP20="."),d_dir!AS20/((1/1000)*(d_Irr!R20)),IF(AND(d_Irr!R20=".",d_Irr!AQ20=".",d_Irr!BP20="."),d_dir!AS20*1000)))))))),".")</f>
        <v>.</v>
      </c>
      <c r="AT20" s="70" t="str">
        <f>IFERROR(IF(AND(d_Irr!S20&lt;&gt;".",d_Irr!AR20&lt;&gt;".",d_Irr!BQ20&lt;&gt;"."),d_dir!AT20/((1/1000)*(d_Irr!S20+d_Irr!AR20+d_Irr!BQ20)),IF(AND(d_Irr!S20&lt;&gt;".",d_Irr!AR20&lt;&gt;".",d_Irr!BQ20="."),d_dir!AT20/((1/1000)*(d_Irr!S20+d_Irr!AR20)),IF(AND(d_Irr!S20&lt;&gt;".",d_Irr!AR20=".",d_Irr!BQ20&lt;&gt;"."),d_dir!AT20/((1/1000)*(d_Irr!S20+d_Irr!BQ20)),IF(AND(d_Irr!S20=".",d_Irr!AR20&lt;&gt;".",d_Irr!BQ20&lt;&gt;"."),d_dir!AT20/((1/1000)*(d_Irr!AR20+d_Irr!BQ20)),IF(AND(d_Irr!S20=".",d_Irr!AR20=".",d_Irr!BQ20&lt;&gt;"."),d_dir!AT20/((1/1000)*(d_Irr!BQ20)),IF(AND(d_Irr!S20=".",d_Irr!AR20&lt;&gt;".",d_Irr!BQ20="."),d_dir!AT20/((1/1000)*(d_Irr!AR20)),IF(AND(d_Irr!S20&lt;&gt;".",d_Irr!AR20=".",d_Irr!BQ20="."),d_dir!AT20/((1/1000)*(d_Irr!S20)),IF(AND(d_Irr!S20=".",d_Irr!AR20=".",d_Irr!BQ20="."),d_dir!AT20*1000)))))))),".")</f>
        <v>.</v>
      </c>
      <c r="AU20" s="70" t="str">
        <f>IFERROR(IF(AND(d_Irr!T20&lt;&gt;".",d_Irr!AS20&lt;&gt;".",d_Irr!BR20&lt;&gt;"."),d_dir!AU20/((1/1000)*(d_Irr!T20+d_Irr!AS20+d_Irr!BR20)),IF(AND(d_Irr!T20&lt;&gt;".",d_Irr!AS20&lt;&gt;".",d_Irr!BR20="."),d_dir!AU20/((1/1000)*(d_Irr!T20+d_Irr!AS20)),IF(AND(d_Irr!T20&lt;&gt;".",d_Irr!AS20=".",d_Irr!BR20&lt;&gt;"."),d_dir!AU20/((1/1000)*(d_Irr!T20+d_Irr!BR20)),IF(AND(d_Irr!T20=".",d_Irr!AS20&lt;&gt;".",d_Irr!BR20&lt;&gt;"."),d_dir!AU20/((1/1000)*(d_Irr!AS20+d_Irr!BR20)),IF(AND(d_Irr!T20=".",d_Irr!AS20=".",d_Irr!BR20&lt;&gt;"."),d_dir!AU20/((1/1000)*(d_Irr!BR20)),IF(AND(d_Irr!T20=".",d_Irr!AS20&lt;&gt;".",d_Irr!BR20="."),d_dir!AU20/((1/1000)*(d_Irr!AS20)),IF(AND(d_Irr!T20&lt;&gt;".",d_Irr!AS20=".",d_Irr!BR20="."),d_dir!AU20/((1/1000)*(d_Irr!T20)),IF(AND(d_Irr!T20=".",d_Irr!AS20=".",d_Irr!BR20="."),d_dir!AU20*1000)))))))),".")</f>
        <v>.</v>
      </c>
      <c r="AV20" s="70" t="str">
        <f>IFERROR(IF(AND(d_Irr!U20&lt;&gt;".",d_Irr!AT20&lt;&gt;".",d_Irr!BS20&lt;&gt;"."),d_dir!AV20/((1/1000)*(d_Irr!U20+d_Irr!AT20+d_Irr!BS20)),IF(AND(d_Irr!U20&lt;&gt;".",d_Irr!AT20&lt;&gt;".",d_Irr!BS20="."),d_dir!AV20/((1/1000)*(d_Irr!U20+d_Irr!AT20)),IF(AND(d_Irr!U20&lt;&gt;".",d_Irr!AT20=".",d_Irr!BS20&lt;&gt;"."),d_dir!AV20/((1/1000)*(d_Irr!U20+d_Irr!BS20)),IF(AND(d_Irr!U20=".",d_Irr!AT20&lt;&gt;".",d_Irr!BS20&lt;&gt;"."),d_dir!AV20/((1/1000)*(d_Irr!AT20+d_Irr!BS20)),IF(AND(d_Irr!U20=".",d_Irr!AT20=".",d_Irr!BS20&lt;&gt;"."),d_dir!AV20/((1/1000)*(d_Irr!BS20)),IF(AND(d_Irr!U20=".",d_Irr!AT20&lt;&gt;".",d_Irr!BS20="."),d_dir!AV20/((1/1000)*(d_Irr!AT20)),IF(AND(d_Irr!U20&lt;&gt;".",d_Irr!AT20=".",d_Irr!BS20="."),d_dir!AV20/((1/1000)*(d_Irr!U20)),IF(AND(d_Irr!U20=".",d_Irr!AT20=".",d_Irr!BS20="."),d_dir!AV20*1000)))))))),".")</f>
        <v>.</v>
      </c>
      <c r="AW20" s="70" t="str">
        <f>IFERROR(IF(AND(d_Irr!V20&lt;&gt;".",d_Irr!AU20&lt;&gt;".",d_Irr!BT20&lt;&gt;"."),d_dir!AW20/((1/1000)*(d_Irr!V20+d_Irr!AU20+d_Irr!BT20)),IF(AND(d_Irr!V20&lt;&gt;".",d_Irr!AU20&lt;&gt;".",d_Irr!BT20="."),d_dir!AW20/((1/1000)*(d_Irr!V20+d_Irr!AU20)),IF(AND(d_Irr!V20&lt;&gt;".",d_Irr!AU20=".",d_Irr!BT20&lt;&gt;"."),d_dir!AW20/((1/1000)*(d_Irr!V20+d_Irr!BT20)),IF(AND(d_Irr!V20=".",d_Irr!AU20&lt;&gt;".",d_Irr!BT20&lt;&gt;"."),d_dir!AW20/((1/1000)*(d_Irr!AU20+d_Irr!BT20)),IF(AND(d_Irr!V20=".",d_Irr!AU20=".",d_Irr!BT20&lt;&gt;"."),d_dir!AW20/((1/1000)*(d_Irr!BT20)),IF(AND(d_Irr!V20=".",d_Irr!AU20&lt;&gt;".",d_Irr!BT20="."),d_dir!AW20/((1/1000)*(d_Irr!AU20)),IF(AND(d_Irr!V20&lt;&gt;".",d_Irr!AU20=".",d_Irr!BT20="."),d_dir!AW20/((1/1000)*(d_Irr!V20)),IF(AND(d_Irr!V20=".",d_Irr!AU20=".",d_Irr!BT20="."),d_dir!AW20*1000)))))))),".")</f>
        <v>.</v>
      </c>
      <c r="AX20" s="70" t="str">
        <f>IFERROR(IF(AND(d_Irr!W20&lt;&gt;".",d_Irr!AV20&lt;&gt;".",d_Irr!BU20&lt;&gt;"."),d_dir!AX20/((1/1000)*(d_Irr!W20+d_Irr!AV20+d_Irr!BU20)),IF(AND(d_Irr!W20&lt;&gt;".",d_Irr!AV20&lt;&gt;".",d_Irr!BU20="."),d_dir!AX20/((1/1000)*(d_Irr!W20+d_Irr!AV20)),IF(AND(d_Irr!W20&lt;&gt;".",d_Irr!AV20=".",d_Irr!BU20&lt;&gt;"."),d_dir!AX20/((1/1000)*(d_Irr!W20+d_Irr!BU20)),IF(AND(d_Irr!W20=".",d_Irr!AV20&lt;&gt;".",d_Irr!BU20&lt;&gt;"."),d_dir!AX20/((1/1000)*(d_Irr!AV20+d_Irr!BU20)),IF(AND(d_Irr!W20=".",d_Irr!AV20=".",d_Irr!BU20&lt;&gt;"."),d_dir!AX20/((1/1000)*(d_Irr!BU20)),IF(AND(d_Irr!W20=".",d_Irr!AV20&lt;&gt;".",d_Irr!BU20="."),d_dir!AX20/((1/1000)*(d_Irr!AV20)),IF(AND(d_Irr!W20&lt;&gt;".",d_Irr!AV20=".",d_Irr!BU20="."),d_dir!AX20/((1/1000)*(d_Irr!W20)),IF(AND(d_Irr!W20=".",d_Irr!AV20=".",d_Irr!BU20="."),d_dir!AX20*1000)))))))),".")</f>
        <v>.</v>
      </c>
      <c r="AY20" s="70" t="str">
        <f>IFERROR(IF(AND(d_Irr!X20&lt;&gt;".",d_Irr!AW20&lt;&gt;".",d_Irr!BV20&lt;&gt;"."),d_dir!AY20/((1/1000)*(d_Irr!X20+d_Irr!AW20+d_Irr!BV20)),IF(AND(d_Irr!X20&lt;&gt;".",d_Irr!AW20&lt;&gt;".",d_Irr!BV20="."),d_dir!AY20/((1/1000)*(d_Irr!X20+d_Irr!AW20)),IF(AND(d_Irr!X20&lt;&gt;".",d_Irr!AW20=".",d_Irr!BV20&lt;&gt;"."),d_dir!AY20/((1/1000)*(d_Irr!X20+d_Irr!BV20)),IF(AND(d_Irr!X20=".",d_Irr!AW20&lt;&gt;".",d_Irr!BV20&lt;&gt;"."),d_dir!AY20/((1/1000)*(d_Irr!AW20+d_Irr!BV20)),IF(AND(d_Irr!X20=".",d_Irr!AW20=".",d_Irr!BV20&lt;&gt;"."),d_dir!AY20/((1/1000)*(d_Irr!BV20)),IF(AND(d_Irr!X20=".",d_Irr!AW20&lt;&gt;".",d_Irr!BV20="."),d_dir!AY20/((1/1000)*(d_Irr!AW20)),IF(AND(d_Irr!X20&lt;&gt;".",d_Irr!AW20=".",d_Irr!BV20="."),d_dir!AY20/((1/1000)*(d_Irr!X20)),IF(AND(d_Irr!X20=".",d_Irr!AW20=".",d_Irr!BV20="."),d_dir!AY20*1000)))))))),".")</f>
        <v>.</v>
      </c>
      <c r="AZ20" s="70" t="str">
        <f>IFERROR(IF(AND(d_Irr!Y20&lt;&gt;".",d_Irr!AX20&lt;&gt;".",d_Irr!BW20&lt;&gt;"."),d_dir!AZ20/((1/1000)*(d_Irr!Y20+d_Irr!AX20+d_Irr!BW20)),IF(AND(d_Irr!Y20&lt;&gt;".",d_Irr!AX20&lt;&gt;".",d_Irr!BW20="."),d_dir!AZ20/((1/1000)*(d_Irr!Y20+d_Irr!AX20)),IF(AND(d_Irr!Y20&lt;&gt;".",d_Irr!AX20=".",d_Irr!BW20&lt;&gt;"."),d_dir!AZ20/((1/1000)*(d_Irr!Y20+d_Irr!BW20)),IF(AND(d_Irr!Y20=".",d_Irr!AX20&lt;&gt;".",d_Irr!BW20&lt;&gt;"."),d_dir!AZ20/((1/1000)*(d_Irr!AX20+d_Irr!BW20)),IF(AND(d_Irr!Y20=".",d_Irr!AX20=".",d_Irr!BW20&lt;&gt;"."),d_dir!AZ20/((1/1000)*(d_Irr!BW20)),IF(AND(d_Irr!Y20=".",d_Irr!AX20&lt;&gt;".",d_Irr!BW20="."),d_dir!AZ20/((1/1000)*(d_Irr!AX20)),IF(AND(d_Irr!Y20&lt;&gt;".",d_Irr!AX20=".",d_Irr!BW20="."),d_dir!AZ20/((1/1000)*(d_Irr!Y20)),IF(AND(d_Irr!Y20=".",d_Irr!AX20=".",d_Irr!BW20="."),d_dir!AZ20*1000)))))))),".")</f>
        <v>.</v>
      </c>
      <c r="BA20" s="70" t="str">
        <f>IFERROR(IF(AND(d_Irr!Z20&lt;&gt;".",d_Irr!AY20&lt;&gt;".",d_Irr!BX20&lt;&gt;"."),d_dir!BA20/((1/1000)*(d_Irr!Z20+d_Irr!AY20+d_Irr!BX20)),IF(AND(d_Irr!Z20&lt;&gt;".",d_Irr!AY20&lt;&gt;".",d_Irr!BX20="."),d_dir!BA20/((1/1000)*(d_Irr!Z20+d_Irr!AY20)),IF(AND(d_Irr!Z20&lt;&gt;".",d_Irr!AY20=".",d_Irr!BX20&lt;&gt;"."),d_dir!BA20/((1/1000)*(d_Irr!Z20+d_Irr!BX20)),IF(AND(d_Irr!Z20=".",d_Irr!AY20&lt;&gt;".",d_Irr!BX20&lt;&gt;"."),d_dir!BA20/((1/1000)*(d_Irr!AY20+d_Irr!BX20)),IF(AND(d_Irr!Z20=".",d_Irr!AY20=".",d_Irr!BX20&lt;&gt;"."),d_dir!BA20/((1/1000)*(d_Irr!BX20)),IF(AND(d_Irr!Z20=".",d_Irr!AY20&lt;&gt;".",d_Irr!BX20="."),d_dir!BA20/((1/1000)*(d_Irr!AY20)),IF(AND(d_Irr!Z20&lt;&gt;".",d_Irr!AY20=".",d_Irr!BX20="."),d_dir!BA20/((1/1000)*(d_Irr!Z20)),IF(AND(d_Irr!Z20=".",d_Irr!AY20=".",d_Irr!BX20="."),d_dir!BA20*1000)))))))),".")</f>
        <v>.</v>
      </c>
      <c r="BB20" s="70" t="str">
        <f>IFERROR(IF(AND(d_Irr!AA20&lt;&gt;".",d_Irr!AZ20&lt;&gt;".",d_Irr!BY20&lt;&gt;"."),d_dir!BB20/((1/1000)*(d_Irr!AA20+d_Irr!AZ20+d_Irr!BY20)),IF(AND(d_Irr!AA20&lt;&gt;".",d_Irr!AZ20&lt;&gt;".",d_Irr!BY20="."),d_dir!BB20/((1/1000)*(d_Irr!AA20+d_Irr!AZ20)),IF(AND(d_Irr!AA20&lt;&gt;".",d_Irr!AZ20=".",d_Irr!BY20&lt;&gt;"."),d_dir!BB20/((1/1000)*(d_Irr!AA20+d_Irr!BY20)),IF(AND(d_Irr!AA20=".",d_Irr!AZ20&lt;&gt;".",d_Irr!BY20&lt;&gt;"."),d_dir!BB20/((1/1000)*(d_Irr!AZ20+d_Irr!BY20)),IF(AND(d_Irr!AA20=".",d_Irr!AZ20=".",d_Irr!BY20&lt;&gt;"."),d_dir!BB20/((1/1000)*(d_Irr!BY20)),IF(AND(d_Irr!AA20=".",d_Irr!AZ20&lt;&gt;".",d_Irr!BY20="."),d_dir!BB20/((1/1000)*(d_Irr!AZ20)),IF(AND(d_Irr!AA20&lt;&gt;".",d_Irr!AZ20=".",d_Irr!BY20="."),d_dir!BB20/((1/1000)*(d_Irr!AA20)),IF(AND(d_Irr!AA20=".",d_Irr!AZ20=".",d_Irr!BY20="."),d_dir!BB20*1000)))))))),".")</f>
        <v>.</v>
      </c>
    </row>
    <row r="21" spans="1:54" ht="15" customHeight="1" x14ac:dyDescent="0.25">
      <c r="A21" s="86" t="s">
        <v>19</v>
      </c>
      <c r="B21" s="84" t="s">
        <v>1057</v>
      </c>
      <c r="C21" s="2" t="str">
        <f t="shared" si="1"/>
        <v>.</v>
      </c>
      <c r="D21" s="70" t="str">
        <f>IFERROR(IF(AND(d_Irr!C21&lt;&gt;".",d_Irr!AB21&lt;&gt;".",d_Irr!BA21&lt;&gt;"."),d_dir!D21/((1/1000)*(d_Irr!C21+d_Irr!AB21+d_Irr!BA21)),IF(AND(d_Irr!C21&lt;&gt;".",d_Irr!AB21&lt;&gt;".",d_Irr!BA21="."),d_dir!D21/((1/1000)*(d_Irr!C21+d_Irr!AB21)),IF(AND(d_Irr!C21&lt;&gt;".",d_Irr!AB21=".",d_Irr!BA21&lt;&gt;"."),d_dir!D21/((1/1000)*(d_Irr!C21+d_Irr!BA21)),IF(AND(d_Irr!C21=".",d_Irr!AB21&lt;&gt;".",d_Irr!BA21&lt;&gt;"."),d_dir!D21/((1/1000)*(d_Irr!AB21+d_Irr!BA21)),IF(AND(d_Irr!C21=".",d_Irr!AB21=".",d_Irr!BA21&lt;&gt;"."),d_dir!D21/((1/1000)*(d_Irr!BA21)),IF(AND(d_Irr!C21=".",d_Irr!AB21&lt;&gt;".",d_Irr!BA21="."),d_dir!D21/((1/1000)*(d_Irr!AB21)),IF(AND(d_Irr!C21&lt;&gt;".",d_Irr!AB21=".",d_Irr!BA21="."),d_dir!D21/((1/1000)*(d_Irr!C21)),IF(AND(d_Irr!C21=".",d_Irr!AB21=".",d_Irr!BA21="."),d_dir!D21*1000)))))))),".")</f>
        <v>.</v>
      </c>
      <c r="E21" s="70" t="str">
        <f>IFERROR(IF(AND(d_Irr!D21&lt;&gt;".",d_Irr!AC21&lt;&gt;".",d_Irr!BB21&lt;&gt;"."),d_dir!E21/((1/1000)*(d_Irr!D21+d_Irr!AC21+d_Irr!BB21)),IF(AND(d_Irr!D21&lt;&gt;".",d_Irr!AC21&lt;&gt;".",d_Irr!BB21="."),d_dir!E21/((1/1000)*(d_Irr!D21+d_Irr!AC21)),IF(AND(d_Irr!D21&lt;&gt;".",d_Irr!AC21=".",d_Irr!BB21&lt;&gt;"."),d_dir!E21/((1/1000)*(d_Irr!D21+d_Irr!BB21)),IF(AND(d_Irr!D21=".",d_Irr!AC21&lt;&gt;".",d_Irr!BB21&lt;&gt;"."),d_dir!E21/((1/1000)*(d_Irr!AC21+d_Irr!BB21)),IF(AND(d_Irr!D21=".",d_Irr!AC21=".",d_Irr!BB21&lt;&gt;"."),d_dir!E21/((1/1000)*(d_Irr!BB21)),IF(AND(d_Irr!D21=".",d_Irr!AC21&lt;&gt;".",d_Irr!BB21="."),d_dir!E21/((1/1000)*(d_Irr!AC21)),IF(AND(d_Irr!D21&lt;&gt;".",d_Irr!AC21=".",d_Irr!BB21="."),d_dir!E21/((1/1000)*(d_Irr!D21)),IF(AND(d_Irr!D21=".",d_Irr!AC21=".",d_Irr!BB21="."),d_dir!E21*1000)))))))),".")</f>
        <v>.</v>
      </c>
      <c r="F21" s="70" t="str">
        <f>IFERROR(IF(AND(d_Irr!E21&lt;&gt;".",d_Irr!AD21&lt;&gt;".",d_Irr!BC21&lt;&gt;"."),d_dir!F21/((1/1000)*(d_Irr!E21+d_Irr!AD21+d_Irr!BC21)),IF(AND(d_Irr!E21&lt;&gt;".",d_Irr!AD21&lt;&gt;".",d_Irr!BC21="."),d_dir!F21/((1/1000)*(d_Irr!E21+d_Irr!AD21)),IF(AND(d_Irr!E21&lt;&gt;".",d_Irr!AD21=".",d_Irr!BC21&lt;&gt;"."),d_dir!F21/((1/1000)*(d_Irr!E21+d_Irr!BC21)),IF(AND(d_Irr!E21=".",d_Irr!AD21&lt;&gt;".",d_Irr!BC21&lt;&gt;"."),d_dir!F21/((1/1000)*(d_Irr!AD21+d_Irr!BC21)),IF(AND(d_Irr!E21=".",d_Irr!AD21=".",d_Irr!BC21&lt;&gt;"."),d_dir!F21/((1/1000)*(d_Irr!BC21)),IF(AND(d_Irr!E21=".",d_Irr!AD21&lt;&gt;".",d_Irr!BC21="."),d_dir!F21/((1/1000)*(d_Irr!AD21)),IF(AND(d_Irr!E21&lt;&gt;".",d_Irr!AD21=".",d_Irr!BC21="."),d_dir!F21/((1/1000)*(d_Irr!E21)),IF(AND(d_Irr!E21=".",d_Irr!AD21=".",d_Irr!BC21="."),d_dir!F21*1000)))))))),".")</f>
        <v>.</v>
      </c>
      <c r="G21" s="70" t="str">
        <f>IFERROR(IF(AND(d_Irr!F21&lt;&gt;".",d_Irr!AE21&lt;&gt;".",d_Irr!BD21&lt;&gt;"."),d_dir!G21/((1/1000)*(d_Irr!F21+d_Irr!AE21+d_Irr!BD21)),IF(AND(d_Irr!F21&lt;&gt;".",d_Irr!AE21&lt;&gt;".",d_Irr!BD21="."),d_dir!G21/((1/1000)*(d_Irr!F21+d_Irr!AE21)),IF(AND(d_Irr!F21&lt;&gt;".",d_Irr!AE21=".",d_Irr!BD21&lt;&gt;"."),d_dir!G21/((1/1000)*(d_Irr!F21+d_Irr!BD21)),IF(AND(d_Irr!F21=".",d_Irr!AE21&lt;&gt;".",d_Irr!BD21&lt;&gt;"."),d_dir!G21/((1/1000)*(d_Irr!AE21+d_Irr!BD21)),IF(AND(d_Irr!F21=".",d_Irr!AE21=".",d_Irr!BD21&lt;&gt;"."),d_dir!G21/((1/1000)*(d_Irr!BD21)),IF(AND(d_Irr!F21=".",d_Irr!AE21&lt;&gt;".",d_Irr!BD21="."),d_dir!G21/((1/1000)*(d_Irr!AE21)),IF(AND(d_Irr!F21&lt;&gt;".",d_Irr!AE21=".",d_Irr!BD21="."),d_dir!G21/((1/1000)*(d_Irr!F21)),IF(AND(d_Irr!F21=".",d_Irr!AE21=".",d_Irr!BD21="."),d_dir!G21*1000)))))))),".")</f>
        <v>.</v>
      </c>
      <c r="H21" s="70" t="str">
        <f>IFERROR(IF(AND(d_Irr!G21&lt;&gt;".",d_Irr!AF21&lt;&gt;".",d_Irr!BE21&lt;&gt;"."),d_dir!H21/((1/1000)*(d_Irr!G21+d_Irr!AF21+d_Irr!BE21)),IF(AND(d_Irr!G21&lt;&gt;".",d_Irr!AF21&lt;&gt;".",d_Irr!BE21="."),d_dir!H21/((1/1000)*(d_Irr!G21+d_Irr!AF21)),IF(AND(d_Irr!G21&lt;&gt;".",d_Irr!AF21=".",d_Irr!BE21&lt;&gt;"."),d_dir!H21/((1/1000)*(d_Irr!G21+d_Irr!BE21)),IF(AND(d_Irr!G21=".",d_Irr!AF21&lt;&gt;".",d_Irr!BE21&lt;&gt;"."),d_dir!H21/((1/1000)*(d_Irr!AF21+d_Irr!BE21)),IF(AND(d_Irr!G21=".",d_Irr!AF21=".",d_Irr!BE21&lt;&gt;"."),d_dir!H21/((1/1000)*(d_Irr!BE21)),IF(AND(d_Irr!G21=".",d_Irr!AF21&lt;&gt;".",d_Irr!BE21="."),d_dir!H21/((1/1000)*(d_Irr!AF21)),IF(AND(d_Irr!G21&lt;&gt;".",d_Irr!AF21=".",d_Irr!BE21="."),d_dir!H21/((1/1000)*(d_Irr!G21)),IF(AND(d_Irr!G21=".",d_Irr!AF21=".",d_Irr!BE21="."),d_dir!H21*1000)))))))),".")</f>
        <v>.</v>
      </c>
      <c r="I21" s="70" t="str">
        <f>IFERROR(IF(AND(d_Irr!H21&lt;&gt;".",d_Irr!AG21&lt;&gt;".",d_Irr!BF21&lt;&gt;"."),d_dir!I21/((1/1000)*(d_Irr!H21+d_Irr!AG21+d_Irr!BF21)),IF(AND(d_Irr!H21&lt;&gt;".",d_Irr!AG21&lt;&gt;".",d_Irr!BF21="."),d_dir!I21/((1/1000)*(d_Irr!H21+d_Irr!AG21)),IF(AND(d_Irr!H21&lt;&gt;".",d_Irr!AG21=".",d_Irr!BF21&lt;&gt;"."),d_dir!I21/((1/1000)*(d_Irr!H21+d_Irr!BF21)),IF(AND(d_Irr!H21=".",d_Irr!AG21&lt;&gt;".",d_Irr!BF21&lt;&gt;"."),d_dir!I21/((1/1000)*(d_Irr!AG21+d_Irr!BF21)),IF(AND(d_Irr!H21=".",d_Irr!AG21=".",d_Irr!BF21&lt;&gt;"."),d_dir!I21/((1/1000)*(d_Irr!BF21)),IF(AND(d_Irr!H21=".",d_Irr!AG21&lt;&gt;".",d_Irr!BF21="."),d_dir!I21/((1/1000)*(d_Irr!AG21)),IF(AND(d_Irr!H21&lt;&gt;".",d_Irr!AG21=".",d_Irr!BF21="."),d_dir!I21/((1/1000)*(d_Irr!H21)),IF(AND(d_Irr!H21=".",d_Irr!AG21=".",d_Irr!BF21="."),d_dir!I21*1000)))))))),".")</f>
        <v>.</v>
      </c>
      <c r="J21" s="70" t="str">
        <f>IFERROR(IF(AND(d_Irr!I21&lt;&gt;".",d_Irr!AH21&lt;&gt;".",d_Irr!BG21&lt;&gt;"."),d_dir!J21/((1/1000)*(d_Irr!I21+d_Irr!AH21+d_Irr!BG21)),IF(AND(d_Irr!I21&lt;&gt;".",d_Irr!AH21&lt;&gt;".",d_Irr!BG21="."),d_dir!J21/((1/1000)*(d_Irr!I21+d_Irr!AH21)),IF(AND(d_Irr!I21&lt;&gt;".",d_Irr!AH21=".",d_Irr!BG21&lt;&gt;"."),d_dir!J21/((1/1000)*(d_Irr!I21+d_Irr!BG21)),IF(AND(d_Irr!I21=".",d_Irr!AH21&lt;&gt;".",d_Irr!BG21&lt;&gt;"."),d_dir!J21/((1/1000)*(d_Irr!AH21+d_Irr!BG21)),IF(AND(d_Irr!I21=".",d_Irr!AH21=".",d_Irr!BG21&lt;&gt;"."),d_dir!J21/((1/1000)*(d_Irr!BG21)),IF(AND(d_Irr!I21=".",d_Irr!AH21&lt;&gt;".",d_Irr!BG21="."),d_dir!J21/((1/1000)*(d_Irr!AH21)),IF(AND(d_Irr!I21&lt;&gt;".",d_Irr!AH21=".",d_Irr!BG21="."),d_dir!J21/((1/1000)*(d_Irr!I21)),IF(AND(d_Irr!I21=".",d_Irr!AH21=".",d_Irr!BG21="."),d_dir!J21*1000)))))))),".")</f>
        <v>.</v>
      </c>
      <c r="K21" s="70" t="str">
        <f>IFERROR(IF(AND(d_Irr!J21&lt;&gt;".",d_Irr!AI21&lt;&gt;".",d_Irr!BH21&lt;&gt;"."),d_dir!K21/((1/1000)*(d_Irr!J21+d_Irr!AI21+d_Irr!BH21)),IF(AND(d_Irr!J21&lt;&gt;".",d_Irr!AI21&lt;&gt;".",d_Irr!BH21="."),d_dir!K21/((1/1000)*(d_Irr!J21+d_Irr!AI21)),IF(AND(d_Irr!J21&lt;&gt;".",d_Irr!AI21=".",d_Irr!BH21&lt;&gt;"."),d_dir!K21/((1/1000)*(d_Irr!J21+d_Irr!BH21)),IF(AND(d_Irr!J21=".",d_Irr!AI21&lt;&gt;".",d_Irr!BH21&lt;&gt;"."),d_dir!K21/((1/1000)*(d_Irr!AI21+d_Irr!BH21)),IF(AND(d_Irr!J21=".",d_Irr!AI21=".",d_Irr!BH21&lt;&gt;"."),d_dir!K21/((1/1000)*(d_Irr!BH21)),IF(AND(d_Irr!J21=".",d_Irr!AI21&lt;&gt;".",d_Irr!BH21="."),d_dir!K21/((1/1000)*(d_Irr!AI21)),IF(AND(d_Irr!J21&lt;&gt;".",d_Irr!AI21=".",d_Irr!BH21="."),d_dir!K21/((1/1000)*(d_Irr!J21)),IF(AND(d_Irr!J21=".",d_Irr!AI21=".",d_Irr!BH21="."),d_dir!K21*1000)))))))),".")</f>
        <v>.</v>
      </c>
      <c r="L21" s="70" t="str">
        <f>IFERROR(IF(AND(d_Irr!K21&lt;&gt;".",d_Irr!AJ21&lt;&gt;".",d_Irr!BI21&lt;&gt;"."),d_dir!L21/((1/1000)*(d_Irr!K21+d_Irr!AJ21+d_Irr!BI21)),IF(AND(d_Irr!K21&lt;&gt;".",d_Irr!AJ21&lt;&gt;".",d_Irr!BI21="."),d_dir!L21/((1/1000)*(d_Irr!K21+d_Irr!AJ21)),IF(AND(d_Irr!K21&lt;&gt;".",d_Irr!AJ21=".",d_Irr!BI21&lt;&gt;"."),d_dir!L21/((1/1000)*(d_Irr!K21+d_Irr!BI21)),IF(AND(d_Irr!K21=".",d_Irr!AJ21&lt;&gt;".",d_Irr!BI21&lt;&gt;"."),d_dir!L21/((1/1000)*(d_Irr!AJ21+d_Irr!BI21)),IF(AND(d_Irr!K21=".",d_Irr!AJ21=".",d_Irr!BI21&lt;&gt;"."),d_dir!L21/((1/1000)*(d_Irr!BI21)),IF(AND(d_Irr!K21=".",d_Irr!AJ21&lt;&gt;".",d_Irr!BI21="."),d_dir!L21/((1/1000)*(d_Irr!AJ21)),IF(AND(d_Irr!K21&lt;&gt;".",d_Irr!AJ21=".",d_Irr!BI21="."),d_dir!L21/((1/1000)*(d_Irr!K21)),IF(AND(d_Irr!K21=".",d_Irr!AJ21=".",d_Irr!BI21="."),d_dir!L21*1000)))))))),".")</f>
        <v>.</v>
      </c>
      <c r="M21" s="70" t="str">
        <f>IFERROR(IF(AND(d_Irr!L21&lt;&gt;".",d_Irr!AK21&lt;&gt;".",d_Irr!BJ21&lt;&gt;"."),d_dir!M21/((1/1000)*(d_Irr!L21+d_Irr!AK21+d_Irr!BJ21)),IF(AND(d_Irr!L21&lt;&gt;".",d_Irr!AK21&lt;&gt;".",d_Irr!BJ21="."),d_dir!M21/((1/1000)*(d_Irr!L21+d_Irr!AK21)),IF(AND(d_Irr!L21&lt;&gt;".",d_Irr!AK21=".",d_Irr!BJ21&lt;&gt;"."),d_dir!M21/((1/1000)*(d_Irr!L21+d_Irr!BJ21)),IF(AND(d_Irr!L21=".",d_Irr!AK21&lt;&gt;".",d_Irr!BJ21&lt;&gt;"."),d_dir!M21/((1/1000)*(d_Irr!AK21+d_Irr!BJ21)),IF(AND(d_Irr!L21=".",d_Irr!AK21=".",d_Irr!BJ21&lt;&gt;"."),d_dir!M21/((1/1000)*(d_Irr!BJ21)),IF(AND(d_Irr!L21=".",d_Irr!AK21&lt;&gt;".",d_Irr!BJ21="."),d_dir!M21/((1/1000)*(d_Irr!AK21)),IF(AND(d_Irr!L21&lt;&gt;".",d_Irr!AK21=".",d_Irr!BJ21="."),d_dir!M21/((1/1000)*(d_Irr!L21)),IF(AND(d_Irr!L21=".",d_Irr!AK21=".",d_Irr!BJ21="."),d_dir!M21*1000)))))))),".")</f>
        <v>.</v>
      </c>
      <c r="N21" s="70" t="str">
        <f>IFERROR(IF(AND(d_Irr!M21&lt;&gt;".",d_Irr!AL21&lt;&gt;".",d_Irr!BK21&lt;&gt;"."),d_dir!N21/((1/1000)*(d_Irr!M21+d_Irr!AL21+d_Irr!BK21)),IF(AND(d_Irr!M21&lt;&gt;".",d_Irr!AL21&lt;&gt;".",d_Irr!BK21="."),d_dir!N21/((1/1000)*(d_Irr!M21+d_Irr!AL21)),IF(AND(d_Irr!M21&lt;&gt;".",d_Irr!AL21=".",d_Irr!BK21&lt;&gt;"."),d_dir!N21/((1/1000)*(d_Irr!M21+d_Irr!BK21)),IF(AND(d_Irr!M21=".",d_Irr!AL21&lt;&gt;".",d_Irr!BK21&lt;&gt;"."),d_dir!N21/((1/1000)*(d_Irr!AL21+d_Irr!BK21)),IF(AND(d_Irr!M21=".",d_Irr!AL21=".",d_Irr!BK21&lt;&gt;"."),d_dir!N21/((1/1000)*(d_Irr!BK21)),IF(AND(d_Irr!M21=".",d_Irr!AL21&lt;&gt;".",d_Irr!BK21="."),d_dir!N21/((1/1000)*(d_Irr!AL21)),IF(AND(d_Irr!M21&lt;&gt;".",d_Irr!AL21=".",d_Irr!BK21="."),d_dir!N21/((1/1000)*(d_Irr!M21)),IF(AND(d_Irr!M21=".",d_Irr!AL21=".",d_Irr!BK21="."),d_dir!N21*1000)))))))),".")</f>
        <v>.</v>
      </c>
      <c r="O21" s="70" t="str">
        <f>IFERROR(IF(AND(d_Irr!N21&lt;&gt;".",d_Irr!AM21&lt;&gt;".",d_Irr!BL21&lt;&gt;"."),d_dir!O21/((1/1000)*(d_Irr!N21+d_Irr!AM21+d_Irr!BL21)),IF(AND(d_Irr!N21&lt;&gt;".",d_Irr!AM21&lt;&gt;".",d_Irr!BL21="."),d_dir!O21/((1/1000)*(d_Irr!N21+d_Irr!AM21)),IF(AND(d_Irr!N21&lt;&gt;".",d_Irr!AM21=".",d_Irr!BL21&lt;&gt;"."),d_dir!O21/((1/1000)*(d_Irr!N21+d_Irr!BL21)),IF(AND(d_Irr!N21=".",d_Irr!AM21&lt;&gt;".",d_Irr!BL21&lt;&gt;"."),d_dir!O21/((1/1000)*(d_Irr!AM21+d_Irr!BL21)),IF(AND(d_Irr!N21=".",d_Irr!AM21=".",d_Irr!BL21&lt;&gt;"."),d_dir!O21/((1/1000)*(d_Irr!BL21)),IF(AND(d_Irr!N21=".",d_Irr!AM21&lt;&gt;".",d_Irr!BL21="."),d_dir!O21/((1/1000)*(d_Irr!AM21)),IF(AND(d_Irr!N21&lt;&gt;".",d_Irr!AM21=".",d_Irr!BL21="."),d_dir!O21/((1/1000)*(d_Irr!N21)),IF(AND(d_Irr!N21=".",d_Irr!AM21=".",d_Irr!BL21="."),d_dir!O21*1000)))))))),".")</f>
        <v>.</v>
      </c>
      <c r="P21" s="70" t="str">
        <f>IFERROR(IF(AND(d_Irr!O21&lt;&gt;".",d_Irr!AN21&lt;&gt;".",d_Irr!BM21&lt;&gt;"."),d_dir!P21/((1/1000)*(d_Irr!O21+d_Irr!AN21+d_Irr!BM21)),IF(AND(d_Irr!O21&lt;&gt;".",d_Irr!AN21&lt;&gt;".",d_Irr!BM21="."),d_dir!P21/((1/1000)*(d_Irr!O21+d_Irr!AN21)),IF(AND(d_Irr!O21&lt;&gt;".",d_Irr!AN21=".",d_Irr!BM21&lt;&gt;"."),d_dir!P21/((1/1000)*(d_Irr!O21+d_Irr!BM21)),IF(AND(d_Irr!O21=".",d_Irr!AN21&lt;&gt;".",d_Irr!BM21&lt;&gt;"."),d_dir!P21/((1/1000)*(d_Irr!AN21+d_Irr!BM21)),IF(AND(d_Irr!O21=".",d_Irr!AN21=".",d_Irr!BM21&lt;&gt;"."),d_dir!P21/((1/1000)*(d_Irr!BM21)),IF(AND(d_Irr!O21=".",d_Irr!AN21&lt;&gt;".",d_Irr!BM21="."),d_dir!P21/((1/1000)*(d_Irr!AN21)),IF(AND(d_Irr!O21&lt;&gt;".",d_Irr!AN21=".",d_Irr!BM21="."),d_dir!P21/((1/1000)*(d_Irr!O21)),IF(AND(d_Irr!O21=".",d_Irr!AN21=".",d_Irr!BM21="."),d_dir!P21*1000)))))))),".")</f>
        <v>.</v>
      </c>
      <c r="Q21" s="70" t="str">
        <f>IFERROR(IF(AND(d_Irr!P21&lt;&gt;".",d_Irr!AO21&lt;&gt;".",d_Irr!BN21&lt;&gt;"."),d_dir!Q21/((1/1000)*(d_Irr!P21+d_Irr!AO21+d_Irr!BN21)),IF(AND(d_Irr!P21&lt;&gt;".",d_Irr!AO21&lt;&gt;".",d_Irr!BN21="."),d_dir!Q21/((1/1000)*(d_Irr!P21+d_Irr!AO21)),IF(AND(d_Irr!P21&lt;&gt;".",d_Irr!AO21=".",d_Irr!BN21&lt;&gt;"."),d_dir!Q21/((1/1000)*(d_Irr!P21+d_Irr!BN21)),IF(AND(d_Irr!P21=".",d_Irr!AO21&lt;&gt;".",d_Irr!BN21&lt;&gt;"."),d_dir!Q21/((1/1000)*(d_Irr!AO21+d_Irr!BN21)),IF(AND(d_Irr!P21=".",d_Irr!AO21=".",d_Irr!BN21&lt;&gt;"."),d_dir!Q21/((1/1000)*(d_Irr!BN21)),IF(AND(d_Irr!P21=".",d_Irr!AO21&lt;&gt;".",d_Irr!BN21="."),d_dir!Q21/((1/1000)*(d_Irr!AO21)),IF(AND(d_Irr!P21&lt;&gt;".",d_Irr!AO21=".",d_Irr!BN21="."),d_dir!Q21/((1/1000)*(d_Irr!P21)),IF(AND(d_Irr!P21=".",d_Irr!AO21=".",d_Irr!BN21="."),d_dir!Q21*1000)))))))),".")</f>
        <v>.</v>
      </c>
      <c r="R21" s="70" t="str">
        <f>IFERROR(IF(AND(d_Irr!Q21&lt;&gt;".",d_Irr!AP21&lt;&gt;".",d_Irr!BO21&lt;&gt;"."),d_dir!R21/((1/1000)*(d_Irr!Q21+d_Irr!AP21+d_Irr!BO21)),IF(AND(d_Irr!Q21&lt;&gt;".",d_Irr!AP21&lt;&gt;".",d_Irr!BO21="."),d_dir!R21/((1/1000)*(d_Irr!Q21+d_Irr!AP21)),IF(AND(d_Irr!Q21&lt;&gt;".",d_Irr!AP21=".",d_Irr!BO21&lt;&gt;"."),d_dir!R21/((1/1000)*(d_Irr!Q21+d_Irr!BO21)),IF(AND(d_Irr!Q21=".",d_Irr!AP21&lt;&gt;".",d_Irr!BO21&lt;&gt;"."),d_dir!R21/((1/1000)*(d_Irr!AP21+d_Irr!BO21)),IF(AND(d_Irr!Q21=".",d_Irr!AP21=".",d_Irr!BO21&lt;&gt;"."),d_dir!R21/((1/1000)*(d_Irr!BO21)),IF(AND(d_Irr!Q21=".",d_Irr!AP21&lt;&gt;".",d_Irr!BO21="."),d_dir!R21/((1/1000)*(d_Irr!AP21)),IF(AND(d_Irr!Q21&lt;&gt;".",d_Irr!AP21=".",d_Irr!BO21="."),d_dir!R21/((1/1000)*(d_Irr!Q21)),IF(AND(d_Irr!Q21=".",d_Irr!AP21=".",d_Irr!BO21="."),d_dir!R21*1000)))))))),".")</f>
        <v>.</v>
      </c>
      <c r="S21" s="70" t="str">
        <f>IFERROR(IF(AND(d_Irr!R21&lt;&gt;".",d_Irr!AQ21&lt;&gt;".",d_Irr!BP21&lt;&gt;"."),d_dir!S21/((1/1000)*(d_Irr!R21+d_Irr!AQ21+d_Irr!BP21)),IF(AND(d_Irr!R21&lt;&gt;".",d_Irr!AQ21&lt;&gt;".",d_Irr!BP21="."),d_dir!S21/((1/1000)*(d_Irr!R21+d_Irr!AQ21)),IF(AND(d_Irr!R21&lt;&gt;".",d_Irr!AQ21=".",d_Irr!BP21&lt;&gt;"."),d_dir!S21/((1/1000)*(d_Irr!R21+d_Irr!BP21)),IF(AND(d_Irr!R21=".",d_Irr!AQ21&lt;&gt;".",d_Irr!BP21&lt;&gt;"."),d_dir!S21/((1/1000)*(d_Irr!AQ21+d_Irr!BP21)),IF(AND(d_Irr!R21=".",d_Irr!AQ21=".",d_Irr!BP21&lt;&gt;"."),d_dir!S21/((1/1000)*(d_Irr!BP21)),IF(AND(d_Irr!R21=".",d_Irr!AQ21&lt;&gt;".",d_Irr!BP21="."),d_dir!S21/((1/1000)*(d_Irr!AQ21)),IF(AND(d_Irr!R21&lt;&gt;".",d_Irr!AQ21=".",d_Irr!BP21="."),d_dir!S21/((1/1000)*(d_Irr!R21)),IF(AND(d_Irr!R21=".",d_Irr!AQ21=".",d_Irr!BP21="."),d_dir!S21*1000)))))))),".")</f>
        <v>.</v>
      </c>
      <c r="T21" s="70" t="str">
        <f>IFERROR(IF(AND(d_Irr!S21&lt;&gt;".",d_Irr!AR21&lt;&gt;".",d_Irr!BQ21&lt;&gt;"."),d_dir!T21/((1/1000)*(d_Irr!S21+d_Irr!AR21+d_Irr!BQ21)),IF(AND(d_Irr!S21&lt;&gt;".",d_Irr!AR21&lt;&gt;".",d_Irr!BQ21="."),d_dir!T21/((1/1000)*(d_Irr!S21+d_Irr!AR21)),IF(AND(d_Irr!S21&lt;&gt;".",d_Irr!AR21=".",d_Irr!BQ21&lt;&gt;"."),d_dir!T21/((1/1000)*(d_Irr!S21+d_Irr!BQ21)),IF(AND(d_Irr!S21=".",d_Irr!AR21&lt;&gt;".",d_Irr!BQ21&lt;&gt;"."),d_dir!T21/((1/1000)*(d_Irr!AR21+d_Irr!BQ21)),IF(AND(d_Irr!S21=".",d_Irr!AR21=".",d_Irr!BQ21&lt;&gt;"."),d_dir!T21/((1/1000)*(d_Irr!BQ21)),IF(AND(d_Irr!S21=".",d_Irr!AR21&lt;&gt;".",d_Irr!BQ21="."),d_dir!T21/((1/1000)*(d_Irr!AR21)),IF(AND(d_Irr!S21&lt;&gt;".",d_Irr!AR21=".",d_Irr!BQ21="."),d_dir!T21/((1/1000)*(d_Irr!S21)),IF(AND(d_Irr!S21=".",d_Irr!AR21=".",d_Irr!BQ21="."),d_dir!T21*1000)))))))),".")</f>
        <v>.</v>
      </c>
      <c r="U21" s="70" t="str">
        <f>IFERROR(IF(AND(d_Irr!T21&lt;&gt;".",d_Irr!AS21&lt;&gt;".",d_Irr!BR21&lt;&gt;"."),d_dir!U21/((1/1000)*(d_Irr!T21+d_Irr!AS21+d_Irr!BR21)),IF(AND(d_Irr!T21&lt;&gt;".",d_Irr!AS21&lt;&gt;".",d_Irr!BR21="."),d_dir!U21/((1/1000)*(d_Irr!T21+d_Irr!AS21)),IF(AND(d_Irr!T21&lt;&gt;".",d_Irr!AS21=".",d_Irr!BR21&lt;&gt;"."),d_dir!U21/((1/1000)*(d_Irr!T21+d_Irr!BR21)),IF(AND(d_Irr!T21=".",d_Irr!AS21&lt;&gt;".",d_Irr!BR21&lt;&gt;"."),d_dir!U21/((1/1000)*(d_Irr!AS21+d_Irr!BR21)),IF(AND(d_Irr!T21=".",d_Irr!AS21=".",d_Irr!BR21&lt;&gt;"."),d_dir!U21/((1/1000)*(d_Irr!BR21)),IF(AND(d_Irr!T21=".",d_Irr!AS21&lt;&gt;".",d_Irr!BR21="."),d_dir!U21/((1/1000)*(d_Irr!AS21)),IF(AND(d_Irr!T21&lt;&gt;".",d_Irr!AS21=".",d_Irr!BR21="."),d_dir!U21/((1/1000)*(d_Irr!T21)),IF(AND(d_Irr!T21=".",d_Irr!AS21=".",d_Irr!BR21="."),d_dir!U21*1000)))))))),".")</f>
        <v>.</v>
      </c>
      <c r="V21" s="70" t="str">
        <f>IFERROR(IF(AND(d_Irr!U21&lt;&gt;".",d_Irr!AT21&lt;&gt;".",d_Irr!BS21&lt;&gt;"."),d_dir!V21/((1/1000)*(d_Irr!U21+d_Irr!AT21+d_Irr!BS21)),IF(AND(d_Irr!U21&lt;&gt;".",d_Irr!AT21&lt;&gt;".",d_Irr!BS21="."),d_dir!V21/((1/1000)*(d_Irr!U21+d_Irr!AT21)),IF(AND(d_Irr!U21&lt;&gt;".",d_Irr!AT21=".",d_Irr!BS21&lt;&gt;"."),d_dir!V21/((1/1000)*(d_Irr!U21+d_Irr!BS21)),IF(AND(d_Irr!U21=".",d_Irr!AT21&lt;&gt;".",d_Irr!BS21&lt;&gt;"."),d_dir!V21/((1/1000)*(d_Irr!AT21+d_Irr!BS21)),IF(AND(d_Irr!U21=".",d_Irr!AT21=".",d_Irr!BS21&lt;&gt;"."),d_dir!V21/((1/1000)*(d_Irr!BS21)),IF(AND(d_Irr!U21=".",d_Irr!AT21&lt;&gt;".",d_Irr!BS21="."),d_dir!V21/((1/1000)*(d_Irr!AT21)),IF(AND(d_Irr!U21&lt;&gt;".",d_Irr!AT21=".",d_Irr!BS21="."),d_dir!V21/((1/1000)*(d_Irr!U21)),IF(AND(d_Irr!U21=".",d_Irr!AT21=".",d_Irr!BS21="."),d_dir!V21*1000)))))))),".")</f>
        <v>.</v>
      </c>
      <c r="W21" s="70" t="str">
        <f>IFERROR(IF(AND(d_Irr!V21&lt;&gt;".",d_Irr!AU21&lt;&gt;".",d_Irr!BT21&lt;&gt;"."),d_dir!W21/((1/1000)*(d_Irr!V21+d_Irr!AU21+d_Irr!BT21)),IF(AND(d_Irr!V21&lt;&gt;".",d_Irr!AU21&lt;&gt;".",d_Irr!BT21="."),d_dir!W21/((1/1000)*(d_Irr!V21+d_Irr!AU21)),IF(AND(d_Irr!V21&lt;&gt;".",d_Irr!AU21=".",d_Irr!BT21&lt;&gt;"."),d_dir!W21/((1/1000)*(d_Irr!V21+d_Irr!BT21)),IF(AND(d_Irr!V21=".",d_Irr!AU21&lt;&gt;".",d_Irr!BT21&lt;&gt;"."),d_dir!W21/((1/1000)*(d_Irr!AU21+d_Irr!BT21)),IF(AND(d_Irr!V21=".",d_Irr!AU21=".",d_Irr!BT21&lt;&gt;"."),d_dir!W21/((1/1000)*(d_Irr!BT21)),IF(AND(d_Irr!V21=".",d_Irr!AU21&lt;&gt;".",d_Irr!BT21="."),d_dir!W21/((1/1000)*(d_Irr!AU21)),IF(AND(d_Irr!V21&lt;&gt;".",d_Irr!AU21=".",d_Irr!BT21="."),d_dir!W21/((1/1000)*(d_Irr!V21)),IF(AND(d_Irr!V21=".",d_Irr!AU21=".",d_Irr!BT21="."),d_dir!W21*1000)))))))),".")</f>
        <v>.</v>
      </c>
      <c r="X21" s="70" t="str">
        <f>IFERROR(IF(AND(d_Irr!W21&lt;&gt;".",d_Irr!AV21&lt;&gt;".",d_Irr!BU21&lt;&gt;"."),d_dir!X21/((1/1000)*(d_Irr!W21+d_Irr!AV21+d_Irr!BU21)),IF(AND(d_Irr!W21&lt;&gt;".",d_Irr!AV21&lt;&gt;".",d_Irr!BU21="."),d_dir!X21/((1/1000)*(d_Irr!W21+d_Irr!AV21)),IF(AND(d_Irr!W21&lt;&gt;".",d_Irr!AV21=".",d_Irr!BU21&lt;&gt;"."),d_dir!X21/((1/1000)*(d_Irr!W21+d_Irr!BU21)),IF(AND(d_Irr!W21=".",d_Irr!AV21&lt;&gt;".",d_Irr!BU21&lt;&gt;"."),d_dir!X21/((1/1000)*(d_Irr!AV21+d_Irr!BU21)),IF(AND(d_Irr!W21=".",d_Irr!AV21=".",d_Irr!BU21&lt;&gt;"."),d_dir!X21/((1/1000)*(d_Irr!BU21)),IF(AND(d_Irr!W21=".",d_Irr!AV21&lt;&gt;".",d_Irr!BU21="."),d_dir!X21/((1/1000)*(d_Irr!AV21)),IF(AND(d_Irr!W21&lt;&gt;".",d_Irr!AV21=".",d_Irr!BU21="."),d_dir!X21/((1/1000)*(d_Irr!W21)),IF(AND(d_Irr!W21=".",d_Irr!AV21=".",d_Irr!BU21="."),d_dir!X21*1000)))))))),".")</f>
        <v>.</v>
      </c>
      <c r="Y21" s="70" t="str">
        <f>IFERROR(IF(AND(d_Irr!X21&lt;&gt;".",d_Irr!AW21&lt;&gt;".",d_Irr!BV21&lt;&gt;"."),d_dir!Y21/((1/1000)*(d_Irr!X21+d_Irr!AW21+d_Irr!BV21)),IF(AND(d_Irr!X21&lt;&gt;".",d_Irr!AW21&lt;&gt;".",d_Irr!BV21="."),d_dir!Y21/((1/1000)*(d_Irr!X21+d_Irr!AW21)),IF(AND(d_Irr!X21&lt;&gt;".",d_Irr!AW21=".",d_Irr!BV21&lt;&gt;"."),d_dir!Y21/((1/1000)*(d_Irr!X21+d_Irr!BV21)),IF(AND(d_Irr!X21=".",d_Irr!AW21&lt;&gt;".",d_Irr!BV21&lt;&gt;"."),d_dir!Y21/((1/1000)*(d_Irr!AW21+d_Irr!BV21)),IF(AND(d_Irr!X21=".",d_Irr!AW21=".",d_Irr!BV21&lt;&gt;"."),d_dir!Y21/((1/1000)*(d_Irr!BV21)),IF(AND(d_Irr!X21=".",d_Irr!AW21&lt;&gt;".",d_Irr!BV21="."),d_dir!Y21/((1/1000)*(d_Irr!AW21)),IF(AND(d_Irr!X21&lt;&gt;".",d_Irr!AW21=".",d_Irr!BV21="."),d_dir!Y21/((1/1000)*(d_Irr!X21)),IF(AND(d_Irr!X21=".",d_Irr!AW21=".",d_Irr!BV21="."),d_dir!Y21*1000)))))))),".")</f>
        <v>.</v>
      </c>
      <c r="Z21" s="70" t="str">
        <f>IFERROR(IF(AND(d_Irr!Y21&lt;&gt;".",d_Irr!AX21&lt;&gt;".",d_Irr!BW21&lt;&gt;"."),d_dir!Z21/((1/1000)*(d_Irr!Y21+d_Irr!AX21+d_Irr!BW21)),IF(AND(d_Irr!Y21&lt;&gt;".",d_Irr!AX21&lt;&gt;".",d_Irr!BW21="."),d_dir!Z21/((1/1000)*(d_Irr!Y21+d_Irr!AX21)),IF(AND(d_Irr!Y21&lt;&gt;".",d_Irr!AX21=".",d_Irr!BW21&lt;&gt;"."),d_dir!Z21/((1/1000)*(d_Irr!Y21+d_Irr!BW21)),IF(AND(d_Irr!Y21=".",d_Irr!AX21&lt;&gt;".",d_Irr!BW21&lt;&gt;"."),d_dir!Z21/((1/1000)*(d_Irr!AX21+d_Irr!BW21)),IF(AND(d_Irr!Y21=".",d_Irr!AX21=".",d_Irr!BW21&lt;&gt;"."),d_dir!Z21/((1/1000)*(d_Irr!BW21)),IF(AND(d_Irr!Y21=".",d_Irr!AX21&lt;&gt;".",d_Irr!BW21="."),d_dir!Z21/((1/1000)*(d_Irr!AX21)),IF(AND(d_Irr!Y21&lt;&gt;".",d_Irr!AX21=".",d_Irr!BW21="."),d_dir!Z21/((1/1000)*(d_Irr!Y21)),IF(AND(d_Irr!Y21=".",d_Irr!AX21=".",d_Irr!BW21="."),d_dir!Z21*1000)))))))),".")</f>
        <v>.</v>
      </c>
      <c r="AA21" s="70" t="str">
        <f>IFERROR(IF(AND(d_Irr!Z21&lt;&gt;".",d_Irr!AY21&lt;&gt;".",d_Irr!BX21&lt;&gt;"."),d_dir!AA21/((1/1000)*(d_Irr!Z21+d_Irr!AY21+d_Irr!BX21)),IF(AND(d_Irr!Z21&lt;&gt;".",d_Irr!AY21&lt;&gt;".",d_Irr!BX21="."),d_dir!AA21/((1/1000)*(d_Irr!Z21+d_Irr!AY21)),IF(AND(d_Irr!Z21&lt;&gt;".",d_Irr!AY21=".",d_Irr!BX21&lt;&gt;"."),d_dir!AA21/((1/1000)*(d_Irr!Z21+d_Irr!BX21)),IF(AND(d_Irr!Z21=".",d_Irr!AY21&lt;&gt;".",d_Irr!BX21&lt;&gt;"."),d_dir!AA21/((1/1000)*(d_Irr!AY21+d_Irr!BX21)),IF(AND(d_Irr!Z21=".",d_Irr!AY21=".",d_Irr!BX21&lt;&gt;"."),d_dir!AA21/((1/1000)*(d_Irr!BX21)),IF(AND(d_Irr!Z21=".",d_Irr!AY21&lt;&gt;".",d_Irr!BX21="."),d_dir!AA21/((1/1000)*(d_Irr!AY21)),IF(AND(d_Irr!Z21&lt;&gt;".",d_Irr!AY21=".",d_Irr!BX21="."),d_dir!AA21/((1/1000)*(d_Irr!Z21)),IF(AND(d_Irr!Z21=".",d_Irr!AY21=".",d_Irr!BX21="."),d_dir!AA21*1000)))))))),".")</f>
        <v>.</v>
      </c>
      <c r="AB21" s="70" t="str">
        <f>IFERROR(IF(AND(d_Irr!AA21&lt;&gt;".",d_Irr!AZ21&lt;&gt;".",d_Irr!BY21&lt;&gt;"."),d_dir!AB21/((1/1000)*(d_Irr!AA21+d_Irr!AZ21+d_Irr!BY21)),IF(AND(d_Irr!AA21&lt;&gt;".",d_Irr!AZ21&lt;&gt;".",d_Irr!BY21="."),d_dir!AB21/((1/1000)*(d_Irr!AA21+d_Irr!AZ21)),IF(AND(d_Irr!AA21&lt;&gt;".",d_Irr!AZ21=".",d_Irr!BY21&lt;&gt;"."),d_dir!AB21/((1/1000)*(d_Irr!AA21+d_Irr!BY21)),IF(AND(d_Irr!AA21=".",d_Irr!AZ21&lt;&gt;".",d_Irr!BY21&lt;&gt;"."),d_dir!AB21/((1/1000)*(d_Irr!AZ21+d_Irr!BY21)),IF(AND(d_Irr!AA21=".",d_Irr!AZ21=".",d_Irr!BY21&lt;&gt;"."),d_dir!AB21/((1/1000)*(d_Irr!BY21)),IF(AND(d_Irr!AA21=".",d_Irr!AZ21&lt;&gt;".",d_Irr!BY21="."),d_dir!AB21/((1/1000)*(d_Irr!AZ21)),IF(AND(d_Irr!AA21&lt;&gt;".",d_Irr!AZ21=".",d_Irr!BY21="."),d_dir!AB21/((1/1000)*(d_Irr!AA21)),IF(AND(d_Irr!AA21=".",d_Irr!AZ21=".",d_Irr!BY21="."),d_dir!AB21*1000)))))))),".")</f>
        <v>.</v>
      </c>
      <c r="AC21" s="70" t="str">
        <f t="shared" si="0"/>
        <v>.</v>
      </c>
      <c r="AD21" s="70" t="str">
        <f>IFERROR(IF(AND(d_Irr!C21&lt;&gt;".",d_Irr!AB21&lt;&gt;".",d_Irr!BA21&lt;&gt;"."),d_dir!AD21/((1/1000)*(d_Irr!C21+d_Irr!AB21+d_Irr!BA21)),IF(AND(d_Irr!C21&lt;&gt;".",d_Irr!AB21&lt;&gt;".",d_Irr!BA21="."),d_dir!AD21/((1/1000)*(d_Irr!C21+d_Irr!AB21)),IF(AND(d_Irr!C21&lt;&gt;".",d_Irr!AB21=".",d_Irr!BA21&lt;&gt;"."),d_dir!AD21/((1/1000)*(d_Irr!C21+d_Irr!BA21)),IF(AND(d_Irr!C21=".",d_Irr!AB21&lt;&gt;".",d_Irr!BA21&lt;&gt;"."),d_dir!AD21/((1/1000)*(d_Irr!AB21+d_Irr!BA21)),IF(AND(d_Irr!C21=".",d_Irr!AB21=".",d_Irr!BA21&lt;&gt;"."),d_dir!AD21/((1/1000)*(d_Irr!BA21)),IF(AND(d_Irr!C21=".",d_Irr!AB21&lt;&gt;".",d_Irr!BA21="."),d_dir!AD21/((1/1000)*(d_Irr!AB21)),IF(AND(d_Irr!C21&lt;&gt;".",d_Irr!AB21=".",d_Irr!BA21="."),d_dir!AD21/((1/1000)*(d_Irr!C21)),IF(AND(d_Irr!C21=".",d_Irr!AB21=".",d_Irr!BA21="."),d_dir!AD21*1000)))))))),".")</f>
        <v>.</v>
      </c>
      <c r="AE21" s="70" t="str">
        <f>IFERROR(IF(AND(d_Irr!D21&lt;&gt;".",d_Irr!AC21&lt;&gt;".",d_Irr!BB21&lt;&gt;"."),d_dir!AE21/((1/1000)*(d_Irr!D21+d_Irr!AC21+d_Irr!BB21)),IF(AND(d_Irr!D21&lt;&gt;".",d_Irr!AC21&lt;&gt;".",d_Irr!BB21="."),d_dir!AE21/((1/1000)*(d_Irr!D21+d_Irr!AC21)),IF(AND(d_Irr!D21&lt;&gt;".",d_Irr!AC21=".",d_Irr!BB21&lt;&gt;"."),d_dir!AE21/((1/1000)*(d_Irr!D21+d_Irr!BB21)),IF(AND(d_Irr!D21=".",d_Irr!AC21&lt;&gt;".",d_Irr!BB21&lt;&gt;"."),d_dir!AE21/((1/1000)*(d_Irr!AC21+d_Irr!BB21)),IF(AND(d_Irr!D21=".",d_Irr!AC21=".",d_Irr!BB21&lt;&gt;"."),d_dir!AE21/((1/1000)*(d_Irr!BB21)),IF(AND(d_Irr!D21=".",d_Irr!AC21&lt;&gt;".",d_Irr!BB21="."),d_dir!AE21/((1/1000)*(d_Irr!AC21)),IF(AND(d_Irr!D21&lt;&gt;".",d_Irr!AC21=".",d_Irr!BB21="."),d_dir!AE21/((1/1000)*(d_Irr!D21)),IF(AND(d_Irr!D21=".",d_Irr!AC21=".",d_Irr!BB21="."),d_dir!AE21*1000)))))))),".")</f>
        <v>.</v>
      </c>
      <c r="AF21" s="70" t="str">
        <f>IFERROR(IF(AND(d_Irr!E21&lt;&gt;".",d_Irr!AD21&lt;&gt;".",d_Irr!BC21&lt;&gt;"."),d_dir!AF21/((1/1000)*(d_Irr!E21+d_Irr!AD21+d_Irr!BC21)),IF(AND(d_Irr!E21&lt;&gt;".",d_Irr!AD21&lt;&gt;".",d_Irr!BC21="."),d_dir!AF21/((1/1000)*(d_Irr!E21+d_Irr!AD21)),IF(AND(d_Irr!E21&lt;&gt;".",d_Irr!AD21=".",d_Irr!BC21&lt;&gt;"."),d_dir!AF21/((1/1000)*(d_Irr!E21+d_Irr!BC21)),IF(AND(d_Irr!E21=".",d_Irr!AD21&lt;&gt;".",d_Irr!BC21&lt;&gt;"."),d_dir!AF21/((1/1000)*(d_Irr!AD21+d_Irr!BC21)),IF(AND(d_Irr!E21=".",d_Irr!AD21=".",d_Irr!BC21&lt;&gt;"."),d_dir!AF21/((1/1000)*(d_Irr!BC21)),IF(AND(d_Irr!E21=".",d_Irr!AD21&lt;&gt;".",d_Irr!BC21="."),d_dir!AF21/((1/1000)*(d_Irr!AD21)),IF(AND(d_Irr!E21&lt;&gt;".",d_Irr!AD21=".",d_Irr!BC21="."),d_dir!AF21/((1/1000)*(d_Irr!E21)),IF(AND(d_Irr!E21=".",d_Irr!AD21=".",d_Irr!BC21="."),d_dir!AF21*1000)))))))),".")</f>
        <v>.</v>
      </c>
      <c r="AG21" s="70" t="str">
        <f>IFERROR(IF(AND(d_Irr!F21&lt;&gt;".",d_Irr!AE21&lt;&gt;".",d_Irr!BD21&lt;&gt;"."),d_dir!AG21/((1/1000)*(d_Irr!F21+d_Irr!AE21+d_Irr!BD21)),IF(AND(d_Irr!F21&lt;&gt;".",d_Irr!AE21&lt;&gt;".",d_Irr!BD21="."),d_dir!AG21/((1/1000)*(d_Irr!F21+d_Irr!AE21)),IF(AND(d_Irr!F21&lt;&gt;".",d_Irr!AE21=".",d_Irr!BD21&lt;&gt;"."),d_dir!AG21/((1/1000)*(d_Irr!F21+d_Irr!BD21)),IF(AND(d_Irr!F21=".",d_Irr!AE21&lt;&gt;".",d_Irr!BD21&lt;&gt;"."),d_dir!AG21/((1/1000)*(d_Irr!AE21+d_Irr!BD21)),IF(AND(d_Irr!F21=".",d_Irr!AE21=".",d_Irr!BD21&lt;&gt;"."),d_dir!AG21/((1/1000)*(d_Irr!BD21)),IF(AND(d_Irr!F21=".",d_Irr!AE21&lt;&gt;".",d_Irr!BD21="."),d_dir!AG21/((1/1000)*(d_Irr!AE21)),IF(AND(d_Irr!F21&lt;&gt;".",d_Irr!AE21=".",d_Irr!BD21="."),d_dir!AG21/((1/1000)*(d_Irr!F21)),IF(AND(d_Irr!F21=".",d_Irr!AE21=".",d_Irr!BD21="."),d_dir!AG21*1000)))))))),".")</f>
        <v>.</v>
      </c>
      <c r="AH21" s="70" t="str">
        <f>IFERROR(IF(AND(d_Irr!G21&lt;&gt;".",d_Irr!AF21&lt;&gt;".",d_Irr!BE21&lt;&gt;"."),d_dir!AH21/((1/1000)*(d_Irr!G21+d_Irr!AF21+d_Irr!BE21)),IF(AND(d_Irr!G21&lt;&gt;".",d_Irr!AF21&lt;&gt;".",d_Irr!BE21="."),d_dir!AH21/((1/1000)*(d_Irr!G21+d_Irr!AF21)),IF(AND(d_Irr!G21&lt;&gt;".",d_Irr!AF21=".",d_Irr!BE21&lt;&gt;"."),d_dir!AH21/((1/1000)*(d_Irr!G21+d_Irr!BE21)),IF(AND(d_Irr!G21=".",d_Irr!AF21&lt;&gt;".",d_Irr!BE21&lt;&gt;"."),d_dir!AH21/((1/1000)*(d_Irr!AF21+d_Irr!BE21)),IF(AND(d_Irr!G21=".",d_Irr!AF21=".",d_Irr!BE21&lt;&gt;"."),d_dir!AH21/((1/1000)*(d_Irr!BE21)),IF(AND(d_Irr!G21=".",d_Irr!AF21&lt;&gt;".",d_Irr!BE21="."),d_dir!AH21/((1/1000)*(d_Irr!AF21)),IF(AND(d_Irr!G21&lt;&gt;".",d_Irr!AF21=".",d_Irr!BE21="."),d_dir!AH21/((1/1000)*(d_Irr!G21)),IF(AND(d_Irr!G21=".",d_Irr!AF21=".",d_Irr!BE21="."),d_dir!AH21*1000)))))))),".")</f>
        <v>.</v>
      </c>
      <c r="AI21" s="70" t="str">
        <f>IFERROR(IF(AND(d_Irr!H21&lt;&gt;".",d_Irr!AG21&lt;&gt;".",d_Irr!BF21&lt;&gt;"."),d_dir!AI21/((1/1000)*(d_Irr!H21+d_Irr!AG21+d_Irr!BF21)),IF(AND(d_Irr!H21&lt;&gt;".",d_Irr!AG21&lt;&gt;".",d_Irr!BF21="."),d_dir!AI21/((1/1000)*(d_Irr!H21+d_Irr!AG21)),IF(AND(d_Irr!H21&lt;&gt;".",d_Irr!AG21=".",d_Irr!BF21&lt;&gt;"."),d_dir!AI21/((1/1000)*(d_Irr!H21+d_Irr!BF21)),IF(AND(d_Irr!H21=".",d_Irr!AG21&lt;&gt;".",d_Irr!BF21&lt;&gt;"."),d_dir!AI21/((1/1000)*(d_Irr!AG21+d_Irr!BF21)),IF(AND(d_Irr!H21=".",d_Irr!AG21=".",d_Irr!BF21&lt;&gt;"."),d_dir!AI21/((1/1000)*(d_Irr!BF21)),IF(AND(d_Irr!H21=".",d_Irr!AG21&lt;&gt;".",d_Irr!BF21="."),d_dir!AI21/((1/1000)*(d_Irr!AG21)),IF(AND(d_Irr!H21&lt;&gt;".",d_Irr!AG21=".",d_Irr!BF21="."),d_dir!AI21/((1/1000)*(d_Irr!H21)),IF(AND(d_Irr!H21=".",d_Irr!AG21=".",d_Irr!BF21="."),d_dir!AI21*1000)))))))),".")</f>
        <v>.</v>
      </c>
      <c r="AJ21" s="70" t="str">
        <f>IFERROR(IF(AND(d_Irr!I21&lt;&gt;".",d_Irr!AH21&lt;&gt;".",d_Irr!BG21&lt;&gt;"."),d_dir!AJ21/((1/1000)*(d_Irr!I21+d_Irr!AH21+d_Irr!BG21)),IF(AND(d_Irr!I21&lt;&gt;".",d_Irr!AH21&lt;&gt;".",d_Irr!BG21="."),d_dir!AJ21/((1/1000)*(d_Irr!I21+d_Irr!AH21)),IF(AND(d_Irr!I21&lt;&gt;".",d_Irr!AH21=".",d_Irr!BG21&lt;&gt;"."),d_dir!AJ21/((1/1000)*(d_Irr!I21+d_Irr!BG21)),IF(AND(d_Irr!I21=".",d_Irr!AH21&lt;&gt;".",d_Irr!BG21&lt;&gt;"."),d_dir!AJ21/((1/1000)*(d_Irr!AH21+d_Irr!BG21)),IF(AND(d_Irr!I21=".",d_Irr!AH21=".",d_Irr!BG21&lt;&gt;"."),d_dir!AJ21/((1/1000)*(d_Irr!BG21)),IF(AND(d_Irr!I21=".",d_Irr!AH21&lt;&gt;".",d_Irr!BG21="."),d_dir!AJ21/((1/1000)*(d_Irr!AH21)),IF(AND(d_Irr!I21&lt;&gt;".",d_Irr!AH21=".",d_Irr!BG21="."),d_dir!AJ21/((1/1000)*(d_Irr!I21)),IF(AND(d_Irr!I21=".",d_Irr!AH21=".",d_Irr!BG21="."),d_dir!AJ21*1000)))))))),".")</f>
        <v>.</v>
      </c>
      <c r="AK21" s="70" t="str">
        <f>IFERROR(IF(AND(d_Irr!J21&lt;&gt;".",d_Irr!AI21&lt;&gt;".",d_Irr!BH21&lt;&gt;"."),d_dir!AK21/((1/1000)*(d_Irr!J21+d_Irr!AI21+d_Irr!BH21)),IF(AND(d_Irr!J21&lt;&gt;".",d_Irr!AI21&lt;&gt;".",d_Irr!BH21="."),d_dir!AK21/((1/1000)*(d_Irr!J21+d_Irr!AI21)),IF(AND(d_Irr!J21&lt;&gt;".",d_Irr!AI21=".",d_Irr!BH21&lt;&gt;"."),d_dir!AK21/((1/1000)*(d_Irr!J21+d_Irr!BH21)),IF(AND(d_Irr!J21=".",d_Irr!AI21&lt;&gt;".",d_Irr!BH21&lt;&gt;"."),d_dir!AK21/((1/1000)*(d_Irr!AI21+d_Irr!BH21)),IF(AND(d_Irr!J21=".",d_Irr!AI21=".",d_Irr!BH21&lt;&gt;"."),d_dir!AK21/((1/1000)*(d_Irr!BH21)),IF(AND(d_Irr!J21=".",d_Irr!AI21&lt;&gt;".",d_Irr!BH21="."),d_dir!AK21/((1/1000)*(d_Irr!AI21)),IF(AND(d_Irr!J21&lt;&gt;".",d_Irr!AI21=".",d_Irr!BH21="."),d_dir!AK21/((1/1000)*(d_Irr!J21)),IF(AND(d_Irr!J21=".",d_Irr!AI21=".",d_Irr!BH21="."),d_dir!AK21*1000)))))))),".")</f>
        <v>.</v>
      </c>
      <c r="AL21" s="70" t="str">
        <f>IFERROR(IF(AND(d_Irr!K21&lt;&gt;".",d_Irr!AJ21&lt;&gt;".",d_Irr!BI21&lt;&gt;"."),d_dir!AL21/((1/1000)*(d_Irr!K21+d_Irr!AJ21+d_Irr!BI21)),IF(AND(d_Irr!K21&lt;&gt;".",d_Irr!AJ21&lt;&gt;".",d_Irr!BI21="."),d_dir!AL21/((1/1000)*(d_Irr!K21+d_Irr!AJ21)),IF(AND(d_Irr!K21&lt;&gt;".",d_Irr!AJ21=".",d_Irr!BI21&lt;&gt;"."),d_dir!AL21/((1/1000)*(d_Irr!K21+d_Irr!BI21)),IF(AND(d_Irr!K21=".",d_Irr!AJ21&lt;&gt;".",d_Irr!BI21&lt;&gt;"."),d_dir!AL21/((1/1000)*(d_Irr!AJ21+d_Irr!BI21)),IF(AND(d_Irr!K21=".",d_Irr!AJ21=".",d_Irr!BI21&lt;&gt;"."),d_dir!AL21/((1/1000)*(d_Irr!BI21)),IF(AND(d_Irr!K21=".",d_Irr!AJ21&lt;&gt;".",d_Irr!BI21="."),d_dir!AL21/((1/1000)*(d_Irr!AJ21)),IF(AND(d_Irr!K21&lt;&gt;".",d_Irr!AJ21=".",d_Irr!BI21="."),d_dir!AL21/((1/1000)*(d_Irr!K21)),IF(AND(d_Irr!K21=".",d_Irr!AJ21=".",d_Irr!BI21="."),d_dir!AL21*1000)))))))),".")</f>
        <v>.</v>
      </c>
      <c r="AM21" s="70" t="str">
        <f>IFERROR(IF(AND(d_Irr!L21&lt;&gt;".",d_Irr!AK21&lt;&gt;".",d_Irr!BJ21&lt;&gt;"."),d_dir!AM21/((1/1000)*(d_Irr!L21+d_Irr!AK21+d_Irr!BJ21)),IF(AND(d_Irr!L21&lt;&gt;".",d_Irr!AK21&lt;&gt;".",d_Irr!BJ21="."),d_dir!AM21/((1/1000)*(d_Irr!L21+d_Irr!AK21)),IF(AND(d_Irr!L21&lt;&gt;".",d_Irr!AK21=".",d_Irr!BJ21&lt;&gt;"."),d_dir!AM21/((1/1000)*(d_Irr!L21+d_Irr!BJ21)),IF(AND(d_Irr!L21=".",d_Irr!AK21&lt;&gt;".",d_Irr!BJ21&lt;&gt;"."),d_dir!AM21/((1/1000)*(d_Irr!AK21+d_Irr!BJ21)),IF(AND(d_Irr!L21=".",d_Irr!AK21=".",d_Irr!BJ21&lt;&gt;"."),d_dir!AM21/((1/1000)*(d_Irr!BJ21)),IF(AND(d_Irr!L21=".",d_Irr!AK21&lt;&gt;".",d_Irr!BJ21="."),d_dir!AM21/((1/1000)*(d_Irr!AK21)),IF(AND(d_Irr!L21&lt;&gt;".",d_Irr!AK21=".",d_Irr!BJ21="."),d_dir!AM21/((1/1000)*(d_Irr!L21)),IF(AND(d_Irr!L21=".",d_Irr!AK21=".",d_Irr!BJ21="."),d_dir!AM21*1000)))))))),".")</f>
        <v>.</v>
      </c>
      <c r="AN21" s="70" t="str">
        <f>IFERROR(IF(AND(d_Irr!M21&lt;&gt;".",d_Irr!AL21&lt;&gt;".",d_Irr!BK21&lt;&gt;"."),d_dir!AN21/((1/1000)*(d_Irr!M21+d_Irr!AL21+d_Irr!BK21)),IF(AND(d_Irr!M21&lt;&gt;".",d_Irr!AL21&lt;&gt;".",d_Irr!BK21="."),d_dir!AN21/((1/1000)*(d_Irr!M21+d_Irr!AL21)),IF(AND(d_Irr!M21&lt;&gt;".",d_Irr!AL21=".",d_Irr!BK21&lt;&gt;"."),d_dir!AN21/((1/1000)*(d_Irr!M21+d_Irr!BK21)),IF(AND(d_Irr!M21=".",d_Irr!AL21&lt;&gt;".",d_Irr!BK21&lt;&gt;"."),d_dir!AN21/((1/1000)*(d_Irr!AL21+d_Irr!BK21)),IF(AND(d_Irr!M21=".",d_Irr!AL21=".",d_Irr!BK21&lt;&gt;"."),d_dir!AN21/((1/1000)*(d_Irr!BK21)),IF(AND(d_Irr!M21=".",d_Irr!AL21&lt;&gt;".",d_Irr!BK21="."),d_dir!AN21/((1/1000)*(d_Irr!AL21)),IF(AND(d_Irr!M21&lt;&gt;".",d_Irr!AL21=".",d_Irr!BK21="."),d_dir!AN21/((1/1000)*(d_Irr!M21)),IF(AND(d_Irr!M21=".",d_Irr!AL21=".",d_Irr!BK21="."),d_dir!AN21*1000)))))))),".")</f>
        <v>.</v>
      </c>
      <c r="AO21" s="70" t="str">
        <f>IFERROR(IF(AND(d_Irr!N21&lt;&gt;".",d_Irr!AM21&lt;&gt;".",d_Irr!BL21&lt;&gt;"."),d_dir!AO21/((1/1000)*(d_Irr!N21+d_Irr!AM21+d_Irr!BL21)),IF(AND(d_Irr!N21&lt;&gt;".",d_Irr!AM21&lt;&gt;".",d_Irr!BL21="."),d_dir!AO21/((1/1000)*(d_Irr!N21+d_Irr!AM21)),IF(AND(d_Irr!N21&lt;&gt;".",d_Irr!AM21=".",d_Irr!BL21&lt;&gt;"."),d_dir!AO21/((1/1000)*(d_Irr!N21+d_Irr!BL21)),IF(AND(d_Irr!N21=".",d_Irr!AM21&lt;&gt;".",d_Irr!BL21&lt;&gt;"."),d_dir!AO21/((1/1000)*(d_Irr!AM21+d_Irr!BL21)),IF(AND(d_Irr!N21=".",d_Irr!AM21=".",d_Irr!BL21&lt;&gt;"."),d_dir!AO21/((1/1000)*(d_Irr!BL21)),IF(AND(d_Irr!N21=".",d_Irr!AM21&lt;&gt;".",d_Irr!BL21="."),d_dir!AO21/((1/1000)*(d_Irr!AM21)),IF(AND(d_Irr!N21&lt;&gt;".",d_Irr!AM21=".",d_Irr!BL21="."),d_dir!AO21/((1/1000)*(d_Irr!N21)),IF(AND(d_Irr!N21=".",d_Irr!AM21=".",d_Irr!BL21="."),d_dir!AO21*1000)))))))),".")</f>
        <v>.</v>
      </c>
      <c r="AP21" s="70" t="str">
        <f>IFERROR(IF(AND(d_Irr!O21&lt;&gt;".",d_Irr!AN21&lt;&gt;".",d_Irr!BM21&lt;&gt;"."),d_dir!AP21/((1/1000)*(d_Irr!O21+d_Irr!AN21+d_Irr!BM21)),IF(AND(d_Irr!O21&lt;&gt;".",d_Irr!AN21&lt;&gt;".",d_Irr!BM21="."),d_dir!AP21/((1/1000)*(d_Irr!O21+d_Irr!AN21)),IF(AND(d_Irr!O21&lt;&gt;".",d_Irr!AN21=".",d_Irr!BM21&lt;&gt;"."),d_dir!AP21/((1/1000)*(d_Irr!O21+d_Irr!BM21)),IF(AND(d_Irr!O21=".",d_Irr!AN21&lt;&gt;".",d_Irr!BM21&lt;&gt;"."),d_dir!AP21/((1/1000)*(d_Irr!AN21+d_Irr!BM21)),IF(AND(d_Irr!O21=".",d_Irr!AN21=".",d_Irr!BM21&lt;&gt;"."),d_dir!AP21/((1/1000)*(d_Irr!BM21)),IF(AND(d_Irr!O21=".",d_Irr!AN21&lt;&gt;".",d_Irr!BM21="."),d_dir!AP21/((1/1000)*(d_Irr!AN21)),IF(AND(d_Irr!O21&lt;&gt;".",d_Irr!AN21=".",d_Irr!BM21="."),d_dir!AP21/((1/1000)*(d_Irr!O21)),IF(AND(d_Irr!O21=".",d_Irr!AN21=".",d_Irr!BM21="."),d_dir!AP21*1000)))))))),".")</f>
        <v>.</v>
      </c>
      <c r="AQ21" s="70" t="str">
        <f>IFERROR(IF(AND(d_Irr!P21&lt;&gt;".",d_Irr!AO21&lt;&gt;".",d_Irr!BN21&lt;&gt;"."),d_dir!AQ21/((1/1000)*(d_Irr!P21+d_Irr!AO21+d_Irr!BN21)),IF(AND(d_Irr!P21&lt;&gt;".",d_Irr!AO21&lt;&gt;".",d_Irr!BN21="."),d_dir!AQ21/((1/1000)*(d_Irr!P21+d_Irr!AO21)),IF(AND(d_Irr!P21&lt;&gt;".",d_Irr!AO21=".",d_Irr!BN21&lt;&gt;"."),d_dir!AQ21/((1/1000)*(d_Irr!P21+d_Irr!BN21)),IF(AND(d_Irr!P21=".",d_Irr!AO21&lt;&gt;".",d_Irr!BN21&lt;&gt;"."),d_dir!AQ21/((1/1000)*(d_Irr!AO21+d_Irr!BN21)),IF(AND(d_Irr!P21=".",d_Irr!AO21=".",d_Irr!BN21&lt;&gt;"."),d_dir!AQ21/((1/1000)*(d_Irr!BN21)),IF(AND(d_Irr!P21=".",d_Irr!AO21&lt;&gt;".",d_Irr!BN21="."),d_dir!AQ21/((1/1000)*(d_Irr!AO21)),IF(AND(d_Irr!P21&lt;&gt;".",d_Irr!AO21=".",d_Irr!BN21="."),d_dir!AQ21/((1/1000)*(d_Irr!P21)),IF(AND(d_Irr!P21=".",d_Irr!AO21=".",d_Irr!BN21="."),d_dir!AQ21*1000)))))))),".")</f>
        <v>.</v>
      </c>
      <c r="AR21" s="70" t="str">
        <f>IFERROR(IF(AND(d_Irr!Q21&lt;&gt;".",d_Irr!AP21&lt;&gt;".",d_Irr!BO21&lt;&gt;"."),d_dir!AR21/((1/1000)*(d_Irr!Q21+d_Irr!AP21+d_Irr!BO21)),IF(AND(d_Irr!Q21&lt;&gt;".",d_Irr!AP21&lt;&gt;".",d_Irr!BO21="."),d_dir!AR21/((1/1000)*(d_Irr!Q21+d_Irr!AP21)),IF(AND(d_Irr!Q21&lt;&gt;".",d_Irr!AP21=".",d_Irr!BO21&lt;&gt;"."),d_dir!AR21/((1/1000)*(d_Irr!Q21+d_Irr!BO21)),IF(AND(d_Irr!Q21=".",d_Irr!AP21&lt;&gt;".",d_Irr!BO21&lt;&gt;"."),d_dir!AR21/((1/1000)*(d_Irr!AP21+d_Irr!BO21)),IF(AND(d_Irr!Q21=".",d_Irr!AP21=".",d_Irr!BO21&lt;&gt;"."),d_dir!AR21/((1/1000)*(d_Irr!BO21)),IF(AND(d_Irr!Q21=".",d_Irr!AP21&lt;&gt;".",d_Irr!BO21="."),d_dir!AR21/((1/1000)*(d_Irr!AP21)),IF(AND(d_Irr!Q21&lt;&gt;".",d_Irr!AP21=".",d_Irr!BO21="."),d_dir!AR21/((1/1000)*(d_Irr!Q21)),IF(AND(d_Irr!Q21=".",d_Irr!AP21=".",d_Irr!BO21="."),d_dir!AR21*1000)))))))),".")</f>
        <v>.</v>
      </c>
      <c r="AS21" s="70" t="str">
        <f>IFERROR(IF(AND(d_Irr!R21&lt;&gt;".",d_Irr!AQ21&lt;&gt;".",d_Irr!BP21&lt;&gt;"."),d_dir!AS21/((1/1000)*(d_Irr!R21+d_Irr!AQ21+d_Irr!BP21)),IF(AND(d_Irr!R21&lt;&gt;".",d_Irr!AQ21&lt;&gt;".",d_Irr!BP21="."),d_dir!AS21/((1/1000)*(d_Irr!R21+d_Irr!AQ21)),IF(AND(d_Irr!R21&lt;&gt;".",d_Irr!AQ21=".",d_Irr!BP21&lt;&gt;"."),d_dir!AS21/((1/1000)*(d_Irr!R21+d_Irr!BP21)),IF(AND(d_Irr!R21=".",d_Irr!AQ21&lt;&gt;".",d_Irr!BP21&lt;&gt;"."),d_dir!AS21/((1/1000)*(d_Irr!AQ21+d_Irr!BP21)),IF(AND(d_Irr!R21=".",d_Irr!AQ21=".",d_Irr!BP21&lt;&gt;"."),d_dir!AS21/((1/1000)*(d_Irr!BP21)),IF(AND(d_Irr!R21=".",d_Irr!AQ21&lt;&gt;".",d_Irr!BP21="."),d_dir!AS21/((1/1000)*(d_Irr!AQ21)),IF(AND(d_Irr!R21&lt;&gt;".",d_Irr!AQ21=".",d_Irr!BP21="."),d_dir!AS21/((1/1000)*(d_Irr!R21)),IF(AND(d_Irr!R21=".",d_Irr!AQ21=".",d_Irr!BP21="."),d_dir!AS21*1000)))))))),".")</f>
        <v>.</v>
      </c>
      <c r="AT21" s="70" t="str">
        <f>IFERROR(IF(AND(d_Irr!S21&lt;&gt;".",d_Irr!AR21&lt;&gt;".",d_Irr!BQ21&lt;&gt;"."),d_dir!AT21/((1/1000)*(d_Irr!S21+d_Irr!AR21+d_Irr!BQ21)),IF(AND(d_Irr!S21&lt;&gt;".",d_Irr!AR21&lt;&gt;".",d_Irr!BQ21="."),d_dir!AT21/((1/1000)*(d_Irr!S21+d_Irr!AR21)),IF(AND(d_Irr!S21&lt;&gt;".",d_Irr!AR21=".",d_Irr!BQ21&lt;&gt;"."),d_dir!AT21/((1/1000)*(d_Irr!S21+d_Irr!BQ21)),IF(AND(d_Irr!S21=".",d_Irr!AR21&lt;&gt;".",d_Irr!BQ21&lt;&gt;"."),d_dir!AT21/((1/1000)*(d_Irr!AR21+d_Irr!BQ21)),IF(AND(d_Irr!S21=".",d_Irr!AR21=".",d_Irr!BQ21&lt;&gt;"."),d_dir!AT21/((1/1000)*(d_Irr!BQ21)),IF(AND(d_Irr!S21=".",d_Irr!AR21&lt;&gt;".",d_Irr!BQ21="."),d_dir!AT21/((1/1000)*(d_Irr!AR21)),IF(AND(d_Irr!S21&lt;&gt;".",d_Irr!AR21=".",d_Irr!BQ21="."),d_dir!AT21/((1/1000)*(d_Irr!S21)),IF(AND(d_Irr!S21=".",d_Irr!AR21=".",d_Irr!BQ21="."),d_dir!AT21*1000)))))))),".")</f>
        <v>.</v>
      </c>
      <c r="AU21" s="70" t="str">
        <f>IFERROR(IF(AND(d_Irr!T21&lt;&gt;".",d_Irr!AS21&lt;&gt;".",d_Irr!BR21&lt;&gt;"."),d_dir!AU21/((1/1000)*(d_Irr!T21+d_Irr!AS21+d_Irr!BR21)),IF(AND(d_Irr!T21&lt;&gt;".",d_Irr!AS21&lt;&gt;".",d_Irr!BR21="."),d_dir!AU21/((1/1000)*(d_Irr!T21+d_Irr!AS21)),IF(AND(d_Irr!T21&lt;&gt;".",d_Irr!AS21=".",d_Irr!BR21&lt;&gt;"."),d_dir!AU21/((1/1000)*(d_Irr!T21+d_Irr!BR21)),IF(AND(d_Irr!T21=".",d_Irr!AS21&lt;&gt;".",d_Irr!BR21&lt;&gt;"."),d_dir!AU21/((1/1000)*(d_Irr!AS21+d_Irr!BR21)),IF(AND(d_Irr!T21=".",d_Irr!AS21=".",d_Irr!BR21&lt;&gt;"."),d_dir!AU21/((1/1000)*(d_Irr!BR21)),IF(AND(d_Irr!T21=".",d_Irr!AS21&lt;&gt;".",d_Irr!BR21="."),d_dir!AU21/((1/1000)*(d_Irr!AS21)),IF(AND(d_Irr!T21&lt;&gt;".",d_Irr!AS21=".",d_Irr!BR21="."),d_dir!AU21/((1/1000)*(d_Irr!T21)),IF(AND(d_Irr!T21=".",d_Irr!AS21=".",d_Irr!BR21="."),d_dir!AU21*1000)))))))),".")</f>
        <v>.</v>
      </c>
      <c r="AV21" s="70" t="str">
        <f>IFERROR(IF(AND(d_Irr!U21&lt;&gt;".",d_Irr!AT21&lt;&gt;".",d_Irr!BS21&lt;&gt;"."),d_dir!AV21/((1/1000)*(d_Irr!U21+d_Irr!AT21+d_Irr!BS21)),IF(AND(d_Irr!U21&lt;&gt;".",d_Irr!AT21&lt;&gt;".",d_Irr!BS21="."),d_dir!AV21/((1/1000)*(d_Irr!U21+d_Irr!AT21)),IF(AND(d_Irr!U21&lt;&gt;".",d_Irr!AT21=".",d_Irr!BS21&lt;&gt;"."),d_dir!AV21/((1/1000)*(d_Irr!U21+d_Irr!BS21)),IF(AND(d_Irr!U21=".",d_Irr!AT21&lt;&gt;".",d_Irr!BS21&lt;&gt;"."),d_dir!AV21/((1/1000)*(d_Irr!AT21+d_Irr!BS21)),IF(AND(d_Irr!U21=".",d_Irr!AT21=".",d_Irr!BS21&lt;&gt;"."),d_dir!AV21/((1/1000)*(d_Irr!BS21)),IF(AND(d_Irr!U21=".",d_Irr!AT21&lt;&gt;".",d_Irr!BS21="."),d_dir!AV21/((1/1000)*(d_Irr!AT21)),IF(AND(d_Irr!U21&lt;&gt;".",d_Irr!AT21=".",d_Irr!BS21="."),d_dir!AV21/((1/1000)*(d_Irr!U21)),IF(AND(d_Irr!U21=".",d_Irr!AT21=".",d_Irr!BS21="."),d_dir!AV21*1000)))))))),".")</f>
        <v>.</v>
      </c>
      <c r="AW21" s="70" t="str">
        <f>IFERROR(IF(AND(d_Irr!V21&lt;&gt;".",d_Irr!AU21&lt;&gt;".",d_Irr!BT21&lt;&gt;"."),d_dir!AW21/((1/1000)*(d_Irr!V21+d_Irr!AU21+d_Irr!BT21)),IF(AND(d_Irr!V21&lt;&gt;".",d_Irr!AU21&lt;&gt;".",d_Irr!BT21="."),d_dir!AW21/((1/1000)*(d_Irr!V21+d_Irr!AU21)),IF(AND(d_Irr!V21&lt;&gt;".",d_Irr!AU21=".",d_Irr!BT21&lt;&gt;"."),d_dir!AW21/((1/1000)*(d_Irr!V21+d_Irr!BT21)),IF(AND(d_Irr!V21=".",d_Irr!AU21&lt;&gt;".",d_Irr!BT21&lt;&gt;"."),d_dir!AW21/((1/1000)*(d_Irr!AU21+d_Irr!BT21)),IF(AND(d_Irr!V21=".",d_Irr!AU21=".",d_Irr!BT21&lt;&gt;"."),d_dir!AW21/((1/1000)*(d_Irr!BT21)),IF(AND(d_Irr!V21=".",d_Irr!AU21&lt;&gt;".",d_Irr!BT21="."),d_dir!AW21/((1/1000)*(d_Irr!AU21)),IF(AND(d_Irr!V21&lt;&gt;".",d_Irr!AU21=".",d_Irr!BT21="."),d_dir!AW21/((1/1000)*(d_Irr!V21)),IF(AND(d_Irr!V21=".",d_Irr!AU21=".",d_Irr!BT21="."),d_dir!AW21*1000)))))))),".")</f>
        <v>.</v>
      </c>
      <c r="AX21" s="70" t="str">
        <f>IFERROR(IF(AND(d_Irr!W21&lt;&gt;".",d_Irr!AV21&lt;&gt;".",d_Irr!BU21&lt;&gt;"."),d_dir!AX21/((1/1000)*(d_Irr!W21+d_Irr!AV21+d_Irr!BU21)),IF(AND(d_Irr!W21&lt;&gt;".",d_Irr!AV21&lt;&gt;".",d_Irr!BU21="."),d_dir!AX21/((1/1000)*(d_Irr!W21+d_Irr!AV21)),IF(AND(d_Irr!W21&lt;&gt;".",d_Irr!AV21=".",d_Irr!BU21&lt;&gt;"."),d_dir!AX21/((1/1000)*(d_Irr!W21+d_Irr!BU21)),IF(AND(d_Irr!W21=".",d_Irr!AV21&lt;&gt;".",d_Irr!BU21&lt;&gt;"."),d_dir!AX21/((1/1000)*(d_Irr!AV21+d_Irr!BU21)),IF(AND(d_Irr!W21=".",d_Irr!AV21=".",d_Irr!BU21&lt;&gt;"."),d_dir!AX21/((1/1000)*(d_Irr!BU21)),IF(AND(d_Irr!W21=".",d_Irr!AV21&lt;&gt;".",d_Irr!BU21="."),d_dir!AX21/((1/1000)*(d_Irr!AV21)),IF(AND(d_Irr!W21&lt;&gt;".",d_Irr!AV21=".",d_Irr!BU21="."),d_dir!AX21/((1/1000)*(d_Irr!W21)),IF(AND(d_Irr!W21=".",d_Irr!AV21=".",d_Irr!BU21="."),d_dir!AX21*1000)))))))),".")</f>
        <v>.</v>
      </c>
      <c r="AY21" s="70" t="str">
        <f>IFERROR(IF(AND(d_Irr!X21&lt;&gt;".",d_Irr!AW21&lt;&gt;".",d_Irr!BV21&lt;&gt;"."),d_dir!AY21/((1/1000)*(d_Irr!X21+d_Irr!AW21+d_Irr!BV21)),IF(AND(d_Irr!X21&lt;&gt;".",d_Irr!AW21&lt;&gt;".",d_Irr!BV21="."),d_dir!AY21/((1/1000)*(d_Irr!X21+d_Irr!AW21)),IF(AND(d_Irr!X21&lt;&gt;".",d_Irr!AW21=".",d_Irr!BV21&lt;&gt;"."),d_dir!AY21/((1/1000)*(d_Irr!X21+d_Irr!BV21)),IF(AND(d_Irr!X21=".",d_Irr!AW21&lt;&gt;".",d_Irr!BV21&lt;&gt;"."),d_dir!AY21/((1/1000)*(d_Irr!AW21+d_Irr!BV21)),IF(AND(d_Irr!X21=".",d_Irr!AW21=".",d_Irr!BV21&lt;&gt;"."),d_dir!AY21/((1/1000)*(d_Irr!BV21)),IF(AND(d_Irr!X21=".",d_Irr!AW21&lt;&gt;".",d_Irr!BV21="."),d_dir!AY21/((1/1000)*(d_Irr!AW21)),IF(AND(d_Irr!X21&lt;&gt;".",d_Irr!AW21=".",d_Irr!BV21="."),d_dir!AY21/((1/1000)*(d_Irr!X21)),IF(AND(d_Irr!X21=".",d_Irr!AW21=".",d_Irr!BV21="."),d_dir!AY21*1000)))))))),".")</f>
        <v>.</v>
      </c>
      <c r="AZ21" s="70" t="str">
        <f>IFERROR(IF(AND(d_Irr!Y21&lt;&gt;".",d_Irr!AX21&lt;&gt;".",d_Irr!BW21&lt;&gt;"."),d_dir!AZ21/((1/1000)*(d_Irr!Y21+d_Irr!AX21+d_Irr!BW21)),IF(AND(d_Irr!Y21&lt;&gt;".",d_Irr!AX21&lt;&gt;".",d_Irr!BW21="."),d_dir!AZ21/((1/1000)*(d_Irr!Y21+d_Irr!AX21)),IF(AND(d_Irr!Y21&lt;&gt;".",d_Irr!AX21=".",d_Irr!BW21&lt;&gt;"."),d_dir!AZ21/((1/1000)*(d_Irr!Y21+d_Irr!BW21)),IF(AND(d_Irr!Y21=".",d_Irr!AX21&lt;&gt;".",d_Irr!BW21&lt;&gt;"."),d_dir!AZ21/((1/1000)*(d_Irr!AX21+d_Irr!BW21)),IF(AND(d_Irr!Y21=".",d_Irr!AX21=".",d_Irr!BW21&lt;&gt;"."),d_dir!AZ21/((1/1000)*(d_Irr!BW21)),IF(AND(d_Irr!Y21=".",d_Irr!AX21&lt;&gt;".",d_Irr!BW21="."),d_dir!AZ21/((1/1000)*(d_Irr!AX21)),IF(AND(d_Irr!Y21&lt;&gt;".",d_Irr!AX21=".",d_Irr!BW21="."),d_dir!AZ21/((1/1000)*(d_Irr!Y21)),IF(AND(d_Irr!Y21=".",d_Irr!AX21=".",d_Irr!BW21="."),d_dir!AZ21*1000)))))))),".")</f>
        <v>.</v>
      </c>
      <c r="BA21" s="70" t="str">
        <f>IFERROR(IF(AND(d_Irr!Z21&lt;&gt;".",d_Irr!AY21&lt;&gt;".",d_Irr!BX21&lt;&gt;"."),d_dir!BA21/((1/1000)*(d_Irr!Z21+d_Irr!AY21+d_Irr!BX21)),IF(AND(d_Irr!Z21&lt;&gt;".",d_Irr!AY21&lt;&gt;".",d_Irr!BX21="."),d_dir!BA21/((1/1000)*(d_Irr!Z21+d_Irr!AY21)),IF(AND(d_Irr!Z21&lt;&gt;".",d_Irr!AY21=".",d_Irr!BX21&lt;&gt;"."),d_dir!BA21/((1/1000)*(d_Irr!Z21+d_Irr!BX21)),IF(AND(d_Irr!Z21=".",d_Irr!AY21&lt;&gt;".",d_Irr!BX21&lt;&gt;"."),d_dir!BA21/((1/1000)*(d_Irr!AY21+d_Irr!BX21)),IF(AND(d_Irr!Z21=".",d_Irr!AY21=".",d_Irr!BX21&lt;&gt;"."),d_dir!BA21/((1/1000)*(d_Irr!BX21)),IF(AND(d_Irr!Z21=".",d_Irr!AY21&lt;&gt;".",d_Irr!BX21="."),d_dir!BA21/((1/1000)*(d_Irr!AY21)),IF(AND(d_Irr!Z21&lt;&gt;".",d_Irr!AY21=".",d_Irr!BX21="."),d_dir!BA21/((1/1000)*(d_Irr!Z21)),IF(AND(d_Irr!Z21=".",d_Irr!AY21=".",d_Irr!BX21="."),d_dir!BA21*1000)))))))),".")</f>
        <v>.</v>
      </c>
      <c r="BB21" s="70" t="str">
        <f>IFERROR(IF(AND(d_Irr!AA21&lt;&gt;".",d_Irr!AZ21&lt;&gt;".",d_Irr!BY21&lt;&gt;"."),d_dir!BB21/((1/1000)*(d_Irr!AA21+d_Irr!AZ21+d_Irr!BY21)),IF(AND(d_Irr!AA21&lt;&gt;".",d_Irr!AZ21&lt;&gt;".",d_Irr!BY21="."),d_dir!BB21/((1/1000)*(d_Irr!AA21+d_Irr!AZ21)),IF(AND(d_Irr!AA21&lt;&gt;".",d_Irr!AZ21=".",d_Irr!BY21&lt;&gt;"."),d_dir!BB21/((1/1000)*(d_Irr!AA21+d_Irr!BY21)),IF(AND(d_Irr!AA21=".",d_Irr!AZ21&lt;&gt;".",d_Irr!BY21&lt;&gt;"."),d_dir!BB21/((1/1000)*(d_Irr!AZ21+d_Irr!BY21)),IF(AND(d_Irr!AA21=".",d_Irr!AZ21=".",d_Irr!BY21&lt;&gt;"."),d_dir!BB21/((1/1000)*(d_Irr!BY21)),IF(AND(d_Irr!AA21=".",d_Irr!AZ21&lt;&gt;".",d_Irr!BY21="."),d_dir!BB21/((1/1000)*(d_Irr!AZ21)),IF(AND(d_Irr!AA21&lt;&gt;".",d_Irr!AZ21=".",d_Irr!BY21="."),d_dir!BB21/((1/1000)*(d_Irr!AA21)),IF(AND(d_Irr!AA21=".",d_Irr!AZ21=".",d_Irr!BY21="."),d_dir!BB21*1000)))))))),".")</f>
        <v>.</v>
      </c>
    </row>
    <row r="22" spans="1:54" ht="15" customHeight="1" x14ac:dyDescent="0.25">
      <c r="A22" s="86" t="s">
        <v>20</v>
      </c>
      <c r="B22" s="84" t="s">
        <v>1057</v>
      </c>
      <c r="C22" s="2">
        <f t="shared" si="1"/>
        <v>0.54389422832819367</v>
      </c>
      <c r="D22" s="70">
        <f>IFERROR(IF(AND(d_Irr!C22&lt;&gt;".",d_Irr!AB22&lt;&gt;".",d_Irr!BA22&lt;&gt;"."),d_dir!D22/((1/1000)*(d_Irr!C22+d_Irr!AB22+d_Irr!BA22)),IF(AND(d_Irr!C22&lt;&gt;".",d_Irr!AB22&lt;&gt;".",d_Irr!BA22="."),d_dir!D22/((1/1000)*(d_Irr!C22+d_Irr!AB22)),IF(AND(d_Irr!C22&lt;&gt;".",d_Irr!AB22=".",d_Irr!BA22&lt;&gt;"."),d_dir!D22/((1/1000)*(d_Irr!C22+d_Irr!BA22)),IF(AND(d_Irr!C22=".",d_Irr!AB22&lt;&gt;".",d_Irr!BA22&lt;&gt;"."),d_dir!D22/((1/1000)*(d_Irr!AB22+d_Irr!BA22)),IF(AND(d_Irr!C22=".",d_Irr!AB22=".",d_Irr!BA22&lt;&gt;"."),d_dir!D22/((1/1000)*(d_Irr!BA22)),IF(AND(d_Irr!C22=".",d_Irr!AB22&lt;&gt;".",d_Irr!BA22="."),d_dir!D22/((1/1000)*(d_Irr!AB22)),IF(AND(d_Irr!C22&lt;&gt;".",d_Irr!AB22=".",d_Irr!BA22="."),d_dir!D22/((1/1000)*(d_Irr!C22)),IF(AND(d_Irr!C22=".",d_Irr!AB22=".",d_Irr!BA22="."),d_dir!D22*1000)))))))),".")</f>
        <v>11.025965231585799</v>
      </c>
      <c r="E22" s="70">
        <f>IFERROR(IF(AND(d_Irr!D22&lt;&gt;".",d_Irr!AC22&lt;&gt;".",d_Irr!BB22&lt;&gt;"."),d_dir!E22/((1/1000)*(d_Irr!D22+d_Irr!AC22+d_Irr!BB22)),IF(AND(d_Irr!D22&lt;&gt;".",d_Irr!AC22&lt;&gt;".",d_Irr!BB22="."),d_dir!E22/((1/1000)*(d_Irr!D22+d_Irr!AC22)),IF(AND(d_Irr!D22&lt;&gt;".",d_Irr!AC22=".",d_Irr!BB22&lt;&gt;"."),d_dir!E22/((1/1000)*(d_Irr!D22+d_Irr!BB22)),IF(AND(d_Irr!D22=".",d_Irr!AC22&lt;&gt;".",d_Irr!BB22&lt;&gt;"."),d_dir!E22/((1/1000)*(d_Irr!AC22+d_Irr!BB22)),IF(AND(d_Irr!D22=".",d_Irr!AC22=".",d_Irr!BB22&lt;&gt;"."),d_dir!E22/((1/1000)*(d_Irr!BB22)),IF(AND(d_Irr!D22=".",d_Irr!AC22&lt;&gt;".",d_Irr!BB22="."),d_dir!E22/((1/1000)*(d_Irr!AC22)),IF(AND(d_Irr!D22&lt;&gt;".",d_Irr!AC22=".",d_Irr!BB22="."),d_dir!E22/((1/1000)*(d_Irr!D22)),IF(AND(d_Irr!D22=".",d_Irr!AC22=".",d_Irr!BB22="."),d_dir!E22*1000)))))))),".")</f>
        <v>13.992629427755237</v>
      </c>
      <c r="F22" s="70">
        <f>IFERROR(IF(AND(d_Irr!E22&lt;&gt;".",d_Irr!AD22&lt;&gt;".",d_Irr!BC22&lt;&gt;"."),d_dir!F22/((1/1000)*(d_Irr!E22+d_Irr!AD22+d_Irr!BC22)),IF(AND(d_Irr!E22&lt;&gt;".",d_Irr!AD22&lt;&gt;".",d_Irr!BC22="."),d_dir!F22/((1/1000)*(d_Irr!E22+d_Irr!AD22)),IF(AND(d_Irr!E22&lt;&gt;".",d_Irr!AD22=".",d_Irr!BC22&lt;&gt;"."),d_dir!F22/((1/1000)*(d_Irr!E22+d_Irr!BC22)),IF(AND(d_Irr!E22=".",d_Irr!AD22&lt;&gt;".",d_Irr!BC22&lt;&gt;"."),d_dir!F22/((1/1000)*(d_Irr!AD22+d_Irr!BC22)),IF(AND(d_Irr!E22=".",d_Irr!AD22=".",d_Irr!BC22&lt;&gt;"."),d_dir!F22/((1/1000)*(d_Irr!BC22)),IF(AND(d_Irr!E22=".",d_Irr!AD22&lt;&gt;".",d_Irr!BC22="."),d_dir!F22/((1/1000)*(d_Irr!AD22)),IF(AND(d_Irr!E22&lt;&gt;".",d_Irr!AD22=".",d_Irr!BC22="."),d_dir!F22/((1/1000)*(d_Irr!E22)),IF(AND(d_Irr!E22=".",d_Irr!AD22=".",d_Irr!BC22="."),d_dir!F22*1000)))))))),".")</f>
        <v>18.932172714720934</v>
      </c>
      <c r="G22" s="70">
        <f>IFERROR(IF(AND(d_Irr!F22&lt;&gt;".",d_Irr!AE22&lt;&gt;".",d_Irr!BD22&lt;&gt;"."),d_dir!G22/((1/1000)*(d_Irr!F22+d_Irr!AE22+d_Irr!BD22)),IF(AND(d_Irr!F22&lt;&gt;".",d_Irr!AE22&lt;&gt;".",d_Irr!BD22="."),d_dir!G22/((1/1000)*(d_Irr!F22+d_Irr!AE22)),IF(AND(d_Irr!F22&lt;&gt;".",d_Irr!AE22=".",d_Irr!BD22&lt;&gt;"."),d_dir!G22/((1/1000)*(d_Irr!F22+d_Irr!BD22)),IF(AND(d_Irr!F22=".",d_Irr!AE22&lt;&gt;".",d_Irr!BD22&lt;&gt;"."),d_dir!G22/((1/1000)*(d_Irr!AE22+d_Irr!BD22)),IF(AND(d_Irr!F22=".",d_Irr!AE22=".",d_Irr!BD22&lt;&gt;"."),d_dir!G22/((1/1000)*(d_Irr!BD22)),IF(AND(d_Irr!F22=".",d_Irr!AE22&lt;&gt;".",d_Irr!BD22="."),d_dir!G22/((1/1000)*(d_Irr!AE22)),IF(AND(d_Irr!F22&lt;&gt;".",d_Irr!AE22=".",d_Irr!BD22="."),d_dir!G22/((1/1000)*(d_Irr!F22)),IF(AND(d_Irr!F22=".",d_Irr!AE22=".",d_Irr!BD22="."),d_dir!G22*1000)))))))),".")</f>
        <v>24.792075756857656</v>
      </c>
      <c r="H22" s="70">
        <f>IFERROR(IF(AND(d_Irr!G22&lt;&gt;".",d_Irr!AF22&lt;&gt;".",d_Irr!BE22&lt;&gt;"."),d_dir!H22/((1/1000)*(d_Irr!G22+d_Irr!AF22+d_Irr!BE22)),IF(AND(d_Irr!G22&lt;&gt;".",d_Irr!AF22&lt;&gt;".",d_Irr!BE22="."),d_dir!H22/((1/1000)*(d_Irr!G22+d_Irr!AF22)),IF(AND(d_Irr!G22&lt;&gt;".",d_Irr!AF22=".",d_Irr!BE22&lt;&gt;"."),d_dir!H22/((1/1000)*(d_Irr!G22+d_Irr!BE22)),IF(AND(d_Irr!G22=".",d_Irr!AF22&lt;&gt;".",d_Irr!BE22&lt;&gt;"."),d_dir!H22/((1/1000)*(d_Irr!AF22+d_Irr!BE22)),IF(AND(d_Irr!G22=".",d_Irr!AF22=".",d_Irr!BE22&lt;&gt;"."),d_dir!H22/((1/1000)*(d_Irr!BE22)),IF(AND(d_Irr!G22=".",d_Irr!AF22&lt;&gt;".",d_Irr!BE22="."),d_dir!H22/((1/1000)*(d_Irr!AF22)),IF(AND(d_Irr!G22&lt;&gt;".",d_Irr!AF22=".",d_Irr!BE22="."),d_dir!H22/((1/1000)*(d_Irr!G22)),IF(AND(d_Irr!G22=".",d_Irr!AF22=".",d_Irr!BE22="."),d_dir!H22*1000)))))))),".")</f>
        <v>28.542342401171961</v>
      </c>
      <c r="I22" s="70">
        <f>IFERROR(IF(AND(d_Irr!H22&lt;&gt;".",d_Irr!AG22&lt;&gt;".",d_Irr!BF22&lt;&gt;"."),d_dir!I22/((1/1000)*(d_Irr!H22+d_Irr!AG22+d_Irr!BF22)),IF(AND(d_Irr!H22&lt;&gt;".",d_Irr!AG22&lt;&gt;".",d_Irr!BF22="."),d_dir!I22/((1/1000)*(d_Irr!H22+d_Irr!AG22)),IF(AND(d_Irr!H22&lt;&gt;".",d_Irr!AG22=".",d_Irr!BF22&lt;&gt;"."),d_dir!I22/((1/1000)*(d_Irr!H22+d_Irr!BF22)),IF(AND(d_Irr!H22=".",d_Irr!AG22&lt;&gt;".",d_Irr!BF22&lt;&gt;"."),d_dir!I22/((1/1000)*(d_Irr!AG22+d_Irr!BF22)),IF(AND(d_Irr!H22=".",d_Irr!AG22=".",d_Irr!BF22&lt;&gt;"."),d_dir!I22/((1/1000)*(d_Irr!BF22)),IF(AND(d_Irr!H22=".",d_Irr!AG22&lt;&gt;".",d_Irr!BF22="."),d_dir!I22/((1/1000)*(d_Irr!AG22)),IF(AND(d_Irr!H22&lt;&gt;".",d_Irr!AG22=".",d_Irr!BF22="."),d_dir!I22/((1/1000)*(d_Irr!H22)),IF(AND(d_Irr!H22=".",d_Irr!AG22=".",d_Irr!BF22="."),d_dir!I22*1000)))))))),".")</f>
        <v>6.8915297691119939</v>
      </c>
      <c r="J22" s="70">
        <f>IFERROR(IF(AND(d_Irr!I22&lt;&gt;".",d_Irr!AH22&lt;&gt;".",d_Irr!BG22&lt;&gt;"."),d_dir!J22/((1/1000)*(d_Irr!I22+d_Irr!AH22+d_Irr!BG22)),IF(AND(d_Irr!I22&lt;&gt;".",d_Irr!AH22&lt;&gt;".",d_Irr!BG22="."),d_dir!J22/((1/1000)*(d_Irr!I22+d_Irr!AH22)),IF(AND(d_Irr!I22&lt;&gt;".",d_Irr!AH22=".",d_Irr!BG22&lt;&gt;"."),d_dir!J22/((1/1000)*(d_Irr!I22+d_Irr!BG22)),IF(AND(d_Irr!I22=".",d_Irr!AH22&lt;&gt;".",d_Irr!BG22&lt;&gt;"."),d_dir!J22/((1/1000)*(d_Irr!AH22+d_Irr!BG22)),IF(AND(d_Irr!I22=".",d_Irr!AH22=".",d_Irr!BG22&lt;&gt;"."),d_dir!J22/((1/1000)*(d_Irr!BG22)),IF(AND(d_Irr!I22=".",d_Irr!AH22&lt;&gt;".",d_Irr!BG22="."),d_dir!J22/((1/1000)*(d_Irr!AH22)),IF(AND(d_Irr!I22&lt;&gt;".",d_Irr!AH22=".",d_Irr!BG22="."),d_dir!J22/((1/1000)*(d_Irr!I22)),IF(AND(d_Irr!I22=".",d_Irr!AH22=".",d_Irr!BG22="."),d_dir!J22*1000)))))))),".")</f>
        <v>21.805121882173069</v>
      </c>
      <c r="K22" s="70">
        <f>IFERROR(IF(AND(d_Irr!J22&lt;&gt;".",d_Irr!AI22&lt;&gt;".",d_Irr!BH22&lt;&gt;"."),d_dir!K22/((1/1000)*(d_Irr!J22+d_Irr!AI22+d_Irr!BH22)),IF(AND(d_Irr!J22&lt;&gt;".",d_Irr!AI22&lt;&gt;".",d_Irr!BH22="."),d_dir!K22/((1/1000)*(d_Irr!J22+d_Irr!AI22)),IF(AND(d_Irr!J22&lt;&gt;".",d_Irr!AI22=".",d_Irr!BH22&lt;&gt;"."),d_dir!K22/((1/1000)*(d_Irr!J22+d_Irr!BH22)),IF(AND(d_Irr!J22=".",d_Irr!AI22&lt;&gt;".",d_Irr!BH22&lt;&gt;"."),d_dir!K22/((1/1000)*(d_Irr!AI22+d_Irr!BH22)),IF(AND(d_Irr!J22=".",d_Irr!AI22=".",d_Irr!BH22&lt;&gt;"."),d_dir!K22/((1/1000)*(d_Irr!BH22)),IF(AND(d_Irr!J22=".",d_Irr!AI22&lt;&gt;".",d_Irr!BH22="."),d_dir!K22/((1/1000)*(d_Irr!AI22)),IF(AND(d_Irr!J22&lt;&gt;".",d_Irr!AI22=".",d_Irr!BH22="."),d_dir!K22/((1/1000)*(d_Irr!J22)),IF(AND(d_Irr!J22=".",d_Irr!AI22=".",d_Irr!BH22="."),d_dir!K22*1000)))))))),".")</f>
        <v>2.8583805422495323</v>
      </c>
      <c r="L22" s="70">
        <f>IFERROR(IF(AND(d_Irr!K22&lt;&gt;".",d_Irr!AJ22&lt;&gt;".",d_Irr!BI22&lt;&gt;"."),d_dir!L22/((1/1000)*(d_Irr!K22+d_Irr!AJ22+d_Irr!BI22)),IF(AND(d_Irr!K22&lt;&gt;".",d_Irr!AJ22&lt;&gt;".",d_Irr!BI22="."),d_dir!L22/((1/1000)*(d_Irr!K22+d_Irr!AJ22)),IF(AND(d_Irr!K22&lt;&gt;".",d_Irr!AJ22=".",d_Irr!BI22&lt;&gt;"."),d_dir!L22/((1/1000)*(d_Irr!K22+d_Irr!BI22)),IF(AND(d_Irr!K22=".",d_Irr!AJ22&lt;&gt;".",d_Irr!BI22&lt;&gt;"."),d_dir!L22/((1/1000)*(d_Irr!AJ22+d_Irr!BI22)),IF(AND(d_Irr!K22=".",d_Irr!AJ22=".",d_Irr!BI22&lt;&gt;"."),d_dir!L22/((1/1000)*(d_Irr!BI22)),IF(AND(d_Irr!K22=".",d_Irr!AJ22&lt;&gt;".",d_Irr!BI22="."),d_dir!L22/((1/1000)*(d_Irr!AJ22)),IF(AND(d_Irr!K22&lt;&gt;".",d_Irr!AJ22=".",d_Irr!BI22="."),d_dir!L22/((1/1000)*(d_Irr!K22)),IF(AND(d_Irr!K22=".",d_Irr!AJ22=".",d_Irr!BI22="."),d_dir!L22*1000)))))))),".")</f>
        <v>16.812906906992783</v>
      </c>
      <c r="M22" s="70">
        <f>IFERROR(IF(AND(d_Irr!L22&lt;&gt;".",d_Irr!AK22&lt;&gt;".",d_Irr!BJ22&lt;&gt;"."),d_dir!M22/((1/1000)*(d_Irr!L22+d_Irr!AK22+d_Irr!BJ22)),IF(AND(d_Irr!L22&lt;&gt;".",d_Irr!AK22&lt;&gt;".",d_Irr!BJ22="."),d_dir!M22/((1/1000)*(d_Irr!L22+d_Irr!AK22)),IF(AND(d_Irr!L22&lt;&gt;".",d_Irr!AK22=".",d_Irr!BJ22&lt;&gt;"."),d_dir!M22/((1/1000)*(d_Irr!L22+d_Irr!BJ22)),IF(AND(d_Irr!L22=".",d_Irr!AK22&lt;&gt;".",d_Irr!BJ22&lt;&gt;"."),d_dir!M22/((1/1000)*(d_Irr!AK22+d_Irr!BJ22)),IF(AND(d_Irr!L22=".",d_Irr!AK22=".",d_Irr!BJ22&lt;&gt;"."),d_dir!M22/((1/1000)*(d_Irr!BJ22)),IF(AND(d_Irr!L22=".",d_Irr!AK22&lt;&gt;".",d_Irr!BJ22="."),d_dir!M22/((1/1000)*(d_Irr!AK22)),IF(AND(d_Irr!L22&lt;&gt;".",d_Irr!AK22=".",d_Irr!BJ22="."),d_dir!M22/((1/1000)*(d_Irr!L22)),IF(AND(d_Irr!L22=".",d_Irr!AK22=".",d_Irr!BJ22="."),d_dir!M22*1000)))))))),".")</f>
        <v>11.059111508852974</v>
      </c>
      <c r="N22" s="70">
        <f>IFERROR(IF(AND(d_Irr!M22&lt;&gt;".",d_Irr!AL22&lt;&gt;".",d_Irr!BK22&lt;&gt;"."),d_dir!N22/((1/1000)*(d_Irr!M22+d_Irr!AL22+d_Irr!BK22)),IF(AND(d_Irr!M22&lt;&gt;".",d_Irr!AL22&lt;&gt;".",d_Irr!BK22="."),d_dir!N22/((1/1000)*(d_Irr!M22+d_Irr!AL22)),IF(AND(d_Irr!M22&lt;&gt;".",d_Irr!AL22=".",d_Irr!BK22&lt;&gt;"."),d_dir!N22/((1/1000)*(d_Irr!M22+d_Irr!BK22)),IF(AND(d_Irr!M22=".",d_Irr!AL22&lt;&gt;".",d_Irr!BK22&lt;&gt;"."),d_dir!N22/((1/1000)*(d_Irr!AL22+d_Irr!BK22)),IF(AND(d_Irr!M22=".",d_Irr!AL22=".",d_Irr!BK22&lt;&gt;"."),d_dir!N22/((1/1000)*(d_Irr!BK22)),IF(AND(d_Irr!M22=".",d_Irr!AL22&lt;&gt;".",d_Irr!BK22="."),d_dir!N22/((1/1000)*(d_Irr!AL22)),IF(AND(d_Irr!M22&lt;&gt;".",d_Irr!AL22=".",d_Irr!BK22="."),d_dir!N22/((1/1000)*(d_Irr!M22)),IF(AND(d_Irr!M22=".",d_Irr!AL22=".",d_Irr!BK22="."),d_dir!N22*1000)))))))),".")</f>
        <v>15.142854570728172</v>
      </c>
      <c r="O22" s="70">
        <f>IFERROR(IF(AND(d_Irr!N22&lt;&gt;".",d_Irr!AM22&lt;&gt;".",d_Irr!BL22&lt;&gt;"."),d_dir!O22/((1/1000)*(d_Irr!N22+d_Irr!AM22+d_Irr!BL22)),IF(AND(d_Irr!N22&lt;&gt;".",d_Irr!AM22&lt;&gt;".",d_Irr!BL22="."),d_dir!O22/((1/1000)*(d_Irr!N22+d_Irr!AM22)),IF(AND(d_Irr!N22&lt;&gt;".",d_Irr!AM22=".",d_Irr!BL22&lt;&gt;"."),d_dir!O22/((1/1000)*(d_Irr!N22+d_Irr!BL22)),IF(AND(d_Irr!N22=".",d_Irr!AM22&lt;&gt;".",d_Irr!BL22&lt;&gt;"."),d_dir!O22/((1/1000)*(d_Irr!AM22+d_Irr!BL22)),IF(AND(d_Irr!N22=".",d_Irr!AM22=".",d_Irr!BL22&lt;&gt;"."),d_dir!O22/((1/1000)*(d_Irr!BL22)),IF(AND(d_Irr!N22=".",d_Irr!AM22&lt;&gt;".",d_Irr!BL22="."),d_dir!O22/((1/1000)*(d_Irr!AM22)),IF(AND(d_Irr!N22&lt;&gt;".",d_Irr!AM22=".",d_Irr!BL22="."),d_dir!O22/((1/1000)*(d_Irr!N22)),IF(AND(d_Irr!N22=".",d_Irr!AM22=".",d_Irr!BL22="."),d_dir!O22*1000)))))))),".")</f>
        <v>24.327231572682603</v>
      </c>
      <c r="P22" s="70">
        <f>IFERROR(IF(AND(d_Irr!O22&lt;&gt;".",d_Irr!AN22&lt;&gt;".",d_Irr!BM22&lt;&gt;"."),d_dir!P22/((1/1000)*(d_Irr!O22+d_Irr!AN22+d_Irr!BM22)),IF(AND(d_Irr!O22&lt;&gt;".",d_Irr!AN22&lt;&gt;".",d_Irr!BM22="."),d_dir!P22/((1/1000)*(d_Irr!O22+d_Irr!AN22)),IF(AND(d_Irr!O22&lt;&gt;".",d_Irr!AN22=".",d_Irr!BM22&lt;&gt;"."),d_dir!P22/((1/1000)*(d_Irr!O22+d_Irr!BM22)),IF(AND(d_Irr!O22=".",d_Irr!AN22&lt;&gt;".",d_Irr!BM22&lt;&gt;"."),d_dir!P22/((1/1000)*(d_Irr!AN22+d_Irr!BM22)),IF(AND(d_Irr!O22=".",d_Irr!AN22=".",d_Irr!BM22&lt;&gt;"."),d_dir!P22/((1/1000)*(d_Irr!BM22)),IF(AND(d_Irr!O22=".",d_Irr!AN22&lt;&gt;".",d_Irr!BM22="."),d_dir!P22/((1/1000)*(d_Irr!AN22)),IF(AND(d_Irr!O22&lt;&gt;".",d_Irr!AN22=".",d_Irr!BM22="."),d_dir!P22/((1/1000)*(d_Irr!O22)),IF(AND(d_Irr!O22=".",d_Irr!AN22=".",d_Irr!BM22="."),d_dir!P22*1000)))))))),".")</f>
        <v>29.835294404953189</v>
      </c>
      <c r="Q22" s="70">
        <f>IFERROR(IF(AND(d_Irr!P22&lt;&gt;".",d_Irr!AO22&lt;&gt;".",d_Irr!BN22&lt;&gt;"."),d_dir!Q22/((1/1000)*(d_Irr!P22+d_Irr!AO22+d_Irr!BN22)),IF(AND(d_Irr!P22&lt;&gt;".",d_Irr!AO22&lt;&gt;".",d_Irr!BN22="."),d_dir!Q22/((1/1000)*(d_Irr!P22+d_Irr!AO22)),IF(AND(d_Irr!P22&lt;&gt;".",d_Irr!AO22=".",d_Irr!BN22&lt;&gt;"."),d_dir!Q22/((1/1000)*(d_Irr!P22+d_Irr!BN22)),IF(AND(d_Irr!P22=".",d_Irr!AO22&lt;&gt;".",d_Irr!BN22&lt;&gt;"."),d_dir!Q22/((1/1000)*(d_Irr!AO22+d_Irr!BN22)),IF(AND(d_Irr!P22=".",d_Irr!AO22=".",d_Irr!BN22&lt;&gt;"."),d_dir!Q22/((1/1000)*(d_Irr!BN22)),IF(AND(d_Irr!P22=".",d_Irr!AO22&lt;&gt;".",d_Irr!BN22="."),d_dir!Q22/((1/1000)*(d_Irr!AO22)),IF(AND(d_Irr!P22&lt;&gt;".",d_Irr!AO22=".",d_Irr!BN22="."),d_dir!Q22/((1/1000)*(d_Irr!P22)),IF(AND(d_Irr!P22=".",d_Irr!AO22=".",d_Irr!BN22="."),d_dir!Q22*1000)))))))),".")</f>
        <v>29.462235361341712</v>
      </c>
      <c r="R22" s="70">
        <f>IFERROR(IF(AND(d_Irr!Q22&lt;&gt;".",d_Irr!AP22&lt;&gt;".",d_Irr!BO22&lt;&gt;"."),d_dir!R22/((1/1000)*(d_Irr!Q22+d_Irr!AP22+d_Irr!BO22)),IF(AND(d_Irr!Q22&lt;&gt;".",d_Irr!AP22&lt;&gt;".",d_Irr!BO22="."),d_dir!R22/((1/1000)*(d_Irr!Q22+d_Irr!AP22)),IF(AND(d_Irr!Q22&lt;&gt;".",d_Irr!AP22=".",d_Irr!BO22&lt;&gt;"."),d_dir!R22/((1/1000)*(d_Irr!Q22+d_Irr!BO22)),IF(AND(d_Irr!Q22=".",d_Irr!AP22&lt;&gt;".",d_Irr!BO22&lt;&gt;"."),d_dir!R22/((1/1000)*(d_Irr!AP22+d_Irr!BO22)),IF(AND(d_Irr!Q22=".",d_Irr!AP22=".",d_Irr!BO22&lt;&gt;"."),d_dir!R22/((1/1000)*(d_Irr!BO22)),IF(AND(d_Irr!Q22=".",d_Irr!AP22&lt;&gt;".",d_Irr!BO22="."),d_dir!R22/((1/1000)*(d_Irr!AP22)),IF(AND(d_Irr!Q22&lt;&gt;".",d_Irr!AP22=".",d_Irr!BO22="."),d_dir!R22/((1/1000)*(d_Irr!Q22)),IF(AND(d_Irr!Q22=".",d_Irr!AP22=".",d_Irr!BO22="."),d_dir!R22*1000)))))))),".")</f>
        <v>7.0788899857158842</v>
      </c>
      <c r="S22" s="70">
        <f>IFERROR(IF(AND(d_Irr!R22&lt;&gt;".",d_Irr!AQ22&lt;&gt;".",d_Irr!BP22&lt;&gt;"."),d_dir!S22/((1/1000)*(d_Irr!R22+d_Irr!AQ22+d_Irr!BP22)),IF(AND(d_Irr!R22&lt;&gt;".",d_Irr!AQ22&lt;&gt;".",d_Irr!BP22="."),d_dir!S22/((1/1000)*(d_Irr!R22+d_Irr!AQ22)),IF(AND(d_Irr!R22&lt;&gt;".",d_Irr!AQ22=".",d_Irr!BP22&lt;&gt;"."),d_dir!S22/((1/1000)*(d_Irr!R22+d_Irr!BP22)),IF(AND(d_Irr!R22=".",d_Irr!AQ22&lt;&gt;".",d_Irr!BP22&lt;&gt;"."),d_dir!S22/((1/1000)*(d_Irr!AQ22+d_Irr!BP22)),IF(AND(d_Irr!R22=".",d_Irr!AQ22=".",d_Irr!BP22&lt;&gt;"."),d_dir!S22/((1/1000)*(d_Irr!BP22)),IF(AND(d_Irr!R22=".",d_Irr!AQ22&lt;&gt;".",d_Irr!BP22="."),d_dir!S22/((1/1000)*(d_Irr!AQ22)),IF(AND(d_Irr!R22&lt;&gt;".",d_Irr!AQ22=".",d_Irr!BP22="."),d_dir!S22/((1/1000)*(d_Irr!R22)),IF(AND(d_Irr!R22=".",d_Irr!AQ22=".",d_Irr!BP22="."),d_dir!S22*1000)))))))),".")</f>
        <v>14.443918112091652</v>
      </c>
      <c r="T22" s="70">
        <f>IFERROR(IF(AND(d_Irr!S22&lt;&gt;".",d_Irr!AR22&lt;&gt;".",d_Irr!BQ22&lt;&gt;"."),d_dir!T22/((1/1000)*(d_Irr!S22+d_Irr!AR22+d_Irr!BQ22)),IF(AND(d_Irr!S22&lt;&gt;".",d_Irr!AR22&lt;&gt;".",d_Irr!BQ22="."),d_dir!T22/((1/1000)*(d_Irr!S22+d_Irr!AR22)),IF(AND(d_Irr!S22&lt;&gt;".",d_Irr!AR22=".",d_Irr!BQ22&lt;&gt;"."),d_dir!T22/((1/1000)*(d_Irr!S22+d_Irr!BQ22)),IF(AND(d_Irr!S22=".",d_Irr!AR22&lt;&gt;".",d_Irr!BQ22&lt;&gt;"."),d_dir!T22/((1/1000)*(d_Irr!AR22+d_Irr!BQ22)),IF(AND(d_Irr!S22=".",d_Irr!AR22=".",d_Irr!BQ22&lt;&gt;"."),d_dir!T22/((1/1000)*(d_Irr!BQ22)),IF(AND(d_Irr!S22=".",d_Irr!AR22&lt;&gt;".",d_Irr!BQ22="."),d_dir!T22/((1/1000)*(d_Irr!AR22)),IF(AND(d_Irr!S22&lt;&gt;".",d_Irr!AR22=".",d_Irr!BQ22="."),d_dir!T22/((1/1000)*(d_Irr!S22)),IF(AND(d_Irr!S22=".",d_Irr!AR22=".",d_Irr!BQ22="."),d_dir!T22*1000)))))))),".")</f>
        <v>24.323804191011835</v>
      </c>
      <c r="U22" s="70">
        <f>IFERROR(IF(AND(d_Irr!T22&lt;&gt;".",d_Irr!AS22&lt;&gt;".",d_Irr!BR22&lt;&gt;"."),d_dir!U22/((1/1000)*(d_Irr!T22+d_Irr!AS22+d_Irr!BR22)),IF(AND(d_Irr!T22&lt;&gt;".",d_Irr!AS22&lt;&gt;".",d_Irr!BR22="."),d_dir!U22/((1/1000)*(d_Irr!T22+d_Irr!AS22)),IF(AND(d_Irr!T22&lt;&gt;".",d_Irr!AS22=".",d_Irr!BR22&lt;&gt;"."),d_dir!U22/((1/1000)*(d_Irr!T22+d_Irr!BR22)),IF(AND(d_Irr!T22=".",d_Irr!AS22&lt;&gt;".",d_Irr!BR22&lt;&gt;"."),d_dir!U22/((1/1000)*(d_Irr!AS22+d_Irr!BR22)),IF(AND(d_Irr!T22=".",d_Irr!AS22=".",d_Irr!BR22&lt;&gt;"."),d_dir!U22/((1/1000)*(d_Irr!BR22)),IF(AND(d_Irr!T22=".",d_Irr!AS22&lt;&gt;".",d_Irr!BR22="."),d_dir!U22/((1/1000)*(d_Irr!AS22)),IF(AND(d_Irr!T22&lt;&gt;".",d_Irr!AS22=".",d_Irr!BR22="."),d_dir!U22/((1/1000)*(d_Irr!T22)),IF(AND(d_Irr!T22=".",d_Irr!AS22=".",d_Irr!BR22="."),d_dir!U22*1000)))))))),".")</f>
        <v>46.651456999065566</v>
      </c>
      <c r="V22" s="70">
        <f>IFERROR(IF(AND(d_Irr!U22&lt;&gt;".",d_Irr!AT22&lt;&gt;".",d_Irr!BS22&lt;&gt;"."),d_dir!V22/((1/1000)*(d_Irr!U22+d_Irr!AT22+d_Irr!BS22)),IF(AND(d_Irr!U22&lt;&gt;".",d_Irr!AT22&lt;&gt;".",d_Irr!BS22="."),d_dir!V22/((1/1000)*(d_Irr!U22+d_Irr!AT22)),IF(AND(d_Irr!U22&lt;&gt;".",d_Irr!AT22=".",d_Irr!BS22&lt;&gt;"."),d_dir!V22/((1/1000)*(d_Irr!U22+d_Irr!BS22)),IF(AND(d_Irr!U22=".",d_Irr!AT22&lt;&gt;".",d_Irr!BS22&lt;&gt;"."),d_dir!V22/((1/1000)*(d_Irr!AT22+d_Irr!BS22)),IF(AND(d_Irr!U22=".",d_Irr!AT22=".",d_Irr!BS22&lt;&gt;"."),d_dir!V22/((1/1000)*(d_Irr!BS22)),IF(AND(d_Irr!U22=".",d_Irr!AT22&lt;&gt;".",d_Irr!BS22="."),d_dir!V22/((1/1000)*(d_Irr!AT22)),IF(AND(d_Irr!U22&lt;&gt;".",d_Irr!AT22=".",d_Irr!BS22="."),d_dir!V22/((1/1000)*(d_Irr!U22)),IF(AND(d_Irr!U22=".",d_Irr!AT22=".",d_Irr!BS22="."),d_dir!V22*1000)))))))),".")</f>
        <v>7.3430113177576457</v>
      </c>
      <c r="W22" s="70">
        <f>IFERROR(IF(AND(d_Irr!V22&lt;&gt;".",d_Irr!AU22&lt;&gt;".",d_Irr!BT22&lt;&gt;"."),d_dir!W22/((1/1000)*(d_Irr!V22+d_Irr!AU22+d_Irr!BT22)),IF(AND(d_Irr!V22&lt;&gt;".",d_Irr!AU22&lt;&gt;".",d_Irr!BT22="."),d_dir!W22/((1/1000)*(d_Irr!V22+d_Irr!AU22)),IF(AND(d_Irr!V22&lt;&gt;".",d_Irr!AU22=".",d_Irr!BT22&lt;&gt;"."),d_dir!W22/((1/1000)*(d_Irr!V22+d_Irr!BT22)),IF(AND(d_Irr!V22=".",d_Irr!AU22&lt;&gt;".",d_Irr!BT22&lt;&gt;"."),d_dir!W22/((1/1000)*(d_Irr!AU22+d_Irr!BT22)),IF(AND(d_Irr!V22=".",d_Irr!AU22=".",d_Irr!BT22&lt;&gt;"."),d_dir!W22/((1/1000)*(d_Irr!BT22)),IF(AND(d_Irr!V22=".",d_Irr!AU22&lt;&gt;".",d_Irr!BT22="."),d_dir!W22/((1/1000)*(d_Irr!AU22)),IF(AND(d_Irr!V22&lt;&gt;".",d_Irr!AU22=".",d_Irr!BT22="."),d_dir!W22/((1/1000)*(d_Irr!V22)),IF(AND(d_Irr!V22=".",d_Irr!AU22=".",d_Irr!BT22="."),d_dir!W22*1000)))))))),".")</f>
        <v>14.190354848270262</v>
      </c>
      <c r="X22" s="70">
        <f>IFERROR(IF(AND(d_Irr!W22&lt;&gt;".",d_Irr!AV22&lt;&gt;".",d_Irr!BU22&lt;&gt;"."),d_dir!X22/((1/1000)*(d_Irr!W22+d_Irr!AV22+d_Irr!BU22)),IF(AND(d_Irr!W22&lt;&gt;".",d_Irr!AV22&lt;&gt;".",d_Irr!BU22="."),d_dir!X22/((1/1000)*(d_Irr!W22+d_Irr!AV22)),IF(AND(d_Irr!W22&lt;&gt;".",d_Irr!AV22=".",d_Irr!BU22&lt;&gt;"."),d_dir!X22/((1/1000)*(d_Irr!W22+d_Irr!BU22)),IF(AND(d_Irr!W22=".",d_Irr!AV22&lt;&gt;".",d_Irr!BU22&lt;&gt;"."),d_dir!X22/((1/1000)*(d_Irr!AV22+d_Irr!BU22)),IF(AND(d_Irr!W22=".",d_Irr!AV22=".",d_Irr!BU22&lt;&gt;"."),d_dir!X22/((1/1000)*(d_Irr!BU22)),IF(AND(d_Irr!W22=".",d_Irr!AV22&lt;&gt;".",d_Irr!BU22="."),d_dir!X22/((1/1000)*(d_Irr!AV22)),IF(AND(d_Irr!W22&lt;&gt;".",d_Irr!AV22=".",d_Irr!BU22="."),d_dir!X22/((1/1000)*(d_Irr!W22)),IF(AND(d_Irr!W22=".",d_Irr!AV22=".",d_Irr!BU22="."),d_dir!X22*1000)))))))),".")</f>
        <v>15.662308082147971</v>
      </c>
      <c r="Y22" s="70">
        <f>IFERROR(IF(AND(d_Irr!X22&lt;&gt;".",d_Irr!AW22&lt;&gt;".",d_Irr!BV22&lt;&gt;"."),d_dir!Y22/((1/1000)*(d_Irr!X22+d_Irr!AW22+d_Irr!BV22)),IF(AND(d_Irr!X22&lt;&gt;".",d_Irr!AW22&lt;&gt;".",d_Irr!BV22="."),d_dir!Y22/((1/1000)*(d_Irr!X22+d_Irr!AW22)),IF(AND(d_Irr!X22&lt;&gt;".",d_Irr!AW22=".",d_Irr!BV22&lt;&gt;"."),d_dir!Y22/((1/1000)*(d_Irr!X22+d_Irr!BV22)),IF(AND(d_Irr!X22=".",d_Irr!AW22&lt;&gt;".",d_Irr!BV22&lt;&gt;"."),d_dir!Y22/((1/1000)*(d_Irr!AW22+d_Irr!BV22)),IF(AND(d_Irr!X22=".",d_Irr!AW22=".",d_Irr!BV22&lt;&gt;"."),d_dir!Y22/((1/1000)*(d_Irr!BV22)),IF(AND(d_Irr!X22=".",d_Irr!AW22&lt;&gt;".",d_Irr!BV22="."),d_dir!Y22/((1/1000)*(d_Irr!AW22)),IF(AND(d_Irr!X22&lt;&gt;".",d_Irr!AW22=".",d_Irr!BV22="."),d_dir!Y22/((1/1000)*(d_Irr!X22)),IF(AND(d_Irr!X22=".",d_Irr!AW22=".",d_Irr!BV22="."),d_dir!Y22*1000)))))))),".")</f>
        <v>21.565413015215523</v>
      </c>
      <c r="Z22" s="70">
        <f>IFERROR(IF(AND(d_Irr!Y22&lt;&gt;".",d_Irr!AX22&lt;&gt;".",d_Irr!BW22&lt;&gt;"."),d_dir!Z22/((1/1000)*(d_Irr!Y22+d_Irr!AX22+d_Irr!BW22)),IF(AND(d_Irr!Y22&lt;&gt;".",d_Irr!AX22&lt;&gt;".",d_Irr!BW22="."),d_dir!Z22/((1/1000)*(d_Irr!Y22+d_Irr!AX22)),IF(AND(d_Irr!Y22&lt;&gt;".",d_Irr!AX22=".",d_Irr!BW22&lt;&gt;"."),d_dir!Z22/((1/1000)*(d_Irr!Y22+d_Irr!BW22)),IF(AND(d_Irr!Y22=".",d_Irr!AX22&lt;&gt;".",d_Irr!BW22&lt;&gt;"."),d_dir!Z22/((1/1000)*(d_Irr!AX22+d_Irr!BW22)),IF(AND(d_Irr!Y22=".",d_Irr!AX22=".",d_Irr!BW22&lt;&gt;"."),d_dir!Z22/((1/1000)*(d_Irr!BW22)),IF(AND(d_Irr!Y22=".",d_Irr!AX22&lt;&gt;".",d_Irr!BW22="."),d_dir!Z22/((1/1000)*(d_Irr!AX22)),IF(AND(d_Irr!Y22&lt;&gt;".",d_Irr!AX22=".",d_Irr!BW22="."),d_dir!Z22/((1/1000)*(d_Irr!Y22)),IF(AND(d_Irr!Y22=".",d_Irr!AX22=".",d_Irr!BW22="."),d_dir!Z22*1000)))))))),".")</f>
        <v>10.752373249136223</v>
      </c>
      <c r="AA22" s="70">
        <f>IFERROR(IF(AND(d_Irr!Z22&lt;&gt;".",d_Irr!AY22&lt;&gt;".",d_Irr!BX22&lt;&gt;"."),d_dir!AA22/((1/1000)*(d_Irr!Z22+d_Irr!AY22+d_Irr!BX22)),IF(AND(d_Irr!Z22&lt;&gt;".",d_Irr!AY22&lt;&gt;".",d_Irr!BX22="."),d_dir!AA22/((1/1000)*(d_Irr!Z22+d_Irr!AY22)),IF(AND(d_Irr!Z22&lt;&gt;".",d_Irr!AY22=".",d_Irr!BX22&lt;&gt;"."),d_dir!AA22/((1/1000)*(d_Irr!Z22+d_Irr!BX22)),IF(AND(d_Irr!Z22=".",d_Irr!AY22&lt;&gt;".",d_Irr!BX22&lt;&gt;"."),d_dir!AA22/((1/1000)*(d_Irr!AY22+d_Irr!BX22)),IF(AND(d_Irr!Z22=".",d_Irr!AY22=".",d_Irr!BX22&lt;&gt;"."),d_dir!AA22/((1/1000)*(d_Irr!BX22)),IF(AND(d_Irr!Z22=".",d_Irr!AY22&lt;&gt;".",d_Irr!BX22="."),d_dir!AA22/((1/1000)*(d_Irr!AY22)),IF(AND(d_Irr!Z22&lt;&gt;".",d_Irr!AY22=".",d_Irr!BX22="."),d_dir!AA22/((1/1000)*(d_Irr!Z22)),IF(AND(d_Irr!Z22=".",d_Irr!AY22=".",d_Irr!BX22="."),d_dir!AA22*1000)))))))),".")</f>
        <v>3.5492606992233262</v>
      </c>
      <c r="AB22" s="70">
        <f>IFERROR(IF(AND(d_Irr!AA22&lt;&gt;".",d_Irr!AZ22&lt;&gt;".",d_Irr!BY22&lt;&gt;"."),d_dir!AB22/((1/1000)*(d_Irr!AA22+d_Irr!AZ22+d_Irr!BY22)),IF(AND(d_Irr!AA22&lt;&gt;".",d_Irr!AZ22&lt;&gt;".",d_Irr!BY22="."),d_dir!AB22/((1/1000)*(d_Irr!AA22+d_Irr!AZ22)),IF(AND(d_Irr!AA22&lt;&gt;".",d_Irr!AZ22=".",d_Irr!BY22&lt;&gt;"."),d_dir!AB22/((1/1000)*(d_Irr!AA22+d_Irr!BY22)),IF(AND(d_Irr!AA22=".",d_Irr!AZ22&lt;&gt;".",d_Irr!BY22&lt;&gt;"."),d_dir!AB22/((1/1000)*(d_Irr!AZ22+d_Irr!BY22)),IF(AND(d_Irr!AA22=".",d_Irr!AZ22=".",d_Irr!BY22&lt;&gt;"."),d_dir!AB22/((1/1000)*(d_Irr!BY22)),IF(AND(d_Irr!AA22=".",d_Irr!AZ22&lt;&gt;".",d_Irr!BY22="."),d_dir!AB22/((1/1000)*(d_Irr!AZ22)),IF(AND(d_Irr!AA22&lt;&gt;".",d_Irr!AZ22=".",d_Irr!BY22="."),d_dir!AB22/((1/1000)*(d_Irr!AA22)),IF(AND(d_Irr!AA22=".",d_Irr!AZ22=".",d_Irr!BY22="."),d_dir!AB22*1000)))))))),".")</f>
        <v>3.8926441557219769</v>
      </c>
      <c r="AC22" s="70">
        <f t="shared" si="0"/>
        <v>0.51227830260725016</v>
      </c>
      <c r="AD22" s="70">
        <f>IFERROR(IF(AND(d_Irr!C22&lt;&gt;".",d_Irr!AB22&lt;&gt;".",d_Irr!BA22&lt;&gt;"."),d_dir!AD22/((1/1000)*(d_Irr!C22+d_Irr!AB22+d_Irr!BA22)),IF(AND(d_Irr!C22&lt;&gt;".",d_Irr!AB22&lt;&gt;".",d_Irr!BA22="."),d_dir!AD22/((1/1000)*(d_Irr!C22+d_Irr!AB22)),IF(AND(d_Irr!C22&lt;&gt;".",d_Irr!AB22=".",d_Irr!BA22&lt;&gt;"."),d_dir!AD22/((1/1000)*(d_Irr!C22+d_Irr!BA22)),IF(AND(d_Irr!C22=".",d_Irr!AB22&lt;&gt;".",d_Irr!BA22&lt;&gt;"."),d_dir!AD22/((1/1000)*(d_Irr!AB22+d_Irr!BA22)),IF(AND(d_Irr!C22=".",d_Irr!AB22=".",d_Irr!BA22&lt;&gt;"."),d_dir!AD22/((1/1000)*(d_Irr!BA22)),IF(AND(d_Irr!C22=".",d_Irr!AB22&lt;&gt;".",d_Irr!BA22="."),d_dir!AD22/((1/1000)*(d_Irr!AB22)),IF(AND(d_Irr!C22&lt;&gt;".",d_Irr!AB22=".",d_Irr!BA22="."),d_dir!AD22/((1/1000)*(d_Irr!C22)),IF(AND(d_Irr!C22=".",d_Irr!AB22=".",d_Irr!BA22="."),d_dir!AD22*1000)))))))),".")</f>
        <v>9.5875064663311562</v>
      </c>
      <c r="AE22" s="70">
        <f>IFERROR(IF(AND(d_Irr!D22&lt;&gt;".",d_Irr!AC22&lt;&gt;".",d_Irr!BB22&lt;&gt;"."),d_dir!AE22/((1/1000)*(d_Irr!D22+d_Irr!AC22+d_Irr!BB22)),IF(AND(d_Irr!D22&lt;&gt;".",d_Irr!AC22&lt;&gt;".",d_Irr!BB22="."),d_dir!AE22/((1/1000)*(d_Irr!D22+d_Irr!AC22)),IF(AND(d_Irr!D22&lt;&gt;".",d_Irr!AC22=".",d_Irr!BB22&lt;&gt;"."),d_dir!AE22/((1/1000)*(d_Irr!D22+d_Irr!BB22)),IF(AND(d_Irr!D22=".",d_Irr!AC22&lt;&gt;".",d_Irr!BB22&lt;&gt;"."),d_dir!AE22/((1/1000)*(d_Irr!AC22+d_Irr!BB22)),IF(AND(d_Irr!D22=".",d_Irr!AC22=".",d_Irr!BB22&lt;&gt;"."),d_dir!AE22/((1/1000)*(d_Irr!BB22)),IF(AND(d_Irr!D22=".",d_Irr!AC22&lt;&gt;".",d_Irr!BB22="."),d_dir!AE22/((1/1000)*(d_Irr!AC22)),IF(AND(d_Irr!D22&lt;&gt;".",d_Irr!AC22=".",d_Irr!BB22="."),d_dir!AE22/((1/1000)*(d_Irr!D22)),IF(AND(d_Irr!D22=".",d_Irr!AC22=".",d_Irr!BB22="."),d_dir!AE22*1000)))))))),".")</f>
        <v>13.112580027448136</v>
      </c>
      <c r="AF22" s="70">
        <f>IFERROR(IF(AND(d_Irr!E22&lt;&gt;".",d_Irr!AD22&lt;&gt;".",d_Irr!BC22&lt;&gt;"."),d_dir!AF22/((1/1000)*(d_Irr!E22+d_Irr!AD22+d_Irr!BC22)),IF(AND(d_Irr!E22&lt;&gt;".",d_Irr!AD22&lt;&gt;".",d_Irr!BC22="."),d_dir!AF22/((1/1000)*(d_Irr!E22+d_Irr!AD22)),IF(AND(d_Irr!E22&lt;&gt;".",d_Irr!AD22=".",d_Irr!BC22&lt;&gt;"."),d_dir!AF22/((1/1000)*(d_Irr!E22+d_Irr!BC22)),IF(AND(d_Irr!E22=".",d_Irr!AD22&lt;&gt;".",d_Irr!BC22&lt;&gt;"."),d_dir!AF22/((1/1000)*(d_Irr!AD22+d_Irr!BC22)),IF(AND(d_Irr!E22=".",d_Irr!AD22=".",d_Irr!BC22&lt;&gt;"."),d_dir!AF22/((1/1000)*(d_Irr!BC22)),IF(AND(d_Irr!E22=".",d_Irr!AD22&lt;&gt;".",d_Irr!BC22="."),d_dir!AF22/((1/1000)*(d_Irr!AD22)),IF(AND(d_Irr!E22&lt;&gt;".",d_Irr!AD22=".",d_Irr!BC22="."),d_dir!AF22/((1/1000)*(d_Irr!E22)),IF(AND(d_Irr!E22=".",d_Irr!AD22=".",d_Irr!BC22="."),d_dir!AF22*1000)))))))),".")</f>
        <v>17.505036138481852</v>
      </c>
      <c r="AG22" s="70">
        <f>IFERROR(IF(AND(d_Irr!F22&lt;&gt;".",d_Irr!AE22&lt;&gt;".",d_Irr!BD22&lt;&gt;"."),d_dir!AG22/((1/1000)*(d_Irr!F22+d_Irr!AE22+d_Irr!BD22)),IF(AND(d_Irr!F22&lt;&gt;".",d_Irr!AE22&lt;&gt;".",d_Irr!BD22="."),d_dir!AG22/((1/1000)*(d_Irr!F22+d_Irr!AE22)),IF(AND(d_Irr!F22&lt;&gt;".",d_Irr!AE22=".",d_Irr!BD22&lt;&gt;"."),d_dir!AG22/((1/1000)*(d_Irr!F22+d_Irr!BD22)),IF(AND(d_Irr!F22=".",d_Irr!AE22&lt;&gt;".",d_Irr!BD22&lt;&gt;"."),d_dir!AG22/((1/1000)*(d_Irr!AE22+d_Irr!BD22)),IF(AND(d_Irr!F22=".",d_Irr!AE22=".",d_Irr!BD22&lt;&gt;"."),d_dir!AG22/((1/1000)*(d_Irr!BD22)),IF(AND(d_Irr!F22=".",d_Irr!AE22&lt;&gt;".",d_Irr!BD22="."),d_dir!AG22/((1/1000)*(d_Irr!AE22)),IF(AND(d_Irr!F22&lt;&gt;".",d_Irr!AE22=".",d_Irr!BD22="."),d_dir!AG22/((1/1000)*(d_Irr!F22)),IF(AND(d_Irr!F22=".",d_Irr!AE22=".",d_Irr!BD22="."),d_dir!AG22*1000)))))))),".")</f>
        <v>24.141791802579426</v>
      </c>
      <c r="AH22" s="70">
        <f>IFERROR(IF(AND(d_Irr!G22&lt;&gt;".",d_Irr!AF22&lt;&gt;".",d_Irr!BE22&lt;&gt;"."),d_dir!AH22/((1/1000)*(d_Irr!G22+d_Irr!AF22+d_Irr!BE22)),IF(AND(d_Irr!G22&lt;&gt;".",d_Irr!AF22&lt;&gt;".",d_Irr!BE22="."),d_dir!AH22/((1/1000)*(d_Irr!G22+d_Irr!AF22)),IF(AND(d_Irr!G22&lt;&gt;".",d_Irr!AF22=".",d_Irr!BE22&lt;&gt;"."),d_dir!AH22/((1/1000)*(d_Irr!G22+d_Irr!BE22)),IF(AND(d_Irr!G22=".",d_Irr!AF22&lt;&gt;".",d_Irr!BE22&lt;&gt;"."),d_dir!AH22/((1/1000)*(d_Irr!AF22+d_Irr!BE22)),IF(AND(d_Irr!G22=".",d_Irr!AF22=".",d_Irr!BE22&lt;&gt;"."),d_dir!AH22/((1/1000)*(d_Irr!BE22)),IF(AND(d_Irr!G22=".",d_Irr!AF22&lt;&gt;".",d_Irr!BE22="."),d_dir!AH22/((1/1000)*(d_Irr!AF22)),IF(AND(d_Irr!G22&lt;&gt;".",d_Irr!AF22=".",d_Irr!BE22="."),d_dir!AH22/((1/1000)*(d_Irr!G22)),IF(AND(d_Irr!G22=".",d_Irr!AF22=".",d_Irr!BE22="."),d_dir!AH22*1000)))))))),".")</f>
        <v>24.258018356721092</v>
      </c>
      <c r="AI22" s="70">
        <f>IFERROR(IF(AND(d_Irr!H22&lt;&gt;".",d_Irr!AG22&lt;&gt;".",d_Irr!BF22&lt;&gt;"."),d_dir!AI22/((1/1000)*(d_Irr!H22+d_Irr!AG22+d_Irr!BF22)),IF(AND(d_Irr!H22&lt;&gt;".",d_Irr!AG22&lt;&gt;".",d_Irr!BF22="."),d_dir!AI22/((1/1000)*(d_Irr!H22+d_Irr!AG22)),IF(AND(d_Irr!H22&lt;&gt;".",d_Irr!AG22=".",d_Irr!BF22&lt;&gt;"."),d_dir!AI22/((1/1000)*(d_Irr!H22+d_Irr!BF22)),IF(AND(d_Irr!H22=".",d_Irr!AG22&lt;&gt;".",d_Irr!BF22&lt;&gt;"."),d_dir!AI22/((1/1000)*(d_Irr!AG22+d_Irr!BF22)),IF(AND(d_Irr!H22=".",d_Irr!AG22=".",d_Irr!BF22&lt;&gt;"."),d_dir!AI22/((1/1000)*(d_Irr!BF22)),IF(AND(d_Irr!H22=".",d_Irr!AG22&lt;&gt;".",d_Irr!BF22="."),d_dir!AI22/((1/1000)*(d_Irr!AG22)),IF(AND(d_Irr!H22&lt;&gt;".",d_Irr!AG22=".",d_Irr!BF22="."),d_dir!AI22/((1/1000)*(d_Irr!H22)),IF(AND(d_Irr!H22=".",d_Irr!AG22=".",d_Irr!BF22="."),d_dir!AI22*1000)))))))),".")</f>
        <v>6.7935699960125904</v>
      </c>
      <c r="AJ22" s="70">
        <f>IFERROR(IF(AND(d_Irr!I22&lt;&gt;".",d_Irr!AH22&lt;&gt;".",d_Irr!BG22&lt;&gt;"."),d_dir!AJ22/((1/1000)*(d_Irr!I22+d_Irr!AH22+d_Irr!BG22)),IF(AND(d_Irr!I22&lt;&gt;".",d_Irr!AH22&lt;&gt;".",d_Irr!BG22="."),d_dir!AJ22/((1/1000)*(d_Irr!I22+d_Irr!AH22)),IF(AND(d_Irr!I22&lt;&gt;".",d_Irr!AH22=".",d_Irr!BG22&lt;&gt;"."),d_dir!AJ22/((1/1000)*(d_Irr!I22+d_Irr!BG22)),IF(AND(d_Irr!I22=".",d_Irr!AH22&lt;&gt;".",d_Irr!BG22&lt;&gt;"."),d_dir!AJ22/((1/1000)*(d_Irr!AH22+d_Irr!BG22)),IF(AND(d_Irr!I22=".",d_Irr!AH22=".",d_Irr!BG22&lt;&gt;"."),d_dir!AJ22/((1/1000)*(d_Irr!BG22)),IF(AND(d_Irr!I22=".",d_Irr!AH22&lt;&gt;".",d_Irr!BG22="."),d_dir!AJ22/((1/1000)*(d_Irr!AH22)),IF(AND(d_Irr!I22&lt;&gt;".",d_Irr!AH22=".",d_Irr!BG22="."),d_dir!AJ22/((1/1000)*(d_Irr!I22)),IF(AND(d_Irr!I22=".",d_Irr!AH22=".",d_Irr!BG22="."),d_dir!AJ22*1000)))))))),".")</f>
        <v>23.242790565617824</v>
      </c>
      <c r="AK22" s="70">
        <f>IFERROR(IF(AND(d_Irr!J22&lt;&gt;".",d_Irr!AI22&lt;&gt;".",d_Irr!BH22&lt;&gt;"."),d_dir!AK22/((1/1000)*(d_Irr!J22+d_Irr!AI22+d_Irr!BH22)),IF(AND(d_Irr!J22&lt;&gt;".",d_Irr!AI22&lt;&gt;".",d_Irr!BH22="."),d_dir!AK22/((1/1000)*(d_Irr!J22+d_Irr!AI22)),IF(AND(d_Irr!J22&lt;&gt;".",d_Irr!AI22=".",d_Irr!BH22&lt;&gt;"."),d_dir!AK22/((1/1000)*(d_Irr!J22+d_Irr!BH22)),IF(AND(d_Irr!J22=".",d_Irr!AI22&lt;&gt;".",d_Irr!BH22&lt;&gt;"."),d_dir!AK22/((1/1000)*(d_Irr!AI22+d_Irr!BH22)),IF(AND(d_Irr!J22=".",d_Irr!AI22=".",d_Irr!BH22&lt;&gt;"."),d_dir!AK22/((1/1000)*(d_Irr!BH22)),IF(AND(d_Irr!J22=".",d_Irr!AI22&lt;&gt;".",d_Irr!BH22="."),d_dir!AK22/((1/1000)*(d_Irr!AI22)),IF(AND(d_Irr!J22&lt;&gt;".",d_Irr!AI22=".",d_Irr!BH22="."),d_dir!AK22/((1/1000)*(d_Irr!J22)),IF(AND(d_Irr!J22=".",d_Irr!AI22=".",d_Irr!BH22="."),d_dir!AK22*1000)))))))),".")</f>
        <v>2.7795219008849061</v>
      </c>
      <c r="AL22" s="70">
        <f>IFERROR(IF(AND(d_Irr!K22&lt;&gt;".",d_Irr!AJ22&lt;&gt;".",d_Irr!BI22&lt;&gt;"."),d_dir!AL22/((1/1000)*(d_Irr!K22+d_Irr!AJ22+d_Irr!BI22)),IF(AND(d_Irr!K22&lt;&gt;".",d_Irr!AJ22&lt;&gt;".",d_Irr!BI22="."),d_dir!AL22/((1/1000)*(d_Irr!K22+d_Irr!AJ22)),IF(AND(d_Irr!K22&lt;&gt;".",d_Irr!AJ22=".",d_Irr!BI22&lt;&gt;"."),d_dir!AL22/((1/1000)*(d_Irr!K22+d_Irr!BI22)),IF(AND(d_Irr!K22=".",d_Irr!AJ22&lt;&gt;".",d_Irr!BI22&lt;&gt;"."),d_dir!AL22/((1/1000)*(d_Irr!AJ22+d_Irr!BI22)),IF(AND(d_Irr!K22=".",d_Irr!AJ22=".",d_Irr!BI22&lt;&gt;"."),d_dir!AL22/((1/1000)*(d_Irr!BI22)),IF(AND(d_Irr!K22=".",d_Irr!AJ22&lt;&gt;".",d_Irr!BI22="."),d_dir!AL22/((1/1000)*(d_Irr!AJ22)),IF(AND(d_Irr!K22&lt;&gt;".",d_Irr!AJ22=".",d_Irr!BI22="."),d_dir!AL22/((1/1000)*(d_Irr!K22)),IF(AND(d_Irr!K22=".",d_Irr!AJ22=".",d_Irr!BI22="."),d_dir!AL22*1000)))))))),".")</f>
        <v>11.661310406205395</v>
      </c>
      <c r="AM22" s="70">
        <f>IFERROR(IF(AND(d_Irr!L22&lt;&gt;".",d_Irr!AK22&lt;&gt;".",d_Irr!BJ22&lt;&gt;"."),d_dir!AM22/((1/1000)*(d_Irr!L22+d_Irr!AK22+d_Irr!BJ22)),IF(AND(d_Irr!L22&lt;&gt;".",d_Irr!AK22&lt;&gt;".",d_Irr!BJ22="."),d_dir!AM22/((1/1000)*(d_Irr!L22+d_Irr!AK22)),IF(AND(d_Irr!L22&lt;&gt;".",d_Irr!AK22=".",d_Irr!BJ22&lt;&gt;"."),d_dir!AM22/((1/1000)*(d_Irr!L22+d_Irr!BJ22)),IF(AND(d_Irr!L22=".",d_Irr!AK22&lt;&gt;".",d_Irr!BJ22&lt;&gt;"."),d_dir!AM22/((1/1000)*(d_Irr!AK22+d_Irr!BJ22)),IF(AND(d_Irr!L22=".",d_Irr!AK22=".",d_Irr!BJ22&lt;&gt;"."),d_dir!AM22/((1/1000)*(d_Irr!BJ22)),IF(AND(d_Irr!L22=".",d_Irr!AK22&lt;&gt;".",d_Irr!BJ22="."),d_dir!AM22/((1/1000)*(d_Irr!AK22)),IF(AND(d_Irr!L22&lt;&gt;".",d_Irr!AK22=".",d_Irr!BJ22="."),d_dir!AM22/((1/1000)*(d_Irr!L22)),IF(AND(d_Irr!L22=".",d_Irr!AK22=".",d_Irr!BJ22="."),d_dir!AM22*1000)))))))),".")</f>
        <v>15.539504149458528</v>
      </c>
      <c r="AN22" s="70">
        <f>IFERROR(IF(AND(d_Irr!M22&lt;&gt;".",d_Irr!AL22&lt;&gt;".",d_Irr!BK22&lt;&gt;"."),d_dir!AN22/((1/1000)*(d_Irr!M22+d_Irr!AL22+d_Irr!BK22)),IF(AND(d_Irr!M22&lt;&gt;".",d_Irr!AL22&lt;&gt;".",d_Irr!BK22="."),d_dir!AN22/((1/1000)*(d_Irr!M22+d_Irr!AL22)),IF(AND(d_Irr!M22&lt;&gt;".",d_Irr!AL22=".",d_Irr!BK22&lt;&gt;"."),d_dir!AN22/((1/1000)*(d_Irr!M22+d_Irr!BK22)),IF(AND(d_Irr!M22=".",d_Irr!AL22&lt;&gt;".",d_Irr!BK22&lt;&gt;"."),d_dir!AN22/((1/1000)*(d_Irr!AL22+d_Irr!BK22)),IF(AND(d_Irr!M22=".",d_Irr!AL22=".",d_Irr!BK22&lt;&gt;"."),d_dir!AN22/((1/1000)*(d_Irr!BK22)),IF(AND(d_Irr!M22=".",d_Irr!AL22&lt;&gt;".",d_Irr!BK22="."),d_dir!AN22/((1/1000)*(d_Irr!AL22)),IF(AND(d_Irr!M22&lt;&gt;".",d_Irr!AL22=".",d_Irr!BK22="."),d_dir!AN22/((1/1000)*(d_Irr!M22)),IF(AND(d_Irr!M22=".",d_Irr!AL22=".",d_Irr!BK22="."),d_dir!AN22*1000)))))))),".")</f>
        <v>13.870482245340385</v>
      </c>
      <c r="AO22" s="70">
        <f>IFERROR(IF(AND(d_Irr!N22&lt;&gt;".",d_Irr!AM22&lt;&gt;".",d_Irr!BL22&lt;&gt;"."),d_dir!AO22/((1/1000)*(d_Irr!N22+d_Irr!AM22+d_Irr!BL22)),IF(AND(d_Irr!N22&lt;&gt;".",d_Irr!AM22&lt;&gt;".",d_Irr!BL22="."),d_dir!AO22/((1/1000)*(d_Irr!N22+d_Irr!AM22)),IF(AND(d_Irr!N22&lt;&gt;".",d_Irr!AM22=".",d_Irr!BL22&lt;&gt;"."),d_dir!AO22/((1/1000)*(d_Irr!N22+d_Irr!BL22)),IF(AND(d_Irr!N22=".",d_Irr!AM22&lt;&gt;".",d_Irr!BL22&lt;&gt;"."),d_dir!AO22/((1/1000)*(d_Irr!AM22+d_Irr!BL22)),IF(AND(d_Irr!N22=".",d_Irr!AM22=".",d_Irr!BL22&lt;&gt;"."),d_dir!AO22/((1/1000)*(d_Irr!BL22)),IF(AND(d_Irr!N22=".",d_Irr!AM22&lt;&gt;".",d_Irr!BL22="."),d_dir!AO22/((1/1000)*(d_Irr!AM22)),IF(AND(d_Irr!N22&lt;&gt;".",d_Irr!AM22=".",d_Irr!BL22="."),d_dir!AO22/((1/1000)*(d_Irr!N22)),IF(AND(d_Irr!N22=".",d_Irr!AM22=".",d_Irr!BL22="."),d_dir!AO22*1000)))))))),".")</f>
        <v>23.60608804295525</v>
      </c>
      <c r="AP22" s="70">
        <f>IFERROR(IF(AND(d_Irr!O22&lt;&gt;".",d_Irr!AN22&lt;&gt;".",d_Irr!BM22&lt;&gt;"."),d_dir!AP22/((1/1000)*(d_Irr!O22+d_Irr!AN22+d_Irr!BM22)),IF(AND(d_Irr!O22&lt;&gt;".",d_Irr!AN22&lt;&gt;".",d_Irr!BM22="."),d_dir!AP22/((1/1000)*(d_Irr!O22+d_Irr!AN22)),IF(AND(d_Irr!O22&lt;&gt;".",d_Irr!AN22=".",d_Irr!BM22&lt;&gt;"."),d_dir!AP22/((1/1000)*(d_Irr!O22+d_Irr!BM22)),IF(AND(d_Irr!O22=".",d_Irr!AN22&lt;&gt;".",d_Irr!BM22&lt;&gt;"."),d_dir!AP22/((1/1000)*(d_Irr!AN22+d_Irr!BM22)),IF(AND(d_Irr!O22=".",d_Irr!AN22=".",d_Irr!BM22&lt;&gt;"."),d_dir!AP22/((1/1000)*(d_Irr!BM22)),IF(AND(d_Irr!O22=".",d_Irr!AN22&lt;&gt;".",d_Irr!BM22="."),d_dir!AP22/((1/1000)*(d_Irr!AN22)),IF(AND(d_Irr!O22&lt;&gt;".",d_Irr!AN22=".",d_Irr!BM22="."),d_dir!AP22/((1/1000)*(d_Irr!O22)),IF(AND(d_Irr!O22=".",d_Irr!AN22=".",d_Irr!BM22="."),d_dir!AP22*1000)))))))),".")</f>
        <v>27.995907447143228</v>
      </c>
      <c r="AQ22" s="70">
        <f>IFERROR(IF(AND(d_Irr!P22&lt;&gt;".",d_Irr!AO22&lt;&gt;".",d_Irr!BN22&lt;&gt;"."),d_dir!AQ22/((1/1000)*(d_Irr!P22+d_Irr!AO22+d_Irr!BN22)),IF(AND(d_Irr!P22&lt;&gt;".",d_Irr!AO22&lt;&gt;".",d_Irr!BN22="."),d_dir!AQ22/((1/1000)*(d_Irr!P22+d_Irr!AO22)),IF(AND(d_Irr!P22&lt;&gt;".",d_Irr!AO22=".",d_Irr!BN22&lt;&gt;"."),d_dir!AQ22/((1/1000)*(d_Irr!P22+d_Irr!BN22)),IF(AND(d_Irr!P22=".",d_Irr!AO22&lt;&gt;".",d_Irr!BN22&lt;&gt;"."),d_dir!AQ22/((1/1000)*(d_Irr!AO22+d_Irr!BN22)),IF(AND(d_Irr!P22=".",d_Irr!AO22=".",d_Irr!BN22&lt;&gt;"."),d_dir!AQ22/((1/1000)*(d_Irr!BN22)),IF(AND(d_Irr!P22=".",d_Irr!AO22&lt;&gt;".",d_Irr!BN22="."),d_dir!AQ22/((1/1000)*(d_Irr!AO22)),IF(AND(d_Irr!P22&lt;&gt;".",d_Irr!AO22=".",d_Irr!BN22="."),d_dir!AQ22/((1/1000)*(d_Irr!P22)),IF(AND(d_Irr!P22=".",d_Irr!AO22=".",d_Irr!BN22="."),d_dir!AQ22*1000)))))))),".")</f>
        <v>21.690405252460035</v>
      </c>
      <c r="AR22" s="70">
        <f>IFERROR(IF(AND(d_Irr!Q22&lt;&gt;".",d_Irr!AP22&lt;&gt;".",d_Irr!BO22&lt;&gt;"."),d_dir!AR22/((1/1000)*(d_Irr!Q22+d_Irr!AP22+d_Irr!BO22)),IF(AND(d_Irr!Q22&lt;&gt;".",d_Irr!AP22&lt;&gt;".",d_Irr!BO22="."),d_dir!AR22/((1/1000)*(d_Irr!Q22+d_Irr!AP22)),IF(AND(d_Irr!Q22&lt;&gt;".",d_Irr!AP22=".",d_Irr!BO22&lt;&gt;"."),d_dir!AR22/((1/1000)*(d_Irr!Q22+d_Irr!BO22)),IF(AND(d_Irr!Q22=".",d_Irr!AP22&lt;&gt;".",d_Irr!BO22&lt;&gt;"."),d_dir!AR22/((1/1000)*(d_Irr!AP22+d_Irr!BO22)),IF(AND(d_Irr!Q22=".",d_Irr!AP22=".",d_Irr!BO22&lt;&gt;"."),d_dir!AR22/((1/1000)*(d_Irr!BO22)),IF(AND(d_Irr!Q22=".",d_Irr!AP22&lt;&gt;".",d_Irr!BO22="."),d_dir!AR22/((1/1000)*(d_Irr!AP22)),IF(AND(d_Irr!Q22&lt;&gt;".",d_Irr!AP22=".",d_Irr!BO22="."),d_dir!AR22/((1/1000)*(d_Irr!Q22)),IF(AND(d_Irr!Q22=".",d_Irr!AP22=".",d_Irr!BO22="."),d_dir!AR22*1000)))))))),".")</f>
        <v>7.9135717824978977</v>
      </c>
      <c r="AS22" s="70">
        <f>IFERROR(IF(AND(d_Irr!R22&lt;&gt;".",d_Irr!AQ22&lt;&gt;".",d_Irr!BP22&lt;&gt;"."),d_dir!AS22/((1/1000)*(d_Irr!R22+d_Irr!AQ22+d_Irr!BP22)),IF(AND(d_Irr!R22&lt;&gt;".",d_Irr!AQ22&lt;&gt;".",d_Irr!BP22="."),d_dir!AS22/((1/1000)*(d_Irr!R22+d_Irr!AQ22)),IF(AND(d_Irr!R22&lt;&gt;".",d_Irr!AQ22=".",d_Irr!BP22&lt;&gt;"."),d_dir!AS22/((1/1000)*(d_Irr!R22+d_Irr!BP22)),IF(AND(d_Irr!R22=".",d_Irr!AQ22&lt;&gt;".",d_Irr!BP22&lt;&gt;"."),d_dir!AS22/((1/1000)*(d_Irr!AQ22+d_Irr!BP22)),IF(AND(d_Irr!R22=".",d_Irr!AQ22=".",d_Irr!BP22&lt;&gt;"."),d_dir!AS22/((1/1000)*(d_Irr!BP22)),IF(AND(d_Irr!R22=".",d_Irr!AQ22&lt;&gt;".",d_Irr!BP22="."),d_dir!AS22/((1/1000)*(d_Irr!AQ22)),IF(AND(d_Irr!R22&lt;&gt;".",d_Irr!AQ22=".",d_Irr!BP22="."),d_dir!AS22/((1/1000)*(d_Irr!R22)),IF(AND(d_Irr!R22=".",d_Irr!AQ22=".",d_Irr!BP22="."),d_dir!AS22*1000)))))))),".")</f>
        <v>12.904261331973679</v>
      </c>
      <c r="AT22" s="70">
        <f>IFERROR(IF(AND(d_Irr!S22&lt;&gt;".",d_Irr!AR22&lt;&gt;".",d_Irr!BQ22&lt;&gt;"."),d_dir!AT22/((1/1000)*(d_Irr!S22+d_Irr!AR22+d_Irr!BQ22)),IF(AND(d_Irr!S22&lt;&gt;".",d_Irr!AR22&lt;&gt;".",d_Irr!BQ22="."),d_dir!AT22/((1/1000)*(d_Irr!S22+d_Irr!AR22)),IF(AND(d_Irr!S22&lt;&gt;".",d_Irr!AR22=".",d_Irr!BQ22&lt;&gt;"."),d_dir!AT22/((1/1000)*(d_Irr!S22+d_Irr!BQ22)),IF(AND(d_Irr!S22=".",d_Irr!AR22&lt;&gt;".",d_Irr!BQ22&lt;&gt;"."),d_dir!AT22/((1/1000)*(d_Irr!AR22+d_Irr!BQ22)),IF(AND(d_Irr!S22=".",d_Irr!AR22=".",d_Irr!BQ22&lt;&gt;"."),d_dir!AT22/((1/1000)*(d_Irr!BQ22)),IF(AND(d_Irr!S22=".",d_Irr!AR22&lt;&gt;".",d_Irr!BQ22="."),d_dir!AT22/((1/1000)*(d_Irr!AR22)),IF(AND(d_Irr!S22&lt;&gt;".",d_Irr!AR22=".",d_Irr!BQ22="."),d_dir!AT22/((1/1000)*(d_Irr!S22)),IF(AND(d_Irr!S22=".",d_Irr!AR22=".",d_Irr!BQ22="."),d_dir!AT22*1000)))))))),".")</f>
        <v>26.135082123417394</v>
      </c>
      <c r="AU22" s="70">
        <f>IFERROR(IF(AND(d_Irr!T22&lt;&gt;".",d_Irr!AS22&lt;&gt;".",d_Irr!BR22&lt;&gt;"."),d_dir!AU22/((1/1000)*(d_Irr!T22+d_Irr!AS22+d_Irr!BR22)),IF(AND(d_Irr!T22&lt;&gt;".",d_Irr!AS22&lt;&gt;".",d_Irr!BR22="."),d_dir!AU22/((1/1000)*(d_Irr!T22+d_Irr!AS22)),IF(AND(d_Irr!T22&lt;&gt;".",d_Irr!AS22=".",d_Irr!BR22&lt;&gt;"."),d_dir!AU22/((1/1000)*(d_Irr!T22+d_Irr!BR22)),IF(AND(d_Irr!T22=".",d_Irr!AS22&lt;&gt;".",d_Irr!BR22&lt;&gt;"."),d_dir!AU22/((1/1000)*(d_Irr!AS22+d_Irr!BR22)),IF(AND(d_Irr!T22=".",d_Irr!AS22=".",d_Irr!BR22&lt;&gt;"."),d_dir!AU22/((1/1000)*(d_Irr!BR22)),IF(AND(d_Irr!T22=".",d_Irr!AS22&lt;&gt;".",d_Irr!BR22="."),d_dir!AU22/((1/1000)*(d_Irr!AS22)),IF(AND(d_Irr!T22&lt;&gt;".",d_Irr!AS22=".",d_Irr!BR22="."),d_dir!AU22/((1/1000)*(d_Irr!T22)),IF(AND(d_Irr!T22=".",d_Irr!AS22=".",d_Irr!BR22="."),d_dir!AU22*1000)))))))),".")</f>
        <v>34.978249952531584</v>
      </c>
      <c r="AV22" s="70">
        <f>IFERROR(IF(AND(d_Irr!U22&lt;&gt;".",d_Irr!AT22&lt;&gt;".",d_Irr!BS22&lt;&gt;"."),d_dir!AV22/((1/1000)*(d_Irr!U22+d_Irr!AT22+d_Irr!BS22)),IF(AND(d_Irr!U22&lt;&gt;".",d_Irr!AT22&lt;&gt;".",d_Irr!BS22="."),d_dir!AV22/((1/1000)*(d_Irr!U22+d_Irr!AT22)),IF(AND(d_Irr!U22&lt;&gt;".",d_Irr!AT22=".",d_Irr!BS22&lt;&gt;"."),d_dir!AV22/((1/1000)*(d_Irr!U22+d_Irr!BS22)),IF(AND(d_Irr!U22=".",d_Irr!AT22&lt;&gt;".",d_Irr!BS22&lt;&gt;"."),d_dir!AV22/((1/1000)*(d_Irr!AT22+d_Irr!BS22)),IF(AND(d_Irr!U22=".",d_Irr!AT22=".",d_Irr!BS22&lt;&gt;"."),d_dir!AV22/((1/1000)*(d_Irr!BS22)),IF(AND(d_Irr!U22=".",d_Irr!AT22&lt;&gt;".",d_Irr!BS22="."),d_dir!AV22/((1/1000)*(d_Irr!AT22)),IF(AND(d_Irr!U22&lt;&gt;".",d_Irr!AT22=".",d_Irr!BS22="."),d_dir!AV22/((1/1000)*(d_Irr!U22)),IF(AND(d_Irr!U22=".",d_Irr!AT22=".",d_Irr!BS22="."),d_dir!AV22*1000)))))))),".")</f>
        <v>6.2503387480422479</v>
      </c>
      <c r="AW22" s="70">
        <f>IFERROR(IF(AND(d_Irr!V22&lt;&gt;".",d_Irr!AU22&lt;&gt;".",d_Irr!BT22&lt;&gt;"."),d_dir!AW22/((1/1000)*(d_Irr!V22+d_Irr!AU22+d_Irr!BT22)),IF(AND(d_Irr!V22&lt;&gt;".",d_Irr!AU22&lt;&gt;".",d_Irr!BT22="."),d_dir!AW22/((1/1000)*(d_Irr!V22+d_Irr!AU22)),IF(AND(d_Irr!V22&lt;&gt;".",d_Irr!AU22=".",d_Irr!BT22&lt;&gt;"."),d_dir!AW22/((1/1000)*(d_Irr!V22+d_Irr!BT22)),IF(AND(d_Irr!V22=".",d_Irr!AU22&lt;&gt;".",d_Irr!BT22&lt;&gt;"."),d_dir!AW22/((1/1000)*(d_Irr!AU22+d_Irr!BT22)),IF(AND(d_Irr!V22=".",d_Irr!AU22=".",d_Irr!BT22&lt;&gt;"."),d_dir!AW22/((1/1000)*(d_Irr!BT22)),IF(AND(d_Irr!V22=".",d_Irr!AU22&lt;&gt;".",d_Irr!BT22="."),d_dir!AW22/((1/1000)*(d_Irr!AU22)),IF(AND(d_Irr!V22&lt;&gt;".",d_Irr!AU22=".",d_Irr!BT22="."),d_dir!AW22/((1/1000)*(d_Irr!V22)),IF(AND(d_Irr!V22=".",d_Irr!AU22=".",d_Irr!BT22="."),d_dir!AW22*1000)))))))),".")</f>
        <v>13.350180571189576</v>
      </c>
      <c r="AX22" s="70">
        <f>IFERROR(IF(AND(d_Irr!W22&lt;&gt;".",d_Irr!AV22&lt;&gt;".",d_Irr!BU22&lt;&gt;"."),d_dir!AX22/((1/1000)*(d_Irr!W22+d_Irr!AV22+d_Irr!BU22)),IF(AND(d_Irr!W22&lt;&gt;".",d_Irr!AV22&lt;&gt;".",d_Irr!BU22="."),d_dir!AX22/((1/1000)*(d_Irr!W22+d_Irr!AV22)),IF(AND(d_Irr!W22&lt;&gt;".",d_Irr!AV22=".",d_Irr!BU22&lt;&gt;"."),d_dir!AX22/((1/1000)*(d_Irr!W22+d_Irr!BU22)),IF(AND(d_Irr!W22=".",d_Irr!AV22&lt;&gt;".",d_Irr!BU22&lt;&gt;"."),d_dir!AX22/((1/1000)*(d_Irr!AV22+d_Irr!BU22)),IF(AND(d_Irr!W22=".",d_Irr!AV22=".",d_Irr!BU22&lt;&gt;"."),d_dir!AX22/((1/1000)*(d_Irr!BU22)),IF(AND(d_Irr!W22=".",d_Irr!AV22&lt;&gt;".",d_Irr!BU22="."),d_dir!AX22/((1/1000)*(d_Irr!AV22)),IF(AND(d_Irr!W22&lt;&gt;".",d_Irr!AV22=".",d_Irr!BU22="."),d_dir!AX22/((1/1000)*(d_Irr!W22)),IF(AND(d_Irr!W22=".",d_Irr!AV22=".",d_Irr!BU22="."),d_dir!AX22*1000)))))))),".")</f>
        <v>14.828614219193422</v>
      </c>
      <c r="AY22" s="70">
        <f>IFERROR(IF(AND(d_Irr!X22&lt;&gt;".",d_Irr!AW22&lt;&gt;".",d_Irr!BV22&lt;&gt;"."),d_dir!AY22/((1/1000)*(d_Irr!X22+d_Irr!AW22+d_Irr!BV22)),IF(AND(d_Irr!X22&lt;&gt;".",d_Irr!AW22&lt;&gt;".",d_Irr!BV22="."),d_dir!AY22/((1/1000)*(d_Irr!X22+d_Irr!AW22)),IF(AND(d_Irr!X22&lt;&gt;".",d_Irr!AW22=".",d_Irr!BV22&lt;&gt;"."),d_dir!AY22/((1/1000)*(d_Irr!X22+d_Irr!BV22)),IF(AND(d_Irr!X22=".",d_Irr!AW22&lt;&gt;".",d_Irr!BV22&lt;&gt;"."),d_dir!AY22/((1/1000)*(d_Irr!AW22+d_Irr!BV22)),IF(AND(d_Irr!X22=".",d_Irr!AW22=".",d_Irr!BV22&lt;&gt;"."),d_dir!AY22/((1/1000)*(d_Irr!BV22)),IF(AND(d_Irr!X22=".",d_Irr!AW22&lt;&gt;".",d_Irr!BV22="."),d_dir!AY22/((1/1000)*(d_Irr!AW22)),IF(AND(d_Irr!X22&lt;&gt;".",d_Irr!AW22=".",d_Irr!BV22="."),d_dir!AY22/((1/1000)*(d_Irr!X22)),IF(AND(d_Irr!X22=".",d_Irr!AW22=".",d_Irr!BV22="."),d_dir!AY22*1000)))))))),".")</f>
        <v>20.980436883729933</v>
      </c>
      <c r="AZ22" s="70">
        <f>IFERROR(IF(AND(d_Irr!Y22&lt;&gt;".",d_Irr!AX22&lt;&gt;".",d_Irr!BW22&lt;&gt;"."),d_dir!AZ22/((1/1000)*(d_Irr!Y22+d_Irr!AX22+d_Irr!BW22)),IF(AND(d_Irr!Y22&lt;&gt;".",d_Irr!AX22&lt;&gt;".",d_Irr!BW22="."),d_dir!AZ22/((1/1000)*(d_Irr!Y22+d_Irr!AX22)),IF(AND(d_Irr!Y22&lt;&gt;".",d_Irr!AX22=".",d_Irr!BW22&lt;&gt;"."),d_dir!AZ22/((1/1000)*(d_Irr!Y22+d_Irr!BW22)),IF(AND(d_Irr!Y22=".",d_Irr!AX22&lt;&gt;".",d_Irr!BW22&lt;&gt;"."),d_dir!AZ22/((1/1000)*(d_Irr!AX22+d_Irr!BW22)),IF(AND(d_Irr!Y22=".",d_Irr!AX22=".",d_Irr!BW22&lt;&gt;"."),d_dir!AZ22/((1/1000)*(d_Irr!BW22)),IF(AND(d_Irr!Y22=".",d_Irr!AX22&lt;&gt;".",d_Irr!BW22="."),d_dir!AZ22/((1/1000)*(d_Irr!AX22)),IF(AND(d_Irr!Y22&lt;&gt;".",d_Irr!AX22=".",d_Irr!BW22="."),d_dir!AZ22/((1/1000)*(d_Irr!Y22)),IF(AND(d_Irr!Y22=".",d_Irr!AX22=".",d_Irr!BW22="."),d_dir!AZ22*1000)))))))),".")</f>
        <v>8.7232259699619927</v>
      </c>
      <c r="BA22" s="70">
        <f>IFERROR(IF(AND(d_Irr!Z22&lt;&gt;".",d_Irr!AY22&lt;&gt;".",d_Irr!BX22&lt;&gt;"."),d_dir!BA22/((1/1000)*(d_Irr!Z22+d_Irr!AY22+d_Irr!BX22)),IF(AND(d_Irr!Z22&lt;&gt;".",d_Irr!AY22&lt;&gt;".",d_Irr!BX22="."),d_dir!BA22/((1/1000)*(d_Irr!Z22+d_Irr!AY22)),IF(AND(d_Irr!Z22&lt;&gt;".",d_Irr!AY22=".",d_Irr!BX22&lt;&gt;"."),d_dir!BA22/((1/1000)*(d_Irr!Z22+d_Irr!BX22)),IF(AND(d_Irr!Z22=".",d_Irr!AY22&lt;&gt;".",d_Irr!BX22&lt;&gt;"."),d_dir!BA22/((1/1000)*(d_Irr!AY22+d_Irr!BX22)),IF(AND(d_Irr!Z22=".",d_Irr!AY22=".",d_Irr!BX22&lt;&gt;"."),d_dir!BA22/((1/1000)*(d_Irr!BX22)),IF(AND(d_Irr!Z22=".",d_Irr!AY22&lt;&gt;".",d_Irr!BX22="."),d_dir!BA22/((1/1000)*(d_Irr!AY22)),IF(AND(d_Irr!Z22&lt;&gt;".",d_Irr!AY22=".",d_Irr!BX22="."),d_dir!BA22/((1/1000)*(d_Irr!Z22)),IF(AND(d_Irr!Z22=".",d_Irr!AY22=".",d_Irr!BX22="."),d_dir!BA22*1000)))))))),".")</f>
        <v>2.8118305652018645</v>
      </c>
      <c r="BB22" s="70">
        <f>IFERROR(IF(AND(d_Irr!AA22&lt;&gt;".",d_Irr!AZ22&lt;&gt;".",d_Irr!BY22&lt;&gt;"."),d_dir!BB22/((1/1000)*(d_Irr!AA22+d_Irr!AZ22+d_Irr!BY22)),IF(AND(d_Irr!AA22&lt;&gt;".",d_Irr!AZ22&lt;&gt;".",d_Irr!BY22="."),d_dir!BB22/((1/1000)*(d_Irr!AA22+d_Irr!AZ22)),IF(AND(d_Irr!AA22&lt;&gt;".",d_Irr!AZ22=".",d_Irr!BY22&lt;&gt;"."),d_dir!BB22/((1/1000)*(d_Irr!AA22+d_Irr!BY22)),IF(AND(d_Irr!AA22=".",d_Irr!AZ22&lt;&gt;".",d_Irr!BY22&lt;&gt;"."),d_dir!BB22/((1/1000)*(d_Irr!AZ22+d_Irr!BY22)),IF(AND(d_Irr!AA22=".",d_Irr!AZ22=".",d_Irr!BY22&lt;&gt;"."),d_dir!BB22/((1/1000)*(d_Irr!BY22)),IF(AND(d_Irr!AA22=".",d_Irr!AZ22&lt;&gt;".",d_Irr!BY22="."),d_dir!BB22/((1/1000)*(d_Irr!AZ22)),IF(AND(d_Irr!AA22&lt;&gt;".",d_Irr!AZ22=".",d_Irr!BY22="."),d_dir!BB22/((1/1000)*(d_Irr!AA22)),IF(AND(d_Irr!AA22=".",d_Irr!AZ22=".",d_Irr!BY22="."),d_dir!BB22*1000)))))))),".")</f>
        <v>3.1029226533183016</v>
      </c>
    </row>
    <row r="23" spans="1:54" x14ac:dyDescent="0.25">
      <c r="A23" s="88" t="s">
        <v>21</v>
      </c>
      <c r="B23" s="84" t="s">
        <v>335</v>
      </c>
      <c r="C23" s="2">
        <f t="shared" si="1"/>
        <v>0.28575458353666683</v>
      </c>
      <c r="D23" s="70">
        <f>IFERROR(IF(AND(d_Irr!C23&lt;&gt;".",d_Irr!AB23&lt;&gt;".",d_Irr!BA23&lt;&gt;"."),d_dir!D23/((1/1000)*(d_Irr!C23+d_Irr!AB23+d_Irr!BA23)),IF(AND(d_Irr!C23&lt;&gt;".",d_Irr!AB23&lt;&gt;".",d_Irr!BA23="."),d_dir!D23/((1/1000)*(d_Irr!C23+d_Irr!AB23)),IF(AND(d_Irr!C23&lt;&gt;".",d_Irr!AB23=".",d_Irr!BA23&lt;&gt;"."),d_dir!D23/((1/1000)*(d_Irr!C23+d_Irr!BA23)),IF(AND(d_Irr!C23=".",d_Irr!AB23&lt;&gt;".",d_Irr!BA23&lt;&gt;"."),d_dir!D23/((1/1000)*(d_Irr!AB23+d_Irr!BA23)),IF(AND(d_Irr!C23=".",d_Irr!AB23=".",d_Irr!BA23&lt;&gt;"."),d_dir!D23/((1/1000)*(d_Irr!BA23)),IF(AND(d_Irr!C23=".",d_Irr!AB23&lt;&gt;".",d_Irr!BA23="."),d_dir!D23/((1/1000)*(d_Irr!AB23)),IF(AND(d_Irr!C23&lt;&gt;".",d_Irr!AB23=".",d_Irr!BA23="."),d_dir!D23/((1/1000)*(d_Irr!C23)),IF(AND(d_Irr!C23=".",d_Irr!AB23=".",d_Irr!BA23="."),d_dir!D23*1000)))))))),".")</f>
        <v>5.7928912254247695</v>
      </c>
      <c r="E23" s="70">
        <f>IFERROR(IF(AND(d_Irr!D23&lt;&gt;".",d_Irr!AC23&lt;&gt;".",d_Irr!BB23&lt;&gt;"."),d_dir!E23/((1/1000)*(d_Irr!D23+d_Irr!AC23+d_Irr!BB23)),IF(AND(d_Irr!D23&lt;&gt;".",d_Irr!AC23&lt;&gt;".",d_Irr!BB23="."),d_dir!E23/((1/1000)*(d_Irr!D23+d_Irr!AC23)),IF(AND(d_Irr!D23&lt;&gt;".",d_Irr!AC23=".",d_Irr!BB23&lt;&gt;"."),d_dir!E23/((1/1000)*(d_Irr!D23+d_Irr!BB23)),IF(AND(d_Irr!D23=".",d_Irr!AC23&lt;&gt;".",d_Irr!BB23&lt;&gt;"."),d_dir!E23/((1/1000)*(d_Irr!AC23+d_Irr!BB23)),IF(AND(d_Irr!D23=".",d_Irr!AC23=".",d_Irr!BB23&lt;&gt;"."),d_dir!E23/((1/1000)*(d_Irr!BB23)),IF(AND(d_Irr!D23=".",d_Irr!AC23&lt;&gt;".",d_Irr!BB23="."),d_dir!E23/((1/1000)*(d_Irr!AC23)),IF(AND(d_Irr!D23&lt;&gt;".",d_Irr!AC23=".",d_Irr!BB23="."),d_dir!E23/((1/1000)*(d_Irr!D23)),IF(AND(d_Irr!D23=".",d_Irr!AC23=".",d_Irr!BB23="."),d_dir!E23*1000)))))))),".")</f>
        <v>7.3515359907411622</v>
      </c>
      <c r="F23" s="70">
        <f>IFERROR(IF(AND(d_Irr!E23&lt;&gt;".",d_Irr!AD23&lt;&gt;".",d_Irr!BC23&lt;&gt;"."),d_dir!F23/((1/1000)*(d_Irr!E23+d_Irr!AD23+d_Irr!BC23)),IF(AND(d_Irr!E23&lt;&gt;".",d_Irr!AD23&lt;&gt;".",d_Irr!BC23="."),d_dir!F23/((1/1000)*(d_Irr!E23+d_Irr!AD23)),IF(AND(d_Irr!E23&lt;&gt;".",d_Irr!AD23=".",d_Irr!BC23&lt;&gt;"."),d_dir!F23/((1/1000)*(d_Irr!E23+d_Irr!BC23)),IF(AND(d_Irr!E23=".",d_Irr!AD23&lt;&gt;".",d_Irr!BC23&lt;&gt;"."),d_dir!F23/((1/1000)*(d_Irr!AD23+d_Irr!BC23)),IF(AND(d_Irr!E23=".",d_Irr!AD23=".",d_Irr!BC23&lt;&gt;"."),d_dir!F23/((1/1000)*(d_Irr!BC23)),IF(AND(d_Irr!E23=".",d_Irr!AD23&lt;&gt;".",d_Irr!BC23="."),d_dir!F23/((1/1000)*(d_Irr!AD23)),IF(AND(d_Irr!E23&lt;&gt;".",d_Irr!AD23=".",d_Irr!BC23="."),d_dir!F23/((1/1000)*(d_Irr!E23)),IF(AND(d_Irr!E23=".",d_Irr!AD23=".",d_Irr!BC23="."),d_dir!F23*1000)))))))),".")</f>
        <v>9.9467044284847308</v>
      </c>
      <c r="G23" s="70">
        <f>IFERROR(IF(AND(d_Irr!F23&lt;&gt;".",d_Irr!AE23&lt;&gt;".",d_Irr!BD23&lt;&gt;"."),d_dir!G23/((1/1000)*(d_Irr!F23+d_Irr!AE23+d_Irr!BD23)),IF(AND(d_Irr!F23&lt;&gt;".",d_Irr!AE23&lt;&gt;".",d_Irr!BD23="."),d_dir!G23/((1/1000)*(d_Irr!F23+d_Irr!AE23)),IF(AND(d_Irr!F23&lt;&gt;".",d_Irr!AE23=".",d_Irr!BD23&lt;&gt;"."),d_dir!G23/((1/1000)*(d_Irr!F23+d_Irr!BD23)),IF(AND(d_Irr!F23=".",d_Irr!AE23&lt;&gt;".",d_Irr!BD23&lt;&gt;"."),d_dir!G23/((1/1000)*(d_Irr!AE23+d_Irr!BD23)),IF(AND(d_Irr!F23=".",d_Irr!AE23=".",d_Irr!BD23&lt;&gt;"."),d_dir!G23/((1/1000)*(d_Irr!BD23)),IF(AND(d_Irr!F23=".",d_Irr!AE23&lt;&gt;".",d_Irr!BD23="."),d_dir!G23/((1/1000)*(d_Irr!AE23)),IF(AND(d_Irr!F23&lt;&gt;".",d_Irr!AE23=".",d_Irr!BD23="."),d_dir!G23/((1/1000)*(d_Irr!F23)),IF(AND(d_Irr!F23=".",d_Irr!AE23=".",d_Irr!BD23="."),d_dir!G23*1000)))))))),".")</f>
        <v>13.025417285059874</v>
      </c>
      <c r="H23" s="70">
        <f>IFERROR(IF(AND(d_Irr!G23&lt;&gt;".",d_Irr!AF23&lt;&gt;".",d_Irr!BE23&lt;&gt;"."),d_dir!H23/((1/1000)*(d_Irr!G23+d_Irr!AF23+d_Irr!BE23)),IF(AND(d_Irr!G23&lt;&gt;".",d_Irr!AF23&lt;&gt;".",d_Irr!BE23="."),d_dir!H23/((1/1000)*(d_Irr!G23+d_Irr!AF23)),IF(AND(d_Irr!G23&lt;&gt;".",d_Irr!AF23=".",d_Irr!BE23&lt;&gt;"."),d_dir!H23/((1/1000)*(d_Irr!G23+d_Irr!BE23)),IF(AND(d_Irr!G23=".",d_Irr!AF23&lt;&gt;".",d_Irr!BE23&lt;&gt;"."),d_dir!H23/((1/1000)*(d_Irr!AF23+d_Irr!BE23)),IF(AND(d_Irr!G23=".",d_Irr!AF23=".",d_Irr!BE23&lt;&gt;"."),d_dir!H23/((1/1000)*(d_Irr!BE23)),IF(AND(d_Irr!G23=".",d_Irr!AF23&lt;&gt;".",d_Irr!BE23="."),d_dir!H23/((1/1000)*(d_Irr!AF23)),IF(AND(d_Irr!G23&lt;&gt;".",d_Irr!AF23=".",d_Irr!BE23="."),d_dir!H23/((1/1000)*(d_Irr!G23)),IF(AND(d_Irr!G23=".",d_Irr!AF23=".",d_Irr!BE23="."),d_dir!H23*1000)))))))),".")</f>
        <v>14.99575605182986</v>
      </c>
      <c r="I23" s="70">
        <f>IFERROR(IF(AND(d_Irr!H23&lt;&gt;".",d_Irr!AG23&lt;&gt;".",d_Irr!BF23&lt;&gt;"."),d_dir!I23/((1/1000)*(d_Irr!H23+d_Irr!AG23+d_Irr!BF23)),IF(AND(d_Irr!H23&lt;&gt;".",d_Irr!AG23&lt;&gt;".",d_Irr!BF23="."),d_dir!I23/((1/1000)*(d_Irr!H23+d_Irr!AG23)),IF(AND(d_Irr!H23&lt;&gt;".",d_Irr!AG23=".",d_Irr!BF23&lt;&gt;"."),d_dir!I23/((1/1000)*(d_Irr!H23+d_Irr!BF23)),IF(AND(d_Irr!H23=".",d_Irr!AG23&lt;&gt;".",d_Irr!BF23&lt;&gt;"."),d_dir!I23/((1/1000)*(d_Irr!AG23+d_Irr!BF23)),IF(AND(d_Irr!H23=".",d_Irr!AG23=".",d_Irr!BF23&lt;&gt;"."),d_dir!I23/((1/1000)*(d_Irr!BF23)),IF(AND(d_Irr!H23=".",d_Irr!AG23&lt;&gt;".",d_Irr!BF23="."),d_dir!I23/((1/1000)*(d_Irr!AG23)),IF(AND(d_Irr!H23&lt;&gt;".",d_Irr!AG23=".",d_Irr!BF23="."),d_dir!I23/((1/1000)*(d_Irr!H23)),IF(AND(d_Irr!H23=".",d_Irr!AG23=".",d_Irr!BF23="."),d_dir!I23*1000)))))))),".")</f>
        <v>3.6207154195334539</v>
      </c>
      <c r="J23" s="70">
        <f>IFERROR(IF(AND(d_Irr!I23&lt;&gt;".",d_Irr!AH23&lt;&gt;".",d_Irr!BG23&lt;&gt;"."),d_dir!J23/((1/1000)*(d_Irr!I23+d_Irr!AH23+d_Irr!BG23)),IF(AND(d_Irr!I23&lt;&gt;".",d_Irr!AH23&lt;&gt;".",d_Irr!BG23="."),d_dir!J23/((1/1000)*(d_Irr!I23+d_Irr!AH23)),IF(AND(d_Irr!I23&lt;&gt;".",d_Irr!AH23=".",d_Irr!BG23&lt;&gt;"."),d_dir!J23/((1/1000)*(d_Irr!I23+d_Irr!BG23)),IF(AND(d_Irr!I23=".",d_Irr!AH23&lt;&gt;".",d_Irr!BG23&lt;&gt;"."),d_dir!J23/((1/1000)*(d_Irr!AH23+d_Irr!BG23)),IF(AND(d_Irr!I23=".",d_Irr!AH23=".",d_Irr!BG23&lt;&gt;"."),d_dir!J23/((1/1000)*(d_Irr!BG23)),IF(AND(d_Irr!I23=".",d_Irr!AH23&lt;&gt;".",d_Irr!BG23="."),d_dir!J23/((1/1000)*(d_Irr!AH23)),IF(AND(d_Irr!I23&lt;&gt;".",d_Irr!AH23=".",d_Irr!BG23="."),d_dir!J23/((1/1000)*(d_Irr!I23)),IF(AND(d_Irr!I23=".",d_Irr!AH23=".",d_Irr!BG23="."),d_dir!J23*1000)))))))),".")</f>
        <v>11.456112600347</v>
      </c>
      <c r="K23" s="70">
        <f>IFERROR(IF(AND(d_Irr!J23&lt;&gt;".",d_Irr!AI23&lt;&gt;".",d_Irr!BH23&lt;&gt;"."),d_dir!K23/((1/1000)*(d_Irr!J23+d_Irr!AI23+d_Irr!BH23)),IF(AND(d_Irr!J23&lt;&gt;".",d_Irr!AI23&lt;&gt;".",d_Irr!BH23="."),d_dir!K23/((1/1000)*(d_Irr!J23+d_Irr!AI23)),IF(AND(d_Irr!J23&lt;&gt;".",d_Irr!AI23=".",d_Irr!BH23&lt;&gt;"."),d_dir!K23/((1/1000)*(d_Irr!J23+d_Irr!BH23)),IF(AND(d_Irr!J23=".",d_Irr!AI23&lt;&gt;".",d_Irr!BH23&lt;&gt;"."),d_dir!K23/((1/1000)*(d_Irr!AI23+d_Irr!BH23)),IF(AND(d_Irr!J23=".",d_Irr!AI23=".",d_Irr!BH23&lt;&gt;"."),d_dir!K23/((1/1000)*(d_Irr!BH23)),IF(AND(d_Irr!J23=".",d_Irr!AI23&lt;&gt;".",d_Irr!BH23="."),d_dir!K23/((1/1000)*(d_Irr!AI23)),IF(AND(d_Irr!J23&lt;&gt;".",d_Irr!AI23=".",d_Irr!BH23="."),d_dir!K23/((1/1000)*(d_Irr!J23)),IF(AND(d_Irr!J23=".",d_Irr!AI23=".",d_Irr!BH23="."),d_dir!K23*1000)))))))),".")</f>
        <v>1.5017540155748093</v>
      </c>
      <c r="L23" s="70">
        <f>IFERROR(IF(AND(d_Irr!K23&lt;&gt;".",d_Irr!AJ23&lt;&gt;".",d_Irr!BI23&lt;&gt;"."),d_dir!L23/((1/1000)*(d_Irr!K23+d_Irr!AJ23+d_Irr!BI23)),IF(AND(d_Irr!K23&lt;&gt;".",d_Irr!AJ23&lt;&gt;".",d_Irr!BI23="."),d_dir!L23/((1/1000)*(d_Irr!K23+d_Irr!AJ23)),IF(AND(d_Irr!K23&lt;&gt;".",d_Irr!AJ23=".",d_Irr!BI23&lt;&gt;"."),d_dir!L23/((1/1000)*(d_Irr!K23+d_Irr!BI23)),IF(AND(d_Irr!K23=".",d_Irr!AJ23&lt;&gt;".",d_Irr!BI23&lt;&gt;"."),d_dir!L23/((1/1000)*(d_Irr!AJ23+d_Irr!BI23)),IF(AND(d_Irr!K23=".",d_Irr!AJ23=".",d_Irr!BI23&lt;&gt;"."),d_dir!L23/((1/1000)*(d_Irr!BI23)),IF(AND(d_Irr!K23=".",d_Irr!AJ23&lt;&gt;".",d_Irr!BI23="."),d_dir!L23/((1/1000)*(d_Irr!AJ23)),IF(AND(d_Irr!K23&lt;&gt;".",d_Irr!AJ23=".",d_Irr!BI23="."),d_dir!L23/((1/1000)*(d_Irr!K23)),IF(AND(d_Irr!K23=".",d_Irr!AJ23=".",d_Irr!BI23="."),d_dir!L23*1000)))))))),".")</f>
        <v>8.8332711785083511</v>
      </c>
      <c r="M23" s="70">
        <f>IFERROR(IF(AND(d_Irr!L23&lt;&gt;".",d_Irr!AK23&lt;&gt;".",d_Irr!BJ23&lt;&gt;"."),d_dir!M23/((1/1000)*(d_Irr!L23+d_Irr!AK23+d_Irr!BJ23)),IF(AND(d_Irr!L23&lt;&gt;".",d_Irr!AK23&lt;&gt;".",d_Irr!BJ23="."),d_dir!M23/((1/1000)*(d_Irr!L23+d_Irr!AK23)),IF(AND(d_Irr!L23&lt;&gt;".",d_Irr!AK23=".",d_Irr!BJ23&lt;&gt;"."),d_dir!M23/((1/1000)*(d_Irr!L23+d_Irr!BJ23)),IF(AND(d_Irr!L23=".",d_Irr!AK23&lt;&gt;".",d_Irr!BJ23&lt;&gt;"."),d_dir!M23/((1/1000)*(d_Irr!AK23+d_Irr!BJ23)),IF(AND(d_Irr!L23=".",d_Irr!AK23=".",d_Irr!BJ23&lt;&gt;"."),d_dir!M23/((1/1000)*(d_Irr!BJ23)),IF(AND(d_Irr!L23=".",d_Irr!AK23&lt;&gt;".",d_Irr!BJ23="."),d_dir!M23/((1/1000)*(d_Irr!AK23)),IF(AND(d_Irr!L23&lt;&gt;".",d_Irr!AK23=".",d_Irr!BJ23="."),d_dir!M23/((1/1000)*(d_Irr!L23)),IF(AND(d_Irr!L23=".",d_Irr!AK23=".",d_Irr!BJ23="."),d_dir!M23*1000)))))))),".")</f>
        <v>5.8103058258432849</v>
      </c>
      <c r="N23" s="70">
        <f>IFERROR(IF(AND(d_Irr!M23&lt;&gt;".",d_Irr!AL23&lt;&gt;".",d_Irr!BK23&lt;&gt;"."),d_dir!N23/((1/1000)*(d_Irr!M23+d_Irr!AL23+d_Irr!BK23)),IF(AND(d_Irr!M23&lt;&gt;".",d_Irr!AL23&lt;&gt;".",d_Irr!BK23="."),d_dir!N23/((1/1000)*(d_Irr!M23+d_Irr!AL23)),IF(AND(d_Irr!M23&lt;&gt;".",d_Irr!AL23=".",d_Irr!BK23&lt;&gt;"."),d_dir!N23/((1/1000)*(d_Irr!M23+d_Irr!BK23)),IF(AND(d_Irr!M23=".",d_Irr!AL23&lt;&gt;".",d_Irr!BK23&lt;&gt;"."),d_dir!N23/((1/1000)*(d_Irr!AL23+d_Irr!BK23)),IF(AND(d_Irr!M23=".",d_Irr!AL23=".",d_Irr!BK23&lt;&gt;"."),d_dir!N23/((1/1000)*(d_Irr!BK23)),IF(AND(d_Irr!M23=".",d_Irr!AL23&lt;&gt;".",d_Irr!BK23="."),d_dir!N23/((1/1000)*(d_Irr!AL23)),IF(AND(d_Irr!M23&lt;&gt;".",d_Irr!AL23=".",d_Irr!BK23="."),d_dir!N23/((1/1000)*(d_Irr!M23)),IF(AND(d_Irr!M23=".",d_Irr!AL23=".",d_Irr!BK23="."),d_dir!N23*1000)))))))),".")</f>
        <v>7.9558485382633668</v>
      </c>
      <c r="O23" s="70">
        <f>IFERROR(IF(AND(d_Irr!N23&lt;&gt;".",d_Irr!AM23&lt;&gt;".",d_Irr!BL23&lt;&gt;"."),d_dir!O23/((1/1000)*(d_Irr!N23+d_Irr!AM23+d_Irr!BL23)),IF(AND(d_Irr!N23&lt;&gt;".",d_Irr!AM23&lt;&gt;".",d_Irr!BL23="."),d_dir!O23/((1/1000)*(d_Irr!N23+d_Irr!AM23)),IF(AND(d_Irr!N23&lt;&gt;".",d_Irr!AM23=".",d_Irr!BL23&lt;&gt;"."),d_dir!O23/((1/1000)*(d_Irr!N23+d_Irr!BL23)),IF(AND(d_Irr!N23=".",d_Irr!AM23&lt;&gt;".",d_Irr!BL23&lt;&gt;"."),d_dir!O23/((1/1000)*(d_Irr!AM23+d_Irr!BL23)),IF(AND(d_Irr!N23=".",d_Irr!AM23=".",d_Irr!BL23&lt;&gt;"."),d_dir!O23/((1/1000)*(d_Irr!BL23)),IF(AND(d_Irr!N23=".",d_Irr!AM23&lt;&gt;".",d_Irr!BL23="."),d_dir!O23/((1/1000)*(d_Irr!AM23)),IF(AND(d_Irr!N23&lt;&gt;".",d_Irr!AM23=".",d_Irr!BL23="."),d_dir!O23/((1/1000)*(d_Irr!N23)),IF(AND(d_Irr!N23=".",d_Irr!AM23=".",d_Irr!BL23="."),d_dir!O23*1000)))))))),".")</f>
        <v>12.781194512800132</v>
      </c>
      <c r="P23" s="70">
        <f>IFERROR(IF(AND(d_Irr!O23&lt;&gt;".",d_Irr!AN23&lt;&gt;".",d_Irr!BM23&lt;&gt;"."),d_dir!P23/((1/1000)*(d_Irr!O23+d_Irr!AN23+d_Irr!BM23)),IF(AND(d_Irr!O23&lt;&gt;".",d_Irr!AN23&lt;&gt;".",d_Irr!BM23="."),d_dir!P23/((1/1000)*(d_Irr!O23+d_Irr!AN23)),IF(AND(d_Irr!O23&lt;&gt;".",d_Irr!AN23=".",d_Irr!BM23&lt;&gt;"."),d_dir!P23/((1/1000)*(d_Irr!O23+d_Irr!BM23)),IF(AND(d_Irr!O23=".",d_Irr!AN23&lt;&gt;".",d_Irr!BM23&lt;&gt;"."),d_dir!P23/((1/1000)*(d_Irr!AN23+d_Irr!BM23)),IF(AND(d_Irr!O23=".",d_Irr!AN23=".",d_Irr!BM23&lt;&gt;"."),d_dir!P23/((1/1000)*(d_Irr!BM23)),IF(AND(d_Irr!O23=".",d_Irr!AN23&lt;&gt;".",d_Irr!BM23="."),d_dir!P23/((1/1000)*(d_Irr!AN23)),IF(AND(d_Irr!O23&lt;&gt;".",d_Irr!AN23=".",d_Irr!BM23="."),d_dir!P23/((1/1000)*(d_Irr!O23)),IF(AND(d_Irr!O23=".",d_Irr!AN23=".",d_Irr!BM23="."),d_dir!P23*1000)))))))),".")</f>
        <v>15.675055338584675</v>
      </c>
      <c r="Q23" s="70">
        <f>IFERROR(IF(AND(d_Irr!P23&lt;&gt;".",d_Irr!AO23&lt;&gt;".",d_Irr!BN23&lt;&gt;"."),d_dir!Q23/((1/1000)*(d_Irr!P23+d_Irr!AO23+d_Irr!BN23)),IF(AND(d_Irr!P23&lt;&gt;".",d_Irr!AO23&lt;&gt;".",d_Irr!BN23="."),d_dir!Q23/((1/1000)*(d_Irr!P23+d_Irr!AO23)),IF(AND(d_Irr!P23&lt;&gt;".",d_Irr!AO23=".",d_Irr!BN23&lt;&gt;"."),d_dir!Q23/((1/1000)*(d_Irr!P23+d_Irr!BN23)),IF(AND(d_Irr!P23=".",d_Irr!AO23&lt;&gt;".",d_Irr!BN23&lt;&gt;"."),d_dir!Q23/((1/1000)*(d_Irr!AO23+d_Irr!BN23)),IF(AND(d_Irr!P23=".",d_Irr!AO23=".",d_Irr!BN23&lt;&gt;"."),d_dir!Q23/((1/1000)*(d_Irr!BN23)),IF(AND(d_Irr!P23=".",d_Irr!AO23&lt;&gt;".",d_Irr!BN23="."),d_dir!Q23/((1/1000)*(d_Irr!AO23)),IF(AND(d_Irr!P23&lt;&gt;".",d_Irr!AO23=".",d_Irr!BN23="."),d_dir!Q23/((1/1000)*(d_Irr!P23)),IF(AND(d_Irr!P23=".",d_Irr!AO23=".",d_Irr!BN23="."),d_dir!Q23*1000)))))))),".")</f>
        <v>15.479055222956573</v>
      </c>
      <c r="R23" s="70">
        <f>IFERROR(IF(AND(d_Irr!Q23&lt;&gt;".",d_Irr!AP23&lt;&gt;".",d_Irr!BO23&lt;&gt;"."),d_dir!R23/((1/1000)*(d_Irr!Q23+d_Irr!AP23+d_Irr!BO23)),IF(AND(d_Irr!Q23&lt;&gt;".",d_Irr!AP23&lt;&gt;".",d_Irr!BO23="."),d_dir!R23/((1/1000)*(d_Irr!Q23+d_Irr!AP23)),IF(AND(d_Irr!Q23&lt;&gt;".",d_Irr!AP23=".",d_Irr!BO23&lt;&gt;"."),d_dir!R23/((1/1000)*(d_Irr!Q23+d_Irr!BO23)),IF(AND(d_Irr!Q23=".",d_Irr!AP23&lt;&gt;".",d_Irr!BO23&lt;&gt;"."),d_dir!R23/((1/1000)*(d_Irr!AP23+d_Irr!BO23)),IF(AND(d_Irr!Q23=".",d_Irr!AP23=".",d_Irr!BO23&lt;&gt;"."),d_dir!R23/((1/1000)*(d_Irr!BO23)),IF(AND(d_Irr!Q23=".",d_Irr!AP23&lt;&gt;".",d_Irr!BO23="."),d_dir!R23/((1/1000)*(d_Irr!AP23)),IF(AND(d_Irr!Q23&lt;&gt;".",d_Irr!AP23=".",d_Irr!BO23="."),d_dir!R23/((1/1000)*(d_Irr!Q23)),IF(AND(d_Irr!Q23=".",d_Irr!AP23=".",d_Irr!BO23="."),d_dir!R23*1000)))))))),".")</f>
        <v>3.7191519130251227</v>
      </c>
      <c r="S23" s="70">
        <f>IFERROR(IF(AND(d_Irr!R23&lt;&gt;".",d_Irr!AQ23&lt;&gt;".",d_Irr!BP23&lt;&gt;"."),d_dir!S23/((1/1000)*(d_Irr!R23+d_Irr!AQ23+d_Irr!BP23)),IF(AND(d_Irr!R23&lt;&gt;".",d_Irr!AQ23&lt;&gt;".",d_Irr!BP23="."),d_dir!S23/((1/1000)*(d_Irr!R23+d_Irr!AQ23)),IF(AND(d_Irr!R23&lt;&gt;".",d_Irr!AQ23=".",d_Irr!BP23&lt;&gt;"."),d_dir!S23/((1/1000)*(d_Irr!R23+d_Irr!BP23)),IF(AND(d_Irr!R23=".",d_Irr!AQ23&lt;&gt;".",d_Irr!BP23&lt;&gt;"."),d_dir!S23/((1/1000)*(d_Irr!AQ23+d_Irr!BP23)),IF(AND(d_Irr!R23=".",d_Irr!AQ23=".",d_Irr!BP23&lt;&gt;"."),d_dir!S23/((1/1000)*(d_Irr!BP23)),IF(AND(d_Irr!R23=".",d_Irr!AQ23&lt;&gt;".",d_Irr!BP23="."),d_dir!S23/((1/1000)*(d_Irr!AQ23)),IF(AND(d_Irr!R23&lt;&gt;".",d_Irr!AQ23=".",d_Irr!BP23="."),d_dir!S23/((1/1000)*(d_Irr!R23)),IF(AND(d_Irr!R23=".",d_Irr!AQ23=".",d_Irr!BP23="."),d_dir!S23*1000)))))))),".")</f>
        <v>7.588636888913495</v>
      </c>
      <c r="T23" s="70">
        <f>IFERROR(IF(AND(d_Irr!S23&lt;&gt;".",d_Irr!AR23&lt;&gt;".",d_Irr!BQ23&lt;&gt;"."),d_dir!T23/((1/1000)*(d_Irr!S23+d_Irr!AR23+d_Irr!BQ23)),IF(AND(d_Irr!S23&lt;&gt;".",d_Irr!AR23&lt;&gt;".",d_Irr!BQ23="."),d_dir!T23/((1/1000)*(d_Irr!S23+d_Irr!AR23)),IF(AND(d_Irr!S23&lt;&gt;".",d_Irr!AR23=".",d_Irr!BQ23&lt;&gt;"."),d_dir!T23/((1/1000)*(d_Irr!S23+d_Irr!BQ23)),IF(AND(d_Irr!S23=".",d_Irr!AR23&lt;&gt;".",d_Irr!BQ23&lt;&gt;"."),d_dir!T23/((1/1000)*(d_Irr!AR23+d_Irr!BQ23)),IF(AND(d_Irr!S23=".",d_Irr!AR23=".",d_Irr!BQ23&lt;&gt;"."),d_dir!T23/((1/1000)*(d_Irr!BQ23)),IF(AND(d_Irr!S23=".",d_Irr!AR23&lt;&gt;".",d_Irr!BQ23="."),d_dir!T23/((1/1000)*(d_Irr!AR23)),IF(AND(d_Irr!S23&lt;&gt;".",d_Irr!AR23=".",d_Irr!BQ23="."),d_dir!T23/((1/1000)*(d_Irr!S23)),IF(AND(d_Irr!S23=".",d_Irr!AR23=".",d_Irr!BQ23="."),d_dir!T23*1000)))))))),".")</f>
        <v>12.779393813379286</v>
      </c>
      <c r="U23" s="70">
        <f>IFERROR(IF(AND(d_Irr!T23&lt;&gt;".",d_Irr!AS23&lt;&gt;".",d_Irr!BR23&lt;&gt;"."),d_dir!U23/((1/1000)*(d_Irr!T23+d_Irr!AS23+d_Irr!BR23)),IF(AND(d_Irr!T23&lt;&gt;".",d_Irr!AS23&lt;&gt;".",d_Irr!BR23="."),d_dir!U23/((1/1000)*(d_Irr!T23+d_Irr!AS23)),IF(AND(d_Irr!T23&lt;&gt;".",d_Irr!AS23=".",d_Irr!BR23&lt;&gt;"."),d_dir!U23/((1/1000)*(d_Irr!T23+d_Irr!BR23)),IF(AND(d_Irr!T23=".",d_Irr!AS23&lt;&gt;".",d_Irr!BR23&lt;&gt;"."),d_dir!U23/((1/1000)*(d_Irr!AS23+d_Irr!BR23)),IF(AND(d_Irr!T23=".",d_Irr!AS23=".",d_Irr!BR23&lt;&gt;"."),d_dir!U23/((1/1000)*(d_Irr!BR23)),IF(AND(d_Irr!T23=".",d_Irr!AS23&lt;&gt;".",d_Irr!BR23="."),d_dir!U23/((1/1000)*(d_Irr!AS23)),IF(AND(d_Irr!T23&lt;&gt;".",d_Irr!AS23=".",d_Irr!BR23="."),d_dir!U23/((1/1000)*(d_Irr!T23)),IF(AND(d_Irr!T23=".",d_Irr!AS23=".",d_Irr!BR23="."),d_dir!U23*1000)))))))),".")</f>
        <v>24.51003701054659</v>
      </c>
      <c r="V23" s="70">
        <f>IFERROR(IF(AND(d_Irr!U23&lt;&gt;".",d_Irr!AT23&lt;&gt;".",d_Irr!BS23&lt;&gt;"."),d_dir!V23/((1/1000)*(d_Irr!U23+d_Irr!AT23+d_Irr!BS23)),IF(AND(d_Irr!U23&lt;&gt;".",d_Irr!AT23&lt;&gt;".",d_Irr!BS23="."),d_dir!V23/((1/1000)*(d_Irr!U23+d_Irr!AT23)),IF(AND(d_Irr!U23&lt;&gt;".",d_Irr!AT23=".",d_Irr!BS23&lt;&gt;"."),d_dir!V23/((1/1000)*(d_Irr!U23+d_Irr!BS23)),IF(AND(d_Irr!U23=".",d_Irr!AT23&lt;&gt;".",d_Irr!BS23&lt;&gt;"."),d_dir!V23/((1/1000)*(d_Irr!AT23+d_Irr!BS23)),IF(AND(d_Irr!U23=".",d_Irr!AT23=".",d_Irr!BS23&lt;&gt;"."),d_dir!V23/((1/1000)*(d_Irr!BS23)),IF(AND(d_Irr!U23=".",d_Irr!AT23&lt;&gt;".",d_Irr!BS23="."),d_dir!V23/((1/1000)*(d_Irr!AT23)),IF(AND(d_Irr!U23&lt;&gt;".",d_Irr!AT23=".",d_Irr!BS23="."),d_dir!V23/((1/1000)*(d_Irr!U23)),IF(AND(d_Irr!U23=".",d_Irr!AT23=".",d_Irr!BS23="."),d_dir!V23*1000)))))))),".")</f>
        <v>3.857917645974215</v>
      </c>
      <c r="W23" s="70">
        <f>IFERROR(IF(AND(d_Irr!V23&lt;&gt;".",d_Irr!AU23&lt;&gt;".",d_Irr!BT23&lt;&gt;"."),d_dir!W23/((1/1000)*(d_Irr!V23+d_Irr!AU23+d_Irr!BT23)),IF(AND(d_Irr!V23&lt;&gt;".",d_Irr!AU23&lt;&gt;".",d_Irr!BT23="."),d_dir!W23/((1/1000)*(d_Irr!V23+d_Irr!AU23)),IF(AND(d_Irr!V23&lt;&gt;".",d_Irr!AU23=".",d_Irr!BT23&lt;&gt;"."),d_dir!W23/((1/1000)*(d_Irr!V23+d_Irr!BT23)),IF(AND(d_Irr!V23=".",d_Irr!AU23&lt;&gt;".",d_Irr!BT23&lt;&gt;"."),d_dir!W23/((1/1000)*(d_Irr!AU23+d_Irr!BT23)),IF(AND(d_Irr!V23=".",d_Irr!AU23=".",d_Irr!BT23&lt;&gt;"."),d_dir!W23/((1/1000)*(d_Irr!BT23)),IF(AND(d_Irr!V23=".",d_Irr!AU23&lt;&gt;".",d_Irr!BT23="."),d_dir!W23/((1/1000)*(d_Irr!AU23)),IF(AND(d_Irr!V23&lt;&gt;".",d_Irr!AU23=".",d_Irr!BT23="."),d_dir!W23/((1/1000)*(d_Irr!V23)),IF(AND(d_Irr!V23=".",d_Irr!AU23=".",d_Irr!BT23="."),d_dir!W23*1000)))))))),".")</f>
        <v>7.455418220504022</v>
      </c>
      <c r="X23" s="70">
        <f>IFERROR(IF(AND(d_Irr!W23&lt;&gt;".",d_Irr!AV23&lt;&gt;".",d_Irr!BU23&lt;&gt;"."),d_dir!X23/((1/1000)*(d_Irr!W23+d_Irr!AV23+d_Irr!BU23)),IF(AND(d_Irr!W23&lt;&gt;".",d_Irr!AV23&lt;&gt;".",d_Irr!BU23="."),d_dir!X23/((1/1000)*(d_Irr!W23+d_Irr!AV23)),IF(AND(d_Irr!W23&lt;&gt;".",d_Irr!AV23=".",d_Irr!BU23&lt;&gt;"."),d_dir!X23/((1/1000)*(d_Irr!W23+d_Irr!BU23)),IF(AND(d_Irr!W23=".",d_Irr!AV23&lt;&gt;".",d_Irr!BU23&lt;&gt;"."),d_dir!X23/((1/1000)*(d_Irr!AV23+d_Irr!BU23)),IF(AND(d_Irr!W23=".",d_Irr!AV23=".",d_Irr!BU23&lt;&gt;"."),d_dir!X23/((1/1000)*(d_Irr!BU23)),IF(AND(d_Irr!W23=".",d_Irr!AV23&lt;&gt;".",d_Irr!BU23="."),d_dir!X23/((1/1000)*(d_Irr!AV23)),IF(AND(d_Irr!W23&lt;&gt;".",d_Irr!AV23=".",d_Irr!BU23="."),d_dir!X23/((1/1000)*(d_Irr!W23)),IF(AND(d_Irr!W23=".",d_Irr!AV23=".",d_Irr!BU23="."),d_dir!X23*1000)))))))),".")</f>
        <v>8.2287623036450714</v>
      </c>
      <c r="Y23" s="70">
        <f>IFERROR(IF(AND(d_Irr!X23&lt;&gt;".",d_Irr!AW23&lt;&gt;".",d_Irr!BV23&lt;&gt;"."),d_dir!Y23/((1/1000)*(d_Irr!X23+d_Irr!AW23+d_Irr!BV23)),IF(AND(d_Irr!X23&lt;&gt;".",d_Irr!AW23&lt;&gt;".",d_Irr!BV23="."),d_dir!Y23/((1/1000)*(d_Irr!X23+d_Irr!AW23)),IF(AND(d_Irr!X23&lt;&gt;".",d_Irr!AW23=".",d_Irr!BV23&lt;&gt;"."),d_dir!Y23/((1/1000)*(d_Irr!X23+d_Irr!BV23)),IF(AND(d_Irr!X23=".",d_Irr!AW23&lt;&gt;".",d_Irr!BV23&lt;&gt;"."),d_dir!Y23/((1/1000)*(d_Irr!AW23+d_Irr!BV23)),IF(AND(d_Irr!X23=".",d_Irr!AW23=".",d_Irr!BV23&lt;&gt;"."),d_dir!Y23/((1/1000)*(d_Irr!BV23)),IF(AND(d_Irr!X23=".",d_Irr!AW23&lt;&gt;".",d_Irr!BV23="."),d_dir!Y23/((1/1000)*(d_Irr!AW23)),IF(AND(d_Irr!X23&lt;&gt;".",d_Irr!AW23=".",d_Irr!BV23="."),d_dir!Y23/((1/1000)*(d_Irr!X23)),IF(AND(d_Irr!X23=".",d_Irr!AW23=".",d_Irr!BV23="."),d_dir!Y23*1000)))))))),".")</f>
        <v>11.330172842431113</v>
      </c>
      <c r="Z23" s="70">
        <f>IFERROR(IF(AND(d_Irr!Y23&lt;&gt;".",d_Irr!AX23&lt;&gt;".",d_Irr!BW23&lt;&gt;"."),d_dir!Z23/((1/1000)*(d_Irr!Y23+d_Irr!AX23+d_Irr!BW23)),IF(AND(d_Irr!Y23&lt;&gt;".",d_Irr!AX23&lt;&gt;".",d_Irr!BW23="."),d_dir!Z23/((1/1000)*(d_Irr!Y23+d_Irr!AX23)),IF(AND(d_Irr!Y23&lt;&gt;".",d_Irr!AX23=".",d_Irr!BW23&lt;&gt;"."),d_dir!Z23/((1/1000)*(d_Irr!Y23+d_Irr!BW23)),IF(AND(d_Irr!Y23=".",d_Irr!AX23&lt;&gt;".",d_Irr!BW23&lt;&gt;"."),d_dir!Z23/((1/1000)*(d_Irr!AX23+d_Irr!BW23)),IF(AND(d_Irr!Y23=".",d_Irr!AX23=".",d_Irr!BW23&lt;&gt;"."),d_dir!Z23/((1/1000)*(d_Irr!BW23)),IF(AND(d_Irr!Y23=".",d_Irr!AX23&lt;&gt;".",d_Irr!BW23="."),d_dir!Z23/((1/1000)*(d_Irr!AX23)),IF(AND(d_Irr!Y23&lt;&gt;".",d_Irr!AX23=".",d_Irr!BW23="."),d_dir!Z23/((1/1000)*(d_Irr!Y23)),IF(AND(d_Irr!Y23=".",d_Irr!AX23=".",d_Irr!BW23="."),d_dir!Z23*1000)))))))),".")</f>
        <v>5.6491497423717902</v>
      </c>
      <c r="AA23" s="70">
        <f>IFERROR(IF(AND(d_Irr!Z23&lt;&gt;".",d_Irr!AY23&lt;&gt;".",d_Irr!BX23&lt;&gt;"."),d_dir!AA23/((1/1000)*(d_Irr!Z23+d_Irr!AY23+d_Irr!BX23)),IF(AND(d_Irr!Z23&lt;&gt;".",d_Irr!AY23&lt;&gt;".",d_Irr!BX23="."),d_dir!AA23/((1/1000)*(d_Irr!Z23+d_Irr!AY23)),IF(AND(d_Irr!Z23&lt;&gt;".",d_Irr!AY23=".",d_Irr!BX23&lt;&gt;"."),d_dir!AA23/((1/1000)*(d_Irr!Z23+d_Irr!BX23)),IF(AND(d_Irr!Z23=".",d_Irr!AY23&lt;&gt;".",d_Irr!BX23&lt;&gt;"."),d_dir!AA23/((1/1000)*(d_Irr!AY23+d_Irr!BX23)),IF(AND(d_Irr!Z23=".",d_Irr!AY23=".",d_Irr!BX23&lt;&gt;"."),d_dir!AA23/((1/1000)*(d_Irr!BX23)),IF(AND(d_Irr!Z23=".",d_Irr!AY23&lt;&gt;".",d_Irr!BX23="."),d_dir!AA23/((1/1000)*(d_Irr!AY23)),IF(AND(d_Irr!Z23&lt;&gt;".",d_Irr!AY23=".",d_Irr!BX23="."),d_dir!AA23/((1/1000)*(d_Irr!Z23)),IF(AND(d_Irr!Z23=".",d_Irr!AY23=".",d_Irr!BX23="."),d_dir!AA23*1000)))))))),".")</f>
        <v>1.864732994293933</v>
      </c>
      <c r="AB23" s="70">
        <f>IFERROR(IF(AND(d_Irr!AA23&lt;&gt;".",d_Irr!AZ23&lt;&gt;".",d_Irr!BY23&lt;&gt;"."),d_dir!AB23/((1/1000)*(d_Irr!AA23+d_Irr!AZ23+d_Irr!BY23)),IF(AND(d_Irr!AA23&lt;&gt;".",d_Irr!AZ23&lt;&gt;".",d_Irr!BY23="."),d_dir!AB23/((1/1000)*(d_Irr!AA23+d_Irr!AZ23)),IF(AND(d_Irr!AA23&lt;&gt;".",d_Irr!AZ23=".",d_Irr!BY23&lt;&gt;"."),d_dir!AB23/((1/1000)*(d_Irr!AA23+d_Irr!BY23)),IF(AND(d_Irr!AA23=".",d_Irr!AZ23&lt;&gt;".",d_Irr!BY23&lt;&gt;"."),d_dir!AB23/((1/1000)*(d_Irr!AZ23+d_Irr!BY23)),IF(AND(d_Irr!AA23=".",d_Irr!AZ23=".",d_Irr!BY23&lt;&gt;"."),d_dir!AB23/((1/1000)*(d_Irr!BY23)),IF(AND(d_Irr!AA23=".",d_Irr!AZ23&lt;&gt;".",d_Irr!BY23="."),d_dir!AB23/((1/1000)*(d_Irr!AZ23)),IF(AND(d_Irr!AA23&lt;&gt;".",d_Irr!AZ23=".",d_Irr!BY23="."),d_dir!AB23/((1/1000)*(d_Irr!AA23)),IF(AND(d_Irr!AA23=".",d_Irr!AZ23=".",d_Irr!BY23="."),d_dir!AB23*1000)))))))),".")</f>
        <v>2.0451419626088971</v>
      </c>
      <c r="AC23" s="70">
        <f t="shared" si="0"/>
        <v>0.26914400887533224</v>
      </c>
      <c r="AD23" s="70">
        <f>IFERROR(IF(AND(d_Irr!C23&lt;&gt;".",d_Irr!AB23&lt;&gt;".",d_Irr!BA23&lt;&gt;"."),d_dir!AD23/((1/1000)*(d_Irr!C23+d_Irr!AB23+d_Irr!BA23)),IF(AND(d_Irr!C23&lt;&gt;".",d_Irr!AB23&lt;&gt;".",d_Irr!BA23="."),d_dir!AD23/((1/1000)*(d_Irr!C23+d_Irr!AB23)),IF(AND(d_Irr!C23&lt;&gt;".",d_Irr!AB23=".",d_Irr!BA23&lt;&gt;"."),d_dir!AD23/((1/1000)*(d_Irr!C23+d_Irr!BA23)),IF(AND(d_Irr!C23=".",d_Irr!AB23&lt;&gt;".",d_Irr!BA23&lt;&gt;"."),d_dir!AD23/((1/1000)*(d_Irr!AB23+d_Irr!BA23)),IF(AND(d_Irr!C23=".",d_Irr!AB23=".",d_Irr!BA23&lt;&gt;"."),d_dir!AD23/((1/1000)*(d_Irr!BA23)),IF(AND(d_Irr!C23=".",d_Irr!AB23&lt;&gt;".",d_Irr!BA23="."),d_dir!AD23/((1/1000)*(d_Irr!AB23)),IF(AND(d_Irr!C23&lt;&gt;".",d_Irr!AB23=".",d_Irr!BA23="."),d_dir!AD23/((1/1000)*(d_Irr!C23)),IF(AND(d_Irr!C23=".",d_Irr!AB23=".",d_Irr!BA23="."),d_dir!AD23*1000)))))))),".")</f>
        <v>5.0371446776750881</v>
      </c>
      <c r="AE23" s="70">
        <f>IFERROR(IF(AND(d_Irr!D23&lt;&gt;".",d_Irr!AC23&lt;&gt;".",d_Irr!BB23&lt;&gt;"."),d_dir!AE23/((1/1000)*(d_Irr!D23+d_Irr!AC23+d_Irr!BB23)),IF(AND(d_Irr!D23&lt;&gt;".",d_Irr!AC23&lt;&gt;".",d_Irr!BB23="."),d_dir!AE23/((1/1000)*(d_Irr!D23+d_Irr!AC23)),IF(AND(d_Irr!D23&lt;&gt;".",d_Irr!AC23=".",d_Irr!BB23&lt;&gt;"."),d_dir!AE23/((1/1000)*(d_Irr!D23+d_Irr!BB23)),IF(AND(d_Irr!D23=".",d_Irr!AC23&lt;&gt;".",d_Irr!BB23&lt;&gt;"."),d_dir!AE23/((1/1000)*(d_Irr!AC23+d_Irr!BB23)),IF(AND(d_Irr!D23=".",d_Irr!AC23=".",d_Irr!BB23&lt;&gt;"."),d_dir!AE23/((1/1000)*(d_Irr!BB23)),IF(AND(d_Irr!D23=".",d_Irr!AC23&lt;&gt;".",d_Irr!BB23="."),d_dir!AE23/((1/1000)*(d_Irr!AC23)),IF(AND(d_Irr!D23&lt;&gt;".",d_Irr!AC23=".",d_Irr!BB23="."),d_dir!AE23/((1/1000)*(d_Irr!D23)),IF(AND(d_Irr!D23=".",d_Irr!AC23=".",d_Irr!BB23="."),d_dir!AE23*1000)))))))),".")</f>
        <v>6.8891700806460401</v>
      </c>
      <c r="AF23" s="70">
        <f>IFERROR(IF(AND(d_Irr!E23&lt;&gt;".",d_Irr!AD23&lt;&gt;".",d_Irr!BC23&lt;&gt;"."),d_dir!AF23/((1/1000)*(d_Irr!E23+d_Irr!AD23+d_Irr!BC23)),IF(AND(d_Irr!E23&lt;&gt;".",d_Irr!AD23&lt;&gt;".",d_Irr!BC23="."),d_dir!AF23/((1/1000)*(d_Irr!E23+d_Irr!AD23)),IF(AND(d_Irr!E23&lt;&gt;".",d_Irr!AD23=".",d_Irr!BC23&lt;&gt;"."),d_dir!AF23/((1/1000)*(d_Irr!E23+d_Irr!BC23)),IF(AND(d_Irr!E23=".",d_Irr!AD23&lt;&gt;".",d_Irr!BC23&lt;&gt;"."),d_dir!AF23/((1/1000)*(d_Irr!AD23+d_Irr!BC23)),IF(AND(d_Irr!E23=".",d_Irr!AD23=".",d_Irr!BC23&lt;&gt;"."),d_dir!AF23/((1/1000)*(d_Irr!BC23)),IF(AND(d_Irr!E23=".",d_Irr!AD23&lt;&gt;".",d_Irr!BC23="."),d_dir!AF23/((1/1000)*(d_Irr!AD23)),IF(AND(d_Irr!E23&lt;&gt;".",d_Irr!AD23=".",d_Irr!BC23="."),d_dir!AF23/((1/1000)*(d_Irr!E23)),IF(AND(d_Irr!E23=".",d_Irr!AD23=".",d_Irr!BC23="."),d_dir!AF23*1000)))))))),".")</f>
        <v>9.1969064038822985</v>
      </c>
      <c r="AG23" s="70">
        <f>IFERROR(IF(AND(d_Irr!F23&lt;&gt;".",d_Irr!AE23&lt;&gt;".",d_Irr!BD23&lt;&gt;"."),d_dir!AG23/((1/1000)*(d_Irr!F23+d_Irr!AE23+d_Irr!BD23)),IF(AND(d_Irr!F23&lt;&gt;".",d_Irr!AE23&lt;&gt;".",d_Irr!BD23="."),d_dir!AG23/((1/1000)*(d_Irr!F23+d_Irr!AE23)),IF(AND(d_Irr!F23&lt;&gt;".",d_Irr!AE23=".",d_Irr!BD23&lt;&gt;"."),d_dir!AG23/((1/1000)*(d_Irr!F23+d_Irr!BD23)),IF(AND(d_Irr!F23=".",d_Irr!AE23&lt;&gt;".",d_Irr!BD23&lt;&gt;"."),d_dir!AG23/((1/1000)*(d_Irr!AE23+d_Irr!BD23)),IF(AND(d_Irr!F23=".",d_Irr!AE23=".",d_Irr!BD23&lt;&gt;"."),d_dir!AG23/((1/1000)*(d_Irr!BD23)),IF(AND(d_Irr!F23=".",d_Irr!AE23&lt;&gt;".",d_Irr!BD23="."),d_dir!AG23/((1/1000)*(d_Irr!AE23)),IF(AND(d_Irr!F23&lt;&gt;".",d_Irr!AE23=".",d_Irr!BD23="."),d_dir!AG23/((1/1000)*(d_Irr!F23)),IF(AND(d_Irr!F23=".",d_Irr!AE23=".",d_Irr!BD23="."),d_dir!AG23*1000)))))))),".")</f>
        <v>12.683766995615681</v>
      </c>
      <c r="AH23" s="70">
        <f>IFERROR(IF(AND(d_Irr!G23&lt;&gt;".",d_Irr!AF23&lt;&gt;".",d_Irr!BE23&lt;&gt;"."),d_dir!AH23/((1/1000)*(d_Irr!G23+d_Irr!AF23+d_Irr!BE23)),IF(AND(d_Irr!G23&lt;&gt;".",d_Irr!AF23&lt;&gt;".",d_Irr!BE23="."),d_dir!AH23/((1/1000)*(d_Irr!G23+d_Irr!AF23)),IF(AND(d_Irr!G23&lt;&gt;".",d_Irr!AF23=".",d_Irr!BE23&lt;&gt;"."),d_dir!AH23/((1/1000)*(d_Irr!G23+d_Irr!BE23)),IF(AND(d_Irr!G23=".",d_Irr!AF23&lt;&gt;".",d_Irr!BE23&lt;&gt;"."),d_dir!AH23/((1/1000)*(d_Irr!AF23+d_Irr!BE23)),IF(AND(d_Irr!G23=".",d_Irr!AF23=".",d_Irr!BE23&lt;&gt;"."),d_dir!AH23/((1/1000)*(d_Irr!BE23)),IF(AND(d_Irr!G23=".",d_Irr!AF23&lt;&gt;".",d_Irr!BE23="."),d_dir!AH23/((1/1000)*(d_Irr!AF23)),IF(AND(d_Irr!G23&lt;&gt;".",d_Irr!AF23=".",d_Irr!BE23="."),d_dir!AH23/((1/1000)*(d_Irr!G23)),IF(AND(d_Irr!G23=".",d_Irr!AF23=".",d_Irr!BE23="."),d_dir!AH23*1000)))))))),".")</f>
        <v>12.744830836423001</v>
      </c>
      <c r="AI23" s="70">
        <f>IFERROR(IF(AND(d_Irr!H23&lt;&gt;".",d_Irr!AG23&lt;&gt;".",d_Irr!BF23&lt;&gt;"."),d_dir!AI23/((1/1000)*(d_Irr!H23+d_Irr!AG23+d_Irr!BF23)),IF(AND(d_Irr!H23&lt;&gt;".",d_Irr!AG23&lt;&gt;".",d_Irr!BF23="."),d_dir!AI23/((1/1000)*(d_Irr!H23+d_Irr!AG23)),IF(AND(d_Irr!H23&lt;&gt;".",d_Irr!AG23=".",d_Irr!BF23&lt;&gt;"."),d_dir!AI23/((1/1000)*(d_Irr!H23+d_Irr!BF23)),IF(AND(d_Irr!H23=".",d_Irr!AG23&lt;&gt;".",d_Irr!BF23&lt;&gt;"."),d_dir!AI23/((1/1000)*(d_Irr!AG23+d_Irr!BF23)),IF(AND(d_Irr!H23=".",d_Irr!AG23=".",d_Irr!BF23&lt;&gt;"."),d_dir!AI23/((1/1000)*(d_Irr!BF23)),IF(AND(d_Irr!H23=".",d_Irr!AG23&lt;&gt;".",d_Irr!BF23="."),d_dir!AI23/((1/1000)*(d_Irr!AG23)),IF(AND(d_Irr!H23&lt;&gt;".",d_Irr!AG23=".",d_Irr!BF23="."),d_dir!AI23/((1/1000)*(d_Irr!H23)),IF(AND(d_Irr!H23=".",d_Irr!AG23=".",d_Irr!BF23="."),d_dir!AI23*1000)))))))),".")</f>
        <v>3.5692486954768134</v>
      </c>
      <c r="AJ23" s="70">
        <f>IFERROR(IF(AND(d_Irr!I23&lt;&gt;".",d_Irr!AH23&lt;&gt;".",d_Irr!BG23&lt;&gt;"."),d_dir!AJ23/((1/1000)*(d_Irr!I23+d_Irr!AH23+d_Irr!BG23)),IF(AND(d_Irr!I23&lt;&gt;".",d_Irr!AH23&lt;&gt;".",d_Irr!BG23="."),d_dir!AJ23/((1/1000)*(d_Irr!I23+d_Irr!AH23)),IF(AND(d_Irr!I23&lt;&gt;".",d_Irr!AH23=".",d_Irr!BG23&lt;&gt;"."),d_dir!AJ23/((1/1000)*(d_Irr!I23+d_Irr!BG23)),IF(AND(d_Irr!I23=".",d_Irr!AH23&lt;&gt;".",d_Irr!BG23&lt;&gt;"."),d_dir!AJ23/((1/1000)*(d_Irr!AH23+d_Irr!BG23)),IF(AND(d_Irr!I23=".",d_Irr!AH23=".",d_Irr!BG23&lt;&gt;"."),d_dir!AJ23/((1/1000)*(d_Irr!BG23)),IF(AND(d_Irr!I23=".",d_Irr!AH23&lt;&gt;".",d_Irr!BG23="."),d_dir!AJ23/((1/1000)*(d_Irr!AH23)),IF(AND(d_Irr!I23&lt;&gt;".",d_Irr!AH23=".",d_Irr!BG23="."),d_dir!AJ23/((1/1000)*(d_Irr!I23)),IF(AND(d_Irr!I23=".",d_Irr!AH23=".",d_Irr!BG23="."),d_dir!AJ23*1000)))))))),".")</f>
        <v>12.211444049927247</v>
      </c>
      <c r="AK23" s="70">
        <f>IFERROR(IF(AND(d_Irr!J23&lt;&gt;".",d_Irr!AI23&lt;&gt;".",d_Irr!BH23&lt;&gt;"."),d_dir!AK23/((1/1000)*(d_Irr!J23+d_Irr!AI23+d_Irr!BH23)),IF(AND(d_Irr!J23&lt;&gt;".",d_Irr!AI23&lt;&gt;".",d_Irr!BH23="."),d_dir!AK23/((1/1000)*(d_Irr!J23+d_Irr!AI23)),IF(AND(d_Irr!J23&lt;&gt;".",d_Irr!AI23=".",d_Irr!BH23&lt;&gt;"."),d_dir!AK23/((1/1000)*(d_Irr!J23+d_Irr!BH23)),IF(AND(d_Irr!J23=".",d_Irr!AI23&lt;&gt;".",d_Irr!BH23&lt;&gt;"."),d_dir!AK23/((1/1000)*(d_Irr!AI23+d_Irr!BH23)),IF(AND(d_Irr!J23=".",d_Irr!AI23=".",d_Irr!BH23&lt;&gt;"."),d_dir!AK23/((1/1000)*(d_Irr!BH23)),IF(AND(d_Irr!J23=".",d_Irr!AI23&lt;&gt;".",d_Irr!BH23="."),d_dir!AK23/((1/1000)*(d_Irr!AI23)),IF(AND(d_Irr!J23&lt;&gt;".",d_Irr!AI23=".",d_Irr!BH23="."),d_dir!AK23/((1/1000)*(d_Irr!J23)),IF(AND(d_Irr!J23=".",d_Irr!AI23=".",d_Irr!BH23="."),d_dir!AK23*1000)))))))),".")</f>
        <v>1.4603227647033279</v>
      </c>
      <c r="AL23" s="70">
        <f>IFERROR(IF(AND(d_Irr!K23&lt;&gt;".",d_Irr!AJ23&lt;&gt;".",d_Irr!BI23&lt;&gt;"."),d_dir!AL23/((1/1000)*(d_Irr!K23+d_Irr!AJ23+d_Irr!BI23)),IF(AND(d_Irr!K23&lt;&gt;".",d_Irr!AJ23&lt;&gt;".",d_Irr!BI23="."),d_dir!AL23/((1/1000)*(d_Irr!K23+d_Irr!AJ23)),IF(AND(d_Irr!K23&lt;&gt;".",d_Irr!AJ23=".",d_Irr!BI23&lt;&gt;"."),d_dir!AL23/((1/1000)*(d_Irr!K23+d_Irr!BI23)),IF(AND(d_Irr!K23=".",d_Irr!AJ23&lt;&gt;".",d_Irr!BI23&lt;&gt;"."),d_dir!AL23/((1/1000)*(d_Irr!AJ23+d_Irr!BI23)),IF(AND(d_Irr!K23=".",d_Irr!AJ23=".",d_Irr!BI23&lt;&gt;"."),d_dir!AL23/((1/1000)*(d_Irr!BI23)),IF(AND(d_Irr!K23=".",d_Irr!AJ23&lt;&gt;".",d_Irr!BI23="."),d_dir!AL23/((1/1000)*(d_Irr!AJ23)),IF(AND(d_Irr!K23&lt;&gt;".",d_Irr!AJ23=".",d_Irr!BI23="."),d_dir!AL23/((1/1000)*(d_Irr!K23)),IF(AND(d_Irr!K23=".",d_Irr!AJ23=".",d_Irr!BI23="."),d_dir!AL23*1000)))))))),".")</f>
        <v>6.1266928844964337</v>
      </c>
      <c r="AM23" s="70">
        <f>IFERROR(IF(AND(d_Irr!L23&lt;&gt;".",d_Irr!AK23&lt;&gt;".",d_Irr!BJ23&lt;&gt;"."),d_dir!AM23/((1/1000)*(d_Irr!L23+d_Irr!AK23+d_Irr!BJ23)),IF(AND(d_Irr!L23&lt;&gt;".",d_Irr!AK23&lt;&gt;".",d_Irr!BJ23="."),d_dir!AM23/((1/1000)*(d_Irr!L23+d_Irr!AK23)),IF(AND(d_Irr!L23&lt;&gt;".",d_Irr!AK23=".",d_Irr!BJ23&lt;&gt;"."),d_dir!AM23/((1/1000)*(d_Irr!L23+d_Irr!BJ23)),IF(AND(d_Irr!L23=".",d_Irr!AK23&lt;&gt;".",d_Irr!BJ23&lt;&gt;"."),d_dir!AM23/((1/1000)*(d_Irr!AK23+d_Irr!BJ23)),IF(AND(d_Irr!L23=".",d_Irr!AK23=".",d_Irr!BJ23&lt;&gt;"."),d_dir!AM23/((1/1000)*(d_Irr!BJ23)),IF(AND(d_Irr!L23=".",d_Irr!AK23&lt;&gt;".",d_Irr!BJ23="."),d_dir!AM23/((1/1000)*(d_Irr!AK23)),IF(AND(d_Irr!L23&lt;&gt;".",d_Irr!AK23=".",d_Irr!BJ23="."),d_dir!AM23/((1/1000)*(d_Irr!L23)),IF(AND(d_Irr!L23=".",d_Irr!AK23=".",d_Irr!BJ23="."),d_dir!AM23*1000)))))))),".")</f>
        <v>8.1642427981702639</v>
      </c>
      <c r="AN23" s="70">
        <f>IFERROR(IF(AND(d_Irr!M23&lt;&gt;".",d_Irr!AL23&lt;&gt;".",d_Irr!BK23&lt;&gt;"."),d_dir!AN23/((1/1000)*(d_Irr!M23+d_Irr!AL23+d_Irr!BK23)),IF(AND(d_Irr!M23&lt;&gt;".",d_Irr!AL23&lt;&gt;".",d_Irr!BK23="."),d_dir!AN23/((1/1000)*(d_Irr!M23+d_Irr!AL23)),IF(AND(d_Irr!M23&lt;&gt;".",d_Irr!AL23=".",d_Irr!BK23&lt;&gt;"."),d_dir!AN23/((1/1000)*(d_Irr!M23+d_Irr!BK23)),IF(AND(d_Irr!M23=".",d_Irr!AL23&lt;&gt;".",d_Irr!BK23&lt;&gt;"."),d_dir!AN23/((1/1000)*(d_Irr!AL23+d_Irr!BK23)),IF(AND(d_Irr!M23=".",d_Irr!AL23=".",d_Irr!BK23&lt;&gt;"."),d_dir!AN23/((1/1000)*(d_Irr!BK23)),IF(AND(d_Irr!M23=".",d_Irr!AL23&lt;&gt;".",d_Irr!BK23="."),d_dir!AN23/((1/1000)*(d_Irr!AL23)),IF(AND(d_Irr!M23&lt;&gt;".",d_Irr!AL23=".",d_Irr!BK23="."),d_dir!AN23/((1/1000)*(d_Irr!M23)),IF(AND(d_Irr!M23=".",d_Irr!AL23=".",d_Irr!BK23="."),d_dir!AN23*1000)))))))),".")</f>
        <v>7.2873615328719907</v>
      </c>
      <c r="AO23" s="70">
        <f>IFERROR(IF(AND(d_Irr!N23&lt;&gt;".",d_Irr!AM23&lt;&gt;".",d_Irr!BL23&lt;&gt;"."),d_dir!AO23/((1/1000)*(d_Irr!N23+d_Irr!AM23+d_Irr!BL23)),IF(AND(d_Irr!N23&lt;&gt;".",d_Irr!AM23&lt;&gt;".",d_Irr!BL23="."),d_dir!AO23/((1/1000)*(d_Irr!N23+d_Irr!AM23)),IF(AND(d_Irr!N23&lt;&gt;".",d_Irr!AM23=".",d_Irr!BL23&lt;&gt;"."),d_dir!AO23/((1/1000)*(d_Irr!N23+d_Irr!BL23)),IF(AND(d_Irr!N23=".",d_Irr!AM23&lt;&gt;".",d_Irr!BL23&lt;&gt;"."),d_dir!AO23/((1/1000)*(d_Irr!AM23+d_Irr!BL23)),IF(AND(d_Irr!N23=".",d_Irr!AM23=".",d_Irr!BL23&lt;&gt;"."),d_dir!AO23/((1/1000)*(d_Irr!BL23)),IF(AND(d_Irr!N23=".",d_Irr!AM23&lt;&gt;".",d_Irr!BL23="."),d_dir!AO23/((1/1000)*(d_Irr!AM23)),IF(AND(d_Irr!N23&lt;&gt;".",d_Irr!AM23=".",d_Irr!BL23="."),d_dir!AO23/((1/1000)*(d_Irr!N23)),IF(AND(d_Irr!N23=".",d_Irr!AM23=".",d_Irr!BL23="."),d_dir!AO23*1000)))))))),".")</f>
        <v>12.402315572236978</v>
      </c>
      <c r="AP23" s="70">
        <f>IFERROR(IF(AND(d_Irr!O23&lt;&gt;".",d_Irr!AN23&lt;&gt;".",d_Irr!BM23&lt;&gt;"."),d_dir!AP23/((1/1000)*(d_Irr!O23+d_Irr!AN23+d_Irr!BM23)),IF(AND(d_Irr!O23&lt;&gt;".",d_Irr!AN23&lt;&gt;".",d_Irr!BM23="."),d_dir!AP23/((1/1000)*(d_Irr!O23+d_Irr!AN23)),IF(AND(d_Irr!O23&lt;&gt;".",d_Irr!AN23=".",d_Irr!BM23&lt;&gt;"."),d_dir!AP23/((1/1000)*(d_Irr!O23+d_Irr!BM23)),IF(AND(d_Irr!O23=".",d_Irr!AN23&lt;&gt;".",d_Irr!BM23&lt;&gt;"."),d_dir!AP23/((1/1000)*(d_Irr!AN23+d_Irr!BM23)),IF(AND(d_Irr!O23=".",d_Irr!AN23=".",d_Irr!BM23&lt;&gt;"."),d_dir!AP23/((1/1000)*(d_Irr!BM23)),IF(AND(d_Irr!O23=".",d_Irr!AN23&lt;&gt;".",d_Irr!BM23="."),d_dir!AP23/((1/1000)*(d_Irr!AN23)),IF(AND(d_Irr!O23&lt;&gt;".",d_Irr!AN23=".",d_Irr!BM23="."),d_dir!AP23/((1/1000)*(d_Irr!O23)),IF(AND(d_Irr!O23=".",d_Irr!AN23=".",d_Irr!BM23="."),d_dir!AP23*1000)))))))),".")</f>
        <v>14.708666605783861</v>
      </c>
      <c r="AQ23" s="70">
        <f>IFERROR(IF(AND(d_Irr!P23&lt;&gt;".",d_Irr!AO23&lt;&gt;".",d_Irr!BN23&lt;&gt;"."),d_dir!AQ23/((1/1000)*(d_Irr!P23+d_Irr!AO23+d_Irr!BN23)),IF(AND(d_Irr!P23&lt;&gt;".",d_Irr!AO23&lt;&gt;".",d_Irr!BN23="."),d_dir!AQ23/((1/1000)*(d_Irr!P23+d_Irr!AO23)),IF(AND(d_Irr!P23&lt;&gt;".",d_Irr!AO23=".",d_Irr!BN23&lt;&gt;"."),d_dir!AQ23/((1/1000)*(d_Irr!P23+d_Irr!BN23)),IF(AND(d_Irr!P23=".",d_Irr!AO23&lt;&gt;".",d_Irr!BN23&lt;&gt;"."),d_dir!AQ23/((1/1000)*(d_Irr!AO23+d_Irr!BN23)),IF(AND(d_Irr!P23=".",d_Irr!AO23=".",d_Irr!BN23&lt;&gt;"."),d_dir!AQ23/((1/1000)*(d_Irr!BN23)),IF(AND(d_Irr!P23=".",d_Irr!AO23&lt;&gt;".",d_Irr!BN23="."),d_dir!AQ23/((1/1000)*(d_Irr!AO23)),IF(AND(d_Irr!P23&lt;&gt;".",d_Irr!AO23=".",d_Irr!BN23="."),d_dir!AQ23/((1/1000)*(d_Irr!P23)),IF(AND(d_Irr!P23=".",d_Irr!AO23=".",d_Irr!BN23="."),d_dir!AQ23*1000)))))))),".")</f>
        <v>11.395842053168849</v>
      </c>
      <c r="AR23" s="70">
        <f>IFERROR(IF(AND(d_Irr!Q23&lt;&gt;".",d_Irr!AP23&lt;&gt;".",d_Irr!BO23&lt;&gt;"."),d_dir!AR23/((1/1000)*(d_Irr!Q23+d_Irr!AP23+d_Irr!BO23)),IF(AND(d_Irr!Q23&lt;&gt;".",d_Irr!AP23&lt;&gt;".",d_Irr!BO23="."),d_dir!AR23/((1/1000)*(d_Irr!Q23+d_Irr!AP23)),IF(AND(d_Irr!Q23&lt;&gt;".",d_Irr!AP23=".",d_Irr!BO23&lt;&gt;"."),d_dir!AR23/((1/1000)*(d_Irr!Q23+d_Irr!BO23)),IF(AND(d_Irr!Q23=".",d_Irr!AP23&lt;&gt;".",d_Irr!BO23&lt;&gt;"."),d_dir!AR23/((1/1000)*(d_Irr!AP23+d_Irr!BO23)),IF(AND(d_Irr!Q23=".",d_Irr!AP23=".",d_Irr!BO23&lt;&gt;"."),d_dir!AR23/((1/1000)*(d_Irr!BO23)),IF(AND(d_Irr!Q23=".",d_Irr!AP23&lt;&gt;".",d_Irr!BO23="."),d_dir!AR23/((1/1000)*(d_Irr!AP23)),IF(AND(d_Irr!Q23&lt;&gt;".",d_Irr!AP23=".",d_Irr!BO23="."),d_dir!AR23/((1/1000)*(d_Irr!Q23)),IF(AND(d_Irr!Q23=".",d_Irr!AP23=".",d_Irr!BO23="."),d_dir!AR23*1000)))))))),".")</f>
        <v>4.1576823051534211</v>
      </c>
      <c r="AS23" s="70">
        <f>IFERROR(IF(AND(d_Irr!R23&lt;&gt;".",d_Irr!AQ23&lt;&gt;".",d_Irr!BP23&lt;&gt;"."),d_dir!AS23/((1/1000)*(d_Irr!R23+d_Irr!AQ23+d_Irr!BP23)),IF(AND(d_Irr!R23&lt;&gt;".",d_Irr!AQ23&lt;&gt;".",d_Irr!BP23="."),d_dir!AS23/((1/1000)*(d_Irr!R23+d_Irr!AQ23)),IF(AND(d_Irr!R23&lt;&gt;".",d_Irr!AQ23=".",d_Irr!BP23&lt;&gt;"."),d_dir!AS23/((1/1000)*(d_Irr!R23+d_Irr!BP23)),IF(AND(d_Irr!R23=".",d_Irr!AQ23&lt;&gt;".",d_Irr!BP23&lt;&gt;"."),d_dir!AS23/((1/1000)*(d_Irr!AQ23+d_Irr!BP23)),IF(AND(d_Irr!R23=".",d_Irr!AQ23=".",d_Irr!BP23&lt;&gt;"."),d_dir!AS23/((1/1000)*(d_Irr!BP23)),IF(AND(d_Irr!R23=".",d_Irr!AQ23&lt;&gt;".",d_Irr!BP23="."),d_dir!AS23/((1/1000)*(d_Irr!AQ23)),IF(AND(d_Irr!R23&lt;&gt;".",d_Irr!AQ23=".",d_Irr!BP23="."),d_dir!AS23/((1/1000)*(d_Irr!R23)),IF(AND(d_Irr!R23=".",d_Irr!AQ23=".",d_Irr!BP23="."),d_dir!AS23*1000)))))))),".")</f>
        <v>6.7797222892047131</v>
      </c>
      <c r="AT23" s="70">
        <f>IFERROR(IF(AND(d_Irr!S23&lt;&gt;".",d_Irr!AR23&lt;&gt;".",d_Irr!BQ23&lt;&gt;"."),d_dir!AT23/((1/1000)*(d_Irr!S23+d_Irr!AR23+d_Irr!BQ23)),IF(AND(d_Irr!S23&lt;&gt;".",d_Irr!AR23&lt;&gt;".",d_Irr!BQ23="."),d_dir!AT23/((1/1000)*(d_Irr!S23+d_Irr!AR23)),IF(AND(d_Irr!S23&lt;&gt;".",d_Irr!AR23=".",d_Irr!BQ23&lt;&gt;"."),d_dir!AT23/((1/1000)*(d_Irr!S23+d_Irr!BQ23)),IF(AND(d_Irr!S23=".",d_Irr!AR23&lt;&gt;".",d_Irr!BQ23&lt;&gt;"."),d_dir!AT23/((1/1000)*(d_Irr!AR23+d_Irr!BQ23)),IF(AND(d_Irr!S23=".",d_Irr!AR23=".",d_Irr!BQ23&lt;&gt;"."),d_dir!AT23/((1/1000)*(d_Irr!BQ23)),IF(AND(d_Irr!S23=".",d_Irr!AR23&lt;&gt;".",d_Irr!BQ23="."),d_dir!AT23/((1/1000)*(d_Irr!AR23)),IF(AND(d_Irr!S23&lt;&gt;".",d_Irr!AR23=".",d_Irr!BQ23="."),d_dir!AT23/((1/1000)*(d_Irr!S23)),IF(AND(d_Irr!S23=".",d_Irr!AR23=".",d_Irr!BQ23="."),d_dir!AT23*1000)))))))),".")</f>
        <v>13.731014448947771</v>
      </c>
      <c r="AU23" s="70">
        <f>IFERROR(IF(AND(d_Irr!T23&lt;&gt;".",d_Irr!AS23&lt;&gt;".",d_Irr!BR23&lt;&gt;"."),d_dir!AU23/((1/1000)*(d_Irr!T23+d_Irr!AS23+d_Irr!BR23)),IF(AND(d_Irr!T23&lt;&gt;".",d_Irr!AS23&lt;&gt;".",d_Irr!BR23="."),d_dir!AU23/((1/1000)*(d_Irr!T23+d_Irr!AS23)),IF(AND(d_Irr!T23&lt;&gt;".",d_Irr!AS23=".",d_Irr!BR23&lt;&gt;"."),d_dir!AU23/((1/1000)*(d_Irr!T23+d_Irr!BR23)),IF(AND(d_Irr!T23=".",d_Irr!AS23&lt;&gt;".",d_Irr!BR23&lt;&gt;"."),d_dir!AU23/((1/1000)*(d_Irr!AS23+d_Irr!BR23)),IF(AND(d_Irr!T23=".",d_Irr!AS23=".",d_Irr!BR23&lt;&gt;"."),d_dir!AU23/((1/1000)*(d_Irr!BR23)),IF(AND(d_Irr!T23=".",d_Irr!AS23&lt;&gt;".",d_Irr!BR23="."),d_dir!AU23/((1/1000)*(d_Irr!AS23)),IF(AND(d_Irr!T23&lt;&gt;".",d_Irr!AS23=".",d_Irr!BR23="."),d_dir!AU23/((1/1000)*(d_Irr!T23)),IF(AND(d_Irr!T23=".",d_Irr!AS23=".",d_Irr!BR23="."),d_dir!AU23*1000)))))))),".")</f>
        <v>18.377093794045294</v>
      </c>
      <c r="AV23" s="70">
        <f>IFERROR(IF(AND(d_Irr!U23&lt;&gt;".",d_Irr!AT23&lt;&gt;".",d_Irr!BS23&lt;&gt;"."),d_dir!AV23/((1/1000)*(d_Irr!U23+d_Irr!AT23+d_Irr!BS23)),IF(AND(d_Irr!U23&lt;&gt;".",d_Irr!AT23&lt;&gt;".",d_Irr!BS23="."),d_dir!AV23/((1/1000)*(d_Irr!U23+d_Irr!AT23)),IF(AND(d_Irr!U23&lt;&gt;".",d_Irr!AT23=".",d_Irr!BS23&lt;&gt;"."),d_dir!AV23/((1/1000)*(d_Irr!U23+d_Irr!BS23)),IF(AND(d_Irr!U23=".",d_Irr!AT23&lt;&gt;".",d_Irr!BS23&lt;&gt;"."),d_dir!AV23/((1/1000)*(d_Irr!AT23+d_Irr!BS23)),IF(AND(d_Irr!U23=".",d_Irr!AT23=".",d_Irr!BS23&lt;&gt;"."),d_dir!AV23/((1/1000)*(d_Irr!BS23)),IF(AND(d_Irr!U23=".",d_Irr!AT23&lt;&gt;".",d_Irr!BS23="."),d_dir!AV23/((1/1000)*(d_Irr!AT23)),IF(AND(d_Irr!U23&lt;&gt;".",d_Irr!AT23=".",d_Irr!BS23="."),d_dir!AV23/((1/1000)*(d_Irr!U23)),IF(AND(d_Irr!U23=".",d_Irr!AT23=".",d_Irr!BS23="."),d_dir!AV23*1000)))))))),".")</f>
        <v>3.2838424327462583</v>
      </c>
      <c r="AW23" s="70">
        <f>IFERROR(IF(AND(d_Irr!V23&lt;&gt;".",d_Irr!AU23&lt;&gt;".",d_Irr!BT23&lt;&gt;"."),d_dir!AW23/((1/1000)*(d_Irr!V23+d_Irr!AU23+d_Irr!BT23)),IF(AND(d_Irr!V23&lt;&gt;".",d_Irr!AU23&lt;&gt;".",d_Irr!BT23="."),d_dir!AW23/((1/1000)*(d_Irr!V23+d_Irr!AU23)),IF(AND(d_Irr!V23&lt;&gt;".",d_Irr!AU23=".",d_Irr!BT23&lt;&gt;"."),d_dir!AW23/((1/1000)*(d_Irr!V23+d_Irr!BT23)),IF(AND(d_Irr!V23=".",d_Irr!AU23&lt;&gt;".",d_Irr!BT23&lt;&gt;"."),d_dir!AW23/((1/1000)*(d_Irr!AU23+d_Irr!BT23)),IF(AND(d_Irr!V23=".",d_Irr!AU23=".",d_Irr!BT23&lt;&gt;"."),d_dir!AW23/((1/1000)*(d_Irr!BT23)),IF(AND(d_Irr!V23=".",d_Irr!AU23&lt;&gt;".",d_Irr!BT23="."),d_dir!AW23/((1/1000)*(d_Irr!AU23)),IF(AND(d_Irr!V23&lt;&gt;".",d_Irr!AU23=".",d_Irr!BT23="."),d_dir!AW23/((1/1000)*(d_Irr!V23)),IF(AND(d_Irr!V23=".",d_Irr!AU23=".",d_Irr!BT23="."),d_dir!AW23*1000)))))))),".")</f>
        <v>7.0140021543998206</v>
      </c>
      <c r="AX23" s="70">
        <f>IFERROR(IF(AND(d_Irr!W23&lt;&gt;".",d_Irr!AV23&lt;&gt;".",d_Irr!BU23&lt;&gt;"."),d_dir!AX23/((1/1000)*(d_Irr!W23+d_Irr!AV23+d_Irr!BU23)),IF(AND(d_Irr!W23&lt;&gt;".",d_Irr!AV23&lt;&gt;".",d_Irr!BU23="."),d_dir!AX23/((1/1000)*(d_Irr!W23+d_Irr!AV23)),IF(AND(d_Irr!W23&lt;&gt;".",d_Irr!AV23=".",d_Irr!BU23&lt;&gt;"."),d_dir!AX23/((1/1000)*(d_Irr!W23+d_Irr!BU23)),IF(AND(d_Irr!W23=".",d_Irr!AV23&lt;&gt;".",d_Irr!BU23&lt;&gt;"."),d_dir!AX23/((1/1000)*(d_Irr!AV23+d_Irr!BU23)),IF(AND(d_Irr!W23=".",d_Irr!AV23=".",d_Irr!BU23&lt;&gt;"."),d_dir!AX23/((1/1000)*(d_Irr!BU23)),IF(AND(d_Irr!W23=".",d_Irr!AV23&lt;&gt;".",d_Irr!BU23="."),d_dir!AX23/((1/1000)*(d_Irr!AV23)),IF(AND(d_Irr!W23&lt;&gt;".",d_Irr!AV23=".",d_Irr!BU23="."),d_dir!AX23/((1/1000)*(d_Irr!W23)),IF(AND(d_Irr!W23=".",d_Irr!AV23=".",d_Irr!BU23="."),d_dir!AX23*1000)))))))),".")</f>
        <v>7.7907509584283341</v>
      </c>
      <c r="AY23" s="70">
        <f>IFERROR(IF(AND(d_Irr!X23&lt;&gt;".",d_Irr!AW23&lt;&gt;".",d_Irr!BV23&lt;&gt;"."),d_dir!AY23/((1/1000)*(d_Irr!X23+d_Irr!AW23+d_Irr!BV23)),IF(AND(d_Irr!X23&lt;&gt;".",d_Irr!AW23&lt;&gt;".",d_Irr!BV23="."),d_dir!AY23/((1/1000)*(d_Irr!X23+d_Irr!AW23)),IF(AND(d_Irr!X23&lt;&gt;".",d_Irr!AW23=".",d_Irr!BV23&lt;&gt;"."),d_dir!AY23/((1/1000)*(d_Irr!X23+d_Irr!BV23)),IF(AND(d_Irr!X23=".",d_Irr!AW23&lt;&gt;".",d_Irr!BV23&lt;&gt;"."),d_dir!AY23/((1/1000)*(d_Irr!AW23+d_Irr!BV23)),IF(AND(d_Irr!X23=".",d_Irr!AW23=".",d_Irr!BV23&lt;&gt;"."),d_dir!AY23/((1/1000)*(d_Irr!BV23)),IF(AND(d_Irr!X23=".",d_Irr!AW23&lt;&gt;".",d_Irr!BV23="."),d_dir!AY23/((1/1000)*(d_Irr!AW23)),IF(AND(d_Irr!X23&lt;&gt;".",d_Irr!AW23=".",d_Irr!BV23="."),d_dir!AY23/((1/1000)*(d_Irr!X23)),IF(AND(d_Irr!X23=".",d_Irr!AW23=".",d_Irr!BV23="."),d_dir!AY23*1000)))))))),".")</f>
        <v>11.022834389244423</v>
      </c>
      <c r="AZ23" s="70">
        <f>IFERROR(IF(AND(d_Irr!Y23&lt;&gt;".",d_Irr!AX23&lt;&gt;".",d_Irr!BW23&lt;&gt;"."),d_dir!AZ23/((1/1000)*(d_Irr!Y23+d_Irr!AX23+d_Irr!BW23)),IF(AND(d_Irr!Y23&lt;&gt;".",d_Irr!AX23&lt;&gt;".",d_Irr!BW23="."),d_dir!AZ23/((1/1000)*(d_Irr!Y23+d_Irr!AX23)),IF(AND(d_Irr!Y23&lt;&gt;".",d_Irr!AX23=".",d_Irr!BW23&lt;&gt;"."),d_dir!AZ23/((1/1000)*(d_Irr!Y23+d_Irr!BW23)),IF(AND(d_Irr!Y23=".",d_Irr!AX23&lt;&gt;".",d_Irr!BW23&lt;&gt;"."),d_dir!AZ23/((1/1000)*(d_Irr!AX23+d_Irr!BW23)),IF(AND(d_Irr!Y23=".",d_Irr!AX23=".",d_Irr!BW23&lt;&gt;"."),d_dir!AZ23/((1/1000)*(d_Irr!BW23)),IF(AND(d_Irr!Y23=".",d_Irr!AX23&lt;&gt;".",d_Irr!BW23="."),d_dir!AZ23/((1/1000)*(d_Irr!AX23)),IF(AND(d_Irr!Y23&lt;&gt;".",d_Irr!AX23=".",d_Irr!BW23="."),d_dir!AZ23/((1/1000)*(d_Irr!Y23)),IF(AND(d_Irr!Y23=".",d_Irr!AX23=".",d_Irr!BW23="."),d_dir!AZ23*1000)))))))),".")</f>
        <v>4.5830635338873167</v>
      </c>
      <c r="BA23" s="70">
        <f>IFERROR(IF(AND(d_Irr!Z23&lt;&gt;".",d_Irr!AY23&lt;&gt;".",d_Irr!BX23&lt;&gt;"."),d_dir!BA23/((1/1000)*(d_Irr!Z23+d_Irr!AY23+d_Irr!BX23)),IF(AND(d_Irr!Z23&lt;&gt;".",d_Irr!AY23&lt;&gt;".",d_Irr!BX23="."),d_dir!BA23/((1/1000)*(d_Irr!Z23+d_Irr!AY23)),IF(AND(d_Irr!Z23&lt;&gt;".",d_Irr!AY23=".",d_Irr!BX23&lt;&gt;"."),d_dir!BA23/((1/1000)*(d_Irr!Z23+d_Irr!BX23)),IF(AND(d_Irr!Z23=".",d_Irr!AY23&lt;&gt;".",d_Irr!BX23&lt;&gt;"."),d_dir!BA23/((1/1000)*(d_Irr!AY23+d_Irr!BX23)),IF(AND(d_Irr!Z23=".",d_Irr!AY23=".",d_Irr!BX23&lt;&gt;"."),d_dir!BA23/((1/1000)*(d_Irr!BX23)),IF(AND(d_Irr!Z23=".",d_Irr!AY23&lt;&gt;".",d_Irr!BX23="."),d_dir!BA23/((1/1000)*(d_Irr!AY23)),IF(AND(d_Irr!Z23&lt;&gt;".",d_Irr!AY23=".",d_Irr!BX23="."),d_dir!BA23/((1/1000)*(d_Irr!Z23)),IF(AND(d_Irr!Z23=".",d_Irr!AY23=".",d_Irr!BX23="."),d_dir!BA23*1000)))))))),".")</f>
        <v>1.4772972947418184</v>
      </c>
      <c r="BB23" s="70">
        <f>IFERROR(IF(AND(d_Irr!AA23&lt;&gt;".",d_Irr!AZ23&lt;&gt;".",d_Irr!BY23&lt;&gt;"."),d_dir!BB23/((1/1000)*(d_Irr!AA23+d_Irr!AZ23+d_Irr!BY23)),IF(AND(d_Irr!AA23&lt;&gt;".",d_Irr!AZ23&lt;&gt;".",d_Irr!BY23="."),d_dir!BB23/((1/1000)*(d_Irr!AA23+d_Irr!AZ23)),IF(AND(d_Irr!AA23&lt;&gt;".",d_Irr!AZ23=".",d_Irr!BY23&lt;&gt;"."),d_dir!BB23/((1/1000)*(d_Irr!AA23+d_Irr!BY23)),IF(AND(d_Irr!AA23=".",d_Irr!AZ23&lt;&gt;".",d_Irr!BY23&lt;&gt;"."),d_dir!BB23/((1/1000)*(d_Irr!AZ23+d_Irr!BY23)),IF(AND(d_Irr!AA23=".",d_Irr!AZ23=".",d_Irr!BY23&lt;&gt;"."),d_dir!BB23/((1/1000)*(d_Irr!BY23)),IF(AND(d_Irr!AA23=".",d_Irr!AZ23&lt;&gt;".",d_Irr!BY23="."),d_dir!BB23/((1/1000)*(d_Irr!AZ23)),IF(AND(d_Irr!AA23&lt;&gt;".",d_Irr!AZ23=".",d_Irr!BY23="."),d_dir!BB23/((1/1000)*(d_Irr!AA23)),IF(AND(d_Irr!AA23=".",d_Irr!AZ23=".",d_Irr!BY23="."),d_dir!BB23*1000)))))))),".")</f>
        <v>1.6302330937963705</v>
      </c>
    </row>
    <row r="24" spans="1:54" ht="15" customHeight="1" x14ac:dyDescent="0.25">
      <c r="A24" s="86" t="s">
        <v>22</v>
      </c>
      <c r="B24" s="84" t="s">
        <v>1057</v>
      </c>
      <c r="C24" s="2" t="str">
        <f t="shared" si="1"/>
        <v>.</v>
      </c>
      <c r="D24" s="70" t="str">
        <f>IFERROR(IF(AND(d_Irr!C24&lt;&gt;".",d_Irr!AB24&lt;&gt;".",d_Irr!BA24&lt;&gt;"."),d_dir!D24/((1/1000)*(d_Irr!C24+d_Irr!AB24+d_Irr!BA24)),IF(AND(d_Irr!C24&lt;&gt;".",d_Irr!AB24&lt;&gt;".",d_Irr!BA24="."),d_dir!D24/((1/1000)*(d_Irr!C24+d_Irr!AB24)),IF(AND(d_Irr!C24&lt;&gt;".",d_Irr!AB24=".",d_Irr!BA24&lt;&gt;"."),d_dir!D24/((1/1000)*(d_Irr!C24+d_Irr!BA24)),IF(AND(d_Irr!C24=".",d_Irr!AB24&lt;&gt;".",d_Irr!BA24&lt;&gt;"."),d_dir!D24/((1/1000)*(d_Irr!AB24+d_Irr!BA24)),IF(AND(d_Irr!C24=".",d_Irr!AB24=".",d_Irr!BA24&lt;&gt;"."),d_dir!D24/((1/1000)*(d_Irr!BA24)),IF(AND(d_Irr!C24=".",d_Irr!AB24&lt;&gt;".",d_Irr!BA24="."),d_dir!D24/((1/1000)*(d_Irr!AB24)),IF(AND(d_Irr!C24&lt;&gt;".",d_Irr!AB24=".",d_Irr!BA24="."),d_dir!D24/((1/1000)*(d_Irr!C24)),IF(AND(d_Irr!C24=".",d_Irr!AB24=".",d_Irr!BA24="."),d_dir!D24*1000)))))))),".")</f>
        <v>.</v>
      </c>
      <c r="E24" s="70" t="str">
        <f>IFERROR(IF(AND(d_Irr!D24&lt;&gt;".",d_Irr!AC24&lt;&gt;".",d_Irr!BB24&lt;&gt;"."),d_dir!E24/((1/1000)*(d_Irr!D24+d_Irr!AC24+d_Irr!BB24)),IF(AND(d_Irr!D24&lt;&gt;".",d_Irr!AC24&lt;&gt;".",d_Irr!BB24="."),d_dir!E24/((1/1000)*(d_Irr!D24+d_Irr!AC24)),IF(AND(d_Irr!D24&lt;&gt;".",d_Irr!AC24=".",d_Irr!BB24&lt;&gt;"."),d_dir!E24/((1/1000)*(d_Irr!D24+d_Irr!BB24)),IF(AND(d_Irr!D24=".",d_Irr!AC24&lt;&gt;".",d_Irr!BB24&lt;&gt;"."),d_dir!E24/((1/1000)*(d_Irr!AC24+d_Irr!BB24)),IF(AND(d_Irr!D24=".",d_Irr!AC24=".",d_Irr!BB24&lt;&gt;"."),d_dir!E24/((1/1000)*(d_Irr!BB24)),IF(AND(d_Irr!D24=".",d_Irr!AC24&lt;&gt;".",d_Irr!BB24="."),d_dir!E24/((1/1000)*(d_Irr!AC24)),IF(AND(d_Irr!D24&lt;&gt;".",d_Irr!AC24=".",d_Irr!BB24="."),d_dir!E24/((1/1000)*(d_Irr!D24)),IF(AND(d_Irr!D24=".",d_Irr!AC24=".",d_Irr!BB24="."),d_dir!E24*1000)))))))),".")</f>
        <v>.</v>
      </c>
      <c r="F24" s="70" t="str">
        <f>IFERROR(IF(AND(d_Irr!E24&lt;&gt;".",d_Irr!AD24&lt;&gt;".",d_Irr!BC24&lt;&gt;"."),d_dir!F24/((1/1000)*(d_Irr!E24+d_Irr!AD24+d_Irr!BC24)),IF(AND(d_Irr!E24&lt;&gt;".",d_Irr!AD24&lt;&gt;".",d_Irr!BC24="."),d_dir!F24/((1/1000)*(d_Irr!E24+d_Irr!AD24)),IF(AND(d_Irr!E24&lt;&gt;".",d_Irr!AD24=".",d_Irr!BC24&lt;&gt;"."),d_dir!F24/((1/1000)*(d_Irr!E24+d_Irr!BC24)),IF(AND(d_Irr!E24=".",d_Irr!AD24&lt;&gt;".",d_Irr!BC24&lt;&gt;"."),d_dir!F24/((1/1000)*(d_Irr!AD24+d_Irr!BC24)),IF(AND(d_Irr!E24=".",d_Irr!AD24=".",d_Irr!BC24&lt;&gt;"."),d_dir!F24/((1/1000)*(d_Irr!BC24)),IF(AND(d_Irr!E24=".",d_Irr!AD24&lt;&gt;".",d_Irr!BC24="."),d_dir!F24/((1/1000)*(d_Irr!AD24)),IF(AND(d_Irr!E24&lt;&gt;".",d_Irr!AD24=".",d_Irr!BC24="."),d_dir!F24/((1/1000)*(d_Irr!E24)),IF(AND(d_Irr!E24=".",d_Irr!AD24=".",d_Irr!BC24="."),d_dir!F24*1000)))))))),".")</f>
        <v>.</v>
      </c>
      <c r="G24" s="70" t="str">
        <f>IFERROR(IF(AND(d_Irr!F24&lt;&gt;".",d_Irr!AE24&lt;&gt;".",d_Irr!BD24&lt;&gt;"."),d_dir!G24/((1/1000)*(d_Irr!F24+d_Irr!AE24+d_Irr!BD24)),IF(AND(d_Irr!F24&lt;&gt;".",d_Irr!AE24&lt;&gt;".",d_Irr!BD24="."),d_dir!G24/((1/1000)*(d_Irr!F24+d_Irr!AE24)),IF(AND(d_Irr!F24&lt;&gt;".",d_Irr!AE24=".",d_Irr!BD24&lt;&gt;"."),d_dir!G24/((1/1000)*(d_Irr!F24+d_Irr!BD24)),IF(AND(d_Irr!F24=".",d_Irr!AE24&lt;&gt;".",d_Irr!BD24&lt;&gt;"."),d_dir!G24/((1/1000)*(d_Irr!AE24+d_Irr!BD24)),IF(AND(d_Irr!F24=".",d_Irr!AE24=".",d_Irr!BD24&lt;&gt;"."),d_dir!G24/((1/1000)*(d_Irr!BD24)),IF(AND(d_Irr!F24=".",d_Irr!AE24&lt;&gt;".",d_Irr!BD24="."),d_dir!G24/((1/1000)*(d_Irr!AE24)),IF(AND(d_Irr!F24&lt;&gt;".",d_Irr!AE24=".",d_Irr!BD24="."),d_dir!G24/((1/1000)*(d_Irr!F24)),IF(AND(d_Irr!F24=".",d_Irr!AE24=".",d_Irr!BD24="."),d_dir!G24*1000)))))))),".")</f>
        <v>.</v>
      </c>
      <c r="H24" s="70" t="str">
        <f>IFERROR(IF(AND(d_Irr!G24&lt;&gt;".",d_Irr!AF24&lt;&gt;".",d_Irr!BE24&lt;&gt;"."),d_dir!H24/((1/1000)*(d_Irr!G24+d_Irr!AF24+d_Irr!BE24)),IF(AND(d_Irr!G24&lt;&gt;".",d_Irr!AF24&lt;&gt;".",d_Irr!BE24="."),d_dir!H24/((1/1000)*(d_Irr!G24+d_Irr!AF24)),IF(AND(d_Irr!G24&lt;&gt;".",d_Irr!AF24=".",d_Irr!BE24&lt;&gt;"."),d_dir!H24/((1/1000)*(d_Irr!G24+d_Irr!BE24)),IF(AND(d_Irr!G24=".",d_Irr!AF24&lt;&gt;".",d_Irr!BE24&lt;&gt;"."),d_dir!H24/((1/1000)*(d_Irr!AF24+d_Irr!BE24)),IF(AND(d_Irr!G24=".",d_Irr!AF24=".",d_Irr!BE24&lt;&gt;"."),d_dir!H24/((1/1000)*(d_Irr!BE24)),IF(AND(d_Irr!G24=".",d_Irr!AF24&lt;&gt;".",d_Irr!BE24="."),d_dir!H24/((1/1000)*(d_Irr!AF24)),IF(AND(d_Irr!G24&lt;&gt;".",d_Irr!AF24=".",d_Irr!BE24="."),d_dir!H24/((1/1000)*(d_Irr!G24)),IF(AND(d_Irr!G24=".",d_Irr!AF24=".",d_Irr!BE24="."),d_dir!H24*1000)))))))),".")</f>
        <v>.</v>
      </c>
      <c r="I24" s="70" t="str">
        <f>IFERROR(IF(AND(d_Irr!H24&lt;&gt;".",d_Irr!AG24&lt;&gt;".",d_Irr!BF24&lt;&gt;"."),d_dir!I24/((1/1000)*(d_Irr!H24+d_Irr!AG24+d_Irr!BF24)),IF(AND(d_Irr!H24&lt;&gt;".",d_Irr!AG24&lt;&gt;".",d_Irr!BF24="."),d_dir!I24/((1/1000)*(d_Irr!H24+d_Irr!AG24)),IF(AND(d_Irr!H24&lt;&gt;".",d_Irr!AG24=".",d_Irr!BF24&lt;&gt;"."),d_dir!I24/((1/1000)*(d_Irr!H24+d_Irr!BF24)),IF(AND(d_Irr!H24=".",d_Irr!AG24&lt;&gt;".",d_Irr!BF24&lt;&gt;"."),d_dir!I24/((1/1000)*(d_Irr!AG24+d_Irr!BF24)),IF(AND(d_Irr!H24=".",d_Irr!AG24=".",d_Irr!BF24&lt;&gt;"."),d_dir!I24/((1/1000)*(d_Irr!BF24)),IF(AND(d_Irr!H24=".",d_Irr!AG24&lt;&gt;".",d_Irr!BF24="."),d_dir!I24/((1/1000)*(d_Irr!AG24)),IF(AND(d_Irr!H24&lt;&gt;".",d_Irr!AG24=".",d_Irr!BF24="."),d_dir!I24/((1/1000)*(d_Irr!H24)),IF(AND(d_Irr!H24=".",d_Irr!AG24=".",d_Irr!BF24="."),d_dir!I24*1000)))))))),".")</f>
        <v>.</v>
      </c>
      <c r="J24" s="70" t="str">
        <f>IFERROR(IF(AND(d_Irr!I24&lt;&gt;".",d_Irr!AH24&lt;&gt;".",d_Irr!BG24&lt;&gt;"."),d_dir!J24/((1/1000)*(d_Irr!I24+d_Irr!AH24+d_Irr!BG24)),IF(AND(d_Irr!I24&lt;&gt;".",d_Irr!AH24&lt;&gt;".",d_Irr!BG24="."),d_dir!J24/((1/1000)*(d_Irr!I24+d_Irr!AH24)),IF(AND(d_Irr!I24&lt;&gt;".",d_Irr!AH24=".",d_Irr!BG24&lt;&gt;"."),d_dir!J24/((1/1000)*(d_Irr!I24+d_Irr!BG24)),IF(AND(d_Irr!I24=".",d_Irr!AH24&lt;&gt;".",d_Irr!BG24&lt;&gt;"."),d_dir!J24/((1/1000)*(d_Irr!AH24+d_Irr!BG24)),IF(AND(d_Irr!I24=".",d_Irr!AH24=".",d_Irr!BG24&lt;&gt;"."),d_dir!J24/((1/1000)*(d_Irr!BG24)),IF(AND(d_Irr!I24=".",d_Irr!AH24&lt;&gt;".",d_Irr!BG24="."),d_dir!J24/((1/1000)*(d_Irr!AH24)),IF(AND(d_Irr!I24&lt;&gt;".",d_Irr!AH24=".",d_Irr!BG24="."),d_dir!J24/((1/1000)*(d_Irr!I24)),IF(AND(d_Irr!I24=".",d_Irr!AH24=".",d_Irr!BG24="."),d_dir!J24*1000)))))))),".")</f>
        <v>.</v>
      </c>
      <c r="K24" s="70" t="str">
        <f>IFERROR(IF(AND(d_Irr!J24&lt;&gt;".",d_Irr!AI24&lt;&gt;".",d_Irr!BH24&lt;&gt;"."),d_dir!K24/((1/1000)*(d_Irr!J24+d_Irr!AI24+d_Irr!BH24)),IF(AND(d_Irr!J24&lt;&gt;".",d_Irr!AI24&lt;&gt;".",d_Irr!BH24="."),d_dir!K24/((1/1000)*(d_Irr!J24+d_Irr!AI24)),IF(AND(d_Irr!J24&lt;&gt;".",d_Irr!AI24=".",d_Irr!BH24&lt;&gt;"."),d_dir!K24/((1/1000)*(d_Irr!J24+d_Irr!BH24)),IF(AND(d_Irr!J24=".",d_Irr!AI24&lt;&gt;".",d_Irr!BH24&lt;&gt;"."),d_dir!K24/((1/1000)*(d_Irr!AI24+d_Irr!BH24)),IF(AND(d_Irr!J24=".",d_Irr!AI24=".",d_Irr!BH24&lt;&gt;"."),d_dir!K24/((1/1000)*(d_Irr!BH24)),IF(AND(d_Irr!J24=".",d_Irr!AI24&lt;&gt;".",d_Irr!BH24="."),d_dir!K24/((1/1000)*(d_Irr!AI24)),IF(AND(d_Irr!J24&lt;&gt;".",d_Irr!AI24=".",d_Irr!BH24="."),d_dir!K24/((1/1000)*(d_Irr!J24)),IF(AND(d_Irr!J24=".",d_Irr!AI24=".",d_Irr!BH24="."),d_dir!K24*1000)))))))),".")</f>
        <v>.</v>
      </c>
      <c r="L24" s="70" t="str">
        <f>IFERROR(IF(AND(d_Irr!K24&lt;&gt;".",d_Irr!AJ24&lt;&gt;".",d_Irr!BI24&lt;&gt;"."),d_dir!L24/((1/1000)*(d_Irr!K24+d_Irr!AJ24+d_Irr!BI24)),IF(AND(d_Irr!K24&lt;&gt;".",d_Irr!AJ24&lt;&gt;".",d_Irr!BI24="."),d_dir!L24/((1/1000)*(d_Irr!K24+d_Irr!AJ24)),IF(AND(d_Irr!K24&lt;&gt;".",d_Irr!AJ24=".",d_Irr!BI24&lt;&gt;"."),d_dir!L24/((1/1000)*(d_Irr!K24+d_Irr!BI24)),IF(AND(d_Irr!K24=".",d_Irr!AJ24&lt;&gt;".",d_Irr!BI24&lt;&gt;"."),d_dir!L24/((1/1000)*(d_Irr!AJ24+d_Irr!BI24)),IF(AND(d_Irr!K24=".",d_Irr!AJ24=".",d_Irr!BI24&lt;&gt;"."),d_dir!L24/((1/1000)*(d_Irr!BI24)),IF(AND(d_Irr!K24=".",d_Irr!AJ24&lt;&gt;".",d_Irr!BI24="."),d_dir!L24/((1/1000)*(d_Irr!AJ24)),IF(AND(d_Irr!K24&lt;&gt;".",d_Irr!AJ24=".",d_Irr!BI24="."),d_dir!L24/((1/1000)*(d_Irr!K24)),IF(AND(d_Irr!K24=".",d_Irr!AJ24=".",d_Irr!BI24="."),d_dir!L24*1000)))))))),".")</f>
        <v>.</v>
      </c>
      <c r="M24" s="70" t="str">
        <f>IFERROR(IF(AND(d_Irr!L24&lt;&gt;".",d_Irr!AK24&lt;&gt;".",d_Irr!BJ24&lt;&gt;"."),d_dir!M24/((1/1000)*(d_Irr!L24+d_Irr!AK24+d_Irr!BJ24)),IF(AND(d_Irr!L24&lt;&gt;".",d_Irr!AK24&lt;&gt;".",d_Irr!BJ24="."),d_dir!M24/((1/1000)*(d_Irr!L24+d_Irr!AK24)),IF(AND(d_Irr!L24&lt;&gt;".",d_Irr!AK24=".",d_Irr!BJ24&lt;&gt;"."),d_dir!M24/((1/1000)*(d_Irr!L24+d_Irr!BJ24)),IF(AND(d_Irr!L24=".",d_Irr!AK24&lt;&gt;".",d_Irr!BJ24&lt;&gt;"."),d_dir!M24/((1/1000)*(d_Irr!AK24+d_Irr!BJ24)),IF(AND(d_Irr!L24=".",d_Irr!AK24=".",d_Irr!BJ24&lt;&gt;"."),d_dir!M24/((1/1000)*(d_Irr!BJ24)),IF(AND(d_Irr!L24=".",d_Irr!AK24&lt;&gt;".",d_Irr!BJ24="."),d_dir!M24/((1/1000)*(d_Irr!AK24)),IF(AND(d_Irr!L24&lt;&gt;".",d_Irr!AK24=".",d_Irr!BJ24="."),d_dir!M24/((1/1000)*(d_Irr!L24)),IF(AND(d_Irr!L24=".",d_Irr!AK24=".",d_Irr!BJ24="."),d_dir!M24*1000)))))))),".")</f>
        <v>.</v>
      </c>
      <c r="N24" s="70" t="str">
        <f>IFERROR(IF(AND(d_Irr!M24&lt;&gt;".",d_Irr!AL24&lt;&gt;".",d_Irr!BK24&lt;&gt;"."),d_dir!N24/((1/1000)*(d_Irr!M24+d_Irr!AL24+d_Irr!BK24)),IF(AND(d_Irr!M24&lt;&gt;".",d_Irr!AL24&lt;&gt;".",d_Irr!BK24="."),d_dir!N24/((1/1000)*(d_Irr!M24+d_Irr!AL24)),IF(AND(d_Irr!M24&lt;&gt;".",d_Irr!AL24=".",d_Irr!BK24&lt;&gt;"."),d_dir!N24/((1/1000)*(d_Irr!M24+d_Irr!BK24)),IF(AND(d_Irr!M24=".",d_Irr!AL24&lt;&gt;".",d_Irr!BK24&lt;&gt;"."),d_dir!N24/((1/1000)*(d_Irr!AL24+d_Irr!BK24)),IF(AND(d_Irr!M24=".",d_Irr!AL24=".",d_Irr!BK24&lt;&gt;"."),d_dir!N24/((1/1000)*(d_Irr!BK24)),IF(AND(d_Irr!M24=".",d_Irr!AL24&lt;&gt;".",d_Irr!BK24="."),d_dir!N24/((1/1000)*(d_Irr!AL24)),IF(AND(d_Irr!M24&lt;&gt;".",d_Irr!AL24=".",d_Irr!BK24="."),d_dir!N24/((1/1000)*(d_Irr!M24)),IF(AND(d_Irr!M24=".",d_Irr!AL24=".",d_Irr!BK24="."),d_dir!N24*1000)))))))),".")</f>
        <v>.</v>
      </c>
      <c r="O24" s="70" t="str">
        <f>IFERROR(IF(AND(d_Irr!N24&lt;&gt;".",d_Irr!AM24&lt;&gt;".",d_Irr!BL24&lt;&gt;"."),d_dir!O24/((1/1000)*(d_Irr!N24+d_Irr!AM24+d_Irr!BL24)),IF(AND(d_Irr!N24&lt;&gt;".",d_Irr!AM24&lt;&gt;".",d_Irr!BL24="."),d_dir!O24/((1/1000)*(d_Irr!N24+d_Irr!AM24)),IF(AND(d_Irr!N24&lt;&gt;".",d_Irr!AM24=".",d_Irr!BL24&lt;&gt;"."),d_dir!O24/((1/1000)*(d_Irr!N24+d_Irr!BL24)),IF(AND(d_Irr!N24=".",d_Irr!AM24&lt;&gt;".",d_Irr!BL24&lt;&gt;"."),d_dir!O24/((1/1000)*(d_Irr!AM24+d_Irr!BL24)),IF(AND(d_Irr!N24=".",d_Irr!AM24=".",d_Irr!BL24&lt;&gt;"."),d_dir!O24/((1/1000)*(d_Irr!BL24)),IF(AND(d_Irr!N24=".",d_Irr!AM24&lt;&gt;".",d_Irr!BL24="."),d_dir!O24/((1/1000)*(d_Irr!AM24)),IF(AND(d_Irr!N24&lt;&gt;".",d_Irr!AM24=".",d_Irr!BL24="."),d_dir!O24/((1/1000)*(d_Irr!N24)),IF(AND(d_Irr!N24=".",d_Irr!AM24=".",d_Irr!BL24="."),d_dir!O24*1000)))))))),".")</f>
        <v>.</v>
      </c>
      <c r="P24" s="70" t="str">
        <f>IFERROR(IF(AND(d_Irr!O24&lt;&gt;".",d_Irr!AN24&lt;&gt;".",d_Irr!BM24&lt;&gt;"."),d_dir!P24/((1/1000)*(d_Irr!O24+d_Irr!AN24+d_Irr!BM24)),IF(AND(d_Irr!O24&lt;&gt;".",d_Irr!AN24&lt;&gt;".",d_Irr!BM24="."),d_dir!P24/((1/1000)*(d_Irr!O24+d_Irr!AN24)),IF(AND(d_Irr!O24&lt;&gt;".",d_Irr!AN24=".",d_Irr!BM24&lt;&gt;"."),d_dir!P24/((1/1000)*(d_Irr!O24+d_Irr!BM24)),IF(AND(d_Irr!O24=".",d_Irr!AN24&lt;&gt;".",d_Irr!BM24&lt;&gt;"."),d_dir!P24/((1/1000)*(d_Irr!AN24+d_Irr!BM24)),IF(AND(d_Irr!O24=".",d_Irr!AN24=".",d_Irr!BM24&lt;&gt;"."),d_dir!P24/((1/1000)*(d_Irr!BM24)),IF(AND(d_Irr!O24=".",d_Irr!AN24&lt;&gt;".",d_Irr!BM24="."),d_dir!P24/((1/1000)*(d_Irr!AN24)),IF(AND(d_Irr!O24&lt;&gt;".",d_Irr!AN24=".",d_Irr!BM24="."),d_dir!P24/((1/1000)*(d_Irr!O24)),IF(AND(d_Irr!O24=".",d_Irr!AN24=".",d_Irr!BM24="."),d_dir!P24*1000)))))))),".")</f>
        <v>.</v>
      </c>
      <c r="Q24" s="70" t="str">
        <f>IFERROR(IF(AND(d_Irr!P24&lt;&gt;".",d_Irr!AO24&lt;&gt;".",d_Irr!BN24&lt;&gt;"."),d_dir!Q24/((1/1000)*(d_Irr!P24+d_Irr!AO24+d_Irr!BN24)),IF(AND(d_Irr!P24&lt;&gt;".",d_Irr!AO24&lt;&gt;".",d_Irr!BN24="."),d_dir!Q24/((1/1000)*(d_Irr!P24+d_Irr!AO24)),IF(AND(d_Irr!P24&lt;&gt;".",d_Irr!AO24=".",d_Irr!BN24&lt;&gt;"."),d_dir!Q24/((1/1000)*(d_Irr!P24+d_Irr!BN24)),IF(AND(d_Irr!P24=".",d_Irr!AO24&lt;&gt;".",d_Irr!BN24&lt;&gt;"."),d_dir!Q24/((1/1000)*(d_Irr!AO24+d_Irr!BN24)),IF(AND(d_Irr!P24=".",d_Irr!AO24=".",d_Irr!BN24&lt;&gt;"."),d_dir!Q24/((1/1000)*(d_Irr!BN24)),IF(AND(d_Irr!P24=".",d_Irr!AO24&lt;&gt;".",d_Irr!BN24="."),d_dir!Q24/((1/1000)*(d_Irr!AO24)),IF(AND(d_Irr!P24&lt;&gt;".",d_Irr!AO24=".",d_Irr!BN24="."),d_dir!Q24/((1/1000)*(d_Irr!P24)),IF(AND(d_Irr!P24=".",d_Irr!AO24=".",d_Irr!BN24="."),d_dir!Q24*1000)))))))),".")</f>
        <v>.</v>
      </c>
      <c r="R24" s="70" t="str">
        <f>IFERROR(IF(AND(d_Irr!Q24&lt;&gt;".",d_Irr!AP24&lt;&gt;".",d_Irr!BO24&lt;&gt;"."),d_dir!R24/((1/1000)*(d_Irr!Q24+d_Irr!AP24+d_Irr!BO24)),IF(AND(d_Irr!Q24&lt;&gt;".",d_Irr!AP24&lt;&gt;".",d_Irr!BO24="."),d_dir!R24/((1/1000)*(d_Irr!Q24+d_Irr!AP24)),IF(AND(d_Irr!Q24&lt;&gt;".",d_Irr!AP24=".",d_Irr!BO24&lt;&gt;"."),d_dir!R24/((1/1000)*(d_Irr!Q24+d_Irr!BO24)),IF(AND(d_Irr!Q24=".",d_Irr!AP24&lt;&gt;".",d_Irr!BO24&lt;&gt;"."),d_dir!R24/((1/1000)*(d_Irr!AP24+d_Irr!BO24)),IF(AND(d_Irr!Q24=".",d_Irr!AP24=".",d_Irr!BO24&lt;&gt;"."),d_dir!R24/((1/1000)*(d_Irr!BO24)),IF(AND(d_Irr!Q24=".",d_Irr!AP24&lt;&gt;".",d_Irr!BO24="."),d_dir!R24/((1/1000)*(d_Irr!AP24)),IF(AND(d_Irr!Q24&lt;&gt;".",d_Irr!AP24=".",d_Irr!BO24="."),d_dir!R24/((1/1000)*(d_Irr!Q24)),IF(AND(d_Irr!Q24=".",d_Irr!AP24=".",d_Irr!BO24="."),d_dir!R24*1000)))))))),".")</f>
        <v>.</v>
      </c>
      <c r="S24" s="70" t="str">
        <f>IFERROR(IF(AND(d_Irr!R24&lt;&gt;".",d_Irr!AQ24&lt;&gt;".",d_Irr!BP24&lt;&gt;"."),d_dir!S24/((1/1000)*(d_Irr!R24+d_Irr!AQ24+d_Irr!BP24)),IF(AND(d_Irr!R24&lt;&gt;".",d_Irr!AQ24&lt;&gt;".",d_Irr!BP24="."),d_dir!S24/((1/1000)*(d_Irr!R24+d_Irr!AQ24)),IF(AND(d_Irr!R24&lt;&gt;".",d_Irr!AQ24=".",d_Irr!BP24&lt;&gt;"."),d_dir!S24/((1/1000)*(d_Irr!R24+d_Irr!BP24)),IF(AND(d_Irr!R24=".",d_Irr!AQ24&lt;&gt;".",d_Irr!BP24&lt;&gt;"."),d_dir!S24/((1/1000)*(d_Irr!AQ24+d_Irr!BP24)),IF(AND(d_Irr!R24=".",d_Irr!AQ24=".",d_Irr!BP24&lt;&gt;"."),d_dir!S24/((1/1000)*(d_Irr!BP24)),IF(AND(d_Irr!R24=".",d_Irr!AQ24&lt;&gt;".",d_Irr!BP24="."),d_dir!S24/((1/1000)*(d_Irr!AQ24)),IF(AND(d_Irr!R24&lt;&gt;".",d_Irr!AQ24=".",d_Irr!BP24="."),d_dir!S24/((1/1000)*(d_Irr!R24)),IF(AND(d_Irr!R24=".",d_Irr!AQ24=".",d_Irr!BP24="."),d_dir!S24*1000)))))))),".")</f>
        <v>.</v>
      </c>
      <c r="T24" s="70" t="str">
        <f>IFERROR(IF(AND(d_Irr!S24&lt;&gt;".",d_Irr!AR24&lt;&gt;".",d_Irr!BQ24&lt;&gt;"."),d_dir!T24/((1/1000)*(d_Irr!S24+d_Irr!AR24+d_Irr!BQ24)),IF(AND(d_Irr!S24&lt;&gt;".",d_Irr!AR24&lt;&gt;".",d_Irr!BQ24="."),d_dir!T24/((1/1000)*(d_Irr!S24+d_Irr!AR24)),IF(AND(d_Irr!S24&lt;&gt;".",d_Irr!AR24=".",d_Irr!BQ24&lt;&gt;"."),d_dir!T24/((1/1000)*(d_Irr!S24+d_Irr!BQ24)),IF(AND(d_Irr!S24=".",d_Irr!AR24&lt;&gt;".",d_Irr!BQ24&lt;&gt;"."),d_dir!T24/((1/1000)*(d_Irr!AR24+d_Irr!BQ24)),IF(AND(d_Irr!S24=".",d_Irr!AR24=".",d_Irr!BQ24&lt;&gt;"."),d_dir!T24/((1/1000)*(d_Irr!BQ24)),IF(AND(d_Irr!S24=".",d_Irr!AR24&lt;&gt;".",d_Irr!BQ24="."),d_dir!T24/((1/1000)*(d_Irr!AR24)),IF(AND(d_Irr!S24&lt;&gt;".",d_Irr!AR24=".",d_Irr!BQ24="."),d_dir!T24/((1/1000)*(d_Irr!S24)),IF(AND(d_Irr!S24=".",d_Irr!AR24=".",d_Irr!BQ24="."),d_dir!T24*1000)))))))),".")</f>
        <v>.</v>
      </c>
      <c r="U24" s="70" t="str">
        <f>IFERROR(IF(AND(d_Irr!T24&lt;&gt;".",d_Irr!AS24&lt;&gt;".",d_Irr!BR24&lt;&gt;"."),d_dir!U24/((1/1000)*(d_Irr!T24+d_Irr!AS24+d_Irr!BR24)),IF(AND(d_Irr!T24&lt;&gt;".",d_Irr!AS24&lt;&gt;".",d_Irr!BR24="."),d_dir!U24/((1/1000)*(d_Irr!T24+d_Irr!AS24)),IF(AND(d_Irr!T24&lt;&gt;".",d_Irr!AS24=".",d_Irr!BR24&lt;&gt;"."),d_dir!U24/((1/1000)*(d_Irr!T24+d_Irr!BR24)),IF(AND(d_Irr!T24=".",d_Irr!AS24&lt;&gt;".",d_Irr!BR24&lt;&gt;"."),d_dir!U24/((1/1000)*(d_Irr!AS24+d_Irr!BR24)),IF(AND(d_Irr!T24=".",d_Irr!AS24=".",d_Irr!BR24&lt;&gt;"."),d_dir!U24/((1/1000)*(d_Irr!BR24)),IF(AND(d_Irr!T24=".",d_Irr!AS24&lt;&gt;".",d_Irr!BR24="."),d_dir!U24/((1/1000)*(d_Irr!AS24)),IF(AND(d_Irr!T24&lt;&gt;".",d_Irr!AS24=".",d_Irr!BR24="."),d_dir!U24/((1/1000)*(d_Irr!T24)),IF(AND(d_Irr!T24=".",d_Irr!AS24=".",d_Irr!BR24="."),d_dir!U24*1000)))))))),".")</f>
        <v>.</v>
      </c>
      <c r="V24" s="70" t="str">
        <f>IFERROR(IF(AND(d_Irr!U24&lt;&gt;".",d_Irr!AT24&lt;&gt;".",d_Irr!BS24&lt;&gt;"."),d_dir!V24/((1/1000)*(d_Irr!U24+d_Irr!AT24+d_Irr!BS24)),IF(AND(d_Irr!U24&lt;&gt;".",d_Irr!AT24&lt;&gt;".",d_Irr!BS24="."),d_dir!V24/((1/1000)*(d_Irr!U24+d_Irr!AT24)),IF(AND(d_Irr!U24&lt;&gt;".",d_Irr!AT24=".",d_Irr!BS24&lt;&gt;"."),d_dir!V24/((1/1000)*(d_Irr!U24+d_Irr!BS24)),IF(AND(d_Irr!U24=".",d_Irr!AT24&lt;&gt;".",d_Irr!BS24&lt;&gt;"."),d_dir!V24/((1/1000)*(d_Irr!AT24+d_Irr!BS24)),IF(AND(d_Irr!U24=".",d_Irr!AT24=".",d_Irr!BS24&lt;&gt;"."),d_dir!V24/((1/1000)*(d_Irr!BS24)),IF(AND(d_Irr!U24=".",d_Irr!AT24&lt;&gt;".",d_Irr!BS24="."),d_dir!V24/((1/1000)*(d_Irr!AT24)),IF(AND(d_Irr!U24&lt;&gt;".",d_Irr!AT24=".",d_Irr!BS24="."),d_dir!V24/((1/1000)*(d_Irr!U24)),IF(AND(d_Irr!U24=".",d_Irr!AT24=".",d_Irr!BS24="."),d_dir!V24*1000)))))))),".")</f>
        <v>.</v>
      </c>
      <c r="W24" s="70" t="str">
        <f>IFERROR(IF(AND(d_Irr!V24&lt;&gt;".",d_Irr!AU24&lt;&gt;".",d_Irr!BT24&lt;&gt;"."),d_dir!W24/((1/1000)*(d_Irr!V24+d_Irr!AU24+d_Irr!BT24)),IF(AND(d_Irr!V24&lt;&gt;".",d_Irr!AU24&lt;&gt;".",d_Irr!BT24="."),d_dir!W24/((1/1000)*(d_Irr!V24+d_Irr!AU24)),IF(AND(d_Irr!V24&lt;&gt;".",d_Irr!AU24=".",d_Irr!BT24&lt;&gt;"."),d_dir!W24/((1/1000)*(d_Irr!V24+d_Irr!BT24)),IF(AND(d_Irr!V24=".",d_Irr!AU24&lt;&gt;".",d_Irr!BT24&lt;&gt;"."),d_dir!W24/((1/1000)*(d_Irr!AU24+d_Irr!BT24)),IF(AND(d_Irr!V24=".",d_Irr!AU24=".",d_Irr!BT24&lt;&gt;"."),d_dir!W24/((1/1000)*(d_Irr!BT24)),IF(AND(d_Irr!V24=".",d_Irr!AU24&lt;&gt;".",d_Irr!BT24="."),d_dir!W24/((1/1000)*(d_Irr!AU24)),IF(AND(d_Irr!V24&lt;&gt;".",d_Irr!AU24=".",d_Irr!BT24="."),d_dir!W24/((1/1000)*(d_Irr!V24)),IF(AND(d_Irr!V24=".",d_Irr!AU24=".",d_Irr!BT24="."),d_dir!W24*1000)))))))),".")</f>
        <v>.</v>
      </c>
      <c r="X24" s="70" t="str">
        <f>IFERROR(IF(AND(d_Irr!W24&lt;&gt;".",d_Irr!AV24&lt;&gt;".",d_Irr!BU24&lt;&gt;"."),d_dir!X24/((1/1000)*(d_Irr!W24+d_Irr!AV24+d_Irr!BU24)),IF(AND(d_Irr!W24&lt;&gt;".",d_Irr!AV24&lt;&gt;".",d_Irr!BU24="."),d_dir!X24/((1/1000)*(d_Irr!W24+d_Irr!AV24)),IF(AND(d_Irr!W24&lt;&gt;".",d_Irr!AV24=".",d_Irr!BU24&lt;&gt;"."),d_dir!X24/((1/1000)*(d_Irr!W24+d_Irr!BU24)),IF(AND(d_Irr!W24=".",d_Irr!AV24&lt;&gt;".",d_Irr!BU24&lt;&gt;"."),d_dir!X24/((1/1000)*(d_Irr!AV24+d_Irr!BU24)),IF(AND(d_Irr!W24=".",d_Irr!AV24=".",d_Irr!BU24&lt;&gt;"."),d_dir!X24/((1/1000)*(d_Irr!BU24)),IF(AND(d_Irr!W24=".",d_Irr!AV24&lt;&gt;".",d_Irr!BU24="."),d_dir!X24/((1/1000)*(d_Irr!AV24)),IF(AND(d_Irr!W24&lt;&gt;".",d_Irr!AV24=".",d_Irr!BU24="."),d_dir!X24/((1/1000)*(d_Irr!W24)),IF(AND(d_Irr!W24=".",d_Irr!AV24=".",d_Irr!BU24="."),d_dir!X24*1000)))))))),".")</f>
        <v>.</v>
      </c>
      <c r="Y24" s="70" t="str">
        <f>IFERROR(IF(AND(d_Irr!X24&lt;&gt;".",d_Irr!AW24&lt;&gt;".",d_Irr!BV24&lt;&gt;"."),d_dir!Y24/((1/1000)*(d_Irr!X24+d_Irr!AW24+d_Irr!BV24)),IF(AND(d_Irr!X24&lt;&gt;".",d_Irr!AW24&lt;&gt;".",d_Irr!BV24="."),d_dir!Y24/((1/1000)*(d_Irr!X24+d_Irr!AW24)),IF(AND(d_Irr!X24&lt;&gt;".",d_Irr!AW24=".",d_Irr!BV24&lt;&gt;"."),d_dir!Y24/((1/1000)*(d_Irr!X24+d_Irr!BV24)),IF(AND(d_Irr!X24=".",d_Irr!AW24&lt;&gt;".",d_Irr!BV24&lt;&gt;"."),d_dir!Y24/((1/1000)*(d_Irr!AW24+d_Irr!BV24)),IF(AND(d_Irr!X24=".",d_Irr!AW24=".",d_Irr!BV24&lt;&gt;"."),d_dir!Y24/((1/1000)*(d_Irr!BV24)),IF(AND(d_Irr!X24=".",d_Irr!AW24&lt;&gt;".",d_Irr!BV24="."),d_dir!Y24/((1/1000)*(d_Irr!AW24)),IF(AND(d_Irr!X24&lt;&gt;".",d_Irr!AW24=".",d_Irr!BV24="."),d_dir!Y24/((1/1000)*(d_Irr!X24)),IF(AND(d_Irr!X24=".",d_Irr!AW24=".",d_Irr!BV24="."),d_dir!Y24*1000)))))))),".")</f>
        <v>.</v>
      </c>
      <c r="Z24" s="70" t="str">
        <f>IFERROR(IF(AND(d_Irr!Y24&lt;&gt;".",d_Irr!AX24&lt;&gt;".",d_Irr!BW24&lt;&gt;"."),d_dir!Z24/((1/1000)*(d_Irr!Y24+d_Irr!AX24+d_Irr!BW24)),IF(AND(d_Irr!Y24&lt;&gt;".",d_Irr!AX24&lt;&gt;".",d_Irr!BW24="."),d_dir!Z24/((1/1000)*(d_Irr!Y24+d_Irr!AX24)),IF(AND(d_Irr!Y24&lt;&gt;".",d_Irr!AX24=".",d_Irr!BW24&lt;&gt;"."),d_dir!Z24/((1/1000)*(d_Irr!Y24+d_Irr!BW24)),IF(AND(d_Irr!Y24=".",d_Irr!AX24&lt;&gt;".",d_Irr!BW24&lt;&gt;"."),d_dir!Z24/((1/1000)*(d_Irr!AX24+d_Irr!BW24)),IF(AND(d_Irr!Y24=".",d_Irr!AX24=".",d_Irr!BW24&lt;&gt;"."),d_dir!Z24/((1/1000)*(d_Irr!BW24)),IF(AND(d_Irr!Y24=".",d_Irr!AX24&lt;&gt;".",d_Irr!BW24="."),d_dir!Z24/((1/1000)*(d_Irr!AX24)),IF(AND(d_Irr!Y24&lt;&gt;".",d_Irr!AX24=".",d_Irr!BW24="."),d_dir!Z24/((1/1000)*(d_Irr!Y24)),IF(AND(d_Irr!Y24=".",d_Irr!AX24=".",d_Irr!BW24="."),d_dir!Z24*1000)))))))),".")</f>
        <v>.</v>
      </c>
      <c r="AA24" s="70" t="str">
        <f>IFERROR(IF(AND(d_Irr!Z24&lt;&gt;".",d_Irr!AY24&lt;&gt;".",d_Irr!BX24&lt;&gt;"."),d_dir!AA24/((1/1000)*(d_Irr!Z24+d_Irr!AY24+d_Irr!BX24)),IF(AND(d_Irr!Z24&lt;&gt;".",d_Irr!AY24&lt;&gt;".",d_Irr!BX24="."),d_dir!AA24/((1/1000)*(d_Irr!Z24+d_Irr!AY24)),IF(AND(d_Irr!Z24&lt;&gt;".",d_Irr!AY24=".",d_Irr!BX24&lt;&gt;"."),d_dir!AA24/((1/1000)*(d_Irr!Z24+d_Irr!BX24)),IF(AND(d_Irr!Z24=".",d_Irr!AY24&lt;&gt;".",d_Irr!BX24&lt;&gt;"."),d_dir!AA24/((1/1000)*(d_Irr!AY24+d_Irr!BX24)),IF(AND(d_Irr!Z24=".",d_Irr!AY24=".",d_Irr!BX24&lt;&gt;"."),d_dir!AA24/((1/1000)*(d_Irr!BX24)),IF(AND(d_Irr!Z24=".",d_Irr!AY24&lt;&gt;".",d_Irr!BX24="."),d_dir!AA24/((1/1000)*(d_Irr!AY24)),IF(AND(d_Irr!Z24&lt;&gt;".",d_Irr!AY24=".",d_Irr!BX24="."),d_dir!AA24/((1/1000)*(d_Irr!Z24)),IF(AND(d_Irr!Z24=".",d_Irr!AY24=".",d_Irr!BX24="."),d_dir!AA24*1000)))))))),".")</f>
        <v>.</v>
      </c>
      <c r="AB24" s="70" t="str">
        <f>IFERROR(IF(AND(d_Irr!AA24&lt;&gt;".",d_Irr!AZ24&lt;&gt;".",d_Irr!BY24&lt;&gt;"."),d_dir!AB24/((1/1000)*(d_Irr!AA24+d_Irr!AZ24+d_Irr!BY24)),IF(AND(d_Irr!AA24&lt;&gt;".",d_Irr!AZ24&lt;&gt;".",d_Irr!BY24="."),d_dir!AB24/((1/1000)*(d_Irr!AA24+d_Irr!AZ24)),IF(AND(d_Irr!AA24&lt;&gt;".",d_Irr!AZ24=".",d_Irr!BY24&lt;&gt;"."),d_dir!AB24/((1/1000)*(d_Irr!AA24+d_Irr!BY24)),IF(AND(d_Irr!AA24=".",d_Irr!AZ24&lt;&gt;".",d_Irr!BY24&lt;&gt;"."),d_dir!AB24/((1/1000)*(d_Irr!AZ24+d_Irr!BY24)),IF(AND(d_Irr!AA24=".",d_Irr!AZ24=".",d_Irr!BY24&lt;&gt;"."),d_dir!AB24/((1/1000)*(d_Irr!BY24)),IF(AND(d_Irr!AA24=".",d_Irr!AZ24&lt;&gt;".",d_Irr!BY24="."),d_dir!AB24/((1/1000)*(d_Irr!AZ24)),IF(AND(d_Irr!AA24&lt;&gt;".",d_Irr!AZ24=".",d_Irr!BY24="."),d_dir!AB24/((1/1000)*(d_Irr!AA24)),IF(AND(d_Irr!AA24=".",d_Irr!AZ24=".",d_Irr!BY24="."),d_dir!AB24*1000)))))))),".")</f>
        <v>.</v>
      </c>
      <c r="AC24" s="70" t="str">
        <f t="shared" si="0"/>
        <v>.</v>
      </c>
      <c r="AD24" s="70" t="str">
        <f>IFERROR(IF(AND(d_Irr!C24&lt;&gt;".",d_Irr!AB24&lt;&gt;".",d_Irr!BA24&lt;&gt;"."),d_dir!AD24/((1/1000)*(d_Irr!C24+d_Irr!AB24+d_Irr!BA24)),IF(AND(d_Irr!C24&lt;&gt;".",d_Irr!AB24&lt;&gt;".",d_Irr!BA24="."),d_dir!AD24/((1/1000)*(d_Irr!C24+d_Irr!AB24)),IF(AND(d_Irr!C24&lt;&gt;".",d_Irr!AB24=".",d_Irr!BA24&lt;&gt;"."),d_dir!AD24/((1/1000)*(d_Irr!C24+d_Irr!BA24)),IF(AND(d_Irr!C24=".",d_Irr!AB24&lt;&gt;".",d_Irr!BA24&lt;&gt;"."),d_dir!AD24/((1/1000)*(d_Irr!AB24+d_Irr!BA24)),IF(AND(d_Irr!C24=".",d_Irr!AB24=".",d_Irr!BA24&lt;&gt;"."),d_dir!AD24/((1/1000)*(d_Irr!BA24)),IF(AND(d_Irr!C24=".",d_Irr!AB24&lt;&gt;".",d_Irr!BA24="."),d_dir!AD24/((1/1000)*(d_Irr!AB24)),IF(AND(d_Irr!C24&lt;&gt;".",d_Irr!AB24=".",d_Irr!BA24="."),d_dir!AD24/((1/1000)*(d_Irr!C24)),IF(AND(d_Irr!C24=".",d_Irr!AB24=".",d_Irr!BA24="."),d_dir!AD24*1000)))))))),".")</f>
        <v>.</v>
      </c>
      <c r="AE24" s="70" t="str">
        <f>IFERROR(IF(AND(d_Irr!D24&lt;&gt;".",d_Irr!AC24&lt;&gt;".",d_Irr!BB24&lt;&gt;"."),d_dir!AE24/((1/1000)*(d_Irr!D24+d_Irr!AC24+d_Irr!BB24)),IF(AND(d_Irr!D24&lt;&gt;".",d_Irr!AC24&lt;&gt;".",d_Irr!BB24="."),d_dir!AE24/((1/1000)*(d_Irr!D24+d_Irr!AC24)),IF(AND(d_Irr!D24&lt;&gt;".",d_Irr!AC24=".",d_Irr!BB24&lt;&gt;"."),d_dir!AE24/((1/1000)*(d_Irr!D24+d_Irr!BB24)),IF(AND(d_Irr!D24=".",d_Irr!AC24&lt;&gt;".",d_Irr!BB24&lt;&gt;"."),d_dir!AE24/((1/1000)*(d_Irr!AC24+d_Irr!BB24)),IF(AND(d_Irr!D24=".",d_Irr!AC24=".",d_Irr!BB24&lt;&gt;"."),d_dir!AE24/((1/1000)*(d_Irr!BB24)),IF(AND(d_Irr!D24=".",d_Irr!AC24&lt;&gt;".",d_Irr!BB24="."),d_dir!AE24/((1/1000)*(d_Irr!AC24)),IF(AND(d_Irr!D24&lt;&gt;".",d_Irr!AC24=".",d_Irr!BB24="."),d_dir!AE24/((1/1000)*(d_Irr!D24)),IF(AND(d_Irr!D24=".",d_Irr!AC24=".",d_Irr!BB24="."),d_dir!AE24*1000)))))))),".")</f>
        <v>.</v>
      </c>
      <c r="AF24" s="70" t="str">
        <f>IFERROR(IF(AND(d_Irr!E24&lt;&gt;".",d_Irr!AD24&lt;&gt;".",d_Irr!BC24&lt;&gt;"."),d_dir!AF24/((1/1000)*(d_Irr!E24+d_Irr!AD24+d_Irr!BC24)),IF(AND(d_Irr!E24&lt;&gt;".",d_Irr!AD24&lt;&gt;".",d_Irr!BC24="."),d_dir!AF24/((1/1000)*(d_Irr!E24+d_Irr!AD24)),IF(AND(d_Irr!E24&lt;&gt;".",d_Irr!AD24=".",d_Irr!BC24&lt;&gt;"."),d_dir!AF24/((1/1000)*(d_Irr!E24+d_Irr!BC24)),IF(AND(d_Irr!E24=".",d_Irr!AD24&lt;&gt;".",d_Irr!BC24&lt;&gt;"."),d_dir!AF24/((1/1000)*(d_Irr!AD24+d_Irr!BC24)),IF(AND(d_Irr!E24=".",d_Irr!AD24=".",d_Irr!BC24&lt;&gt;"."),d_dir!AF24/((1/1000)*(d_Irr!BC24)),IF(AND(d_Irr!E24=".",d_Irr!AD24&lt;&gt;".",d_Irr!BC24="."),d_dir!AF24/((1/1000)*(d_Irr!AD24)),IF(AND(d_Irr!E24&lt;&gt;".",d_Irr!AD24=".",d_Irr!BC24="."),d_dir!AF24/((1/1000)*(d_Irr!E24)),IF(AND(d_Irr!E24=".",d_Irr!AD24=".",d_Irr!BC24="."),d_dir!AF24*1000)))))))),".")</f>
        <v>.</v>
      </c>
      <c r="AG24" s="70" t="str">
        <f>IFERROR(IF(AND(d_Irr!F24&lt;&gt;".",d_Irr!AE24&lt;&gt;".",d_Irr!BD24&lt;&gt;"."),d_dir!AG24/((1/1000)*(d_Irr!F24+d_Irr!AE24+d_Irr!BD24)),IF(AND(d_Irr!F24&lt;&gt;".",d_Irr!AE24&lt;&gt;".",d_Irr!BD24="."),d_dir!AG24/((1/1000)*(d_Irr!F24+d_Irr!AE24)),IF(AND(d_Irr!F24&lt;&gt;".",d_Irr!AE24=".",d_Irr!BD24&lt;&gt;"."),d_dir!AG24/((1/1000)*(d_Irr!F24+d_Irr!BD24)),IF(AND(d_Irr!F24=".",d_Irr!AE24&lt;&gt;".",d_Irr!BD24&lt;&gt;"."),d_dir!AG24/((1/1000)*(d_Irr!AE24+d_Irr!BD24)),IF(AND(d_Irr!F24=".",d_Irr!AE24=".",d_Irr!BD24&lt;&gt;"."),d_dir!AG24/((1/1000)*(d_Irr!BD24)),IF(AND(d_Irr!F24=".",d_Irr!AE24&lt;&gt;".",d_Irr!BD24="."),d_dir!AG24/((1/1000)*(d_Irr!AE24)),IF(AND(d_Irr!F24&lt;&gt;".",d_Irr!AE24=".",d_Irr!BD24="."),d_dir!AG24/((1/1000)*(d_Irr!F24)),IF(AND(d_Irr!F24=".",d_Irr!AE24=".",d_Irr!BD24="."),d_dir!AG24*1000)))))))),".")</f>
        <v>.</v>
      </c>
      <c r="AH24" s="70" t="str">
        <f>IFERROR(IF(AND(d_Irr!G24&lt;&gt;".",d_Irr!AF24&lt;&gt;".",d_Irr!BE24&lt;&gt;"."),d_dir!AH24/((1/1000)*(d_Irr!G24+d_Irr!AF24+d_Irr!BE24)),IF(AND(d_Irr!G24&lt;&gt;".",d_Irr!AF24&lt;&gt;".",d_Irr!BE24="."),d_dir!AH24/((1/1000)*(d_Irr!G24+d_Irr!AF24)),IF(AND(d_Irr!G24&lt;&gt;".",d_Irr!AF24=".",d_Irr!BE24&lt;&gt;"."),d_dir!AH24/((1/1000)*(d_Irr!G24+d_Irr!BE24)),IF(AND(d_Irr!G24=".",d_Irr!AF24&lt;&gt;".",d_Irr!BE24&lt;&gt;"."),d_dir!AH24/((1/1000)*(d_Irr!AF24+d_Irr!BE24)),IF(AND(d_Irr!G24=".",d_Irr!AF24=".",d_Irr!BE24&lt;&gt;"."),d_dir!AH24/((1/1000)*(d_Irr!BE24)),IF(AND(d_Irr!G24=".",d_Irr!AF24&lt;&gt;".",d_Irr!BE24="."),d_dir!AH24/((1/1000)*(d_Irr!AF24)),IF(AND(d_Irr!G24&lt;&gt;".",d_Irr!AF24=".",d_Irr!BE24="."),d_dir!AH24/((1/1000)*(d_Irr!G24)),IF(AND(d_Irr!G24=".",d_Irr!AF24=".",d_Irr!BE24="."),d_dir!AH24*1000)))))))),".")</f>
        <v>.</v>
      </c>
      <c r="AI24" s="70" t="str">
        <f>IFERROR(IF(AND(d_Irr!H24&lt;&gt;".",d_Irr!AG24&lt;&gt;".",d_Irr!BF24&lt;&gt;"."),d_dir!AI24/((1/1000)*(d_Irr!H24+d_Irr!AG24+d_Irr!BF24)),IF(AND(d_Irr!H24&lt;&gt;".",d_Irr!AG24&lt;&gt;".",d_Irr!BF24="."),d_dir!AI24/((1/1000)*(d_Irr!H24+d_Irr!AG24)),IF(AND(d_Irr!H24&lt;&gt;".",d_Irr!AG24=".",d_Irr!BF24&lt;&gt;"."),d_dir!AI24/((1/1000)*(d_Irr!H24+d_Irr!BF24)),IF(AND(d_Irr!H24=".",d_Irr!AG24&lt;&gt;".",d_Irr!BF24&lt;&gt;"."),d_dir!AI24/((1/1000)*(d_Irr!AG24+d_Irr!BF24)),IF(AND(d_Irr!H24=".",d_Irr!AG24=".",d_Irr!BF24&lt;&gt;"."),d_dir!AI24/((1/1000)*(d_Irr!BF24)),IF(AND(d_Irr!H24=".",d_Irr!AG24&lt;&gt;".",d_Irr!BF24="."),d_dir!AI24/((1/1000)*(d_Irr!AG24)),IF(AND(d_Irr!H24&lt;&gt;".",d_Irr!AG24=".",d_Irr!BF24="."),d_dir!AI24/((1/1000)*(d_Irr!H24)),IF(AND(d_Irr!H24=".",d_Irr!AG24=".",d_Irr!BF24="."),d_dir!AI24*1000)))))))),".")</f>
        <v>.</v>
      </c>
      <c r="AJ24" s="70" t="str">
        <f>IFERROR(IF(AND(d_Irr!I24&lt;&gt;".",d_Irr!AH24&lt;&gt;".",d_Irr!BG24&lt;&gt;"."),d_dir!AJ24/((1/1000)*(d_Irr!I24+d_Irr!AH24+d_Irr!BG24)),IF(AND(d_Irr!I24&lt;&gt;".",d_Irr!AH24&lt;&gt;".",d_Irr!BG24="."),d_dir!AJ24/((1/1000)*(d_Irr!I24+d_Irr!AH24)),IF(AND(d_Irr!I24&lt;&gt;".",d_Irr!AH24=".",d_Irr!BG24&lt;&gt;"."),d_dir!AJ24/((1/1000)*(d_Irr!I24+d_Irr!BG24)),IF(AND(d_Irr!I24=".",d_Irr!AH24&lt;&gt;".",d_Irr!BG24&lt;&gt;"."),d_dir!AJ24/((1/1000)*(d_Irr!AH24+d_Irr!BG24)),IF(AND(d_Irr!I24=".",d_Irr!AH24=".",d_Irr!BG24&lt;&gt;"."),d_dir!AJ24/((1/1000)*(d_Irr!BG24)),IF(AND(d_Irr!I24=".",d_Irr!AH24&lt;&gt;".",d_Irr!BG24="."),d_dir!AJ24/((1/1000)*(d_Irr!AH24)),IF(AND(d_Irr!I24&lt;&gt;".",d_Irr!AH24=".",d_Irr!BG24="."),d_dir!AJ24/((1/1000)*(d_Irr!I24)),IF(AND(d_Irr!I24=".",d_Irr!AH24=".",d_Irr!BG24="."),d_dir!AJ24*1000)))))))),".")</f>
        <v>.</v>
      </c>
      <c r="AK24" s="70" t="str">
        <f>IFERROR(IF(AND(d_Irr!J24&lt;&gt;".",d_Irr!AI24&lt;&gt;".",d_Irr!BH24&lt;&gt;"."),d_dir!AK24/((1/1000)*(d_Irr!J24+d_Irr!AI24+d_Irr!BH24)),IF(AND(d_Irr!J24&lt;&gt;".",d_Irr!AI24&lt;&gt;".",d_Irr!BH24="."),d_dir!AK24/((1/1000)*(d_Irr!J24+d_Irr!AI24)),IF(AND(d_Irr!J24&lt;&gt;".",d_Irr!AI24=".",d_Irr!BH24&lt;&gt;"."),d_dir!AK24/((1/1000)*(d_Irr!J24+d_Irr!BH24)),IF(AND(d_Irr!J24=".",d_Irr!AI24&lt;&gt;".",d_Irr!BH24&lt;&gt;"."),d_dir!AK24/((1/1000)*(d_Irr!AI24+d_Irr!BH24)),IF(AND(d_Irr!J24=".",d_Irr!AI24=".",d_Irr!BH24&lt;&gt;"."),d_dir!AK24/((1/1000)*(d_Irr!BH24)),IF(AND(d_Irr!J24=".",d_Irr!AI24&lt;&gt;".",d_Irr!BH24="."),d_dir!AK24/((1/1000)*(d_Irr!AI24)),IF(AND(d_Irr!J24&lt;&gt;".",d_Irr!AI24=".",d_Irr!BH24="."),d_dir!AK24/((1/1000)*(d_Irr!J24)),IF(AND(d_Irr!J24=".",d_Irr!AI24=".",d_Irr!BH24="."),d_dir!AK24*1000)))))))),".")</f>
        <v>.</v>
      </c>
      <c r="AL24" s="70" t="str">
        <f>IFERROR(IF(AND(d_Irr!K24&lt;&gt;".",d_Irr!AJ24&lt;&gt;".",d_Irr!BI24&lt;&gt;"."),d_dir!AL24/((1/1000)*(d_Irr!K24+d_Irr!AJ24+d_Irr!BI24)),IF(AND(d_Irr!K24&lt;&gt;".",d_Irr!AJ24&lt;&gt;".",d_Irr!BI24="."),d_dir!AL24/((1/1000)*(d_Irr!K24+d_Irr!AJ24)),IF(AND(d_Irr!K24&lt;&gt;".",d_Irr!AJ24=".",d_Irr!BI24&lt;&gt;"."),d_dir!AL24/((1/1000)*(d_Irr!K24+d_Irr!BI24)),IF(AND(d_Irr!K24=".",d_Irr!AJ24&lt;&gt;".",d_Irr!BI24&lt;&gt;"."),d_dir!AL24/((1/1000)*(d_Irr!AJ24+d_Irr!BI24)),IF(AND(d_Irr!K24=".",d_Irr!AJ24=".",d_Irr!BI24&lt;&gt;"."),d_dir!AL24/((1/1000)*(d_Irr!BI24)),IF(AND(d_Irr!K24=".",d_Irr!AJ24&lt;&gt;".",d_Irr!BI24="."),d_dir!AL24/((1/1000)*(d_Irr!AJ24)),IF(AND(d_Irr!K24&lt;&gt;".",d_Irr!AJ24=".",d_Irr!BI24="."),d_dir!AL24/((1/1000)*(d_Irr!K24)),IF(AND(d_Irr!K24=".",d_Irr!AJ24=".",d_Irr!BI24="."),d_dir!AL24*1000)))))))),".")</f>
        <v>.</v>
      </c>
      <c r="AM24" s="70" t="str">
        <f>IFERROR(IF(AND(d_Irr!L24&lt;&gt;".",d_Irr!AK24&lt;&gt;".",d_Irr!BJ24&lt;&gt;"."),d_dir!AM24/((1/1000)*(d_Irr!L24+d_Irr!AK24+d_Irr!BJ24)),IF(AND(d_Irr!L24&lt;&gt;".",d_Irr!AK24&lt;&gt;".",d_Irr!BJ24="."),d_dir!AM24/((1/1000)*(d_Irr!L24+d_Irr!AK24)),IF(AND(d_Irr!L24&lt;&gt;".",d_Irr!AK24=".",d_Irr!BJ24&lt;&gt;"."),d_dir!AM24/((1/1000)*(d_Irr!L24+d_Irr!BJ24)),IF(AND(d_Irr!L24=".",d_Irr!AK24&lt;&gt;".",d_Irr!BJ24&lt;&gt;"."),d_dir!AM24/((1/1000)*(d_Irr!AK24+d_Irr!BJ24)),IF(AND(d_Irr!L24=".",d_Irr!AK24=".",d_Irr!BJ24&lt;&gt;"."),d_dir!AM24/((1/1000)*(d_Irr!BJ24)),IF(AND(d_Irr!L24=".",d_Irr!AK24&lt;&gt;".",d_Irr!BJ24="."),d_dir!AM24/((1/1000)*(d_Irr!AK24)),IF(AND(d_Irr!L24&lt;&gt;".",d_Irr!AK24=".",d_Irr!BJ24="."),d_dir!AM24/((1/1000)*(d_Irr!L24)),IF(AND(d_Irr!L24=".",d_Irr!AK24=".",d_Irr!BJ24="."),d_dir!AM24*1000)))))))),".")</f>
        <v>.</v>
      </c>
      <c r="AN24" s="70" t="str">
        <f>IFERROR(IF(AND(d_Irr!M24&lt;&gt;".",d_Irr!AL24&lt;&gt;".",d_Irr!BK24&lt;&gt;"."),d_dir!AN24/((1/1000)*(d_Irr!M24+d_Irr!AL24+d_Irr!BK24)),IF(AND(d_Irr!M24&lt;&gt;".",d_Irr!AL24&lt;&gt;".",d_Irr!BK24="."),d_dir!AN24/((1/1000)*(d_Irr!M24+d_Irr!AL24)),IF(AND(d_Irr!M24&lt;&gt;".",d_Irr!AL24=".",d_Irr!BK24&lt;&gt;"."),d_dir!AN24/((1/1000)*(d_Irr!M24+d_Irr!BK24)),IF(AND(d_Irr!M24=".",d_Irr!AL24&lt;&gt;".",d_Irr!BK24&lt;&gt;"."),d_dir!AN24/((1/1000)*(d_Irr!AL24+d_Irr!BK24)),IF(AND(d_Irr!M24=".",d_Irr!AL24=".",d_Irr!BK24&lt;&gt;"."),d_dir!AN24/((1/1000)*(d_Irr!BK24)),IF(AND(d_Irr!M24=".",d_Irr!AL24&lt;&gt;".",d_Irr!BK24="."),d_dir!AN24/((1/1000)*(d_Irr!AL24)),IF(AND(d_Irr!M24&lt;&gt;".",d_Irr!AL24=".",d_Irr!BK24="."),d_dir!AN24/((1/1000)*(d_Irr!M24)),IF(AND(d_Irr!M24=".",d_Irr!AL24=".",d_Irr!BK24="."),d_dir!AN24*1000)))))))),".")</f>
        <v>.</v>
      </c>
      <c r="AO24" s="70" t="str">
        <f>IFERROR(IF(AND(d_Irr!N24&lt;&gt;".",d_Irr!AM24&lt;&gt;".",d_Irr!BL24&lt;&gt;"."),d_dir!AO24/((1/1000)*(d_Irr!N24+d_Irr!AM24+d_Irr!BL24)),IF(AND(d_Irr!N24&lt;&gt;".",d_Irr!AM24&lt;&gt;".",d_Irr!BL24="."),d_dir!AO24/((1/1000)*(d_Irr!N24+d_Irr!AM24)),IF(AND(d_Irr!N24&lt;&gt;".",d_Irr!AM24=".",d_Irr!BL24&lt;&gt;"."),d_dir!AO24/((1/1000)*(d_Irr!N24+d_Irr!BL24)),IF(AND(d_Irr!N24=".",d_Irr!AM24&lt;&gt;".",d_Irr!BL24&lt;&gt;"."),d_dir!AO24/((1/1000)*(d_Irr!AM24+d_Irr!BL24)),IF(AND(d_Irr!N24=".",d_Irr!AM24=".",d_Irr!BL24&lt;&gt;"."),d_dir!AO24/((1/1000)*(d_Irr!BL24)),IF(AND(d_Irr!N24=".",d_Irr!AM24&lt;&gt;".",d_Irr!BL24="."),d_dir!AO24/((1/1000)*(d_Irr!AM24)),IF(AND(d_Irr!N24&lt;&gt;".",d_Irr!AM24=".",d_Irr!BL24="."),d_dir!AO24/((1/1000)*(d_Irr!N24)),IF(AND(d_Irr!N24=".",d_Irr!AM24=".",d_Irr!BL24="."),d_dir!AO24*1000)))))))),".")</f>
        <v>.</v>
      </c>
      <c r="AP24" s="70" t="str">
        <f>IFERROR(IF(AND(d_Irr!O24&lt;&gt;".",d_Irr!AN24&lt;&gt;".",d_Irr!BM24&lt;&gt;"."),d_dir!AP24/((1/1000)*(d_Irr!O24+d_Irr!AN24+d_Irr!BM24)),IF(AND(d_Irr!O24&lt;&gt;".",d_Irr!AN24&lt;&gt;".",d_Irr!BM24="."),d_dir!AP24/((1/1000)*(d_Irr!O24+d_Irr!AN24)),IF(AND(d_Irr!O24&lt;&gt;".",d_Irr!AN24=".",d_Irr!BM24&lt;&gt;"."),d_dir!AP24/((1/1000)*(d_Irr!O24+d_Irr!BM24)),IF(AND(d_Irr!O24=".",d_Irr!AN24&lt;&gt;".",d_Irr!BM24&lt;&gt;"."),d_dir!AP24/((1/1000)*(d_Irr!AN24+d_Irr!BM24)),IF(AND(d_Irr!O24=".",d_Irr!AN24=".",d_Irr!BM24&lt;&gt;"."),d_dir!AP24/((1/1000)*(d_Irr!BM24)),IF(AND(d_Irr!O24=".",d_Irr!AN24&lt;&gt;".",d_Irr!BM24="."),d_dir!AP24/((1/1000)*(d_Irr!AN24)),IF(AND(d_Irr!O24&lt;&gt;".",d_Irr!AN24=".",d_Irr!BM24="."),d_dir!AP24/((1/1000)*(d_Irr!O24)),IF(AND(d_Irr!O24=".",d_Irr!AN24=".",d_Irr!BM24="."),d_dir!AP24*1000)))))))),".")</f>
        <v>.</v>
      </c>
      <c r="AQ24" s="70" t="str">
        <f>IFERROR(IF(AND(d_Irr!P24&lt;&gt;".",d_Irr!AO24&lt;&gt;".",d_Irr!BN24&lt;&gt;"."),d_dir!AQ24/((1/1000)*(d_Irr!P24+d_Irr!AO24+d_Irr!BN24)),IF(AND(d_Irr!P24&lt;&gt;".",d_Irr!AO24&lt;&gt;".",d_Irr!BN24="."),d_dir!AQ24/((1/1000)*(d_Irr!P24+d_Irr!AO24)),IF(AND(d_Irr!P24&lt;&gt;".",d_Irr!AO24=".",d_Irr!BN24&lt;&gt;"."),d_dir!AQ24/((1/1000)*(d_Irr!P24+d_Irr!BN24)),IF(AND(d_Irr!P24=".",d_Irr!AO24&lt;&gt;".",d_Irr!BN24&lt;&gt;"."),d_dir!AQ24/((1/1000)*(d_Irr!AO24+d_Irr!BN24)),IF(AND(d_Irr!P24=".",d_Irr!AO24=".",d_Irr!BN24&lt;&gt;"."),d_dir!AQ24/((1/1000)*(d_Irr!BN24)),IF(AND(d_Irr!P24=".",d_Irr!AO24&lt;&gt;".",d_Irr!BN24="."),d_dir!AQ24/((1/1000)*(d_Irr!AO24)),IF(AND(d_Irr!P24&lt;&gt;".",d_Irr!AO24=".",d_Irr!BN24="."),d_dir!AQ24/((1/1000)*(d_Irr!P24)),IF(AND(d_Irr!P24=".",d_Irr!AO24=".",d_Irr!BN24="."),d_dir!AQ24*1000)))))))),".")</f>
        <v>.</v>
      </c>
      <c r="AR24" s="70" t="str">
        <f>IFERROR(IF(AND(d_Irr!Q24&lt;&gt;".",d_Irr!AP24&lt;&gt;".",d_Irr!BO24&lt;&gt;"."),d_dir!AR24/((1/1000)*(d_Irr!Q24+d_Irr!AP24+d_Irr!BO24)),IF(AND(d_Irr!Q24&lt;&gt;".",d_Irr!AP24&lt;&gt;".",d_Irr!BO24="."),d_dir!AR24/((1/1000)*(d_Irr!Q24+d_Irr!AP24)),IF(AND(d_Irr!Q24&lt;&gt;".",d_Irr!AP24=".",d_Irr!BO24&lt;&gt;"."),d_dir!AR24/((1/1000)*(d_Irr!Q24+d_Irr!BO24)),IF(AND(d_Irr!Q24=".",d_Irr!AP24&lt;&gt;".",d_Irr!BO24&lt;&gt;"."),d_dir!AR24/((1/1000)*(d_Irr!AP24+d_Irr!BO24)),IF(AND(d_Irr!Q24=".",d_Irr!AP24=".",d_Irr!BO24&lt;&gt;"."),d_dir!AR24/((1/1000)*(d_Irr!BO24)),IF(AND(d_Irr!Q24=".",d_Irr!AP24&lt;&gt;".",d_Irr!BO24="."),d_dir!AR24/((1/1000)*(d_Irr!AP24)),IF(AND(d_Irr!Q24&lt;&gt;".",d_Irr!AP24=".",d_Irr!BO24="."),d_dir!AR24/((1/1000)*(d_Irr!Q24)),IF(AND(d_Irr!Q24=".",d_Irr!AP24=".",d_Irr!BO24="."),d_dir!AR24*1000)))))))),".")</f>
        <v>.</v>
      </c>
      <c r="AS24" s="70" t="str">
        <f>IFERROR(IF(AND(d_Irr!R24&lt;&gt;".",d_Irr!AQ24&lt;&gt;".",d_Irr!BP24&lt;&gt;"."),d_dir!AS24/((1/1000)*(d_Irr!R24+d_Irr!AQ24+d_Irr!BP24)),IF(AND(d_Irr!R24&lt;&gt;".",d_Irr!AQ24&lt;&gt;".",d_Irr!BP24="."),d_dir!AS24/((1/1000)*(d_Irr!R24+d_Irr!AQ24)),IF(AND(d_Irr!R24&lt;&gt;".",d_Irr!AQ24=".",d_Irr!BP24&lt;&gt;"."),d_dir!AS24/((1/1000)*(d_Irr!R24+d_Irr!BP24)),IF(AND(d_Irr!R24=".",d_Irr!AQ24&lt;&gt;".",d_Irr!BP24&lt;&gt;"."),d_dir!AS24/((1/1000)*(d_Irr!AQ24+d_Irr!BP24)),IF(AND(d_Irr!R24=".",d_Irr!AQ24=".",d_Irr!BP24&lt;&gt;"."),d_dir!AS24/((1/1000)*(d_Irr!BP24)),IF(AND(d_Irr!R24=".",d_Irr!AQ24&lt;&gt;".",d_Irr!BP24="."),d_dir!AS24/((1/1000)*(d_Irr!AQ24)),IF(AND(d_Irr!R24&lt;&gt;".",d_Irr!AQ24=".",d_Irr!BP24="."),d_dir!AS24/((1/1000)*(d_Irr!R24)),IF(AND(d_Irr!R24=".",d_Irr!AQ24=".",d_Irr!BP24="."),d_dir!AS24*1000)))))))),".")</f>
        <v>.</v>
      </c>
      <c r="AT24" s="70" t="str">
        <f>IFERROR(IF(AND(d_Irr!S24&lt;&gt;".",d_Irr!AR24&lt;&gt;".",d_Irr!BQ24&lt;&gt;"."),d_dir!AT24/((1/1000)*(d_Irr!S24+d_Irr!AR24+d_Irr!BQ24)),IF(AND(d_Irr!S24&lt;&gt;".",d_Irr!AR24&lt;&gt;".",d_Irr!BQ24="."),d_dir!AT24/((1/1000)*(d_Irr!S24+d_Irr!AR24)),IF(AND(d_Irr!S24&lt;&gt;".",d_Irr!AR24=".",d_Irr!BQ24&lt;&gt;"."),d_dir!AT24/((1/1000)*(d_Irr!S24+d_Irr!BQ24)),IF(AND(d_Irr!S24=".",d_Irr!AR24&lt;&gt;".",d_Irr!BQ24&lt;&gt;"."),d_dir!AT24/((1/1000)*(d_Irr!AR24+d_Irr!BQ24)),IF(AND(d_Irr!S24=".",d_Irr!AR24=".",d_Irr!BQ24&lt;&gt;"."),d_dir!AT24/((1/1000)*(d_Irr!BQ24)),IF(AND(d_Irr!S24=".",d_Irr!AR24&lt;&gt;".",d_Irr!BQ24="."),d_dir!AT24/((1/1000)*(d_Irr!AR24)),IF(AND(d_Irr!S24&lt;&gt;".",d_Irr!AR24=".",d_Irr!BQ24="."),d_dir!AT24/((1/1000)*(d_Irr!S24)),IF(AND(d_Irr!S24=".",d_Irr!AR24=".",d_Irr!BQ24="."),d_dir!AT24*1000)))))))),".")</f>
        <v>.</v>
      </c>
      <c r="AU24" s="70" t="str">
        <f>IFERROR(IF(AND(d_Irr!T24&lt;&gt;".",d_Irr!AS24&lt;&gt;".",d_Irr!BR24&lt;&gt;"."),d_dir!AU24/((1/1000)*(d_Irr!T24+d_Irr!AS24+d_Irr!BR24)),IF(AND(d_Irr!T24&lt;&gt;".",d_Irr!AS24&lt;&gt;".",d_Irr!BR24="."),d_dir!AU24/((1/1000)*(d_Irr!T24+d_Irr!AS24)),IF(AND(d_Irr!T24&lt;&gt;".",d_Irr!AS24=".",d_Irr!BR24&lt;&gt;"."),d_dir!AU24/((1/1000)*(d_Irr!T24+d_Irr!BR24)),IF(AND(d_Irr!T24=".",d_Irr!AS24&lt;&gt;".",d_Irr!BR24&lt;&gt;"."),d_dir!AU24/((1/1000)*(d_Irr!AS24+d_Irr!BR24)),IF(AND(d_Irr!T24=".",d_Irr!AS24=".",d_Irr!BR24&lt;&gt;"."),d_dir!AU24/((1/1000)*(d_Irr!BR24)),IF(AND(d_Irr!T24=".",d_Irr!AS24&lt;&gt;".",d_Irr!BR24="."),d_dir!AU24/((1/1000)*(d_Irr!AS24)),IF(AND(d_Irr!T24&lt;&gt;".",d_Irr!AS24=".",d_Irr!BR24="."),d_dir!AU24/((1/1000)*(d_Irr!T24)),IF(AND(d_Irr!T24=".",d_Irr!AS24=".",d_Irr!BR24="."),d_dir!AU24*1000)))))))),".")</f>
        <v>.</v>
      </c>
      <c r="AV24" s="70" t="str">
        <f>IFERROR(IF(AND(d_Irr!U24&lt;&gt;".",d_Irr!AT24&lt;&gt;".",d_Irr!BS24&lt;&gt;"."),d_dir!AV24/((1/1000)*(d_Irr!U24+d_Irr!AT24+d_Irr!BS24)),IF(AND(d_Irr!U24&lt;&gt;".",d_Irr!AT24&lt;&gt;".",d_Irr!BS24="."),d_dir!AV24/((1/1000)*(d_Irr!U24+d_Irr!AT24)),IF(AND(d_Irr!U24&lt;&gt;".",d_Irr!AT24=".",d_Irr!BS24&lt;&gt;"."),d_dir!AV24/((1/1000)*(d_Irr!U24+d_Irr!BS24)),IF(AND(d_Irr!U24=".",d_Irr!AT24&lt;&gt;".",d_Irr!BS24&lt;&gt;"."),d_dir!AV24/((1/1000)*(d_Irr!AT24+d_Irr!BS24)),IF(AND(d_Irr!U24=".",d_Irr!AT24=".",d_Irr!BS24&lt;&gt;"."),d_dir!AV24/((1/1000)*(d_Irr!BS24)),IF(AND(d_Irr!U24=".",d_Irr!AT24&lt;&gt;".",d_Irr!BS24="."),d_dir!AV24/((1/1000)*(d_Irr!AT24)),IF(AND(d_Irr!U24&lt;&gt;".",d_Irr!AT24=".",d_Irr!BS24="."),d_dir!AV24/((1/1000)*(d_Irr!U24)),IF(AND(d_Irr!U24=".",d_Irr!AT24=".",d_Irr!BS24="."),d_dir!AV24*1000)))))))),".")</f>
        <v>.</v>
      </c>
      <c r="AW24" s="70" t="str">
        <f>IFERROR(IF(AND(d_Irr!V24&lt;&gt;".",d_Irr!AU24&lt;&gt;".",d_Irr!BT24&lt;&gt;"."),d_dir!AW24/((1/1000)*(d_Irr!V24+d_Irr!AU24+d_Irr!BT24)),IF(AND(d_Irr!V24&lt;&gt;".",d_Irr!AU24&lt;&gt;".",d_Irr!BT24="."),d_dir!AW24/((1/1000)*(d_Irr!V24+d_Irr!AU24)),IF(AND(d_Irr!V24&lt;&gt;".",d_Irr!AU24=".",d_Irr!BT24&lt;&gt;"."),d_dir!AW24/((1/1000)*(d_Irr!V24+d_Irr!BT24)),IF(AND(d_Irr!V24=".",d_Irr!AU24&lt;&gt;".",d_Irr!BT24&lt;&gt;"."),d_dir!AW24/((1/1000)*(d_Irr!AU24+d_Irr!BT24)),IF(AND(d_Irr!V24=".",d_Irr!AU24=".",d_Irr!BT24&lt;&gt;"."),d_dir!AW24/((1/1000)*(d_Irr!BT24)),IF(AND(d_Irr!V24=".",d_Irr!AU24&lt;&gt;".",d_Irr!BT24="."),d_dir!AW24/((1/1000)*(d_Irr!AU24)),IF(AND(d_Irr!V24&lt;&gt;".",d_Irr!AU24=".",d_Irr!BT24="."),d_dir!AW24/((1/1000)*(d_Irr!V24)),IF(AND(d_Irr!V24=".",d_Irr!AU24=".",d_Irr!BT24="."),d_dir!AW24*1000)))))))),".")</f>
        <v>.</v>
      </c>
      <c r="AX24" s="70" t="str">
        <f>IFERROR(IF(AND(d_Irr!W24&lt;&gt;".",d_Irr!AV24&lt;&gt;".",d_Irr!BU24&lt;&gt;"."),d_dir!AX24/((1/1000)*(d_Irr!W24+d_Irr!AV24+d_Irr!BU24)),IF(AND(d_Irr!W24&lt;&gt;".",d_Irr!AV24&lt;&gt;".",d_Irr!BU24="."),d_dir!AX24/((1/1000)*(d_Irr!W24+d_Irr!AV24)),IF(AND(d_Irr!W24&lt;&gt;".",d_Irr!AV24=".",d_Irr!BU24&lt;&gt;"."),d_dir!AX24/((1/1000)*(d_Irr!W24+d_Irr!BU24)),IF(AND(d_Irr!W24=".",d_Irr!AV24&lt;&gt;".",d_Irr!BU24&lt;&gt;"."),d_dir!AX24/((1/1000)*(d_Irr!AV24+d_Irr!BU24)),IF(AND(d_Irr!W24=".",d_Irr!AV24=".",d_Irr!BU24&lt;&gt;"."),d_dir!AX24/((1/1000)*(d_Irr!BU24)),IF(AND(d_Irr!W24=".",d_Irr!AV24&lt;&gt;".",d_Irr!BU24="."),d_dir!AX24/((1/1000)*(d_Irr!AV24)),IF(AND(d_Irr!W24&lt;&gt;".",d_Irr!AV24=".",d_Irr!BU24="."),d_dir!AX24/((1/1000)*(d_Irr!W24)),IF(AND(d_Irr!W24=".",d_Irr!AV24=".",d_Irr!BU24="."),d_dir!AX24*1000)))))))),".")</f>
        <v>.</v>
      </c>
      <c r="AY24" s="70" t="str">
        <f>IFERROR(IF(AND(d_Irr!X24&lt;&gt;".",d_Irr!AW24&lt;&gt;".",d_Irr!BV24&lt;&gt;"."),d_dir!AY24/((1/1000)*(d_Irr!X24+d_Irr!AW24+d_Irr!BV24)),IF(AND(d_Irr!X24&lt;&gt;".",d_Irr!AW24&lt;&gt;".",d_Irr!BV24="."),d_dir!AY24/((1/1000)*(d_Irr!X24+d_Irr!AW24)),IF(AND(d_Irr!X24&lt;&gt;".",d_Irr!AW24=".",d_Irr!BV24&lt;&gt;"."),d_dir!AY24/((1/1000)*(d_Irr!X24+d_Irr!BV24)),IF(AND(d_Irr!X24=".",d_Irr!AW24&lt;&gt;".",d_Irr!BV24&lt;&gt;"."),d_dir!AY24/((1/1000)*(d_Irr!AW24+d_Irr!BV24)),IF(AND(d_Irr!X24=".",d_Irr!AW24=".",d_Irr!BV24&lt;&gt;"."),d_dir!AY24/((1/1000)*(d_Irr!BV24)),IF(AND(d_Irr!X24=".",d_Irr!AW24&lt;&gt;".",d_Irr!BV24="."),d_dir!AY24/((1/1000)*(d_Irr!AW24)),IF(AND(d_Irr!X24&lt;&gt;".",d_Irr!AW24=".",d_Irr!BV24="."),d_dir!AY24/((1/1000)*(d_Irr!X24)),IF(AND(d_Irr!X24=".",d_Irr!AW24=".",d_Irr!BV24="."),d_dir!AY24*1000)))))))),".")</f>
        <v>.</v>
      </c>
      <c r="AZ24" s="70" t="str">
        <f>IFERROR(IF(AND(d_Irr!Y24&lt;&gt;".",d_Irr!AX24&lt;&gt;".",d_Irr!BW24&lt;&gt;"."),d_dir!AZ24/((1/1000)*(d_Irr!Y24+d_Irr!AX24+d_Irr!BW24)),IF(AND(d_Irr!Y24&lt;&gt;".",d_Irr!AX24&lt;&gt;".",d_Irr!BW24="."),d_dir!AZ24/((1/1000)*(d_Irr!Y24+d_Irr!AX24)),IF(AND(d_Irr!Y24&lt;&gt;".",d_Irr!AX24=".",d_Irr!BW24&lt;&gt;"."),d_dir!AZ24/((1/1000)*(d_Irr!Y24+d_Irr!BW24)),IF(AND(d_Irr!Y24=".",d_Irr!AX24&lt;&gt;".",d_Irr!BW24&lt;&gt;"."),d_dir!AZ24/((1/1000)*(d_Irr!AX24+d_Irr!BW24)),IF(AND(d_Irr!Y24=".",d_Irr!AX24=".",d_Irr!BW24&lt;&gt;"."),d_dir!AZ24/((1/1000)*(d_Irr!BW24)),IF(AND(d_Irr!Y24=".",d_Irr!AX24&lt;&gt;".",d_Irr!BW24="."),d_dir!AZ24/((1/1000)*(d_Irr!AX24)),IF(AND(d_Irr!Y24&lt;&gt;".",d_Irr!AX24=".",d_Irr!BW24="."),d_dir!AZ24/((1/1000)*(d_Irr!Y24)),IF(AND(d_Irr!Y24=".",d_Irr!AX24=".",d_Irr!BW24="."),d_dir!AZ24*1000)))))))),".")</f>
        <v>.</v>
      </c>
      <c r="BA24" s="70" t="str">
        <f>IFERROR(IF(AND(d_Irr!Z24&lt;&gt;".",d_Irr!AY24&lt;&gt;".",d_Irr!BX24&lt;&gt;"."),d_dir!BA24/((1/1000)*(d_Irr!Z24+d_Irr!AY24+d_Irr!BX24)),IF(AND(d_Irr!Z24&lt;&gt;".",d_Irr!AY24&lt;&gt;".",d_Irr!BX24="."),d_dir!BA24/((1/1000)*(d_Irr!Z24+d_Irr!AY24)),IF(AND(d_Irr!Z24&lt;&gt;".",d_Irr!AY24=".",d_Irr!BX24&lt;&gt;"."),d_dir!BA24/((1/1000)*(d_Irr!Z24+d_Irr!BX24)),IF(AND(d_Irr!Z24=".",d_Irr!AY24&lt;&gt;".",d_Irr!BX24&lt;&gt;"."),d_dir!BA24/((1/1000)*(d_Irr!AY24+d_Irr!BX24)),IF(AND(d_Irr!Z24=".",d_Irr!AY24=".",d_Irr!BX24&lt;&gt;"."),d_dir!BA24/((1/1000)*(d_Irr!BX24)),IF(AND(d_Irr!Z24=".",d_Irr!AY24&lt;&gt;".",d_Irr!BX24="."),d_dir!BA24/((1/1000)*(d_Irr!AY24)),IF(AND(d_Irr!Z24&lt;&gt;".",d_Irr!AY24=".",d_Irr!BX24="."),d_dir!BA24/((1/1000)*(d_Irr!Z24)),IF(AND(d_Irr!Z24=".",d_Irr!AY24=".",d_Irr!BX24="."),d_dir!BA24*1000)))))))),".")</f>
        <v>.</v>
      </c>
      <c r="BB24" s="70" t="str">
        <f>IFERROR(IF(AND(d_Irr!AA24&lt;&gt;".",d_Irr!AZ24&lt;&gt;".",d_Irr!BY24&lt;&gt;"."),d_dir!BB24/((1/1000)*(d_Irr!AA24+d_Irr!AZ24+d_Irr!BY24)),IF(AND(d_Irr!AA24&lt;&gt;".",d_Irr!AZ24&lt;&gt;".",d_Irr!BY24="."),d_dir!BB24/((1/1000)*(d_Irr!AA24+d_Irr!AZ24)),IF(AND(d_Irr!AA24&lt;&gt;".",d_Irr!AZ24=".",d_Irr!BY24&lt;&gt;"."),d_dir!BB24/((1/1000)*(d_Irr!AA24+d_Irr!BY24)),IF(AND(d_Irr!AA24=".",d_Irr!AZ24&lt;&gt;".",d_Irr!BY24&lt;&gt;"."),d_dir!BB24/((1/1000)*(d_Irr!AZ24+d_Irr!BY24)),IF(AND(d_Irr!AA24=".",d_Irr!AZ24=".",d_Irr!BY24&lt;&gt;"."),d_dir!BB24/((1/1000)*(d_Irr!BY24)),IF(AND(d_Irr!AA24=".",d_Irr!AZ24&lt;&gt;".",d_Irr!BY24="."),d_dir!BB24/((1/1000)*(d_Irr!AZ24)),IF(AND(d_Irr!AA24&lt;&gt;".",d_Irr!AZ24=".",d_Irr!BY24="."),d_dir!BB24/((1/1000)*(d_Irr!AA24)),IF(AND(d_Irr!AA24=".",d_Irr!AZ24=".",d_Irr!BY24="."),d_dir!BB24*1000)))))))),".")</f>
        <v>.</v>
      </c>
    </row>
    <row r="25" spans="1:54" x14ac:dyDescent="0.25">
      <c r="A25" s="88" t="s">
        <v>23</v>
      </c>
      <c r="B25" s="84" t="s">
        <v>335</v>
      </c>
      <c r="C25" s="2" t="str">
        <f t="shared" si="1"/>
        <v>.</v>
      </c>
      <c r="D25" s="70" t="str">
        <f>IFERROR(IF(AND(d_Irr!C25&lt;&gt;".",d_Irr!AB25&lt;&gt;".",d_Irr!BA25&lt;&gt;"."),d_dir!D25/((1/1000)*(d_Irr!C25+d_Irr!AB25+d_Irr!BA25)),IF(AND(d_Irr!C25&lt;&gt;".",d_Irr!AB25&lt;&gt;".",d_Irr!BA25="."),d_dir!D25/((1/1000)*(d_Irr!C25+d_Irr!AB25)),IF(AND(d_Irr!C25&lt;&gt;".",d_Irr!AB25=".",d_Irr!BA25&lt;&gt;"."),d_dir!D25/((1/1000)*(d_Irr!C25+d_Irr!BA25)),IF(AND(d_Irr!C25=".",d_Irr!AB25&lt;&gt;".",d_Irr!BA25&lt;&gt;"."),d_dir!D25/((1/1000)*(d_Irr!AB25+d_Irr!BA25)),IF(AND(d_Irr!C25=".",d_Irr!AB25=".",d_Irr!BA25&lt;&gt;"."),d_dir!D25/((1/1000)*(d_Irr!BA25)),IF(AND(d_Irr!C25=".",d_Irr!AB25&lt;&gt;".",d_Irr!BA25="."),d_dir!D25/((1/1000)*(d_Irr!AB25)),IF(AND(d_Irr!C25&lt;&gt;".",d_Irr!AB25=".",d_Irr!BA25="."),d_dir!D25/((1/1000)*(d_Irr!C25)),IF(AND(d_Irr!C25=".",d_Irr!AB25=".",d_Irr!BA25="."),d_dir!D25*1000)))))))),".")</f>
        <v>.</v>
      </c>
      <c r="E25" s="70" t="str">
        <f>IFERROR(IF(AND(d_Irr!D25&lt;&gt;".",d_Irr!AC25&lt;&gt;".",d_Irr!BB25&lt;&gt;"."),d_dir!E25/((1/1000)*(d_Irr!D25+d_Irr!AC25+d_Irr!BB25)),IF(AND(d_Irr!D25&lt;&gt;".",d_Irr!AC25&lt;&gt;".",d_Irr!BB25="."),d_dir!E25/((1/1000)*(d_Irr!D25+d_Irr!AC25)),IF(AND(d_Irr!D25&lt;&gt;".",d_Irr!AC25=".",d_Irr!BB25&lt;&gt;"."),d_dir!E25/((1/1000)*(d_Irr!D25+d_Irr!BB25)),IF(AND(d_Irr!D25=".",d_Irr!AC25&lt;&gt;".",d_Irr!BB25&lt;&gt;"."),d_dir!E25/((1/1000)*(d_Irr!AC25+d_Irr!BB25)),IF(AND(d_Irr!D25=".",d_Irr!AC25=".",d_Irr!BB25&lt;&gt;"."),d_dir!E25/((1/1000)*(d_Irr!BB25)),IF(AND(d_Irr!D25=".",d_Irr!AC25&lt;&gt;".",d_Irr!BB25="."),d_dir!E25/((1/1000)*(d_Irr!AC25)),IF(AND(d_Irr!D25&lt;&gt;".",d_Irr!AC25=".",d_Irr!BB25="."),d_dir!E25/((1/1000)*(d_Irr!D25)),IF(AND(d_Irr!D25=".",d_Irr!AC25=".",d_Irr!BB25="."),d_dir!E25*1000)))))))),".")</f>
        <v>.</v>
      </c>
      <c r="F25" s="70" t="str">
        <f>IFERROR(IF(AND(d_Irr!E25&lt;&gt;".",d_Irr!AD25&lt;&gt;".",d_Irr!BC25&lt;&gt;"."),d_dir!F25/((1/1000)*(d_Irr!E25+d_Irr!AD25+d_Irr!BC25)),IF(AND(d_Irr!E25&lt;&gt;".",d_Irr!AD25&lt;&gt;".",d_Irr!BC25="."),d_dir!F25/((1/1000)*(d_Irr!E25+d_Irr!AD25)),IF(AND(d_Irr!E25&lt;&gt;".",d_Irr!AD25=".",d_Irr!BC25&lt;&gt;"."),d_dir!F25/((1/1000)*(d_Irr!E25+d_Irr!BC25)),IF(AND(d_Irr!E25=".",d_Irr!AD25&lt;&gt;".",d_Irr!BC25&lt;&gt;"."),d_dir!F25/((1/1000)*(d_Irr!AD25+d_Irr!BC25)),IF(AND(d_Irr!E25=".",d_Irr!AD25=".",d_Irr!BC25&lt;&gt;"."),d_dir!F25/((1/1000)*(d_Irr!BC25)),IF(AND(d_Irr!E25=".",d_Irr!AD25&lt;&gt;".",d_Irr!BC25="."),d_dir!F25/((1/1000)*(d_Irr!AD25)),IF(AND(d_Irr!E25&lt;&gt;".",d_Irr!AD25=".",d_Irr!BC25="."),d_dir!F25/((1/1000)*(d_Irr!E25)),IF(AND(d_Irr!E25=".",d_Irr!AD25=".",d_Irr!BC25="."),d_dir!F25*1000)))))))),".")</f>
        <v>.</v>
      </c>
      <c r="G25" s="70" t="str">
        <f>IFERROR(IF(AND(d_Irr!F25&lt;&gt;".",d_Irr!AE25&lt;&gt;".",d_Irr!BD25&lt;&gt;"."),d_dir!G25/((1/1000)*(d_Irr!F25+d_Irr!AE25+d_Irr!BD25)),IF(AND(d_Irr!F25&lt;&gt;".",d_Irr!AE25&lt;&gt;".",d_Irr!BD25="."),d_dir!G25/((1/1000)*(d_Irr!F25+d_Irr!AE25)),IF(AND(d_Irr!F25&lt;&gt;".",d_Irr!AE25=".",d_Irr!BD25&lt;&gt;"."),d_dir!G25/((1/1000)*(d_Irr!F25+d_Irr!BD25)),IF(AND(d_Irr!F25=".",d_Irr!AE25&lt;&gt;".",d_Irr!BD25&lt;&gt;"."),d_dir!G25/((1/1000)*(d_Irr!AE25+d_Irr!BD25)),IF(AND(d_Irr!F25=".",d_Irr!AE25=".",d_Irr!BD25&lt;&gt;"."),d_dir!G25/((1/1000)*(d_Irr!BD25)),IF(AND(d_Irr!F25=".",d_Irr!AE25&lt;&gt;".",d_Irr!BD25="."),d_dir!G25/((1/1000)*(d_Irr!AE25)),IF(AND(d_Irr!F25&lt;&gt;".",d_Irr!AE25=".",d_Irr!BD25="."),d_dir!G25/((1/1000)*(d_Irr!F25)),IF(AND(d_Irr!F25=".",d_Irr!AE25=".",d_Irr!BD25="."),d_dir!G25*1000)))))))),".")</f>
        <v>.</v>
      </c>
      <c r="H25" s="70" t="str">
        <f>IFERROR(IF(AND(d_Irr!G25&lt;&gt;".",d_Irr!AF25&lt;&gt;".",d_Irr!BE25&lt;&gt;"."),d_dir!H25/((1/1000)*(d_Irr!G25+d_Irr!AF25+d_Irr!BE25)),IF(AND(d_Irr!G25&lt;&gt;".",d_Irr!AF25&lt;&gt;".",d_Irr!BE25="."),d_dir!H25/((1/1000)*(d_Irr!G25+d_Irr!AF25)),IF(AND(d_Irr!G25&lt;&gt;".",d_Irr!AF25=".",d_Irr!BE25&lt;&gt;"."),d_dir!H25/((1/1000)*(d_Irr!G25+d_Irr!BE25)),IF(AND(d_Irr!G25=".",d_Irr!AF25&lt;&gt;".",d_Irr!BE25&lt;&gt;"."),d_dir!H25/((1/1000)*(d_Irr!AF25+d_Irr!BE25)),IF(AND(d_Irr!G25=".",d_Irr!AF25=".",d_Irr!BE25&lt;&gt;"."),d_dir!H25/((1/1000)*(d_Irr!BE25)),IF(AND(d_Irr!G25=".",d_Irr!AF25&lt;&gt;".",d_Irr!BE25="."),d_dir!H25/((1/1000)*(d_Irr!AF25)),IF(AND(d_Irr!G25&lt;&gt;".",d_Irr!AF25=".",d_Irr!BE25="."),d_dir!H25/((1/1000)*(d_Irr!G25)),IF(AND(d_Irr!G25=".",d_Irr!AF25=".",d_Irr!BE25="."),d_dir!H25*1000)))))))),".")</f>
        <v>.</v>
      </c>
      <c r="I25" s="70" t="str">
        <f>IFERROR(IF(AND(d_Irr!H25&lt;&gt;".",d_Irr!AG25&lt;&gt;".",d_Irr!BF25&lt;&gt;"."),d_dir!I25/((1/1000)*(d_Irr!H25+d_Irr!AG25+d_Irr!BF25)),IF(AND(d_Irr!H25&lt;&gt;".",d_Irr!AG25&lt;&gt;".",d_Irr!BF25="."),d_dir!I25/((1/1000)*(d_Irr!H25+d_Irr!AG25)),IF(AND(d_Irr!H25&lt;&gt;".",d_Irr!AG25=".",d_Irr!BF25&lt;&gt;"."),d_dir!I25/((1/1000)*(d_Irr!H25+d_Irr!BF25)),IF(AND(d_Irr!H25=".",d_Irr!AG25&lt;&gt;".",d_Irr!BF25&lt;&gt;"."),d_dir!I25/((1/1000)*(d_Irr!AG25+d_Irr!BF25)),IF(AND(d_Irr!H25=".",d_Irr!AG25=".",d_Irr!BF25&lt;&gt;"."),d_dir!I25/((1/1000)*(d_Irr!BF25)),IF(AND(d_Irr!H25=".",d_Irr!AG25&lt;&gt;".",d_Irr!BF25="."),d_dir!I25/((1/1000)*(d_Irr!AG25)),IF(AND(d_Irr!H25&lt;&gt;".",d_Irr!AG25=".",d_Irr!BF25="."),d_dir!I25/((1/1000)*(d_Irr!H25)),IF(AND(d_Irr!H25=".",d_Irr!AG25=".",d_Irr!BF25="."),d_dir!I25*1000)))))))),".")</f>
        <v>.</v>
      </c>
      <c r="J25" s="70" t="str">
        <f>IFERROR(IF(AND(d_Irr!I25&lt;&gt;".",d_Irr!AH25&lt;&gt;".",d_Irr!BG25&lt;&gt;"."),d_dir!J25/((1/1000)*(d_Irr!I25+d_Irr!AH25+d_Irr!BG25)),IF(AND(d_Irr!I25&lt;&gt;".",d_Irr!AH25&lt;&gt;".",d_Irr!BG25="."),d_dir!J25/((1/1000)*(d_Irr!I25+d_Irr!AH25)),IF(AND(d_Irr!I25&lt;&gt;".",d_Irr!AH25=".",d_Irr!BG25&lt;&gt;"."),d_dir!J25/((1/1000)*(d_Irr!I25+d_Irr!BG25)),IF(AND(d_Irr!I25=".",d_Irr!AH25&lt;&gt;".",d_Irr!BG25&lt;&gt;"."),d_dir!J25/((1/1000)*(d_Irr!AH25+d_Irr!BG25)),IF(AND(d_Irr!I25=".",d_Irr!AH25=".",d_Irr!BG25&lt;&gt;"."),d_dir!J25/((1/1000)*(d_Irr!BG25)),IF(AND(d_Irr!I25=".",d_Irr!AH25&lt;&gt;".",d_Irr!BG25="."),d_dir!J25/((1/1000)*(d_Irr!AH25)),IF(AND(d_Irr!I25&lt;&gt;".",d_Irr!AH25=".",d_Irr!BG25="."),d_dir!J25/((1/1000)*(d_Irr!I25)),IF(AND(d_Irr!I25=".",d_Irr!AH25=".",d_Irr!BG25="."),d_dir!J25*1000)))))))),".")</f>
        <v>.</v>
      </c>
      <c r="K25" s="70" t="str">
        <f>IFERROR(IF(AND(d_Irr!J25&lt;&gt;".",d_Irr!AI25&lt;&gt;".",d_Irr!BH25&lt;&gt;"."),d_dir!K25/((1/1000)*(d_Irr!J25+d_Irr!AI25+d_Irr!BH25)),IF(AND(d_Irr!J25&lt;&gt;".",d_Irr!AI25&lt;&gt;".",d_Irr!BH25="."),d_dir!K25/((1/1000)*(d_Irr!J25+d_Irr!AI25)),IF(AND(d_Irr!J25&lt;&gt;".",d_Irr!AI25=".",d_Irr!BH25&lt;&gt;"."),d_dir!K25/((1/1000)*(d_Irr!J25+d_Irr!BH25)),IF(AND(d_Irr!J25=".",d_Irr!AI25&lt;&gt;".",d_Irr!BH25&lt;&gt;"."),d_dir!K25/((1/1000)*(d_Irr!AI25+d_Irr!BH25)),IF(AND(d_Irr!J25=".",d_Irr!AI25=".",d_Irr!BH25&lt;&gt;"."),d_dir!K25/((1/1000)*(d_Irr!BH25)),IF(AND(d_Irr!J25=".",d_Irr!AI25&lt;&gt;".",d_Irr!BH25="."),d_dir!K25/((1/1000)*(d_Irr!AI25)),IF(AND(d_Irr!J25&lt;&gt;".",d_Irr!AI25=".",d_Irr!BH25="."),d_dir!K25/((1/1000)*(d_Irr!J25)),IF(AND(d_Irr!J25=".",d_Irr!AI25=".",d_Irr!BH25="."),d_dir!K25*1000)))))))),".")</f>
        <v>.</v>
      </c>
      <c r="L25" s="70" t="str">
        <f>IFERROR(IF(AND(d_Irr!K25&lt;&gt;".",d_Irr!AJ25&lt;&gt;".",d_Irr!BI25&lt;&gt;"."),d_dir!L25/((1/1000)*(d_Irr!K25+d_Irr!AJ25+d_Irr!BI25)),IF(AND(d_Irr!K25&lt;&gt;".",d_Irr!AJ25&lt;&gt;".",d_Irr!BI25="."),d_dir!L25/((1/1000)*(d_Irr!K25+d_Irr!AJ25)),IF(AND(d_Irr!K25&lt;&gt;".",d_Irr!AJ25=".",d_Irr!BI25&lt;&gt;"."),d_dir!L25/((1/1000)*(d_Irr!K25+d_Irr!BI25)),IF(AND(d_Irr!K25=".",d_Irr!AJ25&lt;&gt;".",d_Irr!BI25&lt;&gt;"."),d_dir!L25/((1/1000)*(d_Irr!AJ25+d_Irr!BI25)),IF(AND(d_Irr!K25=".",d_Irr!AJ25=".",d_Irr!BI25&lt;&gt;"."),d_dir!L25/((1/1000)*(d_Irr!BI25)),IF(AND(d_Irr!K25=".",d_Irr!AJ25&lt;&gt;".",d_Irr!BI25="."),d_dir!L25/((1/1000)*(d_Irr!AJ25)),IF(AND(d_Irr!K25&lt;&gt;".",d_Irr!AJ25=".",d_Irr!BI25="."),d_dir!L25/((1/1000)*(d_Irr!K25)),IF(AND(d_Irr!K25=".",d_Irr!AJ25=".",d_Irr!BI25="."),d_dir!L25*1000)))))))),".")</f>
        <v>.</v>
      </c>
      <c r="M25" s="70" t="str">
        <f>IFERROR(IF(AND(d_Irr!L25&lt;&gt;".",d_Irr!AK25&lt;&gt;".",d_Irr!BJ25&lt;&gt;"."),d_dir!M25/((1/1000)*(d_Irr!L25+d_Irr!AK25+d_Irr!BJ25)),IF(AND(d_Irr!L25&lt;&gt;".",d_Irr!AK25&lt;&gt;".",d_Irr!BJ25="."),d_dir!M25/((1/1000)*(d_Irr!L25+d_Irr!AK25)),IF(AND(d_Irr!L25&lt;&gt;".",d_Irr!AK25=".",d_Irr!BJ25&lt;&gt;"."),d_dir!M25/((1/1000)*(d_Irr!L25+d_Irr!BJ25)),IF(AND(d_Irr!L25=".",d_Irr!AK25&lt;&gt;".",d_Irr!BJ25&lt;&gt;"."),d_dir!M25/((1/1000)*(d_Irr!AK25+d_Irr!BJ25)),IF(AND(d_Irr!L25=".",d_Irr!AK25=".",d_Irr!BJ25&lt;&gt;"."),d_dir!M25/((1/1000)*(d_Irr!BJ25)),IF(AND(d_Irr!L25=".",d_Irr!AK25&lt;&gt;".",d_Irr!BJ25="."),d_dir!M25/((1/1000)*(d_Irr!AK25)),IF(AND(d_Irr!L25&lt;&gt;".",d_Irr!AK25=".",d_Irr!BJ25="."),d_dir!M25/((1/1000)*(d_Irr!L25)),IF(AND(d_Irr!L25=".",d_Irr!AK25=".",d_Irr!BJ25="."),d_dir!M25*1000)))))))),".")</f>
        <v>.</v>
      </c>
      <c r="N25" s="70" t="str">
        <f>IFERROR(IF(AND(d_Irr!M25&lt;&gt;".",d_Irr!AL25&lt;&gt;".",d_Irr!BK25&lt;&gt;"."),d_dir!N25/((1/1000)*(d_Irr!M25+d_Irr!AL25+d_Irr!BK25)),IF(AND(d_Irr!M25&lt;&gt;".",d_Irr!AL25&lt;&gt;".",d_Irr!BK25="."),d_dir!N25/((1/1000)*(d_Irr!M25+d_Irr!AL25)),IF(AND(d_Irr!M25&lt;&gt;".",d_Irr!AL25=".",d_Irr!BK25&lt;&gt;"."),d_dir!N25/((1/1000)*(d_Irr!M25+d_Irr!BK25)),IF(AND(d_Irr!M25=".",d_Irr!AL25&lt;&gt;".",d_Irr!BK25&lt;&gt;"."),d_dir!N25/((1/1000)*(d_Irr!AL25+d_Irr!BK25)),IF(AND(d_Irr!M25=".",d_Irr!AL25=".",d_Irr!BK25&lt;&gt;"."),d_dir!N25/((1/1000)*(d_Irr!BK25)),IF(AND(d_Irr!M25=".",d_Irr!AL25&lt;&gt;".",d_Irr!BK25="."),d_dir!N25/((1/1000)*(d_Irr!AL25)),IF(AND(d_Irr!M25&lt;&gt;".",d_Irr!AL25=".",d_Irr!BK25="."),d_dir!N25/((1/1000)*(d_Irr!M25)),IF(AND(d_Irr!M25=".",d_Irr!AL25=".",d_Irr!BK25="."),d_dir!N25*1000)))))))),".")</f>
        <v>.</v>
      </c>
      <c r="O25" s="70" t="str">
        <f>IFERROR(IF(AND(d_Irr!N25&lt;&gt;".",d_Irr!AM25&lt;&gt;".",d_Irr!BL25&lt;&gt;"."),d_dir!O25/((1/1000)*(d_Irr!N25+d_Irr!AM25+d_Irr!BL25)),IF(AND(d_Irr!N25&lt;&gt;".",d_Irr!AM25&lt;&gt;".",d_Irr!BL25="."),d_dir!O25/((1/1000)*(d_Irr!N25+d_Irr!AM25)),IF(AND(d_Irr!N25&lt;&gt;".",d_Irr!AM25=".",d_Irr!BL25&lt;&gt;"."),d_dir!O25/((1/1000)*(d_Irr!N25+d_Irr!BL25)),IF(AND(d_Irr!N25=".",d_Irr!AM25&lt;&gt;".",d_Irr!BL25&lt;&gt;"."),d_dir!O25/((1/1000)*(d_Irr!AM25+d_Irr!BL25)),IF(AND(d_Irr!N25=".",d_Irr!AM25=".",d_Irr!BL25&lt;&gt;"."),d_dir!O25/((1/1000)*(d_Irr!BL25)),IF(AND(d_Irr!N25=".",d_Irr!AM25&lt;&gt;".",d_Irr!BL25="."),d_dir!O25/((1/1000)*(d_Irr!AM25)),IF(AND(d_Irr!N25&lt;&gt;".",d_Irr!AM25=".",d_Irr!BL25="."),d_dir!O25/((1/1000)*(d_Irr!N25)),IF(AND(d_Irr!N25=".",d_Irr!AM25=".",d_Irr!BL25="."),d_dir!O25*1000)))))))),".")</f>
        <v>.</v>
      </c>
      <c r="P25" s="70" t="str">
        <f>IFERROR(IF(AND(d_Irr!O25&lt;&gt;".",d_Irr!AN25&lt;&gt;".",d_Irr!BM25&lt;&gt;"."),d_dir!P25/((1/1000)*(d_Irr!O25+d_Irr!AN25+d_Irr!BM25)),IF(AND(d_Irr!O25&lt;&gt;".",d_Irr!AN25&lt;&gt;".",d_Irr!BM25="."),d_dir!P25/((1/1000)*(d_Irr!O25+d_Irr!AN25)),IF(AND(d_Irr!O25&lt;&gt;".",d_Irr!AN25=".",d_Irr!BM25&lt;&gt;"."),d_dir!P25/((1/1000)*(d_Irr!O25+d_Irr!BM25)),IF(AND(d_Irr!O25=".",d_Irr!AN25&lt;&gt;".",d_Irr!BM25&lt;&gt;"."),d_dir!P25/((1/1000)*(d_Irr!AN25+d_Irr!BM25)),IF(AND(d_Irr!O25=".",d_Irr!AN25=".",d_Irr!BM25&lt;&gt;"."),d_dir!P25/((1/1000)*(d_Irr!BM25)),IF(AND(d_Irr!O25=".",d_Irr!AN25&lt;&gt;".",d_Irr!BM25="."),d_dir!P25/((1/1000)*(d_Irr!AN25)),IF(AND(d_Irr!O25&lt;&gt;".",d_Irr!AN25=".",d_Irr!BM25="."),d_dir!P25/((1/1000)*(d_Irr!O25)),IF(AND(d_Irr!O25=".",d_Irr!AN25=".",d_Irr!BM25="."),d_dir!P25*1000)))))))),".")</f>
        <v>.</v>
      </c>
      <c r="Q25" s="70" t="str">
        <f>IFERROR(IF(AND(d_Irr!P25&lt;&gt;".",d_Irr!AO25&lt;&gt;".",d_Irr!BN25&lt;&gt;"."),d_dir!Q25/((1/1000)*(d_Irr!P25+d_Irr!AO25+d_Irr!BN25)),IF(AND(d_Irr!P25&lt;&gt;".",d_Irr!AO25&lt;&gt;".",d_Irr!BN25="."),d_dir!Q25/((1/1000)*(d_Irr!P25+d_Irr!AO25)),IF(AND(d_Irr!P25&lt;&gt;".",d_Irr!AO25=".",d_Irr!BN25&lt;&gt;"."),d_dir!Q25/((1/1000)*(d_Irr!P25+d_Irr!BN25)),IF(AND(d_Irr!P25=".",d_Irr!AO25&lt;&gt;".",d_Irr!BN25&lt;&gt;"."),d_dir!Q25/((1/1000)*(d_Irr!AO25+d_Irr!BN25)),IF(AND(d_Irr!P25=".",d_Irr!AO25=".",d_Irr!BN25&lt;&gt;"."),d_dir!Q25/((1/1000)*(d_Irr!BN25)),IF(AND(d_Irr!P25=".",d_Irr!AO25&lt;&gt;".",d_Irr!BN25="."),d_dir!Q25/((1/1000)*(d_Irr!AO25)),IF(AND(d_Irr!P25&lt;&gt;".",d_Irr!AO25=".",d_Irr!BN25="."),d_dir!Q25/((1/1000)*(d_Irr!P25)),IF(AND(d_Irr!P25=".",d_Irr!AO25=".",d_Irr!BN25="."),d_dir!Q25*1000)))))))),".")</f>
        <v>.</v>
      </c>
      <c r="R25" s="70" t="str">
        <f>IFERROR(IF(AND(d_Irr!Q25&lt;&gt;".",d_Irr!AP25&lt;&gt;".",d_Irr!BO25&lt;&gt;"."),d_dir!R25/((1/1000)*(d_Irr!Q25+d_Irr!AP25+d_Irr!BO25)),IF(AND(d_Irr!Q25&lt;&gt;".",d_Irr!AP25&lt;&gt;".",d_Irr!BO25="."),d_dir!R25/((1/1000)*(d_Irr!Q25+d_Irr!AP25)),IF(AND(d_Irr!Q25&lt;&gt;".",d_Irr!AP25=".",d_Irr!BO25&lt;&gt;"."),d_dir!R25/((1/1000)*(d_Irr!Q25+d_Irr!BO25)),IF(AND(d_Irr!Q25=".",d_Irr!AP25&lt;&gt;".",d_Irr!BO25&lt;&gt;"."),d_dir!R25/((1/1000)*(d_Irr!AP25+d_Irr!BO25)),IF(AND(d_Irr!Q25=".",d_Irr!AP25=".",d_Irr!BO25&lt;&gt;"."),d_dir!R25/((1/1000)*(d_Irr!BO25)),IF(AND(d_Irr!Q25=".",d_Irr!AP25&lt;&gt;".",d_Irr!BO25="."),d_dir!R25/((1/1000)*(d_Irr!AP25)),IF(AND(d_Irr!Q25&lt;&gt;".",d_Irr!AP25=".",d_Irr!BO25="."),d_dir!R25/((1/1000)*(d_Irr!Q25)),IF(AND(d_Irr!Q25=".",d_Irr!AP25=".",d_Irr!BO25="."),d_dir!R25*1000)))))))),".")</f>
        <v>.</v>
      </c>
      <c r="S25" s="70" t="str">
        <f>IFERROR(IF(AND(d_Irr!R25&lt;&gt;".",d_Irr!AQ25&lt;&gt;".",d_Irr!BP25&lt;&gt;"."),d_dir!S25/((1/1000)*(d_Irr!R25+d_Irr!AQ25+d_Irr!BP25)),IF(AND(d_Irr!R25&lt;&gt;".",d_Irr!AQ25&lt;&gt;".",d_Irr!BP25="."),d_dir!S25/((1/1000)*(d_Irr!R25+d_Irr!AQ25)),IF(AND(d_Irr!R25&lt;&gt;".",d_Irr!AQ25=".",d_Irr!BP25&lt;&gt;"."),d_dir!S25/((1/1000)*(d_Irr!R25+d_Irr!BP25)),IF(AND(d_Irr!R25=".",d_Irr!AQ25&lt;&gt;".",d_Irr!BP25&lt;&gt;"."),d_dir!S25/((1/1000)*(d_Irr!AQ25+d_Irr!BP25)),IF(AND(d_Irr!R25=".",d_Irr!AQ25=".",d_Irr!BP25&lt;&gt;"."),d_dir!S25/((1/1000)*(d_Irr!BP25)),IF(AND(d_Irr!R25=".",d_Irr!AQ25&lt;&gt;".",d_Irr!BP25="."),d_dir!S25/((1/1000)*(d_Irr!AQ25)),IF(AND(d_Irr!R25&lt;&gt;".",d_Irr!AQ25=".",d_Irr!BP25="."),d_dir!S25/((1/1000)*(d_Irr!R25)),IF(AND(d_Irr!R25=".",d_Irr!AQ25=".",d_Irr!BP25="."),d_dir!S25*1000)))))))),".")</f>
        <v>.</v>
      </c>
      <c r="T25" s="70" t="str">
        <f>IFERROR(IF(AND(d_Irr!S25&lt;&gt;".",d_Irr!AR25&lt;&gt;".",d_Irr!BQ25&lt;&gt;"."),d_dir!T25/((1/1000)*(d_Irr!S25+d_Irr!AR25+d_Irr!BQ25)),IF(AND(d_Irr!S25&lt;&gt;".",d_Irr!AR25&lt;&gt;".",d_Irr!BQ25="."),d_dir!T25/((1/1000)*(d_Irr!S25+d_Irr!AR25)),IF(AND(d_Irr!S25&lt;&gt;".",d_Irr!AR25=".",d_Irr!BQ25&lt;&gt;"."),d_dir!T25/((1/1000)*(d_Irr!S25+d_Irr!BQ25)),IF(AND(d_Irr!S25=".",d_Irr!AR25&lt;&gt;".",d_Irr!BQ25&lt;&gt;"."),d_dir!T25/((1/1000)*(d_Irr!AR25+d_Irr!BQ25)),IF(AND(d_Irr!S25=".",d_Irr!AR25=".",d_Irr!BQ25&lt;&gt;"."),d_dir!T25/((1/1000)*(d_Irr!BQ25)),IF(AND(d_Irr!S25=".",d_Irr!AR25&lt;&gt;".",d_Irr!BQ25="."),d_dir!T25/((1/1000)*(d_Irr!AR25)),IF(AND(d_Irr!S25&lt;&gt;".",d_Irr!AR25=".",d_Irr!BQ25="."),d_dir!T25/((1/1000)*(d_Irr!S25)),IF(AND(d_Irr!S25=".",d_Irr!AR25=".",d_Irr!BQ25="."),d_dir!T25*1000)))))))),".")</f>
        <v>.</v>
      </c>
      <c r="U25" s="70" t="str">
        <f>IFERROR(IF(AND(d_Irr!T25&lt;&gt;".",d_Irr!AS25&lt;&gt;".",d_Irr!BR25&lt;&gt;"."),d_dir!U25/((1/1000)*(d_Irr!T25+d_Irr!AS25+d_Irr!BR25)),IF(AND(d_Irr!T25&lt;&gt;".",d_Irr!AS25&lt;&gt;".",d_Irr!BR25="."),d_dir!U25/((1/1000)*(d_Irr!T25+d_Irr!AS25)),IF(AND(d_Irr!T25&lt;&gt;".",d_Irr!AS25=".",d_Irr!BR25&lt;&gt;"."),d_dir!U25/((1/1000)*(d_Irr!T25+d_Irr!BR25)),IF(AND(d_Irr!T25=".",d_Irr!AS25&lt;&gt;".",d_Irr!BR25&lt;&gt;"."),d_dir!U25/((1/1000)*(d_Irr!AS25+d_Irr!BR25)),IF(AND(d_Irr!T25=".",d_Irr!AS25=".",d_Irr!BR25&lt;&gt;"."),d_dir!U25/((1/1000)*(d_Irr!BR25)),IF(AND(d_Irr!T25=".",d_Irr!AS25&lt;&gt;".",d_Irr!BR25="."),d_dir!U25/((1/1000)*(d_Irr!AS25)),IF(AND(d_Irr!T25&lt;&gt;".",d_Irr!AS25=".",d_Irr!BR25="."),d_dir!U25/((1/1000)*(d_Irr!T25)),IF(AND(d_Irr!T25=".",d_Irr!AS25=".",d_Irr!BR25="."),d_dir!U25*1000)))))))),".")</f>
        <v>.</v>
      </c>
      <c r="V25" s="70" t="str">
        <f>IFERROR(IF(AND(d_Irr!U25&lt;&gt;".",d_Irr!AT25&lt;&gt;".",d_Irr!BS25&lt;&gt;"."),d_dir!V25/((1/1000)*(d_Irr!U25+d_Irr!AT25+d_Irr!BS25)),IF(AND(d_Irr!U25&lt;&gt;".",d_Irr!AT25&lt;&gt;".",d_Irr!BS25="."),d_dir!V25/((1/1000)*(d_Irr!U25+d_Irr!AT25)),IF(AND(d_Irr!U25&lt;&gt;".",d_Irr!AT25=".",d_Irr!BS25&lt;&gt;"."),d_dir!V25/((1/1000)*(d_Irr!U25+d_Irr!BS25)),IF(AND(d_Irr!U25=".",d_Irr!AT25&lt;&gt;".",d_Irr!BS25&lt;&gt;"."),d_dir!V25/((1/1000)*(d_Irr!AT25+d_Irr!BS25)),IF(AND(d_Irr!U25=".",d_Irr!AT25=".",d_Irr!BS25&lt;&gt;"."),d_dir!V25/((1/1000)*(d_Irr!BS25)),IF(AND(d_Irr!U25=".",d_Irr!AT25&lt;&gt;".",d_Irr!BS25="."),d_dir!V25/((1/1000)*(d_Irr!AT25)),IF(AND(d_Irr!U25&lt;&gt;".",d_Irr!AT25=".",d_Irr!BS25="."),d_dir!V25/((1/1000)*(d_Irr!U25)),IF(AND(d_Irr!U25=".",d_Irr!AT25=".",d_Irr!BS25="."),d_dir!V25*1000)))))))),".")</f>
        <v>.</v>
      </c>
      <c r="W25" s="70" t="str">
        <f>IFERROR(IF(AND(d_Irr!V25&lt;&gt;".",d_Irr!AU25&lt;&gt;".",d_Irr!BT25&lt;&gt;"."),d_dir!W25/((1/1000)*(d_Irr!V25+d_Irr!AU25+d_Irr!BT25)),IF(AND(d_Irr!V25&lt;&gt;".",d_Irr!AU25&lt;&gt;".",d_Irr!BT25="."),d_dir!W25/((1/1000)*(d_Irr!V25+d_Irr!AU25)),IF(AND(d_Irr!V25&lt;&gt;".",d_Irr!AU25=".",d_Irr!BT25&lt;&gt;"."),d_dir!W25/((1/1000)*(d_Irr!V25+d_Irr!BT25)),IF(AND(d_Irr!V25=".",d_Irr!AU25&lt;&gt;".",d_Irr!BT25&lt;&gt;"."),d_dir!W25/((1/1000)*(d_Irr!AU25+d_Irr!BT25)),IF(AND(d_Irr!V25=".",d_Irr!AU25=".",d_Irr!BT25&lt;&gt;"."),d_dir!W25/((1/1000)*(d_Irr!BT25)),IF(AND(d_Irr!V25=".",d_Irr!AU25&lt;&gt;".",d_Irr!BT25="."),d_dir!W25/((1/1000)*(d_Irr!AU25)),IF(AND(d_Irr!V25&lt;&gt;".",d_Irr!AU25=".",d_Irr!BT25="."),d_dir!W25/((1/1000)*(d_Irr!V25)),IF(AND(d_Irr!V25=".",d_Irr!AU25=".",d_Irr!BT25="."),d_dir!W25*1000)))))))),".")</f>
        <v>.</v>
      </c>
      <c r="X25" s="70" t="str">
        <f>IFERROR(IF(AND(d_Irr!W25&lt;&gt;".",d_Irr!AV25&lt;&gt;".",d_Irr!BU25&lt;&gt;"."),d_dir!X25/((1/1000)*(d_Irr!W25+d_Irr!AV25+d_Irr!BU25)),IF(AND(d_Irr!W25&lt;&gt;".",d_Irr!AV25&lt;&gt;".",d_Irr!BU25="."),d_dir!X25/((1/1000)*(d_Irr!W25+d_Irr!AV25)),IF(AND(d_Irr!W25&lt;&gt;".",d_Irr!AV25=".",d_Irr!BU25&lt;&gt;"."),d_dir!X25/((1/1000)*(d_Irr!W25+d_Irr!BU25)),IF(AND(d_Irr!W25=".",d_Irr!AV25&lt;&gt;".",d_Irr!BU25&lt;&gt;"."),d_dir!X25/((1/1000)*(d_Irr!AV25+d_Irr!BU25)),IF(AND(d_Irr!W25=".",d_Irr!AV25=".",d_Irr!BU25&lt;&gt;"."),d_dir!X25/((1/1000)*(d_Irr!BU25)),IF(AND(d_Irr!W25=".",d_Irr!AV25&lt;&gt;".",d_Irr!BU25="."),d_dir!X25/((1/1000)*(d_Irr!AV25)),IF(AND(d_Irr!W25&lt;&gt;".",d_Irr!AV25=".",d_Irr!BU25="."),d_dir!X25/((1/1000)*(d_Irr!W25)),IF(AND(d_Irr!W25=".",d_Irr!AV25=".",d_Irr!BU25="."),d_dir!X25*1000)))))))),".")</f>
        <v>.</v>
      </c>
      <c r="Y25" s="70" t="str">
        <f>IFERROR(IF(AND(d_Irr!X25&lt;&gt;".",d_Irr!AW25&lt;&gt;".",d_Irr!BV25&lt;&gt;"."),d_dir!Y25/((1/1000)*(d_Irr!X25+d_Irr!AW25+d_Irr!BV25)),IF(AND(d_Irr!X25&lt;&gt;".",d_Irr!AW25&lt;&gt;".",d_Irr!BV25="."),d_dir!Y25/((1/1000)*(d_Irr!X25+d_Irr!AW25)),IF(AND(d_Irr!X25&lt;&gt;".",d_Irr!AW25=".",d_Irr!BV25&lt;&gt;"."),d_dir!Y25/((1/1000)*(d_Irr!X25+d_Irr!BV25)),IF(AND(d_Irr!X25=".",d_Irr!AW25&lt;&gt;".",d_Irr!BV25&lt;&gt;"."),d_dir!Y25/((1/1000)*(d_Irr!AW25+d_Irr!BV25)),IF(AND(d_Irr!X25=".",d_Irr!AW25=".",d_Irr!BV25&lt;&gt;"."),d_dir!Y25/((1/1000)*(d_Irr!BV25)),IF(AND(d_Irr!X25=".",d_Irr!AW25&lt;&gt;".",d_Irr!BV25="."),d_dir!Y25/((1/1000)*(d_Irr!AW25)),IF(AND(d_Irr!X25&lt;&gt;".",d_Irr!AW25=".",d_Irr!BV25="."),d_dir!Y25/((1/1000)*(d_Irr!X25)),IF(AND(d_Irr!X25=".",d_Irr!AW25=".",d_Irr!BV25="."),d_dir!Y25*1000)))))))),".")</f>
        <v>.</v>
      </c>
      <c r="Z25" s="70" t="str">
        <f>IFERROR(IF(AND(d_Irr!Y25&lt;&gt;".",d_Irr!AX25&lt;&gt;".",d_Irr!BW25&lt;&gt;"."),d_dir!Z25/((1/1000)*(d_Irr!Y25+d_Irr!AX25+d_Irr!BW25)),IF(AND(d_Irr!Y25&lt;&gt;".",d_Irr!AX25&lt;&gt;".",d_Irr!BW25="."),d_dir!Z25/((1/1000)*(d_Irr!Y25+d_Irr!AX25)),IF(AND(d_Irr!Y25&lt;&gt;".",d_Irr!AX25=".",d_Irr!BW25&lt;&gt;"."),d_dir!Z25/((1/1000)*(d_Irr!Y25+d_Irr!BW25)),IF(AND(d_Irr!Y25=".",d_Irr!AX25&lt;&gt;".",d_Irr!BW25&lt;&gt;"."),d_dir!Z25/((1/1000)*(d_Irr!AX25+d_Irr!BW25)),IF(AND(d_Irr!Y25=".",d_Irr!AX25=".",d_Irr!BW25&lt;&gt;"."),d_dir!Z25/((1/1000)*(d_Irr!BW25)),IF(AND(d_Irr!Y25=".",d_Irr!AX25&lt;&gt;".",d_Irr!BW25="."),d_dir!Z25/((1/1000)*(d_Irr!AX25)),IF(AND(d_Irr!Y25&lt;&gt;".",d_Irr!AX25=".",d_Irr!BW25="."),d_dir!Z25/((1/1000)*(d_Irr!Y25)),IF(AND(d_Irr!Y25=".",d_Irr!AX25=".",d_Irr!BW25="."),d_dir!Z25*1000)))))))),".")</f>
        <v>.</v>
      </c>
      <c r="AA25" s="70" t="str">
        <f>IFERROR(IF(AND(d_Irr!Z25&lt;&gt;".",d_Irr!AY25&lt;&gt;".",d_Irr!BX25&lt;&gt;"."),d_dir!AA25/((1/1000)*(d_Irr!Z25+d_Irr!AY25+d_Irr!BX25)),IF(AND(d_Irr!Z25&lt;&gt;".",d_Irr!AY25&lt;&gt;".",d_Irr!BX25="."),d_dir!AA25/((1/1000)*(d_Irr!Z25+d_Irr!AY25)),IF(AND(d_Irr!Z25&lt;&gt;".",d_Irr!AY25=".",d_Irr!BX25&lt;&gt;"."),d_dir!AA25/((1/1000)*(d_Irr!Z25+d_Irr!BX25)),IF(AND(d_Irr!Z25=".",d_Irr!AY25&lt;&gt;".",d_Irr!BX25&lt;&gt;"."),d_dir!AA25/((1/1000)*(d_Irr!AY25+d_Irr!BX25)),IF(AND(d_Irr!Z25=".",d_Irr!AY25=".",d_Irr!BX25&lt;&gt;"."),d_dir!AA25/((1/1000)*(d_Irr!BX25)),IF(AND(d_Irr!Z25=".",d_Irr!AY25&lt;&gt;".",d_Irr!BX25="."),d_dir!AA25/((1/1000)*(d_Irr!AY25)),IF(AND(d_Irr!Z25&lt;&gt;".",d_Irr!AY25=".",d_Irr!BX25="."),d_dir!AA25/((1/1000)*(d_Irr!Z25)),IF(AND(d_Irr!Z25=".",d_Irr!AY25=".",d_Irr!BX25="."),d_dir!AA25*1000)))))))),".")</f>
        <v>.</v>
      </c>
      <c r="AB25" s="70" t="str">
        <f>IFERROR(IF(AND(d_Irr!AA25&lt;&gt;".",d_Irr!AZ25&lt;&gt;".",d_Irr!BY25&lt;&gt;"."),d_dir!AB25/((1/1000)*(d_Irr!AA25+d_Irr!AZ25+d_Irr!BY25)),IF(AND(d_Irr!AA25&lt;&gt;".",d_Irr!AZ25&lt;&gt;".",d_Irr!BY25="."),d_dir!AB25/((1/1000)*(d_Irr!AA25+d_Irr!AZ25)),IF(AND(d_Irr!AA25&lt;&gt;".",d_Irr!AZ25=".",d_Irr!BY25&lt;&gt;"."),d_dir!AB25/((1/1000)*(d_Irr!AA25+d_Irr!BY25)),IF(AND(d_Irr!AA25=".",d_Irr!AZ25&lt;&gt;".",d_Irr!BY25&lt;&gt;"."),d_dir!AB25/((1/1000)*(d_Irr!AZ25+d_Irr!BY25)),IF(AND(d_Irr!AA25=".",d_Irr!AZ25=".",d_Irr!BY25&lt;&gt;"."),d_dir!AB25/((1/1000)*(d_Irr!BY25)),IF(AND(d_Irr!AA25=".",d_Irr!AZ25&lt;&gt;".",d_Irr!BY25="."),d_dir!AB25/((1/1000)*(d_Irr!AZ25)),IF(AND(d_Irr!AA25&lt;&gt;".",d_Irr!AZ25=".",d_Irr!BY25="."),d_dir!AB25/((1/1000)*(d_Irr!AA25)),IF(AND(d_Irr!AA25=".",d_Irr!AZ25=".",d_Irr!BY25="."),d_dir!AB25*1000)))))))),".")</f>
        <v>.</v>
      </c>
      <c r="AC25" s="70" t="str">
        <f t="shared" si="0"/>
        <v>.</v>
      </c>
      <c r="AD25" s="70" t="str">
        <f>IFERROR(IF(AND(d_Irr!C25&lt;&gt;".",d_Irr!AB25&lt;&gt;".",d_Irr!BA25&lt;&gt;"."),d_dir!AD25/((1/1000)*(d_Irr!C25+d_Irr!AB25+d_Irr!BA25)),IF(AND(d_Irr!C25&lt;&gt;".",d_Irr!AB25&lt;&gt;".",d_Irr!BA25="."),d_dir!AD25/((1/1000)*(d_Irr!C25+d_Irr!AB25)),IF(AND(d_Irr!C25&lt;&gt;".",d_Irr!AB25=".",d_Irr!BA25&lt;&gt;"."),d_dir!AD25/((1/1000)*(d_Irr!C25+d_Irr!BA25)),IF(AND(d_Irr!C25=".",d_Irr!AB25&lt;&gt;".",d_Irr!BA25&lt;&gt;"."),d_dir!AD25/((1/1000)*(d_Irr!AB25+d_Irr!BA25)),IF(AND(d_Irr!C25=".",d_Irr!AB25=".",d_Irr!BA25&lt;&gt;"."),d_dir!AD25/((1/1000)*(d_Irr!BA25)),IF(AND(d_Irr!C25=".",d_Irr!AB25&lt;&gt;".",d_Irr!BA25="."),d_dir!AD25/((1/1000)*(d_Irr!AB25)),IF(AND(d_Irr!C25&lt;&gt;".",d_Irr!AB25=".",d_Irr!BA25="."),d_dir!AD25/((1/1000)*(d_Irr!C25)),IF(AND(d_Irr!C25=".",d_Irr!AB25=".",d_Irr!BA25="."),d_dir!AD25*1000)))))))),".")</f>
        <v>.</v>
      </c>
      <c r="AE25" s="70" t="str">
        <f>IFERROR(IF(AND(d_Irr!D25&lt;&gt;".",d_Irr!AC25&lt;&gt;".",d_Irr!BB25&lt;&gt;"."),d_dir!AE25/((1/1000)*(d_Irr!D25+d_Irr!AC25+d_Irr!BB25)),IF(AND(d_Irr!D25&lt;&gt;".",d_Irr!AC25&lt;&gt;".",d_Irr!BB25="."),d_dir!AE25/((1/1000)*(d_Irr!D25+d_Irr!AC25)),IF(AND(d_Irr!D25&lt;&gt;".",d_Irr!AC25=".",d_Irr!BB25&lt;&gt;"."),d_dir!AE25/((1/1000)*(d_Irr!D25+d_Irr!BB25)),IF(AND(d_Irr!D25=".",d_Irr!AC25&lt;&gt;".",d_Irr!BB25&lt;&gt;"."),d_dir!AE25/((1/1000)*(d_Irr!AC25+d_Irr!BB25)),IF(AND(d_Irr!D25=".",d_Irr!AC25=".",d_Irr!BB25&lt;&gt;"."),d_dir!AE25/((1/1000)*(d_Irr!BB25)),IF(AND(d_Irr!D25=".",d_Irr!AC25&lt;&gt;".",d_Irr!BB25="."),d_dir!AE25/((1/1000)*(d_Irr!AC25)),IF(AND(d_Irr!D25&lt;&gt;".",d_Irr!AC25=".",d_Irr!BB25="."),d_dir!AE25/((1/1000)*(d_Irr!D25)),IF(AND(d_Irr!D25=".",d_Irr!AC25=".",d_Irr!BB25="."),d_dir!AE25*1000)))))))),".")</f>
        <v>.</v>
      </c>
      <c r="AF25" s="70" t="str">
        <f>IFERROR(IF(AND(d_Irr!E25&lt;&gt;".",d_Irr!AD25&lt;&gt;".",d_Irr!BC25&lt;&gt;"."),d_dir!AF25/((1/1000)*(d_Irr!E25+d_Irr!AD25+d_Irr!BC25)),IF(AND(d_Irr!E25&lt;&gt;".",d_Irr!AD25&lt;&gt;".",d_Irr!BC25="."),d_dir!AF25/((1/1000)*(d_Irr!E25+d_Irr!AD25)),IF(AND(d_Irr!E25&lt;&gt;".",d_Irr!AD25=".",d_Irr!BC25&lt;&gt;"."),d_dir!AF25/((1/1000)*(d_Irr!E25+d_Irr!BC25)),IF(AND(d_Irr!E25=".",d_Irr!AD25&lt;&gt;".",d_Irr!BC25&lt;&gt;"."),d_dir!AF25/((1/1000)*(d_Irr!AD25+d_Irr!BC25)),IF(AND(d_Irr!E25=".",d_Irr!AD25=".",d_Irr!BC25&lt;&gt;"."),d_dir!AF25/((1/1000)*(d_Irr!BC25)),IF(AND(d_Irr!E25=".",d_Irr!AD25&lt;&gt;".",d_Irr!BC25="."),d_dir!AF25/((1/1000)*(d_Irr!AD25)),IF(AND(d_Irr!E25&lt;&gt;".",d_Irr!AD25=".",d_Irr!BC25="."),d_dir!AF25/((1/1000)*(d_Irr!E25)),IF(AND(d_Irr!E25=".",d_Irr!AD25=".",d_Irr!BC25="."),d_dir!AF25*1000)))))))),".")</f>
        <v>.</v>
      </c>
      <c r="AG25" s="70" t="str">
        <f>IFERROR(IF(AND(d_Irr!F25&lt;&gt;".",d_Irr!AE25&lt;&gt;".",d_Irr!BD25&lt;&gt;"."),d_dir!AG25/((1/1000)*(d_Irr!F25+d_Irr!AE25+d_Irr!BD25)),IF(AND(d_Irr!F25&lt;&gt;".",d_Irr!AE25&lt;&gt;".",d_Irr!BD25="."),d_dir!AG25/((1/1000)*(d_Irr!F25+d_Irr!AE25)),IF(AND(d_Irr!F25&lt;&gt;".",d_Irr!AE25=".",d_Irr!BD25&lt;&gt;"."),d_dir!AG25/((1/1000)*(d_Irr!F25+d_Irr!BD25)),IF(AND(d_Irr!F25=".",d_Irr!AE25&lt;&gt;".",d_Irr!BD25&lt;&gt;"."),d_dir!AG25/((1/1000)*(d_Irr!AE25+d_Irr!BD25)),IF(AND(d_Irr!F25=".",d_Irr!AE25=".",d_Irr!BD25&lt;&gt;"."),d_dir!AG25/((1/1000)*(d_Irr!BD25)),IF(AND(d_Irr!F25=".",d_Irr!AE25&lt;&gt;".",d_Irr!BD25="."),d_dir!AG25/((1/1000)*(d_Irr!AE25)),IF(AND(d_Irr!F25&lt;&gt;".",d_Irr!AE25=".",d_Irr!BD25="."),d_dir!AG25/((1/1000)*(d_Irr!F25)),IF(AND(d_Irr!F25=".",d_Irr!AE25=".",d_Irr!BD25="."),d_dir!AG25*1000)))))))),".")</f>
        <v>.</v>
      </c>
      <c r="AH25" s="70" t="str">
        <f>IFERROR(IF(AND(d_Irr!G25&lt;&gt;".",d_Irr!AF25&lt;&gt;".",d_Irr!BE25&lt;&gt;"."),d_dir!AH25/((1/1000)*(d_Irr!G25+d_Irr!AF25+d_Irr!BE25)),IF(AND(d_Irr!G25&lt;&gt;".",d_Irr!AF25&lt;&gt;".",d_Irr!BE25="."),d_dir!AH25/((1/1000)*(d_Irr!G25+d_Irr!AF25)),IF(AND(d_Irr!G25&lt;&gt;".",d_Irr!AF25=".",d_Irr!BE25&lt;&gt;"."),d_dir!AH25/((1/1000)*(d_Irr!G25+d_Irr!BE25)),IF(AND(d_Irr!G25=".",d_Irr!AF25&lt;&gt;".",d_Irr!BE25&lt;&gt;"."),d_dir!AH25/((1/1000)*(d_Irr!AF25+d_Irr!BE25)),IF(AND(d_Irr!G25=".",d_Irr!AF25=".",d_Irr!BE25&lt;&gt;"."),d_dir!AH25/((1/1000)*(d_Irr!BE25)),IF(AND(d_Irr!G25=".",d_Irr!AF25&lt;&gt;".",d_Irr!BE25="."),d_dir!AH25/((1/1000)*(d_Irr!AF25)),IF(AND(d_Irr!G25&lt;&gt;".",d_Irr!AF25=".",d_Irr!BE25="."),d_dir!AH25/((1/1000)*(d_Irr!G25)),IF(AND(d_Irr!G25=".",d_Irr!AF25=".",d_Irr!BE25="."),d_dir!AH25*1000)))))))),".")</f>
        <v>.</v>
      </c>
      <c r="AI25" s="70" t="str">
        <f>IFERROR(IF(AND(d_Irr!H25&lt;&gt;".",d_Irr!AG25&lt;&gt;".",d_Irr!BF25&lt;&gt;"."),d_dir!AI25/((1/1000)*(d_Irr!H25+d_Irr!AG25+d_Irr!BF25)),IF(AND(d_Irr!H25&lt;&gt;".",d_Irr!AG25&lt;&gt;".",d_Irr!BF25="."),d_dir!AI25/((1/1000)*(d_Irr!H25+d_Irr!AG25)),IF(AND(d_Irr!H25&lt;&gt;".",d_Irr!AG25=".",d_Irr!BF25&lt;&gt;"."),d_dir!AI25/((1/1000)*(d_Irr!H25+d_Irr!BF25)),IF(AND(d_Irr!H25=".",d_Irr!AG25&lt;&gt;".",d_Irr!BF25&lt;&gt;"."),d_dir!AI25/((1/1000)*(d_Irr!AG25+d_Irr!BF25)),IF(AND(d_Irr!H25=".",d_Irr!AG25=".",d_Irr!BF25&lt;&gt;"."),d_dir!AI25/((1/1000)*(d_Irr!BF25)),IF(AND(d_Irr!H25=".",d_Irr!AG25&lt;&gt;".",d_Irr!BF25="."),d_dir!AI25/((1/1000)*(d_Irr!AG25)),IF(AND(d_Irr!H25&lt;&gt;".",d_Irr!AG25=".",d_Irr!BF25="."),d_dir!AI25/((1/1000)*(d_Irr!H25)),IF(AND(d_Irr!H25=".",d_Irr!AG25=".",d_Irr!BF25="."),d_dir!AI25*1000)))))))),".")</f>
        <v>.</v>
      </c>
      <c r="AJ25" s="70" t="str">
        <f>IFERROR(IF(AND(d_Irr!I25&lt;&gt;".",d_Irr!AH25&lt;&gt;".",d_Irr!BG25&lt;&gt;"."),d_dir!AJ25/((1/1000)*(d_Irr!I25+d_Irr!AH25+d_Irr!BG25)),IF(AND(d_Irr!I25&lt;&gt;".",d_Irr!AH25&lt;&gt;".",d_Irr!BG25="."),d_dir!AJ25/((1/1000)*(d_Irr!I25+d_Irr!AH25)),IF(AND(d_Irr!I25&lt;&gt;".",d_Irr!AH25=".",d_Irr!BG25&lt;&gt;"."),d_dir!AJ25/((1/1000)*(d_Irr!I25+d_Irr!BG25)),IF(AND(d_Irr!I25=".",d_Irr!AH25&lt;&gt;".",d_Irr!BG25&lt;&gt;"."),d_dir!AJ25/((1/1000)*(d_Irr!AH25+d_Irr!BG25)),IF(AND(d_Irr!I25=".",d_Irr!AH25=".",d_Irr!BG25&lt;&gt;"."),d_dir!AJ25/((1/1000)*(d_Irr!BG25)),IF(AND(d_Irr!I25=".",d_Irr!AH25&lt;&gt;".",d_Irr!BG25="."),d_dir!AJ25/((1/1000)*(d_Irr!AH25)),IF(AND(d_Irr!I25&lt;&gt;".",d_Irr!AH25=".",d_Irr!BG25="."),d_dir!AJ25/((1/1000)*(d_Irr!I25)),IF(AND(d_Irr!I25=".",d_Irr!AH25=".",d_Irr!BG25="."),d_dir!AJ25*1000)))))))),".")</f>
        <v>.</v>
      </c>
      <c r="AK25" s="70" t="str">
        <f>IFERROR(IF(AND(d_Irr!J25&lt;&gt;".",d_Irr!AI25&lt;&gt;".",d_Irr!BH25&lt;&gt;"."),d_dir!AK25/((1/1000)*(d_Irr!J25+d_Irr!AI25+d_Irr!BH25)),IF(AND(d_Irr!J25&lt;&gt;".",d_Irr!AI25&lt;&gt;".",d_Irr!BH25="."),d_dir!AK25/((1/1000)*(d_Irr!J25+d_Irr!AI25)),IF(AND(d_Irr!J25&lt;&gt;".",d_Irr!AI25=".",d_Irr!BH25&lt;&gt;"."),d_dir!AK25/((1/1000)*(d_Irr!J25+d_Irr!BH25)),IF(AND(d_Irr!J25=".",d_Irr!AI25&lt;&gt;".",d_Irr!BH25&lt;&gt;"."),d_dir!AK25/((1/1000)*(d_Irr!AI25+d_Irr!BH25)),IF(AND(d_Irr!J25=".",d_Irr!AI25=".",d_Irr!BH25&lt;&gt;"."),d_dir!AK25/((1/1000)*(d_Irr!BH25)),IF(AND(d_Irr!J25=".",d_Irr!AI25&lt;&gt;".",d_Irr!BH25="."),d_dir!AK25/((1/1000)*(d_Irr!AI25)),IF(AND(d_Irr!J25&lt;&gt;".",d_Irr!AI25=".",d_Irr!BH25="."),d_dir!AK25/((1/1000)*(d_Irr!J25)),IF(AND(d_Irr!J25=".",d_Irr!AI25=".",d_Irr!BH25="."),d_dir!AK25*1000)))))))),".")</f>
        <v>.</v>
      </c>
      <c r="AL25" s="70" t="str">
        <f>IFERROR(IF(AND(d_Irr!K25&lt;&gt;".",d_Irr!AJ25&lt;&gt;".",d_Irr!BI25&lt;&gt;"."),d_dir!AL25/((1/1000)*(d_Irr!K25+d_Irr!AJ25+d_Irr!BI25)),IF(AND(d_Irr!K25&lt;&gt;".",d_Irr!AJ25&lt;&gt;".",d_Irr!BI25="."),d_dir!AL25/((1/1000)*(d_Irr!K25+d_Irr!AJ25)),IF(AND(d_Irr!K25&lt;&gt;".",d_Irr!AJ25=".",d_Irr!BI25&lt;&gt;"."),d_dir!AL25/((1/1000)*(d_Irr!K25+d_Irr!BI25)),IF(AND(d_Irr!K25=".",d_Irr!AJ25&lt;&gt;".",d_Irr!BI25&lt;&gt;"."),d_dir!AL25/((1/1000)*(d_Irr!AJ25+d_Irr!BI25)),IF(AND(d_Irr!K25=".",d_Irr!AJ25=".",d_Irr!BI25&lt;&gt;"."),d_dir!AL25/((1/1000)*(d_Irr!BI25)),IF(AND(d_Irr!K25=".",d_Irr!AJ25&lt;&gt;".",d_Irr!BI25="."),d_dir!AL25/((1/1000)*(d_Irr!AJ25)),IF(AND(d_Irr!K25&lt;&gt;".",d_Irr!AJ25=".",d_Irr!BI25="."),d_dir!AL25/((1/1000)*(d_Irr!K25)),IF(AND(d_Irr!K25=".",d_Irr!AJ25=".",d_Irr!BI25="."),d_dir!AL25*1000)))))))),".")</f>
        <v>.</v>
      </c>
      <c r="AM25" s="70" t="str">
        <f>IFERROR(IF(AND(d_Irr!L25&lt;&gt;".",d_Irr!AK25&lt;&gt;".",d_Irr!BJ25&lt;&gt;"."),d_dir!AM25/((1/1000)*(d_Irr!L25+d_Irr!AK25+d_Irr!BJ25)),IF(AND(d_Irr!L25&lt;&gt;".",d_Irr!AK25&lt;&gt;".",d_Irr!BJ25="."),d_dir!AM25/((1/1000)*(d_Irr!L25+d_Irr!AK25)),IF(AND(d_Irr!L25&lt;&gt;".",d_Irr!AK25=".",d_Irr!BJ25&lt;&gt;"."),d_dir!AM25/((1/1000)*(d_Irr!L25+d_Irr!BJ25)),IF(AND(d_Irr!L25=".",d_Irr!AK25&lt;&gt;".",d_Irr!BJ25&lt;&gt;"."),d_dir!AM25/((1/1000)*(d_Irr!AK25+d_Irr!BJ25)),IF(AND(d_Irr!L25=".",d_Irr!AK25=".",d_Irr!BJ25&lt;&gt;"."),d_dir!AM25/((1/1000)*(d_Irr!BJ25)),IF(AND(d_Irr!L25=".",d_Irr!AK25&lt;&gt;".",d_Irr!BJ25="."),d_dir!AM25/((1/1000)*(d_Irr!AK25)),IF(AND(d_Irr!L25&lt;&gt;".",d_Irr!AK25=".",d_Irr!BJ25="."),d_dir!AM25/((1/1000)*(d_Irr!L25)),IF(AND(d_Irr!L25=".",d_Irr!AK25=".",d_Irr!BJ25="."),d_dir!AM25*1000)))))))),".")</f>
        <v>.</v>
      </c>
      <c r="AN25" s="70" t="str">
        <f>IFERROR(IF(AND(d_Irr!M25&lt;&gt;".",d_Irr!AL25&lt;&gt;".",d_Irr!BK25&lt;&gt;"."),d_dir!AN25/((1/1000)*(d_Irr!M25+d_Irr!AL25+d_Irr!BK25)),IF(AND(d_Irr!M25&lt;&gt;".",d_Irr!AL25&lt;&gt;".",d_Irr!BK25="."),d_dir!AN25/((1/1000)*(d_Irr!M25+d_Irr!AL25)),IF(AND(d_Irr!M25&lt;&gt;".",d_Irr!AL25=".",d_Irr!BK25&lt;&gt;"."),d_dir!AN25/((1/1000)*(d_Irr!M25+d_Irr!BK25)),IF(AND(d_Irr!M25=".",d_Irr!AL25&lt;&gt;".",d_Irr!BK25&lt;&gt;"."),d_dir!AN25/((1/1000)*(d_Irr!AL25+d_Irr!BK25)),IF(AND(d_Irr!M25=".",d_Irr!AL25=".",d_Irr!BK25&lt;&gt;"."),d_dir!AN25/((1/1000)*(d_Irr!BK25)),IF(AND(d_Irr!M25=".",d_Irr!AL25&lt;&gt;".",d_Irr!BK25="."),d_dir!AN25/((1/1000)*(d_Irr!AL25)),IF(AND(d_Irr!M25&lt;&gt;".",d_Irr!AL25=".",d_Irr!BK25="."),d_dir!AN25/((1/1000)*(d_Irr!M25)),IF(AND(d_Irr!M25=".",d_Irr!AL25=".",d_Irr!BK25="."),d_dir!AN25*1000)))))))),".")</f>
        <v>.</v>
      </c>
      <c r="AO25" s="70" t="str">
        <f>IFERROR(IF(AND(d_Irr!N25&lt;&gt;".",d_Irr!AM25&lt;&gt;".",d_Irr!BL25&lt;&gt;"."),d_dir!AO25/((1/1000)*(d_Irr!N25+d_Irr!AM25+d_Irr!BL25)),IF(AND(d_Irr!N25&lt;&gt;".",d_Irr!AM25&lt;&gt;".",d_Irr!BL25="."),d_dir!AO25/((1/1000)*(d_Irr!N25+d_Irr!AM25)),IF(AND(d_Irr!N25&lt;&gt;".",d_Irr!AM25=".",d_Irr!BL25&lt;&gt;"."),d_dir!AO25/((1/1000)*(d_Irr!N25+d_Irr!BL25)),IF(AND(d_Irr!N25=".",d_Irr!AM25&lt;&gt;".",d_Irr!BL25&lt;&gt;"."),d_dir!AO25/((1/1000)*(d_Irr!AM25+d_Irr!BL25)),IF(AND(d_Irr!N25=".",d_Irr!AM25=".",d_Irr!BL25&lt;&gt;"."),d_dir!AO25/((1/1000)*(d_Irr!BL25)),IF(AND(d_Irr!N25=".",d_Irr!AM25&lt;&gt;".",d_Irr!BL25="."),d_dir!AO25/((1/1000)*(d_Irr!AM25)),IF(AND(d_Irr!N25&lt;&gt;".",d_Irr!AM25=".",d_Irr!BL25="."),d_dir!AO25/((1/1000)*(d_Irr!N25)),IF(AND(d_Irr!N25=".",d_Irr!AM25=".",d_Irr!BL25="."),d_dir!AO25*1000)))))))),".")</f>
        <v>.</v>
      </c>
      <c r="AP25" s="70" t="str">
        <f>IFERROR(IF(AND(d_Irr!O25&lt;&gt;".",d_Irr!AN25&lt;&gt;".",d_Irr!BM25&lt;&gt;"."),d_dir!AP25/((1/1000)*(d_Irr!O25+d_Irr!AN25+d_Irr!BM25)),IF(AND(d_Irr!O25&lt;&gt;".",d_Irr!AN25&lt;&gt;".",d_Irr!BM25="."),d_dir!AP25/((1/1000)*(d_Irr!O25+d_Irr!AN25)),IF(AND(d_Irr!O25&lt;&gt;".",d_Irr!AN25=".",d_Irr!BM25&lt;&gt;"."),d_dir!AP25/((1/1000)*(d_Irr!O25+d_Irr!BM25)),IF(AND(d_Irr!O25=".",d_Irr!AN25&lt;&gt;".",d_Irr!BM25&lt;&gt;"."),d_dir!AP25/((1/1000)*(d_Irr!AN25+d_Irr!BM25)),IF(AND(d_Irr!O25=".",d_Irr!AN25=".",d_Irr!BM25&lt;&gt;"."),d_dir!AP25/((1/1000)*(d_Irr!BM25)),IF(AND(d_Irr!O25=".",d_Irr!AN25&lt;&gt;".",d_Irr!BM25="."),d_dir!AP25/((1/1000)*(d_Irr!AN25)),IF(AND(d_Irr!O25&lt;&gt;".",d_Irr!AN25=".",d_Irr!BM25="."),d_dir!AP25/((1/1000)*(d_Irr!O25)),IF(AND(d_Irr!O25=".",d_Irr!AN25=".",d_Irr!BM25="."),d_dir!AP25*1000)))))))),".")</f>
        <v>.</v>
      </c>
      <c r="AQ25" s="70" t="str">
        <f>IFERROR(IF(AND(d_Irr!P25&lt;&gt;".",d_Irr!AO25&lt;&gt;".",d_Irr!BN25&lt;&gt;"."),d_dir!AQ25/((1/1000)*(d_Irr!P25+d_Irr!AO25+d_Irr!BN25)),IF(AND(d_Irr!P25&lt;&gt;".",d_Irr!AO25&lt;&gt;".",d_Irr!BN25="."),d_dir!AQ25/((1/1000)*(d_Irr!P25+d_Irr!AO25)),IF(AND(d_Irr!P25&lt;&gt;".",d_Irr!AO25=".",d_Irr!BN25&lt;&gt;"."),d_dir!AQ25/((1/1000)*(d_Irr!P25+d_Irr!BN25)),IF(AND(d_Irr!P25=".",d_Irr!AO25&lt;&gt;".",d_Irr!BN25&lt;&gt;"."),d_dir!AQ25/((1/1000)*(d_Irr!AO25+d_Irr!BN25)),IF(AND(d_Irr!P25=".",d_Irr!AO25=".",d_Irr!BN25&lt;&gt;"."),d_dir!AQ25/((1/1000)*(d_Irr!BN25)),IF(AND(d_Irr!P25=".",d_Irr!AO25&lt;&gt;".",d_Irr!BN25="."),d_dir!AQ25/((1/1000)*(d_Irr!AO25)),IF(AND(d_Irr!P25&lt;&gt;".",d_Irr!AO25=".",d_Irr!BN25="."),d_dir!AQ25/((1/1000)*(d_Irr!P25)),IF(AND(d_Irr!P25=".",d_Irr!AO25=".",d_Irr!BN25="."),d_dir!AQ25*1000)))))))),".")</f>
        <v>.</v>
      </c>
      <c r="AR25" s="70" t="str">
        <f>IFERROR(IF(AND(d_Irr!Q25&lt;&gt;".",d_Irr!AP25&lt;&gt;".",d_Irr!BO25&lt;&gt;"."),d_dir!AR25/((1/1000)*(d_Irr!Q25+d_Irr!AP25+d_Irr!BO25)),IF(AND(d_Irr!Q25&lt;&gt;".",d_Irr!AP25&lt;&gt;".",d_Irr!BO25="."),d_dir!AR25/((1/1000)*(d_Irr!Q25+d_Irr!AP25)),IF(AND(d_Irr!Q25&lt;&gt;".",d_Irr!AP25=".",d_Irr!BO25&lt;&gt;"."),d_dir!AR25/((1/1000)*(d_Irr!Q25+d_Irr!BO25)),IF(AND(d_Irr!Q25=".",d_Irr!AP25&lt;&gt;".",d_Irr!BO25&lt;&gt;"."),d_dir!AR25/((1/1000)*(d_Irr!AP25+d_Irr!BO25)),IF(AND(d_Irr!Q25=".",d_Irr!AP25=".",d_Irr!BO25&lt;&gt;"."),d_dir!AR25/((1/1000)*(d_Irr!BO25)),IF(AND(d_Irr!Q25=".",d_Irr!AP25&lt;&gt;".",d_Irr!BO25="."),d_dir!AR25/((1/1000)*(d_Irr!AP25)),IF(AND(d_Irr!Q25&lt;&gt;".",d_Irr!AP25=".",d_Irr!BO25="."),d_dir!AR25/((1/1000)*(d_Irr!Q25)),IF(AND(d_Irr!Q25=".",d_Irr!AP25=".",d_Irr!BO25="."),d_dir!AR25*1000)))))))),".")</f>
        <v>.</v>
      </c>
      <c r="AS25" s="70" t="str">
        <f>IFERROR(IF(AND(d_Irr!R25&lt;&gt;".",d_Irr!AQ25&lt;&gt;".",d_Irr!BP25&lt;&gt;"."),d_dir!AS25/((1/1000)*(d_Irr!R25+d_Irr!AQ25+d_Irr!BP25)),IF(AND(d_Irr!R25&lt;&gt;".",d_Irr!AQ25&lt;&gt;".",d_Irr!BP25="."),d_dir!AS25/((1/1000)*(d_Irr!R25+d_Irr!AQ25)),IF(AND(d_Irr!R25&lt;&gt;".",d_Irr!AQ25=".",d_Irr!BP25&lt;&gt;"."),d_dir!AS25/((1/1000)*(d_Irr!R25+d_Irr!BP25)),IF(AND(d_Irr!R25=".",d_Irr!AQ25&lt;&gt;".",d_Irr!BP25&lt;&gt;"."),d_dir!AS25/((1/1000)*(d_Irr!AQ25+d_Irr!BP25)),IF(AND(d_Irr!R25=".",d_Irr!AQ25=".",d_Irr!BP25&lt;&gt;"."),d_dir!AS25/((1/1000)*(d_Irr!BP25)),IF(AND(d_Irr!R25=".",d_Irr!AQ25&lt;&gt;".",d_Irr!BP25="."),d_dir!AS25/((1/1000)*(d_Irr!AQ25)),IF(AND(d_Irr!R25&lt;&gt;".",d_Irr!AQ25=".",d_Irr!BP25="."),d_dir!AS25/((1/1000)*(d_Irr!R25)),IF(AND(d_Irr!R25=".",d_Irr!AQ25=".",d_Irr!BP25="."),d_dir!AS25*1000)))))))),".")</f>
        <v>.</v>
      </c>
      <c r="AT25" s="70" t="str">
        <f>IFERROR(IF(AND(d_Irr!S25&lt;&gt;".",d_Irr!AR25&lt;&gt;".",d_Irr!BQ25&lt;&gt;"."),d_dir!AT25/((1/1000)*(d_Irr!S25+d_Irr!AR25+d_Irr!BQ25)),IF(AND(d_Irr!S25&lt;&gt;".",d_Irr!AR25&lt;&gt;".",d_Irr!BQ25="."),d_dir!AT25/((1/1000)*(d_Irr!S25+d_Irr!AR25)),IF(AND(d_Irr!S25&lt;&gt;".",d_Irr!AR25=".",d_Irr!BQ25&lt;&gt;"."),d_dir!AT25/((1/1000)*(d_Irr!S25+d_Irr!BQ25)),IF(AND(d_Irr!S25=".",d_Irr!AR25&lt;&gt;".",d_Irr!BQ25&lt;&gt;"."),d_dir!AT25/((1/1000)*(d_Irr!AR25+d_Irr!BQ25)),IF(AND(d_Irr!S25=".",d_Irr!AR25=".",d_Irr!BQ25&lt;&gt;"."),d_dir!AT25/((1/1000)*(d_Irr!BQ25)),IF(AND(d_Irr!S25=".",d_Irr!AR25&lt;&gt;".",d_Irr!BQ25="."),d_dir!AT25/((1/1000)*(d_Irr!AR25)),IF(AND(d_Irr!S25&lt;&gt;".",d_Irr!AR25=".",d_Irr!BQ25="."),d_dir!AT25/((1/1000)*(d_Irr!S25)),IF(AND(d_Irr!S25=".",d_Irr!AR25=".",d_Irr!BQ25="."),d_dir!AT25*1000)))))))),".")</f>
        <v>.</v>
      </c>
      <c r="AU25" s="70" t="str">
        <f>IFERROR(IF(AND(d_Irr!T25&lt;&gt;".",d_Irr!AS25&lt;&gt;".",d_Irr!BR25&lt;&gt;"."),d_dir!AU25/((1/1000)*(d_Irr!T25+d_Irr!AS25+d_Irr!BR25)),IF(AND(d_Irr!T25&lt;&gt;".",d_Irr!AS25&lt;&gt;".",d_Irr!BR25="."),d_dir!AU25/((1/1000)*(d_Irr!T25+d_Irr!AS25)),IF(AND(d_Irr!T25&lt;&gt;".",d_Irr!AS25=".",d_Irr!BR25&lt;&gt;"."),d_dir!AU25/((1/1000)*(d_Irr!T25+d_Irr!BR25)),IF(AND(d_Irr!T25=".",d_Irr!AS25&lt;&gt;".",d_Irr!BR25&lt;&gt;"."),d_dir!AU25/((1/1000)*(d_Irr!AS25+d_Irr!BR25)),IF(AND(d_Irr!T25=".",d_Irr!AS25=".",d_Irr!BR25&lt;&gt;"."),d_dir!AU25/((1/1000)*(d_Irr!BR25)),IF(AND(d_Irr!T25=".",d_Irr!AS25&lt;&gt;".",d_Irr!BR25="."),d_dir!AU25/((1/1000)*(d_Irr!AS25)),IF(AND(d_Irr!T25&lt;&gt;".",d_Irr!AS25=".",d_Irr!BR25="."),d_dir!AU25/((1/1000)*(d_Irr!T25)),IF(AND(d_Irr!T25=".",d_Irr!AS25=".",d_Irr!BR25="."),d_dir!AU25*1000)))))))),".")</f>
        <v>.</v>
      </c>
      <c r="AV25" s="70" t="str">
        <f>IFERROR(IF(AND(d_Irr!U25&lt;&gt;".",d_Irr!AT25&lt;&gt;".",d_Irr!BS25&lt;&gt;"."),d_dir!AV25/((1/1000)*(d_Irr!U25+d_Irr!AT25+d_Irr!BS25)),IF(AND(d_Irr!U25&lt;&gt;".",d_Irr!AT25&lt;&gt;".",d_Irr!BS25="."),d_dir!AV25/((1/1000)*(d_Irr!U25+d_Irr!AT25)),IF(AND(d_Irr!U25&lt;&gt;".",d_Irr!AT25=".",d_Irr!BS25&lt;&gt;"."),d_dir!AV25/((1/1000)*(d_Irr!U25+d_Irr!BS25)),IF(AND(d_Irr!U25=".",d_Irr!AT25&lt;&gt;".",d_Irr!BS25&lt;&gt;"."),d_dir!AV25/((1/1000)*(d_Irr!AT25+d_Irr!BS25)),IF(AND(d_Irr!U25=".",d_Irr!AT25=".",d_Irr!BS25&lt;&gt;"."),d_dir!AV25/((1/1000)*(d_Irr!BS25)),IF(AND(d_Irr!U25=".",d_Irr!AT25&lt;&gt;".",d_Irr!BS25="."),d_dir!AV25/((1/1000)*(d_Irr!AT25)),IF(AND(d_Irr!U25&lt;&gt;".",d_Irr!AT25=".",d_Irr!BS25="."),d_dir!AV25/((1/1000)*(d_Irr!U25)),IF(AND(d_Irr!U25=".",d_Irr!AT25=".",d_Irr!BS25="."),d_dir!AV25*1000)))))))),".")</f>
        <v>.</v>
      </c>
      <c r="AW25" s="70" t="str">
        <f>IFERROR(IF(AND(d_Irr!V25&lt;&gt;".",d_Irr!AU25&lt;&gt;".",d_Irr!BT25&lt;&gt;"."),d_dir!AW25/((1/1000)*(d_Irr!V25+d_Irr!AU25+d_Irr!BT25)),IF(AND(d_Irr!V25&lt;&gt;".",d_Irr!AU25&lt;&gt;".",d_Irr!BT25="."),d_dir!AW25/((1/1000)*(d_Irr!V25+d_Irr!AU25)),IF(AND(d_Irr!V25&lt;&gt;".",d_Irr!AU25=".",d_Irr!BT25&lt;&gt;"."),d_dir!AW25/((1/1000)*(d_Irr!V25+d_Irr!BT25)),IF(AND(d_Irr!V25=".",d_Irr!AU25&lt;&gt;".",d_Irr!BT25&lt;&gt;"."),d_dir!AW25/((1/1000)*(d_Irr!AU25+d_Irr!BT25)),IF(AND(d_Irr!V25=".",d_Irr!AU25=".",d_Irr!BT25&lt;&gt;"."),d_dir!AW25/((1/1000)*(d_Irr!BT25)),IF(AND(d_Irr!V25=".",d_Irr!AU25&lt;&gt;".",d_Irr!BT25="."),d_dir!AW25/((1/1000)*(d_Irr!AU25)),IF(AND(d_Irr!V25&lt;&gt;".",d_Irr!AU25=".",d_Irr!BT25="."),d_dir!AW25/((1/1000)*(d_Irr!V25)),IF(AND(d_Irr!V25=".",d_Irr!AU25=".",d_Irr!BT25="."),d_dir!AW25*1000)))))))),".")</f>
        <v>.</v>
      </c>
      <c r="AX25" s="70" t="str">
        <f>IFERROR(IF(AND(d_Irr!W25&lt;&gt;".",d_Irr!AV25&lt;&gt;".",d_Irr!BU25&lt;&gt;"."),d_dir!AX25/((1/1000)*(d_Irr!W25+d_Irr!AV25+d_Irr!BU25)),IF(AND(d_Irr!W25&lt;&gt;".",d_Irr!AV25&lt;&gt;".",d_Irr!BU25="."),d_dir!AX25/((1/1000)*(d_Irr!W25+d_Irr!AV25)),IF(AND(d_Irr!W25&lt;&gt;".",d_Irr!AV25=".",d_Irr!BU25&lt;&gt;"."),d_dir!AX25/((1/1000)*(d_Irr!W25+d_Irr!BU25)),IF(AND(d_Irr!W25=".",d_Irr!AV25&lt;&gt;".",d_Irr!BU25&lt;&gt;"."),d_dir!AX25/((1/1000)*(d_Irr!AV25+d_Irr!BU25)),IF(AND(d_Irr!W25=".",d_Irr!AV25=".",d_Irr!BU25&lt;&gt;"."),d_dir!AX25/((1/1000)*(d_Irr!BU25)),IF(AND(d_Irr!W25=".",d_Irr!AV25&lt;&gt;".",d_Irr!BU25="."),d_dir!AX25/((1/1000)*(d_Irr!AV25)),IF(AND(d_Irr!W25&lt;&gt;".",d_Irr!AV25=".",d_Irr!BU25="."),d_dir!AX25/((1/1000)*(d_Irr!W25)),IF(AND(d_Irr!W25=".",d_Irr!AV25=".",d_Irr!BU25="."),d_dir!AX25*1000)))))))),".")</f>
        <v>.</v>
      </c>
      <c r="AY25" s="70" t="str">
        <f>IFERROR(IF(AND(d_Irr!X25&lt;&gt;".",d_Irr!AW25&lt;&gt;".",d_Irr!BV25&lt;&gt;"."),d_dir!AY25/((1/1000)*(d_Irr!X25+d_Irr!AW25+d_Irr!BV25)),IF(AND(d_Irr!X25&lt;&gt;".",d_Irr!AW25&lt;&gt;".",d_Irr!BV25="."),d_dir!AY25/((1/1000)*(d_Irr!X25+d_Irr!AW25)),IF(AND(d_Irr!X25&lt;&gt;".",d_Irr!AW25=".",d_Irr!BV25&lt;&gt;"."),d_dir!AY25/((1/1000)*(d_Irr!X25+d_Irr!BV25)),IF(AND(d_Irr!X25=".",d_Irr!AW25&lt;&gt;".",d_Irr!BV25&lt;&gt;"."),d_dir!AY25/((1/1000)*(d_Irr!AW25+d_Irr!BV25)),IF(AND(d_Irr!X25=".",d_Irr!AW25=".",d_Irr!BV25&lt;&gt;"."),d_dir!AY25/((1/1000)*(d_Irr!BV25)),IF(AND(d_Irr!X25=".",d_Irr!AW25&lt;&gt;".",d_Irr!BV25="."),d_dir!AY25/((1/1000)*(d_Irr!AW25)),IF(AND(d_Irr!X25&lt;&gt;".",d_Irr!AW25=".",d_Irr!BV25="."),d_dir!AY25/((1/1000)*(d_Irr!X25)),IF(AND(d_Irr!X25=".",d_Irr!AW25=".",d_Irr!BV25="."),d_dir!AY25*1000)))))))),".")</f>
        <v>.</v>
      </c>
      <c r="AZ25" s="70" t="str">
        <f>IFERROR(IF(AND(d_Irr!Y25&lt;&gt;".",d_Irr!AX25&lt;&gt;".",d_Irr!BW25&lt;&gt;"."),d_dir!AZ25/((1/1000)*(d_Irr!Y25+d_Irr!AX25+d_Irr!BW25)),IF(AND(d_Irr!Y25&lt;&gt;".",d_Irr!AX25&lt;&gt;".",d_Irr!BW25="."),d_dir!AZ25/((1/1000)*(d_Irr!Y25+d_Irr!AX25)),IF(AND(d_Irr!Y25&lt;&gt;".",d_Irr!AX25=".",d_Irr!BW25&lt;&gt;"."),d_dir!AZ25/((1/1000)*(d_Irr!Y25+d_Irr!BW25)),IF(AND(d_Irr!Y25=".",d_Irr!AX25&lt;&gt;".",d_Irr!BW25&lt;&gt;"."),d_dir!AZ25/((1/1000)*(d_Irr!AX25+d_Irr!BW25)),IF(AND(d_Irr!Y25=".",d_Irr!AX25=".",d_Irr!BW25&lt;&gt;"."),d_dir!AZ25/((1/1000)*(d_Irr!BW25)),IF(AND(d_Irr!Y25=".",d_Irr!AX25&lt;&gt;".",d_Irr!BW25="."),d_dir!AZ25/((1/1000)*(d_Irr!AX25)),IF(AND(d_Irr!Y25&lt;&gt;".",d_Irr!AX25=".",d_Irr!BW25="."),d_dir!AZ25/((1/1000)*(d_Irr!Y25)),IF(AND(d_Irr!Y25=".",d_Irr!AX25=".",d_Irr!BW25="."),d_dir!AZ25*1000)))))))),".")</f>
        <v>.</v>
      </c>
      <c r="BA25" s="70" t="str">
        <f>IFERROR(IF(AND(d_Irr!Z25&lt;&gt;".",d_Irr!AY25&lt;&gt;".",d_Irr!BX25&lt;&gt;"."),d_dir!BA25/((1/1000)*(d_Irr!Z25+d_Irr!AY25+d_Irr!BX25)),IF(AND(d_Irr!Z25&lt;&gt;".",d_Irr!AY25&lt;&gt;".",d_Irr!BX25="."),d_dir!BA25/((1/1000)*(d_Irr!Z25+d_Irr!AY25)),IF(AND(d_Irr!Z25&lt;&gt;".",d_Irr!AY25=".",d_Irr!BX25&lt;&gt;"."),d_dir!BA25/((1/1000)*(d_Irr!Z25+d_Irr!BX25)),IF(AND(d_Irr!Z25=".",d_Irr!AY25&lt;&gt;".",d_Irr!BX25&lt;&gt;"."),d_dir!BA25/((1/1000)*(d_Irr!AY25+d_Irr!BX25)),IF(AND(d_Irr!Z25=".",d_Irr!AY25=".",d_Irr!BX25&lt;&gt;"."),d_dir!BA25/((1/1000)*(d_Irr!BX25)),IF(AND(d_Irr!Z25=".",d_Irr!AY25&lt;&gt;".",d_Irr!BX25="."),d_dir!BA25/((1/1000)*(d_Irr!AY25)),IF(AND(d_Irr!Z25&lt;&gt;".",d_Irr!AY25=".",d_Irr!BX25="."),d_dir!BA25/((1/1000)*(d_Irr!Z25)),IF(AND(d_Irr!Z25=".",d_Irr!AY25=".",d_Irr!BX25="."),d_dir!BA25*1000)))))))),".")</f>
        <v>.</v>
      </c>
      <c r="BB25" s="70" t="str">
        <f>IFERROR(IF(AND(d_Irr!AA25&lt;&gt;".",d_Irr!AZ25&lt;&gt;".",d_Irr!BY25&lt;&gt;"."),d_dir!BB25/((1/1000)*(d_Irr!AA25+d_Irr!AZ25+d_Irr!BY25)),IF(AND(d_Irr!AA25&lt;&gt;".",d_Irr!AZ25&lt;&gt;".",d_Irr!BY25="."),d_dir!BB25/((1/1000)*(d_Irr!AA25+d_Irr!AZ25)),IF(AND(d_Irr!AA25&lt;&gt;".",d_Irr!AZ25=".",d_Irr!BY25&lt;&gt;"."),d_dir!BB25/((1/1000)*(d_Irr!AA25+d_Irr!BY25)),IF(AND(d_Irr!AA25=".",d_Irr!AZ25&lt;&gt;".",d_Irr!BY25&lt;&gt;"."),d_dir!BB25/((1/1000)*(d_Irr!AZ25+d_Irr!BY25)),IF(AND(d_Irr!AA25=".",d_Irr!AZ25=".",d_Irr!BY25&lt;&gt;"."),d_dir!BB25/((1/1000)*(d_Irr!BY25)),IF(AND(d_Irr!AA25=".",d_Irr!AZ25&lt;&gt;".",d_Irr!BY25="."),d_dir!BB25/((1/1000)*(d_Irr!AZ25)),IF(AND(d_Irr!AA25&lt;&gt;".",d_Irr!AZ25=".",d_Irr!BY25="."),d_dir!BB25/((1/1000)*(d_Irr!AA25)),IF(AND(d_Irr!AA25=".",d_Irr!AZ25=".",d_Irr!BY25="."),d_dir!BB25*1000)))))))),".")</f>
        <v>.</v>
      </c>
    </row>
    <row r="26" spans="1:54" ht="15" customHeight="1" x14ac:dyDescent="0.25">
      <c r="A26" s="86" t="s">
        <v>24</v>
      </c>
      <c r="B26" s="84" t="s">
        <v>1057</v>
      </c>
      <c r="C26" s="2">
        <f t="shared" si="1"/>
        <v>0.2577785333705756</v>
      </c>
      <c r="D26" s="70">
        <f>IFERROR(IF(AND(d_Irr!C26&lt;&gt;".",d_Irr!AB26&lt;&gt;".",d_Irr!BA26&lt;&gt;"."),d_dir!D26/((1/1000)*(d_Irr!C26+d_Irr!AB26+d_Irr!BA26)),IF(AND(d_Irr!C26&lt;&gt;".",d_Irr!AB26&lt;&gt;".",d_Irr!BA26="."),d_dir!D26/((1/1000)*(d_Irr!C26+d_Irr!AB26)),IF(AND(d_Irr!C26&lt;&gt;".",d_Irr!AB26=".",d_Irr!BA26&lt;&gt;"."),d_dir!D26/((1/1000)*(d_Irr!C26+d_Irr!BA26)),IF(AND(d_Irr!C26=".",d_Irr!AB26&lt;&gt;".",d_Irr!BA26&lt;&gt;"."),d_dir!D26/((1/1000)*(d_Irr!AB26+d_Irr!BA26)),IF(AND(d_Irr!C26=".",d_Irr!AB26=".",d_Irr!BA26&lt;&gt;"."),d_dir!D26/((1/1000)*(d_Irr!BA26)),IF(AND(d_Irr!C26=".",d_Irr!AB26&lt;&gt;".",d_Irr!BA26="."),d_dir!D26/((1/1000)*(d_Irr!AB26)),IF(AND(d_Irr!C26&lt;&gt;".",d_Irr!AB26=".",d_Irr!BA26="."),d_dir!D26/((1/1000)*(d_Irr!C26)),IF(AND(d_Irr!C26=".",d_Irr!AB26=".",d_Irr!BA26="."),d_dir!D26*1000)))))))),".")</f>
        <v>4.7081499298234659</v>
      </c>
      <c r="E26" s="70">
        <f>IFERROR(IF(AND(d_Irr!D26&lt;&gt;".",d_Irr!AC26&lt;&gt;".",d_Irr!BB26&lt;&gt;"."),d_dir!E26/((1/1000)*(d_Irr!D26+d_Irr!AC26+d_Irr!BB26)),IF(AND(d_Irr!D26&lt;&gt;".",d_Irr!AC26&lt;&gt;".",d_Irr!BB26="."),d_dir!E26/((1/1000)*(d_Irr!D26+d_Irr!AC26)),IF(AND(d_Irr!D26&lt;&gt;".",d_Irr!AC26=".",d_Irr!BB26&lt;&gt;"."),d_dir!E26/((1/1000)*(d_Irr!D26+d_Irr!BB26)),IF(AND(d_Irr!D26=".",d_Irr!AC26&lt;&gt;".",d_Irr!BB26&lt;&gt;"."),d_dir!E26/((1/1000)*(d_Irr!AC26+d_Irr!BB26)),IF(AND(d_Irr!D26=".",d_Irr!AC26=".",d_Irr!BB26&lt;&gt;"."),d_dir!E26/((1/1000)*(d_Irr!BB26)),IF(AND(d_Irr!D26=".",d_Irr!AC26&lt;&gt;".",d_Irr!BB26="."),d_dir!E26/((1/1000)*(d_Irr!AC26)),IF(AND(d_Irr!D26&lt;&gt;".",d_Irr!AC26=".",d_Irr!BB26="."),d_dir!E26/((1/1000)*(d_Irr!D26)),IF(AND(d_Irr!D26=".",d_Irr!AC26=".",d_Irr!BB26="."),d_dir!E26*1000)))))))),".")</f>
        <v>10.227873483635257</v>
      </c>
      <c r="F26" s="70">
        <f>IFERROR(IF(AND(d_Irr!E26&lt;&gt;".",d_Irr!AD26&lt;&gt;".",d_Irr!BC26&lt;&gt;"."),d_dir!F26/((1/1000)*(d_Irr!E26+d_Irr!AD26+d_Irr!BC26)),IF(AND(d_Irr!E26&lt;&gt;".",d_Irr!AD26&lt;&gt;".",d_Irr!BC26="."),d_dir!F26/((1/1000)*(d_Irr!E26+d_Irr!AD26)),IF(AND(d_Irr!E26&lt;&gt;".",d_Irr!AD26=".",d_Irr!BC26&lt;&gt;"."),d_dir!F26/((1/1000)*(d_Irr!E26+d_Irr!BC26)),IF(AND(d_Irr!E26=".",d_Irr!AD26&lt;&gt;".",d_Irr!BC26&lt;&gt;"."),d_dir!F26/((1/1000)*(d_Irr!AD26+d_Irr!BC26)),IF(AND(d_Irr!E26=".",d_Irr!AD26=".",d_Irr!BC26&lt;&gt;"."),d_dir!F26/((1/1000)*(d_Irr!BC26)),IF(AND(d_Irr!E26=".",d_Irr!AD26&lt;&gt;".",d_Irr!BC26="."),d_dir!F26/((1/1000)*(d_Irr!AD26)),IF(AND(d_Irr!E26&lt;&gt;".",d_Irr!AD26=".",d_Irr!BC26="."),d_dir!F26/((1/1000)*(d_Irr!E26)),IF(AND(d_Irr!E26=".",d_Irr!AD26=".",d_Irr!BC26="."),d_dir!F26*1000)))))))),".")</f>
        <v>12.377629760637896</v>
      </c>
      <c r="G26" s="70">
        <f>IFERROR(IF(AND(d_Irr!F26&lt;&gt;".",d_Irr!AE26&lt;&gt;".",d_Irr!BD26&lt;&gt;"."),d_dir!G26/((1/1000)*(d_Irr!F26+d_Irr!AE26+d_Irr!BD26)),IF(AND(d_Irr!F26&lt;&gt;".",d_Irr!AE26&lt;&gt;".",d_Irr!BD26="."),d_dir!G26/((1/1000)*(d_Irr!F26+d_Irr!AE26)),IF(AND(d_Irr!F26&lt;&gt;".",d_Irr!AE26=".",d_Irr!BD26&lt;&gt;"."),d_dir!G26/((1/1000)*(d_Irr!F26+d_Irr!BD26)),IF(AND(d_Irr!F26=".",d_Irr!AE26&lt;&gt;".",d_Irr!BD26&lt;&gt;"."),d_dir!G26/((1/1000)*(d_Irr!AE26+d_Irr!BD26)),IF(AND(d_Irr!F26=".",d_Irr!AE26=".",d_Irr!BD26&lt;&gt;"."),d_dir!G26/((1/1000)*(d_Irr!BD26)),IF(AND(d_Irr!F26=".",d_Irr!AE26&lt;&gt;".",d_Irr!BD26="."),d_dir!G26/((1/1000)*(d_Irr!AE26)),IF(AND(d_Irr!F26&lt;&gt;".",d_Irr!AE26=".",d_Irr!BD26="."),d_dir!G26/((1/1000)*(d_Irr!F26)),IF(AND(d_Irr!F26=".",d_Irr!AE26=".",d_Irr!BD26="."),d_dir!G26*1000)))))))),".")</f>
        <v>10.586304996183108</v>
      </c>
      <c r="H26" s="70">
        <f>IFERROR(IF(AND(d_Irr!G26&lt;&gt;".",d_Irr!AF26&lt;&gt;".",d_Irr!BE26&lt;&gt;"."),d_dir!H26/((1/1000)*(d_Irr!G26+d_Irr!AF26+d_Irr!BE26)),IF(AND(d_Irr!G26&lt;&gt;".",d_Irr!AF26&lt;&gt;".",d_Irr!BE26="."),d_dir!H26/((1/1000)*(d_Irr!G26+d_Irr!AF26)),IF(AND(d_Irr!G26&lt;&gt;".",d_Irr!AF26=".",d_Irr!BE26&lt;&gt;"."),d_dir!H26/((1/1000)*(d_Irr!G26+d_Irr!BE26)),IF(AND(d_Irr!G26=".",d_Irr!AF26&lt;&gt;".",d_Irr!BE26&lt;&gt;"."),d_dir!H26/((1/1000)*(d_Irr!AF26+d_Irr!BE26)),IF(AND(d_Irr!G26=".",d_Irr!AF26=".",d_Irr!BE26&lt;&gt;"."),d_dir!H26/((1/1000)*(d_Irr!BE26)),IF(AND(d_Irr!G26=".",d_Irr!AF26&lt;&gt;".",d_Irr!BE26="."),d_dir!H26/((1/1000)*(d_Irr!AF26)),IF(AND(d_Irr!G26&lt;&gt;".",d_Irr!AF26=".",d_Irr!BE26="."),d_dir!H26/((1/1000)*(d_Irr!G26)),IF(AND(d_Irr!G26=".",d_Irr!AF26=".",d_Irr!BE26="."),d_dir!H26*1000)))))))),".")</f>
        <v>12.899414752950088</v>
      </c>
      <c r="I26" s="70">
        <f>IFERROR(IF(AND(d_Irr!H26&lt;&gt;".",d_Irr!AG26&lt;&gt;".",d_Irr!BF26&lt;&gt;"."),d_dir!I26/((1/1000)*(d_Irr!H26+d_Irr!AG26+d_Irr!BF26)),IF(AND(d_Irr!H26&lt;&gt;".",d_Irr!AG26&lt;&gt;".",d_Irr!BF26="."),d_dir!I26/((1/1000)*(d_Irr!H26+d_Irr!AG26)),IF(AND(d_Irr!H26&lt;&gt;".",d_Irr!AG26=".",d_Irr!BF26&lt;&gt;"."),d_dir!I26/((1/1000)*(d_Irr!H26+d_Irr!BF26)),IF(AND(d_Irr!H26=".",d_Irr!AG26&lt;&gt;".",d_Irr!BF26&lt;&gt;"."),d_dir!I26/((1/1000)*(d_Irr!AG26+d_Irr!BF26)),IF(AND(d_Irr!H26=".",d_Irr!AG26=".",d_Irr!BF26&lt;&gt;"."),d_dir!I26/((1/1000)*(d_Irr!BF26)),IF(AND(d_Irr!H26=".",d_Irr!AG26&lt;&gt;".",d_Irr!BF26="."),d_dir!I26/((1/1000)*(d_Irr!AG26)),IF(AND(d_Irr!H26&lt;&gt;".",d_Irr!AG26=".",d_Irr!BF26="."),d_dir!I26/((1/1000)*(d_Irr!H26)),IF(AND(d_Irr!H26=".",d_Irr!AG26=".",d_Irr!BF26="."),d_dir!I26*1000)))))))),".")</f>
        <v>5.0367539162659956</v>
      </c>
      <c r="J26" s="70">
        <f>IFERROR(IF(AND(d_Irr!I26&lt;&gt;".",d_Irr!AH26&lt;&gt;".",d_Irr!BG26&lt;&gt;"."),d_dir!J26/((1/1000)*(d_Irr!I26+d_Irr!AH26+d_Irr!BG26)),IF(AND(d_Irr!I26&lt;&gt;".",d_Irr!AH26&lt;&gt;".",d_Irr!BG26="."),d_dir!J26/((1/1000)*(d_Irr!I26+d_Irr!AH26)),IF(AND(d_Irr!I26&lt;&gt;".",d_Irr!AH26=".",d_Irr!BG26&lt;&gt;"."),d_dir!J26/((1/1000)*(d_Irr!I26+d_Irr!BG26)),IF(AND(d_Irr!I26=".",d_Irr!AH26&lt;&gt;".",d_Irr!BG26&lt;&gt;"."),d_dir!J26/((1/1000)*(d_Irr!AH26+d_Irr!BG26)),IF(AND(d_Irr!I26=".",d_Irr!AH26=".",d_Irr!BG26&lt;&gt;"."),d_dir!J26/((1/1000)*(d_Irr!BG26)),IF(AND(d_Irr!I26=".",d_Irr!AH26&lt;&gt;".",d_Irr!BG26="."),d_dir!J26/((1/1000)*(d_Irr!AH26)),IF(AND(d_Irr!I26&lt;&gt;".",d_Irr!AH26=".",d_Irr!BG26="."),d_dir!J26/((1/1000)*(d_Irr!I26)),IF(AND(d_Irr!I26=".",d_Irr!AH26=".",d_Irr!BG26="."),d_dir!J26*1000)))))))),".")</f>
        <v>14.258217033605362</v>
      </c>
      <c r="K26" s="70">
        <f>IFERROR(IF(AND(d_Irr!J26&lt;&gt;".",d_Irr!AI26&lt;&gt;".",d_Irr!BH26&lt;&gt;"."),d_dir!K26/((1/1000)*(d_Irr!J26+d_Irr!AI26+d_Irr!BH26)),IF(AND(d_Irr!J26&lt;&gt;".",d_Irr!AI26&lt;&gt;".",d_Irr!BH26="."),d_dir!K26/((1/1000)*(d_Irr!J26+d_Irr!AI26)),IF(AND(d_Irr!J26&lt;&gt;".",d_Irr!AI26=".",d_Irr!BH26&lt;&gt;"."),d_dir!K26/((1/1000)*(d_Irr!J26+d_Irr!BH26)),IF(AND(d_Irr!J26=".",d_Irr!AI26&lt;&gt;".",d_Irr!BH26&lt;&gt;"."),d_dir!K26/((1/1000)*(d_Irr!AI26+d_Irr!BH26)),IF(AND(d_Irr!J26=".",d_Irr!AI26=".",d_Irr!BH26&lt;&gt;"."),d_dir!K26/((1/1000)*(d_Irr!BH26)),IF(AND(d_Irr!J26=".",d_Irr!AI26&lt;&gt;".",d_Irr!BH26="."),d_dir!K26/((1/1000)*(d_Irr!AI26)),IF(AND(d_Irr!J26&lt;&gt;".",d_Irr!AI26=".",d_Irr!BH26="."),d_dir!K26/((1/1000)*(d_Irr!J26)),IF(AND(d_Irr!J26=".",d_Irr!AI26=".",d_Irr!BH26="."),d_dir!K26*1000)))))))),".")</f>
        <v>1.2205477926395041</v>
      </c>
      <c r="L26" s="70">
        <f>IFERROR(IF(AND(d_Irr!K26&lt;&gt;".",d_Irr!AJ26&lt;&gt;".",d_Irr!BI26&lt;&gt;"."),d_dir!L26/((1/1000)*(d_Irr!K26+d_Irr!AJ26+d_Irr!BI26)),IF(AND(d_Irr!K26&lt;&gt;".",d_Irr!AJ26&lt;&gt;".",d_Irr!BI26="."),d_dir!L26/((1/1000)*(d_Irr!K26+d_Irr!AJ26)),IF(AND(d_Irr!K26&lt;&gt;".",d_Irr!AJ26=".",d_Irr!BI26&lt;&gt;"."),d_dir!L26/((1/1000)*(d_Irr!K26+d_Irr!BI26)),IF(AND(d_Irr!K26=".",d_Irr!AJ26&lt;&gt;".",d_Irr!BI26&lt;&gt;"."),d_dir!L26/((1/1000)*(d_Irr!AJ26+d_Irr!BI26)),IF(AND(d_Irr!K26=".",d_Irr!AJ26=".",d_Irr!BI26&lt;&gt;"."),d_dir!L26/((1/1000)*(d_Irr!BI26)),IF(AND(d_Irr!K26=".",d_Irr!AJ26&lt;&gt;".",d_Irr!BI26="."),d_dir!L26/((1/1000)*(d_Irr!AJ26)),IF(AND(d_Irr!K26&lt;&gt;".",d_Irr!AJ26=".",d_Irr!BI26="."),d_dir!L26/((1/1000)*(d_Irr!K26)),IF(AND(d_Irr!K26=".",d_Irr!AJ26=".",d_Irr!BI26="."),d_dir!L26*1000)))))))),".")</f>
        <v>6.6831836665089597</v>
      </c>
      <c r="M26" s="70">
        <f>IFERROR(IF(AND(d_Irr!L26&lt;&gt;".",d_Irr!AK26&lt;&gt;".",d_Irr!BJ26&lt;&gt;"."),d_dir!M26/((1/1000)*(d_Irr!L26+d_Irr!AK26+d_Irr!BJ26)),IF(AND(d_Irr!L26&lt;&gt;".",d_Irr!AK26&lt;&gt;".",d_Irr!BJ26="."),d_dir!M26/((1/1000)*(d_Irr!L26+d_Irr!AK26)),IF(AND(d_Irr!L26&lt;&gt;".",d_Irr!AK26=".",d_Irr!BJ26&lt;&gt;"."),d_dir!M26/((1/1000)*(d_Irr!L26+d_Irr!BJ26)),IF(AND(d_Irr!L26=".",d_Irr!AK26&lt;&gt;".",d_Irr!BJ26&lt;&gt;"."),d_dir!M26/((1/1000)*(d_Irr!AK26+d_Irr!BJ26)),IF(AND(d_Irr!L26=".",d_Irr!AK26=".",d_Irr!BJ26&lt;&gt;"."),d_dir!M26/((1/1000)*(d_Irr!BJ26)),IF(AND(d_Irr!L26=".",d_Irr!AK26&lt;&gt;".",d_Irr!BJ26="."),d_dir!M26/((1/1000)*(d_Irr!AK26)),IF(AND(d_Irr!L26&lt;&gt;".",d_Irr!AK26=".",d_Irr!BJ26="."),d_dir!M26/((1/1000)*(d_Irr!L26)),IF(AND(d_Irr!L26=".",d_Irr!AK26=".",d_Irr!BJ26="."),d_dir!M26*1000)))))))),".")</f>
        <v>5.0044351518118537</v>
      </c>
      <c r="N26" s="70">
        <f>IFERROR(IF(AND(d_Irr!M26&lt;&gt;".",d_Irr!AL26&lt;&gt;".",d_Irr!BK26&lt;&gt;"."),d_dir!N26/((1/1000)*(d_Irr!M26+d_Irr!AL26+d_Irr!BK26)),IF(AND(d_Irr!M26&lt;&gt;".",d_Irr!AL26&lt;&gt;".",d_Irr!BK26="."),d_dir!N26/((1/1000)*(d_Irr!M26+d_Irr!AL26)),IF(AND(d_Irr!M26&lt;&gt;".",d_Irr!AL26=".",d_Irr!BK26&lt;&gt;"."),d_dir!N26/((1/1000)*(d_Irr!M26+d_Irr!BK26)),IF(AND(d_Irr!M26=".",d_Irr!AL26&lt;&gt;".",d_Irr!BK26&lt;&gt;"."),d_dir!N26/((1/1000)*(d_Irr!AL26+d_Irr!BK26)),IF(AND(d_Irr!M26=".",d_Irr!AL26=".",d_Irr!BK26&lt;&gt;"."),d_dir!N26/((1/1000)*(d_Irr!BK26)),IF(AND(d_Irr!M26=".",d_Irr!AL26&lt;&gt;".",d_Irr!BK26="."),d_dir!N26/((1/1000)*(d_Irr!AL26)),IF(AND(d_Irr!M26&lt;&gt;".",d_Irr!AL26=".",d_Irr!BK26="."),d_dir!N26/((1/1000)*(d_Irr!M26)),IF(AND(d_Irr!M26=".",d_Irr!AL26=".",d_Irr!BK26="."),d_dir!N26*1000)))))))),".")</f>
        <v>10.475743522818835</v>
      </c>
      <c r="O26" s="70">
        <f>IFERROR(IF(AND(d_Irr!N26&lt;&gt;".",d_Irr!AM26&lt;&gt;".",d_Irr!BL26&lt;&gt;"."),d_dir!O26/((1/1000)*(d_Irr!N26+d_Irr!AM26+d_Irr!BL26)),IF(AND(d_Irr!N26&lt;&gt;".",d_Irr!AM26&lt;&gt;".",d_Irr!BL26="."),d_dir!O26/((1/1000)*(d_Irr!N26+d_Irr!AM26)),IF(AND(d_Irr!N26&lt;&gt;".",d_Irr!AM26=".",d_Irr!BL26&lt;&gt;"."),d_dir!O26/((1/1000)*(d_Irr!N26+d_Irr!BL26)),IF(AND(d_Irr!N26=".",d_Irr!AM26&lt;&gt;".",d_Irr!BL26&lt;&gt;"."),d_dir!O26/((1/1000)*(d_Irr!AM26+d_Irr!BL26)),IF(AND(d_Irr!N26=".",d_Irr!AM26=".",d_Irr!BL26&lt;&gt;"."),d_dir!O26/((1/1000)*(d_Irr!BL26)),IF(AND(d_Irr!N26=".",d_Irr!AM26&lt;&gt;".",d_Irr!BL26="."),d_dir!O26/((1/1000)*(d_Irr!AM26)),IF(AND(d_Irr!N26&lt;&gt;".",d_Irr!AM26=".",d_Irr!BL26="."),d_dir!O26/((1/1000)*(d_Irr!N26)),IF(AND(d_Irr!N26=".",d_Irr!AM26=".",d_Irr!BL26="."),d_dir!O26*1000)))))))),".")</f>
        <v>10.712413097390362</v>
      </c>
      <c r="P26" s="70">
        <f>IFERROR(IF(AND(d_Irr!O26&lt;&gt;".",d_Irr!AN26&lt;&gt;".",d_Irr!BM26&lt;&gt;"."),d_dir!P26/((1/1000)*(d_Irr!O26+d_Irr!AN26+d_Irr!BM26)),IF(AND(d_Irr!O26&lt;&gt;".",d_Irr!AN26&lt;&gt;".",d_Irr!BM26="."),d_dir!P26/((1/1000)*(d_Irr!O26+d_Irr!AN26)),IF(AND(d_Irr!O26&lt;&gt;".",d_Irr!AN26=".",d_Irr!BM26&lt;&gt;"."),d_dir!P26/((1/1000)*(d_Irr!O26+d_Irr!BM26)),IF(AND(d_Irr!O26=".",d_Irr!AN26&lt;&gt;".",d_Irr!BM26&lt;&gt;"."),d_dir!P26/((1/1000)*(d_Irr!AN26+d_Irr!BM26)),IF(AND(d_Irr!O26=".",d_Irr!AN26=".",d_Irr!BM26&lt;&gt;"."),d_dir!P26/((1/1000)*(d_Irr!BM26)),IF(AND(d_Irr!O26=".",d_Irr!AN26&lt;&gt;".",d_Irr!BM26="."),d_dir!P26/((1/1000)*(d_Irr!AN26)),IF(AND(d_Irr!O26&lt;&gt;".",d_Irr!AN26=".",d_Irr!BM26="."),d_dir!P26/((1/1000)*(d_Irr!O26)),IF(AND(d_Irr!O26=".",d_Irr!AN26=".",d_Irr!BM26="."),d_dir!P26*1000)))))))),".")</f>
        <v>13.500259002404992</v>
      </c>
      <c r="Q26" s="70">
        <f>IFERROR(IF(AND(d_Irr!P26&lt;&gt;".",d_Irr!AO26&lt;&gt;".",d_Irr!BN26&lt;&gt;"."),d_dir!Q26/((1/1000)*(d_Irr!P26+d_Irr!AO26+d_Irr!BN26)),IF(AND(d_Irr!P26&lt;&gt;".",d_Irr!AO26&lt;&gt;".",d_Irr!BN26="."),d_dir!Q26/((1/1000)*(d_Irr!P26+d_Irr!AO26)),IF(AND(d_Irr!P26&lt;&gt;".",d_Irr!AO26=".",d_Irr!BN26&lt;&gt;"."),d_dir!Q26/((1/1000)*(d_Irr!P26+d_Irr!BN26)),IF(AND(d_Irr!P26=".",d_Irr!AO26&lt;&gt;".",d_Irr!BN26&lt;&gt;"."),d_dir!Q26/((1/1000)*(d_Irr!AO26+d_Irr!BN26)),IF(AND(d_Irr!P26=".",d_Irr!AO26=".",d_Irr!BN26&lt;&gt;"."),d_dir!Q26/((1/1000)*(d_Irr!BN26)),IF(AND(d_Irr!P26=".",d_Irr!AO26&lt;&gt;".",d_Irr!BN26="."),d_dir!Q26/((1/1000)*(d_Irr!AO26)),IF(AND(d_Irr!P26&lt;&gt;".",d_Irr!AO26=".",d_Irr!BN26="."),d_dir!Q26/((1/1000)*(d_Irr!P26)),IF(AND(d_Irr!P26=".",d_Irr!AO26=".",d_Irr!BN26="."),d_dir!Q26*1000)))))))),".")</f>
        <v>19.265150103132932</v>
      </c>
      <c r="R26" s="70">
        <f>IFERROR(IF(AND(d_Irr!Q26&lt;&gt;".",d_Irr!AP26&lt;&gt;".",d_Irr!BO26&lt;&gt;"."),d_dir!R26/((1/1000)*(d_Irr!Q26+d_Irr!AP26+d_Irr!BO26)),IF(AND(d_Irr!Q26&lt;&gt;".",d_Irr!AP26&lt;&gt;".",d_Irr!BO26="."),d_dir!R26/((1/1000)*(d_Irr!Q26+d_Irr!AP26)),IF(AND(d_Irr!Q26&lt;&gt;".",d_Irr!AP26=".",d_Irr!BO26&lt;&gt;"."),d_dir!R26/((1/1000)*(d_Irr!Q26+d_Irr!BO26)),IF(AND(d_Irr!Q26=".",d_Irr!AP26&lt;&gt;".",d_Irr!BO26&lt;&gt;"."),d_dir!R26/((1/1000)*(d_Irr!AP26+d_Irr!BO26)),IF(AND(d_Irr!Q26=".",d_Irr!AP26=".",d_Irr!BO26&lt;&gt;"."),d_dir!R26/((1/1000)*(d_Irr!BO26)),IF(AND(d_Irr!Q26=".",d_Irr!AP26&lt;&gt;".",d_Irr!BO26="."),d_dir!R26/((1/1000)*(d_Irr!AP26)),IF(AND(d_Irr!Q26&lt;&gt;".",d_Irr!AP26=".",d_Irr!BO26="."),d_dir!R26/((1/1000)*(d_Irr!Q26)),IF(AND(d_Irr!Q26=".",d_Irr!AP26=".",d_Irr!BO26="."),d_dir!R26*1000)))))))),".")</f>
        <v>3.0227513173877538</v>
      </c>
      <c r="S26" s="70">
        <f>IFERROR(IF(AND(d_Irr!R26&lt;&gt;".",d_Irr!AQ26&lt;&gt;".",d_Irr!BP26&lt;&gt;"."),d_dir!S26/((1/1000)*(d_Irr!R26+d_Irr!AQ26+d_Irr!BP26)),IF(AND(d_Irr!R26&lt;&gt;".",d_Irr!AQ26&lt;&gt;".",d_Irr!BP26="."),d_dir!S26/((1/1000)*(d_Irr!R26+d_Irr!AQ26)),IF(AND(d_Irr!R26&lt;&gt;".",d_Irr!AQ26=".",d_Irr!BP26&lt;&gt;"."),d_dir!S26/((1/1000)*(d_Irr!R26+d_Irr!BP26)),IF(AND(d_Irr!R26=".",d_Irr!AQ26&lt;&gt;".",d_Irr!BP26&lt;&gt;"."),d_dir!S26/((1/1000)*(d_Irr!AQ26+d_Irr!BP26)),IF(AND(d_Irr!R26=".",d_Irr!AQ26=".",d_Irr!BP26&lt;&gt;"."),d_dir!S26/((1/1000)*(d_Irr!BP26)),IF(AND(d_Irr!R26=".",d_Irr!AQ26&lt;&gt;".",d_Irr!BP26="."),d_dir!S26/((1/1000)*(d_Irr!AQ26)),IF(AND(d_Irr!R26&lt;&gt;".",d_Irr!AQ26=".",d_Irr!BP26="."),d_dir!S26/((1/1000)*(d_Irr!R26)),IF(AND(d_Irr!R26=".",d_Irr!AQ26=".",d_Irr!BP26="."),d_dir!S26*1000)))))))),".")</f>
        <v>6.1676352697912113</v>
      </c>
      <c r="T26" s="70">
        <f>IFERROR(IF(AND(d_Irr!S26&lt;&gt;".",d_Irr!AR26&lt;&gt;".",d_Irr!BQ26&lt;&gt;"."),d_dir!T26/((1/1000)*(d_Irr!S26+d_Irr!AR26+d_Irr!BQ26)),IF(AND(d_Irr!S26&lt;&gt;".",d_Irr!AR26&lt;&gt;".",d_Irr!BQ26="."),d_dir!T26/((1/1000)*(d_Irr!S26+d_Irr!AR26)),IF(AND(d_Irr!S26&lt;&gt;".",d_Irr!AR26=".",d_Irr!BQ26&lt;&gt;"."),d_dir!T26/((1/1000)*(d_Irr!S26+d_Irr!BQ26)),IF(AND(d_Irr!S26=".",d_Irr!AR26&lt;&gt;".",d_Irr!BQ26&lt;&gt;"."),d_dir!T26/((1/1000)*(d_Irr!AR26+d_Irr!BQ26)),IF(AND(d_Irr!S26=".",d_Irr!AR26=".",d_Irr!BQ26&lt;&gt;"."),d_dir!T26/((1/1000)*(d_Irr!BQ26)),IF(AND(d_Irr!S26=".",d_Irr!AR26&lt;&gt;".",d_Irr!BQ26="."),d_dir!T26/((1/1000)*(d_Irr!AR26)),IF(AND(d_Irr!S26&lt;&gt;".",d_Irr!AR26=".",d_Irr!BQ26="."),d_dir!T26/((1/1000)*(d_Irr!S26)),IF(AND(d_Irr!S26=".",d_Irr!AR26=".",d_Irr!BQ26="."),d_dir!T26*1000)))))))),".")</f>
        <v>10.75379532166947</v>
      </c>
      <c r="U26" s="70">
        <f>IFERROR(IF(AND(d_Irr!T26&lt;&gt;".",d_Irr!AS26&lt;&gt;".",d_Irr!BR26&lt;&gt;"."),d_dir!U26/((1/1000)*(d_Irr!T26+d_Irr!AS26+d_Irr!BR26)),IF(AND(d_Irr!T26&lt;&gt;".",d_Irr!AS26&lt;&gt;".",d_Irr!BR26="."),d_dir!U26/((1/1000)*(d_Irr!T26+d_Irr!AS26)),IF(AND(d_Irr!T26&lt;&gt;".",d_Irr!AS26=".",d_Irr!BR26&lt;&gt;"."),d_dir!U26/((1/1000)*(d_Irr!T26+d_Irr!BR26)),IF(AND(d_Irr!T26=".",d_Irr!AS26&lt;&gt;".",d_Irr!BR26&lt;&gt;"."),d_dir!U26/((1/1000)*(d_Irr!AS26+d_Irr!BR26)),IF(AND(d_Irr!T26=".",d_Irr!AS26=".",d_Irr!BR26&lt;&gt;"."),d_dir!U26/((1/1000)*(d_Irr!BR26)),IF(AND(d_Irr!T26=".",d_Irr!AS26&lt;&gt;".",d_Irr!BR26="."),d_dir!U26/((1/1000)*(d_Irr!AS26)),IF(AND(d_Irr!T26&lt;&gt;".",d_Irr!AS26=".",d_Irr!BR26="."),d_dir!U26/((1/1000)*(d_Irr!T26)),IF(AND(d_Irr!T26=".",d_Irr!AS26=".",d_Irr!BR26="."),d_dir!U26*1000)))))))),".")</f>
        <v>21.050741846471293</v>
      </c>
      <c r="V26" s="70">
        <f>IFERROR(IF(AND(d_Irr!U26&lt;&gt;".",d_Irr!AT26&lt;&gt;".",d_Irr!BS26&lt;&gt;"."),d_dir!V26/((1/1000)*(d_Irr!U26+d_Irr!AT26+d_Irr!BS26)),IF(AND(d_Irr!U26&lt;&gt;".",d_Irr!AT26&lt;&gt;".",d_Irr!BS26="."),d_dir!V26/((1/1000)*(d_Irr!U26+d_Irr!AT26)),IF(AND(d_Irr!U26&lt;&gt;".",d_Irr!AT26=".",d_Irr!BS26&lt;&gt;"."),d_dir!V26/((1/1000)*(d_Irr!U26+d_Irr!BS26)),IF(AND(d_Irr!U26=".",d_Irr!AT26&lt;&gt;".",d_Irr!BS26&lt;&gt;"."),d_dir!V26/((1/1000)*(d_Irr!AT26+d_Irr!BS26)),IF(AND(d_Irr!U26=".",d_Irr!AT26=".",d_Irr!BS26&lt;&gt;"."),d_dir!V26/((1/1000)*(d_Irr!BS26)),IF(AND(d_Irr!U26=".",d_Irr!AT26&lt;&gt;".",d_Irr!BS26="."),d_dir!V26/((1/1000)*(d_Irr!AT26)),IF(AND(d_Irr!U26&lt;&gt;".",d_Irr!AT26=".",d_Irr!BS26="."),d_dir!V26/((1/1000)*(d_Irr!U26)),IF(AND(d_Irr!U26=".",d_Irr!AT26=".",d_Irr!BS26="."),d_dir!V26*1000)))))))),".")</f>
        <v>3.1726221729063235</v>
      </c>
      <c r="W26" s="70">
        <f>IFERROR(IF(AND(d_Irr!V26&lt;&gt;".",d_Irr!AU26&lt;&gt;".",d_Irr!BT26&lt;&gt;"."),d_dir!W26/((1/1000)*(d_Irr!V26+d_Irr!AU26+d_Irr!BT26)),IF(AND(d_Irr!V26&lt;&gt;".",d_Irr!AU26&lt;&gt;".",d_Irr!BT26="."),d_dir!W26/((1/1000)*(d_Irr!V26+d_Irr!AU26)),IF(AND(d_Irr!V26&lt;&gt;".",d_Irr!AU26=".",d_Irr!BT26&lt;&gt;"."),d_dir!W26/((1/1000)*(d_Irr!V26+d_Irr!BT26)),IF(AND(d_Irr!V26=".",d_Irr!AU26&lt;&gt;".",d_Irr!BT26&lt;&gt;"."),d_dir!W26/((1/1000)*(d_Irr!AU26+d_Irr!BT26)),IF(AND(d_Irr!V26=".",d_Irr!AU26=".",d_Irr!BT26&lt;&gt;"."),d_dir!W26/((1/1000)*(d_Irr!BT26)),IF(AND(d_Irr!V26=".",d_Irr!AU26&lt;&gt;".",d_Irr!BT26="."),d_dir!W26/((1/1000)*(d_Irr!AU26)),IF(AND(d_Irr!V26&lt;&gt;".",d_Irr!AU26=".",d_Irr!BT26="."),d_dir!W26/((1/1000)*(d_Irr!V26)),IF(AND(d_Irr!V26=".",d_Irr!AU26=".",d_Irr!BT26="."),d_dir!W26*1000)))))))),".")</f>
        <v>6.4212223299568487</v>
      </c>
      <c r="X26" s="70">
        <f>IFERROR(IF(AND(d_Irr!W26&lt;&gt;".",d_Irr!AV26&lt;&gt;".",d_Irr!BU26&lt;&gt;"."),d_dir!X26/((1/1000)*(d_Irr!W26+d_Irr!AV26+d_Irr!BU26)),IF(AND(d_Irr!W26&lt;&gt;".",d_Irr!AV26&lt;&gt;".",d_Irr!BU26="."),d_dir!X26/((1/1000)*(d_Irr!W26+d_Irr!AV26)),IF(AND(d_Irr!W26&lt;&gt;".",d_Irr!AV26=".",d_Irr!BU26&lt;&gt;"."),d_dir!X26/((1/1000)*(d_Irr!W26+d_Irr!BU26)),IF(AND(d_Irr!W26=".",d_Irr!AV26&lt;&gt;".",d_Irr!BU26&lt;&gt;"."),d_dir!X26/((1/1000)*(d_Irr!AV26+d_Irr!BU26)),IF(AND(d_Irr!W26=".",d_Irr!AV26=".",d_Irr!BU26&lt;&gt;"."),d_dir!X26/((1/1000)*(d_Irr!BU26)),IF(AND(d_Irr!W26=".",d_Irr!AV26&lt;&gt;".",d_Irr!BU26="."),d_dir!X26/((1/1000)*(d_Irr!AV26)),IF(AND(d_Irr!W26&lt;&gt;".",d_Irr!AV26=".",d_Irr!BU26="."),d_dir!X26/((1/1000)*(d_Irr!W26)),IF(AND(d_Irr!W26=".",d_Irr!AV26=".",d_Irr!BU26="."),d_dir!X26*1000)))))))),".")</f>
        <v>6.8883927759339381</v>
      </c>
      <c r="Y26" s="70">
        <f>IFERROR(IF(AND(d_Irr!X26&lt;&gt;".",d_Irr!AW26&lt;&gt;".",d_Irr!BV26&lt;&gt;"."),d_dir!Y26/((1/1000)*(d_Irr!X26+d_Irr!AW26+d_Irr!BV26)),IF(AND(d_Irr!X26&lt;&gt;".",d_Irr!AW26&lt;&gt;".",d_Irr!BV26="."),d_dir!Y26/((1/1000)*(d_Irr!X26+d_Irr!AW26)),IF(AND(d_Irr!X26&lt;&gt;".",d_Irr!AW26=".",d_Irr!BV26&lt;&gt;"."),d_dir!Y26/((1/1000)*(d_Irr!X26+d_Irr!BV26)),IF(AND(d_Irr!X26=".",d_Irr!AW26&lt;&gt;".",d_Irr!BV26&lt;&gt;"."),d_dir!Y26/((1/1000)*(d_Irr!AW26+d_Irr!BV26)),IF(AND(d_Irr!X26=".",d_Irr!AW26=".",d_Irr!BV26&lt;&gt;"."),d_dir!Y26/((1/1000)*(d_Irr!BV26)),IF(AND(d_Irr!X26=".",d_Irr!AW26&lt;&gt;".",d_Irr!BV26="."),d_dir!Y26/((1/1000)*(d_Irr!AW26)),IF(AND(d_Irr!X26&lt;&gt;".",d_Irr!AW26=".",d_Irr!BV26="."),d_dir!Y26/((1/1000)*(d_Irr!X26)),IF(AND(d_Irr!X26=".",d_Irr!AW26=".",d_Irr!BV26="."),d_dir!Y26*1000)))))))),".")</f>
        <v>9.209163601688779</v>
      </c>
      <c r="Z26" s="70">
        <f>IFERROR(IF(AND(d_Irr!Y26&lt;&gt;".",d_Irr!AX26&lt;&gt;".",d_Irr!BW26&lt;&gt;"."),d_dir!Z26/((1/1000)*(d_Irr!Y26+d_Irr!AX26+d_Irr!BW26)),IF(AND(d_Irr!Y26&lt;&gt;".",d_Irr!AX26&lt;&gt;".",d_Irr!BW26="."),d_dir!Z26/((1/1000)*(d_Irr!Y26+d_Irr!AX26)),IF(AND(d_Irr!Y26&lt;&gt;".",d_Irr!AX26=".",d_Irr!BW26&lt;&gt;"."),d_dir!Z26/((1/1000)*(d_Irr!Y26+d_Irr!BW26)),IF(AND(d_Irr!Y26=".",d_Irr!AX26&lt;&gt;".",d_Irr!BW26&lt;&gt;"."),d_dir!Z26/((1/1000)*(d_Irr!AX26+d_Irr!BW26)),IF(AND(d_Irr!Y26=".",d_Irr!AX26=".",d_Irr!BW26&lt;&gt;"."),d_dir!Z26/((1/1000)*(d_Irr!BW26)),IF(AND(d_Irr!Y26=".",d_Irr!AX26&lt;&gt;".",d_Irr!BW26="."),d_dir!Z26/((1/1000)*(d_Irr!AX26)),IF(AND(d_Irr!Y26&lt;&gt;".",d_Irr!AX26=".",d_Irr!BW26="."),d_dir!Z26/((1/1000)*(d_Irr!Y26)),IF(AND(d_Irr!Y26=".",d_Irr!AX26=".",d_Irr!BW26="."),d_dir!Z26*1000)))))))),".")</f>
        <v>4.8546400774113687</v>
      </c>
      <c r="AA26" s="70">
        <f>IFERROR(IF(AND(d_Irr!Z26&lt;&gt;".",d_Irr!AY26&lt;&gt;".",d_Irr!BX26&lt;&gt;"."),d_dir!AA26/((1/1000)*(d_Irr!Z26+d_Irr!AY26+d_Irr!BX26)),IF(AND(d_Irr!Z26&lt;&gt;".",d_Irr!AY26&lt;&gt;".",d_Irr!BX26="."),d_dir!AA26/((1/1000)*(d_Irr!Z26+d_Irr!AY26)),IF(AND(d_Irr!Z26&lt;&gt;".",d_Irr!AY26=".",d_Irr!BX26&lt;&gt;"."),d_dir!AA26/((1/1000)*(d_Irr!Z26+d_Irr!BX26)),IF(AND(d_Irr!Z26=".",d_Irr!AY26&lt;&gt;".",d_Irr!BX26&lt;&gt;"."),d_dir!AA26/((1/1000)*(d_Irr!AY26+d_Irr!BX26)),IF(AND(d_Irr!Z26=".",d_Irr!AY26=".",d_Irr!BX26&lt;&gt;"."),d_dir!AA26/((1/1000)*(d_Irr!BX26)),IF(AND(d_Irr!Z26=".",d_Irr!AY26&lt;&gt;".",d_Irr!BX26="."),d_dir!AA26/((1/1000)*(d_Irr!AY26)),IF(AND(d_Irr!Z26&lt;&gt;".",d_Irr!AY26=".",d_Irr!BX26="."),d_dir!AA26/((1/1000)*(d_Irr!Z26)),IF(AND(d_Irr!Z26=".",d_Irr!AY26=".",d_Irr!BX26="."),d_dir!AA26*1000)))))))),".")</f>
        <v>1.3898647317597914</v>
      </c>
      <c r="AB26" s="70">
        <f>IFERROR(IF(AND(d_Irr!AA26&lt;&gt;".",d_Irr!AZ26&lt;&gt;".",d_Irr!BY26&lt;&gt;"."),d_dir!AB26/((1/1000)*(d_Irr!AA26+d_Irr!AZ26+d_Irr!BY26)),IF(AND(d_Irr!AA26&lt;&gt;".",d_Irr!AZ26&lt;&gt;".",d_Irr!BY26="."),d_dir!AB26/((1/1000)*(d_Irr!AA26+d_Irr!AZ26)),IF(AND(d_Irr!AA26&lt;&gt;".",d_Irr!AZ26=".",d_Irr!BY26&lt;&gt;"."),d_dir!AB26/((1/1000)*(d_Irr!AA26+d_Irr!BY26)),IF(AND(d_Irr!AA26=".",d_Irr!AZ26&lt;&gt;".",d_Irr!BY26&lt;&gt;"."),d_dir!AB26/((1/1000)*(d_Irr!AZ26+d_Irr!BY26)),IF(AND(d_Irr!AA26=".",d_Irr!AZ26=".",d_Irr!BY26&lt;&gt;"."),d_dir!AB26/((1/1000)*(d_Irr!BY26)),IF(AND(d_Irr!AA26=".",d_Irr!AZ26&lt;&gt;".",d_Irr!BY26="."),d_dir!AB26/((1/1000)*(d_Irr!AZ26)),IF(AND(d_Irr!AA26&lt;&gt;".",d_Irr!AZ26=".",d_Irr!BY26="."),d_dir!AB26/((1/1000)*(d_Irr!AA26)),IF(AND(d_Irr!AA26=".",d_Irr!AZ26=".",d_Irr!BY26="."),d_dir!AB26*1000)))))))),".")</f>
        <v>1.5852945074145426</v>
      </c>
      <c r="AC26" s="70">
        <f t="shared" si="0"/>
        <v>0.24249768680142589</v>
      </c>
      <c r="AD26" s="70">
        <f>IFERROR(IF(AND(d_Irr!C26&lt;&gt;".",d_Irr!AB26&lt;&gt;".",d_Irr!BA26&lt;&gt;"."),d_dir!AD26/((1/1000)*(d_Irr!C26+d_Irr!AB26+d_Irr!BA26)),IF(AND(d_Irr!C26&lt;&gt;".",d_Irr!AB26&lt;&gt;".",d_Irr!BA26="."),d_dir!AD26/((1/1000)*(d_Irr!C26+d_Irr!AB26)),IF(AND(d_Irr!C26&lt;&gt;".",d_Irr!AB26=".",d_Irr!BA26&lt;&gt;"."),d_dir!AD26/((1/1000)*(d_Irr!C26+d_Irr!BA26)),IF(AND(d_Irr!C26=".",d_Irr!AB26&lt;&gt;".",d_Irr!BA26&lt;&gt;"."),d_dir!AD26/((1/1000)*(d_Irr!AB26+d_Irr!BA26)),IF(AND(d_Irr!C26=".",d_Irr!AB26=".",d_Irr!BA26&lt;&gt;"."),d_dir!AD26/((1/1000)*(d_Irr!BA26)),IF(AND(d_Irr!C26=".",d_Irr!AB26&lt;&gt;".",d_Irr!BA26="."),d_dir!AD26/((1/1000)*(d_Irr!AB26)),IF(AND(d_Irr!C26&lt;&gt;".",d_Irr!AB26=".",d_Irr!BA26="."),d_dir!AD26/((1/1000)*(d_Irr!C26)),IF(AND(d_Irr!C26=".",d_Irr!AB26=".",d_Irr!BA26="."),d_dir!AD26*1000)))))))),".")</f>
        <v>4.0939198472465099</v>
      </c>
      <c r="AE26" s="70">
        <f>IFERROR(IF(AND(d_Irr!D26&lt;&gt;".",d_Irr!AC26&lt;&gt;".",d_Irr!BB26&lt;&gt;"."),d_dir!AE26/((1/1000)*(d_Irr!D26+d_Irr!AC26+d_Irr!BB26)),IF(AND(d_Irr!D26&lt;&gt;".",d_Irr!AC26&lt;&gt;".",d_Irr!BB26="."),d_dir!AE26/((1/1000)*(d_Irr!D26+d_Irr!AC26)),IF(AND(d_Irr!D26&lt;&gt;".",d_Irr!AC26=".",d_Irr!BB26&lt;&gt;"."),d_dir!AE26/((1/1000)*(d_Irr!D26+d_Irr!BB26)),IF(AND(d_Irr!D26=".",d_Irr!AC26&lt;&gt;".",d_Irr!BB26&lt;&gt;"."),d_dir!AE26/((1/1000)*(d_Irr!AC26+d_Irr!BB26)),IF(AND(d_Irr!D26=".",d_Irr!AC26=".",d_Irr!BB26&lt;&gt;"."),d_dir!AE26/((1/1000)*(d_Irr!BB26)),IF(AND(d_Irr!D26=".",d_Irr!AC26&lt;&gt;".",d_Irr!BB26="."),d_dir!AE26/((1/1000)*(d_Irr!AC26)),IF(AND(d_Irr!D26&lt;&gt;".",d_Irr!AC26=".",d_Irr!BB26="."),d_dir!AE26/((1/1000)*(d_Irr!D26)),IF(AND(d_Irr!D26=".",d_Irr!AC26=".",d_Irr!BB26="."),d_dir!AE26*1000)))))))),".")</f>
        <v>9.5846038271233791</v>
      </c>
      <c r="AF26" s="70">
        <f>IFERROR(IF(AND(d_Irr!E26&lt;&gt;".",d_Irr!AD26&lt;&gt;".",d_Irr!BC26&lt;&gt;"."),d_dir!AF26/((1/1000)*(d_Irr!E26+d_Irr!AD26+d_Irr!BC26)),IF(AND(d_Irr!E26&lt;&gt;".",d_Irr!AD26&lt;&gt;".",d_Irr!BC26="."),d_dir!AF26/((1/1000)*(d_Irr!E26+d_Irr!AD26)),IF(AND(d_Irr!E26&lt;&gt;".",d_Irr!AD26=".",d_Irr!BC26&lt;&gt;"."),d_dir!AF26/((1/1000)*(d_Irr!E26+d_Irr!BC26)),IF(AND(d_Irr!E26=".",d_Irr!AD26&lt;&gt;".",d_Irr!BC26&lt;&gt;"."),d_dir!AF26/((1/1000)*(d_Irr!AD26+d_Irr!BC26)),IF(AND(d_Irr!E26=".",d_Irr!AD26=".",d_Irr!BC26&lt;&gt;"."),d_dir!AF26/((1/1000)*(d_Irr!BC26)),IF(AND(d_Irr!E26=".",d_Irr!AD26&lt;&gt;".",d_Irr!BC26="."),d_dir!AF26/((1/1000)*(d_Irr!AD26)),IF(AND(d_Irr!E26&lt;&gt;".",d_Irr!AD26=".",d_Irr!BC26="."),d_dir!AF26/((1/1000)*(d_Irr!E26)),IF(AND(d_Irr!E26=".",d_Irr!AD26=".",d_Irr!BC26="."),d_dir!AF26*1000)))))))),".")</f>
        <v>11.444584809869172</v>
      </c>
      <c r="AG26" s="70">
        <f>IFERROR(IF(AND(d_Irr!F26&lt;&gt;".",d_Irr!AE26&lt;&gt;".",d_Irr!BD26&lt;&gt;"."),d_dir!AG26/((1/1000)*(d_Irr!F26+d_Irr!AE26+d_Irr!BD26)),IF(AND(d_Irr!F26&lt;&gt;".",d_Irr!AE26&lt;&gt;".",d_Irr!BD26="."),d_dir!AG26/((1/1000)*(d_Irr!F26+d_Irr!AE26)),IF(AND(d_Irr!F26&lt;&gt;".",d_Irr!AE26=".",d_Irr!BD26&lt;&gt;"."),d_dir!AG26/((1/1000)*(d_Irr!F26+d_Irr!BD26)),IF(AND(d_Irr!F26=".",d_Irr!AE26&lt;&gt;".",d_Irr!BD26&lt;&gt;"."),d_dir!AG26/((1/1000)*(d_Irr!AE26+d_Irr!BD26)),IF(AND(d_Irr!F26=".",d_Irr!AE26=".",d_Irr!BD26&lt;&gt;"."),d_dir!AG26/((1/1000)*(d_Irr!BD26)),IF(AND(d_Irr!F26=".",d_Irr!AE26&lt;&gt;".",d_Irr!BD26="."),d_dir!AG26/((1/1000)*(d_Irr!AE26)),IF(AND(d_Irr!F26&lt;&gt;".",d_Irr!AE26=".",d_Irr!BD26="."),d_dir!AG26/((1/1000)*(d_Irr!F26)),IF(AND(d_Irr!F26=".",d_Irr!AE26=".",d_Irr!BD26="."),d_dir!AG26*1000)))))))),".")</f>
        <v>10.308631422512732</v>
      </c>
      <c r="AH26" s="70">
        <f>IFERROR(IF(AND(d_Irr!G26&lt;&gt;".",d_Irr!AF26&lt;&gt;".",d_Irr!BE26&lt;&gt;"."),d_dir!AH26/((1/1000)*(d_Irr!G26+d_Irr!AF26+d_Irr!BE26)),IF(AND(d_Irr!G26&lt;&gt;".",d_Irr!AF26&lt;&gt;".",d_Irr!BE26="."),d_dir!AH26/((1/1000)*(d_Irr!G26+d_Irr!AF26)),IF(AND(d_Irr!G26&lt;&gt;".",d_Irr!AF26=".",d_Irr!BE26&lt;&gt;"."),d_dir!AH26/((1/1000)*(d_Irr!G26+d_Irr!BE26)),IF(AND(d_Irr!G26=".",d_Irr!AF26&lt;&gt;".",d_Irr!BE26&lt;&gt;"."),d_dir!AH26/((1/1000)*(d_Irr!AF26+d_Irr!BE26)),IF(AND(d_Irr!G26=".",d_Irr!AF26=".",d_Irr!BE26&lt;&gt;"."),d_dir!AH26/((1/1000)*(d_Irr!BE26)),IF(AND(d_Irr!G26=".",d_Irr!AF26&lt;&gt;".",d_Irr!BE26="."),d_dir!AH26/((1/1000)*(d_Irr!AF26)),IF(AND(d_Irr!G26&lt;&gt;".",d_Irr!AF26=".",d_Irr!BE26="."),d_dir!AH26/((1/1000)*(d_Irr!G26)),IF(AND(d_Irr!G26=".",d_Irr!AF26=".",d_Irr!BE26="."),d_dir!AH26*1000)))))))),".")</f>
        <v>10.963159066271087</v>
      </c>
      <c r="AI26" s="70">
        <f>IFERROR(IF(AND(d_Irr!H26&lt;&gt;".",d_Irr!AG26&lt;&gt;".",d_Irr!BF26&lt;&gt;"."),d_dir!AI26/((1/1000)*(d_Irr!H26+d_Irr!AG26+d_Irr!BF26)),IF(AND(d_Irr!H26&lt;&gt;".",d_Irr!AG26&lt;&gt;".",d_Irr!BF26="."),d_dir!AI26/((1/1000)*(d_Irr!H26+d_Irr!AG26)),IF(AND(d_Irr!H26&lt;&gt;".",d_Irr!AG26=".",d_Irr!BF26&lt;&gt;"."),d_dir!AI26/((1/1000)*(d_Irr!H26+d_Irr!BF26)),IF(AND(d_Irr!H26=".",d_Irr!AG26&lt;&gt;".",d_Irr!BF26&lt;&gt;"."),d_dir!AI26/((1/1000)*(d_Irr!AG26+d_Irr!BF26)),IF(AND(d_Irr!H26=".",d_Irr!AG26=".",d_Irr!BF26&lt;&gt;"."),d_dir!AI26/((1/1000)*(d_Irr!BF26)),IF(AND(d_Irr!H26=".",d_Irr!AG26&lt;&gt;".",d_Irr!BF26="."),d_dir!AI26/((1/1000)*(d_Irr!AG26)),IF(AND(d_Irr!H26&lt;&gt;".",d_Irr!AG26=".",d_Irr!BF26="."),d_dir!AI26/((1/1000)*(d_Irr!H26)),IF(AND(d_Irr!H26=".",d_Irr!AG26=".",d_Irr!BF26="."),d_dir!AI26*1000)))))))),".")</f>
        <v>4.965158887683752</v>
      </c>
      <c r="AJ26" s="70">
        <f>IFERROR(IF(AND(d_Irr!I26&lt;&gt;".",d_Irr!AH26&lt;&gt;".",d_Irr!BG26&lt;&gt;"."),d_dir!AJ26/((1/1000)*(d_Irr!I26+d_Irr!AH26+d_Irr!BG26)),IF(AND(d_Irr!I26&lt;&gt;".",d_Irr!AH26&lt;&gt;".",d_Irr!BG26="."),d_dir!AJ26/((1/1000)*(d_Irr!I26+d_Irr!AH26)),IF(AND(d_Irr!I26&lt;&gt;".",d_Irr!AH26=".",d_Irr!BG26&lt;&gt;"."),d_dir!AJ26/((1/1000)*(d_Irr!I26+d_Irr!BG26)),IF(AND(d_Irr!I26=".",d_Irr!AH26&lt;&gt;".",d_Irr!BG26&lt;&gt;"."),d_dir!AJ26/((1/1000)*(d_Irr!AH26+d_Irr!BG26)),IF(AND(d_Irr!I26=".",d_Irr!AH26=".",d_Irr!BG26&lt;&gt;"."),d_dir!AJ26/((1/1000)*(d_Irr!BG26)),IF(AND(d_Irr!I26=".",d_Irr!AH26&lt;&gt;".",d_Irr!BG26="."),d_dir!AJ26/((1/1000)*(d_Irr!AH26)),IF(AND(d_Irr!I26&lt;&gt;".",d_Irr!AH26=".",d_Irr!BG26="."),d_dir!AJ26/((1/1000)*(d_Irr!I26)),IF(AND(d_Irr!I26=".",d_Irr!AH26=".",d_Irr!BG26="."),d_dir!AJ26*1000)))))))),".")</f>
        <v>15.198298553063951</v>
      </c>
      <c r="AK26" s="70">
        <f>IFERROR(IF(AND(d_Irr!J26&lt;&gt;".",d_Irr!AI26&lt;&gt;".",d_Irr!BH26&lt;&gt;"."),d_dir!AK26/((1/1000)*(d_Irr!J26+d_Irr!AI26+d_Irr!BH26)),IF(AND(d_Irr!J26&lt;&gt;".",d_Irr!AI26&lt;&gt;".",d_Irr!BH26="."),d_dir!AK26/((1/1000)*(d_Irr!J26+d_Irr!AI26)),IF(AND(d_Irr!J26&lt;&gt;".",d_Irr!AI26=".",d_Irr!BH26&lt;&gt;"."),d_dir!AK26/((1/1000)*(d_Irr!J26+d_Irr!BH26)),IF(AND(d_Irr!J26=".",d_Irr!AI26&lt;&gt;".",d_Irr!BH26&lt;&gt;"."),d_dir!AK26/((1/1000)*(d_Irr!AI26+d_Irr!BH26)),IF(AND(d_Irr!J26=".",d_Irr!AI26=".",d_Irr!BH26&lt;&gt;"."),d_dir!AK26/((1/1000)*(d_Irr!BH26)),IF(AND(d_Irr!J26=".",d_Irr!AI26&lt;&gt;".",d_Irr!BH26="."),d_dir!AK26/((1/1000)*(d_Irr!AI26)),IF(AND(d_Irr!J26&lt;&gt;".",d_Irr!AI26=".",d_Irr!BH26="."),d_dir!AK26/((1/1000)*(d_Irr!J26)),IF(AND(d_Irr!J26=".",d_Irr!AI26=".",d_Irr!BH26="."),d_dir!AK26*1000)))))))),".")</f>
        <v>1.1868746202870235</v>
      </c>
      <c r="AL26" s="70">
        <f>IFERROR(IF(AND(d_Irr!K26&lt;&gt;".",d_Irr!AJ26&lt;&gt;".",d_Irr!BI26&lt;&gt;"."),d_dir!AL26/((1/1000)*(d_Irr!K26+d_Irr!AJ26+d_Irr!BI26)),IF(AND(d_Irr!K26&lt;&gt;".",d_Irr!AJ26&lt;&gt;".",d_Irr!BI26="."),d_dir!AL26/((1/1000)*(d_Irr!K26+d_Irr!AJ26)),IF(AND(d_Irr!K26&lt;&gt;".",d_Irr!AJ26=".",d_Irr!BI26&lt;&gt;"."),d_dir!AL26/((1/1000)*(d_Irr!K26+d_Irr!BI26)),IF(AND(d_Irr!K26=".",d_Irr!AJ26&lt;&gt;".",d_Irr!BI26&lt;&gt;"."),d_dir!AL26/((1/1000)*(d_Irr!AJ26+d_Irr!BI26)),IF(AND(d_Irr!K26=".",d_Irr!AJ26=".",d_Irr!BI26&lt;&gt;"."),d_dir!AL26/((1/1000)*(d_Irr!BI26)),IF(AND(d_Irr!K26=".",d_Irr!AJ26&lt;&gt;".",d_Irr!BI26="."),d_dir!AL26/((1/1000)*(d_Irr!AJ26)),IF(AND(d_Irr!K26&lt;&gt;".",d_Irr!AJ26=".",d_Irr!BI26="."),d_dir!AL26/((1/1000)*(d_Irr!K26)),IF(AND(d_Irr!K26=".",d_Irr!AJ26=".",d_Irr!BI26="."),d_dir!AL26*1000)))))))),".")</f>
        <v>4.6354077654726353</v>
      </c>
      <c r="AM26" s="70">
        <f>IFERROR(IF(AND(d_Irr!L26&lt;&gt;".",d_Irr!AK26&lt;&gt;".",d_Irr!BJ26&lt;&gt;"."),d_dir!AM26/((1/1000)*(d_Irr!L26+d_Irr!AK26+d_Irr!BJ26)),IF(AND(d_Irr!L26&lt;&gt;".",d_Irr!AK26&lt;&gt;".",d_Irr!BJ26="."),d_dir!AM26/((1/1000)*(d_Irr!L26+d_Irr!AK26)),IF(AND(d_Irr!L26&lt;&gt;".",d_Irr!AK26=".",d_Irr!BJ26&lt;&gt;"."),d_dir!AM26/((1/1000)*(d_Irr!L26+d_Irr!BJ26)),IF(AND(d_Irr!L26=".",d_Irr!AK26&lt;&gt;".",d_Irr!BJ26&lt;&gt;"."),d_dir!AM26/((1/1000)*(d_Irr!AK26+d_Irr!BJ26)),IF(AND(d_Irr!L26=".",d_Irr!AK26=".",d_Irr!BJ26&lt;&gt;"."),d_dir!AM26/((1/1000)*(d_Irr!BJ26)),IF(AND(d_Irr!L26=".",d_Irr!AK26&lt;&gt;".",d_Irr!BJ26="."),d_dir!AM26/((1/1000)*(d_Irr!AK26)),IF(AND(d_Irr!L26&lt;&gt;".",d_Irr!AK26=".",d_Irr!BJ26="."),d_dir!AM26/((1/1000)*(d_Irr!L26)),IF(AND(d_Irr!L26=".",d_Irr!AK26=".",d_Irr!BJ26="."),d_dir!AM26*1000)))))))),".")</f>
        <v>7.0318886598641566</v>
      </c>
      <c r="AN26" s="70">
        <f>IFERROR(IF(AND(d_Irr!M26&lt;&gt;".",d_Irr!AL26&lt;&gt;".",d_Irr!BK26&lt;&gt;"."),d_dir!AN26/((1/1000)*(d_Irr!M26+d_Irr!AL26+d_Irr!BK26)),IF(AND(d_Irr!M26&lt;&gt;".",d_Irr!AL26&lt;&gt;".",d_Irr!BK26="."),d_dir!AN26/((1/1000)*(d_Irr!M26+d_Irr!AL26)),IF(AND(d_Irr!M26&lt;&gt;".",d_Irr!AL26=".",d_Irr!BK26&lt;&gt;"."),d_dir!AN26/((1/1000)*(d_Irr!M26+d_Irr!BK26)),IF(AND(d_Irr!M26=".",d_Irr!AL26&lt;&gt;".",d_Irr!BK26&lt;&gt;"."),d_dir!AN26/((1/1000)*(d_Irr!AL26+d_Irr!BK26)),IF(AND(d_Irr!M26=".",d_Irr!AL26=".",d_Irr!BK26&lt;&gt;"."),d_dir!AN26/((1/1000)*(d_Irr!BK26)),IF(AND(d_Irr!M26=".",d_Irr!AL26&lt;&gt;".",d_Irr!BK26="."),d_dir!AN26/((1/1000)*(d_Irr!AL26)),IF(AND(d_Irr!M26&lt;&gt;".",d_Irr!AL26=".",d_Irr!BK26="."),d_dir!AN26/((1/1000)*(d_Irr!M26)),IF(AND(d_Irr!M26=".",d_Irr!AL26=".",d_Irr!BK26="."),d_dir!AN26*1000)))))))),".")</f>
        <v>9.5955233447778525</v>
      </c>
      <c r="AO26" s="70">
        <f>IFERROR(IF(AND(d_Irr!N26&lt;&gt;".",d_Irr!AM26&lt;&gt;".",d_Irr!BL26&lt;&gt;"."),d_dir!AO26/((1/1000)*(d_Irr!N26+d_Irr!AM26+d_Irr!BL26)),IF(AND(d_Irr!N26&lt;&gt;".",d_Irr!AM26&lt;&gt;".",d_Irr!BL26="."),d_dir!AO26/((1/1000)*(d_Irr!N26+d_Irr!AM26)),IF(AND(d_Irr!N26&lt;&gt;".",d_Irr!AM26=".",d_Irr!BL26&lt;&gt;"."),d_dir!AO26/((1/1000)*(d_Irr!N26+d_Irr!BL26)),IF(AND(d_Irr!N26=".",d_Irr!AM26&lt;&gt;".",d_Irr!BL26&lt;&gt;"."),d_dir!AO26/((1/1000)*(d_Irr!AM26+d_Irr!BL26)),IF(AND(d_Irr!N26=".",d_Irr!AM26=".",d_Irr!BL26&lt;&gt;"."),d_dir!AO26/((1/1000)*(d_Irr!BL26)),IF(AND(d_Irr!N26=".",d_Irr!AM26&lt;&gt;".",d_Irr!BL26="."),d_dir!AO26/((1/1000)*(d_Irr!AM26)),IF(AND(d_Irr!N26&lt;&gt;".",d_Irr!AM26=".",d_Irr!BL26="."),d_dir!AO26/((1/1000)*(d_Irr!N26)),IF(AND(d_Irr!N26=".",d_Irr!AM26=".",d_Irr!BL26="."),d_dir!AO26*1000)))))))),".")</f>
        <v>10.394860014135945</v>
      </c>
      <c r="AP26" s="70">
        <f>IFERROR(IF(AND(d_Irr!O26&lt;&gt;".",d_Irr!AN26&lt;&gt;".",d_Irr!BM26&lt;&gt;"."),d_dir!AP26/((1/1000)*(d_Irr!O26+d_Irr!AN26+d_Irr!BM26)),IF(AND(d_Irr!O26&lt;&gt;".",d_Irr!AN26&lt;&gt;".",d_Irr!BM26="."),d_dir!AP26/((1/1000)*(d_Irr!O26+d_Irr!AN26)),IF(AND(d_Irr!O26&lt;&gt;".",d_Irr!AN26=".",d_Irr!BM26&lt;&gt;"."),d_dir!AP26/((1/1000)*(d_Irr!O26+d_Irr!BM26)),IF(AND(d_Irr!O26=".",d_Irr!AN26&lt;&gt;".",d_Irr!BM26&lt;&gt;"."),d_dir!AP26/((1/1000)*(d_Irr!AN26+d_Irr!BM26)),IF(AND(d_Irr!O26=".",d_Irr!AN26=".",d_Irr!BM26&lt;&gt;"."),d_dir!AP26/((1/1000)*(d_Irr!BM26)),IF(AND(d_Irr!O26=".",d_Irr!AN26&lt;&gt;".",d_Irr!BM26="."),d_dir!AP26/((1/1000)*(d_Irr!AN26)),IF(AND(d_Irr!O26&lt;&gt;".",d_Irr!AN26=".",d_Irr!BM26="."),d_dir!AP26/((1/1000)*(d_Irr!O26)),IF(AND(d_Irr!O26=".",d_Irr!AN26=".",d_Irr!BM26="."),d_dir!AP26*1000)))))))),".")</f>
        <v>12.667949456568648</v>
      </c>
      <c r="AQ26" s="70">
        <f>IFERROR(IF(AND(d_Irr!P26&lt;&gt;".",d_Irr!AO26&lt;&gt;".",d_Irr!BN26&lt;&gt;"."),d_dir!AQ26/((1/1000)*(d_Irr!P26+d_Irr!AO26+d_Irr!BN26)),IF(AND(d_Irr!P26&lt;&gt;".",d_Irr!AO26&lt;&gt;".",d_Irr!BN26="."),d_dir!AQ26/((1/1000)*(d_Irr!P26+d_Irr!AO26)),IF(AND(d_Irr!P26&lt;&gt;".",d_Irr!AO26=".",d_Irr!BN26&lt;&gt;"."),d_dir!AQ26/((1/1000)*(d_Irr!P26+d_Irr!BN26)),IF(AND(d_Irr!P26=".",d_Irr!AO26&lt;&gt;".",d_Irr!BN26&lt;&gt;"."),d_dir!AQ26/((1/1000)*(d_Irr!AO26+d_Irr!BN26)),IF(AND(d_Irr!P26=".",d_Irr!AO26=".",d_Irr!BN26&lt;&gt;"."),d_dir!AQ26/((1/1000)*(d_Irr!BN26)),IF(AND(d_Irr!P26=".",d_Irr!AO26&lt;&gt;".",d_Irr!BN26="."),d_dir!AQ26/((1/1000)*(d_Irr!AO26)),IF(AND(d_Irr!P26&lt;&gt;".",d_Irr!AO26=".",d_Irr!BN26="."),d_dir!AQ26/((1/1000)*(d_Irr!P26)),IF(AND(d_Irr!P26=".",d_Irr!AO26=".",d_Irr!BN26="."),d_dir!AQ26*1000)))))))),".")</f>
        <v>14.183204629976037</v>
      </c>
      <c r="AR26" s="70">
        <f>IFERROR(IF(AND(d_Irr!Q26&lt;&gt;".",d_Irr!AP26&lt;&gt;".",d_Irr!BO26&lt;&gt;"."),d_dir!AR26/((1/1000)*(d_Irr!Q26+d_Irr!AP26+d_Irr!BO26)),IF(AND(d_Irr!Q26&lt;&gt;".",d_Irr!AP26&lt;&gt;".",d_Irr!BO26="."),d_dir!AR26/((1/1000)*(d_Irr!Q26+d_Irr!AP26)),IF(AND(d_Irr!Q26&lt;&gt;".",d_Irr!AP26=".",d_Irr!BO26&lt;&gt;"."),d_dir!AR26/((1/1000)*(d_Irr!Q26+d_Irr!BO26)),IF(AND(d_Irr!Q26=".",d_Irr!AP26&lt;&gt;".",d_Irr!BO26&lt;&gt;"."),d_dir!AR26/((1/1000)*(d_Irr!AP26+d_Irr!BO26)),IF(AND(d_Irr!Q26=".",d_Irr!AP26=".",d_Irr!BO26&lt;&gt;"."),d_dir!AR26/((1/1000)*(d_Irr!BO26)),IF(AND(d_Irr!Q26=".",d_Irr!AP26&lt;&gt;".",d_Irr!BO26="."),d_dir!AR26/((1/1000)*(d_Irr!AP26)),IF(AND(d_Irr!Q26&lt;&gt;".",d_Irr!AP26=".",d_Irr!BO26="."),d_dir!AR26/((1/1000)*(d_Irr!Q26)),IF(AND(d_Irr!Q26=".",d_Irr!AP26=".",d_Irr!BO26="."),d_dir!AR26*1000)))))))),".")</f>
        <v>3.3791681434598506</v>
      </c>
      <c r="AS26" s="70">
        <f>IFERROR(IF(AND(d_Irr!R26&lt;&gt;".",d_Irr!AQ26&lt;&gt;".",d_Irr!BP26&lt;&gt;"."),d_dir!AS26/((1/1000)*(d_Irr!R26+d_Irr!AQ26+d_Irr!BP26)),IF(AND(d_Irr!R26&lt;&gt;".",d_Irr!AQ26&lt;&gt;".",d_Irr!BP26="."),d_dir!AS26/((1/1000)*(d_Irr!R26+d_Irr!AQ26)),IF(AND(d_Irr!R26&lt;&gt;".",d_Irr!AQ26=".",d_Irr!BP26&lt;&gt;"."),d_dir!AS26/((1/1000)*(d_Irr!R26+d_Irr!BP26)),IF(AND(d_Irr!R26=".",d_Irr!AQ26&lt;&gt;".",d_Irr!BP26&lt;&gt;"."),d_dir!AS26/((1/1000)*(d_Irr!AQ26+d_Irr!BP26)),IF(AND(d_Irr!R26=".",d_Irr!AQ26=".",d_Irr!BP26&lt;&gt;"."),d_dir!AS26/((1/1000)*(d_Irr!BP26)),IF(AND(d_Irr!R26=".",d_Irr!AQ26&lt;&gt;".",d_Irr!BP26="."),d_dir!AS26/((1/1000)*(d_Irr!AQ26)),IF(AND(d_Irr!R26&lt;&gt;".",d_Irr!AQ26=".",d_Irr!BP26="."),d_dir!AS26/((1/1000)*(d_Irr!R26)),IF(AND(d_Irr!R26=".",d_Irr!AQ26=".",d_Irr!BP26="."),d_dir!AS26*1000)))))))),".")</f>
        <v>5.5101930587003567</v>
      </c>
      <c r="AT26" s="70">
        <f>IFERROR(IF(AND(d_Irr!S26&lt;&gt;".",d_Irr!AR26&lt;&gt;".",d_Irr!BQ26&lt;&gt;"."),d_dir!AT26/((1/1000)*(d_Irr!S26+d_Irr!AR26+d_Irr!BQ26)),IF(AND(d_Irr!S26&lt;&gt;".",d_Irr!AR26&lt;&gt;".",d_Irr!BQ26="."),d_dir!AT26/((1/1000)*(d_Irr!S26+d_Irr!AR26)),IF(AND(d_Irr!S26&lt;&gt;".",d_Irr!AR26=".",d_Irr!BQ26&lt;&gt;"."),d_dir!AT26/((1/1000)*(d_Irr!S26+d_Irr!BQ26)),IF(AND(d_Irr!S26=".",d_Irr!AR26&lt;&gt;".",d_Irr!BQ26&lt;&gt;"."),d_dir!AT26/((1/1000)*(d_Irr!AR26+d_Irr!BQ26)),IF(AND(d_Irr!S26=".",d_Irr!AR26=".",d_Irr!BQ26&lt;&gt;"."),d_dir!AT26/((1/1000)*(d_Irr!BQ26)),IF(AND(d_Irr!S26=".",d_Irr!AR26&lt;&gt;".",d_Irr!BQ26="."),d_dir!AT26/((1/1000)*(d_Irr!AR26)),IF(AND(d_Irr!S26&lt;&gt;".",d_Irr!AR26=".",d_Irr!BQ26="."),d_dir!AT26/((1/1000)*(d_Irr!S26)),IF(AND(d_Irr!S26=".",d_Irr!AR26=".",d_Irr!BQ26="."),d_dir!AT26*1000)))))))),".")</f>
        <v>11.554579278109298</v>
      </c>
      <c r="AU26" s="70">
        <f>IFERROR(IF(AND(d_Irr!T26&lt;&gt;".",d_Irr!AS26&lt;&gt;".",d_Irr!BR26&lt;&gt;"."),d_dir!AU26/((1/1000)*(d_Irr!T26+d_Irr!AS26+d_Irr!BR26)),IF(AND(d_Irr!T26&lt;&gt;".",d_Irr!AS26&lt;&gt;".",d_Irr!BR26="."),d_dir!AU26/((1/1000)*(d_Irr!T26+d_Irr!AS26)),IF(AND(d_Irr!T26&lt;&gt;".",d_Irr!AS26=".",d_Irr!BR26&lt;&gt;"."),d_dir!AU26/((1/1000)*(d_Irr!T26+d_Irr!BR26)),IF(AND(d_Irr!T26=".",d_Irr!AS26&lt;&gt;".",d_Irr!BR26&lt;&gt;"."),d_dir!AU26/((1/1000)*(d_Irr!AS26+d_Irr!BR26)),IF(AND(d_Irr!T26=".",d_Irr!AS26=".",d_Irr!BR26&lt;&gt;"."),d_dir!AU26/((1/1000)*(d_Irr!BR26)),IF(AND(d_Irr!T26=".",d_Irr!AS26&lt;&gt;".",d_Irr!BR26="."),d_dir!AU26/((1/1000)*(d_Irr!AS26)),IF(AND(d_Irr!T26&lt;&gt;".",d_Irr!AS26=".",d_Irr!BR26="."),d_dir!AU26/((1/1000)*(d_Irr!T26)),IF(AND(d_Irr!T26=".",d_Irr!AS26=".",d_Irr!BR26="."),d_dir!AU26*1000)))))))),".")</f>
        <v>15.783389359239903</v>
      </c>
      <c r="AV26" s="70">
        <f>IFERROR(IF(AND(d_Irr!U26&lt;&gt;".",d_Irr!AT26&lt;&gt;".",d_Irr!BS26&lt;&gt;"."),d_dir!AV26/((1/1000)*(d_Irr!U26+d_Irr!AT26+d_Irr!BS26)),IF(AND(d_Irr!U26&lt;&gt;".",d_Irr!AT26&lt;&gt;".",d_Irr!BS26="."),d_dir!AV26/((1/1000)*(d_Irr!U26+d_Irr!AT26)),IF(AND(d_Irr!U26&lt;&gt;".",d_Irr!AT26=".",d_Irr!BS26&lt;&gt;"."),d_dir!AV26/((1/1000)*(d_Irr!U26+d_Irr!BS26)),IF(AND(d_Irr!U26=".",d_Irr!AT26&lt;&gt;".",d_Irr!BS26&lt;&gt;"."),d_dir!AV26/((1/1000)*(d_Irr!AT26+d_Irr!BS26)),IF(AND(d_Irr!U26=".",d_Irr!AT26=".",d_Irr!BS26&lt;&gt;"."),d_dir!AV26/((1/1000)*(d_Irr!BS26)),IF(AND(d_Irr!U26=".",d_Irr!AT26&lt;&gt;".",d_Irr!BS26="."),d_dir!AV26/((1/1000)*(d_Irr!AT26)),IF(AND(d_Irr!U26&lt;&gt;".",d_Irr!AT26=".",d_Irr!BS26="."),d_dir!AV26/((1/1000)*(d_Irr!U26)),IF(AND(d_Irr!U26=".",d_Irr!AT26=".",d_Irr!BS26="."),d_dir!AV26*1000)))))))),".")</f>
        <v>2.7005219578321329</v>
      </c>
      <c r="AW26" s="70">
        <f>IFERROR(IF(AND(d_Irr!V26&lt;&gt;".",d_Irr!AU26&lt;&gt;".",d_Irr!BT26&lt;&gt;"."),d_dir!AW26/((1/1000)*(d_Irr!V26+d_Irr!AU26+d_Irr!BT26)),IF(AND(d_Irr!V26&lt;&gt;".",d_Irr!AU26&lt;&gt;".",d_Irr!BT26="."),d_dir!AW26/((1/1000)*(d_Irr!V26+d_Irr!AU26)),IF(AND(d_Irr!V26&lt;&gt;".",d_Irr!AU26=".",d_Irr!BT26&lt;&gt;"."),d_dir!AW26/((1/1000)*(d_Irr!V26+d_Irr!BT26)),IF(AND(d_Irr!V26=".",d_Irr!AU26&lt;&gt;".",d_Irr!BT26&lt;&gt;"."),d_dir!AW26/((1/1000)*(d_Irr!AU26+d_Irr!BT26)),IF(AND(d_Irr!V26=".",d_Irr!AU26=".",d_Irr!BT26&lt;&gt;"."),d_dir!AW26/((1/1000)*(d_Irr!BT26)),IF(AND(d_Irr!V26=".",d_Irr!AU26&lt;&gt;".",d_Irr!BT26="."),d_dir!AW26/((1/1000)*(d_Irr!AU26)),IF(AND(d_Irr!V26&lt;&gt;".",d_Irr!AU26=".",d_Irr!BT26="."),d_dir!AW26/((1/1000)*(d_Irr!V26)),IF(AND(d_Irr!V26=".",d_Irr!AU26=".",d_Irr!BT26="."),d_dir!AW26*1000)))))))),".")</f>
        <v>6.0410383326762256</v>
      </c>
      <c r="AX26" s="70">
        <f>IFERROR(IF(AND(d_Irr!W26&lt;&gt;".",d_Irr!AV26&lt;&gt;".",d_Irr!BU26&lt;&gt;"."),d_dir!AX26/((1/1000)*(d_Irr!W26+d_Irr!AV26+d_Irr!BU26)),IF(AND(d_Irr!W26&lt;&gt;".",d_Irr!AV26&lt;&gt;".",d_Irr!BU26="."),d_dir!AX26/((1/1000)*(d_Irr!W26+d_Irr!AV26)),IF(AND(d_Irr!W26&lt;&gt;".",d_Irr!AV26=".",d_Irr!BU26&lt;&gt;"."),d_dir!AX26/((1/1000)*(d_Irr!W26+d_Irr!BU26)),IF(AND(d_Irr!W26=".",d_Irr!AV26&lt;&gt;".",d_Irr!BU26&lt;&gt;"."),d_dir!AX26/((1/1000)*(d_Irr!AV26+d_Irr!BU26)),IF(AND(d_Irr!W26=".",d_Irr!AV26=".",d_Irr!BU26&lt;&gt;"."),d_dir!AX26/((1/1000)*(d_Irr!BU26)),IF(AND(d_Irr!W26=".",d_Irr!AV26&lt;&gt;".",d_Irr!BU26="."),d_dir!AX26/((1/1000)*(d_Irr!AV26)),IF(AND(d_Irr!W26&lt;&gt;".",d_Irr!AV26=".",d_Irr!BU26="."),d_dir!AX26/((1/1000)*(d_Irr!W26)),IF(AND(d_Irr!W26=".",d_Irr!AV26=".",d_Irr!BU26="."),d_dir!AX26*1000)))))))),".")</f>
        <v>6.5217283767409313</v>
      </c>
      <c r="AY26" s="70">
        <f>IFERROR(IF(AND(d_Irr!X26&lt;&gt;".",d_Irr!AW26&lt;&gt;".",d_Irr!BV26&lt;&gt;"."),d_dir!AY26/((1/1000)*(d_Irr!X26+d_Irr!AW26+d_Irr!BV26)),IF(AND(d_Irr!X26&lt;&gt;".",d_Irr!AW26&lt;&gt;".",d_Irr!BV26="."),d_dir!AY26/((1/1000)*(d_Irr!X26+d_Irr!AW26)),IF(AND(d_Irr!X26&lt;&gt;".",d_Irr!AW26=".",d_Irr!BV26&lt;&gt;"."),d_dir!AY26/((1/1000)*(d_Irr!X26+d_Irr!BV26)),IF(AND(d_Irr!X26=".",d_Irr!AW26&lt;&gt;".",d_Irr!BV26&lt;&gt;"."),d_dir!AY26/((1/1000)*(d_Irr!AW26+d_Irr!BV26)),IF(AND(d_Irr!X26=".",d_Irr!AW26=".",d_Irr!BV26&lt;&gt;"."),d_dir!AY26/((1/1000)*(d_Irr!BV26)),IF(AND(d_Irr!X26=".",d_Irr!AW26&lt;&gt;".",d_Irr!BV26="."),d_dir!AY26/((1/1000)*(d_Irr!AW26)),IF(AND(d_Irr!X26&lt;&gt;".",d_Irr!AW26=".",d_Irr!BV26="."),d_dir!AY26/((1/1000)*(d_Irr!X26)),IF(AND(d_Irr!X26=".",d_Irr!AW26=".",d_Irr!BV26="."),d_dir!AY26*1000)))))))),".")</f>
        <v>8.9593589309350623</v>
      </c>
      <c r="AZ26" s="70">
        <f>IFERROR(IF(AND(d_Irr!Y26&lt;&gt;".",d_Irr!AX26&lt;&gt;".",d_Irr!BW26&lt;&gt;"."),d_dir!AZ26/((1/1000)*(d_Irr!Y26+d_Irr!AX26+d_Irr!BW26)),IF(AND(d_Irr!Y26&lt;&gt;".",d_Irr!AX26&lt;&gt;".",d_Irr!BW26="."),d_dir!AZ26/((1/1000)*(d_Irr!Y26+d_Irr!AX26)),IF(AND(d_Irr!Y26&lt;&gt;".",d_Irr!AX26=".",d_Irr!BW26&lt;&gt;"."),d_dir!AZ26/((1/1000)*(d_Irr!Y26+d_Irr!BW26)),IF(AND(d_Irr!Y26=".",d_Irr!AX26&lt;&gt;".",d_Irr!BW26&lt;&gt;"."),d_dir!AZ26/((1/1000)*(d_Irr!AX26+d_Irr!BW26)),IF(AND(d_Irr!Y26=".",d_Irr!AX26=".",d_Irr!BW26&lt;&gt;"."),d_dir!AZ26/((1/1000)*(d_Irr!BW26)),IF(AND(d_Irr!Y26=".",d_Irr!AX26&lt;&gt;".",d_Irr!BW26="."),d_dir!AZ26/((1/1000)*(d_Irr!AX26)),IF(AND(d_Irr!Y26&lt;&gt;".",d_Irr!AX26=".",d_Irr!BW26="."),d_dir!AZ26/((1/1000)*(d_Irr!Y26)),IF(AND(d_Irr!Y26=".",d_Irr!AX26=".",d_Irr!BW26="."),d_dir!AZ26*1000)))))))),".")</f>
        <v>3.938490732871009</v>
      </c>
      <c r="BA26" s="70">
        <f>IFERROR(IF(AND(d_Irr!Z26&lt;&gt;".",d_Irr!AY26&lt;&gt;".",d_Irr!BX26&lt;&gt;"."),d_dir!BA26/((1/1000)*(d_Irr!Z26+d_Irr!AY26+d_Irr!BX26)),IF(AND(d_Irr!Z26&lt;&gt;".",d_Irr!AY26&lt;&gt;".",d_Irr!BX26="."),d_dir!BA26/((1/1000)*(d_Irr!Z26+d_Irr!AY26)),IF(AND(d_Irr!Z26&lt;&gt;".",d_Irr!AY26=".",d_Irr!BX26&lt;&gt;"."),d_dir!BA26/((1/1000)*(d_Irr!Z26+d_Irr!BX26)),IF(AND(d_Irr!Z26=".",d_Irr!AY26&lt;&gt;".",d_Irr!BX26&lt;&gt;"."),d_dir!BA26/((1/1000)*(d_Irr!AY26+d_Irr!BX26)),IF(AND(d_Irr!Z26=".",d_Irr!AY26=".",d_Irr!BX26&lt;&gt;"."),d_dir!BA26/((1/1000)*(d_Irr!BX26)),IF(AND(d_Irr!Z26=".",d_Irr!AY26&lt;&gt;".",d_Irr!BX26="."),d_dir!BA26/((1/1000)*(d_Irr!AY26)),IF(AND(d_Irr!Z26&lt;&gt;".",d_Irr!AY26=".",d_Irr!BX26="."),d_dir!BA26/((1/1000)*(d_Irr!Z26)),IF(AND(d_Irr!Z26=".",d_Irr!AY26=".",d_Irr!BX26="."),d_dir!BA26*1000)))))))),".")</f>
        <v>1.1010924430300264</v>
      </c>
      <c r="BB26" s="70">
        <f>IFERROR(IF(AND(d_Irr!AA26&lt;&gt;".",d_Irr!AZ26&lt;&gt;".",d_Irr!BY26&lt;&gt;"."),d_dir!BB26/((1/1000)*(d_Irr!AA26+d_Irr!AZ26+d_Irr!BY26)),IF(AND(d_Irr!AA26&lt;&gt;".",d_Irr!AZ26&lt;&gt;".",d_Irr!BY26="."),d_dir!BB26/((1/1000)*(d_Irr!AA26+d_Irr!AZ26)),IF(AND(d_Irr!AA26&lt;&gt;".",d_Irr!AZ26=".",d_Irr!BY26&lt;&gt;"."),d_dir!BB26/((1/1000)*(d_Irr!AA26+d_Irr!BY26)),IF(AND(d_Irr!AA26=".",d_Irr!AZ26&lt;&gt;".",d_Irr!BY26&lt;&gt;"."),d_dir!BB26/((1/1000)*(d_Irr!AZ26+d_Irr!BY26)),IF(AND(d_Irr!AA26=".",d_Irr!AZ26=".",d_Irr!BY26&lt;&gt;"."),d_dir!BB26/((1/1000)*(d_Irr!BY26)),IF(AND(d_Irr!AA26=".",d_Irr!AZ26&lt;&gt;".",d_Irr!BY26="."),d_dir!BB26/((1/1000)*(d_Irr!AZ26)),IF(AND(d_Irr!AA26&lt;&gt;".",d_Irr!AZ26=".",d_Irr!BY26="."),d_dir!BB26/((1/1000)*(d_Irr!AA26)),IF(AND(d_Irr!AA26=".",d_Irr!AZ26=".",d_Irr!BY26="."),d_dir!BB26*1000)))))))),".")</f>
        <v>1.2636773469280336</v>
      </c>
    </row>
    <row r="27" spans="1:54" ht="15" customHeight="1" x14ac:dyDescent="0.25">
      <c r="A27" s="86" t="s">
        <v>25</v>
      </c>
      <c r="B27" s="84" t="s">
        <v>1057</v>
      </c>
      <c r="C27" s="2" t="str">
        <f t="shared" si="1"/>
        <v>.</v>
      </c>
      <c r="D27" s="70" t="str">
        <f>IFERROR(IF(AND(d_Irr!C27&lt;&gt;".",d_Irr!AB27&lt;&gt;".",d_Irr!BA27&lt;&gt;"."),d_dir!D27/((1/1000)*(d_Irr!C27+d_Irr!AB27+d_Irr!BA27)),IF(AND(d_Irr!C27&lt;&gt;".",d_Irr!AB27&lt;&gt;".",d_Irr!BA27="."),d_dir!D27/((1/1000)*(d_Irr!C27+d_Irr!AB27)),IF(AND(d_Irr!C27&lt;&gt;".",d_Irr!AB27=".",d_Irr!BA27&lt;&gt;"."),d_dir!D27/((1/1000)*(d_Irr!C27+d_Irr!BA27)),IF(AND(d_Irr!C27=".",d_Irr!AB27&lt;&gt;".",d_Irr!BA27&lt;&gt;"."),d_dir!D27/((1/1000)*(d_Irr!AB27+d_Irr!BA27)),IF(AND(d_Irr!C27=".",d_Irr!AB27=".",d_Irr!BA27&lt;&gt;"."),d_dir!D27/((1/1000)*(d_Irr!BA27)),IF(AND(d_Irr!C27=".",d_Irr!AB27&lt;&gt;".",d_Irr!BA27="."),d_dir!D27/((1/1000)*(d_Irr!AB27)),IF(AND(d_Irr!C27&lt;&gt;".",d_Irr!AB27=".",d_Irr!BA27="."),d_dir!D27/((1/1000)*(d_Irr!C27)),IF(AND(d_Irr!C27=".",d_Irr!AB27=".",d_Irr!BA27="."),d_dir!D27*1000)))))))),".")</f>
        <v>.</v>
      </c>
      <c r="E27" s="70" t="str">
        <f>IFERROR(IF(AND(d_Irr!D27&lt;&gt;".",d_Irr!AC27&lt;&gt;".",d_Irr!BB27&lt;&gt;"."),d_dir!E27/((1/1000)*(d_Irr!D27+d_Irr!AC27+d_Irr!BB27)),IF(AND(d_Irr!D27&lt;&gt;".",d_Irr!AC27&lt;&gt;".",d_Irr!BB27="."),d_dir!E27/((1/1000)*(d_Irr!D27+d_Irr!AC27)),IF(AND(d_Irr!D27&lt;&gt;".",d_Irr!AC27=".",d_Irr!BB27&lt;&gt;"."),d_dir!E27/((1/1000)*(d_Irr!D27+d_Irr!BB27)),IF(AND(d_Irr!D27=".",d_Irr!AC27&lt;&gt;".",d_Irr!BB27&lt;&gt;"."),d_dir!E27/((1/1000)*(d_Irr!AC27+d_Irr!BB27)),IF(AND(d_Irr!D27=".",d_Irr!AC27=".",d_Irr!BB27&lt;&gt;"."),d_dir!E27/((1/1000)*(d_Irr!BB27)),IF(AND(d_Irr!D27=".",d_Irr!AC27&lt;&gt;".",d_Irr!BB27="."),d_dir!E27/((1/1000)*(d_Irr!AC27)),IF(AND(d_Irr!D27&lt;&gt;".",d_Irr!AC27=".",d_Irr!BB27="."),d_dir!E27/((1/1000)*(d_Irr!D27)),IF(AND(d_Irr!D27=".",d_Irr!AC27=".",d_Irr!BB27="."),d_dir!E27*1000)))))))),".")</f>
        <v>.</v>
      </c>
      <c r="F27" s="70" t="str">
        <f>IFERROR(IF(AND(d_Irr!E27&lt;&gt;".",d_Irr!AD27&lt;&gt;".",d_Irr!BC27&lt;&gt;"."),d_dir!F27/((1/1000)*(d_Irr!E27+d_Irr!AD27+d_Irr!BC27)),IF(AND(d_Irr!E27&lt;&gt;".",d_Irr!AD27&lt;&gt;".",d_Irr!BC27="."),d_dir!F27/((1/1000)*(d_Irr!E27+d_Irr!AD27)),IF(AND(d_Irr!E27&lt;&gt;".",d_Irr!AD27=".",d_Irr!BC27&lt;&gt;"."),d_dir!F27/((1/1000)*(d_Irr!E27+d_Irr!BC27)),IF(AND(d_Irr!E27=".",d_Irr!AD27&lt;&gt;".",d_Irr!BC27&lt;&gt;"."),d_dir!F27/((1/1000)*(d_Irr!AD27+d_Irr!BC27)),IF(AND(d_Irr!E27=".",d_Irr!AD27=".",d_Irr!BC27&lt;&gt;"."),d_dir!F27/((1/1000)*(d_Irr!BC27)),IF(AND(d_Irr!E27=".",d_Irr!AD27&lt;&gt;".",d_Irr!BC27="."),d_dir!F27/((1/1000)*(d_Irr!AD27)),IF(AND(d_Irr!E27&lt;&gt;".",d_Irr!AD27=".",d_Irr!BC27="."),d_dir!F27/((1/1000)*(d_Irr!E27)),IF(AND(d_Irr!E27=".",d_Irr!AD27=".",d_Irr!BC27="."),d_dir!F27*1000)))))))),".")</f>
        <v>.</v>
      </c>
      <c r="G27" s="70" t="str">
        <f>IFERROR(IF(AND(d_Irr!F27&lt;&gt;".",d_Irr!AE27&lt;&gt;".",d_Irr!BD27&lt;&gt;"."),d_dir!G27/((1/1000)*(d_Irr!F27+d_Irr!AE27+d_Irr!BD27)),IF(AND(d_Irr!F27&lt;&gt;".",d_Irr!AE27&lt;&gt;".",d_Irr!BD27="."),d_dir!G27/((1/1000)*(d_Irr!F27+d_Irr!AE27)),IF(AND(d_Irr!F27&lt;&gt;".",d_Irr!AE27=".",d_Irr!BD27&lt;&gt;"."),d_dir!G27/((1/1000)*(d_Irr!F27+d_Irr!BD27)),IF(AND(d_Irr!F27=".",d_Irr!AE27&lt;&gt;".",d_Irr!BD27&lt;&gt;"."),d_dir!G27/((1/1000)*(d_Irr!AE27+d_Irr!BD27)),IF(AND(d_Irr!F27=".",d_Irr!AE27=".",d_Irr!BD27&lt;&gt;"."),d_dir!G27/((1/1000)*(d_Irr!BD27)),IF(AND(d_Irr!F27=".",d_Irr!AE27&lt;&gt;".",d_Irr!BD27="."),d_dir!G27/((1/1000)*(d_Irr!AE27)),IF(AND(d_Irr!F27&lt;&gt;".",d_Irr!AE27=".",d_Irr!BD27="."),d_dir!G27/((1/1000)*(d_Irr!F27)),IF(AND(d_Irr!F27=".",d_Irr!AE27=".",d_Irr!BD27="."),d_dir!G27*1000)))))))),".")</f>
        <v>.</v>
      </c>
      <c r="H27" s="70" t="str">
        <f>IFERROR(IF(AND(d_Irr!G27&lt;&gt;".",d_Irr!AF27&lt;&gt;".",d_Irr!BE27&lt;&gt;"."),d_dir!H27/((1/1000)*(d_Irr!G27+d_Irr!AF27+d_Irr!BE27)),IF(AND(d_Irr!G27&lt;&gt;".",d_Irr!AF27&lt;&gt;".",d_Irr!BE27="."),d_dir!H27/((1/1000)*(d_Irr!G27+d_Irr!AF27)),IF(AND(d_Irr!G27&lt;&gt;".",d_Irr!AF27=".",d_Irr!BE27&lt;&gt;"."),d_dir!H27/((1/1000)*(d_Irr!G27+d_Irr!BE27)),IF(AND(d_Irr!G27=".",d_Irr!AF27&lt;&gt;".",d_Irr!BE27&lt;&gt;"."),d_dir!H27/((1/1000)*(d_Irr!AF27+d_Irr!BE27)),IF(AND(d_Irr!G27=".",d_Irr!AF27=".",d_Irr!BE27&lt;&gt;"."),d_dir!H27/((1/1000)*(d_Irr!BE27)),IF(AND(d_Irr!G27=".",d_Irr!AF27&lt;&gt;".",d_Irr!BE27="."),d_dir!H27/((1/1000)*(d_Irr!AF27)),IF(AND(d_Irr!G27&lt;&gt;".",d_Irr!AF27=".",d_Irr!BE27="."),d_dir!H27/((1/1000)*(d_Irr!G27)),IF(AND(d_Irr!G27=".",d_Irr!AF27=".",d_Irr!BE27="."),d_dir!H27*1000)))))))),".")</f>
        <v>.</v>
      </c>
      <c r="I27" s="70" t="str">
        <f>IFERROR(IF(AND(d_Irr!H27&lt;&gt;".",d_Irr!AG27&lt;&gt;".",d_Irr!BF27&lt;&gt;"."),d_dir!I27/((1/1000)*(d_Irr!H27+d_Irr!AG27+d_Irr!BF27)),IF(AND(d_Irr!H27&lt;&gt;".",d_Irr!AG27&lt;&gt;".",d_Irr!BF27="."),d_dir!I27/((1/1000)*(d_Irr!H27+d_Irr!AG27)),IF(AND(d_Irr!H27&lt;&gt;".",d_Irr!AG27=".",d_Irr!BF27&lt;&gt;"."),d_dir!I27/((1/1000)*(d_Irr!H27+d_Irr!BF27)),IF(AND(d_Irr!H27=".",d_Irr!AG27&lt;&gt;".",d_Irr!BF27&lt;&gt;"."),d_dir!I27/((1/1000)*(d_Irr!AG27+d_Irr!BF27)),IF(AND(d_Irr!H27=".",d_Irr!AG27=".",d_Irr!BF27&lt;&gt;"."),d_dir!I27/((1/1000)*(d_Irr!BF27)),IF(AND(d_Irr!H27=".",d_Irr!AG27&lt;&gt;".",d_Irr!BF27="."),d_dir!I27/((1/1000)*(d_Irr!AG27)),IF(AND(d_Irr!H27&lt;&gt;".",d_Irr!AG27=".",d_Irr!BF27="."),d_dir!I27/((1/1000)*(d_Irr!H27)),IF(AND(d_Irr!H27=".",d_Irr!AG27=".",d_Irr!BF27="."),d_dir!I27*1000)))))))),".")</f>
        <v>.</v>
      </c>
      <c r="J27" s="70" t="str">
        <f>IFERROR(IF(AND(d_Irr!I27&lt;&gt;".",d_Irr!AH27&lt;&gt;".",d_Irr!BG27&lt;&gt;"."),d_dir!J27/((1/1000)*(d_Irr!I27+d_Irr!AH27+d_Irr!BG27)),IF(AND(d_Irr!I27&lt;&gt;".",d_Irr!AH27&lt;&gt;".",d_Irr!BG27="."),d_dir!J27/((1/1000)*(d_Irr!I27+d_Irr!AH27)),IF(AND(d_Irr!I27&lt;&gt;".",d_Irr!AH27=".",d_Irr!BG27&lt;&gt;"."),d_dir!J27/((1/1000)*(d_Irr!I27+d_Irr!BG27)),IF(AND(d_Irr!I27=".",d_Irr!AH27&lt;&gt;".",d_Irr!BG27&lt;&gt;"."),d_dir!J27/((1/1000)*(d_Irr!AH27+d_Irr!BG27)),IF(AND(d_Irr!I27=".",d_Irr!AH27=".",d_Irr!BG27&lt;&gt;"."),d_dir!J27/((1/1000)*(d_Irr!BG27)),IF(AND(d_Irr!I27=".",d_Irr!AH27&lt;&gt;".",d_Irr!BG27="."),d_dir!J27/((1/1000)*(d_Irr!AH27)),IF(AND(d_Irr!I27&lt;&gt;".",d_Irr!AH27=".",d_Irr!BG27="."),d_dir!J27/((1/1000)*(d_Irr!I27)),IF(AND(d_Irr!I27=".",d_Irr!AH27=".",d_Irr!BG27="."),d_dir!J27*1000)))))))),".")</f>
        <v>.</v>
      </c>
      <c r="K27" s="70" t="str">
        <f>IFERROR(IF(AND(d_Irr!J27&lt;&gt;".",d_Irr!AI27&lt;&gt;".",d_Irr!BH27&lt;&gt;"."),d_dir!K27/((1/1000)*(d_Irr!J27+d_Irr!AI27+d_Irr!BH27)),IF(AND(d_Irr!J27&lt;&gt;".",d_Irr!AI27&lt;&gt;".",d_Irr!BH27="."),d_dir!K27/((1/1000)*(d_Irr!J27+d_Irr!AI27)),IF(AND(d_Irr!J27&lt;&gt;".",d_Irr!AI27=".",d_Irr!BH27&lt;&gt;"."),d_dir!K27/((1/1000)*(d_Irr!J27+d_Irr!BH27)),IF(AND(d_Irr!J27=".",d_Irr!AI27&lt;&gt;".",d_Irr!BH27&lt;&gt;"."),d_dir!K27/((1/1000)*(d_Irr!AI27+d_Irr!BH27)),IF(AND(d_Irr!J27=".",d_Irr!AI27=".",d_Irr!BH27&lt;&gt;"."),d_dir!K27/((1/1000)*(d_Irr!BH27)),IF(AND(d_Irr!J27=".",d_Irr!AI27&lt;&gt;".",d_Irr!BH27="."),d_dir!K27/((1/1000)*(d_Irr!AI27)),IF(AND(d_Irr!J27&lt;&gt;".",d_Irr!AI27=".",d_Irr!BH27="."),d_dir!K27/((1/1000)*(d_Irr!J27)),IF(AND(d_Irr!J27=".",d_Irr!AI27=".",d_Irr!BH27="."),d_dir!K27*1000)))))))),".")</f>
        <v>.</v>
      </c>
      <c r="L27" s="70" t="str">
        <f>IFERROR(IF(AND(d_Irr!K27&lt;&gt;".",d_Irr!AJ27&lt;&gt;".",d_Irr!BI27&lt;&gt;"."),d_dir!L27/((1/1000)*(d_Irr!K27+d_Irr!AJ27+d_Irr!BI27)),IF(AND(d_Irr!K27&lt;&gt;".",d_Irr!AJ27&lt;&gt;".",d_Irr!BI27="."),d_dir!L27/((1/1000)*(d_Irr!K27+d_Irr!AJ27)),IF(AND(d_Irr!K27&lt;&gt;".",d_Irr!AJ27=".",d_Irr!BI27&lt;&gt;"."),d_dir!L27/((1/1000)*(d_Irr!K27+d_Irr!BI27)),IF(AND(d_Irr!K27=".",d_Irr!AJ27&lt;&gt;".",d_Irr!BI27&lt;&gt;"."),d_dir!L27/((1/1000)*(d_Irr!AJ27+d_Irr!BI27)),IF(AND(d_Irr!K27=".",d_Irr!AJ27=".",d_Irr!BI27&lt;&gt;"."),d_dir!L27/((1/1000)*(d_Irr!BI27)),IF(AND(d_Irr!K27=".",d_Irr!AJ27&lt;&gt;".",d_Irr!BI27="."),d_dir!L27/((1/1000)*(d_Irr!AJ27)),IF(AND(d_Irr!K27&lt;&gt;".",d_Irr!AJ27=".",d_Irr!BI27="."),d_dir!L27/((1/1000)*(d_Irr!K27)),IF(AND(d_Irr!K27=".",d_Irr!AJ27=".",d_Irr!BI27="."),d_dir!L27*1000)))))))),".")</f>
        <v>.</v>
      </c>
      <c r="M27" s="70" t="str">
        <f>IFERROR(IF(AND(d_Irr!L27&lt;&gt;".",d_Irr!AK27&lt;&gt;".",d_Irr!BJ27&lt;&gt;"."),d_dir!M27/((1/1000)*(d_Irr!L27+d_Irr!AK27+d_Irr!BJ27)),IF(AND(d_Irr!L27&lt;&gt;".",d_Irr!AK27&lt;&gt;".",d_Irr!BJ27="."),d_dir!M27/((1/1000)*(d_Irr!L27+d_Irr!AK27)),IF(AND(d_Irr!L27&lt;&gt;".",d_Irr!AK27=".",d_Irr!BJ27&lt;&gt;"."),d_dir!M27/((1/1000)*(d_Irr!L27+d_Irr!BJ27)),IF(AND(d_Irr!L27=".",d_Irr!AK27&lt;&gt;".",d_Irr!BJ27&lt;&gt;"."),d_dir!M27/((1/1000)*(d_Irr!AK27+d_Irr!BJ27)),IF(AND(d_Irr!L27=".",d_Irr!AK27=".",d_Irr!BJ27&lt;&gt;"."),d_dir!M27/((1/1000)*(d_Irr!BJ27)),IF(AND(d_Irr!L27=".",d_Irr!AK27&lt;&gt;".",d_Irr!BJ27="."),d_dir!M27/((1/1000)*(d_Irr!AK27)),IF(AND(d_Irr!L27&lt;&gt;".",d_Irr!AK27=".",d_Irr!BJ27="."),d_dir!M27/((1/1000)*(d_Irr!L27)),IF(AND(d_Irr!L27=".",d_Irr!AK27=".",d_Irr!BJ27="."),d_dir!M27*1000)))))))),".")</f>
        <v>.</v>
      </c>
      <c r="N27" s="70" t="str">
        <f>IFERROR(IF(AND(d_Irr!M27&lt;&gt;".",d_Irr!AL27&lt;&gt;".",d_Irr!BK27&lt;&gt;"."),d_dir!N27/((1/1000)*(d_Irr!M27+d_Irr!AL27+d_Irr!BK27)),IF(AND(d_Irr!M27&lt;&gt;".",d_Irr!AL27&lt;&gt;".",d_Irr!BK27="."),d_dir!N27/((1/1000)*(d_Irr!M27+d_Irr!AL27)),IF(AND(d_Irr!M27&lt;&gt;".",d_Irr!AL27=".",d_Irr!BK27&lt;&gt;"."),d_dir!N27/((1/1000)*(d_Irr!M27+d_Irr!BK27)),IF(AND(d_Irr!M27=".",d_Irr!AL27&lt;&gt;".",d_Irr!BK27&lt;&gt;"."),d_dir!N27/((1/1000)*(d_Irr!AL27+d_Irr!BK27)),IF(AND(d_Irr!M27=".",d_Irr!AL27=".",d_Irr!BK27&lt;&gt;"."),d_dir!N27/((1/1000)*(d_Irr!BK27)),IF(AND(d_Irr!M27=".",d_Irr!AL27&lt;&gt;".",d_Irr!BK27="."),d_dir!N27/((1/1000)*(d_Irr!AL27)),IF(AND(d_Irr!M27&lt;&gt;".",d_Irr!AL27=".",d_Irr!BK27="."),d_dir!N27/((1/1000)*(d_Irr!M27)),IF(AND(d_Irr!M27=".",d_Irr!AL27=".",d_Irr!BK27="."),d_dir!N27*1000)))))))),".")</f>
        <v>.</v>
      </c>
      <c r="O27" s="70" t="str">
        <f>IFERROR(IF(AND(d_Irr!N27&lt;&gt;".",d_Irr!AM27&lt;&gt;".",d_Irr!BL27&lt;&gt;"."),d_dir!O27/((1/1000)*(d_Irr!N27+d_Irr!AM27+d_Irr!BL27)),IF(AND(d_Irr!N27&lt;&gt;".",d_Irr!AM27&lt;&gt;".",d_Irr!BL27="."),d_dir!O27/((1/1000)*(d_Irr!N27+d_Irr!AM27)),IF(AND(d_Irr!N27&lt;&gt;".",d_Irr!AM27=".",d_Irr!BL27&lt;&gt;"."),d_dir!O27/((1/1000)*(d_Irr!N27+d_Irr!BL27)),IF(AND(d_Irr!N27=".",d_Irr!AM27&lt;&gt;".",d_Irr!BL27&lt;&gt;"."),d_dir!O27/((1/1000)*(d_Irr!AM27+d_Irr!BL27)),IF(AND(d_Irr!N27=".",d_Irr!AM27=".",d_Irr!BL27&lt;&gt;"."),d_dir!O27/((1/1000)*(d_Irr!BL27)),IF(AND(d_Irr!N27=".",d_Irr!AM27&lt;&gt;".",d_Irr!BL27="."),d_dir!O27/((1/1000)*(d_Irr!AM27)),IF(AND(d_Irr!N27&lt;&gt;".",d_Irr!AM27=".",d_Irr!BL27="."),d_dir!O27/((1/1000)*(d_Irr!N27)),IF(AND(d_Irr!N27=".",d_Irr!AM27=".",d_Irr!BL27="."),d_dir!O27*1000)))))))),".")</f>
        <v>.</v>
      </c>
      <c r="P27" s="70" t="str">
        <f>IFERROR(IF(AND(d_Irr!O27&lt;&gt;".",d_Irr!AN27&lt;&gt;".",d_Irr!BM27&lt;&gt;"."),d_dir!P27/((1/1000)*(d_Irr!O27+d_Irr!AN27+d_Irr!BM27)),IF(AND(d_Irr!O27&lt;&gt;".",d_Irr!AN27&lt;&gt;".",d_Irr!BM27="."),d_dir!P27/((1/1000)*(d_Irr!O27+d_Irr!AN27)),IF(AND(d_Irr!O27&lt;&gt;".",d_Irr!AN27=".",d_Irr!BM27&lt;&gt;"."),d_dir!P27/((1/1000)*(d_Irr!O27+d_Irr!BM27)),IF(AND(d_Irr!O27=".",d_Irr!AN27&lt;&gt;".",d_Irr!BM27&lt;&gt;"."),d_dir!P27/((1/1000)*(d_Irr!AN27+d_Irr!BM27)),IF(AND(d_Irr!O27=".",d_Irr!AN27=".",d_Irr!BM27&lt;&gt;"."),d_dir!P27/((1/1000)*(d_Irr!BM27)),IF(AND(d_Irr!O27=".",d_Irr!AN27&lt;&gt;".",d_Irr!BM27="."),d_dir!P27/((1/1000)*(d_Irr!AN27)),IF(AND(d_Irr!O27&lt;&gt;".",d_Irr!AN27=".",d_Irr!BM27="."),d_dir!P27/((1/1000)*(d_Irr!O27)),IF(AND(d_Irr!O27=".",d_Irr!AN27=".",d_Irr!BM27="."),d_dir!P27*1000)))))))),".")</f>
        <v>.</v>
      </c>
      <c r="Q27" s="70" t="str">
        <f>IFERROR(IF(AND(d_Irr!P27&lt;&gt;".",d_Irr!AO27&lt;&gt;".",d_Irr!BN27&lt;&gt;"."),d_dir!Q27/((1/1000)*(d_Irr!P27+d_Irr!AO27+d_Irr!BN27)),IF(AND(d_Irr!P27&lt;&gt;".",d_Irr!AO27&lt;&gt;".",d_Irr!BN27="."),d_dir!Q27/((1/1000)*(d_Irr!P27+d_Irr!AO27)),IF(AND(d_Irr!P27&lt;&gt;".",d_Irr!AO27=".",d_Irr!BN27&lt;&gt;"."),d_dir!Q27/((1/1000)*(d_Irr!P27+d_Irr!BN27)),IF(AND(d_Irr!P27=".",d_Irr!AO27&lt;&gt;".",d_Irr!BN27&lt;&gt;"."),d_dir!Q27/((1/1000)*(d_Irr!AO27+d_Irr!BN27)),IF(AND(d_Irr!P27=".",d_Irr!AO27=".",d_Irr!BN27&lt;&gt;"."),d_dir!Q27/((1/1000)*(d_Irr!BN27)),IF(AND(d_Irr!P27=".",d_Irr!AO27&lt;&gt;".",d_Irr!BN27="."),d_dir!Q27/((1/1000)*(d_Irr!AO27)),IF(AND(d_Irr!P27&lt;&gt;".",d_Irr!AO27=".",d_Irr!BN27="."),d_dir!Q27/((1/1000)*(d_Irr!P27)),IF(AND(d_Irr!P27=".",d_Irr!AO27=".",d_Irr!BN27="."),d_dir!Q27*1000)))))))),".")</f>
        <v>.</v>
      </c>
      <c r="R27" s="70" t="str">
        <f>IFERROR(IF(AND(d_Irr!Q27&lt;&gt;".",d_Irr!AP27&lt;&gt;".",d_Irr!BO27&lt;&gt;"."),d_dir!R27/((1/1000)*(d_Irr!Q27+d_Irr!AP27+d_Irr!BO27)),IF(AND(d_Irr!Q27&lt;&gt;".",d_Irr!AP27&lt;&gt;".",d_Irr!BO27="."),d_dir!R27/((1/1000)*(d_Irr!Q27+d_Irr!AP27)),IF(AND(d_Irr!Q27&lt;&gt;".",d_Irr!AP27=".",d_Irr!BO27&lt;&gt;"."),d_dir!R27/((1/1000)*(d_Irr!Q27+d_Irr!BO27)),IF(AND(d_Irr!Q27=".",d_Irr!AP27&lt;&gt;".",d_Irr!BO27&lt;&gt;"."),d_dir!R27/((1/1000)*(d_Irr!AP27+d_Irr!BO27)),IF(AND(d_Irr!Q27=".",d_Irr!AP27=".",d_Irr!BO27&lt;&gt;"."),d_dir!R27/((1/1000)*(d_Irr!BO27)),IF(AND(d_Irr!Q27=".",d_Irr!AP27&lt;&gt;".",d_Irr!BO27="."),d_dir!R27/((1/1000)*(d_Irr!AP27)),IF(AND(d_Irr!Q27&lt;&gt;".",d_Irr!AP27=".",d_Irr!BO27="."),d_dir!R27/((1/1000)*(d_Irr!Q27)),IF(AND(d_Irr!Q27=".",d_Irr!AP27=".",d_Irr!BO27="."),d_dir!R27*1000)))))))),".")</f>
        <v>.</v>
      </c>
      <c r="S27" s="70" t="str">
        <f>IFERROR(IF(AND(d_Irr!R27&lt;&gt;".",d_Irr!AQ27&lt;&gt;".",d_Irr!BP27&lt;&gt;"."),d_dir!S27/((1/1000)*(d_Irr!R27+d_Irr!AQ27+d_Irr!BP27)),IF(AND(d_Irr!R27&lt;&gt;".",d_Irr!AQ27&lt;&gt;".",d_Irr!BP27="."),d_dir!S27/((1/1000)*(d_Irr!R27+d_Irr!AQ27)),IF(AND(d_Irr!R27&lt;&gt;".",d_Irr!AQ27=".",d_Irr!BP27&lt;&gt;"."),d_dir!S27/((1/1000)*(d_Irr!R27+d_Irr!BP27)),IF(AND(d_Irr!R27=".",d_Irr!AQ27&lt;&gt;".",d_Irr!BP27&lt;&gt;"."),d_dir!S27/((1/1000)*(d_Irr!AQ27+d_Irr!BP27)),IF(AND(d_Irr!R27=".",d_Irr!AQ27=".",d_Irr!BP27&lt;&gt;"."),d_dir!S27/((1/1000)*(d_Irr!BP27)),IF(AND(d_Irr!R27=".",d_Irr!AQ27&lt;&gt;".",d_Irr!BP27="."),d_dir!S27/((1/1000)*(d_Irr!AQ27)),IF(AND(d_Irr!R27&lt;&gt;".",d_Irr!AQ27=".",d_Irr!BP27="."),d_dir!S27/((1/1000)*(d_Irr!R27)),IF(AND(d_Irr!R27=".",d_Irr!AQ27=".",d_Irr!BP27="."),d_dir!S27*1000)))))))),".")</f>
        <v>.</v>
      </c>
      <c r="T27" s="70" t="str">
        <f>IFERROR(IF(AND(d_Irr!S27&lt;&gt;".",d_Irr!AR27&lt;&gt;".",d_Irr!BQ27&lt;&gt;"."),d_dir!T27/((1/1000)*(d_Irr!S27+d_Irr!AR27+d_Irr!BQ27)),IF(AND(d_Irr!S27&lt;&gt;".",d_Irr!AR27&lt;&gt;".",d_Irr!BQ27="."),d_dir!T27/((1/1000)*(d_Irr!S27+d_Irr!AR27)),IF(AND(d_Irr!S27&lt;&gt;".",d_Irr!AR27=".",d_Irr!BQ27&lt;&gt;"."),d_dir!T27/((1/1000)*(d_Irr!S27+d_Irr!BQ27)),IF(AND(d_Irr!S27=".",d_Irr!AR27&lt;&gt;".",d_Irr!BQ27&lt;&gt;"."),d_dir!T27/((1/1000)*(d_Irr!AR27+d_Irr!BQ27)),IF(AND(d_Irr!S27=".",d_Irr!AR27=".",d_Irr!BQ27&lt;&gt;"."),d_dir!T27/((1/1000)*(d_Irr!BQ27)),IF(AND(d_Irr!S27=".",d_Irr!AR27&lt;&gt;".",d_Irr!BQ27="."),d_dir!T27/((1/1000)*(d_Irr!AR27)),IF(AND(d_Irr!S27&lt;&gt;".",d_Irr!AR27=".",d_Irr!BQ27="."),d_dir!T27/((1/1000)*(d_Irr!S27)),IF(AND(d_Irr!S27=".",d_Irr!AR27=".",d_Irr!BQ27="."),d_dir!T27*1000)))))))),".")</f>
        <v>.</v>
      </c>
      <c r="U27" s="70" t="str">
        <f>IFERROR(IF(AND(d_Irr!T27&lt;&gt;".",d_Irr!AS27&lt;&gt;".",d_Irr!BR27&lt;&gt;"."),d_dir!U27/((1/1000)*(d_Irr!T27+d_Irr!AS27+d_Irr!BR27)),IF(AND(d_Irr!T27&lt;&gt;".",d_Irr!AS27&lt;&gt;".",d_Irr!BR27="."),d_dir!U27/((1/1000)*(d_Irr!T27+d_Irr!AS27)),IF(AND(d_Irr!T27&lt;&gt;".",d_Irr!AS27=".",d_Irr!BR27&lt;&gt;"."),d_dir!U27/((1/1000)*(d_Irr!T27+d_Irr!BR27)),IF(AND(d_Irr!T27=".",d_Irr!AS27&lt;&gt;".",d_Irr!BR27&lt;&gt;"."),d_dir!U27/((1/1000)*(d_Irr!AS27+d_Irr!BR27)),IF(AND(d_Irr!T27=".",d_Irr!AS27=".",d_Irr!BR27&lt;&gt;"."),d_dir!U27/((1/1000)*(d_Irr!BR27)),IF(AND(d_Irr!T27=".",d_Irr!AS27&lt;&gt;".",d_Irr!BR27="."),d_dir!U27/((1/1000)*(d_Irr!AS27)),IF(AND(d_Irr!T27&lt;&gt;".",d_Irr!AS27=".",d_Irr!BR27="."),d_dir!U27/((1/1000)*(d_Irr!T27)),IF(AND(d_Irr!T27=".",d_Irr!AS27=".",d_Irr!BR27="."),d_dir!U27*1000)))))))),".")</f>
        <v>.</v>
      </c>
      <c r="V27" s="70" t="str">
        <f>IFERROR(IF(AND(d_Irr!U27&lt;&gt;".",d_Irr!AT27&lt;&gt;".",d_Irr!BS27&lt;&gt;"."),d_dir!V27/((1/1000)*(d_Irr!U27+d_Irr!AT27+d_Irr!BS27)),IF(AND(d_Irr!U27&lt;&gt;".",d_Irr!AT27&lt;&gt;".",d_Irr!BS27="."),d_dir!V27/((1/1000)*(d_Irr!U27+d_Irr!AT27)),IF(AND(d_Irr!U27&lt;&gt;".",d_Irr!AT27=".",d_Irr!BS27&lt;&gt;"."),d_dir!V27/((1/1000)*(d_Irr!U27+d_Irr!BS27)),IF(AND(d_Irr!U27=".",d_Irr!AT27&lt;&gt;".",d_Irr!BS27&lt;&gt;"."),d_dir!V27/((1/1000)*(d_Irr!AT27+d_Irr!BS27)),IF(AND(d_Irr!U27=".",d_Irr!AT27=".",d_Irr!BS27&lt;&gt;"."),d_dir!V27/((1/1000)*(d_Irr!BS27)),IF(AND(d_Irr!U27=".",d_Irr!AT27&lt;&gt;".",d_Irr!BS27="."),d_dir!V27/((1/1000)*(d_Irr!AT27)),IF(AND(d_Irr!U27&lt;&gt;".",d_Irr!AT27=".",d_Irr!BS27="."),d_dir!V27/((1/1000)*(d_Irr!U27)),IF(AND(d_Irr!U27=".",d_Irr!AT27=".",d_Irr!BS27="."),d_dir!V27*1000)))))))),".")</f>
        <v>.</v>
      </c>
      <c r="W27" s="70" t="str">
        <f>IFERROR(IF(AND(d_Irr!V27&lt;&gt;".",d_Irr!AU27&lt;&gt;".",d_Irr!BT27&lt;&gt;"."),d_dir!W27/((1/1000)*(d_Irr!V27+d_Irr!AU27+d_Irr!BT27)),IF(AND(d_Irr!V27&lt;&gt;".",d_Irr!AU27&lt;&gt;".",d_Irr!BT27="."),d_dir!W27/((1/1000)*(d_Irr!V27+d_Irr!AU27)),IF(AND(d_Irr!V27&lt;&gt;".",d_Irr!AU27=".",d_Irr!BT27&lt;&gt;"."),d_dir!W27/((1/1000)*(d_Irr!V27+d_Irr!BT27)),IF(AND(d_Irr!V27=".",d_Irr!AU27&lt;&gt;".",d_Irr!BT27&lt;&gt;"."),d_dir!W27/((1/1000)*(d_Irr!AU27+d_Irr!BT27)),IF(AND(d_Irr!V27=".",d_Irr!AU27=".",d_Irr!BT27&lt;&gt;"."),d_dir!W27/((1/1000)*(d_Irr!BT27)),IF(AND(d_Irr!V27=".",d_Irr!AU27&lt;&gt;".",d_Irr!BT27="."),d_dir!W27/((1/1000)*(d_Irr!AU27)),IF(AND(d_Irr!V27&lt;&gt;".",d_Irr!AU27=".",d_Irr!BT27="."),d_dir!W27/((1/1000)*(d_Irr!V27)),IF(AND(d_Irr!V27=".",d_Irr!AU27=".",d_Irr!BT27="."),d_dir!W27*1000)))))))),".")</f>
        <v>.</v>
      </c>
      <c r="X27" s="70" t="str">
        <f>IFERROR(IF(AND(d_Irr!W27&lt;&gt;".",d_Irr!AV27&lt;&gt;".",d_Irr!BU27&lt;&gt;"."),d_dir!X27/((1/1000)*(d_Irr!W27+d_Irr!AV27+d_Irr!BU27)),IF(AND(d_Irr!W27&lt;&gt;".",d_Irr!AV27&lt;&gt;".",d_Irr!BU27="."),d_dir!X27/((1/1000)*(d_Irr!W27+d_Irr!AV27)),IF(AND(d_Irr!W27&lt;&gt;".",d_Irr!AV27=".",d_Irr!BU27&lt;&gt;"."),d_dir!X27/((1/1000)*(d_Irr!W27+d_Irr!BU27)),IF(AND(d_Irr!W27=".",d_Irr!AV27&lt;&gt;".",d_Irr!BU27&lt;&gt;"."),d_dir!X27/((1/1000)*(d_Irr!AV27+d_Irr!BU27)),IF(AND(d_Irr!W27=".",d_Irr!AV27=".",d_Irr!BU27&lt;&gt;"."),d_dir!X27/((1/1000)*(d_Irr!BU27)),IF(AND(d_Irr!W27=".",d_Irr!AV27&lt;&gt;".",d_Irr!BU27="."),d_dir!X27/((1/1000)*(d_Irr!AV27)),IF(AND(d_Irr!W27&lt;&gt;".",d_Irr!AV27=".",d_Irr!BU27="."),d_dir!X27/((1/1000)*(d_Irr!W27)),IF(AND(d_Irr!W27=".",d_Irr!AV27=".",d_Irr!BU27="."),d_dir!X27*1000)))))))),".")</f>
        <v>.</v>
      </c>
      <c r="Y27" s="70" t="str">
        <f>IFERROR(IF(AND(d_Irr!X27&lt;&gt;".",d_Irr!AW27&lt;&gt;".",d_Irr!BV27&lt;&gt;"."),d_dir!Y27/((1/1000)*(d_Irr!X27+d_Irr!AW27+d_Irr!BV27)),IF(AND(d_Irr!X27&lt;&gt;".",d_Irr!AW27&lt;&gt;".",d_Irr!BV27="."),d_dir!Y27/((1/1000)*(d_Irr!X27+d_Irr!AW27)),IF(AND(d_Irr!X27&lt;&gt;".",d_Irr!AW27=".",d_Irr!BV27&lt;&gt;"."),d_dir!Y27/((1/1000)*(d_Irr!X27+d_Irr!BV27)),IF(AND(d_Irr!X27=".",d_Irr!AW27&lt;&gt;".",d_Irr!BV27&lt;&gt;"."),d_dir!Y27/((1/1000)*(d_Irr!AW27+d_Irr!BV27)),IF(AND(d_Irr!X27=".",d_Irr!AW27=".",d_Irr!BV27&lt;&gt;"."),d_dir!Y27/((1/1000)*(d_Irr!BV27)),IF(AND(d_Irr!X27=".",d_Irr!AW27&lt;&gt;".",d_Irr!BV27="."),d_dir!Y27/((1/1000)*(d_Irr!AW27)),IF(AND(d_Irr!X27&lt;&gt;".",d_Irr!AW27=".",d_Irr!BV27="."),d_dir!Y27/((1/1000)*(d_Irr!X27)),IF(AND(d_Irr!X27=".",d_Irr!AW27=".",d_Irr!BV27="."),d_dir!Y27*1000)))))))),".")</f>
        <v>.</v>
      </c>
      <c r="Z27" s="70" t="str">
        <f>IFERROR(IF(AND(d_Irr!Y27&lt;&gt;".",d_Irr!AX27&lt;&gt;".",d_Irr!BW27&lt;&gt;"."),d_dir!Z27/((1/1000)*(d_Irr!Y27+d_Irr!AX27+d_Irr!BW27)),IF(AND(d_Irr!Y27&lt;&gt;".",d_Irr!AX27&lt;&gt;".",d_Irr!BW27="."),d_dir!Z27/((1/1000)*(d_Irr!Y27+d_Irr!AX27)),IF(AND(d_Irr!Y27&lt;&gt;".",d_Irr!AX27=".",d_Irr!BW27&lt;&gt;"."),d_dir!Z27/((1/1000)*(d_Irr!Y27+d_Irr!BW27)),IF(AND(d_Irr!Y27=".",d_Irr!AX27&lt;&gt;".",d_Irr!BW27&lt;&gt;"."),d_dir!Z27/((1/1000)*(d_Irr!AX27+d_Irr!BW27)),IF(AND(d_Irr!Y27=".",d_Irr!AX27=".",d_Irr!BW27&lt;&gt;"."),d_dir!Z27/((1/1000)*(d_Irr!BW27)),IF(AND(d_Irr!Y27=".",d_Irr!AX27&lt;&gt;".",d_Irr!BW27="."),d_dir!Z27/((1/1000)*(d_Irr!AX27)),IF(AND(d_Irr!Y27&lt;&gt;".",d_Irr!AX27=".",d_Irr!BW27="."),d_dir!Z27/((1/1000)*(d_Irr!Y27)),IF(AND(d_Irr!Y27=".",d_Irr!AX27=".",d_Irr!BW27="."),d_dir!Z27*1000)))))))),".")</f>
        <v>.</v>
      </c>
      <c r="AA27" s="70" t="str">
        <f>IFERROR(IF(AND(d_Irr!Z27&lt;&gt;".",d_Irr!AY27&lt;&gt;".",d_Irr!BX27&lt;&gt;"."),d_dir!AA27/((1/1000)*(d_Irr!Z27+d_Irr!AY27+d_Irr!BX27)),IF(AND(d_Irr!Z27&lt;&gt;".",d_Irr!AY27&lt;&gt;".",d_Irr!BX27="."),d_dir!AA27/((1/1000)*(d_Irr!Z27+d_Irr!AY27)),IF(AND(d_Irr!Z27&lt;&gt;".",d_Irr!AY27=".",d_Irr!BX27&lt;&gt;"."),d_dir!AA27/((1/1000)*(d_Irr!Z27+d_Irr!BX27)),IF(AND(d_Irr!Z27=".",d_Irr!AY27&lt;&gt;".",d_Irr!BX27&lt;&gt;"."),d_dir!AA27/((1/1000)*(d_Irr!AY27+d_Irr!BX27)),IF(AND(d_Irr!Z27=".",d_Irr!AY27=".",d_Irr!BX27&lt;&gt;"."),d_dir!AA27/((1/1000)*(d_Irr!BX27)),IF(AND(d_Irr!Z27=".",d_Irr!AY27&lt;&gt;".",d_Irr!BX27="."),d_dir!AA27/((1/1000)*(d_Irr!AY27)),IF(AND(d_Irr!Z27&lt;&gt;".",d_Irr!AY27=".",d_Irr!BX27="."),d_dir!AA27/((1/1000)*(d_Irr!Z27)),IF(AND(d_Irr!Z27=".",d_Irr!AY27=".",d_Irr!BX27="."),d_dir!AA27*1000)))))))),".")</f>
        <v>.</v>
      </c>
      <c r="AB27" s="70" t="str">
        <f>IFERROR(IF(AND(d_Irr!AA27&lt;&gt;".",d_Irr!AZ27&lt;&gt;".",d_Irr!BY27&lt;&gt;"."),d_dir!AB27/((1/1000)*(d_Irr!AA27+d_Irr!AZ27+d_Irr!BY27)),IF(AND(d_Irr!AA27&lt;&gt;".",d_Irr!AZ27&lt;&gt;".",d_Irr!BY27="."),d_dir!AB27/((1/1000)*(d_Irr!AA27+d_Irr!AZ27)),IF(AND(d_Irr!AA27&lt;&gt;".",d_Irr!AZ27=".",d_Irr!BY27&lt;&gt;"."),d_dir!AB27/((1/1000)*(d_Irr!AA27+d_Irr!BY27)),IF(AND(d_Irr!AA27=".",d_Irr!AZ27&lt;&gt;".",d_Irr!BY27&lt;&gt;"."),d_dir!AB27/((1/1000)*(d_Irr!AZ27+d_Irr!BY27)),IF(AND(d_Irr!AA27=".",d_Irr!AZ27=".",d_Irr!BY27&lt;&gt;"."),d_dir!AB27/((1/1000)*(d_Irr!BY27)),IF(AND(d_Irr!AA27=".",d_Irr!AZ27&lt;&gt;".",d_Irr!BY27="."),d_dir!AB27/((1/1000)*(d_Irr!AZ27)),IF(AND(d_Irr!AA27&lt;&gt;".",d_Irr!AZ27=".",d_Irr!BY27="."),d_dir!AB27/((1/1000)*(d_Irr!AA27)),IF(AND(d_Irr!AA27=".",d_Irr!AZ27=".",d_Irr!BY27="."),d_dir!AB27*1000)))))))),".")</f>
        <v>.</v>
      </c>
      <c r="AC27" s="70" t="str">
        <f t="shared" si="0"/>
        <v>.</v>
      </c>
      <c r="AD27" s="70" t="str">
        <f>IFERROR(IF(AND(d_Irr!C27&lt;&gt;".",d_Irr!AB27&lt;&gt;".",d_Irr!BA27&lt;&gt;"."),d_dir!AD27/((1/1000)*(d_Irr!C27+d_Irr!AB27+d_Irr!BA27)),IF(AND(d_Irr!C27&lt;&gt;".",d_Irr!AB27&lt;&gt;".",d_Irr!BA27="."),d_dir!AD27/((1/1000)*(d_Irr!C27+d_Irr!AB27)),IF(AND(d_Irr!C27&lt;&gt;".",d_Irr!AB27=".",d_Irr!BA27&lt;&gt;"."),d_dir!AD27/((1/1000)*(d_Irr!C27+d_Irr!BA27)),IF(AND(d_Irr!C27=".",d_Irr!AB27&lt;&gt;".",d_Irr!BA27&lt;&gt;"."),d_dir!AD27/((1/1000)*(d_Irr!AB27+d_Irr!BA27)),IF(AND(d_Irr!C27=".",d_Irr!AB27=".",d_Irr!BA27&lt;&gt;"."),d_dir!AD27/((1/1000)*(d_Irr!BA27)),IF(AND(d_Irr!C27=".",d_Irr!AB27&lt;&gt;".",d_Irr!BA27="."),d_dir!AD27/((1/1000)*(d_Irr!AB27)),IF(AND(d_Irr!C27&lt;&gt;".",d_Irr!AB27=".",d_Irr!BA27="."),d_dir!AD27/((1/1000)*(d_Irr!C27)),IF(AND(d_Irr!C27=".",d_Irr!AB27=".",d_Irr!BA27="."),d_dir!AD27*1000)))))))),".")</f>
        <v>.</v>
      </c>
      <c r="AE27" s="70" t="str">
        <f>IFERROR(IF(AND(d_Irr!D27&lt;&gt;".",d_Irr!AC27&lt;&gt;".",d_Irr!BB27&lt;&gt;"."),d_dir!AE27/((1/1000)*(d_Irr!D27+d_Irr!AC27+d_Irr!BB27)),IF(AND(d_Irr!D27&lt;&gt;".",d_Irr!AC27&lt;&gt;".",d_Irr!BB27="."),d_dir!AE27/((1/1000)*(d_Irr!D27+d_Irr!AC27)),IF(AND(d_Irr!D27&lt;&gt;".",d_Irr!AC27=".",d_Irr!BB27&lt;&gt;"."),d_dir!AE27/((1/1000)*(d_Irr!D27+d_Irr!BB27)),IF(AND(d_Irr!D27=".",d_Irr!AC27&lt;&gt;".",d_Irr!BB27&lt;&gt;"."),d_dir!AE27/((1/1000)*(d_Irr!AC27+d_Irr!BB27)),IF(AND(d_Irr!D27=".",d_Irr!AC27=".",d_Irr!BB27&lt;&gt;"."),d_dir!AE27/((1/1000)*(d_Irr!BB27)),IF(AND(d_Irr!D27=".",d_Irr!AC27&lt;&gt;".",d_Irr!BB27="."),d_dir!AE27/((1/1000)*(d_Irr!AC27)),IF(AND(d_Irr!D27&lt;&gt;".",d_Irr!AC27=".",d_Irr!BB27="."),d_dir!AE27/((1/1000)*(d_Irr!D27)),IF(AND(d_Irr!D27=".",d_Irr!AC27=".",d_Irr!BB27="."),d_dir!AE27*1000)))))))),".")</f>
        <v>.</v>
      </c>
      <c r="AF27" s="70" t="str">
        <f>IFERROR(IF(AND(d_Irr!E27&lt;&gt;".",d_Irr!AD27&lt;&gt;".",d_Irr!BC27&lt;&gt;"."),d_dir!AF27/((1/1000)*(d_Irr!E27+d_Irr!AD27+d_Irr!BC27)),IF(AND(d_Irr!E27&lt;&gt;".",d_Irr!AD27&lt;&gt;".",d_Irr!BC27="."),d_dir!AF27/((1/1000)*(d_Irr!E27+d_Irr!AD27)),IF(AND(d_Irr!E27&lt;&gt;".",d_Irr!AD27=".",d_Irr!BC27&lt;&gt;"."),d_dir!AF27/((1/1000)*(d_Irr!E27+d_Irr!BC27)),IF(AND(d_Irr!E27=".",d_Irr!AD27&lt;&gt;".",d_Irr!BC27&lt;&gt;"."),d_dir!AF27/((1/1000)*(d_Irr!AD27+d_Irr!BC27)),IF(AND(d_Irr!E27=".",d_Irr!AD27=".",d_Irr!BC27&lt;&gt;"."),d_dir!AF27/((1/1000)*(d_Irr!BC27)),IF(AND(d_Irr!E27=".",d_Irr!AD27&lt;&gt;".",d_Irr!BC27="."),d_dir!AF27/((1/1000)*(d_Irr!AD27)),IF(AND(d_Irr!E27&lt;&gt;".",d_Irr!AD27=".",d_Irr!BC27="."),d_dir!AF27/((1/1000)*(d_Irr!E27)),IF(AND(d_Irr!E27=".",d_Irr!AD27=".",d_Irr!BC27="."),d_dir!AF27*1000)))))))),".")</f>
        <v>.</v>
      </c>
      <c r="AG27" s="70" t="str">
        <f>IFERROR(IF(AND(d_Irr!F27&lt;&gt;".",d_Irr!AE27&lt;&gt;".",d_Irr!BD27&lt;&gt;"."),d_dir!AG27/((1/1000)*(d_Irr!F27+d_Irr!AE27+d_Irr!BD27)),IF(AND(d_Irr!F27&lt;&gt;".",d_Irr!AE27&lt;&gt;".",d_Irr!BD27="."),d_dir!AG27/((1/1000)*(d_Irr!F27+d_Irr!AE27)),IF(AND(d_Irr!F27&lt;&gt;".",d_Irr!AE27=".",d_Irr!BD27&lt;&gt;"."),d_dir!AG27/((1/1000)*(d_Irr!F27+d_Irr!BD27)),IF(AND(d_Irr!F27=".",d_Irr!AE27&lt;&gt;".",d_Irr!BD27&lt;&gt;"."),d_dir!AG27/((1/1000)*(d_Irr!AE27+d_Irr!BD27)),IF(AND(d_Irr!F27=".",d_Irr!AE27=".",d_Irr!BD27&lt;&gt;"."),d_dir!AG27/((1/1000)*(d_Irr!BD27)),IF(AND(d_Irr!F27=".",d_Irr!AE27&lt;&gt;".",d_Irr!BD27="."),d_dir!AG27/((1/1000)*(d_Irr!AE27)),IF(AND(d_Irr!F27&lt;&gt;".",d_Irr!AE27=".",d_Irr!BD27="."),d_dir!AG27/((1/1000)*(d_Irr!F27)),IF(AND(d_Irr!F27=".",d_Irr!AE27=".",d_Irr!BD27="."),d_dir!AG27*1000)))))))),".")</f>
        <v>.</v>
      </c>
      <c r="AH27" s="70" t="str">
        <f>IFERROR(IF(AND(d_Irr!G27&lt;&gt;".",d_Irr!AF27&lt;&gt;".",d_Irr!BE27&lt;&gt;"."),d_dir!AH27/((1/1000)*(d_Irr!G27+d_Irr!AF27+d_Irr!BE27)),IF(AND(d_Irr!G27&lt;&gt;".",d_Irr!AF27&lt;&gt;".",d_Irr!BE27="."),d_dir!AH27/((1/1000)*(d_Irr!G27+d_Irr!AF27)),IF(AND(d_Irr!G27&lt;&gt;".",d_Irr!AF27=".",d_Irr!BE27&lt;&gt;"."),d_dir!AH27/((1/1000)*(d_Irr!G27+d_Irr!BE27)),IF(AND(d_Irr!G27=".",d_Irr!AF27&lt;&gt;".",d_Irr!BE27&lt;&gt;"."),d_dir!AH27/((1/1000)*(d_Irr!AF27+d_Irr!BE27)),IF(AND(d_Irr!G27=".",d_Irr!AF27=".",d_Irr!BE27&lt;&gt;"."),d_dir!AH27/((1/1000)*(d_Irr!BE27)),IF(AND(d_Irr!G27=".",d_Irr!AF27&lt;&gt;".",d_Irr!BE27="."),d_dir!AH27/((1/1000)*(d_Irr!AF27)),IF(AND(d_Irr!G27&lt;&gt;".",d_Irr!AF27=".",d_Irr!BE27="."),d_dir!AH27/((1/1000)*(d_Irr!G27)),IF(AND(d_Irr!G27=".",d_Irr!AF27=".",d_Irr!BE27="."),d_dir!AH27*1000)))))))),".")</f>
        <v>.</v>
      </c>
      <c r="AI27" s="70" t="str">
        <f>IFERROR(IF(AND(d_Irr!H27&lt;&gt;".",d_Irr!AG27&lt;&gt;".",d_Irr!BF27&lt;&gt;"."),d_dir!AI27/((1/1000)*(d_Irr!H27+d_Irr!AG27+d_Irr!BF27)),IF(AND(d_Irr!H27&lt;&gt;".",d_Irr!AG27&lt;&gt;".",d_Irr!BF27="."),d_dir!AI27/((1/1000)*(d_Irr!H27+d_Irr!AG27)),IF(AND(d_Irr!H27&lt;&gt;".",d_Irr!AG27=".",d_Irr!BF27&lt;&gt;"."),d_dir!AI27/((1/1000)*(d_Irr!H27+d_Irr!BF27)),IF(AND(d_Irr!H27=".",d_Irr!AG27&lt;&gt;".",d_Irr!BF27&lt;&gt;"."),d_dir!AI27/((1/1000)*(d_Irr!AG27+d_Irr!BF27)),IF(AND(d_Irr!H27=".",d_Irr!AG27=".",d_Irr!BF27&lt;&gt;"."),d_dir!AI27/((1/1000)*(d_Irr!BF27)),IF(AND(d_Irr!H27=".",d_Irr!AG27&lt;&gt;".",d_Irr!BF27="."),d_dir!AI27/((1/1000)*(d_Irr!AG27)),IF(AND(d_Irr!H27&lt;&gt;".",d_Irr!AG27=".",d_Irr!BF27="."),d_dir!AI27/((1/1000)*(d_Irr!H27)),IF(AND(d_Irr!H27=".",d_Irr!AG27=".",d_Irr!BF27="."),d_dir!AI27*1000)))))))),".")</f>
        <v>.</v>
      </c>
      <c r="AJ27" s="70" t="str">
        <f>IFERROR(IF(AND(d_Irr!I27&lt;&gt;".",d_Irr!AH27&lt;&gt;".",d_Irr!BG27&lt;&gt;"."),d_dir!AJ27/((1/1000)*(d_Irr!I27+d_Irr!AH27+d_Irr!BG27)),IF(AND(d_Irr!I27&lt;&gt;".",d_Irr!AH27&lt;&gt;".",d_Irr!BG27="."),d_dir!AJ27/((1/1000)*(d_Irr!I27+d_Irr!AH27)),IF(AND(d_Irr!I27&lt;&gt;".",d_Irr!AH27=".",d_Irr!BG27&lt;&gt;"."),d_dir!AJ27/((1/1000)*(d_Irr!I27+d_Irr!BG27)),IF(AND(d_Irr!I27=".",d_Irr!AH27&lt;&gt;".",d_Irr!BG27&lt;&gt;"."),d_dir!AJ27/((1/1000)*(d_Irr!AH27+d_Irr!BG27)),IF(AND(d_Irr!I27=".",d_Irr!AH27=".",d_Irr!BG27&lt;&gt;"."),d_dir!AJ27/((1/1000)*(d_Irr!BG27)),IF(AND(d_Irr!I27=".",d_Irr!AH27&lt;&gt;".",d_Irr!BG27="."),d_dir!AJ27/((1/1000)*(d_Irr!AH27)),IF(AND(d_Irr!I27&lt;&gt;".",d_Irr!AH27=".",d_Irr!BG27="."),d_dir!AJ27/((1/1000)*(d_Irr!I27)),IF(AND(d_Irr!I27=".",d_Irr!AH27=".",d_Irr!BG27="."),d_dir!AJ27*1000)))))))),".")</f>
        <v>.</v>
      </c>
      <c r="AK27" s="70" t="str">
        <f>IFERROR(IF(AND(d_Irr!J27&lt;&gt;".",d_Irr!AI27&lt;&gt;".",d_Irr!BH27&lt;&gt;"."),d_dir!AK27/((1/1000)*(d_Irr!J27+d_Irr!AI27+d_Irr!BH27)),IF(AND(d_Irr!J27&lt;&gt;".",d_Irr!AI27&lt;&gt;".",d_Irr!BH27="."),d_dir!AK27/((1/1000)*(d_Irr!J27+d_Irr!AI27)),IF(AND(d_Irr!J27&lt;&gt;".",d_Irr!AI27=".",d_Irr!BH27&lt;&gt;"."),d_dir!AK27/((1/1000)*(d_Irr!J27+d_Irr!BH27)),IF(AND(d_Irr!J27=".",d_Irr!AI27&lt;&gt;".",d_Irr!BH27&lt;&gt;"."),d_dir!AK27/((1/1000)*(d_Irr!AI27+d_Irr!BH27)),IF(AND(d_Irr!J27=".",d_Irr!AI27=".",d_Irr!BH27&lt;&gt;"."),d_dir!AK27/((1/1000)*(d_Irr!BH27)),IF(AND(d_Irr!J27=".",d_Irr!AI27&lt;&gt;".",d_Irr!BH27="."),d_dir!AK27/((1/1000)*(d_Irr!AI27)),IF(AND(d_Irr!J27&lt;&gt;".",d_Irr!AI27=".",d_Irr!BH27="."),d_dir!AK27/((1/1000)*(d_Irr!J27)),IF(AND(d_Irr!J27=".",d_Irr!AI27=".",d_Irr!BH27="."),d_dir!AK27*1000)))))))),".")</f>
        <v>.</v>
      </c>
      <c r="AL27" s="70" t="str">
        <f>IFERROR(IF(AND(d_Irr!K27&lt;&gt;".",d_Irr!AJ27&lt;&gt;".",d_Irr!BI27&lt;&gt;"."),d_dir!AL27/((1/1000)*(d_Irr!K27+d_Irr!AJ27+d_Irr!BI27)),IF(AND(d_Irr!K27&lt;&gt;".",d_Irr!AJ27&lt;&gt;".",d_Irr!BI27="."),d_dir!AL27/((1/1000)*(d_Irr!K27+d_Irr!AJ27)),IF(AND(d_Irr!K27&lt;&gt;".",d_Irr!AJ27=".",d_Irr!BI27&lt;&gt;"."),d_dir!AL27/((1/1000)*(d_Irr!K27+d_Irr!BI27)),IF(AND(d_Irr!K27=".",d_Irr!AJ27&lt;&gt;".",d_Irr!BI27&lt;&gt;"."),d_dir!AL27/((1/1000)*(d_Irr!AJ27+d_Irr!BI27)),IF(AND(d_Irr!K27=".",d_Irr!AJ27=".",d_Irr!BI27&lt;&gt;"."),d_dir!AL27/((1/1000)*(d_Irr!BI27)),IF(AND(d_Irr!K27=".",d_Irr!AJ27&lt;&gt;".",d_Irr!BI27="."),d_dir!AL27/((1/1000)*(d_Irr!AJ27)),IF(AND(d_Irr!K27&lt;&gt;".",d_Irr!AJ27=".",d_Irr!BI27="."),d_dir!AL27/((1/1000)*(d_Irr!K27)),IF(AND(d_Irr!K27=".",d_Irr!AJ27=".",d_Irr!BI27="."),d_dir!AL27*1000)))))))),".")</f>
        <v>.</v>
      </c>
      <c r="AM27" s="70" t="str">
        <f>IFERROR(IF(AND(d_Irr!L27&lt;&gt;".",d_Irr!AK27&lt;&gt;".",d_Irr!BJ27&lt;&gt;"."),d_dir!AM27/((1/1000)*(d_Irr!L27+d_Irr!AK27+d_Irr!BJ27)),IF(AND(d_Irr!L27&lt;&gt;".",d_Irr!AK27&lt;&gt;".",d_Irr!BJ27="."),d_dir!AM27/((1/1000)*(d_Irr!L27+d_Irr!AK27)),IF(AND(d_Irr!L27&lt;&gt;".",d_Irr!AK27=".",d_Irr!BJ27&lt;&gt;"."),d_dir!AM27/((1/1000)*(d_Irr!L27+d_Irr!BJ27)),IF(AND(d_Irr!L27=".",d_Irr!AK27&lt;&gt;".",d_Irr!BJ27&lt;&gt;"."),d_dir!AM27/((1/1000)*(d_Irr!AK27+d_Irr!BJ27)),IF(AND(d_Irr!L27=".",d_Irr!AK27=".",d_Irr!BJ27&lt;&gt;"."),d_dir!AM27/((1/1000)*(d_Irr!BJ27)),IF(AND(d_Irr!L27=".",d_Irr!AK27&lt;&gt;".",d_Irr!BJ27="."),d_dir!AM27/((1/1000)*(d_Irr!AK27)),IF(AND(d_Irr!L27&lt;&gt;".",d_Irr!AK27=".",d_Irr!BJ27="."),d_dir!AM27/((1/1000)*(d_Irr!L27)),IF(AND(d_Irr!L27=".",d_Irr!AK27=".",d_Irr!BJ27="."),d_dir!AM27*1000)))))))),".")</f>
        <v>.</v>
      </c>
      <c r="AN27" s="70" t="str">
        <f>IFERROR(IF(AND(d_Irr!M27&lt;&gt;".",d_Irr!AL27&lt;&gt;".",d_Irr!BK27&lt;&gt;"."),d_dir!AN27/((1/1000)*(d_Irr!M27+d_Irr!AL27+d_Irr!BK27)),IF(AND(d_Irr!M27&lt;&gt;".",d_Irr!AL27&lt;&gt;".",d_Irr!BK27="."),d_dir!AN27/((1/1000)*(d_Irr!M27+d_Irr!AL27)),IF(AND(d_Irr!M27&lt;&gt;".",d_Irr!AL27=".",d_Irr!BK27&lt;&gt;"."),d_dir!AN27/((1/1000)*(d_Irr!M27+d_Irr!BK27)),IF(AND(d_Irr!M27=".",d_Irr!AL27&lt;&gt;".",d_Irr!BK27&lt;&gt;"."),d_dir!AN27/((1/1000)*(d_Irr!AL27+d_Irr!BK27)),IF(AND(d_Irr!M27=".",d_Irr!AL27=".",d_Irr!BK27&lt;&gt;"."),d_dir!AN27/((1/1000)*(d_Irr!BK27)),IF(AND(d_Irr!M27=".",d_Irr!AL27&lt;&gt;".",d_Irr!BK27="."),d_dir!AN27/((1/1000)*(d_Irr!AL27)),IF(AND(d_Irr!M27&lt;&gt;".",d_Irr!AL27=".",d_Irr!BK27="."),d_dir!AN27/((1/1000)*(d_Irr!M27)),IF(AND(d_Irr!M27=".",d_Irr!AL27=".",d_Irr!BK27="."),d_dir!AN27*1000)))))))),".")</f>
        <v>.</v>
      </c>
      <c r="AO27" s="70" t="str">
        <f>IFERROR(IF(AND(d_Irr!N27&lt;&gt;".",d_Irr!AM27&lt;&gt;".",d_Irr!BL27&lt;&gt;"."),d_dir!AO27/((1/1000)*(d_Irr!N27+d_Irr!AM27+d_Irr!BL27)),IF(AND(d_Irr!N27&lt;&gt;".",d_Irr!AM27&lt;&gt;".",d_Irr!BL27="."),d_dir!AO27/((1/1000)*(d_Irr!N27+d_Irr!AM27)),IF(AND(d_Irr!N27&lt;&gt;".",d_Irr!AM27=".",d_Irr!BL27&lt;&gt;"."),d_dir!AO27/((1/1000)*(d_Irr!N27+d_Irr!BL27)),IF(AND(d_Irr!N27=".",d_Irr!AM27&lt;&gt;".",d_Irr!BL27&lt;&gt;"."),d_dir!AO27/((1/1000)*(d_Irr!AM27+d_Irr!BL27)),IF(AND(d_Irr!N27=".",d_Irr!AM27=".",d_Irr!BL27&lt;&gt;"."),d_dir!AO27/((1/1000)*(d_Irr!BL27)),IF(AND(d_Irr!N27=".",d_Irr!AM27&lt;&gt;".",d_Irr!BL27="."),d_dir!AO27/((1/1000)*(d_Irr!AM27)),IF(AND(d_Irr!N27&lt;&gt;".",d_Irr!AM27=".",d_Irr!BL27="."),d_dir!AO27/((1/1000)*(d_Irr!N27)),IF(AND(d_Irr!N27=".",d_Irr!AM27=".",d_Irr!BL27="."),d_dir!AO27*1000)))))))),".")</f>
        <v>.</v>
      </c>
      <c r="AP27" s="70" t="str">
        <f>IFERROR(IF(AND(d_Irr!O27&lt;&gt;".",d_Irr!AN27&lt;&gt;".",d_Irr!BM27&lt;&gt;"."),d_dir!AP27/((1/1000)*(d_Irr!O27+d_Irr!AN27+d_Irr!BM27)),IF(AND(d_Irr!O27&lt;&gt;".",d_Irr!AN27&lt;&gt;".",d_Irr!BM27="."),d_dir!AP27/((1/1000)*(d_Irr!O27+d_Irr!AN27)),IF(AND(d_Irr!O27&lt;&gt;".",d_Irr!AN27=".",d_Irr!BM27&lt;&gt;"."),d_dir!AP27/((1/1000)*(d_Irr!O27+d_Irr!BM27)),IF(AND(d_Irr!O27=".",d_Irr!AN27&lt;&gt;".",d_Irr!BM27&lt;&gt;"."),d_dir!AP27/((1/1000)*(d_Irr!AN27+d_Irr!BM27)),IF(AND(d_Irr!O27=".",d_Irr!AN27=".",d_Irr!BM27&lt;&gt;"."),d_dir!AP27/((1/1000)*(d_Irr!BM27)),IF(AND(d_Irr!O27=".",d_Irr!AN27&lt;&gt;".",d_Irr!BM27="."),d_dir!AP27/((1/1000)*(d_Irr!AN27)),IF(AND(d_Irr!O27&lt;&gt;".",d_Irr!AN27=".",d_Irr!BM27="."),d_dir!AP27/((1/1000)*(d_Irr!O27)),IF(AND(d_Irr!O27=".",d_Irr!AN27=".",d_Irr!BM27="."),d_dir!AP27*1000)))))))),".")</f>
        <v>.</v>
      </c>
      <c r="AQ27" s="70" t="str">
        <f>IFERROR(IF(AND(d_Irr!P27&lt;&gt;".",d_Irr!AO27&lt;&gt;".",d_Irr!BN27&lt;&gt;"."),d_dir!AQ27/((1/1000)*(d_Irr!P27+d_Irr!AO27+d_Irr!BN27)),IF(AND(d_Irr!P27&lt;&gt;".",d_Irr!AO27&lt;&gt;".",d_Irr!BN27="."),d_dir!AQ27/((1/1000)*(d_Irr!P27+d_Irr!AO27)),IF(AND(d_Irr!P27&lt;&gt;".",d_Irr!AO27=".",d_Irr!BN27&lt;&gt;"."),d_dir!AQ27/((1/1000)*(d_Irr!P27+d_Irr!BN27)),IF(AND(d_Irr!P27=".",d_Irr!AO27&lt;&gt;".",d_Irr!BN27&lt;&gt;"."),d_dir!AQ27/((1/1000)*(d_Irr!AO27+d_Irr!BN27)),IF(AND(d_Irr!P27=".",d_Irr!AO27=".",d_Irr!BN27&lt;&gt;"."),d_dir!AQ27/((1/1000)*(d_Irr!BN27)),IF(AND(d_Irr!P27=".",d_Irr!AO27&lt;&gt;".",d_Irr!BN27="."),d_dir!AQ27/((1/1000)*(d_Irr!AO27)),IF(AND(d_Irr!P27&lt;&gt;".",d_Irr!AO27=".",d_Irr!BN27="."),d_dir!AQ27/((1/1000)*(d_Irr!P27)),IF(AND(d_Irr!P27=".",d_Irr!AO27=".",d_Irr!BN27="."),d_dir!AQ27*1000)))))))),".")</f>
        <v>.</v>
      </c>
      <c r="AR27" s="70" t="str">
        <f>IFERROR(IF(AND(d_Irr!Q27&lt;&gt;".",d_Irr!AP27&lt;&gt;".",d_Irr!BO27&lt;&gt;"."),d_dir!AR27/((1/1000)*(d_Irr!Q27+d_Irr!AP27+d_Irr!BO27)),IF(AND(d_Irr!Q27&lt;&gt;".",d_Irr!AP27&lt;&gt;".",d_Irr!BO27="."),d_dir!AR27/((1/1000)*(d_Irr!Q27+d_Irr!AP27)),IF(AND(d_Irr!Q27&lt;&gt;".",d_Irr!AP27=".",d_Irr!BO27&lt;&gt;"."),d_dir!AR27/((1/1000)*(d_Irr!Q27+d_Irr!BO27)),IF(AND(d_Irr!Q27=".",d_Irr!AP27&lt;&gt;".",d_Irr!BO27&lt;&gt;"."),d_dir!AR27/((1/1000)*(d_Irr!AP27+d_Irr!BO27)),IF(AND(d_Irr!Q27=".",d_Irr!AP27=".",d_Irr!BO27&lt;&gt;"."),d_dir!AR27/((1/1000)*(d_Irr!BO27)),IF(AND(d_Irr!Q27=".",d_Irr!AP27&lt;&gt;".",d_Irr!BO27="."),d_dir!AR27/((1/1000)*(d_Irr!AP27)),IF(AND(d_Irr!Q27&lt;&gt;".",d_Irr!AP27=".",d_Irr!BO27="."),d_dir!AR27/((1/1000)*(d_Irr!Q27)),IF(AND(d_Irr!Q27=".",d_Irr!AP27=".",d_Irr!BO27="."),d_dir!AR27*1000)))))))),".")</f>
        <v>.</v>
      </c>
      <c r="AS27" s="70" t="str">
        <f>IFERROR(IF(AND(d_Irr!R27&lt;&gt;".",d_Irr!AQ27&lt;&gt;".",d_Irr!BP27&lt;&gt;"."),d_dir!AS27/((1/1000)*(d_Irr!R27+d_Irr!AQ27+d_Irr!BP27)),IF(AND(d_Irr!R27&lt;&gt;".",d_Irr!AQ27&lt;&gt;".",d_Irr!BP27="."),d_dir!AS27/((1/1000)*(d_Irr!R27+d_Irr!AQ27)),IF(AND(d_Irr!R27&lt;&gt;".",d_Irr!AQ27=".",d_Irr!BP27&lt;&gt;"."),d_dir!AS27/((1/1000)*(d_Irr!R27+d_Irr!BP27)),IF(AND(d_Irr!R27=".",d_Irr!AQ27&lt;&gt;".",d_Irr!BP27&lt;&gt;"."),d_dir!AS27/((1/1000)*(d_Irr!AQ27+d_Irr!BP27)),IF(AND(d_Irr!R27=".",d_Irr!AQ27=".",d_Irr!BP27&lt;&gt;"."),d_dir!AS27/((1/1000)*(d_Irr!BP27)),IF(AND(d_Irr!R27=".",d_Irr!AQ27&lt;&gt;".",d_Irr!BP27="."),d_dir!AS27/((1/1000)*(d_Irr!AQ27)),IF(AND(d_Irr!R27&lt;&gt;".",d_Irr!AQ27=".",d_Irr!BP27="."),d_dir!AS27/((1/1000)*(d_Irr!R27)),IF(AND(d_Irr!R27=".",d_Irr!AQ27=".",d_Irr!BP27="."),d_dir!AS27*1000)))))))),".")</f>
        <v>.</v>
      </c>
      <c r="AT27" s="70" t="str">
        <f>IFERROR(IF(AND(d_Irr!S27&lt;&gt;".",d_Irr!AR27&lt;&gt;".",d_Irr!BQ27&lt;&gt;"."),d_dir!AT27/((1/1000)*(d_Irr!S27+d_Irr!AR27+d_Irr!BQ27)),IF(AND(d_Irr!S27&lt;&gt;".",d_Irr!AR27&lt;&gt;".",d_Irr!BQ27="."),d_dir!AT27/((1/1000)*(d_Irr!S27+d_Irr!AR27)),IF(AND(d_Irr!S27&lt;&gt;".",d_Irr!AR27=".",d_Irr!BQ27&lt;&gt;"."),d_dir!AT27/((1/1000)*(d_Irr!S27+d_Irr!BQ27)),IF(AND(d_Irr!S27=".",d_Irr!AR27&lt;&gt;".",d_Irr!BQ27&lt;&gt;"."),d_dir!AT27/((1/1000)*(d_Irr!AR27+d_Irr!BQ27)),IF(AND(d_Irr!S27=".",d_Irr!AR27=".",d_Irr!BQ27&lt;&gt;"."),d_dir!AT27/((1/1000)*(d_Irr!BQ27)),IF(AND(d_Irr!S27=".",d_Irr!AR27&lt;&gt;".",d_Irr!BQ27="."),d_dir!AT27/((1/1000)*(d_Irr!AR27)),IF(AND(d_Irr!S27&lt;&gt;".",d_Irr!AR27=".",d_Irr!BQ27="."),d_dir!AT27/((1/1000)*(d_Irr!S27)),IF(AND(d_Irr!S27=".",d_Irr!AR27=".",d_Irr!BQ27="."),d_dir!AT27*1000)))))))),".")</f>
        <v>.</v>
      </c>
      <c r="AU27" s="70" t="str">
        <f>IFERROR(IF(AND(d_Irr!T27&lt;&gt;".",d_Irr!AS27&lt;&gt;".",d_Irr!BR27&lt;&gt;"."),d_dir!AU27/((1/1000)*(d_Irr!T27+d_Irr!AS27+d_Irr!BR27)),IF(AND(d_Irr!T27&lt;&gt;".",d_Irr!AS27&lt;&gt;".",d_Irr!BR27="."),d_dir!AU27/((1/1000)*(d_Irr!T27+d_Irr!AS27)),IF(AND(d_Irr!T27&lt;&gt;".",d_Irr!AS27=".",d_Irr!BR27&lt;&gt;"."),d_dir!AU27/((1/1000)*(d_Irr!T27+d_Irr!BR27)),IF(AND(d_Irr!T27=".",d_Irr!AS27&lt;&gt;".",d_Irr!BR27&lt;&gt;"."),d_dir!AU27/((1/1000)*(d_Irr!AS27+d_Irr!BR27)),IF(AND(d_Irr!T27=".",d_Irr!AS27=".",d_Irr!BR27&lt;&gt;"."),d_dir!AU27/((1/1000)*(d_Irr!BR27)),IF(AND(d_Irr!T27=".",d_Irr!AS27&lt;&gt;".",d_Irr!BR27="."),d_dir!AU27/((1/1000)*(d_Irr!AS27)),IF(AND(d_Irr!T27&lt;&gt;".",d_Irr!AS27=".",d_Irr!BR27="."),d_dir!AU27/((1/1000)*(d_Irr!T27)),IF(AND(d_Irr!T27=".",d_Irr!AS27=".",d_Irr!BR27="."),d_dir!AU27*1000)))))))),".")</f>
        <v>.</v>
      </c>
      <c r="AV27" s="70" t="str">
        <f>IFERROR(IF(AND(d_Irr!U27&lt;&gt;".",d_Irr!AT27&lt;&gt;".",d_Irr!BS27&lt;&gt;"."),d_dir!AV27/((1/1000)*(d_Irr!U27+d_Irr!AT27+d_Irr!BS27)),IF(AND(d_Irr!U27&lt;&gt;".",d_Irr!AT27&lt;&gt;".",d_Irr!BS27="."),d_dir!AV27/((1/1000)*(d_Irr!U27+d_Irr!AT27)),IF(AND(d_Irr!U27&lt;&gt;".",d_Irr!AT27=".",d_Irr!BS27&lt;&gt;"."),d_dir!AV27/((1/1000)*(d_Irr!U27+d_Irr!BS27)),IF(AND(d_Irr!U27=".",d_Irr!AT27&lt;&gt;".",d_Irr!BS27&lt;&gt;"."),d_dir!AV27/((1/1000)*(d_Irr!AT27+d_Irr!BS27)),IF(AND(d_Irr!U27=".",d_Irr!AT27=".",d_Irr!BS27&lt;&gt;"."),d_dir!AV27/((1/1000)*(d_Irr!BS27)),IF(AND(d_Irr!U27=".",d_Irr!AT27&lt;&gt;".",d_Irr!BS27="."),d_dir!AV27/((1/1000)*(d_Irr!AT27)),IF(AND(d_Irr!U27&lt;&gt;".",d_Irr!AT27=".",d_Irr!BS27="."),d_dir!AV27/((1/1000)*(d_Irr!U27)),IF(AND(d_Irr!U27=".",d_Irr!AT27=".",d_Irr!BS27="."),d_dir!AV27*1000)))))))),".")</f>
        <v>.</v>
      </c>
      <c r="AW27" s="70" t="str">
        <f>IFERROR(IF(AND(d_Irr!V27&lt;&gt;".",d_Irr!AU27&lt;&gt;".",d_Irr!BT27&lt;&gt;"."),d_dir!AW27/((1/1000)*(d_Irr!V27+d_Irr!AU27+d_Irr!BT27)),IF(AND(d_Irr!V27&lt;&gt;".",d_Irr!AU27&lt;&gt;".",d_Irr!BT27="."),d_dir!AW27/((1/1000)*(d_Irr!V27+d_Irr!AU27)),IF(AND(d_Irr!V27&lt;&gt;".",d_Irr!AU27=".",d_Irr!BT27&lt;&gt;"."),d_dir!AW27/((1/1000)*(d_Irr!V27+d_Irr!BT27)),IF(AND(d_Irr!V27=".",d_Irr!AU27&lt;&gt;".",d_Irr!BT27&lt;&gt;"."),d_dir!AW27/((1/1000)*(d_Irr!AU27+d_Irr!BT27)),IF(AND(d_Irr!V27=".",d_Irr!AU27=".",d_Irr!BT27&lt;&gt;"."),d_dir!AW27/((1/1000)*(d_Irr!BT27)),IF(AND(d_Irr!V27=".",d_Irr!AU27&lt;&gt;".",d_Irr!BT27="."),d_dir!AW27/((1/1000)*(d_Irr!AU27)),IF(AND(d_Irr!V27&lt;&gt;".",d_Irr!AU27=".",d_Irr!BT27="."),d_dir!AW27/((1/1000)*(d_Irr!V27)),IF(AND(d_Irr!V27=".",d_Irr!AU27=".",d_Irr!BT27="."),d_dir!AW27*1000)))))))),".")</f>
        <v>.</v>
      </c>
      <c r="AX27" s="70" t="str">
        <f>IFERROR(IF(AND(d_Irr!W27&lt;&gt;".",d_Irr!AV27&lt;&gt;".",d_Irr!BU27&lt;&gt;"."),d_dir!AX27/((1/1000)*(d_Irr!W27+d_Irr!AV27+d_Irr!BU27)),IF(AND(d_Irr!W27&lt;&gt;".",d_Irr!AV27&lt;&gt;".",d_Irr!BU27="."),d_dir!AX27/((1/1000)*(d_Irr!W27+d_Irr!AV27)),IF(AND(d_Irr!W27&lt;&gt;".",d_Irr!AV27=".",d_Irr!BU27&lt;&gt;"."),d_dir!AX27/((1/1000)*(d_Irr!W27+d_Irr!BU27)),IF(AND(d_Irr!W27=".",d_Irr!AV27&lt;&gt;".",d_Irr!BU27&lt;&gt;"."),d_dir!AX27/((1/1000)*(d_Irr!AV27+d_Irr!BU27)),IF(AND(d_Irr!W27=".",d_Irr!AV27=".",d_Irr!BU27&lt;&gt;"."),d_dir!AX27/((1/1000)*(d_Irr!BU27)),IF(AND(d_Irr!W27=".",d_Irr!AV27&lt;&gt;".",d_Irr!BU27="."),d_dir!AX27/((1/1000)*(d_Irr!AV27)),IF(AND(d_Irr!W27&lt;&gt;".",d_Irr!AV27=".",d_Irr!BU27="."),d_dir!AX27/((1/1000)*(d_Irr!W27)),IF(AND(d_Irr!W27=".",d_Irr!AV27=".",d_Irr!BU27="."),d_dir!AX27*1000)))))))),".")</f>
        <v>.</v>
      </c>
      <c r="AY27" s="70" t="str">
        <f>IFERROR(IF(AND(d_Irr!X27&lt;&gt;".",d_Irr!AW27&lt;&gt;".",d_Irr!BV27&lt;&gt;"."),d_dir!AY27/((1/1000)*(d_Irr!X27+d_Irr!AW27+d_Irr!BV27)),IF(AND(d_Irr!X27&lt;&gt;".",d_Irr!AW27&lt;&gt;".",d_Irr!BV27="."),d_dir!AY27/((1/1000)*(d_Irr!X27+d_Irr!AW27)),IF(AND(d_Irr!X27&lt;&gt;".",d_Irr!AW27=".",d_Irr!BV27&lt;&gt;"."),d_dir!AY27/((1/1000)*(d_Irr!X27+d_Irr!BV27)),IF(AND(d_Irr!X27=".",d_Irr!AW27&lt;&gt;".",d_Irr!BV27&lt;&gt;"."),d_dir!AY27/((1/1000)*(d_Irr!AW27+d_Irr!BV27)),IF(AND(d_Irr!X27=".",d_Irr!AW27=".",d_Irr!BV27&lt;&gt;"."),d_dir!AY27/((1/1000)*(d_Irr!BV27)),IF(AND(d_Irr!X27=".",d_Irr!AW27&lt;&gt;".",d_Irr!BV27="."),d_dir!AY27/((1/1000)*(d_Irr!AW27)),IF(AND(d_Irr!X27&lt;&gt;".",d_Irr!AW27=".",d_Irr!BV27="."),d_dir!AY27/((1/1000)*(d_Irr!X27)),IF(AND(d_Irr!X27=".",d_Irr!AW27=".",d_Irr!BV27="."),d_dir!AY27*1000)))))))),".")</f>
        <v>.</v>
      </c>
      <c r="AZ27" s="70" t="str">
        <f>IFERROR(IF(AND(d_Irr!Y27&lt;&gt;".",d_Irr!AX27&lt;&gt;".",d_Irr!BW27&lt;&gt;"."),d_dir!AZ27/((1/1000)*(d_Irr!Y27+d_Irr!AX27+d_Irr!BW27)),IF(AND(d_Irr!Y27&lt;&gt;".",d_Irr!AX27&lt;&gt;".",d_Irr!BW27="."),d_dir!AZ27/((1/1000)*(d_Irr!Y27+d_Irr!AX27)),IF(AND(d_Irr!Y27&lt;&gt;".",d_Irr!AX27=".",d_Irr!BW27&lt;&gt;"."),d_dir!AZ27/((1/1000)*(d_Irr!Y27+d_Irr!BW27)),IF(AND(d_Irr!Y27=".",d_Irr!AX27&lt;&gt;".",d_Irr!BW27&lt;&gt;"."),d_dir!AZ27/((1/1000)*(d_Irr!AX27+d_Irr!BW27)),IF(AND(d_Irr!Y27=".",d_Irr!AX27=".",d_Irr!BW27&lt;&gt;"."),d_dir!AZ27/((1/1000)*(d_Irr!BW27)),IF(AND(d_Irr!Y27=".",d_Irr!AX27&lt;&gt;".",d_Irr!BW27="."),d_dir!AZ27/((1/1000)*(d_Irr!AX27)),IF(AND(d_Irr!Y27&lt;&gt;".",d_Irr!AX27=".",d_Irr!BW27="."),d_dir!AZ27/((1/1000)*(d_Irr!Y27)),IF(AND(d_Irr!Y27=".",d_Irr!AX27=".",d_Irr!BW27="."),d_dir!AZ27*1000)))))))),".")</f>
        <v>.</v>
      </c>
      <c r="BA27" s="70" t="str">
        <f>IFERROR(IF(AND(d_Irr!Z27&lt;&gt;".",d_Irr!AY27&lt;&gt;".",d_Irr!BX27&lt;&gt;"."),d_dir!BA27/((1/1000)*(d_Irr!Z27+d_Irr!AY27+d_Irr!BX27)),IF(AND(d_Irr!Z27&lt;&gt;".",d_Irr!AY27&lt;&gt;".",d_Irr!BX27="."),d_dir!BA27/((1/1000)*(d_Irr!Z27+d_Irr!AY27)),IF(AND(d_Irr!Z27&lt;&gt;".",d_Irr!AY27=".",d_Irr!BX27&lt;&gt;"."),d_dir!BA27/((1/1000)*(d_Irr!Z27+d_Irr!BX27)),IF(AND(d_Irr!Z27=".",d_Irr!AY27&lt;&gt;".",d_Irr!BX27&lt;&gt;"."),d_dir!BA27/((1/1000)*(d_Irr!AY27+d_Irr!BX27)),IF(AND(d_Irr!Z27=".",d_Irr!AY27=".",d_Irr!BX27&lt;&gt;"."),d_dir!BA27/((1/1000)*(d_Irr!BX27)),IF(AND(d_Irr!Z27=".",d_Irr!AY27&lt;&gt;".",d_Irr!BX27="."),d_dir!BA27/((1/1000)*(d_Irr!AY27)),IF(AND(d_Irr!Z27&lt;&gt;".",d_Irr!AY27=".",d_Irr!BX27="."),d_dir!BA27/((1/1000)*(d_Irr!Z27)),IF(AND(d_Irr!Z27=".",d_Irr!AY27=".",d_Irr!BX27="."),d_dir!BA27*1000)))))))),".")</f>
        <v>.</v>
      </c>
      <c r="BB27" s="70" t="str">
        <f>IFERROR(IF(AND(d_Irr!AA27&lt;&gt;".",d_Irr!AZ27&lt;&gt;".",d_Irr!BY27&lt;&gt;"."),d_dir!BB27/((1/1000)*(d_Irr!AA27+d_Irr!AZ27+d_Irr!BY27)),IF(AND(d_Irr!AA27&lt;&gt;".",d_Irr!AZ27&lt;&gt;".",d_Irr!BY27="."),d_dir!BB27/((1/1000)*(d_Irr!AA27+d_Irr!AZ27)),IF(AND(d_Irr!AA27&lt;&gt;".",d_Irr!AZ27=".",d_Irr!BY27&lt;&gt;"."),d_dir!BB27/((1/1000)*(d_Irr!AA27+d_Irr!BY27)),IF(AND(d_Irr!AA27=".",d_Irr!AZ27&lt;&gt;".",d_Irr!BY27&lt;&gt;"."),d_dir!BB27/((1/1000)*(d_Irr!AZ27+d_Irr!BY27)),IF(AND(d_Irr!AA27=".",d_Irr!AZ27=".",d_Irr!BY27&lt;&gt;"."),d_dir!BB27/((1/1000)*(d_Irr!BY27)),IF(AND(d_Irr!AA27=".",d_Irr!AZ27&lt;&gt;".",d_Irr!BY27="."),d_dir!BB27/((1/1000)*(d_Irr!AZ27)),IF(AND(d_Irr!AA27&lt;&gt;".",d_Irr!AZ27=".",d_Irr!BY27="."),d_dir!BB27/((1/1000)*(d_Irr!AA27)),IF(AND(d_Irr!AA27=".",d_Irr!AZ27=".",d_Irr!BY27="."),d_dir!BB27*1000)))))))),".")</f>
        <v>.</v>
      </c>
    </row>
    <row r="28" spans="1:54" ht="15" customHeight="1" x14ac:dyDescent="0.25">
      <c r="A28" s="86" t="s">
        <v>26</v>
      </c>
      <c r="B28" s="84" t="s">
        <v>1057</v>
      </c>
      <c r="C28" s="2" t="str">
        <f t="shared" si="1"/>
        <v>.</v>
      </c>
      <c r="D28" s="70" t="str">
        <f>IFERROR(IF(AND(d_Irr!C28&lt;&gt;".",d_Irr!AB28&lt;&gt;".",d_Irr!BA28&lt;&gt;"."),d_dir!D28/((1/1000)*(d_Irr!C28+d_Irr!AB28+d_Irr!BA28)),IF(AND(d_Irr!C28&lt;&gt;".",d_Irr!AB28&lt;&gt;".",d_Irr!BA28="."),d_dir!D28/((1/1000)*(d_Irr!C28+d_Irr!AB28)),IF(AND(d_Irr!C28&lt;&gt;".",d_Irr!AB28=".",d_Irr!BA28&lt;&gt;"."),d_dir!D28/((1/1000)*(d_Irr!C28+d_Irr!BA28)),IF(AND(d_Irr!C28=".",d_Irr!AB28&lt;&gt;".",d_Irr!BA28&lt;&gt;"."),d_dir!D28/((1/1000)*(d_Irr!AB28+d_Irr!BA28)),IF(AND(d_Irr!C28=".",d_Irr!AB28=".",d_Irr!BA28&lt;&gt;"."),d_dir!D28/((1/1000)*(d_Irr!BA28)),IF(AND(d_Irr!C28=".",d_Irr!AB28&lt;&gt;".",d_Irr!BA28="."),d_dir!D28/((1/1000)*(d_Irr!AB28)),IF(AND(d_Irr!C28&lt;&gt;".",d_Irr!AB28=".",d_Irr!BA28="."),d_dir!D28/((1/1000)*(d_Irr!C28)),IF(AND(d_Irr!C28=".",d_Irr!AB28=".",d_Irr!BA28="."),d_dir!D28*1000)))))))),".")</f>
        <v>.</v>
      </c>
      <c r="E28" s="70" t="str">
        <f>IFERROR(IF(AND(d_Irr!D28&lt;&gt;".",d_Irr!AC28&lt;&gt;".",d_Irr!BB28&lt;&gt;"."),d_dir!E28/((1/1000)*(d_Irr!D28+d_Irr!AC28+d_Irr!BB28)),IF(AND(d_Irr!D28&lt;&gt;".",d_Irr!AC28&lt;&gt;".",d_Irr!BB28="."),d_dir!E28/((1/1000)*(d_Irr!D28+d_Irr!AC28)),IF(AND(d_Irr!D28&lt;&gt;".",d_Irr!AC28=".",d_Irr!BB28&lt;&gt;"."),d_dir!E28/((1/1000)*(d_Irr!D28+d_Irr!BB28)),IF(AND(d_Irr!D28=".",d_Irr!AC28&lt;&gt;".",d_Irr!BB28&lt;&gt;"."),d_dir!E28/((1/1000)*(d_Irr!AC28+d_Irr!BB28)),IF(AND(d_Irr!D28=".",d_Irr!AC28=".",d_Irr!BB28&lt;&gt;"."),d_dir!E28/((1/1000)*(d_Irr!BB28)),IF(AND(d_Irr!D28=".",d_Irr!AC28&lt;&gt;".",d_Irr!BB28="."),d_dir!E28/((1/1000)*(d_Irr!AC28)),IF(AND(d_Irr!D28&lt;&gt;".",d_Irr!AC28=".",d_Irr!BB28="."),d_dir!E28/((1/1000)*(d_Irr!D28)),IF(AND(d_Irr!D28=".",d_Irr!AC28=".",d_Irr!BB28="."),d_dir!E28*1000)))))))),".")</f>
        <v>.</v>
      </c>
      <c r="F28" s="70" t="str">
        <f>IFERROR(IF(AND(d_Irr!E28&lt;&gt;".",d_Irr!AD28&lt;&gt;".",d_Irr!BC28&lt;&gt;"."),d_dir!F28/((1/1000)*(d_Irr!E28+d_Irr!AD28+d_Irr!BC28)),IF(AND(d_Irr!E28&lt;&gt;".",d_Irr!AD28&lt;&gt;".",d_Irr!BC28="."),d_dir!F28/((1/1000)*(d_Irr!E28+d_Irr!AD28)),IF(AND(d_Irr!E28&lt;&gt;".",d_Irr!AD28=".",d_Irr!BC28&lt;&gt;"."),d_dir!F28/((1/1000)*(d_Irr!E28+d_Irr!BC28)),IF(AND(d_Irr!E28=".",d_Irr!AD28&lt;&gt;".",d_Irr!BC28&lt;&gt;"."),d_dir!F28/((1/1000)*(d_Irr!AD28+d_Irr!BC28)),IF(AND(d_Irr!E28=".",d_Irr!AD28=".",d_Irr!BC28&lt;&gt;"."),d_dir!F28/((1/1000)*(d_Irr!BC28)),IF(AND(d_Irr!E28=".",d_Irr!AD28&lt;&gt;".",d_Irr!BC28="."),d_dir!F28/((1/1000)*(d_Irr!AD28)),IF(AND(d_Irr!E28&lt;&gt;".",d_Irr!AD28=".",d_Irr!BC28="."),d_dir!F28/((1/1000)*(d_Irr!E28)),IF(AND(d_Irr!E28=".",d_Irr!AD28=".",d_Irr!BC28="."),d_dir!F28*1000)))))))),".")</f>
        <v>.</v>
      </c>
      <c r="G28" s="70" t="str">
        <f>IFERROR(IF(AND(d_Irr!F28&lt;&gt;".",d_Irr!AE28&lt;&gt;".",d_Irr!BD28&lt;&gt;"."),d_dir!G28/((1/1000)*(d_Irr!F28+d_Irr!AE28+d_Irr!BD28)),IF(AND(d_Irr!F28&lt;&gt;".",d_Irr!AE28&lt;&gt;".",d_Irr!BD28="."),d_dir!G28/((1/1000)*(d_Irr!F28+d_Irr!AE28)),IF(AND(d_Irr!F28&lt;&gt;".",d_Irr!AE28=".",d_Irr!BD28&lt;&gt;"."),d_dir!G28/((1/1000)*(d_Irr!F28+d_Irr!BD28)),IF(AND(d_Irr!F28=".",d_Irr!AE28&lt;&gt;".",d_Irr!BD28&lt;&gt;"."),d_dir!G28/((1/1000)*(d_Irr!AE28+d_Irr!BD28)),IF(AND(d_Irr!F28=".",d_Irr!AE28=".",d_Irr!BD28&lt;&gt;"."),d_dir!G28/((1/1000)*(d_Irr!BD28)),IF(AND(d_Irr!F28=".",d_Irr!AE28&lt;&gt;".",d_Irr!BD28="."),d_dir!G28/((1/1000)*(d_Irr!AE28)),IF(AND(d_Irr!F28&lt;&gt;".",d_Irr!AE28=".",d_Irr!BD28="."),d_dir!G28/((1/1000)*(d_Irr!F28)),IF(AND(d_Irr!F28=".",d_Irr!AE28=".",d_Irr!BD28="."),d_dir!G28*1000)))))))),".")</f>
        <v>.</v>
      </c>
      <c r="H28" s="70" t="str">
        <f>IFERROR(IF(AND(d_Irr!G28&lt;&gt;".",d_Irr!AF28&lt;&gt;".",d_Irr!BE28&lt;&gt;"."),d_dir!H28/((1/1000)*(d_Irr!G28+d_Irr!AF28+d_Irr!BE28)),IF(AND(d_Irr!G28&lt;&gt;".",d_Irr!AF28&lt;&gt;".",d_Irr!BE28="."),d_dir!H28/((1/1000)*(d_Irr!G28+d_Irr!AF28)),IF(AND(d_Irr!G28&lt;&gt;".",d_Irr!AF28=".",d_Irr!BE28&lt;&gt;"."),d_dir!H28/((1/1000)*(d_Irr!G28+d_Irr!BE28)),IF(AND(d_Irr!G28=".",d_Irr!AF28&lt;&gt;".",d_Irr!BE28&lt;&gt;"."),d_dir!H28/((1/1000)*(d_Irr!AF28+d_Irr!BE28)),IF(AND(d_Irr!G28=".",d_Irr!AF28=".",d_Irr!BE28&lt;&gt;"."),d_dir!H28/((1/1000)*(d_Irr!BE28)),IF(AND(d_Irr!G28=".",d_Irr!AF28&lt;&gt;".",d_Irr!BE28="."),d_dir!H28/((1/1000)*(d_Irr!AF28)),IF(AND(d_Irr!G28&lt;&gt;".",d_Irr!AF28=".",d_Irr!BE28="."),d_dir!H28/((1/1000)*(d_Irr!G28)),IF(AND(d_Irr!G28=".",d_Irr!AF28=".",d_Irr!BE28="."),d_dir!H28*1000)))))))),".")</f>
        <v>.</v>
      </c>
      <c r="I28" s="70" t="str">
        <f>IFERROR(IF(AND(d_Irr!H28&lt;&gt;".",d_Irr!AG28&lt;&gt;".",d_Irr!BF28&lt;&gt;"."),d_dir!I28/((1/1000)*(d_Irr!H28+d_Irr!AG28+d_Irr!BF28)),IF(AND(d_Irr!H28&lt;&gt;".",d_Irr!AG28&lt;&gt;".",d_Irr!BF28="."),d_dir!I28/((1/1000)*(d_Irr!H28+d_Irr!AG28)),IF(AND(d_Irr!H28&lt;&gt;".",d_Irr!AG28=".",d_Irr!BF28&lt;&gt;"."),d_dir!I28/((1/1000)*(d_Irr!H28+d_Irr!BF28)),IF(AND(d_Irr!H28=".",d_Irr!AG28&lt;&gt;".",d_Irr!BF28&lt;&gt;"."),d_dir!I28/((1/1000)*(d_Irr!AG28+d_Irr!BF28)),IF(AND(d_Irr!H28=".",d_Irr!AG28=".",d_Irr!BF28&lt;&gt;"."),d_dir!I28/((1/1000)*(d_Irr!BF28)),IF(AND(d_Irr!H28=".",d_Irr!AG28&lt;&gt;".",d_Irr!BF28="."),d_dir!I28/((1/1000)*(d_Irr!AG28)),IF(AND(d_Irr!H28&lt;&gt;".",d_Irr!AG28=".",d_Irr!BF28="."),d_dir!I28/((1/1000)*(d_Irr!H28)),IF(AND(d_Irr!H28=".",d_Irr!AG28=".",d_Irr!BF28="."),d_dir!I28*1000)))))))),".")</f>
        <v>.</v>
      </c>
      <c r="J28" s="70" t="str">
        <f>IFERROR(IF(AND(d_Irr!I28&lt;&gt;".",d_Irr!AH28&lt;&gt;".",d_Irr!BG28&lt;&gt;"."),d_dir!J28/((1/1000)*(d_Irr!I28+d_Irr!AH28+d_Irr!BG28)),IF(AND(d_Irr!I28&lt;&gt;".",d_Irr!AH28&lt;&gt;".",d_Irr!BG28="."),d_dir!J28/((1/1000)*(d_Irr!I28+d_Irr!AH28)),IF(AND(d_Irr!I28&lt;&gt;".",d_Irr!AH28=".",d_Irr!BG28&lt;&gt;"."),d_dir!J28/((1/1000)*(d_Irr!I28+d_Irr!BG28)),IF(AND(d_Irr!I28=".",d_Irr!AH28&lt;&gt;".",d_Irr!BG28&lt;&gt;"."),d_dir!J28/((1/1000)*(d_Irr!AH28+d_Irr!BG28)),IF(AND(d_Irr!I28=".",d_Irr!AH28=".",d_Irr!BG28&lt;&gt;"."),d_dir!J28/((1/1000)*(d_Irr!BG28)),IF(AND(d_Irr!I28=".",d_Irr!AH28&lt;&gt;".",d_Irr!BG28="."),d_dir!J28/((1/1000)*(d_Irr!AH28)),IF(AND(d_Irr!I28&lt;&gt;".",d_Irr!AH28=".",d_Irr!BG28="."),d_dir!J28/((1/1000)*(d_Irr!I28)),IF(AND(d_Irr!I28=".",d_Irr!AH28=".",d_Irr!BG28="."),d_dir!J28*1000)))))))),".")</f>
        <v>.</v>
      </c>
      <c r="K28" s="70" t="str">
        <f>IFERROR(IF(AND(d_Irr!J28&lt;&gt;".",d_Irr!AI28&lt;&gt;".",d_Irr!BH28&lt;&gt;"."),d_dir!K28/((1/1000)*(d_Irr!J28+d_Irr!AI28+d_Irr!BH28)),IF(AND(d_Irr!J28&lt;&gt;".",d_Irr!AI28&lt;&gt;".",d_Irr!BH28="."),d_dir!K28/((1/1000)*(d_Irr!J28+d_Irr!AI28)),IF(AND(d_Irr!J28&lt;&gt;".",d_Irr!AI28=".",d_Irr!BH28&lt;&gt;"."),d_dir!K28/((1/1000)*(d_Irr!J28+d_Irr!BH28)),IF(AND(d_Irr!J28=".",d_Irr!AI28&lt;&gt;".",d_Irr!BH28&lt;&gt;"."),d_dir!K28/((1/1000)*(d_Irr!AI28+d_Irr!BH28)),IF(AND(d_Irr!J28=".",d_Irr!AI28=".",d_Irr!BH28&lt;&gt;"."),d_dir!K28/((1/1000)*(d_Irr!BH28)),IF(AND(d_Irr!J28=".",d_Irr!AI28&lt;&gt;".",d_Irr!BH28="."),d_dir!K28/((1/1000)*(d_Irr!AI28)),IF(AND(d_Irr!J28&lt;&gt;".",d_Irr!AI28=".",d_Irr!BH28="."),d_dir!K28/((1/1000)*(d_Irr!J28)),IF(AND(d_Irr!J28=".",d_Irr!AI28=".",d_Irr!BH28="."),d_dir!K28*1000)))))))),".")</f>
        <v>.</v>
      </c>
      <c r="L28" s="70" t="str">
        <f>IFERROR(IF(AND(d_Irr!K28&lt;&gt;".",d_Irr!AJ28&lt;&gt;".",d_Irr!BI28&lt;&gt;"."),d_dir!L28/((1/1000)*(d_Irr!K28+d_Irr!AJ28+d_Irr!BI28)),IF(AND(d_Irr!K28&lt;&gt;".",d_Irr!AJ28&lt;&gt;".",d_Irr!BI28="."),d_dir!L28/((1/1000)*(d_Irr!K28+d_Irr!AJ28)),IF(AND(d_Irr!K28&lt;&gt;".",d_Irr!AJ28=".",d_Irr!BI28&lt;&gt;"."),d_dir!L28/((1/1000)*(d_Irr!K28+d_Irr!BI28)),IF(AND(d_Irr!K28=".",d_Irr!AJ28&lt;&gt;".",d_Irr!BI28&lt;&gt;"."),d_dir!L28/((1/1000)*(d_Irr!AJ28+d_Irr!BI28)),IF(AND(d_Irr!K28=".",d_Irr!AJ28=".",d_Irr!BI28&lt;&gt;"."),d_dir!L28/((1/1000)*(d_Irr!BI28)),IF(AND(d_Irr!K28=".",d_Irr!AJ28&lt;&gt;".",d_Irr!BI28="."),d_dir!L28/((1/1000)*(d_Irr!AJ28)),IF(AND(d_Irr!K28&lt;&gt;".",d_Irr!AJ28=".",d_Irr!BI28="."),d_dir!L28/((1/1000)*(d_Irr!K28)),IF(AND(d_Irr!K28=".",d_Irr!AJ28=".",d_Irr!BI28="."),d_dir!L28*1000)))))))),".")</f>
        <v>.</v>
      </c>
      <c r="M28" s="70" t="str">
        <f>IFERROR(IF(AND(d_Irr!L28&lt;&gt;".",d_Irr!AK28&lt;&gt;".",d_Irr!BJ28&lt;&gt;"."),d_dir!M28/((1/1000)*(d_Irr!L28+d_Irr!AK28+d_Irr!BJ28)),IF(AND(d_Irr!L28&lt;&gt;".",d_Irr!AK28&lt;&gt;".",d_Irr!BJ28="."),d_dir!M28/((1/1000)*(d_Irr!L28+d_Irr!AK28)),IF(AND(d_Irr!L28&lt;&gt;".",d_Irr!AK28=".",d_Irr!BJ28&lt;&gt;"."),d_dir!M28/((1/1000)*(d_Irr!L28+d_Irr!BJ28)),IF(AND(d_Irr!L28=".",d_Irr!AK28&lt;&gt;".",d_Irr!BJ28&lt;&gt;"."),d_dir!M28/((1/1000)*(d_Irr!AK28+d_Irr!BJ28)),IF(AND(d_Irr!L28=".",d_Irr!AK28=".",d_Irr!BJ28&lt;&gt;"."),d_dir!M28/((1/1000)*(d_Irr!BJ28)),IF(AND(d_Irr!L28=".",d_Irr!AK28&lt;&gt;".",d_Irr!BJ28="."),d_dir!M28/((1/1000)*(d_Irr!AK28)),IF(AND(d_Irr!L28&lt;&gt;".",d_Irr!AK28=".",d_Irr!BJ28="."),d_dir!M28/((1/1000)*(d_Irr!L28)),IF(AND(d_Irr!L28=".",d_Irr!AK28=".",d_Irr!BJ28="."),d_dir!M28*1000)))))))),".")</f>
        <v>.</v>
      </c>
      <c r="N28" s="70" t="str">
        <f>IFERROR(IF(AND(d_Irr!M28&lt;&gt;".",d_Irr!AL28&lt;&gt;".",d_Irr!BK28&lt;&gt;"."),d_dir!N28/((1/1000)*(d_Irr!M28+d_Irr!AL28+d_Irr!BK28)),IF(AND(d_Irr!M28&lt;&gt;".",d_Irr!AL28&lt;&gt;".",d_Irr!BK28="."),d_dir!N28/((1/1000)*(d_Irr!M28+d_Irr!AL28)),IF(AND(d_Irr!M28&lt;&gt;".",d_Irr!AL28=".",d_Irr!BK28&lt;&gt;"."),d_dir!N28/((1/1000)*(d_Irr!M28+d_Irr!BK28)),IF(AND(d_Irr!M28=".",d_Irr!AL28&lt;&gt;".",d_Irr!BK28&lt;&gt;"."),d_dir!N28/((1/1000)*(d_Irr!AL28+d_Irr!BK28)),IF(AND(d_Irr!M28=".",d_Irr!AL28=".",d_Irr!BK28&lt;&gt;"."),d_dir!N28/((1/1000)*(d_Irr!BK28)),IF(AND(d_Irr!M28=".",d_Irr!AL28&lt;&gt;".",d_Irr!BK28="."),d_dir!N28/((1/1000)*(d_Irr!AL28)),IF(AND(d_Irr!M28&lt;&gt;".",d_Irr!AL28=".",d_Irr!BK28="."),d_dir!N28/((1/1000)*(d_Irr!M28)),IF(AND(d_Irr!M28=".",d_Irr!AL28=".",d_Irr!BK28="."),d_dir!N28*1000)))))))),".")</f>
        <v>.</v>
      </c>
      <c r="O28" s="70" t="str">
        <f>IFERROR(IF(AND(d_Irr!N28&lt;&gt;".",d_Irr!AM28&lt;&gt;".",d_Irr!BL28&lt;&gt;"."),d_dir!O28/((1/1000)*(d_Irr!N28+d_Irr!AM28+d_Irr!BL28)),IF(AND(d_Irr!N28&lt;&gt;".",d_Irr!AM28&lt;&gt;".",d_Irr!BL28="."),d_dir!O28/((1/1000)*(d_Irr!N28+d_Irr!AM28)),IF(AND(d_Irr!N28&lt;&gt;".",d_Irr!AM28=".",d_Irr!BL28&lt;&gt;"."),d_dir!O28/((1/1000)*(d_Irr!N28+d_Irr!BL28)),IF(AND(d_Irr!N28=".",d_Irr!AM28&lt;&gt;".",d_Irr!BL28&lt;&gt;"."),d_dir!O28/((1/1000)*(d_Irr!AM28+d_Irr!BL28)),IF(AND(d_Irr!N28=".",d_Irr!AM28=".",d_Irr!BL28&lt;&gt;"."),d_dir!O28/((1/1000)*(d_Irr!BL28)),IF(AND(d_Irr!N28=".",d_Irr!AM28&lt;&gt;".",d_Irr!BL28="."),d_dir!O28/((1/1000)*(d_Irr!AM28)),IF(AND(d_Irr!N28&lt;&gt;".",d_Irr!AM28=".",d_Irr!BL28="."),d_dir!O28/((1/1000)*(d_Irr!N28)),IF(AND(d_Irr!N28=".",d_Irr!AM28=".",d_Irr!BL28="."),d_dir!O28*1000)))))))),".")</f>
        <v>.</v>
      </c>
      <c r="P28" s="70" t="str">
        <f>IFERROR(IF(AND(d_Irr!O28&lt;&gt;".",d_Irr!AN28&lt;&gt;".",d_Irr!BM28&lt;&gt;"."),d_dir!P28/((1/1000)*(d_Irr!O28+d_Irr!AN28+d_Irr!BM28)),IF(AND(d_Irr!O28&lt;&gt;".",d_Irr!AN28&lt;&gt;".",d_Irr!BM28="."),d_dir!P28/((1/1000)*(d_Irr!O28+d_Irr!AN28)),IF(AND(d_Irr!O28&lt;&gt;".",d_Irr!AN28=".",d_Irr!BM28&lt;&gt;"."),d_dir!P28/((1/1000)*(d_Irr!O28+d_Irr!BM28)),IF(AND(d_Irr!O28=".",d_Irr!AN28&lt;&gt;".",d_Irr!BM28&lt;&gt;"."),d_dir!P28/((1/1000)*(d_Irr!AN28+d_Irr!BM28)),IF(AND(d_Irr!O28=".",d_Irr!AN28=".",d_Irr!BM28&lt;&gt;"."),d_dir!P28/((1/1000)*(d_Irr!BM28)),IF(AND(d_Irr!O28=".",d_Irr!AN28&lt;&gt;".",d_Irr!BM28="."),d_dir!P28/((1/1000)*(d_Irr!AN28)),IF(AND(d_Irr!O28&lt;&gt;".",d_Irr!AN28=".",d_Irr!BM28="."),d_dir!P28/((1/1000)*(d_Irr!O28)),IF(AND(d_Irr!O28=".",d_Irr!AN28=".",d_Irr!BM28="."),d_dir!P28*1000)))))))),".")</f>
        <v>.</v>
      </c>
      <c r="Q28" s="70" t="str">
        <f>IFERROR(IF(AND(d_Irr!P28&lt;&gt;".",d_Irr!AO28&lt;&gt;".",d_Irr!BN28&lt;&gt;"."),d_dir!Q28/((1/1000)*(d_Irr!P28+d_Irr!AO28+d_Irr!BN28)),IF(AND(d_Irr!P28&lt;&gt;".",d_Irr!AO28&lt;&gt;".",d_Irr!BN28="."),d_dir!Q28/((1/1000)*(d_Irr!P28+d_Irr!AO28)),IF(AND(d_Irr!P28&lt;&gt;".",d_Irr!AO28=".",d_Irr!BN28&lt;&gt;"."),d_dir!Q28/((1/1000)*(d_Irr!P28+d_Irr!BN28)),IF(AND(d_Irr!P28=".",d_Irr!AO28&lt;&gt;".",d_Irr!BN28&lt;&gt;"."),d_dir!Q28/((1/1000)*(d_Irr!AO28+d_Irr!BN28)),IF(AND(d_Irr!P28=".",d_Irr!AO28=".",d_Irr!BN28&lt;&gt;"."),d_dir!Q28/((1/1000)*(d_Irr!BN28)),IF(AND(d_Irr!P28=".",d_Irr!AO28&lt;&gt;".",d_Irr!BN28="."),d_dir!Q28/((1/1000)*(d_Irr!AO28)),IF(AND(d_Irr!P28&lt;&gt;".",d_Irr!AO28=".",d_Irr!BN28="."),d_dir!Q28/((1/1000)*(d_Irr!P28)),IF(AND(d_Irr!P28=".",d_Irr!AO28=".",d_Irr!BN28="."),d_dir!Q28*1000)))))))),".")</f>
        <v>.</v>
      </c>
      <c r="R28" s="70" t="str">
        <f>IFERROR(IF(AND(d_Irr!Q28&lt;&gt;".",d_Irr!AP28&lt;&gt;".",d_Irr!BO28&lt;&gt;"."),d_dir!R28/((1/1000)*(d_Irr!Q28+d_Irr!AP28+d_Irr!BO28)),IF(AND(d_Irr!Q28&lt;&gt;".",d_Irr!AP28&lt;&gt;".",d_Irr!BO28="."),d_dir!R28/((1/1000)*(d_Irr!Q28+d_Irr!AP28)),IF(AND(d_Irr!Q28&lt;&gt;".",d_Irr!AP28=".",d_Irr!BO28&lt;&gt;"."),d_dir!R28/((1/1000)*(d_Irr!Q28+d_Irr!BO28)),IF(AND(d_Irr!Q28=".",d_Irr!AP28&lt;&gt;".",d_Irr!BO28&lt;&gt;"."),d_dir!R28/((1/1000)*(d_Irr!AP28+d_Irr!BO28)),IF(AND(d_Irr!Q28=".",d_Irr!AP28=".",d_Irr!BO28&lt;&gt;"."),d_dir!R28/((1/1000)*(d_Irr!BO28)),IF(AND(d_Irr!Q28=".",d_Irr!AP28&lt;&gt;".",d_Irr!BO28="."),d_dir!R28/((1/1000)*(d_Irr!AP28)),IF(AND(d_Irr!Q28&lt;&gt;".",d_Irr!AP28=".",d_Irr!BO28="."),d_dir!R28/((1/1000)*(d_Irr!Q28)),IF(AND(d_Irr!Q28=".",d_Irr!AP28=".",d_Irr!BO28="."),d_dir!R28*1000)))))))),".")</f>
        <v>.</v>
      </c>
      <c r="S28" s="70" t="str">
        <f>IFERROR(IF(AND(d_Irr!R28&lt;&gt;".",d_Irr!AQ28&lt;&gt;".",d_Irr!BP28&lt;&gt;"."),d_dir!S28/((1/1000)*(d_Irr!R28+d_Irr!AQ28+d_Irr!BP28)),IF(AND(d_Irr!R28&lt;&gt;".",d_Irr!AQ28&lt;&gt;".",d_Irr!BP28="."),d_dir!S28/((1/1000)*(d_Irr!R28+d_Irr!AQ28)),IF(AND(d_Irr!R28&lt;&gt;".",d_Irr!AQ28=".",d_Irr!BP28&lt;&gt;"."),d_dir!S28/((1/1000)*(d_Irr!R28+d_Irr!BP28)),IF(AND(d_Irr!R28=".",d_Irr!AQ28&lt;&gt;".",d_Irr!BP28&lt;&gt;"."),d_dir!S28/((1/1000)*(d_Irr!AQ28+d_Irr!BP28)),IF(AND(d_Irr!R28=".",d_Irr!AQ28=".",d_Irr!BP28&lt;&gt;"."),d_dir!S28/((1/1000)*(d_Irr!BP28)),IF(AND(d_Irr!R28=".",d_Irr!AQ28&lt;&gt;".",d_Irr!BP28="."),d_dir!S28/((1/1000)*(d_Irr!AQ28)),IF(AND(d_Irr!R28&lt;&gt;".",d_Irr!AQ28=".",d_Irr!BP28="."),d_dir!S28/((1/1000)*(d_Irr!R28)),IF(AND(d_Irr!R28=".",d_Irr!AQ28=".",d_Irr!BP28="."),d_dir!S28*1000)))))))),".")</f>
        <v>.</v>
      </c>
      <c r="T28" s="70" t="str">
        <f>IFERROR(IF(AND(d_Irr!S28&lt;&gt;".",d_Irr!AR28&lt;&gt;".",d_Irr!BQ28&lt;&gt;"."),d_dir!T28/((1/1000)*(d_Irr!S28+d_Irr!AR28+d_Irr!BQ28)),IF(AND(d_Irr!S28&lt;&gt;".",d_Irr!AR28&lt;&gt;".",d_Irr!BQ28="."),d_dir!T28/((1/1000)*(d_Irr!S28+d_Irr!AR28)),IF(AND(d_Irr!S28&lt;&gt;".",d_Irr!AR28=".",d_Irr!BQ28&lt;&gt;"."),d_dir!T28/((1/1000)*(d_Irr!S28+d_Irr!BQ28)),IF(AND(d_Irr!S28=".",d_Irr!AR28&lt;&gt;".",d_Irr!BQ28&lt;&gt;"."),d_dir!T28/((1/1000)*(d_Irr!AR28+d_Irr!BQ28)),IF(AND(d_Irr!S28=".",d_Irr!AR28=".",d_Irr!BQ28&lt;&gt;"."),d_dir!T28/((1/1000)*(d_Irr!BQ28)),IF(AND(d_Irr!S28=".",d_Irr!AR28&lt;&gt;".",d_Irr!BQ28="."),d_dir!T28/((1/1000)*(d_Irr!AR28)),IF(AND(d_Irr!S28&lt;&gt;".",d_Irr!AR28=".",d_Irr!BQ28="."),d_dir!T28/((1/1000)*(d_Irr!S28)),IF(AND(d_Irr!S28=".",d_Irr!AR28=".",d_Irr!BQ28="."),d_dir!T28*1000)))))))),".")</f>
        <v>.</v>
      </c>
      <c r="U28" s="70" t="str">
        <f>IFERROR(IF(AND(d_Irr!T28&lt;&gt;".",d_Irr!AS28&lt;&gt;".",d_Irr!BR28&lt;&gt;"."),d_dir!U28/((1/1000)*(d_Irr!T28+d_Irr!AS28+d_Irr!BR28)),IF(AND(d_Irr!T28&lt;&gt;".",d_Irr!AS28&lt;&gt;".",d_Irr!BR28="."),d_dir!U28/((1/1000)*(d_Irr!T28+d_Irr!AS28)),IF(AND(d_Irr!T28&lt;&gt;".",d_Irr!AS28=".",d_Irr!BR28&lt;&gt;"."),d_dir!U28/((1/1000)*(d_Irr!T28+d_Irr!BR28)),IF(AND(d_Irr!T28=".",d_Irr!AS28&lt;&gt;".",d_Irr!BR28&lt;&gt;"."),d_dir!U28/((1/1000)*(d_Irr!AS28+d_Irr!BR28)),IF(AND(d_Irr!T28=".",d_Irr!AS28=".",d_Irr!BR28&lt;&gt;"."),d_dir!U28/((1/1000)*(d_Irr!BR28)),IF(AND(d_Irr!T28=".",d_Irr!AS28&lt;&gt;".",d_Irr!BR28="."),d_dir!U28/((1/1000)*(d_Irr!AS28)),IF(AND(d_Irr!T28&lt;&gt;".",d_Irr!AS28=".",d_Irr!BR28="."),d_dir!U28/((1/1000)*(d_Irr!T28)),IF(AND(d_Irr!T28=".",d_Irr!AS28=".",d_Irr!BR28="."),d_dir!U28*1000)))))))),".")</f>
        <v>.</v>
      </c>
      <c r="V28" s="70" t="str">
        <f>IFERROR(IF(AND(d_Irr!U28&lt;&gt;".",d_Irr!AT28&lt;&gt;".",d_Irr!BS28&lt;&gt;"."),d_dir!V28/((1/1000)*(d_Irr!U28+d_Irr!AT28+d_Irr!BS28)),IF(AND(d_Irr!U28&lt;&gt;".",d_Irr!AT28&lt;&gt;".",d_Irr!BS28="."),d_dir!V28/((1/1000)*(d_Irr!U28+d_Irr!AT28)),IF(AND(d_Irr!U28&lt;&gt;".",d_Irr!AT28=".",d_Irr!BS28&lt;&gt;"."),d_dir!V28/((1/1000)*(d_Irr!U28+d_Irr!BS28)),IF(AND(d_Irr!U28=".",d_Irr!AT28&lt;&gt;".",d_Irr!BS28&lt;&gt;"."),d_dir!V28/((1/1000)*(d_Irr!AT28+d_Irr!BS28)),IF(AND(d_Irr!U28=".",d_Irr!AT28=".",d_Irr!BS28&lt;&gt;"."),d_dir!V28/((1/1000)*(d_Irr!BS28)),IF(AND(d_Irr!U28=".",d_Irr!AT28&lt;&gt;".",d_Irr!BS28="."),d_dir!V28/((1/1000)*(d_Irr!AT28)),IF(AND(d_Irr!U28&lt;&gt;".",d_Irr!AT28=".",d_Irr!BS28="."),d_dir!V28/((1/1000)*(d_Irr!U28)),IF(AND(d_Irr!U28=".",d_Irr!AT28=".",d_Irr!BS28="."),d_dir!V28*1000)))))))),".")</f>
        <v>.</v>
      </c>
      <c r="W28" s="70" t="str">
        <f>IFERROR(IF(AND(d_Irr!V28&lt;&gt;".",d_Irr!AU28&lt;&gt;".",d_Irr!BT28&lt;&gt;"."),d_dir!W28/((1/1000)*(d_Irr!V28+d_Irr!AU28+d_Irr!BT28)),IF(AND(d_Irr!V28&lt;&gt;".",d_Irr!AU28&lt;&gt;".",d_Irr!BT28="."),d_dir!W28/((1/1000)*(d_Irr!V28+d_Irr!AU28)),IF(AND(d_Irr!V28&lt;&gt;".",d_Irr!AU28=".",d_Irr!BT28&lt;&gt;"."),d_dir!W28/((1/1000)*(d_Irr!V28+d_Irr!BT28)),IF(AND(d_Irr!V28=".",d_Irr!AU28&lt;&gt;".",d_Irr!BT28&lt;&gt;"."),d_dir!W28/((1/1000)*(d_Irr!AU28+d_Irr!BT28)),IF(AND(d_Irr!V28=".",d_Irr!AU28=".",d_Irr!BT28&lt;&gt;"."),d_dir!W28/((1/1000)*(d_Irr!BT28)),IF(AND(d_Irr!V28=".",d_Irr!AU28&lt;&gt;".",d_Irr!BT28="."),d_dir!W28/((1/1000)*(d_Irr!AU28)),IF(AND(d_Irr!V28&lt;&gt;".",d_Irr!AU28=".",d_Irr!BT28="."),d_dir!W28/((1/1000)*(d_Irr!V28)),IF(AND(d_Irr!V28=".",d_Irr!AU28=".",d_Irr!BT28="."),d_dir!W28*1000)))))))),".")</f>
        <v>.</v>
      </c>
      <c r="X28" s="70" t="str">
        <f>IFERROR(IF(AND(d_Irr!W28&lt;&gt;".",d_Irr!AV28&lt;&gt;".",d_Irr!BU28&lt;&gt;"."),d_dir!X28/((1/1000)*(d_Irr!W28+d_Irr!AV28+d_Irr!BU28)),IF(AND(d_Irr!W28&lt;&gt;".",d_Irr!AV28&lt;&gt;".",d_Irr!BU28="."),d_dir!X28/((1/1000)*(d_Irr!W28+d_Irr!AV28)),IF(AND(d_Irr!W28&lt;&gt;".",d_Irr!AV28=".",d_Irr!BU28&lt;&gt;"."),d_dir!X28/((1/1000)*(d_Irr!W28+d_Irr!BU28)),IF(AND(d_Irr!W28=".",d_Irr!AV28&lt;&gt;".",d_Irr!BU28&lt;&gt;"."),d_dir!X28/((1/1000)*(d_Irr!AV28+d_Irr!BU28)),IF(AND(d_Irr!W28=".",d_Irr!AV28=".",d_Irr!BU28&lt;&gt;"."),d_dir!X28/((1/1000)*(d_Irr!BU28)),IF(AND(d_Irr!W28=".",d_Irr!AV28&lt;&gt;".",d_Irr!BU28="."),d_dir!X28/((1/1000)*(d_Irr!AV28)),IF(AND(d_Irr!W28&lt;&gt;".",d_Irr!AV28=".",d_Irr!BU28="."),d_dir!X28/((1/1000)*(d_Irr!W28)),IF(AND(d_Irr!W28=".",d_Irr!AV28=".",d_Irr!BU28="."),d_dir!X28*1000)))))))),".")</f>
        <v>.</v>
      </c>
      <c r="Y28" s="70" t="str">
        <f>IFERROR(IF(AND(d_Irr!X28&lt;&gt;".",d_Irr!AW28&lt;&gt;".",d_Irr!BV28&lt;&gt;"."),d_dir!Y28/((1/1000)*(d_Irr!X28+d_Irr!AW28+d_Irr!BV28)),IF(AND(d_Irr!X28&lt;&gt;".",d_Irr!AW28&lt;&gt;".",d_Irr!BV28="."),d_dir!Y28/((1/1000)*(d_Irr!X28+d_Irr!AW28)),IF(AND(d_Irr!X28&lt;&gt;".",d_Irr!AW28=".",d_Irr!BV28&lt;&gt;"."),d_dir!Y28/((1/1000)*(d_Irr!X28+d_Irr!BV28)),IF(AND(d_Irr!X28=".",d_Irr!AW28&lt;&gt;".",d_Irr!BV28&lt;&gt;"."),d_dir!Y28/((1/1000)*(d_Irr!AW28+d_Irr!BV28)),IF(AND(d_Irr!X28=".",d_Irr!AW28=".",d_Irr!BV28&lt;&gt;"."),d_dir!Y28/((1/1000)*(d_Irr!BV28)),IF(AND(d_Irr!X28=".",d_Irr!AW28&lt;&gt;".",d_Irr!BV28="."),d_dir!Y28/((1/1000)*(d_Irr!AW28)),IF(AND(d_Irr!X28&lt;&gt;".",d_Irr!AW28=".",d_Irr!BV28="."),d_dir!Y28/((1/1000)*(d_Irr!X28)),IF(AND(d_Irr!X28=".",d_Irr!AW28=".",d_Irr!BV28="."),d_dir!Y28*1000)))))))),".")</f>
        <v>.</v>
      </c>
      <c r="Z28" s="70" t="str">
        <f>IFERROR(IF(AND(d_Irr!Y28&lt;&gt;".",d_Irr!AX28&lt;&gt;".",d_Irr!BW28&lt;&gt;"."),d_dir!Z28/((1/1000)*(d_Irr!Y28+d_Irr!AX28+d_Irr!BW28)),IF(AND(d_Irr!Y28&lt;&gt;".",d_Irr!AX28&lt;&gt;".",d_Irr!BW28="."),d_dir!Z28/((1/1000)*(d_Irr!Y28+d_Irr!AX28)),IF(AND(d_Irr!Y28&lt;&gt;".",d_Irr!AX28=".",d_Irr!BW28&lt;&gt;"."),d_dir!Z28/((1/1000)*(d_Irr!Y28+d_Irr!BW28)),IF(AND(d_Irr!Y28=".",d_Irr!AX28&lt;&gt;".",d_Irr!BW28&lt;&gt;"."),d_dir!Z28/((1/1000)*(d_Irr!AX28+d_Irr!BW28)),IF(AND(d_Irr!Y28=".",d_Irr!AX28=".",d_Irr!BW28&lt;&gt;"."),d_dir!Z28/((1/1000)*(d_Irr!BW28)),IF(AND(d_Irr!Y28=".",d_Irr!AX28&lt;&gt;".",d_Irr!BW28="."),d_dir!Z28/((1/1000)*(d_Irr!AX28)),IF(AND(d_Irr!Y28&lt;&gt;".",d_Irr!AX28=".",d_Irr!BW28="."),d_dir!Z28/((1/1000)*(d_Irr!Y28)),IF(AND(d_Irr!Y28=".",d_Irr!AX28=".",d_Irr!BW28="."),d_dir!Z28*1000)))))))),".")</f>
        <v>.</v>
      </c>
      <c r="AA28" s="70" t="str">
        <f>IFERROR(IF(AND(d_Irr!Z28&lt;&gt;".",d_Irr!AY28&lt;&gt;".",d_Irr!BX28&lt;&gt;"."),d_dir!AA28/((1/1000)*(d_Irr!Z28+d_Irr!AY28+d_Irr!BX28)),IF(AND(d_Irr!Z28&lt;&gt;".",d_Irr!AY28&lt;&gt;".",d_Irr!BX28="."),d_dir!AA28/((1/1000)*(d_Irr!Z28+d_Irr!AY28)),IF(AND(d_Irr!Z28&lt;&gt;".",d_Irr!AY28=".",d_Irr!BX28&lt;&gt;"."),d_dir!AA28/((1/1000)*(d_Irr!Z28+d_Irr!BX28)),IF(AND(d_Irr!Z28=".",d_Irr!AY28&lt;&gt;".",d_Irr!BX28&lt;&gt;"."),d_dir!AA28/((1/1000)*(d_Irr!AY28+d_Irr!BX28)),IF(AND(d_Irr!Z28=".",d_Irr!AY28=".",d_Irr!BX28&lt;&gt;"."),d_dir!AA28/((1/1000)*(d_Irr!BX28)),IF(AND(d_Irr!Z28=".",d_Irr!AY28&lt;&gt;".",d_Irr!BX28="."),d_dir!AA28/((1/1000)*(d_Irr!AY28)),IF(AND(d_Irr!Z28&lt;&gt;".",d_Irr!AY28=".",d_Irr!BX28="."),d_dir!AA28/((1/1000)*(d_Irr!Z28)),IF(AND(d_Irr!Z28=".",d_Irr!AY28=".",d_Irr!BX28="."),d_dir!AA28*1000)))))))),".")</f>
        <v>.</v>
      </c>
      <c r="AB28" s="70" t="str">
        <f>IFERROR(IF(AND(d_Irr!AA28&lt;&gt;".",d_Irr!AZ28&lt;&gt;".",d_Irr!BY28&lt;&gt;"."),d_dir!AB28/((1/1000)*(d_Irr!AA28+d_Irr!AZ28+d_Irr!BY28)),IF(AND(d_Irr!AA28&lt;&gt;".",d_Irr!AZ28&lt;&gt;".",d_Irr!BY28="."),d_dir!AB28/((1/1000)*(d_Irr!AA28+d_Irr!AZ28)),IF(AND(d_Irr!AA28&lt;&gt;".",d_Irr!AZ28=".",d_Irr!BY28&lt;&gt;"."),d_dir!AB28/((1/1000)*(d_Irr!AA28+d_Irr!BY28)),IF(AND(d_Irr!AA28=".",d_Irr!AZ28&lt;&gt;".",d_Irr!BY28&lt;&gt;"."),d_dir!AB28/((1/1000)*(d_Irr!AZ28+d_Irr!BY28)),IF(AND(d_Irr!AA28=".",d_Irr!AZ28=".",d_Irr!BY28&lt;&gt;"."),d_dir!AB28/((1/1000)*(d_Irr!BY28)),IF(AND(d_Irr!AA28=".",d_Irr!AZ28&lt;&gt;".",d_Irr!BY28="."),d_dir!AB28/((1/1000)*(d_Irr!AZ28)),IF(AND(d_Irr!AA28&lt;&gt;".",d_Irr!AZ28=".",d_Irr!BY28="."),d_dir!AB28/((1/1000)*(d_Irr!AA28)),IF(AND(d_Irr!AA28=".",d_Irr!AZ28=".",d_Irr!BY28="."),d_dir!AB28*1000)))))))),".")</f>
        <v>.</v>
      </c>
      <c r="AC28" s="70" t="str">
        <f t="shared" si="0"/>
        <v>.</v>
      </c>
      <c r="AD28" s="70" t="str">
        <f>IFERROR(IF(AND(d_Irr!C28&lt;&gt;".",d_Irr!AB28&lt;&gt;".",d_Irr!BA28&lt;&gt;"."),d_dir!AD28/((1/1000)*(d_Irr!C28+d_Irr!AB28+d_Irr!BA28)),IF(AND(d_Irr!C28&lt;&gt;".",d_Irr!AB28&lt;&gt;".",d_Irr!BA28="."),d_dir!AD28/((1/1000)*(d_Irr!C28+d_Irr!AB28)),IF(AND(d_Irr!C28&lt;&gt;".",d_Irr!AB28=".",d_Irr!BA28&lt;&gt;"."),d_dir!AD28/((1/1000)*(d_Irr!C28+d_Irr!BA28)),IF(AND(d_Irr!C28=".",d_Irr!AB28&lt;&gt;".",d_Irr!BA28&lt;&gt;"."),d_dir!AD28/((1/1000)*(d_Irr!AB28+d_Irr!BA28)),IF(AND(d_Irr!C28=".",d_Irr!AB28=".",d_Irr!BA28&lt;&gt;"."),d_dir!AD28/((1/1000)*(d_Irr!BA28)),IF(AND(d_Irr!C28=".",d_Irr!AB28&lt;&gt;".",d_Irr!BA28="."),d_dir!AD28/((1/1000)*(d_Irr!AB28)),IF(AND(d_Irr!C28&lt;&gt;".",d_Irr!AB28=".",d_Irr!BA28="."),d_dir!AD28/((1/1000)*(d_Irr!C28)),IF(AND(d_Irr!C28=".",d_Irr!AB28=".",d_Irr!BA28="."),d_dir!AD28*1000)))))))),".")</f>
        <v>.</v>
      </c>
      <c r="AE28" s="70" t="str">
        <f>IFERROR(IF(AND(d_Irr!D28&lt;&gt;".",d_Irr!AC28&lt;&gt;".",d_Irr!BB28&lt;&gt;"."),d_dir!AE28/((1/1000)*(d_Irr!D28+d_Irr!AC28+d_Irr!BB28)),IF(AND(d_Irr!D28&lt;&gt;".",d_Irr!AC28&lt;&gt;".",d_Irr!BB28="."),d_dir!AE28/((1/1000)*(d_Irr!D28+d_Irr!AC28)),IF(AND(d_Irr!D28&lt;&gt;".",d_Irr!AC28=".",d_Irr!BB28&lt;&gt;"."),d_dir!AE28/((1/1000)*(d_Irr!D28+d_Irr!BB28)),IF(AND(d_Irr!D28=".",d_Irr!AC28&lt;&gt;".",d_Irr!BB28&lt;&gt;"."),d_dir!AE28/((1/1000)*(d_Irr!AC28+d_Irr!BB28)),IF(AND(d_Irr!D28=".",d_Irr!AC28=".",d_Irr!BB28&lt;&gt;"."),d_dir!AE28/((1/1000)*(d_Irr!BB28)),IF(AND(d_Irr!D28=".",d_Irr!AC28&lt;&gt;".",d_Irr!BB28="."),d_dir!AE28/((1/1000)*(d_Irr!AC28)),IF(AND(d_Irr!D28&lt;&gt;".",d_Irr!AC28=".",d_Irr!BB28="."),d_dir!AE28/((1/1000)*(d_Irr!D28)),IF(AND(d_Irr!D28=".",d_Irr!AC28=".",d_Irr!BB28="."),d_dir!AE28*1000)))))))),".")</f>
        <v>.</v>
      </c>
      <c r="AF28" s="70" t="str">
        <f>IFERROR(IF(AND(d_Irr!E28&lt;&gt;".",d_Irr!AD28&lt;&gt;".",d_Irr!BC28&lt;&gt;"."),d_dir!AF28/((1/1000)*(d_Irr!E28+d_Irr!AD28+d_Irr!BC28)),IF(AND(d_Irr!E28&lt;&gt;".",d_Irr!AD28&lt;&gt;".",d_Irr!BC28="."),d_dir!AF28/((1/1000)*(d_Irr!E28+d_Irr!AD28)),IF(AND(d_Irr!E28&lt;&gt;".",d_Irr!AD28=".",d_Irr!BC28&lt;&gt;"."),d_dir!AF28/((1/1000)*(d_Irr!E28+d_Irr!BC28)),IF(AND(d_Irr!E28=".",d_Irr!AD28&lt;&gt;".",d_Irr!BC28&lt;&gt;"."),d_dir!AF28/((1/1000)*(d_Irr!AD28+d_Irr!BC28)),IF(AND(d_Irr!E28=".",d_Irr!AD28=".",d_Irr!BC28&lt;&gt;"."),d_dir!AF28/((1/1000)*(d_Irr!BC28)),IF(AND(d_Irr!E28=".",d_Irr!AD28&lt;&gt;".",d_Irr!BC28="."),d_dir!AF28/((1/1000)*(d_Irr!AD28)),IF(AND(d_Irr!E28&lt;&gt;".",d_Irr!AD28=".",d_Irr!BC28="."),d_dir!AF28/((1/1000)*(d_Irr!E28)),IF(AND(d_Irr!E28=".",d_Irr!AD28=".",d_Irr!BC28="."),d_dir!AF28*1000)))))))),".")</f>
        <v>.</v>
      </c>
      <c r="AG28" s="70" t="str">
        <f>IFERROR(IF(AND(d_Irr!F28&lt;&gt;".",d_Irr!AE28&lt;&gt;".",d_Irr!BD28&lt;&gt;"."),d_dir!AG28/((1/1000)*(d_Irr!F28+d_Irr!AE28+d_Irr!BD28)),IF(AND(d_Irr!F28&lt;&gt;".",d_Irr!AE28&lt;&gt;".",d_Irr!BD28="."),d_dir!AG28/((1/1000)*(d_Irr!F28+d_Irr!AE28)),IF(AND(d_Irr!F28&lt;&gt;".",d_Irr!AE28=".",d_Irr!BD28&lt;&gt;"."),d_dir!AG28/((1/1000)*(d_Irr!F28+d_Irr!BD28)),IF(AND(d_Irr!F28=".",d_Irr!AE28&lt;&gt;".",d_Irr!BD28&lt;&gt;"."),d_dir!AG28/((1/1000)*(d_Irr!AE28+d_Irr!BD28)),IF(AND(d_Irr!F28=".",d_Irr!AE28=".",d_Irr!BD28&lt;&gt;"."),d_dir!AG28/((1/1000)*(d_Irr!BD28)),IF(AND(d_Irr!F28=".",d_Irr!AE28&lt;&gt;".",d_Irr!BD28="."),d_dir!AG28/((1/1000)*(d_Irr!AE28)),IF(AND(d_Irr!F28&lt;&gt;".",d_Irr!AE28=".",d_Irr!BD28="."),d_dir!AG28/((1/1000)*(d_Irr!F28)),IF(AND(d_Irr!F28=".",d_Irr!AE28=".",d_Irr!BD28="."),d_dir!AG28*1000)))))))),".")</f>
        <v>.</v>
      </c>
      <c r="AH28" s="70" t="str">
        <f>IFERROR(IF(AND(d_Irr!G28&lt;&gt;".",d_Irr!AF28&lt;&gt;".",d_Irr!BE28&lt;&gt;"."),d_dir!AH28/((1/1000)*(d_Irr!G28+d_Irr!AF28+d_Irr!BE28)),IF(AND(d_Irr!G28&lt;&gt;".",d_Irr!AF28&lt;&gt;".",d_Irr!BE28="."),d_dir!AH28/((1/1000)*(d_Irr!G28+d_Irr!AF28)),IF(AND(d_Irr!G28&lt;&gt;".",d_Irr!AF28=".",d_Irr!BE28&lt;&gt;"."),d_dir!AH28/((1/1000)*(d_Irr!G28+d_Irr!BE28)),IF(AND(d_Irr!G28=".",d_Irr!AF28&lt;&gt;".",d_Irr!BE28&lt;&gt;"."),d_dir!AH28/((1/1000)*(d_Irr!AF28+d_Irr!BE28)),IF(AND(d_Irr!G28=".",d_Irr!AF28=".",d_Irr!BE28&lt;&gt;"."),d_dir!AH28/((1/1000)*(d_Irr!BE28)),IF(AND(d_Irr!G28=".",d_Irr!AF28&lt;&gt;".",d_Irr!BE28="."),d_dir!AH28/((1/1000)*(d_Irr!AF28)),IF(AND(d_Irr!G28&lt;&gt;".",d_Irr!AF28=".",d_Irr!BE28="."),d_dir!AH28/((1/1000)*(d_Irr!G28)),IF(AND(d_Irr!G28=".",d_Irr!AF28=".",d_Irr!BE28="."),d_dir!AH28*1000)))))))),".")</f>
        <v>.</v>
      </c>
      <c r="AI28" s="70" t="str">
        <f>IFERROR(IF(AND(d_Irr!H28&lt;&gt;".",d_Irr!AG28&lt;&gt;".",d_Irr!BF28&lt;&gt;"."),d_dir!AI28/((1/1000)*(d_Irr!H28+d_Irr!AG28+d_Irr!BF28)),IF(AND(d_Irr!H28&lt;&gt;".",d_Irr!AG28&lt;&gt;".",d_Irr!BF28="."),d_dir!AI28/((1/1000)*(d_Irr!H28+d_Irr!AG28)),IF(AND(d_Irr!H28&lt;&gt;".",d_Irr!AG28=".",d_Irr!BF28&lt;&gt;"."),d_dir!AI28/((1/1000)*(d_Irr!H28+d_Irr!BF28)),IF(AND(d_Irr!H28=".",d_Irr!AG28&lt;&gt;".",d_Irr!BF28&lt;&gt;"."),d_dir!AI28/((1/1000)*(d_Irr!AG28+d_Irr!BF28)),IF(AND(d_Irr!H28=".",d_Irr!AG28=".",d_Irr!BF28&lt;&gt;"."),d_dir!AI28/((1/1000)*(d_Irr!BF28)),IF(AND(d_Irr!H28=".",d_Irr!AG28&lt;&gt;".",d_Irr!BF28="."),d_dir!AI28/((1/1000)*(d_Irr!AG28)),IF(AND(d_Irr!H28&lt;&gt;".",d_Irr!AG28=".",d_Irr!BF28="."),d_dir!AI28/((1/1000)*(d_Irr!H28)),IF(AND(d_Irr!H28=".",d_Irr!AG28=".",d_Irr!BF28="."),d_dir!AI28*1000)))))))),".")</f>
        <v>.</v>
      </c>
      <c r="AJ28" s="70" t="str">
        <f>IFERROR(IF(AND(d_Irr!I28&lt;&gt;".",d_Irr!AH28&lt;&gt;".",d_Irr!BG28&lt;&gt;"."),d_dir!AJ28/((1/1000)*(d_Irr!I28+d_Irr!AH28+d_Irr!BG28)),IF(AND(d_Irr!I28&lt;&gt;".",d_Irr!AH28&lt;&gt;".",d_Irr!BG28="."),d_dir!AJ28/((1/1000)*(d_Irr!I28+d_Irr!AH28)),IF(AND(d_Irr!I28&lt;&gt;".",d_Irr!AH28=".",d_Irr!BG28&lt;&gt;"."),d_dir!AJ28/((1/1000)*(d_Irr!I28+d_Irr!BG28)),IF(AND(d_Irr!I28=".",d_Irr!AH28&lt;&gt;".",d_Irr!BG28&lt;&gt;"."),d_dir!AJ28/((1/1000)*(d_Irr!AH28+d_Irr!BG28)),IF(AND(d_Irr!I28=".",d_Irr!AH28=".",d_Irr!BG28&lt;&gt;"."),d_dir!AJ28/((1/1000)*(d_Irr!BG28)),IF(AND(d_Irr!I28=".",d_Irr!AH28&lt;&gt;".",d_Irr!BG28="."),d_dir!AJ28/((1/1000)*(d_Irr!AH28)),IF(AND(d_Irr!I28&lt;&gt;".",d_Irr!AH28=".",d_Irr!BG28="."),d_dir!AJ28/((1/1000)*(d_Irr!I28)),IF(AND(d_Irr!I28=".",d_Irr!AH28=".",d_Irr!BG28="."),d_dir!AJ28*1000)))))))),".")</f>
        <v>.</v>
      </c>
      <c r="AK28" s="70" t="str">
        <f>IFERROR(IF(AND(d_Irr!J28&lt;&gt;".",d_Irr!AI28&lt;&gt;".",d_Irr!BH28&lt;&gt;"."),d_dir!AK28/((1/1000)*(d_Irr!J28+d_Irr!AI28+d_Irr!BH28)),IF(AND(d_Irr!J28&lt;&gt;".",d_Irr!AI28&lt;&gt;".",d_Irr!BH28="."),d_dir!AK28/((1/1000)*(d_Irr!J28+d_Irr!AI28)),IF(AND(d_Irr!J28&lt;&gt;".",d_Irr!AI28=".",d_Irr!BH28&lt;&gt;"."),d_dir!AK28/((1/1000)*(d_Irr!J28+d_Irr!BH28)),IF(AND(d_Irr!J28=".",d_Irr!AI28&lt;&gt;".",d_Irr!BH28&lt;&gt;"."),d_dir!AK28/((1/1000)*(d_Irr!AI28+d_Irr!BH28)),IF(AND(d_Irr!J28=".",d_Irr!AI28=".",d_Irr!BH28&lt;&gt;"."),d_dir!AK28/((1/1000)*(d_Irr!BH28)),IF(AND(d_Irr!J28=".",d_Irr!AI28&lt;&gt;".",d_Irr!BH28="."),d_dir!AK28/((1/1000)*(d_Irr!AI28)),IF(AND(d_Irr!J28&lt;&gt;".",d_Irr!AI28=".",d_Irr!BH28="."),d_dir!AK28/((1/1000)*(d_Irr!J28)),IF(AND(d_Irr!J28=".",d_Irr!AI28=".",d_Irr!BH28="."),d_dir!AK28*1000)))))))),".")</f>
        <v>.</v>
      </c>
      <c r="AL28" s="70" t="str">
        <f>IFERROR(IF(AND(d_Irr!K28&lt;&gt;".",d_Irr!AJ28&lt;&gt;".",d_Irr!BI28&lt;&gt;"."),d_dir!AL28/((1/1000)*(d_Irr!K28+d_Irr!AJ28+d_Irr!BI28)),IF(AND(d_Irr!K28&lt;&gt;".",d_Irr!AJ28&lt;&gt;".",d_Irr!BI28="."),d_dir!AL28/((1/1000)*(d_Irr!K28+d_Irr!AJ28)),IF(AND(d_Irr!K28&lt;&gt;".",d_Irr!AJ28=".",d_Irr!BI28&lt;&gt;"."),d_dir!AL28/((1/1000)*(d_Irr!K28+d_Irr!BI28)),IF(AND(d_Irr!K28=".",d_Irr!AJ28&lt;&gt;".",d_Irr!BI28&lt;&gt;"."),d_dir!AL28/((1/1000)*(d_Irr!AJ28+d_Irr!BI28)),IF(AND(d_Irr!K28=".",d_Irr!AJ28=".",d_Irr!BI28&lt;&gt;"."),d_dir!AL28/((1/1000)*(d_Irr!BI28)),IF(AND(d_Irr!K28=".",d_Irr!AJ28&lt;&gt;".",d_Irr!BI28="."),d_dir!AL28/((1/1000)*(d_Irr!AJ28)),IF(AND(d_Irr!K28&lt;&gt;".",d_Irr!AJ28=".",d_Irr!BI28="."),d_dir!AL28/((1/1000)*(d_Irr!K28)),IF(AND(d_Irr!K28=".",d_Irr!AJ28=".",d_Irr!BI28="."),d_dir!AL28*1000)))))))),".")</f>
        <v>.</v>
      </c>
      <c r="AM28" s="70" t="str">
        <f>IFERROR(IF(AND(d_Irr!L28&lt;&gt;".",d_Irr!AK28&lt;&gt;".",d_Irr!BJ28&lt;&gt;"."),d_dir!AM28/((1/1000)*(d_Irr!L28+d_Irr!AK28+d_Irr!BJ28)),IF(AND(d_Irr!L28&lt;&gt;".",d_Irr!AK28&lt;&gt;".",d_Irr!BJ28="."),d_dir!AM28/((1/1000)*(d_Irr!L28+d_Irr!AK28)),IF(AND(d_Irr!L28&lt;&gt;".",d_Irr!AK28=".",d_Irr!BJ28&lt;&gt;"."),d_dir!AM28/((1/1000)*(d_Irr!L28+d_Irr!BJ28)),IF(AND(d_Irr!L28=".",d_Irr!AK28&lt;&gt;".",d_Irr!BJ28&lt;&gt;"."),d_dir!AM28/((1/1000)*(d_Irr!AK28+d_Irr!BJ28)),IF(AND(d_Irr!L28=".",d_Irr!AK28=".",d_Irr!BJ28&lt;&gt;"."),d_dir!AM28/((1/1000)*(d_Irr!BJ28)),IF(AND(d_Irr!L28=".",d_Irr!AK28&lt;&gt;".",d_Irr!BJ28="."),d_dir!AM28/((1/1000)*(d_Irr!AK28)),IF(AND(d_Irr!L28&lt;&gt;".",d_Irr!AK28=".",d_Irr!BJ28="."),d_dir!AM28/((1/1000)*(d_Irr!L28)),IF(AND(d_Irr!L28=".",d_Irr!AK28=".",d_Irr!BJ28="."),d_dir!AM28*1000)))))))),".")</f>
        <v>.</v>
      </c>
      <c r="AN28" s="70" t="str">
        <f>IFERROR(IF(AND(d_Irr!M28&lt;&gt;".",d_Irr!AL28&lt;&gt;".",d_Irr!BK28&lt;&gt;"."),d_dir!AN28/((1/1000)*(d_Irr!M28+d_Irr!AL28+d_Irr!BK28)),IF(AND(d_Irr!M28&lt;&gt;".",d_Irr!AL28&lt;&gt;".",d_Irr!BK28="."),d_dir!AN28/((1/1000)*(d_Irr!M28+d_Irr!AL28)),IF(AND(d_Irr!M28&lt;&gt;".",d_Irr!AL28=".",d_Irr!BK28&lt;&gt;"."),d_dir!AN28/((1/1000)*(d_Irr!M28+d_Irr!BK28)),IF(AND(d_Irr!M28=".",d_Irr!AL28&lt;&gt;".",d_Irr!BK28&lt;&gt;"."),d_dir!AN28/((1/1000)*(d_Irr!AL28+d_Irr!BK28)),IF(AND(d_Irr!M28=".",d_Irr!AL28=".",d_Irr!BK28&lt;&gt;"."),d_dir!AN28/((1/1000)*(d_Irr!BK28)),IF(AND(d_Irr!M28=".",d_Irr!AL28&lt;&gt;".",d_Irr!BK28="."),d_dir!AN28/((1/1000)*(d_Irr!AL28)),IF(AND(d_Irr!M28&lt;&gt;".",d_Irr!AL28=".",d_Irr!BK28="."),d_dir!AN28/((1/1000)*(d_Irr!M28)),IF(AND(d_Irr!M28=".",d_Irr!AL28=".",d_Irr!BK28="."),d_dir!AN28*1000)))))))),".")</f>
        <v>.</v>
      </c>
      <c r="AO28" s="70" t="str">
        <f>IFERROR(IF(AND(d_Irr!N28&lt;&gt;".",d_Irr!AM28&lt;&gt;".",d_Irr!BL28&lt;&gt;"."),d_dir!AO28/((1/1000)*(d_Irr!N28+d_Irr!AM28+d_Irr!BL28)),IF(AND(d_Irr!N28&lt;&gt;".",d_Irr!AM28&lt;&gt;".",d_Irr!BL28="."),d_dir!AO28/((1/1000)*(d_Irr!N28+d_Irr!AM28)),IF(AND(d_Irr!N28&lt;&gt;".",d_Irr!AM28=".",d_Irr!BL28&lt;&gt;"."),d_dir!AO28/((1/1000)*(d_Irr!N28+d_Irr!BL28)),IF(AND(d_Irr!N28=".",d_Irr!AM28&lt;&gt;".",d_Irr!BL28&lt;&gt;"."),d_dir!AO28/((1/1000)*(d_Irr!AM28+d_Irr!BL28)),IF(AND(d_Irr!N28=".",d_Irr!AM28=".",d_Irr!BL28&lt;&gt;"."),d_dir!AO28/((1/1000)*(d_Irr!BL28)),IF(AND(d_Irr!N28=".",d_Irr!AM28&lt;&gt;".",d_Irr!BL28="."),d_dir!AO28/((1/1000)*(d_Irr!AM28)),IF(AND(d_Irr!N28&lt;&gt;".",d_Irr!AM28=".",d_Irr!BL28="."),d_dir!AO28/((1/1000)*(d_Irr!N28)),IF(AND(d_Irr!N28=".",d_Irr!AM28=".",d_Irr!BL28="."),d_dir!AO28*1000)))))))),".")</f>
        <v>.</v>
      </c>
      <c r="AP28" s="70" t="str">
        <f>IFERROR(IF(AND(d_Irr!O28&lt;&gt;".",d_Irr!AN28&lt;&gt;".",d_Irr!BM28&lt;&gt;"."),d_dir!AP28/((1/1000)*(d_Irr!O28+d_Irr!AN28+d_Irr!BM28)),IF(AND(d_Irr!O28&lt;&gt;".",d_Irr!AN28&lt;&gt;".",d_Irr!BM28="."),d_dir!AP28/((1/1000)*(d_Irr!O28+d_Irr!AN28)),IF(AND(d_Irr!O28&lt;&gt;".",d_Irr!AN28=".",d_Irr!BM28&lt;&gt;"."),d_dir!AP28/((1/1000)*(d_Irr!O28+d_Irr!BM28)),IF(AND(d_Irr!O28=".",d_Irr!AN28&lt;&gt;".",d_Irr!BM28&lt;&gt;"."),d_dir!AP28/((1/1000)*(d_Irr!AN28+d_Irr!BM28)),IF(AND(d_Irr!O28=".",d_Irr!AN28=".",d_Irr!BM28&lt;&gt;"."),d_dir!AP28/((1/1000)*(d_Irr!BM28)),IF(AND(d_Irr!O28=".",d_Irr!AN28&lt;&gt;".",d_Irr!BM28="."),d_dir!AP28/((1/1000)*(d_Irr!AN28)),IF(AND(d_Irr!O28&lt;&gt;".",d_Irr!AN28=".",d_Irr!BM28="."),d_dir!AP28/((1/1000)*(d_Irr!O28)),IF(AND(d_Irr!O28=".",d_Irr!AN28=".",d_Irr!BM28="."),d_dir!AP28*1000)))))))),".")</f>
        <v>.</v>
      </c>
      <c r="AQ28" s="70" t="str">
        <f>IFERROR(IF(AND(d_Irr!P28&lt;&gt;".",d_Irr!AO28&lt;&gt;".",d_Irr!BN28&lt;&gt;"."),d_dir!AQ28/((1/1000)*(d_Irr!P28+d_Irr!AO28+d_Irr!BN28)),IF(AND(d_Irr!P28&lt;&gt;".",d_Irr!AO28&lt;&gt;".",d_Irr!BN28="."),d_dir!AQ28/((1/1000)*(d_Irr!P28+d_Irr!AO28)),IF(AND(d_Irr!P28&lt;&gt;".",d_Irr!AO28=".",d_Irr!BN28&lt;&gt;"."),d_dir!AQ28/((1/1000)*(d_Irr!P28+d_Irr!BN28)),IF(AND(d_Irr!P28=".",d_Irr!AO28&lt;&gt;".",d_Irr!BN28&lt;&gt;"."),d_dir!AQ28/((1/1000)*(d_Irr!AO28+d_Irr!BN28)),IF(AND(d_Irr!P28=".",d_Irr!AO28=".",d_Irr!BN28&lt;&gt;"."),d_dir!AQ28/((1/1000)*(d_Irr!BN28)),IF(AND(d_Irr!P28=".",d_Irr!AO28&lt;&gt;".",d_Irr!BN28="."),d_dir!AQ28/((1/1000)*(d_Irr!AO28)),IF(AND(d_Irr!P28&lt;&gt;".",d_Irr!AO28=".",d_Irr!BN28="."),d_dir!AQ28/((1/1000)*(d_Irr!P28)),IF(AND(d_Irr!P28=".",d_Irr!AO28=".",d_Irr!BN28="."),d_dir!AQ28*1000)))))))),".")</f>
        <v>.</v>
      </c>
      <c r="AR28" s="70" t="str">
        <f>IFERROR(IF(AND(d_Irr!Q28&lt;&gt;".",d_Irr!AP28&lt;&gt;".",d_Irr!BO28&lt;&gt;"."),d_dir!AR28/((1/1000)*(d_Irr!Q28+d_Irr!AP28+d_Irr!BO28)),IF(AND(d_Irr!Q28&lt;&gt;".",d_Irr!AP28&lt;&gt;".",d_Irr!BO28="."),d_dir!AR28/((1/1000)*(d_Irr!Q28+d_Irr!AP28)),IF(AND(d_Irr!Q28&lt;&gt;".",d_Irr!AP28=".",d_Irr!BO28&lt;&gt;"."),d_dir!AR28/((1/1000)*(d_Irr!Q28+d_Irr!BO28)),IF(AND(d_Irr!Q28=".",d_Irr!AP28&lt;&gt;".",d_Irr!BO28&lt;&gt;"."),d_dir!AR28/((1/1000)*(d_Irr!AP28+d_Irr!BO28)),IF(AND(d_Irr!Q28=".",d_Irr!AP28=".",d_Irr!BO28&lt;&gt;"."),d_dir!AR28/((1/1000)*(d_Irr!BO28)),IF(AND(d_Irr!Q28=".",d_Irr!AP28&lt;&gt;".",d_Irr!BO28="."),d_dir!AR28/((1/1000)*(d_Irr!AP28)),IF(AND(d_Irr!Q28&lt;&gt;".",d_Irr!AP28=".",d_Irr!BO28="."),d_dir!AR28/((1/1000)*(d_Irr!Q28)),IF(AND(d_Irr!Q28=".",d_Irr!AP28=".",d_Irr!BO28="."),d_dir!AR28*1000)))))))),".")</f>
        <v>.</v>
      </c>
      <c r="AS28" s="70" t="str">
        <f>IFERROR(IF(AND(d_Irr!R28&lt;&gt;".",d_Irr!AQ28&lt;&gt;".",d_Irr!BP28&lt;&gt;"."),d_dir!AS28/((1/1000)*(d_Irr!R28+d_Irr!AQ28+d_Irr!BP28)),IF(AND(d_Irr!R28&lt;&gt;".",d_Irr!AQ28&lt;&gt;".",d_Irr!BP28="."),d_dir!AS28/((1/1000)*(d_Irr!R28+d_Irr!AQ28)),IF(AND(d_Irr!R28&lt;&gt;".",d_Irr!AQ28=".",d_Irr!BP28&lt;&gt;"."),d_dir!AS28/((1/1000)*(d_Irr!R28+d_Irr!BP28)),IF(AND(d_Irr!R28=".",d_Irr!AQ28&lt;&gt;".",d_Irr!BP28&lt;&gt;"."),d_dir!AS28/((1/1000)*(d_Irr!AQ28+d_Irr!BP28)),IF(AND(d_Irr!R28=".",d_Irr!AQ28=".",d_Irr!BP28&lt;&gt;"."),d_dir!AS28/((1/1000)*(d_Irr!BP28)),IF(AND(d_Irr!R28=".",d_Irr!AQ28&lt;&gt;".",d_Irr!BP28="."),d_dir!AS28/((1/1000)*(d_Irr!AQ28)),IF(AND(d_Irr!R28&lt;&gt;".",d_Irr!AQ28=".",d_Irr!BP28="."),d_dir!AS28/((1/1000)*(d_Irr!R28)),IF(AND(d_Irr!R28=".",d_Irr!AQ28=".",d_Irr!BP28="."),d_dir!AS28*1000)))))))),".")</f>
        <v>.</v>
      </c>
      <c r="AT28" s="70" t="str">
        <f>IFERROR(IF(AND(d_Irr!S28&lt;&gt;".",d_Irr!AR28&lt;&gt;".",d_Irr!BQ28&lt;&gt;"."),d_dir!AT28/((1/1000)*(d_Irr!S28+d_Irr!AR28+d_Irr!BQ28)),IF(AND(d_Irr!S28&lt;&gt;".",d_Irr!AR28&lt;&gt;".",d_Irr!BQ28="."),d_dir!AT28/((1/1000)*(d_Irr!S28+d_Irr!AR28)),IF(AND(d_Irr!S28&lt;&gt;".",d_Irr!AR28=".",d_Irr!BQ28&lt;&gt;"."),d_dir!AT28/((1/1000)*(d_Irr!S28+d_Irr!BQ28)),IF(AND(d_Irr!S28=".",d_Irr!AR28&lt;&gt;".",d_Irr!BQ28&lt;&gt;"."),d_dir!AT28/((1/1000)*(d_Irr!AR28+d_Irr!BQ28)),IF(AND(d_Irr!S28=".",d_Irr!AR28=".",d_Irr!BQ28&lt;&gt;"."),d_dir!AT28/((1/1000)*(d_Irr!BQ28)),IF(AND(d_Irr!S28=".",d_Irr!AR28&lt;&gt;".",d_Irr!BQ28="."),d_dir!AT28/((1/1000)*(d_Irr!AR28)),IF(AND(d_Irr!S28&lt;&gt;".",d_Irr!AR28=".",d_Irr!BQ28="."),d_dir!AT28/((1/1000)*(d_Irr!S28)),IF(AND(d_Irr!S28=".",d_Irr!AR28=".",d_Irr!BQ28="."),d_dir!AT28*1000)))))))),".")</f>
        <v>.</v>
      </c>
      <c r="AU28" s="70" t="str">
        <f>IFERROR(IF(AND(d_Irr!T28&lt;&gt;".",d_Irr!AS28&lt;&gt;".",d_Irr!BR28&lt;&gt;"."),d_dir!AU28/((1/1000)*(d_Irr!T28+d_Irr!AS28+d_Irr!BR28)),IF(AND(d_Irr!T28&lt;&gt;".",d_Irr!AS28&lt;&gt;".",d_Irr!BR28="."),d_dir!AU28/((1/1000)*(d_Irr!T28+d_Irr!AS28)),IF(AND(d_Irr!T28&lt;&gt;".",d_Irr!AS28=".",d_Irr!BR28&lt;&gt;"."),d_dir!AU28/((1/1000)*(d_Irr!T28+d_Irr!BR28)),IF(AND(d_Irr!T28=".",d_Irr!AS28&lt;&gt;".",d_Irr!BR28&lt;&gt;"."),d_dir!AU28/((1/1000)*(d_Irr!AS28+d_Irr!BR28)),IF(AND(d_Irr!T28=".",d_Irr!AS28=".",d_Irr!BR28&lt;&gt;"."),d_dir!AU28/((1/1000)*(d_Irr!BR28)),IF(AND(d_Irr!T28=".",d_Irr!AS28&lt;&gt;".",d_Irr!BR28="."),d_dir!AU28/((1/1000)*(d_Irr!AS28)),IF(AND(d_Irr!T28&lt;&gt;".",d_Irr!AS28=".",d_Irr!BR28="."),d_dir!AU28/((1/1000)*(d_Irr!T28)),IF(AND(d_Irr!T28=".",d_Irr!AS28=".",d_Irr!BR28="."),d_dir!AU28*1000)))))))),".")</f>
        <v>.</v>
      </c>
      <c r="AV28" s="70" t="str">
        <f>IFERROR(IF(AND(d_Irr!U28&lt;&gt;".",d_Irr!AT28&lt;&gt;".",d_Irr!BS28&lt;&gt;"."),d_dir!AV28/((1/1000)*(d_Irr!U28+d_Irr!AT28+d_Irr!BS28)),IF(AND(d_Irr!U28&lt;&gt;".",d_Irr!AT28&lt;&gt;".",d_Irr!BS28="."),d_dir!AV28/((1/1000)*(d_Irr!U28+d_Irr!AT28)),IF(AND(d_Irr!U28&lt;&gt;".",d_Irr!AT28=".",d_Irr!BS28&lt;&gt;"."),d_dir!AV28/((1/1000)*(d_Irr!U28+d_Irr!BS28)),IF(AND(d_Irr!U28=".",d_Irr!AT28&lt;&gt;".",d_Irr!BS28&lt;&gt;"."),d_dir!AV28/((1/1000)*(d_Irr!AT28+d_Irr!BS28)),IF(AND(d_Irr!U28=".",d_Irr!AT28=".",d_Irr!BS28&lt;&gt;"."),d_dir!AV28/((1/1000)*(d_Irr!BS28)),IF(AND(d_Irr!U28=".",d_Irr!AT28&lt;&gt;".",d_Irr!BS28="."),d_dir!AV28/((1/1000)*(d_Irr!AT28)),IF(AND(d_Irr!U28&lt;&gt;".",d_Irr!AT28=".",d_Irr!BS28="."),d_dir!AV28/((1/1000)*(d_Irr!U28)),IF(AND(d_Irr!U28=".",d_Irr!AT28=".",d_Irr!BS28="."),d_dir!AV28*1000)))))))),".")</f>
        <v>.</v>
      </c>
      <c r="AW28" s="70" t="str">
        <f>IFERROR(IF(AND(d_Irr!V28&lt;&gt;".",d_Irr!AU28&lt;&gt;".",d_Irr!BT28&lt;&gt;"."),d_dir!AW28/((1/1000)*(d_Irr!V28+d_Irr!AU28+d_Irr!BT28)),IF(AND(d_Irr!V28&lt;&gt;".",d_Irr!AU28&lt;&gt;".",d_Irr!BT28="."),d_dir!AW28/((1/1000)*(d_Irr!V28+d_Irr!AU28)),IF(AND(d_Irr!V28&lt;&gt;".",d_Irr!AU28=".",d_Irr!BT28&lt;&gt;"."),d_dir!AW28/((1/1000)*(d_Irr!V28+d_Irr!BT28)),IF(AND(d_Irr!V28=".",d_Irr!AU28&lt;&gt;".",d_Irr!BT28&lt;&gt;"."),d_dir!AW28/((1/1000)*(d_Irr!AU28+d_Irr!BT28)),IF(AND(d_Irr!V28=".",d_Irr!AU28=".",d_Irr!BT28&lt;&gt;"."),d_dir!AW28/((1/1000)*(d_Irr!BT28)),IF(AND(d_Irr!V28=".",d_Irr!AU28&lt;&gt;".",d_Irr!BT28="."),d_dir!AW28/((1/1000)*(d_Irr!AU28)),IF(AND(d_Irr!V28&lt;&gt;".",d_Irr!AU28=".",d_Irr!BT28="."),d_dir!AW28/((1/1000)*(d_Irr!V28)),IF(AND(d_Irr!V28=".",d_Irr!AU28=".",d_Irr!BT28="."),d_dir!AW28*1000)))))))),".")</f>
        <v>.</v>
      </c>
      <c r="AX28" s="70" t="str">
        <f>IFERROR(IF(AND(d_Irr!W28&lt;&gt;".",d_Irr!AV28&lt;&gt;".",d_Irr!BU28&lt;&gt;"."),d_dir!AX28/((1/1000)*(d_Irr!W28+d_Irr!AV28+d_Irr!BU28)),IF(AND(d_Irr!W28&lt;&gt;".",d_Irr!AV28&lt;&gt;".",d_Irr!BU28="."),d_dir!AX28/((1/1000)*(d_Irr!W28+d_Irr!AV28)),IF(AND(d_Irr!W28&lt;&gt;".",d_Irr!AV28=".",d_Irr!BU28&lt;&gt;"."),d_dir!AX28/((1/1000)*(d_Irr!W28+d_Irr!BU28)),IF(AND(d_Irr!W28=".",d_Irr!AV28&lt;&gt;".",d_Irr!BU28&lt;&gt;"."),d_dir!AX28/((1/1000)*(d_Irr!AV28+d_Irr!BU28)),IF(AND(d_Irr!W28=".",d_Irr!AV28=".",d_Irr!BU28&lt;&gt;"."),d_dir!AX28/((1/1000)*(d_Irr!BU28)),IF(AND(d_Irr!W28=".",d_Irr!AV28&lt;&gt;".",d_Irr!BU28="."),d_dir!AX28/((1/1000)*(d_Irr!AV28)),IF(AND(d_Irr!W28&lt;&gt;".",d_Irr!AV28=".",d_Irr!BU28="."),d_dir!AX28/((1/1000)*(d_Irr!W28)),IF(AND(d_Irr!W28=".",d_Irr!AV28=".",d_Irr!BU28="."),d_dir!AX28*1000)))))))),".")</f>
        <v>.</v>
      </c>
      <c r="AY28" s="70" t="str">
        <f>IFERROR(IF(AND(d_Irr!X28&lt;&gt;".",d_Irr!AW28&lt;&gt;".",d_Irr!BV28&lt;&gt;"."),d_dir!AY28/((1/1000)*(d_Irr!X28+d_Irr!AW28+d_Irr!BV28)),IF(AND(d_Irr!X28&lt;&gt;".",d_Irr!AW28&lt;&gt;".",d_Irr!BV28="."),d_dir!AY28/((1/1000)*(d_Irr!X28+d_Irr!AW28)),IF(AND(d_Irr!X28&lt;&gt;".",d_Irr!AW28=".",d_Irr!BV28&lt;&gt;"."),d_dir!AY28/((1/1000)*(d_Irr!X28+d_Irr!BV28)),IF(AND(d_Irr!X28=".",d_Irr!AW28&lt;&gt;".",d_Irr!BV28&lt;&gt;"."),d_dir!AY28/((1/1000)*(d_Irr!AW28+d_Irr!BV28)),IF(AND(d_Irr!X28=".",d_Irr!AW28=".",d_Irr!BV28&lt;&gt;"."),d_dir!AY28/((1/1000)*(d_Irr!BV28)),IF(AND(d_Irr!X28=".",d_Irr!AW28&lt;&gt;".",d_Irr!BV28="."),d_dir!AY28/((1/1000)*(d_Irr!AW28)),IF(AND(d_Irr!X28&lt;&gt;".",d_Irr!AW28=".",d_Irr!BV28="."),d_dir!AY28/((1/1000)*(d_Irr!X28)),IF(AND(d_Irr!X28=".",d_Irr!AW28=".",d_Irr!BV28="."),d_dir!AY28*1000)))))))),".")</f>
        <v>.</v>
      </c>
      <c r="AZ28" s="70" t="str">
        <f>IFERROR(IF(AND(d_Irr!Y28&lt;&gt;".",d_Irr!AX28&lt;&gt;".",d_Irr!BW28&lt;&gt;"."),d_dir!AZ28/((1/1000)*(d_Irr!Y28+d_Irr!AX28+d_Irr!BW28)),IF(AND(d_Irr!Y28&lt;&gt;".",d_Irr!AX28&lt;&gt;".",d_Irr!BW28="."),d_dir!AZ28/((1/1000)*(d_Irr!Y28+d_Irr!AX28)),IF(AND(d_Irr!Y28&lt;&gt;".",d_Irr!AX28=".",d_Irr!BW28&lt;&gt;"."),d_dir!AZ28/((1/1000)*(d_Irr!Y28+d_Irr!BW28)),IF(AND(d_Irr!Y28=".",d_Irr!AX28&lt;&gt;".",d_Irr!BW28&lt;&gt;"."),d_dir!AZ28/((1/1000)*(d_Irr!AX28+d_Irr!BW28)),IF(AND(d_Irr!Y28=".",d_Irr!AX28=".",d_Irr!BW28&lt;&gt;"."),d_dir!AZ28/((1/1000)*(d_Irr!BW28)),IF(AND(d_Irr!Y28=".",d_Irr!AX28&lt;&gt;".",d_Irr!BW28="."),d_dir!AZ28/((1/1000)*(d_Irr!AX28)),IF(AND(d_Irr!Y28&lt;&gt;".",d_Irr!AX28=".",d_Irr!BW28="."),d_dir!AZ28/((1/1000)*(d_Irr!Y28)),IF(AND(d_Irr!Y28=".",d_Irr!AX28=".",d_Irr!BW28="."),d_dir!AZ28*1000)))))))),".")</f>
        <v>.</v>
      </c>
      <c r="BA28" s="70" t="str">
        <f>IFERROR(IF(AND(d_Irr!Z28&lt;&gt;".",d_Irr!AY28&lt;&gt;".",d_Irr!BX28&lt;&gt;"."),d_dir!BA28/((1/1000)*(d_Irr!Z28+d_Irr!AY28+d_Irr!BX28)),IF(AND(d_Irr!Z28&lt;&gt;".",d_Irr!AY28&lt;&gt;".",d_Irr!BX28="."),d_dir!BA28/((1/1000)*(d_Irr!Z28+d_Irr!AY28)),IF(AND(d_Irr!Z28&lt;&gt;".",d_Irr!AY28=".",d_Irr!BX28&lt;&gt;"."),d_dir!BA28/((1/1000)*(d_Irr!Z28+d_Irr!BX28)),IF(AND(d_Irr!Z28=".",d_Irr!AY28&lt;&gt;".",d_Irr!BX28&lt;&gt;"."),d_dir!BA28/((1/1000)*(d_Irr!AY28+d_Irr!BX28)),IF(AND(d_Irr!Z28=".",d_Irr!AY28=".",d_Irr!BX28&lt;&gt;"."),d_dir!BA28/((1/1000)*(d_Irr!BX28)),IF(AND(d_Irr!Z28=".",d_Irr!AY28&lt;&gt;".",d_Irr!BX28="."),d_dir!BA28/((1/1000)*(d_Irr!AY28)),IF(AND(d_Irr!Z28&lt;&gt;".",d_Irr!AY28=".",d_Irr!BX28="."),d_dir!BA28/((1/1000)*(d_Irr!Z28)),IF(AND(d_Irr!Z28=".",d_Irr!AY28=".",d_Irr!BX28="."),d_dir!BA28*1000)))))))),".")</f>
        <v>.</v>
      </c>
      <c r="BB28" s="70" t="str">
        <f>IFERROR(IF(AND(d_Irr!AA28&lt;&gt;".",d_Irr!AZ28&lt;&gt;".",d_Irr!BY28&lt;&gt;"."),d_dir!BB28/((1/1000)*(d_Irr!AA28+d_Irr!AZ28+d_Irr!BY28)),IF(AND(d_Irr!AA28&lt;&gt;".",d_Irr!AZ28&lt;&gt;".",d_Irr!BY28="."),d_dir!BB28/((1/1000)*(d_Irr!AA28+d_Irr!AZ28)),IF(AND(d_Irr!AA28&lt;&gt;".",d_Irr!AZ28=".",d_Irr!BY28&lt;&gt;"."),d_dir!BB28/((1/1000)*(d_Irr!AA28+d_Irr!BY28)),IF(AND(d_Irr!AA28=".",d_Irr!AZ28&lt;&gt;".",d_Irr!BY28&lt;&gt;"."),d_dir!BB28/((1/1000)*(d_Irr!AZ28+d_Irr!BY28)),IF(AND(d_Irr!AA28=".",d_Irr!AZ28=".",d_Irr!BY28&lt;&gt;"."),d_dir!BB28/((1/1000)*(d_Irr!BY28)),IF(AND(d_Irr!AA28=".",d_Irr!AZ28&lt;&gt;".",d_Irr!BY28="."),d_dir!BB28/((1/1000)*(d_Irr!AZ28)),IF(AND(d_Irr!AA28&lt;&gt;".",d_Irr!AZ28=".",d_Irr!BY28="."),d_dir!BB28/((1/1000)*(d_Irr!AA28)),IF(AND(d_Irr!AA28=".",d_Irr!AZ28=".",d_Irr!BY28="."),d_dir!BB28*1000)))))))),".")</f>
        <v>.</v>
      </c>
    </row>
    <row r="29" spans="1:54" ht="15" customHeight="1" x14ac:dyDescent="0.25">
      <c r="A29" s="86" t="s">
        <v>27</v>
      </c>
      <c r="B29" s="84" t="s">
        <v>1057</v>
      </c>
      <c r="C29" s="2" t="str">
        <f t="shared" si="1"/>
        <v>.</v>
      </c>
      <c r="D29" s="70" t="str">
        <f>IFERROR(IF(AND(d_Irr!C29&lt;&gt;".",d_Irr!AB29&lt;&gt;".",d_Irr!BA29&lt;&gt;"."),d_dir!D29/((1/1000)*(d_Irr!C29+d_Irr!AB29+d_Irr!BA29)),IF(AND(d_Irr!C29&lt;&gt;".",d_Irr!AB29&lt;&gt;".",d_Irr!BA29="."),d_dir!D29/((1/1000)*(d_Irr!C29+d_Irr!AB29)),IF(AND(d_Irr!C29&lt;&gt;".",d_Irr!AB29=".",d_Irr!BA29&lt;&gt;"."),d_dir!D29/((1/1000)*(d_Irr!C29+d_Irr!BA29)),IF(AND(d_Irr!C29=".",d_Irr!AB29&lt;&gt;".",d_Irr!BA29&lt;&gt;"."),d_dir!D29/((1/1000)*(d_Irr!AB29+d_Irr!BA29)),IF(AND(d_Irr!C29=".",d_Irr!AB29=".",d_Irr!BA29&lt;&gt;"."),d_dir!D29/((1/1000)*(d_Irr!BA29)),IF(AND(d_Irr!C29=".",d_Irr!AB29&lt;&gt;".",d_Irr!BA29="."),d_dir!D29/((1/1000)*(d_Irr!AB29)),IF(AND(d_Irr!C29&lt;&gt;".",d_Irr!AB29=".",d_Irr!BA29="."),d_dir!D29/((1/1000)*(d_Irr!C29)),IF(AND(d_Irr!C29=".",d_Irr!AB29=".",d_Irr!BA29="."),d_dir!D29*1000)))))))),".")</f>
        <v>.</v>
      </c>
      <c r="E29" s="70" t="str">
        <f>IFERROR(IF(AND(d_Irr!D29&lt;&gt;".",d_Irr!AC29&lt;&gt;".",d_Irr!BB29&lt;&gt;"."),d_dir!E29/((1/1000)*(d_Irr!D29+d_Irr!AC29+d_Irr!BB29)),IF(AND(d_Irr!D29&lt;&gt;".",d_Irr!AC29&lt;&gt;".",d_Irr!BB29="."),d_dir!E29/((1/1000)*(d_Irr!D29+d_Irr!AC29)),IF(AND(d_Irr!D29&lt;&gt;".",d_Irr!AC29=".",d_Irr!BB29&lt;&gt;"."),d_dir!E29/((1/1000)*(d_Irr!D29+d_Irr!BB29)),IF(AND(d_Irr!D29=".",d_Irr!AC29&lt;&gt;".",d_Irr!BB29&lt;&gt;"."),d_dir!E29/((1/1000)*(d_Irr!AC29+d_Irr!BB29)),IF(AND(d_Irr!D29=".",d_Irr!AC29=".",d_Irr!BB29&lt;&gt;"."),d_dir!E29/((1/1000)*(d_Irr!BB29)),IF(AND(d_Irr!D29=".",d_Irr!AC29&lt;&gt;".",d_Irr!BB29="."),d_dir!E29/((1/1000)*(d_Irr!AC29)),IF(AND(d_Irr!D29&lt;&gt;".",d_Irr!AC29=".",d_Irr!BB29="."),d_dir!E29/((1/1000)*(d_Irr!D29)),IF(AND(d_Irr!D29=".",d_Irr!AC29=".",d_Irr!BB29="."),d_dir!E29*1000)))))))),".")</f>
        <v>.</v>
      </c>
      <c r="F29" s="70" t="str">
        <f>IFERROR(IF(AND(d_Irr!E29&lt;&gt;".",d_Irr!AD29&lt;&gt;".",d_Irr!BC29&lt;&gt;"."),d_dir!F29/((1/1000)*(d_Irr!E29+d_Irr!AD29+d_Irr!BC29)),IF(AND(d_Irr!E29&lt;&gt;".",d_Irr!AD29&lt;&gt;".",d_Irr!BC29="."),d_dir!F29/((1/1000)*(d_Irr!E29+d_Irr!AD29)),IF(AND(d_Irr!E29&lt;&gt;".",d_Irr!AD29=".",d_Irr!BC29&lt;&gt;"."),d_dir!F29/((1/1000)*(d_Irr!E29+d_Irr!BC29)),IF(AND(d_Irr!E29=".",d_Irr!AD29&lt;&gt;".",d_Irr!BC29&lt;&gt;"."),d_dir!F29/((1/1000)*(d_Irr!AD29+d_Irr!BC29)),IF(AND(d_Irr!E29=".",d_Irr!AD29=".",d_Irr!BC29&lt;&gt;"."),d_dir!F29/((1/1000)*(d_Irr!BC29)),IF(AND(d_Irr!E29=".",d_Irr!AD29&lt;&gt;".",d_Irr!BC29="."),d_dir!F29/((1/1000)*(d_Irr!AD29)),IF(AND(d_Irr!E29&lt;&gt;".",d_Irr!AD29=".",d_Irr!BC29="."),d_dir!F29/((1/1000)*(d_Irr!E29)),IF(AND(d_Irr!E29=".",d_Irr!AD29=".",d_Irr!BC29="."),d_dir!F29*1000)))))))),".")</f>
        <v>.</v>
      </c>
      <c r="G29" s="70" t="str">
        <f>IFERROR(IF(AND(d_Irr!F29&lt;&gt;".",d_Irr!AE29&lt;&gt;".",d_Irr!BD29&lt;&gt;"."),d_dir!G29/((1/1000)*(d_Irr!F29+d_Irr!AE29+d_Irr!BD29)),IF(AND(d_Irr!F29&lt;&gt;".",d_Irr!AE29&lt;&gt;".",d_Irr!BD29="."),d_dir!G29/((1/1000)*(d_Irr!F29+d_Irr!AE29)),IF(AND(d_Irr!F29&lt;&gt;".",d_Irr!AE29=".",d_Irr!BD29&lt;&gt;"."),d_dir!G29/((1/1000)*(d_Irr!F29+d_Irr!BD29)),IF(AND(d_Irr!F29=".",d_Irr!AE29&lt;&gt;".",d_Irr!BD29&lt;&gt;"."),d_dir!G29/((1/1000)*(d_Irr!AE29+d_Irr!BD29)),IF(AND(d_Irr!F29=".",d_Irr!AE29=".",d_Irr!BD29&lt;&gt;"."),d_dir!G29/((1/1000)*(d_Irr!BD29)),IF(AND(d_Irr!F29=".",d_Irr!AE29&lt;&gt;".",d_Irr!BD29="."),d_dir!G29/((1/1000)*(d_Irr!AE29)),IF(AND(d_Irr!F29&lt;&gt;".",d_Irr!AE29=".",d_Irr!BD29="."),d_dir!G29/((1/1000)*(d_Irr!F29)),IF(AND(d_Irr!F29=".",d_Irr!AE29=".",d_Irr!BD29="."),d_dir!G29*1000)))))))),".")</f>
        <v>.</v>
      </c>
      <c r="H29" s="70" t="str">
        <f>IFERROR(IF(AND(d_Irr!G29&lt;&gt;".",d_Irr!AF29&lt;&gt;".",d_Irr!BE29&lt;&gt;"."),d_dir!H29/((1/1000)*(d_Irr!G29+d_Irr!AF29+d_Irr!BE29)),IF(AND(d_Irr!G29&lt;&gt;".",d_Irr!AF29&lt;&gt;".",d_Irr!BE29="."),d_dir!H29/((1/1000)*(d_Irr!G29+d_Irr!AF29)),IF(AND(d_Irr!G29&lt;&gt;".",d_Irr!AF29=".",d_Irr!BE29&lt;&gt;"."),d_dir!H29/((1/1000)*(d_Irr!G29+d_Irr!BE29)),IF(AND(d_Irr!G29=".",d_Irr!AF29&lt;&gt;".",d_Irr!BE29&lt;&gt;"."),d_dir!H29/((1/1000)*(d_Irr!AF29+d_Irr!BE29)),IF(AND(d_Irr!G29=".",d_Irr!AF29=".",d_Irr!BE29&lt;&gt;"."),d_dir!H29/((1/1000)*(d_Irr!BE29)),IF(AND(d_Irr!G29=".",d_Irr!AF29&lt;&gt;".",d_Irr!BE29="."),d_dir!H29/((1/1000)*(d_Irr!AF29)),IF(AND(d_Irr!G29&lt;&gt;".",d_Irr!AF29=".",d_Irr!BE29="."),d_dir!H29/((1/1000)*(d_Irr!G29)),IF(AND(d_Irr!G29=".",d_Irr!AF29=".",d_Irr!BE29="."),d_dir!H29*1000)))))))),".")</f>
        <v>.</v>
      </c>
      <c r="I29" s="70" t="str">
        <f>IFERROR(IF(AND(d_Irr!H29&lt;&gt;".",d_Irr!AG29&lt;&gt;".",d_Irr!BF29&lt;&gt;"."),d_dir!I29/((1/1000)*(d_Irr!H29+d_Irr!AG29+d_Irr!BF29)),IF(AND(d_Irr!H29&lt;&gt;".",d_Irr!AG29&lt;&gt;".",d_Irr!BF29="."),d_dir!I29/((1/1000)*(d_Irr!H29+d_Irr!AG29)),IF(AND(d_Irr!H29&lt;&gt;".",d_Irr!AG29=".",d_Irr!BF29&lt;&gt;"."),d_dir!I29/((1/1000)*(d_Irr!H29+d_Irr!BF29)),IF(AND(d_Irr!H29=".",d_Irr!AG29&lt;&gt;".",d_Irr!BF29&lt;&gt;"."),d_dir!I29/((1/1000)*(d_Irr!AG29+d_Irr!BF29)),IF(AND(d_Irr!H29=".",d_Irr!AG29=".",d_Irr!BF29&lt;&gt;"."),d_dir!I29/((1/1000)*(d_Irr!BF29)),IF(AND(d_Irr!H29=".",d_Irr!AG29&lt;&gt;".",d_Irr!BF29="."),d_dir!I29/((1/1000)*(d_Irr!AG29)),IF(AND(d_Irr!H29&lt;&gt;".",d_Irr!AG29=".",d_Irr!BF29="."),d_dir!I29/((1/1000)*(d_Irr!H29)),IF(AND(d_Irr!H29=".",d_Irr!AG29=".",d_Irr!BF29="."),d_dir!I29*1000)))))))),".")</f>
        <v>.</v>
      </c>
      <c r="J29" s="70" t="str">
        <f>IFERROR(IF(AND(d_Irr!I29&lt;&gt;".",d_Irr!AH29&lt;&gt;".",d_Irr!BG29&lt;&gt;"."),d_dir!J29/((1/1000)*(d_Irr!I29+d_Irr!AH29+d_Irr!BG29)),IF(AND(d_Irr!I29&lt;&gt;".",d_Irr!AH29&lt;&gt;".",d_Irr!BG29="."),d_dir!J29/((1/1000)*(d_Irr!I29+d_Irr!AH29)),IF(AND(d_Irr!I29&lt;&gt;".",d_Irr!AH29=".",d_Irr!BG29&lt;&gt;"."),d_dir!J29/((1/1000)*(d_Irr!I29+d_Irr!BG29)),IF(AND(d_Irr!I29=".",d_Irr!AH29&lt;&gt;".",d_Irr!BG29&lt;&gt;"."),d_dir!J29/((1/1000)*(d_Irr!AH29+d_Irr!BG29)),IF(AND(d_Irr!I29=".",d_Irr!AH29=".",d_Irr!BG29&lt;&gt;"."),d_dir!J29/((1/1000)*(d_Irr!BG29)),IF(AND(d_Irr!I29=".",d_Irr!AH29&lt;&gt;".",d_Irr!BG29="."),d_dir!J29/((1/1000)*(d_Irr!AH29)),IF(AND(d_Irr!I29&lt;&gt;".",d_Irr!AH29=".",d_Irr!BG29="."),d_dir!J29/((1/1000)*(d_Irr!I29)),IF(AND(d_Irr!I29=".",d_Irr!AH29=".",d_Irr!BG29="."),d_dir!J29*1000)))))))),".")</f>
        <v>.</v>
      </c>
      <c r="K29" s="70" t="str">
        <f>IFERROR(IF(AND(d_Irr!J29&lt;&gt;".",d_Irr!AI29&lt;&gt;".",d_Irr!BH29&lt;&gt;"."),d_dir!K29/((1/1000)*(d_Irr!J29+d_Irr!AI29+d_Irr!BH29)),IF(AND(d_Irr!J29&lt;&gt;".",d_Irr!AI29&lt;&gt;".",d_Irr!BH29="."),d_dir!K29/((1/1000)*(d_Irr!J29+d_Irr!AI29)),IF(AND(d_Irr!J29&lt;&gt;".",d_Irr!AI29=".",d_Irr!BH29&lt;&gt;"."),d_dir!K29/((1/1000)*(d_Irr!J29+d_Irr!BH29)),IF(AND(d_Irr!J29=".",d_Irr!AI29&lt;&gt;".",d_Irr!BH29&lt;&gt;"."),d_dir!K29/((1/1000)*(d_Irr!AI29+d_Irr!BH29)),IF(AND(d_Irr!J29=".",d_Irr!AI29=".",d_Irr!BH29&lt;&gt;"."),d_dir!K29/((1/1000)*(d_Irr!BH29)),IF(AND(d_Irr!J29=".",d_Irr!AI29&lt;&gt;".",d_Irr!BH29="."),d_dir!K29/((1/1000)*(d_Irr!AI29)),IF(AND(d_Irr!J29&lt;&gt;".",d_Irr!AI29=".",d_Irr!BH29="."),d_dir!K29/((1/1000)*(d_Irr!J29)),IF(AND(d_Irr!J29=".",d_Irr!AI29=".",d_Irr!BH29="."),d_dir!K29*1000)))))))),".")</f>
        <v>.</v>
      </c>
      <c r="L29" s="70" t="str">
        <f>IFERROR(IF(AND(d_Irr!K29&lt;&gt;".",d_Irr!AJ29&lt;&gt;".",d_Irr!BI29&lt;&gt;"."),d_dir!L29/((1/1000)*(d_Irr!K29+d_Irr!AJ29+d_Irr!BI29)),IF(AND(d_Irr!K29&lt;&gt;".",d_Irr!AJ29&lt;&gt;".",d_Irr!BI29="."),d_dir!L29/((1/1000)*(d_Irr!K29+d_Irr!AJ29)),IF(AND(d_Irr!K29&lt;&gt;".",d_Irr!AJ29=".",d_Irr!BI29&lt;&gt;"."),d_dir!L29/((1/1000)*(d_Irr!K29+d_Irr!BI29)),IF(AND(d_Irr!K29=".",d_Irr!AJ29&lt;&gt;".",d_Irr!BI29&lt;&gt;"."),d_dir!L29/((1/1000)*(d_Irr!AJ29+d_Irr!BI29)),IF(AND(d_Irr!K29=".",d_Irr!AJ29=".",d_Irr!BI29&lt;&gt;"."),d_dir!L29/((1/1000)*(d_Irr!BI29)),IF(AND(d_Irr!K29=".",d_Irr!AJ29&lt;&gt;".",d_Irr!BI29="."),d_dir!L29/((1/1000)*(d_Irr!AJ29)),IF(AND(d_Irr!K29&lt;&gt;".",d_Irr!AJ29=".",d_Irr!BI29="."),d_dir!L29/((1/1000)*(d_Irr!K29)),IF(AND(d_Irr!K29=".",d_Irr!AJ29=".",d_Irr!BI29="."),d_dir!L29*1000)))))))),".")</f>
        <v>.</v>
      </c>
      <c r="M29" s="70" t="str">
        <f>IFERROR(IF(AND(d_Irr!L29&lt;&gt;".",d_Irr!AK29&lt;&gt;".",d_Irr!BJ29&lt;&gt;"."),d_dir!M29/((1/1000)*(d_Irr!L29+d_Irr!AK29+d_Irr!BJ29)),IF(AND(d_Irr!L29&lt;&gt;".",d_Irr!AK29&lt;&gt;".",d_Irr!BJ29="."),d_dir!M29/((1/1000)*(d_Irr!L29+d_Irr!AK29)),IF(AND(d_Irr!L29&lt;&gt;".",d_Irr!AK29=".",d_Irr!BJ29&lt;&gt;"."),d_dir!M29/((1/1000)*(d_Irr!L29+d_Irr!BJ29)),IF(AND(d_Irr!L29=".",d_Irr!AK29&lt;&gt;".",d_Irr!BJ29&lt;&gt;"."),d_dir!M29/((1/1000)*(d_Irr!AK29+d_Irr!BJ29)),IF(AND(d_Irr!L29=".",d_Irr!AK29=".",d_Irr!BJ29&lt;&gt;"."),d_dir!M29/((1/1000)*(d_Irr!BJ29)),IF(AND(d_Irr!L29=".",d_Irr!AK29&lt;&gt;".",d_Irr!BJ29="."),d_dir!M29/((1/1000)*(d_Irr!AK29)),IF(AND(d_Irr!L29&lt;&gt;".",d_Irr!AK29=".",d_Irr!BJ29="."),d_dir!M29/((1/1000)*(d_Irr!L29)),IF(AND(d_Irr!L29=".",d_Irr!AK29=".",d_Irr!BJ29="."),d_dir!M29*1000)))))))),".")</f>
        <v>.</v>
      </c>
      <c r="N29" s="70" t="str">
        <f>IFERROR(IF(AND(d_Irr!M29&lt;&gt;".",d_Irr!AL29&lt;&gt;".",d_Irr!BK29&lt;&gt;"."),d_dir!N29/((1/1000)*(d_Irr!M29+d_Irr!AL29+d_Irr!BK29)),IF(AND(d_Irr!M29&lt;&gt;".",d_Irr!AL29&lt;&gt;".",d_Irr!BK29="."),d_dir!N29/((1/1000)*(d_Irr!M29+d_Irr!AL29)),IF(AND(d_Irr!M29&lt;&gt;".",d_Irr!AL29=".",d_Irr!BK29&lt;&gt;"."),d_dir!N29/((1/1000)*(d_Irr!M29+d_Irr!BK29)),IF(AND(d_Irr!M29=".",d_Irr!AL29&lt;&gt;".",d_Irr!BK29&lt;&gt;"."),d_dir!N29/((1/1000)*(d_Irr!AL29+d_Irr!BK29)),IF(AND(d_Irr!M29=".",d_Irr!AL29=".",d_Irr!BK29&lt;&gt;"."),d_dir!N29/((1/1000)*(d_Irr!BK29)),IF(AND(d_Irr!M29=".",d_Irr!AL29&lt;&gt;".",d_Irr!BK29="."),d_dir!N29/((1/1000)*(d_Irr!AL29)),IF(AND(d_Irr!M29&lt;&gt;".",d_Irr!AL29=".",d_Irr!BK29="."),d_dir!N29/((1/1000)*(d_Irr!M29)),IF(AND(d_Irr!M29=".",d_Irr!AL29=".",d_Irr!BK29="."),d_dir!N29*1000)))))))),".")</f>
        <v>.</v>
      </c>
      <c r="O29" s="70" t="str">
        <f>IFERROR(IF(AND(d_Irr!N29&lt;&gt;".",d_Irr!AM29&lt;&gt;".",d_Irr!BL29&lt;&gt;"."),d_dir!O29/((1/1000)*(d_Irr!N29+d_Irr!AM29+d_Irr!BL29)),IF(AND(d_Irr!N29&lt;&gt;".",d_Irr!AM29&lt;&gt;".",d_Irr!BL29="."),d_dir!O29/((1/1000)*(d_Irr!N29+d_Irr!AM29)),IF(AND(d_Irr!N29&lt;&gt;".",d_Irr!AM29=".",d_Irr!BL29&lt;&gt;"."),d_dir!O29/((1/1000)*(d_Irr!N29+d_Irr!BL29)),IF(AND(d_Irr!N29=".",d_Irr!AM29&lt;&gt;".",d_Irr!BL29&lt;&gt;"."),d_dir!O29/((1/1000)*(d_Irr!AM29+d_Irr!BL29)),IF(AND(d_Irr!N29=".",d_Irr!AM29=".",d_Irr!BL29&lt;&gt;"."),d_dir!O29/((1/1000)*(d_Irr!BL29)),IF(AND(d_Irr!N29=".",d_Irr!AM29&lt;&gt;".",d_Irr!BL29="."),d_dir!O29/((1/1000)*(d_Irr!AM29)),IF(AND(d_Irr!N29&lt;&gt;".",d_Irr!AM29=".",d_Irr!BL29="."),d_dir!O29/((1/1000)*(d_Irr!N29)),IF(AND(d_Irr!N29=".",d_Irr!AM29=".",d_Irr!BL29="."),d_dir!O29*1000)))))))),".")</f>
        <v>.</v>
      </c>
      <c r="P29" s="70" t="str">
        <f>IFERROR(IF(AND(d_Irr!O29&lt;&gt;".",d_Irr!AN29&lt;&gt;".",d_Irr!BM29&lt;&gt;"."),d_dir!P29/((1/1000)*(d_Irr!O29+d_Irr!AN29+d_Irr!BM29)),IF(AND(d_Irr!O29&lt;&gt;".",d_Irr!AN29&lt;&gt;".",d_Irr!BM29="."),d_dir!P29/((1/1000)*(d_Irr!O29+d_Irr!AN29)),IF(AND(d_Irr!O29&lt;&gt;".",d_Irr!AN29=".",d_Irr!BM29&lt;&gt;"."),d_dir!P29/((1/1000)*(d_Irr!O29+d_Irr!BM29)),IF(AND(d_Irr!O29=".",d_Irr!AN29&lt;&gt;".",d_Irr!BM29&lt;&gt;"."),d_dir!P29/((1/1000)*(d_Irr!AN29+d_Irr!BM29)),IF(AND(d_Irr!O29=".",d_Irr!AN29=".",d_Irr!BM29&lt;&gt;"."),d_dir!P29/((1/1000)*(d_Irr!BM29)),IF(AND(d_Irr!O29=".",d_Irr!AN29&lt;&gt;".",d_Irr!BM29="."),d_dir!P29/((1/1000)*(d_Irr!AN29)),IF(AND(d_Irr!O29&lt;&gt;".",d_Irr!AN29=".",d_Irr!BM29="."),d_dir!P29/((1/1000)*(d_Irr!O29)),IF(AND(d_Irr!O29=".",d_Irr!AN29=".",d_Irr!BM29="."),d_dir!P29*1000)))))))),".")</f>
        <v>.</v>
      </c>
      <c r="Q29" s="70" t="str">
        <f>IFERROR(IF(AND(d_Irr!P29&lt;&gt;".",d_Irr!AO29&lt;&gt;".",d_Irr!BN29&lt;&gt;"."),d_dir!Q29/((1/1000)*(d_Irr!P29+d_Irr!AO29+d_Irr!BN29)),IF(AND(d_Irr!P29&lt;&gt;".",d_Irr!AO29&lt;&gt;".",d_Irr!BN29="."),d_dir!Q29/((1/1000)*(d_Irr!P29+d_Irr!AO29)),IF(AND(d_Irr!P29&lt;&gt;".",d_Irr!AO29=".",d_Irr!BN29&lt;&gt;"."),d_dir!Q29/((1/1000)*(d_Irr!P29+d_Irr!BN29)),IF(AND(d_Irr!P29=".",d_Irr!AO29&lt;&gt;".",d_Irr!BN29&lt;&gt;"."),d_dir!Q29/((1/1000)*(d_Irr!AO29+d_Irr!BN29)),IF(AND(d_Irr!P29=".",d_Irr!AO29=".",d_Irr!BN29&lt;&gt;"."),d_dir!Q29/((1/1000)*(d_Irr!BN29)),IF(AND(d_Irr!P29=".",d_Irr!AO29&lt;&gt;".",d_Irr!BN29="."),d_dir!Q29/((1/1000)*(d_Irr!AO29)),IF(AND(d_Irr!P29&lt;&gt;".",d_Irr!AO29=".",d_Irr!BN29="."),d_dir!Q29/((1/1000)*(d_Irr!P29)),IF(AND(d_Irr!P29=".",d_Irr!AO29=".",d_Irr!BN29="."),d_dir!Q29*1000)))))))),".")</f>
        <v>.</v>
      </c>
      <c r="R29" s="70" t="str">
        <f>IFERROR(IF(AND(d_Irr!Q29&lt;&gt;".",d_Irr!AP29&lt;&gt;".",d_Irr!BO29&lt;&gt;"."),d_dir!R29/((1/1000)*(d_Irr!Q29+d_Irr!AP29+d_Irr!BO29)),IF(AND(d_Irr!Q29&lt;&gt;".",d_Irr!AP29&lt;&gt;".",d_Irr!BO29="."),d_dir!R29/((1/1000)*(d_Irr!Q29+d_Irr!AP29)),IF(AND(d_Irr!Q29&lt;&gt;".",d_Irr!AP29=".",d_Irr!BO29&lt;&gt;"."),d_dir!R29/((1/1000)*(d_Irr!Q29+d_Irr!BO29)),IF(AND(d_Irr!Q29=".",d_Irr!AP29&lt;&gt;".",d_Irr!BO29&lt;&gt;"."),d_dir!R29/((1/1000)*(d_Irr!AP29+d_Irr!BO29)),IF(AND(d_Irr!Q29=".",d_Irr!AP29=".",d_Irr!BO29&lt;&gt;"."),d_dir!R29/((1/1000)*(d_Irr!BO29)),IF(AND(d_Irr!Q29=".",d_Irr!AP29&lt;&gt;".",d_Irr!BO29="."),d_dir!R29/((1/1000)*(d_Irr!AP29)),IF(AND(d_Irr!Q29&lt;&gt;".",d_Irr!AP29=".",d_Irr!BO29="."),d_dir!R29/((1/1000)*(d_Irr!Q29)),IF(AND(d_Irr!Q29=".",d_Irr!AP29=".",d_Irr!BO29="."),d_dir!R29*1000)))))))),".")</f>
        <v>.</v>
      </c>
      <c r="S29" s="70" t="str">
        <f>IFERROR(IF(AND(d_Irr!R29&lt;&gt;".",d_Irr!AQ29&lt;&gt;".",d_Irr!BP29&lt;&gt;"."),d_dir!S29/((1/1000)*(d_Irr!R29+d_Irr!AQ29+d_Irr!BP29)),IF(AND(d_Irr!R29&lt;&gt;".",d_Irr!AQ29&lt;&gt;".",d_Irr!BP29="."),d_dir!S29/((1/1000)*(d_Irr!R29+d_Irr!AQ29)),IF(AND(d_Irr!R29&lt;&gt;".",d_Irr!AQ29=".",d_Irr!BP29&lt;&gt;"."),d_dir!S29/((1/1000)*(d_Irr!R29+d_Irr!BP29)),IF(AND(d_Irr!R29=".",d_Irr!AQ29&lt;&gt;".",d_Irr!BP29&lt;&gt;"."),d_dir!S29/((1/1000)*(d_Irr!AQ29+d_Irr!BP29)),IF(AND(d_Irr!R29=".",d_Irr!AQ29=".",d_Irr!BP29&lt;&gt;"."),d_dir!S29/((1/1000)*(d_Irr!BP29)),IF(AND(d_Irr!R29=".",d_Irr!AQ29&lt;&gt;".",d_Irr!BP29="."),d_dir!S29/((1/1000)*(d_Irr!AQ29)),IF(AND(d_Irr!R29&lt;&gt;".",d_Irr!AQ29=".",d_Irr!BP29="."),d_dir!S29/((1/1000)*(d_Irr!R29)),IF(AND(d_Irr!R29=".",d_Irr!AQ29=".",d_Irr!BP29="."),d_dir!S29*1000)))))))),".")</f>
        <v>.</v>
      </c>
      <c r="T29" s="70" t="str">
        <f>IFERROR(IF(AND(d_Irr!S29&lt;&gt;".",d_Irr!AR29&lt;&gt;".",d_Irr!BQ29&lt;&gt;"."),d_dir!T29/((1/1000)*(d_Irr!S29+d_Irr!AR29+d_Irr!BQ29)),IF(AND(d_Irr!S29&lt;&gt;".",d_Irr!AR29&lt;&gt;".",d_Irr!BQ29="."),d_dir!T29/((1/1000)*(d_Irr!S29+d_Irr!AR29)),IF(AND(d_Irr!S29&lt;&gt;".",d_Irr!AR29=".",d_Irr!BQ29&lt;&gt;"."),d_dir!T29/((1/1000)*(d_Irr!S29+d_Irr!BQ29)),IF(AND(d_Irr!S29=".",d_Irr!AR29&lt;&gt;".",d_Irr!BQ29&lt;&gt;"."),d_dir!T29/((1/1000)*(d_Irr!AR29+d_Irr!BQ29)),IF(AND(d_Irr!S29=".",d_Irr!AR29=".",d_Irr!BQ29&lt;&gt;"."),d_dir!T29/((1/1000)*(d_Irr!BQ29)),IF(AND(d_Irr!S29=".",d_Irr!AR29&lt;&gt;".",d_Irr!BQ29="."),d_dir!T29/((1/1000)*(d_Irr!AR29)),IF(AND(d_Irr!S29&lt;&gt;".",d_Irr!AR29=".",d_Irr!BQ29="."),d_dir!T29/((1/1000)*(d_Irr!S29)),IF(AND(d_Irr!S29=".",d_Irr!AR29=".",d_Irr!BQ29="."),d_dir!T29*1000)))))))),".")</f>
        <v>.</v>
      </c>
      <c r="U29" s="70" t="str">
        <f>IFERROR(IF(AND(d_Irr!T29&lt;&gt;".",d_Irr!AS29&lt;&gt;".",d_Irr!BR29&lt;&gt;"."),d_dir!U29/((1/1000)*(d_Irr!T29+d_Irr!AS29+d_Irr!BR29)),IF(AND(d_Irr!T29&lt;&gt;".",d_Irr!AS29&lt;&gt;".",d_Irr!BR29="."),d_dir!U29/((1/1000)*(d_Irr!T29+d_Irr!AS29)),IF(AND(d_Irr!T29&lt;&gt;".",d_Irr!AS29=".",d_Irr!BR29&lt;&gt;"."),d_dir!U29/((1/1000)*(d_Irr!T29+d_Irr!BR29)),IF(AND(d_Irr!T29=".",d_Irr!AS29&lt;&gt;".",d_Irr!BR29&lt;&gt;"."),d_dir!U29/((1/1000)*(d_Irr!AS29+d_Irr!BR29)),IF(AND(d_Irr!T29=".",d_Irr!AS29=".",d_Irr!BR29&lt;&gt;"."),d_dir!U29/((1/1000)*(d_Irr!BR29)),IF(AND(d_Irr!T29=".",d_Irr!AS29&lt;&gt;".",d_Irr!BR29="."),d_dir!U29/((1/1000)*(d_Irr!AS29)),IF(AND(d_Irr!T29&lt;&gt;".",d_Irr!AS29=".",d_Irr!BR29="."),d_dir!U29/((1/1000)*(d_Irr!T29)),IF(AND(d_Irr!T29=".",d_Irr!AS29=".",d_Irr!BR29="."),d_dir!U29*1000)))))))),".")</f>
        <v>.</v>
      </c>
      <c r="V29" s="70" t="str">
        <f>IFERROR(IF(AND(d_Irr!U29&lt;&gt;".",d_Irr!AT29&lt;&gt;".",d_Irr!BS29&lt;&gt;"."),d_dir!V29/((1/1000)*(d_Irr!U29+d_Irr!AT29+d_Irr!BS29)),IF(AND(d_Irr!U29&lt;&gt;".",d_Irr!AT29&lt;&gt;".",d_Irr!BS29="."),d_dir!V29/((1/1000)*(d_Irr!U29+d_Irr!AT29)),IF(AND(d_Irr!U29&lt;&gt;".",d_Irr!AT29=".",d_Irr!BS29&lt;&gt;"."),d_dir!V29/((1/1000)*(d_Irr!U29+d_Irr!BS29)),IF(AND(d_Irr!U29=".",d_Irr!AT29&lt;&gt;".",d_Irr!BS29&lt;&gt;"."),d_dir!V29/((1/1000)*(d_Irr!AT29+d_Irr!BS29)),IF(AND(d_Irr!U29=".",d_Irr!AT29=".",d_Irr!BS29&lt;&gt;"."),d_dir!V29/((1/1000)*(d_Irr!BS29)),IF(AND(d_Irr!U29=".",d_Irr!AT29&lt;&gt;".",d_Irr!BS29="."),d_dir!V29/((1/1000)*(d_Irr!AT29)),IF(AND(d_Irr!U29&lt;&gt;".",d_Irr!AT29=".",d_Irr!BS29="."),d_dir!V29/((1/1000)*(d_Irr!U29)),IF(AND(d_Irr!U29=".",d_Irr!AT29=".",d_Irr!BS29="."),d_dir!V29*1000)))))))),".")</f>
        <v>.</v>
      </c>
      <c r="W29" s="70" t="str">
        <f>IFERROR(IF(AND(d_Irr!V29&lt;&gt;".",d_Irr!AU29&lt;&gt;".",d_Irr!BT29&lt;&gt;"."),d_dir!W29/((1/1000)*(d_Irr!V29+d_Irr!AU29+d_Irr!BT29)),IF(AND(d_Irr!V29&lt;&gt;".",d_Irr!AU29&lt;&gt;".",d_Irr!BT29="."),d_dir!W29/((1/1000)*(d_Irr!V29+d_Irr!AU29)),IF(AND(d_Irr!V29&lt;&gt;".",d_Irr!AU29=".",d_Irr!BT29&lt;&gt;"."),d_dir!W29/((1/1000)*(d_Irr!V29+d_Irr!BT29)),IF(AND(d_Irr!V29=".",d_Irr!AU29&lt;&gt;".",d_Irr!BT29&lt;&gt;"."),d_dir!W29/((1/1000)*(d_Irr!AU29+d_Irr!BT29)),IF(AND(d_Irr!V29=".",d_Irr!AU29=".",d_Irr!BT29&lt;&gt;"."),d_dir!W29/((1/1000)*(d_Irr!BT29)),IF(AND(d_Irr!V29=".",d_Irr!AU29&lt;&gt;".",d_Irr!BT29="."),d_dir!W29/((1/1000)*(d_Irr!AU29)),IF(AND(d_Irr!V29&lt;&gt;".",d_Irr!AU29=".",d_Irr!BT29="."),d_dir!W29/((1/1000)*(d_Irr!V29)),IF(AND(d_Irr!V29=".",d_Irr!AU29=".",d_Irr!BT29="."),d_dir!W29*1000)))))))),".")</f>
        <v>.</v>
      </c>
      <c r="X29" s="70" t="str">
        <f>IFERROR(IF(AND(d_Irr!W29&lt;&gt;".",d_Irr!AV29&lt;&gt;".",d_Irr!BU29&lt;&gt;"."),d_dir!X29/((1/1000)*(d_Irr!W29+d_Irr!AV29+d_Irr!BU29)),IF(AND(d_Irr!W29&lt;&gt;".",d_Irr!AV29&lt;&gt;".",d_Irr!BU29="."),d_dir!X29/((1/1000)*(d_Irr!W29+d_Irr!AV29)),IF(AND(d_Irr!W29&lt;&gt;".",d_Irr!AV29=".",d_Irr!BU29&lt;&gt;"."),d_dir!X29/((1/1000)*(d_Irr!W29+d_Irr!BU29)),IF(AND(d_Irr!W29=".",d_Irr!AV29&lt;&gt;".",d_Irr!BU29&lt;&gt;"."),d_dir!X29/((1/1000)*(d_Irr!AV29+d_Irr!BU29)),IF(AND(d_Irr!W29=".",d_Irr!AV29=".",d_Irr!BU29&lt;&gt;"."),d_dir!X29/((1/1000)*(d_Irr!BU29)),IF(AND(d_Irr!W29=".",d_Irr!AV29&lt;&gt;".",d_Irr!BU29="."),d_dir!X29/((1/1000)*(d_Irr!AV29)),IF(AND(d_Irr!W29&lt;&gt;".",d_Irr!AV29=".",d_Irr!BU29="."),d_dir!X29/((1/1000)*(d_Irr!W29)),IF(AND(d_Irr!W29=".",d_Irr!AV29=".",d_Irr!BU29="."),d_dir!X29*1000)))))))),".")</f>
        <v>.</v>
      </c>
      <c r="Y29" s="70" t="str">
        <f>IFERROR(IF(AND(d_Irr!X29&lt;&gt;".",d_Irr!AW29&lt;&gt;".",d_Irr!BV29&lt;&gt;"."),d_dir!Y29/((1/1000)*(d_Irr!X29+d_Irr!AW29+d_Irr!BV29)),IF(AND(d_Irr!X29&lt;&gt;".",d_Irr!AW29&lt;&gt;".",d_Irr!BV29="."),d_dir!Y29/((1/1000)*(d_Irr!X29+d_Irr!AW29)),IF(AND(d_Irr!X29&lt;&gt;".",d_Irr!AW29=".",d_Irr!BV29&lt;&gt;"."),d_dir!Y29/((1/1000)*(d_Irr!X29+d_Irr!BV29)),IF(AND(d_Irr!X29=".",d_Irr!AW29&lt;&gt;".",d_Irr!BV29&lt;&gt;"."),d_dir!Y29/((1/1000)*(d_Irr!AW29+d_Irr!BV29)),IF(AND(d_Irr!X29=".",d_Irr!AW29=".",d_Irr!BV29&lt;&gt;"."),d_dir!Y29/((1/1000)*(d_Irr!BV29)),IF(AND(d_Irr!X29=".",d_Irr!AW29&lt;&gt;".",d_Irr!BV29="."),d_dir!Y29/((1/1000)*(d_Irr!AW29)),IF(AND(d_Irr!X29&lt;&gt;".",d_Irr!AW29=".",d_Irr!BV29="."),d_dir!Y29/((1/1000)*(d_Irr!X29)),IF(AND(d_Irr!X29=".",d_Irr!AW29=".",d_Irr!BV29="."),d_dir!Y29*1000)))))))),".")</f>
        <v>.</v>
      </c>
      <c r="Z29" s="70" t="str">
        <f>IFERROR(IF(AND(d_Irr!Y29&lt;&gt;".",d_Irr!AX29&lt;&gt;".",d_Irr!BW29&lt;&gt;"."),d_dir!Z29/((1/1000)*(d_Irr!Y29+d_Irr!AX29+d_Irr!BW29)),IF(AND(d_Irr!Y29&lt;&gt;".",d_Irr!AX29&lt;&gt;".",d_Irr!BW29="."),d_dir!Z29/((1/1000)*(d_Irr!Y29+d_Irr!AX29)),IF(AND(d_Irr!Y29&lt;&gt;".",d_Irr!AX29=".",d_Irr!BW29&lt;&gt;"."),d_dir!Z29/((1/1000)*(d_Irr!Y29+d_Irr!BW29)),IF(AND(d_Irr!Y29=".",d_Irr!AX29&lt;&gt;".",d_Irr!BW29&lt;&gt;"."),d_dir!Z29/((1/1000)*(d_Irr!AX29+d_Irr!BW29)),IF(AND(d_Irr!Y29=".",d_Irr!AX29=".",d_Irr!BW29&lt;&gt;"."),d_dir!Z29/((1/1000)*(d_Irr!BW29)),IF(AND(d_Irr!Y29=".",d_Irr!AX29&lt;&gt;".",d_Irr!BW29="."),d_dir!Z29/((1/1000)*(d_Irr!AX29)),IF(AND(d_Irr!Y29&lt;&gt;".",d_Irr!AX29=".",d_Irr!BW29="."),d_dir!Z29/((1/1000)*(d_Irr!Y29)),IF(AND(d_Irr!Y29=".",d_Irr!AX29=".",d_Irr!BW29="."),d_dir!Z29*1000)))))))),".")</f>
        <v>.</v>
      </c>
      <c r="AA29" s="70" t="str">
        <f>IFERROR(IF(AND(d_Irr!Z29&lt;&gt;".",d_Irr!AY29&lt;&gt;".",d_Irr!BX29&lt;&gt;"."),d_dir!AA29/((1/1000)*(d_Irr!Z29+d_Irr!AY29+d_Irr!BX29)),IF(AND(d_Irr!Z29&lt;&gt;".",d_Irr!AY29&lt;&gt;".",d_Irr!BX29="."),d_dir!AA29/((1/1000)*(d_Irr!Z29+d_Irr!AY29)),IF(AND(d_Irr!Z29&lt;&gt;".",d_Irr!AY29=".",d_Irr!BX29&lt;&gt;"."),d_dir!AA29/((1/1000)*(d_Irr!Z29+d_Irr!BX29)),IF(AND(d_Irr!Z29=".",d_Irr!AY29&lt;&gt;".",d_Irr!BX29&lt;&gt;"."),d_dir!AA29/((1/1000)*(d_Irr!AY29+d_Irr!BX29)),IF(AND(d_Irr!Z29=".",d_Irr!AY29=".",d_Irr!BX29&lt;&gt;"."),d_dir!AA29/((1/1000)*(d_Irr!BX29)),IF(AND(d_Irr!Z29=".",d_Irr!AY29&lt;&gt;".",d_Irr!BX29="."),d_dir!AA29/((1/1000)*(d_Irr!AY29)),IF(AND(d_Irr!Z29&lt;&gt;".",d_Irr!AY29=".",d_Irr!BX29="."),d_dir!AA29/((1/1000)*(d_Irr!Z29)),IF(AND(d_Irr!Z29=".",d_Irr!AY29=".",d_Irr!BX29="."),d_dir!AA29*1000)))))))),".")</f>
        <v>.</v>
      </c>
      <c r="AB29" s="70" t="str">
        <f>IFERROR(IF(AND(d_Irr!AA29&lt;&gt;".",d_Irr!AZ29&lt;&gt;".",d_Irr!BY29&lt;&gt;"."),d_dir!AB29/((1/1000)*(d_Irr!AA29+d_Irr!AZ29+d_Irr!BY29)),IF(AND(d_Irr!AA29&lt;&gt;".",d_Irr!AZ29&lt;&gt;".",d_Irr!BY29="."),d_dir!AB29/((1/1000)*(d_Irr!AA29+d_Irr!AZ29)),IF(AND(d_Irr!AA29&lt;&gt;".",d_Irr!AZ29=".",d_Irr!BY29&lt;&gt;"."),d_dir!AB29/((1/1000)*(d_Irr!AA29+d_Irr!BY29)),IF(AND(d_Irr!AA29=".",d_Irr!AZ29&lt;&gt;".",d_Irr!BY29&lt;&gt;"."),d_dir!AB29/((1/1000)*(d_Irr!AZ29+d_Irr!BY29)),IF(AND(d_Irr!AA29=".",d_Irr!AZ29=".",d_Irr!BY29&lt;&gt;"."),d_dir!AB29/((1/1000)*(d_Irr!BY29)),IF(AND(d_Irr!AA29=".",d_Irr!AZ29&lt;&gt;".",d_Irr!BY29="."),d_dir!AB29/((1/1000)*(d_Irr!AZ29)),IF(AND(d_Irr!AA29&lt;&gt;".",d_Irr!AZ29=".",d_Irr!BY29="."),d_dir!AB29/((1/1000)*(d_Irr!AA29)),IF(AND(d_Irr!AA29=".",d_Irr!AZ29=".",d_Irr!BY29="."),d_dir!AB29*1000)))))))),".")</f>
        <v>.</v>
      </c>
      <c r="AC29" s="70" t="str">
        <f t="shared" si="0"/>
        <v>.</v>
      </c>
      <c r="AD29" s="70" t="str">
        <f>IFERROR(IF(AND(d_Irr!C29&lt;&gt;".",d_Irr!AB29&lt;&gt;".",d_Irr!BA29&lt;&gt;"."),d_dir!AD29/((1/1000)*(d_Irr!C29+d_Irr!AB29+d_Irr!BA29)),IF(AND(d_Irr!C29&lt;&gt;".",d_Irr!AB29&lt;&gt;".",d_Irr!BA29="."),d_dir!AD29/((1/1000)*(d_Irr!C29+d_Irr!AB29)),IF(AND(d_Irr!C29&lt;&gt;".",d_Irr!AB29=".",d_Irr!BA29&lt;&gt;"."),d_dir!AD29/((1/1000)*(d_Irr!C29+d_Irr!BA29)),IF(AND(d_Irr!C29=".",d_Irr!AB29&lt;&gt;".",d_Irr!BA29&lt;&gt;"."),d_dir!AD29/((1/1000)*(d_Irr!AB29+d_Irr!BA29)),IF(AND(d_Irr!C29=".",d_Irr!AB29=".",d_Irr!BA29&lt;&gt;"."),d_dir!AD29/((1/1000)*(d_Irr!BA29)),IF(AND(d_Irr!C29=".",d_Irr!AB29&lt;&gt;".",d_Irr!BA29="."),d_dir!AD29/((1/1000)*(d_Irr!AB29)),IF(AND(d_Irr!C29&lt;&gt;".",d_Irr!AB29=".",d_Irr!BA29="."),d_dir!AD29/((1/1000)*(d_Irr!C29)),IF(AND(d_Irr!C29=".",d_Irr!AB29=".",d_Irr!BA29="."),d_dir!AD29*1000)))))))),".")</f>
        <v>.</v>
      </c>
      <c r="AE29" s="70" t="str">
        <f>IFERROR(IF(AND(d_Irr!D29&lt;&gt;".",d_Irr!AC29&lt;&gt;".",d_Irr!BB29&lt;&gt;"."),d_dir!AE29/((1/1000)*(d_Irr!D29+d_Irr!AC29+d_Irr!BB29)),IF(AND(d_Irr!D29&lt;&gt;".",d_Irr!AC29&lt;&gt;".",d_Irr!BB29="."),d_dir!AE29/((1/1000)*(d_Irr!D29+d_Irr!AC29)),IF(AND(d_Irr!D29&lt;&gt;".",d_Irr!AC29=".",d_Irr!BB29&lt;&gt;"."),d_dir!AE29/((1/1000)*(d_Irr!D29+d_Irr!BB29)),IF(AND(d_Irr!D29=".",d_Irr!AC29&lt;&gt;".",d_Irr!BB29&lt;&gt;"."),d_dir!AE29/((1/1000)*(d_Irr!AC29+d_Irr!BB29)),IF(AND(d_Irr!D29=".",d_Irr!AC29=".",d_Irr!BB29&lt;&gt;"."),d_dir!AE29/((1/1000)*(d_Irr!BB29)),IF(AND(d_Irr!D29=".",d_Irr!AC29&lt;&gt;".",d_Irr!BB29="."),d_dir!AE29/((1/1000)*(d_Irr!AC29)),IF(AND(d_Irr!D29&lt;&gt;".",d_Irr!AC29=".",d_Irr!BB29="."),d_dir!AE29/((1/1000)*(d_Irr!D29)),IF(AND(d_Irr!D29=".",d_Irr!AC29=".",d_Irr!BB29="."),d_dir!AE29*1000)))))))),".")</f>
        <v>.</v>
      </c>
      <c r="AF29" s="70" t="str">
        <f>IFERROR(IF(AND(d_Irr!E29&lt;&gt;".",d_Irr!AD29&lt;&gt;".",d_Irr!BC29&lt;&gt;"."),d_dir!AF29/((1/1000)*(d_Irr!E29+d_Irr!AD29+d_Irr!BC29)),IF(AND(d_Irr!E29&lt;&gt;".",d_Irr!AD29&lt;&gt;".",d_Irr!BC29="."),d_dir!AF29/((1/1000)*(d_Irr!E29+d_Irr!AD29)),IF(AND(d_Irr!E29&lt;&gt;".",d_Irr!AD29=".",d_Irr!BC29&lt;&gt;"."),d_dir!AF29/((1/1000)*(d_Irr!E29+d_Irr!BC29)),IF(AND(d_Irr!E29=".",d_Irr!AD29&lt;&gt;".",d_Irr!BC29&lt;&gt;"."),d_dir!AF29/((1/1000)*(d_Irr!AD29+d_Irr!BC29)),IF(AND(d_Irr!E29=".",d_Irr!AD29=".",d_Irr!BC29&lt;&gt;"."),d_dir!AF29/((1/1000)*(d_Irr!BC29)),IF(AND(d_Irr!E29=".",d_Irr!AD29&lt;&gt;".",d_Irr!BC29="."),d_dir!AF29/((1/1000)*(d_Irr!AD29)),IF(AND(d_Irr!E29&lt;&gt;".",d_Irr!AD29=".",d_Irr!BC29="."),d_dir!AF29/((1/1000)*(d_Irr!E29)),IF(AND(d_Irr!E29=".",d_Irr!AD29=".",d_Irr!BC29="."),d_dir!AF29*1000)))))))),".")</f>
        <v>.</v>
      </c>
      <c r="AG29" s="70" t="str">
        <f>IFERROR(IF(AND(d_Irr!F29&lt;&gt;".",d_Irr!AE29&lt;&gt;".",d_Irr!BD29&lt;&gt;"."),d_dir!AG29/((1/1000)*(d_Irr!F29+d_Irr!AE29+d_Irr!BD29)),IF(AND(d_Irr!F29&lt;&gt;".",d_Irr!AE29&lt;&gt;".",d_Irr!BD29="."),d_dir!AG29/((1/1000)*(d_Irr!F29+d_Irr!AE29)),IF(AND(d_Irr!F29&lt;&gt;".",d_Irr!AE29=".",d_Irr!BD29&lt;&gt;"."),d_dir!AG29/((1/1000)*(d_Irr!F29+d_Irr!BD29)),IF(AND(d_Irr!F29=".",d_Irr!AE29&lt;&gt;".",d_Irr!BD29&lt;&gt;"."),d_dir!AG29/((1/1000)*(d_Irr!AE29+d_Irr!BD29)),IF(AND(d_Irr!F29=".",d_Irr!AE29=".",d_Irr!BD29&lt;&gt;"."),d_dir!AG29/((1/1000)*(d_Irr!BD29)),IF(AND(d_Irr!F29=".",d_Irr!AE29&lt;&gt;".",d_Irr!BD29="."),d_dir!AG29/((1/1000)*(d_Irr!AE29)),IF(AND(d_Irr!F29&lt;&gt;".",d_Irr!AE29=".",d_Irr!BD29="."),d_dir!AG29/((1/1000)*(d_Irr!F29)),IF(AND(d_Irr!F29=".",d_Irr!AE29=".",d_Irr!BD29="."),d_dir!AG29*1000)))))))),".")</f>
        <v>.</v>
      </c>
      <c r="AH29" s="70" t="str">
        <f>IFERROR(IF(AND(d_Irr!G29&lt;&gt;".",d_Irr!AF29&lt;&gt;".",d_Irr!BE29&lt;&gt;"."),d_dir!AH29/((1/1000)*(d_Irr!G29+d_Irr!AF29+d_Irr!BE29)),IF(AND(d_Irr!G29&lt;&gt;".",d_Irr!AF29&lt;&gt;".",d_Irr!BE29="."),d_dir!AH29/((1/1000)*(d_Irr!G29+d_Irr!AF29)),IF(AND(d_Irr!G29&lt;&gt;".",d_Irr!AF29=".",d_Irr!BE29&lt;&gt;"."),d_dir!AH29/((1/1000)*(d_Irr!G29+d_Irr!BE29)),IF(AND(d_Irr!G29=".",d_Irr!AF29&lt;&gt;".",d_Irr!BE29&lt;&gt;"."),d_dir!AH29/((1/1000)*(d_Irr!AF29+d_Irr!BE29)),IF(AND(d_Irr!G29=".",d_Irr!AF29=".",d_Irr!BE29&lt;&gt;"."),d_dir!AH29/((1/1000)*(d_Irr!BE29)),IF(AND(d_Irr!G29=".",d_Irr!AF29&lt;&gt;".",d_Irr!BE29="."),d_dir!AH29/((1/1000)*(d_Irr!AF29)),IF(AND(d_Irr!G29&lt;&gt;".",d_Irr!AF29=".",d_Irr!BE29="."),d_dir!AH29/((1/1000)*(d_Irr!G29)),IF(AND(d_Irr!G29=".",d_Irr!AF29=".",d_Irr!BE29="."),d_dir!AH29*1000)))))))),".")</f>
        <v>.</v>
      </c>
      <c r="AI29" s="70" t="str">
        <f>IFERROR(IF(AND(d_Irr!H29&lt;&gt;".",d_Irr!AG29&lt;&gt;".",d_Irr!BF29&lt;&gt;"."),d_dir!AI29/((1/1000)*(d_Irr!H29+d_Irr!AG29+d_Irr!BF29)),IF(AND(d_Irr!H29&lt;&gt;".",d_Irr!AG29&lt;&gt;".",d_Irr!BF29="."),d_dir!AI29/((1/1000)*(d_Irr!H29+d_Irr!AG29)),IF(AND(d_Irr!H29&lt;&gt;".",d_Irr!AG29=".",d_Irr!BF29&lt;&gt;"."),d_dir!AI29/((1/1000)*(d_Irr!H29+d_Irr!BF29)),IF(AND(d_Irr!H29=".",d_Irr!AG29&lt;&gt;".",d_Irr!BF29&lt;&gt;"."),d_dir!AI29/((1/1000)*(d_Irr!AG29+d_Irr!BF29)),IF(AND(d_Irr!H29=".",d_Irr!AG29=".",d_Irr!BF29&lt;&gt;"."),d_dir!AI29/((1/1000)*(d_Irr!BF29)),IF(AND(d_Irr!H29=".",d_Irr!AG29&lt;&gt;".",d_Irr!BF29="."),d_dir!AI29/((1/1000)*(d_Irr!AG29)),IF(AND(d_Irr!H29&lt;&gt;".",d_Irr!AG29=".",d_Irr!BF29="."),d_dir!AI29/((1/1000)*(d_Irr!H29)),IF(AND(d_Irr!H29=".",d_Irr!AG29=".",d_Irr!BF29="."),d_dir!AI29*1000)))))))),".")</f>
        <v>.</v>
      </c>
      <c r="AJ29" s="70" t="str">
        <f>IFERROR(IF(AND(d_Irr!I29&lt;&gt;".",d_Irr!AH29&lt;&gt;".",d_Irr!BG29&lt;&gt;"."),d_dir!AJ29/((1/1000)*(d_Irr!I29+d_Irr!AH29+d_Irr!BG29)),IF(AND(d_Irr!I29&lt;&gt;".",d_Irr!AH29&lt;&gt;".",d_Irr!BG29="."),d_dir!AJ29/((1/1000)*(d_Irr!I29+d_Irr!AH29)),IF(AND(d_Irr!I29&lt;&gt;".",d_Irr!AH29=".",d_Irr!BG29&lt;&gt;"."),d_dir!AJ29/((1/1000)*(d_Irr!I29+d_Irr!BG29)),IF(AND(d_Irr!I29=".",d_Irr!AH29&lt;&gt;".",d_Irr!BG29&lt;&gt;"."),d_dir!AJ29/((1/1000)*(d_Irr!AH29+d_Irr!BG29)),IF(AND(d_Irr!I29=".",d_Irr!AH29=".",d_Irr!BG29&lt;&gt;"."),d_dir!AJ29/((1/1000)*(d_Irr!BG29)),IF(AND(d_Irr!I29=".",d_Irr!AH29&lt;&gt;".",d_Irr!BG29="."),d_dir!AJ29/((1/1000)*(d_Irr!AH29)),IF(AND(d_Irr!I29&lt;&gt;".",d_Irr!AH29=".",d_Irr!BG29="."),d_dir!AJ29/((1/1000)*(d_Irr!I29)),IF(AND(d_Irr!I29=".",d_Irr!AH29=".",d_Irr!BG29="."),d_dir!AJ29*1000)))))))),".")</f>
        <v>.</v>
      </c>
      <c r="AK29" s="70" t="str">
        <f>IFERROR(IF(AND(d_Irr!J29&lt;&gt;".",d_Irr!AI29&lt;&gt;".",d_Irr!BH29&lt;&gt;"."),d_dir!AK29/((1/1000)*(d_Irr!J29+d_Irr!AI29+d_Irr!BH29)),IF(AND(d_Irr!J29&lt;&gt;".",d_Irr!AI29&lt;&gt;".",d_Irr!BH29="."),d_dir!AK29/((1/1000)*(d_Irr!J29+d_Irr!AI29)),IF(AND(d_Irr!J29&lt;&gt;".",d_Irr!AI29=".",d_Irr!BH29&lt;&gt;"."),d_dir!AK29/((1/1000)*(d_Irr!J29+d_Irr!BH29)),IF(AND(d_Irr!J29=".",d_Irr!AI29&lt;&gt;".",d_Irr!BH29&lt;&gt;"."),d_dir!AK29/((1/1000)*(d_Irr!AI29+d_Irr!BH29)),IF(AND(d_Irr!J29=".",d_Irr!AI29=".",d_Irr!BH29&lt;&gt;"."),d_dir!AK29/((1/1000)*(d_Irr!BH29)),IF(AND(d_Irr!J29=".",d_Irr!AI29&lt;&gt;".",d_Irr!BH29="."),d_dir!AK29/((1/1000)*(d_Irr!AI29)),IF(AND(d_Irr!J29&lt;&gt;".",d_Irr!AI29=".",d_Irr!BH29="."),d_dir!AK29/((1/1000)*(d_Irr!J29)),IF(AND(d_Irr!J29=".",d_Irr!AI29=".",d_Irr!BH29="."),d_dir!AK29*1000)))))))),".")</f>
        <v>.</v>
      </c>
      <c r="AL29" s="70" t="str">
        <f>IFERROR(IF(AND(d_Irr!K29&lt;&gt;".",d_Irr!AJ29&lt;&gt;".",d_Irr!BI29&lt;&gt;"."),d_dir!AL29/((1/1000)*(d_Irr!K29+d_Irr!AJ29+d_Irr!BI29)),IF(AND(d_Irr!K29&lt;&gt;".",d_Irr!AJ29&lt;&gt;".",d_Irr!BI29="."),d_dir!AL29/((1/1000)*(d_Irr!K29+d_Irr!AJ29)),IF(AND(d_Irr!K29&lt;&gt;".",d_Irr!AJ29=".",d_Irr!BI29&lt;&gt;"."),d_dir!AL29/((1/1000)*(d_Irr!K29+d_Irr!BI29)),IF(AND(d_Irr!K29=".",d_Irr!AJ29&lt;&gt;".",d_Irr!BI29&lt;&gt;"."),d_dir!AL29/((1/1000)*(d_Irr!AJ29+d_Irr!BI29)),IF(AND(d_Irr!K29=".",d_Irr!AJ29=".",d_Irr!BI29&lt;&gt;"."),d_dir!AL29/((1/1000)*(d_Irr!BI29)),IF(AND(d_Irr!K29=".",d_Irr!AJ29&lt;&gt;".",d_Irr!BI29="."),d_dir!AL29/((1/1000)*(d_Irr!AJ29)),IF(AND(d_Irr!K29&lt;&gt;".",d_Irr!AJ29=".",d_Irr!BI29="."),d_dir!AL29/((1/1000)*(d_Irr!K29)),IF(AND(d_Irr!K29=".",d_Irr!AJ29=".",d_Irr!BI29="."),d_dir!AL29*1000)))))))),".")</f>
        <v>.</v>
      </c>
      <c r="AM29" s="70" t="str">
        <f>IFERROR(IF(AND(d_Irr!L29&lt;&gt;".",d_Irr!AK29&lt;&gt;".",d_Irr!BJ29&lt;&gt;"."),d_dir!AM29/((1/1000)*(d_Irr!L29+d_Irr!AK29+d_Irr!BJ29)),IF(AND(d_Irr!L29&lt;&gt;".",d_Irr!AK29&lt;&gt;".",d_Irr!BJ29="."),d_dir!AM29/((1/1000)*(d_Irr!L29+d_Irr!AK29)),IF(AND(d_Irr!L29&lt;&gt;".",d_Irr!AK29=".",d_Irr!BJ29&lt;&gt;"."),d_dir!AM29/((1/1000)*(d_Irr!L29+d_Irr!BJ29)),IF(AND(d_Irr!L29=".",d_Irr!AK29&lt;&gt;".",d_Irr!BJ29&lt;&gt;"."),d_dir!AM29/((1/1000)*(d_Irr!AK29+d_Irr!BJ29)),IF(AND(d_Irr!L29=".",d_Irr!AK29=".",d_Irr!BJ29&lt;&gt;"."),d_dir!AM29/((1/1000)*(d_Irr!BJ29)),IF(AND(d_Irr!L29=".",d_Irr!AK29&lt;&gt;".",d_Irr!BJ29="."),d_dir!AM29/((1/1000)*(d_Irr!AK29)),IF(AND(d_Irr!L29&lt;&gt;".",d_Irr!AK29=".",d_Irr!BJ29="."),d_dir!AM29/((1/1000)*(d_Irr!L29)),IF(AND(d_Irr!L29=".",d_Irr!AK29=".",d_Irr!BJ29="."),d_dir!AM29*1000)))))))),".")</f>
        <v>.</v>
      </c>
      <c r="AN29" s="70" t="str">
        <f>IFERROR(IF(AND(d_Irr!M29&lt;&gt;".",d_Irr!AL29&lt;&gt;".",d_Irr!BK29&lt;&gt;"."),d_dir!AN29/((1/1000)*(d_Irr!M29+d_Irr!AL29+d_Irr!BK29)),IF(AND(d_Irr!M29&lt;&gt;".",d_Irr!AL29&lt;&gt;".",d_Irr!BK29="."),d_dir!AN29/((1/1000)*(d_Irr!M29+d_Irr!AL29)),IF(AND(d_Irr!M29&lt;&gt;".",d_Irr!AL29=".",d_Irr!BK29&lt;&gt;"."),d_dir!AN29/((1/1000)*(d_Irr!M29+d_Irr!BK29)),IF(AND(d_Irr!M29=".",d_Irr!AL29&lt;&gt;".",d_Irr!BK29&lt;&gt;"."),d_dir!AN29/((1/1000)*(d_Irr!AL29+d_Irr!BK29)),IF(AND(d_Irr!M29=".",d_Irr!AL29=".",d_Irr!BK29&lt;&gt;"."),d_dir!AN29/((1/1000)*(d_Irr!BK29)),IF(AND(d_Irr!M29=".",d_Irr!AL29&lt;&gt;".",d_Irr!BK29="."),d_dir!AN29/((1/1000)*(d_Irr!AL29)),IF(AND(d_Irr!M29&lt;&gt;".",d_Irr!AL29=".",d_Irr!BK29="."),d_dir!AN29/((1/1000)*(d_Irr!M29)),IF(AND(d_Irr!M29=".",d_Irr!AL29=".",d_Irr!BK29="."),d_dir!AN29*1000)))))))),".")</f>
        <v>.</v>
      </c>
      <c r="AO29" s="70" t="str">
        <f>IFERROR(IF(AND(d_Irr!N29&lt;&gt;".",d_Irr!AM29&lt;&gt;".",d_Irr!BL29&lt;&gt;"."),d_dir!AO29/((1/1000)*(d_Irr!N29+d_Irr!AM29+d_Irr!BL29)),IF(AND(d_Irr!N29&lt;&gt;".",d_Irr!AM29&lt;&gt;".",d_Irr!BL29="."),d_dir!AO29/((1/1000)*(d_Irr!N29+d_Irr!AM29)),IF(AND(d_Irr!N29&lt;&gt;".",d_Irr!AM29=".",d_Irr!BL29&lt;&gt;"."),d_dir!AO29/((1/1000)*(d_Irr!N29+d_Irr!BL29)),IF(AND(d_Irr!N29=".",d_Irr!AM29&lt;&gt;".",d_Irr!BL29&lt;&gt;"."),d_dir!AO29/((1/1000)*(d_Irr!AM29+d_Irr!BL29)),IF(AND(d_Irr!N29=".",d_Irr!AM29=".",d_Irr!BL29&lt;&gt;"."),d_dir!AO29/((1/1000)*(d_Irr!BL29)),IF(AND(d_Irr!N29=".",d_Irr!AM29&lt;&gt;".",d_Irr!BL29="."),d_dir!AO29/((1/1000)*(d_Irr!AM29)),IF(AND(d_Irr!N29&lt;&gt;".",d_Irr!AM29=".",d_Irr!BL29="."),d_dir!AO29/((1/1000)*(d_Irr!N29)),IF(AND(d_Irr!N29=".",d_Irr!AM29=".",d_Irr!BL29="."),d_dir!AO29*1000)))))))),".")</f>
        <v>.</v>
      </c>
      <c r="AP29" s="70" t="str">
        <f>IFERROR(IF(AND(d_Irr!O29&lt;&gt;".",d_Irr!AN29&lt;&gt;".",d_Irr!BM29&lt;&gt;"."),d_dir!AP29/((1/1000)*(d_Irr!O29+d_Irr!AN29+d_Irr!BM29)),IF(AND(d_Irr!O29&lt;&gt;".",d_Irr!AN29&lt;&gt;".",d_Irr!BM29="."),d_dir!AP29/((1/1000)*(d_Irr!O29+d_Irr!AN29)),IF(AND(d_Irr!O29&lt;&gt;".",d_Irr!AN29=".",d_Irr!BM29&lt;&gt;"."),d_dir!AP29/((1/1000)*(d_Irr!O29+d_Irr!BM29)),IF(AND(d_Irr!O29=".",d_Irr!AN29&lt;&gt;".",d_Irr!BM29&lt;&gt;"."),d_dir!AP29/((1/1000)*(d_Irr!AN29+d_Irr!BM29)),IF(AND(d_Irr!O29=".",d_Irr!AN29=".",d_Irr!BM29&lt;&gt;"."),d_dir!AP29/((1/1000)*(d_Irr!BM29)),IF(AND(d_Irr!O29=".",d_Irr!AN29&lt;&gt;".",d_Irr!BM29="."),d_dir!AP29/((1/1000)*(d_Irr!AN29)),IF(AND(d_Irr!O29&lt;&gt;".",d_Irr!AN29=".",d_Irr!BM29="."),d_dir!AP29/((1/1000)*(d_Irr!O29)),IF(AND(d_Irr!O29=".",d_Irr!AN29=".",d_Irr!BM29="."),d_dir!AP29*1000)))))))),".")</f>
        <v>.</v>
      </c>
      <c r="AQ29" s="70" t="str">
        <f>IFERROR(IF(AND(d_Irr!P29&lt;&gt;".",d_Irr!AO29&lt;&gt;".",d_Irr!BN29&lt;&gt;"."),d_dir!AQ29/((1/1000)*(d_Irr!P29+d_Irr!AO29+d_Irr!BN29)),IF(AND(d_Irr!P29&lt;&gt;".",d_Irr!AO29&lt;&gt;".",d_Irr!BN29="."),d_dir!AQ29/((1/1000)*(d_Irr!P29+d_Irr!AO29)),IF(AND(d_Irr!P29&lt;&gt;".",d_Irr!AO29=".",d_Irr!BN29&lt;&gt;"."),d_dir!AQ29/((1/1000)*(d_Irr!P29+d_Irr!BN29)),IF(AND(d_Irr!P29=".",d_Irr!AO29&lt;&gt;".",d_Irr!BN29&lt;&gt;"."),d_dir!AQ29/((1/1000)*(d_Irr!AO29+d_Irr!BN29)),IF(AND(d_Irr!P29=".",d_Irr!AO29=".",d_Irr!BN29&lt;&gt;"."),d_dir!AQ29/((1/1000)*(d_Irr!BN29)),IF(AND(d_Irr!P29=".",d_Irr!AO29&lt;&gt;".",d_Irr!BN29="."),d_dir!AQ29/((1/1000)*(d_Irr!AO29)),IF(AND(d_Irr!P29&lt;&gt;".",d_Irr!AO29=".",d_Irr!BN29="."),d_dir!AQ29/((1/1000)*(d_Irr!P29)),IF(AND(d_Irr!P29=".",d_Irr!AO29=".",d_Irr!BN29="."),d_dir!AQ29*1000)))))))),".")</f>
        <v>.</v>
      </c>
      <c r="AR29" s="70" t="str">
        <f>IFERROR(IF(AND(d_Irr!Q29&lt;&gt;".",d_Irr!AP29&lt;&gt;".",d_Irr!BO29&lt;&gt;"."),d_dir!AR29/((1/1000)*(d_Irr!Q29+d_Irr!AP29+d_Irr!BO29)),IF(AND(d_Irr!Q29&lt;&gt;".",d_Irr!AP29&lt;&gt;".",d_Irr!BO29="."),d_dir!AR29/((1/1000)*(d_Irr!Q29+d_Irr!AP29)),IF(AND(d_Irr!Q29&lt;&gt;".",d_Irr!AP29=".",d_Irr!BO29&lt;&gt;"."),d_dir!AR29/((1/1000)*(d_Irr!Q29+d_Irr!BO29)),IF(AND(d_Irr!Q29=".",d_Irr!AP29&lt;&gt;".",d_Irr!BO29&lt;&gt;"."),d_dir!AR29/((1/1000)*(d_Irr!AP29+d_Irr!BO29)),IF(AND(d_Irr!Q29=".",d_Irr!AP29=".",d_Irr!BO29&lt;&gt;"."),d_dir!AR29/((1/1000)*(d_Irr!BO29)),IF(AND(d_Irr!Q29=".",d_Irr!AP29&lt;&gt;".",d_Irr!BO29="."),d_dir!AR29/((1/1000)*(d_Irr!AP29)),IF(AND(d_Irr!Q29&lt;&gt;".",d_Irr!AP29=".",d_Irr!BO29="."),d_dir!AR29/((1/1000)*(d_Irr!Q29)),IF(AND(d_Irr!Q29=".",d_Irr!AP29=".",d_Irr!BO29="."),d_dir!AR29*1000)))))))),".")</f>
        <v>.</v>
      </c>
      <c r="AS29" s="70" t="str">
        <f>IFERROR(IF(AND(d_Irr!R29&lt;&gt;".",d_Irr!AQ29&lt;&gt;".",d_Irr!BP29&lt;&gt;"."),d_dir!AS29/((1/1000)*(d_Irr!R29+d_Irr!AQ29+d_Irr!BP29)),IF(AND(d_Irr!R29&lt;&gt;".",d_Irr!AQ29&lt;&gt;".",d_Irr!BP29="."),d_dir!AS29/((1/1000)*(d_Irr!R29+d_Irr!AQ29)),IF(AND(d_Irr!R29&lt;&gt;".",d_Irr!AQ29=".",d_Irr!BP29&lt;&gt;"."),d_dir!AS29/((1/1000)*(d_Irr!R29+d_Irr!BP29)),IF(AND(d_Irr!R29=".",d_Irr!AQ29&lt;&gt;".",d_Irr!BP29&lt;&gt;"."),d_dir!AS29/((1/1000)*(d_Irr!AQ29+d_Irr!BP29)),IF(AND(d_Irr!R29=".",d_Irr!AQ29=".",d_Irr!BP29&lt;&gt;"."),d_dir!AS29/((1/1000)*(d_Irr!BP29)),IF(AND(d_Irr!R29=".",d_Irr!AQ29&lt;&gt;".",d_Irr!BP29="."),d_dir!AS29/((1/1000)*(d_Irr!AQ29)),IF(AND(d_Irr!R29&lt;&gt;".",d_Irr!AQ29=".",d_Irr!BP29="."),d_dir!AS29/((1/1000)*(d_Irr!R29)),IF(AND(d_Irr!R29=".",d_Irr!AQ29=".",d_Irr!BP29="."),d_dir!AS29*1000)))))))),".")</f>
        <v>.</v>
      </c>
      <c r="AT29" s="70" t="str">
        <f>IFERROR(IF(AND(d_Irr!S29&lt;&gt;".",d_Irr!AR29&lt;&gt;".",d_Irr!BQ29&lt;&gt;"."),d_dir!AT29/((1/1000)*(d_Irr!S29+d_Irr!AR29+d_Irr!BQ29)),IF(AND(d_Irr!S29&lt;&gt;".",d_Irr!AR29&lt;&gt;".",d_Irr!BQ29="."),d_dir!AT29/((1/1000)*(d_Irr!S29+d_Irr!AR29)),IF(AND(d_Irr!S29&lt;&gt;".",d_Irr!AR29=".",d_Irr!BQ29&lt;&gt;"."),d_dir!AT29/((1/1000)*(d_Irr!S29+d_Irr!BQ29)),IF(AND(d_Irr!S29=".",d_Irr!AR29&lt;&gt;".",d_Irr!BQ29&lt;&gt;"."),d_dir!AT29/((1/1000)*(d_Irr!AR29+d_Irr!BQ29)),IF(AND(d_Irr!S29=".",d_Irr!AR29=".",d_Irr!BQ29&lt;&gt;"."),d_dir!AT29/((1/1000)*(d_Irr!BQ29)),IF(AND(d_Irr!S29=".",d_Irr!AR29&lt;&gt;".",d_Irr!BQ29="."),d_dir!AT29/((1/1000)*(d_Irr!AR29)),IF(AND(d_Irr!S29&lt;&gt;".",d_Irr!AR29=".",d_Irr!BQ29="."),d_dir!AT29/((1/1000)*(d_Irr!S29)),IF(AND(d_Irr!S29=".",d_Irr!AR29=".",d_Irr!BQ29="."),d_dir!AT29*1000)))))))),".")</f>
        <v>.</v>
      </c>
      <c r="AU29" s="70" t="str">
        <f>IFERROR(IF(AND(d_Irr!T29&lt;&gt;".",d_Irr!AS29&lt;&gt;".",d_Irr!BR29&lt;&gt;"."),d_dir!AU29/((1/1000)*(d_Irr!T29+d_Irr!AS29+d_Irr!BR29)),IF(AND(d_Irr!T29&lt;&gt;".",d_Irr!AS29&lt;&gt;".",d_Irr!BR29="."),d_dir!AU29/((1/1000)*(d_Irr!T29+d_Irr!AS29)),IF(AND(d_Irr!T29&lt;&gt;".",d_Irr!AS29=".",d_Irr!BR29&lt;&gt;"."),d_dir!AU29/((1/1000)*(d_Irr!T29+d_Irr!BR29)),IF(AND(d_Irr!T29=".",d_Irr!AS29&lt;&gt;".",d_Irr!BR29&lt;&gt;"."),d_dir!AU29/((1/1000)*(d_Irr!AS29+d_Irr!BR29)),IF(AND(d_Irr!T29=".",d_Irr!AS29=".",d_Irr!BR29&lt;&gt;"."),d_dir!AU29/((1/1000)*(d_Irr!BR29)),IF(AND(d_Irr!T29=".",d_Irr!AS29&lt;&gt;".",d_Irr!BR29="."),d_dir!AU29/((1/1000)*(d_Irr!AS29)),IF(AND(d_Irr!T29&lt;&gt;".",d_Irr!AS29=".",d_Irr!BR29="."),d_dir!AU29/((1/1000)*(d_Irr!T29)),IF(AND(d_Irr!T29=".",d_Irr!AS29=".",d_Irr!BR29="."),d_dir!AU29*1000)))))))),".")</f>
        <v>.</v>
      </c>
      <c r="AV29" s="70" t="str">
        <f>IFERROR(IF(AND(d_Irr!U29&lt;&gt;".",d_Irr!AT29&lt;&gt;".",d_Irr!BS29&lt;&gt;"."),d_dir!AV29/((1/1000)*(d_Irr!U29+d_Irr!AT29+d_Irr!BS29)),IF(AND(d_Irr!U29&lt;&gt;".",d_Irr!AT29&lt;&gt;".",d_Irr!BS29="."),d_dir!AV29/((1/1000)*(d_Irr!U29+d_Irr!AT29)),IF(AND(d_Irr!U29&lt;&gt;".",d_Irr!AT29=".",d_Irr!BS29&lt;&gt;"."),d_dir!AV29/((1/1000)*(d_Irr!U29+d_Irr!BS29)),IF(AND(d_Irr!U29=".",d_Irr!AT29&lt;&gt;".",d_Irr!BS29&lt;&gt;"."),d_dir!AV29/((1/1000)*(d_Irr!AT29+d_Irr!BS29)),IF(AND(d_Irr!U29=".",d_Irr!AT29=".",d_Irr!BS29&lt;&gt;"."),d_dir!AV29/((1/1000)*(d_Irr!BS29)),IF(AND(d_Irr!U29=".",d_Irr!AT29&lt;&gt;".",d_Irr!BS29="."),d_dir!AV29/((1/1000)*(d_Irr!AT29)),IF(AND(d_Irr!U29&lt;&gt;".",d_Irr!AT29=".",d_Irr!BS29="."),d_dir!AV29/((1/1000)*(d_Irr!U29)),IF(AND(d_Irr!U29=".",d_Irr!AT29=".",d_Irr!BS29="."),d_dir!AV29*1000)))))))),".")</f>
        <v>.</v>
      </c>
      <c r="AW29" s="70" t="str">
        <f>IFERROR(IF(AND(d_Irr!V29&lt;&gt;".",d_Irr!AU29&lt;&gt;".",d_Irr!BT29&lt;&gt;"."),d_dir!AW29/((1/1000)*(d_Irr!V29+d_Irr!AU29+d_Irr!BT29)),IF(AND(d_Irr!V29&lt;&gt;".",d_Irr!AU29&lt;&gt;".",d_Irr!BT29="."),d_dir!AW29/((1/1000)*(d_Irr!V29+d_Irr!AU29)),IF(AND(d_Irr!V29&lt;&gt;".",d_Irr!AU29=".",d_Irr!BT29&lt;&gt;"."),d_dir!AW29/((1/1000)*(d_Irr!V29+d_Irr!BT29)),IF(AND(d_Irr!V29=".",d_Irr!AU29&lt;&gt;".",d_Irr!BT29&lt;&gt;"."),d_dir!AW29/((1/1000)*(d_Irr!AU29+d_Irr!BT29)),IF(AND(d_Irr!V29=".",d_Irr!AU29=".",d_Irr!BT29&lt;&gt;"."),d_dir!AW29/((1/1000)*(d_Irr!BT29)),IF(AND(d_Irr!V29=".",d_Irr!AU29&lt;&gt;".",d_Irr!BT29="."),d_dir!AW29/((1/1000)*(d_Irr!AU29)),IF(AND(d_Irr!V29&lt;&gt;".",d_Irr!AU29=".",d_Irr!BT29="."),d_dir!AW29/((1/1000)*(d_Irr!V29)),IF(AND(d_Irr!V29=".",d_Irr!AU29=".",d_Irr!BT29="."),d_dir!AW29*1000)))))))),".")</f>
        <v>.</v>
      </c>
      <c r="AX29" s="70" t="str">
        <f>IFERROR(IF(AND(d_Irr!W29&lt;&gt;".",d_Irr!AV29&lt;&gt;".",d_Irr!BU29&lt;&gt;"."),d_dir!AX29/((1/1000)*(d_Irr!W29+d_Irr!AV29+d_Irr!BU29)),IF(AND(d_Irr!W29&lt;&gt;".",d_Irr!AV29&lt;&gt;".",d_Irr!BU29="."),d_dir!AX29/((1/1000)*(d_Irr!W29+d_Irr!AV29)),IF(AND(d_Irr!W29&lt;&gt;".",d_Irr!AV29=".",d_Irr!BU29&lt;&gt;"."),d_dir!AX29/((1/1000)*(d_Irr!W29+d_Irr!BU29)),IF(AND(d_Irr!W29=".",d_Irr!AV29&lt;&gt;".",d_Irr!BU29&lt;&gt;"."),d_dir!AX29/((1/1000)*(d_Irr!AV29+d_Irr!BU29)),IF(AND(d_Irr!W29=".",d_Irr!AV29=".",d_Irr!BU29&lt;&gt;"."),d_dir!AX29/((1/1000)*(d_Irr!BU29)),IF(AND(d_Irr!W29=".",d_Irr!AV29&lt;&gt;".",d_Irr!BU29="."),d_dir!AX29/((1/1000)*(d_Irr!AV29)),IF(AND(d_Irr!W29&lt;&gt;".",d_Irr!AV29=".",d_Irr!BU29="."),d_dir!AX29/((1/1000)*(d_Irr!W29)),IF(AND(d_Irr!W29=".",d_Irr!AV29=".",d_Irr!BU29="."),d_dir!AX29*1000)))))))),".")</f>
        <v>.</v>
      </c>
      <c r="AY29" s="70" t="str">
        <f>IFERROR(IF(AND(d_Irr!X29&lt;&gt;".",d_Irr!AW29&lt;&gt;".",d_Irr!BV29&lt;&gt;"."),d_dir!AY29/((1/1000)*(d_Irr!X29+d_Irr!AW29+d_Irr!BV29)),IF(AND(d_Irr!X29&lt;&gt;".",d_Irr!AW29&lt;&gt;".",d_Irr!BV29="."),d_dir!AY29/((1/1000)*(d_Irr!X29+d_Irr!AW29)),IF(AND(d_Irr!X29&lt;&gt;".",d_Irr!AW29=".",d_Irr!BV29&lt;&gt;"."),d_dir!AY29/((1/1000)*(d_Irr!X29+d_Irr!BV29)),IF(AND(d_Irr!X29=".",d_Irr!AW29&lt;&gt;".",d_Irr!BV29&lt;&gt;"."),d_dir!AY29/((1/1000)*(d_Irr!AW29+d_Irr!BV29)),IF(AND(d_Irr!X29=".",d_Irr!AW29=".",d_Irr!BV29&lt;&gt;"."),d_dir!AY29/((1/1000)*(d_Irr!BV29)),IF(AND(d_Irr!X29=".",d_Irr!AW29&lt;&gt;".",d_Irr!BV29="."),d_dir!AY29/((1/1000)*(d_Irr!AW29)),IF(AND(d_Irr!X29&lt;&gt;".",d_Irr!AW29=".",d_Irr!BV29="."),d_dir!AY29/((1/1000)*(d_Irr!X29)),IF(AND(d_Irr!X29=".",d_Irr!AW29=".",d_Irr!BV29="."),d_dir!AY29*1000)))))))),".")</f>
        <v>.</v>
      </c>
      <c r="AZ29" s="70" t="str">
        <f>IFERROR(IF(AND(d_Irr!Y29&lt;&gt;".",d_Irr!AX29&lt;&gt;".",d_Irr!BW29&lt;&gt;"."),d_dir!AZ29/((1/1000)*(d_Irr!Y29+d_Irr!AX29+d_Irr!BW29)),IF(AND(d_Irr!Y29&lt;&gt;".",d_Irr!AX29&lt;&gt;".",d_Irr!BW29="."),d_dir!AZ29/((1/1000)*(d_Irr!Y29+d_Irr!AX29)),IF(AND(d_Irr!Y29&lt;&gt;".",d_Irr!AX29=".",d_Irr!BW29&lt;&gt;"."),d_dir!AZ29/((1/1000)*(d_Irr!Y29+d_Irr!BW29)),IF(AND(d_Irr!Y29=".",d_Irr!AX29&lt;&gt;".",d_Irr!BW29&lt;&gt;"."),d_dir!AZ29/((1/1000)*(d_Irr!AX29+d_Irr!BW29)),IF(AND(d_Irr!Y29=".",d_Irr!AX29=".",d_Irr!BW29&lt;&gt;"."),d_dir!AZ29/((1/1000)*(d_Irr!BW29)),IF(AND(d_Irr!Y29=".",d_Irr!AX29&lt;&gt;".",d_Irr!BW29="."),d_dir!AZ29/((1/1000)*(d_Irr!AX29)),IF(AND(d_Irr!Y29&lt;&gt;".",d_Irr!AX29=".",d_Irr!BW29="."),d_dir!AZ29/((1/1000)*(d_Irr!Y29)),IF(AND(d_Irr!Y29=".",d_Irr!AX29=".",d_Irr!BW29="."),d_dir!AZ29*1000)))))))),".")</f>
        <v>.</v>
      </c>
      <c r="BA29" s="70" t="str">
        <f>IFERROR(IF(AND(d_Irr!Z29&lt;&gt;".",d_Irr!AY29&lt;&gt;".",d_Irr!BX29&lt;&gt;"."),d_dir!BA29/((1/1000)*(d_Irr!Z29+d_Irr!AY29+d_Irr!BX29)),IF(AND(d_Irr!Z29&lt;&gt;".",d_Irr!AY29&lt;&gt;".",d_Irr!BX29="."),d_dir!BA29/((1/1000)*(d_Irr!Z29+d_Irr!AY29)),IF(AND(d_Irr!Z29&lt;&gt;".",d_Irr!AY29=".",d_Irr!BX29&lt;&gt;"."),d_dir!BA29/((1/1000)*(d_Irr!Z29+d_Irr!BX29)),IF(AND(d_Irr!Z29=".",d_Irr!AY29&lt;&gt;".",d_Irr!BX29&lt;&gt;"."),d_dir!BA29/((1/1000)*(d_Irr!AY29+d_Irr!BX29)),IF(AND(d_Irr!Z29=".",d_Irr!AY29=".",d_Irr!BX29&lt;&gt;"."),d_dir!BA29/((1/1000)*(d_Irr!BX29)),IF(AND(d_Irr!Z29=".",d_Irr!AY29&lt;&gt;".",d_Irr!BX29="."),d_dir!BA29/((1/1000)*(d_Irr!AY29)),IF(AND(d_Irr!Z29&lt;&gt;".",d_Irr!AY29=".",d_Irr!BX29="."),d_dir!BA29/((1/1000)*(d_Irr!Z29)),IF(AND(d_Irr!Z29=".",d_Irr!AY29=".",d_Irr!BX29="."),d_dir!BA29*1000)))))))),".")</f>
        <v>.</v>
      </c>
      <c r="BB29" s="70" t="str">
        <f>IFERROR(IF(AND(d_Irr!AA29&lt;&gt;".",d_Irr!AZ29&lt;&gt;".",d_Irr!BY29&lt;&gt;"."),d_dir!BB29/((1/1000)*(d_Irr!AA29+d_Irr!AZ29+d_Irr!BY29)),IF(AND(d_Irr!AA29&lt;&gt;".",d_Irr!AZ29&lt;&gt;".",d_Irr!BY29="."),d_dir!BB29/((1/1000)*(d_Irr!AA29+d_Irr!AZ29)),IF(AND(d_Irr!AA29&lt;&gt;".",d_Irr!AZ29=".",d_Irr!BY29&lt;&gt;"."),d_dir!BB29/((1/1000)*(d_Irr!AA29+d_Irr!BY29)),IF(AND(d_Irr!AA29=".",d_Irr!AZ29&lt;&gt;".",d_Irr!BY29&lt;&gt;"."),d_dir!BB29/((1/1000)*(d_Irr!AZ29+d_Irr!BY29)),IF(AND(d_Irr!AA29=".",d_Irr!AZ29=".",d_Irr!BY29&lt;&gt;"."),d_dir!BB29/((1/1000)*(d_Irr!BY29)),IF(AND(d_Irr!AA29=".",d_Irr!AZ29&lt;&gt;".",d_Irr!BY29="."),d_dir!BB29/((1/1000)*(d_Irr!AZ29)),IF(AND(d_Irr!AA29&lt;&gt;".",d_Irr!AZ29=".",d_Irr!BY29="."),d_dir!BB29/((1/1000)*(d_Irr!AA29)),IF(AND(d_Irr!AA29=".",d_Irr!AZ29=".",d_Irr!BY29="."),d_dir!BB29*1000)))))))),".")</f>
        <v>.</v>
      </c>
    </row>
    <row r="30" spans="1:54" ht="15" customHeight="1" x14ac:dyDescent="0.25">
      <c r="A30" s="86" t="s">
        <v>28</v>
      </c>
      <c r="B30" s="84" t="s">
        <v>1057</v>
      </c>
      <c r="C30" s="2">
        <f t="shared" si="1"/>
        <v>2.4568208272321308</v>
      </c>
      <c r="D30" s="70">
        <f>IFERROR(IF(AND(d_Irr!C30&lt;&gt;".",d_Irr!AB30&lt;&gt;".",d_Irr!BA30&lt;&gt;"."),d_dir!D30/((1/1000)*(d_Irr!C30+d_Irr!AB30+d_Irr!BA30)),IF(AND(d_Irr!C30&lt;&gt;".",d_Irr!AB30&lt;&gt;".",d_Irr!BA30="."),d_dir!D30/((1/1000)*(d_Irr!C30+d_Irr!AB30)),IF(AND(d_Irr!C30&lt;&gt;".",d_Irr!AB30=".",d_Irr!BA30&lt;&gt;"."),d_dir!D30/((1/1000)*(d_Irr!C30+d_Irr!BA30)),IF(AND(d_Irr!C30=".",d_Irr!AB30&lt;&gt;".",d_Irr!BA30&lt;&gt;"."),d_dir!D30/((1/1000)*(d_Irr!AB30+d_Irr!BA30)),IF(AND(d_Irr!C30=".",d_Irr!AB30=".",d_Irr!BA30&lt;&gt;"."),d_dir!D30/((1/1000)*(d_Irr!BA30)),IF(AND(d_Irr!C30=".",d_Irr!AB30&lt;&gt;".",d_Irr!BA30="."),d_dir!D30/((1/1000)*(d_Irr!AB30)),IF(AND(d_Irr!C30&lt;&gt;".",d_Irr!AB30=".",d_Irr!BA30="."),d_dir!D30/((1/1000)*(d_Irr!C30)),IF(AND(d_Irr!C30=".",d_Irr!AB30=".",d_Irr!BA30="."),d_dir!D30*1000)))))))),".")</f>
        <v>47.397875946871537</v>
      </c>
      <c r="E30" s="70">
        <f>IFERROR(IF(AND(d_Irr!D30&lt;&gt;".",d_Irr!AC30&lt;&gt;".",d_Irr!BB30&lt;&gt;"."),d_dir!E30/((1/1000)*(d_Irr!D30+d_Irr!AC30+d_Irr!BB30)),IF(AND(d_Irr!D30&lt;&gt;".",d_Irr!AC30&lt;&gt;".",d_Irr!BB30="."),d_dir!E30/((1/1000)*(d_Irr!D30+d_Irr!AC30)),IF(AND(d_Irr!D30&lt;&gt;".",d_Irr!AC30=".",d_Irr!BB30&lt;&gt;"."),d_dir!E30/((1/1000)*(d_Irr!D30+d_Irr!BB30)),IF(AND(d_Irr!D30=".",d_Irr!AC30&lt;&gt;".",d_Irr!BB30&lt;&gt;"."),d_dir!E30/((1/1000)*(d_Irr!AC30+d_Irr!BB30)),IF(AND(d_Irr!D30=".",d_Irr!AC30=".",d_Irr!BB30&lt;&gt;"."),d_dir!E30/((1/1000)*(d_Irr!BB30)),IF(AND(d_Irr!D30=".",d_Irr!AC30&lt;&gt;".",d_Irr!BB30="."),d_dir!E30/((1/1000)*(d_Irr!AC30)),IF(AND(d_Irr!D30&lt;&gt;".",d_Irr!AC30=".",d_Irr!BB30="."),d_dir!E30/((1/1000)*(d_Irr!D30)),IF(AND(d_Irr!D30=".",d_Irr!AC30=".",d_Irr!BB30="."),d_dir!E30*1000)))))))),".")</f>
        <v>87.520516687803394</v>
      </c>
      <c r="F30" s="70">
        <f>IFERROR(IF(AND(d_Irr!E30&lt;&gt;".",d_Irr!AD30&lt;&gt;".",d_Irr!BC30&lt;&gt;"."),d_dir!F30/((1/1000)*(d_Irr!E30+d_Irr!AD30+d_Irr!BC30)),IF(AND(d_Irr!E30&lt;&gt;".",d_Irr!AD30&lt;&gt;".",d_Irr!BC30="."),d_dir!F30/((1/1000)*(d_Irr!E30+d_Irr!AD30)),IF(AND(d_Irr!E30&lt;&gt;".",d_Irr!AD30=".",d_Irr!BC30&lt;&gt;"."),d_dir!F30/((1/1000)*(d_Irr!E30+d_Irr!BC30)),IF(AND(d_Irr!E30=".",d_Irr!AD30&lt;&gt;".",d_Irr!BC30&lt;&gt;"."),d_dir!F30/((1/1000)*(d_Irr!AD30+d_Irr!BC30)),IF(AND(d_Irr!E30=".",d_Irr!AD30=".",d_Irr!BC30&lt;&gt;"."),d_dir!F30/((1/1000)*(d_Irr!BC30)),IF(AND(d_Irr!E30=".",d_Irr!AD30&lt;&gt;".",d_Irr!BC30="."),d_dir!F30/((1/1000)*(d_Irr!AD30)),IF(AND(d_Irr!E30&lt;&gt;".",d_Irr!AD30=".",d_Irr!BC30="."),d_dir!F30/((1/1000)*(d_Irr!E30)),IF(AND(d_Irr!E30=".",d_Irr!AD30=".",d_Irr!BC30="."),d_dir!F30*1000)))))))),".")</f>
        <v>116.59830806189723</v>
      </c>
      <c r="G30" s="70">
        <f>IFERROR(IF(AND(d_Irr!F30&lt;&gt;".",d_Irr!AE30&lt;&gt;".",d_Irr!BD30&lt;&gt;"."),d_dir!G30/((1/1000)*(d_Irr!F30+d_Irr!AE30+d_Irr!BD30)),IF(AND(d_Irr!F30&lt;&gt;".",d_Irr!AE30&lt;&gt;".",d_Irr!BD30="."),d_dir!G30/((1/1000)*(d_Irr!F30+d_Irr!AE30)),IF(AND(d_Irr!F30&lt;&gt;".",d_Irr!AE30=".",d_Irr!BD30&lt;&gt;"."),d_dir!G30/((1/1000)*(d_Irr!F30+d_Irr!BD30)),IF(AND(d_Irr!F30=".",d_Irr!AE30&lt;&gt;".",d_Irr!BD30&lt;&gt;"."),d_dir!G30/((1/1000)*(d_Irr!AE30+d_Irr!BD30)),IF(AND(d_Irr!F30=".",d_Irr!AE30=".",d_Irr!BD30&lt;&gt;"."),d_dir!G30/((1/1000)*(d_Irr!BD30)),IF(AND(d_Irr!F30=".",d_Irr!AE30&lt;&gt;".",d_Irr!BD30="."),d_dir!G30/((1/1000)*(d_Irr!AE30)),IF(AND(d_Irr!F30&lt;&gt;".",d_Irr!AE30=".",d_Irr!BD30="."),d_dir!G30/((1/1000)*(d_Irr!F30)),IF(AND(d_Irr!F30=".",d_Irr!AE30=".",d_Irr!BD30="."),d_dir!G30*1000)))))))),".")</f>
        <v>106.57445511327165</v>
      </c>
      <c r="H30" s="70">
        <f>IFERROR(IF(AND(d_Irr!G30&lt;&gt;".",d_Irr!AF30&lt;&gt;".",d_Irr!BE30&lt;&gt;"."),d_dir!H30/((1/1000)*(d_Irr!G30+d_Irr!AF30+d_Irr!BE30)),IF(AND(d_Irr!G30&lt;&gt;".",d_Irr!AF30&lt;&gt;".",d_Irr!BE30="."),d_dir!H30/((1/1000)*(d_Irr!G30+d_Irr!AF30)),IF(AND(d_Irr!G30&lt;&gt;".",d_Irr!AF30=".",d_Irr!BE30&lt;&gt;"."),d_dir!H30/((1/1000)*(d_Irr!G30+d_Irr!BE30)),IF(AND(d_Irr!G30=".",d_Irr!AF30&lt;&gt;".",d_Irr!BE30&lt;&gt;"."),d_dir!H30/((1/1000)*(d_Irr!AF30+d_Irr!BE30)),IF(AND(d_Irr!G30=".",d_Irr!AF30=".",d_Irr!BE30&lt;&gt;"."),d_dir!H30/((1/1000)*(d_Irr!BE30)),IF(AND(d_Irr!G30=".",d_Irr!AF30&lt;&gt;".",d_Irr!BE30="."),d_dir!H30/((1/1000)*(d_Irr!AF30)),IF(AND(d_Irr!G30&lt;&gt;".",d_Irr!AF30=".",d_Irr!BE30="."),d_dir!H30/((1/1000)*(d_Irr!G30)),IF(AND(d_Irr!G30=".",d_Irr!AF30=".",d_Irr!BE30="."),d_dir!H30*1000)))))))),".")</f>
        <v>114.75591494606938</v>
      </c>
      <c r="I30" s="70">
        <f>IFERROR(IF(AND(d_Irr!H30&lt;&gt;".",d_Irr!AG30&lt;&gt;".",d_Irr!BF30&lt;&gt;"."),d_dir!I30/((1/1000)*(d_Irr!H30+d_Irr!AG30+d_Irr!BF30)),IF(AND(d_Irr!H30&lt;&gt;".",d_Irr!AG30&lt;&gt;".",d_Irr!BF30="."),d_dir!I30/((1/1000)*(d_Irr!H30+d_Irr!AG30)),IF(AND(d_Irr!H30&lt;&gt;".",d_Irr!AG30=".",d_Irr!BF30&lt;&gt;"."),d_dir!I30/((1/1000)*(d_Irr!H30+d_Irr!BF30)),IF(AND(d_Irr!H30=".",d_Irr!AG30&lt;&gt;".",d_Irr!BF30&lt;&gt;"."),d_dir!I30/((1/1000)*(d_Irr!AG30+d_Irr!BF30)),IF(AND(d_Irr!H30=".",d_Irr!AG30=".",d_Irr!BF30&lt;&gt;"."),d_dir!I30/((1/1000)*(d_Irr!BF30)),IF(AND(d_Irr!H30=".",d_Irr!AG30&lt;&gt;".",d_Irr!BF30="."),d_dir!I30/((1/1000)*(d_Irr!AG30)),IF(AND(d_Irr!H30&lt;&gt;".",d_Irr!AG30=".",d_Irr!BF30="."),d_dir!I30/((1/1000)*(d_Irr!H30)),IF(AND(d_Irr!H30=".",d_Irr!AG30=".",d_Irr!BF30="."),d_dir!I30*1000)))))))),".")</f>
        <v>43.101474014862696</v>
      </c>
      <c r="J30" s="70">
        <f>IFERROR(IF(AND(d_Irr!I30&lt;&gt;".",d_Irr!AH30&lt;&gt;".",d_Irr!BG30&lt;&gt;"."),d_dir!J30/((1/1000)*(d_Irr!I30+d_Irr!AH30+d_Irr!BG30)),IF(AND(d_Irr!I30&lt;&gt;".",d_Irr!AH30&lt;&gt;".",d_Irr!BG30="."),d_dir!J30/((1/1000)*(d_Irr!I30+d_Irr!AH30)),IF(AND(d_Irr!I30&lt;&gt;".",d_Irr!AH30=".",d_Irr!BG30&lt;&gt;"."),d_dir!J30/((1/1000)*(d_Irr!I30+d_Irr!BG30)),IF(AND(d_Irr!I30=".",d_Irr!AH30&lt;&gt;".",d_Irr!BG30&lt;&gt;"."),d_dir!J30/((1/1000)*(d_Irr!AH30+d_Irr!BG30)),IF(AND(d_Irr!I30=".",d_Irr!AH30=".",d_Irr!BG30&lt;&gt;"."),d_dir!J30/((1/1000)*(d_Irr!BG30)),IF(AND(d_Irr!I30=".",d_Irr!AH30&lt;&gt;".",d_Irr!BG30="."),d_dir!J30/((1/1000)*(d_Irr!AH30)),IF(AND(d_Irr!I30&lt;&gt;".",d_Irr!AH30=".",d_Irr!BG30="."),d_dir!J30/((1/1000)*(d_Irr!I30)),IF(AND(d_Irr!I30=".",d_Irr!AH30=".",d_Irr!BG30="."),d_dir!J30*1000)))))))),".")</f>
        <v>134.30991083044631</v>
      </c>
      <c r="K30" s="70">
        <f>IFERROR(IF(AND(d_Irr!J30&lt;&gt;".",d_Irr!AI30&lt;&gt;".",d_Irr!BH30&lt;&gt;"."),d_dir!K30/((1/1000)*(d_Irr!J30+d_Irr!AI30+d_Irr!BH30)),IF(AND(d_Irr!J30&lt;&gt;".",d_Irr!AI30&lt;&gt;".",d_Irr!BH30="."),d_dir!K30/((1/1000)*(d_Irr!J30+d_Irr!AI30)),IF(AND(d_Irr!J30&lt;&gt;".",d_Irr!AI30=".",d_Irr!BH30&lt;&gt;"."),d_dir!K30/((1/1000)*(d_Irr!J30+d_Irr!BH30)),IF(AND(d_Irr!J30=".",d_Irr!AI30&lt;&gt;".",d_Irr!BH30&lt;&gt;"."),d_dir!K30/((1/1000)*(d_Irr!AI30+d_Irr!BH30)),IF(AND(d_Irr!J30=".",d_Irr!AI30=".",d_Irr!BH30&lt;&gt;"."),d_dir!K30/((1/1000)*(d_Irr!BH30)),IF(AND(d_Irr!J30=".",d_Irr!AI30&lt;&gt;".",d_Irr!BH30="."),d_dir!K30/((1/1000)*(d_Irr!AI30)),IF(AND(d_Irr!J30&lt;&gt;".",d_Irr!AI30=".",d_Irr!BH30="."),d_dir!K30/((1/1000)*(d_Irr!J30)),IF(AND(d_Irr!J30=".",d_Irr!AI30=".",d_Irr!BH30="."),d_dir!K30*1000)))))))),".")</f>
        <v>12.287494135554224</v>
      </c>
      <c r="L30" s="70">
        <f>IFERROR(IF(AND(d_Irr!K30&lt;&gt;".",d_Irr!AJ30&lt;&gt;".",d_Irr!BI30&lt;&gt;"."),d_dir!L30/((1/1000)*(d_Irr!K30+d_Irr!AJ30+d_Irr!BI30)),IF(AND(d_Irr!K30&lt;&gt;".",d_Irr!AJ30&lt;&gt;".",d_Irr!BI30="."),d_dir!L30/((1/1000)*(d_Irr!K30+d_Irr!AJ30)),IF(AND(d_Irr!K30&lt;&gt;".",d_Irr!AJ30=".",d_Irr!BI30&lt;&gt;"."),d_dir!L30/((1/1000)*(d_Irr!K30+d_Irr!BI30)),IF(AND(d_Irr!K30=".",d_Irr!AJ30&lt;&gt;".",d_Irr!BI30&lt;&gt;"."),d_dir!L30/((1/1000)*(d_Irr!AJ30+d_Irr!BI30)),IF(AND(d_Irr!K30=".",d_Irr!AJ30=".",d_Irr!BI30&lt;&gt;"."),d_dir!L30/((1/1000)*(d_Irr!BI30)),IF(AND(d_Irr!K30=".",d_Irr!AJ30&lt;&gt;".",d_Irr!BI30="."),d_dir!L30/((1/1000)*(d_Irr!AJ30)),IF(AND(d_Irr!K30&lt;&gt;".",d_Irr!AJ30=".",d_Irr!BI30="."),d_dir!L30/((1/1000)*(d_Irr!K30)),IF(AND(d_Irr!K30=".",d_Irr!AJ30=".",d_Irr!BI30="."),d_dir!L30*1000)))))))),".")</f>
        <v>59.313878401284583</v>
      </c>
      <c r="M30" s="70">
        <f>IFERROR(IF(AND(d_Irr!L30&lt;&gt;".",d_Irr!AK30&lt;&gt;".",d_Irr!BJ30&lt;&gt;"."),d_dir!M30/((1/1000)*(d_Irr!L30+d_Irr!AK30+d_Irr!BJ30)),IF(AND(d_Irr!L30&lt;&gt;".",d_Irr!AK30&lt;&gt;".",d_Irr!BJ30="."),d_dir!M30/((1/1000)*(d_Irr!L30+d_Irr!AK30)),IF(AND(d_Irr!L30&lt;&gt;".",d_Irr!AK30=".",d_Irr!BJ30&lt;&gt;"."),d_dir!M30/((1/1000)*(d_Irr!L30+d_Irr!BJ30)),IF(AND(d_Irr!L30=".",d_Irr!AK30&lt;&gt;".",d_Irr!BJ30&lt;&gt;"."),d_dir!M30/((1/1000)*(d_Irr!AK30+d_Irr!BJ30)),IF(AND(d_Irr!L30=".",d_Irr!AK30=".",d_Irr!BJ30&lt;&gt;"."),d_dir!M30/((1/1000)*(d_Irr!BJ30)),IF(AND(d_Irr!L30=".",d_Irr!AK30&lt;&gt;".",d_Irr!BJ30="."),d_dir!M30/((1/1000)*(d_Irr!AK30)),IF(AND(d_Irr!L30&lt;&gt;".",d_Irr!AK30=".",d_Irr!BJ30="."),d_dir!M30/((1/1000)*(d_Irr!L30)),IF(AND(d_Irr!L30=".",d_Irr!AK30=".",d_Irr!BJ30="."),d_dir!M30*1000)))))))),".")</f>
        <v>44.469862872341963</v>
      </c>
      <c r="N30" s="70">
        <f>IFERROR(IF(AND(d_Irr!M30&lt;&gt;".",d_Irr!AL30&lt;&gt;".",d_Irr!BK30&lt;&gt;"."),d_dir!N30/((1/1000)*(d_Irr!M30+d_Irr!AL30+d_Irr!BK30)),IF(AND(d_Irr!M30&lt;&gt;".",d_Irr!AL30&lt;&gt;".",d_Irr!BK30="."),d_dir!N30/((1/1000)*(d_Irr!M30+d_Irr!AL30)),IF(AND(d_Irr!M30&lt;&gt;".",d_Irr!AL30=".",d_Irr!BK30&lt;&gt;"."),d_dir!N30/((1/1000)*(d_Irr!M30+d_Irr!BK30)),IF(AND(d_Irr!M30=".",d_Irr!AL30&lt;&gt;".",d_Irr!BK30&lt;&gt;"."),d_dir!N30/((1/1000)*(d_Irr!AL30+d_Irr!BK30)),IF(AND(d_Irr!M30=".",d_Irr!AL30=".",d_Irr!BK30&lt;&gt;"."),d_dir!N30/((1/1000)*(d_Irr!BK30)),IF(AND(d_Irr!M30=".",d_Irr!AL30&lt;&gt;".",d_Irr!BK30="."),d_dir!N30/((1/1000)*(d_Irr!AL30)),IF(AND(d_Irr!M30&lt;&gt;".",d_Irr!AL30=".",d_Irr!BK30="."),d_dir!N30/((1/1000)*(d_Irr!M30)),IF(AND(d_Irr!M30=".",d_Irr!AL30=".",d_Irr!BK30="."),d_dir!N30*1000)))))))),".")</f>
        <v>91.260645106531996</v>
      </c>
      <c r="O30" s="70">
        <f>IFERROR(IF(AND(d_Irr!N30&lt;&gt;".",d_Irr!AM30&lt;&gt;".",d_Irr!BL30&lt;&gt;"."),d_dir!O30/((1/1000)*(d_Irr!N30+d_Irr!AM30+d_Irr!BL30)),IF(AND(d_Irr!N30&lt;&gt;".",d_Irr!AM30&lt;&gt;".",d_Irr!BL30="."),d_dir!O30/((1/1000)*(d_Irr!N30+d_Irr!AM30)),IF(AND(d_Irr!N30&lt;&gt;".",d_Irr!AM30=".",d_Irr!BL30&lt;&gt;"."),d_dir!O30/((1/1000)*(d_Irr!N30+d_Irr!BL30)),IF(AND(d_Irr!N30=".",d_Irr!AM30&lt;&gt;".",d_Irr!BL30&lt;&gt;"."),d_dir!O30/((1/1000)*(d_Irr!AM30+d_Irr!BL30)),IF(AND(d_Irr!N30=".",d_Irr!AM30=".",d_Irr!BL30&lt;&gt;"."),d_dir!O30/((1/1000)*(d_Irr!BL30)),IF(AND(d_Irr!N30=".",d_Irr!AM30&lt;&gt;".",d_Irr!BL30="."),d_dir!O30/((1/1000)*(d_Irr!AM30)),IF(AND(d_Irr!N30&lt;&gt;".",d_Irr!AM30=".",d_Irr!BL30="."),d_dir!O30/((1/1000)*(d_Irr!N30)),IF(AND(d_Irr!N30=".",d_Irr!AM30=".",d_Irr!BL30="."),d_dir!O30*1000)))))))),".")</f>
        <v>106.69289560843717</v>
      </c>
      <c r="P30" s="70">
        <f>IFERROR(IF(AND(d_Irr!O30&lt;&gt;".",d_Irr!AN30&lt;&gt;".",d_Irr!BM30&lt;&gt;"."),d_dir!P30/((1/1000)*(d_Irr!O30+d_Irr!AN30+d_Irr!BM30)),IF(AND(d_Irr!O30&lt;&gt;".",d_Irr!AN30&lt;&gt;".",d_Irr!BM30="."),d_dir!P30/((1/1000)*(d_Irr!O30+d_Irr!AN30)),IF(AND(d_Irr!O30&lt;&gt;".",d_Irr!AN30=".",d_Irr!BM30&lt;&gt;"."),d_dir!P30/((1/1000)*(d_Irr!O30+d_Irr!BM30)),IF(AND(d_Irr!O30=".",d_Irr!AN30&lt;&gt;".",d_Irr!BM30&lt;&gt;"."),d_dir!P30/((1/1000)*(d_Irr!AN30+d_Irr!BM30)),IF(AND(d_Irr!O30=".",d_Irr!AN30=".",d_Irr!BM30&lt;&gt;"."),d_dir!P30/((1/1000)*(d_Irr!BM30)),IF(AND(d_Irr!O30=".",d_Irr!AN30&lt;&gt;".",d_Irr!BM30="."),d_dir!P30/((1/1000)*(d_Irr!AN30)),IF(AND(d_Irr!O30&lt;&gt;".",d_Irr!AN30=".",d_Irr!BM30="."),d_dir!P30/((1/1000)*(d_Irr!O30)),IF(AND(d_Irr!O30=".",d_Irr!AN30=".",d_Irr!BM30="."),d_dir!P30*1000)))))))),".")</f>
        <v>119.97020020544225</v>
      </c>
      <c r="Q30" s="70">
        <f>IFERROR(IF(AND(d_Irr!P30&lt;&gt;".",d_Irr!AO30&lt;&gt;".",d_Irr!BN30&lt;&gt;"."),d_dir!Q30/((1/1000)*(d_Irr!P30+d_Irr!AO30+d_Irr!BN30)),IF(AND(d_Irr!P30&lt;&gt;".",d_Irr!AO30&lt;&gt;".",d_Irr!BN30="."),d_dir!Q30/((1/1000)*(d_Irr!P30+d_Irr!AO30)),IF(AND(d_Irr!P30&lt;&gt;".",d_Irr!AO30=".",d_Irr!BN30&lt;&gt;"."),d_dir!Q30/((1/1000)*(d_Irr!P30+d_Irr!BN30)),IF(AND(d_Irr!P30=".",d_Irr!AO30&lt;&gt;".",d_Irr!BN30&lt;&gt;"."),d_dir!Q30/((1/1000)*(d_Irr!AO30+d_Irr!BN30)),IF(AND(d_Irr!P30=".",d_Irr!AO30=".",d_Irr!BN30&lt;&gt;"."),d_dir!Q30/((1/1000)*(d_Irr!BN30)),IF(AND(d_Irr!P30=".",d_Irr!AO30&lt;&gt;".",d_Irr!BN30="."),d_dir!Q30/((1/1000)*(d_Irr!AO30)),IF(AND(d_Irr!P30&lt;&gt;".",d_Irr!AO30=".",d_Irr!BN30="."),d_dir!Q30/((1/1000)*(d_Irr!P30)),IF(AND(d_Irr!P30=".",d_Irr!AO30=".",d_Irr!BN30="."),d_dir!Q30*1000)))))))),".")</f>
        <v>181.47434468057514</v>
      </c>
      <c r="R30" s="70">
        <f>IFERROR(IF(AND(d_Irr!Q30&lt;&gt;".",d_Irr!AP30&lt;&gt;".",d_Irr!BO30&lt;&gt;"."),d_dir!R30/((1/1000)*(d_Irr!Q30+d_Irr!AP30+d_Irr!BO30)),IF(AND(d_Irr!Q30&lt;&gt;".",d_Irr!AP30&lt;&gt;".",d_Irr!BO30="."),d_dir!R30/((1/1000)*(d_Irr!Q30+d_Irr!AP30)),IF(AND(d_Irr!Q30&lt;&gt;".",d_Irr!AP30=".",d_Irr!BO30&lt;&gt;"."),d_dir!R30/((1/1000)*(d_Irr!Q30+d_Irr!BO30)),IF(AND(d_Irr!Q30=".",d_Irr!AP30&lt;&gt;".",d_Irr!BO30&lt;&gt;"."),d_dir!R30/((1/1000)*(d_Irr!AP30+d_Irr!BO30)),IF(AND(d_Irr!Q30=".",d_Irr!AP30=".",d_Irr!BO30&lt;&gt;"."),d_dir!R30/((1/1000)*(d_Irr!BO30)),IF(AND(d_Irr!Q30=".",d_Irr!AP30&lt;&gt;".",d_Irr!BO30="."),d_dir!R30/((1/1000)*(d_Irr!AP30)),IF(AND(d_Irr!Q30&lt;&gt;".",d_Irr!AP30=".",d_Irr!BO30="."),d_dir!R30/((1/1000)*(d_Irr!Q30)),IF(AND(d_Irr!Q30=".",d_Irr!AP30=".",d_Irr!BO30="."),d_dir!R30*1000)))))))),".")</f>
        <v>30.43062058549431</v>
      </c>
      <c r="S30" s="70">
        <f>IFERROR(IF(AND(d_Irr!R30&lt;&gt;".",d_Irr!AQ30&lt;&gt;".",d_Irr!BP30&lt;&gt;"."),d_dir!S30/((1/1000)*(d_Irr!R30+d_Irr!AQ30+d_Irr!BP30)),IF(AND(d_Irr!R30&lt;&gt;".",d_Irr!AQ30&lt;&gt;".",d_Irr!BP30="."),d_dir!S30/((1/1000)*(d_Irr!R30+d_Irr!AQ30)),IF(AND(d_Irr!R30&lt;&gt;".",d_Irr!AQ30=".",d_Irr!BP30&lt;&gt;"."),d_dir!S30/((1/1000)*(d_Irr!R30+d_Irr!BP30)),IF(AND(d_Irr!R30=".",d_Irr!AQ30&lt;&gt;".",d_Irr!BP30&lt;&gt;"."),d_dir!S30/((1/1000)*(d_Irr!AQ30+d_Irr!BP30)),IF(AND(d_Irr!R30=".",d_Irr!AQ30=".",d_Irr!BP30&lt;&gt;"."),d_dir!S30/((1/1000)*(d_Irr!BP30)),IF(AND(d_Irr!R30=".",d_Irr!AQ30&lt;&gt;".",d_Irr!BP30="."),d_dir!S30/((1/1000)*(d_Irr!AQ30)),IF(AND(d_Irr!R30&lt;&gt;".",d_Irr!AQ30=".",d_Irr!BP30="."),d_dir!S30/((1/1000)*(d_Irr!R30)),IF(AND(d_Irr!R30=".",d_Irr!AQ30=".",d_Irr!BP30="."),d_dir!S30*1000)))))))),".")</f>
        <v>62.090803343230512</v>
      </c>
      <c r="T30" s="70">
        <f>IFERROR(IF(AND(d_Irr!S30&lt;&gt;".",d_Irr!AR30&lt;&gt;".",d_Irr!BQ30&lt;&gt;"."),d_dir!T30/((1/1000)*(d_Irr!S30+d_Irr!AR30+d_Irr!BQ30)),IF(AND(d_Irr!S30&lt;&gt;".",d_Irr!AR30&lt;&gt;".",d_Irr!BQ30="."),d_dir!T30/((1/1000)*(d_Irr!S30+d_Irr!AR30)),IF(AND(d_Irr!S30&lt;&gt;".",d_Irr!AR30=".",d_Irr!BQ30&lt;&gt;"."),d_dir!T30/((1/1000)*(d_Irr!S30+d_Irr!BQ30)),IF(AND(d_Irr!S30=".",d_Irr!AR30&lt;&gt;".",d_Irr!BQ30&lt;&gt;"."),d_dir!T30/((1/1000)*(d_Irr!AR30+d_Irr!BQ30)),IF(AND(d_Irr!S30=".",d_Irr!AR30=".",d_Irr!BQ30&lt;&gt;"."),d_dir!T30/((1/1000)*(d_Irr!BQ30)),IF(AND(d_Irr!S30=".",d_Irr!AR30&lt;&gt;".",d_Irr!BQ30="."),d_dir!T30/((1/1000)*(d_Irr!AR30)),IF(AND(d_Irr!S30&lt;&gt;".",d_Irr!AR30=".",d_Irr!BQ30="."),d_dir!T30/((1/1000)*(d_Irr!S30)),IF(AND(d_Irr!S30=".",d_Irr!AR30=".",d_Irr!BQ30="."),d_dir!T30*1000)))))))),".")</f>
        <v>107.04609615110628</v>
      </c>
      <c r="U30" s="70">
        <f>IFERROR(IF(AND(d_Irr!T30&lt;&gt;".",d_Irr!AS30&lt;&gt;".",d_Irr!BR30&lt;&gt;"."),d_dir!U30/((1/1000)*(d_Irr!T30+d_Irr!AS30+d_Irr!BR30)),IF(AND(d_Irr!T30&lt;&gt;".",d_Irr!AS30&lt;&gt;".",d_Irr!BR30="."),d_dir!U30/((1/1000)*(d_Irr!T30+d_Irr!AS30)),IF(AND(d_Irr!T30&lt;&gt;".",d_Irr!AS30=".",d_Irr!BR30&lt;&gt;"."),d_dir!U30/((1/1000)*(d_Irr!T30+d_Irr!BR30)),IF(AND(d_Irr!T30=".",d_Irr!AS30&lt;&gt;".",d_Irr!BR30&lt;&gt;"."),d_dir!U30/((1/1000)*(d_Irr!AS30+d_Irr!BR30)),IF(AND(d_Irr!T30=".",d_Irr!AS30=".",d_Irr!BR30&lt;&gt;"."),d_dir!U30/((1/1000)*(d_Irr!BR30)),IF(AND(d_Irr!T30=".",d_Irr!AS30&lt;&gt;".",d_Irr!BR30="."),d_dir!U30/((1/1000)*(d_Irr!AS30)),IF(AND(d_Irr!T30&lt;&gt;".",d_Irr!AS30=".",d_Irr!BR30="."),d_dir!U30/((1/1000)*(d_Irr!T30)),IF(AND(d_Irr!T30=".",d_Irr!AS30=".",d_Irr!BR30="."),d_dir!U30*1000)))))))),".")</f>
        <v>187.53273574978004</v>
      </c>
      <c r="V30" s="70">
        <f>IFERROR(IF(AND(d_Irr!U30&lt;&gt;".",d_Irr!AT30&lt;&gt;".",d_Irr!BS30&lt;&gt;"."),d_dir!V30/((1/1000)*(d_Irr!U30+d_Irr!AT30+d_Irr!BS30)),IF(AND(d_Irr!U30&lt;&gt;".",d_Irr!AT30&lt;&gt;".",d_Irr!BS30="."),d_dir!V30/((1/1000)*(d_Irr!U30+d_Irr!AT30)),IF(AND(d_Irr!U30&lt;&gt;".",d_Irr!AT30=".",d_Irr!BS30&lt;&gt;"."),d_dir!V30/((1/1000)*(d_Irr!U30+d_Irr!BS30)),IF(AND(d_Irr!U30=".",d_Irr!AT30&lt;&gt;".",d_Irr!BS30&lt;&gt;"."),d_dir!V30/((1/1000)*(d_Irr!AT30+d_Irr!BS30)),IF(AND(d_Irr!U30=".",d_Irr!AT30=".",d_Irr!BS30&lt;&gt;"."),d_dir!V30/((1/1000)*(d_Irr!BS30)),IF(AND(d_Irr!U30=".",d_Irr!AT30&lt;&gt;".",d_Irr!BS30="."),d_dir!V30/((1/1000)*(d_Irr!AT30)),IF(AND(d_Irr!U30&lt;&gt;".",d_Irr!AT30=".",d_Irr!BS30="."),d_dir!V30/((1/1000)*(d_Irr!U30)),IF(AND(d_Irr!U30=".",d_Irr!AT30=".",d_Irr!BS30="."),d_dir!V30*1000)))))))),".")</f>
        <v>30.656776129188096</v>
      </c>
      <c r="W30" s="70">
        <f>IFERROR(IF(AND(d_Irr!V30&lt;&gt;".",d_Irr!AU30&lt;&gt;".",d_Irr!BT30&lt;&gt;"."),d_dir!W30/((1/1000)*(d_Irr!V30+d_Irr!AU30+d_Irr!BT30)),IF(AND(d_Irr!V30&lt;&gt;".",d_Irr!AU30&lt;&gt;".",d_Irr!BT30="."),d_dir!W30/((1/1000)*(d_Irr!V30+d_Irr!AU30)),IF(AND(d_Irr!V30&lt;&gt;".",d_Irr!AU30=".",d_Irr!BT30&lt;&gt;"."),d_dir!W30/((1/1000)*(d_Irr!V30+d_Irr!BT30)),IF(AND(d_Irr!V30=".",d_Irr!AU30&lt;&gt;".",d_Irr!BT30&lt;&gt;"."),d_dir!W30/((1/1000)*(d_Irr!AU30+d_Irr!BT30)),IF(AND(d_Irr!V30=".",d_Irr!AU30=".",d_Irr!BT30&lt;&gt;"."),d_dir!W30/((1/1000)*(d_Irr!BT30)),IF(AND(d_Irr!V30=".",d_Irr!AU30&lt;&gt;".",d_Irr!BT30="."),d_dir!W30/((1/1000)*(d_Irr!AU30)),IF(AND(d_Irr!V30&lt;&gt;".",d_Irr!AU30=".",d_Irr!BT30="."),d_dir!W30/((1/1000)*(d_Irr!V30)),IF(AND(d_Irr!V30=".",d_Irr!AU30=".",d_Irr!BT30="."),d_dir!W30*1000)))))))),".")</f>
        <v>57.060777489572303</v>
      </c>
      <c r="X30" s="70">
        <f>IFERROR(IF(AND(d_Irr!W30&lt;&gt;".",d_Irr!AV30&lt;&gt;".",d_Irr!BU30&lt;&gt;"."),d_dir!X30/((1/1000)*(d_Irr!W30+d_Irr!AV30+d_Irr!BU30)),IF(AND(d_Irr!W30&lt;&gt;".",d_Irr!AV30&lt;&gt;".",d_Irr!BU30="."),d_dir!X30/((1/1000)*(d_Irr!W30+d_Irr!AV30)),IF(AND(d_Irr!W30&lt;&gt;".",d_Irr!AV30=".",d_Irr!BU30&lt;&gt;"."),d_dir!X30/((1/1000)*(d_Irr!W30+d_Irr!BU30)),IF(AND(d_Irr!W30=".",d_Irr!AV30&lt;&gt;".",d_Irr!BU30&lt;&gt;"."),d_dir!X30/((1/1000)*(d_Irr!AV30+d_Irr!BU30)),IF(AND(d_Irr!W30=".",d_Irr!AV30=".",d_Irr!BU30&lt;&gt;"."),d_dir!X30/((1/1000)*(d_Irr!BU30)),IF(AND(d_Irr!W30=".",d_Irr!AV30&lt;&gt;".",d_Irr!BU30="."),d_dir!X30/((1/1000)*(d_Irr!AV30)),IF(AND(d_Irr!W30&lt;&gt;".",d_Irr!AV30=".",d_Irr!BU30="."),d_dir!X30/((1/1000)*(d_Irr!W30)),IF(AND(d_Irr!W30=".",d_Irr!AV30=".",d_Irr!BU30="."),d_dir!X30*1000)))))))),".")</f>
        <v>68.618194817417901</v>
      </c>
      <c r="Y30" s="70">
        <f>IFERROR(IF(AND(d_Irr!X30&lt;&gt;".",d_Irr!AW30&lt;&gt;".",d_Irr!BV30&lt;&gt;"."),d_dir!Y30/((1/1000)*(d_Irr!X30+d_Irr!AW30+d_Irr!BV30)),IF(AND(d_Irr!X30&lt;&gt;".",d_Irr!AW30&lt;&gt;".",d_Irr!BV30="."),d_dir!Y30/((1/1000)*(d_Irr!X30+d_Irr!AW30)),IF(AND(d_Irr!X30&lt;&gt;".",d_Irr!AW30=".",d_Irr!BV30&lt;&gt;"."),d_dir!Y30/((1/1000)*(d_Irr!X30+d_Irr!BV30)),IF(AND(d_Irr!X30=".",d_Irr!AW30&lt;&gt;".",d_Irr!BV30&lt;&gt;"."),d_dir!Y30/((1/1000)*(d_Irr!AW30+d_Irr!BV30)),IF(AND(d_Irr!X30=".",d_Irr!AW30=".",d_Irr!BV30&lt;&gt;"."),d_dir!Y30/((1/1000)*(d_Irr!BV30)),IF(AND(d_Irr!X30=".",d_Irr!AW30&lt;&gt;".",d_Irr!BV30="."),d_dir!Y30/((1/1000)*(d_Irr!AW30)),IF(AND(d_Irr!X30&lt;&gt;".",d_Irr!AW30=".",d_Irr!BV30="."),d_dir!Y30/((1/1000)*(d_Irr!X30)),IF(AND(d_Irr!X30=".",d_Irr!AW30=".",d_Irr!BV30="."),d_dir!Y30*1000)))))))),".")</f>
        <v>92.710119094320973</v>
      </c>
      <c r="Z30" s="70">
        <f>IFERROR(IF(AND(d_Irr!Y30&lt;&gt;".",d_Irr!AX30&lt;&gt;".",d_Irr!BW30&lt;&gt;"."),d_dir!Z30/((1/1000)*(d_Irr!Y30+d_Irr!AX30+d_Irr!BW30)),IF(AND(d_Irr!Y30&lt;&gt;".",d_Irr!AX30&lt;&gt;".",d_Irr!BW30="."),d_dir!Z30/((1/1000)*(d_Irr!Y30+d_Irr!AX30)),IF(AND(d_Irr!Y30&lt;&gt;".",d_Irr!AX30=".",d_Irr!BW30&lt;&gt;"."),d_dir!Z30/((1/1000)*(d_Irr!Y30+d_Irr!BW30)),IF(AND(d_Irr!Y30=".",d_Irr!AX30&lt;&gt;".",d_Irr!BW30&lt;&gt;"."),d_dir!Z30/((1/1000)*(d_Irr!AX30+d_Irr!BW30)),IF(AND(d_Irr!Y30=".",d_Irr!AX30=".",d_Irr!BW30&lt;&gt;"."),d_dir!Z30/((1/1000)*(d_Irr!BW30)),IF(AND(d_Irr!Y30=".",d_Irr!AX30&lt;&gt;".",d_Irr!BW30="."),d_dir!Z30/((1/1000)*(d_Irr!AX30)),IF(AND(d_Irr!Y30&lt;&gt;".",d_Irr!AX30=".",d_Irr!BW30="."),d_dir!Z30/((1/1000)*(d_Irr!Y30)),IF(AND(d_Irr!Y30=".",d_Irr!AX30=".",d_Irr!BW30="."),d_dir!Z30*1000)))))))),".")</f>
        <v>43.225836222668427</v>
      </c>
      <c r="AA30" s="70">
        <f>IFERROR(IF(AND(d_Irr!Z30&lt;&gt;".",d_Irr!AY30&lt;&gt;".",d_Irr!BX30&lt;&gt;"."),d_dir!AA30/((1/1000)*(d_Irr!Z30+d_Irr!AY30+d_Irr!BX30)),IF(AND(d_Irr!Z30&lt;&gt;".",d_Irr!AY30&lt;&gt;".",d_Irr!BX30="."),d_dir!AA30/((1/1000)*(d_Irr!Z30+d_Irr!AY30)),IF(AND(d_Irr!Z30&lt;&gt;".",d_Irr!AY30=".",d_Irr!BX30&lt;&gt;"."),d_dir!AA30/((1/1000)*(d_Irr!Z30+d_Irr!BX30)),IF(AND(d_Irr!Z30=".",d_Irr!AY30&lt;&gt;".",d_Irr!BX30&lt;&gt;"."),d_dir!AA30/((1/1000)*(d_Irr!AY30+d_Irr!BX30)),IF(AND(d_Irr!Z30=".",d_Irr!AY30=".",d_Irr!BX30&lt;&gt;"."),d_dir!AA30/((1/1000)*(d_Irr!BX30)),IF(AND(d_Irr!Z30=".",d_Irr!AY30&lt;&gt;".",d_Irr!BX30="."),d_dir!AA30/((1/1000)*(d_Irr!AY30)),IF(AND(d_Irr!Z30&lt;&gt;".",d_Irr!AY30=".",d_Irr!BX30="."),d_dir!AA30/((1/1000)*(d_Irr!Z30)),IF(AND(d_Irr!Z30=".",d_Irr!AY30=".",d_Irr!BX30="."),d_dir!AA30*1000)))))))),".")</f>
        <v>14.056945460164723</v>
      </c>
      <c r="AB30" s="70">
        <f>IFERROR(IF(AND(d_Irr!AA30&lt;&gt;".",d_Irr!AZ30&lt;&gt;".",d_Irr!BY30&lt;&gt;"."),d_dir!AB30/((1/1000)*(d_Irr!AA30+d_Irr!AZ30+d_Irr!BY30)),IF(AND(d_Irr!AA30&lt;&gt;".",d_Irr!AZ30&lt;&gt;".",d_Irr!BY30="."),d_dir!AB30/((1/1000)*(d_Irr!AA30+d_Irr!AZ30)),IF(AND(d_Irr!AA30&lt;&gt;".",d_Irr!AZ30=".",d_Irr!BY30&lt;&gt;"."),d_dir!AB30/((1/1000)*(d_Irr!AA30+d_Irr!BY30)),IF(AND(d_Irr!AA30=".",d_Irr!AZ30&lt;&gt;".",d_Irr!BY30&lt;&gt;"."),d_dir!AB30/((1/1000)*(d_Irr!AZ30+d_Irr!BY30)),IF(AND(d_Irr!AA30=".",d_Irr!AZ30=".",d_Irr!BY30&lt;&gt;"."),d_dir!AB30/((1/1000)*(d_Irr!BY30)),IF(AND(d_Irr!AA30=".",d_Irr!AZ30&lt;&gt;".",d_Irr!BY30="."),d_dir!AB30/((1/1000)*(d_Irr!AZ30)),IF(AND(d_Irr!AA30&lt;&gt;".",d_Irr!AZ30=".",d_Irr!BY30="."),d_dir!AB30/((1/1000)*(d_Irr!AA30)),IF(AND(d_Irr!AA30=".",d_Irr!AZ30=".",d_Irr!BY30="."),d_dir!AB30*1000)))))))),".")</f>
        <v>15.853663749176903</v>
      </c>
      <c r="AC30" s="70">
        <f t="shared" si="0"/>
        <v>2.3078228514618631</v>
      </c>
      <c r="AD30" s="70">
        <f>IFERROR(IF(AND(d_Irr!C30&lt;&gt;".",d_Irr!AB30&lt;&gt;".",d_Irr!BA30&lt;&gt;"."),d_dir!AD30/((1/1000)*(d_Irr!C30+d_Irr!AB30+d_Irr!BA30)),IF(AND(d_Irr!C30&lt;&gt;".",d_Irr!AB30&lt;&gt;".",d_Irr!BA30="."),d_dir!AD30/((1/1000)*(d_Irr!C30+d_Irr!AB30)),IF(AND(d_Irr!C30&lt;&gt;".",d_Irr!AB30=".",d_Irr!BA30&lt;&gt;"."),d_dir!AD30/((1/1000)*(d_Irr!C30+d_Irr!BA30)),IF(AND(d_Irr!C30=".",d_Irr!AB30&lt;&gt;".",d_Irr!BA30&lt;&gt;"."),d_dir!AD30/((1/1000)*(d_Irr!AB30+d_Irr!BA30)),IF(AND(d_Irr!C30=".",d_Irr!AB30=".",d_Irr!BA30&lt;&gt;"."),d_dir!AD30/((1/1000)*(d_Irr!BA30)),IF(AND(d_Irr!C30=".",d_Irr!AB30&lt;&gt;".",d_Irr!BA30="."),d_dir!AD30/((1/1000)*(d_Irr!AB30)),IF(AND(d_Irr!C30&lt;&gt;".",d_Irr!AB30=".",d_Irr!BA30="."),d_dir!AD30/((1/1000)*(d_Irr!C30)),IF(AND(d_Irr!C30=".",d_Irr!AB30=".",d_Irr!BA30="."),d_dir!AD30*1000)))))))),".")</f>
        <v>41.21430029810054</v>
      </c>
      <c r="AE30" s="70">
        <f>IFERROR(IF(AND(d_Irr!D30&lt;&gt;".",d_Irr!AC30&lt;&gt;".",d_Irr!BB30&lt;&gt;"."),d_dir!AE30/((1/1000)*(d_Irr!D30+d_Irr!AC30+d_Irr!BB30)),IF(AND(d_Irr!D30&lt;&gt;".",d_Irr!AC30&lt;&gt;".",d_Irr!BB30="."),d_dir!AE30/((1/1000)*(d_Irr!D30+d_Irr!AC30)),IF(AND(d_Irr!D30&lt;&gt;".",d_Irr!AC30=".",d_Irr!BB30&lt;&gt;"."),d_dir!AE30/((1/1000)*(d_Irr!D30+d_Irr!BB30)),IF(AND(d_Irr!D30=".",d_Irr!AC30&lt;&gt;".",d_Irr!BB30&lt;&gt;"."),d_dir!AE30/((1/1000)*(d_Irr!AC30+d_Irr!BB30)),IF(AND(d_Irr!D30=".",d_Irr!AC30=".",d_Irr!BB30&lt;&gt;"."),d_dir!AE30/((1/1000)*(d_Irr!BB30)),IF(AND(d_Irr!D30=".",d_Irr!AC30&lt;&gt;".",d_Irr!BB30="."),d_dir!AE30/((1/1000)*(d_Irr!AC30)),IF(AND(d_Irr!D30&lt;&gt;".",d_Irr!AC30=".",d_Irr!BB30="."),d_dir!AE30/((1/1000)*(d_Irr!D30)),IF(AND(d_Irr!D30=".",d_Irr!AC30=".",d_Irr!BB30="."),d_dir!AE30*1000)))))))),".")</f>
        <v>82.016020293945459</v>
      </c>
      <c r="AF30" s="70">
        <f>IFERROR(IF(AND(d_Irr!E30&lt;&gt;".",d_Irr!AD30&lt;&gt;".",d_Irr!BC30&lt;&gt;"."),d_dir!AF30/((1/1000)*(d_Irr!E30+d_Irr!AD30+d_Irr!BC30)),IF(AND(d_Irr!E30&lt;&gt;".",d_Irr!AD30&lt;&gt;".",d_Irr!BC30="."),d_dir!AF30/((1/1000)*(d_Irr!E30+d_Irr!AD30)),IF(AND(d_Irr!E30&lt;&gt;".",d_Irr!AD30=".",d_Irr!BC30&lt;&gt;"."),d_dir!AF30/((1/1000)*(d_Irr!E30+d_Irr!BC30)),IF(AND(d_Irr!E30=".",d_Irr!AD30&lt;&gt;".",d_Irr!BC30&lt;&gt;"."),d_dir!AF30/((1/1000)*(d_Irr!AD30+d_Irr!BC30)),IF(AND(d_Irr!E30=".",d_Irr!AD30=".",d_Irr!BC30&lt;&gt;"."),d_dir!AF30/((1/1000)*(d_Irr!BC30)),IF(AND(d_Irr!E30=".",d_Irr!AD30&lt;&gt;".",d_Irr!BC30="."),d_dir!AF30/((1/1000)*(d_Irr!AD30)),IF(AND(d_Irr!E30&lt;&gt;".",d_Irr!AD30=".",d_Irr!BC30="."),d_dir!AF30/((1/1000)*(d_Irr!E30)),IF(AND(d_Irr!E30=".",d_Irr!AD30=".",d_Irr!BC30="."),d_dir!AF30*1000)))))))),".")</f>
        <v>107.80894655172368</v>
      </c>
      <c r="AG30" s="70">
        <f>IFERROR(IF(AND(d_Irr!F30&lt;&gt;".",d_Irr!AE30&lt;&gt;".",d_Irr!BD30&lt;&gt;"."),d_dir!AG30/((1/1000)*(d_Irr!F30+d_Irr!AE30+d_Irr!BD30)),IF(AND(d_Irr!F30&lt;&gt;".",d_Irr!AE30&lt;&gt;".",d_Irr!BD30="."),d_dir!AG30/((1/1000)*(d_Irr!F30+d_Irr!AE30)),IF(AND(d_Irr!F30&lt;&gt;".",d_Irr!AE30=".",d_Irr!BD30&lt;&gt;"."),d_dir!AG30/((1/1000)*(d_Irr!F30+d_Irr!BD30)),IF(AND(d_Irr!F30=".",d_Irr!AE30&lt;&gt;".",d_Irr!BD30&lt;&gt;"."),d_dir!AG30/((1/1000)*(d_Irr!AE30+d_Irr!BD30)),IF(AND(d_Irr!F30=".",d_Irr!AE30=".",d_Irr!BD30&lt;&gt;"."),d_dir!AG30/((1/1000)*(d_Irr!BD30)),IF(AND(d_Irr!F30=".",d_Irr!AE30&lt;&gt;".",d_Irr!BD30="."),d_dir!AG30/((1/1000)*(d_Irr!AE30)),IF(AND(d_Irr!F30&lt;&gt;".",d_Irr!AE30=".",d_Irr!BD30="."),d_dir!AG30/((1/1000)*(d_Irr!F30)),IF(AND(d_Irr!F30=".",d_Irr!AE30=".",d_Irr!BD30="."),d_dir!AG30*1000)))))))),".")</f>
        <v>103.779059569317</v>
      </c>
      <c r="AH30" s="70">
        <f>IFERROR(IF(AND(d_Irr!G30&lt;&gt;".",d_Irr!AF30&lt;&gt;".",d_Irr!BE30&lt;&gt;"."),d_dir!AH30/((1/1000)*(d_Irr!G30+d_Irr!AF30+d_Irr!BE30)),IF(AND(d_Irr!G30&lt;&gt;".",d_Irr!AF30&lt;&gt;".",d_Irr!BE30="."),d_dir!AH30/((1/1000)*(d_Irr!G30+d_Irr!AF30)),IF(AND(d_Irr!G30&lt;&gt;".",d_Irr!AF30=".",d_Irr!BE30&lt;&gt;"."),d_dir!AH30/((1/1000)*(d_Irr!G30+d_Irr!BE30)),IF(AND(d_Irr!G30=".",d_Irr!AF30&lt;&gt;".",d_Irr!BE30&lt;&gt;"."),d_dir!AH30/((1/1000)*(d_Irr!AF30+d_Irr!BE30)),IF(AND(d_Irr!G30=".",d_Irr!AF30=".",d_Irr!BE30&lt;&gt;"."),d_dir!AH30/((1/1000)*(d_Irr!BE30)),IF(AND(d_Irr!G30=".",d_Irr!AF30&lt;&gt;".",d_Irr!BE30="."),d_dir!AH30/((1/1000)*(d_Irr!AF30)),IF(AND(d_Irr!G30&lt;&gt;".",d_Irr!AF30=".",d_Irr!BE30="."),d_dir!AH30/((1/1000)*(d_Irr!G30)),IF(AND(d_Irr!G30=".",d_Irr!AF30=".",d_Irr!BE30="."),d_dir!AH30*1000)))))))),".")</f>
        <v>97.530575878375458</v>
      </c>
      <c r="AI30" s="70">
        <f>IFERROR(IF(AND(d_Irr!H30&lt;&gt;".",d_Irr!AG30&lt;&gt;".",d_Irr!BF30&lt;&gt;"."),d_dir!AI30/((1/1000)*(d_Irr!H30+d_Irr!AG30+d_Irr!BF30)),IF(AND(d_Irr!H30&lt;&gt;".",d_Irr!AG30&lt;&gt;".",d_Irr!BF30="."),d_dir!AI30/((1/1000)*(d_Irr!H30+d_Irr!AG30)),IF(AND(d_Irr!H30&lt;&gt;".",d_Irr!AG30=".",d_Irr!BF30&lt;&gt;"."),d_dir!AI30/((1/1000)*(d_Irr!H30+d_Irr!BF30)),IF(AND(d_Irr!H30=".",d_Irr!AG30&lt;&gt;".",d_Irr!BF30&lt;&gt;"."),d_dir!AI30/((1/1000)*(d_Irr!AG30+d_Irr!BF30)),IF(AND(d_Irr!H30=".",d_Irr!AG30=".",d_Irr!BF30&lt;&gt;"."),d_dir!AI30/((1/1000)*(d_Irr!BF30)),IF(AND(d_Irr!H30=".",d_Irr!AG30&lt;&gt;".",d_Irr!BF30="."),d_dir!AI30/((1/1000)*(d_Irr!AG30)),IF(AND(d_Irr!H30&lt;&gt;".",d_Irr!AG30=".",d_Irr!BF30="."),d_dir!AI30/((1/1000)*(d_Irr!H30)),IF(AND(d_Irr!H30=".",d_Irr!AG30=".",d_Irr!BF30="."),d_dir!AI30*1000)))))))),".")</f>
        <v>42.488807341975367</v>
      </c>
      <c r="AJ30" s="70">
        <f>IFERROR(IF(AND(d_Irr!I30&lt;&gt;".",d_Irr!AH30&lt;&gt;".",d_Irr!BG30&lt;&gt;"."),d_dir!AJ30/((1/1000)*(d_Irr!I30+d_Irr!AH30+d_Irr!BG30)),IF(AND(d_Irr!I30&lt;&gt;".",d_Irr!AH30&lt;&gt;".",d_Irr!BG30="."),d_dir!AJ30/((1/1000)*(d_Irr!I30+d_Irr!AH30)),IF(AND(d_Irr!I30&lt;&gt;".",d_Irr!AH30=".",d_Irr!BG30&lt;&gt;"."),d_dir!AJ30/((1/1000)*(d_Irr!I30+d_Irr!BG30)),IF(AND(d_Irr!I30=".",d_Irr!AH30&lt;&gt;".",d_Irr!BG30&lt;&gt;"."),d_dir!AJ30/((1/1000)*(d_Irr!AH30+d_Irr!BG30)),IF(AND(d_Irr!I30=".",d_Irr!AH30=".",d_Irr!BG30&lt;&gt;"."),d_dir!AJ30/((1/1000)*(d_Irr!BG30)),IF(AND(d_Irr!I30=".",d_Irr!AH30&lt;&gt;".",d_Irr!BG30="."),d_dir!AJ30/((1/1000)*(d_Irr!AH30)),IF(AND(d_Irr!I30&lt;&gt;".",d_Irr!AH30=".",d_Irr!BG30="."),d_dir!AJ30/((1/1000)*(d_Irr!I30)),IF(AND(d_Irr!I30=".",d_Irr!AH30=".",d_Irr!BG30="."),d_dir!AJ30*1000)))))))),".")</f>
        <v>143.16531433245814</v>
      </c>
      <c r="AK30" s="70">
        <f>IFERROR(IF(AND(d_Irr!J30&lt;&gt;".",d_Irr!AI30&lt;&gt;".",d_Irr!BH30&lt;&gt;"."),d_dir!AK30/((1/1000)*(d_Irr!J30+d_Irr!AI30+d_Irr!BH30)),IF(AND(d_Irr!J30&lt;&gt;".",d_Irr!AI30&lt;&gt;".",d_Irr!BH30="."),d_dir!AK30/((1/1000)*(d_Irr!J30+d_Irr!AI30)),IF(AND(d_Irr!J30&lt;&gt;".",d_Irr!AI30=".",d_Irr!BH30&lt;&gt;"."),d_dir!AK30/((1/1000)*(d_Irr!J30+d_Irr!BH30)),IF(AND(d_Irr!J30=".",d_Irr!AI30&lt;&gt;".",d_Irr!BH30&lt;&gt;"."),d_dir!AK30/((1/1000)*(d_Irr!AI30+d_Irr!BH30)),IF(AND(d_Irr!J30=".",d_Irr!AI30=".",d_Irr!BH30&lt;&gt;"."),d_dir!AK30/((1/1000)*(d_Irr!BH30)),IF(AND(d_Irr!J30=".",d_Irr!AI30&lt;&gt;".",d_Irr!BH30="."),d_dir!AK30/((1/1000)*(d_Irr!AI30)),IF(AND(d_Irr!J30&lt;&gt;".",d_Irr!AI30=".",d_Irr!BH30="."),d_dir!AK30/((1/1000)*(d_Irr!J30)),IF(AND(d_Irr!J30=".",d_Irr!AI30=".",d_Irr!BH30="."),d_dir!AK30*1000)))))))),".")</f>
        <v>11.948499701823913</v>
      </c>
      <c r="AL30" s="70">
        <f>IFERROR(IF(AND(d_Irr!K30&lt;&gt;".",d_Irr!AJ30&lt;&gt;".",d_Irr!BI30&lt;&gt;"."),d_dir!AL30/((1/1000)*(d_Irr!K30+d_Irr!AJ30+d_Irr!BI30)),IF(AND(d_Irr!K30&lt;&gt;".",d_Irr!AJ30&lt;&gt;".",d_Irr!BI30="."),d_dir!AL30/((1/1000)*(d_Irr!K30+d_Irr!AJ30)),IF(AND(d_Irr!K30&lt;&gt;".",d_Irr!AJ30=".",d_Irr!BI30&lt;&gt;"."),d_dir!AL30/((1/1000)*(d_Irr!K30+d_Irr!BI30)),IF(AND(d_Irr!K30=".",d_Irr!AJ30&lt;&gt;".",d_Irr!BI30&lt;&gt;"."),d_dir!AL30/((1/1000)*(d_Irr!AJ30+d_Irr!BI30)),IF(AND(d_Irr!K30=".",d_Irr!AJ30=".",d_Irr!BI30&lt;&gt;"."),d_dir!AL30/((1/1000)*(d_Irr!BI30)),IF(AND(d_Irr!K30=".",d_Irr!AJ30&lt;&gt;".",d_Irr!BI30="."),d_dir!AL30/((1/1000)*(d_Irr!AJ30)),IF(AND(d_Irr!K30&lt;&gt;".",d_Irr!AJ30=".",d_Irr!BI30="."),d_dir!AL30/((1/1000)*(d_Irr!K30)),IF(AND(d_Irr!K30=".",d_Irr!AJ30=".",d_Irr!BI30="."),d_dir!AL30*1000)))))))),".")</f>
        <v>41.139676277254615</v>
      </c>
      <c r="AM30" s="70">
        <f>IFERROR(IF(AND(d_Irr!L30&lt;&gt;".",d_Irr!AK30&lt;&gt;".",d_Irr!BJ30&lt;&gt;"."),d_dir!AM30/((1/1000)*(d_Irr!L30+d_Irr!AK30+d_Irr!BJ30)),IF(AND(d_Irr!L30&lt;&gt;".",d_Irr!AK30&lt;&gt;".",d_Irr!BJ30="."),d_dir!AM30/((1/1000)*(d_Irr!L30+d_Irr!AK30)),IF(AND(d_Irr!L30&lt;&gt;".",d_Irr!AK30=".",d_Irr!BJ30&lt;&gt;"."),d_dir!AM30/((1/1000)*(d_Irr!L30+d_Irr!BJ30)),IF(AND(d_Irr!L30=".",d_Irr!AK30&lt;&gt;".",d_Irr!BJ30&lt;&gt;"."),d_dir!AM30/((1/1000)*(d_Irr!AK30+d_Irr!BJ30)),IF(AND(d_Irr!L30=".",d_Irr!AK30=".",d_Irr!BJ30&lt;&gt;"."),d_dir!AM30/((1/1000)*(d_Irr!BJ30)),IF(AND(d_Irr!L30=".",d_Irr!AK30&lt;&gt;".",d_Irr!BJ30="."),d_dir!AM30/((1/1000)*(d_Irr!AK30)),IF(AND(d_Irr!L30&lt;&gt;".",d_Irr!AK30=".",d_Irr!BJ30="."),d_dir!AM30/((1/1000)*(d_Irr!L30)),IF(AND(d_Irr!L30=".",d_Irr!AK30=".",d_Irr!BJ30="."),d_dir!AM30*1000)))))))),".")</f>
        <v>62.485997910177737</v>
      </c>
      <c r="AN30" s="70">
        <f>IFERROR(IF(AND(d_Irr!M30&lt;&gt;".",d_Irr!AL30&lt;&gt;".",d_Irr!BK30&lt;&gt;"."),d_dir!AN30/((1/1000)*(d_Irr!M30+d_Irr!AL30+d_Irr!BK30)),IF(AND(d_Irr!M30&lt;&gt;".",d_Irr!AL30&lt;&gt;".",d_Irr!BK30="."),d_dir!AN30/((1/1000)*(d_Irr!M30+d_Irr!AL30)),IF(AND(d_Irr!M30&lt;&gt;".",d_Irr!AL30=".",d_Irr!BK30&lt;&gt;"."),d_dir!AN30/((1/1000)*(d_Irr!M30+d_Irr!BK30)),IF(AND(d_Irr!M30=".",d_Irr!AL30&lt;&gt;".",d_Irr!BK30&lt;&gt;"."),d_dir!AN30/((1/1000)*(d_Irr!AL30+d_Irr!BK30)),IF(AND(d_Irr!M30=".",d_Irr!AL30=".",d_Irr!BK30&lt;&gt;"."),d_dir!AN30/((1/1000)*(d_Irr!BK30)),IF(AND(d_Irr!M30=".",d_Irr!AL30&lt;&gt;".",d_Irr!BK30="."),d_dir!AN30/((1/1000)*(d_Irr!AL30)),IF(AND(d_Irr!M30&lt;&gt;".",d_Irr!AL30=".",d_Irr!BK30="."),d_dir!AN30/((1/1000)*(d_Irr!M30)),IF(AND(d_Irr!M30=".",d_Irr!AL30=".",d_Irr!BK30="."),d_dir!AN30*1000)))))))),".")</f>
        <v>83.592505741643151</v>
      </c>
      <c r="AO30" s="70">
        <f>IFERROR(IF(AND(d_Irr!N30&lt;&gt;".",d_Irr!AM30&lt;&gt;".",d_Irr!BL30&lt;&gt;"."),d_dir!AO30/((1/1000)*(d_Irr!N30+d_Irr!AM30+d_Irr!BL30)),IF(AND(d_Irr!N30&lt;&gt;".",d_Irr!AM30&lt;&gt;".",d_Irr!BL30="."),d_dir!AO30/((1/1000)*(d_Irr!N30+d_Irr!AM30)),IF(AND(d_Irr!N30&lt;&gt;".",d_Irr!AM30=".",d_Irr!BL30&lt;&gt;"."),d_dir!AO30/((1/1000)*(d_Irr!N30+d_Irr!BL30)),IF(AND(d_Irr!N30=".",d_Irr!AM30&lt;&gt;".",d_Irr!BL30&lt;&gt;"."),d_dir!AO30/((1/1000)*(d_Irr!AM30+d_Irr!BL30)),IF(AND(d_Irr!N30=".",d_Irr!AM30=".",d_Irr!BL30&lt;&gt;"."),d_dir!AO30/((1/1000)*(d_Irr!BL30)),IF(AND(d_Irr!N30=".",d_Irr!AM30&lt;&gt;".",d_Irr!BL30="."),d_dir!AO30/((1/1000)*(d_Irr!AM30)),IF(AND(d_Irr!N30&lt;&gt;".",d_Irr!AM30=".",d_Irr!BL30="."),d_dir!AO30/((1/1000)*(d_Irr!N30)),IF(AND(d_Irr!N30=".",d_Irr!AM30=".",d_Irr!BL30="."),d_dir!AO30*1000)))))))),".")</f>
        <v>103.53014808798778</v>
      </c>
      <c r="AP30" s="70">
        <f>IFERROR(IF(AND(d_Irr!O30&lt;&gt;".",d_Irr!AN30&lt;&gt;".",d_Irr!BM30&lt;&gt;"."),d_dir!AP30/((1/1000)*(d_Irr!O30+d_Irr!AN30+d_Irr!BM30)),IF(AND(d_Irr!O30&lt;&gt;".",d_Irr!AN30&lt;&gt;".",d_Irr!BM30="."),d_dir!AP30/((1/1000)*(d_Irr!O30+d_Irr!AN30)),IF(AND(d_Irr!O30&lt;&gt;".",d_Irr!AN30=".",d_Irr!BM30&lt;&gt;"."),d_dir!AP30/((1/1000)*(d_Irr!O30+d_Irr!BM30)),IF(AND(d_Irr!O30=".",d_Irr!AN30&lt;&gt;".",d_Irr!BM30&lt;&gt;"."),d_dir!AP30/((1/1000)*(d_Irr!AN30+d_Irr!BM30)),IF(AND(d_Irr!O30=".",d_Irr!AN30=".",d_Irr!BM30&lt;&gt;"."),d_dir!AP30/((1/1000)*(d_Irr!BM30)),IF(AND(d_Irr!O30=".",d_Irr!AN30&lt;&gt;".",d_Irr!BM30="."),d_dir!AP30/((1/1000)*(d_Irr!AN30)),IF(AND(d_Irr!O30&lt;&gt;".",d_Irr!AN30=".",d_Irr!BM30="."),d_dir!AP30/((1/1000)*(d_Irr!O30)),IF(AND(d_Irr!O30=".",d_Irr!AN30=".",d_Irr!BM30="."),d_dir!AP30*1000)))))))),".")</f>
        <v>112.57387226617095</v>
      </c>
      <c r="AQ30" s="70">
        <f>IFERROR(IF(AND(d_Irr!P30&lt;&gt;".",d_Irr!AO30&lt;&gt;".",d_Irr!BN30&lt;&gt;"."),d_dir!AQ30/((1/1000)*(d_Irr!P30+d_Irr!AO30+d_Irr!BN30)),IF(AND(d_Irr!P30&lt;&gt;".",d_Irr!AO30&lt;&gt;".",d_Irr!BN30="."),d_dir!AQ30/((1/1000)*(d_Irr!P30+d_Irr!AO30)),IF(AND(d_Irr!P30&lt;&gt;".",d_Irr!AO30=".",d_Irr!BN30&lt;&gt;"."),d_dir!AQ30/((1/1000)*(d_Irr!P30+d_Irr!BN30)),IF(AND(d_Irr!P30=".",d_Irr!AO30&lt;&gt;".",d_Irr!BN30&lt;&gt;"."),d_dir!AQ30/((1/1000)*(d_Irr!AO30+d_Irr!BN30)),IF(AND(d_Irr!P30=".",d_Irr!AO30=".",d_Irr!BN30&lt;&gt;"."),d_dir!AQ30/((1/1000)*(d_Irr!BN30)),IF(AND(d_Irr!P30=".",d_Irr!AO30&lt;&gt;".",d_Irr!BN30="."),d_dir!AQ30/((1/1000)*(d_Irr!AO30)),IF(AND(d_Irr!P30&lt;&gt;".",d_Irr!AO30=".",d_Irr!BN30="."),d_dir!AQ30/((1/1000)*(d_Irr!P30)),IF(AND(d_Irr!P30=".",d_Irr!AO30=".",d_Irr!BN30="."),d_dir!AQ30*1000)))))))),".")</f>
        <v>133.60330710721175</v>
      </c>
      <c r="AR30" s="70">
        <f>IFERROR(IF(AND(d_Irr!Q30&lt;&gt;".",d_Irr!AP30&lt;&gt;".",d_Irr!BO30&lt;&gt;"."),d_dir!AR30/((1/1000)*(d_Irr!Q30+d_Irr!AP30+d_Irr!BO30)),IF(AND(d_Irr!Q30&lt;&gt;".",d_Irr!AP30&lt;&gt;".",d_Irr!BO30="."),d_dir!AR30/((1/1000)*(d_Irr!Q30+d_Irr!AP30)),IF(AND(d_Irr!Q30&lt;&gt;".",d_Irr!AP30=".",d_Irr!BO30&lt;&gt;"."),d_dir!AR30/((1/1000)*(d_Irr!Q30+d_Irr!BO30)),IF(AND(d_Irr!Q30=".",d_Irr!AP30&lt;&gt;".",d_Irr!BO30&lt;&gt;"."),d_dir!AR30/((1/1000)*(d_Irr!AP30+d_Irr!BO30)),IF(AND(d_Irr!Q30=".",d_Irr!AP30=".",d_Irr!BO30&lt;&gt;"."),d_dir!AR30/((1/1000)*(d_Irr!BO30)),IF(AND(d_Irr!Q30=".",d_Irr!AP30&lt;&gt;".",d_Irr!BO30="."),d_dir!AR30/((1/1000)*(d_Irr!AP30)),IF(AND(d_Irr!Q30&lt;&gt;".",d_Irr!AP30=".",d_Irr!BO30="."),d_dir!AR30/((1/1000)*(d_Irr!Q30)),IF(AND(d_Irr!Q30=".",d_Irr!AP30=".",d_Irr!BO30="."),d_dir!AR30*1000)))))))),".")</f>
        <v>34.018737524554702</v>
      </c>
      <c r="AS30" s="70">
        <f>IFERROR(IF(AND(d_Irr!R30&lt;&gt;".",d_Irr!AQ30&lt;&gt;".",d_Irr!BP30&lt;&gt;"."),d_dir!AS30/((1/1000)*(d_Irr!R30+d_Irr!AQ30+d_Irr!BP30)),IF(AND(d_Irr!R30&lt;&gt;".",d_Irr!AQ30&lt;&gt;".",d_Irr!BP30="."),d_dir!AS30/((1/1000)*(d_Irr!R30+d_Irr!AQ30)),IF(AND(d_Irr!R30&lt;&gt;".",d_Irr!AQ30=".",d_Irr!BP30&lt;&gt;"."),d_dir!AS30/((1/1000)*(d_Irr!R30+d_Irr!BP30)),IF(AND(d_Irr!R30=".",d_Irr!AQ30&lt;&gt;".",d_Irr!BP30&lt;&gt;"."),d_dir!AS30/((1/1000)*(d_Irr!AQ30+d_Irr!BP30)),IF(AND(d_Irr!R30=".",d_Irr!AQ30=".",d_Irr!BP30&lt;&gt;"."),d_dir!AS30/((1/1000)*(d_Irr!BP30)),IF(AND(d_Irr!R30=".",d_Irr!AQ30&lt;&gt;".",d_Irr!BP30="."),d_dir!AS30/((1/1000)*(d_Irr!AQ30)),IF(AND(d_Irr!R30&lt;&gt;".",d_Irr!AQ30=".",d_Irr!BP30="."),d_dir!AS30/((1/1000)*(d_Irr!R30)),IF(AND(d_Irr!R30=".",d_Irr!AQ30=".",d_Irr!BP30="."),d_dir!AS30*1000)))))))),".")</f>
        <v>55.472202655488665</v>
      </c>
      <c r="AT30" s="70">
        <f>IFERROR(IF(AND(d_Irr!S30&lt;&gt;".",d_Irr!AR30&lt;&gt;".",d_Irr!BQ30&lt;&gt;"."),d_dir!AT30/((1/1000)*(d_Irr!S30+d_Irr!AR30+d_Irr!BQ30)),IF(AND(d_Irr!S30&lt;&gt;".",d_Irr!AR30&lt;&gt;".",d_Irr!BQ30="."),d_dir!AT30/((1/1000)*(d_Irr!S30+d_Irr!AR30)),IF(AND(d_Irr!S30&lt;&gt;".",d_Irr!AR30=".",d_Irr!BQ30&lt;&gt;"."),d_dir!AT30/((1/1000)*(d_Irr!S30+d_Irr!BQ30)),IF(AND(d_Irr!S30=".",d_Irr!AR30&lt;&gt;".",d_Irr!BQ30&lt;&gt;"."),d_dir!AT30/((1/1000)*(d_Irr!AR30+d_Irr!BQ30)),IF(AND(d_Irr!S30=".",d_Irr!AR30=".",d_Irr!BQ30&lt;&gt;"."),d_dir!AT30/((1/1000)*(d_Irr!BQ30)),IF(AND(d_Irr!S30=".",d_Irr!AR30&lt;&gt;".",d_Irr!BQ30="."),d_dir!AT30/((1/1000)*(d_Irr!AR30)),IF(AND(d_Irr!S30&lt;&gt;".",d_Irr!AR30=".",d_Irr!BQ30="."),d_dir!AT30/((1/1000)*(d_Irr!S30)),IF(AND(d_Irr!S30=".",d_Irr!AR30=".",d_Irr!BQ30="."),d_dir!AT30*1000)))))))),".")</f>
        <v>115.01730946075419</v>
      </c>
      <c r="AU30" s="70">
        <f>IFERROR(IF(AND(d_Irr!T30&lt;&gt;".",d_Irr!AS30&lt;&gt;".",d_Irr!BR30&lt;&gt;"."),d_dir!AU30/((1/1000)*(d_Irr!T30+d_Irr!AS30+d_Irr!BR30)),IF(AND(d_Irr!T30&lt;&gt;".",d_Irr!AS30&lt;&gt;".",d_Irr!BR30="."),d_dir!AU30/((1/1000)*(d_Irr!T30+d_Irr!AS30)),IF(AND(d_Irr!T30&lt;&gt;".",d_Irr!AS30=".",d_Irr!BR30&lt;&gt;"."),d_dir!AU30/((1/1000)*(d_Irr!T30+d_Irr!BR30)),IF(AND(d_Irr!T30=".",d_Irr!AS30&lt;&gt;".",d_Irr!BR30&lt;&gt;"."),d_dir!AU30/((1/1000)*(d_Irr!AS30+d_Irr!BR30)),IF(AND(d_Irr!T30=".",d_Irr!AS30=".",d_Irr!BR30&lt;&gt;"."),d_dir!AU30/((1/1000)*(d_Irr!BR30)),IF(AND(d_Irr!T30=".",d_Irr!AS30&lt;&gt;".",d_Irr!BR30="."),d_dir!AU30/((1/1000)*(d_Irr!AS30)),IF(AND(d_Irr!T30&lt;&gt;".",d_Irr!AS30=".",d_Irr!BR30="."),d_dir!AU30/((1/1000)*(d_Irr!T30)),IF(AND(d_Irr!T30=".",d_Irr!AS30=".",d_Irr!BR30="."),d_dir!AU30*1000)))))))),".")</f>
        <v>140.60797512646289</v>
      </c>
      <c r="AV30" s="70">
        <f>IFERROR(IF(AND(d_Irr!U30&lt;&gt;".",d_Irr!AT30&lt;&gt;".",d_Irr!BS30&lt;&gt;"."),d_dir!AV30/((1/1000)*(d_Irr!U30+d_Irr!AT30+d_Irr!BS30)),IF(AND(d_Irr!U30&lt;&gt;".",d_Irr!AT30&lt;&gt;".",d_Irr!BS30="."),d_dir!AV30/((1/1000)*(d_Irr!U30+d_Irr!AT30)),IF(AND(d_Irr!U30&lt;&gt;".",d_Irr!AT30=".",d_Irr!BS30&lt;&gt;"."),d_dir!AV30/((1/1000)*(d_Irr!U30+d_Irr!BS30)),IF(AND(d_Irr!U30=".",d_Irr!AT30&lt;&gt;".",d_Irr!BS30&lt;&gt;"."),d_dir!AV30/((1/1000)*(d_Irr!AT30+d_Irr!BS30)),IF(AND(d_Irr!U30=".",d_Irr!AT30=".",d_Irr!BS30&lt;&gt;"."),d_dir!AV30/((1/1000)*(d_Irr!BS30)),IF(AND(d_Irr!U30=".",d_Irr!AT30&lt;&gt;".",d_Irr!BS30="."),d_dir!AV30/((1/1000)*(d_Irr!AT30)),IF(AND(d_Irr!U30&lt;&gt;".",d_Irr!AT30=".",d_Irr!BS30="."),d_dir!AV30/((1/1000)*(d_Irr!U30)),IF(AND(d_Irr!U30=".",d_Irr!AT30=".",d_Irr!BS30="."),d_dir!AV30*1000)))))))),".")</f>
        <v>26.094912214956938</v>
      </c>
      <c r="AW30" s="70">
        <f>IFERROR(IF(AND(d_Irr!V30&lt;&gt;".",d_Irr!AU30&lt;&gt;".",d_Irr!BT30&lt;&gt;"."),d_dir!AW30/((1/1000)*(d_Irr!V30+d_Irr!AU30+d_Irr!BT30)),IF(AND(d_Irr!V30&lt;&gt;".",d_Irr!AU30&lt;&gt;".",d_Irr!BT30="."),d_dir!AW30/((1/1000)*(d_Irr!V30+d_Irr!AU30)),IF(AND(d_Irr!V30&lt;&gt;".",d_Irr!AU30=".",d_Irr!BT30&lt;&gt;"."),d_dir!AW30/((1/1000)*(d_Irr!V30+d_Irr!BT30)),IF(AND(d_Irr!V30=".",d_Irr!AU30&lt;&gt;".",d_Irr!BT30&lt;&gt;"."),d_dir!AW30/((1/1000)*(d_Irr!AU30+d_Irr!BT30)),IF(AND(d_Irr!V30=".",d_Irr!AU30=".",d_Irr!BT30&lt;&gt;"."),d_dir!AW30/((1/1000)*(d_Irr!BT30)),IF(AND(d_Irr!V30=".",d_Irr!AU30&lt;&gt;".",d_Irr!BT30="."),d_dir!AW30/((1/1000)*(d_Irr!AU30)),IF(AND(d_Irr!V30&lt;&gt;".",d_Irr!AU30=".",d_Irr!BT30="."),d_dir!AW30/((1/1000)*(d_Irr!V30)),IF(AND(d_Irr!V30=".",d_Irr!AU30=".",d_Irr!BT30="."),d_dir!AW30*1000)))))))),".")</f>
        <v>53.682356161172116</v>
      </c>
      <c r="AX30" s="70">
        <f>IFERROR(IF(AND(d_Irr!W30&lt;&gt;".",d_Irr!AV30&lt;&gt;".",d_Irr!BU30&lt;&gt;"."),d_dir!AX30/((1/1000)*(d_Irr!W30+d_Irr!AV30+d_Irr!BU30)),IF(AND(d_Irr!W30&lt;&gt;".",d_Irr!AV30&lt;&gt;".",d_Irr!BU30="."),d_dir!AX30/((1/1000)*(d_Irr!W30+d_Irr!AV30)),IF(AND(d_Irr!W30&lt;&gt;".",d_Irr!AV30=".",d_Irr!BU30&lt;&gt;"."),d_dir!AX30/((1/1000)*(d_Irr!W30+d_Irr!BU30)),IF(AND(d_Irr!W30=".",d_Irr!AV30&lt;&gt;".",d_Irr!BU30&lt;&gt;"."),d_dir!AX30/((1/1000)*(d_Irr!AV30+d_Irr!BU30)),IF(AND(d_Irr!W30=".",d_Irr!AV30=".",d_Irr!BU30&lt;&gt;"."),d_dir!AX30/((1/1000)*(d_Irr!BU30)),IF(AND(d_Irr!W30=".",d_Irr!AV30&lt;&gt;".",d_Irr!BU30="."),d_dir!AX30/((1/1000)*(d_Irr!AV30)),IF(AND(d_Irr!W30&lt;&gt;".",d_Irr!AV30=".",d_Irr!BU30="."),d_dir!AX30/((1/1000)*(d_Irr!W30)),IF(AND(d_Irr!W30=".",d_Irr!AV30=".",d_Irr!BU30="."),d_dir!AX30*1000)))))))),".")</f>
        <v>64.965695606812702</v>
      </c>
      <c r="AY30" s="70">
        <f>IFERROR(IF(AND(d_Irr!X30&lt;&gt;".",d_Irr!AW30&lt;&gt;".",d_Irr!BV30&lt;&gt;"."),d_dir!AY30/((1/1000)*(d_Irr!X30+d_Irr!AW30+d_Irr!BV30)),IF(AND(d_Irr!X30&lt;&gt;".",d_Irr!AW30&lt;&gt;".",d_Irr!BV30="."),d_dir!AY30/((1/1000)*(d_Irr!X30+d_Irr!AW30)),IF(AND(d_Irr!X30&lt;&gt;".",d_Irr!AW30=".",d_Irr!BV30&lt;&gt;"."),d_dir!AY30/((1/1000)*(d_Irr!X30+d_Irr!BV30)),IF(AND(d_Irr!X30=".",d_Irr!AW30&lt;&gt;".",d_Irr!BV30&lt;&gt;"."),d_dir!AY30/((1/1000)*(d_Irr!AW30+d_Irr!BV30)),IF(AND(d_Irr!X30=".",d_Irr!AW30=".",d_Irr!BV30&lt;&gt;"."),d_dir!AY30/((1/1000)*(d_Irr!BV30)),IF(AND(d_Irr!X30=".",d_Irr!AW30&lt;&gt;".",d_Irr!BV30="."),d_dir!AY30/((1/1000)*(d_Irr!AW30)),IF(AND(d_Irr!X30&lt;&gt;".",d_Irr!AW30=".",d_Irr!BV30="."),d_dir!AY30/((1/1000)*(d_Irr!X30)),IF(AND(d_Irr!X30=".",d_Irr!AW30=".",d_Irr!BV30="."),d_dir!AY30*1000)))))))),".")</f>
        <v>90.195295623094168</v>
      </c>
      <c r="AZ30" s="70">
        <f>IFERROR(IF(AND(d_Irr!Y30&lt;&gt;".",d_Irr!AX30&lt;&gt;".",d_Irr!BW30&lt;&gt;"."),d_dir!AZ30/((1/1000)*(d_Irr!Y30+d_Irr!AX30+d_Irr!BW30)),IF(AND(d_Irr!Y30&lt;&gt;".",d_Irr!AX30&lt;&gt;".",d_Irr!BW30="."),d_dir!AZ30/((1/1000)*(d_Irr!Y30+d_Irr!AX30)),IF(AND(d_Irr!Y30&lt;&gt;".",d_Irr!AX30=".",d_Irr!BW30&lt;&gt;"."),d_dir!AZ30/((1/1000)*(d_Irr!Y30+d_Irr!BW30)),IF(AND(d_Irr!Y30=".",d_Irr!AX30&lt;&gt;".",d_Irr!BW30&lt;&gt;"."),d_dir!AZ30/((1/1000)*(d_Irr!AX30+d_Irr!BW30)),IF(AND(d_Irr!Y30=".",d_Irr!AX30=".",d_Irr!BW30&lt;&gt;"."),d_dir!AZ30/((1/1000)*(d_Irr!BW30)),IF(AND(d_Irr!Y30=".",d_Irr!AX30&lt;&gt;".",d_Irr!BW30="."),d_dir!AZ30/((1/1000)*(d_Irr!AX30)),IF(AND(d_Irr!Y30&lt;&gt;".",d_Irr!AX30=".",d_Irr!BW30="."),d_dir!AZ30/((1/1000)*(d_Irr!Y30)),IF(AND(d_Irr!Y30=".",d_Irr!AX30=".",d_Irr!BW30="."),d_dir!AZ30*1000)))))))),".")</f>
        <v>35.068419629238257</v>
      </c>
      <c r="BA30" s="70">
        <f>IFERROR(IF(AND(d_Irr!Z30&lt;&gt;".",d_Irr!AY30&lt;&gt;".",d_Irr!BX30&lt;&gt;"."),d_dir!BA30/((1/1000)*(d_Irr!Z30+d_Irr!AY30+d_Irr!BX30)),IF(AND(d_Irr!Z30&lt;&gt;".",d_Irr!AY30&lt;&gt;".",d_Irr!BX30="."),d_dir!BA30/((1/1000)*(d_Irr!Z30+d_Irr!AY30)),IF(AND(d_Irr!Z30&lt;&gt;".",d_Irr!AY30=".",d_Irr!BX30&lt;&gt;"."),d_dir!BA30/((1/1000)*(d_Irr!Z30+d_Irr!BX30)),IF(AND(d_Irr!Z30=".",d_Irr!AY30&lt;&gt;".",d_Irr!BX30&lt;&gt;"."),d_dir!BA30/((1/1000)*(d_Irr!AY30+d_Irr!BX30)),IF(AND(d_Irr!Z30=".",d_Irr!AY30=".",d_Irr!BX30&lt;&gt;"."),d_dir!BA30/((1/1000)*(d_Irr!BX30)),IF(AND(d_Irr!Z30=".",d_Irr!AY30&lt;&gt;".",d_Irr!BX30="."),d_dir!BA30/((1/1000)*(d_Irr!AY30)),IF(AND(d_Irr!Z30&lt;&gt;".",d_Irr!AY30=".",d_Irr!BX30="."),d_dir!BA30/((1/1000)*(d_Irr!Z30)),IF(AND(d_Irr!Z30=".",d_Irr!AY30=".",d_Irr!BX30="."),d_dir!BA30*1000)))))))),".")</f>
        <v>11.136332957146838</v>
      </c>
      <c r="BB30" s="70">
        <f>IFERROR(IF(AND(d_Irr!AA30&lt;&gt;".",d_Irr!AZ30&lt;&gt;".",d_Irr!BY30&lt;&gt;"."),d_dir!BB30/((1/1000)*(d_Irr!AA30+d_Irr!AZ30+d_Irr!BY30)),IF(AND(d_Irr!AA30&lt;&gt;".",d_Irr!AZ30&lt;&gt;".",d_Irr!BY30="."),d_dir!BB30/((1/1000)*(d_Irr!AA30+d_Irr!AZ30)),IF(AND(d_Irr!AA30&lt;&gt;".",d_Irr!AZ30=".",d_Irr!BY30&lt;&gt;"."),d_dir!BB30/((1/1000)*(d_Irr!AA30+d_Irr!BY30)),IF(AND(d_Irr!AA30=".",d_Irr!AZ30&lt;&gt;".",d_Irr!BY30&lt;&gt;"."),d_dir!BB30/((1/1000)*(d_Irr!AZ30+d_Irr!BY30)),IF(AND(d_Irr!AA30=".",d_Irr!AZ30=".",d_Irr!BY30&lt;&gt;"."),d_dir!BB30/((1/1000)*(d_Irr!BY30)),IF(AND(d_Irr!AA30=".",d_Irr!AZ30&lt;&gt;".",d_Irr!BY30="."),d_dir!BB30/((1/1000)*(d_Irr!AZ30)),IF(AND(d_Irr!AA30&lt;&gt;".",d_Irr!AZ30=".",d_Irr!BY30="."),d_dir!BB30/((1/1000)*(d_Irr!AA30)),IF(AND(d_Irr!AA30=".",d_Irr!AZ30=".",d_Irr!BY30="."),d_dir!BB30*1000)))))))),".")</f>
        <v>12.637346342871227</v>
      </c>
    </row>
    <row r="31" spans="1:54" x14ac:dyDescent="0.25">
      <c r="A31" s="89" t="s">
        <v>1</v>
      </c>
      <c r="B31" s="89" t="s">
        <v>1057</v>
      </c>
      <c r="C31" s="90">
        <f t="shared" ref="C31:AH31" si="2">IFERROR(1/SUM(IFERROR(1/SUMIF(C32,"&lt;&gt;.",C32),0),IFERROR(1/SUMIF(C33,"&lt;&gt;.",C33),0),IFERROR(1/SUMIF(C34,"&lt;&gt;.",C34),0),IFERROR(1/SUMIF(C35,"&lt;&gt;.",C35),0),IFERROR(1/SUMIF(C36,"&lt;&gt;.",C36),0),IFERROR(1/SUMIF(C37,"&lt;&gt;.",C37),0),IFERROR(1/SUMIF(C38,"&lt;&gt;.",C38),0),IFERROR(1/SUMIF(C39,"&lt;&gt;.",C39),0),IFERROR(1/SUMIF(C40,"&lt;&gt;.",C40),0),IFERROR(1/SUMIF(C41,"&lt;&gt;.",C41),0),IFERROR(1/SUMIF(C42,"&lt;&gt;.",C42),0),IFERROR(1/SUMIF(C43,"&lt;&gt;.",C43),0),IFERROR(1/SUMIF(C44,"&lt;&gt;.",C44),0)),".")</f>
        <v>0.11302669559953551</v>
      </c>
      <c r="D31" s="58">
        <f t="shared" si="2"/>
        <v>2.1305039173944955</v>
      </c>
      <c r="E31" s="58">
        <f t="shared" si="2"/>
        <v>3.9630411764842641</v>
      </c>
      <c r="F31" s="58">
        <f t="shared" si="2"/>
        <v>4.9764616223539599</v>
      </c>
      <c r="G31" s="58">
        <f t="shared" si="2"/>
        <v>4.7841125299828509</v>
      </c>
      <c r="H31" s="58">
        <f t="shared" si="2"/>
        <v>5.6518551749097306</v>
      </c>
      <c r="I31" s="58">
        <f t="shared" si="2"/>
        <v>1.9516916491132597</v>
      </c>
      <c r="J31" s="58">
        <f t="shared" si="2"/>
        <v>5.732269499029556</v>
      </c>
      <c r="K31" s="58">
        <f t="shared" si="2"/>
        <v>0.55231474539147796</v>
      </c>
      <c r="L31" s="58">
        <f t="shared" si="2"/>
        <v>3.0352707913594652</v>
      </c>
      <c r="M31" s="58">
        <f t="shared" si="2"/>
        <v>2.1917046941102343</v>
      </c>
      <c r="N31" s="58">
        <f t="shared" si="2"/>
        <v>4.134034147912014</v>
      </c>
      <c r="O31" s="58">
        <f t="shared" si="2"/>
        <v>4.7448928128839487</v>
      </c>
      <c r="P31" s="58">
        <f t="shared" si="2"/>
        <v>5.9125815647018518</v>
      </c>
      <c r="Q31" s="58">
        <f t="shared" si="2"/>
        <v>7.7452203224382163</v>
      </c>
      <c r="R31" s="58">
        <f t="shared" si="2"/>
        <v>1.3678352464088526</v>
      </c>
      <c r="S31" s="58">
        <f t="shared" si="2"/>
        <v>2.7909415161388726</v>
      </c>
      <c r="T31" s="58">
        <f t="shared" si="2"/>
        <v>4.7569715750561636</v>
      </c>
      <c r="U31" s="58">
        <f t="shared" si="2"/>
        <v>9.2283821006004292</v>
      </c>
      <c r="V31" s="58">
        <f t="shared" si="2"/>
        <v>1.4210443523543403</v>
      </c>
      <c r="W31" s="58">
        <f t="shared" si="2"/>
        <v>2.8122136541364338</v>
      </c>
      <c r="X31" s="58">
        <f t="shared" si="2"/>
        <v>3.0523311950463228</v>
      </c>
      <c r="Y31" s="58">
        <f t="shared" si="2"/>
        <v>4.1666553928630599</v>
      </c>
      <c r="Z31" s="58">
        <f t="shared" si="2"/>
        <v>2.127784456361776</v>
      </c>
      <c r="AA31" s="58">
        <f t="shared" si="2"/>
        <v>0.63521451937174334</v>
      </c>
      <c r="AB31" s="58">
        <f t="shared" si="2"/>
        <v>0.72388102259120335</v>
      </c>
      <c r="AC31" s="90">
        <f t="shared" si="2"/>
        <v>0.10634774977365705</v>
      </c>
      <c r="AD31" s="58">
        <f t="shared" si="2"/>
        <v>1.8525561849269321</v>
      </c>
      <c r="AE31" s="58">
        <f t="shared" si="2"/>
        <v>3.7137905242916673</v>
      </c>
      <c r="AF31" s="58">
        <f t="shared" si="2"/>
        <v>4.6013282180411466</v>
      </c>
      <c r="AG31" s="58">
        <f t="shared" si="2"/>
        <v>4.6586276111636291</v>
      </c>
      <c r="AH31" s="58">
        <f t="shared" si="2"/>
        <v>4.8034882580926439</v>
      </c>
      <c r="AI31" s="58">
        <f t="shared" ref="AI31:BB31" si="3">IFERROR(1/SUM(IFERROR(1/SUMIF(AI32,"&lt;&gt;.",AI32),0),IFERROR(1/SUMIF(AI33,"&lt;&gt;.",AI33),0),IFERROR(1/SUMIF(AI34,"&lt;&gt;.",AI34),0),IFERROR(1/SUMIF(AI35,"&lt;&gt;.",AI35),0),IFERROR(1/SUMIF(AI36,"&lt;&gt;.",AI36),0),IFERROR(1/SUMIF(AI37,"&lt;&gt;.",AI37),0),IFERROR(1/SUMIF(AI38,"&lt;&gt;.",AI38),0),IFERROR(1/SUMIF(AI39,"&lt;&gt;.",AI39),0),IFERROR(1/SUMIF(AI40,"&lt;&gt;.",AI40),0),IFERROR(1/SUMIF(AI41,"&lt;&gt;.",AI41),0),IFERROR(1/SUMIF(AI42,"&lt;&gt;.",AI42),0),IFERROR(1/SUMIF(AI43,"&lt;&gt;.",AI43),0),IFERROR(1/SUMIF(AI44,"&lt;&gt;.",AI44),0)),".")</f>
        <v>1.9239492932775437</v>
      </c>
      <c r="AJ31" s="58">
        <f t="shared" si="3"/>
        <v>6.1102130110333981</v>
      </c>
      <c r="AK31" s="58">
        <f t="shared" si="3"/>
        <v>0.5370771695042087</v>
      </c>
      <c r="AL31" s="58">
        <f t="shared" si="3"/>
        <v>2.1052418276467062</v>
      </c>
      <c r="AM31" s="58">
        <f t="shared" si="3"/>
        <v>3.0796329489263057</v>
      </c>
      <c r="AN31" s="58">
        <f t="shared" si="3"/>
        <v>3.7866735748151021</v>
      </c>
      <c r="AO31" s="58">
        <f t="shared" si="3"/>
        <v>4.6042377309015263</v>
      </c>
      <c r="AP31" s="58">
        <f t="shared" si="3"/>
        <v>5.5480627746578479</v>
      </c>
      <c r="AQ31" s="58">
        <f t="shared" si="3"/>
        <v>5.7021120598238122</v>
      </c>
      <c r="AR31" s="58">
        <f t="shared" si="3"/>
        <v>1.5291186091222302</v>
      </c>
      <c r="AS31" s="58">
        <f t="shared" si="3"/>
        <v>2.4934396890800041</v>
      </c>
      <c r="AT31" s="58">
        <f t="shared" si="3"/>
        <v>5.1112006081185006</v>
      </c>
      <c r="AU31" s="58">
        <f t="shared" si="3"/>
        <v>6.9192406097570736</v>
      </c>
      <c r="AV31" s="58">
        <f t="shared" si="3"/>
        <v>1.2095866659945795</v>
      </c>
      <c r="AW31" s="58">
        <f t="shared" si="3"/>
        <v>2.6457097436194585</v>
      </c>
      <c r="AX31" s="58">
        <f t="shared" si="3"/>
        <v>2.8898577095505718</v>
      </c>
      <c r="AY31" s="58">
        <f t="shared" si="3"/>
        <v>4.0536321017611971</v>
      </c>
      <c r="AZ31" s="58">
        <f t="shared" si="3"/>
        <v>1.7262370081607417</v>
      </c>
      <c r="BA31" s="58">
        <f t="shared" si="3"/>
        <v>0.5032359559894628</v>
      </c>
      <c r="BB31" s="58">
        <f t="shared" si="3"/>
        <v>0.57702341479216579</v>
      </c>
    </row>
    <row r="32" spans="1:54" x14ac:dyDescent="0.25">
      <c r="A32" s="182" t="s">
        <v>1085</v>
      </c>
      <c r="B32" s="183">
        <v>1</v>
      </c>
      <c r="C32" s="60">
        <f t="shared" ref="C32:AH32" si="4">IFERROR(C3/$B32,".")</f>
        <v>0.66220212068103612</v>
      </c>
      <c r="D32" s="60">
        <f t="shared" si="4"/>
        <v>12.102671623360719</v>
      </c>
      <c r="E32" s="60">
        <f t="shared" si="4"/>
        <v>26.409372166549065</v>
      </c>
      <c r="F32" s="60">
        <f t="shared" si="4"/>
        <v>31.712260018985866</v>
      </c>
      <c r="G32" s="60">
        <f t="shared" si="4"/>
        <v>27.009482046453122</v>
      </c>
      <c r="H32" s="60">
        <f t="shared" si="4"/>
        <v>33.141572123672866</v>
      </c>
      <c r="I32" s="60">
        <f t="shared" si="4"/>
        <v>13.005362657568726</v>
      </c>
      <c r="J32" s="60">
        <f t="shared" si="4"/>
        <v>36.53046043555176</v>
      </c>
      <c r="K32" s="60">
        <f t="shared" si="4"/>
        <v>3.1375150197724704</v>
      </c>
      <c r="L32" s="60">
        <f t="shared" si="4"/>
        <v>17.199917391641559</v>
      </c>
      <c r="M32" s="60">
        <f t="shared" si="4"/>
        <v>12.858042177816859</v>
      </c>
      <c r="N32" s="60">
        <f t="shared" si="4"/>
        <v>27.021106170626265</v>
      </c>
      <c r="O32" s="60">
        <f t="shared" si="4"/>
        <v>27.449925296507431</v>
      </c>
      <c r="P32" s="60">
        <f t="shared" si="4"/>
        <v>34.686556417488184</v>
      </c>
      <c r="Q32" s="60">
        <f t="shared" si="4"/>
        <v>49.358541952949075</v>
      </c>
      <c r="R32" s="60">
        <f t="shared" si="4"/>
        <v>7.7702247227138921</v>
      </c>
      <c r="S32" s="60">
        <f t="shared" si="4"/>
        <v>15.854394077407738</v>
      </c>
      <c r="T32" s="60">
        <f t="shared" si="4"/>
        <v>27.557351409896121</v>
      </c>
      <c r="U32" s="60">
        <f t="shared" si="4"/>
        <v>54.08167449130648</v>
      </c>
      <c r="V32" s="60">
        <f t="shared" si="4"/>
        <v>8.1173868249327814</v>
      </c>
      <c r="W32" s="60">
        <f t="shared" si="4"/>
        <v>16.498223206699638</v>
      </c>
      <c r="X32" s="60">
        <f t="shared" si="4"/>
        <v>17.650827516187078</v>
      </c>
      <c r="Y32" s="60">
        <f t="shared" si="4"/>
        <v>23.654648542494556</v>
      </c>
      <c r="Z32" s="60">
        <f t="shared" si="4"/>
        <v>12.472321108501644</v>
      </c>
      <c r="AA32" s="60">
        <f t="shared" si="4"/>
        <v>3.5479532212616061</v>
      </c>
      <c r="AB32" s="60">
        <f t="shared" si="4"/>
        <v>4.0804415721681133</v>
      </c>
      <c r="AC32" s="60">
        <f t="shared" si="4"/>
        <v>0.62293617860354933</v>
      </c>
      <c r="AD32" s="60">
        <f t="shared" si="4"/>
        <v>10.523744634751122</v>
      </c>
      <c r="AE32" s="60">
        <f t="shared" si="4"/>
        <v>24.748386841549497</v>
      </c>
      <c r="AF32" s="60">
        <f t="shared" si="4"/>
        <v>29.321740617421963</v>
      </c>
      <c r="AG32" s="60">
        <f t="shared" si="4"/>
        <v>26.301036615726488</v>
      </c>
      <c r="AH32" s="60">
        <f t="shared" si="4"/>
        <v>28.1668846111818</v>
      </c>
      <c r="AI32" s="60">
        <f t="shared" ref="AI32:BB32" si="5">IFERROR(AI3/$B32,".")</f>
        <v>12.820497697582482</v>
      </c>
      <c r="AJ32" s="60">
        <f t="shared" si="5"/>
        <v>38.939009181291517</v>
      </c>
      <c r="AK32" s="60">
        <f t="shared" si="5"/>
        <v>3.0509554563891967</v>
      </c>
      <c r="AL32" s="60">
        <f t="shared" si="5"/>
        <v>11.929738074122138</v>
      </c>
      <c r="AM32" s="60">
        <f t="shared" si="5"/>
        <v>18.067238006972719</v>
      </c>
      <c r="AN32" s="60">
        <f t="shared" si="5"/>
        <v>24.750668484502679</v>
      </c>
      <c r="AO32" s="60">
        <f t="shared" si="5"/>
        <v>26.636214292855705</v>
      </c>
      <c r="AP32" s="60">
        <f t="shared" si="5"/>
        <v>32.548082480556801</v>
      </c>
      <c r="AQ32" s="60">
        <f t="shared" si="5"/>
        <v>36.338273878389799</v>
      </c>
      <c r="AR32" s="60">
        <f t="shared" si="5"/>
        <v>8.6864227630905511</v>
      </c>
      <c r="AS32" s="60">
        <f t="shared" si="5"/>
        <v>14.164386896080112</v>
      </c>
      <c r="AT32" s="60">
        <f t="shared" si="5"/>
        <v>29.609416214082234</v>
      </c>
      <c r="AU32" s="60">
        <f t="shared" si="5"/>
        <v>40.549265765617143</v>
      </c>
      <c r="AV32" s="60">
        <f t="shared" si="5"/>
        <v>6.9094837538965566</v>
      </c>
      <c r="AW32" s="60">
        <f t="shared" si="5"/>
        <v>15.521406002054871</v>
      </c>
      <c r="AX32" s="60">
        <f t="shared" si="5"/>
        <v>16.711286134474179</v>
      </c>
      <c r="AY32" s="60">
        <f t="shared" si="5"/>
        <v>23.013000511627876</v>
      </c>
      <c r="AZ32" s="60">
        <f t="shared" si="5"/>
        <v>10.11859176374173</v>
      </c>
      <c r="BA32" s="60">
        <f t="shared" si="5"/>
        <v>2.8107947420241257</v>
      </c>
      <c r="BB32" s="60">
        <f t="shared" si="5"/>
        <v>3.252620605253826</v>
      </c>
    </row>
    <row r="33" spans="1:54" x14ac:dyDescent="0.25">
      <c r="A33" s="182" t="s">
        <v>1061</v>
      </c>
      <c r="B33" s="183">
        <v>1</v>
      </c>
      <c r="C33" s="60">
        <f t="shared" ref="C33:BB34" si="6">IFERROR(C13/$B33,".")</f>
        <v>1.1560714195678143</v>
      </c>
      <c r="D33" s="60">
        <f t="shared" si="6"/>
        <v>22.98292665636956</v>
      </c>
      <c r="E33" s="60">
        <f t="shared" si="6"/>
        <v>39.862236667835205</v>
      </c>
      <c r="F33" s="60">
        <f t="shared" si="6"/>
        <v>49.996641169404</v>
      </c>
      <c r="G33" s="60">
        <f t="shared" si="6"/>
        <v>51.677250534476549</v>
      </c>
      <c r="H33" s="60">
        <f t="shared" si="6"/>
        <v>53.89514208117096</v>
      </c>
      <c r="I33" s="60">
        <f t="shared" si="6"/>
        <v>19.63129441873587</v>
      </c>
      <c r="J33" s="60">
        <f t="shared" si="6"/>
        <v>57.588922887126962</v>
      </c>
      <c r="K33" s="60">
        <f t="shared" si="6"/>
        <v>5.9581284411868127</v>
      </c>
      <c r="L33" s="60">
        <f t="shared" si="6"/>
        <v>31.292685843669297</v>
      </c>
      <c r="M33" s="60">
        <f t="shared" si="6"/>
        <v>20.880983608149357</v>
      </c>
      <c r="N33" s="60">
        <f t="shared" si="6"/>
        <v>41.790548843911928</v>
      </c>
      <c r="O33" s="60">
        <f t="shared" si="6"/>
        <v>45.186794799743758</v>
      </c>
      <c r="P33" s="60">
        <f t="shared" si="6"/>
        <v>56.332919626614078</v>
      </c>
      <c r="Q33" s="60">
        <f t="shared" si="6"/>
        <v>77.811920037642196</v>
      </c>
      <c r="R33" s="60">
        <f t="shared" si="6"/>
        <v>14.755622930648146</v>
      </c>
      <c r="S33" s="60">
        <f t="shared" si="6"/>
        <v>30.107433102531733</v>
      </c>
      <c r="T33" s="60">
        <f t="shared" si="6"/>
        <v>45.145707272315541</v>
      </c>
      <c r="U33" s="60">
        <f t="shared" si="6"/>
        <v>88.096997765022252</v>
      </c>
      <c r="V33" s="60">
        <f t="shared" si="6"/>
        <v>14.66843672047496</v>
      </c>
      <c r="W33" s="60">
        <f t="shared" si="6"/>
        <v>26.793195871578511</v>
      </c>
      <c r="X33" s="60">
        <f t="shared" si="6"/>
        <v>29.098952988011337</v>
      </c>
      <c r="Y33" s="60">
        <f t="shared" si="6"/>
        <v>44.954782161897953</v>
      </c>
      <c r="Z33" s="60">
        <f t="shared" si="6"/>
        <v>20.304250624307318</v>
      </c>
      <c r="AA33" s="60">
        <f t="shared" si="6"/>
        <v>6.4101776384839768</v>
      </c>
      <c r="AB33" s="60">
        <f t="shared" si="6"/>
        <v>7.7061396440696166</v>
      </c>
      <c r="AC33" s="60">
        <f t="shared" si="6"/>
        <v>1.0877174048294909</v>
      </c>
      <c r="AD33" s="60">
        <f t="shared" si="6"/>
        <v>19.984550404886988</v>
      </c>
      <c r="AE33" s="60">
        <f t="shared" si="6"/>
        <v>37.35514980074192</v>
      </c>
      <c r="AF33" s="60">
        <f t="shared" si="6"/>
        <v>46.227816725578982</v>
      </c>
      <c r="AG33" s="60">
        <f t="shared" si="6"/>
        <v>50.321781667998486</v>
      </c>
      <c r="AH33" s="60">
        <f t="shared" si="6"/>
        <v>45.805257591242913</v>
      </c>
      <c r="AI33" s="60">
        <f t="shared" si="6"/>
        <v>19.352245033282117</v>
      </c>
      <c r="AJ33" s="60">
        <f t="shared" si="6"/>
        <v>61.38591110831301</v>
      </c>
      <c r="AK33" s="60">
        <f t="shared" si="6"/>
        <v>5.7937521774237792</v>
      </c>
      <c r="AL33" s="60">
        <f t="shared" si="6"/>
        <v>21.704380157789547</v>
      </c>
      <c r="AM33" s="60">
        <f t="shared" si="6"/>
        <v>29.340524432171748</v>
      </c>
      <c r="AN33" s="60">
        <f t="shared" si="6"/>
        <v>38.279114618389741</v>
      </c>
      <c r="AO33" s="60">
        <f t="shared" si="6"/>
        <v>43.847301458645951</v>
      </c>
      <c r="AP33" s="60">
        <f t="shared" si="6"/>
        <v>52.859917609266873</v>
      </c>
      <c r="AQ33" s="60">
        <f t="shared" si="6"/>
        <v>57.285947871526787</v>
      </c>
      <c r="AR33" s="60">
        <f t="shared" si="6"/>
        <v>16.495479021821136</v>
      </c>
      <c r="AS33" s="60">
        <f t="shared" si="6"/>
        <v>26.898115994215029</v>
      </c>
      <c r="AT33" s="60">
        <f t="shared" si="6"/>
        <v>48.507493228288759</v>
      </c>
      <c r="AU33" s="60">
        <f t="shared" si="6"/>
        <v>66.053216900691595</v>
      </c>
      <c r="AV33" s="60">
        <f t="shared" si="6"/>
        <v>12.485708443002617</v>
      </c>
      <c r="AW33" s="60">
        <f t="shared" si="6"/>
        <v>25.20683991270489</v>
      </c>
      <c r="AX33" s="60">
        <f t="shared" si="6"/>
        <v>27.550035778793671</v>
      </c>
      <c r="AY33" s="60">
        <f t="shared" si="6"/>
        <v>43.735353879105958</v>
      </c>
      <c r="AZ33" s="60">
        <f t="shared" si="6"/>
        <v>16.472509114283511</v>
      </c>
      <c r="BA33" s="60">
        <f t="shared" si="6"/>
        <v>5.0783345997116989</v>
      </c>
      <c r="BB33" s="60">
        <f t="shared" si="6"/>
        <v>6.1427539519812395</v>
      </c>
    </row>
    <row r="34" spans="1:54" x14ac:dyDescent="0.25">
      <c r="A34" s="182" t="s">
        <v>1062</v>
      </c>
      <c r="B34" s="183">
        <v>1</v>
      </c>
      <c r="C34" s="60">
        <f t="shared" si="6"/>
        <v>109.03534415037855</v>
      </c>
      <c r="D34" s="60">
        <f t="shared" si="6"/>
        <v>1988.0149432707728</v>
      </c>
      <c r="E34" s="60">
        <f t="shared" si="6"/>
        <v>4347.9260865844144</v>
      </c>
      <c r="F34" s="60">
        <f t="shared" si="6"/>
        <v>5241.6470704596159</v>
      </c>
      <c r="G34" s="60">
        <f t="shared" si="6"/>
        <v>4470.0863864637295</v>
      </c>
      <c r="H34" s="60">
        <f t="shared" si="6"/>
        <v>5465.3314582244793</v>
      </c>
      <c r="I34" s="60">
        <f t="shared" si="6"/>
        <v>2141.1945876739205</v>
      </c>
      <c r="J34" s="60">
        <f t="shared" si="6"/>
        <v>6037.8356105437742</v>
      </c>
      <c r="K34" s="60">
        <f t="shared" si="6"/>
        <v>515.3746735268096</v>
      </c>
      <c r="L34" s="60">
        <f t="shared" si="6"/>
        <v>2825.7901774209381</v>
      </c>
      <c r="M34" s="60">
        <f t="shared" si="6"/>
        <v>2118.6869033416915</v>
      </c>
      <c r="N34" s="60">
        <f t="shared" si="6"/>
        <v>4493.9497968502219</v>
      </c>
      <c r="O34" s="60">
        <f t="shared" si="6"/>
        <v>4537.8823465664573</v>
      </c>
      <c r="P34" s="60">
        <f t="shared" si="6"/>
        <v>5715.6778363225012</v>
      </c>
      <c r="Q34" s="60">
        <f t="shared" si="6"/>
        <v>8158.0894063410251</v>
      </c>
      <c r="R34" s="60">
        <f t="shared" si="6"/>
        <v>1276.345315606349</v>
      </c>
      <c r="S34" s="60">
        <f t="shared" si="6"/>
        <v>2604.2822050589493</v>
      </c>
      <c r="T34" s="60">
        <f t="shared" si="6"/>
        <v>4542.1825834909569</v>
      </c>
      <c r="U34" s="60">
        <f t="shared" si="6"/>
        <v>8927.362952632584</v>
      </c>
      <c r="V34" s="60">
        <f t="shared" si="6"/>
        <v>1335.7771385689148</v>
      </c>
      <c r="W34" s="60">
        <f t="shared" si="6"/>
        <v>2718.5397715112217</v>
      </c>
      <c r="X34" s="60">
        <f t="shared" si="6"/>
        <v>2920.5931058760316</v>
      </c>
      <c r="Y34" s="60">
        <f t="shared" si="6"/>
        <v>3888.309316379768</v>
      </c>
      <c r="Z34" s="60">
        <f t="shared" si="6"/>
        <v>2058.0772489244105</v>
      </c>
      <c r="AA34" s="60">
        <f t="shared" si="6"/>
        <v>623.79784099183951</v>
      </c>
      <c r="AB34" s="60">
        <f t="shared" si="6"/>
        <v>715.43122527245646</v>
      </c>
      <c r="AC34" s="60">
        <f t="shared" si="6"/>
        <v>102.57191166893995</v>
      </c>
      <c r="AD34" s="60">
        <f t="shared" si="6"/>
        <v>1728.6564689294055</v>
      </c>
      <c r="AE34" s="60">
        <f t="shared" si="6"/>
        <v>4074.4685663353371</v>
      </c>
      <c r="AF34" s="60">
        <f t="shared" si="6"/>
        <v>4846.523575300881</v>
      </c>
      <c r="AG34" s="60">
        <f t="shared" si="6"/>
        <v>4352.8382189499271</v>
      </c>
      <c r="AH34" s="60">
        <f t="shared" si="6"/>
        <v>4644.9625253507902</v>
      </c>
      <c r="AI34" s="60">
        <f t="shared" si="6"/>
        <v>2110.7585389303858</v>
      </c>
      <c r="AJ34" s="60">
        <f t="shared" si="6"/>
        <v>6435.9258950178564</v>
      </c>
      <c r="AK34" s="60">
        <f t="shared" si="6"/>
        <v>501.15622152318753</v>
      </c>
      <c r="AL34" s="60">
        <f t="shared" si="6"/>
        <v>1959.947591692563</v>
      </c>
      <c r="AM34" s="60">
        <f t="shared" si="6"/>
        <v>2977.0333628995463</v>
      </c>
      <c r="AN34" s="60">
        <f t="shared" si="6"/>
        <v>4116.347454670472</v>
      </c>
      <c r="AO34" s="60">
        <f t="shared" si="6"/>
        <v>4403.3637728802896</v>
      </c>
      <c r="AP34" s="60">
        <f t="shared" si="6"/>
        <v>5363.2984321015183</v>
      </c>
      <c r="AQ34" s="60">
        <f t="shared" si="6"/>
        <v>6006.0705896580539</v>
      </c>
      <c r="AR34" s="60">
        <f t="shared" si="6"/>
        <v>1426.840972904924</v>
      </c>
      <c r="AS34" s="60">
        <f t="shared" si="6"/>
        <v>2326.6774219770723</v>
      </c>
      <c r="AT34" s="60">
        <f t="shared" si="6"/>
        <v>4880.4173026092012</v>
      </c>
      <c r="AU34" s="60">
        <f t="shared" si="6"/>
        <v>6693.5429858151629</v>
      </c>
      <c r="AV34" s="60">
        <f t="shared" si="6"/>
        <v>1137.0075908443323</v>
      </c>
      <c r="AW34" s="60">
        <f t="shared" si="6"/>
        <v>2557.5820497581994</v>
      </c>
      <c r="AX34" s="60">
        <f t="shared" si="6"/>
        <v>2765.1319480578236</v>
      </c>
      <c r="AY34" s="60">
        <f t="shared" si="6"/>
        <v>3782.8363472179726</v>
      </c>
      <c r="AZ34" s="60">
        <f t="shared" si="6"/>
        <v>1669.6846817001617</v>
      </c>
      <c r="BA34" s="60">
        <f t="shared" si="6"/>
        <v>494.19132164386019</v>
      </c>
      <c r="BB34" s="60">
        <f t="shared" si="6"/>
        <v>570.28787296830092</v>
      </c>
    </row>
    <row r="35" spans="1:54" x14ac:dyDescent="0.25">
      <c r="A35" s="182" t="s">
        <v>1063</v>
      </c>
      <c r="B35" s="183">
        <v>1</v>
      </c>
      <c r="C35" s="60">
        <f t="shared" ref="C35:AH35" si="7">IFERROR(C30/$B35,".")</f>
        <v>2.4568208272321308</v>
      </c>
      <c r="D35" s="60">
        <f t="shared" si="7"/>
        <v>47.397875946871537</v>
      </c>
      <c r="E35" s="60">
        <f t="shared" si="7"/>
        <v>87.520516687803394</v>
      </c>
      <c r="F35" s="60">
        <f t="shared" si="7"/>
        <v>116.59830806189723</v>
      </c>
      <c r="G35" s="60">
        <f t="shared" si="7"/>
        <v>106.57445511327165</v>
      </c>
      <c r="H35" s="60">
        <f t="shared" si="7"/>
        <v>114.75591494606938</v>
      </c>
      <c r="I35" s="60">
        <f t="shared" si="7"/>
        <v>43.101474014862696</v>
      </c>
      <c r="J35" s="60">
        <f t="shared" si="7"/>
        <v>134.30991083044631</v>
      </c>
      <c r="K35" s="60">
        <f t="shared" si="7"/>
        <v>12.287494135554224</v>
      </c>
      <c r="L35" s="60">
        <f t="shared" si="7"/>
        <v>59.313878401284583</v>
      </c>
      <c r="M35" s="60">
        <f t="shared" si="7"/>
        <v>44.469862872341963</v>
      </c>
      <c r="N35" s="60">
        <f t="shared" si="7"/>
        <v>91.260645106531996</v>
      </c>
      <c r="O35" s="60">
        <f t="shared" si="7"/>
        <v>106.69289560843717</v>
      </c>
      <c r="P35" s="60">
        <f t="shared" si="7"/>
        <v>119.97020020544225</v>
      </c>
      <c r="Q35" s="60">
        <f t="shared" si="7"/>
        <v>181.47434468057514</v>
      </c>
      <c r="R35" s="60">
        <f t="shared" si="7"/>
        <v>30.43062058549431</v>
      </c>
      <c r="S35" s="60">
        <f t="shared" si="7"/>
        <v>62.090803343230512</v>
      </c>
      <c r="T35" s="60">
        <f t="shared" si="7"/>
        <v>107.04609615110628</v>
      </c>
      <c r="U35" s="60">
        <f t="shared" si="7"/>
        <v>187.53273574978004</v>
      </c>
      <c r="V35" s="60">
        <f t="shared" si="7"/>
        <v>30.656776129188096</v>
      </c>
      <c r="W35" s="60">
        <f t="shared" si="7"/>
        <v>57.060777489572303</v>
      </c>
      <c r="X35" s="60">
        <f t="shared" si="7"/>
        <v>68.618194817417901</v>
      </c>
      <c r="Y35" s="60">
        <f t="shared" si="7"/>
        <v>92.710119094320973</v>
      </c>
      <c r="Z35" s="60">
        <f t="shared" si="7"/>
        <v>43.225836222668427</v>
      </c>
      <c r="AA35" s="60">
        <f t="shared" si="7"/>
        <v>14.056945460164723</v>
      </c>
      <c r="AB35" s="60">
        <f t="shared" si="7"/>
        <v>15.853663749176903</v>
      </c>
      <c r="AC35" s="60">
        <f t="shared" si="7"/>
        <v>2.3078228514618631</v>
      </c>
      <c r="AD35" s="60">
        <f t="shared" si="7"/>
        <v>41.21430029810054</v>
      </c>
      <c r="AE35" s="60">
        <f t="shared" si="7"/>
        <v>82.016020293945459</v>
      </c>
      <c r="AF35" s="60">
        <f t="shared" si="7"/>
        <v>107.80894655172368</v>
      </c>
      <c r="AG35" s="60">
        <f t="shared" si="7"/>
        <v>103.779059569317</v>
      </c>
      <c r="AH35" s="60">
        <f t="shared" si="7"/>
        <v>97.530575878375458</v>
      </c>
      <c r="AI35" s="60">
        <f t="shared" ref="AI35:BB35" si="8">IFERROR(AI30/$B35,".")</f>
        <v>42.488807341975367</v>
      </c>
      <c r="AJ35" s="60">
        <f t="shared" si="8"/>
        <v>143.16531433245814</v>
      </c>
      <c r="AK35" s="60">
        <f t="shared" si="8"/>
        <v>11.948499701823913</v>
      </c>
      <c r="AL35" s="60">
        <f t="shared" si="8"/>
        <v>41.139676277254615</v>
      </c>
      <c r="AM35" s="60">
        <f t="shared" si="8"/>
        <v>62.485997910177737</v>
      </c>
      <c r="AN35" s="60">
        <f t="shared" si="8"/>
        <v>83.592505741643151</v>
      </c>
      <c r="AO35" s="60">
        <f t="shared" si="8"/>
        <v>103.53014808798778</v>
      </c>
      <c r="AP35" s="60">
        <f t="shared" si="8"/>
        <v>112.57387226617095</v>
      </c>
      <c r="AQ35" s="60">
        <f t="shared" si="8"/>
        <v>133.60330710721175</v>
      </c>
      <c r="AR35" s="60">
        <f t="shared" si="8"/>
        <v>34.018737524554702</v>
      </c>
      <c r="AS35" s="60">
        <f t="shared" si="8"/>
        <v>55.472202655488665</v>
      </c>
      <c r="AT35" s="60">
        <f t="shared" si="8"/>
        <v>115.01730946075419</v>
      </c>
      <c r="AU35" s="60">
        <f t="shared" si="8"/>
        <v>140.60797512646289</v>
      </c>
      <c r="AV35" s="60">
        <f t="shared" si="8"/>
        <v>26.094912214956938</v>
      </c>
      <c r="AW35" s="60">
        <f t="shared" si="8"/>
        <v>53.682356161172116</v>
      </c>
      <c r="AX35" s="60">
        <f t="shared" si="8"/>
        <v>64.965695606812702</v>
      </c>
      <c r="AY35" s="60">
        <f t="shared" si="8"/>
        <v>90.195295623094168</v>
      </c>
      <c r="AZ35" s="60">
        <f t="shared" si="8"/>
        <v>35.068419629238257</v>
      </c>
      <c r="BA35" s="60">
        <f t="shared" si="8"/>
        <v>11.136332957146838</v>
      </c>
      <c r="BB35" s="60">
        <f t="shared" si="8"/>
        <v>12.637346342871227</v>
      </c>
    </row>
    <row r="36" spans="1:54" x14ac:dyDescent="0.25">
      <c r="A36" s="182" t="s">
        <v>1064</v>
      </c>
      <c r="B36" s="183">
        <v>1</v>
      </c>
      <c r="C36" s="60">
        <f t="shared" ref="C36:AH36" si="9">IFERROR(C26/$B36,".")</f>
        <v>0.2577785333705756</v>
      </c>
      <c r="D36" s="60">
        <f t="shared" si="9"/>
        <v>4.7081499298234659</v>
      </c>
      <c r="E36" s="60">
        <f t="shared" si="9"/>
        <v>10.227873483635257</v>
      </c>
      <c r="F36" s="60">
        <f t="shared" si="9"/>
        <v>12.377629760637896</v>
      </c>
      <c r="G36" s="60">
        <f t="shared" si="9"/>
        <v>10.586304996183108</v>
      </c>
      <c r="H36" s="60">
        <f t="shared" si="9"/>
        <v>12.899414752950088</v>
      </c>
      <c r="I36" s="60">
        <f t="shared" si="9"/>
        <v>5.0367539162659956</v>
      </c>
      <c r="J36" s="60">
        <f t="shared" si="9"/>
        <v>14.258217033605362</v>
      </c>
      <c r="K36" s="60">
        <f t="shared" si="9"/>
        <v>1.2205477926395041</v>
      </c>
      <c r="L36" s="60">
        <f t="shared" si="9"/>
        <v>6.6831836665089597</v>
      </c>
      <c r="M36" s="60">
        <f t="shared" si="9"/>
        <v>5.0044351518118537</v>
      </c>
      <c r="N36" s="60">
        <f t="shared" si="9"/>
        <v>10.475743522818835</v>
      </c>
      <c r="O36" s="60">
        <f t="shared" si="9"/>
        <v>10.712413097390362</v>
      </c>
      <c r="P36" s="60">
        <f t="shared" si="9"/>
        <v>13.500259002404992</v>
      </c>
      <c r="Q36" s="60">
        <f t="shared" si="9"/>
        <v>19.265150103132932</v>
      </c>
      <c r="R36" s="60">
        <f t="shared" si="9"/>
        <v>3.0227513173877538</v>
      </c>
      <c r="S36" s="60">
        <f t="shared" si="9"/>
        <v>6.1676352697912113</v>
      </c>
      <c r="T36" s="60">
        <f t="shared" si="9"/>
        <v>10.75379532166947</v>
      </c>
      <c r="U36" s="60">
        <f t="shared" si="9"/>
        <v>21.050741846471293</v>
      </c>
      <c r="V36" s="60">
        <f t="shared" si="9"/>
        <v>3.1726221729063235</v>
      </c>
      <c r="W36" s="60">
        <f t="shared" si="9"/>
        <v>6.4212223299568487</v>
      </c>
      <c r="X36" s="60">
        <f t="shared" si="9"/>
        <v>6.8883927759339381</v>
      </c>
      <c r="Y36" s="60">
        <f t="shared" si="9"/>
        <v>9.209163601688779</v>
      </c>
      <c r="Z36" s="60">
        <f t="shared" si="9"/>
        <v>4.8546400774113687</v>
      </c>
      <c r="AA36" s="60">
        <f t="shared" si="9"/>
        <v>1.3898647317597914</v>
      </c>
      <c r="AB36" s="60">
        <f t="shared" si="9"/>
        <v>1.5852945074145426</v>
      </c>
      <c r="AC36" s="60">
        <f t="shared" si="9"/>
        <v>0.24249768680142589</v>
      </c>
      <c r="AD36" s="60">
        <f t="shared" si="9"/>
        <v>4.0939198472465099</v>
      </c>
      <c r="AE36" s="60">
        <f t="shared" si="9"/>
        <v>9.5846038271233791</v>
      </c>
      <c r="AF36" s="60">
        <f t="shared" si="9"/>
        <v>11.444584809869172</v>
      </c>
      <c r="AG36" s="60">
        <f t="shared" si="9"/>
        <v>10.308631422512732</v>
      </c>
      <c r="AH36" s="60">
        <f t="shared" si="9"/>
        <v>10.963159066271087</v>
      </c>
      <c r="AI36" s="60">
        <f t="shared" ref="AI36:BB36" si="10">IFERROR(AI26/$B36,".")</f>
        <v>4.965158887683752</v>
      </c>
      <c r="AJ36" s="60">
        <f t="shared" si="10"/>
        <v>15.198298553063951</v>
      </c>
      <c r="AK36" s="60">
        <f t="shared" si="10"/>
        <v>1.1868746202870235</v>
      </c>
      <c r="AL36" s="60">
        <f t="shared" si="10"/>
        <v>4.6354077654726353</v>
      </c>
      <c r="AM36" s="60">
        <f t="shared" si="10"/>
        <v>7.0318886598641566</v>
      </c>
      <c r="AN36" s="60">
        <f t="shared" si="10"/>
        <v>9.5955233447778525</v>
      </c>
      <c r="AO36" s="60">
        <f t="shared" si="10"/>
        <v>10.394860014135945</v>
      </c>
      <c r="AP36" s="60">
        <f t="shared" si="10"/>
        <v>12.667949456568648</v>
      </c>
      <c r="AQ36" s="60">
        <f t="shared" si="10"/>
        <v>14.183204629976037</v>
      </c>
      <c r="AR36" s="60">
        <f t="shared" si="10"/>
        <v>3.3791681434598506</v>
      </c>
      <c r="AS36" s="60">
        <f t="shared" si="10"/>
        <v>5.5101930587003567</v>
      </c>
      <c r="AT36" s="60">
        <f t="shared" si="10"/>
        <v>11.554579278109298</v>
      </c>
      <c r="AU36" s="60">
        <f t="shared" si="10"/>
        <v>15.783389359239903</v>
      </c>
      <c r="AV36" s="60">
        <f t="shared" si="10"/>
        <v>2.7005219578321329</v>
      </c>
      <c r="AW36" s="60">
        <f t="shared" si="10"/>
        <v>6.0410383326762256</v>
      </c>
      <c r="AX36" s="60">
        <f t="shared" si="10"/>
        <v>6.5217283767409313</v>
      </c>
      <c r="AY36" s="60">
        <f t="shared" si="10"/>
        <v>8.9593589309350623</v>
      </c>
      <c r="AZ36" s="60">
        <f t="shared" si="10"/>
        <v>3.938490732871009</v>
      </c>
      <c r="BA36" s="60">
        <f t="shared" si="10"/>
        <v>1.1010924430300264</v>
      </c>
      <c r="BB36" s="60">
        <f t="shared" si="10"/>
        <v>1.2636773469280336</v>
      </c>
    </row>
    <row r="37" spans="1:54" x14ac:dyDescent="0.25">
      <c r="A37" s="182" t="s">
        <v>1065</v>
      </c>
      <c r="B37" s="183">
        <v>1</v>
      </c>
      <c r="C37" s="60">
        <f t="shared" ref="C37:AH37" si="11">IFERROR(C22/$B37,".")</f>
        <v>0.54389422832819367</v>
      </c>
      <c r="D37" s="60">
        <f t="shared" si="11"/>
        <v>11.025965231585799</v>
      </c>
      <c r="E37" s="60">
        <f t="shared" si="11"/>
        <v>13.992629427755237</v>
      </c>
      <c r="F37" s="60">
        <f t="shared" si="11"/>
        <v>18.932172714720934</v>
      </c>
      <c r="G37" s="60">
        <f t="shared" si="11"/>
        <v>24.792075756857656</v>
      </c>
      <c r="H37" s="60">
        <f t="shared" si="11"/>
        <v>28.542342401171961</v>
      </c>
      <c r="I37" s="60">
        <f t="shared" si="11"/>
        <v>6.8915297691119939</v>
      </c>
      <c r="J37" s="60">
        <f t="shared" si="11"/>
        <v>21.805121882173069</v>
      </c>
      <c r="K37" s="60">
        <f t="shared" si="11"/>
        <v>2.8583805422495323</v>
      </c>
      <c r="L37" s="60">
        <f t="shared" si="11"/>
        <v>16.812906906992783</v>
      </c>
      <c r="M37" s="60">
        <f t="shared" si="11"/>
        <v>11.059111508852974</v>
      </c>
      <c r="N37" s="60">
        <f t="shared" si="11"/>
        <v>15.142854570728172</v>
      </c>
      <c r="O37" s="60">
        <f t="shared" si="11"/>
        <v>24.327231572682603</v>
      </c>
      <c r="P37" s="60">
        <f t="shared" si="11"/>
        <v>29.835294404953189</v>
      </c>
      <c r="Q37" s="60">
        <f t="shared" si="11"/>
        <v>29.462235361341712</v>
      </c>
      <c r="R37" s="60">
        <f t="shared" si="11"/>
        <v>7.0788899857158842</v>
      </c>
      <c r="S37" s="60">
        <f t="shared" si="11"/>
        <v>14.443918112091652</v>
      </c>
      <c r="T37" s="60">
        <f t="shared" si="11"/>
        <v>24.323804191011835</v>
      </c>
      <c r="U37" s="60">
        <f t="shared" si="11"/>
        <v>46.651456999065566</v>
      </c>
      <c r="V37" s="60">
        <f t="shared" si="11"/>
        <v>7.3430113177576457</v>
      </c>
      <c r="W37" s="60">
        <f t="shared" si="11"/>
        <v>14.190354848270262</v>
      </c>
      <c r="X37" s="60">
        <f t="shared" si="11"/>
        <v>15.662308082147971</v>
      </c>
      <c r="Y37" s="60">
        <f t="shared" si="11"/>
        <v>21.565413015215523</v>
      </c>
      <c r="Z37" s="60">
        <f t="shared" si="11"/>
        <v>10.752373249136223</v>
      </c>
      <c r="AA37" s="60">
        <f t="shared" si="11"/>
        <v>3.5492606992233262</v>
      </c>
      <c r="AB37" s="60">
        <f t="shared" si="11"/>
        <v>3.8926441557219769</v>
      </c>
      <c r="AC37" s="60">
        <f t="shared" si="11"/>
        <v>0.51227830260725016</v>
      </c>
      <c r="AD37" s="60">
        <f t="shared" si="11"/>
        <v>9.5875064663311562</v>
      </c>
      <c r="AE37" s="60">
        <f t="shared" si="11"/>
        <v>13.112580027448136</v>
      </c>
      <c r="AF37" s="60">
        <f t="shared" si="11"/>
        <v>17.505036138481852</v>
      </c>
      <c r="AG37" s="60">
        <f t="shared" si="11"/>
        <v>24.141791802579426</v>
      </c>
      <c r="AH37" s="60">
        <f t="shared" si="11"/>
        <v>24.258018356721092</v>
      </c>
      <c r="AI37" s="60">
        <f t="shared" ref="AI37:BB37" si="12">IFERROR(AI22/$B37,".")</f>
        <v>6.7935699960125904</v>
      </c>
      <c r="AJ37" s="60">
        <f t="shared" si="12"/>
        <v>23.242790565617824</v>
      </c>
      <c r="AK37" s="60">
        <f t="shared" si="12"/>
        <v>2.7795219008849061</v>
      </c>
      <c r="AL37" s="60">
        <f t="shared" si="12"/>
        <v>11.661310406205395</v>
      </c>
      <c r="AM37" s="60">
        <f t="shared" si="12"/>
        <v>15.539504149458528</v>
      </c>
      <c r="AN37" s="60">
        <f t="shared" si="12"/>
        <v>13.870482245340385</v>
      </c>
      <c r="AO37" s="60">
        <f t="shared" si="12"/>
        <v>23.60608804295525</v>
      </c>
      <c r="AP37" s="60">
        <f t="shared" si="12"/>
        <v>27.995907447143228</v>
      </c>
      <c r="AQ37" s="60">
        <f t="shared" si="12"/>
        <v>21.690405252460035</v>
      </c>
      <c r="AR37" s="60">
        <f t="shared" si="12"/>
        <v>7.9135717824978977</v>
      </c>
      <c r="AS37" s="60">
        <f t="shared" si="12"/>
        <v>12.904261331973679</v>
      </c>
      <c r="AT37" s="60">
        <f t="shared" si="12"/>
        <v>26.135082123417394</v>
      </c>
      <c r="AU37" s="60">
        <f t="shared" si="12"/>
        <v>34.978249952531584</v>
      </c>
      <c r="AV37" s="60">
        <f t="shared" si="12"/>
        <v>6.2503387480422479</v>
      </c>
      <c r="AW37" s="60">
        <f t="shared" si="12"/>
        <v>13.350180571189576</v>
      </c>
      <c r="AX37" s="60">
        <f t="shared" si="12"/>
        <v>14.828614219193422</v>
      </c>
      <c r="AY37" s="60">
        <f t="shared" si="12"/>
        <v>20.980436883729933</v>
      </c>
      <c r="AZ37" s="60">
        <f t="shared" si="12"/>
        <v>8.7232259699619927</v>
      </c>
      <c r="BA37" s="60">
        <f t="shared" si="12"/>
        <v>2.8118305652018645</v>
      </c>
      <c r="BB37" s="60">
        <f t="shared" si="12"/>
        <v>3.1029226533183016</v>
      </c>
    </row>
    <row r="38" spans="1:54" x14ac:dyDescent="0.25">
      <c r="A38" s="182" t="s">
        <v>1066</v>
      </c>
      <c r="B38" s="183">
        <v>1</v>
      </c>
      <c r="C38" s="60">
        <f t="shared" ref="C38:AH38" si="13">IFERROR(C2/$B38,".")</f>
        <v>2.99074779344159</v>
      </c>
      <c r="D38" s="60">
        <f t="shared" si="13"/>
        <v>54.557402141523248</v>
      </c>
      <c r="E38" s="60">
        <f t="shared" si="13"/>
        <v>119.32834767093985</v>
      </c>
      <c r="F38" s="60">
        <f t="shared" si="13"/>
        <v>143.84979966889156</v>
      </c>
      <c r="G38" s="60">
        <f t="shared" si="13"/>
        <v>122.67269976709279</v>
      </c>
      <c r="H38" s="60">
        <f t="shared" si="13"/>
        <v>149.88739292408502</v>
      </c>
      <c r="I38" s="60">
        <f t="shared" si="13"/>
        <v>58.763654959598455</v>
      </c>
      <c r="J38" s="60">
        <f t="shared" si="13"/>
        <v>165.70539882117441</v>
      </c>
      <c r="K38" s="60">
        <f t="shared" si="13"/>
        <v>14.143540094844441</v>
      </c>
      <c r="L38" s="60">
        <f t="shared" si="13"/>
        <v>77.549504405807681</v>
      </c>
      <c r="M38" s="60">
        <f t="shared" si="13"/>
        <v>58.148897029392991</v>
      </c>
      <c r="N38" s="60">
        <f t="shared" si="13"/>
        <v>122.19292357660703</v>
      </c>
      <c r="O38" s="60">
        <f t="shared" si="13"/>
        <v>124.18986293472226</v>
      </c>
      <c r="P38" s="60">
        <f t="shared" si="13"/>
        <v>156.86601982124893</v>
      </c>
      <c r="Q38" s="60">
        <f t="shared" si="13"/>
        <v>223.89471093513089</v>
      </c>
      <c r="R38" s="60">
        <f t="shared" si="13"/>
        <v>35.027215281964772</v>
      </c>
      <c r="S38" s="60">
        <f t="shared" si="13"/>
        <v>71.469720100620975</v>
      </c>
      <c r="T38" s="60">
        <f t="shared" si="13"/>
        <v>124.65007212335632</v>
      </c>
      <c r="U38" s="60">
        <f t="shared" si="13"/>
        <v>244.60938257751118</v>
      </c>
      <c r="V38" s="60">
        <f t="shared" si="13"/>
        <v>36.656511221744722</v>
      </c>
      <c r="W38" s="60">
        <f t="shared" si="13"/>
        <v>74.611244738222979</v>
      </c>
      <c r="X38" s="60">
        <f t="shared" si="13"/>
        <v>79.861519473923408</v>
      </c>
      <c r="Y38" s="60">
        <f t="shared" si="13"/>
        <v>106.71413325961993</v>
      </c>
      <c r="Z38" s="60">
        <f t="shared" si="13"/>
        <v>56.410354221345251</v>
      </c>
      <c r="AA38" s="60">
        <f t="shared" si="13"/>
        <v>16.145561504020307</v>
      </c>
      <c r="AB38" s="60">
        <f t="shared" si="13"/>
        <v>18.517279301843825</v>
      </c>
      <c r="AC38" s="60">
        <f t="shared" si="13"/>
        <v>2.8133997996969233</v>
      </c>
      <c r="AD38" s="60">
        <f t="shared" si="13"/>
        <v>47.439787341217055</v>
      </c>
      <c r="AE38" s="60">
        <f t="shared" si="13"/>
        <v>111.82333645416706</v>
      </c>
      <c r="AF38" s="60">
        <f t="shared" si="13"/>
        <v>133.00617840652521</v>
      </c>
      <c r="AG38" s="60">
        <f t="shared" si="13"/>
        <v>119.45505518303793</v>
      </c>
      <c r="AH38" s="60">
        <f t="shared" si="13"/>
        <v>127.38867321710173</v>
      </c>
      <c r="AI38" s="60">
        <f t="shared" ref="AI38:BB38" si="14">IFERROR(AI2/$B38,".")</f>
        <v>57.928357935687359</v>
      </c>
      <c r="AJ38" s="60">
        <f t="shared" si="14"/>
        <v>176.6307889130176</v>
      </c>
      <c r="AK38" s="60">
        <f t="shared" si="14"/>
        <v>13.753340000952189</v>
      </c>
      <c r="AL38" s="60">
        <f t="shared" si="14"/>
        <v>53.787774340640048</v>
      </c>
      <c r="AM38" s="60">
        <f t="shared" si="14"/>
        <v>81.706837475265587</v>
      </c>
      <c r="AN38" s="60">
        <f t="shared" si="14"/>
        <v>111.92571183057075</v>
      </c>
      <c r="AO38" s="60">
        <f t="shared" si="14"/>
        <v>120.50844460952045</v>
      </c>
      <c r="AP38" s="60">
        <f t="shared" si="14"/>
        <v>147.19501382859946</v>
      </c>
      <c r="AQ38" s="60">
        <f t="shared" si="14"/>
        <v>164.83362360337296</v>
      </c>
      <c r="AR38" s="60">
        <f t="shared" si="14"/>
        <v>39.157323116217839</v>
      </c>
      <c r="AS38" s="60">
        <f t="shared" si="14"/>
        <v>63.851369022187725</v>
      </c>
      <c r="AT38" s="60">
        <f t="shared" si="14"/>
        <v>133.93216974002871</v>
      </c>
      <c r="AU38" s="60">
        <f t="shared" si="14"/>
        <v>183.4028061481979</v>
      </c>
      <c r="AV38" s="60">
        <f t="shared" si="14"/>
        <v>31.201860182789716</v>
      </c>
      <c r="AW38" s="60">
        <f t="shared" si="14"/>
        <v>70.193705551902482</v>
      </c>
      <c r="AX38" s="60">
        <f t="shared" si="14"/>
        <v>75.610545842040651</v>
      </c>
      <c r="AY38" s="60">
        <f t="shared" si="14"/>
        <v>103.81944161587509</v>
      </c>
      <c r="AZ38" s="60">
        <f t="shared" si="14"/>
        <v>45.76480517525976</v>
      </c>
      <c r="BA38" s="60">
        <f t="shared" si="14"/>
        <v>12.79099710519583</v>
      </c>
      <c r="BB38" s="60">
        <f t="shared" si="14"/>
        <v>14.760579987526885</v>
      </c>
    </row>
    <row r="39" spans="1:54" x14ac:dyDescent="0.25">
      <c r="A39" s="182" t="s">
        <v>1067</v>
      </c>
      <c r="B39" s="183">
        <v>1</v>
      </c>
      <c r="C39" s="60" t="str">
        <f t="shared" ref="C39:AH39" si="15">IFERROR(C11/$B39,".")</f>
        <v>.</v>
      </c>
      <c r="D39" s="60" t="str">
        <f t="shared" si="15"/>
        <v>.</v>
      </c>
      <c r="E39" s="60" t="str">
        <f t="shared" si="15"/>
        <v>.</v>
      </c>
      <c r="F39" s="60" t="str">
        <f t="shared" si="15"/>
        <v>.</v>
      </c>
      <c r="G39" s="60" t="str">
        <f t="shared" si="15"/>
        <v>.</v>
      </c>
      <c r="H39" s="60" t="str">
        <f t="shared" si="15"/>
        <v>.</v>
      </c>
      <c r="I39" s="60" t="str">
        <f t="shared" si="15"/>
        <v>.</v>
      </c>
      <c r="J39" s="60" t="str">
        <f t="shared" si="15"/>
        <v>.</v>
      </c>
      <c r="K39" s="60" t="str">
        <f t="shared" si="15"/>
        <v>.</v>
      </c>
      <c r="L39" s="60" t="str">
        <f t="shared" si="15"/>
        <v>.</v>
      </c>
      <c r="M39" s="60" t="str">
        <f t="shared" si="15"/>
        <v>.</v>
      </c>
      <c r="N39" s="60" t="str">
        <f t="shared" si="15"/>
        <v>.</v>
      </c>
      <c r="O39" s="60" t="str">
        <f t="shared" si="15"/>
        <v>.</v>
      </c>
      <c r="P39" s="60" t="str">
        <f t="shared" si="15"/>
        <v>.</v>
      </c>
      <c r="Q39" s="60" t="str">
        <f t="shared" si="15"/>
        <v>.</v>
      </c>
      <c r="R39" s="60" t="str">
        <f t="shared" si="15"/>
        <v>.</v>
      </c>
      <c r="S39" s="60" t="str">
        <f t="shared" si="15"/>
        <v>.</v>
      </c>
      <c r="T39" s="60" t="str">
        <f t="shared" si="15"/>
        <v>.</v>
      </c>
      <c r="U39" s="60" t="str">
        <f t="shared" si="15"/>
        <v>.</v>
      </c>
      <c r="V39" s="60" t="str">
        <f t="shared" si="15"/>
        <v>.</v>
      </c>
      <c r="W39" s="60" t="str">
        <f t="shared" si="15"/>
        <v>.</v>
      </c>
      <c r="X39" s="60" t="str">
        <f t="shared" si="15"/>
        <v>.</v>
      </c>
      <c r="Y39" s="60" t="str">
        <f t="shared" si="15"/>
        <v>.</v>
      </c>
      <c r="Z39" s="60" t="str">
        <f t="shared" si="15"/>
        <v>.</v>
      </c>
      <c r="AA39" s="60" t="str">
        <f t="shared" si="15"/>
        <v>.</v>
      </c>
      <c r="AB39" s="60" t="str">
        <f t="shared" si="15"/>
        <v>.</v>
      </c>
      <c r="AC39" s="60" t="str">
        <f t="shared" si="15"/>
        <v>.</v>
      </c>
      <c r="AD39" s="60" t="str">
        <f t="shared" si="15"/>
        <v>.</v>
      </c>
      <c r="AE39" s="60" t="str">
        <f t="shared" si="15"/>
        <v>.</v>
      </c>
      <c r="AF39" s="60" t="str">
        <f t="shared" si="15"/>
        <v>.</v>
      </c>
      <c r="AG39" s="60" t="str">
        <f t="shared" si="15"/>
        <v>.</v>
      </c>
      <c r="AH39" s="60" t="str">
        <f t="shared" si="15"/>
        <v>.</v>
      </c>
      <c r="AI39" s="60" t="str">
        <f t="shared" ref="AI39:BB39" si="16">IFERROR(AI11/$B39,".")</f>
        <v>.</v>
      </c>
      <c r="AJ39" s="60" t="str">
        <f t="shared" si="16"/>
        <v>.</v>
      </c>
      <c r="AK39" s="60" t="str">
        <f t="shared" si="16"/>
        <v>.</v>
      </c>
      <c r="AL39" s="60" t="str">
        <f t="shared" si="16"/>
        <v>.</v>
      </c>
      <c r="AM39" s="60" t="str">
        <f t="shared" si="16"/>
        <v>.</v>
      </c>
      <c r="AN39" s="60" t="str">
        <f t="shared" si="16"/>
        <v>.</v>
      </c>
      <c r="AO39" s="60" t="str">
        <f t="shared" si="16"/>
        <v>.</v>
      </c>
      <c r="AP39" s="60" t="str">
        <f t="shared" si="16"/>
        <v>.</v>
      </c>
      <c r="AQ39" s="60" t="str">
        <f t="shared" si="16"/>
        <v>.</v>
      </c>
      <c r="AR39" s="60" t="str">
        <f t="shared" si="16"/>
        <v>.</v>
      </c>
      <c r="AS39" s="60" t="str">
        <f t="shared" si="16"/>
        <v>.</v>
      </c>
      <c r="AT39" s="60" t="str">
        <f t="shared" si="16"/>
        <v>.</v>
      </c>
      <c r="AU39" s="60" t="str">
        <f t="shared" si="16"/>
        <v>.</v>
      </c>
      <c r="AV39" s="60" t="str">
        <f t="shared" si="16"/>
        <v>.</v>
      </c>
      <c r="AW39" s="60" t="str">
        <f t="shared" si="16"/>
        <v>.</v>
      </c>
      <c r="AX39" s="60" t="str">
        <f t="shared" si="16"/>
        <v>.</v>
      </c>
      <c r="AY39" s="60" t="str">
        <f t="shared" si="16"/>
        <v>.</v>
      </c>
      <c r="AZ39" s="60" t="str">
        <f t="shared" si="16"/>
        <v>.</v>
      </c>
      <c r="BA39" s="60" t="str">
        <f t="shared" si="16"/>
        <v>.</v>
      </c>
      <c r="BB39" s="60" t="str">
        <f t="shared" si="16"/>
        <v>.</v>
      </c>
    </row>
    <row r="40" spans="1:54" x14ac:dyDescent="0.25">
      <c r="A40" s="182" t="s">
        <v>1068</v>
      </c>
      <c r="B40" s="183">
        <v>1</v>
      </c>
      <c r="C40" s="60" t="str">
        <f t="shared" ref="C40:AH40" si="17">IFERROR(C4/$B40,".")</f>
        <v>.</v>
      </c>
      <c r="D40" s="60" t="str">
        <f t="shared" si="17"/>
        <v>.</v>
      </c>
      <c r="E40" s="60" t="str">
        <f t="shared" si="17"/>
        <v>.</v>
      </c>
      <c r="F40" s="60" t="str">
        <f t="shared" si="17"/>
        <v>.</v>
      </c>
      <c r="G40" s="60" t="str">
        <f t="shared" si="17"/>
        <v>.</v>
      </c>
      <c r="H40" s="60" t="str">
        <f t="shared" si="17"/>
        <v>.</v>
      </c>
      <c r="I40" s="60" t="str">
        <f t="shared" si="17"/>
        <v>.</v>
      </c>
      <c r="J40" s="60" t="str">
        <f t="shared" si="17"/>
        <v>.</v>
      </c>
      <c r="K40" s="60" t="str">
        <f t="shared" si="17"/>
        <v>.</v>
      </c>
      <c r="L40" s="60" t="str">
        <f t="shared" si="17"/>
        <v>.</v>
      </c>
      <c r="M40" s="60" t="str">
        <f t="shared" si="17"/>
        <v>.</v>
      </c>
      <c r="N40" s="60" t="str">
        <f t="shared" si="17"/>
        <v>.</v>
      </c>
      <c r="O40" s="60" t="str">
        <f t="shared" si="17"/>
        <v>.</v>
      </c>
      <c r="P40" s="60" t="str">
        <f t="shared" si="17"/>
        <v>.</v>
      </c>
      <c r="Q40" s="60" t="str">
        <f t="shared" si="17"/>
        <v>.</v>
      </c>
      <c r="R40" s="60" t="str">
        <f t="shared" si="17"/>
        <v>.</v>
      </c>
      <c r="S40" s="60" t="str">
        <f t="shared" si="17"/>
        <v>.</v>
      </c>
      <c r="T40" s="60" t="str">
        <f t="shared" si="17"/>
        <v>.</v>
      </c>
      <c r="U40" s="60" t="str">
        <f t="shared" si="17"/>
        <v>.</v>
      </c>
      <c r="V40" s="60" t="str">
        <f t="shared" si="17"/>
        <v>.</v>
      </c>
      <c r="W40" s="60" t="str">
        <f t="shared" si="17"/>
        <v>.</v>
      </c>
      <c r="X40" s="60" t="str">
        <f t="shared" si="17"/>
        <v>.</v>
      </c>
      <c r="Y40" s="60" t="str">
        <f t="shared" si="17"/>
        <v>.</v>
      </c>
      <c r="Z40" s="60" t="str">
        <f t="shared" si="17"/>
        <v>.</v>
      </c>
      <c r="AA40" s="60" t="str">
        <f t="shared" si="17"/>
        <v>.</v>
      </c>
      <c r="AB40" s="60" t="str">
        <f t="shared" si="17"/>
        <v>.</v>
      </c>
      <c r="AC40" s="60" t="str">
        <f t="shared" si="17"/>
        <v>.</v>
      </c>
      <c r="AD40" s="60" t="str">
        <f t="shared" si="17"/>
        <v>.</v>
      </c>
      <c r="AE40" s="60" t="str">
        <f t="shared" si="17"/>
        <v>.</v>
      </c>
      <c r="AF40" s="60" t="str">
        <f t="shared" si="17"/>
        <v>.</v>
      </c>
      <c r="AG40" s="60" t="str">
        <f t="shared" si="17"/>
        <v>.</v>
      </c>
      <c r="AH40" s="60" t="str">
        <f t="shared" si="17"/>
        <v>.</v>
      </c>
      <c r="AI40" s="60" t="str">
        <f t="shared" ref="AI40:BB40" si="18">IFERROR(AI4/$B40,".")</f>
        <v>.</v>
      </c>
      <c r="AJ40" s="60" t="str">
        <f t="shared" si="18"/>
        <v>.</v>
      </c>
      <c r="AK40" s="60" t="str">
        <f t="shared" si="18"/>
        <v>.</v>
      </c>
      <c r="AL40" s="60" t="str">
        <f t="shared" si="18"/>
        <v>.</v>
      </c>
      <c r="AM40" s="60" t="str">
        <f t="shared" si="18"/>
        <v>.</v>
      </c>
      <c r="AN40" s="60" t="str">
        <f t="shared" si="18"/>
        <v>.</v>
      </c>
      <c r="AO40" s="60" t="str">
        <f t="shared" si="18"/>
        <v>.</v>
      </c>
      <c r="AP40" s="60" t="str">
        <f t="shared" si="18"/>
        <v>.</v>
      </c>
      <c r="AQ40" s="60" t="str">
        <f t="shared" si="18"/>
        <v>.</v>
      </c>
      <c r="AR40" s="60" t="str">
        <f t="shared" si="18"/>
        <v>.</v>
      </c>
      <c r="AS40" s="60" t="str">
        <f t="shared" si="18"/>
        <v>.</v>
      </c>
      <c r="AT40" s="60" t="str">
        <f t="shared" si="18"/>
        <v>.</v>
      </c>
      <c r="AU40" s="60" t="str">
        <f t="shared" si="18"/>
        <v>.</v>
      </c>
      <c r="AV40" s="60" t="str">
        <f t="shared" si="18"/>
        <v>.</v>
      </c>
      <c r="AW40" s="60" t="str">
        <f t="shared" si="18"/>
        <v>.</v>
      </c>
      <c r="AX40" s="60" t="str">
        <f t="shared" si="18"/>
        <v>.</v>
      </c>
      <c r="AY40" s="60" t="str">
        <f t="shared" si="18"/>
        <v>.</v>
      </c>
      <c r="AZ40" s="60" t="str">
        <f t="shared" si="18"/>
        <v>.</v>
      </c>
      <c r="BA40" s="60" t="str">
        <f t="shared" si="18"/>
        <v>.</v>
      </c>
      <c r="BB40" s="60" t="str">
        <f t="shared" si="18"/>
        <v>.</v>
      </c>
    </row>
    <row r="41" spans="1:54" x14ac:dyDescent="0.25">
      <c r="A41" s="182" t="s">
        <v>1069</v>
      </c>
      <c r="B41" s="184">
        <v>0.99987999999999999</v>
      </c>
      <c r="C41" s="60">
        <f t="shared" ref="C41:AH41" si="19">IFERROR(C8/$B41,".")</f>
        <v>298.6440319018929</v>
      </c>
      <c r="D41" s="60">
        <f t="shared" si="19"/>
        <v>5430.9331888219804</v>
      </c>
      <c r="E41" s="60">
        <f t="shared" si="19"/>
        <v>11874.000376138079</v>
      </c>
      <c r="F41" s="60">
        <f t="shared" si="19"/>
        <v>14318.074134483582</v>
      </c>
      <c r="G41" s="60">
        <f t="shared" si="19"/>
        <v>12211.8395414959</v>
      </c>
      <c r="H41" s="60">
        <f t="shared" si="19"/>
        <v>14980.630321047542</v>
      </c>
      <c r="I41" s="60">
        <f t="shared" si="19"/>
        <v>5848.1158748759317</v>
      </c>
      <c r="J41" s="60">
        <f t="shared" si="19"/>
        <v>16490.252093020998</v>
      </c>
      <c r="K41" s="60">
        <f t="shared" si="19"/>
        <v>1407.9029187471388</v>
      </c>
      <c r="L41" s="60">
        <f t="shared" si="19"/>
        <v>7719.1384310940766</v>
      </c>
      <c r="M41" s="60">
        <f t="shared" si="19"/>
        <v>5785.1452523980352</v>
      </c>
      <c r="N41" s="60">
        <f t="shared" si="19"/>
        <v>12887.411183243266</v>
      </c>
      <c r="O41" s="60">
        <f t="shared" si="19"/>
        <v>12574.375742225769</v>
      </c>
      <c r="P41" s="60">
        <f t="shared" si="19"/>
        <v>15609.334083129599</v>
      </c>
      <c r="Q41" s="60">
        <f t="shared" si="19"/>
        <v>22280.98934542733</v>
      </c>
      <c r="R41" s="60">
        <f t="shared" si="19"/>
        <v>3486.6290161544416</v>
      </c>
      <c r="S41" s="60">
        <f t="shared" si="19"/>
        <v>7114.4750236350365</v>
      </c>
      <c r="T41" s="60">
        <f t="shared" si="19"/>
        <v>12409.391124540633</v>
      </c>
      <c r="U41" s="60">
        <f t="shared" si="19"/>
        <v>24585.787803748415</v>
      </c>
      <c r="V41" s="60">
        <f t="shared" si="19"/>
        <v>3649.8507672202359</v>
      </c>
      <c r="W41" s="60">
        <f t="shared" si="19"/>
        <v>7423.5954707877409</v>
      </c>
      <c r="X41" s="60">
        <f t="shared" si="19"/>
        <v>8128.4932721433543</v>
      </c>
      <c r="Y41" s="60">
        <f t="shared" si="19"/>
        <v>10618.848870769783</v>
      </c>
      <c r="Z41" s="60">
        <f t="shared" si="19"/>
        <v>5658.0289054588529</v>
      </c>
      <c r="AA41" s="60">
        <f t="shared" si="19"/>
        <v>2460.8233316499677</v>
      </c>
      <c r="AB41" s="60">
        <f t="shared" si="19"/>
        <v>2822.3083435846906</v>
      </c>
      <c r="AC41" s="60">
        <f t="shared" si="19"/>
        <v>280.97232615163597</v>
      </c>
      <c r="AD41" s="60">
        <f t="shared" si="19"/>
        <v>4722.4080588320912</v>
      </c>
      <c r="AE41" s="60">
        <f t="shared" si="19"/>
        <v>11127.199571884734</v>
      </c>
      <c r="AF41" s="60">
        <f t="shared" si="19"/>
        <v>13238.755473781963</v>
      </c>
      <c r="AG41" s="60">
        <f t="shared" si="19"/>
        <v>11891.528996145187</v>
      </c>
      <c r="AH41" s="60">
        <f t="shared" si="19"/>
        <v>12731.975540602525</v>
      </c>
      <c r="AI41" s="60">
        <f t="shared" ref="AI41:BB41" si="20">IFERROR(AI8/$B41,".")</f>
        <v>5764.987727228724</v>
      </c>
      <c r="AJ41" s="60">
        <f t="shared" si="20"/>
        <v>17577.497518400978</v>
      </c>
      <c r="AK41" s="60">
        <f t="shared" si="20"/>
        <v>1369.0608857481609</v>
      </c>
      <c r="AL41" s="60">
        <f t="shared" si="20"/>
        <v>5353.9384837739399</v>
      </c>
      <c r="AM41" s="60">
        <f t="shared" si="20"/>
        <v>8128.8888879449969</v>
      </c>
      <c r="AN41" s="60">
        <f t="shared" si="20"/>
        <v>11804.551590366435</v>
      </c>
      <c r="AO41" s="60">
        <f t="shared" si="20"/>
        <v>12201.62762743209</v>
      </c>
      <c r="AP41" s="60">
        <f t="shared" si="20"/>
        <v>14646.997156169684</v>
      </c>
      <c r="AQ41" s="60">
        <f t="shared" si="20"/>
        <v>16403.496964870294</v>
      </c>
      <c r="AR41" s="60">
        <f t="shared" si="20"/>
        <v>3897.7423090278271</v>
      </c>
      <c r="AS41" s="60">
        <f t="shared" si="20"/>
        <v>6356.1039485491347</v>
      </c>
      <c r="AT41" s="60">
        <f t="shared" si="20"/>
        <v>13333.459420846666</v>
      </c>
      <c r="AU41" s="60">
        <f t="shared" si="20"/>
        <v>18433.890094721803</v>
      </c>
      <c r="AV41" s="60">
        <f t="shared" si="20"/>
        <v>3106.7368260430208</v>
      </c>
      <c r="AW41" s="60">
        <f t="shared" si="20"/>
        <v>6984.063547541381</v>
      </c>
      <c r="AX41" s="60">
        <f t="shared" si="20"/>
        <v>7695.8191783565408</v>
      </c>
      <c r="AY41" s="60">
        <f t="shared" si="20"/>
        <v>10330.805552106223</v>
      </c>
      <c r="AZ41" s="60">
        <f t="shared" si="20"/>
        <v>4590.2670548438482</v>
      </c>
      <c r="BA41" s="60">
        <f t="shared" si="20"/>
        <v>1949.537902642491</v>
      </c>
      <c r="BB41" s="60">
        <f t="shared" si="20"/>
        <v>2249.7315818311517</v>
      </c>
    </row>
    <row r="42" spans="1:54" x14ac:dyDescent="0.25">
      <c r="A42" s="182" t="s">
        <v>1070</v>
      </c>
      <c r="B42" s="183">
        <v>0.97898250799999997</v>
      </c>
      <c r="C42" s="60" t="str">
        <f t="shared" ref="C42:AH42" si="21">IFERROR(C19/$B42,".")</f>
        <v>.</v>
      </c>
      <c r="D42" s="60" t="str">
        <f t="shared" si="21"/>
        <v>.</v>
      </c>
      <c r="E42" s="60" t="str">
        <f t="shared" si="21"/>
        <v>.</v>
      </c>
      <c r="F42" s="60" t="str">
        <f t="shared" si="21"/>
        <v>.</v>
      </c>
      <c r="G42" s="60" t="str">
        <f t="shared" si="21"/>
        <v>.</v>
      </c>
      <c r="H42" s="60" t="str">
        <f t="shared" si="21"/>
        <v>.</v>
      </c>
      <c r="I42" s="60" t="str">
        <f t="shared" si="21"/>
        <v>.</v>
      </c>
      <c r="J42" s="60" t="str">
        <f t="shared" si="21"/>
        <v>.</v>
      </c>
      <c r="K42" s="60" t="str">
        <f t="shared" si="21"/>
        <v>.</v>
      </c>
      <c r="L42" s="60" t="str">
        <f t="shared" si="21"/>
        <v>.</v>
      </c>
      <c r="M42" s="60" t="str">
        <f t="shared" si="21"/>
        <v>.</v>
      </c>
      <c r="N42" s="60" t="str">
        <f t="shared" si="21"/>
        <v>.</v>
      </c>
      <c r="O42" s="60" t="str">
        <f t="shared" si="21"/>
        <v>.</v>
      </c>
      <c r="P42" s="60" t="str">
        <f t="shared" si="21"/>
        <v>.</v>
      </c>
      <c r="Q42" s="60" t="str">
        <f t="shared" si="21"/>
        <v>.</v>
      </c>
      <c r="R42" s="60" t="str">
        <f t="shared" si="21"/>
        <v>.</v>
      </c>
      <c r="S42" s="60" t="str">
        <f t="shared" si="21"/>
        <v>.</v>
      </c>
      <c r="T42" s="60" t="str">
        <f t="shared" si="21"/>
        <v>.</v>
      </c>
      <c r="U42" s="60" t="str">
        <f t="shared" si="21"/>
        <v>.</v>
      </c>
      <c r="V42" s="60" t="str">
        <f t="shared" si="21"/>
        <v>.</v>
      </c>
      <c r="W42" s="60" t="str">
        <f t="shared" si="21"/>
        <v>.</v>
      </c>
      <c r="X42" s="60" t="str">
        <f t="shared" si="21"/>
        <v>.</v>
      </c>
      <c r="Y42" s="60" t="str">
        <f t="shared" si="21"/>
        <v>.</v>
      </c>
      <c r="Z42" s="60" t="str">
        <f t="shared" si="21"/>
        <v>.</v>
      </c>
      <c r="AA42" s="60" t="str">
        <f t="shared" si="21"/>
        <v>.</v>
      </c>
      <c r="AB42" s="60" t="str">
        <f t="shared" si="21"/>
        <v>.</v>
      </c>
      <c r="AC42" s="60" t="str">
        <f t="shared" si="21"/>
        <v>.</v>
      </c>
      <c r="AD42" s="60" t="str">
        <f t="shared" si="21"/>
        <v>.</v>
      </c>
      <c r="AE42" s="60" t="str">
        <f t="shared" si="21"/>
        <v>.</v>
      </c>
      <c r="AF42" s="60" t="str">
        <f t="shared" si="21"/>
        <v>.</v>
      </c>
      <c r="AG42" s="60" t="str">
        <f t="shared" si="21"/>
        <v>.</v>
      </c>
      <c r="AH42" s="60" t="str">
        <f t="shared" si="21"/>
        <v>.</v>
      </c>
      <c r="AI42" s="60" t="str">
        <f t="shared" ref="AI42:BB42" si="22">IFERROR(AI19/$B42,".")</f>
        <v>.</v>
      </c>
      <c r="AJ42" s="60" t="str">
        <f t="shared" si="22"/>
        <v>.</v>
      </c>
      <c r="AK42" s="60" t="str">
        <f t="shared" si="22"/>
        <v>.</v>
      </c>
      <c r="AL42" s="60" t="str">
        <f t="shared" si="22"/>
        <v>.</v>
      </c>
      <c r="AM42" s="60" t="str">
        <f t="shared" si="22"/>
        <v>.</v>
      </c>
      <c r="AN42" s="60" t="str">
        <f t="shared" si="22"/>
        <v>.</v>
      </c>
      <c r="AO42" s="60" t="str">
        <f t="shared" si="22"/>
        <v>.</v>
      </c>
      <c r="AP42" s="60" t="str">
        <f t="shared" si="22"/>
        <v>.</v>
      </c>
      <c r="AQ42" s="60" t="str">
        <f t="shared" si="22"/>
        <v>.</v>
      </c>
      <c r="AR42" s="60" t="str">
        <f t="shared" si="22"/>
        <v>.</v>
      </c>
      <c r="AS42" s="60" t="str">
        <f t="shared" si="22"/>
        <v>.</v>
      </c>
      <c r="AT42" s="60" t="str">
        <f t="shared" si="22"/>
        <v>.</v>
      </c>
      <c r="AU42" s="60" t="str">
        <f t="shared" si="22"/>
        <v>.</v>
      </c>
      <c r="AV42" s="60" t="str">
        <f t="shared" si="22"/>
        <v>.</v>
      </c>
      <c r="AW42" s="60" t="str">
        <f t="shared" si="22"/>
        <v>.</v>
      </c>
      <c r="AX42" s="60" t="str">
        <f t="shared" si="22"/>
        <v>.</v>
      </c>
      <c r="AY42" s="60" t="str">
        <f t="shared" si="22"/>
        <v>.</v>
      </c>
      <c r="AZ42" s="60" t="str">
        <f t="shared" si="22"/>
        <v>.</v>
      </c>
      <c r="BA42" s="60" t="str">
        <f t="shared" si="22"/>
        <v>.</v>
      </c>
      <c r="BB42" s="60" t="str">
        <f t="shared" si="22"/>
        <v>.</v>
      </c>
    </row>
    <row r="43" spans="1:54" x14ac:dyDescent="0.25">
      <c r="A43" s="182" t="s">
        <v>1071</v>
      </c>
      <c r="B43" s="183">
        <v>2.0897492E-2</v>
      </c>
      <c r="C43" s="60" t="str">
        <f t="shared" ref="C43:AH43" si="23">IFERROR(C28/$B43,".")</f>
        <v>.</v>
      </c>
      <c r="D43" s="60" t="str">
        <f t="shared" si="23"/>
        <v>.</v>
      </c>
      <c r="E43" s="60" t="str">
        <f t="shared" si="23"/>
        <v>.</v>
      </c>
      <c r="F43" s="60" t="str">
        <f t="shared" si="23"/>
        <v>.</v>
      </c>
      <c r="G43" s="60" t="str">
        <f t="shared" si="23"/>
        <v>.</v>
      </c>
      <c r="H43" s="60" t="str">
        <f t="shared" si="23"/>
        <v>.</v>
      </c>
      <c r="I43" s="60" t="str">
        <f t="shared" si="23"/>
        <v>.</v>
      </c>
      <c r="J43" s="60" t="str">
        <f t="shared" si="23"/>
        <v>.</v>
      </c>
      <c r="K43" s="60" t="str">
        <f t="shared" si="23"/>
        <v>.</v>
      </c>
      <c r="L43" s="60" t="str">
        <f t="shared" si="23"/>
        <v>.</v>
      </c>
      <c r="M43" s="60" t="str">
        <f t="shared" si="23"/>
        <v>.</v>
      </c>
      <c r="N43" s="60" t="str">
        <f t="shared" si="23"/>
        <v>.</v>
      </c>
      <c r="O43" s="60" t="str">
        <f t="shared" si="23"/>
        <v>.</v>
      </c>
      <c r="P43" s="60" t="str">
        <f t="shared" si="23"/>
        <v>.</v>
      </c>
      <c r="Q43" s="60" t="str">
        <f t="shared" si="23"/>
        <v>.</v>
      </c>
      <c r="R43" s="60" t="str">
        <f t="shared" si="23"/>
        <v>.</v>
      </c>
      <c r="S43" s="60" t="str">
        <f t="shared" si="23"/>
        <v>.</v>
      </c>
      <c r="T43" s="60" t="str">
        <f t="shared" si="23"/>
        <v>.</v>
      </c>
      <c r="U43" s="60" t="str">
        <f t="shared" si="23"/>
        <v>.</v>
      </c>
      <c r="V43" s="60" t="str">
        <f t="shared" si="23"/>
        <v>.</v>
      </c>
      <c r="W43" s="60" t="str">
        <f t="shared" si="23"/>
        <v>.</v>
      </c>
      <c r="X43" s="60" t="str">
        <f t="shared" si="23"/>
        <v>.</v>
      </c>
      <c r="Y43" s="60" t="str">
        <f t="shared" si="23"/>
        <v>.</v>
      </c>
      <c r="Z43" s="60" t="str">
        <f t="shared" si="23"/>
        <v>.</v>
      </c>
      <c r="AA43" s="60" t="str">
        <f t="shared" si="23"/>
        <v>.</v>
      </c>
      <c r="AB43" s="60" t="str">
        <f t="shared" si="23"/>
        <v>.</v>
      </c>
      <c r="AC43" s="60" t="str">
        <f t="shared" si="23"/>
        <v>.</v>
      </c>
      <c r="AD43" s="60" t="str">
        <f t="shared" si="23"/>
        <v>.</v>
      </c>
      <c r="AE43" s="60" t="str">
        <f t="shared" si="23"/>
        <v>.</v>
      </c>
      <c r="AF43" s="60" t="str">
        <f t="shared" si="23"/>
        <v>.</v>
      </c>
      <c r="AG43" s="60" t="str">
        <f t="shared" si="23"/>
        <v>.</v>
      </c>
      <c r="AH43" s="60" t="str">
        <f t="shared" si="23"/>
        <v>.</v>
      </c>
      <c r="AI43" s="60" t="str">
        <f t="shared" ref="AI43:BB43" si="24">IFERROR(AI28/$B43,".")</f>
        <v>.</v>
      </c>
      <c r="AJ43" s="60" t="str">
        <f t="shared" si="24"/>
        <v>.</v>
      </c>
      <c r="AK43" s="60" t="str">
        <f t="shared" si="24"/>
        <v>.</v>
      </c>
      <c r="AL43" s="60" t="str">
        <f t="shared" si="24"/>
        <v>.</v>
      </c>
      <c r="AM43" s="60" t="str">
        <f t="shared" si="24"/>
        <v>.</v>
      </c>
      <c r="AN43" s="60" t="str">
        <f t="shared" si="24"/>
        <v>.</v>
      </c>
      <c r="AO43" s="60" t="str">
        <f t="shared" si="24"/>
        <v>.</v>
      </c>
      <c r="AP43" s="60" t="str">
        <f t="shared" si="24"/>
        <v>.</v>
      </c>
      <c r="AQ43" s="60" t="str">
        <f t="shared" si="24"/>
        <v>.</v>
      </c>
      <c r="AR43" s="60" t="str">
        <f t="shared" si="24"/>
        <v>.</v>
      </c>
      <c r="AS43" s="60" t="str">
        <f t="shared" si="24"/>
        <v>.</v>
      </c>
      <c r="AT43" s="60" t="str">
        <f t="shared" si="24"/>
        <v>.</v>
      </c>
      <c r="AU43" s="60" t="str">
        <f t="shared" si="24"/>
        <v>.</v>
      </c>
      <c r="AV43" s="60" t="str">
        <f t="shared" si="24"/>
        <v>.</v>
      </c>
      <c r="AW43" s="60" t="str">
        <f t="shared" si="24"/>
        <v>.</v>
      </c>
      <c r="AX43" s="60" t="str">
        <f t="shared" si="24"/>
        <v>.</v>
      </c>
      <c r="AY43" s="60" t="str">
        <f t="shared" si="24"/>
        <v>.</v>
      </c>
      <c r="AZ43" s="60" t="str">
        <f t="shared" si="24"/>
        <v>.</v>
      </c>
      <c r="BA43" s="60" t="str">
        <f t="shared" si="24"/>
        <v>.</v>
      </c>
      <c r="BB43" s="60" t="str">
        <f t="shared" si="24"/>
        <v>.</v>
      </c>
    </row>
    <row r="44" spans="1:54" x14ac:dyDescent="0.25">
      <c r="A44" s="182" t="s">
        <v>1072</v>
      </c>
      <c r="B44" s="183">
        <v>0.99987999999999999</v>
      </c>
      <c r="C44" s="60">
        <f t="shared" ref="C44:AH44" si="25">IFERROR(C15/$B44,".")</f>
        <v>1818.973994227681</v>
      </c>
      <c r="D44" s="60">
        <f t="shared" si="25"/>
        <v>35133.797382559009</v>
      </c>
      <c r="E44" s="60">
        <f t="shared" si="25"/>
        <v>47282.138689025342</v>
      </c>
      <c r="F44" s="60">
        <f t="shared" si="25"/>
        <v>88677.008895601539</v>
      </c>
      <c r="G44" s="60">
        <f t="shared" si="25"/>
        <v>78998.958190004516</v>
      </c>
      <c r="H44" s="60">
        <f t="shared" si="25"/>
        <v>92491.769424022685</v>
      </c>
      <c r="I44" s="60">
        <f t="shared" si="25"/>
        <v>23286.803570459899</v>
      </c>
      <c r="J44" s="60">
        <f t="shared" si="25"/>
        <v>102145.15035030997</v>
      </c>
      <c r="K44" s="60">
        <f t="shared" si="25"/>
        <v>9108.1153172837057</v>
      </c>
      <c r="L44" s="60">
        <f t="shared" si="25"/>
        <v>54196.35707401119</v>
      </c>
      <c r="M44" s="60">
        <f t="shared" si="25"/>
        <v>35842.128965984426</v>
      </c>
      <c r="N44" s="60">
        <f t="shared" si="25"/>
        <v>50968.496085329622</v>
      </c>
      <c r="O44" s="60">
        <f t="shared" si="25"/>
        <v>83592.037378554058</v>
      </c>
      <c r="P44" s="60">
        <f t="shared" si="25"/>
        <v>96694.415275852167</v>
      </c>
      <c r="Q44" s="60">
        <f t="shared" si="25"/>
        <v>138014.56726095366</v>
      </c>
      <c r="R44" s="60">
        <f t="shared" si="25"/>
        <v>22556.599919170767</v>
      </c>
      <c r="S44" s="60">
        <f t="shared" si="25"/>
        <v>46024.967583497077</v>
      </c>
      <c r="T44" s="60">
        <f t="shared" si="25"/>
        <v>83786.829435058011</v>
      </c>
      <c r="U44" s="60">
        <f t="shared" si="25"/>
        <v>151148.93696395855</v>
      </c>
      <c r="V44" s="60">
        <f t="shared" si="25"/>
        <v>25543.674320023983</v>
      </c>
      <c r="W44" s="60">
        <f t="shared" si="25"/>
        <v>45990.241785804821</v>
      </c>
      <c r="X44" s="60">
        <f t="shared" si="25"/>
        <v>53777.271384572028</v>
      </c>
      <c r="Y44" s="60">
        <f t="shared" si="25"/>
        <v>68717.326368605936</v>
      </c>
      <c r="Z44" s="60">
        <f t="shared" si="25"/>
        <v>34839.459725858389</v>
      </c>
      <c r="AA44" s="60">
        <f t="shared" si="25"/>
        <v>11328.202566717369</v>
      </c>
      <c r="AB44" s="60">
        <f t="shared" si="25"/>
        <v>12608.834405693204</v>
      </c>
      <c r="AC44" s="60">
        <f t="shared" si="25"/>
        <v>1715.4598497767963</v>
      </c>
      <c r="AD44" s="60">
        <f t="shared" si="25"/>
        <v>30550.206037934931</v>
      </c>
      <c r="AE44" s="60">
        <f t="shared" si="25"/>
        <v>44308.38611354609</v>
      </c>
      <c r="AF44" s="60">
        <f t="shared" si="25"/>
        <v>81992.398271487182</v>
      </c>
      <c r="AG44" s="60">
        <f t="shared" si="25"/>
        <v>76926.854368627362</v>
      </c>
      <c r="AH44" s="60">
        <f t="shared" si="25"/>
        <v>78608.370994856756</v>
      </c>
      <c r="AI44" s="60">
        <f t="shared" ref="AI44:BB44" si="26">IFERROR(AI15/$B44,".")</f>
        <v>22955.792884821283</v>
      </c>
      <c r="AJ44" s="60">
        <f t="shared" si="26"/>
        <v>108879.84711641497</v>
      </c>
      <c r="AK44" s="60">
        <f t="shared" si="26"/>
        <v>8856.8354094138904</v>
      </c>
      <c r="AL44" s="60">
        <f t="shared" si="26"/>
        <v>37590.20056565768</v>
      </c>
      <c r="AM44" s="60">
        <f t="shared" si="26"/>
        <v>50362.898624042391</v>
      </c>
      <c r="AN44" s="60">
        <f t="shared" si="26"/>
        <v>46685.88849752587</v>
      </c>
      <c r="AO44" s="60">
        <f t="shared" si="26"/>
        <v>81114.07942792715</v>
      </c>
      <c r="AP44" s="60">
        <f t="shared" si="26"/>
        <v>90733.071508386784</v>
      </c>
      <c r="AQ44" s="60">
        <f t="shared" si="26"/>
        <v>101607.76526009875</v>
      </c>
      <c r="AR44" s="60">
        <f t="shared" si="26"/>
        <v>25216.280093296598</v>
      </c>
      <c r="AS44" s="60">
        <f t="shared" si="26"/>
        <v>41118.912810497575</v>
      </c>
      <c r="AT44" s="60">
        <f t="shared" si="26"/>
        <v>90026.035851545603</v>
      </c>
      <c r="AU44" s="60">
        <f t="shared" si="26"/>
        <v>113328.19245689757</v>
      </c>
      <c r="AV44" s="60">
        <f t="shared" si="26"/>
        <v>21742.662575463986</v>
      </c>
      <c r="AW44" s="60">
        <f t="shared" si="26"/>
        <v>43267.278296990837</v>
      </c>
      <c r="AX44" s="60">
        <f t="shared" si="26"/>
        <v>50914.744298231482</v>
      </c>
      <c r="AY44" s="60">
        <f t="shared" si="26"/>
        <v>66853.323313492714</v>
      </c>
      <c r="AZ44" s="60">
        <f t="shared" si="26"/>
        <v>28264.688438384266</v>
      </c>
      <c r="BA44" s="60">
        <f t="shared" si="26"/>
        <v>8974.5411580683249</v>
      </c>
      <c r="BB44" s="60">
        <f t="shared" si="26"/>
        <v>10050.812852198198</v>
      </c>
    </row>
    <row r="45" spans="1:54" x14ac:dyDescent="0.25">
      <c r="A45" s="89" t="s">
        <v>8</v>
      </c>
      <c r="B45" s="89" t="s">
        <v>1057</v>
      </c>
      <c r="C45" s="90">
        <f>IFERROR(1/SUM(IFERROR(1/SUMIF(C46,"&lt;&gt;.",C46),0),IFERROR(1/SUMIF(C47,"&lt;&gt;.",C47),0)),".")</f>
        <v>9.6359344733496712</v>
      </c>
      <c r="D45" s="58">
        <f t="shared" ref="D45:AH45" si="27">IFERROR(1/SUM(IFERROR(1/SUMIF(D46,"&lt;&gt;.",D46),0),IFERROR(1/SUMIF(D47,"&lt;&gt;.",D47),0)),".")</f>
        <v>204.99002269055808</v>
      </c>
      <c r="E45" s="58">
        <f t="shared" si="27"/>
        <v>298.31676511118854</v>
      </c>
      <c r="F45" s="58">
        <f t="shared" si="27"/>
        <v>404.64575049688932</v>
      </c>
      <c r="G45" s="58">
        <f t="shared" si="27"/>
        <v>477.29538166416273</v>
      </c>
      <c r="H45" s="58">
        <f t="shared" si="27"/>
        <v>494.2691667772761</v>
      </c>
      <c r="I45" s="58">
        <f t="shared" si="27"/>
        <v>146.92062517309927</v>
      </c>
      <c r="J45" s="58">
        <f t="shared" si="27"/>
        <v>466.07216950307503</v>
      </c>
      <c r="K45" s="58">
        <f t="shared" si="27"/>
        <v>53.141842077851244</v>
      </c>
      <c r="L45" s="58">
        <f t="shared" si="27"/>
        <v>232.68779666350778</v>
      </c>
      <c r="M45" s="58">
        <f t="shared" si="27"/>
        <v>191.46077687047054</v>
      </c>
      <c r="N45" s="58">
        <f t="shared" si="27"/>
        <v>318.87070130188374</v>
      </c>
      <c r="O45" s="58">
        <f t="shared" si="27"/>
        <v>357.65928792572896</v>
      </c>
      <c r="P45" s="58">
        <f t="shared" si="27"/>
        <v>516.52893889481618</v>
      </c>
      <c r="Q45" s="58">
        <f t="shared" si="27"/>
        <v>629.73864706975348</v>
      </c>
      <c r="R45" s="58">
        <f t="shared" si="27"/>
        <v>131.60814781546247</v>
      </c>
      <c r="S45" s="58">
        <f t="shared" si="27"/>
        <v>268.53513858871361</v>
      </c>
      <c r="T45" s="58">
        <f t="shared" si="27"/>
        <v>355.61267762650471</v>
      </c>
      <c r="U45" s="58">
        <f t="shared" si="27"/>
        <v>808.12624068146545</v>
      </c>
      <c r="V45" s="58">
        <f t="shared" si="27"/>
        <v>94.001964523523696</v>
      </c>
      <c r="W45" s="58">
        <f t="shared" si="27"/>
        <v>245.67161094593291</v>
      </c>
      <c r="X45" s="58">
        <f t="shared" si="27"/>
        <v>230.66574922413955</v>
      </c>
      <c r="Y45" s="58">
        <f t="shared" si="27"/>
        <v>412.03290583535784</v>
      </c>
      <c r="Z45" s="58">
        <f t="shared" si="27"/>
        <v>186.23725088245425</v>
      </c>
      <c r="AA45" s="58">
        <f t="shared" si="27"/>
        <v>63.538302230643836</v>
      </c>
      <c r="AB45" s="58">
        <f t="shared" si="27"/>
        <v>67.463296598599044</v>
      </c>
      <c r="AC45" s="90">
        <f t="shared" si="27"/>
        <v>9.0212945460834106</v>
      </c>
      <c r="AD45" s="58">
        <f t="shared" si="27"/>
        <v>178.24681348069444</v>
      </c>
      <c r="AE45" s="58">
        <f t="shared" si="27"/>
        <v>279.55449518950348</v>
      </c>
      <c r="AF45" s="58">
        <f t="shared" si="27"/>
        <v>374.14292550920072</v>
      </c>
      <c r="AG45" s="58">
        <f t="shared" si="27"/>
        <v>464.77615853854542</v>
      </c>
      <c r="AH45" s="58">
        <f t="shared" si="27"/>
        <v>420.07731363884437</v>
      </c>
      <c r="AI45" s="58">
        <f t="shared" ref="AI45:BB45" si="28">IFERROR(1/SUM(IFERROR(1/SUMIF(AI46,"&lt;&gt;.",AI46),0),IFERROR(1/SUMIF(AI47,"&lt;&gt;.",AI47),0)),".")</f>
        <v>144.83221932015118</v>
      </c>
      <c r="AJ45" s="58">
        <f t="shared" si="28"/>
        <v>496.8015259332052</v>
      </c>
      <c r="AK45" s="58">
        <f t="shared" si="28"/>
        <v>51.675734467639607</v>
      </c>
      <c r="AL45" s="58">
        <f t="shared" si="28"/>
        <v>161.39056973548097</v>
      </c>
      <c r="AM45" s="58">
        <f t="shared" si="28"/>
        <v>269.02753754273448</v>
      </c>
      <c r="AN45" s="58">
        <f t="shared" si="28"/>
        <v>292.07771760000026</v>
      </c>
      <c r="AO45" s="58">
        <f t="shared" si="28"/>
        <v>347.0570259887744</v>
      </c>
      <c r="AP45" s="58">
        <f t="shared" si="28"/>
        <v>484.68421899231015</v>
      </c>
      <c r="AQ45" s="58">
        <f t="shared" si="28"/>
        <v>463.62016630963518</v>
      </c>
      <c r="AR45" s="58">
        <f t="shared" si="28"/>
        <v>147.1262481830943</v>
      </c>
      <c r="AS45" s="58">
        <f t="shared" si="28"/>
        <v>239.91049923397276</v>
      </c>
      <c r="AT45" s="58">
        <f t="shared" si="28"/>
        <v>382.09346124120555</v>
      </c>
      <c r="AU45" s="58">
        <f t="shared" si="28"/>
        <v>605.91551600032972</v>
      </c>
      <c r="AV45" s="58">
        <f t="shared" si="28"/>
        <v>80.014056335799424</v>
      </c>
      <c r="AW45" s="58">
        <f t="shared" si="28"/>
        <v>231.12602908186088</v>
      </c>
      <c r="AX45" s="58">
        <f t="shared" si="28"/>
        <v>218.38757039421546</v>
      </c>
      <c r="AY45" s="58">
        <f t="shared" si="28"/>
        <v>400.85623998016291</v>
      </c>
      <c r="AZ45" s="58">
        <f t="shared" si="28"/>
        <v>151.09126011810102</v>
      </c>
      <c r="BA45" s="58">
        <f t="shared" si="28"/>
        <v>50.336944905809112</v>
      </c>
      <c r="BB45" s="58">
        <f t="shared" si="28"/>
        <v>53.776657436209703</v>
      </c>
    </row>
    <row r="46" spans="1:54" x14ac:dyDescent="0.25">
      <c r="A46" s="182" t="s">
        <v>1084</v>
      </c>
      <c r="B46" s="183">
        <v>1</v>
      </c>
      <c r="C46" s="60">
        <f t="shared" ref="C46:AH46" si="29">IFERROR(C10/$B46,".")</f>
        <v>9.6359344733496712</v>
      </c>
      <c r="D46" s="60">
        <f t="shared" si="29"/>
        <v>204.99002269055808</v>
      </c>
      <c r="E46" s="60">
        <f t="shared" si="29"/>
        <v>298.31676511118854</v>
      </c>
      <c r="F46" s="60">
        <f t="shared" si="29"/>
        <v>404.64575049688932</v>
      </c>
      <c r="G46" s="60">
        <f t="shared" si="29"/>
        <v>477.29538166416279</v>
      </c>
      <c r="H46" s="60">
        <f t="shared" si="29"/>
        <v>494.26916677727604</v>
      </c>
      <c r="I46" s="60">
        <f t="shared" si="29"/>
        <v>146.92062517309927</v>
      </c>
      <c r="J46" s="60">
        <f t="shared" si="29"/>
        <v>466.07216950307509</v>
      </c>
      <c r="K46" s="60">
        <f t="shared" si="29"/>
        <v>53.141842077851244</v>
      </c>
      <c r="L46" s="60">
        <f t="shared" si="29"/>
        <v>232.68779666350778</v>
      </c>
      <c r="M46" s="60">
        <f t="shared" si="29"/>
        <v>191.46077687047054</v>
      </c>
      <c r="N46" s="60">
        <f t="shared" si="29"/>
        <v>318.87070130188374</v>
      </c>
      <c r="O46" s="60">
        <f t="shared" si="29"/>
        <v>357.65928792572896</v>
      </c>
      <c r="P46" s="60">
        <f t="shared" si="29"/>
        <v>516.52893889481618</v>
      </c>
      <c r="Q46" s="60">
        <f t="shared" si="29"/>
        <v>629.73864706975348</v>
      </c>
      <c r="R46" s="60">
        <f t="shared" si="29"/>
        <v>131.60814781546247</v>
      </c>
      <c r="S46" s="60">
        <f t="shared" si="29"/>
        <v>268.53513858871361</v>
      </c>
      <c r="T46" s="60">
        <f t="shared" si="29"/>
        <v>355.61267762650471</v>
      </c>
      <c r="U46" s="60">
        <f t="shared" si="29"/>
        <v>808.12624068146545</v>
      </c>
      <c r="V46" s="60">
        <f t="shared" si="29"/>
        <v>94.001964523523696</v>
      </c>
      <c r="W46" s="60">
        <f t="shared" si="29"/>
        <v>245.67161094593291</v>
      </c>
      <c r="X46" s="60">
        <f t="shared" si="29"/>
        <v>230.66574922413955</v>
      </c>
      <c r="Y46" s="60">
        <f t="shared" si="29"/>
        <v>412.03290583535784</v>
      </c>
      <c r="Z46" s="60">
        <f t="shared" si="29"/>
        <v>186.23725088245425</v>
      </c>
      <c r="AA46" s="60">
        <f t="shared" si="29"/>
        <v>63.538302230643829</v>
      </c>
      <c r="AB46" s="60">
        <f t="shared" si="29"/>
        <v>67.463296598599044</v>
      </c>
      <c r="AC46" s="60">
        <f t="shared" si="29"/>
        <v>9.0212945460834106</v>
      </c>
      <c r="AD46" s="60">
        <f t="shared" si="29"/>
        <v>178.24681348069444</v>
      </c>
      <c r="AE46" s="60">
        <f t="shared" si="29"/>
        <v>279.55449518950348</v>
      </c>
      <c r="AF46" s="60">
        <f t="shared" si="29"/>
        <v>374.14292550920078</v>
      </c>
      <c r="AG46" s="60">
        <f t="shared" si="29"/>
        <v>464.77615853854542</v>
      </c>
      <c r="AH46" s="60">
        <f t="shared" si="29"/>
        <v>420.07731363884437</v>
      </c>
      <c r="AI46" s="60">
        <f t="shared" ref="AI46:BB46" si="30">IFERROR(AI10/$B46,".")</f>
        <v>144.83221932015118</v>
      </c>
      <c r="AJ46" s="60">
        <f t="shared" si="30"/>
        <v>496.8015259332052</v>
      </c>
      <c r="AK46" s="60">
        <f t="shared" si="30"/>
        <v>51.675734467639607</v>
      </c>
      <c r="AL46" s="60">
        <f t="shared" si="30"/>
        <v>161.39056973548097</v>
      </c>
      <c r="AM46" s="60">
        <f t="shared" si="30"/>
        <v>269.02753754273448</v>
      </c>
      <c r="AN46" s="60">
        <f t="shared" si="30"/>
        <v>292.07771760000026</v>
      </c>
      <c r="AO46" s="60">
        <f t="shared" si="30"/>
        <v>347.0570259887744</v>
      </c>
      <c r="AP46" s="60">
        <f t="shared" si="30"/>
        <v>484.68421899231015</v>
      </c>
      <c r="AQ46" s="60">
        <f t="shared" si="30"/>
        <v>463.62016630963518</v>
      </c>
      <c r="AR46" s="60">
        <f t="shared" si="30"/>
        <v>147.1262481830943</v>
      </c>
      <c r="AS46" s="60">
        <f t="shared" si="30"/>
        <v>239.91049923397276</v>
      </c>
      <c r="AT46" s="60">
        <f t="shared" si="30"/>
        <v>382.09346124120555</v>
      </c>
      <c r="AU46" s="60">
        <f t="shared" si="30"/>
        <v>605.91551600032972</v>
      </c>
      <c r="AV46" s="60">
        <f t="shared" si="30"/>
        <v>80.014056335799424</v>
      </c>
      <c r="AW46" s="60">
        <f t="shared" si="30"/>
        <v>231.12602908186088</v>
      </c>
      <c r="AX46" s="60">
        <f t="shared" si="30"/>
        <v>218.38757039421546</v>
      </c>
      <c r="AY46" s="60">
        <f t="shared" si="30"/>
        <v>400.85623998016291</v>
      </c>
      <c r="AZ46" s="60">
        <f t="shared" si="30"/>
        <v>151.09126011810102</v>
      </c>
      <c r="BA46" s="60">
        <f t="shared" si="30"/>
        <v>50.336944905809112</v>
      </c>
      <c r="BB46" s="60">
        <f t="shared" si="30"/>
        <v>53.776657436209703</v>
      </c>
    </row>
    <row r="47" spans="1:54" x14ac:dyDescent="0.25">
      <c r="A47" s="182" t="s">
        <v>1058</v>
      </c>
      <c r="B47" s="185">
        <v>0.94399</v>
      </c>
      <c r="C47" s="60" t="str">
        <f t="shared" ref="C47:AH47" si="31">IFERROR(C6/$B$47,".")</f>
        <v>.</v>
      </c>
      <c r="D47" s="60" t="str">
        <f t="shared" si="31"/>
        <v>.</v>
      </c>
      <c r="E47" s="60" t="str">
        <f t="shared" si="31"/>
        <v>.</v>
      </c>
      <c r="F47" s="60" t="str">
        <f t="shared" si="31"/>
        <v>.</v>
      </c>
      <c r="G47" s="60" t="str">
        <f t="shared" si="31"/>
        <v>.</v>
      </c>
      <c r="H47" s="60" t="str">
        <f t="shared" si="31"/>
        <v>.</v>
      </c>
      <c r="I47" s="60" t="str">
        <f t="shared" si="31"/>
        <v>.</v>
      </c>
      <c r="J47" s="60" t="str">
        <f t="shared" si="31"/>
        <v>.</v>
      </c>
      <c r="K47" s="60" t="str">
        <f t="shared" si="31"/>
        <v>.</v>
      </c>
      <c r="L47" s="60" t="str">
        <f t="shared" si="31"/>
        <v>.</v>
      </c>
      <c r="M47" s="60" t="str">
        <f t="shared" si="31"/>
        <v>.</v>
      </c>
      <c r="N47" s="60" t="str">
        <f t="shared" si="31"/>
        <v>.</v>
      </c>
      <c r="O47" s="60" t="str">
        <f t="shared" si="31"/>
        <v>.</v>
      </c>
      <c r="P47" s="60" t="str">
        <f t="shared" si="31"/>
        <v>.</v>
      </c>
      <c r="Q47" s="60" t="str">
        <f t="shared" si="31"/>
        <v>.</v>
      </c>
      <c r="R47" s="60" t="str">
        <f t="shared" si="31"/>
        <v>.</v>
      </c>
      <c r="S47" s="60" t="str">
        <f t="shared" si="31"/>
        <v>.</v>
      </c>
      <c r="T47" s="60" t="str">
        <f t="shared" si="31"/>
        <v>.</v>
      </c>
      <c r="U47" s="60" t="str">
        <f t="shared" si="31"/>
        <v>.</v>
      </c>
      <c r="V47" s="60" t="str">
        <f t="shared" si="31"/>
        <v>.</v>
      </c>
      <c r="W47" s="60" t="str">
        <f t="shared" si="31"/>
        <v>.</v>
      </c>
      <c r="X47" s="60" t="str">
        <f t="shared" si="31"/>
        <v>.</v>
      </c>
      <c r="Y47" s="60" t="str">
        <f t="shared" si="31"/>
        <v>.</v>
      </c>
      <c r="Z47" s="60" t="str">
        <f t="shared" si="31"/>
        <v>.</v>
      </c>
      <c r="AA47" s="60" t="str">
        <f t="shared" si="31"/>
        <v>.</v>
      </c>
      <c r="AB47" s="60" t="str">
        <f t="shared" si="31"/>
        <v>.</v>
      </c>
      <c r="AC47" s="60" t="str">
        <f t="shared" si="31"/>
        <v>.</v>
      </c>
      <c r="AD47" s="60" t="str">
        <f t="shared" si="31"/>
        <v>.</v>
      </c>
      <c r="AE47" s="60" t="str">
        <f t="shared" si="31"/>
        <v>.</v>
      </c>
      <c r="AF47" s="60" t="str">
        <f t="shared" si="31"/>
        <v>.</v>
      </c>
      <c r="AG47" s="60" t="str">
        <f t="shared" si="31"/>
        <v>.</v>
      </c>
      <c r="AH47" s="60" t="str">
        <f t="shared" si="31"/>
        <v>.</v>
      </c>
      <c r="AI47" s="60" t="str">
        <f t="shared" ref="AI47:BB47" si="32">IFERROR(AI6/$B$47,".")</f>
        <v>.</v>
      </c>
      <c r="AJ47" s="60" t="str">
        <f t="shared" si="32"/>
        <v>.</v>
      </c>
      <c r="AK47" s="60" t="str">
        <f t="shared" si="32"/>
        <v>.</v>
      </c>
      <c r="AL47" s="60" t="str">
        <f t="shared" si="32"/>
        <v>.</v>
      </c>
      <c r="AM47" s="60" t="str">
        <f t="shared" si="32"/>
        <v>.</v>
      </c>
      <c r="AN47" s="60" t="str">
        <f t="shared" si="32"/>
        <v>.</v>
      </c>
      <c r="AO47" s="60" t="str">
        <f t="shared" si="32"/>
        <v>.</v>
      </c>
      <c r="AP47" s="60" t="str">
        <f t="shared" si="32"/>
        <v>.</v>
      </c>
      <c r="AQ47" s="60" t="str">
        <f t="shared" si="32"/>
        <v>.</v>
      </c>
      <c r="AR47" s="60" t="str">
        <f t="shared" si="32"/>
        <v>.</v>
      </c>
      <c r="AS47" s="60" t="str">
        <f t="shared" si="32"/>
        <v>.</v>
      </c>
      <c r="AT47" s="60" t="str">
        <f t="shared" si="32"/>
        <v>.</v>
      </c>
      <c r="AU47" s="60" t="str">
        <f t="shared" si="32"/>
        <v>.</v>
      </c>
      <c r="AV47" s="60" t="str">
        <f t="shared" si="32"/>
        <v>.</v>
      </c>
      <c r="AW47" s="60" t="str">
        <f t="shared" si="32"/>
        <v>.</v>
      </c>
      <c r="AX47" s="60" t="str">
        <f t="shared" si="32"/>
        <v>.</v>
      </c>
      <c r="AY47" s="60" t="str">
        <f t="shared" si="32"/>
        <v>.</v>
      </c>
      <c r="AZ47" s="60" t="str">
        <f t="shared" si="32"/>
        <v>.</v>
      </c>
      <c r="BA47" s="60" t="str">
        <f t="shared" si="32"/>
        <v>.</v>
      </c>
      <c r="BB47" s="60" t="str">
        <f t="shared" si="32"/>
        <v>.</v>
      </c>
    </row>
    <row r="48" spans="1:54" x14ac:dyDescent="0.25">
      <c r="A48" s="89" t="s">
        <v>21</v>
      </c>
      <c r="B48" s="89" t="s">
        <v>1057</v>
      </c>
      <c r="C48" s="90">
        <f t="shared" ref="C48:AH48" si="33">IFERROR(1/SUM(IFERROR(1/SUMIF(C49,"&lt;&gt;.",C49),0),IFERROR(1/SUMIF(C50,"&lt;&gt;.",C50),0),IFERROR(1/SUMIF(C51,"&lt;&gt;.",C51),0),IFERROR(1/SUMIF(C52,"&lt;&gt;.",C52),0),IFERROR(1/SUMIF(C53,"&lt;&gt;.",C53),0),IFERROR(1/SUMIF(C54,"&lt;&gt;.",C54),0),IFERROR(1/SUMIF(C55,"&lt;&gt;.",C55),0),IFERROR(1/SUMIF(C56,"&lt;&gt;.",C56),0),IFERROR(1/SUMIF(C57,"&lt;&gt;.",C57),0),IFERROR(1/SUMIF(C58,"&lt;&gt;.",C58),0),IFERROR(1/SUMIF(C59,"&lt;&gt;.",C59),0),IFERROR(1/SUMIF(C60,"&lt;&gt;.",C60),0),IFERROR(1/SUMIF(C61,"&lt;&gt;.",C61),0),IFERROR(1/SUMIF(C62,"&lt;&gt;.",C62),0)),".")</f>
        <v>4.491186750789003E-2</v>
      </c>
      <c r="D48" s="58">
        <f t="shared" si="33"/>
        <v>0.85376243404410579</v>
      </c>
      <c r="E48" s="58">
        <f t="shared" si="33"/>
        <v>1.3824433366212963</v>
      </c>
      <c r="F48" s="58">
        <f t="shared" si="33"/>
        <v>2.0059392919228927</v>
      </c>
      <c r="G48" s="58">
        <f t="shared" si="33"/>
        <v>1.9196947065729586</v>
      </c>
      <c r="H48" s="58">
        <f t="shared" si="33"/>
        <v>2.2916383617427782</v>
      </c>
      <c r="I48" s="58">
        <f t="shared" si="33"/>
        <v>0.6808380531562066</v>
      </c>
      <c r="J48" s="58">
        <f t="shared" si="33"/>
        <v>2.3105797587710648</v>
      </c>
      <c r="K48" s="58">
        <f t="shared" si="33"/>
        <v>0.22133038677024355</v>
      </c>
      <c r="L48" s="58">
        <f t="shared" si="33"/>
        <v>1.2586985881245685</v>
      </c>
      <c r="M48" s="58">
        <f t="shared" si="33"/>
        <v>0.88856359253754225</v>
      </c>
      <c r="N48" s="58">
        <f t="shared" si="33"/>
        <v>1.4638326341320673</v>
      </c>
      <c r="O48" s="58">
        <f t="shared" si="33"/>
        <v>1.9615231758903355</v>
      </c>
      <c r="P48" s="58">
        <f t="shared" si="33"/>
        <v>2.3970971879104703</v>
      </c>
      <c r="Q48" s="58">
        <f t="shared" si="33"/>
        <v>3.1219657950969912</v>
      </c>
      <c r="R48" s="58">
        <f t="shared" si="33"/>
        <v>0.54813495247260846</v>
      </c>
      <c r="S48" s="58">
        <f t="shared" si="33"/>
        <v>1.1184213287002649</v>
      </c>
      <c r="T48" s="58">
        <f t="shared" si="33"/>
        <v>1.9669794104660494</v>
      </c>
      <c r="U48" s="58">
        <f t="shared" si="33"/>
        <v>3.7423123779308671</v>
      </c>
      <c r="V48" s="58">
        <f t="shared" si="33"/>
        <v>0.58011413795672162</v>
      </c>
      <c r="W48" s="58">
        <f t="shared" si="33"/>
        <v>1.1401334800470802</v>
      </c>
      <c r="X48" s="58">
        <f t="shared" si="33"/>
        <v>1.2617327197150263</v>
      </c>
      <c r="Y48" s="58">
        <f t="shared" si="33"/>
        <v>1.6699116520965367</v>
      </c>
      <c r="Z48" s="58">
        <f t="shared" si="33"/>
        <v>0.8628199096082525</v>
      </c>
      <c r="AA48" s="58">
        <f t="shared" si="33"/>
        <v>0.25720903719782212</v>
      </c>
      <c r="AB48" s="58">
        <f t="shared" si="33"/>
        <v>0.29603883528778041</v>
      </c>
      <c r="AC48" s="90">
        <f t="shared" si="33"/>
        <v>4.2288733020305364E-2</v>
      </c>
      <c r="AD48" s="58">
        <f t="shared" si="33"/>
        <v>0.74237970873151637</v>
      </c>
      <c r="AE48" s="58">
        <f t="shared" si="33"/>
        <v>1.2954962452519729</v>
      </c>
      <c r="AF48" s="58">
        <f t="shared" si="33"/>
        <v>1.8547284733678562</v>
      </c>
      <c r="AG48" s="58">
        <f t="shared" si="33"/>
        <v>1.8693420585317007</v>
      </c>
      <c r="AH48" s="58">
        <f t="shared" si="33"/>
        <v>1.9476539334010656</v>
      </c>
      <c r="AI48" s="58">
        <f t="shared" ref="AI48:BB48" si="34">IFERROR(1/SUM(IFERROR(1/SUMIF(AI49,"&lt;&gt;.",AI49),0),IFERROR(1/SUMIF(AI50,"&lt;&gt;.",AI50),0),IFERROR(1/SUMIF(AI51,"&lt;&gt;.",AI51),0),IFERROR(1/SUMIF(AI52,"&lt;&gt;.",AI52),0),IFERROR(1/SUMIF(AI53,"&lt;&gt;.",AI53),0),IFERROR(1/SUMIF(AI54,"&lt;&gt;.",AI54),0),IFERROR(1/SUMIF(AI55,"&lt;&gt;.",AI55),0),IFERROR(1/SUMIF(AI56,"&lt;&gt;.",AI56),0),IFERROR(1/SUMIF(AI57,"&lt;&gt;.",AI57),0),IFERROR(1/SUMIF(AI58,"&lt;&gt;.",AI58),0),IFERROR(1/SUMIF(AI59,"&lt;&gt;.",AI59),0),IFERROR(1/SUMIF(AI60,"&lt;&gt;.",AI60),0),IFERROR(1/SUMIF(AI61,"&lt;&gt;.",AI61),0),IFERROR(1/SUMIF(AI62,"&lt;&gt;.",AI62),0)),".")</f>
        <v>0.67116026847862331</v>
      </c>
      <c r="AJ48" s="58">
        <f t="shared" si="34"/>
        <v>2.462922322033795</v>
      </c>
      <c r="AK48" s="58">
        <f t="shared" si="34"/>
        <v>0.21522419715153293</v>
      </c>
      <c r="AL48" s="58">
        <f t="shared" si="34"/>
        <v>0.87302422033088167</v>
      </c>
      <c r="AM48" s="58">
        <f t="shared" si="34"/>
        <v>1.2485485495142665</v>
      </c>
      <c r="AN48" s="58">
        <f t="shared" si="34"/>
        <v>1.3408346799504614</v>
      </c>
      <c r="AO48" s="58">
        <f t="shared" si="34"/>
        <v>1.9033768248566254</v>
      </c>
      <c r="AP48" s="58">
        <f t="shared" si="34"/>
        <v>2.2493128475181918</v>
      </c>
      <c r="AQ48" s="58">
        <f t="shared" si="34"/>
        <v>2.2984238110060549</v>
      </c>
      <c r="AR48" s="58">
        <f t="shared" si="34"/>
        <v>0.61276630963906542</v>
      </c>
      <c r="AS48" s="58">
        <f t="shared" si="34"/>
        <v>0.99920263967153344</v>
      </c>
      <c r="AT48" s="58">
        <f t="shared" si="34"/>
        <v>2.1134510056036953</v>
      </c>
      <c r="AU48" s="58">
        <f t="shared" si="34"/>
        <v>2.8059045992570106</v>
      </c>
      <c r="AV48" s="58">
        <f t="shared" si="34"/>
        <v>0.49379058779188661</v>
      </c>
      <c r="AW48" s="58">
        <f t="shared" si="34"/>
        <v>1.0726291200351945</v>
      </c>
      <c r="AX48" s="58">
        <f t="shared" si="34"/>
        <v>1.1945715567754254</v>
      </c>
      <c r="AY48" s="58">
        <f t="shared" si="34"/>
        <v>1.6246141909499814</v>
      </c>
      <c r="AZ48" s="58">
        <f t="shared" si="34"/>
        <v>0.6999917942301348</v>
      </c>
      <c r="BA48" s="58">
        <f t="shared" si="34"/>
        <v>0.20376869825235477</v>
      </c>
      <c r="BB48" s="58">
        <f t="shared" si="34"/>
        <v>0.23597985624402584</v>
      </c>
    </row>
    <row r="49" spans="1:54" x14ac:dyDescent="0.25">
      <c r="A49" s="182" t="s">
        <v>1086</v>
      </c>
      <c r="B49" s="183">
        <v>1</v>
      </c>
      <c r="C49" s="60">
        <f t="shared" ref="C49:AH49" si="35">IFERROR(C23/$B49,".")</f>
        <v>0.28575458353666683</v>
      </c>
      <c r="D49" s="60">
        <f t="shared" si="35"/>
        <v>5.7928912254247695</v>
      </c>
      <c r="E49" s="60">
        <f t="shared" si="35"/>
        <v>7.3515359907411622</v>
      </c>
      <c r="F49" s="60">
        <f t="shared" si="35"/>
        <v>9.9467044284847308</v>
      </c>
      <c r="G49" s="60">
        <f t="shared" si="35"/>
        <v>13.025417285059874</v>
      </c>
      <c r="H49" s="60">
        <f t="shared" si="35"/>
        <v>14.99575605182986</v>
      </c>
      <c r="I49" s="60">
        <f t="shared" si="35"/>
        <v>3.6207154195334539</v>
      </c>
      <c r="J49" s="60">
        <f t="shared" si="35"/>
        <v>11.456112600347</v>
      </c>
      <c r="K49" s="60">
        <f t="shared" si="35"/>
        <v>1.5017540155748093</v>
      </c>
      <c r="L49" s="60">
        <f t="shared" si="35"/>
        <v>8.8332711785083511</v>
      </c>
      <c r="M49" s="60">
        <f t="shared" si="35"/>
        <v>5.8103058258432849</v>
      </c>
      <c r="N49" s="60">
        <f t="shared" si="35"/>
        <v>7.9558485382633668</v>
      </c>
      <c r="O49" s="60">
        <f t="shared" si="35"/>
        <v>12.781194512800132</v>
      </c>
      <c r="P49" s="60">
        <f t="shared" si="35"/>
        <v>15.675055338584675</v>
      </c>
      <c r="Q49" s="60">
        <f t="shared" si="35"/>
        <v>15.479055222956573</v>
      </c>
      <c r="R49" s="60">
        <f t="shared" si="35"/>
        <v>3.7191519130251227</v>
      </c>
      <c r="S49" s="60">
        <f t="shared" si="35"/>
        <v>7.588636888913495</v>
      </c>
      <c r="T49" s="60">
        <f t="shared" si="35"/>
        <v>12.779393813379286</v>
      </c>
      <c r="U49" s="60">
        <f t="shared" si="35"/>
        <v>24.51003701054659</v>
      </c>
      <c r="V49" s="60">
        <f t="shared" si="35"/>
        <v>3.857917645974215</v>
      </c>
      <c r="W49" s="60">
        <f t="shared" si="35"/>
        <v>7.455418220504022</v>
      </c>
      <c r="X49" s="60">
        <f t="shared" si="35"/>
        <v>8.2287623036450714</v>
      </c>
      <c r="Y49" s="60">
        <f t="shared" si="35"/>
        <v>11.330172842431113</v>
      </c>
      <c r="Z49" s="60">
        <f t="shared" si="35"/>
        <v>5.6491497423717902</v>
      </c>
      <c r="AA49" s="60">
        <f t="shared" si="35"/>
        <v>1.864732994293933</v>
      </c>
      <c r="AB49" s="60">
        <f t="shared" si="35"/>
        <v>2.0451419626088971</v>
      </c>
      <c r="AC49" s="60">
        <f t="shared" si="35"/>
        <v>0.26914400887533224</v>
      </c>
      <c r="AD49" s="60">
        <f t="shared" si="35"/>
        <v>5.0371446776750881</v>
      </c>
      <c r="AE49" s="60">
        <f t="shared" si="35"/>
        <v>6.8891700806460401</v>
      </c>
      <c r="AF49" s="60">
        <f t="shared" si="35"/>
        <v>9.1969064038822985</v>
      </c>
      <c r="AG49" s="60">
        <f t="shared" si="35"/>
        <v>12.683766995615681</v>
      </c>
      <c r="AH49" s="60">
        <f t="shared" si="35"/>
        <v>12.744830836423001</v>
      </c>
      <c r="AI49" s="60">
        <f t="shared" ref="AI49:BB49" si="36">IFERROR(AI23/$B49,".")</f>
        <v>3.5692486954768134</v>
      </c>
      <c r="AJ49" s="60">
        <f t="shared" si="36"/>
        <v>12.211444049927247</v>
      </c>
      <c r="AK49" s="60">
        <f t="shared" si="36"/>
        <v>1.4603227647033279</v>
      </c>
      <c r="AL49" s="60">
        <f t="shared" si="36"/>
        <v>6.1266928844964337</v>
      </c>
      <c r="AM49" s="60">
        <f t="shared" si="36"/>
        <v>8.1642427981702639</v>
      </c>
      <c r="AN49" s="60">
        <f t="shared" si="36"/>
        <v>7.2873615328719907</v>
      </c>
      <c r="AO49" s="60">
        <f t="shared" si="36"/>
        <v>12.402315572236978</v>
      </c>
      <c r="AP49" s="60">
        <f t="shared" si="36"/>
        <v>14.708666605783861</v>
      </c>
      <c r="AQ49" s="60">
        <f t="shared" si="36"/>
        <v>11.395842053168849</v>
      </c>
      <c r="AR49" s="60">
        <f t="shared" si="36"/>
        <v>4.1576823051534211</v>
      </c>
      <c r="AS49" s="60">
        <f t="shared" si="36"/>
        <v>6.7797222892047131</v>
      </c>
      <c r="AT49" s="60">
        <f t="shared" si="36"/>
        <v>13.731014448947771</v>
      </c>
      <c r="AU49" s="60">
        <f t="shared" si="36"/>
        <v>18.377093794045294</v>
      </c>
      <c r="AV49" s="60">
        <f t="shared" si="36"/>
        <v>3.2838424327462583</v>
      </c>
      <c r="AW49" s="60">
        <f t="shared" si="36"/>
        <v>7.0140021543998206</v>
      </c>
      <c r="AX49" s="60">
        <f t="shared" si="36"/>
        <v>7.7907509584283341</v>
      </c>
      <c r="AY49" s="60">
        <f t="shared" si="36"/>
        <v>11.022834389244423</v>
      </c>
      <c r="AZ49" s="60">
        <f t="shared" si="36"/>
        <v>4.5830635338873167</v>
      </c>
      <c r="BA49" s="60">
        <f t="shared" si="36"/>
        <v>1.4772972947418184</v>
      </c>
      <c r="BB49" s="60">
        <f t="shared" si="36"/>
        <v>1.6302330937963705</v>
      </c>
    </row>
    <row r="50" spans="1:54" x14ac:dyDescent="0.25">
      <c r="A50" s="182" t="s">
        <v>1073</v>
      </c>
      <c r="B50" s="183">
        <v>1</v>
      </c>
      <c r="C50" s="60" t="str">
        <f t="shared" ref="C50:AH50" si="37">IFERROR(C25/$B50,".")</f>
        <v>.</v>
      </c>
      <c r="D50" s="60" t="str">
        <f t="shared" si="37"/>
        <v>.</v>
      </c>
      <c r="E50" s="60" t="str">
        <f t="shared" si="37"/>
        <v>.</v>
      </c>
      <c r="F50" s="60" t="str">
        <f t="shared" si="37"/>
        <v>.</v>
      </c>
      <c r="G50" s="60" t="str">
        <f t="shared" si="37"/>
        <v>.</v>
      </c>
      <c r="H50" s="60" t="str">
        <f t="shared" si="37"/>
        <v>.</v>
      </c>
      <c r="I50" s="60" t="str">
        <f t="shared" si="37"/>
        <v>.</v>
      </c>
      <c r="J50" s="60" t="str">
        <f t="shared" si="37"/>
        <v>.</v>
      </c>
      <c r="K50" s="60" t="str">
        <f t="shared" si="37"/>
        <v>.</v>
      </c>
      <c r="L50" s="60" t="str">
        <f t="shared" si="37"/>
        <v>.</v>
      </c>
      <c r="M50" s="60" t="str">
        <f t="shared" si="37"/>
        <v>.</v>
      </c>
      <c r="N50" s="60" t="str">
        <f t="shared" si="37"/>
        <v>.</v>
      </c>
      <c r="O50" s="60" t="str">
        <f t="shared" si="37"/>
        <v>.</v>
      </c>
      <c r="P50" s="60" t="str">
        <f t="shared" si="37"/>
        <v>.</v>
      </c>
      <c r="Q50" s="60" t="str">
        <f t="shared" si="37"/>
        <v>.</v>
      </c>
      <c r="R50" s="60" t="str">
        <f t="shared" si="37"/>
        <v>.</v>
      </c>
      <c r="S50" s="60" t="str">
        <f t="shared" si="37"/>
        <v>.</v>
      </c>
      <c r="T50" s="60" t="str">
        <f t="shared" si="37"/>
        <v>.</v>
      </c>
      <c r="U50" s="60" t="str">
        <f t="shared" si="37"/>
        <v>.</v>
      </c>
      <c r="V50" s="60" t="str">
        <f t="shared" si="37"/>
        <v>.</v>
      </c>
      <c r="W50" s="60" t="str">
        <f t="shared" si="37"/>
        <v>.</v>
      </c>
      <c r="X50" s="60" t="str">
        <f t="shared" si="37"/>
        <v>.</v>
      </c>
      <c r="Y50" s="60" t="str">
        <f t="shared" si="37"/>
        <v>.</v>
      </c>
      <c r="Z50" s="60" t="str">
        <f t="shared" si="37"/>
        <v>.</v>
      </c>
      <c r="AA50" s="60" t="str">
        <f t="shared" si="37"/>
        <v>.</v>
      </c>
      <c r="AB50" s="60" t="str">
        <f t="shared" si="37"/>
        <v>.</v>
      </c>
      <c r="AC50" s="60" t="str">
        <f t="shared" si="37"/>
        <v>.</v>
      </c>
      <c r="AD50" s="60" t="str">
        <f t="shared" si="37"/>
        <v>.</v>
      </c>
      <c r="AE50" s="60" t="str">
        <f t="shared" si="37"/>
        <v>.</v>
      </c>
      <c r="AF50" s="60" t="str">
        <f t="shared" si="37"/>
        <v>.</v>
      </c>
      <c r="AG50" s="60" t="str">
        <f t="shared" si="37"/>
        <v>.</v>
      </c>
      <c r="AH50" s="60" t="str">
        <f t="shared" si="37"/>
        <v>.</v>
      </c>
      <c r="AI50" s="60" t="str">
        <f t="shared" ref="AI50:BB50" si="38">IFERROR(AI25/$B50,".")</f>
        <v>.</v>
      </c>
      <c r="AJ50" s="60" t="str">
        <f t="shared" si="38"/>
        <v>.</v>
      </c>
      <c r="AK50" s="60" t="str">
        <f t="shared" si="38"/>
        <v>.</v>
      </c>
      <c r="AL50" s="60" t="str">
        <f t="shared" si="38"/>
        <v>.</v>
      </c>
      <c r="AM50" s="60" t="str">
        <f t="shared" si="38"/>
        <v>.</v>
      </c>
      <c r="AN50" s="60" t="str">
        <f t="shared" si="38"/>
        <v>.</v>
      </c>
      <c r="AO50" s="60" t="str">
        <f t="shared" si="38"/>
        <v>.</v>
      </c>
      <c r="AP50" s="60" t="str">
        <f t="shared" si="38"/>
        <v>.</v>
      </c>
      <c r="AQ50" s="60" t="str">
        <f t="shared" si="38"/>
        <v>.</v>
      </c>
      <c r="AR50" s="60" t="str">
        <f t="shared" si="38"/>
        <v>.</v>
      </c>
      <c r="AS50" s="60" t="str">
        <f t="shared" si="38"/>
        <v>.</v>
      </c>
      <c r="AT50" s="60" t="str">
        <f t="shared" si="38"/>
        <v>.</v>
      </c>
      <c r="AU50" s="60" t="str">
        <f t="shared" si="38"/>
        <v>.</v>
      </c>
      <c r="AV50" s="60" t="str">
        <f t="shared" si="38"/>
        <v>.</v>
      </c>
      <c r="AW50" s="60" t="str">
        <f t="shared" si="38"/>
        <v>.</v>
      </c>
      <c r="AX50" s="60" t="str">
        <f t="shared" si="38"/>
        <v>.</v>
      </c>
      <c r="AY50" s="60" t="str">
        <f t="shared" si="38"/>
        <v>.</v>
      </c>
      <c r="AZ50" s="60" t="str">
        <f t="shared" si="38"/>
        <v>.</v>
      </c>
      <c r="BA50" s="60" t="str">
        <f t="shared" si="38"/>
        <v>.</v>
      </c>
      <c r="BB50" s="60" t="str">
        <f t="shared" si="38"/>
        <v>.</v>
      </c>
    </row>
    <row r="51" spans="1:54" x14ac:dyDescent="0.25">
      <c r="A51" s="182" t="s">
        <v>1059</v>
      </c>
      <c r="B51" s="183">
        <v>1</v>
      </c>
      <c r="C51" s="60" t="str">
        <f t="shared" ref="C51:AH51" si="39">IFERROR(C21/$B51,".")</f>
        <v>.</v>
      </c>
      <c r="D51" s="60" t="str">
        <f t="shared" si="39"/>
        <v>.</v>
      </c>
      <c r="E51" s="60" t="str">
        <f t="shared" si="39"/>
        <v>.</v>
      </c>
      <c r="F51" s="60" t="str">
        <f t="shared" si="39"/>
        <v>.</v>
      </c>
      <c r="G51" s="60" t="str">
        <f t="shared" si="39"/>
        <v>.</v>
      </c>
      <c r="H51" s="60" t="str">
        <f t="shared" si="39"/>
        <v>.</v>
      </c>
      <c r="I51" s="60" t="str">
        <f t="shared" si="39"/>
        <v>.</v>
      </c>
      <c r="J51" s="60" t="str">
        <f t="shared" si="39"/>
        <v>.</v>
      </c>
      <c r="K51" s="60" t="str">
        <f t="shared" si="39"/>
        <v>.</v>
      </c>
      <c r="L51" s="60" t="str">
        <f t="shared" si="39"/>
        <v>.</v>
      </c>
      <c r="M51" s="60" t="str">
        <f t="shared" si="39"/>
        <v>.</v>
      </c>
      <c r="N51" s="60" t="str">
        <f t="shared" si="39"/>
        <v>.</v>
      </c>
      <c r="O51" s="60" t="str">
        <f t="shared" si="39"/>
        <v>.</v>
      </c>
      <c r="P51" s="60" t="str">
        <f t="shared" si="39"/>
        <v>.</v>
      </c>
      <c r="Q51" s="60" t="str">
        <f t="shared" si="39"/>
        <v>.</v>
      </c>
      <c r="R51" s="60" t="str">
        <f t="shared" si="39"/>
        <v>.</v>
      </c>
      <c r="S51" s="60" t="str">
        <f t="shared" si="39"/>
        <v>.</v>
      </c>
      <c r="T51" s="60" t="str">
        <f t="shared" si="39"/>
        <v>.</v>
      </c>
      <c r="U51" s="60" t="str">
        <f t="shared" si="39"/>
        <v>.</v>
      </c>
      <c r="V51" s="60" t="str">
        <f t="shared" si="39"/>
        <v>.</v>
      </c>
      <c r="W51" s="60" t="str">
        <f t="shared" si="39"/>
        <v>.</v>
      </c>
      <c r="X51" s="60" t="str">
        <f t="shared" si="39"/>
        <v>.</v>
      </c>
      <c r="Y51" s="60" t="str">
        <f t="shared" si="39"/>
        <v>.</v>
      </c>
      <c r="Z51" s="60" t="str">
        <f t="shared" si="39"/>
        <v>.</v>
      </c>
      <c r="AA51" s="60" t="str">
        <f t="shared" si="39"/>
        <v>.</v>
      </c>
      <c r="AB51" s="60" t="str">
        <f t="shared" si="39"/>
        <v>.</v>
      </c>
      <c r="AC51" s="60" t="str">
        <f t="shared" si="39"/>
        <v>.</v>
      </c>
      <c r="AD51" s="60" t="str">
        <f t="shared" si="39"/>
        <v>.</v>
      </c>
      <c r="AE51" s="60" t="str">
        <f t="shared" si="39"/>
        <v>.</v>
      </c>
      <c r="AF51" s="60" t="str">
        <f t="shared" si="39"/>
        <v>.</v>
      </c>
      <c r="AG51" s="60" t="str">
        <f t="shared" si="39"/>
        <v>.</v>
      </c>
      <c r="AH51" s="60" t="str">
        <f t="shared" si="39"/>
        <v>.</v>
      </c>
      <c r="AI51" s="60" t="str">
        <f t="shared" ref="AI51:BB51" si="40">IFERROR(AI21/$B51,".")</f>
        <v>.</v>
      </c>
      <c r="AJ51" s="60" t="str">
        <f t="shared" si="40"/>
        <v>.</v>
      </c>
      <c r="AK51" s="60" t="str">
        <f t="shared" si="40"/>
        <v>.</v>
      </c>
      <c r="AL51" s="60" t="str">
        <f t="shared" si="40"/>
        <v>.</v>
      </c>
      <c r="AM51" s="60" t="str">
        <f t="shared" si="40"/>
        <v>.</v>
      </c>
      <c r="AN51" s="60" t="str">
        <f t="shared" si="40"/>
        <v>.</v>
      </c>
      <c r="AO51" s="60" t="str">
        <f t="shared" si="40"/>
        <v>.</v>
      </c>
      <c r="AP51" s="60" t="str">
        <f t="shared" si="40"/>
        <v>.</v>
      </c>
      <c r="AQ51" s="60" t="str">
        <f t="shared" si="40"/>
        <v>.</v>
      </c>
      <c r="AR51" s="60" t="str">
        <f t="shared" si="40"/>
        <v>.</v>
      </c>
      <c r="AS51" s="60" t="str">
        <f t="shared" si="40"/>
        <v>.</v>
      </c>
      <c r="AT51" s="60" t="str">
        <f t="shared" si="40"/>
        <v>.</v>
      </c>
      <c r="AU51" s="60" t="str">
        <f t="shared" si="40"/>
        <v>.</v>
      </c>
      <c r="AV51" s="60" t="str">
        <f t="shared" si="40"/>
        <v>.</v>
      </c>
      <c r="AW51" s="60" t="str">
        <f t="shared" si="40"/>
        <v>.</v>
      </c>
      <c r="AX51" s="60" t="str">
        <f t="shared" si="40"/>
        <v>.</v>
      </c>
      <c r="AY51" s="60" t="str">
        <f t="shared" si="40"/>
        <v>.</v>
      </c>
      <c r="AZ51" s="60" t="str">
        <f t="shared" si="40"/>
        <v>.</v>
      </c>
      <c r="BA51" s="60" t="str">
        <f t="shared" si="40"/>
        <v>.</v>
      </c>
      <c r="BB51" s="60" t="str">
        <f t="shared" si="40"/>
        <v>.</v>
      </c>
    </row>
    <row r="52" spans="1:54" x14ac:dyDescent="0.25">
      <c r="A52" s="182" t="s">
        <v>1060</v>
      </c>
      <c r="B52" s="185">
        <v>0.99980000000000002</v>
      </c>
      <c r="C52" s="60">
        <f t="shared" ref="C52:AH52" si="41">IFERROR(C17/$B52,".")</f>
        <v>682.85542578829097</v>
      </c>
      <c r="D52" s="60">
        <f t="shared" si="41"/>
        <v>13189.47068367151</v>
      </c>
      <c r="E52" s="60">
        <f t="shared" si="41"/>
        <v>17750.042083688011</v>
      </c>
      <c r="F52" s="60">
        <f t="shared" si="41"/>
        <v>33289.962835751532</v>
      </c>
      <c r="G52" s="60">
        <f t="shared" si="41"/>
        <v>29656.755623145345</v>
      </c>
      <c r="H52" s="60">
        <f t="shared" si="41"/>
        <v>34722.05033847662</v>
      </c>
      <c r="I52" s="60">
        <f t="shared" si="41"/>
        <v>8742.0272185399317</v>
      </c>
      <c r="J52" s="60">
        <f t="shared" si="41"/>
        <v>38345.996345200772</v>
      </c>
      <c r="K52" s="60">
        <f t="shared" si="41"/>
        <v>3419.2495235498786</v>
      </c>
      <c r="L52" s="60">
        <f t="shared" si="41"/>
        <v>20345.687515813839</v>
      </c>
      <c r="M52" s="60">
        <f t="shared" si="41"/>
        <v>13455.383262154874</v>
      </c>
      <c r="N52" s="60">
        <f t="shared" si="41"/>
        <v>19133.926161992269</v>
      </c>
      <c r="O52" s="60">
        <f t="shared" si="41"/>
        <v>31381.029337299256</v>
      </c>
      <c r="P52" s="60">
        <f t="shared" si="41"/>
        <v>36299.752676000644</v>
      </c>
      <c r="Q52" s="60">
        <f t="shared" si="41"/>
        <v>51811.623690629138</v>
      </c>
      <c r="R52" s="60">
        <f t="shared" si="41"/>
        <v>8467.9037144131362</v>
      </c>
      <c r="S52" s="60">
        <f t="shared" si="41"/>
        <v>17278.091350319373</v>
      </c>
      <c r="T52" s="60">
        <f t="shared" si="41"/>
        <v>31454.155623384861</v>
      </c>
      <c r="U52" s="60">
        <f t="shared" si="41"/>
        <v>56742.356974594702</v>
      </c>
      <c r="V52" s="60">
        <f t="shared" si="41"/>
        <v>9589.2721167810796</v>
      </c>
      <c r="W52" s="60">
        <f t="shared" si="41"/>
        <v>17265.055045543038</v>
      </c>
      <c r="X52" s="60">
        <f t="shared" si="41"/>
        <v>20188.359847682299</v>
      </c>
      <c r="Y52" s="60">
        <f t="shared" si="41"/>
        <v>25796.959882535772</v>
      </c>
      <c r="Z52" s="60">
        <f t="shared" si="41"/>
        <v>13078.974290358774</v>
      </c>
      <c r="AA52" s="60">
        <f t="shared" si="41"/>
        <v>4252.6856412789048</v>
      </c>
      <c r="AB52" s="60">
        <f t="shared" si="41"/>
        <v>4733.4436963456483</v>
      </c>
      <c r="AC52" s="60">
        <f t="shared" si="41"/>
        <v>643.99549958350099</v>
      </c>
      <c r="AD52" s="60">
        <f t="shared" si="41"/>
        <v>11468.758771788605</v>
      </c>
      <c r="AE52" s="60">
        <f t="shared" si="41"/>
        <v>16633.674786760217</v>
      </c>
      <c r="AF52" s="60">
        <f t="shared" si="41"/>
        <v>30780.513746075769</v>
      </c>
      <c r="AG52" s="60">
        <f t="shared" si="41"/>
        <v>28878.873508439894</v>
      </c>
      <c r="AH52" s="60">
        <f t="shared" si="41"/>
        <v>29510.126486996909</v>
      </c>
      <c r="AI52" s="60">
        <f t="shared" ref="AI52:BB52" si="42">IFERROR(AI17/$B52,".")</f>
        <v>8617.7635163652358</v>
      </c>
      <c r="AJ52" s="60">
        <f t="shared" si="42"/>
        <v>40874.248119204982</v>
      </c>
      <c r="AK52" s="60">
        <f t="shared" si="42"/>
        <v>3324.9173071328214</v>
      </c>
      <c r="AL52" s="60">
        <f t="shared" si="42"/>
        <v>14111.621438341726</v>
      </c>
      <c r="AM52" s="60">
        <f t="shared" si="42"/>
        <v>18906.580683939301</v>
      </c>
      <c r="AN52" s="60">
        <f t="shared" si="42"/>
        <v>17526.205635401911</v>
      </c>
      <c r="AO52" s="60">
        <f t="shared" si="42"/>
        <v>30450.786773727436</v>
      </c>
      <c r="AP52" s="60">
        <f t="shared" si="42"/>
        <v>34061.822969737121</v>
      </c>
      <c r="AQ52" s="60">
        <f t="shared" si="42"/>
        <v>38144.258263318909</v>
      </c>
      <c r="AR52" s="60">
        <f t="shared" si="42"/>
        <v>9466.366058309648</v>
      </c>
      <c r="AS52" s="60">
        <f t="shared" si="42"/>
        <v>15436.32443579035</v>
      </c>
      <c r="AT52" s="60">
        <f t="shared" si="42"/>
        <v>33796.396891062046</v>
      </c>
      <c r="AU52" s="60">
        <f t="shared" si="42"/>
        <v>42544.187745152369</v>
      </c>
      <c r="AV52" s="60">
        <f t="shared" si="42"/>
        <v>8162.3460026670318</v>
      </c>
      <c r="AW52" s="60">
        <f t="shared" si="42"/>
        <v>16242.835707355345</v>
      </c>
      <c r="AX52" s="60">
        <f t="shared" si="42"/>
        <v>19113.747369122077</v>
      </c>
      <c r="AY52" s="60">
        <f t="shared" si="42"/>
        <v>25097.200235663833</v>
      </c>
      <c r="AZ52" s="60">
        <f t="shared" si="42"/>
        <v>10610.759647809677</v>
      </c>
      <c r="BA52" s="60">
        <f t="shared" si="42"/>
        <v>3369.1048597697581</v>
      </c>
      <c r="BB52" s="60">
        <f t="shared" si="42"/>
        <v>3773.1447021705758</v>
      </c>
    </row>
    <row r="53" spans="1:54" x14ac:dyDescent="0.25">
      <c r="A53" s="182" t="s">
        <v>1074</v>
      </c>
      <c r="B53" s="183">
        <v>2.0000000000000001E-4</v>
      </c>
      <c r="C53" s="60" t="str">
        <f t="shared" ref="C53:AH53" si="43">IFERROR(C5/$B53,".")</f>
        <v>.</v>
      </c>
      <c r="D53" s="60" t="str">
        <f t="shared" si="43"/>
        <v>.</v>
      </c>
      <c r="E53" s="60" t="str">
        <f t="shared" si="43"/>
        <v>.</v>
      </c>
      <c r="F53" s="60" t="str">
        <f t="shared" si="43"/>
        <v>.</v>
      </c>
      <c r="G53" s="60" t="str">
        <f t="shared" si="43"/>
        <v>.</v>
      </c>
      <c r="H53" s="60" t="str">
        <f t="shared" si="43"/>
        <v>.</v>
      </c>
      <c r="I53" s="60" t="str">
        <f t="shared" si="43"/>
        <v>.</v>
      </c>
      <c r="J53" s="60" t="str">
        <f t="shared" si="43"/>
        <v>.</v>
      </c>
      <c r="K53" s="60" t="str">
        <f t="shared" si="43"/>
        <v>.</v>
      </c>
      <c r="L53" s="60" t="str">
        <f t="shared" si="43"/>
        <v>.</v>
      </c>
      <c r="M53" s="60" t="str">
        <f t="shared" si="43"/>
        <v>.</v>
      </c>
      <c r="N53" s="60" t="str">
        <f t="shared" si="43"/>
        <v>.</v>
      </c>
      <c r="O53" s="60" t="str">
        <f t="shared" si="43"/>
        <v>.</v>
      </c>
      <c r="P53" s="60" t="str">
        <f t="shared" si="43"/>
        <v>.</v>
      </c>
      <c r="Q53" s="60" t="str">
        <f t="shared" si="43"/>
        <v>.</v>
      </c>
      <c r="R53" s="60" t="str">
        <f t="shared" si="43"/>
        <v>.</v>
      </c>
      <c r="S53" s="60" t="str">
        <f t="shared" si="43"/>
        <v>.</v>
      </c>
      <c r="T53" s="60" t="str">
        <f t="shared" si="43"/>
        <v>.</v>
      </c>
      <c r="U53" s="60" t="str">
        <f t="shared" si="43"/>
        <v>.</v>
      </c>
      <c r="V53" s="60" t="str">
        <f t="shared" si="43"/>
        <v>.</v>
      </c>
      <c r="W53" s="60" t="str">
        <f t="shared" si="43"/>
        <v>.</v>
      </c>
      <c r="X53" s="60" t="str">
        <f t="shared" si="43"/>
        <v>.</v>
      </c>
      <c r="Y53" s="60" t="str">
        <f t="shared" si="43"/>
        <v>.</v>
      </c>
      <c r="Z53" s="60" t="str">
        <f t="shared" si="43"/>
        <v>.</v>
      </c>
      <c r="AA53" s="60" t="str">
        <f t="shared" si="43"/>
        <v>.</v>
      </c>
      <c r="AB53" s="60" t="str">
        <f t="shared" si="43"/>
        <v>.</v>
      </c>
      <c r="AC53" s="60" t="str">
        <f t="shared" si="43"/>
        <v>.</v>
      </c>
      <c r="AD53" s="60" t="str">
        <f t="shared" si="43"/>
        <v>.</v>
      </c>
      <c r="AE53" s="60" t="str">
        <f t="shared" si="43"/>
        <v>.</v>
      </c>
      <c r="AF53" s="60" t="str">
        <f t="shared" si="43"/>
        <v>.</v>
      </c>
      <c r="AG53" s="60" t="str">
        <f t="shared" si="43"/>
        <v>.</v>
      </c>
      <c r="AH53" s="60" t="str">
        <f t="shared" si="43"/>
        <v>.</v>
      </c>
      <c r="AI53" s="60" t="str">
        <f t="shared" ref="AI53:BB53" si="44">IFERROR(AI5/$B53,".")</f>
        <v>.</v>
      </c>
      <c r="AJ53" s="60" t="str">
        <f t="shared" si="44"/>
        <v>.</v>
      </c>
      <c r="AK53" s="60" t="str">
        <f t="shared" si="44"/>
        <v>.</v>
      </c>
      <c r="AL53" s="60" t="str">
        <f t="shared" si="44"/>
        <v>.</v>
      </c>
      <c r="AM53" s="60" t="str">
        <f t="shared" si="44"/>
        <v>.</v>
      </c>
      <c r="AN53" s="60" t="str">
        <f t="shared" si="44"/>
        <v>.</v>
      </c>
      <c r="AO53" s="60" t="str">
        <f t="shared" si="44"/>
        <v>.</v>
      </c>
      <c r="AP53" s="60" t="str">
        <f t="shared" si="44"/>
        <v>.</v>
      </c>
      <c r="AQ53" s="60" t="str">
        <f t="shared" si="44"/>
        <v>.</v>
      </c>
      <c r="AR53" s="60" t="str">
        <f t="shared" si="44"/>
        <v>.</v>
      </c>
      <c r="AS53" s="60" t="str">
        <f t="shared" si="44"/>
        <v>.</v>
      </c>
      <c r="AT53" s="60" t="str">
        <f t="shared" si="44"/>
        <v>.</v>
      </c>
      <c r="AU53" s="60" t="str">
        <f t="shared" si="44"/>
        <v>.</v>
      </c>
      <c r="AV53" s="60" t="str">
        <f t="shared" si="44"/>
        <v>.</v>
      </c>
      <c r="AW53" s="60" t="str">
        <f t="shared" si="44"/>
        <v>.</v>
      </c>
      <c r="AX53" s="60" t="str">
        <f t="shared" si="44"/>
        <v>.</v>
      </c>
      <c r="AY53" s="60" t="str">
        <f t="shared" si="44"/>
        <v>.</v>
      </c>
      <c r="AZ53" s="60" t="str">
        <f t="shared" si="44"/>
        <v>.</v>
      </c>
      <c r="BA53" s="60" t="str">
        <f t="shared" si="44"/>
        <v>.</v>
      </c>
      <c r="BB53" s="60" t="str">
        <f t="shared" si="44"/>
        <v>.</v>
      </c>
    </row>
    <row r="54" spans="1:54" x14ac:dyDescent="0.25">
      <c r="A54" s="182" t="s">
        <v>1075</v>
      </c>
      <c r="B54" s="183">
        <v>0.99999979999999999</v>
      </c>
      <c r="C54" s="60">
        <f t="shared" ref="C54:AH54" si="45">IFERROR(C9/$B54,".")</f>
        <v>537.09404136270973</v>
      </c>
      <c r="D54" s="60">
        <f t="shared" si="45"/>
        <v>9767.2196433294212</v>
      </c>
      <c r="E54" s="60">
        <f t="shared" si="45"/>
        <v>21354.70382096028</v>
      </c>
      <c r="F54" s="60">
        <f t="shared" si="45"/>
        <v>25750.229302914544</v>
      </c>
      <c r="G54" s="60">
        <f t="shared" si="45"/>
        <v>21962.288045888788</v>
      </c>
      <c r="H54" s="60">
        <f t="shared" si="45"/>
        <v>26941.798334464471</v>
      </c>
      <c r="I54" s="60">
        <f t="shared" si="45"/>
        <v>10517.498607259542</v>
      </c>
      <c r="J54" s="60">
        <f t="shared" si="45"/>
        <v>29656.765893919055</v>
      </c>
      <c r="K54" s="60">
        <f t="shared" si="45"/>
        <v>2532.0320773216249</v>
      </c>
      <c r="L54" s="60">
        <f t="shared" si="45"/>
        <v>13882.424602265246</v>
      </c>
      <c r="M54" s="60">
        <f t="shared" si="45"/>
        <v>10404.249579986536</v>
      </c>
      <c r="N54" s="60">
        <f t="shared" si="45"/>
        <v>23177.264621798848</v>
      </c>
      <c r="O54" s="60">
        <f t="shared" si="45"/>
        <v>22614.288462405588</v>
      </c>
      <c r="P54" s="60">
        <f t="shared" si="45"/>
        <v>28072.485735937542</v>
      </c>
      <c r="Q54" s="60">
        <f t="shared" si="45"/>
        <v>40071.072362920335</v>
      </c>
      <c r="R54" s="60">
        <f t="shared" si="45"/>
        <v>6270.500893967499</v>
      </c>
      <c r="S54" s="60">
        <f t="shared" si="45"/>
        <v>12794.972389983937</v>
      </c>
      <c r="T54" s="60">
        <f t="shared" si="45"/>
        <v>22317.573157194664</v>
      </c>
      <c r="U54" s="60">
        <f t="shared" si="45"/>
        <v>44216.119262477587</v>
      </c>
      <c r="V54" s="60">
        <f t="shared" si="45"/>
        <v>6564.0457853886819</v>
      </c>
      <c r="W54" s="60">
        <f t="shared" si="45"/>
        <v>13350.907659045788</v>
      </c>
      <c r="X54" s="60">
        <f t="shared" si="45"/>
        <v>14618.625639099533</v>
      </c>
      <c r="Y54" s="60">
        <f t="shared" si="45"/>
        <v>19097.386337508262</v>
      </c>
      <c r="Z54" s="60">
        <f t="shared" si="45"/>
        <v>10175.638172398596</v>
      </c>
      <c r="AA54" s="60">
        <f t="shared" si="45"/>
        <v>4425.6486220682846</v>
      </c>
      <c r="AB54" s="60">
        <f t="shared" si="45"/>
        <v>5075.7585362548443</v>
      </c>
      <c r="AC54" s="60">
        <f t="shared" si="45"/>
        <v>505.31249930833479</v>
      </c>
      <c r="AD54" s="60">
        <f t="shared" si="45"/>
        <v>8492.9781222454785</v>
      </c>
      <c r="AE54" s="60">
        <f t="shared" si="45"/>
        <v>20011.625710559216</v>
      </c>
      <c r="AF54" s="60">
        <f t="shared" si="45"/>
        <v>23809.137034294046</v>
      </c>
      <c r="AG54" s="60">
        <f t="shared" si="45"/>
        <v>21386.228031570397</v>
      </c>
      <c r="AH54" s="60">
        <f t="shared" si="45"/>
        <v>22897.722596645803</v>
      </c>
      <c r="AI54" s="60">
        <f t="shared" ref="AI54:BB54" si="46">IFERROR(AI9/$B54,".")</f>
        <v>10367.997435290697</v>
      </c>
      <c r="AJ54" s="60">
        <f t="shared" si="46"/>
        <v>31612.113990954811</v>
      </c>
      <c r="AK54" s="60">
        <f t="shared" si="46"/>
        <v>2462.1769245321739</v>
      </c>
      <c r="AL54" s="60">
        <f t="shared" si="46"/>
        <v>9628.7491136006774</v>
      </c>
      <c r="AM54" s="60">
        <f t="shared" si="46"/>
        <v>14619.337131267581</v>
      </c>
      <c r="AN54" s="60">
        <f t="shared" si="46"/>
        <v>21229.804191189418</v>
      </c>
      <c r="AO54" s="60">
        <f t="shared" si="46"/>
        <v>21943.922508296597</v>
      </c>
      <c r="AP54" s="60">
        <f t="shared" si="46"/>
        <v>26341.778358455889</v>
      </c>
      <c r="AQ54" s="60">
        <f t="shared" si="46"/>
        <v>29500.74180701311</v>
      </c>
      <c r="AR54" s="60">
        <f t="shared" si="46"/>
        <v>7009.8644048373053</v>
      </c>
      <c r="AS54" s="60">
        <f t="shared" si="46"/>
        <v>11431.085815802282</v>
      </c>
      <c r="AT54" s="60">
        <f t="shared" si="46"/>
        <v>23979.456612884154</v>
      </c>
      <c r="AU54" s="60">
        <f t="shared" si="46"/>
        <v>33152.286573276069</v>
      </c>
      <c r="AV54" s="60">
        <f t="shared" si="46"/>
        <v>5587.28673304932</v>
      </c>
      <c r="AW54" s="60">
        <f t="shared" si="46"/>
        <v>12560.434882942018</v>
      </c>
      <c r="AX54" s="60">
        <f t="shared" si="46"/>
        <v>13840.486273162871</v>
      </c>
      <c r="AY54" s="60">
        <f t="shared" si="46"/>
        <v>18579.357066595654</v>
      </c>
      <c r="AZ54" s="60">
        <f t="shared" si="46"/>
        <v>8255.330159184603</v>
      </c>
      <c r="BA54" s="60">
        <f t="shared" si="46"/>
        <v>3506.131310415783</v>
      </c>
      <c r="BB54" s="60">
        <f t="shared" si="46"/>
        <v>4046.0123029143861</v>
      </c>
    </row>
    <row r="55" spans="1:54" x14ac:dyDescent="0.25">
      <c r="A55" s="182" t="s">
        <v>1076</v>
      </c>
      <c r="B55" s="183">
        <v>1.9999999999999999E-7</v>
      </c>
      <c r="C55" s="60" t="str">
        <f t="shared" ref="C55:AH55" si="47">IFERROR(C24/$B55,".")</f>
        <v>.</v>
      </c>
      <c r="D55" s="60" t="str">
        <f t="shared" si="47"/>
        <v>.</v>
      </c>
      <c r="E55" s="60" t="str">
        <f t="shared" si="47"/>
        <v>.</v>
      </c>
      <c r="F55" s="60" t="str">
        <f t="shared" si="47"/>
        <v>.</v>
      </c>
      <c r="G55" s="60" t="str">
        <f t="shared" si="47"/>
        <v>.</v>
      </c>
      <c r="H55" s="60" t="str">
        <f t="shared" si="47"/>
        <v>.</v>
      </c>
      <c r="I55" s="60" t="str">
        <f t="shared" si="47"/>
        <v>.</v>
      </c>
      <c r="J55" s="60" t="str">
        <f t="shared" si="47"/>
        <v>.</v>
      </c>
      <c r="K55" s="60" t="str">
        <f t="shared" si="47"/>
        <v>.</v>
      </c>
      <c r="L55" s="60" t="str">
        <f t="shared" si="47"/>
        <v>.</v>
      </c>
      <c r="M55" s="60" t="str">
        <f t="shared" si="47"/>
        <v>.</v>
      </c>
      <c r="N55" s="60" t="str">
        <f t="shared" si="47"/>
        <v>.</v>
      </c>
      <c r="O55" s="60" t="str">
        <f t="shared" si="47"/>
        <v>.</v>
      </c>
      <c r="P55" s="60" t="str">
        <f t="shared" si="47"/>
        <v>.</v>
      </c>
      <c r="Q55" s="60" t="str">
        <f t="shared" si="47"/>
        <v>.</v>
      </c>
      <c r="R55" s="60" t="str">
        <f t="shared" si="47"/>
        <v>.</v>
      </c>
      <c r="S55" s="60" t="str">
        <f t="shared" si="47"/>
        <v>.</v>
      </c>
      <c r="T55" s="60" t="str">
        <f t="shared" si="47"/>
        <v>.</v>
      </c>
      <c r="U55" s="60" t="str">
        <f t="shared" si="47"/>
        <v>.</v>
      </c>
      <c r="V55" s="60" t="str">
        <f t="shared" si="47"/>
        <v>.</v>
      </c>
      <c r="W55" s="60" t="str">
        <f t="shared" si="47"/>
        <v>.</v>
      </c>
      <c r="X55" s="60" t="str">
        <f t="shared" si="47"/>
        <v>.</v>
      </c>
      <c r="Y55" s="60" t="str">
        <f t="shared" si="47"/>
        <v>.</v>
      </c>
      <c r="Z55" s="60" t="str">
        <f t="shared" si="47"/>
        <v>.</v>
      </c>
      <c r="AA55" s="60" t="str">
        <f t="shared" si="47"/>
        <v>.</v>
      </c>
      <c r="AB55" s="60" t="str">
        <f t="shared" si="47"/>
        <v>.</v>
      </c>
      <c r="AC55" s="60" t="str">
        <f t="shared" si="47"/>
        <v>.</v>
      </c>
      <c r="AD55" s="60" t="str">
        <f t="shared" si="47"/>
        <v>.</v>
      </c>
      <c r="AE55" s="60" t="str">
        <f t="shared" si="47"/>
        <v>.</v>
      </c>
      <c r="AF55" s="60" t="str">
        <f t="shared" si="47"/>
        <v>.</v>
      </c>
      <c r="AG55" s="60" t="str">
        <f t="shared" si="47"/>
        <v>.</v>
      </c>
      <c r="AH55" s="60" t="str">
        <f t="shared" si="47"/>
        <v>.</v>
      </c>
      <c r="AI55" s="60" t="str">
        <f t="shared" ref="AI55:BB55" si="48">IFERROR(AI24/$B55,".")</f>
        <v>.</v>
      </c>
      <c r="AJ55" s="60" t="str">
        <f t="shared" si="48"/>
        <v>.</v>
      </c>
      <c r="AK55" s="60" t="str">
        <f t="shared" si="48"/>
        <v>.</v>
      </c>
      <c r="AL55" s="60" t="str">
        <f t="shared" si="48"/>
        <v>.</v>
      </c>
      <c r="AM55" s="60" t="str">
        <f t="shared" si="48"/>
        <v>.</v>
      </c>
      <c r="AN55" s="60" t="str">
        <f t="shared" si="48"/>
        <v>.</v>
      </c>
      <c r="AO55" s="60" t="str">
        <f t="shared" si="48"/>
        <v>.</v>
      </c>
      <c r="AP55" s="60" t="str">
        <f t="shared" si="48"/>
        <v>.</v>
      </c>
      <c r="AQ55" s="60" t="str">
        <f t="shared" si="48"/>
        <v>.</v>
      </c>
      <c r="AR55" s="60" t="str">
        <f t="shared" si="48"/>
        <v>.</v>
      </c>
      <c r="AS55" s="60" t="str">
        <f t="shared" si="48"/>
        <v>.</v>
      </c>
      <c r="AT55" s="60" t="str">
        <f t="shared" si="48"/>
        <v>.</v>
      </c>
      <c r="AU55" s="60" t="str">
        <f t="shared" si="48"/>
        <v>.</v>
      </c>
      <c r="AV55" s="60" t="str">
        <f t="shared" si="48"/>
        <v>.</v>
      </c>
      <c r="AW55" s="60" t="str">
        <f t="shared" si="48"/>
        <v>.</v>
      </c>
      <c r="AX55" s="60" t="str">
        <f t="shared" si="48"/>
        <v>.</v>
      </c>
      <c r="AY55" s="60" t="str">
        <f t="shared" si="48"/>
        <v>.</v>
      </c>
      <c r="AZ55" s="60" t="str">
        <f t="shared" si="48"/>
        <v>.</v>
      </c>
      <c r="BA55" s="60" t="str">
        <f t="shared" si="48"/>
        <v>.</v>
      </c>
      <c r="BB55" s="60" t="str">
        <f t="shared" si="48"/>
        <v>.</v>
      </c>
    </row>
    <row r="56" spans="1:54" x14ac:dyDescent="0.25">
      <c r="A56" s="182" t="s">
        <v>1077</v>
      </c>
      <c r="B56" s="183">
        <v>0.99979000004200003</v>
      </c>
      <c r="C56" s="60" t="str">
        <f t="shared" ref="C56:AH56" si="49">IFERROR(C20/$B56,".")</f>
        <v>.</v>
      </c>
      <c r="D56" s="60" t="str">
        <f t="shared" si="49"/>
        <v>.</v>
      </c>
      <c r="E56" s="60" t="str">
        <f t="shared" si="49"/>
        <v>.</v>
      </c>
      <c r="F56" s="60" t="str">
        <f t="shared" si="49"/>
        <v>.</v>
      </c>
      <c r="G56" s="60" t="str">
        <f t="shared" si="49"/>
        <v>.</v>
      </c>
      <c r="H56" s="60" t="str">
        <f t="shared" si="49"/>
        <v>.</v>
      </c>
      <c r="I56" s="60" t="str">
        <f t="shared" si="49"/>
        <v>.</v>
      </c>
      <c r="J56" s="60" t="str">
        <f t="shared" si="49"/>
        <v>.</v>
      </c>
      <c r="K56" s="60" t="str">
        <f t="shared" si="49"/>
        <v>.</v>
      </c>
      <c r="L56" s="60" t="str">
        <f t="shared" si="49"/>
        <v>.</v>
      </c>
      <c r="M56" s="60" t="str">
        <f t="shared" si="49"/>
        <v>.</v>
      </c>
      <c r="N56" s="60" t="str">
        <f t="shared" si="49"/>
        <v>.</v>
      </c>
      <c r="O56" s="60" t="str">
        <f t="shared" si="49"/>
        <v>.</v>
      </c>
      <c r="P56" s="60" t="str">
        <f t="shared" si="49"/>
        <v>.</v>
      </c>
      <c r="Q56" s="60" t="str">
        <f t="shared" si="49"/>
        <v>.</v>
      </c>
      <c r="R56" s="60" t="str">
        <f t="shared" si="49"/>
        <v>.</v>
      </c>
      <c r="S56" s="60" t="str">
        <f t="shared" si="49"/>
        <v>.</v>
      </c>
      <c r="T56" s="60" t="str">
        <f t="shared" si="49"/>
        <v>.</v>
      </c>
      <c r="U56" s="60" t="str">
        <f t="shared" si="49"/>
        <v>.</v>
      </c>
      <c r="V56" s="60" t="str">
        <f t="shared" si="49"/>
        <v>.</v>
      </c>
      <c r="W56" s="60" t="str">
        <f t="shared" si="49"/>
        <v>.</v>
      </c>
      <c r="X56" s="60" t="str">
        <f t="shared" si="49"/>
        <v>.</v>
      </c>
      <c r="Y56" s="60" t="str">
        <f t="shared" si="49"/>
        <v>.</v>
      </c>
      <c r="Z56" s="60" t="str">
        <f t="shared" si="49"/>
        <v>.</v>
      </c>
      <c r="AA56" s="60" t="str">
        <f t="shared" si="49"/>
        <v>.</v>
      </c>
      <c r="AB56" s="60" t="str">
        <f t="shared" si="49"/>
        <v>.</v>
      </c>
      <c r="AC56" s="60" t="str">
        <f t="shared" si="49"/>
        <v>.</v>
      </c>
      <c r="AD56" s="60" t="str">
        <f t="shared" si="49"/>
        <v>.</v>
      </c>
      <c r="AE56" s="60" t="str">
        <f t="shared" si="49"/>
        <v>.</v>
      </c>
      <c r="AF56" s="60" t="str">
        <f t="shared" si="49"/>
        <v>.</v>
      </c>
      <c r="AG56" s="60" t="str">
        <f t="shared" si="49"/>
        <v>.</v>
      </c>
      <c r="AH56" s="60" t="str">
        <f t="shared" si="49"/>
        <v>.</v>
      </c>
      <c r="AI56" s="60" t="str">
        <f t="shared" ref="AI56:BB56" si="50">IFERROR(AI20/$B56,".")</f>
        <v>.</v>
      </c>
      <c r="AJ56" s="60" t="str">
        <f t="shared" si="50"/>
        <v>.</v>
      </c>
      <c r="AK56" s="60" t="str">
        <f t="shared" si="50"/>
        <v>.</v>
      </c>
      <c r="AL56" s="60" t="str">
        <f t="shared" si="50"/>
        <v>.</v>
      </c>
      <c r="AM56" s="60" t="str">
        <f t="shared" si="50"/>
        <v>.</v>
      </c>
      <c r="AN56" s="60" t="str">
        <f t="shared" si="50"/>
        <v>.</v>
      </c>
      <c r="AO56" s="60" t="str">
        <f t="shared" si="50"/>
        <v>.</v>
      </c>
      <c r="AP56" s="60" t="str">
        <f t="shared" si="50"/>
        <v>.</v>
      </c>
      <c r="AQ56" s="60" t="str">
        <f t="shared" si="50"/>
        <v>.</v>
      </c>
      <c r="AR56" s="60" t="str">
        <f t="shared" si="50"/>
        <v>.</v>
      </c>
      <c r="AS56" s="60" t="str">
        <f t="shared" si="50"/>
        <v>.</v>
      </c>
      <c r="AT56" s="60" t="str">
        <f t="shared" si="50"/>
        <v>.</v>
      </c>
      <c r="AU56" s="60" t="str">
        <f t="shared" si="50"/>
        <v>.</v>
      </c>
      <c r="AV56" s="60" t="str">
        <f t="shared" si="50"/>
        <v>.</v>
      </c>
      <c r="AW56" s="60" t="str">
        <f t="shared" si="50"/>
        <v>.</v>
      </c>
      <c r="AX56" s="60" t="str">
        <f t="shared" si="50"/>
        <v>.</v>
      </c>
      <c r="AY56" s="60" t="str">
        <f t="shared" si="50"/>
        <v>.</v>
      </c>
      <c r="AZ56" s="60" t="str">
        <f t="shared" si="50"/>
        <v>.</v>
      </c>
      <c r="BA56" s="60" t="str">
        <f t="shared" si="50"/>
        <v>.</v>
      </c>
      <c r="BB56" s="60" t="str">
        <f t="shared" si="50"/>
        <v>.</v>
      </c>
    </row>
    <row r="57" spans="1:54" x14ac:dyDescent="0.25">
      <c r="A57" s="182" t="s">
        <v>1078</v>
      </c>
      <c r="B57" s="183">
        <v>2.0999995799999999E-4</v>
      </c>
      <c r="C57" s="60" t="str">
        <f t="shared" ref="C57:AH57" si="51">IFERROR(C29/$B57,".")</f>
        <v>.</v>
      </c>
      <c r="D57" s="60" t="str">
        <f t="shared" si="51"/>
        <v>.</v>
      </c>
      <c r="E57" s="60" t="str">
        <f t="shared" si="51"/>
        <v>.</v>
      </c>
      <c r="F57" s="60" t="str">
        <f t="shared" si="51"/>
        <v>.</v>
      </c>
      <c r="G57" s="60" t="str">
        <f t="shared" si="51"/>
        <v>.</v>
      </c>
      <c r="H57" s="60" t="str">
        <f t="shared" si="51"/>
        <v>.</v>
      </c>
      <c r="I57" s="60" t="str">
        <f t="shared" si="51"/>
        <v>.</v>
      </c>
      <c r="J57" s="60" t="str">
        <f t="shared" si="51"/>
        <v>.</v>
      </c>
      <c r="K57" s="60" t="str">
        <f t="shared" si="51"/>
        <v>.</v>
      </c>
      <c r="L57" s="60" t="str">
        <f t="shared" si="51"/>
        <v>.</v>
      </c>
      <c r="M57" s="60" t="str">
        <f t="shared" si="51"/>
        <v>.</v>
      </c>
      <c r="N57" s="60" t="str">
        <f t="shared" si="51"/>
        <v>.</v>
      </c>
      <c r="O57" s="60" t="str">
        <f t="shared" si="51"/>
        <v>.</v>
      </c>
      <c r="P57" s="60" t="str">
        <f t="shared" si="51"/>
        <v>.</v>
      </c>
      <c r="Q57" s="60" t="str">
        <f t="shared" si="51"/>
        <v>.</v>
      </c>
      <c r="R57" s="60" t="str">
        <f t="shared" si="51"/>
        <v>.</v>
      </c>
      <c r="S57" s="60" t="str">
        <f t="shared" si="51"/>
        <v>.</v>
      </c>
      <c r="T57" s="60" t="str">
        <f t="shared" si="51"/>
        <v>.</v>
      </c>
      <c r="U57" s="60" t="str">
        <f t="shared" si="51"/>
        <v>.</v>
      </c>
      <c r="V57" s="60" t="str">
        <f t="shared" si="51"/>
        <v>.</v>
      </c>
      <c r="W57" s="60" t="str">
        <f t="shared" si="51"/>
        <v>.</v>
      </c>
      <c r="X57" s="60" t="str">
        <f t="shared" si="51"/>
        <v>.</v>
      </c>
      <c r="Y57" s="60" t="str">
        <f t="shared" si="51"/>
        <v>.</v>
      </c>
      <c r="Z57" s="60" t="str">
        <f t="shared" si="51"/>
        <v>.</v>
      </c>
      <c r="AA57" s="60" t="str">
        <f t="shared" si="51"/>
        <v>.</v>
      </c>
      <c r="AB57" s="60" t="str">
        <f t="shared" si="51"/>
        <v>.</v>
      </c>
      <c r="AC57" s="60" t="str">
        <f t="shared" si="51"/>
        <v>.</v>
      </c>
      <c r="AD57" s="60" t="str">
        <f t="shared" si="51"/>
        <v>.</v>
      </c>
      <c r="AE57" s="60" t="str">
        <f t="shared" si="51"/>
        <v>.</v>
      </c>
      <c r="AF57" s="60" t="str">
        <f t="shared" si="51"/>
        <v>.</v>
      </c>
      <c r="AG57" s="60" t="str">
        <f t="shared" si="51"/>
        <v>.</v>
      </c>
      <c r="AH57" s="60" t="str">
        <f t="shared" si="51"/>
        <v>.</v>
      </c>
      <c r="AI57" s="60" t="str">
        <f t="shared" ref="AI57:BB57" si="52">IFERROR(AI29/$B57,".")</f>
        <v>.</v>
      </c>
      <c r="AJ57" s="60" t="str">
        <f t="shared" si="52"/>
        <v>.</v>
      </c>
      <c r="AK57" s="60" t="str">
        <f t="shared" si="52"/>
        <v>.</v>
      </c>
      <c r="AL57" s="60" t="str">
        <f t="shared" si="52"/>
        <v>.</v>
      </c>
      <c r="AM57" s="60" t="str">
        <f t="shared" si="52"/>
        <v>.</v>
      </c>
      <c r="AN57" s="60" t="str">
        <f t="shared" si="52"/>
        <v>.</v>
      </c>
      <c r="AO57" s="60" t="str">
        <f t="shared" si="52"/>
        <v>.</v>
      </c>
      <c r="AP57" s="60" t="str">
        <f t="shared" si="52"/>
        <v>.</v>
      </c>
      <c r="AQ57" s="60" t="str">
        <f t="shared" si="52"/>
        <v>.</v>
      </c>
      <c r="AR57" s="60" t="str">
        <f t="shared" si="52"/>
        <v>.</v>
      </c>
      <c r="AS57" s="60" t="str">
        <f t="shared" si="52"/>
        <v>.</v>
      </c>
      <c r="AT57" s="60" t="str">
        <f t="shared" si="52"/>
        <v>.</v>
      </c>
      <c r="AU57" s="60" t="str">
        <f t="shared" si="52"/>
        <v>.</v>
      </c>
      <c r="AV57" s="60" t="str">
        <f t="shared" si="52"/>
        <v>.</v>
      </c>
      <c r="AW57" s="60" t="str">
        <f t="shared" si="52"/>
        <v>.</v>
      </c>
      <c r="AX57" s="60" t="str">
        <f t="shared" si="52"/>
        <v>.</v>
      </c>
      <c r="AY57" s="60" t="str">
        <f t="shared" si="52"/>
        <v>.</v>
      </c>
      <c r="AZ57" s="60" t="str">
        <f t="shared" si="52"/>
        <v>.</v>
      </c>
      <c r="BA57" s="60" t="str">
        <f t="shared" si="52"/>
        <v>.</v>
      </c>
      <c r="BB57" s="60" t="str">
        <f t="shared" si="52"/>
        <v>.</v>
      </c>
    </row>
    <row r="58" spans="1:54" x14ac:dyDescent="0.25">
      <c r="A58" s="182" t="s">
        <v>1079</v>
      </c>
      <c r="B58" s="183">
        <v>1</v>
      </c>
      <c r="C58" s="60">
        <f t="shared" ref="C58:AH58" si="53">IFERROR(C16/$B58,".")</f>
        <v>0.13319710988816033</v>
      </c>
      <c r="D58" s="60">
        <f t="shared" si="53"/>
        <v>2.5727252207033535</v>
      </c>
      <c r="E58" s="60">
        <f t="shared" si="53"/>
        <v>3.4623058068421417</v>
      </c>
      <c r="F58" s="60">
        <f t="shared" si="53"/>
        <v>6.4935075135232294</v>
      </c>
      <c r="G58" s="60">
        <f t="shared" si="53"/>
        <v>5.7848176766001203</v>
      </c>
      <c r="H58" s="60">
        <f t="shared" si="53"/>
        <v>6.7728490977974278</v>
      </c>
      <c r="I58" s="60">
        <f t="shared" si="53"/>
        <v>1.7052112586334789</v>
      </c>
      <c r="J58" s="60">
        <f t="shared" si="53"/>
        <v>7.479732452980798</v>
      </c>
      <c r="K58" s="60">
        <f t="shared" si="53"/>
        <v>0.66695545985822424</v>
      </c>
      <c r="L58" s="60">
        <f t="shared" si="53"/>
        <v>3.9686098600821809</v>
      </c>
      <c r="M58" s="60">
        <f t="shared" si="53"/>
        <v>2.6245938675637119</v>
      </c>
      <c r="N58" s="60">
        <f t="shared" si="53"/>
        <v>3.7322448784070725</v>
      </c>
      <c r="O58" s="60">
        <f t="shared" si="53"/>
        <v>6.1211528168185563</v>
      </c>
      <c r="P58" s="60">
        <f t="shared" si="53"/>
        <v>7.0805941689878669</v>
      </c>
      <c r="Q58" s="60">
        <f t="shared" si="53"/>
        <v>10.10632452138462</v>
      </c>
      <c r="R58" s="60">
        <f t="shared" si="53"/>
        <v>1.6517409966670398</v>
      </c>
      <c r="S58" s="60">
        <f t="shared" si="53"/>
        <v>3.3702475594880523</v>
      </c>
      <c r="T58" s="60">
        <f t="shared" si="53"/>
        <v>6.1354167584899768</v>
      </c>
      <c r="U58" s="60">
        <f t="shared" si="53"/>
        <v>11.068108521702703</v>
      </c>
      <c r="V58" s="60">
        <f t="shared" si="53"/>
        <v>1.870474017852144</v>
      </c>
      <c r="W58" s="60">
        <f t="shared" si="53"/>
        <v>3.367704710659071</v>
      </c>
      <c r="X58" s="60">
        <f t="shared" si="53"/>
        <v>3.937921679379254</v>
      </c>
      <c r="Y58" s="60">
        <f t="shared" si="53"/>
        <v>5.031929703550289</v>
      </c>
      <c r="Z58" s="60">
        <f t="shared" si="53"/>
        <v>2.5511719025535684</v>
      </c>
      <c r="AA58" s="60">
        <f t="shared" si="53"/>
        <v>0.82952469188821498</v>
      </c>
      <c r="AB58" s="60">
        <f t="shared" si="53"/>
        <v>0.92330088677810751</v>
      </c>
      <c r="AC58" s="60">
        <f t="shared" si="53"/>
        <v>0.12561713078062087</v>
      </c>
      <c r="AD58" s="60">
        <f t="shared" si="53"/>
        <v>2.2370848421439367</v>
      </c>
      <c r="AE58" s="60">
        <f t="shared" si="53"/>
        <v>3.2445482963811476</v>
      </c>
      <c r="AF58" s="60">
        <f t="shared" si="53"/>
        <v>6.00401683433528</v>
      </c>
      <c r="AG58" s="60">
        <f t="shared" si="53"/>
        <v>5.6330847539351998</v>
      </c>
      <c r="AH58" s="60">
        <f t="shared" si="53"/>
        <v>5.7562163410570619</v>
      </c>
      <c r="AI58" s="60">
        <f t="shared" ref="AI58:BB58" si="54">IFERROR(AI16/$B58,".")</f>
        <v>1.6809725027144418</v>
      </c>
      <c r="AJ58" s="60">
        <f t="shared" si="54"/>
        <v>7.9728907653398506</v>
      </c>
      <c r="AK58" s="60">
        <f t="shared" si="54"/>
        <v>0.64855511020647794</v>
      </c>
      <c r="AL58" s="60">
        <f t="shared" si="54"/>
        <v>2.7525990428399587</v>
      </c>
      <c r="AM58" s="60">
        <f t="shared" si="54"/>
        <v>3.6878990923457846</v>
      </c>
      <c r="AN58" s="60">
        <f t="shared" si="54"/>
        <v>3.4186444886869523</v>
      </c>
      <c r="AO58" s="60">
        <f t="shared" si="54"/>
        <v>5.9397006143707509</v>
      </c>
      <c r="AP58" s="60">
        <f t="shared" si="54"/>
        <v>6.6440657945328345</v>
      </c>
      <c r="AQ58" s="60">
        <f t="shared" si="54"/>
        <v>7.4403816205113555</v>
      </c>
      <c r="AR58" s="60">
        <f t="shared" si="54"/>
        <v>1.8465000825828426</v>
      </c>
      <c r="AS58" s="60">
        <f t="shared" si="54"/>
        <v>3.0109943107938584</v>
      </c>
      <c r="AT58" s="60">
        <f t="shared" si="54"/>
        <v>6.5922920438481212</v>
      </c>
      <c r="AU58" s="60">
        <f t="shared" si="54"/>
        <v>8.2986275515814363</v>
      </c>
      <c r="AV58" s="60">
        <f t="shared" si="54"/>
        <v>1.5921392089802289</v>
      </c>
      <c r="AW58" s="60">
        <f t="shared" si="54"/>
        <v>3.1683116087280014</v>
      </c>
      <c r="AX58" s="60">
        <f t="shared" si="54"/>
        <v>3.7283088228529437</v>
      </c>
      <c r="AY58" s="60">
        <f t="shared" si="54"/>
        <v>4.8954352728703174</v>
      </c>
      <c r="AZ58" s="60">
        <f t="shared" si="54"/>
        <v>2.0697243741962188</v>
      </c>
      <c r="BA58" s="60">
        <f t="shared" si="54"/>
        <v>0.65717429090270885</v>
      </c>
      <c r="BB58" s="60">
        <f t="shared" si="54"/>
        <v>0.73598590644391992</v>
      </c>
    </row>
    <row r="59" spans="1:54" x14ac:dyDescent="0.25">
      <c r="A59" s="182" t="s">
        <v>1080</v>
      </c>
      <c r="B59" s="183">
        <v>1</v>
      </c>
      <c r="C59" s="60">
        <f t="shared" ref="C59:AH59" si="55">IFERROR(C7/$B59,".")</f>
        <v>44.459442309800728</v>
      </c>
      <c r="D59" s="60">
        <f t="shared" si="55"/>
        <v>808.50857544052133</v>
      </c>
      <c r="E59" s="60">
        <f t="shared" si="55"/>
        <v>1767.6945738627269</v>
      </c>
      <c r="F59" s="60">
        <f t="shared" si="55"/>
        <v>2131.5463326541303</v>
      </c>
      <c r="G59" s="60">
        <f t="shared" si="55"/>
        <v>1817.9890357562479</v>
      </c>
      <c r="H59" s="60">
        <f t="shared" si="55"/>
        <v>2230.1817494275647</v>
      </c>
      <c r="I59" s="60">
        <f t="shared" si="55"/>
        <v>870.6149883667855</v>
      </c>
      <c r="J59" s="60">
        <f t="shared" si="55"/>
        <v>2454.9206857901754</v>
      </c>
      <c r="K59" s="60">
        <f t="shared" si="55"/>
        <v>209.59594670353678</v>
      </c>
      <c r="L59" s="60">
        <f t="shared" si="55"/>
        <v>1149.1560289118158</v>
      </c>
      <c r="M59" s="60">
        <f t="shared" si="55"/>
        <v>861.24048742853142</v>
      </c>
      <c r="N59" s="60">
        <f t="shared" si="55"/>
        <v>1918.5620766475238</v>
      </c>
      <c r="O59" s="60">
        <f t="shared" si="55"/>
        <v>1871.9601705514644</v>
      </c>
      <c r="P59" s="60">
        <f t="shared" si="55"/>
        <v>2323.7775211636776</v>
      </c>
      <c r="Q59" s="60">
        <f t="shared" si="55"/>
        <v>3316.9936599762077</v>
      </c>
      <c r="R59" s="60">
        <f t="shared" si="55"/>
        <v>519.05802574457266</v>
      </c>
      <c r="S59" s="60">
        <f t="shared" si="55"/>
        <v>1059.1391693430164</v>
      </c>
      <c r="T59" s="60">
        <f t="shared" si="55"/>
        <v>1847.3987418657357</v>
      </c>
      <c r="U59" s="60">
        <f t="shared" si="55"/>
        <v>3660.1113624826703</v>
      </c>
      <c r="V59" s="60">
        <f t="shared" si="55"/>
        <v>543.35701467463844</v>
      </c>
      <c r="W59" s="60">
        <f t="shared" si="55"/>
        <v>1105.1582463004302</v>
      </c>
      <c r="X59" s="60">
        <f t="shared" si="55"/>
        <v>1210.0971025504371</v>
      </c>
      <c r="Y59" s="60">
        <f t="shared" si="55"/>
        <v>1580.8388862147876</v>
      </c>
      <c r="Z59" s="60">
        <f t="shared" si="55"/>
        <v>842.31654691854067</v>
      </c>
      <c r="AA59" s="60">
        <f t="shared" si="55"/>
        <v>366.3452848910253</v>
      </c>
      <c r="AB59" s="60">
        <f t="shared" si="55"/>
        <v>420.15992813575963</v>
      </c>
      <c r="AC59" s="60">
        <f t="shared" si="55"/>
        <v>41.828637410349664</v>
      </c>
      <c r="AD59" s="60">
        <f t="shared" si="55"/>
        <v>703.02971506879362</v>
      </c>
      <c r="AE59" s="60">
        <f t="shared" si="55"/>
        <v>1656.5175747371541</v>
      </c>
      <c r="AF59" s="60">
        <f t="shared" si="55"/>
        <v>1970.8670603319608</v>
      </c>
      <c r="AG59" s="60">
        <f t="shared" si="55"/>
        <v>1770.3040774413303</v>
      </c>
      <c r="AH59" s="60">
        <f t="shared" si="55"/>
        <v>1895.4222136378287</v>
      </c>
      <c r="AI59" s="60">
        <f t="shared" ref="AI59:BB59" si="56">IFERROR(AI7/$B59,".")</f>
        <v>858.23961605110571</v>
      </c>
      <c r="AJ59" s="60">
        <f t="shared" si="56"/>
        <v>2616.7800236729281</v>
      </c>
      <c r="AK59" s="60">
        <f t="shared" si="56"/>
        <v>203.81349354578975</v>
      </c>
      <c r="AL59" s="60">
        <f t="shared" si="56"/>
        <v>797.04629499432087</v>
      </c>
      <c r="AM59" s="60">
        <f t="shared" si="56"/>
        <v>1210.1559982792348</v>
      </c>
      <c r="AN59" s="60">
        <f t="shared" si="56"/>
        <v>1757.3556621328105</v>
      </c>
      <c r="AO59" s="60">
        <f t="shared" si="56"/>
        <v>1816.4687776707233</v>
      </c>
      <c r="AP59" s="60">
        <f t="shared" si="56"/>
        <v>2180.5134391249626</v>
      </c>
      <c r="AQ59" s="60">
        <f t="shared" si="56"/>
        <v>2442.0053611793605</v>
      </c>
      <c r="AR59" s="60">
        <f t="shared" si="56"/>
        <v>580.26088190377743</v>
      </c>
      <c r="AS59" s="60">
        <f t="shared" si="56"/>
        <v>946.23969217121271</v>
      </c>
      <c r="AT59" s="60">
        <f t="shared" si="56"/>
        <v>1984.9657337399619</v>
      </c>
      <c r="AU59" s="60">
        <f t="shared" si="56"/>
        <v>2744.2720619333313</v>
      </c>
      <c r="AV59" s="60">
        <f t="shared" si="56"/>
        <v>462.50308706844669</v>
      </c>
      <c r="AW59" s="60">
        <f t="shared" si="56"/>
        <v>1039.7246795874451</v>
      </c>
      <c r="AX59" s="60">
        <f t="shared" si="56"/>
        <v>1145.6844679193207</v>
      </c>
      <c r="AY59" s="60">
        <f t="shared" si="56"/>
        <v>1537.9575829210619</v>
      </c>
      <c r="AZ59" s="60">
        <f t="shared" si="56"/>
        <v>683.35774872759293</v>
      </c>
      <c r="BA59" s="60">
        <f t="shared" si="56"/>
        <v>290.22970042735477</v>
      </c>
      <c r="BB59" s="60">
        <f t="shared" si="56"/>
        <v>334.9198403128205</v>
      </c>
    </row>
    <row r="60" spans="1:54" x14ac:dyDescent="0.25">
      <c r="A60" s="182" t="s">
        <v>1081</v>
      </c>
      <c r="B60" s="186">
        <v>1.9000000000000001E-8</v>
      </c>
      <c r="C60" s="60" t="str">
        <f t="shared" ref="C60:AH60" si="57">IFERROR(C12/$B60,".")</f>
        <v>.</v>
      </c>
      <c r="D60" s="60" t="str">
        <f t="shared" si="57"/>
        <v>.</v>
      </c>
      <c r="E60" s="60" t="str">
        <f t="shared" si="57"/>
        <v>.</v>
      </c>
      <c r="F60" s="60" t="str">
        <f t="shared" si="57"/>
        <v>.</v>
      </c>
      <c r="G60" s="60" t="str">
        <f t="shared" si="57"/>
        <v>.</v>
      </c>
      <c r="H60" s="60" t="str">
        <f t="shared" si="57"/>
        <v>.</v>
      </c>
      <c r="I60" s="60" t="str">
        <f t="shared" si="57"/>
        <v>.</v>
      </c>
      <c r="J60" s="60" t="str">
        <f t="shared" si="57"/>
        <v>.</v>
      </c>
      <c r="K60" s="60" t="str">
        <f t="shared" si="57"/>
        <v>.</v>
      </c>
      <c r="L60" s="60" t="str">
        <f t="shared" si="57"/>
        <v>.</v>
      </c>
      <c r="M60" s="60" t="str">
        <f t="shared" si="57"/>
        <v>.</v>
      </c>
      <c r="N60" s="60" t="str">
        <f t="shared" si="57"/>
        <v>.</v>
      </c>
      <c r="O60" s="60" t="str">
        <f t="shared" si="57"/>
        <v>.</v>
      </c>
      <c r="P60" s="60" t="str">
        <f t="shared" si="57"/>
        <v>.</v>
      </c>
      <c r="Q60" s="60" t="str">
        <f t="shared" si="57"/>
        <v>.</v>
      </c>
      <c r="R60" s="60" t="str">
        <f t="shared" si="57"/>
        <v>.</v>
      </c>
      <c r="S60" s="60" t="str">
        <f t="shared" si="57"/>
        <v>.</v>
      </c>
      <c r="T60" s="60" t="str">
        <f t="shared" si="57"/>
        <v>.</v>
      </c>
      <c r="U60" s="60" t="str">
        <f t="shared" si="57"/>
        <v>.</v>
      </c>
      <c r="V60" s="60" t="str">
        <f t="shared" si="57"/>
        <v>.</v>
      </c>
      <c r="W60" s="60" t="str">
        <f t="shared" si="57"/>
        <v>.</v>
      </c>
      <c r="X60" s="60" t="str">
        <f t="shared" si="57"/>
        <v>.</v>
      </c>
      <c r="Y60" s="60" t="str">
        <f t="shared" si="57"/>
        <v>.</v>
      </c>
      <c r="Z60" s="60" t="str">
        <f t="shared" si="57"/>
        <v>.</v>
      </c>
      <c r="AA60" s="60" t="str">
        <f t="shared" si="57"/>
        <v>.</v>
      </c>
      <c r="AB60" s="60" t="str">
        <f t="shared" si="57"/>
        <v>.</v>
      </c>
      <c r="AC60" s="60" t="str">
        <f t="shared" si="57"/>
        <v>.</v>
      </c>
      <c r="AD60" s="60" t="str">
        <f t="shared" si="57"/>
        <v>.</v>
      </c>
      <c r="AE60" s="60" t="str">
        <f t="shared" si="57"/>
        <v>.</v>
      </c>
      <c r="AF60" s="60" t="str">
        <f t="shared" si="57"/>
        <v>.</v>
      </c>
      <c r="AG60" s="60" t="str">
        <f t="shared" si="57"/>
        <v>.</v>
      </c>
      <c r="AH60" s="60" t="str">
        <f t="shared" si="57"/>
        <v>.</v>
      </c>
      <c r="AI60" s="60" t="str">
        <f t="shared" ref="AI60:BB60" si="58">IFERROR(AI12/$B60,".")</f>
        <v>.</v>
      </c>
      <c r="AJ60" s="60" t="str">
        <f t="shared" si="58"/>
        <v>.</v>
      </c>
      <c r="AK60" s="60" t="str">
        <f t="shared" si="58"/>
        <v>.</v>
      </c>
      <c r="AL60" s="60" t="str">
        <f t="shared" si="58"/>
        <v>.</v>
      </c>
      <c r="AM60" s="60" t="str">
        <f t="shared" si="58"/>
        <v>.</v>
      </c>
      <c r="AN60" s="60" t="str">
        <f t="shared" si="58"/>
        <v>.</v>
      </c>
      <c r="AO60" s="60" t="str">
        <f t="shared" si="58"/>
        <v>.</v>
      </c>
      <c r="AP60" s="60" t="str">
        <f t="shared" si="58"/>
        <v>.</v>
      </c>
      <c r="AQ60" s="60" t="str">
        <f t="shared" si="58"/>
        <v>.</v>
      </c>
      <c r="AR60" s="60" t="str">
        <f t="shared" si="58"/>
        <v>.</v>
      </c>
      <c r="AS60" s="60" t="str">
        <f t="shared" si="58"/>
        <v>.</v>
      </c>
      <c r="AT60" s="60" t="str">
        <f t="shared" si="58"/>
        <v>.</v>
      </c>
      <c r="AU60" s="60" t="str">
        <f t="shared" si="58"/>
        <v>.</v>
      </c>
      <c r="AV60" s="60" t="str">
        <f t="shared" si="58"/>
        <v>.</v>
      </c>
      <c r="AW60" s="60" t="str">
        <f t="shared" si="58"/>
        <v>.</v>
      </c>
      <c r="AX60" s="60" t="str">
        <f t="shared" si="58"/>
        <v>.</v>
      </c>
      <c r="AY60" s="60" t="str">
        <f t="shared" si="58"/>
        <v>.</v>
      </c>
      <c r="AZ60" s="60" t="str">
        <f t="shared" si="58"/>
        <v>.</v>
      </c>
      <c r="BA60" s="60" t="str">
        <f t="shared" si="58"/>
        <v>.</v>
      </c>
      <c r="BB60" s="60" t="str">
        <f t="shared" si="58"/>
        <v>.</v>
      </c>
    </row>
    <row r="61" spans="1:54" x14ac:dyDescent="0.25">
      <c r="A61" s="182" t="s">
        <v>1082</v>
      </c>
      <c r="B61" s="183">
        <v>1</v>
      </c>
      <c r="C61" s="60">
        <f t="shared" ref="C61:AH61" si="59">IFERROR(C18/$B61,".")</f>
        <v>8.9024726383206576E-2</v>
      </c>
      <c r="D61" s="60">
        <f t="shared" si="59"/>
        <v>1.6432430358911159</v>
      </c>
      <c r="E61" s="60">
        <f t="shared" si="59"/>
        <v>3.3575387199949653</v>
      </c>
      <c r="F61" s="60">
        <f t="shared" si="59"/>
        <v>4.107691014433188</v>
      </c>
      <c r="G61" s="60">
        <f t="shared" si="59"/>
        <v>3.6948417604397421</v>
      </c>
      <c r="H61" s="60">
        <f t="shared" si="59"/>
        <v>4.5142481623687072</v>
      </c>
      <c r="I61" s="60">
        <f t="shared" si="59"/>
        <v>1.6534559052554345</v>
      </c>
      <c r="J61" s="60">
        <f t="shared" si="59"/>
        <v>4.731702916738648</v>
      </c>
      <c r="K61" s="60">
        <f t="shared" si="59"/>
        <v>0.4259968060180489</v>
      </c>
      <c r="L61" s="60">
        <f t="shared" si="59"/>
        <v>2.334843428659866</v>
      </c>
      <c r="M61" s="60">
        <f t="shared" si="59"/>
        <v>1.7514331296139338</v>
      </c>
      <c r="N61" s="60">
        <f t="shared" si="59"/>
        <v>3.4614937652191635</v>
      </c>
      <c r="O61" s="60">
        <f t="shared" si="59"/>
        <v>3.7370640473096084</v>
      </c>
      <c r="P61" s="60">
        <f t="shared" si="59"/>
        <v>4.7247587170039491</v>
      </c>
      <c r="Q61" s="60">
        <f t="shared" si="59"/>
        <v>6.3932935457184437</v>
      </c>
      <c r="R61" s="60">
        <f t="shared" si="59"/>
        <v>1.0550038861633573</v>
      </c>
      <c r="S61" s="60">
        <f t="shared" si="59"/>
        <v>2.1526340188960047</v>
      </c>
      <c r="T61" s="60">
        <f t="shared" si="59"/>
        <v>3.7518279469944025</v>
      </c>
      <c r="U61" s="60">
        <f t="shared" si="59"/>
        <v>7.3663889912083578</v>
      </c>
      <c r="V61" s="60">
        <f t="shared" si="59"/>
        <v>1.0777364446974305</v>
      </c>
      <c r="W61" s="60">
        <f t="shared" si="59"/>
        <v>2.2472726672380081</v>
      </c>
      <c r="X61" s="60">
        <f t="shared" si="59"/>
        <v>2.4029765335840141</v>
      </c>
      <c r="Y61" s="60">
        <f t="shared" si="59"/>
        <v>3.2141985365629333</v>
      </c>
      <c r="Z61" s="60">
        <f t="shared" si="59"/>
        <v>1.6988486279444051</v>
      </c>
      <c r="AA61" s="60">
        <f t="shared" si="59"/>
        <v>0.46665339656676674</v>
      </c>
      <c r="AB61" s="60">
        <f t="shared" si="59"/>
        <v>0.5545965021961371</v>
      </c>
      <c r="AC61" s="60">
        <f t="shared" si="59"/>
        <v>8.372866545483662E-2</v>
      </c>
      <c r="AD61" s="60">
        <f t="shared" si="59"/>
        <v>1.4288638592136955</v>
      </c>
      <c r="AE61" s="60">
        <f t="shared" si="59"/>
        <v>3.1463704079707497</v>
      </c>
      <c r="AF61" s="60">
        <f t="shared" si="59"/>
        <v>3.7980468875323194</v>
      </c>
      <c r="AG61" s="60">
        <f t="shared" si="59"/>
        <v>3.5979278781987003</v>
      </c>
      <c r="AH61" s="60">
        <f t="shared" si="59"/>
        <v>3.8366407791757897</v>
      </c>
      <c r="AI61" s="60">
        <f t="shared" ref="AI61:BB61" si="60">IFERROR(AI18/$B61,".")</f>
        <v>1.6299528267321934</v>
      </c>
      <c r="AJ61" s="60">
        <f t="shared" si="60"/>
        <v>5.0436764585293448</v>
      </c>
      <c r="AK61" s="60">
        <f t="shared" si="60"/>
        <v>0.41424416187157864</v>
      </c>
      <c r="AL61" s="60">
        <f t="shared" si="60"/>
        <v>1.6194304840983356</v>
      </c>
      <c r="AM61" s="60">
        <f t="shared" si="60"/>
        <v>2.4609935765045634</v>
      </c>
      <c r="AN61" s="60">
        <f t="shared" si="60"/>
        <v>3.170643129970975</v>
      </c>
      <c r="AO61" s="60">
        <f t="shared" si="60"/>
        <v>3.6262845058791635</v>
      </c>
      <c r="AP61" s="60">
        <f t="shared" si="60"/>
        <v>4.4334708401391181</v>
      </c>
      <c r="AQ61" s="60">
        <f t="shared" si="60"/>
        <v>4.7068094529761106</v>
      </c>
      <c r="AR61" s="60">
        <f t="shared" si="60"/>
        <v>1.1794008666351172</v>
      </c>
      <c r="AS61" s="60">
        <f t="shared" si="60"/>
        <v>1.9231729033880689</v>
      </c>
      <c r="AT61" s="60">
        <f t="shared" si="60"/>
        <v>4.0312087179136373</v>
      </c>
      <c r="AU61" s="60">
        <f t="shared" si="60"/>
        <v>5.5231585883207028</v>
      </c>
      <c r="AV61" s="60">
        <f t="shared" si="60"/>
        <v>0.91736449379826057</v>
      </c>
      <c r="AW61" s="60">
        <f t="shared" si="60"/>
        <v>2.1142174541169614</v>
      </c>
      <c r="AX61" s="60">
        <f t="shared" si="60"/>
        <v>2.2750677491082305</v>
      </c>
      <c r="AY61" s="60">
        <f t="shared" si="60"/>
        <v>3.1270112694135102</v>
      </c>
      <c r="AZ61" s="60">
        <f t="shared" si="60"/>
        <v>1.3782483296428936</v>
      </c>
      <c r="BA61" s="60">
        <f t="shared" si="60"/>
        <v>0.36969678899857528</v>
      </c>
      <c r="BB61" s="60">
        <f t="shared" si="60"/>
        <v>0.4420825488468812</v>
      </c>
    </row>
    <row r="62" spans="1:54" x14ac:dyDescent="0.25">
      <c r="A62" s="182" t="s">
        <v>1083</v>
      </c>
      <c r="B62" s="183">
        <v>1.339E-6</v>
      </c>
      <c r="C62" s="60" t="str">
        <f t="shared" ref="C62:AH62" si="61">IFERROR(C27/$B62,".")</f>
        <v>.</v>
      </c>
      <c r="D62" s="60" t="str">
        <f t="shared" si="61"/>
        <v>.</v>
      </c>
      <c r="E62" s="60" t="str">
        <f t="shared" si="61"/>
        <v>.</v>
      </c>
      <c r="F62" s="60" t="str">
        <f t="shared" si="61"/>
        <v>.</v>
      </c>
      <c r="G62" s="60" t="str">
        <f t="shared" si="61"/>
        <v>.</v>
      </c>
      <c r="H62" s="60" t="str">
        <f t="shared" si="61"/>
        <v>.</v>
      </c>
      <c r="I62" s="60" t="str">
        <f t="shared" si="61"/>
        <v>.</v>
      </c>
      <c r="J62" s="60" t="str">
        <f t="shared" si="61"/>
        <v>.</v>
      </c>
      <c r="K62" s="60" t="str">
        <f t="shared" si="61"/>
        <v>.</v>
      </c>
      <c r="L62" s="60" t="str">
        <f t="shared" si="61"/>
        <v>.</v>
      </c>
      <c r="M62" s="60" t="str">
        <f t="shared" si="61"/>
        <v>.</v>
      </c>
      <c r="N62" s="60" t="str">
        <f t="shared" si="61"/>
        <v>.</v>
      </c>
      <c r="O62" s="60" t="str">
        <f t="shared" si="61"/>
        <v>.</v>
      </c>
      <c r="P62" s="60" t="str">
        <f t="shared" si="61"/>
        <v>.</v>
      </c>
      <c r="Q62" s="60" t="str">
        <f t="shared" si="61"/>
        <v>.</v>
      </c>
      <c r="R62" s="60" t="str">
        <f t="shared" si="61"/>
        <v>.</v>
      </c>
      <c r="S62" s="60" t="str">
        <f t="shared" si="61"/>
        <v>.</v>
      </c>
      <c r="T62" s="60" t="str">
        <f t="shared" si="61"/>
        <v>.</v>
      </c>
      <c r="U62" s="60" t="str">
        <f t="shared" si="61"/>
        <v>.</v>
      </c>
      <c r="V62" s="60" t="str">
        <f t="shared" si="61"/>
        <v>.</v>
      </c>
      <c r="W62" s="60" t="str">
        <f t="shared" si="61"/>
        <v>.</v>
      </c>
      <c r="X62" s="60" t="str">
        <f t="shared" si="61"/>
        <v>.</v>
      </c>
      <c r="Y62" s="60" t="str">
        <f t="shared" si="61"/>
        <v>.</v>
      </c>
      <c r="Z62" s="60" t="str">
        <f t="shared" si="61"/>
        <v>.</v>
      </c>
      <c r="AA62" s="60" t="str">
        <f t="shared" si="61"/>
        <v>.</v>
      </c>
      <c r="AB62" s="60" t="str">
        <f t="shared" si="61"/>
        <v>.</v>
      </c>
      <c r="AC62" s="60" t="str">
        <f t="shared" si="61"/>
        <v>.</v>
      </c>
      <c r="AD62" s="60" t="str">
        <f t="shared" si="61"/>
        <v>.</v>
      </c>
      <c r="AE62" s="60" t="str">
        <f t="shared" si="61"/>
        <v>.</v>
      </c>
      <c r="AF62" s="60" t="str">
        <f t="shared" si="61"/>
        <v>.</v>
      </c>
      <c r="AG62" s="60" t="str">
        <f t="shared" si="61"/>
        <v>.</v>
      </c>
      <c r="AH62" s="60" t="str">
        <f t="shared" si="61"/>
        <v>.</v>
      </c>
      <c r="AI62" s="60" t="str">
        <f t="shared" ref="AI62:BB62" si="62">IFERROR(AI27/$B62,".")</f>
        <v>.</v>
      </c>
      <c r="AJ62" s="60" t="str">
        <f t="shared" si="62"/>
        <v>.</v>
      </c>
      <c r="AK62" s="60" t="str">
        <f t="shared" si="62"/>
        <v>.</v>
      </c>
      <c r="AL62" s="60" t="str">
        <f t="shared" si="62"/>
        <v>.</v>
      </c>
      <c r="AM62" s="60" t="str">
        <f t="shared" si="62"/>
        <v>.</v>
      </c>
      <c r="AN62" s="60" t="str">
        <f t="shared" si="62"/>
        <v>.</v>
      </c>
      <c r="AO62" s="60" t="str">
        <f t="shared" si="62"/>
        <v>.</v>
      </c>
      <c r="AP62" s="60" t="str">
        <f t="shared" si="62"/>
        <v>.</v>
      </c>
      <c r="AQ62" s="60" t="str">
        <f t="shared" si="62"/>
        <v>.</v>
      </c>
      <c r="AR62" s="60" t="str">
        <f t="shared" si="62"/>
        <v>.</v>
      </c>
      <c r="AS62" s="60" t="str">
        <f t="shared" si="62"/>
        <v>.</v>
      </c>
      <c r="AT62" s="60" t="str">
        <f t="shared" si="62"/>
        <v>.</v>
      </c>
      <c r="AU62" s="60" t="str">
        <f t="shared" si="62"/>
        <v>.</v>
      </c>
      <c r="AV62" s="60" t="str">
        <f t="shared" si="62"/>
        <v>.</v>
      </c>
      <c r="AW62" s="60" t="str">
        <f t="shared" si="62"/>
        <v>.</v>
      </c>
      <c r="AX62" s="60" t="str">
        <f t="shared" si="62"/>
        <v>.</v>
      </c>
      <c r="AY62" s="60" t="str">
        <f t="shared" si="62"/>
        <v>.</v>
      </c>
      <c r="AZ62" s="60" t="str">
        <f t="shared" si="62"/>
        <v>.</v>
      </c>
      <c r="BA62" s="60" t="str">
        <f t="shared" si="62"/>
        <v>.</v>
      </c>
      <c r="BB62" s="60" t="str">
        <f t="shared" si="62"/>
        <v>.</v>
      </c>
    </row>
    <row r="63" spans="1:54" x14ac:dyDescent="0.25">
      <c r="A63" s="89" t="s">
        <v>23</v>
      </c>
      <c r="B63" s="89" t="s">
        <v>1057</v>
      </c>
      <c r="C63" s="90">
        <f t="shared" ref="C63:AH63" si="63">IFERROR(1/SUM(IFERROR(1/SUMIF(C64,"&lt;&gt;.",C64),0),IFERROR(1/SUMIF(C65,"&lt;&gt;.",C65),0),IFERROR(1/SUMIF(C66,"&lt;&gt;.",C66),0),IFERROR(1/SUMIF(C67,"&lt;&gt;.",C67),0),IFERROR(1/SUMIF(C68,"&lt;&gt;.",C68),0),IFERROR(1/SUMIF(C69,"&lt;&gt;.",C69),0),IFERROR(1/SUMIF(C70,"&lt;&gt;.",C70),0),IFERROR(1/SUMIF(C71,"&lt;&gt;.",C71),0),IFERROR(1/SUMIF(C72,"&lt;&gt;.",C72),0),IFERROR(1/SUMIF(C73,"&lt;&gt;.",C73),0),IFERROR(1/SUMIF(C74,"&lt;&gt;.",C74),0),IFERROR(1/SUMIF(C75,"&lt;&gt;.",C75),0),IFERROR(1/SUMIF(C76,"&lt;&gt;.",C76),0)),".")</f>
        <v>5.3286942645330612E-2</v>
      </c>
      <c r="D63" s="58">
        <f t="shared" si="63"/>
        <v>1.0013411517841548</v>
      </c>
      <c r="E63" s="58">
        <f t="shared" si="63"/>
        <v>1.702617555671079</v>
      </c>
      <c r="F63" s="58">
        <f t="shared" si="63"/>
        <v>2.5126653282280444</v>
      </c>
      <c r="G63" s="58">
        <f t="shared" si="63"/>
        <v>2.2515261331550485</v>
      </c>
      <c r="H63" s="58">
        <f t="shared" si="63"/>
        <v>2.7050166465731302</v>
      </c>
      <c r="I63" s="58">
        <f t="shared" si="63"/>
        <v>0.83851145134857608</v>
      </c>
      <c r="J63" s="58">
        <f t="shared" si="63"/>
        <v>2.8943378529274013</v>
      </c>
      <c r="K63" s="58">
        <f t="shared" si="63"/>
        <v>0.25958892793259397</v>
      </c>
      <c r="L63" s="58">
        <f t="shared" si="63"/>
        <v>1.4678618269531383</v>
      </c>
      <c r="M63" s="58">
        <f t="shared" si="63"/>
        <v>1.0489834643139064</v>
      </c>
      <c r="N63" s="58">
        <f t="shared" si="63"/>
        <v>1.7939005225034461</v>
      </c>
      <c r="O63" s="58">
        <f t="shared" si="63"/>
        <v>2.3171322373624204</v>
      </c>
      <c r="P63" s="58">
        <f t="shared" si="63"/>
        <v>2.8298500903585415</v>
      </c>
      <c r="Q63" s="58">
        <f t="shared" si="63"/>
        <v>3.9107171011918807</v>
      </c>
      <c r="R63" s="58">
        <f t="shared" si="63"/>
        <v>0.64288434355432578</v>
      </c>
      <c r="S63" s="58">
        <f t="shared" si="63"/>
        <v>1.3117481594450573</v>
      </c>
      <c r="T63" s="58">
        <f t="shared" si="63"/>
        <v>2.3248095728167382</v>
      </c>
      <c r="U63" s="58">
        <f t="shared" si="63"/>
        <v>4.4166713740059533</v>
      </c>
      <c r="V63" s="58">
        <f t="shared" si="63"/>
        <v>0.68278423768482099</v>
      </c>
      <c r="W63" s="58">
        <f t="shared" si="63"/>
        <v>1.3459681186654828</v>
      </c>
      <c r="X63" s="58">
        <f t="shared" si="63"/>
        <v>1.4902331784573675</v>
      </c>
      <c r="Y63" s="58">
        <f t="shared" si="63"/>
        <v>1.9585793051614333</v>
      </c>
      <c r="Z63" s="58">
        <f t="shared" si="63"/>
        <v>1.0183583330826242</v>
      </c>
      <c r="AA63" s="58">
        <f t="shared" si="63"/>
        <v>0.29836331581631198</v>
      </c>
      <c r="AB63" s="58">
        <f t="shared" si="63"/>
        <v>0.34614393808567623</v>
      </c>
      <c r="AC63" s="90">
        <f t="shared" si="63"/>
        <v>5.0171895242221286E-2</v>
      </c>
      <c r="AD63" s="58">
        <f t="shared" si="63"/>
        <v>0.87070515515794966</v>
      </c>
      <c r="AE63" s="58">
        <f t="shared" si="63"/>
        <v>1.5955334964128147</v>
      </c>
      <c r="AF63" s="58">
        <f t="shared" si="63"/>
        <v>2.3232567142355389</v>
      </c>
      <c r="AG63" s="58">
        <f t="shared" si="63"/>
        <v>2.1924697099903256</v>
      </c>
      <c r="AH63" s="58">
        <f t="shared" si="63"/>
        <v>2.298982422168435</v>
      </c>
      <c r="AI63" s="58">
        <f t="shared" ref="AI63:BB63" si="64">IFERROR(1/SUM(IFERROR(1/SUMIF(AI64,"&lt;&gt;.",AI64),0),IFERROR(1/SUMIF(AI65,"&lt;&gt;.",AI65),0),IFERROR(1/SUMIF(AI66,"&lt;&gt;.",AI66),0),IFERROR(1/SUMIF(AI67,"&lt;&gt;.",AI67),0),IFERROR(1/SUMIF(AI68,"&lt;&gt;.",AI68),0),IFERROR(1/SUMIF(AI69,"&lt;&gt;.",AI69),0),IFERROR(1/SUMIF(AI70,"&lt;&gt;.",AI70),0),IFERROR(1/SUMIF(AI71,"&lt;&gt;.",AI71),0),IFERROR(1/SUMIF(AI72,"&lt;&gt;.",AI72),0),IFERROR(1/SUMIF(AI73,"&lt;&gt;.",AI73),0),IFERROR(1/SUMIF(AI74,"&lt;&gt;.",AI74),0),IFERROR(1/SUMIF(AI75,"&lt;&gt;.",AI75),0),IFERROR(1/SUMIF(AI76,"&lt;&gt;.",AI76),0)),".")</f>
        <v>0.82659241533374028</v>
      </c>
      <c r="AJ63" s="58">
        <f t="shared" si="64"/>
        <v>3.0851691132591492</v>
      </c>
      <c r="AK63" s="58">
        <f t="shared" si="64"/>
        <v>0.25242723974325521</v>
      </c>
      <c r="AL63" s="58">
        <f t="shared" si="64"/>
        <v>1.018098327208423</v>
      </c>
      <c r="AM63" s="58">
        <f t="shared" si="64"/>
        <v>1.4739595385551909</v>
      </c>
      <c r="AN63" s="58">
        <f t="shared" si="64"/>
        <v>1.6431687454351869</v>
      </c>
      <c r="AO63" s="58">
        <f t="shared" si="64"/>
        <v>2.2484444002156345</v>
      </c>
      <c r="AP63" s="58">
        <f t="shared" si="64"/>
        <v>2.6553859379988221</v>
      </c>
      <c r="AQ63" s="58">
        <f t="shared" si="64"/>
        <v>2.8791107569481693</v>
      </c>
      <c r="AR63" s="58">
        <f t="shared" si="64"/>
        <v>0.71868773364567229</v>
      </c>
      <c r="AS63" s="58">
        <f t="shared" si="64"/>
        <v>1.1719216987975047</v>
      </c>
      <c r="AT63" s="58">
        <f t="shared" si="64"/>
        <v>2.4979270771026902</v>
      </c>
      <c r="AU63" s="58">
        <f t="shared" si="64"/>
        <v>3.3115243384845576</v>
      </c>
      <c r="AV63" s="58">
        <f t="shared" si="64"/>
        <v>0.58118292246581249</v>
      </c>
      <c r="AW63" s="58">
        <f t="shared" si="64"/>
        <v>1.26627682107885</v>
      </c>
      <c r="AX63" s="58">
        <f t="shared" si="64"/>
        <v>1.4109090936076223</v>
      </c>
      <c r="AY63" s="58">
        <f t="shared" si="64"/>
        <v>1.9054515424641592</v>
      </c>
      <c r="AZ63" s="58">
        <f t="shared" si="64"/>
        <v>0.82617759373142907</v>
      </c>
      <c r="BA63" s="58">
        <f t="shared" si="64"/>
        <v>0.23637234963632486</v>
      </c>
      <c r="BB63" s="58">
        <f t="shared" si="64"/>
        <v>0.27591986932996315</v>
      </c>
    </row>
    <row r="64" spans="1:54" x14ac:dyDescent="0.25">
      <c r="A64" s="182" t="s">
        <v>1073</v>
      </c>
      <c r="B64" s="183">
        <v>1</v>
      </c>
      <c r="C64" s="60" t="str">
        <f t="shared" ref="C64:AH64" si="65">IFERROR(C25/$B50,".")</f>
        <v>.</v>
      </c>
      <c r="D64" s="60" t="str">
        <f t="shared" si="65"/>
        <v>.</v>
      </c>
      <c r="E64" s="60" t="str">
        <f t="shared" si="65"/>
        <v>.</v>
      </c>
      <c r="F64" s="60" t="str">
        <f t="shared" si="65"/>
        <v>.</v>
      </c>
      <c r="G64" s="60" t="str">
        <f t="shared" si="65"/>
        <v>.</v>
      </c>
      <c r="H64" s="60" t="str">
        <f t="shared" si="65"/>
        <v>.</v>
      </c>
      <c r="I64" s="60" t="str">
        <f t="shared" si="65"/>
        <v>.</v>
      </c>
      <c r="J64" s="60" t="str">
        <f t="shared" si="65"/>
        <v>.</v>
      </c>
      <c r="K64" s="60" t="str">
        <f t="shared" si="65"/>
        <v>.</v>
      </c>
      <c r="L64" s="60" t="str">
        <f t="shared" si="65"/>
        <v>.</v>
      </c>
      <c r="M64" s="60" t="str">
        <f t="shared" si="65"/>
        <v>.</v>
      </c>
      <c r="N64" s="60" t="str">
        <f t="shared" si="65"/>
        <v>.</v>
      </c>
      <c r="O64" s="60" t="str">
        <f t="shared" si="65"/>
        <v>.</v>
      </c>
      <c r="P64" s="60" t="str">
        <f t="shared" si="65"/>
        <v>.</v>
      </c>
      <c r="Q64" s="60" t="str">
        <f t="shared" si="65"/>
        <v>.</v>
      </c>
      <c r="R64" s="60" t="str">
        <f t="shared" si="65"/>
        <v>.</v>
      </c>
      <c r="S64" s="60" t="str">
        <f t="shared" si="65"/>
        <v>.</v>
      </c>
      <c r="T64" s="60" t="str">
        <f t="shared" si="65"/>
        <v>.</v>
      </c>
      <c r="U64" s="60" t="str">
        <f t="shared" si="65"/>
        <v>.</v>
      </c>
      <c r="V64" s="60" t="str">
        <f t="shared" si="65"/>
        <v>.</v>
      </c>
      <c r="W64" s="60" t="str">
        <f t="shared" si="65"/>
        <v>.</v>
      </c>
      <c r="X64" s="60" t="str">
        <f t="shared" si="65"/>
        <v>.</v>
      </c>
      <c r="Y64" s="60" t="str">
        <f t="shared" si="65"/>
        <v>.</v>
      </c>
      <c r="Z64" s="60" t="str">
        <f t="shared" si="65"/>
        <v>.</v>
      </c>
      <c r="AA64" s="60" t="str">
        <f t="shared" si="65"/>
        <v>.</v>
      </c>
      <c r="AB64" s="60" t="str">
        <f t="shared" si="65"/>
        <v>.</v>
      </c>
      <c r="AC64" s="60" t="str">
        <f t="shared" si="65"/>
        <v>.</v>
      </c>
      <c r="AD64" s="60" t="str">
        <f t="shared" si="65"/>
        <v>.</v>
      </c>
      <c r="AE64" s="60" t="str">
        <f t="shared" si="65"/>
        <v>.</v>
      </c>
      <c r="AF64" s="60" t="str">
        <f t="shared" si="65"/>
        <v>.</v>
      </c>
      <c r="AG64" s="60" t="str">
        <f t="shared" si="65"/>
        <v>.</v>
      </c>
      <c r="AH64" s="60" t="str">
        <f t="shared" si="65"/>
        <v>.</v>
      </c>
      <c r="AI64" s="60" t="str">
        <f t="shared" ref="AI64:BB64" si="66">IFERROR(AI25/$B50,".")</f>
        <v>.</v>
      </c>
      <c r="AJ64" s="60" t="str">
        <f t="shared" si="66"/>
        <v>.</v>
      </c>
      <c r="AK64" s="60" t="str">
        <f t="shared" si="66"/>
        <v>.</v>
      </c>
      <c r="AL64" s="60" t="str">
        <f t="shared" si="66"/>
        <v>.</v>
      </c>
      <c r="AM64" s="60" t="str">
        <f t="shared" si="66"/>
        <v>.</v>
      </c>
      <c r="AN64" s="60" t="str">
        <f t="shared" si="66"/>
        <v>.</v>
      </c>
      <c r="AO64" s="60" t="str">
        <f t="shared" si="66"/>
        <v>.</v>
      </c>
      <c r="AP64" s="60" t="str">
        <f t="shared" si="66"/>
        <v>.</v>
      </c>
      <c r="AQ64" s="60" t="str">
        <f t="shared" si="66"/>
        <v>.</v>
      </c>
      <c r="AR64" s="60" t="str">
        <f t="shared" si="66"/>
        <v>.</v>
      </c>
      <c r="AS64" s="60" t="str">
        <f t="shared" si="66"/>
        <v>.</v>
      </c>
      <c r="AT64" s="60" t="str">
        <f t="shared" si="66"/>
        <v>.</v>
      </c>
      <c r="AU64" s="60" t="str">
        <f t="shared" si="66"/>
        <v>.</v>
      </c>
      <c r="AV64" s="60" t="str">
        <f t="shared" si="66"/>
        <v>.</v>
      </c>
      <c r="AW64" s="60" t="str">
        <f t="shared" si="66"/>
        <v>.</v>
      </c>
      <c r="AX64" s="60" t="str">
        <f t="shared" si="66"/>
        <v>.</v>
      </c>
      <c r="AY64" s="60" t="str">
        <f t="shared" si="66"/>
        <v>.</v>
      </c>
      <c r="AZ64" s="60" t="str">
        <f t="shared" si="66"/>
        <v>.</v>
      </c>
      <c r="BA64" s="60" t="str">
        <f t="shared" si="66"/>
        <v>.</v>
      </c>
      <c r="BB64" s="60" t="str">
        <f t="shared" si="66"/>
        <v>.</v>
      </c>
    </row>
    <row r="65" spans="1:54" x14ac:dyDescent="0.25">
      <c r="A65" s="182" t="s">
        <v>1059</v>
      </c>
      <c r="B65" s="183">
        <v>1</v>
      </c>
      <c r="C65" s="60" t="str">
        <f t="shared" ref="C65:AH65" si="67">IFERROR(C21/$B51,".")</f>
        <v>.</v>
      </c>
      <c r="D65" s="60" t="str">
        <f t="shared" si="67"/>
        <v>.</v>
      </c>
      <c r="E65" s="60" t="str">
        <f t="shared" si="67"/>
        <v>.</v>
      </c>
      <c r="F65" s="60" t="str">
        <f t="shared" si="67"/>
        <v>.</v>
      </c>
      <c r="G65" s="60" t="str">
        <f t="shared" si="67"/>
        <v>.</v>
      </c>
      <c r="H65" s="60" t="str">
        <f t="shared" si="67"/>
        <v>.</v>
      </c>
      <c r="I65" s="60" t="str">
        <f t="shared" si="67"/>
        <v>.</v>
      </c>
      <c r="J65" s="60" t="str">
        <f t="shared" si="67"/>
        <v>.</v>
      </c>
      <c r="K65" s="60" t="str">
        <f t="shared" si="67"/>
        <v>.</v>
      </c>
      <c r="L65" s="60" t="str">
        <f t="shared" si="67"/>
        <v>.</v>
      </c>
      <c r="M65" s="60" t="str">
        <f t="shared" si="67"/>
        <v>.</v>
      </c>
      <c r="N65" s="60" t="str">
        <f t="shared" si="67"/>
        <v>.</v>
      </c>
      <c r="O65" s="60" t="str">
        <f t="shared" si="67"/>
        <v>.</v>
      </c>
      <c r="P65" s="60" t="str">
        <f t="shared" si="67"/>
        <v>.</v>
      </c>
      <c r="Q65" s="60" t="str">
        <f t="shared" si="67"/>
        <v>.</v>
      </c>
      <c r="R65" s="60" t="str">
        <f t="shared" si="67"/>
        <v>.</v>
      </c>
      <c r="S65" s="60" t="str">
        <f t="shared" si="67"/>
        <v>.</v>
      </c>
      <c r="T65" s="60" t="str">
        <f t="shared" si="67"/>
        <v>.</v>
      </c>
      <c r="U65" s="60" t="str">
        <f t="shared" si="67"/>
        <v>.</v>
      </c>
      <c r="V65" s="60" t="str">
        <f t="shared" si="67"/>
        <v>.</v>
      </c>
      <c r="W65" s="60" t="str">
        <f t="shared" si="67"/>
        <v>.</v>
      </c>
      <c r="X65" s="60" t="str">
        <f t="shared" si="67"/>
        <v>.</v>
      </c>
      <c r="Y65" s="60" t="str">
        <f t="shared" si="67"/>
        <v>.</v>
      </c>
      <c r="Z65" s="60" t="str">
        <f t="shared" si="67"/>
        <v>.</v>
      </c>
      <c r="AA65" s="60" t="str">
        <f t="shared" si="67"/>
        <v>.</v>
      </c>
      <c r="AB65" s="60" t="str">
        <f t="shared" si="67"/>
        <v>.</v>
      </c>
      <c r="AC65" s="60" t="str">
        <f t="shared" si="67"/>
        <v>.</v>
      </c>
      <c r="AD65" s="60" t="str">
        <f t="shared" si="67"/>
        <v>.</v>
      </c>
      <c r="AE65" s="60" t="str">
        <f t="shared" si="67"/>
        <v>.</v>
      </c>
      <c r="AF65" s="60" t="str">
        <f t="shared" si="67"/>
        <v>.</v>
      </c>
      <c r="AG65" s="60" t="str">
        <f t="shared" si="67"/>
        <v>.</v>
      </c>
      <c r="AH65" s="60" t="str">
        <f t="shared" si="67"/>
        <v>.</v>
      </c>
      <c r="AI65" s="60" t="str">
        <f t="shared" ref="AI65:BB65" si="68">IFERROR(AI21/$B51,".")</f>
        <v>.</v>
      </c>
      <c r="AJ65" s="60" t="str">
        <f t="shared" si="68"/>
        <v>.</v>
      </c>
      <c r="AK65" s="60" t="str">
        <f t="shared" si="68"/>
        <v>.</v>
      </c>
      <c r="AL65" s="60" t="str">
        <f t="shared" si="68"/>
        <v>.</v>
      </c>
      <c r="AM65" s="60" t="str">
        <f t="shared" si="68"/>
        <v>.</v>
      </c>
      <c r="AN65" s="60" t="str">
        <f t="shared" si="68"/>
        <v>.</v>
      </c>
      <c r="AO65" s="60" t="str">
        <f t="shared" si="68"/>
        <v>.</v>
      </c>
      <c r="AP65" s="60" t="str">
        <f t="shared" si="68"/>
        <v>.</v>
      </c>
      <c r="AQ65" s="60" t="str">
        <f t="shared" si="68"/>
        <v>.</v>
      </c>
      <c r="AR65" s="60" t="str">
        <f t="shared" si="68"/>
        <v>.</v>
      </c>
      <c r="AS65" s="60" t="str">
        <f t="shared" si="68"/>
        <v>.</v>
      </c>
      <c r="AT65" s="60" t="str">
        <f t="shared" si="68"/>
        <v>.</v>
      </c>
      <c r="AU65" s="60" t="str">
        <f t="shared" si="68"/>
        <v>.</v>
      </c>
      <c r="AV65" s="60" t="str">
        <f t="shared" si="68"/>
        <v>.</v>
      </c>
      <c r="AW65" s="60" t="str">
        <f t="shared" si="68"/>
        <v>.</v>
      </c>
      <c r="AX65" s="60" t="str">
        <f t="shared" si="68"/>
        <v>.</v>
      </c>
      <c r="AY65" s="60" t="str">
        <f t="shared" si="68"/>
        <v>.</v>
      </c>
      <c r="AZ65" s="60" t="str">
        <f t="shared" si="68"/>
        <v>.</v>
      </c>
      <c r="BA65" s="60" t="str">
        <f t="shared" si="68"/>
        <v>.</v>
      </c>
      <c r="BB65" s="60" t="str">
        <f t="shared" si="68"/>
        <v>.</v>
      </c>
    </row>
    <row r="66" spans="1:54" x14ac:dyDescent="0.25">
      <c r="A66" s="182" t="s">
        <v>1060</v>
      </c>
      <c r="B66" s="185">
        <v>0.99980000000000002</v>
      </c>
      <c r="C66" s="60">
        <f t="shared" ref="C66:AH66" si="69">IFERROR(C17/$B52,".")</f>
        <v>682.85542578829097</v>
      </c>
      <c r="D66" s="60">
        <f t="shared" si="69"/>
        <v>13189.47068367151</v>
      </c>
      <c r="E66" s="60">
        <f t="shared" si="69"/>
        <v>17750.042083688011</v>
      </c>
      <c r="F66" s="60">
        <f t="shared" si="69"/>
        <v>33289.962835751532</v>
      </c>
      <c r="G66" s="60">
        <f t="shared" si="69"/>
        <v>29656.755623145345</v>
      </c>
      <c r="H66" s="60">
        <f t="shared" si="69"/>
        <v>34722.05033847662</v>
      </c>
      <c r="I66" s="60">
        <f t="shared" si="69"/>
        <v>8742.0272185399317</v>
      </c>
      <c r="J66" s="60">
        <f t="shared" si="69"/>
        <v>38345.996345200772</v>
      </c>
      <c r="K66" s="60">
        <f t="shared" si="69"/>
        <v>3419.2495235498786</v>
      </c>
      <c r="L66" s="60">
        <f t="shared" si="69"/>
        <v>20345.687515813839</v>
      </c>
      <c r="M66" s="60">
        <f t="shared" si="69"/>
        <v>13455.383262154874</v>
      </c>
      <c r="N66" s="60">
        <f t="shared" si="69"/>
        <v>19133.926161992269</v>
      </c>
      <c r="O66" s="60">
        <f t="shared" si="69"/>
        <v>31381.029337299256</v>
      </c>
      <c r="P66" s="60">
        <f t="shared" si="69"/>
        <v>36299.752676000644</v>
      </c>
      <c r="Q66" s="60">
        <f t="shared" si="69"/>
        <v>51811.623690629138</v>
      </c>
      <c r="R66" s="60">
        <f t="shared" si="69"/>
        <v>8467.9037144131362</v>
      </c>
      <c r="S66" s="60">
        <f t="shared" si="69"/>
        <v>17278.091350319373</v>
      </c>
      <c r="T66" s="60">
        <f t="shared" si="69"/>
        <v>31454.155623384861</v>
      </c>
      <c r="U66" s="60">
        <f t="shared" si="69"/>
        <v>56742.356974594702</v>
      </c>
      <c r="V66" s="60">
        <f t="shared" si="69"/>
        <v>9589.2721167810796</v>
      </c>
      <c r="W66" s="60">
        <f t="shared" si="69"/>
        <v>17265.055045543038</v>
      </c>
      <c r="X66" s="60">
        <f t="shared" si="69"/>
        <v>20188.359847682299</v>
      </c>
      <c r="Y66" s="60">
        <f t="shared" si="69"/>
        <v>25796.959882535772</v>
      </c>
      <c r="Z66" s="60">
        <f t="shared" si="69"/>
        <v>13078.974290358774</v>
      </c>
      <c r="AA66" s="60">
        <f t="shared" si="69"/>
        <v>4252.6856412789048</v>
      </c>
      <c r="AB66" s="60">
        <f t="shared" si="69"/>
        <v>4733.4436963456483</v>
      </c>
      <c r="AC66" s="60">
        <f t="shared" si="69"/>
        <v>643.99549958350099</v>
      </c>
      <c r="AD66" s="60">
        <f t="shared" si="69"/>
        <v>11468.758771788605</v>
      </c>
      <c r="AE66" s="60">
        <f t="shared" si="69"/>
        <v>16633.674786760217</v>
      </c>
      <c r="AF66" s="60">
        <f t="shared" si="69"/>
        <v>30780.513746075769</v>
      </c>
      <c r="AG66" s="60">
        <f t="shared" si="69"/>
        <v>28878.873508439894</v>
      </c>
      <c r="AH66" s="60">
        <f t="shared" si="69"/>
        <v>29510.126486996909</v>
      </c>
      <c r="AI66" s="60">
        <f t="shared" ref="AI66:BB66" si="70">IFERROR(AI17/$B52,".")</f>
        <v>8617.7635163652358</v>
      </c>
      <c r="AJ66" s="60">
        <f t="shared" si="70"/>
        <v>40874.248119204982</v>
      </c>
      <c r="AK66" s="60">
        <f t="shared" si="70"/>
        <v>3324.9173071328214</v>
      </c>
      <c r="AL66" s="60">
        <f t="shared" si="70"/>
        <v>14111.621438341726</v>
      </c>
      <c r="AM66" s="60">
        <f t="shared" si="70"/>
        <v>18906.580683939301</v>
      </c>
      <c r="AN66" s="60">
        <f t="shared" si="70"/>
        <v>17526.205635401911</v>
      </c>
      <c r="AO66" s="60">
        <f t="shared" si="70"/>
        <v>30450.786773727436</v>
      </c>
      <c r="AP66" s="60">
        <f t="shared" si="70"/>
        <v>34061.822969737121</v>
      </c>
      <c r="AQ66" s="60">
        <f t="shared" si="70"/>
        <v>38144.258263318909</v>
      </c>
      <c r="AR66" s="60">
        <f t="shared" si="70"/>
        <v>9466.366058309648</v>
      </c>
      <c r="AS66" s="60">
        <f t="shared" si="70"/>
        <v>15436.32443579035</v>
      </c>
      <c r="AT66" s="60">
        <f t="shared" si="70"/>
        <v>33796.396891062046</v>
      </c>
      <c r="AU66" s="60">
        <f t="shared" si="70"/>
        <v>42544.187745152369</v>
      </c>
      <c r="AV66" s="60">
        <f t="shared" si="70"/>
        <v>8162.3460026670318</v>
      </c>
      <c r="AW66" s="60">
        <f t="shared" si="70"/>
        <v>16242.835707355345</v>
      </c>
      <c r="AX66" s="60">
        <f t="shared" si="70"/>
        <v>19113.747369122077</v>
      </c>
      <c r="AY66" s="60">
        <f t="shared" si="70"/>
        <v>25097.200235663833</v>
      </c>
      <c r="AZ66" s="60">
        <f t="shared" si="70"/>
        <v>10610.759647809677</v>
      </c>
      <c r="BA66" s="60">
        <f t="shared" si="70"/>
        <v>3369.1048597697581</v>
      </c>
      <c r="BB66" s="60">
        <f t="shared" si="70"/>
        <v>3773.1447021705758</v>
      </c>
    </row>
    <row r="67" spans="1:54" x14ac:dyDescent="0.25">
      <c r="A67" s="182" t="s">
        <v>1074</v>
      </c>
      <c r="B67" s="183">
        <v>2.0000000000000001E-4</v>
      </c>
      <c r="C67" s="60" t="str">
        <f t="shared" ref="C67:AH67" si="71">IFERROR(C5/$B53,".")</f>
        <v>.</v>
      </c>
      <c r="D67" s="60" t="str">
        <f t="shared" si="71"/>
        <v>.</v>
      </c>
      <c r="E67" s="60" t="str">
        <f t="shared" si="71"/>
        <v>.</v>
      </c>
      <c r="F67" s="60" t="str">
        <f t="shared" si="71"/>
        <v>.</v>
      </c>
      <c r="G67" s="60" t="str">
        <f t="shared" si="71"/>
        <v>.</v>
      </c>
      <c r="H67" s="60" t="str">
        <f t="shared" si="71"/>
        <v>.</v>
      </c>
      <c r="I67" s="60" t="str">
        <f t="shared" si="71"/>
        <v>.</v>
      </c>
      <c r="J67" s="60" t="str">
        <f t="shared" si="71"/>
        <v>.</v>
      </c>
      <c r="K67" s="60" t="str">
        <f t="shared" si="71"/>
        <v>.</v>
      </c>
      <c r="L67" s="60" t="str">
        <f t="shared" si="71"/>
        <v>.</v>
      </c>
      <c r="M67" s="60" t="str">
        <f t="shared" si="71"/>
        <v>.</v>
      </c>
      <c r="N67" s="60" t="str">
        <f t="shared" si="71"/>
        <v>.</v>
      </c>
      <c r="O67" s="60" t="str">
        <f t="shared" si="71"/>
        <v>.</v>
      </c>
      <c r="P67" s="60" t="str">
        <f t="shared" si="71"/>
        <v>.</v>
      </c>
      <c r="Q67" s="60" t="str">
        <f t="shared" si="71"/>
        <v>.</v>
      </c>
      <c r="R67" s="60" t="str">
        <f t="shared" si="71"/>
        <v>.</v>
      </c>
      <c r="S67" s="60" t="str">
        <f t="shared" si="71"/>
        <v>.</v>
      </c>
      <c r="T67" s="60" t="str">
        <f t="shared" si="71"/>
        <v>.</v>
      </c>
      <c r="U67" s="60" t="str">
        <f t="shared" si="71"/>
        <v>.</v>
      </c>
      <c r="V67" s="60" t="str">
        <f t="shared" si="71"/>
        <v>.</v>
      </c>
      <c r="W67" s="60" t="str">
        <f t="shared" si="71"/>
        <v>.</v>
      </c>
      <c r="X67" s="60" t="str">
        <f t="shared" si="71"/>
        <v>.</v>
      </c>
      <c r="Y67" s="60" t="str">
        <f t="shared" si="71"/>
        <v>.</v>
      </c>
      <c r="Z67" s="60" t="str">
        <f t="shared" si="71"/>
        <v>.</v>
      </c>
      <c r="AA67" s="60" t="str">
        <f t="shared" si="71"/>
        <v>.</v>
      </c>
      <c r="AB67" s="60" t="str">
        <f t="shared" si="71"/>
        <v>.</v>
      </c>
      <c r="AC67" s="60" t="str">
        <f t="shared" si="71"/>
        <v>.</v>
      </c>
      <c r="AD67" s="60" t="str">
        <f t="shared" si="71"/>
        <v>.</v>
      </c>
      <c r="AE67" s="60" t="str">
        <f t="shared" si="71"/>
        <v>.</v>
      </c>
      <c r="AF67" s="60" t="str">
        <f t="shared" si="71"/>
        <v>.</v>
      </c>
      <c r="AG67" s="60" t="str">
        <f t="shared" si="71"/>
        <v>.</v>
      </c>
      <c r="AH67" s="60" t="str">
        <f t="shared" si="71"/>
        <v>.</v>
      </c>
      <c r="AI67" s="60" t="str">
        <f t="shared" ref="AI67:BB67" si="72">IFERROR(AI5/$B53,".")</f>
        <v>.</v>
      </c>
      <c r="AJ67" s="60" t="str">
        <f t="shared" si="72"/>
        <v>.</v>
      </c>
      <c r="AK67" s="60" t="str">
        <f t="shared" si="72"/>
        <v>.</v>
      </c>
      <c r="AL67" s="60" t="str">
        <f t="shared" si="72"/>
        <v>.</v>
      </c>
      <c r="AM67" s="60" t="str">
        <f t="shared" si="72"/>
        <v>.</v>
      </c>
      <c r="AN67" s="60" t="str">
        <f t="shared" si="72"/>
        <v>.</v>
      </c>
      <c r="AO67" s="60" t="str">
        <f t="shared" si="72"/>
        <v>.</v>
      </c>
      <c r="AP67" s="60" t="str">
        <f t="shared" si="72"/>
        <v>.</v>
      </c>
      <c r="AQ67" s="60" t="str">
        <f t="shared" si="72"/>
        <v>.</v>
      </c>
      <c r="AR67" s="60" t="str">
        <f t="shared" si="72"/>
        <v>.</v>
      </c>
      <c r="AS67" s="60" t="str">
        <f t="shared" si="72"/>
        <v>.</v>
      </c>
      <c r="AT67" s="60" t="str">
        <f t="shared" si="72"/>
        <v>.</v>
      </c>
      <c r="AU67" s="60" t="str">
        <f t="shared" si="72"/>
        <v>.</v>
      </c>
      <c r="AV67" s="60" t="str">
        <f t="shared" si="72"/>
        <v>.</v>
      </c>
      <c r="AW67" s="60" t="str">
        <f t="shared" si="72"/>
        <v>.</v>
      </c>
      <c r="AX67" s="60" t="str">
        <f t="shared" si="72"/>
        <v>.</v>
      </c>
      <c r="AY67" s="60" t="str">
        <f t="shared" si="72"/>
        <v>.</v>
      </c>
      <c r="AZ67" s="60" t="str">
        <f t="shared" si="72"/>
        <v>.</v>
      </c>
      <c r="BA67" s="60" t="str">
        <f t="shared" si="72"/>
        <v>.</v>
      </c>
      <c r="BB67" s="60" t="str">
        <f t="shared" si="72"/>
        <v>.</v>
      </c>
    </row>
    <row r="68" spans="1:54" x14ac:dyDescent="0.25">
      <c r="A68" s="182" t="s">
        <v>1075</v>
      </c>
      <c r="B68" s="183">
        <v>0.99999979999999999</v>
      </c>
      <c r="C68" s="60">
        <f t="shared" ref="C68:AH68" si="73">IFERROR(C9/$B54,".")</f>
        <v>537.09404136270973</v>
      </c>
      <c r="D68" s="60">
        <f t="shared" si="73"/>
        <v>9767.2196433294212</v>
      </c>
      <c r="E68" s="60">
        <f t="shared" si="73"/>
        <v>21354.70382096028</v>
      </c>
      <c r="F68" s="60">
        <f t="shared" si="73"/>
        <v>25750.229302914544</v>
      </c>
      <c r="G68" s="60">
        <f t="shared" si="73"/>
        <v>21962.288045888788</v>
      </c>
      <c r="H68" s="60">
        <f t="shared" si="73"/>
        <v>26941.798334464471</v>
      </c>
      <c r="I68" s="60">
        <f t="shared" si="73"/>
        <v>10517.498607259542</v>
      </c>
      <c r="J68" s="60">
        <f t="shared" si="73"/>
        <v>29656.765893919055</v>
      </c>
      <c r="K68" s="60">
        <f t="shared" si="73"/>
        <v>2532.0320773216249</v>
      </c>
      <c r="L68" s="60">
        <f t="shared" si="73"/>
        <v>13882.424602265246</v>
      </c>
      <c r="M68" s="60">
        <f t="shared" si="73"/>
        <v>10404.249579986536</v>
      </c>
      <c r="N68" s="60">
        <f t="shared" si="73"/>
        <v>23177.264621798848</v>
      </c>
      <c r="O68" s="60">
        <f t="shared" si="73"/>
        <v>22614.288462405588</v>
      </c>
      <c r="P68" s="60">
        <f t="shared" si="73"/>
        <v>28072.485735937542</v>
      </c>
      <c r="Q68" s="60">
        <f t="shared" si="73"/>
        <v>40071.072362920335</v>
      </c>
      <c r="R68" s="60">
        <f t="shared" si="73"/>
        <v>6270.500893967499</v>
      </c>
      <c r="S68" s="60">
        <f t="shared" si="73"/>
        <v>12794.972389983937</v>
      </c>
      <c r="T68" s="60">
        <f t="shared" si="73"/>
        <v>22317.573157194664</v>
      </c>
      <c r="U68" s="60">
        <f t="shared" si="73"/>
        <v>44216.119262477587</v>
      </c>
      <c r="V68" s="60">
        <f t="shared" si="73"/>
        <v>6564.0457853886819</v>
      </c>
      <c r="W68" s="60">
        <f t="shared" si="73"/>
        <v>13350.907659045788</v>
      </c>
      <c r="X68" s="60">
        <f t="shared" si="73"/>
        <v>14618.625639099533</v>
      </c>
      <c r="Y68" s="60">
        <f t="shared" si="73"/>
        <v>19097.386337508262</v>
      </c>
      <c r="Z68" s="60">
        <f t="shared" si="73"/>
        <v>10175.638172398596</v>
      </c>
      <c r="AA68" s="60">
        <f t="shared" si="73"/>
        <v>4425.6486220682846</v>
      </c>
      <c r="AB68" s="60">
        <f t="shared" si="73"/>
        <v>5075.7585362548443</v>
      </c>
      <c r="AC68" s="60">
        <f t="shared" si="73"/>
        <v>505.31249930833479</v>
      </c>
      <c r="AD68" s="60">
        <f t="shared" si="73"/>
        <v>8492.9781222454785</v>
      </c>
      <c r="AE68" s="60">
        <f t="shared" si="73"/>
        <v>20011.625710559216</v>
      </c>
      <c r="AF68" s="60">
        <f t="shared" si="73"/>
        <v>23809.137034294046</v>
      </c>
      <c r="AG68" s="60">
        <f t="shared" si="73"/>
        <v>21386.228031570397</v>
      </c>
      <c r="AH68" s="60">
        <f t="shared" si="73"/>
        <v>22897.722596645803</v>
      </c>
      <c r="AI68" s="60">
        <f t="shared" ref="AI68:BB68" si="74">IFERROR(AI9/$B54,".")</f>
        <v>10367.997435290697</v>
      </c>
      <c r="AJ68" s="60">
        <f t="shared" si="74"/>
        <v>31612.113990954811</v>
      </c>
      <c r="AK68" s="60">
        <f t="shared" si="74"/>
        <v>2462.1769245321739</v>
      </c>
      <c r="AL68" s="60">
        <f t="shared" si="74"/>
        <v>9628.7491136006774</v>
      </c>
      <c r="AM68" s="60">
        <f t="shared" si="74"/>
        <v>14619.337131267581</v>
      </c>
      <c r="AN68" s="60">
        <f t="shared" si="74"/>
        <v>21229.804191189418</v>
      </c>
      <c r="AO68" s="60">
        <f t="shared" si="74"/>
        <v>21943.922508296597</v>
      </c>
      <c r="AP68" s="60">
        <f t="shared" si="74"/>
        <v>26341.778358455889</v>
      </c>
      <c r="AQ68" s="60">
        <f t="shared" si="74"/>
        <v>29500.74180701311</v>
      </c>
      <c r="AR68" s="60">
        <f t="shared" si="74"/>
        <v>7009.8644048373053</v>
      </c>
      <c r="AS68" s="60">
        <f t="shared" si="74"/>
        <v>11431.085815802282</v>
      </c>
      <c r="AT68" s="60">
        <f t="shared" si="74"/>
        <v>23979.456612884154</v>
      </c>
      <c r="AU68" s="60">
        <f t="shared" si="74"/>
        <v>33152.286573276069</v>
      </c>
      <c r="AV68" s="60">
        <f t="shared" si="74"/>
        <v>5587.28673304932</v>
      </c>
      <c r="AW68" s="60">
        <f t="shared" si="74"/>
        <v>12560.434882942018</v>
      </c>
      <c r="AX68" s="60">
        <f t="shared" si="74"/>
        <v>13840.486273162871</v>
      </c>
      <c r="AY68" s="60">
        <f t="shared" si="74"/>
        <v>18579.357066595654</v>
      </c>
      <c r="AZ68" s="60">
        <f t="shared" si="74"/>
        <v>8255.330159184603</v>
      </c>
      <c r="BA68" s="60">
        <f t="shared" si="74"/>
        <v>3506.131310415783</v>
      </c>
      <c r="BB68" s="60">
        <f t="shared" si="74"/>
        <v>4046.0123029143861</v>
      </c>
    </row>
    <row r="69" spans="1:54" x14ac:dyDescent="0.25">
      <c r="A69" s="182" t="s">
        <v>1076</v>
      </c>
      <c r="B69" s="183">
        <v>1.9999999999999999E-7</v>
      </c>
      <c r="C69" s="60" t="str">
        <f t="shared" ref="C69:AH69" si="75">IFERROR(C24/$B55,".")</f>
        <v>.</v>
      </c>
      <c r="D69" s="60" t="str">
        <f t="shared" si="75"/>
        <v>.</v>
      </c>
      <c r="E69" s="60" t="str">
        <f t="shared" si="75"/>
        <v>.</v>
      </c>
      <c r="F69" s="60" t="str">
        <f t="shared" si="75"/>
        <v>.</v>
      </c>
      <c r="G69" s="60" t="str">
        <f t="shared" si="75"/>
        <v>.</v>
      </c>
      <c r="H69" s="60" t="str">
        <f t="shared" si="75"/>
        <v>.</v>
      </c>
      <c r="I69" s="60" t="str">
        <f t="shared" si="75"/>
        <v>.</v>
      </c>
      <c r="J69" s="60" t="str">
        <f t="shared" si="75"/>
        <v>.</v>
      </c>
      <c r="K69" s="60" t="str">
        <f t="shared" si="75"/>
        <v>.</v>
      </c>
      <c r="L69" s="60" t="str">
        <f t="shared" si="75"/>
        <v>.</v>
      </c>
      <c r="M69" s="60" t="str">
        <f t="shared" si="75"/>
        <v>.</v>
      </c>
      <c r="N69" s="60" t="str">
        <f t="shared" si="75"/>
        <v>.</v>
      </c>
      <c r="O69" s="60" t="str">
        <f t="shared" si="75"/>
        <v>.</v>
      </c>
      <c r="P69" s="60" t="str">
        <f t="shared" si="75"/>
        <v>.</v>
      </c>
      <c r="Q69" s="60" t="str">
        <f t="shared" si="75"/>
        <v>.</v>
      </c>
      <c r="R69" s="60" t="str">
        <f t="shared" si="75"/>
        <v>.</v>
      </c>
      <c r="S69" s="60" t="str">
        <f t="shared" si="75"/>
        <v>.</v>
      </c>
      <c r="T69" s="60" t="str">
        <f t="shared" si="75"/>
        <v>.</v>
      </c>
      <c r="U69" s="60" t="str">
        <f t="shared" si="75"/>
        <v>.</v>
      </c>
      <c r="V69" s="60" t="str">
        <f t="shared" si="75"/>
        <v>.</v>
      </c>
      <c r="W69" s="60" t="str">
        <f t="shared" si="75"/>
        <v>.</v>
      </c>
      <c r="X69" s="60" t="str">
        <f t="shared" si="75"/>
        <v>.</v>
      </c>
      <c r="Y69" s="60" t="str">
        <f t="shared" si="75"/>
        <v>.</v>
      </c>
      <c r="Z69" s="60" t="str">
        <f t="shared" si="75"/>
        <v>.</v>
      </c>
      <c r="AA69" s="60" t="str">
        <f t="shared" si="75"/>
        <v>.</v>
      </c>
      <c r="AB69" s="60" t="str">
        <f t="shared" si="75"/>
        <v>.</v>
      </c>
      <c r="AC69" s="60" t="str">
        <f t="shared" si="75"/>
        <v>.</v>
      </c>
      <c r="AD69" s="60" t="str">
        <f t="shared" si="75"/>
        <v>.</v>
      </c>
      <c r="AE69" s="60" t="str">
        <f t="shared" si="75"/>
        <v>.</v>
      </c>
      <c r="AF69" s="60" t="str">
        <f t="shared" si="75"/>
        <v>.</v>
      </c>
      <c r="AG69" s="60" t="str">
        <f t="shared" si="75"/>
        <v>.</v>
      </c>
      <c r="AH69" s="60" t="str">
        <f t="shared" si="75"/>
        <v>.</v>
      </c>
      <c r="AI69" s="60" t="str">
        <f t="shared" ref="AI69:BB69" si="76">IFERROR(AI24/$B55,".")</f>
        <v>.</v>
      </c>
      <c r="AJ69" s="60" t="str">
        <f t="shared" si="76"/>
        <v>.</v>
      </c>
      <c r="AK69" s="60" t="str">
        <f t="shared" si="76"/>
        <v>.</v>
      </c>
      <c r="AL69" s="60" t="str">
        <f t="shared" si="76"/>
        <v>.</v>
      </c>
      <c r="AM69" s="60" t="str">
        <f t="shared" si="76"/>
        <v>.</v>
      </c>
      <c r="AN69" s="60" t="str">
        <f t="shared" si="76"/>
        <v>.</v>
      </c>
      <c r="AO69" s="60" t="str">
        <f t="shared" si="76"/>
        <v>.</v>
      </c>
      <c r="AP69" s="60" t="str">
        <f t="shared" si="76"/>
        <v>.</v>
      </c>
      <c r="AQ69" s="60" t="str">
        <f t="shared" si="76"/>
        <v>.</v>
      </c>
      <c r="AR69" s="60" t="str">
        <f t="shared" si="76"/>
        <v>.</v>
      </c>
      <c r="AS69" s="60" t="str">
        <f t="shared" si="76"/>
        <v>.</v>
      </c>
      <c r="AT69" s="60" t="str">
        <f t="shared" si="76"/>
        <v>.</v>
      </c>
      <c r="AU69" s="60" t="str">
        <f t="shared" si="76"/>
        <v>.</v>
      </c>
      <c r="AV69" s="60" t="str">
        <f t="shared" si="76"/>
        <v>.</v>
      </c>
      <c r="AW69" s="60" t="str">
        <f t="shared" si="76"/>
        <v>.</v>
      </c>
      <c r="AX69" s="60" t="str">
        <f t="shared" si="76"/>
        <v>.</v>
      </c>
      <c r="AY69" s="60" t="str">
        <f t="shared" si="76"/>
        <v>.</v>
      </c>
      <c r="AZ69" s="60" t="str">
        <f t="shared" si="76"/>
        <v>.</v>
      </c>
      <c r="BA69" s="60" t="str">
        <f t="shared" si="76"/>
        <v>.</v>
      </c>
      <c r="BB69" s="60" t="str">
        <f t="shared" si="76"/>
        <v>.</v>
      </c>
    </row>
    <row r="70" spans="1:54" x14ac:dyDescent="0.25">
      <c r="A70" s="182" t="s">
        <v>1077</v>
      </c>
      <c r="B70" s="183">
        <v>0.99979000004200003</v>
      </c>
      <c r="C70" s="60" t="str">
        <f t="shared" ref="C70:AH70" si="77">IFERROR(C20/$B56,".")</f>
        <v>.</v>
      </c>
      <c r="D70" s="60" t="str">
        <f t="shared" si="77"/>
        <v>.</v>
      </c>
      <c r="E70" s="60" t="str">
        <f t="shared" si="77"/>
        <v>.</v>
      </c>
      <c r="F70" s="60" t="str">
        <f t="shared" si="77"/>
        <v>.</v>
      </c>
      <c r="G70" s="60" t="str">
        <f t="shared" si="77"/>
        <v>.</v>
      </c>
      <c r="H70" s="60" t="str">
        <f t="shared" si="77"/>
        <v>.</v>
      </c>
      <c r="I70" s="60" t="str">
        <f t="shared" si="77"/>
        <v>.</v>
      </c>
      <c r="J70" s="60" t="str">
        <f t="shared" si="77"/>
        <v>.</v>
      </c>
      <c r="K70" s="60" t="str">
        <f t="shared" si="77"/>
        <v>.</v>
      </c>
      <c r="L70" s="60" t="str">
        <f t="shared" si="77"/>
        <v>.</v>
      </c>
      <c r="M70" s="60" t="str">
        <f t="shared" si="77"/>
        <v>.</v>
      </c>
      <c r="N70" s="60" t="str">
        <f t="shared" si="77"/>
        <v>.</v>
      </c>
      <c r="O70" s="60" t="str">
        <f t="shared" si="77"/>
        <v>.</v>
      </c>
      <c r="P70" s="60" t="str">
        <f t="shared" si="77"/>
        <v>.</v>
      </c>
      <c r="Q70" s="60" t="str">
        <f t="shared" si="77"/>
        <v>.</v>
      </c>
      <c r="R70" s="60" t="str">
        <f t="shared" si="77"/>
        <v>.</v>
      </c>
      <c r="S70" s="60" t="str">
        <f t="shared" si="77"/>
        <v>.</v>
      </c>
      <c r="T70" s="60" t="str">
        <f t="shared" si="77"/>
        <v>.</v>
      </c>
      <c r="U70" s="60" t="str">
        <f t="shared" si="77"/>
        <v>.</v>
      </c>
      <c r="V70" s="60" t="str">
        <f t="shared" si="77"/>
        <v>.</v>
      </c>
      <c r="W70" s="60" t="str">
        <f t="shared" si="77"/>
        <v>.</v>
      </c>
      <c r="X70" s="60" t="str">
        <f t="shared" si="77"/>
        <v>.</v>
      </c>
      <c r="Y70" s="60" t="str">
        <f t="shared" si="77"/>
        <v>.</v>
      </c>
      <c r="Z70" s="60" t="str">
        <f t="shared" si="77"/>
        <v>.</v>
      </c>
      <c r="AA70" s="60" t="str">
        <f t="shared" si="77"/>
        <v>.</v>
      </c>
      <c r="AB70" s="60" t="str">
        <f t="shared" si="77"/>
        <v>.</v>
      </c>
      <c r="AC70" s="60" t="str">
        <f t="shared" si="77"/>
        <v>.</v>
      </c>
      <c r="AD70" s="60" t="str">
        <f t="shared" si="77"/>
        <v>.</v>
      </c>
      <c r="AE70" s="60" t="str">
        <f t="shared" si="77"/>
        <v>.</v>
      </c>
      <c r="AF70" s="60" t="str">
        <f t="shared" si="77"/>
        <v>.</v>
      </c>
      <c r="AG70" s="60" t="str">
        <f t="shared" si="77"/>
        <v>.</v>
      </c>
      <c r="AH70" s="60" t="str">
        <f t="shared" si="77"/>
        <v>.</v>
      </c>
      <c r="AI70" s="60" t="str">
        <f t="shared" ref="AI70:BB70" si="78">IFERROR(AI20/$B56,".")</f>
        <v>.</v>
      </c>
      <c r="AJ70" s="60" t="str">
        <f t="shared" si="78"/>
        <v>.</v>
      </c>
      <c r="AK70" s="60" t="str">
        <f t="shared" si="78"/>
        <v>.</v>
      </c>
      <c r="AL70" s="60" t="str">
        <f t="shared" si="78"/>
        <v>.</v>
      </c>
      <c r="AM70" s="60" t="str">
        <f t="shared" si="78"/>
        <v>.</v>
      </c>
      <c r="AN70" s="60" t="str">
        <f t="shared" si="78"/>
        <v>.</v>
      </c>
      <c r="AO70" s="60" t="str">
        <f t="shared" si="78"/>
        <v>.</v>
      </c>
      <c r="AP70" s="60" t="str">
        <f t="shared" si="78"/>
        <v>.</v>
      </c>
      <c r="AQ70" s="60" t="str">
        <f t="shared" si="78"/>
        <v>.</v>
      </c>
      <c r="AR70" s="60" t="str">
        <f t="shared" si="78"/>
        <v>.</v>
      </c>
      <c r="AS70" s="60" t="str">
        <f t="shared" si="78"/>
        <v>.</v>
      </c>
      <c r="AT70" s="60" t="str">
        <f t="shared" si="78"/>
        <v>.</v>
      </c>
      <c r="AU70" s="60" t="str">
        <f t="shared" si="78"/>
        <v>.</v>
      </c>
      <c r="AV70" s="60" t="str">
        <f t="shared" si="78"/>
        <v>.</v>
      </c>
      <c r="AW70" s="60" t="str">
        <f t="shared" si="78"/>
        <v>.</v>
      </c>
      <c r="AX70" s="60" t="str">
        <f t="shared" si="78"/>
        <v>.</v>
      </c>
      <c r="AY70" s="60" t="str">
        <f t="shared" si="78"/>
        <v>.</v>
      </c>
      <c r="AZ70" s="60" t="str">
        <f t="shared" si="78"/>
        <v>.</v>
      </c>
      <c r="BA70" s="60" t="str">
        <f t="shared" si="78"/>
        <v>.</v>
      </c>
      <c r="BB70" s="60" t="str">
        <f t="shared" si="78"/>
        <v>.</v>
      </c>
    </row>
    <row r="71" spans="1:54" x14ac:dyDescent="0.25">
      <c r="A71" s="182" t="s">
        <v>1078</v>
      </c>
      <c r="B71" s="183">
        <v>2.0999995799999999E-4</v>
      </c>
      <c r="C71" s="60" t="str">
        <f t="shared" ref="C71:AH71" si="79">IFERROR(C29/$B57,".")</f>
        <v>.</v>
      </c>
      <c r="D71" s="60" t="str">
        <f t="shared" si="79"/>
        <v>.</v>
      </c>
      <c r="E71" s="60" t="str">
        <f t="shared" si="79"/>
        <v>.</v>
      </c>
      <c r="F71" s="60" t="str">
        <f t="shared" si="79"/>
        <v>.</v>
      </c>
      <c r="G71" s="60" t="str">
        <f t="shared" si="79"/>
        <v>.</v>
      </c>
      <c r="H71" s="60" t="str">
        <f t="shared" si="79"/>
        <v>.</v>
      </c>
      <c r="I71" s="60" t="str">
        <f t="shared" si="79"/>
        <v>.</v>
      </c>
      <c r="J71" s="60" t="str">
        <f t="shared" si="79"/>
        <v>.</v>
      </c>
      <c r="K71" s="60" t="str">
        <f t="shared" si="79"/>
        <v>.</v>
      </c>
      <c r="L71" s="60" t="str">
        <f t="shared" si="79"/>
        <v>.</v>
      </c>
      <c r="M71" s="60" t="str">
        <f t="shared" si="79"/>
        <v>.</v>
      </c>
      <c r="N71" s="60" t="str">
        <f t="shared" si="79"/>
        <v>.</v>
      </c>
      <c r="O71" s="60" t="str">
        <f t="shared" si="79"/>
        <v>.</v>
      </c>
      <c r="P71" s="60" t="str">
        <f t="shared" si="79"/>
        <v>.</v>
      </c>
      <c r="Q71" s="60" t="str">
        <f t="shared" si="79"/>
        <v>.</v>
      </c>
      <c r="R71" s="60" t="str">
        <f t="shared" si="79"/>
        <v>.</v>
      </c>
      <c r="S71" s="60" t="str">
        <f t="shared" si="79"/>
        <v>.</v>
      </c>
      <c r="T71" s="60" t="str">
        <f t="shared" si="79"/>
        <v>.</v>
      </c>
      <c r="U71" s="60" t="str">
        <f t="shared" si="79"/>
        <v>.</v>
      </c>
      <c r="V71" s="60" t="str">
        <f t="shared" si="79"/>
        <v>.</v>
      </c>
      <c r="W71" s="60" t="str">
        <f t="shared" si="79"/>
        <v>.</v>
      </c>
      <c r="X71" s="60" t="str">
        <f t="shared" si="79"/>
        <v>.</v>
      </c>
      <c r="Y71" s="60" t="str">
        <f t="shared" si="79"/>
        <v>.</v>
      </c>
      <c r="Z71" s="60" t="str">
        <f t="shared" si="79"/>
        <v>.</v>
      </c>
      <c r="AA71" s="60" t="str">
        <f t="shared" si="79"/>
        <v>.</v>
      </c>
      <c r="AB71" s="60" t="str">
        <f t="shared" si="79"/>
        <v>.</v>
      </c>
      <c r="AC71" s="60" t="str">
        <f t="shared" si="79"/>
        <v>.</v>
      </c>
      <c r="AD71" s="60" t="str">
        <f t="shared" si="79"/>
        <v>.</v>
      </c>
      <c r="AE71" s="60" t="str">
        <f t="shared" si="79"/>
        <v>.</v>
      </c>
      <c r="AF71" s="60" t="str">
        <f t="shared" si="79"/>
        <v>.</v>
      </c>
      <c r="AG71" s="60" t="str">
        <f t="shared" si="79"/>
        <v>.</v>
      </c>
      <c r="AH71" s="60" t="str">
        <f t="shared" si="79"/>
        <v>.</v>
      </c>
      <c r="AI71" s="60" t="str">
        <f t="shared" ref="AI71:BB71" si="80">IFERROR(AI29/$B57,".")</f>
        <v>.</v>
      </c>
      <c r="AJ71" s="60" t="str">
        <f t="shared" si="80"/>
        <v>.</v>
      </c>
      <c r="AK71" s="60" t="str">
        <f t="shared" si="80"/>
        <v>.</v>
      </c>
      <c r="AL71" s="60" t="str">
        <f t="shared" si="80"/>
        <v>.</v>
      </c>
      <c r="AM71" s="60" t="str">
        <f t="shared" si="80"/>
        <v>.</v>
      </c>
      <c r="AN71" s="60" t="str">
        <f t="shared" si="80"/>
        <v>.</v>
      </c>
      <c r="AO71" s="60" t="str">
        <f t="shared" si="80"/>
        <v>.</v>
      </c>
      <c r="AP71" s="60" t="str">
        <f t="shared" si="80"/>
        <v>.</v>
      </c>
      <c r="AQ71" s="60" t="str">
        <f t="shared" si="80"/>
        <v>.</v>
      </c>
      <c r="AR71" s="60" t="str">
        <f t="shared" si="80"/>
        <v>.</v>
      </c>
      <c r="AS71" s="60" t="str">
        <f t="shared" si="80"/>
        <v>.</v>
      </c>
      <c r="AT71" s="60" t="str">
        <f t="shared" si="80"/>
        <v>.</v>
      </c>
      <c r="AU71" s="60" t="str">
        <f t="shared" si="80"/>
        <v>.</v>
      </c>
      <c r="AV71" s="60" t="str">
        <f t="shared" si="80"/>
        <v>.</v>
      </c>
      <c r="AW71" s="60" t="str">
        <f t="shared" si="80"/>
        <v>.</v>
      </c>
      <c r="AX71" s="60" t="str">
        <f t="shared" si="80"/>
        <v>.</v>
      </c>
      <c r="AY71" s="60" t="str">
        <f t="shared" si="80"/>
        <v>.</v>
      </c>
      <c r="AZ71" s="60" t="str">
        <f t="shared" si="80"/>
        <v>.</v>
      </c>
      <c r="BA71" s="60" t="str">
        <f t="shared" si="80"/>
        <v>.</v>
      </c>
      <c r="BB71" s="60" t="str">
        <f t="shared" si="80"/>
        <v>.</v>
      </c>
    </row>
    <row r="72" spans="1:54" x14ac:dyDescent="0.25">
      <c r="A72" s="182" t="s">
        <v>1079</v>
      </c>
      <c r="B72" s="183">
        <v>1</v>
      </c>
      <c r="C72" s="60">
        <f t="shared" ref="C72:AH72" si="81">IFERROR(C16/$B58,".")</f>
        <v>0.13319710988816033</v>
      </c>
      <c r="D72" s="60">
        <f t="shared" si="81"/>
        <v>2.5727252207033535</v>
      </c>
      <c r="E72" s="60">
        <f t="shared" si="81"/>
        <v>3.4623058068421417</v>
      </c>
      <c r="F72" s="60">
        <f t="shared" si="81"/>
        <v>6.4935075135232294</v>
      </c>
      <c r="G72" s="60">
        <f t="shared" si="81"/>
        <v>5.7848176766001203</v>
      </c>
      <c r="H72" s="60">
        <f t="shared" si="81"/>
        <v>6.7728490977974278</v>
      </c>
      <c r="I72" s="60">
        <f t="shared" si="81"/>
        <v>1.7052112586334789</v>
      </c>
      <c r="J72" s="60">
        <f t="shared" si="81"/>
        <v>7.479732452980798</v>
      </c>
      <c r="K72" s="60">
        <f t="shared" si="81"/>
        <v>0.66695545985822424</v>
      </c>
      <c r="L72" s="60">
        <f t="shared" si="81"/>
        <v>3.9686098600821809</v>
      </c>
      <c r="M72" s="60">
        <f t="shared" si="81"/>
        <v>2.6245938675637119</v>
      </c>
      <c r="N72" s="60">
        <f t="shared" si="81"/>
        <v>3.7322448784070725</v>
      </c>
      <c r="O72" s="60">
        <f t="shared" si="81"/>
        <v>6.1211528168185563</v>
      </c>
      <c r="P72" s="60">
        <f t="shared" si="81"/>
        <v>7.0805941689878669</v>
      </c>
      <c r="Q72" s="60">
        <f t="shared" si="81"/>
        <v>10.10632452138462</v>
      </c>
      <c r="R72" s="60">
        <f t="shared" si="81"/>
        <v>1.6517409966670398</v>
      </c>
      <c r="S72" s="60">
        <f t="shared" si="81"/>
        <v>3.3702475594880523</v>
      </c>
      <c r="T72" s="60">
        <f t="shared" si="81"/>
        <v>6.1354167584899768</v>
      </c>
      <c r="U72" s="60">
        <f t="shared" si="81"/>
        <v>11.068108521702703</v>
      </c>
      <c r="V72" s="60">
        <f t="shared" si="81"/>
        <v>1.870474017852144</v>
      </c>
      <c r="W72" s="60">
        <f t="shared" si="81"/>
        <v>3.367704710659071</v>
      </c>
      <c r="X72" s="60">
        <f t="shared" si="81"/>
        <v>3.937921679379254</v>
      </c>
      <c r="Y72" s="60">
        <f t="shared" si="81"/>
        <v>5.031929703550289</v>
      </c>
      <c r="Z72" s="60">
        <f t="shared" si="81"/>
        <v>2.5511719025535684</v>
      </c>
      <c r="AA72" s="60">
        <f t="shared" si="81"/>
        <v>0.82952469188821498</v>
      </c>
      <c r="AB72" s="60">
        <f t="shared" si="81"/>
        <v>0.92330088677810751</v>
      </c>
      <c r="AC72" s="60">
        <f t="shared" si="81"/>
        <v>0.12561713078062087</v>
      </c>
      <c r="AD72" s="60">
        <f t="shared" si="81"/>
        <v>2.2370848421439367</v>
      </c>
      <c r="AE72" s="60">
        <f t="shared" si="81"/>
        <v>3.2445482963811476</v>
      </c>
      <c r="AF72" s="60">
        <f t="shared" si="81"/>
        <v>6.00401683433528</v>
      </c>
      <c r="AG72" s="60">
        <f t="shared" si="81"/>
        <v>5.6330847539351998</v>
      </c>
      <c r="AH72" s="60">
        <f t="shared" si="81"/>
        <v>5.7562163410570619</v>
      </c>
      <c r="AI72" s="60">
        <f t="shared" ref="AI72:BB72" si="82">IFERROR(AI16/$B58,".")</f>
        <v>1.6809725027144418</v>
      </c>
      <c r="AJ72" s="60">
        <f t="shared" si="82"/>
        <v>7.9728907653398506</v>
      </c>
      <c r="AK72" s="60">
        <f t="shared" si="82"/>
        <v>0.64855511020647794</v>
      </c>
      <c r="AL72" s="60">
        <f t="shared" si="82"/>
        <v>2.7525990428399587</v>
      </c>
      <c r="AM72" s="60">
        <f t="shared" si="82"/>
        <v>3.6878990923457846</v>
      </c>
      <c r="AN72" s="60">
        <f t="shared" si="82"/>
        <v>3.4186444886869523</v>
      </c>
      <c r="AO72" s="60">
        <f t="shared" si="82"/>
        <v>5.9397006143707509</v>
      </c>
      <c r="AP72" s="60">
        <f t="shared" si="82"/>
        <v>6.6440657945328345</v>
      </c>
      <c r="AQ72" s="60">
        <f t="shared" si="82"/>
        <v>7.4403816205113555</v>
      </c>
      <c r="AR72" s="60">
        <f t="shared" si="82"/>
        <v>1.8465000825828426</v>
      </c>
      <c r="AS72" s="60">
        <f t="shared" si="82"/>
        <v>3.0109943107938584</v>
      </c>
      <c r="AT72" s="60">
        <f t="shared" si="82"/>
        <v>6.5922920438481212</v>
      </c>
      <c r="AU72" s="60">
        <f t="shared" si="82"/>
        <v>8.2986275515814363</v>
      </c>
      <c r="AV72" s="60">
        <f t="shared" si="82"/>
        <v>1.5921392089802289</v>
      </c>
      <c r="AW72" s="60">
        <f t="shared" si="82"/>
        <v>3.1683116087280014</v>
      </c>
      <c r="AX72" s="60">
        <f t="shared" si="82"/>
        <v>3.7283088228529437</v>
      </c>
      <c r="AY72" s="60">
        <f t="shared" si="82"/>
        <v>4.8954352728703174</v>
      </c>
      <c r="AZ72" s="60">
        <f t="shared" si="82"/>
        <v>2.0697243741962188</v>
      </c>
      <c r="BA72" s="60">
        <f t="shared" si="82"/>
        <v>0.65717429090270885</v>
      </c>
      <c r="BB72" s="60">
        <f t="shared" si="82"/>
        <v>0.73598590644391992</v>
      </c>
    </row>
    <row r="73" spans="1:54" x14ac:dyDescent="0.25">
      <c r="A73" s="182" t="s">
        <v>1080</v>
      </c>
      <c r="B73" s="183">
        <v>1</v>
      </c>
      <c r="C73" s="60">
        <f t="shared" ref="C73:AH73" si="83">IFERROR(C7/$B59,".")</f>
        <v>44.459442309800728</v>
      </c>
      <c r="D73" s="60">
        <f t="shared" si="83"/>
        <v>808.50857544052133</v>
      </c>
      <c r="E73" s="60">
        <f t="shared" si="83"/>
        <v>1767.6945738627269</v>
      </c>
      <c r="F73" s="60">
        <f t="shared" si="83"/>
        <v>2131.5463326541303</v>
      </c>
      <c r="G73" s="60">
        <f t="shared" si="83"/>
        <v>1817.9890357562479</v>
      </c>
      <c r="H73" s="60">
        <f t="shared" si="83"/>
        <v>2230.1817494275647</v>
      </c>
      <c r="I73" s="60">
        <f t="shared" si="83"/>
        <v>870.6149883667855</v>
      </c>
      <c r="J73" s="60">
        <f t="shared" si="83"/>
        <v>2454.9206857901754</v>
      </c>
      <c r="K73" s="60">
        <f t="shared" si="83"/>
        <v>209.59594670353678</v>
      </c>
      <c r="L73" s="60">
        <f t="shared" si="83"/>
        <v>1149.1560289118158</v>
      </c>
      <c r="M73" s="60">
        <f t="shared" si="83"/>
        <v>861.24048742853142</v>
      </c>
      <c r="N73" s="60">
        <f t="shared" si="83"/>
        <v>1918.5620766475238</v>
      </c>
      <c r="O73" s="60">
        <f t="shared" si="83"/>
        <v>1871.9601705514644</v>
      </c>
      <c r="P73" s="60">
        <f t="shared" si="83"/>
        <v>2323.7775211636776</v>
      </c>
      <c r="Q73" s="60">
        <f t="shared" si="83"/>
        <v>3316.9936599762077</v>
      </c>
      <c r="R73" s="60">
        <f t="shared" si="83"/>
        <v>519.05802574457266</v>
      </c>
      <c r="S73" s="60">
        <f t="shared" si="83"/>
        <v>1059.1391693430164</v>
      </c>
      <c r="T73" s="60">
        <f t="shared" si="83"/>
        <v>1847.3987418657357</v>
      </c>
      <c r="U73" s="60">
        <f t="shared" si="83"/>
        <v>3660.1113624826703</v>
      </c>
      <c r="V73" s="60">
        <f t="shared" si="83"/>
        <v>543.35701467463844</v>
      </c>
      <c r="W73" s="60">
        <f t="shared" si="83"/>
        <v>1105.1582463004302</v>
      </c>
      <c r="X73" s="60">
        <f t="shared" si="83"/>
        <v>1210.0971025504371</v>
      </c>
      <c r="Y73" s="60">
        <f t="shared" si="83"/>
        <v>1580.8388862147876</v>
      </c>
      <c r="Z73" s="60">
        <f t="shared" si="83"/>
        <v>842.31654691854067</v>
      </c>
      <c r="AA73" s="60">
        <f t="shared" si="83"/>
        <v>366.3452848910253</v>
      </c>
      <c r="AB73" s="60">
        <f t="shared" si="83"/>
        <v>420.15992813575963</v>
      </c>
      <c r="AC73" s="60">
        <f t="shared" si="83"/>
        <v>41.828637410349664</v>
      </c>
      <c r="AD73" s="60">
        <f t="shared" si="83"/>
        <v>703.02971506879362</v>
      </c>
      <c r="AE73" s="60">
        <f t="shared" si="83"/>
        <v>1656.5175747371541</v>
      </c>
      <c r="AF73" s="60">
        <f t="shared" si="83"/>
        <v>1970.8670603319608</v>
      </c>
      <c r="AG73" s="60">
        <f t="shared" si="83"/>
        <v>1770.3040774413303</v>
      </c>
      <c r="AH73" s="60">
        <f t="shared" si="83"/>
        <v>1895.4222136378287</v>
      </c>
      <c r="AI73" s="60">
        <f t="shared" ref="AI73:BB73" si="84">IFERROR(AI7/$B59,".")</f>
        <v>858.23961605110571</v>
      </c>
      <c r="AJ73" s="60">
        <f t="shared" si="84"/>
        <v>2616.7800236729281</v>
      </c>
      <c r="AK73" s="60">
        <f t="shared" si="84"/>
        <v>203.81349354578975</v>
      </c>
      <c r="AL73" s="60">
        <f t="shared" si="84"/>
        <v>797.04629499432087</v>
      </c>
      <c r="AM73" s="60">
        <f t="shared" si="84"/>
        <v>1210.1559982792348</v>
      </c>
      <c r="AN73" s="60">
        <f t="shared" si="84"/>
        <v>1757.3556621328105</v>
      </c>
      <c r="AO73" s="60">
        <f t="shared" si="84"/>
        <v>1816.4687776707233</v>
      </c>
      <c r="AP73" s="60">
        <f t="shared" si="84"/>
        <v>2180.5134391249626</v>
      </c>
      <c r="AQ73" s="60">
        <f t="shared" si="84"/>
        <v>2442.0053611793605</v>
      </c>
      <c r="AR73" s="60">
        <f t="shared" si="84"/>
        <v>580.26088190377743</v>
      </c>
      <c r="AS73" s="60">
        <f t="shared" si="84"/>
        <v>946.23969217121271</v>
      </c>
      <c r="AT73" s="60">
        <f t="shared" si="84"/>
        <v>1984.9657337399619</v>
      </c>
      <c r="AU73" s="60">
        <f t="shared" si="84"/>
        <v>2744.2720619333313</v>
      </c>
      <c r="AV73" s="60">
        <f t="shared" si="84"/>
        <v>462.50308706844669</v>
      </c>
      <c r="AW73" s="60">
        <f t="shared" si="84"/>
        <v>1039.7246795874451</v>
      </c>
      <c r="AX73" s="60">
        <f t="shared" si="84"/>
        <v>1145.6844679193207</v>
      </c>
      <c r="AY73" s="60">
        <f t="shared" si="84"/>
        <v>1537.9575829210619</v>
      </c>
      <c r="AZ73" s="60">
        <f t="shared" si="84"/>
        <v>683.35774872759293</v>
      </c>
      <c r="BA73" s="60">
        <f t="shared" si="84"/>
        <v>290.22970042735477</v>
      </c>
      <c r="BB73" s="60">
        <f t="shared" si="84"/>
        <v>334.9198403128205</v>
      </c>
    </row>
    <row r="74" spans="1:54" x14ac:dyDescent="0.25">
      <c r="A74" s="182" t="s">
        <v>1081</v>
      </c>
      <c r="B74" s="186">
        <v>1.9000000000000001E-8</v>
      </c>
      <c r="C74" s="60" t="str">
        <f t="shared" ref="C74:AH74" si="85">IFERROR(C12/$B60,".")</f>
        <v>.</v>
      </c>
      <c r="D74" s="60" t="str">
        <f t="shared" si="85"/>
        <v>.</v>
      </c>
      <c r="E74" s="60" t="str">
        <f t="shared" si="85"/>
        <v>.</v>
      </c>
      <c r="F74" s="60" t="str">
        <f t="shared" si="85"/>
        <v>.</v>
      </c>
      <c r="G74" s="60" t="str">
        <f t="shared" si="85"/>
        <v>.</v>
      </c>
      <c r="H74" s="60" t="str">
        <f t="shared" si="85"/>
        <v>.</v>
      </c>
      <c r="I74" s="60" t="str">
        <f t="shared" si="85"/>
        <v>.</v>
      </c>
      <c r="J74" s="60" t="str">
        <f t="shared" si="85"/>
        <v>.</v>
      </c>
      <c r="K74" s="60" t="str">
        <f t="shared" si="85"/>
        <v>.</v>
      </c>
      <c r="L74" s="60" t="str">
        <f t="shared" si="85"/>
        <v>.</v>
      </c>
      <c r="M74" s="60" t="str">
        <f t="shared" si="85"/>
        <v>.</v>
      </c>
      <c r="N74" s="60" t="str">
        <f t="shared" si="85"/>
        <v>.</v>
      </c>
      <c r="O74" s="60" t="str">
        <f t="shared" si="85"/>
        <v>.</v>
      </c>
      <c r="P74" s="60" t="str">
        <f t="shared" si="85"/>
        <v>.</v>
      </c>
      <c r="Q74" s="60" t="str">
        <f t="shared" si="85"/>
        <v>.</v>
      </c>
      <c r="R74" s="60" t="str">
        <f t="shared" si="85"/>
        <v>.</v>
      </c>
      <c r="S74" s="60" t="str">
        <f t="shared" si="85"/>
        <v>.</v>
      </c>
      <c r="T74" s="60" t="str">
        <f t="shared" si="85"/>
        <v>.</v>
      </c>
      <c r="U74" s="60" t="str">
        <f t="shared" si="85"/>
        <v>.</v>
      </c>
      <c r="V74" s="60" t="str">
        <f t="shared" si="85"/>
        <v>.</v>
      </c>
      <c r="W74" s="60" t="str">
        <f t="shared" si="85"/>
        <v>.</v>
      </c>
      <c r="X74" s="60" t="str">
        <f t="shared" si="85"/>
        <v>.</v>
      </c>
      <c r="Y74" s="60" t="str">
        <f t="shared" si="85"/>
        <v>.</v>
      </c>
      <c r="Z74" s="60" t="str">
        <f t="shared" si="85"/>
        <v>.</v>
      </c>
      <c r="AA74" s="60" t="str">
        <f t="shared" si="85"/>
        <v>.</v>
      </c>
      <c r="AB74" s="60" t="str">
        <f t="shared" si="85"/>
        <v>.</v>
      </c>
      <c r="AC74" s="60" t="str">
        <f t="shared" si="85"/>
        <v>.</v>
      </c>
      <c r="AD74" s="60" t="str">
        <f t="shared" si="85"/>
        <v>.</v>
      </c>
      <c r="AE74" s="60" t="str">
        <f t="shared" si="85"/>
        <v>.</v>
      </c>
      <c r="AF74" s="60" t="str">
        <f t="shared" si="85"/>
        <v>.</v>
      </c>
      <c r="AG74" s="60" t="str">
        <f t="shared" si="85"/>
        <v>.</v>
      </c>
      <c r="AH74" s="60" t="str">
        <f t="shared" si="85"/>
        <v>.</v>
      </c>
      <c r="AI74" s="60" t="str">
        <f t="shared" ref="AI74:BB74" si="86">IFERROR(AI12/$B60,".")</f>
        <v>.</v>
      </c>
      <c r="AJ74" s="60" t="str">
        <f t="shared" si="86"/>
        <v>.</v>
      </c>
      <c r="AK74" s="60" t="str">
        <f t="shared" si="86"/>
        <v>.</v>
      </c>
      <c r="AL74" s="60" t="str">
        <f t="shared" si="86"/>
        <v>.</v>
      </c>
      <c r="AM74" s="60" t="str">
        <f t="shared" si="86"/>
        <v>.</v>
      </c>
      <c r="AN74" s="60" t="str">
        <f t="shared" si="86"/>
        <v>.</v>
      </c>
      <c r="AO74" s="60" t="str">
        <f t="shared" si="86"/>
        <v>.</v>
      </c>
      <c r="AP74" s="60" t="str">
        <f t="shared" si="86"/>
        <v>.</v>
      </c>
      <c r="AQ74" s="60" t="str">
        <f t="shared" si="86"/>
        <v>.</v>
      </c>
      <c r="AR74" s="60" t="str">
        <f t="shared" si="86"/>
        <v>.</v>
      </c>
      <c r="AS74" s="60" t="str">
        <f t="shared" si="86"/>
        <v>.</v>
      </c>
      <c r="AT74" s="60" t="str">
        <f t="shared" si="86"/>
        <v>.</v>
      </c>
      <c r="AU74" s="60" t="str">
        <f t="shared" si="86"/>
        <v>.</v>
      </c>
      <c r="AV74" s="60" t="str">
        <f t="shared" si="86"/>
        <v>.</v>
      </c>
      <c r="AW74" s="60" t="str">
        <f t="shared" si="86"/>
        <v>.</v>
      </c>
      <c r="AX74" s="60" t="str">
        <f t="shared" si="86"/>
        <v>.</v>
      </c>
      <c r="AY74" s="60" t="str">
        <f t="shared" si="86"/>
        <v>.</v>
      </c>
      <c r="AZ74" s="60" t="str">
        <f t="shared" si="86"/>
        <v>.</v>
      </c>
      <c r="BA74" s="60" t="str">
        <f t="shared" si="86"/>
        <v>.</v>
      </c>
      <c r="BB74" s="60" t="str">
        <f t="shared" si="86"/>
        <v>.</v>
      </c>
    </row>
    <row r="75" spans="1:54" x14ac:dyDescent="0.25">
      <c r="A75" s="182" t="s">
        <v>1082</v>
      </c>
      <c r="B75" s="183">
        <v>1</v>
      </c>
      <c r="C75" s="60">
        <f t="shared" ref="C75:AH75" si="87">IFERROR(C18/$B61,".")</f>
        <v>8.9024726383206576E-2</v>
      </c>
      <c r="D75" s="60">
        <f t="shared" si="87"/>
        <v>1.6432430358911159</v>
      </c>
      <c r="E75" s="60">
        <f t="shared" si="87"/>
        <v>3.3575387199949653</v>
      </c>
      <c r="F75" s="60">
        <f t="shared" si="87"/>
        <v>4.107691014433188</v>
      </c>
      <c r="G75" s="60">
        <f t="shared" si="87"/>
        <v>3.6948417604397421</v>
      </c>
      <c r="H75" s="60">
        <f t="shared" si="87"/>
        <v>4.5142481623687072</v>
      </c>
      <c r="I75" s="60">
        <f t="shared" si="87"/>
        <v>1.6534559052554345</v>
      </c>
      <c r="J75" s="60">
        <f t="shared" si="87"/>
        <v>4.731702916738648</v>
      </c>
      <c r="K75" s="60">
        <f t="shared" si="87"/>
        <v>0.4259968060180489</v>
      </c>
      <c r="L75" s="60">
        <f t="shared" si="87"/>
        <v>2.334843428659866</v>
      </c>
      <c r="M75" s="60">
        <f t="shared" si="87"/>
        <v>1.7514331296139338</v>
      </c>
      <c r="N75" s="60">
        <f t="shared" si="87"/>
        <v>3.4614937652191635</v>
      </c>
      <c r="O75" s="60">
        <f t="shared" si="87"/>
        <v>3.7370640473096084</v>
      </c>
      <c r="P75" s="60">
        <f t="shared" si="87"/>
        <v>4.7247587170039491</v>
      </c>
      <c r="Q75" s="60">
        <f t="shared" si="87"/>
        <v>6.3932935457184437</v>
      </c>
      <c r="R75" s="60">
        <f t="shared" si="87"/>
        <v>1.0550038861633573</v>
      </c>
      <c r="S75" s="60">
        <f t="shared" si="87"/>
        <v>2.1526340188960047</v>
      </c>
      <c r="T75" s="60">
        <f t="shared" si="87"/>
        <v>3.7518279469944025</v>
      </c>
      <c r="U75" s="60">
        <f t="shared" si="87"/>
        <v>7.3663889912083578</v>
      </c>
      <c r="V75" s="60">
        <f t="shared" si="87"/>
        <v>1.0777364446974305</v>
      </c>
      <c r="W75" s="60">
        <f t="shared" si="87"/>
        <v>2.2472726672380081</v>
      </c>
      <c r="X75" s="60">
        <f t="shared" si="87"/>
        <v>2.4029765335840141</v>
      </c>
      <c r="Y75" s="60">
        <f t="shared" si="87"/>
        <v>3.2141985365629333</v>
      </c>
      <c r="Z75" s="60">
        <f t="shared" si="87"/>
        <v>1.6988486279444051</v>
      </c>
      <c r="AA75" s="60">
        <f t="shared" si="87"/>
        <v>0.46665339656676674</v>
      </c>
      <c r="AB75" s="60">
        <f t="shared" si="87"/>
        <v>0.5545965021961371</v>
      </c>
      <c r="AC75" s="60">
        <f t="shared" si="87"/>
        <v>8.372866545483662E-2</v>
      </c>
      <c r="AD75" s="60">
        <f t="shared" si="87"/>
        <v>1.4288638592136955</v>
      </c>
      <c r="AE75" s="60">
        <f t="shared" si="87"/>
        <v>3.1463704079707497</v>
      </c>
      <c r="AF75" s="60">
        <f t="shared" si="87"/>
        <v>3.7980468875323194</v>
      </c>
      <c r="AG75" s="60">
        <f t="shared" si="87"/>
        <v>3.5979278781987003</v>
      </c>
      <c r="AH75" s="60">
        <f t="shared" si="87"/>
        <v>3.8366407791757897</v>
      </c>
      <c r="AI75" s="60">
        <f t="shared" ref="AI75:BB75" si="88">IFERROR(AI18/$B61,".")</f>
        <v>1.6299528267321934</v>
      </c>
      <c r="AJ75" s="60">
        <f t="shared" si="88"/>
        <v>5.0436764585293448</v>
      </c>
      <c r="AK75" s="60">
        <f t="shared" si="88"/>
        <v>0.41424416187157864</v>
      </c>
      <c r="AL75" s="60">
        <f t="shared" si="88"/>
        <v>1.6194304840983356</v>
      </c>
      <c r="AM75" s="60">
        <f t="shared" si="88"/>
        <v>2.4609935765045634</v>
      </c>
      <c r="AN75" s="60">
        <f t="shared" si="88"/>
        <v>3.170643129970975</v>
      </c>
      <c r="AO75" s="60">
        <f t="shared" si="88"/>
        <v>3.6262845058791635</v>
      </c>
      <c r="AP75" s="60">
        <f t="shared" si="88"/>
        <v>4.4334708401391181</v>
      </c>
      <c r="AQ75" s="60">
        <f t="shared" si="88"/>
        <v>4.7068094529761106</v>
      </c>
      <c r="AR75" s="60">
        <f t="shared" si="88"/>
        <v>1.1794008666351172</v>
      </c>
      <c r="AS75" s="60">
        <f t="shared" si="88"/>
        <v>1.9231729033880689</v>
      </c>
      <c r="AT75" s="60">
        <f t="shared" si="88"/>
        <v>4.0312087179136373</v>
      </c>
      <c r="AU75" s="60">
        <f t="shared" si="88"/>
        <v>5.5231585883207028</v>
      </c>
      <c r="AV75" s="60">
        <f t="shared" si="88"/>
        <v>0.91736449379826057</v>
      </c>
      <c r="AW75" s="60">
        <f t="shared" si="88"/>
        <v>2.1142174541169614</v>
      </c>
      <c r="AX75" s="60">
        <f t="shared" si="88"/>
        <v>2.2750677491082305</v>
      </c>
      <c r="AY75" s="60">
        <f t="shared" si="88"/>
        <v>3.1270112694135102</v>
      </c>
      <c r="AZ75" s="60">
        <f t="shared" si="88"/>
        <v>1.3782483296428936</v>
      </c>
      <c r="BA75" s="60">
        <f t="shared" si="88"/>
        <v>0.36969678899857528</v>
      </c>
      <c r="BB75" s="60">
        <f t="shared" si="88"/>
        <v>0.4420825488468812</v>
      </c>
    </row>
    <row r="76" spans="1:54" x14ac:dyDescent="0.25">
      <c r="A76" s="182" t="s">
        <v>1083</v>
      </c>
      <c r="B76" s="183">
        <v>1.339E-6</v>
      </c>
      <c r="C76" s="60" t="str">
        <f t="shared" ref="C76:AH76" si="89">IFERROR(C27/$B62,".")</f>
        <v>.</v>
      </c>
      <c r="D76" s="60" t="str">
        <f t="shared" si="89"/>
        <v>.</v>
      </c>
      <c r="E76" s="60" t="str">
        <f t="shared" si="89"/>
        <v>.</v>
      </c>
      <c r="F76" s="60" t="str">
        <f t="shared" si="89"/>
        <v>.</v>
      </c>
      <c r="G76" s="60" t="str">
        <f t="shared" si="89"/>
        <v>.</v>
      </c>
      <c r="H76" s="60" t="str">
        <f t="shared" si="89"/>
        <v>.</v>
      </c>
      <c r="I76" s="60" t="str">
        <f t="shared" si="89"/>
        <v>.</v>
      </c>
      <c r="J76" s="60" t="str">
        <f t="shared" si="89"/>
        <v>.</v>
      </c>
      <c r="K76" s="60" t="str">
        <f t="shared" si="89"/>
        <v>.</v>
      </c>
      <c r="L76" s="60" t="str">
        <f t="shared" si="89"/>
        <v>.</v>
      </c>
      <c r="M76" s="60" t="str">
        <f t="shared" si="89"/>
        <v>.</v>
      </c>
      <c r="N76" s="60" t="str">
        <f t="shared" si="89"/>
        <v>.</v>
      </c>
      <c r="O76" s="60" t="str">
        <f t="shared" si="89"/>
        <v>.</v>
      </c>
      <c r="P76" s="60" t="str">
        <f t="shared" si="89"/>
        <v>.</v>
      </c>
      <c r="Q76" s="60" t="str">
        <f t="shared" si="89"/>
        <v>.</v>
      </c>
      <c r="R76" s="60" t="str">
        <f t="shared" si="89"/>
        <v>.</v>
      </c>
      <c r="S76" s="60" t="str">
        <f t="shared" si="89"/>
        <v>.</v>
      </c>
      <c r="T76" s="60" t="str">
        <f t="shared" si="89"/>
        <v>.</v>
      </c>
      <c r="U76" s="60" t="str">
        <f t="shared" si="89"/>
        <v>.</v>
      </c>
      <c r="V76" s="60" t="str">
        <f t="shared" si="89"/>
        <v>.</v>
      </c>
      <c r="W76" s="60" t="str">
        <f t="shared" si="89"/>
        <v>.</v>
      </c>
      <c r="X76" s="60" t="str">
        <f t="shared" si="89"/>
        <v>.</v>
      </c>
      <c r="Y76" s="60" t="str">
        <f t="shared" si="89"/>
        <v>.</v>
      </c>
      <c r="Z76" s="60" t="str">
        <f t="shared" si="89"/>
        <v>.</v>
      </c>
      <c r="AA76" s="60" t="str">
        <f t="shared" si="89"/>
        <v>.</v>
      </c>
      <c r="AB76" s="60" t="str">
        <f t="shared" si="89"/>
        <v>.</v>
      </c>
      <c r="AC76" s="60" t="str">
        <f t="shared" si="89"/>
        <v>.</v>
      </c>
      <c r="AD76" s="60" t="str">
        <f t="shared" si="89"/>
        <v>.</v>
      </c>
      <c r="AE76" s="60" t="str">
        <f t="shared" si="89"/>
        <v>.</v>
      </c>
      <c r="AF76" s="60" t="str">
        <f t="shared" si="89"/>
        <v>.</v>
      </c>
      <c r="AG76" s="60" t="str">
        <f t="shared" si="89"/>
        <v>.</v>
      </c>
      <c r="AH76" s="60" t="str">
        <f t="shared" si="89"/>
        <v>.</v>
      </c>
      <c r="AI76" s="60" t="str">
        <f t="shared" ref="AI76:BB76" si="90">IFERROR(AI27/$B62,".")</f>
        <v>.</v>
      </c>
      <c r="AJ76" s="60" t="str">
        <f t="shared" si="90"/>
        <v>.</v>
      </c>
      <c r="AK76" s="60" t="str">
        <f t="shared" si="90"/>
        <v>.</v>
      </c>
      <c r="AL76" s="60" t="str">
        <f t="shared" si="90"/>
        <v>.</v>
      </c>
      <c r="AM76" s="60" t="str">
        <f t="shared" si="90"/>
        <v>.</v>
      </c>
      <c r="AN76" s="60" t="str">
        <f t="shared" si="90"/>
        <v>.</v>
      </c>
      <c r="AO76" s="60" t="str">
        <f t="shared" si="90"/>
        <v>.</v>
      </c>
      <c r="AP76" s="60" t="str">
        <f t="shared" si="90"/>
        <v>.</v>
      </c>
      <c r="AQ76" s="60" t="str">
        <f t="shared" si="90"/>
        <v>.</v>
      </c>
      <c r="AR76" s="60" t="str">
        <f t="shared" si="90"/>
        <v>.</v>
      </c>
      <c r="AS76" s="60" t="str">
        <f t="shared" si="90"/>
        <v>.</v>
      </c>
      <c r="AT76" s="60" t="str">
        <f t="shared" si="90"/>
        <v>.</v>
      </c>
      <c r="AU76" s="60" t="str">
        <f t="shared" si="90"/>
        <v>.</v>
      </c>
      <c r="AV76" s="60" t="str">
        <f t="shared" si="90"/>
        <v>.</v>
      </c>
      <c r="AW76" s="60" t="str">
        <f t="shared" si="90"/>
        <v>.</v>
      </c>
      <c r="AX76" s="60" t="str">
        <f t="shared" si="90"/>
        <v>.</v>
      </c>
      <c r="AY76" s="60" t="str">
        <f t="shared" si="90"/>
        <v>.</v>
      </c>
      <c r="AZ76" s="60" t="str">
        <f t="shared" si="90"/>
        <v>.</v>
      </c>
      <c r="BA76" s="60" t="str">
        <f t="shared" si="90"/>
        <v>.</v>
      </c>
      <c r="BB76" s="60" t="str">
        <f t="shared" si="90"/>
        <v>.</v>
      </c>
    </row>
  </sheetData>
  <sheetProtection algorithmName="SHA-512" hashValue="zoanktVcaIOSazaPByqHMDattChnp1j8gfusN4FkSGxO1tJD9lsiNu48wHTNn3s7pCX1gSliWyLws9oAvo0gFg==" saltValue="YdTG7lYaA28uMxcTy0xy2A==" spinCount="100000" sheet="1" formatColumns="0" formatRows="0" autoFilter="0"/>
  <autoFilter ref="A1:BB76" xr:uid="{9BD88A67-8028-45FC-AC81-0CD541C85040}"/>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499984740745262"/>
  </sheetPr>
  <dimension ref="A1:AF76"/>
  <sheetViews>
    <sheetView zoomScaleNormal="10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3.28515625" style="4" customWidth="1"/>
    <col min="4" max="4" width="14.42578125" style="2" bestFit="1" customWidth="1"/>
    <col min="5" max="5" width="14.5703125" style="2" bestFit="1" customWidth="1"/>
    <col min="6" max="6" width="14.28515625" style="2" bestFit="1" customWidth="1"/>
    <col min="7" max="7" width="19" style="2" bestFit="1" customWidth="1"/>
    <col min="8" max="8" width="19.85546875" style="2" bestFit="1" customWidth="1"/>
    <col min="9" max="9" width="14.140625" style="2" bestFit="1" customWidth="1"/>
    <col min="10" max="10" width="15.85546875" style="2" bestFit="1" customWidth="1"/>
    <col min="11" max="11" width="13.5703125" style="3" bestFit="1" customWidth="1"/>
    <col min="12" max="13" width="15.42578125" style="3" bestFit="1" customWidth="1"/>
    <col min="14" max="14" width="16.42578125" style="3" bestFit="1" customWidth="1"/>
    <col min="15" max="15" width="13.85546875" style="3" bestFit="1" customWidth="1"/>
    <col min="16" max="16" width="15.42578125" style="3" bestFit="1" customWidth="1"/>
    <col min="17" max="18" width="17.28515625" style="3" bestFit="1" customWidth="1"/>
    <col min="19" max="19" width="18.42578125" style="3" bestFit="1" customWidth="1"/>
    <col min="20" max="20" width="15.5703125" style="3" bestFit="1" customWidth="1"/>
    <col min="21" max="21" width="13.85546875" style="3" bestFit="1" customWidth="1"/>
    <col min="22" max="22" width="14.140625" style="3" bestFit="1" customWidth="1"/>
    <col min="23" max="23" width="13.28515625" style="3" bestFit="1" customWidth="1"/>
    <col min="24" max="24" width="15" style="3" bestFit="1" customWidth="1"/>
    <col min="25" max="25" width="14" style="3" bestFit="1" customWidth="1"/>
    <col min="26" max="26" width="14.140625" style="3" bestFit="1" customWidth="1"/>
    <col min="27" max="27" width="15" style="3" bestFit="1" customWidth="1"/>
    <col min="28" max="28" width="18.5703125" style="3" bestFit="1" customWidth="1"/>
    <col min="29" max="29" width="13.5703125" style="3" bestFit="1" customWidth="1"/>
    <col min="30" max="30" width="15.42578125" style="3" bestFit="1" customWidth="1"/>
    <col min="31" max="31" width="13.85546875" style="3" bestFit="1" customWidth="1"/>
    <col min="32" max="32" width="15.42578125" style="3" bestFit="1" customWidth="1"/>
    <col min="33" max="16384" width="9.140625" style="3"/>
  </cols>
  <sheetData>
    <row r="1" spans="1:32" x14ac:dyDescent="0.25">
      <c r="A1" s="72" t="s">
        <v>39</v>
      </c>
      <c r="B1" s="72" t="s">
        <v>334</v>
      </c>
      <c r="C1" s="72"/>
      <c r="D1" s="15" t="s">
        <v>1372</v>
      </c>
      <c r="E1" s="15" t="s">
        <v>1373</v>
      </c>
      <c r="F1" s="15" t="s">
        <v>1374</v>
      </c>
      <c r="G1" s="15" t="s">
        <v>1375</v>
      </c>
      <c r="H1" s="15" t="s">
        <v>1376</v>
      </c>
      <c r="I1" s="15" t="s">
        <v>1377</v>
      </c>
      <c r="J1" s="189" t="s">
        <v>1255</v>
      </c>
      <c r="K1" s="42" t="s">
        <v>1378</v>
      </c>
      <c r="L1" s="42" t="s">
        <v>1379</v>
      </c>
      <c r="M1" s="42" t="s">
        <v>1380</v>
      </c>
      <c r="N1" s="42" t="s">
        <v>1381</v>
      </c>
      <c r="O1" s="42" t="s">
        <v>1382</v>
      </c>
      <c r="P1" s="188" t="s">
        <v>1256</v>
      </c>
      <c r="Q1" s="188" t="s">
        <v>1257</v>
      </c>
      <c r="R1" s="188" t="s">
        <v>1258</v>
      </c>
      <c r="S1" s="188" t="s">
        <v>1259</v>
      </c>
      <c r="T1" s="188" t="s">
        <v>1260</v>
      </c>
      <c r="U1" s="42" t="s">
        <v>1383</v>
      </c>
      <c r="V1" s="42" t="s">
        <v>1384</v>
      </c>
      <c r="W1" s="42" t="s">
        <v>1385</v>
      </c>
      <c r="X1" s="188" t="s">
        <v>1261</v>
      </c>
      <c r="Y1" s="15" t="s">
        <v>1386</v>
      </c>
      <c r="Z1" s="15" t="s">
        <v>1387</v>
      </c>
      <c r="AA1" s="15" t="s">
        <v>1388</v>
      </c>
      <c r="AB1" s="15" t="s">
        <v>1389</v>
      </c>
      <c r="AC1" s="15" t="s">
        <v>1390</v>
      </c>
      <c r="AD1" s="189" t="s">
        <v>1262</v>
      </c>
      <c r="AE1" s="42" t="s">
        <v>1391</v>
      </c>
      <c r="AF1" s="189" t="s">
        <v>1518</v>
      </c>
    </row>
    <row r="2" spans="1:32" x14ac:dyDescent="0.25">
      <c r="A2" s="44" t="s">
        <v>0</v>
      </c>
      <c r="B2" s="42" t="s">
        <v>1057</v>
      </c>
      <c r="C2" s="42"/>
      <c r="D2" s="15">
        <f>IFERROR((DL/(RadSpec!E2*IFS_res_adj*(1/1000))),".")</f>
        <v>120.03929366238744</v>
      </c>
      <c r="E2" s="15">
        <f>IFERROR(IF(A2="H-3",(DL/(RadSpec!H2*IFA_res_adj*(1/17)*1000))*RadSpec!#REF!,(DL/(RadSpec!H2*IFA_res_adj*(1/PEF_wind)*1000))),".")</f>
        <v>6460.1679663874756</v>
      </c>
      <c r="F2" s="15">
        <f>IFERROR((DL/(RadSpec!G2*EF_res*(1/365)*1*RadSpec!R2*((ET_res_o*(1/24)*RadSpec!W2)+(ET_res_i*(1/24)*RadSpec!AB2)))),".")</f>
        <v>56.91581437687995</v>
      </c>
      <c r="G2" s="15">
        <f>d_b2s!C2</f>
        <v>6.0970916558433919</v>
      </c>
      <c r="H2" s="15">
        <f>d_dir!C2</f>
        <v>1.1087981003759859E-2</v>
      </c>
      <c r="I2" s="15">
        <f t="shared" ref="I2:I30" si="0">(IF(AND(D2&lt;&gt;".",E2&lt;&gt;".",F2&lt;&gt;".",G2&lt;&gt;"."),1/((1/D2)+(1/E2)+(1/F2)+(1/G2)),IF(AND(D2&lt;&gt;".",E2&lt;&gt;".",F2&lt;&gt;".",G2="."),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5.261279527969112</v>
      </c>
      <c r="J2" s="189">
        <f>I2*(0.0000000000028)*RadSpec!$AY2*RadSpec!$AF2</f>
        <v>9.0811126099192899E-11</v>
      </c>
      <c r="K2" s="15">
        <f>IFERROR((DL/(RadSpec!G2*EF_res*(1/365)*1*RadSpec!R2*((ET_res_o*(1/24)*RadSpec!W2)+(ET_res_i*(1/24)*RadSpec!AB2)))),".")</f>
        <v>56.91581437687995</v>
      </c>
      <c r="L2" s="15">
        <f>IFERROR((DL/(RadSpec!N2*EF_res*(1/365)*1*RadSpec!S2*((ET_res_o*(1/24)*RadSpec!X2)+(ET_res_i*(1/24)*RadSpec!AC2)))),".")</f>
        <v>206.23784210828455</v>
      </c>
      <c r="M2" s="15">
        <f>IFERROR((DL/(RadSpec!O2*EF_res*(1/365)*1*RadSpec!T2*((ET_res_o*(1/24)*RadSpec!Y2)+(ET_res_i*(1/24)*RadSpec!AD2)))),".")</f>
        <v>78.956742493416783</v>
      </c>
      <c r="N2" s="15">
        <f>IFERROR((DL/(RadSpec!P2*EF_res*(1/365)*1*RadSpec!U2*((ET_res_o*(1/24)*RadSpec!Z2)+(ET_res_i*(1/24)*RadSpec!AE2)))),".")</f>
        <v>58.571547158752821</v>
      </c>
      <c r="O2" s="15">
        <f>IFERROR((DL/(RadSpec!L2*EF_res*(1/365)*1*RadSpec!Q2*((ET_res_o*(1/24)*RadSpec!V2)+(ET_res_i*(1/24)*RadSpec!AA2)))),".")</f>
        <v>194.98797065253467</v>
      </c>
      <c r="P2" s="189">
        <f>K2*(0.0000000000028)*RadSpec!$AY2*RadSpec!$AF2</f>
        <v>9.823825495187499E-10</v>
      </c>
      <c r="Q2" s="189">
        <f>L2*(0.0000000000028)*RadSpec!$AY2*RadSpec!$AF2</f>
        <v>3.5597216583073773E-9</v>
      </c>
      <c r="R2" s="189">
        <f>M2*(0.0000000000028)*RadSpec!$AY2*RadSpec!$AF2</f>
        <v>1.3628150074206186E-9</v>
      </c>
      <c r="S2" s="189">
        <f>N2*(0.0000000000028)*RadSpec!$AY2*RadSpec!$AF2</f>
        <v>1.0109609509592953E-9</v>
      </c>
      <c r="T2" s="189">
        <f>O2*(0.0000000000000028)*RadSpec!$AY2*RadSpec!$AF2</f>
        <v>3.3655457948245708E-12</v>
      </c>
      <c r="U2" s="15">
        <f>IFERROR((DL/(RadSpec!H2*IFA_res_adj)),".")</f>
        <v>4.7524141907658024E-3</v>
      </c>
      <c r="V2" s="15">
        <f>IFERROR((DL/(RadSpec!K2*EF_res*(1/365)*1*ET_res*(1/24)*GSF_a)),".")</f>
        <v>15779.843720917046</v>
      </c>
      <c r="W2" s="15">
        <f t="shared" ref="W2" si="1">IF(AND(U2&lt;&gt;".",V2&lt;&gt;"."),1/((1/U2)+(1/V2)),IF(AND(U2&lt;&gt;".",V2="."),1/((1/U2)),IF(AND(U2=".",V2&lt;&gt;"."),1/((1/V2)),IF(AND(U2&lt;&gt;".",V2="."),"."))))</f>
        <v>4.7524127594820555E-3</v>
      </c>
      <c r="X2" s="189">
        <f>W2*(0.0000000000000028)*RadSpec!$AY2*RadSpec!$AF2</f>
        <v>8.2027946259553289E-17</v>
      </c>
      <c r="Y2" s="15">
        <f>IFERROR((DL/(RadSpec!I2*IFW_res_adj)),".")</f>
        <v>7.0161723628937738</v>
      </c>
      <c r="Z2" s="15" t="str">
        <f>IFERROR(IF(AND(RadSpec!C2=1,RadSpec!D2&lt;&gt;0),(DL/(RadSpec!H2*IFA_res_adj*K*RadSpec!D2)),"."),".")</f>
        <v>.</v>
      </c>
      <c r="AA2" s="15">
        <f>IFERROR((DL/(RadSpec!M2*(1/8760)*DFA_res_adj)),".")</f>
        <v>253572.43066638408</v>
      </c>
      <c r="AB2" s="15">
        <f>d_b2w!C2</f>
        <v>2.99074779344159</v>
      </c>
      <c r="AC2" s="15">
        <f t="shared" ref="AC2:AC30" si="2">IF(AND(Y2&lt;&gt;".",Z2&lt;&gt;".",AA2&lt;&gt;".",AB2&lt;&gt;"."),1/((1/Y2)+(1/Z2)+(1/AA2)+(1/AB2)),IF(AND(Y2&lt;&gt;".",Z2&lt;&gt;".",AA2&lt;&gt;".",AB2="."), 1/((1/Y2)+(1/Z2)+(1/AA2)),IF(AND(Y2&lt;&gt;".",Z2&lt;&gt;".",AA2=".",AB2&lt;&gt;"."),1/((1/Y2)+(1/Z2)+(1/AB2)),IF(AND(Y2&lt;&gt;".",Z2=".",AA2&lt;&gt;".",AB2&lt;&gt;"."),1/((1/Y2)+(1/AA2)+(1/AB2)),IF(AND(Y2=".",Z2&lt;&gt;".",AA2&lt;&gt;".",AB2&lt;&gt;"."),1/((1/Z2)+(1/AA2)+(1/AB2)),IF(AND(Y2&lt;&gt;".",Z2&lt;&gt;".",AA2=".",AB2="."),1/((1/Y2)+(1/Z2)),IF(AND(Y2&lt;&gt;".",Z2=".",AA2&lt;&gt;".",AB2="."),1/((1/Y2)+(1/AA2)),IF(AND(Y2&lt;&gt;".",Z2=".",AA2=".",AB2&lt;&gt;"."),1/((1/Y2)+(1/AB2)),IF(AND(Y2=".",Z2=".",AA2&lt;&gt;".",AB2&lt;&gt;"."),1/((1/AA2)+(1/AB2)),IF(AND(Y2=".",Z2&lt;&gt;".",AA2=".",AB2&lt;&gt;"."),1/((1/Z2)+(1/AB2)),IF(AND(Y2=".",Z2&lt;&gt;".",AA2&lt;&gt;".",AB2="."),1/((1/Z2)+(1/AA2)),IF(AND(Y2&lt;&gt;".",Z2=".",AA2=".",AB2="."),1/((1/Y2)),IF(AND(Y2=".",Z2&lt;&gt;".",AA2=".",AB2="."),1/((1/Z2)),IF(AND(Y2=".",Z2=".",AA2&lt;&gt;".",AB2="."),1/((1/AA2)),IF(AND(Y2=".",Z2=".",AA2=".",AB2&lt;&gt;"."),1/((1/AB2)),IF(AND(Y2=".",Z2=".",AA2=".",AB2="."),"."))))))))))))))))</f>
        <v>2.096891767209204</v>
      </c>
      <c r="AD2" s="189">
        <f>AC2*(0.0000000000000028)*RadSpec!$AY2*RadSpec!$AF2</f>
        <v>3.6192926392925986E-14</v>
      </c>
      <c r="AE2" s="15">
        <f>IFERROR(DL/(RadSpec!F2*EF_res*1*IRF_res*0.001*CF_res_fish),".")</f>
        <v>0.27342283556432695</v>
      </c>
      <c r="AF2" s="189">
        <f>IFERROR(AE2*(0.0000000000028)*RadSpec!$AY2*RadSpec!$AF2,0)</f>
        <v>4.7193530522061915E-12</v>
      </c>
    </row>
    <row r="3" spans="1:32" x14ac:dyDescent="0.25">
      <c r="A3" s="46" t="s">
        <v>1</v>
      </c>
      <c r="B3" s="42" t="s">
        <v>335</v>
      </c>
      <c r="C3" s="42"/>
      <c r="D3" s="15">
        <f>IFERROR((DL/(RadSpec!E3*IFS_res_adj*(1/1000))),".")</f>
        <v>26.378382598919597</v>
      </c>
      <c r="E3" s="15">
        <f>IFERROR(IF(A3="H-3",(DL/(RadSpec!H3*IFA_res_adj*(1/17)*1000))*RadSpec!#REF!,(DL/(RadSpec!H3*IFA_res_adj*(1/PEF_wind)*1000))),".")</f>
        <v>604.52947942341518</v>
      </c>
      <c r="F3" s="15">
        <f>IFERROR((DL/(RadSpec!G3*EF_res*(1/365)*1*RadSpec!R3*((ET_res_o*(1/24)*RadSpec!W3)+(ET_res_i*(1/24)*RadSpec!AB3)))),".")</f>
        <v>80.940580244507657</v>
      </c>
      <c r="G3" s="15">
        <f>d_b2s!C3</f>
        <v>2.3501144337811763</v>
      </c>
      <c r="H3" s="15">
        <f>d_dir!C3</f>
        <v>2.4365605314984897E-3</v>
      </c>
      <c r="I3" s="15">
        <f t="shared" si="0"/>
        <v>2.0945481298405939</v>
      </c>
      <c r="J3" s="189">
        <f>I3*(0.0000000000028)*RadSpec!$AY3*RadSpec!$AF3</f>
        <v>6.1087194591870224E-7</v>
      </c>
      <c r="K3" s="15">
        <f>IFERROR((DL/(RadSpec!G3*EF_res*(1/365)*1*RadSpec!R3*((ET_res_o*(1/24)*RadSpec!W3)+(ET_res_i*(1/24)*RadSpec!AB3)))),".")</f>
        <v>80.940580244507657</v>
      </c>
      <c r="L3" s="15">
        <f>IFERROR((DL/(RadSpec!N3*EF_res*(1/365)*1*RadSpec!S3*((ET_res_o*(1/24)*RadSpec!X3)+(ET_res_i*(1/24)*RadSpec!AC3)))),".")</f>
        <v>164.3589333536431</v>
      </c>
      <c r="M3" s="15">
        <f>IFERROR((DL/(RadSpec!O3*EF_res*(1/365)*1*RadSpec!T3*((ET_res_o*(1/24)*RadSpec!Y3)+(ET_res_i*(1/24)*RadSpec!AD3)))),".")</f>
        <v>87.065813344092021</v>
      </c>
      <c r="N3" s="15">
        <f>IFERROR((DL/(RadSpec!P3*EF_res*(1/365)*1*RadSpec!U3*((ET_res_o*(1/24)*RadSpec!Z3)+(ET_res_i*(1/24)*RadSpec!AE3)))),".")</f>
        <v>80.940580244507657</v>
      </c>
      <c r="O3" s="15">
        <f>IFERROR((DL/(RadSpec!L3*EF_res*(1/365)*1*RadSpec!Q3*((ET_res_o*(1/24)*RadSpec!V3)+(ET_res_i*(1/24)*RadSpec!AA3)))),".")</f>
        <v>118.06611067034213</v>
      </c>
      <c r="P3" s="189">
        <f>K3*(0.0000000000028)*RadSpec!$AY3*RadSpec!$AF3</f>
        <v>2.3606203673875109E-5</v>
      </c>
      <c r="Q3" s="189">
        <f>L3*(0.0000000000028)*RadSpec!$AY3*RadSpec!$AF3</f>
        <v>4.7935046235725983E-5</v>
      </c>
      <c r="R3" s="189">
        <f>M3*(0.0000000000028)*RadSpec!$AY3*RadSpec!$AF3</f>
        <v>2.5392619087033225E-5</v>
      </c>
      <c r="S3" s="189">
        <f>N3*(0.0000000000028)*RadSpec!$AY3*RadSpec!$AF3</f>
        <v>2.3606203673875109E-5</v>
      </c>
      <c r="T3" s="189">
        <f>O3*(0.0000000000000028)*RadSpec!$AY3*RadSpec!$AF3</f>
        <v>3.4433811161805916E-8</v>
      </c>
      <c r="U3" s="15">
        <f>IFERROR((DL/(RadSpec!H3*IFA_res_adj)),".")</f>
        <v>4.4472132794322187E-4</v>
      </c>
      <c r="V3" s="15">
        <f>IFERROR((DL/(RadSpec!K3*EF_res*(1/365)*1*ET_res*(1/24)*GSF_a)),".")</f>
        <v>13290.761229224776</v>
      </c>
      <c r="W3" s="15">
        <f t="shared" ref="W3" si="3">IF(AND(U3&lt;&gt;".",V3&lt;&gt;"."),1/((1/U3)+(1/V3)),IF(AND(U3&lt;&gt;".",V3="."),1/((1/U3)),IF(AND(U3=".",V3&lt;&gt;"."),1/((1/V3)),IF(AND(U3&lt;&gt;".",V3="."),"."))))</f>
        <v>4.447213130624299E-4</v>
      </c>
      <c r="X3" s="189">
        <f>W3*(0.0000000000000028)*RadSpec!$AY3*RadSpec!$AF3</f>
        <v>1.2970233055596689E-13</v>
      </c>
      <c r="Y3" s="15">
        <f>IFERROR((DL/(RadSpec!I3*IFW_res_adj)),".")</f>
        <v>1.5417891368880012</v>
      </c>
      <c r="Z3" s="15" t="str">
        <f>IFERROR(IF(AND(RadSpec!C3=1,RadSpec!D3&lt;&gt;0),(DL/(RadSpec!H3*IFA_res_adj*K*RadSpec!D3)),"."),".")</f>
        <v>.</v>
      </c>
      <c r="AA3" s="15">
        <f>IFERROR((DL/(RadSpec!M3*(1/8760)*DFA_res_adj)),".")</f>
        <v>207468.35236340517</v>
      </c>
      <c r="AB3" s="15">
        <f>d_b2w!C3</f>
        <v>0.66220212068103612</v>
      </c>
      <c r="AC3" s="15">
        <f>IF(AND(Y3&lt;&gt;".",Z3&lt;&gt;".",AA3&lt;&gt;".",AB3&lt;&gt;"."),1/((1/Y3)+(1/Z3)+(1/AA3)+(1/AB3)),IF(AND(Y3&lt;&gt;".",Z3&lt;&gt;".",AA3&lt;&gt;".",AB3="."), 1/((1/Y3)+(1/Z3)+(1/AA3)),IF(AND(Y3&lt;&gt;".",Z3&lt;&gt;".",AA3=".",AB3&lt;&gt;"."),1/((1/Y3)+(1/Z3)+(1/AB3)),IF(AND(Y3&lt;&gt;".",Z3=".",AA3&lt;&gt;".",AB3&lt;&gt;"."),1/((1/Y3)+(1/AA3)+(1/AB3)),IF(AND(Y3=".",Z3&lt;&gt;".",AA3&lt;&gt;".",AB3&lt;&gt;"."),1/((1/Z3)+(1/AA3)+(1/AB3)),IF(AND(Y3&lt;&gt;".",Z3&lt;&gt;".",AA3=".",AB3="."),1/((1/Y3)+(1/Z3)),IF(AND(Y3&lt;&gt;".",Z3=".",AA3&lt;&gt;".",AB3="."),1/((1/Y3)+(1/AA3)),IF(AND(Y3&lt;&gt;".",Z3=".",AA3=".",AB3&lt;&gt;"."),1/((1/Y3)+(1/AB3)),IF(AND(Y3=".",Z3=".",AA3&lt;&gt;".",AB3&lt;&gt;"."),1/((1/AA3)+(1/AB3)),IF(AND(Y3=".",Z3&lt;&gt;".",AA3=".",AB3&lt;&gt;"."),1/((1/Z3)+(1/AB3)),IF(AND(Y3=".",Z3&lt;&gt;".",AA3&lt;&gt;".",AB3="."),1/((1/Z3)+(1/AA3)),IF(AND(Y3&lt;&gt;".",Z3=".",AA3=".",AB3="."),1/((1/Y3)),IF(AND(Y3=".",Z3&lt;&gt;".",AA3=".",AB3="."),1/((1/Z3)),IF(AND(Y3=".",Z3=".",AA3&lt;&gt;".",AB3="."),1/((1/AA3)),IF(AND(Y3=".",Z3=".",AA3=".",AB3&lt;&gt;"."),1/((1/AB3)),IF(AND(Y3=".",Z3=".",AA3=".",AB3="."),"."))))))))))))))))</f>
        <v>0.46323856908812622</v>
      </c>
      <c r="AD3" s="189">
        <f>AC3*(0.0000000000000028)*RadSpec!$AY3*RadSpec!$AF3</f>
        <v>1.3510286161101254E-10</v>
      </c>
      <c r="AE3" s="15">
        <f>IFERROR(DL/(RadSpec!F3*EF_res*1*IRF_res*0.001*CF_res_fish),".")</f>
        <v>6.0084093697539052E-2</v>
      </c>
      <c r="AF3" s="189">
        <f>IFERROR(AE3*(0.0000000000028)*RadSpec!$AY3*RadSpec!$AF3,0)</f>
        <v>1.7523439405792341E-8</v>
      </c>
    </row>
    <row r="4" spans="1:32" x14ac:dyDescent="0.25">
      <c r="A4" s="44" t="s">
        <v>2</v>
      </c>
      <c r="B4" s="42" t="s">
        <v>1057</v>
      </c>
      <c r="C4" s="42"/>
      <c r="D4" s="15" t="str">
        <f>IFERROR((DL/(RadSpec!E4*IFS_res_adj*(1/1000))),".")</f>
        <v>.</v>
      </c>
      <c r="E4" s="15" t="str">
        <f>IFERROR(IF(A4="H-3",(DL/(RadSpec!H4*IFA_res_adj*(1/17)*1000))*RadSpec!#REF!,(DL/(RadSpec!H4*IFA_res_adj*(1/PEF_wind)*1000))),".")</f>
        <v>.</v>
      </c>
      <c r="F4" s="15">
        <f>IFERROR((DL/(RadSpec!G4*EF_res*(1/365)*1*RadSpec!R4*((ET_res_o*(1/24)*RadSpec!W4)+(ET_res_i*(1/24)*RadSpec!AB4)))),".")</f>
        <v>2536.5630659302401</v>
      </c>
      <c r="G4" s="15" t="str">
        <f>d_b2s!C4</f>
        <v>.</v>
      </c>
      <c r="H4" s="15" t="str">
        <f>d_dir!C4</f>
        <v>.</v>
      </c>
      <c r="I4" s="15">
        <f t="shared" si="0"/>
        <v>2536.5630659302401</v>
      </c>
      <c r="J4" s="189">
        <f>I4*(0.0000000000028)*RadSpec!$AY4*RadSpec!$AF4</f>
        <v>1.5785536440624303E-15</v>
      </c>
      <c r="K4" s="15">
        <f>IFERROR((DL/(RadSpec!G4*EF_res*(1/365)*1*RadSpec!R4*((ET_res_o*(1/24)*RadSpec!W4)+(ET_res_i*(1/24)*RadSpec!AB4)))),".")</f>
        <v>2536.5630659302401</v>
      </c>
      <c r="L4" s="15">
        <f>IFERROR((DL/(RadSpec!N4*EF_res*(1/365)*1*RadSpec!S4*((ET_res_o*(1/24)*RadSpec!X4)+(ET_res_i*(1/24)*RadSpec!AC4)))),".")</f>
        <v>11185.538519900712</v>
      </c>
      <c r="M4" s="15">
        <f>IFERROR((DL/(RadSpec!O4*EF_res*(1/365)*1*RadSpec!T4*((ET_res_o*(1/24)*RadSpec!Y4)+(ET_res_i*(1/24)*RadSpec!AD4)))),".")</f>
        <v>4006.7600668301056</v>
      </c>
      <c r="N4" s="15">
        <f>IFERROR((DL/(RadSpec!P4*EF_res*(1/365)*1*RadSpec!U4*((ET_res_o*(1/24)*RadSpec!Z4)+(ET_res_i*(1/24)*RadSpec!AE4)))),".")</f>
        <v>2711.645701794112</v>
      </c>
      <c r="O4" s="15">
        <f>IFERROR((DL/(RadSpec!L4*EF_res*(1/365)*1*RadSpec!Q4*((ET_res_o*(1/24)*RadSpec!V4)+(ET_res_i*(1/24)*RadSpec!AA4)))),".")</f>
        <v>11338.507544552678</v>
      </c>
      <c r="P4" s="189">
        <f>K4*(0.0000000000028)*RadSpec!$AY4*RadSpec!$AF4</f>
        <v>1.5785536440624303E-15</v>
      </c>
      <c r="Q4" s="189">
        <f>L4*(0.0000000000028)*RadSpec!$AY4*RadSpec!$AF4</f>
        <v>6.9609830831919663E-15</v>
      </c>
      <c r="R4" s="189">
        <f>M4*(0.0000000000028)*RadSpec!$AY4*RadSpec!$AF4</f>
        <v>2.4934864775613013E-15</v>
      </c>
      <c r="S4" s="189">
        <f>N4*(0.0000000000028)*RadSpec!$AY4*RadSpec!$AF4</f>
        <v>1.6875110504707799E-15</v>
      </c>
      <c r="T4" s="189">
        <f>O4*(0.0000000000000028)*RadSpec!$AY4*RadSpec!$AF4</f>
        <v>7.0561787495392099E-18</v>
      </c>
      <c r="U4" s="15" t="str">
        <f>IFERROR((DL/(RadSpec!H4*IFA_res_adj)),".")</f>
        <v>.</v>
      </c>
      <c r="V4" s="15">
        <f>IFERROR((DL/(RadSpec!K4*EF_res*(1/365)*1*ET_res*(1/24)*GSF_a)),".")</f>
        <v>842584.10811689147</v>
      </c>
      <c r="W4" s="15">
        <f t="shared" ref="W4:W5" si="4">IF(AND(U4&lt;&gt;".",V4&lt;&gt;"."),1/((1/U4)+(1/V4)),IF(AND(U4&lt;&gt;".",V4="."),1/((1/U4)),IF(AND(U4=".",V4&lt;&gt;"."),1/((1/V4)),IF(AND(U4&lt;&gt;".",V4="."),"."))))</f>
        <v>842584.10811689147</v>
      </c>
      <c r="X4" s="189">
        <f>W4*(0.0000000000000028)*RadSpec!$AY4*RadSpec!$AF4</f>
        <v>5.2435684811535882E-16</v>
      </c>
      <c r="Y4" s="15" t="str">
        <f>IFERROR((DL/(RadSpec!I4*IFW_res_adj)),".")</f>
        <v>.</v>
      </c>
      <c r="Z4" s="15" t="str">
        <f>IFERROR(IF(AND(RadSpec!C4=1,RadSpec!D4&lt;&gt;0),(DL/(RadSpec!H4*IFA_res_adj*K*RadSpec!D4)),"."),".")</f>
        <v>.</v>
      </c>
      <c r="AA4" s="15">
        <f>IFERROR((DL/(RadSpec!M4*(1/8760)*DFA_res_adj)),".")</f>
        <v>13831223.490893679</v>
      </c>
      <c r="AB4" s="15" t="str">
        <f>d_b2w!C4</f>
        <v>.</v>
      </c>
      <c r="AC4" s="15">
        <f t="shared" si="2"/>
        <v>13831223.490893679</v>
      </c>
      <c r="AD4" s="189">
        <f>AC4*(0.0000000000000028)*RadSpec!$AY4*RadSpec!$AF4</f>
        <v>8.6074454590330126E-15</v>
      </c>
      <c r="AE4" s="15" t="str">
        <f>IFERROR(DL/(RadSpec!F4*EF_res*1*IRF_res*0.001*CF_res_fish),".")</f>
        <v>.</v>
      </c>
      <c r="AF4" s="189">
        <f>IFERROR(AE4*(0.0000000000028)*RadSpec!$AY4*RadSpec!$AF4,0)</f>
        <v>0</v>
      </c>
    </row>
    <row r="5" spans="1:32" x14ac:dyDescent="0.25">
      <c r="A5" s="44" t="s">
        <v>3</v>
      </c>
      <c r="B5" s="42" t="s">
        <v>1057</v>
      </c>
      <c r="C5" s="238"/>
      <c r="D5" s="15" t="str">
        <f>IFERROR((DL/(RadSpec!E5*IFS_res_adj*(1/1000))),".")</f>
        <v>.</v>
      </c>
      <c r="E5" s="15" t="str">
        <f>IFERROR(IF(A5="H-3",(DL/(RadSpec!H5*IFA_res_adj*(1/17)*1000))*RadSpec!#REF!,(DL/(RadSpec!H5*IFA_res_adj*(1/PEF_wind)*1000))),".")</f>
        <v>.</v>
      </c>
      <c r="F5" s="15">
        <f>IFERROR((DL/(RadSpec!G5*EF_res*(1/365)*1*RadSpec!R5*((ET_res_o*(1/24)*RadSpec!W5)+(ET_res_i*(1/24)*RadSpec!AB5)))),".")</f>
        <v>60056.582657185019</v>
      </c>
      <c r="G5" s="15" t="str">
        <f>d_b2s!C5</f>
        <v>.</v>
      </c>
      <c r="H5" s="15" t="str">
        <f>d_dir!C5</f>
        <v>.</v>
      </c>
      <c r="I5" s="15">
        <f t="shared" si="0"/>
        <v>60056.582657185019</v>
      </c>
      <c r="J5" s="189">
        <f>I5*(0.0000000000028)*RadSpec!$AY5*RadSpec!$AF5</f>
        <v>1.743651924179307E-12</v>
      </c>
      <c r="K5" s="15">
        <f>IFERROR((DL/(RadSpec!G5*EF_res*(1/365)*1*RadSpec!R5*((ET_res_o*(1/24)*RadSpec!W5)+(ET_res_i*(1/24)*RadSpec!AB5)))),".")</f>
        <v>60056.582657185019</v>
      </c>
      <c r="L5" s="15">
        <f>IFERROR((DL/(RadSpec!N5*EF_res*(1/365)*1*RadSpec!S5*((ET_res_o*(1/24)*RadSpec!X5)+(ET_res_i*(1/24)*RadSpec!AC5)))),".")</f>
        <v>105898.58953752152</v>
      </c>
      <c r="M5" s="15">
        <f>IFERROR((DL/(RadSpec!O5*EF_res*(1/365)*1*RadSpec!T5*((ET_res_o*(1/24)*RadSpec!Y5)+(ET_res_i*(1/24)*RadSpec!AD5)))),".")</f>
        <v>75514.184100595521</v>
      </c>
      <c r="N5" s="15">
        <f>IFERROR((DL/(RadSpec!P5*EF_res*(1/365)*1*RadSpec!U5*((ET_res_o*(1/24)*RadSpec!Z5)+(ET_res_i*(1/24)*RadSpec!AE5)))),".")</f>
        <v>62576.43927217181</v>
      </c>
      <c r="O5" s="15">
        <f>IFERROR((DL/(RadSpec!L5*EF_res*(1/365)*1*RadSpec!Q5*((ET_res_o*(1/24)*RadSpec!V5)+(ET_res_i*(1/24)*RadSpec!AA5)))),".")</f>
        <v>22878.588556564075</v>
      </c>
      <c r="P5" s="189">
        <f>K5*(0.0000000000028)*RadSpec!$AY5*RadSpec!$AF5</f>
        <v>1.743651924179307E-12</v>
      </c>
      <c r="Q5" s="189">
        <f>L5*(0.0000000000028)*RadSpec!$AY5*RadSpec!$AF5</f>
        <v>3.0746051680794883E-12</v>
      </c>
      <c r="R5" s="189">
        <f>M5*(0.0000000000028)*RadSpec!$AY5*RadSpec!$AF5</f>
        <v>2.1924399721748255E-12</v>
      </c>
      <c r="S5" s="189">
        <f>N5*(0.0000000000028)*RadSpec!$AY5*RadSpec!$AF5</f>
        <v>1.8168121447742435E-12</v>
      </c>
      <c r="T5" s="189">
        <f>O5*(0.0000000000000028)*RadSpec!$AY5*RadSpec!$AF5</f>
        <v>6.6424517004027389E-16</v>
      </c>
      <c r="U5" s="15" t="str">
        <f>IFERROR((DL/(RadSpec!H5*IFA_res_adj)),".")</f>
        <v>.</v>
      </c>
      <c r="V5" s="15">
        <f>IFERROR((DL/(RadSpec!K5*EF_res*(1/365)*1*ET_res*(1/24)*GSF_a)),".")</f>
        <v>9113664.8428969868</v>
      </c>
      <c r="W5" s="15">
        <f t="shared" si="4"/>
        <v>9113664.8428969868</v>
      </c>
      <c r="X5" s="189">
        <f>W5*(0.0000000000000028)*RadSpec!$AY5*RadSpec!$AF5</f>
        <v>2.6460145643570794E-13</v>
      </c>
      <c r="Y5" s="15" t="str">
        <f>IFERROR((DL/(RadSpec!I5*IFW_res_adj)),".")</f>
        <v>.</v>
      </c>
      <c r="Z5" s="15" t="str">
        <f>IFERROR(IF(AND(RadSpec!C5=1,RadSpec!D5&lt;&gt;0),(DL/(RadSpec!H5*IFA_res_adj*K*RadSpec!D5)),"."),".")</f>
        <v>.</v>
      </c>
      <c r="AA5" s="15">
        <f>IFERROR((DL/(RadSpec!M5*(1/8760)*DFA_res_adj)),".")</f>
        <v>255601010.1117152</v>
      </c>
      <c r="AB5" s="15" t="str">
        <f>d_b2w!C5</f>
        <v>.</v>
      </c>
      <c r="AC5" s="15">
        <f t="shared" si="2"/>
        <v>255601010.1117152</v>
      </c>
      <c r="AD5" s="189">
        <f>AC5*(0.0000000000000028)*RadSpec!$AY5*RadSpec!$AF5</f>
        <v>7.4209882311734699E-12</v>
      </c>
      <c r="AE5" s="15" t="str">
        <f>IFERROR(DL/(RadSpec!F5*EF_res*1*IRF_res*0.001*CF_res_fish),".")</f>
        <v>.</v>
      </c>
      <c r="AF5" s="189">
        <f>IFERROR(AE5*(0.0000000000028)*RadSpec!$AY5*RadSpec!$AF5,0)</f>
        <v>0</v>
      </c>
    </row>
    <row r="6" spans="1:32" x14ac:dyDescent="0.25">
      <c r="A6" s="44" t="s">
        <v>4</v>
      </c>
      <c r="B6" s="42" t="s">
        <v>1057</v>
      </c>
      <c r="C6" s="42"/>
      <c r="D6" s="15" t="str">
        <f>IFERROR((DL/(RadSpec!E6*IFS_res_adj*(1/1000))),".")</f>
        <v>.</v>
      </c>
      <c r="E6" s="15" t="str">
        <f>IFERROR(IF(A6="H-3",(DL/(RadSpec!H6*IFA_res_adj*(1/17)*1000))*RadSpec!#REF!,(DL/(RadSpec!H6*IFA_res_adj*(1/PEF_wind)*1000))),".")</f>
        <v>.</v>
      </c>
      <c r="F6" s="15">
        <f>IFERROR((DL/(RadSpec!G6*EF_res*(1/365)*1*RadSpec!R6*((ET_res_o*(1/24)*RadSpec!W6)+(ET_res_i*(1/24)*RadSpec!AB6)))),".")</f>
        <v>0.88989919716337151</v>
      </c>
      <c r="G6" s="15" t="str">
        <f>d_b2s!C6</f>
        <v>.</v>
      </c>
      <c r="H6" s="15" t="str">
        <f>d_dir!C6</f>
        <v>.</v>
      </c>
      <c r="I6" s="15">
        <f t="shared" si="0"/>
        <v>0.88989919716337151</v>
      </c>
      <c r="J6" s="189">
        <f>I6*(0.0000000000028)*RadSpec!$AY6*RadSpec!$AF6</f>
        <v>1.6574663762277965E-15</v>
      </c>
      <c r="K6" s="15">
        <f>IFERROR((DL/(RadSpec!G6*EF_res*(1/365)*1*RadSpec!R6*((ET_res_o*(1/24)*RadSpec!W6)+(ET_res_i*(1/24)*RadSpec!AB6)))),".")</f>
        <v>0.88989919716337151</v>
      </c>
      <c r="L6" s="15">
        <f>IFERROR((DL/(RadSpec!N6*EF_res*(1/365)*1*RadSpec!S6*((ET_res_o*(1/24)*RadSpec!X6)+(ET_res_i*(1/24)*RadSpec!AC6)))),".")</f>
        <v>4.4742154079602852</v>
      </c>
      <c r="M6" s="15">
        <f>IFERROR((DL/(RadSpec!O6*EF_res*(1/365)*1*RadSpec!T6*((ET_res_o*(1/24)*RadSpec!Y6)+(ET_res_i*(1/24)*RadSpec!AD6)))),".")</f>
        <v>1.5638034435589343</v>
      </c>
      <c r="N6" s="15">
        <f>IFERROR((DL/(RadSpec!P6*EF_res*(1/365)*1*RadSpec!U6*((ET_res_o*(1/24)*RadSpec!Z6)+(ET_res_i*(1/24)*RadSpec!AE6)))),".")</f>
        <v>1.0004456812830449</v>
      </c>
      <c r="O6" s="15">
        <f>IFERROR((DL/(RadSpec!L6*EF_res*(1/365)*1*RadSpec!Q6*((ET_res_o*(1/24)*RadSpec!V6)+(ET_res_i*(1/24)*RadSpec!AA6)))),".")</f>
        <v>4.4607300045293892</v>
      </c>
      <c r="P6" s="189">
        <f>K6*(0.0000000000028)*RadSpec!$AY6*RadSpec!$AF6</f>
        <v>1.6574663762277965E-15</v>
      </c>
      <c r="Q6" s="189">
        <f>L6*(0.0000000000028)*RadSpec!$AY6*RadSpec!$AF6</f>
        <v>8.3333726138119789E-15</v>
      </c>
      <c r="R6" s="189">
        <f>M6*(0.0000000000028)*RadSpec!$AY6*RadSpec!$AF6</f>
        <v>2.9126350883226329E-15</v>
      </c>
      <c r="S6" s="189">
        <f>N6*(0.0000000000028)*RadSpec!$AY6*RadSpec!$AF6</f>
        <v>1.8633628204796967E-15</v>
      </c>
      <c r="T6" s="189">
        <f>O6*(0.0000000000000028)*RadSpec!$AY6*RadSpec!$AF6</f>
        <v>8.3082556086187789E-18</v>
      </c>
      <c r="U6" s="15" t="str">
        <f>IFERROR((DL/(RadSpec!H6*IFA_res_adj)),".")</f>
        <v>.</v>
      </c>
      <c r="V6" s="15">
        <f>IFERROR((DL/(RadSpec!K6*EF_res*(1/365)*1*ET_res*(1/24)*GSF_a)),".")</f>
        <v>332.02199055907238</v>
      </c>
      <c r="W6" s="15">
        <f t="shared" ref="W6:W9" si="5">IF(AND(U6&lt;&gt;".",V6&lt;&gt;"."),1/((1/U6)+(1/V6)),IF(AND(U6&lt;&gt;".",V6="."),1/((1/U6)),IF(AND(U6=".",V6&lt;&gt;"."),1/((1/V6)),IF(AND(U6&lt;&gt;".",V6="."),"."))))</f>
        <v>332.02199055907238</v>
      </c>
      <c r="X6" s="189">
        <f>W6*(0.0000000000000028)*RadSpec!$AY6*RadSpec!$AF6</f>
        <v>6.1840182267167065E-16</v>
      </c>
      <c r="Y6" s="15" t="str">
        <f>IFERROR((DL/(RadSpec!I6*IFW_res_adj)),".")</f>
        <v>.</v>
      </c>
      <c r="Z6" s="15" t="str">
        <f>IFERROR(IF(AND(RadSpec!C6=1,RadSpec!D6&lt;&gt;0),(DL/(RadSpec!H6*IFA_res_adj*K*RadSpec!D6)),"."),".")</f>
        <v>.</v>
      </c>
      <c r="AA6" s="15">
        <f>IFERROR((DL/(RadSpec!M6*(1/8760)*DFA_res_adj)),".")</f>
        <v>5480.2961001654203</v>
      </c>
      <c r="AB6" s="15" t="str">
        <f>d_b2w!C6</f>
        <v>.</v>
      </c>
      <c r="AC6" s="15">
        <f t="shared" si="2"/>
        <v>5480.2961001654203</v>
      </c>
      <c r="AD6" s="189">
        <f>AC6*(0.0000000000000028)*RadSpec!$AY6*RadSpec!$AF6</f>
        <v>1.0207230826537012E-14</v>
      </c>
      <c r="AE6" s="15" t="str">
        <f>IFERROR(DL/(RadSpec!F6*EF_res*1*IRF_res*0.001*CF_res_fish),".")</f>
        <v>.</v>
      </c>
      <c r="AF6" s="189">
        <f>IFERROR(AE6*(0.0000000000028)*RadSpec!$AY6*RadSpec!$AF6,0)</f>
        <v>0</v>
      </c>
    </row>
    <row r="7" spans="1:32" x14ac:dyDescent="0.25">
      <c r="A7" s="44" t="s">
        <v>5</v>
      </c>
      <c r="B7" s="42" t="s">
        <v>1057</v>
      </c>
      <c r="C7" s="238"/>
      <c r="D7" s="15">
        <f>IFERROR((DL/(RadSpec!E7*IFS_res_adj*(1/1000))),".")</f>
        <v>3487.8083658571463</v>
      </c>
      <c r="E7" s="15">
        <f>IFERROR(IF(A7="H-3",(DL/(RadSpec!H7*IFA_res_adj*(1/17)*1000))*RadSpec!#REF!,(DL/(RadSpec!H7*IFA_res_adj*(1/PEF_wind)*1000))),".")</f>
        <v>406194.12281806185</v>
      </c>
      <c r="F7" s="15">
        <f>IFERROR((DL/(RadSpec!G7*EF_res*(1/365)*1*RadSpec!R7*((ET_res_o*(1/24)*RadSpec!W7)+(ET_res_i*(1/24)*RadSpec!AB7)))),".")</f>
        <v>549.73295114870382</v>
      </c>
      <c r="G7" s="15">
        <f>d_b2s!C7</f>
        <v>3.195516973768592</v>
      </c>
      <c r="H7" s="15">
        <f>d_dir!C7</f>
        <v>0.32216744805368919</v>
      </c>
      <c r="I7" s="15">
        <f t="shared" si="0"/>
        <v>3.1741331041437917</v>
      </c>
      <c r="J7" s="189">
        <f>I7*(0.0000000000028)*RadSpec!$AY7*RadSpec!$AF7</f>
        <v>2.5633464108577655E-11</v>
      </c>
      <c r="K7" s="15">
        <f>IFERROR((DL/(RadSpec!G7*EF_res*(1/365)*1*RadSpec!R7*((ET_res_o*(1/24)*RadSpec!W7)+(ET_res_i*(1/24)*RadSpec!AB7)))),".")</f>
        <v>549.73295114870382</v>
      </c>
      <c r="L7" s="15">
        <f>IFERROR((DL/(RadSpec!N7*EF_res*(1/365)*1*RadSpec!S7*((ET_res_o*(1/24)*RadSpec!X7)+(ET_res_i*(1/24)*RadSpec!AC7)))),".")</f>
        <v>958.76044456291811</v>
      </c>
      <c r="M7" s="15">
        <f>IFERROR((DL/(RadSpec!O7*EF_res*(1/365)*1*RadSpec!T7*((ET_res_o*(1/24)*RadSpec!Y7)+(ET_res_i*(1/24)*RadSpec!AD7)))),".")</f>
        <v>662.84672710522727</v>
      </c>
      <c r="N7" s="15">
        <f>IFERROR((DL/(RadSpec!P7*EF_res*(1/365)*1*RadSpec!U7*((ET_res_o*(1/24)*RadSpec!Z7)+(ET_res_i*(1/24)*RadSpec!AE7)))),".")</f>
        <v>561.22562608561054</v>
      </c>
      <c r="O7" s="15">
        <f>IFERROR((DL/(RadSpec!L7*EF_res*(1/365)*1*RadSpec!Q7*((ET_res_o*(1/24)*RadSpec!V7)+(ET_res_i*(1/24)*RadSpec!AA7)))),".")</f>
        <v>73.328809476166882</v>
      </c>
      <c r="P7" s="189">
        <f>K7*(0.0000000000028)*RadSpec!$AY7*RadSpec!$AF7</f>
        <v>4.4394987261802029E-9</v>
      </c>
      <c r="Q7" s="189">
        <f>L7*(0.0000000000028)*RadSpec!$AY7*RadSpec!$AF7</f>
        <v>7.7426971831595222E-9</v>
      </c>
      <c r="R7" s="189">
        <f>M7*(0.0000000000028)*RadSpec!$AY7*RadSpec!$AF7</f>
        <v>5.3529758303325077E-9</v>
      </c>
      <c r="S7" s="189">
        <f>N7*(0.0000000000028)*RadSpec!$AY7*RadSpec!$AF7</f>
        <v>4.532310546239719E-9</v>
      </c>
      <c r="T7" s="189">
        <f>O7*(0.0000000000000028)*RadSpec!$AY7*RadSpec!$AF7</f>
        <v>5.9218417884812872E-13</v>
      </c>
      <c r="U7" s="15">
        <f>IFERROR((DL/(RadSpec!H7*IFA_res_adj)),".")</f>
        <v>0.29881617993993198</v>
      </c>
      <c r="V7" s="15">
        <f>IFERROR((DL/(RadSpec!K7*EF_res*(1/365)*1*ET_res*(1/24)*GSF_a)),".")</f>
        <v>34617.796690073825</v>
      </c>
      <c r="W7" s="15">
        <f t="shared" si="5"/>
        <v>0.29881360062099233</v>
      </c>
      <c r="X7" s="189">
        <f>W7*(0.0000000000000028)*RadSpec!$AY7*RadSpec!$AF7</f>
        <v>2.4131400465448401E-15</v>
      </c>
      <c r="Y7" s="15">
        <f>IFERROR((DL/(RadSpec!I7*IFW_res_adj)),".")</f>
        <v>203.85878587741354</v>
      </c>
      <c r="Z7" s="15" t="str">
        <f>IFERROR(IF(AND(RadSpec!C7=1,RadSpec!D7&lt;&gt;0),(DL/(RadSpec!H7*IFA_res_adj*K*RadSpec!D7)),"."),".")</f>
        <v>.</v>
      </c>
      <c r="AA7" s="15">
        <f>IFERROR((DL/(RadSpec!M7*(1/8760)*DFA_res_adj)),".")</f>
        <v>1072151.8880524966</v>
      </c>
      <c r="AB7" s="15">
        <f>d_b2w!C7</f>
        <v>44.459442309800728</v>
      </c>
      <c r="AC7" s="15">
        <f>IF(AND(Y7&lt;&gt;".",Z7&lt;&gt;".",AA7&lt;&gt;".",AB7&lt;&gt;"."),1/((1/Y7)+(1/Z7)+(1/AA7)+(1/AB7)),IF(AND(Y7&lt;&gt;".",Z7&lt;&gt;".",AA7&lt;&gt;".",AB7="."), 1/((1/Y7)+(1/Z7)+(1/AA7)),IF(AND(Y7&lt;&gt;".",Z7&lt;&gt;".",AA7=".",AB7&lt;&gt;"."),1/((1/Y7)+(1/Z7)+(1/AB7)),IF(AND(Y7&lt;&gt;".",Z7=".",AA7&lt;&gt;".",AB7&lt;&gt;"."),1/((1/Y7)+(1/AA7)+(1/AB7)),IF(AND(Y7=".",Z7&lt;&gt;".",AA7&lt;&gt;".",AB7&lt;&gt;"."),1/((1/Z7)+(1/AA7)+(1/AB7)),IF(AND(Y7&lt;&gt;".",Z7&lt;&gt;".",AA7=".",AB7="."),1/((1/Y7)+(1/Z7)),IF(AND(Y7&lt;&gt;".",Z7=".",AA7&lt;&gt;".",AB7="."),1/((1/Y7)+(1/AA7)),IF(AND(Y7&lt;&gt;".",Z7=".",AA7=".",AB7&lt;&gt;"."),1/((1/Y7)+(1/AB7)),IF(AND(Y7=".",Z7=".",AA7&lt;&gt;".",AB7&lt;&gt;"."),1/((1/AA7)+(1/AB7)),IF(AND(Y7=".",Z7&lt;&gt;".",AA7=".",AB7&lt;&gt;"."),1/((1/Z7)+(1/AB7)),IF(AND(Y7=".",Z7&lt;&gt;".",AA7&lt;&gt;".",AB7="."),1/((1/Z7)+(1/AA7)),IF(AND(Y7&lt;&gt;".",Z7=".",AA7=".",AB7="."),1/((1/Y7)),IF(AND(Y7=".",Z7&lt;&gt;".",AA7=".",AB7="."),1/((1/Z7)),IF(AND(Y7=".",Z7=".",AA7&lt;&gt;".",AB7="."),1/((1/AA7)),IF(AND(Y7=".",Z7=".",AA7=".",AB7&lt;&gt;"."),1/((1/AB7)),IF(AND(Y7=".",Z7=".",AA7=".",AB7="."),"."))))))))))))))))</f>
        <v>36.498083363721484</v>
      </c>
      <c r="AD7" s="189">
        <f>AC7*(0.0000000000000028)*RadSpec!$AY7*RadSpec!$AF7</f>
        <v>2.9474892174951706E-13</v>
      </c>
      <c r="AE7" s="15">
        <f>IFERROR(DL/(RadSpec!F7*EF_res*1*IRF_res*0.001*CF_res_fish),".")</f>
        <v>7.9444523888968339</v>
      </c>
      <c r="AF7" s="189">
        <f>IFERROR(AE7*(0.0000000000028)*RadSpec!$AY7*RadSpec!$AF7,0)</f>
        <v>6.4157307992924593E-11</v>
      </c>
    </row>
    <row r="8" spans="1:32" x14ac:dyDescent="0.25">
      <c r="A8" s="44" t="s">
        <v>6</v>
      </c>
      <c r="B8" s="42" t="s">
        <v>1057</v>
      </c>
      <c r="C8" s="42"/>
      <c r="D8" s="15">
        <f>IFERROR((DL/(RadSpec!E8*IFS_res_adj*(1/1000))),".")</f>
        <v>23425.578576652475</v>
      </c>
      <c r="E8" s="15">
        <f>IFERROR(IF(A8="H-3",(DL/(RadSpec!H8*IFA_res_adj*(1/17)*1000))*RadSpec!#REF!,(DL/(RadSpec!H8*IFA_res_adj*(1/PEF_wind)*1000))),".")</f>
        <v>1670544.8431390715</v>
      </c>
      <c r="F8" s="15">
        <f>IFERROR((DL/(RadSpec!G8*EF_res*(1/365)*1*RadSpec!R8*((ET_res_o*(1/24)*RadSpec!W8)+(ET_res_i*(1/24)*RadSpec!AB8)))),".")</f>
        <v>4.3769498556133213</v>
      </c>
      <c r="G8" s="15">
        <f>d_b2s!C8</f>
        <v>21.462427435759192</v>
      </c>
      <c r="H8" s="15">
        <f>d_dir!C8</f>
        <v>2.1638112182710469</v>
      </c>
      <c r="I8" s="15">
        <f t="shared" si="0"/>
        <v>3.6349632760675084</v>
      </c>
      <c r="J8" s="189">
        <f>I8*(0.0000000000028)*RadSpec!$AY8*RadSpec!$AF8</f>
        <v>1.8804071678239966E-13</v>
      </c>
      <c r="K8" s="15">
        <f>IFERROR((DL/(RadSpec!G8*EF_res*(1/365)*1*RadSpec!R8*((ET_res_o*(1/24)*RadSpec!W8)+(ET_res_i*(1/24)*RadSpec!AB8)))),".")</f>
        <v>4.3769498556133213</v>
      </c>
      <c r="L8" s="15">
        <f>IFERROR((DL/(RadSpec!N8*EF_res*(1/365)*1*RadSpec!S8*((ET_res_o*(1/24)*RadSpec!X8)+(ET_res_i*(1/24)*RadSpec!AC8)))),".")</f>
        <v>20.260598073782418</v>
      </c>
      <c r="M8" s="15">
        <f>IFERROR((DL/(RadSpec!O8*EF_res*(1/365)*1*RadSpec!T8*((ET_res_o*(1/24)*RadSpec!Y8)+(ET_res_i*(1/24)*RadSpec!AD8)))),".")</f>
        <v>7.2554844453410023</v>
      </c>
      <c r="N8" s="15">
        <f>IFERROR((DL/(RadSpec!P8*EF_res*(1/365)*1*RadSpec!U8*((ET_res_o*(1/24)*RadSpec!Z8)+(ET_res_i*(1/24)*RadSpec!AE8)))),".")</f>
        <v>4.7795772904026785</v>
      </c>
      <c r="O8" s="15">
        <f>IFERROR((DL/(RadSpec!L8*EF_res*(1/365)*1*RadSpec!Q8*((ET_res_o*(1/24)*RadSpec!V8)+(ET_res_i*(1/24)*RadSpec!AA8)))),".")</f>
        <v>15.694153735447914</v>
      </c>
      <c r="P8" s="189">
        <f>K8*(0.0000000000028)*RadSpec!$AY8*RadSpec!$AF8</f>
        <v>2.2642451261861498E-13</v>
      </c>
      <c r="Q8" s="189">
        <f>L8*(0.0000000000028)*RadSpec!$AY8*RadSpec!$AF8</f>
        <v>1.0481034043226456E-12</v>
      </c>
      <c r="R8" s="189">
        <f>M8*(0.0000000000028)*RadSpec!$AY8*RadSpec!$AF8</f>
        <v>3.7533432722365016E-13</v>
      </c>
      <c r="S8" s="189">
        <f>N8*(0.0000000000028)*RadSpec!$AY8*RadSpec!$AF8</f>
        <v>2.4725288024822059E-13</v>
      </c>
      <c r="T8" s="189">
        <f>O8*(0.0000000000000028)*RadSpec!$AY8*RadSpec!$AF8</f>
        <v>8.1187613012131901E-16</v>
      </c>
      <c r="U8" s="15">
        <f>IFERROR((DL/(RadSpec!H8*IFA_res_adj)),".")</f>
        <v>1.2289341484853542</v>
      </c>
      <c r="V8" s="15">
        <f>IFERROR((DL/(RadSpec!K8*EF_res*(1/365)*1*ET_res*(1/24)*GSF_a)),".")</f>
        <v>1503.6012703769438</v>
      </c>
      <c r="W8" s="15">
        <f t="shared" si="5"/>
        <v>1.2279305275208285</v>
      </c>
      <c r="X8" s="189">
        <f>W8*(0.0000000000000028)*RadSpec!$AY8*RadSpec!$AF8</f>
        <v>6.3522219900886408E-17</v>
      </c>
      <c r="Y8" s="15">
        <f>IFERROR((DL/(RadSpec!I8*IFW_res_adj)),".")</f>
        <v>1369.2008006691954</v>
      </c>
      <c r="Z8" s="15" t="str">
        <f>IFERROR(IF(AND(RadSpec!C8=1,RadSpec!D8&lt;&gt;0),(DL/(RadSpec!H8*IFA_res_adj*K*RadSpec!D8)),"."),".")</f>
        <v>.</v>
      </c>
      <c r="AA8" s="15">
        <f>IFERROR((DL/(RadSpec!M8*(1/8760)*DFA_res_adj)),".")</f>
        <v>25357.243066638413</v>
      </c>
      <c r="AB8" s="15">
        <f>d_b2w!C8</f>
        <v>298.60819461806466</v>
      </c>
      <c r="AC8" s="15">
        <f t="shared" si="2"/>
        <v>242.79744740387881</v>
      </c>
      <c r="AD8" s="189">
        <f>AC8*(0.0000000000000028)*RadSpec!$AY8*RadSpec!$AF8</f>
        <v>1.2560183576917776E-14</v>
      </c>
      <c r="AE8" s="15">
        <f>IFERROR(DL/(RadSpec!F8*EF_res*1*IRF_res*0.001*CF_res_fish),".")</f>
        <v>53.358262313486186</v>
      </c>
      <c r="AF8" s="189">
        <f>IFERROR(AE8*(0.0000000000028)*RadSpec!$AY8*RadSpec!$AF8,0)</f>
        <v>2.7602826025098206E-12</v>
      </c>
    </row>
    <row r="9" spans="1:32" x14ac:dyDescent="0.25">
      <c r="A9" s="44" t="s">
        <v>7</v>
      </c>
      <c r="B9" s="42" t="s">
        <v>1057</v>
      </c>
      <c r="C9" s="238"/>
      <c r="D9" s="15">
        <f>IFERROR((DL/(RadSpec!E9*IFS_res_adj*(1/1000))),".")</f>
        <v>42134.59770834136</v>
      </c>
      <c r="E9" s="15">
        <f>IFERROR(IF(A9="H-3",(DL/(RadSpec!H9*IFA_res_adj*(1/17)*1000))*RadSpec!#REF!,(DL/(RadSpec!H9*IFA_res_adj*(1/PEF_wind)*1000))),".")</f>
        <v>5995247.6815933594</v>
      </c>
      <c r="F9" s="15">
        <f>IFERROR((DL/(RadSpec!G9*EF_res*(1/365)*1*RadSpec!R9*((ET_res_o*(1/24)*RadSpec!W9)+(ET_res_i*(1/24)*RadSpec!AB9)))),".")</f>
        <v>0.32939009138357922</v>
      </c>
      <c r="G9" s="15">
        <f>d_b2s!C9</f>
        <v>38.603560756935998</v>
      </c>
      <c r="H9" s="15">
        <f>d_dir!C9</f>
        <v>3.8919557482996012</v>
      </c>
      <c r="I9" s="15">
        <f t="shared" si="0"/>
        <v>0.32660075520008208</v>
      </c>
      <c r="J9" s="189">
        <f>I9*(0.0000000000028)*RadSpec!$AY9*RadSpec!$AF9</f>
        <v>7.4094625819372016E-15</v>
      </c>
      <c r="K9" s="15">
        <f>IFERROR((DL/(RadSpec!G9*EF_res*(1/365)*1*RadSpec!R9*((ET_res_o*(1/24)*RadSpec!W9)+(ET_res_i*(1/24)*RadSpec!AB9)))),".")</f>
        <v>0.32939009138357922</v>
      </c>
      <c r="L9" s="15">
        <f>IFERROR((DL/(RadSpec!N9*EF_res*(1/365)*1*RadSpec!S9*((ET_res_o*(1/24)*RadSpec!X9)+(ET_res_i*(1/24)*RadSpec!AC9)))),".")</f>
        <v>1.8471531500753466</v>
      </c>
      <c r="M9" s="15">
        <f>IFERROR((DL/(RadSpec!O9*EF_res*(1/365)*1*RadSpec!T9*((ET_res_o*(1/24)*RadSpec!Y9)+(ET_res_i*(1/24)*RadSpec!AD9)))),".")</f>
        <v>0.63917362970861202</v>
      </c>
      <c r="N9" s="15">
        <f>IFERROR((DL/(RadSpec!P9*EF_res*(1/365)*1*RadSpec!U9*((ET_res_o*(1/24)*RadSpec!Z9)+(ET_res_i*(1/24)*RadSpec!AE9)))),".")</f>
        <v>0.39478371246708394</v>
      </c>
      <c r="O9" s="15">
        <f>IFERROR((DL/(RadSpec!L9*EF_res*(1/365)*1*RadSpec!Q9*((ET_res_o*(1/24)*RadSpec!V9)+(ET_res_i*(1/24)*RadSpec!AA9)))),".")</f>
        <v>1.8125642342348292</v>
      </c>
      <c r="P9" s="189">
        <f>K9*(0.0000000000028)*RadSpec!$AY9*RadSpec!$AF9</f>
        <v>7.472743152330876E-15</v>
      </c>
      <c r="Q9" s="189">
        <f>L9*(0.0000000000028)*RadSpec!$AY9*RadSpec!$AF9</f>
        <v>4.1905635338185754E-14</v>
      </c>
      <c r="R9" s="189">
        <f>M9*(0.0000000000028)*RadSpec!$AY9*RadSpec!$AF9</f>
        <v>1.4500680164642054E-14</v>
      </c>
      <c r="S9" s="189">
        <f>N9*(0.0000000000028)*RadSpec!$AY9*RadSpec!$AF9</f>
        <v>8.9563024546318571E-15</v>
      </c>
      <c r="T9" s="189">
        <f>O9*(0.0000000000000028)*RadSpec!$AY9*RadSpec!$AF9</f>
        <v>4.1120930240020614E-17</v>
      </c>
      <c r="U9" s="15">
        <f>IFERROR((DL/(RadSpec!H9*IFA_res_adj)),".")</f>
        <v>4.4103961858893781</v>
      </c>
      <c r="V9" s="15">
        <f>IFERROR((DL/(RadSpec!K9*EF_res*(1/365)*1*ET_res*(1/24)*GSF_a)),".")</f>
        <v>125.61732132263079</v>
      </c>
      <c r="W9" s="15">
        <f t="shared" si="5"/>
        <v>4.2608004313131813</v>
      </c>
      <c r="X9" s="189">
        <f>W9*(0.0000000000000028)*RadSpec!$AY9*RadSpec!$AF9</f>
        <v>9.6663099708928579E-17</v>
      </c>
      <c r="Y9" s="15">
        <f>IFERROR((DL/(RadSpec!I9*IFW_res_adj)),".")</f>
        <v>2462.7235877808344</v>
      </c>
      <c r="Z9" s="15">
        <f>IFERROR(IF(AND(RadSpec!C9=1,RadSpec!D9&lt;&gt;0),(DL/(RadSpec!H9*IFA_res_adj*K*RadSpec!D9)),"."),".")</f>
        <v>10.832824574180092</v>
      </c>
      <c r="AA9" s="15">
        <f>IFERROR((DL/(RadSpec!M9*(1/8760)*DFA_res_adj)),".")</f>
        <v>2074.6835236340521</v>
      </c>
      <c r="AB9" s="15">
        <f>d_b2w!C9</f>
        <v>537.09393394390145</v>
      </c>
      <c r="AC9" s="15">
        <f t="shared" si="2"/>
        <v>10.519455450717498</v>
      </c>
      <c r="AD9" s="189">
        <f>AC9*(0.0000000000000028)*RadSpec!$AY9*RadSpec!$AF9</f>
        <v>2.3865073887136882E-16</v>
      </c>
      <c r="AE9" s="15">
        <f>IFERROR(DL/(RadSpec!F9*EF_res*1*IRF_res*0.001*CF_res_fish),".")</f>
        <v>95.973250335666435</v>
      </c>
      <c r="AF9" s="189">
        <f>IFERROR(AE9*(0.0000000000028)*RadSpec!$AY9*RadSpec!$AF9,0)</f>
        <v>2.1773072961615546E-12</v>
      </c>
    </row>
    <row r="10" spans="1:32" x14ac:dyDescent="0.25">
      <c r="A10" s="46" t="s">
        <v>8</v>
      </c>
      <c r="B10" s="42" t="s">
        <v>335</v>
      </c>
      <c r="C10" s="42"/>
      <c r="D10" s="15">
        <f>IFERROR((DL/(RadSpec!E10*IFS_res_adj*(1/1000))),".")</f>
        <v>472.03421492803483</v>
      </c>
      <c r="E10" s="15">
        <f>IFERROR(IF(A10="H-3",(DL/(RadSpec!H10*IFA_res_adj*(1/17)*1000))*RadSpec!#REF!,(DL/(RadSpec!H10*IFA_res_adj*(1/PEF_wind)*1000))),".")</f>
        <v>1422166.4731759478</v>
      </c>
      <c r="F10" s="15">
        <f>IFERROR((DL/(RadSpec!G10*EF_res*(1/365)*1*RadSpec!R10*((ET_res_o*(1/24)*RadSpec!W10)+(ET_res_i*(1/24)*RadSpec!AB10)))),".")</f>
        <v>3463.9087029369948</v>
      </c>
      <c r="G10" s="15">
        <f>d_b2s!C10</f>
        <v>1.7661671420063139</v>
      </c>
      <c r="H10" s="15">
        <f>d_dir!C10</f>
        <v>4.3601609511025617E-2</v>
      </c>
      <c r="I10" s="15">
        <f t="shared" si="0"/>
        <v>1.7586879221688707</v>
      </c>
      <c r="J10" s="189">
        <f>I10*(0.0000000000028)*RadSpec!$AY10*RadSpec!$AF10</f>
        <v>2.0351711730307704E-8</v>
      </c>
      <c r="K10" s="15">
        <f>IFERROR((DL/(RadSpec!G10*EF_res*(1/365)*1*RadSpec!R10*((ET_res_o*(1/24)*RadSpec!W10)+(ET_res_i*(1/24)*RadSpec!AB10)))),".")</f>
        <v>3463.9087029369948</v>
      </c>
      <c r="L10" s="15">
        <f>IFERROR((DL/(RadSpec!N10*EF_res*(1/365)*1*RadSpec!S10*((ET_res_o*(1/24)*RadSpec!X10)+(ET_res_i*(1/24)*RadSpec!AC10)))),".")</f>
        <v>7491.7095203055933</v>
      </c>
      <c r="M10" s="15">
        <f>IFERROR((DL/(RadSpec!O10*EF_res*(1/365)*1*RadSpec!T10*((ET_res_o*(1/24)*RadSpec!Y10)+(ET_res_i*(1/24)*RadSpec!AD10)))),".")</f>
        <v>4295.2467916418736</v>
      </c>
      <c r="N10" s="15">
        <f>IFERROR((DL/(RadSpec!P10*EF_res*(1/365)*1*RadSpec!U10*((ET_res_o*(1/24)*RadSpec!Z10)+(ET_res_i*(1/24)*RadSpec!AE10)))),".")</f>
        <v>3524.5460544107277</v>
      </c>
      <c r="O10" s="15">
        <f>IFERROR((DL/(RadSpec!L10*EF_res*(1/365)*1*RadSpec!Q10*((ET_res_o*(1/24)*RadSpec!V10)+(ET_res_i*(1/24)*RadSpec!AA10)))),".")</f>
        <v>822.3134864579738</v>
      </c>
      <c r="P10" s="189">
        <f>K10*(0.0000000000028)*RadSpec!$AY10*RadSpec!$AF10</f>
        <v>4.0084696377137369E-5</v>
      </c>
      <c r="Q10" s="189">
        <f>L10*(0.0000000000028)*RadSpec!$AY10*RadSpec!$AF10</f>
        <v>8.6694808443576183E-5</v>
      </c>
      <c r="R10" s="189">
        <f>M10*(0.0000000000028)*RadSpec!$AY10*RadSpec!$AF10</f>
        <v>4.9705023507650341E-5</v>
      </c>
      <c r="S10" s="189">
        <f>N10*(0.0000000000028)*RadSpec!$AY10*RadSpec!$AF10</f>
        <v>4.0786397845446121E-5</v>
      </c>
      <c r="T10" s="189">
        <f>O10*(0.0000000000000028)*RadSpec!$AY10*RadSpec!$AF10</f>
        <v>9.5158935348223845E-9</v>
      </c>
      <c r="U10" s="15">
        <f>IFERROR((DL/(RadSpec!H10*IFA_res_adj)),".")</f>
        <v>1.0462149225714645</v>
      </c>
      <c r="V10" s="15">
        <f>IFERROR((DL/(RadSpec!K10*EF_res*(1/365)*1*ET_res*(1/24)*GSF_a)),".")</f>
        <v>95014.803681266494</v>
      </c>
      <c r="W10" s="15">
        <f t="shared" ref="W10" si="6">IF(AND(U10&lt;&gt;".",V10&lt;&gt;"."),1/((1/U10)+(1/V10)),IF(AND(U10&lt;&gt;".",V10="."),1/((1/U10)),IF(AND(U10=".",V10&lt;&gt;"."),1/((1/V10)),IF(AND(U10&lt;&gt;".",V10="."),"."))))</f>
        <v>1.0462034027496094</v>
      </c>
      <c r="X10" s="189">
        <f>W10*(0.0000000000000028)*RadSpec!$AY10*RadSpec!$AF10</f>
        <v>1.2106769936629259E-11</v>
      </c>
      <c r="Y10" s="15">
        <f>IFERROR((DL/(RadSpec!I10*IFW_res_adj)),".")</f>
        <v>27.589910870627396</v>
      </c>
      <c r="Z10" s="15" t="str">
        <f>IFERROR(IF(AND(RadSpec!C10=1,RadSpec!D10&lt;&gt;0),(DL/(RadSpec!H10*IFA_res_adj*K*RadSpec!D10)),"."),".")</f>
        <v>.</v>
      </c>
      <c r="AA10" s="15">
        <f>IFERROR((DL/(RadSpec!M10*(1/8760)*DFA_res_adj)),".")</f>
        <v>3042869.1679966096</v>
      </c>
      <c r="AB10" s="15">
        <f>d_b2w!C10</f>
        <v>9.6359344733496712</v>
      </c>
      <c r="AC10" s="15">
        <f t="shared" si="2"/>
        <v>7.1416497558227796</v>
      </c>
      <c r="AD10" s="189">
        <f>AC10*(0.0000000000000028)*RadSpec!$AY10*RadSpec!$AF10</f>
        <v>8.264388199703089E-11</v>
      </c>
      <c r="AE10" s="15">
        <f>IFERROR(DL/(RadSpec!F10*EF_res*1*IRF_res*0.001*CF_res_fish),".")</f>
        <v>1.075189045113857</v>
      </c>
      <c r="AF10" s="189">
        <f>IFERROR(AE10*(0.0000000000028)*RadSpec!$AY10*RadSpec!$AF10,0)</f>
        <v>1.2442194675878886E-8</v>
      </c>
    </row>
    <row r="11" spans="1:32" x14ac:dyDescent="0.25">
      <c r="A11" s="44" t="s">
        <v>9</v>
      </c>
      <c r="B11" s="42" t="s">
        <v>1057</v>
      </c>
      <c r="C11" s="42"/>
      <c r="D11" s="15" t="str">
        <f>IFERROR((DL/(RadSpec!E11*IFS_res_adj*(1/1000))),".")</f>
        <v>.</v>
      </c>
      <c r="E11" s="15" t="str">
        <f>IFERROR(IF(A11="H-3",(DL/(RadSpec!H11*IFA_res_adj*(1/17)*1000))*RadSpec!#REF!,(DL/(RadSpec!H11*IFA_res_adj*(1/PEF_wind)*1000))),".")</f>
        <v>.</v>
      </c>
      <c r="F11" s="15">
        <f>IFERROR((DL/(RadSpec!G11*EF_res*(1/365)*1*RadSpec!R11*((ET_res_o*(1/24)*RadSpec!W11)+(ET_res_i*(1/24)*RadSpec!AB11)))),".")</f>
        <v>22.590708932197789</v>
      </c>
      <c r="G11" s="15" t="str">
        <f>d_b2s!C11</f>
        <v>.</v>
      </c>
      <c r="H11" s="15" t="str">
        <f>d_dir!C11</f>
        <v>.</v>
      </c>
      <c r="I11" s="15">
        <f t="shared" si="0"/>
        <v>22.590708932197789</v>
      </c>
      <c r="J11" s="189">
        <f>I11*(0.0000000000028)*RadSpec!$AY11*RadSpec!$AF11</f>
        <v>1.3032294590467196E-13</v>
      </c>
      <c r="K11" s="15">
        <f>IFERROR((DL/(RadSpec!G11*EF_res*(1/365)*1*RadSpec!R11*((ET_res_o*(1/24)*RadSpec!W11)+(ET_res_i*(1/24)*RadSpec!AB11)))),".")</f>
        <v>22.590708932197789</v>
      </c>
      <c r="L11" s="15">
        <f>IFERROR((DL/(RadSpec!N11*EF_res*(1/365)*1*RadSpec!S11*((ET_res_o*(1/24)*RadSpec!X11)+(ET_res_i*(1/24)*RadSpec!AC11)))),".")</f>
        <v>94.194008588637573</v>
      </c>
      <c r="M11" s="15">
        <f>IFERROR((DL/(RadSpec!O11*EF_res*(1/365)*1*RadSpec!T11*((ET_res_o*(1/24)*RadSpec!Y11)+(ET_res_i*(1/24)*RadSpec!AD11)))),".")</f>
        <v>33.697019808905907</v>
      </c>
      <c r="N11" s="15">
        <f>IFERROR((DL/(RadSpec!P11*EF_res*(1/365)*1*RadSpec!U11*((ET_res_o*(1/24)*RadSpec!Z11)+(ET_res_i*(1/24)*RadSpec!AE11)))),".")</f>
        <v>23.479847621949013</v>
      </c>
      <c r="O11" s="15">
        <f>IFERROR((DL/(RadSpec!L11*EF_res*(1/365)*1*RadSpec!Q11*((ET_res_o*(1/24)*RadSpec!V11)+(ET_res_i*(1/24)*RadSpec!AA11)))),".")</f>
        <v>95.681829465184308</v>
      </c>
      <c r="P11" s="189">
        <f>K11*(0.0000000000028)*RadSpec!$AY11*RadSpec!$AF11</f>
        <v>1.3032294590467196E-13</v>
      </c>
      <c r="Q11" s="189">
        <f>L11*(0.0000000000028)*RadSpec!$AY11*RadSpec!$AF11</f>
        <v>5.4339333584813524E-13</v>
      </c>
      <c r="R11" s="189">
        <f>M11*(0.0000000000028)*RadSpec!$AY11*RadSpec!$AF11</f>
        <v>1.943938502720316E-13</v>
      </c>
      <c r="S11" s="189">
        <f>N11*(0.0000000000028)*RadSpec!$AY11*RadSpec!$AF11</f>
        <v>1.3545227467934563E-13</v>
      </c>
      <c r="T11" s="189">
        <f>O11*(0.0000000000000028)*RadSpec!$AY11*RadSpec!$AF11</f>
        <v>5.519763865258271E-16</v>
      </c>
      <c r="U11" s="15" t="str">
        <f>IFERROR((DL/(RadSpec!H11*IFA_res_adj)),".")</f>
        <v>.</v>
      </c>
      <c r="V11" s="15">
        <f>IFERROR((DL/(RadSpec!K11*EF_res*(1/365)*1*ET_res*(1/24)*GSF_a)),".")</f>
        <v>7145.1132368312401</v>
      </c>
      <c r="W11" s="15">
        <f t="shared" ref="W11" si="7">IF(AND(U11&lt;&gt;".",V11&lt;&gt;"."),1/((1/U11)+(1/V11)),IF(AND(U11&lt;&gt;".",V11="."),1/((1/U11)),IF(AND(U11=".",V11&lt;&gt;"."),1/((1/V11)),IF(AND(U11&lt;&gt;".",V11="."),"."))))</f>
        <v>7145.1132368312401</v>
      </c>
      <c r="X11" s="189">
        <f>W11*(0.0000000000000028)*RadSpec!$AY11*RadSpec!$AF11</f>
        <v>4.1219255608182546E-14</v>
      </c>
      <c r="Y11" s="15" t="str">
        <f>IFERROR((DL/(RadSpec!I11*IFW_res_adj)),".")</f>
        <v>.</v>
      </c>
      <c r="Z11" s="15" t="str">
        <f>IFERROR(IF(AND(RadSpec!C11=1,RadSpec!D11&lt;&gt;0),(DL/(RadSpec!H11*IFA_res_adj*K*RadSpec!D11)),"."),".")</f>
        <v>.</v>
      </c>
      <c r="AA11" s="15">
        <f>IFERROR((DL/(RadSpec!M11*(1/8760)*DFA_res_adj)),".")</f>
        <v>116182.27732350692</v>
      </c>
      <c r="AB11" s="15" t="str">
        <f>d_b2w!C11</f>
        <v>.</v>
      </c>
      <c r="AC11" s="15">
        <f t="shared" si="2"/>
        <v>116182.27732350692</v>
      </c>
      <c r="AD11" s="189">
        <f>AC11*(0.0000000000000028)*RadSpec!$AY11*RadSpec!$AF11</f>
        <v>6.7024088036178067E-13</v>
      </c>
      <c r="AE11" s="15" t="str">
        <f>IFERROR(DL/(RadSpec!F11*EF_res*1*IRF_res*0.001*CF_res_fish),".")</f>
        <v>.</v>
      </c>
      <c r="AF11" s="189">
        <f>IFERROR(AE11*(0.0000000000028)*RadSpec!$AY11*RadSpec!$AF11,0)</f>
        <v>0</v>
      </c>
    </row>
    <row r="12" spans="1:32" x14ac:dyDescent="0.25">
      <c r="A12" s="44" t="s">
        <v>10</v>
      </c>
      <c r="B12" s="42" t="s">
        <v>1057</v>
      </c>
      <c r="C12" s="238"/>
      <c r="D12" s="15" t="str">
        <f>IFERROR((DL/(RadSpec!E12*IFS_res_adj*(1/1000))),".")</f>
        <v>.</v>
      </c>
      <c r="E12" s="15" t="str">
        <f>IFERROR(IF(A12="H-3",(DL/(RadSpec!H12*IFA_res_adj*(1/17)*1000))*RadSpec!#REF!,(DL/(RadSpec!H12*IFA_res_adj*(1/PEF_wind)*1000))),".")</f>
        <v>.</v>
      </c>
      <c r="F12" s="15">
        <f>IFERROR((DL/(RadSpec!G12*EF_res*(1/365)*1*RadSpec!R12*((ET_res_o*(1/24)*RadSpec!W12)+(ET_res_i*(1/24)*RadSpec!AB12)))),".")</f>
        <v>4.9107242282490926</v>
      </c>
      <c r="G12" s="15" t="str">
        <f>d_b2s!C12</f>
        <v>.</v>
      </c>
      <c r="H12" s="15" t="str">
        <f>d_dir!C12</f>
        <v>.</v>
      </c>
      <c r="I12" s="15">
        <f t="shared" si="0"/>
        <v>4.9107242282490926</v>
      </c>
      <c r="J12" s="189">
        <f>I12*(0.0000000000028)*RadSpec!$AY12*RadSpec!$AF12</f>
        <v>4.3921083978426085E-14</v>
      </c>
      <c r="K12" s="15">
        <f>IFERROR((DL/(RadSpec!G12*EF_res*(1/365)*1*RadSpec!R12*((ET_res_o*(1/24)*RadSpec!W12)+(ET_res_i*(1/24)*RadSpec!AB12)))),".")</f>
        <v>4.9107242282490926</v>
      </c>
      <c r="L12" s="15">
        <f>IFERROR((DL/(RadSpec!N12*EF_res*(1/365)*1*RadSpec!S12*((ET_res_o*(1/24)*RadSpec!X12)+(ET_res_i*(1/24)*RadSpec!AC12)))),".")</f>
        <v>21.707783650481161</v>
      </c>
      <c r="M12" s="15">
        <f>IFERROR((DL/(RadSpec!O12*EF_res*(1/365)*1*RadSpec!T12*((ET_res_o*(1/24)*RadSpec!Y12)+(ET_res_i*(1/24)*RadSpec!AD12)))),".")</f>
        <v>7.7812441877570153</v>
      </c>
      <c r="N12" s="15">
        <f>IFERROR((DL/(RadSpec!P12*EF_res*(1/365)*1*RadSpec!U12*((ET_res_o*(1/24)*RadSpec!Z12)+(ET_res_i*(1/24)*RadSpec!AE12)))),".")</f>
        <v>5.2466369604746008</v>
      </c>
      <c r="O12" s="15">
        <f>IFERROR((DL/(RadSpec!L12*EF_res*(1/365)*1*RadSpec!Q12*((ET_res_o*(1/24)*RadSpec!V12)+(ET_res_i*(1/24)*RadSpec!AA12)))),".")</f>
        <v>17.274102098076899</v>
      </c>
      <c r="P12" s="189">
        <f>K12*(0.0000000000028)*RadSpec!$AY12*RadSpec!$AF12</f>
        <v>4.3921083978426085E-14</v>
      </c>
      <c r="Q12" s="189">
        <f>L12*(0.0000000000028)*RadSpec!$AY12*RadSpec!$AF12</f>
        <v>1.9415250060544147E-13</v>
      </c>
      <c r="R12" s="189">
        <f>M12*(0.0000000000028)*RadSpec!$AY12*RadSpec!$AF12</f>
        <v>6.9594761086588192E-14</v>
      </c>
      <c r="S12" s="189">
        <f>N12*(0.0000000000028)*RadSpec!$AY12*RadSpec!$AF12</f>
        <v>4.6925457801054586E-14</v>
      </c>
      <c r="T12" s="189">
        <f>O12*(0.0000000000000028)*RadSpec!$AY12*RadSpec!$AF12</f>
        <v>1.5449804420641505E-16</v>
      </c>
      <c r="U12" s="15" t="str">
        <f>IFERROR((DL/(RadSpec!H12*IFA_res_adj)),".")</f>
        <v>.</v>
      </c>
      <c r="V12" s="15">
        <f>IFERROR((DL/(RadSpec!K12*EF_res*(1/365)*1*ET_res*(1/24)*GSF_a)),".")</f>
        <v>1606.3653859782462</v>
      </c>
      <c r="W12" s="15">
        <f t="shared" ref="W12" si="8">IF(AND(U12&lt;&gt;".",V12&lt;&gt;"."),1/((1/U12)+(1/V12)),IF(AND(U12&lt;&gt;".",V12="."),1/((1/U12)),IF(AND(U12=".",V12&lt;&gt;"."),1/((1/V12)),IF(AND(U12&lt;&gt;".",V12="."),"."))))</f>
        <v>1606.3653859782462</v>
      </c>
      <c r="X12" s="189">
        <f>W12*(0.0000000000000028)*RadSpec!$AY12*RadSpec!$AF12</f>
        <v>1.436719020215538E-14</v>
      </c>
      <c r="Y12" s="15" t="str">
        <f>IFERROR((DL/(RadSpec!I12*IFW_res_adj)),".")</f>
        <v>.</v>
      </c>
      <c r="Z12" s="15" t="str">
        <f>IFERROR(IF(AND(RadSpec!C12=1,RadSpec!D12&lt;&gt;0),(DL/(RadSpec!H12*IFA_res_adj*K*RadSpec!D12)),"."),".")</f>
        <v>.</v>
      </c>
      <c r="AA12" s="15">
        <f>IFERROR((DL/(RadSpec!M12*(1/8760)*DFA_res_adj)),".")</f>
        <v>26848.845599970082</v>
      </c>
      <c r="AB12" s="15" t="str">
        <f>d_b2w!C12</f>
        <v>.</v>
      </c>
      <c r="AC12" s="15">
        <f t="shared" si="2"/>
        <v>26848.845599970082</v>
      </c>
      <c r="AD12" s="189">
        <f>AC12*(0.0000000000000028)*RadSpec!$AY12*RadSpec!$AF12</f>
        <v>2.4013370482840851E-13</v>
      </c>
      <c r="AE12" s="15" t="str">
        <f>IFERROR(DL/(RadSpec!F12*EF_res*1*IRF_res*0.001*CF_res_fish),".")</f>
        <v>.</v>
      </c>
      <c r="AF12" s="189">
        <f>IFERROR(AE12*(0.0000000000028)*RadSpec!$AY12*RadSpec!$AF12,0)</f>
        <v>0</v>
      </c>
    </row>
    <row r="13" spans="1:32" x14ac:dyDescent="0.25">
      <c r="A13" s="44" t="s">
        <v>11</v>
      </c>
      <c r="B13" s="42" t="s">
        <v>1057</v>
      </c>
      <c r="C13" s="42"/>
      <c r="D13" s="15">
        <f>IFERROR((DL/(RadSpec!E13*IFS_res_adj*(1/1000))),".")</f>
        <v>50.224440468342905</v>
      </c>
      <c r="E13" s="15">
        <f>IFERROR(IF(A13="H-3",(DL/(RadSpec!H13*IFA_res_adj*(1/17)*1000))*RadSpec!#REF!,(DL/(RadSpec!H13*IFA_res_adj*(1/PEF_wind)*1000))),".")</f>
        <v>4706.6938040823034</v>
      </c>
      <c r="F13" s="15">
        <f>IFERROR((DL/(RadSpec!G13*EF_res*(1/365)*1*RadSpec!R13*((ET_res_o*(1/24)*RadSpec!W13)+(ET_res_i*(1/24)*RadSpec!AB13)))),".")</f>
        <v>44.866784035256323</v>
      </c>
      <c r="G13" s="15">
        <f>d_b2s!C13</f>
        <v>0.44760999417388642</v>
      </c>
      <c r="H13" s="15">
        <f>d_dir!C13</f>
        <v>4.6392112519731254E-3</v>
      </c>
      <c r="I13" s="15">
        <f t="shared" si="0"/>
        <v>0.43927099744386955</v>
      </c>
      <c r="J13" s="189">
        <f>I13*(0.0000000000028)*RadSpec!$AY13*RadSpec!$AF13</f>
        <v>6.2497650148964393E-4</v>
      </c>
      <c r="K13" s="15">
        <f>IFERROR((DL/(RadSpec!G13*EF_res*(1/365)*1*RadSpec!R13*((ET_res_o*(1/24)*RadSpec!W13)+(ET_res_i*(1/24)*RadSpec!AB13)))),".")</f>
        <v>44.866784035256323</v>
      </c>
      <c r="L13" s="15">
        <f>IFERROR((DL/(RadSpec!N13*EF_res*(1/365)*1*RadSpec!S13*((ET_res_o*(1/24)*RadSpec!X13)+(ET_res_i*(1/24)*RadSpec!AC13)))),".")</f>
        <v>134.22646223880855</v>
      </c>
      <c r="M13" s="15">
        <f>IFERROR((DL/(RadSpec!O13*EF_res*(1/365)*1*RadSpec!T13*((ET_res_o*(1/24)*RadSpec!Y13)+(ET_res_i*(1/24)*RadSpec!AD13)))),".")</f>
        <v>56.31879534495463</v>
      </c>
      <c r="N13" s="15">
        <f>IFERROR((DL/(RadSpec!P13*EF_res*(1/365)*1*RadSpec!U13*((ET_res_o*(1/24)*RadSpec!Z13)+(ET_res_i*(1/24)*RadSpec!AE13)))),".")</f>
        <v>44.992110247645314</v>
      </c>
      <c r="O13" s="15">
        <f>IFERROR((DL/(RadSpec!L13*EF_res*(1/365)*1*RadSpec!Q13*((ET_res_o*(1/24)*RadSpec!V13)+(ET_res_i*(1/24)*RadSpec!AA13)))),".")</f>
        <v>105.4852955989122</v>
      </c>
      <c r="P13" s="189">
        <f>K13*(0.0000000000028)*RadSpec!$AY13*RadSpec!$AF13</f>
        <v>6.3834593867146835E-2</v>
      </c>
      <c r="Q13" s="189">
        <f>L13*(0.0000000000028)*RadSpec!$AY13*RadSpec!$AF13</f>
        <v>0.19097182665254767</v>
      </c>
      <c r="R13" s="189">
        <f>M13*(0.0000000000028)*RadSpec!$AY13*RadSpec!$AF13</f>
        <v>8.0128039154915107E-2</v>
      </c>
      <c r="S13" s="189">
        <f>N13*(0.0000000000028)*RadSpec!$AY13*RadSpec!$AF13</f>
        <v>6.4012902788563461E-2</v>
      </c>
      <c r="T13" s="189">
        <f>O13*(0.0000000000000028)*RadSpec!$AY13*RadSpec!$AF13</f>
        <v>1.5008009038983537E-4</v>
      </c>
      <c r="U13" s="15">
        <f>IFERROR((DL/(RadSpec!H13*IFA_res_adj)),".")</f>
        <v>3.4624731961293703E-3</v>
      </c>
      <c r="V13" s="15">
        <f>IFERROR((DL/(RadSpec!K13*EF_res*(1/365)*1*ET_res*(1/24)*GSF_a)),".")</f>
        <v>10385.33900702215</v>
      </c>
      <c r="W13" s="15">
        <f t="shared" ref="W13:W14" si="9">IF(AND(U13&lt;&gt;".",V13&lt;&gt;"."),1/((1/U13)+(1/V13)),IF(AND(U13&lt;&gt;".",V13="."),1/((1/U13)),IF(AND(U13=".",V13&lt;&gt;"."),1/((1/V13)),IF(AND(U13&lt;&gt;".",V13="."),"."))))</f>
        <v>3.4624720417408012E-3</v>
      </c>
      <c r="X13" s="189">
        <f>W13*(0.0000000000000028)*RadSpec!$AY13*RadSpec!$AF13</f>
        <v>4.9262611821518754E-9</v>
      </c>
      <c r="Y13" s="15">
        <f>IFERROR((DL/(RadSpec!I13*IFW_res_adj)),".")</f>
        <v>2.9355665166347547</v>
      </c>
      <c r="Z13" s="15" t="str">
        <f>IFERROR(IF(AND(RadSpec!C13=1,RadSpec!D13&lt;&gt;0),(DL/(RadSpec!H13*IFA_res_adj*K*RadSpec!D13)),"."),".")</f>
        <v>.</v>
      </c>
      <c r="AA13" s="15">
        <f>IFERROR((DL/(RadSpec!M13*(1/8760)*DFA_res_adj)),".")</f>
        <v>165544.69566820934</v>
      </c>
      <c r="AB13" s="15">
        <f>d_b2w!C13</f>
        <v>1.1560714195678143</v>
      </c>
      <c r="AC13" s="15">
        <f t="shared" si="2"/>
        <v>0.82942518363759743</v>
      </c>
      <c r="AD13" s="189">
        <f>AC13*(0.0000000000000028)*RadSpec!$AY13*RadSpec!$AF13</f>
        <v>1.1800716471919344E-6</v>
      </c>
      <c r="AE13" s="15">
        <f>IFERROR(DL/(RadSpec!F13*EF_res*1*IRF_res*0.001*CF_res_fish),".")</f>
        <v>0.11440011440011437</v>
      </c>
      <c r="AF13" s="189">
        <f>IFERROR(AE13*(0.0000000000028)*RadSpec!$AY13*RadSpec!$AF13,0)</f>
        <v>1.627637237237237E-4</v>
      </c>
    </row>
    <row r="14" spans="1:32" x14ac:dyDescent="0.25">
      <c r="A14" s="44" t="s">
        <v>12</v>
      </c>
      <c r="B14" s="42" t="s">
        <v>1057</v>
      </c>
      <c r="C14" s="42"/>
      <c r="D14" s="15">
        <f>IFERROR((DL/(RadSpec!E14*IFS_res_adj*(1/1000))),".")</f>
        <v>4756.1023170779263</v>
      </c>
      <c r="E14" s="15">
        <f>IFERROR(IF(A14="H-3",(DL/(RadSpec!H14*IFA_res_adj*(1/17)*1000))*RadSpec!#REF!,(DL/(RadSpec!H14*IFA_res_adj*(1/PEF_wind)*1000))),".")</f>
        <v>13005338.142858999</v>
      </c>
      <c r="F14" s="15">
        <f>IFERROR((DL/(RadSpec!G14*EF_res*(1/365)*1*RadSpec!R14*((ET_res_o*(1/24)*RadSpec!W14)+(ET_res_i*(1/24)*RadSpec!AB14)))),".")</f>
        <v>2.9554450401205554</v>
      </c>
      <c r="G14" s="15">
        <f>d_b2s!C14</f>
        <v>40.607889375364316</v>
      </c>
      <c r="H14" s="15">
        <f>d_dir!C14</f>
        <v>0.43931924734593991</v>
      </c>
      <c r="I14" s="15">
        <f t="shared" si="0"/>
        <v>2.7533448524683695</v>
      </c>
      <c r="J14" s="189">
        <f>I14*(0.0000000000028)*RadSpec!$AY14*RadSpec!$AF14</f>
        <v>1.3271326464455358E-10</v>
      </c>
      <c r="K14" s="15">
        <f>IFERROR((DL/(RadSpec!G14*EF_res*(1/365)*1*RadSpec!R14*((ET_res_o*(1/24)*RadSpec!W14)+(ET_res_i*(1/24)*RadSpec!AB14)))),".")</f>
        <v>2.9554450401205554</v>
      </c>
      <c r="L14" s="15">
        <f>IFERROR((DL/(RadSpec!N14*EF_res*(1/365)*1*RadSpec!S14*((ET_res_o*(1/24)*RadSpec!X14)+(ET_res_i*(1/24)*RadSpec!AC14)))),".")</f>
        <v>12.6828153296512</v>
      </c>
      <c r="M14" s="15">
        <f>IFERROR((DL/(RadSpec!O14*EF_res*(1/365)*1*RadSpec!T14*((ET_res_o*(1/24)*RadSpec!Y14)+(ET_res_i*(1/24)*RadSpec!AD14)))),".")</f>
        <v>4.5629392262484485</v>
      </c>
      <c r="N14" s="15">
        <f>IFERROR((DL/(RadSpec!P14*EF_res*(1/365)*1*RadSpec!U14*((ET_res_o*(1/24)*RadSpec!Z14)+(ET_res_i*(1/24)*RadSpec!AE14)))),".")</f>
        <v>3.1215456334606637</v>
      </c>
      <c r="O14" s="15">
        <f>IFERROR((DL/(RadSpec!L14*EF_res*(1/365)*1*RadSpec!Q14*((ET_res_o*(1/24)*RadSpec!V14)+(ET_res_i*(1/24)*RadSpec!AA14)))),".")</f>
        <v>12.741788181254742</v>
      </c>
      <c r="P14" s="189">
        <f>K14*(0.0000000000028)*RadSpec!$AY14*RadSpec!$AF14</f>
        <v>1.4245464363111721E-10</v>
      </c>
      <c r="Q14" s="189">
        <f>L14*(0.0000000000028)*RadSpec!$AY14*RadSpec!$AF14</f>
        <v>6.1132110849573907E-10</v>
      </c>
      <c r="R14" s="189">
        <f>M14*(0.0000000000028)*RadSpec!$AY14*RadSpec!$AF14</f>
        <v>2.1993705603104494E-10</v>
      </c>
      <c r="S14" s="189">
        <f>N14*(0.0000000000028)*RadSpec!$AY14*RadSpec!$AF14</f>
        <v>1.5046081546309857E-10</v>
      </c>
      <c r="T14" s="189">
        <f>O14*(0.0000000000000028)*RadSpec!$AY14*RadSpec!$AF14</f>
        <v>6.1416364369603865E-13</v>
      </c>
      <c r="U14" s="15">
        <f>IFERROR((DL/(RadSpec!H14*IFA_res_adj)),".")</f>
        <v>9.5673601471995759</v>
      </c>
      <c r="V14" s="15">
        <f>IFERROR((DL/(RadSpec!K14*EF_res*(1/365)*1*ET_res*(1/24)*GSF_a)),".")</f>
        <v>963.47265868813884</v>
      </c>
      <c r="W14" s="15">
        <f t="shared" si="9"/>
        <v>9.4732896275761558</v>
      </c>
      <c r="X14" s="189">
        <f>W14*(0.0000000000000028)*RadSpec!$AY14*RadSpec!$AF14</f>
        <v>4.5661958845144773E-13</v>
      </c>
      <c r="Y14" s="15">
        <f>IFERROR((DL/(RadSpec!I14*IFW_res_adj)),".")</f>
        <v>277.98925346920026</v>
      </c>
      <c r="Z14" s="15" t="str">
        <f>IFERROR(IF(AND(RadSpec!C14=1,RadSpec!D14&lt;&gt;0),(DL/(RadSpec!H14*IFA_res_adj*K*RadSpec!D14)),"."),".")</f>
        <v>.</v>
      </c>
      <c r="AA14" s="15">
        <f>IFERROR((DL/(RadSpec!M14*(1/8760)*DFA_res_adj)),".")</f>
        <v>15738.978455154876</v>
      </c>
      <c r="AB14" s="15">
        <f>d_b2w!C14</f>
        <v>109.03534415037855</v>
      </c>
      <c r="AC14" s="15">
        <f t="shared" si="2"/>
        <v>77.929349056591079</v>
      </c>
      <c r="AD14" s="189">
        <f>AC14*(0.0000000000000028)*RadSpec!$AY14*RadSpec!$AF14</f>
        <v>3.7562524416995367E-12</v>
      </c>
      <c r="AE14" s="15">
        <f>IFERROR(DL/(RadSpec!F14*EF_res*1*IRF_res*0.001*CF_res_fish),".")</f>
        <v>10.833344166677499</v>
      </c>
      <c r="AF14" s="189">
        <f>IFERROR(AE14*(0.0000000000028)*RadSpec!$AY14*RadSpec!$AF14,0)</f>
        <v>5.2217522628481516E-10</v>
      </c>
    </row>
    <row r="15" spans="1:32" x14ac:dyDescent="0.25">
      <c r="A15" s="44" t="s">
        <v>13</v>
      </c>
      <c r="B15" s="42" t="s">
        <v>1057</v>
      </c>
      <c r="C15" s="42"/>
      <c r="D15" s="15">
        <f>IFERROR((DL/(RadSpec!E15*IFS_res_adj*(1/1000))),".")</f>
        <v>84043.575080895083</v>
      </c>
      <c r="E15" s="15">
        <f>IFERROR(IF(A15="H-3",(DL/(RadSpec!H15*IFA_res_adj*(1/17)*1000))*RadSpec!#REF!,(DL/(RadSpec!H15*IFA_res_adj*(1/PEF_wind)*1000))),".")</f>
        <v>849632405.89451325</v>
      </c>
      <c r="F15" s="15">
        <f>IFERROR((DL/(RadSpec!G15*EF_res*(1/365)*1*RadSpec!R15*((ET_res_o*(1/24)*RadSpec!W15)+(ET_res_i*(1/24)*RadSpec!AB15)))),".")</f>
        <v>4440.9085935089661</v>
      </c>
      <c r="G15" s="15">
        <f>d_b2s!C15</f>
        <v>443.34942778640499</v>
      </c>
      <c r="H15" s="15">
        <f>d_dir!C15</f>
        <v>7.7630710374382961</v>
      </c>
      <c r="I15" s="15">
        <f t="shared" si="0"/>
        <v>401.1817007458564</v>
      </c>
      <c r="J15" s="189">
        <f>I15*(0.0000000000028)*RadSpec!$AY15*RadSpec!$AF15</f>
        <v>8.7181711329038026E-11</v>
      </c>
      <c r="K15" s="15">
        <f>IFERROR((DL/(RadSpec!G15*EF_res*(1/365)*1*RadSpec!R15*((ET_res_o*(1/24)*RadSpec!W15)+(ET_res_i*(1/24)*RadSpec!AB15)))),".")</f>
        <v>4440.9085935089661</v>
      </c>
      <c r="L15" s="15">
        <f>IFERROR((DL/(RadSpec!N15*EF_res*(1/365)*1*RadSpec!S15*((ET_res_o*(1/24)*RadSpec!X15)+(ET_res_i*(1/24)*RadSpec!AC15)))),".")</f>
        <v>11327.127615089328</v>
      </c>
      <c r="M15" s="15">
        <f>IFERROR((DL/(RadSpec!O15*EF_res*(1/365)*1*RadSpec!T15*((ET_res_o*(1/24)*RadSpec!Y15)+(ET_res_i*(1/24)*RadSpec!AD15)))),".")</f>
        <v>5610.3014519878161</v>
      </c>
      <c r="N15" s="15">
        <f>IFERROR((DL/(RadSpec!P15*EF_res*(1/365)*1*RadSpec!U15*((ET_res_o*(1/24)*RadSpec!Z15)+(ET_res_i*(1/24)*RadSpec!AE15)))),".")</f>
        <v>4508.025599959984</v>
      </c>
      <c r="O15" s="15">
        <f>IFERROR((DL/(RadSpec!L15*EF_res*(1/365)*1*RadSpec!Q15*((ET_res_o*(1/24)*RadSpec!V15)+(ET_res_i*(1/24)*RadSpec!AA15)))),".")</f>
        <v>896.49641679326294</v>
      </c>
      <c r="P15" s="189">
        <f>K15*(0.0000000000028)*RadSpec!$AY15*RadSpec!$AF15</f>
        <v>9.6506398551614855E-10</v>
      </c>
      <c r="Q15" s="189">
        <f>L15*(0.0000000000028)*RadSpec!$AY15*RadSpec!$AF15</f>
        <v>2.4615239630570121E-9</v>
      </c>
      <c r="R15" s="189">
        <f>M15*(0.0000000000028)*RadSpec!$AY15*RadSpec!$AF15</f>
        <v>1.2191874174388961E-9</v>
      </c>
      <c r="S15" s="189">
        <f>N15*(0.0000000000028)*RadSpec!$AY15*RadSpec!$AF15</f>
        <v>9.7964933542319373E-10</v>
      </c>
      <c r="T15" s="189">
        <f>O15*(0.0000000000000028)*RadSpec!$AY15*RadSpec!$AF15</f>
        <v>1.9481968312881595E-13</v>
      </c>
      <c r="U15" s="15">
        <f>IFERROR((DL/(RadSpec!H15*IFA_res_adj)),".")</f>
        <v>625.03097809785197</v>
      </c>
      <c r="V15" s="15">
        <f>IFERROR((DL/(RadSpec!K15*EF_res*(1/365)*1*ET_res*(1/24)*GSF_a)),".")</f>
        <v>89313.915460390475</v>
      </c>
      <c r="W15" s="15">
        <f t="shared" ref="W15:W17" si="10">IF(AND(U15&lt;&gt;".",V15&lt;&gt;"."),1/((1/U15)+(1/V15)),IF(AND(U15&lt;&gt;".",V15="."),1/((1/U15)),IF(AND(U15=".",V15&lt;&gt;"."),1/((1/V15)),IF(AND(U15&lt;&gt;".",V15="."),"."))))</f>
        <v>620.68732344042121</v>
      </c>
      <c r="X15" s="189">
        <f>W15*(0.0000000000000028)*RadSpec!$AY15*RadSpec!$AF15</f>
        <v>1.3488297935118359E-13</v>
      </c>
      <c r="Y15" s="15">
        <f>IFERROR((DL/(RadSpec!I15*IFW_res_adj)),".")</f>
        <v>4912.2599006605669</v>
      </c>
      <c r="Z15" s="15" t="str">
        <f>IFERROR(IF(AND(RadSpec!C15=1,RadSpec!D15&lt;&gt;0),(DL/(RadSpec!H15*IFA_res_adj*K*RadSpec!D15)),"."),".")</f>
        <v>.</v>
      </c>
      <c r="AA15" s="15">
        <f>IFERROR((DL/(RadSpec!M15*(1/8760)*DFA_res_adj)),".")</f>
        <v>2852689.8449968211</v>
      </c>
      <c r="AB15" s="15">
        <f>d_b2w!C15</f>
        <v>1818.7557173483738</v>
      </c>
      <c r="AC15" s="15">
        <f t="shared" si="2"/>
        <v>1326.7010887374761</v>
      </c>
      <c r="AD15" s="189">
        <f>AC15*(0.0000000000000028)*RadSpec!$AY15*RadSpec!$AF15</f>
        <v>2.8830844259146016E-13</v>
      </c>
      <c r="AE15" s="15">
        <f>IFERROR(DL/(RadSpec!F15*EF_res*1*IRF_res*0.001*CF_res_fish),".")</f>
        <v>191.43258768426102</v>
      </c>
      <c r="AF15" s="189">
        <f>IFERROR(AE15*(0.0000000000028)*RadSpec!$AY15*RadSpec!$AF15,0)</f>
        <v>4.160065269036921E-11</v>
      </c>
    </row>
    <row r="16" spans="1:32" x14ac:dyDescent="0.25">
      <c r="A16" s="44" t="s">
        <v>14</v>
      </c>
      <c r="B16" s="42" t="s">
        <v>1057</v>
      </c>
      <c r="C16" s="238"/>
      <c r="D16" s="15">
        <f>IFERROR((DL/(RadSpec!E16*IFS_res_adj*(1/1000))),".")</f>
        <v>6.1549559397479054</v>
      </c>
      <c r="E16" s="15">
        <f>IFERROR(IF(A16="H-3",(DL/(RadSpec!H16*IFA_res_adj*(1/17)*1000))*RadSpec!#REF!,(DL/(RadSpec!H16*IFA_res_adj*(1/PEF_wind)*1000))),".")</f>
        <v>9834.8825756943661</v>
      </c>
      <c r="F16" s="15">
        <f>IFERROR((DL/(RadSpec!G16*EF_res*(1/365)*1*RadSpec!R16*((ET_res_o*(1/24)*RadSpec!W16)+(ET_res_i*(1/24)*RadSpec!AB16)))),".")</f>
        <v>1438.1406668443772</v>
      </c>
      <c r="G16" s="15">
        <f>d_b2s!C16</f>
        <v>3.2468825740827906E-2</v>
      </c>
      <c r="H16" s="15">
        <f>d_dir!C16</f>
        <v>5.6853079068298115E-4</v>
      </c>
      <c r="I16" s="15">
        <f t="shared" si="0"/>
        <v>3.2297612505836383E-2</v>
      </c>
      <c r="J16" s="189">
        <f>I16*(0.0000000000028)*RadSpec!$AY16*RadSpec!$AF16</f>
        <v>4.2160011460618579E-10</v>
      </c>
      <c r="K16" s="15">
        <f>IFERROR((DL/(RadSpec!G16*EF_res*(1/365)*1*RadSpec!R16*((ET_res_o*(1/24)*RadSpec!W16)+(ET_res_i*(1/24)*RadSpec!AB16)))),".")</f>
        <v>1438.1406668443772</v>
      </c>
      <c r="L16" s="15">
        <f>IFERROR((DL/(RadSpec!N16*EF_res*(1/365)*1*RadSpec!S16*((ET_res_o*(1/24)*RadSpec!X16)+(ET_res_i*(1/24)*RadSpec!AC16)))),".")</f>
        <v>2262.2437455978966</v>
      </c>
      <c r="M16" s="15">
        <f>IFERROR((DL/(RadSpec!O16*EF_res*(1/365)*1*RadSpec!T16*((ET_res_o*(1/24)*RadSpec!Y16)+(ET_res_i*(1/24)*RadSpec!AD16)))),".")</f>
        <v>1464.2886789688207</v>
      </c>
      <c r="N16" s="15">
        <f>IFERROR((DL/(RadSpec!P16*EF_res*(1/365)*1*RadSpec!U16*((ET_res_o*(1/24)*RadSpec!Z16)+(ET_res_i*(1/24)*RadSpec!AE16)))),".")</f>
        <v>1438.1406668443772</v>
      </c>
      <c r="O16" s="15">
        <f>IFERROR((DL/(RadSpec!L16*EF_res*(1/365)*1*RadSpec!Q16*((ET_res_o*(1/24)*RadSpec!V16)+(ET_res_i*(1/24)*RadSpec!AA16)))),".")</f>
        <v>1186.1019412965243</v>
      </c>
      <c r="P16" s="189">
        <f>K16*(0.0000000000028)*RadSpec!$AY16*RadSpec!$AF16</f>
        <v>1.8772913008719764E-5</v>
      </c>
      <c r="Q16" s="189">
        <f>L16*(0.0000000000028)*RadSpec!$AY16*RadSpec!$AF16</f>
        <v>2.9530424957536706E-5</v>
      </c>
      <c r="R16" s="189">
        <f>M16*(0.0000000000028)*RadSpec!$AY16*RadSpec!$AF16</f>
        <v>1.9114238699787397E-5</v>
      </c>
      <c r="S16" s="189">
        <f>N16*(0.0000000000028)*RadSpec!$AY16*RadSpec!$AF16</f>
        <v>1.8772913008719764E-5</v>
      </c>
      <c r="T16" s="189">
        <f>O16*(0.0000000000000028)*RadSpec!$AY16*RadSpec!$AF16</f>
        <v>1.5482900300908311E-8</v>
      </c>
      <c r="U16" s="15">
        <f>IFERROR((DL/(RadSpec!H16*IFA_res_adj)),".")</f>
        <v>7.2350186187777887E-3</v>
      </c>
      <c r="V16" s="15">
        <f>IFERROR((DL/(RadSpec!K16*EF_res*(1/365)*1*ET_res*(1/24)*GSF_a)),".")</f>
        <v>189626.14747428973</v>
      </c>
      <c r="W16" s="15">
        <f t="shared" si="10"/>
        <v>7.2350183427320382E-3</v>
      </c>
      <c r="X16" s="189">
        <f>W16*(0.0000000000000028)*RadSpec!$AY16*RadSpec!$AF16</f>
        <v>9.4443035438686927E-14</v>
      </c>
      <c r="Y16" s="15">
        <f>IFERROR((DL/(RadSpec!I16*IFW_res_adj)),".")</f>
        <v>0.35975079860720038</v>
      </c>
      <c r="Z16" s="15" t="str">
        <f>IFERROR(IF(AND(RadSpec!C16=1,RadSpec!D16&lt;&gt;0),(DL/(RadSpec!H16*IFA_res_adj*K*RadSpec!D16)),"."),".")</f>
        <v>.</v>
      </c>
      <c r="AA16" s="15">
        <f>IFERROR((DL/(RadSpec!M16*(1/8760)*DFA_res_adj)),".")</f>
        <v>2931204.2444004035</v>
      </c>
      <c r="AB16" s="15">
        <f>d_b2w!C16</f>
        <v>0.13319710988816033</v>
      </c>
      <c r="AC16" s="15">
        <f t="shared" si="2"/>
        <v>9.720654908875985E-2</v>
      </c>
      <c r="AD16" s="189">
        <f>AC16*(0.0000000000000028)*RadSpec!$AY16*RadSpec!$AF16</f>
        <v>1.2688954091850357E-12</v>
      </c>
      <c r="AE16" s="15">
        <f>IFERROR(DL/(RadSpec!F16*EF_res*1*IRF_res*0.001*CF_res_fish),".")</f>
        <v>1.4019621862759119E-2</v>
      </c>
      <c r="AF16" s="189">
        <f>IFERROR(AE16*(0.0000000000028)*RadSpec!$AY16*RadSpec!$AF16,0)</f>
        <v>1.8300653594771243E-10</v>
      </c>
    </row>
    <row r="17" spans="1:32" x14ac:dyDescent="0.25">
      <c r="A17" s="44" t="s">
        <v>15</v>
      </c>
      <c r="B17" s="42" t="s">
        <v>1057</v>
      </c>
      <c r="C17" s="238"/>
      <c r="D17" s="15">
        <f>IFERROR((DL/(RadSpec!E17*IFS_res_adj*(1/1000))),".")</f>
        <v>31548.015369562127</v>
      </c>
      <c r="E17" s="15">
        <f>IFERROR(IF(A17="H-3",(DL/(RadSpec!H17*IFA_res_adj*(1/17)*1000))*RadSpec!#REF!,(DL/(RadSpec!H17*IFA_res_adj*(1/PEF_wind)*1000))),".")</f>
        <v>4708713.8443415659</v>
      </c>
      <c r="F17" s="15">
        <f>IFERROR((DL/(RadSpec!G17*EF_res*(1/365)*1*RadSpec!R17*((ET_res_o*(1/24)*RadSpec!W17)+(ET_res_i*(1/24)*RadSpec!AB17)))),".")</f>
        <v>2.3933395941540896</v>
      </c>
      <c r="G17" s="15">
        <f>d_b2s!C17</f>
        <v>166.42312691278616</v>
      </c>
      <c r="H17" s="15">
        <f>d_dir!C17</f>
        <v>2.9140774195811092</v>
      </c>
      <c r="I17" s="15">
        <f t="shared" si="0"/>
        <v>2.3592311899731127</v>
      </c>
      <c r="J17" s="189">
        <f>I17*(0.0000000000028)*RadSpec!$AY17*RadSpec!$AF17</f>
        <v>7.2081156046526992E-14</v>
      </c>
      <c r="K17" s="15">
        <f>IFERROR((DL/(RadSpec!G17*EF_res*(1/365)*1*RadSpec!R17*((ET_res_o*(1/24)*RadSpec!W17)+(ET_res_i*(1/24)*RadSpec!AB17)))),".")</f>
        <v>2.3933395941540896</v>
      </c>
      <c r="L17" s="15">
        <f>IFERROR((DL/(RadSpec!N17*EF_res*(1/365)*1*RadSpec!S17*((ET_res_o*(1/24)*RadSpec!X17)+(ET_res_i*(1/24)*RadSpec!AC17)))),".")</f>
        <v>10.738116979104682</v>
      </c>
      <c r="M17" s="15">
        <f>IFERROR((DL/(RadSpec!O17*EF_res*(1/365)*1*RadSpec!T17*((ET_res_o*(1/24)*RadSpec!Y17)+(ET_res_i*(1/24)*RadSpec!AD17)))),".")</f>
        <v>3.8078429003917318</v>
      </c>
      <c r="N17" s="15">
        <f>IFERROR((DL/(RadSpec!P17*EF_res*(1/365)*1*RadSpec!U17*((ET_res_o*(1/24)*RadSpec!Z17)+(ET_res_i*(1/24)*RadSpec!AE17)))),".")</f>
        <v>2.5607592160027068</v>
      </c>
      <c r="O17" s="15">
        <f>IFERROR((DL/(RadSpec!L17*EF_res*(1/365)*1*RadSpec!Q17*((ET_res_o*(1/24)*RadSpec!V17)+(ET_res_i*(1/24)*RadSpec!AA17)))),".")</f>
        <v>10.591939146557438</v>
      </c>
      <c r="P17" s="189">
        <f>K17*(0.0000000000028)*RadSpec!$AY17*RadSpec!$AF17</f>
        <v>7.3123263837707483E-14</v>
      </c>
      <c r="Q17" s="189">
        <f>L17*(0.0000000000028)*RadSpec!$AY17*RadSpec!$AF17</f>
        <v>3.2807971041851428E-13</v>
      </c>
      <c r="R17" s="189">
        <f>M17*(0.0000000000028)*RadSpec!$AY17*RadSpec!$AF17</f>
        <v>1.163403228434448E-13</v>
      </c>
      <c r="S17" s="189">
        <f>N17*(0.0000000000028)*RadSpec!$AY17*RadSpec!$AF17</f>
        <v>7.8238404710297528E-14</v>
      </c>
      <c r="T17" s="189">
        <f>O17*(0.0000000000000028)*RadSpec!$AY17*RadSpec!$AF17</f>
        <v>3.2361356602233873E-16</v>
      </c>
      <c r="U17" s="15">
        <f>IFERROR((DL/(RadSpec!H17*IFA_res_adj)),".")</f>
        <v>3.463959236127709</v>
      </c>
      <c r="V17" s="15">
        <f>IFERROR((DL/(RadSpec!K17*EF_res*(1/365)*1*ET_res*(1/24)*GSF_a)),".")</f>
        <v>804.62986901252691</v>
      </c>
      <c r="W17" s="15">
        <f t="shared" si="10"/>
        <v>3.4491106960571094</v>
      </c>
      <c r="X17" s="189">
        <f>W17*(0.0000000000000028)*RadSpec!$AY17*RadSpec!$AF17</f>
        <v>1.0538004387228841E-16</v>
      </c>
      <c r="Y17" s="15">
        <f>IFERROR((DL/(RadSpec!I17*IFW_res_adj)),".")</f>
        <v>1843.9488169816298</v>
      </c>
      <c r="Z17" s="15">
        <f>IFERROR(IF(AND(RadSpec!C17=1,RadSpec!D17&lt;&gt;0),(DL/(RadSpec!H17*IFA_res_adj*K*RadSpec!D17)),"."),".")</f>
        <v>7.8352404262152877</v>
      </c>
      <c r="AA17" s="15">
        <f>IFERROR((DL/(RadSpec!M17*(1/8760)*DFA_res_adj)),".")</f>
        <v>13257.313802474855</v>
      </c>
      <c r="AB17" s="15">
        <f>d_b2w!C17</f>
        <v>682.71885470313327</v>
      </c>
      <c r="AC17" s="15">
        <f t="shared" si="2"/>
        <v>7.7094476659523963</v>
      </c>
      <c r="AD17" s="189">
        <f>AC17*(0.0000000000000028)*RadSpec!$AY17*RadSpec!$AF17</f>
        <v>2.3554533468522902E-16</v>
      </c>
      <c r="AE17" s="15">
        <f>IFERROR(DL/(RadSpec!F17*EF_res*1*IRF_res*0.001*CF_res_fish),".")</f>
        <v>71.85936834178041</v>
      </c>
      <c r="AF17" s="189">
        <f>IFERROR(AE17*(0.0000000000028)*RadSpec!$AY17*RadSpec!$AF17,0)</f>
        <v>2.1955060465726405E-12</v>
      </c>
    </row>
    <row r="18" spans="1:32" x14ac:dyDescent="0.25">
      <c r="A18" s="44" t="s">
        <v>16</v>
      </c>
      <c r="B18" s="42" t="s">
        <v>1057</v>
      </c>
      <c r="C18" s="238"/>
      <c r="D18" s="15">
        <f>IFERROR((DL/(RadSpec!E18*IFS_res_adj*(1/1000))),".")</f>
        <v>3.5874600334530649</v>
      </c>
      <c r="E18" s="15">
        <f>IFERROR(IF(A18="H-3",(DL/(RadSpec!H18*IFA_res_adj*(1/17)*1000))*RadSpec!#REF!,(DL/(RadSpec!H18*IFA_res_adj*(1/PEF_wind)*1000))),".")</f>
        <v>12671.867934067739</v>
      </c>
      <c r="F18" s="15">
        <f>IFERROR((DL/(RadSpec!G18*EF_res*(1/365)*1*RadSpec!R18*((ET_res_o*(1/24)*RadSpec!W18)+(ET_res_i*(1/24)*RadSpec!AB18)))),".")</f>
        <v>53335.018108135846</v>
      </c>
      <c r="G18" s="15">
        <f>d_b2s!C18</f>
        <v>0.14838416644195954</v>
      </c>
      <c r="H18" s="15">
        <f>d_dir!C18</f>
        <v>3.3137223228379476E-4</v>
      </c>
      <c r="I18" s="15">
        <f t="shared" si="0"/>
        <v>0.14248850605152186</v>
      </c>
      <c r="J18" s="189">
        <f>I18*(0.0000000000028)*RadSpec!$AY18*RadSpec!$AF18</f>
        <v>3.1763259818823558E-11</v>
      </c>
      <c r="K18" s="15">
        <f>IFERROR((DL/(RadSpec!G18*EF_res*(1/365)*1*RadSpec!R18*((ET_res_o*(1/24)*RadSpec!W18)+(ET_res_i*(1/24)*RadSpec!AB18)))),".")</f>
        <v>53335.018108135846</v>
      </c>
      <c r="L18" s="15">
        <f>IFERROR((DL/(RadSpec!N18*EF_res*(1/365)*1*RadSpec!S18*((ET_res_o*(1/24)*RadSpec!X18)+(ET_res_i*(1/24)*RadSpec!AC18)))),".")</f>
        <v>274866.47557435196</v>
      </c>
      <c r="M18" s="15">
        <f>IFERROR((DL/(RadSpec!O18*EF_res*(1/365)*1*RadSpec!T18*((ET_res_o*(1/24)*RadSpec!Y18)+(ET_res_i*(1/24)*RadSpec!AD18)))),".")</f>
        <v>95876.044456291798</v>
      </c>
      <c r="N18" s="15">
        <f>IFERROR((DL/(RadSpec!P18*EF_res*(1/365)*1*RadSpec!U18*((ET_res_o*(1/24)*RadSpec!Z18)+(ET_res_i*(1/24)*RadSpec!AE18)))),".")</f>
        <v>61012.028290367518</v>
      </c>
      <c r="O18" s="15">
        <f>IFERROR((DL/(RadSpec!L18*EF_res*(1/365)*1*RadSpec!Q18*((ET_res_o*(1/24)*RadSpec!V18)+(ET_res_i*(1/24)*RadSpec!AA18)))),".")</f>
        <v>279158.48292987613</v>
      </c>
      <c r="P18" s="189">
        <f>K18*(0.0000000000028)*RadSpec!$AY18*RadSpec!$AF18</f>
        <v>1.1889338196849488E-5</v>
      </c>
      <c r="Q18" s="189">
        <f>L18*(0.0000000000028)*RadSpec!$AY18*RadSpec!$AF18</f>
        <v>6.1272698557142421E-5</v>
      </c>
      <c r="R18" s="189">
        <f>M18*(0.0000000000028)*RadSpec!$AY18*RadSpec!$AF18</f>
        <v>2.1372500806241337E-5</v>
      </c>
      <c r="S18" s="189">
        <f>N18*(0.0000000000028)*RadSpec!$AY18*RadSpec!$AF18</f>
        <v>1.360068233124449E-5</v>
      </c>
      <c r="T18" s="189">
        <f>O18*(0.0000000000000028)*RadSpec!$AY18*RadSpec!$AF18</f>
        <v>6.2229464464481789E-8</v>
      </c>
      <c r="U18" s="15">
        <f>IFERROR((DL/(RadSpec!H18*IFA_res_adj)),".")</f>
        <v>9.3220432203483042E-3</v>
      </c>
      <c r="V18" s="15">
        <f>IFERROR((DL/(RadSpec!K18*EF_res*(1/365)*1*ET_res*(1/24)*GSF_a)),".")</f>
        <v>20070542.80008775</v>
      </c>
      <c r="W18" s="15">
        <f t="shared" ref="W18:W21" si="11">IF(AND(U18&lt;&gt;".",V18&lt;&gt;"."),1/((1/U18)+(1/V18)),IF(AND(U18&lt;&gt;".",V18="."),1/((1/U18)),IF(AND(U18=".",V18&lt;&gt;"."),1/((1/V18)),IF(AND(U18&lt;&gt;".",V18="."),"."))))</f>
        <v>9.3220432160185523E-3</v>
      </c>
      <c r="X18" s="189">
        <f>W18*(0.0000000000000028)*RadSpec!$AY18*RadSpec!$AF18</f>
        <v>2.0780516893456217E-15</v>
      </c>
      <c r="Y18" s="15">
        <f>IFERROR((DL/(RadSpec!I18*IFW_res_adj)),".")</f>
        <v>0.2096833226167682</v>
      </c>
      <c r="Z18" s="15" t="str">
        <f>IFERROR(IF(AND(RadSpec!C18=1,RadSpec!D18&lt;&gt;0),(DL/(RadSpec!H18*IFA_res_adj*K*RadSpec!D18)),"."),".")</f>
        <v>.</v>
      </c>
      <c r="AA18" s="15">
        <f>IFERROR((DL/(RadSpec!M18*(1/8760)*DFA_res_adj)),".")</f>
        <v>331089391.33641863</v>
      </c>
      <c r="AB18" s="15">
        <f>d_b2w!C18</f>
        <v>8.9024726383206576E-2</v>
      </c>
      <c r="AC18" s="15">
        <f t="shared" si="2"/>
        <v>6.2492458713617187E-2</v>
      </c>
      <c r="AD18" s="189">
        <f>AC18*(0.0000000000000028)*RadSpec!$AY18*RadSpec!$AF18</f>
        <v>1.3930696993341988E-14</v>
      </c>
      <c r="AE18" s="15">
        <f>IFERROR(DL/(RadSpec!F18*EF_res*1*IRF_res*0.001*CF_res_fish),".")</f>
        <v>8.1714367428653151E-3</v>
      </c>
      <c r="AF18" s="189">
        <f>IFERROR(AE18*(0.0000000000028)*RadSpec!$AY18*RadSpec!$AF18,0)</f>
        <v>1.8215607388210117E-12</v>
      </c>
    </row>
    <row r="19" spans="1:32" x14ac:dyDescent="0.25">
      <c r="A19" s="44" t="s">
        <v>17</v>
      </c>
      <c r="B19" s="42" t="s">
        <v>1057</v>
      </c>
      <c r="C19" s="42"/>
      <c r="D19" s="15" t="str">
        <f>IFERROR((DL/(RadSpec!E19*IFS_res_adj*(1/1000))),".")</f>
        <v>.</v>
      </c>
      <c r="E19" s="15" t="str">
        <f>IFERROR(IF(A19="H-3",(DL/(RadSpec!H19*IFA_res_adj*(1/17)*1000))*RadSpec!#REF!,(DL/(RadSpec!H19*IFA_res_adj*(1/PEF_wind)*1000))),".")</f>
        <v>.</v>
      </c>
      <c r="F19" s="15">
        <f>IFERROR((DL/(RadSpec!G19*EF_res*(1/365)*1*RadSpec!R19*((ET_res_o*(1/24)*RadSpec!W19)+(ET_res_i*(1/24)*RadSpec!AB19)))),".")</f>
        <v>13885.496093669848</v>
      </c>
      <c r="G19" s="15" t="str">
        <f>d_b2s!C19</f>
        <v>.</v>
      </c>
      <c r="H19" s="15" t="str">
        <f>d_dir!C19</f>
        <v>.</v>
      </c>
      <c r="I19" s="15">
        <f t="shared" si="0"/>
        <v>13885.496093669848</v>
      </c>
      <c r="J19" s="189">
        <f>I19*(0.0000000000028)*RadSpec!$AY19*RadSpec!$AF19</f>
        <v>1.1029141760245962E-18</v>
      </c>
      <c r="K19" s="15">
        <f>IFERROR((DL/(RadSpec!G19*EF_res*(1/365)*1*RadSpec!R19*((ET_res_o*(1/24)*RadSpec!W19)+(ET_res_i*(1/24)*RadSpec!AB19)))),".")</f>
        <v>13885.496093669848</v>
      </c>
      <c r="L19" s="15">
        <f>IFERROR((DL/(RadSpec!N19*EF_res*(1/365)*1*RadSpec!S19*((ET_res_o*(1/24)*RadSpec!X19)+(ET_res_i*(1/24)*RadSpec!AC19)))),".")</f>
        <v>71270.68791441161</v>
      </c>
      <c r="M19" s="15">
        <f>IFERROR((DL/(RadSpec!O19*EF_res*(1/365)*1*RadSpec!T19*((ET_res_o*(1/24)*RadSpec!Y19)+(ET_res_i*(1/24)*RadSpec!AD19)))),".")</f>
        <v>24895.170739809924</v>
      </c>
      <c r="N19" s="15">
        <f>IFERROR((DL/(RadSpec!P19*EF_res*(1/365)*1*RadSpec!U19*((ET_res_o*(1/24)*RadSpec!Z19)+(ET_res_i*(1/24)*RadSpec!AE19)))),".")</f>
        <v>15791.348498683356</v>
      </c>
      <c r="O19" s="15">
        <f>IFERROR((DL/(RadSpec!L19*EF_res*(1/365)*1*RadSpec!Q19*((ET_res_o*(1/24)*RadSpec!V19)+(ET_res_i*(1/24)*RadSpec!AA19)))),".")</f>
        <v>72096.392510180885</v>
      </c>
      <c r="P19" s="189">
        <f>K19*(0.0000000000028)*RadSpec!$AY19*RadSpec!$AF19</f>
        <v>1.1029141760245962E-18</v>
      </c>
      <c r="Q19" s="189">
        <f>L19*(0.0000000000028)*RadSpec!$AY19*RadSpec!$AF19</f>
        <v>5.6609754167634138E-18</v>
      </c>
      <c r="R19" s="189">
        <f>M19*(0.0000000000028)*RadSpec!$AY19*RadSpec!$AF19</f>
        <v>1.9774040868447163E-18</v>
      </c>
      <c r="S19" s="189">
        <f>N19*(0.0000000000028)*RadSpec!$AY19*RadSpec!$AF19</f>
        <v>1.2542945531260113E-18</v>
      </c>
      <c r="T19" s="189">
        <f>O19*(0.0000000000000028)*RadSpec!$AY19*RadSpec!$AF19</f>
        <v>5.7265604918474628E-21</v>
      </c>
      <c r="U19" s="15" t="str">
        <f>IFERROR((DL/(RadSpec!H19*IFA_res_adj)),".")</f>
        <v>.</v>
      </c>
      <c r="V19" s="15">
        <f>IFERROR((DL/(RadSpec!K19*EF_res*(1/365)*1*ET_res*(1/24)*GSF_a)),".")</f>
        <v>5223035.9918357013</v>
      </c>
      <c r="W19" s="15">
        <f t="shared" si="11"/>
        <v>5223035.9918357013</v>
      </c>
      <c r="X19" s="189">
        <f>W19*(0.0000000000000028)*RadSpec!$AY19*RadSpec!$AF19</f>
        <v>4.1486169442000845E-19</v>
      </c>
      <c r="Y19" s="15" t="str">
        <f>IFERROR((DL/(RadSpec!I19*IFW_res_adj)),".")</f>
        <v>.</v>
      </c>
      <c r="Z19" s="15" t="str">
        <f>IFERROR(IF(AND(RadSpec!C19=1,RadSpec!D19&lt;&gt;0),(DL/(RadSpec!H19*IFA_res_adj*K*RadSpec!D19)),"."),".")</f>
        <v>.</v>
      </c>
      <c r="AA19" s="15">
        <f>IFERROR((DL/(RadSpec!M19*(1/8760)*DFA_res_adj)),".")</f>
        <v>86118938.716885179</v>
      </c>
      <c r="AB19" s="15" t="str">
        <f>d_b2w!C19</f>
        <v>.</v>
      </c>
      <c r="AC19" s="15">
        <f t="shared" si="2"/>
        <v>86118938.716885179</v>
      </c>
      <c r="AD19" s="189">
        <f>AC19*(0.0000000000000028)*RadSpec!$AY19*RadSpec!$AF19</f>
        <v>6.8403604519644509E-18</v>
      </c>
      <c r="AE19" s="15" t="str">
        <f>IFERROR(DL/(RadSpec!F19*EF_res*1*IRF_res*0.001*CF_res_fish),".")</f>
        <v>.</v>
      </c>
      <c r="AF19" s="189">
        <f>IFERROR(AE19*(0.0000000000028)*RadSpec!$AY19*RadSpec!$AF19,0)</f>
        <v>0</v>
      </c>
    </row>
    <row r="20" spans="1:32" x14ac:dyDescent="0.25">
      <c r="A20" s="44" t="s">
        <v>18</v>
      </c>
      <c r="B20" s="42" t="s">
        <v>1057</v>
      </c>
      <c r="C20" s="238"/>
      <c r="D20" s="15" t="str">
        <f>IFERROR((DL/(RadSpec!E20*IFS_res_adj*(1/1000))),".")</f>
        <v>.</v>
      </c>
      <c r="E20" s="15" t="str">
        <f>IFERROR(IF(A20="H-3",(DL/(RadSpec!H20*IFA_res_adj*(1/17)*1000))*RadSpec!#REF!,(DL/(RadSpec!H20*IFA_res_adj*(1/PEF_wind)*1000))),".")</f>
        <v>.</v>
      </c>
      <c r="F20" s="15">
        <f>IFERROR((DL/(RadSpec!G20*EF_res*(1/365)*1*RadSpec!R20*((ET_res_o*(1/24)*RadSpec!W20)+(ET_res_i*(1/24)*RadSpec!AB20)))),".")</f>
        <v>6267.3834508393084</v>
      </c>
      <c r="G20" s="15" t="str">
        <f>d_b2s!C20</f>
        <v>.</v>
      </c>
      <c r="H20" s="15" t="str">
        <f>d_dir!C20</f>
        <v>.</v>
      </c>
      <c r="I20" s="15">
        <f t="shared" si="0"/>
        <v>6267.3834508393084</v>
      </c>
      <c r="J20" s="189">
        <f>I20*(0.0000000000028)*RadSpec!$AY20*RadSpec!$AF20</f>
        <v>1.9565413359429243E-17</v>
      </c>
      <c r="K20" s="15">
        <f>IFERROR((DL/(RadSpec!G20*EF_res*(1/365)*1*RadSpec!R20*((ET_res_o*(1/24)*RadSpec!W20)+(ET_res_i*(1/24)*RadSpec!AB20)))),".")</f>
        <v>6267.3834508393084</v>
      </c>
      <c r="L20" s="15">
        <f>IFERROR((DL/(RadSpec!N20*EF_res*(1/365)*1*RadSpec!S20*((ET_res_o*(1/24)*RadSpec!X20)+(ET_res_i*(1/24)*RadSpec!AC20)))),".")</f>
        <v>32214.350937314051</v>
      </c>
      <c r="M20" s="15">
        <f>IFERROR((DL/(RadSpec!O20*EF_res*(1/365)*1*RadSpec!T20*((ET_res_o*(1/24)*RadSpec!Y20)+(ET_res_i*(1/24)*RadSpec!AD20)))),".")</f>
        <v>11263.759068990927</v>
      </c>
      <c r="N20" s="15">
        <f>IFERROR((DL/(RadSpec!P20*EF_res*(1/365)*1*RadSpec!U20*((ET_res_o*(1/24)*RadSpec!Z20)+(ET_res_i*(1/24)*RadSpec!AE20)))),".")</f>
        <v>7127.068791441161</v>
      </c>
      <c r="O20" s="15">
        <f>IFERROR((DL/(RadSpec!L20*EF_res*(1/365)*1*RadSpec!Q20*((ET_res_o*(1/24)*RadSpec!V20)+(ET_res_i*(1/24)*RadSpec!AA20)))),".")</f>
        <v>32704.462676155756</v>
      </c>
      <c r="P20" s="189">
        <f>K20*(0.0000000000028)*RadSpec!$AY20*RadSpec!$AF20</f>
        <v>1.9565413359429243E-17</v>
      </c>
      <c r="Q20" s="189">
        <f>L20*(0.0000000000028)*RadSpec!$AY20*RadSpec!$AF20</f>
        <v>1.0056622466746632E-16</v>
      </c>
      <c r="R20" s="189">
        <f>M20*(0.0000000000028)*RadSpec!$AY20*RadSpec!$AF20</f>
        <v>3.5163015617995211E-17</v>
      </c>
      <c r="S20" s="189">
        <f>N20*(0.0000000000028)*RadSpec!$AY20*RadSpec!$AF20</f>
        <v>2.2249164749439448E-17</v>
      </c>
      <c r="T20" s="189">
        <f>O20*(0.0000000000000028)*RadSpec!$AY20*RadSpec!$AF20</f>
        <v>1.0209624733768643E-19</v>
      </c>
      <c r="U20" s="15" t="str">
        <f>IFERROR((DL/(RadSpec!H20*IFA_res_adj)),".")</f>
        <v>.</v>
      </c>
      <c r="V20" s="15">
        <f>IFERROR((DL/(RadSpec!K20*EF_res*(1/365)*1*ET_res*(1/24)*GSF_a)),".")</f>
        <v>2350366.1963260653</v>
      </c>
      <c r="W20" s="15">
        <f t="shared" si="11"/>
        <v>2350366.1963260653</v>
      </c>
      <c r="X20" s="189">
        <f>W20*(0.0000000000000028)*RadSpec!$AY20*RadSpec!$AF20</f>
        <v>7.3373340785444697E-18</v>
      </c>
      <c r="Y20" s="15" t="str">
        <f>IFERROR((DL/(RadSpec!I20*IFW_res_adj)),".")</f>
        <v>.</v>
      </c>
      <c r="Z20" s="15" t="str">
        <f>IFERROR(IF(AND(RadSpec!C20=1,RadSpec!D20&lt;&gt;0),(DL/(RadSpec!H20*IFA_res_adj*K*RadSpec!D20)),"."),".")</f>
        <v>.</v>
      </c>
      <c r="AA20" s="15">
        <f>IFERROR((DL/(RadSpec!M20*(1/8760)*DFA_res_adj)),".")</f>
        <v>38821538.595339499</v>
      </c>
      <c r="AB20" s="15" t="str">
        <f>d_b2w!C20</f>
        <v>.</v>
      </c>
      <c r="AC20" s="15">
        <f t="shared" si="2"/>
        <v>38821538.595339499</v>
      </c>
      <c r="AD20" s="189">
        <f>AC20*(0.0000000000000028)*RadSpec!$AY20*RadSpec!$AF20</f>
        <v>1.2119243314610588E-16</v>
      </c>
      <c r="AE20" s="15" t="str">
        <f>IFERROR(DL/(RadSpec!F20*EF_res*1*IRF_res*0.001*CF_res_fish),".")</f>
        <v>.</v>
      </c>
      <c r="AF20" s="189">
        <f>IFERROR(AE20*(0.0000000000028)*RadSpec!$AY20*RadSpec!$AF20,0)</f>
        <v>0</v>
      </c>
    </row>
    <row r="21" spans="1:32" x14ac:dyDescent="0.25">
      <c r="A21" s="44" t="s">
        <v>19</v>
      </c>
      <c r="B21" s="42" t="s">
        <v>1057</v>
      </c>
      <c r="C21" s="238"/>
      <c r="D21" s="15" t="str">
        <f>IFERROR((DL/(RadSpec!E21*IFS_res_adj*(1/1000))),".")</f>
        <v>.</v>
      </c>
      <c r="E21" s="15">
        <f>IFERROR(IF(A21="H-3",(DL/(RadSpec!H21*IFA_res_adj*(1/17)*1000))*RadSpec!#REF!,(DL/(RadSpec!H21*IFA_res_adj*(1/PEF_wind)*1000))),".")</f>
        <v>28796071.541511413</v>
      </c>
      <c r="F21" s="15">
        <f>IFERROR((DL/(RadSpec!G21*EF_res*(1/365)*1*RadSpec!R21*((ET_res_o*(1/24)*RadSpec!W21)+(ET_res_i*(1/24)*RadSpec!AB21)))),".")</f>
        <v>362284648.41783684</v>
      </c>
      <c r="G21" s="15" t="str">
        <f>d_b2s!C21</f>
        <v>.</v>
      </c>
      <c r="H21" s="15" t="str">
        <f>d_dir!C21</f>
        <v>.</v>
      </c>
      <c r="I21" s="15">
        <f t="shared" si="0"/>
        <v>26675758.025902566</v>
      </c>
      <c r="J21" s="189">
        <f>I21*(0.0000000000028)*RadSpec!$AY21*RadSpec!$AF21</f>
        <v>9.6036789130391647E-8</v>
      </c>
      <c r="K21" s="15">
        <f>IFERROR((DL/(RadSpec!G21*EF_res*(1/365)*1*RadSpec!R21*((ET_res_o*(1/24)*RadSpec!W21)+(ET_res_i*(1/24)*RadSpec!AB21)))),".")</f>
        <v>362284648.41783684</v>
      </c>
      <c r="L21" s="15">
        <f>IFERROR((DL/(RadSpec!N21*EF_res*(1/365)*1*RadSpec!S21*((ET_res_o*(1/24)*RadSpec!X21)+(ET_res_i*(1/24)*RadSpec!AC21)))),".")</f>
        <v>771416449.64832497</v>
      </c>
      <c r="M21" s="15">
        <f>IFERROR((DL/(RadSpec!O21*EF_res*(1/365)*1*RadSpec!T21*((ET_res_o*(1/24)*RadSpec!Y21)+(ET_res_i*(1/24)*RadSpec!AD21)))),".")</f>
        <v>412370083.68297559</v>
      </c>
      <c r="N21" s="15">
        <f>IFERROR((DL/(RadSpec!P21*EF_res*(1/365)*1*RadSpec!U21*((ET_res_o*(1/24)*RadSpec!Z21)+(ET_res_i*(1/24)*RadSpec!AE21)))),".")</f>
        <v>362284648.41783684</v>
      </c>
      <c r="O21" s="15">
        <f>IFERROR((DL/(RadSpec!L21*EF_res*(1/365)*1*RadSpec!Q21*((ET_res_o*(1/24)*RadSpec!V21)+(ET_res_i*(1/24)*RadSpec!AA21)))),".")</f>
        <v>430048657.07827199</v>
      </c>
      <c r="P21" s="189">
        <f>K21*(0.0000000000028)*RadSpec!$AY21*RadSpec!$AF21</f>
        <v>1.3042798765642455E-6</v>
      </c>
      <c r="Q21" s="189">
        <f>L21*(0.0000000000028)*RadSpec!$AY21*RadSpec!$AF21</f>
        <v>2.7772166337186947E-6</v>
      </c>
      <c r="R21" s="189">
        <f>M21*(0.0000000000028)*RadSpec!$AY21*RadSpec!$AF21</f>
        <v>1.4845950668726661E-6</v>
      </c>
      <c r="S21" s="189">
        <f>N21*(0.0000000000028)*RadSpec!$AY21*RadSpec!$AF21</f>
        <v>1.3042798765642455E-6</v>
      </c>
      <c r="T21" s="189">
        <f>O21*(0.0000000000000028)*RadSpec!$AY21*RadSpec!$AF21</f>
        <v>1.5482406218983808E-9</v>
      </c>
      <c r="U21" s="15">
        <f>IFERROR((DL/(RadSpec!H21*IFA_res_adj)),".")</f>
        <v>21.183792703878115</v>
      </c>
      <c r="V21" s="15">
        <f>IFERROR((DL/(RadSpec!K21*EF_res*(1/365)*1*ET_res*(1/24)*GSF_a)),".")</f>
        <v>3408928071.0072703</v>
      </c>
      <c r="W21" s="15">
        <f t="shared" si="11"/>
        <v>21.183792572237593</v>
      </c>
      <c r="X21" s="189">
        <f>W21*(0.0000000000000028)*RadSpec!$AY21*RadSpec!$AF21</f>
        <v>7.6264877581603583E-17</v>
      </c>
      <c r="Y21" s="15" t="str">
        <f>IFERROR((DL/(RadSpec!I21*IFW_res_adj)),".")</f>
        <v>.</v>
      </c>
      <c r="Z21" s="15">
        <f>IFERROR(IF(AND(RadSpec!C21=1,RadSpec!D21&lt;&gt;0),(DL/(RadSpec!H21*IFA_res_adj*K*RadSpec!D21)),"."),".")</f>
        <v>42.936034024703922</v>
      </c>
      <c r="AA21" s="15">
        <f>IFERROR((DL/(RadSpec!M21*(1/8760)*DFA_res_adj)),".")</f>
        <v>111713728195.6797</v>
      </c>
      <c r="AB21" s="15" t="str">
        <f>d_b2w!C21</f>
        <v>.</v>
      </c>
      <c r="AC21" s="15">
        <f>IF(AND(Y21&lt;&gt;".",Z21&lt;&gt;".",AA21&lt;&gt;".",AB21&lt;&gt;"."),1/((1/Y21)+(1/Z21)+(1/AA21)+(1/AB21)),IF(AND(Y21&lt;&gt;".",Z21&lt;&gt;".",AA21&lt;&gt;".",AB21="."), 1/((1/Y21)+(1/Z21)+(1/AA21)),IF(AND(Y21&lt;&gt;".",Z21&lt;&gt;".",AA21=".",AB21&lt;&gt;"."),1/((1/Y21)+(1/Z21)+(1/AB21)),IF(AND(Y21&lt;&gt;".",Z21=".",AA21&lt;&gt;".",AB21&lt;&gt;"."),1/((1/Y21)+(1/AA21)+(1/AB21)),IF(AND(Y21=".",Z21&lt;&gt;".",AA21&lt;&gt;".",AB21&lt;&gt;"."),1/((1/Z21)+(1/AA21)+(1/AB21)),IF(AND(Y21&lt;&gt;".",Z21&lt;&gt;".",AA21=".",AB21="."),1/((1/Y21)+(1/Z21)),IF(AND(Y21&lt;&gt;".",Z21=".",AA21&lt;&gt;".",AB21="."),1/((1/Y21)+(1/AA21)),IF(AND(Y21&lt;&gt;".",Z21=".",AA21=".",AB21&lt;&gt;"."),1/((1/Y21)+(1/AB21)),IF(AND(Y21=".",Z21=".",AA21&lt;&gt;".",AB21&lt;&gt;"."),1/((1/AA21)+(1/AB21)),IF(AND(Y21=".",Z21&lt;&gt;".",AA21=".",AB21&lt;&gt;"."),1/((1/Z21)+(1/AB21)),IF(AND(Y21=".",Z21&lt;&gt;".",AA21&lt;&gt;".",AB21="."),1/((1/Z21)+(1/AA21)),IF(AND(Y21&lt;&gt;".",Z21=".",AA21=".",AB21="."),1/((1/Y21)),IF(AND(Y21=".",Z21&lt;&gt;".",AA21=".",AB21="."),1/((1/Z21)),IF(AND(Y21=".",Z21=".",AA21&lt;&gt;".",AB21="."),1/((1/AA21)),IF(AND(Y21=".",Z21=".",AA21=".",AB21&lt;&gt;"."),1/((1/AB21)),IF(AND(Y21=".",Z21=".",AA21=".",AB21="."),"."))))))))))))))))</f>
        <v>42.936034008201894</v>
      </c>
      <c r="AD21" s="189">
        <f>AC21*(0.0000000000000028)*RadSpec!$AY21*RadSpec!$AF21</f>
        <v>1.5457625759452037E-16</v>
      </c>
      <c r="AE21" s="15" t="str">
        <f>IFERROR(DL/(RadSpec!F21*EF_res*1*IRF_res*0.001*CF_res_fish),".")</f>
        <v>.</v>
      </c>
      <c r="AF21" s="189">
        <f>IFERROR(AE21*(0.0000000000028)*RadSpec!$AY21*RadSpec!$AF21,0)</f>
        <v>0</v>
      </c>
    </row>
    <row r="22" spans="1:32" x14ac:dyDescent="0.25">
      <c r="A22" s="44" t="s">
        <v>20</v>
      </c>
      <c r="B22" s="42" t="s">
        <v>1057</v>
      </c>
      <c r="C22" s="42"/>
      <c r="D22" s="15">
        <f>IFERROR((DL/(RadSpec!E22*IFS_res_adj*(1/1000))),".")</f>
        <v>26.378382598919597</v>
      </c>
      <c r="E22" s="15">
        <f>IFERROR(IF(A22="H-3",(DL/(RadSpec!H22*IFA_res_adj*(1/17)*1000))*RadSpec!#REF!,(DL/(RadSpec!H22*IFA_res_adj*(1/PEF_wind)*1000))),".")</f>
        <v>7051.6458895882315</v>
      </c>
      <c r="F22" s="15">
        <f>IFERROR((DL/(RadSpec!G22*EF_res*(1/365)*1*RadSpec!R22*((ET_res_o*(1/24)*RadSpec!W22)+(ET_res_i*(1/24)*RadSpec!AB22)))),".")</f>
        <v>337.67663456304024</v>
      </c>
      <c r="G22" s="15">
        <f>d_b2s!C22</f>
        <v>0.10400761506222005</v>
      </c>
      <c r="H22" s="15">
        <f>d_dir!C22</f>
        <v>2.4365605314984897E-3</v>
      </c>
      <c r="I22" s="15">
        <f t="shared" si="0"/>
        <v>0.10356583738428246</v>
      </c>
      <c r="J22" s="189">
        <f>I22*(0.0000000000028)*RadSpec!$AY22*RadSpec!$AF22</f>
        <v>2.6634863439075615E-12</v>
      </c>
      <c r="K22" s="15">
        <f>IFERROR((DL/(RadSpec!G22*EF_res*(1/365)*1*RadSpec!R22*((ET_res_o*(1/24)*RadSpec!W22)+(ET_res_i*(1/24)*RadSpec!AB22)))),".")</f>
        <v>337.67663456304024</v>
      </c>
      <c r="L22" s="15">
        <f>IFERROR((DL/(RadSpec!N22*EF_res*(1/365)*1*RadSpec!S22*((ET_res_o*(1/24)*RadSpec!X22)+(ET_res_i*(1/24)*RadSpec!AC22)))),".")</f>
        <v>465.52530256234172</v>
      </c>
      <c r="M22" s="15">
        <f>IFERROR((DL/(RadSpec!O22*EF_res*(1/365)*1*RadSpec!T22*((ET_res_o*(1/24)*RadSpec!Y22)+(ET_res_i*(1/24)*RadSpec!AD22)))),".")</f>
        <v>339.09843091909522</v>
      </c>
      <c r="N22" s="15">
        <f>IFERROR((DL/(RadSpec!P22*EF_res*(1/365)*1*RadSpec!U22*((ET_res_o*(1/24)*RadSpec!Z22)+(ET_res_i*(1/24)*RadSpec!AE22)))),".")</f>
        <v>337.67663456304024</v>
      </c>
      <c r="O22" s="15">
        <f>IFERROR((DL/(RadSpec!L22*EF_res*(1/365)*1*RadSpec!Q22*((ET_res_o*(1/24)*RadSpec!V22)+(ET_res_i*(1/24)*RadSpec!AA22)))),".")</f>
        <v>233.98556478304161</v>
      </c>
      <c r="P22" s="189">
        <f>K22*(0.0000000000028)*RadSpec!$AY22*RadSpec!$AF22</f>
        <v>8.6843029277897539E-9</v>
      </c>
      <c r="Q22" s="189">
        <f>L22*(0.0000000000028)*RadSpec!$AY22*RadSpec!$AF22</f>
        <v>1.1972290452473161E-8</v>
      </c>
      <c r="R22" s="189">
        <f>M22*(0.0000000000028)*RadSpec!$AY22*RadSpec!$AF22</f>
        <v>8.7208684138015038E-9</v>
      </c>
      <c r="S22" s="189">
        <f>N22*(0.0000000000028)*RadSpec!$AY22*RadSpec!$AF22</f>
        <v>8.6843029277897539E-9</v>
      </c>
      <c r="T22" s="189">
        <f>O22*(0.0000000000000028)*RadSpec!$AY22*RadSpec!$AF22</f>
        <v>6.0175958811463362E-12</v>
      </c>
      <c r="U22" s="15">
        <f>IFERROR((DL/(RadSpec!H22*IFA_res_adj)),".")</f>
        <v>5.1875341582913277E-3</v>
      </c>
      <c r="V22" s="15">
        <f>IFERROR((DL/(RadSpec!K22*EF_res*(1/365)*1*ET_res*(1/24)*GSF_a)),".")</f>
        <v>36159.479943477927</v>
      </c>
      <c r="W22" s="15">
        <f t="shared" ref="W22:W23" si="12">IF(AND(U22&lt;&gt;".",V22&lt;&gt;"."),1/((1/U22)+(1/V22)),IF(AND(U22&lt;&gt;".",V22="."),1/((1/U22)),IF(AND(U22=".",V22&lt;&gt;"."),1/((1/V22)),IF(AND(U22&lt;&gt;".",V22="."),"."))))</f>
        <v>5.1875334140741311E-3</v>
      </c>
      <c r="X22" s="189">
        <f>W22*(0.0000000000000028)*RadSpec!$AY22*RadSpec!$AF22</f>
        <v>1.3341198947373668E-16</v>
      </c>
      <c r="Y22" s="15">
        <f>IFERROR((DL/(RadSpec!I22*IFW_res_adj)),".")</f>
        <v>1.5417891368880012</v>
      </c>
      <c r="Z22" s="15" t="str">
        <f>IFERROR(IF(AND(RadSpec!C22=1,RadSpec!D22&lt;&gt;0),(DL/(RadSpec!H22*IFA_res_adj*K*RadSpec!D22)),"."),".")</f>
        <v>.</v>
      </c>
      <c r="AA22" s="15">
        <f>IFERROR((DL/(RadSpec!M22*(1/8760)*DFA_res_adj)),".")</f>
        <v>588400.11535846046</v>
      </c>
      <c r="AB22" s="15">
        <f>d_b2w!C22</f>
        <v>0.54389422832819367</v>
      </c>
      <c r="AC22" s="15">
        <f t="shared" si="2"/>
        <v>0.40205989741009895</v>
      </c>
      <c r="AD22" s="189">
        <f>AC22*(0.0000000000000028)*RadSpec!$AY22*RadSpec!$AF22</f>
        <v>1.0340099334215346E-14</v>
      </c>
      <c r="AE22" s="15">
        <f>IFERROR(DL/(RadSpec!F22*EF_res*1*IRF_res*0.001*CF_res_fish),".")</f>
        <v>6.0084093697539052E-2</v>
      </c>
      <c r="AF22" s="189">
        <f>IFERROR(AE22*(0.0000000000028)*RadSpec!$AY22*RadSpec!$AF22,0)</f>
        <v>1.5452311987364367E-12</v>
      </c>
    </row>
    <row r="23" spans="1:32" x14ac:dyDescent="0.25">
      <c r="A23" s="46" t="s">
        <v>21</v>
      </c>
      <c r="B23" s="42" t="s">
        <v>335</v>
      </c>
      <c r="C23" s="238"/>
      <c r="D23" s="15">
        <f>IFERROR((DL/(RadSpec!E23*IFS_res_adj*(1/1000))),".")</f>
        <v>13.858841188836344</v>
      </c>
      <c r="E23" s="15">
        <f>IFERROR(IF(A23="H-3",(DL/(RadSpec!H23*IFA_res_adj*(1/17)*1000))*RadSpec!#REF!,(DL/(RadSpec!H23*IFA_res_adj*(1/PEF_wind)*1000))),".")</f>
        <v>5757.703100139518</v>
      </c>
      <c r="F23" s="15">
        <f>IFERROR((DL/(RadSpec!G23*EF_res*(1/365)*1*RadSpec!R23*((ET_res_o*(1/24)*RadSpec!W23)+(ET_res_i*(1/24)*RadSpec!AB23)))),".")</f>
        <v>94.74809099210016</v>
      </c>
      <c r="G23" s="15">
        <f>d_b2s!C23</f>
        <v>5.4644177449908092E-2</v>
      </c>
      <c r="H23" s="15">
        <f>d_dir!C23</f>
        <v>1.2801355551802223E-3</v>
      </c>
      <c r="I23" s="15">
        <f t="shared" si="0"/>
        <v>5.4397802578142931E-2</v>
      </c>
      <c r="J23" s="189">
        <f>I23*(0.0000000000028)*RadSpec!$AY23*RadSpec!$AF23</f>
        <v>5.5076687154318147E-8</v>
      </c>
      <c r="K23" s="15">
        <f>IFERROR((DL/(RadSpec!G23*EF_res*(1/365)*1*RadSpec!R23*((ET_res_o*(1/24)*RadSpec!W23)+(ET_res_i*(1/24)*RadSpec!AB23)))),".")</f>
        <v>94.74809099210016</v>
      </c>
      <c r="L23" s="15">
        <f>IFERROR((DL/(RadSpec!N23*EF_res*(1/365)*1*RadSpec!S23*((ET_res_o*(1/24)*RadSpec!X23)+(ET_res_i*(1/24)*RadSpec!AC23)))),".")</f>
        <v>379.88621388342045</v>
      </c>
      <c r="M23" s="15">
        <f>IFERROR((DL/(RadSpec!O23*EF_res*(1/365)*1*RadSpec!T23*((ET_res_o*(1/24)*RadSpec!Y23)+(ET_res_i*(1/24)*RadSpec!AD23)))),".")</f>
        <v>137.668166398778</v>
      </c>
      <c r="N23" s="15">
        <f>IFERROR((DL/(RadSpec!P23*EF_res*(1/365)*1*RadSpec!U23*((ET_res_o*(1/24)*RadSpec!Z23)+(ET_res_i*(1/24)*RadSpec!AE23)))),".")</f>
        <v>97.031177522030262</v>
      </c>
      <c r="O23" s="15">
        <f>IFERROR((DL/(RadSpec!L23*EF_res*(1/365)*1*RadSpec!Q23*((ET_res_o*(1/24)*RadSpec!V23)+(ET_res_i*(1/24)*RadSpec!AA23)))),".")</f>
        <v>385.30557075051763</v>
      </c>
      <c r="P23" s="189">
        <f>K23*(0.0000000000028)*RadSpec!$AY23*RadSpec!$AF23</f>
        <v>9.5930547167681591E-5</v>
      </c>
      <c r="Q23" s="189">
        <f>L23*(0.0000000000028)*RadSpec!$AY23*RadSpec!$AF23</f>
        <v>3.8462719383268554E-4</v>
      </c>
      <c r="R23" s="189">
        <f>M23*(0.0000000000028)*RadSpec!$AY23*RadSpec!$AF23</f>
        <v>1.3938626511543476E-4</v>
      </c>
      <c r="S23" s="189">
        <f>N23*(0.0000000000028)*RadSpec!$AY23*RadSpec!$AF23</f>
        <v>9.824212661750523E-5</v>
      </c>
      <c r="T23" s="189">
        <f>O23*(0.0000000000000028)*RadSpec!$AY23*RadSpec!$AF23</f>
        <v>3.9011418427348415E-7</v>
      </c>
      <c r="U23" s="15">
        <f>IFERROR((DL/(RadSpec!H23*IFA_res_adj)),".")</f>
        <v>4.2356468224495217E-3</v>
      </c>
      <c r="V23" s="15">
        <f>IFERROR((DL/(RadSpec!K23*EF_res*(1/365)*1*ET_res*(1/24)*GSF_a)),".")</f>
        <v>28718.300791122339</v>
      </c>
      <c r="W23" s="15">
        <f t="shared" si="12"/>
        <v>4.2356461977363299E-3</v>
      </c>
      <c r="X23" s="189">
        <f>W23*(0.0000000000000028)*RadSpec!$AY23*RadSpec!$AF23</f>
        <v>4.2885070622840794E-12</v>
      </c>
      <c r="Y23" s="15">
        <f>IFERROR((DL/(RadSpec!I23*IFW_res_adj)),".")</f>
        <v>0.81003491077117951</v>
      </c>
      <c r="Z23" s="15" t="str">
        <f>IFERROR(IF(AND(RadSpec!C23=1,RadSpec!D23&lt;&gt;0),(DL/(RadSpec!H23*IFA_res_adj*K*RadSpec!D23)),"."),".")</f>
        <v>.</v>
      </c>
      <c r="AA23" s="15">
        <f>IFERROR((DL/(RadSpec!M23*(1/8760)*DFA_res_adj)),".")</f>
        <v>467107.10912228655</v>
      </c>
      <c r="AB23" s="15">
        <f>d_b2w!C23</f>
        <v>0.28575458353666683</v>
      </c>
      <c r="AC23" s="15">
        <f>IF(AND(Y23&lt;&gt;".",Z23&lt;&gt;".",AA23&lt;&gt;".",AB23&lt;&gt;"."),1/((1/Y23)+(1/Z23)+(1/AA23)+(1/AB23)),IF(AND(Y23&lt;&gt;".",Z23&lt;&gt;".",AA23&lt;&gt;".",AB23="."), 1/((1/Y23)+(1/Z23)+(1/AA23)),IF(AND(Y23&lt;&gt;".",Z23&lt;&gt;".",AA23=".",AB23&lt;&gt;"."),1/((1/Y23)+(1/Z23)+(1/AB23)),IF(AND(Y23&lt;&gt;".",Z23=".",AA23&lt;&gt;".",AB23&lt;&gt;"."),1/((1/Y23)+(1/AA23)+(1/AB23)),IF(AND(Y23=".",Z23&lt;&gt;".",AA23&lt;&gt;".",AB23&lt;&gt;"."),1/((1/Z23)+(1/AA23)+(1/AB23)),IF(AND(Y23&lt;&gt;".",Z23&lt;&gt;".",AA23=".",AB23="."),1/((1/Y23)+(1/Z23)),IF(AND(Y23&lt;&gt;".",Z23=".",AA23&lt;&gt;".",AB23="."),1/((1/Y23)+(1/AA23)),IF(AND(Y23&lt;&gt;".",Z23=".",AA23=".",AB23&lt;&gt;"."),1/((1/Y23)+(1/AB23)),IF(AND(Y23=".",Z23=".",AA23&lt;&gt;".",AB23&lt;&gt;"."),1/((1/AA23)+(1/AB23)),IF(AND(Y23=".",Z23&lt;&gt;".",AA23=".",AB23&lt;&gt;"."),1/((1/Z23)+(1/AB23)),IF(AND(Y23=".",Z23&lt;&gt;".",AA23&lt;&gt;".",AB23="."),1/((1/Z23)+(1/AA23)),IF(AND(Y23&lt;&gt;".",Z23=".",AA23=".",AB23="."),1/((1/Y23)),IF(AND(Y23=".",Z23&lt;&gt;".",AA23=".",AB23="."),1/((1/Z23)),IF(AND(Y23=".",Z23=".",AA23&lt;&gt;".",AB23="."),1/((1/AA23)),IF(AND(Y23=".",Z23=".",AA23=".",AB23&lt;&gt;"."),1/((1/AB23)),IF(AND(Y23=".",Z23=".",AA23=".",AB23="."),"."))))))))))))))))</f>
        <v>0.21123681610679668</v>
      </c>
      <c r="AD23" s="189">
        <f>AC23*(0.0000000000000028)*RadSpec!$AY23*RadSpec!$AF23</f>
        <v>2.1387305157180953E-10</v>
      </c>
      <c r="AE23" s="15">
        <f>IFERROR(DL/(RadSpec!F23*EF_res*1*IRF_res*0.001*CF_res_fish),".")</f>
        <v>3.1567360485682781E-2</v>
      </c>
      <c r="AF23" s="189">
        <f>IFERROR(AE23*(0.0000000000028)*RadSpec!$AY23*RadSpec!$AF23,0)</f>
        <v>3.1961321144544105E-8</v>
      </c>
    </row>
    <row r="24" spans="1:32" x14ac:dyDescent="0.25">
      <c r="A24" s="44" t="s">
        <v>22</v>
      </c>
      <c r="B24" s="42" t="s">
        <v>1057</v>
      </c>
      <c r="C24" s="238"/>
      <c r="D24" s="15" t="str">
        <f>IFERROR((DL/(RadSpec!E24*IFS_res_adj*(1/1000))),".")</f>
        <v>.</v>
      </c>
      <c r="E24" s="15" t="str">
        <f>IFERROR(IF(A24="H-3",(DL/(RadSpec!H24*IFA_res_adj*(1/17)*1000))*RadSpec!#REF!,(DL/(RadSpec!H24*IFA_res_adj*(1/PEF_wind)*1000))),".")</f>
        <v>.</v>
      </c>
      <c r="F24" s="15">
        <f>IFERROR((DL/(RadSpec!G24*EF_res*(1/365)*1*RadSpec!R24*((ET_res_o*(1/24)*RadSpec!W24)+(ET_res_i*(1/24)*RadSpec!AB24)))),".")</f>
        <v>706.45506441478165</v>
      </c>
      <c r="G24" s="15" t="str">
        <f>d_b2s!C24</f>
        <v>.</v>
      </c>
      <c r="H24" s="15" t="str">
        <f>d_dir!C24</f>
        <v>.</v>
      </c>
      <c r="I24" s="15">
        <f t="shared" si="0"/>
        <v>706.45506441478165</v>
      </c>
      <c r="J24" s="189">
        <f>I24*(0.0000000000028)*RadSpec!$AY24*RadSpec!$AF24</f>
        <v>4.7858656761026725E-16</v>
      </c>
      <c r="K24" s="15">
        <f>IFERROR((DL/(RadSpec!G24*EF_res*(1/365)*1*RadSpec!R24*((ET_res_o*(1/24)*RadSpec!W24)+(ET_res_i*(1/24)*RadSpec!AB24)))),".")</f>
        <v>706.45506441478165</v>
      </c>
      <c r="L24" s="15">
        <f>IFERROR((DL/(RadSpec!N24*EF_res*(1/365)*1*RadSpec!S24*((ET_res_o*(1/24)*RadSpec!X24)+(ET_res_i*(1/24)*RadSpec!AC24)))),".")</f>
        <v>3509.1885552629687</v>
      </c>
      <c r="M24" s="15">
        <f>IFERROR((DL/(RadSpec!O24*EF_res*(1/365)*1*RadSpec!T24*((ET_res_o*(1/24)*RadSpec!Y24)+(ET_res_i*(1/24)*RadSpec!AD24)))),".")</f>
        <v>1229.5553792867959</v>
      </c>
      <c r="N24" s="15">
        <f>IFERROR((DL/(RadSpec!P24*EF_res*(1/365)*1*RadSpec!U24*((ET_res_o*(1/24)*RadSpec!Z24)+(ET_res_i*(1/24)*RadSpec!AE24)))),".")</f>
        <v>789.56742493416789</v>
      </c>
      <c r="O24" s="15">
        <f>IFERROR((DL/(RadSpec!L24*EF_res*(1/365)*1*RadSpec!Q24*((ET_res_o*(1/24)*RadSpec!V24)+(ET_res_i*(1/24)*RadSpec!AA24)))),".")</f>
        <v>3555.0292991898582</v>
      </c>
      <c r="P24" s="189">
        <f>K24*(0.0000000000028)*RadSpec!$AY24*RadSpec!$AF24</f>
        <v>4.7858656761026725E-16</v>
      </c>
      <c r="Q24" s="189">
        <f>L24*(0.0000000000028)*RadSpec!$AY24*RadSpec!$AF24</f>
        <v>2.3772927541425054E-15</v>
      </c>
      <c r="R24" s="189">
        <f>M24*(0.0000000000028)*RadSpec!$AY24*RadSpec!$AF24</f>
        <v>8.3295982759649609E-16</v>
      </c>
      <c r="S24" s="189">
        <f>N24*(0.0000000000028)*RadSpec!$AY24*RadSpec!$AF24</f>
        <v>5.3489086968206366E-16</v>
      </c>
      <c r="T24" s="189">
        <f>O24*(0.0000000000000028)*RadSpec!$AY24*RadSpec!$AF24</f>
        <v>2.4083474742482278E-18</v>
      </c>
      <c r="U24" s="15" t="str">
        <f>IFERROR((DL/(RadSpec!H24*IFA_res_adj)),".")</f>
        <v>.</v>
      </c>
      <c r="V24" s="15">
        <f>IFERROR((DL/(RadSpec!K24*EF_res*(1/365)*1*ET_res*(1/24)*GSF_a)),".")</f>
        <v>262687.9866482073</v>
      </c>
      <c r="W24" s="15">
        <f t="shared" ref="W24:W25" si="13">IF(AND(U24&lt;&gt;".",V24&lt;&gt;"."),1/((1/U24)+(1/V24)),IF(AND(U24&lt;&gt;".",V24="."),1/((1/U24)),IF(AND(U24=".",V24&lt;&gt;"."),1/((1/V24)),IF(AND(U24&lt;&gt;".",V24="."),"."))))</f>
        <v>262687.9866482073</v>
      </c>
      <c r="X24" s="189">
        <f>W24*(0.0000000000000028)*RadSpec!$AY24*RadSpec!$AF24</f>
        <v>1.7795745011264266E-16</v>
      </c>
      <c r="Y24" s="15" t="str">
        <f>IFERROR((DL/(RadSpec!I24*IFW_res_adj)),".")</f>
        <v>.</v>
      </c>
      <c r="Z24" s="15" t="str">
        <f>IFERROR(IF(AND(RadSpec!C24=1,RadSpec!D24&lt;&gt;0),(DL/(RadSpec!H24*IFA_res_adj*K*RadSpec!D24)),"."),".")</f>
        <v>.</v>
      </c>
      <c r="AA24" s="15">
        <f>IFERROR((DL/(RadSpec!M24*(1/8760)*DFA_res_adj)),".")</f>
        <v>4323427.0993185928</v>
      </c>
      <c r="AB24" s="15" t="str">
        <f>d_b2w!C24</f>
        <v>.</v>
      </c>
      <c r="AC24" s="15">
        <f t="shared" si="2"/>
        <v>4323427.0993185928</v>
      </c>
      <c r="AD24" s="189">
        <f>AC24*(0.0000000000000028)*RadSpec!$AY24*RadSpec!$AF24</f>
        <v>2.9288970240310241E-15</v>
      </c>
      <c r="AE24" s="15" t="str">
        <f>IFERROR(DL/(RadSpec!F24*EF_res*1*IRF_res*0.001*CF_res_fish),".")</f>
        <v>.</v>
      </c>
      <c r="AF24" s="189">
        <f>IFERROR(AE24*(0.0000000000028)*RadSpec!$AY24*RadSpec!$AF24,0)</f>
        <v>0</v>
      </c>
    </row>
    <row r="25" spans="1:32" x14ac:dyDescent="0.25">
      <c r="A25" s="46" t="s">
        <v>23</v>
      </c>
      <c r="B25" s="42" t="s">
        <v>335</v>
      </c>
      <c r="C25" s="238"/>
      <c r="D25" s="15" t="str">
        <f>IFERROR((DL/(RadSpec!E25*IFS_res_adj*(1/1000))),".")</f>
        <v>.</v>
      </c>
      <c r="E25" s="15">
        <f>IFERROR(IF(A25="H-3",(DL/(RadSpec!H25*IFA_res_adj*(1/17)*1000))*RadSpec!#REF!,(DL/(RadSpec!H25*IFA_res_adj*(1/PEF_wind)*1000))),".")</f>
        <v>33500162.617758323</v>
      </c>
      <c r="F25" s="15">
        <f>IFERROR((DL/(RadSpec!G25*EF_res*(1/365)*1*RadSpec!R25*((ET_res_o*(1/24)*RadSpec!W25)+(ET_res_i*(1/24)*RadSpec!AB25)))),".")</f>
        <v>1412.9101288295633</v>
      </c>
      <c r="G25" s="15" t="str">
        <f>d_b2s!C25</f>
        <v>.</v>
      </c>
      <c r="H25" s="15" t="str">
        <f>d_dir!C25</f>
        <v>.</v>
      </c>
      <c r="I25" s="15">
        <f t="shared" si="0"/>
        <v>1412.850540138563</v>
      </c>
      <c r="J25" s="189">
        <f>I25*(0.0000000000028)*RadSpec!$AY25*RadSpec!$AF25</f>
        <v>9.1997379709605943E-9</v>
      </c>
      <c r="K25" s="15">
        <f>IFERROR((DL/(RadSpec!G25*EF_res*(1/365)*1*RadSpec!R25*((ET_res_o*(1/24)*RadSpec!W25)+(ET_res_i*(1/24)*RadSpec!AB25)))),".")</f>
        <v>1412.9101288295633</v>
      </c>
      <c r="L25" s="15">
        <f>IFERROR((DL/(RadSpec!N25*EF_res*(1/365)*1*RadSpec!S25*((ET_res_o*(1/24)*RadSpec!X25)+(ET_res_i*(1/24)*RadSpec!AC25)))),".")</f>
        <v>6825.0743511258579</v>
      </c>
      <c r="M25" s="15">
        <f>IFERROR((DL/(RadSpec!O25*EF_res*(1/365)*1*RadSpec!T25*((ET_res_o*(1/24)*RadSpec!Y25)+(ET_res_i*(1/24)*RadSpec!AD25)))),".")</f>
        <v>2393.3395941540894</v>
      </c>
      <c r="N25" s="15">
        <f>IFERROR((DL/(RadSpec!P25*EF_res*(1/365)*1*RadSpec!U25*((ET_res_o*(1/24)*RadSpec!Z25)+(ET_res_i*(1/24)*RadSpec!AE25)))),".")</f>
        <v>1548.7668719862525</v>
      </c>
      <c r="O25" s="15">
        <f>IFERROR((DL/(RadSpec!L25*EF_res*(1/365)*1*RadSpec!Q25*((ET_res_o*(1/24)*RadSpec!V25)+(ET_res_i*(1/24)*RadSpec!AA25)))),".")</f>
        <v>6918.9279908963908</v>
      </c>
      <c r="P25" s="189">
        <f>K25*(0.0000000000028)*RadSpec!$AY25*RadSpec!$AF25</f>
        <v>9.200125981105802E-9</v>
      </c>
      <c r="Q25" s="189">
        <f>L25*(0.0000000000028)*RadSpec!$AY25*RadSpec!$AF25</f>
        <v>4.4441286518900919E-8</v>
      </c>
      <c r="R25" s="189">
        <f>M25*(0.0000000000028)*RadSpec!$AY25*RadSpec!$AF25</f>
        <v>1.5584165852096013E-8</v>
      </c>
      <c r="S25" s="189">
        <f>N25*(0.0000000000028)*RadSpec!$AY25*RadSpec!$AF25</f>
        <v>1.0084753479289053E-8</v>
      </c>
      <c r="T25" s="189">
        <f>O25*(0.0000000000000028)*RadSpec!$AY25*RadSpec!$AF25</f>
        <v>4.5052411948647469E-11</v>
      </c>
      <c r="U25" s="15">
        <f>IFERROR((DL/(RadSpec!H25*IFA_res_adj)),".")</f>
        <v>24.644351206649045</v>
      </c>
      <c r="V25" s="15">
        <f>IFERROR((DL/(RadSpec!K25*EF_res*(1/365)*1*ET_res*(1/24)*GSF_a)),".")</f>
        <v>516265.40728549397</v>
      </c>
      <c r="W25" s="15">
        <f t="shared" si="13"/>
        <v>24.643174844554771</v>
      </c>
      <c r="X25" s="189">
        <f>W25*(0.0000000000000028)*RadSpec!$AY25*RadSpec!$AF25</f>
        <v>1.6046336459639761E-13</v>
      </c>
      <c r="Y25" s="15" t="str">
        <f>IFERROR((DL/(RadSpec!I25*IFW_res_adj)),".")</f>
        <v>.</v>
      </c>
      <c r="Z25" s="15">
        <f>IFERROR(IF(AND(RadSpec!C25=1,RadSpec!D25&lt;&gt;0),(DL/(RadSpec!H25*IFA_res_adj*K*RadSpec!D25)),"."),".")</f>
        <v>49.28870241329809</v>
      </c>
      <c r="AA25" s="15">
        <f>IFERROR((DL/(RadSpec!M25*(1/8760)*DFA_res_adj)),".")</f>
        <v>8497374.0063735116</v>
      </c>
      <c r="AB25" s="15" t="str">
        <f>d_b2w!C25</f>
        <v>.</v>
      </c>
      <c r="AC25" s="15">
        <f t="shared" si="2"/>
        <v>49.288416517668175</v>
      </c>
      <c r="AD25" s="189">
        <f>AC25*(0.0000000000000028)*RadSpec!$AY25*RadSpec!$AF25</f>
        <v>3.2094018729089552E-13</v>
      </c>
      <c r="AE25" s="15" t="str">
        <f>IFERROR(DL/(RadSpec!F25*EF_res*1*IRF_res*0.001*CF_res_fish),".")</f>
        <v>.</v>
      </c>
      <c r="AF25" s="189">
        <f>IFERROR(AE25*(0.0000000000028)*RadSpec!$AY25*RadSpec!$AF25,0)</f>
        <v>0</v>
      </c>
    </row>
    <row r="26" spans="1:32" x14ac:dyDescent="0.25">
      <c r="A26" s="44" t="s">
        <v>24</v>
      </c>
      <c r="B26" s="42" t="s">
        <v>1057</v>
      </c>
      <c r="C26" s="42"/>
      <c r="D26" s="15">
        <f>IFERROR((DL/(RadSpec!E26*IFS_res_adj*(1/1000))),".")</f>
        <v>10.308793199577771</v>
      </c>
      <c r="E26" s="15">
        <f>IFERROR(IF(A26="H-3",(DL/(RadSpec!H26*IFA_res_adj*(1/17)*1000))*RadSpec!#REF!,(DL/(RadSpec!H26*IFA_res_adj*(1/PEF_wind)*1000))),".")</f>
        <v>785.48797260181493</v>
      </c>
      <c r="F26" s="15">
        <f>IFERROR((DL/(RadSpec!G26*EF_res*(1/365)*1*RadSpec!R26*((ET_res_o*(1/24)*RadSpec!W26)+(ET_res_i*(1/24)*RadSpec!AB26)))),".")</f>
        <v>10.459204849777288</v>
      </c>
      <c r="G26" s="15">
        <f>d_b2s!C26</f>
        <v>0.66065662738894715</v>
      </c>
      <c r="H26" s="15">
        <f>d_dir!C26</f>
        <v>9.5221905828676639E-4</v>
      </c>
      <c r="I26" s="15">
        <f t="shared" si="0"/>
        <v>0.58564027870863911</v>
      </c>
      <c r="J26" s="189">
        <f>I26*(0.0000000000028)*RadSpec!$AY26*RadSpec!$AF26</f>
        <v>2.756262092836569E-6</v>
      </c>
      <c r="K26" s="15">
        <f>IFERROR((DL/(RadSpec!G26*EF_res*(1/365)*1*RadSpec!R26*((ET_res_o*(1/24)*RadSpec!W26)+(ET_res_i*(1/24)*RadSpec!AB26)))),".")</f>
        <v>10.459204849777288</v>
      </c>
      <c r="L26" s="15">
        <f>IFERROR((DL/(RadSpec!N26*EF_res*(1/365)*1*RadSpec!S26*((ET_res_o*(1/24)*RadSpec!X26)+(ET_res_i*(1/24)*RadSpec!AC26)))),".")</f>
        <v>35.091885552629684</v>
      </c>
      <c r="M26" s="15">
        <f>IFERROR((DL/(RadSpec!O26*EF_res*(1/365)*1*RadSpec!T26*((ET_res_o*(1/24)*RadSpec!Y26)+(ET_res_i*(1/24)*RadSpec!AD26)))),".")</f>
        <v>13.766816639877797</v>
      </c>
      <c r="N26" s="15">
        <f>IFERROR((DL/(RadSpec!P26*EF_res*(1/365)*1*RadSpec!U26*((ET_res_o*(1/24)*RadSpec!Z26)+(ET_res_i*(1/24)*RadSpec!AE26)))),".")</f>
        <v>10.596825966221726</v>
      </c>
      <c r="O26" s="15">
        <f>IFERROR((DL/(RadSpec!L26*EF_res*(1/365)*1*RadSpec!Q26*((ET_res_o*(1/24)*RadSpec!V26)+(ET_res_i*(1/24)*RadSpec!AA26)))),".")</f>
        <v>33.210854356302683</v>
      </c>
      <c r="P26" s="189">
        <f>K26*(0.0000000000028)*RadSpec!$AY26*RadSpec!$AF26</f>
        <v>4.9225285378630629E-5</v>
      </c>
      <c r="Q26" s="189">
        <f>L26*(0.0000000000028)*RadSpec!$AY26*RadSpec!$AF26</f>
        <v>1.6515673089998077E-4</v>
      </c>
      <c r="R26" s="189">
        <f>M26*(0.0000000000028)*RadSpec!$AY26*RadSpec!$AF26</f>
        <v>6.4792255968453992E-5</v>
      </c>
      <c r="S26" s="189">
        <f>N26*(0.0000000000028)*RadSpec!$AY26*RadSpec!$AF26</f>
        <v>4.9872986502033667E-5</v>
      </c>
      <c r="T26" s="189">
        <f>O26*(0.0000000000000028)*RadSpec!$AY26*RadSpec!$AF26</f>
        <v>1.5630383062933782E-7</v>
      </c>
      <c r="U26" s="15">
        <f>IFERROR((DL/(RadSpec!H26*IFA_res_adj)),".")</f>
        <v>5.7784320889046447E-4</v>
      </c>
      <c r="V26" s="15">
        <f>IFERROR((DL/(RadSpec!K26*EF_res*(1/365)*1*ET_res*(1/24)*GSF_a)),".")</f>
        <v>2690.1781765177852</v>
      </c>
      <c r="W26" s="15">
        <f t="shared" ref="W26:W29" si="14">IF(AND(U26&lt;&gt;".",V26&lt;&gt;"."),1/((1/U26)+(1/V26)),IF(AND(U26&lt;&gt;".",V26="."),1/((1/U26)),IF(AND(U26=".",V26&lt;&gt;"."),1/((1/V26)),IF(AND(U26&lt;&gt;".",V26="."),"."))))</f>
        <v>5.7784308477128708E-4</v>
      </c>
      <c r="X26" s="189">
        <f>W26*(0.0000000000000028)*RadSpec!$AY26*RadSpec!$AF26</f>
        <v>2.7195653169122638E-12</v>
      </c>
      <c r="Y26" s="15">
        <f>IFERROR((DL/(RadSpec!I26*IFW_res_adj)),".")</f>
        <v>0.60253828338151783</v>
      </c>
      <c r="Z26" s="15" t="str">
        <f>IFERROR(IF(AND(RadSpec!C26=1,RadSpec!D26&lt;&gt;0),(DL/(RadSpec!H26*IFA_res_adj*K*RadSpec!D26)),"."),".")</f>
        <v>.</v>
      </c>
      <c r="AA26" s="15">
        <f>IFERROR((DL/(RadSpec!M26*(1/8760)*DFA_res_adj)),".")</f>
        <v>43175.846302654594</v>
      </c>
      <c r="AB26" s="15">
        <f>d_b2w!C26</f>
        <v>0.2577785333705756</v>
      </c>
      <c r="AC26" s="15">
        <f t="shared" si="2"/>
        <v>0.1805390554867782</v>
      </c>
      <c r="AD26" s="189">
        <f>AC26*(0.0000000000000028)*RadSpec!$AY26*RadSpec!$AF26</f>
        <v>8.4969045505541681E-10</v>
      </c>
      <c r="AE26" s="15">
        <f>IFERROR(DL/(RadSpec!F26*EF_res*1*IRF_res*0.001*CF_res_fish),".")</f>
        <v>2.3481140065704922E-2</v>
      </c>
      <c r="AF26" s="189">
        <f>IFERROR(AE26*(0.0000000000028)*RadSpec!$AY26*RadSpec!$AF26,0)</f>
        <v>1.1051182545435417E-7</v>
      </c>
    </row>
    <row r="27" spans="1:32" x14ac:dyDescent="0.25">
      <c r="A27" s="44" t="s">
        <v>25</v>
      </c>
      <c r="B27" s="42" t="s">
        <v>1057</v>
      </c>
      <c r="C27" s="238"/>
      <c r="D27" s="15" t="str">
        <f>IFERROR((DL/(RadSpec!E27*IFS_res_adj*(1/1000))),".")</f>
        <v>.</v>
      </c>
      <c r="E27" s="15" t="str">
        <f>IFERROR(IF(A27="H-3",(DL/(RadSpec!H27*IFA_res_adj*(1/17)*1000))*RadSpec!#REF!,(DL/(RadSpec!H27*IFA_res_adj*(1/PEF_wind)*1000))),".")</f>
        <v>.</v>
      </c>
      <c r="F27" s="15">
        <f>IFERROR((DL/(RadSpec!G27*EF_res*(1/365)*1*RadSpec!R27*((ET_res_o*(1/24)*RadSpec!W27)+(ET_res_i*(1/24)*RadSpec!AB27)))),".")</f>
        <v>235.48502147159394</v>
      </c>
      <c r="G27" s="15" t="str">
        <f>d_b2s!C27</f>
        <v>.</v>
      </c>
      <c r="H27" s="15" t="str">
        <f>d_dir!C27</f>
        <v>.</v>
      </c>
      <c r="I27" s="15">
        <f t="shared" si="0"/>
        <v>235.48502147159394</v>
      </c>
      <c r="J27" s="189">
        <f>I27*(0.0000000000028)*RadSpec!$AY27*RadSpec!$AF27</f>
        <v>1.0853816469106259E-12</v>
      </c>
      <c r="K27" s="15">
        <f>IFERROR((DL/(RadSpec!G27*EF_res*(1/365)*1*RadSpec!R27*((ET_res_o*(1/24)*RadSpec!W27)+(ET_res_i*(1/24)*RadSpec!AB27)))),".")</f>
        <v>235.48502147159394</v>
      </c>
      <c r="L27" s="15">
        <f>IFERROR((DL/(RadSpec!N27*EF_res*(1/365)*1*RadSpec!S27*((ET_res_o*(1/24)*RadSpec!X27)+(ET_res_i*(1/24)*RadSpec!AC27)))),".")</f>
        <v>396.72845981913855</v>
      </c>
      <c r="M27" s="15">
        <f>IFERROR((DL/(RadSpec!O27*EF_res*(1/365)*1*RadSpec!T27*((ET_res_o*(1/24)*RadSpec!Y27)+(ET_res_i*(1/24)*RadSpec!AD27)))),".")</f>
        <v>284.57907188439975</v>
      </c>
      <c r="N27" s="15">
        <f>IFERROR((DL/(RadSpec!P27*EF_res*(1/365)*1*RadSpec!U27*((ET_res_o*(1/24)*RadSpec!Z27)+(ET_res_i*(1/24)*RadSpec!AE27)))),".")</f>
        <v>241.48688858556258</v>
      </c>
      <c r="O27" s="15">
        <f>IFERROR((DL/(RadSpec!L27*EF_res*(1/365)*1*RadSpec!Q27*((ET_res_o*(1/24)*RadSpec!V27)+(ET_res_i*(1/24)*RadSpec!AA27)))),".")</f>
        <v>42.056228964272186</v>
      </c>
      <c r="P27" s="189">
        <f>K27*(0.0000000000028)*RadSpec!$AY27*RadSpec!$AF27</f>
        <v>1.0853816469106259E-12</v>
      </c>
      <c r="Q27" s="189">
        <f>L27*(0.0000000000028)*RadSpec!$AY27*RadSpec!$AF27</f>
        <v>1.8285740061252907E-12</v>
      </c>
      <c r="R27" s="189">
        <f>M27*(0.0000000000028)*RadSpec!$AY27*RadSpec!$AF27</f>
        <v>1.3116626263018872E-12</v>
      </c>
      <c r="S27" s="189">
        <f>N27*(0.0000000000028)*RadSpec!$AY27*RadSpec!$AF27</f>
        <v>1.1130450472066985E-12</v>
      </c>
      <c r="T27" s="189">
        <f>O27*(0.0000000000000028)*RadSpec!$AY27*RadSpec!$AF27</f>
        <v>1.9384272838601081E-16</v>
      </c>
      <c r="U27" s="15" t="str">
        <f>IFERROR((DL/(RadSpec!H27*IFA_res_adj)),".")</f>
        <v>.</v>
      </c>
      <c r="V27" s="15">
        <f>IFERROR((DL/(RadSpec!K27*EF_res*(1/365)*1*ET_res*(1/24)*GSF_a)),".")</f>
        <v>22497.207924531609</v>
      </c>
      <c r="W27" s="15">
        <f t="shared" si="14"/>
        <v>22497.207924531609</v>
      </c>
      <c r="X27" s="189">
        <f>W27*(0.0000000000000028)*RadSpec!$AY27*RadSpec!$AF27</f>
        <v>1.0369261040649415E-13</v>
      </c>
      <c r="Y27" s="15" t="str">
        <f>IFERROR((DL/(RadSpec!I27*IFW_res_adj)),".")</f>
        <v>.</v>
      </c>
      <c r="Z27" s="15" t="str">
        <f>IFERROR(IF(AND(RadSpec!C27=1,RadSpec!D27&lt;&gt;0),(DL/(RadSpec!H27*IFA_res_adj*K*RadSpec!D27)),"."),".")</f>
        <v>.</v>
      </c>
      <c r="AA27" s="15">
        <f>IFERROR((DL/(RadSpec!M27*(1/8760)*DFA_res_adj)),".")</f>
        <v>672634.23713609262</v>
      </c>
      <c r="AB27" s="15" t="str">
        <f>d_b2w!C27</f>
        <v>.</v>
      </c>
      <c r="AC27" s="15">
        <f t="shared" si="2"/>
        <v>672634.23713609262</v>
      </c>
      <c r="AD27" s="189">
        <f>AC27*(0.0000000000000028)*RadSpec!$AY27*RadSpec!$AF27</f>
        <v>3.1002602692473616E-12</v>
      </c>
      <c r="AE27" s="15" t="str">
        <f>IFERROR(DL/(RadSpec!F27*EF_res*1*IRF_res*0.001*CF_res_fish),".")</f>
        <v>.</v>
      </c>
      <c r="AF27" s="189">
        <f>IFERROR(AE27*(0.0000000000028)*RadSpec!$AY27*RadSpec!$AF27,0)</f>
        <v>0</v>
      </c>
    </row>
    <row r="28" spans="1:32" x14ac:dyDescent="0.25">
      <c r="A28" s="44" t="s">
        <v>26</v>
      </c>
      <c r="B28" s="42" t="s">
        <v>1057</v>
      </c>
      <c r="C28" s="42"/>
      <c r="D28" s="15" t="str">
        <f>IFERROR((DL/(RadSpec!E28*IFS_res_adj*(1/1000))),".")</f>
        <v>.</v>
      </c>
      <c r="E28" s="15" t="str">
        <f>IFERROR(IF(A28="H-3",(DL/(RadSpec!H28*IFA_res_adj*(1/17)*1000))*RadSpec!#REF!,(DL/(RadSpec!H28*IFA_res_adj*(1/PEF_wind)*1000))),".")</f>
        <v>.</v>
      </c>
      <c r="F28" s="15">
        <f>IFERROR((DL/(RadSpec!G28*EF_res*(1/365)*1*RadSpec!R28*((ET_res_o*(1/24)*RadSpec!W28)+(ET_res_i*(1/24)*RadSpec!AB28)))),".")</f>
        <v>0.23377613162056635</v>
      </c>
      <c r="G28" s="15" t="str">
        <f>d_b2s!C28</f>
        <v>.</v>
      </c>
      <c r="H28" s="15" t="str">
        <f>d_dir!C28</f>
        <v>.</v>
      </c>
      <c r="I28" s="15">
        <f t="shared" si="0"/>
        <v>0.23377613162056635</v>
      </c>
      <c r="J28" s="189">
        <f>I28*(0.0000000000028)*RadSpec!$AY28*RadSpec!$AF28</f>
        <v>5.6247586947646948E-16</v>
      </c>
      <c r="K28" s="15">
        <f>IFERROR((DL/(RadSpec!G28*EF_res*(1/365)*1*RadSpec!R28*((ET_res_o*(1/24)*RadSpec!W28)+(ET_res_i*(1/24)*RadSpec!AB28)))),".")</f>
        <v>0.23377613162056635</v>
      </c>
      <c r="L28" s="15">
        <f>IFERROR((DL/(RadSpec!N28*EF_res*(1/365)*1*RadSpec!S28*((ET_res_o*(1/24)*RadSpec!X28)+(ET_res_i*(1/24)*RadSpec!AC28)))),".")</f>
        <v>1.278347259417224</v>
      </c>
      <c r="M28" s="15">
        <f>IFERROR((DL/(RadSpec!O28*EF_res*(1/365)*1*RadSpec!T28*((ET_res_o*(1/24)*RadSpec!Y28)+(ET_res_i*(1/24)*RadSpec!AD28)))),".")</f>
        <v>0.44494959858168576</v>
      </c>
      <c r="N28" s="15">
        <f>IFERROR((DL/(RadSpec!P28*EF_res*(1/365)*1*RadSpec!U28*((ET_res_o*(1/24)*RadSpec!Z28)+(ET_res_i*(1/24)*RadSpec!AE28)))),".")</f>
        <v>0.27818955904416276</v>
      </c>
      <c r="O28" s="15">
        <f>IFERROR((DL/(RadSpec!L28*EF_res*(1/365)*1*RadSpec!Q28*((ET_res_o*(1/24)*RadSpec!V28)+(ET_res_i*(1/24)*RadSpec!AA28)))),".")</f>
        <v>1.2741788181254741</v>
      </c>
      <c r="P28" s="189">
        <f>K28*(0.0000000000028)*RadSpec!$AY28*RadSpec!$AF28</f>
        <v>5.6247586947646948E-16</v>
      </c>
      <c r="Q28" s="189">
        <f>L28*(0.0000000000028)*RadSpec!$AY28*RadSpec!$AF28</f>
        <v>3.0757609053118055E-15</v>
      </c>
      <c r="R28" s="189">
        <f>M28*(0.0000000000028)*RadSpec!$AY28*RadSpec!$AF28</f>
        <v>1.0705687128985844E-15</v>
      </c>
      <c r="S28" s="189">
        <f>N28*(0.0000000000028)*RadSpec!$AY28*RadSpec!$AF28</f>
        <v>6.6933657006785414E-16</v>
      </c>
      <c r="T28" s="189">
        <f>O28*(0.0000000000000028)*RadSpec!$AY28*RadSpec!$AF28</f>
        <v>3.0657314483963999E-18</v>
      </c>
      <c r="U28" s="15" t="str">
        <f>IFERROR((DL/(RadSpec!H28*IFA_res_adj)),".")</f>
        <v>.</v>
      </c>
      <c r="V28" s="15">
        <f>IFERROR((DL/(RadSpec!K28*EF_res*(1/365)*1*ET_res*(1/24)*GSF_a)),".")</f>
        <v>87.562662216069114</v>
      </c>
      <c r="W28" s="15">
        <f t="shared" si="14"/>
        <v>87.562662216069114</v>
      </c>
      <c r="X28" s="189">
        <f>W28*(0.0000000000000028)*RadSpec!$AY28*RadSpec!$AF28</f>
        <v>2.1067969694868953E-16</v>
      </c>
      <c r="Y28" s="15" t="str">
        <f>IFERROR((DL/(RadSpec!I28*IFW_res_adj)),".")</f>
        <v>.</v>
      </c>
      <c r="Z28" s="15" t="str">
        <f>IFERROR(IF(AND(RadSpec!C28=1,RadSpec!D28&lt;&gt;0),(DL/(RadSpec!H28*IFA_res_adj*K*RadSpec!D28)),"."),".")</f>
        <v>.</v>
      </c>
      <c r="AA28" s="15">
        <f>IFERROR((DL/(RadSpec!M28*(1/8760)*DFA_res_adj)),".")</f>
        <v>1452.2784665438364</v>
      </c>
      <c r="AB28" s="15" t="str">
        <f>d_b2w!C28</f>
        <v>.</v>
      </c>
      <c r="AC28" s="15">
        <f t="shared" si="2"/>
        <v>1452.2784665438364</v>
      </c>
      <c r="AD28" s="189">
        <f>AC28*(0.0000000000000028)*RadSpec!$AY28*RadSpec!$AF28</f>
        <v>3.4942471993549505E-15</v>
      </c>
      <c r="AE28" s="15" t="str">
        <f>IFERROR(DL/(RadSpec!F28*EF_res*1*IRF_res*0.001*CF_res_fish),".")</f>
        <v>.</v>
      </c>
      <c r="AF28" s="189">
        <f>IFERROR(AE28*(0.0000000000028)*RadSpec!$AY28*RadSpec!$AF28,0)</f>
        <v>0</v>
      </c>
    </row>
    <row r="29" spans="1:32" x14ac:dyDescent="0.25">
      <c r="A29" s="44" t="s">
        <v>27</v>
      </c>
      <c r="B29" s="42" t="s">
        <v>1057</v>
      </c>
      <c r="C29" s="238"/>
      <c r="D29" s="15" t="str">
        <f>IFERROR((DL/(RadSpec!E29*IFS_res_adj*(1/1000))),".")</f>
        <v>.</v>
      </c>
      <c r="E29" s="15" t="str">
        <f>IFERROR(IF(A29="H-3",(DL/(RadSpec!H29*IFA_res_adj*(1/17)*1000))*RadSpec!#REF!,(DL/(RadSpec!H29*IFA_res_adj*(1/PEF_wind)*1000))),".")</f>
        <v>.</v>
      </c>
      <c r="F29" s="15">
        <f>IFERROR((DL/(RadSpec!G29*EF_res*(1/365)*1*RadSpec!R29*((ET_res_o*(1/24)*RadSpec!W29)+(ET_res_i*(1/24)*RadSpec!AB29)))),".")</f>
        <v>0.1793672101186751</v>
      </c>
      <c r="G29" s="15" t="str">
        <f>d_b2s!C29</f>
        <v>.</v>
      </c>
      <c r="H29" s="15" t="str">
        <f>d_dir!C29</f>
        <v>.</v>
      </c>
      <c r="I29" s="15">
        <f t="shared" si="0"/>
        <v>0.1793672101186751</v>
      </c>
      <c r="J29" s="189">
        <f>I29*(0.0000000000028)*RadSpec!$AY29*RadSpec!$AF29</f>
        <v>2.6086053161095013E-16</v>
      </c>
      <c r="K29" s="15">
        <f>IFERROR((DL/(RadSpec!G29*EF_res*(1/365)*1*RadSpec!R29*((ET_res_o*(1/24)*RadSpec!W29)+(ET_res_i*(1/24)*RadSpec!AB29)))),".")</f>
        <v>0.1793672101186751</v>
      </c>
      <c r="L29" s="15">
        <f>IFERROR((DL/(RadSpec!N29*EF_res*(1/365)*1*RadSpec!S29*((ET_res_o*(1/24)*RadSpec!X29)+(ET_res_i*(1/24)*RadSpec!AC29)))),".")</f>
        <v>0.98214484564981863</v>
      </c>
      <c r="M29" s="15">
        <f>IFERROR((DL/(RadSpec!O29*EF_res*(1/365)*1*RadSpec!T29*((ET_res_o*(1/24)*RadSpec!Y29)+(ET_res_i*(1/24)*RadSpec!AD29)))),".")</f>
        <v>0.34197824774218732</v>
      </c>
      <c r="N29" s="15">
        <f>IFERROR((DL/(RadSpec!P29*EF_res*(1/365)*1*RadSpec!U29*((ET_res_o*(1/24)*RadSpec!Z29)+(ET_res_i*(1/24)*RadSpec!AE29)))),".")</f>
        <v>0.21277642627023813</v>
      </c>
      <c r="O29" s="15">
        <f>IFERROR((DL/(RadSpec!L29*EF_res*(1/365)*1*RadSpec!Q29*((ET_res_o*(1/24)*RadSpec!V29)+(ET_res_i*(1/24)*RadSpec!AA29)))),".")</f>
        <v>0.97493985326267329</v>
      </c>
      <c r="P29" s="189">
        <f>K29*(0.0000000000028)*RadSpec!$AY29*RadSpec!$AF29</f>
        <v>2.6086053161095013E-16</v>
      </c>
      <c r="Q29" s="189">
        <f>L29*(0.0000000000028)*RadSpec!$AY29*RadSpec!$AF29</f>
        <v>1.4283704718697148E-15</v>
      </c>
      <c r="R29" s="189">
        <f>M29*(0.0000000000028)*RadSpec!$AY29*RadSpec!$AF29</f>
        <v>4.9735192651089852E-16</v>
      </c>
      <c r="S29" s="189">
        <f>N29*(0.0000000000028)*RadSpec!$AY29*RadSpec!$AF29</f>
        <v>3.0944882085420506E-16</v>
      </c>
      <c r="T29" s="189">
        <f>O29*(0.0000000000000028)*RadSpec!$AY29*RadSpec!$AF29</f>
        <v>1.4178919783751677E-18</v>
      </c>
      <c r="U29" s="15" t="str">
        <f>IFERROR((DL/(RadSpec!H29*IFA_res_adj)),".")</f>
        <v>.</v>
      </c>
      <c r="V29" s="15">
        <f>IFERROR((DL/(RadSpec!K29*EF_res*(1/365)*1*ET_res*(1/24)*GSF_a)),".")</f>
        <v>67.662057166962484</v>
      </c>
      <c r="W29" s="15">
        <f t="shared" si="14"/>
        <v>67.662057166962484</v>
      </c>
      <c r="X29" s="189">
        <f>W29*(0.0000000000000028)*RadSpec!$AY29*RadSpec!$AF29</f>
        <v>9.840349409898433E-17</v>
      </c>
      <c r="Y29" s="15" t="str">
        <f>IFERROR((DL/(RadSpec!I29*IFW_res_adj)),".")</f>
        <v>.</v>
      </c>
      <c r="Z29" s="15" t="str">
        <f>IFERROR(IF(AND(RadSpec!C29=1,RadSpec!D29&lt;&gt;0),(DL/(RadSpec!H29*IFA_res_adj*K*RadSpec!D29)),"."),".")</f>
        <v>.</v>
      </c>
      <c r="AA29" s="15">
        <f>IFERROR((DL/(RadSpec!M29*(1/8760)*DFA_res_adj)),".")</f>
        <v>1121.0570618934876</v>
      </c>
      <c r="AB29" s="15" t="str">
        <f>d_b2w!C29</f>
        <v>.</v>
      </c>
      <c r="AC29" s="15">
        <f t="shared" si="2"/>
        <v>1121.0570618934876</v>
      </c>
      <c r="AD29" s="189">
        <f>AC29*(0.0000000000000028)*RadSpec!$AY29*RadSpec!$AF29</f>
        <v>1.6303957726624482E-15</v>
      </c>
      <c r="AE29" s="15" t="str">
        <f>IFERROR(DL/(RadSpec!F29*EF_res*1*IRF_res*0.001*CF_res_fish),".")</f>
        <v>.</v>
      </c>
      <c r="AF29" s="189">
        <f>IFERROR(AE29*(0.0000000000028)*RadSpec!$AY29*RadSpec!$AF29,0)</f>
        <v>0</v>
      </c>
    </row>
    <row r="30" spans="1:32" x14ac:dyDescent="0.25">
      <c r="A30" s="44" t="s">
        <v>28</v>
      </c>
      <c r="B30" s="42" t="s">
        <v>1057</v>
      </c>
      <c r="C30" s="42"/>
      <c r="D30" s="15">
        <f>IFERROR((DL/(RadSpec!E30*IFS_res_adj*(1/1000))),".")</f>
        <v>104.28662887944955</v>
      </c>
      <c r="E30" s="15">
        <f>IFERROR(IF(A30="H-3",(DL/(RadSpec!H30*IFA_res_adj*(1/17)*1000))*RadSpec!#REF!,(DL/(RadSpec!H30*IFA_res_adj*(1/PEF_wind)*1000))),".")</f>
        <v>5757.703100139518</v>
      </c>
      <c r="F30" s="15">
        <f>IFERROR((DL/(RadSpec!G30*EF_res*(1/365)*1*RadSpec!R30*((ET_res_o*(1/24)*RadSpec!W30)+(ET_res_i*(1/24)*RadSpec!AB30)))),".")</f>
        <v>3273.8161521660622</v>
      </c>
      <c r="G30" s="15">
        <f>d_b2s!C30</f>
        <v>1.2365704182267343</v>
      </c>
      <c r="H30" s="15">
        <f>d_dir!C30</f>
        <v>9.6329137291800773E-3</v>
      </c>
      <c r="I30" s="15">
        <f t="shared" si="0"/>
        <v>1.2213645470322274</v>
      </c>
      <c r="J30" s="189">
        <f>I30*(0.0000000000028)*RadSpec!$AY30*RadSpec!$AF30</f>
        <v>1.2685346229302497E-4</v>
      </c>
      <c r="K30" s="15">
        <f>IFERROR((DL/(RadSpec!G30*EF_res*(1/365)*1*RadSpec!R30*((ET_res_o*(1/24)*RadSpec!W30)+(ET_res_i*(1/24)*RadSpec!AB30)))),".")</f>
        <v>3273.8161521660622</v>
      </c>
      <c r="L30" s="15">
        <f>IFERROR((DL/(RadSpec!N30*EF_res*(1/365)*1*RadSpec!S30*((ET_res_o*(1/24)*RadSpec!X30)+(ET_res_i*(1/24)*RadSpec!AC30)))),".")</f>
        <v>11108.396874935879</v>
      </c>
      <c r="M30" s="15">
        <f>IFERROR((DL/(RadSpec!O30*EF_res*(1/365)*1*RadSpec!T30*((ET_res_o*(1/24)*RadSpec!Y30)+(ET_res_i*(1/24)*RadSpec!AD30)))),".")</f>
        <v>4588.9388799592662</v>
      </c>
      <c r="N30" s="15">
        <f>IFERROR((DL/(RadSpec!P30*EF_res*(1/365)*1*RadSpec!U30*((ET_res_o*(1/24)*RadSpec!Z30)+(ET_res_i*(1/24)*RadSpec!AE30)))),".")</f>
        <v>3383.8603925750044</v>
      </c>
      <c r="O30" s="15">
        <f>IFERROR((DL/(RadSpec!L30*EF_res*(1/365)*1*RadSpec!Q30*((ET_res_o*(1/24)*RadSpec!V30)+(ET_res_i*(1/24)*RadSpec!AA30)))),".")</f>
        <v>5407.2294382635664</v>
      </c>
      <c r="P30" s="189">
        <f>K30*(0.0000000000028)*RadSpec!$AY30*RadSpec!$AF30</f>
        <v>0.34002535510156379</v>
      </c>
      <c r="Q30" s="189">
        <f>L30*(0.0000000000028)*RadSpec!$AY30*RadSpec!$AF30</f>
        <v>1.1537412048963402</v>
      </c>
      <c r="R30" s="189">
        <f>M30*(0.0000000000028)*RadSpec!$AY30*RadSpec!$AF30</f>
        <v>0.47661673706543967</v>
      </c>
      <c r="S30" s="189">
        <f>N30*(0.0000000000028)*RadSpec!$AY30*RadSpec!$AF30</f>
        <v>0.35145477880245651</v>
      </c>
      <c r="T30" s="189">
        <f>O30*(0.0000000000000028)*RadSpec!$AY30*RadSpec!$AF30</f>
        <v>5.6160609649528559E-4</v>
      </c>
      <c r="U30" s="15">
        <f>IFERROR((DL/(RadSpec!H30*IFA_res_adj)),".")</f>
        <v>4.2356468224495217E-3</v>
      </c>
      <c r="V30" s="15">
        <f>IFERROR((DL/(RadSpec!K30*EF_res*(1/365)*1*ET_res*(1/24)*GSF_a)),".")</f>
        <v>842584.10811689147</v>
      </c>
      <c r="W30" s="15">
        <f t="shared" ref="W30" si="15">IF(AND(U30&lt;&gt;".",V30&lt;&gt;"."),1/((1/U30)+(1/V30)),IF(AND(U30&lt;&gt;".",V30="."),1/((1/U30)),IF(AND(U30=".",V30&lt;&gt;"."),1/((1/V30)),IF(AND(U30&lt;&gt;".",V30="."),"."))))</f>
        <v>4.2356468011570435E-3</v>
      </c>
      <c r="X30" s="189">
        <f>W30*(0.0000000000000028)*RadSpec!$AY30*RadSpec!$AF30</f>
        <v>4.3992308691351692E-10</v>
      </c>
      <c r="Y30" s="15">
        <f>IFERROR((DL/(RadSpec!I30*IFW_res_adj)),".")</f>
        <v>6.0954454249060523</v>
      </c>
      <c r="Z30" s="15" t="str">
        <f>IFERROR(IF(AND(RadSpec!C30=1,RadSpec!D30&lt;&gt;0),(DL/(RadSpec!H30*IFA_res_adj*K*RadSpec!D30)),"."),".")</f>
        <v>.</v>
      </c>
      <c r="AA30" s="15">
        <f>IFERROR((DL/(RadSpec!M30*(1/8760)*DFA_res_adj)),".")</f>
        <v>13595798.410197617</v>
      </c>
      <c r="AB30" s="15">
        <f>d_b2w!C30</f>
        <v>2.4568208272321308</v>
      </c>
      <c r="AC30" s="15">
        <f t="shared" si="2"/>
        <v>1.7510464362226756</v>
      </c>
      <c r="AD30" s="189">
        <f>AC30*(0.0000000000000028)*RadSpec!$AY30*RadSpec!$AF30</f>
        <v>1.8186732504267443E-7</v>
      </c>
      <c r="AE30" s="15">
        <f>IFERROR(DL/(RadSpec!F30*EF_res*1*IRF_res*0.001*CF_res_fish),".")</f>
        <v>0.23754176578096842</v>
      </c>
      <c r="AF30" s="189">
        <f>IFERROR(AE30*(0.0000000000028)*RadSpec!$AY30*RadSpec!$AF30,0)</f>
        <v>2.467158188088421E-5</v>
      </c>
    </row>
    <row r="31" spans="1:32" x14ac:dyDescent="0.25">
      <c r="A31" s="172" t="s">
        <v>1</v>
      </c>
      <c r="B31" s="57" t="s">
        <v>1185</v>
      </c>
      <c r="C31" s="57"/>
      <c r="D31" s="58">
        <f t="shared" ref="D31:I31" si="16">IFERROR(1/SUM(IFERROR(1/SUMIF(D32,"&lt;&gt;.",D32),0),IFERROR(1/SUMIF(D33,"&lt;&gt;.",D33),0),IFERROR(1/SUMIF(D34,"&lt;&gt;.",D34),0),IFERROR(1/SUMIF(D35,"&lt;&gt;.",D35),0),IFERROR(1/SUMIF(D36,"&lt;&gt;.",D36),0),IFERROR(1/SUMIF(D37,"&lt;&gt;.",D37),0),IFERROR(1/SUMIF(D38,"&lt;&gt;.",D38),0),IFERROR(1/SUMIF(D39,"&lt;&gt;.",D39),0),IFERROR(1/SUMIF(D40,"&lt;&gt;.",D40),0),IFERROR(1/SUMIF(D41,"&lt;&gt;.",D41),0),IFERROR(1/SUMIF(D42,"&lt;&gt;.",D42),0),IFERROR(1/SUMIF(D43,"&lt;&gt;.",D43),0),IFERROR(1/SUMIF(D44,"&lt;&gt;.",D44),0)),".")</f>
        <v>4.7411509578981148</v>
      </c>
      <c r="E31" s="58">
        <f t="shared" si="16"/>
        <v>276.95468717538586</v>
      </c>
      <c r="F31" s="58">
        <f t="shared" si="16"/>
        <v>1.1733827879338723</v>
      </c>
      <c r="G31" s="58">
        <f>IFERROR(1/SUM(IFERROR(1/SUMIF(G32,"&lt;&gt;.",G32),0),IFERROR(1/SUMIF(G33,"&lt;&gt;.",G33),0),IFERROR(1/SUMIF(G34,"&lt;&gt;.",G34),0),IFERROR(1/SUMIF(G35,"&lt;&gt;.",G35),0),IFERROR(1/SUMIF(G36,"&lt;&gt;.",G36),0),IFERROR(1/SUMIF(G37,"&lt;&gt;.",G37),0),IFERROR(1/SUMIF(G38,"&lt;&gt;.",G38),0),IFERROR(1/SUMIF(G39,"&lt;&gt;.",G39),0),IFERROR(1/SUMIF(G40,"&lt;&gt;.",G40),0),IFERROR(1/SUMIF(G41,"&lt;&gt;.",G41),0),IFERROR(1/SUMIF(G42,"&lt;&gt;.",G42),0),IFERROR(1/SUMIF(G43,"&lt;&gt;.",G43),0),IFERROR(1/SUMIF(G44,"&lt;&gt;.",G44),0)),".")</f>
        <v>6.7412270857583043E-2</v>
      </c>
      <c r="H31" s="58">
        <f t="shared" si="16"/>
        <v>4.3793819634581989E-4</v>
      </c>
      <c r="I31" s="59">
        <f t="shared" si="16"/>
        <v>6.2889675005300003E-2</v>
      </c>
      <c r="J31" s="190">
        <f>I31*(0.0000000000028)*RadSpec!$AY3*RadSpec!$AF3</f>
        <v>1.834168315416374E-8</v>
      </c>
      <c r="K31" s="58">
        <f>IFERROR(1/SUM(IFERROR(1/SUMIF(K32,"&lt;&gt;.",K32),0),IFERROR(1/SUMIF(K33,"&lt;&gt;.",K33),0),IFERROR(1/SUMIF(K34,"&lt;&gt;.",K34),0),IFERROR(1/SUMIF(K35,"&lt;&gt;.",K35),0),IFERROR(1/SUMIF(K36,"&lt;&gt;.",K36),0),IFERROR(1/SUMIF(K37,"&lt;&gt;.",K37),0),IFERROR(1/SUMIF(K38,"&lt;&gt;.",K38),0),IFERROR(1/SUMIF(K39,"&lt;&gt;.",K39),0),IFERROR(1/SUMIF(K40,"&lt;&gt;.",K40),0),IFERROR(1/SUMIF(K41,"&lt;&gt;.",K41),0),IFERROR(1/SUMIF(K42,"&lt;&gt;.",K42),0),IFERROR(1/SUMIF(K43,"&lt;&gt;.",K43),0),IFERROR(1/SUMIF(K44,"&lt;&gt;.",K44),0)),".")</f>
        <v>1.1733827879338723</v>
      </c>
      <c r="L31" s="58">
        <f>IFERROR(1/SUM(IFERROR(1/SUMIF(L32,"&lt;&gt;.",L32),0),IFERROR(1/SUMIF(L33,"&lt;&gt;.",L33),0),IFERROR(1/SUMIF(L34,"&lt;&gt;.",L34),0),IFERROR(1/SUMIF(L35,"&lt;&gt;.",L35),0),IFERROR(1/SUMIF(L36,"&lt;&gt;.",L36),0),IFERROR(1/SUMIF(L37,"&lt;&gt;.",L37),0),IFERROR(1/SUMIF(L38,"&lt;&gt;.",L38),0),IFERROR(1/SUMIF(L39,"&lt;&gt;.",L39),0),IFERROR(1/SUMIF(L40,"&lt;&gt;.",L40),0),IFERROR(1/SUMIF(L41,"&lt;&gt;.",L41),0),IFERROR(1/SUMIF(L42,"&lt;&gt;.",L42),0),IFERROR(1/SUMIF(L43,"&lt;&gt;.",L43),0),IFERROR(1/SUMIF(L44,"&lt;&gt;.",L44),0)),".")</f>
        <v>4.8906753243310037</v>
      </c>
      <c r="M31" s="58">
        <f>IFERROR(1/SUM(IFERROR(1/SUMIF(M32,"&lt;&gt;.",M32),0),IFERROR(1/SUMIF(M33,"&lt;&gt;.",M33),0),IFERROR(1/SUMIF(M34,"&lt;&gt;.",M34),0),IFERROR(1/SUMIF(M35,"&lt;&gt;.",M35),0),IFERROR(1/SUMIF(M36,"&lt;&gt;.",M36),0),IFERROR(1/SUMIF(M37,"&lt;&gt;.",M37),0),IFERROR(1/SUMIF(M38,"&lt;&gt;.",M38),0),IFERROR(1/SUMIF(M39,"&lt;&gt;.",M39),0),IFERROR(1/SUMIF(M40,"&lt;&gt;.",M40),0),IFERROR(1/SUMIF(M41,"&lt;&gt;.",M41),0),IFERROR(1/SUMIF(M42,"&lt;&gt;.",M42),0),IFERROR(1/SUMIF(M43,"&lt;&gt;.",M43),0),IFERROR(1/SUMIF(M44,"&lt;&gt;.",M44),0)),".")</f>
        <v>1.8122880394537788</v>
      </c>
      <c r="N31" s="58">
        <f>IFERROR(1/SUM(IFERROR(1/SUMIF(N32,"&lt;&gt;.",N32),0),IFERROR(1/SUMIF(N33,"&lt;&gt;.",N33),0),IFERROR(1/SUMIF(N34,"&lt;&gt;.",N34),0),IFERROR(1/SUMIF(N35,"&lt;&gt;.",N35),0),IFERROR(1/SUMIF(N36,"&lt;&gt;.",N36),0),IFERROR(1/SUMIF(N37,"&lt;&gt;.",N37),0),IFERROR(1/SUMIF(N38,"&lt;&gt;.",N38),0),IFERROR(1/SUMIF(N39,"&lt;&gt;.",N39),0),IFERROR(1/SUMIF(N40,"&lt;&gt;.",N40),0),IFERROR(1/SUMIF(N41,"&lt;&gt;.",N41),0),IFERROR(1/SUMIF(N42,"&lt;&gt;.",N42),0),IFERROR(1/SUMIF(N43,"&lt;&gt;.",N43),0),IFERROR(1/SUMIF(N44,"&lt;&gt;.",N44),0)),".")</f>
        <v>1.2544009913702117</v>
      </c>
      <c r="O31" s="58">
        <f>IFERROR(1/SUM(IFERROR(1/SUMIF(O32,"&lt;&gt;.",O32),0),IFERROR(1/SUMIF(O33,"&lt;&gt;.",O33),0),IFERROR(1/SUMIF(O34,"&lt;&gt;.",O34),0),IFERROR(1/SUMIF(O35,"&lt;&gt;.",O35),0),IFERROR(1/SUMIF(O36,"&lt;&gt;.",O36),0),IFERROR(1/SUMIF(O37,"&lt;&gt;.",O37),0),IFERROR(1/SUMIF(O38,"&lt;&gt;.",O38),0),IFERROR(1/SUMIF(O39,"&lt;&gt;.",O39),0),IFERROR(1/SUMIF(O40,"&lt;&gt;.",O40),0),IFERROR(1/SUMIF(O41,"&lt;&gt;.",O41),0),IFERROR(1/SUMIF(O42,"&lt;&gt;.",O42),0),IFERROR(1/SUMIF(O43,"&lt;&gt;.",O43),0),IFERROR(1/SUMIF(O44,"&lt;&gt;.",O44),0)),".")</f>
        <v>4.3877140400147399</v>
      </c>
      <c r="P31" s="190">
        <f>K31*(0.0000000000028)*RadSpec!$AY3*RadSpec!$AF3</f>
        <v>3.4221540042969922E-7</v>
      </c>
      <c r="Q31" s="190">
        <f>L31*(0.0000000000028)*RadSpec!$AY3*RadSpec!$AF3</f>
        <v>1.4263584157686702E-6</v>
      </c>
      <c r="R31" s="190">
        <f>M31*(0.0000000000028)*RadSpec!$AY3*RadSpec!$AF3</f>
        <v>5.2855119701191776E-7</v>
      </c>
      <c r="S31" s="190">
        <f>N31*(0.0000000000028)*RadSpec!$AY3*RadSpec!$AF3</f>
        <v>3.6584424279569463E-7</v>
      </c>
      <c r="T31" s="190">
        <f>O31*(0.0000000000000028)*RadSpec!$AY3*RadSpec!$AF3</f>
        <v>1.2796704814620813E-9</v>
      </c>
      <c r="U31" s="58">
        <f>IFERROR(1/SUM(IFERROR(1/SUMIF(U32,"&lt;&gt;.",U32),0),IFERROR(1/SUMIF(U33,"&lt;&gt;.",U33),0),IFERROR(1/SUMIF(U34,"&lt;&gt;.",U34),0),IFERROR(1/SUMIF(U35,"&lt;&gt;.",U35),0),IFERROR(1/SUMIF(U36,"&lt;&gt;.",U36),0),IFERROR(1/SUMIF(U37,"&lt;&gt;.",U37),0),IFERROR(1/SUMIF(U38,"&lt;&gt;.",U38),0),IFERROR(1/SUMIF(U39,"&lt;&gt;.",U39),0),IFERROR(1/SUMIF(U40,"&lt;&gt;.",U40),0),IFERROR(1/SUMIF(U41,"&lt;&gt;.",U41),0),IFERROR(1/SUMIF(U42,"&lt;&gt;.",U42),0),IFERROR(1/SUMIF(U43,"&lt;&gt;.",U43),0),IFERROR(1/SUMIF(U44,"&lt;&gt;.",U44),0)),".")</f>
        <v>2.0374135663030264E-4</v>
      </c>
      <c r="V31" s="58">
        <f>IFERROR(1/SUM(IFERROR(1/SUMIF(V32,"&lt;&gt;.",V32),0),IFERROR(1/SUMIF(V33,"&lt;&gt;.",V33),0),IFERROR(1/SUMIF(V34,"&lt;&gt;.",V34),0),IFERROR(1/SUMIF(V35,"&lt;&gt;.",V35),0),IFERROR(1/SUMIF(V36,"&lt;&gt;.",V36),0),IFERROR(1/SUMIF(V37,"&lt;&gt;.",V37),0),IFERROR(1/SUMIF(V38,"&lt;&gt;.",V38),0),IFERROR(1/SUMIF(V39,"&lt;&gt;.",V39),0),IFERROR(1/SUMIF(V40,"&lt;&gt;.",V40),0),IFERROR(1/SUMIF(V41,"&lt;&gt;.",V41),0),IFERROR(1/SUMIF(V42,"&lt;&gt;.",V42),0),IFERROR(1/SUMIF(V43,"&lt;&gt;.",V43),0),IFERROR(1/SUMIF(V44,"&lt;&gt;.",V44),0)),".")</f>
        <v>366.36055031098158</v>
      </c>
      <c r="W31" s="59">
        <f>IFERROR(1/SUM(IFERROR(1/SUMIF(W32,"&lt;&gt;.",W32),0),IFERROR(1/SUMIF(W33,"&lt;&gt;.",W33),0),IFERROR(1/SUMIF(W34,"&lt;&gt;.",W34),0),IFERROR(1/SUMIF(W35,"&lt;&gt;.",W35),0),IFERROR(1/SUMIF(W36,"&lt;&gt;.",W36),0),IFERROR(1/SUMIF(W37,"&lt;&gt;.",W37),0),IFERROR(1/SUMIF(W38,"&lt;&gt;.",W38),0),IFERROR(1/SUMIF(W39,"&lt;&gt;.",W39),0),IFERROR(1/SUMIF(W40,"&lt;&gt;.",W40),0),IFERROR(1/SUMIF(W41,"&lt;&gt;.",W41),0),IFERROR(1/SUMIF(W42,"&lt;&gt;.",W42),0),IFERROR(1/SUMIF(W43,"&lt;&gt;.",W43),0),IFERROR(1/SUMIF(W44,"&lt;&gt;.",W44),0)),".")</f>
        <v>2.0374124332520662E-4</v>
      </c>
      <c r="X31" s="190">
        <f>W31*(0.0000000000000028)*RadSpec!$AY3*RadSpec!$AF3</f>
        <v>5.9420840228406119E-14</v>
      </c>
      <c r="Y31" s="58">
        <f>IFERROR(1/SUM(IFERROR(1/SUMIF(Y32,"&lt;&gt;.",Y32),0),IFERROR(1/SUMIF(Y33,"&lt;&gt;.",Y33),0),IFERROR(1/SUMIF(Y34,"&lt;&gt;.",Y34),0),IFERROR(1/SUMIF(Y35,"&lt;&gt;.",Y35),0),IFERROR(1/SUMIF(Y36,"&lt;&gt;.",Y36),0),IFERROR(1/SUMIF(Y37,"&lt;&gt;.",Y37),0),IFERROR(1/SUMIF(Y38,"&lt;&gt;.",Y38),0),IFERROR(1/SUMIF(Y39,"&lt;&gt;.",Y39),0),IFERROR(1/SUMIF(Y40,"&lt;&gt;.",Y40),0),IFERROR(1/SUMIF(Y41,"&lt;&gt;.",Y41),0),IFERROR(1/SUMIF(Y42,"&lt;&gt;.",Y42),0),IFERROR(1/SUMIF(Y43,"&lt;&gt;.",Y43),0),IFERROR(1/SUMIF(Y44,"&lt;&gt;.",Y44),0)),".")</f>
        <v>0.27711536201362302</v>
      </c>
      <c r="Z31" s="58" t="str">
        <f>IFERROR(1/SUM(IFERROR(1/SUMIF(Z32,"&lt;&gt;.",Z32),0),IFERROR(1/SUMIF(Z33,"&lt;&gt;.",Z33),0),IFERROR(1/SUMIF(Z34,"&lt;&gt;.",Z34),0),IFERROR(1/SUMIF(Z35,"&lt;&gt;.",Z35),0),IFERROR(1/SUMIF(Z36,"&lt;&gt;.",Z36),0),IFERROR(1/SUMIF(Z37,"&lt;&gt;.",Z37),0),IFERROR(1/SUMIF(Z38,"&lt;&gt;.",Z38),0),IFERROR(1/SUMIF(Z39,"&lt;&gt;.",Z39),0),IFERROR(1/SUMIF(Z40,"&lt;&gt;.",Z40),0),IFERROR(1/SUMIF(Z41,"&lt;&gt;.",Z41),0),IFERROR(1/SUMIF(Z42,"&lt;&gt;.",Z42),0),IFERROR(1/SUMIF(Z43,"&lt;&gt;.",Z43),0),IFERROR(1/SUMIF(Z44,"&lt;&gt;.",Z44),0)),".")</f>
        <v>.</v>
      </c>
      <c r="AA31" s="58">
        <f>IFERROR(1/SUM(IFERROR(1/SUMIF(AA32,"&lt;&gt;.",AA32),0),IFERROR(1/SUMIF(AA33,"&lt;&gt;.",AA33),0),IFERROR(1/SUMIF(AA34,"&lt;&gt;.",AA34),0),IFERROR(1/SUMIF(AA35,"&lt;&gt;.",AA35),0),IFERROR(1/SUMIF(AA36,"&lt;&gt;.",AA36),0),IFERROR(1/SUMIF(AA37,"&lt;&gt;.",AA37),0),IFERROR(1/SUMIF(AA38,"&lt;&gt;.",AA38),0),IFERROR(1/SUMIF(AA39,"&lt;&gt;.",AA39),0),IFERROR(1/SUMIF(AA40,"&lt;&gt;.",AA40),0),IFERROR(1/SUMIF(AA41,"&lt;&gt;.",AA41),0),IFERROR(1/SUMIF(AA42,"&lt;&gt;.",AA42),0),IFERROR(1/SUMIF(AA43,"&lt;&gt;.",AA43),0),IFERROR(1/SUMIF(AA44,"&lt;&gt;.",AA44),0)),".")</f>
        <v>6019.1091111781188</v>
      </c>
      <c r="AB31" s="58">
        <f>IFERROR(1/SUM(IFERROR(1/SUMIF(AB32,"&lt;&gt;.",AB32),0),IFERROR(1/SUMIF(AB33,"&lt;&gt;.",AB33),0),IFERROR(1/SUMIF(AB34,"&lt;&gt;.",AB34),0),IFERROR(1/SUMIF(AB35,"&lt;&gt;.",AB35),0),IFERROR(1/SUMIF(AB36,"&lt;&gt;.",AB36),0),IFERROR(1/SUMIF(AB37,"&lt;&gt;.",AB37),0),IFERROR(1/SUMIF(AB38,"&lt;&gt;.",AB38),0),IFERROR(1/SUMIF(AB39,"&lt;&gt;.",AB39),0),IFERROR(1/SUMIF(AB40,"&lt;&gt;.",AB40),0),IFERROR(1/SUMIF(AB41,"&lt;&gt;.",AB41),0),IFERROR(1/SUMIF(AB42,"&lt;&gt;.",AB42),0),IFERROR(1/SUMIF(AB43,"&lt;&gt;.",AB43),0),IFERROR(1/SUMIF(AB44,"&lt;&gt;.",AB44),0)),".")</f>
        <v>0.11302669559953551</v>
      </c>
      <c r="AC31" s="59">
        <f>IFERROR(1/SUM(IFERROR(1/SUMIF(AC32,"&lt;&gt;.",AC32),0),IFERROR(1/SUMIF(AC33,"&lt;&gt;.",AC33),0),IFERROR(1/SUMIF(AC34,"&lt;&gt;.",AC34),0),IFERROR(1/SUMIF(AC35,"&lt;&gt;.",AC35),0),IFERROR(1/SUMIF(AC36,"&lt;&gt;.",AC36),0),IFERROR(1/SUMIF(AC37,"&lt;&gt;.",AC37),0),IFERROR(1/SUMIF(AC38,"&lt;&gt;.",AC38),0),IFERROR(1/SUMIF(AC39,"&lt;&gt;.",AC39),0),IFERROR(1/SUMIF(AC40,"&lt;&gt;.",AC40),0),IFERROR(1/SUMIF(AC41,"&lt;&gt;.",AC41),0),IFERROR(1/SUMIF(AC42,"&lt;&gt;.",AC42),0),IFERROR(1/SUMIF(AC43,"&lt;&gt;.",AC43),0),IFERROR(1/SUMIF(AC44,"&lt;&gt;.",AC44),0)),".")</f>
        <v>8.0281054813952854E-2</v>
      </c>
      <c r="AD31" s="190">
        <f>AC31*(0.0000000000000028)*RadSpec!$AY3*RadSpec!$AF3</f>
        <v>2.3413854031770419E-11</v>
      </c>
      <c r="AE31" s="59">
        <f>IFERROR(1/SUM(IFERROR(1/SUMIF(AE32,"&lt;&gt;.",AE32),0),IFERROR(1/SUMIF(AE33,"&lt;&gt;.",AE33),0),IFERROR(1/SUMIF(AE34,"&lt;&gt;.",AE34),0),IFERROR(1/SUMIF(AE35,"&lt;&gt;.",AE35),0),IFERROR(1/SUMIF(AE36,"&lt;&gt;.",AE36),0),IFERROR(1/SUMIF(AE37,"&lt;&gt;.",AE37),0),IFERROR(1/SUMIF(AE38,"&lt;&gt;.",AE38),0),IFERROR(1/SUMIF(AE39,"&lt;&gt;.",AE39),0),IFERROR(1/SUMIF(AE40,"&lt;&gt;.",AE40),0),IFERROR(1/SUMIF(AE41,"&lt;&gt;.",AE41),0),IFERROR(1/SUMIF(AE42,"&lt;&gt;.",AE42),0),IFERROR(1/SUMIF(AE43,"&lt;&gt;.",AE43),0),IFERROR(1/SUMIF(AE44,"&lt;&gt;.",AE44),0)),".")</f>
        <v>1.079928829299015E-2</v>
      </c>
      <c r="AF31" s="190">
        <f>AE31*(0.0000000000028)*RadSpec!$AY3*RadSpec!$AF3</f>
        <v>3.1495968796754351E-9</v>
      </c>
    </row>
    <row r="32" spans="1:32" x14ac:dyDescent="0.25">
      <c r="A32" s="77" t="s">
        <v>1085</v>
      </c>
      <c r="B32" s="42">
        <v>1</v>
      </c>
      <c r="C32" s="42"/>
      <c r="D32" s="60">
        <f t="shared" ref="D32:I32" si="17">IFERROR(D3/$B32,".")</f>
        <v>26.378382598919597</v>
      </c>
      <c r="E32" s="60">
        <f t="shared" si="17"/>
        <v>604.52947942341518</v>
      </c>
      <c r="F32" s="60">
        <f t="shared" si="17"/>
        <v>80.940580244507657</v>
      </c>
      <c r="G32" s="60">
        <f t="shared" si="17"/>
        <v>2.3501144337811763</v>
      </c>
      <c r="H32" s="60">
        <f t="shared" si="17"/>
        <v>2.4365605314984897E-3</v>
      </c>
      <c r="I32" s="60">
        <f t="shared" si="17"/>
        <v>2.0945481298405939</v>
      </c>
      <c r="J32" s="189">
        <f>IFERROR(J3/$B32,0)</f>
        <v>6.1087194591870224E-7</v>
      </c>
      <c r="K32" s="60">
        <f>IFERROR(K3/$B32,".")</f>
        <v>80.940580244507657</v>
      </c>
      <c r="L32" s="60">
        <f>IFERROR(L3/$B32,".")</f>
        <v>164.3589333536431</v>
      </c>
      <c r="M32" s="60">
        <f>IFERROR(M3/$B32,".")</f>
        <v>87.065813344092021</v>
      </c>
      <c r="N32" s="60">
        <f>IFERROR(N3/$B32,".")</f>
        <v>80.940580244507657</v>
      </c>
      <c r="O32" s="60">
        <f>IFERROR(O3/$B32,".")</f>
        <v>118.06611067034213</v>
      </c>
      <c r="P32" s="189">
        <f t="shared" ref="P32:T32" si="18">IFERROR(P3/$B32,0)</f>
        <v>2.3606203673875109E-5</v>
      </c>
      <c r="Q32" s="189">
        <f t="shared" si="18"/>
        <v>4.7935046235725983E-5</v>
      </c>
      <c r="R32" s="189">
        <f t="shared" si="18"/>
        <v>2.5392619087033225E-5</v>
      </c>
      <c r="S32" s="189">
        <f t="shared" si="18"/>
        <v>2.3606203673875109E-5</v>
      </c>
      <c r="T32" s="189">
        <f t="shared" si="18"/>
        <v>3.4433811161805916E-8</v>
      </c>
      <c r="U32" s="60">
        <f>IFERROR(U3/$B32,".")</f>
        <v>4.4472132794322187E-4</v>
      </c>
      <c r="V32" s="60">
        <f>IFERROR(V3/$B32,".")</f>
        <v>13290.761229224776</v>
      </c>
      <c r="W32" s="60">
        <f>IFERROR(W3/$B32,".")</f>
        <v>4.447213130624299E-4</v>
      </c>
      <c r="X32" s="189">
        <f t="shared" ref="X32" si="19">IFERROR(X3/$B32,0)</f>
        <v>1.2970233055596689E-13</v>
      </c>
      <c r="Y32" s="60">
        <f>IFERROR(Y3/$B32,".")</f>
        <v>1.5417891368880012</v>
      </c>
      <c r="Z32" s="60" t="str">
        <f>IFERROR(Z3,".")</f>
        <v>.</v>
      </c>
      <c r="AA32" s="60">
        <f>IFERROR(AA3/$B32,".")</f>
        <v>207468.35236340517</v>
      </c>
      <c r="AB32" s="60">
        <f>IFERROR(AB3/$B32,".")</f>
        <v>0.66220212068103612</v>
      </c>
      <c r="AC32" s="60">
        <f>IFERROR(AC3/$B32,".")</f>
        <v>0.46323856908812622</v>
      </c>
      <c r="AD32" s="189">
        <f t="shared" ref="AD32" si="20">IFERROR(AD3/$B32,0)</f>
        <v>1.3510286161101254E-10</v>
      </c>
      <c r="AE32" s="60">
        <f>IFERROR(AE3/$B32,".")</f>
        <v>6.0084093697539052E-2</v>
      </c>
      <c r="AF32" s="189">
        <f t="shared" ref="AF32" si="21">IFERROR(AF3/$B32,0)</f>
        <v>1.7523439405792341E-8</v>
      </c>
    </row>
    <row r="33" spans="1:32" x14ac:dyDescent="0.25">
      <c r="A33" s="77" t="s">
        <v>1061</v>
      </c>
      <c r="B33" s="42">
        <v>1</v>
      </c>
      <c r="C33" s="42"/>
      <c r="D33" s="60">
        <f t="shared" ref="D33:I34" si="22">IFERROR(D13/$B33,".")</f>
        <v>50.224440468342905</v>
      </c>
      <c r="E33" s="60">
        <f t="shared" si="22"/>
        <v>4706.6938040823034</v>
      </c>
      <c r="F33" s="60">
        <f t="shared" si="22"/>
        <v>44.866784035256323</v>
      </c>
      <c r="G33" s="60">
        <f t="shared" si="22"/>
        <v>0.44760999417388642</v>
      </c>
      <c r="H33" s="60">
        <f t="shared" si="22"/>
        <v>4.6392112519731254E-3</v>
      </c>
      <c r="I33" s="60">
        <f t="shared" si="22"/>
        <v>0.43927099744386955</v>
      </c>
      <c r="J33" s="189">
        <f t="shared" ref="J33" si="23">IFERROR(J13/$B33,0)</f>
        <v>6.2497650148964393E-4</v>
      </c>
      <c r="K33" s="60">
        <f t="shared" ref="K33:O34" si="24">IFERROR(K13/$B33,".")</f>
        <v>44.866784035256323</v>
      </c>
      <c r="L33" s="60">
        <f t="shared" si="24"/>
        <v>134.22646223880855</v>
      </c>
      <c r="M33" s="60">
        <f t="shared" si="24"/>
        <v>56.31879534495463</v>
      </c>
      <c r="N33" s="60">
        <f t="shared" si="24"/>
        <v>44.992110247645314</v>
      </c>
      <c r="O33" s="60">
        <f t="shared" si="24"/>
        <v>105.4852955989122</v>
      </c>
      <c r="P33" s="189">
        <f t="shared" ref="P33:T34" si="25">IFERROR(P13/$B33,0)</f>
        <v>6.3834593867146835E-2</v>
      </c>
      <c r="Q33" s="189">
        <f t="shared" si="25"/>
        <v>0.19097182665254767</v>
      </c>
      <c r="R33" s="189">
        <f t="shared" si="25"/>
        <v>8.0128039154915107E-2</v>
      </c>
      <c r="S33" s="189">
        <f t="shared" si="25"/>
        <v>6.4012902788563461E-2</v>
      </c>
      <c r="T33" s="189">
        <f t="shared" si="25"/>
        <v>1.5008009038983537E-4</v>
      </c>
      <c r="U33" s="60">
        <f t="shared" ref="U33:W34" si="26">IFERROR(U13/$B33,".")</f>
        <v>3.4624731961293703E-3</v>
      </c>
      <c r="V33" s="60">
        <f t="shared" si="26"/>
        <v>10385.33900702215</v>
      </c>
      <c r="W33" s="60">
        <f t="shared" si="26"/>
        <v>3.4624720417408012E-3</v>
      </c>
      <c r="X33" s="189">
        <f t="shared" ref="X33" si="27">IFERROR(X13/$B33,0)</f>
        <v>4.9262611821518754E-9</v>
      </c>
      <c r="Y33" s="60">
        <f t="shared" ref="Y33:Y34" si="28">IFERROR(Y13/$B33,".")</f>
        <v>2.9355665166347547</v>
      </c>
      <c r="Z33" s="60" t="str">
        <f>IFERROR(Z13,".")</f>
        <v>.</v>
      </c>
      <c r="AA33" s="60">
        <f t="shared" ref="AA33:AC34" si="29">IFERROR(AA13/$B33,".")</f>
        <v>165544.69566820934</v>
      </c>
      <c r="AB33" s="60">
        <f t="shared" si="29"/>
        <v>1.1560714195678143</v>
      </c>
      <c r="AC33" s="60">
        <f t="shared" si="29"/>
        <v>0.82942518363759743</v>
      </c>
      <c r="AD33" s="189">
        <f t="shared" ref="AD33" si="30">IFERROR(AD13/$B33,0)</f>
        <v>1.1800716471919344E-6</v>
      </c>
      <c r="AE33" s="60">
        <f t="shared" ref="AE33:AE34" si="31">IFERROR(AE13/$B33,".")</f>
        <v>0.11440011440011437</v>
      </c>
      <c r="AF33" s="189">
        <f t="shared" ref="AF33" si="32">IFERROR(AF13/$B33,0)</f>
        <v>1.627637237237237E-4</v>
      </c>
    </row>
    <row r="34" spans="1:32" x14ac:dyDescent="0.25">
      <c r="A34" s="77" t="s">
        <v>1062</v>
      </c>
      <c r="B34" s="42">
        <v>1</v>
      </c>
      <c r="C34" s="42"/>
      <c r="D34" s="60">
        <f t="shared" si="22"/>
        <v>4756.1023170779263</v>
      </c>
      <c r="E34" s="60">
        <f t="shared" si="22"/>
        <v>13005338.142858999</v>
      </c>
      <c r="F34" s="60">
        <f t="shared" si="22"/>
        <v>2.9554450401205554</v>
      </c>
      <c r="G34" s="60">
        <f t="shared" si="22"/>
        <v>40.607889375364316</v>
      </c>
      <c r="H34" s="60">
        <f t="shared" si="22"/>
        <v>0.43931924734593991</v>
      </c>
      <c r="I34" s="60">
        <f t="shared" si="22"/>
        <v>2.7533448524683695</v>
      </c>
      <c r="J34" s="189">
        <f t="shared" ref="J34" si="33">IFERROR(J14/$B34,0)</f>
        <v>1.3271326464455358E-10</v>
      </c>
      <c r="K34" s="60">
        <f t="shared" si="24"/>
        <v>2.9554450401205554</v>
      </c>
      <c r="L34" s="60">
        <f t="shared" si="24"/>
        <v>12.6828153296512</v>
      </c>
      <c r="M34" s="60">
        <f t="shared" si="24"/>
        <v>4.5629392262484485</v>
      </c>
      <c r="N34" s="60">
        <f t="shared" si="24"/>
        <v>3.1215456334606637</v>
      </c>
      <c r="O34" s="60">
        <f t="shared" si="24"/>
        <v>12.741788181254742</v>
      </c>
      <c r="P34" s="189">
        <f t="shared" si="25"/>
        <v>1.4245464363111721E-10</v>
      </c>
      <c r="Q34" s="189">
        <f t="shared" si="25"/>
        <v>6.1132110849573907E-10</v>
      </c>
      <c r="R34" s="189">
        <f t="shared" si="25"/>
        <v>2.1993705603104494E-10</v>
      </c>
      <c r="S34" s="189">
        <f t="shared" si="25"/>
        <v>1.5046081546309857E-10</v>
      </c>
      <c r="T34" s="189">
        <f t="shared" si="25"/>
        <v>6.1416364369603865E-13</v>
      </c>
      <c r="U34" s="60">
        <f t="shared" si="26"/>
        <v>9.5673601471995759</v>
      </c>
      <c r="V34" s="60">
        <f t="shared" si="26"/>
        <v>963.47265868813884</v>
      </c>
      <c r="W34" s="60">
        <f t="shared" si="26"/>
        <v>9.4732896275761558</v>
      </c>
      <c r="X34" s="189">
        <f t="shared" ref="X34" si="34">IFERROR(X14/$B34,0)</f>
        <v>4.5661958845144773E-13</v>
      </c>
      <c r="Y34" s="60">
        <f t="shared" si="28"/>
        <v>277.98925346920026</v>
      </c>
      <c r="Z34" s="60" t="str">
        <f>IFERROR(Z14,".")</f>
        <v>.</v>
      </c>
      <c r="AA34" s="60">
        <f t="shared" si="29"/>
        <v>15738.978455154876</v>
      </c>
      <c r="AB34" s="60">
        <f t="shared" si="29"/>
        <v>109.03534415037855</v>
      </c>
      <c r="AC34" s="60">
        <f t="shared" si="29"/>
        <v>77.929349056591079</v>
      </c>
      <c r="AD34" s="189">
        <f t="shared" ref="AD34" si="35">IFERROR(AD14/$B34,0)</f>
        <v>3.7562524416995367E-12</v>
      </c>
      <c r="AE34" s="60">
        <f t="shared" si="31"/>
        <v>10.833344166677499</v>
      </c>
      <c r="AF34" s="189">
        <f t="shared" ref="AF34" si="36">IFERROR(AF14/$B34,0)</f>
        <v>5.2217522628481516E-10</v>
      </c>
    </row>
    <row r="35" spans="1:32" x14ac:dyDescent="0.25">
      <c r="A35" s="77" t="s">
        <v>1063</v>
      </c>
      <c r="B35" s="42">
        <v>1</v>
      </c>
      <c r="C35" s="42"/>
      <c r="D35" s="60">
        <f t="shared" ref="D35:I35" si="37">IFERROR(D30/$B35,".")</f>
        <v>104.28662887944955</v>
      </c>
      <c r="E35" s="60">
        <f t="shared" si="37"/>
        <v>5757.703100139518</v>
      </c>
      <c r="F35" s="60">
        <f t="shared" si="37"/>
        <v>3273.8161521660622</v>
      </c>
      <c r="G35" s="60">
        <f t="shared" si="37"/>
        <v>1.2365704182267343</v>
      </c>
      <c r="H35" s="60">
        <f t="shared" si="37"/>
        <v>9.6329137291800773E-3</v>
      </c>
      <c r="I35" s="60">
        <f t="shared" si="37"/>
        <v>1.2213645470322274</v>
      </c>
      <c r="J35" s="189">
        <f>IFERROR(J30/$B35,0)</f>
        <v>1.2685346229302497E-4</v>
      </c>
      <c r="K35" s="60">
        <f>IFERROR(K30/$B35,".")</f>
        <v>3273.8161521660622</v>
      </c>
      <c r="L35" s="60">
        <f>IFERROR(L30/$B35,".")</f>
        <v>11108.396874935879</v>
      </c>
      <c r="M35" s="60">
        <f>IFERROR(M30/$B35,".")</f>
        <v>4588.9388799592662</v>
      </c>
      <c r="N35" s="60">
        <f>IFERROR(N30/$B35,".")</f>
        <v>3383.8603925750044</v>
      </c>
      <c r="O35" s="60">
        <f>IFERROR(O30/$B35,".")</f>
        <v>5407.2294382635664</v>
      </c>
      <c r="P35" s="189">
        <f t="shared" ref="P35:T35" si="38">IFERROR(P30/$B35,0)</f>
        <v>0.34002535510156379</v>
      </c>
      <c r="Q35" s="189">
        <f t="shared" si="38"/>
        <v>1.1537412048963402</v>
      </c>
      <c r="R35" s="189">
        <f t="shared" si="38"/>
        <v>0.47661673706543967</v>
      </c>
      <c r="S35" s="189">
        <f t="shared" si="38"/>
        <v>0.35145477880245651</v>
      </c>
      <c r="T35" s="189">
        <f t="shared" si="38"/>
        <v>5.6160609649528559E-4</v>
      </c>
      <c r="U35" s="60">
        <f>IFERROR(U30/$B35,".")</f>
        <v>4.2356468224495217E-3</v>
      </c>
      <c r="V35" s="60">
        <f>IFERROR(V30/$B35,".")</f>
        <v>842584.10811689147</v>
      </c>
      <c r="W35" s="60">
        <f>IFERROR(W30/$B35,".")</f>
        <v>4.2356468011570435E-3</v>
      </c>
      <c r="X35" s="189">
        <f t="shared" ref="X35" si="39">IFERROR(X30/$B35,0)</f>
        <v>4.3992308691351692E-10</v>
      </c>
      <c r="Y35" s="60">
        <f>IFERROR(Y30/$B35,".")</f>
        <v>6.0954454249060523</v>
      </c>
      <c r="Z35" s="60" t="str">
        <f>IFERROR(Z30,".")</f>
        <v>.</v>
      </c>
      <c r="AA35" s="60">
        <f>IFERROR(AA30/$B35,".")</f>
        <v>13595798.410197617</v>
      </c>
      <c r="AB35" s="60">
        <f>IFERROR(AB30/$B35,".")</f>
        <v>2.4568208272321308</v>
      </c>
      <c r="AC35" s="60">
        <f>IFERROR(AC30/$B35,".")</f>
        <v>1.7510464362226756</v>
      </c>
      <c r="AD35" s="189">
        <f t="shared" ref="AD35" si="40">IFERROR(AD30/$B35,0)</f>
        <v>1.8186732504267443E-7</v>
      </c>
      <c r="AE35" s="60">
        <f>IFERROR(AE30/$B35,".")</f>
        <v>0.23754176578096842</v>
      </c>
      <c r="AF35" s="189">
        <f t="shared" ref="AF35" si="41">IFERROR(AF30/$B35,0)</f>
        <v>2.467158188088421E-5</v>
      </c>
    </row>
    <row r="36" spans="1:32" x14ac:dyDescent="0.25">
      <c r="A36" s="77" t="s">
        <v>1064</v>
      </c>
      <c r="B36" s="42">
        <v>1</v>
      </c>
      <c r="C36" s="42"/>
      <c r="D36" s="60">
        <f t="shared" ref="D36:I36" si="42">IFERROR(D26/$B36,".")</f>
        <v>10.308793199577771</v>
      </c>
      <c r="E36" s="60">
        <f t="shared" si="42"/>
        <v>785.48797260181493</v>
      </c>
      <c r="F36" s="60">
        <f t="shared" si="42"/>
        <v>10.459204849777288</v>
      </c>
      <c r="G36" s="60">
        <f t="shared" si="42"/>
        <v>0.66065662738894715</v>
      </c>
      <c r="H36" s="60">
        <f t="shared" si="42"/>
        <v>9.5221905828676639E-4</v>
      </c>
      <c r="I36" s="60">
        <f t="shared" si="42"/>
        <v>0.58564027870863911</v>
      </c>
      <c r="J36" s="189">
        <f>IFERROR(J26/$B36,0)</f>
        <v>2.756262092836569E-6</v>
      </c>
      <c r="K36" s="60">
        <f>IFERROR(K26/$B36,".")</f>
        <v>10.459204849777288</v>
      </c>
      <c r="L36" s="60">
        <f>IFERROR(L26/$B36,".")</f>
        <v>35.091885552629684</v>
      </c>
      <c r="M36" s="60">
        <f>IFERROR(M26/$B36,".")</f>
        <v>13.766816639877797</v>
      </c>
      <c r="N36" s="60">
        <f>IFERROR(N26/$B36,".")</f>
        <v>10.596825966221726</v>
      </c>
      <c r="O36" s="60">
        <f>IFERROR(O26/$B36,".")</f>
        <v>33.210854356302683</v>
      </c>
      <c r="P36" s="189">
        <f t="shared" ref="P36:T36" si="43">IFERROR(P26/$B36,0)</f>
        <v>4.9225285378630629E-5</v>
      </c>
      <c r="Q36" s="189">
        <f t="shared" si="43"/>
        <v>1.6515673089998077E-4</v>
      </c>
      <c r="R36" s="189">
        <f t="shared" si="43"/>
        <v>6.4792255968453992E-5</v>
      </c>
      <c r="S36" s="189">
        <f t="shared" si="43"/>
        <v>4.9872986502033667E-5</v>
      </c>
      <c r="T36" s="189">
        <f t="shared" si="43"/>
        <v>1.5630383062933782E-7</v>
      </c>
      <c r="U36" s="60">
        <f>IFERROR(U26/$B36,".")</f>
        <v>5.7784320889046447E-4</v>
      </c>
      <c r="V36" s="60">
        <f>IFERROR(V26/$B36,".")</f>
        <v>2690.1781765177852</v>
      </c>
      <c r="W36" s="60">
        <f>IFERROR(W26/$B36,".")</f>
        <v>5.7784308477128708E-4</v>
      </c>
      <c r="X36" s="189">
        <f t="shared" ref="X36" si="44">IFERROR(X26/$B36,0)</f>
        <v>2.7195653169122638E-12</v>
      </c>
      <c r="Y36" s="60">
        <f>IFERROR(Y26/$B36,".")</f>
        <v>0.60253828338151783</v>
      </c>
      <c r="Z36" s="60" t="str">
        <f>IFERROR(Z26,".")</f>
        <v>.</v>
      </c>
      <c r="AA36" s="60">
        <f>IFERROR(AA26/$B36,".")</f>
        <v>43175.846302654594</v>
      </c>
      <c r="AB36" s="60">
        <f>IFERROR(AB26/$B36,".")</f>
        <v>0.2577785333705756</v>
      </c>
      <c r="AC36" s="60">
        <f>IFERROR(AC26/$B36,".")</f>
        <v>0.1805390554867782</v>
      </c>
      <c r="AD36" s="189">
        <f t="shared" ref="AD36" si="45">IFERROR(AD26/$B36,0)</f>
        <v>8.4969045505541681E-10</v>
      </c>
      <c r="AE36" s="60">
        <f>IFERROR(AE26/$B36,".")</f>
        <v>2.3481140065704922E-2</v>
      </c>
      <c r="AF36" s="189">
        <f t="shared" ref="AF36" si="46">IFERROR(AF26/$B36,0)</f>
        <v>1.1051182545435417E-7</v>
      </c>
    </row>
    <row r="37" spans="1:32" x14ac:dyDescent="0.25">
      <c r="A37" s="77" t="s">
        <v>1065</v>
      </c>
      <c r="B37" s="42">
        <v>1</v>
      </c>
      <c r="C37" s="42"/>
      <c r="D37" s="60">
        <f t="shared" ref="D37:I37" si="47">IFERROR(D22/$B37,".")</f>
        <v>26.378382598919597</v>
      </c>
      <c r="E37" s="60">
        <f t="shared" si="47"/>
        <v>7051.6458895882315</v>
      </c>
      <c r="F37" s="60">
        <f t="shared" si="47"/>
        <v>337.67663456304024</v>
      </c>
      <c r="G37" s="60">
        <f t="shared" si="47"/>
        <v>0.10400761506222005</v>
      </c>
      <c r="H37" s="60">
        <f t="shared" si="47"/>
        <v>2.4365605314984897E-3</v>
      </c>
      <c r="I37" s="60">
        <f t="shared" si="47"/>
        <v>0.10356583738428246</v>
      </c>
      <c r="J37" s="189">
        <f>IFERROR(J22/$B37,0)</f>
        <v>2.6634863439075615E-12</v>
      </c>
      <c r="K37" s="60">
        <f>IFERROR(K22/$B37,".")</f>
        <v>337.67663456304024</v>
      </c>
      <c r="L37" s="60">
        <f>IFERROR(L22/$B37,".")</f>
        <v>465.52530256234172</v>
      </c>
      <c r="M37" s="60">
        <f>IFERROR(M22/$B37,".")</f>
        <v>339.09843091909522</v>
      </c>
      <c r="N37" s="60">
        <f>IFERROR(N22/$B37,".")</f>
        <v>337.67663456304024</v>
      </c>
      <c r="O37" s="60">
        <f>IFERROR(O22/$B37,".")</f>
        <v>233.98556478304161</v>
      </c>
      <c r="P37" s="189">
        <f t="shared" ref="P37:T37" si="48">IFERROR(P22/$B37,0)</f>
        <v>8.6843029277897539E-9</v>
      </c>
      <c r="Q37" s="189">
        <f t="shared" si="48"/>
        <v>1.1972290452473161E-8</v>
      </c>
      <c r="R37" s="189">
        <f t="shared" si="48"/>
        <v>8.7208684138015038E-9</v>
      </c>
      <c r="S37" s="189">
        <f t="shared" si="48"/>
        <v>8.6843029277897539E-9</v>
      </c>
      <c r="T37" s="189">
        <f t="shared" si="48"/>
        <v>6.0175958811463362E-12</v>
      </c>
      <c r="U37" s="60">
        <f>IFERROR(U22/$B37,".")</f>
        <v>5.1875341582913277E-3</v>
      </c>
      <c r="V37" s="60">
        <f>IFERROR(V22/$B37,".")</f>
        <v>36159.479943477927</v>
      </c>
      <c r="W37" s="60">
        <f>IFERROR(W22/$B37,".")</f>
        <v>5.1875334140741311E-3</v>
      </c>
      <c r="X37" s="189">
        <f t="shared" ref="X37" si="49">IFERROR(X22/$B37,0)</f>
        <v>1.3341198947373668E-16</v>
      </c>
      <c r="Y37" s="60">
        <f>IFERROR(Y22/$B37,".")</f>
        <v>1.5417891368880012</v>
      </c>
      <c r="Z37" s="60" t="str">
        <f>IFERROR(Z22,".")</f>
        <v>.</v>
      </c>
      <c r="AA37" s="60">
        <f>IFERROR(AA22/$B37,".")</f>
        <v>588400.11535846046</v>
      </c>
      <c r="AB37" s="60">
        <f>IFERROR(AB22/$B37,".")</f>
        <v>0.54389422832819367</v>
      </c>
      <c r="AC37" s="60">
        <f>IFERROR(AC22/$B37,".")</f>
        <v>0.40205989741009895</v>
      </c>
      <c r="AD37" s="189">
        <f t="shared" ref="AD37" si="50">IFERROR(AD22/$B37,0)</f>
        <v>1.0340099334215346E-14</v>
      </c>
      <c r="AE37" s="60">
        <f>IFERROR(AE22/$B37,".")</f>
        <v>6.0084093697539052E-2</v>
      </c>
      <c r="AF37" s="189">
        <f t="shared" ref="AF37" si="51">IFERROR(AF22/$B37,0)</f>
        <v>1.5452311987364367E-12</v>
      </c>
    </row>
    <row r="38" spans="1:32" x14ac:dyDescent="0.25">
      <c r="A38" s="77" t="s">
        <v>1066</v>
      </c>
      <c r="B38" s="42">
        <v>1</v>
      </c>
      <c r="C38" s="42"/>
      <c r="D38" s="60">
        <f t="shared" ref="D38:I38" si="52">IFERROR(D2/$B38,".")</f>
        <v>120.03929366238744</v>
      </c>
      <c r="E38" s="60">
        <f t="shared" si="52"/>
        <v>6460.1679663874756</v>
      </c>
      <c r="F38" s="60">
        <f t="shared" si="52"/>
        <v>56.91581437687995</v>
      </c>
      <c r="G38" s="60">
        <f t="shared" si="52"/>
        <v>6.0970916558433919</v>
      </c>
      <c r="H38" s="60">
        <f t="shared" si="52"/>
        <v>1.1087981003759859E-2</v>
      </c>
      <c r="I38" s="60">
        <f t="shared" si="52"/>
        <v>5.261279527969112</v>
      </c>
      <c r="J38" s="189">
        <f>IFERROR(J2/$B38,0)</f>
        <v>9.0811126099192899E-11</v>
      </c>
      <c r="K38" s="60">
        <f>IFERROR(K2/$B38,".")</f>
        <v>56.91581437687995</v>
      </c>
      <c r="L38" s="60">
        <f>IFERROR(L2/$B38,".")</f>
        <v>206.23784210828455</v>
      </c>
      <c r="M38" s="60">
        <f>IFERROR(M2/$B38,".")</f>
        <v>78.956742493416783</v>
      </c>
      <c r="N38" s="60">
        <f>IFERROR(N2/$B38,".")</f>
        <v>58.571547158752821</v>
      </c>
      <c r="O38" s="60">
        <f>IFERROR(O2/$B38,".")</f>
        <v>194.98797065253467</v>
      </c>
      <c r="P38" s="189">
        <f t="shared" ref="P38:T38" si="53">IFERROR(P2/$B38,0)</f>
        <v>9.823825495187499E-10</v>
      </c>
      <c r="Q38" s="189">
        <f t="shared" si="53"/>
        <v>3.5597216583073773E-9</v>
      </c>
      <c r="R38" s="189">
        <f t="shared" si="53"/>
        <v>1.3628150074206186E-9</v>
      </c>
      <c r="S38" s="189">
        <f t="shared" si="53"/>
        <v>1.0109609509592953E-9</v>
      </c>
      <c r="T38" s="189">
        <f t="shared" si="53"/>
        <v>3.3655457948245708E-12</v>
      </c>
      <c r="U38" s="60">
        <f>IFERROR(U2/$B38,".")</f>
        <v>4.7524141907658024E-3</v>
      </c>
      <c r="V38" s="60">
        <f>IFERROR(V2/$B38,".")</f>
        <v>15779.843720917046</v>
      </c>
      <c r="W38" s="60">
        <f>IFERROR(W2/$B38,".")</f>
        <v>4.7524127594820555E-3</v>
      </c>
      <c r="X38" s="189">
        <f t="shared" ref="X38" si="54">IFERROR(X2/$B38,0)</f>
        <v>8.2027946259553289E-17</v>
      </c>
      <c r="Y38" s="60">
        <f>IFERROR(Y2/$B38,".")</f>
        <v>7.0161723628937738</v>
      </c>
      <c r="Z38" s="60" t="str">
        <f>IFERROR(Z2,".")</f>
        <v>.</v>
      </c>
      <c r="AA38" s="60">
        <f>IFERROR(AA2/$B38,".")</f>
        <v>253572.43066638408</v>
      </c>
      <c r="AB38" s="60">
        <f>IFERROR(AB2/$B38,".")</f>
        <v>2.99074779344159</v>
      </c>
      <c r="AC38" s="60">
        <f>IFERROR(AC2/$B38,".")</f>
        <v>2.096891767209204</v>
      </c>
      <c r="AD38" s="189">
        <f t="shared" ref="AD38" si="55">IFERROR(AD2/$B38,0)</f>
        <v>3.6192926392925986E-14</v>
      </c>
      <c r="AE38" s="60">
        <f>IFERROR(AE2/$B38,".")</f>
        <v>0.27342283556432695</v>
      </c>
      <c r="AF38" s="189">
        <f t="shared" ref="AF38" si="56">IFERROR(AF2/$B38,0)</f>
        <v>4.7193530522061915E-12</v>
      </c>
    </row>
    <row r="39" spans="1:32" x14ac:dyDescent="0.25">
      <c r="A39" s="77" t="s">
        <v>1067</v>
      </c>
      <c r="B39" s="42">
        <v>1</v>
      </c>
      <c r="C39" s="42"/>
      <c r="D39" s="60" t="str">
        <f t="shared" ref="D39:I39" si="57">IFERROR(D11/$B39,".")</f>
        <v>.</v>
      </c>
      <c r="E39" s="60" t="str">
        <f t="shared" si="57"/>
        <v>.</v>
      </c>
      <c r="F39" s="60">
        <f t="shared" si="57"/>
        <v>22.590708932197789</v>
      </c>
      <c r="G39" s="60" t="str">
        <f t="shared" si="57"/>
        <v>.</v>
      </c>
      <c r="H39" s="60" t="str">
        <f t="shared" si="57"/>
        <v>.</v>
      </c>
      <c r="I39" s="60">
        <f t="shared" si="57"/>
        <v>22.590708932197789</v>
      </c>
      <c r="J39" s="189">
        <f>IFERROR(J11/$B39,0)</f>
        <v>1.3032294590467196E-13</v>
      </c>
      <c r="K39" s="60">
        <f>IFERROR(K11/$B39,".")</f>
        <v>22.590708932197789</v>
      </c>
      <c r="L39" s="60">
        <f>IFERROR(L11/$B39,".")</f>
        <v>94.194008588637573</v>
      </c>
      <c r="M39" s="60">
        <f>IFERROR(M11/$B39,".")</f>
        <v>33.697019808905907</v>
      </c>
      <c r="N39" s="60">
        <f>IFERROR(N11/$B39,".")</f>
        <v>23.479847621949013</v>
      </c>
      <c r="O39" s="60">
        <f>IFERROR(O11/$B39,".")</f>
        <v>95.681829465184308</v>
      </c>
      <c r="P39" s="189">
        <f t="shared" ref="P39:T39" si="58">IFERROR(P11/$B39,0)</f>
        <v>1.3032294590467196E-13</v>
      </c>
      <c r="Q39" s="189">
        <f t="shared" si="58"/>
        <v>5.4339333584813524E-13</v>
      </c>
      <c r="R39" s="189">
        <f t="shared" si="58"/>
        <v>1.943938502720316E-13</v>
      </c>
      <c r="S39" s="189">
        <f t="shared" si="58"/>
        <v>1.3545227467934563E-13</v>
      </c>
      <c r="T39" s="189">
        <f t="shared" si="58"/>
        <v>5.519763865258271E-16</v>
      </c>
      <c r="U39" s="60" t="str">
        <f>IFERROR(U11/$B39,".")</f>
        <v>.</v>
      </c>
      <c r="V39" s="60">
        <f>IFERROR(V11/$B39,".")</f>
        <v>7145.1132368312401</v>
      </c>
      <c r="W39" s="60">
        <f>IFERROR(W11/$B39,".")</f>
        <v>7145.1132368312401</v>
      </c>
      <c r="X39" s="189">
        <f t="shared" ref="X39" si="59">IFERROR(X11/$B39,0)</f>
        <v>4.1219255608182546E-14</v>
      </c>
      <c r="Y39" s="60" t="str">
        <f>IFERROR(Y11/$B39,".")</f>
        <v>.</v>
      </c>
      <c r="Z39" s="60" t="str">
        <f>IFERROR(Z11,".")</f>
        <v>.</v>
      </c>
      <c r="AA39" s="60">
        <f>IFERROR(AA11/$B39,".")</f>
        <v>116182.27732350692</v>
      </c>
      <c r="AB39" s="60" t="str">
        <f>IFERROR(AB11/$B39,".")</f>
        <v>.</v>
      </c>
      <c r="AC39" s="60">
        <f>IFERROR(AC11/$B39,".")</f>
        <v>116182.27732350692</v>
      </c>
      <c r="AD39" s="189">
        <f t="shared" ref="AD39" si="60">IFERROR(AD11/$B39,0)</f>
        <v>6.7024088036178067E-13</v>
      </c>
      <c r="AE39" s="60" t="str">
        <f>IFERROR(AE11/$B39,".")</f>
        <v>.</v>
      </c>
      <c r="AF39" s="189">
        <f t="shared" ref="AF39" si="61">IFERROR(AF11/$B39,0)</f>
        <v>0</v>
      </c>
    </row>
    <row r="40" spans="1:32" x14ac:dyDescent="0.25">
      <c r="A40" s="77" t="s">
        <v>1068</v>
      </c>
      <c r="B40" s="42">
        <v>1</v>
      </c>
      <c r="C40" s="42"/>
      <c r="D40" s="60" t="str">
        <f t="shared" ref="D40:I40" si="62">IFERROR(D4/$B40,".")</f>
        <v>.</v>
      </c>
      <c r="E40" s="60" t="str">
        <f t="shared" si="62"/>
        <v>.</v>
      </c>
      <c r="F40" s="60">
        <f t="shared" si="62"/>
        <v>2536.5630659302401</v>
      </c>
      <c r="G40" s="60" t="str">
        <f t="shared" si="62"/>
        <v>.</v>
      </c>
      <c r="H40" s="60" t="str">
        <f t="shared" si="62"/>
        <v>.</v>
      </c>
      <c r="I40" s="60">
        <f t="shared" si="62"/>
        <v>2536.5630659302401</v>
      </c>
      <c r="J40" s="189">
        <f>IFERROR(J4/$B40,0)</f>
        <v>1.5785536440624303E-15</v>
      </c>
      <c r="K40" s="60">
        <f>IFERROR(K4/$B40,".")</f>
        <v>2536.5630659302401</v>
      </c>
      <c r="L40" s="60">
        <f>IFERROR(L4/$B40,".")</f>
        <v>11185.538519900712</v>
      </c>
      <c r="M40" s="60">
        <f>IFERROR(M4/$B40,".")</f>
        <v>4006.7600668301056</v>
      </c>
      <c r="N40" s="60">
        <f>IFERROR(N4/$B40,".")</f>
        <v>2711.645701794112</v>
      </c>
      <c r="O40" s="60">
        <f>IFERROR(O4/$B40,".")</f>
        <v>11338.507544552678</v>
      </c>
      <c r="P40" s="189">
        <f t="shared" ref="P40:T40" si="63">IFERROR(P4/$B40,0)</f>
        <v>1.5785536440624303E-15</v>
      </c>
      <c r="Q40" s="189">
        <f t="shared" si="63"/>
        <v>6.9609830831919663E-15</v>
      </c>
      <c r="R40" s="189">
        <f t="shared" si="63"/>
        <v>2.4934864775613013E-15</v>
      </c>
      <c r="S40" s="189">
        <f t="shared" si="63"/>
        <v>1.6875110504707799E-15</v>
      </c>
      <c r="T40" s="189">
        <f t="shared" si="63"/>
        <v>7.0561787495392099E-18</v>
      </c>
      <c r="U40" s="60" t="str">
        <f>IFERROR(U4/$B40,".")</f>
        <v>.</v>
      </c>
      <c r="V40" s="60">
        <f>IFERROR(V4/$B40,".")</f>
        <v>842584.10811689147</v>
      </c>
      <c r="W40" s="60">
        <f>IFERROR(W4/$B40,".")</f>
        <v>842584.10811689147</v>
      </c>
      <c r="X40" s="189">
        <f t="shared" ref="X40" si="64">IFERROR(X4/$B40,0)</f>
        <v>5.2435684811535882E-16</v>
      </c>
      <c r="Y40" s="60" t="str">
        <f>IFERROR(Y4/$B40,".")</f>
        <v>.</v>
      </c>
      <c r="Z40" s="60" t="str">
        <f>IFERROR(Z4,".")</f>
        <v>.</v>
      </c>
      <c r="AA40" s="60">
        <f>IFERROR(AA4/$B40,".")</f>
        <v>13831223.490893679</v>
      </c>
      <c r="AB40" s="60" t="str">
        <f>IFERROR(AB4/$B40,".")</f>
        <v>.</v>
      </c>
      <c r="AC40" s="60">
        <f>IFERROR(AC4/$B40,".")</f>
        <v>13831223.490893679</v>
      </c>
      <c r="AD40" s="189">
        <f t="shared" ref="AD40" si="65">IFERROR(AD4/$B40,0)</f>
        <v>8.6074454590330126E-15</v>
      </c>
      <c r="AE40" s="60" t="str">
        <f>IFERROR(AE4/$B40,".")</f>
        <v>.</v>
      </c>
      <c r="AF40" s="189">
        <f t="shared" ref="AF40" si="66">IFERROR(AF4/$B40,0)</f>
        <v>0</v>
      </c>
    </row>
    <row r="41" spans="1:32" x14ac:dyDescent="0.25">
      <c r="A41" s="77" t="s">
        <v>1069</v>
      </c>
      <c r="B41" s="78">
        <v>0.99987999999999999</v>
      </c>
      <c r="C41" s="78"/>
      <c r="D41" s="60">
        <f t="shared" ref="D41:I41" si="67">IFERROR(D8/$B41,".")</f>
        <v>23428.389983450488</v>
      </c>
      <c r="E41" s="60">
        <f t="shared" si="67"/>
        <v>1670745.3325789811</v>
      </c>
      <c r="F41" s="60">
        <f t="shared" si="67"/>
        <v>4.3774751526316376</v>
      </c>
      <c r="G41" s="60">
        <f t="shared" si="67"/>
        <v>21.465003236147531</v>
      </c>
      <c r="H41" s="60">
        <f t="shared" si="67"/>
        <v>2.1640709067798607</v>
      </c>
      <c r="I41" s="60">
        <f t="shared" si="67"/>
        <v>3.6353995240103898</v>
      </c>
      <c r="J41" s="189">
        <f>IFERROR(J8/$B41,0)</f>
        <v>1.8806328437652485E-13</v>
      </c>
      <c r="K41" s="60">
        <f>IFERROR(K8/$B41,".")</f>
        <v>4.3774751526316376</v>
      </c>
      <c r="L41" s="60">
        <f>IFERROR(L8/$B41,".")</f>
        <v>20.263029637338899</v>
      </c>
      <c r="M41" s="60">
        <f>IFERROR(M8/$B41,".")</f>
        <v>7.2563552079659583</v>
      </c>
      <c r="N41" s="60">
        <f>IFERROR(N8/$B41,".")</f>
        <v>4.7801509085116995</v>
      </c>
      <c r="O41" s="60">
        <f>IFERROR(O8/$B41,".")</f>
        <v>15.696037259919105</v>
      </c>
      <c r="P41" s="189">
        <f t="shared" ref="P41:T41" si="68">IFERROR(P8/$B41,0)</f>
        <v>2.264516868210335E-13</v>
      </c>
      <c r="Q41" s="189">
        <f t="shared" si="68"/>
        <v>1.0482291918256647E-12</v>
      </c>
      <c r="R41" s="189">
        <f t="shared" si="68"/>
        <v>3.7537937274837995E-13</v>
      </c>
      <c r="S41" s="189">
        <f t="shared" si="68"/>
        <v>2.4728255415471914E-13</v>
      </c>
      <c r="T41" s="189">
        <f t="shared" si="68"/>
        <v>8.1197356694935291E-16</v>
      </c>
      <c r="U41" s="60">
        <f>IFERROR(U8/$B41,".")</f>
        <v>1.2290816382819481</v>
      </c>
      <c r="V41" s="60">
        <f>IFERROR(V8/$B41,".")</f>
        <v>1503.7817241838459</v>
      </c>
      <c r="W41" s="60">
        <f>IFERROR(W8/$B41,".")</f>
        <v>1.2280778968684527</v>
      </c>
      <c r="X41" s="189">
        <f t="shared" ref="X41" si="69">IFERROR(X8/$B41,0)</f>
        <v>6.3529843482104264E-17</v>
      </c>
      <c r="Y41" s="60">
        <f>IFERROR(Y8/$B41,".")</f>
        <v>1369.3651244841335</v>
      </c>
      <c r="Z41" s="60" t="str">
        <f>IFERROR(Z8,".")</f>
        <v>.</v>
      </c>
      <c r="AA41" s="60">
        <f>IFERROR(AA8/$B41,".")</f>
        <v>25360.286300994532</v>
      </c>
      <c r="AB41" s="60">
        <f>IFERROR(AB8/$B41,".")</f>
        <v>298.6440319018929</v>
      </c>
      <c r="AC41" s="60">
        <f>IFERROR(AC8/$B41,".")</f>
        <v>242.82658659427011</v>
      </c>
      <c r="AD41" s="189">
        <f t="shared" ref="AD41" si="70">IFERROR(AD8/$B41,0)</f>
        <v>1.2561690979835356E-14</v>
      </c>
      <c r="AE41" s="60">
        <f>IFERROR(AE8/$B41,".")</f>
        <v>53.364666073414995</v>
      </c>
      <c r="AF41" s="189">
        <f t="shared" ref="AF41" si="71">IFERROR(AF8/$B41,0)</f>
        <v>2.7606138761749617E-12</v>
      </c>
    </row>
    <row r="42" spans="1:32" x14ac:dyDescent="0.25">
      <c r="A42" s="77" t="s">
        <v>1070</v>
      </c>
      <c r="B42" s="42">
        <v>0.97898250799999997</v>
      </c>
      <c r="C42" s="42"/>
      <c r="D42" s="60" t="str">
        <f t="shared" ref="D42:I42" si="72">IFERROR(D19/$B42,".")</f>
        <v>.</v>
      </c>
      <c r="E42" s="60" t="str">
        <f t="shared" si="72"/>
        <v>.</v>
      </c>
      <c r="F42" s="60">
        <f t="shared" si="72"/>
        <v>14183.599788761341</v>
      </c>
      <c r="G42" s="60" t="str">
        <f t="shared" si="72"/>
        <v>.</v>
      </c>
      <c r="H42" s="60" t="str">
        <f t="shared" si="72"/>
        <v>.</v>
      </c>
      <c r="I42" s="60">
        <f t="shared" si="72"/>
        <v>14183.599788761341</v>
      </c>
      <c r="J42" s="189">
        <f>IFERROR(J19/$B42,0)</f>
        <v>1.1265923211210187E-18</v>
      </c>
      <c r="K42" s="60">
        <f>IFERROR(K19/$B42,".")</f>
        <v>14183.599788761341</v>
      </c>
      <c r="L42" s="60">
        <f>IFERROR(L19/$B42,".")</f>
        <v>72800.777676828133</v>
      </c>
      <c r="M42" s="60">
        <f>IFERROR(M19/$B42,".")</f>
        <v>25429.637952029603</v>
      </c>
      <c r="N42" s="60">
        <f>IFERROR(N19/$B42,".")</f>
        <v>16130.368387218779</v>
      </c>
      <c r="O42" s="60">
        <f>IFERROR(O19/$B42,".")</f>
        <v>73644.209085481314</v>
      </c>
      <c r="P42" s="189">
        <f t="shared" ref="P42:T42" si="73">IFERROR(P19/$B42,0)</f>
        <v>1.1265923211210187E-18</v>
      </c>
      <c r="Q42" s="189">
        <f t="shared" si="73"/>
        <v>5.7825092588512462E-18</v>
      </c>
      <c r="R42" s="189">
        <f t="shared" si="73"/>
        <v>2.0198564026281012E-18</v>
      </c>
      <c r="S42" s="189">
        <f t="shared" si="73"/>
        <v>1.2812226397062565E-18</v>
      </c>
      <c r="T42" s="189">
        <f t="shared" si="73"/>
        <v>5.8495023609221251E-21</v>
      </c>
      <c r="U42" s="60" t="str">
        <f>IFERROR(U19/$B42,".")</f>
        <v>.</v>
      </c>
      <c r="V42" s="60">
        <f>IFERROR(V19/$B42,".")</f>
        <v>5335167.8392150616</v>
      </c>
      <c r="W42" s="60">
        <f>IFERROR(W19/$B42,".")</f>
        <v>5335167.8392150616</v>
      </c>
      <c r="X42" s="189">
        <f t="shared" ref="X42" si="74">IFERROR(X19/$B42,0)</f>
        <v>4.2376824001436443E-19</v>
      </c>
      <c r="Y42" s="60" t="str">
        <f>IFERROR(Y19/$B42,".")</f>
        <v>.</v>
      </c>
      <c r="Z42" s="60" t="str">
        <f>IFERROR(Z19,".")</f>
        <v>.</v>
      </c>
      <c r="AA42" s="60">
        <f>IFERROR(AA19/$B42,".")</f>
        <v>87967801.276471004</v>
      </c>
      <c r="AB42" s="60" t="str">
        <f>IFERROR(AB19/$B42,".")</f>
        <v>.</v>
      </c>
      <c r="AC42" s="60">
        <f>IFERROR(AC19/$B42,".")</f>
        <v>87967801.276471004</v>
      </c>
      <c r="AD42" s="189">
        <f t="shared" ref="AD42" si="75">IFERROR(AD19/$B42,0)</f>
        <v>6.9872141698822377E-18</v>
      </c>
      <c r="AE42" s="60" t="str">
        <f>IFERROR(AE19/$B42,".")</f>
        <v>.</v>
      </c>
      <c r="AF42" s="189">
        <f t="shared" ref="AF42" si="76">IFERROR(AF19/$B42,0)</f>
        <v>0</v>
      </c>
    </row>
    <row r="43" spans="1:32" x14ac:dyDescent="0.25">
      <c r="A43" s="77" t="s">
        <v>1071</v>
      </c>
      <c r="B43" s="42">
        <v>2.0897492E-2</v>
      </c>
      <c r="C43" s="42"/>
      <c r="D43" s="60" t="str">
        <f t="shared" ref="D43:I43" si="77">IFERROR(D28/$B43,".")</f>
        <v>.</v>
      </c>
      <c r="E43" s="60" t="str">
        <f t="shared" si="77"/>
        <v>.</v>
      </c>
      <c r="F43" s="60">
        <f t="shared" si="77"/>
        <v>11.186803259480437</v>
      </c>
      <c r="G43" s="60" t="str">
        <f t="shared" si="77"/>
        <v>.</v>
      </c>
      <c r="H43" s="60" t="str">
        <f t="shared" si="77"/>
        <v>.</v>
      </c>
      <c r="I43" s="60">
        <f t="shared" si="77"/>
        <v>11.186803259480437</v>
      </c>
      <c r="J43" s="189">
        <f>IFERROR(J28/$B43,0)</f>
        <v>2.6915950941695275E-14</v>
      </c>
      <c r="K43" s="60">
        <f>IFERROR(K28/$B43,".")</f>
        <v>11.186803259480437</v>
      </c>
      <c r="L43" s="60">
        <f>IFERROR(L28/$B43,".")</f>
        <v>61.172281315730331</v>
      </c>
      <c r="M43" s="60">
        <f>IFERROR(M28/$B43,".")</f>
        <v>21.292009518734869</v>
      </c>
      <c r="N43" s="60">
        <f>IFERROR(N28/$B43,".")</f>
        <v>13.312102669744425</v>
      </c>
      <c r="O43" s="60">
        <f>IFERROR(O28/$B43,".")</f>
        <v>60.972810427465369</v>
      </c>
      <c r="P43" s="189">
        <f t="shared" ref="P43:T43" si="78">IFERROR(P28/$B43,0)</f>
        <v>2.6915950941695275E-14</v>
      </c>
      <c r="Q43" s="189">
        <f t="shared" si="78"/>
        <v>1.4718325554625433E-13</v>
      </c>
      <c r="R43" s="189">
        <f t="shared" si="78"/>
        <v>5.1229530935989083E-14</v>
      </c>
      <c r="S43" s="189">
        <f t="shared" si="78"/>
        <v>3.2029516750998354E-14</v>
      </c>
      <c r="T43" s="189">
        <f t="shared" si="78"/>
        <v>1.4670331963263341E-16</v>
      </c>
      <c r="U43" s="60" t="str">
        <f>IFERROR(U28/$B43,".")</f>
        <v>.</v>
      </c>
      <c r="V43" s="60">
        <f>IFERROR(V28/$B43,".")</f>
        <v>4190.1038754348665</v>
      </c>
      <c r="W43" s="60">
        <f>IFERROR(W28/$B43,".")</f>
        <v>4190.1038754348665</v>
      </c>
      <c r="X43" s="189">
        <f t="shared" ref="X43" si="79">IFERROR(X28/$B43,0)</f>
        <v>1.0081578064424646E-14</v>
      </c>
      <c r="Y43" s="60" t="str">
        <f>IFERROR(Y28/$B43,".")</f>
        <v>.</v>
      </c>
      <c r="Z43" s="60" t="str">
        <f>IFERROR(Z28,".")</f>
        <v>.</v>
      </c>
      <c r="AA43" s="60">
        <f>IFERROR(AA28/$B43,".")</f>
        <v>69495.347410293849</v>
      </c>
      <c r="AB43" s="60" t="str">
        <f>IFERROR(AB28/$B43,".")</f>
        <v>.</v>
      </c>
      <c r="AC43" s="60">
        <f>IFERROR(AC28/$B43,".")</f>
        <v>69495.347410293849</v>
      </c>
      <c r="AD43" s="189">
        <f t="shared" ref="AD43" si="80">IFERROR(AD28/$B43,0)</f>
        <v>1.6720892628430964E-13</v>
      </c>
      <c r="AE43" s="60" t="str">
        <f>IFERROR(AE28/$B43,".")</f>
        <v>.</v>
      </c>
      <c r="AF43" s="189">
        <f t="shared" ref="AF43" si="81">IFERROR(AF28/$B43,0)</f>
        <v>0</v>
      </c>
    </row>
    <row r="44" spans="1:32" x14ac:dyDescent="0.25">
      <c r="A44" s="77" t="s">
        <v>1072</v>
      </c>
      <c r="B44" s="42">
        <v>0.99987999999999999</v>
      </c>
      <c r="C44" s="42"/>
      <c r="D44" s="60">
        <f t="shared" ref="D44:I44" si="82">IFERROR(D15/$B44,".")</f>
        <v>84053.661520277514</v>
      </c>
      <c r="E44" s="60">
        <f t="shared" si="82"/>
        <v>849734374.01939559</v>
      </c>
      <c r="F44" s="60">
        <f t="shared" si="82"/>
        <v>4441.4415664969456</v>
      </c>
      <c r="G44" s="60">
        <f t="shared" si="82"/>
        <v>443.40263610273735</v>
      </c>
      <c r="H44" s="60">
        <f t="shared" si="82"/>
        <v>7.764002717764428</v>
      </c>
      <c r="I44" s="60">
        <f t="shared" si="82"/>
        <v>401.2298483276557</v>
      </c>
      <c r="J44" s="189">
        <f>IFERROR(J15/$B44,0)</f>
        <v>8.7192174389964826E-11</v>
      </c>
      <c r="K44" s="60">
        <f>IFERROR(K15/$B44,".")</f>
        <v>4441.4415664969456</v>
      </c>
      <c r="L44" s="60">
        <f>IFERROR(L15/$B44,".")</f>
        <v>11328.487033533353</v>
      </c>
      <c r="M44" s="60">
        <f>IFERROR(M15/$B44,".")</f>
        <v>5610.9747689600918</v>
      </c>
      <c r="N44" s="60">
        <f>IFERROR(N15/$B44,".")</f>
        <v>4508.5666279553388</v>
      </c>
      <c r="O44" s="60">
        <f>IFERROR(O15/$B44,".")</f>
        <v>896.60400927437593</v>
      </c>
      <c r="P44" s="189">
        <f t="shared" ref="P44:T44" si="83">IFERROR(P15/$B44,0)</f>
        <v>9.6517980709299963E-10</v>
      </c>
      <c r="Q44" s="189">
        <f t="shared" si="83"/>
        <v>2.4618193813827782E-9</v>
      </c>
      <c r="R44" s="189">
        <f t="shared" si="83"/>
        <v>1.2193337374873945E-9</v>
      </c>
      <c r="S44" s="189">
        <f t="shared" si="83"/>
        <v>9.7976690745208799E-10</v>
      </c>
      <c r="T44" s="189">
        <f t="shared" si="83"/>
        <v>1.9484306429653154E-13</v>
      </c>
      <c r="U44" s="60">
        <f>IFERROR(U15/$B44,".")</f>
        <v>625.10599081675002</v>
      </c>
      <c r="V44" s="60">
        <f>IFERROR(V15/$B44,".")</f>
        <v>89324.634416520465</v>
      </c>
      <c r="W44" s="60">
        <f>IFERROR(W15/$B44,".")</f>
        <v>620.76181485820416</v>
      </c>
      <c r="X44" s="189">
        <f t="shared" ref="X44" si="84">IFERROR(X15/$B44,0)</f>
        <v>1.3489916725125373E-13</v>
      </c>
      <c r="Y44" s="60">
        <f>IFERROR(Y15/$B44,".")</f>
        <v>4912.8494425936778</v>
      </c>
      <c r="Z44" s="60" t="str">
        <f>IFERROR(Z15,".")</f>
        <v>.</v>
      </c>
      <c r="AA44" s="60">
        <f>IFERROR(AA15/$B44,".")</f>
        <v>2853032.2088618847</v>
      </c>
      <c r="AB44" s="60">
        <f>IFERROR(AB15/$B44,".")</f>
        <v>1818.973994227681</v>
      </c>
      <c r="AC44" s="60">
        <f>IFERROR(AC15/$B44,".")</f>
        <v>1326.860311974913</v>
      </c>
      <c r="AD44" s="189">
        <f t="shared" ref="AD44" si="85">IFERROR(AD15/$B44,0)</f>
        <v>2.8834304375671095E-13</v>
      </c>
      <c r="AE44" s="60">
        <f>IFERROR(AE15/$B44,".")</f>
        <v>191.45556235174323</v>
      </c>
      <c r="AF44" s="189">
        <f t="shared" ref="AF44" si="86">IFERROR(AF15/$B44,0)</f>
        <v>4.1605645367813348E-11</v>
      </c>
    </row>
    <row r="45" spans="1:32" x14ac:dyDescent="0.25">
      <c r="A45" s="172" t="s">
        <v>8</v>
      </c>
      <c r="B45" s="57" t="s">
        <v>1185</v>
      </c>
      <c r="C45" s="57"/>
      <c r="D45" s="58">
        <f t="shared" ref="D45:I45" si="87">IFERROR(1/SUM(IFERROR(1/SUMIF(D46,"&lt;&gt;.",D46),0),IFERROR(1/SUMIF(D47,"&lt;&gt;.",D47),0)),".")</f>
        <v>472.03421492803483</v>
      </c>
      <c r="E45" s="58">
        <f t="shared" si="87"/>
        <v>1422166.4731759478</v>
      </c>
      <c r="F45" s="58">
        <f t="shared" si="87"/>
        <v>0.94244332857837865</v>
      </c>
      <c r="G45" s="58">
        <f t="shared" si="87"/>
        <v>1.7661671420063139</v>
      </c>
      <c r="H45" s="58">
        <f t="shared" si="87"/>
        <v>4.3601609511025617E-2</v>
      </c>
      <c r="I45" s="59">
        <f t="shared" si="87"/>
        <v>0.61372706872329297</v>
      </c>
      <c r="J45" s="190">
        <f>I45*(0.0000000000028)*RadSpec!$AY10*RadSpec!$AF10</f>
        <v>7.1021107419329097E-9</v>
      </c>
      <c r="K45" s="58">
        <f>IFERROR(1/SUM(IFERROR(1/SUMIF(K46,"&lt;&gt;.",K46),0),IFERROR(1/SUMIF(K47,"&lt;&gt;.",K47),0)),".")</f>
        <v>0.94244332857837865</v>
      </c>
      <c r="L45" s="58">
        <f>IFERROR(1/SUM(IFERROR(1/SUMIF(L46,"&lt;&gt;.",L46),0),IFERROR(1/SUMIF(L47,"&lt;&gt;.",L47),0)),".")</f>
        <v>4.7366884737592683</v>
      </c>
      <c r="M45" s="58">
        <f>IFERROR(1/SUM(IFERROR(1/SUMIF(M46,"&lt;&gt;.",M46),0),IFERROR(1/SUMIF(M47,"&lt;&gt;.",M47),0)),".")</f>
        <v>1.6559503268281102</v>
      </c>
      <c r="N45" s="58">
        <f>IFERROR(1/SUM(IFERROR(1/SUMIF(N46,"&lt;&gt;.",N46),0),IFERROR(1/SUMIF(N47,"&lt;&gt;.",N47),0)),".")</f>
        <v>1.0594868006732849</v>
      </c>
      <c r="O45" s="58">
        <f>IFERROR(1/SUM(IFERROR(1/SUMIF(O46,"&lt;&gt;.",O46),0),IFERROR(1/SUMIF(O47,"&lt;&gt;.",O47),0)),".")</f>
        <v>4.6984004220085733</v>
      </c>
      <c r="P45" s="190">
        <f>K45*(0.0000000000028)*RadSpec!$AY10*RadSpec!$AF10</f>
        <v>1.0906048027966793E-8</v>
      </c>
      <c r="Q45" s="190">
        <f>L45*(0.0000000000028)*RadSpec!$AY10*RadSpec!$AF10</f>
        <v>5.4813430603046709E-8</v>
      </c>
      <c r="R45" s="190">
        <f>M45*(0.0000000000028)*RadSpec!$AY10*RadSpec!$AF10</f>
        <v>1.9162822048469433E-8</v>
      </c>
      <c r="S45" s="190">
        <f>N45*(0.0000000000028)*RadSpec!$AY10*RadSpec!$AF10</f>
        <v>1.2260486739897128E-8</v>
      </c>
      <c r="T45" s="190">
        <f>O45*(0.0000000000000028)*RadSpec!$AY10*RadSpec!$AF10</f>
        <v>5.4370357456229232E-11</v>
      </c>
      <c r="U45" s="58">
        <f>IFERROR(1/SUM(IFERROR(1/SUMIF(U46,"&lt;&gt;.",U46),0),IFERROR(1/SUMIF(U47,"&lt;&gt;.",U47),0)),".")</f>
        <v>1.0462149225714645</v>
      </c>
      <c r="V45" s="58">
        <f>IFERROR(1/SUM(IFERROR(1/SUMIF(V46,"&lt;&gt;.",V46),0),IFERROR(1/SUMIF(V47,"&lt;&gt;.",V47),0)),".")</f>
        <v>350.42474812443277</v>
      </c>
      <c r="W45" s="59">
        <f>IFERROR(1/SUM(IFERROR(1/SUMIF(W46,"&lt;&gt;.",W46),0),IFERROR(1/SUMIF(W47,"&lt;&gt;.",W47),0)),".")</f>
        <v>1.0431006804880727</v>
      </c>
      <c r="X45" s="190">
        <f>W45*(0.0000000000000028)*RadSpec!$AY10*RadSpec!$AF10</f>
        <v>1.2070864925711728E-11</v>
      </c>
      <c r="Y45" s="58">
        <f>IFERROR(1/SUM(IFERROR(1/SUMIF(Y46,"&lt;&gt;.",Y46),0),IFERROR(1/SUMIF(Y47,"&lt;&gt;.",Y47),0)),".")</f>
        <v>27.589910870627396</v>
      </c>
      <c r="Z45" s="58" t="str">
        <f>IFERROR(1/SUM(IFERROR(1/SUMIF(Z46,"&lt;&gt;.",Z46),0),IFERROR(1/SUMIF(Z47,"&lt;&gt;.",Z47),0)),".")</f>
        <v>.</v>
      </c>
      <c r="AA45" s="58">
        <f>IFERROR(1/SUM(IFERROR(1/SUMIF(AA46,"&lt;&gt;.",AA46),0),IFERROR(1/SUMIF(AA47,"&lt;&gt;.",AA47),0)),".")</f>
        <v>5794.4048222105712</v>
      </c>
      <c r="AB45" s="58">
        <f>IFERROR(1/SUM(IFERROR(1/SUMIF(AB46,"&lt;&gt;.",AB46),0),IFERROR(1/SUMIF(AB47,"&lt;&gt;.",AB47),0)),".")</f>
        <v>9.6359344733496712</v>
      </c>
      <c r="AC45" s="59">
        <f>IFERROR(1/SUM(IFERROR(1/SUMIF(AC46,"&lt;&gt;.",AC46),0),IFERROR(1/SUMIF(AC47,"&lt;&gt;.",AC47),0)),".")</f>
        <v>7.1328751717207961</v>
      </c>
      <c r="AD45" s="190">
        <f>AC45*(0.0000000000000028)*RadSpec!$AY10*RadSpec!$AF10</f>
        <v>8.2542341636205167E-11</v>
      </c>
      <c r="AE45" s="59">
        <f>IFERROR(1/SUM(IFERROR(1/SUMIF(AE46,"&lt;&gt;.",AE46),0),IFERROR(1/SUMIF(AE47,"&lt;&gt;.",AE47),0)),".")</f>
        <v>1.075189045113857</v>
      </c>
      <c r="AF45" s="190">
        <f>AE45*(0.0000000000028)*RadSpec!$AY10*RadSpec!$AF10</f>
        <v>1.2442194675878886E-8</v>
      </c>
    </row>
    <row r="46" spans="1:32" x14ac:dyDescent="0.25">
      <c r="A46" s="77" t="s">
        <v>1084</v>
      </c>
      <c r="B46" s="42">
        <v>1</v>
      </c>
      <c r="C46" s="42"/>
      <c r="D46" s="60">
        <f t="shared" ref="D46:I46" si="88">IFERROR(D10/$B46,".")</f>
        <v>472.03421492803483</v>
      </c>
      <c r="E46" s="60">
        <f t="shared" si="88"/>
        <v>1422166.4731759478</v>
      </c>
      <c r="F46" s="60">
        <f t="shared" si="88"/>
        <v>3463.9087029369948</v>
      </c>
      <c r="G46" s="60">
        <f t="shared" si="88"/>
        <v>1.7661671420063139</v>
      </c>
      <c r="H46" s="60">
        <f t="shared" si="88"/>
        <v>4.3601609511025617E-2</v>
      </c>
      <c r="I46" s="60">
        <f t="shared" si="88"/>
        <v>1.7586879221688707</v>
      </c>
      <c r="J46" s="189">
        <f>IFERROR(J10/$B46,0)</f>
        <v>2.0351711730307704E-8</v>
      </c>
      <c r="K46" s="60">
        <f>IFERROR(K10/$B46,".")</f>
        <v>3463.9087029369948</v>
      </c>
      <c r="L46" s="60">
        <f>IFERROR(L10/$B46,".")</f>
        <v>7491.7095203055933</v>
      </c>
      <c r="M46" s="60">
        <f>IFERROR(M10/$B46,".")</f>
        <v>4295.2467916418736</v>
      </c>
      <c r="N46" s="60">
        <f>IFERROR(N10/$B46,".")</f>
        <v>3524.5460544107277</v>
      </c>
      <c r="O46" s="60">
        <f>IFERROR(O10/$B46,".")</f>
        <v>822.3134864579738</v>
      </c>
      <c r="P46" s="189">
        <f t="shared" ref="P46:T46" si="89">IFERROR(P10/$B46,0)</f>
        <v>4.0084696377137369E-5</v>
      </c>
      <c r="Q46" s="189">
        <f t="shared" si="89"/>
        <v>8.6694808443576183E-5</v>
      </c>
      <c r="R46" s="189">
        <f t="shared" si="89"/>
        <v>4.9705023507650341E-5</v>
      </c>
      <c r="S46" s="189">
        <f t="shared" si="89"/>
        <v>4.0786397845446121E-5</v>
      </c>
      <c r="T46" s="189">
        <f t="shared" si="89"/>
        <v>9.5158935348223845E-9</v>
      </c>
      <c r="U46" s="60">
        <f>IFERROR(U10/$B46,".")</f>
        <v>1.0462149225714645</v>
      </c>
      <c r="V46" s="60">
        <f>IFERROR(V10/$B46,".")</f>
        <v>95014.803681266494</v>
      </c>
      <c r="W46" s="60">
        <f>IFERROR(W10/$B46,".")</f>
        <v>1.0462034027496094</v>
      </c>
      <c r="X46" s="189">
        <f t="shared" ref="X46" si="90">IFERROR(X10/$B46,0)</f>
        <v>1.2106769936629259E-11</v>
      </c>
      <c r="Y46" s="60">
        <f>IFERROR(Y10/$B46,".")</f>
        <v>27.589910870627396</v>
      </c>
      <c r="Z46" s="60" t="str">
        <f>IFERROR(Z10,".")</f>
        <v>.</v>
      </c>
      <c r="AA46" s="60">
        <f>IFERROR(AA10/$B46,".")</f>
        <v>3042869.1679966096</v>
      </c>
      <c r="AB46" s="60">
        <f>IFERROR(AB10/$B46,".")</f>
        <v>9.6359344733496712</v>
      </c>
      <c r="AC46" s="60">
        <f>IFERROR(AC10/$B46,".")</f>
        <v>7.1416497558227796</v>
      </c>
      <c r="AD46" s="189">
        <f t="shared" ref="AD46" si="91">IFERROR(AD10/$B46,0)</f>
        <v>8.264388199703089E-11</v>
      </c>
      <c r="AE46" s="60">
        <f>IFERROR(AE10/$B46,".")</f>
        <v>1.075189045113857</v>
      </c>
      <c r="AF46" s="189">
        <f t="shared" ref="AF46" si="92">IFERROR(AF10/$B46,0)</f>
        <v>1.2442194675878886E-8</v>
      </c>
    </row>
    <row r="47" spans="1:32" x14ac:dyDescent="0.25">
      <c r="A47" s="77" t="s">
        <v>1058</v>
      </c>
      <c r="B47" s="79">
        <v>0.94399</v>
      </c>
      <c r="C47" s="79"/>
      <c r="D47" s="60" t="str">
        <f t="shared" ref="D47:I47" si="93">IFERROR(D6/$B$47,".")</f>
        <v>.</v>
      </c>
      <c r="E47" s="60" t="str">
        <f t="shared" si="93"/>
        <v>.</v>
      </c>
      <c r="F47" s="60">
        <f t="shared" si="93"/>
        <v>0.9426998137304119</v>
      </c>
      <c r="G47" s="60" t="str">
        <f t="shared" si="93"/>
        <v>.</v>
      </c>
      <c r="H47" s="60" t="str">
        <f t="shared" si="93"/>
        <v>.</v>
      </c>
      <c r="I47" s="60">
        <f t="shared" si="93"/>
        <v>0.9426998137304119</v>
      </c>
      <c r="J47" s="189">
        <f>IFERROR(J6/$B$47,0)</f>
        <v>1.7558092524579673E-15</v>
      </c>
      <c r="K47" s="60">
        <f>IFERROR(K6/$B$47,".")</f>
        <v>0.9426998137304119</v>
      </c>
      <c r="L47" s="60">
        <f>IFERROR(L6/$B$47,".")</f>
        <v>4.7396851745890158</v>
      </c>
      <c r="M47" s="60">
        <f>IFERROR(M6/$B$47,".")</f>
        <v>1.6565889930602382</v>
      </c>
      <c r="N47" s="60">
        <f>IFERROR(N6/$B$47,".")</f>
        <v>1.0598053806534442</v>
      </c>
      <c r="O47" s="60">
        <f>IFERROR(O6/$B$47,".")</f>
        <v>4.7253996382688266</v>
      </c>
      <c r="P47" s="189">
        <f t="shared" ref="P47:T47" si="94">IFERROR(P6/$B$47,0)</f>
        <v>1.7558092524579673E-15</v>
      </c>
      <c r="Q47" s="189">
        <f t="shared" si="94"/>
        <v>8.8278187415247815E-15</v>
      </c>
      <c r="R47" s="189">
        <f t="shared" si="94"/>
        <v>3.0854512106300205E-15</v>
      </c>
      <c r="S47" s="189">
        <f t="shared" si="94"/>
        <v>1.9739222030738639E-15</v>
      </c>
      <c r="T47" s="189">
        <f t="shared" si="94"/>
        <v>8.8012114626413198E-18</v>
      </c>
      <c r="U47" s="60" t="str">
        <f>IFERROR(U6/$B$47,".")</f>
        <v>.</v>
      </c>
      <c r="V47" s="60">
        <f>IFERROR(V6/$B$47,".")</f>
        <v>351.72193620596869</v>
      </c>
      <c r="W47" s="60">
        <f>IFERROR(W6/$B$47,".")</f>
        <v>351.72193620596869</v>
      </c>
      <c r="X47" s="189">
        <f t="shared" ref="X47" si="95">IFERROR(X6/$B$47,0)</f>
        <v>6.5509361610999129E-16</v>
      </c>
      <c r="Y47" s="60" t="str">
        <f>IFERROR(Y6/$B$47,".")</f>
        <v>.</v>
      </c>
      <c r="Z47" s="60" t="str">
        <f>IFERROR(Z6,".")</f>
        <v>.</v>
      </c>
      <c r="AA47" s="60">
        <f>IFERROR(AA6/$B$47,".")</f>
        <v>5805.4599097081755</v>
      </c>
      <c r="AB47" s="60" t="str">
        <f>IFERROR(AB6/$B$47,".")</f>
        <v>.</v>
      </c>
      <c r="AC47" s="60">
        <f>IFERROR(AC6/$B$47,".")</f>
        <v>5805.4599097081755</v>
      </c>
      <c r="AD47" s="189">
        <f t="shared" ref="AD47" si="96">IFERROR(AD6/$B$47,0)</f>
        <v>1.081285906263521E-14</v>
      </c>
      <c r="AE47" s="60" t="str">
        <f>IFERROR(AE6/$B$47,".")</f>
        <v>.</v>
      </c>
      <c r="AF47" s="189">
        <f t="shared" ref="AF47" si="97">IFERROR(AF6/$B$47,0)</f>
        <v>0</v>
      </c>
    </row>
    <row r="48" spans="1:32" x14ac:dyDescent="0.25">
      <c r="A48" s="172" t="s">
        <v>21</v>
      </c>
      <c r="B48" s="57" t="s">
        <v>1185</v>
      </c>
      <c r="C48" s="239"/>
      <c r="D48" s="58">
        <f t="shared" ref="D48:I48" si="98">IFERROR(1/SUM(IFERROR(1/SUMIF(D49,"&lt;&gt;.",D49),0),IFERROR(1/SUMIF(D50,"&lt;&gt;.",D50),0),IFERROR(1/SUMIF(D51,"&lt;&gt;.",D51),0),IFERROR(1/SUMIF(D52,"&lt;&gt;.",D52),0),IFERROR(1/SUMIF(D53,"&lt;&gt;.",D53),0),IFERROR(1/SUMIF(D54,"&lt;&gt;.",D54),0),IFERROR(1/SUMIF(D55,"&lt;&gt;.",D55),0),IFERROR(1/SUMIF(D56,"&lt;&gt;.",D56),0),IFERROR(1/SUMIF(D57,"&lt;&gt;.",D57),0),IFERROR(1/SUMIF(D58,"&lt;&gt;.",D58),0),IFERROR(1/SUMIF(D59,"&lt;&gt;.",D59),0),IFERROR(1/SUMIF(D60,"&lt;&gt;.",D60),0),IFERROR(1/SUMIF(D61,"&lt;&gt;.",D61),0),IFERROR(1/SUMIF(D62,"&lt;&gt;.",D62),0)),".")</f>
        <v>1.9465944310386158</v>
      </c>
      <c r="E48" s="58">
        <f t="shared" si="98"/>
        <v>2799.7103047597061</v>
      </c>
      <c r="F48" s="58">
        <f t="shared" si="98"/>
        <v>0.28828566182834192</v>
      </c>
      <c r="G48" s="58">
        <f t="shared" si="98"/>
        <v>1.7798947144775482E-2</v>
      </c>
      <c r="H48" s="58">
        <f t="shared" si="98"/>
        <v>1.7980614026341841E-4</v>
      </c>
      <c r="I48" s="59">
        <f t="shared" si="98"/>
        <v>1.6620695225453341E-2</v>
      </c>
      <c r="J48" s="190">
        <f>I48*(0.0000000000028)*RadSpec!$AY23*RadSpec!$AF23</f>
        <v>1.6828121501867E-8</v>
      </c>
      <c r="K48" s="58">
        <f>IFERROR(1/SUM(IFERROR(1/SUMIF(K49,"&lt;&gt;.",K49),0),IFERROR(1/SUMIF(K50,"&lt;&gt;.",K50),0),IFERROR(1/SUMIF(K51,"&lt;&gt;.",K51),0),IFERROR(1/SUMIF(K52,"&lt;&gt;.",K52),0),IFERROR(1/SUMIF(K53,"&lt;&gt;.",K53),0),IFERROR(1/SUMIF(K54,"&lt;&gt;.",K54),0),IFERROR(1/SUMIF(K55,"&lt;&gt;.",K55),0),IFERROR(1/SUMIF(K56,"&lt;&gt;.",K56),0),IFERROR(1/SUMIF(K57,"&lt;&gt;.",K57),0),IFERROR(1/SUMIF(K58,"&lt;&gt;.",K58),0),IFERROR(1/SUMIF(K59,"&lt;&gt;.",K59),0),IFERROR(1/SUMIF(K60,"&lt;&gt;.",K60),0),IFERROR(1/SUMIF(K61,"&lt;&gt;.",K61),0),IFERROR(1/SUMIF(K62,"&lt;&gt;.",K62),0)),".")</f>
        <v>0.28828566182834192</v>
      </c>
      <c r="L48" s="58">
        <f>IFERROR(1/SUM(IFERROR(1/SUMIF(L49,"&lt;&gt;.",L49),0),IFERROR(1/SUMIF(L50,"&lt;&gt;.",L50),0),IFERROR(1/SUMIF(L51,"&lt;&gt;.",L51),0),IFERROR(1/SUMIF(L52,"&lt;&gt;.",L52),0),IFERROR(1/SUMIF(L53,"&lt;&gt;.",L53),0),IFERROR(1/SUMIF(L54,"&lt;&gt;.",L54),0),IFERROR(1/SUMIF(L55,"&lt;&gt;.",L55),0),IFERROR(1/SUMIF(L56,"&lt;&gt;.",L56),0),IFERROR(1/SUMIF(L57,"&lt;&gt;.",L57),0),IFERROR(1/SUMIF(L58,"&lt;&gt;.",L58),0),IFERROR(1/SUMIF(L59,"&lt;&gt;.",L59),0),IFERROR(1/SUMIF(L60,"&lt;&gt;.",L60),0),IFERROR(1/SUMIF(L61,"&lt;&gt;.",L61),0),IFERROR(1/SUMIF(L62,"&lt;&gt;.",L62),0)),".")</f>
        <v>1.5649610785445733</v>
      </c>
      <c r="M48" s="58">
        <f>IFERROR(1/SUM(IFERROR(1/SUMIF(M49,"&lt;&gt;.",M49),0),IFERROR(1/SUMIF(M50,"&lt;&gt;.",M50),0),IFERROR(1/SUMIF(M51,"&lt;&gt;.",M51),0),IFERROR(1/SUMIF(M52,"&lt;&gt;.",M52),0),IFERROR(1/SUMIF(M53,"&lt;&gt;.",M53),0),IFERROR(1/SUMIF(M54,"&lt;&gt;.",M54),0),IFERROR(1/SUMIF(M55,"&lt;&gt;.",M55),0),IFERROR(1/SUMIF(M56,"&lt;&gt;.",M56),0),IFERROR(1/SUMIF(M57,"&lt;&gt;.",M57),0),IFERROR(1/SUMIF(M58,"&lt;&gt;.",M58),0),IFERROR(1/SUMIF(M59,"&lt;&gt;.",M59),0),IFERROR(1/SUMIF(M60,"&lt;&gt;.",M60),0),IFERROR(1/SUMIF(M61,"&lt;&gt;.",M61),0),IFERROR(1/SUMIF(M62,"&lt;&gt;.",M62),0)),".")</f>
        <v>0.54416743952585622</v>
      </c>
      <c r="N48" s="58">
        <f>IFERROR(1/SUM(IFERROR(1/SUMIF(N49,"&lt;&gt;.",N49),0),IFERROR(1/SUMIF(N50,"&lt;&gt;.",N50),0),IFERROR(1/SUMIF(N51,"&lt;&gt;.",N51),0),IFERROR(1/SUMIF(N52,"&lt;&gt;.",N52),0),IFERROR(1/SUMIF(N53,"&lt;&gt;.",N53),0),IFERROR(1/SUMIF(N54,"&lt;&gt;.",N54),0),IFERROR(1/SUMIF(N55,"&lt;&gt;.",N55),0),IFERROR(1/SUMIF(N56,"&lt;&gt;.",N56),0),IFERROR(1/SUMIF(N57,"&lt;&gt;.",N57),0),IFERROR(1/SUMIF(N58,"&lt;&gt;.",N58),0),IFERROR(1/SUMIF(N59,"&lt;&gt;.",N59),0),IFERROR(1/SUMIF(N60,"&lt;&gt;.",N60),0),IFERROR(1/SUMIF(N61,"&lt;&gt;.",N61),0),IFERROR(1/SUMIF(N62,"&lt;&gt;.",N62),0)),".")</f>
        <v>0.34036347518242166</v>
      </c>
      <c r="O48" s="58">
        <f>IFERROR(1/SUM(IFERROR(1/SUMIF(O49,"&lt;&gt;.",O49),0),IFERROR(1/SUMIF(O50,"&lt;&gt;.",O50),0),IFERROR(1/SUMIF(O51,"&lt;&gt;.",O51),0),IFERROR(1/SUMIF(O52,"&lt;&gt;.",O52),0),IFERROR(1/SUMIF(O53,"&lt;&gt;.",O53),0),IFERROR(1/SUMIF(O54,"&lt;&gt;.",O54),0),IFERROR(1/SUMIF(O55,"&lt;&gt;.",O55),0),IFERROR(1/SUMIF(O56,"&lt;&gt;.",O56),0),IFERROR(1/SUMIF(O57,"&lt;&gt;.",O57),0),IFERROR(1/SUMIF(O58,"&lt;&gt;.",O58),0),IFERROR(1/SUMIF(O59,"&lt;&gt;.",O59),0),IFERROR(1/SUMIF(O60,"&lt;&gt;.",O60),0),IFERROR(1/SUMIF(O61,"&lt;&gt;.",O61),0),IFERROR(1/SUMIF(O62,"&lt;&gt;.",O62),0)),".")</f>
        <v>1.5070073216322728</v>
      </c>
      <c r="P48" s="190">
        <f>K48*(0.0000000000028)*RadSpec!$AY23*RadSpec!$AF23</f>
        <v>2.9188346688795964E-7</v>
      </c>
      <c r="Q48" s="190">
        <f>L48*(0.0000000000028)*RadSpec!$AY23*RadSpec!$AF23</f>
        <v>1.58449179280481E-6</v>
      </c>
      <c r="R48" s="190">
        <f>M48*(0.0000000000028)*RadSpec!$AY23*RadSpec!$AF23</f>
        <v>5.5095864917113901E-7</v>
      </c>
      <c r="S48" s="190">
        <f>N48*(0.0000000000028)*RadSpec!$AY23*RadSpec!$AF23</f>
        <v>3.4461121135269828E-7</v>
      </c>
      <c r="T48" s="190">
        <f>O48*(0.0000000000000028)*RadSpec!$AY23*RadSpec!$AF23</f>
        <v>1.5258147730062437E-9</v>
      </c>
      <c r="U48" s="58">
        <f>IFERROR(1/SUM(IFERROR(1/SUMIF(U49,"&lt;&gt;.",U49),0),IFERROR(1/SUMIF(U50,"&lt;&gt;.",U50),0),IFERROR(1/SUMIF(U51,"&lt;&gt;.",U51),0),IFERROR(1/SUMIF(U52,"&lt;&gt;.",U52),0),IFERROR(1/SUMIF(U53,"&lt;&gt;.",U53),0),IFERROR(1/SUMIF(U54,"&lt;&gt;.",U54),0),IFERROR(1/SUMIF(U55,"&lt;&gt;.",U55),0),IFERROR(1/SUMIF(U56,"&lt;&gt;.",U56),0),IFERROR(1/SUMIF(U57,"&lt;&gt;.",U57),0),IFERROR(1/SUMIF(U58,"&lt;&gt;.",U58),0),IFERROR(1/SUMIF(U59,"&lt;&gt;.",U59),0),IFERROR(1/SUMIF(U60,"&lt;&gt;.",U60),0),IFERROR(1/SUMIF(U61,"&lt;&gt;.",U61),0),IFERROR(1/SUMIF(U62,"&lt;&gt;.",U62),0)),".")</f>
        <v>2.0596032566957611E-3</v>
      </c>
      <c r="V48" s="58">
        <f>IFERROR(1/SUM(IFERROR(1/SUMIF(V49,"&lt;&gt;.",V49),0),IFERROR(1/SUMIF(V50,"&lt;&gt;.",V50),0),IFERROR(1/SUMIF(V51,"&lt;&gt;.",V51),0),IFERROR(1/SUMIF(V52,"&lt;&gt;.",V52),0),IFERROR(1/SUMIF(V53,"&lt;&gt;.",V53),0),IFERROR(1/SUMIF(V54,"&lt;&gt;.",V54),0),IFERROR(1/SUMIF(V55,"&lt;&gt;.",V55),0),IFERROR(1/SUMIF(V56,"&lt;&gt;.",V56),0),IFERROR(1/SUMIF(V57,"&lt;&gt;.",V57),0),IFERROR(1/SUMIF(V58,"&lt;&gt;.",V58),0),IFERROR(1/SUMIF(V59,"&lt;&gt;.",V59),0),IFERROR(1/SUMIF(V60,"&lt;&gt;.",V60),0),IFERROR(1/SUMIF(V61,"&lt;&gt;.",V61),0),IFERROR(1/SUMIF(V62,"&lt;&gt;.",V62),0)),".")</f>
        <v>107.78486373419169</v>
      </c>
      <c r="W48" s="59">
        <f>IFERROR(1/SUM(IFERROR(1/SUMIF(W49,"&lt;&gt;.",W49),0),IFERROR(1/SUMIF(W50,"&lt;&gt;.",W50),0),IFERROR(1/SUMIF(W51,"&lt;&gt;.",W51),0),IFERROR(1/SUMIF(W52,"&lt;&gt;.",W52),0),IFERROR(1/SUMIF(W53,"&lt;&gt;.",W53),0),IFERROR(1/SUMIF(W54,"&lt;&gt;.",W54),0),IFERROR(1/SUMIF(W55,"&lt;&gt;.",W55),0),IFERROR(1/SUMIF(W56,"&lt;&gt;.",W56),0),IFERROR(1/SUMIF(W57,"&lt;&gt;.",W57),0),IFERROR(1/SUMIF(W58,"&lt;&gt;.",W58),0),IFERROR(1/SUMIF(W59,"&lt;&gt;.",W59),0),IFERROR(1/SUMIF(W60,"&lt;&gt;.",W60),0),IFERROR(1/SUMIF(W61,"&lt;&gt;.",W61),0),IFERROR(1/SUMIF(W62,"&lt;&gt;.",W62),0)),".")</f>
        <v>2.0595639015917877E-3</v>
      </c>
      <c r="X48" s="190">
        <f>W48*(0.0000000000000028)*RadSpec!$AY23*RadSpec!$AF23</f>
        <v>2.0852672590836533E-12</v>
      </c>
      <c r="Y48" s="58">
        <f>IFERROR(1/SUM(IFERROR(1/SUMIF(Y49,"&lt;&gt;.",Y49),0),IFERROR(1/SUMIF(Y50,"&lt;&gt;.",Y50),0),IFERROR(1/SUMIF(Y51,"&lt;&gt;.",Y51),0),IFERROR(1/SUMIF(Y52,"&lt;&gt;.",Y52),0),IFERROR(1/SUMIF(Y53,"&lt;&gt;.",Y53),0),IFERROR(1/SUMIF(Y54,"&lt;&gt;.",Y54),0),IFERROR(1/SUMIF(Y55,"&lt;&gt;.",Y55),0),IFERROR(1/SUMIF(Y56,"&lt;&gt;.",Y56),0),IFERROR(1/SUMIF(Y57,"&lt;&gt;.",Y57),0),IFERROR(1/SUMIF(Y58,"&lt;&gt;.",Y58),0),IFERROR(1/SUMIF(Y59,"&lt;&gt;.",Y59),0),IFERROR(1/SUMIF(Y60,"&lt;&gt;.",Y60),0),IFERROR(1/SUMIF(Y61,"&lt;&gt;.",Y61),0),IFERROR(1/SUMIF(Y62,"&lt;&gt;.",Y62),0)),".")</f>
        <v>0.11377642796889838</v>
      </c>
      <c r="Z48" s="58">
        <f>IFERROR(1/SUM(IFERROR(1/SUMIF(Z49,"&lt;&gt;.",Z49),0),IFERROR(1/SUMIF(Z50,"&lt;&gt;.",Z50),0),IFERROR(1/SUMIF(Z51,"&lt;&gt;.",Z51),0),IFERROR(1/SUMIF(Z52,"&lt;&gt;.",Z52),0),IFERROR(1/SUMIF(Z53,"&lt;&gt;.",Z53),0),IFERROR(1/SUMIF(Z54,"&lt;&gt;.",Z54),0),IFERROR(1/SUMIF(Z55,"&lt;&gt;.",Z55),0),IFERROR(1/SUMIF(Z56,"&lt;&gt;.",Z56),0),IFERROR(1/SUMIF(Z57,"&lt;&gt;.",Z57),0),IFERROR(1/SUMIF(Z58,"&lt;&gt;.",Z58),0),IFERROR(1/SUMIF(Z59,"&lt;&gt;.",Z59),0),IFERROR(1/SUMIF(Z60,"&lt;&gt;.",Z60),0),IFERROR(1/SUMIF(Z61,"&lt;&gt;.",Z61),0),IFERROR(1/SUMIF(Z62,"&lt;&gt;.",Z62),0)),".")</f>
        <v>3.7947839276507476</v>
      </c>
      <c r="AA48" s="58">
        <f>IFERROR(1/SUM(IFERROR(1/SUMIF(AA49,"&lt;&gt;.",AA49),0),IFERROR(1/SUMIF(AA50,"&lt;&gt;.",AA50),0),IFERROR(1/SUMIF(AA51,"&lt;&gt;.",AA51),0),IFERROR(1/SUMIF(AA52,"&lt;&gt;.",AA52),0),IFERROR(1/SUMIF(AA53,"&lt;&gt;.",AA53),0),IFERROR(1/SUMIF(AA54,"&lt;&gt;.",AA54),0),IFERROR(1/SUMIF(AA55,"&lt;&gt;.",AA55),0),IFERROR(1/SUMIF(AA56,"&lt;&gt;.",AA56),0),IFERROR(1/SUMIF(AA57,"&lt;&gt;.",AA57),0),IFERROR(1/SUMIF(AA58,"&lt;&gt;.",AA58),0),IFERROR(1/SUMIF(AA59,"&lt;&gt;.",AA59),0),IFERROR(1/SUMIF(AA60,"&lt;&gt;.",AA60),0),IFERROR(1/SUMIF(AA61,"&lt;&gt;.",AA61),0),IFERROR(1/SUMIF(AA62,"&lt;&gt;.",AA62),0)),".")</f>
        <v>1782.0083626992807</v>
      </c>
      <c r="AB48" s="58">
        <f>IFERROR(1/SUM(IFERROR(1/SUMIF(AB49,"&lt;&gt;.",AB49),0),IFERROR(1/SUMIF(AB50,"&lt;&gt;.",AB50),0),IFERROR(1/SUMIF(AB51,"&lt;&gt;.",AB51),0),IFERROR(1/SUMIF(AB52,"&lt;&gt;.",AB52),0),IFERROR(1/SUMIF(AB53,"&lt;&gt;.",AB53),0),IFERROR(1/SUMIF(AB54,"&lt;&gt;.",AB54),0),IFERROR(1/SUMIF(AB55,"&lt;&gt;.",AB55),0),IFERROR(1/SUMIF(AB56,"&lt;&gt;.",AB56),0),IFERROR(1/SUMIF(AB57,"&lt;&gt;.",AB57),0),IFERROR(1/SUMIF(AB58,"&lt;&gt;.",AB58),0),IFERROR(1/SUMIF(AB59,"&lt;&gt;.",AB59),0),IFERROR(1/SUMIF(AB60,"&lt;&gt;.",AB60),0),IFERROR(1/SUMIF(AB61,"&lt;&gt;.",AB61),0),IFERROR(1/SUMIF(AB62,"&lt;&gt;.",AB62),0)),".")</f>
        <v>4.491186750789003E-2</v>
      </c>
      <c r="AC48" s="59">
        <f>IFERROR(1/SUM(IFERROR(1/SUMIF(AC49,"&lt;&gt;.",AC49),0),IFERROR(1/SUMIF(AC50,"&lt;&gt;.",AC50),0),IFERROR(1/SUMIF(AC51,"&lt;&gt;.",AC51),0),IFERROR(1/SUMIF(AC52,"&lt;&gt;.",AC52),0),IFERROR(1/SUMIF(AC53,"&lt;&gt;.",AC53),0),IFERROR(1/SUMIF(AC54,"&lt;&gt;.",AC54),0),IFERROR(1/SUMIF(AC55,"&lt;&gt;.",AC55),0),IFERROR(1/SUMIF(AC56,"&lt;&gt;.",AC56),0),IFERROR(1/SUMIF(AC57,"&lt;&gt;.",AC57),0),IFERROR(1/SUMIF(AC58,"&lt;&gt;.",AC58),0),IFERROR(1/SUMIF(AC59,"&lt;&gt;.",AC59),0),IFERROR(1/SUMIF(AC60,"&lt;&gt;.",AC60),0),IFERROR(1/SUMIF(AC61,"&lt;&gt;.",AC61),0),IFERROR(1/SUMIF(AC62,"&lt;&gt;.",AC62),0)),".")</f>
        <v>3.1929446801709692E-2</v>
      </c>
      <c r="AD48" s="190">
        <f>AC48*(0.0000000000000028)*RadSpec!$AY23*RadSpec!$AF23</f>
        <v>3.2327926297795029E-11</v>
      </c>
      <c r="AE48" s="59">
        <f>IFERROR(1/SUM(IFERROR(1/SUMIF(AE49,"&lt;&gt;.",AE49),0),IFERROR(1/SUMIF(AE50,"&lt;&gt;.",AE50),0),IFERROR(1/SUMIF(AE51,"&lt;&gt;.",AE51),0),IFERROR(1/SUMIF(AE52,"&lt;&gt;.",AE52),0),IFERROR(1/SUMIF(AE53,"&lt;&gt;.",AE53),0),IFERROR(1/SUMIF(AE54,"&lt;&gt;.",AE54),0),IFERROR(1/SUMIF(AE55,"&lt;&gt;.",AE55),0),IFERROR(1/SUMIF(AE56,"&lt;&gt;.",AE56),0),IFERROR(1/SUMIF(AE57,"&lt;&gt;.",AE57),0),IFERROR(1/SUMIF(AE58,"&lt;&gt;.",AE58),0),IFERROR(1/SUMIF(AE59,"&lt;&gt;.",AE59),0),IFERROR(1/SUMIF(AE60,"&lt;&gt;.",AE60),0),IFERROR(1/SUMIF(AE61,"&lt;&gt;.",AE61),0),IFERROR(1/SUMIF(AE62,"&lt;&gt;.",AE62),0)),".")</f>
        <v>4.4339095373657376E-3</v>
      </c>
      <c r="AF48" s="190">
        <f>AE48*(0.0000000000028)*RadSpec!$AY23*RadSpec!$AF23</f>
        <v>4.4892447283920621E-9</v>
      </c>
    </row>
    <row r="49" spans="1:32" x14ac:dyDescent="0.25">
      <c r="A49" s="77" t="s">
        <v>1086</v>
      </c>
      <c r="B49" s="42">
        <v>1</v>
      </c>
      <c r="C49" s="238"/>
      <c r="D49" s="60">
        <f t="shared" ref="D49:I49" si="99">IFERROR(D23/$B49,".")</f>
        <v>13.858841188836344</v>
      </c>
      <c r="E49" s="60">
        <f t="shared" si="99"/>
        <v>5757.703100139518</v>
      </c>
      <c r="F49" s="60">
        <f t="shared" si="99"/>
        <v>94.74809099210016</v>
      </c>
      <c r="G49" s="60">
        <f t="shared" si="99"/>
        <v>5.4644177449908092E-2</v>
      </c>
      <c r="H49" s="60">
        <f t="shared" si="99"/>
        <v>1.2801355551802223E-3</v>
      </c>
      <c r="I49" s="60">
        <f t="shared" si="99"/>
        <v>5.4397802578142931E-2</v>
      </c>
      <c r="J49" s="189">
        <f>IFERROR(J23/$B49,0)</f>
        <v>5.5076687154318147E-8</v>
      </c>
      <c r="K49" s="60">
        <f>IFERROR(K23/$B49,".")</f>
        <v>94.74809099210016</v>
      </c>
      <c r="L49" s="60">
        <f>IFERROR(L23/$B49,".")</f>
        <v>379.88621388342045</v>
      </c>
      <c r="M49" s="60">
        <f>IFERROR(M23/$B49,".")</f>
        <v>137.668166398778</v>
      </c>
      <c r="N49" s="60">
        <f>IFERROR(N23/$B49,".")</f>
        <v>97.031177522030262</v>
      </c>
      <c r="O49" s="60">
        <f>IFERROR(O23/$B49,".")</f>
        <v>385.30557075051763</v>
      </c>
      <c r="P49" s="189">
        <f t="shared" ref="P49:T49" si="100">IFERROR(P23/$B49,0)</f>
        <v>9.5930547167681591E-5</v>
      </c>
      <c r="Q49" s="189">
        <f t="shared" si="100"/>
        <v>3.8462719383268554E-4</v>
      </c>
      <c r="R49" s="189">
        <f t="shared" si="100"/>
        <v>1.3938626511543476E-4</v>
      </c>
      <c r="S49" s="189">
        <f t="shared" si="100"/>
        <v>9.824212661750523E-5</v>
      </c>
      <c r="T49" s="189">
        <f t="shared" si="100"/>
        <v>3.9011418427348415E-7</v>
      </c>
      <c r="U49" s="60">
        <f>IFERROR(U23/$B49,".")</f>
        <v>4.2356468224495217E-3</v>
      </c>
      <c r="V49" s="60">
        <f>IFERROR(V23/$B49,".")</f>
        <v>28718.300791122339</v>
      </c>
      <c r="W49" s="60">
        <f>IFERROR(W23/$B49,".")</f>
        <v>4.2356461977363299E-3</v>
      </c>
      <c r="X49" s="189">
        <f t="shared" ref="X49" si="101">IFERROR(X23/$B49,0)</f>
        <v>4.2885070622840794E-12</v>
      </c>
      <c r="Y49" s="60">
        <f>IFERROR(Y23/$B49,".")</f>
        <v>0.81003491077117951</v>
      </c>
      <c r="Z49" s="60" t="str">
        <f>IFERROR(Z23,".")</f>
        <v>.</v>
      </c>
      <c r="AA49" s="60">
        <f>IFERROR(AA23/$B49,".")</f>
        <v>467107.10912228655</v>
      </c>
      <c r="AB49" s="60">
        <f>IFERROR(AB23/$B49,".")</f>
        <v>0.28575458353666683</v>
      </c>
      <c r="AC49" s="60">
        <f>IFERROR(AC23/$B49,".")</f>
        <v>0.21123681610679668</v>
      </c>
      <c r="AD49" s="189">
        <f t="shared" ref="AD49" si="102">IFERROR(AD23/$B49,0)</f>
        <v>2.1387305157180953E-10</v>
      </c>
      <c r="AE49" s="60">
        <f>IFERROR(AE23/$B49,".")</f>
        <v>3.1567360485682781E-2</v>
      </c>
      <c r="AF49" s="189">
        <f t="shared" ref="AF49" si="103">IFERROR(AF23/$B49,0)</f>
        <v>3.1961321144544105E-8</v>
      </c>
    </row>
    <row r="50" spans="1:32" x14ac:dyDescent="0.25">
      <c r="A50" s="77" t="s">
        <v>1073</v>
      </c>
      <c r="B50" s="42">
        <v>1</v>
      </c>
      <c r="C50" s="238"/>
      <c r="D50" s="60" t="str">
        <f t="shared" ref="D50:I50" si="104">IFERROR(D25/$B50,".")</f>
        <v>.</v>
      </c>
      <c r="E50" s="60">
        <f t="shared" si="104"/>
        <v>33500162.617758323</v>
      </c>
      <c r="F50" s="60">
        <f t="shared" si="104"/>
        <v>1412.9101288295633</v>
      </c>
      <c r="G50" s="60" t="str">
        <f t="shared" si="104"/>
        <v>.</v>
      </c>
      <c r="H50" s="60" t="str">
        <f t="shared" si="104"/>
        <v>.</v>
      </c>
      <c r="I50" s="60">
        <f t="shared" si="104"/>
        <v>1412.850540138563</v>
      </c>
      <c r="J50" s="189">
        <f>IFERROR(J25/$B50,0)</f>
        <v>9.1997379709605943E-9</v>
      </c>
      <c r="K50" s="60">
        <f>IFERROR(K25/$B50,".")</f>
        <v>1412.9101288295633</v>
      </c>
      <c r="L50" s="60">
        <f>IFERROR(L25/$B50,".")</f>
        <v>6825.0743511258579</v>
      </c>
      <c r="M50" s="60">
        <f>IFERROR(M25/$B50,".")</f>
        <v>2393.3395941540894</v>
      </c>
      <c r="N50" s="60">
        <f>IFERROR(N25/$B50,".")</f>
        <v>1548.7668719862525</v>
      </c>
      <c r="O50" s="60">
        <f>IFERROR(O25/$B50,".")</f>
        <v>6918.9279908963908</v>
      </c>
      <c r="P50" s="189">
        <f t="shared" ref="P50:T50" si="105">IFERROR(P25/$B50,0)</f>
        <v>9.200125981105802E-9</v>
      </c>
      <c r="Q50" s="189">
        <f t="shared" si="105"/>
        <v>4.4441286518900919E-8</v>
      </c>
      <c r="R50" s="189">
        <f t="shared" si="105"/>
        <v>1.5584165852096013E-8</v>
      </c>
      <c r="S50" s="189">
        <f t="shared" si="105"/>
        <v>1.0084753479289053E-8</v>
      </c>
      <c r="T50" s="189">
        <f t="shared" si="105"/>
        <v>4.5052411948647469E-11</v>
      </c>
      <c r="U50" s="60">
        <f>IFERROR(U25/$B50,".")</f>
        <v>24.644351206649045</v>
      </c>
      <c r="V50" s="60">
        <f>IFERROR(V25/$B50,".")</f>
        <v>516265.40728549397</v>
      </c>
      <c r="W50" s="60">
        <f>IFERROR(W25/$B50,".")</f>
        <v>24.643174844554771</v>
      </c>
      <c r="X50" s="189">
        <f t="shared" ref="X50" si="106">IFERROR(X25/$B50,0)</f>
        <v>1.6046336459639761E-13</v>
      </c>
      <c r="Y50" s="60" t="str">
        <f>IFERROR(Y25/$B50,".")</f>
        <v>.</v>
      </c>
      <c r="Z50" s="60">
        <f>IFERROR(Z25,".")</f>
        <v>49.28870241329809</v>
      </c>
      <c r="AA50" s="60">
        <f>IFERROR(AA25/$B50,".")</f>
        <v>8497374.0063735116</v>
      </c>
      <c r="AB50" s="60" t="str">
        <f>IFERROR(AB25/$B50,".")</f>
        <v>.</v>
      </c>
      <c r="AC50" s="60">
        <f>IFERROR(AC25/$B50,".")</f>
        <v>49.288416517668175</v>
      </c>
      <c r="AD50" s="189">
        <f t="shared" ref="AD50" si="107">IFERROR(AD25/$B50,0)</f>
        <v>3.2094018729089552E-13</v>
      </c>
      <c r="AE50" s="60" t="str">
        <f>IFERROR(AE25/$B50,".")</f>
        <v>.</v>
      </c>
      <c r="AF50" s="189">
        <f t="shared" ref="AF50" si="108">IFERROR(AF25/$B50,0)</f>
        <v>0</v>
      </c>
    </row>
    <row r="51" spans="1:32" x14ac:dyDescent="0.25">
      <c r="A51" s="77" t="s">
        <v>1059</v>
      </c>
      <c r="B51" s="42">
        <v>1</v>
      </c>
      <c r="C51" s="238"/>
      <c r="D51" s="60" t="str">
        <f t="shared" ref="D51:I51" si="109">IFERROR(D21/$B51,".")</f>
        <v>.</v>
      </c>
      <c r="E51" s="60">
        <f t="shared" si="109"/>
        <v>28796071.541511413</v>
      </c>
      <c r="F51" s="60">
        <f t="shared" si="109"/>
        <v>362284648.41783684</v>
      </c>
      <c r="G51" s="60" t="str">
        <f t="shared" si="109"/>
        <v>.</v>
      </c>
      <c r="H51" s="60" t="str">
        <f t="shared" si="109"/>
        <v>.</v>
      </c>
      <c r="I51" s="60">
        <f t="shared" si="109"/>
        <v>26675758.025902566</v>
      </c>
      <c r="J51" s="189">
        <f>IFERROR(J21/$B51,0)</f>
        <v>9.6036789130391647E-8</v>
      </c>
      <c r="K51" s="60">
        <f>IFERROR(K21/$B51,".")</f>
        <v>362284648.41783684</v>
      </c>
      <c r="L51" s="60">
        <f>IFERROR(L21/$B51,".")</f>
        <v>771416449.64832497</v>
      </c>
      <c r="M51" s="60">
        <f>IFERROR(M21/$B51,".")</f>
        <v>412370083.68297559</v>
      </c>
      <c r="N51" s="60">
        <f>IFERROR(N21/$B51,".")</f>
        <v>362284648.41783684</v>
      </c>
      <c r="O51" s="60">
        <f>IFERROR(O21/$B51,".")</f>
        <v>430048657.07827199</v>
      </c>
      <c r="P51" s="189">
        <f t="shared" ref="P51:T51" si="110">IFERROR(P21/$B51,0)</f>
        <v>1.3042798765642455E-6</v>
      </c>
      <c r="Q51" s="189">
        <f t="shared" si="110"/>
        <v>2.7772166337186947E-6</v>
      </c>
      <c r="R51" s="189">
        <f t="shared" si="110"/>
        <v>1.4845950668726661E-6</v>
      </c>
      <c r="S51" s="189">
        <f t="shared" si="110"/>
        <v>1.3042798765642455E-6</v>
      </c>
      <c r="T51" s="189">
        <f t="shared" si="110"/>
        <v>1.5482406218983808E-9</v>
      </c>
      <c r="U51" s="60">
        <f>IFERROR(U21/$B51,".")</f>
        <v>21.183792703878115</v>
      </c>
      <c r="V51" s="60">
        <f>IFERROR(V21/$B51,".")</f>
        <v>3408928071.0072703</v>
      </c>
      <c r="W51" s="60">
        <f>IFERROR(W21/$B51,".")</f>
        <v>21.183792572237593</v>
      </c>
      <c r="X51" s="189">
        <f t="shared" ref="X51" si="111">IFERROR(X21/$B51,0)</f>
        <v>7.6264877581603583E-17</v>
      </c>
      <c r="Y51" s="60" t="str">
        <f>IFERROR(Y21/$B51,".")</f>
        <v>.</v>
      </c>
      <c r="Z51" s="60">
        <f>IFERROR(Z21,".")</f>
        <v>42.936034024703922</v>
      </c>
      <c r="AA51" s="60">
        <f>IFERROR(AA21/$B51,".")</f>
        <v>111713728195.6797</v>
      </c>
      <c r="AB51" s="60" t="str">
        <f>IFERROR(AB21/$B51,".")</f>
        <v>.</v>
      </c>
      <c r="AC51" s="60">
        <f>IFERROR(AC21/$B51,".")</f>
        <v>42.936034008201894</v>
      </c>
      <c r="AD51" s="189">
        <f t="shared" ref="AD51" si="112">IFERROR(AD21/$B51,0)</f>
        <v>1.5457625759452037E-16</v>
      </c>
      <c r="AE51" s="60" t="str">
        <f>IFERROR(AE21/$B51,".")</f>
        <v>.</v>
      </c>
      <c r="AF51" s="189">
        <f t="shared" ref="AF51" si="113">IFERROR(AF21/$B51,0)</f>
        <v>0</v>
      </c>
    </row>
    <row r="52" spans="1:32" x14ac:dyDescent="0.25">
      <c r="A52" s="77" t="s">
        <v>1060</v>
      </c>
      <c r="B52" s="79">
        <v>0.99980000000000002</v>
      </c>
      <c r="C52" s="240"/>
      <c r="D52" s="60">
        <f t="shared" ref="D52:I52" si="114">IFERROR(D17/$B52,".")</f>
        <v>31554.326234809087</v>
      </c>
      <c r="E52" s="60">
        <f t="shared" si="114"/>
        <v>4709655.7754966654</v>
      </c>
      <c r="F52" s="60">
        <f t="shared" si="114"/>
        <v>2.3938183578256549</v>
      </c>
      <c r="G52" s="60">
        <f t="shared" si="114"/>
        <v>166.45641819642543</v>
      </c>
      <c r="H52" s="60">
        <f t="shared" si="114"/>
        <v>2.9146603516514396</v>
      </c>
      <c r="I52" s="60">
        <f t="shared" si="114"/>
        <v>2.3597031305992324</v>
      </c>
      <c r="J52" s="189">
        <f>IFERROR(J17/$B52,0)</f>
        <v>7.2095575161559305E-14</v>
      </c>
      <c r="K52" s="60">
        <f>IFERROR(K17/$B52,".")</f>
        <v>2.3938183578256549</v>
      </c>
      <c r="L52" s="60">
        <f>IFERROR(L17/$B52,".")</f>
        <v>10.740265032111104</v>
      </c>
      <c r="M52" s="60">
        <f>IFERROR(M17/$B52,".")</f>
        <v>3.808604621315995</v>
      </c>
      <c r="N52" s="60">
        <f>IFERROR(N17/$B52,".")</f>
        <v>2.5612714702967661</v>
      </c>
      <c r="O52" s="60">
        <f>IFERROR(O17/$B52,".")</f>
        <v>10.594057958149067</v>
      </c>
      <c r="P52" s="189">
        <f t="shared" ref="P52:T52" si="115">IFERROR(P17/$B52,0)</f>
        <v>7.3137891415990677E-14</v>
      </c>
      <c r="Q52" s="189">
        <f t="shared" si="115"/>
        <v>3.2814533948641154E-13</v>
      </c>
      <c r="R52" s="189">
        <f t="shared" si="115"/>
        <v>1.163635955625573E-13</v>
      </c>
      <c r="S52" s="189">
        <f t="shared" si="115"/>
        <v>7.8254055521401809E-14</v>
      </c>
      <c r="T52" s="189">
        <f t="shared" si="115"/>
        <v>3.2367830168267524E-16</v>
      </c>
      <c r="U52" s="60">
        <f>IFERROR(U17/$B52,".")</f>
        <v>3.464652166561021</v>
      </c>
      <c r="V52" s="60">
        <f>IFERROR(V17/$B52,".")</f>
        <v>804.79082717796246</v>
      </c>
      <c r="W52" s="60">
        <f>IFERROR(W17/$B52,".")</f>
        <v>3.449800656188347</v>
      </c>
      <c r="X52" s="189">
        <f t="shared" ref="X52" si="116">IFERROR(X17/$B52,0)</f>
        <v>1.0540112409710783E-16</v>
      </c>
      <c r="Y52" s="60">
        <f>IFERROR(Y17/$B52,".")</f>
        <v>1844.3176805177334</v>
      </c>
      <c r="Z52" s="60">
        <f>IFERROR(Z17,".")</f>
        <v>7.8352404262152877</v>
      </c>
      <c r="AA52" s="60">
        <f>IFERROR(AA17/$B52,".")</f>
        <v>13259.965795633982</v>
      </c>
      <c r="AB52" s="60">
        <f>IFERROR(AB17/$B52,".")</f>
        <v>682.85542578829097</v>
      </c>
      <c r="AC52" s="60">
        <f>IFERROR(AC17/$B52,".")</f>
        <v>7.7109898639251808</v>
      </c>
      <c r="AD52" s="189">
        <f t="shared" ref="AD52" si="117">IFERROR(AD17/$B52,0)</f>
        <v>2.3559245317586417E-16</v>
      </c>
      <c r="AE52" s="60">
        <f>IFERROR(AE17/$B52,".")</f>
        <v>71.873743090398492</v>
      </c>
      <c r="AF52" s="189">
        <f t="shared" ref="AF52" si="118">IFERROR(AF17/$B52,0)</f>
        <v>2.1959452356197646E-12</v>
      </c>
    </row>
    <row r="53" spans="1:32" x14ac:dyDescent="0.25">
      <c r="A53" s="77" t="s">
        <v>1074</v>
      </c>
      <c r="B53" s="42">
        <v>2.0000000000000001E-4</v>
      </c>
      <c r="C53" s="238"/>
      <c r="D53" s="60" t="str">
        <f t="shared" ref="D53:I53" si="119">IFERROR(D5/$B53,".")</f>
        <v>.</v>
      </c>
      <c r="E53" s="60" t="str">
        <f t="shared" si="119"/>
        <v>.</v>
      </c>
      <c r="F53" s="60">
        <f t="shared" si="119"/>
        <v>300282913.28592509</v>
      </c>
      <c r="G53" s="60" t="str">
        <f t="shared" si="119"/>
        <v>.</v>
      </c>
      <c r="H53" s="60" t="str">
        <f t="shared" si="119"/>
        <v>.</v>
      </c>
      <c r="I53" s="60">
        <f t="shared" si="119"/>
        <v>300282913.28592509</v>
      </c>
      <c r="J53" s="189">
        <f>IFERROR(J5/$B53,0)</f>
        <v>8.7182596208965352E-9</v>
      </c>
      <c r="K53" s="60">
        <f>IFERROR(K5/$B53,".")</f>
        <v>300282913.28592509</v>
      </c>
      <c r="L53" s="60">
        <f>IFERROR(L5/$B53,".")</f>
        <v>529492947.68760759</v>
      </c>
      <c r="M53" s="60">
        <f>IFERROR(M5/$B53,".")</f>
        <v>377570920.50297761</v>
      </c>
      <c r="N53" s="60">
        <f>IFERROR(N5/$B53,".")</f>
        <v>312882196.36085904</v>
      </c>
      <c r="O53" s="60">
        <f>IFERROR(O5/$B53,".")</f>
        <v>114392942.78282037</v>
      </c>
      <c r="P53" s="189">
        <f t="shared" ref="P53:T53" si="120">IFERROR(P5/$B53,0)</f>
        <v>8.7182596208965352E-9</v>
      </c>
      <c r="Q53" s="189">
        <f t="shared" si="120"/>
        <v>1.5373025840397439E-8</v>
      </c>
      <c r="R53" s="189">
        <f t="shared" si="120"/>
        <v>1.0962199860874127E-8</v>
      </c>
      <c r="S53" s="189">
        <f t="shared" si="120"/>
        <v>9.0840607238712165E-9</v>
      </c>
      <c r="T53" s="189">
        <f t="shared" si="120"/>
        <v>3.3212258502013692E-12</v>
      </c>
      <c r="U53" s="60" t="str">
        <f>IFERROR(U5/$B53,".")</f>
        <v>.</v>
      </c>
      <c r="V53" s="60">
        <f>IFERROR(V5/$B53,".")</f>
        <v>45568324214.484932</v>
      </c>
      <c r="W53" s="60">
        <f>IFERROR(W5/$B53,".")</f>
        <v>45568324214.484932</v>
      </c>
      <c r="X53" s="189">
        <f t="shared" ref="X53" si="121">IFERROR(X5/$B53,0)</f>
        <v>1.3230072821785396E-9</v>
      </c>
      <c r="Y53" s="60" t="str">
        <f>IFERROR(Y5/$B53,".")</f>
        <v>.</v>
      </c>
      <c r="Z53" s="60" t="str">
        <f>IFERROR(Z5,".")</f>
        <v>.</v>
      </c>
      <c r="AA53" s="60">
        <f>IFERROR(AA5/$B53,".")</f>
        <v>1278005050558.5759</v>
      </c>
      <c r="AB53" s="60" t="str">
        <f>IFERROR(AB5/$B53,".")</f>
        <v>.</v>
      </c>
      <c r="AC53" s="60">
        <f>IFERROR(AC5/$B53,".")</f>
        <v>1278005050558.5759</v>
      </c>
      <c r="AD53" s="189">
        <f t="shared" ref="AD53" si="122">IFERROR(AD5/$B53,0)</f>
        <v>3.7104941155867348E-8</v>
      </c>
      <c r="AE53" s="60" t="str">
        <f>IFERROR(AE5/$B53,".")</f>
        <v>.</v>
      </c>
      <c r="AF53" s="189">
        <f t="shared" ref="AF53" si="123">IFERROR(AF5/$B53,0)</f>
        <v>0</v>
      </c>
    </row>
    <row r="54" spans="1:32" x14ac:dyDescent="0.25">
      <c r="A54" s="77" t="s">
        <v>1075</v>
      </c>
      <c r="B54" s="42">
        <v>0.99999979999999999</v>
      </c>
      <c r="C54" s="238"/>
      <c r="D54" s="60">
        <f t="shared" ref="D54:I54" si="124">IFERROR(D9/$B54,".")</f>
        <v>42134.606135262584</v>
      </c>
      <c r="E54" s="60">
        <f t="shared" si="124"/>
        <v>5995248.8806431359</v>
      </c>
      <c r="F54" s="60">
        <f t="shared" si="124"/>
        <v>0.32939015726161069</v>
      </c>
      <c r="G54" s="60">
        <f t="shared" si="124"/>
        <v>38.603568477649695</v>
      </c>
      <c r="H54" s="60">
        <f t="shared" si="124"/>
        <v>3.8919565266909064</v>
      </c>
      <c r="I54" s="60">
        <f t="shared" si="124"/>
        <v>0.32660082052024619</v>
      </c>
      <c r="J54" s="189">
        <f>IFERROR(J9/$B54,0)</f>
        <v>7.4094640638300147E-15</v>
      </c>
      <c r="K54" s="60">
        <f>IFERROR(K9/$B54,".")</f>
        <v>0.32939015726161069</v>
      </c>
      <c r="L54" s="60">
        <f>IFERROR(L9/$B54,".")</f>
        <v>1.8471535195060504</v>
      </c>
      <c r="M54" s="60">
        <f>IFERROR(M9/$B54,".")</f>
        <v>0.63917375754336359</v>
      </c>
      <c r="N54" s="60">
        <f>IFERROR(N9/$B54,".")</f>
        <v>0.39478379142384223</v>
      </c>
      <c r="O54" s="60">
        <f>IFERROR(O9/$B54,".")</f>
        <v>1.8125645967477486</v>
      </c>
      <c r="P54" s="189">
        <f t="shared" ref="P54:T54" si="125">IFERROR(P9/$B54,0)</f>
        <v>7.4727446468798058E-15</v>
      </c>
      <c r="Q54" s="189">
        <f t="shared" si="125"/>
        <v>4.1905643719314496E-14</v>
      </c>
      <c r="R54" s="189">
        <f t="shared" si="125"/>
        <v>1.4500683064778668E-14</v>
      </c>
      <c r="S54" s="189">
        <f t="shared" si="125"/>
        <v>8.9563042458927058E-15</v>
      </c>
      <c r="T54" s="189">
        <f t="shared" si="125"/>
        <v>4.112093846420831E-17</v>
      </c>
      <c r="U54" s="60">
        <f>IFERROR(U9/$B54,".")</f>
        <v>4.4103970679687921</v>
      </c>
      <c r="V54" s="60">
        <f>IFERROR(V9/$B54,".")</f>
        <v>125.61734644610007</v>
      </c>
      <c r="W54" s="60">
        <f>IFERROR(W9/$B54,".")</f>
        <v>4.2608012834734383</v>
      </c>
      <c r="X54" s="189">
        <f t="shared" ref="X54" si="126">IFERROR(X9/$B54,0)</f>
        <v>9.6663119041552385E-17</v>
      </c>
      <c r="Y54" s="60">
        <f>IFERROR(Y9/$B54,".")</f>
        <v>2462.7240803256504</v>
      </c>
      <c r="Z54" s="60">
        <f>IFERROR(Z9,".")</f>
        <v>10.832824574180092</v>
      </c>
      <c r="AA54" s="60">
        <f>IFERROR(AA9/$B54,".")</f>
        <v>2074.6839385708399</v>
      </c>
      <c r="AB54" s="60">
        <f>IFERROR(AB9/$B54,".")</f>
        <v>537.09404136270973</v>
      </c>
      <c r="AC54" s="60">
        <f>IFERROR(AC9/$B54,".")</f>
        <v>10.519457554609009</v>
      </c>
      <c r="AD54" s="189">
        <f t="shared" ref="AD54" si="127">IFERROR(AD9/$B54,0)</f>
        <v>2.3865078660152613E-16</v>
      </c>
      <c r="AE54" s="60">
        <f>IFERROR(AE9/$B54,".")</f>
        <v>95.973269530320337</v>
      </c>
      <c r="AF54" s="189">
        <f t="shared" ref="AF54" si="128">IFERROR(AF9/$B54,0)</f>
        <v>2.1773077316231011E-12</v>
      </c>
    </row>
    <row r="55" spans="1:32" x14ac:dyDescent="0.25">
      <c r="A55" s="77" t="s">
        <v>1076</v>
      </c>
      <c r="B55" s="42">
        <v>1.9999999999999999E-7</v>
      </c>
      <c r="C55" s="238"/>
      <c r="D55" s="60" t="str">
        <f t="shared" ref="D55:I55" si="129">IFERROR(D24/$B55,".")</f>
        <v>.</v>
      </c>
      <c r="E55" s="60" t="str">
        <f t="shared" si="129"/>
        <v>.</v>
      </c>
      <c r="F55" s="60">
        <f t="shared" si="129"/>
        <v>3532275322.0739083</v>
      </c>
      <c r="G55" s="60" t="str">
        <f t="shared" si="129"/>
        <v>.</v>
      </c>
      <c r="H55" s="60" t="str">
        <f t="shared" si="129"/>
        <v>.</v>
      </c>
      <c r="I55" s="60">
        <f t="shared" si="129"/>
        <v>3532275322.0739083</v>
      </c>
      <c r="J55" s="189">
        <f>IFERROR(J24/$B55,0)</f>
        <v>2.3929328380513364E-9</v>
      </c>
      <c r="K55" s="60">
        <f>IFERROR(K24/$B55,".")</f>
        <v>3532275322.0739083</v>
      </c>
      <c r="L55" s="60">
        <f>IFERROR(L24/$B55,".")</f>
        <v>17545942776.314846</v>
      </c>
      <c r="M55" s="60">
        <f>IFERROR(M24/$B55,".")</f>
        <v>6147776896.43398</v>
      </c>
      <c r="N55" s="60">
        <f>IFERROR(N24/$B55,".")</f>
        <v>3947837124.6708398</v>
      </c>
      <c r="O55" s="60">
        <f>IFERROR(O24/$B55,".")</f>
        <v>17775146495.949291</v>
      </c>
      <c r="P55" s="189">
        <f t="shared" ref="P55:T55" si="130">IFERROR(P24/$B55,0)</f>
        <v>2.3929328380513364E-9</v>
      </c>
      <c r="Q55" s="189">
        <f t="shared" si="130"/>
        <v>1.1886463770712528E-8</v>
      </c>
      <c r="R55" s="189">
        <f t="shared" si="130"/>
        <v>4.1647991379824802E-9</v>
      </c>
      <c r="S55" s="189">
        <f t="shared" si="130"/>
        <v>2.6744543484103182E-9</v>
      </c>
      <c r="T55" s="189">
        <f t="shared" si="130"/>
        <v>1.2041737371241139E-11</v>
      </c>
      <c r="U55" s="60" t="str">
        <f>IFERROR(U24/$B55,".")</f>
        <v>.</v>
      </c>
      <c r="V55" s="60">
        <f>IFERROR(V24/$B55,".")</f>
        <v>1313439933241.0366</v>
      </c>
      <c r="W55" s="60">
        <f>IFERROR(W24/$B55,".")</f>
        <v>1313439933241.0366</v>
      </c>
      <c r="X55" s="189">
        <f t="shared" ref="X55" si="131">IFERROR(X24/$B55,0)</f>
        <v>8.8978725056321336E-10</v>
      </c>
      <c r="Y55" s="60" t="str">
        <f>IFERROR(Y24/$B55,".")</f>
        <v>.</v>
      </c>
      <c r="Z55" s="60" t="str">
        <f>IFERROR(Z24,".")</f>
        <v>.</v>
      </c>
      <c r="AA55" s="60">
        <f>IFERROR(AA24/$B55,".")</f>
        <v>21617135496592.965</v>
      </c>
      <c r="AB55" s="60" t="str">
        <f>IFERROR(AB24/$B55,".")</f>
        <v>.</v>
      </c>
      <c r="AC55" s="60">
        <f>IFERROR(AC24/$B55,".")</f>
        <v>21617135496592.965</v>
      </c>
      <c r="AD55" s="189">
        <f t="shared" ref="AD55" si="132">IFERROR(AD24/$B55,0)</f>
        <v>1.464448512015512E-8</v>
      </c>
      <c r="AE55" s="60" t="str">
        <f>IFERROR(AE24/$B55,".")</f>
        <v>.</v>
      </c>
      <c r="AF55" s="189">
        <f t="shared" ref="AF55" si="133">IFERROR(AF24/$B55,0)</f>
        <v>0</v>
      </c>
    </row>
    <row r="56" spans="1:32" x14ac:dyDescent="0.25">
      <c r="A56" s="77" t="s">
        <v>1077</v>
      </c>
      <c r="B56" s="42">
        <v>0.99979000004200003</v>
      </c>
      <c r="C56" s="238"/>
      <c r="D56" s="60" t="str">
        <f t="shared" ref="D56:I56" si="134">IFERROR(D20/$B56,".")</f>
        <v>.</v>
      </c>
      <c r="E56" s="60" t="str">
        <f t="shared" si="134"/>
        <v>.</v>
      </c>
      <c r="F56" s="60">
        <f t="shared" si="134"/>
        <v>6268.699877550308</v>
      </c>
      <c r="G56" s="60" t="str">
        <f t="shared" si="134"/>
        <v>.</v>
      </c>
      <c r="H56" s="60" t="str">
        <f t="shared" si="134"/>
        <v>.</v>
      </c>
      <c r="I56" s="60">
        <f t="shared" si="134"/>
        <v>6268.699877550308</v>
      </c>
      <c r="J56" s="189">
        <f>IFERROR(J20/$B56,0)</f>
        <v>1.9569522958428593E-17</v>
      </c>
      <c r="K56" s="60">
        <f>IFERROR(K20/$B56,".")</f>
        <v>6268.699877550308</v>
      </c>
      <c r="L56" s="60">
        <f>IFERROR(L20/$B56,".")</f>
        <v>32221.11737060859</v>
      </c>
      <c r="M56" s="60">
        <f>IFERROR(M20/$B56,".")</f>
        <v>11266.124954758248</v>
      </c>
      <c r="N56" s="60">
        <f>IFERROR(N20/$B56,".")</f>
        <v>7128.5657899576518</v>
      </c>
      <c r="O56" s="60">
        <f>IFERROR(O20/$B56,".")</f>
        <v>32711.332054513328</v>
      </c>
      <c r="P56" s="189">
        <f t="shared" ref="P56:T56" si="135">IFERROR(P20/$B56,0)</f>
        <v>1.9569522958428593E-17</v>
      </c>
      <c r="Q56" s="189">
        <f t="shared" si="135"/>
        <v>1.0058734800632298E-16</v>
      </c>
      <c r="R56" s="189">
        <f t="shared" si="135"/>
        <v>3.5170401400812223E-17</v>
      </c>
      <c r="S56" s="189">
        <f t="shared" si="135"/>
        <v>2.2253838054496232E-17</v>
      </c>
      <c r="T56" s="189">
        <f t="shared" si="135"/>
        <v>1.0211769204872772E-19</v>
      </c>
      <c r="U56" s="60" t="str">
        <f>IFERROR(U20/$B56,".")</f>
        <v>.</v>
      </c>
      <c r="V56" s="60">
        <f>IFERROR(V20/$B56,".")</f>
        <v>2350859.8768014573</v>
      </c>
      <c r="W56" s="60">
        <f>IFERROR(W20/$B56,".")</f>
        <v>2350859.8768014573</v>
      </c>
      <c r="X56" s="189">
        <f t="shared" ref="X56" si="136">IFERROR(X20/$B56,0)</f>
        <v>7.3388752420370644E-18</v>
      </c>
      <c r="Y56" s="60" t="str">
        <f>IFERROR(Y20/$B56,".")</f>
        <v>.</v>
      </c>
      <c r="Z56" s="60" t="str">
        <f>IFERROR(Z20,".")</f>
        <v>.</v>
      </c>
      <c r="AA56" s="60">
        <f>IFERROR(AA20/$B56,".")</f>
        <v>38829692.829202786</v>
      </c>
      <c r="AB56" s="60" t="str">
        <f>IFERROR(AB20/$B56,".")</f>
        <v>.</v>
      </c>
      <c r="AC56" s="60">
        <f>IFERROR(AC20/$B56,".")</f>
        <v>38829692.829202786</v>
      </c>
      <c r="AD56" s="189">
        <f t="shared" ref="AD56" si="137">IFERROR(AD20/$B56,0)</f>
        <v>1.2121788889768325E-16</v>
      </c>
      <c r="AE56" s="60" t="str">
        <f>IFERROR(AE20/$B56,".")</f>
        <v>.</v>
      </c>
      <c r="AF56" s="189">
        <f t="shared" ref="AF56" si="138">IFERROR(AF20/$B56,0)</f>
        <v>0</v>
      </c>
    </row>
    <row r="57" spans="1:32" x14ac:dyDescent="0.25">
      <c r="A57" s="77" t="s">
        <v>1078</v>
      </c>
      <c r="B57" s="42">
        <v>2.0999995799999999E-4</v>
      </c>
      <c r="C57" s="238"/>
      <c r="D57" s="60" t="str">
        <f t="shared" ref="D57:I57" si="139">IFERROR(D29/$B57,".")</f>
        <v>.</v>
      </c>
      <c r="E57" s="60" t="str">
        <f t="shared" si="139"/>
        <v>.</v>
      </c>
      <c r="F57" s="60">
        <f t="shared" si="139"/>
        <v>854.12974281963955</v>
      </c>
      <c r="G57" s="60" t="str">
        <f t="shared" si="139"/>
        <v>.</v>
      </c>
      <c r="H57" s="60" t="str">
        <f t="shared" si="139"/>
        <v>.</v>
      </c>
      <c r="I57" s="60">
        <f t="shared" si="139"/>
        <v>854.12974281963955</v>
      </c>
      <c r="J57" s="189">
        <f>IFERROR(J29/$B57,0)</f>
        <v>1.2421932561098424E-12</v>
      </c>
      <c r="K57" s="60">
        <f>IFERROR(K29/$B57,".")</f>
        <v>854.12974281963955</v>
      </c>
      <c r="L57" s="60">
        <f>IFERROR(L29/$B57,".")</f>
        <v>4676.8811527563194</v>
      </c>
      <c r="M57" s="60">
        <f>IFERROR(M29/$B57,".")</f>
        <v>1628.4681720850028</v>
      </c>
      <c r="N57" s="60">
        <f>IFERROR(N29/$B57,".")</f>
        <v>1013.2212801215805</v>
      </c>
      <c r="O57" s="60">
        <f>IFERROR(O29/$B57,".")</f>
        <v>4642.5716583365856</v>
      </c>
      <c r="P57" s="189">
        <f t="shared" ref="P57:T57" si="140">IFERROR(P29/$B57,0)</f>
        <v>1.2421932561098424E-12</v>
      </c>
      <c r="Q57" s="189">
        <f t="shared" si="140"/>
        <v>6.8017655121136495E-12</v>
      </c>
      <c r="R57" s="189">
        <f t="shared" si="140"/>
        <v>2.3683429808633511E-12</v>
      </c>
      <c r="S57" s="189">
        <f t="shared" si="140"/>
        <v>1.4735661083046744E-12</v>
      </c>
      <c r="T57" s="189">
        <f t="shared" si="140"/>
        <v>6.7518679140648576E-15</v>
      </c>
      <c r="U57" s="60" t="str">
        <f>IFERROR(U29/$B57,".")</f>
        <v>.</v>
      </c>
      <c r="V57" s="60">
        <f>IFERROR(V29/$B57,".")</f>
        <v>322200.33666369825</v>
      </c>
      <c r="W57" s="60">
        <f>IFERROR(W29/$B57,".")</f>
        <v>322200.33666369825</v>
      </c>
      <c r="X57" s="189">
        <f t="shared" ref="X57" si="141">IFERROR(X29/$B57,0)</f>
        <v>4.6858816085565287E-13</v>
      </c>
      <c r="Y57" s="60" t="str">
        <f>IFERROR(Y29/$B57,".")</f>
        <v>.</v>
      </c>
      <c r="Z57" s="60" t="str">
        <f>IFERROR(Z29,".")</f>
        <v>.</v>
      </c>
      <c r="AA57" s="60">
        <f>IFERROR(AA29/$B57,".")</f>
        <v>5338368.0290711662</v>
      </c>
      <c r="AB57" s="60" t="str">
        <f>IFERROR(AB29/$B57,".")</f>
        <v>.</v>
      </c>
      <c r="AC57" s="60">
        <f>IFERROR(AC29/$B57,".")</f>
        <v>5338368.0290711662</v>
      </c>
      <c r="AD57" s="189">
        <f t="shared" ref="AD57" si="142">IFERROR(AD29/$B57,0)</f>
        <v>7.7637909463888947E-12</v>
      </c>
      <c r="AE57" s="60" t="str">
        <f>IFERROR(AE29/$B57,".")</f>
        <v>.</v>
      </c>
      <c r="AF57" s="189">
        <f t="shared" ref="AF57" si="143">IFERROR(AF29/$B57,0)</f>
        <v>0</v>
      </c>
    </row>
    <row r="58" spans="1:32" x14ac:dyDescent="0.25">
      <c r="A58" s="77" t="s">
        <v>1079</v>
      </c>
      <c r="B58" s="42">
        <v>1</v>
      </c>
      <c r="C58" s="238"/>
      <c r="D58" s="60">
        <f t="shared" ref="D58:I58" si="144">IFERROR(D16/$B58,".")</f>
        <v>6.1549559397479054</v>
      </c>
      <c r="E58" s="60">
        <f t="shared" si="144"/>
        <v>9834.8825756943661</v>
      </c>
      <c r="F58" s="60">
        <f t="shared" si="144"/>
        <v>1438.1406668443772</v>
      </c>
      <c r="G58" s="60">
        <f t="shared" si="144"/>
        <v>3.2468825740827906E-2</v>
      </c>
      <c r="H58" s="60">
        <f t="shared" si="144"/>
        <v>5.6853079068298115E-4</v>
      </c>
      <c r="I58" s="60">
        <f t="shared" si="144"/>
        <v>3.2297612505836383E-2</v>
      </c>
      <c r="J58" s="189">
        <f>IFERROR(J16/$B58,0)</f>
        <v>4.2160011460618579E-10</v>
      </c>
      <c r="K58" s="60">
        <f>IFERROR(K16/$B58,".")</f>
        <v>1438.1406668443772</v>
      </c>
      <c r="L58" s="60">
        <f>IFERROR(L16/$B58,".")</f>
        <v>2262.2437455978966</v>
      </c>
      <c r="M58" s="60">
        <f>IFERROR(M16/$B58,".")</f>
        <v>1464.2886789688207</v>
      </c>
      <c r="N58" s="60">
        <f>IFERROR(N16/$B58,".")</f>
        <v>1438.1406668443772</v>
      </c>
      <c r="O58" s="60">
        <f>IFERROR(O16/$B58,".")</f>
        <v>1186.1019412965243</v>
      </c>
      <c r="P58" s="189">
        <f t="shared" ref="P58:T58" si="145">IFERROR(P16/$B58,0)</f>
        <v>1.8772913008719764E-5</v>
      </c>
      <c r="Q58" s="189">
        <f t="shared" si="145"/>
        <v>2.9530424957536706E-5</v>
      </c>
      <c r="R58" s="189">
        <f t="shared" si="145"/>
        <v>1.9114238699787397E-5</v>
      </c>
      <c r="S58" s="189">
        <f t="shared" si="145"/>
        <v>1.8772913008719764E-5</v>
      </c>
      <c r="T58" s="189">
        <f t="shared" si="145"/>
        <v>1.5482900300908311E-8</v>
      </c>
      <c r="U58" s="60">
        <f>IFERROR(U16/$B58,".")</f>
        <v>7.2350186187777887E-3</v>
      </c>
      <c r="V58" s="60">
        <f>IFERROR(V16/$B58,".")</f>
        <v>189626.14747428973</v>
      </c>
      <c r="W58" s="60">
        <f>IFERROR(W16/$B58,".")</f>
        <v>7.2350183427320382E-3</v>
      </c>
      <c r="X58" s="189">
        <f t="shared" ref="X58" si="146">IFERROR(X16/$B58,0)</f>
        <v>9.4443035438686927E-14</v>
      </c>
      <c r="Y58" s="60">
        <f>IFERROR(Y16/$B58,".")</f>
        <v>0.35975079860720038</v>
      </c>
      <c r="Z58" s="60" t="str">
        <f>IFERROR(Z16,".")</f>
        <v>.</v>
      </c>
      <c r="AA58" s="60">
        <f>IFERROR(AA16/$B58,".")</f>
        <v>2931204.2444004035</v>
      </c>
      <c r="AB58" s="60">
        <f>IFERROR(AB16/$B58,".")</f>
        <v>0.13319710988816033</v>
      </c>
      <c r="AC58" s="60">
        <f>IFERROR(AC16/$B58,".")</f>
        <v>9.720654908875985E-2</v>
      </c>
      <c r="AD58" s="189">
        <f t="shared" ref="AD58" si="147">IFERROR(AD16/$B58,0)</f>
        <v>1.2688954091850357E-12</v>
      </c>
      <c r="AE58" s="60">
        <f>IFERROR(AE16/$B58,".")</f>
        <v>1.4019621862759119E-2</v>
      </c>
      <c r="AF58" s="189">
        <f t="shared" ref="AF58" si="148">IFERROR(AF16/$B58,0)</f>
        <v>1.8300653594771243E-10</v>
      </c>
    </row>
    <row r="59" spans="1:32" x14ac:dyDescent="0.25">
      <c r="A59" s="77" t="s">
        <v>1080</v>
      </c>
      <c r="B59" s="42">
        <v>1</v>
      </c>
      <c r="C59" s="238"/>
      <c r="D59" s="60">
        <f t="shared" ref="D59:I59" si="149">IFERROR(D7/$B59,".")</f>
        <v>3487.8083658571463</v>
      </c>
      <c r="E59" s="60">
        <f t="shared" si="149"/>
        <v>406194.12281806185</v>
      </c>
      <c r="F59" s="60">
        <f t="shared" si="149"/>
        <v>549.73295114870382</v>
      </c>
      <c r="G59" s="60">
        <f t="shared" si="149"/>
        <v>3.195516973768592</v>
      </c>
      <c r="H59" s="60">
        <f t="shared" si="149"/>
        <v>0.32216744805368919</v>
      </c>
      <c r="I59" s="60">
        <f t="shared" si="149"/>
        <v>3.1741331041437917</v>
      </c>
      <c r="J59" s="189">
        <f>IFERROR(J7/$B59,0)</f>
        <v>2.5633464108577655E-11</v>
      </c>
      <c r="K59" s="60">
        <f>IFERROR(K7/$B59,".")</f>
        <v>549.73295114870382</v>
      </c>
      <c r="L59" s="60">
        <f>IFERROR(L7/$B59,".")</f>
        <v>958.76044456291811</v>
      </c>
      <c r="M59" s="60">
        <f>IFERROR(M7/$B59,".")</f>
        <v>662.84672710522727</v>
      </c>
      <c r="N59" s="60">
        <f>IFERROR(N7/$B59,".")</f>
        <v>561.22562608561054</v>
      </c>
      <c r="O59" s="60">
        <f>IFERROR(O7/$B59,".")</f>
        <v>73.328809476166882</v>
      </c>
      <c r="P59" s="189">
        <f t="shared" ref="P59:T59" si="150">IFERROR(P7/$B59,0)</f>
        <v>4.4394987261802029E-9</v>
      </c>
      <c r="Q59" s="189">
        <f t="shared" si="150"/>
        <v>7.7426971831595222E-9</v>
      </c>
      <c r="R59" s="189">
        <f t="shared" si="150"/>
        <v>5.3529758303325077E-9</v>
      </c>
      <c r="S59" s="189">
        <f t="shared" si="150"/>
        <v>4.532310546239719E-9</v>
      </c>
      <c r="T59" s="189">
        <f t="shared" si="150"/>
        <v>5.9218417884812872E-13</v>
      </c>
      <c r="U59" s="60">
        <f>IFERROR(U7/$B59,".")</f>
        <v>0.29881617993993198</v>
      </c>
      <c r="V59" s="60">
        <f>IFERROR(V7/$B59,".")</f>
        <v>34617.796690073825</v>
      </c>
      <c r="W59" s="60">
        <f>IFERROR(W7/$B59,".")</f>
        <v>0.29881360062099233</v>
      </c>
      <c r="X59" s="189">
        <f t="shared" ref="X59" si="151">IFERROR(X7/$B59,0)</f>
        <v>2.4131400465448401E-15</v>
      </c>
      <c r="Y59" s="60">
        <f>IFERROR(Y7/$B59,".")</f>
        <v>203.85878587741354</v>
      </c>
      <c r="Z59" s="60" t="str">
        <f>IFERROR(Z7,".")</f>
        <v>.</v>
      </c>
      <c r="AA59" s="60">
        <f>IFERROR(AA7/$B59,".")</f>
        <v>1072151.8880524966</v>
      </c>
      <c r="AB59" s="60">
        <f>IFERROR(AB7/$B59,".")</f>
        <v>44.459442309800728</v>
      </c>
      <c r="AC59" s="60">
        <f>IFERROR(AC7/$B59,".")</f>
        <v>36.498083363721484</v>
      </c>
      <c r="AD59" s="189">
        <f t="shared" ref="AD59" si="152">IFERROR(AD7/$B59,0)</f>
        <v>2.9474892174951706E-13</v>
      </c>
      <c r="AE59" s="60">
        <f>IFERROR(AE7/$B59,".")</f>
        <v>7.9444523888968339</v>
      </c>
      <c r="AF59" s="189">
        <f t="shared" ref="AF59" si="153">IFERROR(AF7/$B59,0)</f>
        <v>6.4157307992924593E-11</v>
      </c>
    </row>
    <row r="60" spans="1:32" x14ac:dyDescent="0.25">
      <c r="A60" s="77" t="s">
        <v>1081</v>
      </c>
      <c r="B60" s="80">
        <v>1.9000000000000001E-8</v>
      </c>
      <c r="C60" s="241"/>
      <c r="D60" s="60" t="str">
        <f t="shared" ref="D60:I60" si="154">IFERROR(D12/$B60,".")</f>
        <v>.</v>
      </c>
      <c r="E60" s="60" t="str">
        <f t="shared" si="154"/>
        <v>.</v>
      </c>
      <c r="F60" s="60">
        <f t="shared" si="154"/>
        <v>258459169.90784696</v>
      </c>
      <c r="G60" s="60" t="str">
        <f t="shared" si="154"/>
        <v>.</v>
      </c>
      <c r="H60" s="60" t="str">
        <f t="shared" si="154"/>
        <v>.</v>
      </c>
      <c r="I60" s="60">
        <f t="shared" si="154"/>
        <v>258459169.90784696</v>
      </c>
      <c r="J60" s="189">
        <f>IFERROR(J12/$B60,0)</f>
        <v>2.3116359988645305E-6</v>
      </c>
      <c r="K60" s="60">
        <f>IFERROR(K12/$B60,".")</f>
        <v>258459169.90784696</v>
      </c>
      <c r="L60" s="60">
        <f>IFERROR(L12/$B60,".")</f>
        <v>1142514928.9726927</v>
      </c>
      <c r="M60" s="60">
        <f>IFERROR(M12/$B60,".")</f>
        <v>409539167.776685</v>
      </c>
      <c r="N60" s="60">
        <f>IFERROR(N12/$B60,".")</f>
        <v>276138787.39340001</v>
      </c>
      <c r="O60" s="60">
        <f>IFERROR(O12/$B60,".")</f>
        <v>909163268.31983674</v>
      </c>
      <c r="P60" s="189">
        <f t="shared" ref="P60:T60" si="155">IFERROR(P12/$B60,0)</f>
        <v>2.3116359988645305E-6</v>
      </c>
      <c r="Q60" s="189">
        <f t="shared" si="155"/>
        <v>1.0218552663444286E-5</v>
      </c>
      <c r="R60" s="189">
        <f t="shared" si="155"/>
        <v>3.6628821624520098E-6</v>
      </c>
      <c r="S60" s="189">
        <f t="shared" si="155"/>
        <v>2.4697609368976095E-6</v>
      </c>
      <c r="T60" s="189">
        <f t="shared" si="155"/>
        <v>8.13147601086395E-9</v>
      </c>
      <c r="U60" s="60" t="str">
        <f>IFERROR(U12/$B60,".")</f>
        <v>.</v>
      </c>
      <c r="V60" s="60">
        <f>IFERROR(V12/$B60,".")</f>
        <v>84545546630.434006</v>
      </c>
      <c r="W60" s="60">
        <f>IFERROR(W12/$B60,".")</f>
        <v>84545546630.434006</v>
      </c>
      <c r="X60" s="189">
        <f t="shared" ref="X60" si="156">IFERROR(X12/$B60,0)</f>
        <v>7.5616790537659889E-7</v>
      </c>
      <c r="Y60" s="60" t="str">
        <f>IFERROR(Y12/$B60,".")</f>
        <v>.</v>
      </c>
      <c r="Z60" s="60" t="str">
        <f>IFERROR(Z12,".")</f>
        <v>.</v>
      </c>
      <c r="AA60" s="60">
        <f>IFERROR(AA12/$B60,".")</f>
        <v>1413097136840.5305</v>
      </c>
      <c r="AB60" s="60" t="str">
        <f>IFERROR(AB12/$B60,".")</f>
        <v>.</v>
      </c>
      <c r="AC60" s="60">
        <f>IFERROR(AC12/$B60,".")</f>
        <v>1413097136840.5305</v>
      </c>
      <c r="AD60" s="189">
        <f t="shared" ref="AD60" si="157">IFERROR(AD12/$B60,0)</f>
        <v>1.2638616043600447E-5</v>
      </c>
      <c r="AE60" s="60" t="str">
        <f>IFERROR(AE12/$B60,".")</f>
        <v>.</v>
      </c>
      <c r="AF60" s="189">
        <f t="shared" ref="AF60" si="158">IFERROR(AF12/$B60,0)</f>
        <v>0</v>
      </c>
    </row>
    <row r="61" spans="1:32" x14ac:dyDescent="0.25">
      <c r="A61" s="77" t="s">
        <v>1082</v>
      </c>
      <c r="B61" s="42">
        <v>1</v>
      </c>
      <c r="C61" s="238"/>
      <c r="D61" s="60">
        <f t="shared" ref="D61:I61" si="159">IFERROR(D18/$B61,".")</f>
        <v>3.5874600334530649</v>
      </c>
      <c r="E61" s="60">
        <f t="shared" si="159"/>
        <v>12671.867934067739</v>
      </c>
      <c r="F61" s="60">
        <f t="shared" si="159"/>
        <v>53335.018108135846</v>
      </c>
      <c r="G61" s="60">
        <f t="shared" si="159"/>
        <v>0.14838416644195954</v>
      </c>
      <c r="H61" s="60">
        <f t="shared" si="159"/>
        <v>3.3137223228379476E-4</v>
      </c>
      <c r="I61" s="60">
        <f t="shared" si="159"/>
        <v>0.14248850605152186</v>
      </c>
      <c r="J61" s="189">
        <f>IFERROR(J18/$B61,0)</f>
        <v>3.1763259818823558E-11</v>
      </c>
      <c r="K61" s="60">
        <f>IFERROR(K18/$B61,".")</f>
        <v>53335.018108135846</v>
      </c>
      <c r="L61" s="60">
        <f>IFERROR(L18/$B61,".")</f>
        <v>274866.47557435196</v>
      </c>
      <c r="M61" s="60">
        <f>IFERROR(M18/$B61,".")</f>
        <v>95876.044456291798</v>
      </c>
      <c r="N61" s="60">
        <f>IFERROR(N18/$B61,".")</f>
        <v>61012.028290367518</v>
      </c>
      <c r="O61" s="60">
        <f>IFERROR(O18/$B61,".")</f>
        <v>279158.48292987613</v>
      </c>
      <c r="P61" s="189">
        <f t="shared" ref="P61:T61" si="160">IFERROR(P18/$B61,0)</f>
        <v>1.1889338196849488E-5</v>
      </c>
      <c r="Q61" s="189">
        <f t="shared" si="160"/>
        <v>6.1272698557142421E-5</v>
      </c>
      <c r="R61" s="189">
        <f t="shared" si="160"/>
        <v>2.1372500806241337E-5</v>
      </c>
      <c r="S61" s="189">
        <f t="shared" si="160"/>
        <v>1.360068233124449E-5</v>
      </c>
      <c r="T61" s="189">
        <f t="shared" si="160"/>
        <v>6.2229464464481789E-8</v>
      </c>
      <c r="U61" s="60">
        <f>IFERROR(U18/$B61,".")</f>
        <v>9.3220432203483042E-3</v>
      </c>
      <c r="V61" s="60">
        <f>IFERROR(V18/$B61,".")</f>
        <v>20070542.80008775</v>
      </c>
      <c r="W61" s="60">
        <f>IFERROR(W18/$B61,".")</f>
        <v>9.3220432160185523E-3</v>
      </c>
      <c r="X61" s="189">
        <f t="shared" ref="X61" si="161">IFERROR(X18/$B61,0)</f>
        <v>2.0780516893456217E-15</v>
      </c>
      <c r="Y61" s="60">
        <f>IFERROR(Y18/$B61,".")</f>
        <v>0.2096833226167682</v>
      </c>
      <c r="Z61" s="60" t="str">
        <f>IFERROR(Z18,".")</f>
        <v>.</v>
      </c>
      <c r="AA61" s="60">
        <f>IFERROR(AA18/$B61,".")</f>
        <v>331089391.33641863</v>
      </c>
      <c r="AB61" s="60">
        <f>IFERROR(AB18/$B61,".")</f>
        <v>8.9024726383206576E-2</v>
      </c>
      <c r="AC61" s="60">
        <f>IFERROR(AC18/$B61,".")</f>
        <v>6.2492458713617187E-2</v>
      </c>
      <c r="AD61" s="189">
        <f t="shared" ref="AD61" si="162">IFERROR(AD18/$B61,0)</f>
        <v>1.3930696993341988E-14</v>
      </c>
      <c r="AE61" s="60">
        <f>IFERROR(AE18/$B61,".")</f>
        <v>8.1714367428653151E-3</v>
      </c>
      <c r="AF61" s="189">
        <f t="shared" ref="AF61" si="163">IFERROR(AF18/$B61,0)</f>
        <v>1.8215607388210117E-12</v>
      </c>
    </row>
    <row r="62" spans="1:32" x14ac:dyDescent="0.25">
      <c r="A62" s="77" t="s">
        <v>1083</v>
      </c>
      <c r="B62" s="42">
        <v>1.339E-6</v>
      </c>
      <c r="C62" s="238"/>
      <c r="D62" s="60" t="str">
        <f t="shared" ref="D62:I62" si="164">IFERROR(D27/$B62,".")</f>
        <v>.</v>
      </c>
      <c r="E62" s="60" t="str">
        <f t="shared" si="164"/>
        <v>.</v>
      </c>
      <c r="F62" s="60">
        <f t="shared" si="164"/>
        <v>175866334.18341595</v>
      </c>
      <c r="G62" s="60" t="str">
        <f t="shared" si="164"/>
        <v>.</v>
      </c>
      <c r="H62" s="60" t="str">
        <f t="shared" si="164"/>
        <v>.</v>
      </c>
      <c r="I62" s="60">
        <f t="shared" si="164"/>
        <v>175866334.18341595</v>
      </c>
      <c r="J62" s="189">
        <f>IFERROR(J27/$B62,0)</f>
        <v>8.1059122248739795E-7</v>
      </c>
      <c r="K62" s="60">
        <f>IFERROR(K27/$B62,".")</f>
        <v>175866334.18341595</v>
      </c>
      <c r="L62" s="60">
        <f>IFERROR(L27/$B62,".")</f>
        <v>296287124.58486819</v>
      </c>
      <c r="M62" s="60">
        <f>IFERROR(M27/$B62,".")</f>
        <v>212531046.96370408</v>
      </c>
      <c r="N62" s="60">
        <f>IFERROR(N27/$B62,".")</f>
        <v>180348684.52991977</v>
      </c>
      <c r="O62" s="60">
        <f>IFERROR(O27/$B62,".")</f>
        <v>31408684.812749952</v>
      </c>
      <c r="P62" s="189">
        <f t="shared" ref="P62:T62" si="165">IFERROR(P27/$B62,0)</f>
        <v>8.1059122248739795E-7</v>
      </c>
      <c r="Q62" s="189">
        <f t="shared" si="165"/>
        <v>1.3656265915797539E-6</v>
      </c>
      <c r="R62" s="189">
        <f t="shared" si="165"/>
        <v>9.7958373883636075E-7</v>
      </c>
      <c r="S62" s="189">
        <f t="shared" si="165"/>
        <v>8.3125096878767627E-7</v>
      </c>
      <c r="T62" s="189">
        <f t="shared" si="165"/>
        <v>1.4476678744287588E-10</v>
      </c>
      <c r="U62" s="60" t="str">
        <f>IFERROR(U27/$B62,".")</f>
        <v>.</v>
      </c>
      <c r="V62" s="60">
        <f>IFERROR(V27/$B62,".")</f>
        <v>16801499570.22525</v>
      </c>
      <c r="W62" s="60">
        <f>IFERROR(W27/$B62,".")</f>
        <v>16801499570.22525</v>
      </c>
      <c r="X62" s="189">
        <f t="shared" ref="X62" si="166">IFERROR(X27/$B62,0)</f>
        <v>7.7440336375275696E-8</v>
      </c>
      <c r="Y62" s="60" t="str">
        <f>IFERROR(Y27/$B62,".")</f>
        <v>.</v>
      </c>
      <c r="Z62" s="60" t="str">
        <f>IFERROR(Z27,".")</f>
        <v>.</v>
      </c>
      <c r="AA62" s="60">
        <f>IFERROR(AA27/$B62,".")</f>
        <v>502340729750.62927</v>
      </c>
      <c r="AB62" s="60" t="str">
        <f>IFERROR(AB27/$B62,".")</f>
        <v>.</v>
      </c>
      <c r="AC62" s="60">
        <f>IFERROR(AC27/$B62,".")</f>
        <v>502340729750.62927</v>
      </c>
      <c r="AD62" s="189">
        <f t="shared" ref="AD62" si="167">IFERROR(AD27/$B62,0)</f>
        <v>2.315354943425961E-6</v>
      </c>
      <c r="AE62" s="60" t="str">
        <f>IFERROR(AE27/$B62,".")</f>
        <v>.</v>
      </c>
      <c r="AF62" s="189">
        <f t="shared" ref="AF62" si="168">IFERROR(AF27/$B62,0)</f>
        <v>0</v>
      </c>
    </row>
    <row r="63" spans="1:32" x14ac:dyDescent="0.25">
      <c r="A63" s="172" t="s">
        <v>23</v>
      </c>
      <c r="B63" s="57" t="s">
        <v>1185</v>
      </c>
      <c r="C63" s="57"/>
      <c r="D63" s="58">
        <f t="shared" ref="D63:I63" si="169">IFERROR(1/SUM(IFERROR(1/SUMIF(D64,"&lt;&gt;.",D64),0),IFERROR(1/SUMIF(D65,"&lt;&gt;.",D65),0),IFERROR(1/SUMIF(D66,"&lt;&gt;.",D66),0),IFERROR(1/SUMIF(D67,"&lt;&gt;.",D67),0),IFERROR(1/SUMIF(D68,"&lt;&gt;.",D68),0),IFERROR(1/SUMIF(D69,"&lt;&gt;.",D69),0),IFERROR(1/SUMIF(D70,"&lt;&gt;.",D70),0),IFERROR(1/SUMIF(D71,"&lt;&gt;.",D71),0),IFERROR(1/SUMIF(D72,"&lt;&gt;.",D72),0),IFERROR(1/SUMIF(D73,"&lt;&gt;.",D73),0),IFERROR(1/SUMIF(D74,"&lt;&gt;.",D74),0),IFERROR(1/SUMIF(D75,"&lt;&gt;.",D75),0),IFERROR(1/SUMIF(D76,"&lt;&gt;.",D76),0)),".")</f>
        <v>2.2646897455493007</v>
      </c>
      <c r="E63" s="58">
        <f t="shared" si="169"/>
        <v>5449.6078308188344</v>
      </c>
      <c r="F63" s="58">
        <f t="shared" si="169"/>
        <v>0.28916549238193262</v>
      </c>
      <c r="G63" s="58">
        <f t="shared" si="169"/>
        <v>2.6397143351962173E-2</v>
      </c>
      <c r="H63" s="58">
        <f t="shared" si="169"/>
        <v>2.0918847580597282E-4</v>
      </c>
      <c r="I63" s="59">
        <f t="shared" si="169"/>
        <v>2.3933259080550617E-2</v>
      </c>
      <c r="J63" s="190">
        <f>I63*(0.0000000000028)*RadSpec!$AY25*RadSpec!$AF25</f>
        <v>1.5584076735433402E-13</v>
      </c>
      <c r="K63" s="58">
        <f>IFERROR(1/SUM(IFERROR(1/SUMIF(K64,"&lt;&gt;.",K64),0),IFERROR(1/SUMIF(K65,"&lt;&gt;.",K65),0),IFERROR(1/SUMIF(K66,"&lt;&gt;.",K66),0),IFERROR(1/SUMIF(K67,"&lt;&gt;.",K67),0),IFERROR(1/SUMIF(K68,"&lt;&gt;.",K68),0),IFERROR(1/SUMIF(K69,"&lt;&gt;.",K69),0),IFERROR(1/SUMIF(K70,"&lt;&gt;.",K70),0),IFERROR(1/SUMIF(K71,"&lt;&gt;.",K71),0),IFERROR(1/SUMIF(K72,"&lt;&gt;.",K72),0),IFERROR(1/SUMIF(K73,"&lt;&gt;.",K73),0),IFERROR(1/SUMIF(K74,"&lt;&gt;.",K74),0),IFERROR(1/SUMIF(K75,"&lt;&gt;.",K75),0),IFERROR(1/SUMIF(K76,"&lt;&gt;.",K76),0)),".")</f>
        <v>0.28916549238193262</v>
      </c>
      <c r="L63" s="58">
        <f>IFERROR(1/SUM(IFERROR(1/SUMIF(L64,"&lt;&gt;.",L64),0),IFERROR(1/SUMIF(L65,"&lt;&gt;.",L65),0),IFERROR(1/SUMIF(L66,"&lt;&gt;.",L66),0),IFERROR(1/SUMIF(L67,"&lt;&gt;.",L67),0),IFERROR(1/SUMIF(L68,"&lt;&gt;.",L68),0),IFERROR(1/SUMIF(L69,"&lt;&gt;.",L69),0),IFERROR(1/SUMIF(L70,"&lt;&gt;.",L70),0),IFERROR(1/SUMIF(L71,"&lt;&gt;.",L71),0),IFERROR(1/SUMIF(L72,"&lt;&gt;.",L72),0),IFERROR(1/SUMIF(L73,"&lt;&gt;.",L73),0),IFERROR(1/SUMIF(L74,"&lt;&gt;.",L74),0),IFERROR(1/SUMIF(L75,"&lt;&gt;.",L75),0),IFERROR(1/SUMIF(L76,"&lt;&gt;.",L76),0)),".")</f>
        <v>1.5714346857215473</v>
      </c>
      <c r="M63" s="58">
        <f>IFERROR(1/SUM(IFERROR(1/SUMIF(M64,"&lt;&gt;.",M64),0),IFERROR(1/SUMIF(M65,"&lt;&gt;.",M65),0),IFERROR(1/SUMIF(M66,"&lt;&gt;.",M66),0),IFERROR(1/SUMIF(M67,"&lt;&gt;.",M67),0),IFERROR(1/SUMIF(M68,"&lt;&gt;.",M68),0),IFERROR(1/SUMIF(M69,"&lt;&gt;.",M69),0),IFERROR(1/SUMIF(M70,"&lt;&gt;.",M70),0),IFERROR(1/SUMIF(M71,"&lt;&gt;.",M71),0),IFERROR(1/SUMIF(M72,"&lt;&gt;.",M72),0),IFERROR(1/SUMIF(M73,"&lt;&gt;.",M73),0),IFERROR(1/SUMIF(M74,"&lt;&gt;.",M74),0),IFERROR(1/SUMIF(M75,"&lt;&gt;.",M75),0),IFERROR(1/SUMIF(M76,"&lt;&gt;.",M76),0)),".")</f>
        <v>0.54632693169708535</v>
      </c>
      <c r="N63" s="58">
        <f>IFERROR(1/SUM(IFERROR(1/SUMIF(N64,"&lt;&gt;.",N64),0),IFERROR(1/SUMIF(N65,"&lt;&gt;.",N65),0),IFERROR(1/SUMIF(N66,"&lt;&gt;.",N66),0),IFERROR(1/SUMIF(N67,"&lt;&gt;.",N67),0),IFERROR(1/SUMIF(N68,"&lt;&gt;.",N68),0),IFERROR(1/SUMIF(N69,"&lt;&gt;.",N69),0),IFERROR(1/SUMIF(N70,"&lt;&gt;.",N70),0),IFERROR(1/SUMIF(N71,"&lt;&gt;.",N71),0),IFERROR(1/SUMIF(N72,"&lt;&gt;.",N72),0),IFERROR(1/SUMIF(N73,"&lt;&gt;.",N73),0),IFERROR(1/SUMIF(N74,"&lt;&gt;.",N74),0),IFERROR(1/SUMIF(N75,"&lt;&gt;.",N75),0),IFERROR(1/SUMIF(N76,"&lt;&gt;.",N76),0)),".")</f>
        <v>0.34156159618678228</v>
      </c>
      <c r="O63" s="58">
        <f>IFERROR(1/SUM(IFERROR(1/SUMIF(O64,"&lt;&gt;.",O64),0),IFERROR(1/SUMIF(O65,"&lt;&gt;.",O65),0),IFERROR(1/SUMIF(O66,"&lt;&gt;.",O66),0),IFERROR(1/SUMIF(O67,"&lt;&gt;.",O67),0),IFERROR(1/SUMIF(O68,"&lt;&gt;.",O68),0),IFERROR(1/SUMIF(O69,"&lt;&gt;.",O69),0),IFERROR(1/SUMIF(O70,"&lt;&gt;.",O70),0),IFERROR(1/SUMIF(O71,"&lt;&gt;.",O71),0),IFERROR(1/SUMIF(O72,"&lt;&gt;.",O72),0),IFERROR(1/SUMIF(O73,"&lt;&gt;.",O73),0),IFERROR(1/SUMIF(O74,"&lt;&gt;.",O74),0),IFERROR(1/SUMIF(O75,"&lt;&gt;.",O75),0),IFERROR(1/SUMIF(O76,"&lt;&gt;.",O76),0)),".")</f>
        <v>1.512924673294987</v>
      </c>
      <c r="P63" s="190">
        <f>K63*(0.0000000000028)*RadSpec!$AY25*RadSpec!$AF25</f>
        <v>1.8828932605261158E-12</v>
      </c>
      <c r="Q63" s="190">
        <f>L63*(0.0000000000028)*RadSpec!$AY25*RadSpec!$AF25</f>
        <v>1.0232354333600796E-11</v>
      </c>
      <c r="R63" s="190">
        <f>M63*(0.0000000000028)*RadSpec!$AY25*RadSpec!$AF25</f>
        <v>3.557392997563032E-12</v>
      </c>
      <c r="S63" s="190">
        <f>N63*(0.0000000000028)*RadSpec!$AY25*RadSpec!$AF25</f>
        <v>2.224069069296797E-12</v>
      </c>
      <c r="T63" s="190">
        <f>O63*(0.0000000000000028)*RadSpec!$AY25*RadSpec!$AF25</f>
        <v>9.8513679746691464E-15</v>
      </c>
      <c r="U63" s="58">
        <f>IFERROR(1/SUM(IFERROR(1/SUMIF(U64,"&lt;&gt;.",U64),0),IFERROR(1/SUMIF(U65,"&lt;&gt;.",U65),0),IFERROR(1/SUMIF(U66,"&lt;&gt;.",U66),0),IFERROR(1/SUMIF(U67,"&lt;&gt;.",U67),0),IFERROR(1/SUMIF(U68,"&lt;&gt;.",U68),0),IFERROR(1/SUMIF(U69,"&lt;&gt;.",U69),0),IFERROR(1/SUMIF(U70,"&lt;&gt;.",U70),0),IFERROR(1/SUMIF(U71,"&lt;&gt;.",U71),0),IFERROR(1/SUMIF(U72,"&lt;&gt;.",U72),0),IFERROR(1/SUMIF(U73,"&lt;&gt;.",U73),0),IFERROR(1/SUMIF(U74,"&lt;&gt;.",U74),0),IFERROR(1/SUMIF(U75,"&lt;&gt;.",U75),0),IFERROR(1/SUMIF(U76,"&lt;&gt;.",U76),0)),".")</f>
        <v>4.0089969369286335E-3</v>
      </c>
      <c r="V63" s="58">
        <f>IFERROR(1/SUM(IFERROR(1/SUMIF(V64,"&lt;&gt;.",V64),0),IFERROR(1/SUMIF(V65,"&lt;&gt;.",V65),0),IFERROR(1/SUMIF(V66,"&lt;&gt;.",V66),0),IFERROR(1/SUMIF(V67,"&lt;&gt;.",V67),0),IFERROR(1/SUMIF(V68,"&lt;&gt;.",V68),0),IFERROR(1/SUMIF(V69,"&lt;&gt;.",V69),0),IFERROR(1/SUMIF(V70,"&lt;&gt;.",V70),0),IFERROR(1/SUMIF(V71,"&lt;&gt;.",V71),0),IFERROR(1/SUMIF(V72,"&lt;&gt;.",V72),0),IFERROR(1/SUMIF(V73,"&lt;&gt;.",V73),0),IFERROR(1/SUMIF(V74,"&lt;&gt;.",V74),0),IFERROR(1/SUMIF(V75,"&lt;&gt;.",V75),0),IFERROR(1/SUMIF(V76,"&lt;&gt;.",V76),0)),".")</f>
        <v>108.19092341097915</v>
      </c>
      <c r="W63" s="59">
        <f>IFERROR(1/SUM(IFERROR(1/SUMIF(W64,"&lt;&gt;.",W64),0),IFERROR(1/SUMIF(W65,"&lt;&gt;.",W65),0),IFERROR(1/SUMIF(W66,"&lt;&gt;.",W66),0),IFERROR(1/SUMIF(W67,"&lt;&gt;.",W67),0),IFERROR(1/SUMIF(W68,"&lt;&gt;.",W68),0),IFERROR(1/SUMIF(W69,"&lt;&gt;.",W69),0),IFERROR(1/SUMIF(W70,"&lt;&gt;.",W70),0),IFERROR(1/SUMIF(W71,"&lt;&gt;.",W71),0),IFERROR(1/SUMIF(W72,"&lt;&gt;.",W72),0),IFERROR(1/SUMIF(W73,"&lt;&gt;.",W73),0),IFERROR(1/SUMIF(W74,"&lt;&gt;.",W74),0),IFERROR(1/SUMIF(W75,"&lt;&gt;.",W75),0),IFERROR(1/SUMIF(W76,"&lt;&gt;.",W76),0)),".")</f>
        <v>4.0088483897085135E-3</v>
      </c>
      <c r="X63" s="190">
        <f>W63*(0.0000000000000028)*RadSpec!$AY25*RadSpec!$AF25</f>
        <v>2.6103507556438821E-17</v>
      </c>
      <c r="Y63" s="58">
        <f>IFERROR(1/SUM(IFERROR(1/SUMIF(Y64,"&lt;&gt;.",Y64),0),IFERROR(1/SUMIF(Y65,"&lt;&gt;.",Y65),0),IFERROR(1/SUMIF(Y66,"&lt;&gt;.",Y66),0),IFERROR(1/SUMIF(Y67,"&lt;&gt;.",Y67),0),IFERROR(1/SUMIF(Y68,"&lt;&gt;.",Y68),0),IFERROR(1/SUMIF(Y69,"&lt;&gt;.",Y69),0),IFERROR(1/SUMIF(Y70,"&lt;&gt;.",Y70),0),IFERROR(1/SUMIF(Y71,"&lt;&gt;.",Y71),0),IFERROR(1/SUMIF(Y72,"&lt;&gt;.",Y72),0),IFERROR(1/SUMIF(Y73,"&lt;&gt;.",Y73),0),IFERROR(1/SUMIF(Y74,"&lt;&gt;.",Y74),0),IFERROR(1/SUMIF(Y75,"&lt;&gt;.",Y75),0),IFERROR(1/SUMIF(Y76,"&lt;&gt;.",Y76),0)),".")</f>
        <v>0.1323687695792454</v>
      </c>
      <c r="Z63" s="58">
        <f>IFERROR(1/SUM(IFERROR(1/SUMIF(Z64,"&lt;&gt;.",Z64),0),IFERROR(1/SUMIF(Z65,"&lt;&gt;.",Z65),0),IFERROR(1/SUMIF(Z66,"&lt;&gt;.",Z66),0),IFERROR(1/SUMIF(Z67,"&lt;&gt;.",Z67),0),IFERROR(1/SUMIF(Z68,"&lt;&gt;.",Z68),0),IFERROR(1/SUMIF(Z69,"&lt;&gt;.",Z69),0),IFERROR(1/SUMIF(Z70,"&lt;&gt;.",Z70),0),IFERROR(1/SUMIF(Z71,"&lt;&gt;.",Z71),0),IFERROR(1/SUMIF(Z72,"&lt;&gt;.",Z72),0),IFERROR(1/SUMIF(Z73,"&lt;&gt;.",Z73),0),IFERROR(1/SUMIF(Z74,"&lt;&gt;.",Z74),0),IFERROR(1/SUMIF(Z75,"&lt;&gt;.",Z75),0),IFERROR(1/SUMIF(Z76,"&lt;&gt;.",Z76),0)),".")</f>
        <v>3.7947839276507476</v>
      </c>
      <c r="AA63" s="58">
        <f>IFERROR(1/SUM(IFERROR(1/SUMIF(AA64,"&lt;&gt;.",AA64),0),IFERROR(1/SUMIF(AA65,"&lt;&gt;.",AA65),0),IFERROR(1/SUMIF(AA66,"&lt;&gt;.",AA66),0),IFERROR(1/SUMIF(AA67,"&lt;&gt;.",AA67),0),IFERROR(1/SUMIF(AA68,"&lt;&gt;.",AA68),0),IFERROR(1/SUMIF(AA69,"&lt;&gt;.",AA69),0),IFERROR(1/SUMIF(AA70,"&lt;&gt;.",AA70),0),IFERROR(1/SUMIF(AA71,"&lt;&gt;.",AA71),0),IFERROR(1/SUMIF(AA72,"&lt;&gt;.",AA72),0),IFERROR(1/SUMIF(AA73,"&lt;&gt;.",AA73),0),IFERROR(1/SUMIF(AA74,"&lt;&gt;.",AA74),0),IFERROR(1/SUMIF(AA75,"&lt;&gt;.",AA75),0),IFERROR(1/SUMIF(AA76,"&lt;&gt;.",AA76),0)),".")</f>
        <v>1788.8327394619923</v>
      </c>
      <c r="AB63" s="58">
        <f>IFERROR(1/SUM(IFERROR(1/SUMIF(AB64,"&lt;&gt;.",AB64),0),IFERROR(1/SUMIF(AB65,"&lt;&gt;.",AB65),0),IFERROR(1/SUMIF(AB66,"&lt;&gt;.",AB66),0),IFERROR(1/SUMIF(AB67,"&lt;&gt;.",AB67),0),IFERROR(1/SUMIF(AB68,"&lt;&gt;.",AB68),0),IFERROR(1/SUMIF(AB69,"&lt;&gt;.",AB69),0),IFERROR(1/SUMIF(AB70,"&lt;&gt;.",AB70),0),IFERROR(1/SUMIF(AB71,"&lt;&gt;.",AB71),0),IFERROR(1/SUMIF(AB72,"&lt;&gt;.",AB72),0),IFERROR(1/SUMIF(AB73,"&lt;&gt;.",AB73),0),IFERROR(1/SUMIF(AB74,"&lt;&gt;.",AB74),0),IFERROR(1/SUMIF(AB75,"&lt;&gt;.",AB75),0),IFERROR(1/SUMIF(AB76,"&lt;&gt;.",AB76),0)),".")</f>
        <v>5.3286942645330612E-2</v>
      </c>
      <c r="AC63" s="59">
        <f>IFERROR(1/SUM(IFERROR(1/SUMIF(AC64,"&lt;&gt;.",AC64),0),IFERROR(1/SUMIF(AC65,"&lt;&gt;.",AC65),0),IFERROR(1/SUMIF(AC66,"&lt;&gt;.",AC66),0),IFERROR(1/SUMIF(AC67,"&lt;&gt;.",AC67),0),IFERROR(1/SUMIF(AC68,"&lt;&gt;.",AC68),0),IFERROR(1/SUMIF(AC69,"&lt;&gt;.",AC69),0),IFERROR(1/SUMIF(AC70,"&lt;&gt;.",AC70),0),IFERROR(1/SUMIF(AC71,"&lt;&gt;.",AC71),0),IFERROR(1/SUMIF(AC72,"&lt;&gt;.",AC72),0),IFERROR(1/SUMIF(AC73,"&lt;&gt;.",AC73),0),IFERROR(1/SUMIF(AC74,"&lt;&gt;.",AC74),0),IFERROR(1/SUMIF(AC75,"&lt;&gt;.",AC75),0),IFERROR(1/SUMIF(AC76,"&lt;&gt;.",AC76),0)),".")</f>
        <v>3.7615156078546902E-2</v>
      </c>
      <c r="AD63" s="190">
        <f>AC63*(0.0000000000000028)*RadSpec!$AY25*RadSpec!$AF25</f>
        <v>2.4493006855875848E-16</v>
      </c>
      <c r="AE63" s="59">
        <f>IFERROR(1/SUM(IFERROR(1/SUMIF(AE64,"&lt;&gt;.",AE64),0),IFERROR(1/SUMIF(AE65,"&lt;&gt;.",AE65),0),IFERROR(1/SUMIF(AE66,"&lt;&gt;.",AE66),0),IFERROR(1/SUMIF(AE67,"&lt;&gt;.",AE67),0),IFERROR(1/SUMIF(AE68,"&lt;&gt;.",AE68),0),IFERROR(1/SUMIF(AE69,"&lt;&gt;.",AE69),0),IFERROR(1/SUMIF(AE70,"&lt;&gt;.",AE70),0),IFERROR(1/SUMIF(AE71,"&lt;&gt;.",AE71),0),IFERROR(1/SUMIF(AE72,"&lt;&gt;.",AE72),0),IFERROR(1/SUMIF(AE73,"&lt;&gt;.",AE73),0),IFERROR(1/SUMIF(AE74,"&lt;&gt;.",AE74),0),IFERROR(1/SUMIF(AE75,"&lt;&gt;.",AE75),0),IFERROR(1/SUMIF(AE76,"&lt;&gt;.",AE76),0)),".")</f>
        <v>5.1584599759734086E-3</v>
      </c>
      <c r="AF63" s="190">
        <f>AE63*(0.0000000000028)*RadSpec!$AY25*RadSpec!$AF25</f>
        <v>3.3589172219156909E-14</v>
      </c>
    </row>
    <row r="64" spans="1:32" x14ac:dyDescent="0.25">
      <c r="A64" s="77" t="s">
        <v>1073</v>
      </c>
      <c r="B64" s="170">
        <v>1</v>
      </c>
      <c r="C64" s="170"/>
      <c r="D64" s="60" t="str">
        <f t="shared" ref="D64:I64" si="170">IFERROR(D25/$B50,".")</f>
        <v>.</v>
      </c>
      <c r="E64" s="60">
        <f t="shared" si="170"/>
        <v>33500162.617758323</v>
      </c>
      <c r="F64" s="60">
        <f t="shared" si="170"/>
        <v>1412.9101288295633</v>
      </c>
      <c r="G64" s="60" t="str">
        <f t="shared" si="170"/>
        <v>.</v>
      </c>
      <c r="H64" s="60" t="str">
        <f t="shared" si="170"/>
        <v>.</v>
      </c>
      <c r="I64" s="60">
        <f t="shared" si="170"/>
        <v>1412.850540138563</v>
      </c>
      <c r="J64" s="189">
        <f>IFERROR(J25/$B50,0)</f>
        <v>9.1997379709605943E-9</v>
      </c>
      <c r="K64" s="60">
        <f>IFERROR(K25/$B50,".")</f>
        <v>1412.9101288295633</v>
      </c>
      <c r="L64" s="60">
        <f>IFERROR(L25/$B50,".")</f>
        <v>6825.0743511258579</v>
      </c>
      <c r="M64" s="60">
        <f>IFERROR(M25/$B50,".")</f>
        <v>2393.3395941540894</v>
      </c>
      <c r="N64" s="60">
        <f>IFERROR(N25/$B50,".")</f>
        <v>1548.7668719862525</v>
      </c>
      <c r="O64" s="60">
        <f>IFERROR(O25/$B50,".")</f>
        <v>6918.9279908963908</v>
      </c>
      <c r="P64" s="189">
        <f t="shared" ref="P64:T64" si="171">IFERROR(P25/$B50,0)</f>
        <v>9.200125981105802E-9</v>
      </c>
      <c r="Q64" s="189">
        <f t="shared" si="171"/>
        <v>4.4441286518900919E-8</v>
      </c>
      <c r="R64" s="189">
        <f t="shared" si="171"/>
        <v>1.5584165852096013E-8</v>
      </c>
      <c r="S64" s="189">
        <f t="shared" si="171"/>
        <v>1.0084753479289053E-8</v>
      </c>
      <c r="T64" s="189">
        <f t="shared" si="171"/>
        <v>4.5052411948647469E-11</v>
      </c>
      <c r="U64" s="60">
        <f>IFERROR(U25/$B50,".")</f>
        <v>24.644351206649045</v>
      </c>
      <c r="V64" s="60">
        <f>IFERROR(V25/$B50,".")</f>
        <v>516265.40728549397</v>
      </c>
      <c r="W64" s="60">
        <f>IFERROR(W25/$B50,".")</f>
        <v>24.643174844554771</v>
      </c>
      <c r="X64" s="189">
        <f t="shared" ref="X64" si="172">IFERROR(X25/$B50,0)</f>
        <v>1.6046336459639761E-13</v>
      </c>
      <c r="Y64" s="60" t="str">
        <f>IFERROR(Y25/$B50,".")</f>
        <v>.</v>
      </c>
      <c r="Z64" s="60">
        <f>IFERROR(Z25,".")</f>
        <v>49.28870241329809</v>
      </c>
      <c r="AA64" s="60">
        <f>IFERROR(AA25/$B50,".")</f>
        <v>8497374.0063735116</v>
      </c>
      <c r="AB64" s="60" t="str">
        <f>IFERROR(AB25/$B50,".")</f>
        <v>.</v>
      </c>
      <c r="AC64" s="60">
        <f>IFERROR(AC25/$B50,".")</f>
        <v>49.288416517668175</v>
      </c>
      <c r="AD64" s="189">
        <f t="shared" ref="AD64" si="173">IFERROR(AD25/$B50,0)</f>
        <v>3.2094018729089552E-13</v>
      </c>
      <c r="AE64" s="60" t="str">
        <f>IFERROR(AE25/$B50,".")</f>
        <v>.</v>
      </c>
      <c r="AF64" s="189">
        <f t="shared" ref="AF64" si="174">IFERROR(AF25/$B50,0)</f>
        <v>0</v>
      </c>
    </row>
    <row r="65" spans="1:32" x14ac:dyDescent="0.25">
      <c r="A65" s="77" t="s">
        <v>1059</v>
      </c>
      <c r="B65" s="170">
        <v>1</v>
      </c>
      <c r="C65" s="170"/>
      <c r="D65" s="60" t="str">
        <f t="shared" ref="D65:I65" si="175">IFERROR(D21/$B51,".")</f>
        <v>.</v>
      </c>
      <c r="E65" s="60">
        <f t="shared" si="175"/>
        <v>28796071.541511413</v>
      </c>
      <c r="F65" s="60">
        <f t="shared" si="175"/>
        <v>362284648.41783684</v>
      </c>
      <c r="G65" s="60" t="str">
        <f t="shared" si="175"/>
        <v>.</v>
      </c>
      <c r="H65" s="60" t="str">
        <f t="shared" si="175"/>
        <v>.</v>
      </c>
      <c r="I65" s="60">
        <f t="shared" si="175"/>
        <v>26675758.025902566</v>
      </c>
      <c r="J65" s="189">
        <f>IFERROR(J21/$B51,0)</f>
        <v>9.6036789130391647E-8</v>
      </c>
      <c r="K65" s="60">
        <f>IFERROR(K21/$B51,".")</f>
        <v>362284648.41783684</v>
      </c>
      <c r="L65" s="60">
        <f>IFERROR(L21/$B51,".")</f>
        <v>771416449.64832497</v>
      </c>
      <c r="M65" s="60">
        <f>IFERROR(M21/$B51,".")</f>
        <v>412370083.68297559</v>
      </c>
      <c r="N65" s="60">
        <f>IFERROR(N21/$B51,".")</f>
        <v>362284648.41783684</v>
      </c>
      <c r="O65" s="60">
        <f>IFERROR(O21/$B51,".")</f>
        <v>430048657.07827199</v>
      </c>
      <c r="P65" s="189">
        <f t="shared" ref="P65:T65" si="176">IFERROR(P21/$B51,0)</f>
        <v>1.3042798765642455E-6</v>
      </c>
      <c r="Q65" s="189">
        <f t="shared" si="176"/>
        <v>2.7772166337186947E-6</v>
      </c>
      <c r="R65" s="189">
        <f t="shared" si="176"/>
        <v>1.4845950668726661E-6</v>
      </c>
      <c r="S65" s="189">
        <f t="shared" si="176"/>
        <v>1.3042798765642455E-6</v>
      </c>
      <c r="T65" s="189">
        <f t="shared" si="176"/>
        <v>1.5482406218983808E-9</v>
      </c>
      <c r="U65" s="60">
        <f>IFERROR(U21/$B51,".")</f>
        <v>21.183792703878115</v>
      </c>
      <c r="V65" s="60">
        <f>IFERROR(V21/$B51,".")</f>
        <v>3408928071.0072703</v>
      </c>
      <c r="W65" s="60">
        <f>IFERROR(W21/$B51,".")</f>
        <v>21.183792572237593</v>
      </c>
      <c r="X65" s="189">
        <f t="shared" ref="X65" si="177">IFERROR(X21/$B51,0)</f>
        <v>7.6264877581603583E-17</v>
      </c>
      <c r="Y65" s="60" t="str">
        <f>IFERROR(Y21/$B51,".")</f>
        <v>.</v>
      </c>
      <c r="Z65" s="60">
        <f>IFERROR(Z21,".")</f>
        <v>42.936034024703922</v>
      </c>
      <c r="AA65" s="60">
        <f>IFERROR(AA21/$B51,".")</f>
        <v>111713728195.6797</v>
      </c>
      <c r="AB65" s="60" t="str">
        <f>IFERROR(AB21/$B51,".")</f>
        <v>.</v>
      </c>
      <c r="AC65" s="60">
        <f>IFERROR(AC21/$B51,".")</f>
        <v>42.936034008201894</v>
      </c>
      <c r="AD65" s="189">
        <f t="shared" ref="AD65" si="178">IFERROR(AD21/$B51,0)</f>
        <v>1.5457625759452037E-16</v>
      </c>
      <c r="AE65" s="60" t="str">
        <f>IFERROR(AE21/$B51,".")</f>
        <v>.</v>
      </c>
      <c r="AF65" s="189">
        <f t="shared" ref="AF65" si="179">IFERROR(AF21/$B51,0)</f>
        <v>0</v>
      </c>
    </row>
    <row r="66" spans="1:32" x14ac:dyDescent="0.25">
      <c r="A66" s="77" t="s">
        <v>1060</v>
      </c>
      <c r="B66" s="173">
        <v>0.99980000000000002</v>
      </c>
      <c r="C66" s="173"/>
      <c r="D66" s="60">
        <f t="shared" ref="D66:I66" si="180">IFERROR(D17/$B52,".")</f>
        <v>31554.326234809087</v>
      </c>
      <c r="E66" s="60">
        <f t="shared" si="180"/>
        <v>4709655.7754966654</v>
      </c>
      <c r="F66" s="60">
        <f t="shared" si="180"/>
        <v>2.3938183578256549</v>
      </c>
      <c r="G66" s="60">
        <f t="shared" si="180"/>
        <v>166.45641819642543</v>
      </c>
      <c r="H66" s="60">
        <f t="shared" si="180"/>
        <v>2.9146603516514396</v>
      </c>
      <c r="I66" s="60">
        <f t="shared" si="180"/>
        <v>2.3597031305992324</v>
      </c>
      <c r="J66" s="189">
        <f>IFERROR(J17/$B52,0)</f>
        <v>7.2095575161559305E-14</v>
      </c>
      <c r="K66" s="60">
        <f>IFERROR(K17/$B52,".")</f>
        <v>2.3938183578256549</v>
      </c>
      <c r="L66" s="60">
        <f>IFERROR(L17/$B52,".")</f>
        <v>10.740265032111104</v>
      </c>
      <c r="M66" s="60">
        <f>IFERROR(M17/$B52,".")</f>
        <v>3.808604621315995</v>
      </c>
      <c r="N66" s="60">
        <f>IFERROR(N17/$B52,".")</f>
        <v>2.5612714702967661</v>
      </c>
      <c r="O66" s="60">
        <f>IFERROR(O17/$B52,".")</f>
        <v>10.594057958149067</v>
      </c>
      <c r="P66" s="189">
        <f t="shared" ref="P66:T66" si="181">IFERROR(P17/$B52,0)</f>
        <v>7.3137891415990677E-14</v>
      </c>
      <c r="Q66" s="189">
        <f t="shared" si="181"/>
        <v>3.2814533948641154E-13</v>
      </c>
      <c r="R66" s="189">
        <f t="shared" si="181"/>
        <v>1.163635955625573E-13</v>
      </c>
      <c r="S66" s="189">
        <f t="shared" si="181"/>
        <v>7.8254055521401809E-14</v>
      </c>
      <c r="T66" s="189">
        <f t="shared" si="181"/>
        <v>3.2367830168267524E-16</v>
      </c>
      <c r="U66" s="60">
        <f>IFERROR(U17/$B52,".")</f>
        <v>3.464652166561021</v>
      </c>
      <c r="V66" s="60">
        <f>IFERROR(V17/$B52,".")</f>
        <v>804.79082717796246</v>
      </c>
      <c r="W66" s="60">
        <f>IFERROR(W17/$B52,".")</f>
        <v>3.449800656188347</v>
      </c>
      <c r="X66" s="189">
        <f t="shared" ref="X66" si="182">IFERROR(X17/$B52,0)</f>
        <v>1.0540112409710783E-16</v>
      </c>
      <c r="Y66" s="60">
        <f>IFERROR(Y17/$B52,".")</f>
        <v>1844.3176805177334</v>
      </c>
      <c r="Z66" s="60">
        <f>IFERROR(Z17,".")</f>
        <v>7.8352404262152877</v>
      </c>
      <c r="AA66" s="60">
        <f>IFERROR(AA17/$B52,".")</f>
        <v>13259.965795633982</v>
      </c>
      <c r="AB66" s="60">
        <f>IFERROR(AB17/$B52,".")</f>
        <v>682.85542578829097</v>
      </c>
      <c r="AC66" s="60">
        <f>IFERROR(AC17/$B52,".")</f>
        <v>7.7109898639251808</v>
      </c>
      <c r="AD66" s="189">
        <f t="shared" ref="AD66" si="183">IFERROR(AD17/$B52,0)</f>
        <v>2.3559245317586417E-16</v>
      </c>
      <c r="AE66" s="60">
        <f>IFERROR(AE17/$B52,".")</f>
        <v>71.873743090398492</v>
      </c>
      <c r="AF66" s="189">
        <f t="shared" ref="AF66" si="184">IFERROR(AF17/$B52,0)</f>
        <v>2.1959452356197646E-12</v>
      </c>
    </row>
    <row r="67" spans="1:32" x14ac:dyDescent="0.25">
      <c r="A67" s="77" t="s">
        <v>1074</v>
      </c>
      <c r="B67" s="170">
        <v>2.0000000000000001E-4</v>
      </c>
      <c r="C67" s="170"/>
      <c r="D67" s="60" t="str">
        <f t="shared" ref="D67:I67" si="185">IFERROR(D5/$B53,".")</f>
        <v>.</v>
      </c>
      <c r="E67" s="60" t="str">
        <f t="shared" si="185"/>
        <v>.</v>
      </c>
      <c r="F67" s="60">
        <f t="shared" si="185"/>
        <v>300282913.28592509</v>
      </c>
      <c r="G67" s="60" t="str">
        <f t="shared" si="185"/>
        <v>.</v>
      </c>
      <c r="H67" s="60" t="str">
        <f t="shared" si="185"/>
        <v>.</v>
      </c>
      <c r="I67" s="60">
        <f t="shared" si="185"/>
        <v>300282913.28592509</v>
      </c>
      <c r="J67" s="189">
        <f>IFERROR(J5/$B53,0)</f>
        <v>8.7182596208965352E-9</v>
      </c>
      <c r="K67" s="60">
        <f>IFERROR(K5/$B53,".")</f>
        <v>300282913.28592509</v>
      </c>
      <c r="L67" s="60">
        <f>IFERROR(L5/$B53,".")</f>
        <v>529492947.68760759</v>
      </c>
      <c r="M67" s="60">
        <f>IFERROR(M5/$B53,".")</f>
        <v>377570920.50297761</v>
      </c>
      <c r="N67" s="60">
        <f>IFERROR(N5/$B53,".")</f>
        <v>312882196.36085904</v>
      </c>
      <c r="O67" s="60">
        <f>IFERROR(O5/$B53,".")</f>
        <v>114392942.78282037</v>
      </c>
      <c r="P67" s="189">
        <f t="shared" ref="P67:T67" si="186">IFERROR(P5/$B53,0)</f>
        <v>8.7182596208965352E-9</v>
      </c>
      <c r="Q67" s="189">
        <f t="shared" si="186"/>
        <v>1.5373025840397439E-8</v>
      </c>
      <c r="R67" s="189">
        <f t="shared" si="186"/>
        <v>1.0962199860874127E-8</v>
      </c>
      <c r="S67" s="189">
        <f t="shared" si="186"/>
        <v>9.0840607238712165E-9</v>
      </c>
      <c r="T67" s="189">
        <f t="shared" si="186"/>
        <v>3.3212258502013692E-12</v>
      </c>
      <c r="U67" s="60" t="str">
        <f>IFERROR(U5/$B53,".")</f>
        <v>.</v>
      </c>
      <c r="V67" s="60">
        <f>IFERROR(V5/$B53,".")</f>
        <v>45568324214.484932</v>
      </c>
      <c r="W67" s="60">
        <f>IFERROR(W5/$B53,".")</f>
        <v>45568324214.484932</v>
      </c>
      <c r="X67" s="189">
        <f t="shared" ref="X67" si="187">IFERROR(X5/$B53,0)</f>
        <v>1.3230072821785396E-9</v>
      </c>
      <c r="Y67" s="60" t="str">
        <f>IFERROR(Y5/$B53,".")</f>
        <v>.</v>
      </c>
      <c r="Z67" s="60" t="str">
        <f>IFERROR(Z5,".")</f>
        <v>.</v>
      </c>
      <c r="AA67" s="60">
        <f>IFERROR(AA5/$B53,".")</f>
        <v>1278005050558.5759</v>
      </c>
      <c r="AB67" s="60" t="str">
        <f>IFERROR(AB5/$B53,".")</f>
        <v>.</v>
      </c>
      <c r="AC67" s="60">
        <f>IFERROR(AC5/$B53,".")</f>
        <v>1278005050558.5759</v>
      </c>
      <c r="AD67" s="189">
        <f t="shared" ref="AD67" si="188">IFERROR(AD5/$B53,0)</f>
        <v>3.7104941155867348E-8</v>
      </c>
      <c r="AE67" s="60" t="str">
        <f>IFERROR(AE5/$B53,".")</f>
        <v>.</v>
      </c>
      <c r="AF67" s="189">
        <f t="shared" ref="AF67" si="189">IFERROR(AF5/$B53,0)</f>
        <v>0</v>
      </c>
    </row>
    <row r="68" spans="1:32" x14ac:dyDescent="0.25">
      <c r="A68" s="77" t="s">
        <v>1075</v>
      </c>
      <c r="B68" s="170">
        <v>0.99999979999999999</v>
      </c>
      <c r="C68" s="170"/>
      <c r="D68" s="60">
        <f t="shared" ref="D68:I68" si="190">IFERROR(D9/$B54,".")</f>
        <v>42134.606135262584</v>
      </c>
      <c r="E68" s="60">
        <f t="shared" si="190"/>
        <v>5995248.8806431359</v>
      </c>
      <c r="F68" s="60">
        <f t="shared" si="190"/>
        <v>0.32939015726161069</v>
      </c>
      <c r="G68" s="60">
        <f t="shared" si="190"/>
        <v>38.603568477649695</v>
      </c>
      <c r="H68" s="60">
        <f t="shared" si="190"/>
        <v>3.8919565266909064</v>
      </c>
      <c r="I68" s="60">
        <f t="shared" si="190"/>
        <v>0.32660082052024619</v>
      </c>
      <c r="J68" s="189">
        <f>IFERROR(J9/$B54,0)</f>
        <v>7.4094640638300147E-15</v>
      </c>
      <c r="K68" s="60">
        <f>IFERROR(K9/$B54,".")</f>
        <v>0.32939015726161069</v>
      </c>
      <c r="L68" s="60">
        <f>IFERROR(L9/$B54,".")</f>
        <v>1.8471535195060504</v>
      </c>
      <c r="M68" s="60">
        <f>IFERROR(M9/$B54,".")</f>
        <v>0.63917375754336359</v>
      </c>
      <c r="N68" s="60">
        <f>IFERROR(N9/$B54,".")</f>
        <v>0.39478379142384223</v>
      </c>
      <c r="O68" s="60">
        <f>IFERROR(O9/$B54,".")</f>
        <v>1.8125645967477486</v>
      </c>
      <c r="P68" s="189">
        <f t="shared" ref="P68:T68" si="191">IFERROR(P9/$B54,0)</f>
        <v>7.4727446468798058E-15</v>
      </c>
      <c r="Q68" s="189">
        <f t="shared" si="191"/>
        <v>4.1905643719314496E-14</v>
      </c>
      <c r="R68" s="189">
        <f t="shared" si="191"/>
        <v>1.4500683064778668E-14</v>
      </c>
      <c r="S68" s="189">
        <f t="shared" si="191"/>
        <v>8.9563042458927058E-15</v>
      </c>
      <c r="T68" s="189">
        <f t="shared" si="191"/>
        <v>4.112093846420831E-17</v>
      </c>
      <c r="U68" s="60">
        <f>IFERROR(U9/$B54,".")</f>
        <v>4.4103970679687921</v>
      </c>
      <c r="V68" s="60">
        <f>IFERROR(V9/$B54,".")</f>
        <v>125.61734644610007</v>
      </c>
      <c r="W68" s="60">
        <f>IFERROR(W9/$B54,".")</f>
        <v>4.2608012834734383</v>
      </c>
      <c r="X68" s="189">
        <f t="shared" ref="X68" si="192">IFERROR(X9/$B54,0)</f>
        <v>9.6663119041552385E-17</v>
      </c>
      <c r="Y68" s="60">
        <f>IFERROR(Y9/$B54,".")</f>
        <v>2462.7240803256504</v>
      </c>
      <c r="Z68" s="60">
        <f>IFERROR(Z9,".")</f>
        <v>10.832824574180092</v>
      </c>
      <c r="AA68" s="60">
        <f>IFERROR(AA9/$B54,".")</f>
        <v>2074.6839385708399</v>
      </c>
      <c r="AB68" s="60">
        <f>IFERROR(AB9/$B54,".")</f>
        <v>537.09404136270973</v>
      </c>
      <c r="AC68" s="60">
        <f>IFERROR(AC9/$B54,".")</f>
        <v>10.519457554609009</v>
      </c>
      <c r="AD68" s="189">
        <f t="shared" ref="AD68" si="193">IFERROR(AD9/$B54,0)</f>
        <v>2.3865078660152613E-16</v>
      </c>
      <c r="AE68" s="60">
        <f>IFERROR(AE9/$B54,".")</f>
        <v>95.973269530320337</v>
      </c>
      <c r="AF68" s="189">
        <f t="shared" ref="AF68" si="194">IFERROR(AF9/$B54,0)</f>
        <v>2.1773077316231011E-12</v>
      </c>
    </row>
    <row r="69" spans="1:32" x14ac:dyDescent="0.25">
      <c r="A69" s="77" t="s">
        <v>1076</v>
      </c>
      <c r="B69" s="170">
        <v>1.9999999999999999E-7</v>
      </c>
      <c r="C69" s="170"/>
      <c r="D69" s="60" t="str">
        <f t="shared" ref="D69:I69" si="195">IFERROR(D24/$B55,".")</f>
        <v>.</v>
      </c>
      <c r="E69" s="60" t="str">
        <f t="shared" si="195"/>
        <v>.</v>
      </c>
      <c r="F69" s="60">
        <f t="shared" si="195"/>
        <v>3532275322.0739083</v>
      </c>
      <c r="G69" s="60" t="str">
        <f t="shared" si="195"/>
        <v>.</v>
      </c>
      <c r="H69" s="60" t="str">
        <f t="shared" si="195"/>
        <v>.</v>
      </c>
      <c r="I69" s="60">
        <f t="shared" si="195"/>
        <v>3532275322.0739083</v>
      </c>
      <c r="J69" s="189">
        <f>IFERROR(J24/$B55,0)</f>
        <v>2.3929328380513364E-9</v>
      </c>
      <c r="K69" s="60">
        <f>IFERROR(K24/$B55,".")</f>
        <v>3532275322.0739083</v>
      </c>
      <c r="L69" s="60">
        <f>IFERROR(L24/$B55,".")</f>
        <v>17545942776.314846</v>
      </c>
      <c r="M69" s="60">
        <f>IFERROR(M24/$B55,".")</f>
        <v>6147776896.43398</v>
      </c>
      <c r="N69" s="60">
        <f>IFERROR(N24/$B55,".")</f>
        <v>3947837124.6708398</v>
      </c>
      <c r="O69" s="60">
        <f>IFERROR(O24/$B55,".")</f>
        <v>17775146495.949291</v>
      </c>
      <c r="P69" s="189">
        <f t="shared" ref="P69:T69" si="196">IFERROR(P24/$B55,0)</f>
        <v>2.3929328380513364E-9</v>
      </c>
      <c r="Q69" s="189">
        <f t="shared" si="196"/>
        <v>1.1886463770712528E-8</v>
      </c>
      <c r="R69" s="189">
        <f t="shared" si="196"/>
        <v>4.1647991379824802E-9</v>
      </c>
      <c r="S69" s="189">
        <f t="shared" si="196"/>
        <v>2.6744543484103182E-9</v>
      </c>
      <c r="T69" s="189">
        <f t="shared" si="196"/>
        <v>1.2041737371241139E-11</v>
      </c>
      <c r="U69" s="60" t="str">
        <f>IFERROR(U24/$B55,".")</f>
        <v>.</v>
      </c>
      <c r="V69" s="60">
        <f>IFERROR(V24/$B55,".")</f>
        <v>1313439933241.0366</v>
      </c>
      <c r="W69" s="60">
        <f>IFERROR(W24/$B55,".")</f>
        <v>1313439933241.0366</v>
      </c>
      <c r="X69" s="189">
        <f t="shared" ref="X69" si="197">IFERROR(X24/$B55,0)</f>
        <v>8.8978725056321336E-10</v>
      </c>
      <c r="Y69" s="60" t="str">
        <f>IFERROR(Y24/$B55,".")</f>
        <v>.</v>
      </c>
      <c r="Z69" s="60" t="str">
        <f>IFERROR(Z24,".")</f>
        <v>.</v>
      </c>
      <c r="AA69" s="60">
        <f>IFERROR(AA24/$B55,".")</f>
        <v>21617135496592.965</v>
      </c>
      <c r="AB69" s="60" t="str">
        <f>IFERROR(AB24/$B55,".")</f>
        <v>.</v>
      </c>
      <c r="AC69" s="60">
        <f>IFERROR(AC24/$B55,".")</f>
        <v>21617135496592.965</v>
      </c>
      <c r="AD69" s="189">
        <f t="shared" ref="AD69" si="198">IFERROR(AD24/$B55,0)</f>
        <v>1.464448512015512E-8</v>
      </c>
      <c r="AE69" s="60" t="str">
        <f>IFERROR(AE24/$B55,".")</f>
        <v>.</v>
      </c>
      <c r="AF69" s="189">
        <f t="shared" ref="AF69" si="199">IFERROR(AF24/$B55,0)</f>
        <v>0</v>
      </c>
    </row>
    <row r="70" spans="1:32" x14ac:dyDescent="0.25">
      <c r="A70" s="77" t="s">
        <v>1077</v>
      </c>
      <c r="B70" s="170">
        <v>0.99979000004200003</v>
      </c>
      <c r="C70" s="170"/>
      <c r="D70" s="60" t="str">
        <f t="shared" ref="D70:I70" si="200">IFERROR(D20/$B56,".")</f>
        <v>.</v>
      </c>
      <c r="E70" s="60" t="str">
        <f t="shared" si="200"/>
        <v>.</v>
      </c>
      <c r="F70" s="60">
        <f t="shared" si="200"/>
        <v>6268.699877550308</v>
      </c>
      <c r="G70" s="60" t="str">
        <f t="shared" si="200"/>
        <v>.</v>
      </c>
      <c r="H70" s="60" t="str">
        <f t="shared" si="200"/>
        <v>.</v>
      </c>
      <c r="I70" s="60">
        <f t="shared" si="200"/>
        <v>6268.699877550308</v>
      </c>
      <c r="J70" s="189">
        <f>IFERROR(J20/$B56,0)</f>
        <v>1.9569522958428593E-17</v>
      </c>
      <c r="K70" s="60">
        <f>IFERROR(K20/$B56,".")</f>
        <v>6268.699877550308</v>
      </c>
      <c r="L70" s="60">
        <f>IFERROR(L20/$B56,".")</f>
        <v>32221.11737060859</v>
      </c>
      <c r="M70" s="60">
        <f>IFERROR(M20/$B56,".")</f>
        <v>11266.124954758248</v>
      </c>
      <c r="N70" s="60">
        <f>IFERROR(N20/$B56,".")</f>
        <v>7128.5657899576518</v>
      </c>
      <c r="O70" s="60">
        <f>IFERROR(O20/$B56,".")</f>
        <v>32711.332054513328</v>
      </c>
      <c r="P70" s="189">
        <f t="shared" ref="P70:T70" si="201">IFERROR(P20/$B56,0)</f>
        <v>1.9569522958428593E-17</v>
      </c>
      <c r="Q70" s="189">
        <f t="shared" si="201"/>
        <v>1.0058734800632298E-16</v>
      </c>
      <c r="R70" s="189">
        <f t="shared" si="201"/>
        <v>3.5170401400812223E-17</v>
      </c>
      <c r="S70" s="189">
        <f t="shared" si="201"/>
        <v>2.2253838054496232E-17</v>
      </c>
      <c r="T70" s="189">
        <f t="shared" si="201"/>
        <v>1.0211769204872772E-19</v>
      </c>
      <c r="U70" s="60" t="str">
        <f>IFERROR(U20/$B56,".")</f>
        <v>.</v>
      </c>
      <c r="V70" s="60">
        <f>IFERROR(V20/$B56,".")</f>
        <v>2350859.8768014573</v>
      </c>
      <c r="W70" s="60">
        <f>IFERROR(W20/$B56,".")</f>
        <v>2350859.8768014573</v>
      </c>
      <c r="X70" s="189">
        <f t="shared" ref="X70" si="202">IFERROR(X20/$B56,0)</f>
        <v>7.3388752420370644E-18</v>
      </c>
      <c r="Y70" s="60" t="str">
        <f>IFERROR(Y20/$B56,".")</f>
        <v>.</v>
      </c>
      <c r="Z70" s="60" t="str">
        <f>IFERROR(Z20,".")</f>
        <v>.</v>
      </c>
      <c r="AA70" s="60">
        <f>IFERROR(AA20/$B56,".")</f>
        <v>38829692.829202786</v>
      </c>
      <c r="AB70" s="60" t="str">
        <f>IFERROR(AB20/$B56,".")</f>
        <v>.</v>
      </c>
      <c r="AC70" s="60">
        <f>IFERROR(AC20/$B56,".")</f>
        <v>38829692.829202786</v>
      </c>
      <c r="AD70" s="189">
        <f t="shared" ref="AD70" si="203">IFERROR(AD20/$B56,0)</f>
        <v>1.2121788889768325E-16</v>
      </c>
      <c r="AE70" s="60" t="str">
        <f>IFERROR(AE20/$B56,".")</f>
        <v>.</v>
      </c>
      <c r="AF70" s="189">
        <f t="shared" ref="AF70" si="204">IFERROR(AF20/$B56,0)</f>
        <v>0</v>
      </c>
    </row>
    <row r="71" spans="1:32" x14ac:dyDescent="0.25">
      <c r="A71" s="77" t="s">
        <v>1078</v>
      </c>
      <c r="B71" s="170">
        <v>2.0999995799999999E-4</v>
      </c>
      <c r="C71" s="170"/>
      <c r="D71" s="60" t="str">
        <f t="shared" ref="D71:I71" si="205">IFERROR(D29/$B57,".")</f>
        <v>.</v>
      </c>
      <c r="E71" s="60" t="str">
        <f t="shared" si="205"/>
        <v>.</v>
      </c>
      <c r="F71" s="60">
        <f t="shared" si="205"/>
        <v>854.12974281963955</v>
      </c>
      <c r="G71" s="60" t="str">
        <f t="shared" si="205"/>
        <v>.</v>
      </c>
      <c r="H71" s="60" t="str">
        <f t="shared" si="205"/>
        <v>.</v>
      </c>
      <c r="I71" s="60">
        <f t="shared" si="205"/>
        <v>854.12974281963955</v>
      </c>
      <c r="J71" s="189">
        <f>IFERROR(J29/$B57,0)</f>
        <v>1.2421932561098424E-12</v>
      </c>
      <c r="K71" s="60">
        <f>IFERROR(K29/$B57,".")</f>
        <v>854.12974281963955</v>
      </c>
      <c r="L71" s="60">
        <f>IFERROR(L29/$B57,".")</f>
        <v>4676.8811527563194</v>
      </c>
      <c r="M71" s="60">
        <f>IFERROR(M29/$B57,".")</f>
        <v>1628.4681720850028</v>
      </c>
      <c r="N71" s="60">
        <f>IFERROR(N29/$B57,".")</f>
        <v>1013.2212801215805</v>
      </c>
      <c r="O71" s="60">
        <f>IFERROR(O29/$B57,".")</f>
        <v>4642.5716583365856</v>
      </c>
      <c r="P71" s="189">
        <f t="shared" ref="P71:T71" si="206">IFERROR(P29/$B57,0)</f>
        <v>1.2421932561098424E-12</v>
      </c>
      <c r="Q71" s="189">
        <f t="shared" si="206"/>
        <v>6.8017655121136495E-12</v>
      </c>
      <c r="R71" s="189">
        <f t="shared" si="206"/>
        <v>2.3683429808633511E-12</v>
      </c>
      <c r="S71" s="189">
        <f t="shared" si="206"/>
        <v>1.4735661083046744E-12</v>
      </c>
      <c r="T71" s="189">
        <f t="shared" si="206"/>
        <v>6.7518679140648576E-15</v>
      </c>
      <c r="U71" s="60" t="str">
        <f>IFERROR(U29/$B57,".")</f>
        <v>.</v>
      </c>
      <c r="V71" s="60">
        <f>IFERROR(V29/$B57,".")</f>
        <v>322200.33666369825</v>
      </c>
      <c r="W71" s="60">
        <f>IFERROR(W29/$B57,".")</f>
        <v>322200.33666369825</v>
      </c>
      <c r="X71" s="189">
        <f t="shared" ref="X71" si="207">IFERROR(X29/$B57,0)</f>
        <v>4.6858816085565287E-13</v>
      </c>
      <c r="Y71" s="60" t="str">
        <f>IFERROR(Y29/$B57,".")</f>
        <v>.</v>
      </c>
      <c r="Z71" s="60" t="str">
        <f>IFERROR(Z29,".")</f>
        <v>.</v>
      </c>
      <c r="AA71" s="60">
        <f>IFERROR(AA29/$B57,".")</f>
        <v>5338368.0290711662</v>
      </c>
      <c r="AB71" s="60" t="str">
        <f>IFERROR(AB29/$B57,".")</f>
        <v>.</v>
      </c>
      <c r="AC71" s="60">
        <f>IFERROR(AC29/$B57,".")</f>
        <v>5338368.0290711662</v>
      </c>
      <c r="AD71" s="189">
        <f t="shared" ref="AD71" si="208">IFERROR(AD29/$B57,0)</f>
        <v>7.7637909463888947E-12</v>
      </c>
      <c r="AE71" s="60" t="str">
        <f>IFERROR(AE29/$B57,".")</f>
        <v>.</v>
      </c>
      <c r="AF71" s="189">
        <f t="shared" ref="AF71" si="209">IFERROR(AF29/$B57,0)</f>
        <v>0</v>
      </c>
    </row>
    <row r="72" spans="1:32" x14ac:dyDescent="0.25">
      <c r="A72" s="77" t="s">
        <v>1079</v>
      </c>
      <c r="B72" s="170">
        <v>1</v>
      </c>
      <c r="C72" s="170"/>
      <c r="D72" s="60">
        <f t="shared" ref="D72:I72" si="210">IFERROR(D16/$B58,".")</f>
        <v>6.1549559397479054</v>
      </c>
      <c r="E72" s="60">
        <f t="shared" si="210"/>
        <v>9834.8825756943661</v>
      </c>
      <c r="F72" s="60">
        <f t="shared" si="210"/>
        <v>1438.1406668443772</v>
      </c>
      <c r="G72" s="60">
        <f t="shared" si="210"/>
        <v>3.2468825740827906E-2</v>
      </c>
      <c r="H72" s="60">
        <f t="shared" si="210"/>
        <v>5.6853079068298115E-4</v>
      </c>
      <c r="I72" s="60">
        <f t="shared" si="210"/>
        <v>3.2297612505836383E-2</v>
      </c>
      <c r="J72" s="189">
        <f>IFERROR(J16/$B58,0)</f>
        <v>4.2160011460618579E-10</v>
      </c>
      <c r="K72" s="60">
        <f>IFERROR(K16/$B58,".")</f>
        <v>1438.1406668443772</v>
      </c>
      <c r="L72" s="60">
        <f>IFERROR(L16/$B58,".")</f>
        <v>2262.2437455978966</v>
      </c>
      <c r="M72" s="60">
        <f>IFERROR(M16/$B58,".")</f>
        <v>1464.2886789688207</v>
      </c>
      <c r="N72" s="60">
        <f>IFERROR(N16/$B58,".")</f>
        <v>1438.1406668443772</v>
      </c>
      <c r="O72" s="60">
        <f>IFERROR(O16/$B58,".")</f>
        <v>1186.1019412965243</v>
      </c>
      <c r="P72" s="189">
        <f t="shared" ref="P72:T72" si="211">IFERROR(P16/$B58,0)</f>
        <v>1.8772913008719764E-5</v>
      </c>
      <c r="Q72" s="189">
        <f t="shared" si="211"/>
        <v>2.9530424957536706E-5</v>
      </c>
      <c r="R72" s="189">
        <f t="shared" si="211"/>
        <v>1.9114238699787397E-5</v>
      </c>
      <c r="S72" s="189">
        <f t="shared" si="211"/>
        <v>1.8772913008719764E-5</v>
      </c>
      <c r="T72" s="189">
        <f t="shared" si="211"/>
        <v>1.5482900300908311E-8</v>
      </c>
      <c r="U72" s="60">
        <f>IFERROR(U16/$B58,".")</f>
        <v>7.2350186187777887E-3</v>
      </c>
      <c r="V72" s="60">
        <f>IFERROR(V16/$B58,".")</f>
        <v>189626.14747428973</v>
      </c>
      <c r="W72" s="60">
        <f>IFERROR(W16/$B58,".")</f>
        <v>7.2350183427320382E-3</v>
      </c>
      <c r="X72" s="189">
        <f t="shared" ref="X72" si="212">IFERROR(X16/$B58,0)</f>
        <v>9.4443035438686927E-14</v>
      </c>
      <c r="Y72" s="60">
        <f>IFERROR(Y16/$B58,".")</f>
        <v>0.35975079860720038</v>
      </c>
      <c r="Z72" s="60" t="str">
        <f>IFERROR(Z16,".")</f>
        <v>.</v>
      </c>
      <c r="AA72" s="60">
        <f>IFERROR(AA16/$B58,".")</f>
        <v>2931204.2444004035</v>
      </c>
      <c r="AB72" s="60">
        <f>IFERROR(AB16/$B58,".")</f>
        <v>0.13319710988816033</v>
      </c>
      <c r="AC72" s="60">
        <f>IFERROR(AC16/$B58,".")</f>
        <v>9.720654908875985E-2</v>
      </c>
      <c r="AD72" s="189">
        <f t="shared" ref="AD72" si="213">IFERROR(AD16/$B58,0)</f>
        <v>1.2688954091850357E-12</v>
      </c>
      <c r="AE72" s="60">
        <f>IFERROR(AE16/$B58,".")</f>
        <v>1.4019621862759119E-2</v>
      </c>
      <c r="AF72" s="189">
        <f t="shared" ref="AF72" si="214">IFERROR(AF16/$B58,0)</f>
        <v>1.8300653594771243E-10</v>
      </c>
    </row>
    <row r="73" spans="1:32" x14ac:dyDescent="0.25">
      <c r="A73" s="77" t="s">
        <v>1080</v>
      </c>
      <c r="B73" s="170">
        <v>1</v>
      </c>
      <c r="C73" s="170"/>
      <c r="D73" s="60">
        <f t="shared" ref="D73:I73" si="215">IFERROR(D7/$B59,".")</f>
        <v>3487.8083658571463</v>
      </c>
      <c r="E73" s="60">
        <f t="shared" si="215"/>
        <v>406194.12281806185</v>
      </c>
      <c r="F73" s="60">
        <f t="shared" si="215"/>
        <v>549.73295114870382</v>
      </c>
      <c r="G73" s="60">
        <f t="shared" si="215"/>
        <v>3.195516973768592</v>
      </c>
      <c r="H73" s="60">
        <f t="shared" si="215"/>
        <v>0.32216744805368919</v>
      </c>
      <c r="I73" s="60">
        <f t="shared" si="215"/>
        <v>3.1741331041437917</v>
      </c>
      <c r="J73" s="189">
        <f>IFERROR(J7/$B59,0)</f>
        <v>2.5633464108577655E-11</v>
      </c>
      <c r="K73" s="60">
        <f>IFERROR(K7/$B59,".")</f>
        <v>549.73295114870382</v>
      </c>
      <c r="L73" s="60">
        <f>IFERROR(L7/$B59,".")</f>
        <v>958.76044456291811</v>
      </c>
      <c r="M73" s="60">
        <f>IFERROR(M7/$B59,".")</f>
        <v>662.84672710522727</v>
      </c>
      <c r="N73" s="60">
        <f>IFERROR(N7/$B59,".")</f>
        <v>561.22562608561054</v>
      </c>
      <c r="O73" s="60">
        <f>IFERROR(O7/$B59,".")</f>
        <v>73.328809476166882</v>
      </c>
      <c r="P73" s="189">
        <f t="shared" ref="P73:T73" si="216">IFERROR(P7/$B59,0)</f>
        <v>4.4394987261802029E-9</v>
      </c>
      <c r="Q73" s="189">
        <f t="shared" si="216"/>
        <v>7.7426971831595222E-9</v>
      </c>
      <c r="R73" s="189">
        <f t="shared" si="216"/>
        <v>5.3529758303325077E-9</v>
      </c>
      <c r="S73" s="189">
        <f t="shared" si="216"/>
        <v>4.532310546239719E-9</v>
      </c>
      <c r="T73" s="189">
        <f t="shared" si="216"/>
        <v>5.9218417884812872E-13</v>
      </c>
      <c r="U73" s="60">
        <f>IFERROR(U7/$B59,".")</f>
        <v>0.29881617993993198</v>
      </c>
      <c r="V73" s="60">
        <f>IFERROR(V7/$B59,".")</f>
        <v>34617.796690073825</v>
      </c>
      <c r="W73" s="60">
        <f>IFERROR(W7/$B59,".")</f>
        <v>0.29881360062099233</v>
      </c>
      <c r="X73" s="189">
        <f t="shared" ref="X73" si="217">IFERROR(X7/$B59,0)</f>
        <v>2.4131400465448401E-15</v>
      </c>
      <c r="Y73" s="60">
        <f>IFERROR(Y7/$B59,".")</f>
        <v>203.85878587741354</v>
      </c>
      <c r="Z73" s="60" t="str">
        <f>IFERROR(Z7,".")</f>
        <v>.</v>
      </c>
      <c r="AA73" s="60">
        <f>IFERROR(AA7/$B59,".")</f>
        <v>1072151.8880524966</v>
      </c>
      <c r="AB73" s="60">
        <f>IFERROR(AB7/$B59,".")</f>
        <v>44.459442309800728</v>
      </c>
      <c r="AC73" s="60">
        <f>IFERROR(AC7/$B59,".")</f>
        <v>36.498083363721484</v>
      </c>
      <c r="AD73" s="189">
        <f t="shared" ref="AD73" si="218">IFERROR(AD7/$B59,0)</f>
        <v>2.9474892174951706E-13</v>
      </c>
      <c r="AE73" s="60">
        <f>IFERROR(AE7/$B59,".")</f>
        <v>7.9444523888968339</v>
      </c>
      <c r="AF73" s="189">
        <f t="shared" ref="AF73" si="219">IFERROR(AF7/$B59,0)</f>
        <v>6.4157307992924593E-11</v>
      </c>
    </row>
    <row r="74" spans="1:32" x14ac:dyDescent="0.25">
      <c r="A74" s="77" t="s">
        <v>1081</v>
      </c>
      <c r="B74" s="174">
        <v>1.9000000000000001E-8</v>
      </c>
      <c r="C74" s="174"/>
      <c r="D74" s="60" t="str">
        <f t="shared" ref="D74:I74" si="220">IFERROR(D12/$B60,".")</f>
        <v>.</v>
      </c>
      <c r="E74" s="60" t="str">
        <f t="shared" si="220"/>
        <v>.</v>
      </c>
      <c r="F74" s="60">
        <f t="shared" si="220"/>
        <v>258459169.90784696</v>
      </c>
      <c r="G74" s="60" t="str">
        <f t="shared" si="220"/>
        <v>.</v>
      </c>
      <c r="H74" s="60" t="str">
        <f t="shared" si="220"/>
        <v>.</v>
      </c>
      <c r="I74" s="60">
        <f t="shared" si="220"/>
        <v>258459169.90784696</v>
      </c>
      <c r="J74" s="189">
        <f>IFERROR(J12/$B60,0)</f>
        <v>2.3116359988645305E-6</v>
      </c>
      <c r="K74" s="60">
        <f>IFERROR(K12/$B60,".")</f>
        <v>258459169.90784696</v>
      </c>
      <c r="L74" s="60">
        <f>IFERROR(L12/$B60,".")</f>
        <v>1142514928.9726927</v>
      </c>
      <c r="M74" s="60">
        <f>IFERROR(M12/$B60,".")</f>
        <v>409539167.776685</v>
      </c>
      <c r="N74" s="60">
        <f>IFERROR(N12/$B60,".")</f>
        <v>276138787.39340001</v>
      </c>
      <c r="O74" s="60">
        <f>IFERROR(O12/$B60,".")</f>
        <v>909163268.31983674</v>
      </c>
      <c r="P74" s="189">
        <f t="shared" ref="P74:T74" si="221">IFERROR(P12/$B60,0)</f>
        <v>2.3116359988645305E-6</v>
      </c>
      <c r="Q74" s="189">
        <f t="shared" si="221"/>
        <v>1.0218552663444286E-5</v>
      </c>
      <c r="R74" s="189">
        <f t="shared" si="221"/>
        <v>3.6628821624520098E-6</v>
      </c>
      <c r="S74" s="189">
        <f t="shared" si="221"/>
        <v>2.4697609368976095E-6</v>
      </c>
      <c r="T74" s="189">
        <f t="shared" si="221"/>
        <v>8.13147601086395E-9</v>
      </c>
      <c r="U74" s="60" t="str">
        <f>IFERROR(U12/$B60,".")</f>
        <v>.</v>
      </c>
      <c r="V74" s="60">
        <f>IFERROR(V12/$B60,".")</f>
        <v>84545546630.434006</v>
      </c>
      <c r="W74" s="60">
        <f>IFERROR(W12/$B60,".")</f>
        <v>84545546630.434006</v>
      </c>
      <c r="X74" s="189">
        <f t="shared" ref="X74" si="222">IFERROR(X12/$B60,0)</f>
        <v>7.5616790537659889E-7</v>
      </c>
      <c r="Y74" s="60" t="str">
        <f>IFERROR(Y12/$B60,".")</f>
        <v>.</v>
      </c>
      <c r="Z74" s="60" t="str">
        <f>IFERROR(Z12,".")</f>
        <v>.</v>
      </c>
      <c r="AA74" s="60">
        <f>IFERROR(AA12/$B60,".")</f>
        <v>1413097136840.5305</v>
      </c>
      <c r="AB74" s="60" t="str">
        <f>IFERROR(AB12/$B60,".")</f>
        <v>.</v>
      </c>
      <c r="AC74" s="60">
        <f>IFERROR(AC12/$B60,".")</f>
        <v>1413097136840.5305</v>
      </c>
      <c r="AD74" s="189">
        <f t="shared" ref="AD74" si="223">IFERROR(AD12/$B60,0)</f>
        <v>1.2638616043600447E-5</v>
      </c>
      <c r="AE74" s="60" t="str">
        <f>IFERROR(AE12/$B60,".")</f>
        <v>.</v>
      </c>
      <c r="AF74" s="189">
        <f t="shared" ref="AF74" si="224">IFERROR(AF12/$B60,0)</f>
        <v>0</v>
      </c>
    </row>
    <row r="75" spans="1:32" x14ac:dyDescent="0.25">
      <c r="A75" s="77" t="s">
        <v>1082</v>
      </c>
      <c r="B75" s="170">
        <v>1</v>
      </c>
      <c r="C75" s="170"/>
      <c r="D75" s="60">
        <f t="shared" ref="D75:I75" si="225">IFERROR(D18/$B61,".")</f>
        <v>3.5874600334530649</v>
      </c>
      <c r="E75" s="60">
        <f t="shared" si="225"/>
        <v>12671.867934067739</v>
      </c>
      <c r="F75" s="60">
        <f t="shared" si="225"/>
        <v>53335.018108135846</v>
      </c>
      <c r="G75" s="60">
        <f t="shared" si="225"/>
        <v>0.14838416644195954</v>
      </c>
      <c r="H75" s="60">
        <f t="shared" si="225"/>
        <v>3.3137223228379476E-4</v>
      </c>
      <c r="I75" s="60">
        <f t="shared" si="225"/>
        <v>0.14248850605152186</v>
      </c>
      <c r="J75" s="189">
        <f>IFERROR(J18/$B61,0)</f>
        <v>3.1763259818823558E-11</v>
      </c>
      <c r="K75" s="60">
        <f>IFERROR(K18/$B61,".")</f>
        <v>53335.018108135846</v>
      </c>
      <c r="L75" s="60">
        <f>IFERROR(L18/$B61,".")</f>
        <v>274866.47557435196</v>
      </c>
      <c r="M75" s="60">
        <f>IFERROR(M18/$B61,".")</f>
        <v>95876.044456291798</v>
      </c>
      <c r="N75" s="60">
        <f>IFERROR(N18/$B61,".")</f>
        <v>61012.028290367518</v>
      </c>
      <c r="O75" s="60">
        <f>IFERROR(O18/$B61,".")</f>
        <v>279158.48292987613</v>
      </c>
      <c r="P75" s="189">
        <f t="shared" ref="P75:T75" si="226">IFERROR(P18/$B61,0)</f>
        <v>1.1889338196849488E-5</v>
      </c>
      <c r="Q75" s="189">
        <f t="shared" si="226"/>
        <v>6.1272698557142421E-5</v>
      </c>
      <c r="R75" s="189">
        <f t="shared" si="226"/>
        <v>2.1372500806241337E-5</v>
      </c>
      <c r="S75" s="189">
        <f t="shared" si="226"/>
        <v>1.360068233124449E-5</v>
      </c>
      <c r="T75" s="189">
        <f t="shared" si="226"/>
        <v>6.2229464464481789E-8</v>
      </c>
      <c r="U75" s="60">
        <f>IFERROR(U18/$B61,".")</f>
        <v>9.3220432203483042E-3</v>
      </c>
      <c r="V75" s="60">
        <f>IFERROR(V18/$B61,".")</f>
        <v>20070542.80008775</v>
      </c>
      <c r="W75" s="60">
        <f>IFERROR(W18/$B61,".")</f>
        <v>9.3220432160185523E-3</v>
      </c>
      <c r="X75" s="189">
        <f t="shared" ref="X75" si="227">IFERROR(X18/$B61,0)</f>
        <v>2.0780516893456217E-15</v>
      </c>
      <c r="Y75" s="60">
        <f>IFERROR(Y18/$B61,".")</f>
        <v>0.2096833226167682</v>
      </c>
      <c r="Z75" s="60" t="str">
        <f>IFERROR(Z18,".")</f>
        <v>.</v>
      </c>
      <c r="AA75" s="60">
        <f>IFERROR(AA18/$B61,".")</f>
        <v>331089391.33641863</v>
      </c>
      <c r="AB75" s="60">
        <f>IFERROR(AB18/$B61,".")</f>
        <v>8.9024726383206576E-2</v>
      </c>
      <c r="AC75" s="60">
        <f>IFERROR(AC18/$B61,".")</f>
        <v>6.2492458713617187E-2</v>
      </c>
      <c r="AD75" s="189">
        <f t="shared" ref="AD75" si="228">IFERROR(AD18/$B61,0)</f>
        <v>1.3930696993341988E-14</v>
      </c>
      <c r="AE75" s="60">
        <f>IFERROR(AE18/$B61,".")</f>
        <v>8.1714367428653151E-3</v>
      </c>
      <c r="AF75" s="189">
        <f t="shared" ref="AF75" si="229">IFERROR(AF18/$B61,0)</f>
        <v>1.8215607388210117E-12</v>
      </c>
    </row>
    <row r="76" spans="1:32" x14ac:dyDescent="0.25">
      <c r="A76" s="77" t="s">
        <v>1083</v>
      </c>
      <c r="B76" s="170">
        <v>1.339E-6</v>
      </c>
      <c r="C76" s="170"/>
      <c r="D76" s="60" t="str">
        <f t="shared" ref="D76:I76" si="230">IFERROR(D27/$B62,".")</f>
        <v>.</v>
      </c>
      <c r="E76" s="60" t="str">
        <f t="shared" si="230"/>
        <v>.</v>
      </c>
      <c r="F76" s="60">
        <f t="shared" si="230"/>
        <v>175866334.18341595</v>
      </c>
      <c r="G76" s="60" t="str">
        <f t="shared" si="230"/>
        <v>.</v>
      </c>
      <c r="H76" s="60" t="str">
        <f t="shared" si="230"/>
        <v>.</v>
      </c>
      <c r="I76" s="60">
        <f t="shared" si="230"/>
        <v>175866334.18341595</v>
      </c>
      <c r="J76" s="189">
        <f>IFERROR(J27/$B62,0)</f>
        <v>8.1059122248739795E-7</v>
      </c>
      <c r="K76" s="60">
        <f>IFERROR(K27/$B62,".")</f>
        <v>175866334.18341595</v>
      </c>
      <c r="L76" s="60">
        <f>IFERROR(L27/$B62,".")</f>
        <v>296287124.58486819</v>
      </c>
      <c r="M76" s="60">
        <f>IFERROR(M27/$B62,".")</f>
        <v>212531046.96370408</v>
      </c>
      <c r="N76" s="60">
        <f>IFERROR(N27/$B62,".")</f>
        <v>180348684.52991977</v>
      </c>
      <c r="O76" s="60">
        <f>IFERROR(O27/$B62,".")</f>
        <v>31408684.812749952</v>
      </c>
      <c r="P76" s="189">
        <f t="shared" ref="P76:T76" si="231">IFERROR(P27/$B62,0)</f>
        <v>8.1059122248739795E-7</v>
      </c>
      <c r="Q76" s="189">
        <f t="shared" si="231"/>
        <v>1.3656265915797539E-6</v>
      </c>
      <c r="R76" s="189">
        <f t="shared" si="231"/>
        <v>9.7958373883636075E-7</v>
      </c>
      <c r="S76" s="189">
        <f t="shared" si="231"/>
        <v>8.3125096878767627E-7</v>
      </c>
      <c r="T76" s="189">
        <f t="shared" si="231"/>
        <v>1.4476678744287588E-10</v>
      </c>
      <c r="U76" s="60" t="str">
        <f>IFERROR(U27/$B62,".")</f>
        <v>.</v>
      </c>
      <c r="V76" s="60">
        <f>IFERROR(V27/$B62,".")</f>
        <v>16801499570.22525</v>
      </c>
      <c r="W76" s="60">
        <f>IFERROR(W27/$B62,".")</f>
        <v>16801499570.22525</v>
      </c>
      <c r="X76" s="189">
        <f t="shared" ref="X76" si="232">IFERROR(X27/$B62,0)</f>
        <v>7.7440336375275696E-8</v>
      </c>
      <c r="Y76" s="60" t="str">
        <f>IFERROR(Y27/$B62,".")</f>
        <v>.</v>
      </c>
      <c r="Z76" s="60" t="str">
        <f>IFERROR(Z27,".")</f>
        <v>.</v>
      </c>
      <c r="AA76" s="60">
        <f>IFERROR(AA27/$B62,".")</f>
        <v>502340729750.62927</v>
      </c>
      <c r="AB76" s="60" t="str">
        <f>IFERROR(AB27/$B62,".")</f>
        <v>.</v>
      </c>
      <c r="AC76" s="60">
        <f>IFERROR(AC27/$B62,".")</f>
        <v>502340729750.62927</v>
      </c>
      <c r="AD76" s="189">
        <f t="shared" ref="AD76" si="233">IFERROR(AD27/$B62,0)</f>
        <v>2.315354943425961E-6</v>
      </c>
      <c r="AE76" s="60" t="str">
        <f>IFERROR(AE27/$B62,".")</f>
        <v>.</v>
      </c>
      <c r="AF76" s="189">
        <f t="shared" ref="AF76" si="234">IFERROR(AF27/$B62,0)</f>
        <v>0</v>
      </c>
    </row>
  </sheetData>
  <sheetProtection algorithmName="SHA-512" hashValue="CnDxl2ByH/ZQqIw7lGxh+JSErkq56JsbcXU5TIAhUyEGzzkvfcLZw/tCnDhROAu5We9DglugSKIWanXvOAw1Ag==" saltValue="FMe30YXiA7iqhMX3dBJw+Q==" spinCount="100000" sheet="1" formatColumns="0" formatRows="0" autoFilter="0"/>
  <autoFilter ref="A1:AF76" xr:uid="{F69E54CC-BFFE-4AB6-ADAC-967FCEC9C2B5}"/>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857</vt:i4>
      </vt:variant>
    </vt:vector>
  </HeadingPairs>
  <TitlesOfParts>
    <vt:vector size="890" baseType="lpstr">
      <vt:lpstr>Instructions</vt:lpstr>
      <vt:lpstr>RadSpec</vt:lpstr>
      <vt:lpstr>d</vt:lpstr>
      <vt:lpstr>d_Bv</vt:lpstr>
      <vt:lpstr>d_Irr</vt:lpstr>
      <vt:lpstr>d_dir</vt:lpstr>
      <vt:lpstr>d_b2s</vt:lpstr>
      <vt:lpstr>d_b2w</vt:lpstr>
      <vt:lpstr>d_res</vt:lpstr>
      <vt:lpstr>d_far</vt:lpstr>
      <vt:lpstr>d_rec</vt:lpstr>
      <vt:lpstr>d_sgw</vt:lpstr>
      <vt:lpstr>d_acf</vt:lpstr>
      <vt:lpstr>s_RadSpec</vt:lpstr>
      <vt:lpstr>ss</vt:lpstr>
      <vt:lpstr>s_Irr</vt:lpstr>
      <vt:lpstr>s_dir</vt:lpstr>
      <vt:lpstr>s_b2s</vt:lpstr>
      <vt:lpstr>s_b2w</vt:lpstr>
      <vt:lpstr>s_res</vt:lpstr>
      <vt:lpstr>s_far</vt:lpstr>
      <vt:lpstr>s_rec</vt:lpstr>
      <vt:lpstr>s_sgw</vt:lpstr>
      <vt:lpstr>up_RadSpec</vt:lpstr>
      <vt:lpstr>up_Bv</vt:lpstr>
      <vt:lpstr>up_Irr</vt:lpstr>
      <vt:lpstr>up_dir</vt:lpstr>
      <vt:lpstr>up_b2s</vt:lpstr>
      <vt:lpstr>up_b2w</vt:lpstr>
      <vt:lpstr>up_res</vt:lpstr>
      <vt:lpstr>up_far</vt:lpstr>
      <vt:lpstr>up_rec</vt:lpstr>
      <vt:lpstr>up_sgw</vt:lpstr>
      <vt:lpstr>A_wind</vt:lpstr>
      <vt:lpstr>ss!AAF_far_a</vt:lpstr>
      <vt:lpstr>AAF_far_a</vt:lpstr>
      <vt:lpstr>ss!AAF_far_c</vt:lpstr>
      <vt:lpstr>AAF_far_c</vt:lpstr>
      <vt:lpstr>ss!AAF_rec_a</vt:lpstr>
      <vt:lpstr>AAF_rec_a</vt:lpstr>
      <vt:lpstr>ss!AAF_rec_c</vt:lpstr>
      <vt:lpstr>AAF_rec_c</vt:lpstr>
      <vt:lpstr>AAF_res_a</vt:lpstr>
      <vt:lpstr>AAF_res_c</vt:lpstr>
      <vt:lpstr>As</vt:lpstr>
      <vt:lpstr>B_wind</vt:lpstr>
      <vt:lpstr>C_wind</vt:lpstr>
      <vt:lpstr>CF_apple</vt:lpstr>
      <vt:lpstr>CF_asparagus</vt:lpstr>
      <vt:lpstr>CF_beet</vt:lpstr>
      <vt:lpstr>CF_berries</vt:lpstr>
      <vt:lpstr>CF_broccoli</vt:lpstr>
      <vt:lpstr>CF_cabbage</vt:lpstr>
      <vt:lpstr>CF_carrot</vt:lpstr>
      <vt:lpstr>CF_cereal</vt:lpstr>
      <vt:lpstr>CF_citrus</vt:lpstr>
      <vt:lpstr>CF_corn</vt:lpstr>
      <vt:lpstr>CF_cucumber</vt:lpstr>
      <vt:lpstr>CF_far_beef</vt:lpstr>
      <vt:lpstr>CF_far_dairy</vt:lpstr>
      <vt:lpstr>CF_far_egg</vt:lpstr>
      <vt:lpstr>CF_far_fish</vt:lpstr>
      <vt:lpstr>CF_far_poultry</vt:lpstr>
      <vt:lpstr>CF_far_produce</vt:lpstr>
      <vt:lpstr>CF_far_sheep</vt:lpstr>
      <vt:lpstr>CF_far_shellfish</vt:lpstr>
      <vt:lpstr>CF_far_swine</vt:lpstr>
      <vt:lpstr>CF_fowl</vt:lpstr>
      <vt:lpstr>CF_game</vt:lpstr>
      <vt:lpstr>CF_lettuce</vt:lpstr>
      <vt:lpstr>CF_lima_bean</vt:lpstr>
      <vt:lpstr>CF_okra</vt:lpstr>
      <vt:lpstr>CF_onion</vt:lpstr>
      <vt:lpstr>CF_peach</vt:lpstr>
      <vt:lpstr>CF_pear</vt:lpstr>
      <vt:lpstr>CF_peas</vt:lpstr>
      <vt:lpstr>ss!CF_peppers</vt:lpstr>
      <vt:lpstr>CF_peppers</vt:lpstr>
      <vt:lpstr>CF_potato</vt:lpstr>
      <vt:lpstr>CF_pumpkin</vt:lpstr>
      <vt:lpstr>CF_res_fish</vt:lpstr>
      <vt:lpstr>CF_rice</vt:lpstr>
      <vt:lpstr>CF_snap_bean</vt:lpstr>
      <vt:lpstr>CF_strawberry</vt:lpstr>
      <vt:lpstr>CF_tomato</vt:lpstr>
      <vt:lpstr>d_a</vt:lpstr>
      <vt:lpstr>D_milk</vt:lpstr>
      <vt:lpstr>d_s</vt:lpstr>
      <vt:lpstr>DAF</vt:lpstr>
      <vt:lpstr>DF_i</vt:lpstr>
      <vt:lpstr>DFA_far_adj</vt:lpstr>
      <vt:lpstr>DFA_rec_adj</vt:lpstr>
      <vt:lpstr>DFA_res_adj</vt:lpstr>
      <vt:lpstr>DL</vt:lpstr>
      <vt:lpstr>dm</vt:lpstr>
      <vt:lpstr>ED_far</vt:lpstr>
      <vt:lpstr>ED_far_a</vt:lpstr>
      <vt:lpstr>ED_far_c</vt:lpstr>
      <vt:lpstr>ED_rec</vt:lpstr>
      <vt:lpstr>ED_rec_a</vt:lpstr>
      <vt:lpstr>ED_rec_c</vt:lpstr>
      <vt:lpstr>ED_res</vt:lpstr>
      <vt:lpstr>ED_res_a</vt:lpstr>
      <vt:lpstr>ED_res_c</vt:lpstr>
      <vt:lpstr>ED_s2gw</vt:lpstr>
      <vt:lpstr>EF_far</vt:lpstr>
      <vt:lpstr>EF_far_a</vt:lpstr>
      <vt:lpstr>EF_far_c</vt:lpstr>
      <vt:lpstr>EF_rec</vt:lpstr>
      <vt:lpstr>EF_rec_a</vt:lpstr>
      <vt:lpstr>EF_rec_c</vt:lpstr>
      <vt:lpstr>EF_res</vt:lpstr>
      <vt:lpstr>EF_res_a</vt:lpstr>
      <vt:lpstr>EF_res_c</vt:lpstr>
      <vt:lpstr>ET_event_far_a</vt:lpstr>
      <vt:lpstr>ET_event_far_c</vt:lpstr>
      <vt:lpstr>ET_event_rec_a</vt:lpstr>
      <vt:lpstr>ET_event_rec_c</vt:lpstr>
      <vt:lpstr>ET_event_res_a</vt:lpstr>
      <vt:lpstr>ET_event_res_c</vt:lpstr>
      <vt:lpstr>ET_far</vt:lpstr>
      <vt:lpstr>ET_far_a</vt:lpstr>
      <vt:lpstr>ET_far_c</vt:lpstr>
      <vt:lpstr>ET_far_i</vt:lpstr>
      <vt:lpstr>ET_far_o</vt:lpstr>
      <vt:lpstr>ET_rec</vt:lpstr>
      <vt:lpstr>ET_rec_a</vt:lpstr>
      <vt:lpstr>ET_rec_c</vt:lpstr>
      <vt:lpstr>ET_res</vt:lpstr>
      <vt:lpstr>ET_res_a</vt:lpstr>
      <vt:lpstr>ET_res_c</vt:lpstr>
      <vt:lpstr>ET_res_i</vt:lpstr>
      <vt:lpstr>ET_res_o</vt:lpstr>
      <vt:lpstr>EV_far_a</vt:lpstr>
      <vt:lpstr>EV_far_c</vt:lpstr>
      <vt:lpstr>EV_rec_a</vt:lpstr>
      <vt:lpstr>EV_rec_c</vt:lpstr>
      <vt:lpstr>EV_res_a</vt:lpstr>
      <vt:lpstr>EV_res_c</vt:lpstr>
      <vt:lpstr>F</vt:lpstr>
      <vt:lpstr>f_p_beef</vt:lpstr>
      <vt:lpstr>f_p_dairy</vt:lpstr>
      <vt:lpstr>f_p_egg</vt:lpstr>
      <vt:lpstr>f_p_fowl</vt:lpstr>
      <vt:lpstr>f_p_game</vt:lpstr>
      <vt:lpstr>f_p_goat</vt:lpstr>
      <vt:lpstr>f_p_goat_milk</vt:lpstr>
      <vt:lpstr>f_p_poultry</vt:lpstr>
      <vt:lpstr>f_p_sheep</vt:lpstr>
      <vt:lpstr>f_p_sheep_milk</vt:lpstr>
      <vt:lpstr>f_p_swine</vt:lpstr>
      <vt:lpstr>f_s_beef</vt:lpstr>
      <vt:lpstr>f_s_dairy</vt:lpstr>
      <vt:lpstr>f_s_egg</vt:lpstr>
      <vt:lpstr>f_s_fowl</vt:lpstr>
      <vt:lpstr>f_s_game</vt:lpstr>
      <vt:lpstr>f_s_goat</vt:lpstr>
      <vt:lpstr>f_s_goat_milk</vt:lpstr>
      <vt:lpstr>f_s_poultry</vt:lpstr>
      <vt:lpstr>f_s_sheep</vt:lpstr>
      <vt:lpstr>f_s_sheep_milk</vt:lpstr>
      <vt:lpstr>f_s_swine</vt:lpstr>
      <vt:lpstr>F_x</vt:lpstr>
      <vt:lpstr>GSF_a</vt:lpstr>
      <vt:lpstr>GSF_i</vt:lpstr>
      <vt:lpstr>i</vt:lpstr>
      <vt:lpstr>I_f</vt:lpstr>
      <vt:lpstr>i_s2gw</vt:lpstr>
      <vt:lpstr>IFA_far_adj</vt:lpstr>
      <vt:lpstr>IFA_rec_adj</vt:lpstr>
      <vt:lpstr>IFA_res_adj</vt:lpstr>
      <vt:lpstr>IFAP_far_adj</vt:lpstr>
      <vt:lpstr>IFAP_res_adj</vt:lpstr>
      <vt:lpstr>IFAS_far_adj</vt:lpstr>
      <vt:lpstr>IFAS_res_adj</vt:lpstr>
      <vt:lpstr>IFB_far_adj</vt:lpstr>
      <vt:lpstr>IFBE_far_adj</vt:lpstr>
      <vt:lpstr>IFBE_res_adj</vt:lpstr>
      <vt:lpstr>IFBR_far_adj</vt:lpstr>
      <vt:lpstr>IFBR_res_adj</vt:lpstr>
      <vt:lpstr>IFBT_far_adj</vt:lpstr>
      <vt:lpstr>IFBT_res_adj</vt:lpstr>
      <vt:lpstr>IFCB_far_adj</vt:lpstr>
      <vt:lpstr>IFCB_res_adj</vt:lpstr>
      <vt:lpstr>IFCG_far_adj</vt:lpstr>
      <vt:lpstr>IFCG_res_adj</vt:lpstr>
      <vt:lpstr>IFCI_far_adj</vt:lpstr>
      <vt:lpstr>IFCI_res_adj</vt:lpstr>
      <vt:lpstr>IFCO_far_adj</vt:lpstr>
      <vt:lpstr>IFCO_res_adj</vt:lpstr>
      <vt:lpstr>IFCR_far_adj</vt:lpstr>
      <vt:lpstr>IFCR_res_adj</vt:lpstr>
      <vt:lpstr>IFCU_far_adj</vt:lpstr>
      <vt:lpstr>IFCU_res_adj</vt:lpstr>
      <vt:lpstr>IFD_far_adj</vt:lpstr>
      <vt:lpstr>IFE_far_adj</vt:lpstr>
      <vt:lpstr>IFFI_far_adj</vt:lpstr>
      <vt:lpstr>IFGM_far_adj</vt:lpstr>
      <vt:lpstr>IFGO_far_adj</vt:lpstr>
      <vt:lpstr>IFLE_far_adj</vt:lpstr>
      <vt:lpstr>IFLE_res_adj</vt:lpstr>
      <vt:lpstr>IFLI_far_adj</vt:lpstr>
      <vt:lpstr>IFLI_res_adj</vt:lpstr>
      <vt:lpstr>IFOK_far_adj</vt:lpstr>
      <vt:lpstr>IFOK_res_adj</vt:lpstr>
      <vt:lpstr>IFON_far_adj</vt:lpstr>
      <vt:lpstr>IFON_res_adj</vt:lpstr>
      <vt:lpstr>IFP_far_adj</vt:lpstr>
      <vt:lpstr>IFPC_far_adj</vt:lpstr>
      <vt:lpstr>IFPC_res_adj</vt:lpstr>
      <vt:lpstr>IFPE_far_adj</vt:lpstr>
      <vt:lpstr>IFPE_res_adj</vt:lpstr>
      <vt:lpstr>IFPP_far_adj</vt:lpstr>
      <vt:lpstr>IFPP_res_adj</vt:lpstr>
      <vt:lpstr>IFPR_far_adj</vt:lpstr>
      <vt:lpstr>IFPR_res_adj</vt:lpstr>
      <vt:lpstr>IFPT_far_adj</vt:lpstr>
      <vt:lpstr>IFPT_res_adj</vt:lpstr>
      <vt:lpstr>IFPU_far_adj</vt:lpstr>
      <vt:lpstr>IFPU_res_adj</vt:lpstr>
      <vt:lpstr>IFRI_far_adj</vt:lpstr>
      <vt:lpstr>IFRI_res_adj</vt:lpstr>
      <vt:lpstr>IFS_far_adj</vt:lpstr>
      <vt:lpstr>IFS_rec_adj</vt:lpstr>
      <vt:lpstr>IFS_res_adj</vt:lpstr>
      <vt:lpstr>IFSF_far_adj</vt:lpstr>
      <vt:lpstr>IFSH_far_adj</vt:lpstr>
      <vt:lpstr>IFSM_far_adj</vt:lpstr>
      <vt:lpstr>IFSN_far_adj</vt:lpstr>
      <vt:lpstr>IFSN_res_adj</vt:lpstr>
      <vt:lpstr>IFST_far_adj</vt:lpstr>
      <vt:lpstr>IFST_res_adj</vt:lpstr>
      <vt:lpstr>IFSW_far_adj</vt:lpstr>
      <vt:lpstr>IFTO_far_adj</vt:lpstr>
      <vt:lpstr>IFTO_res_adj</vt:lpstr>
      <vt:lpstr>IFW_far_adj</vt:lpstr>
      <vt:lpstr>IFW_rec_adj</vt:lpstr>
      <vt:lpstr>IFW_res_adj</vt:lpstr>
      <vt:lpstr>Ir</vt:lpstr>
      <vt:lpstr>IRA_far_a</vt:lpstr>
      <vt:lpstr>IRA_far_c</vt:lpstr>
      <vt:lpstr>IRA_rec_a</vt:lpstr>
      <vt:lpstr>IRA_rec_c</vt:lpstr>
      <vt:lpstr>IRA_res_a</vt:lpstr>
      <vt:lpstr>IRA_res_c</vt:lpstr>
      <vt:lpstr>IRAP_far_a</vt:lpstr>
      <vt:lpstr>IRAP_far_c</vt:lpstr>
      <vt:lpstr>IRAP_res_a</vt:lpstr>
      <vt:lpstr>IRAP_res_c</vt:lpstr>
      <vt:lpstr>IRAS_far_a</vt:lpstr>
      <vt:lpstr>IRAS_far_c</vt:lpstr>
      <vt:lpstr>IRAS_res_a</vt:lpstr>
      <vt:lpstr>IRAS_res_c</vt:lpstr>
      <vt:lpstr>IRB_far_a</vt:lpstr>
      <vt:lpstr>IRB_far_c</vt:lpstr>
      <vt:lpstr>IRBE_far_a</vt:lpstr>
      <vt:lpstr>IRBE_far_c</vt:lpstr>
      <vt:lpstr>IRBE_res_a</vt:lpstr>
      <vt:lpstr>IRBE_res_c</vt:lpstr>
      <vt:lpstr>IRBR_far_a</vt:lpstr>
      <vt:lpstr>IRBR_far_c</vt:lpstr>
      <vt:lpstr>IRBR_res_a</vt:lpstr>
      <vt:lpstr>IRBR_res_c</vt:lpstr>
      <vt:lpstr>IRBT_far_a</vt:lpstr>
      <vt:lpstr>IRBT_far_c</vt:lpstr>
      <vt:lpstr>IRBT_res_a</vt:lpstr>
      <vt:lpstr>IRBT_res_c</vt:lpstr>
      <vt:lpstr>IRCB_far_a</vt:lpstr>
      <vt:lpstr>IRCB_far_c</vt:lpstr>
      <vt:lpstr>IRCB_res_a</vt:lpstr>
      <vt:lpstr>IRCB_res_c</vt:lpstr>
      <vt:lpstr>IRCG_far_a</vt:lpstr>
      <vt:lpstr>IRCG_far_c</vt:lpstr>
      <vt:lpstr>IRCG_res_a</vt:lpstr>
      <vt:lpstr>IRCG_res_c</vt:lpstr>
      <vt:lpstr>IRCI_far_a</vt:lpstr>
      <vt:lpstr>IRCI_far_c</vt:lpstr>
      <vt:lpstr>IRCI_res_a</vt:lpstr>
      <vt:lpstr>IRCI_res_c</vt:lpstr>
      <vt:lpstr>IRCO_far_a</vt:lpstr>
      <vt:lpstr>IRCO_far_c</vt:lpstr>
      <vt:lpstr>IRCO_res_a</vt:lpstr>
      <vt:lpstr>IRCO_res_c</vt:lpstr>
      <vt:lpstr>IRCR_far_a</vt:lpstr>
      <vt:lpstr>IRCR_far_c</vt:lpstr>
      <vt:lpstr>IRCR_res_a</vt:lpstr>
      <vt:lpstr>IRCR_res_c</vt:lpstr>
      <vt:lpstr>IRCU_far_a</vt:lpstr>
      <vt:lpstr>IRCU_far_c</vt:lpstr>
      <vt:lpstr>IRCU_res_a</vt:lpstr>
      <vt:lpstr>IRCU_res_c</vt:lpstr>
      <vt:lpstr>IRD_far_a</vt:lpstr>
      <vt:lpstr>IRD_far_c</vt:lpstr>
      <vt:lpstr>IRE_far_a</vt:lpstr>
      <vt:lpstr>IRE_far_c</vt:lpstr>
      <vt:lpstr>IRF_res</vt:lpstr>
      <vt:lpstr>IRFI_far_a</vt:lpstr>
      <vt:lpstr>IRFI_far_c</vt:lpstr>
      <vt:lpstr>IRGF_rec</vt:lpstr>
      <vt:lpstr>IRGL_rec</vt:lpstr>
      <vt:lpstr>IRGM_far_a</vt:lpstr>
      <vt:lpstr>IRGM_far_c</vt:lpstr>
      <vt:lpstr>IRGO_far_a</vt:lpstr>
      <vt:lpstr>IRGO_far_c</vt:lpstr>
      <vt:lpstr>IRLE_far_a</vt:lpstr>
      <vt:lpstr>IRLE_far_c</vt:lpstr>
      <vt:lpstr>IRLE_res_a</vt:lpstr>
      <vt:lpstr>IRLE_res_c</vt:lpstr>
      <vt:lpstr>IRLI_far_a</vt:lpstr>
      <vt:lpstr>IRLI_far_c</vt:lpstr>
      <vt:lpstr>IRLI_res_a</vt:lpstr>
      <vt:lpstr>IRLI_res_c</vt:lpstr>
      <vt:lpstr>IROK_far_a</vt:lpstr>
      <vt:lpstr>IROK_far_c</vt:lpstr>
      <vt:lpstr>IROK_res_a</vt:lpstr>
      <vt:lpstr>IROK_res_c</vt:lpstr>
      <vt:lpstr>IRON_far_a</vt:lpstr>
      <vt:lpstr>IRON_far_c</vt:lpstr>
      <vt:lpstr>IRON_res_a</vt:lpstr>
      <vt:lpstr>IRON_res_c</vt:lpstr>
      <vt:lpstr>IRP_far_a</vt:lpstr>
      <vt:lpstr>IRP_far_c</vt:lpstr>
      <vt:lpstr>IRPC_far_a</vt:lpstr>
      <vt:lpstr>IRPC_far_c</vt:lpstr>
      <vt:lpstr>IRPC_res_a</vt:lpstr>
      <vt:lpstr>IRPC_res_c</vt:lpstr>
      <vt:lpstr>IRPE_far_a</vt:lpstr>
      <vt:lpstr>IRPE_far_c</vt:lpstr>
      <vt:lpstr>IRPE_res_a</vt:lpstr>
      <vt:lpstr>IRPE_res_c</vt:lpstr>
      <vt:lpstr>IRPP_far_a</vt:lpstr>
      <vt:lpstr>IRPP_far_c</vt:lpstr>
      <vt:lpstr>IRPP_res_a</vt:lpstr>
      <vt:lpstr>IRPP_res_c</vt:lpstr>
      <vt:lpstr>IRPR_far_a</vt:lpstr>
      <vt:lpstr>IRPR_far_c</vt:lpstr>
      <vt:lpstr>IRPR_res_a</vt:lpstr>
      <vt:lpstr>IRPR_res_c</vt:lpstr>
      <vt:lpstr>IRPT_far_a</vt:lpstr>
      <vt:lpstr>IRPT_far_c</vt:lpstr>
      <vt:lpstr>IRPT_res_a</vt:lpstr>
      <vt:lpstr>IRPT_res_c</vt:lpstr>
      <vt:lpstr>IRPU_far_a</vt:lpstr>
      <vt:lpstr>IRPU_far_c</vt:lpstr>
      <vt:lpstr>IRPU_res_a</vt:lpstr>
      <vt:lpstr>IRPU_res_c</vt:lpstr>
      <vt:lpstr>IRRI_far_a</vt:lpstr>
      <vt:lpstr>IRRI_far_c</vt:lpstr>
      <vt:lpstr>IRRI_res_a</vt:lpstr>
      <vt:lpstr>IRRI_res_c</vt:lpstr>
      <vt:lpstr>IRS_far_a</vt:lpstr>
      <vt:lpstr>IRS_far_c</vt:lpstr>
      <vt:lpstr>IRS_rec_a</vt:lpstr>
      <vt:lpstr>IRS_rec_c</vt:lpstr>
      <vt:lpstr>IRS_res_a</vt:lpstr>
      <vt:lpstr>IRS_res_c</vt:lpstr>
      <vt:lpstr>IRSF_far_a</vt:lpstr>
      <vt:lpstr>IRSF_far_c</vt:lpstr>
      <vt:lpstr>IRSH_far_a</vt:lpstr>
      <vt:lpstr>IRSH_far_c</vt:lpstr>
      <vt:lpstr>IRSM_far_a</vt:lpstr>
      <vt:lpstr>IRSM_far_c</vt:lpstr>
      <vt:lpstr>IRSN_far_a</vt:lpstr>
      <vt:lpstr>IRSN_far_c</vt:lpstr>
      <vt:lpstr>IRSN_res_a</vt:lpstr>
      <vt:lpstr>IRSN_res_c</vt:lpstr>
      <vt:lpstr>IRST_far_a</vt:lpstr>
      <vt:lpstr>IRST_far_c</vt:lpstr>
      <vt:lpstr>IRST_res_a</vt:lpstr>
      <vt:lpstr>IRST_res_c</vt:lpstr>
      <vt:lpstr>IRSW_far_a</vt:lpstr>
      <vt:lpstr>IRSW_far_c</vt:lpstr>
      <vt:lpstr>IRTO_far_a</vt:lpstr>
      <vt:lpstr>IRTO_far_c</vt:lpstr>
      <vt:lpstr>IRTO_res_a</vt:lpstr>
      <vt:lpstr>IRTO_res_c</vt:lpstr>
      <vt:lpstr>IRW_far_a</vt:lpstr>
      <vt:lpstr>IRW_far_c</vt:lpstr>
      <vt:lpstr>IRW_rec_a</vt:lpstr>
      <vt:lpstr>IRW_rec_c</vt:lpstr>
      <vt:lpstr>IRW_res_a</vt:lpstr>
      <vt:lpstr>IRW_res_c</vt:lpstr>
      <vt:lpstr>K</vt:lpstr>
      <vt:lpstr>K_s2gw</vt:lpstr>
      <vt:lpstr>L_s2gw</vt:lpstr>
      <vt:lpstr>lambda_HL</vt:lpstr>
      <vt:lpstr>MLF_apple</vt:lpstr>
      <vt:lpstr>MLF_asparagus</vt:lpstr>
      <vt:lpstr>MLF_beet</vt:lpstr>
      <vt:lpstr>MLF_berries</vt:lpstr>
      <vt:lpstr>MLF_broccoli</vt:lpstr>
      <vt:lpstr>MLF_cabbage</vt:lpstr>
      <vt:lpstr>MLF_carrot</vt:lpstr>
      <vt:lpstr>MLF_cereal</vt:lpstr>
      <vt:lpstr>MLF_citrus</vt:lpstr>
      <vt:lpstr>MLF_corn</vt:lpstr>
      <vt:lpstr>MLF_cucumber</vt:lpstr>
      <vt:lpstr>MLF_lettuce</vt:lpstr>
      <vt:lpstr>MLF_lima_bean</vt:lpstr>
      <vt:lpstr>MLF_okra</vt:lpstr>
      <vt:lpstr>MLF_onion</vt:lpstr>
      <vt:lpstr>MLF_pasture</vt:lpstr>
      <vt:lpstr>MLF_peach</vt:lpstr>
      <vt:lpstr>MLF_pear</vt:lpstr>
      <vt:lpstr>MLF_peas</vt:lpstr>
      <vt:lpstr>MLF_peppers</vt:lpstr>
      <vt:lpstr>MLF_potato</vt:lpstr>
      <vt:lpstr>MLF_pumpkin</vt:lpstr>
      <vt:lpstr>MLF_rice</vt:lpstr>
      <vt:lpstr>MLF_snap_bean</vt:lpstr>
      <vt:lpstr>MLF_strawberry</vt:lpstr>
      <vt:lpstr>MLF_tomato</vt:lpstr>
      <vt:lpstr>P</vt:lpstr>
      <vt:lpstr>PEF_wind</vt:lpstr>
      <vt:lpstr>Q_C_wind</vt:lpstr>
      <vt:lpstr>Q_p_beef</vt:lpstr>
      <vt:lpstr>Q_p_dairy</vt:lpstr>
      <vt:lpstr>Q_p_egg</vt:lpstr>
      <vt:lpstr>Q_p_fowl</vt:lpstr>
      <vt:lpstr>Q_p_game</vt:lpstr>
      <vt:lpstr>Q_p_goat</vt:lpstr>
      <vt:lpstr>Q_p_goat_milk</vt:lpstr>
      <vt:lpstr>Q_p_poultry</vt:lpstr>
      <vt:lpstr>Q_p_sheep</vt:lpstr>
      <vt:lpstr>Q_p_sheep_milk</vt:lpstr>
      <vt:lpstr>Q_p_swine</vt:lpstr>
      <vt:lpstr>Q_s_beef</vt:lpstr>
      <vt:lpstr>Q_s_dairy</vt:lpstr>
      <vt:lpstr>Q_s_egg</vt:lpstr>
      <vt:lpstr>Q_s_fowl</vt:lpstr>
      <vt:lpstr>Q_s_game</vt:lpstr>
      <vt:lpstr>Q_s_poultry</vt:lpstr>
      <vt:lpstr>Q_s_sheep</vt:lpstr>
      <vt:lpstr>Q_s_sheep_milk</vt:lpstr>
      <vt:lpstr>Q_s_swine</vt:lpstr>
      <vt:lpstr>Q_w_beef</vt:lpstr>
      <vt:lpstr>Q_w_dairy</vt:lpstr>
      <vt:lpstr>Q_w_egg</vt:lpstr>
      <vt:lpstr>Q_w_fowl</vt:lpstr>
      <vt:lpstr>Q_w_game</vt:lpstr>
      <vt:lpstr>Q_w_goat</vt:lpstr>
      <vt:lpstr>Q_w_goat_milk</vt:lpstr>
      <vt:lpstr>Q_w_poultry</vt:lpstr>
      <vt:lpstr>Q_w_sheep</vt:lpstr>
      <vt:lpstr>Q_w_sheep_milk</vt:lpstr>
      <vt:lpstr>Q_w_swine</vt:lpstr>
      <vt:lpstr>R_es_past</vt:lpstr>
      <vt:lpstr>s_A_wind</vt:lpstr>
      <vt:lpstr>s_AAF_far_a</vt:lpstr>
      <vt:lpstr>s_AAF_far_c</vt:lpstr>
      <vt:lpstr>s_AAF_rec_a</vt:lpstr>
      <vt:lpstr>s_AAF_rec_c</vt:lpstr>
      <vt:lpstr>s_AAF_res_a</vt:lpstr>
      <vt:lpstr>s_AAF_res_c</vt:lpstr>
      <vt:lpstr>s_As</vt:lpstr>
      <vt:lpstr>s_B_wind</vt:lpstr>
      <vt:lpstr>s_C</vt:lpstr>
      <vt:lpstr>s_C_wind</vt:lpstr>
      <vt:lpstr>s_CF_apple</vt:lpstr>
      <vt:lpstr>s_CF_asparagus</vt:lpstr>
      <vt:lpstr>s_CF_beet</vt:lpstr>
      <vt:lpstr>s_CF_berries</vt:lpstr>
      <vt:lpstr>s_CF_broccoli</vt:lpstr>
      <vt:lpstr>s_CF_cabbage</vt:lpstr>
      <vt:lpstr>s_CF_carrot</vt:lpstr>
      <vt:lpstr>s_CF_cereal</vt:lpstr>
      <vt:lpstr>s_CF_citrus</vt:lpstr>
      <vt:lpstr>s_CF_corn</vt:lpstr>
      <vt:lpstr>s_CF_cucumber</vt:lpstr>
      <vt:lpstr>s_CF_far_beef</vt:lpstr>
      <vt:lpstr>s_CF_far_dairy</vt:lpstr>
      <vt:lpstr>s_CF_far_egg</vt:lpstr>
      <vt:lpstr>s_CF_far_fish</vt:lpstr>
      <vt:lpstr>s_CF_far_goat</vt:lpstr>
      <vt:lpstr>s_CF_far_goat_milk</vt:lpstr>
      <vt:lpstr>s_CF_far_poultry</vt:lpstr>
      <vt:lpstr>s_CF_far_sheep</vt:lpstr>
      <vt:lpstr>s_CF_far_sheep_milk</vt:lpstr>
      <vt:lpstr>s_CF_far_shellfish</vt:lpstr>
      <vt:lpstr>s_CF_far_swine</vt:lpstr>
      <vt:lpstr>s_CF_fowl</vt:lpstr>
      <vt:lpstr>s_CF_game</vt:lpstr>
      <vt:lpstr>s_CF_lettuce</vt:lpstr>
      <vt:lpstr>s_CF_lima_bean</vt:lpstr>
      <vt:lpstr>s_CF_okra</vt:lpstr>
      <vt:lpstr>s_CF_onion</vt:lpstr>
      <vt:lpstr>s_CF_peach</vt:lpstr>
      <vt:lpstr>s_CF_pear</vt:lpstr>
      <vt:lpstr>s_CF_peas</vt:lpstr>
      <vt:lpstr>s_CF_peppers</vt:lpstr>
      <vt:lpstr>s_CF_potato</vt:lpstr>
      <vt:lpstr>s_CF_pumpkin</vt:lpstr>
      <vt:lpstr>s_CF_res_fish</vt:lpstr>
      <vt:lpstr>s_CF_rice</vt:lpstr>
      <vt:lpstr>s_CF_snap_bean</vt:lpstr>
      <vt:lpstr>s_CF_strawberry</vt:lpstr>
      <vt:lpstr>s_CF_tomato</vt:lpstr>
      <vt:lpstr>s_d_a</vt:lpstr>
      <vt:lpstr>s_D_milk</vt:lpstr>
      <vt:lpstr>s_d_s</vt:lpstr>
      <vt:lpstr>s_DAF</vt:lpstr>
      <vt:lpstr>s_DF_i</vt:lpstr>
      <vt:lpstr>s_DFA_far_adj</vt:lpstr>
      <vt:lpstr>s_DFA_rec_adj</vt:lpstr>
      <vt:lpstr>s_DFA_res_adj</vt:lpstr>
      <vt:lpstr>s_DL</vt:lpstr>
      <vt:lpstr>s_dm</vt:lpstr>
      <vt:lpstr>s_ED_far</vt:lpstr>
      <vt:lpstr>s_ED_far_a</vt:lpstr>
      <vt:lpstr>s_ED_far_c</vt:lpstr>
      <vt:lpstr>s_ED_rec</vt:lpstr>
      <vt:lpstr>s_ED_rec_a</vt:lpstr>
      <vt:lpstr>s_ED_rec_c</vt:lpstr>
      <vt:lpstr>s_ED_res</vt:lpstr>
      <vt:lpstr>s_ED_res_a</vt:lpstr>
      <vt:lpstr>s_ED_res_c</vt:lpstr>
      <vt:lpstr>s_ED_s2gw</vt:lpstr>
      <vt:lpstr>s_EF_far</vt:lpstr>
      <vt:lpstr>s_EF_far_a</vt:lpstr>
      <vt:lpstr>s_EF_far_c</vt:lpstr>
      <vt:lpstr>s_EF_rec</vt:lpstr>
      <vt:lpstr>s_EF_rec_a</vt:lpstr>
      <vt:lpstr>s_EF_rec_c</vt:lpstr>
      <vt:lpstr>s_EF_res</vt:lpstr>
      <vt:lpstr>s_EF_res_a</vt:lpstr>
      <vt:lpstr>s_EF_res_c</vt:lpstr>
      <vt:lpstr>s_ET_event_far_a</vt:lpstr>
      <vt:lpstr>s_ET_event_far_c</vt:lpstr>
      <vt:lpstr>s_ET_event_rec_a</vt:lpstr>
      <vt:lpstr>s_ET_event_rec_c</vt:lpstr>
      <vt:lpstr>s_ET_event_res_a</vt:lpstr>
      <vt:lpstr>s_ET_event_res_c</vt:lpstr>
      <vt:lpstr>s_ET_far</vt:lpstr>
      <vt:lpstr>s_ET_far_a</vt:lpstr>
      <vt:lpstr>s_ET_far_c</vt:lpstr>
      <vt:lpstr>s_ET_far_i</vt:lpstr>
      <vt:lpstr>s_ET_far_o</vt:lpstr>
      <vt:lpstr>s_ET_rec</vt:lpstr>
      <vt:lpstr>s_ET_rec_a</vt:lpstr>
      <vt:lpstr>s_ET_rec_c</vt:lpstr>
      <vt:lpstr>s_ET_res</vt:lpstr>
      <vt:lpstr>s_ET_res_a</vt:lpstr>
      <vt:lpstr>s_ET_res_c</vt:lpstr>
      <vt:lpstr>s_ET_res_i</vt:lpstr>
      <vt:lpstr>s_ET_res_o</vt:lpstr>
      <vt:lpstr>s_EV_far_a</vt:lpstr>
      <vt:lpstr>s_EV_far_c</vt:lpstr>
      <vt:lpstr>s_EV_rec_a</vt:lpstr>
      <vt:lpstr>s_EV_rec_c</vt:lpstr>
      <vt:lpstr>s_EV_res_a</vt:lpstr>
      <vt:lpstr>s_EV_res_c</vt:lpstr>
      <vt:lpstr>s_F</vt:lpstr>
      <vt:lpstr>s_f_p_beef</vt:lpstr>
      <vt:lpstr>s_f_p_dairy</vt:lpstr>
      <vt:lpstr>s_f_p_egg</vt:lpstr>
      <vt:lpstr>s_f_p_fowl</vt:lpstr>
      <vt:lpstr>s_f_p_game</vt:lpstr>
      <vt:lpstr>s_f_p_goat</vt:lpstr>
      <vt:lpstr>s_f_p_goat_milk</vt:lpstr>
      <vt:lpstr>s_f_p_poultry</vt:lpstr>
      <vt:lpstr>s_f_p_sheep</vt:lpstr>
      <vt:lpstr>s_f_p_sheep_milk</vt:lpstr>
      <vt:lpstr>s_f_p_swine</vt:lpstr>
      <vt:lpstr>s_f_s_beef</vt:lpstr>
      <vt:lpstr>s_f_s_dairy</vt:lpstr>
      <vt:lpstr>s_f_s_egg</vt:lpstr>
      <vt:lpstr>s_f_s_fowl</vt:lpstr>
      <vt:lpstr>s_f_s_game</vt:lpstr>
      <vt:lpstr>s_f_s_goat</vt:lpstr>
      <vt:lpstr>s_f_s_goat_milk</vt:lpstr>
      <vt:lpstr>s_f_s_poultry</vt:lpstr>
      <vt:lpstr>s_f_s_sheep</vt:lpstr>
      <vt:lpstr>s_f_s_sheep_milk</vt:lpstr>
      <vt:lpstr>s_f_s_swine</vt:lpstr>
      <vt:lpstr>s_F_x</vt:lpstr>
      <vt:lpstr>s_GSF_a</vt:lpstr>
      <vt:lpstr>s_GSF_i</vt:lpstr>
      <vt:lpstr>s_I_f</vt:lpstr>
      <vt:lpstr>s_i_s2gw</vt:lpstr>
      <vt:lpstr>s_IFA_far_adj</vt:lpstr>
      <vt:lpstr>s_IFA_rec_adj</vt:lpstr>
      <vt:lpstr>s_IFA_res_adj</vt:lpstr>
      <vt:lpstr>s_IFAP_far_adj</vt:lpstr>
      <vt:lpstr>s_IFAP_res_adj</vt:lpstr>
      <vt:lpstr>s_IFAS_far_adj</vt:lpstr>
      <vt:lpstr>s_IFAS_res_adj</vt:lpstr>
      <vt:lpstr>s_IFB_far_adj</vt:lpstr>
      <vt:lpstr>s_IFBE_far_adj</vt:lpstr>
      <vt:lpstr>s_IFBE_res_adj</vt:lpstr>
      <vt:lpstr>s_IFBR_far_adj</vt:lpstr>
      <vt:lpstr>s_IFBR_res_adj</vt:lpstr>
      <vt:lpstr>s_IFBT_far_adj</vt:lpstr>
      <vt:lpstr>s_IFBT_res_adj</vt:lpstr>
      <vt:lpstr>s_IFCB_far_adj</vt:lpstr>
      <vt:lpstr>s_IFCB_res_adj</vt:lpstr>
      <vt:lpstr>s_IFCG_far_adj</vt:lpstr>
      <vt:lpstr>s_IFCG_res_adj</vt:lpstr>
      <vt:lpstr>s_IFCI_far_adj</vt:lpstr>
      <vt:lpstr>s_IFCI_res_adj</vt:lpstr>
      <vt:lpstr>s_IFCO_far_adj</vt:lpstr>
      <vt:lpstr>s_IFCO_res_adj</vt:lpstr>
      <vt:lpstr>s_IFCR_far_adj</vt:lpstr>
      <vt:lpstr>s_IFCR_res_adj</vt:lpstr>
      <vt:lpstr>s_IFCU_far_adj</vt:lpstr>
      <vt:lpstr>s_IFCU_res_adj</vt:lpstr>
      <vt:lpstr>s_IFD_far_adj</vt:lpstr>
      <vt:lpstr>s_IFE_far_adj</vt:lpstr>
      <vt:lpstr>s_IFFI_far_adj</vt:lpstr>
      <vt:lpstr>s_IFGM_far_adj</vt:lpstr>
      <vt:lpstr>s_IFGO_far_adj</vt:lpstr>
      <vt:lpstr>s_IFLE_far_adj</vt:lpstr>
      <vt:lpstr>s_IFLE_res_adj</vt:lpstr>
      <vt:lpstr>s_IFLI_far_adj</vt:lpstr>
      <vt:lpstr>s_IFLI_res_adj</vt:lpstr>
      <vt:lpstr>s_IFOK_far_adj</vt:lpstr>
      <vt:lpstr>s_IFOK_res_adj</vt:lpstr>
      <vt:lpstr>s_IFON_far_adj</vt:lpstr>
      <vt:lpstr>s_IFON_res_adj</vt:lpstr>
      <vt:lpstr>s_IFP_far_adj</vt:lpstr>
      <vt:lpstr>s_IFPC_far_adj</vt:lpstr>
      <vt:lpstr>s_IFPC_res_adj</vt:lpstr>
      <vt:lpstr>s_IFPE_far_adj</vt:lpstr>
      <vt:lpstr>s_IFPE_res_adj</vt:lpstr>
      <vt:lpstr>s_IFPP_far_adj</vt:lpstr>
      <vt:lpstr>s_IFPP_res_adj</vt:lpstr>
      <vt:lpstr>s_IFPR_far_adj</vt:lpstr>
      <vt:lpstr>s_IFPR_res_adj</vt:lpstr>
      <vt:lpstr>s_IFPT_far_adj</vt:lpstr>
      <vt:lpstr>s_IFPT_res_adj</vt:lpstr>
      <vt:lpstr>s_IFPU_far_adj</vt:lpstr>
      <vt:lpstr>s_IFPU_res_adj</vt:lpstr>
      <vt:lpstr>s_IFRI_far_adj</vt:lpstr>
      <vt:lpstr>s_IFRI_res_adj</vt:lpstr>
      <vt:lpstr>s_IFS_far_adj</vt:lpstr>
      <vt:lpstr>s_IFS_rec_adj</vt:lpstr>
      <vt:lpstr>s_IFS_res_adj</vt:lpstr>
      <vt:lpstr>s_IFSF_far_adj</vt:lpstr>
      <vt:lpstr>s_IFSH_far_adj</vt:lpstr>
      <vt:lpstr>s_IFSM_far_adj</vt:lpstr>
      <vt:lpstr>s_IFSN_far_adj</vt:lpstr>
      <vt:lpstr>s_IFSN_res_adj</vt:lpstr>
      <vt:lpstr>s_IFST_far_adj</vt:lpstr>
      <vt:lpstr>s_IFST_res_adj</vt:lpstr>
      <vt:lpstr>s_IFSW_far_adj</vt:lpstr>
      <vt:lpstr>s_IFTO_far_adj</vt:lpstr>
      <vt:lpstr>s_IFTO_res_adj</vt:lpstr>
      <vt:lpstr>s_IFW_far_adj</vt:lpstr>
      <vt:lpstr>s_IFW_rec_adj</vt:lpstr>
      <vt:lpstr>s_IFW_res_adj</vt:lpstr>
      <vt:lpstr>s_Ir</vt:lpstr>
      <vt:lpstr>s_IRA_far_a</vt:lpstr>
      <vt:lpstr>s_IRA_far_c</vt:lpstr>
      <vt:lpstr>s_IRA_rec_a</vt:lpstr>
      <vt:lpstr>s_IRA_rec_c</vt:lpstr>
      <vt:lpstr>s_IRA_res_a</vt:lpstr>
      <vt:lpstr>s_IRA_res_c</vt:lpstr>
      <vt:lpstr>s_IRAP_far_a</vt:lpstr>
      <vt:lpstr>s_IRAP_far_c</vt:lpstr>
      <vt:lpstr>s_IRAP_res_a</vt:lpstr>
      <vt:lpstr>s_IRAP_res_c</vt:lpstr>
      <vt:lpstr>s_IRAS_far_a</vt:lpstr>
      <vt:lpstr>s_IRAS_far_c</vt:lpstr>
      <vt:lpstr>s_IRAS_res_a</vt:lpstr>
      <vt:lpstr>s_IRAS_res_c</vt:lpstr>
      <vt:lpstr>s_IRB_far_a</vt:lpstr>
      <vt:lpstr>s_IRB_far_c</vt:lpstr>
      <vt:lpstr>s_IRBE_far_a</vt:lpstr>
      <vt:lpstr>s_IRBE_far_c</vt:lpstr>
      <vt:lpstr>s_IRBE_res_a</vt:lpstr>
      <vt:lpstr>s_IRBE_res_c</vt:lpstr>
      <vt:lpstr>s_IRBR_far_a</vt:lpstr>
      <vt:lpstr>s_IRBR_far_c</vt:lpstr>
      <vt:lpstr>s_IRBR_res_a</vt:lpstr>
      <vt:lpstr>s_IRBR_res_c</vt:lpstr>
      <vt:lpstr>s_IRBT_far_a</vt:lpstr>
      <vt:lpstr>s_IRBT_far_c</vt:lpstr>
      <vt:lpstr>s_IRBT_res_a</vt:lpstr>
      <vt:lpstr>s_IRBT_res_c</vt:lpstr>
      <vt:lpstr>s_IRCB_far_a</vt:lpstr>
      <vt:lpstr>s_IRCB_far_c</vt:lpstr>
      <vt:lpstr>s_IRCB_res_a</vt:lpstr>
      <vt:lpstr>s_IRCB_res_c</vt:lpstr>
      <vt:lpstr>s_IRCG_far_a</vt:lpstr>
      <vt:lpstr>s_IRCG_far_c</vt:lpstr>
      <vt:lpstr>s_IRCG_res_a</vt:lpstr>
      <vt:lpstr>s_IRCG_res_c</vt:lpstr>
      <vt:lpstr>s_IRCI_far_a</vt:lpstr>
      <vt:lpstr>s_IRCI_far_c</vt:lpstr>
      <vt:lpstr>s_IRCI_res_a</vt:lpstr>
      <vt:lpstr>s_IRCI_res_c</vt:lpstr>
      <vt:lpstr>s_IRCO_far_a</vt:lpstr>
      <vt:lpstr>s_IRCO_far_c</vt:lpstr>
      <vt:lpstr>s_IRCO_res_a</vt:lpstr>
      <vt:lpstr>s_IRCO_res_c</vt:lpstr>
      <vt:lpstr>s_IRCR_far_a</vt:lpstr>
      <vt:lpstr>s_IRCR_far_c</vt:lpstr>
      <vt:lpstr>s_IRCR_res_a</vt:lpstr>
      <vt:lpstr>s_IRCR_res_c</vt:lpstr>
      <vt:lpstr>s_IRCU_far_a</vt:lpstr>
      <vt:lpstr>s_IRCU_far_c</vt:lpstr>
      <vt:lpstr>s_IRCU_res_a</vt:lpstr>
      <vt:lpstr>s_IRCU_res_c</vt:lpstr>
      <vt:lpstr>s_IRD_far_a</vt:lpstr>
      <vt:lpstr>s_IRD_far_c</vt:lpstr>
      <vt:lpstr>s_IRE_far_a</vt:lpstr>
      <vt:lpstr>s_IRE_far_c</vt:lpstr>
      <vt:lpstr>s_IRF_res</vt:lpstr>
      <vt:lpstr>s_IRFI_far_a</vt:lpstr>
      <vt:lpstr>s_IRFI_far_c</vt:lpstr>
      <vt:lpstr>s_IRGF_rec</vt:lpstr>
      <vt:lpstr>s_IRGL_rec</vt:lpstr>
      <vt:lpstr>s_IRGM_far_a</vt:lpstr>
      <vt:lpstr>s_IRGM_far_c</vt:lpstr>
      <vt:lpstr>s_IRGO_far_a</vt:lpstr>
      <vt:lpstr>s_IRGO_far_c</vt:lpstr>
      <vt:lpstr>s_IRLE_far_a</vt:lpstr>
      <vt:lpstr>s_IRLE_far_c</vt:lpstr>
      <vt:lpstr>s_IRLE_res_a</vt:lpstr>
      <vt:lpstr>s_IRLE_res_c</vt:lpstr>
      <vt:lpstr>s_IRLI_far_a</vt:lpstr>
      <vt:lpstr>s_IRLI_far_c</vt:lpstr>
      <vt:lpstr>s_IRLI_res_a</vt:lpstr>
      <vt:lpstr>s_IRLI_res_c</vt:lpstr>
      <vt:lpstr>s_IROK_far_a</vt:lpstr>
      <vt:lpstr>s_IROK_far_c</vt:lpstr>
      <vt:lpstr>s_IROK_res_a</vt:lpstr>
      <vt:lpstr>s_IROK_res_c</vt:lpstr>
      <vt:lpstr>s_IRON_far_a</vt:lpstr>
      <vt:lpstr>s_IRON_far_c</vt:lpstr>
      <vt:lpstr>s_IRON_res_a</vt:lpstr>
      <vt:lpstr>s_IRON_res_c</vt:lpstr>
      <vt:lpstr>s_IRP_far_a</vt:lpstr>
      <vt:lpstr>s_IRP_far_c</vt:lpstr>
      <vt:lpstr>s_IRPC_far_a</vt:lpstr>
      <vt:lpstr>s_IRPC_far_c</vt:lpstr>
      <vt:lpstr>s_IRPC_res_a</vt:lpstr>
      <vt:lpstr>s_IRPC_res_c</vt:lpstr>
      <vt:lpstr>s_IRPE_far_a</vt:lpstr>
      <vt:lpstr>s_IRPE_far_c</vt:lpstr>
      <vt:lpstr>s_IRPE_res_a</vt:lpstr>
      <vt:lpstr>s_IRPE_res_c</vt:lpstr>
      <vt:lpstr>s_IRPP_far_a</vt:lpstr>
      <vt:lpstr>s_IRPP_far_c</vt:lpstr>
      <vt:lpstr>s_IRPP_res_a</vt:lpstr>
      <vt:lpstr>s_IRPP_res_c</vt:lpstr>
      <vt:lpstr>s_IRPR_far_a</vt:lpstr>
      <vt:lpstr>s_IRPR_far_c</vt:lpstr>
      <vt:lpstr>s_IRPR_res_a</vt:lpstr>
      <vt:lpstr>s_IRPR_res_c</vt:lpstr>
      <vt:lpstr>s_IRPT_far_a</vt:lpstr>
      <vt:lpstr>s_IRPT_far_c</vt:lpstr>
      <vt:lpstr>s_IRPT_res_a</vt:lpstr>
      <vt:lpstr>s_IRPT_res_c</vt:lpstr>
      <vt:lpstr>s_IRPU_far_a</vt:lpstr>
      <vt:lpstr>s_IRPU_far_c</vt:lpstr>
      <vt:lpstr>s_IRPU_res_a</vt:lpstr>
      <vt:lpstr>s_IRPU_res_c</vt:lpstr>
      <vt:lpstr>s_IRRI_far_a</vt:lpstr>
      <vt:lpstr>s_IRRI_far_c</vt:lpstr>
      <vt:lpstr>s_IRRI_res_a</vt:lpstr>
      <vt:lpstr>s_IRRI_res_c</vt:lpstr>
      <vt:lpstr>s_IRS_far_a</vt:lpstr>
      <vt:lpstr>s_IRS_far_c</vt:lpstr>
      <vt:lpstr>s_IRS_rec_a</vt:lpstr>
      <vt:lpstr>s_IRS_rec_c</vt:lpstr>
      <vt:lpstr>s_IRS_res_a</vt:lpstr>
      <vt:lpstr>s_IRS_res_c</vt:lpstr>
      <vt:lpstr>s_IRSF_far_a</vt:lpstr>
      <vt:lpstr>s_IRSF_far_c</vt:lpstr>
      <vt:lpstr>s_IRSH_far_a</vt:lpstr>
      <vt:lpstr>s_IRSH_far_c</vt:lpstr>
      <vt:lpstr>s_IRSM_far_a</vt:lpstr>
      <vt:lpstr>s_IRSM_far_c</vt:lpstr>
      <vt:lpstr>s_IRSN_far_a</vt:lpstr>
      <vt:lpstr>s_IRSN_far_c</vt:lpstr>
      <vt:lpstr>s_IRSN_res_a</vt:lpstr>
      <vt:lpstr>s_IRSN_res_c</vt:lpstr>
      <vt:lpstr>s_IRST_far_a</vt:lpstr>
      <vt:lpstr>s_IRST_far_c</vt:lpstr>
      <vt:lpstr>s_IRST_res_a</vt:lpstr>
      <vt:lpstr>s_IRST_res_c</vt:lpstr>
      <vt:lpstr>s_IRSW_far_a</vt:lpstr>
      <vt:lpstr>s_IRSW_far_c</vt:lpstr>
      <vt:lpstr>s_IRTO_far_a</vt:lpstr>
      <vt:lpstr>s_IRTO_far_c</vt:lpstr>
      <vt:lpstr>s_IRTO_res_a</vt:lpstr>
      <vt:lpstr>s_IRTO_res_c</vt:lpstr>
      <vt:lpstr>s_IRW_far_a</vt:lpstr>
      <vt:lpstr>s_IRW_far_c</vt:lpstr>
      <vt:lpstr>s_IRW_rec_a</vt:lpstr>
      <vt:lpstr>s_IRW_rec_c</vt:lpstr>
      <vt:lpstr>s_IRW_res_a</vt:lpstr>
      <vt:lpstr>s_IRW_res_c</vt:lpstr>
      <vt:lpstr>s_K</vt:lpstr>
      <vt:lpstr>s_K_s2gw</vt:lpstr>
      <vt:lpstr>s_L_s2gw</vt:lpstr>
      <vt:lpstr>s_lambda_HL</vt:lpstr>
      <vt:lpstr>s_ls2gw</vt:lpstr>
      <vt:lpstr>s_MLF_apple</vt:lpstr>
      <vt:lpstr>s_MLF_asparagus</vt:lpstr>
      <vt:lpstr>s_MLF_beet</vt:lpstr>
      <vt:lpstr>s_MLF_berries</vt:lpstr>
      <vt:lpstr>s_MLF_broccoli</vt:lpstr>
      <vt:lpstr>s_MLF_cabbage</vt:lpstr>
      <vt:lpstr>s_MLF_carrot</vt:lpstr>
      <vt:lpstr>s_MLF_cereal</vt:lpstr>
      <vt:lpstr>s_MLF_citrus</vt:lpstr>
      <vt:lpstr>s_MLF_corn</vt:lpstr>
      <vt:lpstr>s_MLF_cucumber</vt:lpstr>
      <vt:lpstr>s_MLF_lettuce</vt:lpstr>
      <vt:lpstr>s_MLF_lima_bean</vt:lpstr>
      <vt:lpstr>s_MLF_okra</vt:lpstr>
      <vt:lpstr>s_MLF_onion</vt:lpstr>
      <vt:lpstr>s_MLF_pasture</vt:lpstr>
      <vt:lpstr>s_MLF_peach</vt:lpstr>
      <vt:lpstr>s_MLF_pear</vt:lpstr>
      <vt:lpstr>s_MLF_peas</vt:lpstr>
      <vt:lpstr>s_MLF_peppers</vt:lpstr>
      <vt:lpstr>s_MLF_potato</vt:lpstr>
      <vt:lpstr>s_MLF_pumpkin</vt:lpstr>
      <vt:lpstr>s_MLF_rice</vt:lpstr>
      <vt:lpstr>s_MLF_snap_bean</vt:lpstr>
      <vt:lpstr>s_MLF_strawberry</vt:lpstr>
      <vt:lpstr>s_MLF_tomato</vt:lpstr>
      <vt:lpstr>s_P</vt:lpstr>
      <vt:lpstr>s_PEF_wind</vt:lpstr>
      <vt:lpstr>s_Q_C_wind</vt:lpstr>
      <vt:lpstr>s_Q_p_beef</vt:lpstr>
      <vt:lpstr>s_Q_p_dairy</vt:lpstr>
      <vt:lpstr>s_Q_p_egg</vt:lpstr>
      <vt:lpstr>s_Q_p_fowl</vt:lpstr>
      <vt:lpstr>s_Q_p_game</vt:lpstr>
      <vt:lpstr>s_Q_p_goat</vt:lpstr>
      <vt:lpstr>s_Q_p_goat_milk</vt:lpstr>
      <vt:lpstr>s_Q_p_poultry</vt:lpstr>
      <vt:lpstr>s_Q_p_sheep</vt:lpstr>
      <vt:lpstr>s_Q_p_sheep_milk</vt:lpstr>
      <vt:lpstr>s_Q_p_swine</vt:lpstr>
      <vt:lpstr>s_Q_s_beef</vt:lpstr>
      <vt:lpstr>s_Q_s_dairy</vt:lpstr>
      <vt:lpstr>s_Q_s_egg</vt:lpstr>
      <vt:lpstr>s_Q_s_fowl</vt:lpstr>
      <vt:lpstr>s_Q_s_game</vt:lpstr>
      <vt:lpstr>s_Q_s_goat</vt:lpstr>
      <vt:lpstr>s_Q_s_goat_milk</vt:lpstr>
      <vt:lpstr>s_Q_s_poultry</vt:lpstr>
      <vt:lpstr>s_Q_s_sheep</vt:lpstr>
      <vt:lpstr>s_Q_s_sheep_milk</vt:lpstr>
      <vt:lpstr>s_Q_s_swine</vt:lpstr>
      <vt:lpstr>s_Q_w_beef</vt:lpstr>
      <vt:lpstr>s_Q_w_dairy</vt:lpstr>
      <vt:lpstr>s_Q_w_egg</vt:lpstr>
      <vt:lpstr>s_Q_w_fowl</vt:lpstr>
      <vt:lpstr>s_Q_w_game</vt:lpstr>
      <vt:lpstr>s_Q_w_goat</vt:lpstr>
      <vt:lpstr>s_Q_w_goat_milk</vt:lpstr>
      <vt:lpstr>s_Q_w_poultry</vt:lpstr>
      <vt:lpstr>s_Q_w_sheep</vt:lpstr>
      <vt:lpstr>s_Q_w_sheep_milk</vt:lpstr>
      <vt:lpstr>s_Q_w_swine</vt:lpstr>
      <vt:lpstr>s_R_es_past</vt:lpstr>
      <vt:lpstr>s_T</vt:lpstr>
      <vt:lpstr>s_t_b</vt:lpstr>
      <vt:lpstr>s_t_far</vt:lpstr>
      <vt:lpstr>s_t_rec</vt:lpstr>
      <vt:lpstr>s_t_res</vt:lpstr>
      <vt:lpstr>s_t_v</vt:lpstr>
      <vt:lpstr>s_t_w</vt:lpstr>
      <vt:lpstr>s_TR</vt:lpstr>
      <vt:lpstr>s_Um</vt:lpstr>
      <vt:lpstr>s_Ut</vt:lpstr>
      <vt:lpstr>s_V</vt:lpstr>
      <vt:lpstr>s_x</vt:lpstr>
      <vt:lpstr>s_Y_v</vt:lpstr>
      <vt:lpstr>s_θw</vt:lpstr>
      <vt:lpstr>s_ρb</vt:lpstr>
      <vt:lpstr>T</vt:lpstr>
      <vt:lpstr>t_b</vt:lpstr>
      <vt:lpstr>t_far</vt:lpstr>
      <vt:lpstr>t_rec</vt:lpstr>
      <vt:lpstr>t_res</vt:lpstr>
      <vt:lpstr>t_v</vt:lpstr>
      <vt:lpstr>t_w</vt:lpstr>
      <vt:lpstr>TR</vt:lpstr>
      <vt:lpstr>Um</vt:lpstr>
      <vt:lpstr>Ut</vt:lpstr>
      <vt:lpstr>V</vt:lpstr>
      <vt:lpstr>Y_v</vt:lpstr>
      <vt:lpstr>θw</vt:lpstr>
      <vt:lpstr>ρb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Manning, Karessa L.</dc:creator>
  <cp:lastModifiedBy>Manning, Karessa</cp:lastModifiedBy>
  <cp:lastPrinted>2017-04-12T15:41:27Z</cp:lastPrinted>
  <dcterms:created xsi:type="dcterms:W3CDTF">2016-04-21T20:28:57Z</dcterms:created>
  <dcterms:modified xsi:type="dcterms:W3CDTF">2022-07-05T14:33:09Z</dcterms:modified>
</cp:coreProperties>
</file>